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22.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18.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Pasien" sheetId="1" r:id="rId5"/>
    <sheet state="hidden" name="Pivot Table 176" sheetId="2" r:id="rId6"/>
    <sheet state="visible" name="📝 Kunjungan" sheetId="3" r:id="rId7"/>
    <sheet state="visible" name="📥 TA" sheetId="4" r:id="rId8"/>
    <sheet state="visible" name="💾 Paket" sheetId="5" r:id="rId9"/>
    <sheet state="visible" name="🎯 Target" sheetId="6" r:id="rId10"/>
    <sheet state="visible" name="✅ Validasi" sheetId="7" r:id="rId11"/>
    <sheet state="hidden" name="Analisis TA" sheetId="8" r:id="rId12"/>
    <sheet state="hidden" name="Analisis Bulanan" sheetId="9" r:id="rId13"/>
    <sheet state="visible" name="⚙️ Pengaturan" sheetId="10" r:id="rId14"/>
    <sheet state="hidden" name="💸 Data Insentif" sheetId="11" r:id="rId15"/>
  </sheets>
  <definedNames>
    <definedName name="RentangBernama1">#REF!</definedName>
    <definedName hidden="1" localSheetId="0" name="Z_25EFA04F_F6ED_4209_8CD9_7E0175E904D4_.wvu.FilterData">'🙎‍♂️ Pasien'!$B$1:$V$620</definedName>
    <definedName hidden="1" localSheetId="4" name="Z_25EFA04F_F6ED_4209_8CD9_7E0175E904D4_.wvu.FilterData">'💾 Paket'!$D$2:$AK$2</definedName>
    <definedName hidden="1" localSheetId="3" name="Z_93A79559_A0F7_42EA_82B2_EE894540E3EC_.wvu.FilterData">'📥 TA'!$B$2:$Y$371</definedName>
    <definedName hidden="1" localSheetId="2" name="Z_FA229FA6_2B6D_47C9_BA20_D559BCEB372B_.wvu.FilterData">'📝 Kunjungan'!$B$2:$X$1508</definedName>
    <definedName hidden="1" localSheetId="3" name="Z_FA229FA6_2B6D_47C9_BA20_D559BCEB372B_.wvu.FilterData">'📥 TA'!$B$2:$Y$371</definedName>
    <definedName hidden="1" localSheetId="4" name="Z_FA229FA6_2B6D_47C9_BA20_D559BCEB372B_.wvu.FilterData">'💾 Paket'!$B$2:$AI$658</definedName>
    <definedName hidden="1" localSheetId="3" name="Z_214099C8_A516_4C98_BECC_55E5D7559755_.wvu.FilterData">'📥 TA'!$B$2:$Y$371</definedName>
    <definedName hidden="1" localSheetId="4" name="Z_214099C8_A516_4C98_BECC_55E5D7559755_.wvu.FilterData">'💾 Paket'!$B$2:$AI$658</definedName>
    <definedName hidden="1" localSheetId="0" name="Z_0974EC85_6B59_40F5_AC44_3B0FEAAE4802_.wvu.FilterData">'🙎‍♂️ Pasien'!$G$1:$V$503</definedName>
    <definedName hidden="1" localSheetId="4" name="Z_0974EC85_6B59_40F5_AC44_3B0FEAAE4802_.wvu.FilterData">'💾 Paket'!$D$2:$AK$2</definedName>
    <definedName hidden="1" localSheetId="3" name="Z_D9C8E696_2233_4451_BB2C_C3F1F3039EB0_.wvu.FilterData">'📥 TA'!$B$2:$Y$371</definedName>
    <definedName hidden="1" localSheetId="4" name="Z_D9C8E696_2233_4451_BB2C_C3F1F3039EB0_.wvu.FilterData">'💾 Paket'!$B$2:$AI$658</definedName>
    <definedName hidden="1" localSheetId="2" name="Z_A9138DCC_CC67_4662_9DE4_ED853A017D3F_.wvu.FilterData">'📝 Kunjungan'!$B$2:$X$1508</definedName>
    <definedName hidden="1" localSheetId="4" name="Z_A9138DCC_CC67_4662_9DE4_ED853A017D3F_.wvu.FilterData">'💾 Paket'!$B$2:$AI$658</definedName>
    <definedName hidden="1" localSheetId="3" name="Z_AA3A27C3_C681_434B_92A2_6ADD59BAE61E_.wvu.FilterData">'📥 TA'!$B$2:$Y$371</definedName>
    <definedName hidden="1" localSheetId="4" name="Z_AA3A27C3_C681_434B_92A2_6ADD59BAE61E_.wvu.FilterData">'💾 Paket'!$B$2:$AI$658</definedName>
    <definedName hidden="1" localSheetId="4" name="Z_75A7DD84_657D_490D_8152_30E7061AE6B8_.wvu.FilterData">'💾 Paket'!$B$2:$AI$658</definedName>
  </definedNames>
  <calcPr/>
  <customWorkbookViews>
    <customWorkbookView activeSheetId="0" maximized="1" windowHeight="0" windowWidth="0" guid="{A9138DCC-CC67-4662-9DE4-ED853A017D3F}" name="NAMA PASIEN"/>
    <customWorkbookView activeSheetId="0" maximized="1" windowHeight="0" windowWidth="0" guid="{214099C8-A516-4C98-BECC-55E5D7559755}" name="STATUS"/>
    <customWorkbookView activeSheetId="0" maximized="1" windowHeight="0" windowWidth="0" guid="{0974EC85-6B59-40F5-AC44-3B0FEAAE4802}" name="Filter 2"/>
    <customWorkbookView activeSheetId="0" maximized="1" windowHeight="0" windowWidth="0" guid="{25EFA04F-F6ED-4209-8CD9-7E0175E904D4}" name="Filter 1"/>
    <customWorkbookView activeSheetId="0" maximized="1" windowHeight="0" windowWidth="0" guid="{FA229FA6-2B6D-47C9-BA20-D559BCEB372B}" name="FISIO"/>
    <customWorkbookView activeSheetId="0" maximized="1" windowHeight="0" windowWidth="0" guid="{D9C8E696-2233-4451-BB2C-C3F1F3039EB0}" name="TAHUN"/>
    <customWorkbookView activeSheetId="0" maximized="1" windowHeight="0" windowWidth="0" guid="{93A79559-A0F7-42EA-82B2-EE894540E3EC}" name="ADMIN"/>
    <customWorkbookView activeSheetId="0" maximized="1" windowHeight="0" windowWidth="0" guid="{75A7DD84-657D-490D-8152-30E7061AE6B8}" name="DURASI"/>
    <customWorkbookView activeSheetId="0" maximized="1" windowHeight="0" windowWidth="0" guid="{AA3A27C3-C681-434B-92A2-6ADD59BAE61E}" name="BULAN"/>
  </customWorkbookViews>
  <pivotCaches>
    <pivotCache cacheId="0" r:id="rId16"/>
    <pivotCache cacheId="1" r:id="rId17"/>
    <pivotCache cacheId="2" r:id="rId18"/>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
      <text>
        <t xml:space="preserve">Catatan:
Jika nama tidak ada, ketik secara manual pada baris.</t>
      </text>
    </comment>
    <comment authorId="0" ref="S2">
      <text>
        <t xml:space="preserve">Catatan:
Jika nama tidak ada, ketik secara manual pada baris.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19">
      <text>
        <t xml:space="preserve">BEASISWA</t>
      </text>
    </comment>
    <comment authorId="0" ref="C219">
      <text>
        <t xml:space="preserve">ANAK BUAH PAPA DZAKY</t>
      </text>
    </comment>
    <comment authorId="0" ref="C407">
      <text>
        <t xml:space="preserve">BEASISWA</t>
      </text>
    </comment>
    <comment authorId="0" ref="C406">
      <text>
        <t xml:space="preserve">BEASISWA
</t>
      </text>
    </comment>
    <comment authorId="0" ref="C403">
      <text>
        <t xml:space="preserve">BEASISWA</t>
      </text>
    </comment>
    <comment authorId="0" ref="C307">
      <text>
        <t xml:space="preserve">TANGGUNGAN PAK MUL</t>
      </text>
    </comment>
    <comment authorId="0" ref="C306">
      <text>
        <t xml:space="preserve">TANGGUNGAN PAK MUL</t>
      </text>
    </comment>
    <comment authorId="0" ref="C402">
      <text>
        <t xml:space="preserve">BEASISWA</t>
      </text>
    </comment>
    <comment authorId="0" ref="C305">
      <text>
        <t xml:space="preserve">TANGGUNGAN PAK MUL</t>
      </text>
    </comment>
    <comment authorId="0" ref="C495">
      <text>
        <t xml:space="preserve">ANAK PAK MUL</t>
      </text>
    </comment>
    <comment authorId="0" ref="C494">
      <text>
        <t xml:space="preserve">TANGGUNGAN PAK MUL</t>
      </text>
    </comment>
    <comment authorId="0" ref="C269">
      <text>
        <t xml:space="preserve">BEASISWA</t>
      </text>
    </comment>
    <comment authorId="0" ref="C459">
      <text>
        <t xml:space="preserve">BEASISWA</t>
      </text>
    </comment>
    <comment authorId="0" ref="C458">
      <text>
        <t xml:space="preserve">BEASISWA</t>
      </text>
    </comment>
    <comment authorId="0" ref="H394">
      <text>
        <t xml:space="preserve">TA HOME VISIT</t>
      </text>
    </comment>
  </commentList>
</comments>
</file>

<file path=xl/sharedStrings.xml><?xml version="1.0" encoding="utf-8"?>
<sst xmlns="http://schemas.openxmlformats.org/spreadsheetml/2006/main" count="20723" uniqueCount="1712">
  <si>
    <t>.</t>
  </si>
  <si>
    <t>Timestamp</t>
  </si>
  <si>
    <t>Tanggal</t>
  </si>
  <si>
    <t>BULAN</t>
  </si>
  <si>
    <t>TAHUN</t>
  </si>
  <si>
    <t>Nama Pasien</t>
  </si>
  <si>
    <t>No. RM</t>
  </si>
  <si>
    <t>Usia</t>
  </si>
  <si>
    <t>Kategori Usia</t>
  </si>
  <si>
    <t>Tanggal Lahir</t>
  </si>
  <si>
    <t>Jenis Kelamin</t>
  </si>
  <si>
    <t>Alamat</t>
  </si>
  <si>
    <t>Kelurahan/Desa</t>
  </si>
  <si>
    <t>Kecamatan</t>
  </si>
  <si>
    <t>Kabupaten/Kota</t>
  </si>
  <si>
    <t>Provinsi</t>
  </si>
  <si>
    <t>Agama</t>
  </si>
  <si>
    <t>Pekerjaan</t>
  </si>
  <si>
    <t>Keluhan</t>
  </si>
  <si>
    <t>Hobi/Aktivitas Sehari-hari</t>
  </si>
  <si>
    <t>No. HP/WhatsApp</t>
  </si>
  <si>
    <t>COUNTA of NAMA PASIEN</t>
  </si>
  <si>
    <t>SUMBER PASIEN</t>
  </si>
  <si>
    <t>10 Okt</t>
  </si>
  <si>
    <t>11 Nov</t>
  </si>
  <si>
    <t>Grand Total</t>
  </si>
  <si>
    <t>GOOGLE MAPS / PENCARIAN GOOGLE</t>
  </si>
  <si>
    <t>MEDIA SOSIAL</t>
  </si>
  <si>
    <t>PASIEN LAMA</t>
  </si>
  <si>
    <t>REKOMENDASI ORANG LAIN</t>
  </si>
  <si>
    <t>RUJUKAN DOKTER / RS</t>
  </si>
  <si>
    <t>⏳ LIHAT DATA SEMESTER LALU</t>
  </si>
  <si>
    <t>SHIFT</t>
  </si>
  <si>
    <t>TIM</t>
  </si>
  <si>
    <t>ADMIN</t>
  </si>
  <si>
    <t>TANGGAL</t>
  </si>
  <si>
    <t>HARI</t>
  </si>
  <si>
    <t>JAM</t>
  </si>
  <si>
    <t>FISIO</t>
  </si>
  <si>
    <t>LAYANAN</t>
  </si>
  <si>
    <t>NAMA PASIEN</t>
  </si>
  <si>
    <t>NO. RM</t>
  </si>
  <si>
    <t>USIA</t>
  </si>
  <si>
    <t>JENIS KELAMIN</t>
  </si>
  <si>
    <t>AGAMA</t>
  </si>
  <si>
    <t>PEKERJAAN</t>
  </si>
  <si>
    <t>KELUHAN</t>
  </si>
  <si>
    <t>HOBI/AKTIVITAS SEHARI-HARI</t>
  </si>
  <si>
    <t>KEHADIRAN</t>
  </si>
  <si>
    <t>NO. SESI</t>
  </si>
  <si>
    <t>KETERANGAN</t>
  </si>
  <si>
    <t>✅</t>
  </si>
  <si>
    <t>CATATAN ADMIN</t>
  </si>
  <si>
    <t>PAGI</t>
  </si>
  <si>
    <t>SUCI</t>
  </si>
  <si>
    <t>09.00</t>
  </si>
  <si>
    <t>WAHYU</t>
  </si>
  <si>
    <t>TERAPI AWAL</t>
  </si>
  <si>
    <t>AFNUR RIKI AMRULLAH</t>
  </si>
  <si>
    <t>HADIR</t>
  </si>
  <si>
    <t>-</t>
  </si>
  <si>
    <t>SUAMI DELILLA</t>
  </si>
  <si>
    <t>HENA</t>
  </si>
  <si>
    <t>PAKET TERAPI</t>
  </si>
  <si>
    <t>RUDI HARTONO</t>
  </si>
  <si>
    <t>10.00</t>
  </si>
  <si>
    <t>GRACIA IVANA GOUWYN</t>
  </si>
  <si>
    <t>TIDAK HADIR</t>
  </si>
  <si>
    <t>MAU PINDAH HARI ADA AGENDA DADAKAN</t>
  </si>
  <si>
    <t>SESI TERAPI</t>
  </si>
  <si>
    <t>LILI JARIAH</t>
  </si>
  <si>
    <t>LIM OI KHIUN ALS RIANA</t>
  </si>
  <si>
    <t>HESTI</t>
  </si>
  <si>
    <t>LIM OI SIP ALS ERNY</t>
  </si>
  <si>
    <t>11.00</t>
  </si>
  <si>
    <t>EDY HARTONO</t>
  </si>
  <si>
    <t>13.00</t>
  </si>
  <si>
    <t>AHMAD DANY NOVALDI</t>
  </si>
  <si>
    <t>ADA JADWAL UTS</t>
  </si>
  <si>
    <t>OKTA</t>
  </si>
  <si>
    <t>LENY SUMANTRI</t>
  </si>
  <si>
    <t>EDO</t>
  </si>
  <si>
    <t>SUHERDIYANTO, S.PD</t>
  </si>
  <si>
    <t>14.00</t>
  </si>
  <si>
    <t>MARIYAM</t>
  </si>
  <si>
    <t>SORE</t>
  </si>
  <si>
    <t>NOPI</t>
  </si>
  <si>
    <t>15.00</t>
  </si>
  <si>
    <t>ORY</t>
  </si>
  <si>
    <t>FATI ARIFAH</t>
  </si>
  <si>
    <t>BEASISWA BANG EDO</t>
  </si>
  <si>
    <t>DESTY</t>
  </si>
  <si>
    <t>HO HIAN KI</t>
  </si>
  <si>
    <t>16.00</t>
  </si>
  <si>
    <t>AISHA NAJWA AQILA</t>
  </si>
  <si>
    <t>17.00</t>
  </si>
  <si>
    <t>ALBYAN RAFIF MAHESWARA</t>
  </si>
  <si>
    <t>19.00</t>
  </si>
  <si>
    <t>LICA</t>
  </si>
  <si>
    <t>20.00</t>
  </si>
  <si>
    <t>A. SYUKUR H. JAFRI</t>
  </si>
  <si>
    <t>DANI</t>
  </si>
  <si>
    <t>BOBY ANTA MAULANA</t>
  </si>
  <si>
    <t>EVAL/ 09.30/ADA HAL MENDADAK</t>
  </si>
  <si>
    <t>FRANKY WILLIAM</t>
  </si>
  <si>
    <t>LISA MEGASARI</t>
  </si>
  <si>
    <t>KEL KAKI/ PINDAH JAM 15.00</t>
  </si>
  <si>
    <t>PRITY</t>
  </si>
  <si>
    <t>ANDRIANI</t>
  </si>
  <si>
    <t>PELUNASAN 250K</t>
  </si>
  <si>
    <t>ERLIN NURLIAWATY</t>
  </si>
  <si>
    <t>RESCEDUE SENIN</t>
  </si>
  <si>
    <t>SUYONO</t>
  </si>
  <si>
    <t>HENG KENG SENG</t>
  </si>
  <si>
    <t>FISIO SAKIT, JADI PINDAH SABTU</t>
  </si>
  <si>
    <t>SHAOUQI NASHUHA</t>
  </si>
  <si>
    <t>HELIE</t>
  </si>
  <si>
    <t>MASDIARTI</t>
  </si>
  <si>
    <t>EVAL/ PINDAH JAM 20.00</t>
  </si>
  <si>
    <t>HARDJONO</t>
  </si>
  <si>
    <t>KEL KAKI/ pindah jam 19.00</t>
  </si>
  <si>
    <t>ROBINSON NAINGGOLAN</t>
  </si>
  <si>
    <t>AYDA RIANI JOHAR</t>
  </si>
  <si>
    <t>KEL BARU/ BAHU/ POSISI TIDUR SALAH BERKEPANJANGAN</t>
  </si>
  <si>
    <t>FIKRI AKIFA PERMANA</t>
  </si>
  <si>
    <t>EVAL</t>
  </si>
  <si>
    <t>YOSIA GALANG PUTRA BORNEO</t>
  </si>
  <si>
    <t>EVAL/RESCEDULE JAM</t>
  </si>
  <si>
    <t>ATIKA MUFLIHA</t>
  </si>
  <si>
    <t>DEVIN PANGESTU</t>
  </si>
  <si>
    <t>IRFAN APRISON</t>
  </si>
  <si>
    <t>KEL KAKI</t>
  </si>
  <si>
    <t>RYUDINATA WILLIAM</t>
  </si>
  <si>
    <t>PINDAH JAM 14.00</t>
  </si>
  <si>
    <t>LAINNYA</t>
  </si>
  <si>
    <t>PAKET/SESI</t>
  </si>
  <si>
    <t>HARRY FURQAN</t>
  </si>
  <si>
    <t>DEMAM</t>
  </si>
  <si>
    <t>YUBANADI</t>
  </si>
  <si>
    <t>PASIEN MINTA SELASA SIANG</t>
  </si>
  <si>
    <t>NANTI DI WA COCOKKAN JADWAL SEKOLAH</t>
  </si>
  <si>
    <t>RAHMAD PUNGKI WALUYO</t>
  </si>
  <si>
    <t>PEMBAYARAN TUNAI</t>
  </si>
  <si>
    <t>DISARANKAN SENIN/SELASA</t>
  </si>
  <si>
    <t>LENI DIANTAMI</t>
  </si>
  <si>
    <t>PEMBAYARAN TRF</t>
  </si>
  <si>
    <t>DISARANKAN MINGGU/SENIN. RENCANA PAKET</t>
  </si>
  <si>
    <t>PUJI MULYANI</t>
  </si>
  <si>
    <t>EVAL/ FISIONYA SAKIT</t>
  </si>
  <si>
    <t>SEKAR KINANTI HERPRADANTI</t>
  </si>
  <si>
    <t>YUNI ISHAFIZA</t>
  </si>
  <si>
    <t>PINDAH MALAM/FISIONYA SAKIT</t>
  </si>
  <si>
    <t>OZZY GUARDIOLA FITTIFALDY</t>
  </si>
  <si>
    <t>SRI ESRI</t>
  </si>
  <si>
    <t>EVAL / PINDA RABU FISIONYA SAKIT</t>
  </si>
  <si>
    <t>HAMDAN IDRIS</t>
  </si>
  <si>
    <t>SOFHIA LEKA</t>
  </si>
  <si>
    <t>EVAL/ JADWALKAN ULANG</t>
  </si>
  <si>
    <t>BATAL HADIR</t>
  </si>
  <si>
    <t>AMARA PUTRI NAZARISKA</t>
  </si>
  <si>
    <t>SUHERMAN</t>
  </si>
  <si>
    <t>AGNES VERONIKA</t>
  </si>
  <si>
    <t>TAGIH PAKET BARU/ADA EVENT LARI</t>
  </si>
  <si>
    <t>TIDAK ADA KONFRMASI</t>
  </si>
  <si>
    <t>TITIN MARIANTI S.PDI</t>
  </si>
  <si>
    <t>DIVO</t>
  </si>
  <si>
    <t>MARTINI</t>
  </si>
  <si>
    <t>ADA KEGIATAN DADAKAN</t>
  </si>
  <si>
    <t>MUHAMMAD NABHIL DHOYFULLOH</t>
  </si>
  <si>
    <t>NURDILA YULIANTI</t>
  </si>
  <si>
    <t>BIBI NAIZA</t>
  </si>
  <si>
    <t>DWI SANTHIKA</t>
  </si>
  <si>
    <t>SULAIMAN 9601</t>
  </si>
  <si>
    <t>ERITA GUNAWAN</t>
  </si>
  <si>
    <t>FATMAWATI</t>
  </si>
  <si>
    <t>ADA ACARA KELUARGA, PINDAH BESOK</t>
  </si>
  <si>
    <t>LIA</t>
  </si>
  <si>
    <t>MARISA HANDAYANI</t>
  </si>
  <si>
    <t>NURIL HUDA ATHARIQ UKASAH</t>
  </si>
  <si>
    <t>CINTHYA MEILIZA</t>
  </si>
  <si>
    <t>RESCEDULE KAMIS</t>
  </si>
  <si>
    <t>DIKIFIRNANDA</t>
  </si>
  <si>
    <t>JON ALI</t>
  </si>
  <si>
    <t>ADA URUSAN MENDADAK</t>
  </si>
  <si>
    <t>NG SIA CIN</t>
  </si>
  <si>
    <t>ADA KEPERLUAN</t>
  </si>
  <si>
    <t>TAGIH PAKET BARU/ GAK BISA</t>
  </si>
  <si>
    <t>ANDY SETIAWAN</t>
  </si>
  <si>
    <t>SILVI AULIA</t>
  </si>
  <si>
    <t>ARIEF SAPTA WENDRIANTO</t>
  </si>
  <si>
    <t>ARIFIN NUR ROCHMAD</t>
  </si>
  <si>
    <t>BLM DIRUMAH RESCEDULE MALAM</t>
  </si>
  <si>
    <t>PELUNASAN 250K/ ADA KEGIATAN DISKOLAH</t>
  </si>
  <si>
    <t>ELLEN ARIFIN</t>
  </si>
  <si>
    <t>OLIVIA NOVELIANTI</t>
  </si>
  <si>
    <t>HUJAN</t>
  </si>
  <si>
    <t>BAI FURKON HILMI, SE</t>
  </si>
  <si>
    <t>SETYA AJI</t>
  </si>
  <si>
    <t>KEL PINGGANG DAN LUTUT</t>
  </si>
  <si>
    <t>TIDAK ADA INFO</t>
  </si>
  <si>
    <t>ROSKIAMY</t>
  </si>
  <si>
    <t>ISTRI TOMMY Y</t>
  </si>
  <si>
    <t>BENI PRAYOGA</t>
  </si>
  <si>
    <t>RIANTIN</t>
  </si>
  <si>
    <t>RADINDA FARIDZYA FITRIYANTO</t>
  </si>
  <si>
    <t>SAKIT</t>
  </si>
  <si>
    <t>LIENA TJANDRA</t>
  </si>
  <si>
    <t>SINTA CLARENCIA</t>
  </si>
  <si>
    <t>10.30/ ADA KEGIATAN</t>
  </si>
  <si>
    <t>MENG NIAN ALIAS RUDI</t>
  </si>
  <si>
    <t>ADIYATH RANDY YUDIMAMASE, SE.M.M</t>
  </si>
  <si>
    <t>ROSWITA</t>
  </si>
  <si>
    <t>GANTI BESOK</t>
  </si>
  <si>
    <t>MAU AMBIL PAKET 2/ TUNAI</t>
  </si>
  <si>
    <t>JADWAL VIA WA</t>
  </si>
  <si>
    <t>ADA KEGIATAN</t>
  </si>
  <si>
    <t>RIA UTAMI</t>
  </si>
  <si>
    <t>DISARANKAN MINGGU. MAU AMBIL PAKET. REQUEST SAMA ORY KARENA ORY PERHATIAN</t>
  </si>
  <si>
    <t>SUPENDI</t>
  </si>
  <si>
    <t>TRANSFER</t>
  </si>
  <si>
    <t>DISARANKAN MINGGU</t>
  </si>
  <si>
    <t>ADA ACARA MENDADAK</t>
  </si>
  <si>
    <t>DHAIFULLAH IRFAN HAFIZH</t>
  </si>
  <si>
    <t>BANG EDO ADA AGENDA</t>
  </si>
  <si>
    <t>KURNIAWATI 6009</t>
  </si>
  <si>
    <t>BINTARI INDAH SAPUTRI</t>
  </si>
  <si>
    <t>ANAK PAK WAHONO</t>
  </si>
  <si>
    <t>ALPUTRALAW</t>
  </si>
  <si>
    <t>BERHALANGAN HADIR</t>
  </si>
  <si>
    <t>TJAN TIONG HONG</t>
  </si>
  <si>
    <t>KEL BARU/ TANGAN</t>
  </si>
  <si>
    <t>AULIA RAHMAH PUTRI ADISHA</t>
  </si>
  <si>
    <t>TERA VICIANI</t>
  </si>
  <si>
    <t>MUHAMMAD HENDRI. SE</t>
  </si>
  <si>
    <t>BELLY</t>
  </si>
  <si>
    <t>EVAL/ 10.30</t>
  </si>
  <si>
    <t>DELIMA FAJAR LIANA</t>
  </si>
  <si>
    <t>TEGUH KURNIAWAN</t>
  </si>
  <si>
    <t>YUNITA</t>
  </si>
  <si>
    <t>AGATHA ARCADIA</t>
  </si>
  <si>
    <t>KEL LUTUT</t>
  </si>
  <si>
    <t>MUTIARA DEWI A.Q</t>
  </si>
  <si>
    <t>JULIO ARIE PANANGIAN NAPITUPULU</t>
  </si>
  <si>
    <t>PAKET BARU</t>
  </si>
  <si>
    <t>NANI ERNIEYATI</t>
  </si>
  <si>
    <t>WAGIYANTO</t>
  </si>
  <si>
    <t>RESCHEDULE KARENA DIARE</t>
  </si>
  <si>
    <t>ADA KERJAAN RESCHEDULE RABU</t>
  </si>
  <si>
    <t>HJ. NURDESWATI SH</t>
  </si>
  <si>
    <t>MERRY</t>
  </si>
  <si>
    <t>FISIONYA SAKIT, GANTI BESOK</t>
  </si>
  <si>
    <t>TA</t>
  </si>
  <si>
    <t>FGS ASRIFAH/ TIDAK ADA KONFIRMASI</t>
  </si>
  <si>
    <t>NURZAINI</t>
  </si>
  <si>
    <t>GREGORIUS TACCHINARDI</t>
  </si>
  <si>
    <t>BELUM ADA JAWAB/ PINDAH JAM 20.00</t>
  </si>
  <si>
    <t>TAGIH PAKET BARU</t>
  </si>
  <si>
    <t>AZARYA JADAYN ARYO</t>
  </si>
  <si>
    <t>ADA KERJAAN LUPA INFO UNTUK RESCHEDULE</t>
  </si>
  <si>
    <t>DWI SARTIKA SARI</t>
  </si>
  <si>
    <t>FITRI ANGGRAINI</t>
  </si>
  <si>
    <t>MASIH LEMBUR</t>
  </si>
  <si>
    <t>MULLY ENDAH PRATIWI</t>
  </si>
  <si>
    <t>FIKA DWI MEILISA</t>
  </si>
  <si>
    <t>ARPAN DWI CAHYA</t>
  </si>
  <si>
    <t>ADA KERJAAN</t>
  </si>
  <si>
    <t>RASIANI</t>
  </si>
  <si>
    <t>RICKY ISKANDAR</t>
  </si>
  <si>
    <t>FATIH HAWWARI</t>
  </si>
  <si>
    <t>TDK ADA KONFRIMASI</t>
  </si>
  <si>
    <t>09.30</t>
  </si>
  <si>
    <t>GANTI SENIN</t>
  </si>
  <si>
    <t>HADIJAH</t>
  </si>
  <si>
    <t>HENDRI MIN</t>
  </si>
  <si>
    <t>ADA HALANGAN</t>
  </si>
  <si>
    <t>UTIN ROSWITA</t>
  </si>
  <si>
    <t>TANTE OKTA/ TDK ADA KONFIRMASI</t>
  </si>
  <si>
    <t>ZULKIFLI 8105</t>
  </si>
  <si>
    <t>GANTI MINGGU</t>
  </si>
  <si>
    <t>FITRIYANI</t>
  </si>
  <si>
    <t>LIEM AI JONG</t>
  </si>
  <si>
    <t>KENA MACET</t>
  </si>
  <si>
    <t>ELLYSA FERONIKA HALIM</t>
  </si>
  <si>
    <t>BERHALANGAN</t>
  </si>
  <si>
    <t>RESCHEDULE MINGGU</t>
  </si>
  <si>
    <t>TUNAI</t>
  </si>
  <si>
    <t>DISARANKAN MINGGU. REQ SAMA WAHYU</t>
  </si>
  <si>
    <t>SENIN LAGI</t>
  </si>
  <si>
    <t>ERIC JORDAN</t>
  </si>
  <si>
    <t>NON TUNAI</t>
  </si>
  <si>
    <t>PASIEN BISANYA SENIN</t>
  </si>
  <si>
    <t>KASBI</t>
  </si>
  <si>
    <t>SELASA LAGI</t>
  </si>
  <si>
    <t>DESY RASTIKA SARI</t>
  </si>
  <si>
    <t>DISARANKAN MINGGU/SENIN</t>
  </si>
  <si>
    <t>PASIEN REQ SABTU SAMA HENA</t>
  </si>
  <si>
    <t>BLM BISA DTG</t>
  </si>
  <si>
    <t>RICKY FARIZA LUBIS</t>
  </si>
  <si>
    <t>SUDAH WA ADMIN TANYA JADWAL</t>
  </si>
  <si>
    <t>FITRI HALUDIAWATI</t>
  </si>
  <si>
    <t>BESOK KE JAKARTA. RENCANA BULAN DEPAN</t>
  </si>
  <si>
    <t>RESCEDULE MINGGU DEPAN</t>
  </si>
  <si>
    <t>ANDI</t>
  </si>
  <si>
    <t>MUHAMMAD CHAIRUDDIN, S.A.P</t>
  </si>
  <si>
    <t>PINDAH BESOK</t>
  </si>
  <si>
    <t>BELUM BISA</t>
  </si>
  <si>
    <t>RECKI SEPTIANDA</t>
  </si>
  <si>
    <t>MEIVIAN GOUWYN</t>
  </si>
  <si>
    <t>GAKBISA</t>
  </si>
  <si>
    <t>RIKA RIYANTI</t>
  </si>
  <si>
    <t>KEL TANGAN</t>
  </si>
  <si>
    <t>RESCHEDULE</t>
  </si>
  <si>
    <t>ADA EVENT</t>
  </si>
  <si>
    <t>KRISTIANI</t>
  </si>
  <si>
    <t>ALY AL DASTAN</t>
  </si>
  <si>
    <t>09.30/ GANTI SELASA</t>
  </si>
  <si>
    <t>PUTRI MIRANDA</t>
  </si>
  <si>
    <t>KEL ANKLE</t>
  </si>
  <si>
    <t>10.30/ GANTI MINGGU DEPAN</t>
  </si>
  <si>
    <t>GANTI SELASA</t>
  </si>
  <si>
    <t>SUHARMI</t>
  </si>
  <si>
    <t>MENDADAK URUSAN KELUARGA</t>
  </si>
  <si>
    <t>ADA KERKOM</t>
  </si>
  <si>
    <t>ELWIN LAVEDA</t>
  </si>
  <si>
    <t>RESCEDULE BESOK</t>
  </si>
  <si>
    <t>MUHAMMAD FADLI LUTFIANDO</t>
  </si>
  <si>
    <t>ALDO PUTRA DERMAWAN</t>
  </si>
  <si>
    <t>MAU PENGUATAN AJA RENCANA AMBIL PAKET</t>
  </si>
  <si>
    <t>PELUNASAN 450K/GANTI SIANG</t>
  </si>
  <si>
    <t>MARIA ELLISA</t>
  </si>
  <si>
    <t>10.30</t>
  </si>
  <si>
    <t>LANDON CRYSANDER ALI</t>
  </si>
  <si>
    <t>PELUNASAN 450K</t>
  </si>
  <si>
    <t>GANTI KAMIS</t>
  </si>
  <si>
    <t>PINDAH RABU</t>
  </si>
  <si>
    <t>MEISYA FITRI</t>
  </si>
  <si>
    <t>ADA ACARA KANTOR</t>
  </si>
  <si>
    <t>ADA KEGIATAN MENDADAK</t>
  </si>
  <si>
    <t>MIFTAHUL BAROKY</t>
  </si>
  <si>
    <t>HERDY</t>
  </si>
  <si>
    <t>SUPARYANI</t>
  </si>
  <si>
    <t>TUTI TRISNAWATI</t>
  </si>
  <si>
    <t>RESCEDULE</t>
  </si>
  <si>
    <t>TDK ADA KONFIRMASI</t>
  </si>
  <si>
    <t>HUJAN/ GANTI SORE</t>
  </si>
  <si>
    <t>FRITA OLIVIA</t>
  </si>
  <si>
    <t>ADA URUSAN MENDADAK, GANTI SORE</t>
  </si>
  <si>
    <t>ERWIN JULIANSAH</t>
  </si>
  <si>
    <t>BELUM DULU</t>
  </si>
  <si>
    <t>ADA URUSAN</t>
  </si>
  <si>
    <t>IRRINA FAUZIARNI</t>
  </si>
  <si>
    <t>BUTI’AH</t>
  </si>
  <si>
    <t>ADA KERJAAN DADAKAN</t>
  </si>
  <si>
    <t>NICHOLAS ARINDA PRASETYO</t>
  </si>
  <si>
    <t>BOBBY AUDITHA VANDRI</t>
  </si>
  <si>
    <t>RESCHEDULE KARNA MASIH ADA KERJAAN</t>
  </si>
  <si>
    <t>LAGI KE DOKTER</t>
  </si>
  <si>
    <t>AQILA AFIFAH OCTAFRIYANA</t>
  </si>
  <si>
    <t>ANDRE CORIYONGSEN TEDO</t>
  </si>
  <si>
    <t>DISARANKAN MINGGU/SENIN. ADA RENCANA LANJUT VISIT</t>
  </si>
  <si>
    <t>JADWALKAN TGGU PLG DR LUAR KOTA</t>
  </si>
  <si>
    <t>MASUK RUMAH SAKIT</t>
  </si>
  <si>
    <t>KATELYN ELANOR LIM</t>
  </si>
  <si>
    <t>DISARANKAN TA GRIYA ANAK. CARI JADWAL SECEPATNYA</t>
  </si>
  <si>
    <t>OKTA BILANG MINGGU/SENIN</t>
  </si>
  <si>
    <t>OKTA BILANG BESOK LAGI</t>
  </si>
  <si>
    <t>SHARON LIE</t>
  </si>
  <si>
    <t>PASIEN REQ HARI MINGGU. BEBAS SAMA SIAPA AJA</t>
  </si>
  <si>
    <t>OKTA BILANG MINGGU LAGI</t>
  </si>
  <si>
    <t>BLM BISA</t>
  </si>
  <si>
    <t>NASYWA EDGINA HAPSARI</t>
  </si>
  <si>
    <t>BELLA BESTIANA TJANDRA</t>
  </si>
  <si>
    <t>KEPERLUAN MENDADAK</t>
  </si>
  <si>
    <t>M. ARSYAD</t>
  </si>
  <si>
    <t>ARDI ZAJULI</t>
  </si>
  <si>
    <t>CANCEL</t>
  </si>
  <si>
    <t>TDK BISA</t>
  </si>
  <si>
    <t>WAZIAN ZIRA ANTANYA</t>
  </si>
  <si>
    <t>NOEVAL MUZZAKY</t>
  </si>
  <si>
    <t>GANTI SORE</t>
  </si>
  <si>
    <t>DECKY WAHYUDI</t>
  </si>
  <si>
    <t>ANGELICA BUNARDI</t>
  </si>
  <si>
    <t>DIANA</t>
  </si>
  <si>
    <t>KEL PINGGANG SMPE KAKI KETARIK</t>
  </si>
  <si>
    <t>PELUNASAN 450K/GANTI SELASA</t>
  </si>
  <si>
    <t>OBIN</t>
  </si>
  <si>
    <t>BUJANG</t>
  </si>
  <si>
    <t>ADA AGENDA MENDADAK</t>
  </si>
  <si>
    <t>MAHIYE</t>
  </si>
  <si>
    <t>ALGI FAHRI</t>
  </si>
  <si>
    <t>ANAKNYA DEMAM</t>
  </si>
  <si>
    <t>RIKSON ARMAGEDON PURBA</t>
  </si>
  <si>
    <t>DHUTA ERLANGGA SUPRAYITNO</t>
  </si>
  <si>
    <t>ADA WISUDA GANTI RABU</t>
  </si>
  <si>
    <t>MAU KE DOKTER, PINDAH SORE</t>
  </si>
  <si>
    <t>TJANG JUN BU</t>
  </si>
  <si>
    <t>FISIO SAKIT GANTI KAMIS</t>
  </si>
  <si>
    <t>RAFIF HANAN</t>
  </si>
  <si>
    <t>FISIO SAKIT GANTI BESOK</t>
  </si>
  <si>
    <t>FISIOSAKIT GANTI SIANG</t>
  </si>
  <si>
    <t>FISIO SAKIT LANJUT SABTU</t>
  </si>
  <si>
    <t>MASIH DI SKW</t>
  </si>
  <si>
    <t>TUKINEM</t>
  </si>
  <si>
    <t>JADWAL ULANG</t>
  </si>
  <si>
    <t>OKTARIANA TRI SUSANTI</t>
  </si>
  <si>
    <t>MARIO GOTHEDY</t>
  </si>
  <si>
    <t>09.30/ GANTI SORE</t>
  </si>
  <si>
    <t>DELLY MARINA</t>
  </si>
  <si>
    <t>YURWARTINI</t>
  </si>
  <si>
    <t>TOMMY ABDUL GHANI</t>
  </si>
  <si>
    <t>WIWID YULIAN SAPUTRO</t>
  </si>
  <si>
    <t>TIDAK ENAK BADAN</t>
  </si>
  <si>
    <t>KE KUCHING RONTGEN</t>
  </si>
  <si>
    <t>EVAL/ GAK BISA</t>
  </si>
  <si>
    <t>RAJIDIN</t>
  </si>
  <si>
    <t>DWI CHRISTIANA</t>
  </si>
  <si>
    <t>GANTI SIANG</t>
  </si>
  <si>
    <t>FADLURROHMAN ASSHIDDIQI</t>
  </si>
  <si>
    <t>ADA KELAS</t>
  </si>
  <si>
    <t>PASIEN BILANG NANTI DI CHAT</t>
  </si>
  <si>
    <t>DISARANKAN SELASA/RABU LAGI</t>
  </si>
  <si>
    <t>DISARANKAN SENIN LAGI</t>
  </si>
  <si>
    <t>PASIEN REQ MINGGU JAM 10.00</t>
  </si>
  <si>
    <t>PASIEN REQ SELASA JAM 20.00</t>
  </si>
  <si>
    <t>SUKAWATI EFFENDY</t>
  </si>
  <si>
    <t>LUCIA HIDAYAT</t>
  </si>
  <si>
    <t>SITI HALIMAH</t>
  </si>
  <si>
    <t>ALFA GILBERD</t>
  </si>
  <si>
    <t>NOVIANTO</t>
  </si>
  <si>
    <t>ASTISZA SYAHLA LUDMILLA PARABI</t>
  </si>
  <si>
    <t>JO MIAUW MUI</t>
  </si>
  <si>
    <t>ABDURROHMAN AL FIKRI</t>
  </si>
  <si>
    <t>SANTUN TOGATOROP</t>
  </si>
  <si>
    <t>MAULIDIA AKHIR</t>
  </si>
  <si>
    <t>ALIONG</t>
  </si>
  <si>
    <t>LISNA WARDATI</t>
  </si>
  <si>
    <t>AINIYATUL FITRIYAH</t>
  </si>
  <si>
    <t>BRAMA DARUSSALAM JATMIKO</t>
  </si>
  <si>
    <t>PINDAH HARI</t>
  </si>
  <si>
    <t>KHOU AI KHENG</t>
  </si>
  <si>
    <t>NURJANAH</t>
  </si>
  <si>
    <t>EVAL/ CANCEL</t>
  </si>
  <si>
    <t>MUHAMMAD FIRMAN SAPUTRA</t>
  </si>
  <si>
    <t>GUSTI MURI IRFAN</t>
  </si>
  <si>
    <t>NURHASANA</t>
  </si>
  <si>
    <t>MIA HARTE</t>
  </si>
  <si>
    <t>MIA</t>
  </si>
  <si>
    <t>SULAIMAN 6407</t>
  </si>
  <si>
    <t>MISSRIWATI</t>
  </si>
  <si>
    <t>GIRY XAVIRA PUTRI</t>
  </si>
  <si>
    <t>MASIH RAPAT</t>
  </si>
  <si>
    <t>MAWRICE CHUARESMO MARTIN</t>
  </si>
  <si>
    <t>ERVINAWATI KUSUMA</t>
  </si>
  <si>
    <t>KE KUCHING</t>
  </si>
  <si>
    <t>RINA TJENDERA</t>
  </si>
  <si>
    <t>LUAR KOTA</t>
  </si>
  <si>
    <t>DJAUW KHIE TJIN</t>
  </si>
  <si>
    <t>BARTOLOMEUS LAUDY GALIH ARTO</t>
  </si>
  <si>
    <t>ARYA KUSUMA RAMADAN</t>
  </si>
  <si>
    <t>SUGIANTO WIJAYA</t>
  </si>
  <si>
    <t>MENDADAK KELUAR KOTA</t>
  </si>
  <si>
    <t>MUHAMMAD TAUFIK</t>
  </si>
  <si>
    <t>LANJUT SABTU</t>
  </si>
  <si>
    <t>KALYCA ANDANIA</t>
  </si>
  <si>
    <t>SUKARNI</t>
  </si>
  <si>
    <t>KELUAR KOTA</t>
  </si>
  <si>
    <t>SALAH INGAT JADWAL</t>
  </si>
  <si>
    <t>PASIEN REQ BESOK (SABTU)</t>
  </si>
  <si>
    <t>PEMBAYARAN NON TUNAI</t>
  </si>
  <si>
    <t>BOLEH JUMAT DEPAN LAGI</t>
  </si>
  <si>
    <t>HESTI SARANKAN MINGGU/SENIN</t>
  </si>
  <si>
    <t>PASIEN REQ HARI MINGGU</t>
  </si>
  <si>
    <t>BISANYA SETELAH HARI SENIN</t>
  </si>
  <si>
    <t>BESOK LAGI (SETIAP HARI)</t>
  </si>
  <si>
    <t>MARIYAMINA RUPINA</t>
  </si>
  <si>
    <t>CAMELIA DESNIGO</t>
  </si>
  <si>
    <t>DANY SUWARNO</t>
  </si>
  <si>
    <t>FATIMA</t>
  </si>
  <si>
    <t>ELO SINAGA</t>
  </si>
  <si>
    <t>PELUNASAN 50K/ GANTI SELASA</t>
  </si>
  <si>
    <t>ELY</t>
  </si>
  <si>
    <t>HUWAIDAH THIFAL NAURAH</t>
  </si>
  <si>
    <t>ELLA FITRIA</t>
  </si>
  <si>
    <t>ADA KERJAAN MENDADAK</t>
  </si>
  <si>
    <t>TIURLAN RANIA SITOMPUL</t>
  </si>
  <si>
    <t>GAK JADI</t>
  </si>
  <si>
    <t>SUMIATI</t>
  </si>
  <si>
    <t>MUHAMMAD REVANDRA</t>
  </si>
  <si>
    <t>TDK ADA YG ANTAR</t>
  </si>
  <si>
    <t>EVAL/GANTI SELASA</t>
  </si>
  <si>
    <t>REI KHALFANI</t>
  </si>
  <si>
    <t>GANTI HARI LAIN</t>
  </si>
  <si>
    <t>ADA KEGIATAN SEKOLAH, NEXT SABTU</t>
  </si>
  <si>
    <t>WARRIN WIJAYA</t>
  </si>
  <si>
    <t>TAGIH PAKET BARU/ GANTI BESOK</t>
  </si>
  <si>
    <t>SEBASTIAN</t>
  </si>
  <si>
    <t>TAN TJHUN TIE ALS ROBERT</t>
  </si>
  <si>
    <t>DIRAWAT RUMAH SAKIT</t>
  </si>
  <si>
    <t>PUSING</t>
  </si>
  <si>
    <t>SRI HERYANTI</t>
  </si>
  <si>
    <t>MARTIN</t>
  </si>
  <si>
    <t>CANDY WIBOWO</t>
  </si>
  <si>
    <t>ADA KEGIATAN SEKOLAH</t>
  </si>
  <si>
    <t>SUSANTI</t>
  </si>
  <si>
    <t>SAITA</t>
  </si>
  <si>
    <t>ENDIH SUPANDIH</t>
  </si>
  <si>
    <t>GANTI JADWAL</t>
  </si>
  <si>
    <t>SALLY ISKANDAR TAN</t>
  </si>
  <si>
    <t>GILANG RIDHO ANANDA</t>
  </si>
  <si>
    <t>AULIA</t>
  </si>
  <si>
    <t>ZULKIFLI HASANUDDIN</t>
  </si>
  <si>
    <t>ELLISA RASIMIN</t>
  </si>
  <si>
    <t>ADA ACARA</t>
  </si>
  <si>
    <t>FISIONYA SAKIT</t>
  </si>
  <si>
    <t>MATI LAMPU</t>
  </si>
  <si>
    <t>GANTI SABTU</t>
  </si>
  <si>
    <t>MEDIANA SULISTIAWATI</t>
  </si>
  <si>
    <t>ANDRI WIJAYA KUSUMA</t>
  </si>
  <si>
    <t>PEMBAYRAN NON TUNAI</t>
  </si>
  <si>
    <t>M IQBAL</t>
  </si>
  <si>
    <t>KAMIS LAGI</t>
  </si>
  <si>
    <t>OWEN LOWIRA</t>
  </si>
  <si>
    <t>NAJWA NUR AZWINA</t>
  </si>
  <si>
    <t>SYARIF ZULFAN ADHA</t>
  </si>
  <si>
    <t>RD RHAFLI HASSAN BISRI</t>
  </si>
  <si>
    <t>MINARWATY</t>
  </si>
  <si>
    <t>AZMI 8804</t>
  </si>
  <si>
    <t>STEVANI</t>
  </si>
  <si>
    <t>MASIH ADA KERJAAN</t>
  </si>
  <si>
    <t>RINI SATMAWATI</t>
  </si>
  <si>
    <t>GAK TEKEJAR</t>
  </si>
  <si>
    <t>IJIN RESCEDULE</t>
  </si>
  <si>
    <t>HANY JULIANI</t>
  </si>
  <si>
    <t>RAHDIAN EDISON</t>
  </si>
  <si>
    <t>RATNAWITA</t>
  </si>
  <si>
    <t>NURHAYATI 6206</t>
  </si>
  <si>
    <t>ANDI DE</t>
  </si>
  <si>
    <t>HUMAIRA NOVRIYATI</t>
  </si>
  <si>
    <t>ADA KERJAAN YG GAK BISA DI TINGGAL</t>
  </si>
  <si>
    <t>SUPOMO</t>
  </si>
  <si>
    <t>AKIAN</t>
  </si>
  <si>
    <t>EVAL/ TDK ADA KONFIRMASI</t>
  </si>
  <si>
    <t>PETRUS</t>
  </si>
  <si>
    <t>AULI FATHIA PUTRIATI S.FARM, APT</t>
  </si>
  <si>
    <t>ESCHEDULE KAMIS</t>
  </si>
  <si>
    <t>YESI VERDIANTI</t>
  </si>
  <si>
    <t>IDRIS</t>
  </si>
  <si>
    <t>IRIYANI</t>
  </si>
  <si>
    <t>CHRISTIAN WIDIYANTO</t>
  </si>
  <si>
    <t>HABISKAN PAKET LAMA</t>
  </si>
  <si>
    <t>CHIKI AMARA SYAHLITHA</t>
  </si>
  <si>
    <t>RESCEDHULE SABTU</t>
  </si>
  <si>
    <t>ELMON UTOMO</t>
  </si>
  <si>
    <t>MENTARI RACHMANIAZ RIZKI</t>
  </si>
  <si>
    <t>JASON VALENCIUS</t>
  </si>
  <si>
    <t>MASKADARNI</t>
  </si>
  <si>
    <t>MUHAMMAD DEVA ERLANGGA</t>
  </si>
  <si>
    <t>SYARIF RAIHAN RAFISKI</t>
  </si>
  <si>
    <t>ADA LATIHAN</t>
  </si>
  <si>
    <t>PEMBAYRAAN PAKET BARU/ NON TUNAI</t>
  </si>
  <si>
    <t>KATANYA SESI/ PEMBAYARAN TUNAI</t>
  </si>
  <si>
    <t>SETIO BONO SAPUTRO</t>
  </si>
  <si>
    <t>KATANYA PAKET/ PEMBAYARAN TUNAI</t>
  </si>
  <si>
    <t>WISNU</t>
  </si>
  <si>
    <t>HABIS MASSAGE</t>
  </si>
  <si>
    <t>GAK ENAK BADAN</t>
  </si>
  <si>
    <t>BERHALANGAN  HADIR</t>
  </si>
  <si>
    <t>HABISKAN PAKET LAMA/ ADA KAWINAN KELUARGA</t>
  </si>
  <si>
    <t>TENGKU PUTRI DEVANTY</t>
  </si>
  <si>
    <t>RESCHEDULE MINGGU DEPAN</t>
  </si>
  <si>
    <t>FACHRUL APRIAN</t>
  </si>
  <si>
    <t>SISKA DAMASTUTI</t>
  </si>
  <si>
    <t>JOVAN EDUARDO LO</t>
  </si>
  <si>
    <t>DELA MASTIKA</t>
  </si>
  <si>
    <t>EMA KULATA</t>
  </si>
  <si>
    <t>ACARA KELUARGA</t>
  </si>
  <si>
    <t>TIDAK ADA KETERANGAN</t>
  </si>
  <si>
    <t>DARA RANTI PURBASAR</t>
  </si>
  <si>
    <t>VIVIYANTI</t>
  </si>
  <si>
    <t>JULIANA</t>
  </si>
  <si>
    <t>EVAL/GANTI BESOK</t>
  </si>
  <si>
    <t>ZULFAHMI EKI FINALDA</t>
  </si>
  <si>
    <t>BENHUR SITUMORANG</t>
  </si>
  <si>
    <t>RENA</t>
  </si>
  <si>
    <t>FEODORA</t>
  </si>
  <si>
    <t>IQLIMA ZAHRA</t>
  </si>
  <si>
    <t>BAGAS BIMANTORO HARYONO</t>
  </si>
  <si>
    <t>HENGKI AFRIANUS</t>
  </si>
  <si>
    <t>ANDY</t>
  </si>
  <si>
    <t>ADA PEKERJAAN</t>
  </si>
  <si>
    <t>KHIM FAT</t>
  </si>
  <si>
    <t>PASIEN HBS TA LNJUTAN DR SKW</t>
  </si>
  <si>
    <t>LILI SUHANA</t>
  </si>
  <si>
    <t>ALYSSA SALSABILLA</t>
  </si>
  <si>
    <t>OSKAR FEBRIANO HASITTO</t>
  </si>
  <si>
    <t>15.30</t>
  </si>
  <si>
    <t>OFF 1 MINGGU, PASIEN MAU KE SINGAPUR</t>
  </si>
  <si>
    <t>16.30/ NON TUNAI</t>
  </si>
  <si>
    <t>DANRU</t>
  </si>
  <si>
    <t>VERDICO ARIEF</t>
  </si>
  <si>
    <t>SENIN/SELASA TERGANTUNG PASIEN</t>
  </si>
  <si>
    <t>SOLIHIN AGUS</t>
  </si>
  <si>
    <t>PASIEN REQ SELASA LAGI SAMA DANI. KALAU FULL MAU SAMA ORY</t>
  </si>
  <si>
    <t>PINDAH SABTU</t>
  </si>
  <si>
    <t>ADA TUGAS SINGKWANG</t>
  </si>
  <si>
    <t>YULIA WIDIANARTI</t>
  </si>
  <si>
    <t>DEVKY DERMAWANSYAH</t>
  </si>
  <si>
    <t>REZA</t>
  </si>
  <si>
    <t>VERTY SARI PUSPARINI</t>
  </si>
  <si>
    <t>ALPAWI</t>
  </si>
  <si>
    <t>UBAH JADWAL</t>
  </si>
  <si>
    <t>DI RESCHEDULE</t>
  </si>
  <si>
    <t>ANSELMUS RINALDHY, SE.,MM</t>
  </si>
  <si>
    <t>ALKHAWARISMA</t>
  </si>
  <si>
    <t>EVAL/ ADA ACARA</t>
  </si>
  <si>
    <t>WARI WALINGGA</t>
  </si>
  <si>
    <t>RITA MUSTARI</t>
  </si>
  <si>
    <t>RESCEDULEBESOK</t>
  </si>
  <si>
    <t>YULIANA SST</t>
  </si>
  <si>
    <t>BAYU AGIL SAMPURNO</t>
  </si>
  <si>
    <t>KEL PANGKAL PAHA</t>
  </si>
  <si>
    <t>NOLLIE NOVELLA TANAJO</t>
  </si>
  <si>
    <t>SING SING</t>
  </si>
  <si>
    <t>EVELINE PARAMITHA LORINDA</t>
  </si>
  <si>
    <t>MILLAH AULIYA</t>
  </si>
  <si>
    <t>PASIEN TELAT GANTI BESOK</t>
  </si>
  <si>
    <t>APRILLIA SUSANTI</t>
  </si>
  <si>
    <t>WISNU WARDANA</t>
  </si>
  <si>
    <t>TDK SEMPAT</t>
  </si>
  <si>
    <t>HENGKI KURNIAWAN</t>
  </si>
  <si>
    <t>WIWIN WAHYUNINGSIH</t>
  </si>
  <si>
    <t>TDK BS DTG</t>
  </si>
  <si>
    <t>CHINTIA OKTAVIANY</t>
  </si>
  <si>
    <t>12.00</t>
  </si>
  <si>
    <t>FIRMAN HIDAYAT</t>
  </si>
  <si>
    <t>ANDYKA FILANI</t>
  </si>
  <si>
    <t>SUYADI, A.MA. PD</t>
  </si>
  <si>
    <t>ADA ULANGAN</t>
  </si>
  <si>
    <t>RICO OSCARIO</t>
  </si>
  <si>
    <t>YATMI</t>
  </si>
  <si>
    <t>ULANGAN</t>
  </si>
  <si>
    <t>SOFIA PHUA</t>
  </si>
  <si>
    <t>DARMADI</t>
  </si>
  <si>
    <t>MEETING</t>
  </si>
  <si>
    <t>ROHANI</t>
  </si>
  <si>
    <t>TRI SUTRISNO</t>
  </si>
  <si>
    <t>HANAPI</t>
  </si>
  <si>
    <t>MISLANA</t>
  </si>
  <si>
    <t>LILI URIANTO</t>
  </si>
  <si>
    <t>ASMA KAMBUH</t>
  </si>
  <si>
    <t>KESEKOLAH</t>
  </si>
  <si>
    <t>DESA AYU NATALIA</t>
  </si>
  <si>
    <t>MAU AMBIL PAKET 1, TUNAI</t>
  </si>
  <si>
    <t>TEGUH ADI PEASETYO</t>
  </si>
  <si>
    <t>16.30/ PEMBAYARAN NON TUNAI</t>
  </si>
  <si>
    <t>PASIEN REQ MINGGU</t>
  </si>
  <si>
    <t>jadwal by wa</t>
  </si>
  <si>
    <t>SITI ALHUSNA NURUL AGUSTIN</t>
  </si>
  <si>
    <t>GAK BISA DTG</t>
  </si>
  <si>
    <t>OKAN</t>
  </si>
  <si>
    <t>INDRA JAYA AK MSI</t>
  </si>
  <si>
    <t>FARREL</t>
  </si>
  <si>
    <t>KETIRUDAN</t>
  </si>
  <si>
    <t>URAY SHIEDQIE</t>
  </si>
  <si>
    <t>ROSNIAR</t>
  </si>
  <si>
    <t>VIVIANTY</t>
  </si>
  <si>
    <t>BANU AJI NUGROHO</t>
  </si>
  <si>
    <t>MUHAMMAD FARIDH DIYAPRATAMA</t>
  </si>
  <si>
    <t>RACHMI WULAN</t>
  </si>
  <si>
    <t>LILI MANGKULIONO</t>
  </si>
  <si>
    <t>TUNDA DULU</t>
  </si>
  <si>
    <t>NUNGGU FISIO DESTY/ SELASA LAGI</t>
  </si>
  <si>
    <t>ADAM DAMIRI</t>
  </si>
  <si>
    <t>KRIS YOGI DWI PUTRA SIBARANI</t>
  </si>
  <si>
    <t>GRACIA SHERLYTTA VALENSIA</t>
  </si>
  <si>
    <t>ANGELINE OLIVIA</t>
  </si>
  <si>
    <t>NUZUL NURWAHYUDDIN</t>
  </si>
  <si>
    <t>BANJIR</t>
  </si>
  <si>
    <t>ADA KENDALA</t>
  </si>
  <si>
    <t>PINDAH SORE</t>
  </si>
  <si>
    <t>EVANIA</t>
  </si>
  <si>
    <t>HARMI CAHYANI</t>
  </si>
  <si>
    <t>MAU KE THT DULU</t>
  </si>
  <si>
    <t>RESCHEDULE BESOK</t>
  </si>
  <si>
    <t>KENNETH CARMEN</t>
  </si>
  <si>
    <t>WACHYU WIDAYAT</t>
  </si>
  <si>
    <t>ANDIKA HERMAWAN</t>
  </si>
  <si>
    <t>MENDADAK PULANG KAMPUNG</t>
  </si>
  <si>
    <t>GIOVANNI NASTASIO PARURERA</t>
  </si>
  <si>
    <t>SUMITO WICAKSONO SIM</t>
  </si>
  <si>
    <t>GAK BISA TERAPI</t>
  </si>
  <si>
    <t>AGUS HARYONO</t>
  </si>
  <si>
    <t>RATNA DEWI</t>
  </si>
  <si>
    <t>ASEP SETIAWAN</t>
  </si>
  <si>
    <t>DARREN LOWIRA</t>
  </si>
  <si>
    <t>LIAU TJONG POEN ALS YULIANA</t>
  </si>
  <si>
    <t>YAYA MAULIDIA</t>
  </si>
  <si>
    <t>LIE KIM FA/KESUMAJADI</t>
  </si>
  <si>
    <t>ANGELIA IVANA</t>
  </si>
  <si>
    <t>FERY</t>
  </si>
  <si>
    <t>SESI/</t>
  </si>
  <si>
    <t>16.30/ KATANYA MAU SESI/  PEMBAYARAN TUNAI</t>
  </si>
  <si>
    <t>WIEKE VERASTUTI</t>
  </si>
  <si>
    <t>DWI BARI LUTHFIANUR</t>
  </si>
  <si>
    <t>MAU KE SKW</t>
  </si>
  <si>
    <t>RESYA NOVADITYA</t>
  </si>
  <si>
    <t>SARWATI</t>
  </si>
  <si>
    <t>EVAL/ MAU KE DOKTER</t>
  </si>
  <si>
    <t>NURMIATY SALMAH</t>
  </si>
  <si>
    <t>CINTHYA TANJAYA</t>
  </si>
  <si>
    <t>DWI FITRIANINGSIH</t>
  </si>
  <si>
    <t>NIKO BARKAH DAME PUTRA SIREGAR</t>
  </si>
  <si>
    <t>LUAR DAERAH BEKERJA</t>
  </si>
  <si>
    <t>MUHAMMAD ZUHRI</t>
  </si>
  <si>
    <t>KAKI KESANDUNG</t>
  </si>
  <si>
    <t>JERI SUPRTIADI</t>
  </si>
  <si>
    <t>JAMALUDIN MAULANA</t>
  </si>
  <si>
    <t>ANGEL OLIVIA</t>
  </si>
  <si>
    <t>DRA. HJ. SRI MULYANI</t>
  </si>
  <si>
    <t>ANDRI DOS SANTOS</t>
  </si>
  <si>
    <t>GALIH HANDAYANI</t>
  </si>
  <si>
    <t>SYARIF HANIF RAMADHAN</t>
  </si>
  <si>
    <t>FARIDA HASTUTI</t>
  </si>
  <si>
    <t>RAFI AHMADY</t>
  </si>
  <si>
    <t>ELLEN ARINDA PRATIWI</t>
  </si>
  <si>
    <t>ANDREAN CAHYONO</t>
  </si>
  <si>
    <t>ADA KEGIATAN KANTOR</t>
  </si>
  <si>
    <t>RENDI</t>
  </si>
  <si>
    <t>KATANYA MAU SESI</t>
  </si>
  <si>
    <t>MAU ANTAR ANAK VAKSIN</t>
  </si>
  <si>
    <t>JAINAL</t>
  </si>
  <si>
    <t>BAPAK KAK IRMA</t>
  </si>
  <si>
    <t>DEYA NATHASYA RAHMADANY</t>
  </si>
  <si>
    <t>SUDAH BAYAR</t>
  </si>
  <si>
    <t>ANGGER CHESTA HIDAYAT</t>
  </si>
  <si>
    <t>TIDAK INFO</t>
  </si>
  <si>
    <t>GANTI MALAM</t>
  </si>
  <si>
    <t>DECKY TRIONO</t>
  </si>
  <si>
    <t>SYARIF SUHERMAN</t>
  </si>
  <si>
    <t>PAKET LAMA</t>
  </si>
  <si>
    <t>TDK AD AKONFIRMASI</t>
  </si>
  <si>
    <t>JULIANA DELVINA SARI</t>
  </si>
  <si>
    <t>MAU PINDAH JADWAL PAGI</t>
  </si>
  <si>
    <t>PINDAH JUMAT</t>
  </si>
  <si>
    <t>DICKY KUSUMA SAKTI</t>
  </si>
  <si>
    <t>16.30/ PEMBAYRAN NON TUNAI</t>
  </si>
  <si>
    <t>DISARANKAN SENIN</t>
  </si>
  <si>
    <t>MAU PULANG SKW DULU. LANJUT AKHIR JANUARI</t>
  </si>
  <si>
    <t>AKHDAN NAUFAL</t>
  </si>
  <si>
    <t>MASIH LIBURAN</t>
  </si>
  <si>
    <t>ARISYA AHZA NAURA</t>
  </si>
  <si>
    <t>SOEPARTO</t>
  </si>
  <si>
    <t>JUN FONG</t>
  </si>
  <si>
    <t>STEVEN HARYANTO</t>
  </si>
  <si>
    <t>LIE SOI TJU</t>
  </si>
  <si>
    <t>PINDAH MALAM</t>
  </si>
  <si>
    <t>KASTI</t>
  </si>
  <si>
    <t>CITRA PURNAMA SARI</t>
  </si>
  <si>
    <t>MM NYA GAK ENAK BADAN</t>
  </si>
  <si>
    <t>NIKI TRIYANDI</t>
  </si>
  <si>
    <t>THJANG TAT LIM</t>
  </si>
  <si>
    <t>CANCEL DULU</t>
  </si>
  <si>
    <t>ANGELICA</t>
  </si>
  <si>
    <t>VERGI ARKADYA</t>
  </si>
  <si>
    <t>BEDJO RAHARDJO</t>
  </si>
  <si>
    <t>YOSTRYAN CHENATA</t>
  </si>
  <si>
    <t>EMYLIA</t>
  </si>
  <si>
    <t>HENDRI WIJAYA</t>
  </si>
  <si>
    <t>PASIEN LANJUTAN DARI SKW</t>
  </si>
  <si>
    <t>PAKET BARU/BARU PULANG LATIHAN</t>
  </si>
  <si>
    <t>RANDA ARZA SAPUTRA</t>
  </si>
  <si>
    <t>EVAL/ PINDAH KAMIS</t>
  </si>
  <si>
    <t>PINDAH JAM 20.00</t>
  </si>
  <si>
    <t>PHE BAK SONG</t>
  </si>
  <si>
    <t>BONG SONG TMN SUKIMAN</t>
  </si>
  <si>
    <t>KAKI BENGKAK GAK BISA JALAN</t>
  </si>
  <si>
    <t>LIMINA DJUITA LIMAS</t>
  </si>
  <si>
    <t>TDK JADI</t>
  </si>
  <si>
    <t>RAMOTI PUTRA MANALU</t>
  </si>
  <si>
    <t>NITTA ROLLITA</t>
  </si>
  <si>
    <t>ENDAH SEPTIANINGSIH</t>
  </si>
  <si>
    <t>LANGSUNG AMBIL PAKET. REQ SABTU JAM 9</t>
  </si>
  <si>
    <t>MAU LANJUT</t>
  </si>
  <si>
    <t>EVAL/ GANTU BESOK</t>
  </si>
  <si>
    <t>DONNY TRI PUJIANTO</t>
  </si>
  <si>
    <t>SUWANDI 7609</t>
  </si>
  <si>
    <t>LUPA GANTI BESOK</t>
  </si>
  <si>
    <t>WAHONO</t>
  </si>
  <si>
    <t>HUJAN LEBAT</t>
  </si>
  <si>
    <t>DRSHENDRA SALIM</t>
  </si>
  <si>
    <t>RIZKI RAMADHANI</t>
  </si>
  <si>
    <t>RIZKADEA BELIANTO</t>
  </si>
  <si>
    <t>SURYANA</t>
  </si>
  <si>
    <t xml:space="preserve">ISNINDAR </t>
  </si>
  <si>
    <t xml:space="preserve">SUHERMAN </t>
  </si>
  <si>
    <t>RIDHO TOBING</t>
  </si>
  <si>
    <t>KESIANGAN BANGUN</t>
  </si>
  <si>
    <t>ROHAYATI</t>
  </si>
  <si>
    <t xml:space="preserve">HENDRI WIJAYA </t>
  </si>
  <si>
    <t>ASNAH</t>
  </si>
  <si>
    <t>MENDADAK ADA JADWAL LAIN</t>
  </si>
  <si>
    <t>PUTRI RESTU AWALIYAH</t>
  </si>
  <si>
    <t>TANPA KETERANGAN</t>
  </si>
  <si>
    <t>NORIZAN</t>
  </si>
  <si>
    <t>EDY DARMAWAN</t>
  </si>
  <si>
    <t>IVAN TANSARITO</t>
  </si>
  <si>
    <t>TIDAK ADA KONFIRMASI</t>
  </si>
  <si>
    <t>YANTI LIM</t>
  </si>
  <si>
    <t>RICKY THERISNO</t>
  </si>
  <si>
    <t>CHRISTINA</t>
  </si>
  <si>
    <t>PIPO</t>
  </si>
  <si>
    <t>TJONG LIE TJHIUN ALS SUKIMAN</t>
  </si>
  <si>
    <t>NAOMI APRILIA SIMANULLANG</t>
  </si>
  <si>
    <t>MUDIONO HARYANTO</t>
  </si>
  <si>
    <t>GAK ADA YG ANTAR</t>
  </si>
  <si>
    <t>JOKEND ZAPOTA PUTRA</t>
  </si>
  <si>
    <t>FIERLY ALYA KINANTI</t>
  </si>
  <si>
    <t>KATEGORI USIA</t>
  </si>
  <si>
    <t>DIAGNOSA</t>
  </si>
  <si>
    <t>REGIO</t>
  </si>
  <si>
    <t>STATUS</t>
  </si>
  <si>
    <t>Column 1</t>
  </si>
  <si>
    <t>LAYANAN TERAKHIR</t>
  </si>
  <si>
    <t>CLOSING</t>
  </si>
  <si>
    <t>DELILA</t>
  </si>
  <si>
    <t>LUMBAR STRAIN</t>
  </si>
  <si>
    <t>LOWER BACK</t>
  </si>
  <si>
    <t>SESI</t>
  </si>
  <si>
    <t>MUSCLE IMBALANCE</t>
  </si>
  <si>
    <t>THIGH</t>
  </si>
  <si>
    <t>PAKET</t>
  </si>
  <si>
    <t>NANTI WA</t>
  </si>
  <si>
    <t>ANKLE SPRAIN</t>
  </si>
  <si>
    <t>ANKLE</t>
  </si>
  <si>
    <t>TIDAK CLOSING</t>
  </si>
  <si>
    <t>BELUM ADA JADWAL COCOK</t>
  </si>
  <si>
    <t>KNEE</t>
  </si>
  <si>
    <t>DOMISILI LUAR</t>
  </si>
  <si>
    <t>SHOULDER INSTABILITY</t>
  </si>
  <si>
    <t>SHOULDER</t>
  </si>
  <si>
    <t>MAU LIAT KONDISI DULU</t>
  </si>
  <si>
    <t xml:space="preserve">RAHMAD PUNGKI WALUYO </t>
  </si>
  <si>
    <t>ACL INJURY</t>
  </si>
  <si>
    <t>SHOULDER IMPINGEMENT</t>
  </si>
  <si>
    <t>AVULSION FRACTURE</t>
  </si>
  <si>
    <t>HIP/PELVIC</t>
  </si>
  <si>
    <t xml:space="preserve">AMARA PUTRI NAZARISKA </t>
  </si>
  <si>
    <t>SCOLIOSIS</t>
  </si>
  <si>
    <t>SPINE</t>
  </si>
  <si>
    <t>PLANTAR FASCIITIS</t>
  </si>
  <si>
    <t>UPPER TRAPEZIUS SYNDROME</t>
  </si>
  <si>
    <t>NECK</t>
  </si>
  <si>
    <t xml:space="preserve">BIBI NAIZA </t>
  </si>
  <si>
    <t>PIRIFORMIS SYNDROME</t>
  </si>
  <si>
    <t>MENISCUS INJURY</t>
  </si>
  <si>
    <t>MUHAMMAD AMSYARUL FIKRI</t>
  </si>
  <si>
    <t>BICEPS STRAIN</t>
  </si>
  <si>
    <t>UPPER ARM</t>
  </si>
  <si>
    <t>TENDINITIS BICIPITALIS</t>
  </si>
  <si>
    <t>RESTU WAHYUNI</t>
  </si>
  <si>
    <t>SUPARNO</t>
  </si>
  <si>
    <t>NECK STRAIN</t>
  </si>
  <si>
    <t>FOOT</t>
  </si>
  <si>
    <t>COCCALGIA</t>
  </si>
  <si>
    <t>MAU KELUAR KOTA</t>
  </si>
  <si>
    <t>METACARPAL FRACTURE</t>
  </si>
  <si>
    <t>WRIST</t>
  </si>
  <si>
    <t>UMI KHOLIFAH</t>
  </si>
  <si>
    <t>SCAPULAR WINGING</t>
  </si>
  <si>
    <t>UPPER BACK</t>
  </si>
  <si>
    <t xml:space="preserve">ROSKIAMY </t>
  </si>
  <si>
    <t>POSTURAL DYSFUNCTION</t>
  </si>
  <si>
    <t>MUHAMMAD ALIWA PASHYA</t>
  </si>
  <si>
    <t>nanti info</t>
  </si>
  <si>
    <t>LCL INJURY</t>
  </si>
  <si>
    <t xml:space="preserve">SIGI WIRAPUTRA </t>
  </si>
  <si>
    <t>OVERUSE MUSCLE</t>
  </si>
  <si>
    <t>CUMA PEGAL2 AJA</t>
  </si>
  <si>
    <t>RETROCALCANEAL BURSITIS</t>
  </si>
  <si>
    <t>WRIST SPRAIN</t>
  </si>
  <si>
    <t>CALCANEUS SPUR</t>
  </si>
  <si>
    <t>HEMIPARESE</t>
  </si>
  <si>
    <t>CNS</t>
  </si>
  <si>
    <t>WRIST EXTENSOR STRAIN</t>
  </si>
  <si>
    <t xml:space="preserve">FITRI ANGGRAINI </t>
  </si>
  <si>
    <t>RHOMBOID STRAIN</t>
  </si>
  <si>
    <t>CUKUP TA DULU</t>
  </si>
  <si>
    <t>J9425106812</t>
  </si>
  <si>
    <t>LAKI-LAKI</t>
  </si>
  <si>
    <t>25-34 tahun</t>
  </si>
  <si>
    <t>WIRASWASTA</t>
  </si>
  <si>
    <t>PELATAR</t>
  </si>
  <si>
    <t xml:space="preserve">NANI ERNIEYATI </t>
  </si>
  <si>
    <t xml:space="preserve">HJ. NURDESWATI SH </t>
  </si>
  <si>
    <t>SACROILIAC JOINT SYNDROME</t>
  </si>
  <si>
    <t xml:space="preserve">GREGORIUS TACCHINARDI </t>
  </si>
  <si>
    <t>ANKLE IMPINGEMENT</t>
  </si>
  <si>
    <t xml:space="preserve">FATIH HAWWARI </t>
  </si>
  <si>
    <t>KNEE DISLOCATION</t>
  </si>
  <si>
    <t>THORACIC OUTLET SYNDROME</t>
  </si>
  <si>
    <t>CHONDROMALACIA PATELLA</t>
  </si>
  <si>
    <t xml:space="preserve">HADIJAH </t>
  </si>
  <si>
    <t>KNEE OSTEOARTHRITIS</t>
  </si>
  <si>
    <t>ROKIDI</t>
  </si>
  <si>
    <t>DIREK BK</t>
  </si>
  <si>
    <t>MAU COCOKAN JADWAL DULU</t>
  </si>
  <si>
    <t>TENNIS ELBOW</t>
  </si>
  <si>
    <t>ELBOW</t>
  </si>
  <si>
    <t>TFCC INJURY</t>
  </si>
  <si>
    <t>ITB SYNDROME</t>
  </si>
  <si>
    <t>ACL &amp; MENISCUS INJURY</t>
  </si>
  <si>
    <t>METATARSALGIA</t>
  </si>
  <si>
    <t>NANTI INFOKAN JADWALNYA KARENA SIBUK</t>
  </si>
  <si>
    <t xml:space="preserve">KRISTIANI </t>
  </si>
  <si>
    <t>ANKLE STRAIN</t>
  </si>
  <si>
    <t>SESUAI JADWAL DULU</t>
  </si>
  <si>
    <t>RENCANA AMBIL PAKET</t>
  </si>
  <si>
    <t>PHYSICAL CHECK UP</t>
  </si>
  <si>
    <t>SHAFIRA ANNISA</t>
  </si>
  <si>
    <t>POST ORIF ANKLE</t>
  </si>
  <si>
    <t>NANTI AJA</t>
  </si>
  <si>
    <t xml:space="preserve">AQILA AFIFAH OCTAFRIYANA </t>
  </si>
  <si>
    <t xml:space="preserve">MIFTAHUL BAROKY </t>
  </si>
  <si>
    <t>ACL &amp; MCL INJURY</t>
  </si>
  <si>
    <t>MAU MENYESUAIKAN JADWAL TARKAM</t>
  </si>
  <si>
    <t>MAU BALIK KE KETAPANG DULU</t>
  </si>
  <si>
    <t>FACET JOINT SYNDROME</t>
  </si>
  <si>
    <t>CARPAL TUNNEL SYNDROME</t>
  </si>
  <si>
    <t>TRAUMATIC INJURY</t>
  </si>
  <si>
    <t>TRENDELENBURG GAIT</t>
  </si>
  <si>
    <t>FORWAD HEAD POSTURE</t>
  </si>
  <si>
    <t>HEAD</t>
  </si>
  <si>
    <t xml:space="preserve">M. ARSYAD </t>
  </si>
  <si>
    <t>KATANYA MAU AMBIL PAKET</t>
  </si>
  <si>
    <t>MAU PLG KAMPUNG</t>
  </si>
  <si>
    <t>ANKLE INSTABILITY</t>
  </si>
  <si>
    <t>GOLFER'S ELBOW</t>
  </si>
  <si>
    <t>COCOKKAN JADWAL DULU</t>
  </si>
  <si>
    <t>CERVICAL HNP</t>
  </si>
  <si>
    <t>RAJEMAH</t>
  </si>
  <si>
    <t>NANTI DULU  LIAT KONDISI</t>
  </si>
  <si>
    <t>CEK DULU AJAA</t>
  </si>
  <si>
    <t>CALF</t>
  </si>
  <si>
    <t>BIAYA</t>
  </si>
  <si>
    <t>TUKIJO</t>
  </si>
  <si>
    <t>LUMBAR HNP</t>
  </si>
  <si>
    <t>KERJA LUAR KOTA</t>
  </si>
  <si>
    <t>SHIN SPLINTS</t>
  </si>
  <si>
    <t>LIHAT PERKEMBANGAN DULU</t>
  </si>
  <si>
    <t>KATANYA MAU PAKET</t>
  </si>
  <si>
    <t>DE QUERVAIN'S SYNDROME</t>
  </si>
  <si>
    <t>RINI ADIYANTI K</t>
  </si>
  <si>
    <t>FLAT FOOT</t>
  </si>
  <si>
    <t xml:space="preserve">DWI CHRISTIANA </t>
  </si>
  <si>
    <t>PATELLOFEMORAL PAIN SYNDROME</t>
  </si>
  <si>
    <t>ROUNDED SHOULDER</t>
  </si>
  <si>
    <t>ADA PAKET LAMA</t>
  </si>
  <si>
    <t>VIONA PRICILA</t>
  </si>
  <si>
    <t>BUNION</t>
  </si>
  <si>
    <t>SIBUK</t>
  </si>
  <si>
    <t>QUADRATUS LUMBORUM STRAIN</t>
  </si>
  <si>
    <t>TRI ALFAIRUS</t>
  </si>
  <si>
    <t>MENUNGGU IZIN DARI SEKOLAH AL FITYAN</t>
  </si>
  <si>
    <t>2025</t>
  </si>
  <si>
    <t>Min</t>
  </si>
  <si>
    <t>TIM A</t>
  </si>
  <si>
    <t>M9825114498</t>
  </si>
  <si>
    <t>PEREMPUAN</t>
  </si>
  <si>
    <t>PNS</t>
  </si>
  <si>
    <t>KAKI BENGKAK SETELAH KECELAKAAN DAN BELUM BISA DIBENGKOKKAN</t>
  </si>
  <si>
    <t>HAUNAN FACHRY ROHILIE</t>
  </si>
  <si>
    <t>NANTI AJA DULU</t>
  </si>
  <si>
    <t>ACHILLES TENDINITIS</t>
  </si>
  <si>
    <t>Sen</t>
  </si>
  <si>
    <t>MASIH ADA PAKET LAMA</t>
  </si>
  <si>
    <t>TRIGGER FINGER</t>
  </si>
  <si>
    <t>HAND</t>
  </si>
  <si>
    <t>MAU CEK AJA</t>
  </si>
  <si>
    <t>GASTROCNEMIUS STRAIN</t>
  </si>
  <si>
    <t>MASIH MAU LIAT JADWAL</t>
  </si>
  <si>
    <t>Sel</t>
  </si>
  <si>
    <t>JULIA KARUNIA</t>
  </si>
  <si>
    <t>STROKE</t>
  </si>
  <si>
    <t>RAHMAT REZA FAHLEVI</t>
  </si>
  <si>
    <t>QUADRICEPS STRAIN</t>
  </si>
  <si>
    <t>HAMSTRINGS STRAIN</t>
  </si>
  <si>
    <t xml:space="preserve">KALYCA ANDANIA </t>
  </si>
  <si>
    <t>BELL'S PALSY</t>
  </si>
  <si>
    <t>ODEMA</t>
  </si>
  <si>
    <t>LEG</t>
  </si>
  <si>
    <t xml:space="preserve">ZULKIFLI HASANUDDIN </t>
  </si>
  <si>
    <t>LIHAT KONDISI DULU</t>
  </si>
  <si>
    <t>HAMSTRINGS TIGHTNESS</t>
  </si>
  <si>
    <t>INFO SENIN</t>
  </si>
  <si>
    <t xml:space="preserve">INFOKAN WA </t>
  </si>
  <si>
    <t>POPLITEAL STRAIN</t>
  </si>
  <si>
    <t>LIHAT WAKTU DULU</t>
  </si>
  <si>
    <t>NANTI INFO</t>
  </si>
  <si>
    <t xml:space="preserve">SAITA </t>
  </si>
  <si>
    <t>Rab</t>
  </si>
  <si>
    <t>PENGEN CEK DULU</t>
  </si>
  <si>
    <t xml:space="preserve">GILANG RIDHO ANANDA </t>
  </si>
  <si>
    <t>NNTI WA</t>
  </si>
  <si>
    <t>Kam</t>
  </si>
  <si>
    <t>MUSCLE WEAKNESS</t>
  </si>
  <si>
    <t>SUDAH ENAKAN</t>
  </si>
  <si>
    <t>DEEP GLUTEAL SYNDROME</t>
  </si>
  <si>
    <t>KONTROL MINGGU DEPAN (ANAK BUAH BANG COY)</t>
  </si>
  <si>
    <t>VANES ALBERT</t>
  </si>
  <si>
    <t>POST OP HEMANGIOMA</t>
  </si>
  <si>
    <t>TUNGGU KE PTK LAGI</t>
  </si>
  <si>
    <t xml:space="preserve">MUHAMMAD DHUHA KUSUMA </t>
  </si>
  <si>
    <t>M. AHZA SYAHMI ARDI</t>
  </si>
  <si>
    <t xml:space="preserve">RINI SATMAWATI </t>
  </si>
  <si>
    <t>CHRONIC ANKLE INSTABILITY</t>
  </si>
  <si>
    <t>MAU KE DOKTER DULU'</t>
  </si>
  <si>
    <t>JUSTIKA MAHAR RANI</t>
  </si>
  <si>
    <t>LOWER ARM</t>
  </si>
  <si>
    <t>CLOSSING HV</t>
  </si>
  <si>
    <t>SUBACROMIAL IMPINGEMENT SYNDROME</t>
  </si>
  <si>
    <t>HIP TRAUMATIC INJURY</t>
  </si>
  <si>
    <t>POST OP ACL</t>
  </si>
  <si>
    <t>WRIST STRAIN</t>
  </si>
  <si>
    <t>NADYA MUTMAINAH</t>
  </si>
  <si>
    <t>MUH AGUS MAULANA</t>
  </si>
  <si>
    <t>MAU CEK DULU</t>
  </si>
  <si>
    <t>HELGA MACHARA NOVIA</t>
  </si>
  <si>
    <t>FINGER SPRAIN</t>
  </si>
  <si>
    <t>PATELLAR TENDON REPAIR</t>
  </si>
  <si>
    <t>OSGOOD SCHLATTER DISEASE</t>
  </si>
  <si>
    <t xml:space="preserve">SISKA DAMASTUTI </t>
  </si>
  <si>
    <t>WILLY WIJAYA</t>
  </si>
  <si>
    <t xml:space="preserve">RIA IRAWAN </t>
  </si>
  <si>
    <t xml:space="preserve">SELVINUS ONOT </t>
  </si>
  <si>
    <t>ATUR JADWAL DULU</t>
  </si>
  <si>
    <t>PCL &amp; MENISCUS INJURY</t>
  </si>
  <si>
    <t>SUSAH JADWAL</t>
  </si>
  <si>
    <t>THUMB SPRAIN</t>
  </si>
  <si>
    <t>ankle</t>
  </si>
  <si>
    <t>JADWALKAN TAPI TIDAK DATANG</t>
  </si>
  <si>
    <t>ACL &amp; LCL INJURY</t>
  </si>
  <si>
    <t>DIMAS PRATAMA PUTRA</t>
  </si>
  <si>
    <t>SUTRISNO</t>
  </si>
  <si>
    <t>BALIK ISNTANG</t>
  </si>
  <si>
    <t xml:space="preserve">WIWIN WAHYUNINGSIH </t>
  </si>
  <si>
    <t>NEUROPATHY</t>
  </si>
  <si>
    <t xml:space="preserve">WISNU WARDANA </t>
  </si>
  <si>
    <t xml:space="preserve">MILLAH AULIYA </t>
  </si>
  <si>
    <t>CUMAN MAU CEK AJA</t>
  </si>
  <si>
    <t>JUMPER'S KNEE</t>
  </si>
  <si>
    <t>SHOULDER DISLOCATION</t>
  </si>
  <si>
    <t>CANCEL JADWAL SUDAH MERASA ENAKAN</t>
  </si>
  <si>
    <t>CANCEL JADWAL</t>
  </si>
  <si>
    <t>VERTIGO</t>
  </si>
  <si>
    <t>CANCEL JADWAL, DAN LANJUT TAHUN DEPAN</t>
  </si>
  <si>
    <t>SUPRASPINATUS SYNDROME</t>
  </si>
  <si>
    <t>PASIEN TIDAK BALAS</t>
  </si>
  <si>
    <t>VMO STRAIN</t>
  </si>
  <si>
    <t>WURAN KRISNAWATI</t>
  </si>
  <si>
    <t xml:space="preserve">FARREL </t>
  </si>
  <si>
    <t>OKAN/MAU KE SINSANG</t>
  </si>
  <si>
    <t>HIP FRACTURE</t>
  </si>
  <si>
    <t>MAU RONSEN</t>
  </si>
  <si>
    <t>NIKEN PASKALIA</t>
  </si>
  <si>
    <t xml:space="preserve">ADAM DAMIRI </t>
  </si>
  <si>
    <t>SUSANTI 7401</t>
  </si>
  <si>
    <t>GROIN PAIN</t>
  </si>
  <si>
    <t>CHEST</t>
  </si>
  <si>
    <t>MULAI TAHUN BARU</t>
  </si>
  <si>
    <t xml:space="preserve">GIOVANNI NASTASIO PARURERA </t>
  </si>
  <si>
    <t>CEK JADWAL DULU</t>
  </si>
  <si>
    <t>HYPERKYPHOSIS</t>
  </si>
  <si>
    <t>MAU NATAL</t>
  </si>
  <si>
    <t>SPONDYLOLISTHESIS</t>
  </si>
  <si>
    <t>RESCHEDULE TERUS</t>
  </si>
  <si>
    <t>DOMS</t>
  </si>
  <si>
    <t xml:space="preserve">WIEKE VERASTUTI </t>
  </si>
  <si>
    <t>REQ HARI MINGGU</t>
  </si>
  <si>
    <t>DOMISILI LUAR KOTA</t>
  </si>
  <si>
    <t>NANTI CHAT</t>
  </si>
  <si>
    <t>KALAU BISA SAYA WA</t>
  </si>
  <si>
    <t>FIBULAR FRACTURE</t>
  </si>
  <si>
    <t>RIZA SETYAWAN</t>
  </si>
  <si>
    <t>LANJUT VISIT</t>
  </si>
  <si>
    <t>SITI MAYUNI</t>
  </si>
  <si>
    <t>NANTI AJA WA</t>
  </si>
  <si>
    <t>SUDAH MAU BALIK BANDUNG NANTI ATUR LAGI</t>
  </si>
  <si>
    <t xml:space="preserve">POST OP AMPUTASI </t>
  </si>
  <si>
    <t>MUHARDI LIMAS</t>
  </si>
  <si>
    <t>LIAT KONDISI BAPAK DULU</t>
  </si>
  <si>
    <t>MAU KE SW</t>
  </si>
  <si>
    <t>SITI NURHAINI</t>
  </si>
  <si>
    <t>MAU KE DOKTER DULU</t>
  </si>
  <si>
    <t>CEK AJA</t>
  </si>
  <si>
    <t>DOMISILI MEMPAWAH</t>
  </si>
  <si>
    <t>fraktur humeri</t>
  </si>
  <si>
    <t xml:space="preserve"> </t>
  </si>
  <si>
    <t>RIZKA TRI WARDHANI</t>
  </si>
  <si>
    <t>CARI JADWAL YANG SAMA DENGAN SUKIMAN</t>
  </si>
  <si>
    <t xml:space="preserve">ROY ARFIAN </t>
  </si>
  <si>
    <t>REQ SABTU JAM 9 PAGI</t>
  </si>
  <si>
    <t>FERA HENDRY</t>
  </si>
  <si>
    <t>ISNINDAR</t>
  </si>
  <si>
    <t>RHEUMATOID ARTHRITIS</t>
  </si>
  <si>
    <t>SPONDYLOARTHROSIS</t>
  </si>
  <si>
    <t>MAU LIHAT KONDSI DULU</t>
  </si>
  <si>
    <t>MAU ATUR JADWAL DULU</t>
  </si>
  <si>
    <t>NANTI WA AJA MAU LIHAT PERKEMBANGAN</t>
  </si>
  <si>
    <t>SUDAH MAU PULANG JKT</t>
  </si>
  <si>
    <t>PEMBAYARAN</t>
  </si>
  <si>
    <t>JENIS PAKET</t>
  </si>
  <si>
    <t>MULAI PAKET</t>
  </si>
  <si>
    <t>T1</t>
  </si>
  <si>
    <t>T2</t>
  </si>
  <si>
    <t>T3</t>
  </si>
  <si>
    <t>T4</t>
  </si>
  <si>
    <t>T5</t>
  </si>
  <si>
    <t>T6</t>
  </si>
  <si>
    <t>T7</t>
  </si>
  <si>
    <t>T8</t>
  </si>
  <si>
    <t>T9</t>
  </si>
  <si>
    <t>T10</t>
  </si>
  <si>
    <t>LAST ACTIVE</t>
  </si>
  <si>
    <t>STATUS PAKET</t>
  </si>
  <si>
    <t>PAKET SELESAI</t>
  </si>
  <si>
    <t>KET. SELESAI</t>
  </si>
  <si>
    <t>TANGGAL SELESAI</t>
  </si>
  <si>
    <t>TAHUN SELESAI</t>
  </si>
  <si>
    <t>BULAN SELESAI</t>
  </si>
  <si>
    <t>HARI SELESAI</t>
  </si>
  <si>
    <t>DURASI PAKET</t>
  </si>
  <si>
    <t>LUNAS</t>
  </si>
  <si>
    <t>P1</t>
  </si>
  <si>
    <t>NEW</t>
  </si>
  <si>
    <t>OFF</t>
  </si>
  <si>
    <t>TIDAK LANJUT</t>
  </si>
  <si>
    <t xml:space="preserve">NANTI INFO </t>
  </si>
  <si>
    <t>P2</t>
  </si>
  <si>
    <t>LANJUT</t>
  </si>
  <si>
    <t>EXT.</t>
  </si>
  <si>
    <t>BALIK KAYOG</t>
  </si>
  <si>
    <t>ACHMAD RIKO JULIANSYA</t>
  </si>
  <si>
    <t>SEMBUH</t>
  </si>
  <si>
    <t>ADAM SURYA</t>
  </si>
  <si>
    <t>ON</t>
  </si>
  <si>
    <t>ADE IWAN KURNIAWAN</t>
  </si>
  <si>
    <t>ADI SETIAWAN</t>
  </si>
  <si>
    <t>MAU PULANG KAMPUNG</t>
  </si>
  <si>
    <t>ADIT FEBRIANTO</t>
  </si>
  <si>
    <t>SHODIQ</t>
  </si>
  <si>
    <t>KALAU LANJUT NANTI WA</t>
  </si>
  <si>
    <t>AGISCA MAULIDYAH PERMANA</t>
  </si>
  <si>
    <t>NADA</t>
  </si>
  <si>
    <t>AGUD GUDIYAHMAN</t>
  </si>
  <si>
    <t>BELUM KONFIRMASI</t>
  </si>
  <si>
    <t>AGUS SAPUTRA</t>
  </si>
  <si>
    <t>HESTY</t>
  </si>
  <si>
    <t>AHMAD FAHRULLAH</t>
  </si>
  <si>
    <t>AHMADINEJAD AL FIQRI</t>
  </si>
  <si>
    <t>AJENG DWI SINTIYA DEWI</t>
  </si>
  <si>
    <t>ALDI RANDY RUDO</t>
  </si>
  <si>
    <t>RIA</t>
  </si>
  <si>
    <t>ALFIAN BONE PUTRA</t>
  </si>
  <si>
    <t>RENCANA LANJUT,  MAU KELUAR KOTA DULU</t>
  </si>
  <si>
    <t>ALFREDO ARINDA PRATAMA</t>
  </si>
  <si>
    <t>LIAT KONDISI DULU</t>
  </si>
  <si>
    <t>ALI RIDHO</t>
  </si>
  <si>
    <t>ALIANSYAH</t>
  </si>
  <si>
    <t>FISIONYA BILANG SISA DIKIT. KONFIRM LANJUT PAKET/SESI</t>
  </si>
  <si>
    <t>NANTI KONFIRMASI</t>
  </si>
  <si>
    <t>DP</t>
  </si>
  <si>
    <t>CICIL</t>
  </si>
  <si>
    <t>ALYA GHAISANI</t>
  </si>
  <si>
    <t>JADWAL NANTI WA</t>
  </si>
  <si>
    <t>AMALIA VEGA</t>
  </si>
  <si>
    <t>AMINA</t>
  </si>
  <si>
    <t>NUNGGU SEMINGGU DULU BRU LANJUT</t>
  </si>
  <si>
    <t>ANDI ICHWANUL AZWAR</t>
  </si>
  <si>
    <t>ANDI WAHYU ENDRIYANTO</t>
  </si>
  <si>
    <t>ANDREA GUNAWAN</t>
  </si>
  <si>
    <t>ANDREW WILLARD HWANGSU</t>
  </si>
  <si>
    <t>NANTI CHAT JADWALNYE</t>
  </si>
  <si>
    <t>ANDRY LODIYANTO</t>
  </si>
  <si>
    <t>ANGGARA APRIYAN PRADANA</t>
  </si>
  <si>
    <t>ANNA ROSIYANTI</t>
  </si>
  <si>
    <t>ANTONI</t>
  </si>
  <si>
    <t>ARDIKA GUMILANG KAMAJAYA</t>
  </si>
  <si>
    <t>ARDILES SANTOS JR</t>
  </si>
  <si>
    <t>ARI YANUARIF</t>
  </si>
  <si>
    <t>ARIF HIDAYAT</t>
  </si>
  <si>
    <t>ARIFIN 73</t>
  </si>
  <si>
    <t>ARZIWANSYAH</t>
  </si>
  <si>
    <t>mau ke dokter dulu</t>
  </si>
  <si>
    <t>ATIQAH ZAHRA FITRIA</t>
  </si>
  <si>
    <t>OFF DULU LANJUT ABIS LIBURAN</t>
  </si>
  <si>
    <t>1 MINGGU 1X TIAP HARI JUMAT</t>
  </si>
  <si>
    <t>NANTI LANJUT TUNGGU KE PTK LAGI</t>
  </si>
  <si>
    <t>BION SALIM</t>
  </si>
  <si>
    <t>MAU ISTIRAHAT DULU</t>
  </si>
  <si>
    <t>BOENG LIN FAH</t>
  </si>
  <si>
    <t>BONITA DWI ANGGREINI</t>
  </si>
  <si>
    <t>LANJUT SESI AJA</t>
  </si>
  <si>
    <t>BUDI SATRIO</t>
  </si>
  <si>
    <t>BUDY SETIAWAN LIM</t>
  </si>
  <si>
    <t>BULDANI</t>
  </si>
  <si>
    <t>CHANDRA ALIP PRATAMA</t>
  </si>
  <si>
    <t>CHRESTELLA NOVEDA</t>
  </si>
  <si>
    <t>DAFID</t>
  </si>
  <si>
    <t>DARLIANA</t>
  </si>
  <si>
    <t xml:space="preserve">DECO DEMUS ASU </t>
  </si>
  <si>
    <t>DEDE SUBANDI</t>
  </si>
  <si>
    <t>DEDI KURNIAWAN</t>
  </si>
  <si>
    <t xml:space="preserve">DELA MASTIKA </t>
  </si>
  <si>
    <t>DESANDO VAVA BANJARNAHOR</t>
  </si>
  <si>
    <t>DESTY AYU WULANSARI</t>
  </si>
  <si>
    <t>MAU KE KL</t>
  </si>
  <si>
    <t>DEWI RAHAYU</t>
  </si>
  <si>
    <t>KALAU LANJUT WA</t>
  </si>
  <si>
    <t>DIAH SANTI</t>
  </si>
  <si>
    <t>DIAN GITA SAVITRI</t>
  </si>
  <si>
    <t>KALAU MAU LANJU T NANTI INFO</t>
  </si>
  <si>
    <t>D0525097586</t>
  </si>
  <si>
    <t/>
  </si>
  <si>
    <t>DITO CAHYA RENALDI</t>
  </si>
  <si>
    <t>DJOKO SANTOSO</t>
  </si>
  <si>
    <t>E. SUGINI</t>
  </si>
  <si>
    <t xml:space="preserve">EDY HARTONO </t>
  </si>
  <si>
    <t>EKA LESTARI</t>
  </si>
  <si>
    <t>ELBERT</t>
  </si>
  <si>
    <t>NANTI KALAU LANJUT DI KABRI KEMBALI</t>
  </si>
  <si>
    <t>ELOK SARASWATI</t>
  </si>
  <si>
    <t>ELSATIA HERMAWAN</t>
  </si>
  <si>
    <t>NANTIINFO LAGI JIKA MAU TERAPI</t>
  </si>
  <si>
    <t>ERWIN</t>
  </si>
  <si>
    <t>ERWIN CIPTA WIJAYA</t>
  </si>
  <si>
    <t xml:space="preserve">ERWIN FIRMANSYAH </t>
  </si>
  <si>
    <t>NANTI KALAU MAU LANJUT CHAT</t>
  </si>
  <si>
    <t>EVA DOLOROSA</t>
  </si>
  <si>
    <t>FADHILAH NUR ISLAMI MELINIA PUTRI</t>
  </si>
  <si>
    <t>FAJRINA HASNI</t>
  </si>
  <si>
    <t>ADA KESIBUKAN</t>
  </si>
  <si>
    <t>FATIMAH 5612</t>
  </si>
  <si>
    <t>MAU KE DOKTER UNTUK RONSEN</t>
  </si>
  <si>
    <t>FATUR MAULANA ARFANSYAH</t>
  </si>
  <si>
    <t>RENCANA MAU LANJUT, NANTI DIKONFIRMASI</t>
  </si>
  <si>
    <t>FILYSIA FEBRIANTINE</t>
  </si>
  <si>
    <t>FIRMAN MULYANA</t>
  </si>
  <si>
    <t>FLORENSIUS EFRENDI</t>
  </si>
  <si>
    <t>PULANG KAMPUNG</t>
  </si>
  <si>
    <t>FRANS IMMANUEL SIAHAAN</t>
  </si>
  <si>
    <t>FRANSISKA MARIA NUR</t>
  </si>
  <si>
    <t xml:space="preserve">NANTI AJA KLAU ADA KELUHAN </t>
  </si>
  <si>
    <t>FRENDI</t>
  </si>
  <si>
    <t>JADWAL TUNGGU PULANG DR JKT</t>
  </si>
  <si>
    <t>BALIK KERJA</t>
  </si>
  <si>
    <t>FRIZI ALFARIZI</t>
  </si>
  <si>
    <t>GAEL BENEDICT CHRISTAN</t>
  </si>
  <si>
    <t>GILANG MAULANA</t>
  </si>
  <si>
    <t>GINA INDRI</t>
  </si>
  <si>
    <t>DINAS LUAR KOTA</t>
  </si>
  <si>
    <t>GRACIA CALLISTA VEGA</t>
  </si>
  <si>
    <t>RENCANA LANJUT HARI JUMAT TANGGAL 11 JULI 2025</t>
  </si>
  <si>
    <t>LANJUT MINGGU 27 JUL</t>
  </si>
  <si>
    <t>HAFIZHATUL FATHAN ABDULLAH</t>
  </si>
  <si>
    <t>HALIDA INDRASARI</t>
  </si>
  <si>
    <t>HANDY YOSUA THOMAS</t>
  </si>
  <si>
    <t>HARRY RONALDI M.</t>
  </si>
  <si>
    <t>HARTONO</t>
  </si>
  <si>
    <t>NANTI KALAU KE PTK BARU JADWALKAN LAGI</t>
  </si>
  <si>
    <t>HARYA PAMUNGKAS</t>
  </si>
  <si>
    <t>HASANAH</t>
  </si>
  <si>
    <t>HASEP PURWALID</t>
  </si>
  <si>
    <t>HENDRA KRISMA</t>
  </si>
  <si>
    <t>HENI YULIKARWATI</t>
  </si>
  <si>
    <t>HERDI SETIAWAN JAYA</t>
  </si>
  <si>
    <t>HERMAN</t>
  </si>
  <si>
    <t>HJ. ASNAH</t>
  </si>
  <si>
    <t>HJ. MARIA ULFAH</t>
  </si>
  <si>
    <t>STOP</t>
  </si>
  <si>
    <t>MAU KONTROL KE DOKTER</t>
  </si>
  <si>
    <t>HJ. RAMLAH</t>
  </si>
  <si>
    <t>I DEWA AYU SARIPUTRI</t>
  </si>
  <si>
    <t>IIN EKA PUTRI</t>
  </si>
  <si>
    <t>HESTI: MAINTENANCE AJA</t>
  </si>
  <si>
    <t>IKA NURHASANA</t>
  </si>
  <si>
    <t>ILHAM MUTTAKIN</t>
  </si>
  <si>
    <t>IMAM MAULUDDIN</t>
  </si>
  <si>
    <t>BEASISWA</t>
  </si>
  <si>
    <t>IMMANUEL STEVE HASIHOLAN LUMBANTORUAN</t>
  </si>
  <si>
    <t>INDINA SHINTA DEWI</t>
  </si>
  <si>
    <t>INDRI ISYANTI</t>
  </si>
  <si>
    <t>INKA RUSADY</t>
  </si>
  <si>
    <t>IRWANDA</t>
  </si>
  <si>
    <t>ISNAN LUTHFI</t>
  </si>
  <si>
    <t>JAHFAL</t>
  </si>
  <si>
    <t>JAKA SEPTIADI</t>
  </si>
  <si>
    <t>MAU KE LUAR KOTA DULU</t>
  </si>
  <si>
    <t>JASMIN CHAIRYAH</t>
  </si>
  <si>
    <t>RENCANA LANJUT JUMAT 15 AGU 15.00 NADA</t>
  </si>
  <si>
    <t>JONG NYUK KIM ALS FATIMAH</t>
  </si>
  <si>
    <t>JULIANTO 9007</t>
  </si>
  <si>
    <t>KAM TJIN TJON</t>
  </si>
  <si>
    <t>MAU KONSUL DOKTER TULANG DULU</t>
  </si>
  <si>
    <t>KARNELA</t>
  </si>
  <si>
    <t>KHANSA ATALLAH PURUHITA</t>
  </si>
  <si>
    <t>KHOU AI NA</t>
  </si>
  <si>
    <t>KRESNA K</t>
  </si>
  <si>
    <t>KRISTIANUS KIMSEN</t>
  </si>
  <si>
    <t>KURNIYAWATI</t>
  </si>
  <si>
    <t>BELUM BAYAR</t>
  </si>
  <si>
    <t>klau lnjut wa</t>
  </si>
  <si>
    <t xml:space="preserve">LENY SUMANTRI </t>
  </si>
  <si>
    <t>NANTI KALAU MAU TERAPI DIA INFO</t>
  </si>
  <si>
    <t>LEONARDO WONG</t>
  </si>
  <si>
    <t>LILI MARTINA</t>
  </si>
  <si>
    <t>MAU KE LN DULU</t>
  </si>
  <si>
    <t>LIM CHAI SENG</t>
  </si>
  <si>
    <t>LINAWARTI</t>
  </si>
  <si>
    <t>LOUIS GERALDO LAYARDA</t>
  </si>
  <si>
    <t>LOUW MENG TJU ALS ENNY</t>
  </si>
  <si>
    <t>M EKA PUTRA YUANDA</t>
  </si>
  <si>
    <t>RENCANA LANJUT PER SESI 2 JAM, TAPI TUNGGU SELESAI KEGIATAN DULU</t>
  </si>
  <si>
    <t>M. FAIZ AZRIELRIANDRA</t>
  </si>
  <si>
    <t>MAKPUL SOFWAN</t>
  </si>
  <si>
    <t>MARDIANA 6909</t>
  </si>
  <si>
    <t xml:space="preserve">MARIA ELLISA </t>
  </si>
  <si>
    <t>LANJUT JADWALNYA BULAN DEPAN</t>
  </si>
  <si>
    <t>LANJUT HABS TAHUN BARU</t>
  </si>
  <si>
    <t>MARSHERLA LOVESENZIA</t>
  </si>
  <si>
    <t>RENCANA MAU LANJUT TAPI MAU KE LUAR KOTA DULU</t>
  </si>
  <si>
    <t>MARSHERLY LOVESENZIA</t>
  </si>
  <si>
    <t xml:space="preserve">MARTINI </t>
  </si>
  <si>
    <t>MAU KE DOKTER</t>
  </si>
  <si>
    <t>MARZUKI PASARIBU</t>
  </si>
  <si>
    <t xml:space="preserve">MASDIARTI </t>
  </si>
  <si>
    <t>stop dulu</t>
  </si>
  <si>
    <t>MASRINI</t>
  </si>
  <si>
    <t>MAU KE LN</t>
  </si>
  <si>
    <t>LANJUT BULAN DEPAN</t>
  </si>
  <si>
    <t>LANJUT DI HARI SABTU</t>
  </si>
  <si>
    <t>KALAU MAU LANJUT WA</t>
  </si>
  <si>
    <t>MELANI</t>
  </si>
  <si>
    <t xml:space="preserve">MELVERN AARON SANJAYA </t>
  </si>
  <si>
    <t>RENCANA LANJUT</t>
  </si>
  <si>
    <t>MICHAEL 9706</t>
  </si>
  <si>
    <t>MICHAEL EVANDER</t>
  </si>
  <si>
    <t>MICHAEL GIUSTI</t>
  </si>
  <si>
    <t>MIKTAMI CHRISTOFEN TANG</t>
  </si>
  <si>
    <t>MIMI RESTUTI</t>
  </si>
  <si>
    <t>MISNAWATI</t>
  </si>
  <si>
    <t>BELUM TAU. 1 SESI NDAK DI INPUT. NDAK SADAR PAKET DAH HABIS</t>
  </si>
  <si>
    <t>MIYO</t>
  </si>
  <si>
    <t>NANTI DIKABARIN VIA WA</t>
  </si>
  <si>
    <t>MUHAMMAD ARIF PUTRA SH MH</t>
  </si>
  <si>
    <t>LIHAT KONDISI</t>
  </si>
  <si>
    <t>MAU UMROH</t>
  </si>
  <si>
    <t>MUHAMMAD HAZIEL GADHI</t>
  </si>
  <si>
    <t>MUHAMMAD JUANDA</t>
  </si>
  <si>
    <t>MUHAMMAD NADLY ALNOV</t>
  </si>
  <si>
    <t>KONFIRM BANG EDO DULU</t>
  </si>
  <si>
    <t>MUHAMMAD NAUFAL ARYOSTIA PRATAMA</t>
  </si>
  <si>
    <t>MUHAMMAD RISKY FIRMANSYAH</t>
  </si>
  <si>
    <t>MUHAMMAD ZAMZAM QOMARUZZAMAN</t>
  </si>
  <si>
    <t>MUNAGI</t>
  </si>
  <si>
    <t>MURTI JULIANDARI</t>
  </si>
  <si>
    <t>NABEELA ARVYANI</t>
  </si>
  <si>
    <t>NADIA AYUNI PUTRI</t>
  </si>
  <si>
    <t>NADYNE ARSYFA NUR AS’ADIYAH</t>
  </si>
  <si>
    <t>NAILAH QEIZHA ALMAQHVIRA</t>
  </si>
  <si>
    <t>NAIM IKSAN NUDIN</t>
  </si>
  <si>
    <t>NANDA M SHAUQIE</t>
  </si>
  <si>
    <t>KALAU LANJUT NANTI MAU SESI</t>
  </si>
  <si>
    <t>NG IE BUI</t>
  </si>
  <si>
    <t>NICHOLAS BILI SAPUTRA</t>
  </si>
  <si>
    <t>JIKA MAU LANJUT PUN NANTI ADA WHATSAPP</t>
  </si>
  <si>
    <t>NIGITA KELIN</t>
  </si>
  <si>
    <t>NOVA KASIANTO</t>
  </si>
  <si>
    <t>NOVI GUNADI</t>
  </si>
  <si>
    <t>NUR HASANAH</t>
  </si>
  <si>
    <t>JADWAL MENYUSUL</t>
  </si>
  <si>
    <t>LANJUT SESI</t>
  </si>
  <si>
    <t>NURMEDITASARI</t>
  </si>
  <si>
    <t>JADWAL TUNGGU KESINI LAGI</t>
  </si>
  <si>
    <t>OFF DULU</t>
  </si>
  <si>
    <t>OLYVIA NUR AFIANI</t>
  </si>
  <si>
    <t>P. OBANG</t>
  </si>
  <si>
    <t>PULANG KAMPUNG DULU</t>
  </si>
  <si>
    <t>PASKALIS NIKO SAPUTRA</t>
  </si>
  <si>
    <t>RAFAEL GIOFANI</t>
  </si>
  <si>
    <t>RAFIZ KAMILI ALKADRIE</t>
  </si>
  <si>
    <t>RAHADIAN FARANDI</t>
  </si>
  <si>
    <t>RAKA MALDINI B</t>
  </si>
  <si>
    <t>KATANYA MAU LANUT</t>
  </si>
  <si>
    <t>RAMADHAN</t>
  </si>
  <si>
    <t>RAMADHAN 9402</t>
  </si>
  <si>
    <t>RENTI OCTIVIANI</t>
  </si>
  <si>
    <t>RESTU BINTANG NUGROHO</t>
  </si>
  <si>
    <t>REZA NUGRAHA</t>
  </si>
  <si>
    <t>JADWALNYA DI AWAL JANUARI</t>
  </si>
  <si>
    <t>RICKY VALENT</t>
  </si>
  <si>
    <t>RIDHO ARIHTA BANCIN</t>
  </si>
  <si>
    <t>RIDHOALDY ERISAPUTRA</t>
  </si>
  <si>
    <t>RINA FAUZIAH</t>
  </si>
  <si>
    <t>RIRIN KURNIAWATI</t>
  </si>
  <si>
    <t>RITA HARJANTI</t>
  </si>
  <si>
    <t>RIZKA MAYA SALSABILA</t>
  </si>
  <si>
    <t>ROBI NUR FAHMI</t>
  </si>
  <si>
    <t>ROSSY MARVITA</t>
  </si>
  <si>
    <t>RUDI ABDI</t>
  </si>
  <si>
    <t>RENCANA LANJUT RABU 30 JUL</t>
  </si>
  <si>
    <t>MAU KELUAR KOTA DULU</t>
  </si>
  <si>
    <t>RYAN ACHMAD BASIR</t>
  </si>
  <si>
    <t>JADWALNYA AWAL JANUARI</t>
  </si>
  <si>
    <t>SAWITRI HERSUSANTI</t>
  </si>
  <si>
    <t>LANJUTIN DULU DIRUMAH</t>
  </si>
  <si>
    <t>SELENA</t>
  </si>
  <si>
    <t>SELVIA RATNA SARIWEDI</t>
  </si>
  <si>
    <t>SEPTUTI MEGA POSROITO</t>
  </si>
  <si>
    <t>SHERA MIRANDA</t>
  </si>
  <si>
    <t>SABTU 23 AGU 19.00 PRITY</t>
  </si>
  <si>
    <t>SOFIA LINDI</t>
  </si>
  <si>
    <t>SOFIA MARLINA</t>
  </si>
  <si>
    <t>SRI HARYANTY</t>
  </si>
  <si>
    <t>STEFANUS ANDHIKA PUTRA UTAMA</t>
  </si>
  <si>
    <t>STEFANUS FERDINAN</t>
  </si>
  <si>
    <t>STELLA JESSICA</t>
  </si>
  <si>
    <t>ISTIRAHAT DULU</t>
  </si>
  <si>
    <t>SUBARIYAH</t>
  </si>
  <si>
    <t>SUDIYANTI HO</t>
  </si>
  <si>
    <t>SUHAIMI</t>
  </si>
  <si>
    <t>SUKARDI. SH MM</t>
  </si>
  <si>
    <t>SULISTIYOWATI</t>
  </si>
  <si>
    <t>AMBIL JADWAL HARI RABU 16/07/2025</t>
  </si>
  <si>
    <t>SUMA EMIL HABIBIE</t>
  </si>
  <si>
    <t>SUNARTI</t>
  </si>
  <si>
    <t>SURYA FEBRANI</t>
  </si>
  <si>
    <t>NANTI KALAU ADA KELUHAN BARU KEMBALI LAGI</t>
  </si>
  <si>
    <t>SYAHRIL AKBARI</t>
  </si>
  <si>
    <t>SYARIFAH NABILA AULIA RANTI</t>
  </si>
  <si>
    <t>SYARIFAH UMMI KALTSUM</t>
  </si>
  <si>
    <t>SYF SIFAH</t>
  </si>
  <si>
    <t>SYF. HAYATI ABDULLAH</t>
  </si>
  <si>
    <t>TAN REVAN ADIWITYA</t>
  </si>
  <si>
    <t>TANIA 0004</t>
  </si>
  <si>
    <t>NANTI WA KALAU MAU LANJUT</t>
  </si>
  <si>
    <t>TERRA SAMIDDHA</t>
  </si>
  <si>
    <t>TIMOTHY ANDYLIANTHO</t>
  </si>
  <si>
    <t xml:space="preserve">TIUR MANURUNG </t>
  </si>
  <si>
    <t>TOBIAS</t>
  </si>
  <si>
    <t>TOGARDO AMANTA</t>
  </si>
  <si>
    <t>TOMMY YANSENS</t>
  </si>
  <si>
    <t>TRI ASTUTI</t>
  </si>
  <si>
    <t>ULIANA SARA MARPAUNG</t>
  </si>
  <si>
    <t>UMI SAPARIAH</t>
  </si>
  <si>
    <t>URAY DJAHARANI</t>
  </si>
  <si>
    <t>MAU LANJUT SETELAH PULANG DARI LUAR KOTA. NANTI DI WA KALAU SUDAH PULANG</t>
  </si>
  <si>
    <t>VERAYANA KURNIAWAN</t>
  </si>
  <si>
    <t>VIVA DARMA PUTRI</t>
  </si>
  <si>
    <t>REST DULU NANTI LANJUT LAGI</t>
  </si>
  <si>
    <t>WAN REVALDO RIZKI NATAKUSUMA</t>
  </si>
  <si>
    <t>RABU 6 AGU 13.00 OKTA</t>
  </si>
  <si>
    <t>WELY</t>
  </si>
  <si>
    <t>WENNY YOSTIA</t>
  </si>
  <si>
    <t>NANTI KALAU SAKIT BRUJADWALKAN LAGI</t>
  </si>
  <si>
    <t>WIDI ASTUTI</t>
  </si>
  <si>
    <t>YANTI TANTRA</t>
  </si>
  <si>
    <t>KONSUL DOKTER DULU</t>
  </si>
  <si>
    <t>YAYUK SUKESI</t>
  </si>
  <si>
    <t>TANYA ORTU DULU</t>
  </si>
  <si>
    <t>YOUNG BRILLIAN THEHAWIJAYA</t>
  </si>
  <si>
    <t>ANANTA UTAMI</t>
  </si>
  <si>
    <t>YUDI PRAWIRATMAN</t>
  </si>
  <si>
    <t>YUDI RIZALDI</t>
  </si>
  <si>
    <t>YULIANA</t>
  </si>
  <si>
    <t>YULIANA 9606</t>
  </si>
  <si>
    <t>MAU LIAT PERKEMBANGAN DULU</t>
  </si>
  <si>
    <t>Monitoring Target Fisioterapi Gang Sehat</t>
  </si>
  <si>
    <t>Bulanan</t>
  </si>
  <si>
    <t>Target</t>
  </si>
  <si>
    <t>Capaian</t>
  </si>
  <si>
    <t>Selisih</t>
  </si>
  <si>
    <t>Progres</t>
  </si>
  <si>
    <t>Paket Klinik</t>
  </si>
  <si>
    <t>Kunjungan</t>
  </si>
  <si>
    <t>Paket Visit</t>
  </si>
  <si>
    <t>Rata-rata</t>
  </si>
  <si>
    <t>Mingguan</t>
  </si>
  <si>
    <t>M1</t>
  </si>
  <si>
    <t>M2</t>
  </si>
  <si>
    <t>M3</t>
  </si>
  <si>
    <t>M4</t>
  </si>
  <si>
    <t>VALIDASI DATA KUNJUNGAN</t>
  </si>
  <si>
    <t>MINGGU 4 (25-31 DESEMBER 2025)</t>
  </si>
  <si>
    <t>PILIH RENTANG TANGGAL</t>
  </si>
  <si>
    <t>DARI</t>
  </si>
  <si>
    <t>SAMPAI</t>
  </si>
  <si>
    <t>KUNJUNGAN</t>
  </si>
  <si>
    <t>PAKET MASUK</t>
  </si>
  <si>
    <t>COUNTA of LAYANAN</t>
  </si>
  <si>
    <t>COUNTA of STATUS</t>
  </si>
  <si>
    <t>COUNTA of JENIS PAKET</t>
  </si>
  <si>
    <t>PAKET TERINPUT</t>
  </si>
  <si>
    <t>s.d.</t>
  </si>
  <si>
    <t>November 2025 🏁</t>
  </si>
  <si>
    <t>Minggu 1 Desember 2025 🏁</t>
  </si>
  <si>
    <t>Minggu 2 Desember 2025 🏁</t>
  </si>
  <si>
    <t>Minggu 3 Desember 2025 🏁</t>
  </si>
  <si>
    <t>Minggu 4 Desember 2025 🏁</t>
  </si>
  <si>
    <t>Oktober 2025 🏁</t>
  </si>
  <si>
    <t>SEPTEMBER</t>
  </si>
  <si>
    <t>MG 1</t>
  </si>
  <si>
    <t>MG 2</t>
  </si>
  <si>
    <t>MG 3</t>
  </si>
  <si>
    <t>MG 4</t>
  </si>
  <si>
    <t>TIM Y</t>
  </si>
  <si>
    <t>JUMLAH</t>
  </si>
  <si>
    <t>KETERANGAN TIDAK CLOSING</t>
  </si>
  <si>
    <t>10Okt</t>
  </si>
  <si>
    <t>11Nov</t>
  </si>
  <si>
    <t>HADIR Total</t>
  </si>
  <si>
    <t>TIDAK HADIR Total</t>
  </si>
  <si>
    <t>MANAJEMEN</t>
  </si>
  <si>
    <t>PENGATURAN</t>
  </si>
  <si>
    <t>DAFTAR NAMA ADMIN</t>
  </si>
  <si>
    <t>DAFTAR DIAGNOSA</t>
  </si>
  <si>
    <t>DAFTAR REGIO</t>
  </si>
  <si>
    <t>DAFTAR FISIOTERAPIS</t>
  </si>
  <si>
    <t>STATUS CLOSING</t>
  </si>
  <si>
    <t>SELESAI PAKET</t>
  </si>
  <si>
    <t>JAM LAYANAN</t>
  </si>
  <si>
    <t>DAFTAR LAYANAN</t>
  </si>
  <si>
    <t>DAFTAR KEHADIRAN</t>
  </si>
  <si>
    <t>DAFTAR PEKERJAAN</t>
  </si>
  <si>
    <t>JAM RAMADHAN</t>
  </si>
  <si>
    <t>ABDOMINAL STRAIN</t>
  </si>
  <si>
    <t>SUDAH PERNAH TERAPI</t>
  </si>
  <si>
    <t>APOTEKER</t>
  </si>
  <si>
    <t>08.30</t>
  </si>
  <si>
    <t>EVENT</t>
  </si>
  <si>
    <t>ARSITEK</t>
  </si>
  <si>
    <t>ACHILLES TENDON REPAIR</t>
  </si>
  <si>
    <t>INAKTIF</t>
  </si>
  <si>
    <t>PENDING</t>
  </si>
  <si>
    <t>IKLAN/BROSUR</t>
  </si>
  <si>
    <t>ARTIST</t>
  </si>
  <si>
    <t>IKLAN (ADS / BROSUR / SPANDUK)</t>
  </si>
  <si>
    <t>ACL &amp; LCL &amp; MENISCUS INJURY</t>
  </si>
  <si>
    <t>BELUM CLOSING</t>
  </si>
  <si>
    <t>PENCARIAN GOOGLE</t>
  </si>
  <si>
    <t>ASN</t>
  </si>
  <si>
    <t>12.30</t>
  </si>
  <si>
    <t>INFLUENCER / ENDORSEMENT</t>
  </si>
  <si>
    <t>SOSIAL MEDIA</t>
  </si>
  <si>
    <t>ATLET</t>
  </si>
  <si>
    <t>13.30</t>
  </si>
  <si>
    <t>ACL &amp; MCL &amp; MENISCUS INJURY</t>
  </si>
  <si>
    <t>AUDITOR</t>
  </si>
  <si>
    <t>14.30</t>
  </si>
  <si>
    <t>BUMD</t>
  </si>
  <si>
    <t>BUMN</t>
  </si>
  <si>
    <t>16.30</t>
  </si>
  <si>
    <t>ACL &amp; PCL &amp; MENISCUS INJURY</t>
  </si>
  <si>
    <t>BURUH</t>
  </si>
  <si>
    <t>WEBSITE KLINIK</t>
  </si>
  <si>
    <t>18.00</t>
  </si>
  <si>
    <t>DOKTER</t>
  </si>
  <si>
    <t>21.00</t>
  </si>
  <si>
    <t>ACROMIOCLAVICULAR SPRAIN</t>
  </si>
  <si>
    <t>DOSEN/GURU</t>
  </si>
  <si>
    <t>ANKLE FRACTURE</t>
  </si>
  <si>
    <t>FREELANCE</t>
  </si>
  <si>
    <t>ABDOMINAL</t>
  </si>
  <si>
    <t>PUTRI</t>
  </si>
  <si>
    <t>GURU</t>
  </si>
  <si>
    <t>KOKI</t>
  </si>
  <si>
    <t>ANKLE OA</t>
  </si>
  <si>
    <t>KONSULTAN</t>
  </si>
  <si>
    <t>PEDAGANG</t>
  </si>
  <si>
    <t>PELAJAR/MAHASISWA</t>
  </si>
  <si>
    <t>ARTHRITIS</t>
  </si>
  <si>
    <t>PENDETA</t>
  </si>
  <si>
    <t>AVASCULAR NECROSIS</t>
  </si>
  <si>
    <t>PENSIUN</t>
  </si>
  <si>
    <t>PERAWAT</t>
  </si>
  <si>
    <t>BALANCE DISORDER</t>
  </si>
  <si>
    <t>PETANI</t>
  </si>
  <si>
    <t>BED REST COMPLICATION</t>
  </si>
  <si>
    <t>SYSTEMIC</t>
  </si>
  <si>
    <t>RUMAH TANGGA</t>
  </si>
  <si>
    <t>CARDIOVASCULAR</t>
  </si>
  <si>
    <t>SALES</t>
  </si>
  <si>
    <t>PULMONAL</t>
  </si>
  <si>
    <t>SATPAM</t>
  </si>
  <si>
    <t>PERFORMANCE</t>
  </si>
  <si>
    <t>SWASTA</t>
  </si>
  <si>
    <t>CALCANEAL FRACTURE</t>
  </si>
  <si>
    <t>TENAGA HONOR</t>
  </si>
  <si>
    <t>TIDAK ADA</t>
  </si>
  <si>
    <t>TNI/POLRI</t>
  </si>
  <si>
    <t>CERVICAL ROOT SYNDROME</t>
  </si>
  <si>
    <t>CLAVICULAR FRACTURE</t>
  </si>
  <si>
    <t>CLAW HAND</t>
  </si>
  <si>
    <t>COCCYX DISLOCATION</t>
  </si>
  <si>
    <t>COCCYX FRACTURE</t>
  </si>
  <si>
    <t>COMPARTMENT SYNDROME</t>
  </si>
  <si>
    <t>CP</t>
  </si>
  <si>
    <t>CRANIOTOMY</t>
  </si>
  <si>
    <t>CUBITAL TUNNEL SYNDROME</t>
  </si>
  <si>
    <t>DEEP VEIN THROMBOSIS</t>
  </si>
  <si>
    <t>DELTOID STRAIN</t>
  </si>
  <si>
    <t>DISTROPHY MUSCULAR PROGRESSIVE</t>
  </si>
  <si>
    <t>ELBOW FRACTURE</t>
  </si>
  <si>
    <t>ELBOW SPRAIN</t>
  </si>
  <si>
    <t>ELBOW VALGUS</t>
  </si>
  <si>
    <t>FEMUR FRACTURE</t>
  </si>
  <si>
    <t>FLAT NECK</t>
  </si>
  <si>
    <t>FOOT CORE SYNDROME</t>
  </si>
  <si>
    <t>FRACTURE MALUNION</t>
  </si>
  <si>
    <t>FROZEN SHOULDER</t>
  </si>
  <si>
    <t>GIRD</t>
  </si>
  <si>
    <t>GOUT ARTHRITIS</t>
  </si>
  <si>
    <t>GUYON'S CANAL SYNDROME</t>
  </si>
  <si>
    <t>HERNIA INGUINALIS</t>
  </si>
  <si>
    <t>HIP ADDUCTOR STRAIN</t>
  </si>
  <si>
    <t>HIP IMPINGEMENT</t>
  </si>
  <si>
    <t>HIP OSTEOARTHRITIS</t>
  </si>
  <si>
    <t>HUMERUS FRACTURE</t>
  </si>
  <si>
    <t>HYPERKINETIC MOVEMENT DISORDER</t>
  </si>
  <si>
    <t>INTERCOSTAL STRAIN</t>
  </si>
  <si>
    <t>ISCHIALGIA</t>
  </si>
  <si>
    <t>JOINT STIFFNESS</t>
  </si>
  <si>
    <t>KNEE CONTUSIO</t>
  </si>
  <si>
    <t>KNEE FRACTURE</t>
  </si>
  <si>
    <t>KNEE SPRAIN</t>
  </si>
  <si>
    <t>KNEE VALGUS</t>
  </si>
  <si>
    <t>KNEE VARUS</t>
  </si>
  <si>
    <t>LCL &amp; MENISCUS INJURY</t>
  </si>
  <si>
    <t>LUMBAR FRACTURE</t>
  </si>
  <si>
    <t>LUMBAR RADICULOPATHY</t>
  </si>
  <si>
    <t>MCL &amp; MENISCUS INJURY</t>
  </si>
  <si>
    <t>MCL INJURY</t>
  </si>
  <si>
    <t>MEDIAN NERVE ENTRAPMENT</t>
  </si>
  <si>
    <t>MULTIPLE SCLEROSIS</t>
  </si>
  <si>
    <t>MYASTHENIA GRAVIS</t>
  </si>
  <si>
    <t>NAVICULAR STRESS SYNDROME</t>
  </si>
  <si>
    <t>OVER TRAIN</t>
  </si>
  <si>
    <t>PARKINSON</t>
  </si>
  <si>
    <t>PATELLAR FRACTURE</t>
  </si>
  <si>
    <t>PATELLAR HIPOMOBILITY</t>
  </si>
  <si>
    <t>PATELLAR INSTABILITY</t>
  </si>
  <si>
    <t>PCL INJURY</t>
  </si>
  <si>
    <t>PECTORALIS MAJOR STRAIN</t>
  </si>
  <si>
    <t>PECTORALIS MINOR SYNDROME</t>
  </si>
  <si>
    <t>PELVIC INFLAMMATORY DISEASE</t>
  </si>
  <si>
    <t>PERFORMANCE ENHANCEMENT</t>
  </si>
  <si>
    <t>PERONEAL TENDINITIS</t>
  </si>
  <si>
    <t>PES ANSERINUS BURSITIS</t>
  </si>
  <si>
    <t>PFPS, MCL</t>
  </si>
  <si>
    <t>PHALANGES FRACTURE</t>
  </si>
  <si>
    <t>POST HERPETIC NEURALGIA</t>
  </si>
  <si>
    <t>POST OP ACL, MENISCUS</t>
  </si>
  <si>
    <t>POST OP ACL, PCL, MENISCUS</t>
  </si>
  <si>
    <t>POST OP HNP LUMBAL, POST OP TKR DEKSTRA</t>
  </si>
  <si>
    <t>POST OP LUMBAL</t>
  </si>
  <si>
    <t>POST OP MENISCUS</t>
  </si>
  <si>
    <t>POST OP PCL, LCL, PLC, MENISCUS</t>
  </si>
  <si>
    <t>POST OP PCL, LCL, PMFL</t>
  </si>
  <si>
    <t>POST OP PCL, MENISCUS</t>
  </si>
  <si>
    <t>POST OP SHOULDER ROTATOR CUFF</t>
  </si>
  <si>
    <t>POST ORIF FEMUR</t>
  </si>
  <si>
    <t>POST ORIF MANUS</t>
  </si>
  <si>
    <t>POST ORIF TIBIA</t>
  </si>
  <si>
    <t>POSTURAL CHECK UP</t>
  </si>
  <si>
    <t>RADIAL FRACTURE</t>
  </si>
  <si>
    <t>ROTATOR CUFF INJURY</t>
  </si>
  <si>
    <t>SAND TOE</t>
  </si>
  <si>
    <t>SCAPULAR TIPING</t>
  </si>
  <si>
    <t>SERRATUS ANTERIOR PAIN</t>
  </si>
  <si>
    <t>SHOULDER TENDINOPATHY</t>
  </si>
  <si>
    <t>SINUSITIS</t>
  </si>
  <si>
    <t>SLAP LESION</t>
  </si>
  <si>
    <t>SPINAL SHOCK</t>
  </si>
  <si>
    <t>SPONDYLOSIS</t>
  </si>
  <si>
    <t>SPUTUM</t>
  </si>
  <si>
    <t>SWIMMER'S KNEE</t>
  </si>
  <si>
    <t>THENAR MUSCLE STRAIN</t>
  </si>
  <si>
    <t>TIBIA &amp; FIBULA FRACTURE</t>
  </si>
  <si>
    <t>TIBIAL FRACTURE</t>
  </si>
  <si>
    <t>TIBIAL PLATEAU FRACTURE</t>
  </si>
  <si>
    <t>TIBIALIS ANTERIOR STRAIN</t>
  </si>
  <si>
    <t>TMJ</t>
  </si>
  <si>
    <t>TOTAL HIP REPLACEMENT</t>
  </si>
  <si>
    <t>TOTAL KNEE REPLACEMENT</t>
  </si>
  <si>
    <t>TRICEPS STRAIN</t>
  </si>
  <si>
    <t>TRICEPS TENDINITIS</t>
  </si>
  <si>
    <t>TROCHANTER BURSITIS</t>
  </si>
  <si>
    <t>ULNAR FRACTURE</t>
  </si>
  <si>
    <t>WHISPLASH INJURY</t>
  </si>
  <si>
    <t>WRIST EXTENSOR TENDINITIS</t>
  </si>
  <si>
    <t>WRIST FLEXOR STRAIN</t>
  </si>
  <si>
    <t>WRIST IMPINGEMENT</t>
  </si>
  <si>
    <t>INPUT DATA PENGGAJIAN</t>
  </si>
  <si>
    <t>PERIODE NOVEMBER 2025</t>
  </si>
  <si>
    <t>AULIA Total</t>
  </si>
  <si>
    <t>DANRU Total</t>
  </si>
  <si>
    <t>DESTY Total</t>
  </si>
  <si>
    <t>HENA Total</t>
  </si>
  <si>
    <t>HESTI Total</t>
  </si>
  <si>
    <t>OKTA Total</t>
  </si>
  <si>
    <t>ORY Total</t>
  </si>
  <si>
    <t>PRITY Total</t>
  </si>
  <si>
    <t>WAHYU Total</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</si>
</sst>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dd/MM/yyyy"/>
    <numFmt numFmtId="165" formatCode="m/d/yyyy h:mm:ss"/>
    <numFmt numFmtId="166" formatCode="dd&quot;/&quot;mm&quot;/&quot;yyyy"/>
    <numFmt numFmtId="167" formatCode="dd/MM/yyyy H:mm:ss"/>
    <numFmt numFmtId="168" formatCode="d/m/yyyy h:mm:ss"/>
    <numFmt numFmtId="169" formatCode="dd/mm/yyyy"/>
    <numFmt numFmtId="170" formatCode="dd/mm/yyyy h:mm:ss"/>
    <numFmt numFmtId="171" formatCode="d/m/yyyy"/>
    <numFmt numFmtId="172" formatCode="dd&quot; &quot;mmm&quot; &quot;yyyy"/>
    <numFmt numFmtId="173" formatCode="d&quot; &quot;mmm&quot; &quot;yyyy"/>
    <numFmt numFmtId="174" formatCode="dd&quot;/&quot;mm&quot;/&quot;yy"/>
    <numFmt numFmtId="175" formatCode="dd&quot;/&quot;mm"/>
    <numFmt numFmtId="176" formatCode="d&quot; &quot;mmm"/>
    <numFmt numFmtId="177" formatCode="0 &quot;Minggu&quot;"/>
    <numFmt numFmtId="178" formatCode="+0;-0;0"/>
    <numFmt numFmtId="179" formatCode="mmmm&quot; &quot;yyyy"/>
    <numFmt numFmtId="180" formatCode="dd&quot; &quot;mmmm&quot; &quot;yyyy"/>
    <numFmt numFmtId="181" formatCode="dd&quot;/&quot;mm&quot; &quot;dddd"/>
    <numFmt numFmtId="182" formatCode="d.m"/>
    <numFmt numFmtId="183" formatCode="hh&quot;:&quot;mm"/>
  </numFmts>
  <fonts count="38">
    <font>
      <sz val="10.0"/>
      <color rgb="FF000000"/>
      <name val="Roboto"/>
      <scheme val="minor"/>
    </font>
    <font>
      <b/>
      <sz val="8.0"/>
      <color rgb="FF000000"/>
      <name val="Roboto"/>
      <scheme val="minor"/>
    </font>
    <font>
      <color rgb="FF434343"/>
      <name val="Roboto"/>
      <scheme val="minor"/>
    </font>
    <font>
      <color theme="1"/>
      <name val="Roboto"/>
      <scheme val="minor"/>
    </font>
    <font>
      <b/>
      <i/>
      <color theme="1"/>
      <name val="Roboto"/>
      <scheme val="minor"/>
    </font>
    <font>
      <color rgb="FF434343"/>
      <name val="Roboto"/>
    </font>
    <font>
      <color rgb="FF434343"/>
      <name val="Arial"/>
    </font>
    <font>
      <color theme="1"/>
      <name val="Roboto"/>
    </font>
    <font>
      <b/>
      <i/>
      <color rgb="FF434343"/>
      <name val="Roboto"/>
    </font>
    <font>
      <b/>
      <i/>
      <color theme="1"/>
      <name val="Roboto"/>
    </font>
    <font>
      <b/>
      <color rgb="FF000000"/>
      <name val="Roboto"/>
      <scheme val="minor"/>
    </font>
    <font>
      <b/>
      <color theme="1"/>
      <name val="Roboto"/>
      <scheme val="minor"/>
    </font>
    <font>
      <b/>
      <sz val="10.0"/>
      <color rgb="FF000000"/>
      <name val="Roboto"/>
      <scheme val="minor"/>
    </font>
    <font>
      <b/>
      <u/>
      <color rgb="FF0000FF"/>
    </font>
    <font>
      <b/>
      <i/>
      <sz val="8.0"/>
      <color rgb="FF000000"/>
      <name val="Roboto"/>
      <scheme val="minor"/>
    </font>
    <font>
      <color rgb="FF000000"/>
      <name val="Roboto"/>
      <scheme val="minor"/>
    </font>
    <font>
      <sz val="10.0"/>
      <color theme="1"/>
      <name val="Roboto"/>
    </font>
    <font>
      <sz val="10.0"/>
      <color theme="1"/>
      <name val="Roboto"/>
      <scheme val="minor"/>
    </font>
    <font>
      <sz val="10.0"/>
      <color rgb="FF434343"/>
      <name val="Roboto"/>
    </font>
    <font>
      <b/>
      <sz val="8.0"/>
      <color theme="1"/>
      <name val="Roboto"/>
    </font>
    <font>
      <b/>
      <sz val="8.0"/>
      <color theme="1"/>
      <name val="Roboto"/>
      <scheme val="minor"/>
    </font>
    <font>
      <sz val="8.0"/>
      <color theme="1"/>
      <name val="Roboto"/>
      <scheme val="minor"/>
    </font>
    <font>
      <b/>
      <sz val="8.0"/>
      <color rgb="FF000000"/>
      <name val="Roboto"/>
    </font>
    <font>
      <b/>
      <color rgb="FFEA4335"/>
      <name val="Roboto"/>
      <scheme val="minor"/>
    </font>
    <font>
      <b/>
      <sz val="10.0"/>
      <color rgb="FF000000"/>
      <name val="Roboto"/>
    </font>
    <font>
      <b/>
      <sz val="10.0"/>
      <color theme="1"/>
      <name val="Roboto"/>
    </font>
    <font>
      <b/>
      <i/>
      <sz val="8.0"/>
      <color rgb="FF000000"/>
      <name val="Roboto"/>
    </font>
    <font>
      <i/>
      <sz val="8.0"/>
      <color rgb="FF000000"/>
      <name val="Roboto"/>
      <scheme val="minor"/>
    </font>
    <font>
      <b/>
      <color theme="1"/>
      <name val="Roboto"/>
    </font>
    <font>
      <b/>
      <sz val="14.0"/>
      <color theme="1"/>
      <name val="Roboto"/>
      <scheme val="minor"/>
    </font>
    <font>
      <b/>
      <sz val="12.0"/>
      <color theme="1"/>
      <name val="Roboto"/>
      <scheme val="minor"/>
    </font>
    <font>
      <b/>
      <i/>
      <sz val="8.0"/>
      <color theme="1"/>
      <name val="Roboto"/>
      <scheme val="minor"/>
    </font>
    <font>
      <i/>
      <color theme="1"/>
      <name val="Roboto"/>
      <scheme val="minor"/>
    </font>
    <font>
      <b/>
      <i/>
      <sz val="10.0"/>
      <color theme="1"/>
      <name val="Roboto"/>
      <scheme val="minor"/>
    </font>
    <font>
      <i/>
      <sz val="10.0"/>
      <color theme="1"/>
      <name val="Roboto"/>
      <scheme val="minor"/>
    </font>
    <font/>
    <font>
      <color rgb="FFFF0000"/>
      <name val="Roboto"/>
      <scheme val="minor"/>
    </font>
    <font>
      <b/>
      <sz val="18.0"/>
      <color theme="1"/>
      <name val="Roboto"/>
      <scheme val="minor"/>
    </font>
  </fonts>
  <fills count="9">
    <fill>
      <patternFill patternType="none"/>
    </fill>
    <fill>
      <patternFill patternType="lightGray"/>
    </fill>
    <fill>
      <patternFill patternType="solid">
        <fgColor rgb="FFFFFFFF"/>
        <bgColor rgb="FFFFFFFF"/>
      </patternFill>
    </fill>
    <fill>
      <patternFill patternType="solid">
        <fgColor theme="6"/>
        <bgColor theme="6"/>
      </patternFill>
    </fill>
    <fill>
      <patternFill patternType="solid">
        <fgColor rgb="FFF6F8F9"/>
        <bgColor rgb="FFF6F8F9"/>
      </patternFill>
    </fill>
    <fill>
      <patternFill patternType="solid">
        <fgColor rgb="FFFF0000"/>
        <bgColor rgb="FFFF0000"/>
      </patternFill>
    </fill>
    <fill>
      <patternFill patternType="solid">
        <fgColor rgb="FFF3F3F3"/>
        <bgColor rgb="FFF3F3F3"/>
      </patternFill>
    </fill>
    <fill>
      <patternFill patternType="solid">
        <fgColor rgb="FFF1F4FA"/>
        <bgColor rgb="FFF1F4FA"/>
      </patternFill>
    </fill>
    <fill>
      <patternFill patternType="solid">
        <fgColor rgb="FFEFEFEF"/>
        <bgColor rgb="FFEFEFEF"/>
      </patternFill>
    </fill>
  </fills>
  <borders count="4">
    <border/>
    <border>
      <left style="thick">
        <color rgb="FFFFFFFF"/>
      </left>
      <right style="thick">
        <color rgb="FFFFFFFF"/>
      </right>
      <top style="thick">
        <color rgb="FFFFFFFF"/>
      </top>
      <bottom style="thick">
        <color rgb="FFFFFFFF"/>
      </bottom>
    </border>
    <border>
      <left style="thick">
        <color rgb="FFF3F3F3"/>
      </left>
      <top style="thick">
        <color rgb="FFF3F3F3"/>
      </top>
      <bottom style="thick">
        <color rgb="FFF3F3F3"/>
      </bottom>
    </border>
    <border>
      <right style="thick">
        <color rgb="FFF3F3F3"/>
      </right>
      <top style="thick">
        <color rgb="FFF3F3F3"/>
      </top>
      <bottom style="thick">
        <color rgb="FFF3F3F3"/>
      </bottom>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1" numFmtId="0" xfId="0" applyAlignment="1" applyFont="1">
      <alignment readingOrder="0" shrinkToFit="0" vertical="center" wrapText="1"/>
    </xf>
    <xf borderId="0" fillId="3" fontId="1" numFmtId="164" xfId="0" applyAlignment="1" applyFill="1" applyFont="1" applyNumberFormat="1">
      <alignment readingOrder="0" shrinkToFit="0" vertical="center" wrapText="1"/>
    </xf>
    <xf borderId="0" fillId="3" fontId="1" numFmtId="49" xfId="0" applyAlignment="1" applyFont="1" applyNumberFormat="1">
      <alignment readingOrder="0" shrinkToFit="0" vertical="center" wrapText="1"/>
    </xf>
    <xf borderId="0" fillId="3" fontId="1" numFmtId="0" xfId="0" applyAlignment="1" applyFont="1">
      <alignment readingOrder="0" shrinkToFit="0" vertical="center" wrapText="1"/>
    </xf>
    <xf borderId="0" fillId="3" fontId="1" numFmtId="49" xfId="0" applyAlignment="1" applyFont="1" applyNumberFormat="1">
      <alignment readingOrder="0" shrinkToFit="0" vertical="center" wrapText="1"/>
    </xf>
    <xf borderId="0" fillId="2" fontId="1" numFmtId="0" xfId="0" applyAlignment="1" applyFont="1">
      <alignment readingOrder="0" shrinkToFit="0" vertical="center" wrapText="1"/>
    </xf>
    <xf borderId="0" fillId="2" fontId="2" numFmtId="165" xfId="0" applyAlignment="1" applyFont="1" applyNumberFormat="1">
      <alignment readingOrder="0" shrinkToFit="0" vertical="center" wrapText="0"/>
    </xf>
    <xf borderId="0" fillId="0" fontId="3" numFmtId="165" xfId="0" applyAlignment="1" applyFont="1" applyNumberFormat="1">
      <alignment readingOrder="0" shrinkToFit="0" vertical="center" wrapText="0"/>
    </xf>
    <xf borderId="0" fillId="0" fontId="3" numFmtId="164" xfId="0" applyAlignment="1" applyFont="1" applyNumberFormat="1">
      <alignment readingOrder="0" shrinkToFit="0" vertical="center" wrapText="0"/>
    </xf>
    <xf borderId="0" fillId="0" fontId="3" numFmtId="49" xfId="0" applyAlignment="1" applyFont="1" applyNumberFormat="1">
      <alignment readingOrder="0" shrinkToFit="0" vertical="center" wrapText="0"/>
    </xf>
    <xf borderId="0" fillId="0" fontId="4" numFmtId="49" xfId="0" applyAlignment="1" applyFont="1" applyNumberFormat="1">
      <alignment shrinkToFit="0" vertical="center" wrapText="0"/>
    </xf>
    <xf borderId="0" fillId="0" fontId="3" numFmtId="166" xfId="0" applyAlignment="1" applyFont="1" applyNumberFormat="1">
      <alignment readingOrder="0" shrinkToFit="0" vertical="center" wrapText="0"/>
    </xf>
    <xf borderId="0" fillId="0" fontId="3" numFmtId="49" xfId="0" applyAlignment="1" applyFont="1" applyNumberFormat="1">
      <alignment readingOrder="0" shrinkToFit="0" vertical="center" wrapText="0"/>
    </xf>
    <xf borderId="0" fillId="2" fontId="3" numFmtId="165"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readingOrder="0" shrinkToFit="0" vertical="center" wrapText="0"/>
    </xf>
    <xf borderId="0" fillId="0" fontId="3" numFmtId="1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4" xfId="0" applyAlignment="1" applyFont="1" applyNumberFormat="1">
      <alignment shrinkToFit="0" vertical="center" wrapText="0"/>
    </xf>
    <xf borderId="0" fillId="2" fontId="3" numFmtId="165" xfId="0" applyAlignment="1" applyFont="1" applyNumberFormat="1">
      <alignment shrinkToFit="0" vertical="center" wrapText="0"/>
    </xf>
    <xf borderId="0" fillId="2" fontId="2" numFmtId="165" xfId="0" applyAlignment="1" applyFont="1" applyNumberFormat="1">
      <alignment horizontal="right" shrinkToFit="0" vertical="center" wrapText="0"/>
    </xf>
    <xf borderId="0" fillId="0" fontId="3" numFmtId="165" xfId="0" applyAlignment="1" applyFont="1" applyNumberFormat="1">
      <alignment shrinkToFit="0" vertical="center" wrapText="0"/>
    </xf>
    <xf borderId="0" fillId="2" fontId="2" numFmtId="167" xfId="0" applyAlignment="1" applyFont="1" applyNumberFormat="1">
      <alignment readingOrder="0" shrinkToFit="0" vertical="center" wrapText="0"/>
    </xf>
    <xf borderId="0" fillId="0" fontId="3" numFmtId="167" xfId="0" applyAlignment="1" applyFont="1" applyNumberFormat="1">
      <alignment readingOrder="0" shrinkToFit="0" vertical="center" wrapText="0"/>
    </xf>
    <xf borderId="0" fillId="2" fontId="3" numFmtId="167" xfId="0" applyAlignment="1" applyFont="1" applyNumberFormat="1">
      <alignment shrinkToFit="0" vertical="center" wrapText="0"/>
    </xf>
    <xf borderId="0" fillId="2" fontId="2" numFmtId="0" xfId="0" applyAlignment="1" applyFont="1">
      <alignment readingOrder="0" shrinkToFit="0" vertical="center" wrapText="0"/>
    </xf>
    <xf borderId="0" fillId="2" fontId="2" numFmtId="168" xfId="0" applyAlignment="1" applyFont="1" applyNumberFormat="1">
      <alignment readingOrder="0" shrinkToFit="0" vertical="center" wrapText="0"/>
    </xf>
    <xf borderId="0" fillId="0" fontId="3" numFmtId="168" xfId="0" applyAlignment="1" applyFont="1" applyNumberFormat="1">
      <alignment readingOrder="0" shrinkToFit="0" vertical="center" wrapText="0"/>
    </xf>
    <xf borderId="0" fillId="2" fontId="3" numFmtId="168" xfId="0" applyAlignment="1" applyFont="1" applyNumberFormat="1">
      <alignment shrinkToFit="0" vertical="center" wrapText="0"/>
    </xf>
    <xf borderId="0" fillId="2" fontId="2" numFmtId="165" xfId="0" applyAlignment="1" applyFont="1" applyNumberFormat="1">
      <alignment horizontal="right" readingOrder="0" shrinkToFit="0" vertical="center" wrapText="0"/>
    </xf>
    <xf borderId="0" fillId="2" fontId="3" numFmtId="167" xfId="0" applyAlignment="1" applyFont="1" applyNumberFormat="1">
      <alignment readingOrder="0" shrinkToFit="0" vertical="center" wrapText="0"/>
    </xf>
    <xf borderId="0" fillId="0" fontId="3" numFmtId="164" xfId="0" applyAlignment="1" applyFont="1" applyNumberFormat="1">
      <alignment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3" numFmtId="49" xfId="0" applyAlignment="1" applyFont="1" applyNumberFormat="1">
      <alignment shrinkToFit="0" vertical="center" wrapText="0"/>
    </xf>
    <xf borderId="0" fillId="2" fontId="5" numFmtId="165" xfId="0" applyAlignment="1" applyFont="1" applyNumberFormat="1">
      <alignment horizontal="right" shrinkToFit="0" vertical="center" wrapText="0"/>
    </xf>
    <xf borderId="0" fillId="2" fontId="2" numFmtId="0" xfId="0" applyAlignment="1" applyFont="1">
      <alignment shrinkToFit="0" vertical="center" wrapText="0"/>
    </xf>
    <xf borderId="0" fillId="2" fontId="5" numFmtId="165" xfId="0" applyAlignment="1" applyFont="1" applyNumberFormat="1">
      <alignment horizontal="right" readingOrder="0" shrinkToFit="0" vertical="center" wrapText="0"/>
    </xf>
    <xf borderId="0" fillId="2" fontId="6" numFmtId="0" xfId="0" applyAlignment="1" applyFont="1">
      <alignment horizontal="center" readingOrder="0" shrinkToFit="0" vertical="center" wrapText="0"/>
    </xf>
    <xf borderId="0" fillId="2" fontId="6" numFmtId="165" xfId="0" applyAlignment="1" applyFont="1" applyNumberFormat="1">
      <alignment horizontal="center" readingOrder="0" shrinkToFit="0" vertical="center" wrapText="0"/>
    </xf>
    <xf borderId="0" fillId="2" fontId="2" numFmtId="165" xfId="0" applyAlignment="1" applyFont="1" applyNumberFormat="1">
      <alignment shrinkToFit="0" vertical="center" wrapText="0"/>
    </xf>
    <xf borderId="0" fillId="0" fontId="3" numFmtId="169" xfId="0" applyAlignment="1" applyFont="1" applyNumberFormat="1">
      <alignment readingOrder="0" shrinkToFit="0" vertical="center" wrapText="0"/>
    </xf>
    <xf borderId="0" fillId="2" fontId="3" numFmtId="0" xfId="0" applyAlignment="1" applyFont="1">
      <alignment shrinkToFit="0" vertical="center" wrapText="0"/>
    </xf>
    <xf borderId="0" fillId="2" fontId="3" numFmtId="0" xfId="0" applyAlignment="1" applyFont="1">
      <alignment readingOrder="0" shrinkToFit="0" vertical="center" wrapText="0"/>
    </xf>
    <xf borderId="0" fillId="2" fontId="3" numFmtId="49" xfId="0" applyAlignment="1" applyFont="1" applyNumberFormat="1">
      <alignment readingOrder="0" shrinkToFit="0" vertical="center" wrapText="0"/>
    </xf>
    <xf borderId="0" fillId="2" fontId="7" numFmtId="0" xfId="0" applyAlignment="1" applyFont="1">
      <alignment shrinkToFit="0" vertical="center" wrapText="0"/>
    </xf>
    <xf borderId="0" fillId="0" fontId="7" numFmtId="165" xfId="0" applyAlignment="1" applyFont="1" applyNumberFormat="1">
      <alignment horizontal="right" shrinkToFit="0" vertical="center" wrapText="0"/>
    </xf>
    <xf borderId="0" fillId="2" fontId="7" numFmtId="164" xfId="0" applyAlignment="1" applyFont="1" applyNumberFormat="1">
      <alignment readingOrder="0" shrinkToFit="0" vertical="center" wrapText="0"/>
    </xf>
    <xf borderId="0" fillId="2" fontId="5" numFmtId="0" xfId="0" applyAlignment="1" applyFont="1">
      <alignment shrinkToFit="0" vertical="center" wrapText="0"/>
    </xf>
    <xf borderId="0" fillId="2" fontId="8" numFmtId="0" xfId="0" applyAlignment="1" applyFont="1">
      <alignment shrinkToFit="0" vertical="center" wrapText="0"/>
    </xf>
    <xf borderId="0" fillId="2" fontId="8" numFmtId="0" xfId="0" applyAlignment="1" applyFont="1">
      <alignment horizontal="right" shrinkToFit="0" vertical="center" wrapText="0"/>
    </xf>
    <xf borderId="0" fillId="2" fontId="5" numFmtId="14" xfId="0" applyAlignment="1" applyFont="1" applyNumberFormat="1">
      <alignment horizontal="right" readingOrder="0" shrinkToFit="0" vertical="center" wrapText="0"/>
    </xf>
    <xf borderId="0" fillId="2" fontId="5" numFmtId="14" xfId="0" applyAlignment="1" applyFont="1" applyNumberFormat="1">
      <alignment shrinkToFit="0" vertical="center" wrapText="0"/>
    </xf>
    <xf borderId="0" fillId="2" fontId="5" numFmtId="0" xfId="0" applyAlignment="1" applyFont="1">
      <alignment shrinkToFit="0" vertical="center" wrapText="0"/>
    </xf>
    <xf borderId="0" fillId="2" fontId="5" numFmtId="49" xfId="0" applyAlignment="1" applyFont="1" applyNumberFormat="1">
      <alignment shrinkToFit="0" vertical="center" wrapText="0"/>
    </xf>
    <xf borderId="0" fillId="2" fontId="5" numFmtId="165" xfId="0" applyAlignment="1" applyFont="1" applyNumberFormat="1">
      <alignment shrinkToFit="0" vertical="center" wrapText="0"/>
    </xf>
    <xf borderId="0" fillId="2" fontId="9" numFmtId="0" xfId="0" applyAlignment="1" applyFont="1">
      <alignment shrinkToFit="0" vertical="center" wrapText="0"/>
    </xf>
    <xf borderId="0" fillId="2" fontId="5" numFmtId="14" xfId="0" applyAlignment="1" applyFont="1" applyNumberFormat="1">
      <alignment horizontal="right" shrinkToFit="0" vertical="center" wrapText="0"/>
    </xf>
    <xf borderId="0" fillId="4" fontId="7" numFmtId="164" xfId="0" applyAlignment="1" applyFill="1" applyFont="1" applyNumberFormat="1">
      <alignment readingOrder="0" shrinkToFit="0" vertical="center" wrapText="0"/>
    </xf>
    <xf borderId="0" fillId="4" fontId="5" numFmtId="0" xfId="0" applyAlignment="1" applyFont="1">
      <alignment shrinkToFit="0" vertical="center" wrapText="0"/>
    </xf>
    <xf borderId="0" fillId="4" fontId="9" numFmtId="0" xfId="0" applyAlignment="1" applyFont="1">
      <alignment shrinkToFit="0" vertical="center" wrapText="0"/>
    </xf>
    <xf borderId="0" fillId="4" fontId="5" numFmtId="14" xfId="0" applyAlignment="1" applyFont="1" applyNumberFormat="1">
      <alignment horizontal="right" shrinkToFit="0" vertical="center" wrapText="0"/>
    </xf>
    <xf borderId="0" fillId="4" fontId="5" numFmtId="14" xfId="0" applyAlignment="1" applyFont="1" applyNumberFormat="1">
      <alignment shrinkToFit="0" vertical="center" wrapText="0"/>
    </xf>
    <xf borderId="0" fillId="4" fontId="5" numFmtId="0" xfId="0" applyAlignment="1" applyFont="1">
      <alignment shrinkToFit="0" vertical="center" wrapText="0"/>
    </xf>
    <xf borderId="0" fillId="4" fontId="5" numFmtId="49" xfId="0" applyAlignment="1" applyFont="1" applyNumberFormat="1">
      <alignment shrinkToFit="0" vertical="center" wrapText="0"/>
    </xf>
    <xf borderId="0" fillId="2" fontId="3" numFmtId="49" xfId="0" applyAlignment="1" applyFont="1" applyNumberFormat="1">
      <alignment shrinkToFit="0" vertical="center" wrapText="0"/>
    </xf>
    <xf borderId="0" fillId="0" fontId="3" numFmtId="49" xfId="0" applyAlignment="1" applyFont="1" applyNumberFormat="1">
      <alignment shrinkToFit="0" vertical="center" wrapText="0"/>
    </xf>
    <xf borderId="0" fillId="0" fontId="3" numFmtId="0" xfId="0" applyAlignment="1" applyFont="1">
      <alignment readingOrder="0" shrinkToFit="0" vertical="center" wrapText="0"/>
    </xf>
    <xf borderId="0" fillId="0" fontId="3" numFmtId="170" xfId="0" applyAlignment="1" applyFont="1" applyNumberFormat="1">
      <alignment readingOrder="0" shrinkToFit="0" vertical="center" wrapText="0"/>
    </xf>
    <xf borderId="0" fillId="0" fontId="3" numFmtId="171" xfId="0" applyAlignment="1" applyFont="1" applyNumberFormat="1">
      <alignment readingOrder="0" shrinkToFit="0" vertical="center" wrapText="0"/>
    </xf>
    <xf borderId="0" fillId="0" fontId="3" numFmtId="172" xfId="0" applyAlignment="1" applyFont="1" applyNumberFormat="1">
      <alignment shrinkToFit="0" vertical="center" wrapText="0"/>
    </xf>
    <xf borderId="0" fillId="0" fontId="3" numFmtId="0" xfId="0" applyAlignment="1" applyFont="1">
      <alignment shrinkToFit="0" vertical="center" wrapText="0"/>
    </xf>
    <xf borderId="0" fillId="0" fontId="3" numFmtId="169" xfId="0" applyAlignment="1" applyFont="1" applyNumberFormat="1">
      <alignment shrinkToFit="0" vertical="center" wrapText="0"/>
    </xf>
    <xf borderId="0" fillId="0" fontId="3" numFmtId="171" xfId="0" applyAlignment="1" applyFont="1" applyNumberFormat="1">
      <alignment shrinkToFit="0" vertical="center" wrapText="0"/>
    </xf>
    <xf borderId="0" fillId="0" fontId="3" numFmtId="0" xfId="0" applyFont="1"/>
    <xf borderId="0" fillId="0" fontId="3" numFmtId="49" xfId="0" applyFont="1" applyNumberFormat="1"/>
    <xf borderId="0" fillId="0" fontId="3" numFmtId="164" xfId="0" applyFont="1" applyNumberFormat="1"/>
    <xf borderId="0" fillId="0" fontId="3" numFmtId="9" xfId="0" applyFont="1" applyNumberFormat="1"/>
    <xf borderId="0" fillId="0" fontId="10" numFmtId="0" xfId="0" applyAlignment="1" applyFont="1">
      <alignment horizontal="center" readingOrder="0" shrinkToFit="0" vertical="center" wrapText="0"/>
    </xf>
    <xf borderId="0" fillId="0" fontId="10" numFmtId="174" xfId="0" applyAlignment="1" applyFont="1" applyNumberFormat="1">
      <alignment horizontal="left" readingOrder="0" shrinkToFit="0" vertical="center" wrapText="0"/>
    </xf>
    <xf borderId="0" fillId="0" fontId="3" numFmtId="0" xfId="0" applyAlignment="1" applyFont="1">
      <alignment horizontal="center" readingOrder="0" shrinkToFit="0" vertical="center" wrapText="0"/>
    </xf>
    <xf borderId="0" fillId="0" fontId="11" numFmtId="174" xfId="0" applyAlignment="1" applyFont="1" applyNumberFormat="1">
      <alignment horizontal="center" readingOrder="0" shrinkToFit="0" vertical="center" wrapText="0"/>
    </xf>
    <xf borderId="0" fillId="0" fontId="10" numFmtId="174" xfId="0" applyAlignment="1" applyFont="1" applyNumberFormat="1">
      <alignment horizontal="center" readingOrder="0" shrinkToFit="0" vertical="center" wrapText="0"/>
    </xf>
    <xf borderId="0" fillId="0" fontId="12"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borderId="0" fillId="0" fontId="13" numFmtId="0" xfId="0" applyAlignment="1" applyFont="1">
      <alignment horizontal="right" readingOrder="0" shrinkToFit="0" vertical="center" wrapText="0"/>
    </xf>
    <xf borderId="0" fillId="0" fontId="14" numFmtId="174" xfId="0" applyAlignment="1" applyFont="1" applyNumberFormat="1">
      <alignment horizontal="center" readingOrder="0" shrinkToFit="0" vertical="center" wrapText="1"/>
    </xf>
    <xf borderId="0" fillId="0" fontId="14" numFmtId="174" xfId="0" applyAlignment="1" applyFont="1" applyNumberFormat="1">
      <alignment horizontal="left" readingOrder="0" shrinkToFit="0" vertical="center" wrapText="1"/>
    </xf>
    <xf borderId="0" fillId="0" fontId="14" numFmtId="49" xfId="0" applyAlignment="1" applyFont="1" applyNumberFormat="1">
      <alignment horizontal="left" readingOrder="0" shrinkToFit="0" vertical="center" wrapText="1"/>
    </xf>
    <xf borderId="0" fillId="0" fontId="14" numFmtId="49" xfId="0" applyAlignment="1" applyFont="1" applyNumberFormat="1">
      <alignment horizontal="center" readingOrder="0" shrinkToFit="0" vertical="center" wrapText="1"/>
    </xf>
    <xf borderId="0" fillId="0" fontId="15"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4" numFmtId="0" xfId="0" applyAlignment="1" applyFont="1">
      <alignment readingOrder="0" shrinkToFit="0" vertical="center" wrapText="1"/>
    </xf>
    <xf borderId="0" fillId="0" fontId="7" numFmtId="0" xfId="0" applyAlignment="1" applyFont="1">
      <alignment vertical="center"/>
    </xf>
    <xf borderId="0" fillId="0" fontId="16" numFmtId="0" xfId="0" applyAlignment="1" applyFont="1">
      <alignment readingOrder="0" shrinkToFit="0" vertical="center" wrapText="0"/>
    </xf>
    <xf borderId="0" fillId="0" fontId="16" numFmtId="0" xfId="0" applyAlignment="1" applyFont="1">
      <alignment readingOrder="0" shrinkToFit="0" vertical="center" wrapText="0"/>
    </xf>
    <xf borderId="0" fillId="0" fontId="16" numFmtId="173" xfId="0" applyAlignment="1" applyFont="1" applyNumberFormat="1">
      <alignment readingOrder="0" shrinkToFit="0" vertical="center" wrapText="0"/>
    </xf>
    <xf borderId="0" fillId="0" fontId="17" numFmtId="0" xfId="0" applyAlignment="1" applyFont="1">
      <alignment readingOrder="0" shrinkToFit="0" vertical="center" wrapText="0"/>
    </xf>
    <xf borderId="0" fillId="0" fontId="16" numFmtId="0" xfId="0" applyAlignment="1" applyFont="1">
      <alignment readingOrder="0" shrinkToFit="0" vertical="center" wrapText="0"/>
    </xf>
    <xf borderId="0" fillId="0" fontId="17" numFmtId="0" xfId="0" applyAlignment="1" applyFont="1">
      <alignment shrinkToFit="0" vertical="center" wrapText="0"/>
    </xf>
    <xf borderId="0" fillId="0" fontId="16" numFmtId="0" xfId="0" applyAlignment="1" applyFont="1">
      <alignment horizontal="right" shrinkToFit="0" vertical="center" wrapText="0"/>
    </xf>
    <xf borderId="0" fillId="0" fontId="16" numFmtId="0" xfId="0" applyAlignment="1" applyFont="1">
      <alignment shrinkToFit="0" vertical="center" wrapText="0"/>
    </xf>
    <xf borderId="0" fillId="0" fontId="16"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174" xfId="0" applyAlignment="1" applyFont="1" applyNumberFormat="1">
      <alignment readingOrder="0" shrinkToFit="0" vertical="center" wrapText="0"/>
    </xf>
    <xf borderId="0" fillId="0" fontId="7" numFmtId="17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8" numFmtId="173" xfId="0" applyAlignment="1" applyFont="1" applyNumberFormat="1">
      <alignment readingOrder="0" shrinkToFit="0" vertical="center" wrapText="0"/>
    </xf>
    <xf borderId="0" fillId="0" fontId="19" numFmtId="0" xfId="0" applyAlignment="1" applyFont="1">
      <alignment horizontal="center" readingOrder="0" shrinkToFit="0" vertical="center" wrapText="1"/>
    </xf>
    <xf borderId="0" fillId="0" fontId="20" numFmtId="0" xfId="0" applyAlignment="1" applyFont="1">
      <alignment readingOrder="0" shrinkToFit="0" vertical="center" wrapText="1"/>
    </xf>
    <xf borderId="0" fillId="0" fontId="20" numFmtId="49" xfId="0" applyAlignment="1" applyFont="1" applyNumberFormat="1">
      <alignment readingOrder="0" shrinkToFit="0" vertical="center" wrapText="1"/>
    </xf>
    <xf borderId="0" fillId="0" fontId="21" numFmtId="0" xfId="0" applyAlignment="1" applyFont="1">
      <alignment readingOrder="0" shrinkToFit="0" vertical="center" wrapText="1"/>
    </xf>
    <xf borderId="0" fillId="2" fontId="20" numFmtId="0" xfId="0" applyAlignment="1" applyFont="1">
      <alignment readingOrder="0" shrinkToFit="0" vertical="center" wrapText="1"/>
    </xf>
    <xf borderId="0" fillId="0" fontId="20" numFmtId="0" xfId="0" applyAlignment="1" applyFont="1">
      <alignment readingOrder="0" shrinkToFit="0" vertical="center" wrapText="1"/>
    </xf>
    <xf borderId="0" fillId="0" fontId="22" numFmtId="0" xfId="0" applyAlignment="1" applyFont="1">
      <alignment horizontal="center" readingOrder="0" shrinkToFit="0" vertical="center" wrapText="1"/>
    </xf>
    <xf borderId="0" fillId="0" fontId="14" numFmtId="0" xfId="0" applyAlignment="1" applyFont="1">
      <alignment horizontal="right" readingOrder="0" shrinkToFit="0" vertical="center" wrapText="1"/>
    </xf>
    <xf borderId="0" fillId="2" fontId="3"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6" numFmtId="174" xfId="0" applyAlignment="1" applyFont="1" applyNumberFormat="1">
      <alignment horizontal="right" readingOrder="0" shrinkToFit="0" vertical="center" wrapText="0"/>
    </xf>
    <xf borderId="0" fillId="0" fontId="3" numFmtId="173" xfId="0" applyAlignment="1" applyFont="1" applyNumberFormat="1">
      <alignmen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2" fontId="3" numFmtId="0" xfId="0" applyAlignment="1" applyFont="1">
      <alignment readingOrder="0" shrinkToFit="0" vertical="center" wrapText="0"/>
    </xf>
    <xf borderId="0" fillId="0" fontId="16" numFmtId="0" xfId="0" applyAlignment="1" applyFont="1">
      <alignment horizontal="left" readingOrder="0" shrinkToFit="0" vertical="center" wrapText="0"/>
    </xf>
    <xf borderId="0" fillId="0" fontId="18" numFmtId="174" xfId="0" applyAlignment="1" applyFont="1" applyNumberFormat="1">
      <alignment horizontal="right" readingOrder="0" shrinkToFit="0" vertical="center" wrapText="0"/>
    </xf>
    <xf borderId="0" fillId="0" fontId="2" numFmtId="173"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2" fontId="2" numFmtId="0" xfId="0" applyAlignment="1" applyFont="1">
      <alignment readingOrder="0" shrinkToFit="0" vertical="center" wrapText="0"/>
    </xf>
    <xf borderId="0" fillId="0" fontId="18"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173" xfId="0" applyAlignment="1" applyFont="1" applyNumberFormat="1">
      <alignment readingOrder="0" shrinkToFit="0" vertical="center" wrapText="0"/>
    </xf>
    <xf borderId="0" fillId="0" fontId="3" numFmtId="0" xfId="0" applyAlignment="1" applyFont="1">
      <alignment shrinkToFit="0" vertical="center" wrapText="0"/>
    </xf>
    <xf borderId="0" fillId="0" fontId="23" numFmtId="0" xfId="0" applyAlignment="1" applyFont="1">
      <alignment readingOrder="0" shrinkToFit="0" vertical="center" wrapText="0"/>
    </xf>
    <xf borderId="0" fillId="0" fontId="3" numFmtId="0" xfId="0" applyAlignment="1" applyFont="1">
      <alignment readingOrder="0" shrinkToFit="0" vertical="center" wrapText="0"/>
    </xf>
    <xf borderId="0" fillId="0" fontId="24"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0" fillId="0" fontId="25" numFmtId="0" xfId="0" applyAlignment="1" applyFont="1">
      <alignment horizontal="center" readingOrder="0" shrinkToFit="0" vertical="center" wrapText="1"/>
    </xf>
    <xf borderId="0" fillId="0" fontId="24" numFmtId="49" xfId="0" applyAlignment="1" applyFont="1" applyNumberFormat="1">
      <alignment horizontal="center" readingOrder="0" shrinkToFit="0" vertical="center" wrapText="1"/>
    </xf>
    <xf borderId="0" fillId="0" fontId="24" numFmtId="175" xfId="0" applyAlignment="1" applyFont="1" applyNumberFormat="1">
      <alignment horizontal="center" readingOrder="0" shrinkToFit="0" vertical="center" wrapText="1"/>
    </xf>
    <xf borderId="0" fillId="0" fontId="24" numFmtId="173" xfId="0" applyAlignment="1" applyFont="1" applyNumberFormat="1">
      <alignment horizontal="center" readingOrder="0" shrinkToFit="0" vertical="center" wrapText="1"/>
    </xf>
    <xf borderId="0" fillId="0" fontId="24" numFmtId="174" xfId="0" applyAlignment="1" applyFont="1" applyNumberFormat="1">
      <alignment horizontal="center" readingOrder="0" shrinkToFit="0" vertical="center" wrapText="1"/>
    </xf>
    <xf borderId="0" fillId="0" fontId="26" numFmtId="0" xfId="0" applyAlignment="1" applyFont="1">
      <alignment horizontal="left" readingOrder="0" shrinkToFit="0" vertical="center" wrapText="1"/>
    </xf>
    <xf borderId="0" fillId="0" fontId="26" numFmtId="49" xfId="0" applyAlignment="1" applyFont="1" applyNumberFormat="1">
      <alignment horizontal="center" readingOrder="0" shrinkToFit="0" vertical="center" wrapText="1"/>
    </xf>
    <xf borderId="0" fillId="0" fontId="27" numFmtId="0" xfId="0" applyAlignment="1" applyFont="1">
      <alignment horizontal="left" readingOrder="0" shrinkToFit="0" vertical="center" wrapText="1"/>
    </xf>
    <xf borderId="0" fillId="0" fontId="14" numFmtId="173" xfId="0" applyAlignment="1" applyFont="1" applyNumberFormat="1">
      <alignment horizontal="left" readingOrder="0" shrinkToFit="0" vertical="center" wrapText="1"/>
    </xf>
    <xf borderId="0" fillId="0" fontId="14" numFmtId="0" xfId="0" applyAlignment="1" applyFont="1">
      <alignment horizontal="left" readingOrder="0" shrinkToFit="0" vertical="center" wrapText="1"/>
    </xf>
    <xf borderId="0" fillId="0" fontId="16" numFmtId="174" xfId="0" applyAlignment="1" applyFont="1" applyNumberFormat="1">
      <alignment horizontal="right" readingOrder="0" shrinkToFit="0" vertical="center" wrapText="0"/>
    </xf>
    <xf borderId="0" fillId="0" fontId="7" numFmtId="0" xfId="0" applyAlignment="1" applyFont="1">
      <alignment horizontal="center" readingOrder="0" shrinkToFit="0" vertical="center" wrapText="0"/>
    </xf>
    <xf borderId="0" fillId="0" fontId="3" numFmtId="176" xfId="0" applyAlignment="1" applyFont="1" applyNumberFormat="1">
      <alignment horizontal="center" readingOrder="0" shrinkToFit="0" vertical="center" wrapText="0"/>
    </xf>
    <xf borderId="0" fillId="0" fontId="3" numFmtId="173" xfId="0" applyAlignment="1" applyFont="1" applyNumberFormat="1">
      <alignment readingOrder="0" shrinkToFit="0" vertical="center" wrapText="0"/>
    </xf>
    <xf borderId="0" fillId="0" fontId="3" numFmtId="172" xfId="0" applyAlignment="1" applyFont="1" applyNumberFormat="1">
      <alignment readingOrder="0" shrinkToFit="0" vertical="center" wrapText="0"/>
    </xf>
    <xf borderId="0" fillId="0" fontId="3" numFmtId="177"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3" numFmtId="0" xfId="0" applyAlignment="1" applyFont="1">
      <alignment shrinkToFit="0" vertical="center" wrapText="0"/>
    </xf>
    <xf borderId="0" fillId="0" fontId="7" numFmtId="0" xfId="0" applyAlignment="1" applyFont="1">
      <alignment readingOrder="0" shrinkToFit="0" vertical="center" wrapText="0"/>
    </xf>
    <xf borderId="0" fillId="0" fontId="3" numFmtId="173"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3" numFmtId="0" xfId="0" applyAlignment="1" applyFont="1">
      <alignment readingOrder="0" shrinkToFit="0" vertical="center" wrapText="0"/>
    </xf>
    <xf borderId="0" fillId="0" fontId="7" numFmtId="176" xfId="0" applyAlignment="1" applyFont="1" applyNumberFormat="1">
      <alignment horizontal="center" readingOrder="0" shrinkToFit="0" vertical="center" wrapText="0"/>
    </xf>
    <xf borderId="0" fillId="0" fontId="7" numFmtId="173" xfId="0" applyAlignment="1" applyFont="1" applyNumberFormat="1">
      <alignment readingOrder="0" shrinkToFit="0" vertical="center" wrapText="0"/>
    </xf>
    <xf borderId="0" fillId="0" fontId="7" numFmtId="0" xfId="0" applyAlignment="1" applyFont="1">
      <alignment shrinkToFit="0" vertical="center" wrapText="0"/>
    </xf>
    <xf borderId="0" fillId="0" fontId="7" numFmtId="164" xfId="0" applyAlignment="1" applyFont="1" applyNumberFormat="1">
      <alignment readingOrder="0" vertical="center"/>
    </xf>
    <xf borderId="0" fillId="0" fontId="7" numFmtId="0" xfId="0" applyAlignment="1" applyFont="1">
      <alignment readingOrder="0" shrinkToFit="0" vertical="center" wrapText="0"/>
    </xf>
    <xf borderId="0" fillId="0" fontId="7" numFmtId="0" xfId="0" applyAlignment="1" applyFont="1">
      <alignment vertical="center"/>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7" numFmtId="0" xfId="0" applyAlignment="1" applyFont="1">
      <alignment readingOrder="0" shrinkToFit="0" vertical="center" wrapText="0"/>
    </xf>
    <xf borderId="0" fillId="0" fontId="7" numFmtId="173" xfId="0" applyAlignment="1" applyFont="1" applyNumberFormat="1">
      <alignment readingOrder="0" shrinkToFit="0" vertical="center" wrapText="0"/>
    </xf>
    <xf borderId="0" fillId="0" fontId="7" numFmtId="0" xfId="0" applyAlignment="1" applyFont="1">
      <alignment shrinkToFit="0" vertical="center" wrapText="0"/>
    </xf>
    <xf borderId="0" fillId="0" fontId="7" numFmtId="176" xfId="0" applyAlignment="1" applyFont="1" applyNumberFormat="1">
      <alignment horizontal="center" shrinkToFit="0" vertical="center" wrapText="0"/>
    </xf>
    <xf borderId="0" fillId="0" fontId="3" numFmtId="173" xfId="0" applyAlignment="1" applyFont="1" applyNumberFormat="1">
      <alignment shrinkToFit="0" vertical="center" wrapText="0"/>
    </xf>
    <xf borderId="0" fillId="0" fontId="3" numFmtId="176" xfId="0" applyAlignment="1" applyFont="1" applyNumberFormat="1">
      <alignment horizontal="center" shrinkToFit="0" vertical="center" wrapText="0"/>
    </xf>
    <xf borderId="0" fillId="0" fontId="2" numFmtId="173" xfId="0" applyAlignment="1" applyFont="1" applyNumberFormat="1">
      <alignment readingOrder="0" shrinkToFit="0" vertical="center" wrapText="0"/>
    </xf>
    <xf borderId="0" fillId="0" fontId="7" numFmtId="0" xfId="0" applyAlignment="1" applyFont="1">
      <alignment shrinkToFit="0" vertical="center" wrapText="0"/>
    </xf>
    <xf borderId="0" fillId="0" fontId="7" numFmtId="0" xfId="0" applyAlignment="1" applyFont="1">
      <alignment shrinkToFit="0" vertical="center" wrapText="0"/>
    </xf>
    <xf borderId="0" fillId="0" fontId="3" numFmtId="0" xfId="0" applyAlignment="1" applyFont="1">
      <alignment shrinkToFit="0" vertical="center" wrapText="0"/>
    </xf>
    <xf borderId="0" fillId="0" fontId="7" numFmtId="0" xfId="0" applyAlignment="1" applyFont="1">
      <alignment horizontal="center" shrinkToFit="0" vertical="center" wrapText="0"/>
    </xf>
    <xf borderId="0" fillId="0" fontId="3" numFmtId="173" xfId="0" applyAlignment="1" applyFont="1" applyNumberFormat="1">
      <alignment shrinkToFit="0" vertical="center" wrapText="0"/>
    </xf>
    <xf borderId="0" fillId="0" fontId="3" numFmtId="172" xfId="0" applyAlignment="1" applyFont="1" applyNumberFormat="1">
      <alignment shrinkToFit="0" vertical="center" wrapText="0"/>
    </xf>
    <xf borderId="0" fillId="0" fontId="3" numFmtId="174" xfId="0" applyAlignment="1" applyFont="1" applyNumberFormat="1">
      <alignment shrinkToFit="0" vertical="center" wrapText="0"/>
    </xf>
    <xf borderId="0" fillId="0" fontId="3" numFmtId="177" xfId="0" applyAlignment="1" applyFont="1" applyNumberFormat="1">
      <alignment shrinkToFit="0" vertical="center" wrapText="0"/>
    </xf>
    <xf borderId="0" fillId="0" fontId="7" numFmtId="176" xfId="0" applyAlignment="1" applyFont="1" applyNumberFormat="1">
      <alignment horizontal="center" readingOrder="0" shrinkToFit="0" vertical="center" wrapText="0"/>
    </xf>
    <xf borderId="0" fillId="0" fontId="7" numFmtId="164" xfId="0" applyAlignment="1" applyFont="1" applyNumberFormat="1">
      <alignment vertical="center"/>
    </xf>
    <xf borderId="0" fillId="0" fontId="7" numFmtId="173" xfId="0" applyAlignment="1" applyFont="1" applyNumberFormat="1">
      <alignment shrinkToFit="0" vertical="center" wrapText="0"/>
    </xf>
    <xf borderId="0" fillId="0" fontId="7" numFmtId="164" xfId="0" applyAlignment="1" applyFont="1" applyNumberFormat="1">
      <alignment vertical="center"/>
    </xf>
    <xf borderId="0" fillId="0" fontId="28" numFmtId="176" xfId="0" applyAlignment="1" applyFont="1" applyNumberFormat="1">
      <alignment horizontal="center" readingOrder="0" shrinkToFit="0" vertical="center" wrapText="0"/>
    </xf>
    <xf borderId="0" fillId="0" fontId="3" numFmtId="173" xfId="0" applyAlignment="1" applyFont="1" applyNumberFormat="1">
      <alignment shrinkToFit="0" vertical="center" wrapText="0"/>
    </xf>
    <xf borderId="0" fillId="2" fontId="29" numFmtId="0" xfId="0" applyAlignment="1" applyFont="1">
      <alignment readingOrder="0" vertical="center"/>
    </xf>
    <xf borderId="0" fillId="0" fontId="29" numFmtId="0" xfId="0" applyAlignment="1" applyFont="1">
      <alignment readingOrder="0" vertical="center"/>
    </xf>
    <xf borderId="0" fillId="0" fontId="29" numFmtId="0" xfId="0" applyAlignment="1" applyFont="1">
      <alignment horizontal="center" vertical="center"/>
    </xf>
    <xf borderId="0" fillId="0" fontId="29" numFmtId="178" xfId="0" applyAlignment="1" applyFont="1" applyNumberFormat="1">
      <alignment horizontal="center" vertical="center"/>
    </xf>
    <xf borderId="0" fillId="2" fontId="29" numFmtId="0" xfId="0" applyAlignment="1" applyFont="1">
      <alignment horizontal="center" vertical="center"/>
    </xf>
    <xf borderId="0" fillId="2" fontId="29" numFmtId="0" xfId="0" applyAlignment="1" applyFont="1">
      <alignment vertical="center"/>
    </xf>
    <xf borderId="0" fillId="0" fontId="29" numFmtId="179" xfId="0" applyAlignment="1" applyFont="1" applyNumberFormat="1">
      <alignment horizontal="left" vertical="center"/>
    </xf>
    <xf borderId="0" fillId="2" fontId="3" numFmtId="0" xfId="0" applyAlignment="1" applyFont="1">
      <alignment vertical="center"/>
    </xf>
    <xf borderId="0" fillId="0" fontId="3" numFmtId="0" xfId="0" applyAlignment="1" applyFont="1">
      <alignment vertical="center"/>
    </xf>
    <xf borderId="0" fillId="0" fontId="3" numFmtId="0" xfId="0" applyAlignment="1" applyFont="1">
      <alignment horizontal="center" vertical="center"/>
    </xf>
    <xf borderId="0" fillId="0" fontId="11" numFmtId="0" xfId="0" applyAlignment="1" applyFont="1">
      <alignment horizontal="center" vertical="center"/>
    </xf>
    <xf borderId="0" fillId="0" fontId="3" numFmtId="178" xfId="0" applyAlignment="1" applyFont="1" applyNumberFormat="1">
      <alignment horizontal="center" vertical="center"/>
    </xf>
    <xf borderId="0" fillId="2" fontId="3" numFmtId="0" xfId="0" applyAlignment="1" applyFont="1">
      <alignment horizontal="center" vertical="center"/>
    </xf>
    <xf borderId="0" fillId="0" fontId="30" numFmtId="0" xfId="0" applyAlignment="1" applyFont="1">
      <alignment readingOrder="0" vertical="center"/>
    </xf>
    <xf borderId="1" fillId="2" fontId="31" numFmtId="0" xfId="0" applyAlignment="1" applyBorder="1" applyFont="1">
      <alignment horizontal="center" readingOrder="0" vertical="center"/>
    </xf>
    <xf borderId="1" fillId="0" fontId="31" numFmtId="0" xfId="0" applyAlignment="1" applyBorder="1" applyFont="1">
      <alignment horizontal="center" vertical="center"/>
    </xf>
    <xf borderId="1" fillId="0" fontId="31" numFmtId="0" xfId="0" applyAlignment="1" applyBorder="1" applyFont="1">
      <alignment horizontal="center" readingOrder="0" vertical="center"/>
    </xf>
    <xf borderId="1" fillId="0" fontId="31" numFmtId="178" xfId="0" applyAlignment="1" applyBorder="1" applyFont="1" applyNumberFormat="1">
      <alignment horizontal="center" readingOrder="0" vertical="center"/>
    </xf>
    <xf borderId="1" fillId="0" fontId="31" numFmtId="0" xfId="0" applyAlignment="1" applyBorder="1" applyFont="1">
      <alignment horizontal="center" readingOrder="0" vertical="center"/>
    </xf>
    <xf borderId="1" fillId="5" fontId="31" numFmtId="0" xfId="0" applyAlignment="1" applyBorder="1" applyFill="1" applyFont="1">
      <alignment horizontal="center" readingOrder="0" vertical="center"/>
    </xf>
    <xf borderId="1" fillId="2" fontId="3" numFmtId="0" xfId="0" applyAlignment="1" applyBorder="1" applyFont="1">
      <alignment vertical="center"/>
    </xf>
    <xf borderId="1" fillId="0" fontId="11" numFmtId="0" xfId="0" applyAlignment="1" applyBorder="1" applyFont="1">
      <alignment readingOrder="0" vertical="center"/>
    </xf>
    <xf borderId="1" fillId="0" fontId="32" numFmtId="0" xfId="0" applyAlignment="1" applyBorder="1" applyFont="1">
      <alignment horizontal="center" readingOrder="0" vertical="center"/>
    </xf>
    <xf borderId="1" fillId="0" fontId="11" numFmtId="0" xfId="0" applyAlignment="1" applyBorder="1" applyFont="1">
      <alignment horizontal="center" vertical="center"/>
    </xf>
    <xf borderId="1" fillId="0" fontId="3" numFmtId="178" xfId="0" applyAlignment="1" applyBorder="1" applyFont="1" applyNumberFormat="1">
      <alignment horizontal="center" vertical="center"/>
    </xf>
    <xf borderId="1" fillId="0" fontId="3" numFmtId="9" xfId="0" applyAlignment="1" applyBorder="1" applyFont="1" applyNumberFormat="1">
      <alignment horizontal="center" vertical="center"/>
    </xf>
    <xf borderId="1" fillId="0" fontId="3" numFmtId="0" xfId="0" applyAlignment="1" applyBorder="1" applyFont="1">
      <alignment horizontal="center" readingOrder="0" vertical="center"/>
    </xf>
    <xf borderId="1" fillId="0" fontId="3" numFmtId="0" xfId="0" applyAlignment="1" applyBorder="1" applyFont="1">
      <alignment horizontal="center" vertical="center"/>
    </xf>
    <xf borderId="1" fillId="0" fontId="3" numFmtId="0" xfId="0" applyAlignment="1" applyBorder="1" applyFont="1">
      <alignment horizontal="center" readingOrder="0" vertical="center"/>
    </xf>
    <xf borderId="1" fillId="2" fontId="3" numFmtId="1" xfId="0" applyAlignment="1" applyBorder="1" applyFont="1" applyNumberFormat="1">
      <alignment horizontal="center" vertical="center"/>
    </xf>
    <xf borderId="1" fillId="0" fontId="32" numFmtId="178" xfId="0" applyAlignment="1" applyBorder="1" applyFont="1" applyNumberFormat="1">
      <alignment horizontal="center" vertical="center"/>
    </xf>
    <xf borderId="1" fillId="0" fontId="3" numFmtId="0" xfId="0" applyAlignment="1" applyBorder="1" applyFont="1">
      <alignment horizontal="center" vertical="center"/>
    </xf>
    <xf borderId="1" fillId="0" fontId="3" numFmtId="1" xfId="0" applyAlignment="1" applyBorder="1" applyFont="1" applyNumberFormat="1">
      <alignment horizontal="center" readingOrder="0" vertical="center"/>
    </xf>
    <xf borderId="1" fillId="0" fontId="3" numFmtId="1" xfId="0" applyAlignment="1" applyBorder="1" applyFont="1" applyNumberFormat="1">
      <alignment horizontal="center" readingOrder="0" vertical="center"/>
    </xf>
    <xf borderId="1" fillId="0" fontId="11" numFmtId="1" xfId="0" applyAlignment="1" applyBorder="1" applyFont="1" applyNumberFormat="1">
      <alignment horizontal="center" vertical="center"/>
    </xf>
    <xf borderId="1" fillId="0" fontId="3" numFmtId="1" xfId="0" applyAlignment="1" applyBorder="1" applyFont="1" applyNumberFormat="1">
      <alignment horizontal="center" vertical="center"/>
    </xf>
    <xf borderId="1" fillId="2" fontId="11" numFmtId="0" xfId="0" applyAlignment="1" applyBorder="1" applyFont="1">
      <alignment vertical="center"/>
    </xf>
    <xf borderId="1" fillId="2" fontId="11" numFmtId="0" xfId="0" applyAlignment="1" applyBorder="1" applyFont="1">
      <alignment readingOrder="0" vertical="center"/>
    </xf>
    <xf borderId="1" fillId="2" fontId="4" numFmtId="0" xfId="0" applyAlignment="1" applyBorder="1" applyFont="1">
      <alignment horizontal="center" readingOrder="0" vertical="center"/>
    </xf>
    <xf borderId="1" fillId="2" fontId="11" numFmtId="0" xfId="0" applyAlignment="1" applyBorder="1" applyFont="1">
      <alignment horizontal="center" vertical="center"/>
    </xf>
    <xf borderId="1" fillId="2" fontId="31" numFmtId="178" xfId="0" applyAlignment="1" applyBorder="1" applyFont="1" applyNumberFormat="1">
      <alignment horizontal="center" readingOrder="0" vertical="center"/>
    </xf>
    <xf borderId="1" fillId="2" fontId="11" numFmtId="9" xfId="0" applyAlignment="1" applyBorder="1" applyFont="1" applyNumberFormat="1">
      <alignment horizontal="center" vertical="center"/>
    </xf>
    <xf borderId="1" fillId="2" fontId="11" numFmtId="1" xfId="0" applyAlignment="1" applyBorder="1" applyFont="1" applyNumberFormat="1">
      <alignment horizontal="center" readingOrder="0" vertical="center"/>
    </xf>
    <xf borderId="1" fillId="2" fontId="11" numFmtId="1" xfId="0" applyAlignment="1" applyBorder="1" applyFont="1" applyNumberFormat="1">
      <alignment horizontal="center" vertical="center"/>
    </xf>
    <xf borderId="1" fillId="2" fontId="32" numFmtId="0" xfId="0" applyAlignment="1" applyBorder="1" applyFont="1">
      <alignment vertical="center"/>
    </xf>
    <xf borderId="1" fillId="0" fontId="33" numFmtId="0" xfId="0" applyAlignment="1" applyBorder="1" applyFont="1">
      <alignment horizontal="center" readingOrder="0" vertical="center"/>
    </xf>
    <xf borderId="1" fillId="2" fontId="31" numFmtId="0" xfId="0" applyAlignment="1" applyBorder="1" applyFont="1">
      <alignment horizontal="center" vertical="center"/>
    </xf>
    <xf borderId="1" fillId="2" fontId="3" numFmtId="0" xfId="0" applyAlignment="1" applyBorder="1" applyFont="1">
      <alignment horizontal="center" vertical="center"/>
    </xf>
    <xf borderId="1" fillId="2" fontId="32" numFmtId="0" xfId="0" applyAlignment="1" applyBorder="1" applyFont="1">
      <alignment horizontal="center" vertical="center"/>
    </xf>
    <xf borderId="1" fillId="2" fontId="3" numFmtId="1" xfId="0" applyAlignment="1" applyBorder="1" applyFont="1" applyNumberFormat="1">
      <alignment horizontal="center" readingOrder="0" vertical="center"/>
    </xf>
    <xf borderId="1" fillId="2" fontId="3" numFmtId="0" xfId="0" applyAlignment="1" applyBorder="1" applyFont="1">
      <alignment horizontal="center" readingOrder="0" vertical="center"/>
    </xf>
    <xf borderId="1" fillId="2" fontId="11" numFmtId="0" xfId="0" applyAlignment="1" applyBorder="1" applyFont="1">
      <alignment horizontal="center" readingOrder="0" vertical="center"/>
    </xf>
    <xf borderId="1" fillId="2" fontId="11" numFmtId="0" xfId="0" applyAlignment="1" applyBorder="1" applyFont="1">
      <alignment readingOrder="0" vertical="center"/>
    </xf>
    <xf borderId="1" fillId="2" fontId="4" numFmtId="0" xfId="0" applyAlignment="1" applyBorder="1" applyFont="1">
      <alignment horizontal="center" readingOrder="0" vertical="center"/>
    </xf>
    <xf borderId="1" fillId="2" fontId="11" numFmtId="178" xfId="0" applyAlignment="1" applyBorder="1" applyFont="1" applyNumberFormat="1">
      <alignment horizontal="center" vertical="center"/>
    </xf>
    <xf borderId="1" fillId="2" fontId="11" numFmtId="0" xfId="0" applyAlignment="1" applyBorder="1" applyFont="1">
      <alignment horizontal="center" readingOrder="0" vertical="center"/>
    </xf>
    <xf borderId="0" fillId="2" fontId="11" numFmtId="0" xfId="0" applyAlignment="1" applyFont="1">
      <alignment horizontal="center" vertical="center"/>
    </xf>
    <xf borderId="1" fillId="0" fontId="31" numFmtId="0" xfId="0" applyAlignment="1" applyBorder="1" applyFont="1">
      <alignment horizontal="center" vertical="center"/>
    </xf>
    <xf borderId="1" fillId="5" fontId="31" numFmtId="0" xfId="0" applyAlignment="1" applyBorder="1" applyFont="1">
      <alignment horizontal="center" vertical="center"/>
    </xf>
    <xf borderId="0" fillId="0" fontId="29" numFmtId="0" xfId="0" applyAlignment="1" applyFont="1">
      <alignment horizontal="left" readingOrder="0" vertical="center"/>
    </xf>
    <xf borderId="0" fillId="0" fontId="11" numFmtId="0" xfId="0" applyAlignment="1" applyFont="1">
      <alignment vertical="center"/>
    </xf>
    <xf borderId="0" fillId="0" fontId="11" numFmtId="0" xfId="0" applyAlignment="1" applyFont="1">
      <alignment readingOrder="0" vertical="center"/>
    </xf>
    <xf borderId="0" fillId="0" fontId="34" numFmtId="0" xfId="0" applyAlignment="1" applyFont="1">
      <alignment horizontal="left" readingOrder="0" vertical="center"/>
    </xf>
    <xf borderId="0" fillId="6" fontId="29" numFmtId="0" xfId="0" applyAlignment="1" applyFill="1" applyFont="1">
      <alignment horizontal="center" readingOrder="0" vertical="center"/>
    </xf>
    <xf borderId="0" fillId="6" fontId="29" numFmtId="0" xfId="0" applyAlignment="1" applyFont="1">
      <alignment readingOrder="0" vertical="center"/>
    </xf>
    <xf borderId="0" fillId="6" fontId="11" numFmtId="0" xfId="0" applyAlignment="1" applyFont="1">
      <alignment vertical="center"/>
    </xf>
    <xf borderId="0" fillId="6" fontId="11" numFmtId="0" xfId="0" applyAlignment="1" applyFont="1">
      <alignment horizontal="center" vertical="center"/>
    </xf>
    <xf borderId="0" fillId="6" fontId="11" numFmtId="0" xfId="0" applyAlignment="1" applyFont="1">
      <alignment readingOrder="0" vertical="center"/>
    </xf>
    <xf borderId="0" fillId="6" fontId="11" numFmtId="0" xfId="0" applyAlignment="1" applyFont="1">
      <alignment horizontal="center" readingOrder="0" vertical="center"/>
    </xf>
    <xf borderId="2" fillId="0" fontId="30" numFmtId="180" xfId="0" applyAlignment="1" applyBorder="1" applyFont="1" applyNumberFormat="1">
      <alignment horizontal="left" readingOrder="0" vertical="center"/>
    </xf>
    <xf borderId="3" fillId="0" fontId="35" numFmtId="0" xfId="0" applyBorder="1" applyFont="1"/>
    <xf borderId="0" fillId="6" fontId="3" numFmtId="0" xfId="0" applyFont="1"/>
    <xf borderId="0" fillId="0" fontId="11" numFmtId="0" xfId="0" applyAlignment="1" applyFont="1">
      <alignment horizontal="center" readingOrder="0" vertical="center"/>
    </xf>
    <xf borderId="0" fillId="0" fontId="3" numFmtId="174" xfId="0" applyAlignment="1" applyFont="1" applyNumberFormat="1">
      <alignment vertical="center"/>
    </xf>
    <xf borderId="0" fillId="0" fontId="3" numFmtId="0" xfId="0" applyAlignment="1" applyFont="1">
      <alignment horizontal="center" shrinkToFit="0" vertical="center" wrapText="1"/>
    </xf>
    <xf borderId="0" fillId="0" fontId="3" numFmtId="174" xfId="0" applyAlignment="1" applyFont="1" applyNumberFormat="1">
      <alignment shrinkToFit="0" vertical="center" wrapText="1"/>
    </xf>
    <xf borderId="0" fillId="0" fontId="11" numFmtId="0" xfId="0" applyAlignment="1" applyFont="1">
      <alignment horizontal="center" readingOrder="0" shrinkToFit="0" vertical="center" wrapText="1"/>
    </xf>
    <xf borderId="0" fillId="0" fontId="3" numFmtId="0" xfId="0" applyAlignment="1" applyFont="1">
      <alignment shrinkToFit="0" vertical="center" wrapText="1"/>
    </xf>
    <xf borderId="0" fillId="0" fontId="3" numFmtId="49" xfId="0" applyAlignment="1" applyFont="1" applyNumberFormat="1">
      <alignment shrinkToFit="0" vertical="center" wrapText="1"/>
    </xf>
    <xf borderId="0" fillId="0" fontId="3" numFmtId="0" xfId="0" applyAlignment="1" applyFont="1">
      <alignment horizontal="center" readingOrder="0" vertical="center"/>
    </xf>
    <xf borderId="0" fillId="0" fontId="3" numFmtId="181" xfId="0" applyAlignment="1" applyFont="1" applyNumberFormat="1">
      <alignment horizontal="left" vertical="center"/>
    </xf>
    <xf borderId="0" fillId="0" fontId="36" numFmtId="0" xfId="0" applyAlignment="1" applyFont="1">
      <alignment horizontal="left" readingOrder="0" vertical="top"/>
    </xf>
    <xf borderId="0" fillId="0" fontId="36" numFmtId="0" xfId="0" applyAlignment="1" applyFont="1">
      <alignment horizontal="left" readingOrder="0" vertical="center"/>
    </xf>
    <xf borderId="0" fillId="0" fontId="3" numFmtId="181" xfId="0" applyAlignment="1" applyFont="1" applyNumberFormat="1">
      <alignment horizontal="center" vertical="center"/>
    </xf>
    <xf borderId="0" fillId="7" fontId="29" numFmtId="0" xfId="0" applyAlignment="1" applyFill="1" applyFont="1">
      <alignment shrinkToFit="0" vertical="top" wrapText="0"/>
    </xf>
    <xf borderId="0" fillId="7" fontId="29" numFmtId="173" xfId="0" applyAlignment="1" applyFont="1" applyNumberFormat="1">
      <alignment horizontal="center" readingOrder="0" shrinkToFit="0" vertical="top" wrapText="0"/>
    </xf>
    <xf borderId="0" fillId="7" fontId="29" numFmtId="0" xfId="0" applyAlignment="1" applyFont="1">
      <alignment shrinkToFit="0" vertical="center" wrapText="0"/>
    </xf>
    <xf borderId="0" fillId="2" fontId="29" numFmtId="173" xfId="0" applyAlignment="1" applyFont="1" applyNumberFormat="1">
      <alignment horizontal="center" readingOrder="0" shrinkToFit="0" vertical="center" wrapText="0"/>
    </xf>
    <xf borderId="0" fillId="7" fontId="29" numFmtId="173" xfId="0" applyAlignment="1" applyFont="1" applyNumberFormat="1">
      <alignment horizontal="center" readingOrder="0" shrinkToFit="0" vertical="center" wrapText="0"/>
    </xf>
    <xf borderId="0" fillId="2" fontId="29" numFmtId="173" xfId="0" applyAlignment="1" applyFont="1" applyNumberFormat="1">
      <alignment horizontal="center" readingOrder="0" shrinkToFit="0" vertical="center" wrapText="0"/>
    </xf>
    <xf borderId="0" fillId="0" fontId="29" numFmtId="0" xfId="0" applyAlignment="1" applyFont="1">
      <alignment shrinkToFit="0" vertical="top" wrapText="0"/>
    </xf>
    <xf quotePrefix="1" borderId="0" fillId="0" fontId="29" numFmtId="0" xfId="0" applyAlignment="1" applyFont="1">
      <alignment readingOrder="0" shrinkToFit="0" vertical="top" wrapText="0"/>
    </xf>
    <xf borderId="0" fillId="0" fontId="29" numFmtId="0" xfId="0" applyAlignment="1" applyFont="1">
      <alignment shrinkToFit="0" vertical="top" wrapText="1"/>
    </xf>
    <xf borderId="0" fillId="0" fontId="29" numFmtId="0" xfId="0" applyAlignment="1" applyFont="1">
      <alignment readingOrder="0" shrinkToFit="0" vertical="top" wrapText="1"/>
    </xf>
    <xf borderId="0" fillId="0" fontId="3" numFmtId="0" xfId="0" applyAlignment="1" applyFont="1">
      <alignment shrinkToFit="0" vertical="top" wrapText="1"/>
    </xf>
    <xf borderId="0" fillId="0" fontId="3" numFmtId="9" xfId="0" applyAlignment="1" applyFont="1" applyNumberFormat="1">
      <alignment shrinkToFit="0" vertical="top" wrapText="1"/>
    </xf>
    <xf borderId="0" fillId="0" fontId="3" numFmtId="9" xfId="0" applyAlignment="1" applyFont="1" applyNumberFormat="1">
      <alignment horizontal="right" shrinkToFit="0" vertical="top" wrapText="1"/>
    </xf>
    <xf borderId="0" fillId="0" fontId="3" numFmtId="0" xfId="0" applyAlignment="1" applyFont="1">
      <alignment shrinkToFit="0" vertical="top" wrapText="1"/>
    </xf>
    <xf borderId="0" fillId="0" fontId="29" numFmtId="0" xfId="0" applyAlignment="1" applyFont="1">
      <alignment readingOrder="0"/>
    </xf>
    <xf borderId="0" fillId="0" fontId="3" numFmtId="174" xfId="0" applyFont="1" applyNumberFormat="1"/>
    <xf borderId="0" fillId="0" fontId="3" numFmtId="0" xfId="0" applyAlignment="1" applyFont="1">
      <alignment horizontal="left"/>
    </xf>
    <xf borderId="0" fillId="0" fontId="3" numFmtId="174" xfId="0" applyAlignment="1" applyFont="1" applyNumberFormat="1">
      <alignment horizontal="left"/>
    </xf>
    <xf borderId="0" fillId="0" fontId="3" numFmtId="49" xfId="0" applyAlignment="1" applyFont="1" applyNumberFormat="1">
      <alignment horizontal="left"/>
    </xf>
    <xf borderId="0" fillId="2" fontId="3" numFmtId="182" xfId="0" applyAlignment="1" applyFont="1" applyNumberFormat="1">
      <alignment readingOrder="0"/>
    </xf>
    <xf borderId="0" fillId="0" fontId="37" numFmtId="0" xfId="0" applyAlignment="1" applyFont="1">
      <alignment readingOrder="0"/>
    </xf>
    <xf borderId="0" fillId="2" fontId="3" numFmtId="0" xfId="0" applyFont="1"/>
    <xf borderId="0" fillId="0" fontId="3" numFmtId="0" xfId="0" applyFont="1"/>
    <xf borderId="0" fillId="2" fontId="4" numFmtId="0" xfId="0" applyFont="1"/>
    <xf borderId="0" fillId="0" fontId="4" numFmtId="0" xfId="0" applyAlignment="1" applyFont="1">
      <alignment readingOrder="0"/>
    </xf>
    <xf borderId="0" fillId="2" fontId="4" numFmtId="0" xfId="0" applyAlignment="1" applyFont="1">
      <alignment readingOrder="0"/>
    </xf>
    <xf borderId="0" fillId="0" fontId="3" numFmtId="0" xfId="0" applyAlignment="1" applyFont="1">
      <alignment readingOrder="0"/>
    </xf>
    <xf borderId="0" fillId="2" fontId="3" numFmtId="0" xfId="0" applyAlignment="1" applyFont="1">
      <alignment readingOrder="0"/>
    </xf>
    <xf borderId="0" fillId="0" fontId="3" numFmtId="0" xfId="0" applyFont="1"/>
    <xf borderId="0" fillId="2" fontId="3" numFmtId="0" xfId="0" applyAlignment="1" applyFont="1">
      <alignment readingOrder="0"/>
    </xf>
    <xf borderId="0" fillId="2" fontId="3" numFmtId="0" xfId="0" applyAlignment="1" applyFont="1">
      <alignment readingOrder="0"/>
    </xf>
    <xf borderId="0" fillId="0" fontId="3" numFmtId="183" xfId="0" applyAlignment="1" applyFont="1" applyNumberFormat="1">
      <alignment readingOrder="0"/>
    </xf>
    <xf borderId="0" fillId="0" fontId="3" numFmtId="183" xfId="0" applyFont="1" applyNumberFormat="1"/>
    <xf borderId="0" fillId="8" fontId="7" numFmtId="0" xfId="0" applyAlignment="1" applyFill="1" applyFont="1">
      <alignment vertical="bottom"/>
    </xf>
    <xf borderId="0" fillId="6" fontId="7" numFmtId="0" xfId="0" applyAlignment="1" applyFont="1">
      <alignment vertical="bottom"/>
    </xf>
    <xf borderId="0" fillId="2" fontId="3" numFmtId="0" xfId="0" applyFont="1"/>
    <xf borderId="0" fillId="0" fontId="3" numFmtId="174" xfId="0" applyAlignment="1" applyFont="1" applyNumberFormat="1">
      <alignment horizontal="center" shrinkToFit="0" vertical="center" wrapText="1"/>
    </xf>
    <xf borderId="0" fillId="0" fontId="3" numFmtId="49" xfId="0" applyAlignment="1" applyFont="1" applyNumberFormat="1">
      <alignment horizontal="center" shrinkToFit="0" vertical="center" wrapText="1"/>
    </xf>
    <xf borderId="0" fillId="0" fontId="3" numFmtId="0" xfId="0" applyAlignment="1" applyFont="1">
      <alignment horizontal="left" readingOrder="0" vertical="center"/>
    </xf>
    <xf borderId="0" fillId="0" fontId="3" numFmtId="181" xfId="0" applyFont="1" applyNumberFormat="1"/>
  </cellXfs>
  <cellStyles count="1">
    <cellStyle xfId="0" name="Normal" builtinId="0"/>
  </cellStyles>
  <dxfs count="19">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BBC04"/>
          <bgColor rgb="FFFBBC04"/>
        </patternFill>
      </fill>
      <border/>
    </dxf>
    <dxf>
      <font/>
      <fill>
        <patternFill patternType="solid">
          <fgColor rgb="FFF8FAF8"/>
          <bgColor rgb="FFF8FAF8"/>
        </patternFill>
      </fill>
      <border/>
    </dxf>
    <dxf>
      <border>
        <left style="thin">
          <color rgb="FFFBBC04"/>
        </left>
        <right style="thin">
          <color rgb="FFFBBC04"/>
        </right>
        <top style="thin">
          <color rgb="FFFBBC04"/>
        </top>
        <bottom style="thin">
          <color rgb="FFFBBC04"/>
        </bottom>
      </border>
    </dxf>
    <dxf>
      <font>
        <b/>
        <color rgb="FFEA4335"/>
      </font>
      <fill>
        <patternFill patternType="none"/>
      </fill>
      <border/>
    </dxf>
    <dxf>
      <font>
        <b/>
        <strike/>
        <color rgb="FFB7B7B7"/>
      </font>
      <fill>
        <patternFill patternType="none"/>
      </fill>
      <border/>
    </dxf>
    <dxf>
      <font/>
      <fill>
        <patternFill patternType="solid">
          <fgColor rgb="FFF6F8F9"/>
          <bgColor rgb="FFF6F8F9"/>
        </patternFill>
      </fill>
      <border/>
    </dxf>
    <dxf>
      <font>
        <b/>
        <u/>
        <color rgb="FFFF0000"/>
      </font>
      <fill>
        <patternFill patternType="none"/>
      </fill>
      <border/>
    </dxf>
    <dxf>
      <font>
        <b/>
        <color rgb="FFFF0000"/>
      </font>
      <fill>
        <patternFill patternType="none"/>
      </fill>
      <border/>
    </dxf>
    <dxf>
      <font/>
      <fill>
        <patternFill patternType="solid">
          <fgColor rgb="FFF7CB4D"/>
          <bgColor rgb="FFF7CB4D"/>
        </patternFill>
      </fill>
      <border/>
    </dxf>
    <dxf>
      <font/>
      <fill>
        <patternFill patternType="solid">
          <fgColor rgb="FFFEF8E3"/>
          <bgColor rgb="FFFEF8E3"/>
        </patternFill>
      </fill>
      <border/>
    </dxf>
    <dxf>
      <font>
        <b/>
        <color rgb="FF34A853"/>
      </font>
      <fill>
        <patternFill patternType="none"/>
      </fill>
      <border/>
    </dxf>
    <dxf>
      <font>
        <color rgb="FFFFFFFF"/>
      </font>
      <fill>
        <patternFill patternType="solid">
          <fgColor rgb="FF34A853"/>
          <bgColor rgb="FF34A853"/>
        </patternFill>
      </fill>
      <border/>
    </dxf>
    <dxf>
      <font/>
      <fill>
        <patternFill patternType="solid">
          <fgColor rgb="FFFFFF00"/>
          <bgColor rgb="FFFFFF00"/>
        </patternFill>
      </fill>
      <border/>
    </dxf>
    <dxf>
      <font/>
      <fill>
        <patternFill patternType="solid">
          <fgColor rgb="FFFF9900"/>
          <bgColor rgb="FFFF9900"/>
        </patternFill>
      </fill>
      <border/>
    </dxf>
    <dxf>
      <font>
        <color rgb="FFFFFFFF"/>
      </font>
      <fill>
        <patternFill patternType="solid">
          <fgColor rgb="FFE74C3C"/>
          <bgColor rgb="FFE74C3C"/>
        </patternFill>
      </fill>
      <border/>
    </dxf>
  </dxfs>
  <tableStyles count="10">
    <tableStyle count="3" pivot="0" name="🙎‍♂️ Pasien-style">
      <tableStyleElement dxfId="1" type="headerRow"/>
      <tableStyleElement dxfId="2" type="firstRowStripe"/>
      <tableStyleElement dxfId="3" type="secondRowStripe"/>
    </tableStyle>
    <tableStyle count="4" pivot="0" name="📝 Kunjungan-style">
      <tableStyleElement dxfId="4" type="headerRow"/>
      <tableStyleElement dxfId="2" type="firstRowStripe"/>
      <tableStyleElement dxfId="5" type="secondRowStripe"/>
      <tableStyleElement dxfId="6" size="0" type="wholeTable"/>
    </tableStyle>
    <tableStyle count="4" pivot="0" name="📥 TA-style">
      <tableStyleElement dxfId="4" type="headerRow"/>
      <tableStyleElement dxfId="2" type="firstRowStripe"/>
      <tableStyleElement dxfId="9" type="secondRowStripe"/>
      <tableStyleElement dxfId="6" size="0" type="wholeTable"/>
    </tableStyle>
    <tableStyle count="4" pivot="0" name="💾 Paket-style">
      <tableStyleElement dxfId="4" type="headerRow"/>
      <tableStyleElement dxfId="2" type="firstRowStripe"/>
      <tableStyleElement dxfId="9" type="secondRowStripe"/>
      <tableStyleElement dxfId="6" size="0" type="wholeTable"/>
    </tableStyle>
    <tableStyle count="3" pivot="0" name="🎯 Target-style">
      <tableStyleElement dxfId="12" type="headerRow"/>
      <tableStyleElement dxfId="3" type="firstRowStripe"/>
      <tableStyleElement dxfId="13" type="secondRowStripe"/>
    </tableStyle>
    <tableStyle count="3" pivot="0" name="🎯 Target-style 2">
      <tableStyleElement dxfId="12" type="headerRow"/>
      <tableStyleElement dxfId="3" type="firstRowStripe"/>
      <tableStyleElement dxfId="13" type="secondRowStripe"/>
    </tableStyle>
    <tableStyle count="3" pivot="0" name="🎯 Target-style 3">
      <tableStyleElement dxfId="12" type="headerRow"/>
      <tableStyleElement dxfId="3" type="firstRowStripe"/>
      <tableStyleElement dxfId="13" type="secondRowStripe"/>
    </tableStyle>
    <tableStyle count="3" pivot="0" name="🎯 Target-style 4">
      <tableStyleElement dxfId="12" type="headerRow"/>
      <tableStyleElement dxfId="3" type="firstRowStripe"/>
      <tableStyleElement dxfId="13" type="secondRowStripe"/>
    </tableStyle>
    <tableStyle count="3" pivot="0" name="🎯 Target-style 5">
      <tableStyleElement dxfId="12" type="headerRow"/>
      <tableStyleElement dxfId="3" type="firstRowStripe"/>
      <tableStyleElement dxfId="13" type="secondRowStripe"/>
    </tableStyle>
    <tableStyle count="2" pivot="0" name="⚙️ Pengaturan-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pivotCacheDefinition" Target="pivotCache/pivotCacheDefinition3.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Y371" sheet="📥 TA"/>
  </cacheSource>
  <cacheFields>
    <cacheField name="TANGGAL" numFmtId="173">
      <sharedItems containsDate="1" containsString="0" containsBlank="1">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1-01T00:00:00Z"/>
        <d v="2025-11-02T00:00:00Z"/>
        <d v="2025-11-03T00:00:00Z"/>
        <d v="2025-11-04T00:00:00Z"/>
        <d v="2025-11-05T00:00:00Z"/>
        <d v="2025-11-06T00:00:00Z"/>
        <d v="2025-11-08T00:00:00Z"/>
        <d v="2025-11-09T00:00:00Z"/>
        <d v="2025-11-10T00:00:00Z"/>
        <d v="2025-11-11T00:00:00Z"/>
        <d v="2025-11-12T00:00:00Z"/>
        <d v="2025-11-13T00:00:00Z"/>
        <d v="2025-11-14T00:00:00Z"/>
        <d v="2025-11-15T00:00:00Z"/>
        <d v="2025-11-16T00:00:00Z"/>
        <d v="2025-11-17T00:00:00Z"/>
        <d v="2025-11-18T00:00:00Z"/>
        <d v="2025-11-19T00:00:00Z"/>
        <d v="2025-11-20T00:00:00Z"/>
        <d v="2025-11-22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6T00:00:00Z"/>
        <d v="2025-12-27T00:00:00Z"/>
        <m/>
        <d v="2025-12-28T00:00:00Z"/>
        <d v="2025-12-29T00:00:00Z"/>
      </sharedItems>
    </cacheField>
    <cacheField name="TAHUN" numFmtId="164">
      <sharedItems containsBlank="1">
        <s v="2025"/>
        <m/>
        <s v=""/>
      </sharedItems>
    </cacheField>
    <cacheField name="BULAN" numFmtId="164">
      <sharedItems>
        <s v="10 Okt"/>
        <s v="11 Nov"/>
        <s v="12 Des"/>
        <s v=""/>
      </sharedItems>
    </cacheField>
    <cacheField name="HARI" numFmtId="164">
      <sharedItems>
        <s v="Rab"/>
        <s v="Kam"/>
        <s v="Jum"/>
        <s v="Sab"/>
        <s v="Min"/>
        <s v="Sen"/>
        <s v="Sel"/>
        <s v=""/>
      </sharedItems>
    </cacheField>
    <cacheField name="SHIFT" numFmtId="0">
      <sharedItems containsBlank="1">
        <s v="PAGI"/>
        <s v="SORE"/>
        <m/>
      </sharedItems>
    </cacheField>
    <cacheField name="TIM" numFmtId="0">
      <sharedItems containsBlank="1">
        <s v="TIM A"/>
        <s v="TIM Y"/>
        <s v="MANAJEMEN"/>
        <s v="INAKTIF"/>
        <m/>
      </sharedItems>
    </cacheField>
    <cacheField name="NAMA PASIEN" numFmtId="0">
      <sharedItems containsBlank="1">
        <s v="DELILA"/>
        <s v="AFNUR RIKI AMRULLAH"/>
        <s v="LIM OI KHIUN ALS RIANA"/>
        <s v="SUHERDIYANTO, S.PD"/>
        <s v="SHAOUQI NASHUHA"/>
        <s v="ROBINSON NAINGGOLAN"/>
        <s v="AYDA RIANI JOHAR"/>
        <s v="LISA MEGASARI"/>
        <s v="RAHMAD PUNGKI WALUYO "/>
        <s v="LENI DIANTAMI"/>
        <s v="OZZY GUARDIOLA FITTIFALDY"/>
        <s v="AMARA PUTRI NAZARISKA "/>
        <s v="ARIFIN NUR ROCHMAD"/>
        <s v="ROSWITA"/>
        <s v="TITIN MARIANTI S.PDI"/>
        <s v="BIBI NAIZA "/>
        <s v="DWI SARTIKA SARI"/>
        <s v="MUHAMMAD AMSYARUL FIKRI"/>
        <s v="ERITA GUNAWAN"/>
        <s v="RESTU WAHYUNI"/>
        <s v="SUPARNO"/>
        <s v="MARISA HANDAYANI"/>
        <s v="CINTHYA MEILIZA"/>
        <s v="ANDY SETIAWAN"/>
        <s v="SILVI AULIA"/>
        <s v="SETYA AJI"/>
        <s v="UMI KHOLIFAH"/>
        <s v="ROSKIAMY "/>
        <s v="MUHAMMAD ALIWA PASHYA"/>
        <s v="BENI PRAYOGA"/>
        <s v="SIGI WIRAPUTRA "/>
        <s v="ADIYATH RANDY YUDIMAMASE, SE.M.M"/>
        <s v="RIA UTAMI"/>
        <s v="ELWIN LAVEDA"/>
        <s v="ALPUTRALAW"/>
        <s v="BINTARI INDAH SAPUTRI"/>
        <s v="TJAN TIONG HONG"/>
        <s v="AULIA RAHMAH PUTRI ADISHA"/>
        <s v="FITRI ANGGRAINI "/>
        <s v="TEGUH KURNIAWAN"/>
        <s v="AGATHA ARCADIA"/>
        <s v="JULIO ARIE PANANGIAN NAPITUPULU"/>
        <s v="NANI ERNIEYATI "/>
        <s v="HJ. NURDESWATI SH "/>
        <s v="NURZAINI"/>
        <s v="GREGORIUS TACCHINARDI "/>
        <s v="AZARYA JADAYN ARYO"/>
        <s v="FATIH HAWWARI "/>
        <s v="MULLY ENDAH PRATIWI"/>
        <s v="RASIANI"/>
        <s v="RICKY ISKANDAR"/>
        <s v="HADIJAH "/>
        <s v="ROKIDI"/>
        <s v="FITRIYANI"/>
        <s v="ELLYSA FERONIKA HALIM"/>
        <s v="ERIC JORDAN"/>
        <s v="DESY RASTIKA SARI"/>
        <s v="RICKY FARIZA LUBIS"/>
        <s v="ANDI"/>
        <s v="RECKI SEPTIANDA"/>
        <s v="RIKA RIYANTI"/>
        <s v="KRISTIANI "/>
        <s v="ALY AL DASTAN"/>
        <s v="PUTRI MIRANDA"/>
        <s v="SUHARMI"/>
        <s v="MUHAMMAD FADLI LUTFIANDO"/>
        <s v="ALDO PUTRA DERMAWAN"/>
        <s v="SHAFIRA ANNISA"/>
        <s v="AQILA AFIFAH OCTAFRIYANA "/>
        <s v="LANDON CRYSANDER ALI"/>
        <s v="MIFTAHUL BAROKY "/>
        <s v="HERDY"/>
        <s v="TUTI TRISNAWATI"/>
        <s v="IRRINA FAUZIARNI"/>
        <s v="FRITA OLIVIA"/>
        <s v="ANDRE CORIYONGSEN TEDO"/>
        <s v="KATELYN ELANOR LIM"/>
        <s v="SHARON LIE"/>
        <s v="NASYWA EDGINA HAPSARI"/>
        <s v="BELLA BESTIANA TJANDRA"/>
        <s v="M. ARSYAD "/>
        <s v="ARDI ZAJULI"/>
        <s v="WAZIAN ZIRA ANTANYA"/>
        <s v="ANGELICA BUNARDI"/>
        <s v="DIANA"/>
        <s v="NOEVAL MUZZAKY"/>
        <s v="OBIN"/>
        <s v="BUJANG"/>
        <s v="RAJEMAH"/>
        <s v="RINA TJENDERA"/>
        <s v="MAHIYE"/>
        <s v="ALGI FAHRI"/>
        <s v="RIKSON ARMAGEDON PURBA"/>
        <s v="DHUTA ERLANGGA SUPRAYITNO"/>
        <s v="TJANG JUN BU"/>
        <s v="RAFIF HANAN"/>
        <s v="TUKIJO"/>
        <s v="RAHDIAN EDISON"/>
        <s v="OKTARIANA TRI SUSANTI"/>
        <s v="MARIO GOTHEDY"/>
        <s v="DELLY MARINA"/>
        <s v="WIWID YULIAN SAPUTRO"/>
        <s v="RINI ADIYANTI K"/>
        <s v="RAJIDIN"/>
        <s v="SULAIMAN 6407"/>
        <s v="JO MIAUW MUI"/>
        <s v="DWI CHRISTIANA "/>
        <s v="FADLURROHMAN ASSHIDDIQI"/>
        <s v="SUKAWATI EFFENDY"/>
        <s v="LUCIA HIDAYAT"/>
        <s v="SITI HALIMAH"/>
        <s v="ELY"/>
        <s v="VIONA PRICILA"/>
        <s v="ALFA GILBERD"/>
        <s v="TIURLAN RANIA SITOMPUL"/>
        <s v="NOVIANTO"/>
        <s v="TRI ALFAIRUS"/>
        <s v="ASTISZA SYAHLA LUDMILLA PARABI"/>
        <s v="MAULIDIA AKHIR"/>
        <s v="HAUNAN FACHRY ROHILIE"/>
        <s v="ALIONG"/>
        <s v="LISNA WARDATI"/>
        <s v="AINIYATUL FITRIYAH"/>
        <s v="BRAMA DARUSSALAM JATMIKO"/>
        <s v="MUHAMMAD FIRMAN SAPUTRA"/>
        <s v="GUSTI MURI IRFAN"/>
        <s v="NURHASANA"/>
        <s v="MIA HARTE"/>
        <s v="NURJANAH"/>
        <s v="MISSRIWATI"/>
        <s v="GIRY XAVIRA PUTRI"/>
        <s v="SUKARNI"/>
        <s v="MAWRICE CHUARESMO MARTIN"/>
        <s v="OWEN LOWIRA"/>
        <s v="ERVINAWATI KUSUMA"/>
        <s v="DJAUW KHIE TJIN"/>
        <s v="BARTOLOMEUS LAUDY GALIH ARTO"/>
        <s v="JULIA KARUNIA"/>
        <s v="RAHMAT REZA FAHLEVI"/>
        <s v="ARYA KUSUMA RAMADAN"/>
        <s v="MUHAMMAD TAUFIK"/>
        <s v="KALYCA ANDANIA "/>
        <s v="MARIYAMINA RUPINA"/>
        <s v="CAMELIA DESNIGO"/>
        <s v="DANY SUWARNO"/>
        <s v="FATIMA"/>
        <s v="ZULKIFLI HASANUDDIN "/>
        <s v="ELO SINAGA"/>
        <s v="MUHAMMAD REVANDRA"/>
        <s v="HUWAIDAH THIFAL NAURAH"/>
        <s v="SUGIANTO WIJAYA"/>
        <s v="SUMIATI"/>
        <s v="REI KHALFANI"/>
        <s v="WARRIN WIJAYA"/>
        <s v="TAN TJHUN TIE ALS ROBERT"/>
        <s v="SEBASTIAN"/>
        <s v="SRI HERYANTI"/>
        <s v="MARTIN"/>
        <s v="CANDY WIBOWO"/>
        <s v="SAITA "/>
        <s v="ENDIH SUPANDIH"/>
        <s v="SALLY ISKANDAR TAN"/>
        <s v="GILANG RIDHO ANANDA "/>
        <s v="ELLISA RASIMIN"/>
        <s v="SUSANTI"/>
        <s v="MEDIANA SULISTIAWATI"/>
        <s v="ANDRI WIJAYA KUSUMA"/>
        <s v="M IQBAL"/>
        <s v="VANES ALBERT"/>
        <s v="NAJWA NUR AZWINA"/>
        <s v="YESI VERDIANTI"/>
        <s v="RD RHAFLI HASSAN BISRI"/>
        <s v="MINARWATY"/>
        <s v="MUHAMMAD DHUHA KUSUMA "/>
        <s v="M. AHZA SYAHMI ARDI"/>
        <s v="AZMI 8804"/>
        <s v="STEVANI"/>
        <s v="RINI SATMAWATI "/>
        <s v="HANY JULIANI"/>
        <s v="ANDI DE"/>
        <s v="RATNAWITA"/>
        <s v="NURHAYATI 6206"/>
        <s v="JUSTIKA MAHAR RANI"/>
        <s v="MUHAMMAD DEVA ERLANGGA"/>
        <s v="HUMAIRA NOVRIYATI"/>
        <s v="SUPOMO"/>
        <s v="WISNU"/>
        <s v="SOFIA PHUA"/>
        <s v="AKIAN"/>
        <s v="PETRUS"/>
        <s v="AULI FATHIA PUTRIATI S.FARM, APT"/>
        <s v="ELLA FITRIA"/>
        <s v="IDRIS"/>
        <s v="NADYA MUTMAINAH"/>
        <s v="MUH AGUS MAULANA"/>
        <s v="IRIYANI"/>
        <s v="CHRISTIAN WIDIYANTO"/>
        <s v="HELGA MACHARA NOVIA"/>
        <s v="CHIKI AMARA SYAHLITHA"/>
        <s v="ELMON UTOMO"/>
        <s v="MENTARI RACHMANIAZ RIZKI"/>
        <s v="JASON VALENCIUS"/>
        <s v="MASKADARNI"/>
        <s v="SYARIF RAIHAN RAFISKI"/>
        <s v="TENGKU PUTRI DEVANTY"/>
        <s v="FACHRUL APRIAN"/>
        <s v="SISKA DAMASTUTI "/>
        <s v="WILLY WIJAYA"/>
        <s v="JOVAN EDUARDO LO"/>
        <s v="RIA IRAWAN "/>
        <s v="VERDICO ARIEF"/>
        <s v="DARA RANTI PURBASAR"/>
        <s v="VIVIYANTI"/>
        <s v="SELVINUS ONOT "/>
        <s v="JULIANA"/>
        <s v="ZULFAHMI EKI FINALDA"/>
        <s v="BENHUR SITUMORANG"/>
        <s v="RENA"/>
        <s v="BAGAS BIMANTORO HARYONO"/>
        <s v="HENGKI AFRIANUS"/>
        <s v="IQLIMA ZAHRA"/>
        <s v="ANDY"/>
        <s v="ALYSSA SALSABILLA"/>
        <s v="ANSELMUS RINALDHY, SE.,MM"/>
        <s v="OSKAR FEBRIANO HASITTO"/>
        <s v="YULIA WIDIANARTI"/>
        <s v="DEVKY DERMAWANSYAH"/>
        <s v="REZA"/>
        <s v="DIMAS PRATAMA PUTRA"/>
        <s v="ALPAWI"/>
        <s v="ROHANI"/>
        <s v="ALKHAWARISMA"/>
        <s v="SUTRISNO"/>
        <s v="WARI WALINGGA"/>
        <s v="RITA MUSTARI"/>
        <s v="YULIANA SST"/>
        <s v="BAYU AGIL SAMPURNO"/>
        <s v="NOLLIE NOVELLA TANAJO"/>
        <s v="EVELINE PARAMITHA LORINDA"/>
        <s v="SING SING"/>
        <s v="APRILLIA SUSANTI"/>
        <s v="ZULKIFLI 8105"/>
        <s v="WIWIN WAHYUNINGSIH "/>
        <s v="WISNU WARDANA "/>
        <s v="FIRMAN HIDAYAT"/>
        <s v="MILLAH AULIYA "/>
        <s v="ANDYKA FILANI"/>
        <s v="RICO OSCARIO"/>
        <s v="YATMI"/>
        <s v="WACHYU WIDAYAT"/>
        <s v="VIVIANTY"/>
        <s v="SARWATI"/>
        <s v="DARMADI"/>
        <s v="TRI SUTRISNO"/>
        <s v="HANAPI"/>
        <s v="MISLANA"/>
        <s v="LILI MANGKULIONO"/>
        <s v="MUHAMMAD FARIDH DIYAPRATAMA"/>
        <s v="LILI URIANTO"/>
        <s v="DESA AYU NATALIA"/>
        <s v="TEGUH ADI PEASETYO"/>
        <s v="WURAN KRISNAWATI"/>
        <s v="INDRA JAYA AK MSI"/>
        <s v="FARREL "/>
        <s v="TA"/>
        <s v="URAY SHIEDQIE"/>
        <s v="ROSNIAR"/>
        <s v="NIKEN PASKALIA"/>
        <s v="BANU AJI NUGROHO"/>
        <s v="RACHMI WULAN"/>
        <s v="ADAM DAMIRI "/>
        <s v="SUSANTI 7401"/>
        <s v="KRIS YOGI DWI PUTRA SIBARANI"/>
        <s v="GRACIA SHERLYTTA VALENSIA"/>
        <s v="ANGELINE OLIVIA"/>
        <s v="LICA"/>
        <s v="KENNETH CARMEN"/>
        <s v="HARMI CAHYANI"/>
        <s v="GIOVANNI NASTASIO PARURERA "/>
        <s v="AGUS HARYONO"/>
        <s v="RATNA DEWI"/>
        <s v="ASEP SETIAWAN"/>
        <s v="DARREN LOWIRA"/>
        <s v="LIAU TJONG POEN ALS YULIANA"/>
        <s v="NIKO BARKAH DAME PUTRA SIREGAR"/>
        <s v="YAYA MAULIDIA"/>
        <s v="SUMITO WICAKSONO SIM"/>
        <s v="LIE KIM FA/KESUMAJADI"/>
        <s v="ANGELIA IVANA"/>
        <s v="FERY"/>
        <s v="WIEKE VERASTUTI "/>
        <s v="DWI BARI LUTHFIANUR"/>
        <s v="RESYA NOVADITYA"/>
        <s v="NUZUL NURWAHYUDDIN"/>
        <s v="CINTHYA TANJAYA"/>
        <s v="NURMIATY SALMAH"/>
        <s v="MUHAMMAD ZUHRI"/>
        <s v="DWI FITRIANINGSIH"/>
        <s v="JERI SUPRTIADI"/>
        <s v="JAMALUDIN MAULANA"/>
        <s v="ANGEL OLIVIA"/>
        <s v="DRA. HJ. SRI MULYANI"/>
        <s v="ANDRI DOS SANTOS"/>
        <s v="GALIH HANDAYANI"/>
        <s v="SYARIF HANIF RAMADHAN"/>
        <s v="FARIDA HASTUTI"/>
        <s v="RIZA SETYAWAN"/>
        <s v="RAFI AHMADY"/>
        <s v="SITI MAYUNI"/>
        <s v="ELLEN ARINDA PRATIWI"/>
        <s v="ANDREAN CAHYONO"/>
        <s v="JULIANA DELVINA SARI"/>
        <s v="SITI ALHUSNA NURUL AGUSTIN"/>
        <s v="RENDI"/>
        <s v="JAINAL"/>
        <s v="DEYA NATHASYA RAHMADANY"/>
        <s v="ANGGER CHESTA HIDAYAT"/>
        <s v="DECKY TRIONO"/>
        <s v="SYARIF SUHERMAN"/>
        <s v="DICKY KUSUMA SAKTI"/>
        <s v="AKHDAN NAUFAL"/>
        <s v="JUN FONG"/>
        <s v="MUHARDI LIMAS"/>
        <s v="ARISYA AHZA NAURA"/>
        <s v="SOEPARTO"/>
        <s v="STEVEN HARYANTO"/>
        <s v="LIE SOI TJU"/>
        <s v="KASTI"/>
        <s v="CITRA PURNAMA SARI"/>
        <s v="SITI NURHAINI"/>
        <s v="TJONG LIE TJHIUN ALS SUKIMAN"/>
        <s v="NIKI TRIYANDI"/>
        <s v="THJANG TAT LIM"/>
        <s v="ANGELICA"/>
        <s v="VERGI ARKADYA"/>
        <s v="BEDJO RAHARDJO"/>
        <s v="YOSTRYAN CHENATA"/>
        <s v="EMYLIA"/>
        <s v="RIZKA TRI WARDHANI"/>
        <s v="RANDA ARZA SAPUTRA"/>
        <s v="PHE BAK SONG"/>
        <s v="LIMINA DJUITA LIMAS"/>
        <s v="RAMOTI PUTRA MANALU"/>
        <s v="NITTA ROLLITA"/>
        <s v="ROY ARFIAN "/>
        <s v="ENDAH SEPTIANINGSIH"/>
        <s v="DONNY TRI PUJIANTO"/>
        <s v="DRSHENDRA SALIM"/>
        <s v="RIZKI RAMADHANI"/>
        <m/>
        <s v="RIZKADEA BELIANTO"/>
        <s v="FERA HENDRY"/>
        <s v="SURYANA"/>
        <s v="ISNINDAR"/>
        <s v="ROHAYATI"/>
        <s v="ASNAH"/>
        <s v="PUTRI RESTU AWALIYAH"/>
        <s v="NORIZAN"/>
        <s v="EDY DARMAWAN"/>
        <s v="IVAN TANSARITO"/>
        <s v="RICKY THERISNO"/>
        <s v="CHRISTINA"/>
        <s v="NAOMI APRILIA SIMANULLANG"/>
        <s v="MUDIONO HARYANTO"/>
        <s v="JOKEND ZAPOTA PUTRA"/>
        <s v="YANTI LIM"/>
      </sharedItems>
    </cacheField>
    <cacheField name="NO. RM" numFmtId="0">
      <sharedItems containsBlank="1">
        <s v="D9225097701"/>
        <s v="A9025092121"/>
        <s v="L5925109995"/>
        <s v="S8025102353"/>
        <s v="S9625108010"/>
        <s v="R9625100137"/>
        <s v="A0025068439"/>
        <s v="L8625105331"/>
        <m/>
        <s v="L2525104585"/>
        <s v="O9424013019"/>
        <s v="A9025108786"/>
        <s v="R7325101626"/>
        <s v="T6625103145"/>
        <s v="D8625106969"/>
        <s v="M1125104945"/>
        <s v="E8025071596"/>
        <s v="R2525109524"/>
        <s v="S6523066234"/>
        <s v="M9225108407"/>
        <s v="C9725104448"/>
        <s v="A8723049223"/>
        <s v="S0125102986"/>
        <s v="S7025063552"/>
        <s v="U7225107075"/>
        <s v="M0325109801"/>
        <s v="B9925104512"/>
        <s v="A9125100553"/>
        <s v="R7825108100"/>
        <s v="E0025103200"/>
        <s v="A9323069998"/>
        <s v="B8025102288"/>
        <s v="T7524104338"/>
        <s v="A1123072881"/>
        <s v="T8625107487"/>
        <s v="A0623071437"/>
        <s v="J9425106812"/>
        <s v="N5125073362"/>
        <s v="A1025102304"/>
        <s v="M7825100800"/>
        <s v="R8125102726"/>
        <s v="R8825109439"/>
        <s v="R6625106996"/>
        <s v="F8825103616"/>
        <s v="E9425102074"/>
        <s v="E9925108783"/>
        <s v="D9224015876"/>
        <s v="R8125108947"/>
        <s v="A9425105994"/>
        <s v="R9625105757"/>
        <s v="R9225072190"/>
        <s v="A2424089584"/>
        <s v="P0125047300"/>
        <s v="S6325104795"/>
        <s v="M9825103838"/>
        <s v="A1423086916"/>
        <s v="S9725018060"/>
        <s v="L0825103838"/>
        <s v="H0125105276"/>
        <s v="T7325100015"/>
        <s v="I8025109996"/>
        <s v="F9225081879"/>
        <s v="A9825105032"/>
        <s v="K1625104577"/>
        <s v="S0825106969"/>
        <s v="N0525103483"/>
        <s v="B9825108681"/>
        <s v="A9125109974"/>
        <s v="W0825106980"/>
        <s v="A9925105509"/>
        <s v="D6925037525"/>
        <s v="N0425105874"/>
        <s v="O7825104730"/>
        <s v="B7325109155"/>
        <s v="R6425100682"/>
        <s v="R5625107738"/>
        <s v="M7925108167"/>
        <s v="A0825042223"/>
        <s v="R6725103408"/>
        <s v="D0625102206"/>
        <s v="T6325109944"/>
        <s v="R1325084646"/>
        <s v="T5523016407"/>
        <s v="R9025103337"/>
        <s v="O0424074824"/>
        <s v="M0224087001"/>
        <s v="D8225100100"/>
        <s v="W9525106146"/>
        <s v="R7225102104"/>
        <s v="R8723125757"/>
        <s v="S6425029234"/>
        <s v="J5525063513"/>
        <s v="F0225102200"/>
        <s v="S4725109888"/>
        <s v="L7725110799"/>
        <s v="S8525111805"/>
        <s v="E7324031888"/>
        <s v="V9525116763"/>
        <s v="A9424099103"/>
        <s v="T9925112700"/>
        <s v="N8325117007"/>
        <s v="T1125116231"/>
        <s v="A9925114514"/>
        <s v="M9825114498"/>
        <s v="H9025119334"/>
        <s v="A9326025869"/>
        <s v="L6524043399"/>
        <s v="A9525119187"/>
        <s v="B0025116716"/>
        <s v="M0524020310"/>
        <s v="G9825110702"/>
        <s v="N8525112090"/>
        <s v="M6925117500"/>
        <s v="M8525119888"/>
        <s v="G9924046563"/>
        <s v="M0825116129"/>
        <s v="O0825111109"/>
        <s v="E8625112448"/>
        <s v="D6525119328"/>
        <s v="B0125112743"/>
        <s v="J8625111997"/>
        <s v="R0625117725"/>
        <s v="A0625113812"/>
        <s v="M8425111626"/>
        <s v="M5325110126"/>
        <s v="C0525114334"/>
        <s v="D8525114110"/>
        <s v="F2525111598"/>
        <s v="E1023019575"/>
        <s v="M1223117264"/>
        <s v="H0123016085"/>
        <s v="S9525118899"/>
        <s v="S8525116452"/>
        <s v="R1125017999"/>
        <s v="W9725116553"/>
        <s v="T5625119994"/>
        <s v="S0125117555"/>
        <s v="S6025112254"/>
        <s v="M0125099595"/>
        <s v="C9025117272"/>
        <s v="E7523087500"/>
        <s v="S0125112891"/>
        <s v="E9325071431"/>
        <s v="M0425117629"/>
        <s v="A8525117983"/>
        <s v="M0425114646"/>
        <s v="V0825111714"/>
        <s v="N0725118277"/>
        <s v="Y9325112254"/>
        <s v="R0325114352"/>
        <s v="M7525114704"/>
        <s v="M1025044555"/>
        <s v="A8825114554"/>
        <s v="S0325118209"/>
        <s v="H1025113976"/>
        <s v="A7025110923"/>
        <s v="R6925118000"/>
        <s v="N6225110960"/>
        <s v="J9825115575"/>
        <s v="M0025117586"/>
        <s v="H7825116588"/>
        <s v="S7325111991"/>
        <s v="W0725110582"/>
        <s v="S4425117922"/>
        <s v="A9425110177"/>
        <s v="P0123123241"/>
        <s v="A8725115557"/>
        <s v="E9725118035"/>
        <s v="N8524074321"/>
        <s v="M9225117800"/>
        <s v="I5825112202"/>
        <s v="C0525115291"/>
        <s v="H8525115939"/>
        <s v="C9925116192"/>
        <s v="E8825039292"/>
        <s v="M9924081266"/>
        <s v="J0825113594"/>
        <s v="M7125117366"/>
        <s v="S1223087980"/>
        <s v="T8425110655"/>
        <s v="F9625115501"/>
        <s v="W9625110758"/>
        <s v="J0525113412"/>
        <s v="V8925118000"/>
        <s v="D9425115021"/>
        <s v="V8825112988"/>
        <s v="J8425110309"/>
        <s v="Z9524058455"/>
        <s v="B8225112104"/>
        <s v="R0025116078"/>
        <s v="B0924114293"/>
        <s v="H0625118331"/>
        <s v="I0025112738"/>
        <s v="A9125115541"/>
        <s v="A0125119292"/>
        <s v="A8525119797"/>
        <s v="O0925115685"/>
        <s v="Y7025113569"/>
        <s v="D9225112288"/>
        <s v="R0325117252"/>
        <s v="D9825113571"/>
        <s v="A5125112484"/>
        <s v="R5825110969"/>
        <s v="A9625081247"/>
        <s v="S6623051013"/>
        <s v="W9625114960"/>
        <s v="R6725050750"/>
        <s v="Y8625113524"/>
        <s v="B0525015519"/>
        <s v="N0725085070"/>
        <s v="E9225127347"/>
        <s v="S2525120816"/>
        <s v="A8525127477"/>
        <s v="Z8125047588"/>
        <s v="F7725120001"/>
        <s v="A8824129408"/>
        <s v="R9025120312"/>
        <s v="Y6225125478"/>
        <s v="W6425129394"/>
        <s v="V9225074870"/>
        <s v="S7325124774"/>
        <s v="D7925125149"/>
        <s v="T9225125183"/>
        <s v="H6725049807"/>
        <s v="M6325122994"/>
        <s v="L6625122686"/>
        <s v="M9425123698"/>
        <s v="L7425128709"/>
        <s v="D9125126509"/>
        <s v="T8525127478"/>
        <s v="W9225123275"/>
        <s v="I7225127895"/>
        <s v="U6125123244"/>
        <s v="R5825122217"/>
        <s v="N9125121100"/>
        <s v="B0025121417"/>
        <s v="R9625012853"/>
        <s v="S7425124817"/>
        <s v="K8825128215"/>
        <s v="G0225127027"/>
        <s v="A0325126212"/>
        <s v="L9925048099"/>
        <s v="K9924034069"/>
        <s v="H8525124000"/>
        <s v="A7825121998"/>
        <s v="R9024087560"/>
        <s v="A6825060057"/>
        <s v="D0625121108"/>
        <s v="L5725121301"/>
        <s v="N0025126327"/>
        <s v="Y6825129986"/>
        <s v="S8825078486"/>
        <s v="L6025128579"/>
        <s v="A0025123200"/>
        <s v="F9325121778"/>
        <s v="D8825037244"/>
        <s v="R0825114030"/>
        <s v="N8325126783"/>
        <s v="C0325128008"/>
        <s v="N5725121100"/>
        <s v="M7925122235"/>
        <s v="D8525121185"/>
        <s v="J9725124944"/>
        <s v="J9725129346"/>
        <s v="A0325125109"/>
        <s v="D6625125696"/>
        <s v="A9625120301"/>
        <s v="G8425125725"/>
        <s v="S1625067980"/>
        <s v="F6125128057"/>
        <s v="R9125121442"/>
        <s v="R1325123120"/>
        <s v="S6825123226"/>
        <s v="E9725120876"/>
        <s v="A9226023219"/>
        <s v="J0625127652"/>
        <s v="S9525127945"/>
        <s v="R0225129200"/>
        <s v="J6625120248"/>
        <s v="D9825126821"/>
        <s v="A0724125118"/>
        <s v="D7725120078"/>
        <s v="S7125124801"/>
        <s v="D9525039860"/>
        <s v="A9525120897"/>
        <s v="J9824114915"/>
        <s v="M4125129007"/>
        <s v="A1325122428"/>
        <s v="S5125127001"/>
        <s v="S0025121122"/>
        <s v="L5825122264"/>
        <s v="K7425121740"/>
        <s v="C9225128367"/>
        <s v="S0125120326"/>
        <s v="T4825127000"/>
        <s v="N8425122485"/>
        <s v="T5125126845"/>
        <s v="A0825125687"/>
        <s v="V5325123931"/>
        <s v="B5325129871"/>
        <s v="Y9425125852"/>
        <s v="E9523075183"/>
        <s v="R9123026668"/>
        <s v="R9125127920"/>
        <s v="P0825121639"/>
        <s v="L5725128222"/>
        <s v="R9525121510"/>
        <s v="N7025034060"/>
        <s v="E8925127564"/>
        <s v="D9425126561"/>
        <s v="D5325127738"/>
        <s v="R9125124991"/>
        <s v="R9325125636"/>
        <s v="F8325127729"/>
        <s v="S7723054038"/>
        <s v="I7825120767"/>
        <s v="R6325126355"/>
        <s v="A5425122766"/>
        <s v="P9824042265"/>
        <s v="N6225128383"/>
        <s v="E0225030144"/>
        <s v="I8325126278"/>
        <s v="R9725098379"/>
        <s v="C9125120366"/>
        <s v="N0825129205"/>
        <s v="M7925125522"/>
        <s v="J9425122013"/>
        <s v="Y7125120189"/>
      </sharedItems>
    </cacheField>
    <cacheField name="JENIS KELAMIN" numFmtId="0">
      <sharedItems containsBlank="1">
        <s v="PEREMPUAN"/>
        <s v="LAKI-LAKI"/>
        <m/>
      </sharedItems>
    </cacheField>
    <cacheField name="USIA" numFmtId="0">
      <sharedItems containsString="0" containsBlank="1" containsNumber="1" containsInteger="1">
        <n v="33.0"/>
        <n v="36.0"/>
        <n v="67.0"/>
        <n v="46.0"/>
        <n v="29.0"/>
        <n v="25.0"/>
        <n v="39.0"/>
        <m/>
        <n v="0.0"/>
        <n v="31.0"/>
        <n v="35.0"/>
        <n v="52.0"/>
        <n v="59.0"/>
        <n v="15.0"/>
        <n v="45.0"/>
        <n v="1.0"/>
        <n v="60.0"/>
        <n v="34.0"/>
        <n v="38.0"/>
        <n v="24.0"/>
        <n v="56.0"/>
        <n v="54.0"/>
        <n v="22.0"/>
        <n v="26.0"/>
        <n v="48.0"/>
        <n v="51.0"/>
        <n v="14.0"/>
        <n v="20.0"/>
        <n v="74.0"/>
        <n v="16.0"/>
        <n v="32.0"/>
        <n v="44.0"/>
        <n v="62.0"/>
        <n v="27.0"/>
        <n v="11.0"/>
        <n v="28.0"/>
        <n v="18.0"/>
        <n v="53.0"/>
        <n v="9.0"/>
        <n v="17.0"/>
        <n v="57.0"/>
        <n v="61.0"/>
        <n v="70.0"/>
        <n v="19.0"/>
        <n v="13.0"/>
        <n v="21.0"/>
        <n v="43.0"/>
        <n v="30.0"/>
        <n v="71.0"/>
        <n v="23.0"/>
        <n v="78.0"/>
        <n v="49.0"/>
        <n v="41.0"/>
        <n v="42.0"/>
        <n v="40.0"/>
        <n v="73.0"/>
        <n v="65.0"/>
        <n v="50.0"/>
        <n v="55.0"/>
        <n v="64.0"/>
        <n v="47.0"/>
        <n v="82.0"/>
        <n v="68.0"/>
        <n v="37.0"/>
        <n v="58.0"/>
        <n v="63.0"/>
        <n v="66.0"/>
        <n v="69.0"/>
        <n v="12.0"/>
        <n v="84.0"/>
        <n v="75.0"/>
        <n v="72.0"/>
      </sharedItems>
    </cacheField>
    <cacheField name="KATEGORI USIA" numFmtId="0">
      <sharedItems containsBlank="1">
        <s v="25-34 tahun"/>
        <s v="35-44 tahun"/>
        <s v="&gt; 44 tahun"/>
        <m/>
        <s v="&lt; 18 tahun"/>
        <s v="18-24 tahun"/>
      </sharedItems>
    </cacheField>
    <cacheField name="PEKERJAAN" numFmtId="0">
      <sharedItems containsBlank="1">
        <s v="PNS"/>
        <s v="WIRASWASTA"/>
        <s v="KARYAWAN HONORER"/>
        <s v="MARKETING"/>
        <s v="SWASTA"/>
        <s v="PEKERJA LEPAS/ FREELANCE"/>
        <m/>
        <s v="ANGGOTA DPRD KOTA PONTIANAK"/>
        <s v="BUMD"/>
        <s v="IRT"/>
        <s v="PELAJAR"/>
        <s v="IBU RUMAH TANGGA"/>
        <s v="ASN"/>
        <s v="NGOPI"/>
        <s v="DOSEN"/>
        <s v="WIRASWAATA"/>
        <s v="RUMAH TANGGA"/>
        <s v="PELAJAR/MAHASISWA"/>
        <s v="PENSIUNAN"/>
        <s v="KARYAWAN SWASTA"/>
        <s v="KARYAWAN BUMD"/>
        <s v="PEGAWAI SWASTA"/>
        <s v="FREELANCE"/>
        <s v="PENSIUN"/>
        <s v="MAHASISWA"/>
        <s v="COOK"/>
        <s v="PRAMUGARI BUMN"/>
        <s v="TAROT READER"/>
        <s v="PEGAWAI"/>
        <s v="-"/>
        <s v="KARYAWAN"/>
        <s v="ADMIN GOR"/>
        <s v="WIRASUASTA"/>
        <s v="BURUH"/>
        <s v="PELAJAR SMPIT AL MUMTAZ"/>
        <s v="TIDAK ADA"/>
        <s v="PENGANGGURAN"/>
        <s v="GURU"/>
        <s v="BELUM ADA"/>
        <s v="SALES"/>
        <s v="BUMN"/>
        <s v="WIRAUSAHA"/>
        <s v="SUPIR"/>
        <s v="DOSEN/GURU"/>
        <s v="Siswa"/>
        <s v="STAFF TOKO"/>
        <s v="BELUM BERKERJA"/>
        <s v="FOOTBALL AGENT"/>
        <s v="ADMIN"/>
        <s v="PENSIUNAN PNS"/>
        <s v="KARYAWAN BUMN"/>
        <s v="TNI/POLRI"/>
        <s v="PEDAGANG"/>
        <s v="KARYAWATI"/>
        <s v="TNI AD"/>
        <s v="PETANI"/>
        <s v="PPPK"/>
        <s v="ARSITEK"/>
        <s v="P3K"/>
        <s v="WIRASWASYA"/>
        <s v="DOKTER GIGI"/>
        <s v="PEGAWAU SWASTA"/>
        <s v="ACCOUNTING"/>
        <s v="POLRI"/>
        <s v="MAHASISWA/PELAJAR"/>
        <s v="GURU PPPK"/>
        <s v="STAF"/>
        <s v="PERDAGANGAN"/>
        <s v="BARISTA"/>
        <s v="GURU TODDLER"/>
        <s v="SEASTA"/>
        <s v="TNI"/>
        <s v="SALES LUAR KOTA"/>
        <s v="PEMBISNIS"/>
        <s v="WIRASAWATA"/>
        <s v="BURUH HARIAN LEPAS"/>
        <s v="SISWA SMA"/>
        <s v="BPD"/>
        <s v="PENSIUNAN GURU"/>
        <s v="IRY"/>
        <s v="TUKANG LAS"/>
        <s v="FINANCE"/>
      </sharedItems>
    </cacheField>
    <cacheField name="KELUHAN" numFmtId="0">
      <sharedItems containsBlank="1">
        <s v="SAKIT PINGGANG"/>
        <s v="PINGGANG KECETIT"/>
        <s v="LUTUT"/>
        <s v="PINGGANG SAMPAI KAKI"/>
        <s v="ANKLE SPRAIN"/>
        <s v="CEDERA DI LUTUT"/>
        <s v="LUTUT SAKIT KARENA SALAH SQUAD/ JONGKOK DI OLAHRAGA/ GYM."/>
        <s v="BENUA MELAYU LAUT"/>
        <m/>
        <s v="CEDERA BAHU"/>
        <s v="Ketarik sehabis long run"/>
        <s v="KESELEO PADA BAGIAN LUTUT"/>
        <s v="SAKIT PADA TELAPAK KAKI"/>
        <s v="LEHER"/>
        <s v="LUTUT DAN LENGAN KAKU"/>
        <s v="SAKIT LENGAN KANAN DAN KIRI"/>
        <s v="TULANG PUNGGU BAGIAN BAWAH SAKIT"/>
        <s v="SAKIT PINGGANG SAMPAI KE KAKI"/>
        <s v="PINGGANG SAKIT NYERI KAKU"/>
        <s v="TUMIT KAKI KIRI SAKIT TAK KUNJUNG HILANG"/>
        <s v="SAKIT DIDAERAH BOKONG KARNA JATUH"/>
        <s v="LEHER, PUNGGUNG TERASA SAKIT"/>
        <s v="TANGAN BELUM BISA MENGGENGGAM SETELAH PATAH TULANG TELAPAK TANGAN"/>
        <s v="SAKIT DI PERGELANGAN TANGAN KANAN"/>
        <s v="BELIKAT SEBELAH KIRI SEPERTI KETARIK2 OTOTNYA, AGAK NYERI KALAU BERAKRIFITAS"/>
        <s v="ANKLE"/>
        <s v="CIDERA LUTUT SALAH TUMPUAN PAS MAIN BOLA"/>
        <s v="BAHH"/>
        <s v="LUTUT KANAN"/>
        <s v="HEEL PAIN"/>
        <s v="ANGKLE PERGELANGAN TANGAN KANAN"/>
        <s v="KELUHAN SY NYERI DI TUMIT KIRI SM PAHA KANAN UT DIANGKAT SAMBIL DITEKUK KE ARAH SAMPING LUAR RASA NYA NYERI"/>
        <s v="Sakit kaki"/>
        <s v="NYERI"/>
        <s v="NYERI DI BELIKAT DEPAN BELAKANG"/>
        <s v="Cedera Engkel Di Kaki"/>
        <s v="PELATAR"/>
        <s v="SAKIT PADA LUTUT UNTUK JALAN"/>
        <s v="NYERI SENDI KAKI"/>
        <s v="NYERI DI LENGAN KANAN"/>
        <s v="ASSESSMENT BADAN UNTUK PERSIAPAN LARI MARATON"/>
        <s v="-"/>
        <s v="TENNIS ELBOW"/>
        <s v="TERAPI PASCA LATIHAN"/>
        <s v="Pundak belakang dan leher sakit krna salah posisi tidur"/>
        <s v="LBP"/>
        <s v="SAKIT DI BAGIAN PUNGGUNG KAKI SEBELAH KANAN SAAT MENGINJAK"/>
        <s v="SAKIT PAS JINJIT"/>
        <s v="Cedera engkel"/>
        <s v="SAKIT AREA PINGGANG DAN PUNGGUNG SETELAH JATUH DARI TANGGA"/>
        <s v="KAKI"/>
        <s v="ANKLE KAKI KANAN"/>
        <s v="PATAH TULANG"/>
        <s v="LEHER, PUNGGUNG DAN BAHU"/>
        <s v="SAKIT KAKI DAN PINGGANG"/>
        <s v="NYERI KEPALA TIPE TEGANG DAN TANGAN SUKA KESEMUTAN"/>
        <s v="NYERI CEDERA ACL"/>
        <s v="NYERI DI KESELURUHAN PUNGGUNG (TERUTAMA AREA BELIKAT KIRI YANG TERKADANG BISA MENJALAR KE LENGAN KIRI), JUGA LEHER"/>
        <s v="KAKI KANAN KAKU"/>
        <s v="KAKI PANJANG PENDEK, SERING SAKIT DI BAGIAN PUNGGUNG BAWAH"/>
        <s v="LEBAM PASCA KECELAKAAN"/>
        <s v="BAHU TIDAK NYAMAN"/>
        <s v="STRAIGHT LUMBALIS DAN PLANTAR OS CALCANEUS"/>
        <s v="SKOLIOSIS"/>
        <s v="KAKI BEKAS ANKLE SPRAIN SUDAH DITRE DAN BAHU PEGAL"/>
        <s v="BAHU DAN KAKI"/>
        <s v="NYERI SIKU"/>
        <s v="SARAF KEJEPIT"/>
        <s v="NYERI LUTUT"/>
        <s v="SYARAF KEJEPIT"/>
        <s v="SAKIT DI BAHU"/>
        <s v="PINGGANG"/>
        <s v="NDA BISA MENGANGKAT BEBAN BERAT DI BAGIAN SIKU TANGAN KIRI"/>
        <s v="NYERI BAGIAN PERGELANGAN KAKI SAAT JALAN LEBIH 1 KM"/>
        <s v="CEDERA KAKI"/>
        <s v="SAKIT DI BAGIAN SAMPING BETIS KANAN MENJALAR SAMPAI KE BOKONG KANAN"/>
        <s v="KAKI TERKILIR"/>
        <s v="BAHU"/>
        <s v="NYERI LEHER"/>
        <s v="otot paha nyeri"/>
        <s v="PINGGNG"/>
        <s v="SAKIT DI BAHU DAN LENGAN SEBELAH KIRI"/>
        <s v="NYERI PADA PANGKAL JEMPOL DAN PERGELANGAN TANGAN"/>
        <s v="AREA DI SEKITAR BAHU DAN LENGAN SAKIT"/>
        <s v="Cidera"/>
        <s v="SAKIT NYERI PADA TANGAN KANAN"/>
        <s v="BAGIAN PANTAT SAKIT"/>
        <s v="SCOLIOSIS, SAKIT SAAT BERDIRI/DUDUK LAMA"/>
        <s v="KRAM PADA KAKI"/>
        <s v="SAKIT LUTUT"/>
        <s v="TIDAK BISA MENGANGKAT TANGAN"/>
        <s v="SAKIT TULANG JEMPOL KAKI KANAN"/>
        <s v="LENGAN DAN TANGAN SEBELAH KIRI TERASA SAKIT GARA2 PERNAH JATUH DARI MOTOR DI TAHUN 2021, SAMPAI SEKARANG SERING KAMBUH2 SAKITNYA"/>
        <s v="LUTUT SAKIT"/>
        <s v="JARI MANIS KANAN SAKIT"/>
        <s v="KAKI BENGKAK SETELAH KECELAKAAN DAN BELUM BISA DIBENGKOKKAN"/>
        <s v="NYERI PINGGANG"/>
        <s v="TENDON ACHILES"/>
        <s v="Sakit dibagian"/>
        <s v="KEBAS TELAPAK KAKI DN TANGAN"/>
        <s v="NYERI/NGILU"/>
        <s v="SENGAL DAN NGILU BAGIAN BELIKAT (KIRI)"/>
        <s v="SAKIT DI TULANG EKOR"/>
        <s v="JARI"/>
        <s v="NYERI PADA SIKU SEBELAH KANAN"/>
        <s v="Nyeri bahu , lengan kiri, dan leher"/>
        <s v="BETIS NYERI"/>
        <s v="TENNIS ELBOW DAN KESELEO KAKI"/>
        <s v="TUMIT"/>
        <s v="NYERI PADA BAGIAN LUTUT"/>
        <s v="PASCA STROKE"/>
        <s v="NYERI OTOT NGILU"/>
        <s v="ENGKEL KAKI KIRI SAYA MASIH BLUM SEMBUH&quot; SUDAH MAU 3 BULAN BLUM SEMBUH&quot; MASIH ADA TERSA NYERI&quot;"/>
        <s v="SAKIT PADA LUTUT"/>
        <s v="SAKIT &amp; SUSAH GERAK PAKA LUTUT"/>
        <s v="PEGAL DI AREA PUNGGUNG, POSTUR BADAN BUNGKUK, NYERI DI AREA KAKI, TULANG KLAVIKULA TIDAK SEJAJAR, PANJANG KAKI PANJANG SEBELAH"/>
        <s v="KAKI BENGKAK DIAGNOSA DOKTER OASTRIRTIS DAN ASAM URAT"/>
        <s v="TANGAN SAKIT SEBELAH KANAN.."/>
        <s v="TANGAN KIRI"/>
        <s v="Cedera"/>
        <s v="PARIT TOKAYA"/>
        <s v="Lutut sakit setelah main basket"/>
        <s v="TULANG BELAKANG MULAI BUNGKUK, KESEIMBANGAN KURANG BAGUS"/>
        <s v="LUTUS SAKIT SAAT BERDIRI ATAU JALAN"/>
        <s v="SENDI LUTUT BERGESER"/>
        <s v="LEHER DAN BAHU"/>
        <s v="OTOT KAKI PERNAH SOBEK, KALAU OLAHRAGA SERING SAKIT DI LUTUT KIRI"/>
        <s v="PUNDAK PEGAL"/>
        <s v="NYERI LUTUT PASCA GYM"/>
        <s v="NYERI DI ENGKEL KAKI"/>
        <s v="SAKIT DARI BOKONG SAMPAI KE LUTUT"/>
        <s v="LUTUT SAYA CIDERA"/>
        <s v="SETELAH OPERASI PENGANGKATAN HEMANGIOMA PADA KAKI KANAN, KAKI BELUM BISA LURUS SEMPURNA"/>
        <s v="PINGGANG SERING NYERI"/>
        <s v="CEDERA LUTUT"/>
        <s v="PINGGANG NYERI"/>
        <s v="ANKLE KESELEO"/>
        <s v="LUTUT KIRI SAKIT SAAT DI TEKUK"/>
        <s v="PERGELANGAN KAKI DAN LUTUS NYERI, KETIKA BANGUN TIDUR SAMPAI PINCANG"/>
        <s v="ENGSEL LUTUT SAKIT"/>
        <s v="KAKI SAKIT"/>
        <s v="NYERI PADA BETIS KIRI DAN SUSAH SAAT BERJALAN"/>
        <s v="NYERI DIBAGIAN BETIS SAMPING SEBELAH KIRI"/>
        <s v="KESEMUTAN TANGAN KIRI"/>
        <s v="BAHU KANAN NYERI, TANGAN KANAN TIDAK DAPAT DIGERAKKAN KE ATAS. PERGERAKAN SIKU TIDAK MASALAH. PERGERAKKAN JARI2 TIDAK MASALAH"/>
        <s v="OTOT LEMAH SETELAH SEMBUH DARI JATUH"/>
        <s v="PASCA OPERASI ACL"/>
        <s v="NYERI SAAT NARIK NAFAS DAN BERGERAK AREA RUSUK DEPAN HINGGA BELAKANG SEBELAH KANAN"/>
        <s v="KAKI KANAN TELAPAK KAKI"/>
        <s v="Sakit pd pinggang"/>
        <s v="NYERI DI LUTUT"/>
        <s v="SAKIT PUNGGUNG BAWAH"/>
        <s v="LUTUT (TERAKHIR CEK DISINI DI BILANG NYA ADA KEMUNGKINAN ACL 2022)"/>
        <s v="JARI TENGAH TANGAN SEBELAH KANAN SAKIT DITEKUK SEMALAM TERTINDIH BADAN ANAK"/>
        <s v="RUPTURE PATTELAR TENDON"/>
        <s v="Keseleo"/>
        <s v="KRAM/KESEMUTAN BEKERJA"/>
        <s v="NYERI TUMIT DAN"/>
        <s v="SAKIT DIPINGGANG"/>
        <s v="SAKIT PINGGANG (AGAK INTENS DALAM BEBERAPA BULAN KEBELAKANG) , KADANG SUKE TIBA TIBA KESEMUTAN, PERGELANGAN TANGAN SEBELAH KANAN SERING SAKIT KARNA DULU PERNAH JATUHNSAAT MAIN MOTOR"/>
        <s v="SAKIT DI LUTUT SAMPING SAAT LARI"/>
        <s v="SAKIT DI PERGELANGAN TANGAN"/>
        <s v="SENDI LUTUT KIRI BERMASALAH"/>
        <s v="JARI TENGAH SEBELAH KIRI TERLAMBAT KALAU DIGENGAM DAN DBUKA DAN TERASA SAKIT"/>
        <s v="SALAH SATU JARI TANGAN SAKIT"/>
        <s v="Selisih"/>
        <s v="CEDERA DI BAHU SEBELAH KIRI"/>
        <s v="CEDERA BAGIAN JARI"/>
        <s v="SAKIT PADA BAHU"/>
        <s v="NYERI LUTUT SAMPING"/>
        <s v="SAKIT DIBAGIAN LUTUT(SAMPING KANAN)"/>
        <s v="SAKIT PUNGGUNG MENAHUN"/>
        <s v="OPERASI PATAH TULANG(AVULSI TUBEROSITAS TIBIA). OTOT KAKI MENGECIL. BELUM LURUS 100%. DAN MASIH TERASA NYERI"/>
        <s v="TUMIT SAKIT, DAN MAU MENAMBAH MASSA OTOT KAKI"/>
        <s v="STROKE SEBELAH KANAN, PEMBENGKAKAN JANTUNG"/>
        <s v="NYERI PADA LUTUT"/>
        <s v="PINGGUL BELAKANG SERASA KETARIK PADA SAAT BATUK, TIDAK BISA BERDIRI TEGAP. NYERI BELAKANG"/>
        <s v="NYERI DARI PAHA SAMPAI TELAPAK KAKI, STOKE SEBELAH KIRI SEJAK DUA BULAN LALU"/>
        <s v="TANGAN SEBELAH KANAN DARI BAHU SAKIT DAN SAKIT JIKA DIANGKAT HAMPIR 1 BULANAN"/>
        <s v="LUTUT BENGKAK, MENISCUS"/>
        <s v="LETIH, KAKI SEPERTI PINCANG SAAT BERJALAN"/>
        <s v="SAKIT TULANG BELAKANG AREA PINGGANG"/>
        <s v="CTS"/>
        <s v="TANGAN KANAN NYERI"/>
        <s v="SAKIT DI AREA ENGKEL (KAKI BAGIAN KANAN)"/>
        <s v="NYERI SENDI KAKI LUTUT TANGAN"/>
        <s v="PUNDAK,PANGGUL PEGAL"/>
        <s v="SERING NYERI DIBAGIAN TENGKUK SEBELAH KIRI"/>
        <s v="NYERI SEKITAR PINGGANG"/>
        <s v="KAKI KIRI SAKIT"/>
        <s v="DISLOKASI BAHU"/>
        <s v="STROKE"/>
        <s v="SAKIT PUNGGUNG DAN TULANG BELAKANG"/>
        <s v="SAKIT DIBAGIAN LUTUT TIDAK BISA NEKUK"/>
        <s v="TENIS ELBOW"/>
        <s v="LOW BACK PAIN"/>
        <s v="SUSAH BERJALAN"/>
        <s v="SYARAT KEJEPIT"/>
        <s v="NYERI KEPALA"/>
        <s v="FROZEN SHOULDER"/>
        <s v="CIDERA LUTUT"/>
        <s v="LENGAN SAKIT"/>
        <s v="TANGAN SAKIT DAN SUSAH MENGANGKAT BARANG"/>
        <s v="LUTUT SAKIT MENJALAN SAMPE PINGGANG"/>
        <s v="KEADAAN SEBELUMNYA JALAN AGAK SUSAH SEMINGGU TERAKHIR MENGALAMI CEDERA (KESELEO) SUDAH PERNAH DI URUT TAPI TIDAK ADA PERUBAHAN"/>
        <s v="SAKIT PERGELANGAN TANGAN KANAN"/>
        <s v="SAKIT PADA KAKI SEBELAH KIRI SETELAH TENIS"/>
        <s v="NYERI BAGIAN LUTUT SETIAP SETELAH LARI DIATAS 6KM"/>
        <s v="CIDERA OTOT PAHA"/>
        <s v="INGIN CEK SKOLIOSIS"/>
        <s v="KEKNYA SKOLIOSIS"/>
        <s v="NYERI TULANG BELAKANG SAMPAI KAKI, NYERI DI BAGIAN LUTUT JUGA"/>
        <s v="SAKIT PINGGANG BELAKANG"/>
        <s v="Syaraf kejepit di L4 dan L5"/>
        <s v="NYERI DITUMIT DAN UJUNG TELAPAK KAKI"/>
        <s v="LOWER BACK"/>
        <s v="KAKI KIRI"/>
        <s v="LENGAN KANAN ATAS KAKU"/>
        <s v="SAKIT TULANG EKOR"/>
        <s v="BANTALAN ANTARA TULANG L5 DENGAN S1 GEPENG SEHINGGA PINGGAN TERASA SAKIT SAMPAI KAKI. TIDAK BISA BERDIRI LAMA DAN DUDUK LAMA. BERDIRI TIDAK BISA TEGAK. SUDAH BERLANGSUNG SELAMA 1 MINGGU. TELAH MELAKUKAN RADIOLOGI DAN KUNJUNGAN DOKTER SPELIASIS SARAF"/>
        <s v="SAKIT PADA BAGIAN FOREARM DAN PEGAL DI BELAKANG LUTUT KANAN"/>
        <s v="CEDERA DI WRIST TANGAN KANAN, PAHA KAKI KANAN DAN PINGGANG BAGIAN BAWAH"/>
        <s v="SPUR DI TUMIT, SAKIT HINGGA BOKONG"/>
        <s v="NYERI BAHU KIRI DAN PINGGANG"/>
        <s v="PALNTAR PACITIS"/>
        <s v="SERING PEGAL"/>
        <s v="BENGKAK DI AREA ATAS TUMIT KAKI SEBELAH KANAN"/>
        <s v="STORKE RINGAN (KAKI KURANG KOKOH)"/>
        <s v="NYERI ENGKEL KAKI"/>
        <s v="SAKIT DI BAGIAN KAKI , AWAL KARNA SQUAT . SEMPAT SEMBUH . TRUS KEPELESET JADI KETRIGGER LAGI"/>
        <s v="NYERI BETIS DAN BELAKANG LUTUT KIRI"/>
        <s v="SALAH TIDOK SM SAKIT PINGGANG"/>
        <s v="SAKIT PUNDAK "/>
        <s v="CEDERA KAKI POST OP AMPUTASI JARI KELINGKING"/>
        <s v="SAKIT DI IBU JARI TANGAN"/>
        <s v=".BAHU TIDAK SIMETRIS"/>
        <s v="BACK PAIN"/>
        <s v="cedera lutut oprasi"/>
        <s v="KESELEO DIPERGELANGAN KAKI"/>
        <s v="SAKIT DI PUNGGUNG KE BAWAH"/>
        <s v="SAKIT BAHU SUSAH DIANGKAT KE ATAS"/>
        <s v="LUTUT KAKI"/>
        <s v="DARI PINGGANG BELAKANG HINGGA PERUT XEPAN SAKIT"/>
        <s v="TELAPAK KAKI"/>
        <s v="ENGSEL MATA KAKI BENGKAK"/>
        <s v="LUTUT SAKIT MENJALAR KE KAKI."/>
        <s v="BELLS PALSY"/>
        <s v="KESELEO, SUDAH 1 MINGGU LEBIH TAPI MASIH BENGKAK"/>
        <s v="TULANG BELAKANG"/>
        <s v="NGILU KAKI"/>
        <s v="LENGAN"/>
        <s v="PERGELANGAN SAKIT"/>
        <s v="BELIKAT"/>
        <s v="TUMIT SAKIT"/>
        <s v="BETIS SAKIT"/>
        <s v="POST OPERASI ACL"/>
        <s v="PERGELANGAN TANGAN"/>
        <s v="PERNAH OPERASI FEMUR KIRI 2014 DAN 2017, 2025 INI BERAT BADAN NAIK DAN SETIAP HABIS DUDUK LAMA MAU JALAN SAKIT DAN TERLIHAT SANGAT PINCANG"/>
        <s v="SCIATICA"/>
        <s v="BAGIAN KANAN BADAN KAKI DAN TANGAN LEMAH MENIMBULKAN GETARAN PADA LENGAN KETIKA DIANGKAT KE ATAS DAN SAKIT . KAKI KANAN SUKA PEGEL TERUTAMA BAGIAN PAHA DARI PANGKAL SAMPAI ATAS LUTUT, KALAU JALAN KAKI KANAN SUKA KESANDUNG.TAHUN 2020 PERNAH DITABRAK DARI B"/>
        <s v="RHEUMATOID ARTHRITIS"/>
        <s v="KAKI MATI RASA SEKARANG SEMAKIN BERAT JIKA MAU ANGKAT KAKI SAAT BERJALAN"/>
        <s v="Sakit di bagian belakang tubuh dari punggung hingga ke pinggang"/>
        <s v="NYERI PINGGANG MENJALAR KE KAKI KIRI"/>
        <s v="CIDERA ENGKEL"/>
        <s v="PUNGGUNG SAKIT DAN POSTUR TUBUH"/>
        <s v="PUNGGUNG NYERI SEBELAH KANAN BAGIAN TENGAH KETIKA POSISI PUNGGUNG TEGAK"/>
        <s v="LUTUT KANAN NYERI AFTER PARTY"/>
      </sharedItems>
    </cacheField>
    <cacheField name="DIAGNOSA" numFmtId="0">
      <sharedItems containsBlank="1">
        <s v="LUMBAR STRAIN"/>
        <s v="MUSCLE IMBALANCE"/>
        <m/>
        <s v="ANKLE SPRAIN"/>
        <s v="SHOULDER INSTABILITY"/>
        <s v="ACL INJURY"/>
        <s v="SHOULDER IMPINGEMENT"/>
        <s v="AVULSION FRACTURE"/>
        <s v="SCOLIOSIS"/>
        <s v="PLANTAR FASCIITIS"/>
        <s v="UPPER TRAPEZIUS SYNDROME"/>
        <s v="PIRIFORMIS SYNDROME"/>
        <s v="MENISCUS INJURY"/>
        <s v="BICEPS STRAIN"/>
        <s v="TENDINITIS BICIPITALIS"/>
        <s v="NECK STRAIN"/>
        <s v="COCCALGIA"/>
        <s v="METACARPAL FRACTURE"/>
        <s v="SCAPULAR WINGING"/>
        <s v="POSTURAL DYSFUNCTION"/>
        <s v="LCL INJURY"/>
        <s v="OVERUSE MUSCLE"/>
        <s v="RETROCALCANEAL BURSITIS"/>
        <s v="WRIST SPRAIN"/>
        <s v="CALCANEUS SPUR"/>
        <s v="HEMIPARESE"/>
        <s v="WRIST EXTENSOR STRAIN"/>
        <s v="RHOMBOID STRAIN"/>
        <s v="SACROILIAC JOINT SYNDROME"/>
        <s v="ANKLE IMPINGEMENT"/>
        <s v="KNEE DISLOCATION"/>
        <s v="THORACIC OUTLET SYNDROME"/>
        <s v="CHONDROMALACIA PATELLA"/>
        <s v="KNEE OSTEOARTHRITIS"/>
        <s v="TENNIS ELBOW"/>
        <s v="TFCC INJURY"/>
        <s v="ITB SYNDROME"/>
        <s v="ACL &amp; MENISCUS INJURY"/>
        <s v="METATARSALGIA"/>
        <s v="ANKLE STRAIN"/>
        <s v="PHYSICAL CHECK UP"/>
        <s v="POST ORIF ANKLE"/>
        <s v="ACL &amp; MCL INJURY"/>
        <s v="FACET JOINT SYNDROME"/>
        <s v="CARPAL TUNNEL SYNDROME"/>
        <s v="TRAUMATIC INJURY"/>
        <s v="TRENDELENBURG GAIT"/>
        <s v="FORWAD HEAD POSTURE"/>
        <s v="ANKLE INSTABILITY"/>
        <s v="GOLFER'S ELBOW"/>
        <s v="CERVICAL HNP"/>
        <s v="LUMBAR HNP"/>
        <s v="SHIN SPLINTS"/>
        <s v="DE QUERVAIN'S SYNDROME"/>
        <s v="FLAT FOOT"/>
        <s v="PATELLOFEMORAL PAIN SYNDROME"/>
        <s v="ROUNDED SHOULDER"/>
        <s v="BUNION"/>
        <s v="QUADRATUS LUMBORUM STRAIN"/>
        <s v="ACHILLES TENDINITIS"/>
        <s v="TRIGGER FINGER"/>
        <s v="GASTROCNEMIUS STRAIN"/>
        <s v="STROKE"/>
        <s v="QUADRICEPS STRAIN"/>
        <s v="HAMSTRINGS STRAIN"/>
        <s v="BELL'S PALSY"/>
        <s v="ODEMA"/>
        <s v="HAMSTRINGS TIGHTNESS"/>
        <s v="POPLITEAL STRAIN"/>
        <s v="MUSCLE WEAKNESS"/>
        <s v="DEEP GLUTEAL SYNDROME"/>
        <s v="POST OP HEMANGIOMA"/>
        <s v="CHRONIC ANKLE INSTABILITY"/>
        <s v="SUBACROMIAL IMPINGEMENT SYNDROME"/>
        <s v="HIP TRAUMATIC INJURY"/>
        <s v="POST OP ACL"/>
        <s v="WRIST STRAIN"/>
        <s v="FINGER SPRAIN"/>
        <s v="PATELLAR TENDON REPAIR"/>
        <s v="OSGOOD SCHLATTER DISEASE"/>
        <s v="PCL &amp; MENISCUS INJURY"/>
        <s v="THUMB SPRAIN"/>
        <s v="ACL &amp; LCL INJURY"/>
        <s v="NEUROPATHY"/>
        <s v="JUMPER'S KNEE"/>
        <s v="SHOULDER DISLOCATION"/>
        <s v="VERTIGO"/>
        <s v="SUPRASPINATUS SYNDROME"/>
        <s v="VMO STRAIN"/>
        <s v="HIP FRACTURE"/>
        <s v="GROIN PAIN"/>
        <s v="HYPERKYPHOSIS"/>
        <s v="SPONDYLOLISTHESIS"/>
        <s v="DOMS"/>
        <s v="FIBULAR FRACTURE"/>
        <s v="POST OP AMPUTASI "/>
        <s v="fraktur humeri"/>
        <s v="RHEUMATOID ARTHRITIS"/>
        <s v="SPONDYLOARTHROSIS"/>
      </sharedItems>
    </cacheField>
    <cacheField name="REGIO" numFmtId="0">
      <sharedItems containsBlank="1">
        <s v="LOWER BACK"/>
        <s v="THIGH"/>
        <m/>
        <s v="ANKLE"/>
        <s v="KNEE"/>
        <s v="SHOULDER"/>
        <s v="HIP/PELVIC"/>
        <s v="SPINE"/>
        <s v="NECK"/>
        <s v="UPPER ARM"/>
        <s v="FOOT"/>
        <s v="WRIST"/>
        <s v="UPPER BACK"/>
        <s v="CNS"/>
        <s v="ELBOW"/>
        <s v="HEAD"/>
        <s v="CALF"/>
        <s v="HAND"/>
        <s v="LEG"/>
        <s v="LOWER ARM"/>
        <s v="PNS"/>
        <s v="CHEST"/>
        <s v=" "/>
      </sharedItems>
    </cacheField>
    <cacheField name="SUMBER PASIEN" numFmtId="0">
      <sharedItems containsBlank="1">
        <s v="REKOMENDASI ORANG LAIN"/>
        <s v="PASIEN LAMA"/>
        <s v="MEDIA SOSIAL"/>
        <s v="GOOGLE MAPS / PENCARIAN GOOGLE"/>
        <s v="RUJUKAN DOKTER / RS"/>
        <m/>
      </sharedItems>
    </cacheField>
    <cacheField name="ADMIN" numFmtId="0">
      <sharedItems containsBlank="1">
        <s v="SUCI"/>
        <s v="NOPI"/>
        <s v="LAINNYA"/>
        <m/>
      </sharedItems>
    </cacheField>
    <cacheField name="FISIO" numFmtId="0">
      <sharedItems containsBlank="1">
        <s v="OKTA"/>
        <s v="WAHYU"/>
        <s v="EDO"/>
        <s v="ORY"/>
        <s v="HESTI"/>
        <s v="HENA"/>
        <s v="PRITY"/>
        <s v="DESTY"/>
        <s v="DANI"/>
        <s v="AULIA"/>
        <s v="DANRU"/>
        <m/>
      </sharedItems>
    </cacheField>
    <cacheField name="STATUS" numFmtId="0">
      <sharedItems containsBlank="1">
        <s v="SESI"/>
        <s v="PAKET"/>
        <s v="TIDAK CLOSING"/>
        <m/>
      </sharedItems>
    </cacheField>
    <cacheField name="KETERANGAN" numFmtId="0">
      <sharedItems containsBlank="1">
        <m/>
        <s v="NANTI WA"/>
        <s v="BELUM ADA JADWAL COCOK"/>
        <s v="DOMISILI LUAR"/>
        <s v="MAU LIAT KONDISI DULU"/>
        <s v="DISARANKAN SENIN/SELASA"/>
        <s v="MAU KELUAR KOTA"/>
        <s v="nanti info"/>
        <s v="CUMA PEGAL2 AJA"/>
        <s v="CUKUP TA DULU"/>
        <s v="DIREK BK"/>
        <s v="MAU COCOKAN JADWAL DULU"/>
        <s v="PASIEN BISANYA SENIN"/>
        <s v="DISARANKAN MINGGU/SENIN"/>
        <s v="SUDAH WA ADMIN TANYA JADWAL"/>
        <s v="NANTI INFOKAN JADWALNYA KARENA SIBUK"/>
        <s v="SESUAI JADWAL DULU"/>
        <s v="RENCANA AMBIL PAKET"/>
        <s v="NANTI AJA"/>
        <s v="MAU MENYESUAIKAN JADWAL TARKAM"/>
        <s v="MAU BALIK KE KETAPANG DULU"/>
        <s v="DISARANKAN MINGGU/SENIN. ADA RENCANA LANJUT VISIT"/>
        <s v="DISARANKAN TA GRIYA ANAK. CARI JADWAL SECEPATNYA"/>
        <s v="PASIEN REQ HARI MINGGU"/>
        <s v="KATANYA MAU AMBIL PAKET"/>
        <s v="MAU PLG KAMPUNG"/>
        <s v="COCOKKAN JADWAL DULU"/>
        <s v="NANTI DULU  LIAT KONDISI"/>
        <s v="CEK DULU AJAA"/>
        <s v="BIAYA"/>
        <s v="KERJA LUAR KOTA"/>
        <s v="LIHAT PERKEMBANGAN DULU"/>
        <s v="KATANYA MAU PAKET"/>
        <s v="ADA PAKET LAMA"/>
        <s v="SIBUK"/>
        <s v="TIDAK ADA KETERANGAN"/>
        <s v="MENUNGGU IZIN DARI SEKOLAH AL FITYAN"/>
        <s v="NANTI AJA DULU"/>
        <s v="MASIH ADA PAKET LAMA"/>
        <s v="MAU CEK AJA"/>
        <s v="MASIH MAU LIAT JADWAL"/>
        <s v="LIHAT KONDISI DULU"/>
        <s v="INFO SENIN"/>
        <s v="INFOKAN WA "/>
        <s v="LIHAT WAKTU DULU"/>
        <s v="PENGEN CEK DULU"/>
        <s v="NNTI WA"/>
        <s v="SUDAH ENAKAN"/>
        <s v="KONTROL MINGGU DEPAN (ANAK BUAH BANG COY)"/>
        <s v="TUNGGU KE PTK LAGI"/>
        <s v="MAU KE DOKTER DULU'"/>
        <s v="CLOSSING HV"/>
        <s v="MAU CEK DULU"/>
        <s v="ATUR JADWAL DULU"/>
        <s v="SUSAH JADWAL"/>
        <s v="JADWALKAN TAPI TIDAK DATANG"/>
        <s v="BALIK ISNTANG"/>
        <s v="CUMAN MAU CEK AJA"/>
        <s v="CANCEL JADWAL SUDAH MERASA ENAKAN"/>
        <s v="CANCEL JADWAL"/>
        <s v="CANCEL JADWAL, DAN LANJUT TAHUN DEPAN"/>
        <s v="PASIEN TIDAK BALAS"/>
        <s v="OKAN/MAU KE SINSANG"/>
        <s v="MAU RONSEN"/>
        <s v="MULAI TAHUN BARU"/>
        <s v="CEK JADWAL DULU"/>
        <s v="MAU NATAL"/>
        <s v="RESCHEDULE TERUS"/>
        <s v="BELUM DULU"/>
        <s v="REQ HARI MINGGU"/>
        <s v="DOMISILI LUAR KOTA"/>
        <s v="RESCHEDULE"/>
        <s v="NANTI CHAT"/>
        <s v="KALAU BISA SAYA WA"/>
        <s v="LANJUT VISIT"/>
        <s v="NANTI AJA WA"/>
        <s v="SUDAH MAU BALIK BANDUNG NANTI ATUR LAGI"/>
        <s v="DISARANKAN MINGGU"/>
        <s v="DISARANKAN SENIN"/>
        <s v="LIAT KONDISI BAPAK DULU"/>
        <s v="MAU KE SW"/>
        <s v="MAU KE DOKTER DULU"/>
        <s v="CEK AJA"/>
        <s v="DOMISILI MEMPAWAH"/>
        <s v="CARI JADWAL YANG SAMA DENGAN SUKIMAN"/>
        <s v="REQ SABTU JAM 9 PAGI"/>
        <s v="MAU LIHAT KONDSI DULU"/>
        <s v="MAU ATUR JADWAL DULU"/>
        <s v="NANTI WA AJA MAU LIHAT PERKEMBANGAN"/>
        <s v="SUDAH MAU PULANG JKT"/>
      </sharedItems>
    </cacheField>
    <cacheField name="Column 1" numFmtId="0">
      <sharedItems containsString="0" containsBlank="1">
        <m/>
      </sharedItems>
    </cacheField>
    <cacheField name="CATATAN ADMIN" numFmtId="0">
      <sharedItems containsString="0" containsBlank="1">
        <m/>
      </sharedItems>
    </cacheField>
    <cacheField name="LAYANAN TERAKHIR" numFmtId="0">
      <sharedItems>
        <s v="TIDAK CLOSING"/>
        <s v="SESI TERAPI"/>
        <s v="PAKET TERAPI"/>
        <s v="PAKET/SESI"/>
        <s v="TERAPI AWAL"/>
        <s v=""/>
      </sharedItems>
    </cacheField>
    <cacheField name="CLOSING" numFmtId="0">
      <sharedItems>
        <s v="TIDAK CLOSING"/>
        <s v="SESI"/>
        <s v="PAKET"/>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X1508" sheet="📝 Kunjungan"/>
  </cacheSource>
  <cacheFields>
    <cacheField name="SHIFT" numFmtId="0">
      <sharedItems>
        <s v="PAGI"/>
        <s v="SORE"/>
      </sharedItems>
    </cacheField>
    <cacheField name="TIM" numFmtId="0">
      <sharedItems>
        <s v="TIM Y"/>
        <s v="TIM A"/>
        <s v="MANAJEMEN"/>
        <s v="INAKTIF"/>
      </sharedItems>
    </cacheField>
    <cacheField name="ADMIN" numFmtId="0">
      <sharedItems>
        <s v="SUCI"/>
        <s v="NOPI"/>
        <s v="LAINNYA"/>
      </sharedItems>
    </cacheField>
    <cacheField name="TANGGAL" numFmtId="173">
      <sharedItems containsSemiMixedTypes="0" containsDate="1" containsString="0">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6T00:00:00Z"/>
        <d v="2025-12-27T00:00:00Z"/>
        <d v="2025-12-28T00:00:00Z"/>
        <d v="2025-12-29T00:00:00Z"/>
      </sharedItems>
    </cacheField>
    <cacheField name="TAHUN" numFmtId="0">
      <sharedItems>
        <s v="2025"/>
      </sharedItems>
    </cacheField>
    <cacheField name="BULAN" numFmtId="0">
      <sharedItems>
        <s v="10Okt"/>
        <s v="11Nov"/>
        <s v="12Des"/>
      </sharedItems>
    </cacheField>
    <cacheField name="HARI" numFmtId="0">
      <sharedItems>
        <s v="Rabu"/>
        <s v="Kamis"/>
        <s v="Jumat"/>
        <s v="Sabtu"/>
        <s v="Minggu"/>
        <s v="Senin"/>
        <s v="Selasa"/>
      </sharedItems>
    </cacheField>
    <cacheField name="JAM" numFmtId="0">
      <sharedItems>
        <s v="09.00"/>
        <s v="10.00"/>
        <s v="11.00"/>
        <s v="13.00"/>
        <s v="14.00"/>
        <s v="15.00"/>
        <s v="16.00"/>
        <s v="17.00"/>
        <s v="19.00"/>
        <s v="20.00"/>
      </sharedItems>
    </cacheField>
    <cacheField name="FISIO" numFmtId="0">
      <sharedItems>
        <s v="WAHYU"/>
        <s v="HENA"/>
        <s v="HESTI"/>
        <s v="OKTA"/>
        <s v="EDO"/>
        <s v="ORY"/>
        <s v="DESTY"/>
        <s v="DANI"/>
        <s v="PRITY"/>
        <s v="AULIA"/>
        <s v="DANRU"/>
      </sharedItems>
    </cacheField>
    <cacheField name="LAYANAN" numFmtId="0">
      <sharedItems>
        <s v="TERAPI AWAL"/>
        <s v="PAKET TERAPI"/>
        <s v="SESI TERAPI"/>
        <s v="PAKET/SESI"/>
      </sharedItems>
    </cacheField>
    <cacheField name="NAMA PASIEN" numFmtId="0">
      <sharedItems>
        <s v="AFNUR RIKI AMRULLAH"/>
        <s v="RUDI HARTONO"/>
        <s v="GRACIA IVANA GOUWYN"/>
        <s v="LILI JARIAH"/>
        <s v="LIM OI KHIUN ALS RIANA"/>
        <s v="LIM OI SIP ALS ERNY"/>
        <s v="EDY HARTONO"/>
        <s v="AHMAD DANY NOVALDI"/>
        <s v="LENY SUMANTRI"/>
        <s v="SUHERDIYANTO, S.PD"/>
        <s v="MARIYAM"/>
        <s v="FATI ARIFAH"/>
        <s v="HO HIAN KI"/>
        <s v="AISHA NAJWA AQILA"/>
        <s v="ALBYAN RAFIF MAHESWARA"/>
        <s v="LICA"/>
        <s v="A. SYUKUR H. JAFRI"/>
        <s v="BOBY ANTA MAULANA"/>
        <s v="FRANKY WILLIAM"/>
        <s v="LISA MEGASARI"/>
        <s v="ANDRIANI"/>
        <s v="ERLIN NURLIAWATY"/>
        <s v="SUYONO"/>
        <s v="HENG KENG SENG"/>
        <s v="SHAOUQI NASHUHA"/>
        <s v="HELIE"/>
        <s v="MASDIARTI"/>
        <s v="HARDJONO"/>
        <s v="ROBINSON NAINGGOLAN"/>
        <s v="AYDA RIANI JOHAR"/>
        <s v="FIKRI AKIFA PERMANA"/>
        <s v="YOSIA GALANG PUTRA BORNEO"/>
        <s v="ATIKA MUFLIHA"/>
        <s v="DEVIN PANGESTU"/>
        <s v="IRFAN APRISON"/>
        <s v="RYUDINATA WILLIAM"/>
        <s v="HARRY FURQAN"/>
        <s v="YUBANADI"/>
        <s v="RAHMAD PUNGKI WALUYO"/>
        <s v="LENI DIANTAMI"/>
        <s v="PUJI MULYANI"/>
        <s v="SEKAR KINANTI HERPRADANTI"/>
        <s v="YUNI ISHAFIZA"/>
        <s v="OZZY GUARDIOLA FITTIFALDY"/>
        <s v="SRI ESRI"/>
        <s v="HAMDAN IDRIS"/>
        <s v="SOFHIA LEKA"/>
        <s v="AMARA PUTRI NAZARISKA"/>
        <s v="SUHERMAN"/>
        <s v="AGNES VERONIKA"/>
        <s v="TITIN MARIANTI S.PDI"/>
        <s v="DIVO"/>
        <s v="MARTINI"/>
        <s v="MUHAMMAD NABHIL DHOYFULLOH"/>
        <s v="NURDILA YULIANTI"/>
        <s v="BIBI NAIZA"/>
        <s v="DWI SANTHIKA"/>
        <s v="SULAIMAN 9601"/>
        <s v="ERITA GUNAWAN"/>
        <s v="FATMAWATI"/>
        <s v="LIA"/>
        <s v="MARISA HANDAYANI"/>
        <s v="NURIL HUDA ATHARIQ UKASAH"/>
        <s v="CINTHYA MEILIZA"/>
        <s v="DIKIFIRNANDA"/>
        <s v="JON ALI"/>
        <s v="NG SIA CIN"/>
        <s v="ANDY SETIAWAN"/>
        <s v="SILVI AULIA"/>
        <s v="ARIEF SAPTA WENDRIANTO"/>
        <s v="ARIFIN NUR ROCHMAD"/>
        <s v="ELLEN ARIFIN"/>
        <s v="OLIVIA NOVELIANTI"/>
        <s v="BAI FURKON HILMI, SE"/>
        <s v="SETYA AJI"/>
        <s v="ROSKIAMY"/>
        <s v="BENI PRAYOGA"/>
        <s v="RIANTIN"/>
        <s v="RADINDA FARIDZYA FITRIYANTO"/>
        <s v="LIENA TJANDRA"/>
        <s v="SINTA CLARENCIA"/>
        <s v="MENG NIAN ALIAS RUDI"/>
        <s v="ADIYATH RANDY YUDIMAMASE, SE.M.M"/>
        <s v="ROSWITA"/>
        <s v="RIA UTAMI"/>
        <s v="SUPENDI"/>
        <s v="DHAIFULLAH IRFAN HAFIZH"/>
        <s v="KURNIAWATI 6009"/>
        <s v="BINTARI INDAH SAPUTRI"/>
        <s v="ALPUTRALAW"/>
        <s v="TJAN TIONG HONG"/>
        <s v="AULIA RAHMAH PUTRI ADISHA"/>
        <s v="TERA VICIANI"/>
        <s v="MUHAMMAD HENDRI. SE"/>
        <s v="BELLY"/>
        <s v="DELIMA FAJAR LIANA"/>
        <s v="TEGUH KURNIAWAN"/>
        <s v="YUNITA"/>
        <s v="AGATHA ARCADIA"/>
        <s v="MUTIARA DEWI A.Q"/>
        <s v="JULIO ARIE PANANGIAN NAPITUPULU"/>
        <s v="NANI ERNIEYATI"/>
        <s v="WAGIYANTO"/>
        <s v="HJ. NURDESWATI SH"/>
        <s v="MERRY"/>
        <s v="TA"/>
        <s v="NURZAINI"/>
        <s v="GREGORIUS TACCHINARDI"/>
        <s v="AZARYA JADAYN ARYO"/>
        <s v="DWI SARTIKA SARI"/>
        <s v="FITRI ANGGRAINI"/>
        <s v="MULLY ENDAH PRATIWI"/>
        <s v="FIKA DWI MEILISA"/>
        <s v="ARPAN DWI CAHYA"/>
        <s v="RASIANI"/>
        <s v="RICKY ISKANDAR"/>
        <s v="FATIH HAWWARI"/>
        <s v="HADIJAH"/>
        <s v="HENDRI MIN"/>
        <s v="UTIN ROSWITA"/>
        <s v="ZULKIFLI 8105"/>
        <s v="FITRIYANI"/>
        <s v="LIEM AI JONG"/>
        <s v="ELLYSA FERONIKA HALIM"/>
        <s v="ERIC JORDAN"/>
        <s v="KASBI"/>
        <s v="DESY RASTIKA SARI"/>
        <s v="RICKY FARIZA LUBIS"/>
        <s v="FITRI HALUDIAWATI"/>
        <s v="ANDI"/>
        <s v="MUHAMMAD CHAIRUDDIN, S.A.P"/>
        <s v="RECKI SEPTIANDA"/>
        <s v="MEIVIAN GOUWYN"/>
        <s v="RIKA RIYANTI"/>
        <s v="KRISTIANI"/>
        <s v="ALY AL DASTAN"/>
        <s v="PUTRI MIRANDA"/>
        <s v="SUHARMI"/>
        <s v="ELWIN LAVEDA"/>
        <s v="MUHAMMAD FADLI LUTFIANDO"/>
        <s v="ALDO PUTRA DERMAWAN"/>
        <s v="MARIA ELLISA"/>
        <s v="LANDON CRYSANDER ALI"/>
        <s v="MEISYA FITRI"/>
        <s v="MIFTAHUL BAROKY"/>
        <s v="HERDY"/>
        <s v="SUPARYANI"/>
        <s v="TUTI TRISNAWATI"/>
        <s v="FRITA OLIVIA"/>
        <s v="ERWIN JULIANSAH"/>
        <s v="IRRINA FAUZIARNI"/>
        <s v="BUTI’AH"/>
        <s v="NICHOLAS ARINDA PRASETYO"/>
        <s v="BOBBY AUDITHA VANDRI"/>
        <s v="AQILA AFIFAH OCTAFRIYANA"/>
        <s v="ANDRE CORIYONGSEN TEDO"/>
        <s v="KATELYN ELANOR LIM"/>
        <s v="SHARON LIE"/>
        <s v="NASYWA EDGINA HAPSARI"/>
        <s v="BELLA BESTIANA TJANDRA"/>
        <s v="M. ARSYAD"/>
        <s v="ARDI ZAJULI"/>
        <s v="WAZIAN ZIRA ANTANYA"/>
        <s v="NOEVAL MUZZAKY"/>
        <s v="DECKY WAHYUDI"/>
        <s v="ANGELICA BUNARDI"/>
        <s v="DIANA"/>
        <s v="OBIN"/>
        <s v="BUJANG"/>
        <s v="MAHIYE"/>
        <s v="ALGI FAHRI"/>
        <s v="RIKSON ARMAGEDON PURBA"/>
        <s v="DHUTA ERLANGGA SUPRAYITNO"/>
        <s v="TJANG JUN BU"/>
        <s v="RAFIF HANAN"/>
        <s v="TUKINEM"/>
        <s v="OKTARIANA TRI SUSANTI"/>
        <s v="MARIO GOTHEDY"/>
        <s v="DELLY MARINA"/>
        <s v="YURWARTINI"/>
        <s v="TOMMY ABDUL GHANI"/>
        <s v="WIWID YULIAN SAPUTRO"/>
        <s v="RAJIDIN"/>
        <s v="DWI CHRISTIANA"/>
        <s v="FADLURROHMAN ASSHIDDIQI"/>
        <s v="SUKAWATI EFFENDY"/>
        <s v="LUCIA HIDAYAT"/>
        <s v="SITI HALIMAH"/>
        <s v="ALFA GILBERD"/>
        <s v="NOVIANTO"/>
        <s v="ASTISZA SYAHLA LUDMILLA PARABI"/>
        <s v="JO MIAUW MUI"/>
        <s v="ABDURROHMAN AL FIKRI"/>
        <s v="SANTUN TOGATOROP"/>
        <s v="MAULIDIA AKHIR"/>
        <s v="ALIONG"/>
        <s v="LISNA WARDATI"/>
        <s v="AINIYATUL FITRIYAH"/>
        <s v="BRAMA DARUSSALAM JATMIKO"/>
        <s v="KHOU AI KHENG"/>
        <s v="NURJANAH"/>
        <s v="MUHAMMAD FIRMAN SAPUTRA"/>
        <s v="GUSTI MURI IRFAN"/>
        <s v="NURHASANA"/>
        <s v="MIA HARTE"/>
        <s v="SULAIMAN 6407"/>
        <s v="MISSRIWATI"/>
        <s v="GIRY XAVIRA PUTRI"/>
        <s v="MAWRICE CHUARESMO MARTIN"/>
        <s v="ERVINAWATI KUSUMA"/>
        <s v="RINA TJENDERA"/>
        <s v="DJAUW KHIE TJIN"/>
        <s v="BARTOLOMEUS LAUDY GALIH ARTO"/>
        <s v="ARYA KUSUMA RAMADAN"/>
        <s v="SUGIANTO WIJAYA"/>
        <s v="MUHAMMAD TAUFIK"/>
        <s v="KALYCA ANDANIA"/>
        <s v="SUKARNI"/>
        <s v="MARIYAMINA RUPINA"/>
        <s v="CAMELIA DESNIGO"/>
        <s v="DANY SUWARNO"/>
        <s v="FATIMA"/>
        <s v="ELO SINAGA"/>
        <s v="ELY"/>
        <s v="HUWAIDAH THIFAL NAURAH"/>
        <s v="ELLA FITRIA"/>
        <s v="TIURLAN RANIA SITOMPUL"/>
        <s v="SUMIATI"/>
        <s v="MUHAMMAD REVANDRA"/>
        <s v="REI KHALFANI"/>
        <s v="WARRIN WIJAYA"/>
        <s v="SEBASTIAN"/>
        <s v="TAN TJHUN TIE ALS ROBERT"/>
        <s v="SRI HERYANTI"/>
        <s v="MARTIN"/>
        <s v="CANDY WIBOWO"/>
        <s v="SUSANTI"/>
        <s v="SAITA"/>
        <s v="ENDIH SUPANDIH"/>
        <s v="SALLY ISKANDAR TAN"/>
        <s v="GILANG RIDHO ANANDA"/>
        <s v="ZULKIFLI HASANUDDIN"/>
        <s v="ELLISA RASIMIN"/>
        <s v="MEDIANA SULISTIAWATI"/>
        <s v="ANDRI WIJAYA KUSUMA"/>
        <s v="M IQBAL"/>
        <s v="OWEN LOWIRA"/>
        <s v="NAJWA NUR AZWINA"/>
        <s v="SYARIF ZULFAN ADHA"/>
        <s v="RD RHAFLI HASSAN BISRI"/>
        <s v="MINARWATY"/>
        <s v="AZMI 8804"/>
        <s v="STEVANI"/>
        <s v="RINI SATMAWATI"/>
        <s v="HANY JULIANI"/>
        <s v="RAHDIAN EDISON"/>
        <s v="RATNAWITA"/>
        <s v="NURHAYATI 6206"/>
        <s v="ANDI DE"/>
        <s v="HUMAIRA NOVRIYATI"/>
        <s v="SUPOMO"/>
        <s v="AKIAN"/>
        <s v="PETRUS"/>
        <s v="AULI FATHIA PUTRIATI S.FARM, APT"/>
        <s v="YESI VERDIANTI"/>
        <s v="IDRIS"/>
        <s v="IRIYANI"/>
        <s v="CHRISTIAN WIDIYANTO"/>
        <s v="CHIKI AMARA SYAHLITHA"/>
        <s v="ELMON UTOMO"/>
        <s v="MENTARI RACHMANIAZ RIZKI"/>
        <s v="JASON VALENCIUS"/>
        <s v="MASKADARNI"/>
        <s v="MUHAMMAD DEVA ERLANGGA"/>
        <s v="SYARIF RAIHAN RAFISKI"/>
        <s v="SETIO BONO SAPUTRO"/>
        <s v="WISNU"/>
        <s v="TENGKU PUTRI DEVANTY"/>
        <s v="FACHRUL APRIAN"/>
        <s v="SISKA DAMASTUTI"/>
        <s v="JOVAN EDUARDO LO"/>
        <s v="DELA MASTIKA"/>
        <s v="EMA KULATA"/>
        <s v="DARA RANTI PURBASAR"/>
        <s v="VIVIYANTI"/>
        <s v="JULIANA"/>
        <s v="ZULFAHMI EKI FINALDA"/>
        <s v="BENHUR SITUMORANG"/>
        <s v="RENA"/>
        <s v="IQLIMA ZAHRA"/>
        <s v="BAGAS BIMANTORO HARYONO"/>
        <s v="HENGKI AFRIANUS"/>
        <s v="ANDY"/>
        <s v="KHIM FAT"/>
        <s v="LILI SUHANA"/>
        <s v="ALYSSA SALSABILLA"/>
        <s v="OSKAR FEBRIANO HASITTO"/>
        <s v="VERDICO ARIEF"/>
        <s v="SOLIHIN AGUS"/>
        <s v="YULIA WIDIANARTI"/>
        <s v="DEVKY DERMAWANSYAH"/>
        <s v="REZA"/>
        <s v="VERTY SARI PUSPARINI"/>
        <s v="ALPAWI"/>
        <s v="ANSELMUS RINALDHY, SE.,MM"/>
        <s v="ALKHAWARISMA"/>
        <s v="WARI WALINGGA"/>
        <s v="RITA MUSTARI"/>
        <s v="YULIANA SST"/>
        <s v="BAYU AGIL SAMPURNO"/>
        <s v="NOLLIE NOVELLA TANAJO"/>
        <s v="SING SING"/>
        <s v="EVELINE PARAMITHA LORINDA"/>
        <s v="MILLAH AULIYA"/>
        <s v="APRILLIA SUSANTI"/>
        <s v="WISNU WARDANA"/>
        <s v="HENGKI KURNIAWAN"/>
        <s v="WIWIN WAHYUNINGSIH"/>
        <s v="CHINTIA OKTAVIANY"/>
        <s v="FIRMAN HIDAYAT"/>
        <s v="ANDYKA FILANI"/>
        <s v="SUYADI, A.MA. PD"/>
        <s v="RICO OSCARIO"/>
        <s v="YATMI"/>
        <s v="SOFIA PHUA"/>
        <s v="DARMADI"/>
        <s v="ROHANI"/>
        <s v="TRI SUTRISNO"/>
        <s v="HANAPI"/>
        <s v="MISLANA"/>
        <s v="LILI URIANTO"/>
        <s v="DESA AYU NATALIA"/>
        <s v="TEGUH ADI PEASETYO"/>
        <s v="SITI ALHUSNA NURUL AGUSTIN"/>
        <s v="INDRA JAYA AK MSI"/>
        <s v="FARREL"/>
        <s v="URAY SHIEDQIE"/>
        <s v="ROSNIAR"/>
        <s v="VIVIANTY"/>
        <s v="BANU AJI NUGROHO"/>
        <s v="MUHAMMAD FARIDH DIYAPRATAMA"/>
        <s v="RACHMI WULAN"/>
        <s v="LILI MANGKULIONO"/>
        <s v="ADAM DAMIRI"/>
        <s v="KRIS YOGI DWI PUTRA SIBARANI"/>
        <s v="GRACIA SHERLYTTA VALENSIA"/>
        <s v="ANGELINE OLIVIA"/>
        <s v="NUZUL NURWAHYUDDIN"/>
        <s v="EVANIA"/>
        <s v="HARMI CAHYANI"/>
        <s v="KENNETH CARMEN"/>
        <s v="WACHYU WIDAYAT"/>
        <s v="ANDIKA HERMAWAN"/>
        <s v="GIOVANNI NASTASIO PARURERA"/>
        <s v="SUMITO WICAKSONO SIM"/>
        <s v="AGUS HARYONO"/>
        <s v="RATNA DEWI"/>
        <s v="ASEP SETIAWAN"/>
        <s v="DARREN LOWIRA"/>
        <s v="LIAU TJONG POEN ALS YULIANA"/>
        <s v="YAYA MAULIDIA"/>
        <s v="LIE KIM FA/KESUMAJADI"/>
        <s v="ANGELIA IVANA"/>
        <s v="FERY"/>
        <s v="WIEKE VERASTUTI"/>
        <s v="DWI BARI LUTHFIANUR"/>
        <s v="RESYA NOVADITYA"/>
        <s v="SARWATI"/>
        <s v="NURMIATY SALMAH"/>
        <s v="CINTHYA TANJAYA"/>
        <s v="DWI FITRIANINGSIH"/>
        <s v="NIKO BARKAH DAME PUTRA SIREGAR"/>
        <s v="MUHAMMAD ZUHRI"/>
        <s v="JERI SUPRTIADI"/>
        <s v="JAMALUDIN MAULANA"/>
        <s v="ANGEL OLIVIA"/>
        <s v="DRA. HJ. SRI MULYANI"/>
        <s v="ANDRI DOS SANTOS"/>
        <s v="GALIH HANDAYANI"/>
        <s v="SYARIF HANIF RAMADHAN"/>
        <s v="FARIDA HASTUTI"/>
        <s v="RAFI AHMADY"/>
        <s v="ELLEN ARINDA PRATIWI"/>
        <s v="ANDREAN CAHYONO"/>
        <s v="RENDI"/>
        <s v="JAINAL"/>
        <s v="DEYA NATHASYA RAHMADANY"/>
        <s v="ANGGER CHESTA HIDAYAT"/>
        <s v="DECKY TRIONO"/>
        <s v="SYARIF SUHERMAN"/>
        <s v="JULIANA DELVINA SARI"/>
        <s v="DICKY KUSUMA SAKTI"/>
        <s v="AKHDAN NAUFAL"/>
        <s v="ARISYA AHZA NAURA"/>
        <s v="SOEPARTO"/>
        <s v="JUN FONG"/>
        <s v="STEVEN HARYANTO"/>
        <s v="LIE SOI TJU"/>
        <s v="KASTI"/>
        <s v="CITRA PURNAMA SARI"/>
        <s v="NIKI TRIYANDI"/>
        <s v="THJANG TAT LIM"/>
        <s v="ANGELICA"/>
        <s v="VERGI ARKADYA"/>
        <s v="BEDJO RAHARDJO"/>
        <s v="YOSTRYAN CHENATA"/>
        <s v="EMYLIA"/>
        <s v="HENDRI WIJAYA"/>
        <s v="RANDA ARZA SAPUTRA"/>
        <s v="PHE BAK SONG"/>
        <s v="LIMINA DJUITA LIMAS"/>
        <s v="RAMOTI PUTRA MANALU"/>
        <s v="NITTA ROLLITA"/>
        <s v="ENDAH SEPTIANINGSIH"/>
        <s v="DONNY TRI PUJIANTO"/>
        <s v="SUWANDI 7609"/>
        <s v="WAHONO"/>
        <s v="DRSHENDRA SALIM"/>
        <s v="RIZKI RAMADHANI"/>
        <s v="RIZKADEA BELIANTO"/>
        <s v="SURYANA"/>
        <s v="ISNINDAR "/>
        <s v="SUHERMAN "/>
        <s v="RIDHO TOBING"/>
        <s v="ROHAYATI"/>
        <s v="HENDRI WIJAYA "/>
        <s v="ASNAH"/>
        <s v="PUTRI RESTU AWALIYAH"/>
        <s v="NORIZAN"/>
        <s v="EDY DARMAWAN"/>
        <s v="IVAN TANSARITO"/>
        <s v="YANTI LIM"/>
        <s v="RICKY THERISNO"/>
        <s v="CHRISTINA"/>
        <s v="PIPO"/>
        <s v="TJONG LIE TJHIUN ALS SUKIMAN"/>
        <s v="NAOMI APRILIA SIMANULLANG"/>
        <s v="MUDIONO HARYANTO"/>
        <s v="JOKEND ZAPOTA PUTRA"/>
        <s v="FIERLY ALYA KINANTI"/>
      </sharedItems>
    </cacheField>
    <cacheField name="NO. RM" numFmtId="0">
      <sharedItems containsBlank="1">
        <s v="A9025092121"/>
        <s v="R2525091389"/>
        <s v="G0425088990"/>
        <s v="L8125099600"/>
        <s v="L5925109995"/>
        <s v="L5325099995"/>
        <s v="E7525090355"/>
        <s v="A0625085349"/>
        <s v="L8725094767"/>
        <s v="S8025102353"/>
        <s v="M6825093469"/>
        <s v="F1025103034"/>
        <s v="H5024091565"/>
        <s v="A0825098780"/>
        <s v="A0925094650"/>
        <s v="L9925048099"/>
        <s v="A6125094370"/>
        <s v="B8525075344"/>
        <s v="F4925091811"/>
        <s v="L8625105331"/>
        <s v="A5625092572"/>
        <s v="E8425098000"/>
        <s v="S7125096750"/>
        <s v="H5325098176"/>
        <s v="S9625108010"/>
        <s v="H7825098625"/>
        <s v="M7525052841"/>
        <s v="H4623015667"/>
        <s v="R9625100137"/>
        <s v="A0025068439"/>
        <s v="F0423083055"/>
        <s v="Y0825082296"/>
        <s v="A9725086020"/>
        <s v="D1025091558"/>
        <s v="I9525090"/>
        <s v="R1225091811"/>
        <s v="H9025092496"/>
        <s v="Y5125088477"/>
        <s v="R7925105884"/>
        <s v="L2525104585"/>
        <s v="P7525096189"/>
        <s v="S9825058991"/>
        <s v="Y6625092191"/>
        <s v="O9424013019"/>
        <s v="S6225086797"/>
        <s v="H5325012017"/>
        <s v="S9025083777"/>
        <s v="A0925107929"/>
        <s v="S7625091177"/>
        <s v="A9224038209"/>
        <s v="T6625103145"/>
        <s v="D0925034440"/>
        <s v="M7225080167"/>
        <s v="M0524055808"/>
        <s v="N9025080662"/>
        <s v="B8025102980"/>
        <s v="D7225029198"/>
        <s v="S9624106365"/>
        <s v="E8025071596"/>
        <s v="F6925098775"/>
        <s v="L8925090200"/>
        <s v="M9225108407"/>
        <s v="N9825094835"/>
        <s v="C9725104448"/>
        <s v="D0525097586"/>
        <s v="J8823019998"/>
        <s v="N5825097333"/>
        <s v="A8723049223"/>
        <s v="S0125102986"/>
        <s v="A6025048900"/>
        <s v="A9025108786"/>
        <s v="E8925075615"/>
        <s v="O0925070649"/>
        <s v="B7125094370"/>
        <s v="S7025063552"/>
        <s v="R5725106810"/>
        <s v="B9925104512"/>
        <s v="R7723022907"/>
        <s v="R0125045992"/>
        <s v="L7225071788"/>
        <s v="S8625097998"/>
        <s v="M6825090"/>
        <s v="A9125100553"/>
        <s v="R7325101626"/>
        <s v="R7825108100"/>
        <s v="S8225092183"/>
        <s v="D0924079294"/>
        <s v="K6025085313"/>
        <s v="B8025102288"/>
        <s v="A9323069998"/>
        <s v="T7524104338"/>
        <s v="A1123072881"/>
        <s v="T8825037433"/>
        <s v="M8125099997"/>
        <s v="B8825057611"/>
        <s v="D8624112017"/>
        <s v="T8625107487"/>
        <s v="Y9524111515"/>
        <s v="A0623071437"/>
        <s v="M0025084349"/>
        <s v="J9425106812"/>
        <s v="N7425100815"/>
        <s v="W6524066023"/>
        <s v="H2525100224"/>
        <s v="M7625071479"/>
        <m/>
        <s v="N5125073362"/>
        <s v="G0225101517"/>
        <s v="A1025102304"/>
        <s v="D8625106969"/>
        <s v="F0225101419"/>
        <s v="M7825100800"/>
        <s v="F0625102235"/>
        <s v="A9625083700"/>
        <s v="R8125102726"/>
        <s v="R8825109439"/>
        <s v="F1025100245"/>
        <s v="H6725101225"/>
        <s v="H6325042095"/>
        <s v="U6125104228"/>
        <s v="Z8125047588"/>
        <s v="F8825103616"/>
        <s v="L5823040082"/>
        <s v="E9425102074"/>
        <s v="E9925108783"/>
        <s v="K5225090123"/>
        <s v="D9224015876"/>
        <s v="R8125108947"/>
        <s v="F9725096709"/>
        <s v="A9425105994"/>
        <s v="M7825098720"/>
        <s v="R9625105757"/>
        <s v="M9825086178"/>
        <s v="R9225072190"/>
        <s v="K9925107744"/>
        <s v="A2424089584"/>
        <s v="P0125047300"/>
        <s v="S6325104795"/>
        <s v="E0025103200"/>
        <s v="M9825103838"/>
        <s v="A1423086916"/>
        <s v="M0725093359"/>
        <s v="L0825103838"/>
        <s v="M8925040551"/>
        <s v="M0125103039"/>
        <s v="H0125105276"/>
        <s v="S7024086880"/>
        <s v="T7325100015"/>
        <s v="F9225081879"/>
        <s v="E0125101871"/>
        <s v="I8025109996"/>
        <s v="B6125039680"/>
        <s v="N0324108818"/>
        <s v="B9425106600"/>
        <s v="A0125104452"/>
        <s v="A9825105032"/>
        <s v="K1625104577"/>
        <s v="S0825106969"/>
        <s v="N0525103483"/>
        <s v="B9825108681"/>
        <s v="M6125100219"/>
        <s v="A9125109974"/>
        <s v="W0825106980"/>
        <s v="N0425105874"/>
        <s v="D9825108138"/>
        <s v="A9925105509"/>
        <s v="D6925037525"/>
        <s v="O7825104730"/>
        <s v="B7325109155"/>
        <s v="M7925108167"/>
        <s v="A0825042223"/>
        <s v="R6725103408"/>
        <s v="D0625102206"/>
        <s v="T6325109944"/>
        <s v="R1325084646"/>
        <s v="T6525103639"/>
        <s v="O0424074824"/>
        <s v="M0224087001"/>
        <s v="D8225100100"/>
        <s v="Y6225086451"/>
        <s v="T9424061583"/>
        <s v="W9525106146"/>
        <s v="R8723125757"/>
        <s v="D7925106622"/>
        <s v="F0225102200"/>
        <s v="S4725109888"/>
        <s v="L7725110799"/>
        <s v="S8525111805"/>
        <s v="A9424099103"/>
        <s v="N8325117007"/>
        <s v="A9925114514"/>
        <s v="J5525063513"/>
        <s v="A9924088313"/>
        <s v="S5925098785"/>
        <s v="M9825114498"/>
        <s v="A9326025869"/>
        <s v="L6524043399"/>
        <s v="A9525119187"/>
        <s v="B0025116716"/>
        <s v="K7525084719"/>
        <s v="M0524020310"/>
        <s v="G9825110702"/>
        <s v="N8525112090"/>
        <s v="M6925117500"/>
        <s v="S6425029234"/>
        <s v="M8525119888"/>
        <s v="G9924046563"/>
        <s v="M0825116129"/>
        <s v="E8625112448"/>
        <s v="R5625107738"/>
        <s v="D6525119328"/>
        <s v="B0125112743"/>
        <s v="A0625113812"/>
        <s v="S9525118899"/>
        <s v="M8425111626"/>
        <s v="K0825116630"/>
        <s v="M5325110126"/>
        <s v="C0525114334"/>
        <s v="D8525114110"/>
        <s v="F2525111598"/>
        <s v="E1023019575"/>
        <s v="E7324031888"/>
        <s v="H0123016085"/>
        <s v="E9725118035"/>
        <s v="T9925112700"/>
        <s v="S8525116452"/>
        <s v="M1223117264"/>
        <s v="R1125017999"/>
        <s v="W9725116553"/>
        <s v="S0125117555"/>
        <s v="T5625119994"/>
        <s v="S6025112254"/>
        <s v="M0125099595"/>
        <s v="C9025117272"/>
        <s v="S5925119334"/>
        <s v="E7523087500"/>
        <s v="S0125112891"/>
        <s v="G9725111612"/>
        <s v="Z9325081191"/>
        <s v="E9325071431"/>
        <s v="M0425117629"/>
        <s v="A8525117983"/>
        <s v="M0425114646"/>
        <s v="O0825111109"/>
        <s v="N0725118277"/>
        <s v="S9823066329"/>
        <s v="R0325114352"/>
        <s v="M7525114704"/>
        <s v="A8825114554"/>
        <s v="S0325118209"/>
        <s v="R6825110615"/>
        <s v="H1025113976"/>
        <s v="R9025103337"/>
        <s v="R6925118000"/>
        <s v="N6225110960"/>
        <s v="A7025110923"/>
        <s v="H7825116588"/>
        <s v="S7325111991"/>
        <s v="A9425110177"/>
        <s v="P0123123241"/>
        <s v="A8725115557"/>
        <s v="Y9325112254"/>
        <s v="I5825112202"/>
        <s v="C0525115291"/>
        <s v="C9925116192"/>
        <s v="E8825039292"/>
        <s v="M9924081266"/>
        <s v="J0825113594"/>
        <s v="M7125117366"/>
        <s v="M0025117586"/>
        <s v="S1223087980"/>
        <s v="S7325119020"/>
        <s v="W0725110582"/>
        <s v="T8425110655"/>
        <s v="F9625115501"/>
        <s v="S9225116214"/>
        <s v="J0525113412"/>
        <s v="D0725113899"/>
        <s v="E7325114705"/>
        <s v="D9425115021"/>
        <s v="V8825112988"/>
        <s v="J8425110309"/>
        <s v="Z9524058455"/>
        <s v="B8225112104"/>
        <s v="R0025116078"/>
        <s v="I0025112738"/>
        <s v="B0924114293"/>
        <s v="H0625118331"/>
        <s v="A9125115541"/>
        <s v="K6925117323"/>
        <s v="L8123072518"/>
        <s v="A0125119292"/>
        <s v="O0925115685"/>
        <s v="V8925118000"/>
        <s v="S6724108986"/>
        <s v="Y7025113569"/>
        <s v="D9225112288"/>
        <s v="R0325117252"/>
        <s v="V8625117580"/>
        <s v="A5125112484"/>
        <s v="A8525119797"/>
        <s v="A9625081247"/>
        <s v="W9625114960"/>
        <s v="R6725050750"/>
        <s v="Y8625113524"/>
        <s v="B0525015519"/>
        <s v="N0725085070"/>
        <s v="S2525120816"/>
        <s v="E9225127347"/>
        <s v="M0525128789"/>
        <s v="A8525127477"/>
        <s v="W8825126959"/>
        <s v="H9624094749"/>
        <s v="W7625111739"/>
        <s v="C8525081338"/>
        <s v="F7725120001"/>
        <s v="A8824129408"/>
        <s v="S5625122439"/>
        <s v="R9025120312"/>
        <s v="Y6225125478"/>
        <s v="S4425117922"/>
        <s v="D7925125149"/>
        <s v="R5825110969"/>
        <s v="T9225125183"/>
        <s v="H6725049807"/>
        <s v="M6325122994"/>
        <s v="L7425128709"/>
        <s v="D9125126509"/>
        <s v="T8525127478"/>
        <s v="S9525127945"/>
        <s v="I7225127895"/>
        <s v="F1325121234"/>
        <s v="U6125123244"/>
        <s v="R5825122217"/>
        <s v="V9225074870"/>
        <s v="B0025121417"/>
        <s v="M9425123698"/>
        <s v="R9625012853"/>
        <s v="L6625122686"/>
        <s v="A9825122289"/>
        <s v="K8825128215"/>
        <s v="G0225127027"/>
        <s v="A0325126212"/>
        <s v="N8325126783"/>
        <s v="E9025088822"/>
        <s v="H8525124000"/>
        <s v="K9924034069"/>
        <s v="W6425129394"/>
        <s v="A0125120628"/>
        <s v="G0225127367"/>
        <s v="S8825078486"/>
        <s v="A7825121998"/>
        <s v="R9024087560"/>
        <s v="A6825060057"/>
        <s v="D0625121108"/>
        <s v="L5725121301"/>
        <s v="Y6825129986"/>
        <s v="L6025128579"/>
        <s v="A0025123200"/>
        <s v="F9325121778"/>
        <s v="W7525122424"/>
        <s v="D8825037244"/>
        <s v="R0825114030"/>
        <s v="S7325124774"/>
        <s v="N5725121100"/>
        <s v="C0325128008"/>
        <s v="D8525121185"/>
        <s v="N0025126327"/>
        <s v="M7925122235"/>
        <s v="J9725124944"/>
        <s v="J9725129346"/>
        <s v="A0325125109"/>
        <s v="D6625125696"/>
        <s v="A9625120301"/>
        <s v="G8425125725"/>
        <s v="S1625067980"/>
        <s v="F6125128057"/>
        <s v="R1325123120"/>
        <s v="E9725120876"/>
        <s v="A9226023219"/>
        <s v="R0225129200"/>
        <s v="J6625120248"/>
        <s v="D9825126821"/>
        <s v="A0724125118"/>
        <s v="D7725120078"/>
        <s v="S7125124801"/>
        <s v="J0625127652"/>
        <s v="D9525039860"/>
        <s v="A9525120897"/>
        <s v="A1325122428"/>
        <s v="S5125127001"/>
        <s v="J9824114915"/>
        <s v="S0025121122"/>
        <s v="L5825122264"/>
        <s v="K7425121740"/>
        <s v="C9225128367"/>
        <s v="N8425122485"/>
        <s v="T5125126845"/>
        <s v="A0825125687"/>
        <s v="V5325123931"/>
        <s v="B5325129871"/>
        <s v="Y9425125852"/>
        <s v="E9523075183"/>
        <s v="H9425120685"/>
        <s v="R9125127920"/>
        <s v="P0825121639"/>
        <s v="L5725128222"/>
        <s v="R9525121510"/>
        <s v="N7025034060"/>
        <s v="E8925127564"/>
        <s v="D9425126561"/>
        <s v="S7625058881"/>
        <s v="W5325062288"/>
        <s v="D5325127738"/>
        <s v="R9125124991"/>
        <s v="R9325125636"/>
        <s v="S7723054038"/>
        <s v="R0325122390"/>
        <s v="R6325126355"/>
        <s v="A5425122766"/>
        <s v="P9824042265"/>
        <s v="N6225128383"/>
        <s v="E0225030144"/>
        <s v="I8325126278"/>
        <s v="Y7125120189"/>
        <s v="R9725098379"/>
        <s v="C9125120366"/>
        <s v="PANGSUMA FC"/>
        <s v="T4825127000"/>
        <s v="N0825129205"/>
        <s v="M7925125522"/>
        <s v="J9425122013"/>
        <s v="F9825129501"/>
      </sharedItems>
    </cacheField>
    <cacheField name="USIA" numFmtId="0">
      <sharedItems containsString="0" containsBlank="1" containsNumber="1" containsInteger="1">
        <n v="36.0"/>
        <n v="1.0"/>
        <n v="21.0"/>
        <n v="45.0"/>
        <n v="67.0"/>
        <n v="73.0"/>
        <n v="51.0"/>
        <n v="19.0"/>
        <n v="38.0"/>
        <n v="46.0"/>
        <n v="58.0"/>
        <n v="16.0"/>
        <n v="75.0"/>
        <n v="18.0"/>
        <n v="17.0"/>
        <n v="26.0"/>
        <n v="64.0"/>
        <n v="40.0"/>
        <n v="76.0"/>
        <n v="39.0"/>
        <n v="69.0"/>
        <n v="41.0"/>
        <n v="55.0"/>
        <n v="29.0"/>
        <n v="47.0"/>
        <n v="50.0"/>
        <n v="80.0"/>
        <n v="25.0"/>
        <n v="28.0"/>
        <n v="30.0"/>
        <n v="13.0"/>
        <n v="35.0"/>
        <n v="0.0"/>
        <n v="27.0"/>
        <n v="59.0"/>
        <n v="31.0"/>
        <n v="63.0"/>
        <n v="72.0"/>
        <n v="49.0"/>
        <n v="33.0"/>
        <n v="54.0"/>
        <n v="20.0"/>
        <n v="56.0"/>
        <n v="34.0"/>
        <n v="24.0"/>
        <n v="66.0"/>
        <n v="68.0"/>
        <n v="48.0"/>
        <n v="53.0"/>
        <n v="57.0"/>
        <n v="52.0"/>
        <n v="44.0"/>
        <n v="65.0"/>
        <n v="14.0"/>
        <n v="37.0"/>
        <n v="60.0"/>
        <m/>
        <n v="74.0"/>
        <n v="23.0"/>
        <n v="15.0"/>
        <n v="32.0"/>
        <n v="62.0"/>
        <n v="11.0"/>
        <n v="9.0"/>
        <n v="22.0"/>
        <n v="43.0"/>
        <n v="78.0"/>
        <n v="42.0"/>
        <n v="71.0"/>
        <n v="61.0"/>
        <n v="70.0"/>
        <n v="82.0"/>
        <n v="12.0"/>
      </sharedItems>
    </cacheField>
    <cacheField name="JENIS KELAMIN" numFmtId="0">
      <sharedItems containsBlank="1">
        <s v="LAKI-LAKI"/>
        <s v="PEREMPUAN"/>
        <m/>
      </sharedItems>
    </cacheField>
    <cacheField name="AGAMA" numFmtId="0">
      <sharedItems containsBlank="1">
        <s v="ISLAM"/>
        <s v="PROTESTAN"/>
        <s v="KATOLIK"/>
        <s v="BUDDHA"/>
        <s v="KHONGHUCU"/>
        <s v="LAINNYA"/>
        <m/>
        <s v="-"/>
      </sharedItems>
    </cacheField>
    <cacheField name="PEKERJAAN" numFmtId="0">
      <sharedItems containsBlank="1">
        <s v="WIRASWASTA"/>
        <s v="KARYAWAN"/>
        <s v="BUSINESS OWNER"/>
        <s v="IRT"/>
        <s v="KARYAWAN SWASTA"/>
        <s v="WIRAUSAHA"/>
        <s v="PELAJAR/MAHASISWA"/>
        <s v="IBU RUMAH TANGGA"/>
        <s v="KARYAWAN HONORER"/>
        <s v="MASIH SEKOLAH"/>
        <s v="RUMAH TANGGA"/>
        <s v="PELAJAR"/>
        <s v="ACCOUNTING"/>
        <s v="PENSIUN"/>
        <s v="SWASTA"/>
        <s v="MARKETING"/>
        <s v="PEKERJA LEPAS/ FREELANCE"/>
        <s v="PNS"/>
        <s v="MASI SEKOLAH"/>
        <s v="SISWA"/>
        <s v="PENSIUNAN PLN"/>
        <s v="GURU"/>
        <s v="ANGGOTA DPRD KOTA PONTIANAK"/>
        <s v="PENSIUNAN PNS"/>
        <s v="BUMD"/>
        <s v="-"/>
        <s v="BUMN"/>
        <s v="PEGAWAI"/>
        <s v="JAGA STAND"/>
        <s v="KONSULTAN PAJAK"/>
        <s v="ASN"/>
        <s v="IBU RT"/>
        <s v="DOSEN"/>
        <s v="PEGAWAI SWASTA"/>
        <m/>
        <s v="PENSIUNAN"/>
        <s v="MAHASISWA"/>
        <s v="PENSIUNAN GURU PNS"/>
        <s v="WIRASWASYA"/>
        <s v="FREELANCE"/>
        <s v="WIRASWAATA"/>
        <s v="NARKAM"/>
        <s v="COOK"/>
        <s v="PRAMUGARI BUMN"/>
        <s v="MENGURUS RUMAH RANGGA"/>
        <s v="TAROT READER"/>
        <s v="ADMIN GOR"/>
        <s v="WIRASUASTA"/>
        <s v="BURUH"/>
        <s v="PELAJAR SMPIT AL MUMTAZ"/>
        <s v="TIDAK ADA"/>
        <s v="PENGANGGURAN"/>
        <s v="SALES"/>
        <s v="SUPIR"/>
        <s v="DOSEN/GURU"/>
        <s v="ADMIN"/>
        <s v="PENSIUNAN GURU"/>
        <s v="STAFF TOKO"/>
        <s v="BELUM BERKERJA"/>
        <s v="FOOTBALL AGENT"/>
        <s v="KARYAWAN BUMN"/>
        <s v="TNI/POLRI"/>
        <s v="PEDAGANG"/>
        <s v="TIDAK BEKERJA"/>
        <s v="KARYAWATI"/>
        <s v="TNI AD"/>
        <s v="PETANI"/>
        <s v="PPPK"/>
        <s v="ARSITEK"/>
        <s v="P3K"/>
        <s v="SEASTA"/>
        <s v="DOKTER GIGI"/>
        <s v="DI BANDARA"/>
        <s v="POLRI"/>
        <s v="GURU PPPK"/>
        <s v="MAHASISWA/PELAJAR"/>
        <s v="STAF"/>
        <s v="PERDAGANGAN"/>
        <s v="BARISTA"/>
        <s v="GURU TODDLER"/>
        <s v="BELUM ADA"/>
        <s v="TNI"/>
        <s v="SALES LUAR KOTA"/>
        <s v="PEMBISNIS"/>
        <s v="WIRASAWATA"/>
        <s v="BURUH HARIAN LEPAS"/>
        <s v="SISWA SMA"/>
        <s v="IRY"/>
        <s v="TUKANG LAS"/>
        <s v="FINANCE"/>
      </sharedItems>
    </cacheField>
    <cacheField name="KELUHAN" numFmtId="0">
      <sharedItems containsBlank="1">
        <s v="PINGGANG KECETIT"/>
        <s v="FROZEN SHOULDER"/>
        <s v="TANGAN"/>
        <s v="SAKIT PINGGANG KIRI"/>
        <s v="LUTUT"/>
        <s v="OPERASI LUTUT"/>
        <s v="SAKIT DI BAHU"/>
        <s v="BAHU"/>
        <s v="NYERI LEHER"/>
        <s v="PINGGANG SAMPAI KAKI"/>
        <s v="KAKI SAKIT SEKALI BERJALAN.. AWALNYA HANYA SATU KAKI YANG SAKIT PAS PULANG UMROH KAKI YANG TIDAK SAKIT JADI SAKIT SEKALI DAN SANGAT KESULITAN UNTUK BERJALAN DAN SAKITNYA SAMPE KE PINGGANG"/>
        <s v="PADA SAAT JALAN DEKAT MATA KAKI TERASA SAKIT"/>
        <s v="NYERI/KESEMUTAN DI PAHA KIRI"/>
        <s v="SAKIT DI LUTUT"/>
        <s v="NYERI TULANG BELAKANG SAMPAI KAKI, NYERI DI BAGIAN LUTUT JUGA"/>
        <s v="NYERI DI SENDI BAHU, SAKIT KETIKA DI ANGKAT AGAK TINGGI"/>
        <s v="NYERI LUTUT"/>
        <s v="KAKI GA KUAT"/>
        <s v="BENUA MELAYU LAUT"/>
        <s v="PINGGANG DAN KAKI"/>
        <s v="TANGAN KESEMUTAN"/>
        <s v="OTOT LENGAN KANAN"/>
        <s v="KAKI GAK BISA JONGKOK"/>
        <s v="ANKLE SPRAIN"/>
        <s v="SIANTAN"/>
        <s v="RHUMBOID PAIN, CARPAL TUNNEL SYNDROME, PIRIFORMIS SYNDROME"/>
        <s v="STROKE"/>
        <s v="CEDERA DI LUTUT"/>
        <s v="LUTUT SAKIT KARENA SALAH SQUAD/ JONGKOK DI OLAHRAGA/ GYM."/>
        <s v="SAKIT DAN NGERI DI BAGIAN KAKI"/>
        <s v="SAKIT BAGIAN PAHA DAN PANGGUL"/>
        <s v="SAKIT DI BAGIAN LUTUT"/>
        <s v="ANKLE"/>
        <s v="BUNGKUK"/>
        <s v="KAKI KIRI SAKIT"/>
        <s v="STROKE SEBELAH KANAN"/>
        <s v="CIDERA OTOT BAGIAN LUTUT"/>
        <s v="CEDERA BAHU"/>
        <s v="SAKIT PADA KAKI"/>
        <s v="HNP LUMBAL/SARAF KEJEPIT"/>
        <s v="KAKI KIRI SAKIT, NYER JUGA NGILU KARENA HABIS TABRAKAN"/>
        <s v="Ketarik sehabis long run"/>
        <s v="TANGAN KANAN BAGIAN ATAS, SAKIT SAAT DIGERAKKAN"/>
        <s v="Kaki terasa nyeri jika dibawa berdiri lama atau berjalan jauh"/>
        <s v="SAKIT SIKU"/>
        <s v="SAYA MERASA KAKI SAYA PANJANG SEBELAH, KALO BERDIRI LAMA ITU KAKI SAKIT SEBELAH"/>
        <s v="CEDERA LUTUT"/>
        <s v="Kaki kiri sakit, bahu dan punggung kiri sakit, leher agak bungkuk"/>
        <s v="LEHER"/>
        <s v="TANGAN KANAN DAN KIRI KURANG LURUS DARI LAHIR"/>
        <s v="CTS PADA TANGAN KIRI"/>
        <s v="goyang"/>
        <s v="LUTUT SAKIT"/>
        <s v="TULANG EKOR AGAK SAKIT, TEMPURUNG SUKA SAKIT DAN BETIS SAKI"/>
        <s v="LUTUT SAKIT BIKIN SUSAH JALAN"/>
        <s v="HABIS OPERASI MENISCUD"/>
        <s v="TULANG PUNGGU BAGIAN BAWAH SAKIT"/>
        <s v="LUTUT (POST OP TKR)"/>
        <s v="CEDERA ENGKEL KAKI KANAN"/>
        <s v="TUMIT KAKI KIRI SAKIT TAK KUNJUNG HILANG"/>
        <s v="NYERI DI TUMIT"/>
        <s v="SAKIT DIDAERAH BOKONG KARNA JATUH"/>
        <s v="TERTURUN/TURUN BEROK"/>
        <s v="SAKIT BAGIAN PUNGGUNG"/>
        <s v="LEHER, PUNGGUNG TERASA SAKIT"/>
        <s v="TANGAN BELUM BISA MENGGENGGAM SETELAH PATAH TULANG TELAPAK TANGAN"/>
        <s v="SAKET LEHER"/>
        <s v="KESELEO PADA BAGIAN LUTUT"/>
        <s v="BUNION"/>
        <s v="SKOLIOSIS"/>
        <s v="PINGGANG"/>
        <s v="SAKIT DI PERGELANGAN TANGAN KANAN"/>
        <s v="KAKI KIRI SERING NYILU, PEGAL KALAU MALAM WAKTU MAU TIDUR, BAGIAN LEHER DAN BELIKAT KANAN SERING SAKIT.."/>
        <s v="CIDERA LUTUT SALAH TUMPUAN PAS MAIN BOLA"/>
        <s v="TULANG EKOR"/>
        <s v="BAHU KANAN DAN PINGGANG"/>
        <s v="BAHU SERING SAKIT"/>
        <s v="BAHH"/>
        <s v="SAKIT PADA TELAPAK KAKI"/>
        <s v="LUTUT KANAN"/>
        <s v="CIDERA HAMSTRING"/>
        <s v="Strok ringan"/>
        <s v="SAKIT LUTUT KANAN"/>
        <s v="KELUHAN SY NYERI DI TUMIT KIRI SM PAHA KANAN UT DIANGKAT SAMBIL DITEKUK KE ARAH SAMPING LUAR RASA NYA NYERI"/>
        <s v="ANGKLE PERGELANGAN TANGAN KANAN"/>
        <s v="Sakit kaki"/>
        <s v="NYERI"/>
        <s v="NYERI PERGELANGAN TANGAN DAN TELAPAK KAKI"/>
        <s v="Nyeri pangkal paha kanan saat menapakkan kaki"/>
        <s v="NYERI DI BELIKAT DEPAN BELAKANG"/>
        <s v="LOWER BACK PAIN"/>
        <s v="Cedera Engkel Di Kaki"/>
        <s v="KAKI KIRI TIDAK BISA DITEKUK DAN TIDAK BISA JONGKOK AKIBAT KECELAKAAN"/>
        <s v="PELATAR"/>
        <s v=""/>
        <s v="NYERI PINGGANG DAN BETIS"/>
        <m/>
        <s v="SAKIT PADA LUTUT UNTUK JALAN"/>
        <s v="NYERI PADA LUTUT BAGIAN LUAR"/>
        <s v="NYERI SENDI KAKI"/>
        <s v="LUTUT DAN LENGAN KAKU"/>
        <s v="KAKI KANAN TERKILIR DAN BENGKANG"/>
        <s v="NYERI DI LENGAN KANAN"/>
        <s v="TANGAN KANAN SAKIT TIDAK BISA DIANGKAT"/>
        <s v="LUTUT TIDAK BISA DI TEKUK"/>
        <s v="ASSESSMENT BADAN UNTUK PERSIAPAN LARI MARATON"/>
        <s v="DISLOKASI LUTUT, SERING GESER"/>
        <s v="KAKI"/>
        <s v="STROKE SIKIT HAHAHA"/>
        <s v="NYERI TANGAN KIRI"/>
        <s v="SERING NYERI DIBAGIAN TENGKUK SEBELAH KIRI"/>
        <s v="SAKIT PINGGANG"/>
        <s v="SAKIT DI PINGGANG"/>
        <s v="TENNIS ELBOW"/>
        <s v="TERAPI PASCA LATIHAN"/>
        <s v="SAKIT PINGGANG MENJALAR SAMPAI KAKI"/>
        <s v="Pundak belakang dan leher sakit krna salah posisi tidur"/>
        <s v="LBP"/>
        <s v="CIDERA LUTUT"/>
        <s v="KAKI KESEMUTAN KEDUANYA, OTOT/URAT/SARAF KADANG KENCANG DR PAHA LUTUT BETIK KAKI, PINGGANG KADANG NYERI, JALAN KADANG SEMPOYONGAN."/>
        <s v="SAKIT DI BAGIAN PUNGGUNG KAKI SEBELAH KANAN SAAT MENGINJAK"/>
        <s v="BAHU MIRING"/>
        <s v="SAKIT PAS JINJIT"/>
        <s v="SAKIT BELAKANG"/>
        <s v="Cedera engkel"/>
        <s v="SAKIT AREA PINGGANG DAN PUNGGUNG SETELAH JATUH DARI TANGGA"/>
        <s v="HEEL PAIN"/>
        <s v="ANKLE KAKI KANAN"/>
        <s v="SCOLOSIS DERAJAT 50 DAN NYERI PINGGANG"/>
        <s v="SAKIT DI TUMIT BAGIAN TENGAH TELAPAK KAKI, KAKI KANAN. KADANG TERASA HANGAT/PANAS"/>
        <s v="LEHER, PUNGGUNG DAN BAHU"/>
        <s v="Nyeri pinggang bagian belakang"/>
        <s v="SAKIT KAKI DAN PINGGANG"/>
        <s v="NYERI CEDERA ACL"/>
        <s v="SAKIT DI PINGGANG ATAS BELAKANG KIRI KARNA TERBENTUR SAAT KECELAKAAN KEMARIN PAGI"/>
        <s v="NYERI KEPALA TIPE TEGANG DAN TANGAN SUKA KESEMUTAN"/>
        <s v="•SARAF KEJEPIT"/>
        <s v="Belikat, telapak kaki, bahu, pinggang"/>
        <s v="SAKIT BAGIAN PINGGANG"/>
        <s v="SAKIT NYERI DAN PEGAL DARI LEHER HINGGA KAKI NAMUN HANYA TUBUH SEBELAH KANAN"/>
        <s v="NYERI DI KESELURUHAN PUNGGUNG (TERUTAMA AREA BELIKAT KIRI YANG TERKADANG BISA MENJALAR KE LENGAN KIRI), JUGA LEHER"/>
        <s v="KAKI KANAN KAKU"/>
        <s v="KAKI PANJANG PENDEK, SERING SAKIT DI BAGIAN PUNGGUNG BAWAH"/>
        <s v="LEBAM PASCA KECELAKAAN"/>
        <s v="BAHU TIDAK NYAMAN"/>
        <s v="SAKIT DI BAGIAN BOKONG SAMPAI KAKI BAWAH"/>
        <s v="STRAIGHT LUMBALIS DAN PLANTAR OS CALCANEUS"/>
        <s v="NYERI SIKU"/>
        <s v="LUTUT NGILU"/>
        <s v="KAKI BEKAS ANKLE SPRAIN SUDAH DITRE DAN BAHU PEGAL"/>
        <s v="BAHU DAN KAKI"/>
        <s v="SARAF KEJEPIT"/>
        <s v="NDA BISA MENGANGKAT BEBAN BERAT DI BAGIAN SIKU TANGAN KIRI"/>
        <s v="NYERI BAGIAN PERGELANGAN KAKI SAAT JALAN LEBIH 1 KM"/>
        <s v="CEDERA KAKI"/>
        <s v="SAKIT DI BAGIAN SAMPING BETIS KANAN MENJALAR SAMPAI KE BOKONG KANAN"/>
        <s v="KAKI TERKILIR"/>
        <s v="otot paha nyeri"/>
        <s v="PINGGNG"/>
        <s v="SAKIT DI BAHU DAN LENGAN SEBELAH KIRI"/>
        <s v="Nyeri paha bagian dalam"/>
        <s v="NYERI PADA PANGKAL JEMPOL DAN PERGELANGAN TANGAN"/>
        <s v="Cidera"/>
        <s v="NYERI PINGGANG DAN PUNDAK"/>
        <s v="SCOLIOSIS, SAKIT SAAT BERDIRI/DUDUK LAMA"/>
        <s v="KRAM PADA KAKI"/>
        <s v="SAKIT LUTUT"/>
        <s v="TIDAK BISA MENGANGKAT TANGAN"/>
        <s v="JARI MANIS KANAN SAKIT"/>
        <s v="BAGIAN PANTAT SAKIT"/>
        <s v="Acl"/>
        <s v="LUTUT NYERI"/>
        <s v="KAKI BENGKAK SETELAH KECELAKAAN DAN BELUM BISA DIBENGKOKKAN"/>
        <s v="TENDON ACHILES"/>
        <s v="Sakit dibagian"/>
        <s v="KEBAS TELAPAK KAKI DN TANGAN"/>
        <s v="PINGGANG DAN TANGAN"/>
        <s v="NYERI/NGILU"/>
        <s v="SENGAL DAN NGILU BAGIAN BELIKAT (KIRI)"/>
        <s v="SAKIT DI TULANG EKOR"/>
        <s v="JARI"/>
        <s v="SAKIT NYERI PADA TANGAN KANAN"/>
        <s v="NYERI PADA SIKU SEBELAH KANAN"/>
        <s v="Nyeri bahu , lengan kiri, dan leher"/>
        <s v="TENNIS ELBOW DAN KESELEO KAKI"/>
        <s v="TUMIT"/>
        <s v="NYERI PADA BAGIAN LUTUT"/>
        <s v="ENGKEL KAKI KIRI SAYA MASIH BLUM SEMBUH&quot; SUDAH MAU 3 BULAN BLUM SEMBUH&quot; MASIH ADA TERSA NYERI&quot;"/>
        <s v="PARIT TOKAYA"/>
        <s v="SAKIT PADA LUTUT"/>
        <s v="TERAPI BELL'S PALSY"/>
        <s v="SAKIT &amp; SUSAH GERAK PAKA LUTUT"/>
        <s v="PEGAL DI AREA PUNGGUNG, POSTUR BADAN BUNGKUK, NYERI DI AREA KAKI, TULANG KLAVIKULA TIDAK SEJAJAR, PANJANG KAKI PANJANG SEBELAH"/>
        <s v="KAKI BENGKAK DIAGNOSA DOKTER OASTRIRTIS DAN ASAM URAT"/>
        <s v="TANGAN SAKIT SEBELAH KANAN.."/>
        <s v="TANGAN KIRI"/>
        <s v="Pinggul sakit"/>
        <s v="KAKI KANAN TELAPAK KAKI"/>
        <s v="LENGAN DAN TANGAN SEBELAH KIRI TERASA SAKIT GARA2 PERNAH JATUH DARI MOTOR DI TAHUN 2021, SAMPAI SEKARANG SERING KAMBUH2 SAKITNYA"/>
        <s v="Cedera"/>
        <s v="Lutut sakit setelah main basket"/>
        <s v="TULANG BELAKANG MULAI BUNGKUK, KESEIMBANGAN KURANG BAGUS"/>
        <s v="LUTUS SAKIT SAAT BERDIRI ATAU JALAN"/>
        <s v="SENDI LUTUT BERGESER"/>
        <s v="TANGAN KIRI LEMAH KALO MENGENGAM (KAKU) KAKI KETIKA SOLAT SULIT DITEKUK SEBELUM NYA PERNAH TERKENA STRUK RINGAN DITAHUN 2015 DAN 2020"/>
        <s v="LEHER DAN BAHU"/>
        <s v="OTOT KAKI PERNAH SOBEK, KALAU OLAHRAGA SERING SAKIT DI LUTUT KIRI"/>
        <s v="ANKLE KIRI"/>
        <s v="HABIS MARATHON"/>
        <s v="PUNDAK PEGAL"/>
        <s v="NYERI LUTUT PASCA GYM"/>
        <s v="NYERI DI ENGKEL KAKI"/>
        <s v="SAKIT DARI BOKONG SAMPAI KE LUTUT"/>
        <s v="BETIS NYERI"/>
        <s v="SETELAH OPERASI PENGANGKATAN HEMANGIOMA PADA KAKI KANAN, KAKI BELUM BISA LURUS SEMPURNA"/>
        <s v="TGL 22 KMAREN OPERASI ACL YG PUTUS"/>
        <s v="PINGGANG NYERI"/>
        <s v="LUTUT KIRI SAKIT SAAT DI TEKUK"/>
        <s v="NYERI TULANG BELAKANG"/>
        <s v="PERGELANGAN KAKI DAN LUTUS NYERI, KETIKA BANGUN TIDUR SAMPAI PINCANG"/>
        <s v="KAKI SAKIT"/>
        <s v="NYERI PADA BETIS KIRI DAN SUSAH SAAT BERJALAN"/>
        <s v="ENGSEL LUTUT SAKIT"/>
        <s v="BAHU KANAN NYERI, TANGAN KANAN TIDAK DAPAT DIGERAKKAN KE ATAS. PERGERAKAN SIKU TIDAK MASALAH. PERGERAKKAN JARI2 TIDAK MASALAH"/>
        <s v="PASCA OPERASI ACL"/>
        <s v="NYERI SAAT NARIK NAFAS DAN BERGERAK AREA RUSUK DEPAN HINGGA BELAKANG SEBELAH KANAN"/>
        <s v="PINGGANG SERING NYERI"/>
        <s v="SAKIT PUNGGUNG BAWAH"/>
        <s v="LUTUT (TERAKHIR CEK DISINI DI BILANG NYA ADA KEMUNGKINAN ACL 2022)"/>
        <s v="RUPTURE PATTELAR TENDON"/>
        <s v="Keseleo"/>
        <s v="KRAM/KESEMUTAN BEKERJA"/>
        <s v="KESEMUTAN TANGAN KIRI"/>
        <s v="NYERI TUMIT DAN"/>
        <s v="TANGAN KAKI SEBELAH KANAN TIDAK BISA BERGERAK"/>
        <s v="SAKIT DIPINGGANG"/>
        <s v="SAKIT PINGGANG (AGAK INTENS DALAM BEBERAPA BULAN KEBELAKANG) , KADANG SUKE TIBA TIBA KESEMUTAN, PERGELANGAN TANGAN SEBELAH KANAN SERING SAKIT KARNA DULU PERNAH JATUHNSAAT MAIN MOTOR"/>
        <s v="KAKI SEBELAH KIRI TERKILIR KARENA JATUH DARI TANGGA"/>
        <s v="SAKIT DI PERGELANGAN TANGAN"/>
        <s v="KAKI X"/>
        <s v="SERING SAKIT PINGGANG. NYERI TULANG EKOR (SETIAP SAAT), TERUTAMA SETELAH AKTIVITAS (MISAL JOGGING, JALAN, DUDUK). TUMIT KIRI SAKIT KETIKA BERJALAN. BAHU PUNGGUNG ATAS TERASA KAKU."/>
        <s v="JARI TENGAH SEBELAH KIRI TERLAMBAT KALAU DIGENGAM DAN DBUKA DAN TERASA SAKIT"/>
        <s v="SALAH SATU JARI TANGAN SAKIT"/>
        <s v="Selisih"/>
        <s v="CEDERA DI BAHU SEBELAH KIRI"/>
        <s v="CEDERA BAGIAN JARI"/>
        <s v="SAKIT PADA BAHU"/>
        <s v="NYERI LUTUT SAMPING"/>
        <s v="SAKIT DIBAGIAN LUTUT(SAMPING KANAN)"/>
        <s v="TANGAN GAK MAMPU ANGKAT BEBAN"/>
        <s v="OTOT LEMAH, SENDI KAKU, HILANG KESEIMBANGAN, KESULITAN BERJALAN"/>
        <s v="OPERASI PATAH TULANG(AVULSI TUBEROSITAS TIBIA). OTOT KAKI MENGECIL. BELUM LURUS 100%. DAN MASIH TERASA NYERI"/>
        <s v="SENDI LUTUT KIRI BERMASALAH"/>
        <s v="Badan kaku , kaki tidak bisa / tidak ada kekuaran untuk menapaki tangga"/>
        <s v="TUMIT SAKIT, DAN MAU MENAMBAH MASSA OTOT KAKI"/>
        <s v="STROKE SEBELAH KANAN, PEMBENGKAKAN JANTUNG"/>
        <s v="NYERI PADA LUTUT"/>
        <s v="SENDI PERGELANGAN TANGAN KIRI DAN KANAN SAKIT TERUTAMA SAAT MENGANGKAT BARANG BERAT, TUMIT KAKI KIRI SAKIT. ADA RIWAYAT SKOLIOSIS DERAJAT KECIL"/>
        <s v="NYERI DARI PAHA SAMPAI TELAPAK KAKI, STOKE SEBELAH KIRI SEJAK DUA BULAN LALU"/>
        <s v="SAKIT PUNGGUNG MENAHUN"/>
        <s v="LUTUT BENGKAK, MENISCUS"/>
        <s v="SAKIT TULANG BELAKANG AREA PINGGANG"/>
        <s v="CTS"/>
        <s v="TANGAN KANAN NYERI"/>
        <s v="SAKIT DI AREA ENGKEL (KAKI BAGIAN KANAN)"/>
        <s v="PUNDAK,PANGGUL PEGAL"/>
        <s v="NYERI SENDI KAKI LUTUT TANGAN"/>
        <s v="LUTUT SEPERTI TERKUNCI"/>
        <s v="KAMI PENAT, SEPERTI TIDAK ADA RASA. AWAL KEJADIAN KESELEO SAAT MAIN BOLA"/>
        <s v="TELAPAK KAKI SERING KERAM"/>
        <s v="KRAM KAKI KIRI SAMPAI PINGGANG"/>
        <s v="NYERI SEKITAR PINGGANG"/>
        <s v="DISLOKASI BAHU"/>
        <s v="OTOT LEMAH SETELAH SEMBUH DARI JATUH"/>
        <s v="TENIS ELBOW"/>
        <s v="TANGAN SEBELAH KANAN DARI BAHU SAKIT DAN SAKIT JIKA DIANGKAT HAMPIR 1 BULANAN"/>
        <s v="LOW BACK PAIN"/>
        <s v="SUSAH BERJALAN"/>
        <s v="SYARAT KEJEPIT"/>
        <s v="LENGAN SAKIT"/>
        <s v="SAKIT DI IBU JARI TANGAN"/>
        <s v="LUTUT SAKIT MENJALAN SAMPE PINGGANG"/>
        <s v="KEADAAN SEBELUMNYA JALAN AGAK SUSAH SEMINGGU TERAKHIR MENGALAMI CEDERA (KESELEO) SUDAH PERNAH DI URUT TAPI TIDAK ADA PERUBAHAN"/>
        <s v="SAKIT PUNGGUNG DAN TULANG BELAKANG"/>
        <s v="SAKIT PADA KAKI SEBELAH KIRI SETELAH TENIS"/>
        <s v="NYERI KEPALA"/>
        <s v="NYERI BAGIAN LUTUT SETIAP SETELAH LARI DIATAS 6KM"/>
        <s v="PINGGANG SAKIT NYERI SETELAH ANGKAT BEBAN, ENKLE KAKI NYERI KIRI KANAN SUDAH LAMA, DI PERGELANGAN TANGAN KIRI KANAN NYERI AKIBAT ANGKAT BEBAN,JEMPO TANGAN KIRI KESELEO"/>
        <s v="CIDERA OTOT PAHA"/>
        <s v="INGIN CEK SKOLIOSIS"/>
        <s v="KEKNYA SKOLIOSIS"/>
        <s v="NYERI DI BETIS DEPAN DAN PAHA BELAKANG"/>
        <s v="SAKIT PINGGANG BELAKANG"/>
        <s v="SAKIT TULANG EKOR"/>
        <s v="Syaraf kejepit di L4 dan L5"/>
        <s v="NYERI DITUMIT DAN UJUNG TELAPAK KAKI"/>
        <s v="LOWER BACK"/>
        <s v="LENGAN KANAN ATAS KAKU"/>
        <s v="BANTALAN ANTARA TULANG L5 DENGAN S1 GEPENG SEHINGGA PINGGAN TERASA SAKIT SAMPAI KAKI. TIDAK BISA BERDIRI LAMA DAN DUDUK LAMA. BERDIRI TIDAK BISA TEGAK. SUDAH BERLANGSUNG SELAMA 1 MINGGU. TELAH MELAKUKAN RADIOLOGI DAN KUNJUNGAN DOKTER SPELIASIS SARAF"/>
        <s v="SAKIT PADA BAGIAN FOREARM DAN PEGAL DI BELAKANG LUTUT KANAN"/>
        <s v="CEDERA DI WRIST TANGAN KANAN, PAHA KAKI KANAN DAN PINGGANG BAGIAN BAWAH"/>
        <s v="NYERI LEHER BAGIAN KANAN"/>
        <s v="SPUR DI TUMIT, SAKIT HINGGA BOKONG"/>
        <s v="SAKIT DIBAGIAN LUTUT TIDAK BISA NEKUK"/>
        <s v="PALNTAR PACITIS"/>
        <s v="KAKI KIRI"/>
        <s v="NYERI BAHU KIRI DAN PINGGANG"/>
        <s v="SERING PEGAL"/>
        <s v="BENGKAK DI AREA ATAS TUMIT KAKI SEBELAH KANAN"/>
        <s v="STORKE RINGAN (KAKI KURANG KOKOH)"/>
        <s v="NYERI ENGKEL KAKI"/>
        <s v="SAKIT DI BAGIAN KAKI , AWAL KARNA SQUAT . SEMPAT SEMBUH . TRUS KEPELESET JADI KETRIGGER LAGI"/>
        <s v="SALAH TIDOK SM SAKIT PINGGANG"/>
        <s v="SAKIT PUNDAK "/>
        <s v=".BAHU TIDAK SIMETRIS"/>
        <s v="BACK PAIN"/>
        <s v="cedera lutut oprasi"/>
        <s v="KESELEO DIPERGELANGAN KAKI"/>
        <s v="CEDERA KAKI POST OP AMPUTASI JARI KELINGKING"/>
        <s v="SAKIT DI PUNGGUNG KE BAWAH"/>
        <s v="SAKIT BAHU SUSAH DIANGKAT KE ATAS"/>
        <s v="TELAPAK KAKI"/>
        <s v="LUTUT KAKI"/>
        <s v="ENGSEL MATA KAKI BENGKAK"/>
        <s v="LUTUT SAKIT MENJALAR KE KAKI."/>
        <s v="BELLS PALSY"/>
        <s v="TULANG BELAKANG"/>
        <s v="NGILU KAKI"/>
        <s v="LENGAN"/>
        <s v="PERGELANGAN SAKIT"/>
        <s v="PINGGANG MENJALAR KE KELINGKING"/>
        <s v="TUMIT SAKIT"/>
        <s v="-"/>
        <s v="BETIS SAKIT"/>
        <s v="POST OPERASI ACL"/>
        <s v="PERGELANGAN TANGAN"/>
        <s v="PERNAH OPERASI FEMUR KIRI 2014 DAN 2017, 2025 INI BERAT BADAN NAIK DAN SETIAP HABIS DUDUK LAMA MAU JALAN SAKIT DAN TERLIHAT SANGAT PINCANG"/>
        <s v="SCIATICA"/>
        <s v="KEBAS KAKI TANGAN"/>
        <s v="PASKA STROKE KAKI KANAN DAN TANGAN KANAN KURANG BISA DIGERAKKAN"/>
        <s v="NYERI PINGGANG"/>
        <s v="RHEUMATOID ARTHRITIS"/>
        <s v="KAKI MATI RASA SEKARANG SEMAKIN BERAT JIKA MAU ANGKAT KAKI SAAT BERJALAN"/>
        <s v="Sakit di bagian belakang tubuh dari punggung hingga ke pinggang"/>
        <s v="NYERI PINGGANG MENJALAR KE KAKI KIRI"/>
        <s v="CIDERA ENGKEL"/>
        <s v="PUNGGUNG SAKIT DAN POSTUR TUBUH"/>
        <s v="PUNGGUNG NYERI SEBELAH KANAN BAGIAN TENGAH KETIKA POSISI PUNGGUNG TEGAK"/>
        <s v="LUTUT KANAN NYERI AFTER PARTY"/>
        <s v="LUTUT KANAN NYERI, NGILU HILANG DATANG SETELAH LEG DAY GYM"/>
      </sharedItems>
    </cacheField>
    <cacheField name="HOBI/AKTIVITAS SEHARI-HARI" numFmtId="0">
      <sharedItems containsBlank="1">
        <s v="-"/>
        <s v="TIDAK BISA MAIN BADMINTON"/>
        <s v="BERMAIN TENNIS"/>
        <s v="CATERING"/>
        <s v="IBU RUMAH TANGGA"/>
        <s v="JALAN SEHAT"/>
        <s v="KARENA PUSH UP"/>
        <s v="SILAT"/>
        <s v="KURANG GERAK"/>
        <s v="SEPEDA DAN BULU TANGKIS"/>
        <s v="ORANG YANG ULET, SUKA BEBERES, MASAK, NYIRAM TANAMAN, NYAPU, NGEPEL"/>
        <s v="MENANAM BUNGA"/>
        <s v="MAIN BASKET"/>
        <s v="FUTSAL"/>
        <s v="BANYAK DUDUK"/>
        <s v="TERKADANG ANGKAT2 BARANG, TP TIDAK SETIAP HARI. ADA RIWAYAT JATUH"/>
        <s v="JOGGING"/>
        <s v="BERJALAN MENGGUNAKAN TONGKAT"/>
        <s v="BERJALAN"/>
        <s v="TENIS"/>
        <s v="——"/>
        <s v="TENNIS"/>
        <s v="GYM"/>
        <s v="AKTIVITAS RUMAH TANGGA (CUCI DAN SETRIKA PAKAIAN)"/>
        <s v=""/>
        <s v="OLAHRAGA SEPAK BOLA , FUTSAL"/>
        <s v="OLAHRAGA FITNESS/ GYM, MENYETIR MOBIL (KEGIATAN YANG SERING MENGGUNAKAN KAKI KANAN)"/>
        <s v="OLAHRAGA"/>
        <s v="VOLI DAN BEKERJA"/>
        <s v="BASKET"/>
        <s v="SEKOLAH"/>
        <s v="LATIHAN LATI"/>
        <s v="TIDAK ADA"/>
        <s v="SEPAKBOLA MINI SOCCER"/>
        <s v="OLAH RAGA (JALAN KAKI)"/>
        <s v="BEKERJA KANTORAN"/>
        <s v="HARI JUMAT KEMARIN HABIS TABRAKAN"/>
        <s v="Lari"/>
        <s v="PEKERJAAN RUMAH TANGGA"/>
        <s v="SAYA RASA TIDAK ADA"/>
        <s v="MAIN BADMINTON"/>
        <s v="Olahraga, kerja, dan mengurus anak"/>
        <s v="JOGING"/>
        <s v="NGETIK , MASAK, NYETIR"/>
        <s v="DUDUK SEHARIAN"/>
        <s v="SERING BERGERAK"/>
        <s v="YOGA"/>
        <s v="PEKERJAAAN RUMAH TANGGA"/>
        <s v="NAIK TURUN TANGGA ATAU MOBIL, PIJAK GAS MOBIL SAAT NYETIR, GERAKAN GERAKAN LIPATAN PADA BAGIAN ENGKEL KAKI"/>
        <s v="OLAHRAGA RUTIN"/>
        <s v="SEPAK BOLA"/>
        <s v="SENAM AEROBIK"/>
        <s v="SAAT MAIN BOLA"/>
        <s v="JALAN KAKI"/>
        <s v="KERJE KERJE KERJE !!!!"/>
        <s v="BERMAIN BOLA"/>
        <s v="TENIS DAN BULUTANGKIS"/>
        <s v="KERJA DIRUMAH"/>
        <s v="PEKERJAAN"/>
        <s v="OLAH RAGA GYM"/>
        <s v="MENGAJAR"/>
        <s v="IRT"/>
        <s v="OLAHRAGA LARI"/>
        <s v="OLAHRAGA MINI SOCCERS"/>
        <s v="Olah raga"/>
        <s v="BADMINTON"/>
        <s v="RENANG"/>
        <s v="NAIK SEPEDA MOTOR"/>
        <s v="BANGUN TIDUR DARI LEHER SAMAPAI KE TANGAN DAN JARI TERASA NYERI SUDAH 2 MINGGU"/>
        <s v="Kerja kantor"/>
        <s v="KESELEO SAAT MENGANGKAT BARANG/ BEBAN"/>
        <s v="PILATES DAN GYM"/>
        <s v="BERMAIN FUTSAL"/>
        <s v="TIDAK BISA BAB/BAK POSISI JONGKOK, DAN SHOLAT DUDUK (TIDAK BISA SHOLAT NORMAL), NAIK TURUN TANGGA AGAK SULIT"/>
        <s v="MENATA ULANG INTERIOR RUMAH"/>
        <s v="MENCUCI BAJU"/>
        <s v="HIPERTENSI, KOLESTROL, DIABETES"/>
        <m/>
        <s v="LARI, MINI SOCCER, GYM"/>
        <s v="OLAHRAGA, NAIK TURUN TANGGA"/>
        <s v="HANYA KE KANTOR"/>
        <s v="BEKERJA DI DEPAN KOMPUTER"/>
        <s v="MEMBUAT CROISSANT RAMBUT YG MENGHARUSKAN MENGANGKAT TANGAN"/>
        <s v="MAIN BOLA"/>
        <s v="JAIT"/>
        <s v="SERING GESER LUTUT"/>
        <s v="MENGHASILKAN CUAN"/>
        <s v="MANCING"/>
        <s v="IBU RUMAH TANGGA DAN JAGA TOKO"/>
        <s v="Makan"/>
        <s v="SUPERVISI LAPANGAN"/>
        <s v="BOLA KAKI"/>
        <s v="OLAGRAGA"/>
        <s v="RUTINITAS BIASA AJA"/>
        <s v="Maen bola"/>
        <s v="HABIS JEMUR PAKAIAN DILANTAI ATAS, TERPLESET DITANGGA"/>
        <s v="MINI SOCCER, RUNNING"/>
        <s v="BOLA"/>
        <s v="JALAN SANTAI"/>
        <s v="JALAN PAGI"/>
        <s v="NARKAM"/>
        <s v="MENYETIR"/>
        <s v="Aktivitas kantor"/>
        <s v="NAIK TURUN TANGGA DAN JONGKOK"/>
        <s v="B"/>
        <s v="JIKA BAWA MOTOR DAN TIDUR MENGHADAP KE KANAN"/>
        <s v="MEMASAK"/>
        <s v="Tennis dan gym"/>
        <s v="DUDUK TERLALU LAMA"/>
        <s v="TIDAK ADA, CUMAN MEMANG SERING DUDUK"/>
        <s v="PERNAH PERSENDIAN SAKIT"/>
        <s v="MUAY THAI (BARU BARU INI), GYM (DARI BBRP BULAN LALU), DANCE (SEJAK LAMA UDH DANCE)"/>
        <s v="JALAN NAIK TURUN TANGGA"/>
        <s v="DUDUK DEPAN KOMPUTER, OLAHRAGA"/>
        <s v="TUKANG BANGUNAN"/>
        <s v="BEKERJA DUDUK BERDIRI LAMA JDI KAKI KANAN SAMPAI PANGKAL PAHA LINU"/>
        <s v="2 MINGGU LALU JATUH DARI KETINGGIAN"/>
        <s v="NONTON"/>
        <s v="SAKIT DIAKIBATKAN OLAHRAGA MENGANGKAT ATAU MENGAYUN KAKI"/>
        <s v="latian voli"/>
        <s v="SERING MEMEGANG HAPE DALAM POSISI TIDUR"/>
        <s v="MENGGENDONG BAYI"/>
        <s v="KERJA DI DEPAN LAPTOP, DUDUK BERJAM2"/>
        <s v="KERJA DI LAPANGAN, LARI"/>
        <s v="NAIK TURUN TANGGA DI RUMAH"/>
        <s v="SETELAH URUT BESOK PAGINYA LNGSUNG SAKIT"/>
        <s v="Olahraga Batminton"/>
        <s v="MAIN GADGET"/>
        <s v="BARU OPERASI TULANG SUMSUNG BELAKANG KARENA SARAF KEJEPIT 1 BULAN LALU"/>
        <s v="Futsal sepakbola running"/>
        <s v="MEMBERSIHKAN RUMAH DAN MENGANGKAT ORANG SAKIT"/>
        <s v="MENGAJAR DAN HARUS NAIK TANGGA"/>
        <s v="MNGKIN PEKERJAAN YANG MENGANGKAT BARANG BERAT"/>
        <s v="YOGA, JOGGING DAN PILATES"/>
        <s v="Kerja"/>
        <s v="BELAJAR"/>
        <s v="MAIN TENNIS, PICKLE BALL DAN JALAN KAKI"/>
        <s v="PEKERJAAN KANTOR, MENANAM TANAMAN"/>
        <s v="DANCING"/>
        <s v="BERMAIN BOLA DAN FUTSAL"/>
        <s v="SAKIT KETIKA BERJALAN KAKI SAKIT SAAT DILIPAT"/>
        <s v="SERING TERPAPAR AC RUANGAN"/>
        <s v="AKTIVITAS RUMAH TANGGA"/>
        <s v="BEROLAHRAGA"/>
        <s v="NYETIR,KADANG&quot; MAEN BOLA"/>
        <s v="HABIS NGEJIM"/>
        <s v="Yoga, line dance, aerobik"/>
        <s v="SEBELUMNY ADA AKTIFITAS IKUT MARATON 5K"/>
        <s v="LARI/JOGGING SEMPAT GYM TAPI BERHENTI"/>
        <s v="Futsal, basket"/>
        <s v="GYM DAN FUTSAL"/>
        <s v="DIRUMAH SAJA"/>
        <s v="BADMINTON DAN GYM"/>
        <s v="JATUH KEPELESET"/>
        <s v="JALAN JALAN KECIL"/>
        <s v="JARANG BEROLAHRAGA/SEDENTARY"/>
        <s v="YOGA GYM"/>
        <s v="MINI SOCCER"/>
        <s v="FUTSAL DAN KULIAH"/>
        <s v="NAIK TURUN TANGGA DI KAMPUS"/>
        <s v="OLAHRAGA, KULIAH"/>
        <s v="DUDUK LAMA"/>
        <s v="SEPAKBOLA"/>
        <s v="DUDUK LAMA SAAT BEKERJA, GYM"/>
        <s v="MENGERJAKAN PEKERJAAN RUMAH"/>
        <s v="SEKOLAH NAIK TURUN TANGGA"/>
        <s v="BANYAK NUNDUK"/>
        <s v="2 HARI SEBELUMNYA BERKEMAS RUMAH, NGEPEL, ANGKAT LEMARI, DOMINAN AKTIVITAS BERTUMPU DI KAKI KIRI KARENA KAKI KANAN PERNAH MENGALAMI KELEMAHAN AKIBAR STROKE TAHUN 2021"/>
        <s v="OLAH RAGA TENIS LAPANGAN, PINGPONG"/>
        <s v="SAAT INI SEDANG BATUK, OLAHRAGA THREADMIL DAN BULU TANGKIS BEBERAPA WAKTU INI"/>
        <s v="BASKET, BADMINTON"/>
        <s v="Olahraga (Badminton &amp; Tennis)"/>
        <s v="PEKERJAAN BELADANG"/>
        <s v="KETIKA MEMBUNGKUK, BATUK"/>
        <s v="PADEL,RUNNING, TOURING"/>
        <s v="BEKERJA"/>
        <s v="DUDUK LAMA DI DEPAN KOMPUTER. JALAN/TREADMILL"/>
        <s v="OLAHRAGA LARI DAN PADEL"/>
        <s v="MEMASAK BERSIH2 NULIS2"/>
        <s v="GA ADA"/>
        <s v="GYM (FITNESS)"/>
        <s v="OLAHRAGA (BELA DIRI TAEKWONDO, WORKOUT)"/>
        <s v="OLAHARAGA VOLEYY"/>
        <s v="LARI RENANG"/>
        <s v="LARI DAN GYM"/>
        <s v="MENGURUS RUMAH TANGGA"/>
        <s v="SEPAKBOLA/FUTSAL"/>
        <s v="OLAHRAGA GYM"/>
        <s v="Membaca"/>
        <s v="PARKIR, PEROKOK AKTIF"/>
        <s v="LEBIH BANYAK DUDUK JARANG OLAHRAGA"/>
        <s v="PEROKOK, NGOPI, SUKA MINUM MANIS MANIS"/>
        <s v="BERSEPEDA DAN BERKEBUN"/>
        <s v="FUTSAL, MINISOCCER"/>
        <s v="DUDUK DEPAN KOMPUTER BERJAM JAM"/>
        <s v="MELUKIS"/>
        <s v="SERING ANGKAT BERAT"/>
        <s v="SERING MENGGUNAKAN SEPEDA MOTOR"/>
        <s v="KULIAH"/>
        <s v="Olahraga/Kerja ringan"/>
        <s v="BERMOTOR, OLAH RAGA TENIS"/>
        <s v="BADMINTON SEPAK BOLA"/>
        <s v="SERING MENGANGKAT BOTOL BERAT DENGAN 1 TANGAN, BERULANG SETIAP HARI, RIWAYAT JATUH DAN MENAHAN TUBUH DENGAN TANGAN KANAN HINGGA NYERI BAHU"/>
        <s v="NO APPLICABLE"/>
        <s v="DI RUMAH SAJA"/>
        <s v="JALAN2 BAWA MOTOR"/>
        <s v="MELAKUKAN AKTIVITAS TANGAN SEPERTI MENGETIK, MELAKUKAN PEKERJAAN RUMAH TANGGA"/>
        <s v="SENAM"/>
        <s v="DUDUK DAN PAKAI SANDAL TIPIS"/>
        <s v="ANGKAT BARANG"/>
        <s v="GYM, JOGGING, SEPAK BOLA"/>
        <s v="LARI DAN SEPAKBOLA"/>
        <s v="KERJA DAN OLAHRAGA (GYM)"/>
        <s v="ANGKAT BEBAN"/>
        <s v="LARI, BADMINTON"/>
        <s v="PERJALANAN JAUH PAKE MOTOR"/>
        <s v="BERKEBUN"/>
        <s v="."/>
        <s v="SERING NAIK MOTOR MELALUI JALAN YG JELEK JATUH DARI MOTOR"/>
        <s v="FITNES"/>
        <s v="GYM, BASKET"/>
        <s v="SERING MELAKUKAN PEKERJAAN YANG MEMBUTUHKAN POSISI BADAN BUNGKUK"/>
        <s v="MAIN PADEL"/>
        <s v="PADEL DAN DUDUK DI WAKTU YG LAMA DI KURSI KARENA PEKERJAAN DI DEPAN KOMPUTER"/>
        <s v="SULIT UTK MENOLEH KEKANAN"/>
        <s v="BERKENDARA MOTOR, GERAKAN SEHARI HARI"/>
        <s v="FUTSAL,BERENANG"/>
        <s v="KERJA KANTORAN"/>
        <s v="DUDUK LAMA DAN PERNAH JATUH"/>
        <s v="KARYAWAN CAFFE"/>
        <s v="AKTIVITAS BEKERJA SEHARI HARI MEETING DGN KLIEN"/>
        <s v="SEPAKBOLA DAN FUTSAL"/>
        <s v="HANYA SUKA OLAHRAGA PAGI DIRUMAH"/>
        <s v="SKOLIOSIS DIE"/>
        <s v="BASKET GENDONG ANAK"/>
        <s v="KAKI LUTUT SAKIT BUAT BERJALAN ATAU BERDIAM HABIS JATUH 1 BLN LALU HABIS JATUH JUGA KIRI PAKAI GIPS UDAH LEPAS EH HABIS DILEPAS JATUH NAHAN DR MTR BIAR KIR NDA JATUH JADI KANAN DIPAKAI NAHAN JD SKRG KAKI KANAN YG SAKIT BUAT DIPAKAI AKTIVITAS"/>
        <s v="DUDUK TERLALU KAMA"/>
        <s v="OLAH RAGA BADMINTON"/>
        <s v="DI DEPAN KOMPUTER BERJAM JAM"/>
        <s v="AKTIVITAS SEHARI2 / SEKOLAH"/>
        <s v="JALAN KAKI KE PASAR, NAIK TANGGA"/>
        <s v="BIASA SAJA"/>
        <s v="TENIS MEJA"/>
        <s v="HOBI SEPAK BOLA, AKTIVITAS BEKERJA BERDIRI"/>
        <s v="BERDAGANG"/>
        <s v="FUTSAL, NAIK TANGGA"/>
        <s v="MAYORITAS DI DEPAN LAPTOP"/>
        <s v="KERJA 8 TO 5, BADMINTON SEMINGGU SEKALI, JALAN SEMINGGU SEKALI"/>
        <s v="GYM MINISOCER"/>
        <s v="DEPAN KOMPUTER"/>
        <s v="SERING DUDUK"/>
        <s v="MERAWAT TANAMAN"/>
        <s v="MINUM SUSU KENTAL MANIS,DUDUK DAN TIDUR"/>
        <s v="Bekerja di kitchen sebuah caffe"/>
        <s v="BANYAK ANGKAT BERAT/BESI"/>
        <s v="JOGGING / LARI"/>
        <s v="MAIN GAME"/>
        <s v="PADEL"/>
        <s v="SPORT"/>
      </sharedItems>
    </cacheField>
    <cacheField name="KEHADIRAN" numFmtId="0">
      <sharedItems>
        <s v="HADIR"/>
        <s v="TIDAK HADIR"/>
      </sharedItems>
    </cacheField>
    <cacheField name="NO. SESI">
      <sharedItems containsMixedTypes="1" containsNumber="1" containsInteger="1">
        <s v="-"/>
        <n v="1.0"/>
        <n v="4.0"/>
        <n v="5.0"/>
        <n v="3.0"/>
        <n v="6.0"/>
        <n v="2.0"/>
        <n v="10.0"/>
        <n v="8.0"/>
        <n v="7.0"/>
        <n v="9.0"/>
      </sharedItems>
    </cacheField>
    <cacheField name="KETERANGAN" numFmtId="0">
      <sharedItems containsBlank="1">
        <s v="SUAMI DELILLA"/>
        <m/>
        <s v="MAU PINDAH HARI ADA AGENDA DADAKAN"/>
        <s v="ADA JADWAL UTS"/>
        <s v="BEASISWA BANG EDO"/>
        <s v="EVAL/ 09.30/ADA HAL MENDADAK"/>
        <s v="KEL KAKI/ PINDAH JAM 15.00"/>
        <s v="PELUNASAN 250K"/>
        <s v="RESCEDUE SENIN"/>
        <s v="FISIO SAKIT, JADI PINDAH SABTU"/>
        <s v="EVAL/ PINDAH JAM 20.00"/>
        <s v="KEL KAKI/ pindah jam 19.00"/>
        <s v="KEL BARU/ BAHU/ POSISI TIDUR SALAH BERKEPANJANGAN"/>
        <s v="EVAL"/>
        <s v="EVAL/RESCEDULE JAM"/>
        <s v="KEL KAKI"/>
        <s v="PINDAH JAM 14.00"/>
        <s v="DEMAM"/>
        <s v="PEMBAYARAN TUNAI"/>
        <s v="PEMBAYARAN TRF"/>
        <s v="EVAL/ FISIONYA SAKIT"/>
        <s v="PINDAH MALAM/FISIONYA SAKIT"/>
        <s v="EVAL / PINDA RABU FISIONYA SAKIT"/>
        <s v="EVAL/ JADWALKAN ULANG"/>
        <s v="BATAL HADIR"/>
        <s v="TAGIH PAKET BARU/ADA EVENT LARI"/>
        <s v="TIDAK ADA KONFRMASI"/>
        <s v="ADA KEGIATAN DADAKAN"/>
        <s v="ADA ACARA KELUARGA, PINDAH BESOK"/>
        <s v="RESCEDULE KAMIS"/>
        <s v="ADA URUSAN MENDADAK"/>
        <s v="ADA KEPERLUAN"/>
        <s v="TAGIH PAKET BARU/ GAK BISA"/>
        <s v="-"/>
        <s v="BLM DIRUMAH RESCEDULE MALAM"/>
        <s v="PELUNASAN 250K/ ADA KEGIATAN DISKOLAH"/>
        <s v="HUJAN"/>
        <s v="KEL PINGGANG DAN LUTUT"/>
        <s v="TIDAK ADA INFO"/>
        <s v="ISTRI TOMMY Y"/>
        <s v="SAKIT"/>
        <s v="10.30/ ADA KEGIATAN"/>
        <s v="GANTI BESOK"/>
        <s v="MAU AMBIL PAKET 2/ TUNAI"/>
        <s v="ADA KEGIATAN"/>
        <s v="TRANSFER"/>
        <s v="ADA ACARA MENDADAK"/>
        <s v="BANG EDO ADA AGENDA"/>
        <s v="ANAK PAK WAHONO"/>
        <s v="BERHALANGAN HADIR"/>
        <s v="KEL BARU/ TANGAN"/>
        <s v="EVAL/ 10.30"/>
        <s v="KEL LUTUT"/>
        <s v="PAKET BARU"/>
        <s v="RESCHEDULE KARENA DIARE"/>
        <s v="ADA KERJAAN RESCHEDULE RABU"/>
        <s v="FISIONYA SAKIT, GANTI BESOK"/>
        <s v="FGS ASRIFAH/ TIDAK ADA KONFIRMASI"/>
        <s v="BELUM ADA JAWAB/ PINDAH JAM 20.00"/>
        <s v="TAGIH PAKET BARU"/>
        <s v="ADA KERJAAN LUPA INFO UNTUK RESCHEDULE"/>
        <s v="MASIH LEMBUR"/>
        <s v="ADA KERJAAN"/>
        <s v="TDK ADA KONFRIMASI"/>
        <s v="09.30"/>
        <s v="GANTI SENIN"/>
        <s v="ADA HALANGAN"/>
        <s v="TANTE OKTA/ TDK ADA KONFIRMASI"/>
        <s v="GANTI MINGGU"/>
        <s v="KENA MACET"/>
        <s v="BERHALANGAN"/>
        <s v="RESCHEDULE MINGGU"/>
        <s v="TUNAI"/>
        <s v="NON TUNAI"/>
        <s v="BLM BISA DTG"/>
        <s v="RESCEDULE MINGGU DEPAN"/>
        <s v="PINDAH BESOK"/>
        <s v="BELUM BISA"/>
        <s v="GAKBISA"/>
        <s v="KEL TANGAN"/>
        <s v="RESCHEDULE"/>
        <s v="ADA EVENT"/>
        <s v="09.30/ GANTI SELASA"/>
        <s v="KEL ANKLE"/>
        <s v="10.30/ GANTI MINGGU DEPAN"/>
        <s v="GANTI SELASA"/>
        <s v="MENDADAK URUSAN KELUARGA"/>
        <s v="ADA KERKOM"/>
        <s v="RESCEDULE BESOK"/>
        <s v="MAU PENGUATAN AJA RENCANA AMBIL PAKET"/>
        <s v="PELUNASAN 450K/GANTI SIANG"/>
        <s v="10.30"/>
        <s v="PELUNASAN 450K"/>
        <s v="GANTI KAMIS"/>
        <s v="PINDAH RABU"/>
        <s v="ADA ACARA KANTOR"/>
        <s v="ADA KEGIATAN MENDADAK"/>
        <s v="RESCEDULE"/>
        <s v="TDK ADA KONFIRMASI"/>
        <s v="HUJAN/ GANTI SORE"/>
        <s v="ADA URUSAN MENDADAK, GANTI SORE"/>
        <s v="BELUM DULU"/>
        <s v="ADA URUSAN"/>
        <s v="ADA KERJAAN DADAKAN"/>
        <s v="RESCHEDULE KARNA MASIH ADA KERJAAN"/>
        <s v="LAGI KE DOKTER"/>
        <s v="JADWALKAN TGGU PLG DR LUAR KOTA"/>
        <s v="MASUK RUMAH SAKIT"/>
        <s v="BLM BISA"/>
        <s v="KEPERLUAN MENDADAK"/>
        <s v="CANCEL"/>
        <s v="TDK BISA"/>
        <s v="GANTI SORE"/>
        <s v="KEL PINGGANG SMPE KAKI KETARIK"/>
        <s v="PELUNASAN 450K/GANTI SELASA"/>
        <s v="ADA AGENDA MENDADAK"/>
        <s v="ANAKNYA DEMAM"/>
        <s v="ADA WISUDA GANTI RABU"/>
        <s v="MAU KE DOKTER, PINDAH SORE"/>
        <s v="FISIO SAKIT GANTI KAMIS"/>
        <s v="FISIO SAKIT GANTI BESOK"/>
        <s v="FISIOSAKIT GANTI SIANG"/>
        <s v="FISIO SAKIT LANJUT SABTU"/>
        <s v="MASIH DI SKW"/>
        <s v="TUKINEM"/>
        <s v="JADWAL ULANG"/>
        <s v="09.30/ GANTI SORE"/>
        <s v="TIDAK ENAK BADAN"/>
        <s v="KE KUCHING RONTGEN"/>
        <s v="EVAL/ GAK BISA"/>
        <s v="GANTI SIANG"/>
        <s v="ADA KELAS"/>
        <s v="PINDAH HARI"/>
        <s v="EVAL/ CANCEL"/>
        <s v="MIA"/>
        <s v="MASIH RAPAT"/>
        <s v="KE KUCHING"/>
        <s v="LUAR KOTA"/>
        <s v="MENDADAK KELUAR KOTA"/>
        <s v="LANJUT SABTU"/>
        <s v="KELUAR KOTA"/>
        <s v="SALAH INGAT JADWAL"/>
        <s v="PEMBAYARAN NON TUNAI"/>
        <s v="PELUNASAN 50K/ GANTI SELASA"/>
        <s v="ADA KERJAAN MENDADAK"/>
        <s v="GAK JADI"/>
        <s v="TDK ADA YG ANTAR"/>
        <s v="EVAL/GANTI SELASA"/>
        <s v="GANTI HARI LAIN"/>
        <s v="ADA KEGIATAN SEKOLAH, NEXT SABTU"/>
        <s v="TAGIH PAKET BARU/ GANTI BESOK"/>
        <s v="DIRAWAT RUMAH SAKIT"/>
        <s v="PUSING"/>
        <s v="ADA KEGIATAN SEKOLAH"/>
        <s v="GANTI JADWAL"/>
        <s v="ADA ACARA"/>
        <s v="FISIONYA SAKIT"/>
        <s v="MATI LAMPU"/>
        <s v="GANTI SABTU"/>
        <s v="PEMBAYRAN NON TUNAI"/>
        <s v="KAMIS LAGI"/>
        <s v="MASIH ADA KERJAAN"/>
        <s v="GAK TEKEJAR"/>
        <s v="IJIN RESCEDULE"/>
        <s v="ADA KERJAAN YG GAK BISA DI TINGGAL"/>
        <s v="EVAL/ TDK ADA KONFIRMASI"/>
        <s v="ESCHEDULE KAMIS"/>
        <s v="HABISKAN PAKET LAMA"/>
        <s v="RESCEDHULE SABTU"/>
        <s v="SENIN LAGI"/>
        <s v="ADA LATIHAN"/>
        <s v="PEMBAYRAAN PAKET BARU/ NON TUNAI"/>
        <s v="KATANYA SESI/ PEMBAYARAN TUNAI"/>
        <s v="KATANYA PAKET/ PEMBAYARAN TUNAI"/>
        <s v="HABIS MASSAGE"/>
        <s v="GAK ENAK BADAN"/>
        <s v="BERHALANGAN  HADIR"/>
        <s v="HABISKAN PAKET LAMA/ ADA KAWINAN KELUARGA"/>
        <s v="RESCHEDULE MINGGU DEPAN"/>
        <s v="ACARA KELUARGA"/>
        <s v="TIDAK ADA KETERANGAN"/>
        <s v="EVAL/GANTI BESOK"/>
        <s v="FEODORA"/>
        <s v="ADA PEKERJAAN"/>
        <s v="PASIEN HBS TA LNJUTAN DR SKW"/>
        <s v="15.30"/>
        <s v="16.30/ NON TUNAI"/>
        <s v="PINDAH SABTU"/>
        <s v="ADA TUGAS SINGKWANG"/>
        <s v="UBAH JADWAL"/>
        <s v="DI RESCHEDULE"/>
        <s v="EVAL/ ADA ACARA"/>
        <s v="RESCEDULEBESOK"/>
        <s v="KEL PANGKAL PAHA"/>
        <s v="PASIEN TELAT GANTI BESOK"/>
        <s v="TDK SEMPAT"/>
        <s v="TDK BS DTG"/>
        <s v="12.00"/>
        <s v="ADA ULANGAN"/>
        <s v="ULANGAN"/>
        <s v="MEETING"/>
        <s v="ASMA KAMBUH"/>
        <s v="KESEKOLAH"/>
        <s v="MAU AMBIL PAKET 1, TUNAI"/>
        <s v="16.30/ PEMBAYARAN NON TUNAI"/>
        <s v="jadwal by wa"/>
        <s v="GAK BISA DTG"/>
        <s v="OKAN"/>
        <s v="KETIRUDAN"/>
        <s v="TUNDA DULU"/>
        <s v="NUNGGU FISIO DESTY/ SELASA LAGI"/>
        <s v="BANJIR"/>
        <s v="ADA KENDALA"/>
        <s v="PINDAH SORE"/>
        <s v="MAU KE THT DULU"/>
        <s v="RESCHEDULE BESOK"/>
        <s v="MENDADAK PULANG KAMPUNG"/>
        <s v="GAK BISA TERAPI"/>
        <s v="SESI/"/>
        <s v="16.30/ KATANYA MAU SESI/  PEMBAYARAN TUNAI"/>
        <s v="MAU KE SKW"/>
        <s v="EVAL/ MAU KE DOKTER"/>
        <s v="LUAR DAERAH BEKERJA"/>
        <s v="KAKI KESANDUNG"/>
        <s v="ADA KEGIATAN KANTOR"/>
        <s v="KATANYA MAU SESI"/>
        <s v="MAU ANTAR ANAK VAKSIN"/>
        <s v="BAPAK KAK IRMA"/>
        <s v="SUDAH BAYAR"/>
        <s v="TIDAK INFO"/>
        <s v="GANTI MALAM"/>
        <s v="PAKET LAMA"/>
        <s v="TDK AD AKONFIRMASI"/>
        <s v="MAU PINDAH JADWAL PAGI"/>
        <s v="PINDAH JUMAT"/>
        <s v="16.30/ PEMBAYRAN NON TUNAI"/>
        <s v="MASIH LIBURAN"/>
        <s v="PINDAH MALAM"/>
        <s v="MM NYA GAK ENAK BADAN"/>
        <s v="CANCEL DULU"/>
        <s v="PASIEN LANJUTAN DARI SKW"/>
        <s v="PAKET BARU/BARU PULANG LATIHAN"/>
        <s v="EVAL/ PINDAH KAMIS"/>
        <s v="PINDAH JAM 20.00"/>
        <s v="BONG SONG TMN SUKIMAN"/>
        <s v="KAKI BENGKAK GAK BISA JALAN"/>
        <s v="TDK JADI"/>
        <s v="EVAL/ GANTU BESOK"/>
        <s v="LUPA GANTI BESOK"/>
        <s v="HUJAN LEBAT"/>
        <s v="KESIANGAN BANGUN"/>
        <s v="MENDADAK ADA JADWAL LAIN"/>
        <s v="TANPA KETERANGAN"/>
        <s v="TIDAK ADA KONFIRMASI"/>
        <s v="GAK ADA YG ANTAR"/>
      </sharedItems>
    </cacheField>
    <cacheField name="✅" numFmtId="0">
      <sharedItems>
        <b v="1"/>
      </sharedItems>
    </cacheField>
    <cacheField name="CATATAN ADMIN" numFmtId="0">
      <sharedItems containsBlank="1">
        <m/>
        <s v="-"/>
        <s v="PASIEN MINTA SELASA SIANG"/>
        <s v="NANTI DI WA COCOKKAN JADWAL SEKOLAH"/>
        <s v="DISARANKAN SENIN/SELASA"/>
        <s v="DISARANKAN MINGGU/SENIN. RENCANA PAKET"/>
        <s v="JADWAL VIA WA"/>
        <s v="DISARANKAN MINGGU. MAU AMBIL PAKET. REQUEST SAMA ORY KARENA ORY PERHATIAN"/>
        <s v="DISARANKAN MINGGU"/>
        <s v="DISARANKAN MINGGU. REQ SAMA WAHYU"/>
        <s v="SENIN LAGI"/>
        <s v="PASIEN BISANYA SENIN"/>
        <s v="SELASA LAGI"/>
        <s v="DISARANKAN MINGGU/SENIN"/>
        <s v="PASIEN REQ SABTU SAMA HENA"/>
        <s v="SUDAH WA ADMIN TANYA JADWAL"/>
        <s v="BESOK KE JAKARTA. RENCANA BULAN DEPAN"/>
        <s v="DISARANKAN MINGGU/SENIN. ADA RENCANA LANJUT VISIT"/>
        <s v="DISARANKAN TA GRIYA ANAK. CARI JADWAL SECEPATNYA"/>
        <s v="OKTA BILANG MINGGU/SENIN"/>
        <s v="OKTA BILANG BESOK LAGI"/>
        <s v="PASIEN REQ HARI MINGGU. BEBAS SAMA SIAPA AJA"/>
        <s v="OKTA BILANG MINGGU LAGI"/>
        <s v="PASIEN BILANG NANTI DI CHAT"/>
        <s v="DISARANKAN SELASA/RABU LAGI"/>
        <s v="DISARANKAN SENIN LAGI"/>
        <s v="PASIEN REQ MINGGU JAM 10.00"/>
        <s v="PASIEN REQ SELASA JAM 20.00"/>
        <s v="PASIEN REQ BESOK (SABTU)"/>
        <s v="BOLEH JUMAT DEPAN LAGI"/>
        <s v="HESTI SARANKAN MINGGU/SENIN"/>
        <s v="PASIEN REQ HARI MINGGU"/>
        <s v="BISANYA SETELAH HARI SENIN"/>
        <s v="BESOK LAGI (SETIAP HARI)"/>
        <s v="OFF 1 MINGGU, PASIEN MAU KE SINGAPUR"/>
        <s v="SENIN/SELASA TERGANTUNG PASIEN"/>
        <s v="PASIEN REQ SELASA LAGI SAMA DANI. KALAU FULL MAU SAMA ORY"/>
        <s v="PASIEN REQ MINGGU"/>
        <s v="DISARANKAN SENIN"/>
        <s v="MAU PULANG SKW DULU. LANJUT AKHIR JANUARI"/>
        <s v="LANGSUNG AMBIL PAKET. REQ SABTU JAM 9"/>
        <s v="MAU LANJUT"/>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AI658" sheet="💾 Paket"/>
  </cacheSource>
  <cacheFields>
    <cacheField name="ADMIN" numFmtId="0">
      <sharedItems containsBlank="1">
        <s v="NOPI"/>
        <s v="LAINNYA"/>
        <s v="SUCI"/>
        <m/>
        <s v="HESTY"/>
        <s v="MIA"/>
      </sharedItems>
    </cacheField>
    <cacheField name="PEMBAYARAN" numFmtId="0">
      <sharedItems containsBlank="1">
        <s v="LUNAS"/>
        <m/>
        <s v="DP"/>
        <s v="CICIL"/>
        <s v="BELUM BAYAR"/>
      </sharedItems>
    </cacheField>
    <cacheField name="TANGGAL" numFmtId="173">
      <sharedItems containsDate="1" containsString="0" containsBlank="1">
        <d v="2025-09-28T00:00:00Z"/>
        <d v="2025-08-06T00:00:00Z"/>
        <d v="2025-09-02T00:00:00Z"/>
        <d v="2025-09-01T00:00:00Z"/>
        <d v="2025-12-10T00:00:00Z"/>
        <d v="2025-01-28T00:00:00Z"/>
        <d v="2025-06-09T00:00:00Z"/>
        <d v="2025-06-28T00:00:00Z"/>
        <d v="2024-12-30T00:00:00Z"/>
        <d v="2025-10-14T00:00:00Z"/>
        <d v="2025-11-16T00:00:00Z"/>
        <d v="2024-11-09T00:00:00Z"/>
        <d v="2024-11-13T00:00:00Z"/>
        <d v="2025-11-24T00:00:00Z"/>
        <d v="2025-06-30T00:00:00Z"/>
        <d v="2025-07-12T00:00:00Z"/>
        <d v="2025-07-20T00:00:00Z"/>
        <d v="2025-08-13T00:00:00Z"/>
        <d v="2025-08-30T00:00:00Z"/>
        <d v="2025-04-12T00:00:00Z"/>
        <d v="2025-01-07T00:00:00Z"/>
        <d v="2025-07-26T00:00:00Z"/>
        <d v="2025-11-20T00:00:00Z"/>
        <d v="2025-11-30T00:00:00Z"/>
        <d v="2025-12-23T00:00:00Z"/>
        <d v="2025-09-12T00:00:00Z"/>
        <d v="2024-03-13T00:00:00Z"/>
        <d v="2025-10-20T00:00:00Z"/>
        <d v="2025-08-07T00:00:00Z"/>
        <d v="2024-12-08T00:00:00Z"/>
        <d v="2025-10-29T00:00:00Z"/>
        <d v="2024-12-18T00:00:00Z"/>
        <d v="2025-08-12T00:00:00Z"/>
        <d v="2025-08-25T00:00:00Z"/>
        <d v="2025-12-02T00:00:00Z"/>
        <d v="2025-12-17T00:00:00Z"/>
        <d v="2025-10-22T00:00:00Z"/>
        <d v="2025-03-04T00:00:00Z"/>
        <d v="2025-12-03T00:00:00Z"/>
        <d v="2024-11-11T00:00:00Z"/>
        <d v="2025-06-21T00:00:00Z"/>
        <d v="2025-07-15T00:00:00Z"/>
        <d v="2025-10-18T00:00:00Z"/>
        <d v="2025-11-05T00:00:00Z"/>
        <d v="2025-11-13T00:00:00Z"/>
        <d v="2024-11-29T00:00:00Z"/>
        <d v="2025-05-18T00:00:00Z"/>
        <d v="2024-12-17T00:00:00Z"/>
        <d v="2025-07-29T00:00:00Z"/>
        <d v="2025-09-11T00:00:00Z"/>
        <d v="2025-09-23T00:00:00Z"/>
        <d v="2025-10-13T00:00:00Z"/>
        <d v="2025-11-10T00:00:00Z"/>
        <d v="2025-08-20T00:00:00Z"/>
        <d v="2025-10-26T00:00:00Z"/>
        <d v="2025-11-15T00:00:00Z"/>
        <d v="2025-12-13T00:00:00Z"/>
        <d v="2025-03-19T00:00:00Z"/>
        <d v="2024-12-07T00:00:00Z"/>
        <d v="2025-07-16T00:00:00Z"/>
        <d v="2025-03-24T00:00:00Z"/>
        <d v="2025-10-23T00:00:00Z"/>
        <d v="2024-12-03T00:00:00Z"/>
        <d v="2025-07-27T00:00:00Z"/>
        <d v="2025-04-30T00:00:00Z"/>
        <d v="2025-07-21T00:00:00Z"/>
        <d v="2025-05-11T00:00:00Z"/>
        <d v="2025-10-07T00:00:00Z"/>
        <d v="2025-11-11T00:00:00Z"/>
        <d v="2024-11-17T00:00:00Z"/>
        <d v="2025-06-15T00:00:00Z"/>
        <d v="2025-09-06T00:00:00Z"/>
        <d v="2025-09-29T00:00:00Z"/>
        <d v="2025-09-03T00:00:00Z"/>
        <d v="2025-12-11T00:00:00Z"/>
        <d v="2025-11-02T00:00:00Z"/>
        <d v="2025-11-18T00:00:00Z"/>
        <d v="2025-11-29T00:00:00Z"/>
        <d v="2025-10-01T00:00:00Z"/>
        <d v="2025-12-24T00:00:00Z"/>
        <d v="2025-08-03T00:00:00Z"/>
        <d v="2025-09-14T00:00:00Z"/>
        <d v="2025-10-10T00:00:00Z"/>
        <d v="2025-10-06T00:00:00Z"/>
        <d v="2025-10-15T00:00:00Z"/>
        <d v="2025-10-25T00:00:00Z"/>
        <d v="2025-11-08T00:00:00Z"/>
        <d v="2025-12-16T00:00:00Z"/>
        <d v="2025-04-08T00:00:00Z"/>
        <d v="2025-07-18T00:00:00Z"/>
        <d v="2025-08-26T00:00:00Z"/>
        <d v="2025-10-09T00:00:00Z"/>
        <d v="2025-05-28T00:00:00Z"/>
        <d v="2024-11-04T00:00:00Z"/>
        <d v="2024-12-05T00:00:00Z"/>
        <d v="2025-10-30T00:00:00Z"/>
        <d v="2025-01-12T00:00:00Z"/>
        <d v="2025-03-12T00:00:00Z"/>
        <d v="2024-11-12T00:00:00Z"/>
        <d v="2025-11-21T00:00:00Z"/>
        <d v="2025-12-29T00:00:00Z"/>
        <d v="2025-10-08T00:00:00Z"/>
        <d v="2025-12-15T00:00:00Z"/>
        <d v="2025-01-22T00:00:00Z"/>
        <d v="2025-12-05T00:00:00Z"/>
        <d v="2025-03-07T00:00:00Z"/>
        <d v="2024-12-19T00:00:00Z"/>
        <d v="2025-11-26T00:00:00Z"/>
        <d v="2025-11-03T00:00:00Z"/>
        <d v="2024-11-16T00:00:00Z"/>
        <d v="2025-08-19T00:00:00Z"/>
        <d v="2025-10-02T00:00:00Z"/>
        <d v="2025-10-11T00:00:00Z"/>
        <d v="2025-10-19T00:00:00Z"/>
        <d v="2025-11-04T00:00:00Z"/>
        <d v="2025-04-09T00:00:00Z"/>
        <d v="2025-07-31T00:00:00Z"/>
        <d v="2025-11-27T00:00:00Z"/>
        <d v="2025-08-23T00:00:00Z"/>
        <d v="2025-12-21T00:00:00Z"/>
        <d v="2025-10-04T00:00:00Z"/>
        <d v="2025-10-21T00:00:00Z"/>
        <d v="2024-11-18T00:00:00Z"/>
        <d v="2025-06-19T00:00:00Z"/>
        <d v="2025-08-05T00:00:00Z"/>
        <d v="2025-09-16T00:00:00Z"/>
        <d v="2025-11-19T00:00:00Z"/>
        <d v="2025-11-07T00:00:00Z"/>
        <d v="2024-11-20T00:00:00Z"/>
        <d v="2025-12-14T00:00:00Z"/>
        <d v="2025-06-16T00:00:00Z"/>
        <d v="2025-09-18T00:00:00Z"/>
        <d v="2025-08-04T00:00:00Z"/>
        <d v="2025-08-21T00:00:00Z"/>
        <d v="2025-11-22T00:00:00Z"/>
        <d v="2025-07-14T00:00:00Z"/>
        <d v="2025-09-10T00:00:00Z"/>
        <d v="2025-07-07T00:00:00Z"/>
        <d v="2024-12-06T00:00:00Z"/>
        <d v="2024-12-16T00:00:00Z"/>
        <d v="2025-12-26T00:00:00Z"/>
        <d v="2025-09-25T00:00:00Z"/>
        <d v="2025-04-07T00:00:00Z"/>
        <d v="2025-09-04T00:00:00Z"/>
        <d v="2025-08-27T00:00:00Z"/>
        <d v="2025-07-05T00:00:00Z"/>
        <d v="2025-08-15T00:00:00Z"/>
        <d v="2025-09-17T00:00:00Z"/>
        <d v="2024-12-14T00:00:00Z"/>
        <d v="2025-06-24T00:00:00Z"/>
        <d v="2025-07-03T00:00:00Z"/>
        <d v="2025-08-31T00:00:00Z"/>
        <d v="2025-06-13T00:00:00Z"/>
        <d v="2024-12-09T00:00:00Z"/>
        <d v="2025-09-08T00:00:00Z"/>
        <d v="2025-11-06T00:00:00Z"/>
        <d v="2025-06-26T00:00:00Z"/>
        <d v="2024-12-23T00:00:00Z"/>
        <d v="2025-12-25T00:00:00Z"/>
        <d v="2025-10-05T00:00:00Z"/>
        <d v="2024-11-22T00:00:00Z"/>
        <d v="2025-07-06T00:00:00Z"/>
        <d v="2025-09-26T00:00:00Z"/>
        <d v="2025-06-25T00:00:00Z"/>
        <m/>
        <d v="2025-07-30T00:00:00Z"/>
        <d v="2025-05-07T00:00:00Z"/>
        <d v="2025-06-18T00:00:00Z"/>
        <d v="2025-03-13T00:00:00Z"/>
        <d v="2025-08-10T00:00:00Z"/>
        <d v="2025-05-04T00:00:00Z"/>
        <d v="2025-08-14T00:00:00Z"/>
        <d v="2025-06-17T00:00:00Z"/>
        <d v="2025-07-01T00:00:00Z"/>
        <d v="2025-05-14T00:00:00Z"/>
        <d v="2025-03-02T00:00:00Z"/>
        <d v="2025-05-27T00:00:00Z"/>
        <d v="2025-09-07T00:00:00Z"/>
        <d v="2025-07-10T00:00:00Z"/>
        <d v="2025-09-13T00:00:00Z"/>
        <d v="2025-03-03T00:00:00Z"/>
        <d v="2025-12-20T00:00:00Z"/>
        <d v="2025-02-04T00:00:00Z"/>
        <d v="2025-09-19T00:00:00Z"/>
        <d v="2025-05-13T00:00:00Z"/>
        <d v="2025-12-09T00:00:00Z"/>
        <d v="2025-08-16T00:00:00Z"/>
        <d v="2025-01-18T00:00:00Z"/>
        <d v="2025-01-15T00:00:00Z"/>
        <d v="2025-07-23T00:00:00Z"/>
        <d v="2025-09-20T00:00:00Z"/>
        <d v="2024-11-19T00:00:00Z"/>
        <d v="2025-10-24T00:00:00Z"/>
        <d v="2025-12-22T00:00:00Z"/>
        <d v="2025-07-09T00:00:00Z"/>
        <d v="2025-03-06T00:00:00Z"/>
        <d v="2025-05-05T00:00:00Z"/>
        <d v="2025-04-11T00:00:00Z"/>
        <d v="2025-09-27T00:00:00Z"/>
        <d v="2025-12-28T00:00:00Z"/>
        <d v="2025-09-21T00:00:00Z"/>
        <d v="2025-12-06T00:00:00Z"/>
        <d v="2024-10-24T00:00:00Z"/>
        <d v="2025-12-04T00:00:00Z"/>
        <d v="2025-09-15T00:00:00Z"/>
        <d v="2025-07-11T00:00:00Z"/>
        <d v="2025-08-28T00:00:00Z"/>
        <d v="2025-07-24T00:00:00Z"/>
        <d v="2025-06-22T00:00:00Z"/>
        <d v="2024-11-07T00:00:00Z"/>
        <d v="2025-02-03T00:00:00Z"/>
        <d v="2025-06-07T00:00:00Z"/>
        <d v="2025-07-19T00:00:00Z"/>
        <d v="2025-05-23T00:00:00Z"/>
        <d v="2025-11-09T00:00:00Z"/>
        <d v="2025-08-24T00:00:00Z"/>
        <d v="2025-01-25T00:00:00Z"/>
        <d v="2025-09-22T00:00:00Z"/>
        <d v="2025-10-16T00:00:00Z"/>
        <d v="2025-06-11T00:00:00Z"/>
        <d v="2025-06-14T00:00:00Z"/>
        <d v="2025-06-04T00:00:00Z"/>
        <d v="2025-07-02T00:00:00Z"/>
        <d v="2025-07-13T00:00:00Z"/>
        <d v="2025-06-03T00:00:00Z"/>
        <d v="2025-07-28T00:00:00Z"/>
        <d v="2024-12-24T00:00:00Z"/>
        <d v="2025-07-17T00:00:00Z"/>
        <d v="2025-02-16T00:00:00Z"/>
        <d v="2025-10-12T00:00:00Z"/>
        <d v="2024-12-04T00:00:00Z"/>
        <d v="2025-03-14T00:00:00Z"/>
        <d v="2025-08-22T00:00:00Z"/>
        <d v="2025-06-29T00:00:00Z"/>
        <d v="2025-11-12T00:00:00Z"/>
        <d v="2025-02-02T00:00:00Z"/>
        <d v="2025-07-08T00:00:00Z"/>
        <d v="2025-09-09T00:00:00Z"/>
        <d v="2025-08-11T00:00:00Z"/>
        <d v="2025-05-17T00:00:00Z"/>
        <d v="2025-12-01T00:00:00Z"/>
        <d v="2025-06-12T00:00:00Z"/>
        <d v="2025-11-25T00:00:00Z"/>
        <d v="2024-12-13T00:00:00Z"/>
        <d v="2025-05-21T00:00:00Z"/>
        <d v="2025-06-23T00:00:00Z"/>
        <d v="2024-11-21T00:00:00Z"/>
        <d v="2025-11-17T00:00:00Z"/>
        <d v="2025-06-20T00:00:00Z"/>
        <d v="2025-05-24T00:00:00Z"/>
        <d v="2024-12-10T00:00:00Z"/>
        <d v="2025-04-05T00:00:00Z"/>
        <d v="2025-11-28T00:00:00Z"/>
        <d v="2024-11-30T00:00:00Z"/>
        <d v="2025-05-22T00:00:00Z"/>
        <d v="2025-12-27T00:00:00Z"/>
        <d v="2025-08-02T00:00:00Z"/>
      </sharedItems>
    </cacheField>
    <cacheField name="TAHUN" numFmtId="164">
      <sharedItems>
        <s v="2025"/>
        <s v="2024"/>
        <s v=""/>
      </sharedItems>
    </cacheField>
    <cacheField name="BULAN" numFmtId="164">
      <sharedItems>
        <s v="09 Sep"/>
        <s v="08 Agu"/>
        <s v="12 Des"/>
        <s v="01 Jan"/>
        <s v="06 Jun"/>
        <s v="10 Okt"/>
        <s v="11 Nov"/>
        <s v="07 Jul"/>
        <s v="04 Apr"/>
        <s v="03 Mar"/>
        <s v="05 Mei"/>
        <s v=""/>
        <s v="02 Feb"/>
      </sharedItems>
    </cacheField>
    <cacheField name="HARI" numFmtId="164">
      <sharedItems>
        <s v="Minggu"/>
        <s v="Rabu"/>
        <s v="Selasa"/>
        <s v="Senin"/>
        <s v="Sabtu"/>
        <s v="Kamis"/>
        <s v="Jumat"/>
        <s v=""/>
      </sharedItems>
    </cacheField>
    <cacheField name="NAMA PASIEN" numFmtId="0">
      <sharedItems>
        <s v="A. SYUKUR H. JAFRI"/>
        <s v="ABDURROHMAN AL FIKRI"/>
        <s v="ACHMAD RIKO JULIANSYA"/>
        <s v="ADAM DAMIRI "/>
        <s v="ADAM SURYA"/>
        <s v="ADE IWAN KURNIAWAN"/>
        <s v="ADI SETIAWAN"/>
        <s v="ADIT FEBRIANTO"/>
        <s v="AGATHA ARCADIA"/>
        <s v="AGISCA MAULIDYAH PERMANA"/>
        <s v="AGNES VERONIKA"/>
        <s v="AGUD GUDIYAHMAN"/>
        <s v="AGUS SAPUTRA"/>
        <s v="AHMAD DANY NOVALDI"/>
        <s v="AHMAD FAHRULLAH"/>
        <s v="AHMADINEJAD AL FIQRI"/>
        <s v="AISHA NAJWA AQILA"/>
        <s v="AJENG DWI SINTIYA DEWI"/>
        <s v="AKIAN"/>
        <s v="ALBYAN RAFIF MAHESWARA"/>
        <s v="ALDI RANDY RUDO"/>
        <s v="ALDO PUTRA DERMAWAN"/>
        <s v="ALFIAN BONE PUTRA"/>
        <s v="ALFREDO ARINDA PRATAMA"/>
        <s v="ALGI FAHRI"/>
        <s v="ALI RIDHO"/>
        <s v="ALIANSYAH"/>
        <s v="ALKHAWARISMA"/>
        <s v="ALPAWI"/>
        <s v="ALY AL DASTAN"/>
        <s v="ALYA GHAISANI"/>
        <s v="ALYSSA SALSABILLA"/>
        <s v="AMALIA VEGA"/>
        <s v="AMINA"/>
        <s v="ANDI"/>
        <s v="ANDI ICHWANUL AZWAR"/>
        <s v="ANDI WAHYU ENDRIYANTO"/>
        <s v="ANDREA GUNAWAN"/>
        <s v="ANDREW WILLARD HWANGSU"/>
        <s v="ANDRIANI"/>
        <s v="ANDRY LODIYANTO"/>
        <s v="ANGELICA"/>
        <s v="ANGELICA BUNARDI"/>
        <s v="ANGGARA APRIYAN PRADANA"/>
        <s v="ANGGER CHESTA HIDAYAT"/>
        <s v="ANNA ROSIYANTI"/>
        <s v="ANTONI"/>
        <s v="AQILA AFIFAH OCTAFRIYANA "/>
        <s v="ARDIKA GUMILANG KAMAJAYA"/>
        <s v="ARDILES SANTOS JR"/>
        <s v="ARI YANUARIF"/>
        <s v="ARIEF SAPTA WENDRIANTO"/>
        <s v="ARIF HIDAYAT"/>
        <s v="ARIFIN 73"/>
        <s v="ARIFIN NUR ROCHMAD"/>
        <s v="ARZIWANSYAH"/>
        <s v="ASEP SETIAWAN"/>
        <s v="ATIKA MUFLIHA"/>
        <s v="ATIQAH ZAHRA FITRIA"/>
        <s v="AULI FATHIA PUTRIATI S.FARM, APT"/>
        <s v="AULIA RAHMAH PUTRI ADISHA"/>
        <s v="AZARYA JADAYN ARYO"/>
        <s v="AZMI 8804"/>
        <s v="BAGAS BIMANTORO HARYONO"/>
        <s v="BAI FURKON HILMI, SE"/>
        <s v="BAYU AGIL SAMPURNO"/>
        <s v="BEDJO RAHARDJO"/>
        <s v="BELLY"/>
        <s v="BENI PRAYOGA"/>
        <s v="BIBI NAIZA "/>
        <s v="BINTARI INDAH SAPUTRI"/>
        <s v="BION SALIM"/>
        <s v="BOBY ANTA MAULANA"/>
        <s v="BOENG LIN FAH"/>
        <s v="BONITA DWI ANGGREINI"/>
        <s v="BUDI SATRIO"/>
        <s v="BUDY SETIAWAN LIM"/>
        <s v="BUJANG"/>
        <s v="BULDANI"/>
        <s v="CANDY WIBOWO"/>
        <s v="CHANDRA ALIP PRATAMA"/>
        <s v="CHRESTELLA NOVEDA"/>
        <s v="CHRISTIAN WIDIYANTO"/>
        <s v="CHRISTINA"/>
        <s v="CINTHYA MEILIZA"/>
        <s v="CINTHYA TANJAYA"/>
        <s v="DAFID"/>
        <s v="DARLIANA"/>
        <s v="DARMADI"/>
        <s v="DECO DEMUS ASU "/>
        <s v="DEDE SUBANDI"/>
        <s v="DEDI KURNIAWAN"/>
        <s v="DELA MASTIKA "/>
        <s v="DELLY MARINA"/>
        <s v="DESANDO VAVA BANJARNAHOR"/>
        <s v="DESTY AYU WULANSARI"/>
        <s v="DEVIN PANGESTU"/>
        <s v="DEWI RAHAYU"/>
        <s v="DHAIFULLAH IRFAN HAFIZH"/>
        <s v="DHUTA ERLANGGA SUPRAYITNO"/>
        <s v="DIAH SANTI"/>
        <s v="DIAN GITA SAVITRI"/>
        <s v="DIANA"/>
        <s v="DICKY KUSUMA SAKTI"/>
        <s v="DIKIFIRNANDA"/>
        <s v="DITO CAHYA RENALDI"/>
        <s v="DIVO"/>
        <s v="DJAUW KHIE TJIN"/>
        <s v="DJOKO SANTOSO"/>
        <s v="DONNY TRI PUJIANTO"/>
        <s v="DRSHENDRA SALIM"/>
        <s v="DWI BARI LUTHFIANUR"/>
        <s v="DWI SARTIKA SARI"/>
        <s v="E. SUGINI"/>
        <s v="EDY HARTONO "/>
        <s v="EKA LESTARI"/>
        <s v="ELBERT"/>
        <s v="ELLA FITRIA"/>
        <s v="ELLEN ARIFIN"/>
        <s v="ELLISA RASIMIN"/>
        <s v="ELLYSA FERONIKA HALIM"/>
        <s v="ELMON UTOMO"/>
        <s v="ELOK SARASWATI"/>
        <s v="ELSATIA HERMAWAN"/>
        <s v="ELY"/>
        <s v="ENDAH SEPTIANINGSIH"/>
        <s v="ERIC JORDAN"/>
        <s v="ERLIN NURLIAWATY"/>
        <s v="ERVINAWATI KUSUMA"/>
        <s v="ERWIN"/>
        <s v="ERWIN CIPTA WIJAYA"/>
        <s v="ERWIN FIRMANSYAH "/>
        <s v="EVA DOLOROSA"/>
        <s v="EVANIA"/>
        <s v="FADHILAH NUR ISLAMI MELINIA PUTRI"/>
        <s v="FADLURROHMAN ASSHIDDIQI"/>
        <s v="FAJRINA HASNI"/>
        <s v="FATIMA"/>
        <s v="FATIMAH 5612"/>
        <s v="FATMAWATI"/>
        <s v="FATUR MAULANA ARFANSYAH"/>
        <s v="FERA HENDRY"/>
        <s v="FIKRI AKIFA PERMANA"/>
        <s v="FILYSIA FEBRIANTINE"/>
        <s v="FIRMAN MULYANA"/>
        <s v="FLORENSIUS EFRENDI"/>
        <s v="FRANKY WILLIAM"/>
        <s v="FRANS IMMANUEL SIAHAAN"/>
        <s v="FRANSISKA MARIA NUR"/>
        <s v="FRENDI"/>
        <s v="FRITA OLIVIA"/>
        <s v="FRIZI ALFARIZI"/>
        <s v="GAEL BENEDICT CHRISTAN"/>
        <s v="GALIH HANDAYANI"/>
        <s v="GILANG MAULANA"/>
        <s v="GINA INDRI"/>
        <s v="GIRY XAVIRA PUTRI"/>
        <s v="GRACIA CALLISTA VEGA"/>
        <s v="GRACIA IVANA GOUWYN"/>
        <s v="HAFIZHATUL FATHAN ABDULLAH"/>
        <s v="HALIDA INDRASARI"/>
        <s v="HANDY YOSUA THOMAS"/>
        <s v="HANY JULIANI"/>
        <s v="HARDJONO"/>
        <s v="HARRY FURQAN"/>
        <s v="HARRY RONALDI M."/>
        <s v="HARTONO"/>
        <s v="HARYA PAMUNGKAS"/>
        <s v="HASANAH"/>
        <s v="HASEP PURWALID"/>
        <s v="HELIE"/>
        <s v="HENDRA KRISMA"/>
        <s v="HENDRI MIN"/>
        <s v="HENDRI WIJAYA "/>
        <s v="HENG KENG SENG"/>
        <s v="HENI YULIKARWATI"/>
        <s v="HERDI SETIAWAN JAYA"/>
        <s v="HERMAN"/>
        <s v="HJ. ASNAH"/>
        <s v="HJ. MARIA ULFAH"/>
        <s v="HJ. RAMLAH"/>
        <s v="HO HIAN KI"/>
        <s v="I DEWA AYU SARIPUTRI"/>
        <s v="IDRIS"/>
        <s v="IIN EKA PUTRI"/>
        <s v="IKA NURHASANA"/>
        <s v="ILHAM MUTTAKIN"/>
        <s v="IMAM MAULUDDIN"/>
        <s v="IMMANUEL STEVE HASIHOLAN LUMBANTORUAN"/>
        <s v="INDINA SHINTA DEWI"/>
        <s v="INDRI ISYANTI"/>
        <s v="INKA RUSADY"/>
        <s v="IRIYANI"/>
        <s v="IRRINA FAUZIARNI"/>
        <s v="IRWANDA"/>
        <s v="ISNAN LUTHFI"/>
        <s v="JAHFAL"/>
        <s v="JAKA SEPTIADI"/>
        <s v="JASMIN CHAIRYAH"/>
        <s v="JO MIAUW MUI"/>
        <s v="JONG NYUK KIM ALS FATIMAH"/>
        <s v="JULIANTO 9007"/>
        <s v="JUN FONG"/>
        <s v="KAM TJIN TJON"/>
        <s v="KARNELA"/>
        <s v="KASBI"/>
        <s v="KENNETH CARMEN"/>
        <s v="KHANSA ATALLAH PURUHITA"/>
        <s v="KHOU AI KHENG"/>
        <s v="KHOU AI NA"/>
        <s v="KRESNA K"/>
        <s v="KRIS YOGI DWI PUTRA SIBARANI"/>
        <s v="KRISTIANI "/>
        <s v="KRISTIANUS KIMSEN"/>
        <s v="KURNIYAWATI"/>
        <s v="LANDON CRYSANDER ALI"/>
        <s v="LENI DIANTAMI"/>
        <s v="LENY SUMANTRI "/>
        <s v="LEONARDO WONG"/>
        <s v="LIA"/>
        <s v="LICA"/>
        <s v="LIE KIM FA/KESUMAJADI"/>
        <s v="LIE SOI TJU"/>
        <s v="LIENA TJANDRA"/>
        <s v="LILI MARTINA"/>
        <s v="LILI SUHANA"/>
        <s v="LIM CHAI SENG"/>
        <s v="LIM OI KHIUN ALS RIANA"/>
        <s v="LIM OI SIP ALS ERNY"/>
        <s v="LINAWARTI"/>
        <s v="LISNA WARDATI"/>
        <s v="LOUIS GERALDO LAYARDA"/>
        <s v="LOUW MENG TJU ALS ENNY"/>
        <s v="M EKA PUTRA YUANDA"/>
        <s v="M. AHZA SYAHMI ARDI"/>
        <s v="M. ARSYAD "/>
        <s v="M. FAIZ AZRIELRIANDRA"/>
        <s v="MAKPUL SOFWAN"/>
        <s v="MARDIANA 6909"/>
        <s v="MARIA ELLISA "/>
        <s v="MARISA HANDAYANI"/>
        <s v="MARIYAM"/>
        <s v="MARIYAMINA RUPINA"/>
        <s v="MARSHERLA LOVESENZIA"/>
        <s v="MARSHERLY LOVESENZIA"/>
        <s v="MARTINI "/>
        <s v="MARZUKI PASARIBU"/>
        <s v="MASDIARTI"/>
        <s v="MASDIARTI "/>
        <s v="MASRINI"/>
        <s v="MAWRICE CHUARESMO MARTIN"/>
        <s v="MEDIANA SULISTIAWATI"/>
        <s v="MEISYA FITRI"/>
        <s v="MEIVIAN GOUWYN"/>
        <s v="MELANI"/>
        <s v="MELVERN AARON SANJAYA "/>
        <s v="MENG NIAN ALIAS RUDI"/>
        <s v="MERRY"/>
        <s v="MIA HARTE"/>
        <s v="MICHAEL 9706"/>
        <s v="MICHAEL EVANDER"/>
        <s v="MICHAEL GIUSTI"/>
        <s v="MIKTAMI CHRISTOFEN TANG"/>
        <s v="MILLAH AULIYA "/>
        <s v="MIMI RESTUTI"/>
        <s v="MISNAWATI"/>
        <s v="MIYO"/>
        <s v="MUHAMMAD ARIF PUTRA SH MH"/>
        <s v="MUHAMMAD CHAIRUDDIN, S.A.P"/>
        <s v="MUHAMMAD FADLI LUTFIANDO"/>
        <s v="MUHAMMAD FIRMAN SAPUTRA"/>
        <s v="MUHAMMAD HAZIEL GADHI"/>
        <s v="MUHAMMAD JUANDA"/>
        <s v="MUHAMMAD NADLY ALNOV"/>
        <s v="MUHAMMAD NAUFAL ARYOSTIA PRATAMA"/>
        <s v="MUHAMMAD REVANDRA"/>
        <s v="MUHAMMAD RISKY FIRMANSYAH"/>
        <s v="MUHAMMAD ZAMZAM QOMARUZZAMAN"/>
        <s v="MULLY ENDAH PRATIWI"/>
        <s v="MUNAGI"/>
        <s v="MURTI JULIANDARI"/>
        <s v="MUTIARA DEWI A.Q"/>
        <s v="NABEELA ARVYANI"/>
        <s v="NADIA AYUNI PUTRI"/>
        <s v="NADYNE ARSYFA NUR AS’ADIYAH"/>
        <s v="NAILAH QEIZHA ALMAQHVIRA"/>
        <s v="NAIM IKSAN NUDIN"/>
        <s v="NAJWA NUR AZWINA"/>
        <s v="NANDA M SHAUQIE"/>
        <s v="NANI ERNIEYATI "/>
        <s v="NG IE BUI"/>
        <s v="NG SIA CIN"/>
        <s v="NICHOLAS ARINDA PRASETYO"/>
        <s v="NICHOLAS BILI SAPUTRA"/>
        <s v="NIGITA KELIN"/>
        <s v="NOVA KASIANTO"/>
        <s v="NOVI GUNADI"/>
        <s v="NUR HASANAH"/>
        <s v="NURDILA YULIANTI"/>
        <s v="NURHASANA"/>
        <s v="NURIL HUDA ATHARIQ UKASAH"/>
        <s v="NURMEDITASARI"/>
        <s v="OBIN"/>
        <s v="OLIVIA NOVELIANTI"/>
        <s v="OLYVIA NUR AFIANI"/>
        <s v="P. OBANG"/>
        <s v="PASKALIS NIKO SAPUTRA"/>
        <s v="PUJI MULYANI"/>
        <s v="RACHMI WULAN"/>
        <s v="RADINDA FARIDZYA FITRIYANTO"/>
        <s v="RAFAEL GIOFANI"/>
        <s v="RAFIF HANAN"/>
        <s v="RAFIZ KAMILI ALKADRIE"/>
        <s v="RAHADIAN FARANDI"/>
        <s v="RAJIDIN"/>
        <s v="RAKA MALDINI B"/>
        <s v="RAMADHAN"/>
        <s v="RAMADHAN 9402"/>
        <s v="RAMOTI PUTRA MANALU"/>
        <s v="RANDA ARZA SAPUTRA"/>
        <s v="RASIANI"/>
        <s v="RATNA DEWI"/>
        <s v="RATNAWITA"/>
        <s v="REI KHALFANI"/>
        <s v="RENA"/>
        <s v="RENDI"/>
        <s v="RENTI OCTIVIANI"/>
        <s v="RESTU BINTANG NUGROHO"/>
        <s v="REZA NUGRAHA"/>
        <s v="RIA UTAMI"/>
        <s v="RIANTIN"/>
        <s v="RICKY ISKANDAR"/>
        <s v="RICKY VALENT"/>
        <s v="RIDHO ARIHTA BANCIN"/>
        <s v="RIDHOALDY ERISAPUTRA"/>
        <s v="RIKSON ARMAGEDON PURBA"/>
        <s v="RINA FAUZIAH"/>
        <s v="RINA TJENDERA"/>
        <s v="RINI SATMAWATI "/>
        <s v="RIRIN KURNIAWATI"/>
        <s v="RITA HARJANTI"/>
        <s v="RITA MUSTARI"/>
        <s v="RIZKA MAYA SALSABILA"/>
        <s v="ROBI NUR FAHMI"/>
        <s v="ROSKIAMY "/>
        <s v="ROSSY MARVITA"/>
        <s v="ROSWITA"/>
        <s v="RUDI ABDI"/>
        <s v="RUDI HARTONO"/>
        <s v="RYAN ACHMAD BASIR"/>
        <s v="RYUDINATA WILLIAM"/>
        <s v="SALLY ISKANDAR TAN"/>
        <s v="SANTUN TOGATOROP"/>
        <s v="SARWATI"/>
        <s v="SAWITRI HERSUSANTI"/>
        <s v="SEKAR KINANTI HERPRADANTI"/>
        <s v="SELENA"/>
        <s v="SELVIA RATNA SARIWEDI"/>
        <s v="SEPTUTI MEGA POSROITO"/>
        <s v="SETIO BONO SAPUTRO"/>
        <s v="SHARON LIE"/>
        <s v="SHERA MIRANDA"/>
        <s v="SILVI AULIA"/>
        <s v="SINTA CLARENCIA"/>
        <s v="SISKA DAMASTUTI "/>
        <s v="SOFHIA LEKA"/>
        <s v="SOFIA LINDI"/>
        <s v="SOFIA MARLINA"/>
        <s v="SOFIA PHUA"/>
        <s v="SOLIHIN AGUS"/>
        <s v="SRI ESRI"/>
        <s v="SRI HARYANTY"/>
        <s v="STEFANUS ANDHIKA PUTRA UTAMA"/>
        <s v="STEFANUS FERDINAN"/>
        <s v="STELLA JESSICA"/>
        <s v="STEVANI"/>
        <s v="SUBARIYAH"/>
        <s v="SUDIYANTI HO"/>
        <s v="SUHAIMI"/>
        <s v="SUHERMAN "/>
        <s v="SUKARDI. SH MM"/>
        <s v="SUKAWATI EFFENDY"/>
        <s v="SULAIMAN 9601"/>
        <s v="SULISTIYOWATI"/>
        <s v="SUMA EMIL HABIBIE"/>
        <s v="SUNARTI"/>
        <s v="SURYA FEBRANI"/>
        <s v="SURYANA"/>
        <s v="SUSANTI"/>
        <s v="SUYONO"/>
        <s v="SYAHRIL AKBARI"/>
        <s v="SYARIF RAIHAN RAFISKI"/>
        <s v="SYARIFAH NABILA AULIA RANTI"/>
        <s v="SYARIFAH UMMI KALTSUM"/>
        <s v="SYF SIFAH"/>
        <s v="SYF. HAYATI ABDULLAH"/>
        <s v="TAN REVAN ADIWITYA"/>
        <s v="TAN TJHUN TIE ALS ROBERT"/>
        <s v="TANIA 0004"/>
        <s v="TERA VICIANI"/>
        <s v="TERRA SAMIDDHA"/>
        <s v="TIMOTHY ANDYLIANTHO"/>
        <s v="TIUR MANURUNG "/>
        <s v="TJAN TIONG HONG"/>
        <s v="TJONG LIE TJHIUN ALS SUKIMAN"/>
        <s v="TOBIAS"/>
        <s v="TOGARDO AMANTA"/>
        <s v="TOMMY YANSENS"/>
        <s v="TRI ASTUTI"/>
        <s v="TUTI TRISNAWATI"/>
        <s v="ULIANA SARA MARPAUNG"/>
        <s v="UMI SAPARIAH"/>
        <s v="URAY DJAHARANI"/>
        <s v="VERAYANA KURNIAWAN"/>
        <s v="VERDICO ARIEF"/>
        <s v="VIVA DARMA PUTRI"/>
        <s v="VIVIANTY"/>
        <s v="VIVIYANTI"/>
        <s v="WACHYU WIDAYAT"/>
        <s v="WAGIYANTO"/>
        <s v="WAHONO"/>
        <s v="WAN REVALDO RIZKI NATAKUSUMA"/>
        <s v="WELY"/>
        <s v="WENNY YOSTIA"/>
        <s v="WIDI ASTUTI"/>
        <s v="WIEKE VERASTUTI "/>
        <s v="WISNU WARDANA "/>
        <s v="YANTI TANTRA"/>
        <s v="YAYUK SUKESI"/>
        <s v="YESI VERDIANTI"/>
        <s v="YOSIA GALANG PUTRA BORNEO"/>
        <s v="YOSTRYAN CHENATA"/>
        <s v="YOUNG BRILLIAN THEHAWIJAYA"/>
        <s v="YUBANADI"/>
        <s v="ANANTA UTAMI"/>
        <s v="YUDI PRAWIRATMAN"/>
        <s v="YUDI RIZALDI"/>
        <s v="YULIA WIDIANARTI"/>
        <s v="YULIANA"/>
        <s v="YULIANA 9606"/>
        <s v="YUNI ISHAFIZA"/>
        <s v="YUNITA"/>
        <s v="YURWARTINI"/>
        <s v="ZULKIFLI 8105"/>
        <s v="ZULKIFLI HASANUDDIN "/>
      </sharedItems>
    </cacheField>
    <cacheField name="NO. RM" numFmtId="0">
      <sharedItems containsBlank="1">
        <s v="A6125094370"/>
        <s v="A9924088313"/>
        <s v="A0525084273"/>
        <m/>
        <s v="A9825014940"/>
        <s v="A9025060759"/>
        <s v="A7925041303"/>
        <s v="A8624112720"/>
        <s v="A0623071437"/>
        <s v="A0724100417"/>
        <s v="A9224038209"/>
        <s v="A8625063000"/>
        <s v="A9324087798"/>
        <s v="A0625085349"/>
        <s v="A9125043332"/>
        <s v="A0724080558"/>
        <s v="A0825098780"/>
        <s v="A9625072535"/>
        <s v="A9425110177"/>
        <s v="A0925094650"/>
        <s v="A9223062020"/>
        <s v="A1423086916"/>
        <s v="A8925087212"/>
        <s v="A9924128900"/>
        <s v="A0825042223"/>
        <s v="A8324120778"/>
        <s v="A9925083027"/>
        <s v="A9625081247"/>
        <s v="A5125112484"/>
        <s v="A2424089584"/>
        <s v="A1625031346"/>
        <s v="A0125119292"/>
        <s v="A0324110628"/>
        <s v="A7025060822"/>
        <s v="A9425105994"/>
        <s v="A8823011011"/>
        <s v="A9325050486"/>
        <s v="A9124121799"/>
        <s v="A0423074795"/>
        <s v="A5625092572"/>
        <s v="A9125086876"/>
        <s v="A0825125687"/>
        <s v="A9925105509"/>
        <s v="A8925021574"/>
        <s v="A0724125118"/>
        <s v="A6625072226"/>
        <s v="A0325033157"/>
        <s v="A9424116266"/>
        <s v="A7825078966"/>
        <s v="A6825042168"/>
        <s v="A6025048900"/>
        <s v="A9524112021"/>
        <s v="A7325053389"/>
        <s v="A9025108786"/>
        <s v="A9524119414"/>
        <s v="A6825060057"/>
        <s v="A9725086020"/>
        <s v="A1224069412"/>
        <s v="A8725115557"/>
        <s v="A1123072881"/>
        <s v="A1025102304"/>
        <s v="A8825114554"/>
        <s v="B0924114293"/>
        <s v="B7125094370"/>
        <s v="B0525015519"/>
        <s v="B5325129871"/>
        <s v="B8825057611"/>
        <s v="B9925104512"/>
        <s v="B8025102288"/>
        <s v="B8925045599"/>
        <s v="B8525075344"/>
        <s v="B4825051059"/>
        <s v="B9125074477"/>
        <s v="B9224111126"/>
        <s v="B5924113489"/>
        <s v="B7325109155"/>
        <s v="B6325013230"/>
        <s v="C9025117272"/>
        <s v="C9524123795"/>
        <s v="C9424111787"/>
        <s v="C0525115291"/>
        <s v="C9125120366"/>
        <s v="C9725104448"/>
        <s v="C0325128008"/>
        <s v="D8725087201"/>
        <s v="D6125012817"/>
        <s v="D7925125149"/>
        <s v="D8923047556"/>
        <s v="D0424120515"/>
        <s v="D8225100100"/>
        <s v="D0924117420"/>
        <s v="D9625081496"/>
        <s v="D1025091558"/>
        <s v="D9125048938"/>
        <s v="D0924079294"/>
        <s v="D0625102206"/>
        <s v="D6323060292"/>
        <s v="D8825084244"/>
        <s v="D6925037525"/>
        <s v="D9525039860"/>
        <s v="D0525097586"/>
        <s v="D8624112210"/>
        <s v="D0925034440"/>
        <s v="D6525119328"/>
        <s v="D7324116663"/>
        <s v="D9425126561"/>
        <s v="D5325127738"/>
        <s v="D8825037244"/>
        <s v="D8625106969"/>
        <s v="E5125059981"/>
        <s v="E8825071979"/>
        <s v="E9825083788"/>
        <s v="E9725118035"/>
        <s v="E8925075615"/>
        <s v="E9325071431"/>
        <s v="E9425102074"/>
        <s v="E8825039292"/>
        <s v="E9224129831"/>
        <s v="E9124120075"/>
        <s v="E7324031888"/>
        <s v="E8925127564"/>
        <s v="E9925108783"/>
        <s v="E8425098000"/>
        <s v="E8625112448"/>
        <s v="E7825046700"/>
        <s v="E8924128386"/>
        <s v="E6723010889"/>
        <s v="E9025088822"/>
        <s v="F0025072040"/>
        <s v="F0225102200"/>
        <s v="F8525077772"/>
        <s v="F2525111598"/>
        <s v="F5625080460"/>
        <s v="F6925098775"/>
        <s v="F0624125155"/>
        <s v="F8325127729"/>
        <s v="F0423083055"/>
        <s v="F9623104060"/>
        <s v="F7825058577"/>
        <s v="F9125088080"/>
        <s v="F4925091811"/>
        <s v="F0325067556"/>
        <s v="F0425082598"/>
        <s v="F9624127985"/>
        <s v="F9225081879"/>
        <s v="F0824116507"/>
        <s v="G1125064924"/>
        <s v="G8425125725"/>
        <s v="G0025085646"/>
        <s v="G8325090525"/>
        <s v="G9924046563"/>
        <s v="G0725065625"/>
        <s v="G0425088990"/>
        <s v="H1123038212"/>
        <s v="H7924127776"/>
        <s v="H9224057775"/>
        <s v="H1025113976"/>
        <s v="H4623015667"/>
        <s v="H9025092496"/>
        <s v="H7724119988"/>
        <s v="H8825094803"/>
        <s v="H9225017791"/>
        <s v="H7525095313"/>
        <s v="H8124112533"/>
        <s v="H7825098625"/>
        <s v="H9524120422"/>
        <s v="H6325042095"/>
        <s v="H5325098176"/>
        <s v="H6725078818"/>
        <s v="H9125059720"/>
        <s v="H7825063633"/>
        <s v="H5725022666"/>
        <s v="H4825087125"/>
        <s v="H5625047624"/>
        <s v="H5024091565"/>
        <s v="I9825088872"/>
        <s v="I8225066978"/>
        <s v="I9424119075"/>
        <s v="I9925074687"/>
        <s v="I0325069949"/>
        <s v="I0325070012"/>
        <s v="I8825095691"/>
        <s v="I6525058028"/>
        <s v="I9525094175"/>
        <s v="I5825112202"/>
        <s v="I8025109996"/>
        <s v="I9525021880"/>
        <s v="I9825044864"/>
        <s v="J1025075435"/>
        <s v="J8823016633"/>
        <s v="J9223078684"/>
        <s v="J5525063513"/>
        <s v="J6025097234"/>
        <s v="J9025070228"/>
        <s v="J9824114915"/>
        <s v="K5125069057"/>
        <s v="K8824050066"/>
        <s v="K5225090123"/>
        <s v="K9924034069"/>
        <s v="K0025055631"/>
        <s v="K7525084719"/>
        <s v="K7925099117"/>
        <s v="K9525013702"/>
        <s v="K8825128215"/>
        <s v="K6624121896"/>
        <s v="K0325071771"/>
        <s v="L0825103838"/>
        <s v="L2525104585"/>
        <s v="L9824109191"/>
        <s v="L8925090200"/>
        <s v="L9925048099"/>
        <s v="L6025128579"/>
        <s v="L5825122264"/>
        <s v="L7225071788"/>
        <s v="L7925087010"/>
        <s v="L8123072518"/>
        <s v="L0025039768"/>
        <s v="L5925109995"/>
        <s v="L5325099995"/>
        <s v="L8725091989"/>
        <s v="L6524043399"/>
        <s v="L0425016507"/>
        <s v="L5025045140"/>
        <s v="M8725065724"/>
        <s v="M1025044555"/>
        <s v="M0925093175"/>
        <s v="M6524090093"/>
        <s v="M6925074405"/>
        <s v="M9225108407"/>
        <s v="M6825093469"/>
        <s v="M5325110126"/>
        <s v="M0025078448"/>
        <s v="M4624118157"/>
        <s v="M7525052841"/>
        <s v="M5024101477"/>
        <s v="M0825116129"/>
        <s v="M0425117629"/>
        <s v="M8925040551"/>
        <s v="M9825086178"/>
        <s v="M7925042960"/>
        <s v="M6825090"/>
        <s v="M7625071479"/>
        <s v="M6925117500"/>
        <s v="M9724111997"/>
        <s v="M1225072448"/>
        <s v="M9525071318"/>
        <s v="M9525072439"/>
        <s v="M7525070460"/>
        <s v="M8525072053"/>
        <s v="M5825061742"/>
        <s v="M9424116640"/>
        <s v="M7825098720"/>
        <s v="M9825103838"/>
        <s v="M0524020310"/>
        <s v="M8825015705"/>
        <s v="M9023017121"/>
        <s v="M0825073380"/>
        <s v="M0725054401"/>
        <s v="M1223117264"/>
        <s v="M0425076023"/>
        <s v="M8925070454"/>
        <s v="M7825100800"/>
        <s v="M6925081515"/>
        <s v="M9025021870"/>
        <s v="M0025084349"/>
        <s v="N0125076145"/>
        <s v="N9223062600"/>
        <s v="N2525095500"/>
        <s v="N0925081359"/>
        <s v="N0125048970"/>
        <s v="N0725118277"/>
        <s v="N9323021358"/>
        <s v="N6225074612"/>
        <s v="N5825097333"/>
        <s v="N0324108818"/>
        <s v="N0024011081"/>
        <s v="N0125061553"/>
        <s v="N9025011999"/>
        <s v="N9625054742"/>
        <s v="N9424049331"/>
        <s v="N9025080662"/>
        <s v="N8525112090"/>
        <s v="N9825094835"/>
        <s v="N9625061460"/>
        <s v="O7825104730"/>
        <s v="O0925070649"/>
        <s v="O9625078188"/>
        <s v="P5925063080"/>
        <s v="P9623063588"/>
        <s v="P7525096189"/>
        <s v="R9625012853"/>
        <s v="R0125045992"/>
        <s v="R0525089466"/>
        <s v="R1325084646"/>
        <s v="R0124040528"/>
        <s v="R9425066090"/>
        <s v="R8723125757"/>
        <s v="R0225070099"/>
        <s v="R9425021905"/>
        <s v="R9525121510"/>
        <s v="R9125127920"/>
        <s v="R8125102726"/>
        <s v="R9024087560"/>
        <s v="R6925118000"/>
        <s v="R1125017999"/>
        <s v="R0025116078"/>
        <s v="R0225129200"/>
        <s v="R9524125629"/>
        <s v="R0625062913"/>
        <s v="R8924023579"/>
        <s v="R7825108100"/>
        <s v="R7723022907"/>
        <s v="R8825109439"/>
        <s v="R0123085464"/>
        <s v="R0025032344"/>
        <s v="R9824118810"/>
        <s v="R6725103408"/>
        <s v="R7525093436"/>
        <s v="R5625107738"/>
        <s v="R0025077421"/>
        <s v="R8025084828"/>
        <s v="R6725050750"/>
        <s v="R0023064561"/>
        <s v="R9625054528"/>
        <s v="R9325015150"/>
        <s v="R7325101626"/>
        <s v="R7925075957"/>
        <s v="R2525091389"/>
        <s v="R0225042129"/>
        <s v="R1225091811"/>
        <s v="S0125112891"/>
        <s v="S5925098785"/>
        <s v="S7325124774"/>
        <s v="S6425068991"/>
        <s v="S9825058991"/>
        <s v="S1225046229"/>
        <s v="S4525075406"/>
        <s v="S9325063633"/>
        <s v="S7325119020"/>
        <s v="S0825106969"/>
        <s v="S9524110570"/>
        <s v="S0125102986"/>
        <s v="S8625097998"/>
        <s v="S9025083777"/>
        <s v="S4425059065"/>
        <s v="S9525071318"/>
        <s v="S4425117922"/>
        <s v="S6724108986"/>
        <s v="S6225086797"/>
        <s v="S2525063599"/>
        <s v="S8624103421"/>
        <s v="S8424116922"/>
        <s v="S9425055188"/>
        <s v="S0325118209"/>
        <s v="S5725052657"/>
        <s v="S5325064712"/>
        <s v="S8425084764"/>
        <s v="S732507"/>
        <s v="S4725109888"/>
        <s v="S9624106365"/>
        <s v="S7523014141"/>
        <s v="S9824025681"/>
        <s v="S8125033417"/>
        <s v="S8624110878"/>
        <s v="S7723054038"/>
        <s v="S7125096750"/>
        <s v="S9725092033"/>
        <s v="S1223087980"/>
        <s v="S9425063337"/>
        <s v="S8325065820"/>
        <s v="S6025038415"/>
        <s v="S6324111358"/>
        <s v="T0925064832"/>
        <s v="T5625119994"/>
        <s v="T0025078451"/>
        <s v="T8825037433"/>
        <s v="T9325067779"/>
        <s v="T9824114560"/>
        <s v="T7524104338"/>
        <s v="T4825127000"/>
        <s v="T1725066978"/>
        <s v="T9725072362"/>
        <s v="T5525065588"/>
        <s v="T6825081630"/>
        <s v="T7325100015"/>
        <s v="U9625058921"/>
        <s v="U6824034194"/>
        <s v="U6025070873"/>
        <s v="V6223056198"/>
        <s v="V8925118000"/>
        <s v="V8924117131"/>
        <s v="V9225074870"/>
        <s v="V8825112988"/>
        <s v="W6425129394"/>
        <s v="W6524066023"/>
        <s v="W5325062288"/>
        <s v="W9625074211"/>
        <s v="W8025078200"/>
        <s v="W9125089669"/>
        <s v="W6425084700"/>
        <s v="Y8225078319"/>
        <s v="Y7525084160"/>
        <s v="Y9325112254"/>
        <s v="Y0825082296"/>
        <s v="Y9425125852"/>
        <s v="Y0623078833"/>
        <s v="Y5125088477"/>
        <s v="A9123011070"/>
        <s v="Y752412"/>
        <s v="Y9425081430"/>
        <s v="Y7025113569"/>
        <s v="Y9625087682"/>
        <s v="Y6625092191"/>
        <s v="Y9524111515"/>
        <s v="Y6225086451"/>
        <s v="Z8125047588"/>
      </sharedItems>
    </cacheField>
    <cacheField name="JENIS KELAMIN" numFmtId="0">
      <sharedItems containsBlank="1">
        <s v="LAKI-LAKI"/>
        <m/>
        <s v="PEREMPUAN"/>
      </sharedItems>
    </cacheField>
    <cacheField name="USIA" numFmtId="0">
      <sharedItems containsString="0" containsBlank="1" containsNumber="1" containsInteger="1">
        <n v="64.0"/>
        <n v="26.0"/>
        <n v="20.0"/>
        <m/>
        <n v="27.0"/>
        <n v="35.0"/>
        <n v="47.0"/>
        <n v="40.0"/>
        <n v="19.0"/>
        <n v="33.0"/>
        <n v="39.0"/>
        <n v="32.0"/>
        <n v="34.0"/>
        <n v="18.0"/>
        <n v="29.0"/>
        <n v="31.0"/>
        <n v="17.0"/>
        <n v="11.0"/>
        <n v="36.0"/>
        <n v="42.0"/>
        <n v="30.0"/>
        <n v="74.0"/>
        <n v="1.0"/>
        <n v="9.0"/>
        <n v="25.0"/>
        <n v="22.0"/>
        <n v="55.0"/>
        <n v="37.0"/>
        <n v="21.0"/>
        <n v="69.0"/>
        <n v="60.0"/>
        <n v="23.0"/>
        <n v="58.0"/>
        <n v="66.0"/>
        <n v="53.0"/>
        <n v="28.0"/>
        <n v="13.0"/>
        <n v="38.0"/>
        <n v="14.0"/>
        <n v="16.0"/>
        <n v="54.0"/>
        <n v="73.0"/>
        <n v="45.0"/>
        <n v="77.0"/>
        <n v="67.0"/>
        <n v="62.0"/>
        <n v="46.0"/>
        <n v="43.0"/>
        <n v="63.0"/>
        <n v="57.0"/>
        <n v="52.0"/>
        <n v="72.0"/>
        <n v="41.0"/>
        <n v="0.0"/>
        <n v="56.0"/>
        <n v="48.0"/>
        <n v="76.0"/>
        <n v="15.0"/>
        <n v="80.0"/>
        <n v="51.0"/>
        <n v="78.0"/>
        <n v="75.0"/>
        <n v="61.0"/>
        <n v="68.0"/>
        <n v="71.0"/>
        <n v="50.0"/>
        <n v="79.0"/>
        <n v="24.0"/>
        <n v="59.0"/>
        <n v="70.0"/>
        <n v="82.0"/>
        <n v="44.0"/>
        <n v="49.0"/>
      </sharedItems>
    </cacheField>
    <cacheField name="FISIO" numFmtId="0">
      <sharedItems containsBlank="1">
        <s v="ORY"/>
        <s v="WAHYU"/>
        <s v="DANRU"/>
        <s v="REZA"/>
        <s v="HESTI"/>
        <s v="SHODIQ"/>
        <s v="NADA"/>
        <s v="DANI"/>
        <s v="PRITY"/>
        <s v="DESTY"/>
        <s v="OKTA"/>
        <s v="RIA"/>
        <s v="HENA"/>
        <s v="EDO"/>
        <s v="AULIA"/>
        <m/>
      </sharedItems>
    </cacheField>
    <cacheField name="TIM" numFmtId="0">
      <sharedItems containsBlank="1">
        <s v="TIM Y"/>
        <s v="INAKTIF"/>
        <m/>
        <s v="TIM A"/>
        <s v="MANAJEMEN"/>
      </sharedItems>
    </cacheField>
    <cacheField name="JENIS PAKET" numFmtId="0">
      <sharedItems>
        <s v="P1"/>
        <s v="P2"/>
      </sharedItems>
    </cacheField>
    <cacheField name="MULAI PAKET" numFmtId="0">
      <sharedItems>
        <s v="NEW"/>
        <s v="EXT."/>
      </sharedItems>
    </cacheField>
    <cacheField name="NO. SESI" numFmtId="0">
      <sharedItems containsSemiMixedTypes="0" containsString="0" containsNumber="1" containsInteger="1">
        <n v="5.0"/>
        <n v="10.0"/>
        <n v="0.0"/>
        <n v="3.0"/>
        <n v="4.0"/>
        <n v="9.0"/>
        <n v="2.0"/>
        <n v="6.0"/>
        <n v="1.0"/>
        <n v="8.0"/>
        <n v="7.0"/>
      </sharedItems>
    </cacheField>
    <cacheField name="T1" numFmtId="176">
      <sharedItems containsDate="1" containsString="0" containsBlank="1">
        <d v="2025-09-28T00:00:00Z"/>
        <d v="2025-08-10T00:00:00Z"/>
        <d v="2025-09-03T00:00:00Z"/>
        <d v="2025-09-01T00:00:00Z"/>
        <d v="2025-12-10T00:00:00Z"/>
        <m/>
        <d v="2025-06-09T00:00:00Z"/>
        <d v="2025-06-30T00:00:00Z"/>
        <d v="2024-11-30T00:00:00Z"/>
        <d v="2025-10-14T00:00:00Z"/>
        <d v="2025-11-16T00:00:00Z"/>
        <d v="2024-11-05T00:00:00Z"/>
        <d v="2024-11-13T00:00:00Z"/>
        <d v="2025-11-24T00:00:00Z"/>
        <d v="2025-07-02T00:00:00Z"/>
        <d v="2025-07-15T00:00:00Z"/>
        <d v="2025-07-20T00:00:00Z"/>
        <d v="2025-08-19T00:00:00Z"/>
        <d v="2025-08-30T00:00:00Z"/>
        <d v="2025-04-12T00:00:00Z"/>
        <d v="2025-01-07T00:00:00Z"/>
        <d v="2025-07-26T00:00:00Z"/>
        <d v="2025-11-20T00:00:00Z"/>
        <d v="2025-12-02T00:00:00Z"/>
        <d v="2025-12-27T00:00:00Z"/>
        <d v="2025-09-02T00:00:00Z"/>
        <d v="2025-09-12T00:00:00Z"/>
        <d v="2025-01-28T00:00:00Z"/>
        <d v="2024-03-13T00:00:00Z"/>
        <d v="2025-10-22T00:00:00Z"/>
        <d v="2025-08-07T00:00:00Z"/>
        <d v="2024-12-10T00:00:00Z"/>
        <d v="2025-10-29T00:00:00Z"/>
        <d v="2025-08-12T00:00:00Z"/>
        <d v="2025-08-28T00:00:00Z"/>
        <d v="2025-11-30T00:00:00Z"/>
        <d v="2025-12-17T00:00:00Z"/>
        <d v="2025-03-04T00:00:00Z"/>
        <d v="2025-12-03T00:00:00Z"/>
        <d v="2024-11-15T00:00:00Z"/>
        <d v="2025-06-21T00:00:00Z"/>
        <d v="2025-10-20T00:00:00Z"/>
        <d v="2025-11-06T00:00:00Z"/>
        <d v="2025-11-13T00:00:00Z"/>
        <d v="2025-01-17T00:00:00Z"/>
        <d v="2025-05-18T00:00:00Z"/>
        <d v="2024-12-17T00:00:00Z"/>
        <d v="2025-07-28T00:00:00Z"/>
        <d v="2025-09-11T00:00:00Z"/>
        <d v="2025-09-23T00:00:00Z"/>
        <d v="2025-10-13T00:00:00Z"/>
        <d v="2025-11-10T00:00:00Z"/>
        <d v="2025-08-20T00:00:00Z"/>
        <d v="2025-12-23T00:00:00Z"/>
        <d v="2025-11-18T00:00:00Z"/>
        <d v="2025-12-13T00:00:00Z"/>
        <d v="2025-03-19T00:00:00Z"/>
        <d v="2024-12-07T00:00:00Z"/>
        <d v="2025-12-21T00:00:00Z"/>
        <d v="2025-07-16T00:00:00Z"/>
        <d v="2025-07-31T00:00:00Z"/>
        <d v="2025-03-26T00:00:00Z"/>
        <d v="2025-10-23T00:00:00Z"/>
        <d v="2025-07-27T00:00:00Z"/>
        <d v="2025-04-30T00:00:00Z"/>
        <d v="2025-07-21T00:00:00Z"/>
        <d v="2025-10-21T00:00:00Z"/>
        <d v="2025-05-11T00:00:00Z"/>
        <d v="2025-10-07T00:00:00Z"/>
        <d v="2025-11-11T00:00:00Z"/>
        <d v="2024-11-17T00:00:00Z"/>
        <d v="2025-06-15T00:00:00Z"/>
        <d v="2025-08-25T00:00:00Z"/>
        <d v="2025-09-06T00:00:00Z"/>
        <d v="2025-09-29T00:00:00Z"/>
        <d v="2025-12-11T00:00:00Z"/>
        <d v="2025-10-18T00:00:00Z"/>
        <d v="2025-11-02T00:00:00Z"/>
        <d v="2025-11-22T00:00:00Z"/>
        <d v="2025-11-29T00:00:00Z"/>
        <d v="2025-10-01T00:00:00Z"/>
        <d v="2025-12-24T00:00:00Z"/>
        <d v="2025-07-12T00:00:00Z"/>
        <d v="2025-08-03T00:00:00Z"/>
        <d v="2025-09-14T00:00:00Z"/>
        <d v="2025-10-10T00:00:00Z"/>
        <d v="2025-10-15T00:00:00Z"/>
        <d v="2025-10-28T00:00:00Z"/>
        <d v="2025-11-12T00:00:00Z"/>
        <d v="2025-12-16T00:00:00Z"/>
        <d v="2025-04-08T00:00:00Z"/>
        <d v="2025-10-09T00:00:00Z"/>
        <d v="2025-05-28T00:00:00Z"/>
        <d v="2024-11-14T00:00:00Z"/>
        <d v="2024-11-26T00:00:00Z"/>
        <d v="2025-10-30T00:00:00Z"/>
        <d v="2025-01-12T00:00:00Z"/>
        <d v="2025-03-15T00:00:00Z"/>
        <d v="2025-11-21T00:00:00Z"/>
        <d v="2025-10-08T00:00:00Z"/>
        <d v="2025-12-15T00:00:00Z"/>
        <d v="2025-01-22T00:00:00Z"/>
        <d v="2025-12-05T00:00:00Z"/>
        <d v="2025-03-11T00:00:00Z"/>
        <d v="2024-12-20T00:00:00Z"/>
        <d v="2025-11-26T00:00:00Z"/>
        <d v="2025-11-03T00:00:00Z"/>
        <d v="2024-11-22T00:00:00Z"/>
        <d v="2025-10-02T00:00:00Z"/>
        <d v="2025-10-11T00:00:00Z"/>
        <d v="2025-10-19T00:00:00Z"/>
        <d v="2025-10-25T00:00:00Z"/>
        <d v="2025-11-04T00:00:00Z"/>
        <d v="2025-04-09T00:00:00Z"/>
        <d v="2025-05-20T00:00:00Z"/>
        <d v="2025-11-27T00:00:00Z"/>
        <d v="2024-11-11T00:00:00Z"/>
        <d v="2025-08-23T00:00:00Z"/>
        <d v="2025-10-04T00:00:00Z"/>
        <d v="2024-11-21T00:00:00Z"/>
        <d v="2025-06-19T00:00:00Z"/>
        <d v="2025-08-05T00:00:00Z"/>
        <d v="2025-09-16T00:00:00Z"/>
        <d v="2025-11-19T00:00:00Z"/>
        <d v="2025-11-07T00:00:00Z"/>
        <d v="2024-12-05T00:00:00Z"/>
        <d v="2025-12-29T00:00:00Z"/>
        <d v="2025-12-14T00:00:00Z"/>
        <d v="2025-06-17T00:00:00Z"/>
        <d v="2025-09-18T00:00:00Z"/>
        <d v="2025-08-04T00:00:00Z"/>
        <d v="2025-08-21T00:00:00Z"/>
        <d v="2025-09-08T00:00:00Z"/>
        <d v="2025-07-07T00:00:00Z"/>
        <d v="2024-12-19T00:00:00Z"/>
        <d v="2025-07-23T00:00:00Z"/>
        <d v="2025-09-13T00:00:00Z"/>
        <d v="2025-04-07T00:00:00Z"/>
        <d v="2025-09-04T00:00:00Z"/>
        <d v="2025-08-27T00:00:00Z"/>
        <d v="2025-09-10T00:00:00Z"/>
        <d v="2025-07-05T00:00:00Z"/>
        <d v="2025-07-29T00:00:00Z"/>
        <d v="2025-09-20T00:00:00Z"/>
        <d v="2024-12-13T00:00:00Z"/>
        <d v="2025-06-24T00:00:00Z"/>
        <d v="2025-07-03T00:00:00Z"/>
        <d v="2025-08-31T00:00:00Z"/>
        <d v="2025-06-13T00:00:00Z"/>
        <d v="2025-06-25T00:00:00Z"/>
        <d v="2025-08-13T00:00:00Z"/>
        <d v="2024-11-19T00:00:00Z"/>
        <d v="2025-06-26T00:00:00Z"/>
        <d v="2025-09-21T00:00:00Z"/>
        <d v="2024-12-09T00:00:00Z"/>
        <d v="2024-12-24T00:00:00Z"/>
        <d v="2024-10-10T00:00:00Z"/>
        <d v="2025-10-05T00:00:00Z"/>
        <d v="2024-11-25T00:00:00Z"/>
        <d v="2025-07-06T00:00:00Z"/>
        <d v="2024-12-08T00:00:00Z"/>
        <d v="2025-05-09T00:00:00Z"/>
        <d v="2025-06-18T00:00:00Z"/>
        <d v="2025-03-13T00:00:00Z"/>
        <d v="2025-05-04T00:00:00Z"/>
        <d v="2025-08-14T00:00:00Z"/>
        <d v="2024-11-18T00:00:00Z"/>
        <d v="2025-07-01T00:00:00Z"/>
        <d v="2025-05-17T00:00:00Z"/>
        <d v="2025-03-02T00:00:00Z"/>
        <d v="2025-05-27T00:00:00Z"/>
        <d v="2025-09-07T00:00:00Z"/>
        <d v="2025-03-03T00:00:00Z"/>
        <d v="2025-02-04T00:00:00Z"/>
        <d v="2025-10-17T00:00:00Z"/>
        <d v="2025-05-10T00:00:00Z"/>
        <d v="2025-08-16T00:00:00Z"/>
        <d v="2025-09-15T00:00:00Z"/>
        <d v="2025-01-15T00:00:00Z"/>
        <d v="2025-07-22T00:00:00Z"/>
        <d v="2025-06-28T00:00:00Z"/>
        <d v="2025-09-17T00:00:00Z"/>
        <d v="2025-12-22T00:00:00Z"/>
        <d v="2025-07-09T00:00:00Z"/>
        <d v="2025-09-22T00:00:00Z"/>
        <d v="2025-03-08T00:00:00Z"/>
        <d v="2025-11-08T00:00:00Z"/>
        <d v="2025-11-05T00:00:00Z"/>
        <d v="2025-05-05T00:00:00Z"/>
        <d v="2025-07-10T00:00:00Z"/>
        <d v="2025-04-11T00:00:00Z"/>
        <d v="2025-11-17T00:00:00Z"/>
        <d v="2025-10-27T00:00:00Z"/>
        <d v="2025-09-27T00:00:00Z"/>
        <d v="2025-12-28T00:00:00Z"/>
        <d v="2025-09-24T00:00:00Z"/>
        <d v="2025-12-06T00:00:00Z"/>
        <d v="2025-06-16T00:00:00Z"/>
        <d v="2024-10-24T00:00:00Z"/>
        <d v="2025-12-04T00:00:00Z"/>
        <d v="2025-07-11T00:00:00Z"/>
        <d v="2024-12-16T00:00:00Z"/>
        <d v="2025-07-17T00:00:00Z"/>
        <d v="2025-06-22T00:00:00Z"/>
        <d v="2024-11-07T00:00:00Z"/>
        <d v="2025-09-25T00:00:00Z"/>
        <d v="2025-02-07T00:00:00Z"/>
        <d v="2025-06-07T00:00:00Z"/>
        <d v="2025-07-19T00:00:00Z"/>
        <d v="2025-05-23T00:00:00Z"/>
        <d v="2025-11-09T00:00:00Z"/>
        <d v="2025-08-29T00:00:00Z"/>
        <d v="2025-08-24T00:00:00Z"/>
        <d v="2025-10-16T00:00:00Z"/>
        <d v="2025-08-26T00:00:00Z"/>
        <d v="2025-06-11T00:00:00Z"/>
        <d v="2025-07-13T00:00:00Z"/>
        <d v="2025-06-03T00:00:00Z"/>
        <d v="2024-12-27T00:00:00Z"/>
        <d v="2025-12-09T00:00:00Z"/>
        <d v="2024-12-18T00:00:00Z"/>
        <d v="2025-02-16T00:00:00Z"/>
        <d v="2025-10-12T00:00:00Z"/>
        <d v="2024-12-04T00:00:00Z"/>
        <d v="2024-12-15T00:00:00Z"/>
        <d v="2025-06-29T00:00:00Z"/>
        <d v="2025-07-14T00:00:00Z"/>
        <d v="2025-02-02T00:00:00Z"/>
        <d v="2025-10-06T00:00:00Z"/>
        <d v="2025-09-09T00:00:00Z"/>
        <d v="2025-07-08T00:00:00Z"/>
        <d v="2025-07-30T00:00:00Z"/>
        <d v="2025-10-26T00:00:00Z"/>
        <d v="2025-08-11T00:00:00Z"/>
        <d v="2025-12-01T00:00:00Z"/>
        <d v="2025-05-30T00:00:00Z"/>
        <d v="2025-11-25T00:00:00Z"/>
        <d v="2024-12-03T00:00:00Z"/>
        <d v="2025-05-19T00:00:00Z"/>
        <d v="2024-11-16T00:00:00Z"/>
        <d v="2025-06-12T00:00:00Z"/>
        <d v="2024-11-12T00:00:00Z"/>
        <d v="2025-11-15T00:00:00Z"/>
        <d v="2025-06-20T00:00:00Z"/>
        <d v="2025-05-25T00:00:00Z"/>
        <d v="2025-04-05T00:00:00Z"/>
        <d v="2025-11-28T00:00:00Z"/>
        <d v="2025-08-02T00:00:00Z"/>
        <d v="2025-08-06T00:00:00Z"/>
        <d v="2025-12-20T00:00:00Z"/>
        <d v="2025-09-19T00:00:00Z"/>
        <d v="2025-11-01T00:00:00Z"/>
      </sharedItems>
    </cacheField>
    <cacheField name="T2" numFmtId="176">
      <sharedItems containsDate="1" containsString="0" containsBlank="1">
        <d v="2025-09-29T00:00:00Z"/>
        <d v="2025-08-12T00:00:00Z"/>
        <d v="2025-09-07T00:00:00Z"/>
        <d v="2025-09-02T00:00:00Z"/>
        <d v="2025-12-15T00:00:00Z"/>
        <m/>
        <d v="2025-06-14T00:00:00Z"/>
        <d v="2025-07-02T00:00:00Z"/>
        <d v="2024-12-04T00:00:00Z"/>
        <d v="2025-10-19T00:00:00Z"/>
        <d v="2025-11-22T00:00:00Z"/>
        <d v="2024-11-09T00:00:00Z"/>
        <d v="2024-11-20T00:00:00Z"/>
        <d v="2025-12-01T00:00:00Z"/>
        <d v="2025-07-04T00:00:00Z"/>
        <d v="2025-07-18T00:00:00Z"/>
        <d v="2025-07-22T00:00:00Z"/>
        <d v="2025-08-24T00:00:00Z"/>
        <d v="2025-09-03T00:00:00Z"/>
        <d v="2025-04-25T00:00:00Z"/>
        <d v="2025-01-14T00:00:00Z"/>
        <d v="2025-10-01T00:00:00Z"/>
        <d v="2025-07-31T00:00:00Z"/>
        <d v="2025-11-24T00:00:00Z"/>
        <d v="2025-12-04T00:00:00Z"/>
        <d v="2025-12-29T00:00:00Z"/>
        <d v="2025-09-16T00:00:00Z"/>
        <d v="2025-02-02T00:00:00Z"/>
        <d v="2024-03-18T00:00:00Z"/>
        <d v="2025-10-25T00:00:00Z"/>
        <d v="2025-08-09T00:00:00Z"/>
        <d v="2024-12-12T00:00:00Z"/>
        <d v="2025-11-01T00:00:00Z"/>
        <d v="2025-08-16T00:00:00Z"/>
        <d v="2025-08-28T00:00:00Z"/>
        <d v="2025-12-07T00:00:00Z"/>
        <d v="2025-12-27T00:00:00Z"/>
        <d v="2025-03-11T00:00:00Z"/>
        <d v="2025-12-06T00:00:00Z"/>
        <d v="2024-11-18T00:00:00Z"/>
        <d v="2025-06-24T00:00:00Z"/>
        <d v="2025-07-19T00:00:00Z"/>
        <d v="2025-10-23T00:00:00Z"/>
        <d v="2025-11-07T00:00:00Z"/>
        <d v="2025-11-15T00:00:00Z"/>
        <d v="2025-02-04T00:00:00Z"/>
        <d v="2025-05-25T00:00:00Z"/>
        <d v="2024-12-19T00:00:00Z"/>
        <d v="2025-07-29T00:00:00Z"/>
        <d v="2025-09-13T00:00:00Z"/>
        <d v="2025-09-28T00:00:00Z"/>
        <d v="2025-10-16T00:00:00Z"/>
        <d v="2025-11-18T00:00:00Z"/>
        <d v="2025-12-23T00:00:00Z"/>
        <d v="2025-10-31T00:00:00Z"/>
        <d v="2025-11-20T00:00:00Z"/>
        <d v="2025-12-18T00:00:00Z"/>
        <d v="2025-03-22T00:00:00Z"/>
        <d v="2024-12-08T00:00:00Z"/>
        <d v="2025-12-22T00:00:00Z"/>
        <d v="2025-08-04T00:00:00Z"/>
        <d v="2025-04-08T00:00:00Z"/>
        <d v="2025-10-27T00:00:00Z"/>
        <d v="2025-11-27T00:00:00Z"/>
        <d v="2025-05-07T00:00:00Z"/>
        <d v="2025-05-22T00:00:00Z"/>
        <d v="2025-07-23T00:00:00Z"/>
        <d v="2025-11-06T00:00:00Z"/>
        <d v="2024-11-16T00:00:00Z"/>
        <d v="2025-05-13T00:00:00Z"/>
        <d v="2025-10-14T00:00:00Z"/>
        <d v="2025-11-19T00:00:00Z"/>
        <d v="2025-06-17T00:00:00Z"/>
        <d v="2025-09-08T00:00:00Z"/>
        <d v="2025-10-02T00:00:00Z"/>
        <d v="2025-09-06T00:00:00Z"/>
        <d v="2025-11-08T00:00:00Z"/>
        <d v="2025-11-29T00:00:00Z"/>
        <d v="2025-12-03T00:00:00Z"/>
        <d v="2025-10-07T00:00:00Z"/>
        <d v="2025-12-05T00:00:00Z"/>
        <d v="2025-12-28T00:00:00Z"/>
        <d v="2025-07-15T00:00:00Z"/>
        <d v="2025-08-10T00:00:00Z"/>
        <d v="2025-09-21T00:00:00Z"/>
        <d v="2025-10-10T00:00:00Z"/>
        <d v="2025-10-18T00:00:00Z"/>
        <d v="2025-10-29T00:00:00Z"/>
        <d v="2025-12-02T00:00:00Z"/>
        <d v="2025-12-19T00:00:00Z"/>
        <d v="2025-07-24T00:00:00Z"/>
        <d v="2025-08-14T00:00:00Z"/>
        <d v="2025-09-01T00:00:00Z"/>
        <d v="2025-10-13T00:00:00Z"/>
        <d v="2025-06-20T00:00:00Z"/>
        <d v="2025-07-28T00:00:00Z"/>
        <d v="2024-11-28T00:00:00Z"/>
        <d v="2025-11-17T00:00:00Z"/>
        <d v="2025-03-18T00:00:00Z"/>
        <d v="2025-12-20T00:00:00Z"/>
        <d v="2025-06-11T00:00:00Z"/>
        <d v="2025-03-15T00:00:00Z"/>
        <d v="2024-12-23T00:00:00Z"/>
        <d v="2025-11-10T00:00:00Z"/>
        <d v="2024-11-26T00:00:00Z"/>
        <d v="2025-08-21T00:00:00Z"/>
        <d v="2025-10-05T00:00:00Z"/>
        <d v="2025-10-12T00:00:00Z"/>
        <d v="2025-10-20T00:00:00Z"/>
        <d v="2025-10-26T00:00:00Z"/>
        <d v="2025-12-08T00:00:00Z"/>
        <d v="2025-04-12T00:00:00Z"/>
        <d v="2025-06-12T00:00:00Z"/>
        <d v="2025-08-25T00:00:00Z"/>
        <d v="2025-11-03T00:00:00Z"/>
        <d v="2025-10-06T00:00:00Z"/>
        <d v="2025-06-26T00:00:00Z"/>
        <d v="2025-08-20T00:00:00Z"/>
        <d v="2025-11-26T00:00:00Z"/>
        <d v="2025-11-11T00:00:00Z"/>
        <d v="2024-12-18T00:00:00Z"/>
        <d v="2025-12-17T00:00:00Z"/>
        <d v="2025-06-19T00:00:00Z"/>
        <d v="2025-08-06T00:00:00Z"/>
        <d v="2025-08-23T00:00:00Z"/>
        <d v="2025-09-10T00:00:00Z"/>
        <d v="2025-10-30T00:00:00Z"/>
        <d v="2025-11-25T00:00:00Z"/>
        <d v="2025-10-24T00:00:00Z"/>
        <d v="2025-07-12T00:00:00Z"/>
        <d v="2025-09-15T00:00:00Z"/>
        <d v="2025-04-09T00:00:00Z"/>
        <d v="2025-08-30T00:00:00Z"/>
        <d v="2025-07-07T00:00:00Z"/>
        <d v="2025-11-13T00:00:00Z"/>
        <d v="2025-09-23T00:00:00Z"/>
        <d v="2024-12-14T00:00:00Z"/>
        <d v="2025-07-08T00:00:00Z"/>
        <d v="2025-07-21T00:00:00Z"/>
        <d v="2025-08-05T00:00:00Z"/>
        <d v="2025-06-15T00:00:00Z"/>
        <d v="2025-08-07T00:00:00Z"/>
        <d v="2025-10-15T00:00:00Z"/>
        <d v="2024-12-16T00:00:00Z"/>
        <d v="2024-11-23T00:00:00Z"/>
        <d v="2025-06-30T00:00:00Z"/>
        <d v="2025-09-14T00:00:00Z"/>
        <d v="2025-06-29T00:00:00Z"/>
        <d v="2025-09-22T00:00:00Z"/>
        <d v="2024-12-11T00:00:00Z"/>
        <d v="2024-12-24T00:00:00Z"/>
        <d v="2024-10-10T00:00:00Z"/>
        <d v="2025-09-11T00:00:00Z"/>
        <d v="2024-12-29T00:00:00Z"/>
        <d v="2025-09-19T00:00:00Z"/>
        <d v="2025-08-03T00:00:00Z"/>
        <d v="2025-10-04T00:00:00Z"/>
        <d v="2025-09-04T00:00:00Z"/>
        <d v="2025-03-20T00:00:00Z"/>
        <d v="2025-05-11T00:00:00Z"/>
        <d v="2025-09-17T00:00:00Z"/>
        <d v="2025-08-19T00:00:00Z"/>
        <d v="2025-06-21T00:00:00Z"/>
        <d v="2025-07-03T00:00:00Z"/>
        <d v="2025-05-24T00:00:00Z"/>
        <d v="2025-03-09T00:00:00Z"/>
        <d v="2025-06-25T00:00:00Z"/>
        <d v="2025-07-10T00:00:00Z"/>
        <d v="2025-11-04T00:00:00Z"/>
        <d v="2025-02-09T00:00:00Z"/>
        <d v="2025-10-03T00:00:00Z"/>
        <d v="2025-07-01T00:00:00Z"/>
        <d v="2025-05-14T00:00:00Z"/>
        <d v="2025-10-09T00:00:00Z"/>
        <d v="2025-09-18T00:00:00Z"/>
        <d v="2025-02-03T00:00:00Z"/>
        <d v="2025-07-17T00:00:00Z"/>
        <d v="2025-10-22T00:00:00Z"/>
        <d v="2025-09-20T00:00:00Z"/>
        <d v="2025-12-24T00:00:00Z"/>
        <d v="2025-07-14T00:00:00Z"/>
        <d v="2025-10-21T00:00:00Z"/>
        <d v="2025-09-24T00:00:00Z"/>
        <d v="2025-06-09T00:00:00Z"/>
        <d v="2025-10-08T00:00:00Z"/>
        <d v="2025-11-30T00:00:00Z"/>
        <d v="2025-01-30T00:00:00Z"/>
        <d v="2025-05-10T00:00:00Z"/>
        <d v="2025-06-23T00:00:00Z"/>
        <d v="2025-09-27T00:00:00Z"/>
        <d v="2025-12-11T00:00:00Z"/>
        <d v="2025-09-09T00:00:00Z"/>
        <d v="2025-08-26T00:00:00Z"/>
        <d v="2025-12-21T00:00:00Z"/>
        <d v="2025-03-10T00:00:00Z"/>
        <d v="2025-08-02T00:00:00Z"/>
        <d v="2024-11-13T00:00:00Z"/>
        <d v="2025-02-11T00:00:00Z"/>
        <d v="2025-07-30T00:00:00Z"/>
        <d v="2025-07-26T00:00:00Z"/>
        <d v="2025-08-11T00:00:00Z"/>
        <d v="2025-09-25T00:00:00Z"/>
        <d v="2025-06-04T00:00:00Z"/>
        <d v="2025-11-09T00:00:00Z"/>
        <d v="2025-07-05T00:00:00Z"/>
        <d v="2025-06-10T00:00:00Z"/>
        <d v="2025-01-04T00:00:00Z"/>
        <d v="2025-07-20T00:00:00Z"/>
        <d v="2025-12-13T00:00:00Z"/>
        <d v="2025-11-12T00:00:00Z"/>
        <d v="2024-12-21T00:00:00Z"/>
        <d v="2025-02-27T00:00:00Z"/>
        <d v="2025-06-22T00:00:00Z"/>
        <d v="2024-11-07T00:00:00Z"/>
        <d v="2024-12-26T00:00:00Z"/>
        <d v="2025-07-06T00:00:00Z"/>
        <d v="2025-08-29T00:00:00Z"/>
        <d v="2025-02-05T00:00:00Z"/>
        <d v="2025-07-13T00:00:00Z"/>
        <d v="2025-11-02T00:00:00Z"/>
        <d v="2025-10-11T00:00:00Z"/>
        <d v="2025-06-16T00:00:00Z"/>
        <d v="2025-07-09T00:00:00Z"/>
        <d v="2025-08-13T00:00:00Z"/>
        <d v="2025-08-27T00:00:00Z"/>
        <d v="2025-06-02T00:00:00Z"/>
        <d v="2025-10-28T00:00:00Z"/>
        <d v="2025-11-28T00:00:00Z"/>
        <d v="2024-12-20T00:00:00Z"/>
        <d v="2024-12-05T00:00:00Z"/>
        <d v="2025-05-21T00:00:00Z"/>
        <d v="2025-06-28T00:00:00Z"/>
        <d v="2024-11-19T00:00:00Z"/>
        <d v="2025-05-27T00:00:00Z"/>
        <d v="2025-06-13T00:00:00Z"/>
        <d v="2024-12-07T00:00:00Z"/>
        <d v="2025-07-27T00:00:00Z"/>
        <d v="2025-11-05T00:00:00Z"/>
        <d v="2025-05-26T00:00:00Z"/>
        <d v="2024-12-17T00:00:00Z"/>
        <d v="2025-07-16T00:00:00Z"/>
        <d v="2025-12-14T00:00:00Z"/>
        <d v="2025-08-08T00:00:00Z"/>
        <d v="2024-12-10T00:00:00Z"/>
        <d v="2025-01-13T00:00:00Z"/>
        <d v="2025-11-14T00:00:00Z"/>
      </sharedItems>
    </cacheField>
    <cacheField name="T3" numFmtId="176">
      <sharedItems containsDate="1" containsString="0" containsBlank="1">
        <d v="2025-10-01T00:00:00Z"/>
        <d v="2025-08-14T00:00:00Z"/>
        <d v="2025-09-09T00:00:00Z"/>
        <d v="2025-09-04T00:00:00Z"/>
        <d v="2025-12-18T00:00:00Z"/>
        <m/>
        <d v="2025-06-28T00:00:00Z"/>
        <d v="2025-07-02T00:00:00Z"/>
        <d v="2024-11-11T00:00:00Z"/>
        <d v="2025-10-26T00:00:00Z"/>
        <d v="2025-11-29T00:00:00Z"/>
        <d v="2024-11-13T00:00:00Z"/>
        <d v="2024-12-03T00:00:00Z"/>
        <d v="2025-12-16T00:00:00Z"/>
        <d v="2025-07-06T00:00:00Z"/>
        <d v="2025-07-21T00:00:00Z"/>
        <d v="2025-07-27T00:00:00Z"/>
        <d v="2025-08-26T00:00:00Z"/>
        <d v="2025-09-10T00:00:00Z"/>
        <d v="2025-04-26T00:00:00Z"/>
        <d v="2025-02-04T00:00:00Z"/>
        <d v="2025-10-04T00:00:00Z"/>
        <d v="2025-11-26T00:00:00Z"/>
        <d v="2025-12-06T00:00:00Z"/>
        <d v="2025-09-18T00:00:00Z"/>
        <d v="2024-03-24T00:00:00Z"/>
        <d v="2025-10-27T00:00:00Z"/>
        <d v="2025-08-11T00:00:00Z"/>
        <d v="2024-12-14T00:00:00Z"/>
        <d v="2025-11-02T00:00:00Z"/>
        <d v="2025-08-19T00:00:00Z"/>
        <d v="2025-08-31T00:00:00Z"/>
        <d v="2025-12-04T00:00:00Z"/>
        <d v="2025-12-08T00:00:00Z"/>
        <d v="2025-10-30T00:00:00Z"/>
        <d v="2025-03-25T00:00:00Z"/>
        <d v="2025-12-13T00:00:00Z"/>
        <d v="2024-12-12T00:00:00Z"/>
        <d v="2025-06-26T00:00:00Z"/>
        <d v="2025-07-22T00:00:00Z"/>
        <d v="2025-10-25T00:00:00Z"/>
        <d v="2025-11-08T00:00:00Z"/>
        <d v="2025-11-17T00:00:00Z"/>
        <d v="2025-05-30T00:00:00Z"/>
        <d v="2024-12-22T00:00:00Z"/>
        <d v="2025-08-01T00:00:00Z"/>
        <d v="2025-09-15T00:00:00Z"/>
        <d v="2025-10-02T00:00:00Z"/>
        <d v="2025-10-21T00:00:00Z"/>
        <d v="2025-11-27T00:00:00Z"/>
        <d v="2025-08-29T00:00:00Z"/>
        <d v="2025-12-28T00:00:00Z"/>
        <d v="2025-11-05T00:00:00Z"/>
        <d v="2025-11-24T00:00:00Z"/>
        <d v="2025-12-24T00:00:00Z"/>
        <d v="2024-12-21T00:00:00Z"/>
        <d v="2025-12-23T00:00:00Z"/>
        <d v="2025-04-13T00:00:00Z"/>
        <d v="2025-12-01T00:00:00Z"/>
        <d v="2025-05-28T00:00:00Z"/>
        <d v="2025-06-03T00:00:00Z"/>
        <d v="2025-11-14T00:00:00Z"/>
        <d v="2024-12-07T00:00:00Z"/>
        <d v="2025-05-16T00:00:00Z"/>
        <d v="2025-10-16T00:00:00Z"/>
        <d v="2025-06-21T00:00:00Z"/>
        <d v="2025-08-30T00:00:00Z"/>
        <d v="2025-09-13T00:00:00Z"/>
        <d v="2025-09-08T00:00:00Z"/>
        <d v="2025-10-19T00:00:00Z"/>
        <d v="2025-11-09T00:00:00Z"/>
        <d v="2025-11-30T00:00:00Z"/>
        <d v="2025-11-25T00:00:00Z"/>
        <d v="2025-10-09T00:00:00Z"/>
        <d v="2025-12-07T00:00:00Z"/>
        <d v="2025-07-18T00:00:00Z"/>
        <d v="2025-08-24T00:00:00Z"/>
        <d v="2025-09-28T00:00:00Z"/>
        <d v="2025-12-14T00:00:00Z"/>
        <d v="2025-10-13T00:00:00Z"/>
        <d v="2025-10-08T00:00:00Z"/>
        <d v="2025-11-01T00:00:00Z"/>
        <d v="2025-11-19T00:00:00Z"/>
        <d v="2025-12-05T00:00:00Z"/>
        <d v="2025-07-28T00:00:00Z"/>
        <d v="2025-08-12T00:00:00Z"/>
        <d v="2025-07-31T00:00:00Z"/>
        <d v="2024-12-05T00:00:00Z"/>
        <d v="2025-01-18T00:00:00Z"/>
        <d v="2025-11-20T00:00:00Z"/>
        <d v="2024-11-21T00:00:00Z"/>
        <d v="2025-12-22T00:00:00Z"/>
        <d v="2025-09-02T00:00:00Z"/>
        <d v="2025-12-09T00:00:00Z"/>
        <d v="2024-12-28T00:00:00Z"/>
        <d v="2025-11-12T00:00:00Z"/>
        <d v="2024-11-30T00:00:00Z"/>
        <d v="2025-08-23T00:00:00Z"/>
        <d v="2025-10-05T00:00:00Z"/>
        <d v="2025-10-12T00:00:00Z"/>
        <d v="2025-10-23T00:00:00Z"/>
        <d v="2025-12-10T00:00:00Z"/>
        <d v="2025-04-16T00:00:00Z"/>
        <d v="2025-11-06T00:00:00Z"/>
        <d v="2025-12-11T00:00:00Z"/>
        <d v="2025-08-28T00:00:00Z"/>
        <d v="2025-10-28T00:00:00Z"/>
        <d v="2025-07-09T00:00:00Z"/>
        <d v="2025-08-27T00:00:00Z"/>
        <d v="2025-10-11T00:00:00Z"/>
        <d v="2025-12-03T00:00:00Z"/>
        <d v="2025-11-13T00:00:00Z"/>
        <d v="2025-10-14T00:00:00Z"/>
        <d v="2025-06-24T00:00:00Z"/>
        <d v="2025-09-25T00:00:00Z"/>
        <d v="2025-07-23T00:00:00Z"/>
        <d v="2025-08-09T00:00:00Z"/>
        <d v="2025-08-25T00:00:00Z"/>
        <d v="2025-09-17T00:00:00Z"/>
        <d v="2025-08-10T00:00:00Z"/>
        <d v="2025-04-11T00:00:00Z"/>
        <d v="2025-09-22T00:00:00Z"/>
        <d v="2025-07-10T00:00:00Z"/>
        <d v="2025-08-03T00:00:00Z"/>
        <d v="2025-09-29T00:00:00Z"/>
        <d v="2025-10-17T00:00:00Z"/>
        <d v="2025-11-18T00:00:00Z"/>
        <d v="2024-12-19T00:00:00Z"/>
        <d v="2025-09-11T00:00:00Z"/>
        <d v="2025-08-08T00:00:00Z"/>
        <d v="2025-06-22T00:00:00Z"/>
        <d v="2025-07-07T00:00:00Z"/>
        <d v="2025-08-21T00:00:00Z"/>
        <d v="2024-12-20T00:00:00Z"/>
        <d v="2025-07-03T00:00:00Z"/>
        <d v="2025-07-01T00:00:00Z"/>
        <d v="2025-07-19T00:00:00Z"/>
        <d v="2024-12-26T00:00:00Z"/>
        <d v="2024-11-17T00:00:00Z"/>
        <d v="2025-08-07T00:00:00Z"/>
        <d v="2025-10-20T00:00:00Z"/>
        <d v="2024-12-04T00:00:00Z"/>
        <d v="2025-09-20T00:00:00Z"/>
        <d v="2025-10-07T00:00:00Z"/>
        <d v="2025-08-05T00:00:00Z"/>
        <d v="2025-05-23T00:00:00Z"/>
        <d v="2025-04-10T00:00:00Z"/>
        <d v="2025-07-30T00:00:00Z"/>
        <d v="2025-09-21T00:00:00Z"/>
        <d v="2024-11-25T00:00:00Z"/>
        <d v="2025-07-26T00:00:00Z"/>
        <d v="2025-05-26T00:00:00Z"/>
        <d v="2025-11-03T00:00:00Z"/>
        <d v="2025-11-15T00:00:00Z"/>
        <d v="2025-03-24T00:00:00Z"/>
        <d v="2025-06-30T00:00:00Z"/>
        <d v="2025-07-15T00:00:00Z"/>
        <d v="2025-02-10T00:00:00Z"/>
        <d v="2025-05-17T00:00:00Z"/>
        <d v="2025-07-24T00:00:00Z"/>
        <d v="2025-07-29T00:00:00Z"/>
        <d v="2025-10-24T00:00:00Z"/>
        <d v="2025-07-05T00:00:00Z"/>
        <d v="2025-09-24T00:00:00Z"/>
        <d v="2025-12-21T00:00:00Z"/>
        <d v="2025-12-27T00:00:00Z"/>
        <d v="2025-07-17T00:00:00Z"/>
        <d v="2025-09-27T00:00:00Z"/>
        <d v="2025-06-12T00:00:00Z"/>
        <d v="2025-10-15T00:00:00Z"/>
        <d v="2025-12-02T00:00:00Z"/>
        <d v="2025-11-11T00:00:00Z"/>
        <d v="2025-02-11T00:00:00Z"/>
        <d v="2025-06-04T00:00:00Z"/>
        <d v="2025-04-12T00:00:00Z"/>
        <d v="2025-10-18T00:00:00Z"/>
        <d v="2025-06-25T00:00:00Z"/>
        <d v="2025-07-04T00:00:00Z"/>
        <d v="2025-03-18T00:00:00Z"/>
        <d v="2025-07-16T00:00:00Z"/>
        <d v="2025-08-06T00:00:00Z"/>
        <d v="2025-09-07T00:00:00Z"/>
        <d v="2024-11-18T00:00:00Z"/>
        <d v="2025-02-25T00:00:00Z"/>
        <d v="2025-06-18T00:00:00Z"/>
        <d v="2025-07-14T00:00:00Z"/>
        <d v="2025-07-25T00:00:00Z"/>
        <d v="2025-09-06T00:00:00Z"/>
        <d v="2025-11-22T00:00:00Z"/>
        <d v="2025-09-14T00:00:00Z"/>
        <d v="2025-09-01T00:00:00Z"/>
        <d v="2025-06-17T00:00:00Z"/>
        <d v="2025-06-09T00:00:00Z"/>
        <d v="2025-09-16T00:00:00Z"/>
        <d v="2025-06-14T00:00:00Z"/>
        <d v="2025-07-08T00:00:00Z"/>
        <d v="2025-09-26T00:00:00Z"/>
        <d v="2025-12-20T00:00:00Z"/>
        <d v="2025-08-20T00:00:00Z"/>
        <d v="2025-01-05T00:00:00Z"/>
        <d v="2025-06-15T00:00:00Z"/>
        <d v="2025-10-22T00:00:00Z"/>
        <d v="2025-12-15T00:00:00Z"/>
        <d v="2024-12-23T00:00:00Z"/>
        <d v="2024-12-11T00:00:00Z"/>
        <d v="2025-01-08T00:00:00Z"/>
        <d v="2025-02-08T00:00:00Z"/>
        <d v="2025-08-16T00:00:00Z"/>
        <d v="2025-07-11T00:00:00Z"/>
        <d v="2025-10-29T00:00:00Z"/>
        <d v="2025-08-13T00:00:00Z"/>
        <d v="2025-06-10T00:00:00Z"/>
        <d v="2025-10-31T00:00:00Z"/>
        <d v="2025-05-24T00:00:00Z"/>
        <d v="2025-07-20T00:00:00Z"/>
        <d v="2024-11-20T00:00:00Z"/>
        <d v="2025-07-13T00:00:00Z"/>
        <d v="2024-12-09T00:00:00Z"/>
        <d v="2025-09-03T00:00:00Z"/>
        <d v="2025-05-27T00:00:00Z"/>
        <d v="2024-12-24T00:00:00Z"/>
        <d v="2025-06-19T00:00:00Z"/>
        <d v="2025-07-12T00:00:00Z"/>
        <d v="2025-08-02T00:00:00Z"/>
        <d v="2025-01-26T00:00:00Z"/>
      </sharedItems>
    </cacheField>
    <cacheField name="T4" numFmtId="176">
      <sharedItems containsDate="1" containsString="0" containsBlank="1">
        <d v="2025-10-04T00:00:00Z"/>
        <d v="2025-08-19T00:00:00Z"/>
        <d v="2025-09-11T00:00:00Z"/>
        <d v="2025-09-07T00:00:00Z"/>
        <d v="2025-12-22T00:00:00Z"/>
        <m/>
        <d v="2025-07-05T00:00:00Z"/>
        <d v="2025-07-04T00:00:00Z"/>
        <d v="2025-11-01T00:00:00Z"/>
        <d v="2025-12-04T00:00:00Z"/>
        <d v="2024-11-20T00:00:00Z"/>
        <d v="2024-12-06T00:00:00Z"/>
        <d v="2025-07-09T00:00:00Z"/>
        <d v="2025-07-25T00:00:00Z"/>
        <d v="2025-08-01T00:00:00Z"/>
        <d v="2025-09-02T00:00:00Z"/>
        <d v="2025-09-17T00:00:00Z"/>
        <d v="2025-05-03T00:00:00Z"/>
        <d v="2025-10-08T00:00:00Z"/>
        <d v="2025-11-28T00:00:00Z"/>
        <d v="2025-12-09T00:00:00Z"/>
        <d v="2025-09-23T00:00:00Z"/>
        <d v="2025-11-19T00:00:00Z"/>
        <d v="2025-10-29T00:00:00Z"/>
        <d v="2025-08-13T00:00:00Z"/>
        <d v="2024-12-17T00:00:00Z"/>
        <d v="2025-11-06T00:00:00Z"/>
        <d v="2025-08-21T00:00:00Z"/>
        <d v="2025-08-31T00:00:00Z"/>
        <d v="2025-12-11T00:00:00Z"/>
        <d v="2025-12-10T00:00:00Z"/>
        <d v="2025-04-08T00:00:00Z"/>
        <d v="2025-12-20T00:00:00Z"/>
        <d v="2024-12-16T00:00:00Z"/>
        <d v="2025-06-28T00:00:00Z"/>
        <d v="2025-07-26T00:00:00Z"/>
        <d v="2025-10-27T00:00:00Z"/>
        <d v="2025-11-10T00:00:00Z"/>
        <d v="2025-11-18T00:00:00Z"/>
        <d v="2025-06-29T00:00:00Z"/>
        <d v="2024-12-24T00:00:00Z"/>
        <d v="2025-08-02T00:00:00Z"/>
        <d v="2025-10-05T00:00:00Z"/>
        <d v="2025-10-28T00:00:00Z"/>
        <d v="2025-12-03T00:00:00Z"/>
        <d v="2025-09-03T00:00:00Z"/>
        <d v="2025-11-07T00:00:00Z"/>
        <d v="2025-11-26T00:00:00Z"/>
        <d v="2025-12-24T00:00:00Z"/>
        <d v="2025-07-27T00:00:00Z"/>
        <d v="2025-08-14T00:00:00Z"/>
        <d v="2025-06-16T00:00:00Z"/>
        <d v="2025-11-03T00:00:00Z"/>
        <d v="2025-12-05T00:00:00Z"/>
        <d v="2025-08-04T00:00:00Z"/>
        <d v="2025-06-14T00:00:00Z"/>
        <d v="2025-06-05T00:00:00Z"/>
        <d v="2025-08-24T00:00:00Z"/>
        <d v="2024-12-07T00:00:00Z"/>
        <d v="2025-10-21T00:00:00Z"/>
        <d v="2025-06-24T00:00:00Z"/>
        <d v="2025-09-01T00:00:00Z"/>
        <d v="2025-09-15T00:00:00Z"/>
        <d v="2025-10-06T00:00:00Z"/>
        <d v="2025-09-10T00:00:00Z"/>
        <d v="2025-12-23T00:00:00Z"/>
        <d v="2025-10-22T00:00:00Z"/>
        <d v="2025-10-26T00:00:00Z"/>
        <d v="2025-11-15T00:00:00Z"/>
        <d v="2025-12-06T00:00:00Z"/>
        <d v="2025-11-27T00:00:00Z"/>
        <d v="2025-10-11T00:00:00Z"/>
        <d v="2025-07-22T00:00:00Z"/>
        <d v="2025-12-21T00:00:00Z"/>
        <d v="2025-10-13T00:00:00Z"/>
        <d v="2025-10-23T00:00:00Z"/>
        <d v="2025-11-05T00:00:00Z"/>
        <d v="2025-11-22T00:00:00Z"/>
        <d v="2025-12-27T00:00:00Z"/>
        <d v="2025-07-31T00:00:00Z"/>
        <d v="2025-09-08T00:00:00Z"/>
        <d v="2024-12-10T00:00:00Z"/>
        <d v="2025-11-17T00:00:00Z"/>
        <d v="2025-01-07T00:00:00Z"/>
        <d v="2025-11-20T00:00:00Z"/>
        <d v="2024-12-03T00:00:00Z"/>
        <d v="2025-08-25T00:00:00Z"/>
        <d v="2025-10-09T00:00:00Z"/>
        <d v="2025-10-16T00:00:00Z"/>
        <d v="2025-12-15T00:00:00Z"/>
        <d v="2025-04-19T00:00:00Z"/>
        <d v="2025-06-26T00:00:00Z"/>
        <d v="2025-08-28T00:00:00Z"/>
        <d v="2025-11-14T00:00:00Z"/>
        <d v="2025-12-18T00:00:00Z"/>
        <d v="2024-11-25T00:00:00Z"/>
        <d v="2025-10-30T00:00:00Z"/>
        <d v="2025-12-28T00:00:00Z"/>
        <d v="2025-10-01T00:00:00Z"/>
        <d v="2025-07-24T00:00:00Z"/>
        <d v="2025-08-12T00:00:00Z"/>
        <d v="2025-08-23T00:00:00Z"/>
        <d v="2025-09-25T00:00:00Z"/>
        <d v="2025-11-02T00:00:00Z"/>
        <d v="2025-11-29T00:00:00Z"/>
        <d v="2025-12-01T00:00:00Z"/>
        <d v="2025-12-29T00:00:00Z"/>
        <d v="2025-09-22T00:00:00Z"/>
        <d v="2025-10-31T00:00:00Z"/>
        <d v="2025-09-13T00:00:00Z"/>
        <d v="2025-09-06T00:00:00Z"/>
        <d v="2025-07-13T00:00:00Z"/>
        <d v="2025-08-05T00:00:00Z"/>
        <d v="2025-11-24T00:00:00Z"/>
        <d v="2025-10-02T00:00:00Z"/>
        <d v="2025-06-30T00:00:00Z"/>
        <d v="2025-07-12T00:00:00Z"/>
        <d v="2025-08-10T00:00:00Z"/>
        <d v="2025-08-11T00:00:00Z"/>
        <d v="2025-08-08T00:00:00Z"/>
        <d v="2025-10-07T00:00:00Z"/>
        <d v="2025-10-18T00:00:00Z"/>
        <d v="2025-07-10T00:00:00Z"/>
        <d v="2025-09-20T00:00:00Z"/>
        <d v="2024-12-15T00:00:00Z"/>
        <d v="2025-07-21T00:00:00Z"/>
        <d v="2025-11-08T00:00:00Z"/>
        <d v="2025-07-06T00:00:00Z"/>
        <d v="2024-12-27T00:00:00Z"/>
        <d v="2024-11-17T00:00:00Z"/>
        <d v="2025-07-07T00:00:00Z"/>
        <d v="2025-09-18T00:00:00Z"/>
        <d v="2024-12-11T00:00:00Z"/>
        <d v="2025-09-21T00:00:00Z"/>
        <d v="2025-09-16T00:00:00Z"/>
        <d v="2025-11-11T00:00:00Z"/>
        <d v="2025-12-26T00:00:00Z"/>
        <d v="2025-05-30T00:00:00Z"/>
        <d v="2025-04-17T00:00:00Z"/>
        <d v="2025-11-25T00:00:00Z"/>
        <d v="2025-07-28T00:00:00Z"/>
        <d v="2025-05-06T00:00:00Z"/>
        <d v="2025-07-08T00:00:00Z"/>
        <d v="2025-07-29T00:00:00Z"/>
        <d v="2025-05-28T00:00:00Z"/>
        <d v="2025-11-30T00:00:00Z"/>
        <d v="2025-08-09T00:00:00Z"/>
        <d v="2025-07-20T00:00:00Z"/>
        <d v="2025-11-12T00:00:00Z"/>
        <d v="2025-07-01T00:00:00Z"/>
        <d v="2025-02-24T00:00:00Z"/>
        <d v="2025-10-10T00:00:00Z"/>
        <d v="2025-10-15T00:00:00Z"/>
        <d v="2025-07-30T00:00:00Z"/>
        <d v="2025-09-27T00:00:00Z"/>
        <d v="2025-06-12T00:00:00Z"/>
        <d v="2025-10-19T00:00:00Z"/>
        <d v="2025-12-02T00:00:00Z"/>
        <d v="2025-09-29T00:00:00Z"/>
        <d v="2025-06-09T00:00:00Z"/>
        <d v="2025-04-14T00:00:00Z"/>
        <d v="2025-09-14T00:00:00Z"/>
        <d v="2025-09-28T00:00:00Z"/>
        <d v="2025-08-16T00:00:00Z"/>
        <d v="2025-10-14T00:00:00Z"/>
        <d v="2025-03-25T00:00:00Z"/>
        <d v="2025-09-24T00:00:00Z"/>
        <d v="2025-10-25T00:00:00Z"/>
        <d v="2025-07-16T00:00:00Z"/>
        <d v="2025-12-07T00:00:00Z"/>
        <d v="2025-12-16T00:00:00Z"/>
        <d v="2025-07-23T00:00:00Z"/>
        <d v="2025-06-21T00:00:00Z"/>
        <d v="2025-09-12T00:00:00Z"/>
        <d v="2025-08-30T00:00:00Z"/>
        <d v="2025-08-20T00:00:00Z"/>
        <d v="2025-09-04T00:00:00Z"/>
        <d v="2025-09-19T00:00:00Z"/>
        <d v="2025-07-02T00:00:00Z"/>
        <d v="2025-08-27T00:00:00Z"/>
        <d v="2025-09-09T00:00:00Z"/>
        <d v="2025-01-30T00:00:00Z"/>
        <d v="2025-12-17T00:00:00Z"/>
        <d v="2025-07-03T00:00:00Z"/>
        <d v="2025-08-06T00:00:00Z"/>
        <d v="2025-07-15T00:00:00Z"/>
        <d v="2025-07-19T00:00:00Z"/>
        <d v="2025-07-17T00:00:00Z"/>
        <d v="2025-11-13T00:00:00Z"/>
        <d v="2025-06-20T00:00:00Z"/>
        <d v="2025-12-08T00:00:00Z"/>
        <d v="2025-11-09T00:00:00Z"/>
        <d v="2025-11-04T00:00:00Z"/>
        <d v="2024-12-14T00:00:00Z"/>
        <d v="2025-05-26T00:00:00Z"/>
        <d v="2025-05-27T00:00:00Z"/>
        <d v="2025-08-07T00:00:00Z"/>
        <d v="2025-06-17T00:00:00Z"/>
        <d v="2025-05-25T00:00:00Z"/>
        <d v="2025-01-09T00:00:00Z"/>
        <d v="2025-06-23T00:00:00Z"/>
        <d v="2025-12-13T00:00:00Z"/>
        <d v="2025-08-03T00:00:00Z"/>
        <d v="2025-02-01T00:00:00Z"/>
      </sharedItems>
    </cacheField>
    <cacheField name="T5" numFmtId="176">
      <sharedItems containsDate="1" containsString="0" containsBlank="1">
        <d v="2025-10-06T00:00:00Z"/>
        <d v="2025-08-20T00:00:00Z"/>
        <d v="2025-09-14T00:00:00Z"/>
        <d v="2025-09-08T00:00:00Z"/>
        <d v="2025-12-26T00:00:00Z"/>
        <m/>
        <d v="2025-07-12T00:00:00Z"/>
        <d v="2025-07-07T00:00:00Z"/>
        <d v="2025-11-11T00:00:00Z"/>
        <d v="2025-12-14T00:00:00Z"/>
        <d v="2024-12-09T00:00:00Z"/>
        <d v="2025-08-06T00:00:00Z"/>
        <d v="2025-08-13T00:00:00Z"/>
        <d v="2025-09-09T00:00:00Z"/>
        <d v="2025-10-04T00:00:00Z"/>
        <d v="2025-10-12T00:00:00Z"/>
        <d v="2025-11-30T00:00:00Z"/>
        <d v="2025-12-11T00:00:00Z"/>
        <d v="2025-10-01T00:00:00Z"/>
        <d v="2025-11-29T00:00:00Z"/>
        <d v="2025-11-01T00:00:00Z"/>
        <d v="2025-08-16T00:00:00Z"/>
        <d v="2025-11-08T00:00:00Z"/>
        <d v="2025-08-22T00:00:00Z"/>
        <d v="2025-09-03T00:00:00Z"/>
        <d v="2025-12-15T00:00:00Z"/>
        <d v="2025-12-27T00:00:00Z"/>
        <d v="2025-07-01T00:00:00Z"/>
        <d v="2025-07-29T00:00:00Z"/>
        <d v="2025-10-29T00:00:00Z"/>
        <d v="2025-11-18T00:00:00Z"/>
        <d v="2024-12-26T00:00:00Z"/>
        <d v="2025-08-03T00:00:00Z"/>
        <d v="2025-09-20T00:00:00Z"/>
        <d v="2025-10-07T00:00:00Z"/>
        <d v="2025-11-04T00:00:00Z"/>
        <d v="2025-12-10T00:00:00Z"/>
        <d v="2025-11-15T00:00:00Z"/>
        <d v="2025-12-01T00:00:00Z"/>
        <d v="2025-12-18T00:00:00Z"/>
        <d v="2025-12-28T00:00:00Z"/>
        <d v="2025-08-19T00:00:00Z"/>
        <d v="2025-11-20T00:00:00Z"/>
        <d v="2025-08-07T00:00:00Z"/>
        <d v="2025-06-08T00:00:00Z"/>
        <d v="2025-08-30T00:00:00Z"/>
        <d v="2025-12-06T00:00:00Z"/>
        <d v="2025-11-06T00:00:00Z"/>
        <d v="2025-09-04T00:00:00Z"/>
        <d v="2025-09-18T00:00:00Z"/>
        <d v="2025-10-09T00:00:00Z"/>
        <d v="2025-09-13T00:00:00Z"/>
        <d v="2025-12-07T00:00:00Z"/>
        <d v="2025-10-25T00:00:00Z"/>
        <d v="2025-11-16T00:00:00Z"/>
        <d v="2025-12-09T00:00:00Z"/>
        <d v="2025-11-28T00:00:00Z"/>
        <d v="2025-10-18T00:00:00Z"/>
        <d v="2025-07-25T00:00:00Z"/>
        <d v="2025-09-07T00:00:00Z"/>
        <d v="2025-10-15T00:00:00Z"/>
        <d v="2025-11-26T00:00:00Z"/>
        <d v="2025-12-13T00:00:00Z"/>
        <d v="2025-08-26T00:00:00Z"/>
        <d v="2025-09-11T00:00:00Z"/>
        <d v="2025-10-23T00:00:00Z"/>
        <d v="2025-08-09T00:00:00Z"/>
        <d v="2024-12-12T00:00:00Z"/>
        <d v="2025-11-24T00:00:00Z"/>
        <d v="2025-11-25T00:00:00Z"/>
        <d v="2024-12-07T00:00:00Z"/>
        <d v="2025-08-31T00:00:00Z"/>
        <d v="2025-10-19T00:00:00Z"/>
        <d v="2025-11-02T00:00:00Z"/>
        <d v="2025-12-22T00:00:00Z"/>
        <d v="2025-06-28T00:00:00Z"/>
        <d v="2025-07-26T00:00:00Z"/>
        <d v="2025-11-05T00:00:00Z"/>
        <d v="2025-12-02T00:00:00Z"/>
        <d v="2025-10-30T00:00:00Z"/>
        <d v="2025-11-09T00:00:00Z"/>
        <d v="2025-09-25T00:00:00Z"/>
        <d v="2025-09-15T00:00:00Z"/>
        <d v="2025-07-18T00:00:00Z"/>
        <d v="2025-11-27T00:00:00Z"/>
        <d v="2025-08-27T00:00:00Z"/>
        <d v="2025-07-02T00:00:00Z"/>
        <d v="2025-07-14T00:00:00Z"/>
        <d v="2025-08-14T00:00:00Z"/>
        <d v="2025-10-02T00:00:00Z"/>
        <d v="2025-08-15T00:00:00Z"/>
        <d v="2025-06-29T00:00:00Z"/>
        <d v="2025-10-20T00:00:00Z"/>
        <d v="2025-08-28T00:00:00Z"/>
        <d v="2025-10-28T00:00:00Z"/>
        <d v="2025-08-12T00:00:00Z"/>
        <d v="2025-07-09T00:00:00Z"/>
        <d v="2025-07-24T00:00:00Z"/>
        <d v="2024-12-27T00:00:00Z"/>
        <d v="2024-12-08T00:00:00Z"/>
        <d v="2025-07-10T00:00:00Z"/>
        <d v="2025-09-22T00:00:00Z"/>
        <d v="2025-10-27T00:00:00Z"/>
        <d v="2025-12-08T00:00:00Z"/>
        <d v="2025-10-14T00:00:00Z"/>
        <d v="2025-10-13T00:00:00Z"/>
        <d v="2025-09-28T00:00:00Z"/>
        <d v="2025-08-04T00:00:00Z"/>
        <d v="2025-08-02T00:00:00Z"/>
        <d v="2025-09-21T00:00:00Z"/>
        <d v="2025-09-24T00:00:00Z"/>
        <d v="2025-07-08T00:00:00Z"/>
        <d v="2025-10-16T00:00:00Z"/>
        <d v="2025-07-21T00:00:00Z"/>
        <d v="2025-12-17T00:00:00Z"/>
        <d v="2025-06-16T00:00:00Z"/>
        <d v="2025-10-22T00:00:00Z"/>
        <d v="2025-11-22T00:00:00Z"/>
        <d v="2025-07-28T00:00:00Z"/>
        <d v="2025-07-31T00:00:00Z"/>
        <d v="2025-09-23T00:00:00Z"/>
        <d v="2025-12-24T00:00:00Z"/>
        <d v="2025-09-17T00:00:00Z"/>
        <d v="2025-07-03T00:00:00Z"/>
        <d v="2025-09-27T00:00:00Z"/>
        <d v="2025-10-21T00:00:00Z"/>
        <d v="2025-10-11T00:00:00Z"/>
        <d v="2025-07-19T00:00:00Z"/>
        <d v="2025-11-19T00:00:00Z"/>
        <d v="2025-09-10T00:00:00Z"/>
        <d v="2025-06-25T00:00:00Z"/>
        <d v="2025-07-27T00:00:00Z"/>
        <d v="2025-09-02T00:00:00Z"/>
        <d v="2025-08-23T00:00:00Z"/>
        <d v="2025-07-17T00:00:00Z"/>
        <d v="2025-09-01T00:00:00Z"/>
        <d v="2025-10-05T00:00:00Z"/>
        <d v="2025-12-03T00:00:00Z"/>
        <d v="2025-09-29T00:00:00Z"/>
        <d v="2025-12-20T00:00:00Z"/>
        <d v="2025-11-17T00:00:00Z"/>
        <d v="2025-07-23T00:00:00Z"/>
        <d v="2025-07-05T00:00:00Z"/>
        <d v="2025-06-26T00:00:00Z"/>
        <d v="2025-06-22T00:00:00Z"/>
        <d v="2025-07-16T00:00:00Z"/>
        <d v="2025-08-11T00:00:00Z"/>
        <d v="2025-12-16T00:00:00Z"/>
        <d v="2025-11-10T00:00:00Z"/>
        <d v="2025-08-21T00:00:00Z"/>
        <d v="2025-06-17T00:00:00Z"/>
        <d v="2025-12-12T00:00:00Z"/>
        <d v="2025-09-06T00:00:00Z"/>
        <d v="2025-10-08T00:00:00Z"/>
        <d v="2025-08-05T00:00:00Z"/>
        <d v="2025-07-13T00:00:00Z"/>
        <d v="2025-09-19T00:00:00Z"/>
        <d v="2025-08-10T00:00:00Z"/>
        <d v="2025-06-24T00:00:00Z"/>
        <d v="2025-05-25T00:00:00Z"/>
        <d v="2025-01-14T00:00:00Z"/>
        <d v="2025-07-30T00:00:00Z"/>
        <d v="2025-08-24T00:00:00Z"/>
        <d v="2025-10-26T00:00:00Z"/>
        <d v="2025-12-21T00:00:00Z"/>
      </sharedItems>
    </cacheField>
    <cacheField name="T6" numFmtId="0">
      <sharedItems containsDate="1" containsString="0" containsBlank="1">
        <m/>
        <d v="2025-08-23T00:00:00Z"/>
        <d v="2025-09-17T00:00:00Z"/>
        <d v="2025-08-07T00:00:00Z"/>
        <d v="2025-10-16T00:00:00Z"/>
        <d v="2025-12-13T00:00:00Z"/>
        <d v="2025-10-03T00:00:00Z"/>
        <d v="2025-11-03T00:00:00Z"/>
        <d v="2025-12-14T00:00:00Z"/>
        <d v="2025-07-03T00:00:00Z"/>
        <d v="2025-08-02T00:00:00Z"/>
        <d v="2025-10-30T00:00:00Z"/>
        <d v="2025-01-05T00:00:00Z"/>
        <d v="2025-08-04T00:00:00Z"/>
        <d v="2025-12-29T00:00:00Z"/>
        <d v="2025-06-09T00:00:00Z"/>
        <d v="2025-09-21T00:00:00Z"/>
        <d v="2025-12-15T00:00:00Z"/>
        <d v="2025-10-15T00:00:00Z"/>
        <d v="2025-09-15T00:00:00Z"/>
        <d v="2025-10-27T00:00:00Z"/>
        <d v="2024-12-17T00:00:00Z"/>
        <d v="2025-11-29T00:00:00Z"/>
        <d v="2024-12-14T00:00:00Z"/>
        <d v="2025-07-27T00:00:00Z"/>
        <d v="2025-07-28T00:00:00Z"/>
        <d v="2025-08-28T00:00:00Z"/>
        <d v="2025-10-07T00:00:00Z"/>
        <d v="2025-11-08T00:00:00Z"/>
        <d v="2025-12-04T00:00:00Z"/>
        <d v="2025-10-23T00:00:00Z"/>
        <d v="2024-12-28T00:00:00Z"/>
        <d v="2024-12-08T00:00:00Z"/>
        <d v="2025-12-08T00:00:00Z"/>
        <d v="2025-07-14T00:00:00Z"/>
        <d v="2025-08-19T00:00:00Z"/>
        <d v="2025-09-25T00:00:00Z"/>
        <d v="2025-12-11T00:00:00Z"/>
        <d v="2025-10-01T00:00:00Z"/>
        <d v="2025-08-10T00:00:00Z"/>
        <d v="2025-11-19T00:00:00Z"/>
        <d v="2025-07-12T00:00:00Z"/>
        <d v="2025-10-13T00:00:00Z"/>
        <d v="2025-07-15T00:00:00Z"/>
        <d v="2025-10-04T00:00:00Z"/>
        <d v="2025-11-12T00:00:00Z"/>
        <d v="2025-12-20T00:00:00Z"/>
        <d v="2025-06-19T00:00:00Z"/>
        <d v="2025-08-11T00:00:00Z"/>
        <d v="2025-10-08T00:00:00Z"/>
        <d v="2025-10-11T00:00:00Z"/>
        <d v="2025-07-22T00:00:00Z"/>
        <d v="2025-08-16T00:00:00Z"/>
        <d v="2025-09-18T00:00:00Z"/>
        <d v="2025-11-20T00:00:00Z"/>
        <d v="2025-07-09T00:00:00Z"/>
        <d v="2025-12-03T00:00:00Z"/>
        <d v="2025-08-25T00:00:00Z"/>
        <d v="2025-11-06T00:00:00Z"/>
        <d v="2025-10-28T00:00:00Z"/>
        <d v="2025-08-06T00:00:00Z"/>
        <d v="2025-12-24T00:00:00Z"/>
        <d v="2025-12-27T00:00:00Z"/>
        <d v="2025-06-28T00:00:00Z"/>
        <d v="2025-09-23T00:00:00Z"/>
        <d v="2025-11-22T00:00:00Z"/>
        <d v="2025-12-23T00:00:00Z"/>
        <d v="2025-06-25T00:00:00Z"/>
        <d v="2025-07-20T00:00:00Z"/>
        <d v="2025-08-13T00:00:00Z"/>
        <d v="2025-10-25T00:00:00Z"/>
        <d v="2025-12-16T00:00:00Z"/>
        <d v="2025-08-26T00:00:00Z"/>
        <d v="2025-09-10T00:00:00Z"/>
        <d v="2025-12-06T00:00:00Z"/>
        <d v="2025-07-19T00:00:00Z"/>
        <d v="2025-05-27T00:00:00Z"/>
        <d v="2025-01-21T00:00:00Z"/>
        <d v="2025-06-30T00:00:00Z"/>
        <d v="2025-10-02T00:00:00Z"/>
        <d v="2025-08-09T00:00:00Z"/>
        <d v="2025-11-13T00:00:00Z"/>
      </sharedItems>
    </cacheField>
    <cacheField name="T7" numFmtId="0">
      <sharedItems containsDate="1" containsString="0" containsBlank="1">
        <m/>
        <d v="2025-08-25T00:00:00Z"/>
        <d v="2025-09-20T00:00:00Z"/>
        <d v="2025-08-10T00:00:00Z"/>
        <d v="2025-10-22T00:00:00Z"/>
        <d v="2025-12-16T00:00:00Z"/>
        <d v="2025-10-15T00:00:00Z"/>
        <d v="2025-11-10T00:00:00Z"/>
        <d v="2025-12-14T00:00:00Z"/>
        <d v="2025-07-05T00:00:00Z"/>
        <d v="2025-08-05T00:00:00Z"/>
        <d v="2025-11-01T00:00:00Z"/>
        <d v="2025-01-09T00:00:00Z"/>
        <d v="2025-08-11T00:00:00Z"/>
        <d v="2025-06-10T00:00:00Z"/>
        <d v="2025-09-27T00:00:00Z"/>
        <d v="2025-10-19T00:00:00Z"/>
        <d v="2025-09-18T00:00:00Z"/>
        <d v="2025-10-30T00:00:00Z"/>
        <d v="2024-12-19T00:00:00Z"/>
        <d v="2025-12-01T00:00:00Z"/>
        <d v="2025-12-15T00:00:00Z"/>
        <d v="2024-12-18T00:00:00Z"/>
        <d v="2025-07-28T00:00:00Z"/>
        <d v="2025-07-31T00:00:00Z"/>
        <d v="2025-08-30T00:00:00Z"/>
        <d v="2025-10-11T00:00:00Z"/>
        <d v="2025-11-11T00:00:00Z"/>
        <d v="2025-12-06T00:00:00Z"/>
        <d v="2025-10-25T00:00:00Z"/>
        <d v="2025-01-03T00:00:00Z"/>
        <d v="2025-12-17T00:00:00Z"/>
        <d v="2025-12-11T00:00:00Z"/>
        <d v="2025-07-17T00:00:00Z"/>
        <d v="2025-09-29T00:00:00Z"/>
        <d v="2025-11-03T00:00:00Z"/>
        <d v="2025-10-20T00:00:00Z"/>
        <d v="2025-10-04T00:00:00Z"/>
        <d v="2025-08-19T00:00:00Z"/>
        <d v="2025-11-30T00:00:00Z"/>
        <d v="2025-07-15T00:00:00Z"/>
        <d v="2025-12-02T00:00:00Z"/>
        <d v="2025-07-19T00:00:00Z"/>
        <d v="2025-10-08T00:00:00Z"/>
        <d v="2025-11-15T00:00:00Z"/>
        <d v="2025-12-27T00:00:00Z"/>
        <d v="2025-06-30T00:00:00Z"/>
        <d v="2025-11-27T00:00:00Z"/>
        <d v="2025-10-13T00:00:00Z"/>
        <d v="2025-08-14T00:00:00Z"/>
        <d v="2025-10-17T00:00:00Z"/>
        <d v="2025-07-22T00:00:00Z"/>
        <d v="2025-09-23T00:00:00Z"/>
        <d v="2025-09-08T00:00:00Z"/>
        <d v="2025-07-24T00:00:00Z"/>
        <d v="2025-12-10T00:00:00Z"/>
        <d v="2025-08-28T00:00:00Z"/>
        <d v="2025-10-02T00:00:00Z"/>
        <d v="2025-11-08T00:00:00Z"/>
        <d v="2025-08-26T00:00:00Z"/>
        <d v="2025-11-18T00:00:00Z"/>
        <d v="2025-08-09T00:00:00Z"/>
        <d v="2025-12-28T00:00:00Z"/>
        <d v="2025-12-12T00:00:00Z"/>
        <d v="2025-07-01T00:00:00Z"/>
        <d v="2025-07-26T00:00:00Z"/>
        <d v="2025-09-25T00:00:00Z"/>
        <d v="2025-06-29T00:00:00Z"/>
        <d v="2025-07-21T00:00:00Z"/>
        <d v="2025-08-15T00:00:00Z"/>
        <d v="2025-10-27T00:00:00Z"/>
        <d v="2025-12-18T00:00:00Z"/>
        <d v="2025-09-12T00:00:00Z"/>
        <d v="2025-12-09T00:00:00Z"/>
        <d v="2025-06-28T00:00:00Z"/>
        <d v="2025-08-31T00:00:00Z"/>
        <d v="2025-05-27T00:00:00Z"/>
        <d v="2025-01-28T00:00:00Z"/>
        <d v="2025-08-07T00:00:00Z"/>
        <d v="2025-07-03T00:00:00Z"/>
        <d v="2025-10-06T00:00:00Z"/>
        <d v="2025-08-12T00:00:00Z"/>
        <d v="2025-10-07T00:00:00Z"/>
        <d v="2025-11-17T00:00:00Z"/>
      </sharedItems>
    </cacheField>
    <cacheField name="T8" numFmtId="0">
      <sharedItems containsDate="1" containsString="0" containsBlank="1">
        <m/>
        <d v="2025-08-27T00:00:00Z"/>
        <d v="2025-09-22T00:00:00Z"/>
        <d v="2025-08-14T00:00:00Z"/>
        <d v="2025-10-29T00:00:00Z"/>
        <d v="2025-12-18T00:00:00Z"/>
        <d v="2025-10-18T00:00:00Z"/>
        <d v="2025-11-12T00:00:00Z"/>
        <d v="2025-12-17T00:00:00Z"/>
        <d v="2025-07-08T00:00:00Z"/>
        <d v="2025-08-09T00:00:00Z"/>
        <d v="2025-11-03T00:00:00Z"/>
        <d v="2025-01-21T00:00:00Z"/>
        <d v="2025-08-12T00:00:00Z"/>
        <d v="2025-06-12T00:00:00Z"/>
        <d v="2025-10-07T00:00:00Z"/>
        <d v="2025-10-19T00:00:00Z"/>
        <d v="2025-01-09T00:00:00Z"/>
        <d v="2025-12-04T00:00:00Z"/>
        <d v="2025-12-16T00:00:00Z"/>
        <d v="2025-01-07T00:00:00Z"/>
        <d v="2025-07-10T00:00:00Z"/>
        <d v="2025-10-04T00:00:00Z"/>
        <d v="2025-07-29T00:00:00Z"/>
        <d v="2025-08-04T00:00:00Z"/>
        <d v="2025-09-01T00:00:00Z"/>
        <d v="2025-10-16T00:00:00Z"/>
        <d v="2025-11-13T00:00:00Z"/>
        <d v="2025-12-23T00:00:00Z"/>
        <d v="2025-12-09T00:00:00Z"/>
        <d v="2025-01-03T00:00:00Z"/>
        <d v="2025-12-21T00:00:00Z"/>
        <d v="2025-07-21T00:00:00Z"/>
        <d v="2025-08-26T00:00:00Z"/>
        <d v="2025-10-02T00:00:00Z"/>
        <d v="2025-11-06T00:00:00Z"/>
        <d v="2025-10-22T00:00:00Z"/>
        <d v="2025-08-24T00:00:00Z"/>
        <d v="2025-12-03T00:00:00Z"/>
        <d v="2025-07-19T00:00:00Z"/>
        <d v="2025-07-23T00:00:00Z"/>
        <d v="2025-09-03T00:00:00Z"/>
        <d v="2025-10-11T00:00:00Z"/>
        <d v="2025-11-19T00:00:00Z"/>
        <d v="2025-12-29T00:00:00Z"/>
        <d v="2025-07-03T00:00:00Z"/>
        <d v="2025-10-15T00:00:00Z"/>
        <d v="2025-08-21T00:00:00Z"/>
        <d v="2025-10-26T00:00:00Z"/>
        <d v="2025-07-24T00:00:00Z"/>
        <d v="2025-09-29T00:00:00Z"/>
        <d v="2025-09-16T00:00:00Z"/>
        <d v="2025-08-30T00:00:00Z"/>
        <d v="2025-09-02T00:00:00Z"/>
        <d v="2025-11-25T00:00:00Z"/>
        <d v="2025-07-07T00:00:00Z"/>
        <d v="2025-08-11T00:00:00Z"/>
        <d v="2025-12-14T00:00:00Z"/>
        <d v="2025-11-04T00:00:00Z"/>
        <d v="2025-09-27T00:00:00Z"/>
        <d v="2025-10-28T00:00:00Z"/>
        <d v="2025-11-29T00:00:00Z"/>
        <d v="2025-06-30T00:00:00Z"/>
        <d v="2025-11-01T00:00:00Z"/>
        <d v="2025-12-20T00:00:00Z"/>
        <d v="2025-09-08T00:00:00Z"/>
        <d v="2025-10-30T00:00:00Z"/>
        <d v="2025-07-06T00:00:00Z"/>
        <d v="2025-07-26T00:00:00Z"/>
        <d v="2025-08-31T00:00:00Z"/>
        <d v="2025-11-15T00:00:00Z"/>
        <d v="2025-05-28T00:00:00Z"/>
        <d v="2025-02-05T00:00:00Z"/>
        <d v="2025-08-25T00:00:00Z"/>
        <d v="2025-10-09T00:00:00Z"/>
        <d v="2025-10-06T00:00:00Z"/>
        <d v="2025-11-24T00:00:00Z"/>
      </sharedItems>
    </cacheField>
    <cacheField name="T9" numFmtId="0">
      <sharedItems containsDate="1" containsString="0" containsBlank="1">
        <m/>
        <d v="2025-08-29T00:00:00Z"/>
        <d v="2025-09-24T00:00:00Z"/>
        <d v="2025-08-26T00:00:00Z"/>
        <d v="2025-11-06T00:00:00Z"/>
        <d v="2025-12-20T00:00:00Z"/>
        <d v="2025-10-22T00:00:00Z"/>
        <d v="2025-11-15T00:00:00Z"/>
        <d v="2025-07-10T00:00:00Z"/>
        <d v="2025-08-12T00:00:00Z"/>
        <d v="2025-11-04T00:00:00Z"/>
        <d v="2025-01-23T00:00:00Z"/>
        <d v="2025-08-14T00:00:00Z"/>
        <d v="2025-06-23T00:00:00Z"/>
        <d v="2025-10-11T00:00:00Z"/>
        <d v="2025-10-21T00:00:00Z"/>
        <d v="2025-09-29T00:00:00Z"/>
        <d v="2025-01-16T00:00:00Z"/>
        <d v="2025-12-09T00:00:00Z"/>
        <d v="2025-12-17T00:00:00Z"/>
        <d v="2025-07-17T00:00:00Z"/>
        <d v="2025-10-18T00:00:00Z"/>
        <d v="2025-07-31T00:00:00Z"/>
        <d v="2025-08-06T00:00:00Z"/>
        <d v="2025-09-02T00:00:00Z"/>
        <d v="2025-12-27T00:00:00Z"/>
        <d v="2025-12-24T00:00:00Z"/>
        <d v="2025-07-24T00:00:00Z"/>
        <d v="2025-09-01T00:00:00Z"/>
        <d v="2025-11-03T00:00:00Z"/>
        <d v="2025-11-10T00:00:00Z"/>
        <d v="2025-12-22T00:00:00Z"/>
        <d v="2025-10-25T00:00:00Z"/>
        <d v="2025-08-31T00:00:00Z"/>
        <d v="2025-12-06T00:00:00Z"/>
        <d v="2025-07-22T00:00:00Z"/>
        <d v="2025-07-26T00:00:00Z"/>
        <d v="2025-09-06T00:00:00Z"/>
        <d v="2025-10-15T00:00:00Z"/>
        <d v="2025-11-22T00:00:00Z"/>
        <d v="2025-07-14T00:00:00Z"/>
        <d v="2025-08-25T00:00:00Z"/>
        <d v="2025-12-11T00:00:00Z"/>
        <d v="2025-10-02T00:00:00Z"/>
        <d v="2025-12-19T00:00:00Z"/>
        <d v="2025-10-09T00:00:00Z"/>
        <d v="2025-11-20T00:00:00Z"/>
        <d v="2025-09-09T00:00:00Z"/>
        <d v="2025-07-09T00:00:00Z"/>
        <d v="2025-08-13T00:00:00Z"/>
        <d v="2025-11-11T00:00:00Z"/>
        <d v="2025-07-05T00:00:00Z"/>
        <d v="2025-08-05T00:00:00Z"/>
        <d v="2025-09-04T00:00:00Z"/>
        <d v="2025-10-30T00:00:00Z"/>
        <d v="2025-12-04T00:00:00Z"/>
        <d v="2025-07-02T00:00:00Z"/>
        <d v="2025-07-27T00:00:00Z"/>
        <d v="2025-12-23T00:00:00Z"/>
        <d v="2025-09-11T00:00:00Z"/>
        <d v="2025-11-01T00:00:00Z"/>
        <d v="2025-08-28T00:00:00Z"/>
        <d v="2025-07-01T00:00:00Z"/>
        <d v="2025-08-01T00:00:00Z"/>
        <d v="2025-09-07T00:00:00Z"/>
        <d v="2025-11-30T00:00:00Z"/>
        <d v="2025-05-28T00:00:00Z"/>
        <d v="2025-10-16T00:00:00Z"/>
        <d v="2025-08-19T00:00:00Z"/>
        <d v="2025-10-19T00:00:00Z"/>
        <d v="2025-10-13T00:00:00Z"/>
        <d v="2025-11-27T00:00:00Z"/>
      </sharedItems>
    </cacheField>
    <cacheField name="T10" numFmtId="0">
      <sharedItems containsDate="1" containsString="0" containsBlank="1">
        <m/>
        <d v="2025-09-02T00:00:00Z"/>
        <d v="2025-09-29T00:00:00Z"/>
        <d v="2025-09-06T00:00:00Z"/>
        <d v="2025-12-23T00:00:00Z"/>
        <d v="2025-11-17T00:00:00Z"/>
        <d v="2025-12-20T00:00:00Z"/>
        <d v="2025-07-12T00:00:00Z"/>
        <d v="2025-08-19T00:00:00Z"/>
        <d v="2025-11-05T00:00:00Z"/>
        <d v="2025-08-16T00:00:00Z"/>
        <d v="2025-07-15T00:00:00Z"/>
        <d v="2025-10-15T00:00:00Z"/>
        <d v="2025-10-21T00:00:00Z"/>
        <d v="2025-10-06T00:00:00Z"/>
        <d v="2025-11-11T00:00:00Z"/>
        <d v="2025-12-11T00:00:00Z"/>
        <d v="2025-07-19T00:00:00Z"/>
        <d v="2025-10-25T00:00:00Z"/>
        <d v="2025-08-02T00:00:00Z"/>
        <d v="2025-08-09T00:00:00Z"/>
        <d v="2025-10-23T00:00:00Z"/>
        <d v="2025-11-18T00:00:00Z"/>
        <d v="2025-12-29T00:00:00Z"/>
        <d v="2025-07-28T00:00:00Z"/>
        <d v="2025-09-04T00:00:00Z"/>
        <d v="2025-10-09T00:00:00Z"/>
        <d v="2025-10-27T00:00:00Z"/>
        <d v="2025-10-18T00:00:00Z"/>
        <d v="2025-09-10T00:00:00Z"/>
        <d v="2025-12-10T00:00:00Z"/>
        <d v="2025-07-26T00:00:00Z"/>
        <d v="2025-07-30T00:00:00Z"/>
        <d v="2025-10-22T00:00:00Z"/>
        <d v="2025-11-26T00:00:00Z"/>
        <d v="2025-07-17T00:00:00Z"/>
        <d v="2025-10-20T00:00:00Z"/>
        <d v="2025-12-14T00:00:00Z"/>
        <d v="2025-07-11T00:00:00Z"/>
        <d v="2025-08-01T00:00:00Z"/>
        <d v="2025-07-29T00:00:00Z"/>
        <d v="2025-10-11T00:00:00Z"/>
        <d v="2025-12-03T00:00:00Z"/>
        <d v="2025-08-28T00:00:00Z"/>
        <d v="2025-09-16T00:00:00Z"/>
        <d v="2025-12-16T00:00:00Z"/>
        <d v="2025-07-08T00:00:00Z"/>
        <d v="2025-12-19T00:00:00Z"/>
        <d v="2025-10-04T00:00:00Z"/>
        <d v="2025-11-01T00:00:00Z"/>
        <d v="2025-12-09T00:00:00Z"/>
        <d v="2025-07-04T00:00:00Z"/>
        <d v="2025-11-06T00:00:00Z"/>
        <d v="2025-12-27T00:00:00Z"/>
        <d v="2025-08-20T00:00:00Z"/>
        <d v="2025-09-18T00:00:00Z"/>
        <d v="2025-09-08T00:00:00Z"/>
        <d v="2025-12-24T00:00:00Z"/>
        <d v="2025-08-07T00:00:00Z"/>
        <d v="2025-10-26T00:00:00Z"/>
        <d v="2025-10-16T00:00:00Z"/>
        <d v="2025-12-01T00:00:00Z"/>
      </sharedItems>
    </cacheField>
    <cacheField name="LAST ACTIVE">
      <sharedItems containsDate="1" containsBlank="1" containsMixedTypes="1">
        <d v="2025-10-06T00:00:00Z"/>
        <d v="2025-09-02T00:00:00Z"/>
        <d v="2025-09-29T00:00:00Z"/>
        <d v="2025-09-08T00:00:00Z"/>
        <d v="2025-12-26T00:00:00Z"/>
        <d v="2025-01-28T00:00:00Z"/>
        <d v="2025-07-12T00:00:00Z"/>
        <d v="2025-07-07T00:00:00Z"/>
        <d v="2024-12-30T00:00:00Z"/>
        <d v="2025-11-11T00:00:00Z"/>
        <d v="2025-12-14T00:00:00Z"/>
        <d v="2024-11-20T00:00:00Z"/>
        <d v="2025-09-06T00:00:00Z"/>
        <d v="2025-12-16T00:00:00Z"/>
        <d v="2025-08-06T00:00:00Z"/>
        <d v="2025-08-13T00:00:00Z"/>
        <d v="2025-09-09T00:00:00Z"/>
        <d v="2025-10-04T00:00:00Z"/>
        <d v="2025-05-03T00:00:00Z"/>
        <d v="2025-02-04T00:00:00Z"/>
        <d v="2025-11-06T00:00:00Z"/>
        <d v="2025-07-31T00:00:00Z"/>
        <d v="2025-11-30T00:00:00Z"/>
        <d v="2025-12-23T00:00:00Z"/>
        <d v="2025-12-29T00:00:00Z"/>
        <d v="2025-10-22T00:00:00Z"/>
        <d v="2025-02-02T00:00:00Z"/>
        <d v="2025-11-29T00:00:00Z"/>
        <d v="2025-11-17T00:00:00Z"/>
        <d v="2025-08-16T00:00:00Z"/>
        <d v="2024-12-17T00:00:00Z"/>
        <d v="2025-11-08T00:00:00Z"/>
        <d v="2024-12-18T00:00:00Z"/>
        <d v="2025-08-22T00:00:00Z"/>
        <d v="2025-09-03T00:00:00Z"/>
        <d v="2025-12-20T00:00:00Z"/>
        <d v="2025-12-15T00:00:00Z"/>
        <d v="2025-12-27T00:00:00Z"/>
        <d v="2025-10-30T00:00:00Z"/>
        <d v="2025-04-08T00:00:00Z"/>
        <d v="2024-12-16T00:00:00Z"/>
        <d v="2025-08-19T00:00:00Z"/>
        <d v="2025-11-05T00:00:00Z"/>
        <d v="2025-11-18T00:00:00Z"/>
        <d v="2025-06-29T00:00:00Z"/>
        <d v="2025-01-23T00:00:00Z"/>
        <d v="2025-09-20T00:00:00Z"/>
        <d v="2025-10-07T00:00:00Z"/>
        <d v="2025-11-04T00:00:00Z"/>
        <d v="2025-12-10T00:00:00Z"/>
        <d v="2025-12-28T00:00:00Z"/>
        <d v="2025-11-15T00:00:00Z"/>
        <d v="2025-12-01T00:00:00Z"/>
        <d v="2025-12-24T00:00:00Z"/>
        <d v="2025-03-22T00:00:00Z"/>
        <d v="2025-12-18T00:00:00Z"/>
        <d v="2025-07-29T00:00:00Z"/>
        <d v="2025-06-16T00:00:00Z"/>
        <d v="2025-11-20T00:00:00Z"/>
        <d v="2025-12-05T00:00:00Z"/>
        <d v="2024-12-03T00:00:00Z"/>
        <d v="2025-08-07T00:00:00Z"/>
        <d v="2025-06-14T00:00:00Z"/>
        <d v="2025-07-15T00:00:00Z"/>
        <d v="2025-10-15T00:00:00Z"/>
        <d v="2024-12-07T00:00:00Z"/>
        <d v="2025-05-16T00:00:00Z"/>
        <d v="2025-11-19T00:00:00Z"/>
        <d v="2024-11-17T00:00:00Z"/>
        <d v="2025-06-24T00:00:00Z"/>
        <d v="2025-09-04T00:00:00Z"/>
        <d v="2025-09-18T00:00:00Z"/>
        <d v="2025-10-09T00:00:00Z"/>
        <d v="2025-09-13T00:00:00Z"/>
        <d v="2025-12-07T00:00:00Z"/>
        <d v="2025-10-25T00:00:00Z"/>
        <d v="2025-11-01T00:00:00Z"/>
        <d v="2025-11-16T00:00:00Z"/>
        <d v="2025-12-09T00:00:00Z"/>
        <d v="2025-11-28T00:00:00Z"/>
        <d v="2025-10-18T00:00:00Z"/>
        <d v="2025-12-11T00:00:00Z"/>
        <d v="2025-07-25T00:00:00Z"/>
        <d v="2025-09-07T00:00:00Z"/>
        <d v="2025-10-12T00:00:00Z"/>
        <d v="2025-10-21T00:00:00Z"/>
        <d v="2025-11-26T00:00:00Z"/>
        <d v="2025-12-13T00:00:00Z"/>
        <d v="2025-08-26T00:00:00Z"/>
        <d v="2025-08-14T00:00:00Z"/>
        <d v="2025-08-09T00:00:00Z"/>
        <d v="2024-11-14T00:00:00Z"/>
        <d v="2025-01-16T00:00:00Z"/>
        <d v="2025-01-18T00:00:00Z"/>
        <d v="2025-03-25T00:00:00Z"/>
        <d v="2024-11-21T00:00:00Z"/>
        <d v="2025-12-06T00:00:00Z"/>
        <d v="2025-10-08T00:00:00Z"/>
        <d v="2025-09-10T00:00:00Z"/>
        <d v="2025-01-22T00:00:00Z"/>
        <d v="2025-06-11T00:00:00Z"/>
        <d v="2025-03-15T00:00:00Z"/>
        <d v="2025-01-07T00:00:00Z"/>
        <d v="2025-12-17T00:00:00Z"/>
        <d v="2025-11-25T00:00:00Z"/>
        <d v="2025-08-31T00:00:00Z"/>
        <d v="2025-10-19T00:00:00Z"/>
        <d v="2025-11-02T00:00:00Z"/>
        <d v="2025-12-22T00:00:00Z"/>
        <d v="2025-04-19T00:00:00Z"/>
        <d v="2025-07-19T00:00:00Z"/>
        <d v="2024-11-25T00:00:00Z"/>
        <d v="2025-07-26T00:00:00Z"/>
        <d v="2025-12-03T00:00:00Z"/>
        <m/>
        <d v="2025-10-16T00:00:00Z"/>
        <d v="2025-07-01T00:00:00Z"/>
        <d v="2025-08-02T00:00:00Z"/>
        <d v="2025-08-30T00:00:00Z"/>
        <d v="2025-11-22T00:00:00Z"/>
        <d v="2025-10-23T00:00:00Z"/>
        <d v="2025-08-25T00:00:00Z"/>
        <d v="2024-12-19T00:00:00Z"/>
        <d v="2025-11-09T00:00:00Z"/>
        <d v="2025-09-25T00:00:00Z"/>
        <d v="2025-04-11T00:00:00Z"/>
        <d v="2024-12-28T00:00:00Z"/>
        <d v="2025-09-15T00:00:00Z"/>
        <d v="2025-09-22T00:00:00Z"/>
        <d v="2025-07-18T00:00:00Z"/>
        <d v="2025-11-27T00:00:00Z"/>
        <d v="2025-08-27T00:00:00Z"/>
        <d v="2025-07-02T00:00:00Z"/>
        <d v="2025-07-14T00:00:00Z"/>
        <d v="2025-10-02T00:00:00Z"/>
        <d v="2025-08-15T00:00:00Z"/>
        <d v="2025-07-10T00:00:00Z"/>
        <d v="2025-08-28T00:00:00Z"/>
        <d v="2024-12-20T00:00:00Z"/>
        <d v="2025-09-11T00:00:00Z"/>
        <d v="2025-10-28T00:00:00Z"/>
        <d v="2024-12-15T00:00:00Z"/>
        <d v="2025-07-21T00:00:00Z"/>
        <d v="2025-08-12T00:00:00Z"/>
        <d v="2025-09-14T00:00:00Z"/>
        <d v="2025-07-09T00:00:00Z"/>
        <d v="2025-07-24T00:00:00Z"/>
        <d v="2025-10-11T00:00:00Z"/>
        <d v="2024-12-14T00:00:00Z"/>
        <d v="2025-01-03T00:00:00Z"/>
        <d v="2025-12-25T00:00:00Z"/>
        <d v="2025-07-28T00:00:00Z"/>
        <d v="2025-11-03T00:00:00Z"/>
        <d v="2024-12-29T00:00:00Z"/>
        <d v="2025-08-03T00:00:00Z"/>
        <d v="2024-11-13T00:00:00Z"/>
        <d v="2025-10-14T00:00:00Z"/>
        <d v="2024-12-21T00:00:00Z"/>
        <d v="2025-08-21T00:00:00Z"/>
        <s v=""/>
        <d v="2025-10-27T00:00:00Z"/>
        <d v="2025-05-30T00:00:00Z"/>
        <d v="2025-04-17T00:00:00Z"/>
        <d v="2025-07-30T00:00:00Z"/>
        <d v="2025-08-04T00:00:00Z"/>
        <d v="2025-05-06T00:00:00Z"/>
        <d v="2025-05-28T00:00:00Z"/>
        <d v="2025-09-12T00:00:00Z"/>
        <d v="2025-12-02T00:00:00Z"/>
        <d v="2025-03-24T00:00:00Z"/>
        <d v="2025-09-21T00:00:00Z"/>
        <d v="2025-09-24T00:00:00Z"/>
        <d v="2025-03-09T00:00:00Z"/>
        <d v="2025-02-24T00:00:00Z"/>
        <d v="2025-10-17T00:00:00Z"/>
        <d v="2025-05-17T00:00:00Z"/>
        <d v="2025-02-03T00:00:00Z"/>
        <d v="2025-10-29T00:00:00Z"/>
        <d v="2024-11-19T00:00:00Z"/>
        <d v="2025-10-13T00:00:00Z"/>
        <d v="2025-10-24T00:00:00Z"/>
        <d v="2025-07-17T00:00:00Z"/>
        <d v="2025-03-08T00:00:00Z"/>
        <d v="2025-02-11T00:00:00Z"/>
        <d v="2025-06-09T00:00:00Z"/>
        <d v="2025-04-14T00:00:00Z"/>
        <d v="2025-10-20T00:00:00Z"/>
        <d v="2025-09-23T00:00:00Z"/>
        <d v="2025-09-17T00:00:00Z"/>
        <d v="2025-06-19T00:00:00Z"/>
        <d v="2025-07-03T00:00:00Z"/>
        <d v="2024-10-24T00:00:00Z"/>
        <d v="2025-09-27T00:00:00Z"/>
        <d v="2025-12-21T00:00:00Z"/>
        <d v="2025-12-04T00:00:00Z"/>
        <d v="2025-07-20T00:00:00Z"/>
        <d v="2025-07-05T00:00:00Z"/>
        <d v="2025-09-16T00:00:00Z"/>
        <d v="2025-02-25T00:00:00Z"/>
        <d v="2025-07-27T00:00:00Z"/>
        <d v="2025-05-23T00:00:00Z"/>
        <d v="2025-09-01T00:00:00Z"/>
        <d v="2025-12-19T00:00:00Z"/>
        <d v="2025-01-25T00:00:00Z"/>
        <d v="2025-06-21T00:00:00Z"/>
        <d v="2025-07-22T00:00:00Z"/>
        <d v="2025-10-05T00:00:00Z"/>
        <d v="2025-01-30T00:00:00Z"/>
        <d v="2025-06-15T00:00:00Z"/>
        <d v="2025-08-05T00:00:00Z"/>
        <d v="2024-12-23T00:00:00Z"/>
        <d v="2025-02-27T00:00:00Z"/>
        <d v="2025-07-08T00:00:00Z"/>
        <d v="2024-12-11T00:00:00Z"/>
        <d v="2025-03-19T00:00:00Z"/>
        <d v="2025-01-08T00:00:00Z"/>
        <d v="2025-11-07T00:00:00Z"/>
        <d v="2025-07-23T00:00:00Z"/>
        <d v="2025-02-08T00:00:00Z"/>
        <d v="2025-04-12T00:00:00Z"/>
        <d v="2025-11-10T00:00:00Z"/>
        <d v="2025-05-24T00:00:00Z"/>
        <d v="2025-06-17T00:00:00Z"/>
        <d v="2025-10-01T00:00:00Z"/>
        <d v="2025-12-12T00:00:00Z"/>
        <d v="2025-05-26T00:00:00Z"/>
        <d v="2025-05-27T00:00:00Z"/>
        <d v="2025-07-13T00:00:00Z"/>
        <d v="2025-09-19T00:00:00Z"/>
        <d v="2025-08-10T00:00:00Z"/>
        <d v="2025-07-06T00:00:00Z"/>
        <d v="2025-08-01T00:00:00Z"/>
        <d v="2024-12-09T00:00:00Z"/>
        <d v="2025-07-16T00:00:00Z"/>
        <d v="2025-02-05T00:00:00Z"/>
        <d v="2025-04-05T00:00:00Z"/>
        <d v="2024-11-30T00:00:00Z"/>
        <d v="2025-10-26T00:00:00Z"/>
        <d v="2025-02-01T00:00:00Z"/>
        <d v="2025-08-24T00:00:00Z"/>
        <d v="2025-11-14T00:00:00Z"/>
      </sharedItems>
    </cacheField>
    <cacheField name="STATUS PAKET" numFmtId="0">
      <sharedItems>
        <s v="OFF"/>
        <s v="ON"/>
      </sharedItems>
    </cacheField>
    <cacheField name="PAKET SELESAI" numFmtId="0">
      <sharedItems containsBlank="1">
        <s v="TIDAK LANJUT"/>
        <s v="LANJUT"/>
        <s v="SEMBUH"/>
        <m/>
        <s v="BELUM KONFIRMASI"/>
        <s v="STOP"/>
      </sharedItems>
    </cacheField>
    <cacheField name="KET. SELESAI" numFmtId="0">
      <sharedItems containsBlank="1">
        <s v="NANTI INFO "/>
        <m/>
        <s v="BALIK KAYOG"/>
        <s v="TIDAK ADA KONFIRMASI"/>
        <s v="MAU PULANG KAMPUNG"/>
        <s v="KALAU LANJUT NANTI WA"/>
        <s v="RENCANA LANJUT,  MAU KELUAR KOTA DULU"/>
        <s v="LIAT KONDISI DULU"/>
        <s v="FISIONYA BILANG SISA DIKIT. KONFIRM LANJUT PAKET/SESI"/>
        <s v="NANTI KONFIRMASI"/>
        <s v="JADWAL NANTI WA"/>
        <s v="NUNGGU SEMINGGU DULU BRU LANJUT"/>
        <s v="NANTI CHAT JADWALNYE"/>
        <s v="mau ke dokter dulu"/>
        <s v="OFF DULU LANJUT ABIS LIBURAN"/>
        <s v="LIHAT KONDISI DULU"/>
        <s v="1 MINGGU 1X TIAP HARI JUMAT"/>
        <s v="NANTI LANJUT TUNGGU KE PTK LAGI"/>
        <s v="MAU ISTIRAHAT DULU"/>
        <s v="LANJUT SESI AJA"/>
        <s v="NANTI INFO"/>
        <s v="MAU KE KL"/>
        <s v="KALAU LANJUT WA"/>
        <s v="KALAU MAU LANJU T NANTI INFO"/>
        <s v="NANTI KALAU LANJUT DI KABRI KEMBALI"/>
        <s v="NANTIINFO LAGI JIKA MAU TERAPI"/>
        <s v="NANTI KALAU MAU LANJUT CHAT"/>
        <s v="ADA KESIBUKAN"/>
        <s v="MAU KE DOKTER UNTUK RONSEN"/>
        <s v="RENCANA MAU LANJUT, NANTI DIKONFIRMASI"/>
        <s v="MAU LANJUT"/>
        <s v="PULANG KAMPUNG"/>
        <s v="NANTI AJA KLAU ADA KELUHAN "/>
        <s v="JADWAL TUNGGU PULANG DR JKT"/>
        <s v="BALIK KERJA"/>
        <s v="DINAS LUAR KOTA"/>
        <s v="RENCANA LANJUT HARI JUMAT TANGGAL 11 JULI 2025"/>
        <s v="LANJUT MINGGU 27 JUL"/>
        <s v="NANTI KALAU KE PTK BARU JADWALKAN LAGI"/>
        <s v="MAU KELUAR KOTA"/>
        <s v="MAU KONTROL KE DOKTER"/>
        <s v="HESTI: MAINTENANCE AJA"/>
        <s v="TIDAK ADA KETERANGAN"/>
        <s v="BEASISWA"/>
        <s v="MAU KE LUAR KOTA DULU"/>
        <s v="RENCANA LANJUT JUMAT 15 AGU 15.00 NADA"/>
        <s v="MAU KONSUL DOKTER TULANG DULU"/>
        <s v="klau lnjut wa"/>
        <s v="NANTI KALAU MAU TERAPI DIA INFO"/>
        <s v="MAU KE LN DULU"/>
        <s v="RENCANA LANJUT PER SESI 2 JAM, TAPI TUNGGU SELESAI KEGIATAN DULU"/>
        <s v="LANJUT JADWALNYA BULAN DEPAN"/>
        <s v="LANJUT HABS TAHUN BARU"/>
        <s v="RENCANA MAU LANJUT TAPI MAU KE LUAR KOTA DULU"/>
        <s v="MAU KE DOKTER"/>
        <s v="BIAYA"/>
        <s v="stop dulu"/>
        <s v="MAU KE LN"/>
        <s v="LANJUT BULAN DEPAN"/>
        <s v="LANJUT DI HARI SABTU"/>
        <s v="KALAU MAU LANJUT WA"/>
        <s v="RENCANA LANJUT"/>
        <s v="BELUM TAU. 1 SESI NDAK DI INPUT. NDAK SADAR PAKET DAH HABIS"/>
        <s v="NANTI DIKABARIN VIA WA"/>
        <s v="LIHAT KONDISI"/>
        <s v="MAU UMROH"/>
        <s v="KONFIRM BANG EDO DULU"/>
        <s v="SEMBUH"/>
        <s v="KALAU LANJUT NANTI MAU SESI"/>
        <s v="JIKA MAU LANJUT PUN NANTI ADA WHATSAPP"/>
        <s v="JADWAL MENYUSUL"/>
        <s v="LANJUT SESI"/>
        <s v="JADWAL TUNGGU KESINI LAGI"/>
        <s v="OFF DULU"/>
        <s v="PULANG KAMPUNG DULU"/>
        <s v="KATANYA MAU LANUT"/>
        <s v="JADWALNYA DI AWAL JANUARI"/>
        <s v="RENCANA LANJUT RABU 30 JUL"/>
        <s v="MAU KELUAR KOTA DULU"/>
        <s v="JADWALNYA AWAL JANUARI"/>
        <s v="LANJUTIN DULU DIRUMAH"/>
        <s v="SABTU 23 AGU 19.00 PRITY"/>
        <s v="ISTIRAHAT DULU"/>
        <s v="BELUM DULU"/>
        <s v="AMBIL JADWAL HARI RABU 16/07/2025"/>
        <s v="NANTI KALAU ADA KELUHAN BARU KEMBALI LAGI"/>
        <s v="NANTI WA KALAU MAU LANJUT"/>
        <s v="MAU LANJUT SETELAH PULANG DARI LUAR KOTA. NANTI DI WA KALAU SUDAH PULANG"/>
        <s v="REST DULU NANTI LANJUT LAGI"/>
        <s v="SESI"/>
        <s v="RABU 6 AGU 13.00 OKTA"/>
        <s v="NANTI KALAU SAKIT BRUJADWALKAN LAGI"/>
        <s v="KONSUL DOKTER DULU"/>
        <s v="BEASISWA BANG EDO"/>
        <s v="TANYA ORTU DULU"/>
        <s v="MAU LIAT PERKEMBANGAN DULU"/>
      </sharedItems>
    </cacheField>
    <cacheField name="TANGGAL SELESAI" numFmtId="172">
      <sharedItems containsDate="1" containsString="0" containsBlank="1">
        <d v="2025-10-06T00:00:00Z"/>
        <d v="2025-09-02T00:00:00Z"/>
        <d v="2025-09-29T00:00:00Z"/>
        <d v="2025-09-08T00:00:00Z"/>
        <d v="2025-12-26T00:00:00Z"/>
        <m/>
        <d v="2025-07-12T00:00:00Z"/>
        <d v="2025-07-07T00:00:00Z"/>
        <d v="2025-11-11T00:00:00Z"/>
        <d v="2025-12-14T00:00:00Z"/>
        <d v="2025-09-06T00:00:00Z"/>
        <d v="2025-08-06T00:00:00Z"/>
        <d v="2025-08-13T00:00:00Z"/>
        <d v="2025-09-09T00:00:00Z"/>
        <d v="2025-10-04T00:00:00Z"/>
        <d v="2025-11-30T00:00:00Z"/>
        <d v="2025-12-23T00:00:00Z"/>
        <d v="2025-11-29T00:00:00Z"/>
        <d v="2025-11-17T00:00:00Z"/>
        <d v="2025-08-16T00:00:00Z"/>
        <d v="2025-11-08T00:00:00Z"/>
        <d v="2025-08-22T00:00:00Z"/>
        <d v="2025-09-03T00:00:00Z"/>
        <d v="2025-12-20T00:00:00Z"/>
        <d v="2025-12-15T00:00:00Z"/>
        <d v="2025-12-27T00:00:00Z"/>
        <d v="2025-08-19T00:00:00Z"/>
        <d v="2025-11-05T00:00:00Z"/>
        <d v="2025-11-18T00:00:00Z"/>
        <d v="2025-09-20T00:00:00Z"/>
        <d v="2025-10-07T00:00:00Z"/>
        <d v="2025-11-04T00:00:00Z"/>
        <d v="2025-12-10T00:00:00Z"/>
        <d v="2025-11-15T00:00:00Z"/>
        <d v="2025-12-01T00:00:00Z"/>
        <d v="2025-12-18T00:00:00Z"/>
        <d v="2025-07-29T00:00:00Z"/>
        <d v="2025-11-20T00:00:00Z"/>
        <d v="2025-08-07T00:00:00Z"/>
        <d v="2025-07-15T00:00:00Z"/>
        <d v="2025-10-15T00:00:00Z"/>
        <d v="2025-11-06T00:00:00Z"/>
        <d v="2025-09-04T00:00:00Z"/>
        <d v="2025-09-18T00:00:00Z"/>
        <d v="2025-10-09T00:00:00Z"/>
        <d v="2025-09-13T00:00:00Z"/>
        <d v="2025-12-07T00:00:00Z"/>
        <d v="2025-10-25T00:00:00Z"/>
        <d v="2025-11-01T00:00:00Z"/>
        <d v="2025-11-16T00:00:00Z"/>
        <d v="2025-12-09T00:00:00Z"/>
        <d v="2025-11-28T00:00:00Z"/>
        <d v="2025-10-18T00:00:00Z"/>
        <d v="2025-12-11T00:00:00Z"/>
        <d v="2025-07-25T00:00:00Z"/>
        <d v="2025-09-07T00:00:00Z"/>
        <d v="2025-10-12T00:00:00Z"/>
        <d v="2025-12-28T00:00:00Z"/>
        <d v="2025-10-21T00:00:00Z"/>
        <d v="2025-11-26T00:00:00Z"/>
        <d v="2025-12-13T00:00:00Z"/>
        <d v="2025-08-26T00:00:00Z"/>
        <d v="2025-08-09T00:00:00Z"/>
        <d v="2025-12-06T00:00:00Z"/>
        <d v="2025-11-25T00:00:00Z"/>
        <d v="2025-08-31T00:00:00Z"/>
        <d v="2025-10-19T00:00:00Z"/>
        <d v="2025-11-02T00:00:00Z"/>
        <d v="2025-12-22T00:00:00Z"/>
        <d v="2025-07-19T00:00:00Z"/>
        <d v="2025-07-26T00:00:00Z"/>
        <d v="2025-07-01T00:00:00Z"/>
        <d v="2025-08-02T00:00:00Z"/>
        <d v="2025-08-30T00:00:00Z"/>
        <d v="2025-10-23T00:00:00Z"/>
        <d v="2025-10-30T00:00:00Z"/>
        <d v="2025-11-09T00:00:00Z"/>
        <d v="2025-09-25T00:00:00Z"/>
        <d v="2025-09-15T00:00:00Z"/>
        <d v="2025-07-18T00:00:00Z"/>
        <d v="2025-11-27T00:00:00Z"/>
        <d v="2025-08-27T00:00:00Z"/>
        <d v="2025-07-02T00:00:00Z"/>
        <d v="2025-07-14T00:00:00Z"/>
        <d v="2025-08-14T00:00:00Z"/>
        <d v="2025-10-02T00:00:00Z"/>
        <d v="2025-08-15T00:00:00Z"/>
        <d v="2025-06-29T00:00:00Z"/>
        <d v="2025-08-28T00:00:00Z"/>
        <d v="2025-09-11T00:00:00Z"/>
        <d v="2025-10-28T00:00:00Z"/>
        <d v="2025-08-12T00:00:00Z"/>
        <d v="2025-07-09T00:00:00Z"/>
        <d v="2025-07-24T00:00:00Z"/>
        <d v="2025-12-29T00:00:00Z"/>
        <d v="2025-07-28T00:00:00Z"/>
        <d v="2025-09-22T00:00:00Z"/>
        <d v="2025-10-14T00:00:00Z"/>
        <d v="2025-10-27T00:00:00Z"/>
        <d v="2025-08-04T00:00:00Z"/>
        <d v="2025-09-10T00:00:00Z"/>
        <d v="2025-12-02T00:00:00Z"/>
        <d v="2025-09-21T00:00:00Z"/>
        <d v="2025-07-10T00:00:00Z"/>
        <d v="2025-09-24T00:00:00Z"/>
        <d v="2025-10-16T00:00:00Z"/>
        <d v="2025-07-21T00:00:00Z"/>
        <d v="2025-10-29T00:00:00Z"/>
        <d v="2025-07-30T00:00:00Z"/>
        <d v="2025-10-22T00:00:00Z"/>
        <d v="2025-10-13T00:00:00Z"/>
        <d v="2025-07-17T00:00:00Z"/>
        <d v="2025-11-22T00:00:00Z"/>
        <d v="2025-10-20T00:00:00Z"/>
        <d v="2025-09-23T00:00:00Z"/>
        <d v="2025-12-24T00:00:00Z"/>
        <d v="2025-09-17T00:00:00Z"/>
        <d v="2025-07-03T00:00:00Z"/>
        <d v="2025-09-27T00:00:00Z"/>
        <d v="2025-10-11T00:00:00Z"/>
        <d v="2025-07-11T00:00:00Z"/>
        <d v="2025-08-01T00:00:00Z"/>
        <d v="2025-11-19T00:00:00Z"/>
        <d v="2025-07-27T00:00:00Z"/>
        <d v="2025-09-14T00:00:00Z"/>
        <d v="2025-12-03T00:00:00Z"/>
        <d v="2025-09-16T00:00:00Z"/>
        <d v="2025-12-16T00:00:00Z"/>
        <d v="2025-07-31T00:00:00Z"/>
        <d v="2025-07-08T00:00:00Z"/>
        <d v="2025-09-01T00:00:00Z"/>
        <d v="2025-10-05T00:00:00Z"/>
        <d v="2025-12-19T00:00:00Z"/>
        <d v="2025-08-03T00:00:00Z"/>
        <d v="2025-07-23T00:00:00Z"/>
        <d v="2025-07-05T00:00:00Z"/>
        <d v="2025-07-04T00:00:00Z"/>
        <d v="2025-11-10T00:00:00Z"/>
        <d v="2025-08-21T00:00:00Z"/>
        <d v="2025-06-17T00:00:00Z"/>
        <d v="2025-10-01T00:00:00Z"/>
        <d v="2025-12-12T00:00:00Z"/>
        <d v="2025-10-08T00:00:00Z"/>
        <d v="2025-08-20T00:00:00Z"/>
        <d v="2025-07-13T00:00:00Z"/>
        <d v="2025-09-19T00:00:00Z"/>
        <d v="2025-08-10T00:00:00Z"/>
        <d v="2025-07-16T00:00:00Z"/>
        <d v="2025-10-26T00:00:00Z"/>
        <d v="2025-08-24T00:00:00Z"/>
        <d v="2025-12-21T00:00:00Z"/>
      </sharedItems>
    </cacheField>
    <cacheField name="TAHUN SELESAI" numFmtId="174">
      <sharedItems containsBlank="1">
        <s v="2025"/>
        <s v=""/>
        <m/>
      </sharedItems>
    </cacheField>
    <cacheField name="BULAN SELESAI" numFmtId="174">
      <sharedItems containsBlank="1">
        <s v="10 Okt"/>
        <s v="09 Sep"/>
        <s v="12 Des"/>
        <s v=""/>
        <s v="07 Jul"/>
        <s v="11 Nov"/>
        <s v="08 Agu"/>
        <m/>
        <s v="06 Jun"/>
      </sharedItems>
    </cacheField>
    <cacheField name="HARI SELESAI" numFmtId="174">
      <sharedItems containsBlank="1">
        <s v="Sen"/>
        <s v="Sel"/>
        <s v="Jum"/>
        <s v=""/>
        <s v="Sab"/>
        <s v="Min"/>
        <s v="Rab"/>
        <s v="Kam"/>
        <m/>
      </sharedItems>
    </cacheField>
    <cacheField name="DURASI PAKET">
      <sharedItems containsBlank="1" containsMixedTypes="1" containsNumber="1" containsInteger="1">
        <n v="2.0"/>
        <n v="4.0"/>
        <n v="1.0"/>
        <n v="3.0"/>
        <s v=""/>
        <n v="5.0"/>
        <n v="80.0"/>
        <n v="83.0"/>
        <n v="43.0"/>
        <n v="29.0"/>
        <n v="61.0"/>
        <n v="74.0"/>
        <n v="37.0"/>
        <n v="46.0"/>
        <n v="24.0"/>
        <n v="39.0"/>
        <n v="71.0"/>
        <n v="90.0"/>
        <n v="78.0"/>
        <n v="25.0"/>
        <n v="33.0"/>
        <n v="66.0"/>
        <n v="82.0"/>
        <n v="73.0"/>
        <n v="56.0"/>
        <n v="77.0"/>
        <n v="42.0"/>
        <n v="26.0"/>
        <n v="64.0"/>
        <n v="54.0"/>
        <n v="63.0"/>
        <n v="58.0"/>
        <n v="9.0"/>
        <n v="13.0"/>
        <n v="57.0"/>
        <n v="30.0"/>
        <n v="52.0"/>
        <n v="6.0"/>
        <n v="65.0"/>
        <n v="35.0"/>
        <n v="72.0"/>
        <n v="27.0"/>
        <n v="53.0"/>
        <n v="28.0"/>
        <n v="81.0"/>
        <n v="8.0"/>
        <n v="79.0"/>
        <m/>
        <n v="7.0"/>
        <n v="49.0"/>
        <n v="48.0"/>
        <n v="16.0"/>
        <n v="62.0"/>
        <n v="32.0"/>
        <n v="50.0"/>
        <n v="51.0"/>
        <n v="40.0"/>
        <n v="38.0"/>
        <n v="76.0"/>
        <n v="87.0"/>
        <n v="36.0"/>
        <n v="45.0"/>
        <n v="11.0"/>
        <n v="67.0"/>
        <n v="47.0"/>
        <n v="70.0"/>
        <n v="34.0"/>
        <n v="10.0"/>
        <n v="12.0"/>
        <n v="85.0"/>
        <n v="0.0"/>
        <n v="-5.0"/>
        <n v="55.0"/>
        <n v="31.0"/>
        <n v="41.0"/>
        <n v="14.0"/>
        <n v="-2.0"/>
        <n v="-3.0"/>
        <n v="69.0"/>
        <n v="17.0"/>
        <n v="-4.0"/>
        <n v="15.0"/>
        <n v="4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 Table 176" cacheId="0" dataCaption="" compact="0" compactData="0">
  <location ref="A3:D10" firstHeaderRow="0" firstDataRow="1" firstDataCol="1" rowPageCount="1" colPageCount="1"/>
  <pivotFields>
    <pivotField name="TANGGAL" axis="axisPage" compact="0" numFmtId="173"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x="30"/>
        <item x="31"/>
        <item x="32"/>
        <item x="33"/>
        <item x="34"/>
        <item x="35"/>
        <item x="36"/>
        <item x="37"/>
        <item x="38"/>
        <item x="39"/>
        <item x="40"/>
        <item x="41"/>
        <item x="42"/>
        <item x="43"/>
        <item x="44"/>
        <item x="45"/>
        <item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t="default"/>
      </items>
    </pivotField>
    <pivotField name="TAHUN" compact="0" numFmtId="164" outline="0" multipleItemSelectionAllowed="1" showAll="0">
      <items>
        <item x="0"/>
        <item x="1"/>
        <item x="2"/>
        <item t="default"/>
      </items>
    </pivotField>
    <pivotField name="BULAN" axis="axisCol" compact="0" numFmtId="164" outline="0" multipleItemSelectionAllowed="1" showAll="0" sortType="ascending">
      <items>
        <item x="3"/>
        <item x="0"/>
        <item x="1"/>
        <item x="2"/>
        <item t="default"/>
      </items>
    </pivotField>
    <pivotField name="HARI" compact="0" numFmtId="164" outline="0" multipleItemSelectionAllowed="1" showAll="0">
      <items>
        <item x="0"/>
        <item x="1"/>
        <item x="2"/>
        <item x="3"/>
        <item x="4"/>
        <item x="5"/>
        <item x="6"/>
        <item x="7"/>
        <item t="default"/>
      </items>
    </pivotField>
    <pivotField name="SHIFT" compact="0" outline="0" multipleItemSelectionAllowed="1" showAll="0">
      <items>
        <item x="0"/>
        <item x="1"/>
        <item x="2"/>
        <item t="default"/>
      </items>
    </pivotField>
    <pivotField name="TIM" compact="0" outline="0" multipleItemSelectionAllowed="1" showAll="0">
      <items>
        <item x="0"/>
        <item x="1"/>
        <item x="2"/>
        <item x="3"/>
        <item x="4"/>
        <item t="default"/>
      </items>
    </pivotField>
    <pivotField name="NAMA PASIE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axis="axisRow" compact="0" outline="0" multipleItemSelectionAllowed="1" showAll="0" sortType="ascending">
      <items>
        <item x="5"/>
        <item x="3"/>
        <item x="2"/>
        <item x="1"/>
        <item x="0"/>
        <item x="4"/>
        <item t="default"/>
      </items>
    </pivotField>
    <pivotField name="ADMIN" compact="0" outline="0" multipleItemSelectionAllowed="1" showAll="0">
      <items>
        <item x="0"/>
        <item x="1"/>
        <item x="2"/>
        <item x="3"/>
        <item t="default"/>
      </items>
    </pivotField>
    <pivotField name="FISIO" compact="0" outline="0" multipleItemSelectionAllowed="1" showAll="0">
      <items>
        <item x="0"/>
        <item x="1"/>
        <item x="2"/>
        <item x="3"/>
        <item x="4"/>
        <item x="5"/>
        <item x="6"/>
        <item x="7"/>
        <item x="8"/>
        <item x="9"/>
        <item x="10"/>
        <item x="11"/>
        <item t="default"/>
      </items>
    </pivotField>
    <pivotField name="STATUS" compact="0" outline="0" multipleItemSelectionAllowed="1" showAll="0">
      <items>
        <item x="0"/>
        <item x="1"/>
        <item x="2"/>
        <item x="3"/>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15"/>
  </rowFields>
  <colFields>
    <field x="2"/>
  </colFields>
  <pageFields>
    <pageField fld="0"/>
  </pageFields>
  <dataFields>
    <dataField name="COUNTA of NAMA PASIEN" fld="6" subtotal="count" showDataAs="percentOfCol" baseField="0" numFmtId="10"/>
  </dataFields>
</pivotTableDefinition>
</file>

<file path=xl/pivotTables/pivotTable2.xml><?xml version="1.0" encoding="utf-8"?>
<pivotTableDefinition xmlns="http://schemas.openxmlformats.org/spreadsheetml/2006/main" name="✅ Validasi" cacheId="1" dataCaption="" compact="0" compactData="0">
  <location ref="B10:C12" firstHeaderRow="0" firstDataRow="1" firstDataCol="1" rowPageCount="1" colPageCount="1"/>
  <pivotFields>
    <pivotField name="SHIFT" compact="0" outline="0" multipleItemSelectionAllowed="1" showAll="0">
      <items>
        <item x="0"/>
        <item x="1"/>
        <item t="default"/>
      </items>
    </pivotField>
    <pivotField name="TIM" compact="0" outline="0" multipleItemSelectionAllowed="1" showAll="0">
      <items>
        <item x="0"/>
        <item x="1"/>
        <item x="2"/>
        <item x="3"/>
        <item t="default"/>
      </items>
    </pivotField>
    <pivotField name="ADMIN" compact="0" outline="0" multipleItemSelectionAllowed="1" showAll="0">
      <items>
        <item x="0"/>
        <item x="1"/>
        <item x="2"/>
        <item t="default"/>
      </items>
    </pivotField>
    <pivotField name="TANGGAL" axis="axisRow" compact="0" numFmtId="173"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TAHUN" compact="0" outline="0" multipleItemSelectionAllowed="1" showAll="0">
      <items>
        <item x="0"/>
        <item t="default"/>
      </items>
    </pivotField>
    <pivotField name="BULAN" compact="0" outline="0" multipleItemSelectionAllowed="1" showAll="0">
      <items>
        <item x="0"/>
        <item x="1"/>
        <item x="2"/>
        <item t="default"/>
      </items>
    </pivotField>
    <pivotField name="HARI" compact="0" outline="0" multipleItemSelectionAllowed="1" showAll="0">
      <items>
        <item x="0"/>
        <item x="1"/>
        <item x="2"/>
        <item x="3"/>
        <item x="4"/>
        <item x="5"/>
        <item x="6"/>
        <item t="default"/>
      </items>
    </pivotField>
    <pivotField name="JAM" compact="0" outline="0" multipleItemSelectionAllowed="1" showAll="0">
      <items>
        <item x="0"/>
        <item x="1"/>
        <item x="2"/>
        <item x="3"/>
        <item x="4"/>
        <item x="5"/>
        <item x="6"/>
        <item x="7"/>
        <item x="8"/>
        <item x="9"/>
        <item t="default"/>
      </items>
    </pivotField>
    <pivotField name="FISIO" compact="0" outline="0" multipleItemSelectionAllowed="1" showAll="0">
      <items>
        <item x="0"/>
        <item x="1"/>
        <item x="2"/>
        <item x="3"/>
        <item x="4"/>
        <item x="5"/>
        <item x="6"/>
        <item x="7"/>
        <item x="8"/>
        <item x="9"/>
        <item x="10"/>
        <item t="default"/>
      </items>
    </pivotField>
    <pivotField name="LAYANAN" axis="axisCol" dataField="1" compact="0" outline="0" multipleItemSelectionAllowed="1" showAll="0" sortType="ascending">
      <items>
        <item x="1"/>
        <item x="3"/>
        <item x="2"/>
        <item x="0"/>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JENIS KELAMIN" compact="0" outline="0" multipleItemSelectionAllowed="1" showAll="0">
      <items>
        <item x="0"/>
        <item x="1"/>
        <item x="2"/>
        <item t="default"/>
      </items>
    </pivotField>
    <pivotField name="AGAMA" compact="0" outline="0" multipleItemSelectionAllowed="1" showAll="0">
      <items>
        <item x="0"/>
        <item x="1"/>
        <item x="2"/>
        <item x="3"/>
        <item x="4"/>
        <item x="5"/>
        <item x="6"/>
        <item x="7"/>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HOBI/AKTIVITAS SEHARI-HAR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t="default"/>
      </items>
    </pivotField>
    <pivotField name="KEHADIRAN" axis="axisPage" compact="0" outline="0" multipleItemSelectionAllowed="1" showAll="0">
      <items>
        <item x="0"/>
        <item h="1" x="1"/>
        <item t="default"/>
      </items>
    </pivotField>
    <pivotField name="NO. SESI" compact="0" outline="0" multipleItemSelectionAllowed="1" showAll="0">
      <items>
        <item x="0"/>
        <item x="1"/>
        <item x="2"/>
        <item x="3"/>
        <item x="4"/>
        <item x="5"/>
        <item x="6"/>
        <item x="7"/>
        <item x="8"/>
        <item x="9"/>
        <item x="10"/>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 compact="0" outline="0" multipleItemSelectionAllowed="1" showAll="0">
      <items>
        <item x="0"/>
        <item t="default"/>
      </items>
    </pivotField>
    <pivotField name="CATATAN AD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s>
  <rowFields>
    <field x="3"/>
  </rowFields>
  <colFields>
    <field x="9"/>
  </colFields>
  <pageFields>
    <pageField fld="18"/>
  </pageFields>
  <dataFields>
    <dataField name="COUNTA of LAYANAN" fld="9" subtotal="count" baseField="0"/>
  </dataFields>
</pivotTableDefinition>
</file>

<file path=xl/pivotTables/pivotTable3.xml><?xml version="1.0" encoding="utf-8"?>
<pivotTableDefinition xmlns="http://schemas.openxmlformats.org/spreadsheetml/2006/main" name="✅ Validasi 2" cacheId="0" dataCaption="" compact="0" compactData="0">
  <location ref="J10:N16" firstHeaderRow="0" firstDataRow="1" firstDataCol="1"/>
  <pivotFields>
    <pivotField name="TANGGAL" axis="axisRow" compact="0" numFmtId="173" outline="0" multipleItemSelectionAllowed="1" showAll="0" sortType="ascending">
      <items>
        <item x="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compact="0" outline="0" multipleItemSelectionAllowed="1" showAll="0">
      <items>
        <item x="0"/>
        <item x="1"/>
        <item x="2"/>
        <item t="default"/>
      </items>
    </pivotField>
    <pivotField name="TIM" compact="0" outline="0" multipleItemSelectionAllowed="1" showAll="0">
      <items>
        <item x="0"/>
        <item x="1"/>
        <item x="2"/>
        <item x="3"/>
        <item x="4"/>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compact="0" outline="0" multipleItemSelectionAllowed="1" showAll="0">
      <items>
        <item x="0"/>
        <item x="1"/>
        <item x="2"/>
        <item x="3"/>
        <item x="4"/>
        <item x="5"/>
        <item x="6"/>
        <item x="7"/>
        <item x="8"/>
        <item x="9"/>
        <item x="10"/>
        <item x="11"/>
        <item t="default"/>
      </items>
    </pivotField>
    <pivotField name="STATUS" axis="axisCol" dataField="1" compact="0" outline="0" multipleItemSelectionAllowed="1" showAll="0" sortType="ascending">
      <items>
        <item x="3"/>
        <item x="1"/>
        <item x="0"/>
        <item x="2"/>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0"/>
  </rowFields>
  <colFields>
    <field x="18"/>
  </colFields>
  <dataFields>
    <dataField name="COUNTA of STATUS" fld="18" subtotal="count" baseField="0"/>
  </dataFields>
</pivotTableDefinition>
</file>

<file path=xl/pivotTables/pivotTable4.xml><?xml version="1.0" encoding="utf-8"?>
<pivotTableDefinition xmlns="http://schemas.openxmlformats.org/spreadsheetml/2006/main" name="✅ Validasi 3" cacheId="2" dataCaption="" compact="0" compactData="0">
  <location ref="R10:U17" firstHeaderRow="0" firstDataRow="1" firstDataCol="1"/>
  <pivotFields>
    <pivotField name="ADMIN" compact="0" outline="0" multipleItemSelectionAllowed="1" showAll="0">
      <items>
        <item x="0"/>
        <item x="1"/>
        <item x="2"/>
        <item x="3"/>
        <item x="4"/>
        <item x="5"/>
        <item t="default"/>
      </items>
    </pivotField>
    <pivotField name="PEMBAYARAN" compact="0" outline="0" multipleItemSelectionAllowed="1" showAll="0">
      <items>
        <item x="0"/>
        <item x="1"/>
        <item x="2"/>
        <item x="3"/>
        <item x="4"/>
        <item t="default"/>
      </items>
    </pivotField>
    <pivotField name="TANGGAL" axis="axisRow" compact="0" numFmtId="173" outline="0" multipleItemSelectionAllowed="1" showAll="0" sortType="ascending">
      <items>
        <item x="164"/>
        <item x="26"/>
        <item x="202"/>
        <item x="93"/>
        <item x="209"/>
        <item x="11"/>
        <item x="39"/>
        <item x="98"/>
        <item x="12"/>
        <item x="109"/>
        <item x="69"/>
        <item x="122"/>
        <item x="191"/>
        <item x="128"/>
        <item x="246"/>
        <item x="160"/>
        <item x="45"/>
        <item x="253"/>
        <item x="62"/>
        <item x="230"/>
        <item x="94"/>
        <item x="138"/>
        <item x="58"/>
        <item x="29"/>
        <item x="153"/>
        <item x="250"/>
        <item x="243"/>
        <item x="148"/>
        <item x="139"/>
        <item x="47"/>
        <item x="31"/>
        <item x="106"/>
        <item x="157"/>
        <item x="226"/>
        <item x="8"/>
        <item x="20"/>
        <item x="96"/>
        <item x="188"/>
        <item x="187"/>
        <item x="103"/>
        <item x="216"/>
        <item x="5"/>
        <item x="235"/>
        <item x="210"/>
        <item x="182"/>
        <item x="228"/>
        <item x="175"/>
        <item x="180"/>
        <item x="37"/>
        <item x="195"/>
        <item x="105"/>
        <item x="97"/>
        <item x="168"/>
        <item x="231"/>
        <item x="57"/>
        <item x="60"/>
        <item x="251"/>
        <item x="142"/>
        <item x="88"/>
        <item x="115"/>
        <item x="197"/>
        <item x="19"/>
        <item x="64"/>
        <item x="170"/>
        <item x="196"/>
        <item x="166"/>
        <item x="66"/>
        <item x="184"/>
        <item x="174"/>
        <item x="239"/>
        <item x="46"/>
        <item x="244"/>
        <item x="254"/>
        <item x="213"/>
        <item x="249"/>
        <item x="176"/>
        <item x="92"/>
        <item x="224"/>
        <item x="221"/>
        <item x="211"/>
        <item x="6"/>
        <item x="219"/>
        <item x="241"/>
        <item x="152"/>
        <item x="220"/>
        <item x="70"/>
        <item x="130"/>
        <item x="172"/>
        <item x="167"/>
        <item x="123"/>
        <item x="248"/>
        <item x="40"/>
        <item x="208"/>
        <item x="245"/>
        <item x="149"/>
        <item x="163"/>
        <item x="156"/>
        <item x="7"/>
        <item x="233"/>
        <item x="14"/>
        <item x="173"/>
        <item x="222"/>
        <item x="150"/>
        <item x="145"/>
        <item x="161"/>
        <item x="137"/>
        <item x="236"/>
        <item x="194"/>
        <item x="178"/>
        <item x="205"/>
        <item x="15"/>
        <item x="223"/>
        <item x="135"/>
        <item x="41"/>
        <item x="59"/>
        <item x="227"/>
        <item x="89"/>
        <item x="212"/>
        <item x="16"/>
        <item x="65"/>
        <item x="189"/>
        <item x="207"/>
        <item x="21"/>
        <item x="63"/>
        <item x="225"/>
        <item x="48"/>
        <item x="165"/>
        <item x="116"/>
        <item x="256"/>
        <item x="80"/>
        <item x="132"/>
        <item x="124"/>
        <item x="1"/>
        <item x="28"/>
        <item x="169"/>
        <item x="238"/>
        <item x="32"/>
        <item x="17"/>
        <item x="171"/>
        <item x="146"/>
        <item x="186"/>
        <item x="110"/>
        <item x="53"/>
        <item x="133"/>
        <item x="232"/>
        <item x="118"/>
        <item x="215"/>
        <item x="33"/>
        <item x="90"/>
        <item x="144"/>
        <item x="206"/>
        <item x="18"/>
        <item x="151"/>
        <item x="3"/>
        <item x="2"/>
        <item x="73"/>
        <item x="143"/>
        <item x="71"/>
        <item x="177"/>
        <item x="154"/>
        <item x="237"/>
        <item x="136"/>
        <item x="49"/>
        <item x="25"/>
        <item x="179"/>
        <item x="81"/>
        <item x="204"/>
        <item x="125"/>
        <item x="147"/>
        <item x="131"/>
        <item x="183"/>
        <item x="190"/>
        <item x="200"/>
        <item x="217"/>
        <item x="50"/>
        <item x="141"/>
        <item x="162"/>
        <item x="198"/>
        <item x="0"/>
        <item x="72"/>
        <item x="78"/>
        <item x="111"/>
        <item x="120"/>
        <item x="159"/>
        <item x="83"/>
        <item x="67"/>
        <item x="101"/>
        <item x="91"/>
        <item x="82"/>
        <item x="112"/>
        <item x="229"/>
        <item x="51"/>
        <item x="9"/>
        <item x="84"/>
        <item x="218"/>
        <item x="42"/>
        <item x="113"/>
        <item x="27"/>
        <item x="121"/>
        <item x="36"/>
        <item x="61"/>
        <item x="192"/>
        <item x="85"/>
        <item x="54"/>
        <item x="30"/>
        <item x="95"/>
        <item x="75"/>
        <item x="108"/>
        <item x="114"/>
        <item x="43"/>
        <item x="155"/>
        <item x="127"/>
        <item x="86"/>
        <item x="214"/>
        <item x="52"/>
        <item x="68"/>
        <item x="234"/>
        <item x="44"/>
        <item x="55"/>
        <item x="10"/>
        <item x="247"/>
        <item x="76"/>
        <item x="126"/>
        <item x="22"/>
        <item x="99"/>
        <item x="134"/>
        <item x="13"/>
        <item x="242"/>
        <item x="107"/>
        <item x="117"/>
        <item x="252"/>
        <item x="77"/>
        <item x="23"/>
        <item x="240"/>
        <item x="34"/>
        <item x="38"/>
        <item x="203"/>
        <item x="104"/>
        <item x="201"/>
        <item x="185"/>
        <item x="4"/>
        <item x="74"/>
        <item x="56"/>
        <item x="129"/>
        <item x="102"/>
        <item x="87"/>
        <item x="35"/>
        <item x="181"/>
        <item x="119"/>
        <item x="193"/>
        <item x="24"/>
        <item x="79"/>
        <item x="158"/>
        <item x="140"/>
        <item x="255"/>
        <item x="199"/>
        <item x="100"/>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x="4"/>
        <item x="5"/>
        <item x="6"/>
        <item x="7"/>
        <item x="8"/>
        <item x="9"/>
        <item x="10"/>
        <item x="11"/>
        <item x="12"/>
        <item t="default"/>
      </items>
    </pivotField>
    <pivotField name="HARI" compact="0" numFmtId="164" outline="0" multipleItemSelectionAllowed="1" showAll="0">
      <items>
        <item x="0"/>
        <item x="1"/>
        <item x="2"/>
        <item x="3"/>
        <item x="4"/>
        <item x="5"/>
        <item x="6"/>
        <item x="7"/>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FISIO" compact="0" outline="0" multipleItemSelectionAllowed="1" showAll="0">
      <items>
        <item x="0"/>
        <item x="1"/>
        <item x="2"/>
        <item x="3"/>
        <item x="4"/>
        <item x="5"/>
        <item x="6"/>
        <item x="7"/>
        <item x="8"/>
        <item x="9"/>
        <item x="10"/>
        <item x="11"/>
        <item x="12"/>
        <item x="13"/>
        <item x="14"/>
        <item x="15"/>
        <item t="default"/>
      </items>
    </pivotField>
    <pivotField name="TIM" compact="0" outline="0" multipleItemSelectionAllowed="1" showAll="0">
      <items>
        <item x="0"/>
        <item x="1"/>
        <item x="2"/>
        <item x="3"/>
        <item x="4"/>
        <item t="default"/>
      </items>
    </pivotField>
    <pivotField name="JENIS PAKET" axis="axisCol" dataField="1" compact="0" outline="0" multipleItemSelectionAllowed="1" showAll="0" sortType="ascending">
      <items>
        <item x="0"/>
        <item x="1"/>
        <item t="default"/>
      </items>
    </pivotField>
    <pivotField name="MULAI PAKET" compact="0" outline="0" multipleItemSelectionAllowed="1" showAll="0">
      <items>
        <item x="0"/>
        <item x="1"/>
        <item t="default"/>
      </items>
    </pivotField>
    <pivotField name="NO. SESI" compact="0" outline="0" multipleItemSelectionAllowed="1" showAll="0">
      <items>
        <item x="0"/>
        <item x="1"/>
        <item x="2"/>
        <item x="3"/>
        <item x="4"/>
        <item x="5"/>
        <item x="6"/>
        <item x="7"/>
        <item x="8"/>
        <item x="9"/>
        <item x="10"/>
        <item t="default"/>
      </items>
    </pivotField>
    <pivotField name="T1" compact="0" numFmtId="17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name="T2" compact="0" numFmtId="17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T3" compact="0" numFmtId="17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T4" compact="0" numFmtId="17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name="T5" compact="0" numFmtId="17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T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T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T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T9"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T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LAST ACTI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STATUS PAKET" compact="0" outline="0" multipleItemSelectionAllowed="1" showAll="0">
      <items>
        <item x="0"/>
        <item x="1"/>
        <item t="default"/>
      </items>
    </pivotField>
    <pivotField name="PAKET SELESAI" compact="0" outline="0" multipleItemSelectionAllowed="1" showAll="0">
      <items>
        <item x="0"/>
        <item x="1"/>
        <item x="2"/>
        <item x="3"/>
        <item x="4"/>
        <item x="5"/>
        <item t="default"/>
      </items>
    </pivotField>
    <pivotField name="KET. SELES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TANGGAL SELESAI" compact="0" numFmtId="17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TAHUN SELESAI" compact="0" numFmtId="174" outline="0" multipleItemSelectionAllowed="1" showAll="0">
      <items>
        <item x="0"/>
        <item x="1"/>
        <item x="2"/>
        <item t="default"/>
      </items>
    </pivotField>
    <pivotField name="BULAN SELESAI" compact="0" numFmtId="174" outline="0" multipleItemSelectionAllowed="1" showAll="0">
      <items>
        <item x="0"/>
        <item x="1"/>
        <item x="2"/>
        <item x="3"/>
        <item x="4"/>
        <item x="5"/>
        <item x="6"/>
        <item x="7"/>
        <item x="8"/>
        <item t="default"/>
      </items>
    </pivotField>
    <pivotField name="HARI SELESAI" compact="0" numFmtId="174" outline="0" multipleItemSelectionAllowed="1" showAll="0">
      <items>
        <item x="0"/>
        <item x="1"/>
        <item x="2"/>
        <item x="3"/>
        <item x="4"/>
        <item x="5"/>
        <item x="6"/>
        <item x="7"/>
        <item x="8"/>
        <item t="default"/>
      </items>
    </pivotField>
    <pivotField name="DURASI PA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s>
  <rowFields>
    <field x="2"/>
  </rowFields>
  <colFields>
    <field x="12"/>
  </colFields>
  <dataFields>
    <dataField name="COUNTA of JENIS PAKET" fld="12" subtotal="count" baseField="0"/>
  </dataFields>
</pivotTableDefinition>
</file>

<file path=xl/pivotTables/pivotTable5.xml><?xml version="1.0" encoding="utf-8"?>
<pivotTableDefinition xmlns="http://schemas.openxmlformats.org/spreadsheetml/2006/main" name="Analisis TA" cacheId="0" dataCaption="" compact="0" compactData="0">
  <location ref="Z10:AA12" firstHeaderRow="0" firstDataRow="1" firstDataCol="1" rowPageCount="1" colPageCount="1"/>
  <pivotFields>
    <pivotField name="TANGGAL" axis="axisPage" compact="0" numFmtId="17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compact="0" outline="0" multipleItemSelectionAllowed="1" showAll="0">
      <items>
        <item x="0"/>
        <item x="1"/>
        <item x="2"/>
        <item t="default"/>
      </items>
    </pivotField>
    <pivotField name="TIM" compact="0" outline="0" multipleItemSelectionAllowed="1" showAll="0">
      <items>
        <item x="0"/>
        <item x="1"/>
        <item x="2"/>
        <item x="3"/>
        <item x="4"/>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axis="axisRow" compact="0" outline="0" multipleItemSelectionAllowed="1" showAll="0" sortType="ascending">
      <items>
        <item x="11"/>
        <item h="1" x="9"/>
        <item h="1" x="8"/>
        <item h="1" x="10"/>
        <item x="7"/>
        <item h="1" x="2"/>
        <item x="5"/>
        <item x="4"/>
        <item x="0"/>
        <item x="3"/>
        <item x="6"/>
        <item x="1"/>
        <item t="default"/>
      </items>
    </pivotField>
    <pivotField name="STATUS" axis="axisCol" dataField="1" compact="0" outline="0" multipleItemSelectionAllowed="1" showAll="0" sortType="ascending">
      <items>
        <item x="3"/>
        <item x="1"/>
        <item x="0"/>
        <item x="2"/>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17"/>
  </rowFields>
  <colFields>
    <field x="18"/>
  </colFields>
  <pageFields>
    <pageField fld="0"/>
  </pageFields>
  <dataFields>
    <dataField name="MG 4" fld="18" subtotal="count" showDataAs="percentOfRow" baseField="0" numFmtId="10"/>
  </dataFields>
</pivotTableDefinition>
</file>

<file path=xl/pivotTables/pivotTable6.xml><?xml version="1.0" encoding="utf-8"?>
<pivotTableDefinition xmlns="http://schemas.openxmlformats.org/spreadsheetml/2006/main" name="Analisis TA 2" cacheId="0" dataCaption="" compact="0" compactData="0">
  <location ref="AF10:AG12" firstHeaderRow="0" firstDataRow="1" firstDataCol="1" rowPageCount="1" colPageCount="1"/>
  <pivotFields>
    <pivotField name="TANGGAL" axis="axisPage" compact="0" numFmtId="17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compact="0" outline="0" multipleItemSelectionAllowed="1" showAll="0">
      <items>
        <item x="0"/>
        <item x="1"/>
        <item x="2"/>
        <item t="default"/>
      </items>
    </pivotField>
    <pivotField name="TIM" compact="0" outline="0" multipleItemSelectionAllowed="1" showAll="0">
      <items>
        <item x="0"/>
        <item x="1"/>
        <item x="2"/>
        <item x="3"/>
        <item x="4"/>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axis="axisRow" compact="0" outline="0" multipleItemSelectionAllowed="1" showAll="0" sortType="ascending">
      <items>
        <item x="11"/>
        <item h="1" x="9"/>
        <item h="1" x="8"/>
        <item h="1" x="10"/>
        <item x="7"/>
        <item h="1" x="2"/>
        <item x="5"/>
        <item x="4"/>
        <item x="0"/>
        <item x="3"/>
        <item x="6"/>
        <item x="1"/>
        <item t="default"/>
      </items>
    </pivotField>
    <pivotField name="STATUS" axis="axisCol" dataField="1" compact="0" outline="0" multipleItemSelectionAllowed="1" showAll="0" sortType="ascending">
      <items>
        <item x="3"/>
        <item x="1"/>
        <item x="0"/>
        <item x="2"/>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17"/>
  </rowFields>
  <colFields>
    <field x="18"/>
  </colFields>
  <pageFields>
    <pageField fld="0"/>
  </pageFields>
  <dataFields>
    <dataField name="SEPTEMBER" fld="18" subtotal="count" showDataAs="percentOfRow" baseField="0" numFmtId="10"/>
  </dataFields>
</pivotTableDefinition>
</file>

<file path=xl/pivotTables/pivotTable7.xml><?xml version="1.0" encoding="utf-8"?>
<pivotTableDefinition xmlns="http://schemas.openxmlformats.org/spreadsheetml/2006/main" name="Analisis TA 3" cacheId="0" dataCaption="" compact="0" compactData="0">
  <location ref="Z19:AA21" firstHeaderRow="0" firstDataRow="1" firstDataCol="1" rowPageCount="2" colPageCount="1"/>
  <pivotFields>
    <pivotField name="TANGGAL" axis="axisPage" compact="0" numFmtId="17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axis="axisRow" compact="0" outline="0" multipleItemSelectionAllowed="1" showAll="0" sortType="ascending">
      <items>
        <item x="2"/>
        <item x="0"/>
        <item x="1"/>
        <item t="default"/>
      </items>
    </pivotField>
    <pivotField name="TIM" compact="0" outline="0" multipleItemSelectionAllowed="1" showAll="0">
      <items>
        <item x="0"/>
        <item x="1"/>
        <item x="2"/>
        <item x="3"/>
        <item x="4"/>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axis="axisPage" compact="0" outline="0" multipleItemSelectionAllowed="1" showAll="0">
      <items>
        <item x="0"/>
        <item x="1"/>
        <item h="1" x="2"/>
        <item x="3"/>
        <item x="4"/>
        <item x="5"/>
        <item x="6"/>
        <item x="7"/>
        <item h="1" x="8"/>
        <item h="1" x="9"/>
        <item h="1" x="10"/>
        <item x="11"/>
        <item t="default"/>
      </items>
    </pivotField>
    <pivotField name="STATUS" axis="axisCol" dataField="1" compact="0" outline="0" multipleItemSelectionAllowed="1" showAll="0" sortType="ascending">
      <items>
        <item x="3"/>
        <item x="1"/>
        <item x="0"/>
        <item x="2"/>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4"/>
  </rowFields>
  <colFields>
    <field x="18"/>
  </colFields>
  <pageFields>
    <pageField fld="0"/>
    <pageField fld="17"/>
  </pageFields>
  <dataFields>
    <dataField name="MG 4" fld="18" subtotal="count" showDataAs="percentOfRow" baseField="0" numFmtId="10"/>
  </dataFields>
</pivotTableDefinition>
</file>

<file path=xl/pivotTables/pivotTable8.xml><?xml version="1.0" encoding="utf-8"?>
<pivotTableDefinition xmlns="http://schemas.openxmlformats.org/spreadsheetml/2006/main" name="Analisis TA 4" cacheId="0" dataCaption="" compact="0" compactData="0">
  <location ref="AF19:AG21" firstHeaderRow="0" firstDataRow="1" firstDataCol="1" rowPageCount="2" colPageCount="1"/>
  <pivotFields>
    <pivotField name="TANGGAL" axis="axisPage" compact="0" numFmtId="17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axis="axisRow" compact="0" outline="0" multipleItemSelectionAllowed="1" showAll="0" sortType="ascending">
      <items>
        <item x="2"/>
        <item x="0"/>
        <item x="1"/>
        <item t="default"/>
      </items>
    </pivotField>
    <pivotField name="TIM" compact="0" outline="0" multipleItemSelectionAllowed="1" showAll="0">
      <items>
        <item x="0"/>
        <item x="1"/>
        <item x="2"/>
        <item x="3"/>
        <item x="4"/>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axis="axisPage" compact="0" outline="0" multipleItemSelectionAllowed="1" showAll="0">
      <items>
        <item x="0"/>
        <item x="1"/>
        <item h="1" x="2"/>
        <item x="3"/>
        <item x="4"/>
        <item x="5"/>
        <item x="6"/>
        <item x="7"/>
        <item h="1" x="8"/>
        <item h="1" x="9"/>
        <item h="1" x="10"/>
        <item x="11"/>
        <item t="default"/>
      </items>
    </pivotField>
    <pivotField name="STATUS" axis="axisCol" dataField="1" compact="0" outline="0" multipleItemSelectionAllowed="1" showAll="0" sortType="ascending">
      <items>
        <item x="3"/>
        <item x="1"/>
        <item x="0"/>
        <item x="2"/>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4"/>
  </rowFields>
  <colFields>
    <field x="18"/>
  </colFields>
  <pageFields>
    <pageField fld="0"/>
    <pageField fld="17"/>
  </pageFields>
  <dataFields>
    <dataField name="SEPTEMBER" fld="18" subtotal="count" showDataAs="percentOfRow" baseField="0" numFmtId="10"/>
  </dataFields>
</pivotTableDefinition>
</file>

<file path=xl/pivotTables/pivotTable9.xml><?xml version="1.0" encoding="utf-8"?>
<pivotTableDefinition xmlns="http://schemas.openxmlformats.org/spreadsheetml/2006/main" name="Analisis TA 5" cacheId="0" dataCaption="" compact="0" compactData="0">
  <location ref="Z25:AA27" firstHeaderRow="0" firstDataRow="1" firstDataCol="1" rowPageCount="2" colPageCount="1"/>
  <pivotFields>
    <pivotField name="TANGGAL" axis="axisPage" compact="0" numFmtId="17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compact="0" outline="0" multipleItemSelectionAllowed="1" showAll="0">
      <items>
        <item x="0"/>
        <item x="1"/>
        <item x="2"/>
        <item t="default"/>
      </items>
    </pivotField>
    <pivotField name="TIM" axis="axisRow" compact="0" outline="0" multipleItemSelectionAllowed="1" showAll="0" sortType="ascending">
      <items>
        <item x="4"/>
        <item x="3"/>
        <item x="2"/>
        <item x="0"/>
        <item x="1"/>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axis="axisPage" compact="0" outline="0" multipleItemSelectionAllowed="1" showAll="0">
      <items>
        <item x="0"/>
        <item x="1"/>
        <item h="1" x="2"/>
        <item x="3"/>
        <item x="4"/>
        <item x="5"/>
        <item x="6"/>
        <item x="7"/>
        <item h="1" x="8"/>
        <item h="1" x="9"/>
        <item h="1" x="10"/>
        <item x="11"/>
        <item t="default"/>
      </items>
    </pivotField>
    <pivotField name="STATUS" axis="axisCol" dataField="1" compact="0" outline="0" multipleItemSelectionAllowed="1" showAll="0" sortType="ascending">
      <items>
        <item x="3"/>
        <item x="1"/>
        <item x="0"/>
        <item x="2"/>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5"/>
  </rowFields>
  <colFields>
    <field x="18"/>
  </colFields>
  <pageFields>
    <pageField fld="0"/>
    <pageField fld="17"/>
  </pageFields>
  <dataFields>
    <dataField name="MG 4" fld="18" subtotal="count" showDataAs="percentOfRow" baseField="0" numFmtId="10"/>
  </dataFields>
</pivotTableDefinition>
</file>

<file path=xl/pivotTables/pivotTable10.xml><?xml version="1.0" encoding="utf-8"?>
<pivotTableDefinition xmlns="http://schemas.openxmlformats.org/spreadsheetml/2006/main" name="Analisis TA 6" cacheId="0" dataCaption="" compact="0" compactData="0">
  <location ref="AF25:AG27" firstHeaderRow="0" firstDataRow="1" firstDataCol="1" rowPageCount="2" colPageCount="1"/>
  <pivotFields>
    <pivotField name="TANGGAL" axis="axisPage" compact="0" numFmtId="17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compact="0" outline="0" multipleItemSelectionAllowed="1" showAll="0">
      <items>
        <item x="0"/>
        <item x="1"/>
        <item x="2"/>
        <item t="default"/>
      </items>
    </pivotField>
    <pivotField name="TIM" axis="axisRow" compact="0" outline="0" multipleItemSelectionAllowed="1" showAll="0" sortType="ascending">
      <items>
        <item x="4"/>
        <item x="3"/>
        <item x="2"/>
        <item x="0"/>
        <item x="1"/>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axis="axisPage" compact="0" outline="0" multipleItemSelectionAllowed="1" showAll="0">
      <items>
        <item x="0"/>
        <item x="1"/>
        <item h="1" x="2"/>
        <item x="3"/>
        <item x="4"/>
        <item x="5"/>
        <item x="6"/>
        <item x="7"/>
        <item h="1" x="8"/>
        <item h="1" x="9"/>
        <item h="1" x="10"/>
        <item x="11"/>
        <item t="default"/>
      </items>
    </pivotField>
    <pivotField name="STATUS" axis="axisCol" dataField="1" compact="0" outline="0" multipleItemSelectionAllowed="1" showAll="0" sortType="ascending">
      <items>
        <item x="3"/>
        <item x="1"/>
        <item x="0"/>
        <item x="2"/>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5"/>
  </rowFields>
  <colFields>
    <field x="18"/>
  </colFields>
  <pageFields>
    <pageField fld="0"/>
    <pageField fld="17"/>
  </pageFields>
  <dataFields>
    <dataField name="SEPTEMBER" fld="18" subtotal="count" showDataAs="percentOfRow" baseField="0" numFmtId="10"/>
  </dataFields>
</pivotTableDefinition>
</file>

<file path=xl/pivotTables/pivotTable11.xml><?xml version="1.0" encoding="utf-8"?>
<pivotTableDefinition xmlns="http://schemas.openxmlformats.org/spreadsheetml/2006/main" name="Analisis TA 7" cacheId="0" dataCaption="" compact="0" compactData="0">
  <location ref="B36:C50" firstHeaderRow="0" firstDataRow="1" firstDataCol="0" rowPageCount="3" colPageCount="1"/>
  <pivotFields>
    <pivotField name="TANGGAL" axis="axisPage" compact="0" numFmtId="17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compact="0" outline="0" multipleItemSelectionAllowed="1" showAll="0">
      <items>
        <item x="0"/>
        <item x="1"/>
        <item x="2"/>
        <item t="default"/>
      </items>
    </pivotField>
    <pivotField name="TIM" compact="0" outline="0" multipleItemSelectionAllowed="1" showAll="0">
      <items>
        <item x="0"/>
        <item x="1"/>
        <item x="2"/>
        <item x="3"/>
        <item x="4"/>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axis="axisPage" compact="0" outline="0" multipleItemSelectionAllowed="1" showAll="0">
      <items>
        <item x="0"/>
        <item x="1"/>
        <item h="1" x="2"/>
        <item x="3"/>
        <item x="4"/>
        <item x="5"/>
        <item x="6"/>
        <item x="7"/>
        <item h="1" x="8"/>
        <item h="1" x="9"/>
        <item h="1" x="10"/>
        <item x="11"/>
        <item t="default"/>
      </items>
    </pivotField>
    <pivotField name="STATUS" axis="axisPage" dataField="1" compact="0" outline="0" multipleItemSelectionAllowed="1" showAll="0">
      <items>
        <item h="1" x="0"/>
        <item h="1" x="1"/>
        <item x="2"/>
        <item h="1" x="3"/>
        <item t="default"/>
      </items>
    </pivotField>
    <pivotField name="KETERANGAN"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autoSortScope>
        <pivotArea>
          <references>
            <reference field="4294967294">
              <x v="0"/>
            </reference>
          </references>
        </pivotArea>
      </autoSortScope>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19"/>
  </rowFields>
  <pageFields>
    <pageField fld="0"/>
    <pageField fld="17"/>
    <pageField fld="18"/>
  </pageFields>
  <dataFields>
    <dataField name="JUMLAH" fld="18" subtotal="count" baseField="0"/>
  </dataFields>
</pivotTableDefinition>
</file>

<file path=xl/pivotTables/pivotTable12.xml><?xml version="1.0" encoding="utf-8"?>
<pivotTableDefinition xmlns="http://schemas.openxmlformats.org/spreadsheetml/2006/main" name="Analisis TA 8" cacheId="0" dataCaption="" compact="0" compactData="0">
  <location ref="H36:I49" firstHeaderRow="0" firstDataRow="1" firstDataCol="0" rowPageCount="3" colPageCount="1"/>
  <pivotFields>
    <pivotField name="TANGGAL" axis="axisPage" compact="0" numFmtId="17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compact="0" outline="0" multipleItemSelectionAllowed="1" showAll="0">
      <items>
        <item x="0"/>
        <item x="1"/>
        <item x="2"/>
        <item t="default"/>
      </items>
    </pivotField>
    <pivotField name="TIM" compact="0" outline="0" multipleItemSelectionAllowed="1" showAll="0">
      <items>
        <item x="0"/>
        <item x="1"/>
        <item x="2"/>
        <item x="3"/>
        <item x="4"/>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axis="axisPage" compact="0" outline="0" multipleItemSelectionAllowed="1" showAll="0">
      <items>
        <item x="0"/>
        <item x="1"/>
        <item h="1" x="2"/>
        <item x="3"/>
        <item x="4"/>
        <item x="5"/>
        <item x="6"/>
        <item x="7"/>
        <item h="1" x="8"/>
        <item h="1" x="9"/>
        <item h="1" x="10"/>
        <item x="11"/>
        <item t="default"/>
      </items>
    </pivotField>
    <pivotField name="STATUS" axis="axisPage" dataField="1" compact="0" outline="0" multipleItemSelectionAllowed="1" showAll="0">
      <items>
        <item h="1" x="0"/>
        <item h="1" x="1"/>
        <item x="2"/>
        <item h="1" x="3"/>
        <item t="default"/>
      </items>
    </pivotField>
    <pivotField name="KETERANGAN TIDAK CLOSING"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autoSortScope>
        <pivotArea>
          <references>
            <reference field="4294967294">
              <x v="0"/>
            </reference>
          </references>
        </pivotArea>
      </autoSortScope>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19"/>
  </rowFields>
  <pageFields>
    <pageField fld="0"/>
    <pageField fld="17"/>
    <pageField fld="18"/>
  </pageFields>
  <dataFields>
    <dataField name="JUMLAH" fld="18" subtotal="count" baseField="0"/>
  </dataFields>
</pivotTableDefinition>
</file>

<file path=xl/pivotTables/pivotTable13.xml><?xml version="1.0" encoding="utf-8"?>
<pivotTableDefinition xmlns="http://schemas.openxmlformats.org/spreadsheetml/2006/main" name="Analisis TA 9" cacheId="0" dataCaption="" compact="0" compactData="0">
  <location ref="N36:O49" firstHeaderRow="0" firstDataRow="1" firstDataCol="0" rowPageCount="3" colPageCount="1"/>
  <pivotFields>
    <pivotField name="TANGGAL" axis="axisPage" compact="0" numFmtId="17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compact="0" outline="0" multipleItemSelectionAllowed="1" showAll="0">
      <items>
        <item x="0"/>
        <item x="1"/>
        <item x="2"/>
        <item t="default"/>
      </items>
    </pivotField>
    <pivotField name="TIM" compact="0" outline="0" multipleItemSelectionAllowed="1" showAll="0">
      <items>
        <item x="0"/>
        <item x="1"/>
        <item x="2"/>
        <item x="3"/>
        <item x="4"/>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axis="axisPage" compact="0" outline="0" multipleItemSelectionAllowed="1" showAll="0">
      <items>
        <item x="0"/>
        <item x="1"/>
        <item h="1" x="2"/>
        <item x="3"/>
        <item x="4"/>
        <item x="5"/>
        <item x="6"/>
        <item x="7"/>
        <item h="1" x="8"/>
        <item h="1" x="9"/>
        <item h="1" x="10"/>
        <item x="11"/>
        <item t="default"/>
      </items>
    </pivotField>
    <pivotField name="STATUS" axis="axisPage" dataField="1" compact="0" outline="0" multipleItemSelectionAllowed="1" showAll="0">
      <items>
        <item h="1" x="0"/>
        <item h="1" x="1"/>
        <item x="2"/>
        <item h="1" x="3"/>
        <item t="default"/>
      </items>
    </pivotField>
    <pivotField name="KETERANGAN TIDAK CLOSING"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autoSortScope>
        <pivotArea>
          <references>
            <reference field="4294967294">
              <x v="0"/>
            </reference>
          </references>
        </pivotArea>
      </autoSortScope>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19"/>
  </rowFields>
  <pageFields>
    <pageField fld="0"/>
    <pageField fld="17"/>
    <pageField fld="18"/>
  </pageFields>
  <dataFields>
    <dataField name="JUMLAH" fld="18" subtotal="count" baseField="0"/>
  </dataFields>
</pivotTableDefinition>
</file>

<file path=xl/pivotTables/pivotTable14.xml><?xml version="1.0" encoding="utf-8"?>
<pivotTableDefinition xmlns="http://schemas.openxmlformats.org/spreadsheetml/2006/main" name="Analisis TA 10" cacheId="0" dataCaption="" compact="0" compactData="0">
  <location ref="T36:U45" firstHeaderRow="0" firstDataRow="1" firstDataCol="0" rowPageCount="3" colPageCount="1"/>
  <pivotFields>
    <pivotField name="TANGGAL" axis="axisPage" compact="0" numFmtId="17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compact="0" outline="0" multipleItemSelectionAllowed="1" showAll="0">
      <items>
        <item x="0"/>
        <item x="1"/>
        <item x="2"/>
        <item t="default"/>
      </items>
    </pivotField>
    <pivotField name="TIM" compact="0" outline="0" multipleItemSelectionAllowed="1" showAll="0">
      <items>
        <item x="0"/>
        <item x="1"/>
        <item x="2"/>
        <item x="3"/>
        <item x="4"/>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axis="axisPage" compact="0" outline="0" multipleItemSelectionAllowed="1" showAll="0">
      <items>
        <item x="0"/>
        <item x="1"/>
        <item h="1" x="2"/>
        <item x="3"/>
        <item x="4"/>
        <item x="5"/>
        <item x="6"/>
        <item x="7"/>
        <item h="1" x="8"/>
        <item h="1" x="9"/>
        <item h="1" x="10"/>
        <item x="11"/>
        <item t="default"/>
      </items>
    </pivotField>
    <pivotField name="STATUS" axis="axisPage" dataField="1" compact="0" outline="0" multipleItemSelectionAllowed="1" showAll="0">
      <items>
        <item h="1" x="0"/>
        <item h="1" x="1"/>
        <item x="2"/>
        <item h="1" x="3"/>
        <item t="default"/>
      </items>
    </pivotField>
    <pivotField name="KETERANGAN TIDAK CLOSING"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autoSortScope>
        <pivotArea>
          <references>
            <reference field="4294967294">
              <x v="0"/>
            </reference>
          </references>
        </pivotArea>
      </autoSortScope>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19"/>
  </rowFields>
  <pageFields>
    <pageField fld="0"/>
    <pageField fld="17"/>
    <pageField fld="18"/>
  </pageFields>
  <dataFields>
    <dataField name="JUMLAH" fld="18" subtotal="count" baseField="0"/>
  </dataFields>
</pivotTableDefinition>
</file>

<file path=xl/pivotTables/pivotTable15.xml><?xml version="1.0" encoding="utf-8"?>
<pivotTableDefinition xmlns="http://schemas.openxmlformats.org/spreadsheetml/2006/main" name="Analisis TA 11" cacheId="0" dataCaption="" compact="0" compactData="0">
  <location ref="Z32:AA33" firstHeaderRow="0" firstDataRow="1" firstDataCol="0" rowPageCount="3" colPageCount="1"/>
  <pivotFields>
    <pivotField name="TANGGAL" axis="axisPage" compact="0" numFmtId="17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compact="0" outline="0" multipleItemSelectionAllowed="1" showAll="0">
      <items>
        <item x="0"/>
        <item x="1"/>
        <item x="2"/>
        <item t="default"/>
      </items>
    </pivotField>
    <pivotField name="TIM" compact="0" outline="0" multipleItemSelectionAllowed="1" showAll="0">
      <items>
        <item x="0"/>
        <item x="1"/>
        <item x="2"/>
        <item x="3"/>
        <item x="4"/>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axis="axisPage" compact="0" outline="0" multipleItemSelectionAllowed="1" showAll="0">
      <items>
        <item x="0"/>
        <item x="1"/>
        <item h="1" x="2"/>
        <item x="3"/>
        <item x="4"/>
        <item x="5"/>
        <item x="6"/>
        <item x="7"/>
        <item h="1" x="8"/>
        <item h="1" x="9"/>
        <item h="1" x="10"/>
        <item x="11"/>
        <item t="default"/>
      </items>
    </pivotField>
    <pivotField name="STATUS" axis="axisPage" dataField="1" compact="0" outline="0" multipleItemSelectionAllowed="1" showAll="0">
      <items>
        <item h="1" x="0"/>
        <item h="1" x="1"/>
        <item x="2"/>
        <item h="1" x="3"/>
        <item t="default"/>
      </items>
    </pivotField>
    <pivotField name="KETERANGAN TIDAK CLOSING"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autoSortScope>
        <pivotArea>
          <references>
            <reference field="4294967294">
              <x v="0"/>
            </reference>
          </references>
        </pivotArea>
      </autoSortScope>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19"/>
  </rowFields>
  <pageFields>
    <pageField fld="0"/>
    <pageField fld="17"/>
    <pageField fld="18"/>
  </pageFields>
  <dataFields>
    <dataField name="JUMLAH" fld="18" subtotal="count" baseField="0"/>
  </dataFields>
</pivotTableDefinition>
</file>

<file path=xl/pivotTables/pivotTable16.xml><?xml version="1.0" encoding="utf-8"?>
<pivotTableDefinition xmlns="http://schemas.openxmlformats.org/spreadsheetml/2006/main" name="Analisis TA 12" cacheId="0" dataCaption="" compact="0" compactData="0">
  <location ref="AF32:AG33" firstHeaderRow="0" firstDataRow="1" firstDataCol="0" rowPageCount="3" colPageCount="1"/>
  <pivotFields>
    <pivotField name="TANGGAL" axis="axisPage" compact="0" numFmtId="17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compact="0" outline="0" multipleItemSelectionAllowed="1" showAll="0">
      <items>
        <item x="0"/>
        <item x="1"/>
        <item x="2"/>
        <item t="default"/>
      </items>
    </pivotField>
    <pivotField name="TIM" compact="0" outline="0" multipleItemSelectionAllowed="1" showAll="0">
      <items>
        <item x="0"/>
        <item x="1"/>
        <item x="2"/>
        <item x="3"/>
        <item x="4"/>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axis="axisPage" compact="0" outline="0" multipleItemSelectionAllowed="1" showAll="0">
      <items>
        <item x="0"/>
        <item x="1"/>
        <item h="1" x="2"/>
        <item x="3"/>
        <item x="4"/>
        <item x="5"/>
        <item x="6"/>
        <item x="7"/>
        <item h="1" x="8"/>
        <item h="1" x="9"/>
        <item h="1" x="10"/>
        <item x="11"/>
        <item t="default"/>
      </items>
    </pivotField>
    <pivotField name="STATUS" axis="axisPage" dataField="1" compact="0" outline="0" multipleItemSelectionAllowed="1" showAll="0">
      <items>
        <item h="1" x="0"/>
        <item h="1" x="1"/>
        <item x="2"/>
        <item h="1" x="3"/>
        <item t="default"/>
      </items>
    </pivotField>
    <pivotField name="KETERANGAN"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autoSortScope>
        <pivotArea>
          <references>
            <reference field="4294967294">
              <x v="0"/>
            </reference>
          </references>
        </pivotArea>
      </autoSortScope>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19"/>
  </rowFields>
  <pageFields>
    <pageField fld="0"/>
    <pageField fld="17"/>
    <pageField fld="18"/>
  </pageFields>
  <dataFields>
    <dataField name="JUMLAH" fld="18" subtotal="count" baseField="0"/>
  </dataFields>
</pivotTableDefinition>
</file>

<file path=xl/pivotTables/pivotTable17.xml><?xml version="1.0" encoding="utf-8"?>
<pivotTableDefinition xmlns="http://schemas.openxmlformats.org/spreadsheetml/2006/main" name="Analisis Bulanan" cacheId="1" dataCaption="" compact="0" compactData="0">
  <location ref="A4:D8" firstHeaderRow="0" firstDataRow="1" firstDataCol="1" rowPageCount="1" colPageCount="1"/>
  <pivotFields>
    <pivotField name="SHIFT" compact="0" outline="0" multipleItemSelectionAllowed="1" showAll="0">
      <items>
        <item x="0"/>
        <item x="1"/>
        <item t="default"/>
      </items>
    </pivotField>
    <pivotField name="TIM" compact="0" outline="0" multipleItemSelectionAllowed="1" showAll="0">
      <items>
        <item x="0"/>
        <item x="1"/>
        <item x="2"/>
        <item x="3"/>
        <item t="default"/>
      </items>
    </pivotField>
    <pivotField name="ADMIN" compact="0" outline="0" multipleItemSelectionAllowed="1" showAll="0">
      <items>
        <item x="0"/>
        <item x="1"/>
        <item x="2"/>
        <item t="default"/>
      </items>
    </pivotField>
    <pivotField name="TANGGAL" axis="axisPage" compact="0" numFmtId="173"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t="default"/>
      </items>
    </pivotField>
    <pivotField name="TAHUN" compact="0" outline="0" multipleItemSelectionAllowed="1" showAll="0">
      <items>
        <item x="0"/>
        <item t="default"/>
      </items>
    </pivotField>
    <pivotField name="BULAN" axis="axisCol" compact="0" outline="0" multipleItemSelectionAllowed="1" showAll="0" sortType="ascending">
      <items>
        <item x="0"/>
        <item x="1"/>
        <item x="2"/>
        <item t="default"/>
      </items>
    </pivotField>
    <pivotField name="HARI" compact="0" outline="0" multipleItemSelectionAllowed="1" showAll="0">
      <items>
        <item x="0"/>
        <item x="1"/>
        <item x="2"/>
        <item x="3"/>
        <item x="4"/>
        <item x="5"/>
        <item x="6"/>
        <item t="default"/>
      </items>
    </pivotField>
    <pivotField name="JAM" compact="0" outline="0" multipleItemSelectionAllowed="1" showAll="0">
      <items>
        <item x="0"/>
        <item x="1"/>
        <item x="2"/>
        <item x="3"/>
        <item x="4"/>
        <item x="5"/>
        <item x="6"/>
        <item x="7"/>
        <item x="8"/>
        <item x="9"/>
        <item t="default"/>
      </items>
    </pivotField>
    <pivotField name="FISIO" compact="0" outline="0" multipleItemSelectionAllowed="1" showAll="0">
      <items>
        <item x="0"/>
        <item x="1"/>
        <item x="2"/>
        <item x="3"/>
        <item x="4"/>
        <item x="5"/>
        <item x="6"/>
        <item x="7"/>
        <item x="8"/>
        <item x="9"/>
        <item x="10"/>
        <item t="default"/>
      </items>
    </pivotField>
    <pivotField name="LAYANAN" compact="0" outline="0" multipleItemSelectionAllowed="1" showAll="0">
      <items>
        <item x="0"/>
        <item x="1"/>
        <item x="2"/>
        <item x="3"/>
        <item t="default"/>
      </items>
    </pivotField>
    <pivotField name="NAMA PASIE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JENIS KELAMIN" compact="0" outline="0" multipleItemSelectionAllowed="1" showAll="0">
      <items>
        <item x="0"/>
        <item x="1"/>
        <item x="2"/>
        <item t="default"/>
      </items>
    </pivotField>
    <pivotField name="AGAMA" compact="0" outline="0" multipleItemSelectionAllowed="1" showAll="0">
      <items>
        <item x="0"/>
        <item x="1"/>
        <item x="2"/>
        <item x="3"/>
        <item x="4"/>
        <item x="5"/>
        <item x="6"/>
        <item x="7"/>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HOBI/AKTIVITAS SEHARI-HAR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t="default"/>
      </items>
    </pivotField>
    <pivotField name="KEHADIRAN" axis="axisRow" compact="0" outline="0" multipleItemSelectionAllowed="1" showAll="0" sortType="ascending">
      <items>
        <item x="0"/>
        <item x="1"/>
        <item t="default"/>
      </items>
    </pivotField>
    <pivotField name="NO. SESI" compact="0" outline="0" multipleItemSelectionAllowed="1" showAll="0">
      <items>
        <item x="0"/>
        <item x="1"/>
        <item x="2"/>
        <item x="3"/>
        <item x="4"/>
        <item x="5"/>
        <item x="6"/>
        <item x="7"/>
        <item x="8"/>
        <item x="9"/>
        <item x="10"/>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 compact="0" outline="0" multipleItemSelectionAllowed="1" showAll="0">
      <items>
        <item x="0"/>
        <item t="default"/>
      </items>
    </pivotField>
    <pivotField name="CATATAN AD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s>
  <rowFields>
    <field x="18"/>
  </rowFields>
  <colFields>
    <field x="5"/>
  </colFields>
  <pageFields>
    <pageField fld="3"/>
  </pageFields>
  <dataFields>
    <dataField name="COUNTA of NAMA PASIEN" fld="10" subtotal="count" baseField="0"/>
  </dataFields>
</pivotTableDefinition>
</file>

<file path=xl/pivotTables/pivotTable18.xml><?xml version="1.0" encoding="utf-8"?>
<pivotTableDefinition xmlns="http://schemas.openxmlformats.org/spreadsheetml/2006/main" name="Analisis Bulanan 2" cacheId="1" dataCaption="" compact="0" compactData="0">
  <location ref="J4:N15" firstHeaderRow="0" firstDataRow="2" firstDataCol="1" rowPageCount="1" colPageCount="1"/>
  <pivotFields>
    <pivotField name="SHIFT" compact="0" outline="0" multipleItemSelectionAllowed="1" showAll="0">
      <items>
        <item x="0"/>
        <item x="1"/>
        <item t="default"/>
      </items>
    </pivotField>
    <pivotField name="TIM" compact="0" outline="0" multipleItemSelectionAllowed="1" showAll="0">
      <items>
        <item x="0"/>
        <item x="1"/>
        <item x="2"/>
        <item x="3"/>
        <item t="default"/>
      </items>
    </pivotField>
    <pivotField name="ADMIN" compact="0" outline="0" multipleItemSelectionAllowed="1" showAll="0">
      <items>
        <item x="0"/>
        <item x="1"/>
        <item x="2"/>
        <item t="default"/>
      </items>
    </pivotField>
    <pivotField name="TANGGAL" axis="axisPage" compact="0" numFmtId="173"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t="default"/>
      </items>
    </pivotField>
    <pivotField name="TAHUN" compact="0" outline="0" multipleItemSelectionAllowed="1" showAll="0">
      <items>
        <item x="0"/>
        <item t="default"/>
      </items>
    </pivotField>
    <pivotField name="BULAN" axis="axisCol" compact="0" outline="0" multipleItemSelectionAllowed="1" showAll="0" sortType="ascending">
      <items>
        <item x="0"/>
        <item x="1"/>
        <item x="2"/>
        <item t="default"/>
      </items>
    </pivotField>
    <pivotField name="HARI" compact="0" outline="0" multipleItemSelectionAllowed="1" showAll="0">
      <items>
        <item x="0"/>
        <item x="1"/>
        <item x="2"/>
        <item x="3"/>
        <item x="4"/>
        <item x="5"/>
        <item x="6"/>
        <item t="default"/>
      </items>
    </pivotField>
    <pivotField name="JAM" compact="0" outline="0" multipleItemSelectionAllowed="1" showAll="0">
      <items>
        <item x="0"/>
        <item x="1"/>
        <item x="2"/>
        <item x="3"/>
        <item x="4"/>
        <item x="5"/>
        <item x="6"/>
        <item x="7"/>
        <item x="8"/>
        <item x="9"/>
        <item t="default"/>
      </items>
    </pivotField>
    <pivotField name="FISIO" compact="0" outline="0" multipleItemSelectionAllowed="1" showAll="0">
      <items>
        <item x="0"/>
        <item x="1"/>
        <item x="2"/>
        <item x="3"/>
        <item x="4"/>
        <item x="5"/>
        <item x="6"/>
        <item x="7"/>
        <item x="8"/>
        <item x="9"/>
        <item x="10"/>
        <item t="default"/>
      </items>
    </pivotField>
    <pivotField name="LAYANAN" axis="axisRow" compact="0" outline="0" multipleItemSelectionAllowed="1" showAll="0" sortType="ascending">
      <items>
        <item x="1"/>
        <item x="3"/>
        <item x="2"/>
        <item x="0"/>
        <item t="default"/>
      </items>
    </pivotField>
    <pivotField name="NAMA PASIE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JENIS KELAMIN" compact="0" outline="0" multipleItemSelectionAllowed="1" showAll="0">
      <items>
        <item x="0"/>
        <item x="1"/>
        <item x="2"/>
        <item t="default"/>
      </items>
    </pivotField>
    <pivotField name="AGAMA" compact="0" outline="0" multipleItemSelectionAllowed="1" showAll="0">
      <items>
        <item x="0"/>
        <item x="1"/>
        <item x="2"/>
        <item x="3"/>
        <item x="4"/>
        <item x="5"/>
        <item x="6"/>
        <item x="7"/>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HOBI/AKTIVITAS SEHARI-HAR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t="default"/>
      </items>
    </pivotField>
    <pivotField name="KEHADIRAN" axis="axisRow" compact="0" outline="0" multipleItemSelectionAllowed="1" showAll="0" sortType="ascending">
      <items>
        <item x="0"/>
        <item x="1"/>
        <item t="default"/>
      </items>
    </pivotField>
    <pivotField name="NO. SESI" compact="0" outline="0" multipleItemSelectionAllowed="1" showAll="0">
      <items>
        <item x="0"/>
        <item x="1"/>
        <item x="2"/>
        <item x="3"/>
        <item x="4"/>
        <item x="5"/>
        <item x="6"/>
        <item x="7"/>
        <item x="8"/>
        <item x="9"/>
        <item x="10"/>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 compact="0" outline="0" multipleItemSelectionAllowed="1" showAll="0">
      <items>
        <item x="0"/>
        <item t="default"/>
      </items>
    </pivotField>
    <pivotField name="CATATAN AD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s>
  <rowFields>
    <field x="18"/>
    <field x="9"/>
  </rowFields>
  <colFields>
    <field x="5"/>
  </colFields>
  <pageFields>
    <pageField fld="3"/>
  </pageFields>
  <dataFields>
    <dataField name="COUNTA of NAMA PASIEN" fld="10" subtotal="count" baseField="0"/>
  </dataFields>
</pivotTableDefinition>
</file>

<file path=xl/pivotTables/pivotTable19.xml><?xml version="1.0" encoding="utf-8"?>
<pivotTableDefinition xmlns="http://schemas.openxmlformats.org/spreadsheetml/2006/main" name="Analisis Bulanan 3" cacheId="1" dataCaption="" compact="0" compactData="0">
  <location ref="A10:D15" firstHeaderRow="0" firstDataRow="1" firstDataCol="1" rowPageCount="2" colPageCount="1"/>
  <pivotFields>
    <pivotField name="SHIFT" compact="0" outline="0" multipleItemSelectionAllowed="1" showAll="0">
      <items>
        <item x="0"/>
        <item x="1"/>
        <item t="default"/>
      </items>
    </pivotField>
    <pivotField name="TIM" compact="0" outline="0" multipleItemSelectionAllowed="1" showAll="0">
      <items>
        <item x="0"/>
        <item x="1"/>
        <item x="2"/>
        <item x="3"/>
        <item t="default"/>
      </items>
    </pivotField>
    <pivotField name="ADMIN" compact="0" outline="0" multipleItemSelectionAllowed="1" showAll="0">
      <items>
        <item x="0"/>
        <item x="1"/>
        <item x="2"/>
        <item t="default"/>
      </items>
    </pivotField>
    <pivotField name="TANGGAL" axis="axisPage" compact="0" numFmtId="173"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t="default"/>
      </items>
    </pivotField>
    <pivotField name="TAHUN" compact="0" outline="0" multipleItemSelectionAllowed="1" showAll="0">
      <items>
        <item x="0"/>
        <item t="default"/>
      </items>
    </pivotField>
    <pivotField name="BULAN" axis="axisCol" compact="0" outline="0" multipleItemSelectionAllowed="1" showAll="0" sortType="ascending">
      <items>
        <item x="0"/>
        <item x="1"/>
        <item x="2"/>
        <item t="default"/>
      </items>
    </pivotField>
    <pivotField name="HARI" compact="0" outline="0" multipleItemSelectionAllowed="1" showAll="0">
      <items>
        <item x="0"/>
        <item x="1"/>
        <item x="2"/>
        <item x="3"/>
        <item x="4"/>
        <item x="5"/>
        <item x="6"/>
        <item t="default"/>
      </items>
    </pivotField>
    <pivotField name="JAM" compact="0" outline="0" multipleItemSelectionAllowed="1" showAll="0">
      <items>
        <item x="0"/>
        <item x="1"/>
        <item x="2"/>
        <item x="3"/>
        <item x="4"/>
        <item x="5"/>
        <item x="6"/>
        <item x="7"/>
        <item x="8"/>
        <item x="9"/>
        <item t="default"/>
      </items>
    </pivotField>
    <pivotField name="FISIO" compact="0" outline="0" multipleItemSelectionAllowed="1" showAll="0">
      <items>
        <item x="0"/>
        <item x="1"/>
        <item x="2"/>
        <item x="3"/>
        <item x="4"/>
        <item x="5"/>
        <item x="6"/>
        <item x="7"/>
        <item x="8"/>
        <item x="9"/>
        <item x="10"/>
        <item t="default"/>
      </items>
    </pivotField>
    <pivotField name="LAYANAN" axis="axisRow" compact="0" outline="0" multipleItemSelectionAllowed="1" showAll="0" sortType="ascending">
      <items>
        <item x="1"/>
        <item x="3"/>
        <item x="2"/>
        <item x="0"/>
        <item t="default"/>
      </items>
    </pivotField>
    <pivotField name="NAMA PASIE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JENIS KELAMIN" compact="0" outline="0" multipleItemSelectionAllowed="1" showAll="0">
      <items>
        <item x="0"/>
        <item x="1"/>
        <item x="2"/>
        <item t="default"/>
      </items>
    </pivotField>
    <pivotField name="AGAMA" compact="0" outline="0" multipleItemSelectionAllowed="1" showAll="0">
      <items>
        <item x="0"/>
        <item x="1"/>
        <item x="2"/>
        <item x="3"/>
        <item x="4"/>
        <item x="5"/>
        <item x="6"/>
        <item x="7"/>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HOBI/AKTIVITAS SEHARI-HAR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t="default"/>
      </items>
    </pivotField>
    <pivotField name="KEHADIRAN" axis="axisPage" compact="0" outline="0" multipleItemSelectionAllowed="1" showAll="0">
      <items>
        <item x="0"/>
        <item h="1" x="1"/>
        <item t="default"/>
      </items>
    </pivotField>
    <pivotField name="NO. SESI" compact="0" outline="0" multipleItemSelectionAllowed="1" showAll="0">
      <items>
        <item x="0"/>
        <item x="1"/>
        <item x="2"/>
        <item x="3"/>
        <item x="4"/>
        <item x="5"/>
        <item x="6"/>
        <item x="7"/>
        <item x="8"/>
        <item x="9"/>
        <item x="10"/>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 compact="0" outline="0" multipleItemSelectionAllowed="1" showAll="0">
      <items>
        <item x="0"/>
        <item t="default"/>
      </items>
    </pivotField>
    <pivotField name="CATATAN AD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s>
  <rowFields>
    <field x="9"/>
  </rowFields>
  <colFields>
    <field x="5"/>
  </colFields>
  <pageFields>
    <pageField fld="3"/>
    <pageField fld="18"/>
  </pageFields>
  <dataFields>
    <dataField name="COUNTA of NAMA PASIEN" fld="10" subtotal="count" baseField="0"/>
  </dataFields>
</pivotTableDefinition>
</file>

<file path=xl/pivotTables/pivotTable20.xml><?xml version="1.0" encoding="utf-8"?>
<pivotTableDefinition xmlns="http://schemas.openxmlformats.org/spreadsheetml/2006/main" name="Analisis Bulanan 4" cacheId="1" dataCaption="" compact="0" compactData="0">
  <location ref="A19:D24" firstHeaderRow="0" firstDataRow="1" firstDataCol="1" rowPageCount="2" colPageCount="1"/>
  <pivotFields>
    <pivotField name="SHIFT" compact="0" outline="0" multipleItemSelectionAllowed="1" showAll="0">
      <items>
        <item x="0"/>
        <item x="1"/>
        <item t="default"/>
      </items>
    </pivotField>
    <pivotField name="TIM" axis="axisRow" compact="0" outline="0" multipleItemSelectionAllowed="1" showAll="0" sortType="ascending">
      <items>
        <item x="3"/>
        <item x="2"/>
        <item x="1"/>
        <item x="0"/>
        <item t="default"/>
      </items>
    </pivotField>
    <pivotField name="ADMIN" compact="0" outline="0" multipleItemSelectionAllowed="1" showAll="0">
      <items>
        <item x="0"/>
        <item x="1"/>
        <item x="2"/>
        <item t="default"/>
      </items>
    </pivotField>
    <pivotField name="TANGGAL" axis="axisPage" compact="0" numFmtId="173"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t="default"/>
      </items>
    </pivotField>
    <pivotField name="TAHUN" compact="0" outline="0" multipleItemSelectionAllowed="1" showAll="0">
      <items>
        <item x="0"/>
        <item t="default"/>
      </items>
    </pivotField>
    <pivotField name="BULAN" axis="axisCol" compact="0" outline="0" multipleItemSelectionAllowed="1" showAll="0" sortType="ascending">
      <items>
        <item x="0"/>
        <item x="1"/>
        <item x="2"/>
        <item t="default"/>
      </items>
    </pivotField>
    <pivotField name="HARI" compact="0" outline="0" multipleItemSelectionAllowed="1" showAll="0">
      <items>
        <item x="0"/>
        <item x="1"/>
        <item x="2"/>
        <item x="3"/>
        <item x="4"/>
        <item x="5"/>
        <item x="6"/>
        <item t="default"/>
      </items>
    </pivotField>
    <pivotField name="JAM" compact="0" outline="0" multipleItemSelectionAllowed="1" showAll="0">
      <items>
        <item x="0"/>
        <item x="1"/>
        <item x="2"/>
        <item x="3"/>
        <item x="4"/>
        <item x="5"/>
        <item x="6"/>
        <item x="7"/>
        <item x="8"/>
        <item x="9"/>
        <item t="default"/>
      </items>
    </pivotField>
    <pivotField name="FISIO" compact="0" outline="0" multipleItemSelectionAllowed="1" showAll="0">
      <items>
        <item x="0"/>
        <item x="1"/>
        <item x="2"/>
        <item x="3"/>
        <item x="4"/>
        <item x="5"/>
        <item x="6"/>
        <item x="7"/>
        <item x="8"/>
        <item x="9"/>
        <item x="10"/>
        <item t="default"/>
      </items>
    </pivotField>
    <pivotField name="LAYANAN" compact="0" outline="0" multipleItemSelectionAllowed="1" showAll="0">
      <items>
        <item x="0"/>
        <item x="1"/>
        <item x="2"/>
        <item x="3"/>
        <item t="default"/>
      </items>
    </pivotField>
    <pivotField name="NAMA PASIE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JENIS KELAMIN" compact="0" outline="0" multipleItemSelectionAllowed="1" showAll="0">
      <items>
        <item x="0"/>
        <item x="1"/>
        <item x="2"/>
        <item t="default"/>
      </items>
    </pivotField>
    <pivotField name="AGAMA" compact="0" outline="0" multipleItemSelectionAllowed="1" showAll="0">
      <items>
        <item x="0"/>
        <item x="1"/>
        <item x="2"/>
        <item x="3"/>
        <item x="4"/>
        <item x="5"/>
        <item x="6"/>
        <item x="7"/>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HOBI/AKTIVITAS SEHARI-HAR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t="default"/>
      </items>
    </pivotField>
    <pivotField name="KEHADIRAN" axis="axisPage" compact="0" outline="0" multipleItemSelectionAllowed="1" showAll="0">
      <items>
        <item x="0"/>
        <item h="1" x="1"/>
        <item t="default"/>
      </items>
    </pivotField>
    <pivotField name="NO. SESI" compact="0" outline="0" multipleItemSelectionAllowed="1" showAll="0">
      <items>
        <item x="0"/>
        <item x="1"/>
        <item x="2"/>
        <item x="3"/>
        <item x="4"/>
        <item x="5"/>
        <item x="6"/>
        <item x="7"/>
        <item x="8"/>
        <item x="9"/>
        <item x="10"/>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 compact="0" outline="0" multipleItemSelectionAllowed="1" showAll="0">
      <items>
        <item x="0"/>
        <item t="default"/>
      </items>
    </pivotField>
    <pivotField name="CATATAN AD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s>
  <rowFields>
    <field x="1"/>
  </rowFields>
  <colFields>
    <field x="5"/>
  </colFields>
  <pageFields>
    <pageField fld="3"/>
    <pageField fld="18"/>
  </pageFields>
  <dataFields>
    <dataField name="COUNTA of NAMA PASIEN" fld="10" subtotal="count" baseField="0"/>
  </dataFields>
</pivotTableDefinition>
</file>

<file path=xl/pivotTables/pivotTable21.xml><?xml version="1.0" encoding="utf-8"?>
<pivotTableDefinition xmlns="http://schemas.openxmlformats.org/spreadsheetml/2006/main" name="💸 Data Insentif" cacheId="1" dataCaption="" compact="0" compactData="0">
  <location ref="C10:E12" firstHeaderRow="0" firstDataRow="2" firstDataCol="1" rowPageCount="1" colPageCount="1"/>
  <pivotFields>
    <pivotField name="SHIFT" compact="0" outline="0" multipleItemSelectionAllowed="1" showAll="0">
      <items>
        <item x="0"/>
        <item x="1"/>
        <item t="default"/>
      </items>
    </pivotField>
    <pivotField name="TIM" compact="0" outline="0" multipleItemSelectionAllowed="1" showAll="0">
      <items>
        <item x="0"/>
        <item x="1"/>
        <item x="2"/>
        <item x="3"/>
        <item t="default"/>
      </items>
    </pivotField>
    <pivotField name="ADMIN" compact="0" outline="0" multipleItemSelectionAllowed="1" showAll="0">
      <items>
        <item x="0"/>
        <item x="1"/>
        <item x="2"/>
        <item t="default"/>
      </items>
    </pivotField>
    <pivotField name="TANGGAL" axis="axisRow" compact="0" numFmtId="173"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TAHUN" compact="0" outline="0" multipleItemSelectionAllowed="1" showAll="0">
      <items>
        <item x="0"/>
        <item t="default"/>
      </items>
    </pivotField>
    <pivotField name="BULAN" compact="0" outline="0" multipleItemSelectionAllowed="1" showAll="0">
      <items>
        <item x="0"/>
        <item x="1"/>
        <item x="2"/>
        <item t="default"/>
      </items>
    </pivotField>
    <pivotField name="HARI" compact="0" outline="0" multipleItemSelectionAllowed="1" showAll="0">
      <items>
        <item x="0"/>
        <item x="1"/>
        <item x="2"/>
        <item x="3"/>
        <item x="4"/>
        <item x="5"/>
        <item x="6"/>
        <item t="default"/>
      </items>
    </pivotField>
    <pivotField name="JAM" compact="0" outline="0" multipleItemSelectionAllowed="1" showAll="0">
      <items>
        <item x="0"/>
        <item x="1"/>
        <item x="2"/>
        <item x="3"/>
        <item x="4"/>
        <item x="5"/>
        <item x="6"/>
        <item x="7"/>
        <item x="8"/>
        <item x="9"/>
        <item t="default"/>
      </items>
    </pivotField>
    <pivotField name="FISIO" axis="axisRow" compact="0" outline="0" multipleItemSelectionAllowed="1" showAll="0" sortType="ascending">
      <items>
        <item x="9"/>
        <item h="1" x="7"/>
        <item x="10"/>
        <item x="6"/>
        <item h="1" x="4"/>
        <item x="1"/>
        <item x="2"/>
        <item x="3"/>
        <item x="5"/>
        <item x="8"/>
        <item x="0"/>
        <item t="default"/>
      </items>
    </pivotField>
    <pivotField name="LAYANAN" axis="axisCol" dataField="1" compact="0" outline="0" multipleItemSelectionAllowed="1" showAll="0" sortType="ascending">
      <items>
        <item x="1"/>
        <item x="3"/>
        <item x="2"/>
        <item x="0"/>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JENIS KELAMIN" compact="0" outline="0" multipleItemSelectionAllowed="1" showAll="0">
      <items>
        <item x="0"/>
        <item x="1"/>
        <item x="2"/>
        <item t="default"/>
      </items>
    </pivotField>
    <pivotField name="AGAMA" compact="0" outline="0" multipleItemSelectionAllowed="1" showAll="0">
      <items>
        <item x="0"/>
        <item x="1"/>
        <item x="2"/>
        <item x="3"/>
        <item x="4"/>
        <item x="5"/>
        <item x="6"/>
        <item x="7"/>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HOBI/AKTIVITAS SEHARI-HAR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t="default"/>
      </items>
    </pivotField>
    <pivotField name="KEHADIRAN" axis="axisPage" compact="0" outline="0" multipleItemSelectionAllowed="1" showAll="0">
      <items>
        <item x="0"/>
        <item h="1" x="1"/>
        <item t="default"/>
      </items>
    </pivotField>
    <pivotField name="NO. SESI" compact="0" outline="0" multipleItemSelectionAllowed="1" showAll="0">
      <items>
        <item x="0"/>
        <item x="1"/>
        <item x="2"/>
        <item x="3"/>
        <item x="4"/>
        <item x="5"/>
        <item x="6"/>
        <item x="7"/>
        <item x="8"/>
        <item x="9"/>
        <item x="10"/>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 compact="0" outline="0" multipleItemSelectionAllowed="1" showAll="0">
      <items>
        <item x="0"/>
        <item t="default"/>
      </items>
    </pivotField>
    <pivotField name="CATATAN AD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s>
  <rowFields>
    <field x="8"/>
    <field x="3"/>
  </rowFields>
  <colFields>
    <field x="9"/>
  </colFields>
  <pageFields>
    <pageField fld="18"/>
  </pageFields>
  <dataFields>
    <dataField name="COUNTA of LAYANAN" fld="9" subtotal="count" baseField="0"/>
  </dataFields>
</pivotTableDefinition>
</file>

<file path=xl/pivotTables/pivotTable22.xml><?xml version="1.0" encoding="utf-8"?>
<pivotTableDefinition xmlns="http://schemas.openxmlformats.org/spreadsheetml/2006/main" name="💸 Data Insentif 2" cacheId="0" dataCaption="" compact="0" compactData="0">
  <location ref="K10:P21" firstHeaderRow="0" firstDataRow="2" firstDataCol="1"/>
  <pivotFields>
    <pivotField name="TANGGAL" axis="axisRow" compact="0" numFmtId="173" outline="0" multipleItemSelectionAllowed="1" showAll="0" sortType="ascending">
      <items>
        <item x="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4"/>
        <item x="85"/>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t="default"/>
      </items>
    </pivotField>
    <pivotField name="HARI" compact="0" numFmtId="164" outline="0" multipleItemSelectionAllowed="1" showAll="0">
      <items>
        <item x="0"/>
        <item x="1"/>
        <item x="2"/>
        <item x="3"/>
        <item x="4"/>
        <item x="5"/>
        <item x="6"/>
        <item x="7"/>
        <item t="default"/>
      </items>
    </pivotField>
    <pivotField name="SHIFT" compact="0" outline="0" multipleItemSelectionAllowed="1" showAll="0">
      <items>
        <item x="0"/>
        <item x="1"/>
        <item x="2"/>
        <item t="default"/>
      </items>
    </pivotField>
    <pivotField name="TIM" compact="0" outline="0" multipleItemSelectionAllowed="1" showAll="0">
      <items>
        <item x="0"/>
        <item x="1"/>
        <item x="2"/>
        <item x="3"/>
        <item x="4"/>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KATEGORI USIA" compact="0" outline="0" multipleItemSelectionAllowed="1" showAll="0">
      <items>
        <item x="0"/>
        <item x="1"/>
        <item x="2"/>
        <item x="3"/>
        <item x="4"/>
        <item x="5"/>
        <item t="default"/>
      </items>
    </pivotField>
    <pivotField name="PEKERJA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KELUH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IAGNO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EGI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MBER PASIEN" compact="0" outline="0" multipleItemSelectionAllowed="1" showAll="0">
      <items>
        <item x="0"/>
        <item x="1"/>
        <item x="2"/>
        <item x="3"/>
        <item x="4"/>
        <item x="5"/>
        <item t="default"/>
      </items>
    </pivotField>
    <pivotField name="ADMIN" compact="0" outline="0" multipleItemSelectionAllowed="1" showAll="0">
      <items>
        <item x="0"/>
        <item x="1"/>
        <item x="2"/>
        <item x="3"/>
        <item t="default"/>
      </items>
    </pivotField>
    <pivotField name="FISIO" axis="axisRow" compact="0" outline="0" multipleItemSelectionAllowed="1" showAll="0" sortType="ascending">
      <items>
        <item x="11"/>
        <item x="9"/>
        <item h="1" x="8"/>
        <item x="10"/>
        <item x="7"/>
        <item h="1" x="2"/>
        <item x="5"/>
        <item x="4"/>
        <item x="0"/>
        <item x="3"/>
        <item x="6"/>
        <item x="1"/>
        <item t="default"/>
      </items>
    </pivotField>
    <pivotField name="STATUS" axis="axisCol" dataField="1" compact="0" outline="0" multipleItemSelectionAllowed="1" showAll="0" sortType="ascending">
      <items>
        <item x="3"/>
        <item x="1"/>
        <item x="0"/>
        <item x="2"/>
        <item t="default"/>
      </items>
    </pivotField>
    <pivotField name="KETERA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Column 1" compact="0" outline="0" multipleItemSelectionAllowed="1" showAll="0">
      <items>
        <item x="0"/>
        <item t="default"/>
      </items>
    </pivotField>
    <pivotField name="CATATAN ADMIN" compact="0" outline="0" multipleItemSelectionAllowed="1" showAll="0">
      <items>
        <item x="0"/>
        <item t="default"/>
      </items>
    </pivotField>
    <pivotField name="LAYANAN TERAKHIR" compact="0" outline="0" multipleItemSelectionAllowed="1" showAll="0">
      <items>
        <item x="0"/>
        <item x="1"/>
        <item x="2"/>
        <item x="3"/>
        <item x="4"/>
        <item x="5"/>
        <item t="default"/>
      </items>
    </pivotField>
    <pivotField name="CLOSING" compact="0" outline="0" multipleItemSelectionAllowed="1" showAll="0">
      <items>
        <item x="0"/>
        <item x="1"/>
        <item x="2"/>
        <item t="default"/>
      </items>
    </pivotField>
  </pivotFields>
  <rowFields>
    <field x="17"/>
    <field x="0"/>
  </rowFields>
  <colFields>
    <field x="18"/>
  </colFields>
  <dataFields>
    <dataField name="COUNTA of STATUS" fld="18" subtotal="count" baseField="0"/>
  </dataFields>
</pivotTableDefinition>
</file>

<file path=xl/pivotTables/pivotTable23.xml><?xml version="1.0" encoding="utf-8"?>
<pivotTableDefinition xmlns="http://schemas.openxmlformats.org/spreadsheetml/2006/main" name="💸 Data Insentif 3" cacheId="2" dataCaption="" compact="0" compactData="0">
  <location ref="T10:X20" firstHeaderRow="0" firstDataRow="2" firstDataCol="1"/>
  <pivotFields>
    <pivotField name="ADMIN" compact="0" outline="0" multipleItemSelectionAllowed="1" showAll="0">
      <items>
        <item x="0"/>
        <item x="1"/>
        <item x="2"/>
        <item x="3"/>
        <item x="4"/>
        <item x="5"/>
        <item t="default"/>
      </items>
    </pivotField>
    <pivotField name="PEMBAYARAN" compact="0" outline="0" multipleItemSelectionAllowed="1" showAll="0">
      <items>
        <item x="0"/>
        <item x="1"/>
        <item x="2"/>
        <item x="3"/>
        <item x="4"/>
        <item t="default"/>
      </items>
    </pivotField>
    <pivotField name="TANGGAL" axis="axisRow" compact="0" numFmtId="173" outline="0" multipleItemSelectionAllowed="1" showAll="0" sortType="ascending">
      <items>
        <item x="164"/>
        <item x="26"/>
        <item x="202"/>
        <item x="93"/>
        <item x="209"/>
        <item x="11"/>
        <item x="39"/>
        <item x="98"/>
        <item x="12"/>
        <item x="109"/>
        <item x="69"/>
        <item x="122"/>
        <item x="191"/>
        <item x="128"/>
        <item x="246"/>
        <item x="160"/>
        <item x="45"/>
        <item x="253"/>
        <item x="62"/>
        <item x="230"/>
        <item x="94"/>
        <item x="138"/>
        <item x="58"/>
        <item x="29"/>
        <item x="153"/>
        <item x="250"/>
        <item x="243"/>
        <item x="148"/>
        <item x="139"/>
        <item x="47"/>
        <item x="31"/>
        <item x="106"/>
        <item x="157"/>
        <item x="226"/>
        <item x="8"/>
        <item x="20"/>
        <item x="96"/>
        <item x="188"/>
        <item x="187"/>
        <item x="103"/>
        <item x="216"/>
        <item x="5"/>
        <item x="235"/>
        <item x="210"/>
        <item x="182"/>
        <item x="228"/>
        <item x="175"/>
        <item x="180"/>
        <item x="37"/>
        <item x="195"/>
        <item x="105"/>
        <item x="97"/>
        <item x="168"/>
        <item x="231"/>
        <item x="57"/>
        <item x="60"/>
        <item x="251"/>
        <item x="142"/>
        <item x="88"/>
        <item x="115"/>
        <item x="197"/>
        <item x="19"/>
        <item x="64"/>
        <item x="170"/>
        <item x="196"/>
        <item x="166"/>
        <item x="66"/>
        <item x="184"/>
        <item x="174"/>
        <item x="239"/>
        <item x="46"/>
        <item x="244"/>
        <item x="254"/>
        <item x="213"/>
        <item x="249"/>
        <item x="176"/>
        <item x="92"/>
        <item x="224"/>
        <item x="221"/>
        <item x="211"/>
        <item x="6"/>
        <item x="219"/>
        <item x="241"/>
        <item x="152"/>
        <item x="220"/>
        <item x="70"/>
        <item x="130"/>
        <item x="172"/>
        <item x="167"/>
        <item x="123"/>
        <item x="248"/>
        <item x="40"/>
        <item x="208"/>
        <item x="245"/>
        <item x="149"/>
        <item x="163"/>
        <item x="156"/>
        <item x="7"/>
        <item x="233"/>
        <item x="14"/>
        <item x="173"/>
        <item x="222"/>
        <item x="150"/>
        <item x="145"/>
        <item x="161"/>
        <item x="137"/>
        <item x="236"/>
        <item x="194"/>
        <item x="178"/>
        <item x="205"/>
        <item x="15"/>
        <item x="223"/>
        <item x="135"/>
        <item x="41"/>
        <item x="59"/>
        <item x="227"/>
        <item x="89"/>
        <item x="212"/>
        <item x="16"/>
        <item x="65"/>
        <item x="189"/>
        <item x="207"/>
        <item x="21"/>
        <item x="63"/>
        <item x="225"/>
        <item x="48"/>
        <item x="165"/>
        <item x="116"/>
        <item x="256"/>
        <item x="80"/>
        <item x="132"/>
        <item x="124"/>
        <item x="1"/>
        <item x="28"/>
        <item x="169"/>
        <item x="238"/>
        <item x="32"/>
        <item x="17"/>
        <item x="171"/>
        <item x="146"/>
        <item x="186"/>
        <item x="110"/>
        <item x="53"/>
        <item x="133"/>
        <item x="232"/>
        <item x="118"/>
        <item x="215"/>
        <item x="33"/>
        <item x="90"/>
        <item x="144"/>
        <item x="206"/>
        <item x="18"/>
        <item x="151"/>
        <item x="3"/>
        <item x="2"/>
        <item x="73"/>
        <item x="143"/>
        <item x="71"/>
        <item x="177"/>
        <item x="154"/>
        <item x="237"/>
        <item x="136"/>
        <item x="49"/>
        <item x="25"/>
        <item x="179"/>
        <item x="81"/>
        <item x="204"/>
        <item x="125"/>
        <item x="147"/>
        <item x="131"/>
        <item x="183"/>
        <item x="190"/>
        <item x="200"/>
        <item x="217"/>
        <item x="50"/>
        <item x="141"/>
        <item x="162"/>
        <item x="198"/>
        <item x="0"/>
        <item x="72"/>
        <item x="78"/>
        <item x="111"/>
        <item x="120"/>
        <item x="159"/>
        <item x="83"/>
        <item x="67"/>
        <item x="101"/>
        <item x="91"/>
        <item x="82"/>
        <item x="112"/>
        <item x="229"/>
        <item x="51"/>
        <item x="9"/>
        <item x="84"/>
        <item x="218"/>
        <item x="42"/>
        <item x="113"/>
        <item x="27"/>
        <item x="121"/>
        <item x="36"/>
        <item x="61"/>
        <item x="192"/>
        <item x="85"/>
        <item x="54"/>
        <item x="30"/>
        <item x="95"/>
        <item x="75"/>
        <item x="108"/>
        <item x="114"/>
        <item x="43"/>
        <item x="155"/>
        <item x="127"/>
        <item x="86"/>
        <item x="214"/>
        <item x="52"/>
        <item x="68"/>
        <item x="234"/>
        <item x="44"/>
        <item x="55"/>
        <item x="10"/>
        <item x="247"/>
        <item x="76"/>
        <item x="126"/>
        <item x="22"/>
        <item x="99"/>
        <item x="134"/>
        <item x="13"/>
        <item x="242"/>
        <item x="107"/>
        <item x="117"/>
        <item x="252"/>
        <item x="77"/>
        <item x="23"/>
        <item x="240"/>
        <item x="34"/>
        <item x="38"/>
        <item x="203"/>
        <item x="104"/>
        <item x="201"/>
        <item x="185"/>
        <item x="4"/>
        <item x="74"/>
        <item x="56"/>
        <item x="129"/>
        <item x="102"/>
        <item x="87"/>
        <item x="35"/>
        <item x="181"/>
        <item x="119"/>
        <item x="193"/>
        <item x="24"/>
        <item x="79"/>
        <item x="158"/>
        <item x="140"/>
        <item x="255"/>
        <item x="199"/>
        <item x="100"/>
        <item t="default"/>
      </items>
    </pivotField>
    <pivotField name="TAHUN" compact="0" numFmtId="164" outline="0" multipleItemSelectionAllowed="1" showAll="0">
      <items>
        <item x="0"/>
        <item x="1"/>
        <item x="2"/>
        <item t="default"/>
      </items>
    </pivotField>
    <pivotField name="BULAN" compact="0" numFmtId="164" outline="0" multipleItemSelectionAllowed="1" showAll="0">
      <items>
        <item x="0"/>
        <item x="1"/>
        <item x="2"/>
        <item x="3"/>
        <item x="4"/>
        <item x="5"/>
        <item x="6"/>
        <item x="7"/>
        <item x="8"/>
        <item x="9"/>
        <item x="10"/>
        <item x="11"/>
        <item x="12"/>
        <item t="default"/>
      </items>
    </pivotField>
    <pivotField name="HARI" compact="0" numFmtId="164" outline="0" multipleItemSelectionAllowed="1" showAll="0">
      <items>
        <item x="0"/>
        <item x="1"/>
        <item x="2"/>
        <item x="3"/>
        <item x="4"/>
        <item x="5"/>
        <item x="6"/>
        <item x="7"/>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t="default"/>
      </items>
    </pivotField>
    <pivotField name="NO. 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name="JENIS KELAMIN" compact="0" outline="0" multipleItemSelectionAllowed="1" showAll="0">
      <items>
        <item x="0"/>
        <item x="1"/>
        <item x="2"/>
        <item t="default"/>
      </items>
    </pivotField>
    <pivotField name="U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FISIO" axis="axisRow" compact="0" outline="0" multipleItemSelectionAllowed="1" showAll="0" sortType="ascending">
      <items>
        <item x="15"/>
        <item x="14"/>
        <item h="1" x="7"/>
        <item x="2"/>
        <item x="9"/>
        <item h="1" x="13"/>
        <item x="12"/>
        <item x="4"/>
        <item x="6"/>
        <item x="10"/>
        <item x="0"/>
        <item x="8"/>
        <item x="3"/>
        <item x="11"/>
        <item x="5"/>
        <item x="1"/>
        <item t="default"/>
      </items>
    </pivotField>
    <pivotField name="TIM" compact="0" outline="0" multipleItemSelectionAllowed="1" showAll="0">
      <items>
        <item x="0"/>
        <item x="1"/>
        <item x="2"/>
        <item x="3"/>
        <item x="4"/>
        <item t="default"/>
      </items>
    </pivotField>
    <pivotField name="JENIS PAKET" axis="axisCol" dataField="1" compact="0" outline="0" multipleItemSelectionAllowed="1" showAll="0" sortType="ascending">
      <items>
        <item x="0"/>
        <item x="1"/>
        <item t="default"/>
      </items>
    </pivotField>
    <pivotField name="MULAI PAKET" compact="0" outline="0" multipleItemSelectionAllowed="1" showAll="0">
      <items>
        <item x="0"/>
        <item x="1"/>
        <item t="default"/>
      </items>
    </pivotField>
    <pivotField name="NO. SESI" compact="0" outline="0" multipleItemSelectionAllowed="1" showAll="0">
      <items>
        <item x="0"/>
        <item x="1"/>
        <item x="2"/>
        <item x="3"/>
        <item x="4"/>
        <item x="5"/>
        <item x="6"/>
        <item x="7"/>
        <item x="8"/>
        <item x="9"/>
        <item x="10"/>
        <item t="default"/>
      </items>
    </pivotField>
    <pivotField name="T1" compact="0" numFmtId="17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name="T2" compact="0" numFmtId="17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T3" compact="0" numFmtId="17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T4" compact="0" numFmtId="17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name="T5" compact="0" numFmtId="17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T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T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T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T9"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T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LAST ACTI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STATUS PAKET" compact="0" outline="0" multipleItemSelectionAllowed="1" showAll="0">
      <items>
        <item x="0"/>
        <item x="1"/>
        <item t="default"/>
      </items>
    </pivotField>
    <pivotField name="PAKET SELESAI" compact="0" outline="0" multipleItemSelectionAllowed="1" showAll="0">
      <items>
        <item x="0"/>
        <item x="1"/>
        <item x="2"/>
        <item x="3"/>
        <item x="4"/>
        <item x="5"/>
        <item t="default"/>
      </items>
    </pivotField>
    <pivotField name="KET. SELES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TANGGAL SELESAI" compact="0" numFmtId="17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TAHUN SELESAI" compact="0" numFmtId="174" outline="0" multipleItemSelectionAllowed="1" showAll="0">
      <items>
        <item x="0"/>
        <item x="1"/>
        <item x="2"/>
        <item t="default"/>
      </items>
    </pivotField>
    <pivotField name="BULAN SELESAI" compact="0" numFmtId="174" outline="0" multipleItemSelectionAllowed="1" showAll="0">
      <items>
        <item x="0"/>
        <item x="1"/>
        <item x="2"/>
        <item x="3"/>
        <item x="4"/>
        <item x="5"/>
        <item x="6"/>
        <item x="7"/>
        <item x="8"/>
        <item t="default"/>
      </items>
    </pivotField>
    <pivotField name="HARI SELESAI" compact="0" numFmtId="174" outline="0" multipleItemSelectionAllowed="1" showAll="0">
      <items>
        <item x="0"/>
        <item x="1"/>
        <item x="2"/>
        <item x="3"/>
        <item x="4"/>
        <item x="5"/>
        <item x="6"/>
        <item x="7"/>
        <item x="8"/>
        <item t="default"/>
      </items>
    </pivotField>
    <pivotField name="DURASI PA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s>
  <rowFields>
    <field x="10"/>
    <field x="2"/>
  </rowFields>
  <colFields>
    <field x="12"/>
  </colFields>
  <dataFields>
    <dataField name="COUNTA of JENIS PAKET" fld="12" subtotal="count" baseField="0"/>
  </dataFields>
</pivotTableDefinition>
</file>

<file path=xl/tables/table1.xml><?xml version="1.0" encoding="utf-8"?>
<table xmlns="http://schemas.openxmlformats.org/spreadsheetml/2006/main" headerRowCount="0" ref="A1:W5077" displayName="Table_1" 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 Pasien-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B2:X1508" displayName="CATATANPELAYANAN" name="CATATANPELAYANAN" id="2">
  <tableColumns count="23">
    <tableColumn name="SHIFT" id="1"/>
    <tableColumn name="TIM" id="2"/>
    <tableColumn name="ADMIN" id="3"/>
    <tableColumn name="TANGGAL" id="4"/>
    <tableColumn name="TAHUN" id="5"/>
    <tableColumn name="BULAN" id="6"/>
    <tableColumn name="HARI" id="7"/>
    <tableColumn name="JAM" id="8"/>
    <tableColumn name="FISIO" id="9"/>
    <tableColumn name="LAYANAN" id="10"/>
    <tableColumn name="NAMA PASIEN" id="11"/>
    <tableColumn name="NO. RM" id="12"/>
    <tableColumn name="USIA" id="13"/>
    <tableColumn name="JENIS KELAMIN" id="14"/>
    <tableColumn name="AGAMA" id="15"/>
    <tableColumn name="PEKERJAAN" id="16"/>
    <tableColumn name="KELUHAN" id="17"/>
    <tableColumn name="HOBI/AKTIVITAS SEHARI-HARI" id="18"/>
    <tableColumn name="KEHADIRAN" id="19"/>
    <tableColumn name="NO. SESI" id="20"/>
    <tableColumn name="KETERANGAN" id="21"/>
    <tableColumn name="✅" id="22"/>
    <tableColumn name="CATATAN ADMIN" id="23"/>
  </tableColumns>
  <tableStyleInfo name="📝 Kunjungan-style" showColumnStripes="0" showFirstColumn="1" showLastColumn="1" showRowStripes="1"/>
</table>
</file>

<file path=xl/tables/table3.xml><?xml version="1.0" encoding="utf-8"?>
<table xmlns="http://schemas.openxmlformats.org/spreadsheetml/2006/main" ref="B2:Y371" displayName="CLOSING" name="CLOSING" id="3">
  <tableColumns count="24">
    <tableColumn name="TANGGAL" id="1"/>
    <tableColumn name="TAHUN" id="2"/>
    <tableColumn name="BULAN" id="3"/>
    <tableColumn name="HARI" id="4"/>
    <tableColumn name="SHIFT" id="5"/>
    <tableColumn name="TIM" id="6"/>
    <tableColumn name="NAMA PASIEN" id="7"/>
    <tableColumn name="NO. RM" id="8"/>
    <tableColumn name="JENIS KELAMIN" id="9"/>
    <tableColumn name="USIA" id="10"/>
    <tableColumn name="KATEGORI USIA" id="11"/>
    <tableColumn name="PEKERJAAN" id="12"/>
    <tableColumn name="KELUHAN" id="13"/>
    <tableColumn name="DIAGNOSA" id="14"/>
    <tableColumn name="REGIO" id="15"/>
    <tableColumn name="SUMBER PASIEN" id="16"/>
    <tableColumn name="ADMIN" id="17"/>
    <tableColumn name="FISIO" id="18"/>
    <tableColumn name="STATUS" id="19"/>
    <tableColumn name="KETERANGAN" id="20"/>
    <tableColumn name="Column 1" id="21"/>
    <tableColumn name="CATATAN ADMIN" id="22"/>
    <tableColumn name="LAYANAN TERAKHIR" id="23"/>
    <tableColumn name="CLOSING" id="24"/>
  </tableColumns>
  <tableStyleInfo name="📥 TA-style" showColumnStripes="0" showFirstColumn="1" showLastColumn="1" showRowStripes="1"/>
</table>
</file>

<file path=xl/tables/table4.xml><?xml version="1.0" encoding="utf-8"?>
<table xmlns="http://schemas.openxmlformats.org/spreadsheetml/2006/main" ref="B2:AI658" displayName="DATAPAKET" name="DATAPAKET" id="4">
  <tableColumns count="34">
    <tableColumn name="ADMIN" id="1"/>
    <tableColumn name="PEMBAYARAN" id="2"/>
    <tableColumn name="TANGGAL" id="3"/>
    <tableColumn name="TAHUN" id="4"/>
    <tableColumn name="BULAN" id="5"/>
    <tableColumn name="HARI" id="6"/>
    <tableColumn name="NAMA PASIEN" id="7"/>
    <tableColumn name="NO. RM" id="8"/>
    <tableColumn name="JENIS KELAMIN" id="9"/>
    <tableColumn name="USIA" id="10"/>
    <tableColumn name="FISIO" id="11"/>
    <tableColumn name="TIM" id="12"/>
    <tableColumn name="JENIS PAKET" id="13"/>
    <tableColumn name="MULAI PAKET" id="14"/>
    <tableColumn name="NO. SESI" id="15"/>
    <tableColumn name="T1" id="16"/>
    <tableColumn name="T2" id="17"/>
    <tableColumn name="T3" id="18"/>
    <tableColumn name="T4" id="19"/>
    <tableColumn name="T5" id="20"/>
    <tableColumn name="T6" id="21"/>
    <tableColumn name="T7" id="22"/>
    <tableColumn name="T8" id="23"/>
    <tableColumn name="T9" id="24"/>
    <tableColumn name="T10" id="25"/>
    <tableColumn name="LAST ACTIVE" id="26"/>
    <tableColumn name="STATUS PAKET" id="27"/>
    <tableColumn name="PAKET SELESAI" id="28"/>
    <tableColumn name="KET. SELESAI" id="29"/>
    <tableColumn name="TANGGAL SELESAI" id="30"/>
    <tableColumn name="TAHUN SELESAI" id="31"/>
    <tableColumn name="BULAN SELESAI" id="32"/>
    <tableColumn name="HARI SELESAI" id="33"/>
    <tableColumn name="DURASI PAKET" id="34"/>
  </tableColumns>
  <tableStyleInfo name="💾 Paket-style" showColumnStripes="0" showFirstColumn="1" showLastColumn="1" showRowStripes="1"/>
</table>
</file>

<file path=xl/tables/table5.xml><?xml version="1.0" encoding="utf-8"?>
<table xmlns="http://schemas.openxmlformats.org/spreadsheetml/2006/main" headerRowCount="0" ref="A6:AL11" displayName="Table_2" name="Table_2" id="5">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 Target-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5:AL20" displayName="Table_3" name="Table_3" id="6">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 Target-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2:AL27" displayName="Table_4" name="Table_4" id="7">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 Target-style 3"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29:AL34" displayName="Table_5" name="Table_5" id="8">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 Target-style 4"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36:AL41" displayName="Table_6" name="Table_6" id="9">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 Target-style 5"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AH500" displayName="Table_7" name="Table_7" id="10">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 Pengatur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29ewAYMt6qyEpl12FuH_JMWJ63ZWnmp5OCnjWQiWvEU/edit?usp=sharing" TargetMode="External"/><Relationship Id="rId2" Type="http://schemas.openxmlformats.org/officeDocument/2006/relationships/drawing" Target="../drawings/drawing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 Id="rId5"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 Id="rId5"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9.xml"/><Relationship Id="rId10" Type="http://schemas.openxmlformats.org/officeDocument/2006/relationships/table" Target="../tables/table8.xml"/><Relationship Id="rId9" Type="http://schemas.openxmlformats.org/officeDocument/2006/relationships/table" Target="../tables/table7.xml"/><Relationship Id="rId7" Type="http://schemas.openxmlformats.org/officeDocument/2006/relationships/table" Target="../tables/table5.xml"/><Relationship Id="rId8"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pivotTable" Target="../pivotTables/pivotTable15.xml"/><Relationship Id="rId10" Type="http://schemas.openxmlformats.org/officeDocument/2006/relationships/pivotTable" Target="../pivotTables/pivotTable14.xml"/><Relationship Id="rId13" Type="http://schemas.openxmlformats.org/officeDocument/2006/relationships/drawing" Target="../drawings/drawing8.xml"/><Relationship Id="rId12" Type="http://schemas.openxmlformats.org/officeDocument/2006/relationships/pivotTable" Target="../pivotTables/pivotTable16.xml"/><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9" Type="http://schemas.openxmlformats.org/officeDocument/2006/relationships/pivotTable" Target="../pivotTables/pivotTable13.xml"/><Relationship Id="rId5" Type="http://schemas.openxmlformats.org/officeDocument/2006/relationships/pivotTable" Target="../pivotTables/pivotTable9.xml"/><Relationship Id="rId6" Type="http://schemas.openxmlformats.org/officeDocument/2006/relationships/pivotTable" Target="../pivotTables/pivotTable10.xml"/><Relationship Id="rId7" Type="http://schemas.openxmlformats.org/officeDocument/2006/relationships/pivotTable" Target="../pivotTables/pivotTable11.xml"/><Relationship Id="rId8"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7.xml"/><Relationship Id="rId2" Type="http://schemas.openxmlformats.org/officeDocument/2006/relationships/pivotTable" Target="../pivotTables/pivotTable18.xml"/><Relationship Id="rId3" Type="http://schemas.openxmlformats.org/officeDocument/2006/relationships/pivotTable" Target="../pivotTables/pivotTable19.xml"/><Relationship Id="rId4" Type="http://schemas.openxmlformats.org/officeDocument/2006/relationships/pivotTable" Target="../pivotTables/pivotTable20.xm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1.xml"/><Relationship Id="rId2" Type="http://schemas.openxmlformats.org/officeDocument/2006/relationships/pivotTable" Target="../pivotTables/pivotTable22.xml"/><Relationship Id="rId3" Type="http://schemas.openxmlformats.org/officeDocument/2006/relationships/pivotTable" Target="../pivotTables/pivotTable23.xm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showGridLines="0" workbookViewId="0">
      <pane xSplit="12.0" ySplit="1.0" topLeftCell="M2" activePane="bottomRight" state="frozen"/>
      <selection activeCell="M1" sqref="M1" pane="topRight"/>
      <selection activeCell="A2" sqref="A2" pane="bottomLeft"/>
      <selection activeCell="M2" sqref="M2" pane="bottomRight"/>
    </sheetView>
  </sheetViews>
  <sheetFormatPr customHeight="1" defaultColWidth="12.63" defaultRowHeight="15.75" outlineLevelCol="1" outlineLevelRow="1"/>
  <cols>
    <col collapsed="1" customWidth="1" min="1" max="1" width="2.63"/>
    <col customWidth="1" hidden="1" min="2" max="3" width="18.88" outlineLevel="1"/>
    <col collapsed="1" customWidth="1" min="4" max="4" width="13.88"/>
    <col customWidth="1" hidden="1" min="5" max="6" width="13.88" outlineLevel="1"/>
    <col customWidth="1" min="7" max="7" width="25.13"/>
    <col customWidth="1" min="8" max="8" width="10.13"/>
    <col collapsed="1" customWidth="1" min="9" max="9" width="8.88"/>
    <col customWidth="1" hidden="1" min="10" max="11" width="11.38" outlineLevel="1"/>
    <col customWidth="1" min="12" max="12" width="11.38"/>
    <col collapsed="1" customWidth="1" min="13" max="13" width="25.13"/>
    <col customWidth="1" hidden="1" min="14" max="17" width="25.13" outlineLevel="1"/>
    <col customWidth="1" min="18" max="18" width="11.38"/>
    <col customWidth="1" min="19" max="21" width="25.13"/>
    <col customWidth="1" min="22" max="22" width="15.13"/>
    <col customWidth="1" min="23" max="23" width="2.63"/>
  </cols>
  <sheetData>
    <row r="1" ht="30.0" customHeight="1">
      <c r="A1" s="1" t="s">
        <v>0</v>
      </c>
      <c r="B1" s="2" t="s">
        <v>1</v>
      </c>
      <c r="C1" s="2"/>
      <c r="D1" s="3" t="s">
        <v>2</v>
      </c>
      <c r="E1" s="4" t="s">
        <v>3</v>
      </c>
      <c r="F1" s="4" t="s">
        <v>4</v>
      </c>
      <c r="G1" s="5" t="s">
        <v>5</v>
      </c>
      <c r="H1" s="5" t="s">
        <v>6</v>
      </c>
      <c r="I1" s="5" t="s">
        <v>7</v>
      </c>
      <c r="J1" s="5" t="s">
        <v>8</v>
      </c>
      <c r="K1" s="5" t="s">
        <v>9</v>
      </c>
      <c r="L1" s="5" t="s">
        <v>10</v>
      </c>
      <c r="M1" s="5" t="s">
        <v>11</v>
      </c>
      <c r="N1" s="5" t="s">
        <v>12</v>
      </c>
      <c r="O1" s="5" t="s">
        <v>13</v>
      </c>
      <c r="P1" s="5" t="s">
        <v>14</v>
      </c>
      <c r="Q1" s="5" t="s">
        <v>15</v>
      </c>
      <c r="R1" s="5" t="s">
        <v>16</v>
      </c>
      <c r="S1" s="5" t="s">
        <v>17</v>
      </c>
      <c r="T1" s="5" t="s">
        <v>18</v>
      </c>
      <c r="U1" s="5" t="s">
        <v>19</v>
      </c>
      <c r="V1" s="6" t="s">
        <v>20</v>
      </c>
      <c r="W1" s="7"/>
    </row>
    <row r="2" ht="22.5" hidden="1" customHeight="1" outlineLevel="1">
      <c r="A2" s="8" t="str">
        <f>IFERROR(__xludf.DUMMYFUNCTION("IMPORTRANGE(""https://docs.google.com/spreadsheets/d/1q5irXBuyRkQM_goHlRjPTSwHk1on6thK70p8lljqLrs/edit?gid=1342096879#gid=1342096879"",""🙎‍♂️ Pasien!A2:W"")"),"")</f>
        <v/>
      </c>
      <c r="B2" s="9" t="str">
        <f>IFERROR(__xludf.DUMMYFUNCTION("""COMPUTED_VALUE"""),"Timestamp")</f>
        <v>Timestamp</v>
      </c>
      <c r="C2" s="9"/>
      <c r="D2" s="10" t="str">
        <f>IFERROR(__xludf.DUMMYFUNCTION("""COMPUTED_VALUE"""),"Tanggal")</f>
        <v>Tanggal</v>
      </c>
      <c r="E2" s="10" t="str">
        <f>IFERROR(__xludf.DUMMYFUNCTION("""COMPUTED_VALUE"""),"Bulan")</f>
        <v>Bulan</v>
      </c>
      <c r="F2" s="10" t="str">
        <f>IFERROR(__xludf.DUMMYFUNCTION("""COMPUTED_VALUE"""),"Tahun")</f>
        <v>Tahun</v>
      </c>
      <c r="G2" s="11" t="str">
        <f>IFERROR(__xludf.DUMMYFUNCTION("""COMPUTED_VALUE"""),"Nama Pasien")</f>
        <v>Nama Pasien</v>
      </c>
      <c r="H2" s="12" t="str">
        <f>IFERROR(__xludf.DUMMYFUNCTION("""COMPUTED_VALUE"""),"No. RM")</f>
        <v>No. RM</v>
      </c>
      <c r="I2" s="12" t="str">
        <f>IFERROR(__xludf.DUMMYFUNCTION("""COMPUTED_VALUE"""),"Usia")</f>
        <v>Usia</v>
      </c>
      <c r="J2" s="12" t="str">
        <f>IFERROR(__xludf.DUMMYFUNCTION("""COMPUTED_VALUE"""),"Kategori Usia")</f>
        <v>Kategori Usia</v>
      </c>
      <c r="K2" s="13" t="str">
        <f>IFERROR(__xludf.DUMMYFUNCTION("""COMPUTED_VALUE"""),"Tanggal Lahir")</f>
        <v>Tanggal Lahir</v>
      </c>
      <c r="L2" s="11" t="str">
        <f>IFERROR(__xludf.DUMMYFUNCTION("""COMPUTED_VALUE"""),"Jenis Kelamin")</f>
        <v>Jenis Kelamin</v>
      </c>
      <c r="M2" s="11" t="str">
        <f>IFERROR(__xludf.DUMMYFUNCTION("""COMPUTED_VALUE"""),"Alamat")</f>
        <v>Alamat</v>
      </c>
      <c r="N2" s="11" t="str">
        <f>IFERROR(__xludf.DUMMYFUNCTION("""COMPUTED_VALUE"""),"Kel./Desa")</f>
        <v>Kel./Desa</v>
      </c>
      <c r="O2" s="11" t="str">
        <f>IFERROR(__xludf.DUMMYFUNCTION("""COMPUTED_VALUE"""),"Kecamatan")</f>
        <v>Kecamatan</v>
      </c>
      <c r="P2" s="11" t="str">
        <f>IFERROR(__xludf.DUMMYFUNCTION("""COMPUTED_VALUE"""),"Kab./Kota")</f>
        <v>Kab./Kota</v>
      </c>
      <c r="Q2" s="11" t="str">
        <f>IFERROR(__xludf.DUMMYFUNCTION("""COMPUTED_VALUE"""),"Provinsi")</f>
        <v>Provinsi</v>
      </c>
      <c r="R2" s="11" t="str">
        <f>IFERROR(__xludf.DUMMYFUNCTION("""COMPUTED_VALUE"""),"Agama")</f>
        <v>Agama</v>
      </c>
      <c r="S2" s="11" t="str">
        <f>IFERROR(__xludf.DUMMYFUNCTION("""COMPUTED_VALUE"""),"Pekerjaan")</f>
        <v>Pekerjaan</v>
      </c>
      <c r="T2" s="11" t="str">
        <f>IFERROR(__xludf.DUMMYFUNCTION("""COMPUTED_VALUE"""),"Keluhan")</f>
        <v>Keluhan</v>
      </c>
      <c r="U2" s="11" t="str">
        <f>IFERROR(__xludf.DUMMYFUNCTION("""COMPUTED_VALUE"""),"Hobi/Aktivitas Sehari-hari")</f>
        <v>Hobi/Aktivitas Sehari-hari</v>
      </c>
      <c r="V2" s="14" t="str">
        <f>IFERROR(__xludf.DUMMYFUNCTION("""COMPUTED_VALUE"""),"No. WA")</f>
        <v>No. WA</v>
      </c>
      <c r="W2" s="15" t="str">
        <f>IFERROR(__xludf.DUMMYFUNCTION("""COMPUTED_VALUE"""),"Column 1")</f>
        <v>Column 1</v>
      </c>
    </row>
    <row r="3" ht="22.5" hidden="1" customHeight="1" outlineLevel="1">
      <c r="A3" s="8"/>
      <c r="B3" s="9"/>
      <c r="C3" s="9"/>
      <c r="D3" s="10"/>
      <c r="E3" s="10"/>
      <c r="F3" s="10" t="str">
        <f>IFERROR(__xludf.DUMMYFUNCTION("""COMPUTED_VALUE"""),"1899")</f>
        <v>1899</v>
      </c>
      <c r="G3" s="16" t="str">
        <f>IFERROR(__xludf.DUMMYFUNCTION("""COMPUTED_VALUE"""),"OFF")</f>
        <v>OFF</v>
      </c>
      <c r="H3" s="17" t="str">
        <f>IFERROR(__xludf.DUMMYFUNCTION("""COMPUTED_VALUE"""),"OFF")</f>
        <v>OFF</v>
      </c>
      <c r="I3" s="18"/>
      <c r="J3" s="17"/>
      <c r="K3" s="19"/>
      <c r="L3" s="16"/>
      <c r="M3" s="16"/>
      <c r="N3" s="16"/>
      <c r="O3" s="16"/>
      <c r="P3" s="16"/>
      <c r="Q3" s="16"/>
      <c r="R3" s="16"/>
      <c r="S3" s="20"/>
      <c r="T3" s="16"/>
      <c r="U3" s="16"/>
      <c r="V3" s="14"/>
      <c r="W3" s="15"/>
    </row>
    <row r="4" ht="22.5" hidden="1" customHeight="1" outlineLevel="1">
      <c r="A4" s="8"/>
      <c r="B4" s="9"/>
      <c r="C4" s="9"/>
      <c r="D4" s="10"/>
      <c r="E4" s="10"/>
      <c r="F4" s="10" t="str">
        <f>IFERROR(__xludf.DUMMYFUNCTION("""COMPUTED_VALUE"""),"1899")</f>
        <v>1899</v>
      </c>
      <c r="G4" s="16" t="str">
        <f>IFERROR(__xludf.DUMMYFUNCTION("""COMPUTED_VALUE"""),"LIBUR")</f>
        <v>LIBUR</v>
      </c>
      <c r="H4" s="17" t="str">
        <f>IFERROR(__xludf.DUMMYFUNCTION("""COMPUTED_VALUE"""),"LIBUR")</f>
        <v>LIBUR</v>
      </c>
      <c r="I4" s="17"/>
      <c r="J4" s="17"/>
      <c r="K4" s="19"/>
      <c r="L4" s="16"/>
      <c r="M4" s="16"/>
      <c r="N4" s="16"/>
      <c r="O4" s="16"/>
      <c r="P4" s="16"/>
      <c r="Q4" s="16"/>
      <c r="R4" s="16"/>
      <c r="S4" s="20"/>
      <c r="T4" s="16"/>
      <c r="U4" s="16"/>
      <c r="V4" s="14"/>
      <c r="W4" s="15"/>
    </row>
    <row r="5" ht="22.5" hidden="1" customHeight="1" outlineLevel="1">
      <c r="A5" s="8"/>
      <c r="B5" s="9"/>
      <c r="C5" s="9"/>
      <c r="D5" s="10"/>
      <c r="E5" s="10"/>
      <c r="F5" s="10" t="str">
        <f>IFERROR(__xludf.DUMMYFUNCTION("""COMPUTED_VALUE"""),"1899")</f>
        <v>1899</v>
      </c>
      <c r="G5" s="16" t="str">
        <f>IFERROR(__xludf.DUMMYFUNCTION("""COMPUTED_VALUE"""),"TA")</f>
        <v>TA</v>
      </c>
      <c r="H5" s="17"/>
      <c r="I5" s="17"/>
      <c r="J5" s="17"/>
      <c r="K5" s="19"/>
      <c r="L5" s="19"/>
      <c r="M5" s="16"/>
      <c r="N5" s="16"/>
      <c r="O5" s="16"/>
      <c r="P5" s="16"/>
      <c r="Q5" s="16"/>
      <c r="R5" s="19"/>
      <c r="S5" s="16"/>
      <c r="T5" s="16"/>
      <c r="U5" s="16"/>
      <c r="V5" s="21"/>
      <c r="W5" s="22"/>
    </row>
    <row r="6" ht="22.5" hidden="1" customHeight="1" outlineLevel="1">
      <c r="A6" s="8"/>
      <c r="B6" s="9"/>
      <c r="C6" s="9"/>
      <c r="D6" s="10"/>
      <c r="E6" s="10"/>
      <c r="F6" s="10" t="str">
        <f>IFERROR(__xludf.DUMMYFUNCTION("""COMPUTED_VALUE"""),"1899")</f>
        <v>1899</v>
      </c>
      <c r="G6" s="16" t="str">
        <f>IFERROR(__xludf.DUMMYFUNCTION("""COMPUTED_VALUE"""),"MANAJEMEN")</f>
        <v>MANAJEMEN</v>
      </c>
      <c r="H6" s="17" t="str">
        <f>IFERROR(__xludf.DUMMYFUNCTION("""COMPUTED_VALUE"""),"MANAJEMEN")</f>
        <v>MANAJEMEN</v>
      </c>
      <c r="I6" s="17"/>
      <c r="J6" s="17"/>
      <c r="K6" s="19"/>
      <c r="L6" s="19"/>
      <c r="M6" s="16"/>
      <c r="N6" s="16"/>
      <c r="O6" s="16"/>
      <c r="P6" s="16"/>
      <c r="Q6" s="16"/>
      <c r="R6" s="19"/>
      <c r="S6" s="16"/>
      <c r="T6" s="16"/>
      <c r="U6" s="16"/>
      <c r="V6" s="21"/>
      <c r="W6" s="22"/>
    </row>
    <row r="7" ht="22.5" customHeight="1" collapsed="1">
      <c r="A7" s="8"/>
      <c r="B7" s="9"/>
      <c r="C7" s="9"/>
      <c r="D7" s="10"/>
      <c r="E7" s="10"/>
      <c r="F7" s="10" t="str">
        <f>IFERROR(__xludf.DUMMYFUNCTION("""COMPUTED_VALUE"""),"1899")</f>
        <v>1899</v>
      </c>
      <c r="G7" s="16" t="str">
        <f>IFERROR(__xludf.DUMMYFUNCTION("""COMPUTED_VALUE"""),"KHUSUS")</f>
        <v>KHUSUS</v>
      </c>
      <c r="H7" s="17" t="str">
        <f>IFERROR(__xludf.DUMMYFUNCTION("""COMPUTED_VALUE"""),"KHUSUS")</f>
        <v>KHUSUS</v>
      </c>
      <c r="I7" s="17"/>
      <c r="J7" s="17"/>
      <c r="K7" s="19"/>
      <c r="L7" s="19"/>
      <c r="M7" s="16"/>
      <c r="N7" s="16"/>
      <c r="O7" s="16"/>
      <c r="P7" s="16"/>
      <c r="Q7" s="16"/>
      <c r="R7" s="19"/>
      <c r="S7" s="16"/>
      <c r="T7" s="16"/>
      <c r="U7" s="16"/>
      <c r="V7" s="21"/>
      <c r="W7" s="22"/>
    </row>
    <row r="8" ht="22.5" customHeight="1">
      <c r="A8" s="8"/>
      <c r="B8" s="9"/>
      <c r="C8" s="9"/>
      <c r="D8" s="10"/>
      <c r="E8" s="10"/>
      <c r="F8" s="10" t="str">
        <f>IFERROR(__xludf.DUMMYFUNCTION("""COMPUTED_VALUE"""),"1899")</f>
        <v>1899</v>
      </c>
      <c r="G8" s="16" t="str">
        <f>IFERROR(__xludf.DUMMYFUNCTION("""COMPUTED_VALUE"""),"PIPO")</f>
        <v>PIPO</v>
      </c>
      <c r="H8" s="17" t="str">
        <f>IFERROR(__xludf.DUMMYFUNCTION("""COMPUTED_VALUE"""),"PANGSUMA FC")</f>
        <v>PANGSUMA FC</v>
      </c>
      <c r="I8" s="17"/>
      <c r="J8" s="17"/>
      <c r="K8" s="19"/>
      <c r="L8" s="19"/>
      <c r="M8" s="16"/>
      <c r="N8" s="16"/>
      <c r="O8" s="16"/>
      <c r="P8" s="16"/>
      <c r="Q8" s="16"/>
      <c r="R8" s="19"/>
      <c r="S8" s="16"/>
      <c r="T8" s="16"/>
      <c r="U8" s="16"/>
      <c r="V8" s="21"/>
      <c r="W8" s="22"/>
    </row>
    <row r="9" ht="22.5" customHeight="1">
      <c r="A9" s="8"/>
      <c r="B9" s="9"/>
      <c r="C9" s="9"/>
      <c r="D9" s="10"/>
      <c r="E9" s="10" t="str">
        <f>IFERROR(__xludf.DUMMYFUNCTION("""COMPUTED_VALUE"""),"")</f>
        <v/>
      </c>
      <c r="F9" s="10" t="str">
        <f>IFERROR(__xludf.DUMMYFUNCTION("""COMPUTED_VALUE"""),"1899")</f>
        <v>1899</v>
      </c>
      <c r="G9" s="16"/>
      <c r="H9" s="17" t="str">
        <f>IFERROR(__xludf.DUMMYFUNCTION("""COMPUTED_VALUE"""),"")</f>
        <v/>
      </c>
      <c r="I9" s="17" t="str">
        <f>IFERROR(__xludf.DUMMYFUNCTION("""COMPUTED_VALUE"""),"")</f>
        <v/>
      </c>
      <c r="J9" s="17" t="str">
        <f>IFERROR(__xludf.DUMMYFUNCTION("""COMPUTED_VALUE"""),"")</f>
        <v/>
      </c>
      <c r="K9" s="19"/>
      <c r="L9" s="19"/>
      <c r="M9" s="16"/>
      <c r="N9" s="16"/>
      <c r="O9" s="16"/>
      <c r="P9" s="16"/>
      <c r="Q9" s="16"/>
      <c r="R9" s="19"/>
      <c r="S9" s="16"/>
      <c r="T9" s="16"/>
      <c r="U9" s="16"/>
      <c r="V9" s="21"/>
      <c r="W9" s="22"/>
    </row>
    <row r="10" ht="22.5" customHeight="1">
      <c r="A10" s="8"/>
      <c r="B10" s="9">
        <f>IFERROR(__xludf.DUMMYFUNCTION("""COMPUTED_VALUE"""),45006.90524418982)</f>
        <v>45006.90524</v>
      </c>
      <c r="C10" s="9"/>
      <c r="D10" s="10">
        <f>IFERROR(__xludf.DUMMYFUNCTION("""COMPUTED_VALUE"""),44856.83403935185)</f>
        <v>44856.83404</v>
      </c>
      <c r="E10" s="10" t="str">
        <f>IFERROR(__xludf.DUMMYFUNCTION("""COMPUTED_VALUE"""),"10Okt")</f>
        <v>10Okt</v>
      </c>
      <c r="F10" s="10" t="str">
        <f>IFERROR(__xludf.DUMMYFUNCTION("""COMPUTED_VALUE"""),"2022")</f>
        <v>2022</v>
      </c>
      <c r="G10" s="16" t="str">
        <f>IFERROR(__xludf.DUMMYFUNCTION("""COMPUTED_VALUE"""),"ZHOFRAN FARRAS ATAYA")</f>
        <v>ZHOFRAN FARRAS ATAYA</v>
      </c>
      <c r="H10" s="17" t="str">
        <f>IFERROR(__xludf.DUMMYFUNCTION("""COMPUTED_VALUE"""),"Z0922105765")</f>
        <v>Z0922105765</v>
      </c>
      <c r="I10" s="17">
        <f>IFERROR(__xludf.DUMMYFUNCTION("""COMPUTED_VALUE"""),17.0)</f>
        <v>17</v>
      </c>
      <c r="J10" s="17" t="str">
        <f>IFERROR(__xludf.DUMMYFUNCTION("""COMPUTED_VALUE"""),"&lt; 18 tahun")</f>
        <v>&lt; 18 tahun</v>
      </c>
      <c r="K10" s="19">
        <f>IFERROR(__xludf.DUMMYFUNCTION("""COMPUTED_VALUE"""),39833.0)</f>
        <v>39833</v>
      </c>
      <c r="L10" s="19" t="str">
        <f>IFERROR(__xludf.DUMMYFUNCTION("""COMPUTED_VALUE"""),"LAKI-LAKI")</f>
        <v>LAKI-LAKI</v>
      </c>
      <c r="M10" s="16" t="str">
        <f>IFERROR(__xludf.DUMMYFUNCTION("""COMPUTED_VALUE"""),"JL. PARIT H. MUKSIN KOMP. PERMATA HIJAU")</f>
        <v>JL. PARIT H. MUKSIN KOMP. PERMATA HIJAU</v>
      </c>
      <c r="N10" s="16" t="str">
        <f>IFERROR(__xludf.DUMMYFUNCTION("""COMPUTED_VALUE"""),"")</f>
        <v/>
      </c>
      <c r="O10" s="16"/>
      <c r="P10" s="16"/>
      <c r="Q10" s="16"/>
      <c r="R10" s="19" t="str">
        <f>IFERROR(__xludf.DUMMYFUNCTION("""COMPUTED_VALUE"""),"ISLAM")</f>
        <v>ISLAM</v>
      </c>
      <c r="S10" s="16" t="str">
        <f>IFERROR(__xludf.DUMMYFUNCTION("""COMPUTED_VALUE"""),"PELAJAR/MAHASISWA")</f>
        <v>PELAJAR/MAHASISWA</v>
      </c>
      <c r="T10" s="16" t="str">
        <f>IFERROR(__xludf.DUMMYFUNCTION("""COMPUTED_VALUE"""),"SIKU - LENGAN BAWAH")</f>
        <v>SIKU - LENGAN BAWAH</v>
      </c>
      <c r="U10" s="16" t="str">
        <f>IFERROR(__xludf.DUMMYFUNCTION("""COMPUTED_VALUE"""),"")</f>
        <v/>
      </c>
      <c r="V10" s="21" t="str">
        <f>IFERROR(__xludf.DUMMYFUNCTION("""COMPUTED_VALUE"""),"082149675765")</f>
        <v>082149675765</v>
      </c>
      <c r="W10" s="22"/>
    </row>
    <row r="11" ht="22.5" customHeight="1">
      <c r="A11" s="8"/>
      <c r="B11" s="9">
        <f>IFERROR(__xludf.DUMMYFUNCTION("""COMPUTED_VALUE"""),45006.90415178241)</f>
        <v>45006.90415</v>
      </c>
      <c r="C11" s="9"/>
      <c r="D11" s="10">
        <f>IFERROR(__xludf.DUMMYFUNCTION("""COMPUTED_VALUE"""),44857.73925293981)</f>
        <v>44857.73925</v>
      </c>
      <c r="E11" s="10" t="str">
        <f>IFERROR(__xludf.DUMMYFUNCTION("""COMPUTED_VALUE"""),"10Okt")</f>
        <v>10Okt</v>
      </c>
      <c r="F11" s="10" t="str">
        <f>IFERROR(__xludf.DUMMYFUNCTION("""COMPUTED_VALUE"""),"2022")</f>
        <v>2022</v>
      </c>
      <c r="G11" s="16" t="str">
        <f>IFERROR(__xludf.DUMMYFUNCTION("""COMPUTED_VALUE"""),"DIAH SUCI RINI")</f>
        <v>DIAH SUCI RINI</v>
      </c>
      <c r="H11" s="17" t="str">
        <f>IFERROR(__xludf.DUMMYFUNCTION("""COMPUTED_VALUE"""),"D5722102445")</f>
        <v>D5722102445</v>
      </c>
      <c r="I11" s="17">
        <f>IFERROR(__xludf.DUMMYFUNCTION("""COMPUTED_VALUE"""),68.0)</f>
        <v>68</v>
      </c>
      <c r="J11" s="17" t="str">
        <f>IFERROR(__xludf.DUMMYFUNCTION("""COMPUTED_VALUE"""),"&gt; 44 tahun")</f>
        <v>&gt; 44 tahun</v>
      </c>
      <c r="K11" s="19">
        <f>IFERROR(__xludf.DUMMYFUNCTION("""COMPUTED_VALUE"""),21049.0)</f>
        <v>21049</v>
      </c>
      <c r="L11" s="19" t="str">
        <f>IFERROR(__xludf.DUMMYFUNCTION("""COMPUTED_VALUE"""),"PEREMPUAN")</f>
        <v>PEREMPUAN</v>
      </c>
      <c r="M11" s="16" t="str">
        <f>IFERROR(__xludf.DUMMYFUNCTION("""COMPUTED_VALUE"""),"JL. BERSAMA GG. BERSAMA")</f>
        <v>JL. BERSAMA GG. BERSAMA</v>
      </c>
      <c r="N11" s="16"/>
      <c r="O11" s="16"/>
      <c r="P11" s="16"/>
      <c r="Q11" s="16"/>
      <c r="R11" s="19" t="str">
        <f>IFERROR(__xludf.DUMMYFUNCTION("""COMPUTED_VALUE"""),"ISLAM")</f>
        <v>ISLAM</v>
      </c>
      <c r="S11" s="16" t="str">
        <f>IFERROR(__xludf.DUMMYFUNCTION("""COMPUTED_VALUE"""),"PENSIUN")</f>
        <v>PENSIUN</v>
      </c>
      <c r="T11" s="16" t="str">
        <f>IFERROR(__xludf.DUMMYFUNCTION("""COMPUTED_VALUE"""),"TULANG BELAKANG")</f>
        <v>TULANG BELAKANG</v>
      </c>
      <c r="U11" s="16" t="str">
        <f>IFERROR(__xludf.DUMMYFUNCTION("""COMPUTED_VALUE"""),"")</f>
        <v/>
      </c>
      <c r="V11" s="21" t="str">
        <f>IFERROR(__xludf.DUMMYFUNCTION("""COMPUTED_VALUE"""),"082158402445")</f>
        <v>082158402445</v>
      </c>
      <c r="W11" s="22"/>
    </row>
    <row r="12" ht="22.5" customHeight="1">
      <c r="A12" s="8"/>
      <c r="B12" s="9">
        <f>IFERROR(__xludf.DUMMYFUNCTION("""COMPUTED_VALUE"""),45006.96855240741)</f>
        <v>45006.96855</v>
      </c>
      <c r="C12" s="9"/>
      <c r="D12" s="10">
        <f>IFERROR(__xludf.DUMMYFUNCTION("""COMPUTED_VALUE"""),44921.725439814814)</f>
        <v>44921.72544</v>
      </c>
      <c r="E12" s="10" t="str">
        <f>IFERROR(__xludf.DUMMYFUNCTION("""COMPUTED_VALUE"""),"12Des")</f>
        <v>12Des</v>
      </c>
      <c r="F12" s="10" t="str">
        <f>IFERROR(__xludf.DUMMYFUNCTION("""COMPUTED_VALUE"""),"2022")</f>
        <v>2022</v>
      </c>
      <c r="G12" s="16" t="str">
        <f>IFERROR(__xludf.DUMMYFUNCTION("""COMPUTED_VALUE"""),"MEIZARANI HELJA")</f>
        <v>MEIZARANI HELJA</v>
      </c>
      <c r="H12" s="17" t="str">
        <f>IFERROR(__xludf.DUMMYFUNCTION("""COMPUTED_VALUE"""),"M9322128010")</f>
        <v>M9322128010</v>
      </c>
      <c r="I12" s="17">
        <f>IFERROR(__xludf.DUMMYFUNCTION("""COMPUTED_VALUE"""),33.0)</f>
        <v>33</v>
      </c>
      <c r="J12" s="17" t="str">
        <f>IFERROR(__xludf.DUMMYFUNCTION("""COMPUTED_VALUE"""),"25-34 tahun")</f>
        <v>25-34 tahun</v>
      </c>
      <c r="K12" s="19">
        <f>IFERROR(__xludf.DUMMYFUNCTION("""COMPUTED_VALUE"""),34100.0)</f>
        <v>34100</v>
      </c>
      <c r="L12" s="19" t="str">
        <f>IFERROR(__xludf.DUMMYFUNCTION("""COMPUTED_VALUE"""),"PEREMPUAN")</f>
        <v>PEREMPUAN</v>
      </c>
      <c r="M12" s="16" t="str">
        <f>IFERROR(__xludf.DUMMYFUNCTION("""COMPUTED_VALUE"""),"JL. KOMYOS SOEDARSO GG, SAMBAS")</f>
        <v>JL. KOMYOS SOEDARSO GG, SAMBAS</v>
      </c>
      <c r="N12" s="16"/>
      <c r="O12" s="16"/>
      <c r="P12" s="16"/>
      <c r="Q12" s="16"/>
      <c r="R12" s="19" t="str">
        <f>IFERROR(__xludf.DUMMYFUNCTION("""COMPUTED_VALUE"""),"ISLAM")</f>
        <v>ISLAM</v>
      </c>
      <c r="S12" s="16" t="str">
        <f>IFERROR(__xludf.DUMMYFUNCTION("""COMPUTED_VALUE"""),"BPD")</f>
        <v>BPD</v>
      </c>
      <c r="T12" s="16" t="str">
        <f>IFERROR(__xludf.DUMMYFUNCTION("""COMPUTED_VALUE"""),"KEPALA - LEHER")</f>
        <v>KEPALA - LEHER</v>
      </c>
      <c r="U12" s="16" t="str">
        <f>IFERROR(__xludf.DUMMYFUNCTION("""COMPUTED_VALUE"""),"")</f>
        <v/>
      </c>
      <c r="V12" s="21" t="str">
        <f>IFERROR(__xludf.DUMMYFUNCTION("""COMPUTED_VALUE"""),"085245008010")</f>
        <v>085245008010</v>
      </c>
      <c r="W12" s="22"/>
    </row>
    <row r="13" ht="22.5" customHeight="1">
      <c r="A13" s="8"/>
      <c r="B13" s="9">
        <f>IFERROR(__xludf.DUMMYFUNCTION("""COMPUTED_VALUE"""),45006.910388958335)</f>
        <v>45006.91039</v>
      </c>
      <c r="C13" s="9"/>
      <c r="D13" s="10">
        <f>IFERROR(__xludf.DUMMYFUNCTION("""COMPUTED_VALUE"""),44928.0)</f>
        <v>44928</v>
      </c>
      <c r="E13" s="10" t="str">
        <f>IFERROR(__xludf.DUMMYFUNCTION("""COMPUTED_VALUE"""),"01Jan")</f>
        <v>01Jan</v>
      </c>
      <c r="F13" s="10" t="str">
        <f>IFERROR(__xludf.DUMMYFUNCTION("""COMPUTED_VALUE"""),"2023")</f>
        <v>2023</v>
      </c>
      <c r="G13" s="16" t="str">
        <f>IFERROR(__xludf.DUMMYFUNCTION("""COMPUTED_VALUE"""),"HUWAIDAH THIFAL NAURAH")</f>
        <v>HUWAIDAH THIFAL NAURAH</v>
      </c>
      <c r="H13" s="17" t="str">
        <f>IFERROR(__xludf.DUMMYFUNCTION("""COMPUTED_VALUE"""),"H0123016085")</f>
        <v>H0123016085</v>
      </c>
      <c r="I13" s="17">
        <f>IFERROR(__xludf.DUMMYFUNCTION("""COMPUTED_VALUE"""),25.0)</f>
        <v>25</v>
      </c>
      <c r="J13" s="17" t="str">
        <f>IFERROR(__xludf.DUMMYFUNCTION("""COMPUTED_VALUE"""),"25-34 tahun")</f>
        <v>25-34 tahun</v>
      </c>
      <c r="K13" s="19">
        <f>IFERROR(__xludf.DUMMYFUNCTION("""COMPUTED_VALUE"""),37038.0)</f>
        <v>37038</v>
      </c>
      <c r="L13" s="19" t="str">
        <f>IFERROR(__xludf.DUMMYFUNCTION("""COMPUTED_VALUE"""),"PEREMPUAN")</f>
        <v>PEREMPUAN</v>
      </c>
      <c r="M13" s="16" t="str">
        <f>IFERROR(__xludf.DUMMYFUNCTION("""COMPUTED_VALUE"""),"JL. KARET KOMP SEJAHTERA")</f>
        <v>JL. KARET KOMP SEJAHTERA</v>
      </c>
      <c r="N13" s="16"/>
      <c r="O13" s="16"/>
      <c r="P13" s="16"/>
      <c r="Q13" s="16"/>
      <c r="R13" s="19" t="str">
        <f>IFERROR(__xludf.DUMMYFUNCTION("""COMPUTED_VALUE"""),"ISLAM")</f>
        <v>ISLAM</v>
      </c>
      <c r="S13" s="16" t="str">
        <f>IFERROR(__xludf.DUMMYFUNCTION("""COMPUTED_VALUE"""),"DOSEN/GURU")</f>
        <v>DOSEN/GURU</v>
      </c>
      <c r="T13" s="16" t="str">
        <f>IFERROR(__xludf.DUMMYFUNCTION("""COMPUTED_VALUE"""),"PINGGANG")</f>
        <v>PINGGANG</v>
      </c>
      <c r="U13" s="16" t="str">
        <f>IFERROR(__xludf.DUMMYFUNCTION("""COMPUTED_VALUE"""),"")</f>
        <v/>
      </c>
      <c r="V13" s="21" t="str">
        <f>IFERROR(__xludf.DUMMYFUNCTION("""COMPUTED_VALUE"""),"085349896085")</f>
        <v>085349896085</v>
      </c>
      <c r="W13" s="22"/>
    </row>
    <row r="14" ht="22.5" customHeight="1">
      <c r="A14" s="8"/>
      <c r="B14" s="9">
        <f>IFERROR(__xludf.DUMMYFUNCTION("""COMPUTED_VALUE"""),44941.5940162037)</f>
        <v>44941.59402</v>
      </c>
      <c r="C14" s="9"/>
      <c r="D14" s="10">
        <f>IFERROR(__xludf.DUMMYFUNCTION("""COMPUTED_VALUE"""),44928.0)</f>
        <v>44928</v>
      </c>
      <c r="E14" s="10" t="str">
        <f>IFERROR(__xludf.DUMMYFUNCTION("""COMPUTED_VALUE"""),"01Jan")</f>
        <v>01Jan</v>
      </c>
      <c r="F14" s="10" t="str">
        <f>IFERROR(__xludf.DUMMYFUNCTION("""COMPUTED_VALUE"""),"2023")</f>
        <v>2023</v>
      </c>
      <c r="G14" s="16" t="str">
        <f>IFERROR(__xludf.DUMMYFUNCTION("""COMPUTED_VALUE"""),"SUFIRNA")</f>
        <v>SUFIRNA</v>
      </c>
      <c r="H14" s="17" t="str">
        <f>IFERROR(__xludf.DUMMYFUNCTION("""COMPUTED_VALUE"""),"S7823018882")</f>
        <v>S7823018882</v>
      </c>
      <c r="I14" s="17">
        <f>IFERROR(__xludf.DUMMYFUNCTION("""COMPUTED_VALUE"""),48.0)</f>
        <v>48</v>
      </c>
      <c r="J14" s="17" t="str">
        <f>IFERROR(__xludf.DUMMYFUNCTION("""COMPUTED_VALUE"""),"&gt; 44 tahun")</f>
        <v>&gt; 44 tahun</v>
      </c>
      <c r="K14" s="19">
        <f>IFERROR(__xludf.DUMMYFUNCTION("""COMPUTED_VALUE"""),28629.0)</f>
        <v>28629</v>
      </c>
      <c r="L14" s="19" t="str">
        <f>IFERROR(__xludf.DUMMYFUNCTION("""COMPUTED_VALUE"""),"PEREMPUAN")</f>
        <v>PEREMPUAN</v>
      </c>
      <c r="M14" s="16" t="str">
        <f>IFERROR(__xludf.DUMMYFUNCTION("""COMPUTED_VALUE"""),"JL HIJAS NO 193")</f>
        <v>JL HIJAS NO 193</v>
      </c>
      <c r="N14" s="16"/>
      <c r="O14" s="16"/>
      <c r="P14" s="16"/>
      <c r="Q14" s="16"/>
      <c r="R14" s="19" t="str">
        <f>IFERROR(__xludf.DUMMYFUNCTION("""COMPUTED_VALUE"""),"BUDDHA")</f>
        <v>BUDDHA</v>
      </c>
      <c r="S14" s="16" t="str">
        <f>IFERROR(__xludf.DUMMYFUNCTION("""COMPUTED_VALUE"""),"SWASTA")</f>
        <v>SWASTA</v>
      </c>
      <c r="T14" s="16" t="str">
        <f>IFERROR(__xludf.DUMMYFUNCTION("""COMPUTED_VALUE"""),"JARI TANGAN")</f>
        <v>JARI TANGAN</v>
      </c>
      <c r="U14" s="16" t="str">
        <f>IFERROR(__xludf.DUMMYFUNCTION("""COMPUTED_VALUE"""),"-")</f>
        <v>-</v>
      </c>
      <c r="V14" s="21" t="str">
        <f>IFERROR(__xludf.DUMMYFUNCTION("""COMPUTED_VALUE"""),"082148458882")</f>
        <v>082148458882</v>
      </c>
      <c r="W14" s="22"/>
    </row>
    <row r="15" ht="22.5" customHeight="1">
      <c r="A15" s="8"/>
      <c r="B15" s="9">
        <f>IFERROR(__xludf.DUMMYFUNCTION("""COMPUTED_VALUE"""),44951.8272337963)</f>
        <v>44951.82723</v>
      </c>
      <c r="C15" s="9"/>
      <c r="D15" s="10">
        <f>IFERROR(__xludf.DUMMYFUNCTION("""COMPUTED_VALUE"""),44929.0)</f>
        <v>44929</v>
      </c>
      <c r="E15" s="10" t="str">
        <f>IFERROR(__xludf.DUMMYFUNCTION("""COMPUTED_VALUE"""),"01Jan")</f>
        <v>01Jan</v>
      </c>
      <c r="F15" s="10" t="str">
        <f>IFERROR(__xludf.DUMMYFUNCTION("""COMPUTED_VALUE"""),"2023")</f>
        <v>2023</v>
      </c>
      <c r="G15" s="16" t="str">
        <f>IFERROR(__xludf.DUMMYFUNCTION("""COMPUTED_VALUE"""),"ALVIN DIYANDRA")</f>
        <v>ALVIN DIYANDRA</v>
      </c>
      <c r="H15" s="17" t="str">
        <f>IFERROR(__xludf.DUMMYFUNCTION("""COMPUTED_VALUE"""),"A9723017817")</f>
        <v>A9723017817</v>
      </c>
      <c r="I15" s="17">
        <f>IFERROR(__xludf.DUMMYFUNCTION("""COMPUTED_VALUE"""),29.0)</f>
        <v>29</v>
      </c>
      <c r="J15" s="17" t="str">
        <f>IFERROR(__xludf.DUMMYFUNCTION("""COMPUTED_VALUE"""),"25-34 tahun")</f>
        <v>25-34 tahun</v>
      </c>
      <c r="K15" s="19">
        <f>IFERROR(__xludf.DUMMYFUNCTION("""COMPUTED_VALUE"""),35517.0)</f>
        <v>35517</v>
      </c>
      <c r="L15" s="19" t="str">
        <f>IFERROR(__xludf.DUMMYFUNCTION("""COMPUTED_VALUE"""),"LAKI-LAKI")</f>
        <v>LAKI-LAKI</v>
      </c>
      <c r="M15" s="16" t="str">
        <f>IFERROR(__xludf.DUMMYFUNCTION("""COMPUTED_VALUE"""),"JL PARIS 2 KOMP BALIMAS 2 NO B8")</f>
        <v>JL PARIS 2 KOMP BALIMAS 2 NO B8</v>
      </c>
      <c r="N15" s="16"/>
      <c r="O15" s="16"/>
      <c r="P15" s="16"/>
      <c r="Q15" s="16"/>
      <c r="R15" s="19" t="str">
        <f>IFERROR(__xludf.DUMMYFUNCTION("""COMPUTED_VALUE"""),"ISLAM")</f>
        <v>ISLAM</v>
      </c>
      <c r="S15" s="16" t="str">
        <f>IFERROR(__xludf.DUMMYFUNCTION("""COMPUTED_VALUE"""),"SWASTA")</f>
        <v>SWASTA</v>
      </c>
      <c r="T15" s="16" t="str">
        <f>IFERROR(__xludf.DUMMYFUNCTION("""COMPUTED_VALUE"""),"BAHU")</f>
        <v>BAHU</v>
      </c>
      <c r="U15" s="16" t="str">
        <f>IFERROR(__xludf.DUMMYFUNCTION("""COMPUTED_VALUE"""),"-")</f>
        <v>-</v>
      </c>
      <c r="V15" s="21" t="str">
        <f>IFERROR(__xludf.DUMMYFUNCTION("""COMPUTED_VALUE"""),"08988277817")</f>
        <v>08988277817</v>
      </c>
      <c r="W15" s="22"/>
    </row>
    <row r="16" ht="22.5" customHeight="1">
      <c r="A16" s="8"/>
      <c r="B16" s="9">
        <f>IFERROR(__xludf.DUMMYFUNCTION("""COMPUTED_VALUE"""),44971.58675925926)</f>
        <v>44971.58676</v>
      </c>
      <c r="C16" s="9"/>
      <c r="D16" s="10">
        <f>IFERROR(__xludf.DUMMYFUNCTION("""COMPUTED_VALUE"""),44929.0)</f>
        <v>44929</v>
      </c>
      <c r="E16" s="10" t="str">
        <f>IFERROR(__xludf.DUMMYFUNCTION("""COMPUTED_VALUE"""),"01Jan")</f>
        <v>01Jan</v>
      </c>
      <c r="F16" s="10" t="str">
        <f>IFERROR(__xludf.DUMMYFUNCTION("""COMPUTED_VALUE"""),"2023")</f>
        <v>2023</v>
      </c>
      <c r="G16" s="16" t="str">
        <f>IFERROR(__xludf.DUMMYFUNCTION("""COMPUTED_VALUE"""),"ANDI ICHWANUL AZWAR")</f>
        <v>ANDI ICHWANUL AZWAR</v>
      </c>
      <c r="H16" s="17" t="str">
        <f>IFERROR(__xludf.DUMMYFUNCTION("""COMPUTED_VALUE"""),"A8823011011")</f>
        <v>A8823011011</v>
      </c>
      <c r="I16" s="17">
        <f>IFERROR(__xludf.DUMMYFUNCTION("""COMPUTED_VALUE"""),37.0)</f>
        <v>37</v>
      </c>
      <c r="J16" s="17" t="str">
        <f>IFERROR(__xludf.DUMMYFUNCTION("""COMPUTED_VALUE"""),"35-44 tahun")</f>
        <v>35-44 tahun</v>
      </c>
      <c r="K16" s="19">
        <f>IFERROR(__xludf.DUMMYFUNCTION("""COMPUTED_VALUE"""),32379.0)</f>
        <v>32379</v>
      </c>
      <c r="L16" s="19" t="str">
        <f>IFERROR(__xludf.DUMMYFUNCTION("""COMPUTED_VALUE"""),"LAKI-LAKI")</f>
        <v>LAKI-LAKI</v>
      </c>
      <c r="M16" s="16" t="str">
        <f>IFERROR(__xludf.DUMMYFUNCTION("""COMPUTED_VALUE"""),"JL. H. R. A. RAHMAN GG. GUNUNG SAHARI")</f>
        <v>JL. H. R. A. RAHMAN GG. GUNUNG SAHARI</v>
      </c>
      <c r="N16" s="16"/>
      <c r="O16" s="16"/>
      <c r="P16" s="16"/>
      <c r="Q16" s="16"/>
      <c r="R16" s="19" t="str">
        <f>IFERROR(__xludf.DUMMYFUNCTION("""COMPUTED_VALUE"""),"ISLAM")</f>
        <v>ISLAM</v>
      </c>
      <c r="S16" s="16" t="str">
        <f>IFERROR(__xludf.DUMMYFUNCTION("""COMPUTED_VALUE"""),"SWASTA")</f>
        <v>SWASTA</v>
      </c>
      <c r="T16" s="16" t="str">
        <f>IFERROR(__xludf.DUMMYFUNCTION("""COMPUTED_VALUE"""),"- TUNGKAI BAWAH")</f>
        <v>- TUNGKAI BAWAH</v>
      </c>
      <c r="U16" s="16" t="str">
        <f>IFERROR(__xludf.DUMMYFUNCTION("""COMPUTED_VALUE"""),"")</f>
        <v/>
      </c>
      <c r="V16" s="21" t="str">
        <f>IFERROR(__xludf.DUMMYFUNCTION("""COMPUTED_VALUE"""),"08115691011")</f>
        <v>08115691011</v>
      </c>
      <c r="W16" s="22"/>
    </row>
    <row r="17" ht="22.5" customHeight="1">
      <c r="A17" s="23"/>
      <c r="B17" s="24">
        <f>IFERROR(__xludf.DUMMYFUNCTION("""COMPUTED_VALUE"""),45006.87813922454)</f>
        <v>45006.87814</v>
      </c>
      <c r="C17" s="24"/>
      <c r="D17" s="10">
        <f>IFERROR(__xludf.DUMMYFUNCTION("""COMPUTED_VALUE"""),44930.0)</f>
        <v>44930</v>
      </c>
      <c r="E17" s="10" t="str">
        <f>IFERROR(__xludf.DUMMYFUNCTION("""COMPUTED_VALUE"""),"01Jan")</f>
        <v>01Jan</v>
      </c>
      <c r="F17" s="10" t="str">
        <f>IFERROR(__xludf.DUMMYFUNCTION("""COMPUTED_VALUE"""),"2023")</f>
        <v>2023</v>
      </c>
      <c r="G17" s="16" t="str">
        <f>IFERROR(__xludf.DUMMYFUNCTION("""COMPUTED_VALUE"""),"AREEFAQEEL DIEN HAQQ")</f>
        <v>AREEFAQEEL DIEN HAQQ</v>
      </c>
      <c r="H17" s="17" t="str">
        <f>IFERROR(__xludf.DUMMYFUNCTION("""COMPUTED_VALUE"""),"A1023015335")</f>
        <v>A1023015335</v>
      </c>
      <c r="I17" s="17">
        <f>IFERROR(__xludf.DUMMYFUNCTION("""COMPUTED_VALUE"""),15.0)</f>
        <v>15</v>
      </c>
      <c r="J17" s="17" t="str">
        <f>IFERROR(__xludf.DUMMYFUNCTION("""COMPUTED_VALUE"""),"&lt; 18 tahun")</f>
        <v>&lt; 18 tahun</v>
      </c>
      <c r="K17" s="19">
        <f>IFERROR(__xludf.DUMMYFUNCTION("""COMPUTED_VALUE"""),40440.0)</f>
        <v>40440</v>
      </c>
      <c r="L17" s="19" t="str">
        <f>IFERROR(__xludf.DUMMYFUNCTION("""COMPUTED_VALUE"""),"LAKI-LAKI")</f>
        <v>LAKI-LAKI</v>
      </c>
      <c r="M17" s="16" t="str">
        <f>IFERROR(__xludf.DUMMYFUNCTION("""COMPUTED_VALUE"""),"JL A R SALEH III NO 16")</f>
        <v>JL A R SALEH III NO 16</v>
      </c>
      <c r="N17" s="16"/>
      <c r="O17" s="16"/>
      <c r="P17" s="16"/>
      <c r="Q17" s="16"/>
      <c r="R17" s="19" t="str">
        <f>IFERROR(__xludf.DUMMYFUNCTION("""COMPUTED_VALUE"""),"ISLAM")</f>
        <v>ISLAM</v>
      </c>
      <c r="S17" s="16" t="str">
        <f>IFERROR(__xludf.DUMMYFUNCTION("""COMPUTED_VALUE"""),"PELAJAR/MAHASISWA")</f>
        <v>PELAJAR/MAHASISWA</v>
      </c>
      <c r="T17" s="16"/>
      <c r="U17" s="16" t="str">
        <f>IFERROR(__xludf.DUMMYFUNCTION("""COMPUTED_VALUE"""),"")</f>
        <v/>
      </c>
      <c r="V17" s="21" t="str">
        <f>IFERROR(__xludf.DUMMYFUNCTION("""COMPUTED_VALUE"""),"081257035335")</f>
        <v>081257035335</v>
      </c>
      <c r="W17" s="22"/>
    </row>
    <row r="18" ht="22.5" customHeight="1">
      <c r="A18" s="25"/>
      <c r="B18" s="26">
        <f>IFERROR(__xludf.DUMMYFUNCTION("""COMPUTED_VALUE"""),44985.451886574076)</f>
        <v>44985.45189</v>
      </c>
      <c r="C18" s="26"/>
      <c r="D18" s="10">
        <f>IFERROR(__xludf.DUMMYFUNCTION("""COMPUTED_VALUE"""),44930.0)</f>
        <v>44930</v>
      </c>
      <c r="E18" s="10" t="str">
        <f>IFERROR(__xludf.DUMMYFUNCTION("""COMPUTED_VALUE"""),"01Jan")</f>
        <v>01Jan</v>
      </c>
      <c r="F18" s="10" t="str">
        <f>IFERROR(__xludf.DUMMYFUNCTION("""COMPUTED_VALUE"""),"2023")</f>
        <v>2023</v>
      </c>
      <c r="G18" s="16" t="str">
        <f>IFERROR(__xludf.DUMMYFUNCTION("""COMPUTED_VALUE"""),"NURLINA")</f>
        <v>NURLINA</v>
      </c>
      <c r="H18" s="17" t="str">
        <f>IFERROR(__xludf.DUMMYFUNCTION("""COMPUTED_VALUE"""),"N8523017483")</f>
        <v>N8523017483</v>
      </c>
      <c r="I18" s="17">
        <f>IFERROR(__xludf.DUMMYFUNCTION("""COMPUTED_VALUE"""),40.0)</f>
        <v>40</v>
      </c>
      <c r="J18" s="17" t="str">
        <f>IFERROR(__xludf.DUMMYFUNCTION("""COMPUTED_VALUE"""),"35-44 tahun")</f>
        <v>35-44 tahun</v>
      </c>
      <c r="K18" s="19">
        <f>IFERROR(__xludf.DUMMYFUNCTION("""COMPUTED_VALUE"""),31343.0)</f>
        <v>31343</v>
      </c>
      <c r="L18" s="19" t="str">
        <f>IFERROR(__xludf.DUMMYFUNCTION("""COMPUTED_VALUE"""),"PEREMPUAN")</f>
        <v>PEREMPUAN</v>
      </c>
      <c r="M18" s="16" t="str">
        <f>IFERROR(__xludf.DUMMYFUNCTION("""COMPUTED_VALUE"""),"JL. K. H. W. HASYIM GG. USAHA 1 NO. 17")</f>
        <v>JL. K. H. W. HASYIM GG. USAHA 1 NO. 17</v>
      </c>
      <c r="N18" s="16"/>
      <c r="O18" s="16"/>
      <c r="P18" s="16"/>
      <c r="Q18" s="16"/>
      <c r="R18" s="19" t="str">
        <f>IFERROR(__xludf.DUMMYFUNCTION("""COMPUTED_VALUE"""),"ISLAM")</f>
        <v>ISLAM</v>
      </c>
      <c r="S18" s="16" t="str">
        <f>IFERROR(__xludf.DUMMYFUNCTION("""COMPUTED_VALUE"""),"DOSEN/GURU")</f>
        <v>DOSEN/GURU</v>
      </c>
      <c r="T18" s="16" t="str">
        <f>IFERROR(__xludf.DUMMYFUNCTION("""COMPUTED_VALUE"""),"TELAPAK KAKI")</f>
        <v>TELAPAK KAKI</v>
      </c>
      <c r="U18" s="16" t="str">
        <f>IFERROR(__xludf.DUMMYFUNCTION("""COMPUTED_VALUE"""),"")</f>
        <v/>
      </c>
      <c r="V18" s="21" t="str">
        <f>IFERROR(__xludf.DUMMYFUNCTION("""COMPUTED_VALUE"""),"08565007483")</f>
        <v>08565007483</v>
      </c>
      <c r="W18" s="27"/>
    </row>
    <row r="19" ht="22.5" customHeight="1">
      <c r="A19" s="8"/>
      <c r="B19" s="9">
        <f>IFERROR(__xludf.DUMMYFUNCTION("""COMPUTED_VALUE"""),45011.63774479167)</f>
        <v>45011.63774</v>
      </c>
      <c r="C19" s="9"/>
      <c r="D19" s="10">
        <f>IFERROR(__xludf.DUMMYFUNCTION("""COMPUTED_VALUE"""),44931.0)</f>
        <v>44931</v>
      </c>
      <c r="E19" s="10" t="str">
        <f>IFERROR(__xludf.DUMMYFUNCTION("""COMPUTED_VALUE"""),"01Jan")</f>
        <v>01Jan</v>
      </c>
      <c r="F19" s="10" t="str">
        <f>IFERROR(__xludf.DUMMYFUNCTION("""COMPUTED_VALUE"""),"2023")</f>
        <v>2023</v>
      </c>
      <c r="G19" s="16" t="str">
        <f>IFERROR(__xludf.DUMMYFUNCTION("""COMPUTED_VALUE"""),"A. THENU")</f>
        <v>A. THENU</v>
      </c>
      <c r="H19" s="17" t="str">
        <f>IFERROR(__xludf.DUMMYFUNCTION("""COMPUTED_VALUE"""),"A7023018857")</f>
        <v>A7023018857</v>
      </c>
      <c r="I19" s="17">
        <f>IFERROR(__xludf.DUMMYFUNCTION("""COMPUTED_VALUE"""),55.0)</f>
        <v>55</v>
      </c>
      <c r="J19" s="17" t="str">
        <f>IFERROR(__xludf.DUMMYFUNCTION("""COMPUTED_VALUE"""),"&gt; 44 tahun")</f>
        <v>&gt; 44 tahun</v>
      </c>
      <c r="K19" s="19">
        <f>IFERROR(__xludf.DUMMYFUNCTION("""COMPUTED_VALUE"""),25875.0)</f>
        <v>25875</v>
      </c>
      <c r="L19" s="19" t="str">
        <f>IFERROR(__xludf.DUMMYFUNCTION("""COMPUTED_VALUE"""),"LAKI-LAKI")</f>
        <v>LAKI-LAKI</v>
      </c>
      <c r="M19" s="16" t="str">
        <f>IFERROR(__xludf.DUMMYFUNCTION("""COMPUTED_VALUE"""),"JL TABRANI AHMAD GG IKRAR NON70")</f>
        <v>JL TABRANI AHMAD GG IKRAR NON70</v>
      </c>
      <c r="N19" s="16"/>
      <c r="O19" s="16"/>
      <c r="P19" s="16"/>
      <c r="Q19" s="16"/>
      <c r="R19" s="19" t="str">
        <f>IFERROR(__xludf.DUMMYFUNCTION("""COMPUTED_VALUE"""),"PROTESTAN")</f>
        <v>PROTESTAN</v>
      </c>
      <c r="S19" s="16" t="str">
        <f>IFERROR(__xludf.DUMMYFUNCTION("""COMPUTED_VALUE"""),"SWASTA")</f>
        <v>SWASTA</v>
      </c>
      <c r="T19" s="16" t="str">
        <f>IFERROR(__xludf.DUMMYFUNCTION("""COMPUTED_VALUE"""),"PINGGANG")</f>
        <v>PINGGANG</v>
      </c>
      <c r="U19" s="16" t="str">
        <f>IFERROR(__xludf.DUMMYFUNCTION("""COMPUTED_VALUE"""),"-")</f>
        <v>-</v>
      </c>
      <c r="V19" s="21" t="str">
        <f>IFERROR(__xludf.DUMMYFUNCTION("""COMPUTED_VALUE"""),"08125728857")</f>
        <v>08125728857</v>
      </c>
      <c r="W19" s="22"/>
    </row>
    <row r="20" ht="22.5" customHeight="1">
      <c r="A20" s="8"/>
      <c r="B20" s="9">
        <f>IFERROR(__xludf.DUMMYFUNCTION("""COMPUTED_VALUE"""),45006.90633336805)</f>
        <v>45006.90633</v>
      </c>
      <c r="C20" s="9"/>
      <c r="D20" s="10">
        <f>IFERROR(__xludf.DUMMYFUNCTION("""COMPUTED_VALUE"""),44931.0)</f>
        <v>44931</v>
      </c>
      <c r="E20" s="10" t="str">
        <f>IFERROR(__xludf.DUMMYFUNCTION("""COMPUTED_VALUE"""),"01Jan")</f>
        <v>01Jan</v>
      </c>
      <c r="F20" s="10" t="str">
        <f>IFERROR(__xludf.DUMMYFUNCTION("""COMPUTED_VALUE"""),"2023")</f>
        <v>2023</v>
      </c>
      <c r="G20" s="16" t="str">
        <f>IFERROR(__xludf.DUMMYFUNCTION("""COMPUTED_VALUE"""),"ATIKA ALIFIA F. TOBING")</f>
        <v>ATIKA ALIFIA F. TOBING</v>
      </c>
      <c r="H20" s="17" t="str">
        <f>IFERROR(__xludf.DUMMYFUNCTION("""COMPUTED_VALUE"""),"A9023018425")</f>
        <v>A9023018425</v>
      </c>
      <c r="I20" s="17">
        <f>IFERROR(__xludf.DUMMYFUNCTION("""COMPUTED_VALUE"""),36.0)</f>
        <v>36</v>
      </c>
      <c r="J20" s="17" t="str">
        <f>IFERROR(__xludf.DUMMYFUNCTION("""COMPUTED_VALUE"""),"35-44 tahun")</f>
        <v>35-44 tahun</v>
      </c>
      <c r="K20" s="19">
        <f>IFERROR(__xludf.DUMMYFUNCTION("""COMPUTED_VALUE"""),32990.0)</f>
        <v>32990</v>
      </c>
      <c r="L20" s="19" t="str">
        <f>IFERROR(__xludf.DUMMYFUNCTION("""COMPUTED_VALUE"""),"PEREMPUAN")</f>
        <v>PEREMPUAN</v>
      </c>
      <c r="M20" s="16" t="str">
        <f>IFERROR(__xludf.DUMMYFUNCTION("""COMPUTED_VALUE"""),"JL. PADAT KARYA GG. KARYA BARU NO. A1")</f>
        <v>JL. PADAT KARYA GG. KARYA BARU NO. A1</v>
      </c>
      <c r="N20" s="16"/>
      <c r="O20" s="16"/>
      <c r="P20" s="16"/>
      <c r="Q20" s="16"/>
      <c r="R20" s="19" t="str">
        <f>IFERROR(__xludf.DUMMYFUNCTION("""COMPUTED_VALUE"""),"ISLAM")</f>
        <v>ISLAM</v>
      </c>
      <c r="S20" s="16" t="str">
        <f>IFERROR(__xludf.DUMMYFUNCTION("""COMPUTED_VALUE"""),"ASN")</f>
        <v>ASN</v>
      </c>
      <c r="T20" s="16" t="str">
        <f>IFERROR(__xludf.DUMMYFUNCTION("""COMPUTED_VALUE"""),"KAKI")</f>
        <v>KAKI</v>
      </c>
      <c r="U20" s="16" t="str">
        <f>IFERROR(__xludf.DUMMYFUNCTION("""COMPUTED_VALUE"""),"DUDUK LAMA")</f>
        <v>DUDUK LAMA</v>
      </c>
      <c r="V20" s="21" t="str">
        <f>IFERROR(__xludf.DUMMYFUNCTION("""COMPUTED_VALUE"""),"087789068425")</f>
        <v>087789068425</v>
      </c>
      <c r="W20" s="22"/>
    </row>
    <row r="21" ht="22.5" customHeight="1">
      <c r="A21" s="8"/>
      <c r="B21" s="9">
        <f>IFERROR(__xludf.DUMMYFUNCTION("""COMPUTED_VALUE"""),45011.640681296296)</f>
        <v>45011.64068</v>
      </c>
      <c r="C21" s="9"/>
      <c r="D21" s="10">
        <f>IFERROR(__xludf.DUMMYFUNCTION("""COMPUTED_VALUE"""),44931.0)</f>
        <v>44931</v>
      </c>
      <c r="E21" s="10" t="str">
        <f>IFERROR(__xludf.DUMMYFUNCTION("""COMPUTED_VALUE"""),"01Jan")</f>
        <v>01Jan</v>
      </c>
      <c r="F21" s="10" t="str">
        <f>IFERROR(__xludf.DUMMYFUNCTION("""COMPUTED_VALUE"""),"2023")</f>
        <v>2023</v>
      </c>
      <c r="G21" s="16" t="str">
        <f>IFERROR(__xludf.DUMMYFUNCTION("""COMPUTED_VALUE"""),"JAKA SEPTIADI")</f>
        <v>JAKA SEPTIADI</v>
      </c>
      <c r="H21" s="17" t="str">
        <f>IFERROR(__xludf.DUMMYFUNCTION("""COMPUTED_VALUE"""),"J8823016633")</f>
        <v>J8823016633</v>
      </c>
      <c r="I21" s="17">
        <f>IFERROR(__xludf.DUMMYFUNCTION("""COMPUTED_VALUE"""),38.0)</f>
        <v>38</v>
      </c>
      <c r="J21" s="17" t="str">
        <f>IFERROR(__xludf.DUMMYFUNCTION("""COMPUTED_VALUE"""),"35-44 tahun")</f>
        <v>35-44 tahun</v>
      </c>
      <c r="K21" s="19">
        <f>IFERROR(__xludf.DUMMYFUNCTION("""COMPUTED_VALUE"""),32239.0)</f>
        <v>32239</v>
      </c>
      <c r="L21" s="19" t="str">
        <f>IFERROR(__xludf.DUMMYFUNCTION("""COMPUTED_VALUE"""),"LAKI-LAKI")</f>
        <v>LAKI-LAKI</v>
      </c>
      <c r="M21" s="16" t="str">
        <f>IFERROR(__xludf.DUMMYFUNCTION("""COMPUTED_VALUE"""),"JL. PARIS 2 PONTIANAK")</f>
        <v>JL. PARIS 2 PONTIANAK</v>
      </c>
      <c r="N21" s="16"/>
      <c r="O21" s="16"/>
      <c r="P21" s="16"/>
      <c r="Q21" s="16"/>
      <c r="R21" s="19" t="str">
        <f>IFERROR(__xludf.DUMMYFUNCTION("""COMPUTED_VALUE"""),"ISLAM")</f>
        <v>ISLAM</v>
      </c>
      <c r="S21" s="16" t="str">
        <f>IFERROR(__xludf.DUMMYFUNCTION("""COMPUTED_VALUE"""),"SWASTA")</f>
        <v>SWASTA</v>
      </c>
      <c r="T21" s="16" t="str">
        <f>IFERROR(__xludf.DUMMYFUNCTION("""COMPUTED_VALUE"""),"PINGGANG")</f>
        <v>PINGGANG</v>
      </c>
      <c r="U21" s="16" t="str">
        <f>IFERROR(__xludf.DUMMYFUNCTION("""COMPUTED_VALUE"""),"DUDUK LAMA")</f>
        <v>DUDUK LAMA</v>
      </c>
      <c r="V21" s="21" t="str">
        <f>IFERROR(__xludf.DUMMYFUNCTION("""COMPUTED_VALUE"""),"081281616633")</f>
        <v>081281616633</v>
      </c>
      <c r="W21" s="22"/>
    </row>
    <row r="22" ht="22.5" customHeight="1">
      <c r="A22" s="8"/>
      <c r="B22" s="9">
        <f>IFERROR(__xludf.DUMMYFUNCTION("""COMPUTED_VALUE"""),44888.56218804399)</f>
        <v>44888.56219</v>
      </c>
      <c r="C22" s="9"/>
      <c r="D22" s="10">
        <f>IFERROR(__xludf.DUMMYFUNCTION("""COMPUTED_VALUE"""),44931.0)</f>
        <v>44931</v>
      </c>
      <c r="E22" s="10" t="str">
        <f>IFERROR(__xludf.DUMMYFUNCTION("""COMPUTED_VALUE"""),"01Jan")</f>
        <v>01Jan</v>
      </c>
      <c r="F22" s="10" t="str">
        <f>IFERROR(__xludf.DUMMYFUNCTION("""COMPUTED_VALUE"""),"2023")</f>
        <v>2023</v>
      </c>
      <c r="G22" s="16" t="str">
        <f>IFERROR(__xludf.DUMMYFUNCTION("""COMPUTED_VALUE"""),"MARIYO")</f>
        <v>MARIYO</v>
      </c>
      <c r="H22" s="17" t="str">
        <f>IFERROR(__xludf.DUMMYFUNCTION("""COMPUTED_VALUE"""),"M6523010470")</f>
        <v>M6523010470</v>
      </c>
      <c r="I22" s="17">
        <f>IFERROR(__xludf.DUMMYFUNCTION("""COMPUTED_VALUE"""),60.0)</f>
        <v>60</v>
      </c>
      <c r="J22" s="17" t="str">
        <f>IFERROR(__xludf.DUMMYFUNCTION("""COMPUTED_VALUE"""),"&gt; 44 tahun")</f>
        <v>&gt; 44 tahun</v>
      </c>
      <c r="K22" s="19">
        <f>IFERROR(__xludf.DUMMYFUNCTION("""COMPUTED_VALUE"""),24088.0)</f>
        <v>24088</v>
      </c>
      <c r="L22" s="19" t="str">
        <f>IFERROR(__xludf.DUMMYFUNCTION("""COMPUTED_VALUE"""),"LAKI-LAKI")</f>
        <v>LAKI-LAKI</v>
      </c>
      <c r="M22" s="16" t="str">
        <f>IFERROR(__xludf.DUMMYFUNCTION("""COMPUTED_VALUE"""),"JL. PROF DR HAMKA GG NILAM 8")</f>
        <v>JL. PROF DR HAMKA GG NILAM 8</v>
      </c>
      <c r="N22" s="16"/>
      <c r="O22" s="16"/>
      <c r="P22" s="16"/>
      <c r="Q22" s="16"/>
      <c r="R22" s="19" t="str">
        <f>IFERROR(__xludf.DUMMYFUNCTION("""COMPUTED_VALUE"""),"ISLAM")</f>
        <v>ISLAM</v>
      </c>
      <c r="S22" s="16" t="str">
        <f>IFERROR(__xludf.DUMMYFUNCTION("""COMPUTED_VALUE"""),"SWASTA")</f>
        <v>SWASTA</v>
      </c>
      <c r="T22" s="16" t="str">
        <f>IFERROR(__xludf.DUMMYFUNCTION("""COMPUTED_VALUE"""),"PINGGANG BOKONG")</f>
        <v>PINGGANG BOKONG</v>
      </c>
      <c r="U22" s="16" t="str">
        <f>IFERROR(__xludf.DUMMYFUNCTION("""COMPUTED_VALUE"""),"")</f>
        <v/>
      </c>
      <c r="V22" s="21" t="str">
        <f>IFERROR(__xludf.DUMMYFUNCTION("""COMPUTED_VALUE"""),"081933860470")</f>
        <v>081933860470</v>
      </c>
      <c r="W22" s="22"/>
    </row>
    <row r="23" ht="22.5" customHeight="1">
      <c r="A23" s="8"/>
      <c r="B23" s="9">
        <f>IFERROR(__xludf.DUMMYFUNCTION("""COMPUTED_VALUE"""),44921.8215625)</f>
        <v>44921.82156</v>
      </c>
      <c r="C23" s="9"/>
      <c r="D23" s="10">
        <f>IFERROR(__xludf.DUMMYFUNCTION("""COMPUTED_VALUE"""),44933.0)</f>
        <v>44933</v>
      </c>
      <c r="E23" s="10" t="str">
        <f>IFERROR(__xludf.DUMMYFUNCTION("""COMPUTED_VALUE"""),"01Jan")</f>
        <v>01Jan</v>
      </c>
      <c r="F23" s="10" t="str">
        <f>IFERROR(__xludf.DUMMYFUNCTION("""COMPUTED_VALUE"""),"2023")</f>
        <v>2023</v>
      </c>
      <c r="G23" s="16" t="str">
        <f>IFERROR(__xludf.DUMMYFUNCTION("""COMPUTED_VALUE"""),"ADIEL PRATAMA PUTRA K.")</f>
        <v>ADIEL PRATAMA PUTRA K.</v>
      </c>
      <c r="H23" s="17" t="str">
        <f>IFERROR(__xludf.DUMMYFUNCTION("""COMPUTED_VALUE"""),"A0623015163")</f>
        <v>A0623015163</v>
      </c>
      <c r="I23" s="17">
        <f>IFERROR(__xludf.DUMMYFUNCTION("""COMPUTED_VALUE"""),20.0)</f>
        <v>20</v>
      </c>
      <c r="J23" s="17" t="str">
        <f>IFERROR(__xludf.DUMMYFUNCTION("""COMPUTED_VALUE"""),"18-24 tahun")</f>
        <v>18-24 tahun</v>
      </c>
      <c r="K23" s="19">
        <f>IFERROR(__xludf.DUMMYFUNCTION("""COMPUTED_VALUE"""),38793.0)</f>
        <v>38793</v>
      </c>
      <c r="L23" s="19" t="str">
        <f>IFERROR(__xludf.DUMMYFUNCTION("""COMPUTED_VALUE"""),"LAKI-LAKI")</f>
        <v>LAKI-LAKI</v>
      </c>
      <c r="M23" s="16" t="str">
        <f>IFERROR(__xludf.DUMMYFUNCTION("""COMPUTED_VALUE"""),"JL DANAU SENTARUM GG PERSATUAN NO B4")</f>
        <v>JL DANAU SENTARUM GG PERSATUAN NO B4</v>
      </c>
      <c r="N23" s="16"/>
      <c r="O23" s="16"/>
      <c r="P23" s="16"/>
      <c r="Q23" s="16"/>
      <c r="R23" s="19" t="str">
        <f>IFERROR(__xludf.DUMMYFUNCTION("""COMPUTED_VALUE"""),"ISLAM")</f>
        <v>ISLAM</v>
      </c>
      <c r="S23" s="16" t="str">
        <f>IFERROR(__xludf.DUMMYFUNCTION("""COMPUTED_VALUE"""),"PELAJAR/MAHASISWA")</f>
        <v>PELAJAR/MAHASISWA</v>
      </c>
      <c r="T23" s="16" t="str">
        <f>IFERROR(__xludf.DUMMYFUNCTION("""COMPUTED_VALUE"""),"SKOLIOSIS")</f>
        <v>SKOLIOSIS</v>
      </c>
      <c r="U23" s="16" t="str">
        <f>IFERROR(__xludf.DUMMYFUNCTION("""COMPUTED_VALUE"""),"-")</f>
        <v>-</v>
      </c>
      <c r="V23" s="21" t="str">
        <f>IFERROR(__xludf.DUMMYFUNCTION("""COMPUTED_VALUE"""),"085779775163")</f>
        <v>085779775163</v>
      </c>
      <c r="W23" s="22"/>
    </row>
    <row r="24" ht="22.5" customHeight="1">
      <c r="A24" s="8"/>
      <c r="B24" s="9">
        <f>IFERROR(__xludf.DUMMYFUNCTION("""COMPUTED_VALUE"""),44973.39733796296)</f>
        <v>44973.39734</v>
      </c>
      <c r="C24" s="9"/>
      <c r="D24" s="10">
        <f>IFERROR(__xludf.DUMMYFUNCTION("""COMPUTED_VALUE"""),44933.0)</f>
        <v>44933</v>
      </c>
      <c r="E24" s="10" t="str">
        <f>IFERROR(__xludf.DUMMYFUNCTION("""COMPUTED_VALUE"""),"01Jan")</f>
        <v>01Jan</v>
      </c>
      <c r="F24" s="10" t="str">
        <f>IFERROR(__xludf.DUMMYFUNCTION("""COMPUTED_VALUE"""),"2023")</f>
        <v>2023</v>
      </c>
      <c r="G24" s="16" t="str">
        <f>IFERROR(__xludf.DUMMYFUNCTION("""COMPUTED_VALUE"""),"DAVID BURUI")</f>
        <v>DAVID BURUI</v>
      </c>
      <c r="H24" s="17" t="str">
        <f>IFERROR(__xludf.DUMMYFUNCTION("""COMPUTED_VALUE"""),"D6123013327")</f>
        <v>D6123013327</v>
      </c>
      <c r="I24" s="17">
        <f>IFERROR(__xludf.DUMMYFUNCTION("""COMPUTED_VALUE"""),64.0)</f>
        <v>64</v>
      </c>
      <c r="J24" s="17" t="str">
        <f>IFERROR(__xludf.DUMMYFUNCTION("""COMPUTED_VALUE"""),"&gt; 44 tahun")</f>
        <v>&gt; 44 tahun</v>
      </c>
      <c r="K24" s="19">
        <f>IFERROR(__xludf.DUMMYFUNCTION("""COMPUTED_VALUE"""),22626.0)</f>
        <v>22626</v>
      </c>
      <c r="L24" s="19" t="str">
        <f>IFERROR(__xludf.DUMMYFUNCTION("""COMPUTED_VALUE"""),"LAKI-LAKI")</f>
        <v>LAKI-LAKI</v>
      </c>
      <c r="M24" s="16" t="str">
        <f>IFERROR(__xludf.DUMMYFUNCTION("""COMPUTED_VALUE"""),"JL. PERUMNAS GG. MANTAN XI")</f>
        <v>JL. PERUMNAS GG. MANTAN XI</v>
      </c>
      <c r="N24" s="16"/>
      <c r="O24" s="16"/>
      <c r="P24" s="16"/>
      <c r="Q24" s="16"/>
      <c r="R24" s="19" t="str">
        <f>IFERROR(__xludf.DUMMYFUNCTION("""COMPUTED_VALUE"""),"ISLAM")</f>
        <v>ISLAM</v>
      </c>
      <c r="S24" s="16" t="str">
        <f>IFERROR(__xludf.DUMMYFUNCTION("""COMPUTED_VALUE"""),"TIDAK ADA")</f>
        <v>TIDAK ADA</v>
      </c>
      <c r="T24" s="16" t="str">
        <f>IFERROR(__xludf.DUMMYFUNCTION("""COMPUTED_VALUE"""),"DADA")</f>
        <v>DADA</v>
      </c>
      <c r="U24" s="16" t="str">
        <f>IFERROR(__xludf.DUMMYFUNCTION("""COMPUTED_VALUE"""),"")</f>
        <v/>
      </c>
      <c r="V24" s="21" t="str">
        <f>IFERROR(__xludf.DUMMYFUNCTION("""COMPUTED_VALUE"""),"081280423327")</f>
        <v>081280423327</v>
      </c>
      <c r="W24" s="22"/>
    </row>
    <row r="25" ht="22.5" customHeight="1">
      <c r="A25" s="8"/>
      <c r="B25" s="9">
        <f>IFERROR(__xludf.DUMMYFUNCTION("""COMPUTED_VALUE"""),45006.87726905092)</f>
        <v>45006.87727</v>
      </c>
      <c r="C25" s="9"/>
      <c r="D25" s="10">
        <f>IFERROR(__xludf.DUMMYFUNCTION("""COMPUTED_VALUE"""),44933.0)</f>
        <v>44933</v>
      </c>
      <c r="E25" s="10" t="str">
        <f>IFERROR(__xludf.DUMMYFUNCTION("""COMPUTED_VALUE"""),"01Jan")</f>
        <v>01Jan</v>
      </c>
      <c r="F25" s="10" t="str">
        <f>IFERROR(__xludf.DUMMYFUNCTION("""COMPUTED_VALUE"""),"2023")</f>
        <v>2023</v>
      </c>
      <c r="G25" s="16" t="str">
        <f>IFERROR(__xludf.DUMMYFUNCTION("""COMPUTED_VALUE"""),"DEDI SUNARDI")</f>
        <v>DEDI SUNARDI</v>
      </c>
      <c r="H25" s="17" t="str">
        <f>IFERROR(__xludf.DUMMYFUNCTION("""COMPUTED_VALUE"""),"D8223017622")</f>
        <v>D8223017622</v>
      </c>
      <c r="I25" s="17">
        <f>IFERROR(__xludf.DUMMYFUNCTION("""COMPUTED_VALUE"""),43.0)</f>
        <v>43</v>
      </c>
      <c r="J25" s="17" t="str">
        <f>IFERROR(__xludf.DUMMYFUNCTION("""COMPUTED_VALUE"""),"35-44 tahun")</f>
        <v>35-44 tahun</v>
      </c>
      <c r="K25" s="19">
        <f>IFERROR(__xludf.DUMMYFUNCTION("""COMPUTED_VALUE"""),30309.0)</f>
        <v>30309</v>
      </c>
      <c r="L25" s="19" t="str">
        <f>IFERROR(__xludf.DUMMYFUNCTION("""COMPUTED_VALUE"""),"LAKI-LAKI")</f>
        <v>LAKI-LAKI</v>
      </c>
      <c r="M25" s="16" t="str">
        <f>IFERROR(__xludf.DUMMYFUNCTION("""COMPUTED_VALUE"""),"SANGGAU")</f>
        <v>SANGGAU</v>
      </c>
      <c r="N25" s="16"/>
      <c r="O25" s="16"/>
      <c r="P25" s="16"/>
      <c r="Q25" s="16"/>
      <c r="R25" s="19" t="str">
        <f>IFERROR(__xludf.DUMMYFUNCTION("""COMPUTED_VALUE"""),"ISLAM")</f>
        <v>ISLAM</v>
      </c>
      <c r="S25" s="16" t="str">
        <f>IFERROR(__xludf.DUMMYFUNCTION("""COMPUTED_VALUE"""),"SWASTA")</f>
        <v>SWASTA</v>
      </c>
      <c r="T25" s="16" t="str">
        <f>IFERROR(__xludf.DUMMYFUNCTION("""COMPUTED_VALUE"""),"PINGGANG")</f>
        <v>PINGGANG</v>
      </c>
      <c r="U25" s="16" t="str">
        <f>IFERROR(__xludf.DUMMYFUNCTION("""COMPUTED_VALUE"""),"")</f>
        <v/>
      </c>
      <c r="V25" s="21" t="str">
        <f>IFERROR(__xludf.DUMMYFUNCTION("""COMPUTED_VALUE"""),"085822957622")</f>
        <v>085822957622</v>
      </c>
      <c r="W25" s="22"/>
    </row>
    <row r="26" ht="22.5" customHeight="1">
      <c r="A26" s="8"/>
      <c r="B26" s="9">
        <f>IFERROR(__xludf.DUMMYFUNCTION("""COMPUTED_VALUE"""),44983.46637731481)</f>
        <v>44983.46638</v>
      </c>
      <c r="C26" s="9"/>
      <c r="D26" s="10">
        <f>IFERROR(__xludf.DUMMYFUNCTION("""COMPUTED_VALUE"""),44933.0)</f>
        <v>44933</v>
      </c>
      <c r="E26" s="10" t="str">
        <f>IFERROR(__xludf.DUMMYFUNCTION("""COMPUTED_VALUE"""),"01Jan")</f>
        <v>01Jan</v>
      </c>
      <c r="F26" s="10" t="str">
        <f>IFERROR(__xludf.DUMMYFUNCTION("""COMPUTED_VALUE"""),"2023")</f>
        <v>2023</v>
      </c>
      <c r="G26" s="16" t="str">
        <f>IFERROR(__xludf.DUMMYFUNCTION("""COMPUTED_VALUE"""),"MIGUEL TJONDRO")</f>
        <v>MIGUEL TJONDRO</v>
      </c>
      <c r="H26" s="17" t="str">
        <f>IFERROR(__xludf.DUMMYFUNCTION("""COMPUTED_VALUE"""),"M9823010741")</f>
        <v>M9823010741</v>
      </c>
      <c r="I26" s="17">
        <f>IFERROR(__xludf.DUMMYFUNCTION("""COMPUTED_VALUE"""),28.0)</f>
        <v>28</v>
      </c>
      <c r="J26" s="17" t="str">
        <f>IFERROR(__xludf.DUMMYFUNCTION("""COMPUTED_VALUE"""),"25-34 tahun")</f>
        <v>25-34 tahun</v>
      </c>
      <c r="K26" s="19">
        <f>IFERROR(__xludf.DUMMYFUNCTION("""COMPUTED_VALUE"""),35871.0)</f>
        <v>35871</v>
      </c>
      <c r="L26" s="19" t="str">
        <f>IFERROR(__xludf.DUMMYFUNCTION("""COMPUTED_VALUE"""),"LAKI-LAKI")</f>
        <v>LAKI-LAKI</v>
      </c>
      <c r="M26" s="16" t="str">
        <f>IFERROR(__xludf.DUMMYFUNCTION("""COMPUTED_VALUE"""),"JL. P. H. HUSIN 1 GG. PERWIRA NO. 18A")</f>
        <v>JL. P. H. HUSIN 1 GG. PERWIRA NO. 18A</v>
      </c>
      <c r="N26" s="16"/>
      <c r="O26" s="16"/>
      <c r="P26" s="16"/>
      <c r="Q26" s="16"/>
      <c r="R26" s="19" t="str">
        <f>IFERROR(__xludf.DUMMYFUNCTION("""COMPUTED_VALUE"""),"KATOLIK")</f>
        <v>KATOLIK</v>
      </c>
      <c r="S26" s="16" t="str">
        <f>IFERROR(__xludf.DUMMYFUNCTION("""COMPUTED_VALUE"""),"SWASTA")</f>
        <v>SWASTA</v>
      </c>
      <c r="T26" s="16" t="str">
        <f>IFERROR(__xludf.DUMMYFUNCTION("""COMPUTED_VALUE"""),"KIRI")</f>
        <v>KIRI</v>
      </c>
      <c r="U26" s="16" t="str">
        <f>IFERROR(__xludf.DUMMYFUNCTION("""COMPUTED_VALUE"""),"")</f>
        <v/>
      </c>
      <c r="V26" s="21" t="str">
        <f>IFERROR(__xludf.DUMMYFUNCTION("""COMPUTED_VALUE"""),"08977200741")</f>
        <v>08977200741</v>
      </c>
      <c r="W26" s="22"/>
    </row>
    <row r="27" ht="22.5" customHeight="1">
      <c r="A27" s="25"/>
      <c r="B27" s="26">
        <f>IFERROR(__xludf.DUMMYFUNCTION("""COMPUTED_VALUE"""),44941.44567129629)</f>
        <v>44941.44567</v>
      </c>
      <c r="C27" s="26"/>
      <c r="D27" s="10">
        <f>IFERROR(__xludf.DUMMYFUNCTION("""COMPUTED_VALUE"""),44933.0)</f>
        <v>44933</v>
      </c>
      <c r="E27" s="10" t="str">
        <f>IFERROR(__xludf.DUMMYFUNCTION("""COMPUTED_VALUE"""),"01Jan")</f>
        <v>01Jan</v>
      </c>
      <c r="F27" s="10" t="str">
        <f>IFERROR(__xludf.DUMMYFUNCTION("""COMPUTED_VALUE"""),"2023")</f>
        <v>2023</v>
      </c>
      <c r="G27" s="16" t="str">
        <f>IFERROR(__xludf.DUMMYFUNCTION("""COMPUTED_VALUE"""),"TRI WAHYUNI")</f>
        <v>TRI WAHYUNI</v>
      </c>
      <c r="H27" s="17" t="str">
        <f>IFERROR(__xludf.DUMMYFUNCTION("""COMPUTED_VALUE"""),"T7623010391")</f>
        <v>T7623010391</v>
      </c>
      <c r="I27" s="17">
        <f>IFERROR(__xludf.DUMMYFUNCTION("""COMPUTED_VALUE"""),50.0)</f>
        <v>50</v>
      </c>
      <c r="J27" s="17" t="str">
        <f>IFERROR(__xludf.DUMMYFUNCTION("""COMPUTED_VALUE"""),"&gt; 44 tahun")</f>
        <v>&gt; 44 tahun</v>
      </c>
      <c r="K27" s="19">
        <f>IFERROR(__xludf.DUMMYFUNCTION("""COMPUTED_VALUE"""),27825.0)</f>
        <v>27825</v>
      </c>
      <c r="L27" s="19" t="str">
        <f>IFERROR(__xludf.DUMMYFUNCTION("""COMPUTED_VALUE"""),"PEREMPUAN")</f>
        <v>PEREMPUAN</v>
      </c>
      <c r="M27" s="16" t="str">
        <f>IFERROR(__xludf.DUMMYFUNCTION("""COMPUTED_VALUE"""),"BENGKAYANG")</f>
        <v>BENGKAYANG</v>
      </c>
      <c r="N27" s="16"/>
      <c r="O27" s="16"/>
      <c r="P27" s="16"/>
      <c r="Q27" s="16"/>
      <c r="R27" s="19" t="str">
        <f>IFERROR(__xludf.DUMMYFUNCTION("""COMPUTED_VALUE"""),"ISLAM")</f>
        <v>ISLAM</v>
      </c>
      <c r="S27" s="16" t="str">
        <f>IFERROR(__xludf.DUMMYFUNCTION("""COMPUTED_VALUE"""),"ASN")</f>
        <v>ASN</v>
      </c>
      <c r="T27" s="16" t="str">
        <f>IFERROR(__xludf.DUMMYFUNCTION("""COMPUTED_VALUE"""),"PINGGANG")</f>
        <v>PINGGANG</v>
      </c>
      <c r="U27" s="16" t="str">
        <f>IFERROR(__xludf.DUMMYFUNCTION("""COMPUTED_VALUE"""),"-")</f>
        <v>-</v>
      </c>
      <c r="V27" s="21" t="str">
        <f>IFERROR(__xludf.DUMMYFUNCTION("""COMPUTED_VALUE"""),"081345790391")</f>
        <v>081345790391</v>
      </c>
      <c r="W27" s="27"/>
    </row>
    <row r="28" ht="22.5" customHeight="1">
      <c r="A28" s="8"/>
      <c r="B28" s="9">
        <f>IFERROR(__xludf.DUMMYFUNCTION("""COMPUTED_VALUE"""),45006.8960915625)</f>
        <v>45006.89609</v>
      </c>
      <c r="C28" s="9"/>
      <c r="D28" s="10">
        <f>IFERROR(__xludf.DUMMYFUNCTION("""COMPUTED_VALUE"""),44934.0)</f>
        <v>44934</v>
      </c>
      <c r="E28" s="10" t="str">
        <f>IFERROR(__xludf.DUMMYFUNCTION("""COMPUTED_VALUE"""),"01Jan")</f>
        <v>01Jan</v>
      </c>
      <c r="F28" s="10" t="str">
        <f>IFERROR(__xludf.DUMMYFUNCTION("""COMPUTED_VALUE"""),"2023")</f>
        <v>2023</v>
      </c>
      <c r="G28" s="16" t="str">
        <f>IFERROR(__xludf.DUMMYFUNCTION("""COMPUTED_VALUE"""),"ANANTA UTAMI")</f>
        <v>ANANTA UTAMI</v>
      </c>
      <c r="H28" s="17" t="str">
        <f>IFERROR(__xludf.DUMMYFUNCTION("""COMPUTED_VALUE"""),"A9123011070")</f>
        <v>A9123011070</v>
      </c>
      <c r="I28" s="17">
        <f>IFERROR(__xludf.DUMMYFUNCTION("""COMPUTED_VALUE"""),34.0)</f>
        <v>34</v>
      </c>
      <c r="J28" s="17" t="str">
        <f>IFERROR(__xludf.DUMMYFUNCTION("""COMPUTED_VALUE"""),"25-34 tahun")</f>
        <v>25-34 tahun</v>
      </c>
      <c r="K28" s="19">
        <f>IFERROR(__xludf.DUMMYFUNCTION("""COMPUTED_VALUE"""),33550.0)</f>
        <v>33550</v>
      </c>
      <c r="L28" s="19" t="str">
        <f>IFERROR(__xludf.DUMMYFUNCTION("""COMPUTED_VALUE"""),"PEREMPUAN")</f>
        <v>PEREMPUAN</v>
      </c>
      <c r="M28" s="16" t="str">
        <f>IFERROR(__xludf.DUMMYFUNCTION("""COMPUTED_VALUE"""),"JL. DR. SUTOMO GG. KARYA 1")</f>
        <v>JL. DR. SUTOMO GG. KARYA 1</v>
      </c>
      <c r="N28" s="16"/>
      <c r="O28" s="16"/>
      <c r="P28" s="16"/>
      <c r="Q28" s="16"/>
      <c r="R28" s="19" t="str">
        <f>IFERROR(__xludf.DUMMYFUNCTION("""COMPUTED_VALUE"""),"KATOLIK")</f>
        <v>KATOLIK</v>
      </c>
      <c r="S28" s="16" t="str">
        <f>IFERROR(__xludf.DUMMYFUNCTION("""COMPUTED_VALUE"""),"ASN")</f>
        <v>ASN</v>
      </c>
      <c r="T28" s="16" t="str">
        <f>IFERROR(__xludf.DUMMYFUNCTION("""COMPUTED_VALUE"""),"KIRI")</f>
        <v>KIRI</v>
      </c>
      <c r="U28" s="16" t="str">
        <f>IFERROR(__xludf.DUMMYFUNCTION("""COMPUTED_VALUE"""),"")</f>
        <v/>
      </c>
      <c r="V28" s="21" t="str">
        <f>IFERROR(__xludf.DUMMYFUNCTION("""COMPUTED_VALUE"""),"081253051070")</f>
        <v>081253051070</v>
      </c>
      <c r="W28" s="22"/>
    </row>
    <row r="29" ht="22.5" customHeight="1">
      <c r="A29" s="8"/>
      <c r="B29" s="9">
        <f>IFERROR(__xludf.DUMMYFUNCTION("""COMPUTED_VALUE"""),44973.42521990741)</f>
        <v>44973.42522</v>
      </c>
      <c r="C29" s="9"/>
      <c r="D29" s="10">
        <f>IFERROR(__xludf.DUMMYFUNCTION("""COMPUTED_VALUE"""),44934.0)</f>
        <v>44934</v>
      </c>
      <c r="E29" s="10" t="str">
        <f>IFERROR(__xludf.DUMMYFUNCTION("""COMPUTED_VALUE"""),"01Jan")</f>
        <v>01Jan</v>
      </c>
      <c r="F29" s="10" t="str">
        <f>IFERROR(__xludf.DUMMYFUNCTION("""COMPUTED_VALUE"""),"2023")</f>
        <v>2023</v>
      </c>
      <c r="G29" s="16" t="str">
        <f>IFERROR(__xludf.DUMMYFUNCTION("""COMPUTED_VALUE"""),"EMMI")</f>
        <v>EMMI</v>
      </c>
      <c r="H29" s="17" t="str">
        <f>IFERROR(__xludf.DUMMYFUNCTION("""COMPUTED_VALUE"""),"E6223013059")</f>
        <v>E6223013059</v>
      </c>
      <c r="I29" s="17">
        <f>IFERROR(__xludf.DUMMYFUNCTION("""COMPUTED_VALUE"""),63.0)</f>
        <v>63</v>
      </c>
      <c r="J29" s="17" t="str">
        <f>IFERROR(__xludf.DUMMYFUNCTION("""COMPUTED_VALUE"""),"&gt; 44 tahun")</f>
        <v>&gt; 44 tahun</v>
      </c>
      <c r="K29" s="19">
        <f>IFERROR(__xludf.DUMMYFUNCTION("""COMPUTED_VALUE"""),22971.0)</f>
        <v>22971</v>
      </c>
      <c r="L29" s="19" t="str">
        <f>IFERROR(__xludf.DUMMYFUNCTION("""COMPUTED_VALUE"""),"PEREMPUAN")</f>
        <v>PEREMPUAN</v>
      </c>
      <c r="M29" s="16" t="str">
        <f>IFERROR(__xludf.DUMMYFUNCTION("""COMPUTED_VALUE"""),"JL PURNAMA KOMP PURNAMA AGUNG 2 NO G1")</f>
        <v>JL PURNAMA KOMP PURNAMA AGUNG 2 NO G1</v>
      </c>
      <c r="N29" s="16"/>
      <c r="O29" s="16"/>
      <c r="P29" s="16"/>
      <c r="Q29" s="16"/>
      <c r="R29" s="19" t="str">
        <f>IFERROR(__xludf.DUMMYFUNCTION("""COMPUTED_VALUE"""),"LAINNYA")</f>
        <v>LAINNYA</v>
      </c>
      <c r="S29" s="16" t="str">
        <f>IFERROR(__xludf.DUMMYFUNCTION("""COMPUTED_VALUE"""),"TIDAK ADA")</f>
        <v>TIDAK ADA</v>
      </c>
      <c r="T29" s="16" t="str">
        <f>IFERROR(__xludf.DUMMYFUNCTION("""COMPUTED_VALUE"""),"PINGGANG")</f>
        <v>PINGGANG</v>
      </c>
      <c r="U29" s="16" t="str">
        <f>IFERROR(__xludf.DUMMYFUNCTION("""COMPUTED_VALUE"""),"-")</f>
        <v>-</v>
      </c>
      <c r="V29" s="21" t="str">
        <f>IFERROR(__xludf.DUMMYFUNCTION("""COMPUTED_VALUE"""),"081345583059")</f>
        <v>081345583059</v>
      </c>
      <c r="W29" s="22"/>
    </row>
    <row r="30" ht="22.5" customHeight="1">
      <c r="A30" s="8"/>
      <c r="B30" s="9">
        <f>IFERROR(__xludf.DUMMYFUNCTION("""COMPUTED_VALUE"""),44973.424212962964)</f>
        <v>44973.42421</v>
      </c>
      <c r="C30" s="9"/>
      <c r="D30" s="10">
        <f>IFERROR(__xludf.DUMMYFUNCTION("""COMPUTED_VALUE"""),44934.0)</f>
        <v>44934</v>
      </c>
      <c r="E30" s="10" t="str">
        <f>IFERROR(__xludf.DUMMYFUNCTION("""COMPUTED_VALUE"""),"01Jan")</f>
        <v>01Jan</v>
      </c>
      <c r="F30" s="10" t="str">
        <f>IFERROR(__xludf.DUMMYFUNCTION("""COMPUTED_VALUE"""),"2023")</f>
        <v>2023</v>
      </c>
      <c r="G30" s="16" t="str">
        <f>IFERROR(__xludf.DUMMYFUNCTION("""COMPUTED_VALUE"""),"ZIQRIL HAKIM R")</f>
        <v>ZIQRIL HAKIM R</v>
      </c>
      <c r="H30" s="17" t="str">
        <f>IFERROR(__xludf.DUMMYFUNCTION("""COMPUTED_VALUE"""),"Z0423010391")</f>
        <v>Z0423010391</v>
      </c>
      <c r="I30" s="17">
        <f>IFERROR(__xludf.DUMMYFUNCTION("""COMPUTED_VALUE"""),21.0)</f>
        <v>21</v>
      </c>
      <c r="J30" s="17" t="str">
        <f>IFERROR(__xludf.DUMMYFUNCTION("""COMPUTED_VALUE"""),"18-24 tahun")</f>
        <v>18-24 tahun</v>
      </c>
      <c r="K30" s="19">
        <f>IFERROR(__xludf.DUMMYFUNCTION("""COMPUTED_VALUE"""),38279.0)</f>
        <v>38279</v>
      </c>
      <c r="L30" s="19" t="str">
        <f>IFERROR(__xludf.DUMMYFUNCTION("""COMPUTED_VALUE"""),"LAKI-LAKI")</f>
        <v>LAKI-LAKI</v>
      </c>
      <c r="M30" s="16" t="str">
        <f>IFERROR(__xludf.DUMMYFUNCTION("""COMPUTED_VALUE"""),"BENGKAYANG")</f>
        <v>BENGKAYANG</v>
      </c>
      <c r="N30" s="16"/>
      <c r="O30" s="16"/>
      <c r="P30" s="16"/>
      <c r="Q30" s="16"/>
      <c r="R30" s="19" t="str">
        <f>IFERROR(__xludf.DUMMYFUNCTION("""COMPUTED_VALUE"""),"ISLAM")</f>
        <v>ISLAM</v>
      </c>
      <c r="S30" s="16" t="str">
        <f>IFERROR(__xludf.DUMMYFUNCTION("""COMPUTED_VALUE"""),"TNI/POLRI")</f>
        <v>TNI/POLRI</v>
      </c>
      <c r="T30" s="16" t="str">
        <f>IFERROR(__xludf.DUMMYFUNCTION("""COMPUTED_VALUE"""),"RAHANG")</f>
        <v>RAHANG</v>
      </c>
      <c r="U30" s="16" t="str">
        <f>IFERROR(__xludf.DUMMYFUNCTION("""COMPUTED_VALUE"""),"-")</f>
        <v>-</v>
      </c>
      <c r="V30" s="21" t="str">
        <f>IFERROR(__xludf.DUMMYFUNCTION("""COMPUTED_VALUE"""),"081345790391")</f>
        <v>081345790391</v>
      </c>
      <c r="W30" s="22"/>
    </row>
    <row r="31" ht="22.5" customHeight="1">
      <c r="A31" s="28"/>
      <c r="B31" s="9">
        <f>IFERROR(__xludf.DUMMYFUNCTION("""COMPUTED_VALUE"""),45006.89896464121)</f>
        <v>45006.89896</v>
      </c>
      <c r="C31" s="9"/>
      <c r="D31" s="10">
        <f>IFERROR(__xludf.DUMMYFUNCTION("""COMPUTED_VALUE"""),44935.0)</f>
        <v>44935</v>
      </c>
      <c r="E31" s="10" t="str">
        <f>IFERROR(__xludf.DUMMYFUNCTION("""COMPUTED_VALUE"""),"01Jan")</f>
        <v>01Jan</v>
      </c>
      <c r="F31" s="10" t="str">
        <f>IFERROR(__xludf.DUMMYFUNCTION("""COMPUTED_VALUE"""),"2023")</f>
        <v>2023</v>
      </c>
      <c r="G31" s="16" t="str">
        <f>IFERROR(__xludf.DUMMYFUNCTION("""COMPUTED_VALUE"""),"ERNA SETIAWATY")</f>
        <v>ERNA SETIAWATY</v>
      </c>
      <c r="H31" s="17" t="str">
        <f>IFERROR(__xludf.DUMMYFUNCTION("""COMPUTED_VALUE"""),"E5423019005")</f>
        <v>E5423019005</v>
      </c>
      <c r="I31" s="17">
        <f>IFERROR(__xludf.DUMMYFUNCTION("""COMPUTED_VALUE"""),71.0)</f>
        <v>71</v>
      </c>
      <c r="J31" s="17" t="str">
        <f>IFERROR(__xludf.DUMMYFUNCTION("""COMPUTED_VALUE"""),"&gt; 44 tahun")</f>
        <v>&gt; 44 tahun</v>
      </c>
      <c r="K31" s="19">
        <f>IFERROR(__xludf.DUMMYFUNCTION("""COMPUTED_VALUE"""),20084.0)</f>
        <v>20084</v>
      </c>
      <c r="L31" s="19" t="str">
        <f>IFERROR(__xludf.DUMMYFUNCTION("""COMPUTED_VALUE"""),"PEREMPUAN")</f>
        <v>PEREMPUAN</v>
      </c>
      <c r="M31" s="16" t="str">
        <f>IFERROR(__xludf.DUMMYFUNCTION("""COMPUTED_VALUE"""),"JL. KAPTEN P. TENDEAN NO. 17A")</f>
        <v>JL. KAPTEN P. TENDEAN NO. 17A</v>
      </c>
      <c r="N31" s="16"/>
      <c r="O31" s="16"/>
      <c r="P31" s="16"/>
      <c r="Q31" s="16"/>
      <c r="R31" s="19" t="str">
        <f>IFERROR(__xludf.DUMMYFUNCTION("""COMPUTED_VALUE"""),"BUDDHA")</f>
        <v>BUDDHA</v>
      </c>
      <c r="S31" s="16" t="str">
        <f>IFERROR(__xludf.DUMMYFUNCTION("""COMPUTED_VALUE"""),"RUMAH TANGGA")</f>
        <v>RUMAH TANGGA</v>
      </c>
      <c r="T31" s="16" t="str">
        <f>IFERROR(__xludf.DUMMYFUNCTION("""COMPUTED_VALUE"""),"PINGGANG")</f>
        <v>PINGGANG</v>
      </c>
      <c r="U31" s="16" t="str">
        <f>IFERROR(__xludf.DUMMYFUNCTION("""COMPUTED_VALUE"""),"")</f>
        <v/>
      </c>
      <c r="V31" s="21" t="str">
        <f>IFERROR(__xludf.DUMMYFUNCTION("""COMPUTED_VALUE"""),"087878219005")</f>
        <v>087878219005</v>
      </c>
      <c r="W31" s="22"/>
    </row>
    <row r="32" ht="22.5" customHeight="1">
      <c r="A32" s="8"/>
      <c r="B32" s="9">
        <f>IFERROR(__xludf.DUMMYFUNCTION("""COMPUTED_VALUE"""),44908.589479166665)</f>
        <v>44908.58948</v>
      </c>
      <c r="C32" s="9"/>
      <c r="D32" s="10">
        <f>IFERROR(__xludf.DUMMYFUNCTION("""COMPUTED_VALUE"""),44935.0)</f>
        <v>44935</v>
      </c>
      <c r="E32" s="10" t="str">
        <f>IFERROR(__xludf.DUMMYFUNCTION("""COMPUTED_VALUE"""),"01Jan")</f>
        <v>01Jan</v>
      </c>
      <c r="F32" s="10" t="str">
        <f>IFERROR(__xludf.DUMMYFUNCTION("""COMPUTED_VALUE"""),"2023")</f>
        <v>2023</v>
      </c>
      <c r="G32" s="16" t="str">
        <f>IFERROR(__xludf.DUMMYFUNCTION("""COMPUTED_VALUE"""),"EVA DOLOROSA")</f>
        <v>EVA DOLOROSA</v>
      </c>
      <c r="H32" s="17" t="str">
        <f>IFERROR(__xludf.DUMMYFUNCTION("""COMPUTED_VALUE"""),"E6723010889")</f>
        <v>E6723010889</v>
      </c>
      <c r="I32" s="17">
        <f>IFERROR(__xludf.DUMMYFUNCTION("""COMPUTED_VALUE"""),58.0)</f>
        <v>58</v>
      </c>
      <c r="J32" s="17" t="str">
        <f>IFERROR(__xludf.DUMMYFUNCTION("""COMPUTED_VALUE"""),"&gt; 44 tahun")</f>
        <v>&gt; 44 tahun</v>
      </c>
      <c r="K32" s="19">
        <f>IFERROR(__xludf.DUMMYFUNCTION("""COMPUTED_VALUE"""),24668.0)</f>
        <v>24668</v>
      </c>
      <c r="L32" s="19" t="str">
        <f>IFERROR(__xludf.DUMMYFUNCTION("""COMPUTED_VALUE"""),"PEREMPUAN")</f>
        <v>PEREMPUAN</v>
      </c>
      <c r="M32" s="16" t="str">
        <f>IFERROR(__xludf.DUMMYFUNCTION("""COMPUTED_VALUE"""),"JL. PARIS II GG. DEMAK NO.10")</f>
        <v>JL. PARIS II GG. DEMAK NO.10</v>
      </c>
      <c r="N32" s="16"/>
      <c r="O32" s="16"/>
      <c r="P32" s="16"/>
      <c r="Q32" s="16"/>
      <c r="R32" s="19" t="str">
        <f>IFERROR(__xludf.DUMMYFUNCTION("""COMPUTED_VALUE"""),"ISLAM")</f>
        <v>ISLAM</v>
      </c>
      <c r="S32" s="16" t="str">
        <f>IFERROR(__xludf.DUMMYFUNCTION("""COMPUTED_VALUE"""),"DOSEN/GURU")</f>
        <v>DOSEN/GURU</v>
      </c>
      <c r="T32" s="16"/>
      <c r="U32" s="16" t="str">
        <f>IFERROR(__xludf.DUMMYFUNCTION("""COMPUTED_VALUE"""),"-")</f>
        <v>-</v>
      </c>
      <c r="V32" s="21" t="str">
        <f>IFERROR(__xludf.DUMMYFUNCTION("""COMPUTED_VALUE"""),"08125700889")</f>
        <v>08125700889</v>
      </c>
      <c r="W32" s="22"/>
    </row>
    <row r="33" ht="22.5" customHeight="1">
      <c r="A33" s="8"/>
      <c r="B33" s="9">
        <f>IFERROR(__xludf.DUMMYFUNCTION("""COMPUTED_VALUE"""),44964.8041087963)</f>
        <v>44964.80411</v>
      </c>
      <c r="C33" s="9"/>
      <c r="D33" s="10">
        <f>IFERROR(__xludf.DUMMYFUNCTION("""COMPUTED_VALUE"""),44936.0)</f>
        <v>44936</v>
      </c>
      <c r="E33" s="10" t="str">
        <f>IFERROR(__xludf.DUMMYFUNCTION("""COMPUTED_VALUE"""),"01Jan")</f>
        <v>01Jan</v>
      </c>
      <c r="F33" s="10" t="str">
        <f>IFERROR(__xludf.DUMMYFUNCTION("""COMPUTED_VALUE"""),"2023")</f>
        <v>2023</v>
      </c>
      <c r="G33" s="16" t="str">
        <f>IFERROR(__xludf.DUMMYFUNCTION("""COMPUTED_VALUE"""),"ANTO PRAYUGO")</f>
        <v>ANTO PRAYUGO</v>
      </c>
      <c r="H33" s="17" t="str">
        <f>IFERROR(__xludf.DUMMYFUNCTION("""COMPUTED_VALUE"""),"A9523012989")</f>
        <v>A9523012989</v>
      </c>
      <c r="I33" s="17">
        <f>IFERROR(__xludf.DUMMYFUNCTION("""COMPUTED_VALUE"""),31.0)</f>
        <v>31</v>
      </c>
      <c r="J33" s="17" t="str">
        <f>IFERROR(__xludf.DUMMYFUNCTION("""COMPUTED_VALUE"""),"25-34 tahun")</f>
        <v>25-34 tahun</v>
      </c>
      <c r="K33" s="19">
        <f>IFERROR(__xludf.DUMMYFUNCTION("""COMPUTED_VALUE"""),34806.0)</f>
        <v>34806</v>
      </c>
      <c r="L33" s="19" t="str">
        <f>IFERROR(__xludf.DUMMYFUNCTION("""COMPUTED_VALUE"""),"LAKI-LAKI")</f>
        <v>LAKI-LAKI</v>
      </c>
      <c r="M33" s="16" t="str">
        <f>IFERROR(__xludf.DUMMYFUNCTION("""COMPUTED_VALUE"""),"JL PERDANA KOMP BALI AGUNG 2")</f>
        <v>JL PERDANA KOMP BALI AGUNG 2</v>
      </c>
      <c r="N33" s="16"/>
      <c r="O33" s="16"/>
      <c r="P33" s="16"/>
      <c r="Q33" s="16"/>
      <c r="R33" s="19" t="str">
        <f>IFERROR(__xludf.DUMMYFUNCTION("""COMPUTED_VALUE"""),"ISLAM")</f>
        <v>ISLAM</v>
      </c>
      <c r="S33" s="16" t="str">
        <f>IFERROR(__xludf.DUMMYFUNCTION("""COMPUTED_VALUE"""),"PERBANKAN")</f>
        <v>PERBANKAN</v>
      </c>
      <c r="T33" s="16"/>
      <c r="U33" s="16" t="str">
        <f>IFERROR(__xludf.DUMMYFUNCTION("""COMPUTED_VALUE"""),"FUTSAL")</f>
        <v>FUTSAL</v>
      </c>
      <c r="V33" s="21" t="str">
        <f>IFERROR(__xludf.DUMMYFUNCTION("""COMPUTED_VALUE"""),"081350622989")</f>
        <v>081350622989</v>
      </c>
      <c r="W33" s="22"/>
    </row>
    <row r="34" ht="22.5" customHeight="1">
      <c r="A34" s="8"/>
      <c r="B34" s="9">
        <f>IFERROR(__xludf.DUMMYFUNCTION("""COMPUTED_VALUE"""),45006.87447142361)</f>
        <v>45006.87447</v>
      </c>
      <c r="C34" s="9"/>
      <c r="D34" s="10">
        <f>IFERROR(__xludf.DUMMYFUNCTION("""COMPUTED_VALUE"""),44936.0)</f>
        <v>44936</v>
      </c>
      <c r="E34" s="10" t="str">
        <f>IFERROR(__xludf.DUMMYFUNCTION("""COMPUTED_VALUE"""),"01Jan")</f>
        <v>01Jan</v>
      </c>
      <c r="F34" s="10" t="str">
        <f>IFERROR(__xludf.DUMMYFUNCTION("""COMPUTED_VALUE"""),"2023")</f>
        <v>2023</v>
      </c>
      <c r="G34" s="16" t="str">
        <f>IFERROR(__xludf.DUMMYFUNCTION("""COMPUTED_VALUE"""),"FAHMI")</f>
        <v>FAHMI</v>
      </c>
      <c r="H34" s="17" t="str">
        <f>IFERROR(__xludf.DUMMYFUNCTION("""COMPUTED_VALUE"""),"F8623010888")</f>
        <v>F8623010888</v>
      </c>
      <c r="I34" s="17">
        <f>IFERROR(__xludf.DUMMYFUNCTION("""COMPUTED_VALUE"""),40.0)</f>
        <v>40</v>
      </c>
      <c r="J34" s="17" t="str">
        <f>IFERROR(__xludf.DUMMYFUNCTION("""COMPUTED_VALUE"""),"35-44 tahun")</f>
        <v>35-44 tahun</v>
      </c>
      <c r="K34" s="19">
        <f>IFERROR(__xludf.DUMMYFUNCTION("""COMPUTED_VALUE"""),31523.0)</f>
        <v>31523</v>
      </c>
      <c r="L34" s="19" t="str">
        <f>IFERROR(__xludf.DUMMYFUNCTION("""COMPUTED_VALUE"""),"LAKI-LAKI")</f>
        <v>LAKI-LAKI</v>
      </c>
      <c r="M34" s="16" t="str">
        <f>IFERROR(__xludf.DUMMYFUNCTION("""COMPUTED_VALUE"""),"JL KARYA")</f>
        <v>JL KARYA</v>
      </c>
      <c r="N34" s="16"/>
      <c r="O34" s="16"/>
      <c r="P34" s="16"/>
      <c r="Q34" s="16"/>
      <c r="R34" s="19" t="str">
        <f>IFERROR(__xludf.DUMMYFUNCTION("""COMPUTED_VALUE"""),"ISLAM")</f>
        <v>ISLAM</v>
      </c>
      <c r="S34" s="16" t="str">
        <f>IFERROR(__xludf.DUMMYFUNCTION("""COMPUTED_VALUE"""),"SWASTA")</f>
        <v>SWASTA</v>
      </c>
      <c r="T34" s="16" t="str">
        <f>IFERROR(__xludf.DUMMYFUNCTION("""COMPUTED_VALUE"""),"PUNGGUNG ATAS")</f>
        <v>PUNGGUNG ATAS</v>
      </c>
      <c r="U34" s="16" t="str">
        <f>IFERROR(__xludf.DUMMYFUNCTION("""COMPUTED_VALUE"""),"")</f>
        <v/>
      </c>
      <c r="V34" s="21" t="str">
        <f>IFERROR(__xludf.DUMMYFUNCTION("""COMPUTED_VALUE"""),"087819990888")</f>
        <v>087819990888</v>
      </c>
      <c r="W34" s="22"/>
    </row>
    <row r="35" ht="22.5" customHeight="1">
      <c r="A35" s="29"/>
      <c r="B35" s="30">
        <f>IFERROR(__xludf.DUMMYFUNCTION("""COMPUTED_VALUE"""),45006.90724241898)</f>
        <v>45006.90724</v>
      </c>
      <c r="C35" s="30"/>
      <c r="D35" s="10">
        <f>IFERROR(__xludf.DUMMYFUNCTION("""COMPUTED_VALUE"""),44936.0)</f>
        <v>44936</v>
      </c>
      <c r="E35" s="10" t="str">
        <f>IFERROR(__xludf.DUMMYFUNCTION("""COMPUTED_VALUE"""),"01Jan")</f>
        <v>01Jan</v>
      </c>
      <c r="F35" s="10" t="str">
        <f>IFERROR(__xludf.DUMMYFUNCTION("""COMPUTED_VALUE"""),"2023")</f>
        <v>2023</v>
      </c>
      <c r="G35" s="16" t="str">
        <f>IFERROR(__xludf.DUMMYFUNCTION("""COMPUTED_VALUE"""),"RYANDI ARDIENDA P.")</f>
        <v>RYANDI ARDIENDA P.</v>
      </c>
      <c r="H35" s="17" t="str">
        <f>IFERROR(__xludf.DUMMYFUNCTION("""COMPUTED_VALUE"""),"R9323012323")</f>
        <v>R9323012323</v>
      </c>
      <c r="I35" s="17">
        <f>IFERROR(__xludf.DUMMYFUNCTION("""COMPUTED_VALUE"""),32.0)</f>
        <v>32</v>
      </c>
      <c r="J35" s="17" t="str">
        <f>IFERROR(__xludf.DUMMYFUNCTION("""COMPUTED_VALUE"""),"25-34 tahun")</f>
        <v>25-34 tahun</v>
      </c>
      <c r="K35" s="19">
        <f>IFERROR(__xludf.DUMMYFUNCTION("""COMPUTED_VALUE"""),34184.0)</f>
        <v>34184</v>
      </c>
      <c r="L35" s="19" t="str">
        <f>IFERROR(__xludf.DUMMYFUNCTION("""COMPUTED_VALUE"""),"LAKI-LAKI")</f>
        <v>LAKI-LAKI</v>
      </c>
      <c r="M35" s="16" t="str">
        <f>IFERROR(__xludf.DUMMYFUNCTION("""COMPUTED_VALUE"""),"JL. P. H. HUSIN 2")</f>
        <v>JL. P. H. HUSIN 2</v>
      </c>
      <c r="N35" s="16"/>
      <c r="O35" s="16"/>
      <c r="P35" s="16"/>
      <c r="Q35" s="16"/>
      <c r="R35" s="19" t="str">
        <f>IFERROR(__xludf.DUMMYFUNCTION("""COMPUTED_VALUE"""),"ISLAM")</f>
        <v>ISLAM</v>
      </c>
      <c r="S35" s="16" t="str">
        <f>IFERROR(__xludf.DUMMYFUNCTION("""COMPUTED_VALUE"""),"BUMN")</f>
        <v>BUMN</v>
      </c>
      <c r="T35" s="16" t="str">
        <f>IFERROR(__xludf.DUMMYFUNCTION("""COMPUTED_VALUE"""),"BAHU KANAN")</f>
        <v>BAHU KANAN</v>
      </c>
      <c r="U35" s="16" t="str">
        <f>IFERROR(__xludf.DUMMYFUNCTION("""COMPUTED_VALUE"""),"")</f>
        <v/>
      </c>
      <c r="V35" s="21" t="str">
        <f>IFERROR(__xludf.DUMMYFUNCTION("""COMPUTED_VALUE"""),"081255802323")</f>
        <v>081255802323</v>
      </c>
      <c r="W35" s="31"/>
    </row>
    <row r="36" ht="22.5" customHeight="1">
      <c r="A36" s="8"/>
      <c r="B36" s="9">
        <f>IFERROR(__xludf.DUMMYFUNCTION("""COMPUTED_VALUE"""),45006.890850497686)</f>
        <v>45006.89085</v>
      </c>
      <c r="C36" s="9"/>
      <c r="D36" s="10">
        <f>IFERROR(__xludf.DUMMYFUNCTION("""COMPUTED_VALUE"""),44936.762511574074)</f>
        <v>44936.76251</v>
      </c>
      <c r="E36" s="10" t="str">
        <f>IFERROR(__xludf.DUMMYFUNCTION("""COMPUTED_VALUE"""),"01Jan")</f>
        <v>01Jan</v>
      </c>
      <c r="F36" s="10" t="str">
        <f>IFERROR(__xludf.DUMMYFUNCTION("""COMPUTED_VALUE"""),"2023")</f>
        <v>2023</v>
      </c>
      <c r="G36" s="16" t="str">
        <f>IFERROR(__xludf.DUMMYFUNCTION("""COMPUTED_VALUE"""),"NURYANTO")</f>
        <v>NURYANTO</v>
      </c>
      <c r="H36" s="17" t="str">
        <f>IFERROR(__xludf.DUMMYFUNCTION("""COMPUTED_VALUE"""),"N5423010002")</f>
        <v>N5423010002</v>
      </c>
      <c r="I36" s="17">
        <f>IFERROR(__xludf.DUMMYFUNCTION("""COMPUTED_VALUE"""),71.0)</f>
        <v>71</v>
      </c>
      <c r="J36" s="17" t="str">
        <f>IFERROR(__xludf.DUMMYFUNCTION("""COMPUTED_VALUE"""),"&gt; 44 tahun")</f>
        <v>&gt; 44 tahun</v>
      </c>
      <c r="K36" s="19">
        <f>IFERROR(__xludf.DUMMYFUNCTION("""COMPUTED_VALUE"""),19988.0)</f>
        <v>19988</v>
      </c>
      <c r="L36" s="19" t="str">
        <f>IFERROR(__xludf.DUMMYFUNCTION("""COMPUTED_VALUE"""),"LAKI-LAKI")</f>
        <v>LAKI-LAKI</v>
      </c>
      <c r="M36" s="16" t="str">
        <f>IFERROR(__xludf.DUMMYFUNCTION("""COMPUTED_VALUE"""),"JL. NIRBAYA NO. 3")</f>
        <v>JL. NIRBAYA NO. 3</v>
      </c>
      <c r="N36" s="16"/>
      <c r="O36" s="16"/>
      <c r="P36" s="16"/>
      <c r="Q36" s="16"/>
      <c r="R36" s="19" t="str">
        <f>IFERROR(__xludf.DUMMYFUNCTION("""COMPUTED_VALUE"""),"ISLAM")</f>
        <v>ISLAM</v>
      </c>
      <c r="S36" s="16" t="str">
        <f>IFERROR(__xludf.DUMMYFUNCTION("""COMPUTED_VALUE"""),"PENSIUN")</f>
        <v>PENSIUN</v>
      </c>
      <c r="T36" s="16" t="str">
        <f>IFERROR(__xludf.DUMMYFUNCTION("""COMPUTED_VALUE"""),"KAKI KIRI")</f>
        <v>KAKI KIRI</v>
      </c>
      <c r="U36" s="16" t="str">
        <f>IFERROR(__xludf.DUMMYFUNCTION("""COMPUTED_VALUE"""),"")</f>
        <v/>
      </c>
      <c r="V36" s="21" t="str">
        <f>IFERROR(__xludf.DUMMYFUNCTION("""COMPUTED_VALUE"""),"081256340002")</f>
        <v>081256340002</v>
      </c>
      <c r="W36" s="22"/>
    </row>
    <row r="37" ht="22.5" customHeight="1">
      <c r="A37" s="8"/>
      <c r="B37" s="9">
        <f>IFERROR(__xludf.DUMMYFUNCTION("""COMPUTED_VALUE"""),45010.53389464121)</f>
        <v>45010.53389</v>
      </c>
      <c r="C37" s="9"/>
      <c r="D37" s="10">
        <f>IFERROR(__xludf.DUMMYFUNCTION("""COMPUTED_VALUE"""),44937.0)</f>
        <v>44937</v>
      </c>
      <c r="E37" s="10" t="str">
        <f>IFERROR(__xludf.DUMMYFUNCTION("""COMPUTED_VALUE"""),"01Jan")</f>
        <v>01Jan</v>
      </c>
      <c r="F37" s="10" t="str">
        <f>IFERROR(__xludf.DUMMYFUNCTION("""COMPUTED_VALUE"""),"2023")</f>
        <v>2023</v>
      </c>
      <c r="G37" s="16" t="str">
        <f>IFERROR(__xludf.DUMMYFUNCTION("""COMPUTED_VALUE"""),"DIMAS PANDU HIDAYATULLAH")</f>
        <v>DIMAS PANDU HIDAYATULLAH</v>
      </c>
      <c r="H37" s="17" t="str">
        <f>IFERROR(__xludf.DUMMYFUNCTION("""COMPUTED_VALUE"""),"D0023011314")</f>
        <v>D0023011314</v>
      </c>
      <c r="I37" s="17">
        <f>IFERROR(__xludf.DUMMYFUNCTION("""COMPUTED_VALUE"""),26.0)</f>
        <v>26</v>
      </c>
      <c r="J37" s="17" t="str">
        <f>IFERROR(__xludf.DUMMYFUNCTION("""COMPUTED_VALUE"""),"25-34 tahun")</f>
        <v>25-34 tahun</v>
      </c>
      <c r="K37" s="19">
        <f>IFERROR(__xludf.DUMMYFUNCTION("""COMPUTED_VALUE"""),36670.0)</f>
        <v>36670</v>
      </c>
      <c r="L37" s="19" t="str">
        <f>IFERROR(__xludf.DUMMYFUNCTION("""COMPUTED_VALUE"""),"LAKI-LAKI")</f>
        <v>LAKI-LAKI</v>
      </c>
      <c r="M37" s="16" t="str">
        <f>IFERROR(__xludf.DUMMYFUNCTION("""COMPUTED_VALUE"""),"JL. KOMYOS SOEDARSO GG. HIDAYAH")</f>
        <v>JL. KOMYOS SOEDARSO GG. HIDAYAH</v>
      </c>
      <c r="N37" s="16"/>
      <c r="O37" s="16"/>
      <c r="P37" s="16"/>
      <c r="Q37" s="16"/>
      <c r="R37" s="19" t="str">
        <f>IFERROR(__xludf.DUMMYFUNCTION("""COMPUTED_VALUE"""),"ISLAM")</f>
        <v>ISLAM</v>
      </c>
      <c r="S37" s="16" t="str">
        <f>IFERROR(__xludf.DUMMYFUNCTION("""COMPUTED_VALUE"""),"PELAJAR/MAHASISWA")</f>
        <v>PELAJAR/MAHASISWA</v>
      </c>
      <c r="T37" s="16" t="str">
        <f>IFERROR(__xludf.DUMMYFUNCTION("""COMPUTED_VALUE"""),"ANKLE")</f>
        <v>ANKLE</v>
      </c>
      <c r="U37" s="16" t="str">
        <f>IFERROR(__xludf.DUMMYFUNCTION("""COMPUTED_VALUE"""),"")</f>
        <v/>
      </c>
      <c r="V37" s="21" t="str">
        <f>IFERROR(__xludf.DUMMYFUNCTION("""COMPUTED_VALUE"""),"0895611361314")</f>
        <v>0895611361314</v>
      </c>
      <c r="W37" s="22"/>
    </row>
    <row r="38" ht="22.5" customHeight="1">
      <c r="A38" s="8"/>
      <c r="B38" s="9">
        <f>IFERROR(__xludf.DUMMYFUNCTION("""COMPUTED_VALUE"""),45006.89271108796)</f>
        <v>45006.89271</v>
      </c>
      <c r="C38" s="9"/>
      <c r="D38" s="10">
        <f>IFERROR(__xludf.DUMMYFUNCTION("""COMPUTED_VALUE"""),44937.0)</f>
        <v>44937</v>
      </c>
      <c r="E38" s="10" t="str">
        <f>IFERROR(__xludf.DUMMYFUNCTION("""COMPUTED_VALUE"""),"01Jan")</f>
        <v>01Jan</v>
      </c>
      <c r="F38" s="10" t="str">
        <f>IFERROR(__xludf.DUMMYFUNCTION("""COMPUTED_VALUE"""),"2023")</f>
        <v>2023</v>
      </c>
      <c r="G38" s="16" t="str">
        <f>IFERROR(__xludf.DUMMYFUNCTION("""COMPUTED_VALUE"""),"EIVA RADE SIHO")</f>
        <v>EIVA RADE SIHO</v>
      </c>
      <c r="H38" s="17" t="str">
        <f>IFERROR(__xludf.DUMMYFUNCTION("""COMPUTED_VALUE"""),"E7623015810")</f>
        <v>E7623015810</v>
      </c>
      <c r="I38" s="17">
        <f>IFERROR(__xludf.DUMMYFUNCTION("""COMPUTED_VALUE"""),49.0)</f>
        <v>49</v>
      </c>
      <c r="J38" s="17" t="str">
        <f>IFERROR(__xludf.DUMMYFUNCTION("""COMPUTED_VALUE"""),"&gt; 44 tahun")</f>
        <v>&gt; 44 tahun</v>
      </c>
      <c r="K38" s="19">
        <f>IFERROR(__xludf.DUMMYFUNCTION("""COMPUTED_VALUE"""),28091.0)</f>
        <v>28091</v>
      </c>
      <c r="L38" s="19" t="str">
        <f>IFERROR(__xludf.DUMMYFUNCTION("""COMPUTED_VALUE"""),"PEREMPUAN")</f>
        <v>PEREMPUAN</v>
      </c>
      <c r="M38" s="16" t="str">
        <f>IFERROR(__xludf.DUMMYFUNCTION("""COMPUTED_VALUE"""),"JL PERINTIS GG MADRASAH BLOK E10")</f>
        <v>JL PERINTIS GG MADRASAH BLOK E10</v>
      </c>
      <c r="N38" s="16"/>
      <c r="O38" s="16"/>
      <c r="P38" s="16"/>
      <c r="Q38" s="16"/>
      <c r="R38" s="19" t="str">
        <f>IFERROR(__xludf.DUMMYFUNCTION("""COMPUTED_VALUE"""),"PROTESTAN")</f>
        <v>PROTESTAN</v>
      </c>
      <c r="S38" s="16" t="str">
        <f>IFERROR(__xludf.DUMMYFUNCTION("""COMPUTED_VALUE"""),"SWASTA")</f>
        <v>SWASTA</v>
      </c>
      <c r="T38" s="16" t="str">
        <f>IFERROR(__xludf.DUMMYFUNCTION("""COMPUTED_VALUE"""),"TANGAN KANAN")</f>
        <v>TANGAN KANAN</v>
      </c>
      <c r="U38" s="16" t="str">
        <f>IFERROR(__xludf.DUMMYFUNCTION("""COMPUTED_VALUE"""),"-")</f>
        <v>-</v>
      </c>
      <c r="V38" s="21" t="str">
        <f>IFERROR(__xludf.DUMMYFUNCTION("""COMPUTED_VALUE"""),"08125705810")</f>
        <v>08125705810</v>
      </c>
      <c r="W38" s="22"/>
    </row>
    <row r="39" ht="22.5" customHeight="1">
      <c r="A39" s="25"/>
      <c r="B39" s="26">
        <f>IFERROR(__xludf.DUMMYFUNCTION("""COMPUTED_VALUE"""),44931.62291666667)</f>
        <v>44931.62292</v>
      </c>
      <c r="C39" s="26"/>
      <c r="D39" s="10">
        <f>IFERROR(__xludf.DUMMYFUNCTION("""COMPUTED_VALUE"""),44937.0)</f>
        <v>44937</v>
      </c>
      <c r="E39" s="10" t="str">
        <f>IFERROR(__xludf.DUMMYFUNCTION("""COMPUTED_VALUE"""),"01Jan")</f>
        <v>01Jan</v>
      </c>
      <c r="F39" s="10" t="str">
        <f>IFERROR(__xludf.DUMMYFUNCTION("""COMPUTED_VALUE"""),"2023")</f>
        <v>2023</v>
      </c>
      <c r="G39" s="16" t="str">
        <f>IFERROR(__xludf.DUMMYFUNCTION("""COMPUTED_VALUE"""),"ERICK TRIENARDO")</f>
        <v>ERICK TRIENARDO</v>
      </c>
      <c r="H39" s="17" t="str">
        <f>IFERROR(__xludf.DUMMYFUNCTION("""COMPUTED_VALUE"""),"E9723014638")</f>
        <v>E9723014638</v>
      </c>
      <c r="I39" s="17">
        <f>IFERROR(__xludf.DUMMYFUNCTION("""COMPUTED_VALUE"""),29.0)</f>
        <v>29</v>
      </c>
      <c r="J39" s="17" t="str">
        <f>IFERROR(__xludf.DUMMYFUNCTION("""COMPUTED_VALUE"""),"25-34 tahun")</f>
        <v>25-34 tahun</v>
      </c>
      <c r="K39" s="19">
        <f>IFERROR(__xludf.DUMMYFUNCTION("""COMPUTED_VALUE"""),35502.0)</f>
        <v>35502</v>
      </c>
      <c r="L39" s="19" t="str">
        <f>IFERROR(__xludf.DUMMYFUNCTION("""COMPUTED_VALUE"""),"LAKI-LAKI")</f>
        <v>LAKI-LAKI</v>
      </c>
      <c r="M39" s="16" t="str">
        <f>IFERROR(__xludf.DUMMYFUNCTION("""COMPUTED_VALUE"""),"DESA SEMUDUN")</f>
        <v>DESA SEMUDUN</v>
      </c>
      <c r="N39" s="16"/>
      <c r="O39" s="16"/>
      <c r="P39" s="16"/>
      <c r="Q39" s="16"/>
      <c r="R39" s="19" t="str">
        <f>IFERROR(__xludf.DUMMYFUNCTION("""COMPUTED_VALUE"""),"PROTESTAN")</f>
        <v>PROTESTAN</v>
      </c>
      <c r="S39" s="16" t="str">
        <f>IFERROR(__xludf.DUMMYFUNCTION("""COMPUTED_VALUE"""),"SWASTA")</f>
        <v>SWASTA</v>
      </c>
      <c r="T39" s="16" t="str">
        <f>IFERROR(__xludf.DUMMYFUNCTION("""COMPUTED_VALUE"""),"ANKLE")</f>
        <v>ANKLE</v>
      </c>
      <c r="U39" s="16" t="str">
        <f>IFERROR(__xludf.DUMMYFUNCTION("""COMPUTED_VALUE"""),"")</f>
        <v/>
      </c>
      <c r="V39" s="21" t="str">
        <f>IFERROR(__xludf.DUMMYFUNCTION("""COMPUTED_VALUE"""),"081348474638")</f>
        <v>081348474638</v>
      </c>
      <c r="W39" s="27"/>
    </row>
    <row r="40" ht="22.5" customHeight="1">
      <c r="A40" s="25"/>
      <c r="B40" s="26">
        <f>IFERROR(__xludf.DUMMYFUNCTION("""COMPUTED_VALUE"""),44917.445069444446)</f>
        <v>44917.44507</v>
      </c>
      <c r="C40" s="26"/>
      <c r="D40" s="10">
        <f>IFERROR(__xludf.DUMMYFUNCTION("""COMPUTED_VALUE"""),44937.0)</f>
        <v>44937</v>
      </c>
      <c r="E40" s="10" t="str">
        <f>IFERROR(__xludf.DUMMYFUNCTION("""COMPUTED_VALUE"""),"01Jan")</f>
        <v>01Jan</v>
      </c>
      <c r="F40" s="10" t="str">
        <f>IFERROR(__xludf.DUMMYFUNCTION("""COMPUTED_VALUE"""),"2023")</f>
        <v>2023</v>
      </c>
      <c r="G40" s="16" t="str">
        <f>IFERROR(__xludf.DUMMYFUNCTION("""COMPUTED_VALUE"""),"FLAVIUS PANGAREGO")</f>
        <v>FLAVIUS PANGAREGO</v>
      </c>
      <c r="H40" s="17" t="str">
        <f>IFERROR(__xludf.DUMMYFUNCTION("""COMPUTED_VALUE"""),"F9623012859")</f>
        <v>F9623012859</v>
      </c>
      <c r="I40" s="17">
        <f>IFERROR(__xludf.DUMMYFUNCTION("""COMPUTED_VALUE"""),30.0)</f>
        <v>30</v>
      </c>
      <c r="J40" s="17" t="str">
        <f>IFERROR(__xludf.DUMMYFUNCTION("""COMPUTED_VALUE"""),"25-34 tahun")</f>
        <v>25-34 tahun</v>
      </c>
      <c r="K40" s="19">
        <f>IFERROR(__xludf.DUMMYFUNCTION("""COMPUTED_VALUE"""),35203.0)</f>
        <v>35203</v>
      </c>
      <c r="L40" s="19" t="str">
        <f>IFERROR(__xludf.DUMMYFUNCTION("""COMPUTED_VALUE"""),"LAKI-LAKI")</f>
        <v>LAKI-LAKI</v>
      </c>
      <c r="M40" s="16" t="str">
        <f>IFERROR(__xludf.DUMMYFUNCTION("""COMPUTED_VALUE"""),"JL. AMPERA NO. B7")</f>
        <v>JL. AMPERA NO. B7</v>
      </c>
      <c r="N40" s="16"/>
      <c r="O40" s="16"/>
      <c r="P40" s="16"/>
      <c r="Q40" s="16"/>
      <c r="R40" s="19" t="str">
        <f>IFERROR(__xludf.DUMMYFUNCTION("""COMPUTED_VALUE"""),"KATOLIK")</f>
        <v>KATOLIK</v>
      </c>
      <c r="S40" s="16" t="str">
        <f>IFERROR(__xludf.DUMMYFUNCTION("""COMPUTED_VALUE"""),"ASN")</f>
        <v>ASN</v>
      </c>
      <c r="T40" s="16"/>
      <c r="U40" s="16" t="str">
        <f>IFERROR(__xludf.DUMMYFUNCTION("""COMPUTED_VALUE"""),"FUTSAL")</f>
        <v>FUTSAL</v>
      </c>
      <c r="V40" s="21" t="str">
        <f>IFERROR(__xludf.DUMMYFUNCTION("""COMPUTED_VALUE"""),"082298792859")</f>
        <v>082298792859</v>
      </c>
      <c r="W40" s="27"/>
    </row>
    <row r="41" ht="22.5" customHeight="1">
      <c r="A41" s="8"/>
      <c r="B41" s="9">
        <f>IFERROR(__xludf.DUMMYFUNCTION("""COMPUTED_VALUE"""),45010.58521449074)</f>
        <v>45010.58521</v>
      </c>
      <c r="C41" s="9"/>
      <c r="D41" s="10">
        <f>IFERROR(__xludf.DUMMYFUNCTION("""COMPUTED_VALUE"""),44937.0)</f>
        <v>44937</v>
      </c>
      <c r="E41" s="10" t="str">
        <f>IFERROR(__xludf.DUMMYFUNCTION("""COMPUTED_VALUE"""),"01Jan")</f>
        <v>01Jan</v>
      </c>
      <c r="F41" s="10" t="str">
        <f>IFERROR(__xludf.DUMMYFUNCTION("""COMPUTED_VALUE"""),"2023")</f>
        <v>2023</v>
      </c>
      <c r="G41" s="16" t="str">
        <f>IFERROR(__xludf.DUMMYFUNCTION("""COMPUTED_VALUE"""),"HERI RAHMANTO")</f>
        <v>HERI RAHMANTO</v>
      </c>
      <c r="H41" s="17" t="str">
        <f>IFERROR(__xludf.DUMMYFUNCTION("""COMPUTED_VALUE"""),"H6123011926")</f>
        <v>H6123011926</v>
      </c>
      <c r="I41" s="17">
        <f>IFERROR(__xludf.DUMMYFUNCTION("""COMPUTED_VALUE"""),65.0)</f>
        <v>65</v>
      </c>
      <c r="J41" s="17" t="str">
        <f>IFERROR(__xludf.DUMMYFUNCTION("""COMPUTED_VALUE"""),"&gt; 44 tahun")</f>
        <v>&gt; 44 tahun</v>
      </c>
      <c r="K41" s="19">
        <f>IFERROR(__xludf.DUMMYFUNCTION("""COMPUTED_VALUE"""),22421.0)</f>
        <v>22421</v>
      </c>
      <c r="L41" s="19" t="str">
        <f>IFERROR(__xludf.DUMMYFUNCTION("""COMPUTED_VALUE"""),"LAKI-LAKI")</f>
        <v>LAKI-LAKI</v>
      </c>
      <c r="M41" s="16" t="str">
        <f>IFERROR(__xludf.DUMMYFUNCTION("""COMPUTED_VALUE"""),"JL. ALIANYANG ASPOL HONGGO PRANOTO")</f>
        <v>JL. ALIANYANG ASPOL HONGGO PRANOTO</v>
      </c>
      <c r="N41" s="16"/>
      <c r="O41" s="16"/>
      <c r="P41" s="16"/>
      <c r="Q41" s="16"/>
      <c r="R41" s="19" t="str">
        <f>IFERROR(__xludf.DUMMYFUNCTION("""COMPUTED_VALUE"""),"ISLAM")</f>
        <v>ISLAM</v>
      </c>
      <c r="S41" s="16" t="str">
        <f>IFERROR(__xludf.DUMMYFUNCTION("""COMPUTED_VALUE"""),"")</f>
        <v/>
      </c>
      <c r="T41" s="16" t="str">
        <f>IFERROR(__xludf.DUMMYFUNCTION("""COMPUTED_VALUE"""),"- TUNGKAI BAWAH")</f>
        <v>- TUNGKAI BAWAH</v>
      </c>
      <c r="U41" s="16" t="str">
        <f>IFERROR(__xludf.DUMMYFUNCTION("""COMPUTED_VALUE"""),"")</f>
        <v/>
      </c>
      <c r="V41" s="21" t="str">
        <f>IFERROR(__xludf.DUMMYFUNCTION("""COMPUTED_VALUE"""),"082127941926")</f>
        <v>082127941926</v>
      </c>
      <c r="W41" s="22"/>
    </row>
    <row r="42" ht="22.5" customHeight="1">
      <c r="A42" s="8"/>
      <c r="B42" s="9">
        <f>IFERROR(__xludf.DUMMYFUNCTION("""COMPUTED_VALUE"""),44950.5268287037)</f>
        <v>44950.52683</v>
      </c>
      <c r="C42" s="9"/>
      <c r="D42" s="10">
        <f>IFERROR(__xludf.DUMMYFUNCTION("""COMPUTED_VALUE"""),44937.0)</f>
        <v>44937</v>
      </c>
      <c r="E42" s="10" t="str">
        <f>IFERROR(__xludf.DUMMYFUNCTION("""COMPUTED_VALUE"""),"01Jan")</f>
        <v>01Jan</v>
      </c>
      <c r="F42" s="10" t="str">
        <f>IFERROR(__xludf.DUMMYFUNCTION("""COMPUTED_VALUE"""),"2023")</f>
        <v>2023</v>
      </c>
      <c r="G42" s="16" t="str">
        <f>IFERROR(__xludf.DUMMYFUNCTION("""COMPUTED_VALUE"""),"HILMIY DZAKIY")</f>
        <v>HILMIY DZAKIY</v>
      </c>
      <c r="H42" s="17" t="str">
        <f>IFERROR(__xludf.DUMMYFUNCTION("""COMPUTED_VALUE"""),"H0923018457")</f>
        <v>H0923018457</v>
      </c>
      <c r="I42" s="17">
        <f>IFERROR(__xludf.DUMMYFUNCTION("""COMPUTED_VALUE"""),17.0)</f>
        <v>17</v>
      </c>
      <c r="J42" s="17" t="str">
        <f>IFERROR(__xludf.DUMMYFUNCTION("""COMPUTED_VALUE"""),"&lt; 18 tahun")</f>
        <v>&lt; 18 tahun</v>
      </c>
      <c r="K42" s="19">
        <f>IFERROR(__xludf.DUMMYFUNCTION("""COMPUTED_VALUE"""),39939.0)</f>
        <v>39939</v>
      </c>
      <c r="L42" s="19" t="str">
        <f>IFERROR(__xludf.DUMMYFUNCTION("""COMPUTED_VALUE"""),"LAKI-LAKI")</f>
        <v>LAKI-LAKI</v>
      </c>
      <c r="M42" s="16" t="str">
        <f>IFERROR(__xludf.DUMMYFUNCTION("""COMPUTED_VALUE"""),"JL URAY BAWADI GG SUDITRISNO")</f>
        <v>JL URAY BAWADI GG SUDITRISNO</v>
      </c>
      <c r="N42" s="16"/>
      <c r="O42" s="16"/>
      <c r="P42" s="16"/>
      <c r="Q42" s="16"/>
      <c r="R42" s="19" t="str">
        <f>IFERROR(__xludf.DUMMYFUNCTION("""COMPUTED_VALUE"""),"ISLAM")</f>
        <v>ISLAM</v>
      </c>
      <c r="S42" s="16" t="str">
        <f>IFERROR(__xludf.DUMMYFUNCTION("""COMPUTED_VALUE"""),"PELAJAR/MAHASISWA")</f>
        <v>PELAJAR/MAHASISWA</v>
      </c>
      <c r="T42" s="16"/>
      <c r="U42" s="16" t="str">
        <f>IFERROR(__xludf.DUMMYFUNCTION("""COMPUTED_VALUE"""),"")</f>
        <v/>
      </c>
      <c r="V42" s="21" t="str">
        <f>IFERROR(__xludf.DUMMYFUNCTION("""COMPUTED_VALUE"""),"081345438457")</f>
        <v>081345438457</v>
      </c>
      <c r="W42" s="22"/>
    </row>
    <row r="43" ht="22.5" customHeight="1">
      <c r="A43" s="8"/>
      <c r="B43" s="9">
        <f>IFERROR(__xludf.DUMMYFUNCTION("""COMPUTED_VALUE"""),45011.63868106481)</f>
        <v>45011.63868</v>
      </c>
      <c r="C43" s="9"/>
      <c r="D43" s="10">
        <f>IFERROR(__xludf.DUMMYFUNCTION("""COMPUTED_VALUE"""),44938.0)</f>
        <v>44938</v>
      </c>
      <c r="E43" s="10" t="str">
        <f>IFERROR(__xludf.DUMMYFUNCTION("""COMPUTED_VALUE"""),"01Jan")</f>
        <v>01Jan</v>
      </c>
      <c r="F43" s="10" t="str">
        <f>IFERROR(__xludf.DUMMYFUNCTION("""COMPUTED_VALUE"""),"2023")</f>
        <v>2023</v>
      </c>
      <c r="G43" s="16" t="str">
        <f>IFERROR(__xludf.DUMMYFUNCTION("""COMPUTED_VALUE"""),"BARIONO")</f>
        <v>BARIONO</v>
      </c>
      <c r="H43" s="17" t="str">
        <f>IFERROR(__xludf.DUMMYFUNCTION("""COMPUTED_VALUE"""),"B7723012106")</f>
        <v>B7723012106</v>
      </c>
      <c r="I43" s="17">
        <f>IFERROR(__xludf.DUMMYFUNCTION("""COMPUTED_VALUE"""),49.0)</f>
        <v>49</v>
      </c>
      <c r="J43" s="17" t="str">
        <f>IFERROR(__xludf.DUMMYFUNCTION("""COMPUTED_VALUE"""),"&gt; 44 tahun")</f>
        <v>&gt; 44 tahun</v>
      </c>
      <c r="K43" s="19">
        <f>IFERROR(__xludf.DUMMYFUNCTION("""COMPUTED_VALUE"""),28292.0)</f>
        <v>28292</v>
      </c>
      <c r="L43" s="19" t="str">
        <f>IFERROR(__xludf.DUMMYFUNCTION("""COMPUTED_VALUE"""),"LAKI-LAKI")</f>
        <v>LAKI-LAKI</v>
      </c>
      <c r="M43" s="16" t="str">
        <f>IFERROR(__xludf.DUMMYFUNCTION("""COMPUTED_VALUE"""),"JL. PANGERAN NATAKUSUMA GG. SILIWANGI NO. 4A")</f>
        <v>JL. PANGERAN NATAKUSUMA GG. SILIWANGI NO. 4A</v>
      </c>
      <c r="N43" s="16"/>
      <c r="O43" s="16"/>
      <c r="P43" s="16"/>
      <c r="Q43" s="16"/>
      <c r="R43" s="19" t="str">
        <f>IFERROR(__xludf.DUMMYFUNCTION("""COMPUTED_VALUE"""),"ISLAM")</f>
        <v>ISLAM</v>
      </c>
      <c r="S43" s="16" t="str">
        <f>IFERROR(__xludf.DUMMYFUNCTION("""COMPUTED_VALUE"""),"TNI/POLRI")</f>
        <v>TNI/POLRI</v>
      </c>
      <c r="T43" s="16" t="str">
        <f>IFERROR(__xludf.DUMMYFUNCTION("""COMPUTED_VALUE"""),"BELL PALSY")</f>
        <v>BELL PALSY</v>
      </c>
      <c r="U43" s="16" t="str">
        <f>IFERROR(__xludf.DUMMYFUNCTION("""COMPUTED_VALUE"""),"")</f>
        <v/>
      </c>
      <c r="V43" s="21" t="str">
        <f>IFERROR(__xludf.DUMMYFUNCTION("""COMPUTED_VALUE"""),"081345212106")</f>
        <v>081345212106</v>
      </c>
      <c r="W43" s="22"/>
    </row>
    <row r="44" ht="22.5" customHeight="1">
      <c r="A44" s="8"/>
      <c r="B44" s="9">
        <f>IFERROR(__xludf.DUMMYFUNCTION("""COMPUTED_VALUE"""),44973.39570601852)</f>
        <v>44973.39571</v>
      </c>
      <c r="C44" s="9"/>
      <c r="D44" s="10">
        <f>IFERROR(__xludf.DUMMYFUNCTION("""COMPUTED_VALUE"""),44938.0)</f>
        <v>44938</v>
      </c>
      <c r="E44" s="10" t="str">
        <f>IFERROR(__xludf.DUMMYFUNCTION("""COMPUTED_VALUE"""),"01Jan")</f>
        <v>01Jan</v>
      </c>
      <c r="F44" s="10" t="str">
        <f>IFERROR(__xludf.DUMMYFUNCTION("""COMPUTED_VALUE"""),"2023")</f>
        <v>2023</v>
      </c>
      <c r="G44" s="16" t="str">
        <f>IFERROR(__xludf.DUMMYFUNCTION("""COMPUTED_VALUE"""),"BASORI")</f>
        <v>BASORI</v>
      </c>
      <c r="H44" s="17" t="str">
        <f>IFERROR(__xludf.DUMMYFUNCTION("""COMPUTED_VALUE"""),"B9723011146")</f>
        <v>B9723011146</v>
      </c>
      <c r="I44" s="17">
        <f>IFERROR(__xludf.DUMMYFUNCTION("""COMPUTED_VALUE"""),29.0)</f>
        <v>29</v>
      </c>
      <c r="J44" s="17" t="str">
        <f>IFERROR(__xludf.DUMMYFUNCTION("""COMPUTED_VALUE"""),"25-34 tahun")</f>
        <v>25-34 tahun</v>
      </c>
      <c r="K44" s="19">
        <f>IFERROR(__xludf.DUMMYFUNCTION("""COMPUTED_VALUE"""),35526.0)</f>
        <v>35526</v>
      </c>
      <c r="L44" s="19" t="str">
        <f>IFERROR(__xludf.DUMMYFUNCTION("""COMPUTED_VALUE"""),"LAKI-LAKI")</f>
        <v>LAKI-LAKI</v>
      </c>
      <c r="M44" s="16" t="str">
        <f>IFERROR(__xludf.DUMMYFUNCTION("""COMPUTED_VALUE"""),"PROF YAMIN")</f>
        <v>PROF YAMIN</v>
      </c>
      <c r="N44" s="16"/>
      <c r="O44" s="16"/>
      <c r="P44" s="16"/>
      <c r="Q44" s="16"/>
      <c r="R44" s="19" t="str">
        <f>IFERROR(__xludf.DUMMYFUNCTION("""COMPUTED_VALUE"""),"ISLAM")</f>
        <v>ISLAM</v>
      </c>
      <c r="S44" s="16" t="str">
        <f>IFERROR(__xludf.DUMMYFUNCTION("""COMPUTED_VALUE"""),"SWASTA")</f>
        <v>SWASTA</v>
      </c>
      <c r="T44" s="16"/>
      <c r="U44" s="16" t="str">
        <f>IFERROR(__xludf.DUMMYFUNCTION("""COMPUTED_VALUE"""),"-")</f>
        <v>-</v>
      </c>
      <c r="V44" s="21" t="str">
        <f>IFERROR(__xludf.DUMMYFUNCTION("""COMPUTED_VALUE"""),"08990991146")</f>
        <v>08990991146</v>
      </c>
      <c r="W44" s="22"/>
    </row>
    <row r="45" ht="22.5" customHeight="1">
      <c r="A45" s="25"/>
      <c r="B45" s="26">
        <f>IFERROR(__xludf.DUMMYFUNCTION("""COMPUTED_VALUE"""),44956.554247685184)</f>
        <v>44956.55425</v>
      </c>
      <c r="C45" s="26"/>
      <c r="D45" s="10">
        <f>IFERROR(__xludf.DUMMYFUNCTION("""COMPUTED_VALUE"""),44938.0)</f>
        <v>44938</v>
      </c>
      <c r="E45" s="10" t="str">
        <f>IFERROR(__xludf.DUMMYFUNCTION("""COMPUTED_VALUE"""),"01Jan")</f>
        <v>01Jan</v>
      </c>
      <c r="F45" s="10" t="str">
        <f>IFERROR(__xludf.DUMMYFUNCTION("""COMPUTED_VALUE"""),"2023")</f>
        <v>2023</v>
      </c>
      <c r="G45" s="16" t="str">
        <f>IFERROR(__xludf.DUMMYFUNCTION("""COMPUTED_VALUE"""),"CHALISA PUTRI PRISYLA")</f>
        <v>CHALISA PUTRI PRISYLA</v>
      </c>
      <c r="H45" s="17" t="str">
        <f>IFERROR(__xludf.DUMMYFUNCTION("""COMPUTED_VALUE"""),"C0923018735")</f>
        <v>C0923018735</v>
      </c>
      <c r="I45" s="17">
        <f>IFERROR(__xludf.DUMMYFUNCTION("""COMPUTED_VALUE"""),16.0)</f>
        <v>16</v>
      </c>
      <c r="J45" s="17" t="str">
        <f>IFERROR(__xludf.DUMMYFUNCTION("""COMPUTED_VALUE"""),"&lt; 18 tahun")</f>
        <v>&lt; 18 tahun</v>
      </c>
      <c r="K45" s="19">
        <f>IFERROR(__xludf.DUMMYFUNCTION("""COMPUTED_VALUE"""),40129.0)</f>
        <v>40129</v>
      </c>
      <c r="L45" s="19" t="str">
        <f>IFERROR(__xludf.DUMMYFUNCTION("""COMPUTED_VALUE"""),"PEREMPUAN")</f>
        <v>PEREMPUAN</v>
      </c>
      <c r="M45" s="16" t="str">
        <f>IFERROR(__xludf.DUMMYFUNCTION("""COMPUTED_VALUE"""),"JL. SUI RAYA DALAM KOMP. TAMAN SUNGAI RAYA")</f>
        <v>JL. SUI RAYA DALAM KOMP. TAMAN SUNGAI RAYA</v>
      </c>
      <c r="N45" s="16"/>
      <c r="O45" s="16"/>
      <c r="P45" s="16"/>
      <c r="Q45" s="16"/>
      <c r="R45" s="19" t="str">
        <f>IFERROR(__xludf.DUMMYFUNCTION("""COMPUTED_VALUE"""),"ISLAM")</f>
        <v>ISLAM</v>
      </c>
      <c r="S45" s="16" t="str">
        <f>IFERROR(__xludf.DUMMYFUNCTION("""COMPUTED_VALUE"""),"PELAJAR/MAHASISWA")</f>
        <v>PELAJAR/MAHASISWA</v>
      </c>
      <c r="T45" s="16" t="str">
        <f>IFERROR(__xludf.DUMMYFUNCTION("""COMPUTED_VALUE"""),"SKOLIOSIS")</f>
        <v>SKOLIOSIS</v>
      </c>
      <c r="U45" s="16" t="str">
        <f>IFERROR(__xludf.DUMMYFUNCTION("""COMPUTED_VALUE"""),"-")</f>
        <v>-</v>
      </c>
      <c r="V45" s="21" t="str">
        <f>IFERROR(__xludf.DUMMYFUNCTION("""COMPUTED_VALUE"""),"08567988735")</f>
        <v>08567988735</v>
      </c>
      <c r="W45" s="27"/>
    </row>
    <row r="46" ht="22.5" customHeight="1">
      <c r="A46" s="25"/>
      <c r="B46" s="26">
        <f>IFERROR(__xludf.DUMMYFUNCTION("""COMPUTED_VALUE"""),45011.659044201384)</f>
        <v>45011.65904</v>
      </c>
      <c r="C46" s="26"/>
      <c r="D46" s="10">
        <f>IFERROR(__xludf.DUMMYFUNCTION("""COMPUTED_VALUE"""),44938.0)</f>
        <v>44938</v>
      </c>
      <c r="E46" s="10" t="str">
        <f>IFERROR(__xludf.DUMMYFUNCTION("""COMPUTED_VALUE"""),"01Jan")</f>
        <v>01Jan</v>
      </c>
      <c r="F46" s="10" t="str">
        <f>IFERROR(__xludf.DUMMYFUNCTION("""COMPUTED_VALUE"""),"2023")</f>
        <v>2023</v>
      </c>
      <c r="G46" s="16" t="str">
        <f>IFERROR(__xludf.DUMMYFUNCTION("""COMPUTED_VALUE"""),"HARDJONO")</f>
        <v>HARDJONO</v>
      </c>
      <c r="H46" s="17" t="str">
        <f>IFERROR(__xludf.DUMMYFUNCTION("""COMPUTED_VALUE"""),"H4623015667")</f>
        <v>H4623015667</v>
      </c>
      <c r="I46" s="17">
        <f>IFERROR(__xludf.DUMMYFUNCTION("""COMPUTED_VALUE"""),80.0)</f>
        <v>80</v>
      </c>
      <c r="J46" s="17" t="str">
        <f>IFERROR(__xludf.DUMMYFUNCTION("""COMPUTED_VALUE"""),"&gt; 44 tahun")</f>
        <v>&gt; 44 tahun</v>
      </c>
      <c r="K46" s="19">
        <f>IFERROR(__xludf.DUMMYFUNCTION("""COMPUTED_VALUE"""),16864.0)</f>
        <v>16864</v>
      </c>
      <c r="L46" s="19" t="str">
        <f>IFERROR(__xludf.DUMMYFUNCTION("""COMPUTED_VALUE"""),"LAKI-LAKI")</f>
        <v>LAKI-LAKI</v>
      </c>
      <c r="M46" s="16" t="str">
        <f>IFERROR(__xludf.DUMMYFUNCTION("""COMPUTED_VALUE"""),"JL. KESEHATAN GG. SEJAHTERA")</f>
        <v>JL. KESEHATAN GG. SEJAHTERA</v>
      </c>
      <c r="N46" s="16"/>
      <c r="O46" s="16"/>
      <c r="P46" s="16"/>
      <c r="Q46" s="16"/>
      <c r="R46" s="19" t="str">
        <f>IFERROR(__xludf.DUMMYFUNCTION("""COMPUTED_VALUE"""),"ISLAM")</f>
        <v>ISLAM</v>
      </c>
      <c r="S46" s="16" t="str">
        <f>IFERROR(__xludf.DUMMYFUNCTION("""COMPUTED_VALUE"""),"PENSIUN")</f>
        <v>PENSIUN</v>
      </c>
      <c r="T46" s="16" t="str">
        <f>IFERROR(__xludf.DUMMYFUNCTION("""COMPUTED_VALUE"""),"STROKE")</f>
        <v>STROKE</v>
      </c>
      <c r="U46" s="16" t="str">
        <f>IFERROR(__xludf.DUMMYFUNCTION("""COMPUTED_VALUE"""),"")</f>
        <v/>
      </c>
      <c r="V46" s="21" t="str">
        <f>IFERROR(__xludf.DUMMYFUNCTION("""COMPUTED_VALUE"""),"08115755667")</f>
        <v>08115755667</v>
      </c>
      <c r="W46" s="27"/>
    </row>
    <row r="47" ht="22.5" customHeight="1">
      <c r="A47" s="23"/>
      <c r="B47" s="24">
        <f>IFERROR(__xludf.DUMMYFUNCTION("""COMPUTED_VALUE"""),45006.88994719907)</f>
        <v>45006.88995</v>
      </c>
      <c r="C47" s="24"/>
      <c r="D47" s="10">
        <f>IFERROR(__xludf.DUMMYFUNCTION("""COMPUTED_VALUE"""),44938.0)</f>
        <v>44938</v>
      </c>
      <c r="E47" s="10" t="str">
        <f>IFERROR(__xludf.DUMMYFUNCTION("""COMPUTED_VALUE"""),"01Jan")</f>
        <v>01Jan</v>
      </c>
      <c r="F47" s="10" t="str">
        <f>IFERROR(__xludf.DUMMYFUNCTION("""COMPUTED_VALUE"""),"2023")</f>
        <v>2023</v>
      </c>
      <c r="G47" s="16" t="str">
        <f>IFERROR(__xludf.DUMMYFUNCTION("""COMPUTED_VALUE"""),"JUSWARDI")</f>
        <v>JUSWARDI</v>
      </c>
      <c r="H47" s="17" t="str">
        <f>IFERROR(__xludf.DUMMYFUNCTION("""COMPUTED_VALUE"""),"J6223019000")</f>
        <v>J6223019000</v>
      </c>
      <c r="I47" s="17">
        <f>IFERROR(__xludf.DUMMYFUNCTION("""COMPUTED_VALUE"""),63.0)</f>
        <v>63</v>
      </c>
      <c r="J47" s="17" t="str">
        <f>IFERROR(__xludf.DUMMYFUNCTION("""COMPUTED_VALUE"""),"&gt; 44 tahun")</f>
        <v>&gt; 44 tahun</v>
      </c>
      <c r="K47" s="19">
        <f>IFERROR(__xludf.DUMMYFUNCTION("""COMPUTED_VALUE"""),22854.0)</f>
        <v>22854</v>
      </c>
      <c r="L47" s="19" t="str">
        <f>IFERROR(__xludf.DUMMYFUNCTION("""COMPUTED_VALUE"""),"LAKI-LAKI")</f>
        <v>LAKI-LAKI</v>
      </c>
      <c r="M47" s="16" t="str">
        <f>IFERROR(__xludf.DUMMYFUNCTION("""COMPUTED_VALUE"""),"SEKURA")</f>
        <v>SEKURA</v>
      </c>
      <c r="N47" s="16"/>
      <c r="O47" s="16"/>
      <c r="P47" s="16"/>
      <c r="Q47" s="16"/>
      <c r="R47" s="19" t="str">
        <f>IFERROR(__xludf.DUMMYFUNCTION("""COMPUTED_VALUE"""),"ISLAM")</f>
        <v>ISLAM</v>
      </c>
      <c r="S47" s="16" t="str">
        <f>IFERROR(__xludf.DUMMYFUNCTION("""COMPUTED_VALUE"""),"PENSIUN")</f>
        <v>PENSIUN</v>
      </c>
      <c r="T47" s="16" t="str">
        <f>IFERROR(__xludf.DUMMYFUNCTION("""COMPUTED_VALUE"""),"STROKE")</f>
        <v>STROKE</v>
      </c>
      <c r="U47" s="16" t="str">
        <f>IFERROR(__xludf.DUMMYFUNCTION("""COMPUTED_VALUE"""),"-")</f>
        <v>-</v>
      </c>
      <c r="V47" s="21" t="str">
        <f>IFERROR(__xludf.DUMMYFUNCTION("""COMPUTED_VALUE"""),"081345489000")</f>
        <v>081345489000</v>
      </c>
      <c r="W47" s="22"/>
    </row>
    <row r="48" ht="22.5" customHeight="1">
      <c r="A48" s="25"/>
      <c r="B48" s="26">
        <f>IFERROR(__xludf.DUMMYFUNCTION("""COMPUTED_VALUE"""),45006.87765203704)</f>
        <v>45006.87765</v>
      </c>
      <c r="C48" s="26"/>
      <c r="D48" s="10">
        <f>IFERROR(__xludf.DUMMYFUNCTION("""COMPUTED_VALUE"""),44938.0)</f>
        <v>44938</v>
      </c>
      <c r="E48" s="10" t="str">
        <f>IFERROR(__xludf.DUMMYFUNCTION("""COMPUTED_VALUE"""),"01Jan")</f>
        <v>01Jan</v>
      </c>
      <c r="F48" s="10" t="str">
        <f>IFERROR(__xludf.DUMMYFUNCTION("""COMPUTED_VALUE"""),"2023")</f>
        <v>2023</v>
      </c>
      <c r="G48" s="16" t="str">
        <f>IFERROR(__xludf.DUMMYFUNCTION("""COMPUTED_VALUE"""),"TUTI NOVITA")</f>
        <v>TUTI NOVITA</v>
      </c>
      <c r="H48" s="17" t="str">
        <f>IFERROR(__xludf.DUMMYFUNCTION("""COMPUTED_VALUE"""),"T7223011339")</f>
        <v>T7223011339</v>
      </c>
      <c r="I48" s="17">
        <f>IFERROR(__xludf.DUMMYFUNCTION("""COMPUTED_VALUE"""),53.0)</f>
        <v>53</v>
      </c>
      <c r="J48" s="17" t="str">
        <f>IFERROR(__xludf.DUMMYFUNCTION("""COMPUTED_VALUE"""),"&gt; 44 tahun")</f>
        <v>&gt; 44 tahun</v>
      </c>
      <c r="K48" s="19">
        <f>IFERROR(__xludf.DUMMYFUNCTION("""COMPUTED_VALUE"""),26608.0)</f>
        <v>26608</v>
      </c>
      <c r="L48" s="19" t="str">
        <f>IFERROR(__xludf.DUMMYFUNCTION("""COMPUTED_VALUE"""),"PEREMPUAN")</f>
        <v>PEREMPUAN</v>
      </c>
      <c r="M48" s="16" t="str">
        <f>IFERROR(__xludf.DUMMYFUNCTION("""COMPUTED_VALUE"""),"JL PUTRI DARANANTE 88A")</f>
        <v>JL PUTRI DARANANTE 88A</v>
      </c>
      <c r="N48" s="16"/>
      <c r="O48" s="16"/>
      <c r="P48" s="16"/>
      <c r="Q48" s="16"/>
      <c r="R48" s="19" t="str">
        <f>IFERROR(__xludf.DUMMYFUNCTION("""COMPUTED_VALUE"""),"ISLAM")</f>
        <v>ISLAM</v>
      </c>
      <c r="S48" s="16" t="str">
        <f>IFERROR(__xludf.DUMMYFUNCTION("""COMPUTED_VALUE"""),"RUMAH TANGGA")</f>
        <v>RUMAH TANGGA</v>
      </c>
      <c r="T48" s="16" t="str">
        <f>IFERROR(__xludf.DUMMYFUNCTION("""COMPUTED_VALUE"""),"KAKI KANAN")</f>
        <v>KAKI KANAN</v>
      </c>
      <c r="U48" s="16" t="str">
        <f>IFERROR(__xludf.DUMMYFUNCTION("""COMPUTED_VALUE"""),"-")</f>
        <v>-</v>
      </c>
      <c r="V48" s="21" t="str">
        <f>IFERROR(__xludf.DUMMYFUNCTION("""COMPUTED_VALUE"""),"085252521339")</f>
        <v>085252521339</v>
      </c>
      <c r="W48" s="27"/>
    </row>
    <row r="49" ht="22.5" customHeight="1">
      <c r="A49" s="8"/>
      <c r="B49" s="9">
        <f>IFERROR(__xludf.DUMMYFUNCTION("""COMPUTED_VALUE"""),45010.71009674769)</f>
        <v>45010.7101</v>
      </c>
      <c r="C49" s="9"/>
      <c r="D49" s="10">
        <f>IFERROR(__xludf.DUMMYFUNCTION("""COMPUTED_VALUE"""),44940.0)</f>
        <v>44940</v>
      </c>
      <c r="E49" s="10" t="str">
        <f>IFERROR(__xludf.DUMMYFUNCTION("""COMPUTED_VALUE"""),"01Jan")</f>
        <v>01Jan</v>
      </c>
      <c r="F49" s="10" t="str">
        <f>IFERROR(__xludf.DUMMYFUNCTION("""COMPUTED_VALUE"""),"2023")</f>
        <v>2023</v>
      </c>
      <c r="G49" s="16" t="str">
        <f>IFERROR(__xludf.DUMMYFUNCTION("""COMPUTED_VALUE"""),"HENDRI WAHYUDHI")</f>
        <v>HENDRI WAHYUDHI</v>
      </c>
      <c r="H49" s="17" t="str">
        <f>IFERROR(__xludf.DUMMYFUNCTION("""COMPUTED_VALUE"""),"H7623014100")</f>
        <v>H7623014100</v>
      </c>
      <c r="I49" s="17">
        <f>IFERROR(__xludf.DUMMYFUNCTION("""COMPUTED_VALUE"""),49.0)</f>
        <v>49</v>
      </c>
      <c r="J49" s="17" t="str">
        <f>IFERROR(__xludf.DUMMYFUNCTION("""COMPUTED_VALUE"""),"&gt; 44 tahun")</f>
        <v>&gt; 44 tahun</v>
      </c>
      <c r="K49" s="19">
        <f>IFERROR(__xludf.DUMMYFUNCTION("""COMPUTED_VALUE"""),28096.0)</f>
        <v>28096</v>
      </c>
      <c r="L49" s="19" t="str">
        <f>IFERROR(__xludf.DUMMYFUNCTION("""COMPUTED_VALUE"""),"LAKI-LAKI")</f>
        <v>LAKI-LAKI</v>
      </c>
      <c r="M49" s="16" t="str">
        <f>IFERROR(__xludf.DUMMYFUNCTION("""COMPUTED_VALUE"""),"JL. KAPTEN TENDEAN NO. 17")</f>
        <v>JL. KAPTEN TENDEAN NO. 17</v>
      </c>
      <c r="N49" s="16"/>
      <c r="O49" s="16"/>
      <c r="P49" s="16"/>
      <c r="Q49" s="16"/>
      <c r="R49" s="19" t="str">
        <f>IFERROR(__xludf.DUMMYFUNCTION("""COMPUTED_VALUE"""),"PROTESTAN")</f>
        <v>PROTESTAN</v>
      </c>
      <c r="S49" s="16" t="str">
        <f>IFERROR(__xludf.DUMMYFUNCTION("""COMPUTED_VALUE"""),"SWASTA")</f>
        <v>SWASTA</v>
      </c>
      <c r="T49" s="16" t="str">
        <f>IFERROR(__xludf.DUMMYFUNCTION("""COMPUTED_VALUE"""),"PINGGANG")</f>
        <v>PINGGANG</v>
      </c>
      <c r="U49" s="16" t="str">
        <f>IFERROR(__xludf.DUMMYFUNCTION("""COMPUTED_VALUE"""),"")</f>
        <v/>
      </c>
      <c r="V49" s="21" t="str">
        <f>IFERROR(__xludf.DUMMYFUNCTION("""COMPUTED_VALUE"""),"082157684100")</f>
        <v>082157684100</v>
      </c>
      <c r="W49" s="22"/>
    </row>
    <row r="50" ht="22.5" customHeight="1">
      <c r="A50" s="8"/>
      <c r="B50" s="9">
        <f>IFERROR(__xludf.DUMMYFUNCTION("""COMPUTED_VALUE"""),44983.45313657408)</f>
        <v>44983.45314</v>
      </c>
      <c r="C50" s="9"/>
      <c r="D50" s="10">
        <f>IFERROR(__xludf.DUMMYFUNCTION("""COMPUTED_VALUE"""),44940.0)</f>
        <v>44940</v>
      </c>
      <c r="E50" s="10" t="str">
        <f>IFERROR(__xludf.DUMMYFUNCTION("""COMPUTED_VALUE"""),"01Jan")</f>
        <v>01Jan</v>
      </c>
      <c r="F50" s="10" t="str">
        <f>IFERROR(__xludf.DUMMYFUNCTION("""COMPUTED_VALUE"""),"2023")</f>
        <v>2023</v>
      </c>
      <c r="G50" s="16" t="str">
        <f>IFERROR(__xludf.DUMMYFUNCTION("""COMPUTED_VALUE"""),"HERLINA AGUSTININGSIH")</f>
        <v>HERLINA AGUSTININGSIH</v>
      </c>
      <c r="H50" s="17" t="str">
        <f>IFERROR(__xludf.DUMMYFUNCTION("""COMPUTED_VALUE"""),"H8523011399")</f>
        <v>H8523011399</v>
      </c>
      <c r="I50" s="17">
        <f>IFERROR(__xludf.DUMMYFUNCTION("""COMPUTED_VALUE"""),40.0)</f>
        <v>40</v>
      </c>
      <c r="J50" s="17" t="str">
        <f>IFERROR(__xludf.DUMMYFUNCTION("""COMPUTED_VALUE"""),"35-44 tahun")</f>
        <v>35-44 tahun</v>
      </c>
      <c r="K50" s="19">
        <f>IFERROR(__xludf.DUMMYFUNCTION("""COMPUTED_VALUE"""),31274.0)</f>
        <v>31274</v>
      </c>
      <c r="L50" s="19" t="str">
        <f>IFERROR(__xludf.DUMMYFUNCTION("""COMPUTED_VALUE"""),"PEREMPUAN")</f>
        <v>PEREMPUAN</v>
      </c>
      <c r="M50" s="16" t="str">
        <f>IFERROR(__xludf.DUMMYFUNCTION("""COMPUTED_VALUE"""),"JL PROF M YAMIN GG TELUK PAKEDAI NO 30")</f>
        <v>JL PROF M YAMIN GG TELUK PAKEDAI NO 30</v>
      </c>
      <c r="N50" s="16"/>
      <c r="O50" s="16"/>
      <c r="P50" s="16"/>
      <c r="Q50" s="16"/>
      <c r="R50" s="19" t="str">
        <f>IFERROR(__xludf.DUMMYFUNCTION("""COMPUTED_VALUE"""),"ISLAM")</f>
        <v>ISLAM</v>
      </c>
      <c r="S50" s="16" t="str">
        <f>IFERROR(__xludf.DUMMYFUNCTION("""COMPUTED_VALUE"""),"ASN")</f>
        <v>ASN</v>
      </c>
      <c r="T50" s="16" t="str">
        <f>IFERROR(__xludf.DUMMYFUNCTION("""COMPUTED_VALUE"""),"KAKI")</f>
        <v>KAKI</v>
      </c>
      <c r="U50" s="16" t="str">
        <f>IFERROR(__xludf.DUMMYFUNCTION("""COMPUTED_VALUE"""),"SKIPPING")</f>
        <v>SKIPPING</v>
      </c>
      <c r="V50" s="21" t="str">
        <f>IFERROR(__xludf.DUMMYFUNCTION("""COMPUTED_VALUE"""),"081345081399")</f>
        <v>081345081399</v>
      </c>
      <c r="W50" s="22"/>
    </row>
    <row r="51" ht="22.5" customHeight="1">
      <c r="A51" s="25"/>
      <c r="B51" s="26">
        <f>IFERROR(__xludf.DUMMYFUNCTION("""COMPUTED_VALUE"""),44956.55168981481)</f>
        <v>44956.55169</v>
      </c>
      <c r="C51" s="26"/>
      <c r="D51" s="10">
        <f>IFERROR(__xludf.DUMMYFUNCTION("""COMPUTED_VALUE"""),44940.0)</f>
        <v>44940</v>
      </c>
      <c r="E51" s="10" t="str">
        <f>IFERROR(__xludf.DUMMYFUNCTION("""COMPUTED_VALUE"""),"01Jan")</f>
        <v>01Jan</v>
      </c>
      <c r="F51" s="10" t="str">
        <f>IFERROR(__xludf.DUMMYFUNCTION("""COMPUTED_VALUE"""),"2023")</f>
        <v>2023</v>
      </c>
      <c r="G51" s="16" t="str">
        <f>IFERROR(__xludf.DUMMYFUNCTION("""COMPUTED_VALUE"""),"JOCELYN WAHYUDHI")</f>
        <v>JOCELYN WAHYUDHI</v>
      </c>
      <c r="H51" s="17" t="str">
        <f>IFERROR(__xludf.DUMMYFUNCTION("""COMPUTED_VALUE"""),"J0623019005")</f>
        <v>J0623019005</v>
      </c>
      <c r="I51" s="17">
        <f>IFERROR(__xludf.DUMMYFUNCTION("""COMPUTED_VALUE"""),20.0)</f>
        <v>20</v>
      </c>
      <c r="J51" s="17" t="str">
        <f>IFERROR(__xludf.DUMMYFUNCTION("""COMPUTED_VALUE"""),"18-24 tahun")</f>
        <v>18-24 tahun</v>
      </c>
      <c r="K51" s="19">
        <f>IFERROR(__xludf.DUMMYFUNCTION("""COMPUTED_VALUE"""),38767.0)</f>
        <v>38767</v>
      </c>
      <c r="L51" s="19" t="str">
        <f>IFERROR(__xludf.DUMMYFUNCTION("""COMPUTED_VALUE"""),"PEREMPUAN")</f>
        <v>PEREMPUAN</v>
      </c>
      <c r="M51" s="16" t="str">
        <f>IFERROR(__xludf.DUMMYFUNCTION("""COMPUTED_VALUE"""),"JL. KAPTEN TENDEAN NO. 17")</f>
        <v>JL. KAPTEN TENDEAN NO. 17</v>
      </c>
      <c r="N51" s="16"/>
      <c r="O51" s="16"/>
      <c r="P51" s="16"/>
      <c r="Q51" s="16"/>
      <c r="R51" s="19" t="str">
        <f>IFERROR(__xludf.DUMMYFUNCTION("""COMPUTED_VALUE"""),"PROTESTAN")</f>
        <v>PROTESTAN</v>
      </c>
      <c r="S51" s="16" t="str">
        <f>IFERROR(__xludf.DUMMYFUNCTION("""COMPUTED_VALUE"""),"PELAJAR/MAHASISWA")</f>
        <v>PELAJAR/MAHASISWA</v>
      </c>
      <c r="T51" s="16" t="str">
        <f>IFERROR(__xludf.DUMMYFUNCTION("""COMPUTED_VALUE"""),"SKOLIOSIS")</f>
        <v>SKOLIOSIS</v>
      </c>
      <c r="U51" s="16" t="str">
        <f>IFERROR(__xludf.DUMMYFUNCTION("""COMPUTED_VALUE"""),"DUDUK LAMA")</f>
        <v>DUDUK LAMA</v>
      </c>
      <c r="V51" s="21" t="str">
        <f>IFERROR(__xludf.DUMMYFUNCTION("""COMPUTED_VALUE"""),"087878219005")</f>
        <v>087878219005</v>
      </c>
      <c r="W51" s="27"/>
    </row>
    <row r="52" ht="22.5" customHeight="1">
      <c r="A52" s="8"/>
      <c r="B52" s="9">
        <f>IFERROR(__xludf.DUMMYFUNCTION("""COMPUTED_VALUE"""),45006.584449745365)</f>
        <v>45006.58445</v>
      </c>
      <c r="C52" s="9"/>
      <c r="D52" s="10">
        <f>IFERROR(__xludf.DUMMYFUNCTION("""COMPUTED_VALUE"""),44940.0)</f>
        <v>44940</v>
      </c>
      <c r="E52" s="10" t="str">
        <f>IFERROR(__xludf.DUMMYFUNCTION("""COMPUTED_VALUE"""),"01Jan")</f>
        <v>01Jan</v>
      </c>
      <c r="F52" s="10" t="str">
        <f>IFERROR(__xludf.DUMMYFUNCTION("""COMPUTED_VALUE"""),"2023")</f>
        <v>2023</v>
      </c>
      <c r="G52" s="16" t="str">
        <f>IFERROR(__xludf.DUMMYFUNCTION("""COMPUTED_VALUE"""),"JON ALI")</f>
        <v>JON ALI</v>
      </c>
      <c r="H52" s="17" t="str">
        <f>IFERROR(__xludf.DUMMYFUNCTION("""COMPUTED_VALUE"""),"J8823019998")</f>
        <v>J8823019998</v>
      </c>
      <c r="I52" s="17">
        <f>IFERROR(__xludf.DUMMYFUNCTION("""COMPUTED_VALUE"""),38.0)</f>
        <v>38</v>
      </c>
      <c r="J52" s="17" t="str">
        <f>IFERROR(__xludf.DUMMYFUNCTION("""COMPUTED_VALUE"""),"35-44 tahun")</f>
        <v>35-44 tahun</v>
      </c>
      <c r="K52" s="19">
        <f>IFERROR(__xludf.DUMMYFUNCTION("""COMPUTED_VALUE"""),32239.0)</f>
        <v>32239</v>
      </c>
      <c r="L52" s="19" t="str">
        <f>IFERROR(__xludf.DUMMYFUNCTION("""COMPUTED_VALUE"""),"LAKI-LAKI")</f>
        <v>LAKI-LAKI</v>
      </c>
      <c r="M52" s="16" t="str">
        <f>IFERROR(__xludf.DUMMYFUNCTION("""COMPUTED_VALUE"""),"JL. D. I PANJAITAN NO. 19")</f>
        <v>JL. D. I PANJAITAN NO. 19</v>
      </c>
      <c r="N52" s="16"/>
      <c r="O52" s="16"/>
      <c r="P52" s="16"/>
      <c r="Q52" s="16"/>
      <c r="R52" s="19" t="str">
        <f>IFERROR(__xludf.DUMMYFUNCTION("""COMPUTED_VALUE"""),"BUDDHA")</f>
        <v>BUDDHA</v>
      </c>
      <c r="S52" s="16" t="str">
        <f>IFERROR(__xludf.DUMMYFUNCTION("""COMPUTED_VALUE"""),"WIRASWASTA")</f>
        <v>WIRASWASTA</v>
      </c>
      <c r="T52" s="16" t="str">
        <f>IFERROR(__xludf.DUMMYFUNCTION("""COMPUTED_VALUE"""),"STROKE")</f>
        <v>STROKE</v>
      </c>
      <c r="U52" s="16" t="str">
        <f>IFERROR(__xludf.DUMMYFUNCTION("""COMPUTED_VALUE"""),"-")</f>
        <v>-</v>
      </c>
      <c r="V52" s="21" t="str">
        <f>IFERROR(__xludf.DUMMYFUNCTION("""COMPUTED_VALUE"""),"082111899998")</f>
        <v>082111899998</v>
      </c>
      <c r="W52" s="22"/>
    </row>
    <row r="53" ht="22.5" customHeight="1">
      <c r="A53" s="8"/>
      <c r="B53" s="9">
        <f>IFERROR(__xludf.DUMMYFUNCTION("""COMPUTED_VALUE"""),44934.477488425924)</f>
        <v>44934.47749</v>
      </c>
      <c r="C53" s="9"/>
      <c r="D53" s="10">
        <f>IFERROR(__xludf.DUMMYFUNCTION("""COMPUTED_VALUE"""),44940.0)</f>
        <v>44940</v>
      </c>
      <c r="E53" s="10" t="str">
        <f>IFERROR(__xludf.DUMMYFUNCTION("""COMPUTED_VALUE"""),"01Jan")</f>
        <v>01Jan</v>
      </c>
      <c r="F53" s="10" t="str">
        <f>IFERROR(__xludf.DUMMYFUNCTION("""COMPUTED_VALUE"""),"2023")</f>
        <v>2023</v>
      </c>
      <c r="G53" s="16" t="str">
        <f>IFERROR(__xludf.DUMMYFUNCTION("""COMPUTED_VALUE"""),"LIWONO")</f>
        <v>LIWONO</v>
      </c>
      <c r="H53" s="17" t="str">
        <f>IFERROR(__xludf.DUMMYFUNCTION("""COMPUTED_VALUE"""),"L6623014041")</f>
        <v>L6623014041</v>
      </c>
      <c r="I53" s="17">
        <f>IFERROR(__xludf.DUMMYFUNCTION("""COMPUTED_VALUE"""),59.0)</f>
        <v>59</v>
      </c>
      <c r="J53" s="17" t="str">
        <f>IFERROR(__xludf.DUMMYFUNCTION("""COMPUTED_VALUE"""),"&gt; 44 tahun")</f>
        <v>&gt; 44 tahun</v>
      </c>
      <c r="K53" s="19">
        <f>IFERROR(__xludf.DUMMYFUNCTION("""COMPUTED_VALUE"""),24350.0)</f>
        <v>24350</v>
      </c>
      <c r="L53" s="19" t="str">
        <f>IFERROR(__xludf.DUMMYFUNCTION("""COMPUTED_VALUE"""),"LAKI-LAKI")</f>
        <v>LAKI-LAKI</v>
      </c>
      <c r="M53" s="16" t="str">
        <f>IFERROR(__xludf.DUMMYFUNCTION("""COMPUTED_VALUE"""),"JL SUKA MULIA GG SUKMA NO 1")</f>
        <v>JL SUKA MULIA GG SUKMA NO 1</v>
      </c>
      <c r="N53" s="16"/>
      <c r="O53" s="16"/>
      <c r="P53" s="16"/>
      <c r="Q53" s="16"/>
      <c r="R53" s="19" t="str">
        <f>IFERROR(__xludf.DUMMYFUNCTION("""COMPUTED_VALUE"""),"ISLAM")</f>
        <v>ISLAM</v>
      </c>
      <c r="S53" s="16" t="str">
        <f>IFERROR(__xludf.DUMMYFUNCTION("""COMPUTED_VALUE"""),"ASN")</f>
        <v>ASN</v>
      </c>
      <c r="T53" s="16" t="str">
        <f>IFERROR(__xludf.DUMMYFUNCTION("""COMPUTED_VALUE"""),"BAHU")</f>
        <v>BAHU</v>
      </c>
      <c r="U53" s="16" t="str">
        <f>IFERROR(__xludf.DUMMYFUNCTION("""COMPUTED_VALUE"""),"")</f>
        <v/>
      </c>
      <c r="V53" s="21" t="str">
        <f>IFERROR(__xludf.DUMMYFUNCTION("""COMPUTED_VALUE"""),"08125614041")</f>
        <v>08125614041</v>
      </c>
      <c r="W53" s="22"/>
    </row>
    <row r="54" ht="22.5" customHeight="1">
      <c r="A54" s="8"/>
      <c r="B54" s="9">
        <f>IFERROR(__xludf.DUMMYFUNCTION("""COMPUTED_VALUE"""),45006.969433969905)</f>
        <v>45006.96943</v>
      </c>
      <c r="C54" s="9"/>
      <c r="D54" s="10">
        <f>IFERROR(__xludf.DUMMYFUNCTION("""COMPUTED_VALUE"""),44941.0)</f>
        <v>44941</v>
      </c>
      <c r="E54" s="10" t="str">
        <f>IFERROR(__xludf.DUMMYFUNCTION("""COMPUTED_VALUE"""),"01Jan")</f>
        <v>01Jan</v>
      </c>
      <c r="F54" s="10" t="str">
        <f>IFERROR(__xludf.DUMMYFUNCTION("""COMPUTED_VALUE"""),"2023")</f>
        <v>2023</v>
      </c>
      <c r="G54" s="16" t="str">
        <f>IFERROR(__xludf.DUMMYFUNCTION("""COMPUTED_VALUE"""),"AGUS SETIAWAN")</f>
        <v>AGUS SETIAWAN</v>
      </c>
      <c r="H54" s="17" t="str">
        <f>IFERROR(__xludf.DUMMYFUNCTION("""COMPUTED_VALUE"""),"A9523018347")</f>
        <v>A9523018347</v>
      </c>
      <c r="I54" s="17">
        <f>IFERROR(__xludf.DUMMYFUNCTION("""COMPUTED_VALUE"""),30.0)</f>
        <v>30</v>
      </c>
      <c r="J54" s="17" t="str">
        <f>IFERROR(__xludf.DUMMYFUNCTION("""COMPUTED_VALUE"""),"25-34 tahun")</f>
        <v>25-34 tahun</v>
      </c>
      <c r="K54" s="19">
        <f>IFERROR(__xludf.DUMMYFUNCTION("""COMPUTED_VALUE"""),34916.0)</f>
        <v>34916</v>
      </c>
      <c r="L54" s="19" t="str">
        <f>IFERROR(__xludf.DUMMYFUNCTION("""COMPUTED_VALUE"""),"LAKI-LAKI")</f>
        <v>LAKI-LAKI</v>
      </c>
      <c r="M54" s="16" t="str">
        <f>IFERROR(__xludf.DUMMYFUNCTION("""COMPUTED_VALUE"""),"JL. H. R. ARAHMAN GG. BUKIT SEBEDANG NO. 2")</f>
        <v>JL. H. R. ARAHMAN GG. BUKIT SEBEDANG NO. 2</v>
      </c>
      <c r="N54" s="16"/>
      <c r="O54" s="16"/>
      <c r="P54" s="16"/>
      <c r="Q54" s="16"/>
      <c r="R54" s="19" t="str">
        <f>IFERROR(__xludf.DUMMYFUNCTION("""COMPUTED_VALUE"""),"ISLAM")</f>
        <v>ISLAM</v>
      </c>
      <c r="S54" s="16" t="str">
        <f>IFERROR(__xludf.DUMMYFUNCTION("""COMPUTED_VALUE"""),"BUMD")</f>
        <v>BUMD</v>
      </c>
      <c r="T54" s="16"/>
      <c r="U54" s="16"/>
      <c r="V54" s="21" t="str">
        <f>IFERROR(__xludf.DUMMYFUNCTION("""COMPUTED_VALUE"""),"08539338347")</f>
        <v>08539338347</v>
      </c>
      <c r="W54" s="22"/>
    </row>
    <row r="55" ht="22.5" customHeight="1">
      <c r="A55" s="28"/>
      <c r="B55" s="24">
        <f>IFERROR(__xludf.DUMMYFUNCTION("""COMPUTED_VALUE"""),45011.177046620374)</f>
        <v>45011.17705</v>
      </c>
      <c r="C55" s="24"/>
      <c r="D55" s="10">
        <f>IFERROR(__xludf.DUMMYFUNCTION("""COMPUTED_VALUE"""),44941.0)</f>
        <v>44941</v>
      </c>
      <c r="E55" s="10" t="str">
        <f>IFERROR(__xludf.DUMMYFUNCTION("""COMPUTED_VALUE"""),"01Jan")</f>
        <v>01Jan</v>
      </c>
      <c r="F55" s="10" t="str">
        <f>IFERROR(__xludf.DUMMYFUNCTION("""COMPUTED_VALUE"""),"2023")</f>
        <v>2023</v>
      </c>
      <c r="G55" s="16" t="str">
        <f>IFERROR(__xludf.DUMMYFUNCTION("""COMPUTED_VALUE"""),"ANGGA HENDHARSA")</f>
        <v>ANGGA HENDHARSA</v>
      </c>
      <c r="H55" s="17" t="str">
        <f>IFERROR(__xludf.DUMMYFUNCTION("""COMPUTED_VALUE"""),"A9023010811")</f>
        <v>A9023010811</v>
      </c>
      <c r="I55" s="17">
        <f>IFERROR(__xludf.DUMMYFUNCTION("""COMPUTED_VALUE"""),36.0)</f>
        <v>36</v>
      </c>
      <c r="J55" s="17" t="str">
        <f>IFERROR(__xludf.DUMMYFUNCTION("""COMPUTED_VALUE"""),"35-44 tahun")</f>
        <v>35-44 tahun</v>
      </c>
      <c r="K55" s="19">
        <f>IFERROR(__xludf.DUMMYFUNCTION("""COMPUTED_VALUE"""),33036.0)</f>
        <v>33036</v>
      </c>
      <c r="L55" s="19" t="str">
        <f>IFERROR(__xludf.DUMMYFUNCTION("""COMPUTED_VALUE"""),"LAKI-LAKI")</f>
        <v>LAKI-LAKI</v>
      </c>
      <c r="M55" s="16" t="str">
        <f>IFERROR(__xludf.DUMMYFUNCTION("""COMPUTED_VALUE"""),"JL. TANI MAKMUR GG. SAMBAS")</f>
        <v>JL. TANI MAKMUR GG. SAMBAS</v>
      </c>
      <c r="N55" s="16"/>
      <c r="O55" s="16"/>
      <c r="P55" s="16"/>
      <c r="Q55" s="16"/>
      <c r="R55" s="19" t="str">
        <f>IFERROR(__xludf.DUMMYFUNCTION("""COMPUTED_VALUE"""),"ISLAM")</f>
        <v>ISLAM</v>
      </c>
      <c r="S55" s="16" t="str">
        <f>IFERROR(__xludf.DUMMYFUNCTION("""COMPUTED_VALUE"""),"DOSEN/GURU")</f>
        <v>DOSEN/GURU</v>
      </c>
      <c r="T55" s="16" t="str">
        <f>IFERROR(__xludf.DUMMYFUNCTION("""COMPUTED_VALUE"""),"ANKLE KANAN")</f>
        <v>ANKLE KANAN</v>
      </c>
      <c r="U55" s="16" t="str">
        <f>IFERROR(__xludf.DUMMYFUNCTION("""COMPUTED_VALUE"""),"BASKET")</f>
        <v>BASKET</v>
      </c>
      <c r="V55" s="21" t="str">
        <f>IFERROR(__xludf.DUMMYFUNCTION("""COMPUTED_VALUE"""),"081253800811")</f>
        <v>081253800811</v>
      </c>
      <c r="W55" s="22"/>
    </row>
    <row r="56" ht="22.5" customHeight="1">
      <c r="A56" s="8"/>
      <c r="B56" s="9">
        <f>IFERROR(__xludf.DUMMYFUNCTION("""COMPUTED_VALUE"""),44934.678935185184)</f>
        <v>44934.67894</v>
      </c>
      <c r="C56" s="9"/>
      <c r="D56" s="10">
        <f>IFERROR(__xludf.DUMMYFUNCTION("""COMPUTED_VALUE"""),44941.0)</f>
        <v>44941</v>
      </c>
      <c r="E56" s="10" t="str">
        <f>IFERROR(__xludf.DUMMYFUNCTION("""COMPUTED_VALUE"""),"01Jan")</f>
        <v>01Jan</v>
      </c>
      <c r="F56" s="10" t="str">
        <f>IFERROR(__xludf.DUMMYFUNCTION("""COMPUTED_VALUE"""),"2023")</f>
        <v>2023</v>
      </c>
      <c r="G56" s="16" t="str">
        <f>IFERROR(__xludf.DUMMYFUNCTION("""COMPUTED_VALUE"""),"HELEN RANDY FEBRIANA")</f>
        <v>HELEN RANDY FEBRIANA</v>
      </c>
      <c r="H56" s="17" t="str">
        <f>IFERROR(__xludf.DUMMYFUNCTION("""COMPUTED_VALUE"""),"H8723012002")</f>
        <v>H8723012002</v>
      </c>
      <c r="I56" s="17">
        <f>IFERROR(__xludf.DUMMYFUNCTION("""COMPUTED_VALUE"""),39.0)</f>
        <v>39</v>
      </c>
      <c r="J56" s="17" t="str">
        <f>IFERROR(__xludf.DUMMYFUNCTION("""COMPUTED_VALUE"""),"35-44 tahun")</f>
        <v>35-44 tahun</v>
      </c>
      <c r="K56" s="19">
        <f>IFERROR(__xludf.DUMMYFUNCTION("""COMPUTED_VALUE"""),31828.0)</f>
        <v>31828</v>
      </c>
      <c r="L56" s="19" t="str">
        <f>IFERROR(__xludf.DUMMYFUNCTION("""COMPUTED_VALUE"""),"PEREMPUAN")</f>
        <v>PEREMPUAN</v>
      </c>
      <c r="M56" s="16" t="str">
        <f>IFERROR(__xludf.DUMMYFUNCTION("""COMPUTED_VALUE"""),"JL. PURNAMA II GG. PURNAMA SEDERHANA NO. 27")</f>
        <v>JL. PURNAMA II GG. PURNAMA SEDERHANA NO. 27</v>
      </c>
      <c r="N56" s="16"/>
      <c r="O56" s="16"/>
      <c r="P56" s="16"/>
      <c r="Q56" s="16"/>
      <c r="R56" s="19" t="str">
        <f>IFERROR(__xludf.DUMMYFUNCTION("""COMPUTED_VALUE"""),"KATOLIK")</f>
        <v>KATOLIK</v>
      </c>
      <c r="S56" s="16" t="str">
        <f>IFERROR(__xludf.DUMMYFUNCTION("""COMPUTED_VALUE"""),"BUMD")</f>
        <v>BUMD</v>
      </c>
      <c r="T56" s="16" t="str">
        <f>IFERROR(__xludf.DUMMYFUNCTION("""COMPUTED_VALUE"""),"PUNGGUNG")</f>
        <v>PUNGGUNG</v>
      </c>
      <c r="U56" s="16" t="str">
        <f>IFERROR(__xludf.DUMMYFUNCTION("""COMPUTED_VALUE"""),"")</f>
        <v/>
      </c>
      <c r="V56" s="21" t="str">
        <f>IFERROR(__xludf.DUMMYFUNCTION("""COMPUTED_VALUE"""),"08115652002")</f>
        <v>08115652002</v>
      </c>
      <c r="W56" s="22"/>
    </row>
    <row r="57" ht="22.5" customHeight="1">
      <c r="A57" s="8"/>
      <c r="B57" s="9">
        <f>IFERROR(__xludf.DUMMYFUNCTION("""COMPUTED_VALUE"""),45010.671064375)</f>
        <v>45010.67106</v>
      </c>
      <c r="C57" s="9"/>
      <c r="D57" s="10">
        <f>IFERROR(__xludf.DUMMYFUNCTION("""COMPUTED_VALUE"""),44942.0)</f>
        <v>44942</v>
      </c>
      <c r="E57" s="10" t="str">
        <f>IFERROR(__xludf.DUMMYFUNCTION("""COMPUTED_VALUE"""),"01Jan")</f>
        <v>01Jan</v>
      </c>
      <c r="F57" s="10" t="str">
        <f>IFERROR(__xludf.DUMMYFUNCTION("""COMPUTED_VALUE"""),"2023")</f>
        <v>2023</v>
      </c>
      <c r="G57" s="16" t="str">
        <f>IFERROR(__xludf.DUMMYFUNCTION("""COMPUTED_VALUE"""),"ELFA MARTIAN")</f>
        <v>ELFA MARTIAN</v>
      </c>
      <c r="H57" s="17" t="str">
        <f>IFERROR(__xludf.DUMMYFUNCTION("""COMPUTED_VALUE"""),"E8423012220")</f>
        <v>E8423012220</v>
      </c>
      <c r="I57" s="17">
        <f>IFERROR(__xludf.DUMMYFUNCTION("""COMPUTED_VALUE"""),42.0)</f>
        <v>42</v>
      </c>
      <c r="J57" s="17" t="str">
        <f>IFERROR(__xludf.DUMMYFUNCTION("""COMPUTED_VALUE"""),"35-44 tahun")</f>
        <v>35-44 tahun</v>
      </c>
      <c r="K57" s="19">
        <f>IFERROR(__xludf.DUMMYFUNCTION("""COMPUTED_VALUE"""),30742.0)</f>
        <v>30742</v>
      </c>
      <c r="L57" s="19" t="str">
        <f>IFERROR(__xludf.DUMMYFUNCTION("""COMPUTED_VALUE"""),"LAKI-LAKI")</f>
        <v>LAKI-LAKI</v>
      </c>
      <c r="M57" s="16" t="str">
        <f>IFERROR(__xludf.DUMMYFUNCTION("""COMPUTED_VALUE"""),"JL. PURNAMA 2 GG. NURUL HASANAH")</f>
        <v>JL. PURNAMA 2 GG. NURUL HASANAH</v>
      </c>
      <c r="N57" s="16"/>
      <c r="O57" s="16"/>
      <c r="P57" s="16"/>
      <c r="Q57" s="16"/>
      <c r="R57" s="19" t="str">
        <f>IFERROR(__xludf.DUMMYFUNCTION("""COMPUTED_VALUE"""),"ISLAM")</f>
        <v>ISLAM</v>
      </c>
      <c r="S57" s="16" t="str">
        <f>IFERROR(__xludf.DUMMYFUNCTION("""COMPUTED_VALUE"""),"SWASTA")</f>
        <v>SWASTA</v>
      </c>
      <c r="T57" s="16"/>
      <c r="U57" s="16" t="str">
        <f>IFERROR(__xludf.DUMMYFUNCTION("""COMPUTED_VALUE"""),"")</f>
        <v/>
      </c>
      <c r="V57" s="21" t="str">
        <f>IFERROR(__xludf.DUMMYFUNCTION("""COMPUTED_VALUE"""),"08524522220")</f>
        <v>08524522220</v>
      </c>
      <c r="W57" s="22"/>
    </row>
    <row r="58" ht="22.5" customHeight="1">
      <c r="A58" s="8"/>
      <c r="B58" s="9">
        <f>IFERROR(__xludf.DUMMYFUNCTION("""COMPUTED_VALUE"""),45006.88734743056)</f>
        <v>45006.88735</v>
      </c>
      <c r="C58" s="9"/>
      <c r="D58" s="10">
        <f>IFERROR(__xludf.DUMMYFUNCTION("""COMPUTED_VALUE"""),44942.0)</f>
        <v>44942</v>
      </c>
      <c r="E58" s="10" t="str">
        <f>IFERROR(__xludf.DUMMYFUNCTION("""COMPUTED_VALUE"""),"01Jan")</f>
        <v>01Jan</v>
      </c>
      <c r="F58" s="10" t="str">
        <f>IFERROR(__xludf.DUMMYFUNCTION("""COMPUTED_VALUE"""),"2023")</f>
        <v>2023</v>
      </c>
      <c r="G58" s="16" t="str">
        <f>IFERROR(__xludf.DUMMYFUNCTION("""COMPUTED_VALUE"""),"M. ARKANA DISA AL MASRI")</f>
        <v>M. ARKANA DISA AL MASRI</v>
      </c>
      <c r="H58" s="17" t="str">
        <f>IFERROR(__xludf.DUMMYFUNCTION("""COMPUTED_VALUE"""),"M1323013389")</f>
        <v>M1323013389</v>
      </c>
      <c r="I58" s="17">
        <f>IFERROR(__xludf.DUMMYFUNCTION("""COMPUTED_VALUE"""),13.0)</f>
        <v>13</v>
      </c>
      <c r="J58" s="17" t="str">
        <f>IFERROR(__xludf.DUMMYFUNCTION("""COMPUTED_VALUE"""),"&lt; 18 tahun")</f>
        <v>&lt; 18 tahun</v>
      </c>
      <c r="K58" s="19">
        <f>IFERROR(__xludf.DUMMYFUNCTION("""COMPUTED_VALUE"""),41413.0)</f>
        <v>41413</v>
      </c>
      <c r="L58" s="19" t="str">
        <f>IFERROR(__xludf.DUMMYFUNCTION("""COMPUTED_VALUE"""),"LAKI-LAKI")</f>
        <v>LAKI-LAKI</v>
      </c>
      <c r="M58" s="16" t="str">
        <f>IFERROR(__xludf.DUMMYFUNCTION("""COMPUTED_VALUE"""),"JLPROF M YAMIN GG KEMUNING JALUR 3 NO 55")</f>
        <v>JLPROF M YAMIN GG KEMUNING JALUR 3 NO 55</v>
      </c>
      <c r="N58" s="16"/>
      <c r="O58" s="16"/>
      <c r="P58" s="16"/>
      <c r="Q58" s="16"/>
      <c r="R58" s="19" t="str">
        <f>IFERROR(__xludf.DUMMYFUNCTION("""COMPUTED_VALUE"""),"ISLAM")</f>
        <v>ISLAM</v>
      </c>
      <c r="S58" s="16" t="str">
        <f>IFERROR(__xludf.DUMMYFUNCTION("""COMPUTED_VALUE"""),"PELAJAR/MAHASISWA")</f>
        <v>PELAJAR/MAHASISWA</v>
      </c>
      <c r="T58" s="16" t="str">
        <f>IFERROR(__xludf.DUMMYFUNCTION("""COMPUTED_VALUE"""),"ANKLE")</f>
        <v>ANKLE</v>
      </c>
      <c r="U58" s="16" t="str">
        <f>IFERROR(__xludf.DUMMYFUNCTION("""COMPUTED_VALUE"""),"-")</f>
        <v>-</v>
      </c>
      <c r="V58" s="21" t="str">
        <f>IFERROR(__xludf.DUMMYFUNCTION("""COMPUTED_VALUE"""),"0816223389")</f>
        <v>0816223389</v>
      </c>
      <c r="W58" s="22"/>
    </row>
    <row r="59" ht="22.5" customHeight="1">
      <c r="A59" s="25"/>
      <c r="B59" s="26">
        <f>IFERROR(__xludf.DUMMYFUNCTION("""COMPUTED_VALUE"""),44857.73925293981)</f>
        <v>44857.73925</v>
      </c>
      <c r="C59" s="26"/>
      <c r="D59" s="10">
        <f>IFERROR(__xludf.DUMMYFUNCTION("""COMPUTED_VALUE"""),44942.0)</f>
        <v>44942</v>
      </c>
      <c r="E59" s="10" t="str">
        <f>IFERROR(__xludf.DUMMYFUNCTION("""COMPUTED_VALUE"""),"01Jan")</f>
        <v>01Jan</v>
      </c>
      <c r="F59" s="10" t="str">
        <f>IFERROR(__xludf.DUMMYFUNCTION("""COMPUTED_VALUE"""),"2023")</f>
        <v>2023</v>
      </c>
      <c r="G59" s="16" t="str">
        <f>IFERROR(__xludf.DUMMYFUNCTION("""COMPUTED_VALUE"""),"SRI MARTINI")</f>
        <v>SRI MARTINI</v>
      </c>
      <c r="H59" s="17" t="str">
        <f>IFERROR(__xludf.DUMMYFUNCTION("""COMPUTED_VALUE"""),"S6123013882")</f>
        <v>S6123013882</v>
      </c>
      <c r="I59" s="17">
        <f>IFERROR(__xludf.DUMMYFUNCTION("""COMPUTED_VALUE"""),65.0)</f>
        <v>65</v>
      </c>
      <c r="J59" s="17" t="str">
        <f>IFERROR(__xludf.DUMMYFUNCTION("""COMPUTED_VALUE"""),"&gt; 44 tahun")</f>
        <v>&gt; 44 tahun</v>
      </c>
      <c r="K59" s="19">
        <f>IFERROR(__xludf.DUMMYFUNCTION("""COMPUTED_VALUE"""),22362.0)</f>
        <v>22362</v>
      </c>
      <c r="L59" s="19" t="str">
        <f>IFERROR(__xludf.DUMMYFUNCTION("""COMPUTED_VALUE"""),"PEREMPUAN")</f>
        <v>PEREMPUAN</v>
      </c>
      <c r="M59" s="16" t="str">
        <f>IFERROR(__xludf.DUMMYFUNCTION("""COMPUTED_VALUE"""),"JL PERDAMAIAN KOMP ALAM DAMAI INDAH 3 NO A16")</f>
        <v>JL PERDAMAIAN KOMP ALAM DAMAI INDAH 3 NO A16</v>
      </c>
      <c r="N59" s="16"/>
      <c r="O59" s="16"/>
      <c r="P59" s="16"/>
      <c r="Q59" s="16"/>
      <c r="R59" s="19" t="str">
        <f>IFERROR(__xludf.DUMMYFUNCTION("""COMPUTED_VALUE"""),"ISLAM")</f>
        <v>ISLAM</v>
      </c>
      <c r="S59" s="16" t="str">
        <f>IFERROR(__xludf.DUMMYFUNCTION("""COMPUTED_VALUE"""),"RUMAH TANGGA")</f>
        <v>RUMAH TANGGA</v>
      </c>
      <c r="T59" s="16" t="str">
        <f>IFERROR(__xludf.DUMMYFUNCTION("""COMPUTED_VALUE"""),"BAHU")</f>
        <v>BAHU</v>
      </c>
      <c r="U59" s="16" t="str">
        <f>IFERROR(__xludf.DUMMYFUNCTION("""COMPUTED_VALUE"""),"-")</f>
        <v>-</v>
      </c>
      <c r="V59" s="21" t="str">
        <f>IFERROR(__xludf.DUMMYFUNCTION("""COMPUTED_VALUE"""),"081254483882")</f>
        <v>081254483882</v>
      </c>
      <c r="W59" s="27"/>
    </row>
    <row r="60" ht="22.5" customHeight="1">
      <c r="A60" s="23"/>
      <c r="B60" s="24">
        <f>IFERROR(__xludf.DUMMYFUNCTION("""COMPUTED_VALUE"""),45010.52470618056)</f>
        <v>45010.52471</v>
      </c>
      <c r="C60" s="24"/>
      <c r="D60" s="10">
        <f>IFERROR(__xludf.DUMMYFUNCTION("""COMPUTED_VALUE"""),44943.0)</f>
        <v>44943</v>
      </c>
      <c r="E60" s="10" t="str">
        <f>IFERROR(__xludf.DUMMYFUNCTION("""COMPUTED_VALUE"""),"01Jan")</f>
        <v>01Jan</v>
      </c>
      <c r="F60" s="10" t="str">
        <f>IFERROR(__xludf.DUMMYFUNCTION("""COMPUTED_VALUE"""),"2023")</f>
        <v>2023</v>
      </c>
      <c r="G60" s="16" t="str">
        <f>IFERROR(__xludf.DUMMYFUNCTION("""COMPUTED_VALUE"""),"AMINAH")</f>
        <v>AMINAH</v>
      </c>
      <c r="H60" s="17" t="str">
        <f>IFERROR(__xludf.DUMMYFUNCTION("""COMPUTED_VALUE"""),"A6323017817")</f>
        <v>A6323017817</v>
      </c>
      <c r="I60" s="17">
        <f>IFERROR(__xludf.DUMMYFUNCTION("""COMPUTED_VALUE"""),62.0)</f>
        <v>62</v>
      </c>
      <c r="J60" s="17" t="str">
        <f>IFERROR(__xludf.DUMMYFUNCTION("""COMPUTED_VALUE"""),"&gt; 44 tahun")</f>
        <v>&gt; 44 tahun</v>
      </c>
      <c r="K60" s="19">
        <f>IFERROR(__xludf.DUMMYFUNCTION("""COMPUTED_VALUE"""),23320.0)</f>
        <v>23320</v>
      </c>
      <c r="L60" s="19" t="str">
        <f>IFERROR(__xludf.DUMMYFUNCTION("""COMPUTED_VALUE"""),"PEREMPUAN")</f>
        <v>PEREMPUAN</v>
      </c>
      <c r="M60" s="16" t="str">
        <f>IFERROR(__xludf.DUMMYFUNCTION("""COMPUTED_VALUE"""),"JL PERDAMAIAN")</f>
        <v>JL PERDAMAIAN</v>
      </c>
      <c r="N60" s="16"/>
      <c r="O60" s="16"/>
      <c r="P60" s="16" t="str">
        <f>IFERROR(__xludf.DUMMYFUNCTION("""COMPUTED_VALUE"""),"")</f>
        <v/>
      </c>
      <c r="Q60" s="16"/>
      <c r="R60" s="19" t="str">
        <f>IFERROR(__xludf.DUMMYFUNCTION("""COMPUTED_VALUE"""),"ISLAM")</f>
        <v>ISLAM</v>
      </c>
      <c r="S60" s="16" t="str">
        <f>IFERROR(__xludf.DUMMYFUNCTION("""COMPUTED_VALUE"""),"DOSEN/GURU")</f>
        <v>DOSEN/GURU</v>
      </c>
      <c r="T60" s="16" t="str">
        <f>IFERROR(__xludf.DUMMYFUNCTION("""COMPUTED_VALUE"""),"PAHA KIRI")</f>
        <v>PAHA KIRI</v>
      </c>
      <c r="U60" s="16" t="str">
        <f>IFERROR(__xludf.DUMMYFUNCTION("""COMPUTED_VALUE"""),"-")</f>
        <v>-</v>
      </c>
      <c r="V60" s="21" t="str">
        <f>IFERROR(__xludf.DUMMYFUNCTION("""COMPUTED_VALUE"""),"08988277817")</f>
        <v>08988277817</v>
      </c>
      <c r="W60" s="22"/>
    </row>
    <row r="61" ht="22.5" customHeight="1">
      <c r="A61" s="25"/>
      <c r="B61" s="26">
        <f>IFERROR(__xludf.DUMMYFUNCTION("""COMPUTED_VALUE"""),45006.88642821759)</f>
        <v>45006.88643</v>
      </c>
      <c r="C61" s="26"/>
      <c r="D61" s="10">
        <f>IFERROR(__xludf.DUMMYFUNCTION("""COMPUTED_VALUE"""),44943.0)</f>
        <v>44943</v>
      </c>
      <c r="E61" s="10" t="str">
        <f>IFERROR(__xludf.DUMMYFUNCTION("""COMPUTED_VALUE"""),"01Jan")</f>
        <v>01Jan</v>
      </c>
      <c r="F61" s="10" t="str">
        <f>IFERROR(__xludf.DUMMYFUNCTION("""COMPUTED_VALUE"""),"2023")</f>
        <v>2023</v>
      </c>
      <c r="G61" s="16" t="str">
        <f>IFERROR(__xludf.DUMMYFUNCTION("""COMPUTED_VALUE"""),"DIMAS ARYO BIMO")</f>
        <v>DIMAS ARYO BIMO</v>
      </c>
      <c r="H61" s="17" t="str">
        <f>IFERROR(__xludf.DUMMYFUNCTION("""COMPUTED_VALUE"""),"D0523010337")</f>
        <v>D0523010337</v>
      </c>
      <c r="I61" s="17">
        <f>IFERROR(__xludf.DUMMYFUNCTION("""COMPUTED_VALUE"""),20.0)</f>
        <v>20</v>
      </c>
      <c r="J61" s="17" t="str">
        <f>IFERROR(__xludf.DUMMYFUNCTION("""COMPUTED_VALUE"""),"18-24 tahun")</f>
        <v>18-24 tahun</v>
      </c>
      <c r="K61" s="19">
        <f>IFERROR(__xludf.DUMMYFUNCTION("""COMPUTED_VALUE"""),38581.0)</f>
        <v>38581</v>
      </c>
      <c r="L61" s="19" t="str">
        <f>IFERROR(__xludf.DUMMYFUNCTION("""COMPUTED_VALUE"""),"LAKI-LAKI")</f>
        <v>LAKI-LAKI</v>
      </c>
      <c r="M61" s="16" t="str">
        <f>IFERROR(__xludf.DUMMYFUNCTION("""COMPUTED_VALUE"""),"JL RE MARTADINATA NO 3")</f>
        <v>JL RE MARTADINATA NO 3</v>
      </c>
      <c r="N61" s="16"/>
      <c r="O61" s="16"/>
      <c r="P61" s="16"/>
      <c r="Q61" s="16"/>
      <c r="R61" s="19" t="str">
        <f>IFERROR(__xludf.DUMMYFUNCTION("""COMPUTED_VALUE"""),"ISLAM")</f>
        <v>ISLAM</v>
      </c>
      <c r="S61" s="16" t="str">
        <f>IFERROR(__xludf.DUMMYFUNCTION("""COMPUTED_VALUE"""),"PELAJAR/MAHASISWA")</f>
        <v>PELAJAR/MAHASISWA</v>
      </c>
      <c r="T61" s="16" t="str">
        <f>IFERROR(__xludf.DUMMYFUNCTION("""COMPUTED_VALUE"""),"BAHU")</f>
        <v>BAHU</v>
      </c>
      <c r="U61" s="16" t="str">
        <f>IFERROR(__xludf.DUMMYFUNCTION("""COMPUTED_VALUE"""),"-")</f>
        <v>-</v>
      </c>
      <c r="V61" s="21" t="str">
        <f>IFERROR(__xludf.DUMMYFUNCTION("""COMPUTED_VALUE"""),"089694620337")</f>
        <v>089694620337</v>
      </c>
      <c r="W61" s="27"/>
    </row>
    <row r="62" ht="22.5" customHeight="1">
      <c r="A62" s="8"/>
      <c r="B62" s="9">
        <f>IFERROR(__xludf.DUMMYFUNCTION("""COMPUTED_VALUE"""),45006.84579907407)</f>
        <v>45006.8458</v>
      </c>
      <c r="C62" s="9"/>
      <c r="D62" s="10">
        <f>IFERROR(__xludf.DUMMYFUNCTION("""COMPUTED_VALUE"""),44943.0)</f>
        <v>44943</v>
      </c>
      <c r="E62" s="10" t="str">
        <f>IFERROR(__xludf.DUMMYFUNCTION("""COMPUTED_VALUE"""),"01Jan")</f>
        <v>01Jan</v>
      </c>
      <c r="F62" s="10" t="str">
        <f>IFERROR(__xludf.DUMMYFUNCTION("""COMPUTED_VALUE"""),"2023")</f>
        <v>2023</v>
      </c>
      <c r="G62" s="16" t="str">
        <f>IFERROR(__xludf.DUMMYFUNCTION("""COMPUTED_VALUE"""),"MARSIANA RITA")</f>
        <v>MARSIANA RITA</v>
      </c>
      <c r="H62" s="17" t="str">
        <f>IFERROR(__xludf.DUMMYFUNCTION("""COMPUTED_VALUE"""),"M7623018071")</f>
        <v>M7623018071</v>
      </c>
      <c r="I62" s="17">
        <f>IFERROR(__xludf.DUMMYFUNCTION("""COMPUTED_VALUE"""),49.0)</f>
        <v>49</v>
      </c>
      <c r="J62" s="17" t="str">
        <f>IFERROR(__xludf.DUMMYFUNCTION("""COMPUTED_VALUE"""),"&gt; 44 tahun")</f>
        <v>&gt; 44 tahun</v>
      </c>
      <c r="K62" s="19">
        <f>IFERROR(__xludf.DUMMYFUNCTION("""COMPUTED_VALUE"""),28041.0)</f>
        <v>28041</v>
      </c>
      <c r="L62" s="19" t="str">
        <f>IFERROR(__xludf.DUMMYFUNCTION("""COMPUTED_VALUE"""),"PEREMPUAN")</f>
        <v>PEREMPUAN</v>
      </c>
      <c r="M62" s="16" t="str">
        <f>IFERROR(__xludf.DUMMYFUNCTION("""COMPUTED_VALUE"""),"SEI AMBAWANG")</f>
        <v>SEI AMBAWANG</v>
      </c>
      <c r="N62" s="16"/>
      <c r="O62" s="16"/>
      <c r="P62" s="16"/>
      <c r="Q62" s="16"/>
      <c r="R62" s="19" t="str">
        <f>IFERROR(__xludf.DUMMYFUNCTION("""COMPUTED_VALUE"""),"KATOLIK")</f>
        <v>KATOLIK</v>
      </c>
      <c r="S62" s="16" t="str">
        <f>IFERROR(__xludf.DUMMYFUNCTION("""COMPUTED_VALUE"""),"RUMAH TANGGA")</f>
        <v>RUMAH TANGGA</v>
      </c>
      <c r="T62" s="16" t="str">
        <f>IFERROR(__xludf.DUMMYFUNCTION("""COMPUTED_VALUE"""),"LENGAN")</f>
        <v>LENGAN</v>
      </c>
      <c r="U62" s="16" t="str">
        <f>IFERROR(__xludf.DUMMYFUNCTION("""COMPUTED_VALUE"""),"-")</f>
        <v>-</v>
      </c>
      <c r="V62" s="21" t="str">
        <f>IFERROR(__xludf.DUMMYFUNCTION("""COMPUTED_VALUE"""),"085705618071")</f>
        <v>085705618071</v>
      </c>
      <c r="W62" s="22"/>
    </row>
    <row r="63" ht="22.5" customHeight="1">
      <c r="A63" s="25"/>
      <c r="B63" s="26">
        <f>IFERROR(__xludf.DUMMYFUNCTION("""COMPUTED_VALUE"""),44929.603310185186)</f>
        <v>44929.60331</v>
      </c>
      <c r="C63" s="26"/>
      <c r="D63" s="10">
        <f>IFERROR(__xludf.DUMMYFUNCTION("""COMPUTED_VALUE"""),44943.0)</f>
        <v>44943</v>
      </c>
      <c r="E63" s="10" t="str">
        <f>IFERROR(__xludf.DUMMYFUNCTION("""COMPUTED_VALUE"""),"01Jan")</f>
        <v>01Jan</v>
      </c>
      <c r="F63" s="10" t="str">
        <f>IFERROR(__xludf.DUMMYFUNCTION("""COMPUTED_VALUE"""),"2023")</f>
        <v>2023</v>
      </c>
      <c r="G63" s="16" t="str">
        <f>IFERROR(__xludf.DUMMYFUNCTION("""COMPUTED_VALUE"""),"MARVELLA BENITA PUSPORINI")</f>
        <v>MARVELLA BENITA PUSPORINI</v>
      </c>
      <c r="H63" s="17" t="str">
        <f>IFERROR(__xludf.DUMMYFUNCTION("""COMPUTED_VALUE"""),"M0423015817")</f>
        <v>M0423015817</v>
      </c>
      <c r="I63" s="17">
        <f>IFERROR(__xludf.DUMMYFUNCTION("""COMPUTED_VALUE"""),22.0)</f>
        <v>22</v>
      </c>
      <c r="J63" s="17" t="str">
        <f>IFERROR(__xludf.DUMMYFUNCTION("""COMPUTED_VALUE"""),"18-24 tahun")</f>
        <v>18-24 tahun</v>
      </c>
      <c r="K63" s="19">
        <f>IFERROR(__xludf.DUMMYFUNCTION("""COMPUTED_VALUE"""),38052.0)</f>
        <v>38052</v>
      </c>
      <c r="L63" s="19" t="str">
        <f>IFERROR(__xludf.DUMMYFUNCTION("""COMPUTED_VALUE"""),"PEREMPUAN")</f>
        <v>PEREMPUAN</v>
      </c>
      <c r="M63" s="16" t="str">
        <f>IFERROR(__xludf.DUMMYFUNCTION("""COMPUTED_VALUE"""),"JL. DR. SUTOMO GG. KARYA")</f>
        <v>JL. DR. SUTOMO GG. KARYA</v>
      </c>
      <c r="N63" s="16"/>
      <c r="O63" s="16"/>
      <c r="P63" s="16"/>
      <c r="Q63" s="16"/>
      <c r="R63" s="19" t="str">
        <f>IFERROR(__xludf.DUMMYFUNCTION("""COMPUTED_VALUE"""),"KRISTEN")</f>
        <v>KRISTEN</v>
      </c>
      <c r="S63" s="16" t="str">
        <f>IFERROR(__xludf.DUMMYFUNCTION("""COMPUTED_VALUE"""),"TIDAK ADA")</f>
        <v>TIDAK ADA</v>
      </c>
      <c r="T63" s="16" t="str">
        <f>IFERROR(__xludf.DUMMYFUNCTION("""COMPUTED_VALUE"""),"KAKI X")</f>
        <v>KAKI X</v>
      </c>
      <c r="U63" s="16" t="str">
        <f>IFERROR(__xludf.DUMMYFUNCTION("""COMPUTED_VALUE"""),"")</f>
        <v/>
      </c>
      <c r="V63" s="21" t="str">
        <f>IFERROR(__xludf.DUMMYFUNCTION("""COMPUTED_VALUE"""),"08969425817")</f>
        <v>08969425817</v>
      </c>
      <c r="W63" s="27"/>
    </row>
    <row r="64" ht="22.5" customHeight="1">
      <c r="A64" s="25"/>
      <c r="B64" s="26">
        <f>IFERROR(__xludf.DUMMYFUNCTION("""COMPUTED_VALUE"""),44990.70770967593)</f>
        <v>44990.70771</v>
      </c>
      <c r="C64" s="26"/>
      <c r="D64" s="10">
        <f>IFERROR(__xludf.DUMMYFUNCTION("""COMPUTED_VALUE"""),44943.0)</f>
        <v>44943</v>
      </c>
      <c r="E64" s="10" t="str">
        <f>IFERROR(__xludf.DUMMYFUNCTION("""COMPUTED_VALUE"""),"01Jan")</f>
        <v>01Jan</v>
      </c>
      <c r="F64" s="10" t="str">
        <f>IFERROR(__xludf.DUMMYFUNCTION("""COMPUTED_VALUE"""),"2023")</f>
        <v>2023</v>
      </c>
      <c r="G64" s="16" t="str">
        <f>IFERROR(__xludf.DUMMYFUNCTION("""COMPUTED_VALUE"""),"NENI RIMBAWATI")</f>
        <v>NENI RIMBAWATI</v>
      </c>
      <c r="H64" s="17" t="str">
        <f>IFERROR(__xludf.DUMMYFUNCTION("""COMPUTED_VALUE"""),"N7123011230")</f>
        <v>N7123011230</v>
      </c>
      <c r="I64" s="17">
        <f>IFERROR(__xludf.DUMMYFUNCTION("""COMPUTED_VALUE"""),54.0)</f>
        <v>54</v>
      </c>
      <c r="J64" s="17" t="str">
        <f>IFERROR(__xludf.DUMMYFUNCTION("""COMPUTED_VALUE"""),"&gt; 44 tahun")</f>
        <v>&gt; 44 tahun</v>
      </c>
      <c r="K64" s="19">
        <f>IFERROR(__xludf.DUMMYFUNCTION("""COMPUTED_VALUE"""),26227.0)</f>
        <v>26227</v>
      </c>
      <c r="L64" s="19" t="str">
        <f>IFERROR(__xludf.DUMMYFUNCTION("""COMPUTED_VALUE"""),"PEREMPUAN")</f>
        <v>PEREMPUAN</v>
      </c>
      <c r="M64" s="16" t="str">
        <f>IFERROR(__xludf.DUMMYFUNCTION("""COMPUTED_VALUE"""),"JL P HAJI HUSEIN 2 GG WANABHAKTI")</f>
        <v>JL P HAJI HUSEIN 2 GG WANABHAKTI</v>
      </c>
      <c r="N64" s="16"/>
      <c r="O64" s="16"/>
      <c r="P64" s="16"/>
      <c r="Q64" s="16"/>
      <c r="R64" s="19" t="str">
        <f>IFERROR(__xludf.DUMMYFUNCTION("""COMPUTED_VALUE"""),"ISLAM")</f>
        <v>ISLAM</v>
      </c>
      <c r="S64" s="16" t="str">
        <f>IFERROR(__xludf.DUMMYFUNCTION("""COMPUTED_VALUE"""),"")</f>
        <v/>
      </c>
      <c r="T64" s="16" t="str">
        <f>IFERROR(__xludf.DUMMYFUNCTION("""COMPUTED_VALUE"""),"STROKE")</f>
        <v>STROKE</v>
      </c>
      <c r="U64" s="16" t="str">
        <f>IFERROR(__xludf.DUMMYFUNCTION("""COMPUTED_VALUE"""),"")</f>
        <v/>
      </c>
      <c r="V64" s="21" t="str">
        <f>IFERROR(__xludf.DUMMYFUNCTION("""COMPUTED_VALUE"""),"082154581230")</f>
        <v>082154581230</v>
      </c>
      <c r="W64" s="27"/>
    </row>
    <row r="65" ht="22.5" customHeight="1">
      <c r="A65" s="8"/>
      <c r="B65" s="9">
        <f>IFERROR(__xludf.DUMMYFUNCTION("""COMPUTED_VALUE"""),44973.3984375)</f>
        <v>44973.39844</v>
      </c>
      <c r="C65" s="9"/>
      <c r="D65" s="10">
        <f>IFERROR(__xludf.DUMMYFUNCTION("""COMPUTED_VALUE"""),44943.0)</f>
        <v>44943</v>
      </c>
      <c r="E65" s="10" t="str">
        <f>IFERROR(__xludf.DUMMYFUNCTION("""COMPUTED_VALUE"""),"01Jan")</f>
        <v>01Jan</v>
      </c>
      <c r="F65" s="10" t="str">
        <f>IFERROR(__xludf.DUMMYFUNCTION("""COMPUTED_VALUE"""),"2023")</f>
        <v>2023</v>
      </c>
      <c r="G65" s="16" t="str">
        <f>IFERROR(__xludf.DUMMYFUNCTION("""COMPUTED_VALUE"""),"NOVI WINATA")</f>
        <v>NOVI WINATA</v>
      </c>
      <c r="H65" s="17" t="str">
        <f>IFERROR(__xludf.DUMMYFUNCTION("""COMPUTED_VALUE"""),"N8723013099")</f>
        <v>N8723013099</v>
      </c>
      <c r="I65" s="17">
        <f>IFERROR(__xludf.DUMMYFUNCTION("""COMPUTED_VALUE"""),38.0)</f>
        <v>38</v>
      </c>
      <c r="J65" s="17" t="str">
        <f>IFERROR(__xludf.DUMMYFUNCTION("""COMPUTED_VALUE"""),"35-44 tahun")</f>
        <v>35-44 tahun</v>
      </c>
      <c r="K65" s="19">
        <f>IFERROR(__xludf.DUMMYFUNCTION("""COMPUTED_VALUE"""),32083.0)</f>
        <v>32083</v>
      </c>
      <c r="L65" s="19" t="str">
        <f>IFERROR(__xludf.DUMMYFUNCTION("""COMPUTED_VALUE"""),"PEREMPUAN")</f>
        <v>PEREMPUAN</v>
      </c>
      <c r="M65" s="16" t="str">
        <f>IFERROR(__xludf.DUMMYFUNCTION("""COMPUTED_VALUE"""),"JL. SULTAN MUHAMMAD NO. 93")</f>
        <v>JL. SULTAN MUHAMMAD NO. 93</v>
      </c>
      <c r="N65" s="16"/>
      <c r="O65" s="16"/>
      <c r="P65" s="16"/>
      <c r="Q65" s="16"/>
      <c r="R65" s="19" t="str">
        <f>IFERROR(__xludf.DUMMYFUNCTION("""COMPUTED_VALUE"""),"LAINNYA")</f>
        <v>LAINNYA</v>
      </c>
      <c r="S65" s="16" t="str">
        <f>IFERROR(__xludf.DUMMYFUNCTION("""COMPUTED_VALUE"""),"WIRASWASTA")</f>
        <v>WIRASWASTA</v>
      </c>
      <c r="T65" s="16" t="str">
        <f>IFERROR(__xludf.DUMMYFUNCTION("""COMPUTED_VALUE"""),"BAHU DAN LEHER")</f>
        <v>BAHU DAN LEHER</v>
      </c>
      <c r="U65" s="16" t="str">
        <f>IFERROR(__xludf.DUMMYFUNCTION("""COMPUTED_VALUE"""),"-")</f>
        <v>-</v>
      </c>
      <c r="V65" s="21" t="str">
        <f>IFERROR(__xludf.DUMMYFUNCTION("""COMPUTED_VALUE"""),"0811573099")</f>
        <v>0811573099</v>
      </c>
      <c r="W65" s="22"/>
    </row>
    <row r="66" ht="22.5" customHeight="1">
      <c r="A66" s="8"/>
      <c r="B66" s="9">
        <f>IFERROR(__xludf.DUMMYFUNCTION("""COMPUTED_VALUE"""),45010.57859744213)</f>
        <v>45010.5786</v>
      </c>
      <c r="C66" s="9"/>
      <c r="D66" s="10">
        <f>IFERROR(__xludf.DUMMYFUNCTION("""COMPUTED_VALUE"""),44943.0)</f>
        <v>44943</v>
      </c>
      <c r="E66" s="10" t="str">
        <f>IFERROR(__xludf.DUMMYFUNCTION("""COMPUTED_VALUE"""),"01Jan")</f>
        <v>01Jan</v>
      </c>
      <c r="F66" s="10" t="str">
        <f>IFERROR(__xludf.DUMMYFUNCTION("""COMPUTED_VALUE"""),"2023")</f>
        <v>2023</v>
      </c>
      <c r="G66" s="16" t="str">
        <f>IFERROR(__xludf.DUMMYFUNCTION("""COMPUTED_VALUE"""),"NURDIN")</f>
        <v>NURDIN</v>
      </c>
      <c r="H66" s="17" t="str">
        <f>IFERROR(__xludf.DUMMYFUNCTION("""COMPUTED_VALUE"""),"N6423016044")</f>
        <v>N6423016044</v>
      </c>
      <c r="I66" s="17">
        <f>IFERROR(__xludf.DUMMYFUNCTION("""COMPUTED_VALUE"""),61.0)</f>
        <v>61</v>
      </c>
      <c r="J66" s="17" t="str">
        <f>IFERROR(__xludf.DUMMYFUNCTION("""COMPUTED_VALUE"""),"&gt; 44 tahun")</f>
        <v>&gt; 44 tahun</v>
      </c>
      <c r="K66" s="19">
        <f>IFERROR(__xludf.DUMMYFUNCTION("""COMPUTED_VALUE"""),23661.0)</f>
        <v>23661</v>
      </c>
      <c r="L66" s="19" t="str">
        <f>IFERROR(__xludf.DUMMYFUNCTION("""COMPUTED_VALUE"""),"LAKI-LAKI")</f>
        <v>LAKI-LAKI</v>
      </c>
      <c r="M66" s="16" t="str">
        <f>IFERROR(__xludf.DUMMYFUNCTION("""COMPUTED_VALUE"""),"JL. ADISUCIPTO GG. CEMPAKA PUTIH NO. 23")</f>
        <v>JL. ADISUCIPTO GG. CEMPAKA PUTIH NO. 23</v>
      </c>
      <c r="N66" s="16"/>
      <c r="O66" s="16"/>
      <c r="P66" s="16"/>
      <c r="Q66" s="16"/>
      <c r="R66" s="19" t="str">
        <f>IFERROR(__xludf.DUMMYFUNCTION("""COMPUTED_VALUE"""),"ISLAM")</f>
        <v>ISLAM</v>
      </c>
      <c r="S66" s="16" t="str">
        <f>IFERROR(__xludf.DUMMYFUNCTION("""COMPUTED_VALUE"""),"SWASTA")</f>
        <v>SWASTA</v>
      </c>
      <c r="T66" s="16" t="str">
        <f>IFERROR(__xludf.DUMMYFUNCTION("""COMPUTED_VALUE"""),"PINGGANG")</f>
        <v>PINGGANG</v>
      </c>
      <c r="U66" s="16" t="str">
        <f>IFERROR(__xludf.DUMMYFUNCTION("""COMPUTED_VALUE"""),"")</f>
        <v/>
      </c>
      <c r="V66" s="21" t="str">
        <f>IFERROR(__xludf.DUMMYFUNCTION("""COMPUTED_VALUE"""),"089523686044")</f>
        <v>089523686044</v>
      </c>
      <c r="W66" s="22"/>
    </row>
    <row r="67" ht="22.5" customHeight="1">
      <c r="A67" s="8"/>
      <c r="B67" s="9">
        <f>IFERROR(__xludf.DUMMYFUNCTION("""COMPUTED_VALUE"""),44983.47518518518)</f>
        <v>44983.47519</v>
      </c>
      <c r="C67" s="9"/>
      <c r="D67" s="10">
        <f>IFERROR(__xludf.DUMMYFUNCTION("""COMPUTED_VALUE"""),44944.0)</f>
        <v>44944</v>
      </c>
      <c r="E67" s="10" t="str">
        <f>IFERROR(__xludf.DUMMYFUNCTION("""COMPUTED_VALUE"""),"01Jan")</f>
        <v>01Jan</v>
      </c>
      <c r="F67" s="10" t="str">
        <f>IFERROR(__xludf.DUMMYFUNCTION("""COMPUTED_VALUE"""),"2023")</f>
        <v>2023</v>
      </c>
      <c r="G67" s="16" t="str">
        <f>IFERROR(__xludf.DUMMYFUNCTION("""COMPUTED_VALUE"""),"ALDI")</f>
        <v>ALDI</v>
      </c>
      <c r="H67" s="17" t="str">
        <f>IFERROR(__xludf.DUMMYFUNCTION("""COMPUTED_VALUE"""),"A0623017317")</f>
        <v>A0623017317</v>
      </c>
      <c r="I67" s="17">
        <f>IFERROR(__xludf.DUMMYFUNCTION("""COMPUTED_VALUE"""),19.0)</f>
        <v>19</v>
      </c>
      <c r="J67" s="17" t="str">
        <f>IFERROR(__xludf.DUMMYFUNCTION("""COMPUTED_VALUE"""),"18-24 tahun")</f>
        <v>18-24 tahun</v>
      </c>
      <c r="K67" s="19">
        <f>IFERROR(__xludf.DUMMYFUNCTION("""COMPUTED_VALUE"""),39033.0)</f>
        <v>39033</v>
      </c>
      <c r="L67" s="19" t="str">
        <f>IFERROR(__xludf.DUMMYFUNCTION("""COMPUTED_VALUE"""),"LAKI-LAKI")</f>
        <v>LAKI-LAKI</v>
      </c>
      <c r="M67" s="16" t="str">
        <f>IFERROR(__xludf.DUMMYFUNCTION("""COMPUTED_VALUE"""),"JL DESA KAPUR KOMP ALDY MUTIARA RESIDENCE 2")</f>
        <v>JL DESA KAPUR KOMP ALDY MUTIARA RESIDENCE 2</v>
      </c>
      <c r="N67" s="16"/>
      <c r="O67" s="16"/>
      <c r="P67" s="16"/>
      <c r="Q67" s="16"/>
      <c r="R67" s="19" t="str">
        <f>IFERROR(__xludf.DUMMYFUNCTION("""COMPUTED_VALUE"""),"ISLAM")</f>
        <v>ISLAM</v>
      </c>
      <c r="S67" s="16" t="str">
        <f>IFERROR(__xludf.DUMMYFUNCTION("""COMPUTED_VALUE"""),"PELAJAR/MAHASISWA")</f>
        <v>PELAJAR/MAHASISWA</v>
      </c>
      <c r="T67" s="16" t="str">
        <f>IFERROR(__xludf.DUMMYFUNCTION("""COMPUTED_VALUE"""),"BAHU")</f>
        <v>BAHU</v>
      </c>
      <c r="U67" s="16" t="str">
        <f>IFERROR(__xludf.DUMMYFUNCTION("""COMPUTED_VALUE"""),"BASKET")</f>
        <v>BASKET</v>
      </c>
      <c r="V67" s="21" t="str">
        <f>IFERROR(__xludf.DUMMYFUNCTION("""COMPUTED_VALUE"""),"089621567317")</f>
        <v>089621567317</v>
      </c>
      <c r="W67" s="22"/>
    </row>
    <row r="68" ht="22.5" customHeight="1">
      <c r="A68" s="8"/>
      <c r="B68" s="9">
        <f>IFERROR(__xludf.DUMMYFUNCTION("""COMPUTED_VALUE"""),44947.81123842593)</f>
        <v>44947.81124</v>
      </c>
      <c r="C68" s="9"/>
      <c r="D68" s="10">
        <f>IFERROR(__xludf.DUMMYFUNCTION("""COMPUTED_VALUE"""),44944.0)</f>
        <v>44944</v>
      </c>
      <c r="E68" s="10" t="str">
        <f>IFERROR(__xludf.DUMMYFUNCTION("""COMPUTED_VALUE"""),"01Jan")</f>
        <v>01Jan</v>
      </c>
      <c r="F68" s="10" t="str">
        <f>IFERROR(__xludf.DUMMYFUNCTION("""COMPUTED_VALUE"""),"2023")</f>
        <v>2023</v>
      </c>
      <c r="G68" s="16" t="str">
        <f>IFERROR(__xludf.DUMMYFUNCTION("""COMPUTED_VALUE"""),"NURHAYATI 55")</f>
        <v>NURHAYATI 55</v>
      </c>
      <c r="H68" s="17" t="str">
        <f>IFERROR(__xludf.DUMMYFUNCTION("""COMPUTED_VALUE"""),"N5523017792")</f>
        <v>N5523017792</v>
      </c>
      <c r="I68" s="17">
        <f>IFERROR(__xludf.DUMMYFUNCTION("""COMPUTED_VALUE"""),71.0)</f>
        <v>71</v>
      </c>
      <c r="J68" s="17" t="str">
        <f>IFERROR(__xludf.DUMMYFUNCTION("""COMPUTED_VALUE"""),"&gt; 44 tahun")</f>
        <v>&gt; 44 tahun</v>
      </c>
      <c r="K68" s="19">
        <f>IFERROR(__xludf.DUMMYFUNCTION("""COMPUTED_VALUE"""),20194.0)</f>
        <v>20194</v>
      </c>
      <c r="L68" s="19" t="str">
        <f>IFERROR(__xludf.DUMMYFUNCTION("""COMPUTED_VALUE"""),"PEREMPUAN")</f>
        <v>PEREMPUAN</v>
      </c>
      <c r="M68" s="16" t="str">
        <f>IFERROR(__xludf.DUMMYFUNCTION("""COMPUTED_VALUE"""),"JL PAIT TO'ADAM")</f>
        <v>JL PAIT TO'ADAM</v>
      </c>
      <c r="N68" s="16"/>
      <c r="O68" s="16"/>
      <c r="P68" s="16"/>
      <c r="Q68" s="16"/>
      <c r="R68" s="19" t="str">
        <f>IFERROR(__xludf.DUMMYFUNCTION("""COMPUTED_VALUE"""),"ISLAM")</f>
        <v>ISLAM</v>
      </c>
      <c r="S68" s="16" t="str">
        <f>IFERROR(__xludf.DUMMYFUNCTION("""COMPUTED_VALUE"""),"")</f>
        <v/>
      </c>
      <c r="T68" s="16" t="str">
        <f>IFERROR(__xludf.DUMMYFUNCTION("""COMPUTED_VALUE"""),"PANGKAL PAHA - TUNGKAI ATAS")</f>
        <v>PANGKAL PAHA - TUNGKAI ATAS</v>
      </c>
      <c r="U68" s="16" t="str">
        <f>IFERROR(__xludf.DUMMYFUNCTION("""COMPUTED_VALUE"""),"")</f>
        <v/>
      </c>
      <c r="V68" s="21" t="str">
        <f>IFERROR(__xludf.DUMMYFUNCTION("""COMPUTED_VALUE"""),"085828777792")</f>
        <v>085828777792</v>
      </c>
      <c r="W68" s="22"/>
    </row>
    <row r="69" ht="22.5" customHeight="1">
      <c r="A69" s="8"/>
      <c r="B69" s="9">
        <f>IFERROR(__xludf.DUMMYFUNCTION("""COMPUTED_VALUE"""),45011.084269375)</f>
        <v>45011.08427</v>
      </c>
      <c r="C69" s="9"/>
      <c r="D69" s="10">
        <f>IFERROR(__xludf.DUMMYFUNCTION("""COMPUTED_VALUE"""),44944.0)</f>
        <v>44944</v>
      </c>
      <c r="E69" s="10" t="str">
        <f>IFERROR(__xludf.DUMMYFUNCTION("""COMPUTED_VALUE"""),"01Jan")</f>
        <v>01Jan</v>
      </c>
      <c r="F69" s="10" t="str">
        <f>IFERROR(__xludf.DUMMYFUNCTION("""COMPUTED_VALUE"""),"2023")</f>
        <v>2023</v>
      </c>
      <c r="G69" s="16" t="str">
        <f>IFERROR(__xludf.DUMMYFUNCTION("""COMPUTED_VALUE"""),"RIZKI SAPUTRA")</f>
        <v>RIZKI SAPUTRA</v>
      </c>
      <c r="H69" s="17" t="str">
        <f>IFERROR(__xludf.DUMMYFUNCTION("""COMPUTED_VALUE"""),"R0423012690")</f>
        <v>R0423012690</v>
      </c>
      <c r="I69" s="17">
        <f>IFERROR(__xludf.DUMMYFUNCTION("""COMPUTED_VALUE"""),21.0)</f>
        <v>21</v>
      </c>
      <c r="J69" s="17" t="str">
        <f>IFERROR(__xludf.DUMMYFUNCTION("""COMPUTED_VALUE"""),"18-24 tahun")</f>
        <v>18-24 tahun</v>
      </c>
      <c r="K69" s="19">
        <f>IFERROR(__xludf.DUMMYFUNCTION("""COMPUTED_VALUE"""),38163.0)</f>
        <v>38163</v>
      </c>
      <c r="L69" s="19" t="str">
        <f>IFERROR(__xludf.DUMMYFUNCTION("""COMPUTED_VALUE"""),"LAKI-LAKI")</f>
        <v>LAKI-LAKI</v>
      </c>
      <c r="M69" s="16" t="str">
        <f>IFERROR(__xludf.DUMMYFUNCTION("""COMPUTED_VALUE"""),"JL. IMAM BONJOL")</f>
        <v>JL. IMAM BONJOL</v>
      </c>
      <c r="N69" s="16"/>
      <c r="O69" s="16"/>
      <c r="P69" s="16"/>
      <c r="Q69" s="16"/>
      <c r="R69" s="19" t="str">
        <f>IFERROR(__xludf.DUMMYFUNCTION("""COMPUTED_VALUE"""),"ISLAM")</f>
        <v>ISLAM</v>
      </c>
      <c r="S69" s="16" t="str">
        <f>IFERROR(__xludf.DUMMYFUNCTION("""COMPUTED_VALUE"""),"PELAJAR/MAHASISWA")</f>
        <v>PELAJAR/MAHASISWA</v>
      </c>
      <c r="T69" s="16" t="str">
        <f>IFERROR(__xludf.DUMMYFUNCTION("""COMPUTED_VALUE"""),"PUNGGUNG")</f>
        <v>PUNGGUNG</v>
      </c>
      <c r="U69" s="16" t="str">
        <f>IFERROR(__xludf.DUMMYFUNCTION("""COMPUTED_VALUE"""),"")</f>
        <v/>
      </c>
      <c r="V69" s="21" t="str">
        <f>IFERROR(__xludf.DUMMYFUNCTION("""COMPUTED_VALUE"""),"089692442690")</f>
        <v>089692442690</v>
      </c>
      <c r="W69" s="22"/>
    </row>
    <row r="70" ht="22.5" customHeight="1">
      <c r="A70" s="8"/>
      <c r="B70" s="9">
        <f>IFERROR(__xludf.DUMMYFUNCTION("""COMPUTED_VALUE"""),45006.87163178241)</f>
        <v>45006.87163</v>
      </c>
      <c r="C70" s="9"/>
      <c r="D70" s="10">
        <f>IFERROR(__xludf.DUMMYFUNCTION("""COMPUTED_VALUE"""),44944.0)</f>
        <v>44944</v>
      </c>
      <c r="E70" s="10" t="str">
        <f>IFERROR(__xludf.DUMMYFUNCTION("""COMPUTED_VALUE"""),"01Jan")</f>
        <v>01Jan</v>
      </c>
      <c r="F70" s="10" t="str">
        <f>IFERROR(__xludf.DUMMYFUNCTION("""COMPUTED_VALUE"""),"2023")</f>
        <v>2023</v>
      </c>
      <c r="G70" s="16" t="str">
        <f>IFERROR(__xludf.DUMMYFUNCTION("""COMPUTED_VALUE"""),"RONY LIUNG")</f>
        <v>RONY LIUNG</v>
      </c>
      <c r="H70" s="17" t="str">
        <f>IFERROR(__xludf.DUMMYFUNCTION("""COMPUTED_VALUE"""),"R0123012900")</f>
        <v>R0123012900</v>
      </c>
      <c r="I70" s="17">
        <f>IFERROR(__xludf.DUMMYFUNCTION("""COMPUTED_VALUE"""),25.0)</f>
        <v>25</v>
      </c>
      <c r="J70" s="17" t="str">
        <f>IFERROR(__xludf.DUMMYFUNCTION("""COMPUTED_VALUE"""),"25-34 tahun")</f>
        <v>25-34 tahun</v>
      </c>
      <c r="K70" s="19">
        <f>IFERROR(__xludf.DUMMYFUNCTION("""COMPUTED_VALUE"""),36945.0)</f>
        <v>36945</v>
      </c>
      <c r="L70" s="19" t="str">
        <f>IFERROR(__xludf.DUMMYFUNCTION("""COMPUTED_VALUE"""),"LAKI-LAKI")</f>
        <v>LAKI-LAKI</v>
      </c>
      <c r="M70" s="16" t="str">
        <f>IFERROR(__xludf.DUMMYFUNCTION("""COMPUTED_VALUE"""),"NANGA PINOH, MELAWI")</f>
        <v>NANGA PINOH, MELAWI</v>
      </c>
      <c r="N70" s="16"/>
      <c r="O70" s="16"/>
      <c r="P70" s="16"/>
      <c r="Q70" s="16"/>
      <c r="R70" s="19" t="str">
        <f>IFERROR(__xludf.DUMMYFUNCTION("""COMPUTED_VALUE"""),"BUDDHA")</f>
        <v>BUDDHA</v>
      </c>
      <c r="S70" s="16" t="str">
        <f>IFERROR(__xludf.DUMMYFUNCTION("""COMPUTED_VALUE"""),"PELAJAR/MAHASISWA")</f>
        <v>PELAJAR/MAHASISWA</v>
      </c>
      <c r="T70" s="16" t="str">
        <f>IFERROR(__xludf.DUMMYFUNCTION("""COMPUTED_VALUE"""),"ENGKEL KANAN")</f>
        <v>ENGKEL KANAN</v>
      </c>
      <c r="U70" s="16" t="str">
        <f>IFERROR(__xludf.DUMMYFUNCTION("""COMPUTED_VALUE"""),"")</f>
        <v/>
      </c>
      <c r="V70" s="21" t="str">
        <f>IFERROR(__xludf.DUMMYFUNCTION("""COMPUTED_VALUE"""),"085345172900")</f>
        <v>085345172900</v>
      </c>
      <c r="W70" s="22"/>
    </row>
    <row r="71" ht="22.5" customHeight="1">
      <c r="A71" s="8"/>
      <c r="B71" s="9">
        <f>IFERROR(__xludf.DUMMYFUNCTION("""COMPUTED_VALUE"""),45006.87579710648)</f>
        <v>45006.8758</v>
      </c>
      <c r="C71" s="9"/>
      <c r="D71" s="10">
        <f>IFERROR(__xludf.DUMMYFUNCTION("""COMPUTED_VALUE"""),44945.0)</f>
        <v>44945</v>
      </c>
      <c r="E71" s="10" t="str">
        <f>IFERROR(__xludf.DUMMYFUNCTION("""COMPUTED_VALUE"""),"01Jan")</f>
        <v>01Jan</v>
      </c>
      <c r="F71" s="10" t="str">
        <f>IFERROR(__xludf.DUMMYFUNCTION("""COMPUTED_VALUE"""),"2023")</f>
        <v>2023</v>
      </c>
      <c r="G71" s="16" t="str">
        <f>IFERROR(__xludf.DUMMYFUNCTION("""COMPUTED_VALUE"""),"NOVI ASMARANI")</f>
        <v>NOVI ASMARANI</v>
      </c>
      <c r="H71" s="17" t="str">
        <f>IFERROR(__xludf.DUMMYFUNCTION("""COMPUTED_VALUE"""),"N8723015132")</f>
        <v>N8723015132</v>
      </c>
      <c r="I71" s="17">
        <f>IFERROR(__xludf.DUMMYFUNCTION("""COMPUTED_VALUE"""),38.0)</f>
        <v>38</v>
      </c>
      <c r="J71" s="17" t="str">
        <f>IFERROR(__xludf.DUMMYFUNCTION("""COMPUTED_VALUE"""),"35-44 tahun")</f>
        <v>35-44 tahun</v>
      </c>
      <c r="K71" s="19">
        <f>IFERROR(__xludf.DUMMYFUNCTION("""COMPUTED_VALUE"""),32090.0)</f>
        <v>32090</v>
      </c>
      <c r="L71" s="19" t="str">
        <f>IFERROR(__xludf.DUMMYFUNCTION("""COMPUTED_VALUE"""),"PEREMPUAN")</f>
        <v>PEREMPUAN</v>
      </c>
      <c r="M71" s="16" t="str">
        <f>IFERROR(__xludf.DUMMYFUNCTION("""COMPUTED_VALUE"""),"JL. SUI JAWI GG. TIOKANDANG A NO. 41")</f>
        <v>JL. SUI JAWI GG. TIOKANDANG A NO. 41</v>
      </c>
      <c r="N71" s="16"/>
      <c r="O71" s="16"/>
      <c r="P71" s="16"/>
      <c r="Q71" s="16"/>
      <c r="R71" s="19" t="str">
        <f>IFERROR(__xludf.DUMMYFUNCTION("""COMPUTED_VALUE"""),"ISLAM")</f>
        <v>ISLAM</v>
      </c>
      <c r="S71" s="16" t="str">
        <f>IFERROR(__xludf.DUMMYFUNCTION("""COMPUTED_VALUE"""),"BUMD")</f>
        <v>BUMD</v>
      </c>
      <c r="T71" s="16" t="str">
        <f>IFERROR(__xludf.DUMMYFUNCTION("""COMPUTED_VALUE"""),"ANKLE")</f>
        <v>ANKLE</v>
      </c>
      <c r="U71" s="16" t="str">
        <f>IFERROR(__xludf.DUMMYFUNCTION("""COMPUTED_VALUE"""),"JOGING")</f>
        <v>JOGING</v>
      </c>
      <c r="V71" s="21" t="str">
        <f>IFERROR(__xludf.DUMMYFUNCTION("""COMPUTED_VALUE"""),"08125795132")</f>
        <v>08125795132</v>
      </c>
      <c r="W71" s="22"/>
    </row>
    <row r="72" ht="22.5" customHeight="1">
      <c r="A72" s="25"/>
      <c r="B72" s="26">
        <f>IFERROR(__xludf.DUMMYFUNCTION("""COMPUTED_VALUE"""),45006.84428109953)</f>
        <v>45006.84428</v>
      </c>
      <c r="C72" s="26"/>
      <c r="D72" s="10">
        <f>IFERROR(__xludf.DUMMYFUNCTION("""COMPUTED_VALUE"""),44945.0)</f>
        <v>44945</v>
      </c>
      <c r="E72" s="10" t="str">
        <f>IFERROR(__xludf.DUMMYFUNCTION("""COMPUTED_VALUE"""),"01Jan")</f>
        <v>01Jan</v>
      </c>
      <c r="F72" s="10" t="str">
        <f>IFERROR(__xludf.DUMMYFUNCTION("""COMPUTED_VALUE"""),"2023")</f>
        <v>2023</v>
      </c>
      <c r="G72" s="16" t="str">
        <f>IFERROR(__xludf.DUMMYFUNCTION("""COMPUTED_VALUE"""),"SULISTIYOWATI")</f>
        <v>SULISTIYOWATI</v>
      </c>
      <c r="H72" s="17" t="str">
        <f>IFERROR(__xludf.DUMMYFUNCTION("""COMPUTED_VALUE"""),"S7523014141")</f>
        <v>S7523014141</v>
      </c>
      <c r="I72" s="17">
        <f>IFERROR(__xludf.DUMMYFUNCTION("""COMPUTED_VALUE"""),51.0)</f>
        <v>51</v>
      </c>
      <c r="J72" s="17" t="str">
        <f>IFERROR(__xludf.DUMMYFUNCTION("""COMPUTED_VALUE"""),"&gt; 44 tahun")</f>
        <v>&gt; 44 tahun</v>
      </c>
      <c r="K72" s="19">
        <f>IFERROR(__xludf.DUMMYFUNCTION("""COMPUTED_VALUE"""),27467.0)</f>
        <v>27467</v>
      </c>
      <c r="L72" s="19" t="str">
        <f>IFERROR(__xludf.DUMMYFUNCTION("""COMPUTED_VALUE"""),"PEREMPUAN")</f>
        <v>PEREMPUAN</v>
      </c>
      <c r="M72" s="16" t="str">
        <f>IFERROR(__xludf.DUMMYFUNCTION("""COMPUTED_VALUE"""),"JL. KARYA KITA NO. 86")</f>
        <v>JL. KARYA KITA NO. 86</v>
      </c>
      <c r="N72" s="16"/>
      <c r="O72" s="16"/>
      <c r="P72" s="16"/>
      <c r="Q72" s="16"/>
      <c r="R72" s="19" t="str">
        <f>IFERROR(__xludf.DUMMYFUNCTION("""COMPUTED_VALUE"""),"ISLAM")</f>
        <v>ISLAM</v>
      </c>
      <c r="S72" s="16" t="str">
        <f>IFERROR(__xludf.DUMMYFUNCTION("""COMPUTED_VALUE"""),"BUMD")</f>
        <v>BUMD</v>
      </c>
      <c r="T72" s="16" t="str">
        <f>IFERROR(__xludf.DUMMYFUNCTION("""COMPUTED_VALUE"""),"PINGGANG")</f>
        <v>PINGGANG</v>
      </c>
      <c r="U72" s="16" t="str">
        <f>IFERROR(__xludf.DUMMYFUNCTION("""COMPUTED_VALUE"""),"DUDUK LAMA")</f>
        <v>DUDUK LAMA</v>
      </c>
      <c r="V72" s="21" t="str">
        <f>IFERROR(__xludf.DUMMYFUNCTION("""COMPUTED_VALUE"""),"08125644141")</f>
        <v>08125644141</v>
      </c>
      <c r="W72" s="27"/>
    </row>
    <row r="73" ht="22.5" customHeight="1">
      <c r="A73" s="25"/>
      <c r="B73" s="26">
        <f>IFERROR(__xludf.DUMMYFUNCTION("""COMPUTED_VALUE"""),45011.13040420139)</f>
        <v>45011.1304</v>
      </c>
      <c r="C73" s="26"/>
      <c r="D73" s="10">
        <f>IFERROR(__xludf.DUMMYFUNCTION("""COMPUTED_VALUE"""),44947.0)</f>
        <v>44947</v>
      </c>
      <c r="E73" s="10" t="str">
        <f>IFERROR(__xludf.DUMMYFUNCTION("""COMPUTED_VALUE"""),"01Jan")</f>
        <v>01Jan</v>
      </c>
      <c r="F73" s="10" t="str">
        <f>IFERROR(__xludf.DUMMYFUNCTION("""COMPUTED_VALUE"""),"2023")</f>
        <v>2023</v>
      </c>
      <c r="G73" s="16" t="str">
        <f>IFERROR(__xludf.DUMMYFUNCTION("""COMPUTED_VALUE"""),"ARIFYANDI")</f>
        <v>ARIFYANDI</v>
      </c>
      <c r="H73" s="17" t="str">
        <f>IFERROR(__xludf.DUMMYFUNCTION("""COMPUTED_VALUE"""),"A9923014697")</f>
        <v>A9923014697</v>
      </c>
      <c r="I73" s="17">
        <f>IFERROR(__xludf.DUMMYFUNCTION("""COMPUTED_VALUE"""),27.0)</f>
        <v>27</v>
      </c>
      <c r="J73" s="17" t="str">
        <f>IFERROR(__xludf.DUMMYFUNCTION("""COMPUTED_VALUE"""),"25-34 tahun")</f>
        <v>25-34 tahun</v>
      </c>
      <c r="K73" s="19">
        <f>IFERROR(__xludf.DUMMYFUNCTION("""COMPUTED_VALUE"""),36235.0)</f>
        <v>36235</v>
      </c>
      <c r="L73" s="19" t="str">
        <f>IFERROR(__xludf.DUMMYFUNCTION("""COMPUTED_VALUE"""),"LAKI-LAKI")</f>
        <v>LAKI-LAKI</v>
      </c>
      <c r="M73" s="16" t="str">
        <f>IFERROR(__xludf.DUMMYFUNCTION("""COMPUTED_VALUE"""),"JL. PARIT TENGAH")</f>
        <v>JL. PARIT TENGAH</v>
      </c>
      <c r="N73" s="16"/>
      <c r="O73" s="16"/>
      <c r="P73" s="16"/>
      <c r="Q73" s="16"/>
      <c r="R73" s="19" t="str">
        <f>IFERROR(__xludf.DUMMYFUNCTION("""COMPUTED_VALUE"""),"PROTESTAN")</f>
        <v>PROTESTAN</v>
      </c>
      <c r="S73" s="16" t="str">
        <f>IFERROR(__xludf.DUMMYFUNCTION("""COMPUTED_VALUE"""),"SWASTA")</f>
        <v>SWASTA</v>
      </c>
      <c r="T73" s="16" t="str">
        <f>IFERROR(__xludf.DUMMYFUNCTION("""COMPUTED_VALUE"""),"PAHA SAMPING")</f>
        <v>PAHA SAMPING</v>
      </c>
      <c r="U73" s="16" t="str">
        <f>IFERROR(__xludf.DUMMYFUNCTION("""COMPUTED_VALUE"""),"")</f>
        <v/>
      </c>
      <c r="V73" s="21" t="str">
        <f>IFERROR(__xludf.DUMMYFUNCTION("""COMPUTED_VALUE"""),"089693694697")</f>
        <v>089693694697</v>
      </c>
      <c r="W73" s="27"/>
    </row>
    <row r="74" ht="22.5" customHeight="1">
      <c r="A74" s="8"/>
      <c r="B74" s="9">
        <f>IFERROR(__xludf.DUMMYFUNCTION("""COMPUTED_VALUE"""),45006.850412141204)</f>
        <v>45006.85041</v>
      </c>
      <c r="C74" s="9"/>
      <c r="D74" s="10">
        <f>IFERROR(__xludf.DUMMYFUNCTION("""COMPUTED_VALUE"""),44947.0)</f>
        <v>44947</v>
      </c>
      <c r="E74" s="10" t="str">
        <f>IFERROR(__xludf.DUMMYFUNCTION("""COMPUTED_VALUE"""),"01Jan")</f>
        <v>01Jan</v>
      </c>
      <c r="F74" s="10" t="str">
        <f>IFERROR(__xludf.DUMMYFUNCTION("""COMPUTED_VALUE"""),"2023")</f>
        <v>2023</v>
      </c>
      <c r="G74" s="16" t="str">
        <f>IFERROR(__xludf.DUMMYFUNCTION("""COMPUTED_VALUE"""),"KARTINAH")</f>
        <v>KARTINAH</v>
      </c>
      <c r="H74" s="17" t="str">
        <f>IFERROR(__xludf.DUMMYFUNCTION("""COMPUTED_VALUE"""),"K6223018878")</f>
        <v>K6223018878</v>
      </c>
      <c r="I74" s="17">
        <f>IFERROR(__xludf.DUMMYFUNCTION("""COMPUTED_VALUE"""),64.0)</f>
        <v>64</v>
      </c>
      <c r="J74" s="17" t="str">
        <f>IFERROR(__xludf.DUMMYFUNCTION("""COMPUTED_VALUE"""),"&gt; 44 tahun")</f>
        <v>&gt; 44 tahun</v>
      </c>
      <c r="K74" s="19">
        <f>IFERROR(__xludf.DUMMYFUNCTION("""COMPUTED_VALUE"""),22813.0)</f>
        <v>22813</v>
      </c>
      <c r="L74" s="19" t="str">
        <f>IFERROR(__xludf.DUMMYFUNCTION("""COMPUTED_VALUE"""),"PEREMPUAN")</f>
        <v>PEREMPUAN</v>
      </c>
      <c r="M74" s="16" t="str">
        <f>IFERROR(__xludf.DUMMYFUNCTION("""COMPUTED_VALUE"""),"JL. DR. SUTOMO GG. PAK ABU NO. 43")</f>
        <v>JL. DR. SUTOMO GG. PAK ABU NO. 43</v>
      </c>
      <c r="N74" s="16"/>
      <c r="O74" s="16"/>
      <c r="P74" s="16"/>
      <c r="Q74" s="16"/>
      <c r="R74" s="19" t="str">
        <f>IFERROR(__xludf.DUMMYFUNCTION("""COMPUTED_VALUE"""),"ISLAM")</f>
        <v>ISLAM</v>
      </c>
      <c r="S74" s="16" t="str">
        <f>IFERROR(__xludf.DUMMYFUNCTION("""COMPUTED_VALUE"""),"PENSIUN")</f>
        <v>PENSIUN</v>
      </c>
      <c r="T74" s="16"/>
      <c r="U74" s="16" t="str">
        <f>IFERROR(__xludf.DUMMYFUNCTION("""COMPUTED_VALUE"""),"JAGA CUCU")</f>
        <v>JAGA CUCU</v>
      </c>
      <c r="V74" s="21" t="str">
        <f>IFERROR(__xludf.DUMMYFUNCTION("""COMPUTED_VALUE"""),"0811568878")</f>
        <v>0811568878</v>
      </c>
      <c r="W74" s="22"/>
    </row>
    <row r="75" ht="22.5" customHeight="1">
      <c r="A75" s="8"/>
      <c r="B75" s="9">
        <f>IFERROR(__xludf.DUMMYFUNCTION("""COMPUTED_VALUE"""),44952.82355324074)</f>
        <v>44952.82355</v>
      </c>
      <c r="C75" s="9"/>
      <c r="D75" s="10">
        <f>IFERROR(__xludf.DUMMYFUNCTION("""COMPUTED_VALUE"""),44947.0)</f>
        <v>44947</v>
      </c>
      <c r="E75" s="10" t="str">
        <f>IFERROR(__xludf.DUMMYFUNCTION("""COMPUTED_VALUE"""),"01Jan")</f>
        <v>01Jan</v>
      </c>
      <c r="F75" s="10" t="str">
        <f>IFERROR(__xludf.DUMMYFUNCTION("""COMPUTED_VALUE"""),"2023")</f>
        <v>2023</v>
      </c>
      <c r="G75" s="16" t="str">
        <f>IFERROR(__xludf.DUMMYFUNCTION("""COMPUTED_VALUE"""),"KHARISMA RIZKI UTAMA")</f>
        <v>KHARISMA RIZKI UTAMA</v>
      </c>
      <c r="H75" s="17" t="str">
        <f>IFERROR(__xludf.DUMMYFUNCTION("""COMPUTED_VALUE"""),"K9223011118")</f>
        <v>K9223011118</v>
      </c>
      <c r="I75" s="17">
        <f>IFERROR(__xludf.DUMMYFUNCTION("""COMPUTED_VALUE"""),33.0)</f>
        <v>33</v>
      </c>
      <c r="J75" s="17" t="str">
        <f>IFERROR(__xludf.DUMMYFUNCTION("""COMPUTED_VALUE"""),"25-34 tahun")</f>
        <v>25-34 tahun</v>
      </c>
      <c r="K75" s="19">
        <f>IFERROR(__xludf.DUMMYFUNCTION("""COMPUTED_VALUE"""),33945.0)</f>
        <v>33945</v>
      </c>
      <c r="L75" s="19" t="str">
        <f>IFERROR(__xludf.DUMMYFUNCTION("""COMPUTED_VALUE"""),"LAKI-LAKI")</f>
        <v>LAKI-LAKI</v>
      </c>
      <c r="M75" s="16" t="str">
        <f>IFERROR(__xludf.DUMMYFUNCTION("""COMPUTED_VALUE"""),"GG. IKHSAN NO. 15")</f>
        <v>GG. IKHSAN NO. 15</v>
      </c>
      <c r="N75" s="16"/>
      <c r="O75" s="16"/>
      <c r="P75" s="16"/>
      <c r="Q75" s="16"/>
      <c r="R75" s="19" t="str">
        <f>IFERROR(__xludf.DUMMYFUNCTION("""COMPUTED_VALUE"""),"ISLAM")</f>
        <v>ISLAM</v>
      </c>
      <c r="S75" s="16" t="str">
        <f>IFERROR(__xludf.DUMMYFUNCTION("""COMPUTED_VALUE"""),"WIRASWASTA")</f>
        <v>WIRASWASTA</v>
      </c>
      <c r="T75" s="16" t="str">
        <f>IFERROR(__xludf.DUMMYFUNCTION("""COMPUTED_VALUE"""),"KANAN")</f>
        <v>KANAN</v>
      </c>
      <c r="U75" s="16" t="str">
        <f>IFERROR(__xludf.DUMMYFUNCTION("""COMPUTED_VALUE"""),"")</f>
        <v/>
      </c>
      <c r="V75" s="21" t="str">
        <f>IFERROR(__xludf.DUMMYFUNCTION("""COMPUTED_VALUE"""),"08115781118")</f>
        <v>08115781118</v>
      </c>
      <c r="W75" s="22"/>
    </row>
    <row r="76" ht="22.5" customHeight="1">
      <c r="A76" s="25"/>
      <c r="B76" s="26">
        <f>IFERROR(__xludf.DUMMYFUNCTION("""COMPUTED_VALUE"""),44950.536203703705)</f>
        <v>44950.5362</v>
      </c>
      <c r="C76" s="26"/>
      <c r="D76" s="10">
        <f>IFERROR(__xludf.DUMMYFUNCTION("""COMPUTED_VALUE"""),44947.0)</f>
        <v>44947</v>
      </c>
      <c r="E76" s="10" t="str">
        <f>IFERROR(__xludf.DUMMYFUNCTION("""COMPUTED_VALUE"""),"01Jan")</f>
        <v>01Jan</v>
      </c>
      <c r="F76" s="10" t="str">
        <f>IFERROR(__xludf.DUMMYFUNCTION("""COMPUTED_VALUE"""),"2023")</f>
        <v>2023</v>
      </c>
      <c r="G76" s="16" t="str">
        <f>IFERROR(__xludf.DUMMYFUNCTION("""COMPUTED_VALUE"""),"M. ABDUL LATIEF LAZUARDI")</f>
        <v>M. ABDUL LATIEF LAZUARDI</v>
      </c>
      <c r="H76" s="17" t="str">
        <f>IFERROR(__xludf.DUMMYFUNCTION("""COMPUTED_VALUE"""),"M0023019835")</f>
        <v>M0023019835</v>
      </c>
      <c r="I76" s="17">
        <f>IFERROR(__xludf.DUMMYFUNCTION("""COMPUTED_VALUE"""),25.0)</f>
        <v>25</v>
      </c>
      <c r="J76" s="17" t="str">
        <f>IFERROR(__xludf.DUMMYFUNCTION("""COMPUTED_VALUE"""),"25-34 tahun")</f>
        <v>25-34 tahun</v>
      </c>
      <c r="K76" s="19">
        <f>IFERROR(__xludf.DUMMYFUNCTION("""COMPUTED_VALUE"""),36767.0)</f>
        <v>36767</v>
      </c>
      <c r="L76" s="19" t="str">
        <f>IFERROR(__xludf.DUMMYFUNCTION("""COMPUTED_VALUE"""),"LAKI-LAKI")</f>
        <v>LAKI-LAKI</v>
      </c>
      <c r="M76" s="16" t="str">
        <f>IFERROR(__xludf.DUMMYFUNCTION("""COMPUTED_VALUE"""),"JL. TABRANI AHMAD")</f>
        <v>JL. TABRANI AHMAD</v>
      </c>
      <c r="N76" s="16"/>
      <c r="O76" s="16"/>
      <c r="P76" s="16"/>
      <c r="Q76" s="16"/>
      <c r="R76" s="19" t="str">
        <f>IFERROR(__xludf.DUMMYFUNCTION("""COMPUTED_VALUE"""),"ISLAM")</f>
        <v>ISLAM</v>
      </c>
      <c r="S76" s="16" t="str">
        <f>IFERROR(__xludf.DUMMYFUNCTION("""COMPUTED_VALUE"""),"PELAJAR/MAHASISWA")</f>
        <v>PELAJAR/MAHASISWA</v>
      </c>
      <c r="T76" s="16" t="str">
        <f>IFERROR(__xludf.DUMMYFUNCTION("""COMPUTED_VALUE"""),"PINGGANG")</f>
        <v>PINGGANG</v>
      </c>
      <c r="U76" s="16" t="str">
        <f>IFERROR(__xludf.DUMMYFUNCTION("""COMPUTED_VALUE"""),"-")</f>
        <v>-</v>
      </c>
      <c r="V76" s="21" t="str">
        <f>IFERROR(__xludf.DUMMYFUNCTION("""COMPUTED_VALUE"""),"085950099835")</f>
        <v>085950099835</v>
      </c>
      <c r="W76" s="27"/>
    </row>
    <row r="77" ht="22.5" customHeight="1">
      <c r="A77" s="25"/>
      <c r="B77" s="26">
        <f>IFERROR(__xludf.DUMMYFUNCTION("""COMPUTED_VALUE"""),45011.07816873843)</f>
        <v>45011.07817</v>
      </c>
      <c r="C77" s="26"/>
      <c r="D77" s="10">
        <f>IFERROR(__xludf.DUMMYFUNCTION("""COMPUTED_VALUE"""),44947.0)</f>
        <v>44947</v>
      </c>
      <c r="E77" s="10" t="str">
        <f>IFERROR(__xludf.DUMMYFUNCTION("""COMPUTED_VALUE"""),"01Jan")</f>
        <v>01Jan</v>
      </c>
      <c r="F77" s="10" t="str">
        <f>IFERROR(__xludf.DUMMYFUNCTION("""COMPUTED_VALUE"""),"2023")</f>
        <v>2023</v>
      </c>
      <c r="G77" s="16" t="str">
        <f>IFERROR(__xludf.DUMMYFUNCTION("""COMPUTED_VALUE"""),"SUPINI")</f>
        <v>SUPINI</v>
      </c>
      <c r="H77" s="17" t="str">
        <f>IFERROR(__xludf.DUMMYFUNCTION("""COMPUTED_VALUE"""),"S6923014949")</f>
        <v>S6923014949</v>
      </c>
      <c r="I77" s="17">
        <f>IFERROR(__xludf.DUMMYFUNCTION("""COMPUTED_VALUE"""),56.0)</f>
        <v>56</v>
      </c>
      <c r="J77" s="17" t="str">
        <f>IFERROR(__xludf.DUMMYFUNCTION("""COMPUTED_VALUE"""),"&gt; 44 tahun")</f>
        <v>&gt; 44 tahun</v>
      </c>
      <c r="K77" s="19">
        <f>IFERROR(__xludf.DUMMYFUNCTION("""COMPUTED_VALUE"""),25556.0)</f>
        <v>25556</v>
      </c>
      <c r="L77" s="19" t="str">
        <f>IFERROR(__xludf.DUMMYFUNCTION("""COMPUTED_VALUE"""),"PEREMPUAN")</f>
        <v>PEREMPUAN</v>
      </c>
      <c r="M77" s="16" t="str">
        <f>IFERROR(__xludf.DUMMYFUNCTION("""COMPUTED_VALUE"""),"JL. PROF. M. YAMIN GG. USAHA BARU III NO. 4")</f>
        <v>JL. PROF. M. YAMIN GG. USAHA BARU III NO. 4</v>
      </c>
      <c r="N77" s="16"/>
      <c r="O77" s="16"/>
      <c r="P77" s="16"/>
      <c r="Q77" s="16"/>
      <c r="R77" s="19" t="str">
        <f>IFERROR(__xludf.DUMMYFUNCTION("""COMPUTED_VALUE"""),"ISLAM")</f>
        <v>ISLAM</v>
      </c>
      <c r="S77" s="16" t="str">
        <f>IFERROR(__xludf.DUMMYFUNCTION("""COMPUTED_VALUE"""),"RUMAH TANGGA")</f>
        <v>RUMAH TANGGA</v>
      </c>
      <c r="T77" s="16" t="str">
        <f>IFERROR(__xludf.DUMMYFUNCTION("""COMPUTED_VALUE"""),"KAKI")</f>
        <v>KAKI</v>
      </c>
      <c r="U77" s="16" t="str">
        <f>IFERROR(__xludf.DUMMYFUNCTION("""COMPUTED_VALUE"""),"-")</f>
        <v>-</v>
      </c>
      <c r="V77" s="21" t="str">
        <f>IFERROR(__xludf.DUMMYFUNCTION("""COMPUTED_VALUE"""),"0895335634949")</f>
        <v>0895335634949</v>
      </c>
      <c r="W77" s="27"/>
    </row>
    <row r="78" ht="22.5" customHeight="1">
      <c r="A78" s="8"/>
      <c r="B78" s="9">
        <f>IFERROR(__xludf.DUMMYFUNCTION("""COMPUTED_VALUE"""),45011.131553287036)</f>
        <v>45011.13155</v>
      </c>
      <c r="C78" s="9"/>
      <c r="D78" s="10">
        <f>IFERROR(__xludf.DUMMYFUNCTION("""COMPUTED_VALUE"""),44947.0)</f>
        <v>44947</v>
      </c>
      <c r="E78" s="10" t="str">
        <f>IFERROR(__xludf.DUMMYFUNCTION("""COMPUTED_VALUE"""),"01Jan")</f>
        <v>01Jan</v>
      </c>
      <c r="F78" s="10" t="str">
        <f>IFERROR(__xludf.DUMMYFUNCTION("""COMPUTED_VALUE"""),"2023")</f>
        <v>2023</v>
      </c>
      <c r="G78" s="16" t="str">
        <f>IFERROR(__xludf.DUMMYFUNCTION("""COMPUTED_VALUE"""),"TUKIJO")</f>
        <v>TUKIJO</v>
      </c>
      <c r="H78" s="17" t="str">
        <f>IFERROR(__xludf.DUMMYFUNCTION("""COMPUTED_VALUE"""),"T5523016407")</f>
        <v>T5523016407</v>
      </c>
      <c r="I78" s="17">
        <f>IFERROR(__xludf.DUMMYFUNCTION("""COMPUTED_VALUE"""),70.0)</f>
        <v>70</v>
      </c>
      <c r="J78" s="17" t="str">
        <f>IFERROR(__xludf.DUMMYFUNCTION("""COMPUTED_VALUE"""),"&gt; 44 tahun")</f>
        <v>&gt; 44 tahun</v>
      </c>
      <c r="K78" s="19">
        <f>IFERROR(__xludf.DUMMYFUNCTION("""COMPUTED_VALUE"""),20451.0)</f>
        <v>20451</v>
      </c>
      <c r="L78" s="19" t="str">
        <f>IFERROR(__xludf.DUMMYFUNCTION("""COMPUTED_VALUE"""),"LAKI-LAKI")</f>
        <v>LAKI-LAKI</v>
      </c>
      <c r="M78" s="16" t="str">
        <f>IFERROR(__xludf.DUMMYFUNCTION("""COMPUTED_VALUE"""),"JL. HUSIN HAMZAH GG. MANDIRI PERMAI")</f>
        <v>JL. HUSIN HAMZAH GG. MANDIRI PERMAI</v>
      </c>
      <c r="N78" s="16"/>
      <c r="O78" s="16"/>
      <c r="P78" s="16"/>
      <c r="Q78" s="16"/>
      <c r="R78" s="19" t="str">
        <f>IFERROR(__xludf.DUMMYFUNCTION("""COMPUTED_VALUE"""),"ISLAM")</f>
        <v>ISLAM</v>
      </c>
      <c r="S78" s="16" t="str">
        <f>IFERROR(__xludf.DUMMYFUNCTION("""COMPUTED_VALUE"""),"PENSIUN")</f>
        <v>PENSIUN</v>
      </c>
      <c r="T78" s="16" t="str">
        <f>IFERROR(__xludf.DUMMYFUNCTION("""COMPUTED_VALUE"""),"BAHU")</f>
        <v>BAHU</v>
      </c>
      <c r="U78" s="16" t="str">
        <f>IFERROR(__xludf.DUMMYFUNCTION("""COMPUTED_VALUE"""),"")</f>
        <v/>
      </c>
      <c r="V78" s="21" t="str">
        <f>IFERROR(__xludf.DUMMYFUNCTION("""COMPUTED_VALUE"""),"081345726407")</f>
        <v>081345726407</v>
      </c>
      <c r="W78" s="22"/>
    </row>
    <row r="79" ht="22.5" customHeight="1">
      <c r="A79" s="8"/>
      <c r="B79" s="9">
        <f>IFERROR(__xludf.DUMMYFUNCTION("""COMPUTED_VALUE"""),44937.80181712963)</f>
        <v>44937.80182</v>
      </c>
      <c r="C79" s="9"/>
      <c r="D79" s="10">
        <f>IFERROR(__xludf.DUMMYFUNCTION("""COMPUTED_VALUE"""),44949.0)</f>
        <v>44949</v>
      </c>
      <c r="E79" s="10" t="str">
        <f>IFERROR(__xludf.DUMMYFUNCTION("""COMPUTED_VALUE"""),"01Jan")</f>
        <v>01Jan</v>
      </c>
      <c r="F79" s="10" t="str">
        <f>IFERROR(__xludf.DUMMYFUNCTION("""COMPUTED_VALUE"""),"2023")</f>
        <v>2023</v>
      </c>
      <c r="G79" s="16" t="str">
        <f>IFERROR(__xludf.DUMMYFUNCTION("""COMPUTED_VALUE"""),"FAHRIZAL")</f>
        <v>FAHRIZAL</v>
      </c>
      <c r="H79" s="17" t="str">
        <f>IFERROR(__xludf.DUMMYFUNCTION("""COMPUTED_VALUE"""),"F7023014230")</f>
        <v>F7023014230</v>
      </c>
      <c r="I79" s="17">
        <f>IFERROR(__xludf.DUMMYFUNCTION("""COMPUTED_VALUE"""),55.0)</f>
        <v>55</v>
      </c>
      <c r="J79" s="17" t="str">
        <f>IFERROR(__xludf.DUMMYFUNCTION("""COMPUTED_VALUE"""),"&gt; 44 tahun")</f>
        <v>&gt; 44 tahun</v>
      </c>
      <c r="K79" s="19">
        <f>IFERROR(__xludf.DUMMYFUNCTION("""COMPUTED_VALUE"""),25899.0)</f>
        <v>25899</v>
      </c>
      <c r="L79" s="19" t="str">
        <f>IFERROR(__xludf.DUMMYFUNCTION("""COMPUTED_VALUE"""),"LAKI-LAKI")</f>
        <v>LAKI-LAKI</v>
      </c>
      <c r="M79" s="16" t="str">
        <f>IFERROR(__xludf.DUMMYFUNCTION("""COMPUTED_VALUE"""),"JL AMPERA KOMP ZAL KHATULISTIWA NO B12")</f>
        <v>JL AMPERA KOMP ZAL KHATULISTIWA NO B12</v>
      </c>
      <c r="N79" s="16"/>
      <c r="O79" s="16"/>
      <c r="P79" s="16"/>
      <c r="Q79" s="16"/>
      <c r="R79" s="19" t="str">
        <f>IFERROR(__xludf.DUMMYFUNCTION("""COMPUTED_VALUE"""),"ISLAM")</f>
        <v>ISLAM</v>
      </c>
      <c r="S79" s="16" t="str">
        <f>IFERROR(__xludf.DUMMYFUNCTION("""COMPUTED_VALUE"""),"SWASTA")</f>
        <v>SWASTA</v>
      </c>
      <c r="T79" s="16"/>
      <c r="U79" s="16" t="str">
        <f>IFERROR(__xludf.DUMMYFUNCTION("""COMPUTED_VALUE"""),"SEPEDA")</f>
        <v>SEPEDA</v>
      </c>
      <c r="V79" s="21" t="str">
        <f>IFERROR(__xludf.DUMMYFUNCTION("""COMPUTED_VALUE"""),"082213414230")</f>
        <v>082213414230</v>
      </c>
      <c r="W79" s="22"/>
    </row>
    <row r="80" ht="22.5" customHeight="1">
      <c r="A80" s="23"/>
      <c r="B80" s="24">
        <f>IFERROR(__xludf.DUMMYFUNCTION("""COMPUTED_VALUE"""),44931.624606481484)</f>
        <v>44931.62461</v>
      </c>
      <c r="C80" s="24"/>
      <c r="D80" s="10">
        <f>IFERROR(__xludf.DUMMYFUNCTION("""COMPUTED_VALUE"""),44949.0)</f>
        <v>44949</v>
      </c>
      <c r="E80" s="10" t="str">
        <f>IFERROR(__xludf.DUMMYFUNCTION("""COMPUTED_VALUE"""),"01Jan")</f>
        <v>01Jan</v>
      </c>
      <c r="F80" s="10" t="str">
        <f>IFERROR(__xludf.DUMMYFUNCTION("""COMPUTED_VALUE"""),"2023")</f>
        <v>2023</v>
      </c>
      <c r="G80" s="16" t="str">
        <f>IFERROR(__xludf.DUMMYFUNCTION("""COMPUTED_VALUE"""),"INNOSENSIUS SILA")</f>
        <v>INNOSENSIUS SILA</v>
      </c>
      <c r="H80" s="17" t="str">
        <f>IFERROR(__xludf.DUMMYFUNCTION("""COMPUTED_VALUE"""),"I0123017652")</f>
        <v>I0123017652</v>
      </c>
      <c r="I80" s="17">
        <f>IFERROR(__xludf.DUMMYFUNCTION("""COMPUTED_VALUE"""),25.0)</f>
        <v>25</v>
      </c>
      <c r="J80" s="17" t="str">
        <f>IFERROR(__xludf.DUMMYFUNCTION("""COMPUTED_VALUE"""),"25-34 tahun")</f>
        <v>25-34 tahun</v>
      </c>
      <c r="K80" s="19">
        <f>IFERROR(__xludf.DUMMYFUNCTION("""COMPUTED_VALUE"""),36943.0)</f>
        <v>36943</v>
      </c>
      <c r="L80" s="19" t="str">
        <f>IFERROR(__xludf.DUMMYFUNCTION("""COMPUTED_VALUE"""),"LAKI-LAKI")</f>
        <v>LAKI-LAKI</v>
      </c>
      <c r="M80" s="16" t="str">
        <f>IFERROR(__xludf.DUMMYFUNCTION("""COMPUTED_VALUE"""),"JL SEPAKAT 2")</f>
        <v>JL SEPAKAT 2</v>
      </c>
      <c r="N80" s="16"/>
      <c r="O80" s="16"/>
      <c r="P80" s="16"/>
      <c r="Q80" s="16"/>
      <c r="R80" s="19" t="str">
        <f>IFERROR(__xludf.DUMMYFUNCTION("""COMPUTED_VALUE"""),"KATOLIK")</f>
        <v>KATOLIK</v>
      </c>
      <c r="S80" s="16" t="str">
        <f>IFERROR(__xludf.DUMMYFUNCTION("""COMPUTED_VALUE"""),"PELAJAR/MAHASISWA")</f>
        <v>PELAJAR/MAHASISWA</v>
      </c>
      <c r="T80" s="16" t="str">
        <f>IFERROR(__xludf.DUMMYFUNCTION("""COMPUTED_VALUE"""),"KIRI")</f>
        <v>KIRI</v>
      </c>
      <c r="U80" s="16" t="str">
        <f>IFERROR(__xludf.DUMMYFUNCTION("""COMPUTED_VALUE"""),"-")</f>
        <v>-</v>
      </c>
      <c r="V80" s="21" t="str">
        <f>IFERROR(__xludf.DUMMYFUNCTION("""COMPUTED_VALUE"""),"081256617652")</f>
        <v>081256617652</v>
      </c>
      <c r="W80" s="22"/>
    </row>
    <row r="81" ht="22.5" customHeight="1">
      <c r="A81" s="8"/>
      <c r="B81" s="9">
        <f>IFERROR(__xludf.DUMMYFUNCTION("""COMPUTED_VALUE"""),45006.94357319444)</f>
        <v>45006.94357</v>
      </c>
      <c r="C81" s="9"/>
      <c r="D81" s="10">
        <f>IFERROR(__xludf.DUMMYFUNCTION("""COMPUTED_VALUE"""),44949.0)</f>
        <v>44949</v>
      </c>
      <c r="E81" s="10" t="str">
        <f>IFERROR(__xludf.DUMMYFUNCTION("""COMPUTED_VALUE"""),"01Jan")</f>
        <v>01Jan</v>
      </c>
      <c r="F81" s="10" t="str">
        <f>IFERROR(__xludf.DUMMYFUNCTION("""COMPUTED_VALUE"""),"2023")</f>
        <v>2023</v>
      </c>
      <c r="G81" s="16" t="str">
        <f>IFERROR(__xludf.DUMMYFUNCTION("""COMPUTED_VALUE"""),"PRIMA FARRET")</f>
        <v>PRIMA FARRET</v>
      </c>
      <c r="H81" s="17" t="str">
        <f>IFERROR(__xludf.DUMMYFUNCTION("""COMPUTED_VALUE"""),"P8223015614")</f>
        <v>P8223015614</v>
      </c>
      <c r="I81" s="17">
        <f>IFERROR(__xludf.DUMMYFUNCTION("""COMPUTED_VALUE"""),43.0)</f>
        <v>43</v>
      </c>
      <c r="J81" s="17" t="str">
        <f>IFERROR(__xludf.DUMMYFUNCTION("""COMPUTED_VALUE"""),"35-44 tahun")</f>
        <v>35-44 tahun</v>
      </c>
      <c r="K81" s="19">
        <f>IFERROR(__xludf.DUMMYFUNCTION("""COMPUTED_VALUE"""),30216.0)</f>
        <v>30216</v>
      </c>
      <c r="L81" s="19" t="str">
        <f>IFERROR(__xludf.DUMMYFUNCTION("""COMPUTED_VALUE"""),"LAKI-LAKI")</f>
        <v>LAKI-LAKI</v>
      </c>
      <c r="M81" s="16" t="str">
        <f>IFERROR(__xludf.DUMMYFUNCTION("""COMPUTED_VALUE"""),"JL KARYA BARU 7 NO 31")</f>
        <v>JL KARYA BARU 7 NO 31</v>
      </c>
      <c r="N81" s="16"/>
      <c r="O81" s="16"/>
      <c r="P81" s="16"/>
      <c r="Q81" s="16"/>
      <c r="R81" s="19" t="str">
        <f>IFERROR(__xludf.DUMMYFUNCTION("""COMPUTED_VALUE"""),"ISLAM")</f>
        <v>ISLAM</v>
      </c>
      <c r="S81" s="16" t="str">
        <f>IFERROR(__xludf.DUMMYFUNCTION("""COMPUTED_VALUE"""),"ASN")</f>
        <v>ASN</v>
      </c>
      <c r="T81" s="16" t="str">
        <f>IFERROR(__xludf.DUMMYFUNCTION("""COMPUTED_VALUE"""),"SIKU")</f>
        <v>SIKU</v>
      </c>
      <c r="U81" s="16" t="str">
        <f>IFERROR(__xludf.DUMMYFUNCTION("""COMPUTED_VALUE"""),"GYM")</f>
        <v>GYM</v>
      </c>
      <c r="V81" s="21" t="str">
        <f>IFERROR(__xludf.DUMMYFUNCTION("""COMPUTED_VALUE"""),"08568975614")</f>
        <v>08568975614</v>
      </c>
      <c r="W81" s="22"/>
    </row>
    <row r="82" ht="22.5" customHeight="1">
      <c r="A82" s="8"/>
      <c r="B82" s="9">
        <f>IFERROR(__xludf.DUMMYFUNCTION("""COMPUTED_VALUE"""),45006.949206226855)</f>
        <v>45006.94921</v>
      </c>
      <c r="C82" s="9"/>
      <c r="D82" s="10">
        <f>IFERROR(__xludf.DUMMYFUNCTION("""COMPUTED_VALUE"""),44949.0)</f>
        <v>44949</v>
      </c>
      <c r="E82" s="10" t="str">
        <f>IFERROR(__xludf.DUMMYFUNCTION("""COMPUTED_VALUE"""),"01Jan")</f>
        <v>01Jan</v>
      </c>
      <c r="F82" s="10" t="str">
        <f>IFERROR(__xludf.DUMMYFUNCTION("""COMPUTED_VALUE"""),"2023")</f>
        <v>2023</v>
      </c>
      <c r="G82" s="16" t="str">
        <f>IFERROR(__xludf.DUMMYFUNCTION("""COMPUTED_VALUE"""),"SRI SURYATI")</f>
        <v>SRI SURYATI</v>
      </c>
      <c r="H82" s="17" t="str">
        <f>IFERROR(__xludf.DUMMYFUNCTION("""COMPUTED_VALUE"""),"S5723017882")</f>
        <v>S5723017882</v>
      </c>
      <c r="I82" s="17">
        <f>IFERROR(__xludf.DUMMYFUNCTION("""COMPUTED_VALUE"""),69.0)</f>
        <v>69</v>
      </c>
      <c r="J82" s="17" t="str">
        <f>IFERROR(__xludf.DUMMYFUNCTION("""COMPUTED_VALUE"""),"&gt; 44 tahun")</f>
        <v>&gt; 44 tahun</v>
      </c>
      <c r="K82" s="19">
        <f>IFERROR(__xludf.DUMMYFUNCTION("""COMPUTED_VALUE"""),20903.0)</f>
        <v>20903</v>
      </c>
      <c r="L82" s="19" t="str">
        <f>IFERROR(__xludf.DUMMYFUNCTION("""COMPUTED_VALUE"""),"PEREMPUAN")</f>
        <v>PEREMPUAN</v>
      </c>
      <c r="M82" s="16" t="str">
        <f>IFERROR(__xludf.DUMMYFUNCTION("""COMPUTED_VALUE"""),"JL. ALIANYANG KOMP. PERTANIAN")</f>
        <v>JL. ALIANYANG KOMP. PERTANIAN</v>
      </c>
      <c r="N82" s="16"/>
      <c r="O82" s="16"/>
      <c r="P82" s="16"/>
      <c r="Q82" s="16"/>
      <c r="R82" s="19" t="str">
        <f>IFERROR(__xludf.DUMMYFUNCTION("""COMPUTED_VALUE"""),"ISLAM")</f>
        <v>ISLAM</v>
      </c>
      <c r="S82" s="16" t="str">
        <f>IFERROR(__xludf.DUMMYFUNCTION("""COMPUTED_VALUE"""),"PENSIUN")</f>
        <v>PENSIUN</v>
      </c>
      <c r="T82" s="16" t="str">
        <f>IFERROR(__xludf.DUMMYFUNCTION("""COMPUTED_VALUE"""),"LENGAN")</f>
        <v>LENGAN</v>
      </c>
      <c r="U82" s="16" t="str">
        <f>IFERROR(__xludf.DUMMYFUNCTION("""COMPUTED_VALUE"""),"MASAK")</f>
        <v>MASAK</v>
      </c>
      <c r="V82" s="21" t="str">
        <f>IFERROR(__xludf.DUMMYFUNCTION("""COMPUTED_VALUE"""),"082254257882")</f>
        <v>082254257882</v>
      </c>
      <c r="W82" s="22"/>
    </row>
    <row r="83" ht="22.5" customHeight="1">
      <c r="A83" s="25"/>
      <c r="B83" s="26">
        <f>IFERROR(__xludf.DUMMYFUNCTION("""COMPUTED_VALUE"""),45006.61086997685)</f>
        <v>45006.61087</v>
      </c>
      <c r="C83" s="26"/>
      <c r="D83" s="10">
        <f>IFERROR(__xludf.DUMMYFUNCTION("""COMPUTED_VALUE"""),44949.0)</f>
        <v>44949</v>
      </c>
      <c r="E83" s="10" t="str">
        <f>IFERROR(__xludf.DUMMYFUNCTION("""COMPUTED_VALUE"""),"01Jan")</f>
        <v>01Jan</v>
      </c>
      <c r="F83" s="10" t="str">
        <f>IFERROR(__xludf.DUMMYFUNCTION("""COMPUTED_VALUE"""),"2023")</f>
        <v>2023</v>
      </c>
      <c r="G83" s="16" t="str">
        <f>IFERROR(__xludf.DUMMYFUNCTION("""COMPUTED_VALUE"""),"SUADI")</f>
        <v>SUADI</v>
      </c>
      <c r="H83" s="17" t="str">
        <f>IFERROR(__xludf.DUMMYFUNCTION("""COMPUTED_VALUE"""),"S6823014569")</f>
        <v>S6823014569</v>
      </c>
      <c r="I83" s="17">
        <f>IFERROR(__xludf.DUMMYFUNCTION("""COMPUTED_VALUE"""),58.0)</f>
        <v>58</v>
      </c>
      <c r="J83" s="17" t="str">
        <f>IFERROR(__xludf.DUMMYFUNCTION("""COMPUTED_VALUE"""),"&gt; 44 tahun")</f>
        <v>&gt; 44 tahun</v>
      </c>
      <c r="K83" s="19">
        <f>IFERROR(__xludf.DUMMYFUNCTION("""COMPUTED_VALUE"""),24931.0)</f>
        <v>24931</v>
      </c>
      <c r="L83" s="19" t="str">
        <f>IFERROR(__xludf.DUMMYFUNCTION("""COMPUTED_VALUE"""),"LAKI-LAKI")</f>
        <v>LAKI-LAKI</v>
      </c>
      <c r="M83" s="16" t="str">
        <f>IFERROR(__xludf.DUMMYFUNCTION("""COMPUTED_VALUE"""),"JL. M. YAMIN GG. BINA KARYA NO. 21A")</f>
        <v>JL. M. YAMIN GG. BINA KARYA NO. 21A</v>
      </c>
      <c r="N83" s="16"/>
      <c r="O83" s="16"/>
      <c r="P83" s="16"/>
      <c r="Q83" s="16"/>
      <c r="R83" s="19" t="str">
        <f>IFERROR(__xludf.DUMMYFUNCTION("""COMPUTED_VALUE"""),"ISLAM")</f>
        <v>ISLAM</v>
      </c>
      <c r="S83" s="16" t="str">
        <f>IFERROR(__xludf.DUMMYFUNCTION("""COMPUTED_VALUE"""),"")</f>
        <v/>
      </c>
      <c r="T83" s="16" t="str">
        <f>IFERROR(__xludf.DUMMYFUNCTION("""COMPUTED_VALUE"""),"STROKE")</f>
        <v>STROKE</v>
      </c>
      <c r="U83" s="16" t="str">
        <f>IFERROR(__xludf.DUMMYFUNCTION("""COMPUTED_VALUE"""),"")</f>
        <v/>
      </c>
      <c r="V83" s="21" t="str">
        <f>IFERROR(__xludf.DUMMYFUNCTION("""COMPUTED_VALUE"""),"081254814569")</f>
        <v>081254814569</v>
      </c>
      <c r="W83" s="27"/>
    </row>
    <row r="84" ht="22.5" customHeight="1">
      <c r="A84" s="8"/>
      <c r="B84" s="9">
        <f>IFERROR(__xludf.DUMMYFUNCTION("""COMPUTED_VALUE"""),45011.15101350694)</f>
        <v>45011.15101</v>
      </c>
      <c r="C84" s="9"/>
      <c r="D84" s="10">
        <f>IFERROR(__xludf.DUMMYFUNCTION("""COMPUTED_VALUE"""),44949.0)</f>
        <v>44949</v>
      </c>
      <c r="E84" s="10" t="str">
        <f>IFERROR(__xludf.DUMMYFUNCTION("""COMPUTED_VALUE"""),"01Jan")</f>
        <v>01Jan</v>
      </c>
      <c r="F84" s="10" t="str">
        <f>IFERROR(__xludf.DUMMYFUNCTION("""COMPUTED_VALUE"""),"2023")</f>
        <v>2023</v>
      </c>
      <c r="G84" s="16" t="str">
        <f>IFERROR(__xludf.DUMMYFUNCTION("""COMPUTED_VALUE"""),"TRIANI SEPTI")</f>
        <v>TRIANI SEPTI</v>
      </c>
      <c r="H84" s="17" t="str">
        <f>IFERROR(__xludf.DUMMYFUNCTION("""COMPUTED_VALUE"""),"T9523019991")</f>
        <v>T9523019991</v>
      </c>
      <c r="I84" s="17">
        <f>IFERROR(__xludf.DUMMYFUNCTION("""COMPUTED_VALUE"""),30.0)</f>
        <v>30</v>
      </c>
      <c r="J84" s="17" t="str">
        <f>IFERROR(__xludf.DUMMYFUNCTION("""COMPUTED_VALUE"""),"25-34 tahun")</f>
        <v>25-34 tahun</v>
      </c>
      <c r="K84" s="19">
        <f>IFERROR(__xludf.DUMMYFUNCTION("""COMPUTED_VALUE"""),34994.0)</f>
        <v>34994</v>
      </c>
      <c r="L84" s="19" t="str">
        <f>IFERROR(__xludf.DUMMYFUNCTION("""COMPUTED_VALUE"""),"PEREMPUAN")</f>
        <v>PEREMPUAN</v>
      </c>
      <c r="M84" s="16" t="str">
        <f>IFERROR(__xludf.DUMMYFUNCTION("""COMPUTED_VALUE"""),"JL. SERDAM")</f>
        <v>JL. SERDAM</v>
      </c>
      <c r="N84" s="16"/>
      <c r="O84" s="16"/>
      <c r="P84" s="16"/>
      <c r="Q84" s="16"/>
      <c r="R84" s="19" t="str">
        <f>IFERROR(__xludf.DUMMYFUNCTION("""COMPUTED_VALUE"""),"ISLAM")</f>
        <v>ISLAM</v>
      </c>
      <c r="S84" s="16" t="str">
        <f>IFERROR(__xludf.DUMMYFUNCTION("""COMPUTED_VALUE"""),"ASN")</f>
        <v>ASN</v>
      </c>
      <c r="T84" s="16" t="str">
        <f>IFERROR(__xludf.DUMMYFUNCTION("""COMPUTED_VALUE"""),"BAHU")</f>
        <v>BAHU</v>
      </c>
      <c r="U84" s="16" t="str">
        <f>IFERROR(__xludf.DUMMYFUNCTION("""COMPUTED_VALUE"""),"")</f>
        <v/>
      </c>
      <c r="V84" s="21" t="str">
        <f>IFERROR(__xludf.DUMMYFUNCTION("""COMPUTED_VALUE"""),"081312829991")</f>
        <v>081312829991</v>
      </c>
      <c r="W84" s="22"/>
    </row>
    <row r="85" ht="22.5" customHeight="1">
      <c r="A85" s="23"/>
      <c r="B85" s="24">
        <f>IFERROR(__xludf.DUMMYFUNCTION("""COMPUTED_VALUE"""),45010.57534383102)</f>
        <v>45010.57534</v>
      </c>
      <c r="C85" s="24"/>
      <c r="D85" s="10">
        <f>IFERROR(__xludf.DUMMYFUNCTION("""COMPUTED_VALUE"""),44949.0)</f>
        <v>44949</v>
      </c>
      <c r="E85" s="10" t="str">
        <f>IFERROR(__xludf.DUMMYFUNCTION("""COMPUTED_VALUE"""),"01Jan")</f>
        <v>01Jan</v>
      </c>
      <c r="F85" s="10" t="str">
        <f>IFERROR(__xludf.DUMMYFUNCTION("""COMPUTED_VALUE"""),"2023")</f>
        <v>2023</v>
      </c>
      <c r="G85" s="16" t="str">
        <f>IFERROR(__xludf.DUMMYFUNCTION("""COMPUTED_VALUE"""),"YUDHI PONCA MANALU")</f>
        <v>YUDHI PONCA MANALU</v>
      </c>
      <c r="H85" s="17" t="str">
        <f>IFERROR(__xludf.DUMMYFUNCTION("""COMPUTED_VALUE"""),"Y8823015888")</f>
        <v>Y8823015888</v>
      </c>
      <c r="I85" s="17">
        <f>IFERROR(__xludf.DUMMYFUNCTION("""COMPUTED_VALUE"""),37.0)</f>
        <v>37</v>
      </c>
      <c r="J85" s="17" t="str">
        <f>IFERROR(__xludf.DUMMYFUNCTION("""COMPUTED_VALUE"""),"35-44 tahun")</f>
        <v>35-44 tahun</v>
      </c>
      <c r="K85" s="19">
        <f>IFERROR(__xludf.DUMMYFUNCTION("""COMPUTED_VALUE"""),32329.0)</f>
        <v>32329</v>
      </c>
      <c r="L85" s="19" t="str">
        <f>IFERROR(__xludf.DUMMYFUNCTION("""COMPUTED_VALUE"""),"LAKI-LAKI")</f>
        <v>LAKI-LAKI</v>
      </c>
      <c r="M85" s="16" t="str">
        <f>IFERROR(__xludf.DUMMYFUNCTION("""COMPUTED_VALUE"""),"JL. PANCASILA GG. WASPADA")</f>
        <v>JL. PANCASILA GG. WASPADA</v>
      </c>
      <c r="N85" s="16"/>
      <c r="O85" s="16"/>
      <c r="P85" s="16"/>
      <c r="Q85" s="16"/>
      <c r="R85" s="19" t="str">
        <f>IFERROR(__xludf.DUMMYFUNCTION("""COMPUTED_VALUE"""),"LAINNYA")</f>
        <v>LAINNYA</v>
      </c>
      <c r="S85" s="16" t="str">
        <f>IFERROR(__xludf.DUMMYFUNCTION("""COMPUTED_VALUE"""),"TNI/POLRI")</f>
        <v>TNI/POLRI</v>
      </c>
      <c r="T85" s="16" t="str">
        <f>IFERROR(__xludf.DUMMYFUNCTION("""COMPUTED_VALUE"""),"PINGGANG")</f>
        <v>PINGGANG</v>
      </c>
      <c r="U85" s="16" t="str">
        <f>IFERROR(__xludf.DUMMYFUNCTION("""COMPUTED_VALUE"""),"")</f>
        <v/>
      </c>
      <c r="V85" s="21" t="str">
        <f>IFERROR(__xludf.DUMMYFUNCTION("""COMPUTED_VALUE"""),"082357365888")</f>
        <v>082357365888</v>
      </c>
      <c r="W85" s="22"/>
    </row>
    <row r="86" ht="22.5" customHeight="1">
      <c r="A86" s="8"/>
      <c r="B86" s="9">
        <f>IFERROR(__xludf.DUMMYFUNCTION("""COMPUTED_VALUE"""),44952.810844907406)</f>
        <v>44952.81084</v>
      </c>
      <c r="C86" s="9"/>
      <c r="D86" s="10">
        <f>IFERROR(__xludf.DUMMYFUNCTION("""COMPUTED_VALUE"""),44950.0)</f>
        <v>44950</v>
      </c>
      <c r="E86" s="10" t="str">
        <f>IFERROR(__xludf.DUMMYFUNCTION("""COMPUTED_VALUE"""),"01Jan")</f>
        <v>01Jan</v>
      </c>
      <c r="F86" s="10" t="str">
        <f>IFERROR(__xludf.DUMMYFUNCTION("""COMPUTED_VALUE"""),"2023")</f>
        <v>2023</v>
      </c>
      <c r="G86" s="16" t="str">
        <f>IFERROR(__xludf.DUMMYFUNCTION("""COMPUTED_VALUE"""),"DEDE ALFIANDI")</f>
        <v>DEDE ALFIANDI</v>
      </c>
      <c r="H86" s="17" t="str">
        <f>IFERROR(__xludf.DUMMYFUNCTION("""COMPUTED_VALUE"""),"D8923011717")</f>
        <v>D8923011717</v>
      </c>
      <c r="I86" s="17">
        <f>IFERROR(__xludf.DUMMYFUNCTION("""COMPUTED_VALUE"""),37.0)</f>
        <v>37</v>
      </c>
      <c r="J86" s="17" t="str">
        <f>IFERROR(__xludf.DUMMYFUNCTION("""COMPUTED_VALUE"""),"35-44 tahun")</f>
        <v>35-44 tahun</v>
      </c>
      <c r="K86" s="19">
        <f>IFERROR(__xludf.DUMMYFUNCTION("""COMPUTED_VALUE"""),32615.0)</f>
        <v>32615</v>
      </c>
      <c r="L86" s="19" t="str">
        <f>IFERROR(__xludf.DUMMYFUNCTION("""COMPUTED_VALUE"""),"LAKI-LAKI")</f>
        <v>LAKI-LAKI</v>
      </c>
      <c r="M86" s="16" t="str">
        <f>IFERROR(__xludf.DUMMYFUNCTION("""COMPUTED_VALUE"""),"JL DANAU SENTARUM GG WONOSOBO KOMP ANUGRAH INDAH 3 NO AA17")</f>
        <v>JL DANAU SENTARUM GG WONOSOBO KOMP ANUGRAH INDAH 3 NO AA17</v>
      </c>
      <c r="N86" s="16"/>
      <c r="O86" s="16"/>
      <c r="P86" s="16"/>
      <c r="Q86" s="16"/>
      <c r="R86" s="19" t="str">
        <f>IFERROR(__xludf.DUMMYFUNCTION("""COMPUTED_VALUE"""),"ISLAM")</f>
        <v>ISLAM</v>
      </c>
      <c r="S86" s="16" t="str">
        <f>IFERROR(__xludf.DUMMYFUNCTION("""COMPUTED_VALUE"""),"PERBANKAN")</f>
        <v>PERBANKAN</v>
      </c>
      <c r="T86" s="16"/>
      <c r="U86" s="16" t="str">
        <f>IFERROR(__xludf.DUMMYFUNCTION("""COMPUTED_VALUE"""),"FUTSAL")</f>
        <v>FUTSAL</v>
      </c>
      <c r="V86" s="21" t="str">
        <f>IFERROR(__xludf.DUMMYFUNCTION("""COMPUTED_VALUE"""),"08115701717")</f>
        <v>08115701717</v>
      </c>
      <c r="W86" s="22"/>
    </row>
    <row r="87" ht="22.5" customHeight="1">
      <c r="A87" s="8"/>
      <c r="B87" s="9">
        <f>IFERROR(__xludf.DUMMYFUNCTION("""COMPUTED_VALUE"""),45006.84053835648)</f>
        <v>45006.84054</v>
      </c>
      <c r="C87" s="9"/>
      <c r="D87" s="10">
        <f>IFERROR(__xludf.DUMMYFUNCTION("""COMPUTED_VALUE"""),44950.0)</f>
        <v>44950</v>
      </c>
      <c r="E87" s="10" t="str">
        <f>IFERROR(__xludf.DUMMYFUNCTION("""COMPUTED_VALUE"""),"01Jan")</f>
        <v>01Jan</v>
      </c>
      <c r="F87" s="10" t="str">
        <f>IFERROR(__xludf.DUMMYFUNCTION("""COMPUTED_VALUE"""),"2023")</f>
        <v>2023</v>
      </c>
      <c r="G87" s="16" t="str">
        <f>IFERROR(__xludf.DUMMYFUNCTION("""COMPUTED_VALUE"""),"DENY SUMANTRI")</f>
        <v>DENY SUMANTRI</v>
      </c>
      <c r="H87" s="17" t="str">
        <f>IFERROR(__xludf.DUMMYFUNCTION("""COMPUTED_VALUE"""),"D9523019981")</f>
        <v>D9523019981</v>
      </c>
      <c r="I87" s="17">
        <f>IFERROR(__xludf.DUMMYFUNCTION("""COMPUTED_VALUE"""),30.0)</f>
        <v>30</v>
      </c>
      <c r="J87" s="17" t="str">
        <f>IFERROR(__xludf.DUMMYFUNCTION("""COMPUTED_VALUE"""),"25-34 tahun")</f>
        <v>25-34 tahun</v>
      </c>
      <c r="K87" s="19">
        <f>IFERROR(__xludf.DUMMYFUNCTION("""COMPUTED_VALUE"""),35043.0)</f>
        <v>35043</v>
      </c>
      <c r="L87" s="19" t="str">
        <f>IFERROR(__xludf.DUMMYFUNCTION("""COMPUTED_VALUE"""),"LAKI-LAKI")</f>
        <v>LAKI-LAKI</v>
      </c>
      <c r="M87" s="16" t="str">
        <f>IFERROR(__xludf.DUMMYFUNCTION("""COMPUTED_VALUE"""),"JL DANAU SENTARUM N0 1B")</f>
        <v>JL DANAU SENTARUM N0 1B</v>
      </c>
      <c r="N87" s="16"/>
      <c r="O87" s="16"/>
      <c r="P87" s="16"/>
      <c r="Q87" s="16"/>
      <c r="R87" s="19" t="str">
        <f>IFERROR(__xludf.DUMMYFUNCTION("""COMPUTED_VALUE"""),"ISLAM")</f>
        <v>ISLAM</v>
      </c>
      <c r="S87" s="16" t="str">
        <f>IFERROR(__xludf.DUMMYFUNCTION("""COMPUTED_VALUE"""),"SWASTA")</f>
        <v>SWASTA</v>
      </c>
      <c r="T87" s="16" t="str">
        <f>IFERROR(__xludf.DUMMYFUNCTION("""COMPUTED_VALUE"""),"SKOLIOSIS")</f>
        <v>SKOLIOSIS</v>
      </c>
      <c r="U87" s="16" t="str">
        <f>IFERROR(__xludf.DUMMYFUNCTION("""COMPUTED_VALUE"""),"-")</f>
        <v>-</v>
      </c>
      <c r="V87" s="21" t="str">
        <f>IFERROR(__xludf.DUMMYFUNCTION("""COMPUTED_VALUE"""),"089660029981")</f>
        <v>089660029981</v>
      </c>
      <c r="W87" s="22"/>
    </row>
    <row r="88" ht="22.5" customHeight="1">
      <c r="A88" s="25"/>
      <c r="B88" s="26">
        <f>IFERROR(__xludf.DUMMYFUNCTION("""COMPUTED_VALUE"""),45006.6156609375)</f>
        <v>45006.61566</v>
      </c>
      <c r="C88" s="26"/>
      <c r="D88" s="10">
        <f>IFERROR(__xludf.DUMMYFUNCTION("""COMPUTED_VALUE"""),44950.0)</f>
        <v>44950</v>
      </c>
      <c r="E88" s="10" t="str">
        <f>IFERROR(__xludf.DUMMYFUNCTION("""COMPUTED_VALUE"""),"01Jan")</f>
        <v>01Jan</v>
      </c>
      <c r="F88" s="10" t="str">
        <f>IFERROR(__xludf.DUMMYFUNCTION("""COMPUTED_VALUE"""),"2023")</f>
        <v>2023</v>
      </c>
      <c r="G88" s="16" t="str">
        <f>IFERROR(__xludf.DUMMYFUNCTION("""COMPUTED_VALUE"""),"ELO SINAGA")</f>
        <v>ELO SINAGA</v>
      </c>
      <c r="H88" s="17" t="str">
        <f>IFERROR(__xludf.DUMMYFUNCTION("""COMPUTED_VALUE"""),"E1023019575")</f>
        <v>E1023019575</v>
      </c>
      <c r="I88" s="17">
        <f>IFERROR(__xludf.DUMMYFUNCTION("""COMPUTED_VALUE"""),15.0)</f>
        <v>15</v>
      </c>
      <c r="J88" s="17" t="str">
        <f>IFERROR(__xludf.DUMMYFUNCTION("""COMPUTED_VALUE"""),"&lt; 18 tahun")</f>
        <v>&lt; 18 tahun</v>
      </c>
      <c r="K88" s="19">
        <f>IFERROR(__xludf.DUMMYFUNCTION("""COMPUTED_VALUE"""),40432.0)</f>
        <v>40432</v>
      </c>
      <c r="L88" s="19" t="str">
        <f>IFERROR(__xludf.DUMMYFUNCTION("""COMPUTED_VALUE"""),"LAKI-LAKI")</f>
        <v>LAKI-LAKI</v>
      </c>
      <c r="M88" s="16" t="str">
        <f>IFERROR(__xludf.DUMMYFUNCTION("""COMPUTED_VALUE"""),"JL. PROF. M. YAMIN KOMP. AKI 6B")</f>
        <v>JL. PROF. M. YAMIN KOMP. AKI 6B</v>
      </c>
      <c r="N88" s="16"/>
      <c r="O88" s="16"/>
      <c r="P88" s="16"/>
      <c r="Q88" s="16"/>
      <c r="R88" s="19" t="str">
        <f>IFERROR(__xludf.DUMMYFUNCTION("""COMPUTED_VALUE"""),"PROTESTAN")</f>
        <v>PROTESTAN</v>
      </c>
      <c r="S88" s="16" t="str">
        <f>IFERROR(__xludf.DUMMYFUNCTION("""COMPUTED_VALUE"""),"PELAJAR/MAHASISWA")</f>
        <v>PELAJAR/MAHASISWA</v>
      </c>
      <c r="T88" s="16" t="str">
        <f>IFERROR(__xludf.DUMMYFUNCTION("""COMPUTED_VALUE"""),"TANGAN KIRI")</f>
        <v>TANGAN KIRI</v>
      </c>
      <c r="U88" s="16" t="str">
        <f>IFERROR(__xludf.DUMMYFUNCTION("""COMPUTED_VALUE"""),"")</f>
        <v/>
      </c>
      <c r="V88" s="21" t="str">
        <f>IFERROR(__xludf.DUMMYFUNCTION("""COMPUTED_VALUE"""),"081256059575")</f>
        <v>081256059575</v>
      </c>
      <c r="W88" s="27"/>
    </row>
    <row r="89" ht="22.5" customHeight="1">
      <c r="A89" s="8"/>
      <c r="B89" s="9">
        <f>IFERROR(__xludf.DUMMYFUNCTION("""COMPUTED_VALUE"""),45006.9136353125)</f>
        <v>45006.91364</v>
      </c>
      <c r="C89" s="9"/>
      <c r="D89" s="10">
        <f>IFERROR(__xludf.DUMMYFUNCTION("""COMPUTED_VALUE"""),44950.0)</f>
        <v>44950</v>
      </c>
      <c r="E89" s="10" t="str">
        <f>IFERROR(__xludf.DUMMYFUNCTION("""COMPUTED_VALUE"""),"01Jan")</f>
        <v>01Jan</v>
      </c>
      <c r="F89" s="10" t="str">
        <f>IFERROR(__xludf.DUMMYFUNCTION("""COMPUTED_VALUE"""),"2023")</f>
        <v>2023</v>
      </c>
      <c r="G89" s="16" t="str">
        <f>IFERROR(__xludf.DUMMYFUNCTION("""COMPUTED_VALUE"""),"FARIDA")</f>
        <v>FARIDA</v>
      </c>
      <c r="H89" s="17" t="str">
        <f>IFERROR(__xludf.DUMMYFUNCTION("""COMPUTED_VALUE"""),"F6023018181")</f>
        <v>F6023018181</v>
      </c>
      <c r="I89" s="17">
        <f>IFERROR(__xludf.DUMMYFUNCTION("""COMPUTED_VALUE"""),65.0)</f>
        <v>65</v>
      </c>
      <c r="J89" s="17" t="str">
        <f>IFERROR(__xludf.DUMMYFUNCTION("""COMPUTED_VALUE"""),"&gt; 44 tahun")</f>
        <v>&gt; 44 tahun</v>
      </c>
      <c r="K89" s="19">
        <f>IFERROR(__xludf.DUMMYFUNCTION("""COMPUTED_VALUE"""),22185.0)</f>
        <v>22185</v>
      </c>
      <c r="L89" s="19" t="str">
        <f>IFERROR(__xludf.DUMMYFUNCTION("""COMPUTED_VALUE"""),"PEREMPUAN")</f>
        <v>PEREMPUAN</v>
      </c>
      <c r="M89" s="16" t="str">
        <f>IFERROR(__xludf.DUMMYFUNCTION("""COMPUTED_VALUE"""),"JL. PARIS 2 GG. MITRA NO. 19")</f>
        <v>JL. PARIS 2 GG. MITRA NO. 19</v>
      </c>
      <c r="N89" s="16"/>
      <c r="O89" s="16"/>
      <c r="P89" s="16"/>
      <c r="Q89" s="16"/>
      <c r="R89" s="19" t="str">
        <f>IFERROR(__xludf.DUMMYFUNCTION("""COMPUTED_VALUE"""),"ISLAM")</f>
        <v>ISLAM</v>
      </c>
      <c r="S89" s="16" t="str">
        <f>IFERROR(__xludf.DUMMYFUNCTION("""COMPUTED_VALUE"""),"RUMAH TANGGA")</f>
        <v>RUMAH TANGGA</v>
      </c>
      <c r="T89" s="16" t="str">
        <f>IFERROR(__xludf.DUMMYFUNCTION("""COMPUTED_VALUE"""),"KAKI")</f>
        <v>KAKI</v>
      </c>
      <c r="U89" s="16" t="str">
        <f>IFERROR(__xludf.DUMMYFUNCTION("""COMPUTED_VALUE"""),"")</f>
        <v/>
      </c>
      <c r="V89" s="21" t="str">
        <f>IFERROR(__xludf.DUMMYFUNCTION("""COMPUTED_VALUE"""),"0816228181")</f>
        <v>0816228181</v>
      </c>
      <c r="W89" s="22"/>
    </row>
    <row r="90" ht="22.5" customHeight="1">
      <c r="A90" s="8"/>
      <c r="B90" s="9">
        <f>IFERROR(__xludf.DUMMYFUNCTION("""COMPUTED_VALUE"""),45006.842721423614)</f>
        <v>45006.84272</v>
      </c>
      <c r="C90" s="9"/>
      <c r="D90" s="10">
        <f>IFERROR(__xludf.DUMMYFUNCTION("""COMPUTED_VALUE"""),44950.0)</f>
        <v>44950</v>
      </c>
      <c r="E90" s="10" t="str">
        <f>IFERROR(__xludf.DUMMYFUNCTION("""COMPUTED_VALUE"""),"01Jan")</f>
        <v>01Jan</v>
      </c>
      <c r="F90" s="10" t="str">
        <f>IFERROR(__xludf.DUMMYFUNCTION("""COMPUTED_VALUE"""),"2023")</f>
        <v>2023</v>
      </c>
      <c r="G90" s="16" t="str">
        <f>IFERROR(__xludf.DUMMYFUNCTION("""COMPUTED_VALUE"""),"MAYSHA PUTRI LESMANA")</f>
        <v>MAYSHA PUTRI LESMANA</v>
      </c>
      <c r="H90" s="17" t="str">
        <f>IFERROR(__xludf.DUMMYFUNCTION("""COMPUTED_VALUE"""),"M0823012188")</f>
        <v>M0823012188</v>
      </c>
      <c r="I90" s="17">
        <f>IFERROR(__xludf.DUMMYFUNCTION("""COMPUTED_VALUE"""),18.0)</f>
        <v>18</v>
      </c>
      <c r="J90" s="17" t="str">
        <f>IFERROR(__xludf.DUMMYFUNCTION("""COMPUTED_VALUE"""),"&lt; 18 tahun")</f>
        <v>&lt; 18 tahun</v>
      </c>
      <c r="K90" s="19">
        <f>IFERROR(__xludf.DUMMYFUNCTION("""COMPUTED_VALUE"""),39576.0)</f>
        <v>39576</v>
      </c>
      <c r="L90" s="19" t="str">
        <f>IFERROR(__xludf.DUMMYFUNCTION("""COMPUTED_VALUE"""),"PEREMPUAN")</f>
        <v>PEREMPUAN</v>
      </c>
      <c r="M90" s="16" t="str">
        <f>IFERROR(__xludf.DUMMYFUNCTION("""COMPUTED_VALUE"""),"JL. WONOBARU")</f>
        <v>JL. WONOBARU</v>
      </c>
      <c r="N90" s="16"/>
      <c r="O90" s="16"/>
      <c r="P90" s="16"/>
      <c r="Q90" s="16"/>
      <c r="R90" s="19" t="str">
        <f>IFERROR(__xludf.DUMMYFUNCTION("""COMPUTED_VALUE"""),"ISLAM")</f>
        <v>ISLAM</v>
      </c>
      <c r="S90" s="16" t="str">
        <f>IFERROR(__xludf.DUMMYFUNCTION("""COMPUTED_VALUE"""),"TIDAK ADA")</f>
        <v>TIDAK ADA</v>
      </c>
      <c r="T90" s="16" t="str">
        <f>IFERROR(__xludf.DUMMYFUNCTION("""COMPUTED_VALUE"""),"CEREBRAL PALLSY")</f>
        <v>CEREBRAL PALLSY</v>
      </c>
      <c r="U90" s="16" t="str">
        <f>IFERROR(__xludf.DUMMYFUNCTION("""COMPUTED_VALUE"""),"")</f>
        <v/>
      </c>
      <c r="V90" s="21" t="str">
        <f>IFERROR(__xludf.DUMMYFUNCTION("""COMPUTED_VALUE"""),"082150212188")</f>
        <v>082150212188</v>
      </c>
      <c r="W90" s="22"/>
    </row>
    <row r="91" ht="22.5" customHeight="1">
      <c r="A91" s="25"/>
      <c r="B91" s="26">
        <f>IFERROR(__xludf.DUMMYFUNCTION("""COMPUTED_VALUE"""),44956.5574537037)</f>
        <v>44956.55745</v>
      </c>
      <c r="C91" s="26"/>
      <c r="D91" s="10">
        <f>IFERROR(__xludf.DUMMYFUNCTION("""COMPUTED_VALUE"""),44950.0)</f>
        <v>44950</v>
      </c>
      <c r="E91" s="10" t="str">
        <f>IFERROR(__xludf.DUMMYFUNCTION("""COMPUTED_VALUE"""),"01Jan")</f>
        <v>01Jan</v>
      </c>
      <c r="F91" s="10" t="str">
        <f>IFERROR(__xludf.DUMMYFUNCTION("""COMPUTED_VALUE"""),"2023")</f>
        <v>2023</v>
      </c>
      <c r="G91" s="16" t="str">
        <f>IFERROR(__xludf.DUMMYFUNCTION("""COMPUTED_VALUE"""),"PRILANDA GILANG RADANNA")</f>
        <v>PRILANDA GILANG RADANNA</v>
      </c>
      <c r="H91" s="17" t="str">
        <f>IFERROR(__xludf.DUMMYFUNCTION("""COMPUTED_VALUE"""),"P9823015565")</f>
        <v>P9823015565</v>
      </c>
      <c r="I91" s="17">
        <f>IFERROR(__xludf.DUMMYFUNCTION("""COMPUTED_VALUE"""),28.0)</f>
        <v>28</v>
      </c>
      <c r="J91" s="17" t="str">
        <f>IFERROR(__xludf.DUMMYFUNCTION("""COMPUTED_VALUE"""),"25-34 tahun")</f>
        <v>25-34 tahun</v>
      </c>
      <c r="K91" s="19">
        <f>IFERROR(__xludf.DUMMYFUNCTION("""COMPUTED_VALUE"""),35898.0)</f>
        <v>35898</v>
      </c>
      <c r="L91" s="19" t="str">
        <f>IFERROR(__xludf.DUMMYFUNCTION("""COMPUTED_VALUE"""),"LAKI-LAKI")</f>
        <v>LAKI-LAKI</v>
      </c>
      <c r="M91" s="16" t="str">
        <f>IFERROR(__xludf.DUMMYFUNCTION("""COMPUTED_VALUE"""),"JALAN MESJID NO 20 KELURAHAN MELAYU SINGKAWANG")</f>
        <v>JALAN MESJID NO 20 KELURAHAN MELAYU SINGKAWANG</v>
      </c>
      <c r="N91" s="16"/>
      <c r="O91" s="16"/>
      <c r="P91" s="16"/>
      <c r="Q91" s="16"/>
      <c r="R91" s="19" t="str">
        <f>IFERROR(__xludf.DUMMYFUNCTION("""COMPUTED_VALUE"""),"ISLAM")</f>
        <v>ISLAM</v>
      </c>
      <c r="S91" s="16" t="str">
        <f>IFERROR(__xludf.DUMMYFUNCTION("""COMPUTED_VALUE"""),"TIDAK ADA")</f>
        <v>TIDAK ADA</v>
      </c>
      <c r="T91" s="16"/>
      <c r="U91" s="16" t="str">
        <f>IFERROR(__xludf.DUMMYFUNCTION("""COMPUTED_VALUE"""),"FUTSAL")</f>
        <v>FUTSAL</v>
      </c>
      <c r="V91" s="21" t="str">
        <f>IFERROR(__xludf.DUMMYFUNCTION("""COMPUTED_VALUE"""),"082155655565")</f>
        <v>082155655565</v>
      </c>
      <c r="W91" s="27"/>
    </row>
    <row r="92" ht="22.5" customHeight="1">
      <c r="A92" s="8"/>
      <c r="B92" s="9">
        <f>IFERROR(__xludf.DUMMYFUNCTION("""COMPUTED_VALUE"""),45006.94566697917)</f>
        <v>45006.94567</v>
      </c>
      <c r="C92" s="9"/>
      <c r="D92" s="10">
        <f>IFERROR(__xludf.DUMMYFUNCTION("""COMPUTED_VALUE"""),44950.0)</f>
        <v>44950</v>
      </c>
      <c r="E92" s="10" t="str">
        <f>IFERROR(__xludf.DUMMYFUNCTION("""COMPUTED_VALUE"""),"01Jan")</f>
        <v>01Jan</v>
      </c>
      <c r="F92" s="10" t="str">
        <f>IFERROR(__xludf.DUMMYFUNCTION("""COMPUTED_VALUE"""),"2023")</f>
        <v>2023</v>
      </c>
      <c r="G92" s="16" t="str">
        <f>IFERROR(__xludf.DUMMYFUNCTION("""COMPUTED_VALUE"""),"RAISAN FIQRI")</f>
        <v>RAISAN FIQRI</v>
      </c>
      <c r="H92" s="17" t="str">
        <f>IFERROR(__xludf.DUMMYFUNCTION("""COMPUTED_VALUE"""),"R0423010268")</f>
        <v>R0423010268</v>
      </c>
      <c r="I92" s="17">
        <f>IFERROR(__xludf.DUMMYFUNCTION("""COMPUTED_VALUE"""),21.0)</f>
        <v>21</v>
      </c>
      <c r="J92" s="17" t="str">
        <f>IFERROR(__xludf.DUMMYFUNCTION("""COMPUTED_VALUE"""),"18-24 tahun")</f>
        <v>18-24 tahun</v>
      </c>
      <c r="K92" s="19">
        <f>IFERROR(__xludf.DUMMYFUNCTION("""COMPUTED_VALUE"""),38209.0)</f>
        <v>38209</v>
      </c>
      <c r="L92" s="19" t="str">
        <f>IFERROR(__xludf.DUMMYFUNCTION("""COMPUTED_VALUE"""),"LAKI-LAKI")</f>
        <v>LAKI-LAKI</v>
      </c>
      <c r="M92" s="16" t="str">
        <f>IFERROR(__xludf.DUMMYFUNCTION("""COMPUTED_VALUE"""),"JL SUI RAYA DALAM KOMP KOSGORO")</f>
        <v>JL SUI RAYA DALAM KOMP KOSGORO</v>
      </c>
      <c r="N92" s="16"/>
      <c r="O92" s="16"/>
      <c r="P92" s="16"/>
      <c r="Q92" s="16"/>
      <c r="R92" s="19" t="str">
        <f>IFERROR(__xludf.DUMMYFUNCTION("""COMPUTED_VALUE"""),"ISLAM")</f>
        <v>ISLAM</v>
      </c>
      <c r="S92" s="16" t="str">
        <f>IFERROR(__xludf.DUMMYFUNCTION("""COMPUTED_VALUE"""),"PELAJAR/MAHASISWA")</f>
        <v>PELAJAR/MAHASISWA</v>
      </c>
      <c r="T92" s="16" t="str">
        <f>IFERROR(__xludf.DUMMYFUNCTION("""COMPUTED_VALUE"""),"PINGGUL")</f>
        <v>PINGGUL</v>
      </c>
      <c r="U92" s="16" t="str">
        <f>IFERROR(__xludf.DUMMYFUNCTION("""COMPUTED_VALUE"""),"-")</f>
        <v>-</v>
      </c>
      <c r="V92" s="21" t="str">
        <f>IFERROR(__xludf.DUMMYFUNCTION("""COMPUTED_VALUE"""),"085264090268")</f>
        <v>085264090268</v>
      </c>
      <c r="W92" s="22"/>
    </row>
    <row r="93" ht="22.5" customHeight="1">
      <c r="A93" s="25"/>
      <c r="B93" s="26">
        <f>IFERROR(__xludf.DUMMYFUNCTION("""COMPUTED_VALUE"""),45010.59036170139)</f>
        <v>45010.59036</v>
      </c>
      <c r="C93" s="26"/>
      <c r="D93" s="10">
        <f>IFERROR(__xludf.DUMMYFUNCTION("""COMPUTED_VALUE"""),44950.0)</f>
        <v>44950</v>
      </c>
      <c r="E93" s="10" t="str">
        <f>IFERROR(__xludf.DUMMYFUNCTION("""COMPUTED_VALUE"""),"01Jan")</f>
        <v>01Jan</v>
      </c>
      <c r="F93" s="10" t="str">
        <f>IFERROR(__xludf.DUMMYFUNCTION("""COMPUTED_VALUE"""),"2023")</f>
        <v>2023</v>
      </c>
      <c r="G93" s="16" t="str">
        <f>IFERROR(__xludf.DUMMYFUNCTION("""COMPUTED_VALUE"""),"REZA FERDIANSYAH")</f>
        <v>REZA FERDIANSYAH</v>
      </c>
      <c r="H93" s="17" t="str">
        <f>IFERROR(__xludf.DUMMYFUNCTION("""COMPUTED_VALUE"""),"R0323019317")</f>
        <v>R0323019317</v>
      </c>
      <c r="I93" s="17">
        <f>IFERROR(__xludf.DUMMYFUNCTION("""COMPUTED_VALUE"""),23.0)</f>
        <v>23</v>
      </c>
      <c r="J93" s="17" t="str">
        <f>IFERROR(__xludf.DUMMYFUNCTION("""COMPUTED_VALUE"""),"18-24 tahun")</f>
        <v>18-24 tahun</v>
      </c>
      <c r="K93" s="19">
        <f>IFERROR(__xludf.DUMMYFUNCTION("""COMPUTED_VALUE"""),37631.0)</f>
        <v>37631</v>
      </c>
      <c r="L93" s="19" t="str">
        <f>IFERROR(__xludf.DUMMYFUNCTION("""COMPUTED_VALUE"""),"LAKI-LAKI")</f>
        <v>LAKI-LAKI</v>
      </c>
      <c r="M93" s="16" t="str">
        <f>IFERROR(__xludf.DUMMYFUNCTION("""COMPUTED_VALUE"""),"JL SUMATERA GG SUDIMORO")</f>
        <v>JL SUMATERA GG SUDIMORO</v>
      </c>
      <c r="N93" s="16"/>
      <c r="O93" s="16"/>
      <c r="P93" s="16"/>
      <c r="Q93" s="16"/>
      <c r="R93" s="19" t="str">
        <f>IFERROR(__xludf.DUMMYFUNCTION("""COMPUTED_VALUE"""),"ISLAM")</f>
        <v>ISLAM</v>
      </c>
      <c r="S93" s="16" t="str">
        <f>IFERROR(__xludf.DUMMYFUNCTION("""COMPUTED_VALUE"""),"PELAJAR/MAHASISWA")</f>
        <v>PELAJAR/MAHASISWA</v>
      </c>
      <c r="T93" s="16" t="str">
        <f>IFERROR(__xludf.DUMMYFUNCTION("""COMPUTED_VALUE"""),"POSTUR")</f>
        <v>POSTUR</v>
      </c>
      <c r="U93" s="16" t="str">
        <f>IFERROR(__xludf.DUMMYFUNCTION("""COMPUTED_VALUE"""),"-")</f>
        <v>-</v>
      </c>
      <c r="V93" s="21" t="str">
        <f>IFERROR(__xludf.DUMMYFUNCTION("""COMPUTED_VALUE"""),"089529139317")</f>
        <v>089529139317</v>
      </c>
      <c r="W93" s="27"/>
    </row>
    <row r="94" ht="22.5" customHeight="1">
      <c r="A94" s="8"/>
      <c r="B94" s="9">
        <f>IFERROR(__xludf.DUMMYFUNCTION("""COMPUTED_VALUE"""),44985.59226851852)</f>
        <v>44985.59227</v>
      </c>
      <c r="C94" s="9"/>
      <c r="D94" s="10">
        <f>IFERROR(__xludf.DUMMYFUNCTION("""COMPUTED_VALUE"""),44950.0)</f>
        <v>44950</v>
      </c>
      <c r="E94" s="10" t="str">
        <f>IFERROR(__xludf.DUMMYFUNCTION("""COMPUTED_VALUE"""),"01Jan")</f>
        <v>01Jan</v>
      </c>
      <c r="F94" s="10" t="str">
        <f>IFERROR(__xludf.DUMMYFUNCTION("""COMPUTED_VALUE"""),"2023")</f>
        <v>2023</v>
      </c>
      <c r="G94" s="16" t="str">
        <f>IFERROR(__xludf.DUMMYFUNCTION("""COMPUTED_VALUE"""),"RIA")</f>
        <v>RIA</v>
      </c>
      <c r="H94" s="17" t="str">
        <f>IFERROR(__xludf.DUMMYFUNCTION("""COMPUTED_VALUE"""),"R7723015689")</f>
        <v>R7723015689</v>
      </c>
      <c r="I94" s="17">
        <f>IFERROR(__xludf.DUMMYFUNCTION("""COMPUTED_VALUE"""),49.0)</f>
        <v>49</v>
      </c>
      <c r="J94" s="17" t="str">
        <f>IFERROR(__xludf.DUMMYFUNCTION("""COMPUTED_VALUE"""),"&gt; 44 tahun")</f>
        <v>&gt; 44 tahun</v>
      </c>
      <c r="K94" s="19">
        <f>IFERROR(__xludf.DUMMYFUNCTION("""COMPUTED_VALUE"""),28140.0)</f>
        <v>28140</v>
      </c>
      <c r="L94" s="19" t="str">
        <f>IFERROR(__xludf.DUMMYFUNCTION("""COMPUTED_VALUE"""),"PEREMPUAN")</f>
        <v>PEREMPUAN</v>
      </c>
      <c r="M94" s="16" t="str">
        <f>IFERROR(__xludf.DUMMYFUNCTION("""COMPUTED_VALUE"""),"JL. UJUNG PANDANG KOMP. VILLA BRATA INDAH")</f>
        <v>JL. UJUNG PANDANG KOMP. VILLA BRATA INDAH</v>
      </c>
      <c r="N94" s="16"/>
      <c r="O94" s="16"/>
      <c r="P94" s="16"/>
      <c r="Q94" s="16"/>
      <c r="R94" s="19" t="str">
        <f>IFERROR(__xludf.DUMMYFUNCTION("""COMPUTED_VALUE"""),"ISLAM")</f>
        <v>ISLAM</v>
      </c>
      <c r="S94" s="16" t="str">
        <f>IFERROR(__xludf.DUMMYFUNCTION("""COMPUTED_VALUE"""),"SWASTA")</f>
        <v>SWASTA</v>
      </c>
      <c r="T94" s="16" t="str">
        <f>IFERROR(__xludf.DUMMYFUNCTION("""COMPUTED_VALUE"""),"PINGGANG")</f>
        <v>PINGGANG</v>
      </c>
      <c r="U94" s="16" t="str">
        <f>IFERROR(__xludf.DUMMYFUNCTION("""COMPUTED_VALUE"""),"")</f>
        <v/>
      </c>
      <c r="V94" s="21" t="str">
        <f>IFERROR(__xludf.DUMMYFUNCTION("""COMPUTED_VALUE"""),"085391155689")</f>
        <v>085391155689</v>
      </c>
      <c r="W94" s="22"/>
    </row>
    <row r="95" ht="22.5" customHeight="1">
      <c r="A95" s="8"/>
      <c r="B95" s="9">
        <f>IFERROR(__xludf.DUMMYFUNCTION("""COMPUTED_VALUE"""),45010.57722265046)</f>
        <v>45010.57722</v>
      </c>
      <c r="C95" s="9"/>
      <c r="D95" s="10">
        <f>IFERROR(__xludf.DUMMYFUNCTION("""COMPUTED_VALUE"""),44950.0)</f>
        <v>44950</v>
      </c>
      <c r="E95" s="10" t="str">
        <f>IFERROR(__xludf.DUMMYFUNCTION("""COMPUTED_VALUE"""),"01Jan")</f>
        <v>01Jan</v>
      </c>
      <c r="F95" s="10" t="str">
        <f>IFERROR(__xludf.DUMMYFUNCTION("""COMPUTED_VALUE"""),"2023")</f>
        <v>2023</v>
      </c>
      <c r="G95" s="16" t="str">
        <f>IFERROR(__xludf.DUMMYFUNCTION("""COMPUTED_VALUE"""),"SYARIF ABDUL KHALID")</f>
        <v>SYARIF ABDUL KHALID</v>
      </c>
      <c r="H95" s="17" t="str">
        <f>IFERROR(__xludf.DUMMYFUNCTION("""COMPUTED_VALUE"""),"S8823016365")</f>
        <v>S8823016365</v>
      </c>
      <c r="I95" s="17">
        <f>IFERROR(__xludf.DUMMYFUNCTION("""COMPUTED_VALUE"""),38.0)</f>
        <v>38</v>
      </c>
      <c r="J95" s="17" t="str">
        <f>IFERROR(__xludf.DUMMYFUNCTION("""COMPUTED_VALUE"""),"35-44 tahun")</f>
        <v>35-44 tahun</v>
      </c>
      <c r="K95" s="19">
        <f>IFERROR(__xludf.DUMMYFUNCTION("""COMPUTED_VALUE"""),32233.0)</f>
        <v>32233</v>
      </c>
      <c r="L95" s="19" t="str">
        <f>IFERROR(__xludf.DUMMYFUNCTION("""COMPUTED_VALUE"""),"LAKI-LAKI")</f>
        <v>LAKI-LAKI</v>
      </c>
      <c r="M95" s="16" t="str">
        <f>IFERROR(__xludf.DUMMYFUNCTION("""COMPUTED_VALUE"""),"JL. HUSEIN HAMZAH GG. KRAKATAU")</f>
        <v>JL. HUSEIN HAMZAH GG. KRAKATAU</v>
      </c>
      <c r="N95" s="16"/>
      <c r="O95" s="16"/>
      <c r="P95" s="16"/>
      <c r="Q95" s="16"/>
      <c r="R95" s="19" t="str">
        <f>IFERROR(__xludf.DUMMYFUNCTION("""COMPUTED_VALUE"""),"ISLAM")</f>
        <v>ISLAM</v>
      </c>
      <c r="S95" s="16" t="str">
        <f>IFERROR(__xludf.DUMMYFUNCTION("""COMPUTED_VALUE"""),"BUMD")</f>
        <v>BUMD</v>
      </c>
      <c r="T95" s="16" t="str">
        <f>IFERROR(__xludf.DUMMYFUNCTION("""COMPUTED_VALUE"""),"POST OP. TULANG PINGGUL")</f>
        <v>POST OP. TULANG PINGGUL</v>
      </c>
      <c r="U95" s="16" t="str">
        <f>IFERROR(__xludf.DUMMYFUNCTION("""COMPUTED_VALUE"""),"")</f>
        <v/>
      </c>
      <c r="V95" s="21" t="str">
        <f>IFERROR(__xludf.DUMMYFUNCTION("""COMPUTED_VALUE"""),"085245236365")</f>
        <v>085245236365</v>
      </c>
      <c r="W95" s="22"/>
    </row>
    <row r="96" ht="22.5" customHeight="1">
      <c r="A96" s="25"/>
      <c r="B96" s="26">
        <f>IFERROR(__xludf.DUMMYFUNCTION("""COMPUTED_VALUE"""),44951.8265625)</f>
        <v>44951.82656</v>
      </c>
      <c r="C96" s="26"/>
      <c r="D96" s="10">
        <f>IFERROR(__xludf.DUMMYFUNCTION("""COMPUTED_VALUE"""),44950.0)</f>
        <v>44950</v>
      </c>
      <c r="E96" s="10" t="str">
        <f>IFERROR(__xludf.DUMMYFUNCTION("""COMPUTED_VALUE"""),"01Jan")</f>
        <v>01Jan</v>
      </c>
      <c r="F96" s="10" t="str">
        <f>IFERROR(__xludf.DUMMYFUNCTION("""COMPUTED_VALUE"""),"2023")</f>
        <v>2023</v>
      </c>
      <c r="G96" s="16" t="str">
        <f>IFERROR(__xludf.DUMMYFUNCTION("""COMPUTED_VALUE"""),"TITIK NURSIAH")</f>
        <v>TITIK NURSIAH</v>
      </c>
      <c r="H96" s="17" t="str">
        <f>IFERROR(__xludf.DUMMYFUNCTION("""COMPUTED_VALUE"""),"T5423015410")</f>
        <v>T5423015410</v>
      </c>
      <c r="I96" s="17">
        <f>IFERROR(__xludf.DUMMYFUNCTION("""COMPUTED_VALUE"""),72.0)</f>
        <v>72</v>
      </c>
      <c r="J96" s="17" t="str">
        <f>IFERROR(__xludf.DUMMYFUNCTION("""COMPUTED_VALUE"""),"&gt; 44 tahun")</f>
        <v>&gt; 44 tahun</v>
      </c>
      <c r="K96" s="19">
        <f>IFERROR(__xludf.DUMMYFUNCTION("""COMPUTED_VALUE"""),19783.0)</f>
        <v>19783</v>
      </c>
      <c r="L96" s="19" t="str">
        <f>IFERROR(__xludf.DUMMYFUNCTION("""COMPUTED_VALUE"""),"PEREMPUAN")</f>
        <v>PEREMPUAN</v>
      </c>
      <c r="M96" s="16" t="str">
        <f>IFERROR(__xludf.DUMMYFUNCTION("""COMPUTED_VALUE"""),"JL MORODADI 5 NO 2")</f>
        <v>JL MORODADI 5 NO 2</v>
      </c>
      <c r="N96" s="16"/>
      <c r="O96" s="16"/>
      <c r="P96" s="16"/>
      <c r="Q96" s="16"/>
      <c r="R96" s="19" t="str">
        <f>IFERROR(__xludf.DUMMYFUNCTION("""COMPUTED_VALUE"""),"ISLAM")</f>
        <v>ISLAM</v>
      </c>
      <c r="S96" s="16" t="str">
        <f>IFERROR(__xludf.DUMMYFUNCTION("""COMPUTED_VALUE"""),"PENSIUN")</f>
        <v>PENSIUN</v>
      </c>
      <c r="T96" s="16" t="str">
        <f>IFERROR(__xludf.DUMMYFUNCTION("""COMPUTED_VALUE"""),"PAHA")</f>
        <v>PAHA</v>
      </c>
      <c r="U96" s="16" t="str">
        <f>IFERROR(__xludf.DUMMYFUNCTION("""COMPUTED_VALUE"""),"-")</f>
        <v>-</v>
      </c>
      <c r="V96" s="21" t="str">
        <f>IFERROR(__xludf.DUMMYFUNCTION("""COMPUTED_VALUE"""),"085956115410")</f>
        <v>085956115410</v>
      </c>
      <c r="W96" s="27"/>
    </row>
    <row r="97" ht="22.5" customHeight="1">
      <c r="A97" s="23"/>
      <c r="B97" s="24">
        <f>IFERROR(__xludf.DUMMYFUNCTION("""COMPUTED_VALUE"""),45006.841809571764)</f>
        <v>45006.84181</v>
      </c>
      <c r="C97" s="24"/>
      <c r="D97" s="10">
        <f>IFERROR(__xludf.DUMMYFUNCTION("""COMPUTED_VALUE"""),44950.0)</f>
        <v>44950</v>
      </c>
      <c r="E97" s="10" t="str">
        <f>IFERROR(__xludf.DUMMYFUNCTION("""COMPUTED_VALUE"""),"01Jan")</f>
        <v>01Jan</v>
      </c>
      <c r="F97" s="10" t="str">
        <f>IFERROR(__xludf.DUMMYFUNCTION("""COMPUTED_VALUE"""),"2023")</f>
        <v>2023</v>
      </c>
      <c r="G97" s="16" t="str">
        <f>IFERROR(__xludf.DUMMYFUNCTION("""COMPUTED_VALUE"""),"YESSI ANDRIANI S")</f>
        <v>YESSI ANDRIANI S</v>
      </c>
      <c r="H97" s="17" t="str">
        <f>IFERROR(__xludf.DUMMYFUNCTION("""COMPUTED_VALUE"""),"Y8523019223")</f>
        <v>Y8523019223</v>
      </c>
      <c r="I97" s="17">
        <f>IFERROR(__xludf.DUMMYFUNCTION("""COMPUTED_VALUE"""),40.0)</f>
        <v>40</v>
      </c>
      <c r="J97" s="17" t="str">
        <f>IFERROR(__xludf.DUMMYFUNCTION("""COMPUTED_VALUE"""),"35-44 tahun")</f>
        <v>35-44 tahun</v>
      </c>
      <c r="K97" s="19">
        <f>IFERROR(__xludf.DUMMYFUNCTION("""COMPUTED_VALUE"""),31405.0)</f>
        <v>31405</v>
      </c>
      <c r="L97" s="19" t="str">
        <f>IFERROR(__xludf.DUMMYFUNCTION("""COMPUTED_VALUE"""),"PEREMPUAN")</f>
        <v>PEREMPUAN</v>
      </c>
      <c r="M97" s="16" t="str">
        <f>IFERROR(__xludf.DUMMYFUNCTION("""COMPUTED_VALUE"""),"JL KALIMAS HULU")</f>
        <v>JL KALIMAS HULU</v>
      </c>
      <c r="N97" s="16"/>
      <c r="O97" s="16"/>
      <c r="P97" s="16"/>
      <c r="Q97" s="16"/>
      <c r="R97" s="19" t="str">
        <f>IFERROR(__xludf.DUMMYFUNCTION("""COMPUTED_VALUE"""),"KATOLIK")</f>
        <v>KATOLIK</v>
      </c>
      <c r="S97" s="16" t="str">
        <f>IFERROR(__xludf.DUMMYFUNCTION("""COMPUTED_VALUE"""),"DOSEN/GURU")</f>
        <v>DOSEN/GURU</v>
      </c>
      <c r="T97" s="16"/>
      <c r="U97" s="16" t="str">
        <f>IFERROR(__xludf.DUMMYFUNCTION("""COMPUTED_VALUE"""),"-")</f>
        <v>-</v>
      </c>
      <c r="V97" s="21" t="str">
        <f>IFERROR(__xludf.DUMMYFUNCTION("""COMPUTED_VALUE"""),"085245539223")</f>
        <v>085245539223</v>
      </c>
      <c r="W97" s="22"/>
    </row>
    <row r="98" ht="22.5" customHeight="1">
      <c r="A98" s="23"/>
      <c r="B98" s="24">
        <f>IFERROR(__xludf.DUMMYFUNCTION("""COMPUTED_VALUE"""),45006.636090740736)</f>
        <v>45006.63609</v>
      </c>
      <c r="C98" s="24"/>
      <c r="D98" s="10">
        <f>IFERROR(__xludf.DUMMYFUNCTION("""COMPUTED_VALUE"""),44951.0)</f>
        <v>44951</v>
      </c>
      <c r="E98" s="10" t="str">
        <f>IFERROR(__xludf.DUMMYFUNCTION("""COMPUTED_VALUE"""),"01Jan")</f>
        <v>01Jan</v>
      </c>
      <c r="F98" s="10" t="str">
        <f>IFERROR(__xludf.DUMMYFUNCTION("""COMPUTED_VALUE"""),"2023")</f>
        <v>2023</v>
      </c>
      <c r="G98" s="16" t="str">
        <f>IFERROR(__xludf.DUMMYFUNCTION("""COMPUTED_VALUE"""),"AGUSTINUS SIMATUPANG")</f>
        <v>AGUSTINUS SIMATUPANG</v>
      </c>
      <c r="H98" s="17" t="str">
        <f>IFERROR(__xludf.DUMMYFUNCTION("""COMPUTED_VALUE"""),"A8723018222")</f>
        <v>A8723018222</v>
      </c>
      <c r="I98" s="17">
        <f>IFERROR(__xludf.DUMMYFUNCTION("""COMPUTED_VALUE"""),38.0)</f>
        <v>38</v>
      </c>
      <c r="J98" s="17" t="str">
        <f>IFERROR(__xludf.DUMMYFUNCTION("""COMPUTED_VALUE"""),"35-44 tahun")</f>
        <v>35-44 tahun</v>
      </c>
      <c r="K98" s="19">
        <f>IFERROR(__xludf.DUMMYFUNCTION("""COMPUTED_VALUE"""),32007.0)</f>
        <v>32007</v>
      </c>
      <c r="L98" s="19" t="str">
        <f>IFERROR(__xludf.DUMMYFUNCTION("""COMPUTED_VALUE"""),"LAKI-LAKI")</f>
        <v>LAKI-LAKI</v>
      </c>
      <c r="M98" s="16" t="str">
        <f>IFERROR(__xludf.DUMMYFUNCTION("""COMPUTED_VALUE"""),"JL. RAYA WAJOK HULU KM 7.5")</f>
        <v>JL. RAYA WAJOK HULU KM 7.5</v>
      </c>
      <c r="N98" s="16"/>
      <c r="O98" s="16"/>
      <c r="P98" s="16"/>
      <c r="Q98" s="16"/>
      <c r="R98" s="19" t="str">
        <f>IFERROR(__xludf.DUMMYFUNCTION("""COMPUTED_VALUE"""),"PROTESTAN")</f>
        <v>PROTESTAN</v>
      </c>
      <c r="S98" s="16" t="str">
        <f>IFERROR(__xludf.DUMMYFUNCTION("""COMPUTED_VALUE"""),"SWASTA")</f>
        <v>SWASTA</v>
      </c>
      <c r="T98" s="16" t="str">
        <f>IFERROR(__xludf.DUMMYFUNCTION("""COMPUTED_VALUE"""),"ANKLE KANAN")</f>
        <v>ANKLE KANAN</v>
      </c>
      <c r="U98" s="16" t="str">
        <f>IFERROR(__xludf.DUMMYFUNCTION("""COMPUTED_VALUE"""),"")</f>
        <v/>
      </c>
      <c r="V98" s="21" t="str">
        <f>IFERROR(__xludf.DUMMYFUNCTION("""COMPUTED_VALUE"""),"082363888222")</f>
        <v>082363888222</v>
      </c>
      <c r="W98" s="22"/>
    </row>
    <row r="99" ht="22.5" customHeight="1">
      <c r="A99" s="29"/>
      <c r="B99" s="30">
        <f>IFERROR(__xludf.DUMMYFUNCTION("""COMPUTED_VALUE"""),44937.72144675926)</f>
        <v>44937.72145</v>
      </c>
      <c r="C99" s="30"/>
      <c r="D99" s="10">
        <f>IFERROR(__xludf.DUMMYFUNCTION("""COMPUTED_VALUE"""),44951.0)</f>
        <v>44951</v>
      </c>
      <c r="E99" s="10" t="str">
        <f>IFERROR(__xludf.DUMMYFUNCTION("""COMPUTED_VALUE"""),"01Jan")</f>
        <v>01Jan</v>
      </c>
      <c r="F99" s="10" t="str">
        <f>IFERROR(__xludf.DUMMYFUNCTION("""COMPUTED_VALUE"""),"2023")</f>
        <v>2023</v>
      </c>
      <c r="G99" s="16" t="str">
        <f>IFERROR(__xludf.DUMMYFUNCTION("""COMPUTED_VALUE"""),"EKO SUTRISTIYADI")</f>
        <v>EKO SUTRISTIYADI</v>
      </c>
      <c r="H99" s="17" t="str">
        <f>IFERROR(__xludf.DUMMYFUNCTION("""COMPUTED_VALUE"""),"E9523011787")</f>
        <v>E9523011787</v>
      </c>
      <c r="I99" s="17">
        <f>IFERROR(__xludf.DUMMYFUNCTION("""COMPUTED_VALUE"""),31.0)</f>
        <v>31</v>
      </c>
      <c r="J99" s="17" t="str">
        <f>IFERROR(__xludf.DUMMYFUNCTION("""COMPUTED_VALUE"""),"25-34 tahun")</f>
        <v>25-34 tahun</v>
      </c>
      <c r="K99" s="19">
        <f>IFERROR(__xludf.DUMMYFUNCTION("""COMPUTED_VALUE"""),34858.0)</f>
        <v>34858</v>
      </c>
      <c r="L99" s="19" t="str">
        <f>IFERROR(__xludf.DUMMYFUNCTION("""COMPUTED_VALUE"""),"LAKI-LAKI")</f>
        <v>LAKI-LAKI</v>
      </c>
      <c r="M99" s="16" t="str">
        <f>IFERROR(__xludf.DUMMYFUNCTION("""COMPUTED_VALUE"""),"JL URAY BAWADI NO 49")</f>
        <v>JL URAY BAWADI NO 49</v>
      </c>
      <c r="N99" s="16"/>
      <c r="O99" s="16"/>
      <c r="P99" s="16"/>
      <c r="Q99" s="16"/>
      <c r="R99" s="19" t="str">
        <f>IFERROR(__xludf.DUMMYFUNCTION("""COMPUTED_VALUE"""),"ISLAM")</f>
        <v>ISLAM</v>
      </c>
      <c r="S99" s="16" t="str">
        <f>IFERROR(__xludf.DUMMYFUNCTION("""COMPUTED_VALUE"""),"ASN")</f>
        <v>ASN</v>
      </c>
      <c r="T99" s="16"/>
      <c r="U99" s="16" t="str">
        <f>IFERROR(__xludf.DUMMYFUNCTION("""COMPUTED_VALUE"""),"-")</f>
        <v>-</v>
      </c>
      <c r="V99" s="21" t="str">
        <f>IFERROR(__xludf.DUMMYFUNCTION("""COMPUTED_VALUE"""),"089693371787")</f>
        <v>089693371787</v>
      </c>
      <c r="W99" s="31"/>
    </row>
    <row r="100" ht="22.5" customHeight="1">
      <c r="A100" s="8"/>
      <c r="B100" s="9">
        <f>IFERROR(__xludf.DUMMYFUNCTION("""COMPUTED_VALUE"""),44668.62266137732)</f>
        <v>44668.62266</v>
      </c>
      <c r="C100" s="9"/>
      <c r="D100" s="10">
        <f>IFERROR(__xludf.DUMMYFUNCTION("""COMPUTED_VALUE"""),44951.0)</f>
        <v>44951</v>
      </c>
      <c r="E100" s="10" t="str">
        <f>IFERROR(__xludf.DUMMYFUNCTION("""COMPUTED_VALUE"""),"01Jan")</f>
        <v>01Jan</v>
      </c>
      <c r="F100" s="10" t="str">
        <f>IFERROR(__xludf.DUMMYFUNCTION("""COMPUTED_VALUE"""),"2023")</f>
        <v>2023</v>
      </c>
      <c r="G100" s="16" t="str">
        <f>IFERROR(__xludf.DUMMYFUNCTION("""COMPUTED_VALUE"""),"FIKRI RIPARTA HARAHAP")</f>
        <v>FIKRI RIPARTA HARAHAP</v>
      </c>
      <c r="H100" s="17" t="str">
        <f>IFERROR(__xludf.DUMMYFUNCTION("""COMPUTED_VALUE"""),"F0523012509")</f>
        <v>F0523012509</v>
      </c>
      <c r="I100" s="17">
        <f>IFERROR(__xludf.DUMMYFUNCTION("""COMPUTED_VALUE"""),20.0)</f>
        <v>20</v>
      </c>
      <c r="J100" s="17" t="str">
        <f>IFERROR(__xludf.DUMMYFUNCTION("""COMPUTED_VALUE"""),"18-24 tahun")</f>
        <v>18-24 tahun</v>
      </c>
      <c r="K100" s="19">
        <f>IFERROR(__xludf.DUMMYFUNCTION("""COMPUTED_VALUE"""),38532.0)</f>
        <v>38532</v>
      </c>
      <c r="L100" s="19" t="str">
        <f>IFERROR(__xludf.DUMMYFUNCTION("""COMPUTED_VALUE"""),"LAKI-LAKI")</f>
        <v>LAKI-LAKI</v>
      </c>
      <c r="M100" s="16" t="str">
        <f>IFERROR(__xludf.DUMMYFUNCTION("""COMPUTED_VALUE"""),"JL. PROF. M. YAMIN GG. USAHA MAJU JALUR D NO. 1")</f>
        <v>JL. PROF. M. YAMIN GG. USAHA MAJU JALUR D NO. 1</v>
      </c>
      <c r="N100" s="16"/>
      <c r="O100" s="16"/>
      <c r="P100" s="16"/>
      <c r="Q100" s="16"/>
      <c r="R100" s="19" t="str">
        <f>IFERROR(__xludf.DUMMYFUNCTION("""COMPUTED_VALUE"""),"ISLAM")</f>
        <v>ISLAM</v>
      </c>
      <c r="S100" s="16" t="str">
        <f>IFERROR(__xludf.DUMMYFUNCTION("""COMPUTED_VALUE"""),"PELAJAR/MAHASISWA")</f>
        <v>PELAJAR/MAHASISWA</v>
      </c>
      <c r="T100" s="16" t="str">
        <f>IFERROR(__xludf.DUMMYFUNCTION("""COMPUTED_VALUE"""),"KAKI X")</f>
        <v>KAKI X</v>
      </c>
      <c r="U100" s="16" t="str">
        <f>IFERROR(__xludf.DUMMYFUNCTION("""COMPUTED_VALUE"""),"BASKET")</f>
        <v>BASKET</v>
      </c>
      <c r="V100" s="21" t="str">
        <f>IFERROR(__xludf.DUMMYFUNCTION("""COMPUTED_VALUE"""),"089692062509")</f>
        <v>089692062509</v>
      </c>
      <c r="W100" s="22"/>
    </row>
    <row r="101" ht="22.5" customHeight="1">
      <c r="A101" s="23"/>
      <c r="B101" s="24">
        <f>IFERROR(__xludf.DUMMYFUNCTION("""COMPUTED_VALUE"""),45006.59301011574)</f>
        <v>45006.59301</v>
      </c>
      <c r="C101" s="24"/>
      <c r="D101" s="10">
        <f>IFERROR(__xludf.DUMMYFUNCTION("""COMPUTED_VALUE"""),44952.0)</f>
        <v>44952</v>
      </c>
      <c r="E101" s="10" t="str">
        <f>IFERROR(__xludf.DUMMYFUNCTION("""COMPUTED_VALUE"""),"01Jan")</f>
        <v>01Jan</v>
      </c>
      <c r="F101" s="10" t="str">
        <f>IFERROR(__xludf.DUMMYFUNCTION("""COMPUTED_VALUE"""),"2023")</f>
        <v>2023</v>
      </c>
      <c r="G101" s="16" t="str">
        <f>IFERROR(__xludf.DUMMYFUNCTION("""COMPUTED_VALUE"""),"SRI SUGIHARTI")</f>
        <v>SRI SUGIHARTI</v>
      </c>
      <c r="H101" s="17" t="str">
        <f>IFERROR(__xludf.DUMMYFUNCTION("""COMPUTED_VALUE"""),"S5423018611")</f>
        <v>S5423018611</v>
      </c>
      <c r="I101" s="17">
        <f>IFERROR(__xludf.DUMMYFUNCTION("""COMPUTED_VALUE"""),71.0)</f>
        <v>71</v>
      </c>
      <c r="J101" s="17" t="str">
        <f>IFERROR(__xludf.DUMMYFUNCTION("""COMPUTED_VALUE"""),"&gt; 44 tahun")</f>
        <v>&gt; 44 tahun</v>
      </c>
      <c r="K101" s="19">
        <f>IFERROR(__xludf.DUMMYFUNCTION("""COMPUTED_VALUE"""),19989.0)</f>
        <v>19989</v>
      </c>
      <c r="L101" s="19" t="str">
        <f>IFERROR(__xludf.DUMMYFUNCTION("""COMPUTED_VALUE"""),"PEREMPUAN")</f>
        <v>PEREMPUAN</v>
      </c>
      <c r="M101" s="16" t="str">
        <f>IFERROR(__xludf.DUMMYFUNCTION("""COMPUTED_VALUE"""),"JL URAY BAWADI GG MUHIBAH NO 4")</f>
        <v>JL URAY BAWADI GG MUHIBAH NO 4</v>
      </c>
      <c r="N101" s="16"/>
      <c r="O101" s="16"/>
      <c r="P101" s="16"/>
      <c r="Q101" s="16"/>
      <c r="R101" s="19" t="str">
        <f>IFERROR(__xludf.DUMMYFUNCTION("""COMPUTED_VALUE"""),"ISLAM")</f>
        <v>ISLAM</v>
      </c>
      <c r="S101" s="16" t="str">
        <f>IFERROR(__xludf.DUMMYFUNCTION("""COMPUTED_VALUE"""),"PENSIUN")</f>
        <v>PENSIUN</v>
      </c>
      <c r="T101" s="16" t="str">
        <f>IFERROR(__xludf.DUMMYFUNCTION("""COMPUTED_VALUE"""),"TELAPAK KAKI")</f>
        <v>TELAPAK KAKI</v>
      </c>
      <c r="U101" s="16" t="str">
        <f>IFERROR(__xludf.DUMMYFUNCTION("""COMPUTED_VALUE"""),"-")</f>
        <v>-</v>
      </c>
      <c r="V101" s="21" t="str">
        <f>IFERROR(__xludf.DUMMYFUNCTION("""COMPUTED_VALUE"""),"08128248611")</f>
        <v>08128248611</v>
      </c>
      <c r="W101" s="22"/>
    </row>
    <row r="102" ht="22.5" customHeight="1">
      <c r="A102" s="8"/>
      <c r="B102" s="9">
        <f>IFERROR(__xludf.DUMMYFUNCTION("""COMPUTED_VALUE"""),44850.72744212963)</f>
        <v>44850.72744</v>
      </c>
      <c r="C102" s="9"/>
      <c r="D102" s="10">
        <f>IFERROR(__xludf.DUMMYFUNCTION("""COMPUTED_VALUE"""),44952.0)</f>
        <v>44952</v>
      </c>
      <c r="E102" s="10" t="str">
        <f>IFERROR(__xludf.DUMMYFUNCTION("""COMPUTED_VALUE"""),"01Jan")</f>
        <v>01Jan</v>
      </c>
      <c r="F102" s="10" t="str">
        <f>IFERROR(__xludf.DUMMYFUNCTION("""COMPUTED_VALUE"""),"2023")</f>
        <v>2023</v>
      </c>
      <c r="G102" s="16" t="str">
        <f>IFERROR(__xludf.DUMMYFUNCTION("""COMPUTED_VALUE"""),"SURIYA RUSDIANI")</f>
        <v>SURIYA RUSDIANI</v>
      </c>
      <c r="H102" s="17" t="str">
        <f>IFERROR(__xludf.DUMMYFUNCTION("""COMPUTED_VALUE"""),"S6923010888")</f>
        <v>S6923010888</v>
      </c>
      <c r="I102" s="17">
        <f>IFERROR(__xludf.DUMMYFUNCTION("""COMPUTED_VALUE"""),57.0)</f>
        <v>57</v>
      </c>
      <c r="J102" s="17" t="str">
        <f>IFERROR(__xludf.DUMMYFUNCTION("""COMPUTED_VALUE"""),"&gt; 44 tahun")</f>
        <v>&gt; 44 tahun</v>
      </c>
      <c r="K102" s="19">
        <f>IFERROR(__xludf.DUMMYFUNCTION("""COMPUTED_VALUE"""),25258.0)</f>
        <v>25258</v>
      </c>
      <c r="L102" s="19" t="str">
        <f>IFERROR(__xludf.DUMMYFUNCTION("""COMPUTED_VALUE"""),"PEREMPUAN")</f>
        <v>PEREMPUAN</v>
      </c>
      <c r="M102" s="16" t="str">
        <f>IFERROR(__xludf.DUMMYFUNCTION("""COMPUTED_VALUE"""),"JL. YAM SABRAN, TANJUNG HULU")</f>
        <v>JL. YAM SABRAN, TANJUNG HULU</v>
      </c>
      <c r="N102" s="16"/>
      <c r="O102" s="16"/>
      <c r="P102" s="16"/>
      <c r="Q102" s="16"/>
      <c r="R102" s="19" t="str">
        <f>IFERROR(__xludf.DUMMYFUNCTION("""COMPUTED_VALUE"""),"ISLAM")</f>
        <v>ISLAM</v>
      </c>
      <c r="S102" s="16" t="str">
        <f>IFERROR(__xludf.DUMMYFUNCTION("""COMPUTED_VALUE"""),"RUMAH TANGGA")</f>
        <v>RUMAH TANGGA</v>
      </c>
      <c r="T102" s="16" t="str">
        <f>IFERROR(__xludf.DUMMYFUNCTION("""COMPUTED_VALUE"""),"BAHU")</f>
        <v>BAHU</v>
      </c>
      <c r="U102" s="16" t="str">
        <f>IFERROR(__xludf.DUMMYFUNCTION("""COMPUTED_VALUE"""),"GENDONG CUCU")</f>
        <v>GENDONG CUCU</v>
      </c>
      <c r="V102" s="21" t="str">
        <f>IFERROR(__xludf.DUMMYFUNCTION("""COMPUTED_VALUE"""),"087819990888")</f>
        <v>087819990888</v>
      </c>
      <c r="W102" s="22"/>
    </row>
    <row r="103" ht="22.5" customHeight="1">
      <c r="A103" s="8"/>
      <c r="B103" s="9">
        <f>IFERROR(__xludf.DUMMYFUNCTION("""COMPUTED_VALUE"""),45006.837524421295)</f>
        <v>45006.83752</v>
      </c>
      <c r="C103" s="9"/>
      <c r="D103" s="10">
        <f>IFERROR(__xludf.DUMMYFUNCTION("""COMPUTED_VALUE"""),44954.0)</f>
        <v>44954</v>
      </c>
      <c r="E103" s="10" t="str">
        <f>IFERROR(__xludf.DUMMYFUNCTION("""COMPUTED_VALUE"""),"01Jan")</f>
        <v>01Jan</v>
      </c>
      <c r="F103" s="10" t="str">
        <f>IFERROR(__xludf.DUMMYFUNCTION("""COMPUTED_VALUE"""),"2023")</f>
        <v>2023</v>
      </c>
      <c r="G103" s="16" t="str">
        <f>IFERROR(__xludf.DUMMYFUNCTION("""COMPUTED_VALUE"""),"DIMAS AGUS TRWIBOWO")</f>
        <v>DIMAS AGUS TRWIBOWO</v>
      </c>
      <c r="H103" s="17" t="str">
        <f>IFERROR(__xludf.DUMMYFUNCTION("""COMPUTED_VALUE"""),"D0323015889")</f>
        <v>D0323015889</v>
      </c>
      <c r="I103" s="17">
        <f>IFERROR(__xludf.DUMMYFUNCTION("""COMPUTED_VALUE"""),22.0)</f>
        <v>22</v>
      </c>
      <c r="J103" s="17" t="str">
        <f>IFERROR(__xludf.DUMMYFUNCTION("""COMPUTED_VALUE"""),"18-24 tahun")</f>
        <v>18-24 tahun</v>
      </c>
      <c r="K103" s="19">
        <f>IFERROR(__xludf.DUMMYFUNCTION("""COMPUTED_VALUE"""),37856.0)</f>
        <v>37856</v>
      </c>
      <c r="L103" s="19" t="str">
        <f>IFERROR(__xludf.DUMMYFUNCTION("""COMPUTED_VALUE"""),"LAKI-LAKI")</f>
        <v>LAKI-LAKI</v>
      </c>
      <c r="M103" s="16" t="str">
        <f>IFERROR(__xludf.DUMMYFUNCTION("""COMPUTED_VALUE"""),"KETAPANG")</f>
        <v>KETAPANG</v>
      </c>
      <c r="N103" s="16"/>
      <c r="O103" s="16"/>
      <c r="P103" s="16"/>
      <c r="Q103" s="16"/>
      <c r="R103" s="19" t="str">
        <f>IFERROR(__xludf.DUMMYFUNCTION("""COMPUTED_VALUE"""),"ISLAM")</f>
        <v>ISLAM</v>
      </c>
      <c r="S103" s="16" t="str">
        <f>IFERROR(__xludf.DUMMYFUNCTION("""COMPUTED_VALUE"""),"PELAJAR/MAHASISWA")</f>
        <v>PELAJAR/MAHASISWA</v>
      </c>
      <c r="T103" s="16" t="str">
        <f>IFERROR(__xludf.DUMMYFUNCTION("""COMPUTED_VALUE"""),"KAKI X")</f>
        <v>KAKI X</v>
      </c>
      <c r="U103" s="16" t="str">
        <f>IFERROR(__xludf.DUMMYFUNCTION("""COMPUTED_VALUE"""),"-")</f>
        <v>-</v>
      </c>
      <c r="V103" s="21" t="str">
        <f>IFERROR(__xludf.DUMMYFUNCTION("""COMPUTED_VALUE"""),"085251185889")</f>
        <v>085251185889</v>
      </c>
      <c r="W103" s="22"/>
    </row>
    <row r="104" ht="22.5" customHeight="1">
      <c r="A104" s="25"/>
      <c r="B104" s="26">
        <f>IFERROR(__xludf.DUMMYFUNCTION("""COMPUTED_VALUE"""),44892.85415914352)</f>
        <v>44892.85416</v>
      </c>
      <c r="C104" s="26"/>
      <c r="D104" s="10">
        <f>IFERROR(__xludf.DUMMYFUNCTION("""COMPUTED_VALUE"""),44954.0)</f>
        <v>44954</v>
      </c>
      <c r="E104" s="10" t="str">
        <f>IFERROR(__xludf.DUMMYFUNCTION("""COMPUTED_VALUE"""),"01Jan")</f>
        <v>01Jan</v>
      </c>
      <c r="F104" s="10" t="str">
        <f>IFERROR(__xludf.DUMMYFUNCTION("""COMPUTED_VALUE"""),"2023")</f>
        <v>2023</v>
      </c>
      <c r="G104" s="16" t="str">
        <f>IFERROR(__xludf.DUMMYFUNCTION("""COMPUTED_VALUE"""),"VICTORIUS AZIS P")</f>
        <v>VICTORIUS AZIS P</v>
      </c>
      <c r="H104" s="17" t="str">
        <f>IFERROR(__xludf.DUMMYFUNCTION("""COMPUTED_VALUE"""),"V8323011899")</f>
        <v>V8323011899</v>
      </c>
      <c r="I104" s="17">
        <f>IFERROR(__xludf.DUMMYFUNCTION("""COMPUTED_VALUE"""),42.0)</f>
        <v>42</v>
      </c>
      <c r="J104" s="17" t="str">
        <f>IFERROR(__xludf.DUMMYFUNCTION("""COMPUTED_VALUE"""),"35-44 tahun")</f>
        <v>35-44 tahun</v>
      </c>
      <c r="K104" s="19">
        <f>IFERROR(__xludf.DUMMYFUNCTION("""COMPUTED_VALUE"""),30620.0)</f>
        <v>30620</v>
      </c>
      <c r="L104" s="19" t="str">
        <f>IFERROR(__xludf.DUMMYFUNCTION("""COMPUTED_VALUE"""),"LAKI-LAKI")</f>
        <v>LAKI-LAKI</v>
      </c>
      <c r="M104" s="16" t="str">
        <f>IFERROR(__xludf.DUMMYFUNCTION("""COMPUTED_VALUE"""),"JL. M YAMIN NO 520")</f>
        <v>JL. M YAMIN NO 520</v>
      </c>
      <c r="N104" s="16"/>
      <c r="O104" s="16"/>
      <c r="P104" s="16"/>
      <c r="Q104" s="16"/>
      <c r="R104" s="19" t="str">
        <f>IFERROR(__xludf.DUMMYFUNCTION("""COMPUTED_VALUE"""),"KATOLIK")</f>
        <v>KATOLIK</v>
      </c>
      <c r="S104" s="16" t="str">
        <f>IFERROR(__xludf.DUMMYFUNCTION("""COMPUTED_VALUE"""),"SWASTA")</f>
        <v>SWASTA</v>
      </c>
      <c r="T104" s="16" t="str">
        <f>IFERROR(__xludf.DUMMYFUNCTION("""COMPUTED_VALUE"""),"SKOLIOSIS")</f>
        <v>SKOLIOSIS</v>
      </c>
      <c r="U104" s="16" t="str">
        <f>IFERROR(__xludf.DUMMYFUNCTION("""COMPUTED_VALUE"""),"")</f>
        <v/>
      </c>
      <c r="V104" s="21" t="str">
        <f>IFERROR(__xludf.DUMMYFUNCTION("""COMPUTED_VALUE"""),"085252031899")</f>
        <v>085252031899</v>
      </c>
      <c r="W104" s="27"/>
    </row>
    <row r="105" ht="22.5" customHeight="1">
      <c r="A105" s="8"/>
      <c r="B105" s="9">
        <f>IFERROR(__xludf.DUMMYFUNCTION("""COMPUTED_VALUE"""),45006.807655752316)</f>
        <v>45006.80766</v>
      </c>
      <c r="C105" s="9"/>
      <c r="D105" s="10">
        <f>IFERROR(__xludf.DUMMYFUNCTION("""COMPUTED_VALUE"""),44955.0)</f>
        <v>44955</v>
      </c>
      <c r="E105" s="10" t="str">
        <f>IFERROR(__xludf.DUMMYFUNCTION("""COMPUTED_VALUE"""),"01Jan")</f>
        <v>01Jan</v>
      </c>
      <c r="F105" s="10" t="str">
        <f>IFERROR(__xludf.DUMMYFUNCTION("""COMPUTED_VALUE"""),"2023")</f>
        <v>2023</v>
      </c>
      <c r="G105" s="16" t="str">
        <f>IFERROR(__xludf.DUMMYFUNCTION("""COMPUTED_VALUE"""),"BONIFASIUS")</f>
        <v>BONIFASIUS</v>
      </c>
      <c r="H105" s="17" t="str">
        <f>IFERROR(__xludf.DUMMYFUNCTION("""COMPUTED_VALUE"""),"B9623019319")</f>
        <v>B9623019319</v>
      </c>
      <c r="I105" s="17">
        <f>IFERROR(__xludf.DUMMYFUNCTION("""COMPUTED_VALUE"""),29.0)</f>
        <v>29</v>
      </c>
      <c r="J105" s="17" t="str">
        <f>IFERROR(__xludf.DUMMYFUNCTION("""COMPUTED_VALUE"""),"25-34 tahun")</f>
        <v>25-34 tahun</v>
      </c>
      <c r="K105" s="19">
        <f>IFERROR(__xludf.DUMMYFUNCTION("""COMPUTED_VALUE"""),35316.0)</f>
        <v>35316</v>
      </c>
      <c r="L105" s="19" t="str">
        <f>IFERROR(__xludf.DUMMYFUNCTION("""COMPUTED_VALUE"""),"LAKI-LAKI")</f>
        <v>LAKI-LAKI</v>
      </c>
      <c r="M105" s="16" t="str">
        <f>IFERROR(__xludf.DUMMYFUNCTION("""COMPUTED_VALUE"""),"DUSUN GONIS TEKAM")</f>
        <v>DUSUN GONIS TEKAM</v>
      </c>
      <c r="N105" s="16"/>
      <c r="O105" s="16"/>
      <c r="P105" s="16"/>
      <c r="Q105" s="16"/>
      <c r="R105" s="19" t="str">
        <f>IFERROR(__xludf.DUMMYFUNCTION("""COMPUTED_VALUE"""),"PROTESTAN")</f>
        <v>PROTESTAN</v>
      </c>
      <c r="S105" s="16" t="str">
        <f>IFERROR(__xludf.DUMMYFUNCTION("""COMPUTED_VALUE"""),"ASN")</f>
        <v>ASN</v>
      </c>
      <c r="T105" s="16"/>
      <c r="U105" s="16" t="str">
        <f>IFERROR(__xludf.DUMMYFUNCTION("""COMPUTED_VALUE"""),"")</f>
        <v/>
      </c>
      <c r="V105" s="21" t="str">
        <f>IFERROR(__xludf.DUMMYFUNCTION("""COMPUTED_VALUE"""),"082154469319")</f>
        <v>082154469319</v>
      </c>
      <c r="W105" s="22"/>
    </row>
    <row r="106" ht="22.5" customHeight="1">
      <c r="A106" s="29"/>
      <c r="B106" s="30">
        <f>IFERROR(__xludf.DUMMYFUNCTION("""COMPUTED_VALUE"""),45006.915836782406)</f>
        <v>45006.91584</v>
      </c>
      <c r="C106" s="30"/>
      <c r="D106" s="10">
        <f>IFERROR(__xludf.DUMMYFUNCTION("""COMPUTED_VALUE"""),44955.0)</f>
        <v>44955</v>
      </c>
      <c r="E106" s="10" t="str">
        <f>IFERROR(__xludf.DUMMYFUNCTION("""COMPUTED_VALUE"""),"01Jan")</f>
        <v>01Jan</v>
      </c>
      <c r="F106" s="10" t="str">
        <f>IFERROR(__xludf.DUMMYFUNCTION("""COMPUTED_VALUE"""),"2023")</f>
        <v>2023</v>
      </c>
      <c r="G106" s="16" t="str">
        <f>IFERROR(__xludf.DUMMYFUNCTION("""COMPUTED_VALUE"""),"CIRILA SRIANI")</f>
        <v>CIRILA SRIANI</v>
      </c>
      <c r="H106" s="17" t="str">
        <f>IFERROR(__xludf.DUMMYFUNCTION("""COMPUTED_VALUE"""),"C6923015446")</f>
        <v>C6923015446</v>
      </c>
      <c r="I106" s="17">
        <f>IFERROR(__xludf.DUMMYFUNCTION("""COMPUTED_VALUE"""),56.0)</f>
        <v>56</v>
      </c>
      <c r="J106" s="17" t="str">
        <f>IFERROR(__xludf.DUMMYFUNCTION("""COMPUTED_VALUE"""),"&gt; 44 tahun")</f>
        <v>&gt; 44 tahun</v>
      </c>
      <c r="K106" s="19">
        <f>IFERROR(__xludf.DUMMYFUNCTION("""COMPUTED_VALUE"""),25504.0)</f>
        <v>25504</v>
      </c>
      <c r="L106" s="19" t="str">
        <f>IFERROR(__xludf.DUMMYFUNCTION("""COMPUTED_VALUE"""),"PEREMPUAN")</f>
        <v>PEREMPUAN</v>
      </c>
      <c r="M106" s="16" t="str">
        <f>IFERROR(__xludf.DUMMYFUNCTION("""COMPUTED_VALUE"""),"JL. DANSEN KOMP. SENTARUM INDAH")</f>
        <v>JL. DANSEN KOMP. SENTARUM INDAH</v>
      </c>
      <c r="N106" s="16"/>
      <c r="O106" s="16"/>
      <c r="P106" s="16"/>
      <c r="Q106" s="16"/>
      <c r="R106" s="19" t="str">
        <f>IFERROR(__xludf.DUMMYFUNCTION("""COMPUTED_VALUE"""),"KATOLIK")</f>
        <v>KATOLIK</v>
      </c>
      <c r="S106" s="16" t="str">
        <f>IFERROR(__xludf.DUMMYFUNCTION("""COMPUTED_VALUE"""),"ASN")</f>
        <v>ASN</v>
      </c>
      <c r="T106" s="16" t="str">
        <f>IFERROR(__xludf.DUMMYFUNCTION("""COMPUTED_VALUE"""),"STROKE")</f>
        <v>STROKE</v>
      </c>
      <c r="U106" s="16" t="str">
        <f>IFERROR(__xludf.DUMMYFUNCTION("""COMPUTED_VALUE"""),"MENGAJAR")</f>
        <v>MENGAJAR</v>
      </c>
      <c r="V106" s="21" t="str">
        <f>IFERROR(__xludf.DUMMYFUNCTION("""COMPUTED_VALUE"""),"081255705446")</f>
        <v>081255705446</v>
      </c>
      <c r="W106" s="31"/>
    </row>
    <row r="107" ht="22.5" customHeight="1">
      <c r="A107" s="8"/>
      <c r="B107" s="9">
        <f>IFERROR(__xludf.DUMMYFUNCTION("""COMPUTED_VALUE"""),44934.678148148145)</f>
        <v>44934.67815</v>
      </c>
      <c r="C107" s="9"/>
      <c r="D107" s="10">
        <f>IFERROR(__xludf.DUMMYFUNCTION("""COMPUTED_VALUE"""),44955.0)</f>
        <v>44955</v>
      </c>
      <c r="E107" s="10" t="str">
        <f>IFERROR(__xludf.DUMMYFUNCTION("""COMPUTED_VALUE"""),"01Jan")</f>
        <v>01Jan</v>
      </c>
      <c r="F107" s="10" t="str">
        <f>IFERROR(__xludf.DUMMYFUNCTION("""COMPUTED_VALUE"""),"2023")</f>
        <v>2023</v>
      </c>
      <c r="G107" s="16" t="str">
        <f>IFERROR(__xludf.DUMMYFUNCTION("""COMPUTED_VALUE"""),"FENGMING XIAO")</f>
        <v>FENGMING XIAO</v>
      </c>
      <c r="H107" s="17" t="str">
        <f>IFERROR(__xludf.DUMMYFUNCTION("""COMPUTED_VALUE"""),"F5423018689")</f>
        <v>F5423018689</v>
      </c>
      <c r="I107" s="17">
        <f>IFERROR(__xludf.DUMMYFUNCTION("""COMPUTED_VALUE"""),71.0)</f>
        <v>71</v>
      </c>
      <c r="J107" s="17" t="str">
        <f>IFERROR(__xludf.DUMMYFUNCTION("""COMPUTED_VALUE"""),"&gt; 44 tahun")</f>
        <v>&gt; 44 tahun</v>
      </c>
      <c r="K107" s="19">
        <f>IFERROR(__xludf.DUMMYFUNCTION("""COMPUTED_VALUE"""),20016.0)</f>
        <v>20016</v>
      </c>
      <c r="L107" s="19" t="str">
        <f>IFERROR(__xludf.DUMMYFUNCTION("""COMPUTED_VALUE"""),"LAKI-LAKI")</f>
        <v>LAKI-LAKI</v>
      </c>
      <c r="M107" s="16" t="str">
        <f>IFERROR(__xludf.DUMMYFUNCTION("""COMPUTED_VALUE"""),"JL. ANTASARI")</f>
        <v>JL. ANTASARI</v>
      </c>
      <c r="N107" s="16"/>
      <c r="O107" s="16"/>
      <c r="P107" s="16"/>
      <c r="Q107" s="16"/>
      <c r="R107" s="19" t="str">
        <f>IFERROR(__xludf.DUMMYFUNCTION("""COMPUTED_VALUE"""),"BUDDHA")</f>
        <v>BUDDHA</v>
      </c>
      <c r="S107" s="16" t="str">
        <f>IFERROR(__xludf.DUMMYFUNCTION("""COMPUTED_VALUE"""),"TIDAK ADA")</f>
        <v>TIDAK ADA</v>
      </c>
      <c r="T107" s="16" t="str">
        <f>IFERROR(__xludf.DUMMYFUNCTION("""COMPUTED_VALUE"""),"PINGGANG")</f>
        <v>PINGGANG</v>
      </c>
      <c r="U107" s="16" t="str">
        <f>IFERROR(__xludf.DUMMYFUNCTION("""COMPUTED_VALUE"""),"")</f>
        <v/>
      </c>
      <c r="V107" s="21" t="str">
        <f>IFERROR(__xludf.DUMMYFUNCTION("""COMPUTED_VALUE"""),"08126708689")</f>
        <v>08126708689</v>
      </c>
      <c r="W107" s="22"/>
    </row>
    <row r="108" ht="22.5" customHeight="1">
      <c r="A108" s="23"/>
      <c r="B108" s="24">
        <f>IFERROR(__xludf.DUMMYFUNCTION("""COMPUTED_VALUE"""),45006.74954372685)</f>
        <v>45006.74954</v>
      </c>
      <c r="C108" s="24"/>
      <c r="D108" s="10">
        <f>IFERROR(__xludf.DUMMYFUNCTION("""COMPUTED_VALUE"""),44955.0)</f>
        <v>44955</v>
      </c>
      <c r="E108" s="10" t="str">
        <f>IFERROR(__xludf.DUMMYFUNCTION("""COMPUTED_VALUE"""),"01Jan")</f>
        <v>01Jan</v>
      </c>
      <c r="F108" s="10" t="str">
        <f>IFERROR(__xludf.DUMMYFUNCTION("""COMPUTED_VALUE"""),"2023")</f>
        <v>2023</v>
      </c>
      <c r="G108" s="16" t="str">
        <f>IFERROR(__xludf.DUMMYFUNCTION("""COMPUTED_VALUE"""),"JUNAIDI ARSEKON")</f>
        <v>JUNAIDI ARSEKON</v>
      </c>
      <c r="H108" s="17" t="str">
        <f>IFERROR(__xludf.DUMMYFUNCTION("""COMPUTED_VALUE"""),"J9523013186")</f>
        <v>J9523013186</v>
      </c>
      <c r="I108" s="17">
        <f>IFERROR(__xludf.DUMMYFUNCTION("""COMPUTED_VALUE"""),31.0)</f>
        <v>31</v>
      </c>
      <c r="J108" s="17" t="str">
        <f>IFERROR(__xludf.DUMMYFUNCTION("""COMPUTED_VALUE"""),"25-34 tahun")</f>
        <v>25-34 tahun</v>
      </c>
      <c r="K108" s="19">
        <f>IFERROR(__xludf.DUMMYFUNCTION("""COMPUTED_VALUE"""),34834.0)</f>
        <v>34834</v>
      </c>
      <c r="L108" s="19" t="str">
        <f>IFERROR(__xludf.DUMMYFUNCTION("""COMPUTED_VALUE"""),"LAKI-LAKI")</f>
        <v>LAKI-LAKI</v>
      </c>
      <c r="M108" s="16" t="str">
        <f>IFERROR(__xludf.DUMMYFUNCTION("""COMPUTED_VALUE"""),"JL. TANJUNG RAYA 1 GG. DASA DARMA")</f>
        <v>JL. TANJUNG RAYA 1 GG. DASA DARMA</v>
      </c>
      <c r="N108" s="16"/>
      <c r="O108" s="16"/>
      <c r="P108" s="16"/>
      <c r="Q108" s="16"/>
      <c r="R108" s="19" t="str">
        <f>IFERROR(__xludf.DUMMYFUNCTION("""COMPUTED_VALUE"""),"ISLAM")</f>
        <v>ISLAM</v>
      </c>
      <c r="S108" s="16" t="str">
        <f>IFERROR(__xludf.DUMMYFUNCTION("""COMPUTED_VALUE"""),"TIDAK ADA")</f>
        <v>TIDAK ADA</v>
      </c>
      <c r="T108" s="16"/>
      <c r="U108" s="16" t="str">
        <f>IFERROR(__xludf.DUMMYFUNCTION("""COMPUTED_VALUE"""),"FUTSAL")</f>
        <v>FUTSAL</v>
      </c>
      <c r="V108" s="21" t="str">
        <f>IFERROR(__xludf.DUMMYFUNCTION("""COMPUTED_VALUE"""),"088705723186")</f>
        <v>088705723186</v>
      </c>
      <c r="W108" s="22"/>
    </row>
    <row r="109" ht="22.5" customHeight="1">
      <c r="A109" s="28"/>
      <c r="B109" s="26">
        <f>IFERROR(__xludf.DUMMYFUNCTION("""COMPUTED_VALUE"""),44917.59291666667)</f>
        <v>44917.59292</v>
      </c>
      <c r="C109" s="26"/>
      <c r="D109" s="10">
        <f>IFERROR(__xludf.DUMMYFUNCTION("""COMPUTED_VALUE"""),44955.0)</f>
        <v>44955</v>
      </c>
      <c r="E109" s="10" t="str">
        <f>IFERROR(__xludf.DUMMYFUNCTION("""COMPUTED_VALUE"""),"01Jan")</f>
        <v>01Jan</v>
      </c>
      <c r="F109" s="10" t="str">
        <f>IFERROR(__xludf.DUMMYFUNCTION("""COMPUTED_VALUE"""),"2023")</f>
        <v>2023</v>
      </c>
      <c r="G109" s="16" t="str">
        <f>IFERROR(__xludf.DUMMYFUNCTION("""COMPUTED_VALUE"""),"REZA ILHAM FAHRINO")</f>
        <v>REZA ILHAM FAHRINO</v>
      </c>
      <c r="H109" s="17" t="str">
        <f>IFERROR(__xludf.DUMMYFUNCTION("""COMPUTED_VALUE"""),"R8923010787")</f>
        <v>R8923010787</v>
      </c>
      <c r="I109" s="17">
        <f>IFERROR(__xludf.DUMMYFUNCTION("""COMPUTED_VALUE"""),36.0)</f>
        <v>36</v>
      </c>
      <c r="J109" s="17" t="str">
        <f>IFERROR(__xludf.DUMMYFUNCTION("""COMPUTED_VALUE"""),"35-44 tahun")</f>
        <v>35-44 tahun</v>
      </c>
      <c r="K109" s="19">
        <f>IFERROR(__xludf.DUMMYFUNCTION("""COMPUTED_VALUE"""),32747.0)</f>
        <v>32747</v>
      </c>
      <c r="L109" s="19" t="str">
        <f>IFERROR(__xludf.DUMMYFUNCTION("""COMPUTED_VALUE"""),"LAKI-LAKI")</f>
        <v>LAKI-LAKI</v>
      </c>
      <c r="M109" s="16" t="str">
        <f>IFERROR(__xludf.DUMMYFUNCTION("""COMPUTED_VALUE"""),"JAKARTA")</f>
        <v>JAKARTA</v>
      </c>
      <c r="N109" s="16"/>
      <c r="O109" s="16"/>
      <c r="P109" s="16"/>
      <c r="Q109" s="16"/>
      <c r="R109" s="19" t="str">
        <f>IFERROR(__xludf.DUMMYFUNCTION("""COMPUTED_VALUE"""),"ISLAM")</f>
        <v>ISLAM</v>
      </c>
      <c r="S109" s="16" t="str">
        <f>IFERROR(__xludf.DUMMYFUNCTION("""COMPUTED_VALUE"""),"BUMN")</f>
        <v>BUMN</v>
      </c>
      <c r="T109" s="16" t="str">
        <f>IFERROR(__xludf.DUMMYFUNCTION("""COMPUTED_VALUE"""),"PUNGGUNG BAWAH - PELVIS (PINGGANG)")</f>
        <v>PUNGGUNG BAWAH - PELVIS (PINGGANG)</v>
      </c>
      <c r="U109" s="16" t="str">
        <f>IFERROR(__xludf.DUMMYFUNCTION("""COMPUTED_VALUE"""),"")</f>
        <v/>
      </c>
      <c r="V109" s="21" t="str">
        <f>IFERROR(__xludf.DUMMYFUNCTION("""COMPUTED_VALUE"""),"08119000787")</f>
        <v>08119000787</v>
      </c>
      <c r="W109" s="27"/>
    </row>
    <row r="110" ht="22.5" customHeight="1">
      <c r="A110" s="25"/>
      <c r="B110" s="26">
        <f>IFERROR(__xludf.DUMMYFUNCTION("""COMPUTED_VALUE"""),45011.0760553125)</f>
        <v>45011.07606</v>
      </c>
      <c r="C110" s="26"/>
      <c r="D110" s="10">
        <f>IFERROR(__xludf.DUMMYFUNCTION("""COMPUTED_VALUE"""),44955.0)</f>
        <v>44955</v>
      </c>
      <c r="E110" s="10" t="str">
        <f>IFERROR(__xludf.DUMMYFUNCTION("""COMPUTED_VALUE"""),"01Jan")</f>
        <v>01Jan</v>
      </c>
      <c r="F110" s="10" t="str">
        <f>IFERROR(__xludf.DUMMYFUNCTION("""COMPUTED_VALUE"""),"2023")</f>
        <v>2023</v>
      </c>
      <c r="G110" s="16" t="str">
        <f>IFERROR(__xludf.DUMMYFUNCTION("""COMPUTED_VALUE"""),"SUTOPO HARIANTO")</f>
        <v>SUTOPO HARIANTO</v>
      </c>
      <c r="H110" s="17" t="str">
        <f>IFERROR(__xludf.DUMMYFUNCTION("""COMPUTED_VALUE"""),"S9123018423")</f>
        <v>S9123018423</v>
      </c>
      <c r="I110" s="17">
        <f>IFERROR(__xludf.DUMMYFUNCTION("""COMPUTED_VALUE"""),34.0)</f>
        <v>34</v>
      </c>
      <c r="J110" s="17" t="str">
        <f>IFERROR(__xludf.DUMMYFUNCTION("""COMPUTED_VALUE"""),"25-34 tahun")</f>
        <v>25-34 tahun</v>
      </c>
      <c r="K110" s="19">
        <f>IFERROR(__xludf.DUMMYFUNCTION("""COMPUTED_VALUE"""),33534.0)</f>
        <v>33534</v>
      </c>
      <c r="L110" s="19" t="str">
        <f>IFERROR(__xludf.DUMMYFUNCTION("""COMPUTED_VALUE"""),"LAKI-LAKI")</f>
        <v>LAKI-LAKI</v>
      </c>
      <c r="M110" s="16" t="str">
        <f>IFERROR(__xludf.DUMMYFUNCTION("""COMPUTED_VALUE"""),"JL H M SWIGNYO GG WAJO NO 36")</f>
        <v>JL H M SWIGNYO GG WAJO NO 36</v>
      </c>
      <c r="N110" s="16"/>
      <c r="O110" s="16"/>
      <c r="P110" s="16"/>
      <c r="Q110" s="16"/>
      <c r="R110" s="19" t="str">
        <f>IFERROR(__xludf.DUMMYFUNCTION("""COMPUTED_VALUE"""),"ISLAM")</f>
        <v>ISLAM</v>
      </c>
      <c r="S110" s="16" t="str">
        <f>IFERROR(__xludf.DUMMYFUNCTION("""COMPUTED_VALUE"""),"SWASTA")</f>
        <v>SWASTA</v>
      </c>
      <c r="T110" s="16"/>
      <c r="U110" s="16" t="str">
        <f>IFERROR(__xludf.DUMMYFUNCTION("""COMPUTED_VALUE"""),"-")</f>
        <v>-</v>
      </c>
      <c r="V110" s="21" t="str">
        <f>IFERROR(__xludf.DUMMYFUNCTION("""COMPUTED_VALUE"""),"082155748423")</f>
        <v>082155748423</v>
      </c>
      <c r="W110" s="27"/>
    </row>
    <row r="111" ht="22.5" customHeight="1">
      <c r="A111" s="8"/>
      <c r="B111" s="9">
        <f>IFERROR(__xludf.DUMMYFUNCTION("""COMPUTED_VALUE"""),44907.610833576386)</f>
        <v>44907.61083</v>
      </c>
      <c r="C111" s="9"/>
      <c r="D111" s="10">
        <f>IFERROR(__xludf.DUMMYFUNCTION("""COMPUTED_VALUE"""),44955.0)</f>
        <v>44955</v>
      </c>
      <c r="E111" s="10" t="str">
        <f>IFERROR(__xludf.DUMMYFUNCTION("""COMPUTED_VALUE"""),"01Jan")</f>
        <v>01Jan</v>
      </c>
      <c r="F111" s="10" t="str">
        <f>IFERROR(__xludf.DUMMYFUNCTION("""COMPUTED_VALUE"""),"2023")</f>
        <v>2023</v>
      </c>
      <c r="G111" s="16" t="str">
        <f>IFERROR(__xludf.DUMMYFUNCTION("""COMPUTED_VALUE"""),"THJANG FIE KIAN")</f>
        <v>THJANG FIE KIAN</v>
      </c>
      <c r="H111" s="17" t="str">
        <f>IFERROR(__xludf.DUMMYFUNCTION("""COMPUTED_VALUE"""),"T5923014555")</f>
        <v>T5923014555</v>
      </c>
      <c r="I111" s="17">
        <f>IFERROR(__xludf.DUMMYFUNCTION("""COMPUTED_VALUE"""),67.0)</f>
        <v>67</v>
      </c>
      <c r="J111" s="17" t="str">
        <f>IFERROR(__xludf.DUMMYFUNCTION("""COMPUTED_VALUE"""),"&gt; 44 tahun")</f>
        <v>&gt; 44 tahun</v>
      </c>
      <c r="K111" s="19">
        <f>IFERROR(__xludf.DUMMYFUNCTION("""COMPUTED_VALUE"""),21661.0)</f>
        <v>21661</v>
      </c>
      <c r="L111" s="19" t="str">
        <f>IFERROR(__xludf.DUMMYFUNCTION("""COMPUTED_VALUE"""),"PEREMPUAN")</f>
        <v>PEREMPUAN</v>
      </c>
      <c r="M111" s="16" t="str">
        <f>IFERROR(__xludf.DUMMYFUNCTION("""COMPUTED_VALUE"""),"JL. K. H. W. HASYIM NO. 152A")</f>
        <v>JL. K. H. W. HASYIM NO. 152A</v>
      </c>
      <c r="N111" s="16"/>
      <c r="O111" s="16"/>
      <c r="P111" s="16"/>
      <c r="Q111" s="16"/>
      <c r="R111" s="19" t="str">
        <f>IFERROR(__xludf.DUMMYFUNCTION("""COMPUTED_VALUE"""),"BUDDHA")</f>
        <v>BUDDHA</v>
      </c>
      <c r="S111" s="16" t="str">
        <f>IFERROR(__xludf.DUMMYFUNCTION("""COMPUTED_VALUE"""),"TIDAK ADA")</f>
        <v>TIDAK ADA</v>
      </c>
      <c r="T111" s="16" t="str">
        <f>IFERROR(__xludf.DUMMYFUNCTION("""COMPUTED_VALUE"""),"STROKE")</f>
        <v>STROKE</v>
      </c>
      <c r="U111" s="16" t="str">
        <f>IFERROR(__xludf.DUMMYFUNCTION("""COMPUTED_VALUE"""),"-")</f>
        <v>-</v>
      </c>
      <c r="V111" s="21" t="str">
        <f>IFERROR(__xludf.DUMMYFUNCTION("""COMPUTED_VALUE"""),"082155234555")</f>
        <v>082155234555</v>
      </c>
      <c r="W111" s="22"/>
    </row>
    <row r="112" ht="22.5" customHeight="1">
      <c r="A112" s="8"/>
      <c r="B112" s="9">
        <f>IFERROR(__xludf.DUMMYFUNCTION("""COMPUTED_VALUE"""),44928.81798611111)</f>
        <v>44928.81799</v>
      </c>
      <c r="C112" s="9"/>
      <c r="D112" s="10">
        <f>IFERROR(__xludf.DUMMYFUNCTION("""COMPUTED_VALUE"""),44956.0)</f>
        <v>44956</v>
      </c>
      <c r="E112" s="10" t="str">
        <f>IFERROR(__xludf.DUMMYFUNCTION("""COMPUTED_VALUE"""),"01Jan")</f>
        <v>01Jan</v>
      </c>
      <c r="F112" s="10" t="str">
        <f>IFERROR(__xludf.DUMMYFUNCTION("""COMPUTED_VALUE"""),"2023")</f>
        <v>2023</v>
      </c>
      <c r="G112" s="16" t="str">
        <f>IFERROR(__xludf.DUMMYFUNCTION("""COMPUTED_VALUE"""),"AULIA RACHMAN")</f>
        <v>AULIA RACHMAN</v>
      </c>
      <c r="H112" s="17" t="str">
        <f>IFERROR(__xludf.DUMMYFUNCTION("""COMPUTED_VALUE"""),"A0223014044")</f>
        <v>A0223014044</v>
      </c>
      <c r="I112" s="17">
        <f>IFERROR(__xludf.DUMMYFUNCTION("""COMPUTED_VALUE"""),23.0)</f>
        <v>23</v>
      </c>
      <c r="J112" s="17" t="str">
        <f>IFERROR(__xludf.DUMMYFUNCTION("""COMPUTED_VALUE"""),"18-24 tahun")</f>
        <v>18-24 tahun</v>
      </c>
      <c r="K112" s="19">
        <f>IFERROR(__xludf.DUMMYFUNCTION("""COMPUTED_VALUE"""),37501.0)</f>
        <v>37501</v>
      </c>
      <c r="L112" s="19" t="str">
        <f>IFERROR(__xludf.DUMMYFUNCTION("""COMPUTED_VALUE"""),"LAKI-LAKI")</f>
        <v>LAKI-LAKI</v>
      </c>
      <c r="M112" s="16" t="str">
        <f>IFERROR(__xludf.DUMMYFUNCTION("""COMPUTED_VALUE"""),"JL. PERDAMAIAN")</f>
        <v>JL. PERDAMAIAN</v>
      </c>
      <c r="N112" s="16"/>
      <c r="O112" s="16"/>
      <c r="P112" s="16"/>
      <c r="Q112" s="16"/>
      <c r="R112" s="19" t="str">
        <f>IFERROR(__xludf.DUMMYFUNCTION("""COMPUTED_VALUE"""),"ISLAM")</f>
        <v>ISLAM</v>
      </c>
      <c r="S112" s="16" t="str">
        <f>IFERROR(__xludf.DUMMYFUNCTION("""COMPUTED_VALUE"""),"SWASTA")</f>
        <v>SWASTA</v>
      </c>
      <c r="T112" s="16" t="str">
        <f>IFERROR(__xludf.DUMMYFUNCTION("""COMPUTED_VALUE"""),"- TUNGKAI BAWAH")</f>
        <v>- TUNGKAI BAWAH</v>
      </c>
      <c r="U112" s="16" t="str">
        <f>IFERROR(__xludf.DUMMYFUNCTION("""COMPUTED_VALUE"""),"")</f>
        <v/>
      </c>
      <c r="V112" s="21" t="str">
        <f>IFERROR(__xludf.DUMMYFUNCTION("""COMPUTED_VALUE"""),"08963474044")</f>
        <v>08963474044</v>
      </c>
      <c r="W112" s="22"/>
    </row>
    <row r="113" ht="22.5" customHeight="1">
      <c r="A113" s="25"/>
      <c r="B113" s="26">
        <f>IFERROR(__xludf.DUMMYFUNCTION("""COMPUTED_VALUE"""),44983.45569444444)</f>
        <v>44983.45569</v>
      </c>
      <c r="C113" s="26"/>
      <c r="D113" s="10">
        <f>IFERROR(__xludf.DUMMYFUNCTION("""COMPUTED_VALUE"""),44956.0)</f>
        <v>44956</v>
      </c>
      <c r="E113" s="10" t="str">
        <f>IFERROR(__xludf.DUMMYFUNCTION("""COMPUTED_VALUE"""),"01Jan")</f>
        <v>01Jan</v>
      </c>
      <c r="F113" s="10" t="str">
        <f>IFERROR(__xludf.DUMMYFUNCTION("""COMPUTED_VALUE"""),"2023")</f>
        <v>2023</v>
      </c>
      <c r="G113" s="16" t="str">
        <f>IFERROR(__xludf.DUMMYFUNCTION("""COMPUTED_VALUE"""),"NANDA ARSEKON")</f>
        <v>NANDA ARSEKON</v>
      </c>
      <c r="H113" s="17" t="str">
        <f>IFERROR(__xludf.DUMMYFUNCTION("""COMPUTED_VALUE"""),"N0323013850")</f>
        <v>N0323013850</v>
      </c>
      <c r="I113" s="17">
        <f>IFERROR(__xludf.DUMMYFUNCTION("""COMPUTED_VALUE"""),22.0)</f>
        <v>22</v>
      </c>
      <c r="J113" s="17" t="str">
        <f>IFERROR(__xludf.DUMMYFUNCTION("""COMPUTED_VALUE"""),"18-24 tahun")</f>
        <v>18-24 tahun</v>
      </c>
      <c r="K113" s="19">
        <f>IFERROR(__xludf.DUMMYFUNCTION("""COMPUTED_VALUE"""),37798.0)</f>
        <v>37798</v>
      </c>
      <c r="L113" s="19" t="str">
        <f>IFERROR(__xludf.DUMMYFUNCTION("""COMPUTED_VALUE"""),"LAKI-LAKI")</f>
        <v>LAKI-LAKI</v>
      </c>
      <c r="M113" s="16" t="str">
        <f>IFERROR(__xludf.DUMMYFUNCTION("""COMPUTED_VALUE"""),"JL. PANCA BHAKTI GG. HIDAYAH 2")</f>
        <v>JL. PANCA BHAKTI GG. HIDAYAH 2</v>
      </c>
      <c r="N113" s="16"/>
      <c r="O113" s="16"/>
      <c r="P113" s="16"/>
      <c r="Q113" s="16"/>
      <c r="R113" s="19" t="str">
        <f>IFERROR(__xludf.DUMMYFUNCTION("""COMPUTED_VALUE"""),"ISLAM")</f>
        <v>ISLAM</v>
      </c>
      <c r="S113" s="16" t="str">
        <f>IFERROR(__xludf.DUMMYFUNCTION("""COMPUTED_VALUE"""),"TIDAK ADA")</f>
        <v>TIDAK ADA</v>
      </c>
      <c r="T113" s="16"/>
      <c r="U113" s="16" t="str">
        <f>IFERROR(__xludf.DUMMYFUNCTION("""COMPUTED_VALUE"""),"MAIN BOLA")</f>
        <v>MAIN BOLA</v>
      </c>
      <c r="V113" s="21" t="str">
        <f>IFERROR(__xludf.DUMMYFUNCTION("""COMPUTED_VALUE"""),"088242323850")</f>
        <v>088242323850</v>
      </c>
      <c r="W113" s="27"/>
    </row>
    <row r="114" ht="22.5" customHeight="1">
      <c r="A114" s="28"/>
      <c r="B114" s="26">
        <f>IFERROR(__xludf.DUMMYFUNCTION("""COMPUTED_VALUE"""),45006.83880398148)</f>
        <v>45006.8388</v>
      </c>
      <c r="C114" s="26"/>
      <c r="D114" s="10">
        <f>IFERROR(__xludf.DUMMYFUNCTION("""COMPUTED_VALUE"""),44957.0)</f>
        <v>44957</v>
      </c>
      <c r="E114" s="10" t="str">
        <f>IFERROR(__xludf.DUMMYFUNCTION("""COMPUTED_VALUE"""),"01Jan")</f>
        <v>01Jan</v>
      </c>
      <c r="F114" s="10" t="str">
        <f>IFERROR(__xludf.DUMMYFUNCTION("""COMPUTED_VALUE"""),"2023")</f>
        <v>2023</v>
      </c>
      <c r="G114" s="16" t="str">
        <f>IFERROR(__xludf.DUMMYFUNCTION("""COMPUTED_VALUE"""),"CHRISTOFER NICHOLAUS")</f>
        <v>CHRISTOFER NICHOLAUS</v>
      </c>
      <c r="H114" s="17" t="str">
        <f>IFERROR(__xludf.DUMMYFUNCTION("""COMPUTED_VALUE"""),"C9223011117")</f>
        <v>C9223011117</v>
      </c>
      <c r="I114" s="17">
        <f>IFERROR(__xludf.DUMMYFUNCTION("""COMPUTED_VALUE"""),33.0)</f>
        <v>33</v>
      </c>
      <c r="J114" s="17" t="str">
        <f>IFERROR(__xludf.DUMMYFUNCTION("""COMPUTED_VALUE"""),"25-34 tahun")</f>
        <v>25-34 tahun</v>
      </c>
      <c r="K114" s="19">
        <f>IFERROR(__xludf.DUMMYFUNCTION("""COMPUTED_VALUE"""),33921.0)</f>
        <v>33921</v>
      </c>
      <c r="L114" s="19" t="str">
        <f>IFERROR(__xludf.DUMMYFUNCTION("""COMPUTED_VALUE"""),"LAKI-LAKI")</f>
        <v>LAKI-LAKI</v>
      </c>
      <c r="M114" s="16" t="str">
        <f>IFERROR(__xludf.DUMMYFUNCTION("""COMPUTED_VALUE"""),"JL. TABRANI AHMAD")</f>
        <v>JL. TABRANI AHMAD</v>
      </c>
      <c r="N114" s="16"/>
      <c r="O114" s="16"/>
      <c r="P114" s="16"/>
      <c r="Q114" s="16"/>
      <c r="R114" s="19" t="str">
        <f>IFERROR(__xludf.DUMMYFUNCTION("""COMPUTED_VALUE"""),"KATOLIK")</f>
        <v>KATOLIK</v>
      </c>
      <c r="S114" s="16" t="str">
        <f>IFERROR(__xludf.DUMMYFUNCTION("""COMPUTED_VALUE"""),"WIRASWASTA")</f>
        <v>WIRASWASTA</v>
      </c>
      <c r="T114" s="16" t="str">
        <f>IFERROR(__xludf.DUMMYFUNCTION("""COMPUTED_VALUE"""),"BAHU,")</f>
        <v>BAHU,</v>
      </c>
      <c r="U114" s="16" t="str">
        <f>IFERROR(__xludf.DUMMYFUNCTION("""COMPUTED_VALUE"""),"BADMINTON")</f>
        <v>BADMINTON</v>
      </c>
      <c r="V114" s="21" t="str">
        <f>IFERROR(__xludf.DUMMYFUNCTION("""COMPUTED_VALUE"""),"08973181117")</f>
        <v>08973181117</v>
      </c>
      <c r="W114" s="27"/>
    </row>
    <row r="115" ht="22.5" customHeight="1">
      <c r="A115" s="8"/>
      <c r="B115" s="9">
        <f>IFERROR(__xludf.DUMMYFUNCTION("""COMPUTED_VALUE"""),45010.531058761575)</f>
        <v>45010.53106</v>
      </c>
      <c r="C115" s="9"/>
      <c r="D115" s="10">
        <f>IFERROR(__xludf.DUMMYFUNCTION("""COMPUTED_VALUE"""),44957.0)</f>
        <v>44957</v>
      </c>
      <c r="E115" s="10" t="str">
        <f>IFERROR(__xludf.DUMMYFUNCTION("""COMPUTED_VALUE"""),"01Jan")</f>
        <v>01Jan</v>
      </c>
      <c r="F115" s="10" t="str">
        <f>IFERROR(__xludf.DUMMYFUNCTION("""COMPUTED_VALUE"""),"2023")</f>
        <v>2023</v>
      </c>
      <c r="G115" s="16" t="str">
        <f>IFERROR(__xludf.DUMMYFUNCTION("""COMPUTED_VALUE"""),"NAYLA CHAIRANI")</f>
        <v>NAYLA CHAIRANI</v>
      </c>
      <c r="H115" s="17" t="str">
        <f>IFERROR(__xludf.DUMMYFUNCTION("""COMPUTED_VALUE"""),"N0823019915")</f>
        <v>N0823019915</v>
      </c>
      <c r="I115" s="17">
        <f>IFERROR(__xludf.DUMMYFUNCTION("""COMPUTED_VALUE"""),17.0)</f>
        <v>17</v>
      </c>
      <c r="J115" s="17" t="str">
        <f>IFERROR(__xludf.DUMMYFUNCTION("""COMPUTED_VALUE"""),"&lt; 18 tahun")</f>
        <v>&lt; 18 tahun</v>
      </c>
      <c r="K115" s="19">
        <f>IFERROR(__xludf.DUMMYFUNCTION("""COMPUTED_VALUE"""),39690.0)</f>
        <v>39690</v>
      </c>
      <c r="L115" s="19" t="str">
        <f>IFERROR(__xludf.DUMMYFUNCTION("""COMPUTED_VALUE"""),"PEREMPUAN")</f>
        <v>PEREMPUAN</v>
      </c>
      <c r="M115" s="16" t="str">
        <f>IFERROR(__xludf.DUMMYFUNCTION("""COMPUTED_VALUE"""),"JL. ALIANYANG GG. H. HASAN YUSUF")</f>
        <v>JL. ALIANYANG GG. H. HASAN YUSUF</v>
      </c>
      <c r="N115" s="16"/>
      <c r="O115" s="16"/>
      <c r="P115" s="16"/>
      <c r="Q115" s="16"/>
      <c r="R115" s="19" t="str">
        <f>IFERROR(__xludf.DUMMYFUNCTION("""COMPUTED_VALUE"""),"ISLAM")</f>
        <v>ISLAM</v>
      </c>
      <c r="S115" s="16" t="str">
        <f>IFERROR(__xludf.DUMMYFUNCTION("""COMPUTED_VALUE"""),"PELAJAR/MAHASISWA")</f>
        <v>PELAJAR/MAHASISWA</v>
      </c>
      <c r="T115" s="16" t="str">
        <f>IFERROR(__xludf.DUMMYFUNCTION("""COMPUTED_VALUE"""),"KAKI KIRI")</f>
        <v>KAKI KIRI</v>
      </c>
      <c r="U115" s="16" t="str">
        <f>IFERROR(__xludf.DUMMYFUNCTION("""COMPUTED_VALUE"""),"-")</f>
        <v>-</v>
      </c>
      <c r="V115" s="21" t="str">
        <f>IFERROR(__xludf.DUMMYFUNCTION("""COMPUTED_VALUE"""),"081319999915")</f>
        <v>081319999915</v>
      </c>
      <c r="W115" s="22"/>
    </row>
    <row r="116" ht="22.5" customHeight="1">
      <c r="A116" s="25"/>
      <c r="B116" s="26">
        <f>IFERROR(__xludf.DUMMYFUNCTION("""COMPUTED_VALUE"""),44983.46145833333)</f>
        <v>44983.46146</v>
      </c>
      <c r="C116" s="26"/>
      <c r="D116" s="10">
        <f>IFERROR(__xludf.DUMMYFUNCTION("""COMPUTED_VALUE"""),44958.0)</f>
        <v>44958</v>
      </c>
      <c r="E116" s="10" t="str">
        <f>IFERROR(__xludf.DUMMYFUNCTION("""COMPUTED_VALUE"""),"02Feb")</f>
        <v>02Feb</v>
      </c>
      <c r="F116" s="10" t="str">
        <f>IFERROR(__xludf.DUMMYFUNCTION("""COMPUTED_VALUE"""),"2023")</f>
        <v>2023</v>
      </c>
      <c r="G116" s="16" t="str">
        <f>IFERROR(__xludf.DUMMYFUNCTION("""COMPUTED_VALUE"""),"ANDITTYA ANDINI")</f>
        <v>ANDITTYA ANDINI</v>
      </c>
      <c r="H116" s="17" t="str">
        <f>IFERROR(__xludf.DUMMYFUNCTION("""COMPUTED_VALUE"""),"A0323027186")</f>
        <v>A0323027186</v>
      </c>
      <c r="I116" s="17">
        <f>IFERROR(__xludf.DUMMYFUNCTION("""COMPUTED_VALUE"""),22.0)</f>
        <v>22</v>
      </c>
      <c r="J116" s="17" t="str">
        <f>IFERROR(__xludf.DUMMYFUNCTION("""COMPUTED_VALUE"""),"18-24 tahun")</f>
        <v>18-24 tahun</v>
      </c>
      <c r="K116" s="19">
        <f>IFERROR(__xludf.DUMMYFUNCTION("""COMPUTED_VALUE"""),37802.0)</f>
        <v>37802</v>
      </c>
      <c r="L116" s="19" t="str">
        <f>IFERROR(__xludf.DUMMYFUNCTION("""COMPUTED_VALUE"""),"PEREMPUAN")</f>
        <v>PEREMPUAN</v>
      </c>
      <c r="M116" s="16" t="str">
        <f>IFERROR(__xludf.DUMMYFUNCTION("""COMPUTED_VALUE"""),"JL. H. RAIS ARACHMAN GG. HARAPAN NO. 45A")</f>
        <v>JL. H. RAIS ARACHMAN GG. HARAPAN NO. 45A</v>
      </c>
      <c r="N116" s="16"/>
      <c r="O116" s="16"/>
      <c r="P116" s="16"/>
      <c r="Q116" s="16"/>
      <c r="R116" s="19" t="str">
        <f>IFERROR(__xludf.DUMMYFUNCTION("""COMPUTED_VALUE"""),"ISLAM")</f>
        <v>ISLAM</v>
      </c>
      <c r="S116" s="16" t="str">
        <f>IFERROR(__xludf.DUMMYFUNCTION("""COMPUTED_VALUE"""),"PELAJAR/MAHASISWA")</f>
        <v>PELAJAR/MAHASISWA</v>
      </c>
      <c r="T116" s="16" t="str">
        <f>IFERROR(__xludf.DUMMYFUNCTION("""COMPUTED_VALUE"""),"KAKI X")</f>
        <v>KAKI X</v>
      </c>
      <c r="U116" s="16" t="str">
        <f>IFERROR(__xludf.DUMMYFUNCTION("""COMPUTED_VALUE"""),"")</f>
        <v/>
      </c>
      <c r="V116" s="21" t="str">
        <f>IFERROR(__xludf.DUMMYFUNCTION("""COMPUTED_VALUE"""),"085845177186")</f>
        <v>085845177186</v>
      </c>
      <c r="W116" s="27"/>
    </row>
    <row r="117" ht="22.5" customHeight="1">
      <c r="A117" s="8"/>
      <c r="B117" s="9">
        <f>IFERROR(__xludf.DUMMYFUNCTION("""COMPUTED_VALUE"""),44934.480833333335)</f>
        <v>44934.48083</v>
      </c>
      <c r="C117" s="9"/>
      <c r="D117" s="10">
        <f>IFERROR(__xludf.DUMMYFUNCTION("""COMPUTED_VALUE"""),44958.0)</f>
        <v>44958</v>
      </c>
      <c r="E117" s="10" t="str">
        <f>IFERROR(__xludf.DUMMYFUNCTION("""COMPUTED_VALUE"""),"02Feb")</f>
        <v>02Feb</v>
      </c>
      <c r="F117" s="10" t="str">
        <f>IFERROR(__xludf.DUMMYFUNCTION("""COMPUTED_VALUE"""),"2023")</f>
        <v>2023</v>
      </c>
      <c r="G117" s="16" t="str">
        <f>IFERROR(__xludf.DUMMYFUNCTION("""COMPUTED_VALUE"""),"FAUZAN ASKAR")</f>
        <v>FAUZAN ASKAR</v>
      </c>
      <c r="H117" s="17" t="str">
        <f>IFERROR(__xludf.DUMMYFUNCTION("""COMPUTED_VALUE"""),"F9323020350")</f>
        <v>F9323020350</v>
      </c>
      <c r="I117" s="17">
        <f>IFERROR(__xludf.DUMMYFUNCTION("""COMPUTED_VALUE"""),33.0)</f>
        <v>33</v>
      </c>
      <c r="J117" s="17" t="str">
        <f>IFERROR(__xludf.DUMMYFUNCTION("""COMPUTED_VALUE"""),"25-34 tahun")</f>
        <v>25-34 tahun</v>
      </c>
      <c r="K117" s="19">
        <f>IFERROR(__xludf.DUMMYFUNCTION("""COMPUTED_VALUE"""),34105.0)</f>
        <v>34105</v>
      </c>
      <c r="L117" s="19" t="str">
        <f>IFERROR(__xludf.DUMMYFUNCTION("""COMPUTED_VALUE"""),"LAKI-LAKI")</f>
        <v>LAKI-LAKI</v>
      </c>
      <c r="M117" s="16" t="str">
        <f>IFERROR(__xludf.DUMMYFUNCTION("""COMPUTED_VALUE"""),"JL KOMP PURI INDAH C1")</f>
        <v>JL KOMP PURI INDAH C1</v>
      </c>
      <c r="N117" s="16"/>
      <c r="O117" s="16"/>
      <c r="P117" s="16"/>
      <c r="Q117" s="16"/>
      <c r="R117" s="19" t="str">
        <f>IFERROR(__xludf.DUMMYFUNCTION("""COMPUTED_VALUE"""),"ISLAM")</f>
        <v>ISLAM</v>
      </c>
      <c r="S117" s="16" t="str">
        <f>IFERROR(__xludf.DUMMYFUNCTION("""COMPUTED_VALUE"""),"SWASTA")</f>
        <v>SWASTA</v>
      </c>
      <c r="T117" s="16" t="str">
        <f>IFERROR(__xludf.DUMMYFUNCTION("""COMPUTED_VALUE"""),"ANKLE")</f>
        <v>ANKLE</v>
      </c>
      <c r="U117" s="16" t="str">
        <f>IFERROR(__xludf.DUMMYFUNCTION("""COMPUTED_VALUE"""),"-")</f>
        <v>-</v>
      </c>
      <c r="V117" s="21" t="str">
        <f>IFERROR(__xludf.DUMMYFUNCTION("""COMPUTED_VALUE"""),"085770700350")</f>
        <v>085770700350</v>
      </c>
      <c r="W117" s="22"/>
    </row>
    <row r="118" ht="22.5" customHeight="1">
      <c r="A118" s="8"/>
      <c r="B118" s="9">
        <f>IFERROR(__xludf.DUMMYFUNCTION("""COMPUTED_VALUE"""),45006.64429391204)</f>
        <v>45006.64429</v>
      </c>
      <c r="C118" s="9"/>
      <c r="D118" s="10">
        <f>IFERROR(__xludf.DUMMYFUNCTION("""COMPUTED_VALUE"""),44958.0)</f>
        <v>44958</v>
      </c>
      <c r="E118" s="10" t="str">
        <f>IFERROR(__xludf.DUMMYFUNCTION("""COMPUTED_VALUE"""),"02Feb")</f>
        <v>02Feb</v>
      </c>
      <c r="F118" s="10" t="str">
        <f>IFERROR(__xludf.DUMMYFUNCTION("""COMPUTED_VALUE"""),"2023")</f>
        <v>2023</v>
      </c>
      <c r="G118" s="16" t="str">
        <f>IFERROR(__xludf.DUMMYFUNCTION("""COMPUTED_VALUE"""),"MAWARDI")</f>
        <v>MAWARDI</v>
      </c>
      <c r="H118" s="17" t="str">
        <f>IFERROR(__xludf.DUMMYFUNCTION("""COMPUTED_VALUE"""),"M9323023413")</f>
        <v>M9323023413</v>
      </c>
      <c r="I118" s="17">
        <f>IFERROR(__xludf.DUMMYFUNCTION("""COMPUTED_VALUE"""),33.0)</f>
        <v>33</v>
      </c>
      <c r="J118" s="17" t="str">
        <f>IFERROR(__xludf.DUMMYFUNCTION("""COMPUTED_VALUE"""),"25-34 tahun")</f>
        <v>25-34 tahun</v>
      </c>
      <c r="K118" s="19">
        <f>IFERROR(__xludf.DUMMYFUNCTION("""COMPUTED_VALUE"""),34059.0)</f>
        <v>34059</v>
      </c>
      <c r="L118" s="19" t="str">
        <f>IFERROR(__xludf.DUMMYFUNCTION("""COMPUTED_VALUE"""),"LAKI-LAKI")</f>
        <v>LAKI-LAKI</v>
      </c>
      <c r="M118" s="16" t="str">
        <f>IFERROR(__xludf.DUMMYFUNCTION("""COMPUTED_VALUE"""),"JL KOM YOS SUDARSO GG SAPTA PESONA")</f>
        <v>JL KOM YOS SUDARSO GG SAPTA PESONA</v>
      </c>
      <c r="N118" s="16"/>
      <c r="O118" s="16"/>
      <c r="P118" s="16"/>
      <c r="Q118" s="16"/>
      <c r="R118" s="19" t="str">
        <f>IFERROR(__xludf.DUMMYFUNCTION("""COMPUTED_VALUE"""),"ISLAM")</f>
        <v>ISLAM</v>
      </c>
      <c r="S118" s="16" t="str">
        <f>IFERROR(__xludf.DUMMYFUNCTION("""COMPUTED_VALUE"""),"SWASTA")</f>
        <v>SWASTA</v>
      </c>
      <c r="T118" s="16" t="str">
        <f>IFERROR(__xludf.DUMMYFUNCTION("""COMPUTED_VALUE"""),"SIKU")</f>
        <v>SIKU</v>
      </c>
      <c r="U118" s="16" t="str">
        <f>IFERROR(__xludf.DUMMYFUNCTION("""COMPUTED_VALUE"""),"BADMINTON")</f>
        <v>BADMINTON</v>
      </c>
      <c r="V118" s="21" t="str">
        <f>IFERROR(__xludf.DUMMYFUNCTION("""COMPUTED_VALUE"""),"089506753413")</f>
        <v>089506753413</v>
      </c>
      <c r="W118" s="22"/>
    </row>
    <row r="119" ht="22.5" customHeight="1">
      <c r="A119" s="25"/>
      <c r="B119" s="26">
        <f>IFERROR(__xludf.DUMMYFUNCTION("""COMPUTED_VALUE"""),44934.6772337963)</f>
        <v>44934.67723</v>
      </c>
      <c r="C119" s="26"/>
      <c r="D119" s="10">
        <f>IFERROR(__xludf.DUMMYFUNCTION("""COMPUTED_VALUE"""),44958.0)</f>
        <v>44958</v>
      </c>
      <c r="E119" s="10" t="str">
        <f>IFERROR(__xludf.DUMMYFUNCTION("""COMPUTED_VALUE"""),"02Feb")</f>
        <v>02Feb</v>
      </c>
      <c r="F119" s="10" t="str">
        <f>IFERROR(__xludf.DUMMYFUNCTION("""COMPUTED_VALUE"""),"2023")</f>
        <v>2023</v>
      </c>
      <c r="G119" s="16" t="str">
        <f>IFERROR(__xludf.DUMMYFUNCTION("""COMPUTED_VALUE"""),"WISNUNANDAR SANTOSO")</f>
        <v>WISNUNANDAR SANTOSO</v>
      </c>
      <c r="H119" s="17" t="str">
        <f>IFERROR(__xludf.DUMMYFUNCTION("""COMPUTED_VALUE"""),"W9623025042")</f>
        <v>W9623025042</v>
      </c>
      <c r="I119" s="17">
        <f>IFERROR(__xludf.DUMMYFUNCTION("""COMPUTED_VALUE"""),30.0)</f>
        <v>30</v>
      </c>
      <c r="J119" s="17" t="str">
        <f>IFERROR(__xludf.DUMMYFUNCTION("""COMPUTED_VALUE"""),"25-34 tahun")</f>
        <v>25-34 tahun</v>
      </c>
      <c r="K119" s="19">
        <f>IFERROR(__xludf.DUMMYFUNCTION("""COMPUTED_VALUE"""),35197.0)</f>
        <v>35197</v>
      </c>
      <c r="L119" s="19" t="str">
        <f>IFERROR(__xludf.DUMMYFUNCTION("""COMPUTED_VALUE"""),"LAKI-LAKI")</f>
        <v>LAKI-LAKI</v>
      </c>
      <c r="M119" s="16" t="str">
        <f>IFERROR(__xludf.DUMMYFUNCTION("""COMPUTED_VALUE"""),"JL. NAWAWI HASAN NO. 85")</f>
        <v>JL. NAWAWI HASAN NO. 85</v>
      </c>
      <c r="N119" s="16"/>
      <c r="O119" s="16"/>
      <c r="P119" s="16"/>
      <c r="Q119" s="16"/>
      <c r="R119" s="19" t="str">
        <f>IFERROR(__xludf.DUMMYFUNCTION("""COMPUTED_VALUE"""),"ISLAM")</f>
        <v>ISLAM</v>
      </c>
      <c r="S119" s="16" t="str">
        <f>IFERROR(__xludf.DUMMYFUNCTION("""COMPUTED_VALUE"""),"SWASTA")</f>
        <v>SWASTA</v>
      </c>
      <c r="T119" s="16" t="str">
        <f>IFERROR(__xludf.DUMMYFUNCTION("""COMPUTED_VALUE"""),"ENGKEL DAN TELAPAK KAKI")</f>
        <v>ENGKEL DAN TELAPAK KAKI</v>
      </c>
      <c r="U119" s="16" t="str">
        <f>IFERROR(__xludf.DUMMYFUNCTION("""COMPUTED_VALUE"""),"")</f>
        <v/>
      </c>
      <c r="V119" s="21" t="str">
        <f>IFERROR(__xludf.DUMMYFUNCTION("""COMPUTED_VALUE"""),"089693945042")</f>
        <v>089693945042</v>
      </c>
      <c r="W119" s="27"/>
    </row>
    <row r="120" ht="22.5" customHeight="1">
      <c r="A120" s="8"/>
      <c r="B120" s="9">
        <f>IFERROR(__xludf.DUMMYFUNCTION("""COMPUTED_VALUE"""),45010.574262511574)</f>
        <v>45010.57426</v>
      </c>
      <c r="C120" s="9"/>
      <c r="D120" s="10">
        <f>IFERROR(__xludf.DUMMYFUNCTION("""COMPUTED_VALUE"""),44959.0)</f>
        <v>44959</v>
      </c>
      <c r="E120" s="10" t="str">
        <f>IFERROR(__xludf.DUMMYFUNCTION("""COMPUTED_VALUE"""),"02Feb")</f>
        <v>02Feb</v>
      </c>
      <c r="F120" s="10" t="str">
        <f>IFERROR(__xludf.DUMMYFUNCTION("""COMPUTED_VALUE"""),"2023")</f>
        <v>2023</v>
      </c>
      <c r="G120" s="16" t="str">
        <f>IFERROR(__xludf.DUMMYFUNCTION("""COMPUTED_VALUE"""),"HADI PRATAMA")</f>
        <v>HADI PRATAMA</v>
      </c>
      <c r="H120" s="17" t="str">
        <f>IFERROR(__xludf.DUMMYFUNCTION("""COMPUTED_VALUE"""),"H8923022234")</f>
        <v>H8923022234</v>
      </c>
      <c r="I120" s="17">
        <f>IFERROR(__xludf.DUMMYFUNCTION("""COMPUTED_VALUE"""),37.0)</f>
        <v>37</v>
      </c>
      <c r="J120" s="17" t="str">
        <f>IFERROR(__xludf.DUMMYFUNCTION("""COMPUTED_VALUE"""),"35-44 tahun")</f>
        <v>35-44 tahun</v>
      </c>
      <c r="K120" s="19">
        <f>IFERROR(__xludf.DUMMYFUNCTION("""COMPUTED_VALUE"""),32596.0)</f>
        <v>32596</v>
      </c>
      <c r="L120" s="19" t="str">
        <f>IFERROR(__xludf.DUMMYFUNCTION("""COMPUTED_VALUE"""),"LAKI-LAKI")</f>
        <v>LAKI-LAKI</v>
      </c>
      <c r="M120" s="16" t="str">
        <f>IFERROR(__xludf.DUMMYFUNCTION("""COMPUTED_VALUE"""),"JL. PURNAMA GG. PURNAMA DALAM")</f>
        <v>JL. PURNAMA GG. PURNAMA DALAM</v>
      </c>
      <c r="N120" s="16"/>
      <c r="O120" s="16"/>
      <c r="P120" s="16"/>
      <c r="Q120" s="16"/>
      <c r="R120" s="19" t="str">
        <f>IFERROR(__xludf.DUMMYFUNCTION("""COMPUTED_VALUE"""),"ISLAM")</f>
        <v>ISLAM</v>
      </c>
      <c r="S120" s="16" t="str">
        <f>IFERROR(__xludf.DUMMYFUNCTION("""COMPUTED_VALUE"""),"ASN")</f>
        <v>ASN</v>
      </c>
      <c r="T120" s="16"/>
      <c r="U120" s="16" t="str">
        <f>IFERROR(__xludf.DUMMYFUNCTION("""COMPUTED_VALUE"""),"")</f>
        <v/>
      </c>
      <c r="V120" s="21" t="str">
        <f>IFERROR(__xludf.DUMMYFUNCTION("""COMPUTED_VALUE"""),"081388322234")</f>
        <v>081388322234</v>
      </c>
      <c r="W120" s="22"/>
    </row>
    <row r="121" ht="22.5" customHeight="1">
      <c r="A121" s="25"/>
      <c r="B121" s="26">
        <f>IFERROR(__xludf.DUMMYFUNCTION("""COMPUTED_VALUE"""),45010.496754328706)</f>
        <v>45010.49675</v>
      </c>
      <c r="C121" s="26"/>
      <c r="D121" s="10">
        <f>IFERROR(__xludf.DUMMYFUNCTION("""COMPUTED_VALUE"""),44959.0)</f>
        <v>44959</v>
      </c>
      <c r="E121" s="10" t="str">
        <f>IFERROR(__xludf.DUMMYFUNCTION("""COMPUTED_VALUE"""),"02Feb")</f>
        <v>02Feb</v>
      </c>
      <c r="F121" s="10" t="str">
        <f>IFERROR(__xludf.DUMMYFUNCTION("""COMPUTED_VALUE"""),"2023")</f>
        <v>2023</v>
      </c>
      <c r="G121" s="16" t="str">
        <f>IFERROR(__xludf.DUMMYFUNCTION("""COMPUTED_VALUE"""),"NANDA M SHAUQIE")</f>
        <v>NANDA M SHAUQIE</v>
      </c>
      <c r="H121" s="17" t="str">
        <f>IFERROR(__xludf.DUMMYFUNCTION("""COMPUTED_VALUE"""),"N9323021358")</f>
        <v>N9323021358</v>
      </c>
      <c r="I121" s="17">
        <f>IFERROR(__xludf.DUMMYFUNCTION("""COMPUTED_VALUE"""),33.0)</f>
        <v>33</v>
      </c>
      <c r="J121" s="17" t="str">
        <f>IFERROR(__xludf.DUMMYFUNCTION("""COMPUTED_VALUE"""),"25-34 tahun")</f>
        <v>25-34 tahun</v>
      </c>
      <c r="K121" s="19">
        <f>IFERROR(__xludf.DUMMYFUNCTION("""COMPUTED_VALUE"""),34063.0)</f>
        <v>34063</v>
      </c>
      <c r="L121" s="19" t="str">
        <f>IFERROR(__xludf.DUMMYFUNCTION("""COMPUTED_VALUE"""),"LAKI-LAKI")</f>
        <v>LAKI-LAKI</v>
      </c>
      <c r="M121" s="16" t="str">
        <f>IFERROR(__xludf.DUMMYFUNCTION("""COMPUTED_VALUE"""),"JL HUSEIN HAMZAH GG KRAKATAU 3")</f>
        <v>JL HUSEIN HAMZAH GG KRAKATAU 3</v>
      </c>
      <c r="N121" s="16"/>
      <c r="O121" s="16"/>
      <c r="P121" s="16"/>
      <c r="Q121" s="16"/>
      <c r="R121" s="19" t="str">
        <f>IFERROR(__xludf.DUMMYFUNCTION("""COMPUTED_VALUE"""),"ISLAM")</f>
        <v>ISLAM</v>
      </c>
      <c r="S121" s="16" t="str">
        <f>IFERROR(__xludf.DUMMYFUNCTION("""COMPUTED_VALUE"""),"PERBANKAN")</f>
        <v>PERBANKAN</v>
      </c>
      <c r="T121" s="16"/>
      <c r="U121" s="16" t="str">
        <f>IFERROR(__xludf.DUMMYFUNCTION("""COMPUTED_VALUE"""),"FUTSAL")</f>
        <v>FUTSAL</v>
      </c>
      <c r="V121" s="21" t="str">
        <f>IFERROR(__xludf.DUMMYFUNCTION("""COMPUTED_VALUE"""),"089693711358")</f>
        <v>089693711358</v>
      </c>
      <c r="W121" s="27"/>
    </row>
    <row r="122" ht="22.5" customHeight="1">
      <c r="A122" s="8"/>
      <c r="B122" s="9">
        <f>IFERROR(__xludf.DUMMYFUNCTION("""COMPUTED_VALUE"""),44956.55280092593)</f>
        <v>44956.5528</v>
      </c>
      <c r="C122" s="9"/>
      <c r="D122" s="10">
        <f>IFERROR(__xludf.DUMMYFUNCTION("""COMPUTED_VALUE"""),44959.0)</f>
        <v>44959</v>
      </c>
      <c r="E122" s="10" t="str">
        <f>IFERROR(__xludf.DUMMYFUNCTION("""COMPUTED_VALUE"""),"02Feb")</f>
        <v>02Feb</v>
      </c>
      <c r="F122" s="10" t="str">
        <f>IFERROR(__xludf.DUMMYFUNCTION("""COMPUTED_VALUE"""),"2023")</f>
        <v>2023</v>
      </c>
      <c r="G122" s="16" t="str">
        <f>IFERROR(__xludf.DUMMYFUNCTION("""COMPUTED_VALUE"""),"RIKO PRASETYO")</f>
        <v>RIKO PRASETYO</v>
      </c>
      <c r="H122" s="17" t="str">
        <f>IFERROR(__xludf.DUMMYFUNCTION("""COMPUTED_VALUE"""),"R9923026333")</f>
        <v>R9923026333</v>
      </c>
      <c r="I122" s="17">
        <f>IFERROR(__xludf.DUMMYFUNCTION("""COMPUTED_VALUE"""),27.0)</f>
        <v>27</v>
      </c>
      <c r="J122" s="17" t="str">
        <f>IFERROR(__xludf.DUMMYFUNCTION("""COMPUTED_VALUE"""),"25-34 tahun")</f>
        <v>25-34 tahun</v>
      </c>
      <c r="K122" s="19">
        <f>IFERROR(__xludf.DUMMYFUNCTION("""COMPUTED_VALUE"""),36259.0)</f>
        <v>36259</v>
      </c>
      <c r="L122" s="19" t="str">
        <f>IFERROR(__xludf.DUMMYFUNCTION("""COMPUTED_VALUE"""),"LAKI-LAKI")</f>
        <v>LAKI-LAKI</v>
      </c>
      <c r="M122" s="16" t="str">
        <f>IFERROR(__xludf.DUMMYFUNCTION("""COMPUTED_VALUE"""),"RANDUGARUT")</f>
        <v>RANDUGARUT</v>
      </c>
      <c r="N122" s="16"/>
      <c r="O122" s="16"/>
      <c r="P122" s="16"/>
      <c r="Q122" s="16"/>
      <c r="R122" s="19" t="str">
        <f>IFERROR(__xludf.DUMMYFUNCTION("""COMPUTED_VALUE"""),"ISLAM")</f>
        <v>ISLAM</v>
      </c>
      <c r="S122" s="16" t="str">
        <f>IFERROR(__xludf.DUMMYFUNCTION("""COMPUTED_VALUE"""),"TNI/POLRI")</f>
        <v>TNI/POLRI</v>
      </c>
      <c r="T122" s="16" t="str">
        <f>IFERROR(__xludf.DUMMYFUNCTION("""COMPUTED_VALUE"""),"KIRI")</f>
        <v>KIRI</v>
      </c>
      <c r="U122" s="16" t="str">
        <f>IFERROR(__xludf.DUMMYFUNCTION("""COMPUTED_VALUE"""),"-")</f>
        <v>-</v>
      </c>
      <c r="V122" s="21" t="str">
        <f>IFERROR(__xludf.DUMMYFUNCTION("""COMPUTED_VALUE"""),"089646636333")</f>
        <v>089646636333</v>
      </c>
      <c r="W122" s="22"/>
    </row>
    <row r="123" ht="22.5" customHeight="1">
      <c r="A123" s="8"/>
      <c r="B123" s="9">
        <f>IFERROR(__xludf.DUMMYFUNCTION("""COMPUTED_VALUE"""),45011.64392520834)</f>
        <v>45011.64393</v>
      </c>
      <c r="C123" s="9"/>
      <c r="D123" s="10">
        <f>IFERROR(__xludf.DUMMYFUNCTION("""COMPUTED_VALUE"""),44961.0)</f>
        <v>44961</v>
      </c>
      <c r="E123" s="10" t="str">
        <f>IFERROR(__xludf.DUMMYFUNCTION("""COMPUTED_VALUE"""),"02Feb")</f>
        <v>02Feb</v>
      </c>
      <c r="F123" s="10" t="str">
        <f>IFERROR(__xludf.DUMMYFUNCTION("""COMPUTED_VALUE"""),"2023")</f>
        <v>2023</v>
      </c>
      <c r="G123" s="16" t="str">
        <f>IFERROR(__xludf.DUMMYFUNCTION("""COMPUTED_VALUE"""),"INDAH KRISTI AUDI")</f>
        <v>INDAH KRISTI AUDI</v>
      </c>
      <c r="H123" s="17" t="str">
        <f>IFERROR(__xludf.DUMMYFUNCTION("""COMPUTED_VALUE"""),"I0023024097")</f>
        <v>I0023024097</v>
      </c>
      <c r="I123" s="17">
        <f>IFERROR(__xludf.DUMMYFUNCTION("""COMPUTED_VALUE"""),25.0)</f>
        <v>25</v>
      </c>
      <c r="J123" s="17" t="str">
        <f>IFERROR(__xludf.DUMMYFUNCTION("""COMPUTED_VALUE"""),"25-34 tahun")</f>
        <v>25-34 tahun</v>
      </c>
      <c r="K123" s="19">
        <f>IFERROR(__xludf.DUMMYFUNCTION("""COMPUTED_VALUE"""),36874.0)</f>
        <v>36874</v>
      </c>
      <c r="L123" s="19" t="str">
        <f>IFERROR(__xludf.DUMMYFUNCTION("""COMPUTED_VALUE"""),"PEREMPUAN")</f>
        <v>PEREMPUAN</v>
      </c>
      <c r="M123" s="16" t="str">
        <f>IFERROR(__xludf.DUMMYFUNCTION("""COMPUTED_VALUE"""),"JL. PURNAMA GG. DINASTI DALAM")</f>
        <v>JL. PURNAMA GG. DINASTI DALAM</v>
      </c>
      <c r="N123" s="16"/>
      <c r="O123" s="16"/>
      <c r="P123" s="16"/>
      <c r="Q123" s="16"/>
      <c r="R123" s="19" t="str">
        <f>IFERROR(__xludf.DUMMYFUNCTION("""COMPUTED_VALUE"""),"KATOLIK")</f>
        <v>KATOLIK</v>
      </c>
      <c r="S123" s="16" t="str">
        <f>IFERROR(__xludf.DUMMYFUNCTION("""COMPUTED_VALUE"""),"PELAJAR/MAHASISWA")</f>
        <v>PELAJAR/MAHASISWA</v>
      </c>
      <c r="T123" s="16" t="str">
        <f>IFERROR(__xludf.DUMMYFUNCTION("""COMPUTED_VALUE"""),"BOKONG")</f>
        <v>BOKONG</v>
      </c>
      <c r="U123" s="16" t="str">
        <f>IFERROR(__xludf.DUMMYFUNCTION("""COMPUTED_VALUE"""),"")</f>
        <v/>
      </c>
      <c r="V123" s="21" t="str">
        <f>IFERROR(__xludf.DUMMYFUNCTION("""COMPUTED_VALUE"""),"089693444097")</f>
        <v>089693444097</v>
      </c>
      <c r="W123" s="22"/>
    </row>
    <row r="124" ht="22.5" customHeight="1">
      <c r="A124" s="25"/>
      <c r="B124" s="26">
        <f>IFERROR(__xludf.DUMMYFUNCTION("""COMPUTED_VALUE"""),44950.520150462966)</f>
        <v>44950.52015</v>
      </c>
      <c r="C124" s="26"/>
      <c r="D124" s="10">
        <f>IFERROR(__xludf.DUMMYFUNCTION("""COMPUTED_VALUE"""),44962.0)</f>
        <v>44962</v>
      </c>
      <c r="E124" s="10" t="str">
        <f>IFERROR(__xludf.DUMMYFUNCTION("""COMPUTED_VALUE"""),"02Feb")</f>
        <v>02Feb</v>
      </c>
      <c r="F124" s="10" t="str">
        <f>IFERROR(__xludf.DUMMYFUNCTION("""COMPUTED_VALUE"""),"2023")</f>
        <v>2023</v>
      </c>
      <c r="G124" s="16" t="str">
        <f>IFERROR(__xludf.DUMMYFUNCTION("""COMPUTED_VALUE"""),"ANI WATI")</f>
        <v>ANI WATI</v>
      </c>
      <c r="H124" s="17" t="str">
        <f>IFERROR(__xludf.DUMMYFUNCTION("""COMPUTED_VALUE"""),"A5423026842")</f>
        <v>A5423026842</v>
      </c>
      <c r="I124" s="17">
        <f>IFERROR(__xludf.DUMMYFUNCTION("""COMPUTED_VALUE"""),72.0)</f>
        <v>72</v>
      </c>
      <c r="J124" s="17" t="str">
        <f>IFERROR(__xludf.DUMMYFUNCTION("""COMPUTED_VALUE"""),"&gt; 44 tahun")</f>
        <v>&gt; 44 tahun</v>
      </c>
      <c r="K124" s="19">
        <f>IFERROR(__xludf.DUMMYFUNCTION("""COMPUTED_VALUE"""),19835.0)</f>
        <v>19835</v>
      </c>
      <c r="L124" s="19" t="str">
        <f>IFERROR(__xludf.DUMMYFUNCTION("""COMPUTED_VALUE"""),"PEREMPUAN")</f>
        <v>PEREMPUAN</v>
      </c>
      <c r="M124" s="16" t="str">
        <f>IFERROR(__xludf.DUMMYFUNCTION("""COMPUTED_VALUE"""),"JL. URAY BAWADI GG. SENTOSA")</f>
        <v>JL. URAY BAWADI GG. SENTOSA</v>
      </c>
      <c r="N124" s="16"/>
      <c r="O124" s="16"/>
      <c r="P124" s="16"/>
      <c r="Q124" s="16"/>
      <c r="R124" s="19" t="str">
        <f>IFERROR(__xludf.DUMMYFUNCTION("""COMPUTED_VALUE"""),"ISLAM")</f>
        <v>ISLAM</v>
      </c>
      <c r="S124" s="16" t="str">
        <f>IFERROR(__xludf.DUMMYFUNCTION("""COMPUTED_VALUE"""),"PENSIUN")</f>
        <v>PENSIUN</v>
      </c>
      <c r="T124" s="16" t="str">
        <f>IFERROR(__xludf.DUMMYFUNCTION("""COMPUTED_VALUE"""),"TUNGKAI")</f>
        <v>TUNGKAI</v>
      </c>
      <c r="U124" s="16" t="str">
        <f>IFERROR(__xludf.DUMMYFUNCTION("""COMPUTED_VALUE"""),"MASAK")</f>
        <v>MASAK</v>
      </c>
      <c r="V124" s="21" t="str">
        <f>IFERROR(__xludf.DUMMYFUNCTION("""COMPUTED_VALUE"""),"081352366842")</f>
        <v>081352366842</v>
      </c>
      <c r="W124" s="27"/>
    </row>
    <row r="125" ht="22.5" customHeight="1">
      <c r="A125" s="8"/>
      <c r="B125" s="9">
        <f>IFERROR(__xludf.DUMMYFUNCTION("""COMPUTED_VALUE"""),45006.838044097225)</f>
        <v>45006.83804</v>
      </c>
      <c r="C125" s="9"/>
      <c r="D125" s="10">
        <f>IFERROR(__xludf.DUMMYFUNCTION("""COMPUTED_VALUE"""),44962.0)</f>
        <v>44962</v>
      </c>
      <c r="E125" s="10" t="str">
        <f>IFERROR(__xludf.DUMMYFUNCTION("""COMPUTED_VALUE"""),"02Feb")</f>
        <v>02Feb</v>
      </c>
      <c r="F125" s="10" t="str">
        <f>IFERROR(__xludf.DUMMYFUNCTION("""COMPUTED_VALUE"""),"2023")</f>
        <v>2023</v>
      </c>
      <c r="G125" s="16" t="str">
        <f>IFERROR(__xludf.DUMMYFUNCTION("""COMPUTED_VALUE"""),"M HANIF HILMI")</f>
        <v>M HANIF HILMI</v>
      </c>
      <c r="H125" s="17" t="str">
        <f>IFERROR(__xludf.DUMMYFUNCTION("""COMPUTED_VALUE"""),"M1123026696")</f>
        <v>M1123026696</v>
      </c>
      <c r="I125" s="17">
        <f>IFERROR(__xludf.DUMMYFUNCTION("""COMPUTED_VALUE"""),14.0)</f>
        <v>14</v>
      </c>
      <c r="J125" s="17" t="str">
        <f>IFERROR(__xludf.DUMMYFUNCTION("""COMPUTED_VALUE"""),"&lt; 18 tahun")</f>
        <v>&lt; 18 tahun</v>
      </c>
      <c r="K125" s="19">
        <f>IFERROR(__xludf.DUMMYFUNCTION("""COMPUTED_VALUE"""),40792.0)</f>
        <v>40792</v>
      </c>
      <c r="L125" s="19" t="str">
        <f>IFERROR(__xludf.DUMMYFUNCTION("""COMPUTED_VALUE"""),"LAKI-LAKI")</f>
        <v>LAKI-LAKI</v>
      </c>
      <c r="M125" s="16" t="str">
        <f>IFERROR(__xludf.DUMMYFUNCTION("""COMPUTED_VALUE"""),"JL KEBANGKITAN NASIONAL NO 70")</f>
        <v>JL KEBANGKITAN NASIONAL NO 70</v>
      </c>
      <c r="N125" s="16"/>
      <c r="O125" s="16"/>
      <c r="P125" s="16"/>
      <c r="Q125" s="16"/>
      <c r="R125" s="19" t="str">
        <f>IFERROR(__xludf.DUMMYFUNCTION("""COMPUTED_VALUE"""),"ISLAM")</f>
        <v>ISLAM</v>
      </c>
      <c r="S125" s="16" t="str">
        <f>IFERROR(__xludf.DUMMYFUNCTION("""COMPUTED_VALUE"""),"PELAJAR/MAHASISWA")</f>
        <v>PELAJAR/MAHASISWA</v>
      </c>
      <c r="T125" s="16" t="str">
        <f>IFERROR(__xludf.DUMMYFUNCTION("""COMPUTED_VALUE"""),"ANKLE")</f>
        <v>ANKLE</v>
      </c>
      <c r="U125" s="16" t="str">
        <f>IFERROR(__xludf.DUMMYFUNCTION("""COMPUTED_VALUE"""),";")</f>
        <v>;</v>
      </c>
      <c r="V125" s="21" t="str">
        <f>IFERROR(__xludf.DUMMYFUNCTION("""COMPUTED_VALUE"""),"081345586696")</f>
        <v>081345586696</v>
      </c>
      <c r="W125" s="22"/>
    </row>
    <row r="126" ht="22.5" customHeight="1">
      <c r="A126" s="25"/>
      <c r="B126" s="26">
        <f>IFERROR(__xludf.DUMMYFUNCTION("""COMPUTED_VALUE"""),45006.837190659724)</f>
        <v>45006.83719</v>
      </c>
      <c r="C126" s="26"/>
      <c r="D126" s="10">
        <f>IFERROR(__xludf.DUMMYFUNCTION("""COMPUTED_VALUE"""),44963.0)</f>
        <v>44963</v>
      </c>
      <c r="E126" s="10" t="str">
        <f>IFERROR(__xludf.DUMMYFUNCTION("""COMPUTED_VALUE"""),"02Feb")</f>
        <v>02Feb</v>
      </c>
      <c r="F126" s="10" t="str">
        <f>IFERROR(__xludf.DUMMYFUNCTION("""COMPUTED_VALUE"""),"2023")</f>
        <v>2023</v>
      </c>
      <c r="G126" s="16" t="str">
        <f>IFERROR(__xludf.DUMMYFUNCTION("""COMPUTED_VALUE"""),"ARIF WICAKSONO")</f>
        <v>ARIF WICAKSONO</v>
      </c>
      <c r="H126" s="17" t="str">
        <f>IFERROR(__xludf.DUMMYFUNCTION("""COMPUTED_VALUE"""),"A9623024664")</f>
        <v>A9623024664</v>
      </c>
      <c r="I126" s="17">
        <f>IFERROR(__xludf.DUMMYFUNCTION("""COMPUTED_VALUE"""),30.0)</f>
        <v>30</v>
      </c>
      <c r="J126" s="17" t="str">
        <f>IFERROR(__xludf.DUMMYFUNCTION("""COMPUTED_VALUE"""),"25-34 tahun")</f>
        <v>25-34 tahun</v>
      </c>
      <c r="K126" s="19">
        <f>IFERROR(__xludf.DUMMYFUNCTION("""COMPUTED_VALUE"""),35231.0)</f>
        <v>35231</v>
      </c>
      <c r="L126" s="19" t="str">
        <f>IFERROR(__xludf.DUMMYFUNCTION("""COMPUTED_VALUE"""),"LAKI-LAKI")</f>
        <v>LAKI-LAKI</v>
      </c>
      <c r="M126" s="16" t="str">
        <f>IFERROR(__xludf.DUMMYFUNCTION("""COMPUTED_VALUE"""),"JL RE MARTADINATA GG PURING NO 10")</f>
        <v>JL RE MARTADINATA GG PURING NO 10</v>
      </c>
      <c r="N126" s="16"/>
      <c r="O126" s="16"/>
      <c r="P126" s="16"/>
      <c r="Q126" s="16"/>
      <c r="R126" s="19" t="str">
        <f>IFERROR(__xludf.DUMMYFUNCTION("""COMPUTED_VALUE"""),"ISLAM")</f>
        <v>ISLAM</v>
      </c>
      <c r="S126" s="16" t="str">
        <f>IFERROR(__xludf.DUMMYFUNCTION("""COMPUTED_VALUE"""),"TIDAK ADA")</f>
        <v>TIDAK ADA</v>
      </c>
      <c r="T126" s="16" t="str">
        <f>IFERROR(__xludf.DUMMYFUNCTION("""COMPUTED_VALUE"""),"PINGGANG")</f>
        <v>PINGGANG</v>
      </c>
      <c r="U126" s="16" t="str">
        <f>IFERROR(__xludf.DUMMYFUNCTION("""COMPUTED_VALUE"""),"-")</f>
        <v>-</v>
      </c>
      <c r="V126" s="21" t="str">
        <f>IFERROR(__xludf.DUMMYFUNCTION("""COMPUTED_VALUE"""),"081932584664")</f>
        <v>081932584664</v>
      </c>
      <c r="W126" s="27"/>
    </row>
    <row r="127" ht="22.5" customHeight="1">
      <c r="A127" s="8"/>
      <c r="B127" s="9">
        <f>IFERROR(__xludf.DUMMYFUNCTION("""COMPUTED_VALUE"""),45010.540681909726)</f>
        <v>45010.54068</v>
      </c>
      <c r="C127" s="9"/>
      <c r="D127" s="10">
        <f>IFERROR(__xludf.DUMMYFUNCTION("""COMPUTED_VALUE"""),44963.0)</f>
        <v>44963</v>
      </c>
      <c r="E127" s="10" t="str">
        <f>IFERROR(__xludf.DUMMYFUNCTION("""COMPUTED_VALUE"""),"02Feb")</f>
        <v>02Feb</v>
      </c>
      <c r="F127" s="10" t="str">
        <f>IFERROR(__xludf.DUMMYFUNCTION("""COMPUTED_VALUE"""),"2023")</f>
        <v>2023</v>
      </c>
      <c r="G127" s="16" t="str">
        <f>IFERROR(__xludf.DUMMYFUNCTION("""COMPUTED_VALUE"""),"URAY SHEILA ANNISA AULIA")</f>
        <v>URAY SHEILA ANNISA AULIA</v>
      </c>
      <c r="H127" s="17" t="str">
        <f>IFERROR(__xludf.DUMMYFUNCTION("""COMPUTED_VALUE"""),"U0423025464")</f>
        <v>U0423025464</v>
      </c>
      <c r="I127" s="17">
        <f>IFERROR(__xludf.DUMMYFUNCTION("""COMPUTED_VALUE"""),21.0)</f>
        <v>21</v>
      </c>
      <c r="J127" s="17" t="str">
        <f>IFERROR(__xludf.DUMMYFUNCTION("""COMPUTED_VALUE"""),"18-24 tahun")</f>
        <v>18-24 tahun</v>
      </c>
      <c r="K127" s="19">
        <f>IFERROR(__xludf.DUMMYFUNCTION("""COMPUTED_VALUE"""),38345.0)</f>
        <v>38345</v>
      </c>
      <c r="L127" s="19" t="str">
        <f>IFERROR(__xludf.DUMMYFUNCTION("""COMPUTED_VALUE"""),"PEREMPUAN")</f>
        <v>PEREMPUAN</v>
      </c>
      <c r="M127" s="16" t="str">
        <f>IFERROR(__xludf.DUMMYFUNCTION("""COMPUTED_VALUE"""),"JL. SUKARAMAI DESA DALAM KAUM, SAMBAS")</f>
        <v>JL. SUKARAMAI DESA DALAM KAUM, SAMBAS</v>
      </c>
      <c r="N127" s="16"/>
      <c r="O127" s="16"/>
      <c r="P127" s="16"/>
      <c r="Q127" s="16"/>
      <c r="R127" s="19" t="str">
        <f>IFERROR(__xludf.DUMMYFUNCTION("""COMPUTED_VALUE"""),"ISLAM")</f>
        <v>ISLAM</v>
      </c>
      <c r="S127" s="16" t="str">
        <f>IFERROR(__xludf.DUMMYFUNCTION("""COMPUTED_VALUE"""),"PELAJAR/MAHASISWA")</f>
        <v>PELAJAR/MAHASISWA</v>
      </c>
      <c r="T127" s="16" t="str">
        <f>IFERROR(__xludf.DUMMYFUNCTION("""COMPUTED_VALUE"""),"POSTUR")</f>
        <v>POSTUR</v>
      </c>
      <c r="U127" s="16" t="str">
        <f>IFERROR(__xludf.DUMMYFUNCTION("""COMPUTED_VALUE"""),"-")</f>
        <v>-</v>
      </c>
      <c r="V127" s="21" t="str">
        <f>IFERROR(__xludf.DUMMYFUNCTION("""COMPUTED_VALUE"""),"089638575464")</f>
        <v>089638575464</v>
      </c>
      <c r="W127" s="22"/>
    </row>
    <row r="128" ht="22.5" customHeight="1">
      <c r="A128" s="8"/>
      <c r="B128" s="9">
        <f>IFERROR(__xludf.DUMMYFUNCTION("""COMPUTED_VALUE"""),44723.86283564815)</f>
        <v>44723.86284</v>
      </c>
      <c r="C128" s="9"/>
      <c r="D128" s="10">
        <f>IFERROR(__xludf.DUMMYFUNCTION("""COMPUTED_VALUE"""),44963.0)</f>
        <v>44963</v>
      </c>
      <c r="E128" s="10" t="str">
        <f>IFERROR(__xludf.DUMMYFUNCTION("""COMPUTED_VALUE"""),"02Feb")</f>
        <v>02Feb</v>
      </c>
      <c r="F128" s="10" t="str">
        <f>IFERROR(__xludf.DUMMYFUNCTION("""COMPUTED_VALUE"""),"2023")</f>
        <v>2023</v>
      </c>
      <c r="G128" s="16" t="str">
        <f>IFERROR(__xludf.DUMMYFUNCTION("""COMPUTED_VALUE"""),"NAUFAL ARYA IRAWAN PUTRA")</f>
        <v>NAUFAL ARYA IRAWAN PUTRA</v>
      </c>
      <c r="H128" s="17" t="str">
        <f>IFERROR(__xludf.DUMMYFUNCTION("""COMPUTED_VALUE"""),"N0423029831")</f>
        <v>N0423029831</v>
      </c>
      <c r="I128" s="17">
        <f>IFERROR(__xludf.DUMMYFUNCTION("""COMPUTED_VALUE"""),22.0)</f>
        <v>22</v>
      </c>
      <c r="J128" s="17" t="str">
        <f>IFERROR(__xludf.DUMMYFUNCTION("""COMPUTED_VALUE"""),"18-24 tahun")</f>
        <v>18-24 tahun</v>
      </c>
      <c r="K128" s="19">
        <f>IFERROR(__xludf.DUMMYFUNCTION("""COMPUTED_VALUE"""),38102.0)</f>
        <v>38102</v>
      </c>
      <c r="L128" s="19" t="str">
        <f>IFERROR(__xludf.DUMMYFUNCTION("""COMPUTED_VALUE"""),"LAKI-LAKI")</f>
        <v>LAKI-LAKI</v>
      </c>
      <c r="M128" s="16" t="str">
        <f>IFERROR(__xludf.DUMMYFUNCTION("""COMPUTED_VALUE"""),"JALAN DR WAHIDIN S GG. SEPAKAT 8 JALUR 5 RT. 004 RW. 021 KEL. SUNGAI JAWI KEC. PONTIANAK KOTA, KOTA PONTIANAK PROV. KALBAR")</f>
        <v>JALAN DR WAHIDIN S GG. SEPAKAT 8 JALUR 5 RT. 004 RW. 021 KEL. SUNGAI JAWI KEC. PONTIANAK KOTA, KOTA PONTIANAK PROV. KALBAR</v>
      </c>
      <c r="N128" s="16"/>
      <c r="O128" s="16"/>
      <c r="P128" s="16"/>
      <c r="Q128" s="16"/>
      <c r="R128" s="19" t="str">
        <f>IFERROR(__xludf.DUMMYFUNCTION("""COMPUTED_VALUE"""),"ISLAM")</f>
        <v>ISLAM</v>
      </c>
      <c r="S128" s="16" t="str">
        <f>IFERROR(__xludf.DUMMYFUNCTION("""COMPUTED_VALUE"""),"PELAJAR/MAHASISWA")</f>
        <v>PELAJAR/MAHASISWA</v>
      </c>
      <c r="T128" s="16" t="str">
        <f>IFERROR(__xludf.DUMMYFUNCTION("""COMPUTED_VALUE"""),"POSTUR BADAN")</f>
        <v>POSTUR BADAN</v>
      </c>
      <c r="U128" s="16" t="str">
        <f>IFERROR(__xludf.DUMMYFUNCTION("""COMPUTED_VALUE"""),"OLAH RAGA")</f>
        <v>OLAH RAGA</v>
      </c>
      <c r="V128" s="21" t="str">
        <f>IFERROR(__xludf.DUMMYFUNCTION("""COMPUTED_VALUE"""),"081348509831")</f>
        <v>081348509831</v>
      </c>
      <c r="W128" s="22"/>
    </row>
    <row r="129" ht="22.5" customHeight="1">
      <c r="A129" s="8"/>
      <c r="B129" s="9">
        <f>IFERROR(__xludf.DUMMYFUNCTION("""COMPUTED_VALUE"""),45006.836416736114)</f>
        <v>45006.83642</v>
      </c>
      <c r="C129" s="9"/>
      <c r="D129" s="10">
        <f>IFERROR(__xludf.DUMMYFUNCTION("""COMPUTED_VALUE"""),44964.0)</f>
        <v>44964</v>
      </c>
      <c r="E129" s="10" t="str">
        <f>IFERROR(__xludf.DUMMYFUNCTION("""COMPUTED_VALUE"""),"02Feb")</f>
        <v>02Feb</v>
      </c>
      <c r="F129" s="10" t="str">
        <f>IFERROR(__xludf.DUMMYFUNCTION("""COMPUTED_VALUE"""),"2023")</f>
        <v>2023</v>
      </c>
      <c r="G129" s="16" t="str">
        <f>IFERROR(__xludf.DUMMYFUNCTION("""COMPUTED_VALUE"""),"ANUGRAH D. ARI")</f>
        <v>ANUGRAH D. ARI</v>
      </c>
      <c r="H129" s="17" t="str">
        <f>IFERROR(__xludf.DUMMYFUNCTION("""COMPUTED_VALUE"""),"A9323020943")</f>
        <v>A9323020943</v>
      </c>
      <c r="I129" s="17">
        <f>IFERROR(__xludf.DUMMYFUNCTION("""COMPUTED_VALUE"""),32.0)</f>
        <v>32</v>
      </c>
      <c r="J129" s="17" t="str">
        <f>IFERROR(__xludf.DUMMYFUNCTION("""COMPUTED_VALUE"""),"25-34 tahun")</f>
        <v>25-34 tahun</v>
      </c>
      <c r="K129" s="19">
        <f>IFERROR(__xludf.DUMMYFUNCTION("""COMPUTED_VALUE"""),34312.0)</f>
        <v>34312</v>
      </c>
      <c r="L129" s="19" t="str">
        <f>IFERROR(__xludf.DUMMYFUNCTION("""COMPUTED_VALUE"""),"LAKI-LAKI")</f>
        <v>LAKI-LAKI</v>
      </c>
      <c r="M129" s="16" t="str">
        <f>IFERROR(__xludf.DUMMYFUNCTION("""COMPUTED_VALUE"""),"JL. SUNGAI RAYA DALAM GG. FAMILY")</f>
        <v>JL. SUNGAI RAYA DALAM GG. FAMILY</v>
      </c>
      <c r="N129" s="16"/>
      <c r="O129" s="16"/>
      <c r="P129" s="16"/>
      <c r="Q129" s="16"/>
      <c r="R129" s="19" t="str">
        <f>IFERROR(__xludf.DUMMYFUNCTION("""COMPUTED_VALUE"""),"ISLAM")</f>
        <v>ISLAM</v>
      </c>
      <c r="S129" s="16" t="str">
        <f>IFERROR(__xludf.DUMMYFUNCTION("""COMPUTED_VALUE"""),"ASN")</f>
        <v>ASN</v>
      </c>
      <c r="T129" s="16"/>
      <c r="U129" s="16" t="str">
        <f>IFERROR(__xludf.DUMMYFUNCTION("""COMPUTED_VALUE"""),"")</f>
        <v/>
      </c>
      <c r="V129" s="21" t="str">
        <f>IFERROR(__xludf.DUMMYFUNCTION("""COMPUTED_VALUE"""),"082284470943")</f>
        <v>082284470943</v>
      </c>
      <c r="W129" s="22"/>
    </row>
    <row r="130" ht="22.5" customHeight="1">
      <c r="A130" s="23"/>
      <c r="B130" s="24">
        <f>IFERROR(__xludf.DUMMYFUNCTION("""COMPUTED_VALUE"""),45011.13600465278)</f>
        <v>45011.136</v>
      </c>
      <c r="C130" s="24"/>
      <c r="D130" s="10">
        <f>IFERROR(__xludf.DUMMYFUNCTION("""COMPUTED_VALUE"""),44964.0)</f>
        <v>44964</v>
      </c>
      <c r="E130" s="10" t="str">
        <f>IFERROR(__xludf.DUMMYFUNCTION("""COMPUTED_VALUE"""),"02Feb")</f>
        <v>02Feb</v>
      </c>
      <c r="F130" s="10" t="str">
        <f>IFERROR(__xludf.DUMMYFUNCTION("""COMPUTED_VALUE"""),"2023")</f>
        <v>2023</v>
      </c>
      <c r="G130" s="16" t="str">
        <f>IFERROR(__xludf.DUMMYFUNCTION("""COMPUTED_VALUE"""),"ARIES SANDYANDI")</f>
        <v>ARIES SANDYANDI</v>
      </c>
      <c r="H130" s="17" t="str">
        <f>IFERROR(__xludf.DUMMYFUNCTION("""COMPUTED_VALUE"""),"A9723027716")</f>
        <v>A9723027716</v>
      </c>
      <c r="I130" s="17">
        <f>IFERROR(__xludf.DUMMYFUNCTION("""COMPUTED_VALUE"""),28.0)</f>
        <v>28</v>
      </c>
      <c r="J130" s="17" t="str">
        <f>IFERROR(__xludf.DUMMYFUNCTION("""COMPUTED_VALUE"""),"25-34 tahun")</f>
        <v>25-34 tahun</v>
      </c>
      <c r="K130" s="19">
        <f>IFERROR(__xludf.DUMMYFUNCTION("""COMPUTED_VALUE"""),35601.0)</f>
        <v>35601</v>
      </c>
      <c r="L130" s="19" t="str">
        <f>IFERROR(__xludf.DUMMYFUNCTION("""COMPUTED_VALUE"""),"LAKI-LAKI")</f>
        <v>LAKI-LAKI</v>
      </c>
      <c r="M130" s="16" t="str">
        <f>IFERROR(__xludf.DUMMYFUNCTION("""COMPUTED_VALUE"""),"JL. PURNAMA AGUNG 7")</f>
        <v>JL. PURNAMA AGUNG 7</v>
      </c>
      <c r="N130" s="16"/>
      <c r="O130" s="16"/>
      <c r="P130" s="16"/>
      <c r="Q130" s="16"/>
      <c r="R130" s="19" t="str">
        <f>IFERROR(__xludf.DUMMYFUNCTION("""COMPUTED_VALUE"""),"KATOLIK")</f>
        <v>KATOLIK</v>
      </c>
      <c r="S130" s="16" t="str">
        <f>IFERROR(__xludf.DUMMYFUNCTION("""COMPUTED_VALUE"""),"PELAJAR/MAHASISWA")</f>
        <v>PELAJAR/MAHASISWA</v>
      </c>
      <c r="T130" s="16"/>
      <c r="U130" s="16" t="str">
        <f>IFERROR(__xludf.DUMMYFUNCTION("""COMPUTED_VALUE"""),"OLAHRAGA")</f>
        <v>OLAHRAGA</v>
      </c>
      <c r="V130" s="21" t="str">
        <f>IFERROR(__xludf.DUMMYFUNCTION("""COMPUTED_VALUE"""),"08971777716")</f>
        <v>08971777716</v>
      </c>
      <c r="W130" s="22"/>
    </row>
    <row r="131" ht="22.5" customHeight="1">
      <c r="A131" s="8"/>
      <c r="B131" s="9">
        <f>IFERROR(__xludf.DUMMYFUNCTION("""COMPUTED_VALUE"""),45006.83275082176)</f>
        <v>45006.83275</v>
      </c>
      <c r="C131" s="9"/>
      <c r="D131" s="10">
        <f>IFERROR(__xludf.DUMMYFUNCTION("""COMPUTED_VALUE"""),44964.0)</f>
        <v>44964</v>
      </c>
      <c r="E131" s="10" t="str">
        <f>IFERROR(__xludf.DUMMYFUNCTION("""COMPUTED_VALUE"""),"02Feb")</f>
        <v>02Feb</v>
      </c>
      <c r="F131" s="10" t="str">
        <f>IFERROR(__xludf.DUMMYFUNCTION("""COMPUTED_VALUE"""),"2023")</f>
        <v>2023</v>
      </c>
      <c r="G131" s="16" t="str">
        <f>IFERROR(__xludf.DUMMYFUNCTION("""COMPUTED_VALUE"""),"KENZO WINLIN")</f>
        <v>KENZO WINLIN</v>
      </c>
      <c r="H131" s="17" t="str">
        <f>IFERROR(__xludf.DUMMYFUNCTION("""COMPUTED_VALUE"""),"K1123020083")</f>
        <v>K1123020083</v>
      </c>
      <c r="I131" s="17">
        <f>IFERROR(__xludf.DUMMYFUNCTION("""COMPUTED_VALUE"""),14.0)</f>
        <v>14</v>
      </c>
      <c r="J131" s="17" t="str">
        <f>IFERROR(__xludf.DUMMYFUNCTION("""COMPUTED_VALUE"""),"&lt; 18 tahun")</f>
        <v>&lt; 18 tahun</v>
      </c>
      <c r="K131" s="19">
        <f>IFERROR(__xludf.DUMMYFUNCTION("""COMPUTED_VALUE"""),40752.0)</f>
        <v>40752</v>
      </c>
      <c r="L131" s="19" t="str">
        <f>IFERROR(__xludf.DUMMYFUNCTION("""COMPUTED_VALUE"""),"LAKI-LAKI")</f>
        <v>LAKI-LAKI</v>
      </c>
      <c r="M131" s="16" t="str">
        <f>IFERROR(__xludf.DUMMYFUNCTION("""COMPUTED_VALUE"""),"JL SERDAM KOMP GADING VICTORIA A 10")</f>
        <v>JL SERDAM KOMP GADING VICTORIA A 10</v>
      </c>
      <c r="N131" s="16"/>
      <c r="O131" s="16"/>
      <c r="P131" s="16"/>
      <c r="Q131" s="16"/>
      <c r="R131" s="19" t="str">
        <f>IFERROR(__xludf.DUMMYFUNCTION("""COMPUTED_VALUE"""),"KHONGHUCU")</f>
        <v>KHONGHUCU</v>
      </c>
      <c r="S131" s="16" t="str">
        <f>IFERROR(__xludf.DUMMYFUNCTION("""COMPUTED_VALUE"""),"PELAJAR/MAHASISWA")</f>
        <v>PELAJAR/MAHASISWA</v>
      </c>
      <c r="T131" s="16" t="str">
        <f>IFERROR(__xludf.DUMMYFUNCTION("""COMPUTED_VALUE"""),"ANKLE")</f>
        <v>ANKLE</v>
      </c>
      <c r="U131" s="16" t="str">
        <f>IFERROR(__xludf.DUMMYFUNCTION("""COMPUTED_VALUE"""),"-")</f>
        <v>-</v>
      </c>
      <c r="V131" s="21" t="str">
        <f>IFERROR(__xludf.DUMMYFUNCTION("""COMPUTED_VALUE"""),"081257930083")</f>
        <v>081257930083</v>
      </c>
      <c r="W131" s="22"/>
    </row>
    <row r="132" ht="22.5" customHeight="1">
      <c r="A132" s="8"/>
      <c r="B132" s="9">
        <f>IFERROR(__xludf.DUMMYFUNCTION("""COMPUTED_VALUE"""),44889.694059745365)</f>
        <v>44889.69406</v>
      </c>
      <c r="C132" s="9"/>
      <c r="D132" s="10">
        <f>IFERROR(__xludf.DUMMYFUNCTION("""COMPUTED_VALUE"""),44964.0)</f>
        <v>44964</v>
      </c>
      <c r="E132" s="10" t="str">
        <f>IFERROR(__xludf.DUMMYFUNCTION("""COMPUTED_VALUE"""),"02Feb")</f>
        <v>02Feb</v>
      </c>
      <c r="F132" s="10" t="str">
        <f>IFERROR(__xludf.DUMMYFUNCTION("""COMPUTED_VALUE"""),"2023")</f>
        <v>2023</v>
      </c>
      <c r="G132" s="16" t="str">
        <f>IFERROR(__xludf.DUMMYFUNCTION("""COMPUTED_VALUE"""),"ZINEDINE AL HAADII")</f>
        <v>ZINEDINE AL HAADII</v>
      </c>
      <c r="H132" s="17" t="str">
        <f>IFERROR(__xludf.DUMMYFUNCTION("""COMPUTED_VALUE"""),"Z0723022066")</f>
        <v>Z0723022066</v>
      </c>
      <c r="I132" s="17">
        <f>IFERROR(__xludf.DUMMYFUNCTION("""COMPUTED_VALUE"""),19.0)</f>
        <v>19</v>
      </c>
      <c r="J132" s="17" t="str">
        <f>IFERROR(__xludf.DUMMYFUNCTION("""COMPUTED_VALUE"""),"18-24 tahun")</f>
        <v>18-24 tahun</v>
      </c>
      <c r="K132" s="19">
        <f>IFERROR(__xludf.DUMMYFUNCTION("""COMPUTED_VALUE"""),39147.0)</f>
        <v>39147</v>
      </c>
      <c r="L132" s="19" t="str">
        <f>IFERROR(__xludf.DUMMYFUNCTION("""COMPUTED_VALUE"""),"LAKI-LAKI")</f>
        <v>LAKI-LAKI</v>
      </c>
      <c r="M132" s="16" t="str">
        <f>IFERROR(__xludf.DUMMYFUNCTION("""COMPUTED_VALUE"""),"JL. DANSEN KOMP. DANAU ASRI A.13")</f>
        <v>JL. DANSEN KOMP. DANAU ASRI A.13</v>
      </c>
      <c r="N132" s="16"/>
      <c r="O132" s="16"/>
      <c r="P132" s="16"/>
      <c r="Q132" s="16"/>
      <c r="R132" s="19" t="str">
        <f>IFERROR(__xludf.DUMMYFUNCTION("""COMPUTED_VALUE"""),"ISLAM")</f>
        <v>ISLAM</v>
      </c>
      <c r="S132" s="16" t="str">
        <f>IFERROR(__xludf.DUMMYFUNCTION("""COMPUTED_VALUE"""),"PELAJAR/MAHASISWA")</f>
        <v>PELAJAR/MAHASISWA</v>
      </c>
      <c r="T132" s="16" t="str">
        <f>IFERROR(__xludf.DUMMYFUNCTION("""COMPUTED_VALUE"""),"ANKLE KANAN")</f>
        <v>ANKLE KANAN</v>
      </c>
      <c r="U132" s="16" t="str">
        <f>IFERROR(__xludf.DUMMYFUNCTION("""COMPUTED_VALUE"""),"FUTSAL")</f>
        <v>FUTSAL</v>
      </c>
      <c r="V132" s="21" t="str">
        <f>IFERROR(__xludf.DUMMYFUNCTION("""COMPUTED_VALUE"""),"081352202066")</f>
        <v>081352202066</v>
      </c>
      <c r="W132" s="22"/>
    </row>
    <row r="133" ht="22.5" customHeight="1">
      <c r="A133" s="8"/>
      <c r="B133" s="9">
        <f>IFERROR(__xludf.DUMMYFUNCTION("""COMPUTED_VALUE"""),45006.83474396991)</f>
        <v>45006.83474</v>
      </c>
      <c r="C133" s="9"/>
      <c r="D133" s="10">
        <f>IFERROR(__xludf.DUMMYFUNCTION("""COMPUTED_VALUE"""),44964.0)</f>
        <v>44964</v>
      </c>
      <c r="E133" s="10" t="str">
        <f>IFERROR(__xludf.DUMMYFUNCTION("""COMPUTED_VALUE"""),"02Feb")</f>
        <v>02Feb</v>
      </c>
      <c r="F133" s="10" t="str">
        <f>IFERROR(__xludf.DUMMYFUNCTION("""COMPUTED_VALUE"""),"2023")</f>
        <v>2023</v>
      </c>
      <c r="G133" s="16" t="str">
        <f>IFERROR(__xludf.DUMMYFUNCTION("""COMPUTED_VALUE"""),"RIANTIN")</f>
        <v>RIANTIN</v>
      </c>
      <c r="H133" s="17" t="str">
        <f>IFERROR(__xludf.DUMMYFUNCTION("""COMPUTED_VALUE"""),"R7723022907")</f>
        <v>R7723022907</v>
      </c>
      <c r="I133" s="17">
        <f>IFERROR(__xludf.DUMMYFUNCTION("""COMPUTED_VALUE"""),48.0)</f>
        <v>48</v>
      </c>
      <c r="J133" s="17" t="str">
        <f>IFERROR(__xludf.DUMMYFUNCTION("""COMPUTED_VALUE"""),"&gt; 44 tahun")</f>
        <v>&gt; 44 tahun</v>
      </c>
      <c r="K133" s="19">
        <f>IFERROR(__xludf.DUMMYFUNCTION("""COMPUTED_VALUE"""),28335.0)</f>
        <v>28335</v>
      </c>
      <c r="L133" s="19" t="str">
        <f>IFERROR(__xludf.DUMMYFUNCTION("""COMPUTED_VALUE"""),"PEREMPUAN")</f>
        <v>PEREMPUAN</v>
      </c>
      <c r="M133" s="16" t="str">
        <f>IFERROR(__xludf.DUMMYFUNCTION("""COMPUTED_VALUE"""),"PERMATA KHATULISTIWA BLOK H 9")</f>
        <v>PERMATA KHATULISTIWA BLOK H 9</v>
      </c>
      <c r="N133" s="16"/>
      <c r="O133" s="16"/>
      <c r="P133" s="16"/>
      <c r="Q133" s="16"/>
      <c r="R133" s="19" t="str">
        <f>IFERROR(__xludf.DUMMYFUNCTION("""COMPUTED_VALUE"""),"LAINNYA")</f>
        <v>LAINNYA</v>
      </c>
      <c r="S133" s="16" t="str">
        <f>IFERROR(__xludf.DUMMYFUNCTION("""COMPUTED_VALUE"""),"RUMAH TANGGA")</f>
        <v>RUMAH TANGGA</v>
      </c>
      <c r="T133" s="16" t="str">
        <f>IFERROR(__xludf.DUMMYFUNCTION("""COMPUTED_VALUE"""),"TULANG EKOR")</f>
        <v>TULANG EKOR</v>
      </c>
      <c r="U133" s="16" t="str">
        <f>IFERROR(__xludf.DUMMYFUNCTION("""COMPUTED_VALUE"""),"LARI")</f>
        <v>LARI</v>
      </c>
      <c r="V133" s="21" t="str">
        <f>IFERROR(__xludf.DUMMYFUNCTION("""COMPUTED_VALUE"""),"08115722907")</f>
        <v>08115722907</v>
      </c>
      <c r="W133" s="22"/>
    </row>
    <row r="134" ht="22.5" customHeight="1">
      <c r="A134" s="8"/>
      <c r="B134" s="9">
        <f>IFERROR(__xludf.DUMMYFUNCTION("""COMPUTED_VALUE"""),45006.89185165509)</f>
        <v>45006.89185</v>
      </c>
      <c r="C134" s="9"/>
      <c r="D134" s="10">
        <f>IFERROR(__xludf.DUMMYFUNCTION("""COMPUTED_VALUE"""),44965.0)</f>
        <v>44965</v>
      </c>
      <c r="E134" s="10" t="str">
        <f>IFERROR(__xludf.DUMMYFUNCTION("""COMPUTED_VALUE"""),"02Feb")</f>
        <v>02Feb</v>
      </c>
      <c r="F134" s="10" t="str">
        <f>IFERROR(__xludf.DUMMYFUNCTION("""COMPUTED_VALUE"""),"2023")</f>
        <v>2023</v>
      </c>
      <c r="G134" s="16" t="str">
        <f>IFERROR(__xludf.DUMMYFUNCTION("""COMPUTED_VALUE"""),"EKA ARIANDY")</f>
        <v>EKA ARIANDY</v>
      </c>
      <c r="H134" s="17" t="str">
        <f>IFERROR(__xludf.DUMMYFUNCTION("""COMPUTED_VALUE"""),"E8323022005")</f>
        <v>E8323022005</v>
      </c>
      <c r="I134" s="17">
        <f>IFERROR(__xludf.DUMMYFUNCTION("""COMPUTED_VALUE"""),43.0)</f>
        <v>43</v>
      </c>
      <c r="J134" s="17" t="str">
        <f>IFERROR(__xludf.DUMMYFUNCTION("""COMPUTED_VALUE"""),"35-44 tahun")</f>
        <v>35-44 tahun</v>
      </c>
      <c r="K134" s="19">
        <f>IFERROR(__xludf.DUMMYFUNCTION("""COMPUTED_VALUE"""),30459.0)</f>
        <v>30459</v>
      </c>
      <c r="L134" s="19" t="str">
        <f>IFERROR(__xludf.DUMMYFUNCTION("""COMPUTED_VALUE"""),"LAKI-LAKI")</f>
        <v>LAKI-LAKI</v>
      </c>
      <c r="M134" s="16" t="str">
        <f>IFERROR(__xludf.DUMMYFUNCTION("""COMPUTED_VALUE"""),"ASPOL SUBARKAH")</f>
        <v>ASPOL SUBARKAH</v>
      </c>
      <c r="N134" s="16"/>
      <c r="O134" s="16"/>
      <c r="P134" s="16"/>
      <c r="Q134" s="16"/>
      <c r="R134" s="19" t="str">
        <f>IFERROR(__xludf.DUMMYFUNCTION("""COMPUTED_VALUE"""),"ISLAM")</f>
        <v>ISLAM</v>
      </c>
      <c r="S134" s="16" t="str">
        <f>IFERROR(__xludf.DUMMYFUNCTION("""COMPUTED_VALUE"""),"TNI/POLRI")</f>
        <v>TNI/POLRI</v>
      </c>
      <c r="T134" s="16" t="str">
        <f>IFERROR(__xludf.DUMMYFUNCTION("""COMPUTED_VALUE"""),"TANGAN")</f>
        <v>TANGAN</v>
      </c>
      <c r="U134" s="16" t="str">
        <f>IFERROR(__xludf.DUMMYFUNCTION("""COMPUTED_VALUE"""),"-")</f>
        <v>-</v>
      </c>
      <c r="V134" s="21" t="str">
        <f>IFERROR(__xludf.DUMMYFUNCTION("""COMPUTED_VALUE"""),"085276392005")</f>
        <v>085276392005</v>
      </c>
      <c r="W134" s="22"/>
    </row>
    <row r="135" ht="22.5" customHeight="1">
      <c r="A135" s="8"/>
      <c r="B135" s="9">
        <f>IFERROR(__xludf.DUMMYFUNCTION("""COMPUTED_VALUE"""),45010.827500266205)</f>
        <v>45010.8275</v>
      </c>
      <c r="C135" s="9"/>
      <c r="D135" s="10">
        <f>IFERROR(__xludf.DUMMYFUNCTION("""COMPUTED_VALUE"""),44966.0)</f>
        <v>44966</v>
      </c>
      <c r="E135" s="10" t="str">
        <f>IFERROR(__xludf.DUMMYFUNCTION("""COMPUTED_VALUE"""),"02Feb")</f>
        <v>02Feb</v>
      </c>
      <c r="F135" s="10" t="str">
        <f>IFERROR(__xludf.DUMMYFUNCTION("""COMPUTED_VALUE"""),"2023")</f>
        <v>2023</v>
      </c>
      <c r="G135" s="16" t="str">
        <f>IFERROR(__xludf.DUMMYFUNCTION("""COMPUTED_VALUE"""),"HENCENT MINANTO")</f>
        <v>HENCENT MINANTO</v>
      </c>
      <c r="H135" s="17" t="str">
        <f>IFERROR(__xludf.DUMMYFUNCTION("""COMPUTED_VALUE"""),"H9623022867")</f>
        <v>H9623022867</v>
      </c>
      <c r="I135" s="17">
        <f>IFERROR(__xludf.DUMMYFUNCTION("""COMPUTED_VALUE"""),29.0)</f>
        <v>29</v>
      </c>
      <c r="J135" s="17" t="str">
        <f>IFERROR(__xludf.DUMMYFUNCTION("""COMPUTED_VALUE"""),"25-34 tahun")</f>
        <v>25-34 tahun</v>
      </c>
      <c r="K135" s="19">
        <f>IFERROR(__xludf.DUMMYFUNCTION("""COMPUTED_VALUE"""),35417.0)</f>
        <v>35417</v>
      </c>
      <c r="L135" s="19" t="str">
        <f>IFERROR(__xludf.DUMMYFUNCTION("""COMPUTED_VALUE"""),"LAKI-LAKI")</f>
        <v>LAKI-LAKI</v>
      </c>
      <c r="M135" s="16" t="str">
        <f>IFERROR(__xludf.DUMMYFUNCTION("""COMPUTED_VALUE"""),"JL. MERANTI GG. MERANTI 5")</f>
        <v>JL. MERANTI GG. MERANTI 5</v>
      </c>
      <c r="N135" s="16"/>
      <c r="O135" s="16"/>
      <c r="P135" s="16"/>
      <c r="Q135" s="16"/>
      <c r="R135" s="19" t="str">
        <f>IFERROR(__xludf.DUMMYFUNCTION("""COMPUTED_VALUE"""),"LAINNYA")</f>
        <v>LAINNYA</v>
      </c>
      <c r="S135" s="16" t="str">
        <f>IFERROR(__xludf.DUMMYFUNCTION("""COMPUTED_VALUE"""),"SWASTA")</f>
        <v>SWASTA</v>
      </c>
      <c r="T135" s="16" t="str">
        <f>IFERROR(__xludf.DUMMYFUNCTION("""COMPUTED_VALUE"""),"ANKLE KANAN")</f>
        <v>ANKLE KANAN</v>
      </c>
      <c r="U135" s="16" t="str">
        <f>IFERROR(__xludf.DUMMYFUNCTION("""COMPUTED_VALUE"""),"-")</f>
        <v>-</v>
      </c>
      <c r="V135" s="21" t="str">
        <f>IFERROR(__xludf.DUMMYFUNCTION("""COMPUTED_VALUE"""),"082351262867")</f>
        <v>082351262867</v>
      </c>
      <c r="W135" s="22"/>
    </row>
    <row r="136" ht="22.5" customHeight="1">
      <c r="A136" s="8"/>
      <c r="B136" s="9">
        <f>IFERROR(__xludf.DUMMYFUNCTION("""COMPUTED_VALUE"""),45011.639567199076)</f>
        <v>45011.63957</v>
      </c>
      <c r="C136" s="9"/>
      <c r="D136" s="10">
        <f>IFERROR(__xludf.DUMMYFUNCTION("""COMPUTED_VALUE"""),44966.0)</f>
        <v>44966</v>
      </c>
      <c r="E136" s="10" t="str">
        <f>IFERROR(__xludf.DUMMYFUNCTION("""COMPUTED_VALUE"""),"02Feb")</f>
        <v>02Feb</v>
      </c>
      <c r="F136" s="10" t="str">
        <f>IFERROR(__xludf.DUMMYFUNCTION("""COMPUTED_VALUE"""),"2023")</f>
        <v>2023</v>
      </c>
      <c r="G136" s="16" t="str">
        <f>IFERROR(__xludf.DUMMYFUNCTION("""COMPUTED_VALUE"""),"HENDRY WAHYONO")</f>
        <v>HENDRY WAHYONO</v>
      </c>
      <c r="H136" s="17" t="str">
        <f>IFERROR(__xludf.DUMMYFUNCTION("""COMPUTED_VALUE"""),"H7123024397")</f>
        <v>H7123024397</v>
      </c>
      <c r="I136" s="17">
        <f>IFERROR(__xludf.DUMMYFUNCTION("""COMPUTED_VALUE"""),55.0)</f>
        <v>55</v>
      </c>
      <c r="J136" s="17" t="str">
        <f>IFERROR(__xludf.DUMMYFUNCTION("""COMPUTED_VALUE"""),"&gt; 44 tahun")</f>
        <v>&gt; 44 tahun</v>
      </c>
      <c r="K136" s="19">
        <f>IFERROR(__xludf.DUMMYFUNCTION("""COMPUTED_VALUE"""),26002.0)</f>
        <v>26002</v>
      </c>
      <c r="L136" s="19" t="str">
        <f>IFERROR(__xludf.DUMMYFUNCTION("""COMPUTED_VALUE"""),"LAKI-LAKI")</f>
        <v>LAKI-LAKI</v>
      </c>
      <c r="M136" s="16" t="str">
        <f>IFERROR(__xludf.DUMMYFUNCTION("""COMPUTED_VALUE"""),"JL. KAPTEN TENDEAN NO. 17")</f>
        <v>JL. KAPTEN TENDEAN NO. 17</v>
      </c>
      <c r="N136" s="16"/>
      <c r="O136" s="16"/>
      <c r="P136" s="16"/>
      <c r="Q136" s="16"/>
      <c r="R136" s="19" t="str">
        <f>IFERROR(__xludf.DUMMYFUNCTION("""COMPUTED_VALUE"""),"LAINNYA")</f>
        <v>LAINNYA</v>
      </c>
      <c r="S136" s="16" t="str">
        <f>IFERROR(__xludf.DUMMYFUNCTION("""COMPUTED_VALUE"""),"SWASTA")</f>
        <v>SWASTA</v>
      </c>
      <c r="T136" s="16" t="str">
        <f>IFERROR(__xludf.DUMMYFUNCTION("""COMPUTED_VALUE"""),"PINGGANG")</f>
        <v>PINGGANG</v>
      </c>
      <c r="U136" s="16" t="str">
        <f>IFERROR(__xludf.DUMMYFUNCTION("""COMPUTED_VALUE"""),"-")</f>
        <v>-</v>
      </c>
      <c r="V136" s="21" t="str">
        <f>IFERROR(__xludf.DUMMYFUNCTION("""COMPUTED_VALUE"""),"082157074397")</f>
        <v>082157074397</v>
      </c>
      <c r="W136" s="22"/>
    </row>
    <row r="137" ht="22.5" customHeight="1">
      <c r="A137" s="25"/>
      <c r="B137" s="26">
        <f>IFERROR(__xludf.DUMMYFUNCTION("""COMPUTED_VALUE"""),45006.901383136574)</f>
        <v>45006.90138</v>
      </c>
      <c r="C137" s="26"/>
      <c r="D137" s="10">
        <f>IFERROR(__xludf.DUMMYFUNCTION("""COMPUTED_VALUE"""),44966.0)</f>
        <v>44966</v>
      </c>
      <c r="E137" s="10" t="str">
        <f>IFERROR(__xludf.DUMMYFUNCTION("""COMPUTED_VALUE"""),"02Feb")</f>
        <v>02Feb</v>
      </c>
      <c r="F137" s="10" t="str">
        <f>IFERROR(__xludf.DUMMYFUNCTION("""COMPUTED_VALUE"""),"2023")</f>
        <v>2023</v>
      </c>
      <c r="G137" s="16" t="str">
        <f>IFERROR(__xludf.DUMMYFUNCTION("""COMPUTED_VALUE"""),"MARUPA SAGALA")</f>
        <v>MARUPA SAGALA</v>
      </c>
      <c r="H137" s="17" t="str">
        <f>IFERROR(__xludf.DUMMYFUNCTION("""COMPUTED_VALUE"""),"M7623025705")</f>
        <v>M7623025705</v>
      </c>
      <c r="I137" s="17">
        <f>IFERROR(__xludf.DUMMYFUNCTION("""COMPUTED_VALUE"""),50.0)</f>
        <v>50</v>
      </c>
      <c r="J137" s="17" t="str">
        <f>IFERROR(__xludf.DUMMYFUNCTION("""COMPUTED_VALUE"""),"&gt; 44 tahun")</f>
        <v>&gt; 44 tahun</v>
      </c>
      <c r="K137" s="19">
        <f>IFERROR(__xludf.DUMMYFUNCTION("""COMPUTED_VALUE"""),27869.0)</f>
        <v>27869</v>
      </c>
      <c r="L137" s="19" t="str">
        <f>IFERROR(__xludf.DUMMYFUNCTION("""COMPUTED_VALUE"""),"LAKI-LAKI")</f>
        <v>LAKI-LAKI</v>
      </c>
      <c r="M137" s="16" t="str">
        <f>IFERROR(__xludf.DUMMYFUNCTION("""COMPUTED_VALUE"""),"JL. PERDANA RAYA")</f>
        <v>JL. PERDANA RAYA</v>
      </c>
      <c r="N137" s="16"/>
      <c r="O137" s="16"/>
      <c r="P137" s="16"/>
      <c r="Q137" s="16"/>
      <c r="R137" s="19" t="str">
        <f>IFERROR(__xludf.DUMMYFUNCTION("""COMPUTED_VALUE"""),"KATOLIK")</f>
        <v>KATOLIK</v>
      </c>
      <c r="S137" s="16" t="str">
        <f>IFERROR(__xludf.DUMMYFUNCTION("""COMPUTED_VALUE"""),"TNI/POLRI")</f>
        <v>TNI/POLRI</v>
      </c>
      <c r="T137" s="16" t="str">
        <f>IFERROR(__xludf.DUMMYFUNCTION("""COMPUTED_VALUE"""),"DAN BAHU")</f>
        <v>DAN BAHU</v>
      </c>
      <c r="U137" s="16" t="str">
        <f>IFERROR(__xludf.DUMMYFUNCTION("""COMPUTED_VALUE"""),"-")</f>
        <v>-</v>
      </c>
      <c r="V137" s="21" t="str">
        <f>IFERROR(__xludf.DUMMYFUNCTION("""COMPUTED_VALUE"""),"085247755705")</f>
        <v>085247755705</v>
      </c>
      <c r="W137" s="27"/>
    </row>
    <row r="138" ht="22.5" customHeight="1">
      <c r="A138" s="8"/>
      <c r="B138" s="9">
        <f>IFERROR(__xludf.DUMMYFUNCTION("""COMPUTED_VALUE"""),45006.835436215275)</f>
        <v>45006.83544</v>
      </c>
      <c r="C138" s="9"/>
      <c r="D138" s="10">
        <f>IFERROR(__xludf.DUMMYFUNCTION("""COMPUTED_VALUE"""),44966.0)</f>
        <v>44966</v>
      </c>
      <c r="E138" s="10" t="str">
        <f>IFERROR(__xludf.DUMMYFUNCTION("""COMPUTED_VALUE"""),"02Feb")</f>
        <v>02Feb</v>
      </c>
      <c r="F138" s="10" t="str">
        <f>IFERROR(__xludf.DUMMYFUNCTION("""COMPUTED_VALUE"""),"2023")</f>
        <v>2023</v>
      </c>
      <c r="G138" s="16" t="str">
        <f>IFERROR(__xludf.DUMMYFUNCTION("""COMPUTED_VALUE"""),"RIZKA TRI WARDHANI")</f>
        <v>RIZKA TRI WARDHANI</v>
      </c>
      <c r="H138" s="17" t="str">
        <f>IFERROR(__xludf.DUMMYFUNCTION("""COMPUTED_VALUE"""),"R9123026668")</f>
        <v>R9123026668</v>
      </c>
      <c r="I138" s="17">
        <f>IFERROR(__xludf.DUMMYFUNCTION("""COMPUTED_VALUE"""),35.0)</f>
        <v>35</v>
      </c>
      <c r="J138" s="17" t="str">
        <f>IFERROR(__xludf.DUMMYFUNCTION("""COMPUTED_VALUE"""),"35-44 tahun")</f>
        <v>35-44 tahun</v>
      </c>
      <c r="K138" s="19">
        <f>IFERROR(__xludf.DUMMYFUNCTION("""COMPUTED_VALUE"""),33327.0)</f>
        <v>33327</v>
      </c>
      <c r="L138" s="19" t="str">
        <f>IFERROR(__xludf.DUMMYFUNCTION("""COMPUTED_VALUE"""),"PEREMPUAN")</f>
        <v>PEREMPUAN</v>
      </c>
      <c r="M138" s="16" t="str">
        <f>IFERROR(__xludf.DUMMYFUNCTION("""COMPUTED_VALUE"""),"JL HUSEIN HAMZAH NO 39 A")</f>
        <v>JL HUSEIN HAMZAH NO 39 A</v>
      </c>
      <c r="N138" s="16"/>
      <c r="O138" s="16"/>
      <c r="P138" s="16"/>
      <c r="Q138" s="16"/>
      <c r="R138" s="19" t="str">
        <f>IFERROR(__xludf.DUMMYFUNCTION("""COMPUTED_VALUE"""),"ISLAM")</f>
        <v>ISLAM</v>
      </c>
      <c r="S138" s="16" t="str">
        <f>IFERROR(__xludf.DUMMYFUNCTION("""COMPUTED_VALUE"""),"BPD")</f>
        <v>BPD</v>
      </c>
      <c r="T138" s="16" t="str">
        <f>IFERROR(__xludf.DUMMYFUNCTION("""COMPUTED_VALUE"""),"BELIKAT")</f>
        <v>BELIKAT</v>
      </c>
      <c r="U138" s="16" t="str">
        <f>IFERROR(__xludf.DUMMYFUNCTION("""COMPUTED_VALUE"""),"-")</f>
        <v>-</v>
      </c>
      <c r="V138" s="21" t="str">
        <f>IFERROR(__xludf.DUMMYFUNCTION("""COMPUTED_VALUE"""),"085245916668")</f>
        <v>085245916668</v>
      </c>
      <c r="W138" s="22"/>
    </row>
    <row r="139" ht="22.5" customHeight="1">
      <c r="A139" s="28"/>
      <c r="B139" s="26">
        <f>IFERROR(__xludf.DUMMYFUNCTION("""COMPUTED_VALUE"""),44936.74961805555)</f>
        <v>44936.74962</v>
      </c>
      <c r="C139" s="26"/>
      <c r="D139" s="10">
        <f>IFERROR(__xludf.DUMMYFUNCTION("""COMPUTED_VALUE"""),44968.0)</f>
        <v>44968</v>
      </c>
      <c r="E139" s="10" t="str">
        <f>IFERROR(__xludf.DUMMYFUNCTION("""COMPUTED_VALUE"""),"02Feb")</f>
        <v>02Feb</v>
      </c>
      <c r="F139" s="10" t="str">
        <f>IFERROR(__xludf.DUMMYFUNCTION("""COMPUTED_VALUE"""),"2023")</f>
        <v>2023</v>
      </c>
      <c r="G139" s="16" t="str">
        <f>IFERROR(__xludf.DUMMYFUNCTION("""COMPUTED_VALUE"""),"ARVIZA ALIFIANDRQ PRATAMA")</f>
        <v>ARVIZA ALIFIANDRQ PRATAMA</v>
      </c>
      <c r="H139" s="17" t="str">
        <f>IFERROR(__xludf.DUMMYFUNCTION("""COMPUTED_VALUE"""),"A1423027269")</f>
        <v>A1423027269</v>
      </c>
      <c r="I139" s="17">
        <f>IFERROR(__xludf.DUMMYFUNCTION("""COMPUTED_VALUE"""),11.0)</f>
        <v>11</v>
      </c>
      <c r="J139" s="17" t="str">
        <f>IFERROR(__xludf.DUMMYFUNCTION("""COMPUTED_VALUE"""),"&lt; 18 tahun")</f>
        <v>&lt; 18 tahun</v>
      </c>
      <c r="K139" s="19">
        <f>IFERROR(__xludf.DUMMYFUNCTION("""COMPUTED_VALUE"""),41974.0)</f>
        <v>41974</v>
      </c>
      <c r="L139" s="19" t="str">
        <f>IFERROR(__xludf.DUMMYFUNCTION("""COMPUTED_VALUE"""),"PEREMPUAN")</f>
        <v>PEREMPUAN</v>
      </c>
      <c r="M139" s="16" t="str">
        <f>IFERROR(__xludf.DUMMYFUNCTION("""COMPUTED_VALUE"""),"JL DANAU SENTARUM KOMP SENTARUM SEJAHTERA 1 A54")</f>
        <v>JL DANAU SENTARUM KOMP SENTARUM SEJAHTERA 1 A54</v>
      </c>
      <c r="N139" s="16"/>
      <c r="O139" s="16"/>
      <c r="P139" s="16"/>
      <c r="Q139" s="16"/>
      <c r="R139" s="19" t="str">
        <f>IFERROR(__xludf.DUMMYFUNCTION("""COMPUTED_VALUE"""),"ISLAM")</f>
        <v>ISLAM</v>
      </c>
      <c r="S139" s="16" t="str">
        <f>IFERROR(__xludf.DUMMYFUNCTION("""COMPUTED_VALUE"""),"PELAJAR/MAHASISWA")</f>
        <v>PELAJAR/MAHASISWA</v>
      </c>
      <c r="T139" s="16" t="str">
        <f>IFERROR(__xludf.DUMMYFUNCTION("""COMPUTED_VALUE"""),"KAKI")</f>
        <v>KAKI</v>
      </c>
      <c r="U139" s="16" t="str">
        <f>IFERROR(__xludf.DUMMYFUNCTION("""COMPUTED_VALUE"""),"-")</f>
        <v>-</v>
      </c>
      <c r="V139" s="21" t="str">
        <f>IFERROR(__xludf.DUMMYFUNCTION("""COMPUTED_VALUE"""),"08115777269")</f>
        <v>08115777269</v>
      </c>
      <c r="W139" s="27"/>
    </row>
    <row r="140" ht="22.5" customHeight="1">
      <c r="A140" s="8"/>
      <c r="B140" s="9">
        <f>IFERROR(__xludf.DUMMYFUNCTION("""COMPUTED_VALUE"""),45010.69712671296)</f>
        <v>45010.69713</v>
      </c>
      <c r="C140" s="9"/>
      <c r="D140" s="10">
        <f>IFERROR(__xludf.DUMMYFUNCTION("""COMPUTED_VALUE"""),44969.0)</f>
        <v>44969</v>
      </c>
      <c r="E140" s="10" t="str">
        <f>IFERROR(__xludf.DUMMYFUNCTION("""COMPUTED_VALUE"""),"02Feb")</f>
        <v>02Feb</v>
      </c>
      <c r="F140" s="10" t="str">
        <f>IFERROR(__xludf.DUMMYFUNCTION("""COMPUTED_VALUE"""),"2023")</f>
        <v>2023</v>
      </c>
      <c r="G140" s="16" t="str">
        <f>IFERROR(__xludf.DUMMYFUNCTION("""COMPUTED_VALUE"""),"FATHUR AHLAN ALVARO")</f>
        <v>FATHUR AHLAN ALVARO</v>
      </c>
      <c r="H140" s="17" t="str">
        <f>IFERROR(__xludf.DUMMYFUNCTION("""COMPUTED_VALUE"""),"F1023022717")</f>
        <v>F1023022717</v>
      </c>
      <c r="I140" s="17">
        <f>IFERROR(__xludf.DUMMYFUNCTION("""COMPUTED_VALUE"""),16.0)</f>
        <v>16</v>
      </c>
      <c r="J140" s="17" t="str">
        <f>IFERROR(__xludf.DUMMYFUNCTION("""COMPUTED_VALUE"""),"&lt; 18 tahun")</f>
        <v>&lt; 18 tahun</v>
      </c>
      <c r="K140" s="19">
        <f>IFERROR(__xludf.DUMMYFUNCTION("""COMPUTED_VALUE"""),40260.0)</f>
        <v>40260</v>
      </c>
      <c r="L140" s="19" t="str">
        <f>IFERROR(__xludf.DUMMYFUNCTION("""COMPUTED_VALUE"""),"LAKI-LAKI")</f>
        <v>LAKI-LAKI</v>
      </c>
      <c r="M140" s="16" t="str">
        <f>IFERROR(__xludf.DUMMYFUNCTION("""COMPUTED_VALUE"""),"JL KARET")</f>
        <v>JL KARET</v>
      </c>
      <c r="N140" s="16"/>
      <c r="O140" s="16"/>
      <c r="P140" s="16"/>
      <c r="Q140" s="16"/>
      <c r="R140" s="19" t="str">
        <f>IFERROR(__xludf.DUMMYFUNCTION("""COMPUTED_VALUE"""),"ISLAM")</f>
        <v>ISLAM</v>
      </c>
      <c r="S140" s="16" t="str">
        <f>IFERROR(__xludf.DUMMYFUNCTION("""COMPUTED_VALUE"""),"PELAJAR/MAHASISWA")</f>
        <v>PELAJAR/MAHASISWA</v>
      </c>
      <c r="T140" s="16" t="str">
        <f>IFERROR(__xludf.DUMMYFUNCTION("""COMPUTED_VALUE"""),"ANKLE")</f>
        <v>ANKLE</v>
      </c>
      <c r="U140" s="16" t="str">
        <f>IFERROR(__xludf.DUMMYFUNCTION("""COMPUTED_VALUE"""),"-")</f>
        <v>-</v>
      </c>
      <c r="V140" s="21" t="str">
        <f>IFERROR(__xludf.DUMMYFUNCTION("""COMPUTED_VALUE"""),"081348472717")</f>
        <v>081348472717</v>
      </c>
      <c r="W140" s="22"/>
    </row>
    <row r="141" ht="22.5" customHeight="1">
      <c r="A141" s="8"/>
      <c r="B141" s="9">
        <f>IFERROR(__xludf.DUMMYFUNCTION("""COMPUTED_VALUE"""),44934.479317129626)</f>
        <v>44934.47932</v>
      </c>
      <c r="C141" s="9"/>
      <c r="D141" s="10">
        <f>IFERROR(__xludf.DUMMYFUNCTION("""COMPUTED_VALUE"""),44969.0)</f>
        <v>44969</v>
      </c>
      <c r="E141" s="10" t="str">
        <f>IFERROR(__xludf.DUMMYFUNCTION("""COMPUTED_VALUE"""),"02Feb")</f>
        <v>02Feb</v>
      </c>
      <c r="F141" s="10" t="str">
        <f>IFERROR(__xludf.DUMMYFUNCTION("""COMPUTED_VALUE"""),"2023")</f>
        <v>2023</v>
      </c>
      <c r="G141" s="16" t="str">
        <f>IFERROR(__xludf.DUMMYFUNCTION("""COMPUTED_VALUE"""),"FITRI AYU RAMADHANTI")</f>
        <v>FITRI AYU RAMADHANTI</v>
      </c>
      <c r="H141" s="17" t="str">
        <f>IFERROR(__xludf.DUMMYFUNCTION("""COMPUTED_VALUE"""),"F9923027126")</f>
        <v>F9923027126</v>
      </c>
      <c r="I141" s="17">
        <f>IFERROR(__xludf.DUMMYFUNCTION("""COMPUTED_VALUE"""),27.0)</f>
        <v>27</v>
      </c>
      <c r="J141" s="17" t="str">
        <f>IFERROR(__xludf.DUMMYFUNCTION("""COMPUTED_VALUE"""),"25-34 tahun")</f>
        <v>25-34 tahun</v>
      </c>
      <c r="K141" s="19">
        <f>IFERROR(__xludf.DUMMYFUNCTION("""COMPUTED_VALUE"""),36182.0)</f>
        <v>36182</v>
      </c>
      <c r="L141" s="19" t="str">
        <f>IFERROR(__xludf.DUMMYFUNCTION("""COMPUTED_VALUE"""),"PEREMPUAN")</f>
        <v>PEREMPUAN</v>
      </c>
      <c r="M141" s="16" t="str">
        <f>IFERROR(__xludf.DUMMYFUNCTION("""COMPUTED_VALUE"""),"JL DR SUTOMO BATARA INDAH 4")</f>
        <v>JL DR SUTOMO BATARA INDAH 4</v>
      </c>
      <c r="N141" s="16"/>
      <c r="O141" s="16"/>
      <c r="P141" s="16"/>
      <c r="Q141" s="16"/>
      <c r="R141" s="19" t="str">
        <f>IFERROR(__xludf.DUMMYFUNCTION("""COMPUTED_VALUE"""),"ISLAM")</f>
        <v>ISLAM</v>
      </c>
      <c r="S141" s="16" t="str">
        <f>IFERROR(__xludf.DUMMYFUNCTION("""COMPUTED_VALUE"""),"BUMN")</f>
        <v>BUMN</v>
      </c>
      <c r="T141" s="16" t="str">
        <f>IFERROR(__xludf.DUMMYFUNCTION("""COMPUTED_VALUE"""),"BAHU")</f>
        <v>BAHU</v>
      </c>
      <c r="U141" s="16" t="str">
        <f>IFERROR(__xludf.DUMMYFUNCTION("""COMPUTED_VALUE"""),"-")</f>
        <v>-</v>
      </c>
      <c r="V141" s="21" t="str">
        <f>IFERROR(__xludf.DUMMYFUNCTION("""COMPUTED_VALUE"""),"0895372687126")</f>
        <v>0895372687126</v>
      </c>
      <c r="W141" s="22"/>
    </row>
    <row r="142" ht="22.5" customHeight="1">
      <c r="A142" s="23"/>
      <c r="B142" s="24">
        <f>IFERROR(__xludf.DUMMYFUNCTION("""COMPUTED_VALUE"""),45011.64243407408)</f>
        <v>45011.64243</v>
      </c>
      <c r="C142" s="24"/>
      <c r="D142" s="10">
        <f>IFERROR(__xludf.DUMMYFUNCTION("""COMPUTED_VALUE"""),44969.0)</f>
        <v>44969</v>
      </c>
      <c r="E142" s="10" t="str">
        <f>IFERROR(__xludf.DUMMYFUNCTION("""COMPUTED_VALUE"""),"02Feb")</f>
        <v>02Feb</v>
      </c>
      <c r="F142" s="10" t="str">
        <f>IFERROR(__xludf.DUMMYFUNCTION("""COMPUTED_VALUE"""),"2023")</f>
        <v>2023</v>
      </c>
      <c r="G142" s="16" t="str">
        <f>IFERROR(__xludf.DUMMYFUNCTION("""COMPUTED_VALUE"""),"RAJA AQSHA P")</f>
        <v>RAJA AQSHA P</v>
      </c>
      <c r="H142" s="17" t="str">
        <f>IFERROR(__xludf.DUMMYFUNCTION("""COMPUTED_VALUE"""),"R1023025743")</f>
        <v>R1023025743</v>
      </c>
      <c r="I142" s="17">
        <f>IFERROR(__xludf.DUMMYFUNCTION("""COMPUTED_VALUE"""),16.0)</f>
        <v>16</v>
      </c>
      <c r="J142" s="17" t="str">
        <f>IFERROR(__xludf.DUMMYFUNCTION("""COMPUTED_VALUE"""),"&lt; 18 tahun")</f>
        <v>&lt; 18 tahun</v>
      </c>
      <c r="K142" s="19">
        <f>IFERROR(__xludf.DUMMYFUNCTION("""COMPUTED_VALUE"""),40301.0)</f>
        <v>40301</v>
      </c>
      <c r="L142" s="19" t="str">
        <f>IFERROR(__xludf.DUMMYFUNCTION("""COMPUTED_VALUE"""),"LAKI-LAKI")</f>
        <v>LAKI-LAKI</v>
      </c>
      <c r="M142" s="16" t="str">
        <f>IFERROR(__xludf.DUMMYFUNCTION("""COMPUTED_VALUE"""),"JL SWADISI NO 3B")</f>
        <v>JL SWADISI NO 3B</v>
      </c>
      <c r="N142" s="16"/>
      <c r="O142" s="16"/>
      <c r="P142" s="16"/>
      <c r="Q142" s="16"/>
      <c r="R142" s="19" t="str">
        <f>IFERROR(__xludf.DUMMYFUNCTION("""COMPUTED_VALUE"""),"ISLAM")</f>
        <v>ISLAM</v>
      </c>
      <c r="S142" s="16" t="str">
        <f>IFERROR(__xludf.DUMMYFUNCTION("""COMPUTED_VALUE"""),"PELAJAR/MAHASISWA")</f>
        <v>PELAJAR/MAHASISWA</v>
      </c>
      <c r="T142" s="16"/>
      <c r="U142" s="16" t="str">
        <f>IFERROR(__xludf.DUMMYFUNCTION("""COMPUTED_VALUE"""),"-")</f>
        <v>-</v>
      </c>
      <c r="V142" s="21" t="str">
        <f>IFERROR(__xludf.DUMMYFUNCTION("""COMPUTED_VALUE"""),"081257185743")</f>
        <v>081257185743</v>
      </c>
      <c r="W142" s="22"/>
    </row>
    <row r="143" ht="22.5" customHeight="1">
      <c r="A143" s="8"/>
      <c r="B143" s="9">
        <f>IFERROR(__xludf.DUMMYFUNCTION("""COMPUTED_VALUE"""),45006.9633675)</f>
        <v>45006.96337</v>
      </c>
      <c r="C143" s="9"/>
      <c r="D143" s="10">
        <f>IFERROR(__xludf.DUMMYFUNCTION("""COMPUTED_VALUE"""),44969.0)</f>
        <v>44969</v>
      </c>
      <c r="E143" s="10" t="str">
        <f>IFERROR(__xludf.DUMMYFUNCTION("""COMPUTED_VALUE"""),"02Feb")</f>
        <v>02Feb</v>
      </c>
      <c r="F143" s="10" t="str">
        <f>IFERROR(__xludf.DUMMYFUNCTION("""COMPUTED_VALUE"""),"2023")</f>
        <v>2023</v>
      </c>
      <c r="G143" s="16" t="str">
        <f>IFERROR(__xludf.DUMMYFUNCTION("""COMPUTED_VALUE"""),"ROMY ERLANGGA")</f>
        <v>ROMY ERLANGGA</v>
      </c>
      <c r="H143" s="17" t="str">
        <f>IFERROR(__xludf.DUMMYFUNCTION("""COMPUTED_VALUE"""),"R8723026176")</f>
        <v>R8723026176</v>
      </c>
      <c r="I143" s="17">
        <f>IFERROR(__xludf.DUMMYFUNCTION("""COMPUTED_VALUE"""),39.0)</f>
        <v>39</v>
      </c>
      <c r="J143" s="17" t="str">
        <f>IFERROR(__xludf.DUMMYFUNCTION("""COMPUTED_VALUE"""),"35-44 tahun")</f>
        <v>35-44 tahun</v>
      </c>
      <c r="K143" s="19">
        <f>IFERROR(__xludf.DUMMYFUNCTION("""COMPUTED_VALUE"""),31925.0)</f>
        <v>31925</v>
      </c>
      <c r="L143" s="19" t="str">
        <f>IFERROR(__xludf.DUMMYFUNCTION("""COMPUTED_VALUE"""),"LAKI-LAKI")</f>
        <v>LAKI-LAKI</v>
      </c>
      <c r="M143" s="16" t="str">
        <f>IFERROR(__xludf.DUMMYFUNCTION("""COMPUTED_VALUE"""),"JL RAYA DESA KAPUR BLOK E NO 54")</f>
        <v>JL RAYA DESA KAPUR BLOK E NO 54</v>
      </c>
      <c r="N143" s="16"/>
      <c r="O143" s="16"/>
      <c r="P143" s="16"/>
      <c r="Q143" s="16"/>
      <c r="R143" s="19" t="str">
        <f>IFERROR(__xludf.DUMMYFUNCTION("""COMPUTED_VALUE"""),"ISLAM")</f>
        <v>ISLAM</v>
      </c>
      <c r="S143" s="16" t="str">
        <f>IFERROR(__xludf.DUMMYFUNCTION("""COMPUTED_VALUE"""),"BUMN")</f>
        <v>BUMN</v>
      </c>
      <c r="T143" s="16"/>
      <c r="U143" s="16" t="str">
        <f>IFERROR(__xludf.DUMMYFUNCTION("""COMPUTED_VALUE"""),"-")</f>
        <v>-</v>
      </c>
      <c r="V143" s="21" t="str">
        <f>IFERROR(__xludf.DUMMYFUNCTION("""COMPUTED_VALUE"""),"085750936176")</f>
        <v>085750936176</v>
      </c>
      <c r="W143" s="22"/>
    </row>
    <row r="144" ht="22.5" customHeight="1">
      <c r="A144" s="8"/>
      <c r="B144" s="9">
        <f>IFERROR(__xludf.DUMMYFUNCTION("""COMPUTED_VALUE"""),44725.71133420139)</f>
        <v>44725.71133</v>
      </c>
      <c r="C144" s="9"/>
      <c r="D144" s="10">
        <f>IFERROR(__xludf.DUMMYFUNCTION("""COMPUTED_VALUE"""),44969.0)</f>
        <v>44969</v>
      </c>
      <c r="E144" s="10" t="str">
        <f>IFERROR(__xludf.DUMMYFUNCTION("""COMPUTED_VALUE"""),"02Feb")</f>
        <v>02Feb</v>
      </c>
      <c r="F144" s="10" t="str">
        <f>IFERROR(__xludf.DUMMYFUNCTION("""COMPUTED_VALUE"""),"2023")</f>
        <v>2023</v>
      </c>
      <c r="G144" s="16" t="str">
        <f>IFERROR(__xludf.DUMMYFUNCTION("""COMPUTED_VALUE"""),"SYAHRIAL")</f>
        <v>SYAHRIAL</v>
      </c>
      <c r="H144" s="17" t="str">
        <f>IFERROR(__xludf.DUMMYFUNCTION("""COMPUTED_VALUE"""),"S7523022111")</f>
        <v>S7523022111</v>
      </c>
      <c r="I144" s="17">
        <f>IFERROR(__xludf.DUMMYFUNCTION("""COMPUTED_VALUE"""),51.0)</f>
        <v>51</v>
      </c>
      <c r="J144" s="17" t="str">
        <f>IFERROR(__xludf.DUMMYFUNCTION("""COMPUTED_VALUE"""),"&gt; 44 tahun")</f>
        <v>&gt; 44 tahun</v>
      </c>
      <c r="K144" s="19">
        <f>IFERROR(__xludf.DUMMYFUNCTION("""COMPUTED_VALUE"""),27558.0)</f>
        <v>27558</v>
      </c>
      <c r="L144" s="19" t="str">
        <f>IFERROR(__xludf.DUMMYFUNCTION("""COMPUTED_VALUE"""),"LAKI-LAKI")</f>
        <v>LAKI-LAKI</v>
      </c>
      <c r="M144" s="16" t="str">
        <f>IFERROR(__xludf.DUMMYFUNCTION("""COMPUTED_VALUE"""),"JL P NATAKUSUMA GG KUSUMA NO D1")</f>
        <v>JL P NATAKUSUMA GG KUSUMA NO D1</v>
      </c>
      <c r="N144" s="16"/>
      <c r="O144" s="16"/>
      <c r="P144" s="16"/>
      <c r="Q144" s="16"/>
      <c r="R144" s="19" t="str">
        <f>IFERROR(__xludf.DUMMYFUNCTION("""COMPUTED_VALUE"""),"ISLAM")</f>
        <v>ISLAM</v>
      </c>
      <c r="S144" s="16" t="str">
        <f>IFERROR(__xludf.DUMMYFUNCTION("""COMPUTED_VALUE"""),"ASN")</f>
        <v>ASN</v>
      </c>
      <c r="T144" s="16"/>
      <c r="U144" s="16" t="str">
        <f>IFERROR(__xludf.DUMMYFUNCTION("""COMPUTED_VALUE"""),"SEPAK BOLA")</f>
        <v>SEPAK BOLA</v>
      </c>
      <c r="V144" s="21" t="str">
        <f>IFERROR(__xludf.DUMMYFUNCTION("""COMPUTED_VALUE"""),"085854432111")</f>
        <v>085854432111</v>
      </c>
      <c r="W144" s="22"/>
    </row>
    <row r="145" ht="22.5" customHeight="1">
      <c r="A145" s="8"/>
      <c r="B145" s="9">
        <f>IFERROR(__xludf.DUMMYFUNCTION("""COMPUTED_VALUE"""),45006.9579046875)</f>
        <v>45006.9579</v>
      </c>
      <c r="C145" s="9"/>
      <c r="D145" s="10">
        <f>IFERROR(__xludf.DUMMYFUNCTION("""COMPUTED_VALUE"""),44970.0)</f>
        <v>44970</v>
      </c>
      <c r="E145" s="10" t="str">
        <f>IFERROR(__xludf.DUMMYFUNCTION("""COMPUTED_VALUE"""),"02Feb")</f>
        <v>02Feb</v>
      </c>
      <c r="F145" s="10" t="str">
        <f>IFERROR(__xludf.DUMMYFUNCTION("""COMPUTED_VALUE"""),"2023")</f>
        <v>2023</v>
      </c>
      <c r="G145" s="16" t="str">
        <f>IFERROR(__xludf.DUMMYFUNCTION("""COMPUTED_VALUE"""),"DODI SURIYADI")</f>
        <v>DODI SURIYADI</v>
      </c>
      <c r="H145" s="17" t="str">
        <f>IFERROR(__xludf.DUMMYFUNCTION("""COMPUTED_VALUE"""),"D7023021970")</f>
        <v>D7023021970</v>
      </c>
      <c r="I145" s="17">
        <f>IFERROR(__xludf.DUMMYFUNCTION("""COMPUTED_VALUE"""),56.0)</f>
        <v>56</v>
      </c>
      <c r="J145" s="17" t="str">
        <f>IFERROR(__xludf.DUMMYFUNCTION("""COMPUTED_VALUE"""),"&gt; 44 tahun")</f>
        <v>&gt; 44 tahun</v>
      </c>
      <c r="K145" s="19">
        <f>IFERROR(__xludf.DUMMYFUNCTION("""COMPUTED_VALUE"""),25697.0)</f>
        <v>25697</v>
      </c>
      <c r="L145" s="19" t="str">
        <f>IFERROR(__xludf.DUMMYFUNCTION("""COMPUTED_VALUE"""),"LAKI-LAKI")</f>
        <v>LAKI-LAKI</v>
      </c>
      <c r="M145" s="16" t="str">
        <f>IFERROR(__xludf.DUMMYFUNCTION("""COMPUTED_VALUE"""),"JL. KESEHATAN")</f>
        <v>JL. KESEHATAN</v>
      </c>
      <c r="N145" s="16"/>
      <c r="O145" s="16"/>
      <c r="P145" s="16"/>
      <c r="Q145" s="16"/>
      <c r="R145" s="19" t="str">
        <f>IFERROR(__xludf.DUMMYFUNCTION("""COMPUTED_VALUE"""),"ISLAM")</f>
        <v>ISLAM</v>
      </c>
      <c r="S145" s="16" t="str">
        <f>IFERROR(__xludf.DUMMYFUNCTION("""COMPUTED_VALUE"""),"SWASTA")</f>
        <v>SWASTA</v>
      </c>
      <c r="T145" s="16" t="str">
        <f>IFERROR(__xludf.DUMMYFUNCTION("""COMPUTED_VALUE"""),"SIKU")</f>
        <v>SIKU</v>
      </c>
      <c r="U145" s="16" t="str">
        <f>IFERROR(__xludf.DUMMYFUNCTION("""COMPUTED_VALUE"""),"")</f>
        <v/>
      </c>
      <c r="V145" s="21" t="str">
        <f>IFERROR(__xludf.DUMMYFUNCTION("""COMPUTED_VALUE"""),"085654611970")</f>
        <v>085654611970</v>
      </c>
      <c r="W145" s="22"/>
    </row>
    <row r="146" ht="22.5" customHeight="1">
      <c r="A146" s="8"/>
      <c r="B146" s="9">
        <f>IFERROR(__xludf.DUMMYFUNCTION("""COMPUTED_VALUE"""),45006.95939935185)</f>
        <v>45006.9594</v>
      </c>
      <c r="C146" s="9"/>
      <c r="D146" s="10">
        <f>IFERROR(__xludf.DUMMYFUNCTION("""COMPUTED_VALUE"""),44970.0)</f>
        <v>44970</v>
      </c>
      <c r="E146" s="10" t="str">
        <f>IFERROR(__xludf.DUMMYFUNCTION("""COMPUTED_VALUE"""),"02Feb")</f>
        <v>02Feb</v>
      </c>
      <c r="F146" s="10" t="str">
        <f>IFERROR(__xludf.DUMMYFUNCTION("""COMPUTED_VALUE"""),"2023")</f>
        <v>2023</v>
      </c>
      <c r="G146" s="16" t="str">
        <f>IFERROR(__xludf.DUMMYFUNCTION("""COMPUTED_VALUE"""),"PUJI ASTUTI")</f>
        <v>PUJI ASTUTI</v>
      </c>
      <c r="H146" s="17" t="str">
        <f>IFERROR(__xludf.DUMMYFUNCTION("""COMPUTED_VALUE"""),"P8623020320")</f>
        <v>P8623020320</v>
      </c>
      <c r="I146" s="17">
        <f>IFERROR(__xludf.DUMMYFUNCTION("""COMPUTED_VALUE"""),39.0)</f>
        <v>39</v>
      </c>
      <c r="J146" s="17" t="str">
        <f>IFERROR(__xludf.DUMMYFUNCTION("""COMPUTED_VALUE"""),"35-44 tahun")</f>
        <v>35-44 tahun</v>
      </c>
      <c r="K146" s="19">
        <f>IFERROR(__xludf.DUMMYFUNCTION("""COMPUTED_VALUE"""),31597.0)</f>
        <v>31597</v>
      </c>
      <c r="L146" s="19" t="str">
        <f>IFERROR(__xludf.DUMMYFUNCTION("""COMPUTED_VALUE"""),"PEREMPUAN")</f>
        <v>PEREMPUAN</v>
      </c>
      <c r="M146" s="16" t="str">
        <f>IFERROR(__xludf.DUMMYFUNCTION("""COMPUTED_VALUE"""),"JL. TABRANI AHMAD GG. HISHAK")</f>
        <v>JL. TABRANI AHMAD GG. HISHAK</v>
      </c>
      <c r="N146" s="16"/>
      <c r="O146" s="16"/>
      <c r="P146" s="16"/>
      <c r="Q146" s="16"/>
      <c r="R146" s="19" t="str">
        <f>IFERROR(__xludf.DUMMYFUNCTION("""COMPUTED_VALUE"""),"ISLAM")</f>
        <v>ISLAM</v>
      </c>
      <c r="S146" s="16" t="str">
        <f>IFERROR(__xludf.DUMMYFUNCTION("""COMPUTED_VALUE"""),"RUMAH TANGGA")</f>
        <v>RUMAH TANGGA</v>
      </c>
      <c r="T146" s="16" t="str">
        <f>IFERROR(__xludf.DUMMYFUNCTION("""COMPUTED_VALUE"""),"DAN ENGKEL")</f>
        <v>DAN ENGKEL</v>
      </c>
      <c r="U146" s="16" t="str">
        <f>IFERROR(__xludf.DUMMYFUNCTION("""COMPUTED_VALUE"""),"")</f>
        <v/>
      </c>
      <c r="V146" s="21" t="str">
        <f>IFERROR(__xludf.DUMMYFUNCTION("""COMPUTED_VALUE"""),"089606850320")</f>
        <v>089606850320</v>
      </c>
      <c r="W146" s="22"/>
    </row>
    <row r="147" ht="22.5" customHeight="1">
      <c r="A147" s="25"/>
      <c r="B147" s="26">
        <f>IFERROR(__xludf.DUMMYFUNCTION("""COMPUTED_VALUE"""),45006.96069658565)</f>
        <v>45006.9607</v>
      </c>
      <c r="C147" s="26"/>
      <c r="D147" s="10">
        <f>IFERROR(__xludf.DUMMYFUNCTION("""COMPUTED_VALUE"""),44971.0)</f>
        <v>44971</v>
      </c>
      <c r="E147" s="10" t="str">
        <f>IFERROR(__xludf.DUMMYFUNCTION("""COMPUTED_VALUE"""),"02Feb")</f>
        <v>02Feb</v>
      </c>
      <c r="F147" s="10" t="str">
        <f>IFERROR(__xludf.DUMMYFUNCTION("""COMPUTED_VALUE"""),"2023")</f>
        <v>2023</v>
      </c>
      <c r="G147" s="16" t="str">
        <f>IFERROR(__xludf.DUMMYFUNCTION("""COMPUTED_VALUE"""),"ADNAN PRAMUDIO")</f>
        <v>ADNAN PRAMUDIO</v>
      </c>
      <c r="H147" s="17" t="str">
        <f>IFERROR(__xludf.DUMMYFUNCTION("""COMPUTED_VALUE"""),"A9323025721")</f>
        <v>A9323025721</v>
      </c>
      <c r="I147" s="17">
        <f>IFERROR(__xludf.DUMMYFUNCTION("""COMPUTED_VALUE"""),33.0)</f>
        <v>33</v>
      </c>
      <c r="J147" s="17" t="str">
        <f>IFERROR(__xludf.DUMMYFUNCTION("""COMPUTED_VALUE"""),"25-34 tahun")</f>
        <v>25-34 tahun</v>
      </c>
      <c r="K147" s="19">
        <f>IFERROR(__xludf.DUMMYFUNCTION("""COMPUTED_VALUE"""),34083.0)</f>
        <v>34083</v>
      </c>
      <c r="L147" s="19" t="str">
        <f>IFERROR(__xludf.DUMMYFUNCTION("""COMPUTED_VALUE"""),"LAKI-LAKI")</f>
        <v>LAKI-LAKI</v>
      </c>
      <c r="M147" s="16" t="str">
        <f>IFERROR(__xludf.DUMMYFUNCTION("""COMPUTED_VALUE"""),"KOMPLEK KORPRI NO 38")</f>
        <v>KOMPLEK KORPRI NO 38</v>
      </c>
      <c r="N147" s="16"/>
      <c r="O147" s="16"/>
      <c r="P147" s="16"/>
      <c r="Q147" s="16"/>
      <c r="R147" s="19" t="str">
        <f>IFERROR(__xludf.DUMMYFUNCTION("""COMPUTED_VALUE"""),"ISLAM")</f>
        <v>ISLAM</v>
      </c>
      <c r="S147" s="16" t="str">
        <f>IFERROR(__xludf.DUMMYFUNCTION("""COMPUTED_VALUE"""),"ASN")</f>
        <v>ASN</v>
      </c>
      <c r="T147" s="16" t="str">
        <f>IFERROR(__xludf.DUMMYFUNCTION("""COMPUTED_VALUE"""),"SKOLIOSIS")</f>
        <v>SKOLIOSIS</v>
      </c>
      <c r="U147" s="16" t="str">
        <f>IFERROR(__xludf.DUMMYFUNCTION("""COMPUTED_VALUE"""),"-")</f>
        <v>-</v>
      </c>
      <c r="V147" s="21" t="str">
        <f>IFERROR(__xludf.DUMMYFUNCTION("""COMPUTED_VALUE"""),"082142565721")</f>
        <v>082142565721</v>
      </c>
      <c r="W147" s="27"/>
    </row>
    <row r="148" ht="22.5" customHeight="1">
      <c r="A148" s="28"/>
      <c r="B148" s="30">
        <f>IFERROR(__xludf.DUMMYFUNCTION("""COMPUTED_VALUE"""),45011.64125850695)</f>
        <v>45011.64126</v>
      </c>
      <c r="C148" s="30"/>
      <c r="D148" s="10">
        <f>IFERROR(__xludf.DUMMYFUNCTION("""COMPUTED_VALUE"""),44971.0)</f>
        <v>44971</v>
      </c>
      <c r="E148" s="10" t="str">
        <f>IFERROR(__xludf.DUMMYFUNCTION("""COMPUTED_VALUE"""),"02Feb")</f>
        <v>02Feb</v>
      </c>
      <c r="F148" s="10" t="str">
        <f>IFERROR(__xludf.DUMMYFUNCTION("""COMPUTED_VALUE"""),"2023")</f>
        <v>2023</v>
      </c>
      <c r="G148" s="16" t="str">
        <f>IFERROR(__xludf.DUMMYFUNCTION("""COMPUTED_VALUE"""),"AHMAD NAZRAN")</f>
        <v>AHMAD NAZRAN</v>
      </c>
      <c r="H148" s="17" t="str">
        <f>IFERROR(__xludf.DUMMYFUNCTION("""COMPUTED_VALUE"""),"A9723026314")</f>
        <v>A9723026314</v>
      </c>
      <c r="I148" s="17">
        <f>IFERROR(__xludf.DUMMYFUNCTION("""COMPUTED_VALUE"""),29.0)</f>
        <v>29</v>
      </c>
      <c r="J148" s="17" t="str">
        <f>IFERROR(__xludf.DUMMYFUNCTION("""COMPUTED_VALUE"""),"25-34 tahun")</f>
        <v>25-34 tahun</v>
      </c>
      <c r="K148" s="19">
        <f>IFERROR(__xludf.DUMMYFUNCTION("""COMPUTED_VALUE"""),35458.0)</f>
        <v>35458</v>
      </c>
      <c r="L148" s="19" t="str">
        <f>IFERROR(__xludf.DUMMYFUNCTION("""COMPUTED_VALUE"""),"LAKI-LAKI")</f>
        <v>LAKI-LAKI</v>
      </c>
      <c r="M148" s="16" t="str">
        <f>IFERROR(__xludf.DUMMYFUNCTION("""COMPUTED_VALUE"""),"JL. PARIS 2 KOMP. ALEX GRIYA 1")</f>
        <v>JL. PARIS 2 KOMP. ALEX GRIYA 1</v>
      </c>
      <c r="N148" s="16"/>
      <c r="O148" s="16"/>
      <c r="P148" s="16"/>
      <c r="Q148" s="16"/>
      <c r="R148" s="19" t="str">
        <f>IFERROR(__xludf.DUMMYFUNCTION("""COMPUTED_VALUE"""),"ISLAM")</f>
        <v>ISLAM</v>
      </c>
      <c r="S148" s="16" t="str">
        <f>IFERROR(__xludf.DUMMYFUNCTION("""COMPUTED_VALUE"""),"SWASTA")</f>
        <v>SWASTA</v>
      </c>
      <c r="T148" s="16" t="str">
        <f>IFERROR(__xludf.DUMMYFUNCTION("""COMPUTED_VALUE"""),"PAHA")</f>
        <v>PAHA</v>
      </c>
      <c r="U148" s="16" t="str">
        <f>IFERROR(__xludf.DUMMYFUNCTION("""COMPUTED_VALUE"""),"")</f>
        <v/>
      </c>
      <c r="V148" s="21" t="str">
        <f>IFERROR(__xludf.DUMMYFUNCTION("""COMPUTED_VALUE"""),"082353116314")</f>
        <v>082353116314</v>
      </c>
      <c r="W148" s="31"/>
    </row>
    <row r="149" ht="22.5" customHeight="1">
      <c r="A149" s="28"/>
      <c r="B149" s="26">
        <f>IFERROR(__xludf.DUMMYFUNCTION("""COMPUTED_VALUE"""),44952.80810185185)</f>
        <v>44952.8081</v>
      </c>
      <c r="C149" s="26"/>
      <c r="D149" s="10">
        <f>IFERROR(__xludf.DUMMYFUNCTION("""COMPUTED_VALUE"""),44971.0)</f>
        <v>44971</v>
      </c>
      <c r="E149" s="10" t="str">
        <f>IFERROR(__xludf.DUMMYFUNCTION("""COMPUTED_VALUE"""),"02Feb")</f>
        <v>02Feb</v>
      </c>
      <c r="F149" s="10" t="str">
        <f>IFERROR(__xludf.DUMMYFUNCTION("""COMPUTED_VALUE"""),"2023")</f>
        <v>2023</v>
      </c>
      <c r="G149" s="16" t="str">
        <f>IFERROR(__xludf.DUMMYFUNCTION("""COMPUTED_VALUE"""),"BERNADUS MILINIUS")</f>
        <v>BERNADUS MILINIUS</v>
      </c>
      <c r="H149" s="17" t="str">
        <f>IFERROR(__xludf.DUMMYFUNCTION("""COMPUTED_VALUE"""),"B0023023780")</f>
        <v>B0023023780</v>
      </c>
      <c r="I149" s="17">
        <f>IFERROR(__xludf.DUMMYFUNCTION("""COMPUTED_VALUE"""),25.0)</f>
        <v>25</v>
      </c>
      <c r="J149" s="17" t="str">
        <f>IFERROR(__xludf.DUMMYFUNCTION("""COMPUTED_VALUE"""),"25-34 tahun")</f>
        <v>25-34 tahun</v>
      </c>
      <c r="K149" s="19">
        <f>IFERROR(__xludf.DUMMYFUNCTION("""COMPUTED_VALUE"""),36727.0)</f>
        <v>36727</v>
      </c>
      <c r="L149" s="19" t="str">
        <f>IFERROR(__xludf.DUMMYFUNCTION("""COMPUTED_VALUE"""),"LAKI-LAKI")</f>
        <v>LAKI-LAKI</v>
      </c>
      <c r="M149" s="16" t="str">
        <f>IFERROR(__xludf.DUMMYFUNCTION("""COMPUTED_VALUE"""),"JL. SEPAKAT 2 ASRAMA PANTURA")</f>
        <v>JL. SEPAKAT 2 ASRAMA PANTURA</v>
      </c>
      <c r="N149" s="16"/>
      <c r="O149" s="16"/>
      <c r="P149" s="16"/>
      <c r="Q149" s="16"/>
      <c r="R149" s="19" t="str">
        <f>IFERROR(__xludf.DUMMYFUNCTION("""COMPUTED_VALUE"""),"KATOLIK")</f>
        <v>KATOLIK</v>
      </c>
      <c r="S149" s="16" t="str">
        <f>IFERROR(__xludf.DUMMYFUNCTION("""COMPUTED_VALUE"""),"PELAJAR/MAHASISWA")</f>
        <v>PELAJAR/MAHASISWA</v>
      </c>
      <c r="T149" s="16"/>
      <c r="U149" s="16" t="str">
        <f>IFERROR(__xludf.DUMMYFUNCTION("""COMPUTED_VALUE"""),"")</f>
        <v/>
      </c>
      <c r="V149" s="21" t="str">
        <f>IFERROR(__xludf.DUMMYFUNCTION("""COMPUTED_VALUE"""),"0895613483780")</f>
        <v>0895613483780</v>
      </c>
      <c r="W149" s="27"/>
    </row>
    <row r="150" ht="22.5" customHeight="1">
      <c r="A150" s="23"/>
      <c r="B150" s="24">
        <f>IFERROR(__xludf.DUMMYFUNCTION("""COMPUTED_VALUE"""),44921.725439814814)</f>
        <v>44921.72544</v>
      </c>
      <c r="C150" s="24"/>
      <c r="D150" s="10">
        <f>IFERROR(__xludf.DUMMYFUNCTION("""COMPUTED_VALUE"""),44971.0)</f>
        <v>44971</v>
      </c>
      <c r="E150" s="10" t="str">
        <f>IFERROR(__xludf.DUMMYFUNCTION("""COMPUTED_VALUE"""),"02Feb")</f>
        <v>02Feb</v>
      </c>
      <c r="F150" s="10" t="str">
        <f>IFERROR(__xludf.DUMMYFUNCTION("""COMPUTED_VALUE"""),"2023")</f>
        <v>2023</v>
      </c>
      <c r="G150" s="16" t="str">
        <f>IFERROR(__xludf.DUMMYFUNCTION("""COMPUTED_VALUE"""),"BURHAN")</f>
        <v>BURHAN</v>
      </c>
      <c r="H150" s="17" t="str">
        <f>IFERROR(__xludf.DUMMYFUNCTION("""COMPUTED_VALUE"""),"B6323026014")</f>
        <v>B6323026014</v>
      </c>
      <c r="I150" s="17">
        <f>IFERROR(__xludf.DUMMYFUNCTION("""COMPUTED_VALUE"""),62.0)</f>
        <v>62</v>
      </c>
      <c r="J150" s="17" t="str">
        <f>IFERROR(__xludf.DUMMYFUNCTION("""COMPUTED_VALUE"""),"&gt; 44 tahun")</f>
        <v>&gt; 44 tahun</v>
      </c>
      <c r="K150" s="19">
        <f>IFERROR(__xludf.DUMMYFUNCTION("""COMPUTED_VALUE"""),23243.0)</f>
        <v>23243</v>
      </c>
      <c r="L150" s="19" t="str">
        <f>IFERROR(__xludf.DUMMYFUNCTION("""COMPUTED_VALUE"""),"LAKI-LAKI")</f>
        <v>LAKI-LAKI</v>
      </c>
      <c r="M150" s="16" t="str">
        <f>IFERROR(__xludf.DUMMYFUNCTION("""COMPUTED_VALUE"""),"JL TJ RAYA 2 SAIGON NO 18")</f>
        <v>JL TJ RAYA 2 SAIGON NO 18</v>
      </c>
      <c r="N150" s="16"/>
      <c r="O150" s="16"/>
      <c r="P150" s="16"/>
      <c r="Q150" s="16"/>
      <c r="R150" s="19" t="str">
        <f>IFERROR(__xludf.DUMMYFUNCTION("""COMPUTED_VALUE"""),"ISLAM")</f>
        <v>ISLAM</v>
      </c>
      <c r="S150" s="16" t="str">
        <f>IFERROR(__xludf.DUMMYFUNCTION("""COMPUTED_VALUE"""),"ASN")</f>
        <v>ASN</v>
      </c>
      <c r="T150" s="16" t="str">
        <f>IFERROR(__xludf.DUMMYFUNCTION("""COMPUTED_VALUE"""),"KAKI")</f>
        <v>KAKI</v>
      </c>
      <c r="U150" s="16" t="str">
        <f>IFERROR(__xludf.DUMMYFUNCTION("""COMPUTED_VALUE"""),"-")</f>
        <v>-</v>
      </c>
      <c r="V150" s="21" t="str">
        <f>IFERROR(__xludf.DUMMYFUNCTION("""COMPUTED_VALUE"""),"0811576014")</f>
        <v>0811576014</v>
      </c>
      <c r="W150" s="22"/>
    </row>
    <row r="151" ht="22.5" customHeight="1">
      <c r="A151" s="8"/>
      <c r="B151" s="9">
        <f>IFERROR(__xludf.DUMMYFUNCTION("""COMPUTED_VALUE"""),44934.67638888889)</f>
        <v>44934.67639</v>
      </c>
      <c r="C151" s="9"/>
      <c r="D151" s="10">
        <f>IFERROR(__xludf.DUMMYFUNCTION("""COMPUTED_VALUE"""),44971.0)</f>
        <v>44971</v>
      </c>
      <c r="E151" s="10" t="str">
        <f>IFERROR(__xludf.DUMMYFUNCTION("""COMPUTED_VALUE"""),"02Feb")</f>
        <v>02Feb</v>
      </c>
      <c r="F151" s="10" t="str">
        <f>IFERROR(__xludf.DUMMYFUNCTION("""COMPUTED_VALUE"""),"2023")</f>
        <v>2023</v>
      </c>
      <c r="G151" s="16" t="str">
        <f>IFERROR(__xludf.DUMMYFUNCTION("""COMPUTED_VALUE"""),"RICKY")</f>
        <v>RICKY</v>
      </c>
      <c r="H151" s="17" t="str">
        <f>IFERROR(__xludf.DUMMYFUNCTION("""COMPUTED_VALUE"""),"R0123024442")</f>
        <v>R0123024442</v>
      </c>
      <c r="I151" s="17">
        <f>IFERROR(__xludf.DUMMYFUNCTION("""COMPUTED_VALUE"""),25.0)</f>
        <v>25</v>
      </c>
      <c r="J151" s="17" t="str">
        <f>IFERROR(__xludf.DUMMYFUNCTION("""COMPUTED_VALUE"""),"25-34 tahun")</f>
        <v>25-34 tahun</v>
      </c>
      <c r="K151" s="19">
        <f>IFERROR(__xludf.DUMMYFUNCTION("""COMPUTED_VALUE"""),36966.0)</f>
        <v>36966</v>
      </c>
      <c r="L151" s="19" t="str">
        <f>IFERROR(__xludf.DUMMYFUNCTION("""COMPUTED_VALUE"""),"LAKI-LAKI")</f>
        <v>LAKI-LAKI</v>
      </c>
      <c r="M151" s="16" t="str">
        <f>IFERROR(__xludf.DUMMYFUNCTION("""COMPUTED_VALUE"""),"JL. GUSTI SITUT MAHMUD")</f>
        <v>JL. GUSTI SITUT MAHMUD</v>
      </c>
      <c r="N151" s="16"/>
      <c r="O151" s="16"/>
      <c r="P151" s="16"/>
      <c r="Q151" s="16"/>
      <c r="R151" s="19" t="str">
        <f>IFERROR(__xludf.DUMMYFUNCTION("""COMPUTED_VALUE"""),"BUDDHA")</f>
        <v>BUDDHA</v>
      </c>
      <c r="S151" s="16" t="str">
        <f>IFERROR(__xludf.DUMMYFUNCTION("""COMPUTED_VALUE"""),"SWASTA")</f>
        <v>SWASTA</v>
      </c>
      <c r="T151" s="16" t="str">
        <f>IFERROR(__xludf.DUMMYFUNCTION("""COMPUTED_VALUE"""),"LEHER")</f>
        <v>LEHER</v>
      </c>
      <c r="U151" s="16" t="str">
        <f>IFERROR(__xludf.DUMMYFUNCTION("""COMPUTED_VALUE"""),"DUDUK")</f>
        <v>DUDUK</v>
      </c>
      <c r="V151" s="21" t="str">
        <f>IFERROR(__xludf.DUMMYFUNCTION("""COMPUTED_VALUE"""),"089507964442")</f>
        <v>089507964442</v>
      </c>
      <c r="W151" s="22"/>
    </row>
    <row r="152" ht="22.5" customHeight="1">
      <c r="A152" s="25"/>
      <c r="B152" s="26">
        <f>IFERROR(__xludf.DUMMYFUNCTION("""COMPUTED_VALUE"""),45006.6187513426)</f>
        <v>45006.61875</v>
      </c>
      <c r="C152" s="26"/>
      <c r="D152" s="10">
        <f>IFERROR(__xludf.DUMMYFUNCTION("""COMPUTED_VALUE"""),44972.0)</f>
        <v>44972</v>
      </c>
      <c r="E152" s="10" t="str">
        <f>IFERROR(__xludf.DUMMYFUNCTION("""COMPUTED_VALUE"""),"02Feb")</f>
        <v>02Feb</v>
      </c>
      <c r="F152" s="10" t="str">
        <f>IFERROR(__xludf.DUMMYFUNCTION("""COMPUTED_VALUE"""),"2023")</f>
        <v>2023</v>
      </c>
      <c r="G152" s="16" t="str">
        <f>IFERROR(__xludf.DUMMYFUNCTION("""COMPUTED_VALUE"""),"ENDANG SUAIDAH")</f>
        <v>ENDANG SUAIDAH</v>
      </c>
      <c r="H152" s="17" t="str">
        <f>IFERROR(__xludf.DUMMYFUNCTION("""COMPUTED_VALUE"""),"E7223028000")</f>
        <v>E7223028000</v>
      </c>
      <c r="I152" s="17">
        <f>IFERROR(__xludf.DUMMYFUNCTION("""COMPUTED_VALUE"""),53.0)</f>
        <v>53</v>
      </c>
      <c r="J152" s="17" t="str">
        <f>IFERROR(__xludf.DUMMYFUNCTION("""COMPUTED_VALUE"""),"&gt; 44 tahun")</f>
        <v>&gt; 44 tahun</v>
      </c>
      <c r="K152" s="19">
        <f>IFERROR(__xludf.DUMMYFUNCTION("""COMPUTED_VALUE"""),26576.0)</f>
        <v>26576</v>
      </c>
      <c r="L152" s="19" t="str">
        <f>IFERROR(__xludf.DUMMYFUNCTION("""COMPUTED_VALUE"""),"PEREMPUAN")</f>
        <v>PEREMPUAN</v>
      </c>
      <c r="M152" s="16" t="str">
        <f>IFERROR(__xludf.DUMMYFUNCTION("""COMPUTED_VALUE"""),"JL AMPERA KOMP BALI ASRI")</f>
        <v>JL AMPERA KOMP BALI ASRI</v>
      </c>
      <c r="N152" s="16"/>
      <c r="O152" s="16"/>
      <c r="P152" s="16"/>
      <c r="Q152" s="16"/>
      <c r="R152" s="19" t="str">
        <f>IFERROR(__xludf.DUMMYFUNCTION("""COMPUTED_VALUE"""),"ISLAM")</f>
        <v>ISLAM</v>
      </c>
      <c r="S152" s="16" t="str">
        <f>IFERROR(__xludf.DUMMYFUNCTION("""COMPUTED_VALUE"""),"WIRASWASTA")</f>
        <v>WIRASWASTA</v>
      </c>
      <c r="T152" s="16" t="str">
        <f>IFERROR(__xludf.DUMMYFUNCTION("""COMPUTED_VALUE"""),"PUNGGUNG")</f>
        <v>PUNGGUNG</v>
      </c>
      <c r="U152" s="16" t="str">
        <f>IFERROR(__xludf.DUMMYFUNCTION("""COMPUTED_VALUE"""),"-")</f>
        <v>-</v>
      </c>
      <c r="V152" s="21" t="str">
        <f>IFERROR(__xludf.DUMMYFUNCTION("""COMPUTED_VALUE"""),"081352478000")</f>
        <v>081352478000</v>
      </c>
      <c r="W152" s="27"/>
    </row>
    <row r="153" ht="22.5" customHeight="1">
      <c r="A153" s="8"/>
      <c r="B153" s="9">
        <f>IFERROR(__xludf.DUMMYFUNCTION("""COMPUTED_VALUE"""),45010.69541936343)</f>
        <v>45010.69542</v>
      </c>
      <c r="C153" s="9"/>
      <c r="D153" s="10">
        <f>IFERROR(__xludf.DUMMYFUNCTION("""COMPUTED_VALUE"""),44972.0)</f>
        <v>44972</v>
      </c>
      <c r="E153" s="10" t="str">
        <f>IFERROR(__xludf.DUMMYFUNCTION("""COMPUTED_VALUE"""),"02Feb")</f>
        <v>02Feb</v>
      </c>
      <c r="F153" s="10" t="str">
        <f>IFERROR(__xludf.DUMMYFUNCTION("""COMPUTED_VALUE"""),"2023")</f>
        <v>2023</v>
      </c>
      <c r="G153" s="16" t="str">
        <f>IFERROR(__xludf.DUMMYFUNCTION("""COMPUTED_VALUE"""),"KINARA SHALWA MIKHAYLA")</f>
        <v>KINARA SHALWA MIKHAYLA</v>
      </c>
      <c r="H153" s="17" t="str">
        <f>IFERROR(__xludf.DUMMYFUNCTION("""COMPUTED_VALUE"""),"K1423026996")</f>
        <v>K1423026996</v>
      </c>
      <c r="I153" s="17">
        <f>IFERROR(__xludf.DUMMYFUNCTION("""COMPUTED_VALUE"""),12.0)</f>
        <v>12</v>
      </c>
      <c r="J153" s="17" t="str">
        <f>IFERROR(__xludf.DUMMYFUNCTION("""COMPUTED_VALUE"""),"&lt; 18 tahun")</f>
        <v>&lt; 18 tahun</v>
      </c>
      <c r="K153" s="19">
        <f>IFERROR(__xludf.DUMMYFUNCTION("""COMPUTED_VALUE"""),41755.0)</f>
        <v>41755</v>
      </c>
      <c r="L153" s="19" t="str">
        <f>IFERROR(__xludf.DUMMYFUNCTION("""COMPUTED_VALUE"""),"PEREMPUAN")</f>
        <v>PEREMPUAN</v>
      </c>
      <c r="M153" s="16" t="str">
        <f>IFERROR(__xludf.DUMMYFUNCTION("""COMPUTED_VALUE"""),"JL. PGA")</f>
        <v>JL. PGA</v>
      </c>
      <c r="N153" s="16"/>
      <c r="O153" s="16"/>
      <c r="P153" s="16"/>
      <c r="Q153" s="16"/>
      <c r="R153" s="19" t="str">
        <f>IFERROR(__xludf.DUMMYFUNCTION("""COMPUTED_VALUE"""),"ISLAM")</f>
        <v>ISLAM</v>
      </c>
      <c r="S153" s="16" t="str">
        <f>IFERROR(__xludf.DUMMYFUNCTION("""COMPUTED_VALUE"""),"PELAJAR/MAHASISWA")</f>
        <v>PELAJAR/MAHASISWA</v>
      </c>
      <c r="T153" s="16" t="str">
        <f>IFERROR(__xludf.DUMMYFUNCTION("""COMPUTED_VALUE"""),"FLAT FOOT")</f>
        <v>FLAT FOOT</v>
      </c>
      <c r="U153" s="16" t="str">
        <f>IFERROR(__xludf.DUMMYFUNCTION("""COMPUTED_VALUE"""),"-")</f>
        <v>-</v>
      </c>
      <c r="V153" s="21" t="str">
        <f>IFERROR(__xludf.DUMMYFUNCTION("""COMPUTED_VALUE"""),"085245416996")</f>
        <v>085245416996</v>
      </c>
      <c r="W153" s="22"/>
    </row>
    <row r="154" ht="22.5" customHeight="1">
      <c r="A154" s="28"/>
      <c r="B154" s="9">
        <f>IFERROR(__xludf.DUMMYFUNCTION("""COMPUTED_VALUE"""),44912.866956018515)</f>
        <v>44912.86696</v>
      </c>
      <c r="C154" s="9"/>
      <c r="D154" s="10">
        <f>IFERROR(__xludf.DUMMYFUNCTION("""COMPUTED_VALUE"""),44972.0)</f>
        <v>44972</v>
      </c>
      <c r="E154" s="10" t="str">
        <f>IFERROR(__xludf.DUMMYFUNCTION("""COMPUTED_VALUE"""),"02Feb")</f>
        <v>02Feb</v>
      </c>
      <c r="F154" s="10" t="str">
        <f>IFERROR(__xludf.DUMMYFUNCTION("""COMPUTED_VALUE"""),"2023")</f>
        <v>2023</v>
      </c>
      <c r="G154" s="16" t="str">
        <f>IFERROR(__xludf.DUMMYFUNCTION("""COMPUTED_VALUE"""),"MURNI YUS ANAS")</f>
        <v>MURNI YUS ANAS</v>
      </c>
      <c r="H154" s="17" t="str">
        <f>IFERROR(__xludf.DUMMYFUNCTION("""COMPUTED_VALUE"""),"M6023025875")</f>
        <v>M6023025875</v>
      </c>
      <c r="I154" s="17">
        <f>IFERROR(__xludf.DUMMYFUNCTION("""COMPUTED_VALUE"""),65.0)</f>
        <v>65</v>
      </c>
      <c r="J154" s="17" t="str">
        <f>IFERROR(__xludf.DUMMYFUNCTION("""COMPUTED_VALUE"""),"&gt; 44 tahun")</f>
        <v>&gt; 44 tahun</v>
      </c>
      <c r="K154" s="19">
        <f>IFERROR(__xludf.DUMMYFUNCTION("""COMPUTED_VALUE"""),22233.0)</f>
        <v>22233</v>
      </c>
      <c r="L154" s="19" t="str">
        <f>IFERROR(__xludf.DUMMYFUNCTION("""COMPUTED_VALUE"""),"PEREMPUAN")</f>
        <v>PEREMPUAN</v>
      </c>
      <c r="M154" s="16" t="str">
        <f>IFERROR(__xludf.DUMMYFUNCTION("""COMPUTED_VALUE"""),"JL. PAL 5 KOMP. PALESTIN INDAH 2")</f>
        <v>JL. PAL 5 KOMP. PALESTIN INDAH 2</v>
      </c>
      <c r="N154" s="16"/>
      <c r="O154" s="16"/>
      <c r="P154" s="16"/>
      <c r="Q154" s="16"/>
      <c r="R154" s="19" t="str">
        <f>IFERROR(__xludf.DUMMYFUNCTION("""COMPUTED_VALUE"""),"ISLAM")</f>
        <v>ISLAM</v>
      </c>
      <c r="S154" s="16" t="str">
        <f>IFERROR(__xludf.DUMMYFUNCTION("""COMPUTED_VALUE"""),"PENSIUN")</f>
        <v>PENSIUN</v>
      </c>
      <c r="T154" s="16"/>
      <c r="U154" s="16" t="str">
        <f>IFERROR(__xludf.DUMMYFUNCTION("""COMPUTED_VALUE"""),"")</f>
        <v/>
      </c>
      <c r="V154" s="21" t="str">
        <f>IFERROR(__xludf.DUMMYFUNCTION("""COMPUTED_VALUE"""),"089694125875")</f>
        <v>089694125875</v>
      </c>
      <c r="W154" s="22"/>
    </row>
    <row r="155" ht="22.5" customHeight="1">
      <c r="A155" s="25"/>
      <c r="B155" s="26">
        <f>IFERROR(__xludf.DUMMYFUNCTION("""COMPUTED_VALUE"""),45006.956022060185)</f>
        <v>45006.95602</v>
      </c>
      <c r="C155" s="26"/>
      <c r="D155" s="10">
        <f>IFERROR(__xludf.DUMMYFUNCTION("""COMPUTED_VALUE"""),44972.0)</f>
        <v>44972</v>
      </c>
      <c r="E155" s="10" t="str">
        <f>IFERROR(__xludf.DUMMYFUNCTION("""COMPUTED_VALUE"""),"02Feb")</f>
        <v>02Feb</v>
      </c>
      <c r="F155" s="10" t="str">
        <f>IFERROR(__xludf.DUMMYFUNCTION("""COMPUTED_VALUE"""),"2023")</f>
        <v>2023</v>
      </c>
      <c r="G155" s="16" t="str">
        <f>IFERROR(__xludf.DUMMYFUNCTION("""COMPUTED_VALUE"""),"PURMAWATI")</f>
        <v>PURMAWATI</v>
      </c>
      <c r="H155" s="17" t="str">
        <f>IFERROR(__xludf.DUMMYFUNCTION("""COMPUTED_VALUE"""),"P5923029996")</f>
        <v>P5923029996</v>
      </c>
      <c r="I155" s="17">
        <f>IFERROR(__xludf.DUMMYFUNCTION("""COMPUTED_VALUE"""),66.0)</f>
        <v>66</v>
      </c>
      <c r="J155" s="17" t="str">
        <f>IFERROR(__xludf.DUMMYFUNCTION("""COMPUTED_VALUE"""),"&gt; 44 tahun")</f>
        <v>&gt; 44 tahun</v>
      </c>
      <c r="K155" s="19">
        <f>IFERROR(__xludf.DUMMYFUNCTION("""COMPUTED_VALUE"""),21785.0)</f>
        <v>21785</v>
      </c>
      <c r="L155" s="19" t="str">
        <f>IFERROR(__xludf.DUMMYFUNCTION("""COMPUTED_VALUE"""),"PEREMPUAN")</f>
        <v>PEREMPUAN</v>
      </c>
      <c r="M155" s="16" t="str">
        <f>IFERROR(__xludf.DUMMYFUNCTION("""COMPUTED_VALUE"""),"JL. UNTUNG SUROPATI")</f>
        <v>JL. UNTUNG SUROPATI</v>
      </c>
      <c r="N155" s="16"/>
      <c r="O155" s="16"/>
      <c r="P155" s="16"/>
      <c r="Q155" s="16"/>
      <c r="R155" s="19" t="str">
        <f>IFERROR(__xludf.DUMMYFUNCTION("""COMPUTED_VALUE"""),"ISLAM")</f>
        <v>ISLAM</v>
      </c>
      <c r="S155" s="16" t="str">
        <f>IFERROR(__xludf.DUMMYFUNCTION("""COMPUTED_VALUE"""),"PENSIUN")</f>
        <v>PENSIUN</v>
      </c>
      <c r="T155" s="16" t="str">
        <f>IFERROR(__xludf.DUMMYFUNCTION("""COMPUTED_VALUE"""),"TANGAN DAN KAKI")</f>
        <v>TANGAN DAN KAKI</v>
      </c>
      <c r="U155" s="16" t="str">
        <f>IFERROR(__xludf.DUMMYFUNCTION("""COMPUTED_VALUE"""),"")</f>
        <v/>
      </c>
      <c r="V155" s="21" t="str">
        <f>IFERROR(__xludf.DUMMYFUNCTION("""COMPUTED_VALUE"""),"085386799996")</f>
        <v>085386799996</v>
      </c>
      <c r="W155" s="27"/>
    </row>
    <row r="156" ht="22.5" customHeight="1">
      <c r="A156" s="8"/>
      <c r="B156" s="9">
        <f>IFERROR(__xludf.DUMMYFUNCTION("""COMPUTED_VALUE"""),45011.17362923612)</f>
        <v>45011.17363</v>
      </c>
      <c r="C156" s="9"/>
      <c r="D156" s="10">
        <f>IFERROR(__xludf.DUMMYFUNCTION("""COMPUTED_VALUE"""),44972.0)</f>
        <v>44972</v>
      </c>
      <c r="E156" s="10" t="str">
        <f>IFERROR(__xludf.DUMMYFUNCTION("""COMPUTED_VALUE"""),"02Feb")</f>
        <v>02Feb</v>
      </c>
      <c r="F156" s="10" t="str">
        <f>IFERROR(__xludf.DUMMYFUNCTION("""COMPUTED_VALUE"""),"2023")</f>
        <v>2023</v>
      </c>
      <c r="G156" s="16" t="str">
        <f>IFERROR(__xludf.DUMMYFUNCTION("""COMPUTED_VALUE"""),"SARBANI")</f>
        <v>SARBANI</v>
      </c>
      <c r="H156" s="17" t="str">
        <f>IFERROR(__xludf.DUMMYFUNCTION("""COMPUTED_VALUE"""),"S6023020000")</f>
        <v>S6023020000</v>
      </c>
      <c r="I156" s="17">
        <f>IFERROR(__xludf.DUMMYFUNCTION("""COMPUTED_VALUE"""),65.0)</f>
        <v>65</v>
      </c>
      <c r="J156" s="17" t="str">
        <f>IFERROR(__xludf.DUMMYFUNCTION("""COMPUTED_VALUE"""),"&gt; 44 tahun")</f>
        <v>&gt; 44 tahun</v>
      </c>
      <c r="K156" s="19">
        <f>IFERROR(__xludf.DUMMYFUNCTION("""COMPUTED_VALUE"""),22145.0)</f>
        <v>22145</v>
      </c>
      <c r="L156" s="19" t="str">
        <f>IFERROR(__xludf.DUMMYFUNCTION("""COMPUTED_VALUE"""),"LAKI-LAKI")</f>
        <v>LAKI-LAKI</v>
      </c>
      <c r="M156" s="16" t="str">
        <f>IFERROR(__xludf.DUMMYFUNCTION("""COMPUTED_VALUE"""),"SAMBORA")</f>
        <v>SAMBORA</v>
      </c>
      <c r="N156" s="16"/>
      <c r="O156" s="16"/>
      <c r="P156" s="16"/>
      <c r="Q156" s="16"/>
      <c r="R156" s="19" t="str">
        <f>IFERROR(__xludf.DUMMYFUNCTION("""COMPUTED_VALUE"""),"ISLAM")</f>
        <v>ISLAM</v>
      </c>
      <c r="S156" s="16" t="str">
        <f>IFERROR(__xludf.DUMMYFUNCTION("""COMPUTED_VALUE"""),"PENSIUN")</f>
        <v>PENSIUN</v>
      </c>
      <c r="T156" s="16"/>
      <c r="U156" s="16" t="str">
        <f>IFERROR(__xludf.DUMMYFUNCTION("""COMPUTED_VALUE"""),"-")</f>
        <v>-</v>
      </c>
      <c r="V156" s="21" t="str">
        <f>IFERROR(__xludf.DUMMYFUNCTION("""COMPUTED_VALUE"""),"0000000000000")</f>
        <v>0000000000000</v>
      </c>
      <c r="W156" s="22"/>
    </row>
    <row r="157" ht="22.5" customHeight="1">
      <c r="A157" s="8"/>
      <c r="B157" s="9">
        <f>IFERROR(__xludf.DUMMYFUNCTION("""COMPUTED_VALUE"""),44973.39944444445)</f>
        <v>44973.39944</v>
      </c>
      <c r="C157" s="9"/>
      <c r="D157" s="10">
        <f>IFERROR(__xludf.DUMMYFUNCTION("""COMPUTED_VALUE"""),44973.0)</f>
        <v>44973</v>
      </c>
      <c r="E157" s="10" t="str">
        <f>IFERROR(__xludf.DUMMYFUNCTION("""COMPUTED_VALUE"""),"02Feb")</f>
        <v>02Feb</v>
      </c>
      <c r="F157" s="10" t="str">
        <f>IFERROR(__xludf.DUMMYFUNCTION("""COMPUTED_VALUE"""),"2023")</f>
        <v>2023</v>
      </c>
      <c r="G157" s="16" t="str">
        <f>IFERROR(__xludf.DUMMYFUNCTION("""COMPUTED_VALUE"""),"ARDILA ARZETA")</f>
        <v>ARDILA ARZETA</v>
      </c>
      <c r="H157" s="17" t="str">
        <f>IFERROR(__xludf.DUMMYFUNCTION("""COMPUTED_VALUE"""),"A0323029483")</f>
        <v>A0323029483</v>
      </c>
      <c r="I157" s="17">
        <f>IFERROR(__xludf.DUMMYFUNCTION("""COMPUTED_VALUE"""),22.0)</f>
        <v>22</v>
      </c>
      <c r="J157" s="17" t="str">
        <f>IFERROR(__xludf.DUMMYFUNCTION("""COMPUTED_VALUE"""),"18-24 tahun")</f>
        <v>18-24 tahun</v>
      </c>
      <c r="K157" s="19">
        <f>IFERROR(__xludf.DUMMYFUNCTION("""COMPUTED_VALUE"""),37911.0)</f>
        <v>37911</v>
      </c>
      <c r="L157" s="19" t="str">
        <f>IFERROR(__xludf.DUMMYFUNCTION("""COMPUTED_VALUE"""),"PEREMPUAN")</f>
        <v>PEREMPUAN</v>
      </c>
      <c r="M157" s="16" t="str">
        <f>IFERROR(__xludf.DUMMYFUNCTION("""COMPUTED_VALUE"""),"SEPAKAT 8")</f>
        <v>SEPAKAT 8</v>
      </c>
      <c r="N157" s="16"/>
      <c r="O157" s="16"/>
      <c r="P157" s="16"/>
      <c r="Q157" s="16"/>
      <c r="R157" s="19" t="str">
        <f>IFERROR(__xludf.DUMMYFUNCTION("""COMPUTED_VALUE"""),"ISLAM")</f>
        <v>ISLAM</v>
      </c>
      <c r="S157" s="16" t="str">
        <f>IFERROR(__xludf.DUMMYFUNCTION("""COMPUTED_VALUE"""),"PELAJAR/MAHASISWA")</f>
        <v>PELAJAR/MAHASISWA</v>
      </c>
      <c r="T157" s="16"/>
      <c r="U157" s="16" t="str">
        <f>IFERROR(__xludf.DUMMYFUNCTION("""COMPUTED_VALUE"""),"-")</f>
        <v>-</v>
      </c>
      <c r="V157" s="21" t="str">
        <f>IFERROR(__xludf.DUMMYFUNCTION("""COMPUTED_VALUE"""),"083152189483")</f>
        <v>083152189483</v>
      </c>
      <c r="W157" s="22"/>
    </row>
    <row r="158" ht="22.5" customHeight="1">
      <c r="A158" s="8"/>
      <c r="B158" s="9">
        <f>IFERROR(__xludf.DUMMYFUNCTION("""COMPUTED_VALUE"""),45006.96199578704)</f>
        <v>45006.962</v>
      </c>
      <c r="C158" s="9"/>
      <c r="D158" s="10">
        <f>IFERROR(__xludf.DUMMYFUNCTION("""COMPUTED_VALUE"""),44973.0)</f>
        <v>44973</v>
      </c>
      <c r="E158" s="10" t="str">
        <f>IFERROR(__xludf.DUMMYFUNCTION("""COMPUTED_VALUE"""),"02Feb")</f>
        <v>02Feb</v>
      </c>
      <c r="F158" s="10" t="str">
        <f>IFERROR(__xludf.DUMMYFUNCTION("""COMPUTED_VALUE"""),"2023")</f>
        <v>2023</v>
      </c>
      <c r="G158" s="16" t="str">
        <f>IFERROR(__xludf.DUMMYFUNCTION("""COMPUTED_VALUE"""),"EKO SUPRIHATINO")</f>
        <v>EKO SUPRIHATINO</v>
      </c>
      <c r="H158" s="17" t="str">
        <f>IFERROR(__xludf.DUMMYFUNCTION("""COMPUTED_VALUE"""),"E7223023777")</f>
        <v>E7223023777</v>
      </c>
      <c r="I158" s="17">
        <f>IFERROR(__xludf.DUMMYFUNCTION("""COMPUTED_VALUE"""),53.0)</f>
        <v>53</v>
      </c>
      <c r="J158" s="17" t="str">
        <f>IFERROR(__xludf.DUMMYFUNCTION("""COMPUTED_VALUE"""),"&gt; 44 tahun")</f>
        <v>&gt; 44 tahun</v>
      </c>
      <c r="K158" s="19">
        <f>IFERROR(__xludf.DUMMYFUNCTION("""COMPUTED_VALUE"""),26498.0)</f>
        <v>26498</v>
      </c>
      <c r="L158" s="19" t="str">
        <f>IFERROR(__xludf.DUMMYFUNCTION("""COMPUTED_VALUE"""),"LAKI-LAKI")</f>
        <v>LAKI-LAKI</v>
      </c>
      <c r="M158" s="16" t="str">
        <f>IFERROR(__xludf.DUMMYFUNCTION("""COMPUTED_VALUE"""),"SAMBAS")</f>
        <v>SAMBAS</v>
      </c>
      <c r="N158" s="16"/>
      <c r="O158" s="16"/>
      <c r="P158" s="16"/>
      <c r="Q158" s="16"/>
      <c r="R158" s="19" t="str">
        <f>IFERROR(__xludf.DUMMYFUNCTION("""COMPUTED_VALUE"""),"ISLAM")</f>
        <v>ISLAM</v>
      </c>
      <c r="S158" s="16" t="str">
        <f>IFERROR(__xludf.DUMMYFUNCTION("""COMPUTED_VALUE"""),"PEJABAT NEGARA")</f>
        <v>PEJABAT NEGARA</v>
      </c>
      <c r="T158" s="16" t="str">
        <f>IFERROR(__xludf.DUMMYFUNCTION("""COMPUTED_VALUE"""),"JARI KANAN")</f>
        <v>JARI KANAN</v>
      </c>
      <c r="U158" s="16" t="str">
        <f>IFERROR(__xludf.DUMMYFUNCTION("""COMPUTED_VALUE"""),"-")</f>
        <v>-</v>
      </c>
      <c r="V158" s="21" t="str">
        <f>IFERROR(__xludf.DUMMYFUNCTION("""COMPUTED_VALUE"""),"0895350393777")</f>
        <v>0895350393777</v>
      </c>
      <c r="W158" s="22"/>
    </row>
    <row r="159" ht="22.5" customHeight="1">
      <c r="A159" s="8"/>
      <c r="B159" s="9">
        <f>IFERROR(__xludf.DUMMYFUNCTION("""COMPUTED_VALUE"""),45006.89741384259)</f>
        <v>45006.89741</v>
      </c>
      <c r="C159" s="9"/>
      <c r="D159" s="10">
        <f>IFERROR(__xludf.DUMMYFUNCTION("""COMPUTED_VALUE"""),44976.0)</f>
        <v>44976</v>
      </c>
      <c r="E159" s="10" t="str">
        <f>IFERROR(__xludf.DUMMYFUNCTION("""COMPUTED_VALUE"""),"02Feb")</f>
        <v>02Feb</v>
      </c>
      <c r="F159" s="10" t="str">
        <f>IFERROR(__xludf.DUMMYFUNCTION("""COMPUTED_VALUE"""),"2023")</f>
        <v>2023</v>
      </c>
      <c r="G159" s="16" t="str">
        <f>IFERROR(__xludf.DUMMYFUNCTION("""COMPUTED_VALUE"""),"HEDI SURYADI")</f>
        <v>HEDI SURYADI</v>
      </c>
      <c r="H159" s="17" t="str">
        <f>IFERROR(__xludf.DUMMYFUNCTION("""COMPUTED_VALUE"""),"H9623023395")</f>
        <v>H9623023395</v>
      </c>
      <c r="I159" s="17">
        <f>IFERROR(__xludf.DUMMYFUNCTION("""COMPUTED_VALUE"""),29.0)</f>
        <v>29</v>
      </c>
      <c r="J159" s="17" t="str">
        <f>IFERROR(__xludf.DUMMYFUNCTION("""COMPUTED_VALUE"""),"25-34 tahun")</f>
        <v>25-34 tahun</v>
      </c>
      <c r="K159" s="19">
        <f>IFERROR(__xludf.DUMMYFUNCTION("""COMPUTED_VALUE"""),35429.0)</f>
        <v>35429</v>
      </c>
      <c r="L159" s="19" t="str">
        <f>IFERROR(__xludf.DUMMYFUNCTION("""COMPUTED_VALUE"""),"LAKI-LAKI")</f>
        <v>LAKI-LAKI</v>
      </c>
      <c r="M159" s="16" t="str">
        <f>IFERROR(__xludf.DUMMYFUNCTION("""COMPUTED_VALUE"""),"JL. HUSEIN HAMZAH GG. GUNUNG TIDAR NO. 2")</f>
        <v>JL. HUSEIN HAMZAH GG. GUNUNG TIDAR NO. 2</v>
      </c>
      <c r="N159" s="16"/>
      <c r="O159" s="16"/>
      <c r="P159" s="16"/>
      <c r="Q159" s="16"/>
      <c r="R159" s="19" t="str">
        <f>IFERROR(__xludf.DUMMYFUNCTION("""COMPUTED_VALUE"""),"LAINNYA")</f>
        <v>LAINNYA</v>
      </c>
      <c r="S159" s="16" t="str">
        <f>IFERROR(__xludf.DUMMYFUNCTION("""COMPUTED_VALUE"""),"BUMN")</f>
        <v>BUMN</v>
      </c>
      <c r="T159" s="16" t="str">
        <f>IFERROR(__xludf.DUMMYFUNCTION("""COMPUTED_VALUE"""),"PUNGGUNG")</f>
        <v>PUNGGUNG</v>
      </c>
      <c r="U159" s="16" t="str">
        <f>IFERROR(__xludf.DUMMYFUNCTION("""COMPUTED_VALUE"""),"-")</f>
        <v>-</v>
      </c>
      <c r="V159" s="21" t="str">
        <f>IFERROR(__xludf.DUMMYFUNCTION("""COMPUTED_VALUE"""),"087832443395")</f>
        <v>087832443395</v>
      </c>
      <c r="W159" s="22"/>
    </row>
    <row r="160" ht="22.5" customHeight="1">
      <c r="A160" s="8"/>
      <c r="B160" s="9">
        <f>IFERROR(__xludf.DUMMYFUNCTION("""COMPUTED_VALUE"""),45006.89823651621)</f>
        <v>45006.89824</v>
      </c>
      <c r="C160" s="9"/>
      <c r="D160" s="10">
        <f>IFERROR(__xludf.DUMMYFUNCTION("""COMPUTED_VALUE"""),44976.0)</f>
        <v>44976</v>
      </c>
      <c r="E160" s="10" t="str">
        <f>IFERROR(__xludf.DUMMYFUNCTION("""COMPUTED_VALUE"""),"02Feb")</f>
        <v>02Feb</v>
      </c>
      <c r="F160" s="10" t="str">
        <f>IFERROR(__xludf.DUMMYFUNCTION("""COMPUTED_VALUE"""),"2023")</f>
        <v>2023</v>
      </c>
      <c r="G160" s="16" t="str">
        <f>IFERROR(__xludf.DUMMYFUNCTION("""COMPUTED_VALUE"""),"ITA PURNAMA")</f>
        <v>ITA PURNAMA</v>
      </c>
      <c r="H160" s="17" t="str">
        <f>IFERROR(__xludf.DUMMYFUNCTION("""COMPUTED_VALUE"""),"I6623028423")</f>
        <v>I6623028423</v>
      </c>
      <c r="I160" s="17">
        <f>IFERROR(__xludf.DUMMYFUNCTION("""COMPUTED_VALUE"""),59.0)</f>
        <v>59</v>
      </c>
      <c r="J160" s="17" t="str">
        <f>IFERROR(__xludf.DUMMYFUNCTION("""COMPUTED_VALUE"""),"&gt; 44 tahun")</f>
        <v>&gt; 44 tahun</v>
      </c>
      <c r="K160" s="19">
        <f>IFERROR(__xludf.DUMMYFUNCTION("""COMPUTED_VALUE"""),24405.0)</f>
        <v>24405</v>
      </c>
      <c r="L160" s="19" t="str">
        <f>IFERROR(__xludf.DUMMYFUNCTION("""COMPUTED_VALUE"""),"PEREMPUAN")</f>
        <v>PEREMPUAN</v>
      </c>
      <c r="M160" s="16" t="str">
        <f>IFERROR(__xludf.DUMMYFUNCTION("""COMPUTED_VALUE"""),"JL. PURNAMA 2 NO. 3")</f>
        <v>JL. PURNAMA 2 NO. 3</v>
      </c>
      <c r="N160" s="16"/>
      <c r="O160" s="16"/>
      <c r="P160" s="16"/>
      <c r="Q160" s="16"/>
      <c r="R160" s="19" t="str">
        <f>IFERROR(__xludf.DUMMYFUNCTION("""COMPUTED_VALUE"""),"ISLAM")</f>
        <v>ISLAM</v>
      </c>
      <c r="S160" s="16" t="str">
        <f>IFERROR(__xludf.DUMMYFUNCTION("""COMPUTED_VALUE"""),"RUMAH TANGGA")</f>
        <v>RUMAH TANGGA</v>
      </c>
      <c r="T160" s="16" t="str">
        <f>IFERROR(__xludf.DUMMYFUNCTION("""COMPUTED_VALUE"""),"JARI KAKI KIRI")</f>
        <v>JARI KAKI KIRI</v>
      </c>
      <c r="U160" s="16" t="str">
        <f>IFERROR(__xludf.DUMMYFUNCTION("""COMPUTED_VALUE"""),"")</f>
        <v/>
      </c>
      <c r="V160" s="21" t="str">
        <f>IFERROR(__xludf.DUMMYFUNCTION("""COMPUTED_VALUE"""),"085389748423")</f>
        <v>085389748423</v>
      </c>
      <c r="W160" s="22"/>
    </row>
    <row r="161" ht="22.5" customHeight="1">
      <c r="A161" s="25"/>
      <c r="B161" s="26">
        <f>IFERROR(__xludf.DUMMYFUNCTION("""COMPUTED_VALUE"""),45006.7374115162)</f>
        <v>45006.73741</v>
      </c>
      <c r="C161" s="26"/>
      <c r="D161" s="10">
        <f>IFERROR(__xludf.DUMMYFUNCTION("""COMPUTED_VALUE"""),44976.0)</f>
        <v>44976</v>
      </c>
      <c r="E161" s="10" t="str">
        <f>IFERROR(__xludf.DUMMYFUNCTION("""COMPUTED_VALUE"""),"02Feb")</f>
        <v>02Feb</v>
      </c>
      <c r="F161" s="10" t="str">
        <f>IFERROR(__xludf.DUMMYFUNCTION("""COMPUTED_VALUE"""),"2023")</f>
        <v>2023</v>
      </c>
      <c r="G161" s="16" t="str">
        <f>IFERROR(__xludf.DUMMYFUNCTION("""COMPUTED_VALUE"""),"LEO NATHANAEL LAURENT")</f>
        <v>LEO NATHANAEL LAURENT</v>
      </c>
      <c r="H161" s="17" t="str">
        <f>IFERROR(__xludf.DUMMYFUNCTION("""COMPUTED_VALUE"""),"L1423029798")</f>
        <v>L1423029798</v>
      </c>
      <c r="I161" s="17">
        <f>IFERROR(__xludf.DUMMYFUNCTION("""COMPUTED_VALUE"""),11.0)</f>
        <v>11</v>
      </c>
      <c r="J161" s="17" t="str">
        <f>IFERROR(__xludf.DUMMYFUNCTION("""COMPUTED_VALUE"""),"&lt; 18 tahun")</f>
        <v>&lt; 18 tahun</v>
      </c>
      <c r="K161" s="19">
        <f>IFERROR(__xludf.DUMMYFUNCTION("""COMPUTED_VALUE"""),41842.0)</f>
        <v>41842</v>
      </c>
      <c r="L161" s="19" t="str">
        <f>IFERROR(__xludf.DUMMYFUNCTION("""COMPUTED_VALUE"""),"LAKI-LAKI")</f>
        <v>LAKI-LAKI</v>
      </c>
      <c r="M161" s="16" t="str">
        <f>IFERROR(__xludf.DUMMYFUNCTION("""COMPUTED_VALUE"""),"JL ADE IRMA S NO 3")</f>
        <v>JL ADE IRMA S NO 3</v>
      </c>
      <c r="N161" s="16"/>
      <c r="O161" s="16"/>
      <c r="P161" s="16"/>
      <c r="Q161" s="16"/>
      <c r="R161" s="19" t="str">
        <f>IFERROR(__xludf.DUMMYFUNCTION("""COMPUTED_VALUE"""),"PROTESTAN")</f>
        <v>PROTESTAN</v>
      </c>
      <c r="S161" s="16" t="str">
        <f>IFERROR(__xludf.DUMMYFUNCTION("""COMPUTED_VALUE"""),"PELAJAR/MAHASISWA")</f>
        <v>PELAJAR/MAHASISWA</v>
      </c>
      <c r="T161" s="16" t="str">
        <f>IFERROR(__xludf.DUMMYFUNCTION("""COMPUTED_VALUE"""),"LEHER")</f>
        <v>LEHER</v>
      </c>
      <c r="U161" s="16" t="str">
        <f>IFERROR(__xludf.DUMMYFUNCTION("""COMPUTED_VALUE"""),"-")</f>
        <v>-</v>
      </c>
      <c r="V161" s="21" t="str">
        <f>IFERROR(__xludf.DUMMYFUNCTION("""COMPUTED_VALUE"""),"085386319798")</f>
        <v>085386319798</v>
      </c>
      <c r="W161" s="27"/>
    </row>
    <row r="162" ht="22.5" customHeight="1">
      <c r="A162" s="8"/>
      <c r="B162" s="9">
        <f>IFERROR(__xludf.DUMMYFUNCTION("""COMPUTED_VALUE"""),45011.171296851855)</f>
        <v>45011.1713</v>
      </c>
      <c r="C162" s="9"/>
      <c r="D162" s="10">
        <f>IFERROR(__xludf.DUMMYFUNCTION("""COMPUTED_VALUE"""),44976.0)</f>
        <v>44976</v>
      </c>
      <c r="E162" s="10" t="str">
        <f>IFERROR(__xludf.DUMMYFUNCTION("""COMPUTED_VALUE"""),"02Feb")</f>
        <v>02Feb</v>
      </c>
      <c r="F162" s="10" t="str">
        <f>IFERROR(__xludf.DUMMYFUNCTION("""COMPUTED_VALUE"""),"2023")</f>
        <v>2023</v>
      </c>
      <c r="G162" s="16" t="str">
        <f>IFERROR(__xludf.DUMMYFUNCTION("""COMPUTED_VALUE"""),"SYELLA WAHYU PUTRI ARYANTO")</f>
        <v>SYELLA WAHYU PUTRI ARYANTO</v>
      </c>
      <c r="H162" s="17" t="str">
        <f>IFERROR(__xludf.DUMMYFUNCTION("""COMPUTED_VALUE"""),"S8823027049")</f>
        <v>S8823027049</v>
      </c>
      <c r="I162" s="17">
        <f>IFERROR(__xludf.DUMMYFUNCTION("""COMPUTED_VALUE"""),38.0)</f>
        <v>38</v>
      </c>
      <c r="J162" s="17" t="str">
        <f>IFERROR(__xludf.DUMMYFUNCTION("""COMPUTED_VALUE"""),"35-44 tahun")</f>
        <v>35-44 tahun</v>
      </c>
      <c r="K162" s="19">
        <f>IFERROR(__xludf.DUMMYFUNCTION("""COMPUTED_VALUE"""),32214.0)</f>
        <v>32214</v>
      </c>
      <c r="L162" s="19" t="str">
        <f>IFERROR(__xludf.DUMMYFUNCTION("""COMPUTED_VALUE"""),"PEREMPUAN")</f>
        <v>PEREMPUAN</v>
      </c>
      <c r="M162" s="16" t="str">
        <f>IFERROR(__xludf.DUMMYFUNCTION("""COMPUTED_VALUE"""),"JL ALIANAYANG GG KURNIA NO 16")</f>
        <v>JL ALIANAYANG GG KURNIA NO 16</v>
      </c>
      <c r="N162" s="16"/>
      <c r="O162" s="16"/>
      <c r="P162" s="16"/>
      <c r="Q162" s="16"/>
      <c r="R162" s="19" t="str">
        <f>IFERROR(__xludf.DUMMYFUNCTION("""COMPUTED_VALUE"""),"ISLAM")</f>
        <v>ISLAM</v>
      </c>
      <c r="S162" s="16" t="str">
        <f>IFERROR(__xludf.DUMMYFUNCTION("""COMPUTED_VALUE"""),"RUMAH TANGGA")</f>
        <v>RUMAH TANGGA</v>
      </c>
      <c r="T162" s="16" t="str">
        <f>IFERROR(__xludf.DUMMYFUNCTION("""COMPUTED_VALUE"""),"TANGAN KIRI")</f>
        <v>TANGAN KIRI</v>
      </c>
      <c r="U162" s="16" t="str">
        <f>IFERROR(__xludf.DUMMYFUNCTION("""COMPUTED_VALUE"""),"-")</f>
        <v>-</v>
      </c>
      <c r="V162" s="21" t="str">
        <f>IFERROR(__xludf.DUMMYFUNCTION("""COMPUTED_VALUE"""),"087818377049")</f>
        <v>087818377049</v>
      </c>
      <c r="W162" s="22"/>
    </row>
    <row r="163" ht="22.5" customHeight="1">
      <c r="A163" s="8"/>
      <c r="B163" s="9">
        <f>IFERROR(__xludf.DUMMYFUNCTION("""COMPUTED_VALUE"""),44983.45789351852)</f>
        <v>44983.45789</v>
      </c>
      <c r="C163" s="9"/>
      <c r="D163" s="10">
        <f>IFERROR(__xludf.DUMMYFUNCTION("""COMPUTED_VALUE"""),44977.0)</f>
        <v>44977</v>
      </c>
      <c r="E163" s="10" t="str">
        <f>IFERROR(__xludf.DUMMYFUNCTION("""COMPUTED_VALUE"""),"02Feb")</f>
        <v>02Feb</v>
      </c>
      <c r="F163" s="10" t="str">
        <f>IFERROR(__xludf.DUMMYFUNCTION("""COMPUTED_VALUE"""),"2023")</f>
        <v>2023</v>
      </c>
      <c r="G163" s="16" t="str">
        <f>IFERROR(__xludf.DUMMYFUNCTION("""COMPUTED_VALUE"""),"ANETHA AVERIL CORNELIA")</f>
        <v>ANETHA AVERIL CORNELIA</v>
      </c>
      <c r="H163" s="17" t="str">
        <f>IFERROR(__xludf.DUMMYFUNCTION("""COMPUTED_VALUE"""),"A0523028996")</f>
        <v>A0523028996</v>
      </c>
      <c r="I163" s="17">
        <f>IFERROR(__xludf.DUMMYFUNCTION("""COMPUTED_VALUE"""),21.0)</f>
        <v>21</v>
      </c>
      <c r="J163" s="17" t="str">
        <f>IFERROR(__xludf.DUMMYFUNCTION("""COMPUTED_VALUE"""),"18-24 tahun")</f>
        <v>18-24 tahun</v>
      </c>
      <c r="K163" s="19">
        <f>IFERROR(__xludf.DUMMYFUNCTION("""COMPUTED_VALUE"""),38467.0)</f>
        <v>38467</v>
      </c>
      <c r="L163" s="19" t="str">
        <f>IFERROR(__xludf.DUMMYFUNCTION("""COMPUTED_VALUE"""),"PEREMPUAN")</f>
        <v>PEREMPUAN</v>
      </c>
      <c r="M163" s="16" t="str">
        <f>IFERROR(__xludf.DUMMYFUNCTION("""COMPUTED_VALUE"""),"ASMIL YON ARMED 16 KOMPOSIT")</f>
        <v>ASMIL YON ARMED 16 KOMPOSIT</v>
      </c>
      <c r="N163" s="16"/>
      <c r="O163" s="16"/>
      <c r="P163" s="16"/>
      <c r="Q163" s="16"/>
      <c r="R163" s="19" t="str">
        <f>IFERROR(__xludf.DUMMYFUNCTION("""COMPUTED_VALUE"""),"ISLAM")</f>
        <v>ISLAM</v>
      </c>
      <c r="S163" s="16" t="str">
        <f>IFERROR(__xludf.DUMMYFUNCTION("""COMPUTED_VALUE"""),"PELAJAR/MAHASISWA")</f>
        <v>PELAJAR/MAHASISWA</v>
      </c>
      <c r="T163" s="16" t="str">
        <f>IFERROR(__xludf.DUMMYFUNCTION("""COMPUTED_VALUE"""),"BUNGKUK DAN KAKI X")</f>
        <v>BUNGKUK DAN KAKI X</v>
      </c>
      <c r="U163" s="16" t="str">
        <f>IFERROR(__xludf.DUMMYFUNCTION("""COMPUTED_VALUE"""),"")</f>
        <v/>
      </c>
      <c r="V163" s="21" t="str">
        <f>IFERROR(__xludf.DUMMYFUNCTION("""COMPUTED_VALUE"""),"08312808996")</f>
        <v>08312808996</v>
      </c>
      <c r="W163" s="22"/>
    </row>
    <row r="164" ht="22.5" customHeight="1">
      <c r="A164" s="29"/>
      <c r="B164" s="30">
        <f>IFERROR(__xludf.DUMMYFUNCTION("""COMPUTED_VALUE"""),45006.7459534375)</f>
        <v>45006.74595</v>
      </c>
      <c r="C164" s="30"/>
      <c r="D164" s="10">
        <f>IFERROR(__xludf.DUMMYFUNCTION("""COMPUTED_VALUE"""),44977.0)</f>
        <v>44977</v>
      </c>
      <c r="E164" s="10" t="str">
        <f>IFERROR(__xludf.DUMMYFUNCTION("""COMPUTED_VALUE"""),"02Feb")</f>
        <v>02Feb</v>
      </c>
      <c r="F164" s="10" t="str">
        <f>IFERROR(__xludf.DUMMYFUNCTION("""COMPUTED_VALUE"""),"2023")</f>
        <v>2023</v>
      </c>
      <c r="G164" s="16" t="str">
        <f>IFERROR(__xludf.DUMMYFUNCTION("""COMPUTED_VALUE"""),"FATMA NURHAYATI")</f>
        <v>FATMA NURHAYATI</v>
      </c>
      <c r="H164" s="17" t="str">
        <f>IFERROR(__xludf.DUMMYFUNCTION("""COMPUTED_VALUE"""),"F5923021150")</f>
        <v>F5923021150</v>
      </c>
      <c r="I164" s="17">
        <f>IFERROR(__xludf.DUMMYFUNCTION("""COMPUTED_VALUE"""),67.0)</f>
        <v>67</v>
      </c>
      <c r="J164" s="17" t="str">
        <f>IFERROR(__xludf.DUMMYFUNCTION("""COMPUTED_VALUE"""),"&gt; 44 tahun")</f>
        <v>&gt; 44 tahun</v>
      </c>
      <c r="K164" s="19">
        <f>IFERROR(__xludf.DUMMYFUNCTION("""COMPUTED_VALUE"""),21665.0)</f>
        <v>21665</v>
      </c>
      <c r="L164" s="19" t="str">
        <f>IFERROR(__xludf.DUMMYFUNCTION("""COMPUTED_VALUE"""),"PEREMPUAN")</f>
        <v>PEREMPUAN</v>
      </c>
      <c r="M164" s="16" t="str">
        <f>IFERROR(__xludf.DUMMYFUNCTION("""COMPUTED_VALUE"""),"JL ADISUCIPTO, GG TRANSMIGRASI NO 24")</f>
        <v>JL ADISUCIPTO, GG TRANSMIGRASI NO 24</v>
      </c>
      <c r="N164" s="16"/>
      <c r="O164" s="16"/>
      <c r="P164" s="16"/>
      <c r="Q164" s="16"/>
      <c r="R164" s="19" t="str">
        <f>IFERROR(__xludf.DUMMYFUNCTION("""COMPUTED_VALUE"""),"ISLAM")</f>
        <v>ISLAM</v>
      </c>
      <c r="S164" s="16" t="str">
        <f>IFERROR(__xludf.DUMMYFUNCTION("""COMPUTED_VALUE"""),"PENSIUN")</f>
        <v>PENSIUN</v>
      </c>
      <c r="T164" s="16" t="str">
        <f>IFERROR(__xludf.DUMMYFUNCTION("""COMPUTED_VALUE"""),"PINGGANG")</f>
        <v>PINGGANG</v>
      </c>
      <c r="U164" s="16" t="str">
        <f>IFERROR(__xludf.DUMMYFUNCTION("""COMPUTED_VALUE"""),"")</f>
        <v/>
      </c>
      <c r="V164" s="21" t="str">
        <f>IFERROR(__xludf.DUMMYFUNCTION("""COMPUTED_VALUE"""),"0811571150")</f>
        <v>0811571150</v>
      </c>
      <c r="W164" s="31"/>
    </row>
    <row r="165" ht="22.5" customHeight="1">
      <c r="A165" s="8"/>
      <c r="B165" s="9">
        <f>IFERROR(__xludf.DUMMYFUNCTION("""COMPUTED_VALUE"""),45006.899602164354)</f>
        <v>45006.8996</v>
      </c>
      <c r="C165" s="9"/>
      <c r="D165" s="10">
        <f>IFERROR(__xludf.DUMMYFUNCTION("""COMPUTED_VALUE"""),44977.0)</f>
        <v>44977</v>
      </c>
      <c r="E165" s="10" t="str">
        <f>IFERROR(__xludf.DUMMYFUNCTION("""COMPUTED_VALUE"""),"02Feb")</f>
        <v>02Feb</v>
      </c>
      <c r="F165" s="10" t="str">
        <f>IFERROR(__xludf.DUMMYFUNCTION("""COMPUTED_VALUE"""),"2023")</f>
        <v>2023</v>
      </c>
      <c r="G165" s="16" t="str">
        <f>IFERROR(__xludf.DUMMYFUNCTION("""COMPUTED_VALUE"""),"NICO ADIDHARMA")</f>
        <v>NICO ADIDHARMA</v>
      </c>
      <c r="H165" s="17" t="str">
        <f>IFERROR(__xludf.DUMMYFUNCTION("""COMPUTED_VALUE"""),"N8223028356")</f>
        <v>N8223028356</v>
      </c>
      <c r="I165" s="17">
        <f>IFERROR(__xludf.DUMMYFUNCTION("""COMPUTED_VALUE"""),43.0)</f>
        <v>43</v>
      </c>
      <c r="J165" s="17" t="str">
        <f>IFERROR(__xludf.DUMMYFUNCTION("""COMPUTED_VALUE"""),"35-44 tahun")</f>
        <v>35-44 tahun</v>
      </c>
      <c r="K165" s="19">
        <f>IFERROR(__xludf.DUMMYFUNCTION("""COMPUTED_VALUE"""),30245.0)</f>
        <v>30245</v>
      </c>
      <c r="L165" s="19" t="str">
        <f>IFERROR(__xludf.DUMMYFUNCTION("""COMPUTED_VALUE"""),"LAKI-LAKI")</f>
        <v>LAKI-LAKI</v>
      </c>
      <c r="M165" s="16" t="str">
        <f>IFERROR(__xludf.DUMMYFUNCTION("""COMPUTED_VALUE"""),"JL. KARYA BARU 6 NO. 6")</f>
        <v>JL. KARYA BARU 6 NO. 6</v>
      </c>
      <c r="N165" s="16"/>
      <c r="O165" s="16"/>
      <c r="P165" s="16"/>
      <c r="Q165" s="16"/>
      <c r="R165" s="19" t="str">
        <f>IFERROR(__xludf.DUMMYFUNCTION("""COMPUTED_VALUE"""),"PROTESTAN")</f>
        <v>PROTESTAN</v>
      </c>
      <c r="S165" s="16" t="str">
        <f>IFERROR(__xludf.DUMMYFUNCTION("""COMPUTED_VALUE"""),"SWASTA")</f>
        <v>SWASTA</v>
      </c>
      <c r="T165" s="16" t="str">
        <f>IFERROR(__xludf.DUMMYFUNCTION("""COMPUTED_VALUE"""),"PANGKAL PAHA")</f>
        <v>PANGKAL PAHA</v>
      </c>
      <c r="U165" s="16" t="str">
        <f>IFERROR(__xludf.DUMMYFUNCTION("""COMPUTED_VALUE"""),"-")</f>
        <v>-</v>
      </c>
      <c r="V165" s="21" t="str">
        <f>IFERROR(__xludf.DUMMYFUNCTION("""COMPUTED_VALUE"""),"08125688356")</f>
        <v>08125688356</v>
      </c>
      <c r="W165" s="22"/>
    </row>
    <row r="166" ht="22.5" customHeight="1">
      <c r="A166" s="8"/>
      <c r="B166" s="9">
        <f>IFERROR(__xludf.DUMMYFUNCTION("""COMPUTED_VALUE"""),44921.736875)</f>
        <v>44921.73688</v>
      </c>
      <c r="C166" s="9"/>
      <c r="D166" s="10">
        <f>IFERROR(__xludf.DUMMYFUNCTION("""COMPUTED_VALUE"""),44977.0)</f>
        <v>44977</v>
      </c>
      <c r="E166" s="10" t="str">
        <f>IFERROR(__xludf.DUMMYFUNCTION("""COMPUTED_VALUE"""),"02Feb")</f>
        <v>02Feb</v>
      </c>
      <c r="F166" s="10" t="str">
        <f>IFERROR(__xludf.DUMMYFUNCTION("""COMPUTED_VALUE"""),"2023")</f>
        <v>2023</v>
      </c>
      <c r="G166" s="16" t="str">
        <f>IFERROR(__xludf.DUMMYFUNCTION("""COMPUTED_VALUE"""),"VELLEN WIBOWO")</f>
        <v>VELLEN WIBOWO</v>
      </c>
      <c r="H166" s="17" t="str">
        <f>IFERROR(__xludf.DUMMYFUNCTION("""COMPUTED_VALUE"""),"V9223025562")</f>
        <v>V9223025562</v>
      </c>
      <c r="I166" s="17">
        <f>IFERROR(__xludf.DUMMYFUNCTION("""COMPUTED_VALUE"""),34.0)</f>
        <v>34</v>
      </c>
      <c r="J166" s="17" t="str">
        <f>IFERROR(__xludf.DUMMYFUNCTION("""COMPUTED_VALUE"""),"25-34 tahun")</f>
        <v>25-34 tahun</v>
      </c>
      <c r="K166" s="19">
        <f>IFERROR(__xludf.DUMMYFUNCTION("""COMPUTED_VALUE"""),33678.0)</f>
        <v>33678</v>
      </c>
      <c r="L166" s="19" t="str">
        <f>IFERROR(__xludf.DUMMYFUNCTION("""COMPUTED_VALUE"""),"PEREMPUAN")</f>
        <v>PEREMPUAN</v>
      </c>
      <c r="M166" s="16" t="str">
        <f>IFERROR(__xludf.DUMMYFUNCTION("""COMPUTED_VALUE"""),"JL. PROF M. YAMIN GG. TELADAN")</f>
        <v>JL. PROF M. YAMIN GG. TELADAN</v>
      </c>
      <c r="N166" s="16"/>
      <c r="O166" s="16"/>
      <c r="P166" s="16"/>
      <c r="Q166" s="16"/>
      <c r="R166" s="19" t="str">
        <f>IFERROR(__xludf.DUMMYFUNCTION("""COMPUTED_VALUE"""),"PROTESTAN")</f>
        <v>PROTESTAN</v>
      </c>
      <c r="S166" s="16" t="str">
        <f>IFERROR(__xludf.DUMMYFUNCTION("""COMPUTED_VALUE"""),"DOSEN/GURU")</f>
        <v>DOSEN/GURU</v>
      </c>
      <c r="T166" s="16" t="str">
        <f>IFERROR(__xludf.DUMMYFUNCTION("""COMPUTED_VALUE"""),"BELIKAT DAN LENGAN ATAS KIRI")</f>
        <v>BELIKAT DAN LENGAN ATAS KIRI</v>
      </c>
      <c r="U166" s="16" t="str">
        <f>IFERROR(__xludf.DUMMYFUNCTION("""COMPUTED_VALUE"""),"")</f>
        <v/>
      </c>
      <c r="V166" s="21" t="str">
        <f>IFERROR(__xludf.DUMMYFUNCTION("""COMPUTED_VALUE"""),"082153555562")</f>
        <v>082153555562</v>
      </c>
      <c r="W166" s="22"/>
    </row>
    <row r="167" ht="22.5" customHeight="1">
      <c r="A167" s="25"/>
      <c r="B167" s="26">
        <f>IFERROR(__xludf.DUMMYFUNCTION("""COMPUTED_VALUE"""),45006.748553020836)</f>
        <v>45006.74855</v>
      </c>
      <c r="C167" s="26"/>
      <c r="D167" s="10">
        <f>IFERROR(__xludf.DUMMYFUNCTION("""COMPUTED_VALUE"""),44978.0)</f>
        <v>44978</v>
      </c>
      <c r="E167" s="10" t="str">
        <f>IFERROR(__xludf.DUMMYFUNCTION("""COMPUTED_VALUE"""),"02Feb")</f>
        <v>02Feb</v>
      </c>
      <c r="F167" s="10" t="str">
        <f>IFERROR(__xludf.DUMMYFUNCTION("""COMPUTED_VALUE"""),"2023")</f>
        <v>2023</v>
      </c>
      <c r="G167" s="16" t="str">
        <f>IFERROR(__xludf.DUMMYFUNCTION("""COMPUTED_VALUE"""),"DUDI HARSONO")</f>
        <v>DUDI HARSONO</v>
      </c>
      <c r="H167" s="17" t="str">
        <f>IFERROR(__xludf.DUMMYFUNCTION("""COMPUTED_VALUE"""),"D8223022134")</f>
        <v>D8223022134</v>
      </c>
      <c r="I167" s="17">
        <f>IFERROR(__xludf.DUMMYFUNCTION("""COMPUTED_VALUE"""),43.0)</f>
        <v>43</v>
      </c>
      <c r="J167" s="17" t="str">
        <f>IFERROR(__xludf.DUMMYFUNCTION("""COMPUTED_VALUE"""),"35-44 tahun")</f>
        <v>35-44 tahun</v>
      </c>
      <c r="K167" s="19">
        <f>IFERROR(__xludf.DUMMYFUNCTION("""COMPUTED_VALUE"""),30289.0)</f>
        <v>30289</v>
      </c>
      <c r="L167" s="19" t="str">
        <f>IFERROR(__xludf.DUMMYFUNCTION("""COMPUTED_VALUE"""),"LAKI-LAKI")</f>
        <v>LAKI-LAKI</v>
      </c>
      <c r="M167" s="16" t="str">
        <f>IFERROR(__xludf.DUMMYFUNCTION("""COMPUTED_VALUE"""),"JL. PARIT BUGIS GG. KELUARGA")</f>
        <v>JL. PARIT BUGIS GG. KELUARGA</v>
      </c>
      <c r="N167" s="16"/>
      <c r="O167" s="16"/>
      <c r="P167" s="16"/>
      <c r="Q167" s="16"/>
      <c r="R167" s="19" t="str">
        <f>IFERROR(__xludf.DUMMYFUNCTION("""COMPUTED_VALUE"""),"ISLAM")</f>
        <v>ISLAM</v>
      </c>
      <c r="S167" s="16" t="str">
        <f>IFERROR(__xludf.DUMMYFUNCTION("""COMPUTED_VALUE"""),"BUMN")</f>
        <v>BUMN</v>
      </c>
      <c r="T167" s="16" t="str">
        <f>IFERROR(__xludf.DUMMYFUNCTION("""COMPUTED_VALUE"""),"KAKI")</f>
        <v>KAKI</v>
      </c>
      <c r="U167" s="16" t="str">
        <f>IFERROR(__xludf.DUMMYFUNCTION("""COMPUTED_VALUE"""),"")</f>
        <v/>
      </c>
      <c r="V167" s="21" t="str">
        <f>IFERROR(__xludf.DUMMYFUNCTION("""COMPUTED_VALUE"""),"08125632134")</f>
        <v>08125632134</v>
      </c>
      <c r="W167" s="27"/>
    </row>
    <row r="168" ht="22.5" customHeight="1">
      <c r="A168" s="8"/>
      <c r="B168" s="9">
        <f>IFERROR(__xludf.DUMMYFUNCTION("""COMPUTED_VALUE"""),45006.84392451389)</f>
        <v>45006.84392</v>
      </c>
      <c r="C168" s="9"/>
      <c r="D168" s="10">
        <f>IFERROR(__xludf.DUMMYFUNCTION("""COMPUTED_VALUE"""),44979.0)</f>
        <v>44979</v>
      </c>
      <c r="E168" s="10" t="str">
        <f>IFERROR(__xludf.DUMMYFUNCTION("""COMPUTED_VALUE"""),"02Feb")</f>
        <v>02Feb</v>
      </c>
      <c r="F168" s="10" t="str">
        <f>IFERROR(__xludf.DUMMYFUNCTION("""COMPUTED_VALUE"""),"2023")</f>
        <v>2023</v>
      </c>
      <c r="G168" s="16" t="str">
        <f>IFERROR(__xludf.DUMMYFUNCTION("""COMPUTED_VALUE"""),"FENDY")</f>
        <v>FENDY</v>
      </c>
      <c r="H168" s="17" t="str">
        <f>IFERROR(__xludf.DUMMYFUNCTION("""COMPUTED_VALUE"""),"F8423023131")</f>
        <v>F8423023131</v>
      </c>
      <c r="I168" s="17">
        <f>IFERROR(__xludf.DUMMYFUNCTION("""COMPUTED_VALUE"""),42.0)</f>
        <v>42</v>
      </c>
      <c r="J168" s="17" t="str">
        <f>IFERROR(__xludf.DUMMYFUNCTION("""COMPUTED_VALUE"""),"35-44 tahun")</f>
        <v>35-44 tahun</v>
      </c>
      <c r="K168" s="19">
        <f>IFERROR(__xludf.DUMMYFUNCTION("""COMPUTED_VALUE"""),30707.0)</f>
        <v>30707</v>
      </c>
      <c r="L168" s="19" t="str">
        <f>IFERROR(__xludf.DUMMYFUNCTION("""COMPUTED_VALUE"""),"LAKI-LAKI")</f>
        <v>LAKI-LAKI</v>
      </c>
      <c r="M168" s="16" t="str">
        <f>IFERROR(__xludf.DUMMYFUNCTION("""COMPUTED_VALUE"""),"JL SERDAM KOMP MITRA INDAH UTAMA 8 BLOK B NO 8")</f>
        <v>JL SERDAM KOMP MITRA INDAH UTAMA 8 BLOK B NO 8</v>
      </c>
      <c r="N168" s="16"/>
      <c r="O168" s="16"/>
      <c r="P168" s="16"/>
      <c r="Q168" s="16"/>
      <c r="R168" s="19" t="str">
        <f>IFERROR(__xludf.DUMMYFUNCTION("""COMPUTED_VALUE"""),"BUDDHA")</f>
        <v>BUDDHA</v>
      </c>
      <c r="S168" s="16" t="str">
        <f>IFERROR(__xludf.DUMMYFUNCTION("""COMPUTED_VALUE"""),"WIRASWASTA")</f>
        <v>WIRASWASTA</v>
      </c>
      <c r="T168" s="16" t="str">
        <f>IFERROR(__xludf.DUMMYFUNCTION("""COMPUTED_VALUE"""),"SIKU KANAN")</f>
        <v>SIKU KANAN</v>
      </c>
      <c r="U168" s="16" t="str">
        <f>IFERROR(__xludf.DUMMYFUNCTION("""COMPUTED_VALUE"""),"-")</f>
        <v>-</v>
      </c>
      <c r="V168" s="21" t="str">
        <f>IFERROR(__xludf.DUMMYFUNCTION("""COMPUTED_VALUE"""),"08115763131")</f>
        <v>08115763131</v>
      </c>
      <c r="W168" s="22"/>
    </row>
    <row r="169" ht="22.5" customHeight="1">
      <c r="A169" s="8"/>
      <c r="B169" s="9">
        <f>IFERROR(__xludf.DUMMYFUNCTION("""COMPUTED_VALUE"""),44945.69826388889)</f>
        <v>44945.69826</v>
      </c>
      <c r="C169" s="9"/>
      <c r="D169" s="10">
        <f>IFERROR(__xludf.DUMMYFUNCTION("""COMPUTED_VALUE"""),44979.0)</f>
        <v>44979</v>
      </c>
      <c r="E169" s="10" t="str">
        <f>IFERROR(__xludf.DUMMYFUNCTION("""COMPUTED_VALUE"""),"02Feb")</f>
        <v>02Feb</v>
      </c>
      <c r="F169" s="10" t="str">
        <f>IFERROR(__xludf.DUMMYFUNCTION("""COMPUTED_VALUE"""),"2023")</f>
        <v>2023</v>
      </c>
      <c r="G169" s="16" t="str">
        <f>IFERROR(__xludf.DUMMYFUNCTION("""COMPUTED_VALUE"""),"M. HAMZAH")</f>
        <v>M. HAMZAH</v>
      </c>
      <c r="H169" s="17" t="str">
        <f>IFERROR(__xludf.DUMMYFUNCTION("""COMPUTED_VALUE"""),"M7823020278")</f>
        <v>M7823020278</v>
      </c>
      <c r="I169" s="17">
        <f>IFERROR(__xludf.DUMMYFUNCTION("""COMPUTED_VALUE"""),48.0)</f>
        <v>48</v>
      </c>
      <c r="J169" s="17" t="str">
        <f>IFERROR(__xludf.DUMMYFUNCTION("""COMPUTED_VALUE"""),"&gt; 44 tahun")</f>
        <v>&gt; 44 tahun</v>
      </c>
      <c r="K169" s="19">
        <f>IFERROR(__xludf.DUMMYFUNCTION("""COMPUTED_VALUE"""),28535.0)</f>
        <v>28535</v>
      </c>
      <c r="L169" s="19" t="str">
        <f>IFERROR(__xludf.DUMMYFUNCTION("""COMPUTED_VALUE"""),"LAKI-LAKI")</f>
        <v>LAKI-LAKI</v>
      </c>
      <c r="M169" s="16" t="str">
        <f>IFERROR(__xludf.DUMMYFUNCTION("""COMPUTED_VALUE"""),"JL SEI LANDAK TIMUR")</f>
        <v>JL SEI LANDAK TIMUR</v>
      </c>
      <c r="N169" s="16"/>
      <c r="O169" s="16"/>
      <c r="P169" s="16"/>
      <c r="Q169" s="16"/>
      <c r="R169" s="19" t="str">
        <f>IFERROR(__xludf.DUMMYFUNCTION("""COMPUTED_VALUE"""),"ISLAM")</f>
        <v>ISLAM</v>
      </c>
      <c r="S169" s="16" t="str">
        <f>IFERROR(__xludf.DUMMYFUNCTION("""COMPUTED_VALUE"""),"WIRASWASTA")</f>
        <v>WIRASWASTA</v>
      </c>
      <c r="T169" s="16" t="str">
        <f>IFERROR(__xludf.DUMMYFUNCTION("""COMPUTED_VALUE"""),"KIRI")</f>
        <v>KIRI</v>
      </c>
      <c r="U169" s="16" t="str">
        <f>IFERROR(__xludf.DUMMYFUNCTION("""COMPUTED_VALUE"""),"-")</f>
        <v>-</v>
      </c>
      <c r="V169" s="21" t="str">
        <f>IFERROR(__xludf.DUMMYFUNCTION("""COMPUTED_VALUE"""),"08991140278")</f>
        <v>08991140278</v>
      </c>
      <c r="W169" s="22"/>
    </row>
    <row r="170" ht="22.5" customHeight="1">
      <c r="A170" s="8"/>
      <c r="B170" s="9">
        <f>IFERROR(__xludf.DUMMYFUNCTION("""COMPUTED_VALUE"""),45006.732044062504)</f>
        <v>45006.73204</v>
      </c>
      <c r="C170" s="9"/>
      <c r="D170" s="10">
        <f>IFERROR(__xludf.DUMMYFUNCTION("""COMPUTED_VALUE"""),44979.0)</f>
        <v>44979</v>
      </c>
      <c r="E170" s="10" t="str">
        <f>IFERROR(__xludf.DUMMYFUNCTION("""COMPUTED_VALUE"""),"02Feb")</f>
        <v>02Feb</v>
      </c>
      <c r="F170" s="10" t="str">
        <f>IFERROR(__xludf.DUMMYFUNCTION("""COMPUTED_VALUE"""),"2023")</f>
        <v>2023</v>
      </c>
      <c r="G170" s="16" t="str">
        <f>IFERROR(__xludf.DUMMYFUNCTION("""COMPUTED_VALUE"""),"NG NYUK THJIU")</f>
        <v>NG NYUK THJIU</v>
      </c>
      <c r="H170" s="17" t="str">
        <f>IFERROR(__xludf.DUMMYFUNCTION("""COMPUTED_VALUE"""),"N6223028829")</f>
        <v>N6223028829</v>
      </c>
      <c r="I170" s="17">
        <f>IFERROR(__xludf.DUMMYFUNCTION("""COMPUTED_VALUE"""),64.0)</f>
        <v>64</v>
      </c>
      <c r="J170" s="17" t="str">
        <f>IFERROR(__xludf.DUMMYFUNCTION("""COMPUTED_VALUE"""),"&gt; 44 tahun")</f>
        <v>&gt; 44 tahun</v>
      </c>
      <c r="K170" s="19">
        <f>IFERROR(__xludf.DUMMYFUNCTION("""COMPUTED_VALUE"""),22649.0)</f>
        <v>22649</v>
      </c>
      <c r="L170" s="19" t="str">
        <f>IFERROR(__xludf.DUMMYFUNCTION("""COMPUTED_VALUE"""),"PEREMPUAN")</f>
        <v>PEREMPUAN</v>
      </c>
      <c r="M170" s="16" t="str">
        <f>IFERROR(__xludf.DUMMYFUNCTION("""COMPUTED_VALUE"""),"JL. TANJUNG RAYA II KOMP. VILLA PARMA NO. 18B")</f>
        <v>JL. TANJUNG RAYA II KOMP. VILLA PARMA NO. 18B</v>
      </c>
      <c r="N170" s="16"/>
      <c r="O170" s="16"/>
      <c r="P170" s="16"/>
      <c r="Q170" s="16"/>
      <c r="R170" s="19" t="str">
        <f>IFERROR(__xludf.DUMMYFUNCTION("""COMPUTED_VALUE"""),"BUDDHA")</f>
        <v>BUDDHA</v>
      </c>
      <c r="S170" s="16" t="str">
        <f>IFERROR(__xludf.DUMMYFUNCTION("""COMPUTED_VALUE"""),"RUMAH TANGGA")</f>
        <v>RUMAH TANGGA</v>
      </c>
      <c r="T170" s="16" t="str">
        <f>IFERROR(__xludf.DUMMYFUNCTION("""COMPUTED_VALUE"""),"BAHU DAN PINGGUL")</f>
        <v>BAHU DAN PINGGUL</v>
      </c>
      <c r="U170" s="16" t="str">
        <f>IFERROR(__xludf.DUMMYFUNCTION("""COMPUTED_VALUE"""),"-")</f>
        <v>-</v>
      </c>
      <c r="V170" s="21" t="str">
        <f>IFERROR(__xludf.DUMMYFUNCTION("""COMPUTED_VALUE"""),"082123318829")</f>
        <v>082123318829</v>
      </c>
      <c r="W170" s="22"/>
    </row>
    <row r="171" ht="22.5" customHeight="1">
      <c r="A171" s="25"/>
      <c r="B171" s="26">
        <f>IFERROR(__xludf.DUMMYFUNCTION("""COMPUTED_VALUE"""),45006.914831863425)</f>
        <v>45006.91483</v>
      </c>
      <c r="C171" s="26"/>
      <c r="D171" s="10">
        <f>IFERROR(__xludf.DUMMYFUNCTION("""COMPUTED_VALUE"""),44979.0)</f>
        <v>44979</v>
      </c>
      <c r="E171" s="10" t="str">
        <f>IFERROR(__xludf.DUMMYFUNCTION("""COMPUTED_VALUE"""),"02Feb")</f>
        <v>02Feb</v>
      </c>
      <c r="F171" s="10" t="str">
        <f>IFERROR(__xludf.DUMMYFUNCTION("""COMPUTED_VALUE"""),"2023")</f>
        <v>2023</v>
      </c>
      <c r="G171" s="16" t="str">
        <f>IFERROR(__xludf.DUMMYFUNCTION("""COMPUTED_VALUE"""),"RIZKY PRASETYA")</f>
        <v>RIZKY PRASETYA</v>
      </c>
      <c r="H171" s="17" t="str">
        <f>IFERROR(__xludf.DUMMYFUNCTION("""COMPUTED_VALUE"""),"R9123020062")</f>
        <v>R9123020062</v>
      </c>
      <c r="I171" s="17">
        <f>IFERROR(__xludf.DUMMYFUNCTION("""COMPUTED_VALUE"""),35.0)</f>
        <v>35</v>
      </c>
      <c r="J171" s="17" t="str">
        <f>IFERROR(__xludf.DUMMYFUNCTION("""COMPUTED_VALUE"""),"35-44 tahun")</f>
        <v>35-44 tahun</v>
      </c>
      <c r="K171" s="19">
        <f>IFERROR(__xludf.DUMMYFUNCTION("""COMPUTED_VALUE"""),33243.0)</f>
        <v>33243</v>
      </c>
      <c r="L171" s="19" t="str">
        <f>IFERROR(__xludf.DUMMYFUNCTION("""COMPUTED_VALUE"""),"LAKI-LAKI")</f>
        <v>LAKI-LAKI</v>
      </c>
      <c r="M171" s="16" t="str">
        <f>IFERROR(__xludf.DUMMYFUNCTION("""COMPUTED_VALUE"""),"JL.")</f>
        <v>JL.</v>
      </c>
      <c r="N171" s="16"/>
      <c r="O171" s="16"/>
      <c r="P171" s="16"/>
      <c r="Q171" s="16"/>
      <c r="R171" s="19" t="str">
        <f>IFERROR(__xludf.DUMMYFUNCTION("""COMPUTED_VALUE"""),"ISLAM")</f>
        <v>ISLAM</v>
      </c>
      <c r="S171" s="16" t="str">
        <f>IFERROR(__xludf.DUMMYFUNCTION("""COMPUTED_VALUE"""),"SWASTA")</f>
        <v>SWASTA</v>
      </c>
      <c r="T171" s="16" t="str">
        <f>IFERROR(__xludf.DUMMYFUNCTION("""COMPUTED_VALUE"""),"PINGGANG")</f>
        <v>PINGGANG</v>
      </c>
      <c r="U171" s="16" t="str">
        <f>IFERROR(__xludf.DUMMYFUNCTION("""COMPUTED_VALUE"""),"")</f>
        <v/>
      </c>
      <c r="V171" s="21" t="str">
        <f>IFERROR(__xludf.DUMMYFUNCTION("""COMPUTED_VALUE"""),"085752000062")</f>
        <v>085752000062</v>
      </c>
      <c r="W171" s="27"/>
    </row>
    <row r="172" ht="22.5" customHeight="1">
      <c r="A172" s="25"/>
      <c r="B172" s="26">
        <f>IFERROR(__xludf.DUMMYFUNCTION("""COMPUTED_VALUE"""),45006.90035034722)</f>
        <v>45006.90035</v>
      </c>
      <c r="C172" s="26"/>
      <c r="D172" s="10">
        <f>IFERROR(__xludf.DUMMYFUNCTION("""COMPUTED_VALUE"""),44979.0)</f>
        <v>44979</v>
      </c>
      <c r="E172" s="10" t="str">
        <f>IFERROR(__xludf.DUMMYFUNCTION("""COMPUTED_VALUE"""),"02Feb")</f>
        <v>02Feb</v>
      </c>
      <c r="F172" s="10" t="str">
        <f>IFERROR(__xludf.DUMMYFUNCTION("""COMPUTED_VALUE"""),"2023")</f>
        <v>2023</v>
      </c>
      <c r="G172" s="16" t="str">
        <f>IFERROR(__xludf.DUMMYFUNCTION("""COMPUTED_VALUE"""),"TJUNG LIAN SIAN")</f>
        <v>TJUNG LIAN SIAN</v>
      </c>
      <c r="H172" s="17" t="str">
        <f>IFERROR(__xludf.DUMMYFUNCTION("""COMPUTED_VALUE"""),"T5923028951")</f>
        <v>T5923028951</v>
      </c>
      <c r="I172" s="17">
        <f>IFERROR(__xludf.DUMMYFUNCTION("""COMPUTED_VALUE"""),67.0)</f>
        <v>67</v>
      </c>
      <c r="J172" s="17" t="str">
        <f>IFERROR(__xludf.DUMMYFUNCTION("""COMPUTED_VALUE"""),"&gt; 44 tahun")</f>
        <v>&gt; 44 tahun</v>
      </c>
      <c r="K172" s="19">
        <f>IFERROR(__xludf.DUMMYFUNCTION("""COMPUTED_VALUE"""),21553.0)</f>
        <v>21553</v>
      </c>
      <c r="L172" s="19" t="str">
        <f>IFERROR(__xludf.DUMMYFUNCTION("""COMPUTED_VALUE"""),"PEREMPUAN")</f>
        <v>PEREMPUAN</v>
      </c>
      <c r="M172" s="16" t="str">
        <f>IFERROR(__xludf.DUMMYFUNCTION("""COMPUTED_VALUE"""),"JL TANJUNG RAYA II KOMP VILA PARMA NO B")</f>
        <v>JL TANJUNG RAYA II KOMP VILA PARMA NO B</v>
      </c>
      <c r="N172" s="16"/>
      <c r="O172" s="16"/>
      <c r="P172" s="16"/>
      <c r="Q172" s="16"/>
      <c r="R172" s="19" t="str">
        <f>IFERROR(__xludf.DUMMYFUNCTION("""COMPUTED_VALUE"""),"BUDDHA")</f>
        <v>BUDDHA</v>
      </c>
      <c r="S172" s="16" t="str">
        <f>IFERROR(__xludf.DUMMYFUNCTION("""COMPUTED_VALUE"""),"WIRASWASTA")</f>
        <v>WIRASWASTA</v>
      </c>
      <c r="T172" s="16" t="str">
        <f>IFERROR(__xludf.DUMMYFUNCTION("""COMPUTED_VALUE"""),"PINGGUL")</f>
        <v>PINGGUL</v>
      </c>
      <c r="U172" s="16" t="str">
        <f>IFERROR(__xludf.DUMMYFUNCTION("""COMPUTED_VALUE"""),"-")</f>
        <v>-</v>
      </c>
      <c r="V172" s="21" t="str">
        <f>IFERROR(__xludf.DUMMYFUNCTION("""COMPUTED_VALUE"""),"08129218951")</f>
        <v>08129218951</v>
      </c>
      <c r="W172" s="27"/>
    </row>
    <row r="173" ht="22.5" customHeight="1">
      <c r="A173" s="29"/>
      <c r="B173" s="30">
        <f>IFERROR(__xludf.DUMMYFUNCTION("""COMPUTED_VALUE"""),44983.38196759259)</f>
        <v>44983.38197</v>
      </c>
      <c r="C173" s="30"/>
      <c r="D173" s="10">
        <f>IFERROR(__xludf.DUMMYFUNCTION("""COMPUTED_VALUE"""),44980.0)</f>
        <v>44980</v>
      </c>
      <c r="E173" s="10" t="str">
        <f>IFERROR(__xludf.DUMMYFUNCTION("""COMPUTED_VALUE"""),"02Feb")</f>
        <v>02Feb</v>
      </c>
      <c r="F173" s="10" t="str">
        <f>IFERROR(__xludf.DUMMYFUNCTION("""COMPUTED_VALUE"""),"2023")</f>
        <v>2023</v>
      </c>
      <c r="G173" s="16" t="str">
        <f>IFERROR(__xludf.DUMMYFUNCTION("""COMPUTED_VALUE"""),"SUSAN")</f>
        <v>SUSAN</v>
      </c>
      <c r="H173" s="17" t="str">
        <f>IFERROR(__xludf.DUMMYFUNCTION("""COMPUTED_VALUE"""),"S7623022392")</f>
        <v>S7623022392</v>
      </c>
      <c r="I173" s="17">
        <f>IFERROR(__xludf.DUMMYFUNCTION("""COMPUTED_VALUE"""),49.0)</f>
        <v>49</v>
      </c>
      <c r="J173" s="17" t="str">
        <f>IFERROR(__xludf.DUMMYFUNCTION("""COMPUTED_VALUE"""),"&gt; 44 tahun")</f>
        <v>&gt; 44 tahun</v>
      </c>
      <c r="K173" s="19">
        <f>IFERROR(__xludf.DUMMYFUNCTION("""COMPUTED_VALUE"""),28040.0)</f>
        <v>28040</v>
      </c>
      <c r="L173" s="19" t="str">
        <f>IFERROR(__xludf.DUMMYFUNCTION("""COMPUTED_VALUE"""),"PEREMPUAN")</f>
        <v>PEREMPUAN</v>
      </c>
      <c r="M173" s="16" t="str">
        <f>IFERROR(__xludf.DUMMYFUNCTION("""COMPUTED_VALUE"""),"JL ARTERI SUPADIO KOMP VILLA CERIA LESTARI BLOK A5")</f>
        <v>JL ARTERI SUPADIO KOMP VILLA CERIA LESTARI BLOK A5</v>
      </c>
      <c r="N173" s="16"/>
      <c r="O173" s="16"/>
      <c r="P173" s="16"/>
      <c r="Q173" s="16"/>
      <c r="R173" s="19" t="str">
        <f>IFERROR(__xludf.DUMMYFUNCTION("""COMPUTED_VALUE"""),"LAINNYA")</f>
        <v>LAINNYA</v>
      </c>
      <c r="S173" s="16" t="str">
        <f>IFERROR(__xludf.DUMMYFUNCTION("""COMPUTED_VALUE"""),"RUMAH TANGGA")</f>
        <v>RUMAH TANGGA</v>
      </c>
      <c r="T173" s="16" t="str">
        <f>IFERROR(__xludf.DUMMYFUNCTION("""COMPUTED_VALUE"""),"JARI TANGAN")</f>
        <v>JARI TANGAN</v>
      </c>
      <c r="U173" s="16" t="str">
        <f>IFERROR(__xludf.DUMMYFUNCTION("""COMPUTED_VALUE"""),"JALAN SANTAI")</f>
        <v>JALAN SANTAI</v>
      </c>
      <c r="V173" s="21" t="str">
        <f>IFERROR(__xludf.DUMMYFUNCTION("""COMPUTED_VALUE"""),"0811562392")</f>
        <v>0811562392</v>
      </c>
      <c r="W173" s="31"/>
    </row>
    <row r="174" ht="22.5" customHeight="1">
      <c r="A174" s="28"/>
      <c r="B174" s="26">
        <f>IFERROR(__xludf.DUMMYFUNCTION("""COMPUTED_VALUE"""),44929.405694444446)</f>
        <v>44929.40569</v>
      </c>
      <c r="C174" s="26"/>
      <c r="D174" s="10">
        <f>IFERROR(__xludf.DUMMYFUNCTION("""COMPUTED_VALUE"""),44982.0)</f>
        <v>44982</v>
      </c>
      <c r="E174" s="10" t="str">
        <f>IFERROR(__xludf.DUMMYFUNCTION("""COMPUTED_VALUE"""),"02Feb")</f>
        <v>02Feb</v>
      </c>
      <c r="F174" s="10" t="str">
        <f>IFERROR(__xludf.DUMMYFUNCTION("""COMPUTED_VALUE"""),"2023")</f>
        <v>2023</v>
      </c>
      <c r="G174" s="16" t="str">
        <f>IFERROR(__xludf.DUMMYFUNCTION("""COMPUTED_VALUE"""),"FARHAN 1007")</f>
        <v>FARHAN 1007</v>
      </c>
      <c r="H174" s="17" t="str">
        <f>IFERROR(__xludf.DUMMYFUNCTION("""COMPUTED_VALUE"""),"F1023024870")</f>
        <v>F1023024870</v>
      </c>
      <c r="I174" s="17">
        <f>IFERROR(__xludf.DUMMYFUNCTION("""COMPUTED_VALUE"""),15.0)</f>
        <v>15</v>
      </c>
      <c r="J174" s="17" t="str">
        <f>IFERROR(__xludf.DUMMYFUNCTION("""COMPUTED_VALUE"""),"&lt; 18 tahun")</f>
        <v>&lt; 18 tahun</v>
      </c>
      <c r="K174" s="19">
        <f>IFERROR(__xludf.DUMMYFUNCTION("""COMPUTED_VALUE"""),40369.0)</f>
        <v>40369</v>
      </c>
      <c r="L174" s="19" t="str">
        <f>IFERROR(__xludf.DUMMYFUNCTION("""COMPUTED_VALUE"""),"LAKI-LAKI")</f>
        <v>LAKI-LAKI</v>
      </c>
      <c r="M174" s="16" t="str">
        <f>IFERROR(__xludf.DUMMYFUNCTION("""COMPUTED_VALUE"""),"JL. SUI RAYA DALAM KOMP. MITRAINDAH UTAMA 5 N0. 12A")</f>
        <v>JL. SUI RAYA DALAM KOMP. MITRAINDAH UTAMA 5 N0. 12A</v>
      </c>
      <c r="N174" s="16"/>
      <c r="O174" s="16"/>
      <c r="P174" s="16"/>
      <c r="Q174" s="16"/>
      <c r="R174" s="19" t="str">
        <f>IFERROR(__xludf.DUMMYFUNCTION("""COMPUTED_VALUE"""),"ISLAM")</f>
        <v>ISLAM</v>
      </c>
      <c r="S174" s="16" t="str">
        <f>IFERROR(__xludf.DUMMYFUNCTION("""COMPUTED_VALUE"""),"PELAJAR/MAHASISWA")</f>
        <v>PELAJAR/MAHASISWA</v>
      </c>
      <c r="T174" s="16" t="str">
        <f>IFERROR(__xludf.DUMMYFUNCTION("""COMPUTED_VALUE"""),"PERGELANGAN TANGAN")</f>
        <v>PERGELANGAN TANGAN</v>
      </c>
      <c r="U174" s="16" t="str">
        <f>IFERROR(__xludf.DUMMYFUNCTION("""COMPUTED_VALUE"""),"FUTSAL")</f>
        <v>FUTSAL</v>
      </c>
      <c r="V174" s="21" t="str">
        <f>IFERROR(__xludf.DUMMYFUNCTION("""COMPUTED_VALUE"""),"08115424870")</f>
        <v>08115424870</v>
      </c>
      <c r="W174" s="27"/>
    </row>
    <row r="175" ht="22.5" customHeight="1">
      <c r="A175" s="28"/>
      <c r="B175" s="26">
        <f>IFERROR(__xludf.DUMMYFUNCTION("""COMPUTED_VALUE"""),44881.65483796296)</f>
        <v>44881.65484</v>
      </c>
      <c r="C175" s="26"/>
      <c r="D175" s="10">
        <f>IFERROR(__xludf.DUMMYFUNCTION("""COMPUTED_VALUE"""),44982.0)</f>
        <v>44982</v>
      </c>
      <c r="E175" s="10" t="str">
        <f>IFERROR(__xludf.DUMMYFUNCTION("""COMPUTED_VALUE"""),"02Feb")</f>
        <v>02Feb</v>
      </c>
      <c r="F175" s="10" t="str">
        <f>IFERROR(__xludf.DUMMYFUNCTION("""COMPUTED_VALUE"""),"2023")</f>
        <v>2023</v>
      </c>
      <c r="G175" s="16" t="str">
        <f>IFERROR(__xludf.DUMMYFUNCTION("""COMPUTED_VALUE"""),"NUR ANNISA")</f>
        <v>NUR ANNISA</v>
      </c>
      <c r="H175" s="17" t="str">
        <f>IFERROR(__xludf.DUMMYFUNCTION("""COMPUTED_VALUE"""),"N9623024811")</f>
        <v>N9623024811</v>
      </c>
      <c r="I175" s="17">
        <f>IFERROR(__xludf.DUMMYFUNCTION("""COMPUTED_VALUE"""),29.0)</f>
        <v>29</v>
      </c>
      <c r="J175" s="17" t="str">
        <f>IFERROR(__xludf.DUMMYFUNCTION("""COMPUTED_VALUE"""),"25-34 tahun")</f>
        <v>25-34 tahun</v>
      </c>
      <c r="K175" s="19">
        <f>IFERROR(__xludf.DUMMYFUNCTION("""COMPUTED_VALUE"""),35419.0)</f>
        <v>35419</v>
      </c>
      <c r="L175" s="19" t="str">
        <f>IFERROR(__xludf.DUMMYFUNCTION("""COMPUTED_VALUE"""),"PEREMPUAN")</f>
        <v>PEREMPUAN</v>
      </c>
      <c r="M175" s="16" t="str">
        <f>IFERROR(__xludf.DUMMYFUNCTION("""COMPUTED_VALUE"""),"JL. TANRAY 2 KOMP. PARIT MAYOR PERMAI")</f>
        <v>JL. TANRAY 2 KOMP. PARIT MAYOR PERMAI</v>
      </c>
      <c r="N175" s="16"/>
      <c r="O175" s="16"/>
      <c r="P175" s="16"/>
      <c r="Q175" s="16"/>
      <c r="R175" s="19" t="str">
        <f>IFERROR(__xludf.DUMMYFUNCTION("""COMPUTED_VALUE"""),"ISLAM")</f>
        <v>ISLAM</v>
      </c>
      <c r="S175" s="16" t="str">
        <f>IFERROR(__xludf.DUMMYFUNCTION("""COMPUTED_VALUE"""),"SWASTA")</f>
        <v>SWASTA</v>
      </c>
      <c r="T175" s="16" t="str">
        <f>IFERROR(__xludf.DUMMYFUNCTION("""COMPUTED_VALUE"""),"BAHU")</f>
        <v>BAHU</v>
      </c>
      <c r="U175" s="16" t="str">
        <f>IFERROR(__xludf.DUMMYFUNCTION("""COMPUTED_VALUE"""),"")</f>
        <v/>
      </c>
      <c r="V175" s="21" t="str">
        <f>IFERROR(__xludf.DUMMYFUNCTION("""COMPUTED_VALUE"""),"081350044811")</f>
        <v>081350044811</v>
      </c>
      <c r="W175" s="27"/>
    </row>
    <row r="176" ht="22.5" customHeight="1">
      <c r="A176" s="8"/>
      <c r="B176" s="9">
        <f>IFERROR(__xludf.DUMMYFUNCTION("""COMPUTED_VALUE"""),44934.68090277778)</f>
        <v>44934.6809</v>
      </c>
      <c r="C176" s="9"/>
      <c r="D176" s="10">
        <f>IFERROR(__xludf.DUMMYFUNCTION("""COMPUTED_VALUE"""),44982.0)</f>
        <v>44982</v>
      </c>
      <c r="E176" s="10" t="str">
        <f>IFERROR(__xludf.DUMMYFUNCTION("""COMPUTED_VALUE"""),"02Feb")</f>
        <v>02Feb</v>
      </c>
      <c r="F176" s="10" t="str">
        <f>IFERROR(__xludf.DUMMYFUNCTION("""COMPUTED_VALUE"""),"2023")</f>
        <v>2023</v>
      </c>
      <c r="G176" s="16" t="str">
        <f>IFERROR(__xludf.DUMMYFUNCTION("""COMPUTED_VALUE"""),"RAYMOND FERDINAND")</f>
        <v>RAYMOND FERDINAND</v>
      </c>
      <c r="H176" s="17" t="str">
        <f>IFERROR(__xludf.DUMMYFUNCTION("""COMPUTED_VALUE"""),"R0023021918")</f>
        <v>R0023021918</v>
      </c>
      <c r="I176" s="17">
        <f>IFERROR(__xludf.DUMMYFUNCTION("""COMPUTED_VALUE"""),25.0)</f>
        <v>25</v>
      </c>
      <c r="J176" s="17" t="str">
        <f>IFERROR(__xludf.DUMMYFUNCTION("""COMPUTED_VALUE"""),"25-34 tahun")</f>
        <v>25-34 tahun</v>
      </c>
      <c r="K176" s="19">
        <f>IFERROR(__xludf.DUMMYFUNCTION("""COMPUTED_VALUE"""),36706.0)</f>
        <v>36706</v>
      </c>
      <c r="L176" s="19" t="str">
        <f>IFERROR(__xludf.DUMMYFUNCTION("""COMPUTED_VALUE"""),"LAKI-LAKI")</f>
        <v>LAKI-LAKI</v>
      </c>
      <c r="M176" s="16" t="str">
        <f>IFERROR(__xludf.DUMMYFUNCTION("""COMPUTED_VALUE"""),"JL. PARIS 2 KOMP. BUANA LESTARI C7")</f>
        <v>JL. PARIS 2 KOMP. BUANA LESTARI C7</v>
      </c>
      <c r="N176" s="16"/>
      <c r="O176" s="16"/>
      <c r="P176" s="16"/>
      <c r="Q176" s="16"/>
      <c r="R176" s="19" t="str">
        <f>IFERROR(__xludf.DUMMYFUNCTION("""COMPUTED_VALUE"""),"KATOLIK")</f>
        <v>KATOLIK</v>
      </c>
      <c r="S176" s="16" t="str">
        <f>IFERROR(__xludf.DUMMYFUNCTION("""COMPUTED_VALUE"""),"PELAJAR/MAHASISWA")</f>
        <v>PELAJAR/MAHASISWA</v>
      </c>
      <c r="T176" s="16" t="str">
        <f>IFERROR(__xludf.DUMMYFUNCTION("""COMPUTED_VALUE"""),"BAHU")</f>
        <v>BAHU</v>
      </c>
      <c r="U176" s="16" t="str">
        <f>IFERROR(__xludf.DUMMYFUNCTION("""COMPUTED_VALUE"""),"")</f>
        <v/>
      </c>
      <c r="V176" s="21" t="str">
        <f>IFERROR(__xludf.DUMMYFUNCTION("""COMPUTED_VALUE"""),"08115791918")</f>
        <v>08115791918</v>
      </c>
      <c r="W176" s="22"/>
    </row>
    <row r="177" ht="22.5" customHeight="1">
      <c r="A177" s="8"/>
      <c r="B177" s="9">
        <f>IFERROR(__xludf.DUMMYFUNCTION("""COMPUTED_VALUE"""),44936.762511574074)</f>
        <v>44936.76251</v>
      </c>
      <c r="C177" s="9"/>
      <c r="D177" s="10">
        <f>IFERROR(__xludf.DUMMYFUNCTION("""COMPUTED_VALUE"""),44982.0)</f>
        <v>44982</v>
      </c>
      <c r="E177" s="10" t="str">
        <f>IFERROR(__xludf.DUMMYFUNCTION("""COMPUTED_VALUE"""),"02Feb")</f>
        <v>02Feb</v>
      </c>
      <c r="F177" s="10" t="str">
        <f>IFERROR(__xludf.DUMMYFUNCTION("""COMPUTED_VALUE"""),"2023")</f>
        <v>2023</v>
      </c>
      <c r="G177" s="16" t="str">
        <f>IFERROR(__xludf.DUMMYFUNCTION("""COMPUTED_VALUE"""),"RIFKI FAUZI")</f>
        <v>RIFKI FAUZI</v>
      </c>
      <c r="H177" s="17" t="str">
        <f>IFERROR(__xludf.DUMMYFUNCTION("""COMPUTED_VALUE"""),"R9323025671")</f>
        <v>R9323025671</v>
      </c>
      <c r="I177" s="17">
        <f>IFERROR(__xludf.DUMMYFUNCTION("""COMPUTED_VALUE"""),33.0)</f>
        <v>33</v>
      </c>
      <c r="J177" s="17" t="str">
        <f>IFERROR(__xludf.DUMMYFUNCTION("""COMPUTED_VALUE"""),"25-34 tahun")</f>
        <v>25-34 tahun</v>
      </c>
      <c r="K177" s="19">
        <f>IFERROR(__xludf.DUMMYFUNCTION("""COMPUTED_VALUE"""),34008.0)</f>
        <v>34008</v>
      </c>
      <c r="L177" s="19" t="str">
        <f>IFERROR(__xludf.DUMMYFUNCTION("""COMPUTED_VALUE"""),"LAKI-LAKI")</f>
        <v>LAKI-LAKI</v>
      </c>
      <c r="M177" s="16" t="str">
        <f>IFERROR(__xludf.DUMMYFUNCTION("""COMPUTED_VALUE"""),"KOMP. IMIGRAN NO. AA1")</f>
        <v>KOMP. IMIGRAN NO. AA1</v>
      </c>
      <c r="N177" s="16"/>
      <c r="O177" s="16"/>
      <c r="P177" s="16"/>
      <c r="Q177" s="16"/>
      <c r="R177" s="19" t="str">
        <f>IFERROR(__xludf.DUMMYFUNCTION("""COMPUTED_VALUE"""),"ISLAM")</f>
        <v>ISLAM</v>
      </c>
      <c r="S177" s="16" t="str">
        <f>IFERROR(__xludf.DUMMYFUNCTION("""COMPUTED_VALUE"""),"")</f>
        <v/>
      </c>
      <c r="T177" s="16" t="str">
        <f>IFERROR(__xludf.DUMMYFUNCTION("""COMPUTED_VALUE"""),"POST OP. ACL")</f>
        <v>POST OP. ACL</v>
      </c>
      <c r="U177" s="16" t="str">
        <f>IFERROR(__xludf.DUMMYFUNCTION("""COMPUTED_VALUE"""),"")</f>
        <v/>
      </c>
      <c r="V177" s="21" t="str">
        <f>IFERROR(__xludf.DUMMYFUNCTION("""COMPUTED_VALUE"""),"081312405671")</f>
        <v>081312405671</v>
      </c>
      <c r="W177" s="22"/>
    </row>
    <row r="178" ht="22.5" customHeight="1">
      <c r="A178" s="8"/>
      <c r="B178" s="9">
        <f>IFERROR(__xludf.DUMMYFUNCTION("""COMPUTED_VALUE"""),45006.835441574076)</f>
        <v>45006.83544</v>
      </c>
      <c r="C178" s="9"/>
      <c r="D178" s="10">
        <f>IFERROR(__xludf.DUMMYFUNCTION("""COMPUTED_VALUE"""),44982.0)</f>
        <v>44982</v>
      </c>
      <c r="E178" s="10" t="str">
        <f>IFERROR(__xludf.DUMMYFUNCTION("""COMPUTED_VALUE"""),"02Feb")</f>
        <v>02Feb</v>
      </c>
      <c r="F178" s="10" t="str">
        <f>IFERROR(__xludf.DUMMYFUNCTION("""COMPUTED_VALUE"""),"2023")</f>
        <v>2023</v>
      </c>
      <c r="G178" s="16" t="str">
        <f>IFERROR(__xludf.DUMMYFUNCTION("""COMPUTED_VALUE"""),"WINDA STANZA")</f>
        <v>WINDA STANZA</v>
      </c>
      <c r="H178" s="17" t="str">
        <f>IFERROR(__xludf.DUMMYFUNCTION("""COMPUTED_VALUE"""),"W8823027511")</f>
        <v>W8823027511</v>
      </c>
      <c r="I178" s="17">
        <f>IFERROR(__xludf.DUMMYFUNCTION("""COMPUTED_VALUE"""),37.0)</f>
        <v>37</v>
      </c>
      <c r="J178" s="17" t="str">
        <f>IFERROR(__xludf.DUMMYFUNCTION("""COMPUTED_VALUE"""),"35-44 tahun")</f>
        <v>35-44 tahun</v>
      </c>
      <c r="K178" s="19">
        <f>IFERROR(__xludf.DUMMYFUNCTION("""COMPUTED_VALUE"""),32490.0)</f>
        <v>32490</v>
      </c>
      <c r="L178" s="19" t="str">
        <f>IFERROR(__xludf.DUMMYFUNCTION("""COMPUTED_VALUE"""),"PEREMPUAN")</f>
        <v>PEREMPUAN</v>
      </c>
      <c r="M178" s="16" t="str">
        <f>IFERROR(__xludf.DUMMYFUNCTION("""COMPUTED_VALUE"""),"JL. DANSEN GG. MUFAKAT")</f>
        <v>JL. DANSEN GG. MUFAKAT</v>
      </c>
      <c r="N178" s="16"/>
      <c r="O178" s="16"/>
      <c r="P178" s="16"/>
      <c r="Q178" s="16"/>
      <c r="R178" s="19" t="str">
        <f>IFERROR(__xludf.DUMMYFUNCTION("""COMPUTED_VALUE"""),"ISLAM")</f>
        <v>ISLAM</v>
      </c>
      <c r="S178" s="16" t="str">
        <f>IFERROR(__xludf.DUMMYFUNCTION("""COMPUTED_VALUE"""),"SWASTA")</f>
        <v>SWASTA</v>
      </c>
      <c r="T178" s="16"/>
      <c r="U178" s="16" t="str">
        <f>IFERROR(__xludf.DUMMYFUNCTION("""COMPUTED_VALUE"""),"")</f>
        <v/>
      </c>
      <c r="V178" s="21" t="str">
        <f>IFERROR(__xludf.DUMMYFUNCTION("""COMPUTED_VALUE"""),"082255407511")</f>
        <v>082255407511</v>
      </c>
      <c r="W178" s="22"/>
    </row>
    <row r="179" ht="22.5" customHeight="1">
      <c r="A179" s="25"/>
      <c r="B179" s="26">
        <f>IFERROR(__xludf.DUMMYFUNCTION("""COMPUTED_VALUE"""),45006.77845203703)</f>
        <v>45006.77845</v>
      </c>
      <c r="C179" s="26"/>
      <c r="D179" s="10">
        <f>IFERROR(__xludf.DUMMYFUNCTION("""COMPUTED_VALUE"""),44983.0)</f>
        <v>44983</v>
      </c>
      <c r="E179" s="10" t="str">
        <f>IFERROR(__xludf.DUMMYFUNCTION("""COMPUTED_VALUE"""),"02Feb")</f>
        <v>02Feb</v>
      </c>
      <c r="F179" s="10" t="str">
        <f>IFERROR(__xludf.DUMMYFUNCTION("""COMPUTED_VALUE"""),"2023")</f>
        <v>2023</v>
      </c>
      <c r="G179" s="16" t="str">
        <f>IFERROR(__xludf.DUMMYFUNCTION("""COMPUTED_VALUE"""),"LILIANA GUNAWAN")</f>
        <v>LILIANA GUNAWAN</v>
      </c>
      <c r="H179" s="17" t="str">
        <f>IFERROR(__xludf.DUMMYFUNCTION("""COMPUTED_VALUE"""),"L8723022028")</f>
        <v>L8723022028</v>
      </c>
      <c r="I179" s="17">
        <f>IFERROR(__xludf.DUMMYFUNCTION("""COMPUTED_VALUE"""),39.0)</f>
        <v>39</v>
      </c>
      <c r="J179" s="17" t="str">
        <f>IFERROR(__xludf.DUMMYFUNCTION("""COMPUTED_VALUE"""),"35-44 tahun")</f>
        <v>35-44 tahun</v>
      </c>
      <c r="K179" s="19">
        <f>IFERROR(__xludf.DUMMYFUNCTION("""COMPUTED_VALUE"""),31877.0)</f>
        <v>31877</v>
      </c>
      <c r="L179" s="19" t="str">
        <f>IFERROR(__xludf.DUMMYFUNCTION("""COMPUTED_VALUE"""),"PEREMPUAN")</f>
        <v>PEREMPUAN</v>
      </c>
      <c r="M179" s="16" t="str">
        <f>IFERROR(__xludf.DUMMYFUNCTION("""COMPUTED_VALUE"""),"JL SUEZ PERMAI NO 28")</f>
        <v>JL SUEZ PERMAI NO 28</v>
      </c>
      <c r="N179" s="16"/>
      <c r="O179" s="16"/>
      <c r="P179" s="16"/>
      <c r="Q179" s="16"/>
      <c r="R179" s="19" t="str">
        <f>IFERROR(__xludf.DUMMYFUNCTION("""COMPUTED_VALUE"""),"BUDDHA")</f>
        <v>BUDDHA</v>
      </c>
      <c r="S179" s="16" t="str">
        <f>IFERROR(__xludf.DUMMYFUNCTION("""COMPUTED_VALUE"""),"RUMAH TANGGA")</f>
        <v>RUMAH TANGGA</v>
      </c>
      <c r="T179" s="16" t="str">
        <f>IFERROR(__xludf.DUMMYFUNCTION("""COMPUTED_VALUE"""),"PUNDAK KIRI")</f>
        <v>PUNDAK KIRI</v>
      </c>
      <c r="U179" s="16" t="str">
        <f>IFERROR(__xludf.DUMMYFUNCTION("""COMPUTED_VALUE"""),"-")</f>
        <v>-</v>
      </c>
      <c r="V179" s="21" t="str">
        <f>IFERROR(__xludf.DUMMYFUNCTION("""COMPUTED_VALUE"""),"081256062028")</f>
        <v>081256062028</v>
      </c>
      <c r="W179" s="27"/>
    </row>
    <row r="180" ht="22.5" customHeight="1">
      <c r="A180" s="25"/>
      <c r="B180" s="26">
        <f>IFERROR(__xludf.DUMMYFUNCTION("""COMPUTED_VALUE"""),45011.13903152778)</f>
        <v>45011.13903</v>
      </c>
      <c r="C180" s="26"/>
      <c r="D180" s="10">
        <f>IFERROR(__xludf.DUMMYFUNCTION("""COMPUTED_VALUE"""),44983.0)</f>
        <v>44983</v>
      </c>
      <c r="E180" s="10" t="str">
        <f>IFERROR(__xludf.DUMMYFUNCTION("""COMPUTED_VALUE"""),"02Feb")</f>
        <v>02Feb</v>
      </c>
      <c r="F180" s="10" t="str">
        <f>IFERROR(__xludf.DUMMYFUNCTION("""COMPUTED_VALUE"""),"2023")</f>
        <v>2023</v>
      </c>
      <c r="G180" s="16" t="str">
        <f>IFERROR(__xludf.DUMMYFUNCTION("""COMPUTED_VALUE"""),"TAUFIK MUTTAQIN")</f>
        <v>TAUFIK MUTTAQIN</v>
      </c>
      <c r="H180" s="17" t="str">
        <f>IFERROR(__xludf.DUMMYFUNCTION("""COMPUTED_VALUE"""),"T0623027099")</f>
        <v>T0623027099</v>
      </c>
      <c r="I180" s="17">
        <f>IFERROR(__xludf.DUMMYFUNCTION("""COMPUTED_VALUE"""),20.0)</f>
        <v>20</v>
      </c>
      <c r="J180" s="17" t="str">
        <f>IFERROR(__xludf.DUMMYFUNCTION("""COMPUTED_VALUE"""),"18-24 tahun")</f>
        <v>18-24 tahun</v>
      </c>
      <c r="K180" s="19">
        <f>IFERROR(__xludf.DUMMYFUNCTION("""COMPUTED_VALUE"""),38768.0)</f>
        <v>38768</v>
      </c>
      <c r="L180" s="19" t="str">
        <f>IFERROR(__xludf.DUMMYFUNCTION("""COMPUTED_VALUE"""),"LAKI-LAKI")</f>
        <v>LAKI-LAKI</v>
      </c>
      <c r="M180" s="16" t="str">
        <f>IFERROR(__xludf.DUMMYFUNCTION("""COMPUTED_VALUE"""),"JL SAMBAS BARAT PERUM 4")</f>
        <v>JL SAMBAS BARAT PERUM 4</v>
      </c>
      <c r="N180" s="16"/>
      <c r="O180" s="16"/>
      <c r="P180" s="16"/>
      <c r="Q180" s="16"/>
      <c r="R180" s="19" t="str">
        <f>IFERROR(__xludf.DUMMYFUNCTION("""COMPUTED_VALUE"""),"ISLAM")</f>
        <v>ISLAM</v>
      </c>
      <c r="S180" s="16" t="str">
        <f>IFERROR(__xludf.DUMMYFUNCTION("""COMPUTED_VALUE"""),"PELAJAR/MAHASISWA")</f>
        <v>PELAJAR/MAHASISWA</v>
      </c>
      <c r="T180" s="16" t="str">
        <f>IFERROR(__xludf.DUMMYFUNCTION("""COMPUTED_VALUE"""),"KAKI")</f>
        <v>KAKI</v>
      </c>
      <c r="U180" s="16" t="str">
        <f>IFERROR(__xludf.DUMMYFUNCTION("""COMPUTED_VALUE"""),"-")</f>
        <v>-</v>
      </c>
      <c r="V180" s="21" t="str">
        <f>IFERROR(__xludf.DUMMYFUNCTION("""COMPUTED_VALUE"""),"081314627099")</f>
        <v>081314627099</v>
      </c>
      <c r="W180" s="27"/>
    </row>
    <row r="181" ht="22.5" customHeight="1">
      <c r="A181" s="25"/>
      <c r="B181" s="26">
        <f>IFERROR(__xludf.DUMMYFUNCTION("""COMPUTED_VALUE"""),44973.42796296296)</f>
        <v>44973.42796</v>
      </c>
      <c r="C181" s="26"/>
      <c r="D181" s="10">
        <f>IFERROR(__xludf.DUMMYFUNCTION("""COMPUTED_VALUE"""),44984.0)</f>
        <v>44984</v>
      </c>
      <c r="E181" s="10" t="str">
        <f>IFERROR(__xludf.DUMMYFUNCTION("""COMPUTED_VALUE"""),"02Feb")</f>
        <v>02Feb</v>
      </c>
      <c r="F181" s="10" t="str">
        <f>IFERROR(__xludf.DUMMYFUNCTION("""COMPUTED_VALUE"""),"2023")</f>
        <v>2023</v>
      </c>
      <c r="G181" s="16" t="str">
        <f>IFERROR(__xludf.DUMMYFUNCTION("""COMPUTED_VALUE"""),"AKA PRATAMA")</f>
        <v>AKA PRATAMA</v>
      </c>
      <c r="H181" s="17" t="str">
        <f>IFERROR(__xludf.DUMMYFUNCTION("""COMPUTED_VALUE"""),"A0223025155")</f>
        <v>A0223025155</v>
      </c>
      <c r="I181" s="17">
        <f>IFERROR(__xludf.DUMMYFUNCTION("""COMPUTED_VALUE"""),24.0)</f>
        <v>24</v>
      </c>
      <c r="J181" s="17" t="str">
        <f>IFERROR(__xludf.DUMMYFUNCTION("""COMPUTED_VALUE"""),"18-24 tahun")</f>
        <v>18-24 tahun</v>
      </c>
      <c r="K181" s="19">
        <f>IFERROR(__xludf.DUMMYFUNCTION("""COMPUTED_VALUE"""),37346.0)</f>
        <v>37346</v>
      </c>
      <c r="L181" s="19" t="str">
        <f>IFERROR(__xludf.DUMMYFUNCTION("""COMPUTED_VALUE"""),"PEREMPUAN")</f>
        <v>PEREMPUAN</v>
      </c>
      <c r="M181" s="16" t="str">
        <f>IFERROR(__xludf.DUMMYFUNCTION("""COMPUTED_VALUE"""),"JL. K. H. W. HASIM GG. H. SALEH")</f>
        <v>JL. K. H. W. HASIM GG. H. SALEH</v>
      </c>
      <c r="N181" s="16"/>
      <c r="O181" s="16"/>
      <c r="P181" s="16"/>
      <c r="Q181" s="16"/>
      <c r="R181" s="19" t="str">
        <f>IFERROR(__xludf.DUMMYFUNCTION("""COMPUTED_VALUE"""),"ISLAM")</f>
        <v>ISLAM</v>
      </c>
      <c r="S181" s="16" t="str">
        <f>IFERROR(__xludf.DUMMYFUNCTION("""COMPUTED_VALUE"""),"SWASTA")</f>
        <v>SWASTA</v>
      </c>
      <c r="T181" s="16"/>
      <c r="U181" s="16" t="str">
        <f>IFERROR(__xludf.DUMMYFUNCTION("""COMPUTED_VALUE"""),"FUTSAL")</f>
        <v>FUTSAL</v>
      </c>
      <c r="V181" s="21" t="str">
        <f>IFERROR(__xludf.DUMMYFUNCTION("""COMPUTED_VALUE"""),"085391175155")</f>
        <v>085391175155</v>
      </c>
      <c r="W181" s="27"/>
    </row>
    <row r="182" ht="22.5" customHeight="1">
      <c r="A182" s="8"/>
      <c r="B182" s="9">
        <f>IFERROR(__xludf.DUMMYFUNCTION("""COMPUTED_VALUE"""),44973.42306712963)</f>
        <v>44973.42307</v>
      </c>
      <c r="C182" s="9"/>
      <c r="D182" s="10">
        <f>IFERROR(__xludf.DUMMYFUNCTION("""COMPUTED_VALUE"""),44984.0)</f>
        <v>44984</v>
      </c>
      <c r="E182" s="10" t="str">
        <f>IFERROR(__xludf.DUMMYFUNCTION("""COMPUTED_VALUE"""),"02Feb")</f>
        <v>02Feb</v>
      </c>
      <c r="F182" s="10" t="str">
        <f>IFERROR(__xludf.DUMMYFUNCTION("""COMPUTED_VALUE"""),"2023")</f>
        <v>2023</v>
      </c>
      <c r="G182" s="16" t="str">
        <f>IFERROR(__xludf.DUMMYFUNCTION("""COMPUTED_VALUE"""),"MULYA")</f>
        <v>MULYA</v>
      </c>
      <c r="H182" s="17" t="str">
        <f>IFERROR(__xludf.DUMMYFUNCTION("""COMPUTED_VALUE"""),"M8723024289")</f>
        <v>M8723024289</v>
      </c>
      <c r="I182" s="17">
        <f>IFERROR(__xludf.DUMMYFUNCTION("""COMPUTED_VALUE"""),38.0)</f>
        <v>38</v>
      </c>
      <c r="J182" s="17" t="str">
        <f>IFERROR(__xludf.DUMMYFUNCTION("""COMPUTED_VALUE"""),"35-44 tahun")</f>
        <v>35-44 tahun</v>
      </c>
      <c r="K182" s="19">
        <f>IFERROR(__xludf.DUMMYFUNCTION("""COMPUTED_VALUE"""),32126.0)</f>
        <v>32126</v>
      </c>
      <c r="L182" s="19" t="str">
        <f>IFERROR(__xludf.DUMMYFUNCTION("""COMPUTED_VALUE"""),"LAKI-LAKI")</f>
        <v>LAKI-LAKI</v>
      </c>
      <c r="M182" s="16" t="str">
        <f>IFERROR(__xludf.DUMMYFUNCTION("""COMPUTED_VALUE"""),"KOMP. VILLA GADING MANSION 1")</f>
        <v>KOMP. VILLA GADING MANSION 1</v>
      </c>
      <c r="N182" s="16"/>
      <c r="O182" s="16"/>
      <c r="P182" s="16"/>
      <c r="Q182" s="16"/>
      <c r="R182" s="19" t="str">
        <f>IFERROR(__xludf.DUMMYFUNCTION("""COMPUTED_VALUE"""),"ISLAM")</f>
        <v>ISLAM</v>
      </c>
      <c r="S182" s="16" t="str">
        <f>IFERROR(__xludf.DUMMYFUNCTION("""COMPUTED_VALUE"""),"WIRASWASTA")</f>
        <v>WIRASWASTA</v>
      </c>
      <c r="T182" s="16" t="str">
        <f>IFERROR(__xludf.DUMMYFUNCTION("""COMPUTED_VALUE"""),"KANAN")</f>
        <v>KANAN</v>
      </c>
      <c r="U182" s="16" t="str">
        <f>IFERROR(__xludf.DUMMYFUNCTION("""COMPUTED_VALUE"""),"-")</f>
        <v>-</v>
      </c>
      <c r="V182" s="21" t="str">
        <f>IFERROR(__xludf.DUMMYFUNCTION("""COMPUTED_VALUE"""),"081385344289")</f>
        <v>081385344289</v>
      </c>
      <c r="W182" s="22"/>
    </row>
    <row r="183" ht="22.5" customHeight="1">
      <c r="A183" s="8"/>
      <c r="B183" s="9">
        <f>IFERROR(__xludf.DUMMYFUNCTION("""COMPUTED_VALUE"""),44985.59085648148)</f>
        <v>44985.59086</v>
      </c>
      <c r="C183" s="9"/>
      <c r="D183" s="10">
        <f>IFERROR(__xludf.DUMMYFUNCTION("""COMPUTED_VALUE"""),44985.0)</f>
        <v>44985</v>
      </c>
      <c r="E183" s="10" t="str">
        <f>IFERROR(__xludf.DUMMYFUNCTION("""COMPUTED_VALUE"""),"02Feb")</f>
        <v>02Feb</v>
      </c>
      <c r="F183" s="10" t="str">
        <f>IFERROR(__xludf.DUMMYFUNCTION("""COMPUTED_VALUE"""),"2023")</f>
        <v>2023</v>
      </c>
      <c r="G183" s="16" t="str">
        <f>IFERROR(__xludf.DUMMYFUNCTION("""COMPUTED_VALUE"""),"AYUNI")</f>
        <v>AYUNI</v>
      </c>
      <c r="H183" s="17" t="str">
        <f>IFERROR(__xludf.DUMMYFUNCTION("""COMPUTED_VALUE"""),"A9823029528")</f>
        <v>A9823029528</v>
      </c>
      <c r="I183" s="17">
        <f>IFERROR(__xludf.DUMMYFUNCTION("""COMPUTED_VALUE"""),27.0)</f>
        <v>27</v>
      </c>
      <c r="J183" s="17" t="str">
        <f>IFERROR(__xludf.DUMMYFUNCTION("""COMPUTED_VALUE"""),"25-34 tahun")</f>
        <v>25-34 tahun</v>
      </c>
      <c r="K183" s="19">
        <f>IFERROR(__xludf.DUMMYFUNCTION("""COMPUTED_VALUE"""),35992.0)</f>
        <v>35992</v>
      </c>
      <c r="L183" s="19" t="str">
        <f>IFERROR(__xludf.DUMMYFUNCTION("""COMPUTED_VALUE"""),"PEREMPUAN")</f>
        <v>PEREMPUAN</v>
      </c>
      <c r="M183" s="16" t="str">
        <f>IFERROR(__xludf.DUMMYFUNCTION("""COMPUTED_VALUE"""),"JL. KHATULISTIWA GG. TELUK BETUNG 1 NO. 87")</f>
        <v>JL. KHATULISTIWA GG. TELUK BETUNG 1 NO. 87</v>
      </c>
      <c r="N183" s="16"/>
      <c r="O183" s="16"/>
      <c r="P183" s="16"/>
      <c r="Q183" s="16"/>
      <c r="R183" s="19" t="str">
        <f>IFERROR(__xludf.DUMMYFUNCTION("""COMPUTED_VALUE"""),"KATOLIK")</f>
        <v>KATOLIK</v>
      </c>
      <c r="S183" s="16" t="str">
        <f>IFERROR(__xludf.DUMMYFUNCTION("""COMPUTED_VALUE"""),"SWASTA")</f>
        <v>SWASTA</v>
      </c>
      <c r="T183" s="16" t="str">
        <f>IFERROR(__xludf.DUMMYFUNCTION("""COMPUTED_VALUE"""),"SKOLIOSIS")</f>
        <v>SKOLIOSIS</v>
      </c>
      <c r="U183" s="16" t="str">
        <f>IFERROR(__xludf.DUMMYFUNCTION("""COMPUTED_VALUE"""),"DUDUK")</f>
        <v>DUDUK</v>
      </c>
      <c r="V183" s="21" t="str">
        <f>IFERROR(__xludf.DUMMYFUNCTION("""COMPUTED_VALUE"""),"081546489528")</f>
        <v>081546489528</v>
      </c>
      <c r="W183" s="22"/>
    </row>
    <row r="184" ht="22.5" customHeight="1">
      <c r="A184" s="28"/>
      <c r="B184" s="9">
        <f>IFERROR(__xludf.DUMMYFUNCTION("""COMPUTED_VALUE"""),45011.092140023145)</f>
        <v>45011.09214</v>
      </c>
      <c r="C184" s="9"/>
      <c r="D184" s="10">
        <f>IFERROR(__xludf.DUMMYFUNCTION("""COMPUTED_VALUE"""),44985.0)</f>
        <v>44985</v>
      </c>
      <c r="E184" s="10" t="str">
        <f>IFERROR(__xludf.DUMMYFUNCTION("""COMPUTED_VALUE"""),"02Feb")</f>
        <v>02Feb</v>
      </c>
      <c r="F184" s="10" t="str">
        <f>IFERROR(__xludf.DUMMYFUNCTION("""COMPUTED_VALUE"""),"2023")</f>
        <v>2023</v>
      </c>
      <c r="G184" s="16" t="str">
        <f>IFERROR(__xludf.DUMMYFUNCTION("""COMPUTED_VALUE"""),"FERNI PUSPITA")</f>
        <v>FERNI PUSPITA</v>
      </c>
      <c r="H184" s="17" t="str">
        <f>IFERROR(__xludf.DUMMYFUNCTION("""COMPUTED_VALUE"""),"F6623026735")</f>
        <v>F6623026735</v>
      </c>
      <c r="I184" s="17">
        <f>IFERROR(__xludf.DUMMYFUNCTION("""COMPUTED_VALUE"""),60.0)</f>
        <v>60</v>
      </c>
      <c r="J184" s="17" t="str">
        <f>IFERROR(__xludf.DUMMYFUNCTION("""COMPUTED_VALUE"""),"&gt; 44 tahun")</f>
        <v>&gt; 44 tahun</v>
      </c>
      <c r="K184" s="19">
        <f>IFERROR(__xludf.DUMMYFUNCTION("""COMPUTED_VALUE"""),24166.0)</f>
        <v>24166</v>
      </c>
      <c r="L184" s="19" t="str">
        <f>IFERROR(__xludf.DUMMYFUNCTION("""COMPUTED_VALUE"""),"PEREMPUAN")</f>
        <v>PEREMPUAN</v>
      </c>
      <c r="M184" s="16" t="str">
        <f>IFERROR(__xludf.DUMMYFUNCTION("""COMPUTED_VALUE"""),"JL. AMPERA KOMP. EMERALD")</f>
        <v>JL. AMPERA KOMP. EMERALD</v>
      </c>
      <c r="N184" s="16"/>
      <c r="O184" s="16"/>
      <c r="P184" s="16"/>
      <c r="Q184" s="16"/>
      <c r="R184" s="19" t="str">
        <f>IFERROR(__xludf.DUMMYFUNCTION("""COMPUTED_VALUE"""),"ISLAM")</f>
        <v>ISLAM</v>
      </c>
      <c r="S184" s="16" t="str">
        <f>IFERROR(__xludf.DUMMYFUNCTION("""COMPUTED_VALUE"""),"RUMAH TANGGA")</f>
        <v>RUMAH TANGGA</v>
      </c>
      <c r="T184" s="16" t="str">
        <f>IFERROR(__xludf.DUMMYFUNCTION("""COMPUTED_VALUE"""),"PERGELANGAN TANGAN")</f>
        <v>PERGELANGAN TANGAN</v>
      </c>
      <c r="U184" s="16" t="str">
        <f>IFERROR(__xludf.DUMMYFUNCTION("""COMPUTED_VALUE"""),"")</f>
        <v/>
      </c>
      <c r="V184" s="21" t="str">
        <f>IFERROR(__xludf.DUMMYFUNCTION("""COMPUTED_VALUE"""),"08129146735")</f>
        <v>08129146735</v>
      </c>
      <c r="W184" s="22"/>
    </row>
    <row r="185" ht="22.5" customHeight="1">
      <c r="A185" s="8"/>
      <c r="B185" s="9">
        <f>IFERROR(__xludf.DUMMYFUNCTION("""COMPUTED_VALUE"""),45011.1373540162)</f>
        <v>45011.13735</v>
      </c>
      <c r="C185" s="9"/>
      <c r="D185" s="10">
        <f>IFERROR(__xludf.DUMMYFUNCTION("""COMPUTED_VALUE"""),44985.0)</f>
        <v>44985</v>
      </c>
      <c r="E185" s="10" t="str">
        <f>IFERROR(__xludf.DUMMYFUNCTION("""COMPUTED_VALUE"""),"02Feb")</f>
        <v>02Feb</v>
      </c>
      <c r="F185" s="10" t="str">
        <f>IFERROR(__xludf.DUMMYFUNCTION("""COMPUTED_VALUE"""),"2023")</f>
        <v>2023</v>
      </c>
      <c r="G185" s="16" t="str">
        <f>IFERROR(__xludf.DUMMYFUNCTION("""COMPUTED_VALUE"""),"RAI BINTANG ELSHIRAZY")</f>
        <v>RAI BINTANG ELSHIRAZY</v>
      </c>
      <c r="H185" s="17" t="str">
        <f>IFERROR(__xludf.DUMMYFUNCTION("""COMPUTED_VALUE"""),"R0923025321")</f>
        <v>R0923025321</v>
      </c>
      <c r="I185" s="17">
        <f>IFERROR(__xludf.DUMMYFUNCTION("""COMPUTED_VALUE"""),16.0)</f>
        <v>16</v>
      </c>
      <c r="J185" s="17" t="str">
        <f>IFERROR(__xludf.DUMMYFUNCTION("""COMPUTED_VALUE"""),"&lt; 18 tahun")</f>
        <v>&lt; 18 tahun</v>
      </c>
      <c r="K185" s="19">
        <f>IFERROR(__xludf.DUMMYFUNCTION("""COMPUTED_VALUE"""),39993.0)</f>
        <v>39993</v>
      </c>
      <c r="L185" s="19" t="str">
        <f>IFERROR(__xludf.DUMMYFUNCTION("""COMPUTED_VALUE"""),"LAKI-LAKI")</f>
        <v>LAKI-LAKI</v>
      </c>
      <c r="M185" s="16" t="str">
        <f>IFERROR(__xludf.DUMMYFUNCTION("""COMPUTED_VALUE"""),"JL. SERDAM KOMP. RBK")</f>
        <v>JL. SERDAM KOMP. RBK</v>
      </c>
      <c r="N185" s="16"/>
      <c r="O185" s="16"/>
      <c r="P185" s="16"/>
      <c r="Q185" s="16"/>
      <c r="R185" s="19" t="str">
        <f>IFERROR(__xludf.DUMMYFUNCTION("""COMPUTED_VALUE"""),"ISLAM")</f>
        <v>ISLAM</v>
      </c>
      <c r="S185" s="16" t="str">
        <f>IFERROR(__xludf.DUMMYFUNCTION("""COMPUTED_VALUE"""),"PELAJAR/MAHASISWA")</f>
        <v>PELAJAR/MAHASISWA</v>
      </c>
      <c r="T185" s="16" t="str">
        <f>IFERROR(__xludf.DUMMYFUNCTION("""COMPUTED_VALUE"""),"SIKU KANAN")</f>
        <v>SIKU KANAN</v>
      </c>
      <c r="U185" s="16" t="str">
        <f>IFERROR(__xludf.DUMMYFUNCTION("""COMPUTED_VALUE"""),"FUTSAL")</f>
        <v>FUTSAL</v>
      </c>
      <c r="V185" s="21" t="str">
        <f>IFERROR(__xludf.DUMMYFUNCTION("""COMPUTED_VALUE"""),"082357835321")</f>
        <v>082357835321</v>
      </c>
      <c r="W185" s="22"/>
    </row>
    <row r="186" ht="22.5" customHeight="1">
      <c r="A186" s="25"/>
      <c r="B186" s="26">
        <f>IFERROR(__xludf.DUMMYFUNCTION("""COMPUTED_VALUE"""),45011.636695787034)</f>
        <v>45011.6367</v>
      </c>
      <c r="C186" s="26"/>
      <c r="D186" s="10">
        <f>IFERROR(__xludf.DUMMYFUNCTION("""COMPUTED_VALUE"""),44986.0)</f>
        <v>44986</v>
      </c>
      <c r="E186" s="10" t="str">
        <f>IFERROR(__xludf.DUMMYFUNCTION("""COMPUTED_VALUE"""),"03Mar")</f>
        <v>03Mar</v>
      </c>
      <c r="F186" s="10" t="str">
        <f>IFERROR(__xludf.DUMMYFUNCTION("""COMPUTED_VALUE"""),"2023")</f>
        <v>2023</v>
      </c>
      <c r="G186" s="16" t="str">
        <f>IFERROR(__xludf.DUMMYFUNCTION("""COMPUTED_VALUE"""),"MAULANA FILANI RIZAL")</f>
        <v>MAULANA FILANI RIZAL</v>
      </c>
      <c r="H186" s="17" t="str">
        <f>IFERROR(__xludf.DUMMYFUNCTION("""COMPUTED_VALUE"""),"M8123038531")</f>
        <v>M8123038531</v>
      </c>
      <c r="I186" s="17">
        <f>IFERROR(__xludf.DUMMYFUNCTION("""COMPUTED_VALUE"""),45.0)</f>
        <v>45</v>
      </c>
      <c r="J186" s="17" t="str">
        <f>IFERROR(__xludf.DUMMYFUNCTION("""COMPUTED_VALUE"""),"&gt; 44 tahun")</f>
        <v>&gt; 44 tahun</v>
      </c>
      <c r="K186" s="19">
        <f>IFERROR(__xludf.DUMMYFUNCTION("""COMPUTED_VALUE"""),29630.0)</f>
        <v>29630</v>
      </c>
      <c r="L186" s="19" t="str">
        <f>IFERROR(__xludf.DUMMYFUNCTION("""COMPUTED_VALUE"""),"LAKI-LAKI")</f>
        <v>LAKI-LAKI</v>
      </c>
      <c r="M186" s="16" t="str">
        <f>IFERROR(__xludf.DUMMYFUNCTION("""COMPUTED_VALUE"""),"JL. PETANI GG. GREN SENTARUM NO. B7")</f>
        <v>JL. PETANI GG. GREN SENTARUM NO. B7</v>
      </c>
      <c r="N186" s="16"/>
      <c r="O186" s="16"/>
      <c r="P186" s="16"/>
      <c r="Q186" s="16"/>
      <c r="R186" s="19" t="str">
        <f>IFERROR(__xludf.DUMMYFUNCTION("""COMPUTED_VALUE"""),"ISLAM")</f>
        <v>ISLAM</v>
      </c>
      <c r="S186" s="16" t="str">
        <f>IFERROR(__xludf.DUMMYFUNCTION("""COMPUTED_VALUE"""),"DOSEN/GURU")</f>
        <v>DOSEN/GURU</v>
      </c>
      <c r="T186" s="16" t="str">
        <f>IFERROR(__xludf.DUMMYFUNCTION("""COMPUTED_VALUE"""),"LEHER")</f>
        <v>LEHER</v>
      </c>
      <c r="U186" s="16" t="str">
        <f>IFERROR(__xludf.DUMMYFUNCTION("""COMPUTED_VALUE"""),"-")</f>
        <v>-</v>
      </c>
      <c r="V186" s="21" t="str">
        <f>IFERROR(__xludf.DUMMYFUNCTION("""COMPUTED_VALUE"""),"082149248531")</f>
        <v>082149248531</v>
      </c>
      <c r="W186" s="27"/>
    </row>
    <row r="187" ht="22.5" customHeight="1">
      <c r="A187" s="8"/>
      <c r="B187" s="9">
        <f>IFERROR(__xludf.DUMMYFUNCTION("""COMPUTED_VALUE"""),45010.60749045139)</f>
        <v>45010.60749</v>
      </c>
      <c r="C187" s="9"/>
      <c r="D187" s="10">
        <f>IFERROR(__xludf.DUMMYFUNCTION("""COMPUTED_VALUE"""),44986.0)</f>
        <v>44986</v>
      </c>
      <c r="E187" s="10" t="str">
        <f>IFERROR(__xludf.DUMMYFUNCTION("""COMPUTED_VALUE"""),"03Mar")</f>
        <v>03Mar</v>
      </c>
      <c r="F187" s="10" t="str">
        <f>IFERROR(__xludf.DUMMYFUNCTION("""COMPUTED_VALUE"""),"2023")</f>
        <v>2023</v>
      </c>
      <c r="G187" s="16" t="str">
        <f>IFERROR(__xludf.DUMMYFUNCTION("""COMPUTED_VALUE"""),"NADIA GADIS NAMIRA")</f>
        <v>NADIA GADIS NAMIRA</v>
      </c>
      <c r="H187" s="17" t="str">
        <f>IFERROR(__xludf.DUMMYFUNCTION("""COMPUTED_VALUE"""),"N0423037312")</f>
        <v>N0423037312</v>
      </c>
      <c r="I187" s="17">
        <f>IFERROR(__xludf.DUMMYFUNCTION("""COMPUTED_VALUE"""),22.0)</f>
        <v>22</v>
      </c>
      <c r="J187" s="17" t="str">
        <f>IFERROR(__xludf.DUMMYFUNCTION("""COMPUTED_VALUE"""),"18-24 tahun")</f>
        <v>18-24 tahun</v>
      </c>
      <c r="K187" s="19">
        <f>IFERROR(__xludf.DUMMYFUNCTION("""COMPUTED_VALUE"""),38017.0)</f>
        <v>38017</v>
      </c>
      <c r="L187" s="19" t="str">
        <f>IFERROR(__xludf.DUMMYFUNCTION("""COMPUTED_VALUE"""),"PEREMPUAN")</f>
        <v>PEREMPUAN</v>
      </c>
      <c r="M187" s="16" t="str">
        <f>IFERROR(__xludf.DUMMYFUNCTION("""COMPUTED_VALUE"""),"JL KRET KOMP SURYA KECANA NO 22 BLOK H")</f>
        <v>JL KRET KOMP SURYA KECANA NO 22 BLOK H</v>
      </c>
      <c r="N187" s="16"/>
      <c r="O187" s="16"/>
      <c r="P187" s="16"/>
      <c r="Q187" s="16"/>
      <c r="R187" s="19" t="str">
        <f>IFERROR(__xludf.DUMMYFUNCTION("""COMPUTED_VALUE"""),"ISLAM")</f>
        <v>ISLAM</v>
      </c>
      <c r="S187" s="16" t="str">
        <f>IFERROR(__xludf.DUMMYFUNCTION("""COMPUTED_VALUE"""),"PELAJAR/MAHASISWA")</f>
        <v>PELAJAR/MAHASISWA</v>
      </c>
      <c r="T187" s="16" t="str">
        <f>IFERROR(__xludf.DUMMYFUNCTION("""COMPUTED_VALUE"""),"BELL PALSY")</f>
        <v>BELL PALSY</v>
      </c>
      <c r="U187" s="16" t="str">
        <f>IFERROR(__xludf.DUMMYFUNCTION("""COMPUTED_VALUE"""),"-")</f>
        <v>-</v>
      </c>
      <c r="V187" s="21" t="str">
        <f>IFERROR(__xludf.DUMMYFUNCTION("""COMPUTED_VALUE"""),"089612257312")</f>
        <v>089612257312</v>
      </c>
      <c r="W187" s="22"/>
    </row>
    <row r="188" ht="22.5" customHeight="1">
      <c r="A188" s="8"/>
      <c r="B188" s="9">
        <f>IFERROR(__xludf.DUMMYFUNCTION("""COMPUTED_VALUE"""),44982.57271990741)</f>
        <v>44982.57272</v>
      </c>
      <c r="C188" s="9"/>
      <c r="D188" s="10">
        <f>IFERROR(__xludf.DUMMYFUNCTION("""COMPUTED_VALUE"""),44987.0)</f>
        <v>44987</v>
      </c>
      <c r="E188" s="10" t="str">
        <f>IFERROR(__xludf.DUMMYFUNCTION("""COMPUTED_VALUE"""),"03Mar")</f>
        <v>03Mar</v>
      </c>
      <c r="F188" s="10" t="str">
        <f>IFERROR(__xludf.DUMMYFUNCTION("""COMPUTED_VALUE"""),"2023")</f>
        <v>2023</v>
      </c>
      <c r="G188" s="16" t="str">
        <f>IFERROR(__xludf.DUMMYFUNCTION("""COMPUTED_VALUE"""),"M ANDREAN")</f>
        <v>M ANDREAN</v>
      </c>
      <c r="H188" s="17" t="str">
        <f>IFERROR(__xludf.DUMMYFUNCTION("""COMPUTED_VALUE"""),"M9523038177")</f>
        <v>M9523038177</v>
      </c>
      <c r="I188" s="17">
        <f>IFERROR(__xludf.DUMMYFUNCTION("""COMPUTED_VALUE"""),30.0)</f>
        <v>30</v>
      </c>
      <c r="J188" s="17" t="str">
        <f>IFERROR(__xludf.DUMMYFUNCTION("""COMPUTED_VALUE"""),"25-34 tahun")</f>
        <v>25-34 tahun</v>
      </c>
      <c r="K188" s="19">
        <f>IFERROR(__xludf.DUMMYFUNCTION("""COMPUTED_VALUE"""),35048.0)</f>
        <v>35048</v>
      </c>
      <c r="L188" s="19" t="str">
        <f>IFERROR(__xludf.DUMMYFUNCTION("""COMPUTED_VALUE"""),"LAKI-LAKI")</f>
        <v>LAKI-LAKI</v>
      </c>
      <c r="M188" s="16" t="str">
        <f>IFERROR(__xludf.DUMMYFUNCTION("""COMPUTED_VALUE"""),"JL TANJUNG PULAU")</f>
        <v>JL TANJUNG PULAU</v>
      </c>
      <c r="N188" s="16"/>
      <c r="O188" s="16"/>
      <c r="P188" s="16"/>
      <c r="Q188" s="16"/>
      <c r="R188" s="19" t="str">
        <f>IFERROR(__xludf.DUMMYFUNCTION("""COMPUTED_VALUE"""),"ISLAM")</f>
        <v>ISLAM</v>
      </c>
      <c r="S188" s="16" t="str">
        <f>IFERROR(__xludf.DUMMYFUNCTION("""COMPUTED_VALUE"""),"TIDAK ADA")</f>
        <v>TIDAK ADA</v>
      </c>
      <c r="T188" s="16"/>
      <c r="U188" s="16" t="str">
        <f>IFERROR(__xludf.DUMMYFUNCTION("""COMPUTED_VALUE"""),"-")</f>
        <v>-</v>
      </c>
      <c r="V188" s="21" t="str">
        <f>IFERROR(__xludf.DUMMYFUNCTION("""COMPUTED_VALUE"""),"081347818177")</f>
        <v>081347818177</v>
      </c>
      <c r="W188" s="22"/>
    </row>
    <row r="189" ht="22.5" customHeight="1">
      <c r="A189" s="8"/>
      <c r="B189" s="9">
        <f>IFERROR(__xludf.DUMMYFUNCTION("""COMPUTED_VALUE"""),45010.60363346065)</f>
        <v>45010.60363</v>
      </c>
      <c r="C189" s="9"/>
      <c r="D189" s="10">
        <f>IFERROR(__xludf.DUMMYFUNCTION("""COMPUTED_VALUE"""),44989.0)</f>
        <v>44989</v>
      </c>
      <c r="E189" s="10" t="str">
        <f>IFERROR(__xludf.DUMMYFUNCTION("""COMPUTED_VALUE"""),"03Mar")</f>
        <v>03Mar</v>
      </c>
      <c r="F189" s="10" t="str">
        <f>IFERROR(__xludf.DUMMYFUNCTION("""COMPUTED_VALUE"""),"2023")</f>
        <v>2023</v>
      </c>
      <c r="G189" s="16" t="str">
        <f>IFERROR(__xludf.DUMMYFUNCTION("""COMPUTED_VALUE"""),"ANGLITU SUHARDIMAN PUTRA")</f>
        <v>ANGLITU SUHARDIMAN PUTRA</v>
      </c>
      <c r="H189" s="17" t="str">
        <f>IFERROR(__xludf.DUMMYFUNCTION("""COMPUTED_VALUE"""),"A0023033823")</f>
        <v>A0023033823</v>
      </c>
      <c r="I189" s="17">
        <f>IFERROR(__xludf.DUMMYFUNCTION("""COMPUTED_VALUE"""),26.0)</f>
        <v>26</v>
      </c>
      <c r="J189" s="17" t="str">
        <f>IFERROR(__xludf.DUMMYFUNCTION("""COMPUTED_VALUE"""),"25-34 tahun")</f>
        <v>25-34 tahun</v>
      </c>
      <c r="K189" s="19">
        <f>IFERROR(__xludf.DUMMYFUNCTION("""COMPUTED_VALUE"""),36603.0)</f>
        <v>36603</v>
      </c>
      <c r="L189" s="19" t="str">
        <f>IFERROR(__xludf.DUMMYFUNCTION("""COMPUTED_VALUE"""),"LAKI-LAKI")</f>
        <v>LAKI-LAKI</v>
      </c>
      <c r="M189" s="16" t="str">
        <f>IFERROR(__xludf.DUMMYFUNCTION("""COMPUTED_VALUE"""),"JL URAY BAWADI NO 7")</f>
        <v>JL URAY BAWADI NO 7</v>
      </c>
      <c r="N189" s="16"/>
      <c r="O189" s="16"/>
      <c r="P189" s="16"/>
      <c r="Q189" s="16"/>
      <c r="R189" s="19" t="str">
        <f>IFERROR(__xludf.DUMMYFUNCTION("""COMPUTED_VALUE"""),"ISLAM")</f>
        <v>ISLAM</v>
      </c>
      <c r="S189" s="16" t="str">
        <f>IFERROR(__xludf.DUMMYFUNCTION("""COMPUTED_VALUE"""),"WIRASWASTA")</f>
        <v>WIRASWASTA</v>
      </c>
      <c r="T189" s="16" t="str">
        <f>IFERROR(__xludf.DUMMYFUNCTION("""COMPUTED_VALUE"""),"LEHER")</f>
        <v>LEHER</v>
      </c>
      <c r="U189" s="16" t="str">
        <f>IFERROR(__xludf.DUMMYFUNCTION("""COMPUTED_VALUE"""),"-")</f>
        <v>-</v>
      </c>
      <c r="V189" s="21" t="str">
        <f>IFERROR(__xludf.DUMMYFUNCTION("""COMPUTED_VALUE"""),"0895702013823")</f>
        <v>0895702013823</v>
      </c>
      <c r="W189" s="22"/>
    </row>
    <row r="190" ht="22.5" customHeight="1">
      <c r="A190" s="32"/>
      <c r="B190" s="9">
        <f>IFERROR(__xludf.DUMMYFUNCTION("""COMPUTED_VALUE"""),45011.65192554398)</f>
        <v>45011.65193</v>
      </c>
      <c r="C190" s="9"/>
      <c r="D190" s="10">
        <f>IFERROR(__xludf.DUMMYFUNCTION("""COMPUTED_VALUE"""),44989.0)</f>
        <v>44989</v>
      </c>
      <c r="E190" s="10" t="str">
        <f>IFERROR(__xludf.DUMMYFUNCTION("""COMPUTED_VALUE"""),"03Mar")</f>
        <v>03Mar</v>
      </c>
      <c r="F190" s="10" t="str">
        <f>IFERROR(__xludf.DUMMYFUNCTION("""COMPUTED_VALUE"""),"2023")</f>
        <v>2023</v>
      </c>
      <c r="G190" s="16" t="str">
        <f>IFERROR(__xludf.DUMMYFUNCTION("""COMPUTED_VALUE"""),"DIYAH EKOWATI")</f>
        <v>DIYAH EKOWATI</v>
      </c>
      <c r="H190" s="17" t="str">
        <f>IFERROR(__xludf.DUMMYFUNCTION("""COMPUTED_VALUE"""),"D5723035189")</f>
        <v>D5723035189</v>
      </c>
      <c r="I190" s="17">
        <f>IFERROR(__xludf.DUMMYFUNCTION("""COMPUTED_VALUE"""),69.0)</f>
        <v>69</v>
      </c>
      <c r="J190" s="17" t="str">
        <f>IFERROR(__xludf.DUMMYFUNCTION("""COMPUTED_VALUE"""),"&gt; 44 tahun")</f>
        <v>&gt; 44 tahun</v>
      </c>
      <c r="K190" s="19">
        <f>IFERROR(__xludf.DUMMYFUNCTION("""COMPUTED_VALUE"""),20935.0)</f>
        <v>20935</v>
      </c>
      <c r="L190" s="19" t="str">
        <f>IFERROR(__xludf.DUMMYFUNCTION("""COMPUTED_VALUE"""),"PEREMPUAN")</f>
        <v>PEREMPUAN</v>
      </c>
      <c r="M190" s="16" t="str">
        <f>IFERROR(__xludf.DUMMYFUNCTION("""COMPUTED_VALUE"""),"JL. SEPAKAT UJUNG")</f>
        <v>JL. SEPAKAT UJUNG</v>
      </c>
      <c r="N190" s="16"/>
      <c r="O190" s="16"/>
      <c r="P190" s="16"/>
      <c r="Q190" s="16"/>
      <c r="R190" s="19" t="str">
        <f>IFERROR(__xludf.DUMMYFUNCTION("""COMPUTED_VALUE"""),"ISLAM")</f>
        <v>ISLAM</v>
      </c>
      <c r="S190" s="16" t="str">
        <f>IFERROR(__xludf.DUMMYFUNCTION("""COMPUTED_VALUE"""),"RUMAH TANGGA")</f>
        <v>RUMAH TANGGA</v>
      </c>
      <c r="T190" s="16" t="str">
        <f>IFERROR(__xludf.DUMMYFUNCTION("""COMPUTED_VALUE"""),"PINGGANG")</f>
        <v>PINGGANG</v>
      </c>
      <c r="U190" s="16" t="str">
        <f>IFERROR(__xludf.DUMMYFUNCTION("""COMPUTED_VALUE"""),"")</f>
        <v/>
      </c>
      <c r="V190" s="21" t="str">
        <f>IFERROR(__xludf.DUMMYFUNCTION("""COMPUTED_VALUE"""),"08152205189")</f>
        <v>08152205189</v>
      </c>
      <c r="W190" s="22"/>
    </row>
    <row r="191" ht="22.5" customHeight="1">
      <c r="A191" s="25"/>
      <c r="B191" s="26">
        <f>IFERROR(__xludf.DUMMYFUNCTION("""COMPUTED_VALUE"""),45011.64944325232)</f>
        <v>45011.64944</v>
      </c>
      <c r="C191" s="26"/>
      <c r="D191" s="10">
        <f>IFERROR(__xludf.DUMMYFUNCTION("""COMPUTED_VALUE"""),44989.0)</f>
        <v>44989</v>
      </c>
      <c r="E191" s="10" t="str">
        <f>IFERROR(__xludf.DUMMYFUNCTION("""COMPUTED_VALUE"""),"03Mar")</f>
        <v>03Mar</v>
      </c>
      <c r="F191" s="10" t="str">
        <f>IFERROR(__xludf.DUMMYFUNCTION("""COMPUTED_VALUE"""),"2023")</f>
        <v>2023</v>
      </c>
      <c r="G191" s="16" t="str">
        <f>IFERROR(__xludf.DUMMYFUNCTION("""COMPUTED_VALUE"""),"HENDRA WAHYUDI")</f>
        <v>HENDRA WAHYUDI</v>
      </c>
      <c r="H191" s="17" t="str">
        <f>IFERROR(__xludf.DUMMYFUNCTION("""COMPUTED_VALUE"""),"H9823032560")</f>
        <v>H9823032560</v>
      </c>
      <c r="I191" s="17">
        <f>IFERROR(__xludf.DUMMYFUNCTION("""COMPUTED_VALUE"""),27.0)</f>
        <v>27</v>
      </c>
      <c r="J191" s="17" t="str">
        <f>IFERROR(__xludf.DUMMYFUNCTION("""COMPUTED_VALUE"""),"25-34 tahun")</f>
        <v>25-34 tahun</v>
      </c>
      <c r="K191" s="19">
        <f>IFERROR(__xludf.DUMMYFUNCTION("""COMPUTED_VALUE"""),36151.0)</f>
        <v>36151</v>
      </c>
      <c r="L191" s="19" t="str">
        <f>IFERROR(__xludf.DUMMYFUNCTION("""COMPUTED_VALUE"""),"LAKI-LAKI")</f>
        <v>LAKI-LAKI</v>
      </c>
      <c r="M191" s="16" t="str">
        <f>IFERROR(__xludf.DUMMYFUNCTION("""COMPUTED_VALUE"""),"JL RAYA SUNGAI JAWI")</f>
        <v>JL RAYA SUNGAI JAWI</v>
      </c>
      <c r="N191" s="16"/>
      <c r="O191" s="16"/>
      <c r="P191" s="16"/>
      <c r="Q191" s="16"/>
      <c r="R191" s="19" t="str">
        <f>IFERROR(__xludf.DUMMYFUNCTION("""COMPUTED_VALUE"""),"ISLAM")</f>
        <v>ISLAM</v>
      </c>
      <c r="S191" s="16" t="str">
        <f>IFERROR(__xludf.DUMMYFUNCTION("""COMPUTED_VALUE"""),"TIDAK ADA")</f>
        <v>TIDAK ADA</v>
      </c>
      <c r="T191" s="16" t="str">
        <f>IFERROR(__xludf.DUMMYFUNCTION("""COMPUTED_VALUE"""),"PINGGANG - KAKI")</f>
        <v>PINGGANG - KAKI</v>
      </c>
      <c r="U191" s="16" t="str">
        <f>IFERROR(__xludf.DUMMYFUNCTION("""COMPUTED_VALUE"""),"-")</f>
        <v>-</v>
      </c>
      <c r="V191" s="21" t="str">
        <f>IFERROR(__xludf.DUMMYFUNCTION("""COMPUTED_VALUE"""),"085750412560")</f>
        <v>085750412560</v>
      </c>
      <c r="W191" s="27"/>
    </row>
    <row r="192" ht="22.5" customHeight="1">
      <c r="A192" s="23"/>
      <c r="B192" s="24">
        <f>IFERROR(__xludf.DUMMYFUNCTION("""COMPUTED_VALUE"""),45006.58677083333)</f>
        <v>45006.58677</v>
      </c>
      <c r="C192" s="24"/>
      <c r="D192" s="10">
        <f>IFERROR(__xludf.DUMMYFUNCTION("""COMPUTED_VALUE"""),44989.0)</f>
        <v>44989</v>
      </c>
      <c r="E192" s="10" t="str">
        <f>IFERROR(__xludf.DUMMYFUNCTION("""COMPUTED_VALUE"""),"03Mar")</f>
        <v>03Mar</v>
      </c>
      <c r="F192" s="10" t="str">
        <f>IFERROR(__xludf.DUMMYFUNCTION("""COMPUTED_VALUE"""),"2023")</f>
        <v>2023</v>
      </c>
      <c r="G192" s="16" t="str">
        <f>IFERROR(__xludf.DUMMYFUNCTION("""COMPUTED_VALUE"""),"KURNIASIH")</f>
        <v>KURNIASIH</v>
      </c>
      <c r="H192" s="17" t="str">
        <f>IFERROR(__xludf.DUMMYFUNCTION("""COMPUTED_VALUE"""),"K7923031679")</f>
        <v>K7923031679</v>
      </c>
      <c r="I192" s="17">
        <f>IFERROR(__xludf.DUMMYFUNCTION("""COMPUTED_VALUE"""),47.0)</f>
        <v>47</v>
      </c>
      <c r="J192" s="17" t="str">
        <f>IFERROR(__xludf.DUMMYFUNCTION("""COMPUTED_VALUE"""),"&gt; 44 tahun")</f>
        <v>&gt; 44 tahun</v>
      </c>
      <c r="K192" s="19">
        <f>IFERROR(__xludf.DUMMYFUNCTION("""COMPUTED_VALUE"""),28911.0)</f>
        <v>28911</v>
      </c>
      <c r="L192" s="19" t="str">
        <f>IFERROR(__xludf.DUMMYFUNCTION("""COMPUTED_VALUE"""),"PEREMPUAN")</f>
        <v>PEREMPUAN</v>
      </c>
      <c r="M192" s="16" t="str">
        <f>IFERROR(__xludf.DUMMYFUNCTION("""COMPUTED_VALUE"""),"JL HUSEIN HAMZAH VILA ARTHALAND NO E10")</f>
        <v>JL HUSEIN HAMZAH VILA ARTHALAND NO E10</v>
      </c>
      <c r="N192" s="16"/>
      <c r="O192" s="16"/>
      <c r="P192" s="16"/>
      <c r="Q192" s="16"/>
      <c r="R192" s="19" t="str">
        <f>IFERROR(__xludf.DUMMYFUNCTION("""COMPUTED_VALUE"""),"ISLAM")</f>
        <v>ISLAM</v>
      </c>
      <c r="S192" s="16" t="str">
        <f>IFERROR(__xludf.DUMMYFUNCTION("""COMPUTED_VALUE"""),"TIDAK ADA")</f>
        <v>TIDAK ADA</v>
      </c>
      <c r="T192" s="16" t="str">
        <f>IFERROR(__xludf.DUMMYFUNCTION("""COMPUTED_VALUE"""),"BELL PALSY")</f>
        <v>BELL PALSY</v>
      </c>
      <c r="U192" s="16" t="str">
        <f>IFERROR(__xludf.DUMMYFUNCTION("""COMPUTED_VALUE"""),"-")</f>
        <v>-</v>
      </c>
      <c r="V192" s="21" t="str">
        <f>IFERROR(__xludf.DUMMYFUNCTION("""COMPUTED_VALUE"""),"082352341679")</f>
        <v>082352341679</v>
      </c>
      <c r="W192" s="22"/>
    </row>
    <row r="193" ht="22.5" customHeight="1">
      <c r="A193" s="8"/>
      <c r="B193" s="9">
        <f>IFERROR(__xludf.DUMMYFUNCTION("""COMPUTED_VALUE"""),44983.46407407407)</f>
        <v>44983.46407</v>
      </c>
      <c r="C193" s="9"/>
      <c r="D193" s="10">
        <f>IFERROR(__xludf.DUMMYFUNCTION("""COMPUTED_VALUE"""),44989.0)</f>
        <v>44989</v>
      </c>
      <c r="E193" s="10" t="str">
        <f>IFERROR(__xludf.DUMMYFUNCTION("""COMPUTED_VALUE"""),"03Mar")</f>
        <v>03Mar</v>
      </c>
      <c r="F193" s="10" t="str">
        <f>IFERROR(__xludf.DUMMYFUNCTION("""COMPUTED_VALUE"""),"2023")</f>
        <v>2023</v>
      </c>
      <c r="G193" s="16" t="str">
        <f>IFERROR(__xludf.DUMMYFUNCTION("""COMPUTED_VALUE"""),"ZAINAL ARIFIN")</f>
        <v>ZAINAL ARIFIN</v>
      </c>
      <c r="H193" s="17" t="str">
        <f>IFERROR(__xludf.DUMMYFUNCTION("""COMPUTED_VALUE"""),"Z0723036045")</f>
        <v>Z0723036045</v>
      </c>
      <c r="I193" s="17">
        <f>IFERROR(__xludf.DUMMYFUNCTION("""COMPUTED_VALUE"""),19.0)</f>
        <v>19</v>
      </c>
      <c r="J193" s="17" t="str">
        <f>IFERROR(__xludf.DUMMYFUNCTION("""COMPUTED_VALUE"""),"18-24 tahun")</f>
        <v>18-24 tahun</v>
      </c>
      <c r="K193" s="19">
        <f>IFERROR(__xludf.DUMMYFUNCTION("""COMPUTED_VALUE"""),39213.0)</f>
        <v>39213</v>
      </c>
      <c r="L193" s="19" t="str">
        <f>IFERROR(__xludf.DUMMYFUNCTION("""COMPUTED_VALUE"""),"LAKI-LAKI")</f>
        <v>LAKI-LAKI</v>
      </c>
      <c r="M193" s="16" t="str">
        <f>IFERROR(__xludf.DUMMYFUNCTION("""COMPUTED_VALUE"""),"JL TANI MAKMUR GG SAMBAS N0-73")</f>
        <v>JL TANI MAKMUR GG SAMBAS N0-73</v>
      </c>
      <c r="N193" s="16"/>
      <c r="O193" s="16"/>
      <c r="P193" s="16"/>
      <c r="Q193" s="16"/>
      <c r="R193" s="19" t="str">
        <f>IFERROR(__xludf.DUMMYFUNCTION("""COMPUTED_VALUE"""),"ISLAM")</f>
        <v>ISLAM</v>
      </c>
      <c r="S193" s="16" t="str">
        <f>IFERROR(__xludf.DUMMYFUNCTION("""COMPUTED_VALUE"""),"PELAJAR/MAHASISWA")</f>
        <v>PELAJAR/MAHASISWA</v>
      </c>
      <c r="T193" s="16" t="str">
        <f>IFERROR(__xludf.DUMMYFUNCTION("""COMPUTED_VALUE"""),"BAHU, LENGAN")</f>
        <v>BAHU, LENGAN</v>
      </c>
      <c r="U193" s="16" t="str">
        <f>IFERROR(__xludf.DUMMYFUNCTION("""COMPUTED_VALUE"""),"-")</f>
        <v>-</v>
      </c>
      <c r="V193" s="21" t="str">
        <f>IFERROR(__xludf.DUMMYFUNCTION("""COMPUTED_VALUE"""),"081258946045")</f>
        <v>081258946045</v>
      </c>
      <c r="W193" s="22"/>
    </row>
    <row r="194" ht="22.5" customHeight="1">
      <c r="A194" s="23"/>
      <c r="B194" s="24">
        <f>IFERROR(__xludf.DUMMYFUNCTION("""COMPUTED_VALUE"""),45006.5949787037)</f>
        <v>45006.59498</v>
      </c>
      <c r="C194" s="24"/>
      <c r="D194" s="10">
        <f>IFERROR(__xludf.DUMMYFUNCTION("""COMPUTED_VALUE"""),44990.0)</f>
        <v>44990</v>
      </c>
      <c r="E194" s="10" t="str">
        <f>IFERROR(__xludf.DUMMYFUNCTION("""COMPUTED_VALUE"""),"03Mar")</f>
        <v>03Mar</v>
      </c>
      <c r="F194" s="10" t="str">
        <f>IFERROR(__xludf.DUMMYFUNCTION("""COMPUTED_VALUE"""),"2023")</f>
        <v>2023</v>
      </c>
      <c r="G194" s="16" t="str">
        <f>IFERROR(__xludf.DUMMYFUNCTION("""COMPUTED_VALUE"""),"DANNY GUNAWAN")</f>
        <v>DANNY GUNAWAN</v>
      </c>
      <c r="H194" s="17" t="str">
        <f>IFERROR(__xludf.DUMMYFUNCTION("""COMPUTED_VALUE"""),"D9123037717")</f>
        <v>D9123037717</v>
      </c>
      <c r="I194" s="17">
        <f>IFERROR(__xludf.DUMMYFUNCTION("""COMPUTED_VALUE"""),35.0)</f>
        <v>35</v>
      </c>
      <c r="J194" s="17" t="str">
        <f>IFERROR(__xludf.DUMMYFUNCTION("""COMPUTED_VALUE"""),"35-44 tahun")</f>
        <v>35-44 tahun</v>
      </c>
      <c r="K194" s="19">
        <f>IFERROR(__xludf.DUMMYFUNCTION("""COMPUTED_VALUE"""),33245.0)</f>
        <v>33245</v>
      </c>
      <c r="L194" s="19" t="str">
        <f>IFERROR(__xludf.DUMMYFUNCTION("""COMPUTED_VALUE"""),"LAKI-LAKI")</f>
        <v>LAKI-LAKI</v>
      </c>
      <c r="M194" s="16" t="str">
        <f>IFERROR(__xludf.DUMMYFUNCTION("""COMPUTED_VALUE"""),"JL. TANJUNG PURA GG.")</f>
        <v>JL. TANJUNG PURA GG.</v>
      </c>
      <c r="N194" s="16"/>
      <c r="O194" s="16"/>
      <c r="P194" s="16"/>
      <c r="Q194" s="16"/>
      <c r="R194" s="19" t="str">
        <f>IFERROR(__xludf.DUMMYFUNCTION("""COMPUTED_VALUE"""),"TIDAK ADA")</f>
        <v>TIDAK ADA</v>
      </c>
      <c r="S194" s="16" t="str">
        <f>IFERROR(__xludf.DUMMYFUNCTION("""COMPUTED_VALUE"""),"SWASTA")</f>
        <v>SWASTA</v>
      </c>
      <c r="T194" s="16" t="str">
        <f>IFERROR(__xludf.DUMMYFUNCTION("""COMPUTED_VALUE"""),"PINGGANG")</f>
        <v>PINGGANG</v>
      </c>
      <c r="U194" s="16" t="str">
        <f>IFERROR(__xludf.DUMMYFUNCTION("""COMPUTED_VALUE"""),"")</f>
        <v/>
      </c>
      <c r="V194" s="21" t="str">
        <f>IFERROR(__xludf.DUMMYFUNCTION("""COMPUTED_VALUE"""),"085245777717")</f>
        <v>085245777717</v>
      </c>
      <c r="W194" s="22"/>
    </row>
    <row r="195" ht="22.5" customHeight="1">
      <c r="A195" s="8"/>
      <c r="B195" s="9">
        <f>IFERROR(__xludf.DUMMYFUNCTION("""COMPUTED_VALUE"""),45010.60903740741)</f>
        <v>45010.60904</v>
      </c>
      <c r="C195" s="9"/>
      <c r="D195" s="10">
        <f>IFERROR(__xludf.DUMMYFUNCTION("""COMPUTED_VALUE"""),44990.0)</f>
        <v>44990</v>
      </c>
      <c r="E195" s="10" t="str">
        <f>IFERROR(__xludf.DUMMYFUNCTION("""COMPUTED_VALUE"""),"03Mar")</f>
        <v>03Mar</v>
      </c>
      <c r="F195" s="10" t="str">
        <f>IFERROR(__xludf.DUMMYFUNCTION("""COMPUTED_VALUE"""),"2023")</f>
        <v>2023</v>
      </c>
      <c r="G195" s="16" t="str">
        <f>IFERROR(__xludf.DUMMYFUNCTION("""COMPUTED_VALUE"""),"LUKMAN NAWAWI")</f>
        <v>LUKMAN NAWAWI</v>
      </c>
      <c r="H195" s="17" t="str">
        <f>IFERROR(__xludf.DUMMYFUNCTION("""COMPUTED_VALUE"""),"L4623032999")</f>
        <v>L4623032999</v>
      </c>
      <c r="I195" s="17">
        <f>IFERROR(__xludf.DUMMYFUNCTION("""COMPUTED_VALUE"""),80.0)</f>
        <v>80</v>
      </c>
      <c r="J195" s="17" t="str">
        <f>IFERROR(__xludf.DUMMYFUNCTION("""COMPUTED_VALUE"""),"&gt; 44 tahun")</f>
        <v>&gt; 44 tahun</v>
      </c>
      <c r="K195" s="19">
        <f>IFERROR(__xludf.DUMMYFUNCTION("""COMPUTED_VALUE"""),16866.0)</f>
        <v>16866</v>
      </c>
      <c r="L195" s="19" t="str">
        <f>IFERROR(__xludf.DUMMYFUNCTION("""COMPUTED_VALUE"""),"LAKI-LAKI")</f>
        <v>LAKI-LAKI</v>
      </c>
      <c r="M195" s="16" t="str">
        <f>IFERROR(__xludf.DUMMYFUNCTION("""COMPUTED_VALUE"""),"JL PURNAMA GG PURNAMA JAYA NO 57")</f>
        <v>JL PURNAMA GG PURNAMA JAYA NO 57</v>
      </c>
      <c r="N195" s="16"/>
      <c r="O195" s="16"/>
      <c r="P195" s="16"/>
      <c r="Q195" s="16"/>
      <c r="R195" s="19" t="str">
        <f>IFERROR(__xludf.DUMMYFUNCTION("""COMPUTED_VALUE"""),"ISLAM")</f>
        <v>ISLAM</v>
      </c>
      <c r="S195" s="16" t="str">
        <f>IFERROR(__xludf.DUMMYFUNCTION("""COMPUTED_VALUE"""),"PENSIUN")</f>
        <v>PENSIUN</v>
      </c>
      <c r="T195" s="16" t="str">
        <f>IFERROR(__xludf.DUMMYFUNCTION("""COMPUTED_VALUE"""),"STROKE")</f>
        <v>STROKE</v>
      </c>
      <c r="U195" s="16" t="str">
        <f>IFERROR(__xludf.DUMMYFUNCTION("""COMPUTED_VALUE"""),"-")</f>
        <v>-</v>
      </c>
      <c r="V195" s="21" t="str">
        <f>IFERROR(__xludf.DUMMYFUNCTION("""COMPUTED_VALUE"""),"082151152999")</f>
        <v>082151152999</v>
      </c>
      <c r="W195" s="22"/>
    </row>
    <row r="196" ht="22.5" customHeight="1">
      <c r="A196" s="25"/>
      <c r="B196" s="26">
        <f>IFERROR(__xludf.DUMMYFUNCTION("""COMPUTED_VALUE"""),44866.80071019676)</f>
        <v>44866.80071</v>
      </c>
      <c r="C196" s="26"/>
      <c r="D196" s="10">
        <f>IFERROR(__xludf.DUMMYFUNCTION("""COMPUTED_VALUE"""),44990.0)</f>
        <v>44990</v>
      </c>
      <c r="E196" s="10" t="str">
        <f>IFERROR(__xludf.DUMMYFUNCTION("""COMPUTED_VALUE"""),"03Mar")</f>
        <v>03Mar</v>
      </c>
      <c r="F196" s="10" t="str">
        <f>IFERROR(__xludf.DUMMYFUNCTION("""COMPUTED_VALUE"""),"2023")</f>
        <v>2023</v>
      </c>
      <c r="G196" s="16" t="str">
        <f>IFERROR(__xludf.DUMMYFUNCTION("""COMPUTED_VALUE"""),"MASTHUR THAHA")</f>
        <v>MASTHUR THAHA</v>
      </c>
      <c r="H196" s="17" t="str">
        <f>IFERROR(__xludf.DUMMYFUNCTION("""COMPUTED_VALUE"""),"M5223032487")</f>
        <v>M5223032487</v>
      </c>
      <c r="I196" s="17">
        <f>IFERROR(__xludf.DUMMYFUNCTION("""COMPUTED_VALUE"""),73.0)</f>
        <v>73</v>
      </c>
      <c r="J196" s="17" t="str">
        <f>IFERROR(__xludf.DUMMYFUNCTION("""COMPUTED_VALUE"""),"&gt; 44 tahun")</f>
        <v>&gt; 44 tahun</v>
      </c>
      <c r="K196" s="19">
        <f>IFERROR(__xludf.DUMMYFUNCTION("""COMPUTED_VALUE"""),19277.0)</f>
        <v>19277</v>
      </c>
      <c r="L196" s="19" t="str">
        <f>IFERROR(__xludf.DUMMYFUNCTION("""COMPUTED_VALUE"""),"LAKI-LAKI")</f>
        <v>LAKI-LAKI</v>
      </c>
      <c r="M196" s="16" t="str">
        <f>IFERROR(__xludf.DUMMYFUNCTION("""COMPUTED_VALUE"""),"JL. GUSTI HAMZAH KOMP. NAVIGASI NO.11")</f>
        <v>JL. GUSTI HAMZAH KOMP. NAVIGASI NO.11</v>
      </c>
      <c r="N196" s="16"/>
      <c r="O196" s="16"/>
      <c r="P196" s="16"/>
      <c r="Q196" s="16"/>
      <c r="R196" s="19" t="str">
        <f>IFERROR(__xludf.DUMMYFUNCTION("""COMPUTED_VALUE"""),"ISLAM")</f>
        <v>ISLAM</v>
      </c>
      <c r="S196" s="16" t="str">
        <f>IFERROR(__xludf.DUMMYFUNCTION("""COMPUTED_VALUE"""),"PENSIUN")</f>
        <v>PENSIUN</v>
      </c>
      <c r="T196" s="16" t="str">
        <f>IFERROR(__xludf.DUMMYFUNCTION("""COMPUTED_VALUE"""),"-")</f>
        <v>-</v>
      </c>
      <c r="U196" s="16" t="str">
        <f>IFERROR(__xludf.DUMMYFUNCTION("""COMPUTED_VALUE"""),"-")</f>
        <v>-</v>
      </c>
      <c r="V196" s="21" t="str">
        <f>IFERROR(__xludf.DUMMYFUNCTION("""COMPUTED_VALUE"""),"085245852487")</f>
        <v>085245852487</v>
      </c>
      <c r="W196" s="27"/>
    </row>
    <row r="197" ht="22.5" customHeight="1">
      <c r="A197" s="25"/>
      <c r="B197" s="26">
        <f>IFERROR(__xludf.DUMMYFUNCTION("""COMPUTED_VALUE"""),45011.64439133102)</f>
        <v>45011.64439</v>
      </c>
      <c r="C197" s="26"/>
      <c r="D197" s="10">
        <f>IFERROR(__xludf.DUMMYFUNCTION("""COMPUTED_VALUE"""),44990.0)</f>
        <v>44990</v>
      </c>
      <c r="E197" s="10" t="str">
        <f>IFERROR(__xludf.DUMMYFUNCTION("""COMPUTED_VALUE"""),"03Mar")</f>
        <v>03Mar</v>
      </c>
      <c r="F197" s="10" t="str">
        <f>IFERROR(__xludf.DUMMYFUNCTION("""COMPUTED_VALUE"""),"2023")</f>
        <v>2023</v>
      </c>
      <c r="G197" s="16" t="str">
        <f>IFERROR(__xludf.DUMMYFUNCTION("""COMPUTED_VALUE"""),"NABIL")</f>
        <v>NABIL</v>
      </c>
      <c r="H197" s="17" t="str">
        <f>IFERROR(__xludf.DUMMYFUNCTION("""COMPUTED_VALUE"""),"N0923031247")</f>
        <v>N0923031247</v>
      </c>
      <c r="I197" s="17">
        <f>IFERROR(__xludf.DUMMYFUNCTION("""COMPUTED_VALUE"""),17.0)</f>
        <v>17</v>
      </c>
      <c r="J197" s="17" t="str">
        <f>IFERROR(__xludf.DUMMYFUNCTION("""COMPUTED_VALUE"""),"&lt; 18 tahun")</f>
        <v>&lt; 18 tahun</v>
      </c>
      <c r="K197" s="19">
        <f>IFERROR(__xludf.DUMMYFUNCTION("""COMPUTED_VALUE"""),39823.0)</f>
        <v>39823</v>
      </c>
      <c r="L197" s="19" t="str">
        <f>IFERROR(__xludf.DUMMYFUNCTION("""COMPUTED_VALUE"""),"LAKI-LAKI")</f>
        <v>LAKI-LAKI</v>
      </c>
      <c r="M197" s="16" t="str">
        <f>IFERROR(__xludf.DUMMYFUNCTION("""COMPUTED_VALUE"""),"JL H RAIS A RAHMAN GG MURIA SUKA MAJU")</f>
        <v>JL H RAIS A RAHMAN GG MURIA SUKA MAJU</v>
      </c>
      <c r="N197" s="16"/>
      <c r="O197" s="16"/>
      <c r="P197" s="16"/>
      <c r="Q197" s="16"/>
      <c r="R197" s="19" t="str">
        <f>IFERROR(__xludf.DUMMYFUNCTION("""COMPUTED_VALUE"""),"ISLAM")</f>
        <v>ISLAM</v>
      </c>
      <c r="S197" s="16" t="str">
        <f>IFERROR(__xludf.DUMMYFUNCTION("""COMPUTED_VALUE"""),"PELAJAR/MAHASISWA")</f>
        <v>PELAJAR/MAHASISWA</v>
      </c>
      <c r="T197" s="16" t="str">
        <f>IFERROR(__xludf.DUMMYFUNCTION("""COMPUTED_VALUE"""),"KANAN")</f>
        <v>KANAN</v>
      </c>
      <c r="U197" s="16" t="str">
        <f>IFERROR(__xludf.DUMMYFUNCTION("""COMPUTED_VALUE"""),"-")</f>
        <v>-</v>
      </c>
      <c r="V197" s="21" t="str">
        <f>IFERROR(__xludf.DUMMYFUNCTION("""COMPUTED_VALUE"""),"08973271247")</f>
        <v>08973271247</v>
      </c>
      <c r="W197" s="27"/>
    </row>
    <row r="198" ht="22.5" customHeight="1">
      <c r="A198" s="8"/>
      <c r="B198" s="9">
        <f>IFERROR(__xludf.DUMMYFUNCTION("""COMPUTED_VALUE"""),44944.49769675926)</f>
        <v>44944.4977</v>
      </c>
      <c r="C198" s="9"/>
      <c r="D198" s="10">
        <f>IFERROR(__xludf.DUMMYFUNCTION("""COMPUTED_VALUE"""),44992.0)</f>
        <v>44992</v>
      </c>
      <c r="E198" s="10" t="str">
        <f>IFERROR(__xludf.DUMMYFUNCTION("""COMPUTED_VALUE"""),"03Mar")</f>
        <v>03Mar</v>
      </c>
      <c r="F198" s="10" t="str">
        <f>IFERROR(__xludf.DUMMYFUNCTION("""COMPUTED_VALUE"""),"2023")</f>
        <v>2023</v>
      </c>
      <c r="G198" s="16" t="str">
        <f>IFERROR(__xludf.DUMMYFUNCTION("""COMPUTED_VALUE"""),"EGA RAKITY")</f>
        <v>EGA RAKITY</v>
      </c>
      <c r="H198" s="17" t="str">
        <f>IFERROR(__xludf.DUMMYFUNCTION("""COMPUTED_VALUE"""),"E9023030499")</f>
        <v>E9023030499</v>
      </c>
      <c r="I198" s="17">
        <f>IFERROR(__xludf.DUMMYFUNCTION("""COMPUTED_VALUE"""),36.0)</f>
        <v>36</v>
      </c>
      <c r="J198" s="17" t="str">
        <f>IFERROR(__xludf.DUMMYFUNCTION("""COMPUTED_VALUE"""),"35-44 tahun")</f>
        <v>35-44 tahun</v>
      </c>
      <c r="K198" s="19">
        <f>IFERROR(__xludf.DUMMYFUNCTION("""COMPUTED_VALUE"""),32970.0)</f>
        <v>32970</v>
      </c>
      <c r="L198" s="19" t="str">
        <f>IFERROR(__xludf.DUMMYFUNCTION("""COMPUTED_VALUE"""),"LAKI-LAKI")</f>
        <v>LAKI-LAKI</v>
      </c>
      <c r="M198" s="16" t="str">
        <f>IFERROR(__xludf.DUMMYFUNCTION("""COMPUTED_VALUE"""),"JL KOMYOS SUDARSO NO 1A")</f>
        <v>JL KOMYOS SUDARSO NO 1A</v>
      </c>
      <c r="N198" s="16"/>
      <c r="O198" s="16"/>
      <c r="P198" s="16"/>
      <c r="Q198" s="16"/>
      <c r="R198" s="19" t="str">
        <f>IFERROR(__xludf.DUMMYFUNCTION("""COMPUTED_VALUE"""),"PROTESTAN")</f>
        <v>PROTESTAN</v>
      </c>
      <c r="S198" s="16" t="str">
        <f>IFERROR(__xludf.DUMMYFUNCTION("""COMPUTED_VALUE"""),"SWASTA")</f>
        <v>SWASTA</v>
      </c>
      <c r="T198" s="16"/>
      <c r="U198" s="16" t="str">
        <f>IFERROR(__xludf.DUMMYFUNCTION("""COMPUTED_VALUE"""),"-")</f>
        <v>-</v>
      </c>
      <c r="V198" s="21" t="str">
        <f>IFERROR(__xludf.DUMMYFUNCTION("""COMPUTED_VALUE"""),"08176580499")</f>
        <v>08176580499</v>
      </c>
      <c r="W198" s="22"/>
    </row>
    <row r="199" ht="22.5" customHeight="1">
      <c r="A199" s="25"/>
      <c r="B199" s="26">
        <f>IFERROR(__xludf.DUMMYFUNCTION("""COMPUTED_VALUE"""),44983.727685185186)</f>
        <v>44983.72769</v>
      </c>
      <c r="C199" s="26"/>
      <c r="D199" s="10">
        <f>IFERROR(__xludf.DUMMYFUNCTION("""COMPUTED_VALUE"""),44992.0)</f>
        <v>44992</v>
      </c>
      <c r="E199" s="10" t="str">
        <f>IFERROR(__xludf.DUMMYFUNCTION("""COMPUTED_VALUE"""),"03Mar")</f>
        <v>03Mar</v>
      </c>
      <c r="F199" s="10" t="str">
        <f>IFERROR(__xludf.DUMMYFUNCTION("""COMPUTED_VALUE"""),"2023")</f>
        <v>2023</v>
      </c>
      <c r="G199" s="16" t="str">
        <f>IFERROR(__xludf.DUMMYFUNCTION("""COMPUTED_VALUE"""),"MOH. FADHIL")</f>
        <v>MOH. FADHIL</v>
      </c>
      <c r="H199" s="17" t="str">
        <f>IFERROR(__xludf.DUMMYFUNCTION("""COMPUTED_VALUE"""),"M9123036025")</f>
        <v>M9123036025</v>
      </c>
      <c r="I199" s="17">
        <f>IFERROR(__xludf.DUMMYFUNCTION("""COMPUTED_VALUE"""),34.0)</f>
        <v>34</v>
      </c>
      <c r="J199" s="17" t="str">
        <f>IFERROR(__xludf.DUMMYFUNCTION("""COMPUTED_VALUE"""),"25-34 tahun")</f>
        <v>25-34 tahun</v>
      </c>
      <c r="K199" s="19">
        <f>IFERROR(__xludf.DUMMYFUNCTION("""COMPUTED_VALUE"""),33549.0)</f>
        <v>33549</v>
      </c>
      <c r="L199" s="19" t="str">
        <f>IFERROR(__xludf.DUMMYFUNCTION("""COMPUTED_VALUE"""),"LAKI-LAKI")</f>
        <v>LAKI-LAKI</v>
      </c>
      <c r="M199" s="16" t="str">
        <f>IFERROR(__xludf.DUMMYFUNCTION("""COMPUTED_VALUE"""),"JL SUKA MULIA GG SUKMA 18 A NO 1")</f>
        <v>JL SUKA MULIA GG SUKMA 18 A NO 1</v>
      </c>
      <c r="N199" s="16"/>
      <c r="O199" s="16"/>
      <c r="P199" s="16"/>
      <c r="Q199" s="16"/>
      <c r="R199" s="19" t="str">
        <f>IFERROR(__xludf.DUMMYFUNCTION("""COMPUTED_VALUE"""),"ISLAM")</f>
        <v>ISLAM</v>
      </c>
      <c r="S199" s="16" t="str">
        <f>IFERROR(__xludf.DUMMYFUNCTION("""COMPUTED_VALUE"""),"ASN")</f>
        <v>ASN</v>
      </c>
      <c r="T199" s="16" t="str">
        <f>IFERROR(__xludf.DUMMYFUNCTION("""COMPUTED_VALUE"""),"ANKLE")</f>
        <v>ANKLE</v>
      </c>
      <c r="U199" s="16" t="str">
        <f>IFERROR(__xludf.DUMMYFUNCTION("""COMPUTED_VALUE"""),"")</f>
        <v/>
      </c>
      <c r="V199" s="21" t="str">
        <f>IFERROR(__xludf.DUMMYFUNCTION("""COMPUTED_VALUE"""),"085255326025")</f>
        <v>085255326025</v>
      </c>
      <c r="W199" s="27"/>
    </row>
    <row r="200" ht="22.5" customHeight="1">
      <c r="A200" s="8"/>
      <c r="B200" s="9">
        <f>IFERROR(__xludf.DUMMYFUNCTION("""COMPUTED_VALUE"""),45011.64593917824)</f>
        <v>45011.64594</v>
      </c>
      <c r="C200" s="9"/>
      <c r="D200" s="10">
        <f>IFERROR(__xludf.DUMMYFUNCTION("""COMPUTED_VALUE"""),44993.0)</f>
        <v>44993</v>
      </c>
      <c r="E200" s="10" t="str">
        <f>IFERROR(__xludf.DUMMYFUNCTION("""COMPUTED_VALUE"""),"03Mar")</f>
        <v>03Mar</v>
      </c>
      <c r="F200" s="10" t="str">
        <f>IFERROR(__xludf.DUMMYFUNCTION("""COMPUTED_VALUE"""),"2023")</f>
        <v>2023</v>
      </c>
      <c r="G200" s="16" t="str">
        <f>IFERROR(__xludf.DUMMYFUNCTION("""COMPUTED_VALUE"""),"AHMADI BUSTAMI")</f>
        <v>AHMADI BUSTAMI</v>
      </c>
      <c r="H200" s="17" t="str">
        <f>IFERROR(__xludf.DUMMYFUNCTION("""COMPUTED_VALUE"""),"A6323033163")</f>
        <v>A6323033163</v>
      </c>
      <c r="I200" s="17">
        <f>IFERROR(__xludf.DUMMYFUNCTION("""COMPUTED_VALUE"""),62.0)</f>
        <v>62</v>
      </c>
      <c r="J200" s="17" t="str">
        <f>IFERROR(__xludf.DUMMYFUNCTION("""COMPUTED_VALUE"""),"&gt; 44 tahun")</f>
        <v>&gt; 44 tahun</v>
      </c>
      <c r="K200" s="19">
        <f>IFERROR(__xludf.DUMMYFUNCTION("""COMPUTED_VALUE"""),23294.0)</f>
        <v>23294</v>
      </c>
      <c r="L200" s="19" t="str">
        <f>IFERROR(__xludf.DUMMYFUNCTION("""COMPUTED_VALUE"""),"LAKI-LAKI")</f>
        <v>LAKI-LAKI</v>
      </c>
      <c r="M200" s="16" t="str">
        <f>IFERROR(__xludf.DUMMYFUNCTION("""COMPUTED_VALUE"""),"JL TABRANI AHMAD GG SERUMPUN INDAH NO 15")</f>
        <v>JL TABRANI AHMAD GG SERUMPUN INDAH NO 15</v>
      </c>
      <c r="N200" s="16"/>
      <c r="O200" s="16"/>
      <c r="P200" s="16"/>
      <c r="Q200" s="16"/>
      <c r="R200" s="19" t="str">
        <f>IFERROR(__xludf.DUMMYFUNCTION("""COMPUTED_VALUE"""),"ISLAM")</f>
        <v>ISLAM</v>
      </c>
      <c r="S200" s="16" t="str">
        <f>IFERROR(__xludf.DUMMYFUNCTION("""COMPUTED_VALUE"""),"PENSIUN")</f>
        <v>PENSIUN</v>
      </c>
      <c r="T200" s="16" t="str">
        <f>IFERROR(__xludf.DUMMYFUNCTION("""COMPUTED_VALUE"""),"PINGGANG")</f>
        <v>PINGGANG</v>
      </c>
      <c r="U200" s="16" t="str">
        <f>IFERROR(__xludf.DUMMYFUNCTION("""COMPUTED_VALUE"""),"-")</f>
        <v>-</v>
      </c>
      <c r="V200" s="21" t="str">
        <f>IFERROR(__xludf.DUMMYFUNCTION("""COMPUTED_VALUE"""),"081256163163")</f>
        <v>081256163163</v>
      </c>
      <c r="W200" s="22"/>
    </row>
    <row r="201" ht="22.5" customHeight="1">
      <c r="A201" s="28"/>
      <c r="B201" s="26">
        <f>IFERROR(__xludf.DUMMYFUNCTION("""COMPUTED_VALUE"""),44943.53228009259)</f>
        <v>44943.53228</v>
      </c>
      <c r="C201" s="26"/>
      <c r="D201" s="10">
        <f>IFERROR(__xludf.DUMMYFUNCTION("""COMPUTED_VALUE"""),44993.0)</f>
        <v>44993</v>
      </c>
      <c r="E201" s="10" t="str">
        <f>IFERROR(__xludf.DUMMYFUNCTION("""COMPUTED_VALUE"""),"03Mar")</f>
        <v>03Mar</v>
      </c>
      <c r="F201" s="10" t="str">
        <f>IFERROR(__xludf.DUMMYFUNCTION("""COMPUTED_VALUE"""),"2023")</f>
        <v>2023</v>
      </c>
      <c r="G201" s="16" t="str">
        <f>IFERROR(__xludf.DUMMYFUNCTION("""COMPUTED_VALUE"""),"RABITHAH")</f>
        <v>RABITHAH</v>
      </c>
      <c r="H201" s="17" t="str">
        <f>IFERROR(__xludf.DUMMYFUNCTION("""COMPUTED_VALUE"""),"R5923030468")</f>
        <v>R5923030468</v>
      </c>
      <c r="I201" s="17">
        <f>IFERROR(__xludf.DUMMYFUNCTION("""COMPUTED_VALUE"""),66.0)</f>
        <v>66</v>
      </c>
      <c r="J201" s="17" t="str">
        <f>IFERROR(__xludf.DUMMYFUNCTION("""COMPUTED_VALUE"""),"&gt; 44 tahun")</f>
        <v>&gt; 44 tahun</v>
      </c>
      <c r="K201" s="19">
        <f>IFERROR(__xludf.DUMMYFUNCTION("""COMPUTED_VALUE"""),21767.0)</f>
        <v>21767</v>
      </c>
      <c r="L201" s="19" t="str">
        <f>IFERROR(__xludf.DUMMYFUNCTION("""COMPUTED_VALUE"""),"PEREMPUAN")</f>
        <v>PEREMPUAN</v>
      </c>
      <c r="M201" s="16" t="str">
        <f>IFERROR(__xludf.DUMMYFUNCTION("""COMPUTED_VALUE"""),"JL MARTADUBATA GG PALA 1A NO 38")</f>
        <v>JL MARTADUBATA GG PALA 1A NO 38</v>
      </c>
      <c r="N201" s="16"/>
      <c r="O201" s="16"/>
      <c r="P201" s="16"/>
      <c r="Q201" s="16"/>
      <c r="R201" s="19" t="str">
        <f>IFERROR(__xludf.DUMMYFUNCTION("""COMPUTED_VALUE"""),"ISLAM")</f>
        <v>ISLAM</v>
      </c>
      <c r="S201" s="16" t="str">
        <f>IFERROR(__xludf.DUMMYFUNCTION("""COMPUTED_VALUE"""),"PENSIUN")</f>
        <v>PENSIUN</v>
      </c>
      <c r="T201" s="16" t="str">
        <f>IFERROR(__xludf.DUMMYFUNCTION("""COMPUTED_VALUE"""),"KAKI")</f>
        <v>KAKI</v>
      </c>
      <c r="U201" s="16" t="str">
        <f>IFERROR(__xludf.DUMMYFUNCTION("""COMPUTED_VALUE"""),"-")</f>
        <v>-</v>
      </c>
      <c r="V201" s="21" t="str">
        <f>IFERROR(__xludf.DUMMYFUNCTION("""COMPUTED_VALUE"""),"0812560468")</f>
        <v>0812560468</v>
      </c>
      <c r="W201" s="27"/>
    </row>
    <row r="202" ht="22.5" customHeight="1">
      <c r="A202" s="8"/>
      <c r="B202" s="9">
        <f>IFERROR(__xludf.DUMMYFUNCTION("""COMPUTED_VALUE"""),45010.493787245374)</f>
        <v>45010.49379</v>
      </c>
      <c r="C202" s="9"/>
      <c r="D202" s="10">
        <f>IFERROR(__xludf.DUMMYFUNCTION("""COMPUTED_VALUE"""),44994.0)</f>
        <v>44994</v>
      </c>
      <c r="E202" s="10" t="str">
        <f>IFERROR(__xludf.DUMMYFUNCTION("""COMPUTED_VALUE"""),"03Mar")</f>
        <v>03Mar</v>
      </c>
      <c r="F202" s="10" t="str">
        <f>IFERROR(__xludf.DUMMYFUNCTION("""COMPUTED_VALUE"""),"2023")</f>
        <v>2023</v>
      </c>
      <c r="G202" s="16" t="str">
        <f>IFERROR(__xludf.DUMMYFUNCTION("""COMPUTED_VALUE"""),"ANDREAS KADIM")</f>
        <v>ANDREAS KADIM</v>
      </c>
      <c r="H202" s="17" t="str">
        <f>IFERROR(__xludf.DUMMYFUNCTION("""COMPUTED_VALUE"""),"A7223038357")</f>
        <v>A7223038357</v>
      </c>
      <c r="I202" s="17">
        <f>IFERROR(__xludf.DUMMYFUNCTION("""COMPUTED_VALUE"""),54.0)</f>
        <v>54</v>
      </c>
      <c r="J202" s="17" t="str">
        <f>IFERROR(__xludf.DUMMYFUNCTION("""COMPUTED_VALUE"""),"&gt; 44 tahun")</f>
        <v>&gt; 44 tahun</v>
      </c>
      <c r="K202" s="19">
        <f>IFERROR(__xludf.DUMMYFUNCTION("""COMPUTED_VALUE"""),26346.0)</f>
        <v>26346</v>
      </c>
      <c r="L202" s="19" t="str">
        <f>IFERROR(__xludf.DUMMYFUNCTION("""COMPUTED_VALUE"""),"LAKI-LAKI")</f>
        <v>LAKI-LAKI</v>
      </c>
      <c r="M202" s="16" t="str">
        <f>IFERROR(__xludf.DUMMYFUNCTION("""COMPUTED_VALUE"""),"KETAPANG")</f>
        <v>KETAPANG</v>
      </c>
      <c r="N202" s="16"/>
      <c r="O202" s="16"/>
      <c r="P202" s="16"/>
      <c r="Q202" s="16"/>
      <c r="R202" s="19" t="str">
        <f>IFERROR(__xludf.DUMMYFUNCTION("""COMPUTED_VALUE"""),"KATOLIK")</f>
        <v>KATOLIK</v>
      </c>
      <c r="S202" s="16" t="str">
        <f>IFERROR(__xludf.DUMMYFUNCTION("""COMPUTED_VALUE"""),"PETANI")</f>
        <v>PETANI</v>
      </c>
      <c r="T202" s="16" t="str">
        <f>IFERROR(__xludf.DUMMYFUNCTION("""COMPUTED_VALUE"""),"KAKI DAN TANGAN KIRI")</f>
        <v>KAKI DAN TANGAN KIRI</v>
      </c>
      <c r="U202" s="16" t="str">
        <f>IFERROR(__xludf.DUMMYFUNCTION("""COMPUTED_VALUE"""),"-")</f>
        <v>-</v>
      </c>
      <c r="V202" s="21" t="str">
        <f>IFERROR(__xludf.DUMMYFUNCTION("""COMPUTED_VALUE"""),"085348088357")</f>
        <v>085348088357</v>
      </c>
      <c r="W202" s="22"/>
    </row>
    <row r="203" ht="22.5" customHeight="1">
      <c r="A203" s="8"/>
      <c r="B203" s="9">
        <f>IFERROR(__xludf.DUMMYFUNCTION("""COMPUTED_VALUE"""),44936.75168981482)</f>
        <v>44936.75169</v>
      </c>
      <c r="C203" s="9"/>
      <c r="D203" s="10">
        <f>IFERROR(__xludf.DUMMYFUNCTION("""COMPUTED_VALUE"""),44994.0)</f>
        <v>44994</v>
      </c>
      <c r="E203" s="10" t="str">
        <f>IFERROR(__xludf.DUMMYFUNCTION("""COMPUTED_VALUE"""),"03Mar")</f>
        <v>03Mar</v>
      </c>
      <c r="F203" s="10" t="str">
        <f>IFERROR(__xludf.DUMMYFUNCTION("""COMPUTED_VALUE"""),"2023")</f>
        <v>2023</v>
      </c>
      <c r="G203" s="16" t="str">
        <f>IFERROR(__xludf.DUMMYFUNCTION("""COMPUTED_VALUE"""),"DEWI HIDAYAH")</f>
        <v>DEWI HIDAYAH</v>
      </c>
      <c r="H203" s="17" t="str">
        <f>IFERROR(__xludf.DUMMYFUNCTION("""COMPUTED_VALUE"""),"D9023033274")</f>
        <v>D9023033274</v>
      </c>
      <c r="I203" s="17">
        <f>IFERROR(__xludf.DUMMYFUNCTION("""COMPUTED_VALUE"""),36.0)</f>
        <v>36</v>
      </c>
      <c r="J203" s="17" t="str">
        <f>IFERROR(__xludf.DUMMYFUNCTION("""COMPUTED_VALUE"""),"35-44 tahun")</f>
        <v>35-44 tahun</v>
      </c>
      <c r="K203" s="19">
        <f>IFERROR(__xludf.DUMMYFUNCTION("""COMPUTED_VALUE"""),32898.0)</f>
        <v>32898</v>
      </c>
      <c r="L203" s="19" t="str">
        <f>IFERROR(__xludf.DUMMYFUNCTION("""COMPUTED_VALUE"""),"PEREMPUAN")</f>
        <v>PEREMPUAN</v>
      </c>
      <c r="M203" s="16" t="str">
        <f>IFERROR(__xludf.DUMMYFUNCTION("""COMPUTED_VALUE"""),"JL DANAU SENTARUM GG RISLA")</f>
        <v>JL DANAU SENTARUM GG RISLA</v>
      </c>
      <c r="N203" s="16"/>
      <c r="O203" s="16"/>
      <c r="P203" s="16"/>
      <c r="Q203" s="16"/>
      <c r="R203" s="19" t="str">
        <f>IFERROR(__xludf.DUMMYFUNCTION("""COMPUTED_VALUE"""),"ISLAM")</f>
        <v>ISLAM</v>
      </c>
      <c r="S203" s="16" t="str">
        <f>IFERROR(__xludf.DUMMYFUNCTION("""COMPUTED_VALUE"""),"SWASTA")</f>
        <v>SWASTA</v>
      </c>
      <c r="T203" s="16" t="str">
        <f>IFERROR(__xludf.DUMMYFUNCTION("""COMPUTED_VALUE"""),"SKOLIOSIS")</f>
        <v>SKOLIOSIS</v>
      </c>
      <c r="U203" s="16" t="str">
        <f>IFERROR(__xludf.DUMMYFUNCTION("""COMPUTED_VALUE"""),"-")</f>
        <v>-</v>
      </c>
      <c r="V203" s="21" t="str">
        <f>IFERROR(__xludf.DUMMYFUNCTION("""COMPUTED_VALUE"""),"087815183274")</f>
        <v>087815183274</v>
      </c>
      <c r="W203" s="22"/>
    </row>
    <row r="204" ht="22.5" customHeight="1">
      <c r="A204" s="28"/>
      <c r="B204" s="9">
        <f>IFERROR(__xludf.DUMMYFUNCTION("""COMPUTED_VALUE"""),45006.85151275463)</f>
        <v>45006.85151</v>
      </c>
      <c r="C204" s="9"/>
      <c r="D204" s="10">
        <f>IFERROR(__xludf.DUMMYFUNCTION("""COMPUTED_VALUE"""),44994.0)</f>
        <v>44994</v>
      </c>
      <c r="E204" s="10" t="str">
        <f>IFERROR(__xludf.DUMMYFUNCTION("""COMPUTED_VALUE"""),"03Mar")</f>
        <v>03Mar</v>
      </c>
      <c r="F204" s="10" t="str">
        <f>IFERROR(__xludf.DUMMYFUNCTION("""COMPUTED_VALUE"""),"2023")</f>
        <v>2023</v>
      </c>
      <c r="G204" s="16" t="str">
        <f>IFERROR(__xludf.DUMMYFUNCTION("""COMPUTED_VALUE"""),"NAYLA SALSABILA")</f>
        <v>NAYLA SALSABILA</v>
      </c>
      <c r="H204" s="17" t="str">
        <f>IFERROR(__xludf.DUMMYFUNCTION("""COMPUTED_VALUE"""),"N0923037059")</f>
        <v>N0923037059</v>
      </c>
      <c r="I204" s="17">
        <f>IFERROR(__xludf.DUMMYFUNCTION("""COMPUTED_VALUE"""),16.0)</f>
        <v>16</v>
      </c>
      <c r="J204" s="17" t="str">
        <f>IFERROR(__xludf.DUMMYFUNCTION("""COMPUTED_VALUE"""),"&lt; 18 tahun")</f>
        <v>&lt; 18 tahun</v>
      </c>
      <c r="K204" s="19">
        <f>IFERROR(__xludf.DUMMYFUNCTION("""COMPUTED_VALUE"""),40008.0)</f>
        <v>40008</v>
      </c>
      <c r="L204" s="19" t="str">
        <f>IFERROR(__xludf.DUMMYFUNCTION("""COMPUTED_VALUE"""),"PEREMPUAN")</f>
        <v>PEREMPUAN</v>
      </c>
      <c r="M204" s="16" t="str">
        <f>IFERROR(__xludf.DUMMYFUNCTION("""COMPUTED_VALUE"""),"SANGGAU")</f>
        <v>SANGGAU</v>
      </c>
      <c r="N204" s="16"/>
      <c r="O204" s="16"/>
      <c r="P204" s="16"/>
      <c r="Q204" s="16"/>
      <c r="R204" s="19" t="str">
        <f>IFERROR(__xludf.DUMMYFUNCTION("""COMPUTED_VALUE"""),"ISLAM")</f>
        <v>ISLAM</v>
      </c>
      <c r="S204" s="16" t="str">
        <f>IFERROR(__xludf.DUMMYFUNCTION("""COMPUTED_VALUE"""),"PELAJAR/MAHASISWA")</f>
        <v>PELAJAR/MAHASISWA</v>
      </c>
      <c r="T204" s="16" t="str">
        <f>IFERROR(__xludf.DUMMYFUNCTION("""COMPUTED_VALUE"""),"SKOLIOSIS")</f>
        <v>SKOLIOSIS</v>
      </c>
      <c r="U204" s="16" t="str">
        <f>IFERROR(__xludf.DUMMYFUNCTION("""COMPUTED_VALUE"""),"-")</f>
        <v>-</v>
      </c>
      <c r="V204" s="21" t="str">
        <f>IFERROR(__xludf.DUMMYFUNCTION("""COMPUTED_VALUE"""),"081256757059")</f>
        <v>081256757059</v>
      </c>
      <c r="W204" s="22"/>
    </row>
    <row r="205" ht="22.5" customHeight="1">
      <c r="A205" s="8"/>
      <c r="B205" s="9">
        <f>IFERROR(__xludf.DUMMYFUNCTION("""COMPUTED_VALUE"""),45011.134287442124)</f>
        <v>45011.13429</v>
      </c>
      <c r="C205" s="9"/>
      <c r="D205" s="10">
        <f>IFERROR(__xludf.DUMMYFUNCTION("""COMPUTED_VALUE"""),44994.0)</f>
        <v>44994</v>
      </c>
      <c r="E205" s="10" t="str">
        <f>IFERROR(__xludf.DUMMYFUNCTION("""COMPUTED_VALUE"""),"03Mar")</f>
        <v>03Mar</v>
      </c>
      <c r="F205" s="10" t="str">
        <f>IFERROR(__xludf.DUMMYFUNCTION("""COMPUTED_VALUE"""),"2023")</f>
        <v>2023</v>
      </c>
      <c r="G205" s="16" t="str">
        <f>IFERROR(__xludf.DUMMYFUNCTION("""COMPUTED_VALUE"""),"RAYON RAHAGUNG")</f>
        <v>RAYON RAHAGUNG</v>
      </c>
      <c r="H205" s="17" t="str">
        <f>IFERROR(__xludf.DUMMYFUNCTION("""COMPUTED_VALUE"""),"R9723038234")</f>
        <v>R9723038234</v>
      </c>
      <c r="I205" s="17">
        <f>IFERROR(__xludf.DUMMYFUNCTION("""COMPUTED_VALUE"""),28.0)</f>
        <v>28</v>
      </c>
      <c r="J205" s="17" t="str">
        <f>IFERROR(__xludf.DUMMYFUNCTION("""COMPUTED_VALUE"""),"25-34 tahun")</f>
        <v>25-34 tahun</v>
      </c>
      <c r="K205" s="19">
        <f>IFERROR(__xludf.DUMMYFUNCTION("""COMPUTED_VALUE"""),35668.0)</f>
        <v>35668</v>
      </c>
      <c r="L205" s="19" t="str">
        <f>IFERROR(__xludf.DUMMYFUNCTION("""COMPUTED_VALUE"""),"LAKI-LAKI")</f>
        <v>LAKI-LAKI</v>
      </c>
      <c r="M205" s="16" t="str">
        <f>IFERROR(__xludf.DUMMYFUNCTION("""COMPUTED_VALUE"""),"JL. TANJUNG RAYA II GG. ABADI")</f>
        <v>JL. TANJUNG RAYA II GG. ABADI</v>
      </c>
      <c r="N205" s="16"/>
      <c r="O205" s="16"/>
      <c r="P205" s="16"/>
      <c r="Q205" s="16"/>
      <c r="R205" s="19" t="str">
        <f>IFERROR(__xludf.DUMMYFUNCTION("""COMPUTED_VALUE"""),"ISLAM")</f>
        <v>ISLAM</v>
      </c>
      <c r="S205" s="16" t="str">
        <f>IFERROR(__xludf.DUMMYFUNCTION("""COMPUTED_VALUE"""),"WIRASWASTA")</f>
        <v>WIRASWASTA</v>
      </c>
      <c r="T205" s="16" t="str">
        <f>IFERROR(__xludf.DUMMYFUNCTION("""COMPUTED_VALUE"""),"PUNGGUNG")</f>
        <v>PUNGGUNG</v>
      </c>
      <c r="U205" s="16" t="str">
        <f>IFERROR(__xludf.DUMMYFUNCTION("""COMPUTED_VALUE"""),"GYM")</f>
        <v>GYM</v>
      </c>
      <c r="V205" s="21" t="str">
        <f>IFERROR(__xludf.DUMMYFUNCTION("""COMPUTED_VALUE"""),"0898898234")</f>
        <v>0898898234</v>
      </c>
      <c r="W205" s="22"/>
    </row>
    <row r="206" ht="22.5" customHeight="1">
      <c r="A206" s="8"/>
      <c r="B206" s="9">
        <f>IFERROR(__xludf.DUMMYFUNCTION("""COMPUTED_VALUE"""),45011.08311261574)</f>
        <v>45011.08311</v>
      </c>
      <c r="C206" s="9"/>
      <c r="D206" s="10">
        <f>IFERROR(__xludf.DUMMYFUNCTION("""COMPUTED_VALUE"""),44996.0)</f>
        <v>44996</v>
      </c>
      <c r="E206" s="10" t="str">
        <f>IFERROR(__xludf.DUMMYFUNCTION("""COMPUTED_VALUE"""),"03Mar")</f>
        <v>03Mar</v>
      </c>
      <c r="F206" s="10" t="str">
        <f>IFERROR(__xludf.DUMMYFUNCTION("""COMPUTED_VALUE"""),"2023")</f>
        <v>2023</v>
      </c>
      <c r="G206" s="16" t="str">
        <f>IFERROR(__xludf.DUMMYFUNCTION("""COMPUTED_VALUE"""),"ARIF DAWAMI")</f>
        <v>ARIF DAWAMI</v>
      </c>
      <c r="H206" s="17" t="str">
        <f>IFERROR(__xludf.DUMMYFUNCTION("""COMPUTED_VALUE"""),"A9523038565")</f>
        <v>A9523038565</v>
      </c>
      <c r="I206" s="17">
        <f>IFERROR(__xludf.DUMMYFUNCTION("""COMPUTED_VALUE"""),31.0)</f>
        <v>31</v>
      </c>
      <c r="J206" s="17" t="str">
        <f>IFERROR(__xludf.DUMMYFUNCTION("""COMPUTED_VALUE"""),"25-34 tahun")</f>
        <v>25-34 tahun</v>
      </c>
      <c r="K206" s="19">
        <f>IFERROR(__xludf.DUMMYFUNCTION("""COMPUTED_VALUE"""),34711.0)</f>
        <v>34711</v>
      </c>
      <c r="L206" s="19" t="str">
        <f>IFERROR(__xludf.DUMMYFUNCTION("""COMPUTED_VALUE"""),"LAKI-LAKI")</f>
        <v>LAKI-LAKI</v>
      </c>
      <c r="M206" s="16" t="str">
        <f>IFERROR(__xludf.DUMMYFUNCTION("""COMPUTED_VALUE"""),"JL TANJUNG RAYA 2 GG 85")</f>
        <v>JL TANJUNG RAYA 2 GG 85</v>
      </c>
      <c r="N206" s="16"/>
      <c r="O206" s="16"/>
      <c r="P206" s="16"/>
      <c r="Q206" s="16"/>
      <c r="R206" s="19" t="str">
        <f>IFERROR(__xludf.DUMMYFUNCTION("""COMPUTED_VALUE"""),"ISLAM")</f>
        <v>ISLAM</v>
      </c>
      <c r="S206" s="16" t="str">
        <f>IFERROR(__xludf.DUMMYFUNCTION("""COMPUTED_VALUE"""),"ASN")</f>
        <v>ASN</v>
      </c>
      <c r="T206" s="16" t="str">
        <f>IFERROR(__xludf.DUMMYFUNCTION("""COMPUTED_VALUE"""),"PINGGANG")</f>
        <v>PINGGANG</v>
      </c>
      <c r="U206" s="16" t="str">
        <f>IFERROR(__xludf.DUMMYFUNCTION("""COMPUTED_VALUE"""),"-")</f>
        <v>-</v>
      </c>
      <c r="V206" s="21" t="str">
        <f>IFERROR(__xludf.DUMMYFUNCTION("""COMPUTED_VALUE"""),"08997488565")</f>
        <v>08997488565</v>
      </c>
      <c r="W206" s="22"/>
    </row>
    <row r="207" ht="22.5" customHeight="1">
      <c r="A207" s="25"/>
      <c r="B207" s="26">
        <f>IFERROR(__xludf.DUMMYFUNCTION("""COMPUTED_VALUE"""),45010.828307233794)</f>
        <v>45010.82831</v>
      </c>
      <c r="C207" s="26"/>
      <c r="D207" s="10">
        <f>IFERROR(__xludf.DUMMYFUNCTION("""COMPUTED_VALUE"""),44996.0)</f>
        <v>44996</v>
      </c>
      <c r="E207" s="10" t="str">
        <f>IFERROR(__xludf.DUMMYFUNCTION("""COMPUTED_VALUE"""),"03Mar")</f>
        <v>03Mar</v>
      </c>
      <c r="F207" s="10" t="str">
        <f>IFERROR(__xludf.DUMMYFUNCTION("""COMPUTED_VALUE"""),"2023")</f>
        <v>2023</v>
      </c>
      <c r="G207" s="16" t="str">
        <f>IFERROR(__xludf.DUMMYFUNCTION("""COMPUTED_VALUE"""),"M. RAFI PRIATNO")</f>
        <v>M. RAFI PRIATNO</v>
      </c>
      <c r="H207" s="17" t="str">
        <f>IFERROR(__xludf.DUMMYFUNCTION("""COMPUTED_VALUE"""),"M0623036403")</f>
        <v>M0623036403</v>
      </c>
      <c r="I207" s="17">
        <f>IFERROR(__xludf.DUMMYFUNCTION("""COMPUTED_VALUE"""),19.0)</f>
        <v>19</v>
      </c>
      <c r="J207" s="17" t="str">
        <f>IFERROR(__xludf.DUMMYFUNCTION("""COMPUTED_VALUE"""),"18-24 tahun")</f>
        <v>18-24 tahun</v>
      </c>
      <c r="K207" s="19">
        <f>IFERROR(__xludf.DUMMYFUNCTION("""COMPUTED_VALUE"""),38957.0)</f>
        <v>38957</v>
      </c>
      <c r="L207" s="19" t="str">
        <f>IFERROR(__xludf.DUMMYFUNCTION("""COMPUTED_VALUE"""),"LAKI-LAKI")</f>
        <v>LAKI-LAKI</v>
      </c>
      <c r="M207" s="16" t="str">
        <f>IFERROR(__xludf.DUMMYFUNCTION("""COMPUTED_VALUE"""),"JL BERKAT USAHA KOMP ANUGERAH LESSTARI")</f>
        <v>JL BERKAT USAHA KOMP ANUGERAH LESSTARI</v>
      </c>
      <c r="N207" s="16"/>
      <c r="O207" s="16"/>
      <c r="P207" s="16"/>
      <c r="Q207" s="16"/>
      <c r="R207" s="19" t="str">
        <f>IFERROR(__xludf.DUMMYFUNCTION("""COMPUTED_VALUE"""),"ISLAM")</f>
        <v>ISLAM</v>
      </c>
      <c r="S207" s="16" t="str">
        <f>IFERROR(__xludf.DUMMYFUNCTION("""COMPUTED_VALUE"""),"PELAJAR/MAHASISWA")</f>
        <v>PELAJAR/MAHASISWA</v>
      </c>
      <c r="T207" s="16" t="str">
        <f>IFERROR(__xludf.DUMMYFUNCTION("""COMPUTED_VALUE"""),"POSTUR")</f>
        <v>POSTUR</v>
      </c>
      <c r="U207" s="16" t="str">
        <f>IFERROR(__xludf.DUMMYFUNCTION("""COMPUTED_VALUE"""),"-")</f>
        <v>-</v>
      </c>
      <c r="V207" s="21" t="str">
        <f>IFERROR(__xludf.DUMMYFUNCTION("""COMPUTED_VALUE"""),"087878736403")</f>
        <v>087878736403</v>
      </c>
      <c r="W207" s="27"/>
    </row>
    <row r="208" ht="22.5" customHeight="1">
      <c r="A208" s="8"/>
      <c r="B208" s="9">
        <f>IFERROR(__xludf.DUMMYFUNCTION("""COMPUTED_VALUE"""),45011.080032928236)</f>
        <v>45011.08003</v>
      </c>
      <c r="C208" s="9"/>
      <c r="D208" s="10">
        <f>IFERROR(__xludf.DUMMYFUNCTION("""COMPUTED_VALUE"""),44996.0)</f>
        <v>44996</v>
      </c>
      <c r="E208" s="10" t="str">
        <f>IFERROR(__xludf.DUMMYFUNCTION("""COMPUTED_VALUE"""),"03Mar")</f>
        <v>03Mar</v>
      </c>
      <c r="F208" s="10" t="str">
        <f>IFERROR(__xludf.DUMMYFUNCTION("""COMPUTED_VALUE"""),"2023")</f>
        <v>2023</v>
      </c>
      <c r="G208" s="16" t="str">
        <f>IFERROR(__xludf.DUMMYFUNCTION("""COMPUTED_VALUE"""),"RAUL RAMADHAN")</f>
        <v>RAUL RAMADHAN</v>
      </c>
      <c r="H208" s="17" t="str">
        <f>IFERROR(__xludf.DUMMYFUNCTION("""COMPUTED_VALUE"""),"R0023036712")</f>
        <v>R0023036712</v>
      </c>
      <c r="I208" s="17">
        <f>IFERROR(__xludf.DUMMYFUNCTION("""COMPUTED_VALUE"""),25.0)</f>
        <v>25</v>
      </c>
      <c r="J208" s="17" t="str">
        <f>IFERROR(__xludf.DUMMYFUNCTION("""COMPUTED_VALUE"""),"25-34 tahun")</f>
        <v>25-34 tahun</v>
      </c>
      <c r="K208" s="19">
        <f>IFERROR(__xludf.DUMMYFUNCTION("""COMPUTED_VALUE"""),36856.0)</f>
        <v>36856</v>
      </c>
      <c r="L208" s="19" t="str">
        <f>IFERROR(__xludf.DUMMYFUNCTION("""COMPUTED_VALUE"""),"LAKI-LAKI")</f>
        <v>LAKI-LAKI</v>
      </c>
      <c r="M208" s="16" t="str">
        <f>IFERROR(__xludf.DUMMYFUNCTION("""COMPUTED_VALUE"""),"JL. PERDANA KOMP. BALI AGUNG II BLOK J. NO. 3")</f>
        <v>JL. PERDANA KOMP. BALI AGUNG II BLOK J. NO. 3</v>
      </c>
      <c r="N208" s="16"/>
      <c r="O208" s="16"/>
      <c r="P208" s="16"/>
      <c r="Q208" s="16"/>
      <c r="R208" s="19" t="str">
        <f>IFERROR(__xludf.DUMMYFUNCTION("""COMPUTED_VALUE"""),"ISLAM")</f>
        <v>ISLAM</v>
      </c>
      <c r="S208" s="16" t="str">
        <f>IFERROR(__xludf.DUMMYFUNCTION("""COMPUTED_VALUE"""),"BARISTA")</f>
        <v>BARISTA</v>
      </c>
      <c r="T208" s="16" t="str">
        <f>IFERROR(__xludf.DUMMYFUNCTION("""COMPUTED_VALUE"""),"BAHU")</f>
        <v>BAHU</v>
      </c>
      <c r="U208" s="16" t="str">
        <f>IFERROR(__xludf.DUMMYFUNCTION("""COMPUTED_VALUE"""),"GYM")</f>
        <v>GYM</v>
      </c>
      <c r="V208" s="21" t="str">
        <f>IFERROR(__xludf.DUMMYFUNCTION("""COMPUTED_VALUE"""),"085754356712")</f>
        <v>085754356712</v>
      </c>
      <c r="W208" s="22"/>
    </row>
    <row r="209" ht="22.5" customHeight="1">
      <c r="A209" s="29"/>
      <c r="B209" s="30">
        <f>IFERROR(__xludf.DUMMYFUNCTION("""COMPUTED_VALUE"""),44952.85152777778)</f>
        <v>44952.85153</v>
      </c>
      <c r="C209" s="30"/>
      <c r="D209" s="10">
        <f>IFERROR(__xludf.DUMMYFUNCTION("""COMPUTED_VALUE"""),44996.0)</f>
        <v>44996</v>
      </c>
      <c r="E209" s="10" t="str">
        <f>IFERROR(__xludf.DUMMYFUNCTION("""COMPUTED_VALUE"""),"03Mar")</f>
        <v>03Mar</v>
      </c>
      <c r="F209" s="10" t="str">
        <f>IFERROR(__xludf.DUMMYFUNCTION("""COMPUTED_VALUE"""),"2023")</f>
        <v>2023</v>
      </c>
      <c r="G209" s="16" t="str">
        <f>IFERROR(__xludf.DUMMYFUNCTION("""COMPUTED_VALUE"""),"RICKI ANTONO BUDIMAN")</f>
        <v>RICKI ANTONO BUDIMAN</v>
      </c>
      <c r="H209" s="17" t="str">
        <f>IFERROR(__xludf.DUMMYFUNCTION("""COMPUTED_VALUE"""),"R9423032241")</f>
        <v>R9423032241</v>
      </c>
      <c r="I209" s="17">
        <f>IFERROR(__xludf.DUMMYFUNCTION("""COMPUTED_VALUE"""),32.0)</f>
        <v>32</v>
      </c>
      <c r="J209" s="17" t="str">
        <f>IFERROR(__xludf.DUMMYFUNCTION("""COMPUTED_VALUE"""),"25-34 tahun")</f>
        <v>25-34 tahun</v>
      </c>
      <c r="K209" s="19">
        <f>IFERROR(__xludf.DUMMYFUNCTION("""COMPUTED_VALUE"""),34485.0)</f>
        <v>34485</v>
      </c>
      <c r="L209" s="19" t="str">
        <f>IFERROR(__xludf.DUMMYFUNCTION("""COMPUTED_VALUE"""),"LAKI-LAKI")</f>
        <v>LAKI-LAKI</v>
      </c>
      <c r="M209" s="16" t="str">
        <f>IFERROR(__xludf.DUMMYFUNCTION("""COMPUTED_VALUE"""),"JL. ARTERI SUPADIO GG. NUR FADILAH NO 6")</f>
        <v>JL. ARTERI SUPADIO GG. NUR FADILAH NO 6</v>
      </c>
      <c r="N209" s="16"/>
      <c r="O209" s="16"/>
      <c r="P209" s="16"/>
      <c r="Q209" s="16"/>
      <c r="R209" s="19" t="str">
        <f>IFERROR(__xludf.DUMMYFUNCTION("""COMPUTED_VALUE"""),"ISLAM")</f>
        <v>ISLAM</v>
      </c>
      <c r="S209" s="16" t="str">
        <f>IFERROR(__xludf.DUMMYFUNCTION("""COMPUTED_VALUE"""),"BUMN")</f>
        <v>BUMN</v>
      </c>
      <c r="T209" s="16" t="str">
        <f>IFERROR(__xludf.DUMMYFUNCTION("""COMPUTED_VALUE"""),"")</f>
        <v/>
      </c>
      <c r="U209" s="16" t="str">
        <f>IFERROR(__xludf.DUMMYFUNCTION("""COMPUTED_VALUE"""),"")</f>
        <v/>
      </c>
      <c r="V209" s="21" t="str">
        <f>IFERROR(__xludf.DUMMYFUNCTION("""COMPUTED_VALUE"""),"089675662241")</f>
        <v>089675662241</v>
      </c>
      <c r="W209" s="31"/>
    </row>
    <row r="210" ht="22.5" customHeight="1">
      <c r="A210" s="25"/>
      <c r="B210" s="26">
        <f>IFERROR(__xludf.DUMMYFUNCTION("""COMPUTED_VALUE"""),45010.59342980324)</f>
        <v>45010.59343</v>
      </c>
      <c r="C210" s="26"/>
      <c r="D210" s="10">
        <f>IFERROR(__xludf.DUMMYFUNCTION("""COMPUTED_VALUE"""),44996.0)</f>
        <v>44996</v>
      </c>
      <c r="E210" s="10" t="str">
        <f>IFERROR(__xludf.DUMMYFUNCTION("""COMPUTED_VALUE"""),"03Mar")</f>
        <v>03Mar</v>
      </c>
      <c r="F210" s="10" t="str">
        <f>IFERROR(__xludf.DUMMYFUNCTION("""COMPUTED_VALUE"""),"2023")</f>
        <v>2023</v>
      </c>
      <c r="G210" s="16" t="str">
        <f>IFERROR(__xludf.DUMMYFUNCTION("""COMPUTED_VALUE"""),"STEPANUS WILLY")</f>
        <v>STEPANUS WILLY</v>
      </c>
      <c r="H210" s="17" t="str">
        <f>IFERROR(__xludf.DUMMYFUNCTION("""COMPUTED_VALUE"""),"S0123033700")</f>
        <v>S0123033700</v>
      </c>
      <c r="I210" s="17">
        <f>IFERROR(__xludf.DUMMYFUNCTION("""COMPUTED_VALUE"""),24.0)</f>
        <v>24</v>
      </c>
      <c r="J210" s="17" t="str">
        <f>IFERROR(__xludf.DUMMYFUNCTION("""COMPUTED_VALUE"""),"18-24 tahun")</f>
        <v>18-24 tahun</v>
      </c>
      <c r="K210" s="19">
        <f>IFERROR(__xludf.DUMMYFUNCTION("""COMPUTED_VALUE"""),37155.0)</f>
        <v>37155</v>
      </c>
      <c r="L210" s="19" t="str">
        <f>IFERROR(__xludf.DUMMYFUNCTION("""COMPUTED_VALUE"""),"LAKI-LAKI")</f>
        <v>LAKI-LAKI</v>
      </c>
      <c r="M210" s="16" t="str">
        <f>IFERROR(__xludf.DUMMYFUNCTION("""COMPUTED_VALUE"""),"DUSUN NGADAN, DESA BANYING")</f>
        <v>DUSUN NGADAN, DESA BANYING</v>
      </c>
      <c r="N210" s="16"/>
      <c r="O210" s="16"/>
      <c r="P210" s="16"/>
      <c r="Q210" s="16"/>
      <c r="R210" s="19" t="str">
        <f>IFERROR(__xludf.DUMMYFUNCTION("""COMPUTED_VALUE"""),"KATOLIK")</f>
        <v>KATOLIK</v>
      </c>
      <c r="S210" s="16" t="str">
        <f>IFERROR(__xludf.DUMMYFUNCTION("""COMPUTED_VALUE"""),"TIDAK ADA")</f>
        <v>TIDAK ADA</v>
      </c>
      <c r="T210" s="16" t="str">
        <f>IFERROR(__xludf.DUMMYFUNCTION("""COMPUTED_VALUE"""),"SKOLIOSIS")</f>
        <v>SKOLIOSIS</v>
      </c>
      <c r="U210" s="16" t="str">
        <f>IFERROR(__xludf.DUMMYFUNCTION("""COMPUTED_VALUE"""),"MOTOR RACING")</f>
        <v>MOTOR RACING</v>
      </c>
      <c r="V210" s="21" t="str">
        <f>IFERROR(__xludf.DUMMYFUNCTION("""COMPUTED_VALUE"""),"089506313700")</f>
        <v>089506313700</v>
      </c>
      <c r="W210" s="27"/>
    </row>
    <row r="211" ht="22.5" customHeight="1">
      <c r="A211" s="28"/>
      <c r="B211" s="9">
        <f>IFERROR(__xludf.DUMMYFUNCTION("""COMPUTED_VALUE"""),44889.617800925924)</f>
        <v>44889.6178</v>
      </c>
      <c r="C211" s="9"/>
      <c r="D211" s="10">
        <f>IFERROR(__xludf.DUMMYFUNCTION("""COMPUTED_VALUE"""),44996.0)</f>
        <v>44996</v>
      </c>
      <c r="E211" s="10" t="str">
        <f>IFERROR(__xludf.DUMMYFUNCTION("""COMPUTED_VALUE"""),"03Mar")</f>
        <v>03Mar</v>
      </c>
      <c r="F211" s="10" t="str">
        <f>IFERROR(__xludf.DUMMYFUNCTION("""COMPUTED_VALUE"""),"2023")</f>
        <v>2023</v>
      </c>
      <c r="G211" s="16" t="str">
        <f>IFERROR(__xludf.DUMMYFUNCTION("""COMPUTED_VALUE"""),"SUMIATI 5405")</f>
        <v>SUMIATI 5405</v>
      </c>
      <c r="H211" s="17" t="str">
        <f>IFERROR(__xludf.DUMMYFUNCTION("""COMPUTED_VALUE"""),"S5423033777")</f>
        <v>S5423033777</v>
      </c>
      <c r="I211" s="17">
        <f>IFERROR(__xludf.DUMMYFUNCTION("""COMPUTED_VALUE"""),72.0)</f>
        <v>72</v>
      </c>
      <c r="J211" s="17" t="str">
        <f>IFERROR(__xludf.DUMMYFUNCTION("""COMPUTED_VALUE"""),"&gt; 44 tahun")</f>
        <v>&gt; 44 tahun</v>
      </c>
      <c r="K211" s="19">
        <f>IFERROR(__xludf.DUMMYFUNCTION("""COMPUTED_VALUE"""),19871.0)</f>
        <v>19871</v>
      </c>
      <c r="L211" s="19" t="str">
        <f>IFERROR(__xludf.DUMMYFUNCTION("""COMPUTED_VALUE"""),"PEREMPUAN")</f>
        <v>PEREMPUAN</v>
      </c>
      <c r="M211" s="16" t="str">
        <f>IFERROR(__xludf.DUMMYFUNCTION("""COMPUTED_VALUE"""),"JL. M. YAMIN")</f>
        <v>JL. M. YAMIN</v>
      </c>
      <c r="N211" s="16"/>
      <c r="O211" s="16"/>
      <c r="P211" s="16"/>
      <c r="Q211" s="16"/>
      <c r="R211" s="19" t="str">
        <f>IFERROR(__xludf.DUMMYFUNCTION("""COMPUTED_VALUE"""),"ISLAM")</f>
        <v>ISLAM</v>
      </c>
      <c r="S211" s="16" t="str">
        <f>IFERROR(__xludf.DUMMYFUNCTION("""COMPUTED_VALUE"""),"PENSIUN")</f>
        <v>PENSIUN</v>
      </c>
      <c r="T211" s="16" t="str">
        <f>IFERROR(__xludf.DUMMYFUNCTION("""COMPUTED_VALUE"""),"PINGGANG")</f>
        <v>PINGGANG</v>
      </c>
      <c r="U211" s="16" t="str">
        <f>IFERROR(__xludf.DUMMYFUNCTION("""COMPUTED_VALUE"""),"SHOLAT")</f>
        <v>SHOLAT</v>
      </c>
      <c r="V211" s="21" t="str">
        <f>IFERROR(__xludf.DUMMYFUNCTION("""COMPUTED_VALUE"""),"0895350393777")</f>
        <v>0895350393777</v>
      </c>
      <c r="W211" s="22"/>
    </row>
    <row r="212" ht="22.5" customHeight="1">
      <c r="A212" s="25"/>
      <c r="B212" s="26">
        <f>IFERROR(__xludf.DUMMYFUNCTION("""COMPUTED_VALUE"""),44917.435694444444)</f>
        <v>44917.43569</v>
      </c>
      <c r="C212" s="26"/>
      <c r="D212" s="10">
        <f>IFERROR(__xludf.DUMMYFUNCTION("""COMPUTED_VALUE"""),44996.0)</f>
        <v>44996</v>
      </c>
      <c r="E212" s="10" t="str">
        <f>IFERROR(__xludf.DUMMYFUNCTION("""COMPUTED_VALUE"""),"03Mar")</f>
        <v>03Mar</v>
      </c>
      <c r="F212" s="10" t="str">
        <f>IFERROR(__xludf.DUMMYFUNCTION("""COMPUTED_VALUE"""),"2023")</f>
        <v>2023</v>
      </c>
      <c r="G212" s="16" t="str">
        <f>IFERROR(__xludf.DUMMYFUNCTION("""COMPUTED_VALUE"""),"TARMINA")</f>
        <v>TARMINA</v>
      </c>
      <c r="H212" s="17" t="str">
        <f>IFERROR(__xludf.DUMMYFUNCTION("""COMPUTED_VALUE"""),"T5823036199")</f>
        <v>T5823036199</v>
      </c>
      <c r="I212" s="17">
        <f>IFERROR(__xludf.DUMMYFUNCTION("""COMPUTED_VALUE"""),67.0)</f>
        <v>67</v>
      </c>
      <c r="J212" s="17" t="str">
        <f>IFERROR(__xludf.DUMMYFUNCTION("""COMPUTED_VALUE"""),"&gt; 44 tahun")</f>
        <v>&gt; 44 tahun</v>
      </c>
      <c r="K212" s="19">
        <f>IFERROR(__xludf.DUMMYFUNCTION("""COMPUTED_VALUE"""),21452.0)</f>
        <v>21452</v>
      </c>
      <c r="L212" s="19" t="str">
        <f>IFERROR(__xludf.DUMMYFUNCTION("""COMPUTED_VALUE"""),"PEREMPUAN")</f>
        <v>PEREMPUAN</v>
      </c>
      <c r="M212" s="16" t="str">
        <f>IFERROR(__xludf.DUMMYFUNCTION("""COMPUTED_VALUE"""),"JL W. R SUPRATMAN NO B5")</f>
        <v>JL W. R SUPRATMAN NO B5</v>
      </c>
      <c r="N212" s="16"/>
      <c r="O212" s="16"/>
      <c r="P212" s="16"/>
      <c r="Q212" s="16"/>
      <c r="R212" s="19" t="str">
        <f>IFERROR(__xludf.DUMMYFUNCTION("""COMPUTED_VALUE"""),"KHONGHUCU")</f>
        <v>KHONGHUCU</v>
      </c>
      <c r="S212" s="16" t="str">
        <f>IFERROR(__xludf.DUMMYFUNCTION("""COMPUTED_VALUE"""),"RUMAH TANGGA")</f>
        <v>RUMAH TANGGA</v>
      </c>
      <c r="T212" s="16" t="str">
        <f>IFERROR(__xludf.DUMMYFUNCTION("""COMPUTED_VALUE"""),"KAKI")</f>
        <v>KAKI</v>
      </c>
      <c r="U212" s="16" t="str">
        <f>IFERROR(__xludf.DUMMYFUNCTION("""COMPUTED_VALUE"""),"-")</f>
        <v>-</v>
      </c>
      <c r="V212" s="11" t="str">
        <f>IFERROR(__xludf.DUMMYFUNCTION("""COMPUTED_VALUE"""),"08215556199")</f>
        <v>08215556199</v>
      </c>
      <c r="W212" s="33"/>
    </row>
    <row r="213" ht="22.5" customHeight="1">
      <c r="A213" s="8"/>
      <c r="B213" s="9">
        <f>IFERROR(__xludf.DUMMYFUNCTION("""COMPUTED_VALUE"""),45011.08160795139)</f>
        <v>45011.08161</v>
      </c>
      <c r="C213" s="9"/>
      <c r="D213" s="10">
        <f>IFERROR(__xludf.DUMMYFUNCTION("""COMPUTED_VALUE"""),44996.0)</f>
        <v>44996</v>
      </c>
      <c r="E213" s="10" t="str">
        <f>IFERROR(__xludf.DUMMYFUNCTION("""COMPUTED_VALUE"""),"03Mar")</f>
        <v>03Mar</v>
      </c>
      <c r="F213" s="10" t="str">
        <f>IFERROR(__xludf.DUMMYFUNCTION("""COMPUTED_VALUE"""),"2023")</f>
        <v>2023</v>
      </c>
      <c r="G213" s="16" t="str">
        <f>IFERROR(__xludf.DUMMYFUNCTION("""COMPUTED_VALUE"""),"SUMIATI 5505")</f>
        <v>SUMIATI 5505</v>
      </c>
      <c r="H213" s="17" t="str">
        <f>IFERROR(__xludf.DUMMYFUNCTION("""COMPUTED_VALUE"""),"S5523031475")</f>
        <v>S5523031475</v>
      </c>
      <c r="I213" s="17">
        <f>IFERROR(__xludf.DUMMYFUNCTION("""COMPUTED_VALUE"""),71.0)</f>
        <v>71</v>
      </c>
      <c r="J213" s="17" t="str">
        <f>IFERROR(__xludf.DUMMYFUNCTION("""COMPUTED_VALUE"""),"&gt; 44 tahun")</f>
        <v>&gt; 44 tahun</v>
      </c>
      <c r="K213" s="19">
        <f>IFERROR(__xludf.DUMMYFUNCTION("""COMPUTED_VALUE"""),20224.0)</f>
        <v>20224</v>
      </c>
      <c r="L213" s="19" t="str">
        <f>IFERROR(__xludf.DUMMYFUNCTION("""COMPUTED_VALUE"""),"PEREMPUAN")</f>
        <v>PEREMPUAN</v>
      </c>
      <c r="M213" s="16" t="str">
        <f>IFERROR(__xludf.DUMMYFUNCTION("""COMPUTED_VALUE"""),"DUSUN TAULADAN 3/1 PELIMPAAN KECAMATAN JAWAI KAB. SAMBAS")</f>
        <v>DUSUN TAULADAN 3/1 PELIMPAAN KECAMATAN JAWAI KAB. SAMBAS</v>
      </c>
      <c r="N213" s="16"/>
      <c r="O213" s="16"/>
      <c r="P213" s="16"/>
      <c r="Q213" s="16"/>
      <c r="R213" s="19" t="str">
        <f>IFERROR(__xludf.DUMMYFUNCTION("""COMPUTED_VALUE"""),"ISLAM")</f>
        <v>ISLAM</v>
      </c>
      <c r="S213" s="16" t="str">
        <f>IFERROR(__xludf.DUMMYFUNCTION("""COMPUTED_VALUE"""),"RUMAH TANGGA")</f>
        <v>RUMAH TANGGA</v>
      </c>
      <c r="T213" s="16" t="str">
        <f>IFERROR(__xludf.DUMMYFUNCTION("""COMPUTED_VALUE"""),"NYERI PUNGGUNG")</f>
        <v>NYERI PUNGGUNG</v>
      </c>
      <c r="U213" s="16" t="str">
        <f>IFERROR(__xludf.DUMMYFUNCTION("""COMPUTED_VALUE"""),"MERAJUT, BERCOCOK TANAM")</f>
        <v>MERAJUT, BERCOCOK TANAM</v>
      </c>
      <c r="V213" s="21" t="str">
        <f>IFERROR(__xludf.DUMMYFUNCTION("""COMPUTED_VALUE"""),"081256381475")</f>
        <v>081256381475</v>
      </c>
      <c r="W213" s="22"/>
    </row>
    <row r="214" ht="22.5" customHeight="1">
      <c r="A214" s="8"/>
      <c r="B214" s="9">
        <f>IFERROR(__xludf.DUMMYFUNCTION("""COMPUTED_VALUE"""),44945.70203703704)</f>
        <v>44945.70204</v>
      </c>
      <c r="C214" s="9"/>
      <c r="D214" s="10">
        <f>IFERROR(__xludf.DUMMYFUNCTION("""COMPUTED_VALUE"""),44997.0)</f>
        <v>44997</v>
      </c>
      <c r="E214" s="10" t="str">
        <f>IFERROR(__xludf.DUMMYFUNCTION("""COMPUTED_VALUE"""),"03Mar")</f>
        <v>03Mar</v>
      </c>
      <c r="F214" s="10" t="str">
        <f>IFERROR(__xludf.DUMMYFUNCTION("""COMPUTED_VALUE"""),"2023")</f>
        <v>2023</v>
      </c>
      <c r="G214" s="16" t="str">
        <f>IFERROR(__xludf.DUMMYFUNCTION("""COMPUTED_VALUE"""),"MAURA GEBI")</f>
        <v>MAURA GEBI</v>
      </c>
      <c r="H214" s="17" t="str">
        <f>IFERROR(__xludf.DUMMYFUNCTION("""COMPUTED_VALUE"""),"M9423033885")</f>
        <v>M9423033885</v>
      </c>
      <c r="I214" s="17">
        <f>IFERROR(__xludf.DUMMYFUNCTION("""COMPUTED_VALUE"""),32.0)</f>
        <v>32</v>
      </c>
      <c r="J214" s="17" t="str">
        <f>IFERROR(__xludf.DUMMYFUNCTION("""COMPUTED_VALUE"""),"25-34 tahun")</f>
        <v>25-34 tahun</v>
      </c>
      <c r="K214" s="19">
        <f>IFERROR(__xludf.DUMMYFUNCTION("""COMPUTED_VALUE"""),34389.0)</f>
        <v>34389</v>
      </c>
      <c r="L214" s="19" t="str">
        <f>IFERROR(__xludf.DUMMYFUNCTION("""COMPUTED_VALUE"""),"PEREMPUAN")</f>
        <v>PEREMPUAN</v>
      </c>
      <c r="M214" s="16" t="str">
        <f>IFERROR(__xludf.DUMMYFUNCTION("""COMPUTED_VALUE"""),"JL. SERDAM KOMPLEK GRIYA HUSADA")</f>
        <v>JL. SERDAM KOMPLEK GRIYA HUSADA</v>
      </c>
      <c r="N214" s="16"/>
      <c r="O214" s="16"/>
      <c r="P214" s="16"/>
      <c r="Q214" s="16"/>
      <c r="R214" s="19" t="str">
        <f>IFERROR(__xludf.DUMMYFUNCTION("""COMPUTED_VALUE"""),"ISLAM")</f>
        <v>ISLAM</v>
      </c>
      <c r="S214" s="16" t="str">
        <f>IFERROR(__xludf.DUMMYFUNCTION("""COMPUTED_VALUE"""),"SWASTA")</f>
        <v>SWASTA</v>
      </c>
      <c r="T214" s="16" t="str">
        <f>IFERROR(__xludf.DUMMYFUNCTION("""COMPUTED_VALUE"""),"PERGELANGAN TANGAN")</f>
        <v>PERGELANGAN TANGAN</v>
      </c>
      <c r="U214" s="16" t="str">
        <f>IFERROR(__xludf.DUMMYFUNCTION("""COMPUTED_VALUE"""),"-")</f>
        <v>-</v>
      </c>
      <c r="V214" s="21" t="str">
        <f>IFERROR(__xludf.DUMMYFUNCTION("""COMPUTED_VALUE"""),"089693843885")</f>
        <v>089693843885</v>
      </c>
      <c r="W214" s="22"/>
    </row>
    <row r="215" ht="22.5" customHeight="1">
      <c r="A215" s="25"/>
      <c r="B215" s="26">
        <f>IFERROR(__xludf.DUMMYFUNCTION("""COMPUTED_VALUE"""),45010.88102226851)</f>
        <v>45010.88102</v>
      </c>
      <c r="C215" s="26"/>
      <c r="D215" s="10">
        <f>IFERROR(__xludf.DUMMYFUNCTION("""COMPUTED_VALUE"""),44998.0)</f>
        <v>44998</v>
      </c>
      <c r="E215" s="10" t="str">
        <f>IFERROR(__xludf.DUMMYFUNCTION("""COMPUTED_VALUE"""),"03Mar")</f>
        <v>03Mar</v>
      </c>
      <c r="F215" s="10" t="str">
        <f>IFERROR(__xludf.DUMMYFUNCTION("""COMPUTED_VALUE"""),"2023")</f>
        <v>2023</v>
      </c>
      <c r="G215" s="16" t="str">
        <f>IFERROR(__xludf.DUMMYFUNCTION("""COMPUTED_VALUE"""),"EFFENDI")</f>
        <v>EFFENDI</v>
      </c>
      <c r="H215" s="17" t="str">
        <f>IFERROR(__xludf.DUMMYFUNCTION("""COMPUTED_VALUE"""),"E8423034868")</f>
        <v>E8423034868</v>
      </c>
      <c r="I215" s="17">
        <f>IFERROR(__xludf.DUMMYFUNCTION("""COMPUTED_VALUE"""),42.0)</f>
        <v>42</v>
      </c>
      <c r="J215" s="17" t="str">
        <f>IFERROR(__xludf.DUMMYFUNCTION("""COMPUTED_VALUE"""),"35-44 tahun")</f>
        <v>35-44 tahun</v>
      </c>
      <c r="K215" s="19">
        <f>IFERROR(__xludf.DUMMYFUNCTION("""COMPUTED_VALUE"""),30786.0)</f>
        <v>30786</v>
      </c>
      <c r="L215" s="19" t="str">
        <f>IFERROR(__xludf.DUMMYFUNCTION("""COMPUTED_VALUE"""),"LAKI-LAKI")</f>
        <v>LAKI-LAKI</v>
      </c>
      <c r="M215" s="16" t="str">
        <f>IFERROR(__xludf.DUMMYFUNCTION("""COMPUTED_VALUE"""),"SINTAN")</f>
        <v>SINTAN</v>
      </c>
      <c r="N215" s="16"/>
      <c r="O215" s="16"/>
      <c r="P215" s="16"/>
      <c r="Q215" s="16"/>
      <c r="R215" s="19" t="str">
        <f>IFERROR(__xludf.DUMMYFUNCTION("""COMPUTED_VALUE"""),"ISLAM")</f>
        <v>ISLAM</v>
      </c>
      <c r="S215" s="16" t="str">
        <f>IFERROR(__xludf.DUMMYFUNCTION("""COMPUTED_VALUE"""),"SWASTA")</f>
        <v>SWASTA</v>
      </c>
      <c r="T215" s="16"/>
      <c r="U215" s="16" t="str">
        <f>IFERROR(__xludf.DUMMYFUNCTION("""COMPUTED_VALUE"""),"-")</f>
        <v>-</v>
      </c>
      <c r="V215" s="21" t="str">
        <f>IFERROR(__xludf.DUMMYFUNCTION("""COMPUTED_VALUE"""),"081253654868")</f>
        <v>081253654868</v>
      </c>
      <c r="W215" s="27"/>
    </row>
    <row r="216" ht="22.5" customHeight="1">
      <c r="A216" s="23"/>
      <c r="B216" s="24">
        <f>IFERROR(__xludf.DUMMYFUNCTION("""COMPUTED_VALUE"""),45006.84583873843)</f>
        <v>45006.84584</v>
      </c>
      <c r="C216" s="24"/>
      <c r="D216" s="10">
        <f>IFERROR(__xludf.DUMMYFUNCTION("""COMPUTED_VALUE"""),44999.0)</f>
        <v>44999</v>
      </c>
      <c r="E216" s="10" t="str">
        <f>IFERROR(__xludf.DUMMYFUNCTION("""COMPUTED_VALUE"""),"03Mar")</f>
        <v>03Mar</v>
      </c>
      <c r="F216" s="10" t="str">
        <f>IFERROR(__xludf.DUMMYFUNCTION("""COMPUTED_VALUE"""),"2023")</f>
        <v>2023</v>
      </c>
      <c r="G216" s="16" t="str">
        <f>IFERROR(__xludf.DUMMYFUNCTION("""COMPUTED_VALUE"""),"FIKRI ALVARIZI")</f>
        <v>FIKRI ALVARIZI</v>
      </c>
      <c r="H216" s="17" t="str">
        <f>IFERROR(__xludf.DUMMYFUNCTION("""COMPUTED_VALUE"""),"F0523035300")</f>
        <v>F0523035300</v>
      </c>
      <c r="I216" s="17">
        <f>IFERROR(__xludf.DUMMYFUNCTION("""COMPUTED_VALUE"""),21.0)</f>
        <v>21</v>
      </c>
      <c r="J216" s="17" t="str">
        <f>IFERROR(__xludf.DUMMYFUNCTION("""COMPUTED_VALUE"""),"18-24 tahun")</f>
        <v>18-24 tahun</v>
      </c>
      <c r="K216" s="19">
        <f>IFERROR(__xludf.DUMMYFUNCTION("""COMPUTED_VALUE"""),38374.0)</f>
        <v>38374</v>
      </c>
      <c r="L216" s="19" t="str">
        <f>IFERROR(__xludf.DUMMYFUNCTION("""COMPUTED_VALUE"""),"LAKI-LAKI")</f>
        <v>LAKI-LAKI</v>
      </c>
      <c r="M216" s="16" t="str">
        <f>IFERROR(__xludf.DUMMYFUNCTION("""COMPUTED_VALUE"""),"JL. PROF M. YAMIN GG. ATLAS NO. 22A")</f>
        <v>JL. PROF M. YAMIN GG. ATLAS NO. 22A</v>
      </c>
      <c r="N216" s="16"/>
      <c r="O216" s="16"/>
      <c r="P216" s="16"/>
      <c r="Q216" s="16"/>
      <c r="R216" s="19" t="str">
        <f>IFERROR(__xludf.DUMMYFUNCTION("""COMPUTED_VALUE"""),"ISLAM")</f>
        <v>ISLAM</v>
      </c>
      <c r="S216" s="16" t="str">
        <f>IFERROR(__xludf.DUMMYFUNCTION("""COMPUTED_VALUE"""),"PELAJAR/MAHASISWA")</f>
        <v>PELAJAR/MAHASISWA</v>
      </c>
      <c r="T216" s="16" t="str">
        <f>IFERROR(__xludf.DUMMYFUNCTION("""COMPUTED_VALUE"""),"POSTUR")</f>
        <v>POSTUR</v>
      </c>
      <c r="U216" s="16" t="str">
        <f>IFERROR(__xludf.DUMMYFUNCTION("""COMPUTED_VALUE"""),"-")</f>
        <v>-</v>
      </c>
      <c r="V216" s="21" t="str">
        <f>IFERROR(__xludf.DUMMYFUNCTION("""COMPUTED_VALUE"""),"0895624635300")</f>
        <v>0895624635300</v>
      </c>
      <c r="W216" s="22"/>
    </row>
    <row r="217" ht="22.5" customHeight="1">
      <c r="A217" s="8"/>
      <c r="B217" s="9">
        <f>IFERROR(__xludf.DUMMYFUNCTION("""COMPUTED_VALUE"""),44952.804606481484)</f>
        <v>44952.80461</v>
      </c>
      <c r="C217" s="9"/>
      <c r="D217" s="10">
        <f>IFERROR(__xludf.DUMMYFUNCTION("""COMPUTED_VALUE"""),45000.0)</f>
        <v>45000</v>
      </c>
      <c r="E217" s="10" t="str">
        <f>IFERROR(__xludf.DUMMYFUNCTION("""COMPUTED_VALUE"""),"03Mar")</f>
        <v>03Mar</v>
      </c>
      <c r="F217" s="10" t="str">
        <f>IFERROR(__xludf.DUMMYFUNCTION("""COMPUTED_VALUE"""),"2023")</f>
        <v>2023</v>
      </c>
      <c r="G217" s="16" t="str">
        <f>IFERROR(__xludf.DUMMYFUNCTION("""COMPUTED_VALUE"""),"HAFIZHATUL FATHAN ABDULLAH")</f>
        <v>HAFIZHATUL FATHAN ABDULLAH</v>
      </c>
      <c r="H217" s="17" t="str">
        <f>IFERROR(__xludf.DUMMYFUNCTION("""COMPUTED_VALUE"""),"H1123038212")</f>
        <v>H1123038212</v>
      </c>
      <c r="I217" s="17">
        <f>IFERROR(__xludf.DUMMYFUNCTION("""COMPUTED_VALUE"""),14.0)</f>
        <v>14</v>
      </c>
      <c r="J217" s="17" t="str">
        <f>IFERROR(__xludf.DUMMYFUNCTION("""COMPUTED_VALUE"""),"&lt; 18 tahun")</f>
        <v>&lt; 18 tahun</v>
      </c>
      <c r="K217" s="19">
        <f>IFERROR(__xludf.DUMMYFUNCTION("""COMPUTED_VALUE"""),40886.0)</f>
        <v>40886</v>
      </c>
      <c r="L217" s="19" t="str">
        <f>IFERROR(__xludf.DUMMYFUNCTION("""COMPUTED_VALUE"""),"LAKI-LAKI")</f>
        <v>LAKI-LAKI</v>
      </c>
      <c r="M217" s="16" t="str">
        <f>IFERROR(__xludf.DUMMYFUNCTION("""COMPUTED_VALUE"""),"JL. DANAU SENTARUM GG BUDI MULIA NO. 25 PONTIANAK")</f>
        <v>JL. DANAU SENTARUM GG BUDI MULIA NO. 25 PONTIANAK</v>
      </c>
      <c r="N217" s="16"/>
      <c r="O217" s="16"/>
      <c r="P217" s="16"/>
      <c r="Q217" s="16"/>
      <c r="R217" s="19" t="str">
        <f>IFERROR(__xludf.DUMMYFUNCTION("""COMPUTED_VALUE"""),"ISLAM")</f>
        <v>ISLAM</v>
      </c>
      <c r="S217" s="16" t="str">
        <f>IFERROR(__xludf.DUMMYFUNCTION("""COMPUTED_VALUE"""),"PELAJAR/MAHASISWA")</f>
        <v>PELAJAR/MAHASISWA</v>
      </c>
      <c r="T217" s="16" t="str">
        <f>IFERROR(__xludf.DUMMYFUNCTION("""COMPUTED_VALUE"""),"")</f>
        <v/>
      </c>
      <c r="U217" s="16" t="str">
        <f>IFERROR(__xludf.DUMMYFUNCTION("""COMPUTED_VALUE"""),"")</f>
        <v/>
      </c>
      <c r="V217" s="21" t="str">
        <f>IFERROR(__xludf.DUMMYFUNCTION("""COMPUTED_VALUE"""),"085972528212")</f>
        <v>085972528212</v>
      </c>
      <c r="W217" s="22"/>
    </row>
    <row r="218" ht="22.5" customHeight="1">
      <c r="A218" s="8"/>
      <c r="B218" s="9">
        <f>IFERROR(__xludf.DUMMYFUNCTION("""COMPUTED_VALUE"""),44899.8364577662)</f>
        <v>44899.83646</v>
      </c>
      <c r="C218" s="9"/>
      <c r="D218" s="10">
        <f>IFERROR(__xludf.DUMMYFUNCTION("""COMPUTED_VALUE"""),45001.0)</f>
        <v>45001</v>
      </c>
      <c r="E218" s="10" t="str">
        <f>IFERROR(__xludf.DUMMYFUNCTION("""COMPUTED_VALUE"""),"03Mar")</f>
        <v>03Mar</v>
      </c>
      <c r="F218" s="10" t="str">
        <f>IFERROR(__xludf.DUMMYFUNCTION("""COMPUTED_VALUE"""),"2023")</f>
        <v>2023</v>
      </c>
      <c r="G218" s="16" t="str">
        <f>IFERROR(__xludf.DUMMYFUNCTION("""COMPUTED_VALUE"""),"JOSEPHINE DESSIE")</f>
        <v>JOSEPHINE DESSIE</v>
      </c>
      <c r="H218" s="17" t="str">
        <f>IFERROR(__xludf.DUMMYFUNCTION("""COMPUTED_VALUE"""),"J7523039975")</f>
        <v>J7523039975</v>
      </c>
      <c r="I218" s="17">
        <f>IFERROR(__xludf.DUMMYFUNCTION("""COMPUTED_VALUE"""),51.0)</f>
        <v>51</v>
      </c>
      <c r="J218" s="17" t="str">
        <f>IFERROR(__xludf.DUMMYFUNCTION("""COMPUTED_VALUE"""),"&gt; 44 tahun")</f>
        <v>&gt; 44 tahun</v>
      </c>
      <c r="K218" s="19">
        <f>IFERROR(__xludf.DUMMYFUNCTION("""COMPUTED_VALUE"""),27515.0)</f>
        <v>27515</v>
      </c>
      <c r="L218" s="19" t="str">
        <f>IFERROR(__xludf.DUMMYFUNCTION("""COMPUTED_VALUE"""),"PEREMPUAN")</f>
        <v>PEREMPUAN</v>
      </c>
      <c r="M218" s="16" t="str">
        <f>IFERROR(__xludf.DUMMYFUNCTION("""COMPUTED_VALUE"""),"JL. NATUNA NO. 117 KOTA BARU")</f>
        <v>JL. NATUNA NO. 117 KOTA BARU</v>
      </c>
      <c r="N218" s="16"/>
      <c r="O218" s="16"/>
      <c r="P218" s="16"/>
      <c r="Q218" s="16"/>
      <c r="R218" s="19" t="str">
        <f>IFERROR(__xludf.DUMMYFUNCTION("""COMPUTED_VALUE"""),"KATOLIK")</f>
        <v>KATOLIK</v>
      </c>
      <c r="S218" s="16" t="str">
        <f>IFERROR(__xludf.DUMMYFUNCTION("""COMPUTED_VALUE"""),"SWASTA")</f>
        <v>SWASTA</v>
      </c>
      <c r="T218" s="16" t="str">
        <f>IFERROR(__xludf.DUMMYFUNCTION("""COMPUTED_VALUE"""),"KIRI")</f>
        <v>KIRI</v>
      </c>
      <c r="U218" s="16" t="str">
        <f>IFERROR(__xludf.DUMMYFUNCTION("""COMPUTED_VALUE"""),"-")</f>
        <v>-</v>
      </c>
      <c r="V218" s="21" t="str">
        <f>IFERROR(__xludf.DUMMYFUNCTION("""COMPUTED_VALUE"""),"082150589975")</f>
        <v>082150589975</v>
      </c>
      <c r="W218" s="22"/>
    </row>
    <row r="219" ht="22.5" customHeight="1">
      <c r="A219" s="8"/>
      <c r="B219" s="9">
        <f>IFERROR(__xludf.DUMMYFUNCTION("""COMPUTED_VALUE"""),45011.175180185186)</f>
        <v>45011.17518</v>
      </c>
      <c r="C219" s="9"/>
      <c r="D219" s="10">
        <f>IFERROR(__xludf.DUMMYFUNCTION("""COMPUTED_VALUE"""),45001.0)</f>
        <v>45001</v>
      </c>
      <c r="E219" s="10" t="str">
        <f>IFERROR(__xludf.DUMMYFUNCTION("""COMPUTED_VALUE"""),"03Mar")</f>
        <v>03Mar</v>
      </c>
      <c r="F219" s="10" t="str">
        <f>IFERROR(__xludf.DUMMYFUNCTION("""COMPUTED_VALUE"""),"2023")</f>
        <v>2023</v>
      </c>
      <c r="G219" s="16" t="str">
        <f>IFERROR(__xludf.DUMMYFUNCTION("""COMPUTED_VALUE"""),"NUZULUDDIN")</f>
        <v>NUZULUDDIN</v>
      </c>
      <c r="H219" s="17" t="str">
        <f>IFERROR(__xludf.DUMMYFUNCTION("""COMPUTED_VALUE"""),"N9423037321")</f>
        <v>N9423037321</v>
      </c>
      <c r="I219" s="17">
        <f>IFERROR(__xludf.DUMMYFUNCTION("""COMPUTED_VALUE"""),32.0)</f>
        <v>32</v>
      </c>
      <c r="J219" s="17" t="str">
        <f>IFERROR(__xludf.DUMMYFUNCTION("""COMPUTED_VALUE"""),"25-34 tahun")</f>
        <v>25-34 tahun</v>
      </c>
      <c r="K219" s="19">
        <f>IFERROR(__xludf.DUMMYFUNCTION("""COMPUTED_VALUE"""),34460.0)</f>
        <v>34460</v>
      </c>
      <c r="L219" s="19" t="str">
        <f>IFERROR(__xludf.DUMMYFUNCTION("""COMPUTED_VALUE"""),"LAKI-LAKI")</f>
        <v>LAKI-LAKI</v>
      </c>
      <c r="M219" s="16" t="str">
        <f>IFERROR(__xludf.DUMMYFUNCTION("""COMPUTED_VALUE"""),"JL. PROF. M. YAMIN GG. KENCANA NO. 29")</f>
        <v>JL. PROF. M. YAMIN GG. KENCANA NO. 29</v>
      </c>
      <c r="N219" s="16"/>
      <c r="O219" s="16"/>
      <c r="P219" s="16"/>
      <c r="Q219" s="16"/>
      <c r="R219" s="19" t="str">
        <f>IFERROR(__xludf.DUMMYFUNCTION("""COMPUTED_VALUE"""),"ISLAM")</f>
        <v>ISLAM</v>
      </c>
      <c r="S219" s="16" t="str">
        <f>IFERROR(__xludf.DUMMYFUNCTION("""COMPUTED_VALUE"""),"PELAJAR/MAHASISWA")</f>
        <v>PELAJAR/MAHASISWA</v>
      </c>
      <c r="T219" s="16" t="str">
        <f>IFERROR(__xludf.DUMMYFUNCTION("""COMPUTED_VALUE"""),"PINGGANG")</f>
        <v>PINGGANG</v>
      </c>
      <c r="U219" s="16" t="str">
        <f>IFERROR(__xludf.DUMMYFUNCTION("""COMPUTED_VALUE"""),"-")</f>
        <v>-</v>
      </c>
      <c r="V219" s="21" t="str">
        <f>IFERROR(__xludf.DUMMYFUNCTION("""COMPUTED_VALUE"""),"085252027321")</f>
        <v>085252027321</v>
      </c>
      <c r="W219" s="22"/>
    </row>
    <row r="220" ht="22.5" customHeight="1">
      <c r="A220" s="23"/>
      <c r="B220" s="24">
        <f>IFERROR(__xludf.DUMMYFUNCTION("""COMPUTED_VALUE"""),45011.141362256945)</f>
        <v>45011.14136</v>
      </c>
      <c r="C220" s="24"/>
      <c r="D220" s="10">
        <f>IFERROR(__xludf.DUMMYFUNCTION("""COMPUTED_VALUE"""),45003.0)</f>
        <v>45003</v>
      </c>
      <c r="E220" s="10" t="str">
        <f>IFERROR(__xludf.DUMMYFUNCTION("""COMPUTED_VALUE"""),"03Mar")</f>
        <v>03Mar</v>
      </c>
      <c r="F220" s="10" t="str">
        <f>IFERROR(__xludf.DUMMYFUNCTION("""COMPUTED_VALUE"""),"2023")</f>
        <v>2023</v>
      </c>
      <c r="G220" s="16" t="str">
        <f>IFERROR(__xludf.DUMMYFUNCTION("""COMPUTED_VALUE"""),"JENSEN DARMALI")</f>
        <v>JENSEN DARMALI</v>
      </c>
      <c r="H220" s="17" t="str">
        <f>IFERROR(__xludf.DUMMYFUNCTION("""COMPUTED_VALUE"""),"J0023038051")</f>
        <v>J0023038051</v>
      </c>
      <c r="I220" s="17">
        <f>IFERROR(__xludf.DUMMYFUNCTION("""COMPUTED_VALUE"""),26.0)</f>
        <v>26</v>
      </c>
      <c r="J220" s="17" t="str">
        <f>IFERROR(__xludf.DUMMYFUNCTION("""COMPUTED_VALUE"""),"25-34 tahun")</f>
        <v>25-34 tahun</v>
      </c>
      <c r="K220" s="19">
        <f>IFERROR(__xludf.DUMMYFUNCTION("""COMPUTED_VALUE"""),36691.0)</f>
        <v>36691</v>
      </c>
      <c r="L220" s="19" t="str">
        <f>IFERROR(__xludf.DUMMYFUNCTION("""COMPUTED_VALUE"""),"LAKI-LAKI")</f>
        <v>LAKI-LAKI</v>
      </c>
      <c r="M220" s="16" t="str">
        <f>IFERROR(__xludf.DUMMYFUNCTION("""COMPUTED_VALUE"""),"JL HM SWIGNYO")</f>
        <v>JL HM SWIGNYO</v>
      </c>
      <c r="N220" s="16"/>
      <c r="O220" s="16"/>
      <c r="P220" s="16"/>
      <c r="Q220" s="16"/>
      <c r="R220" s="19" t="str">
        <f>IFERROR(__xludf.DUMMYFUNCTION("""COMPUTED_VALUE"""),"ISLAM")</f>
        <v>ISLAM</v>
      </c>
      <c r="S220" s="16" t="str">
        <f>IFERROR(__xludf.DUMMYFUNCTION("""COMPUTED_VALUE"""),"PELAJAR/MAHASISWA")</f>
        <v>PELAJAR/MAHASISWA</v>
      </c>
      <c r="T220" s="16"/>
      <c r="U220" s="16" t="str">
        <f>IFERROR(__xludf.DUMMYFUNCTION("""COMPUTED_VALUE"""),"-")</f>
        <v>-</v>
      </c>
      <c r="V220" s="21" t="str">
        <f>IFERROR(__xludf.DUMMYFUNCTION("""COMPUTED_VALUE"""),"085348558051")</f>
        <v>085348558051</v>
      </c>
      <c r="W220" s="22"/>
    </row>
    <row r="221" ht="22.5" customHeight="1">
      <c r="A221" s="8"/>
      <c r="B221" s="9">
        <f>IFERROR(__xludf.DUMMYFUNCTION("""COMPUTED_VALUE"""),45011.13292979167)</f>
        <v>45011.13293</v>
      </c>
      <c r="C221" s="9"/>
      <c r="D221" s="10">
        <f>IFERROR(__xludf.DUMMYFUNCTION("""COMPUTED_VALUE"""),45003.0)</f>
        <v>45003</v>
      </c>
      <c r="E221" s="10" t="str">
        <f>IFERROR(__xludf.DUMMYFUNCTION("""COMPUTED_VALUE"""),"03Mar")</f>
        <v>03Mar</v>
      </c>
      <c r="F221" s="10" t="str">
        <f>IFERROR(__xludf.DUMMYFUNCTION("""COMPUTED_VALUE"""),"2023")</f>
        <v>2023</v>
      </c>
      <c r="G221" s="16" t="str">
        <f>IFERROR(__xludf.DUMMYFUNCTION("""COMPUTED_VALUE"""),"SAPARUDIN")</f>
        <v>SAPARUDIN</v>
      </c>
      <c r="H221" s="17" t="str">
        <f>IFERROR(__xludf.DUMMYFUNCTION("""COMPUTED_VALUE"""),"S7623034000")</f>
        <v>S7623034000</v>
      </c>
      <c r="I221" s="17">
        <f>IFERROR(__xludf.DUMMYFUNCTION("""COMPUTED_VALUE"""),49.0)</f>
        <v>49</v>
      </c>
      <c r="J221" s="17" t="str">
        <f>IFERROR(__xludf.DUMMYFUNCTION("""COMPUTED_VALUE"""),"&gt; 44 tahun")</f>
        <v>&gt; 44 tahun</v>
      </c>
      <c r="K221" s="19">
        <f>IFERROR(__xludf.DUMMYFUNCTION("""COMPUTED_VALUE"""),28071.0)</f>
        <v>28071</v>
      </c>
      <c r="L221" s="19" t="str">
        <f>IFERROR(__xludf.DUMMYFUNCTION("""COMPUTED_VALUE"""),"LAKI-LAKI")</f>
        <v>LAKI-LAKI</v>
      </c>
      <c r="M221" s="16" t="str">
        <f>IFERROR(__xludf.DUMMYFUNCTION("""COMPUTED_VALUE"""),"KETAPANG")</f>
        <v>KETAPANG</v>
      </c>
      <c r="N221" s="16"/>
      <c r="O221" s="16"/>
      <c r="P221" s="16"/>
      <c r="Q221" s="16"/>
      <c r="R221" s="19" t="str">
        <f>IFERROR(__xludf.DUMMYFUNCTION("""COMPUTED_VALUE"""),"ISLAM")</f>
        <v>ISLAM</v>
      </c>
      <c r="S221" s="16" t="str">
        <f>IFERROR(__xludf.DUMMYFUNCTION("""COMPUTED_VALUE"""),"WIRASWASTA")</f>
        <v>WIRASWASTA</v>
      </c>
      <c r="T221" s="16" t="str">
        <f>IFERROR(__xludf.DUMMYFUNCTION("""COMPUTED_VALUE"""),"PINGGANG - KAKI")</f>
        <v>PINGGANG - KAKI</v>
      </c>
      <c r="U221" s="16" t="str">
        <f>IFERROR(__xludf.DUMMYFUNCTION("""COMPUTED_VALUE"""),"-")</f>
        <v>-</v>
      </c>
      <c r="V221" s="21" t="str">
        <f>IFERROR(__xludf.DUMMYFUNCTION("""COMPUTED_VALUE"""),"081352524000")</f>
        <v>081352524000</v>
      </c>
      <c r="W221" s="22"/>
    </row>
    <row r="222" ht="22.5" customHeight="1">
      <c r="A222" s="8"/>
      <c r="B222" s="9">
        <f>IFERROR(__xludf.DUMMYFUNCTION("""COMPUTED_VALUE"""),44689.44424305556)</f>
        <v>44689.44424</v>
      </c>
      <c r="C222" s="9"/>
      <c r="D222" s="10">
        <f>IFERROR(__xludf.DUMMYFUNCTION("""COMPUTED_VALUE"""),45003.0)</f>
        <v>45003</v>
      </c>
      <c r="E222" s="10" t="str">
        <f>IFERROR(__xludf.DUMMYFUNCTION("""COMPUTED_VALUE"""),"03Mar")</f>
        <v>03Mar</v>
      </c>
      <c r="F222" s="10" t="str">
        <f>IFERROR(__xludf.DUMMYFUNCTION("""COMPUTED_VALUE"""),"2023")</f>
        <v>2023</v>
      </c>
      <c r="G222" s="16" t="str">
        <f>IFERROR(__xludf.DUMMYFUNCTION("""COMPUTED_VALUE"""),"WIDYASTUTI")</f>
        <v>WIDYASTUTI</v>
      </c>
      <c r="H222" s="17" t="str">
        <f>IFERROR(__xludf.DUMMYFUNCTION("""COMPUTED_VALUE"""),"W4923032600")</f>
        <v>W4923032600</v>
      </c>
      <c r="I222" s="17">
        <f>IFERROR(__xludf.DUMMYFUNCTION("""COMPUTED_VALUE"""),76.0)</f>
        <v>76</v>
      </c>
      <c r="J222" s="17" t="str">
        <f>IFERROR(__xludf.DUMMYFUNCTION("""COMPUTED_VALUE"""),"&gt; 44 tahun")</f>
        <v>&gt; 44 tahun</v>
      </c>
      <c r="K222" s="19">
        <f>IFERROR(__xludf.DUMMYFUNCTION("""COMPUTED_VALUE"""),18107.0)</f>
        <v>18107</v>
      </c>
      <c r="L222" s="19" t="str">
        <f>IFERROR(__xludf.DUMMYFUNCTION("""COMPUTED_VALUE"""),"PEREMPUAN")</f>
        <v>PEREMPUAN</v>
      </c>
      <c r="M222" s="16" t="str">
        <f>IFERROR(__xludf.DUMMYFUNCTION("""COMPUTED_VALUE"""),"JL. TRUNOJOYO 16D")</f>
        <v>JL. TRUNOJOYO 16D</v>
      </c>
      <c r="N222" s="16"/>
      <c r="O222" s="16"/>
      <c r="P222" s="16"/>
      <c r="Q222" s="16"/>
      <c r="R222" s="19" t="str">
        <f>IFERROR(__xludf.DUMMYFUNCTION("""COMPUTED_VALUE"""),"ISLAM")</f>
        <v>ISLAM</v>
      </c>
      <c r="S222" s="16" t="str">
        <f>IFERROR(__xludf.DUMMYFUNCTION("""COMPUTED_VALUE"""),"PENSIUN")</f>
        <v>PENSIUN</v>
      </c>
      <c r="T222" s="16" t="str">
        <f>IFERROR(__xludf.DUMMYFUNCTION("""COMPUTED_VALUE"""),"KAKI KANAN DAN KIRI")</f>
        <v>KAKI KANAN DAN KIRI</v>
      </c>
      <c r="U222" s="16" t="str">
        <f>IFERROR(__xludf.DUMMYFUNCTION("""COMPUTED_VALUE"""),"-")</f>
        <v>-</v>
      </c>
      <c r="V222" s="21" t="str">
        <f>IFERROR(__xludf.DUMMYFUNCTION("""COMPUTED_VALUE"""),"085787092600")</f>
        <v>085787092600</v>
      </c>
      <c r="W222" s="22"/>
    </row>
    <row r="223" ht="22.5" customHeight="1">
      <c r="A223" s="8"/>
      <c r="B223" s="9">
        <f>IFERROR(__xludf.DUMMYFUNCTION("""COMPUTED_VALUE"""),45006.84960780093)</f>
        <v>45006.84961</v>
      </c>
      <c r="C223" s="9"/>
      <c r="D223" s="10">
        <f>IFERROR(__xludf.DUMMYFUNCTION("""COMPUTED_VALUE"""),45004.0)</f>
        <v>45004</v>
      </c>
      <c r="E223" s="10" t="str">
        <f>IFERROR(__xludf.DUMMYFUNCTION("""COMPUTED_VALUE"""),"03Mar")</f>
        <v>03Mar</v>
      </c>
      <c r="F223" s="10" t="str">
        <f>IFERROR(__xludf.DUMMYFUNCTION("""COMPUTED_VALUE"""),"2023")</f>
        <v>2023</v>
      </c>
      <c r="G223" s="16" t="str">
        <f>IFERROR(__xludf.DUMMYFUNCTION("""COMPUTED_VALUE"""),"DEWI INDAH HARJANTI")</f>
        <v>DEWI INDAH HARJANTI</v>
      </c>
      <c r="H223" s="17" t="str">
        <f>IFERROR(__xludf.DUMMYFUNCTION("""COMPUTED_VALUE"""),"D9323031027")</f>
        <v>D9323031027</v>
      </c>
      <c r="I223" s="17">
        <f>IFERROR(__xludf.DUMMYFUNCTION("""COMPUTED_VALUE"""),33.0)</f>
        <v>33</v>
      </c>
      <c r="J223" s="17" t="str">
        <f>IFERROR(__xludf.DUMMYFUNCTION("""COMPUTED_VALUE"""),"25-34 tahun")</f>
        <v>25-34 tahun</v>
      </c>
      <c r="K223" s="19">
        <f>IFERROR(__xludf.DUMMYFUNCTION("""COMPUTED_VALUE"""),33989.0)</f>
        <v>33989</v>
      </c>
      <c r="L223" s="19" t="str">
        <f>IFERROR(__xludf.DUMMYFUNCTION("""COMPUTED_VALUE"""),"PEREMPUAN")</f>
        <v>PEREMPUAN</v>
      </c>
      <c r="M223" s="16" t="str">
        <f>IFERROR(__xludf.DUMMYFUNCTION("""COMPUTED_VALUE"""),"PERUMAHAN ANISA RESEIDENCE NO A25")</f>
        <v>PERUMAHAN ANISA RESEIDENCE NO A25</v>
      </c>
      <c r="N223" s="16"/>
      <c r="O223" s="16"/>
      <c r="P223" s="16"/>
      <c r="Q223" s="16"/>
      <c r="R223" s="19" t="str">
        <f>IFERROR(__xludf.DUMMYFUNCTION("""COMPUTED_VALUE"""),"ISLAM")</f>
        <v>ISLAM</v>
      </c>
      <c r="S223" s="16" t="str">
        <f>IFERROR(__xludf.DUMMYFUNCTION("""COMPUTED_VALUE"""),"RUMAH TANGGA")</f>
        <v>RUMAH TANGGA</v>
      </c>
      <c r="T223" s="16" t="str">
        <f>IFERROR(__xludf.DUMMYFUNCTION("""COMPUTED_VALUE"""),"PUNDAK PUNGGUNG TANGAN PINGGANG")</f>
        <v>PUNDAK PUNGGUNG TANGAN PINGGANG</v>
      </c>
      <c r="U223" s="16" t="str">
        <f>IFERROR(__xludf.DUMMYFUNCTION("""COMPUTED_VALUE"""),"-")</f>
        <v>-</v>
      </c>
      <c r="V223" s="21" t="str">
        <f>IFERROR(__xludf.DUMMYFUNCTION("""COMPUTED_VALUE"""),"089537021027")</f>
        <v>089537021027</v>
      </c>
      <c r="W223" s="22"/>
    </row>
    <row r="224" ht="22.5" customHeight="1">
      <c r="A224" s="8"/>
      <c r="B224" s="9">
        <f>IFERROR(__xludf.DUMMYFUNCTION("""COMPUTED_VALUE"""),45010.67527731482)</f>
        <v>45010.67528</v>
      </c>
      <c r="C224" s="9"/>
      <c r="D224" s="10">
        <f>IFERROR(__xludf.DUMMYFUNCTION("""COMPUTED_VALUE"""),45004.0)</f>
        <v>45004</v>
      </c>
      <c r="E224" s="10" t="str">
        <f>IFERROR(__xludf.DUMMYFUNCTION("""COMPUTED_VALUE"""),"03Mar")</f>
        <v>03Mar</v>
      </c>
      <c r="F224" s="10" t="str">
        <f>IFERROR(__xludf.DUMMYFUNCTION("""COMPUTED_VALUE"""),"2023")</f>
        <v>2023</v>
      </c>
      <c r="G224" s="16" t="str">
        <f>IFERROR(__xludf.DUMMYFUNCTION("""COMPUTED_VALUE"""),"DIAN PURNAMAWATI")</f>
        <v>DIAN PURNAMAWATI</v>
      </c>
      <c r="H224" s="17" t="str">
        <f>IFERROR(__xludf.DUMMYFUNCTION("""COMPUTED_VALUE"""),"D8023032004")</f>
        <v>D8023032004</v>
      </c>
      <c r="I224" s="17">
        <f>IFERROR(__xludf.DUMMYFUNCTION("""COMPUTED_VALUE"""),46.0)</f>
        <v>46</v>
      </c>
      <c r="J224" s="17" t="str">
        <f>IFERROR(__xludf.DUMMYFUNCTION("""COMPUTED_VALUE"""),"&gt; 44 tahun")</f>
        <v>&gt; 44 tahun</v>
      </c>
      <c r="K224" s="19">
        <f>IFERROR(__xludf.DUMMYFUNCTION("""COMPUTED_VALUE"""),29349.0)</f>
        <v>29349</v>
      </c>
      <c r="L224" s="19" t="str">
        <f>IFERROR(__xludf.DUMMYFUNCTION("""COMPUTED_VALUE"""),"PEREMPUAN")</f>
        <v>PEREMPUAN</v>
      </c>
      <c r="M224" s="16" t="str">
        <f>IFERROR(__xludf.DUMMYFUNCTION("""COMPUTED_VALUE"""),"JL. ALIANYANG")</f>
        <v>JL. ALIANYANG</v>
      </c>
      <c r="N224" s="16"/>
      <c r="O224" s="16"/>
      <c r="P224" s="16"/>
      <c r="Q224" s="16"/>
      <c r="R224" s="19" t="str">
        <f>IFERROR(__xludf.DUMMYFUNCTION("""COMPUTED_VALUE"""),"ISLAM")</f>
        <v>ISLAM</v>
      </c>
      <c r="S224" s="16" t="str">
        <f>IFERROR(__xludf.DUMMYFUNCTION("""COMPUTED_VALUE"""),"BUMN")</f>
        <v>BUMN</v>
      </c>
      <c r="T224" s="16" t="str">
        <f>IFERROR(__xludf.DUMMYFUNCTION("""COMPUTED_VALUE"""),"TELAPAK TANGAN")</f>
        <v>TELAPAK TANGAN</v>
      </c>
      <c r="U224" s="16" t="str">
        <f>IFERROR(__xludf.DUMMYFUNCTION("""COMPUTED_VALUE"""),"-")</f>
        <v>-</v>
      </c>
      <c r="V224" s="21" t="str">
        <f>IFERROR(__xludf.DUMMYFUNCTION("""COMPUTED_VALUE"""),"081345402004")</f>
        <v>081345402004</v>
      </c>
      <c r="W224" s="22"/>
    </row>
    <row r="225" ht="22.5" customHeight="1">
      <c r="A225" s="8"/>
      <c r="B225" s="9">
        <f>IFERROR(__xludf.DUMMYFUNCTION("""COMPUTED_VALUE"""),45006.879902395835)</f>
        <v>45006.8799</v>
      </c>
      <c r="C225" s="9"/>
      <c r="D225" s="10">
        <f>IFERROR(__xludf.DUMMYFUNCTION("""COMPUTED_VALUE"""),45004.0)</f>
        <v>45004</v>
      </c>
      <c r="E225" s="10" t="str">
        <f>IFERROR(__xludf.DUMMYFUNCTION("""COMPUTED_VALUE"""),"03Mar")</f>
        <v>03Mar</v>
      </c>
      <c r="F225" s="10" t="str">
        <f>IFERROR(__xludf.DUMMYFUNCTION("""COMPUTED_VALUE"""),"2023")</f>
        <v>2023</v>
      </c>
      <c r="G225" s="16" t="str">
        <f>IFERROR(__xludf.DUMMYFUNCTION("""COMPUTED_VALUE"""),"DODY AZWAR")</f>
        <v>DODY AZWAR</v>
      </c>
      <c r="H225" s="17" t="str">
        <f>IFERROR(__xludf.DUMMYFUNCTION("""COMPUTED_VALUE"""),"D7923030314")</f>
        <v>D7923030314</v>
      </c>
      <c r="I225" s="17">
        <f>IFERROR(__xludf.DUMMYFUNCTION("""COMPUTED_VALUE"""),46.0)</f>
        <v>46</v>
      </c>
      <c r="J225" s="17" t="str">
        <f>IFERROR(__xludf.DUMMYFUNCTION("""COMPUTED_VALUE"""),"&gt; 44 tahun")</f>
        <v>&gt; 44 tahun</v>
      </c>
      <c r="K225" s="19">
        <f>IFERROR(__xludf.DUMMYFUNCTION("""COMPUTED_VALUE"""),29196.0)</f>
        <v>29196</v>
      </c>
      <c r="L225" s="19" t="str">
        <f>IFERROR(__xludf.DUMMYFUNCTION("""COMPUTED_VALUE"""),"LAKI-LAKI")</f>
        <v>LAKI-LAKI</v>
      </c>
      <c r="M225" s="16" t="str">
        <f>IFERROR(__xludf.DUMMYFUNCTION("""COMPUTED_VALUE"""),"JL. H. M. SUWIGNYO GG. NUR III NO. 24")</f>
        <v>JL. H. M. SUWIGNYO GG. NUR III NO. 24</v>
      </c>
      <c r="N225" s="16"/>
      <c r="O225" s="16"/>
      <c r="P225" s="16"/>
      <c r="Q225" s="16"/>
      <c r="R225" s="19" t="str">
        <f>IFERROR(__xludf.DUMMYFUNCTION("""COMPUTED_VALUE"""),"ISLAM")</f>
        <v>ISLAM</v>
      </c>
      <c r="S225" s="16" t="str">
        <f>IFERROR(__xludf.DUMMYFUNCTION("""COMPUTED_VALUE"""),"WIRASWASTA")</f>
        <v>WIRASWASTA</v>
      </c>
      <c r="T225" s="16"/>
      <c r="U225" s="16" t="str">
        <f>IFERROR(__xludf.DUMMYFUNCTION("""COMPUTED_VALUE"""),"BADMINTON")</f>
        <v>BADMINTON</v>
      </c>
      <c r="V225" s="21" t="str">
        <f>IFERROR(__xludf.DUMMYFUNCTION("""COMPUTED_VALUE"""),"081253020314")</f>
        <v>081253020314</v>
      </c>
      <c r="W225" s="22"/>
    </row>
    <row r="226" ht="22.5" customHeight="1">
      <c r="A226" s="8"/>
      <c r="B226" s="9">
        <f>IFERROR(__xludf.DUMMYFUNCTION("""COMPUTED_VALUE"""),45010.676604837965)</f>
        <v>45010.6766</v>
      </c>
      <c r="C226" s="9"/>
      <c r="D226" s="10">
        <f>IFERROR(__xludf.DUMMYFUNCTION("""COMPUTED_VALUE"""),45004.0)</f>
        <v>45004</v>
      </c>
      <c r="E226" s="10" t="str">
        <f>IFERROR(__xludf.DUMMYFUNCTION("""COMPUTED_VALUE"""),"03Mar")</f>
        <v>03Mar</v>
      </c>
      <c r="F226" s="10" t="str">
        <f>IFERROR(__xludf.DUMMYFUNCTION("""COMPUTED_VALUE"""),"2023")</f>
        <v>2023</v>
      </c>
      <c r="G226" s="16" t="str">
        <f>IFERROR(__xludf.DUMMYFUNCTION("""COMPUTED_VALUE"""),"FITRISKA RAHMADIANSARI")</f>
        <v>FITRISKA RAHMADIANSARI</v>
      </c>
      <c r="H226" s="17" t="str">
        <f>IFERROR(__xludf.DUMMYFUNCTION("""COMPUTED_VALUE"""),"F9123039066")</f>
        <v>F9123039066</v>
      </c>
      <c r="I226" s="17">
        <f>IFERROR(__xludf.DUMMYFUNCTION("""COMPUTED_VALUE"""),35.0)</f>
        <v>35</v>
      </c>
      <c r="J226" s="17" t="str">
        <f>IFERROR(__xludf.DUMMYFUNCTION("""COMPUTED_VALUE"""),"35-44 tahun")</f>
        <v>35-44 tahun</v>
      </c>
      <c r="K226" s="19">
        <f>IFERROR(__xludf.DUMMYFUNCTION("""COMPUTED_VALUE"""),33323.0)</f>
        <v>33323</v>
      </c>
      <c r="L226" s="19" t="str">
        <f>IFERROR(__xludf.DUMMYFUNCTION("""COMPUTED_VALUE"""),"PEREMPUAN")</f>
        <v>PEREMPUAN</v>
      </c>
      <c r="M226" s="16" t="str">
        <f>IFERROR(__xludf.DUMMYFUNCTION("""COMPUTED_VALUE"""),"JL APEL GG JAGUNG")</f>
        <v>JL APEL GG JAGUNG</v>
      </c>
      <c r="N226" s="16"/>
      <c r="O226" s="16"/>
      <c r="P226" s="16"/>
      <c r="Q226" s="16"/>
      <c r="R226" s="19" t="str">
        <f>IFERROR(__xludf.DUMMYFUNCTION("""COMPUTED_VALUE"""),"ISLAM")</f>
        <v>ISLAM</v>
      </c>
      <c r="S226" s="16" t="str">
        <f>IFERROR(__xludf.DUMMYFUNCTION("""COMPUTED_VALUE"""),"SWASTA")</f>
        <v>SWASTA</v>
      </c>
      <c r="T226" s="16" t="str">
        <f>IFERROR(__xludf.DUMMYFUNCTION("""COMPUTED_VALUE"""),"PINGGANG")</f>
        <v>PINGGANG</v>
      </c>
      <c r="U226" s="16" t="str">
        <f>IFERROR(__xludf.DUMMYFUNCTION("""COMPUTED_VALUE"""),"-")</f>
        <v>-</v>
      </c>
      <c r="V226" s="21" t="str">
        <f>IFERROR(__xludf.DUMMYFUNCTION("""COMPUTED_VALUE"""),"087722779066")</f>
        <v>087722779066</v>
      </c>
      <c r="W226" s="22"/>
    </row>
    <row r="227" ht="22.5" customHeight="1">
      <c r="A227" s="8"/>
      <c r="B227" s="9">
        <f>IFERROR(__xludf.DUMMYFUNCTION("""COMPUTED_VALUE"""),45010.518408055555)</f>
        <v>45010.51841</v>
      </c>
      <c r="C227" s="9"/>
      <c r="D227" s="10">
        <f>IFERROR(__xludf.DUMMYFUNCTION("""COMPUTED_VALUE"""),45004.0)</f>
        <v>45004</v>
      </c>
      <c r="E227" s="10" t="str">
        <f>IFERROR(__xludf.DUMMYFUNCTION("""COMPUTED_VALUE"""),"03Mar")</f>
        <v>03Mar</v>
      </c>
      <c r="F227" s="10" t="str">
        <f>IFERROR(__xludf.DUMMYFUNCTION("""COMPUTED_VALUE"""),"2023")</f>
        <v>2023</v>
      </c>
      <c r="G227" s="16" t="str">
        <f>IFERROR(__xludf.DUMMYFUNCTION("""COMPUTED_VALUE"""),"ISDIANTO TRY MURDITYO")</f>
        <v>ISDIANTO TRY MURDITYO</v>
      </c>
      <c r="H227" s="17" t="str">
        <f>IFERROR(__xludf.DUMMYFUNCTION("""COMPUTED_VALUE"""),"I9423035004")</f>
        <v>I9423035004</v>
      </c>
      <c r="I227" s="17">
        <f>IFERROR(__xludf.DUMMYFUNCTION("""COMPUTED_VALUE"""),32.0)</f>
        <v>32</v>
      </c>
      <c r="J227" s="17" t="str">
        <f>IFERROR(__xludf.DUMMYFUNCTION("""COMPUTED_VALUE"""),"25-34 tahun")</f>
        <v>25-34 tahun</v>
      </c>
      <c r="K227" s="19">
        <f>IFERROR(__xludf.DUMMYFUNCTION("""COMPUTED_VALUE"""),34396.0)</f>
        <v>34396</v>
      </c>
      <c r="L227" s="19" t="str">
        <f>IFERROR(__xludf.DUMMYFUNCTION("""COMPUTED_VALUE"""),"LAKI-LAKI")</f>
        <v>LAKI-LAKI</v>
      </c>
      <c r="M227" s="16" t="str">
        <f>IFERROR(__xludf.DUMMYFUNCTION("""COMPUTED_VALUE"""),"JL. PARIT BUGIS GG. RAHMAT PERUMAHAN ANNISA RESIDENCE NO. 25A")</f>
        <v>JL. PARIT BUGIS GG. RAHMAT PERUMAHAN ANNISA RESIDENCE NO. 25A</v>
      </c>
      <c r="N227" s="16"/>
      <c r="O227" s="16"/>
      <c r="P227" s="16"/>
      <c r="Q227" s="16"/>
      <c r="R227" s="19" t="str">
        <f>IFERROR(__xludf.DUMMYFUNCTION("""COMPUTED_VALUE"""),"ISLAM")</f>
        <v>ISLAM</v>
      </c>
      <c r="S227" s="16" t="str">
        <f>IFERROR(__xludf.DUMMYFUNCTION("""COMPUTED_VALUE"""),"ASN")</f>
        <v>ASN</v>
      </c>
      <c r="T227" s="16" t="str">
        <f>IFERROR(__xludf.DUMMYFUNCTION("""COMPUTED_VALUE"""),"PUNDAK, ANKLE, PAHA, BETIS")</f>
        <v>PUNDAK, ANKLE, PAHA, BETIS</v>
      </c>
      <c r="U227" s="16" t="str">
        <f>IFERROR(__xludf.DUMMYFUNCTION("""COMPUTED_VALUE"""),"JOGGING")</f>
        <v>JOGGING</v>
      </c>
      <c r="V227" s="21" t="str">
        <f>IFERROR(__xludf.DUMMYFUNCTION("""COMPUTED_VALUE"""),"085845825004")</f>
        <v>085845825004</v>
      </c>
      <c r="W227" s="22"/>
    </row>
    <row r="228" ht="22.5" customHeight="1">
      <c r="A228" s="28"/>
      <c r="B228" s="9">
        <f>IFERROR(__xludf.DUMMYFUNCTION("""COMPUTED_VALUE"""),45011.12667046297)</f>
        <v>45011.12667</v>
      </c>
      <c r="C228" s="9"/>
      <c r="D228" s="10">
        <f>IFERROR(__xludf.DUMMYFUNCTION("""COMPUTED_VALUE"""),45004.0)</f>
        <v>45004</v>
      </c>
      <c r="E228" s="10" t="str">
        <f>IFERROR(__xludf.DUMMYFUNCTION("""COMPUTED_VALUE"""),"03Mar")</f>
        <v>03Mar</v>
      </c>
      <c r="F228" s="10" t="str">
        <f>IFERROR(__xludf.DUMMYFUNCTION("""COMPUTED_VALUE"""),"2023")</f>
        <v>2023</v>
      </c>
      <c r="G228" s="16" t="str">
        <f>IFERROR(__xludf.DUMMYFUNCTION("""COMPUTED_VALUE"""),"MOURENT MIFTAHULLAH")</f>
        <v>MOURENT MIFTAHULLAH</v>
      </c>
      <c r="H228" s="17" t="str">
        <f>IFERROR(__xludf.DUMMYFUNCTION("""COMPUTED_VALUE"""),"M8723030309")</f>
        <v>M8723030309</v>
      </c>
      <c r="I228" s="17">
        <f>IFERROR(__xludf.DUMMYFUNCTION("""COMPUTED_VALUE"""),38.0)</f>
        <v>38</v>
      </c>
      <c r="J228" s="17" t="str">
        <f>IFERROR(__xludf.DUMMYFUNCTION("""COMPUTED_VALUE"""),"35-44 tahun")</f>
        <v>35-44 tahun</v>
      </c>
      <c r="K228" s="19">
        <f>IFERROR(__xludf.DUMMYFUNCTION("""COMPUTED_VALUE"""),32134.0)</f>
        <v>32134</v>
      </c>
      <c r="L228" s="19" t="str">
        <f>IFERROR(__xludf.DUMMYFUNCTION("""COMPUTED_VALUE"""),"PEREMPUAN")</f>
        <v>PEREMPUAN</v>
      </c>
      <c r="M228" s="16" t="str">
        <f>IFERROR(__xludf.DUMMYFUNCTION("""COMPUTED_VALUE"""),"KOMPLEK ALEX GRIYA PERMAI 1 NO A7")</f>
        <v>KOMPLEK ALEX GRIYA PERMAI 1 NO A7</v>
      </c>
      <c r="N228" s="16"/>
      <c r="O228" s="16"/>
      <c r="P228" s="16"/>
      <c r="Q228" s="16"/>
      <c r="R228" s="19" t="str">
        <f>IFERROR(__xludf.DUMMYFUNCTION("""COMPUTED_VALUE"""),"ISLAM")</f>
        <v>ISLAM</v>
      </c>
      <c r="S228" s="16" t="str">
        <f>IFERROR(__xludf.DUMMYFUNCTION("""COMPUTED_VALUE"""),"DOKTER")</f>
        <v>DOKTER</v>
      </c>
      <c r="T228" s="16" t="str">
        <f>IFERROR(__xludf.DUMMYFUNCTION("""COMPUTED_VALUE"""),"PASCA OP")</f>
        <v>PASCA OP</v>
      </c>
      <c r="U228" s="16" t="str">
        <f>IFERROR(__xludf.DUMMYFUNCTION("""COMPUTED_VALUE"""),"-")</f>
        <v>-</v>
      </c>
      <c r="V228" s="21" t="str">
        <f>IFERROR(__xludf.DUMMYFUNCTION("""COMPUTED_VALUE"""),"085297790309")</f>
        <v>085297790309</v>
      </c>
      <c r="W228" s="22"/>
    </row>
    <row r="229" ht="22.5" customHeight="1">
      <c r="A229" s="25"/>
      <c r="B229" s="26">
        <f>IFERROR(__xludf.DUMMYFUNCTION("""COMPUTED_VALUE"""),45006.88498054398)</f>
        <v>45006.88498</v>
      </c>
      <c r="C229" s="26"/>
      <c r="D229" s="10">
        <f>IFERROR(__xludf.DUMMYFUNCTION("""COMPUTED_VALUE"""),45004.0)</f>
        <v>45004</v>
      </c>
      <c r="E229" s="10" t="str">
        <f>IFERROR(__xludf.DUMMYFUNCTION("""COMPUTED_VALUE"""),"03Mar")</f>
        <v>03Mar</v>
      </c>
      <c r="F229" s="10" t="str">
        <f>IFERROR(__xludf.DUMMYFUNCTION("""COMPUTED_VALUE"""),"2023")</f>
        <v>2023</v>
      </c>
      <c r="G229" s="16" t="str">
        <f>IFERROR(__xludf.DUMMYFUNCTION("""COMPUTED_VALUE"""),"NUGRAHA ADITYA CANDRA")</f>
        <v>NUGRAHA ADITYA CANDRA</v>
      </c>
      <c r="H229" s="17" t="str">
        <f>IFERROR(__xludf.DUMMYFUNCTION("""COMPUTED_VALUE"""),"N8823039749")</f>
        <v>N8823039749</v>
      </c>
      <c r="I229" s="17">
        <f>IFERROR(__xludf.DUMMYFUNCTION("""COMPUTED_VALUE"""),37.0)</f>
        <v>37</v>
      </c>
      <c r="J229" s="17" t="str">
        <f>IFERROR(__xludf.DUMMYFUNCTION("""COMPUTED_VALUE"""),"35-44 tahun")</f>
        <v>35-44 tahun</v>
      </c>
      <c r="K229" s="19">
        <f>IFERROR(__xludf.DUMMYFUNCTION("""COMPUTED_VALUE"""),32401.0)</f>
        <v>32401</v>
      </c>
      <c r="L229" s="19" t="str">
        <f>IFERROR(__xludf.DUMMYFUNCTION("""COMPUTED_VALUE"""),"LAKI-LAKI")</f>
        <v>LAKI-LAKI</v>
      </c>
      <c r="M229" s="16" t="str">
        <f>IFERROR(__xludf.DUMMYFUNCTION("""COMPUTED_VALUE"""),"JL SUKA MULIA")</f>
        <v>JL SUKA MULIA</v>
      </c>
      <c r="N229" s="16"/>
      <c r="O229" s="16"/>
      <c r="P229" s="16"/>
      <c r="Q229" s="16"/>
      <c r="R229" s="19" t="str">
        <f>IFERROR(__xludf.DUMMYFUNCTION("""COMPUTED_VALUE"""),"ISLAM")</f>
        <v>ISLAM</v>
      </c>
      <c r="S229" s="16" t="str">
        <f>IFERROR(__xludf.DUMMYFUNCTION("""COMPUTED_VALUE"""),"BUMD")</f>
        <v>BUMD</v>
      </c>
      <c r="T229" s="16"/>
      <c r="U229" s="16" t="str">
        <f>IFERROR(__xludf.DUMMYFUNCTION("""COMPUTED_VALUE"""),"-")</f>
        <v>-</v>
      </c>
      <c r="V229" s="11" t="str">
        <f>IFERROR(__xludf.DUMMYFUNCTION("""COMPUTED_VALUE"""),"082149799749")</f>
        <v>082149799749</v>
      </c>
      <c r="W229" s="33"/>
    </row>
    <row r="230" ht="22.5" customHeight="1">
      <c r="A230" s="25"/>
      <c r="B230" s="26">
        <f>IFERROR(__xludf.DUMMYFUNCTION("""COMPUTED_VALUE"""),45011.64562902778)</f>
        <v>45011.64563</v>
      </c>
      <c r="C230" s="26"/>
      <c r="D230" s="10">
        <f>IFERROR(__xludf.DUMMYFUNCTION("""COMPUTED_VALUE"""),45005.0)</f>
        <v>45005</v>
      </c>
      <c r="E230" s="10" t="str">
        <f>IFERROR(__xludf.DUMMYFUNCTION("""COMPUTED_VALUE"""),"03Mar")</f>
        <v>03Mar</v>
      </c>
      <c r="F230" s="10" t="str">
        <f>IFERROR(__xludf.DUMMYFUNCTION("""COMPUTED_VALUE"""),"2023")</f>
        <v>2023</v>
      </c>
      <c r="G230" s="16" t="str">
        <f>IFERROR(__xludf.DUMMYFUNCTION("""COMPUTED_VALUE"""),"ARTIZENO KYNAN PRAMUDYA")</f>
        <v>ARTIZENO KYNAN PRAMUDYA</v>
      </c>
      <c r="H230" s="17" t="str">
        <f>IFERROR(__xludf.DUMMYFUNCTION("""COMPUTED_VALUE"""),"A0623039735")</f>
        <v>A0623039735</v>
      </c>
      <c r="I230" s="17">
        <f>IFERROR(__xludf.DUMMYFUNCTION("""COMPUTED_VALUE"""),19.0)</f>
        <v>19</v>
      </c>
      <c r="J230" s="17" t="str">
        <f>IFERROR(__xludf.DUMMYFUNCTION("""COMPUTED_VALUE"""),"18-24 tahun")</f>
        <v>18-24 tahun</v>
      </c>
      <c r="K230" s="19">
        <f>IFERROR(__xludf.DUMMYFUNCTION("""COMPUTED_VALUE"""),38920.0)</f>
        <v>38920</v>
      </c>
      <c r="L230" s="19" t="str">
        <f>IFERROR(__xludf.DUMMYFUNCTION("""COMPUTED_VALUE"""),"LAKI-LAKI")</f>
        <v>LAKI-LAKI</v>
      </c>
      <c r="M230" s="16" t="str">
        <f>IFERROR(__xludf.DUMMYFUNCTION("""COMPUTED_VALUE"""),"JL. PULAU WE NO. 178")</f>
        <v>JL. PULAU WE NO. 178</v>
      </c>
      <c r="N230" s="16"/>
      <c r="O230" s="16"/>
      <c r="P230" s="16"/>
      <c r="Q230" s="16"/>
      <c r="R230" s="19" t="str">
        <f>IFERROR(__xludf.DUMMYFUNCTION("""COMPUTED_VALUE"""),"ISLAM")</f>
        <v>ISLAM</v>
      </c>
      <c r="S230" s="16" t="str">
        <f>IFERROR(__xludf.DUMMYFUNCTION("""COMPUTED_VALUE"""),"PELAJAR/MAHASISWA")</f>
        <v>PELAJAR/MAHASISWA</v>
      </c>
      <c r="T230" s="16" t="str">
        <f>IFERROR(__xludf.DUMMYFUNCTION("""COMPUTED_VALUE"""),"BAHU KANAN")</f>
        <v>BAHU KANAN</v>
      </c>
      <c r="U230" s="16" t="str">
        <f>IFERROR(__xludf.DUMMYFUNCTION("""COMPUTED_VALUE"""),"-")</f>
        <v>-</v>
      </c>
      <c r="V230" s="21" t="str">
        <f>IFERROR(__xludf.DUMMYFUNCTION("""COMPUTED_VALUE"""),"082152149735")</f>
        <v>082152149735</v>
      </c>
      <c r="W230" s="27"/>
    </row>
    <row r="231" ht="22.5" customHeight="1">
      <c r="A231" s="28"/>
      <c r="B231" s="9">
        <f>IFERROR(__xludf.DUMMYFUNCTION("""COMPUTED_VALUE"""),44952.806979166664)</f>
        <v>44952.80698</v>
      </c>
      <c r="C231" s="9"/>
      <c r="D231" s="10">
        <f>IFERROR(__xludf.DUMMYFUNCTION("""COMPUTED_VALUE"""),45005.0)</f>
        <v>45005</v>
      </c>
      <c r="E231" s="10" t="str">
        <f>IFERROR(__xludf.DUMMYFUNCTION("""COMPUTED_VALUE"""),"03Mar")</f>
        <v>03Mar</v>
      </c>
      <c r="F231" s="10" t="str">
        <f>IFERROR(__xludf.DUMMYFUNCTION("""COMPUTED_VALUE"""),"2023")</f>
        <v>2023</v>
      </c>
      <c r="G231" s="16" t="str">
        <f>IFERROR(__xludf.DUMMYFUNCTION("""COMPUTED_VALUE"""),"CHIN KONG")</f>
        <v>CHIN KONG</v>
      </c>
      <c r="H231" s="17" t="str">
        <f>IFERROR(__xludf.DUMMYFUNCTION("""COMPUTED_VALUE"""),"C7823036389")</f>
        <v>C7823036389</v>
      </c>
      <c r="I231" s="17">
        <f>IFERROR(__xludf.DUMMYFUNCTION("""COMPUTED_VALUE"""),47.0)</f>
        <v>47</v>
      </c>
      <c r="J231" s="17" t="str">
        <f>IFERROR(__xludf.DUMMYFUNCTION("""COMPUTED_VALUE"""),"&gt; 44 tahun")</f>
        <v>&gt; 44 tahun</v>
      </c>
      <c r="K231" s="19">
        <f>IFERROR(__xludf.DUMMYFUNCTION("""COMPUTED_VALUE"""),28675.0)</f>
        <v>28675</v>
      </c>
      <c r="L231" s="19" t="str">
        <f>IFERROR(__xludf.DUMMYFUNCTION("""COMPUTED_VALUE"""),"LAKI-LAKI")</f>
        <v>LAKI-LAKI</v>
      </c>
      <c r="M231" s="16" t="str">
        <f>IFERROR(__xludf.DUMMYFUNCTION("""COMPUTED_VALUE"""),"JL SELIUNG, SUNGAI PINYUH")</f>
        <v>JL SELIUNG, SUNGAI PINYUH</v>
      </c>
      <c r="N231" s="16"/>
      <c r="O231" s="16"/>
      <c r="P231" s="16"/>
      <c r="Q231" s="16"/>
      <c r="R231" s="19" t="str">
        <f>IFERROR(__xludf.DUMMYFUNCTION("""COMPUTED_VALUE"""),"BUDDHA")</f>
        <v>BUDDHA</v>
      </c>
      <c r="S231" s="16" t="str">
        <f>IFERROR(__xludf.DUMMYFUNCTION("""COMPUTED_VALUE"""),"SWASTA")</f>
        <v>SWASTA</v>
      </c>
      <c r="T231" s="16" t="str">
        <f>IFERROR(__xludf.DUMMYFUNCTION("""COMPUTED_VALUE"""),"STROKE KIRI")</f>
        <v>STROKE KIRI</v>
      </c>
      <c r="U231" s="16" t="str">
        <f>IFERROR(__xludf.DUMMYFUNCTION("""COMPUTED_VALUE"""),"-")</f>
        <v>-</v>
      </c>
      <c r="V231" s="21" t="str">
        <f>IFERROR(__xludf.DUMMYFUNCTION("""COMPUTED_VALUE"""),"081952626389")</f>
        <v>081952626389</v>
      </c>
      <c r="W231" s="22"/>
    </row>
    <row r="232" ht="22.5" customHeight="1">
      <c r="A232" s="8"/>
      <c r="B232" s="9">
        <f>IFERROR(__xludf.DUMMYFUNCTION("""COMPUTED_VALUE"""),44914.582337962966)</f>
        <v>44914.58234</v>
      </c>
      <c r="C232" s="9"/>
      <c r="D232" s="10">
        <f>IFERROR(__xludf.DUMMYFUNCTION("""COMPUTED_VALUE"""),45005.0)</f>
        <v>45005</v>
      </c>
      <c r="E232" s="10" t="str">
        <f>IFERROR(__xludf.DUMMYFUNCTION("""COMPUTED_VALUE"""),"03Mar")</f>
        <v>03Mar</v>
      </c>
      <c r="F232" s="10" t="str">
        <f>IFERROR(__xludf.DUMMYFUNCTION("""COMPUTED_VALUE"""),"2023")</f>
        <v>2023</v>
      </c>
      <c r="G232" s="16" t="str">
        <f>IFERROR(__xludf.DUMMYFUNCTION("""COMPUTED_VALUE"""),"MURSINAH")</f>
        <v>MURSINAH</v>
      </c>
      <c r="H232" s="17" t="str">
        <f>IFERROR(__xludf.DUMMYFUNCTION("""COMPUTED_VALUE"""),"M5823032597")</f>
        <v>M5823032597</v>
      </c>
      <c r="I232" s="17">
        <f>IFERROR(__xludf.DUMMYFUNCTION("""COMPUTED_VALUE"""),68.0)</f>
        <v>68</v>
      </c>
      <c r="J232" s="17" t="str">
        <f>IFERROR(__xludf.DUMMYFUNCTION("""COMPUTED_VALUE"""),"&gt; 44 tahun")</f>
        <v>&gt; 44 tahun</v>
      </c>
      <c r="K232" s="19">
        <f>IFERROR(__xludf.DUMMYFUNCTION("""COMPUTED_VALUE"""),21357.0)</f>
        <v>21357</v>
      </c>
      <c r="L232" s="19" t="str">
        <f>IFERROR(__xludf.DUMMYFUNCTION("""COMPUTED_VALUE"""),"PEREMPUAN")</f>
        <v>PEREMPUAN</v>
      </c>
      <c r="M232" s="16" t="str">
        <f>IFERROR(__xludf.DUMMYFUNCTION("""COMPUTED_VALUE"""),"JL. KARYA BARU KOMPLEK BALI AGUNG 1 A26")</f>
        <v>JL. KARYA BARU KOMPLEK BALI AGUNG 1 A26</v>
      </c>
      <c r="N232" s="16"/>
      <c r="O232" s="16"/>
      <c r="P232" s="16"/>
      <c r="Q232" s="16"/>
      <c r="R232" s="19" t="str">
        <f>IFERROR(__xludf.DUMMYFUNCTION("""COMPUTED_VALUE"""),"ISLAM")</f>
        <v>ISLAM</v>
      </c>
      <c r="S232" s="16" t="str">
        <f>IFERROR(__xludf.DUMMYFUNCTION("""COMPUTED_VALUE"""),"PENSIUN")</f>
        <v>PENSIUN</v>
      </c>
      <c r="T232" s="16" t="str">
        <f>IFERROR(__xludf.DUMMYFUNCTION("""COMPUTED_VALUE"""),"PINGGUL KIRI")</f>
        <v>PINGGUL KIRI</v>
      </c>
      <c r="U232" s="16" t="str">
        <f>IFERROR(__xludf.DUMMYFUNCTION("""COMPUTED_VALUE"""),"-")</f>
        <v>-</v>
      </c>
      <c r="V232" s="21" t="str">
        <f>IFERROR(__xludf.DUMMYFUNCTION("""COMPUTED_VALUE"""),"085822122597")</f>
        <v>085822122597</v>
      </c>
      <c r="W232" s="22"/>
    </row>
    <row r="233" ht="22.5" customHeight="1">
      <c r="A233" s="25"/>
      <c r="B233" s="26">
        <f>IFERROR(__xludf.DUMMYFUNCTION("""COMPUTED_VALUE"""),45011.63522203703)</f>
        <v>45011.63522</v>
      </c>
      <c r="C233" s="26"/>
      <c r="D233" s="10">
        <f>IFERROR(__xludf.DUMMYFUNCTION("""COMPUTED_VALUE"""),45005.0)</f>
        <v>45005</v>
      </c>
      <c r="E233" s="10" t="str">
        <f>IFERROR(__xludf.DUMMYFUNCTION("""COMPUTED_VALUE"""),"03Mar")</f>
        <v>03Mar</v>
      </c>
      <c r="F233" s="10" t="str">
        <f>IFERROR(__xludf.DUMMYFUNCTION("""COMPUTED_VALUE"""),"2023")</f>
        <v>2023</v>
      </c>
      <c r="G233" s="16" t="str">
        <f>IFERROR(__xludf.DUMMYFUNCTION("""COMPUTED_VALUE"""),"NOVIE YU")</f>
        <v>NOVIE YU</v>
      </c>
      <c r="H233" s="17" t="str">
        <f>IFERROR(__xludf.DUMMYFUNCTION("""COMPUTED_VALUE"""),"N9023031899")</f>
        <v>N9023031899</v>
      </c>
      <c r="I233" s="17">
        <f>IFERROR(__xludf.DUMMYFUNCTION("""COMPUTED_VALUE"""),36.0)</f>
        <v>36</v>
      </c>
      <c r="J233" s="17" t="str">
        <f>IFERROR(__xludf.DUMMYFUNCTION("""COMPUTED_VALUE"""),"35-44 tahun")</f>
        <v>35-44 tahun</v>
      </c>
      <c r="K233" s="19">
        <f>IFERROR(__xludf.DUMMYFUNCTION("""COMPUTED_VALUE"""),33039.0)</f>
        <v>33039</v>
      </c>
      <c r="L233" s="19" t="str">
        <f>IFERROR(__xludf.DUMMYFUNCTION("""COMPUTED_VALUE"""),"PEREMPUAN")</f>
        <v>PEREMPUAN</v>
      </c>
      <c r="M233" s="16" t="str">
        <f>IFERROR(__xludf.DUMMYFUNCTION("""COMPUTED_VALUE"""),"JL PURNAMA")</f>
        <v>JL PURNAMA</v>
      </c>
      <c r="N233" s="16"/>
      <c r="O233" s="16"/>
      <c r="P233" s="16"/>
      <c r="Q233" s="16"/>
      <c r="R233" s="19" t="str">
        <f>IFERROR(__xludf.DUMMYFUNCTION("""COMPUTED_VALUE"""),"BUDDHA")</f>
        <v>BUDDHA</v>
      </c>
      <c r="S233" s="16" t="str">
        <f>IFERROR(__xludf.DUMMYFUNCTION("""COMPUTED_VALUE"""),"RUMAH TANGGA")</f>
        <v>RUMAH TANGGA</v>
      </c>
      <c r="T233" s="16" t="str">
        <f>IFERROR(__xludf.DUMMYFUNCTION("""COMPUTED_VALUE"""),"PINGGANG")</f>
        <v>PINGGANG</v>
      </c>
      <c r="U233" s="16" t="str">
        <f>IFERROR(__xludf.DUMMYFUNCTION("""COMPUTED_VALUE"""),"-")</f>
        <v>-</v>
      </c>
      <c r="V233" s="21" t="str">
        <f>IFERROR(__xludf.DUMMYFUNCTION("""COMPUTED_VALUE"""),"081251241899")</f>
        <v>081251241899</v>
      </c>
      <c r="W233" s="27"/>
    </row>
    <row r="234" ht="22.5" customHeight="1">
      <c r="A234" s="25"/>
      <c r="B234" s="26">
        <f>IFERROR(__xludf.DUMMYFUNCTION("""COMPUTED_VALUE"""),45006.97496280093)</f>
        <v>45006.97496</v>
      </c>
      <c r="C234" s="26"/>
      <c r="D234" s="10">
        <f>IFERROR(__xludf.DUMMYFUNCTION("""COMPUTED_VALUE"""),45006.0)</f>
        <v>45006</v>
      </c>
      <c r="E234" s="10" t="str">
        <f>IFERROR(__xludf.DUMMYFUNCTION("""COMPUTED_VALUE"""),"03Mar")</f>
        <v>03Mar</v>
      </c>
      <c r="F234" s="10" t="str">
        <f>IFERROR(__xludf.DUMMYFUNCTION("""COMPUTED_VALUE"""),"2023")</f>
        <v>2023</v>
      </c>
      <c r="G234" s="16" t="str">
        <f>IFERROR(__xludf.DUMMYFUNCTION("""COMPUTED_VALUE"""),"ADITYO D. SUDAGUNG")</f>
        <v>ADITYO D. SUDAGUNG</v>
      </c>
      <c r="H234" s="17" t="str">
        <f>IFERROR(__xludf.DUMMYFUNCTION("""COMPUTED_VALUE"""),"A9023031923")</f>
        <v>A9023031923</v>
      </c>
      <c r="I234" s="17">
        <f>IFERROR(__xludf.DUMMYFUNCTION("""COMPUTED_VALUE"""),35.0)</f>
        <v>35</v>
      </c>
      <c r="J234" s="17" t="str">
        <f>IFERROR(__xludf.DUMMYFUNCTION("""COMPUTED_VALUE"""),"35-44 tahun")</f>
        <v>35-44 tahun</v>
      </c>
      <c r="K234" s="19">
        <f>IFERROR(__xludf.DUMMYFUNCTION("""COMPUTED_VALUE"""),33077.0)</f>
        <v>33077</v>
      </c>
      <c r="L234" s="19" t="str">
        <f>IFERROR(__xludf.DUMMYFUNCTION("""COMPUTED_VALUE"""),"LAKI-LAKI")</f>
        <v>LAKI-LAKI</v>
      </c>
      <c r="M234" s="16" t="str">
        <f>IFERROR(__xludf.DUMMYFUNCTION("""COMPUTED_VALUE"""),"JL. TANJUNG SARI NO. 121")</f>
        <v>JL. TANJUNG SARI NO. 121</v>
      </c>
      <c r="N234" s="16"/>
      <c r="O234" s="16"/>
      <c r="P234" s="16"/>
      <c r="Q234" s="16"/>
      <c r="R234" s="19" t="str">
        <f>IFERROR(__xludf.DUMMYFUNCTION("""COMPUTED_VALUE"""),"ISLAM")</f>
        <v>ISLAM</v>
      </c>
      <c r="S234" s="16" t="str">
        <f>IFERROR(__xludf.DUMMYFUNCTION("""COMPUTED_VALUE"""),"DOSEN/GURU")</f>
        <v>DOSEN/GURU</v>
      </c>
      <c r="T234" s="16" t="str">
        <f>IFERROR(__xludf.DUMMYFUNCTION("""COMPUTED_VALUE"""),"PINGGANG DAN PAHA")</f>
        <v>PINGGANG DAN PAHA</v>
      </c>
      <c r="U234" s="16" t="str">
        <f>IFERROR(__xludf.DUMMYFUNCTION("""COMPUTED_VALUE"""),"-")</f>
        <v>-</v>
      </c>
      <c r="V234" s="21" t="str">
        <f>IFERROR(__xludf.DUMMYFUNCTION("""COMPUTED_VALUE"""),"082121161923")</f>
        <v>082121161923</v>
      </c>
      <c r="W234" s="27"/>
    </row>
    <row r="235" ht="22.5" customHeight="1">
      <c r="A235" s="8"/>
      <c r="B235" s="9">
        <f>IFERROR(__xludf.DUMMYFUNCTION("""COMPUTED_VALUE"""),44983.47185185185)</f>
        <v>44983.47185</v>
      </c>
      <c r="C235" s="9"/>
      <c r="D235" s="10">
        <f>IFERROR(__xludf.DUMMYFUNCTION("""COMPUTED_VALUE"""),45006.0)</f>
        <v>45006</v>
      </c>
      <c r="E235" s="10" t="str">
        <f>IFERROR(__xludf.DUMMYFUNCTION("""COMPUTED_VALUE"""),"03Mar")</f>
        <v>03Mar</v>
      </c>
      <c r="F235" s="10" t="str">
        <f>IFERROR(__xludf.DUMMYFUNCTION("""COMPUTED_VALUE"""),"2023")</f>
        <v>2023</v>
      </c>
      <c r="G235" s="16" t="str">
        <f>IFERROR(__xludf.DUMMYFUNCTION("""COMPUTED_VALUE"""),"DEA CITRA R.")</f>
        <v>DEA CITRA R.</v>
      </c>
      <c r="H235" s="17" t="str">
        <f>IFERROR(__xludf.DUMMYFUNCTION("""COMPUTED_VALUE"""),"D9123038876")</f>
        <v>D9123038876</v>
      </c>
      <c r="I235" s="17">
        <f>IFERROR(__xludf.DUMMYFUNCTION("""COMPUTED_VALUE"""),34.0)</f>
        <v>34</v>
      </c>
      <c r="J235" s="17" t="str">
        <f>IFERROR(__xludf.DUMMYFUNCTION("""COMPUTED_VALUE"""),"25-34 tahun")</f>
        <v>25-34 tahun</v>
      </c>
      <c r="K235" s="19">
        <f>IFERROR(__xludf.DUMMYFUNCTION("""COMPUTED_VALUE"""),33408.0)</f>
        <v>33408</v>
      </c>
      <c r="L235" s="19" t="str">
        <f>IFERROR(__xludf.DUMMYFUNCTION("""COMPUTED_VALUE"""),"PEREMPUAN")</f>
        <v>PEREMPUAN</v>
      </c>
      <c r="M235" s="16" t="str">
        <f>IFERROR(__xludf.DUMMYFUNCTION("""COMPUTED_VALUE"""),"JL. TANJUNG SARI NO. 121")</f>
        <v>JL. TANJUNG SARI NO. 121</v>
      </c>
      <c r="N235" s="16"/>
      <c r="O235" s="16"/>
      <c r="P235" s="16"/>
      <c r="Q235" s="16"/>
      <c r="R235" s="19" t="str">
        <f>IFERROR(__xludf.DUMMYFUNCTION("""COMPUTED_VALUE"""),"ISLAM")</f>
        <v>ISLAM</v>
      </c>
      <c r="S235" s="16" t="str">
        <f>IFERROR(__xludf.DUMMYFUNCTION("""COMPUTED_VALUE"""),"SWASTA")</f>
        <v>SWASTA</v>
      </c>
      <c r="T235" s="16" t="str">
        <f>IFERROR(__xludf.DUMMYFUNCTION("""COMPUTED_VALUE"""),"PINGGANG")</f>
        <v>PINGGANG</v>
      </c>
      <c r="U235" s="16" t="str">
        <f>IFERROR(__xludf.DUMMYFUNCTION("""COMPUTED_VALUE"""),"-")</f>
        <v>-</v>
      </c>
      <c r="V235" s="21" t="str">
        <f>IFERROR(__xludf.DUMMYFUNCTION("""COMPUTED_VALUE"""),"082255008876")</f>
        <v>082255008876</v>
      </c>
      <c r="W235" s="22"/>
    </row>
    <row r="236" ht="22.5" customHeight="1">
      <c r="A236" s="25"/>
      <c r="B236" s="26">
        <f>IFERROR(__xludf.DUMMYFUNCTION("""COMPUTED_VALUE"""),44937.49196759259)</f>
        <v>44937.49197</v>
      </c>
      <c r="C236" s="26"/>
      <c r="D236" s="10">
        <f>IFERROR(__xludf.DUMMYFUNCTION("""COMPUTED_VALUE"""),45006.0)</f>
        <v>45006</v>
      </c>
      <c r="E236" s="10" t="str">
        <f>IFERROR(__xludf.DUMMYFUNCTION("""COMPUTED_VALUE"""),"03Mar")</f>
        <v>03Mar</v>
      </c>
      <c r="F236" s="10" t="str">
        <f>IFERROR(__xludf.DUMMYFUNCTION("""COMPUTED_VALUE"""),"2023")</f>
        <v>2023</v>
      </c>
      <c r="G236" s="16" t="str">
        <f>IFERROR(__xludf.DUMMYFUNCTION("""COMPUTED_VALUE"""),"ERWIN LAKSAMANA")</f>
        <v>ERWIN LAKSAMANA</v>
      </c>
      <c r="H236" s="17" t="str">
        <f>IFERROR(__xludf.DUMMYFUNCTION("""COMPUTED_VALUE"""),"E9423030623")</f>
        <v>E9423030623</v>
      </c>
      <c r="I236" s="17">
        <f>IFERROR(__xludf.DUMMYFUNCTION("""COMPUTED_VALUE"""),31.0)</f>
        <v>31</v>
      </c>
      <c r="J236" s="17" t="str">
        <f>IFERROR(__xludf.DUMMYFUNCTION("""COMPUTED_VALUE"""),"25-34 tahun")</f>
        <v>25-34 tahun</v>
      </c>
      <c r="K236" s="19">
        <f>IFERROR(__xludf.DUMMYFUNCTION("""COMPUTED_VALUE"""),34599.0)</f>
        <v>34599</v>
      </c>
      <c r="L236" s="19" t="str">
        <f>IFERROR(__xludf.DUMMYFUNCTION("""COMPUTED_VALUE"""),"LAKI-LAKI")</f>
        <v>LAKI-LAKI</v>
      </c>
      <c r="M236" s="16" t="str">
        <f>IFERROR(__xludf.DUMMYFUNCTION("""COMPUTED_VALUE"""),"JL. SUI RAYA DALAM KOMP. MITRA INDAH UTAMA 2 NO. D2")</f>
        <v>JL. SUI RAYA DALAM KOMP. MITRA INDAH UTAMA 2 NO. D2</v>
      </c>
      <c r="N236" s="16"/>
      <c r="O236" s="16"/>
      <c r="P236" s="16"/>
      <c r="Q236" s="16"/>
      <c r="R236" s="19" t="str">
        <f>IFERROR(__xludf.DUMMYFUNCTION("""COMPUTED_VALUE"""),"ISLAM")</f>
        <v>ISLAM</v>
      </c>
      <c r="S236" s="16" t="str">
        <f>IFERROR(__xludf.DUMMYFUNCTION("""COMPUTED_VALUE"""),"WIRASWASTA")</f>
        <v>WIRASWASTA</v>
      </c>
      <c r="T236" s="16" t="str">
        <f>IFERROR(__xludf.DUMMYFUNCTION("""COMPUTED_VALUE"""),"BETIS")</f>
        <v>BETIS</v>
      </c>
      <c r="U236" s="16" t="str">
        <f>IFERROR(__xludf.DUMMYFUNCTION("""COMPUTED_VALUE"""),"-")</f>
        <v>-</v>
      </c>
      <c r="V236" s="21" t="str">
        <f>IFERROR(__xludf.DUMMYFUNCTION("""COMPUTED_VALUE"""),"081228350623")</f>
        <v>081228350623</v>
      </c>
      <c r="W236" s="27"/>
    </row>
    <row r="237" ht="22.5" customHeight="1">
      <c r="A237" s="25"/>
      <c r="B237" s="26">
        <f>IFERROR(__xludf.DUMMYFUNCTION("""COMPUTED_VALUE"""),45006.96470084491)</f>
        <v>45006.9647</v>
      </c>
      <c r="C237" s="26"/>
      <c r="D237" s="10">
        <f>IFERROR(__xludf.DUMMYFUNCTION("""COMPUTED_VALUE"""),45006.0)</f>
        <v>45006</v>
      </c>
      <c r="E237" s="10" t="str">
        <f>IFERROR(__xludf.DUMMYFUNCTION("""COMPUTED_VALUE"""),"03Mar")</f>
        <v>03Mar</v>
      </c>
      <c r="F237" s="10" t="str">
        <f>IFERROR(__xludf.DUMMYFUNCTION("""COMPUTED_VALUE"""),"2023")</f>
        <v>2023</v>
      </c>
      <c r="G237" s="16" t="str">
        <f>IFERROR(__xludf.DUMMYFUNCTION("""COMPUTED_VALUE"""),"FENNY CUNG")</f>
        <v>FENNY CUNG</v>
      </c>
      <c r="H237" s="17" t="str">
        <f>IFERROR(__xludf.DUMMYFUNCTION("""COMPUTED_VALUE"""),"F8023034895")</f>
        <v>F8023034895</v>
      </c>
      <c r="I237" s="17">
        <f>IFERROR(__xludf.DUMMYFUNCTION("""COMPUTED_VALUE"""),46.0)</f>
        <v>46</v>
      </c>
      <c r="J237" s="17" t="str">
        <f>IFERROR(__xludf.DUMMYFUNCTION("""COMPUTED_VALUE"""),"&gt; 44 tahun")</f>
        <v>&gt; 44 tahun</v>
      </c>
      <c r="K237" s="19">
        <f>IFERROR(__xludf.DUMMYFUNCTION("""COMPUTED_VALUE"""),29230.0)</f>
        <v>29230</v>
      </c>
      <c r="L237" s="19" t="str">
        <f>IFERROR(__xludf.DUMMYFUNCTION("""COMPUTED_VALUE"""),"PEREMPUAN")</f>
        <v>PEREMPUAN</v>
      </c>
      <c r="M237" s="16" t="str">
        <f>IFERROR(__xludf.DUMMYFUNCTION("""COMPUTED_VALUE"""),"JL. SUI RAYA DALAM KOMP. ROYAL SERDAM RESIDENCE")</f>
        <v>JL. SUI RAYA DALAM KOMP. ROYAL SERDAM RESIDENCE</v>
      </c>
      <c r="N237" s="16"/>
      <c r="O237" s="16"/>
      <c r="P237" s="16"/>
      <c r="Q237" s="16"/>
      <c r="R237" s="19" t="str">
        <f>IFERROR(__xludf.DUMMYFUNCTION("""COMPUTED_VALUE"""),"KATOLIK")</f>
        <v>KATOLIK</v>
      </c>
      <c r="S237" s="16" t="str">
        <f>IFERROR(__xludf.DUMMYFUNCTION("""COMPUTED_VALUE"""),"RUMAH TANGGA")</f>
        <v>RUMAH TANGGA</v>
      </c>
      <c r="T237" s="16" t="str">
        <f>IFERROR(__xludf.DUMMYFUNCTION("""COMPUTED_VALUE"""),"PAHA DAN")</f>
        <v>PAHA DAN</v>
      </c>
      <c r="U237" s="16" t="str">
        <f>IFERROR(__xludf.DUMMYFUNCTION("""COMPUTED_VALUE"""),"RUNNING")</f>
        <v>RUNNING</v>
      </c>
      <c r="V237" s="21" t="str">
        <f>IFERROR(__xludf.DUMMYFUNCTION("""COMPUTED_VALUE"""),"08161404895")</f>
        <v>08161404895</v>
      </c>
      <c r="W237" s="27"/>
    </row>
    <row r="238" ht="22.5" customHeight="1">
      <c r="A238" s="8"/>
      <c r="B238" s="9">
        <f>IFERROR(__xludf.DUMMYFUNCTION("""COMPUTED_VALUE"""),44983.45429398148)</f>
        <v>44983.45429</v>
      </c>
      <c r="C238" s="9"/>
      <c r="D238" s="10">
        <f>IFERROR(__xludf.DUMMYFUNCTION("""COMPUTED_VALUE"""),45006.0)</f>
        <v>45006</v>
      </c>
      <c r="E238" s="10" t="str">
        <f>IFERROR(__xludf.DUMMYFUNCTION("""COMPUTED_VALUE"""),"03Mar")</f>
        <v>03Mar</v>
      </c>
      <c r="F238" s="10" t="str">
        <f>IFERROR(__xludf.DUMMYFUNCTION("""COMPUTED_VALUE"""),"2023")</f>
        <v>2023</v>
      </c>
      <c r="G238" s="16" t="str">
        <f>IFERROR(__xludf.DUMMYFUNCTION("""COMPUTED_VALUE"""),"SRI RAYANAWATI")</f>
        <v>SRI RAYANAWATI</v>
      </c>
      <c r="H238" s="17" t="str">
        <f>IFERROR(__xludf.DUMMYFUNCTION("""COMPUTED_VALUE"""),"S7023035823")</f>
        <v>S7023035823</v>
      </c>
      <c r="I238" s="17">
        <f>IFERROR(__xludf.DUMMYFUNCTION("""COMPUTED_VALUE"""),55.0)</f>
        <v>55</v>
      </c>
      <c r="J238" s="17" t="str">
        <f>IFERROR(__xludf.DUMMYFUNCTION("""COMPUTED_VALUE"""),"&gt; 44 tahun")</f>
        <v>&gt; 44 tahun</v>
      </c>
      <c r="K238" s="19">
        <f>IFERROR(__xludf.DUMMYFUNCTION("""COMPUTED_VALUE"""),25745.0)</f>
        <v>25745</v>
      </c>
      <c r="L238" s="19" t="str">
        <f>IFERROR(__xludf.DUMMYFUNCTION("""COMPUTED_VALUE"""),"PEREMPUAN")</f>
        <v>PEREMPUAN</v>
      </c>
      <c r="M238" s="16" t="str">
        <f>IFERROR(__xludf.DUMMYFUNCTION("""COMPUTED_VALUE"""),"SAMBAS")</f>
        <v>SAMBAS</v>
      </c>
      <c r="N238" s="16"/>
      <c r="O238" s="16"/>
      <c r="P238" s="16"/>
      <c r="Q238" s="16"/>
      <c r="R238" s="19" t="str">
        <f>IFERROR(__xludf.DUMMYFUNCTION("""COMPUTED_VALUE"""),"ISLAM")</f>
        <v>ISLAM</v>
      </c>
      <c r="S238" s="16" t="str">
        <f>IFERROR(__xludf.DUMMYFUNCTION("""COMPUTED_VALUE"""),"RUMAH TANGGA")</f>
        <v>RUMAH TANGGA</v>
      </c>
      <c r="T238" s="16" t="str">
        <f>IFERROR(__xludf.DUMMYFUNCTION("""COMPUTED_VALUE"""),"TANGAN")</f>
        <v>TANGAN</v>
      </c>
      <c r="U238" s="16" t="str">
        <f>IFERROR(__xludf.DUMMYFUNCTION("""COMPUTED_VALUE"""),"-")</f>
        <v>-</v>
      </c>
      <c r="V238" s="21" t="str">
        <f>IFERROR(__xludf.DUMMYFUNCTION("""COMPUTED_VALUE"""),"08992845823")</f>
        <v>08992845823</v>
      </c>
      <c r="W238" s="22"/>
    </row>
    <row r="239" ht="22.5" customHeight="1">
      <c r="A239" s="25"/>
      <c r="B239" s="26">
        <f>IFERROR(__xludf.DUMMYFUNCTION("""COMPUTED_VALUE"""),45011.12861609954)</f>
        <v>45011.12862</v>
      </c>
      <c r="C239" s="26"/>
      <c r="D239" s="10">
        <f>IFERROR(__xludf.DUMMYFUNCTION("""COMPUTED_VALUE"""),45006.0)</f>
        <v>45006</v>
      </c>
      <c r="E239" s="10" t="str">
        <f>IFERROR(__xludf.DUMMYFUNCTION("""COMPUTED_VALUE"""),"03Mar")</f>
        <v>03Mar</v>
      </c>
      <c r="F239" s="10" t="str">
        <f>IFERROR(__xludf.DUMMYFUNCTION("""COMPUTED_VALUE"""),"2023")</f>
        <v>2023</v>
      </c>
      <c r="G239" s="16" t="str">
        <f>IFERROR(__xludf.DUMMYFUNCTION("""COMPUTED_VALUE"""),"TEGUH TRI HADMOJO")</f>
        <v>TEGUH TRI HADMOJO</v>
      </c>
      <c r="H239" s="17" t="str">
        <f>IFERROR(__xludf.DUMMYFUNCTION("""COMPUTED_VALUE"""),"T9223035598")</f>
        <v>T9223035598</v>
      </c>
      <c r="I239" s="17">
        <f>IFERROR(__xludf.DUMMYFUNCTION("""COMPUTED_VALUE"""),33.0)</f>
        <v>33</v>
      </c>
      <c r="J239" s="17" t="str">
        <f>IFERROR(__xludf.DUMMYFUNCTION("""COMPUTED_VALUE"""),"25-34 tahun")</f>
        <v>25-34 tahun</v>
      </c>
      <c r="K239" s="19">
        <f>IFERROR(__xludf.DUMMYFUNCTION("""COMPUTED_VALUE"""),33908.0)</f>
        <v>33908</v>
      </c>
      <c r="L239" s="19" t="str">
        <f>IFERROR(__xludf.DUMMYFUNCTION("""COMPUTED_VALUE"""),"LAKI-LAKI")</f>
        <v>LAKI-LAKI</v>
      </c>
      <c r="M239" s="16" t="str">
        <f>IFERROR(__xludf.DUMMYFUNCTION("""COMPUTED_VALUE"""),"KOMPLEK MITRA INDAH UTAMA 6 BLOK D.5")</f>
        <v>KOMPLEK MITRA INDAH UTAMA 6 BLOK D.5</v>
      </c>
      <c r="N239" s="16"/>
      <c r="O239" s="16"/>
      <c r="P239" s="16"/>
      <c r="Q239" s="16"/>
      <c r="R239" s="19" t="str">
        <f>IFERROR(__xludf.DUMMYFUNCTION("""COMPUTED_VALUE"""),"ISLAM")</f>
        <v>ISLAM</v>
      </c>
      <c r="S239" s="16" t="str">
        <f>IFERROR(__xludf.DUMMYFUNCTION("""COMPUTED_VALUE"""),"ASN")</f>
        <v>ASN</v>
      </c>
      <c r="T239" s="16" t="str">
        <f>IFERROR(__xludf.DUMMYFUNCTION("""COMPUTED_VALUE"""),"DAN PINGGUL")</f>
        <v>DAN PINGGUL</v>
      </c>
      <c r="U239" s="16" t="str">
        <f>IFERROR(__xludf.DUMMYFUNCTION("""COMPUTED_VALUE"""),"-")</f>
        <v>-</v>
      </c>
      <c r="V239" s="21" t="str">
        <f>IFERROR(__xludf.DUMMYFUNCTION("""COMPUTED_VALUE"""),"082353115598")</f>
        <v>082353115598</v>
      </c>
      <c r="W239" s="27"/>
    </row>
    <row r="240" ht="22.5" customHeight="1">
      <c r="A240" s="8"/>
      <c r="B240" s="9">
        <f>IFERROR(__xludf.DUMMYFUNCTION("""COMPUTED_VALUE"""),44943.529699074075)</f>
        <v>44943.5297</v>
      </c>
      <c r="C240" s="9"/>
      <c r="D240" s="10">
        <f>IFERROR(__xludf.DUMMYFUNCTION("""COMPUTED_VALUE"""),45006.890850497686)</f>
        <v>45006.89085</v>
      </c>
      <c r="E240" s="10" t="str">
        <f>IFERROR(__xludf.DUMMYFUNCTION("""COMPUTED_VALUE"""),"03Mar")</f>
        <v>03Mar</v>
      </c>
      <c r="F240" s="10" t="str">
        <f>IFERROR(__xludf.DUMMYFUNCTION("""COMPUTED_VALUE"""),"2023")</f>
        <v>2023</v>
      </c>
      <c r="G240" s="16" t="str">
        <f>IFERROR(__xludf.DUMMYFUNCTION("""COMPUTED_VALUE"""),"ARSHAL GHIYAT TSANI")</f>
        <v>ARSHAL GHIYAT TSANI</v>
      </c>
      <c r="H240" s="17" t="str">
        <f>IFERROR(__xludf.DUMMYFUNCTION("""COMPUTED_VALUE"""),"A0523030717")</f>
        <v>A0523030717</v>
      </c>
      <c r="I240" s="17">
        <f>IFERROR(__xludf.DUMMYFUNCTION("""COMPUTED_VALUE"""),20.0)</f>
        <v>20</v>
      </c>
      <c r="J240" s="17" t="str">
        <f>IFERROR(__xludf.DUMMYFUNCTION("""COMPUTED_VALUE"""),"18-24 tahun")</f>
        <v>18-24 tahun</v>
      </c>
      <c r="K240" s="19">
        <f>IFERROR(__xludf.DUMMYFUNCTION("""COMPUTED_VALUE"""),38694.0)</f>
        <v>38694</v>
      </c>
      <c r="L240" s="19" t="str">
        <f>IFERROR(__xludf.DUMMYFUNCTION("""COMPUTED_VALUE"""),"LAKI-LAKI")</f>
        <v>LAKI-LAKI</v>
      </c>
      <c r="M240" s="16" t="str">
        <f>IFERROR(__xludf.DUMMYFUNCTION("""COMPUTED_VALUE"""),"JL PARIT H MUKSIN 2")</f>
        <v>JL PARIT H MUKSIN 2</v>
      </c>
      <c r="N240" s="16"/>
      <c r="O240" s="16"/>
      <c r="P240" s="16"/>
      <c r="Q240" s="16"/>
      <c r="R240" s="19" t="str">
        <f>IFERROR(__xludf.DUMMYFUNCTION("""COMPUTED_VALUE"""),"ISLAM")</f>
        <v>ISLAM</v>
      </c>
      <c r="S240" s="16" t="str">
        <f>IFERROR(__xludf.DUMMYFUNCTION("""COMPUTED_VALUE"""),"PELAJAR/MAHASISWA")</f>
        <v>PELAJAR/MAHASISWA</v>
      </c>
      <c r="T240" s="16" t="str">
        <f>IFERROR(__xludf.DUMMYFUNCTION("""COMPUTED_VALUE"""),"KAKI O")</f>
        <v>KAKI O</v>
      </c>
      <c r="U240" s="16" t="str">
        <f>IFERROR(__xludf.DUMMYFUNCTION("""COMPUTED_VALUE"""),"-")</f>
        <v>-</v>
      </c>
      <c r="V240" s="21" t="str">
        <f>IFERROR(__xludf.DUMMYFUNCTION("""COMPUTED_VALUE"""),"082159880717")</f>
        <v>082159880717</v>
      </c>
      <c r="W240" s="22"/>
    </row>
    <row r="241" ht="22.5" customHeight="1">
      <c r="A241" s="8"/>
      <c r="B241" s="9">
        <f>IFERROR(__xludf.DUMMYFUNCTION("""COMPUTED_VALUE"""),45011.07341498842)</f>
        <v>45011.07341</v>
      </c>
      <c r="C241" s="9"/>
      <c r="D241" s="10">
        <f>IFERROR(__xludf.DUMMYFUNCTION("""COMPUTED_VALUE"""),45010.0)</f>
        <v>45010</v>
      </c>
      <c r="E241" s="10" t="str">
        <f>IFERROR(__xludf.DUMMYFUNCTION("""COMPUTED_VALUE"""),"03Mar")</f>
        <v>03Mar</v>
      </c>
      <c r="F241" s="10" t="str">
        <f>IFERROR(__xludf.DUMMYFUNCTION("""COMPUTED_VALUE"""),"2023")</f>
        <v>2023</v>
      </c>
      <c r="G241" s="16" t="str">
        <f>IFERROR(__xludf.DUMMYFUNCTION("""COMPUTED_VALUE"""),"RUSLI")</f>
        <v>RUSLI</v>
      </c>
      <c r="H241" s="17" t="str">
        <f>IFERROR(__xludf.DUMMYFUNCTION("""COMPUTED_VALUE"""),"R7123038687")</f>
        <v>R7123038687</v>
      </c>
      <c r="I241" s="17">
        <f>IFERROR(__xludf.DUMMYFUNCTION("""COMPUTED_VALUE"""),55.0)</f>
        <v>55</v>
      </c>
      <c r="J241" s="17" t="str">
        <f>IFERROR(__xludf.DUMMYFUNCTION("""COMPUTED_VALUE"""),"&gt; 44 tahun")</f>
        <v>&gt; 44 tahun</v>
      </c>
      <c r="K241" s="19">
        <f>IFERROR(__xludf.DUMMYFUNCTION("""COMPUTED_VALUE"""),25953.0)</f>
        <v>25953</v>
      </c>
      <c r="L241" s="19" t="str">
        <f>IFERROR(__xludf.DUMMYFUNCTION("""COMPUTED_VALUE"""),"LAKI-LAKI")</f>
        <v>LAKI-LAKI</v>
      </c>
      <c r="M241" s="16" t="str">
        <f>IFERROR(__xludf.DUMMYFUNCTION("""COMPUTED_VALUE"""),"JL. HANURA GG. HARAPAN 5")</f>
        <v>JL. HANURA GG. HARAPAN 5</v>
      </c>
      <c r="N241" s="16"/>
      <c r="O241" s="16"/>
      <c r="P241" s="16"/>
      <c r="Q241" s="16"/>
      <c r="R241" s="19" t="str">
        <f>IFERROR(__xludf.DUMMYFUNCTION("""COMPUTED_VALUE"""),"ISLAM")</f>
        <v>ISLAM</v>
      </c>
      <c r="S241" s="16" t="str">
        <f>IFERROR(__xludf.DUMMYFUNCTION("""COMPUTED_VALUE"""),"BURUH")</f>
        <v>BURUH</v>
      </c>
      <c r="T241" s="16" t="str">
        <f>IFERROR(__xludf.DUMMYFUNCTION("""COMPUTED_VALUE"""),"PINGGANG")</f>
        <v>PINGGANG</v>
      </c>
      <c r="U241" s="16" t="str">
        <f>IFERROR(__xludf.DUMMYFUNCTION("""COMPUTED_VALUE"""),"-")</f>
        <v>-</v>
      </c>
      <c r="V241" s="21" t="str">
        <f>IFERROR(__xludf.DUMMYFUNCTION("""COMPUTED_VALUE"""),"085787208687")</f>
        <v>085787208687</v>
      </c>
      <c r="W241" s="22"/>
    </row>
    <row r="242" ht="22.5" customHeight="1">
      <c r="A242" s="28"/>
      <c r="B242" s="30">
        <f>IFERROR(__xludf.DUMMYFUNCTION("""COMPUTED_VALUE"""),45010.712974988426)</f>
        <v>45010.71297</v>
      </c>
      <c r="C242" s="30"/>
      <c r="D242" s="10">
        <f>IFERROR(__xludf.DUMMYFUNCTION("""COMPUTED_VALUE"""),45010.0)</f>
        <v>45010</v>
      </c>
      <c r="E242" s="10" t="str">
        <f>IFERROR(__xludf.DUMMYFUNCTION("""COMPUTED_VALUE"""),"03Mar")</f>
        <v>03Mar</v>
      </c>
      <c r="F242" s="10" t="str">
        <f>IFERROR(__xludf.DUMMYFUNCTION("""COMPUTED_VALUE"""),"2023")</f>
        <v>2023</v>
      </c>
      <c r="G242" s="16" t="str">
        <f>IFERROR(__xludf.DUMMYFUNCTION("""COMPUTED_VALUE"""),"ZULFIKAR")</f>
        <v>ZULFIKAR</v>
      </c>
      <c r="H242" s="17" t="str">
        <f>IFERROR(__xludf.DUMMYFUNCTION("""COMPUTED_VALUE"""),"Z9323034489")</f>
        <v>Z9323034489</v>
      </c>
      <c r="I242" s="17">
        <f>IFERROR(__xludf.DUMMYFUNCTION("""COMPUTED_VALUE"""),32.0)</f>
        <v>32</v>
      </c>
      <c r="J242" s="17" t="str">
        <f>IFERROR(__xludf.DUMMYFUNCTION("""COMPUTED_VALUE"""),"25-34 tahun")</f>
        <v>25-34 tahun</v>
      </c>
      <c r="K242" s="19">
        <f>IFERROR(__xludf.DUMMYFUNCTION("""COMPUTED_VALUE"""),34280.0)</f>
        <v>34280</v>
      </c>
      <c r="L242" s="19" t="str">
        <f>IFERROR(__xludf.DUMMYFUNCTION("""COMPUTED_VALUE"""),"LAKI-LAKI")</f>
        <v>LAKI-LAKI</v>
      </c>
      <c r="M242" s="16" t="str">
        <f>IFERROR(__xludf.DUMMYFUNCTION("""COMPUTED_VALUE"""),"JL URAY BAWADI")</f>
        <v>JL URAY BAWADI</v>
      </c>
      <c r="N242" s="16"/>
      <c r="O242" s="16"/>
      <c r="P242" s="16"/>
      <c r="Q242" s="16"/>
      <c r="R242" s="19" t="str">
        <f>IFERROR(__xludf.DUMMYFUNCTION("""COMPUTED_VALUE"""),"ISLAM")</f>
        <v>ISLAM</v>
      </c>
      <c r="S242" s="16" t="str">
        <f>IFERROR(__xludf.DUMMYFUNCTION("""COMPUTED_VALUE"""),"SWASTA")</f>
        <v>SWASTA</v>
      </c>
      <c r="T242" s="16"/>
      <c r="U242" s="16" t="str">
        <f>IFERROR(__xludf.DUMMYFUNCTION("""COMPUTED_VALUE"""),"-")</f>
        <v>-</v>
      </c>
      <c r="V242" s="21" t="str">
        <f>IFERROR(__xludf.DUMMYFUNCTION("""COMPUTED_VALUE"""),"081327264489")</f>
        <v>081327264489</v>
      </c>
      <c r="W242" s="31"/>
    </row>
    <row r="243" ht="22.5" customHeight="1">
      <c r="A243" s="25"/>
      <c r="B243" s="26">
        <f>IFERROR(__xludf.DUMMYFUNCTION("""COMPUTED_VALUE"""),44856.83403935185)</f>
        <v>44856.83404</v>
      </c>
      <c r="C243" s="26"/>
      <c r="D243" s="10">
        <f>IFERROR(__xludf.DUMMYFUNCTION("""COMPUTED_VALUE"""),45011.0)</f>
        <v>45011</v>
      </c>
      <c r="E243" s="10" t="str">
        <f>IFERROR(__xludf.DUMMYFUNCTION("""COMPUTED_VALUE"""),"03Mar")</f>
        <v>03Mar</v>
      </c>
      <c r="F243" s="10" t="str">
        <f>IFERROR(__xludf.DUMMYFUNCTION("""COMPUTED_VALUE"""),"2023")</f>
        <v>2023</v>
      </c>
      <c r="G243" s="16" t="str">
        <f>IFERROR(__xludf.DUMMYFUNCTION("""COMPUTED_VALUE"""),"BUDI KURNIAWAN MANURUNG")</f>
        <v>BUDI KURNIAWAN MANURUNG</v>
      </c>
      <c r="H243" s="17" t="str">
        <f>IFERROR(__xludf.DUMMYFUNCTION("""COMPUTED_VALUE"""),"B9623038042")</f>
        <v>B9623038042</v>
      </c>
      <c r="I243" s="17">
        <f>IFERROR(__xludf.DUMMYFUNCTION("""COMPUTED_VALUE"""),29.0)</f>
        <v>29</v>
      </c>
      <c r="J243" s="17" t="str">
        <f>IFERROR(__xludf.DUMMYFUNCTION("""COMPUTED_VALUE"""),"25-34 tahun")</f>
        <v>25-34 tahun</v>
      </c>
      <c r="K243" s="19">
        <f>IFERROR(__xludf.DUMMYFUNCTION("""COMPUTED_VALUE"""),35403.0)</f>
        <v>35403</v>
      </c>
      <c r="L243" s="19" t="str">
        <f>IFERROR(__xludf.DUMMYFUNCTION("""COMPUTED_VALUE"""),"LAKI-LAKI")</f>
        <v>LAKI-LAKI</v>
      </c>
      <c r="M243" s="16" t="str">
        <f>IFERROR(__xludf.DUMMYFUNCTION("""COMPUTED_VALUE"""),"JL. KARET GG. KARET INDAH")</f>
        <v>JL. KARET GG. KARET INDAH</v>
      </c>
      <c r="N243" s="16"/>
      <c r="O243" s="16"/>
      <c r="P243" s="16"/>
      <c r="Q243" s="16"/>
      <c r="R243" s="19" t="str">
        <f>IFERROR(__xludf.DUMMYFUNCTION("""COMPUTED_VALUE"""),"ISLAM")</f>
        <v>ISLAM</v>
      </c>
      <c r="S243" s="16" t="str">
        <f>IFERROR(__xludf.DUMMYFUNCTION("""COMPUTED_VALUE"""),"WIRASWASTA")</f>
        <v>WIRASWASTA</v>
      </c>
      <c r="T243" s="16" t="str">
        <f>IFERROR(__xludf.DUMMYFUNCTION("""COMPUTED_VALUE"""),"PINGGANG")</f>
        <v>PINGGANG</v>
      </c>
      <c r="U243" s="16" t="str">
        <f>IFERROR(__xludf.DUMMYFUNCTION("""COMPUTED_VALUE"""),"-")</f>
        <v>-</v>
      </c>
      <c r="V243" s="21" t="str">
        <f>IFERROR(__xludf.DUMMYFUNCTION("""COMPUTED_VALUE"""),"081216808042")</f>
        <v>081216808042</v>
      </c>
      <c r="W243" s="27"/>
    </row>
    <row r="244" ht="22.5" customHeight="1">
      <c r="A244" s="28"/>
      <c r="B244" s="9">
        <f>IFERROR(__xludf.DUMMYFUNCTION("""COMPUTED_VALUE"""),44964.80289351852)</f>
        <v>44964.80289</v>
      </c>
      <c r="C244" s="9"/>
      <c r="D244" s="10">
        <f>IFERROR(__xludf.DUMMYFUNCTION("""COMPUTED_VALUE"""),45011.0)</f>
        <v>45011</v>
      </c>
      <c r="E244" s="10" t="str">
        <f>IFERROR(__xludf.DUMMYFUNCTION("""COMPUTED_VALUE"""),"03Mar")</f>
        <v>03Mar</v>
      </c>
      <c r="F244" s="10" t="str">
        <f>IFERROR(__xludf.DUMMYFUNCTION("""COMPUTED_VALUE"""),"2023")</f>
        <v>2023</v>
      </c>
      <c r="G244" s="16" t="str">
        <f>IFERROR(__xludf.DUMMYFUNCTION("""COMPUTED_VALUE"""),"GILANG WAHYU RAMADHAN")</f>
        <v>GILANG WAHYU RAMADHAN</v>
      </c>
      <c r="H244" s="17" t="str">
        <f>IFERROR(__xludf.DUMMYFUNCTION("""COMPUTED_VALUE"""),"G0623030109")</f>
        <v>G0623030109</v>
      </c>
      <c r="I244" s="17">
        <f>IFERROR(__xludf.DUMMYFUNCTION("""COMPUTED_VALUE"""),19.0)</f>
        <v>19</v>
      </c>
      <c r="J244" s="17" t="str">
        <f>IFERROR(__xludf.DUMMYFUNCTION("""COMPUTED_VALUE"""),"18-24 tahun")</f>
        <v>18-24 tahun</v>
      </c>
      <c r="K244" s="19">
        <f>IFERROR(__xludf.DUMMYFUNCTION("""COMPUTED_VALUE"""),39006.0)</f>
        <v>39006</v>
      </c>
      <c r="L244" s="19" t="str">
        <f>IFERROR(__xludf.DUMMYFUNCTION("""COMPUTED_VALUE"""),"LAKI-LAKI")</f>
        <v>LAKI-LAKI</v>
      </c>
      <c r="M244" s="16" t="str">
        <f>IFERROR(__xludf.DUMMYFUNCTION("""COMPUTED_VALUE"""),"JL. PARIS I GG. MULIA NO. 80")</f>
        <v>JL. PARIS I GG. MULIA NO. 80</v>
      </c>
      <c r="N244" s="16"/>
      <c r="O244" s="16"/>
      <c r="P244" s="16"/>
      <c r="Q244" s="16"/>
      <c r="R244" s="19" t="str">
        <f>IFERROR(__xludf.DUMMYFUNCTION("""COMPUTED_VALUE"""),"ISLAM")</f>
        <v>ISLAM</v>
      </c>
      <c r="S244" s="16" t="str">
        <f>IFERROR(__xludf.DUMMYFUNCTION("""COMPUTED_VALUE"""),"PELAJAR/MAHASISWA")</f>
        <v>PELAJAR/MAHASISWA</v>
      </c>
      <c r="T244" s="16" t="str">
        <f>IFERROR(__xludf.DUMMYFUNCTION("""COMPUTED_VALUE"""),"PINGGANG")</f>
        <v>PINGGANG</v>
      </c>
      <c r="U244" s="16" t="str">
        <f>IFERROR(__xludf.DUMMYFUNCTION("""COMPUTED_VALUE"""),"-")</f>
        <v>-</v>
      </c>
      <c r="V244" s="21" t="str">
        <f>IFERROR(__xludf.DUMMYFUNCTION("""COMPUTED_VALUE"""),"089629120109")</f>
        <v>089629120109</v>
      </c>
      <c r="W244" s="22"/>
    </row>
    <row r="245" ht="22.5" customHeight="1">
      <c r="A245" s="8"/>
      <c r="B245" s="9">
        <f>IFERROR(__xludf.DUMMYFUNCTION("""COMPUTED_VALUE"""),45011.07097680555)</f>
        <v>45011.07098</v>
      </c>
      <c r="C245" s="9"/>
      <c r="D245" s="10">
        <f>IFERROR(__xludf.DUMMYFUNCTION("""COMPUTED_VALUE"""),45011.0)</f>
        <v>45011</v>
      </c>
      <c r="E245" s="10" t="str">
        <f>IFERROR(__xludf.DUMMYFUNCTION("""COMPUTED_VALUE"""),"03Mar")</f>
        <v>03Mar</v>
      </c>
      <c r="F245" s="10" t="str">
        <f>IFERROR(__xludf.DUMMYFUNCTION("""COMPUTED_VALUE"""),"2023")</f>
        <v>2023</v>
      </c>
      <c r="G245" s="16" t="str">
        <f>IFERROR(__xludf.DUMMYFUNCTION("""COMPUTED_VALUE"""),"JUHERI")</f>
        <v>JUHERI</v>
      </c>
      <c r="H245" s="17" t="str">
        <f>IFERROR(__xludf.DUMMYFUNCTION("""COMPUTED_VALUE"""),"J9623038103")</f>
        <v>J9623038103</v>
      </c>
      <c r="I245" s="17">
        <f>IFERROR(__xludf.DUMMYFUNCTION("""COMPUTED_VALUE"""),30.0)</f>
        <v>30</v>
      </c>
      <c r="J245" s="17" t="str">
        <f>IFERROR(__xludf.DUMMYFUNCTION("""COMPUTED_VALUE"""),"25-34 tahun")</f>
        <v>25-34 tahun</v>
      </c>
      <c r="K245" s="19">
        <f>IFERROR(__xludf.DUMMYFUNCTION("""COMPUTED_VALUE"""),35077.0)</f>
        <v>35077</v>
      </c>
      <c r="L245" s="19" t="str">
        <f>IFERROR(__xludf.DUMMYFUNCTION("""COMPUTED_VALUE"""),"LAKI-LAKI")</f>
        <v>LAKI-LAKI</v>
      </c>
      <c r="M245" s="16" t="str">
        <f>IFERROR(__xludf.DUMMYFUNCTION("""COMPUTED_VALUE"""),"JL. TANJUNG RAYA II, JL. TANI MASUK JL. PADAT KARYA KOMP. YAZIDA")</f>
        <v>JL. TANJUNG RAYA II, JL. TANI MASUK JL. PADAT KARYA KOMP. YAZIDA</v>
      </c>
      <c r="N245" s="16"/>
      <c r="O245" s="16"/>
      <c r="P245" s="16"/>
      <c r="Q245" s="16"/>
      <c r="R245" s="19" t="str">
        <f>IFERROR(__xludf.DUMMYFUNCTION("""COMPUTED_VALUE"""),"ISLAM")</f>
        <v>ISLAM</v>
      </c>
      <c r="S245" s="16" t="str">
        <f>IFERROR(__xludf.DUMMYFUNCTION("""COMPUTED_VALUE"""),"WIRASWASTA")</f>
        <v>WIRASWASTA</v>
      </c>
      <c r="T245" s="16"/>
      <c r="U245" s="16" t="str">
        <f>IFERROR(__xludf.DUMMYFUNCTION("""COMPUTED_VALUE"""),"-")</f>
        <v>-</v>
      </c>
      <c r="V245" s="21" t="str">
        <f>IFERROR(__xludf.DUMMYFUNCTION("""COMPUTED_VALUE"""),"081352698103")</f>
        <v>081352698103</v>
      </c>
      <c r="W245" s="22"/>
    </row>
    <row r="246" ht="22.5" customHeight="1">
      <c r="A246" s="8"/>
      <c r="B246" s="9">
        <f>IFERROR(__xludf.DUMMYFUNCTION("""COMPUTED_VALUE"""),45011.68711762731)</f>
        <v>45011.68712</v>
      </c>
      <c r="C246" s="9"/>
      <c r="D246" s="10">
        <f>IFERROR(__xludf.DUMMYFUNCTION("""COMPUTED_VALUE"""),45011.17362923612)</f>
        <v>45011.17363</v>
      </c>
      <c r="E246" s="10" t="str">
        <f>IFERROR(__xludf.DUMMYFUNCTION("""COMPUTED_VALUE"""),"03Mar")</f>
        <v>03Mar</v>
      </c>
      <c r="F246" s="10" t="str">
        <f>IFERROR(__xludf.DUMMYFUNCTION("""COMPUTED_VALUE"""),"2023")</f>
        <v>2023</v>
      </c>
      <c r="G246" s="16" t="str">
        <f>IFERROR(__xludf.DUMMYFUNCTION("""COMPUTED_VALUE"""),"MULYADI RAHYONO")</f>
        <v>MULYADI RAHYONO</v>
      </c>
      <c r="H246" s="17" t="str">
        <f>IFERROR(__xludf.DUMMYFUNCTION("""COMPUTED_VALUE"""),"M6023037890")</f>
        <v>M6023037890</v>
      </c>
      <c r="I246" s="17">
        <f>IFERROR(__xludf.DUMMYFUNCTION("""COMPUTED_VALUE"""),66.0)</f>
        <v>66</v>
      </c>
      <c r="J246" s="17" t="str">
        <f>IFERROR(__xludf.DUMMYFUNCTION("""COMPUTED_VALUE"""),"&gt; 44 tahun")</f>
        <v>&gt; 44 tahun</v>
      </c>
      <c r="K246" s="19">
        <f>IFERROR(__xludf.DUMMYFUNCTION("""COMPUTED_VALUE"""),22090.0)</f>
        <v>22090</v>
      </c>
      <c r="L246" s="19" t="str">
        <f>IFERROR(__xludf.DUMMYFUNCTION("""COMPUTED_VALUE"""),"LAKI-LAKI")</f>
        <v>LAKI-LAKI</v>
      </c>
      <c r="M246" s="16" t="str">
        <f>IFERROR(__xludf.DUMMYFUNCTION("""COMPUTED_VALUE"""),"JL PROF DR HAMKA GG NILAM 6 NO 6")</f>
        <v>JL PROF DR HAMKA GG NILAM 6 NO 6</v>
      </c>
      <c r="N246" s="16"/>
      <c r="O246" s="16"/>
      <c r="P246" s="16"/>
      <c r="Q246" s="16"/>
      <c r="R246" s="19" t="str">
        <f>IFERROR(__xludf.DUMMYFUNCTION("""COMPUTED_VALUE"""),"ISLAM")</f>
        <v>ISLAM</v>
      </c>
      <c r="S246" s="16" t="str">
        <f>IFERROR(__xludf.DUMMYFUNCTION("""COMPUTED_VALUE"""),"SWASTA")</f>
        <v>SWASTA</v>
      </c>
      <c r="T246" s="16" t="str">
        <f>IFERROR(__xludf.DUMMYFUNCTION("""COMPUTED_VALUE"""),"PINGGANG")</f>
        <v>PINGGANG</v>
      </c>
      <c r="U246" s="16" t="str">
        <f>IFERROR(__xludf.DUMMYFUNCTION("""COMPUTED_VALUE"""),"FUTSAL")</f>
        <v>FUTSAL</v>
      </c>
      <c r="V246" s="21" t="str">
        <f>IFERROR(__xludf.DUMMYFUNCTION("""COMPUTED_VALUE"""),"085750737890")</f>
        <v>085750737890</v>
      </c>
      <c r="W246" s="22"/>
    </row>
    <row r="247" ht="22.5" customHeight="1">
      <c r="A247" s="8"/>
      <c r="B247" s="9">
        <f>IFERROR(__xludf.DUMMYFUNCTION("""COMPUTED_VALUE"""),45011.69306796296)</f>
        <v>45011.69307</v>
      </c>
      <c r="C247" s="9"/>
      <c r="D247" s="10">
        <f>IFERROR(__xludf.DUMMYFUNCTION("""COMPUTED_VALUE"""),45011.636695787034)</f>
        <v>45011.6367</v>
      </c>
      <c r="E247" s="10" t="str">
        <f>IFERROR(__xludf.DUMMYFUNCTION("""COMPUTED_VALUE"""),"03Mar")</f>
        <v>03Mar</v>
      </c>
      <c r="F247" s="10" t="str">
        <f>IFERROR(__xludf.DUMMYFUNCTION("""COMPUTED_VALUE"""),"2023")</f>
        <v>2023</v>
      </c>
      <c r="G247" s="16" t="str">
        <f>IFERROR(__xludf.DUMMYFUNCTION("""COMPUTED_VALUE"""),"RANDI APRIYANTO")</f>
        <v>RANDI APRIYANTO</v>
      </c>
      <c r="H247" s="17" t="str">
        <f>IFERROR(__xludf.DUMMYFUNCTION("""COMPUTED_VALUE"""),"R1023038566")</f>
        <v>R1023038566</v>
      </c>
      <c r="I247" s="17">
        <f>IFERROR(__xludf.DUMMYFUNCTION("""COMPUTED_VALUE"""),16.0)</f>
        <v>16</v>
      </c>
      <c r="J247" s="17" t="str">
        <f>IFERROR(__xludf.DUMMYFUNCTION("""COMPUTED_VALUE"""),"&lt; 18 tahun")</f>
        <v>&lt; 18 tahun</v>
      </c>
      <c r="K247" s="19">
        <f>IFERROR(__xludf.DUMMYFUNCTION("""COMPUTED_VALUE"""),40285.0)</f>
        <v>40285</v>
      </c>
      <c r="L247" s="19" t="str">
        <f>IFERROR(__xludf.DUMMYFUNCTION("""COMPUTED_VALUE"""),"LAKI-LAKI")</f>
        <v>LAKI-LAKI</v>
      </c>
      <c r="M247" s="16" t="str">
        <f>IFERROR(__xludf.DUMMYFUNCTION("""COMPUTED_VALUE"""),"JL TANJUNG HARAPAN GG DUSUN MAYA")</f>
        <v>JL TANJUNG HARAPAN GG DUSUN MAYA</v>
      </c>
      <c r="N247" s="16"/>
      <c r="O247" s="16"/>
      <c r="P247" s="16"/>
      <c r="Q247" s="16"/>
      <c r="R247" s="19" t="str">
        <f>IFERROR(__xludf.DUMMYFUNCTION("""COMPUTED_VALUE"""),"ISLAM")</f>
        <v>ISLAM</v>
      </c>
      <c r="S247" s="16" t="str">
        <f>IFERROR(__xludf.DUMMYFUNCTION("""COMPUTED_VALUE"""),"PELAJAR/MAHASISWA")</f>
        <v>PELAJAR/MAHASISWA</v>
      </c>
      <c r="T247" s="16" t="str">
        <f>IFERROR(__xludf.DUMMYFUNCTION("""COMPUTED_VALUE"""),"RAHANG")</f>
        <v>RAHANG</v>
      </c>
      <c r="U247" s="16" t="str">
        <f>IFERROR(__xludf.DUMMYFUNCTION("""COMPUTED_VALUE"""),"PELAJAR")</f>
        <v>PELAJAR</v>
      </c>
      <c r="V247" s="21" t="str">
        <f>IFERROR(__xludf.DUMMYFUNCTION("""COMPUTED_VALUE"""),"085389868566")</f>
        <v>085389868566</v>
      </c>
      <c r="W247" s="22"/>
    </row>
    <row r="248" ht="22.5" customHeight="1">
      <c r="A248" s="8"/>
      <c r="B248" s="9">
        <f>IFERROR(__xludf.DUMMYFUNCTION("""COMPUTED_VALUE"""),45011.694032430554)</f>
        <v>45011.69403</v>
      </c>
      <c r="C248" s="9"/>
      <c r="D248" s="10">
        <f>IFERROR(__xludf.DUMMYFUNCTION("""COMPUTED_VALUE"""),45011.71445225694)</f>
        <v>45011.71445</v>
      </c>
      <c r="E248" s="10" t="str">
        <f>IFERROR(__xludf.DUMMYFUNCTION("""COMPUTED_VALUE"""),"03Mar")</f>
        <v>03Mar</v>
      </c>
      <c r="F248" s="10" t="str">
        <f>IFERROR(__xludf.DUMMYFUNCTION("""COMPUTED_VALUE"""),"2023")</f>
        <v>2023</v>
      </c>
      <c r="G248" s="16" t="str">
        <f>IFERROR(__xludf.DUMMYFUNCTION("""COMPUTED_VALUE"""),"FAUZAN NUR ADIMA")</f>
        <v>FAUZAN NUR ADIMA</v>
      </c>
      <c r="H248" s="17" t="str">
        <f>IFERROR(__xludf.DUMMYFUNCTION("""COMPUTED_VALUE"""),"F2323030963")</f>
        <v>F2323030963</v>
      </c>
      <c r="I248" s="17">
        <f>IFERROR(__xludf.DUMMYFUNCTION("""COMPUTED_VALUE"""),3.0)</f>
        <v>3</v>
      </c>
      <c r="J248" s="17" t="str">
        <f>IFERROR(__xludf.DUMMYFUNCTION("""COMPUTED_VALUE"""),"&lt; 18 tahun")</f>
        <v>&lt; 18 tahun</v>
      </c>
      <c r="K248" s="19">
        <f>IFERROR(__xludf.DUMMYFUNCTION("""COMPUTED_VALUE"""),44933.0)</f>
        <v>44933</v>
      </c>
      <c r="L248" s="19" t="str">
        <f>IFERROR(__xludf.DUMMYFUNCTION("""COMPUTED_VALUE"""),"LAKI-LAKI")</f>
        <v>LAKI-LAKI</v>
      </c>
      <c r="M248" s="16" t="str">
        <f>IFERROR(__xludf.DUMMYFUNCTION("""COMPUTED_VALUE"""),"JAKARTA TIMUR")</f>
        <v>JAKARTA TIMUR</v>
      </c>
      <c r="N248" s="16"/>
      <c r="O248" s="16"/>
      <c r="P248" s="16"/>
      <c r="Q248" s="16"/>
      <c r="R248" s="19" t="str">
        <f>IFERROR(__xludf.DUMMYFUNCTION("""COMPUTED_VALUE"""),"ISLAM")</f>
        <v>ISLAM</v>
      </c>
      <c r="S248" s="16" t="str">
        <f>IFERROR(__xludf.DUMMYFUNCTION("""COMPUTED_VALUE"""),"SWASTA")</f>
        <v>SWASTA</v>
      </c>
      <c r="T248" s="16" t="str">
        <f>IFERROR(__xludf.DUMMYFUNCTION("""COMPUTED_VALUE"""),"PINGGANG")</f>
        <v>PINGGANG</v>
      </c>
      <c r="U248" s="16" t="str">
        <f>IFERROR(__xludf.DUMMYFUNCTION("""COMPUTED_VALUE"""),"-")</f>
        <v>-</v>
      </c>
      <c r="V248" s="21" t="str">
        <f>IFERROR(__xludf.DUMMYFUNCTION("""COMPUTED_VALUE"""),"085726360963")</f>
        <v>085726360963</v>
      </c>
      <c r="W248" s="22"/>
    </row>
    <row r="249" ht="22.5" customHeight="1">
      <c r="A249" s="28"/>
      <c r="B249" s="9">
        <f>IFERROR(__xludf.DUMMYFUNCTION("""COMPUTED_VALUE"""),45011.70321649306)</f>
        <v>45011.70322</v>
      </c>
      <c r="C249" s="9"/>
      <c r="D249" s="10">
        <f>IFERROR(__xludf.DUMMYFUNCTION("""COMPUTED_VALUE"""),45013.0)</f>
        <v>45013</v>
      </c>
      <c r="E249" s="10" t="str">
        <f>IFERROR(__xludf.DUMMYFUNCTION("""COMPUTED_VALUE"""),"03Mar")</f>
        <v>03Mar</v>
      </c>
      <c r="F249" s="10" t="str">
        <f>IFERROR(__xludf.DUMMYFUNCTION("""COMPUTED_VALUE"""),"2023")</f>
        <v>2023</v>
      </c>
      <c r="G249" s="16" t="str">
        <f>IFERROR(__xludf.DUMMYFUNCTION("""COMPUTED_VALUE"""),"FINA ANDRIANA")</f>
        <v>FINA ANDRIANA</v>
      </c>
      <c r="H249" s="17" t="str">
        <f>IFERROR(__xludf.DUMMYFUNCTION("""COMPUTED_VALUE"""),"F2323031111")</f>
        <v>F2323031111</v>
      </c>
      <c r="I249" s="17">
        <f>IFERROR(__xludf.DUMMYFUNCTION("""COMPUTED_VALUE"""),3.0)</f>
        <v>3</v>
      </c>
      <c r="J249" s="17" t="str">
        <f>IFERROR(__xludf.DUMMYFUNCTION("""COMPUTED_VALUE"""),"&lt; 18 tahun")</f>
        <v>&lt; 18 tahun</v>
      </c>
      <c r="K249" s="19">
        <f>IFERROR(__xludf.DUMMYFUNCTION("""COMPUTED_VALUE"""),45013.0)</f>
        <v>45013</v>
      </c>
      <c r="L249" s="19" t="str">
        <f>IFERROR(__xludf.DUMMYFUNCTION("""COMPUTED_VALUE"""),"PEREMPUAN")</f>
        <v>PEREMPUAN</v>
      </c>
      <c r="M249" s="16" t="str">
        <f>IFERROR(__xludf.DUMMYFUNCTION("""COMPUTED_VALUE"""),"JL AYANI 2 , VILLA CERIA LESTARI NO 41")</f>
        <v>JL AYANI 2 , VILLA CERIA LESTARI NO 41</v>
      </c>
      <c r="N249" s="16"/>
      <c r="O249" s="16"/>
      <c r="P249" s="16"/>
      <c r="Q249" s="16"/>
      <c r="R249" s="19" t="str">
        <f>IFERROR(__xludf.DUMMYFUNCTION("""COMPUTED_VALUE"""),"BUDDHA")</f>
        <v>BUDDHA</v>
      </c>
      <c r="S249" s="16" t="str">
        <f>IFERROR(__xludf.DUMMYFUNCTION("""COMPUTED_VALUE"""),"SWASTA")</f>
        <v>SWASTA</v>
      </c>
      <c r="T249" s="16" t="str">
        <f>IFERROR(__xludf.DUMMYFUNCTION("""COMPUTED_VALUE"""),"PINGGANG")</f>
        <v>PINGGANG</v>
      </c>
      <c r="U249" s="16" t="str">
        <f>IFERROR(__xludf.DUMMYFUNCTION("""COMPUTED_VALUE"""),"-")</f>
        <v>-</v>
      </c>
      <c r="V249" s="21" t="str">
        <f>IFERROR(__xludf.DUMMYFUNCTION("""COMPUTED_VALUE"""),"082154691111")</f>
        <v>082154691111</v>
      </c>
      <c r="W249" s="22"/>
    </row>
    <row r="250" ht="22.5" customHeight="1">
      <c r="A250" s="8"/>
      <c r="B250" s="9">
        <f>IFERROR(__xludf.DUMMYFUNCTION("""COMPUTED_VALUE"""),45011.71445225694)</f>
        <v>45011.71445</v>
      </c>
      <c r="C250" s="9"/>
      <c r="D250" s="10">
        <f>IFERROR(__xludf.DUMMYFUNCTION("""COMPUTED_VALUE"""),45013.0)</f>
        <v>45013</v>
      </c>
      <c r="E250" s="10" t="str">
        <f>IFERROR(__xludf.DUMMYFUNCTION("""COMPUTED_VALUE"""),"03Mar")</f>
        <v>03Mar</v>
      </c>
      <c r="F250" s="10" t="str">
        <f>IFERROR(__xludf.DUMMYFUNCTION("""COMPUTED_VALUE"""),"2023")</f>
        <v>2023</v>
      </c>
      <c r="G250" s="16" t="str">
        <f>IFERROR(__xludf.DUMMYFUNCTION("""COMPUTED_VALUE"""),"ADI ACHYANI")</f>
        <v>ADI ACHYANI</v>
      </c>
      <c r="H250" s="17" t="str">
        <f>IFERROR(__xludf.DUMMYFUNCTION("""COMPUTED_VALUE"""),"A6123035104")</f>
        <v>A6123035104</v>
      </c>
      <c r="I250" s="17">
        <f>IFERROR(__xludf.DUMMYFUNCTION("""COMPUTED_VALUE"""),64.0)</f>
        <v>64</v>
      </c>
      <c r="J250" s="17" t="str">
        <f>IFERROR(__xludf.DUMMYFUNCTION("""COMPUTED_VALUE"""),"&gt; 44 tahun")</f>
        <v>&gt; 44 tahun</v>
      </c>
      <c r="K250" s="19">
        <f>IFERROR(__xludf.DUMMYFUNCTION("""COMPUTED_VALUE"""),22543.0)</f>
        <v>22543</v>
      </c>
      <c r="L250" s="19" t="str">
        <f>IFERROR(__xludf.DUMMYFUNCTION("""COMPUTED_VALUE"""),"LAKI-LAKI")</f>
        <v>LAKI-LAKI</v>
      </c>
      <c r="M250" s="16" t="str">
        <f>IFERROR(__xludf.DUMMYFUNCTION("""COMPUTED_VALUE"""),"JL SIDAS NO.14")</f>
        <v>JL SIDAS NO.14</v>
      </c>
      <c r="N250" s="16"/>
      <c r="O250" s="16"/>
      <c r="P250" s="16"/>
      <c r="Q250" s="16"/>
      <c r="R250" s="19" t="str">
        <f>IFERROR(__xludf.DUMMYFUNCTION("""COMPUTED_VALUE"""),"ISLAM")</f>
        <v>ISLAM</v>
      </c>
      <c r="S250" s="16" t="str">
        <f>IFERROR(__xludf.DUMMYFUNCTION("""COMPUTED_VALUE"""),"PENSIUN")</f>
        <v>PENSIUN</v>
      </c>
      <c r="T250" s="16" t="str">
        <f>IFERROR(__xludf.DUMMYFUNCTION("""COMPUTED_VALUE"""),"KESELEO")</f>
        <v>KESELEO</v>
      </c>
      <c r="U250" s="16" t="str">
        <f>IFERROR(__xludf.DUMMYFUNCTION("""COMPUTED_VALUE"""),"DIAM DIRUMAH SAJA")</f>
        <v>DIAM DIRUMAH SAJA</v>
      </c>
      <c r="V250" s="21" t="str">
        <f>IFERROR(__xludf.DUMMYFUNCTION("""COMPUTED_VALUE"""),"089699885104")</f>
        <v>089699885104</v>
      </c>
      <c r="W250" s="22"/>
    </row>
    <row r="251" ht="22.5" customHeight="1">
      <c r="A251" s="8"/>
      <c r="B251" s="9">
        <f>IFERROR(__xludf.DUMMYFUNCTION("""COMPUTED_VALUE"""),45011.90823710649)</f>
        <v>45011.90824</v>
      </c>
      <c r="C251" s="9"/>
      <c r="D251" s="10">
        <f>IFERROR(__xludf.DUMMYFUNCTION("""COMPUTED_VALUE"""),45014.0)</f>
        <v>45014</v>
      </c>
      <c r="E251" s="10" t="str">
        <f>IFERROR(__xludf.DUMMYFUNCTION("""COMPUTED_VALUE"""),"03Mar")</f>
        <v>03Mar</v>
      </c>
      <c r="F251" s="10" t="str">
        <f>IFERROR(__xludf.DUMMYFUNCTION("""COMPUTED_VALUE"""),"2023")</f>
        <v>2023</v>
      </c>
      <c r="G251" s="16" t="str">
        <f>IFERROR(__xludf.DUMMYFUNCTION("""COMPUTED_VALUE"""),"DICKY G V PANGESTU")</f>
        <v>DICKY G V PANGESTU</v>
      </c>
      <c r="H251" s="17" t="str">
        <f>IFERROR(__xludf.DUMMYFUNCTION("""COMPUTED_VALUE"""),"D0023038792")</f>
        <v>D0023038792</v>
      </c>
      <c r="I251" s="17">
        <f>IFERROR(__xludf.DUMMYFUNCTION("""COMPUTED_VALUE"""),25.0)</f>
        <v>25</v>
      </c>
      <c r="J251" s="17" t="str">
        <f>IFERROR(__xludf.DUMMYFUNCTION("""COMPUTED_VALUE"""),"25-34 tahun")</f>
        <v>25-34 tahun</v>
      </c>
      <c r="K251" s="19">
        <f>IFERROR(__xludf.DUMMYFUNCTION("""COMPUTED_VALUE"""),36737.0)</f>
        <v>36737</v>
      </c>
      <c r="L251" s="19" t="str">
        <f>IFERROR(__xludf.DUMMYFUNCTION("""COMPUTED_VALUE"""),"LAKI-LAKI")</f>
        <v>LAKI-LAKI</v>
      </c>
      <c r="M251" s="16" t="str">
        <f>IFERROR(__xludf.DUMMYFUNCTION("""COMPUTED_VALUE"""),"JL KOMP CATUR WARGA NO A5")</f>
        <v>JL KOMP CATUR WARGA NO A5</v>
      </c>
      <c r="N251" s="16"/>
      <c r="O251" s="16"/>
      <c r="P251" s="16"/>
      <c r="Q251" s="16"/>
      <c r="R251" s="19" t="str">
        <f>IFERROR(__xludf.DUMMYFUNCTION("""COMPUTED_VALUE"""),"ISLAM")</f>
        <v>ISLAM</v>
      </c>
      <c r="S251" s="16" t="str">
        <f>IFERROR(__xludf.DUMMYFUNCTION("""COMPUTED_VALUE"""),"SWASTA")</f>
        <v>SWASTA</v>
      </c>
      <c r="T251" s="16" t="str">
        <f>IFERROR(__xludf.DUMMYFUNCTION("""COMPUTED_VALUE"""),"SAKIT LEHER")</f>
        <v>SAKIT LEHER</v>
      </c>
      <c r="U251" s="16" t="str">
        <f>IFERROR(__xludf.DUMMYFUNCTION("""COMPUTED_VALUE"""),"BEKERJA, OLAHRAGA")</f>
        <v>BEKERJA, OLAHRAGA</v>
      </c>
      <c r="V251" s="21" t="str">
        <f>IFERROR(__xludf.DUMMYFUNCTION("""COMPUTED_VALUE"""),"081348768792")</f>
        <v>081348768792</v>
      </c>
      <c r="W251" s="22"/>
    </row>
    <row r="252" ht="22.5" customHeight="1">
      <c r="A252" s="8"/>
      <c r="B252" s="9">
        <f>IFERROR(__xludf.DUMMYFUNCTION("""COMPUTED_VALUE"""),45012.53870527778)</f>
        <v>45012.53871</v>
      </c>
      <c r="C252" s="9"/>
      <c r="D252" s="10">
        <f>IFERROR(__xludf.DUMMYFUNCTION("""COMPUTED_VALUE"""),45014.55379974537)</f>
        <v>45014.5538</v>
      </c>
      <c r="E252" s="10" t="str">
        <f>IFERROR(__xludf.DUMMYFUNCTION("""COMPUTED_VALUE"""),"03Mar")</f>
        <v>03Mar</v>
      </c>
      <c r="F252" s="10" t="str">
        <f>IFERROR(__xludf.DUMMYFUNCTION("""COMPUTED_VALUE"""),"2023")</f>
        <v>2023</v>
      </c>
      <c r="G252" s="16" t="str">
        <f>IFERROR(__xludf.DUMMYFUNCTION("""COMPUTED_VALUE"""),"SUKATMI")</f>
        <v>SUKATMI</v>
      </c>
      <c r="H252" s="17" t="str">
        <f>IFERROR(__xludf.DUMMYFUNCTION("""COMPUTED_VALUE"""),"S6323036745")</f>
        <v>S6323036745</v>
      </c>
      <c r="I252" s="17">
        <f>IFERROR(__xludf.DUMMYFUNCTION("""COMPUTED_VALUE"""),63.0)</f>
        <v>63</v>
      </c>
      <c r="J252" s="17" t="str">
        <f>IFERROR(__xludf.DUMMYFUNCTION("""COMPUTED_VALUE"""),"&gt; 44 tahun")</f>
        <v>&gt; 44 tahun</v>
      </c>
      <c r="K252" s="19">
        <f>IFERROR(__xludf.DUMMYFUNCTION("""COMPUTED_VALUE"""),23070.0)</f>
        <v>23070</v>
      </c>
      <c r="L252" s="19" t="str">
        <f>IFERROR(__xludf.DUMMYFUNCTION("""COMPUTED_VALUE"""),"PEREMPUAN")</f>
        <v>PEREMPUAN</v>
      </c>
      <c r="M252" s="16" t="str">
        <f>IFERROR(__xludf.DUMMYFUNCTION("""COMPUTED_VALUE"""),"JL. UJUNG PANDANG GG. MALEO NO. 5B")</f>
        <v>JL. UJUNG PANDANG GG. MALEO NO. 5B</v>
      </c>
      <c r="N252" s="16"/>
      <c r="O252" s="16"/>
      <c r="P252" s="16"/>
      <c r="Q252" s="16"/>
      <c r="R252" s="19" t="str">
        <f>IFERROR(__xludf.DUMMYFUNCTION("""COMPUTED_VALUE"""),"ISLAM")</f>
        <v>ISLAM</v>
      </c>
      <c r="S252" s="16" t="str">
        <f>IFERROR(__xludf.DUMMYFUNCTION("""COMPUTED_VALUE"""),"PENSIUN")</f>
        <v>PENSIUN</v>
      </c>
      <c r="T252" s="16" t="str">
        <f>IFERROR(__xludf.DUMMYFUNCTION("""COMPUTED_VALUE"""),"GESER ANTARA L5 DAN S1")</f>
        <v>GESER ANTARA L5 DAN S1</v>
      </c>
      <c r="U252" s="16" t="str">
        <f>IFERROR(__xludf.DUMMYFUNCTION("""COMPUTED_VALUE"""),"BERKEBUN")</f>
        <v>BERKEBUN</v>
      </c>
      <c r="V252" s="21" t="str">
        <f>IFERROR(__xludf.DUMMYFUNCTION("""COMPUTED_VALUE"""),"08152226745")</f>
        <v>08152226745</v>
      </c>
      <c r="W252" s="22"/>
    </row>
    <row r="253" ht="22.5" customHeight="1">
      <c r="A253" s="8"/>
      <c r="B253" s="9">
        <f>IFERROR(__xludf.DUMMYFUNCTION("""COMPUTED_VALUE"""),45012.770704317125)</f>
        <v>45012.7707</v>
      </c>
      <c r="C253" s="9"/>
      <c r="D253" s="10">
        <f>IFERROR(__xludf.DUMMYFUNCTION("""COMPUTED_VALUE"""),45015.0)</f>
        <v>45015</v>
      </c>
      <c r="E253" s="10" t="str">
        <f>IFERROR(__xludf.DUMMYFUNCTION("""COMPUTED_VALUE"""),"03Mar")</f>
        <v>03Mar</v>
      </c>
      <c r="F253" s="10" t="str">
        <f>IFERROR(__xludf.DUMMYFUNCTION("""COMPUTED_VALUE"""),"2023")</f>
        <v>2023</v>
      </c>
      <c r="G253" s="16" t="str">
        <f>IFERROR(__xludf.DUMMYFUNCTION("""COMPUTED_VALUE"""),"FITRIANA")</f>
        <v>FITRIANA</v>
      </c>
      <c r="H253" s="17" t="str">
        <f>IFERROR(__xludf.DUMMYFUNCTION("""COMPUTED_VALUE"""),"F8123036614")</f>
        <v>F8123036614</v>
      </c>
      <c r="I253" s="17">
        <f>IFERROR(__xludf.DUMMYFUNCTION("""COMPUTED_VALUE"""),45.0)</f>
        <v>45</v>
      </c>
      <c r="J253" s="17" t="str">
        <f>IFERROR(__xludf.DUMMYFUNCTION("""COMPUTED_VALUE"""),"&gt; 44 tahun")</f>
        <v>&gt; 44 tahun</v>
      </c>
      <c r="K253" s="19">
        <f>IFERROR(__xludf.DUMMYFUNCTION("""COMPUTED_VALUE"""),29717.0)</f>
        <v>29717</v>
      </c>
      <c r="L253" s="19" t="str">
        <f>IFERROR(__xludf.DUMMYFUNCTION("""COMPUTED_VALUE"""),"PEREMPUAN")</f>
        <v>PEREMPUAN</v>
      </c>
      <c r="M253" s="16" t="str">
        <f>IFERROR(__xludf.DUMMYFUNCTION("""COMPUTED_VALUE"""),"JLN. RAWASARI NO. 23B RT 001 RW 001 KELURAHAN ROBAN KECAMATAN SINGKAWANG TENGAHKOTA SINGKAWANG")</f>
        <v>JLN. RAWASARI NO. 23B RT 001 RW 001 KELURAHAN ROBAN KECAMATAN SINGKAWANG TENGAHKOTA SINGKAWANG</v>
      </c>
      <c r="N253" s="16"/>
      <c r="O253" s="16"/>
      <c r="P253" s="16"/>
      <c r="Q253" s="16"/>
      <c r="R253" s="19" t="str">
        <f>IFERROR(__xludf.DUMMYFUNCTION("""COMPUTED_VALUE"""),"ISLAM")</f>
        <v>ISLAM</v>
      </c>
      <c r="S253" s="16" t="str">
        <f>IFERROR(__xludf.DUMMYFUNCTION("""COMPUTED_VALUE"""),"ASN")</f>
        <v>ASN</v>
      </c>
      <c r="T253" s="16" t="str">
        <f>IFERROR(__xludf.DUMMYFUNCTION("""COMPUTED_VALUE"""),"KAKI KIRI TERKILIR")</f>
        <v>KAKI KIRI TERKILIR</v>
      </c>
      <c r="U253" s="16" t="str">
        <f>IFERROR(__xludf.DUMMYFUNCTION("""COMPUTED_VALUE"""),"BEKERJA")</f>
        <v>BEKERJA</v>
      </c>
      <c r="V253" s="21" t="str">
        <f>IFERROR(__xludf.DUMMYFUNCTION("""COMPUTED_VALUE"""),"081352486614")</f>
        <v>081352486614</v>
      </c>
      <c r="W253" s="22"/>
    </row>
    <row r="254" ht="22.5" customHeight="1">
      <c r="A254" s="8"/>
      <c r="B254" s="9">
        <f>IFERROR(__xludf.DUMMYFUNCTION("""COMPUTED_VALUE"""),45013.58836032407)</f>
        <v>45013.58836</v>
      </c>
      <c r="C254" s="9"/>
      <c r="D254" s="10">
        <f>IFERROR(__xludf.DUMMYFUNCTION("""COMPUTED_VALUE"""),45015.0)</f>
        <v>45015</v>
      </c>
      <c r="E254" s="10" t="str">
        <f>IFERROR(__xludf.DUMMYFUNCTION("""COMPUTED_VALUE"""),"03Mar")</f>
        <v>03Mar</v>
      </c>
      <c r="F254" s="10" t="str">
        <f>IFERROR(__xludf.DUMMYFUNCTION("""COMPUTED_VALUE"""),"2023")</f>
        <v>2023</v>
      </c>
      <c r="G254" s="16" t="str">
        <f>IFERROR(__xludf.DUMMYFUNCTION("""COMPUTED_VALUE"""),"WARDOYO")</f>
        <v>WARDOYO</v>
      </c>
      <c r="H254" s="17" t="str">
        <f>IFERROR(__xludf.DUMMYFUNCTION("""COMPUTED_VALUE"""),"W6423033788")</f>
        <v>W6423033788</v>
      </c>
      <c r="I254" s="17">
        <f>IFERROR(__xludf.DUMMYFUNCTION("""COMPUTED_VALUE"""),62.0)</f>
        <v>62</v>
      </c>
      <c r="J254" s="17" t="str">
        <f>IFERROR(__xludf.DUMMYFUNCTION("""COMPUTED_VALUE"""),"&gt; 44 tahun")</f>
        <v>&gt; 44 tahun</v>
      </c>
      <c r="K254" s="19">
        <f>IFERROR(__xludf.DUMMYFUNCTION("""COMPUTED_VALUE"""),23471.0)</f>
        <v>23471</v>
      </c>
      <c r="L254" s="19" t="str">
        <f>IFERROR(__xludf.DUMMYFUNCTION("""COMPUTED_VALUE"""),"LAKI-LAKI")</f>
        <v>LAKI-LAKI</v>
      </c>
      <c r="M254" s="16" t="str">
        <f>IFERROR(__xludf.DUMMYFUNCTION("""COMPUTED_VALUE"""),"JL. ARTERI SUPADIO KOMP.PAWAN PERMAI MAS 2 BLOK E.10")</f>
        <v>JL. ARTERI SUPADIO KOMP.PAWAN PERMAI MAS 2 BLOK E.10</v>
      </c>
      <c r="N254" s="16"/>
      <c r="O254" s="16"/>
      <c r="P254" s="16"/>
      <c r="Q254" s="16"/>
      <c r="R254" s="19" t="str">
        <f>IFERROR(__xludf.DUMMYFUNCTION("""COMPUTED_VALUE"""),"ISLAM")</f>
        <v>ISLAM</v>
      </c>
      <c r="S254" s="16" t="str">
        <f>IFERROR(__xludf.DUMMYFUNCTION("""COMPUTED_VALUE"""),"PENSIUN")</f>
        <v>PENSIUN</v>
      </c>
      <c r="T254" s="16" t="str">
        <f>IFERROR(__xludf.DUMMYFUNCTION("""COMPUTED_VALUE"""),"KAKU BAGIAN RAHANG/MULUT")</f>
        <v>KAKU BAGIAN RAHANG/MULUT</v>
      </c>
      <c r="U254" s="16" t="str">
        <f>IFERROR(__xludf.DUMMYFUNCTION("""COMPUTED_VALUE"""),"SEPEDA")</f>
        <v>SEPEDA</v>
      </c>
      <c r="V254" s="21" t="str">
        <f>IFERROR(__xludf.DUMMYFUNCTION("""COMPUTED_VALUE"""),"085252643788")</f>
        <v>085252643788</v>
      </c>
      <c r="W254" s="22"/>
    </row>
    <row r="255" ht="22.5" customHeight="1">
      <c r="A255" s="8"/>
      <c r="B255" s="9">
        <f>IFERROR(__xludf.DUMMYFUNCTION("""COMPUTED_VALUE"""),45013.63613182871)</f>
        <v>45013.63613</v>
      </c>
      <c r="C255" s="9"/>
      <c r="D255" s="10">
        <f>IFERROR(__xludf.DUMMYFUNCTION("""COMPUTED_VALUE"""),45015.0)</f>
        <v>45015</v>
      </c>
      <c r="E255" s="10" t="str">
        <f>IFERROR(__xludf.DUMMYFUNCTION("""COMPUTED_VALUE"""),"03Mar")</f>
        <v>03Mar</v>
      </c>
      <c r="F255" s="10" t="str">
        <f>IFERROR(__xludf.DUMMYFUNCTION("""COMPUTED_VALUE"""),"2023")</f>
        <v>2023</v>
      </c>
      <c r="G255" s="16" t="str">
        <f>IFERROR(__xludf.DUMMYFUNCTION("""COMPUTED_VALUE"""),"SUPINAH")</f>
        <v>SUPINAH</v>
      </c>
      <c r="H255" s="17" t="str">
        <f>IFERROR(__xludf.DUMMYFUNCTION("""COMPUTED_VALUE"""),"S5723036787")</f>
        <v>S5723036787</v>
      </c>
      <c r="I255" s="17">
        <f>IFERROR(__xludf.DUMMYFUNCTION("""COMPUTED_VALUE"""),69.0)</f>
        <v>69</v>
      </c>
      <c r="J255" s="17" t="str">
        <f>IFERROR(__xludf.DUMMYFUNCTION("""COMPUTED_VALUE"""),"&gt; 44 tahun")</f>
        <v>&gt; 44 tahun</v>
      </c>
      <c r="K255" s="19">
        <f>IFERROR(__xludf.DUMMYFUNCTION("""COMPUTED_VALUE"""),20989.0)</f>
        <v>20989</v>
      </c>
      <c r="L255" s="19" t="str">
        <f>IFERROR(__xludf.DUMMYFUNCTION("""COMPUTED_VALUE"""),"PEREMPUAN")</f>
        <v>PEREMPUAN</v>
      </c>
      <c r="M255" s="16" t="str">
        <f>IFERROR(__xludf.DUMMYFUNCTION("""COMPUTED_VALUE"""),"JL. PROF DR HAMKA GG. PADI 9")</f>
        <v>JL. PROF DR HAMKA GG. PADI 9</v>
      </c>
      <c r="N255" s="16"/>
      <c r="O255" s="16"/>
      <c r="P255" s="16"/>
      <c r="Q255" s="16"/>
      <c r="R255" s="19" t="str">
        <f>IFERROR(__xludf.DUMMYFUNCTION("""COMPUTED_VALUE"""),"ISLAM")</f>
        <v>ISLAM</v>
      </c>
      <c r="S255" s="16" t="str">
        <f>IFERROR(__xludf.DUMMYFUNCTION("""COMPUTED_VALUE"""),"RUMAH TANGGA")</f>
        <v>RUMAH TANGGA</v>
      </c>
      <c r="T255" s="16" t="str">
        <f>IFERROR(__xludf.DUMMYFUNCTION("""COMPUTED_VALUE"""),"NYERI DI BAHU TANGAN SEBELAH KANAN")</f>
        <v>NYERI DI BAHU TANGAN SEBELAH KANAN</v>
      </c>
      <c r="U255" s="16" t="str">
        <f>IFERROR(__xludf.DUMMYFUNCTION("""COMPUTED_VALUE"""),"IBU RUMAH TANGGA")</f>
        <v>IBU RUMAH TANGGA</v>
      </c>
      <c r="V255" s="21" t="str">
        <f>IFERROR(__xludf.DUMMYFUNCTION("""COMPUTED_VALUE"""),"085750766787")</f>
        <v>085750766787</v>
      </c>
      <c r="W255" s="22"/>
    </row>
    <row r="256" ht="22.5" customHeight="1">
      <c r="A256" s="8"/>
      <c r="B256" s="9">
        <f>IFERROR(__xludf.DUMMYFUNCTION("""COMPUTED_VALUE"""),45013.83064543981)</f>
        <v>45013.83065</v>
      </c>
      <c r="C256" s="9"/>
      <c r="D256" s="10">
        <f>IFERROR(__xludf.DUMMYFUNCTION("""COMPUTED_VALUE"""),45017.0)</f>
        <v>45017</v>
      </c>
      <c r="E256" s="10" t="str">
        <f>IFERROR(__xludf.DUMMYFUNCTION("""COMPUTED_VALUE"""),"04Apr")</f>
        <v>04Apr</v>
      </c>
      <c r="F256" s="10" t="str">
        <f>IFERROR(__xludf.DUMMYFUNCTION("""COMPUTED_VALUE"""),"2023")</f>
        <v>2023</v>
      </c>
      <c r="G256" s="16" t="str">
        <f>IFERROR(__xludf.DUMMYFUNCTION("""COMPUTED_VALUE"""),"YUNINGSIH")</f>
        <v>YUNINGSIH</v>
      </c>
      <c r="H256" s="17" t="str">
        <f>IFERROR(__xludf.DUMMYFUNCTION("""COMPUTED_VALUE"""),"Y7623046888")</f>
        <v>Y7623046888</v>
      </c>
      <c r="I256" s="17">
        <f>IFERROR(__xludf.DUMMYFUNCTION("""COMPUTED_VALUE"""),50.0)</f>
        <v>50</v>
      </c>
      <c r="J256" s="17" t="str">
        <f>IFERROR(__xludf.DUMMYFUNCTION("""COMPUTED_VALUE"""),"&gt; 44 tahun")</f>
        <v>&gt; 44 tahun</v>
      </c>
      <c r="K256" s="19">
        <f>IFERROR(__xludf.DUMMYFUNCTION("""COMPUTED_VALUE"""),27931.0)</f>
        <v>27931</v>
      </c>
      <c r="L256" s="19" t="str">
        <f>IFERROR(__xludf.DUMMYFUNCTION("""COMPUTED_VALUE"""),"PEREMPUAN")</f>
        <v>PEREMPUAN</v>
      </c>
      <c r="M256" s="16" t="str">
        <f>IFERROR(__xludf.DUMMYFUNCTION("""COMPUTED_VALUE"""),"JALAN A.YANI 2 GANG 822 BLOK C NO.7")</f>
        <v>JALAN A.YANI 2 GANG 822 BLOK C NO.7</v>
      </c>
      <c r="N256" s="16"/>
      <c r="O256" s="16"/>
      <c r="P256" s="16"/>
      <c r="Q256" s="16"/>
      <c r="R256" s="19" t="str">
        <f>IFERROR(__xludf.DUMMYFUNCTION("""COMPUTED_VALUE"""),"ISLAM")</f>
        <v>ISLAM</v>
      </c>
      <c r="S256" s="16" t="str">
        <f>IFERROR(__xludf.DUMMYFUNCTION("""COMPUTED_VALUE"""),"SWASTA")</f>
        <v>SWASTA</v>
      </c>
      <c r="T256" s="16" t="str">
        <f>IFERROR(__xludf.DUMMYFUNCTION("""COMPUTED_VALUE"""),"KESELEO")</f>
        <v>KESELEO</v>
      </c>
      <c r="U256" s="16" t="str">
        <f>IFERROR(__xludf.DUMMYFUNCTION("""COMPUTED_VALUE"""),"OLAHRAGA")</f>
        <v>OLAHRAGA</v>
      </c>
      <c r="V256" s="21" t="str">
        <f>IFERROR(__xludf.DUMMYFUNCTION("""COMPUTED_VALUE"""),"081215086888")</f>
        <v>081215086888</v>
      </c>
      <c r="W256" s="22"/>
    </row>
    <row r="257" ht="22.5" customHeight="1">
      <c r="A257" s="8"/>
      <c r="B257" s="9">
        <f>IFERROR(__xludf.DUMMYFUNCTION("""COMPUTED_VALUE"""),45014.52854459491)</f>
        <v>45014.52854</v>
      </c>
      <c r="C257" s="9"/>
      <c r="D257" s="10">
        <f>IFERROR(__xludf.DUMMYFUNCTION("""COMPUTED_VALUE"""),45017.0)</f>
        <v>45017</v>
      </c>
      <c r="E257" s="10" t="str">
        <f>IFERROR(__xludf.DUMMYFUNCTION("""COMPUTED_VALUE"""),"04Apr")</f>
        <v>04Apr</v>
      </c>
      <c r="F257" s="10" t="str">
        <f>IFERROR(__xludf.DUMMYFUNCTION("""COMPUTED_VALUE"""),"2023")</f>
        <v>2023</v>
      </c>
      <c r="G257" s="16" t="str">
        <f>IFERROR(__xludf.DUMMYFUNCTION("""COMPUTED_VALUE"""),"SAHLY RIMBA ZENDEORIZKY")</f>
        <v>SAHLY RIMBA ZENDEORIZKY</v>
      </c>
      <c r="H257" s="17" t="str">
        <f>IFERROR(__xludf.DUMMYFUNCTION("""COMPUTED_VALUE"""),"S9623040058")</f>
        <v>S9623040058</v>
      </c>
      <c r="I257" s="17">
        <f>IFERROR(__xludf.DUMMYFUNCTION("""COMPUTED_VALUE"""),30.0)</f>
        <v>30</v>
      </c>
      <c r="J257" s="17" t="str">
        <f>IFERROR(__xludf.DUMMYFUNCTION("""COMPUTED_VALUE"""),"25-34 tahun")</f>
        <v>25-34 tahun</v>
      </c>
      <c r="K257" s="19">
        <f>IFERROR(__xludf.DUMMYFUNCTION("""COMPUTED_VALUE"""),35168.0)</f>
        <v>35168</v>
      </c>
      <c r="L257" s="19" t="str">
        <f>IFERROR(__xludf.DUMMYFUNCTION("""COMPUTED_VALUE"""),"LAKI-LAKI")</f>
        <v>LAKI-LAKI</v>
      </c>
      <c r="M257" s="16" t="str">
        <f>IFERROR(__xludf.DUMMYFUNCTION("""COMPUTED_VALUE"""),"DOPLANG, JATI, BLORA, JAWA TENGAH")</f>
        <v>DOPLANG, JATI, BLORA, JAWA TENGAH</v>
      </c>
      <c r="N257" s="16"/>
      <c r="O257" s="16"/>
      <c r="P257" s="16"/>
      <c r="Q257" s="16"/>
      <c r="R257" s="19" t="str">
        <f>IFERROR(__xludf.DUMMYFUNCTION("""COMPUTED_VALUE"""),"ISLAM")</f>
        <v>ISLAM</v>
      </c>
      <c r="S257" s="16" t="str">
        <f>IFERROR(__xludf.DUMMYFUNCTION("""COMPUTED_VALUE"""),"ASN")</f>
        <v>ASN</v>
      </c>
      <c r="T257" s="16" t="str">
        <f>IFERROR(__xludf.DUMMYFUNCTION("""COMPUTED_VALUE"""),"PINGGANG, PAHA, BELAKANG BAWAH SAKIT")</f>
        <v>PINGGANG, PAHA, BELAKANG BAWAH SAKIT</v>
      </c>
      <c r="U257" s="16" t="str">
        <f>IFERROR(__xludf.DUMMYFUNCTION("""COMPUTED_VALUE"""),"MAIN GAME")</f>
        <v>MAIN GAME</v>
      </c>
      <c r="V257" s="21" t="str">
        <f>IFERROR(__xludf.DUMMYFUNCTION("""COMPUTED_VALUE"""),"081270610058")</f>
        <v>081270610058</v>
      </c>
      <c r="W257" s="22"/>
    </row>
    <row r="258" ht="22.5" customHeight="1">
      <c r="A258" s="28"/>
      <c r="B258" s="9">
        <f>IFERROR(__xludf.DUMMYFUNCTION("""COMPUTED_VALUE"""),45014.53673841435)</f>
        <v>45014.53674</v>
      </c>
      <c r="C258" s="9"/>
      <c r="D258" s="10">
        <f>IFERROR(__xludf.DUMMYFUNCTION("""COMPUTED_VALUE"""),45017.0)</f>
        <v>45017</v>
      </c>
      <c r="E258" s="10" t="str">
        <f>IFERROR(__xludf.DUMMYFUNCTION("""COMPUTED_VALUE"""),"04Apr")</f>
        <v>04Apr</v>
      </c>
      <c r="F258" s="10" t="str">
        <f>IFERROR(__xludf.DUMMYFUNCTION("""COMPUTED_VALUE"""),"2023")</f>
        <v>2023</v>
      </c>
      <c r="G258" s="16" t="str">
        <f>IFERROR(__xludf.DUMMYFUNCTION("""COMPUTED_VALUE"""),"LARASATI")</f>
        <v>LARASATI</v>
      </c>
      <c r="H258" s="17" t="str">
        <f>IFERROR(__xludf.DUMMYFUNCTION("""COMPUTED_VALUE"""),"L9023048870")</f>
        <v>L9023048870</v>
      </c>
      <c r="I258" s="17">
        <f>IFERROR(__xludf.DUMMYFUNCTION("""COMPUTED_VALUE"""),35.0)</f>
        <v>35</v>
      </c>
      <c r="J258" s="17" t="str">
        <f>IFERROR(__xludf.DUMMYFUNCTION("""COMPUTED_VALUE"""),"35-44 tahun")</f>
        <v>35-44 tahun</v>
      </c>
      <c r="K258" s="19">
        <f>IFERROR(__xludf.DUMMYFUNCTION("""COMPUTED_VALUE"""),33089.0)</f>
        <v>33089</v>
      </c>
      <c r="L258" s="19" t="str">
        <f>IFERROR(__xludf.DUMMYFUNCTION("""COMPUTED_VALUE"""),"PEREMPUAN")</f>
        <v>PEREMPUAN</v>
      </c>
      <c r="M258" s="16" t="str">
        <f>IFERROR(__xludf.DUMMYFUNCTION("""COMPUTED_VALUE"""),"JALAN SUTAN SYAHRIR GANG MARDIRAHAYU")</f>
        <v>JALAN SUTAN SYAHRIR GANG MARDIRAHAYU</v>
      </c>
      <c r="N258" s="16"/>
      <c r="O258" s="16"/>
      <c r="P258" s="16"/>
      <c r="Q258" s="16"/>
      <c r="R258" s="19" t="str">
        <f>IFERROR(__xludf.DUMMYFUNCTION("""COMPUTED_VALUE"""),"ISLAM")</f>
        <v>ISLAM</v>
      </c>
      <c r="S258" s="16" t="str">
        <f>IFERROR(__xludf.DUMMYFUNCTION("""COMPUTED_VALUE"""),"RUMAH TANGGA")</f>
        <v>RUMAH TANGGA</v>
      </c>
      <c r="T258" s="16" t="str">
        <f>IFERROR(__xludf.DUMMYFUNCTION("""COMPUTED_VALUE"""),"SAKIT")</f>
        <v>SAKIT</v>
      </c>
      <c r="U258" s="16" t="str">
        <f>IFERROR(__xludf.DUMMYFUNCTION("""COMPUTED_VALUE"""),"OLAHRAGA")</f>
        <v>OLAHRAGA</v>
      </c>
      <c r="V258" s="21" t="str">
        <f>IFERROR(__xludf.DUMMYFUNCTION("""COMPUTED_VALUE"""),"085845418870")</f>
        <v>085845418870</v>
      </c>
      <c r="W258" s="22"/>
    </row>
    <row r="259" ht="22.5" customHeight="1">
      <c r="A259" s="8"/>
      <c r="B259" s="9">
        <f>IFERROR(__xludf.DUMMYFUNCTION("""COMPUTED_VALUE"""),45014.55379974537)</f>
        <v>45014.5538</v>
      </c>
      <c r="C259" s="9"/>
      <c r="D259" s="10">
        <f>IFERROR(__xludf.DUMMYFUNCTION("""COMPUTED_VALUE"""),45017.0)</f>
        <v>45017</v>
      </c>
      <c r="E259" s="10" t="str">
        <f>IFERROR(__xludf.DUMMYFUNCTION("""COMPUTED_VALUE"""),"04Apr")</f>
        <v>04Apr</v>
      </c>
      <c r="F259" s="10" t="str">
        <f>IFERROR(__xludf.DUMMYFUNCTION("""COMPUTED_VALUE"""),"2023")</f>
        <v>2023</v>
      </c>
      <c r="G259" s="16" t="str">
        <f>IFERROR(__xludf.DUMMYFUNCTION("""COMPUTED_VALUE"""),"TIFFANY WAHYUDHI")</f>
        <v>TIFFANY WAHYUDHI</v>
      </c>
      <c r="H259" s="17" t="str">
        <f>IFERROR(__xludf.DUMMYFUNCTION("""COMPUTED_VALUE"""),"T0723049005")</f>
        <v>T0723049005</v>
      </c>
      <c r="I259" s="17">
        <f>IFERROR(__xludf.DUMMYFUNCTION("""COMPUTED_VALUE"""),19.0)</f>
        <v>19</v>
      </c>
      <c r="J259" s="17" t="str">
        <f>IFERROR(__xludf.DUMMYFUNCTION("""COMPUTED_VALUE"""),"18-24 tahun")</f>
        <v>18-24 tahun</v>
      </c>
      <c r="K259" s="19">
        <f>IFERROR(__xludf.DUMMYFUNCTION("""COMPUTED_VALUE"""),39199.0)</f>
        <v>39199</v>
      </c>
      <c r="L259" s="19" t="str">
        <f>IFERROR(__xludf.DUMMYFUNCTION("""COMPUTED_VALUE"""),"PEREMPUAN")</f>
        <v>PEREMPUAN</v>
      </c>
      <c r="M259" s="16" t="str">
        <f>IFERROR(__xludf.DUMMYFUNCTION("""COMPUTED_VALUE"""),"JL KAPTEN TENDEAN NO.17")</f>
        <v>JL KAPTEN TENDEAN NO.17</v>
      </c>
      <c r="N259" s="16"/>
      <c r="O259" s="16"/>
      <c r="P259" s="16"/>
      <c r="Q259" s="16"/>
      <c r="R259" s="19" t="str">
        <f>IFERROR(__xludf.DUMMYFUNCTION("""COMPUTED_VALUE"""),"PROTESTAN")</f>
        <v>PROTESTAN</v>
      </c>
      <c r="S259" s="16" t="str">
        <f>IFERROR(__xludf.DUMMYFUNCTION("""COMPUTED_VALUE"""),"PELAJAR/MAHASISWA")</f>
        <v>PELAJAR/MAHASISWA</v>
      </c>
      <c r="T259" s="16" t="str">
        <f>IFERROR(__xludf.DUMMYFUNCTION("""COMPUTED_VALUE"""),"SCOLIOSIS")</f>
        <v>SCOLIOSIS</v>
      </c>
      <c r="U259" s="16" t="str">
        <f>IFERROR(__xludf.DUMMYFUNCTION("""COMPUTED_VALUE"""),"MENGAMBAR")</f>
        <v>MENGAMBAR</v>
      </c>
      <c r="V259" s="21" t="str">
        <f>IFERROR(__xludf.DUMMYFUNCTION("""COMPUTED_VALUE"""),"087878219005")</f>
        <v>087878219005</v>
      </c>
      <c r="W259" s="22"/>
    </row>
    <row r="260" ht="22.5" customHeight="1">
      <c r="A260" s="8"/>
      <c r="B260" s="9">
        <f>IFERROR(__xludf.DUMMYFUNCTION("""COMPUTED_VALUE"""),45014.56678234954)</f>
        <v>45014.56678</v>
      </c>
      <c r="C260" s="9"/>
      <c r="D260" s="10">
        <f>IFERROR(__xludf.DUMMYFUNCTION("""COMPUTED_VALUE"""),45017.0)</f>
        <v>45017</v>
      </c>
      <c r="E260" s="10" t="str">
        <f>IFERROR(__xludf.DUMMYFUNCTION("""COMPUTED_VALUE"""),"04Apr")</f>
        <v>04Apr</v>
      </c>
      <c r="F260" s="10" t="str">
        <f>IFERROR(__xludf.DUMMYFUNCTION("""COMPUTED_VALUE"""),"2023")</f>
        <v>2023</v>
      </c>
      <c r="G260" s="16" t="str">
        <f>IFERROR(__xludf.DUMMYFUNCTION("""COMPUTED_VALUE"""),"FERA HENDRA")</f>
        <v>FERA HENDRA</v>
      </c>
      <c r="H260" s="17" t="str">
        <f>IFERROR(__xludf.DUMMYFUNCTION("""COMPUTED_VALUE"""),"F7023046888")</f>
        <v>F7023046888</v>
      </c>
      <c r="I260" s="17">
        <f>IFERROR(__xludf.DUMMYFUNCTION("""COMPUTED_VALUE"""),55.0)</f>
        <v>55</v>
      </c>
      <c r="J260" s="17" t="str">
        <f>IFERROR(__xludf.DUMMYFUNCTION("""COMPUTED_VALUE"""),"&gt; 44 tahun")</f>
        <v>&gt; 44 tahun</v>
      </c>
      <c r="K260" s="19">
        <f>IFERROR(__xludf.DUMMYFUNCTION("""COMPUTED_VALUE"""),25883.0)</f>
        <v>25883</v>
      </c>
      <c r="L260" s="19" t="str">
        <f>IFERROR(__xludf.DUMMYFUNCTION("""COMPUTED_VALUE"""),"LAKI-LAKI")</f>
        <v>LAKI-LAKI</v>
      </c>
      <c r="M260" s="16" t="str">
        <f>IFERROR(__xludf.DUMMYFUNCTION("""COMPUTED_VALUE"""),"JALAN A YANI 2 GANG 822 BLOK C NO.7")</f>
        <v>JALAN A YANI 2 GANG 822 BLOK C NO.7</v>
      </c>
      <c r="N260" s="16"/>
      <c r="O260" s="16"/>
      <c r="P260" s="16"/>
      <c r="Q260" s="16"/>
      <c r="R260" s="19" t="str">
        <f>IFERROR(__xludf.DUMMYFUNCTION("""COMPUTED_VALUE"""),"ISLAM")</f>
        <v>ISLAM</v>
      </c>
      <c r="S260" s="16" t="str">
        <f>IFERROR(__xludf.DUMMYFUNCTION("""COMPUTED_VALUE"""),"SWASTA")</f>
        <v>SWASTA</v>
      </c>
      <c r="T260" s="16" t="str">
        <f>IFERROR(__xludf.DUMMYFUNCTION("""COMPUTED_VALUE"""),"KESELEO")</f>
        <v>KESELEO</v>
      </c>
      <c r="U260" s="16" t="str">
        <f>IFERROR(__xludf.DUMMYFUNCTION("""COMPUTED_VALUE"""),"OLAHRAGA")</f>
        <v>OLAHRAGA</v>
      </c>
      <c r="V260" s="21" t="str">
        <f>IFERROR(__xludf.DUMMYFUNCTION("""COMPUTED_VALUE"""),"081256686888")</f>
        <v>081256686888</v>
      </c>
      <c r="W260" s="22"/>
    </row>
    <row r="261" ht="22.5" customHeight="1">
      <c r="A261" s="8"/>
      <c r="B261" s="9">
        <f>IFERROR(__xludf.DUMMYFUNCTION("""COMPUTED_VALUE"""),45015.404823634264)</f>
        <v>45015.40482</v>
      </c>
      <c r="C261" s="9"/>
      <c r="D261" s="10">
        <f>IFERROR(__xludf.DUMMYFUNCTION("""COMPUTED_VALUE"""),45018.0)</f>
        <v>45018</v>
      </c>
      <c r="E261" s="10" t="str">
        <f>IFERROR(__xludf.DUMMYFUNCTION("""COMPUTED_VALUE"""),"04Apr")</f>
        <v>04Apr</v>
      </c>
      <c r="F261" s="10" t="str">
        <f>IFERROR(__xludf.DUMMYFUNCTION("""COMPUTED_VALUE"""),"2023")</f>
        <v>2023</v>
      </c>
      <c r="G261" s="16" t="str">
        <f>IFERROR(__xludf.DUMMYFUNCTION("""COMPUTED_VALUE"""),"TATA RISYADI")</f>
        <v>TATA RISYADI</v>
      </c>
      <c r="H261" s="17" t="str">
        <f>IFERROR(__xludf.DUMMYFUNCTION("""COMPUTED_VALUE"""),"T5723048107")</f>
        <v>T5723048107</v>
      </c>
      <c r="I261" s="17">
        <f>IFERROR(__xludf.DUMMYFUNCTION("""COMPUTED_VALUE"""),68.0)</f>
        <v>68</v>
      </c>
      <c r="J261" s="17" t="str">
        <f>IFERROR(__xludf.DUMMYFUNCTION("""COMPUTED_VALUE"""),"&gt; 44 tahun")</f>
        <v>&gt; 44 tahun</v>
      </c>
      <c r="K261" s="19">
        <f>IFERROR(__xludf.DUMMYFUNCTION("""COMPUTED_VALUE"""),21124.0)</f>
        <v>21124</v>
      </c>
      <c r="L261" s="19" t="str">
        <f>IFERROR(__xludf.DUMMYFUNCTION("""COMPUTED_VALUE"""),"LAKI-LAKI")</f>
        <v>LAKI-LAKI</v>
      </c>
      <c r="M261" s="16" t="str">
        <f>IFERROR(__xludf.DUMMYFUNCTION("""COMPUTED_VALUE"""),"JL. PANGERAN NATAKUSUMA KOMP. TAMAN ASRI NO. 14B")</f>
        <v>JL. PANGERAN NATAKUSUMA KOMP. TAMAN ASRI NO. 14B</v>
      </c>
      <c r="N261" s="16"/>
      <c r="O261" s="16"/>
      <c r="P261" s="16"/>
      <c r="Q261" s="16"/>
      <c r="R261" s="19" t="str">
        <f>IFERROR(__xludf.DUMMYFUNCTION("""COMPUTED_VALUE"""),"ISLAM")</f>
        <v>ISLAM</v>
      </c>
      <c r="S261" s="16" t="str">
        <f>IFERROR(__xludf.DUMMYFUNCTION("""COMPUTED_VALUE"""),"TIDAK ADA")</f>
        <v>TIDAK ADA</v>
      </c>
      <c r="T261" s="16" t="str">
        <f>IFERROR(__xludf.DUMMYFUNCTION("""COMPUTED_VALUE"""),"KESEIMBANGAN JALAN DAN TRAUMA PERNAH JATUH")</f>
        <v>KESEIMBANGAN JALAN DAN TRAUMA PERNAH JATUH</v>
      </c>
      <c r="U261" s="16" t="str">
        <f>IFERROR(__xludf.DUMMYFUNCTION("""COMPUTED_VALUE"""),"DIAM DI RUMAH")</f>
        <v>DIAM DI RUMAH</v>
      </c>
      <c r="V261" s="21" t="str">
        <f>IFERROR(__xludf.DUMMYFUNCTION("""COMPUTED_VALUE"""),"082149668107")</f>
        <v>082149668107</v>
      </c>
      <c r="W261" s="22"/>
    </row>
    <row r="262" ht="22.5" customHeight="1">
      <c r="A262" s="8"/>
      <c r="B262" s="9">
        <f>IFERROR(__xludf.DUMMYFUNCTION("""COMPUTED_VALUE"""),45015.40944820602)</f>
        <v>45015.40945</v>
      </c>
      <c r="C262" s="9"/>
      <c r="D262" s="10">
        <f>IFERROR(__xludf.DUMMYFUNCTION("""COMPUTED_VALUE"""),45018.0)</f>
        <v>45018</v>
      </c>
      <c r="E262" s="10" t="str">
        <f>IFERROR(__xludf.DUMMYFUNCTION("""COMPUTED_VALUE"""),"04Apr")</f>
        <v>04Apr</v>
      </c>
      <c r="F262" s="10" t="str">
        <f>IFERROR(__xludf.DUMMYFUNCTION("""COMPUTED_VALUE"""),"2023")</f>
        <v>2023</v>
      </c>
      <c r="G262" s="16" t="str">
        <f>IFERROR(__xludf.DUMMYFUNCTION("""COMPUTED_VALUE"""),"QOID ABRAR ZUHDI")</f>
        <v>QOID ABRAR ZUHDI</v>
      </c>
      <c r="H262" s="17" t="str">
        <f>IFERROR(__xludf.DUMMYFUNCTION("""COMPUTED_VALUE"""),"Q9523047282")</f>
        <v>Q9523047282</v>
      </c>
      <c r="I262" s="17">
        <f>IFERROR(__xludf.DUMMYFUNCTION("""COMPUTED_VALUE"""),30.0)</f>
        <v>30</v>
      </c>
      <c r="J262" s="17" t="str">
        <f>IFERROR(__xludf.DUMMYFUNCTION("""COMPUTED_VALUE"""),"25-34 tahun")</f>
        <v>25-34 tahun</v>
      </c>
      <c r="K262" s="19">
        <f>IFERROR(__xludf.DUMMYFUNCTION("""COMPUTED_VALUE"""),34987.0)</f>
        <v>34987</v>
      </c>
      <c r="L262" s="19" t="str">
        <f>IFERROR(__xludf.DUMMYFUNCTION("""COMPUTED_VALUE"""),"LAKI-LAKI")</f>
        <v>LAKI-LAKI</v>
      </c>
      <c r="M262" s="16" t="str">
        <f>IFERROR(__xludf.DUMMYFUNCTION("""COMPUTED_VALUE"""),"JL. WONOSARI, KOMP. ARTA 8A NO. 12")</f>
        <v>JL. WONOSARI, KOMP. ARTA 8A NO. 12</v>
      </c>
      <c r="N262" s="16"/>
      <c r="O262" s="16"/>
      <c r="P262" s="16"/>
      <c r="Q262" s="16"/>
      <c r="R262" s="19" t="str">
        <f>IFERROR(__xludf.DUMMYFUNCTION("""COMPUTED_VALUE"""),"ISLAM")</f>
        <v>ISLAM</v>
      </c>
      <c r="S262" s="16" t="str">
        <f>IFERROR(__xludf.DUMMYFUNCTION("""COMPUTED_VALUE"""),"BUMN")</f>
        <v>BUMN</v>
      </c>
      <c r="T262" s="16" t="str">
        <f>IFERROR(__xludf.DUMMYFUNCTION("""COMPUTED_VALUE"""),"KIRI BAGIAN TEMPURUNG DAN BAGIAN DALAM NYERI, MENJALAR KE ARAH PINGGANG. SERTA ENGKEL KAKI KIRI DAN KANAN YG LEMAH.")</f>
        <v>KIRI BAGIAN TEMPURUNG DAN BAGIAN DALAM NYERI, MENJALAR KE ARAH PINGGANG. SERTA ENGKEL KAKI KIRI DAN KANAN YG LEMAH.</v>
      </c>
      <c r="U262" s="16" t="str">
        <f>IFERROR(__xludf.DUMMYFUNCTION("""COMPUTED_VALUE"""),"HINGGA TAHUN 2017 RUTIN BERMAIN BOLA &amp; FUTSAL. 2018 PERNAH KECELAKAAN RINGAN TAPI KAKI KIRI TERTIMPA MOTOR.")</f>
        <v>HINGGA TAHUN 2017 RUTIN BERMAIN BOLA &amp; FUTSAL. 2018 PERNAH KECELAKAAN RINGAN TAPI KAKI KIRI TERTIMPA MOTOR.</v>
      </c>
      <c r="V262" s="21" t="str">
        <f>IFERROR(__xludf.DUMMYFUNCTION("""COMPUTED_VALUE"""),"089693687282")</f>
        <v>089693687282</v>
      </c>
      <c r="W262" s="22"/>
    </row>
    <row r="263" ht="22.5" customHeight="1">
      <c r="A263" s="8"/>
      <c r="B263" s="9">
        <f>IFERROR(__xludf.DUMMYFUNCTION("""COMPUTED_VALUE"""),45015.669457233795)</f>
        <v>45015.66946</v>
      </c>
      <c r="C263" s="9"/>
      <c r="D263" s="10">
        <f>IFERROR(__xludf.DUMMYFUNCTION("""COMPUTED_VALUE"""),45018.0)</f>
        <v>45018</v>
      </c>
      <c r="E263" s="10" t="str">
        <f>IFERROR(__xludf.DUMMYFUNCTION("""COMPUTED_VALUE"""),"04Apr")</f>
        <v>04Apr</v>
      </c>
      <c r="F263" s="10" t="str">
        <f>IFERROR(__xludf.DUMMYFUNCTION("""COMPUTED_VALUE"""),"2023")</f>
        <v>2023</v>
      </c>
      <c r="G263" s="16" t="str">
        <f>IFERROR(__xludf.DUMMYFUNCTION("""COMPUTED_VALUE"""),"EDY PURWANTO")</f>
        <v>EDY PURWANTO</v>
      </c>
      <c r="H263" s="17" t="str">
        <f>IFERROR(__xludf.DUMMYFUNCTION("""COMPUTED_VALUE"""),"E7323041009")</f>
        <v>E7323041009</v>
      </c>
      <c r="I263" s="17">
        <f>IFERROR(__xludf.DUMMYFUNCTION("""COMPUTED_VALUE"""),53.0)</f>
        <v>53</v>
      </c>
      <c r="J263" s="17" t="str">
        <f>IFERROR(__xludf.DUMMYFUNCTION("""COMPUTED_VALUE"""),"&gt; 44 tahun")</f>
        <v>&gt; 44 tahun</v>
      </c>
      <c r="K263" s="19">
        <f>IFERROR(__xludf.DUMMYFUNCTION("""COMPUTED_VALUE"""),26802.0)</f>
        <v>26802</v>
      </c>
      <c r="L263" s="19" t="str">
        <f>IFERROR(__xludf.DUMMYFUNCTION("""COMPUTED_VALUE"""),"LAKI-LAKI")</f>
        <v>LAKI-LAKI</v>
      </c>
      <c r="M263" s="16" t="str">
        <f>IFERROR(__xludf.DUMMYFUNCTION("""COMPUTED_VALUE"""),"JL. KOMP CATUR WARGA NO A5")</f>
        <v>JL. KOMP CATUR WARGA NO A5</v>
      </c>
      <c r="N263" s="16"/>
      <c r="O263" s="16"/>
      <c r="P263" s="16"/>
      <c r="Q263" s="16"/>
      <c r="R263" s="19" t="str">
        <f>IFERROR(__xludf.DUMMYFUNCTION("""COMPUTED_VALUE"""),"ISLAM")</f>
        <v>ISLAM</v>
      </c>
      <c r="S263" s="16" t="str">
        <f>IFERROR(__xludf.DUMMYFUNCTION("""COMPUTED_VALUE"""),"ASN")</f>
        <v>ASN</v>
      </c>
      <c r="T263" s="16" t="str">
        <f>IFERROR(__xludf.DUMMYFUNCTION("""COMPUTED_VALUE"""),"SAKIT LEHER &amp; KAKU SERING KRETEKKAN LEHER SENDIRI BERULANG KALI SETELAH ITU LEHER AKAN TERASA BAIKAN SAKIT KEPALA SEMAKIN KAKU BAGIAN LEHER HINGGA BERDAMPAK KE SAKIT KEPALA SAKIT PINGGANG PINGGANG TERASA SAKIT SEHINGGA TIDAK BISA DUDUK ATAU BERDIRI LAMA2 "&amp;"KAKI KIRI TERASA PANAS BAGIAN TELAPAK DAN BETIS AKAN SULIT TIDUR JIKA TIDAK DIPIJIT TELAPAK TANGAN KIRI &amp; KANAN TERASA KEBAS/ SEMUTAN JIKA MEMEGANG SESUATU TIDAK TERASA BAHKAN LUKA POTONG DI JARI PUN TIDAK TERASA SERING SAKIT TERUTAMA SAAT CUACA DINGIN PE"&amp;"RNAH CEDERA LUKA TERBENTUR BENDA TUMPUL/BESI")</f>
        <v>SAKIT LEHER &amp; KAKU SERING KRETEKKAN LEHER SENDIRI BERULANG KALI SETELAH ITU LEHER AKAN TERASA BAIKAN SAKIT KEPALA SEMAKIN KAKU BAGIAN LEHER HINGGA BERDAMPAK KE SAKIT KEPALA SAKIT PINGGANG PINGGANG TERASA SAKIT SEHINGGA TIDAK BISA DUDUK ATAU BERDIRI LAMA2 KAKI KIRI TERASA PANAS BAGIAN TELAPAK DAN BETIS AKAN SULIT TIDUR JIKA TIDAK DIPIJIT TELAPAK TANGAN KIRI &amp; KANAN TERASA KEBAS/ SEMUTAN JIKA MEMEGANG SESUATU TIDAK TERASA BAHKAN LUKA POTONG DI JARI PUN TIDAK TERASA SERING SAKIT TERUTAMA SAAT CUACA DINGIN PERNAH CEDERA LUKA TERBENTUR BENDA TUMPUL/BESI</v>
      </c>
      <c r="U263" s="16" t="str">
        <f>IFERROR(__xludf.DUMMYFUNCTION("""COMPUTED_VALUE"""),"BEKERJA")</f>
        <v>BEKERJA</v>
      </c>
      <c r="V263" s="21" t="str">
        <f>IFERROR(__xludf.DUMMYFUNCTION("""COMPUTED_VALUE"""),"08125711009")</f>
        <v>08125711009</v>
      </c>
      <c r="W263" s="22"/>
    </row>
    <row r="264" ht="22.5" customHeight="1">
      <c r="A264" s="8"/>
      <c r="B264" s="9">
        <f>IFERROR(__xludf.DUMMYFUNCTION("""COMPUTED_VALUE"""),45015.839765474535)</f>
        <v>45015.83977</v>
      </c>
      <c r="C264" s="9"/>
      <c r="D264" s="10">
        <f>IFERROR(__xludf.DUMMYFUNCTION("""COMPUTED_VALUE"""),45018.0)</f>
        <v>45018</v>
      </c>
      <c r="E264" s="10" t="str">
        <f>IFERROR(__xludf.DUMMYFUNCTION("""COMPUTED_VALUE"""),"04Apr")</f>
        <v>04Apr</v>
      </c>
      <c r="F264" s="10" t="str">
        <f>IFERROR(__xludf.DUMMYFUNCTION("""COMPUTED_VALUE"""),"2023")</f>
        <v>2023</v>
      </c>
      <c r="G264" s="16" t="str">
        <f>IFERROR(__xludf.DUMMYFUNCTION("""COMPUTED_VALUE"""),"HARIS MUHAMMAD HAQ")</f>
        <v>HARIS MUHAMMAD HAQ</v>
      </c>
      <c r="H264" s="17" t="str">
        <f>IFERROR(__xludf.DUMMYFUNCTION("""COMPUTED_VALUE"""),"H0223042344")</f>
        <v>H0223042344</v>
      </c>
      <c r="I264" s="17">
        <f>IFERROR(__xludf.DUMMYFUNCTION("""COMPUTED_VALUE"""),23.0)</f>
        <v>23</v>
      </c>
      <c r="J264" s="17" t="str">
        <f>IFERROR(__xludf.DUMMYFUNCTION("""COMPUTED_VALUE"""),"18-24 tahun")</f>
        <v>18-24 tahun</v>
      </c>
      <c r="K264" s="19">
        <f>IFERROR(__xludf.DUMMYFUNCTION("""COMPUTED_VALUE"""),37425.0)</f>
        <v>37425</v>
      </c>
      <c r="L264" s="19" t="str">
        <f>IFERROR(__xludf.DUMMYFUNCTION("""COMPUTED_VALUE"""),"LAKI-LAKI")</f>
        <v>LAKI-LAKI</v>
      </c>
      <c r="M264" s="16" t="str">
        <f>IFERROR(__xludf.DUMMYFUNCTION("""COMPUTED_VALUE"""),"DUSUN JATI MULIA")</f>
        <v>DUSUN JATI MULIA</v>
      </c>
      <c r="N264" s="16"/>
      <c r="O264" s="16"/>
      <c r="P264" s="16"/>
      <c r="Q264" s="16"/>
      <c r="R264" s="19" t="str">
        <f>IFERROR(__xludf.DUMMYFUNCTION("""COMPUTED_VALUE"""),"ISLAM")</f>
        <v>ISLAM</v>
      </c>
      <c r="S264" s="16" t="str">
        <f>IFERROR(__xludf.DUMMYFUNCTION("""COMPUTED_VALUE"""),"PELAJAR/MAHASISWA")</f>
        <v>PELAJAR/MAHASISWA</v>
      </c>
      <c r="T264" s="16" t="str">
        <f>IFERROR(__xludf.DUMMYFUNCTION("""COMPUTED_VALUE"""),"CIDERA")</f>
        <v>CIDERA</v>
      </c>
      <c r="U264" s="16" t="str">
        <f>IFERROR(__xludf.DUMMYFUNCTION("""COMPUTED_VALUE"""),"FUTSAL/KULIAH")</f>
        <v>FUTSAL/KULIAH</v>
      </c>
      <c r="V264" s="21" t="str">
        <f>IFERROR(__xludf.DUMMYFUNCTION("""COMPUTED_VALUE"""),"081295152344")</f>
        <v>081295152344</v>
      </c>
      <c r="W264" s="22"/>
    </row>
    <row r="265" ht="22.5" customHeight="1">
      <c r="A265" s="8"/>
      <c r="B265" s="9">
        <f>IFERROR(__xludf.DUMMYFUNCTION("""COMPUTED_VALUE"""),45017.416272291666)</f>
        <v>45017.41627</v>
      </c>
      <c r="C265" s="9"/>
      <c r="D265" s="10">
        <f>IFERROR(__xludf.DUMMYFUNCTION("""COMPUTED_VALUE"""),45018.0)</f>
        <v>45018</v>
      </c>
      <c r="E265" s="10" t="str">
        <f>IFERROR(__xludf.DUMMYFUNCTION("""COMPUTED_VALUE"""),"04Apr")</f>
        <v>04Apr</v>
      </c>
      <c r="F265" s="10" t="str">
        <f>IFERROR(__xludf.DUMMYFUNCTION("""COMPUTED_VALUE"""),"2023")</f>
        <v>2023</v>
      </c>
      <c r="G265" s="16" t="str">
        <f>IFERROR(__xludf.DUMMYFUNCTION("""COMPUTED_VALUE"""),"SYAFITRA")</f>
        <v>SYAFITRA</v>
      </c>
      <c r="H265" s="17" t="str">
        <f>IFERROR(__xludf.DUMMYFUNCTION("""COMPUTED_VALUE"""),"S9323044739")</f>
        <v>S9323044739</v>
      </c>
      <c r="I265" s="17">
        <f>IFERROR(__xludf.DUMMYFUNCTION("""COMPUTED_VALUE"""),33.0)</f>
        <v>33</v>
      </c>
      <c r="J265" s="17" t="str">
        <f>IFERROR(__xludf.DUMMYFUNCTION("""COMPUTED_VALUE"""),"25-34 tahun")</f>
        <v>25-34 tahun</v>
      </c>
      <c r="K265" s="19">
        <f>IFERROR(__xludf.DUMMYFUNCTION("""COMPUTED_VALUE"""),34054.0)</f>
        <v>34054</v>
      </c>
      <c r="L265" s="19" t="str">
        <f>IFERROR(__xludf.DUMMYFUNCTION("""COMPUTED_VALUE"""),"PEREMPUAN")</f>
        <v>PEREMPUAN</v>
      </c>
      <c r="M265" s="16" t="str">
        <f>IFERROR(__xludf.DUMMYFUNCTION("""COMPUTED_VALUE"""),"GANG ASOKA 29 C. JL. PARIT H. HUSIN II")</f>
        <v>GANG ASOKA 29 C. JL. PARIT H. HUSIN II</v>
      </c>
      <c r="N265" s="16"/>
      <c r="O265" s="16"/>
      <c r="P265" s="16"/>
      <c r="Q265" s="16"/>
      <c r="R265" s="19" t="str">
        <f>IFERROR(__xludf.DUMMYFUNCTION("""COMPUTED_VALUE"""),"ISLAM")</f>
        <v>ISLAM</v>
      </c>
      <c r="S265" s="16" t="str">
        <f>IFERROR(__xludf.DUMMYFUNCTION("""COMPUTED_VALUE"""),"ASN")</f>
        <v>ASN</v>
      </c>
      <c r="T265" s="16" t="str">
        <f>IFERROR(__xludf.DUMMYFUNCTION("""COMPUTED_VALUE"""),"KIRI SAKIT")</f>
        <v>KIRI SAKIT</v>
      </c>
      <c r="U265" s="16" t="str">
        <f>IFERROR(__xludf.DUMMYFUNCTION("""COMPUTED_VALUE"""),"BEKERJA DI KANTORMENGURUS RUMAH ANAK2")</f>
        <v>BEKERJA DI KANTORMENGURUS RUMAH ANAK2</v>
      </c>
      <c r="V265" s="21" t="str">
        <f>IFERROR(__xludf.DUMMYFUNCTION("""COMPUTED_VALUE"""),"085228864739")</f>
        <v>085228864739</v>
      </c>
      <c r="W265" s="22"/>
    </row>
    <row r="266" ht="22.5" customHeight="1">
      <c r="A266" s="8"/>
      <c r="B266" s="9">
        <f>IFERROR(__xludf.DUMMYFUNCTION("""COMPUTED_VALUE"""),45017.50701981482)</f>
        <v>45017.50702</v>
      </c>
      <c r="C266" s="9"/>
      <c r="D266" s="10">
        <f>IFERROR(__xludf.DUMMYFUNCTION("""COMPUTED_VALUE"""),45018.0)</f>
        <v>45018</v>
      </c>
      <c r="E266" s="10" t="str">
        <f>IFERROR(__xludf.DUMMYFUNCTION("""COMPUTED_VALUE"""),"04Apr")</f>
        <v>04Apr</v>
      </c>
      <c r="F266" s="10" t="str">
        <f>IFERROR(__xludf.DUMMYFUNCTION("""COMPUTED_VALUE"""),"2023")</f>
        <v>2023</v>
      </c>
      <c r="G266" s="16" t="str">
        <f>IFERROR(__xludf.DUMMYFUNCTION("""COMPUTED_VALUE"""),"KENNY ROBERT")</f>
        <v>KENNY ROBERT</v>
      </c>
      <c r="H266" s="17" t="str">
        <f>IFERROR(__xludf.DUMMYFUNCTION("""COMPUTED_VALUE"""),"K9323045200")</f>
        <v>K9323045200</v>
      </c>
      <c r="I266" s="17">
        <f>IFERROR(__xludf.DUMMYFUNCTION("""COMPUTED_VALUE"""),32.0)</f>
        <v>32</v>
      </c>
      <c r="J266" s="17" t="str">
        <f>IFERROR(__xludf.DUMMYFUNCTION("""COMPUTED_VALUE"""),"25-34 tahun")</f>
        <v>25-34 tahun</v>
      </c>
      <c r="K266" s="19">
        <f>IFERROR(__xludf.DUMMYFUNCTION("""COMPUTED_VALUE"""),34247.0)</f>
        <v>34247</v>
      </c>
      <c r="L266" s="19" t="str">
        <f>IFERROR(__xludf.DUMMYFUNCTION("""COMPUTED_VALUE"""),"LAKI-LAKI")</f>
        <v>LAKI-LAKI</v>
      </c>
      <c r="M266" s="16" t="str">
        <f>IFERROR(__xludf.DUMMYFUNCTION("""COMPUTED_VALUE"""),"JL. SUMATERA GG SURYA KENCANA")</f>
        <v>JL. SUMATERA GG SURYA KENCANA</v>
      </c>
      <c r="N266" s="16"/>
      <c r="O266" s="16"/>
      <c r="P266" s="16"/>
      <c r="Q266" s="16"/>
      <c r="R266" s="19" t="str">
        <f>IFERROR(__xludf.DUMMYFUNCTION("""COMPUTED_VALUE"""),"ISLAM")</f>
        <v>ISLAM</v>
      </c>
      <c r="S266" s="16" t="str">
        <f>IFERROR(__xludf.DUMMYFUNCTION("""COMPUTED_VALUE"""),"BUMD")</f>
        <v>BUMD</v>
      </c>
      <c r="T266" s="16" t="str">
        <f>IFERROR(__xludf.DUMMYFUNCTION("""COMPUTED_VALUE"""),"NYERI TANGAN")</f>
        <v>NYERI TANGAN</v>
      </c>
      <c r="U266" s="16" t="str">
        <f>IFERROR(__xludf.DUMMYFUNCTION("""COMPUTED_VALUE"""),"MAIN")</f>
        <v>MAIN</v>
      </c>
      <c r="V266" s="21" t="str">
        <f>IFERROR(__xludf.DUMMYFUNCTION("""COMPUTED_VALUE"""),"085252295200")</f>
        <v>085252295200</v>
      </c>
      <c r="W266" s="22"/>
    </row>
    <row r="267" ht="22.5" customHeight="1">
      <c r="A267" s="8"/>
      <c r="B267" s="9">
        <f>IFERROR(__xludf.DUMMYFUNCTION("""COMPUTED_VALUE"""),45017.52811240741)</f>
        <v>45017.52811</v>
      </c>
      <c r="C267" s="9"/>
      <c r="D267" s="10">
        <f>IFERROR(__xludf.DUMMYFUNCTION("""COMPUTED_VALUE"""),45018.0)</f>
        <v>45018</v>
      </c>
      <c r="E267" s="10" t="str">
        <f>IFERROR(__xludf.DUMMYFUNCTION("""COMPUTED_VALUE"""),"04Apr")</f>
        <v>04Apr</v>
      </c>
      <c r="F267" s="10" t="str">
        <f>IFERROR(__xludf.DUMMYFUNCTION("""COMPUTED_VALUE"""),"2023")</f>
        <v>2023</v>
      </c>
      <c r="G267" s="16" t="str">
        <f>IFERROR(__xludf.DUMMYFUNCTION("""COMPUTED_VALUE"""),"MOCHAMMAD SOEDADI")</f>
        <v>MOCHAMMAD SOEDADI</v>
      </c>
      <c r="H267" s="17" t="str">
        <f>IFERROR(__xludf.DUMMYFUNCTION("""COMPUTED_VALUE"""),"M9323042433")</f>
        <v>M9323042433</v>
      </c>
      <c r="I267" s="17">
        <f>IFERROR(__xludf.DUMMYFUNCTION("""COMPUTED_VALUE"""),32.0)</f>
        <v>32</v>
      </c>
      <c r="J267" s="17" t="str">
        <f>IFERROR(__xludf.DUMMYFUNCTION("""COMPUTED_VALUE"""),"25-34 tahun")</f>
        <v>25-34 tahun</v>
      </c>
      <c r="K267" s="19">
        <f>IFERROR(__xludf.DUMMYFUNCTION("""COMPUTED_VALUE"""),34179.0)</f>
        <v>34179</v>
      </c>
      <c r="L267" s="19" t="str">
        <f>IFERROR(__xludf.DUMMYFUNCTION("""COMPUTED_VALUE"""),"LAKI-LAKI")</f>
        <v>LAKI-LAKI</v>
      </c>
      <c r="M267" s="16" t="str">
        <f>IFERROR(__xludf.DUMMYFUNCTION("""COMPUTED_VALUE"""),"JL. CIJAURA HILIR 54")</f>
        <v>JL. CIJAURA HILIR 54</v>
      </c>
      <c r="N267" s="16"/>
      <c r="O267" s="16"/>
      <c r="P267" s="16"/>
      <c r="Q267" s="16"/>
      <c r="R267" s="19" t="str">
        <f>IFERROR(__xludf.DUMMYFUNCTION("""COMPUTED_VALUE"""),"ISLAM")</f>
        <v>ISLAM</v>
      </c>
      <c r="S267" s="16" t="str">
        <f>IFERROR(__xludf.DUMMYFUNCTION("""COMPUTED_VALUE"""),"WIRASWASTA")</f>
        <v>WIRASWASTA</v>
      </c>
      <c r="T267" s="16" t="str">
        <f>IFERROR(__xludf.DUMMYFUNCTION("""COMPUTED_VALUE"""),"ENGKLE")</f>
        <v>ENGKLE</v>
      </c>
      <c r="U267" s="16" t="str">
        <f>IFERROR(__xludf.DUMMYFUNCTION("""COMPUTED_VALUE"""),"KERJA")</f>
        <v>KERJA</v>
      </c>
      <c r="V267" s="21" t="str">
        <f>IFERROR(__xludf.DUMMYFUNCTION("""COMPUTED_VALUE"""),"081224252433")</f>
        <v>081224252433</v>
      </c>
      <c r="W267" s="22"/>
    </row>
    <row r="268" ht="22.5" customHeight="1">
      <c r="A268" s="8"/>
      <c r="B268" s="9">
        <f>IFERROR(__xludf.DUMMYFUNCTION("""COMPUTED_VALUE"""),45017.607633148145)</f>
        <v>45017.60763</v>
      </c>
      <c r="C268" s="9"/>
      <c r="D268" s="10">
        <f>IFERROR(__xludf.DUMMYFUNCTION("""COMPUTED_VALUE"""),45018.4290108912)</f>
        <v>45018.42901</v>
      </c>
      <c r="E268" s="10" t="str">
        <f>IFERROR(__xludf.DUMMYFUNCTION("""COMPUTED_VALUE"""),"04Apr")</f>
        <v>04Apr</v>
      </c>
      <c r="F268" s="10" t="str">
        <f>IFERROR(__xludf.DUMMYFUNCTION("""COMPUTED_VALUE"""),"2023")</f>
        <v>2023</v>
      </c>
      <c r="G268" s="16" t="str">
        <f>IFERROR(__xludf.DUMMYFUNCTION("""COMPUTED_VALUE"""),"SYLVIE WULANDARI")</f>
        <v>SYLVIE WULANDARI</v>
      </c>
      <c r="H268" s="17" t="str">
        <f>IFERROR(__xludf.DUMMYFUNCTION("""COMPUTED_VALUE"""),"S8323048735")</f>
        <v>S8323048735</v>
      </c>
      <c r="I268" s="17">
        <f>IFERROR(__xludf.DUMMYFUNCTION("""COMPUTED_VALUE"""),43.0)</f>
        <v>43</v>
      </c>
      <c r="J268" s="17" t="str">
        <f>IFERROR(__xludf.DUMMYFUNCTION("""COMPUTED_VALUE"""),"35-44 tahun")</f>
        <v>35-44 tahun</v>
      </c>
      <c r="K268" s="19">
        <f>IFERROR(__xludf.DUMMYFUNCTION("""COMPUTED_VALUE"""),30375.0)</f>
        <v>30375</v>
      </c>
      <c r="L268" s="19" t="str">
        <f>IFERROR(__xludf.DUMMYFUNCTION("""COMPUTED_VALUE"""),"PEREMPUAN")</f>
        <v>PEREMPUAN</v>
      </c>
      <c r="M268" s="16" t="str">
        <f>IFERROR(__xludf.DUMMYFUNCTION("""COMPUTED_VALUE"""),"ANEKA ELOK BLOK G8 NO 18 PENGGILINGAN, CAKUNG, JAKTIM")</f>
        <v>ANEKA ELOK BLOK G8 NO 18 PENGGILINGAN, CAKUNG, JAKTIM</v>
      </c>
      <c r="N268" s="16"/>
      <c r="O268" s="16"/>
      <c r="P268" s="16"/>
      <c r="Q268" s="16"/>
      <c r="R268" s="19" t="str">
        <f>IFERROR(__xludf.DUMMYFUNCTION("""COMPUTED_VALUE"""),"ISLAM")</f>
        <v>ISLAM</v>
      </c>
      <c r="S268" s="16" t="str">
        <f>IFERROR(__xludf.DUMMYFUNCTION("""COMPUTED_VALUE"""),"RUMAH TANGGA")</f>
        <v>RUMAH TANGGA</v>
      </c>
      <c r="T268" s="16" t="str">
        <f>IFERROR(__xludf.DUMMYFUNCTION("""COMPUTED_VALUE"""),"KESULITAN JALAN PASCA OPERASI TULANG BELAKANG")</f>
        <v>KESULITAN JALAN PASCA OPERASI TULANG BELAKANG</v>
      </c>
      <c r="U268" s="16" t="str">
        <f>IFERROR(__xludf.DUMMYFUNCTION("""COMPUTED_VALUE"""),"URUS RUMAHTANGGA")</f>
        <v>URUS RUMAHTANGGA</v>
      </c>
      <c r="V268" s="21" t="str">
        <f>IFERROR(__xludf.DUMMYFUNCTION("""COMPUTED_VALUE"""),"08567988735")</f>
        <v>08567988735</v>
      </c>
      <c r="W268" s="22"/>
    </row>
    <row r="269" ht="22.5" customHeight="1">
      <c r="A269" s="8"/>
      <c r="B269" s="9">
        <f>IFERROR(__xludf.DUMMYFUNCTION("""COMPUTED_VALUE"""),45017.66869021991)</f>
        <v>45017.66869</v>
      </c>
      <c r="C269" s="9"/>
      <c r="D269" s="10">
        <f>IFERROR(__xludf.DUMMYFUNCTION("""COMPUTED_VALUE"""),45018.44490428241)</f>
        <v>45018.4449</v>
      </c>
      <c r="E269" s="10" t="str">
        <f>IFERROR(__xludf.DUMMYFUNCTION("""COMPUTED_VALUE"""),"04Apr")</f>
        <v>04Apr</v>
      </c>
      <c r="F269" s="10" t="str">
        <f>IFERROR(__xludf.DUMMYFUNCTION("""COMPUTED_VALUE"""),"2023")</f>
        <v>2023</v>
      </c>
      <c r="G269" s="16" t="str">
        <f>IFERROR(__xludf.DUMMYFUNCTION("""COMPUTED_VALUE"""),"FS.BARMANUKI")</f>
        <v>FS.BARMANUKI</v>
      </c>
      <c r="H269" s="17" t="str">
        <f>IFERROR(__xludf.DUMMYFUNCTION("""COMPUTED_VALUE"""),"F4523041070")</f>
        <v>F4523041070</v>
      </c>
      <c r="I269" s="17">
        <f>IFERROR(__xludf.DUMMYFUNCTION("""COMPUTED_VALUE"""),81.0)</f>
        <v>81</v>
      </c>
      <c r="J269" s="17" t="str">
        <f>IFERROR(__xludf.DUMMYFUNCTION("""COMPUTED_VALUE"""),"&gt; 44 tahun")</f>
        <v>&gt; 44 tahun</v>
      </c>
      <c r="K269" s="19">
        <f>IFERROR(__xludf.DUMMYFUNCTION("""COMPUTED_VALUE"""),16483.0)</f>
        <v>16483</v>
      </c>
      <c r="L269" s="19" t="str">
        <f>IFERROR(__xludf.DUMMYFUNCTION("""COMPUTED_VALUE"""),"LAKI-LAKI")</f>
        <v>LAKI-LAKI</v>
      </c>
      <c r="M269" s="16" t="str">
        <f>IFERROR(__xludf.DUMMYFUNCTION("""COMPUTED_VALUE"""),"JL.DR.SUTOMO GG.KARYA I NO.23")</f>
        <v>JL.DR.SUTOMO GG.KARYA I NO.23</v>
      </c>
      <c r="N269" s="16"/>
      <c r="O269" s="16"/>
      <c r="P269" s="16"/>
      <c r="Q269" s="16"/>
      <c r="R269" s="19" t="str">
        <f>IFERROR(__xludf.DUMMYFUNCTION("""COMPUTED_VALUE"""),"KATOLIK")</f>
        <v>KATOLIK</v>
      </c>
      <c r="S269" s="16" t="str">
        <f>IFERROR(__xludf.DUMMYFUNCTION("""COMPUTED_VALUE"""),"PENSIUN")</f>
        <v>PENSIUN</v>
      </c>
      <c r="T269" s="16" t="str">
        <f>IFERROR(__xludf.DUMMYFUNCTION("""COMPUTED_VALUE"""),"KAKI LEMAH AKIBAT JATUH")</f>
        <v>KAKI LEMAH AKIBAT JATUH</v>
      </c>
      <c r="U269" s="16" t="str">
        <f>IFERROR(__xludf.DUMMYFUNCTION("""COMPUTED_VALUE"""),"MEMBACA")</f>
        <v>MEMBACA</v>
      </c>
      <c r="V269" s="21" t="str">
        <f>IFERROR(__xludf.DUMMYFUNCTION("""COMPUTED_VALUE"""),"081253051070")</f>
        <v>081253051070</v>
      </c>
      <c r="W269" s="22"/>
    </row>
    <row r="270" ht="22.5" customHeight="1">
      <c r="A270" s="8"/>
      <c r="B270" s="9">
        <f>IFERROR(__xludf.DUMMYFUNCTION("""COMPUTED_VALUE"""),45017.675477557874)</f>
        <v>45017.67548</v>
      </c>
      <c r="C270" s="9"/>
      <c r="D270" s="10">
        <f>IFERROR(__xludf.DUMMYFUNCTION("""COMPUTED_VALUE"""),45019.0)</f>
        <v>45019</v>
      </c>
      <c r="E270" s="10" t="str">
        <f>IFERROR(__xludf.DUMMYFUNCTION("""COMPUTED_VALUE"""),"04Apr")</f>
        <v>04Apr</v>
      </c>
      <c r="F270" s="10" t="str">
        <f>IFERROR(__xludf.DUMMYFUNCTION("""COMPUTED_VALUE"""),"2023")</f>
        <v>2023</v>
      </c>
      <c r="G270" s="16" t="str">
        <f>IFERROR(__xludf.DUMMYFUNCTION("""COMPUTED_VALUE"""),"HERISIN")</f>
        <v>HERISIN</v>
      </c>
      <c r="H270" s="17" t="str">
        <f>IFERROR(__xludf.DUMMYFUNCTION("""COMPUTED_VALUE"""),"H5223040082")</f>
        <v>H5223040082</v>
      </c>
      <c r="I270" s="17">
        <f>IFERROR(__xludf.DUMMYFUNCTION("""COMPUTED_VALUE"""),73.0)</f>
        <v>73</v>
      </c>
      <c r="J270" s="17" t="str">
        <f>IFERROR(__xludf.DUMMYFUNCTION("""COMPUTED_VALUE"""),"&gt; 44 tahun")</f>
        <v>&gt; 44 tahun</v>
      </c>
      <c r="K270" s="19">
        <f>IFERROR(__xludf.DUMMYFUNCTION("""COMPUTED_VALUE"""),19236.0)</f>
        <v>19236</v>
      </c>
      <c r="L270" s="19" t="str">
        <f>IFERROR(__xludf.DUMMYFUNCTION("""COMPUTED_VALUE"""),"LAKI-LAKI")</f>
        <v>LAKI-LAKI</v>
      </c>
      <c r="M270" s="16" t="str">
        <f>IFERROR(__xludf.DUMMYFUNCTION("""COMPUTED_VALUE"""),"PERMATA KHATULISTIWA BLOK H 9")</f>
        <v>PERMATA KHATULISTIWA BLOK H 9</v>
      </c>
      <c r="N270" s="16"/>
      <c r="O270" s="16"/>
      <c r="P270" s="16"/>
      <c r="Q270" s="16"/>
      <c r="R270" s="19" t="str">
        <f>IFERROR(__xludf.DUMMYFUNCTION("""COMPUTED_VALUE"""),"KATOLIK")</f>
        <v>KATOLIK</v>
      </c>
      <c r="S270" s="16" t="str">
        <f>IFERROR(__xludf.DUMMYFUNCTION("""COMPUTED_VALUE"""),"SWASTA")</f>
        <v>SWASTA</v>
      </c>
      <c r="T270" s="16" t="str">
        <f>IFERROR(__xludf.DUMMYFUNCTION("""COMPUTED_VALUE"""),"SAKIT")</f>
        <v>SAKIT</v>
      </c>
      <c r="U270" s="16" t="str">
        <f>IFERROR(__xludf.DUMMYFUNCTION("""COMPUTED_VALUE"""),"KERJA")</f>
        <v>KERJA</v>
      </c>
      <c r="V270" s="21" t="str">
        <f>IFERROR(__xludf.DUMMYFUNCTION("""COMPUTED_VALUE"""),"08115710082")</f>
        <v>08115710082</v>
      </c>
      <c r="W270" s="22"/>
    </row>
    <row r="271" ht="22.5" customHeight="1">
      <c r="A271" s="28"/>
      <c r="B271" s="9">
        <f>IFERROR(__xludf.DUMMYFUNCTION("""COMPUTED_VALUE"""),45018.382229675924)</f>
        <v>45018.38223</v>
      </c>
      <c r="C271" s="9"/>
      <c r="D271" s="10">
        <f>IFERROR(__xludf.DUMMYFUNCTION("""COMPUTED_VALUE"""),45019.0)</f>
        <v>45019</v>
      </c>
      <c r="E271" s="10" t="str">
        <f>IFERROR(__xludf.DUMMYFUNCTION("""COMPUTED_VALUE"""),"04Apr")</f>
        <v>04Apr</v>
      </c>
      <c r="F271" s="10" t="str">
        <f>IFERROR(__xludf.DUMMYFUNCTION("""COMPUTED_VALUE"""),"2023")</f>
        <v>2023</v>
      </c>
      <c r="G271" s="16" t="str">
        <f>IFERROR(__xludf.DUMMYFUNCTION("""COMPUTED_VALUE"""),"ABIYANTO")</f>
        <v>ABIYANTO</v>
      </c>
      <c r="H271" s="17" t="str">
        <f>IFERROR(__xludf.DUMMYFUNCTION("""COMPUTED_VALUE"""),"A7123045708")</f>
        <v>A7123045708</v>
      </c>
      <c r="I271" s="17">
        <f>IFERROR(__xludf.DUMMYFUNCTION("""COMPUTED_VALUE"""),54.0)</f>
        <v>54</v>
      </c>
      <c r="J271" s="17" t="str">
        <f>IFERROR(__xludf.DUMMYFUNCTION("""COMPUTED_VALUE"""),"&gt; 44 tahun")</f>
        <v>&gt; 44 tahun</v>
      </c>
      <c r="K271" s="19">
        <f>IFERROR(__xludf.DUMMYFUNCTION("""COMPUTED_VALUE"""),26243.0)</f>
        <v>26243</v>
      </c>
      <c r="L271" s="19" t="str">
        <f>IFERROR(__xludf.DUMMYFUNCTION("""COMPUTED_VALUE"""),"LAKI-LAKI")</f>
        <v>LAKI-LAKI</v>
      </c>
      <c r="M271" s="16" t="str">
        <f>IFERROR(__xludf.DUMMYFUNCTION("""COMPUTED_VALUE"""),"PERMATA KHATULISTIWA BLOK H 9")</f>
        <v>PERMATA KHATULISTIWA BLOK H 9</v>
      </c>
      <c r="N271" s="16"/>
      <c r="O271" s="16"/>
      <c r="P271" s="16"/>
      <c r="Q271" s="16"/>
      <c r="R271" s="19" t="str">
        <f>IFERROR(__xludf.DUMMYFUNCTION("""COMPUTED_VALUE"""),"KATOLIK")</f>
        <v>KATOLIK</v>
      </c>
      <c r="S271" s="16" t="str">
        <f>IFERROR(__xludf.DUMMYFUNCTION("""COMPUTED_VALUE"""),"SWASTA")</f>
        <v>SWASTA</v>
      </c>
      <c r="T271" s="16" t="str">
        <f>IFERROR(__xludf.DUMMYFUNCTION("""COMPUTED_VALUE"""),"SAKIT")</f>
        <v>SAKIT</v>
      </c>
      <c r="U271" s="16" t="str">
        <f>IFERROR(__xludf.DUMMYFUNCTION("""COMPUTED_VALUE"""),"JOGING")</f>
        <v>JOGING</v>
      </c>
      <c r="V271" s="21" t="str">
        <f>IFERROR(__xludf.DUMMYFUNCTION("""COMPUTED_VALUE"""),"0811565708")</f>
        <v>0811565708</v>
      </c>
      <c r="W271" s="22"/>
    </row>
    <row r="272" ht="22.5" customHeight="1">
      <c r="A272" s="28"/>
      <c r="B272" s="9">
        <f>IFERROR(__xludf.DUMMYFUNCTION("""COMPUTED_VALUE"""),45018.4290108912)</f>
        <v>45018.42901</v>
      </c>
      <c r="C272" s="9"/>
      <c r="D272" s="10">
        <f>IFERROR(__xludf.DUMMYFUNCTION("""COMPUTED_VALUE"""),45019.0)</f>
        <v>45019</v>
      </c>
      <c r="E272" s="10" t="str">
        <f>IFERROR(__xludf.DUMMYFUNCTION("""COMPUTED_VALUE"""),"04Apr")</f>
        <v>04Apr</v>
      </c>
      <c r="F272" s="10" t="str">
        <f>IFERROR(__xludf.DUMMYFUNCTION("""COMPUTED_VALUE"""),"2023")</f>
        <v>2023</v>
      </c>
      <c r="G272" s="16" t="str">
        <f>IFERROR(__xludf.DUMMYFUNCTION("""COMPUTED_VALUE"""),"JIMMY FRANKLIN KEGEL")</f>
        <v>JIMMY FRANKLIN KEGEL</v>
      </c>
      <c r="H272" s="17" t="str">
        <f>IFERROR(__xludf.DUMMYFUNCTION("""COMPUTED_VALUE"""),"J9223045067")</f>
        <v>J9223045067</v>
      </c>
      <c r="I272" s="17">
        <f>IFERROR(__xludf.DUMMYFUNCTION("""COMPUTED_VALUE"""),33.0)</f>
        <v>33</v>
      </c>
      <c r="J272" s="17" t="str">
        <f>IFERROR(__xludf.DUMMYFUNCTION("""COMPUTED_VALUE"""),"25-34 tahun")</f>
        <v>25-34 tahun</v>
      </c>
      <c r="K272" s="19">
        <f>IFERROR(__xludf.DUMMYFUNCTION("""COMPUTED_VALUE"""),33828.0)</f>
        <v>33828</v>
      </c>
      <c r="L272" s="19" t="str">
        <f>IFERROR(__xludf.DUMMYFUNCTION("""COMPUTED_VALUE"""),"LAKI-LAKI")</f>
        <v>LAKI-LAKI</v>
      </c>
      <c r="M272" s="16" t="str">
        <f>IFERROR(__xludf.DUMMYFUNCTION("""COMPUTED_VALUE"""),"GANG HARAPAN 2 NO. 69, TANJUNG RAYA 1, PONTIANAK TIMOR, PONTIANAK")</f>
        <v>GANG HARAPAN 2 NO. 69, TANJUNG RAYA 1, PONTIANAK TIMOR, PONTIANAK</v>
      </c>
      <c r="N272" s="16"/>
      <c r="O272" s="16"/>
      <c r="P272" s="16"/>
      <c r="Q272" s="16"/>
      <c r="R272" s="19" t="str">
        <f>IFERROR(__xludf.DUMMYFUNCTION("""COMPUTED_VALUE"""),"KATOLIK")</f>
        <v>KATOLIK</v>
      </c>
      <c r="S272" s="16" t="str">
        <f>IFERROR(__xludf.DUMMYFUNCTION("""COMPUTED_VALUE"""),"PELAJAR/MAHASISWA")</f>
        <v>PELAJAR/MAHASISWA</v>
      </c>
      <c r="T272" s="16" t="str">
        <f>IFERROR(__xludf.DUMMYFUNCTION("""COMPUTED_VALUE"""),"NYERI PUNGGUNG BAWAH")</f>
        <v>NYERI PUNGGUNG BAWAH</v>
      </c>
      <c r="U272" s="16" t="str">
        <f>IFERROR(__xludf.DUMMYFUNCTION("""COMPUTED_VALUE"""),"FITNESS, YOGA, KERJA DI MEJA")</f>
        <v>FITNESS, YOGA, KERJA DI MEJA</v>
      </c>
      <c r="V272" s="21" t="str">
        <f>IFERROR(__xludf.DUMMYFUNCTION("""COMPUTED_VALUE"""),"+31628465067")</f>
        <v>+31628465067</v>
      </c>
      <c r="W272" s="22"/>
    </row>
    <row r="273" ht="22.5" customHeight="1">
      <c r="A273" s="8"/>
      <c r="B273" s="9">
        <f>IFERROR(__xludf.DUMMYFUNCTION("""COMPUTED_VALUE"""),45018.44490428241)</f>
        <v>45018.4449</v>
      </c>
      <c r="C273" s="9"/>
      <c r="D273" s="10">
        <f>IFERROR(__xludf.DUMMYFUNCTION("""COMPUTED_VALUE"""),45019.0)</f>
        <v>45019</v>
      </c>
      <c r="E273" s="10" t="str">
        <f>IFERROR(__xludf.DUMMYFUNCTION("""COMPUTED_VALUE"""),"04Apr")</f>
        <v>04Apr</v>
      </c>
      <c r="F273" s="10" t="str">
        <f>IFERROR(__xludf.DUMMYFUNCTION("""COMPUTED_VALUE"""),"2023")</f>
        <v>2023</v>
      </c>
      <c r="G273" s="16" t="str">
        <f>IFERROR(__xludf.DUMMYFUNCTION("""COMPUTED_VALUE"""),"MARYAM")</f>
        <v>MARYAM</v>
      </c>
      <c r="H273" s="17" t="str">
        <f>IFERROR(__xludf.DUMMYFUNCTION("""COMPUTED_VALUE"""),"M7023041727")</f>
        <v>M7023041727</v>
      </c>
      <c r="I273" s="17">
        <f>IFERROR(__xludf.DUMMYFUNCTION("""COMPUTED_VALUE"""),56.0)</f>
        <v>56</v>
      </c>
      <c r="J273" s="17" t="str">
        <f>IFERROR(__xludf.DUMMYFUNCTION("""COMPUTED_VALUE"""),"&gt; 44 tahun")</f>
        <v>&gt; 44 tahun</v>
      </c>
      <c r="K273" s="19">
        <f>IFERROR(__xludf.DUMMYFUNCTION("""COMPUTED_VALUE"""),25640.0)</f>
        <v>25640</v>
      </c>
      <c r="L273" s="19" t="str">
        <f>IFERROR(__xludf.DUMMYFUNCTION("""COMPUTED_VALUE"""),"PEREMPUAN")</f>
        <v>PEREMPUAN</v>
      </c>
      <c r="M273" s="16" t="str">
        <f>IFERROR(__xludf.DUMMYFUNCTION("""COMPUTED_VALUE"""),"JL. PROF DR HAMKA. GG. NILAM 2 NO.7")</f>
        <v>JL. PROF DR HAMKA. GG. NILAM 2 NO.7</v>
      </c>
      <c r="N273" s="16"/>
      <c r="O273" s="16"/>
      <c r="P273" s="16"/>
      <c r="Q273" s="16"/>
      <c r="R273" s="19" t="str">
        <f>IFERROR(__xludf.DUMMYFUNCTION("""COMPUTED_VALUE"""),"ISLAM")</f>
        <v>ISLAM</v>
      </c>
      <c r="S273" s="16" t="str">
        <f>IFERROR(__xludf.DUMMYFUNCTION("""COMPUTED_VALUE"""),"RUMAH TANGGA")</f>
        <v>RUMAH TANGGA</v>
      </c>
      <c r="T273" s="16" t="str">
        <f>IFERROR(__xludf.DUMMYFUNCTION("""COMPUTED_VALUE"""),"STRUK, TANGAN SEBELAH KIRI MASIH BELUM BISA BERGERAK.")</f>
        <v>STRUK, TANGAN SEBELAH KIRI MASIH BELUM BISA BERGERAK.</v>
      </c>
      <c r="U273" s="16" t="str">
        <f>IFERROR(__xludf.DUMMYFUNCTION("""COMPUTED_VALUE"""),"-")</f>
        <v>-</v>
      </c>
      <c r="V273" s="21" t="str">
        <f>IFERROR(__xludf.DUMMYFUNCTION("""COMPUTED_VALUE"""),"089517001727")</f>
        <v>089517001727</v>
      </c>
      <c r="W273" s="22"/>
    </row>
    <row r="274" ht="22.5" customHeight="1">
      <c r="A274" s="8"/>
      <c r="B274" s="9">
        <f>IFERROR(__xludf.DUMMYFUNCTION("""COMPUTED_VALUE"""),45018.45052547454)</f>
        <v>45018.45053</v>
      </c>
      <c r="C274" s="9"/>
      <c r="D274" s="10">
        <f>IFERROR(__xludf.DUMMYFUNCTION("""COMPUTED_VALUE"""),45020.0)</f>
        <v>45020</v>
      </c>
      <c r="E274" s="10" t="str">
        <f>IFERROR(__xludf.DUMMYFUNCTION("""COMPUTED_VALUE"""),"04Apr")</f>
        <v>04Apr</v>
      </c>
      <c r="F274" s="10" t="str">
        <f>IFERROR(__xludf.DUMMYFUNCTION("""COMPUTED_VALUE"""),"2023")</f>
        <v>2023</v>
      </c>
      <c r="G274" s="16" t="str">
        <f>IFERROR(__xludf.DUMMYFUNCTION("""COMPUTED_VALUE"""),"URAY ZUNIA KURNIAWATI")</f>
        <v>URAY ZUNIA KURNIAWATI</v>
      </c>
      <c r="H274" s="17" t="str">
        <f>IFERROR(__xludf.DUMMYFUNCTION("""COMPUTED_VALUE"""),"U7323047749")</f>
        <v>U7323047749</v>
      </c>
      <c r="I274" s="17">
        <f>IFERROR(__xludf.DUMMYFUNCTION("""COMPUTED_VALUE"""),52.0)</f>
        <v>52</v>
      </c>
      <c r="J274" s="17" t="str">
        <f>IFERROR(__xludf.DUMMYFUNCTION("""COMPUTED_VALUE"""),"&gt; 44 tahun")</f>
        <v>&gt; 44 tahun</v>
      </c>
      <c r="K274" s="19">
        <f>IFERROR(__xludf.DUMMYFUNCTION("""COMPUTED_VALUE"""),26838.0)</f>
        <v>26838</v>
      </c>
      <c r="L274" s="19" t="str">
        <f>IFERROR(__xludf.DUMMYFUNCTION("""COMPUTED_VALUE"""),"PEREMPUAN")</f>
        <v>PEREMPUAN</v>
      </c>
      <c r="M274" s="16" t="str">
        <f>IFERROR(__xludf.DUMMYFUNCTION("""COMPUTED_VALUE"""),"JL. AMPERA KOMPLEK BALI ASRI 1 BLOK B. NO.8 PONTIANAK")</f>
        <v>JL. AMPERA KOMPLEK BALI ASRI 1 BLOK B. NO.8 PONTIANAK</v>
      </c>
      <c r="N274" s="16"/>
      <c r="O274" s="16"/>
      <c r="P274" s="16"/>
      <c r="Q274" s="16"/>
      <c r="R274" s="19" t="str">
        <f>IFERROR(__xludf.DUMMYFUNCTION("""COMPUTED_VALUE"""),"ISLAM")</f>
        <v>ISLAM</v>
      </c>
      <c r="S274" s="16" t="str">
        <f>IFERROR(__xludf.DUMMYFUNCTION("""COMPUTED_VALUE"""),"RUMAH TANGGA")</f>
        <v>RUMAH TANGGA</v>
      </c>
      <c r="T274" s="16" t="str">
        <f>IFERROR(__xludf.DUMMYFUNCTION("""COMPUTED_VALUE"""),"PINGGANG")</f>
        <v>PINGGANG</v>
      </c>
      <c r="U274" s="16" t="str">
        <f>IFERROR(__xludf.DUMMYFUNCTION("""COMPUTED_VALUE"""),"MAKAN")</f>
        <v>MAKAN</v>
      </c>
      <c r="V274" s="21" t="str">
        <f>IFERROR(__xludf.DUMMYFUNCTION("""COMPUTED_VALUE"""),"081347427749")</f>
        <v>081347427749</v>
      </c>
      <c r="W274" s="22"/>
    </row>
    <row r="275" ht="22.5" customHeight="1">
      <c r="A275" s="8"/>
      <c r="B275" s="9">
        <f>IFERROR(__xludf.DUMMYFUNCTION("""COMPUTED_VALUE"""),45018.502339328705)</f>
        <v>45018.50234</v>
      </c>
      <c r="C275" s="9"/>
      <c r="D275" s="10">
        <f>IFERROR(__xludf.DUMMYFUNCTION("""COMPUTED_VALUE"""),45020.0)</f>
        <v>45020</v>
      </c>
      <c r="E275" s="10" t="str">
        <f>IFERROR(__xludf.DUMMYFUNCTION("""COMPUTED_VALUE"""),"04Apr")</f>
        <v>04Apr</v>
      </c>
      <c r="F275" s="10" t="str">
        <f>IFERROR(__xludf.DUMMYFUNCTION("""COMPUTED_VALUE"""),"2023")</f>
        <v>2023</v>
      </c>
      <c r="G275" s="16" t="str">
        <f>IFERROR(__xludf.DUMMYFUNCTION("""COMPUTED_VALUE"""),"UTIN ANWAR SANIAH")</f>
        <v>UTIN ANWAR SANIAH</v>
      </c>
      <c r="H275" s="17" t="str">
        <f>IFERROR(__xludf.DUMMYFUNCTION("""COMPUTED_VALUE"""),"U3123042831")</f>
        <v>U3123042831</v>
      </c>
      <c r="I275" s="17">
        <f>IFERROR(__xludf.DUMMYFUNCTION("""COMPUTED_VALUE"""),94.0)</f>
        <v>94</v>
      </c>
      <c r="J275" s="17" t="str">
        <f>IFERROR(__xludf.DUMMYFUNCTION("""COMPUTED_VALUE"""),"&gt; 44 tahun")</f>
        <v>&gt; 44 tahun</v>
      </c>
      <c r="K275" s="19">
        <f>IFERROR(__xludf.DUMMYFUNCTION("""COMPUTED_VALUE"""),11688.0)</f>
        <v>11688</v>
      </c>
      <c r="L275" s="19" t="str">
        <f>IFERROR(__xludf.DUMMYFUNCTION("""COMPUTED_VALUE"""),"PEREMPUAN")</f>
        <v>PEREMPUAN</v>
      </c>
      <c r="M275" s="16" t="str">
        <f>IFERROR(__xludf.DUMMYFUNCTION("""COMPUTED_VALUE"""),"JLN. SUMBAWA NO 94")</f>
        <v>JLN. SUMBAWA NO 94</v>
      </c>
      <c r="N275" s="16"/>
      <c r="O275" s="16"/>
      <c r="P275" s="16"/>
      <c r="Q275" s="16"/>
      <c r="R275" s="19" t="str">
        <f>IFERROR(__xludf.DUMMYFUNCTION("""COMPUTED_VALUE"""),"ISLAM")</f>
        <v>ISLAM</v>
      </c>
      <c r="S275" s="16" t="str">
        <f>IFERROR(__xludf.DUMMYFUNCTION("""COMPUTED_VALUE"""),"RUMAH TANGGA")</f>
        <v>RUMAH TANGGA</v>
      </c>
      <c r="T275" s="16" t="str">
        <f>IFERROR(__xludf.DUMMYFUNCTION("""COMPUTED_VALUE"""),"KAKI LEMAH")</f>
        <v>KAKI LEMAH</v>
      </c>
      <c r="U275" s="16" t="str">
        <f>IFERROR(__xludf.DUMMYFUNCTION("""COMPUTED_VALUE"""),"MEMASAK")</f>
        <v>MEMASAK</v>
      </c>
      <c r="V275" s="21" t="str">
        <f>IFERROR(__xludf.DUMMYFUNCTION("""COMPUTED_VALUE"""),"082153292831")</f>
        <v>082153292831</v>
      </c>
      <c r="W275" s="22"/>
    </row>
    <row r="276" ht="22.5" customHeight="1">
      <c r="A276" s="8"/>
      <c r="B276" s="9">
        <f>IFERROR(__xludf.DUMMYFUNCTION("""COMPUTED_VALUE"""),45018.607540219906)</f>
        <v>45018.60754</v>
      </c>
      <c r="C276" s="9"/>
      <c r="D276" s="10">
        <f>IFERROR(__xludf.DUMMYFUNCTION("""COMPUTED_VALUE"""),45020.0)</f>
        <v>45020</v>
      </c>
      <c r="E276" s="10" t="str">
        <f>IFERROR(__xludf.DUMMYFUNCTION("""COMPUTED_VALUE"""),"04Apr")</f>
        <v>04Apr</v>
      </c>
      <c r="F276" s="10" t="str">
        <f>IFERROR(__xludf.DUMMYFUNCTION("""COMPUTED_VALUE"""),"2023")</f>
        <v>2023</v>
      </c>
      <c r="G276" s="16" t="str">
        <f>IFERROR(__xludf.DUMMYFUNCTION("""COMPUTED_VALUE"""),"BAMBANG HARIANTO")</f>
        <v>BAMBANG HARIANTO</v>
      </c>
      <c r="H276" s="17" t="str">
        <f>IFERROR(__xludf.DUMMYFUNCTION("""COMPUTED_VALUE"""),"B9823041339")</f>
        <v>B9823041339</v>
      </c>
      <c r="I276" s="17">
        <f>IFERROR(__xludf.DUMMYFUNCTION("""COMPUTED_VALUE"""),27.0)</f>
        <v>27</v>
      </c>
      <c r="J276" s="17" t="str">
        <f>IFERROR(__xludf.DUMMYFUNCTION("""COMPUTED_VALUE"""),"25-34 tahun")</f>
        <v>25-34 tahun</v>
      </c>
      <c r="K276" s="19">
        <f>IFERROR(__xludf.DUMMYFUNCTION("""COMPUTED_VALUE"""),36121.0)</f>
        <v>36121</v>
      </c>
      <c r="L276" s="19" t="str">
        <f>IFERROR(__xludf.DUMMYFUNCTION("""COMPUTED_VALUE"""),"LAKI-LAKI")</f>
        <v>LAKI-LAKI</v>
      </c>
      <c r="M276" s="16" t="str">
        <f>IFERROR(__xludf.DUMMYFUNCTION("""COMPUTED_VALUE"""),"JL KETAPANG SUKADANA")</f>
        <v>JL KETAPANG SUKADANA</v>
      </c>
      <c r="N276" s="16"/>
      <c r="O276" s="16"/>
      <c r="P276" s="16"/>
      <c r="Q276" s="16"/>
      <c r="R276" s="19" t="str">
        <f>IFERROR(__xludf.DUMMYFUNCTION("""COMPUTED_VALUE"""),"ISLAM")</f>
        <v>ISLAM</v>
      </c>
      <c r="S276" s="16" t="str">
        <f>IFERROR(__xludf.DUMMYFUNCTION("""COMPUTED_VALUE"""),"PELAJAR/MAHASISWA")</f>
        <v>PELAJAR/MAHASISWA</v>
      </c>
      <c r="T276" s="16" t="str">
        <f>IFERROR(__xludf.DUMMYFUNCTION("""COMPUTED_VALUE"""),"GEJALA HAMSTRING")</f>
        <v>GEJALA HAMSTRING</v>
      </c>
      <c r="U276" s="16" t="str">
        <f>IFERROR(__xludf.DUMMYFUNCTION("""COMPUTED_VALUE"""),"LARI SPRINT")</f>
        <v>LARI SPRINT</v>
      </c>
      <c r="V276" s="21" t="str">
        <f>IFERROR(__xludf.DUMMYFUNCTION("""COMPUTED_VALUE"""),"085754391339")</f>
        <v>085754391339</v>
      </c>
      <c r="W276" s="22"/>
    </row>
    <row r="277" ht="22.5" customHeight="1">
      <c r="A277" s="8"/>
      <c r="B277" s="9">
        <f>IFERROR(__xludf.DUMMYFUNCTION("""COMPUTED_VALUE"""),45019.40578909722)</f>
        <v>45019.40579</v>
      </c>
      <c r="C277" s="9"/>
      <c r="D277" s="10">
        <f>IFERROR(__xludf.DUMMYFUNCTION("""COMPUTED_VALUE"""),45021.0)</f>
        <v>45021</v>
      </c>
      <c r="E277" s="10" t="str">
        <f>IFERROR(__xludf.DUMMYFUNCTION("""COMPUTED_VALUE"""),"04Apr")</f>
        <v>04Apr</v>
      </c>
      <c r="F277" s="10" t="str">
        <f>IFERROR(__xludf.DUMMYFUNCTION("""COMPUTED_VALUE"""),"2023")</f>
        <v>2023</v>
      </c>
      <c r="G277" s="16" t="str">
        <f>IFERROR(__xludf.DUMMYFUNCTION("""COMPUTED_VALUE"""),"RADITYA SADEGA")</f>
        <v>RADITYA SADEGA</v>
      </c>
      <c r="H277" s="17" t="str">
        <f>IFERROR(__xludf.DUMMYFUNCTION("""COMPUTED_VALUE"""),"R1423045191")</f>
        <v>R1423045191</v>
      </c>
      <c r="I277" s="17">
        <f>IFERROR(__xludf.DUMMYFUNCTION("""COMPUTED_VALUE"""),11.0)</f>
        <v>11</v>
      </c>
      <c r="J277" s="17" t="str">
        <f>IFERROR(__xludf.DUMMYFUNCTION("""COMPUTED_VALUE"""),"&lt; 18 tahun")</f>
        <v>&lt; 18 tahun</v>
      </c>
      <c r="K277" s="19">
        <f>IFERROR(__xludf.DUMMYFUNCTION("""COMPUTED_VALUE"""),41962.0)</f>
        <v>41962</v>
      </c>
      <c r="L277" s="19" t="str">
        <f>IFERROR(__xludf.DUMMYFUNCTION("""COMPUTED_VALUE"""),"LAKI-LAKI")</f>
        <v>LAKI-LAKI</v>
      </c>
      <c r="M277" s="16" t="str">
        <f>IFERROR(__xludf.DUMMYFUNCTION("""COMPUTED_VALUE"""),"JLN AMPERA KOMPLEK ZAL KHATULISTIWA BLOK C 1")</f>
        <v>JLN AMPERA KOMPLEK ZAL KHATULISTIWA BLOK C 1</v>
      </c>
      <c r="N277" s="16"/>
      <c r="O277" s="16"/>
      <c r="P277" s="16"/>
      <c r="Q277" s="16"/>
      <c r="R277" s="19" t="str">
        <f>IFERROR(__xludf.DUMMYFUNCTION("""COMPUTED_VALUE"""),"ISLAM")</f>
        <v>ISLAM</v>
      </c>
      <c r="S277" s="16" t="str">
        <f>IFERROR(__xludf.DUMMYFUNCTION("""COMPUTED_VALUE"""),"PELAJAR/MAHASISWA")</f>
        <v>PELAJAR/MAHASISWA</v>
      </c>
      <c r="T277" s="16" t="str">
        <f>IFERROR(__xludf.DUMMYFUNCTION("""COMPUTED_VALUE"""),"SAKIT NGILU DI KAKI KANAN")</f>
        <v>SAKIT NGILU DI KAKI KANAN</v>
      </c>
      <c r="U277" s="16" t="str">
        <f>IFERROR(__xludf.DUMMYFUNCTION("""COMPUTED_VALUE"""),"FUTSAL DAN SEPATU RODA")</f>
        <v>FUTSAL DAN SEPATU RODA</v>
      </c>
      <c r="V277" s="21" t="str">
        <f>IFERROR(__xludf.DUMMYFUNCTION("""COMPUTED_VALUE"""),"08115625191")</f>
        <v>08115625191</v>
      </c>
      <c r="W277" s="22"/>
    </row>
    <row r="278" ht="22.5" customHeight="1">
      <c r="A278" s="8"/>
      <c r="B278" s="9">
        <f>IFERROR(__xludf.DUMMYFUNCTION("""COMPUTED_VALUE"""),45019.407936006945)</f>
        <v>45019.40794</v>
      </c>
      <c r="C278" s="9"/>
      <c r="D278" s="10">
        <f>IFERROR(__xludf.DUMMYFUNCTION("""COMPUTED_VALUE"""),45022.0)</f>
        <v>45022</v>
      </c>
      <c r="E278" s="10" t="str">
        <f>IFERROR(__xludf.DUMMYFUNCTION("""COMPUTED_VALUE"""),"04Apr")</f>
        <v>04Apr</v>
      </c>
      <c r="F278" s="10" t="str">
        <f>IFERROR(__xludf.DUMMYFUNCTION("""COMPUTED_VALUE"""),"2023")</f>
        <v>2023</v>
      </c>
      <c r="G278" s="16" t="str">
        <f>IFERROR(__xludf.DUMMYFUNCTION("""COMPUTED_VALUE"""),"JANNA")</f>
        <v>JANNA</v>
      </c>
      <c r="H278" s="17" t="str">
        <f>IFERROR(__xludf.DUMMYFUNCTION("""COMPUTED_VALUE"""),"J9223040777")</f>
        <v>J9223040777</v>
      </c>
      <c r="I278" s="17">
        <f>IFERROR(__xludf.DUMMYFUNCTION("""COMPUTED_VALUE"""),33.0)</f>
        <v>33</v>
      </c>
      <c r="J278" s="17" t="str">
        <f>IFERROR(__xludf.DUMMYFUNCTION("""COMPUTED_VALUE"""),"25-34 tahun")</f>
        <v>25-34 tahun</v>
      </c>
      <c r="K278" s="19">
        <f>IFERROR(__xludf.DUMMYFUNCTION("""COMPUTED_VALUE"""),33957.0)</f>
        <v>33957</v>
      </c>
      <c r="L278" s="19" t="str">
        <f>IFERROR(__xludf.DUMMYFUNCTION("""COMPUTED_VALUE"""),"PEREMPUAN")</f>
        <v>PEREMPUAN</v>
      </c>
      <c r="M278" s="16" t="str">
        <f>IFERROR(__xludf.DUMMYFUNCTION("""COMPUTED_VALUE"""),"JALAN ADISUCIPTO GANG BUMI RAYA NO 38")</f>
        <v>JALAN ADISUCIPTO GANG BUMI RAYA NO 38</v>
      </c>
      <c r="N278" s="16"/>
      <c r="O278" s="16"/>
      <c r="P278" s="16"/>
      <c r="Q278" s="16"/>
      <c r="R278" s="19" t="str">
        <f>IFERROR(__xludf.DUMMYFUNCTION("""COMPUTED_VALUE"""),"PROTESTAN")</f>
        <v>PROTESTAN</v>
      </c>
      <c r="S278" s="16" t="str">
        <f>IFERROR(__xludf.DUMMYFUNCTION("""COMPUTED_VALUE"""),"SWASTA")</f>
        <v>SWASTA</v>
      </c>
      <c r="T278" s="16" t="str">
        <f>IFERROR(__xludf.DUMMYFUNCTION("""COMPUTED_VALUE"""),"KEBAS DAN SAKIT DI AKIBAT KECELAKAAN")</f>
        <v>KEBAS DAN SAKIT DI AKIBAT KECELAKAAN</v>
      </c>
      <c r="U278" s="16" t="str">
        <f>IFERROR(__xludf.DUMMYFUNCTION("""COMPUTED_VALUE"""),"KERJA")</f>
        <v>KERJA</v>
      </c>
      <c r="V278" s="21" t="str">
        <f>IFERROR(__xludf.DUMMYFUNCTION("""COMPUTED_VALUE"""),"089637600777")</f>
        <v>089637600777</v>
      </c>
      <c r="W278" s="22"/>
    </row>
    <row r="279" ht="22.5" customHeight="1">
      <c r="A279" s="8"/>
      <c r="B279" s="9">
        <f>IFERROR(__xludf.DUMMYFUNCTION("""COMPUTED_VALUE"""),45019.51855625)</f>
        <v>45019.51856</v>
      </c>
      <c r="C279" s="9"/>
      <c r="D279" s="10">
        <f>IFERROR(__xludf.DUMMYFUNCTION("""COMPUTED_VALUE"""),45022.84895297454)</f>
        <v>45022.84895</v>
      </c>
      <c r="E279" s="10" t="str">
        <f>IFERROR(__xludf.DUMMYFUNCTION("""COMPUTED_VALUE"""),"04Apr")</f>
        <v>04Apr</v>
      </c>
      <c r="F279" s="10" t="str">
        <f>IFERROR(__xludf.DUMMYFUNCTION("""COMPUTED_VALUE"""),"2023")</f>
        <v>2023</v>
      </c>
      <c r="G279" s="16" t="str">
        <f>IFERROR(__xludf.DUMMYFUNCTION("""COMPUTED_VALUE"""),"PALMY")</f>
        <v>PALMY</v>
      </c>
      <c r="H279" s="17" t="str">
        <f>IFERROR(__xludf.DUMMYFUNCTION("""COMPUTED_VALUE"""),"P8623040555")</f>
        <v>P8623040555</v>
      </c>
      <c r="I279" s="17">
        <f>IFERROR(__xludf.DUMMYFUNCTION("""COMPUTED_VALUE"""),39.0)</f>
        <v>39</v>
      </c>
      <c r="J279" s="17" t="str">
        <f>IFERROR(__xludf.DUMMYFUNCTION("""COMPUTED_VALUE"""),"35-44 tahun")</f>
        <v>35-44 tahun</v>
      </c>
      <c r="K279" s="19">
        <f>IFERROR(__xludf.DUMMYFUNCTION("""COMPUTED_VALUE"""),31679.0)</f>
        <v>31679</v>
      </c>
      <c r="L279" s="19" t="str">
        <f>IFERROR(__xludf.DUMMYFUNCTION("""COMPUTED_VALUE"""),"PEREMPUAN")</f>
        <v>PEREMPUAN</v>
      </c>
      <c r="M279" s="16" t="str">
        <f>IFERROR(__xludf.DUMMYFUNCTION("""COMPUTED_VALUE"""),"123456678000")</f>
        <v>123456678000</v>
      </c>
      <c r="N279" s="16"/>
      <c r="O279" s="16"/>
      <c r="P279" s="16"/>
      <c r="Q279" s="16"/>
      <c r="R279" s="19" t="str">
        <f>IFERROR(__xludf.DUMMYFUNCTION("""COMPUTED_VALUE"""),"KATOLIK")</f>
        <v>KATOLIK</v>
      </c>
      <c r="S279" s="16" t="str">
        <f>IFERROR(__xludf.DUMMYFUNCTION("""COMPUTED_VALUE"""),"SWASTA")</f>
        <v>SWASTA</v>
      </c>
      <c r="T279" s="16" t="str">
        <f>IFERROR(__xludf.DUMMYFUNCTION("""COMPUTED_VALUE"""),"PINGGUL SAKIT")</f>
        <v>PINGGUL SAKIT</v>
      </c>
      <c r="U279" s="16" t="str">
        <f>IFERROR(__xludf.DUMMYFUNCTION("""COMPUTED_VALUE"""),"JAGA ANAK")</f>
        <v>JAGA ANAK</v>
      </c>
      <c r="V279" s="21" t="str">
        <f>IFERROR(__xludf.DUMMYFUNCTION("""COMPUTED_VALUE"""),"08125750555")</f>
        <v>08125750555</v>
      </c>
      <c r="W279" s="22"/>
    </row>
    <row r="280" ht="22.5" customHeight="1">
      <c r="A280" s="8"/>
      <c r="B280" s="9">
        <f>IFERROR(__xludf.DUMMYFUNCTION("""COMPUTED_VALUE"""),45019.54663975694)</f>
        <v>45019.54664</v>
      </c>
      <c r="C280" s="9"/>
      <c r="D280" s="10">
        <f>IFERROR(__xludf.DUMMYFUNCTION("""COMPUTED_VALUE"""),45024.0)</f>
        <v>45024</v>
      </c>
      <c r="E280" s="10" t="str">
        <f>IFERROR(__xludf.DUMMYFUNCTION("""COMPUTED_VALUE"""),"04Apr")</f>
        <v>04Apr</v>
      </c>
      <c r="F280" s="10" t="str">
        <f>IFERROR(__xludf.DUMMYFUNCTION("""COMPUTED_VALUE"""),"2023")</f>
        <v>2023</v>
      </c>
      <c r="G280" s="16" t="str">
        <f>IFERROR(__xludf.DUMMYFUNCTION("""COMPUTED_VALUE"""),"ARZACHEL")</f>
        <v>ARZACHEL</v>
      </c>
      <c r="H280" s="17" t="str">
        <f>IFERROR(__xludf.DUMMYFUNCTION("""COMPUTED_VALUE"""),"A1223045551")</f>
        <v>A1223045551</v>
      </c>
      <c r="I280" s="17">
        <f>IFERROR(__xludf.DUMMYFUNCTION("""COMPUTED_VALUE"""),14.0)</f>
        <v>14</v>
      </c>
      <c r="J280" s="17" t="str">
        <f>IFERROR(__xludf.DUMMYFUNCTION("""COMPUTED_VALUE"""),"&lt; 18 tahun")</f>
        <v>&lt; 18 tahun</v>
      </c>
      <c r="K280" s="19">
        <f>IFERROR(__xludf.DUMMYFUNCTION("""COMPUTED_VALUE"""),40933.0)</f>
        <v>40933</v>
      </c>
      <c r="L280" s="19" t="str">
        <f>IFERROR(__xludf.DUMMYFUNCTION("""COMPUTED_VALUE"""),"LAKI-LAKI")</f>
        <v>LAKI-LAKI</v>
      </c>
      <c r="M280" s="16" t="str">
        <f>IFERROR(__xludf.DUMMYFUNCTION("""COMPUTED_VALUE"""),"JL. S. PARMAN NO 2, PONTIANAK")</f>
        <v>JL. S. PARMAN NO 2, PONTIANAK</v>
      </c>
      <c r="N280" s="16"/>
      <c r="O280" s="16"/>
      <c r="P280" s="16"/>
      <c r="Q280" s="16"/>
      <c r="R280" s="19" t="str">
        <f>IFERROR(__xludf.DUMMYFUNCTION("""COMPUTED_VALUE"""),"ISLAM")</f>
        <v>ISLAM</v>
      </c>
      <c r="S280" s="16" t="str">
        <f>IFERROR(__xludf.DUMMYFUNCTION("""COMPUTED_VALUE"""),"PELAJAR/MAHASISWA")</f>
        <v>PELAJAR/MAHASISWA</v>
      </c>
      <c r="T280" s="16" t="str">
        <f>IFERROR(__xludf.DUMMYFUNCTION("""COMPUTED_VALUE"""),"POSTUR BERDIRI DAN BERJALAN PERLU DIKOREKSI")</f>
        <v>POSTUR BERDIRI DAN BERJALAN PERLU DIKOREKSI</v>
      </c>
      <c r="U280" s="16" t="str">
        <f>IFERROR(__xludf.DUMMYFUNCTION("""COMPUTED_VALUE"""),"SEKOLAH")</f>
        <v>SEKOLAH</v>
      </c>
      <c r="V280" s="21" t="str">
        <f>IFERROR(__xludf.DUMMYFUNCTION("""COMPUTED_VALUE"""),"081327775551")</f>
        <v>081327775551</v>
      </c>
      <c r="W280" s="22"/>
    </row>
    <row r="281" ht="22.5" customHeight="1">
      <c r="A281" s="8"/>
      <c r="B281" s="9">
        <f>IFERROR(__xludf.DUMMYFUNCTION("""COMPUTED_VALUE"""),45020.379235810185)</f>
        <v>45020.37924</v>
      </c>
      <c r="C281" s="9"/>
      <c r="D281" s="10">
        <f>IFERROR(__xludf.DUMMYFUNCTION("""COMPUTED_VALUE"""),45024.0)</f>
        <v>45024</v>
      </c>
      <c r="E281" s="10" t="str">
        <f>IFERROR(__xludf.DUMMYFUNCTION("""COMPUTED_VALUE"""),"04Apr")</f>
        <v>04Apr</v>
      </c>
      <c r="F281" s="10" t="str">
        <f>IFERROR(__xludf.DUMMYFUNCTION("""COMPUTED_VALUE"""),"2023")</f>
        <v>2023</v>
      </c>
      <c r="G281" s="16" t="str">
        <f>IFERROR(__xludf.DUMMYFUNCTION("""COMPUTED_VALUE"""),"CHAIDANIAH")</f>
        <v>CHAIDANIAH</v>
      </c>
      <c r="H281" s="17" t="str">
        <f>IFERROR(__xludf.DUMMYFUNCTION("""COMPUTED_VALUE"""),"C5023047038")</f>
        <v>C5023047038</v>
      </c>
      <c r="I281" s="17">
        <f>IFERROR(__xludf.DUMMYFUNCTION("""COMPUTED_VALUE"""),76.0)</f>
        <v>76</v>
      </c>
      <c r="J281" s="17" t="str">
        <f>IFERROR(__xludf.DUMMYFUNCTION("""COMPUTED_VALUE"""),"&gt; 44 tahun")</f>
        <v>&gt; 44 tahun</v>
      </c>
      <c r="K281" s="19">
        <f>IFERROR(__xludf.DUMMYFUNCTION("""COMPUTED_VALUE"""),18366.0)</f>
        <v>18366</v>
      </c>
      <c r="L281" s="19" t="str">
        <f>IFERROR(__xludf.DUMMYFUNCTION("""COMPUTED_VALUE"""),"PEREMPUAN")</f>
        <v>PEREMPUAN</v>
      </c>
      <c r="M281" s="16" t="str">
        <f>IFERROR(__xludf.DUMMYFUNCTION("""COMPUTED_VALUE"""),"JL.KOMYOS SUDARSO GG.RAMBAI NO.51 PONTIANAK")</f>
        <v>JL.KOMYOS SUDARSO GG.RAMBAI NO.51 PONTIANAK</v>
      </c>
      <c r="N281" s="16"/>
      <c r="O281" s="16"/>
      <c r="P281" s="16"/>
      <c r="Q281" s="16"/>
      <c r="R281" s="19" t="str">
        <f>IFERROR(__xludf.DUMMYFUNCTION("""COMPUTED_VALUE"""),"ISLAM")</f>
        <v>ISLAM</v>
      </c>
      <c r="S281" s="16" t="str">
        <f>IFERROR(__xludf.DUMMYFUNCTION("""COMPUTED_VALUE"""),"RUMAH TANGGA")</f>
        <v>RUMAH TANGGA</v>
      </c>
      <c r="T281" s="16" t="str">
        <f>IFERROR(__xludf.DUMMYFUNCTION("""COMPUTED_VALUE"""),"NYERI PINGGANG DAN DI ATAS PINGGANG")</f>
        <v>NYERI PINGGANG DAN DI ATAS PINGGANG</v>
      </c>
      <c r="U281" s="16" t="str">
        <f>IFERROR(__xludf.DUMMYFUNCTION("""COMPUTED_VALUE"""),"RUMAH TANGGA")</f>
        <v>RUMAH TANGGA</v>
      </c>
      <c r="V281" s="21" t="str">
        <f>IFERROR(__xludf.DUMMYFUNCTION("""COMPUTED_VALUE"""),"081522567038")</f>
        <v>081522567038</v>
      </c>
      <c r="W281" s="22"/>
    </row>
    <row r="282" ht="22.5" customHeight="1">
      <c r="A282" s="8"/>
      <c r="B282" s="9">
        <f>IFERROR(__xludf.DUMMYFUNCTION("""COMPUTED_VALUE"""),45020.39923822916)</f>
        <v>45020.39924</v>
      </c>
      <c r="C282" s="9"/>
      <c r="D282" s="10">
        <f>IFERROR(__xludf.DUMMYFUNCTION("""COMPUTED_VALUE"""),45025.0)</f>
        <v>45025</v>
      </c>
      <c r="E282" s="10" t="str">
        <f>IFERROR(__xludf.DUMMYFUNCTION("""COMPUTED_VALUE"""),"04Apr")</f>
        <v>04Apr</v>
      </c>
      <c r="F282" s="10" t="str">
        <f>IFERROR(__xludf.DUMMYFUNCTION("""COMPUTED_VALUE"""),"2023")</f>
        <v>2023</v>
      </c>
      <c r="G282" s="16" t="str">
        <f>IFERROR(__xludf.DUMMYFUNCTION("""COMPUTED_VALUE"""),"DERRICK CONNERY")</f>
        <v>DERRICK CONNERY</v>
      </c>
      <c r="H282" s="17" t="str">
        <f>IFERROR(__xludf.DUMMYFUNCTION("""COMPUTED_VALUE"""),"D9423041683")</f>
        <v>D9423041683</v>
      </c>
      <c r="I282" s="17">
        <f>IFERROR(__xludf.DUMMYFUNCTION("""COMPUTED_VALUE"""),31.0)</f>
        <v>31</v>
      </c>
      <c r="J282" s="17" t="str">
        <f>IFERROR(__xludf.DUMMYFUNCTION("""COMPUTED_VALUE"""),"25-34 tahun")</f>
        <v>25-34 tahun</v>
      </c>
      <c r="K282" s="19">
        <f>IFERROR(__xludf.DUMMYFUNCTION("""COMPUTED_VALUE"""),34612.0)</f>
        <v>34612</v>
      </c>
      <c r="L282" s="19" t="str">
        <f>IFERROR(__xludf.DUMMYFUNCTION("""COMPUTED_VALUE"""),"LAKI-LAKI")</f>
        <v>LAKI-LAKI</v>
      </c>
      <c r="M282" s="16" t="str">
        <f>IFERROR(__xludf.DUMMYFUNCTION("""COMPUTED_VALUE"""),"JALAN NURALI NO. 34")</f>
        <v>JALAN NURALI NO. 34</v>
      </c>
      <c r="N282" s="16"/>
      <c r="O282" s="16"/>
      <c r="P282" s="16"/>
      <c r="Q282" s="16"/>
      <c r="R282" s="19" t="str">
        <f>IFERROR(__xludf.DUMMYFUNCTION("""COMPUTED_VALUE"""),"BUDDHA")</f>
        <v>BUDDHA</v>
      </c>
      <c r="S282" s="16" t="str">
        <f>IFERROR(__xludf.DUMMYFUNCTION("""COMPUTED_VALUE"""),"SWASTA")</f>
        <v>SWASTA</v>
      </c>
      <c r="T282" s="16" t="str">
        <f>IFERROR(__xludf.DUMMYFUNCTION("""COMPUTED_VALUE"""),"TRICEP KIRI SEPERTI KURANG NYAMAN, BEBERAPA JARI TANGAN AGAK SAKIT")</f>
        <v>TRICEP KIRI SEPERTI KURANG NYAMAN, BEBERAPA JARI TANGAN AGAK SAKIT</v>
      </c>
      <c r="U282" s="16" t="str">
        <f>IFERROR(__xludf.DUMMYFUNCTION("""COMPUTED_VALUE"""),"FITNESS")</f>
        <v>FITNESS</v>
      </c>
      <c r="V282" s="21" t="str">
        <f>IFERROR(__xludf.DUMMYFUNCTION("""COMPUTED_VALUE"""),"081299081683")</f>
        <v>081299081683</v>
      </c>
      <c r="W282" s="22"/>
    </row>
    <row r="283" ht="22.5" customHeight="1">
      <c r="A283" s="8"/>
      <c r="B283" s="9">
        <f>IFERROR(__xludf.DUMMYFUNCTION("""COMPUTED_VALUE"""),45020.43054564815)</f>
        <v>45020.43055</v>
      </c>
      <c r="C283" s="9"/>
      <c r="D283" s="10">
        <f>IFERROR(__xludf.DUMMYFUNCTION("""COMPUTED_VALUE"""),45025.0)</f>
        <v>45025</v>
      </c>
      <c r="E283" s="10" t="str">
        <f>IFERROR(__xludf.DUMMYFUNCTION("""COMPUTED_VALUE"""),"04Apr")</f>
        <v>04Apr</v>
      </c>
      <c r="F283" s="10" t="str">
        <f>IFERROR(__xludf.DUMMYFUNCTION("""COMPUTED_VALUE"""),"2023")</f>
        <v>2023</v>
      </c>
      <c r="G283" s="16" t="str">
        <f>IFERROR(__xludf.DUMMYFUNCTION("""COMPUTED_VALUE"""),"RIZKI MULYANTO")</f>
        <v>RIZKI MULYANTO</v>
      </c>
      <c r="H283" s="17" t="str">
        <f>IFERROR(__xludf.DUMMYFUNCTION("""COMPUTED_VALUE"""),"R9823046931")</f>
        <v>R9823046931</v>
      </c>
      <c r="I283" s="17">
        <f>IFERROR(__xludf.DUMMYFUNCTION("""COMPUTED_VALUE"""),28.0)</f>
        <v>28</v>
      </c>
      <c r="J283" s="17" t="str">
        <f>IFERROR(__xludf.DUMMYFUNCTION("""COMPUTED_VALUE"""),"25-34 tahun")</f>
        <v>25-34 tahun</v>
      </c>
      <c r="K283" s="19">
        <f>IFERROR(__xludf.DUMMYFUNCTION("""COMPUTED_VALUE"""),35796.0)</f>
        <v>35796</v>
      </c>
      <c r="L283" s="19" t="str">
        <f>IFERROR(__xludf.DUMMYFUNCTION("""COMPUTED_VALUE"""),"LAKI-LAKI")</f>
        <v>LAKI-LAKI</v>
      </c>
      <c r="M283" s="16" t="str">
        <f>IFERROR(__xludf.DUMMYFUNCTION("""COMPUTED_VALUE"""),"JL. D.I PANNJAITAN GG GOLF KEL MELAYU KOTA PIRING KEC TPI. TIMUR KOTA TANJUNGPINANG PROV KEPRI")</f>
        <v>JL. D.I PANNJAITAN GG GOLF KEL MELAYU KOTA PIRING KEC TPI. TIMUR KOTA TANJUNGPINANG PROV KEPRI</v>
      </c>
      <c r="N283" s="16"/>
      <c r="O283" s="16"/>
      <c r="P283" s="16"/>
      <c r="Q283" s="16"/>
      <c r="R283" s="19" t="str">
        <f>IFERROR(__xludf.DUMMYFUNCTION("""COMPUTED_VALUE"""),"ISLAM")</f>
        <v>ISLAM</v>
      </c>
      <c r="S283" s="16" t="str">
        <f>IFERROR(__xludf.DUMMYFUNCTION("""COMPUTED_VALUE"""),"ASN")</f>
        <v>ASN</v>
      </c>
      <c r="T283" s="16"/>
      <c r="U283" s="16" t="str">
        <f>IFERROR(__xludf.DUMMYFUNCTION("""COMPUTED_VALUE"""),"OLAHRAGA")</f>
        <v>OLAHRAGA</v>
      </c>
      <c r="V283" s="21" t="str">
        <f>IFERROR(__xludf.DUMMYFUNCTION("""COMPUTED_VALUE"""),"081528926931")</f>
        <v>081528926931</v>
      </c>
      <c r="W283" s="22"/>
    </row>
    <row r="284" ht="22.5" customHeight="1">
      <c r="A284" s="8"/>
      <c r="B284" s="9">
        <f>IFERROR(__xludf.DUMMYFUNCTION("""COMPUTED_VALUE"""),45021.40161359953)</f>
        <v>45021.40161</v>
      </c>
      <c r="C284" s="9"/>
      <c r="D284" s="10">
        <f>IFERROR(__xludf.DUMMYFUNCTION("""COMPUTED_VALUE"""),45026.0)</f>
        <v>45026</v>
      </c>
      <c r="E284" s="10" t="str">
        <f>IFERROR(__xludf.DUMMYFUNCTION("""COMPUTED_VALUE"""),"04Apr")</f>
        <v>04Apr</v>
      </c>
      <c r="F284" s="10" t="str">
        <f>IFERROR(__xludf.DUMMYFUNCTION("""COMPUTED_VALUE"""),"2023")</f>
        <v>2023</v>
      </c>
      <c r="G284" s="16" t="str">
        <f>IFERROR(__xludf.DUMMYFUNCTION("""COMPUTED_VALUE"""),"DEDE SUBANDI")</f>
        <v>DEDE SUBANDI</v>
      </c>
      <c r="H284" s="17" t="str">
        <f>IFERROR(__xludf.DUMMYFUNCTION("""COMPUTED_VALUE"""),"D8923047556")</f>
        <v>D8923047556</v>
      </c>
      <c r="I284" s="17">
        <f>IFERROR(__xludf.DUMMYFUNCTION("""COMPUTED_VALUE"""),36.0)</f>
        <v>36</v>
      </c>
      <c r="J284" s="17" t="str">
        <f>IFERROR(__xludf.DUMMYFUNCTION("""COMPUTED_VALUE"""),"35-44 tahun")</f>
        <v>35-44 tahun</v>
      </c>
      <c r="K284" s="19">
        <f>IFERROR(__xludf.DUMMYFUNCTION("""COMPUTED_VALUE"""),32711.0)</f>
        <v>32711</v>
      </c>
      <c r="L284" s="19" t="str">
        <f>IFERROR(__xludf.DUMMYFUNCTION("""COMPUTED_VALUE"""),"LAKI-LAKI")</f>
        <v>LAKI-LAKI</v>
      </c>
      <c r="M284" s="16" t="str">
        <f>IFERROR(__xludf.DUMMYFUNCTION("""COMPUTED_VALUE"""),"KOMP. PERMATA KHATULISTIWA BLOK E5")</f>
        <v>KOMP. PERMATA KHATULISTIWA BLOK E5</v>
      </c>
      <c r="N284" s="16"/>
      <c r="O284" s="16"/>
      <c r="P284" s="16"/>
      <c r="Q284" s="16"/>
      <c r="R284" s="19" t="str">
        <f>IFERROR(__xludf.DUMMYFUNCTION("""COMPUTED_VALUE"""),"ISLAM")</f>
        <v>ISLAM</v>
      </c>
      <c r="S284" s="16" t="str">
        <f>IFERROR(__xludf.DUMMYFUNCTION("""COMPUTED_VALUE"""),"SWASTA")</f>
        <v>SWASTA</v>
      </c>
      <c r="T284" s="16" t="str">
        <f>IFERROR(__xludf.DUMMYFUNCTION("""COMPUTED_VALUE"""),"CEDERA MENISKUS")</f>
        <v>CEDERA MENISKUS</v>
      </c>
      <c r="U284" s="16" t="str">
        <f>IFERROR(__xludf.DUMMYFUNCTION("""COMPUTED_VALUE"""),"BADMINTON/FUTSAL")</f>
        <v>BADMINTON/FUTSAL</v>
      </c>
      <c r="V284" s="21" t="str">
        <f>IFERROR(__xludf.DUMMYFUNCTION("""COMPUTED_VALUE"""),"085213247556")</f>
        <v>085213247556</v>
      </c>
      <c r="W284" s="22"/>
    </row>
    <row r="285" ht="22.5" customHeight="1">
      <c r="A285" s="8"/>
      <c r="B285" s="9">
        <f>IFERROR(__xludf.DUMMYFUNCTION("""COMPUTED_VALUE"""),45022.39029311342)</f>
        <v>45022.39029</v>
      </c>
      <c r="C285" s="9"/>
      <c r="D285" s="10">
        <f>IFERROR(__xludf.DUMMYFUNCTION("""COMPUTED_VALUE"""),45026.0)</f>
        <v>45026</v>
      </c>
      <c r="E285" s="10" t="str">
        <f>IFERROR(__xludf.DUMMYFUNCTION("""COMPUTED_VALUE"""),"04Apr")</f>
        <v>04Apr</v>
      </c>
      <c r="F285" s="10" t="str">
        <f>IFERROR(__xludf.DUMMYFUNCTION("""COMPUTED_VALUE"""),"2023")</f>
        <v>2023</v>
      </c>
      <c r="G285" s="16" t="str">
        <f>IFERROR(__xludf.DUMMYFUNCTION("""COMPUTED_VALUE"""),"FACHRI ISNAINI")</f>
        <v>FACHRI ISNAINI</v>
      </c>
      <c r="H285" s="17" t="str">
        <f>IFERROR(__xludf.DUMMYFUNCTION("""COMPUTED_VALUE"""),"F0023049343")</f>
        <v>F0023049343</v>
      </c>
      <c r="I285" s="17">
        <f>IFERROR(__xludf.DUMMYFUNCTION("""COMPUTED_VALUE"""),26.0)</f>
        <v>26</v>
      </c>
      <c r="J285" s="17" t="str">
        <f>IFERROR(__xludf.DUMMYFUNCTION("""COMPUTED_VALUE"""),"25-34 tahun")</f>
        <v>25-34 tahun</v>
      </c>
      <c r="K285" s="19">
        <f>IFERROR(__xludf.DUMMYFUNCTION("""COMPUTED_VALUE"""),36556.0)</f>
        <v>36556</v>
      </c>
      <c r="L285" s="19" t="str">
        <f>IFERROR(__xludf.DUMMYFUNCTION("""COMPUTED_VALUE"""),"LAKI-LAKI")</f>
        <v>LAKI-LAKI</v>
      </c>
      <c r="M285" s="16" t="str">
        <f>IFERROR(__xludf.DUMMYFUNCTION("""COMPUTED_VALUE"""),"JL. HRS. ARAHMAN GG. RISA")</f>
        <v>JL. HRS. ARAHMAN GG. RISA</v>
      </c>
      <c r="N285" s="16"/>
      <c r="O285" s="16"/>
      <c r="P285" s="16"/>
      <c r="Q285" s="16"/>
      <c r="R285" s="19" t="str">
        <f>IFERROR(__xludf.DUMMYFUNCTION("""COMPUTED_VALUE"""),"ISLAM")</f>
        <v>ISLAM</v>
      </c>
      <c r="S285" s="16" t="str">
        <f>IFERROR(__xludf.DUMMYFUNCTION("""COMPUTED_VALUE"""),"PELAJAR/MAHASISWA")</f>
        <v>PELAJAR/MAHASISWA</v>
      </c>
      <c r="T285" s="16" t="str">
        <f>IFERROR(__xludf.DUMMYFUNCTION("""COMPUTED_VALUE"""),"NYERI DAN BENGKAK DI PERGELANGAN KAKI")</f>
        <v>NYERI DAN BENGKAK DI PERGELANGAN KAKI</v>
      </c>
      <c r="U285" s="16" t="str">
        <f>IFERROR(__xludf.DUMMYFUNCTION("""COMPUTED_VALUE"""),"OLAHRAGA")</f>
        <v>OLAHRAGA</v>
      </c>
      <c r="V285" s="21" t="str">
        <f>IFERROR(__xludf.DUMMYFUNCTION("""COMPUTED_VALUE"""),"089647679343")</f>
        <v>089647679343</v>
      </c>
      <c r="W285" s="22"/>
    </row>
    <row r="286" ht="22.5" customHeight="1">
      <c r="A286" s="28"/>
      <c r="B286" s="9">
        <f>IFERROR(__xludf.DUMMYFUNCTION("""COMPUTED_VALUE"""),45022.61489049769)</f>
        <v>45022.61489</v>
      </c>
      <c r="C286" s="9"/>
      <c r="D286" s="10">
        <f>IFERROR(__xludf.DUMMYFUNCTION("""COMPUTED_VALUE"""),45027.0)</f>
        <v>45027</v>
      </c>
      <c r="E286" s="10" t="str">
        <f>IFERROR(__xludf.DUMMYFUNCTION("""COMPUTED_VALUE"""),"04Apr")</f>
        <v>04Apr</v>
      </c>
      <c r="F286" s="10" t="str">
        <f>IFERROR(__xludf.DUMMYFUNCTION("""COMPUTED_VALUE"""),"2023")</f>
        <v>2023</v>
      </c>
      <c r="G286" s="16" t="str">
        <f>IFERROR(__xludf.DUMMYFUNCTION("""COMPUTED_VALUE"""),"YUDHA PRATAMA")</f>
        <v>YUDHA PRATAMA</v>
      </c>
      <c r="H286" s="17" t="str">
        <f>IFERROR(__xludf.DUMMYFUNCTION("""COMPUTED_VALUE"""),"Y9423048900")</f>
        <v>Y9423048900</v>
      </c>
      <c r="I286" s="17">
        <f>IFERROR(__xludf.DUMMYFUNCTION("""COMPUTED_VALUE"""),32.0)</f>
        <v>32</v>
      </c>
      <c r="J286" s="17" t="str">
        <f>IFERROR(__xludf.DUMMYFUNCTION("""COMPUTED_VALUE"""),"25-34 tahun")</f>
        <v>25-34 tahun</v>
      </c>
      <c r="K286" s="19">
        <f>IFERROR(__xludf.DUMMYFUNCTION("""COMPUTED_VALUE"""),34468.0)</f>
        <v>34468</v>
      </c>
      <c r="L286" s="19" t="str">
        <f>IFERROR(__xludf.DUMMYFUNCTION("""COMPUTED_VALUE"""),"LAKI-LAKI")</f>
        <v>LAKI-LAKI</v>
      </c>
      <c r="M286" s="16" t="str">
        <f>IFERROR(__xludf.DUMMYFUNCTION("""COMPUTED_VALUE"""),"JL RAJAWALI NO 90 PONTIANAK")</f>
        <v>JL RAJAWALI NO 90 PONTIANAK</v>
      </c>
      <c r="N286" s="16"/>
      <c r="O286" s="16"/>
      <c r="P286" s="16"/>
      <c r="Q286" s="16"/>
      <c r="R286" s="19" t="str">
        <f>IFERROR(__xludf.DUMMYFUNCTION("""COMPUTED_VALUE"""),"ISLAM")</f>
        <v>ISLAM</v>
      </c>
      <c r="S286" s="16" t="str">
        <f>IFERROR(__xludf.DUMMYFUNCTION("""COMPUTED_VALUE"""),"SWASTA")</f>
        <v>SWASTA</v>
      </c>
      <c r="T286" s="16" t="str">
        <f>IFERROR(__xludf.DUMMYFUNCTION("""COMPUTED_VALUE"""),"SAKIT BOKONG")</f>
        <v>SAKIT BOKONG</v>
      </c>
      <c r="U286" s="16" t="str">
        <f>IFERROR(__xludf.DUMMYFUNCTION("""COMPUTED_VALUE"""),"JOGING FUTSAL")</f>
        <v>JOGING FUTSAL</v>
      </c>
      <c r="V286" s="21" t="str">
        <f>IFERROR(__xludf.DUMMYFUNCTION("""COMPUTED_VALUE"""),"081349998900")</f>
        <v>081349998900</v>
      </c>
      <c r="W286" s="22"/>
    </row>
    <row r="287" ht="22.5" customHeight="1">
      <c r="A287" s="8"/>
      <c r="B287" s="9">
        <f>IFERROR(__xludf.DUMMYFUNCTION("""COMPUTED_VALUE"""),45022.84895297454)</f>
        <v>45022.84895</v>
      </c>
      <c r="C287" s="9"/>
      <c r="D287" s="10">
        <f>IFERROR(__xludf.DUMMYFUNCTION("""COMPUTED_VALUE"""),45028.0)</f>
        <v>45028</v>
      </c>
      <c r="E287" s="10" t="str">
        <f>IFERROR(__xludf.DUMMYFUNCTION("""COMPUTED_VALUE"""),"04Apr")</f>
        <v>04Apr</v>
      </c>
      <c r="F287" s="10" t="str">
        <f>IFERROR(__xludf.DUMMYFUNCTION("""COMPUTED_VALUE"""),"2023")</f>
        <v>2023</v>
      </c>
      <c r="G287" s="16" t="str">
        <f>IFERROR(__xludf.DUMMYFUNCTION("""COMPUTED_VALUE"""),"SAMMIRA")</f>
        <v>SAMMIRA</v>
      </c>
      <c r="H287" s="17" t="str">
        <f>IFERROR(__xludf.DUMMYFUNCTION("""COMPUTED_VALUE"""),"S9123044934")</f>
        <v>S9123044934</v>
      </c>
      <c r="I287" s="17">
        <f>IFERROR(__xludf.DUMMYFUNCTION("""COMPUTED_VALUE"""),35.0)</f>
        <v>35</v>
      </c>
      <c r="J287" s="17" t="str">
        <f>IFERROR(__xludf.DUMMYFUNCTION("""COMPUTED_VALUE"""),"35-44 tahun")</f>
        <v>35-44 tahun</v>
      </c>
      <c r="K287" s="19">
        <f>IFERROR(__xludf.DUMMYFUNCTION("""COMPUTED_VALUE"""),33373.0)</f>
        <v>33373</v>
      </c>
      <c r="L287" s="19" t="str">
        <f>IFERROR(__xludf.DUMMYFUNCTION("""COMPUTED_VALUE"""),"PEREMPUAN")</f>
        <v>PEREMPUAN</v>
      </c>
      <c r="M287" s="16" t="str">
        <f>IFERROR(__xludf.DUMMYFUNCTION("""COMPUTED_VALUE"""),"KARANGAN BLOK B NO. 11, KOMPLEK UNTAN")</f>
        <v>KARANGAN BLOK B NO. 11, KOMPLEK UNTAN</v>
      </c>
      <c r="N287" s="16"/>
      <c r="O287" s="16"/>
      <c r="P287" s="16"/>
      <c r="Q287" s="16"/>
      <c r="R287" s="19" t="str">
        <f>IFERROR(__xludf.DUMMYFUNCTION("""COMPUTED_VALUE"""),"ISLAM")</f>
        <v>ISLAM</v>
      </c>
      <c r="S287" s="16" t="str">
        <f>IFERROR(__xludf.DUMMYFUNCTION("""COMPUTED_VALUE"""),"SWASTA")</f>
        <v>SWASTA</v>
      </c>
      <c r="T287" s="16" t="str">
        <f>IFERROR(__xludf.DUMMYFUNCTION("""COMPUTED_VALUE"""),"SAKIT PINGGANG")</f>
        <v>SAKIT PINGGANG</v>
      </c>
      <c r="U287" s="16" t="str">
        <f>IFERROR(__xludf.DUMMYFUNCTION("""COMPUTED_VALUE"""),"KERJA")</f>
        <v>KERJA</v>
      </c>
      <c r="V287" s="21" t="str">
        <f>IFERROR(__xludf.DUMMYFUNCTION("""COMPUTED_VALUE"""),"081348474934")</f>
        <v>081348474934</v>
      </c>
      <c r="W287" s="22"/>
    </row>
    <row r="288" ht="22.5" customHeight="1">
      <c r="A288" s="8"/>
      <c r="B288" s="9">
        <f>IFERROR(__xludf.DUMMYFUNCTION("""COMPUTED_VALUE"""),45024.4210202199)</f>
        <v>45024.42102</v>
      </c>
      <c r="C288" s="9"/>
      <c r="D288" s="10">
        <f>IFERROR(__xludf.DUMMYFUNCTION("""COMPUTED_VALUE"""),45028.0)</f>
        <v>45028</v>
      </c>
      <c r="E288" s="10" t="str">
        <f>IFERROR(__xludf.DUMMYFUNCTION("""COMPUTED_VALUE"""),"04Apr")</f>
        <v>04Apr</v>
      </c>
      <c r="F288" s="10" t="str">
        <f>IFERROR(__xludf.DUMMYFUNCTION("""COMPUTED_VALUE"""),"2023")</f>
        <v>2023</v>
      </c>
      <c r="G288" s="16" t="str">
        <f>IFERROR(__xludf.DUMMYFUNCTION("""COMPUTED_VALUE"""),"MOHD ANDILLA ADITYA NOVARIANDI")</f>
        <v>MOHD ANDILLA ADITYA NOVARIANDI</v>
      </c>
      <c r="H288" s="17" t="str">
        <f>IFERROR(__xludf.DUMMYFUNCTION("""COMPUTED_VALUE"""),"M8823040437")</f>
        <v>M8823040437</v>
      </c>
      <c r="I288" s="17">
        <f>IFERROR(__xludf.DUMMYFUNCTION("""COMPUTED_VALUE"""),37.0)</f>
        <v>37</v>
      </c>
      <c r="J288" s="17" t="str">
        <f>IFERROR(__xludf.DUMMYFUNCTION("""COMPUTED_VALUE"""),"35-44 tahun")</f>
        <v>35-44 tahun</v>
      </c>
      <c r="K288" s="19">
        <f>IFERROR(__xludf.DUMMYFUNCTION("""COMPUTED_VALUE"""),32351.0)</f>
        <v>32351</v>
      </c>
      <c r="L288" s="19" t="str">
        <f>IFERROR(__xludf.DUMMYFUNCTION("""COMPUTED_VALUE"""),"LAKI-LAKI")</f>
        <v>LAKI-LAKI</v>
      </c>
      <c r="M288" s="16" t="str">
        <f>IFERROR(__xludf.DUMMYFUNCTION("""COMPUTED_VALUE"""),"JLN ALIANYANG GG KURNIA NO.16")</f>
        <v>JLN ALIANYANG GG KURNIA NO.16</v>
      </c>
      <c r="N288" s="16"/>
      <c r="O288" s="16"/>
      <c r="P288" s="16"/>
      <c r="Q288" s="16"/>
      <c r="R288" s="19" t="str">
        <f>IFERROR(__xludf.DUMMYFUNCTION("""COMPUTED_VALUE"""),"ISLAM")</f>
        <v>ISLAM</v>
      </c>
      <c r="S288" s="16" t="str">
        <f>IFERROR(__xludf.DUMMYFUNCTION("""COMPUTED_VALUE"""),"SWASTA")</f>
        <v>SWASTA</v>
      </c>
      <c r="T288" s="16" t="str">
        <f>IFERROR(__xludf.DUMMYFUNCTION("""COMPUTED_VALUE"""),"NYERI OTOT KAKI SBLH KIRI")</f>
        <v>NYERI OTOT KAKI SBLH KIRI</v>
      </c>
      <c r="U288" s="16" t="str">
        <f>IFERROR(__xludf.DUMMYFUNCTION("""COMPUTED_VALUE"""),"KERJA")</f>
        <v>KERJA</v>
      </c>
      <c r="V288" s="21" t="str">
        <f>IFERROR(__xludf.DUMMYFUNCTION("""COMPUTED_VALUE"""),"087818270437")</f>
        <v>087818270437</v>
      </c>
      <c r="W288" s="22"/>
    </row>
    <row r="289" ht="22.5" customHeight="1">
      <c r="A289" s="8"/>
      <c r="B289" s="9">
        <f>IFERROR(__xludf.DUMMYFUNCTION("""COMPUTED_VALUE"""),45025.51294231482)</f>
        <v>45025.51294</v>
      </c>
      <c r="C289" s="9"/>
      <c r="D289" s="10">
        <f>IFERROR(__xludf.DUMMYFUNCTION("""COMPUTED_VALUE"""),45029.0)</f>
        <v>45029</v>
      </c>
      <c r="E289" s="10" t="str">
        <f>IFERROR(__xludf.DUMMYFUNCTION("""COMPUTED_VALUE"""),"04Apr")</f>
        <v>04Apr</v>
      </c>
      <c r="F289" s="10" t="str">
        <f>IFERROR(__xludf.DUMMYFUNCTION("""COMPUTED_VALUE"""),"2023")</f>
        <v>2023</v>
      </c>
      <c r="G289" s="16" t="str">
        <f>IFERROR(__xludf.DUMMYFUNCTION("""COMPUTED_VALUE"""),"BANNDY ANGGARA")</f>
        <v>BANNDY ANGGARA</v>
      </c>
      <c r="H289" s="17" t="str">
        <f>IFERROR(__xludf.DUMMYFUNCTION("""COMPUTED_VALUE"""),"B0223045231")</f>
        <v>B0223045231</v>
      </c>
      <c r="I289" s="17">
        <f>IFERROR(__xludf.DUMMYFUNCTION("""COMPUTED_VALUE"""),23.0)</f>
        <v>23</v>
      </c>
      <c r="J289" s="17" t="str">
        <f>IFERROR(__xludf.DUMMYFUNCTION("""COMPUTED_VALUE"""),"18-24 tahun")</f>
        <v>18-24 tahun</v>
      </c>
      <c r="K289" s="19">
        <f>IFERROR(__xludf.DUMMYFUNCTION("""COMPUTED_VALUE"""),37555.0)</f>
        <v>37555</v>
      </c>
      <c r="L289" s="19" t="str">
        <f>IFERROR(__xludf.DUMMYFUNCTION("""COMPUTED_VALUE"""),"LAKI-LAKI")</f>
        <v>LAKI-LAKI</v>
      </c>
      <c r="M289" s="16" t="str">
        <f>IFERROR(__xludf.DUMMYFUNCTION("""COMPUTED_VALUE"""),"DESA MUARA TIGA KECAMATAN BATU AMPAR KABUPATEN KUBU RAYA")</f>
        <v>DESA MUARA TIGA KECAMATAN BATU AMPAR KABUPATEN KUBU RAYA</v>
      </c>
      <c r="N289" s="16"/>
      <c r="O289" s="16"/>
      <c r="P289" s="16"/>
      <c r="Q289" s="16"/>
      <c r="R289" s="19" t="str">
        <f>IFERROR(__xludf.DUMMYFUNCTION("""COMPUTED_VALUE"""),"ISLAM")</f>
        <v>ISLAM</v>
      </c>
      <c r="S289" s="16" t="str">
        <f>IFERROR(__xludf.DUMMYFUNCTION("""COMPUTED_VALUE"""),"SWASTA")</f>
        <v>SWASTA</v>
      </c>
      <c r="T289" s="16" t="str">
        <f>IFERROR(__xludf.DUMMYFUNCTION("""COMPUTED_VALUE"""),"SAKIT AKIBAT OLAHRAGA")</f>
        <v>SAKIT AKIBAT OLAHRAGA</v>
      </c>
      <c r="U289" s="16" t="str">
        <f>IFERROR(__xludf.DUMMYFUNCTION("""COMPUTED_VALUE"""),"SEPAKBOLA")</f>
        <v>SEPAKBOLA</v>
      </c>
      <c r="V289" s="21" t="str">
        <f>IFERROR(__xludf.DUMMYFUNCTION("""COMPUTED_VALUE"""),"082159855231")</f>
        <v>082159855231</v>
      </c>
      <c r="W289" s="22"/>
    </row>
    <row r="290" ht="22.5" customHeight="1">
      <c r="A290" s="8"/>
      <c r="B290" s="9">
        <f>IFERROR(__xludf.DUMMYFUNCTION("""COMPUTED_VALUE"""),45026.08533598379)</f>
        <v>45026.08534</v>
      </c>
      <c r="C290" s="9"/>
      <c r="D290" s="10">
        <f>IFERROR(__xludf.DUMMYFUNCTION("""COMPUTED_VALUE"""),45029.0)</f>
        <v>45029</v>
      </c>
      <c r="E290" s="10" t="str">
        <f>IFERROR(__xludf.DUMMYFUNCTION("""COMPUTED_VALUE"""),"04Apr")</f>
        <v>04Apr</v>
      </c>
      <c r="F290" s="10" t="str">
        <f>IFERROR(__xludf.DUMMYFUNCTION("""COMPUTED_VALUE"""),"2023")</f>
        <v>2023</v>
      </c>
      <c r="G290" s="16" t="str">
        <f>IFERROR(__xludf.DUMMYFUNCTION("""COMPUTED_VALUE"""),"ROSMIYAH ATIKA SURI")</f>
        <v>ROSMIYAH ATIKA SURI</v>
      </c>
      <c r="H290" s="17" t="str">
        <f>IFERROR(__xludf.DUMMYFUNCTION("""COMPUTED_VALUE"""),"R0523044786")</f>
        <v>R0523044786</v>
      </c>
      <c r="I290" s="17">
        <f>IFERROR(__xludf.DUMMYFUNCTION("""COMPUTED_VALUE"""),21.0)</f>
        <v>21</v>
      </c>
      <c r="J290" s="17" t="str">
        <f>IFERROR(__xludf.DUMMYFUNCTION("""COMPUTED_VALUE"""),"18-24 tahun")</f>
        <v>18-24 tahun</v>
      </c>
      <c r="K290" s="19">
        <f>IFERROR(__xludf.DUMMYFUNCTION("""COMPUTED_VALUE"""),38376.0)</f>
        <v>38376</v>
      </c>
      <c r="L290" s="19" t="str">
        <f>IFERROR(__xludf.DUMMYFUNCTION("""COMPUTED_VALUE"""),"PEREMPUAN")</f>
        <v>PEREMPUAN</v>
      </c>
      <c r="M290" s="16" t="str">
        <f>IFERROR(__xludf.DUMMYFUNCTION("""COMPUTED_VALUE"""),"JL.URAI BAWADI GG.SUDITRISNO NO.19")</f>
        <v>JL.URAI BAWADI GG.SUDITRISNO NO.19</v>
      </c>
      <c r="N290" s="16"/>
      <c r="O290" s="16"/>
      <c r="P290" s="16"/>
      <c r="Q290" s="16"/>
      <c r="R290" s="19" t="str">
        <f>IFERROR(__xludf.DUMMYFUNCTION("""COMPUTED_VALUE"""),"ISLAM")</f>
        <v>ISLAM</v>
      </c>
      <c r="S290" s="16" t="str">
        <f>IFERROR(__xludf.DUMMYFUNCTION("""COMPUTED_VALUE"""),"PELAJAR/MAHASISWA")</f>
        <v>PELAJAR/MAHASISWA</v>
      </c>
      <c r="T290" s="16" t="str">
        <f>IFERROR(__xludf.DUMMYFUNCTION("""COMPUTED_VALUE"""),"SAKIT DI BAGIAN TULANG EKOR, AKIBAT JATUH TERDUDUK")</f>
        <v>SAKIT DI BAGIAN TULANG EKOR, AKIBAT JATUH TERDUDUK</v>
      </c>
      <c r="U290" s="16" t="str">
        <f>IFERROR(__xludf.DUMMYFUNCTION("""COMPUTED_VALUE"""),"KULIAH")</f>
        <v>KULIAH</v>
      </c>
      <c r="V290" s="21" t="str">
        <f>IFERROR(__xludf.DUMMYFUNCTION("""COMPUTED_VALUE"""),"081250764786")</f>
        <v>081250764786</v>
      </c>
      <c r="W290" s="22"/>
    </row>
    <row r="291" ht="22.5" customHeight="1">
      <c r="A291" s="8"/>
      <c r="B291" s="9">
        <f>IFERROR(__xludf.DUMMYFUNCTION("""COMPUTED_VALUE"""),45026.43394052083)</f>
        <v>45026.43394</v>
      </c>
      <c r="C291" s="9"/>
      <c r="D291" s="10">
        <f>IFERROR(__xludf.DUMMYFUNCTION("""COMPUTED_VALUE"""),45029.0)</f>
        <v>45029</v>
      </c>
      <c r="E291" s="10" t="str">
        <f>IFERROR(__xludf.DUMMYFUNCTION("""COMPUTED_VALUE"""),"04Apr")</f>
        <v>04Apr</v>
      </c>
      <c r="F291" s="10" t="str">
        <f>IFERROR(__xludf.DUMMYFUNCTION("""COMPUTED_VALUE"""),"2023")</f>
        <v>2023</v>
      </c>
      <c r="G291" s="16" t="str">
        <f>IFERROR(__xludf.DUMMYFUNCTION("""COMPUTED_VALUE"""),"IHSAN ABDULLAH")</f>
        <v>IHSAN ABDULLAH</v>
      </c>
      <c r="H291" s="17" t="str">
        <f>IFERROR(__xludf.DUMMYFUNCTION("""COMPUTED_VALUE"""),"I0523049977")</f>
        <v>I0523049977</v>
      </c>
      <c r="I291" s="17">
        <f>IFERROR(__xludf.DUMMYFUNCTION("""COMPUTED_VALUE"""),20.0)</f>
        <v>20</v>
      </c>
      <c r="J291" s="17" t="str">
        <f>IFERROR(__xludf.DUMMYFUNCTION("""COMPUTED_VALUE"""),"18-24 tahun")</f>
        <v>18-24 tahun</v>
      </c>
      <c r="K291" s="19">
        <f>IFERROR(__xludf.DUMMYFUNCTION("""COMPUTED_VALUE"""),38701.0)</f>
        <v>38701</v>
      </c>
      <c r="L291" s="19" t="str">
        <f>IFERROR(__xludf.DUMMYFUNCTION("""COMPUTED_VALUE"""),"LAKI-LAKI")</f>
        <v>LAKI-LAKI</v>
      </c>
      <c r="M291" s="16" t="str">
        <f>IFERROR(__xludf.DUMMYFUNCTION("""COMPUTED_VALUE"""),"JL. AMPERA KOMPLEK AMPERA EMERALD NO. AA2")</f>
        <v>JL. AMPERA KOMPLEK AMPERA EMERALD NO. AA2</v>
      </c>
      <c r="N291" s="16"/>
      <c r="O291" s="16"/>
      <c r="P291" s="16"/>
      <c r="Q291" s="16"/>
      <c r="R291" s="19" t="str">
        <f>IFERROR(__xludf.DUMMYFUNCTION("""COMPUTED_VALUE"""),"ISLAM")</f>
        <v>ISLAM</v>
      </c>
      <c r="S291" s="16" t="str">
        <f>IFERROR(__xludf.DUMMYFUNCTION("""COMPUTED_VALUE"""),"PELAJAR/MAHASISWA")</f>
        <v>PELAJAR/MAHASISWA</v>
      </c>
      <c r="T291" s="16" t="str">
        <f>IFERROR(__xludf.DUMMYFUNCTION("""COMPUTED_VALUE"""),"KAKI BERBENTUK O")</f>
        <v>KAKI BERBENTUK O</v>
      </c>
      <c r="U291" s="16" t="str">
        <f>IFERROR(__xludf.DUMMYFUNCTION("""COMPUTED_VALUE"""),"TIDUR, MAIN GAME DAN FUTSAL")</f>
        <v>TIDUR, MAIN GAME DAN FUTSAL</v>
      </c>
      <c r="V291" s="21" t="str">
        <f>IFERROR(__xludf.DUMMYFUNCTION("""COMPUTED_VALUE"""),"0895373049977")</f>
        <v>0895373049977</v>
      </c>
      <c r="W291" s="22"/>
    </row>
    <row r="292" ht="22.5" customHeight="1">
      <c r="A292" s="8"/>
      <c r="B292" s="9">
        <f>IFERROR(__xludf.DUMMYFUNCTION("""COMPUTED_VALUE"""),45026.65255747685)</f>
        <v>45026.65256</v>
      </c>
      <c r="C292" s="9"/>
      <c r="D292" s="10">
        <f>IFERROR(__xludf.DUMMYFUNCTION("""COMPUTED_VALUE"""),45029.0)</f>
        <v>45029</v>
      </c>
      <c r="E292" s="10" t="str">
        <f>IFERROR(__xludf.DUMMYFUNCTION("""COMPUTED_VALUE"""),"04Apr")</f>
        <v>04Apr</v>
      </c>
      <c r="F292" s="10" t="str">
        <f>IFERROR(__xludf.DUMMYFUNCTION("""COMPUTED_VALUE"""),"2023")</f>
        <v>2023</v>
      </c>
      <c r="G292" s="16" t="str">
        <f>IFERROR(__xludf.DUMMYFUNCTION("""COMPUTED_VALUE"""),"FAIZUL RAHMANTO")</f>
        <v>FAIZUL RAHMANTO</v>
      </c>
      <c r="H292" s="17" t="str">
        <f>IFERROR(__xludf.DUMMYFUNCTION("""COMPUTED_VALUE"""),"F1023045480")</f>
        <v>F1023045480</v>
      </c>
      <c r="I292" s="17">
        <f>IFERROR(__xludf.DUMMYFUNCTION("""COMPUTED_VALUE"""),15.0)</f>
        <v>15</v>
      </c>
      <c r="J292" s="17" t="str">
        <f>IFERROR(__xludf.DUMMYFUNCTION("""COMPUTED_VALUE"""),"&lt; 18 tahun")</f>
        <v>&lt; 18 tahun</v>
      </c>
      <c r="K292" s="19">
        <f>IFERROR(__xludf.DUMMYFUNCTION("""COMPUTED_VALUE"""),40356.0)</f>
        <v>40356</v>
      </c>
      <c r="L292" s="19" t="str">
        <f>IFERROR(__xludf.DUMMYFUNCTION("""COMPUTED_VALUE"""),"LAKI-LAKI")</f>
        <v>LAKI-LAKI</v>
      </c>
      <c r="M292" s="16" t="str">
        <f>IFERROR(__xludf.DUMMYFUNCTION("""COMPUTED_VALUE"""),"JL. TABRANI AHMAD GG. MELDA NO. 44")</f>
        <v>JL. TABRANI AHMAD GG. MELDA NO. 44</v>
      </c>
      <c r="N292" s="16"/>
      <c r="O292" s="16"/>
      <c r="P292" s="16"/>
      <c r="Q292" s="16"/>
      <c r="R292" s="19" t="str">
        <f>IFERROR(__xludf.DUMMYFUNCTION("""COMPUTED_VALUE"""),"ISLAM")</f>
        <v>ISLAM</v>
      </c>
      <c r="S292" s="16" t="str">
        <f>IFERROR(__xludf.DUMMYFUNCTION("""COMPUTED_VALUE"""),"PELAJAR/MAHASISWA")</f>
        <v>PELAJAR/MAHASISWA</v>
      </c>
      <c r="T292" s="16" t="str">
        <f>IFERROR(__xludf.DUMMYFUNCTION("""COMPUTED_VALUE"""),"SAKIT KAKI")</f>
        <v>SAKIT KAKI</v>
      </c>
      <c r="U292" s="16" t="str">
        <f>IFERROR(__xludf.DUMMYFUNCTION("""COMPUTED_VALUE"""),"MAIN BOLA")</f>
        <v>MAIN BOLA</v>
      </c>
      <c r="V292" s="21" t="str">
        <f>IFERROR(__xludf.DUMMYFUNCTION("""COMPUTED_VALUE"""),"0895416935480")</f>
        <v>0895416935480</v>
      </c>
      <c r="W292" s="22"/>
    </row>
    <row r="293" ht="22.5" customHeight="1">
      <c r="A293" s="8"/>
      <c r="B293" s="9">
        <f>IFERROR(__xludf.DUMMYFUNCTION("""COMPUTED_VALUE"""),45027.6622825463)</f>
        <v>45027.66228</v>
      </c>
      <c r="C293" s="9"/>
      <c r="D293" s="10">
        <f>IFERROR(__xludf.DUMMYFUNCTION("""COMPUTED_VALUE"""),45029.0)</f>
        <v>45029</v>
      </c>
      <c r="E293" s="10" t="str">
        <f>IFERROR(__xludf.DUMMYFUNCTION("""COMPUTED_VALUE"""),"04Apr")</f>
        <v>04Apr</v>
      </c>
      <c r="F293" s="10" t="str">
        <f>IFERROR(__xludf.DUMMYFUNCTION("""COMPUTED_VALUE"""),"2023")</f>
        <v>2023</v>
      </c>
      <c r="G293" s="16" t="str">
        <f>IFERROR(__xludf.DUMMYFUNCTION("""COMPUTED_VALUE"""),"SURYANSYAH")</f>
        <v>SURYANSYAH</v>
      </c>
      <c r="H293" s="17" t="str">
        <f>IFERROR(__xludf.DUMMYFUNCTION("""COMPUTED_VALUE"""),"S0523046174")</f>
        <v>S0523046174</v>
      </c>
      <c r="I293" s="17">
        <f>IFERROR(__xludf.DUMMYFUNCTION("""COMPUTED_VALUE"""),20.0)</f>
        <v>20</v>
      </c>
      <c r="J293" s="17" t="str">
        <f>IFERROR(__xludf.DUMMYFUNCTION("""COMPUTED_VALUE"""),"18-24 tahun")</f>
        <v>18-24 tahun</v>
      </c>
      <c r="K293" s="19">
        <f>IFERROR(__xludf.DUMMYFUNCTION("""COMPUTED_VALUE"""),38691.0)</f>
        <v>38691</v>
      </c>
      <c r="L293" s="19" t="str">
        <f>IFERROR(__xludf.DUMMYFUNCTION("""COMPUTED_VALUE"""),"PEREMPUAN")</f>
        <v>PEREMPUAN</v>
      </c>
      <c r="M293" s="16" t="str">
        <f>IFERROR(__xludf.DUMMYFUNCTION("""COMPUTED_VALUE"""),"JL. KARYA BERSAMA")</f>
        <v>JL. KARYA BERSAMA</v>
      </c>
      <c r="N293" s="16"/>
      <c r="O293" s="16"/>
      <c r="P293" s="16"/>
      <c r="Q293" s="16"/>
      <c r="R293" s="19" t="str">
        <f>IFERROR(__xludf.DUMMYFUNCTION("""COMPUTED_VALUE"""),"ISLAM")</f>
        <v>ISLAM</v>
      </c>
      <c r="S293" s="16" t="str">
        <f>IFERROR(__xludf.DUMMYFUNCTION("""COMPUTED_VALUE"""),"PELAJAR/MAHASISWA")</f>
        <v>PELAJAR/MAHASISWA</v>
      </c>
      <c r="T293" s="16" t="str">
        <f>IFERROR(__xludf.DUMMYFUNCTION("""COMPUTED_VALUE"""),"RUSAK BANTALAN SENDI")</f>
        <v>RUSAK BANTALAN SENDI</v>
      </c>
      <c r="U293" s="16" t="str">
        <f>IFERROR(__xludf.DUMMYFUNCTION("""COMPUTED_VALUE"""),"OLAHRAGA")</f>
        <v>OLAHRAGA</v>
      </c>
      <c r="V293" s="21" t="str">
        <f>IFERROR(__xludf.DUMMYFUNCTION("""COMPUTED_VALUE"""),"085751606174")</f>
        <v>085751606174</v>
      </c>
      <c r="W293" s="22"/>
    </row>
    <row r="294" ht="22.5" customHeight="1">
      <c r="A294" s="8"/>
      <c r="B294" s="9">
        <f>IFERROR(__xludf.DUMMYFUNCTION("""COMPUTED_VALUE"""),45027.89878650463)</f>
        <v>45027.89879</v>
      </c>
      <c r="C294" s="9"/>
      <c r="D294" s="10">
        <f>IFERROR(__xludf.DUMMYFUNCTION("""COMPUTED_VALUE"""),45031.0)</f>
        <v>45031</v>
      </c>
      <c r="E294" s="10" t="str">
        <f>IFERROR(__xludf.DUMMYFUNCTION("""COMPUTED_VALUE"""),"04Apr")</f>
        <v>04Apr</v>
      </c>
      <c r="F294" s="10" t="str">
        <f>IFERROR(__xludf.DUMMYFUNCTION("""COMPUTED_VALUE"""),"2023")</f>
        <v>2023</v>
      </c>
      <c r="G294" s="16" t="str">
        <f>IFERROR(__xludf.DUMMYFUNCTION("""COMPUTED_VALUE"""),"NUR MUHAMAD FIRMANSYAH")</f>
        <v>NUR MUHAMAD FIRMANSYAH</v>
      </c>
      <c r="H294" s="17" t="str">
        <f>IFERROR(__xludf.DUMMYFUNCTION("""COMPUTED_VALUE"""),"N9323049547")</f>
        <v>N9323049547</v>
      </c>
      <c r="I294" s="17">
        <f>IFERROR(__xludf.DUMMYFUNCTION("""COMPUTED_VALUE"""),32.0)</f>
        <v>32</v>
      </c>
      <c r="J294" s="17" t="str">
        <f>IFERROR(__xludf.DUMMYFUNCTION("""COMPUTED_VALUE"""),"25-34 tahun")</f>
        <v>25-34 tahun</v>
      </c>
      <c r="K294" s="19">
        <f>IFERROR(__xludf.DUMMYFUNCTION("""COMPUTED_VALUE"""),34212.0)</f>
        <v>34212</v>
      </c>
      <c r="L294" s="19" t="str">
        <f>IFERROR(__xludf.DUMMYFUNCTION("""COMPUTED_VALUE"""),"LAKI-LAKI")</f>
        <v>LAKI-LAKI</v>
      </c>
      <c r="M294" s="16" t="str">
        <f>IFERROR(__xludf.DUMMYFUNCTION("""COMPUTED_VALUE"""),"JALAN UJUNG PANDANG")</f>
        <v>JALAN UJUNG PANDANG</v>
      </c>
      <c r="N294" s="16"/>
      <c r="O294" s="16"/>
      <c r="P294" s="16"/>
      <c r="Q294" s="16"/>
      <c r="R294" s="19" t="str">
        <f>IFERROR(__xludf.DUMMYFUNCTION("""COMPUTED_VALUE"""),"ISLAM")</f>
        <v>ISLAM</v>
      </c>
      <c r="S294" s="16" t="str">
        <f>IFERROR(__xludf.DUMMYFUNCTION("""COMPUTED_VALUE"""),"SWASTA")</f>
        <v>SWASTA</v>
      </c>
      <c r="T294" s="16" t="str">
        <f>IFERROR(__xludf.DUMMYFUNCTION("""COMPUTED_VALUE"""),"PASCA OPERASI ACL")</f>
        <v>PASCA OPERASI ACL</v>
      </c>
      <c r="U294" s="16" t="str">
        <f>IFERROR(__xludf.DUMMYFUNCTION("""COMPUTED_VALUE"""),"FUTSAL/KERJA")</f>
        <v>FUTSAL/KERJA</v>
      </c>
      <c r="V294" s="21" t="str">
        <f>IFERROR(__xludf.DUMMYFUNCTION("""COMPUTED_VALUE"""),"08981399547")</f>
        <v>08981399547</v>
      </c>
      <c r="W294" s="22"/>
    </row>
    <row r="295" ht="22.5" customHeight="1">
      <c r="A295" s="8"/>
      <c r="B295" s="9">
        <f>IFERROR(__xludf.DUMMYFUNCTION("""COMPUTED_VALUE"""),45028.38802894676)</f>
        <v>45028.38803</v>
      </c>
      <c r="C295" s="9"/>
      <c r="D295" s="10">
        <f>IFERROR(__xludf.DUMMYFUNCTION("""COMPUTED_VALUE"""),45031.0)</f>
        <v>45031</v>
      </c>
      <c r="E295" s="10" t="str">
        <f>IFERROR(__xludf.DUMMYFUNCTION("""COMPUTED_VALUE"""),"04Apr")</f>
        <v>04Apr</v>
      </c>
      <c r="F295" s="10" t="str">
        <f>IFERROR(__xludf.DUMMYFUNCTION("""COMPUTED_VALUE"""),"2023")</f>
        <v>2023</v>
      </c>
      <c r="G295" s="16" t="str">
        <f>IFERROR(__xludf.DUMMYFUNCTION("""COMPUTED_VALUE"""),"MIQHO OZORA MARSANSO")</f>
        <v>MIQHO OZORA MARSANSO</v>
      </c>
      <c r="H295" s="17" t="str">
        <f>IFERROR(__xludf.DUMMYFUNCTION("""COMPUTED_VALUE"""),"M0523043050")</f>
        <v>M0523043050</v>
      </c>
      <c r="I295" s="17">
        <f>IFERROR(__xludf.DUMMYFUNCTION("""COMPUTED_VALUE"""),21.0)</f>
        <v>21</v>
      </c>
      <c r="J295" s="17" t="str">
        <f>IFERROR(__xludf.DUMMYFUNCTION("""COMPUTED_VALUE"""),"18-24 tahun")</f>
        <v>18-24 tahun</v>
      </c>
      <c r="K295" s="19">
        <f>IFERROR(__xludf.DUMMYFUNCTION("""COMPUTED_VALUE"""),38505.0)</f>
        <v>38505</v>
      </c>
      <c r="L295" s="19" t="str">
        <f>IFERROR(__xludf.DUMMYFUNCTION("""COMPUTED_VALUE"""),"LAKI-LAKI")</f>
        <v>LAKI-LAKI</v>
      </c>
      <c r="M295" s="16" t="str">
        <f>IFERROR(__xludf.DUMMYFUNCTION("""COMPUTED_VALUE"""),"JL YC OEVANG OERAY KAB SINTANG")</f>
        <v>JL YC OEVANG OERAY KAB SINTANG</v>
      </c>
      <c r="N295" s="16"/>
      <c r="O295" s="16"/>
      <c r="P295" s="16"/>
      <c r="Q295" s="16"/>
      <c r="R295" s="19" t="str">
        <f>IFERROR(__xludf.DUMMYFUNCTION("""COMPUTED_VALUE"""),"KATOLIK")</f>
        <v>KATOLIK</v>
      </c>
      <c r="S295" s="16" t="str">
        <f>IFERROR(__xludf.DUMMYFUNCTION("""COMPUTED_VALUE"""),"PELAJAR/MAHASISWA")</f>
        <v>PELAJAR/MAHASISWA</v>
      </c>
      <c r="T295" s="16" t="str">
        <f>IFERROR(__xludf.DUMMYFUNCTION("""COMPUTED_VALUE"""),"KAKI LETER X")</f>
        <v>KAKI LETER X</v>
      </c>
      <c r="U295" s="16" t="str">
        <f>IFERROR(__xludf.DUMMYFUNCTION("""COMPUTED_VALUE"""),"OLAHRAGA")</f>
        <v>OLAHRAGA</v>
      </c>
      <c r="V295" s="21" t="str">
        <f>IFERROR(__xludf.DUMMYFUNCTION("""COMPUTED_VALUE"""),"082152943050")</f>
        <v>082152943050</v>
      </c>
      <c r="W295" s="22"/>
    </row>
    <row r="296" ht="22.5" customHeight="1">
      <c r="A296" s="8"/>
      <c r="B296" s="9">
        <f>IFERROR(__xludf.DUMMYFUNCTION("""COMPUTED_VALUE"""),45028.41700341435)</f>
        <v>45028.417</v>
      </c>
      <c r="C296" s="9"/>
      <c r="D296" s="10">
        <f>IFERROR(__xludf.DUMMYFUNCTION("""COMPUTED_VALUE"""),45031.0)</f>
        <v>45031</v>
      </c>
      <c r="E296" s="10" t="str">
        <f>IFERROR(__xludf.DUMMYFUNCTION("""COMPUTED_VALUE"""),"04Apr")</f>
        <v>04Apr</v>
      </c>
      <c r="F296" s="10" t="str">
        <f>IFERROR(__xludf.DUMMYFUNCTION("""COMPUTED_VALUE"""),"2023")</f>
        <v>2023</v>
      </c>
      <c r="G296" s="16" t="str">
        <f>IFERROR(__xludf.DUMMYFUNCTION("""COMPUTED_VALUE"""),"ADITHYA PRATAMA WAHYUDI")</f>
        <v>ADITHYA PRATAMA WAHYUDI</v>
      </c>
      <c r="H296" s="17" t="str">
        <f>IFERROR(__xludf.DUMMYFUNCTION("""COMPUTED_VALUE"""),"A0523043411")</f>
        <v>A0523043411</v>
      </c>
      <c r="I296" s="17">
        <f>IFERROR(__xludf.DUMMYFUNCTION("""COMPUTED_VALUE"""),20.0)</f>
        <v>20</v>
      </c>
      <c r="J296" s="17" t="str">
        <f>IFERROR(__xludf.DUMMYFUNCTION("""COMPUTED_VALUE"""),"18-24 tahun")</f>
        <v>18-24 tahun</v>
      </c>
      <c r="K296" s="19">
        <f>IFERROR(__xludf.DUMMYFUNCTION("""COMPUTED_VALUE"""),38626.0)</f>
        <v>38626</v>
      </c>
      <c r="L296" s="19" t="str">
        <f>IFERROR(__xludf.DUMMYFUNCTION("""COMPUTED_VALUE"""),"LAKI-LAKI")</f>
        <v>LAKI-LAKI</v>
      </c>
      <c r="M296" s="16" t="str">
        <f>IFERROR(__xludf.DUMMYFUNCTION("""COMPUTED_VALUE"""),"JL PERDANA KOMP. BALI AGUNG 3 BLOK N 92")</f>
        <v>JL PERDANA KOMP. BALI AGUNG 3 BLOK N 92</v>
      </c>
      <c r="N296" s="16"/>
      <c r="O296" s="16"/>
      <c r="P296" s="16"/>
      <c r="Q296" s="16"/>
      <c r="R296" s="19" t="str">
        <f>IFERROR(__xludf.DUMMYFUNCTION("""COMPUTED_VALUE"""),"ISLAM")</f>
        <v>ISLAM</v>
      </c>
      <c r="S296" s="16" t="str">
        <f>IFERROR(__xludf.DUMMYFUNCTION("""COMPUTED_VALUE"""),"PELAJAR/MAHASISWA")</f>
        <v>PELAJAR/MAHASISWA</v>
      </c>
      <c r="T296" s="16" t="str">
        <f>IFERROR(__xludf.DUMMYFUNCTION("""COMPUTED_VALUE"""),"TIDAK BISA JONGKOK DR POSISI BERDIRI LURUS SELALU JATUH KE BELAKANG")</f>
        <v>TIDAK BISA JONGKOK DR POSISI BERDIRI LURUS SELALU JATUH KE BELAKANG</v>
      </c>
      <c r="U296" s="16" t="str">
        <f>IFERROR(__xludf.DUMMYFUNCTION("""COMPUTED_VALUE"""),"BADMINTON")</f>
        <v>BADMINTON</v>
      </c>
      <c r="V296" s="21" t="str">
        <f>IFERROR(__xludf.DUMMYFUNCTION("""COMPUTED_VALUE"""),"089677553411")</f>
        <v>089677553411</v>
      </c>
      <c r="W296" s="22"/>
    </row>
    <row r="297" ht="22.5" customHeight="1">
      <c r="A297" s="8"/>
      <c r="B297" s="9">
        <f>IFERROR(__xludf.DUMMYFUNCTION("""COMPUTED_VALUE"""),45028.42378900463)</f>
        <v>45028.42379</v>
      </c>
      <c r="C297" s="9"/>
      <c r="D297" s="10">
        <f>IFERROR(__xludf.DUMMYFUNCTION("""COMPUTED_VALUE"""),45031.0)</f>
        <v>45031</v>
      </c>
      <c r="E297" s="10" t="str">
        <f>IFERROR(__xludf.DUMMYFUNCTION("""COMPUTED_VALUE"""),"04Apr")</f>
        <v>04Apr</v>
      </c>
      <c r="F297" s="10" t="str">
        <f>IFERROR(__xludf.DUMMYFUNCTION("""COMPUTED_VALUE"""),"2023")</f>
        <v>2023</v>
      </c>
      <c r="G297" s="16" t="str">
        <f>IFERROR(__xludf.DUMMYFUNCTION("""COMPUTED_VALUE"""),"INTAN OKTAVIA FIANTI")</f>
        <v>INTAN OKTAVIA FIANTI</v>
      </c>
      <c r="H297" s="17" t="str">
        <f>IFERROR(__xludf.DUMMYFUNCTION("""COMPUTED_VALUE"""),"I9623046833")</f>
        <v>I9623046833</v>
      </c>
      <c r="I297" s="17">
        <f>IFERROR(__xludf.DUMMYFUNCTION("""COMPUTED_VALUE"""),29.0)</f>
        <v>29</v>
      </c>
      <c r="J297" s="17" t="str">
        <f>IFERROR(__xludf.DUMMYFUNCTION("""COMPUTED_VALUE"""),"25-34 tahun")</f>
        <v>25-34 tahun</v>
      </c>
      <c r="K297" s="19">
        <f>IFERROR(__xludf.DUMMYFUNCTION("""COMPUTED_VALUE"""),35346.0)</f>
        <v>35346</v>
      </c>
      <c r="L297" s="19" t="str">
        <f>IFERROR(__xludf.DUMMYFUNCTION("""COMPUTED_VALUE"""),"PEREMPUAN")</f>
        <v>PEREMPUAN</v>
      </c>
      <c r="M297" s="16" t="str">
        <f>IFERROR(__xludf.DUMMYFUNCTION("""COMPUTED_VALUE"""),"JL. PARIT PANGERAN GG. KURNIA RT.003/RW.031")</f>
        <v>JL. PARIT PANGERAN GG. KURNIA RT.003/RW.031</v>
      </c>
      <c r="N297" s="16"/>
      <c r="O297" s="16"/>
      <c r="P297" s="16"/>
      <c r="Q297" s="16"/>
      <c r="R297" s="19" t="str">
        <f>IFERROR(__xludf.DUMMYFUNCTION("""COMPUTED_VALUE"""),"ISLAM")</f>
        <v>ISLAM</v>
      </c>
      <c r="S297" s="16" t="str">
        <f>IFERROR(__xludf.DUMMYFUNCTION("""COMPUTED_VALUE"""),"TNI/POLRI")</f>
        <v>TNI/POLRI</v>
      </c>
      <c r="T297" s="16" t="str">
        <f>IFERROR(__xludf.DUMMYFUNCTION("""COMPUTED_VALUE"""),"NEUROPATI")</f>
        <v>NEUROPATI</v>
      </c>
      <c r="U297" s="16" t="str">
        <f>IFERROR(__xludf.DUMMYFUNCTION("""COMPUTED_VALUE"""),"BEKERJA")</f>
        <v>BEKERJA</v>
      </c>
      <c r="V297" s="21" t="str">
        <f>IFERROR(__xludf.DUMMYFUNCTION("""COMPUTED_VALUE"""),"089661096833")</f>
        <v>089661096833</v>
      </c>
      <c r="W297" s="22"/>
    </row>
    <row r="298" ht="22.5" customHeight="1">
      <c r="A298" s="8"/>
      <c r="B298" s="9">
        <f>IFERROR(__xludf.DUMMYFUNCTION("""COMPUTED_VALUE"""),45028.46336972222)</f>
        <v>45028.46337</v>
      </c>
      <c r="C298" s="9"/>
      <c r="D298" s="10">
        <f>IFERROR(__xludf.DUMMYFUNCTION("""COMPUTED_VALUE"""),45032.0)</f>
        <v>45032</v>
      </c>
      <c r="E298" s="10" t="str">
        <f>IFERROR(__xludf.DUMMYFUNCTION("""COMPUTED_VALUE"""),"04Apr")</f>
        <v>04Apr</v>
      </c>
      <c r="F298" s="10" t="str">
        <f>IFERROR(__xludf.DUMMYFUNCTION("""COMPUTED_VALUE"""),"2023")</f>
        <v>2023</v>
      </c>
      <c r="G298" s="16" t="str">
        <f>IFERROR(__xludf.DUMMYFUNCTION("""COMPUTED_VALUE"""),"MUHAMMAD IQBAL FAHLEVI IBNU AHMAD")</f>
        <v>MUHAMMAD IQBAL FAHLEVI IBNU AHMAD</v>
      </c>
      <c r="H298" s="17" t="str">
        <f>IFERROR(__xludf.DUMMYFUNCTION("""COMPUTED_VALUE"""),"M0523043163")</f>
        <v>M0523043163</v>
      </c>
      <c r="I298" s="17">
        <f>IFERROR(__xludf.DUMMYFUNCTION("""COMPUTED_VALUE"""),21.0)</f>
        <v>21</v>
      </c>
      <c r="J298" s="17" t="str">
        <f>IFERROR(__xludf.DUMMYFUNCTION("""COMPUTED_VALUE"""),"18-24 tahun")</f>
        <v>18-24 tahun</v>
      </c>
      <c r="K298" s="19">
        <f>IFERROR(__xludf.DUMMYFUNCTION("""COMPUTED_VALUE"""),38470.0)</f>
        <v>38470</v>
      </c>
      <c r="L298" s="19" t="str">
        <f>IFERROR(__xludf.DUMMYFUNCTION("""COMPUTED_VALUE"""),"LAKI-LAKI")</f>
        <v>LAKI-LAKI</v>
      </c>
      <c r="M298" s="16" t="str">
        <f>IFERROR(__xludf.DUMMYFUNCTION("""COMPUTED_VALUE"""),"JLN TABRANI AHMAD GG SERUMPUN INDAH NO 15")</f>
        <v>JLN TABRANI AHMAD GG SERUMPUN INDAH NO 15</v>
      </c>
      <c r="N298" s="16"/>
      <c r="O298" s="16"/>
      <c r="P298" s="16"/>
      <c r="Q298" s="16"/>
      <c r="R298" s="19" t="str">
        <f>IFERROR(__xludf.DUMMYFUNCTION("""COMPUTED_VALUE"""),"ISLAM")</f>
        <v>ISLAM</v>
      </c>
      <c r="S298" s="16" t="str">
        <f>IFERROR(__xludf.DUMMYFUNCTION("""COMPUTED_VALUE"""),"PELAJAR/MAHASISWA")</f>
        <v>PELAJAR/MAHASISWA</v>
      </c>
      <c r="T298" s="16" t="str">
        <f>IFERROR(__xludf.DUMMYFUNCTION("""COMPUTED_VALUE"""),"SAKIT PINGGANG SUDAH SETAHUN")</f>
        <v>SAKIT PINGGANG SUDAH SETAHUN</v>
      </c>
      <c r="U298" s="16" t="str">
        <f>IFERROR(__xludf.DUMMYFUNCTION("""COMPUTED_VALUE"""),"BACA/JALAN KAKI")</f>
        <v>BACA/JALAN KAKI</v>
      </c>
      <c r="V298" s="21" t="str">
        <f>IFERROR(__xludf.DUMMYFUNCTION("""COMPUTED_VALUE"""),"081256263163")</f>
        <v>081256263163</v>
      </c>
      <c r="W298" s="22"/>
    </row>
    <row r="299" ht="22.5" customHeight="1">
      <c r="A299" s="8"/>
      <c r="B299" s="9">
        <f>IFERROR(__xludf.DUMMYFUNCTION("""COMPUTED_VALUE"""),45029.49948760417)</f>
        <v>45029.49949</v>
      </c>
      <c r="C299" s="9"/>
      <c r="D299" s="10">
        <f>IFERROR(__xludf.DUMMYFUNCTION("""COMPUTED_VALUE"""),45032.0)</f>
        <v>45032</v>
      </c>
      <c r="E299" s="10" t="str">
        <f>IFERROR(__xludf.DUMMYFUNCTION("""COMPUTED_VALUE"""),"04Apr")</f>
        <v>04Apr</v>
      </c>
      <c r="F299" s="10" t="str">
        <f>IFERROR(__xludf.DUMMYFUNCTION("""COMPUTED_VALUE"""),"2023")</f>
        <v>2023</v>
      </c>
      <c r="G299" s="16" t="str">
        <f>IFERROR(__xludf.DUMMYFUNCTION("""COMPUTED_VALUE"""),"HENDRI 8112")</f>
        <v>HENDRI 8112</v>
      </c>
      <c r="H299" s="17" t="str">
        <f>IFERROR(__xludf.DUMMYFUNCTION("""COMPUTED_VALUE"""),"H8123048905")</f>
        <v>H8123048905</v>
      </c>
      <c r="I299" s="17">
        <f>IFERROR(__xludf.DUMMYFUNCTION("""COMPUTED_VALUE"""),44.0)</f>
        <v>44</v>
      </c>
      <c r="J299" s="17" t="str">
        <f>IFERROR(__xludf.DUMMYFUNCTION("""COMPUTED_VALUE"""),"35-44 tahun")</f>
        <v>35-44 tahun</v>
      </c>
      <c r="K299" s="19">
        <f>IFERROR(__xludf.DUMMYFUNCTION("""COMPUTED_VALUE"""),29921.0)</f>
        <v>29921</v>
      </c>
      <c r="L299" s="19" t="str">
        <f>IFERROR(__xludf.DUMMYFUNCTION("""COMPUTED_VALUE"""),"LAKI-LAKI")</f>
        <v>LAKI-LAKI</v>
      </c>
      <c r="M299" s="16" t="str">
        <f>IFERROR(__xludf.DUMMYFUNCTION("""COMPUTED_VALUE"""),"JL. DR. WAHIDIN S KOMP PERTAMBANGAN NO 2")</f>
        <v>JL. DR. WAHIDIN S KOMP PERTAMBANGAN NO 2</v>
      </c>
      <c r="N299" s="16"/>
      <c r="O299" s="16"/>
      <c r="P299" s="16"/>
      <c r="Q299" s="16"/>
      <c r="R299" s="19" t="str">
        <f>IFERROR(__xludf.DUMMYFUNCTION("""COMPUTED_VALUE"""),"ISLAM")</f>
        <v>ISLAM</v>
      </c>
      <c r="S299" s="16" t="str">
        <f>IFERROR(__xludf.DUMMYFUNCTION("""COMPUTED_VALUE"""),"ASN")</f>
        <v>ASN</v>
      </c>
      <c r="T299" s="16" t="str">
        <f>IFERROR(__xludf.DUMMYFUNCTION("""COMPUTED_VALUE"""),"BAHU KANAN KESELEO")</f>
        <v>BAHU KANAN KESELEO</v>
      </c>
      <c r="U299" s="16" t="str">
        <f>IFERROR(__xludf.DUMMYFUNCTION("""COMPUTED_VALUE"""),"BEKERJA")</f>
        <v>BEKERJA</v>
      </c>
      <c r="V299" s="21" t="str">
        <f>IFERROR(__xludf.DUMMYFUNCTION("""COMPUTED_VALUE"""),"085245688905")</f>
        <v>085245688905</v>
      </c>
      <c r="W299" s="22"/>
    </row>
    <row r="300" ht="22.5" customHeight="1">
      <c r="A300" s="8"/>
      <c r="B300" s="9">
        <f>IFERROR(__xludf.DUMMYFUNCTION("""COMPUTED_VALUE"""),45031.457352094905)</f>
        <v>45031.45735</v>
      </c>
      <c r="C300" s="9"/>
      <c r="D300" s="10">
        <f>IFERROR(__xludf.DUMMYFUNCTION("""COMPUTED_VALUE"""),45032.0)</f>
        <v>45032</v>
      </c>
      <c r="E300" s="10" t="str">
        <f>IFERROR(__xludf.DUMMYFUNCTION("""COMPUTED_VALUE"""),"04Apr")</f>
        <v>04Apr</v>
      </c>
      <c r="F300" s="10" t="str">
        <f>IFERROR(__xludf.DUMMYFUNCTION("""COMPUTED_VALUE"""),"2023")</f>
        <v>2023</v>
      </c>
      <c r="G300" s="16" t="str">
        <f>IFERROR(__xludf.DUMMYFUNCTION("""COMPUTED_VALUE"""),"LIEM AI JONG")</f>
        <v>LIEM AI JONG</v>
      </c>
      <c r="H300" s="17" t="str">
        <f>IFERROR(__xludf.DUMMYFUNCTION("""COMPUTED_VALUE"""),"L5823040082")</f>
        <v>L5823040082</v>
      </c>
      <c r="I300" s="17">
        <f>IFERROR(__xludf.DUMMYFUNCTION("""COMPUTED_VALUE"""),67.0)</f>
        <v>67</v>
      </c>
      <c r="J300" s="17" t="str">
        <f>IFERROR(__xludf.DUMMYFUNCTION("""COMPUTED_VALUE"""),"&gt; 44 tahun")</f>
        <v>&gt; 44 tahun</v>
      </c>
      <c r="K300" s="19">
        <f>IFERROR(__xludf.DUMMYFUNCTION("""COMPUTED_VALUE"""),21482.0)</f>
        <v>21482</v>
      </c>
      <c r="L300" s="19" t="str">
        <f>IFERROR(__xludf.DUMMYFUNCTION("""COMPUTED_VALUE"""),"PEREMPUAN")</f>
        <v>PEREMPUAN</v>
      </c>
      <c r="M300" s="16" t="str">
        <f>IFERROR(__xludf.DUMMYFUNCTION("""COMPUTED_VALUE"""),"PERMATA KHATULISTIWA BLOK H 9")</f>
        <v>PERMATA KHATULISTIWA BLOK H 9</v>
      </c>
      <c r="N300" s="16"/>
      <c r="O300" s="16"/>
      <c r="P300" s="16"/>
      <c r="Q300" s="16"/>
      <c r="R300" s="19" t="str">
        <f>IFERROR(__xludf.DUMMYFUNCTION("""COMPUTED_VALUE"""),"KATOLIK")</f>
        <v>KATOLIK</v>
      </c>
      <c r="S300" s="16" t="str">
        <f>IFERROR(__xludf.DUMMYFUNCTION("""COMPUTED_VALUE"""),"SWASTA")</f>
        <v>SWASTA</v>
      </c>
      <c r="T300" s="16" t="str">
        <f>IFERROR(__xludf.DUMMYFUNCTION("""COMPUTED_VALUE"""),"SAKIT DI PINGGANG")</f>
        <v>SAKIT DI PINGGANG</v>
      </c>
      <c r="U300" s="16" t="str">
        <f>IFERROR(__xludf.DUMMYFUNCTION("""COMPUTED_VALUE"""),"IBU RUMAH TANGGA DAN JAGA TOKO")</f>
        <v>IBU RUMAH TANGGA DAN JAGA TOKO</v>
      </c>
      <c r="V300" s="21" t="str">
        <f>IFERROR(__xludf.DUMMYFUNCTION("""COMPUTED_VALUE"""),"08115720082")</f>
        <v>08115720082</v>
      </c>
      <c r="W300" s="22"/>
    </row>
    <row r="301" ht="22.5" customHeight="1">
      <c r="A301" s="8"/>
      <c r="B301" s="9">
        <f>IFERROR(__xludf.DUMMYFUNCTION("""COMPUTED_VALUE"""),45031.465586238424)</f>
        <v>45031.46559</v>
      </c>
      <c r="C301" s="9"/>
      <c r="D301" s="10">
        <f>IFERROR(__xludf.DUMMYFUNCTION("""COMPUTED_VALUE"""),45032.0)</f>
        <v>45032</v>
      </c>
      <c r="E301" s="10" t="str">
        <f>IFERROR(__xludf.DUMMYFUNCTION("""COMPUTED_VALUE"""),"04Apr")</f>
        <v>04Apr</v>
      </c>
      <c r="F301" s="10" t="str">
        <f>IFERROR(__xludf.DUMMYFUNCTION("""COMPUTED_VALUE"""),"2023")</f>
        <v>2023</v>
      </c>
      <c r="G301" s="16" t="str">
        <f>IFERROR(__xludf.DUMMYFUNCTION("""COMPUTED_VALUE"""),"DHEA PUTRI KAMELIA")</f>
        <v>DHEA PUTRI KAMELIA</v>
      </c>
      <c r="H301" s="17" t="str">
        <f>IFERROR(__xludf.DUMMYFUNCTION("""COMPUTED_VALUE"""),"D9723041305")</f>
        <v>D9723041305</v>
      </c>
      <c r="I301" s="17">
        <f>IFERROR(__xludf.DUMMYFUNCTION("""COMPUTED_VALUE"""),29.0)</f>
        <v>29</v>
      </c>
      <c r="J301" s="17" t="str">
        <f>IFERROR(__xludf.DUMMYFUNCTION("""COMPUTED_VALUE"""),"25-34 tahun")</f>
        <v>25-34 tahun</v>
      </c>
      <c r="K301" s="19">
        <f>IFERROR(__xludf.DUMMYFUNCTION("""COMPUTED_VALUE"""),35457.0)</f>
        <v>35457</v>
      </c>
      <c r="L301" s="19" t="str">
        <f>IFERROR(__xludf.DUMMYFUNCTION("""COMPUTED_VALUE"""),"PEREMPUAN")</f>
        <v>PEREMPUAN</v>
      </c>
      <c r="M301" s="16" t="str">
        <f>IFERROR(__xludf.DUMMYFUNCTION("""COMPUTED_VALUE"""),"JALAN PANGERAN NATAKUSUMA GG.SAMARUKUN NOMOR 12A")</f>
        <v>JALAN PANGERAN NATAKUSUMA GG.SAMARUKUN NOMOR 12A</v>
      </c>
      <c r="N301" s="16"/>
      <c r="O301" s="16"/>
      <c r="P301" s="16"/>
      <c r="Q301" s="16"/>
      <c r="R301" s="19" t="str">
        <f>IFERROR(__xludf.DUMMYFUNCTION("""COMPUTED_VALUE"""),"ISLAM")</f>
        <v>ISLAM</v>
      </c>
      <c r="S301" s="16" t="str">
        <f>IFERROR(__xludf.DUMMYFUNCTION("""COMPUTED_VALUE"""),"WIRASWASTA")</f>
        <v>WIRASWASTA</v>
      </c>
      <c r="T301" s="16" t="str">
        <f>IFERROR(__xludf.DUMMYFUNCTION("""COMPUTED_VALUE"""),"PUNDAK BAHU KANAN SAKIT")</f>
        <v>PUNDAK BAHU KANAN SAKIT</v>
      </c>
      <c r="U301" s="16" t="str">
        <f>IFERROR(__xludf.DUMMYFUNCTION("""COMPUTED_VALUE"""),"MEMBUAT KUE")</f>
        <v>MEMBUAT KUE</v>
      </c>
      <c r="V301" s="21" t="str">
        <f>IFERROR(__xludf.DUMMYFUNCTION("""COMPUTED_VALUE"""),"089682381305")</f>
        <v>089682381305</v>
      </c>
      <c r="W301" s="22"/>
    </row>
    <row r="302" ht="22.5" customHeight="1">
      <c r="A302" s="8"/>
      <c r="B302" s="9">
        <f>IFERROR(__xludf.DUMMYFUNCTION("""COMPUTED_VALUE"""),45031.482838634256)</f>
        <v>45031.48284</v>
      </c>
      <c r="C302" s="9"/>
      <c r="D302" s="10">
        <f>IFERROR(__xludf.DUMMYFUNCTION("""COMPUTED_VALUE"""),45033.0)</f>
        <v>45033</v>
      </c>
      <c r="E302" s="10" t="str">
        <f>IFERROR(__xludf.DUMMYFUNCTION("""COMPUTED_VALUE"""),"04Apr")</f>
        <v>04Apr</v>
      </c>
      <c r="F302" s="10" t="str">
        <f>IFERROR(__xludf.DUMMYFUNCTION("""COMPUTED_VALUE"""),"2023")</f>
        <v>2023</v>
      </c>
      <c r="G302" s="16" t="str">
        <f>IFERROR(__xludf.DUMMYFUNCTION("""COMPUTED_VALUE"""),"TRISYAH NINGSIH")</f>
        <v>TRISYAH NINGSIH</v>
      </c>
      <c r="H302" s="17" t="str">
        <f>IFERROR(__xludf.DUMMYFUNCTION("""COMPUTED_VALUE"""),"T8023042027")</f>
        <v>T8023042027</v>
      </c>
      <c r="I302" s="17">
        <f>IFERROR(__xludf.DUMMYFUNCTION("""COMPUTED_VALUE"""),45.0)</f>
        <v>45</v>
      </c>
      <c r="J302" s="17" t="str">
        <f>IFERROR(__xludf.DUMMYFUNCTION("""COMPUTED_VALUE"""),"&gt; 44 tahun")</f>
        <v>&gt; 44 tahun</v>
      </c>
      <c r="K302" s="19">
        <f>IFERROR(__xludf.DUMMYFUNCTION("""COMPUTED_VALUE"""),29454.0)</f>
        <v>29454</v>
      </c>
      <c r="L302" s="19" t="str">
        <f>IFERROR(__xludf.DUMMYFUNCTION("""COMPUTED_VALUE"""),"PEREMPUAN")</f>
        <v>PEREMPUAN</v>
      </c>
      <c r="M302" s="16" t="str">
        <f>IFERROR(__xludf.DUMMYFUNCTION("""COMPUTED_VALUE"""),"PURNAMA ANGGREK 2 BLOK E9")</f>
        <v>PURNAMA ANGGREK 2 BLOK E9</v>
      </c>
      <c r="N302" s="16"/>
      <c r="O302" s="16"/>
      <c r="P302" s="16"/>
      <c r="Q302" s="16"/>
      <c r="R302" s="19" t="str">
        <f>IFERROR(__xludf.DUMMYFUNCTION("""COMPUTED_VALUE"""),"PROTESTAN")</f>
        <v>PROTESTAN</v>
      </c>
      <c r="S302" s="16" t="str">
        <f>IFERROR(__xludf.DUMMYFUNCTION("""COMPUTED_VALUE"""),"RUMAH TANGGA")</f>
        <v>RUMAH TANGGA</v>
      </c>
      <c r="T302" s="16" t="str">
        <f>IFERROR(__xludf.DUMMYFUNCTION("""COMPUTED_VALUE"""),"NGILU DI SATU TITIK BELAKANG")</f>
        <v>NGILU DI SATU TITIK BELAKANG</v>
      </c>
      <c r="U302" s="16" t="str">
        <f>IFERROR(__xludf.DUMMYFUNCTION("""COMPUTED_VALUE"""),"ANTAR JEMPUT ANAK SEKOLAH")</f>
        <v>ANTAR JEMPUT ANAK SEKOLAH</v>
      </c>
      <c r="V302" s="21" t="str">
        <f>IFERROR(__xludf.DUMMYFUNCTION("""COMPUTED_VALUE"""),"08115752027")</f>
        <v>08115752027</v>
      </c>
      <c r="W302" s="22"/>
    </row>
    <row r="303" ht="22.5" customHeight="1">
      <c r="A303" s="8"/>
      <c r="B303" s="9">
        <f>IFERROR(__xludf.DUMMYFUNCTION("""COMPUTED_VALUE"""),45031.69790076389)</f>
        <v>45031.6979</v>
      </c>
      <c r="C303" s="9"/>
      <c r="D303" s="10">
        <f>IFERROR(__xludf.DUMMYFUNCTION("""COMPUTED_VALUE"""),45033.0)</f>
        <v>45033</v>
      </c>
      <c r="E303" s="10" t="str">
        <f>IFERROR(__xludf.DUMMYFUNCTION("""COMPUTED_VALUE"""),"04Apr")</f>
        <v>04Apr</v>
      </c>
      <c r="F303" s="10" t="str">
        <f>IFERROR(__xludf.DUMMYFUNCTION("""COMPUTED_VALUE"""),"2023")</f>
        <v>2023</v>
      </c>
      <c r="G303" s="16" t="str">
        <f>IFERROR(__xludf.DUMMYFUNCTION("""COMPUTED_VALUE"""),"RAMA SYAHRUL F")</f>
        <v>RAMA SYAHRUL F</v>
      </c>
      <c r="H303" s="17" t="str">
        <f>IFERROR(__xludf.DUMMYFUNCTION("""COMPUTED_VALUE"""),"R0623044870")</f>
        <v>R0623044870</v>
      </c>
      <c r="I303" s="17">
        <f>IFERROR(__xludf.DUMMYFUNCTION("""COMPUTED_VALUE"""),19.0)</f>
        <v>19</v>
      </c>
      <c r="J303" s="17" t="str">
        <f>IFERROR(__xludf.DUMMYFUNCTION("""COMPUTED_VALUE"""),"18-24 tahun")</f>
        <v>18-24 tahun</v>
      </c>
      <c r="K303" s="19">
        <f>IFERROR(__xludf.DUMMYFUNCTION("""COMPUTED_VALUE"""),39006.0)</f>
        <v>39006</v>
      </c>
      <c r="L303" s="19" t="str">
        <f>IFERROR(__xludf.DUMMYFUNCTION("""COMPUTED_VALUE"""),"LAKI-LAKI")</f>
        <v>LAKI-LAKI</v>
      </c>
      <c r="M303" s="16" t="str">
        <f>IFERROR(__xludf.DUMMYFUNCTION("""COMPUTED_VALUE"""),"SERDAM KOMPLEK MITRA INDAH UTAMA 5 NO A12")</f>
        <v>SERDAM KOMPLEK MITRA INDAH UTAMA 5 NO A12</v>
      </c>
      <c r="N303" s="16"/>
      <c r="O303" s="16"/>
      <c r="P303" s="16"/>
      <c r="Q303" s="16"/>
      <c r="R303" s="19" t="str">
        <f>IFERROR(__xludf.DUMMYFUNCTION("""COMPUTED_VALUE"""),"ISLAM")</f>
        <v>ISLAM</v>
      </c>
      <c r="S303" s="16" t="str">
        <f>IFERROR(__xludf.DUMMYFUNCTION("""COMPUTED_VALUE"""),"PELAJAR/MAHASISWA")</f>
        <v>PELAJAR/MAHASISWA</v>
      </c>
      <c r="T303" s="16" t="str">
        <f>IFERROR(__xludf.DUMMYFUNCTION("""COMPUTED_VALUE"""),"ENGKEL PERNAH SAKIT KARENA JATUH")</f>
        <v>ENGKEL PERNAH SAKIT KARENA JATUH</v>
      </c>
      <c r="U303" s="16" t="str">
        <f>IFERROR(__xludf.DUMMYFUNCTION("""COMPUTED_VALUE"""),"OLAHRAGA")</f>
        <v>OLAHRAGA</v>
      </c>
      <c r="V303" s="21" t="str">
        <f>IFERROR(__xludf.DUMMYFUNCTION("""COMPUTED_VALUE"""),"08115424870")</f>
        <v>08115424870</v>
      </c>
      <c r="W303" s="22"/>
    </row>
    <row r="304" ht="22.5" customHeight="1">
      <c r="A304" s="8"/>
      <c r="B304" s="9">
        <f>IFERROR(__xludf.DUMMYFUNCTION("""COMPUTED_VALUE"""),45032.41129363426)</f>
        <v>45032.41129</v>
      </c>
      <c r="C304" s="9"/>
      <c r="D304" s="10">
        <f>IFERROR(__xludf.DUMMYFUNCTION("""COMPUTED_VALUE"""),45033.0)</f>
        <v>45033</v>
      </c>
      <c r="E304" s="10" t="str">
        <f>IFERROR(__xludf.DUMMYFUNCTION("""COMPUTED_VALUE"""),"04Apr")</f>
        <v>04Apr</v>
      </c>
      <c r="F304" s="10" t="str">
        <f>IFERROR(__xludf.DUMMYFUNCTION("""COMPUTED_VALUE"""),"2023")</f>
        <v>2023</v>
      </c>
      <c r="G304" s="16" t="str">
        <f>IFERROR(__xludf.DUMMYFUNCTION("""COMPUTED_VALUE"""),"MARGARETHA YENNY YAP")</f>
        <v>MARGARETHA YENNY YAP</v>
      </c>
      <c r="H304" s="17" t="str">
        <f>IFERROR(__xludf.DUMMYFUNCTION("""COMPUTED_VALUE"""),"M6223043928")</f>
        <v>M6223043928</v>
      </c>
      <c r="I304" s="17">
        <f>IFERROR(__xludf.DUMMYFUNCTION("""COMPUTED_VALUE"""),64.0)</f>
        <v>64</v>
      </c>
      <c r="J304" s="17" t="str">
        <f>IFERROR(__xludf.DUMMYFUNCTION("""COMPUTED_VALUE"""),"&gt; 44 tahun")</f>
        <v>&gt; 44 tahun</v>
      </c>
      <c r="K304" s="19">
        <f>IFERROR(__xludf.DUMMYFUNCTION("""COMPUTED_VALUE"""),22705.0)</f>
        <v>22705</v>
      </c>
      <c r="L304" s="19" t="str">
        <f>IFERROR(__xludf.DUMMYFUNCTION("""COMPUTED_VALUE"""),"PEREMPUAN")</f>
        <v>PEREMPUAN</v>
      </c>
      <c r="M304" s="16" t="str">
        <f>IFERROR(__xludf.DUMMYFUNCTION("""COMPUTED_VALUE"""),"JL. TAMIM 48 BDG")</f>
        <v>JL. TAMIM 48 BDG</v>
      </c>
      <c r="N304" s="16"/>
      <c r="O304" s="16"/>
      <c r="P304" s="16"/>
      <c r="Q304" s="16"/>
      <c r="R304" s="19" t="str">
        <f>IFERROR(__xludf.DUMMYFUNCTION("""COMPUTED_VALUE"""),"KATOLIK")</f>
        <v>KATOLIK</v>
      </c>
      <c r="S304" s="16" t="str">
        <f>IFERROR(__xludf.DUMMYFUNCTION("""COMPUTED_VALUE"""),"RUMAH TANGGA")</f>
        <v>RUMAH TANGGA</v>
      </c>
      <c r="T304" s="16" t="str">
        <f>IFERROR(__xludf.DUMMYFUNCTION("""COMPUTED_VALUE"""),"SAKIT OTOT BLIKAT")</f>
        <v>SAKIT OTOT BLIKAT</v>
      </c>
      <c r="U304" s="16" t="str">
        <f>IFERROR(__xludf.DUMMYFUNCTION("""COMPUTED_VALUE"""),"RT")</f>
        <v>RT</v>
      </c>
      <c r="V304" s="21" t="str">
        <f>IFERROR(__xludf.DUMMYFUNCTION("""COMPUTED_VALUE"""),"0895383233928")</f>
        <v>0895383233928</v>
      </c>
      <c r="W304" s="22"/>
    </row>
    <row r="305" ht="22.5" customHeight="1">
      <c r="A305" s="8"/>
      <c r="B305" s="9">
        <f>IFERROR(__xludf.DUMMYFUNCTION("""COMPUTED_VALUE"""),45032.45232481482)</f>
        <v>45032.45232</v>
      </c>
      <c r="C305" s="9"/>
      <c r="D305" s="10">
        <f>IFERROR(__xludf.DUMMYFUNCTION("""COMPUTED_VALUE"""),45035.0)</f>
        <v>45035</v>
      </c>
      <c r="E305" s="10" t="str">
        <f>IFERROR(__xludf.DUMMYFUNCTION("""COMPUTED_VALUE"""),"04Apr")</f>
        <v>04Apr</v>
      </c>
      <c r="F305" s="10" t="str">
        <f>IFERROR(__xludf.DUMMYFUNCTION("""COMPUTED_VALUE"""),"2023")</f>
        <v>2023</v>
      </c>
      <c r="G305" s="16" t="str">
        <f>IFERROR(__xludf.DUMMYFUNCTION("""COMPUTED_VALUE"""),"MUHAMMAD AULIA HARDADI")</f>
        <v>MUHAMMAD AULIA HARDADI</v>
      </c>
      <c r="H305" s="17" t="str">
        <f>IFERROR(__xludf.DUMMYFUNCTION("""COMPUTED_VALUE"""),"M8923045811")</f>
        <v>M8923045811</v>
      </c>
      <c r="I305" s="17">
        <f>IFERROR(__xludf.DUMMYFUNCTION("""COMPUTED_VALUE"""),36.0)</f>
        <v>36</v>
      </c>
      <c r="J305" s="17" t="str">
        <f>IFERROR(__xludf.DUMMYFUNCTION("""COMPUTED_VALUE"""),"35-44 tahun")</f>
        <v>35-44 tahun</v>
      </c>
      <c r="K305" s="19">
        <f>IFERROR(__xludf.DUMMYFUNCTION("""COMPUTED_VALUE"""),32846.0)</f>
        <v>32846</v>
      </c>
      <c r="L305" s="19" t="str">
        <f>IFERROR(__xludf.DUMMYFUNCTION("""COMPUTED_VALUE"""),"LAKI-LAKI")</f>
        <v>LAKI-LAKI</v>
      </c>
      <c r="M305" s="16" t="str">
        <f>IFERROR(__xludf.DUMMYFUNCTION("""COMPUTED_VALUE"""),"JL. PANGLIMA AIM. NO. 51 C")</f>
        <v>JL. PANGLIMA AIM. NO. 51 C</v>
      </c>
      <c r="N305" s="16"/>
      <c r="O305" s="16"/>
      <c r="P305" s="16"/>
      <c r="Q305" s="16"/>
      <c r="R305" s="19" t="str">
        <f>IFERROR(__xludf.DUMMYFUNCTION("""COMPUTED_VALUE"""),"ISLAM")</f>
        <v>ISLAM</v>
      </c>
      <c r="S305" s="16" t="str">
        <f>IFERROR(__xludf.DUMMYFUNCTION("""COMPUTED_VALUE"""),"ASN")</f>
        <v>ASN</v>
      </c>
      <c r="T305" s="16" t="str">
        <f>IFERROR(__xludf.DUMMYFUNCTION("""COMPUTED_VALUE"""),"NYERI PASCA OPERASI")</f>
        <v>NYERI PASCA OPERASI</v>
      </c>
      <c r="U305" s="16" t="str">
        <f>IFERROR(__xludf.DUMMYFUNCTION("""COMPUTED_VALUE"""),"BEKERJA")</f>
        <v>BEKERJA</v>
      </c>
      <c r="V305" s="21" t="str">
        <f>IFERROR(__xludf.DUMMYFUNCTION("""COMPUTED_VALUE"""),"085652225811")</f>
        <v>085652225811</v>
      </c>
      <c r="W305" s="22"/>
    </row>
    <row r="306" ht="22.5" customHeight="1">
      <c r="A306" s="8"/>
      <c r="B306" s="9">
        <f>IFERROR(__xludf.DUMMYFUNCTION("""COMPUTED_VALUE"""),45032.521533217594)</f>
        <v>45032.52153</v>
      </c>
      <c r="C306" s="9"/>
      <c r="D306" s="10">
        <f>IFERROR(__xludf.DUMMYFUNCTION("""COMPUTED_VALUE"""),45035.0)</f>
        <v>45035</v>
      </c>
      <c r="E306" s="10" t="str">
        <f>IFERROR(__xludf.DUMMYFUNCTION("""COMPUTED_VALUE"""),"04Apr")</f>
        <v>04Apr</v>
      </c>
      <c r="F306" s="10" t="str">
        <f>IFERROR(__xludf.DUMMYFUNCTION("""COMPUTED_VALUE"""),"2023")</f>
        <v>2023</v>
      </c>
      <c r="G306" s="16" t="str">
        <f>IFERROR(__xludf.DUMMYFUNCTION("""COMPUTED_VALUE"""),"TIYA NURFAUZIAH")</f>
        <v>TIYA NURFAUZIAH</v>
      </c>
      <c r="H306" s="17" t="str">
        <f>IFERROR(__xludf.DUMMYFUNCTION("""COMPUTED_VALUE"""),"T9723046250")</f>
        <v>T9723046250</v>
      </c>
      <c r="I306" s="17">
        <f>IFERROR(__xludf.DUMMYFUNCTION("""COMPUTED_VALUE"""),28.0)</f>
        <v>28</v>
      </c>
      <c r="J306" s="17" t="str">
        <f>IFERROR(__xludf.DUMMYFUNCTION("""COMPUTED_VALUE"""),"25-34 tahun")</f>
        <v>25-34 tahun</v>
      </c>
      <c r="K306" s="19">
        <f>IFERROR(__xludf.DUMMYFUNCTION("""COMPUTED_VALUE"""),35703.0)</f>
        <v>35703</v>
      </c>
      <c r="L306" s="19" t="str">
        <f>IFERROR(__xludf.DUMMYFUNCTION("""COMPUTED_VALUE"""),"PEREMPUAN")</f>
        <v>PEREMPUAN</v>
      </c>
      <c r="M306" s="16" t="str">
        <f>IFERROR(__xludf.DUMMYFUNCTION("""COMPUTED_VALUE"""),"JL DR WAHIDIN")</f>
        <v>JL DR WAHIDIN</v>
      </c>
      <c r="N306" s="16"/>
      <c r="O306" s="16"/>
      <c r="P306" s="16"/>
      <c r="Q306" s="16"/>
      <c r="R306" s="19" t="str">
        <f>IFERROR(__xludf.DUMMYFUNCTION("""COMPUTED_VALUE"""),"ISLAM")</f>
        <v>ISLAM</v>
      </c>
      <c r="S306" s="16" t="str">
        <f>IFERROR(__xludf.DUMMYFUNCTION("""COMPUTED_VALUE"""),"DOSEN/GURU")</f>
        <v>DOSEN/GURU</v>
      </c>
      <c r="T306" s="16" t="str">
        <f>IFERROR(__xludf.DUMMYFUNCTION("""COMPUTED_VALUE"""),"KESELEO")</f>
        <v>KESELEO</v>
      </c>
      <c r="U306" s="16" t="str">
        <f>IFERROR(__xludf.DUMMYFUNCTION("""COMPUTED_VALUE"""),"NGAJAR, NULIS, NGETIK")</f>
        <v>NGAJAR, NULIS, NGETIK</v>
      </c>
      <c r="V306" s="21" t="str">
        <f>IFERROR(__xludf.DUMMYFUNCTION("""COMPUTED_VALUE"""),"085386206250")</f>
        <v>085386206250</v>
      </c>
      <c r="W306" s="22"/>
    </row>
    <row r="307" ht="22.5" customHeight="1">
      <c r="A307" s="8"/>
      <c r="B307" s="9">
        <f>IFERROR(__xludf.DUMMYFUNCTION("""COMPUTED_VALUE"""),45032.61847652778)</f>
        <v>45032.61848</v>
      </c>
      <c r="C307" s="9"/>
      <c r="D307" s="10">
        <f>IFERROR(__xludf.DUMMYFUNCTION("""COMPUTED_VALUE"""),45035.0)</f>
        <v>45035</v>
      </c>
      <c r="E307" s="10" t="str">
        <f>IFERROR(__xludf.DUMMYFUNCTION("""COMPUTED_VALUE"""),"04Apr")</f>
        <v>04Apr</v>
      </c>
      <c r="F307" s="10" t="str">
        <f>IFERROR(__xludf.DUMMYFUNCTION("""COMPUTED_VALUE"""),"2023")</f>
        <v>2023</v>
      </c>
      <c r="G307" s="16" t="str">
        <f>IFERROR(__xludf.DUMMYFUNCTION("""COMPUTED_VALUE"""),"DEVIE GUSTANIA")</f>
        <v>DEVIE GUSTANIA</v>
      </c>
      <c r="H307" s="17" t="str">
        <f>IFERROR(__xludf.DUMMYFUNCTION("""COMPUTED_VALUE"""),"D2323047600")</f>
        <v>D2323047600</v>
      </c>
      <c r="I307" s="17">
        <f>IFERROR(__xludf.DUMMYFUNCTION("""COMPUTED_VALUE"""),2.0)</f>
        <v>2</v>
      </c>
      <c r="J307" s="17" t="str">
        <f>IFERROR(__xludf.DUMMYFUNCTION("""COMPUTED_VALUE"""),"&lt; 18 tahun")</f>
        <v>&lt; 18 tahun</v>
      </c>
      <c r="K307" s="19">
        <f>IFERROR(__xludf.DUMMYFUNCTION("""COMPUTED_VALUE"""),45146.0)</f>
        <v>45146</v>
      </c>
      <c r="L307" s="19" t="str">
        <f>IFERROR(__xludf.DUMMYFUNCTION("""COMPUTED_VALUE"""),"PEREMPUAN")</f>
        <v>PEREMPUAN</v>
      </c>
      <c r="M307" s="16" t="str">
        <f>IFERROR(__xludf.DUMMYFUNCTION("""COMPUTED_VALUE"""),"SKW")</f>
        <v>SKW</v>
      </c>
      <c r="N307" s="16"/>
      <c r="O307" s="16"/>
      <c r="P307" s="16"/>
      <c r="Q307" s="16"/>
      <c r="R307" s="19" t="str">
        <f>IFERROR(__xludf.DUMMYFUNCTION("""COMPUTED_VALUE"""),"ISLAM")</f>
        <v>ISLAM</v>
      </c>
      <c r="S307" s="16" t="str">
        <f>IFERROR(__xludf.DUMMYFUNCTION("""COMPUTED_VALUE"""),"WIRASWASTA")</f>
        <v>WIRASWASTA</v>
      </c>
      <c r="T307" s="16" t="str">
        <f>IFERROR(__xludf.DUMMYFUNCTION("""COMPUTED_VALUE"""),"SAKIT DR PUNDAK..LEHER SAMPAI KE KEPALA NGILUNYA")</f>
        <v>SAKIT DR PUNDAK..LEHER SAMPAI KE KEPALA NGILUNYA</v>
      </c>
      <c r="U307" s="16" t="str">
        <f>IFERROR(__xludf.DUMMYFUNCTION("""COMPUTED_VALUE"""),"IBU RUMAH TANGGA")</f>
        <v>IBU RUMAH TANGGA</v>
      </c>
      <c r="V307" s="21" t="str">
        <f>IFERROR(__xludf.DUMMYFUNCTION("""COMPUTED_VALUE"""),"085754267600")</f>
        <v>085754267600</v>
      </c>
      <c r="W307" s="22"/>
    </row>
    <row r="308" ht="22.5" customHeight="1">
      <c r="A308" s="8"/>
      <c r="B308" s="9">
        <f>IFERROR(__xludf.DUMMYFUNCTION("""COMPUTED_VALUE"""),45032.705714490745)</f>
        <v>45032.70571</v>
      </c>
      <c r="C308" s="9"/>
      <c r="D308" s="10">
        <f>IFERROR(__xludf.DUMMYFUNCTION("""COMPUTED_VALUE"""),45042.0)</f>
        <v>45042</v>
      </c>
      <c r="E308" s="10" t="str">
        <f>IFERROR(__xludf.DUMMYFUNCTION("""COMPUTED_VALUE"""),"04Apr")</f>
        <v>04Apr</v>
      </c>
      <c r="F308" s="10" t="str">
        <f>IFERROR(__xludf.DUMMYFUNCTION("""COMPUTED_VALUE"""),"2023")</f>
        <v>2023</v>
      </c>
      <c r="G308" s="16" t="str">
        <f>IFERROR(__xludf.DUMMYFUNCTION("""COMPUTED_VALUE"""),"ANDETMAN")</f>
        <v>ANDETMAN</v>
      </c>
      <c r="H308" s="17" t="str">
        <f>IFERROR(__xludf.DUMMYFUNCTION("""COMPUTED_VALUE"""),"A5523045549")</f>
        <v>A5523045549</v>
      </c>
      <c r="I308" s="17">
        <f>IFERROR(__xludf.DUMMYFUNCTION("""COMPUTED_VALUE"""),71.0)</f>
        <v>71</v>
      </c>
      <c r="J308" s="17" t="str">
        <f>IFERROR(__xludf.DUMMYFUNCTION("""COMPUTED_VALUE"""),"&gt; 44 tahun")</f>
        <v>&gt; 44 tahun</v>
      </c>
      <c r="K308" s="19">
        <f>IFERROR(__xludf.DUMMYFUNCTION("""COMPUTED_VALUE"""),20182.0)</f>
        <v>20182</v>
      </c>
      <c r="L308" s="19" t="str">
        <f>IFERROR(__xludf.DUMMYFUNCTION("""COMPUTED_VALUE"""),"LAKI-LAKI")</f>
        <v>LAKI-LAKI</v>
      </c>
      <c r="M308" s="16" t="str">
        <f>IFERROR(__xludf.DUMMYFUNCTION("""COMPUTED_VALUE"""),"JALAN AHMAD YANI 2 GG. RINGIN SARI 2")</f>
        <v>JALAN AHMAD YANI 2 GG. RINGIN SARI 2</v>
      </c>
      <c r="N308" s="16"/>
      <c r="O308" s="16"/>
      <c r="P308" s="16"/>
      <c r="Q308" s="16"/>
      <c r="R308" s="19" t="str">
        <f>IFERROR(__xludf.DUMMYFUNCTION("""COMPUTED_VALUE"""),"ISLAM")</f>
        <v>ISLAM</v>
      </c>
      <c r="S308" s="16" t="str">
        <f>IFERROR(__xludf.DUMMYFUNCTION("""COMPUTED_VALUE"""),"PENSIUN")</f>
        <v>PENSIUN</v>
      </c>
      <c r="T308" s="16" t="str">
        <f>IFERROR(__xludf.DUMMYFUNCTION("""COMPUTED_VALUE"""),"SARAF KEJEPIT DAN DIABETES")</f>
        <v>SARAF KEJEPIT DAN DIABETES</v>
      </c>
      <c r="U308" s="16" t="str">
        <f>IFERROR(__xludf.DUMMYFUNCTION("""COMPUTED_VALUE"""),"BERKEBUN")</f>
        <v>BERKEBUN</v>
      </c>
      <c r="V308" s="21" t="str">
        <f>IFERROR(__xludf.DUMMYFUNCTION("""COMPUTED_VALUE"""),"085346695549")</f>
        <v>085346695549</v>
      </c>
      <c r="W308" s="22"/>
    </row>
    <row r="309" ht="22.5" customHeight="1">
      <c r="A309" s="8"/>
      <c r="B309" s="9">
        <f>IFERROR(__xludf.DUMMYFUNCTION("""COMPUTED_VALUE"""),45034.776711122686)</f>
        <v>45034.77671</v>
      </c>
      <c r="C309" s="9"/>
      <c r="D309" s="10">
        <f>IFERROR(__xludf.DUMMYFUNCTION("""COMPUTED_VALUE"""),45042.0)</f>
        <v>45042</v>
      </c>
      <c r="E309" s="10" t="str">
        <f>IFERROR(__xludf.DUMMYFUNCTION("""COMPUTED_VALUE"""),"04Apr")</f>
        <v>04Apr</v>
      </c>
      <c r="F309" s="10" t="str">
        <f>IFERROR(__xludf.DUMMYFUNCTION("""COMPUTED_VALUE"""),"2023")</f>
        <v>2023</v>
      </c>
      <c r="G309" s="16" t="str">
        <f>IFERROR(__xludf.DUMMYFUNCTION("""COMPUTED_VALUE"""),"RESKY BINU")</f>
        <v>RESKY BINU</v>
      </c>
      <c r="H309" s="17" t="str">
        <f>IFERROR(__xludf.DUMMYFUNCTION("""COMPUTED_VALUE"""),"R2023046798")</f>
        <v>R2023046798</v>
      </c>
      <c r="I309" s="17">
        <f>IFERROR(__xludf.DUMMYFUNCTION("""COMPUTED_VALUE"""),6.0)</f>
        <v>6</v>
      </c>
      <c r="J309" s="17" t="str">
        <f>IFERROR(__xludf.DUMMYFUNCTION("""COMPUTED_VALUE"""),"&lt; 18 tahun")</f>
        <v>&lt; 18 tahun</v>
      </c>
      <c r="K309" s="19">
        <f>IFERROR(__xludf.DUMMYFUNCTION("""COMPUTED_VALUE"""),43853.0)</f>
        <v>43853</v>
      </c>
      <c r="L309" s="19" t="str">
        <f>IFERROR(__xludf.DUMMYFUNCTION("""COMPUTED_VALUE"""),"LAKI-LAKI")</f>
        <v>LAKI-LAKI</v>
      </c>
      <c r="M309" s="16" t="str">
        <f>IFERROR(__xludf.DUMMYFUNCTION("""COMPUTED_VALUE"""),"JLN HALMAHERA 2 NO 101")</f>
        <v>JLN HALMAHERA 2 NO 101</v>
      </c>
      <c r="N309" s="16"/>
      <c r="O309" s="16"/>
      <c r="P309" s="16"/>
      <c r="Q309" s="16"/>
      <c r="R309" s="19" t="str">
        <f>IFERROR(__xludf.DUMMYFUNCTION("""COMPUTED_VALUE"""),"ISLAM")</f>
        <v>ISLAM</v>
      </c>
      <c r="S309" s="16" t="str">
        <f>IFERROR(__xludf.DUMMYFUNCTION("""COMPUTED_VALUE"""),"WIRASWASTA")</f>
        <v>WIRASWASTA</v>
      </c>
      <c r="T309" s="16"/>
      <c r="U309" s="16" t="str">
        <f>IFERROR(__xludf.DUMMYFUNCTION("""COMPUTED_VALUE"""),"TENIS")</f>
        <v>TENIS</v>
      </c>
      <c r="V309" s="21" t="str">
        <f>IFERROR(__xludf.DUMMYFUNCTION("""COMPUTED_VALUE"""),"082250776798")</f>
        <v>082250776798</v>
      </c>
      <c r="W309" s="22"/>
    </row>
    <row r="310" ht="22.5" customHeight="1">
      <c r="A310" s="8"/>
      <c r="B310" s="9">
        <f>IFERROR(__xludf.DUMMYFUNCTION("""COMPUTED_VALUE"""),45035.424374016206)</f>
        <v>45035.42437</v>
      </c>
      <c r="C310" s="9"/>
      <c r="D310" s="10">
        <f>IFERROR(__xludf.DUMMYFUNCTION("""COMPUTED_VALUE"""),45042.0)</f>
        <v>45042</v>
      </c>
      <c r="E310" s="10" t="str">
        <f>IFERROR(__xludf.DUMMYFUNCTION("""COMPUTED_VALUE"""),"04Apr")</f>
        <v>04Apr</v>
      </c>
      <c r="F310" s="10" t="str">
        <f>IFERROR(__xludf.DUMMYFUNCTION("""COMPUTED_VALUE"""),"2023")</f>
        <v>2023</v>
      </c>
      <c r="G310" s="16" t="str">
        <f>IFERROR(__xludf.DUMMYFUNCTION("""COMPUTED_VALUE"""),"HENDRA PERDANA")</f>
        <v>HENDRA PERDANA</v>
      </c>
      <c r="H310" s="17" t="str">
        <f>IFERROR(__xludf.DUMMYFUNCTION("""COMPUTED_VALUE"""),"H8823042424")</f>
        <v>H8823042424</v>
      </c>
      <c r="I310" s="17">
        <f>IFERROR(__xludf.DUMMYFUNCTION("""COMPUTED_VALUE"""),37.0)</f>
        <v>37</v>
      </c>
      <c r="J310" s="17" t="str">
        <f>IFERROR(__xludf.DUMMYFUNCTION("""COMPUTED_VALUE"""),"35-44 tahun")</f>
        <v>35-44 tahun</v>
      </c>
      <c r="K310" s="19">
        <f>IFERROR(__xludf.DUMMYFUNCTION("""COMPUTED_VALUE"""),32426.0)</f>
        <v>32426</v>
      </c>
      <c r="L310" s="19" t="str">
        <f>IFERROR(__xludf.DUMMYFUNCTION("""COMPUTED_VALUE"""),"LAKI-LAKI")</f>
        <v>LAKI-LAKI</v>
      </c>
      <c r="M310" s="16" t="str">
        <f>IFERROR(__xludf.DUMMYFUNCTION("""COMPUTED_VALUE"""),"JALAN PURNAMA PINANGSIA")</f>
        <v>JALAN PURNAMA PINANGSIA</v>
      </c>
      <c r="N310" s="16"/>
      <c r="O310" s="16"/>
      <c r="P310" s="16"/>
      <c r="Q310" s="16"/>
      <c r="R310" s="19" t="str">
        <f>IFERROR(__xludf.DUMMYFUNCTION("""COMPUTED_VALUE"""),"ISLAM")</f>
        <v>ISLAM</v>
      </c>
      <c r="S310" s="16" t="str">
        <f>IFERROR(__xludf.DUMMYFUNCTION("""COMPUTED_VALUE"""),"ASN")</f>
        <v>ASN</v>
      </c>
      <c r="T310" s="16" t="str">
        <f>IFERROR(__xludf.DUMMYFUNCTION("""COMPUTED_VALUE"""),"CARPAL TUNNEL")</f>
        <v>CARPAL TUNNEL</v>
      </c>
      <c r="U310" s="16" t="str">
        <f>IFERROR(__xludf.DUMMYFUNCTION("""COMPUTED_VALUE"""),"-")</f>
        <v>-</v>
      </c>
      <c r="V310" s="21" t="str">
        <f>IFERROR(__xludf.DUMMYFUNCTION("""COMPUTED_VALUE"""),"085269842424")</f>
        <v>085269842424</v>
      </c>
      <c r="W310" s="22"/>
    </row>
    <row r="311" ht="22.5" customHeight="1">
      <c r="A311" s="8"/>
      <c r="B311" s="9">
        <f>IFERROR(__xludf.DUMMYFUNCTION("""COMPUTED_VALUE"""),45035.46242127314)</f>
        <v>45035.46242</v>
      </c>
      <c r="C311" s="9"/>
      <c r="D311" s="10">
        <f>IFERROR(__xludf.DUMMYFUNCTION("""COMPUTED_VALUE"""),45043.0)</f>
        <v>45043</v>
      </c>
      <c r="E311" s="10" t="str">
        <f>IFERROR(__xludf.DUMMYFUNCTION("""COMPUTED_VALUE"""),"04Apr")</f>
        <v>04Apr</v>
      </c>
      <c r="F311" s="10" t="str">
        <f>IFERROR(__xludf.DUMMYFUNCTION("""COMPUTED_VALUE"""),"2023")</f>
        <v>2023</v>
      </c>
      <c r="G311" s="16" t="str">
        <f>IFERROR(__xludf.DUMMYFUNCTION("""COMPUTED_VALUE"""),"RENDY DARMAWAN")</f>
        <v>RENDY DARMAWAN</v>
      </c>
      <c r="H311" s="17" t="str">
        <f>IFERROR(__xludf.DUMMYFUNCTION("""COMPUTED_VALUE"""),"R0223041733")</f>
        <v>R0223041733</v>
      </c>
      <c r="I311" s="17">
        <f>IFERROR(__xludf.DUMMYFUNCTION("""COMPUTED_VALUE"""),23.0)</f>
        <v>23</v>
      </c>
      <c r="J311" s="17" t="str">
        <f>IFERROR(__xludf.DUMMYFUNCTION("""COMPUTED_VALUE"""),"18-24 tahun")</f>
        <v>18-24 tahun</v>
      </c>
      <c r="K311" s="19">
        <f>IFERROR(__xludf.DUMMYFUNCTION("""COMPUTED_VALUE"""),37518.0)</f>
        <v>37518</v>
      </c>
      <c r="L311" s="19" t="str">
        <f>IFERROR(__xludf.DUMMYFUNCTION("""COMPUTED_VALUE"""),"LAKI-LAKI")</f>
        <v>LAKI-LAKI</v>
      </c>
      <c r="M311" s="16" t="str">
        <f>IFERROR(__xludf.DUMMYFUNCTION("""COMPUTED_VALUE"""),"JL. KARYA KITA GG. KARYA MEGATAMA NO.1")</f>
        <v>JL. KARYA KITA GG. KARYA MEGATAMA NO.1</v>
      </c>
      <c r="N311" s="16"/>
      <c r="O311" s="16"/>
      <c r="P311" s="16"/>
      <c r="Q311" s="16"/>
      <c r="R311" s="19" t="str">
        <f>IFERROR(__xludf.DUMMYFUNCTION("""COMPUTED_VALUE"""),"ISLAM")</f>
        <v>ISLAM</v>
      </c>
      <c r="S311" s="16" t="str">
        <f>IFERROR(__xludf.DUMMYFUNCTION("""COMPUTED_VALUE"""),"PELAJAR/MAHASISWA")</f>
        <v>PELAJAR/MAHASISWA</v>
      </c>
      <c r="T311" s="16" t="str">
        <f>IFERROR(__xludf.DUMMYFUNCTION("""COMPUTED_VALUE"""),"RAHANG BUNYI SAAT MEMBUKA MULUT")</f>
        <v>RAHANG BUNYI SAAT MEMBUKA MULUT</v>
      </c>
      <c r="U311" s="16" t="str">
        <f>IFERROR(__xludf.DUMMYFUNCTION("""COMPUTED_VALUE"""),"OLAHRAGA")</f>
        <v>OLAHRAGA</v>
      </c>
      <c r="V311" s="21" t="str">
        <f>IFERROR(__xludf.DUMMYFUNCTION("""COMPUTED_VALUE"""),"089510061733")</f>
        <v>089510061733</v>
      </c>
      <c r="W311" s="22"/>
    </row>
    <row r="312" ht="22.5" customHeight="1">
      <c r="A312" s="8"/>
      <c r="B312" s="9">
        <f>IFERROR(__xludf.DUMMYFUNCTION("""COMPUTED_VALUE"""),45035.767395856485)</f>
        <v>45035.7674</v>
      </c>
      <c r="C312" s="9"/>
      <c r="D312" s="10">
        <f>IFERROR(__xludf.DUMMYFUNCTION("""COMPUTED_VALUE"""),45043.0)</f>
        <v>45043</v>
      </c>
      <c r="E312" s="10" t="str">
        <f>IFERROR(__xludf.DUMMYFUNCTION("""COMPUTED_VALUE"""),"04Apr")</f>
        <v>04Apr</v>
      </c>
      <c r="F312" s="10" t="str">
        <f>IFERROR(__xludf.DUMMYFUNCTION("""COMPUTED_VALUE"""),"2023")</f>
        <v>2023</v>
      </c>
      <c r="G312" s="16" t="str">
        <f>IFERROR(__xludf.DUMMYFUNCTION("""COMPUTED_VALUE"""),"HALIJAH 6506")</f>
        <v>HALIJAH 6506</v>
      </c>
      <c r="H312" s="17" t="str">
        <f>IFERROR(__xludf.DUMMYFUNCTION("""COMPUTED_VALUE"""),"H6523040407")</f>
        <v>H6523040407</v>
      </c>
      <c r="I312" s="17">
        <f>IFERROR(__xludf.DUMMYFUNCTION("""COMPUTED_VALUE"""),61.0)</f>
        <v>61</v>
      </c>
      <c r="J312" s="17" t="str">
        <f>IFERROR(__xludf.DUMMYFUNCTION("""COMPUTED_VALUE"""),"&gt; 44 tahun")</f>
        <v>&gt; 44 tahun</v>
      </c>
      <c r="K312" s="19">
        <f>IFERROR(__xludf.DUMMYFUNCTION("""COMPUTED_VALUE"""),23905.0)</f>
        <v>23905</v>
      </c>
      <c r="L312" s="19" t="str">
        <f>IFERROR(__xludf.DUMMYFUNCTION("""COMPUTED_VALUE"""),"PEREMPUAN")</f>
        <v>PEREMPUAN</v>
      </c>
      <c r="M312" s="16" t="str">
        <f>IFERROR(__xludf.DUMMYFUNCTION("""COMPUTED_VALUE"""),"KOMPLEK BTN TELUK MULUS BLOK E 48")</f>
        <v>KOMPLEK BTN TELUK MULUS BLOK E 48</v>
      </c>
      <c r="N312" s="16"/>
      <c r="O312" s="16"/>
      <c r="P312" s="16"/>
      <c r="Q312" s="16"/>
      <c r="R312" s="19" t="str">
        <f>IFERROR(__xludf.DUMMYFUNCTION("""COMPUTED_VALUE"""),"ISLAM")</f>
        <v>ISLAM</v>
      </c>
      <c r="S312" s="16" t="str">
        <f>IFERROR(__xludf.DUMMYFUNCTION("""COMPUTED_VALUE"""),"RUMAH TANGGA")</f>
        <v>RUMAH TANGGA</v>
      </c>
      <c r="T312" s="16" t="str">
        <f>IFERROR(__xludf.DUMMYFUNCTION("""COMPUTED_VALUE"""),"STROKE SEBELAH KIRI,, KIRI LEMAH TANGAN BENGKAK, SUSAH MAKAN AD PUSING DAN MUNTAH")</f>
        <v>STROKE SEBELAH KIRI,, KIRI LEMAH TANGAN BENGKAK, SUSAH MAKAN AD PUSING DAN MUNTAH</v>
      </c>
      <c r="U312" s="16" t="str">
        <f>IFERROR(__xludf.DUMMYFUNCTION("""COMPUTED_VALUE"""),"MENGURUS PEKERJAAN RUMAH DAN MASAK")</f>
        <v>MENGURUS PEKERJAAN RUMAH DAN MASAK</v>
      </c>
      <c r="V312" s="21" t="str">
        <f>IFERROR(__xludf.DUMMYFUNCTION("""COMPUTED_VALUE"""),"081253310407")</f>
        <v>081253310407</v>
      </c>
      <c r="W312" s="22"/>
    </row>
    <row r="313" ht="22.5" customHeight="1">
      <c r="A313" s="8"/>
      <c r="B313" s="9">
        <f>IFERROR(__xludf.DUMMYFUNCTION("""COMPUTED_VALUE"""),45042.43390251158)</f>
        <v>45042.4339</v>
      </c>
      <c r="C313" s="9"/>
      <c r="D313" s="10">
        <f>IFERROR(__xludf.DUMMYFUNCTION("""COMPUTED_VALUE"""),45043.0)</f>
        <v>45043</v>
      </c>
      <c r="E313" s="10" t="str">
        <f>IFERROR(__xludf.DUMMYFUNCTION("""COMPUTED_VALUE"""),"04Apr")</f>
        <v>04Apr</v>
      </c>
      <c r="F313" s="10" t="str">
        <f>IFERROR(__xludf.DUMMYFUNCTION("""COMPUTED_VALUE"""),"2023")</f>
        <v>2023</v>
      </c>
      <c r="G313" s="16" t="str">
        <f>IFERROR(__xludf.DUMMYFUNCTION("""COMPUTED_VALUE"""),"PUTERA ANGGARDA KIRANA")</f>
        <v>PUTERA ANGGARDA KIRANA</v>
      </c>
      <c r="H313" s="17" t="str">
        <f>IFERROR(__xludf.DUMMYFUNCTION("""COMPUTED_VALUE"""),"P9123046611")</f>
        <v>P9123046611</v>
      </c>
      <c r="I313" s="17">
        <f>IFERROR(__xludf.DUMMYFUNCTION("""COMPUTED_VALUE"""),34.0)</f>
        <v>34</v>
      </c>
      <c r="J313" s="17" t="str">
        <f>IFERROR(__xludf.DUMMYFUNCTION("""COMPUTED_VALUE"""),"25-34 tahun")</f>
        <v>25-34 tahun</v>
      </c>
      <c r="K313" s="19">
        <f>IFERROR(__xludf.DUMMYFUNCTION("""COMPUTED_VALUE"""),33572.0)</f>
        <v>33572</v>
      </c>
      <c r="L313" s="19" t="str">
        <f>IFERROR(__xludf.DUMMYFUNCTION("""COMPUTED_VALUE"""),"LAKI-LAKI")</f>
        <v>LAKI-LAKI</v>
      </c>
      <c r="M313" s="16" t="str">
        <f>IFERROR(__xludf.DUMMYFUNCTION("""COMPUTED_VALUE"""),"JALAN RAJAWALI NO.11")</f>
        <v>JALAN RAJAWALI NO.11</v>
      </c>
      <c r="N313" s="16"/>
      <c r="O313" s="16"/>
      <c r="P313" s="16"/>
      <c r="Q313" s="16"/>
      <c r="R313" s="19" t="str">
        <f>IFERROR(__xludf.DUMMYFUNCTION("""COMPUTED_VALUE"""),"KATOLIK")</f>
        <v>KATOLIK</v>
      </c>
      <c r="S313" s="16" t="str">
        <f>IFERROR(__xludf.DUMMYFUNCTION("""COMPUTED_VALUE"""),"ARTIST")</f>
        <v>ARTIST</v>
      </c>
      <c r="T313" s="16" t="str">
        <f>IFERROR(__xludf.DUMMYFUNCTION("""COMPUTED_VALUE"""),"PERGELANGAN TANGAN SAKIT , NYERI")</f>
        <v>PERGELANGAN TANGAN SAKIT , NYERI</v>
      </c>
      <c r="U313" s="16" t="str">
        <f>IFERROR(__xludf.DUMMYFUNCTION("""COMPUTED_VALUE"""),"BOXING")</f>
        <v>BOXING</v>
      </c>
      <c r="V313" s="21" t="str">
        <f>IFERROR(__xludf.DUMMYFUNCTION("""COMPUTED_VALUE"""),"08115766611")</f>
        <v>08115766611</v>
      </c>
      <c r="W313" s="22"/>
    </row>
    <row r="314" ht="22.5" customHeight="1">
      <c r="A314" s="8"/>
      <c r="B314" s="9">
        <f>IFERROR(__xludf.DUMMYFUNCTION("""COMPUTED_VALUE"""),45042.457446643515)</f>
        <v>45042.45745</v>
      </c>
      <c r="C314" s="9"/>
      <c r="D314" s="10">
        <f>IFERROR(__xludf.DUMMYFUNCTION("""COMPUTED_VALUE"""),45043.0)</f>
        <v>45043</v>
      </c>
      <c r="E314" s="10" t="str">
        <f>IFERROR(__xludf.DUMMYFUNCTION("""COMPUTED_VALUE"""),"04Apr")</f>
        <v>04Apr</v>
      </c>
      <c r="F314" s="10" t="str">
        <f>IFERROR(__xludf.DUMMYFUNCTION("""COMPUTED_VALUE"""),"2023")</f>
        <v>2023</v>
      </c>
      <c r="G314" s="16" t="str">
        <f>IFERROR(__xludf.DUMMYFUNCTION("""COMPUTED_VALUE"""),"SYARIFAH IDA FITRIANA")</f>
        <v>SYARIFAH IDA FITRIANA</v>
      </c>
      <c r="H314" s="17" t="str">
        <f>IFERROR(__xludf.DUMMYFUNCTION("""COMPUTED_VALUE"""),"S7223042029")</f>
        <v>S7223042029</v>
      </c>
      <c r="I314" s="17">
        <f>IFERROR(__xludf.DUMMYFUNCTION("""COMPUTED_VALUE"""),53.0)</f>
        <v>53</v>
      </c>
      <c r="J314" s="17" t="str">
        <f>IFERROR(__xludf.DUMMYFUNCTION("""COMPUTED_VALUE"""),"&gt; 44 tahun")</f>
        <v>&gt; 44 tahun</v>
      </c>
      <c r="K314" s="19">
        <f>IFERROR(__xludf.DUMMYFUNCTION("""COMPUTED_VALUE"""),26610.0)</f>
        <v>26610</v>
      </c>
      <c r="L314" s="19" t="str">
        <f>IFERROR(__xludf.DUMMYFUNCTION("""COMPUTED_VALUE"""),"PEREMPUAN")</f>
        <v>PEREMPUAN</v>
      </c>
      <c r="M314" s="16" t="str">
        <f>IFERROR(__xludf.DUMMYFUNCTION("""COMPUTED_VALUE"""),"JALAN HASANUDDIN, GG.KENARI 1, NO.86")</f>
        <v>JALAN HASANUDDIN, GG.KENARI 1, NO.86</v>
      </c>
      <c r="N314" s="16"/>
      <c r="O314" s="16"/>
      <c r="P314" s="16"/>
      <c r="Q314" s="16"/>
      <c r="R314" s="19" t="str">
        <f>IFERROR(__xludf.DUMMYFUNCTION("""COMPUTED_VALUE"""),"ISLAM")</f>
        <v>ISLAM</v>
      </c>
      <c r="S314" s="16" t="str">
        <f>IFERROR(__xludf.DUMMYFUNCTION("""COMPUTED_VALUE"""),"ASN")</f>
        <v>ASN</v>
      </c>
      <c r="T314" s="16" t="str">
        <f>IFERROR(__xludf.DUMMYFUNCTION("""COMPUTED_VALUE"""),"NYERI SEBELAH KANAN")</f>
        <v>NYERI SEBELAH KANAN</v>
      </c>
      <c r="U314" s="16" t="str">
        <f>IFERROR(__xludf.DUMMYFUNCTION("""COMPUTED_VALUE"""),"BEKERJA KANTORAN (DI LABORATORIUM) DAN MENGERJAKAN PEKERJAAN RUMAH")</f>
        <v>BEKERJA KANTORAN (DI LABORATORIUM) DAN MENGERJAKAN PEKERJAAN RUMAH</v>
      </c>
      <c r="V314" s="21" t="str">
        <f>IFERROR(__xludf.DUMMYFUNCTION("""COMPUTED_VALUE"""),"081251212029")</f>
        <v>081251212029</v>
      </c>
      <c r="W314" s="22"/>
    </row>
    <row r="315" ht="22.5" customHeight="1">
      <c r="A315" s="8"/>
      <c r="B315" s="9">
        <f>IFERROR(__xludf.DUMMYFUNCTION("""COMPUTED_VALUE"""),45042.48294001157)</f>
        <v>45042.48294</v>
      </c>
      <c r="C315" s="9"/>
      <c r="D315" s="10">
        <f>IFERROR(__xludf.DUMMYFUNCTION("""COMPUTED_VALUE"""),45043.0)</f>
        <v>45043</v>
      </c>
      <c r="E315" s="10" t="str">
        <f>IFERROR(__xludf.DUMMYFUNCTION("""COMPUTED_VALUE"""),"04Apr")</f>
        <v>04Apr</v>
      </c>
      <c r="F315" s="10" t="str">
        <f>IFERROR(__xludf.DUMMYFUNCTION("""COMPUTED_VALUE"""),"2023")</f>
        <v>2023</v>
      </c>
      <c r="G315" s="16" t="str">
        <f>IFERROR(__xludf.DUMMYFUNCTION("""COMPUTED_VALUE"""),"KARTIKA NINGTIAS")</f>
        <v>KARTIKA NINGTIAS</v>
      </c>
      <c r="H315" s="17" t="str">
        <f>IFERROR(__xludf.DUMMYFUNCTION("""COMPUTED_VALUE"""),"K6623046501")</f>
        <v>K6623046501</v>
      </c>
      <c r="I315" s="17">
        <f>IFERROR(__xludf.DUMMYFUNCTION("""COMPUTED_VALUE"""),60.0)</f>
        <v>60</v>
      </c>
      <c r="J315" s="17" t="str">
        <f>IFERROR(__xludf.DUMMYFUNCTION("""COMPUTED_VALUE"""),"&gt; 44 tahun")</f>
        <v>&gt; 44 tahun</v>
      </c>
      <c r="K315" s="19">
        <f>IFERROR(__xludf.DUMMYFUNCTION("""COMPUTED_VALUE"""),24252.0)</f>
        <v>24252</v>
      </c>
      <c r="L315" s="19" t="str">
        <f>IFERROR(__xludf.DUMMYFUNCTION("""COMPUTED_VALUE"""),"PEREMPUAN")</f>
        <v>PEREMPUAN</v>
      </c>
      <c r="M315" s="16" t="str">
        <f>IFERROR(__xludf.DUMMYFUNCTION("""COMPUTED_VALUE"""),"JL PERDANA KOMP BALI AGUNG2 G6")</f>
        <v>JL PERDANA KOMP BALI AGUNG2 G6</v>
      </c>
      <c r="N315" s="16"/>
      <c r="O315" s="16"/>
      <c r="P315" s="16"/>
      <c r="Q315" s="16"/>
      <c r="R315" s="19" t="str">
        <f>IFERROR(__xludf.DUMMYFUNCTION("""COMPUTED_VALUE"""),"ISLAM")</f>
        <v>ISLAM</v>
      </c>
      <c r="S315" s="16" t="str">
        <f>IFERROR(__xludf.DUMMYFUNCTION("""COMPUTED_VALUE"""),"ASN")</f>
        <v>ASN</v>
      </c>
      <c r="T315" s="16" t="str">
        <f>IFERROR(__xludf.DUMMYFUNCTION("""COMPUTED_VALUE"""),"BADAN PEGEL LINU")</f>
        <v>BADAN PEGEL LINU</v>
      </c>
      <c r="U315" s="16" t="str">
        <f>IFERROR(__xludf.DUMMYFUNCTION("""COMPUTED_VALUE"""),"JOGING.../ AKTVS DIKTR/ AKTVS DIRUMAH")</f>
        <v>JOGING.../ AKTVS DIKTR/ AKTVS DIRUMAH</v>
      </c>
      <c r="V315" s="21" t="str">
        <f>IFERROR(__xludf.DUMMYFUNCTION("""COMPUTED_VALUE"""),"0858455066501")</f>
        <v>0858455066501</v>
      </c>
      <c r="W315" s="22"/>
    </row>
    <row r="316" ht="22.5" customHeight="1">
      <c r="A316" s="8"/>
      <c r="B316" s="9">
        <f>IFERROR(__xludf.DUMMYFUNCTION("""COMPUTED_VALUE"""),45042.484841631944)</f>
        <v>45042.48484</v>
      </c>
      <c r="C316" s="9"/>
      <c r="D316" s="10">
        <f>IFERROR(__xludf.DUMMYFUNCTION("""COMPUTED_VALUE"""),45043.0)</f>
        <v>45043</v>
      </c>
      <c r="E316" s="10" t="str">
        <f>IFERROR(__xludf.DUMMYFUNCTION("""COMPUTED_VALUE"""),"04Apr")</f>
        <v>04Apr</v>
      </c>
      <c r="F316" s="10" t="str">
        <f>IFERROR(__xludf.DUMMYFUNCTION("""COMPUTED_VALUE"""),"2023")</f>
        <v>2023</v>
      </c>
      <c r="G316" s="16" t="str">
        <f>IFERROR(__xludf.DUMMYFUNCTION("""COMPUTED_VALUE"""),"SALIM SUSANTO")</f>
        <v>SALIM SUSANTO</v>
      </c>
      <c r="H316" s="17" t="str">
        <f>IFERROR(__xludf.DUMMYFUNCTION("""COMPUTED_VALUE"""),"S6823049978")</f>
        <v>S6823049978</v>
      </c>
      <c r="I316" s="17">
        <f>IFERROR(__xludf.DUMMYFUNCTION("""COMPUTED_VALUE"""),57.0)</f>
        <v>57</v>
      </c>
      <c r="J316" s="17" t="str">
        <f>IFERROR(__xludf.DUMMYFUNCTION("""COMPUTED_VALUE"""),"&gt; 44 tahun")</f>
        <v>&gt; 44 tahun</v>
      </c>
      <c r="K316" s="19">
        <f>IFERROR(__xludf.DUMMYFUNCTION("""COMPUTED_VALUE"""),25060.0)</f>
        <v>25060</v>
      </c>
      <c r="L316" s="19" t="str">
        <f>IFERROR(__xludf.DUMMYFUNCTION("""COMPUTED_VALUE"""),"LAKI-LAKI")</f>
        <v>LAKI-LAKI</v>
      </c>
      <c r="M316" s="16" t="str">
        <f>IFERROR(__xludf.DUMMYFUNCTION("""COMPUTED_VALUE"""),"JL BUDI KARYA NO 10B")</f>
        <v>JL BUDI KARYA NO 10B</v>
      </c>
      <c r="N316" s="16"/>
      <c r="O316" s="16"/>
      <c r="P316" s="16"/>
      <c r="Q316" s="16"/>
      <c r="R316" s="19" t="str">
        <f>IFERROR(__xludf.DUMMYFUNCTION("""COMPUTED_VALUE"""),"KATOLIK")</f>
        <v>KATOLIK</v>
      </c>
      <c r="S316" s="16" t="str">
        <f>IFERROR(__xludf.DUMMYFUNCTION("""COMPUTED_VALUE"""),"WIRASWASTA")</f>
        <v>WIRASWASTA</v>
      </c>
      <c r="T316" s="16" t="str">
        <f>IFERROR(__xludf.DUMMYFUNCTION("""COMPUTED_VALUE"""),"SYARAF KEJEPIT DAN KESELEO JATUH")</f>
        <v>SYARAF KEJEPIT DAN KESELEO JATUH</v>
      </c>
      <c r="U316" s="16" t="str">
        <f>IFERROR(__xludf.DUMMYFUNCTION("""COMPUTED_VALUE"""),"TIDAK ADA")</f>
        <v>TIDAK ADA</v>
      </c>
      <c r="V316" s="21" t="str">
        <f>IFERROR(__xludf.DUMMYFUNCTION("""COMPUTED_VALUE"""),"081286799978")</f>
        <v>081286799978</v>
      </c>
      <c r="W316" s="22"/>
    </row>
    <row r="317" ht="22.5" customHeight="1">
      <c r="A317" s="8"/>
      <c r="B317" s="9">
        <f>IFERROR(__xludf.DUMMYFUNCTION("""COMPUTED_VALUE"""),45042.597214803245)</f>
        <v>45042.59721</v>
      </c>
      <c r="C317" s="9"/>
      <c r="D317" s="10">
        <f>IFERROR(__xludf.DUMMYFUNCTION("""COMPUTED_VALUE"""),45045.0)</f>
        <v>45045</v>
      </c>
      <c r="E317" s="10" t="str">
        <f>IFERROR(__xludf.DUMMYFUNCTION("""COMPUTED_VALUE"""),"04Apr")</f>
        <v>04Apr</v>
      </c>
      <c r="F317" s="10" t="str">
        <f>IFERROR(__xludf.DUMMYFUNCTION("""COMPUTED_VALUE"""),"2023")</f>
        <v>2023</v>
      </c>
      <c r="G317" s="16" t="str">
        <f>IFERROR(__xludf.DUMMYFUNCTION("""COMPUTED_VALUE"""),"MURIANI")</f>
        <v>MURIANI</v>
      </c>
      <c r="H317" s="17" t="str">
        <f>IFERROR(__xludf.DUMMYFUNCTION("""COMPUTED_VALUE"""),"M7823049005")</f>
        <v>M7823049005</v>
      </c>
      <c r="I317" s="17">
        <f>IFERROR(__xludf.DUMMYFUNCTION("""COMPUTED_VALUE"""),47.0)</f>
        <v>47</v>
      </c>
      <c r="J317" s="17" t="str">
        <f>IFERROR(__xludf.DUMMYFUNCTION("""COMPUTED_VALUE"""),"&gt; 44 tahun")</f>
        <v>&gt; 44 tahun</v>
      </c>
      <c r="K317" s="19">
        <f>IFERROR(__xludf.DUMMYFUNCTION("""COMPUTED_VALUE"""),28747.0)</f>
        <v>28747</v>
      </c>
      <c r="L317" s="19" t="str">
        <f>IFERROR(__xludf.DUMMYFUNCTION("""COMPUTED_VALUE"""),"PEREMPUAN")</f>
        <v>PEREMPUAN</v>
      </c>
      <c r="M317" s="16" t="str">
        <f>IFERROR(__xludf.DUMMYFUNCTION("""COMPUTED_VALUE"""),"JL TENDENAN ÑO.17")</f>
        <v>JL TENDENAN ÑO.17</v>
      </c>
      <c r="N317" s="16"/>
      <c r="O317" s="16"/>
      <c r="P317" s="16"/>
      <c r="Q317" s="16"/>
      <c r="R317" s="19" t="str">
        <f>IFERROR(__xludf.DUMMYFUNCTION("""COMPUTED_VALUE"""),"PROTESTAN")</f>
        <v>PROTESTAN</v>
      </c>
      <c r="S317" s="16" t="str">
        <f>IFERROR(__xludf.DUMMYFUNCTION("""COMPUTED_VALUE"""),"RUMAH TANGGA")</f>
        <v>RUMAH TANGGA</v>
      </c>
      <c r="T317" s="16" t="str">
        <f>IFERROR(__xludf.DUMMYFUNCTION("""COMPUTED_VALUE"""),"SAKIT PINGGANG")</f>
        <v>SAKIT PINGGANG</v>
      </c>
      <c r="U317" s="16" t="str">
        <f>IFERROR(__xludf.DUMMYFUNCTION("""COMPUTED_VALUE"""),"TAK ADA")</f>
        <v>TAK ADA</v>
      </c>
      <c r="V317" s="21" t="str">
        <f>IFERROR(__xludf.DUMMYFUNCTION("""COMPUTED_VALUE"""),"087878219005")</f>
        <v>087878219005</v>
      </c>
      <c r="W317" s="22"/>
    </row>
    <row r="318" ht="22.5" customHeight="1">
      <c r="A318" s="8"/>
      <c r="B318" s="9">
        <f>IFERROR(__xludf.DUMMYFUNCTION("""COMPUTED_VALUE"""),45043.44276023148)</f>
        <v>45043.44276</v>
      </c>
      <c r="C318" s="9"/>
      <c r="D318" s="10">
        <f>IFERROR(__xludf.DUMMYFUNCTION("""COMPUTED_VALUE"""),45045.0)</f>
        <v>45045</v>
      </c>
      <c r="E318" s="10" t="str">
        <f>IFERROR(__xludf.DUMMYFUNCTION("""COMPUTED_VALUE"""),"04Apr")</f>
        <v>04Apr</v>
      </c>
      <c r="F318" s="10" t="str">
        <f>IFERROR(__xludf.DUMMYFUNCTION("""COMPUTED_VALUE"""),"2023")</f>
        <v>2023</v>
      </c>
      <c r="G318" s="16" t="str">
        <f>IFERROR(__xludf.DUMMYFUNCTION("""COMPUTED_VALUE"""),"DAYANG NORMA")</f>
        <v>DAYANG NORMA</v>
      </c>
      <c r="H318" s="17" t="str">
        <f>IFERROR(__xludf.DUMMYFUNCTION("""COMPUTED_VALUE"""),"D5923045016")</f>
        <v>D5923045016</v>
      </c>
      <c r="I318" s="17">
        <f>IFERROR(__xludf.DUMMYFUNCTION("""COMPUTED_VALUE"""),67.0)</f>
        <v>67</v>
      </c>
      <c r="J318" s="17" t="str">
        <f>IFERROR(__xludf.DUMMYFUNCTION("""COMPUTED_VALUE"""),"&gt; 44 tahun")</f>
        <v>&gt; 44 tahun</v>
      </c>
      <c r="K318" s="19">
        <f>IFERROR(__xludf.DUMMYFUNCTION("""COMPUTED_VALUE"""),21687.0)</f>
        <v>21687</v>
      </c>
      <c r="L318" s="19" t="str">
        <f>IFERROR(__xludf.DUMMYFUNCTION("""COMPUTED_VALUE"""),"PEREMPUAN")</f>
        <v>PEREMPUAN</v>
      </c>
      <c r="M318" s="16" t="str">
        <f>IFERROR(__xludf.DUMMYFUNCTION("""COMPUTED_VALUE"""),"DUSUN NANGA TAMAN")</f>
        <v>DUSUN NANGA TAMAN</v>
      </c>
      <c r="N318" s="16"/>
      <c r="O318" s="16"/>
      <c r="P318" s="16"/>
      <c r="Q318" s="16"/>
      <c r="R318" s="19" t="str">
        <f>IFERROR(__xludf.DUMMYFUNCTION("""COMPUTED_VALUE"""),"ISLAM")</f>
        <v>ISLAM</v>
      </c>
      <c r="S318" s="16" t="str">
        <f>IFERROR(__xludf.DUMMYFUNCTION("""COMPUTED_VALUE"""),"RUMAH TANGGA")</f>
        <v>RUMAH TANGGA</v>
      </c>
      <c r="T318" s="16" t="str">
        <f>IFERROR(__xludf.DUMMYFUNCTION("""COMPUTED_VALUE"""),"STROKE")</f>
        <v>STROKE</v>
      </c>
      <c r="U318" s="16" t="str">
        <f>IFERROR(__xludf.DUMMYFUNCTION("""COMPUTED_VALUE"""),"MASAK")</f>
        <v>MASAK</v>
      </c>
      <c r="V318" s="21" t="str">
        <f>IFERROR(__xludf.DUMMYFUNCTION("""COMPUTED_VALUE"""),"081257625016")</f>
        <v>081257625016</v>
      </c>
      <c r="W318" s="22"/>
    </row>
    <row r="319" ht="22.5" customHeight="1">
      <c r="A319" s="8"/>
      <c r="B319" s="9">
        <f>IFERROR(__xludf.DUMMYFUNCTION("""COMPUTED_VALUE"""),45043.44787045139)</f>
        <v>45043.44787</v>
      </c>
      <c r="C319" s="9"/>
      <c r="D319" s="10">
        <f>IFERROR(__xludf.DUMMYFUNCTION("""COMPUTED_VALUE"""),45045.0)</f>
        <v>45045</v>
      </c>
      <c r="E319" s="10" t="str">
        <f>IFERROR(__xludf.DUMMYFUNCTION("""COMPUTED_VALUE"""),"04Apr")</f>
        <v>04Apr</v>
      </c>
      <c r="F319" s="10" t="str">
        <f>IFERROR(__xludf.DUMMYFUNCTION("""COMPUTED_VALUE"""),"2023")</f>
        <v>2023</v>
      </c>
      <c r="G319" s="16" t="str">
        <f>IFERROR(__xludf.DUMMYFUNCTION("""COMPUTED_VALUE"""),"ERICK SUMARNO")</f>
        <v>ERICK SUMARNO</v>
      </c>
      <c r="H319" s="17" t="str">
        <f>IFERROR(__xludf.DUMMYFUNCTION("""COMPUTED_VALUE"""),"E2323045373")</f>
        <v>E2323045373</v>
      </c>
      <c r="I319" s="17">
        <f>IFERROR(__xludf.DUMMYFUNCTION("""COMPUTED_VALUE"""),3.0)</f>
        <v>3</v>
      </c>
      <c r="J319" s="17" t="str">
        <f>IFERROR(__xludf.DUMMYFUNCTION("""COMPUTED_VALUE"""),"&lt; 18 tahun")</f>
        <v>&lt; 18 tahun</v>
      </c>
      <c r="K319" s="19">
        <f>IFERROR(__xludf.DUMMYFUNCTION("""COMPUTED_VALUE"""),45045.0)</f>
        <v>45045</v>
      </c>
      <c r="L319" s="19" t="str">
        <f>IFERROR(__xludf.DUMMYFUNCTION("""COMPUTED_VALUE"""),"LAKI-LAKI")</f>
        <v>LAKI-LAKI</v>
      </c>
      <c r="M319" s="16" t="str">
        <f>IFERROR(__xludf.DUMMYFUNCTION("""COMPUTED_VALUE"""),"JLN PURNAMA GANG PURNAMA BARU NOMOR 37")</f>
        <v>JLN PURNAMA GANG PURNAMA BARU NOMOR 37</v>
      </c>
      <c r="N319" s="16"/>
      <c r="O319" s="16"/>
      <c r="P319" s="16"/>
      <c r="Q319" s="16"/>
      <c r="R319" s="19" t="str">
        <f>IFERROR(__xludf.DUMMYFUNCTION("""COMPUTED_VALUE"""),"BUDDHA")</f>
        <v>BUDDHA</v>
      </c>
      <c r="S319" s="16" t="str">
        <f>IFERROR(__xludf.DUMMYFUNCTION("""COMPUTED_VALUE"""),"SWASTA")</f>
        <v>SWASTA</v>
      </c>
      <c r="T319" s="16" t="str">
        <f>IFERROR(__xludf.DUMMYFUNCTION("""COMPUTED_VALUE"""),"SALAH JATUH")</f>
        <v>SALAH JATUH</v>
      </c>
      <c r="U319" s="16" t="str">
        <f>IFERROR(__xludf.DUMMYFUNCTION("""COMPUTED_VALUE"""),"OLAHRAGA")</f>
        <v>OLAHRAGA</v>
      </c>
      <c r="V319" s="21" t="str">
        <f>IFERROR(__xludf.DUMMYFUNCTION("""COMPUTED_VALUE"""),"085252805373")</f>
        <v>085252805373</v>
      </c>
      <c r="W319" s="22"/>
    </row>
    <row r="320" ht="22.5" customHeight="1">
      <c r="A320" s="8"/>
      <c r="B320" s="9">
        <f>IFERROR(__xludf.DUMMYFUNCTION("""COMPUTED_VALUE"""),45043.48891476852)</f>
        <v>45043.48891</v>
      </c>
      <c r="C320" s="9"/>
      <c r="D320" s="10">
        <f>IFERROR(__xludf.DUMMYFUNCTION("""COMPUTED_VALUE"""),45045.0)</f>
        <v>45045</v>
      </c>
      <c r="E320" s="10" t="str">
        <f>IFERROR(__xludf.DUMMYFUNCTION("""COMPUTED_VALUE"""),"04Apr")</f>
        <v>04Apr</v>
      </c>
      <c r="F320" s="10" t="str">
        <f>IFERROR(__xludf.DUMMYFUNCTION("""COMPUTED_VALUE"""),"2023")</f>
        <v>2023</v>
      </c>
      <c r="G320" s="16" t="str">
        <f>IFERROR(__xludf.DUMMYFUNCTION("""COMPUTED_VALUE"""),"RUSNITAWATI")</f>
        <v>RUSNITAWATI</v>
      </c>
      <c r="H320" s="17" t="str">
        <f>IFERROR(__xludf.DUMMYFUNCTION("""COMPUTED_VALUE"""),"R6323045937")</f>
        <v>R6323045937</v>
      </c>
      <c r="I320" s="17">
        <f>IFERROR(__xludf.DUMMYFUNCTION("""COMPUTED_VALUE"""),63.0)</f>
        <v>63</v>
      </c>
      <c r="J320" s="17" t="str">
        <f>IFERROR(__xludf.DUMMYFUNCTION("""COMPUTED_VALUE"""),"&gt; 44 tahun")</f>
        <v>&gt; 44 tahun</v>
      </c>
      <c r="K320" s="19">
        <f>IFERROR(__xludf.DUMMYFUNCTION("""COMPUTED_VALUE"""),23123.0)</f>
        <v>23123</v>
      </c>
      <c r="L320" s="19" t="str">
        <f>IFERROR(__xludf.DUMMYFUNCTION("""COMPUTED_VALUE"""),"PEREMPUAN")</f>
        <v>PEREMPUAN</v>
      </c>
      <c r="M320" s="16" t="str">
        <f>IFERROR(__xludf.DUMMYFUNCTION("""COMPUTED_VALUE"""),"JLN.PUTRI CANDRAMIDI GG.NURCAHAYA NO.70")</f>
        <v>JLN.PUTRI CANDRAMIDI GG.NURCAHAYA NO.70</v>
      </c>
      <c r="N320" s="16"/>
      <c r="O320" s="16"/>
      <c r="P320" s="16"/>
      <c r="Q320" s="16"/>
      <c r="R320" s="19" t="str">
        <f>IFERROR(__xludf.DUMMYFUNCTION("""COMPUTED_VALUE"""),"PROTESTAN")</f>
        <v>PROTESTAN</v>
      </c>
      <c r="S320" s="16" t="str">
        <f>IFERROR(__xludf.DUMMYFUNCTION("""COMPUTED_VALUE"""),"RUMAH TANGGA")</f>
        <v>RUMAH TANGGA</v>
      </c>
      <c r="T320" s="16" t="str">
        <f>IFERROR(__xludf.DUMMYFUNCTION("""COMPUTED_VALUE"""),"KAKI SAKIT")</f>
        <v>KAKI SAKIT</v>
      </c>
      <c r="U320" s="16" t="str">
        <f>IFERROR(__xludf.DUMMYFUNCTION("""COMPUTED_VALUE"""),"HOBI JALAN")</f>
        <v>HOBI JALAN</v>
      </c>
      <c r="V320" s="21" t="str">
        <f>IFERROR(__xludf.DUMMYFUNCTION("""COMPUTED_VALUE"""),"082125485937")</f>
        <v>082125485937</v>
      </c>
      <c r="W320" s="22"/>
    </row>
    <row r="321" ht="22.5" customHeight="1">
      <c r="A321" s="8"/>
      <c r="B321" s="9">
        <f>IFERROR(__xludf.DUMMYFUNCTION("""COMPUTED_VALUE"""),45043.56970211805)</f>
        <v>45043.5697</v>
      </c>
      <c r="C321" s="9"/>
      <c r="D321" s="10">
        <f>IFERROR(__xludf.DUMMYFUNCTION("""COMPUTED_VALUE"""),45045.0)</f>
        <v>45045</v>
      </c>
      <c r="E321" s="10" t="str">
        <f>IFERROR(__xludf.DUMMYFUNCTION("""COMPUTED_VALUE"""),"04Apr")</f>
        <v>04Apr</v>
      </c>
      <c r="F321" s="10" t="str">
        <f>IFERROR(__xludf.DUMMYFUNCTION("""COMPUTED_VALUE"""),"2023")</f>
        <v>2023</v>
      </c>
      <c r="G321" s="16" t="str">
        <f>IFERROR(__xludf.DUMMYFUNCTION("""COMPUTED_VALUE"""),"ANDY SETIAWAN")</f>
        <v>ANDY SETIAWAN</v>
      </c>
      <c r="H321" s="17" t="str">
        <f>IFERROR(__xludf.DUMMYFUNCTION("""COMPUTED_VALUE"""),"A8723049223")</f>
        <v>A8723049223</v>
      </c>
      <c r="I321" s="17">
        <f>IFERROR(__xludf.DUMMYFUNCTION("""COMPUTED_VALUE"""),38.0)</f>
        <v>38</v>
      </c>
      <c r="J321" s="17" t="str">
        <f>IFERROR(__xludf.DUMMYFUNCTION("""COMPUTED_VALUE"""),"35-44 tahun")</f>
        <v>35-44 tahun</v>
      </c>
      <c r="K321" s="19">
        <f>IFERROR(__xludf.DUMMYFUNCTION("""COMPUTED_VALUE"""),32054.0)</f>
        <v>32054</v>
      </c>
      <c r="L321" s="19" t="str">
        <f>IFERROR(__xludf.DUMMYFUNCTION("""COMPUTED_VALUE"""),"LAKI-LAKI")</f>
        <v>LAKI-LAKI</v>
      </c>
      <c r="M321" s="16" t="str">
        <f>IFERROR(__xludf.DUMMYFUNCTION("""COMPUTED_VALUE"""),"JL MERDEKA GG KASUARI 1 NO 506")</f>
        <v>JL MERDEKA GG KASUARI 1 NO 506</v>
      </c>
      <c r="N321" s="16"/>
      <c r="O321" s="16"/>
      <c r="P321" s="16"/>
      <c r="Q321" s="16"/>
      <c r="R321" s="19" t="str">
        <f>IFERROR(__xludf.DUMMYFUNCTION("""COMPUTED_VALUE"""),"KATOLIK")</f>
        <v>KATOLIK</v>
      </c>
      <c r="S321" s="16" t="str">
        <f>IFERROR(__xludf.DUMMYFUNCTION("""COMPUTED_VALUE"""),"SWASTA")</f>
        <v>SWASTA</v>
      </c>
      <c r="T321" s="16" t="str">
        <f>IFERROR(__xludf.DUMMYFUNCTION("""COMPUTED_VALUE"""),"LEHER, PUNGGUNG TERASA SAKIT")</f>
        <v>LEHER, PUNGGUNG TERASA SAKIT</v>
      </c>
      <c r="U321" s="16" t="str">
        <f>IFERROR(__xludf.DUMMYFUNCTION("""COMPUTED_VALUE"""),"SEPAK BOLA")</f>
        <v>SEPAK BOLA</v>
      </c>
      <c r="V321" s="21" t="str">
        <f>IFERROR(__xludf.DUMMYFUNCTION("""COMPUTED_VALUE"""),"085247179223")</f>
        <v>085247179223</v>
      </c>
      <c r="W321" s="22"/>
    </row>
    <row r="322" ht="22.5" customHeight="1">
      <c r="A322" s="8"/>
      <c r="B322" s="9">
        <f>IFERROR(__xludf.DUMMYFUNCTION("""COMPUTED_VALUE"""),45043.58750799768)</f>
        <v>45043.58751</v>
      </c>
      <c r="C322" s="9"/>
      <c r="D322" s="10">
        <f>IFERROR(__xludf.DUMMYFUNCTION("""COMPUTED_VALUE"""),45045.0)</f>
        <v>45045</v>
      </c>
      <c r="E322" s="10" t="str">
        <f>IFERROR(__xludf.DUMMYFUNCTION("""COMPUTED_VALUE"""),"04Apr")</f>
        <v>04Apr</v>
      </c>
      <c r="F322" s="10" t="str">
        <f>IFERROR(__xludf.DUMMYFUNCTION("""COMPUTED_VALUE"""),"2023")</f>
        <v>2023</v>
      </c>
      <c r="G322" s="16" t="str">
        <f>IFERROR(__xludf.DUMMYFUNCTION("""COMPUTED_VALUE"""),"SUSILAWATI DYAH WULANDARI")</f>
        <v>SUSILAWATI DYAH WULANDARI</v>
      </c>
      <c r="H322" s="17" t="str">
        <f>IFERROR(__xludf.DUMMYFUNCTION("""COMPUTED_VALUE"""),"S8123045916")</f>
        <v>S8123045916</v>
      </c>
      <c r="I322" s="17">
        <f>IFERROR(__xludf.DUMMYFUNCTION("""COMPUTED_VALUE"""),45.0)</f>
        <v>45</v>
      </c>
      <c r="J322" s="17" t="str">
        <f>IFERROR(__xludf.DUMMYFUNCTION("""COMPUTED_VALUE"""),"&gt; 44 tahun")</f>
        <v>&gt; 44 tahun</v>
      </c>
      <c r="K322" s="19">
        <f>IFERROR(__xludf.DUMMYFUNCTION("""COMPUTED_VALUE"""),29713.0)</f>
        <v>29713</v>
      </c>
      <c r="L322" s="19" t="str">
        <f>IFERROR(__xludf.DUMMYFUNCTION("""COMPUTED_VALUE"""),"PEREMPUAN")</f>
        <v>PEREMPUAN</v>
      </c>
      <c r="M322" s="16" t="str">
        <f>IFERROR(__xludf.DUMMYFUNCTION("""COMPUTED_VALUE"""),"JL. URAY BAWADI NO. 7")</f>
        <v>JL. URAY BAWADI NO. 7</v>
      </c>
      <c r="N322" s="16"/>
      <c r="O322" s="16"/>
      <c r="P322" s="16"/>
      <c r="Q322" s="16"/>
      <c r="R322" s="19" t="str">
        <f>IFERROR(__xludf.DUMMYFUNCTION("""COMPUTED_VALUE"""),"ISLAM")</f>
        <v>ISLAM</v>
      </c>
      <c r="S322" s="16" t="str">
        <f>IFERROR(__xludf.DUMMYFUNCTION("""COMPUTED_VALUE"""),"WIRASWASTA")</f>
        <v>WIRASWASTA</v>
      </c>
      <c r="T322" s="16" t="str">
        <f>IFERROR(__xludf.DUMMYFUNCTION("""COMPUTED_VALUE"""),"SAKIT/NYERI KAKI TERUTAMA BAGIAN SENDI")</f>
        <v>SAKIT/NYERI KAKI TERUTAMA BAGIAN SENDI</v>
      </c>
      <c r="U322" s="16" t="str">
        <f>IFERROR(__xludf.DUMMYFUNCTION("""COMPUTED_VALUE"""),"BELANJA DI PASAR, BEKERJA MENJALANKAN OPERASIONAL RESTORAN, AKTIVITAS LUMAYAN BERAT")</f>
        <v>BELANJA DI PASAR, BEKERJA MENJALANKAN OPERASIONAL RESTORAN, AKTIVITAS LUMAYAN BERAT</v>
      </c>
      <c r="V322" s="21" t="str">
        <f>IFERROR(__xludf.DUMMYFUNCTION("""COMPUTED_VALUE"""),"08999175916")</f>
        <v>08999175916</v>
      </c>
      <c r="W322" s="22"/>
    </row>
    <row r="323" ht="22.5" customHeight="1">
      <c r="A323" s="8"/>
      <c r="B323" s="9">
        <f>IFERROR(__xludf.DUMMYFUNCTION("""COMPUTED_VALUE"""),45043.69784325232)</f>
        <v>45043.69784</v>
      </c>
      <c r="C323" s="9"/>
      <c r="D323" s="10">
        <f>IFERROR(__xludf.DUMMYFUNCTION("""COMPUTED_VALUE"""),45045.0)</f>
        <v>45045</v>
      </c>
      <c r="E323" s="10" t="str">
        <f>IFERROR(__xludf.DUMMYFUNCTION("""COMPUTED_VALUE"""),"04Apr")</f>
        <v>04Apr</v>
      </c>
      <c r="F323" s="10" t="str">
        <f>IFERROR(__xludf.DUMMYFUNCTION("""COMPUTED_VALUE"""),"2023")</f>
        <v>2023</v>
      </c>
      <c r="G323" s="16" t="str">
        <f>IFERROR(__xludf.DUMMYFUNCTION("""COMPUTED_VALUE"""),"SY MAHMUD ALKAF")</f>
        <v>SY MAHMUD ALKAF</v>
      </c>
      <c r="H323" s="17" t="str">
        <f>IFERROR(__xludf.DUMMYFUNCTION("""COMPUTED_VALUE"""),"S6823041934")</f>
        <v>S6823041934</v>
      </c>
      <c r="I323" s="17">
        <f>IFERROR(__xludf.DUMMYFUNCTION("""COMPUTED_VALUE"""),58.0)</f>
        <v>58</v>
      </c>
      <c r="J323" s="17" t="str">
        <f>IFERROR(__xludf.DUMMYFUNCTION("""COMPUTED_VALUE"""),"&gt; 44 tahun")</f>
        <v>&gt; 44 tahun</v>
      </c>
      <c r="K323" s="19">
        <f>IFERROR(__xludf.DUMMYFUNCTION("""COMPUTED_VALUE"""),24958.0)</f>
        <v>24958</v>
      </c>
      <c r="L323" s="19" t="str">
        <f>IFERROR(__xludf.DUMMYFUNCTION("""COMPUTED_VALUE"""),"LAKI-LAKI")</f>
        <v>LAKI-LAKI</v>
      </c>
      <c r="M323" s="16" t="str">
        <f>IFERROR(__xludf.DUMMYFUNCTION("""COMPUTED_VALUE"""),"JALAN SAMANHUDI GANG RAMIN 1 NO. 26 RT.003 RW.004 KELURAHAN TANJUNG HULU KECAMATAN PONTIANAK TIMUR")</f>
        <v>JALAN SAMANHUDI GANG RAMIN 1 NO. 26 RT.003 RW.004 KELURAHAN TANJUNG HULU KECAMATAN PONTIANAK TIMUR</v>
      </c>
      <c r="N323" s="16"/>
      <c r="O323" s="16"/>
      <c r="P323" s="16"/>
      <c r="Q323" s="16"/>
      <c r="R323" s="19" t="str">
        <f>IFERROR(__xludf.DUMMYFUNCTION("""COMPUTED_VALUE"""),"ISLAM")</f>
        <v>ISLAM</v>
      </c>
      <c r="S323" s="16" t="str">
        <f>IFERROR(__xludf.DUMMYFUNCTION("""COMPUTED_VALUE"""),"SWASTA")</f>
        <v>SWASTA</v>
      </c>
      <c r="T323" s="16" t="str">
        <f>IFERROR(__xludf.DUMMYFUNCTION("""COMPUTED_VALUE"""),"TANGAN SEBELAH KANAN TIDAK BISA DIGERAKAN")</f>
        <v>TANGAN SEBELAH KANAN TIDAK BISA DIGERAKAN</v>
      </c>
      <c r="U323" s="16" t="str">
        <f>IFERROR(__xludf.DUMMYFUNCTION("""COMPUTED_VALUE"""),"OLAHRAGA")</f>
        <v>OLAHRAGA</v>
      </c>
      <c r="V323" s="21" t="str">
        <f>IFERROR(__xludf.DUMMYFUNCTION("""COMPUTED_VALUE"""),"089515521934")</f>
        <v>089515521934</v>
      </c>
      <c r="W323" s="22"/>
    </row>
    <row r="324" ht="22.5" customHeight="1">
      <c r="A324" s="8"/>
      <c r="B324" s="9">
        <f>IFERROR(__xludf.DUMMYFUNCTION("""COMPUTED_VALUE"""),45044.930103680555)</f>
        <v>45044.9301</v>
      </c>
      <c r="C324" s="9"/>
      <c r="D324" s="10">
        <f>IFERROR(__xludf.DUMMYFUNCTION("""COMPUTED_VALUE"""),45045.0)</f>
        <v>45045</v>
      </c>
      <c r="E324" s="10" t="str">
        <f>IFERROR(__xludf.DUMMYFUNCTION("""COMPUTED_VALUE"""),"04Apr")</f>
        <v>04Apr</v>
      </c>
      <c r="F324" s="10" t="str">
        <f>IFERROR(__xludf.DUMMYFUNCTION("""COMPUTED_VALUE"""),"2023")</f>
        <v>2023</v>
      </c>
      <c r="G324" s="16" t="str">
        <f>IFERROR(__xludf.DUMMYFUNCTION("""COMPUTED_VALUE"""),"SILVIA 0207")</f>
        <v>SILVIA 0207</v>
      </c>
      <c r="H324" s="17" t="str">
        <f>IFERROR(__xludf.DUMMYFUNCTION("""COMPUTED_VALUE"""),"S0223048217")</f>
        <v>S0223048217</v>
      </c>
      <c r="I324" s="17">
        <f>IFERROR(__xludf.DUMMYFUNCTION("""COMPUTED_VALUE"""),23.0)</f>
        <v>23</v>
      </c>
      <c r="J324" s="17" t="str">
        <f>IFERROR(__xludf.DUMMYFUNCTION("""COMPUTED_VALUE"""),"18-24 tahun")</f>
        <v>18-24 tahun</v>
      </c>
      <c r="K324" s="19">
        <f>IFERROR(__xludf.DUMMYFUNCTION("""COMPUTED_VALUE"""),37452.0)</f>
        <v>37452</v>
      </c>
      <c r="L324" s="19" t="str">
        <f>IFERROR(__xludf.DUMMYFUNCTION("""COMPUTED_VALUE"""),"PEREMPUAN")</f>
        <v>PEREMPUAN</v>
      </c>
      <c r="M324" s="16" t="str">
        <f>IFERROR(__xludf.DUMMYFUNCTION("""COMPUTED_VALUE"""),"JALAN RAYA PAJINTAN")</f>
        <v>JALAN RAYA PAJINTAN</v>
      </c>
      <c r="N324" s="16"/>
      <c r="O324" s="16"/>
      <c r="P324" s="16"/>
      <c r="Q324" s="16"/>
      <c r="R324" s="19" t="str">
        <f>IFERROR(__xludf.DUMMYFUNCTION("""COMPUTED_VALUE"""),"BUDDHA")</f>
        <v>BUDDHA</v>
      </c>
      <c r="S324" s="16" t="str">
        <f>IFERROR(__xludf.DUMMYFUNCTION("""COMPUTED_VALUE"""),"PELAJAR/MAHASISWA")</f>
        <v>PELAJAR/MAHASISWA</v>
      </c>
      <c r="T324" s="16" t="str">
        <f>IFERROR(__xludf.DUMMYFUNCTION("""COMPUTED_VALUE"""),"ANKLE")</f>
        <v>ANKLE</v>
      </c>
      <c r="U324" s="16" t="str">
        <f>IFERROR(__xludf.DUMMYFUNCTION("""COMPUTED_VALUE"""),"BASKET DAN RENANG")</f>
        <v>BASKET DAN RENANG</v>
      </c>
      <c r="V324" s="21" t="str">
        <f>IFERROR(__xludf.DUMMYFUNCTION("""COMPUTED_VALUE"""),"08994308217")</f>
        <v>08994308217</v>
      </c>
      <c r="W324" s="22"/>
    </row>
    <row r="325" ht="22.5" customHeight="1">
      <c r="A325" s="8"/>
      <c r="B325" s="9">
        <f>IFERROR(__xludf.DUMMYFUNCTION("""COMPUTED_VALUE"""),45045.39283114583)</f>
        <v>45045.39283</v>
      </c>
      <c r="C325" s="9"/>
      <c r="D325" s="10">
        <f>IFERROR(__xludf.DUMMYFUNCTION("""COMPUTED_VALUE"""),45046.0)</f>
        <v>45046</v>
      </c>
      <c r="E325" s="10" t="str">
        <f>IFERROR(__xludf.DUMMYFUNCTION("""COMPUTED_VALUE"""),"04Apr")</f>
        <v>04Apr</v>
      </c>
      <c r="F325" s="10" t="str">
        <f>IFERROR(__xludf.DUMMYFUNCTION("""COMPUTED_VALUE"""),"2023")</f>
        <v>2023</v>
      </c>
      <c r="G325" s="16" t="str">
        <f>IFERROR(__xludf.DUMMYFUNCTION("""COMPUTED_VALUE"""),"MASITA")</f>
        <v>MASITA</v>
      </c>
      <c r="H325" s="17" t="str">
        <f>IFERROR(__xludf.DUMMYFUNCTION("""COMPUTED_VALUE"""),"M6523041986")</f>
        <v>M6523041986</v>
      </c>
      <c r="I325" s="17">
        <f>IFERROR(__xludf.DUMMYFUNCTION("""COMPUTED_VALUE"""),60.0)</f>
        <v>60</v>
      </c>
      <c r="J325" s="17" t="str">
        <f>IFERROR(__xludf.DUMMYFUNCTION("""COMPUTED_VALUE"""),"&gt; 44 tahun")</f>
        <v>&gt; 44 tahun</v>
      </c>
      <c r="K325" s="19">
        <f>IFERROR(__xludf.DUMMYFUNCTION("""COMPUTED_VALUE"""),24047.0)</f>
        <v>24047</v>
      </c>
      <c r="L325" s="19" t="str">
        <f>IFERROR(__xludf.DUMMYFUNCTION("""COMPUTED_VALUE"""),"PEREMPUAN")</f>
        <v>PEREMPUAN</v>
      </c>
      <c r="M325" s="16" t="str">
        <f>IFERROR(__xludf.DUMMYFUNCTION("""COMPUTED_VALUE"""),"JL. KARYA BAKTI NO 31")</f>
        <v>JL. KARYA BAKTI NO 31</v>
      </c>
      <c r="N325" s="16"/>
      <c r="O325" s="16"/>
      <c r="P325" s="16"/>
      <c r="Q325" s="16"/>
      <c r="R325" s="19" t="str">
        <f>IFERROR(__xludf.DUMMYFUNCTION("""COMPUTED_VALUE"""),"ISLAM")</f>
        <v>ISLAM</v>
      </c>
      <c r="S325" s="16" t="str">
        <f>IFERROR(__xludf.DUMMYFUNCTION("""COMPUTED_VALUE"""),"ASN")</f>
        <v>ASN</v>
      </c>
      <c r="T325" s="16" t="str">
        <f>IFERROR(__xludf.DUMMYFUNCTION("""COMPUTED_VALUE"""),"NYERI D BAGIAN BAHU DAN SUSAH BUAT AKTIFITAS TERUTAMA UNTUK ANGKAT TANGAN K ATAS")</f>
        <v>NYERI D BAGIAN BAHU DAN SUSAH BUAT AKTIFITAS TERUTAMA UNTUK ANGKAT TANGAN K ATAS</v>
      </c>
      <c r="U325" s="16" t="str">
        <f>IFERROR(__xludf.DUMMYFUNCTION("""COMPUTED_VALUE"""),"MENANAM BUNGA")</f>
        <v>MENANAM BUNGA</v>
      </c>
      <c r="V325" s="21" t="str">
        <f>IFERROR(__xludf.DUMMYFUNCTION("""COMPUTED_VALUE"""),"082226091986")</f>
        <v>082226091986</v>
      </c>
      <c r="W325" s="22"/>
    </row>
    <row r="326" ht="22.5" customHeight="1">
      <c r="A326" s="8"/>
      <c r="B326" s="9">
        <f>IFERROR(__xludf.DUMMYFUNCTION("""COMPUTED_VALUE"""),45045.40390476852)</f>
        <v>45045.4039</v>
      </c>
      <c r="C326" s="9"/>
      <c r="D326" s="10">
        <f>IFERROR(__xludf.DUMMYFUNCTION("""COMPUTED_VALUE"""),45046.0)</f>
        <v>45046</v>
      </c>
      <c r="E326" s="10" t="str">
        <f>IFERROR(__xludf.DUMMYFUNCTION("""COMPUTED_VALUE"""),"04Apr")</f>
        <v>04Apr</v>
      </c>
      <c r="F326" s="10" t="str">
        <f>IFERROR(__xludf.DUMMYFUNCTION("""COMPUTED_VALUE"""),"2023")</f>
        <v>2023</v>
      </c>
      <c r="G326" s="16" t="str">
        <f>IFERROR(__xludf.DUMMYFUNCTION("""COMPUTED_VALUE"""),"CHARLES BRYANT")</f>
        <v>CHARLES BRYANT</v>
      </c>
      <c r="H326" s="17" t="str">
        <f>IFERROR(__xludf.DUMMYFUNCTION("""COMPUTED_VALUE"""),"C0823040636")</f>
        <v>C0823040636</v>
      </c>
      <c r="I326" s="17">
        <f>IFERROR(__xludf.DUMMYFUNCTION("""COMPUTED_VALUE"""),17.0)</f>
        <v>17</v>
      </c>
      <c r="J326" s="17" t="str">
        <f>IFERROR(__xludf.DUMMYFUNCTION("""COMPUTED_VALUE"""),"&lt; 18 tahun")</f>
        <v>&lt; 18 tahun</v>
      </c>
      <c r="K326" s="19">
        <f>IFERROR(__xludf.DUMMYFUNCTION("""COMPUTED_VALUE"""),39780.0)</f>
        <v>39780</v>
      </c>
      <c r="L326" s="19" t="str">
        <f>IFERROR(__xludf.DUMMYFUNCTION("""COMPUTED_VALUE"""),"LAKI-LAKI")</f>
        <v>LAKI-LAKI</v>
      </c>
      <c r="M326" s="16" t="str">
        <f>IFERROR(__xludf.DUMMYFUNCTION("""COMPUTED_VALUE"""),"JLN.PROF.M.YAMIN NO.13")</f>
        <v>JLN.PROF.M.YAMIN NO.13</v>
      </c>
      <c r="N326" s="16"/>
      <c r="O326" s="16"/>
      <c r="P326" s="16"/>
      <c r="Q326" s="16"/>
      <c r="R326" s="19" t="str">
        <f>IFERROR(__xludf.DUMMYFUNCTION("""COMPUTED_VALUE"""),"KHONGHUCU")</f>
        <v>KHONGHUCU</v>
      </c>
      <c r="S326" s="16" t="str">
        <f>IFERROR(__xludf.DUMMYFUNCTION("""COMPUTED_VALUE"""),"PELAJAR/MAHASISWA")</f>
        <v>PELAJAR/MAHASISWA</v>
      </c>
      <c r="T326" s="16" t="str">
        <f>IFERROR(__xludf.DUMMYFUNCTION("""COMPUTED_VALUE"""),"NYERI DAN SAKIT DIKAKI DR PANGKAL PINGGANG KE KAKI N TELAPAK KAKI")</f>
        <v>NYERI DAN SAKIT DIKAKI DR PANGKAL PINGGANG KE KAKI N TELAPAK KAKI</v>
      </c>
      <c r="U326" s="16" t="str">
        <f>IFERROR(__xludf.DUMMYFUNCTION("""COMPUTED_VALUE"""),"MAIN GAME")</f>
        <v>MAIN GAME</v>
      </c>
      <c r="V326" s="21" t="str">
        <f>IFERROR(__xludf.DUMMYFUNCTION("""COMPUTED_VALUE"""),"8985520636")</f>
        <v>8985520636</v>
      </c>
      <c r="W326" s="22"/>
    </row>
    <row r="327" ht="22.5" customHeight="1">
      <c r="A327" s="8"/>
      <c r="B327" s="9">
        <f>IFERROR(__xludf.DUMMYFUNCTION("""COMPUTED_VALUE"""),45045.41235915509)</f>
        <v>45045.41236</v>
      </c>
      <c r="C327" s="9"/>
      <c r="D327" s="10">
        <f>IFERROR(__xludf.DUMMYFUNCTION("""COMPUTED_VALUE"""),45046.0)</f>
        <v>45046</v>
      </c>
      <c r="E327" s="10" t="str">
        <f>IFERROR(__xludf.DUMMYFUNCTION("""COMPUTED_VALUE"""),"04Apr")</f>
        <v>04Apr</v>
      </c>
      <c r="F327" s="10" t="str">
        <f>IFERROR(__xludf.DUMMYFUNCTION("""COMPUTED_VALUE"""),"2023")</f>
        <v>2023</v>
      </c>
      <c r="G327" s="16" t="str">
        <f>IFERROR(__xludf.DUMMYFUNCTION("""COMPUTED_VALUE"""),"SUCI FADHILAH")</f>
        <v>SUCI FADHILAH</v>
      </c>
      <c r="H327" s="17" t="str">
        <f>IFERROR(__xludf.DUMMYFUNCTION("""COMPUTED_VALUE"""),"S9123042997")</f>
        <v>S9123042997</v>
      </c>
      <c r="I327" s="17">
        <f>IFERROR(__xludf.DUMMYFUNCTION("""COMPUTED_VALUE"""),35.0)</f>
        <v>35</v>
      </c>
      <c r="J327" s="17" t="str">
        <f>IFERROR(__xludf.DUMMYFUNCTION("""COMPUTED_VALUE"""),"35-44 tahun")</f>
        <v>35-44 tahun</v>
      </c>
      <c r="K327" s="19">
        <f>IFERROR(__xludf.DUMMYFUNCTION("""COMPUTED_VALUE"""),33263.0)</f>
        <v>33263</v>
      </c>
      <c r="L327" s="19" t="str">
        <f>IFERROR(__xludf.DUMMYFUNCTION("""COMPUTED_VALUE"""),"PEREMPUAN")</f>
        <v>PEREMPUAN</v>
      </c>
      <c r="M327" s="16" t="str">
        <f>IFERROR(__xludf.DUMMYFUNCTION("""COMPUTED_VALUE"""),"JL. KHW. HASYIM GG. AMAL NO. 23")</f>
        <v>JL. KHW. HASYIM GG. AMAL NO. 23</v>
      </c>
      <c r="N327" s="16"/>
      <c r="O327" s="16"/>
      <c r="P327" s="16"/>
      <c r="Q327" s="16"/>
      <c r="R327" s="19" t="str">
        <f>IFERROR(__xludf.DUMMYFUNCTION("""COMPUTED_VALUE"""),"ISLAM")</f>
        <v>ISLAM</v>
      </c>
      <c r="S327" s="16" t="str">
        <f>IFERROR(__xludf.DUMMYFUNCTION("""COMPUTED_VALUE"""),"FREELANCE")</f>
        <v>FREELANCE</v>
      </c>
      <c r="T327" s="16" t="str">
        <f>IFERROR(__xludf.DUMMYFUNCTION("""COMPUTED_VALUE"""),"NYERI DI ENGSEL KAKI")</f>
        <v>NYERI DI ENGSEL KAKI</v>
      </c>
      <c r="U327" s="16" t="str">
        <f>IFERROR(__xludf.DUMMYFUNCTION("""COMPUTED_VALUE"""),"PENARI")</f>
        <v>PENARI</v>
      </c>
      <c r="V327" s="21" t="str">
        <f>IFERROR(__xludf.DUMMYFUNCTION("""COMPUTED_VALUE"""),"081349702997")</f>
        <v>081349702997</v>
      </c>
      <c r="W327" s="22"/>
    </row>
    <row r="328" ht="22.5" customHeight="1">
      <c r="A328" s="8"/>
      <c r="B328" s="9">
        <f>IFERROR(__xludf.DUMMYFUNCTION("""COMPUTED_VALUE"""),45045.48719797454)</f>
        <v>45045.4872</v>
      </c>
      <c r="C328" s="9"/>
      <c r="D328" s="10">
        <f>IFERROR(__xludf.DUMMYFUNCTION("""COMPUTED_VALUE"""),45046.0)</f>
        <v>45046</v>
      </c>
      <c r="E328" s="10" t="str">
        <f>IFERROR(__xludf.DUMMYFUNCTION("""COMPUTED_VALUE"""),"04Apr")</f>
        <v>04Apr</v>
      </c>
      <c r="F328" s="10" t="str">
        <f>IFERROR(__xludf.DUMMYFUNCTION("""COMPUTED_VALUE"""),"2023")</f>
        <v>2023</v>
      </c>
      <c r="G328" s="16" t="str">
        <f>IFERROR(__xludf.DUMMYFUNCTION("""COMPUTED_VALUE"""),"SUJIATI")</f>
        <v>SUJIATI</v>
      </c>
      <c r="H328" s="17" t="str">
        <f>IFERROR(__xludf.DUMMYFUNCTION("""COMPUTED_VALUE"""),"S6723040877")</f>
        <v>S6723040877</v>
      </c>
      <c r="I328" s="17">
        <f>IFERROR(__xludf.DUMMYFUNCTION("""COMPUTED_VALUE"""),59.0)</f>
        <v>59</v>
      </c>
      <c r="J328" s="17" t="str">
        <f>IFERROR(__xludf.DUMMYFUNCTION("""COMPUTED_VALUE"""),"&gt; 44 tahun")</f>
        <v>&gt; 44 tahun</v>
      </c>
      <c r="K328" s="19">
        <f>IFERROR(__xludf.DUMMYFUNCTION("""COMPUTED_VALUE"""),24559.0)</f>
        <v>24559</v>
      </c>
      <c r="L328" s="19" t="str">
        <f>IFERROR(__xludf.DUMMYFUNCTION("""COMPUTED_VALUE"""),"PEREMPUAN")</f>
        <v>PEREMPUAN</v>
      </c>
      <c r="M328" s="16" t="str">
        <f>IFERROR(__xludf.DUMMYFUNCTION("""COMPUTED_VALUE"""),"JLN KAPTEN BAMBANG ISMOYO NO 34 PERUMNAS 3")</f>
        <v>JLN KAPTEN BAMBANG ISMOYO NO 34 PERUMNAS 3</v>
      </c>
      <c r="N328" s="16" t="str">
        <f>IFERROR(__xludf.DUMMYFUNCTION("""COMPUTED_VALUE"""),"KEL. TANJUNG HULU")</f>
        <v>KEL. TANJUNG HULU</v>
      </c>
      <c r="O328" s="16" t="str">
        <f>IFERROR(__xludf.DUMMYFUNCTION("""COMPUTED_VALUE"""),"KEC. PONTIANAK TIMUR")</f>
        <v>KEC. PONTIANAK TIMUR</v>
      </c>
      <c r="P328" s="16" t="str">
        <f>IFERROR(__xludf.DUMMYFUNCTION("""COMPUTED_VALUE"""),"KOTA PONTIANAK")</f>
        <v>KOTA PONTIANAK</v>
      </c>
      <c r="Q328" s="16" t="str">
        <f>IFERROR(__xludf.DUMMYFUNCTION("""COMPUTED_VALUE"""),"KALIMANTAN BARAT")</f>
        <v>KALIMANTAN BARAT</v>
      </c>
      <c r="R328" s="19" t="str">
        <f>IFERROR(__xludf.DUMMYFUNCTION("""COMPUTED_VALUE"""),"ISLAM")</f>
        <v>ISLAM</v>
      </c>
      <c r="S328" s="16" t="str">
        <f>IFERROR(__xludf.DUMMYFUNCTION("""COMPUTED_VALUE"""),"SWASTA")</f>
        <v>SWASTA</v>
      </c>
      <c r="T328" s="16" t="str">
        <f>IFERROR(__xludf.DUMMYFUNCTION("""COMPUTED_VALUE"""),"PINGANG SAKIT")</f>
        <v>PINGANG SAKIT</v>
      </c>
      <c r="U328" s="16" t="str">
        <f>IFERROR(__xludf.DUMMYFUNCTION("""COMPUTED_VALUE"""),"OLGA")</f>
        <v>OLGA</v>
      </c>
      <c r="V328" s="21" t="str">
        <f>IFERROR(__xludf.DUMMYFUNCTION("""COMPUTED_VALUE"""),"081234310877")</f>
        <v>081234310877</v>
      </c>
      <c r="W328" s="22"/>
    </row>
    <row r="329" ht="22.5" customHeight="1">
      <c r="A329" s="8"/>
      <c r="B329" s="9">
        <f>IFERROR(__xludf.DUMMYFUNCTION("""COMPUTED_VALUE"""),45045.49638302083)</f>
        <v>45045.49638</v>
      </c>
      <c r="C329" s="9"/>
      <c r="D329" s="10">
        <f>IFERROR(__xludf.DUMMYFUNCTION("""COMPUTED_VALUE"""),45048.0)</f>
        <v>45048</v>
      </c>
      <c r="E329" s="10" t="str">
        <f>IFERROR(__xludf.DUMMYFUNCTION("""COMPUTED_VALUE"""),"05Mei")</f>
        <v>05Mei</v>
      </c>
      <c r="F329" s="10" t="str">
        <f>IFERROR(__xludf.DUMMYFUNCTION("""COMPUTED_VALUE"""),"2023")</f>
        <v>2023</v>
      </c>
      <c r="G329" s="16" t="str">
        <f>IFERROR(__xludf.DUMMYFUNCTION("""COMPUTED_VALUE"""),"NURUL AZYYATI")</f>
        <v>NURUL AZYYATI</v>
      </c>
      <c r="H329" s="17" t="str">
        <f>IFERROR(__xludf.DUMMYFUNCTION("""COMPUTED_VALUE"""),"N9523056334")</f>
        <v>N9523056334</v>
      </c>
      <c r="I329" s="17">
        <f>IFERROR(__xludf.DUMMYFUNCTION("""COMPUTED_VALUE"""),30.0)</f>
        <v>30</v>
      </c>
      <c r="J329" s="17" t="str">
        <f>IFERROR(__xludf.DUMMYFUNCTION("""COMPUTED_VALUE"""),"25-34 tahun")</f>
        <v>25-34 tahun</v>
      </c>
      <c r="K329" s="19">
        <f>IFERROR(__xludf.DUMMYFUNCTION("""COMPUTED_VALUE"""),35047.0)</f>
        <v>35047</v>
      </c>
      <c r="L329" s="19" t="str">
        <f>IFERROR(__xludf.DUMMYFUNCTION("""COMPUTED_VALUE"""),"PEREMPUAN")</f>
        <v>PEREMPUAN</v>
      </c>
      <c r="M329" s="16" t="str">
        <f>IFERROR(__xludf.DUMMYFUNCTION("""COMPUTED_VALUE"""),"JL. PAK KASIH GG. MERAK 3 NO.27")</f>
        <v>JL. PAK KASIH GG. MERAK 3 NO.27</v>
      </c>
      <c r="N329" s="16"/>
      <c r="O329" s="16"/>
      <c r="P329" s="16"/>
      <c r="Q329" s="16"/>
      <c r="R329" s="19" t="str">
        <f>IFERROR(__xludf.DUMMYFUNCTION("""COMPUTED_VALUE"""),"ISLAM")</f>
        <v>ISLAM</v>
      </c>
      <c r="S329" s="16" t="str">
        <f>IFERROR(__xludf.DUMMYFUNCTION("""COMPUTED_VALUE"""),"SWASTA")</f>
        <v>SWASTA</v>
      </c>
      <c r="T329" s="16" t="str">
        <f>IFERROR(__xludf.DUMMYFUNCTION("""COMPUTED_VALUE"""),"NYERI")</f>
        <v>NYERI</v>
      </c>
      <c r="U329" s="16" t="str">
        <f>IFERROR(__xludf.DUMMYFUNCTION("""COMPUTED_VALUE"""),"BEKERJA DUDUK, BERES BERES PEKERJAAN RUMAH")</f>
        <v>BEKERJA DUDUK, BERES BERES PEKERJAAN RUMAH</v>
      </c>
      <c r="V329" s="21" t="str">
        <f>IFERROR(__xludf.DUMMYFUNCTION("""COMPUTED_VALUE"""),"08973436334")</f>
        <v>08973436334</v>
      </c>
      <c r="W329" s="22"/>
    </row>
    <row r="330" ht="22.5" customHeight="1">
      <c r="A330" s="8"/>
      <c r="B330" s="9">
        <f>IFERROR(__xludf.DUMMYFUNCTION("""COMPUTED_VALUE"""),45045.55806166667)</f>
        <v>45045.55806</v>
      </c>
      <c r="C330" s="9"/>
      <c r="D330" s="10">
        <f>IFERROR(__xludf.DUMMYFUNCTION("""COMPUTED_VALUE"""),45048.0)</f>
        <v>45048</v>
      </c>
      <c r="E330" s="10" t="str">
        <f>IFERROR(__xludf.DUMMYFUNCTION("""COMPUTED_VALUE"""),"05Mei")</f>
        <v>05Mei</v>
      </c>
      <c r="F330" s="10" t="str">
        <f>IFERROR(__xludf.DUMMYFUNCTION("""COMPUTED_VALUE"""),"2023")</f>
        <v>2023</v>
      </c>
      <c r="G330" s="16" t="str">
        <f>IFERROR(__xludf.DUMMYFUNCTION("""COMPUTED_VALUE"""),"BUDI YANTO")</f>
        <v>BUDI YANTO</v>
      </c>
      <c r="H330" s="17" t="str">
        <f>IFERROR(__xludf.DUMMYFUNCTION("""COMPUTED_VALUE"""),"B6723058535")</f>
        <v>B6723058535</v>
      </c>
      <c r="I330" s="17">
        <f>IFERROR(__xludf.DUMMYFUNCTION("""COMPUTED_VALUE"""),58.0)</f>
        <v>58</v>
      </c>
      <c r="J330" s="17" t="str">
        <f>IFERROR(__xludf.DUMMYFUNCTION("""COMPUTED_VALUE"""),"&gt; 44 tahun")</f>
        <v>&gt; 44 tahun</v>
      </c>
      <c r="K330" s="19">
        <f>IFERROR(__xludf.DUMMYFUNCTION("""COMPUTED_VALUE"""),24721.0)</f>
        <v>24721</v>
      </c>
      <c r="L330" s="19" t="str">
        <f>IFERROR(__xludf.DUMMYFUNCTION("""COMPUTED_VALUE"""),"LAKI-LAKI")</f>
        <v>LAKI-LAKI</v>
      </c>
      <c r="M330" s="16" t="str">
        <f>IFERROR(__xludf.DUMMYFUNCTION("""COMPUTED_VALUE"""),"JL TANJUNG RAYA 2 KOMPLEK BALI LESTARI BLOK H.5")</f>
        <v>JL TANJUNG RAYA 2 KOMPLEK BALI LESTARI BLOK H.5</v>
      </c>
      <c r="N330" s="16"/>
      <c r="O330" s="16"/>
      <c r="P330" s="16"/>
      <c r="Q330" s="16"/>
      <c r="R330" s="19" t="str">
        <f>IFERROR(__xludf.DUMMYFUNCTION("""COMPUTED_VALUE"""),"ISLAM")</f>
        <v>ISLAM</v>
      </c>
      <c r="S330" s="16" t="str">
        <f>IFERROR(__xludf.DUMMYFUNCTION("""COMPUTED_VALUE"""),"ASN")</f>
        <v>ASN</v>
      </c>
      <c r="T330" s="16" t="str">
        <f>IFERROR(__xludf.DUMMYFUNCTION("""COMPUTED_VALUE"""),"SAKIT PINGGANG")</f>
        <v>SAKIT PINGGANG</v>
      </c>
      <c r="U330" s="16" t="str">
        <f>IFERROR(__xludf.DUMMYFUNCTION("""COMPUTED_VALUE"""),"BERTANAM PERTAMAN KOTA")</f>
        <v>BERTANAM PERTAMAN KOTA</v>
      </c>
      <c r="V330" s="21" t="str">
        <f>IFERROR(__xludf.DUMMYFUNCTION("""COMPUTED_VALUE"""),"08125728535")</f>
        <v>08125728535</v>
      </c>
      <c r="W330" s="22"/>
    </row>
    <row r="331" ht="22.5" customHeight="1">
      <c r="A331" s="8"/>
      <c r="B331" s="9">
        <f>IFERROR(__xludf.DUMMYFUNCTION("""COMPUTED_VALUE"""),45045.58749476852)</f>
        <v>45045.58749</v>
      </c>
      <c r="C331" s="9"/>
      <c r="D331" s="10">
        <f>IFERROR(__xludf.DUMMYFUNCTION("""COMPUTED_VALUE"""),45048.0)</f>
        <v>45048</v>
      </c>
      <c r="E331" s="10" t="str">
        <f>IFERROR(__xludf.DUMMYFUNCTION("""COMPUTED_VALUE"""),"05Mei")</f>
        <v>05Mei</v>
      </c>
      <c r="F331" s="10" t="str">
        <f>IFERROR(__xludf.DUMMYFUNCTION("""COMPUTED_VALUE"""),"2023")</f>
        <v>2023</v>
      </c>
      <c r="G331" s="16" t="str">
        <f>IFERROR(__xludf.DUMMYFUNCTION("""COMPUTED_VALUE"""),"SYPRIANUS MEI")</f>
        <v>SYPRIANUS MEI</v>
      </c>
      <c r="H331" s="17" t="str">
        <f>IFERROR(__xludf.DUMMYFUNCTION("""COMPUTED_VALUE"""),"S7123053202")</f>
        <v>S7123053202</v>
      </c>
      <c r="I331" s="17">
        <f>IFERROR(__xludf.DUMMYFUNCTION("""COMPUTED_VALUE"""),54.0)</f>
        <v>54</v>
      </c>
      <c r="J331" s="17" t="str">
        <f>IFERROR(__xludf.DUMMYFUNCTION("""COMPUTED_VALUE"""),"&gt; 44 tahun")</f>
        <v>&gt; 44 tahun</v>
      </c>
      <c r="K331" s="19">
        <f>IFERROR(__xludf.DUMMYFUNCTION("""COMPUTED_VALUE"""),26110.0)</f>
        <v>26110</v>
      </c>
      <c r="L331" s="19" t="str">
        <f>IFERROR(__xludf.DUMMYFUNCTION("""COMPUTED_VALUE"""),"LAKI-LAKI")</f>
        <v>LAKI-LAKI</v>
      </c>
      <c r="M331" s="16" t="str">
        <f>IFERROR(__xludf.DUMMYFUNCTION("""COMPUTED_VALUE"""),"JL. PURNAMA II GG. USU KAMANG")</f>
        <v>JL. PURNAMA II GG. USU KAMANG</v>
      </c>
      <c r="N331" s="16"/>
      <c r="O331" s="16"/>
      <c r="P331" s="16"/>
      <c r="Q331" s="16"/>
      <c r="R331" s="19" t="str">
        <f>IFERROR(__xludf.DUMMYFUNCTION("""COMPUTED_VALUE"""),"KATOLIK")</f>
        <v>KATOLIK</v>
      </c>
      <c r="S331" s="16" t="str">
        <f>IFERROR(__xludf.DUMMYFUNCTION("""COMPUTED_VALUE"""),"WIRASWASTA")</f>
        <v>WIRASWASTA</v>
      </c>
      <c r="T331" s="16" t="str">
        <f>IFERROR(__xludf.DUMMYFUNCTION("""COMPUTED_VALUE"""),"KAKI SAMPAI TELAPAK KAKI")</f>
        <v>KAKI SAMPAI TELAPAK KAKI</v>
      </c>
      <c r="U331" s="16" t="str">
        <f>IFERROR(__xludf.DUMMYFUNCTION("""COMPUTED_VALUE"""),"SUPIR PICK UP")</f>
        <v>SUPIR PICK UP</v>
      </c>
      <c r="V331" s="21" t="str">
        <f>IFERROR(__xludf.DUMMYFUNCTION("""COMPUTED_VALUE"""),"082155243202")</f>
        <v>082155243202</v>
      </c>
      <c r="W331" s="22"/>
    </row>
    <row r="332" ht="22.5" customHeight="1">
      <c r="A332" s="8"/>
      <c r="B332" s="9">
        <f>IFERROR(__xludf.DUMMYFUNCTION("""COMPUTED_VALUE"""),45045.59769440972)</f>
        <v>45045.59769</v>
      </c>
      <c r="C332" s="9"/>
      <c r="D332" s="10">
        <f>IFERROR(__xludf.DUMMYFUNCTION("""COMPUTED_VALUE"""),45048.0)</f>
        <v>45048</v>
      </c>
      <c r="E332" s="10" t="str">
        <f>IFERROR(__xludf.DUMMYFUNCTION("""COMPUTED_VALUE"""),"05Mei")</f>
        <v>05Mei</v>
      </c>
      <c r="F332" s="10" t="str">
        <f>IFERROR(__xludf.DUMMYFUNCTION("""COMPUTED_VALUE"""),"2023")</f>
        <v>2023</v>
      </c>
      <c r="G332" s="16" t="str">
        <f>IFERROR(__xludf.DUMMYFUNCTION("""COMPUTED_VALUE"""),"DINUL ERSHA AKBAR")</f>
        <v>DINUL ERSHA AKBAR</v>
      </c>
      <c r="H332" s="17" t="str">
        <f>IFERROR(__xludf.DUMMYFUNCTION("""COMPUTED_VALUE"""),"D8723056393")</f>
        <v>D8723056393</v>
      </c>
      <c r="I332" s="17">
        <f>IFERROR(__xludf.DUMMYFUNCTION("""COMPUTED_VALUE"""),38.0)</f>
        <v>38</v>
      </c>
      <c r="J332" s="17" t="str">
        <f>IFERROR(__xludf.DUMMYFUNCTION("""COMPUTED_VALUE"""),"35-44 tahun")</f>
        <v>35-44 tahun</v>
      </c>
      <c r="K332" s="19">
        <f>IFERROR(__xludf.DUMMYFUNCTION("""COMPUTED_VALUE"""),32024.0)</f>
        <v>32024</v>
      </c>
      <c r="L332" s="19" t="str">
        <f>IFERROR(__xludf.DUMMYFUNCTION("""COMPUTED_VALUE"""),"LAKI-LAKI")</f>
        <v>LAKI-LAKI</v>
      </c>
      <c r="M332" s="16" t="str">
        <f>IFERROR(__xludf.DUMMYFUNCTION("""COMPUTED_VALUE"""),"JALAN KARANGAN UNTAN NOMOR 3")</f>
        <v>JALAN KARANGAN UNTAN NOMOR 3</v>
      </c>
      <c r="N332" s="16"/>
      <c r="O332" s="16"/>
      <c r="P332" s="16"/>
      <c r="Q332" s="16"/>
      <c r="R332" s="19" t="str">
        <f>IFERROR(__xludf.DUMMYFUNCTION("""COMPUTED_VALUE"""),"ISLAM")</f>
        <v>ISLAM</v>
      </c>
      <c r="S332" s="16" t="str">
        <f>IFERROR(__xludf.DUMMYFUNCTION("""COMPUTED_VALUE"""),"PERBANKAN")</f>
        <v>PERBANKAN</v>
      </c>
      <c r="T332" s="16" t="str">
        <f>IFERROR(__xludf.DUMMYFUNCTION("""COMPUTED_VALUE"""),"BAHU KANAN")</f>
        <v>BAHU KANAN</v>
      </c>
      <c r="U332" s="16" t="str">
        <f>IFERROR(__xludf.DUMMYFUNCTION("""COMPUTED_VALUE"""),"KERJA")</f>
        <v>KERJA</v>
      </c>
      <c r="V332" s="21" t="str">
        <f>IFERROR(__xludf.DUMMYFUNCTION("""COMPUTED_VALUE"""),"081288936393")</f>
        <v>081288936393</v>
      </c>
      <c r="W332" s="22"/>
    </row>
    <row r="333" ht="22.5" customHeight="1">
      <c r="A333" s="8"/>
      <c r="B333" s="9">
        <f>IFERROR(__xludf.DUMMYFUNCTION("""COMPUTED_VALUE"""),45046.51042465278)</f>
        <v>45046.51042</v>
      </c>
      <c r="C333" s="9"/>
      <c r="D333" s="10">
        <f>IFERROR(__xludf.DUMMYFUNCTION("""COMPUTED_VALUE"""),45048.0)</f>
        <v>45048</v>
      </c>
      <c r="E333" s="10" t="str">
        <f>IFERROR(__xludf.DUMMYFUNCTION("""COMPUTED_VALUE"""),"05Mei")</f>
        <v>05Mei</v>
      </c>
      <c r="F333" s="10" t="str">
        <f>IFERROR(__xludf.DUMMYFUNCTION("""COMPUTED_VALUE"""),"2023")</f>
        <v>2023</v>
      </c>
      <c r="G333" s="16" t="str">
        <f>IFERROR(__xludf.DUMMYFUNCTION("""COMPUTED_VALUE"""),"RORA FITRIANI")</f>
        <v>RORA FITRIANI</v>
      </c>
      <c r="H333" s="17" t="str">
        <f>IFERROR(__xludf.DUMMYFUNCTION("""COMPUTED_VALUE"""),"R8423057708")</f>
        <v>R8423057708</v>
      </c>
      <c r="I333" s="17">
        <f>IFERROR(__xludf.DUMMYFUNCTION("""COMPUTED_VALUE"""),41.0)</f>
        <v>41</v>
      </c>
      <c r="J333" s="17" t="str">
        <f>IFERROR(__xludf.DUMMYFUNCTION("""COMPUTED_VALUE"""),"35-44 tahun")</f>
        <v>35-44 tahun</v>
      </c>
      <c r="K333" s="19">
        <f>IFERROR(__xludf.DUMMYFUNCTION("""COMPUTED_VALUE"""),31035.0)</f>
        <v>31035</v>
      </c>
      <c r="L333" s="19" t="str">
        <f>IFERROR(__xludf.DUMMYFUNCTION("""COMPUTED_VALUE"""),"PEREMPUAN")</f>
        <v>PEREMPUAN</v>
      </c>
      <c r="M333" s="16" t="str">
        <f>IFERROR(__xludf.DUMMYFUNCTION("""COMPUTED_VALUE"""),"JL. PERDAMAIAN GANG TUNAS BARU NOMOR 20")</f>
        <v>JL. PERDAMAIAN GANG TUNAS BARU NOMOR 20</v>
      </c>
      <c r="N333" s="16"/>
      <c r="O333" s="16"/>
      <c r="P333" s="16"/>
      <c r="Q333" s="16"/>
      <c r="R333" s="19" t="str">
        <f>IFERROR(__xludf.DUMMYFUNCTION("""COMPUTED_VALUE"""),"ISLAM")</f>
        <v>ISLAM</v>
      </c>
      <c r="S333" s="16" t="str">
        <f>IFERROR(__xludf.DUMMYFUNCTION("""COMPUTED_VALUE"""),"ASN")</f>
        <v>ASN</v>
      </c>
      <c r="T333" s="16" t="str">
        <f>IFERROR(__xludf.DUMMYFUNCTION("""COMPUTED_VALUE"""),"KAKI KIRI LEMAH")</f>
        <v>KAKI KIRI LEMAH</v>
      </c>
      <c r="U333" s="16" t="str">
        <f>IFERROR(__xludf.DUMMYFUNCTION("""COMPUTED_VALUE"""),"MUSIK")</f>
        <v>MUSIK</v>
      </c>
      <c r="V333" s="21" t="str">
        <f>IFERROR(__xludf.DUMMYFUNCTION("""COMPUTED_VALUE"""),"085249987708")</f>
        <v>085249987708</v>
      </c>
      <c r="W333" s="22"/>
    </row>
    <row r="334" ht="22.5" customHeight="1">
      <c r="A334" s="8"/>
      <c r="B334" s="9">
        <f>IFERROR(__xludf.DUMMYFUNCTION("""COMPUTED_VALUE"""),45046.77782403935)</f>
        <v>45046.77782</v>
      </c>
      <c r="C334" s="9"/>
      <c r="D334" s="10">
        <f>IFERROR(__xludf.DUMMYFUNCTION("""COMPUTED_VALUE"""),45049.0)</f>
        <v>45049</v>
      </c>
      <c r="E334" s="10" t="str">
        <f>IFERROR(__xludf.DUMMYFUNCTION("""COMPUTED_VALUE"""),"05Mei")</f>
        <v>05Mei</v>
      </c>
      <c r="F334" s="10" t="str">
        <f>IFERROR(__xludf.DUMMYFUNCTION("""COMPUTED_VALUE"""),"2023")</f>
        <v>2023</v>
      </c>
      <c r="G334" s="16" t="str">
        <f>IFERROR(__xludf.DUMMYFUNCTION("""COMPUTED_VALUE"""),"TRIES ANJAR SARI")</f>
        <v>TRIES ANJAR SARI</v>
      </c>
      <c r="H334" s="17" t="str">
        <f>IFERROR(__xludf.DUMMYFUNCTION("""COMPUTED_VALUE"""),"T9423056309")</f>
        <v>T9423056309</v>
      </c>
      <c r="I334" s="17">
        <f>IFERROR(__xludf.DUMMYFUNCTION("""COMPUTED_VALUE"""),32.0)</f>
        <v>32</v>
      </c>
      <c r="J334" s="17" t="str">
        <f>IFERROR(__xludf.DUMMYFUNCTION("""COMPUTED_VALUE"""),"25-34 tahun")</f>
        <v>25-34 tahun</v>
      </c>
      <c r="K334" s="19">
        <f>IFERROR(__xludf.DUMMYFUNCTION("""COMPUTED_VALUE"""),34453.0)</f>
        <v>34453</v>
      </c>
      <c r="L334" s="19" t="str">
        <f>IFERROR(__xludf.DUMMYFUNCTION("""COMPUTED_VALUE"""),"PEREMPUAN")</f>
        <v>PEREMPUAN</v>
      </c>
      <c r="M334" s="16" t="str">
        <f>IFERROR(__xludf.DUMMYFUNCTION("""COMPUTED_VALUE"""),"JL. DANAU SENTARUM KOMP SENTARUM SEJAHTERA 1 A54")</f>
        <v>JL. DANAU SENTARUM KOMP SENTARUM SEJAHTERA 1 A54</v>
      </c>
      <c r="N334" s="16"/>
      <c r="O334" s="16"/>
      <c r="P334" s="16"/>
      <c r="Q334" s="16"/>
      <c r="R334" s="19" t="str">
        <f>IFERROR(__xludf.DUMMYFUNCTION("""COMPUTED_VALUE"""),"ISLAM")</f>
        <v>ISLAM</v>
      </c>
      <c r="S334" s="16" t="str">
        <f>IFERROR(__xludf.DUMMYFUNCTION("""COMPUTED_VALUE"""),"ASN")</f>
        <v>ASN</v>
      </c>
      <c r="T334" s="16" t="str">
        <f>IFERROR(__xludf.DUMMYFUNCTION("""COMPUTED_VALUE"""),"CIDERA TENDON DI PERGELANGAN TANGAN KIRI")</f>
        <v>CIDERA TENDON DI PERGELANGAN TANGAN KIRI</v>
      </c>
      <c r="U334" s="16" t="str">
        <f>IFERROR(__xludf.DUMMYFUNCTION("""COMPUTED_VALUE"""),"KERJA DI KANTOR, NGASUH BAYI")</f>
        <v>KERJA DI KANTOR, NGASUH BAYI</v>
      </c>
      <c r="V334" s="21" t="str">
        <f>IFERROR(__xludf.DUMMYFUNCTION("""COMPUTED_VALUE"""),"081253446309")</f>
        <v>081253446309</v>
      </c>
      <c r="W334" s="22"/>
    </row>
    <row r="335" ht="22.5" customHeight="1">
      <c r="A335" s="8"/>
      <c r="B335" s="9">
        <f>IFERROR(__xludf.DUMMYFUNCTION("""COMPUTED_VALUE"""),45048.43475644676)</f>
        <v>45048.43476</v>
      </c>
      <c r="C335" s="9"/>
      <c r="D335" s="10">
        <f>IFERROR(__xludf.DUMMYFUNCTION("""COMPUTED_VALUE"""),45049.0)</f>
        <v>45049</v>
      </c>
      <c r="E335" s="10" t="str">
        <f>IFERROR(__xludf.DUMMYFUNCTION("""COMPUTED_VALUE"""),"05Mei")</f>
        <v>05Mei</v>
      </c>
      <c r="F335" s="10" t="str">
        <f>IFERROR(__xludf.DUMMYFUNCTION("""COMPUTED_VALUE"""),"2023")</f>
        <v>2023</v>
      </c>
      <c r="G335" s="16" t="str">
        <f>IFERROR(__xludf.DUMMYFUNCTION("""COMPUTED_VALUE"""),"SATRIA MUTASATYA")</f>
        <v>SATRIA MUTASATYA</v>
      </c>
      <c r="H335" s="17" t="str">
        <f>IFERROR(__xludf.DUMMYFUNCTION("""COMPUTED_VALUE"""),"S0823055584")</f>
        <v>S0823055584</v>
      </c>
      <c r="I335" s="17">
        <f>IFERROR(__xludf.DUMMYFUNCTION("""COMPUTED_VALUE"""),18.0)</f>
        <v>18</v>
      </c>
      <c r="J335" s="17" t="str">
        <f>IFERROR(__xludf.DUMMYFUNCTION("""COMPUTED_VALUE"""),"&lt; 18 tahun")</f>
        <v>&lt; 18 tahun</v>
      </c>
      <c r="K335" s="19">
        <f>IFERROR(__xludf.DUMMYFUNCTION("""COMPUTED_VALUE"""),39454.0)</f>
        <v>39454</v>
      </c>
      <c r="L335" s="19" t="str">
        <f>IFERROR(__xludf.DUMMYFUNCTION("""COMPUTED_VALUE"""),"LAKI-LAKI")</f>
        <v>LAKI-LAKI</v>
      </c>
      <c r="M335" s="16" t="str">
        <f>IFERROR(__xludf.DUMMYFUNCTION("""COMPUTED_VALUE"""),"J.KARET OMP. INTAN PERMARA NO A 12")</f>
        <v>J.KARET OMP. INTAN PERMARA NO A 12</v>
      </c>
      <c r="N335" s="16"/>
      <c r="O335" s="16"/>
      <c r="P335" s="16"/>
      <c r="Q335" s="16"/>
      <c r="R335" s="19" t="str">
        <f>IFERROR(__xludf.DUMMYFUNCTION("""COMPUTED_VALUE"""),"ISLAM")</f>
        <v>ISLAM</v>
      </c>
      <c r="S335" s="16" t="str">
        <f>IFERROR(__xludf.DUMMYFUNCTION("""COMPUTED_VALUE"""),"PELAJAR/MAHASISWA")</f>
        <v>PELAJAR/MAHASISWA</v>
      </c>
      <c r="T335" s="16" t="str">
        <f>IFERROR(__xludf.DUMMYFUNCTION("""COMPUTED_VALUE"""),"NYERI OTOT BRLAKANG PAHA DAN")</f>
        <v>NYERI OTOT BRLAKANG PAHA DAN</v>
      </c>
      <c r="U335" s="16" t="str">
        <f>IFERROR(__xludf.DUMMYFUNCTION("""COMPUTED_VALUE"""),"OLAH RAGA ( FUTSAL )")</f>
        <v>OLAH RAGA ( FUTSAL )</v>
      </c>
      <c r="V335" s="21" t="str">
        <f>IFERROR(__xludf.DUMMYFUNCTION("""COMPUTED_VALUE"""),"0895340945584")</f>
        <v>0895340945584</v>
      </c>
      <c r="W335" s="22"/>
    </row>
    <row r="336" ht="22.5" customHeight="1">
      <c r="A336" s="8"/>
      <c r="B336" s="9">
        <f>IFERROR(__xludf.DUMMYFUNCTION("""COMPUTED_VALUE"""),45048.4912034838)</f>
        <v>45048.4912</v>
      </c>
      <c r="C336" s="9"/>
      <c r="D336" s="10">
        <f>IFERROR(__xludf.DUMMYFUNCTION("""COMPUTED_VALUE"""),45049.0)</f>
        <v>45049</v>
      </c>
      <c r="E336" s="10" t="str">
        <f>IFERROR(__xludf.DUMMYFUNCTION("""COMPUTED_VALUE"""),"05Mei")</f>
        <v>05Mei</v>
      </c>
      <c r="F336" s="10" t="str">
        <f>IFERROR(__xludf.DUMMYFUNCTION("""COMPUTED_VALUE"""),"2023")</f>
        <v>2023</v>
      </c>
      <c r="G336" s="16" t="str">
        <f>IFERROR(__xludf.DUMMYFUNCTION("""COMPUTED_VALUE"""),"CINDY EKA PURNAMASARI")</f>
        <v>CINDY EKA PURNAMASARI</v>
      </c>
      <c r="H336" s="17" t="str">
        <f>IFERROR(__xludf.DUMMYFUNCTION("""COMPUTED_VALUE"""),"C9923052137")</f>
        <v>C9923052137</v>
      </c>
      <c r="I336" s="17">
        <f>IFERROR(__xludf.DUMMYFUNCTION("""COMPUTED_VALUE"""),26.0)</f>
        <v>26</v>
      </c>
      <c r="J336" s="17" t="str">
        <f>IFERROR(__xludf.DUMMYFUNCTION("""COMPUTED_VALUE"""),"25-34 tahun")</f>
        <v>25-34 tahun</v>
      </c>
      <c r="K336" s="19">
        <f>IFERROR(__xludf.DUMMYFUNCTION("""COMPUTED_VALUE"""),36496.0)</f>
        <v>36496</v>
      </c>
      <c r="L336" s="19" t="str">
        <f>IFERROR(__xludf.DUMMYFUNCTION("""COMPUTED_VALUE"""),"PEREMPUAN")</f>
        <v>PEREMPUAN</v>
      </c>
      <c r="M336" s="16" t="str">
        <f>IFERROR(__xludf.DUMMYFUNCTION("""COMPUTED_VALUE"""),"JLN . PADAT KARYA ( SAIGON ) KOMPLEK FAJAR ASRI 2 NO2A")</f>
        <v>JLN . PADAT KARYA ( SAIGON ) KOMPLEK FAJAR ASRI 2 NO2A</v>
      </c>
      <c r="N336" s="16"/>
      <c r="O336" s="16"/>
      <c r="P336" s="16"/>
      <c r="Q336" s="16"/>
      <c r="R336" s="19" t="str">
        <f>IFERROR(__xludf.DUMMYFUNCTION("""COMPUTED_VALUE"""),"LAINNYA")</f>
        <v>LAINNYA</v>
      </c>
      <c r="S336" s="16" t="str">
        <f>IFERROR(__xludf.DUMMYFUNCTION("""COMPUTED_VALUE"""),"RUMAH TANGGA")</f>
        <v>RUMAH TANGGA</v>
      </c>
      <c r="T336" s="16" t="str">
        <f>IFERROR(__xludf.DUMMYFUNCTION("""COMPUTED_VALUE"""),"ALERGI DINGIN ( HIDUNG BENGKAK )")</f>
        <v>ALERGI DINGIN ( HIDUNG BENGKAK )</v>
      </c>
      <c r="U336" s="16" t="str">
        <f>IFERROR(__xludf.DUMMYFUNCTION("""COMPUTED_VALUE"""),"IRT")</f>
        <v>IRT</v>
      </c>
      <c r="V336" s="21" t="str">
        <f>IFERROR(__xludf.DUMMYFUNCTION("""COMPUTED_VALUE"""),"081250252137")</f>
        <v>081250252137</v>
      </c>
      <c r="W336" s="22"/>
    </row>
    <row r="337" ht="22.5" customHeight="1">
      <c r="A337" s="8"/>
      <c r="B337" s="9">
        <f>IFERROR(__xludf.DUMMYFUNCTION("""COMPUTED_VALUE"""),45048.49621456019)</f>
        <v>45048.49621</v>
      </c>
      <c r="C337" s="9"/>
      <c r="D337" s="10">
        <f>IFERROR(__xludf.DUMMYFUNCTION("""COMPUTED_VALUE"""),45049.0)</f>
        <v>45049</v>
      </c>
      <c r="E337" s="10" t="str">
        <f>IFERROR(__xludf.DUMMYFUNCTION("""COMPUTED_VALUE"""),"05Mei")</f>
        <v>05Mei</v>
      </c>
      <c r="F337" s="10" t="str">
        <f>IFERROR(__xludf.DUMMYFUNCTION("""COMPUTED_VALUE"""),"2023")</f>
        <v>2023</v>
      </c>
      <c r="G337" s="16" t="str">
        <f>IFERROR(__xludf.DUMMYFUNCTION("""COMPUTED_VALUE"""),"SUTINA BAKI")</f>
        <v>SUTINA BAKI</v>
      </c>
      <c r="H337" s="17" t="str">
        <f>IFERROR(__xludf.DUMMYFUNCTION("""COMPUTED_VALUE"""),"S4223058550")</f>
        <v>S4223058550</v>
      </c>
      <c r="I337" s="17">
        <f>IFERROR(__xludf.DUMMYFUNCTION("""COMPUTED_VALUE"""),84.0)</f>
        <v>84</v>
      </c>
      <c r="J337" s="17" t="str">
        <f>IFERROR(__xludf.DUMMYFUNCTION("""COMPUTED_VALUE"""),"&gt; 44 tahun")</f>
        <v>&gt; 44 tahun</v>
      </c>
      <c r="K337" s="19">
        <f>IFERROR(__xludf.DUMMYFUNCTION("""COMPUTED_VALUE"""),15394.0)</f>
        <v>15394</v>
      </c>
      <c r="L337" s="19" t="str">
        <f>IFERROR(__xludf.DUMMYFUNCTION("""COMPUTED_VALUE"""),"PEREMPUAN")</f>
        <v>PEREMPUAN</v>
      </c>
      <c r="M337" s="16" t="str">
        <f>IFERROR(__xludf.DUMMYFUNCTION("""COMPUTED_VALUE"""),"JL. KETAPANG DALAM")</f>
        <v>JL. KETAPANG DALAM</v>
      </c>
      <c r="N337" s="16"/>
      <c r="O337" s="16"/>
      <c r="P337" s="16"/>
      <c r="Q337" s="16"/>
      <c r="R337" s="19" t="str">
        <f>IFERROR(__xludf.DUMMYFUNCTION("""COMPUTED_VALUE"""),"KATOLIK")</f>
        <v>KATOLIK</v>
      </c>
      <c r="S337" s="16" t="str">
        <f>IFERROR(__xludf.DUMMYFUNCTION("""COMPUTED_VALUE"""),"RUMAH TANGGA")</f>
        <v>RUMAH TANGGA</v>
      </c>
      <c r="T337" s="16" t="str">
        <f>IFERROR(__xludf.DUMMYFUNCTION("""COMPUTED_VALUE"""),"KAKI TIDAK BISA DITEKUK &amp; TANGAN TIDAK BISA DIKEPAL")</f>
        <v>KAKI TIDAK BISA DITEKUK &amp; TANGAN TIDAK BISA DIKEPAL</v>
      </c>
      <c r="U337" s="16" t="str">
        <f>IFERROR(__xludf.DUMMYFUNCTION("""COMPUTED_VALUE"""),"MEMASAK")</f>
        <v>MEMASAK</v>
      </c>
      <c r="V337" s="21" t="str">
        <f>IFERROR(__xludf.DUMMYFUNCTION("""COMPUTED_VALUE"""),"081254118550")</f>
        <v>081254118550</v>
      </c>
      <c r="W337" s="22"/>
    </row>
    <row r="338" ht="22.5" customHeight="1">
      <c r="A338" s="8"/>
      <c r="B338" s="9">
        <f>IFERROR(__xludf.DUMMYFUNCTION("""COMPUTED_VALUE"""),45048.59326702546)</f>
        <v>45048.59327</v>
      </c>
      <c r="C338" s="9"/>
      <c r="D338" s="10">
        <f>IFERROR(__xludf.DUMMYFUNCTION("""COMPUTED_VALUE"""),45049.0)</f>
        <v>45049</v>
      </c>
      <c r="E338" s="10" t="str">
        <f>IFERROR(__xludf.DUMMYFUNCTION("""COMPUTED_VALUE"""),"05Mei")</f>
        <v>05Mei</v>
      </c>
      <c r="F338" s="10" t="str">
        <f>IFERROR(__xludf.DUMMYFUNCTION("""COMPUTED_VALUE"""),"2023")</f>
        <v>2023</v>
      </c>
      <c r="G338" s="16" t="str">
        <f>IFERROR(__xludf.DUMMYFUNCTION("""COMPUTED_VALUE"""),"RANGGA ARNANTA PRATAMA")</f>
        <v>RANGGA ARNANTA PRATAMA</v>
      </c>
      <c r="H338" s="17" t="str">
        <f>IFERROR(__xludf.DUMMYFUNCTION("""COMPUTED_VALUE"""),"R0323059879")</f>
        <v>R0323059879</v>
      </c>
      <c r="I338" s="17">
        <f>IFERROR(__xludf.DUMMYFUNCTION("""COMPUTED_VALUE"""),22.0)</f>
        <v>22</v>
      </c>
      <c r="J338" s="17" t="str">
        <f>IFERROR(__xludf.DUMMYFUNCTION("""COMPUTED_VALUE"""),"18-24 tahun")</f>
        <v>18-24 tahun</v>
      </c>
      <c r="K338" s="19">
        <f>IFERROR(__xludf.DUMMYFUNCTION("""COMPUTED_VALUE"""),37978.0)</f>
        <v>37978</v>
      </c>
      <c r="L338" s="19" t="str">
        <f>IFERROR(__xludf.DUMMYFUNCTION("""COMPUTED_VALUE"""),"LAKI-LAKI")</f>
        <v>LAKI-LAKI</v>
      </c>
      <c r="M338" s="16" t="str">
        <f>IFERROR(__xludf.DUMMYFUNCTION("""COMPUTED_VALUE"""),"JL DARUNAJAH")</f>
        <v>JL DARUNAJAH</v>
      </c>
      <c r="N338" s="16"/>
      <c r="O338" s="16"/>
      <c r="P338" s="16"/>
      <c r="Q338" s="16"/>
      <c r="R338" s="19" t="str">
        <f>IFERROR(__xludf.DUMMYFUNCTION("""COMPUTED_VALUE"""),"ISLAM")</f>
        <v>ISLAM</v>
      </c>
      <c r="S338" s="16" t="str">
        <f>IFERROR(__xludf.DUMMYFUNCTION("""COMPUTED_VALUE"""),"PELAJAR/MAHASISWA")</f>
        <v>PELAJAR/MAHASISWA</v>
      </c>
      <c r="T338" s="16" t="str">
        <f>IFERROR(__xludf.DUMMYFUNCTION("""COMPUTED_VALUE"""),"SKOLIOSIS RINGAN")</f>
        <v>SKOLIOSIS RINGAN</v>
      </c>
      <c r="U338" s="16" t="str">
        <f>IFERROR(__xludf.DUMMYFUNCTION("""COMPUTED_VALUE"""),"LARI")</f>
        <v>LARI</v>
      </c>
      <c r="V338" s="21" t="str">
        <f>IFERROR(__xludf.DUMMYFUNCTION("""COMPUTED_VALUE"""),"082149609879")</f>
        <v>082149609879</v>
      </c>
      <c r="W338" s="22"/>
    </row>
    <row r="339" ht="22.5" customHeight="1">
      <c r="A339" s="8"/>
      <c r="B339" s="9">
        <f>IFERROR(__xludf.DUMMYFUNCTION("""COMPUTED_VALUE"""),45048.59844177084)</f>
        <v>45048.59844</v>
      </c>
      <c r="C339" s="9"/>
      <c r="D339" s="10">
        <f>IFERROR(__xludf.DUMMYFUNCTION("""COMPUTED_VALUE"""),45050.0)</f>
        <v>45050</v>
      </c>
      <c r="E339" s="10" t="str">
        <f>IFERROR(__xludf.DUMMYFUNCTION("""COMPUTED_VALUE"""),"05Mei")</f>
        <v>05Mei</v>
      </c>
      <c r="F339" s="10" t="str">
        <f>IFERROR(__xludf.DUMMYFUNCTION("""COMPUTED_VALUE"""),"2023")</f>
        <v>2023</v>
      </c>
      <c r="G339" s="16" t="str">
        <f>IFERROR(__xludf.DUMMYFUNCTION("""COMPUTED_VALUE"""),"HARIYANDI")</f>
        <v>HARIYANDI</v>
      </c>
      <c r="H339" s="17" t="str">
        <f>IFERROR(__xludf.DUMMYFUNCTION("""COMPUTED_VALUE"""),"H9723057881")</f>
        <v>H9723057881</v>
      </c>
      <c r="I339" s="17">
        <f>IFERROR(__xludf.DUMMYFUNCTION("""COMPUTED_VALUE"""),29.0)</f>
        <v>29</v>
      </c>
      <c r="J339" s="17" t="str">
        <f>IFERROR(__xludf.DUMMYFUNCTION("""COMPUTED_VALUE"""),"25-34 tahun")</f>
        <v>25-34 tahun</v>
      </c>
      <c r="K339" s="19">
        <f>IFERROR(__xludf.DUMMYFUNCTION("""COMPUTED_VALUE"""),35504.0)</f>
        <v>35504</v>
      </c>
      <c r="L339" s="19" t="str">
        <f>IFERROR(__xludf.DUMMYFUNCTION("""COMPUTED_VALUE"""),"LAKI-LAKI")</f>
        <v>LAKI-LAKI</v>
      </c>
      <c r="M339" s="16" t="str">
        <f>IFERROR(__xludf.DUMMYFUNCTION("""COMPUTED_VALUE"""),"NANGA SUHAID, KAPUAS HULU")</f>
        <v>NANGA SUHAID, KAPUAS HULU</v>
      </c>
      <c r="N339" s="16"/>
      <c r="O339" s="16"/>
      <c r="P339" s="16"/>
      <c r="Q339" s="16"/>
      <c r="R339" s="19" t="str">
        <f>IFERROR(__xludf.DUMMYFUNCTION("""COMPUTED_VALUE"""),"ISLAM")</f>
        <v>ISLAM</v>
      </c>
      <c r="S339" s="16" t="str">
        <f>IFERROR(__xludf.DUMMYFUNCTION("""COMPUTED_VALUE"""),"WIRASWASTA")</f>
        <v>WIRASWASTA</v>
      </c>
      <c r="T339" s="16" t="str">
        <f>IFERROR(__xludf.DUMMYFUNCTION("""COMPUTED_VALUE"""),"PERNAH CEDERA DI")</f>
        <v>PERNAH CEDERA DI</v>
      </c>
      <c r="U339" s="16" t="str">
        <f>IFERROR(__xludf.DUMMYFUNCTION("""COMPUTED_VALUE"""),"MAIN BOLA")</f>
        <v>MAIN BOLA</v>
      </c>
      <c r="V339" s="21" t="str">
        <f>IFERROR(__xludf.DUMMYFUNCTION("""COMPUTED_VALUE"""),"085750887881")</f>
        <v>085750887881</v>
      </c>
      <c r="W339" s="22"/>
    </row>
    <row r="340" ht="22.5" customHeight="1">
      <c r="A340" s="8"/>
      <c r="B340" s="9">
        <f>IFERROR(__xludf.DUMMYFUNCTION("""COMPUTED_VALUE"""),45048.79980084491)</f>
        <v>45048.7998</v>
      </c>
      <c r="C340" s="9"/>
      <c r="D340" s="10">
        <f>IFERROR(__xludf.DUMMYFUNCTION("""COMPUTED_VALUE"""),45050.0)</f>
        <v>45050</v>
      </c>
      <c r="E340" s="10" t="str">
        <f>IFERROR(__xludf.DUMMYFUNCTION("""COMPUTED_VALUE"""),"05Mei")</f>
        <v>05Mei</v>
      </c>
      <c r="F340" s="10" t="str">
        <f>IFERROR(__xludf.DUMMYFUNCTION("""COMPUTED_VALUE"""),"2023")</f>
        <v>2023</v>
      </c>
      <c r="G340" s="16" t="str">
        <f>IFERROR(__xludf.DUMMYFUNCTION("""COMPUTED_VALUE"""),"CORRIE ZULIAMITA OCTAVIANI")</f>
        <v>CORRIE ZULIAMITA OCTAVIANI</v>
      </c>
      <c r="H340" s="17" t="str">
        <f>IFERROR(__xludf.DUMMYFUNCTION("""COMPUTED_VALUE"""),"C0023056158")</f>
        <v>C0023056158</v>
      </c>
      <c r="I340" s="17">
        <f>IFERROR(__xludf.DUMMYFUNCTION("""COMPUTED_VALUE"""),25.0)</f>
        <v>25</v>
      </c>
      <c r="J340" s="17" t="str">
        <f>IFERROR(__xludf.DUMMYFUNCTION("""COMPUTED_VALUE"""),"25-34 tahun")</f>
        <v>25-34 tahun</v>
      </c>
      <c r="K340" s="19">
        <f>IFERROR(__xludf.DUMMYFUNCTION("""COMPUTED_VALUE"""),36804.0)</f>
        <v>36804</v>
      </c>
      <c r="L340" s="19" t="str">
        <f>IFERROR(__xludf.DUMMYFUNCTION("""COMPUTED_VALUE"""),"PEREMPUAN")</f>
        <v>PEREMPUAN</v>
      </c>
      <c r="M340" s="16" t="str">
        <f>IFERROR(__xludf.DUMMYFUNCTION("""COMPUTED_VALUE"""),"DUSUN MEDAN SERI")</f>
        <v>DUSUN MEDAN SERI</v>
      </c>
      <c r="N340" s="16"/>
      <c r="O340" s="16"/>
      <c r="P340" s="16"/>
      <c r="Q340" s="16"/>
      <c r="R340" s="19" t="str">
        <f>IFERROR(__xludf.DUMMYFUNCTION("""COMPUTED_VALUE"""),"ISLAM")</f>
        <v>ISLAM</v>
      </c>
      <c r="S340" s="16" t="str">
        <f>IFERROR(__xludf.DUMMYFUNCTION("""COMPUTED_VALUE"""),"RUMAH TANGGA")</f>
        <v>RUMAH TANGGA</v>
      </c>
      <c r="T340" s="16" t="str">
        <f>IFERROR(__xludf.DUMMYFUNCTION("""COMPUTED_VALUE"""),"SCOLIOSIS")</f>
        <v>SCOLIOSIS</v>
      </c>
      <c r="U340" s="16" t="str">
        <f>IFERROR(__xludf.DUMMYFUNCTION("""COMPUTED_VALUE"""),"MENGURUS RUMAH TANGGA")</f>
        <v>MENGURUS RUMAH TANGGA</v>
      </c>
      <c r="V340" s="21" t="str">
        <f>IFERROR(__xludf.DUMMYFUNCTION("""COMPUTED_VALUE"""),"081255326158")</f>
        <v>081255326158</v>
      </c>
      <c r="W340" s="22"/>
    </row>
    <row r="341" ht="22.5" customHeight="1">
      <c r="A341" s="8"/>
      <c r="B341" s="9">
        <f>IFERROR(__xludf.DUMMYFUNCTION("""COMPUTED_VALUE"""),45048.80298261574)</f>
        <v>45048.80298</v>
      </c>
      <c r="C341" s="9"/>
      <c r="D341" s="10">
        <f>IFERROR(__xludf.DUMMYFUNCTION("""COMPUTED_VALUE"""),45050.0)</f>
        <v>45050</v>
      </c>
      <c r="E341" s="10" t="str">
        <f>IFERROR(__xludf.DUMMYFUNCTION("""COMPUTED_VALUE"""),"05Mei")</f>
        <v>05Mei</v>
      </c>
      <c r="F341" s="10" t="str">
        <f>IFERROR(__xludf.DUMMYFUNCTION("""COMPUTED_VALUE"""),"2023")</f>
        <v>2023</v>
      </c>
      <c r="G341" s="16" t="str">
        <f>IFERROR(__xludf.DUMMYFUNCTION("""COMPUTED_VALUE"""),"SUJANA")</f>
        <v>SUJANA</v>
      </c>
      <c r="H341" s="17" t="str">
        <f>IFERROR(__xludf.DUMMYFUNCTION("""COMPUTED_VALUE"""),"S0523055644")</f>
        <v>S0523055644</v>
      </c>
      <c r="I341" s="17">
        <f>IFERROR(__xludf.DUMMYFUNCTION("""COMPUTED_VALUE"""),21.0)</f>
        <v>21</v>
      </c>
      <c r="J341" s="17" t="str">
        <f>IFERROR(__xludf.DUMMYFUNCTION("""COMPUTED_VALUE"""),"18-24 tahun")</f>
        <v>18-24 tahun</v>
      </c>
      <c r="K341" s="19">
        <f>IFERROR(__xludf.DUMMYFUNCTION("""COMPUTED_VALUE"""),38514.0)</f>
        <v>38514</v>
      </c>
      <c r="L341" s="19" t="str">
        <f>IFERROR(__xludf.DUMMYFUNCTION("""COMPUTED_VALUE"""),"LAKI-LAKI")</f>
        <v>LAKI-LAKI</v>
      </c>
      <c r="M341" s="16" t="str">
        <f>IFERROR(__xludf.DUMMYFUNCTION("""COMPUTED_VALUE"""),"DUSUN SUNGAI BULUH")</f>
        <v>DUSUN SUNGAI BULUH</v>
      </c>
      <c r="N341" s="16"/>
      <c r="O341" s="16"/>
      <c r="P341" s="16"/>
      <c r="Q341" s="16"/>
      <c r="R341" s="19" t="str">
        <f>IFERROR(__xludf.DUMMYFUNCTION("""COMPUTED_VALUE"""),"ISLAM")</f>
        <v>ISLAM</v>
      </c>
      <c r="S341" s="16" t="str">
        <f>IFERROR(__xludf.DUMMYFUNCTION("""COMPUTED_VALUE"""),"PELAJAR/MAHASISWA")</f>
        <v>PELAJAR/MAHASISWA</v>
      </c>
      <c r="T341" s="16" t="str">
        <f>IFERROR(__xludf.DUMMYFUNCTION("""COMPUTED_VALUE"""),"TULANG BELAKANG")</f>
        <v>TULANG BELAKANG</v>
      </c>
      <c r="U341" s="16" t="str">
        <f>IFERROR(__xludf.DUMMYFUNCTION("""COMPUTED_VALUE"""),"OLAHRAGA")</f>
        <v>OLAHRAGA</v>
      </c>
      <c r="V341" s="21" t="str">
        <f>IFERROR(__xludf.DUMMYFUNCTION("""COMPUTED_VALUE"""),"082159525644")</f>
        <v>082159525644</v>
      </c>
      <c r="W341" s="22"/>
    </row>
    <row r="342" ht="22.5" customHeight="1">
      <c r="A342" s="8"/>
      <c r="B342" s="9">
        <f>IFERROR(__xludf.DUMMYFUNCTION("""COMPUTED_VALUE"""),45048.81413773148)</f>
        <v>45048.81414</v>
      </c>
      <c r="C342" s="9"/>
      <c r="D342" s="10">
        <f>IFERROR(__xludf.DUMMYFUNCTION("""COMPUTED_VALUE"""),45052.0)</f>
        <v>45052</v>
      </c>
      <c r="E342" s="10" t="str">
        <f>IFERROR(__xludf.DUMMYFUNCTION("""COMPUTED_VALUE"""),"05Mei")</f>
        <v>05Mei</v>
      </c>
      <c r="F342" s="10" t="str">
        <f>IFERROR(__xludf.DUMMYFUNCTION("""COMPUTED_VALUE"""),"2023")</f>
        <v>2023</v>
      </c>
      <c r="G342" s="16" t="str">
        <f>IFERROR(__xludf.DUMMYFUNCTION("""COMPUTED_VALUE"""),"LASMI YULISTIANA")</f>
        <v>LASMI YULISTIANA</v>
      </c>
      <c r="H342" s="17" t="str">
        <f>IFERROR(__xludf.DUMMYFUNCTION("""COMPUTED_VALUE"""),"L7023051014")</f>
        <v>L7023051014</v>
      </c>
      <c r="I342" s="17">
        <f>IFERROR(__xludf.DUMMYFUNCTION("""COMPUTED_VALUE"""),55.0)</f>
        <v>55</v>
      </c>
      <c r="J342" s="17" t="str">
        <f>IFERROR(__xludf.DUMMYFUNCTION("""COMPUTED_VALUE"""),"&gt; 44 tahun")</f>
        <v>&gt; 44 tahun</v>
      </c>
      <c r="K342" s="19">
        <f>IFERROR(__xludf.DUMMYFUNCTION("""COMPUTED_VALUE"""),25849.0)</f>
        <v>25849</v>
      </c>
      <c r="L342" s="19" t="str">
        <f>IFERROR(__xludf.DUMMYFUNCTION("""COMPUTED_VALUE"""),"PEREMPUAN")</f>
        <v>PEREMPUAN</v>
      </c>
      <c r="M342" s="16" t="str">
        <f>IFERROR(__xludf.DUMMYFUNCTION("""COMPUTED_VALUE"""),"JLN HOSCOKROAMINOTO GG MADU NO.12")</f>
        <v>JLN HOSCOKROAMINOTO GG MADU NO.12</v>
      </c>
      <c r="N342" s="16"/>
      <c r="O342" s="16"/>
      <c r="P342" s="16"/>
      <c r="Q342" s="16"/>
      <c r="R342" s="19" t="str">
        <f>IFERROR(__xludf.DUMMYFUNCTION("""COMPUTED_VALUE"""),"ISLAM")</f>
        <v>ISLAM</v>
      </c>
      <c r="S342" s="16" t="str">
        <f>IFERROR(__xludf.DUMMYFUNCTION("""COMPUTED_VALUE"""),"ASN")</f>
        <v>ASN</v>
      </c>
      <c r="T342" s="16" t="str">
        <f>IFERROR(__xludf.DUMMYFUNCTION("""COMPUTED_VALUE"""),"KEBAS KEDUA TANGAN")</f>
        <v>KEBAS KEDUA TANGAN</v>
      </c>
      <c r="U342" s="16" t="str">
        <f>IFERROR(__xludf.DUMMYFUNCTION("""COMPUTED_VALUE"""),"SCROLLING HP")</f>
        <v>SCROLLING HP</v>
      </c>
      <c r="V342" s="21" t="str">
        <f>IFERROR(__xludf.DUMMYFUNCTION("""COMPUTED_VALUE"""),"81995431014")</f>
        <v>81995431014</v>
      </c>
      <c r="W342" s="22"/>
    </row>
    <row r="343" ht="22.5" customHeight="1">
      <c r="A343" s="8"/>
      <c r="B343" s="9">
        <f>IFERROR(__xludf.DUMMYFUNCTION("""COMPUTED_VALUE"""),45049.451446875)</f>
        <v>45049.45145</v>
      </c>
      <c r="C343" s="9"/>
      <c r="D343" s="10">
        <f>IFERROR(__xludf.DUMMYFUNCTION("""COMPUTED_VALUE"""),45052.0)</f>
        <v>45052</v>
      </c>
      <c r="E343" s="10" t="str">
        <f>IFERROR(__xludf.DUMMYFUNCTION("""COMPUTED_VALUE"""),"05Mei")</f>
        <v>05Mei</v>
      </c>
      <c r="F343" s="10" t="str">
        <f>IFERROR(__xludf.DUMMYFUNCTION("""COMPUTED_VALUE"""),"2023")</f>
        <v>2023</v>
      </c>
      <c r="G343" s="16" t="str">
        <f>IFERROR(__xludf.DUMMYFUNCTION("""COMPUTED_VALUE"""),"TJEN FUI LIN")</f>
        <v>TJEN FUI LIN</v>
      </c>
      <c r="H343" s="17" t="str">
        <f>IFERROR(__xludf.DUMMYFUNCTION("""COMPUTED_VALUE"""),"T6423055588")</f>
        <v>T6423055588</v>
      </c>
      <c r="I343" s="17">
        <f>IFERROR(__xludf.DUMMYFUNCTION("""COMPUTED_VALUE"""),61.0)</f>
        <v>61</v>
      </c>
      <c r="J343" s="17" t="str">
        <f>IFERROR(__xludf.DUMMYFUNCTION("""COMPUTED_VALUE"""),"&gt; 44 tahun")</f>
        <v>&gt; 44 tahun</v>
      </c>
      <c r="K343" s="19">
        <f>IFERROR(__xludf.DUMMYFUNCTION("""COMPUTED_VALUE"""),23614.0)</f>
        <v>23614</v>
      </c>
      <c r="L343" s="19" t="str">
        <f>IFERROR(__xludf.DUMMYFUNCTION("""COMPUTED_VALUE"""),"PEREMPUAN")</f>
        <v>PEREMPUAN</v>
      </c>
      <c r="M343" s="16" t="str">
        <f>IFERROR(__xludf.DUMMYFUNCTION("""COMPUTED_VALUE"""),"JL RE MARTADINATA GG BUNCIS BLOK E3 NO. 9, SEI JAWI LUAR, PONTIANAK")</f>
        <v>JL RE MARTADINATA GG BUNCIS BLOK E3 NO. 9, SEI JAWI LUAR, PONTIANAK</v>
      </c>
      <c r="N343" s="16"/>
      <c r="O343" s="16"/>
      <c r="P343" s="16"/>
      <c r="Q343" s="16"/>
      <c r="R343" s="19" t="str">
        <f>IFERROR(__xludf.DUMMYFUNCTION("""COMPUTED_VALUE"""),"PROTESTAN")</f>
        <v>PROTESTAN</v>
      </c>
      <c r="S343" s="16" t="str">
        <f>IFERROR(__xludf.DUMMYFUNCTION("""COMPUTED_VALUE"""),"RUMAH TANGGA")</f>
        <v>RUMAH TANGGA</v>
      </c>
      <c r="T343" s="16" t="str">
        <f>IFERROR(__xludf.DUMMYFUNCTION("""COMPUTED_VALUE"""),"ACHILLES TENDINITIS")</f>
        <v>ACHILLES TENDINITIS</v>
      </c>
      <c r="U343" s="16" t="str">
        <f>IFERROR(__xludf.DUMMYFUNCTION("""COMPUTED_VALUE"""),"BERJALAN KAKI / JOGGING")</f>
        <v>BERJALAN KAKI / JOGGING</v>
      </c>
      <c r="V343" s="21" t="str">
        <f>IFERROR(__xludf.DUMMYFUNCTION("""COMPUTED_VALUE"""),"081649075588")</f>
        <v>081649075588</v>
      </c>
      <c r="W343" s="22"/>
    </row>
    <row r="344" ht="22.5" customHeight="1">
      <c r="A344" s="8"/>
      <c r="B344" s="9">
        <f>IFERROR(__xludf.DUMMYFUNCTION("""COMPUTED_VALUE"""),45049.591309814816)</f>
        <v>45049.59131</v>
      </c>
      <c r="C344" s="9"/>
      <c r="D344" s="10">
        <f>IFERROR(__xludf.DUMMYFUNCTION("""COMPUTED_VALUE"""),45052.0)</f>
        <v>45052</v>
      </c>
      <c r="E344" s="10" t="str">
        <f>IFERROR(__xludf.DUMMYFUNCTION("""COMPUTED_VALUE"""),"05Mei")</f>
        <v>05Mei</v>
      </c>
      <c r="F344" s="10" t="str">
        <f>IFERROR(__xludf.DUMMYFUNCTION("""COMPUTED_VALUE"""),"2023")</f>
        <v>2023</v>
      </c>
      <c r="G344" s="16" t="str">
        <f>IFERROR(__xludf.DUMMYFUNCTION("""COMPUTED_VALUE"""),"METTY YANNA JUWITA")</f>
        <v>METTY YANNA JUWITA</v>
      </c>
      <c r="H344" s="17" t="str">
        <f>IFERROR(__xludf.DUMMYFUNCTION("""COMPUTED_VALUE"""),"M8923055095")</f>
        <v>M8923055095</v>
      </c>
      <c r="I344" s="17">
        <f>IFERROR(__xludf.DUMMYFUNCTION("""COMPUTED_VALUE"""),36.0)</f>
        <v>36</v>
      </c>
      <c r="J344" s="17" t="str">
        <f>IFERROR(__xludf.DUMMYFUNCTION("""COMPUTED_VALUE"""),"35-44 tahun")</f>
        <v>35-44 tahun</v>
      </c>
      <c r="K344" s="19">
        <f>IFERROR(__xludf.DUMMYFUNCTION("""COMPUTED_VALUE"""),32787.0)</f>
        <v>32787</v>
      </c>
      <c r="L344" s="19" t="str">
        <f>IFERROR(__xludf.DUMMYFUNCTION("""COMPUTED_VALUE"""),"PEREMPUAN")</f>
        <v>PEREMPUAN</v>
      </c>
      <c r="M344" s="16" t="str">
        <f>IFERROR(__xludf.DUMMYFUNCTION("""COMPUTED_VALUE"""),"JALAN MERANTI NO 22")</f>
        <v>JALAN MERANTI NO 22</v>
      </c>
      <c r="N344" s="16"/>
      <c r="O344" s="16"/>
      <c r="P344" s="16"/>
      <c r="Q344" s="16"/>
      <c r="R344" s="19" t="str">
        <f>IFERROR(__xludf.DUMMYFUNCTION("""COMPUTED_VALUE"""),"BUDDHA")</f>
        <v>BUDDHA</v>
      </c>
      <c r="S344" s="16" t="str">
        <f>IFERROR(__xludf.DUMMYFUNCTION("""COMPUTED_VALUE"""),"DOSEN/GURU")</f>
        <v>DOSEN/GURU</v>
      </c>
      <c r="T344" s="16" t="str">
        <f>IFERROR(__xludf.DUMMYFUNCTION("""COMPUTED_VALUE"""),"KAKI AGAK SAKIT")</f>
        <v>KAKI AGAK SAKIT</v>
      </c>
      <c r="U344" s="16" t="str">
        <f>IFERROR(__xludf.DUMMYFUNCTION("""COMPUTED_VALUE"""),"JALAN JALAN / NGAJAR")</f>
        <v>JALAN JALAN / NGAJAR</v>
      </c>
      <c r="V344" s="21" t="str">
        <f>IFERROR(__xludf.DUMMYFUNCTION("""COMPUTED_VALUE"""),"089693535095")</f>
        <v>089693535095</v>
      </c>
      <c r="W344" s="22"/>
    </row>
    <row r="345" ht="22.5" customHeight="1">
      <c r="A345" s="8"/>
      <c r="B345" s="9">
        <f>IFERROR(__xludf.DUMMYFUNCTION("""COMPUTED_VALUE"""),45049.61478178241)</f>
        <v>45049.61478</v>
      </c>
      <c r="C345" s="9"/>
      <c r="D345" s="10">
        <f>IFERROR(__xludf.DUMMYFUNCTION("""COMPUTED_VALUE"""),45052.0)</f>
        <v>45052</v>
      </c>
      <c r="E345" s="10" t="str">
        <f>IFERROR(__xludf.DUMMYFUNCTION("""COMPUTED_VALUE"""),"05Mei")</f>
        <v>05Mei</v>
      </c>
      <c r="F345" s="10" t="str">
        <f>IFERROR(__xludf.DUMMYFUNCTION("""COMPUTED_VALUE"""),"2023")</f>
        <v>2023</v>
      </c>
      <c r="G345" s="16" t="str">
        <f>IFERROR(__xludf.DUMMYFUNCTION("""COMPUTED_VALUE"""),"REZKA YUDHA DESSIRIHU NUR")</f>
        <v>REZKA YUDHA DESSIRIHU NUR</v>
      </c>
      <c r="H345" s="17" t="str">
        <f>IFERROR(__xludf.DUMMYFUNCTION("""COMPUTED_VALUE"""),"R8823056629")</f>
        <v>R8823056629</v>
      </c>
      <c r="I345" s="17">
        <f>IFERROR(__xludf.DUMMYFUNCTION("""COMPUTED_VALUE"""),37.0)</f>
        <v>37</v>
      </c>
      <c r="J345" s="17" t="str">
        <f>IFERROR(__xludf.DUMMYFUNCTION("""COMPUTED_VALUE"""),"35-44 tahun")</f>
        <v>35-44 tahun</v>
      </c>
      <c r="K345" s="19">
        <f>IFERROR(__xludf.DUMMYFUNCTION("""COMPUTED_VALUE"""),32353.0)</f>
        <v>32353</v>
      </c>
      <c r="L345" s="19" t="str">
        <f>IFERROR(__xludf.DUMMYFUNCTION("""COMPUTED_VALUE"""),"LAKI-LAKI")</f>
        <v>LAKI-LAKI</v>
      </c>
      <c r="M345" s="16" t="str">
        <f>IFERROR(__xludf.DUMMYFUNCTION("""COMPUTED_VALUE"""),"DR WAHIDIN GANG SEPAKAT 2 DALAM NO6")</f>
        <v>DR WAHIDIN GANG SEPAKAT 2 DALAM NO6</v>
      </c>
      <c r="N345" s="16"/>
      <c r="O345" s="16"/>
      <c r="P345" s="16"/>
      <c r="Q345" s="16"/>
      <c r="R345" s="19" t="str">
        <f>IFERROR(__xludf.DUMMYFUNCTION("""COMPUTED_VALUE"""),"ISLAM")</f>
        <v>ISLAM</v>
      </c>
      <c r="S345" s="16" t="str">
        <f>IFERROR(__xludf.DUMMYFUNCTION("""COMPUTED_VALUE"""),"SWASTA")</f>
        <v>SWASTA</v>
      </c>
      <c r="T345" s="16" t="str">
        <f>IFERROR(__xludf.DUMMYFUNCTION("""COMPUTED_VALUE"""),"SIKIT")</f>
        <v>SIKIT</v>
      </c>
      <c r="U345" s="16" t="str">
        <f>IFERROR(__xludf.DUMMYFUNCTION("""COMPUTED_VALUE"""),"BERKERJA")</f>
        <v>BERKERJA</v>
      </c>
      <c r="V345" s="21" t="str">
        <f>IFERROR(__xludf.DUMMYFUNCTION("""COMPUTED_VALUE"""),"085246446629")</f>
        <v>085246446629</v>
      </c>
      <c r="W345" s="22"/>
    </row>
    <row r="346" ht="22.5" customHeight="1">
      <c r="A346" s="8"/>
      <c r="B346" s="9">
        <f>IFERROR(__xludf.DUMMYFUNCTION("""COMPUTED_VALUE"""),45049.67169408565)</f>
        <v>45049.67169</v>
      </c>
      <c r="C346" s="9"/>
      <c r="D346" s="10">
        <f>IFERROR(__xludf.DUMMYFUNCTION("""COMPUTED_VALUE"""),45053.0)</f>
        <v>45053</v>
      </c>
      <c r="E346" s="10" t="str">
        <f>IFERROR(__xludf.DUMMYFUNCTION("""COMPUTED_VALUE"""),"05Mei")</f>
        <v>05Mei</v>
      </c>
      <c r="F346" s="10" t="str">
        <f>IFERROR(__xludf.DUMMYFUNCTION("""COMPUTED_VALUE"""),"2023")</f>
        <v>2023</v>
      </c>
      <c r="G346" s="16" t="str">
        <f>IFERROR(__xludf.DUMMYFUNCTION("""COMPUTED_VALUE"""),"RISKI RUSYANDI")</f>
        <v>RISKI RUSYANDI</v>
      </c>
      <c r="H346" s="17" t="str">
        <f>IFERROR(__xludf.DUMMYFUNCTION("""COMPUTED_VALUE"""),"R0123050561")</f>
        <v>R0123050561</v>
      </c>
      <c r="I346" s="17">
        <f>IFERROR(__xludf.DUMMYFUNCTION("""COMPUTED_VALUE"""),24.0)</f>
        <v>24</v>
      </c>
      <c r="J346" s="17" t="str">
        <f>IFERROR(__xludf.DUMMYFUNCTION("""COMPUTED_VALUE"""),"18-24 tahun")</f>
        <v>18-24 tahun</v>
      </c>
      <c r="K346" s="19">
        <f>IFERROR(__xludf.DUMMYFUNCTION("""COMPUTED_VALUE"""),37201.0)</f>
        <v>37201</v>
      </c>
      <c r="L346" s="19" t="str">
        <f>IFERROR(__xludf.DUMMYFUNCTION("""COMPUTED_VALUE"""),"LAKI-LAKI")</f>
        <v>LAKI-LAKI</v>
      </c>
      <c r="M346" s="16" t="str">
        <f>IFERROR(__xludf.DUMMYFUNCTION("""COMPUTED_VALUE"""),"JL. FLAMBOYAN GG MANGGA KETAPANG KALIMANTAN BARAT")</f>
        <v>JL. FLAMBOYAN GG MANGGA KETAPANG KALIMANTAN BARAT</v>
      </c>
      <c r="N346" s="16"/>
      <c r="O346" s="16"/>
      <c r="P346" s="16"/>
      <c r="Q346" s="16"/>
      <c r="R346" s="19" t="str">
        <f>IFERROR(__xludf.DUMMYFUNCTION("""COMPUTED_VALUE"""),"ISLAM")</f>
        <v>ISLAM</v>
      </c>
      <c r="S346" s="16" t="str">
        <f>IFERROR(__xludf.DUMMYFUNCTION("""COMPUTED_VALUE"""),"SWASTA")</f>
        <v>SWASTA</v>
      </c>
      <c r="T346" s="16" t="str">
        <f>IFERROR(__xludf.DUMMYFUNCTION("""COMPUTED_VALUE"""),"NYERI")</f>
        <v>NYERI</v>
      </c>
      <c r="U346" s="16" t="str">
        <f>IFERROR(__xludf.DUMMYFUNCTION("""COMPUTED_VALUE"""),"FUTSAL, OLAHRAGA")</f>
        <v>FUTSAL, OLAHRAGA</v>
      </c>
      <c r="V346" s="21" t="str">
        <f>IFERROR(__xludf.DUMMYFUNCTION("""COMPUTED_VALUE"""),"089668430561")</f>
        <v>089668430561</v>
      </c>
      <c r="W346" s="22"/>
    </row>
    <row r="347" ht="22.5" customHeight="1">
      <c r="A347" s="8"/>
      <c r="B347" s="9">
        <f>IFERROR(__xludf.DUMMYFUNCTION("""COMPUTED_VALUE"""),45049.702192199074)</f>
        <v>45049.70219</v>
      </c>
      <c r="C347" s="9"/>
      <c r="D347" s="34">
        <f>IFERROR(__xludf.DUMMYFUNCTION("""COMPUTED_VALUE"""),45053.0)</f>
        <v>45053</v>
      </c>
      <c r="E347" s="34" t="str">
        <f>IFERROR(__xludf.DUMMYFUNCTION("""COMPUTED_VALUE"""),"05Mei")</f>
        <v>05Mei</v>
      </c>
      <c r="F347" s="34" t="str">
        <f>IFERROR(__xludf.DUMMYFUNCTION("""COMPUTED_VALUE"""),"2023")</f>
        <v>2023</v>
      </c>
      <c r="G347" s="35" t="str">
        <f>IFERROR(__xludf.DUMMYFUNCTION("""COMPUTED_VALUE"""),"HARLICH SURYA")</f>
        <v>HARLICH SURYA</v>
      </c>
      <c r="H347" s="17" t="str">
        <f>IFERROR(__xludf.DUMMYFUNCTION("""COMPUTED_VALUE"""),"H0023052000")</f>
        <v>H0023052000</v>
      </c>
      <c r="I347" s="17">
        <f>IFERROR(__xludf.DUMMYFUNCTION("""COMPUTED_VALUE"""),25.0)</f>
        <v>25</v>
      </c>
      <c r="J347" s="17" t="str">
        <f>IFERROR(__xludf.DUMMYFUNCTION("""COMPUTED_VALUE"""),"25-34 tahun")</f>
        <v>25-34 tahun</v>
      </c>
      <c r="K347" s="19">
        <f>IFERROR(__xludf.DUMMYFUNCTION("""COMPUTED_VALUE"""),36694.0)</f>
        <v>36694</v>
      </c>
      <c r="L347" s="19" t="str">
        <f>IFERROR(__xludf.DUMMYFUNCTION("""COMPUTED_VALUE"""),"LAKI-LAKI")</f>
        <v>LAKI-LAKI</v>
      </c>
      <c r="M347" s="35" t="str">
        <f>IFERROR(__xludf.DUMMYFUNCTION("""COMPUTED_VALUE"""),"JL KHW HASYIM")</f>
        <v>JL KHW HASYIM</v>
      </c>
      <c r="N347" s="35"/>
      <c r="O347" s="35"/>
      <c r="P347" s="16"/>
      <c r="Q347" s="16"/>
      <c r="R347" s="19" t="str">
        <f>IFERROR(__xludf.DUMMYFUNCTION("""COMPUTED_VALUE"""),"PROTESTAN")</f>
        <v>PROTESTAN</v>
      </c>
      <c r="S347" s="35" t="str">
        <f>IFERROR(__xludf.DUMMYFUNCTION("""COMPUTED_VALUE"""),"PELAJAR/MAHASISWA")</f>
        <v>PELAJAR/MAHASISWA</v>
      </c>
      <c r="T347" s="16" t="str">
        <f>IFERROR(__xludf.DUMMYFUNCTION("""COMPUTED_VALUE"""),"BAHU")</f>
        <v>BAHU</v>
      </c>
      <c r="U347" s="16" t="str">
        <f>IFERROR(__xludf.DUMMYFUNCTION("""COMPUTED_VALUE"""),"BADMINTON + GYM")</f>
        <v>BADMINTON + GYM</v>
      </c>
      <c r="V347" s="11" t="str">
        <f>IFERROR(__xludf.DUMMYFUNCTION("""COMPUTED_VALUE"""),"082136132000")</f>
        <v>082136132000</v>
      </c>
      <c r="W347" s="15"/>
    </row>
    <row r="348" ht="22.5" customHeight="1">
      <c r="A348" s="8"/>
      <c r="B348" s="9">
        <f>IFERROR(__xludf.DUMMYFUNCTION("""COMPUTED_VALUE"""),45049.74793349537)</f>
        <v>45049.74793</v>
      </c>
      <c r="C348" s="9"/>
      <c r="D348" s="10">
        <f>IFERROR(__xludf.DUMMYFUNCTION("""COMPUTED_VALUE"""),45053.0)</f>
        <v>45053</v>
      </c>
      <c r="E348" s="10" t="str">
        <f>IFERROR(__xludf.DUMMYFUNCTION("""COMPUTED_VALUE"""),"05Mei")</f>
        <v>05Mei</v>
      </c>
      <c r="F348" s="10" t="str">
        <f>IFERROR(__xludf.DUMMYFUNCTION("""COMPUTED_VALUE"""),"2023")</f>
        <v>2023</v>
      </c>
      <c r="G348" s="16" t="str">
        <f>IFERROR(__xludf.DUMMYFUNCTION("""COMPUTED_VALUE"""),"MALIYAH")</f>
        <v>MALIYAH</v>
      </c>
      <c r="H348" s="17" t="str">
        <f>IFERROR(__xludf.DUMMYFUNCTION("""COMPUTED_VALUE"""),"M6923050999")</f>
        <v>M6923050999</v>
      </c>
      <c r="I348" s="17">
        <f>IFERROR(__xludf.DUMMYFUNCTION("""COMPUTED_VALUE"""),57.0)</f>
        <v>57</v>
      </c>
      <c r="J348" s="17" t="str">
        <f>IFERROR(__xludf.DUMMYFUNCTION("""COMPUTED_VALUE"""),"&gt; 44 tahun")</f>
        <v>&gt; 44 tahun</v>
      </c>
      <c r="K348" s="19">
        <f>IFERROR(__xludf.DUMMYFUNCTION("""COMPUTED_VALUE"""),25296.0)</f>
        <v>25296</v>
      </c>
      <c r="L348" s="19" t="str">
        <f>IFERROR(__xludf.DUMMYFUNCTION("""COMPUTED_VALUE"""),"PEREMPUAN")</f>
        <v>PEREMPUAN</v>
      </c>
      <c r="M348" s="16" t="str">
        <f>IFERROR(__xludf.DUMMYFUNCTION("""COMPUTED_VALUE"""),"JALAN SUMATRA GANG SEDERHANA NO 16")</f>
        <v>JALAN SUMATRA GANG SEDERHANA NO 16</v>
      </c>
      <c r="N348" s="16"/>
      <c r="O348" s="16"/>
      <c r="P348" s="16"/>
      <c r="Q348" s="16"/>
      <c r="R348" s="19" t="str">
        <f>IFERROR(__xludf.DUMMYFUNCTION("""COMPUTED_VALUE"""),"ISLAM")</f>
        <v>ISLAM</v>
      </c>
      <c r="S348" s="16" t="str">
        <f>IFERROR(__xludf.DUMMYFUNCTION("""COMPUTED_VALUE"""),"RUMAH TANGGA")</f>
        <v>RUMAH TANGGA</v>
      </c>
      <c r="T348" s="16" t="str">
        <f>IFERROR(__xludf.DUMMYFUNCTION("""COMPUTED_VALUE"""),"SAKIT PINGGANG")</f>
        <v>SAKIT PINGGANG</v>
      </c>
      <c r="U348" s="16" t="str">
        <f>IFERROR(__xludf.DUMMYFUNCTION("""COMPUTED_VALUE"""),"MASAK")</f>
        <v>MASAK</v>
      </c>
      <c r="V348" s="21" t="str">
        <f>IFERROR(__xludf.DUMMYFUNCTION("""COMPUTED_VALUE"""),"087809730999")</f>
        <v>087809730999</v>
      </c>
      <c r="W348" s="22"/>
    </row>
    <row r="349" ht="22.5" customHeight="1">
      <c r="A349" s="8"/>
      <c r="B349" s="9">
        <f>IFERROR(__xludf.DUMMYFUNCTION("""COMPUTED_VALUE"""),45050.442764004634)</f>
        <v>45050.44276</v>
      </c>
      <c r="C349" s="9"/>
      <c r="D349" s="10">
        <f>IFERROR(__xludf.DUMMYFUNCTION("""COMPUTED_VALUE"""),45054.0)</f>
        <v>45054</v>
      </c>
      <c r="E349" s="10" t="str">
        <f>IFERROR(__xludf.DUMMYFUNCTION("""COMPUTED_VALUE"""),"05Mei")</f>
        <v>05Mei</v>
      </c>
      <c r="F349" s="10" t="str">
        <f>IFERROR(__xludf.DUMMYFUNCTION("""COMPUTED_VALUE"""),"2023")</f>
        <v>2023</v>
      </c>
      <c r="G349" s="16" t="str">
        <f>IFERROR(__xludf.DUMMYFUNCTION("""COMPUTED_VALUE"""),"GUBRANI")</f>
        <v>GUBRANI</v>
      </c>
      <c r="H349" s="17" t="str">
        <f>IFERROR(__xludf.DUMMYFUNCTION("""COMPUTED_VALUE"""),"G8123059765")</f>
        <v>G8123059765</v>
      </c>
      <c r="I349" s="17">
        <f>IFERROR(__xludf.DUMMYFUNCTION("""COMPUTED_VALUE"""),45.0)</f>
        <v>45</v>
      </c>
      <c r="J349" s="17" t="str">
        <f>IFERROR(__xludf.DUMMYFUNCTION("""COMPUTED_VALUE"""),"&gt; 44 tahun")</f>
        <v>&gt; 44 tahun</v>
      </c>
      <c r="K349" s="19">
        <f>IFERROR(__xludf.DUMMYFUNCTION("""COMPUTED_VALUE"""),29611.0)</f>
        <v>29611</v>
      </c>
      <c r="L349" s="19" t="str">
        <f>IFERROR(__xludf.DUMMYFUNCTION("""COMPUTED_VALUE"""),"LAKI-LAKI")</f>
        <v>LAKI-LAKI</v>
      </c>
      <c r="M349" s="16" t="str">
        <f>IFERROR(__xludf.DUMMYFUNCTION("""COMPUTED_VALUE"""),"GG. RAWASARI NO. 55")</f>
        <v>GG. RAWASARI NO. 55</v>
      </c>
      <c r="N349" s="16"/>
      <c r="O349" s="16"/>
      <c r="P349" s="16"/>
      <c r="Q349" s="16"/>
      <c r="R349" s="19" t="str">
        <f>IFERROR(__xludf.DUMMYFUNCTION("""COMPUTED_VALUE"""),"ISLAM")</f>
        <v>ISLAM</v>
      </c>
      <c r="S349" s="16" t="str">
        <f>IFERROR(__xludf.DUMMYFUNCTION("""COMPUTED_VALUE"""),"SWASTA")</f>
        <v>SWASTA</v>
      </c>
      <c r="T349" s="16" t="str">
        <f>IFERROR(__xludf.DUMMYFUNCTION("""COMPUTED_VALUE"""),"KEDUA BELAH BENGKAK DAN NYERI")</f>
        <v>KEDUA BELAH BENGKAK DAN NYERI</v>
      </c>
      <c r="U349" s="16" t="str">
        <f>IFERROR(__xludf.DUMMYFUNCTION("""COMPUTED_VALUE"""),"-")</f>
        <v>-</v>
      </c>
      <c r="V349" s="21" t="str">
        <f>IFERROR(__xludf.DUMMYFUNCTION("""COMPUTED_VALUE"""),"081257209765")</f>
        <v>081257209765</v>
      </c>
      <c r="W349" s="22"/>
    </row>
    <row r="350" ht="22.5" customHeight="1">
      <c r="A350" s="8"/>
      <c r="B350" s="9">
        <f>IFERROR(__xludf.DUMMYFUNCTION("""COMPUTED_VALUE"""),45050.92198013889)</f>
        <v>45050.92198</v>
      </c>
      <c r="C350" s="9"/>
      <c r="D350" s="10">
        <f>IFERROR(__xludf.DUMMYFUNCTION("""COMPUTED_VALUE"""),45054.0)</f>
        <v>45054</v>
      </c>
      <c r="E350" s="10" t="str">
        <f>IFERROR(__xludf.DUMMYFUNCTION("""COMPUTED_VALUE"""),"05Mei")</f>
        <v>05Mei</v>
      </c>
      <c r="F350" s="10" t="str">
        <f>IFERROR(__xludf.DUMMYFUNCTION("""COMPUTED_VALUE"""),"2023")</f>
        <v>2023</v>
      </c>
      <c r="G350" s="16" t="str">
        <f>IFERROR(__xludf.DUMMYFUNCTION("""COMPUTED_VALUE"""),"IKA YUSANTI")</f>
        <v>IKA YUSANTI</v>
      </c>
      <c r="H350" s="17" t="str">
        <f>IFERROR(__xludf.DUMMYFUNCTION("""COMPUTED_VALUE"""),"I7123058502")</f>
        <v>I7123058502</v>
      </c>
      <c r="I350" s="17">
        <f>IFERROR(__xludf.DUMMYFUNCTION("""COMPUTED_VALUE"""),54.0)</f>
        <v>54</v>
      </c>
      <c r="J350" s="17" t="str">
        <f>IFERROR(__xludf.DUMMYFUNCTION("""COMPUTED_VALUE"""),"&gt; 44 tahun")</f>
        <v>&gt; 44 tahun</v>
      </c>
      <c r="K350" s="19">
        <f>IFERROR(__xludf.DUMMYFUNCTION("""COMPUTED_VALUE"""),26274.0)</f>
        <v>26274</v>
      </c>
      <c r="L350" s="19" t="str">
        <f>IFERROR(__xludf.DUMMYFUNCTION("""COMPUTED_VALUE"""),"PEREMPUAN")</f>
        <v>PEREMPUAN</v>
      </c>
      <c r="M350" s="16" t="str">
        <f>IFERROR(__xludf.DUMMYFUNCTION("""COMPUTED_VALUE"""),"JL. GURAME")</f>
        <v>JL. GURAME</v>
      </c>
      <c r="N350" s="16"/>
      <c r="O350" s="16"/>
      <c r="P350" s="16"/>
      <c r="Q350" s="16"/>
      <c r="R350" s="19" t="str">
        <f>IFERROR(__xludf.DUMMYFUNCTION("""COMPUTED_VALUE"""),"ISLAM")</f>
        <v>ISLAM</v>
      </c>
      <c r="S350" s="16" t="str">
        <f>IFERROR(__xludf.DUMMYFUNCTION("""COMPUTED_VALUE"""),"ASN")</f>
        <v>ASN</v>
      </c>
      <c r="T350" s="16" t="str">
        <f>IFERROR(__xludf.DUMMYFUNCTION("""COMPUTED_VALUE"""),"SAKIT DI BAGIAN PUNGGUNG AKIBAT BATUK")</f>
        <v>SAKIT DI BAGIAN PUNGGUNG AKIBAT BATUK</v>
      </c>
      <c r="U350" s="16" t="str">
        <f>IFERROR(__xludf.DUMMYFUNCTION("""COMPUTED_VALUE"""),"BEKERJA NORMAL")</f>
        <v>BEKERJA NORMAL</v>
      </c>
      <c r="V350" s="21" t="str">
        <f>IFERROR(__xludf.DUMMYFUNCTION("""COMPUTED_VALUE"""),"085652288502")</f>
        <v>085652288502</v>
      </c>
      <c r="W350" s="22"/>
    </row>
    <row r="351" ht="22.5" customHeight="1">
      <c r="A351" s="8"/>
      <c r="B351" s="9">
        <f>IFERROR(__xludf.DUMMYFUNCTION("""COMPUTED_VALUE"""),45052.64746128472)</f>
        <v>45052.64746</v>
      </c>
      <c r="C351" s="9"/>
      <c r="D351" s="10">
        <f>IFERROR(__xludf.DUMMYFUNCTION("""COMPUTED_VALUE"""),45054.0)</f>
        <v>45054</v>
      </c>
      <c r="E351" s="10" t="str">
        <f>IFERROR(__xludf.DUMMYFUNCTION("""COMPUTED_VALUE"""),"05Mei")</f>
        <v>05Mei</v>
      </c>
      <c r="F351" s="10" t="str">
        <f>IFERROR(__xludf.DUMMYFUNCTION("""COMPUTED_VALUE"""),"2023")</f>
        <v>2023</v>
      </c>
      <c r="G351" s="16" t="str">
        <f>IFERROR(__xludf.DUMMYFUNCTION("""COMPUTED_VALUE"""),"ELIZABETH AKU REMAJA TJANDRA")</f>
        <v>ELIZABETH AKU REMAJA TJANDRA</v>
      </c>
      <c r="H351" s="17" t="str">
        <f>IFERROR(__xludf.DUMMYFUNCTION("""COMPUTED_VALUE"""),"E0623057697")</f>
        <v>E0623057697</v>
      </c>
      <c r="I351" s="17">
        <f>IFERROR(__xludf.DUMMYFUNCTION("""COMPUTED_VALUE"""),19.0)</f>
        <v>19</v>
      </c>
      <c r="J351" s="17" t="str">
        <f>IFERROR(__xludf.DUMMYFUNCTION("""COMPUTED_VALUE"""),"18-24 tahun")</f>
        <v>18-24 tahun</v>
      </c>
      <c r="K351" s="19">
        <f>IFERROR(__xludf.DUMMYFUNCTION("""COMPUTED_VALUE"""),39004.0)</f>
        <v>39004</v>
      </c>
      <c r="L351" s="19" t="str">
        <f>IFERROR(__xludf.DUMMYFUNCTION("""COMPUTED_VALUE"""),"PEREMPUAN")</f>
        <v>PEREMPUAN</v>
      </c>
      <c r="M351" s="16" t="str">
        <f>IFERROR(__xludf.DUMMYFUNCTION("""COMPUTED_VALUE"""),"JLN.P.CANDRAMIDI GG.NURCAHAYA NO.70")</f>
        <v>JLN.P.CANDRAMIDI GG.NURCAHAYA NO.70</v>
      </c>
      <c r="N351" s="16"/>
      <c r="O351" s="16"/>
      <c r="P351" s="16"/>
      <c r="Q351" s="16"/>
      <c r="R351" s="19" t="str">
        <f>IFERROR(__xludf.DUMMYFUNCTION("""COMPUTED_VALUE"""),"PROTESTAN")</f>
        <v>PROTESTAN</v>
      </c>
      <c r="S351" s="16" t="str">
        <f>IFERROR(__xludf.DUMMYFUNCTION("""COMPUTED_VALUE"""),"PELAJAR/MAHASISWA")</f>
        <v>PELAJAR/MAHASISWA</v>
      </c>
      <c r="T351" s="16" t="str">
        <f>IFERROR(__xludf.DUMMYFUNCTION("""COMPUTED_VALUE"""),"KAKI SAKIT")</f>
        <v>KAKI SAKIT</v>
      </c>
      <c r="U351" s="16" t="str">
        <f>IFERROR(__xludf.DUMMYFUNCTION("""COMPUTED_VALUE"""),"DANCE,BALLET,DRUM,PIANO,DLL")</f>
        <v>DANCE,BALLET,DRUM,PIANO,DLL</v>
      </c>
      <c r="V351" s="21" t="str">
        <f>IFERROR(__xludf.DUMMYFUNCTION("""COMPUTED_VALUE"""),"081254647697")</f>
        <v>081254647697</v>
      </c>
      <c r="W351" s="22"/>
    </row>
    <row r="352" ht="22.5" customHeight="1">
      <c r="A352" s="8"/>
      <c r="B352" s="9">
        <f>IFERROR(__xludf.DUMMYFUNCTION("""COMPUTED_VALUE"""),45052.862612893514)</f>
        <v>45052.86261</v>
      </c>
      <c r="C352" s="9"/>
      <c r="D352" s="10">
        <f>IFERROR(__xludf.DUMMYFUNCTION("""COMPUTED_VALUE"""),45055.0)</f>
        <v>45055</v>
      </c>
      <c r="E352" s="10" t="str">
        <f>IFERROR(__xludf.DUMMYFUNCTION("""COMPUTED_VALUE"""),"05Mei")</f>
        <v>05Mei</v>
      </c>
      <c r="F352" s="10" t="str">
        <f>IFERROR(__xludf.DUMMYFUNCTION("""COMPUTED_VALUE"""),"2023")</f>
        <v>2023</v>
      </c>
      <c r="G352" s="16" t="str">
        <f>IFERROR(__xludf.DUMMYFUNCTION("""COMPUTED_VALUE"""),"VERAYANA KURNIAWAN")</f>
        <v>VERAYANA KURNIAWAN</v>
      </c>
      <c r="H352" s="17" t="str">
        <f>IFERROR(__xludf.DUMMYFUNCTION("""COMPUTED_VALUE"""),"V6223056198")</f>
        <v>V6223056198</v>
      </c>
      <c r="I352" s="17">
        <f>IFERROR(__xludf.DUMMYFUNCTION("""COMPUTED_VALUE"""),64.0)</f>
        <v>64</v>
      </c>
      <c r="J352" s="17" t="str">
        <f>IFERROR(__xludf.DUMMYFUNCTION("""COMPUTED_VALUE"""),"&gt; 44 tahun")</f>
        <v>&gt; 44 tahun</v>
      </c>
      <c r="K352" s="19">
        <f>IFERROR(__xludf.DUMMYFUNCTION("""COMPUTED_VALUE"""),22694.0)</f>
        <v>22694</v>
      </c>
      <c r="L352" s="19" t="str">
        <f>IFERROR(__xludf.DUMMYFUNCTION("""COMPUTED_VALUE"""),"PEREMPUAN")</f>
        <v>PEREMPUAN</v>
      </c>
      <c r="M352" s="16" t="str">
        <f>IFERROR(__xludf.DUMMYFUNCTION("""COMPUTED_VALUE"""),"JL KARYA BARU")</f>
        <v>JL KARYA BARU</v>
      </c>
      <c r="N352" s="16"/>
      <c r="O352" s="16"/>
      <c r="P352" s="16"/>
      <c r="Q352" s="16"/>
      <c r="R352" s="19" t="str">
        <f>IFERROR(__xludf.DUMMYFUNCTION("""COMPUTED_VALUE"""),"BUDDHA")</f>
        <v>BUDDHA</v>
      </c>
      <c r="S352" s="16" t="str">
        <f>IFERROR(__xludf.DUMMYFUNCTION("""COMPUTED_VALUE"""),"RUMAH TANGGA")</f>
        <v>RUMAH TANGGA</v>
      </c>
      <c r="T352" s="16" t="str">
        <f>IFERROR(__xludf.DUMMYFUNCTION("""COMPUTED_VALUE"""),"CIDERA KAKI")</f>
        <v>CIDERA KAKI</v>
      </c>
      <c r="U352" s="16" t="str">
        <f>IFERROR(__xludf.DUMMYFUNCTION("""COMPUTED_VALUE"""),"BEKERJA")</f>
        <v>BEKERJA</v>
      </c>
      <c r="V352" s="21" t="str">
        <f>IFERROR(__xludf.DUMMYFUNCTION("""COMPUTED_VALUE"""),"085245676198")</f>
        <v>085245676198</v>
      </c>
      <c r="W352" s="22"/>
    </row>
    <row r="353" ht="22.5" customHeight="1">
      <c r="A353" s="8"/>
      <c r="B353" s="9">
        <f>IFERROR(__xludf.DUMMYFUNCTION("""COMPUTED_VALUE"""),45053.44180072917)</f>
        <v>45053.4418</v>
      </c>
      <c r="C353" s="9"/>
      <c r="D353" s="10">
        <f>IFERROR(__xludf.DUMMYFUNCTION("""COMPUTED_VALUE"""),45055.0)</f>
        <v>45055</v>
      </c>
      <c r="E353" s="10" t="str">
        <f>IFERROR(__xludf.DUMMYFUNCTION("""COMPUTED_VALUE"""),"05Mei")</f>
        <v>05Mei</v>
      </c>
      <c r="F353" s="10" t="str">
        <f>IFERROR(__xludf.DUMMYFUNCTION("""COMPUTED_VALUE"""),"2023")</f>
        <v>2023</v>
      </c>
      <c r="G353" s="16" t="str">
        <f>IFERROR(__xludf.DUMMYFUNCTION("""COMPUTED_VALUE"""),"SAMTO")</f>
        <v>SAMTO</v>
      </c>
      <c r="H353" s="17" t="str">
        <f>IFERROR(__xludf.DUMMYFUNCTION("""COMPUTED_VALUE"""),"S5723058878")</f>
        <v>S5723058878</v>
      </c>
      <c r="I353" s="17">
        <f>IFERROR(__xludf.DUMMYFUNCTION("""COMPUTED_VALUE"""),68.0)</f>
        <v>68</v>
      </c>
      <c r="J353" s="17" t="str">
        <f>IFERROR(__xludf.DUMMYFUNCTION("""COMPUTED_VALUE"""),"&gt; 44 tahun")</f>
        <v>&gt; 44 tahun</v>
      </c>
      <c r="K353" s="19">
        <f>IFERROR(__xludf.DUMMYFUNCTION("""COMPUTED_VALUE"""),21072.0)</f>
        <v>21072</v>
      </c>
      <c r="L353" s="19" t="str">
        <f>IFERROR(__xludf.DUMMYFUNCTION("""COMPUTED_VALUE"""),"LAKI-LAKI")</f>
        <v>LAKI-LAKI</v>
      </c>
      <c r="M353" s="16" t="str">
        <f>IFERROR(__xludf.DUMMYFUNCTION("""COMPUTED_VALUE"""),"CANDI RT002/RW006 DESA CANDI KEC.AMPEL KAB.BOYOLALI JAWA TENGAH")</f>
        <v>CANDI RT002/RW006 DESA CANDI KEC.AMPEL KAB.BOYOLALI JAWA TENGAH</v>
      </c>
      <c r="N353" s="16"/>
      <c r="O353" s="16"/>
      <c r="P353" s="16"/>
      <c r="Q353" s="16"/>
      <c r="R353" s="19" t="str">
        <f>IFERROR(__xludf.DUMMYFUNCTION("""COMPUTED_VALUE"""),"ISLAM")</f>
        <v>ISLAM</v>
      </c>
      <c r="S353" s="16" t="str">
        <f>IFERROR(__xludf.DUMMYFUNCTION("""COMPUTED_VALUE"""),"SWASTA")</f>
        <v>SWASTA</v>
      </c>
      <c r="T353" s="16" t="str">
        <f>IFERROR(__xludf.DUMMYFUNCTION("""COMPUTED_VALUE"""),"STRUK RINGAN AMA ASAM URAT")</f>
        <v>STRUK RINGAN AMA ASAM URAT</v>
      </c>
      <c r="U353" s="16" t="str">
        <f>IFERROR(__xludf.DUMMYFUNCTION("""COMPUTED_VALUE"""),"JLN2")</f>
        <v>JLN2</v>
      </c>
      <c r="V353" s="21" t="str">
        <f>IFERROR(__xludf.DUMMYFUNCTION("""COMPUTED_VALUE"""),"081345188878")</f>
        <v>081345188878</v>
      </c>
      <c r="W353" s="22"/>
    </row>
    <row r="354" ht="22.5" customHeight="1">
      <c r="A354" s="8"/>
      <c r="B354" s="9">
        <f>IFERROR(__xludf.DUMMYFUNCTION("""COMPUTED_VALUE"""),45053.81844243055)</f>
        <v>45053.81844</v>
      </c>
      <c r="C354" s="9"/>
      <c r="D354" s="10">
        <f>IFERROR(__xludf.DUMMYFUNCTION("""COMPUTED_VALUE"""),45055.0)</f>
        <v>45055</v>
      </c>
      <c r="E354" s="10" t="str">
        <f>IFERROR(__xludf.DUMMYFUNCTION("""COMPUTED_VALUE"""),"05Mei")</f>
        <v>05Mei</v>
      </c>
      <c r="F354" s="10" t="str">
        <f>IFERROR(__xludf.DUMMYFUNCTION("""COMPUTED_VALUE"""),"2023")</f>
        <v>2023</v>
      </c>
      <c r="G354" s="16" t="str">
        <f>IFERROR(__xludf.DUMMYFUNCTION("""COMPUTED_VALUE"""),"WIRA ADITYA")</f>
        <v>WIRA ADITYA</v>
      </c>
      <c r="H354" s="17" t="str">
        <f>IFERROR(__xludf.DUMMYFUNCTION("""COMPUTED_VALUE"""),"W9723056473")</f>
        <v>W9723056473</v>
      </c>
      <c r="I354" s="17">
        <f>IFERROR(__xludf.DUMMYFUNCTION("""COMPUTED_VALUE"""),28.0)</f>
        <v>28</v>
      </c>
      <c r="J354" s="17" t="str">
        <f>IFERROR(__xludf.DUMMYFUNCTION("""COMPUTED_VALUE"""),"25-34 tahun")</f>
        <v>25-34 tahun</v>
      </c>
      <c r="K354" s="19">
        <f>IFERROR(__xludf.DUMMYFUNCTION("""COMPUTED_VALUE"""),35613.0)</f>
        <v>35613</v>
      </c>
      <c r="L354" s="19" t="str">
        <f>IFERROR(__xludf.DUMMYFUNCTION("""COMPUTED_VALUE"""),"LAKI-LAKI")</f>
        <v>LAKI-LAKI</v>
      </c>
      <c r="M354" s="16" t="str">
        <f>IFERROR(__xludf.DUMMYFUNCTION("""COMPUTED_VALUE"""),"JL. WONOBARU GG. WONODADI 2 NO 8")</f>
        <v>JL. WONOBARU GG. WONODADI 2 NO 8</v>
      </c>
      <c r="N354" s="16"/>
      <c r="O354" s="16"/>
      <c r="P354" s="16"/>
      <c r="Q354" s="16"/>
      <c r="R354" s="19" t="str">
        <f>IFERROR(__xludf.DUMMYFUNCTION("""COMPUTED_VALUE"""),"ISLAM")</f>
        <v>ISLAM</v>
      </c>
      <c r="S354" s="16" t="str">
        <f>IFERROR(__xludf.DUMMYFUNCTION("""COMPUTED_VALUE"""),"SWASTA")</f>
        <v>SWASTA</v>
      </c>
      <c r="T354" s="16" t="str">
        <f>IFERROR(__xludf.DUMMYFUNCTION("""COMPUTED_VALUE"""),"SEBELAH KIRI")</f>
        <v>SEBELAH KIRI</v>
      </c>
      <c r="U354" s="16" t="str">
        <f>IFERROR(__xludf.DUMMYFUNCTION("""COMPUTED_VALUE"""),"OLAHRAGA")</f>
        <v>OLAHRAGA</v>
      </c>
      <c r="V354" s="21" t="str">
        <f>IFERROR(__xludf.DUMMYFUNCTION("""COMPUTED_VALUE"""),"082126476473")</f>
        <v>082126476473</v>
      </c>
      <c r="W354" s="22"/>
    </row>
    <row r="355" ht="22.5" customHeight="1">
      <c r="A355" s="8"/>
      <c r="B355" s="9">
        <f>IFERROR(__xludf.DUMMYFUNCTION("""COMPUTED_VALUE"""),45053.847473472226)</f>
        <v>45053.84747</v>
      </c>
      <c r="C355" s="9"/>
      <c r="D355" s="10">
        <f>IFERROR(__xludf.DUMMYFUNCTION("""COMPUTED_VALUE"""),45055.0)</f>
        <v>45055</v>
      </c>
      <c r="E355" s="10" t="str">
        <f>IFERROR(__xludf.DUMMYFUNCTION("""COMPUTED_VALUE"""),"05Mei")</f>
        <v>05Mei</v>
      </c>
      <c r="F355" s="10" t="str">
        <f>IFERROR(__xludf.DUMMYFUNCTION("""COMPUTED_VALUE"""),"2023")</f>
        <v>2023</v>
      </c>
      <c r="G355" s="16" t="str">
        <f>IFERROR(__xludf.DUMMYFUNCTION("""COMPUTED_VALUE"""),"SUTRISNO")</f>
        <v>SUTRISNO</v>
      </c>
      <c r="H355" s="17" t="str">
        <f>IFERROR(__xludf.DUMMYFUNCTION("""COMPUTED_VALUE"""),"S6623051013")</f>
        <v>S6623051013</v>
      </c>
      <c r="I355" s="17">
        <f>IFERROR(__xludf.DUMMYFUNCTION("""COMPUTED_VALUE"""),59.0)</f>
        <v>59</v>
      </c>
      <c r="J355" s="17" t="str">
        <f>IFERROR(__xludf.DUMMYFUNCTION("""COMPUTED_VALUE"""),"&gt; 44 tahun")</f>
        <v>&gt; 44 tahun</v>
      </c>
      <c r="K355" s="19">
        <f>IFERROR(__xludf.DUMMYFUNCTION("""COMPUTED_VALUE"""),24325.0)</f>
        <v>24325</v>
      </c>
      <c r="L355" s="19" t="str">
        <f>IFERROR(__xludf.DUMMYFUNCTION("""COMPUTED_VALUE"""),"LAKI-LAKI")</f>
        <v>LAKI-LAKI</v>
      </c>
      <c r="M355" s="16" t="str">
        <f>IFERROR(__xludf.DUMMYFUNCTION("""COMPUTED_VALUE"""),"JL. SEI RAYA DALAM ASABRI PERMAI B.30")</f>
        <v>JL. SEI RAYA DALAM ASABRI PERMAI B.30</v>
      </c>
      <c r="N355" s="16"/>
      <c r="O355" s="16"/>
      <c r="P355" s="16"/>
      <c r="Q355" s="16"/>
      <c r="R355" s="19" t="str">
        <f>IFERROR(__xludf.DUMMYFUNCTION("""COMPUTED_VALUE"""),"ISLAM")</f>
        <v>ISLAM</v>
      </c>
      <c r="S355" s="16" t="str">
        <f>IFERROR(__xludf.DUMMYFUNCTION("""COMPUTED_VALUE"""),"SWASTA")</f>
        <v>SWASTA</v>
      </c>
      <c r="T355" s="16" t="str">
        <f>IFERROR(__xludf.DUMMYFUNCTION("""COMPUTED_VALUE"""),"LETIH, KAKI SEPERTI PINCANG SAAT BERJALAN")</f>
        <v>LETIH, KAKI SEPERTI PINCANG SAAT BERJALAN</v>
      </c>
      <c r="U355" s="16" t="str">
        <f>IFERROR(__xludf.DUMMYFUNCTION("""COMPUTED_VALUE"""),"AKTIVITAS SEHARI HARI SBG MEKANIK ALAT BERAT")</f>
        <v>AKTIVITAS SEHARI HARI SBG MEKANIK ALAT BERAT</v>
      </c>
      <c r="V355" s="21" t="str">
        <f>IFERROR(__xludf.DUMMYFUNCTION("""COMPUTED_VALUE"""),"089648131013")</f>
        <v>089648131013</v>
      </c>
      <c r="W355" s="22"/>
    </row>
    <row r="356" ht="22.5" customHeight="1">
      <c r="A356" s="8"/>
      <c r="B356" s="9">
        <f>IFERROR(__xludf.DUMMYFUNCTION("""COMPUTED_VALUE"""),45054.47357086805)</f>
        <v>45054.47357</v>
      </c>
      <c r="C356" s="9"/>
      <c r="D356" s="10">
        <f>IFERROR(__xludf.DUMMYFUNCTION("""COMPUTED_VALUE"""),45055.0)</f>
        <v>45055</v>
      </c>
      <c r="E356" s="10" t="str">
        <f>IFERROR(__xludf.DUMMYFUNCTION("""COMPUTED_VALUE"""),"05Mei")</f>
        <v>05Mei</v>
      </c>
      <c r="F356" s="10" t="str">
        <f>IFERROR(__xludf.DUMMYFUNCTION("""COMPUTED_VALUE"""),"2023")</f>
        <v>2023</v>
      </c>
      <c r="G356" s="16" t="str">
        <f>IFERROR(__xludf.DUMMYFUNCTION("""COMPUTED_VALUE"""),"MOSES EXAUDO HUTABARAT")</f>
        <v>MOSES EXAUDO HUTABARAT</v>
      </c>
      <c r="H356" s="17" t="str">
        <f>IFERROR(__xludf.DUMMYFUNCTION("""COMPUTED_VALUE"""),"M0523052727")</f>
        <v>M0523052727</v>
      </c>
      <c r="I356" s="17">
        <f>IFERROR(__xludf.DUMMYFUNCTION("""COMPUTED_VALUE"""),21.0)</f>
        <v>21</v>
      </c>
      <c r="J356" s="17" t="str">
        <f>IFERROR(__xludf.DUMMYFUNCTION("""COMPUTED_VALUE"""),"18-24 tahun")</f>
        <v>18-24 tahun</v>
      </c>
      <c r="K356" s="19">
        <f>IFERROR(__xludf.DUMMYFUNCTION("""COMPUTED_VALUE"""),38475.0)</f>
        <v>38475</v>
      </c>
      <c r="L356" s="19" t="str">
        <f>IFERROR(__xludf.DUMMYFUNCTION("""COMPUTED_VALUE"""),"LAKI-LAKI")</f>
        <v>LAKI-LAKI</v>
      </c>
      <c r="M356" s="16" t="str">
        <f>IFERROR(__xludf.DUMMYFUNCTION("""COMPUTED_VALUE"""),"BTN BALI PERMAI BLOK O NO. IV RT/RW 012/005, DESA RAJA, KECAMATAN NGABANG, KABUPATEN LANDAK")</f>
        <v>BTN BALI PERMAI BLOK O NO. IV RT/RW 012/005, DESA RAJA, KECAMATAN NGABANG, KABUPATEN LANDAK</v>
      </c>
      <c r="N356" s="16"/>
      <c r="O356" s="16"/>
      <c r="P356" s="16"/>
      <c r="Q356" s="16"/>
      <c r="R356" s="19" t="str">
        <f>IFERROR(__xludf.DUMMYFUNCTION("""COMPUTED_VALUE"""),"PROTESTAN")</f>
        <v>PROTESTAN</v>
      </c>
      <c r="S356" s="16" t="str">
        <f>IFERROR(__xludf.DUMMYFUNCTION("""COMPUTED_VALUE"""),"PELAJAR/MAHASISWA")</f>
        <v>PELAJAR/MAHASISWA</v>
      </c>
      <c r="T356" s="16" t="str">
        <f>IFERROR(__xludf.DUMMYFUNCTION("""COMPUTED_VALUE"""),"KAKI DATAR")</f>
        <v>KAKI DATAR</v>
      </c>
      <c r="U356" s="16" t="str">
        <f>IFERROR(__xludf.DUMMYFUNCTION("""COMPUTED_VALUE"""),"BERENANG, JOGING, PULL UP, SIT UP, PUSH UP, BADMINTON, BELAJAR")</f>
        <v>BERENANG, JOGING, PULL UP, SIT UP, PUSH UP, BADMINTON, BELAJAR</v>
      </c>
      <c r="V356" s="21" t="str">
        <f>IFERROR(__xludf.DUMMYFUNCTION("""COMPUTED_VALUE"""),"081352692727")</f>
        <v>081352692727</v>
      </c>
      <c r="W356" s="22"/>
    </row>
    <row r="357" ht="22.5" customHeight="1">
      <c r="A357" s="8"/>
      <c r="B357" s="9">
        <f>IFERROR(__xludf.DUMMYFUNCTION("""COMPUTED_VALUE"""),45054.53312960648)</f>
        <v>45054.53313</v>
      </c>
      <c r="C357" s="9"/>
      <c r="D357" s="10">
        <f>IFERROR(__xludf.DUMMYFUNCTION("""COMPUTED_VALUE"""),45056.0)</f>
        <v>45056</v>
      </c>
      <c r="E357" s="10" t="str">
        <f>IFERROR(__xludf.DUMMYFUNCTION("""COMPUTED_VALUE"""),"05Mei")</f>
        <v>05Mei</v>
      </c>
      <c r="F357" s="10" t="str">
        <f>IFERROR(__xludf.DUMMYFUNCTION("""COMPUTED_VALUE"""),"2023")</f>
        <v>2023</v>
      </c>
      <c r="G357" s="16" t="str">
        <f>IFERROR(__xludf.DUMMYFUNCTION("""COMPUTED_VALUE"""),"ANTON THEODORIES")</f>
        <v>ANTON THEODORIES</v>
      </c>
      <c r="H357" s="17" t="str">
        <f>IFERROR(__xludf.DUMMYFUNCTION("""COMPUTED_VALUE"""),"A8523051458")</f>
        <v>A8523051458</v>
      </c>
      <c r="I357" s="17">
        <f>IFERROR(__xludf.DUMMYFUNCTION("""COMPUTED_VALUE"""),40.0)</f>
        <v>40</v>
      </c>
      <c r="J357" s="17" t="str">
        <f>IFERROR(__xludf.DUMMYFUNCTION("""COMPUTED_VALUE"""),"35-44 tahun")</f>
        <v>35-44 tahun</v>
      </c>
      <c r="K357" s="19">
        <f>IFERROR(__xludf.DUMMYFUNCTION("""COMPUTED_VALUE"""),31325.0)</f>
        <v>31325</v>
      </c>
      <c r="L357" s="19" t="str">
        <f>IFERROR(__xludf.DUMMYFUNCTION("""COMPUTED_VALUE"""),"LAKI-LAKI")</f>
        <v>LAKI-LAKI</v>
      </c>
      <c r="M357" s="16" t="str">
        <f>IFERROR(__xludf.DUMMYFUNCTION("""COMPUTED_VALUE"""),"JL DESA KAPUR KOM TAMAN ANGGREK NO F5")</f>
        <v>JL DESA KAPUR KOM TAMAN ANGGREK NO F5</v>
      </c>
      <c r="N357" s="16"/>
      <c r="O357" s="16"/>
      <c r="P357" s="16"/>
      <c r="Q357" s="16"/>
      <c r="R357" s="19" t="str">
        <f>IFERROR(__xludf.DUMMYFUNCTION("""COMPUTED_VALUE"""),"PROTESTAN")</f>
        <v>PROTESTAN</v>
      </c>
      <c r="S357" s="16" t="str">
        <f>IFERROR(__xludf.DUMMYFUNCTION("""COMPUTED_VALUE"""),"WIRASWASTA")</f>
        <v>WIRASWASTA</v>
      </c>
      <c r="T357" s="16" t="str">
        <f>IFERROR(__xludf.DUMMYFUNCTION("""COMPUTED_VALUE"""),"SAKIT PINGGANG")</f>
        <v>SAKIT PINGGANG</v>
      </c>
      <c r="U357" s="16" t="str">
        <f>IFERROR(__xludf.DUMMYFUNCTION("""COMPUTED_VALUE"""),"GYM")</f>
        <v>GYM</v>
      </c>
      <c r="V357" s="21" t="str">
        <f>IFERROR(__xludf.DUMMYFUNCTION("""COMPUTED_VALUE"""),"087845171458")</f>
        <v>087845171458</v>
      </c>
      <c r="W357" s="22"/>
    </row>
    <row r="358" ht="22.5" customHeight="1">
      <c r="A358" s="8"/>
      <c r="B358" s="9">
        <f>IFERROR(__xludf.DUMMYFUNCTION("""COMPUTED_VALUE"""),45054.59094142361)</f>
        <v>45054.59094</v>
      </c>
      <c r="C358" s="9"/>
      <c r="D358" s="10">
        <f>IFERROR(__xludf.DUMMYFUNCTION("""COMPUTED_VALUE"""),45056.0)</f>
        <v>45056</v>
      </c>
      <c r="E358" s="10" t="str">
        <f>IFERROR(__xludf.DUMMYFUNCTION("""COMPUTED_VALUE"""),"05Mei")</f>
        <v>05Mei</v>
      </c>
      <c r="F358" s="10" t="str">
        <f>IFERROR(__xludf.DUMMYFUNCTION("""COMPUTED_VALUE"""),"2023")</f>
        <v>2023</v>
      </c>
      <c r="G358" s="16" t="str">
        <f>IFERROR(__xludf.DUMMYFUNCTION("""COMPUTED_VALUE"""),"SYARIF MUHAMMAD FARID")</f>
        <v>SYARIF MUHAMMAD FARID</v>
      </c>
      <c r="H358" s="17" t="str">
        <f>IFERROR(__xludf.DUMMYFUNCTION("""COMPUTED_VALUE"""),"S7123050202")</f>
        <v>S7123050202</v>
      </c>
      <c r="I358" s="17">
        <f>IFERROR(__xludf.DUMMYFUNCTION("""COMPUTED_VALUE"""),55.0)</f>
        <v>55</v>
      </c>
      <c r="J358" s="17" t="str">
        <f>IFERROR(__xludf.DUMMYFUNCTION("""COMPUTED_VALUE"""),"&gt; 44 tahun")</f>
        <v>&gt; 44 tahun</v>
      </c>
      <c r="K358" s="19">
        <f>IFERROR(__xludf.DUMMYFUNCTION("""COMPUTED_VALUE"""),26035.0)</f>
        <v>26035</v>
      </c>
      <c r="L358" s="19" t="str">
        <f>IFERROR(__xludf.DUMMYFUNCTION("""COMPUTED_VALUE"""),"LAKI-LAKI")</f>
        <v>LAKI-LAKI</v>
      </c>
      <c r="M358" s="16" t="str">
        <f>IFERROR(__xludf.DUMMYFUNCTION("""COMPUTED_VALUE"""),"JALAN WONOYOSO 1 GANG 1")</f>
        <v>JALAN WONOYOSO 1 GANG 1</v>
      </c>
      <c r="N358" s="16"/>
      <c r="O358" s="16"/>
      <c r="P358" s="16"/>
      <c r="Q358" s="16"/>
      <c r="R358" s="19" t="str">
        <f>IFERROR(__xludf.DUMMYFUNCTION("""COMPUTED_VALUE"""),"ISLAM")</f>
        <v>ISLAM</v>
      </c>
      <c r="S358" s="16" t="str">
        <f>IFERROR(__xludf.DUMMYFUNCTION("""COMPUTED_VALUE"""),"ASN")</f>
        <v>ASN</v>
      </c>
      <c r="T358" s="16" t="str">
        <f>IFERROR(__xludf.DUMMYFUNCTION("""COMPUTED_VALUE"""),"KENA STROKE")</f>
        <v>KENA STROKE</v>
      </c>
      <c r="U358" s="16" t="str">
        <f>IFERROR(__xludf.DUMMYFUNCTION("""COMPUTED_VALUE"""),"TIDAK ADA")</f>
        <v>TIDAK ADA</v>
      </c>
      <c r="V358" s="21" t="str">
        <f>IFERROR(__xludf.DUMMYFUNCTION("""COMPUTED_VALUE"""),"089629110202")</f>
        <v>089629110202</v>
      </c>
      <c r="W358" s="22"/>
    </row>
    <row r="359" ht="22.5" customHeight="1">
      <c r="A359" s="8"/>
      <c r="B359" s="9">
        <f>IFERROR(__xludf.DUMMYFUNCTION("""COMPUTED_VALUE"""),45054.71045991898)</f>
        <v>45054.71046</v>
      </c>
      <c r="C359" s="9"/>
      <c r="D359" s="10">
        <f>IFERROR(__xludf.DUMMYFUNCTION("""COMPUTED_VALUE"""),45056.0)</f>
        <v>45056</v>
      </c>
      <c r="E359" s="10" t="str">
        <f>IFERROR(__xludf.DUMMYFUNCTION("""COMPUTED_VALUE"""),"05Mei")</f>
        <v>05Mei</v>
      </c>
      <c r="F359" s="10" t="str">
        <f>IFERROR(__xludf.DUMMYFUNCTION("""COMPUTED_VALUE"""),"2023")</f>
        <v>2023</v>
      </c>
      <c r="G359" s="16" t="str">
        <f>IFERROR(__xludf.DUMMYFUNCTION("""COMPUTED_VALUE"""),"BAGUS RUSTANDI")</f>
        <v>BAGUS RUSTANDI</v>
      </c>
      <c r="H359" s="17" t="str">
        <f>IFERROR(__xludf.DUMMYFUNCTION("""COMPUTED_VALUE"""),"B0123055761")</f>
        <v>B0123055761</v>
      </c>
      <c r="I359" s="17">
        <f>IFERROR(__xludf.DUMMYFUNCTION("""COMPUTED_VALUE"""),24.0)</f>
        <v>24</v>
      </c>
      <c r="J359" s="17" t="str">
        <f>IFERROR(__xludf.DUMMYFUNCTION("""COMPUTED_VALUE"""),"18-24 tahun")</f>
        <v>18-24 tahun</v>
      </c>
      <c r="K359" s="19">
        <f>IFERROR(__xludf.DUMMYFUNCTION("""COMPUTED_VALUE"""),37153.0)</f>
        <v>37153</v>
      </c>
      <c r="L359" s="19" t="str">
        <f>IFERROR(__xludf.DUMMYFUNCTION("""COMPUTED_VALUE"""),"LAKI-LAKI")</f>
        <v>LAKI-LAKI</v>
      </c>
      <c r="M359" s="16" t="str">
        <f>IFERROR(__xludf.DUMMYFUNCTION("""COMPUTED_VALUE"""),"JL. GAJAH MADA KOMP VILLA KOTA INTAN A20")</f>
        <v>JL. GAJAH MADA KOMP VILLA KOTA INTAN A20</v>
      </c>
      <c r="N359" s="16"/>
      <c r="O359" s="16"/>
      <c r="P359" s="16"/>
      <c r="Q359" s="16"/>
      <c r="R359" s="19" t="str">
        <f>IFERROR(__xludf.DUMMYFUNCTION("""COMPUTED_VALUE"""),"ISLAM")</f>
        <v>ISLAM</v>
      </c>
      <c r="S359" s="16" t="str">
        <f>IFERROR(__xludf.DUMMYFUNCTION("""COMPUTED_VALUE"""),"TIDAK ADA")</f>
        <v>TIDAK ADA</v>
      </c>
      <c r="T359" s="16" t="str">
        <f>IFERROR(__xludf.DUMMYFUNCTION("""COMPUTED_VALUE"""),"NYERI DI")</f>
        <v>NYERI DI</v>
      </c>
      <c r="U359" s="16" t="str">
        <f>IFERROR(__xludf.DUMMYFUNCTION("""COMPUTED_VALUE"""),"FUTSAL")</f>
        <v>FUTSAL</v>
      </c>
      <c r="V359" s="21" t="str">
        <f>IFERROR(__xludf.DUMMYFUNCTION("""COMPUTED_VALUE"""),"081352625761")</f>
        <v>081352625761</v>
      </c>
      <c r="W359" s="22"/>
    </row>
    <row r="360" ht="22.5" customHeight="1">
      <c r="A360" s="8"/>
      <c r="B360" s="9">
        <f>IFERROR(__xludf.DUMMYFUNCTION("""COMPUTED_VALUE"""),45054.765666782405)</f>
        <v>45054.76567</v>
      </c>
      <c r="C360" s="9"/>
      <c r="D360" s="10">
        <f>IFERROR(__xludf.DUMMYFUNCTION("""COMPUTED_VALUE"""),45057.0)</f>
        <v>45057</v>
      </c>
      <c r="E360" s="10" t="str">
        <f>IFERROR(__xludf.DUMMYFUNCTION("""COMPUTED_VALUE"""),"05Mei")</f>
        <v>05Mei</v>
      </c>
      <c r="F360" s="10" t="str">
        <f>IFERROR(__xludf.DUMMYFUNCTION("""COMPUTED_VALUE"""),"2023")</f>
        <v>2023</v>
      </c>
      <c r="G360" s="16" t="str">
        <f>IFERROR(__xludf.DUMMYFUNCTION("""COMPUTED_VALUE"""),"LOUISTEN LAMTIUR MARPAUNG")</f>
        <v>LOUISTEN LAMTIUR MARPAUNG</v>
      </c>
      <c r="H360" s="17" t="str">
        <f>IFERROR(__xludf.DUMMYFUNCTION("""COMPUTED_VALUE"""),"L0923055369")</f>
        <v>L0923055369</v>
      </c>
      <c r="I360" s="17">
        <f>IFERROR(__xludf.DUMMYFUNCTION("""COMPUTED_VALUE"""),16.0)</f>
        <v>16</v>
      </c>
      <c r="J360" s="17" t="str">
        <f>IFERROR(__xludf.DUMMYFUNCTION("""COMPUTED_VALUE"""),"&lt; 18 tahun")</f>
        <v>&lt; 18 tahun</v>
      </c>
      <c r="K360" s="19">
        <f>IFERROR(__xludf.DUMMYFUNCTION("""COMPUTED_VALUE"""),40022.0)</f>
        <v>40022</v>
      </c>
      <c r="L360" s="19" t="str">
        <f>IFERROR(__xludf.DUMMYFUNCTION("""COMPUTED_VALUE"""),"PEREMPUAN")</f>
        <v>PEREMPUAN</v>
      </c>
      <c r="M360" s="16" t="str">
        <f>IFERROR(__xludf.DUMMYFUNCTION("""COMPUTED_VALUE"""),"JLN.BRIGJEN KATAMSO G.G FAJAR KETAPANG")</f>
        <v>JLN.BRIGJEN KATAMSO G.G FAJAR KETAPANG</v>
      </c>
      <c r="N360" s="16"/>
      <c r="O360" s="16"/>
      <c r="P360" s="16"/>
      <c r="Q360" s="16"/>
      <c r="R360" s="19" t="str">
        <f>IFERROR(__xludf.DUMMYFUNCTION("""COMPUTED_VALUE"""),"PROTESTAN")</f>
        <v>PROTESTAN</v>
      </c>
      <c r="S360" s="16" t="str">
        <f>IFERROR(__xludf.DUMMYFUNCTION("""COMPUTED_VALUE"""),"PELAJAR/MAHASISWA")</f>
        <v>PELAJAR/MAHASISWA</v>
      </c>
      <c r="T360" s="16" t="str">
        <f>IFERROR(__xludf.DUMMYFUNCTION("""COMPUTED_VALUE"""),"SAKIT ENGKEL")</f>
        <v>SAKIT ENGKEL</v>
      </c>
      <c r="U360" s="16" t="str">
        <f>IFERROR(__xludf.DUMMYFUNCTION("""COMPUTED_VALUE"""),"FUTSAL")</f>
        <v>FUTSAL</v>
      </c>
      <c r="V360" s="21" t="str">
        <f>IFERROR(__xludf.DUMMYFUNCTION("""COMPUTED_VALUE"""),"081250205369")</f>
        <v>081250205369</v>
      </c>
      <c r="W360" s="22"/>
    </row>
    <row r="361" ht="22.5" customHeight="1">
      <c r="A361" s="8"/>
      <c r="B361" s="9">
        <f>IFERROR(__xludf.DUMMYFUNCTION("""COMPUTED_VALUE"""),45054.90493907407)</f>
        <v>45054.90494</v>
      </c>
      <c r="C361" s="9"/>
      <c r="D361" s="10">
        <f>IFERROR(__xludf.DUMMYFUNCTION("""COMPUTED_VALUE"""),45057.0)</f>
        <v>45057</v>
      </c>
      <c r="E361" s="10" t="str">
        <f>IFERROR(__xludf.DUMMYFUNCTION("""COMPUTED_VALUE"""),"05Mei")</f>
        <v>05Mei</v>
      </c>
      <c r="F361" s="10" t="str">
        <f>IFERROR(__xludf.DUMMYFUNCTION("""COMPUTED_VALUE"""),"2023")</f>
        <v>2023</v>
      </c>
      <c r="G361" s="16" t="str">
        <f>IFERROR(__xludf.DUMMYFUNCTION("""COMPUTED_VALUE"""),"MUHAMMAD THARIQ FATHURRAHMAN")</f>
        <v>MUHAMMAD THARIQ FATHURRAHMAN</v>
      </c>
      <c r="H361" s="17" t="str">
        <f>IFERROR(__xludf.DUMMYFUNCTION("""COMPUTED_VALUE"""),"M0423052800")</f>
        <v>M0423052800</v>
      </c>
      <c r="I361" s="17">
        <f>IFERROR(__xludf.DUMMYFUNCTION("""COMPUTED_VALUE"""),22.0)</f>
        <v>22</v>
      </c>
      <c r="J361" s="17" t="str">
        <f>IFERROR(__xludf.DUMMYFUNCTION("""COMPUTED_VALUE"""),"18-24 tahun")</f>
        <v>18-24 tahun</v>
      </c>
      <c r="K361" s="19">
        <f>IFERROR(__xludf.DUMMYFUNCTION("""COMPUTED_VALUE"""),38071.0)</f>
        <v>38071</v>
      </c>
      <c r="L361" s="19" t="str">
        <f>IFERROR(__xludf.DUMMYFUNCTION("""COMPUTED_VALUE"""),"LAKI-LAKI")</f>
        <v>LAKI-LAKI</v>
      </c>
      <c r="M361" s="16" t="str">
        <f>IFERROR(__xludf.DUMMYFUNCTION("""COMPUTED_VALUE"""),"JL. PURNAMA KOMP. PURNAMA PERMAI 2")</f>
        <v>JL. PURNAMA KOMP. PURNAMA PERMAI 2</v>
      </c>
      <c r="N361" s="16"/>
      <c r="O361" s="16"/>
      <c r="P361" s="16"/>
      <c r="Q361" s="16"/>
      <c r="R361" s="19" t="str">
        <f>IFERROR(__xludf.DUMMYFUNCTION("""COMPUTED_VALUE"""),"ISLAM")</f>
        <v>ISLAM</v>
      </c>
      <c r="S361" s="16" t="str">
        <f>IFERROR(__xludf.DUMMYFUNCTION("""COMPUTED_VALUE"""),"TIDAK ADA")</f>
        <v>TIDAK ADA</v>
      </c>
      <c r="T361" s="16" t="str">
        <f>IFERROR(__xludf.DUMMYFUNCTION("""COMPUTED_VALUE"""),"NGILU")</f>
        <v>NGILU</v>
      </c>
      <c r="U361" s="16" t="str">
        <f>IFERROR(__xludf.DUMMYFUNCTION("""COMPUTED_VALUE"""),"BERMAIN SEPAK BOLA")</f>
        <v>BERMAIN SEPAK BOLA</v>
      </c>
      <c r="V361" s="21" t="str">
        <f>IFERROR(__xludf.DUMMYFUNCTION("""COMPUTED_VALUE"""),"089520862800")</f>
        <v>089520862800</v>
      </c>
      <c r="W361" s="22"/>
    </row>
    <row r="362" ht="22.5" customHeight="1">
      <c r="A362" s="8"/>
      <c r="B362" s="9">
        <f>IFERROR(__xludf.DUMMYFUNCTION("""COMPUTED_VALUE"""),45055.44432538195)</f>
        <v>45055.44433</v>
      </c>
      <c r="C362" s="9"/>
      <c r="D362" s="10">
        <f>IFERROR(__xludf.DUMMYFUNCTION("""COMPUTED_VALUE"""),45057.0)</f>
        <v>45057</v>
      </c>
      <c r="E362" s="10" t="str">
        <f>IFERROR(__xludf.DUMMYFUNCTION("""COMPUTED_VALUE"""),"05Mei")</f>
        <v>05Mei</v>
      </c>
      <c r="F362" s="10" t="str">
        <f>IFERROR(__xludf.DUMMYFUNCTION("""COMPUTED_VALUE"""),"2023")</f>
        <v>2023</v>
      </c>
      <c r="G362" s="16" t="str">
        <f>IFERROR(__xludf.DUMMYFUNCTION("""COMPUTED_VALUE"""),"MAJIJAH")</f>
        <v>MAJIJAH</v>
      </c>
      <c r="H362" s="17" t="str">
        <f>IFERROR(__xludf.DUMMYFUNCTION("""COMPUTED_VALUE"""),"M0423052105")</f>
        <v>M0423052105</v>
      </c>
      <c r="I362" s="17">
        <f>IFERROR(__xludf.DUMMYFUNCTION("""COMPUTED_VALUE"""),22.0)</f>
        <v>22</v>
      </c>
      <c r="J362" s="17" t="str">
        <f>IFERROR(__xludf.DUMMYFUNCTION("""COMPUTED_VALUE"""),"18-24 tahun")</f>
        <v>18-24 tahun</v>
      </c>
      <c r="K362" s="19">
        <f>IFERROR(__xludf.DUMMYFUNCTION("""COMPUTED_VALUE"""),38019.0)</f>
        <v>38019</v>
      </c>
      <c r="L362" s="19" t="str">
        <f>IFERROR(__xludf.DUMMYFUNCTION("""COMPUTED_VALUE"""),"PEREMPUAN")</f>
        <v>PEREMPUAN</v>
      </c>
      <c r="M362" s="16" t="str">
        <f>IFERROR(__xludf.DUMMYFUNCTION("""COMPUTED_VALUE"""),"JLN GAJAH MADA DALAM GG AMAL")</f>
        <v>JLN GAJAH MADA DALAM GG AMAL</v>
      </c>
      <c r="N362" s="16"/>
      <c r="O362" s="16"/>
      <c r="P362" s="16"/>
      <c r="Q362" s="16"/>
      <c r="R362" s="19" t="str">
        <f>IFERROR(__xludf.DUMMYFUNCTION("""COMPUTED_VALUE"""),"ISLAM")</f>
        <v>ISLAM</v>
      </c>
      <c r="S362" s="16" t="str">
        <f>IFERROR(__xludf.DUMMYFUNCTION("""COMPUTED_VALUE"""),"PELAJAR/MAHASISWA")</f>
        <v>PELAJAR/MAHASISWA</v>
      </c>
      <c r="T362" s="16" t="str">
        <f>IFERROR(__xludf.DUMMYFUNCTION("""COMPUTED_VALUE"""),"ENGKEL")</f>
        <v>ENGKEL</v>
      </c>
      <c r="U362" s="16" t="str">
        <f>IFERROR(__xludf.DUMMYFUNCTION("""COMPUTED_VALUE"""),"FUTSAL")</f>
        <v>FUTSAL</v>
      </c>
      <c r="V362" s="21" t="str">
        <f>IFERROR(__xludf.DUMMYFUNCTION("""COMPUTED_VALUE"""),"085804662105")</f>
        <v>085804662105</v>
      </c>
      <c r="W362" s="22"/>
    </row>
    <row r="363" ht="22.5" customHeight="1">
      <c r="A363" s="8"/>
      <c r="B363" s="9">
        <f>IFERROR(__xludf.DUMMYFUNCTION("""COMPUTED_VALUE"""),45055.72488855324)</f>
        <v>45055.72489</v>
      </c>
      <c r="C363" s="9"/>
      <c r="D363" s="10">
        <f>IFERROR(__xludf.DUMMYFUNCTION("""COMPUTED_VALUE"""),45059.0)</f>
        <v>45059</v>
      </c>
      <c r="E363" s="10" t="str">
        <f>IFERROR(__xludf.DUMMYFUNCTION("""COMPUTED_VALUE"""),"05Mei")</f>
        <v>05Mei</v>
      </c>
      <c r="F363" s="10" t="str">
        <f>IFERROR(__xludf.DUMMYFUNCTION("""COMPUTED_VALUE"""),"2023")</f>
        <v>2023</v>
      </c>
      <c r="G363" s="16" t="str">
        <f>IFERROR(__xludf.DUMMYFUNCTION("""COMPUTED_VALUE"""),"ISHAK")</f>
        <v>ISHAK</v>
      </c>
      <c r="H363" s="17" t="str">
        <f>IFERROR(__xludf.DUMMYFUNCTION("""COMPUTED_VALUE"""),"I6923052025")</f>
        <v>I6923052025</v>
      </c>
      <c r="I363" s="17">
        <f>IFERROR(__xludf.DUMMYFUNCTION("""COMPUTED_VALUE"""),56.0)</f>
        <v>56</v>
      </c>
      <c r="J363" s="17" t="str">
        <f>IFERROR(__xludf.DUMMYFUNCTION("""COMPUTED_VALUE"""),"&gt; 44 tahun")</f>
        <v>&gt; 44 tahun</v>
      </c>
      <c r="K363" s="19">
        <f>IFERROR(__xludf.DUMMYFUNCTION("""COMPUTED_VALUE"""),25462.0)</f>
        <v>25462</v>
      </c>
      <c r="L363" s="19" t="str">
        <f>IFERROR(__xludf.DUMMYFUNCTION("""COMPUTED_VALUE"""),"LAKI-LAKI")</f>
        <v>LAKI-LAKI</v>
      </c>
      <c r="M363" s="16" t="str">
        <f>IFERROR(__xludf.DUMMYFUNCTION("""COMPUTED_VALUE"""),"JLN HAJI RAIS A RAHMAN GG SEKAWAN NO 4")</f>
        <v>JLN HAJI RAIS A RAHMAN GG SEKAWAN NO 4</v>
      </c>
      <c r="N363" s="16"/>
      <c r="O363" s="16"/>
      <c r="P363" s="16"/>
      <c r="Q363" s="16"/>
      <c r="R363" s="19" t="str">
        <f>IFERROR(__xludf.DUMMYFUNCTION("""COMPUTED_VALUE"""),"ISLAM")</f>
        <v>ISLAM</v>
      </c>
      <c r="S363" s="16" t="str">
        <f>IFERROR(__xludf.DUMMYFUNCTION("""COMPUTED_VALUE"""),"ASN")</f>
        <v>ASN</v>
      </c>
      <c r="T363" s="16" t="str">
        <f>IFERROR(__xludf.DUMMYFUNCTION("""COMPUTED_VALUE"""),"SULIT BERJALAN PASCA STROKE")</f>
        <v>SULIT BERJALAN PASCA STROKE</v>
      </c>
      <c r="U363" s="16" t="str">
        <f>IFERROR(__xludf.DUMMYFUNCTION("""COMPUTED_VALUE"""),"TIDAK ADA")</f>
        <v>TIDAK ADA</v>
      </c>
      <c r="V363" s="21" t="str">
        <f>IFERROR(__xludf.DUMMYFUNCTION("""COMPUTED_VALUE"""),"085787482025")</f>
        <v>085787482025</v>
      </c>
      <c r="W363" s="22"/>
    </row>
    <row r="364" ht="22.5" customHeight="1">
      <c r="A364" s="8"/>
      <c r="B364" s="9">
        <f>IFERROR(__xludf.DUMMYFUNCTION("""COMPUTED_VALUE"""),45055.74018508102)</f>
        <v>45055.74019</v>
      </c>
      <c r="C364" s="9"/>
      <c r="D364" s="10">
        <f>IFERROR(__xludf.DUMMYFUNCTION("""COMPUTED_VALUE"""),45059.0)</f>
        <v>45059</v>
      </c>
      <c r="E364" s="10" t="str">
        <f>IFERROR(__xludf.DUMMYFUNCTION("""COMPUTED_VALUE"""),"05Mei")</f>
        <v>05Mei</v>
      </c>
      <c r="F364" s="10" t="str">
        <f>IFERROR(__xludf.DUMMYFUNCTION("""COMPUTED_VALUE"""),"2023")</f>
        <v>2023</v>
      </c>
      <c r="G364" s="16" t="str">
        <f>IFERROR(__xludf.DUMMYFUNCTION("""COMPUTED_VALUE"""),"ALFAJRI ZIKRI")</f>
        <v>ALFAJRI ZIKRI</v>
      </c>
      <c r="H364" s="17" t="str">
        <f>IFERROR(__xludf.DUMMYFUNCTION("""COMPUTED_VALUE"""),"A9423054254")</f>
        <v>A9423054254</v>
      </c>
      <c r="I364" s="17">
        <f>IFERROR(__xludf.DUMMYFUNCTION("""COMPUTED_VALUE"""),31.0)</f>
        <v>31</v>
      </c>
      <c r="J364" s="17" t="str">
        <f>IFERROR(__xludf.DUMMYFUNCTION("""COMPUTED_VALUE"""),"25-34 tahun")</f>
        <v>25-34 tahun</v>
      </c>
      <c r="K364" s="19">
        <f>IFERROR(__xludf.DUMMYFUNCTION("""COMPUTED_VALUE"""),34513.0)</f>
        <v>34513</v>
      </c>
      <c r="L364" s="19" t="str">
        <f>IFERROR(__xludf.DUMMYFUNCTION("""COMPUTED_VALUE"""),"LAKI-LAKI")</f>
        <v>LAKI-LAKI</v>
      </c>
      <c r="M364" s="16" t="str">
        <f>IFERROR(__xludf.DUMMYFUNCTION("""COMPUTED_VALUE"""),"JAKARTA")</f>
        <v>JAKARTA</v>
      </c>
      <c r="N364" s="16"/>
      <c r="O364" s="16"/>
      <c r="P364" s="16"/>
      <c r="Q364" s="16"/>
      <c r="R364" s="19" t="str">
        <f>IFERROR(__xludf.DUMMYFUNCTION("""COMPUTED_VALUE"""),"ISLAM")</f>
        <v>ISLAM</v>
      </c>
      <c r="S364" s="16" t="str">
        <f>IFERROR(__xludf.DUMMYFUNCTION("""COMPUTED_VALUE"""),"ATLET")</f>
        <v>ATLET</v>
      </c>
      <c r="T364" s="16" t="str">
        <f>IFERROR(__xludf.DUMMYFUNCTION("""COMPUTED_VALUE"""),"KNEE")</f>
        <v>KNEE</v>
      </c>
      <c r="U364" s="16" t="str">
        <f>IFERROR(__xludf.DUMMYFUNCTION("""COMPUTED_VALUE"""),"ATHLETE")</f>
        <v>ATHLETE</v>
      </c>
      <c r="V364" s="21" t="str">
        <f>IFERROR(__xludf.DUMMYFUNCTION("""COMPUTED_VALUE"""),"081213684254")</f>
        <v>081213684254</v>
      </c>
      <c r="W364" s="22"/>
    </row>
    <row r="365" ht="22.5" customHeight="1">
      <c r="A365" s="8"/>
      <c r="B365" s="9">
        <f>IFERROR(__xludf.DUMMYFUNCTION("""COMPUTED_VALUE"""),45055.830249606486)</f>
        <v>45055.83025</v>
      </c>
      <c r="C365" s="9"/>
      <c r="D365" s="10">
        <f>IFERROR(__xludf.DUMMYFUNCTION("""COMPUTED_VALUE"""),45059.0)</f>
        <v>45059</v>
      </c>
      <c r="E365" s="10" t="str">
        <f>IFERROR(__xludf.DUMMYFUNCTION("""COMPUTED_VALUE"""),"05Mei")</f>
        <v>05Mei</v>
      </c>
      <c r="F365" s="10" t="str">
        <f>IFERROR(__xludf.DUMMYFUNCTION("""COMPUTED_VALUE"""),"2023")</f>
        <v>2023</v>
      </c>
      <c r="G365" s="16" t="str">
        <f>IFERROR(__xludf.DUMMYFUNCTION("""COMPUTED_VALUE"""),"MOHAMMAD AFIF RIZKY")</f>
        <v>MOHAMMAD AFIF RIZKY</v>
      </c>
      <c r="H365" s="17" t="str">
        <f>IFERROR(__xludf.DUMMYFUNCTION("""COMPUTED_VALUE"""),"M9923059202")</f>
        <v>M9923059202</v>
      </c>
      <c r="I365" s="17">
        <f>IFERROR(__xludf.DUMMYFUNCTION("""COMPUTED_VALUE"""),27.0)</f>
        <v>27</v>
      </c>
      <c r="J365" s="17" t="str">
        <f>IFERROR(__xludf.DUMMYFUNCTION("""COMPUTED_VALUE"""),"25-34 tahun")</f>
        <v>25-34 tahun</v>
      </c>
      <c r="K365" s="19">
        <f>IFERROR(__xludf.DUMMYFUNCTION("""COMPUTED_VALUE"""),36275.0)</f>
        <v>36275</v>
      </c>
      <c r="L365" s="19" t="str">
        <f>IFERROR(__xludf.DUMMYFUNCTION("""COMPUTED_VALUE"""),"LAKI-LAKI")</f>
        <v>LAKI-LAKI</v>
      </c>
      <c r="M365" s="16" t="str">
        <f>IFERROR(__xludf.DUMMYFUNCTION("""COMPUTED_VALUE"""),"JL KEMAYORAN BARAT IV RT 007/006 NO 24")</f>
        <v>JL KEMAYORAN BARAT IV RT 007/006 NO 24</v>
      </c>
      <c r="N365" s="16"/>
      <c r="O365" s="16"/>
      <c r="P365" s="16"/>
      <c r="Q365" s="16"/>
      <c r="R365" s="19" t="str">
        <f>IFERROR(__xludf.DUMMYFUNCTION("""COMPUTED_VALUE"""),"ISLAM")</f>
        <v>ISLAM</v>
      </c>
      <c r="S365" s="16" t="str">
        <f>IFERROR(__xludf.DUMMYFUNCTION("""COMPUTED_VALUE"""),"ATLET")</f>
        <v>ATLET</v>
      </c>
      <c r="T365" s="16" t="str">
        <f>IFERROR(__xludf.DUMMYFUNCTION("""COMPUTED_VALUE"""),"QUADRICEPS")</f>
        <v>QUADRICEPS</v>
      </c>
      <c r="U365" s="16" t="str">
        <f>IFERROR(__xludf.DUMMYFUNCTION("""COMPUTED_VALUE"""),"FUTSAL")</f>
        <v>FUTSAL</v>
      </c>
      <c r="V365" s="21" t="str">
        <f>IFERROR(__xludf.DUMMYFUNCTION("""COMPUTED_VALUE"""),"081249739202")</f>
        <v>081249739202</v>
      </c>
      <c r="W365" s="22"/>
    </row>
    <row r="366" ht="22.5" customHeight="1">
      <c r="A366" s="8"/>
      <c r="B366" s="9">
        <f>IFERROR(__xludf.DUMMYFUNCTION("""COMPUTED_VALUE"""),45056.39661600694)</f>
        <v>45056.39662</v>
      </c>
      <c r="C366" s="9"/>
      <c r="D366" s="10">
        <f>IFERROR(__xludf.DUMMYFUNCTION("""COMPUTED_VALUE"""),45060.0)</f>
        <v>45060</v>
      </c>
      <c r="E366" s="10" t="str">
        <f>IFERROR(__xludf.DUMMYFUNCTION("""COMPUTED_VALUE"""),"05Mei")</f>
        <v>05Mei</v>
      </c>
      <c r="F366" s="10" t="str">
        <f>IFERROR(__xludf.DUMMYFUNCTION("""COMPUTED_VALUE"""),"2023")</f>
        <v>2023</v>
      </c>
      <c r="G366" s="16" t="str">
        <f>IFERROR(__xludf.DUMMYFUNCTION("""COMPUTED_VALUE"""),"M. RAFLI SAPUTRA")</f>
        <v>M. RAFLI SAPUTRA</v>
      </c>
      <c r="H366" s="17" t="str">
        <f>IFERROR(__xludf.DUMMYFUNCTION("""COMPUTED_VALUE"""),"M0223057984")</f>
        <v>M0223057984</v>
      </c>
      <c r="I366" s="17">
        <f>IFERROR(__xludf.DUMMYFUNCTION("""COMPUTED_VALUE"""),24.0)</f>
        <v>24</v>
      </c>
      <c r="J366" s="17" t="str">
        <f>IFERROR(__xludf.DUMMYFUNCTION("""COMPUTED_VALUE"""),"18-24 tahun")</f>
        <v>18-24 tahun</v>
      </c>
      <c r="K366" s="19">
        <f>IFERROR(__xludf.DUMMYFUNCTION("""COMPUTED_VALUE"""),37264.0)</f>
        <v>37264</v>
      </c>
      <c r="L366" s="19" t="str">
        <f>IFERROR(__xludf.DUMMYFUNCTION("""COMPUTED_VALUE"""),"LAKI-LAKI")</f>
        <v>LAKI-LAKI</v>
      </c>
      <c r="M366" s="16" t="str">
        <f>IFERROR(__xludf.DUMMYFUNCTION("""COMPUTED_VALUE"""),"GG. BUKIT TINGGI NO.10")</f>
        <v>GG. BUKIT TINGGI NO.10</v>
      </c>
      <c r="N366" s="16"/>
      <c r="O366" s="16"/>
      <c r="P366" s="16"/>
      <c r="Q366" s="16"/>
      <c r="R366" s="19" t="str">
        <f>IFERROR(__xludf.DUMMYFUNCTION("""COMPUTED_VALUE"""),"ISLAM")</f>
        <v>ISLAM</v>
      </c>
      <c r="S366" s="16" t="str">
        <f>IFERROR(__xludf.DUMMYFUNCTION("""COMPUTED_VALUE"""),"PELAJAR/MAHASISWA")</f>
        <v>PELAJAR/MAHASISWA</v>
      </c>
      <c r="T366" s="16" t="str">
        <f>IFERROR(__xludf.DUMMYFUNCTION("""COMPUTED_VALUE"""),"MCL")</f>
        <v>MCL</v>
      </c>
      <c r="U366" s="16" t="str">
        <f>IFERROR(__xludf.DUMMYFUNCTION("""COMPUTED_VALUE"""),"FUTSAL")</f>
        <v>FUTSAL</v>
      </c>
      <c r="V366" s="21" t="str">
        <f>IFERROR(__xludf.DUMMYFUNCTION("""COMPUTED_VALUE"""),"082251417984")</f>
        <v>082251417984</v>
      </c>
      <c r="W366" s="22"/>
    </row>
    <row r="367" ht="22.5" customHeight="1">
      <c r="A367" s="8"/>
      <c r="B367" s="9">
        <f>IFERROR(__xludf.DUMMYFUNCTION("""COMPUTED_VALUE"""),45056.718115069445)</f>
        <v>45056.71812</v>
      </c>
      <c r="C367" s="9"/>
      <c r="D367" s="10">
        <f>IFERROR(__xludf.DUMMYFUNCTION("""COMPUTED_VALUE"""),45060.0)</f>
        <v>45060</v>
      </c>
      <c r="E367" s="10" t="str">
        <f>IFERROR(__xludf.DUMMYFUNCTION("""COMPUTED_VALUE"""),"05Mei")</f>
        <v>05Mei</v>
      </c>
      <c r="F367" s="10" t="str">
        <f>IFERROR(__xludf.DUMMYFUNCTION("""COMPUTED_VALUE"""),"2023")</f>
        <v>2023</v>
      </c>
      <c r="G367" s="16" t="str">
        <f>IFERROR(__xludf.DUMMYFUNCTION("""COMPUTED_VALUE"""),"ZULPIAN KARNO")</f>
        <v>ZULPIAN KARNO</v>
      </c>
      <c r="H367" s="17" t="str">
        <f>IFERROR(__xludf.DUMMYFUNCTION("""COMPUTED_VALUE"""),"Z7723050355")</f>
        <v>Z7723050355</v>
      </c>
      <c r="I367" s="17">
        <f>IFERROR(__xludf.DUMMYFUNCTION("""COMPUTED_VALUE"""),49.0)</f>
        <v>49</v>
      </c>
      <c r="J367" s="17" t="str">
        <f>IFERROR(__xludf.DUMMYFUNCTION("""COMPUTED_VALUE"""),"&gt; 44 tahun")</f>
        <v>&gt; 44 tahun</v>
      </c>
      <c r="K367" s="19">
        <f>IFERROR(__xludf.DUMMYFUNCTION("""COMPUTED_VALUE"""),28249.0)</f>
        <v>28249</v>
      </c>
      <c r="L367" s="19" t="str">
        <f>IFERROR(__xludf.DUMMYFUNCTION("""COMPUTED_VALUE"""),"LAKI-LAKI")</f>
        <v>LAKI-LAKI</v>
      </c>
      <c r="M367" s="16" t="str">
        <f>IFERROR(__xludf.DUMMYFUNCTION("""COMPUTED_VALUE"""),"JALAN PARIS 2KOMPLEK RIMBAWAN NO 20")</f>
        <v>JALAN PARIS 2KOMPLEK RIMBAWAN NO 20</v>
      </c>
      <c r="N367" s="16"/>
      <c r="O367" s="16"/>
      <c r="P367" s="16"/>
      <c r="Q367" s="16"/>
      <c r="R367" s="19" t="str">
        <f>IFERROR(__xludf.DUMMYFUNCTION("""COMPUTED_VALUE"""),"ISLAM")</f>
        <v>ISLAM</v>
      </c>
      <c r="S367" s="16" t="str">
        <f>IFERROR(__xludf.DUMMYFUNCTION("""COMPUTED_VALUE"""),"ASN")</f>
        <v>ASN</v>
      </c>
      <c r="T367" s="16" t="str">
        <f>IFERROR(__xludf.DUMMYFUNCTION("""COMPUTED_VALUE"""),"DI PUNDAK SEBELAH KIRI SAMPAI LEHER TERASA TERIK DAN NYERI TANGAN SEBELAH KIRI TERAS KESEMUTAN")</f>
        <v>DI PUNDAK SEBELAH KIRI SAMPAI LEHER TERASA TERIK DAN NYERI TANGAN SEBELAH KIRI TERAS KESEMUTAN</v>
      </c>
      <c r="U367" s="16" t="str">
        <f>IFERROR(__xludf.DUMMYFUNCTION("""COMPUTED_VALUE"""),"JALAN JALAN")</f>
        <v>JALAN JALAN</v>
      </c>
      <c r="V367" s="21" t="str">
        <f>IFERROR(__xludf.DUMMYFUNCTION("""COMPUTED_VALUE"""),"081256320355")</f>
        <v>081256320355</v>
      </c>
      <c r="W367" s="22"/>
    </row>
    <row r="368" ht="22.5" customHeight="1">
      <c r="A368" s="8"/>
      <c r="B368" s="9">
        <f>IFERROR(__xludf.DUMMYFUNCTION("""COMPUTED_VALUE"""),45056.82669725694)</f>
        <v>45056.8267</v>
      </c>
      <c r="C368" s="9"/>
      <c r="D368" s="10">
        <f>IFERROR(__xludf.DUMMYFUNCTION("""COMPUTED_VALUE"""),45060.0)</f>
        <v>45060</v>
      </c>
      <c r="E368" s="10" t="str">
        <f>IFERROR(__xludf.DUMMYFUNCTION("""COMPUTED_VALUE"""),"05Mei")</f>
        <v>05Mei</v>
      </c>
      <c r="F368" s="10" t="str">
        <f>IFERROR(__xludf.DUMMYFUNCTION("""COMPUTED_VALUE"""),"2023")</f>
        <v>2023</v>
      </c>
      <c r="G368" s="16" t="str">
        <f>IFERROR(__xludf.DUMMYFUNCTION("""COMPUTED_VALUE"""),"RITA LINARDI")</f>
        <v>RITA LINARDI</v>
      </c>
      <c r="H368" s="17" t="str">
        <f>IFERROR(__xludf.DUMMYFUNCTION("""COMPUTED_VALUE"""),"R8423050210")</f>
        <v>R8423050210</v>
      </c>
      <c r="I368" s="17">
        <f>IFERROR(__xludf.DUMMYFUNCTION("""COMPUTED_VALUE"""),42.0)</f>
        <v>42</v>
      </c>
      <c r="J368" s="17" t="str">
        <f>IFERROR(__xludf.DUMMYFUNCTION("""COMPUTED_VALUE"""),"35-44 tahun")</f>
        <v>35-44 tahun</v>
      </c>
      <c r="K368" s="19">
        <f>IFERROR(__xludf.DUMMYFUNCTION("""COMPUTED_VALUE"""),30745.0)</f>
        <v>30745</v>
      </c>
      <c r="L368" s="19" t="str">
        <f>IFERROR(__xludf.DUMMYFUNCTION("""COMPUTED_VALUE"""),"PEREMPUAN")</f>
        <v>PEREMPUAN</v>
      </c>
      <c r="M368" s="16" t="str">
        <f>IFERROR(__xludf.DUMMYFUNCTION("""COMPUTED_VALUE"""),"JL.PROF.DR.M.YAMIN GG.URAY HAMID NO.87")</f>
        <v>JL.PROF.DR.M.YAMIN GG.URAY HAMID NO.87</v>
      </c>
      <c r="N368" s="16"/>
      <c r="O368" s="16"/>
      <c r="P368" s="16"/>
      <c r="Q368" s="16"/>
      <c r="R368" s="19" t="str">
        <f>IFERROR(__xludf.DUMMYFUNCTION("""COMPUTED_VALUE"""),"BUDDHA")</f>
        <v>BUDDHA</v>
      </c>
      <c r="S368" s="16" t="str">
        <f>IFERROR(__xludf.DUMMYFUNCTION("""COMPUTED_VALUE"""),"RUMAH TANGGA")</f>
        <v>RUMAH TANGGA</v>
      </c>
      <c r="T368" s="16" t="str">
        <f>IFERROR(__xludf.DUMMYFUNCTION("""COMPUTED_VALUE"""),"SAKIT PUNGGUNG,PINGGANG,SAMPAI PINGGUL")</f>
        <v>SAKIT PUNGGUNG,PINGGANG,SAMPAI PINGGUL</v>
      </c>
      <c r="U368" s="16" t="str">
        <f>IFERROR(__xludf.DUMMYFUNCTION("""COMPUTED_VALUE"""),"KERJAAN RUMAH")</f>
        <v>KERJAAN RUMAH</v>
      </c>
      <c r="V368" s="21" t="str">
        <f>IFERROR(__xludf.DUMMYFUNCTION("""COMPUTED_VALUE"""),"085386700210")</f>
        <v>085386700210</v>
      </c>
      <c r="W368" s="22"/>
    </row>
    <row r="369" ht="22.5" customHeight="1">
      <c r="A369" s="8"/>
      <c r="B369" s="9">
        <f>IFERROR(__xludf.DUMMYFUNCTION("""COMPUTED_VALUE"""),45056.83398199074)</f>
        <v>45056.83398</v>
      </c>
      <c r="C369" s="9"/>
      <c r="D369" s="34">
        <f>IFERROR(__xludf.DUMMYFUNCTION("""COMPUTED_VALUE"""),45060.0)</f>
        <v>45060</v>
      </c>
      <c r="E369" s="34" t="str">
        <f>IFERROR(__xludf.DUMMYFUNCTION("""COMPUTED_VALUE"""),"05Mei")</f>
        <v>05Mei</v>
      </c>
      <c r="F369" s="34" t="str">
        <f>IFERROR(__xludf.DUMMYFUNCTION("""COMPUTED_VALUE"""),"2023")</f>
        <v>2023</v>
      </c>
      <c r="G369" s="35" t="str">
        <f>IFERROR(__xludf.DUMMYFUNCTION("""COMPUTED_VALUE"""),"ANDREAS YOVIAN")</f>
        <v>ANDREAS YOVIAN</v>
      </c>
      <c r="H369" s="17" t="str">
        <f>IFERROR(__xludf.DUMMYFUNCTION("""COMPUTED_VALUE"""),"A9123056029")</f>
        <v>A9123056029</v>
      </c>
      <c r="I369" s="17">
        <f>IFERROR(__xludf.DUMMYFUNCTION("""COMPUTED_VALUE"""),35.0)</f>
        <v>35</v>
      </c>
      <c r="J369" s="17" t="str">
        <f>IFERROR(__xludf.DUMMYFUNCTION("""COMPUTED_VALUE"""),"35-44 tahun")</f>
        <v>35-44 tahun</v>
      </c>
      <c r="K369" s="19">
        <f>IFERROR(__xludf.DUMMYFUNCTION("""COMPUTED_VALUE"""),33381.0)</f>
        <v>33381</v>
      </c>
      <c r="L369" s="19" t="str">
        <f>IFERROR(__xludf.DUMMYFUNCTION("""COMPUTED_VALUE"""),"LAKI-LAKI")</f>
        <v>LAKI-LAKI</v>
      </c>
      <c r="M369" s="35" t="str">
        <f>IFERROR(__xludf.DUMMYFUNCTION("""COMPUTED_VALUE"""),"JALAN W R SUPRATMAN NO 1")</f>
        <v>JALAN W R SUPRATMAN NO 1</v>
      </c>
      <c r="N369" s="35"/>
      <c r="O369" s="35"/>
      <c r="P369" s="35"/>
      <c r="Q369" s="35"/>
      <c r="R369" s="19" t="str">
        <f>IFERROR(__xludf.DUMMYFUNCTION("""COMPUTED_VALUE"""),"KATOLIK")</f>
        <v>KATOLIK</v>
      </c>
      <c r="S369" s="16" t="str">
        <f>IFERROR(__xludf.DUMMYFUNCTION("""COMPUTED_VALUE"""),"WIRASWASTA")</f>
        <v>WIRASWASTA</v>
      </c>
      <c r="T369" s="16" t="str">
        <f>IFERROR(__xludf.DUMMYFUNCTION("""COMPUTED_VALUE"""),"SAKIT PINGGANG")</f>
        <v>SAKIT PINGGANG</v>
      </c>
      <c r="U369" s="16" t="str">
        <f>IFERROR(__xludf.DUMMYFUNCTION("""COMPUTED_VALUE"""),"OLAHRAGA GYM")</f>
        <v>OLAHRAGA GYM</v>
      </c>
      <c r="V369" s="11" t="str">
        <f>IFERROR(__xludf.DUMMYFUNCTION("""COMPUTED_VALUE"""),"081254566029")</f>
        <v>081254566029</v>
      </c>
      <c r="W369" s="15"/>
    </row>
    <row r="370" ht="22.5" customHeight="1">
      <c r="A370" s="8"/>
      <c r="B370" s="9">
        <f>IFERROR(__xludf.DUMMYFUNCTION("""COMPUTED_VALUE"""),45057.52180695602)</f>
        <v>45057.52181</v>
      </c>
      <c r="C370" s="9"/>
      <c r="D370" s="10">
        <f>IFERROR(__xludf.DUMMYFUNCTION("""COMPUTED_VALUE"""),45061.0)</f>
        <v>45061</v>
      </c>
      <c r="E370" s="10" t="str">
        <f>IFERROR(__xludf.DUMMYFUNCTION("""COMPUTED_VALUE"""),"05Mei")</f>
        <v>05Mei</v>
      </c>
      <c r="F370" s="10" t="str">
        <f>IFERROR(__xludf.DUMMYFUNCTION("""COMPUTED_VALUE"""),"2023")</f>
        <v>2023</v>
      </c>
      <c r="G370" s="16" t="str">
        <f>IFERROR(__xludf.DUMMYFUNCTION("""COMPUTED_VALUE"""),"SURYANA")</f>
        <v>SURYANA</v>
      </c>
      <c r="H370" s="17" t="str">
        <f>IFERROR(__xludf.DUMMYFUNCTION("""COMPUTED_VALUE"""),"S7723054038")</f>
        <v>S7723054038</v>
      </c>
      <c r="I370" s="17">
        <f>IFERROR(__xludf.DUMMYFUNCTION("""COMPUTED_VALUE"""),49.0)</f>
        <v>49</v>
      </c>
      <c r="J370" s="17" t="str">
        <f>IFERROR(__xludf.DUMMYFUNCTION("""COMPUTED_VALUE"""),"&gt; 44 tahun")</f>
        <v>&gt; 44 tahun</v>
      </c>
      <c r="K370" s="19">
        <f>IFERROR(__xludf.DUMMYFUNCTION("""COMPUTED_VALUE"""),28234.0)</f>
        <v>28234</v>
      </c>
      <c r="L370" s="19" t="str">
        <f>IFERROR(__xludf.DUMMYFUNCTION("""COMPUTED_VALUE"""),"PEREMPUAN")</f>
        <v>PEREMPUAN</v>
      </c>
      <c r="M370" s="16" t="str">
        <f>IFERROR(__xludf.DUMMYFUNCTION("""COMPUTED_VALUE"""),"JLH RAIS A RAHMAN KOMP JAWI PERMAI A10 PTK")</f>
        <v>JLH RAIS A RAHMAN KOMP JAWI PERMAI A10 PTK</v>
      </c>
      <c r="N370" s="16"/>
      <c r="O370" s="16"/>
      <c r="P370" s="16"/>
      <c r="Q370" s="16"/>
      <c r="R370" s="19" t="str">
        <f>IFERROR(__xludf.DUMMYFUNCTION("""COMPUTED_VALUE"""),"KATOLIK")</f>
        <v>KATOLIK</v>
      </c>
      <c r="S370" s="16" t="str">
        <f>IFERROR(__xludf.DUMMYFUNCTION("""COMPUTED_VALUE"""),"BUMD")</f>
        <v>BUMD</v>
      </c>
      <c r="T370" s="16" t="str">
        <f>IFERROR(__xludf.DUMMYFUNCTION("""COMPUTED_VALUE"""),"BAHU")</f>
        <v>BAHU</v>
      </c>
      <c r="U370" s="16" t="str">
        <f>IFERROR(__xludf.DUMMYFUNCTION("""COMPUTED_VALUE"""),"")</f>
        <v/>
      </c>
      <c r="V370" s="21" t="str">
        <f>IFERROR(__xludf.DUMMYFUNCTION("""COMPUTED_VALUE"""),"08125614038")</f>
        <v>08125614038</v>
      </c>
      <c r="W370" s="22"/>
    </row>
    <row r="371" ht="22.5" customHeight="1">
      <c r="A371" s="8"/>
      <c r="B371" s="9">
        <f>IFERROR(__xludf.DUMMYFUNCTION("""COMPUTED_VALUE"""),45057.55725460648)</f>
        <v>45057.55725</v>
      </c>
      <c r="C371" s="9"/>
      <c r="D371" s="10">
        <f>IFERROR(__xludf.DUMMYFUNCTION("""COMPUTED_VALUE"""),45061.0)</f>
        <v>45061</v>
      </c>
      <c r="E371" s="10" t="str">
        <f>IFERROR(__xludf.DUMMYFUNCTION("""COMPUTED_VALUE"""),"05Mei")</f>
        <v>05Mei</v>
      </c>
      <c r="F371" s="10" t="str">
        <f>IFERROR(__xludf.DUMMYFUNCTION("""COMPUTED_VALUE"""),"2023")</f>
        <v>2023</v>
      </c>
      <c r="G371" s="16" t="str">
        <f>IFERROR(__xludf.DUMMYFUNCTION("""COMPUTED_VALUE"""),"RAHMAT WIDYANTO")</f>
        <v>RAHMAT WIDYANTO</v>
      </c>
      <c r="H371" s="17" t="str">
        <f>IFERROR(__xludf.DUMMYFUNCTION("""COMPUTED_VALUE"""),"R9223057555")</f>
        <v>R9223057555</v>
      </c>
      <c r="I371" s="17">
        <f>IFERROR(__xludf.DUMMYFUNCTION("""COMPUTED_VALUE"""),34.0)</f>
        <v>34</v>
      </c>
      <c r="J371" s="17" t="str">
        <f>IFERROR(__xludf.DUMMYFUNCTION("""COMPUTED_VALUE"""),"25-34 tahun")</f>
        <v>25-34 tahun</v>
      </c>
      <c r="K371" s="19">
        <f>IFERROR(__xludf.DUMMYFUNCTION("""COMPUTED_VALUE"""),33639.0)</f>
        <v>33639</v>
      </c>
      <c r="L371" s="19" t="str">
        <f>IFERROR(__xludf.DUMMYFUNCTION("""COMPUTED_VALUE"""),"LAKI-LAKI")</f>
        <v>LAKI-LAKI</v>
      </c>
      <c r="M371" s="16" t="str">
        <f>IFERROR(__xludf.DUMMYFUNCTION("""COMPUTED_VALUE"""),"TAMBUN SELATAN. KAB BEKASI")</f>
        <v>TAMBUN SELATAN. KAB BEKASI</v>
      </c>
      <c r="N371" s="16"/>
      <c r="O371" s="16"/>
      <c r="P371" s="16"/>
      <c r="Q371" s="16"/>
      <c r="R371" s="19" t="str">
        <f>IFERROR(__xludf.DUMMYFUNCTION("""COMPUTED_VALUE"""),"ISLAM")</f>
        <v>ISLAM</v>
      </c>
      <c r="S371" s="16" t="str">
        <f>IFERROR(__xludf.DUMMYFUNCTION("""COMPUTED_VALUE"""),"SWASTA")</f>
        <v>SWASTA</v>
      </c>
      <c r="T371" s="16" t="str">
        <f>IFERROR(__xludf.DUMMYFUNCTION("""COMPUTED_VALUE"""),"NYERI DI")</f>
        <v>NYERI DI</v>
      </c>
      <c r="U371" s="16" t="str">
        <f>IFERROR(__xludf.DUMMYFUNCTION("""COMPUTED_VALUE"""),"OLAHRAGA")</f>
        <v>OLAHRAGA</v>
      </c>
      <c r="V371" s="21" t="str">
        <f>IFERROR(__xludf.DUMMYFUNCTION("""COMPUTED_VALUE"""),"087874387555")</f>
        <v>087874387555</v>
      </c>
      <c r="W371" s="22"/>
    </row>
    <row r="372" ht="22.5" customHeight="1">
      <c r="A372" s="8"/>
      <c r="B372" s="9">
        <f>IFERROR(__xludf.DUMMYFUNCTION("""COMPUTED_VALUE"""),45059.45065087963)</f>
        <v>45059.45065</v>
      </c>
      <c r="C372" s="9"/>
      <c r="D372" s="10">
        <f>IFERROR(__xludf.DUMMYFUNCTION("""COMPUTED_VALUE"""),45062.0)</f>
        <v>45062</v>
      </c>
      <c r="E372" s="10" t="str">
        <f>IFERROR(__xludf.DUMMYFUNCTION("""COMPUTED_VALUE"""),"05Mei")</f>
        <v>05Mei</v>
      </c>
      <c r="F372" s="10" t="str">
        <f>IFERROR(__xludf.DUMMYFUNCTION("""COMPUTED_VALUE"""),"2023")</f>
        <v>2023</v>
      </c>
      <c r="G372" s="16" t="str">
        <f>IFERROR(__xludf.DUMMYFUNCTION("""COMPUTED_VALUE"""),"MUHAMMAD GISBAN ABRAR")</f>
        <v>MUHAMMAD GISBAN ABRAR</v>
      </c>
      <c r="H372" s="17" t="str">
        <f>IFERROR(__xludf.DUMMYFUNCTION("""COMPUTED_VALUE"""),"M9423052117")</f>
        <v>M9423052117</v>
      </c>
      <c r="I372" s="17">
        <f>IFERROR(__xludf.DUMMYFUNCTION("""COMPUTED_VALUE"""),32.0)</f>
        <v>32</v>
      </c>
      <c r="J372" s="17" t="str">
        <f>IFERROR(__xludf.DUMMYFUNCTION("""COMPUTED_VALUE"""),"25-34 tahun")</f>
        <v>25-34 tahun</v>
      </c>
      <c r="K372" s="19">
        <f>IFERROR(__xludf.DUMMYFUNCTION("""COMPUTED_VALUE"""),34446.0)</f>
        <v>34446</v>
      </c>
      <c r="L372" s="19" t="str">
        <f>IFERROR(__xludf.DUMMYFUNCTION("""COMPUTED_VALUE"""),"LAKI-LAKI")</f>
        <v>LAKI-LAKI</v>
      </c>
      <c r="M372" s="16" t="str">
        <f>IFERROR(__xludf.DUMMYFUNCTION("""COMPUTED_VALUE"""),"JL. IMAM BONJOL GG. PENITI 1 NO. 24")</f>
        <v>JL. IMAM BONJOL GG. PENITI 1 NO. 24</v>
      </c>
      <c r="N372" s="16"/>
      <c r="O372" s="16"/>
      <c r="P372" s="16"/>
      <c r="Q372" s="16"/>
      <c r="R372" s="19" t="str">
        <f>IFERROR(__xludf.DUMMYFUNCTION("""COMPUTED_VALUE"""),"ISLAM")</f>
        <v>ISLAM</v>
      </c>
      <c r="S372" s="16" t="str">
        <f>IFERROR(__xludf.DUMMYFUNCTION("""COMPUTED_VALUE"""),"SWASTA")</f>
        <v>SWASTA</v>
      </c>
      <c r="T372" s="16" t="str">
        <f>IFERROR(__xludf.DUMMYFUNCTION("""COMPUTED_VALUE"""),"KELAINAN DI TULANG BELAKANG (BONGKOK UDANG DAN BAGIAN KIRI KANAN BEDA)")</f>
        <v>KELAINAN DI TULANG BELAKANG (BONGKOK UDANG DAN BAGIAN KIRI KANAN BEDA)</v>
      </c>
      <c r="U372" s="16" t="str">
        <f>IFERROR(__xludf.DUMMYFUNCTION("""COMPUTED_VALUE"""),"MEMANAH, BEKERJA, OLAHRAGA DAN BELAJAR")</f>
        <v>MEMANAH, BEKERJA, OLAHRAGA DAN BELAJAR</v>
      </c>
      <c r="V372" s="21" t="str">
        <f>IFERROR(__xludf.DUMMYFUNCTION("""COMPUTED_VALUE"""),"08988162117")</f>
        <v>08988162117</v>
      </c>
      <c r="W372" s="22"/>
    </row>
    <row r="373" ht="22.5" customHeight="1">
      <c r="A373" s="8"/>
      <c r="B373" s="9">
        <f>IFERROR(__xludf.DUMMYFUNCTION("""COMPUTED_VALUE"""),45059.50697321759)</f>
        <v>45059.50697</v>
      </c>
      <c r="C373" s="9"/>
      <c r="D373" s="10">
        <f>IFERROR(__xludf.DUMMYFUNCTION("""COMPUTED_VALUE"""),45062.0)</f>
        <v>45062</v>
      </c>
      <c r="E373" s="10" t="str">
        <f>IFERROR(__xludf.DUMMYFUNCTION("""COMPUTED_VALUE"""),"05Mei")</f>
        <v>05Mei</v>
      </c>
      <c r="F373" s="10" t="str">
        <f>IFERROR(__xludf.DUMMYFUNCTION("""COMPUTED_VALUE"""),"2023")</f>
        <v>2023</v>
      </c>
      <c r="G373" s="16" t="str">
        <f>IFERROR(__xludf.DUMMYFUNCTION("""COMPUTED_VALUE"""),"ASSAKINAH")</f>
        <v>ASSAKINAH</v>
      </c>
      <c r="H373" s="17" t="str">
        <f>IFERROR(__xludf.DUMMYFUNCTION("""COMPUTED_VALUE"""),"A9323059833")</f>
        <v>A9323059833</v>
      </c>
      <c r="I373" s="17">
        <f>IFERROR(__xludf.DUMMYFUNCTION("""COMPUTED_VALUE"""),32.0)</f>
        <v>32</v>
      </c>
      <c r="J373" s="17" t="str">
        <f>IFERROR(__xludf.DUMMYFUNCTION("""COMPUTED_VALUE"""),"25-34 tahun")</f>
        <v>25-34 tahun</v>
      </c>
      <c r="K373" s="19">
        <f>IFERROR(__xludf.DUMMYFUNCTION("""COMPUTED_VALUE"""),34248.0)</f>
        <v>34248</v>
      </c>
      <c r="L373" s="19" t="str">
        <f>IFERROR(__xludf.DUMMYFUNCTION("""COMPUTED_VALUE"""),"PEREMPUAN")</f>
        <v>PEREMPUAN</v>
      </c>
      <c r="M373" s="16" t="str">
        <f>IFERROR(__xludf.DUMMYFUNCTION("""COMPUTED_VALUE"""),"JALAN TANAH MERAH")</f>
        <v>JALAN TANAH MERAH</v>
      </c>
      <c r="N373" s="16"/>
      <c r="O373" s="16"/>
      <c r="P373" s="16"/>
      <c r="Q373" s="16"/>
      <c r="R373" s="19" t="str">
        <f>IFERROR(__xludf.DUMMYFUNCTION("""COMPUTED_VALUE"""),"ISLAM")</f>
        <v>ISLAM</v>
      </c>
      <c r="S373" s="16" t="str">
        <f>IFERROR(__xludf.DUMMYFUNCTION("""COMPUTED_VALUE"""),"ASN")</f>
        <v>ASN</v>
      </c>
      <c r="T373" s="16" t="str">
        <f>IFERROR(__xludf.DUMMYFUNCTION("""COMPUTED_VALUE"""),"TERAPI PASCA OPERASI TIBIA DEXTRA")</f>
        <v>TERAPI PASCA OPERASI TIBIA DEXTRA</v>
      </c>
      <c r="U373" s="16" t="str">
        <f>IFERROR(__xludf.DUMMYFUNCTION("""COMPUTED_VALUE"""),"KERJA")</f>
        <v>KERJA</v>
      </c>
      <c r="V373" s="21" t="str">
        <f>IFERROR(__xludf.DUMMYFUNCTION("""COMPUTED_VALUE"""),"082353069833")</f>
        <v>082353069833</v>
      </c>
      <c r="W373" s="22"/>
    </row>
    <row r="374" ht="22.5" customHeight="1">
      <c r="A374" s="8"/>
      <c r="B374" s="9">
        <f>IFERROR(__xludf.DUMMYFUNCTION("""COMPUTED_VALUE"""),45059.59588253472)</f>
        <v>45059.59588</v>
      </c>
      <c r="C374" s="9"/>
      <c r="D374" s="10">
        <f>IFERROR(__xludf.DUMMYFUNCTION("""COMPUTED_VALUE"""),45062.0)</f>
        <v>45062</v>
      </c>
      <c r="E374" s="10" t="str">
        <f>IFERROR(__xludf.DUMMYFUNCTION("""COMPUTED_VALUE"""),"05Mei")</f>
        <v>05Mei</v>
      </c>
      <c r="F374" s="10" t="str">
        <f>IFERROR(__xludf.DUMMYFUNCTION("""COMPUTED_VALUE"""),"2023")</f>
        <v>2023</v>
      </c>
      <c r="G374" s="16" t="str">
        <f>IFERROR(__xludf.DUMMYFUNCTION("""COMPUTED_VALUE"""),"VISELLA ZAHARA NURJANNAH")</f>
        <v>VISELLA ZAHARA NURJANNAH</v>
      </c>
      <c r="H374" s="17" t="str">
        <f>IFERROR(__xludf.DUMMYFUNCTION("""COMPUTED_VALUE"""),"V0623057984")</f>
        <v>V0623057984</v>
      </c>
      <c r="I374" s="17">
        <f>IFERROR(__xludf.DUMMYFUNCTION("""COMPUTED_VALUE"""),20.0)</f>
        <v>20</v>
      </c>
      <c r="J374" s="17" t="str">
        <f>IFERROR(__xludf.DUMMYFUNCTION("""COMPUTED_VALUE"""),"18-24 tahun")</f>
        <v>18-24 tahun</v>
      </c>
      <c r="K374" s="19">
        <f>IFERROR(__xludf.DUMMYFUNCTION("""COMPUTED_VALUE"""),38779.0)</f>
        <v>38779</v>
      </c>
      <c r="L374" s="19" t="str">
        <f>IFERROR(__xludf.DUMMYFUNCTION("""COMPUTED_VALUE"""),"PEREMPUAN")</f>
        <v>PEREMPUAN</v>
      </c>
      <c r="M374" s="16" t="str">
        <f>IFERROR(__xludf.DUMMYFUNCTION("""COMPUTED_VALUE"""),"JLN. SUNGAI RAYA DALAM KOMP. KORPRI R327")</f>
        <v>JLN. SUNGAI RAYA DALAM KOMP. KORPRI R327</v>
      </c>
      <c r="N374" s="16"/>
      <c r="O374" s="16"/>
      <c r="P374" s="16"/>
      <c r="Q374" s="16"/>
      <c r="R374" s="19" t="str">
        <f>IFERROR(__xludf.DUMMYFUNCTION("""COMPUTED_VALUE"""),"ISLAM")</f>
        <v>ISLAM</v>
      </c>
      <c r="S374" s="16" t="str">
        <f>IFERROR(__xludf.DUMMYFUNCTION("""COMPUTED_VALUE"""),"PELAJAR/MAHASISWA")</f>
        <v>PELAJAR/MAHASISWA</v>
      </c>
      <c r="T374" s="16" t="str">
        <f>IFERROR(__xludf.DUMMYFUNCTION("""COMPUTED_VALUE"""),"MAU KONSUL PEMERIKSAAN KAKI KARNA HABIS SEDOT CAIRAN DI TETAPI SAMPAI SEKARANG MAU DITERAPI")</f>
        <v>MAU KONSUL PEMERIKSAAN KAKI KARNA HABIS SEDOT CAIRAN DI TETAPI SAMPAI SEKARANG MAU DITERAPI</v>
      </c>
      <c r="U374" s="16" t="str">
        <f>IFERROR(__xludf.DUMMYFUNCTION("""COMPUTED_VALUE"""),"JALAN-JALAN")</f>
        <v>JALAN-JALAN</v>
      </c>
      <c r="V374" s="21" t="str">
        <f>IFERROR(__xludf.DUMMYFUNCTION("""COMPUTED_VALUE"""),"089504697984")</f>
        <v>089504697984</v>
      </c>
      <c r="W374" s="22"/>
    </row>
    <row r="375" ht="22.5" customHeight="1">
      <c r="A375" s="8"/>
      <c r="B375" s="9">
        <f>IFERROR(__xludf.DUMMYFUNCTION("""COMPUTED_VALUE"""),45059.63119892361)</f>
        <v>45059.6312</v>
      </c>
      <c r="C375" s="9"/>
      <c r="D375" s="10">
        <f>IFERROR(__xludf.DUMMYFUNCTION("""COMPUTED_VALUE"""),45062.0)</f>
        <v>45062</v>
      </c>
      <c r="E375" s="10" t="str">
        <f>IFERROR(__xludf.DUMMYFUNCTION("""COMPUTED_VALUE"""),"05Mei")</f>
        <v>05Mei</v>
      </c>
      <c r="F375" s="10" t="str">
        <f>IFERROR(__xludf.DUMMYFUNCTION("""COMPUTED_VALUE"""),"2023")</f>
        <v>2023</v>
      </c>
      <c r="G375" s="16" t="str">
        <f>IFERROR(__xludf.DUMMYFUNCTION("""COMPUTED_VALUE"""),"MUHAMAD REVI AFRIAN")</f>
        <v>MUHAMAD REVI AFRIAN</v>
      </c>
      <c r="H375" s="17" t="str">
        <f>IFERROR(__xludf.DUMMYFUNCTION("""COMPUTED_VALUE"""),"M9923057240")</f>
        <v>M9923057240</v>
      </c>
      <c r="I375" s="17">
        <f>IFERROR(__xludf.DUMMYFUNCTION("""COMPUTED_VALUE"""),27.0)</f>
        <v>27</v>
      </c>
      <c r="J375" s="17" t="str">
        <f>IFERROR(__xludf.DUMMYFUNCTION("""COMPUTED_VALUE"""),"25-34 tahun")</f>
        <v>25-34 tahun</v>
      </c>
      <c r="K375" s="19">
        <f>IFERROR(__xludf.DUMMYFUNCTION("""COMPUTED_VALUE"""),36280.0)</f>
        <v>36280</v>
      </c>
      <c r="L375" s="19" t="str">
        <f>IFERROR(__xludf.DUMMYFUNCTION("""COMPUTED_VALUE"""),"LAKI-LAKI")</f>
        <v>LAKI-LAKI</v>
      </c>
      <c r="M375" s="16" t="str">
        <f>IFERROR(__xludf.DUMMYFUNCTION("""COMPUTED_VALUE"""),"JL BATURADEN 6 NO 11 KAB TANGERANG")</f>
        <v>JL BATURADEN 6 NO 11 KAB TANGERANG</v>
      </c>
      <c r="N375" s="16"/>
      <c r="O375" s="16"/>
      <c r="P375" s="16"/>
      <c r="Q375" s="16"/>
      <c r="R375" s="19" t="str">
        <f>IFERROR(__xludf.DUMMYFUNCTION("""COMPUTED_VALUE"""),"ISLAM")</f>
        <v>ISLAM</v>
      </c>
      <c r="S375" s="16" t="str">
        <f>IFERROR(__xludf.DUMMYFUNCTION("""COMPUTED_VALUE"""),"ATLET")</f>
        <v>ATLET</v>
      </c>
      <c r="T375" s="16" t="str">
        <f>IFERROR(__xludf.DUMMYFUNCTION("""COMPUTED_VALUE"""),"ACL")</f>
        <v>ACL</v>
      </c>
      <c r="U375" s="16" t="str">
        <f>IFERROR(__xludf.DUMMYFUNCTION("""COMPUTED_VALUE"""),"FUTSAL")</f>
        <v>FUTSAL</v>
      </c>
      <c r="V375" s="21" t="str">
        <f>IFERROR(__xludf.DUMMYFUNCTION("""COMPUTED_VALUE"""),"089607697240")</f>
        <v>089607697240</v>
      </c>
      <c r="W375" s="22"/>
    </row>
    <row r="376" ht="22.5" customHeight="1">
      <c r="A376" s="8"/>
      <c r="B376" s="9">
        <f>IFERROR(__xludf.DUMMYFUNCTION("""COMPUTED_VALUE"""),45059.748357233795)</f>
        <v>45059.74836</v>
      </c>
      <c r="C376" s="9"/>
      <c r="D376" s="10">
        <f>IFERROR(__xludf.DUMMYFUNCTION("""COMPUTED_VALUE"""),45062.0)</f>
        <v>45062</v>
      </c>
      <c r="E376" s="10" t="str">
        <f>IFERROR(__xludf.DUMMYFUNCTION("""COMPUTED_VALUE"""),"05Mei")</f>
        <v>05Mei</v>
      </c>
      <c r="F376" s="10" t="str">
        <f>IFERROR(__xludf.DUMMYFUNCTION("""COMPUTED_VALUE"""),"2023")</f>
        <v>2023</v>
      </c>
      <c r="G376" s="16" t="str">
        <f>IFERROR(__xludf.DUMMYFUNCTION("""COMPUTED_VALUE"""),"ANAK AGUNG RAHAYU SARASWATI")</f>
        <v>ANAK AGUNG RAHAYU SARASWATI</v>
      </c>
      <c r="H376" s="17" t="str">
        <f>IFERROR(__xludf.DUMMYFUNCTION("""COMPUTED_VALUE"""),"A7623051179")</f>
        <v>A7623051179</v>
      </c>
      <c r="I376" s="17">
        <f>IFERROR(__xludf.DUMMYFUNCTION("""COMPUTED_VALUE"""),49.0)</f>
        <v>49</v>
      </c>
      <c r="J376" s="17" t="str">
        <f>IFERROR(__xludf.DUMMYFUNCTION("""COMPUTED_VALUE"""),"&gt; 44 tahun")</f>
        <v>&gt; 44 tahun</v>
      </c>
      <c r="K376" s="19">
        <f>IFERROR(__xludf.DUMMYFUNCTION("""COMPUTED_VALUE"""),28122.0)</f>
        <v>28122</v>
      </c>
      <c r="L376" s="19" t="str">
        <f>IFERROR(__xludf.DUMMYFUNCTION("""COMPUTED_VALUE"""),"PEREMPUAN")</f>
        <v>PEREMPUAN</v>
      </c>
      <c r="M376" s="16" t="str">
        <f>IFERROR(__xludf.DUMMYFUNCTION("""COMPUTED_VALUE"""),"JLN. DANAU SENTARUM KOMPLEK DANAU ASRI B 6")</f>
        <v>JLN. DANAU SENTARUM KOMPLEK DANAU ASRI B 6</v>
      </c>
      <c r="N376" s="16"/>
      <c r="O376" s="16"/>
      <c r="P376" s="16"/>
      <c r="Q376" s="16"/>
      <c r="R376" s="19" t="str">
        <f>IFERROR(__xludf.DUMMYFUNCTION("""COMPUTED_VALUE"""),"ISLAM")</f>
        <v>ISLAM</v>
      </c>
      <c r="S376" s="16" t="str">
        <f>IFERROR(__xludf.DUMMYFUNCTION("""COMPUTED_VALUE"""),"RUMAH TANGGA")</f>
        <v>RUMAH TANGGA</v>
      </c>
      <c r="T376" s="16" t="str">
        <f>IFERROR(__xludf.DUMMYFUNCTION("""COMPUTED_VALUE"""),"PEGAL SETELAH JATUH DARI SEPEDA")</f>
        <v>PEGAL SETELAH JATUH DARI SEPEDA</v>
      </c>
      <c r="U376" s="16" t="str">
        <f>IFERROR(__xludf.DUMMYFUNCTION("""COMPUTED_VALUE"""),"-")</f>
        <v>-</v>
      </c>
      <c r="V376" s="21" t="str">
        <f>IFERROR(__xludf.DUMMYFUNCTION("""COMPUTED_VALUE"""),"08125711179")</f>
        <v>08125711179</v>
      </c>
      <c r="W376" s="22"/>
    </row>
    <row r="377" ht="22.5" customHeight="1">
      <c r="A377" s="8"/>
      <c r="B377" s="9">
        <f>IFERROR(__xludf.DUMMYFUNCTION("""COMPUTED_VALUE"""),45059.74844761574)</f>
        <v>45059.74845</v>
      </c>
      <c r="C377" s="9"/>
      <c r="D377" s="10">
        <f>IFERROR(__xludf.DUMMYFUNCTION("""COMPUTED_VALUE"""),45062.0)</f>
        <v>45062</v>
      </c>
      <c r="E377" s="10" t="str">
        <f>IFERROR(__xludf.DUMMYFUNCTION("""COMPUTED_VALUE"""),"05Mei")</f>
        <v>05Mei</v>
      </c>
      <c r="F377" s="10" t="str">
        <f>IFERROR(__xludf.DUMMYFUNCTION("""COMPUTED_VALUE"""),"2023")</f>
        <v>2023</v>
      </c>
      <c r="G377" s="16" t="str">
        <f>IFERROR(__xludf.DUMMYFUNCTION("""COMPUTED_VALUE"""),"ADITYA HENDRA PRAMANA")</f>
        <v>ADITYA HENDRA PRAMANA</v>
      </c>
      <c r="H377" s="17" t="str">
        <f>IFERROR(__xludf.DUMMYFUNCTION("""COMPUTED_VALUE"""),"A9023053360")</f>
        <v>A9023053360</v>
      </c>
      <c r="I377" s="17">
        <f>IFERROR(__xludf.DUMMYFUNCTION("""COMPUTED_VALUE"""),35.0)</f>
        <v>35</v>
      </c>
      <c r="J377" s="17" t="str">
        <f>IFERROR(__xludf.DUMMYFUNCTION("""COMPUTED_VALUE"""),"35-44 tahun")</f>
        <v>35-44 tahun</v>
      </c>
      <c r="K377" s="19">
        <f>IFERROR(__xludf.DUMMYFUNCTION("""COMPUTED_VALUE"""),33181.0)</f>
        <v>33181</v>
      </c>
      <c r="L377" s="19" t="str">
        <f>IFERROR(__xludf.DUMMYFUNCTION("""COMPUTED_VALUE"""),"LAKI-LAKI")</f>
        <v>LAKI-LAKI</v>
      </c>
      <c r="M377" s="16" t="str">
        <f>IFERROR(__xludf.DUMMYFUNCTION("""COMPUTED_VALUE"""),"JL HUSEIN HAMZAH GG MANDAU NO A4")</f>
        <v>JL HUSEIN HAMZAH GG MANDAU NO A4</v>
      </c>
      <c r="N377" s="16"/>
      <c r="O377" s="16"/>
      <c r="P377" s="16"/>
      <c r="Q377" s="16"/>
      <c r="R377" s="19" t="str">
        <f>IFERROR(__xludf.DUMMYFUNCTION("""COMPUTED_VALUE"""),"ISLAM")</f>
        <v>ISLAM</v>
      </c>
      <c r="S377" s="16" t="str">
        <f>IFERROR(__xludf.DUMMYFUNCTION("""COMPUTED_VALUE"""),"SWASTA")</f>
        <v>SWASTA</v>
      </c>
      <c r="T377" s="16" t="str">
        <f>IFERROR(__xludf.DUMMYFUNCTION("""COMPUTED_VALUE"""),"KANAN &amp; ANKLE KANAN")</f>
        <v>KANAN &amp; ANKLE KANAN</v>
      </c>
      <c r="U377" s="16" t="str">
        <f>IFERROR(__xludf.DUMMYFUNCTION("""COMPUTED_VALUE"""),"BASKET")</f>
        <v>BASKET</v>
      </c>
      <c r="V377" s="21" t="str">
        <f>IFERROR(__xludf.DUMMYFUNCTION("""COMPUTED_VALUE"""),"082148063360")</f>
        <v>082148063360</v>
      </c>
      <c r="W377" s="22"/>
    </row>
    <row r="378" ht="22.5" customHeight="1">
      <c r="A378" s="8"/>
      <c r="B378" s="9">
        <f>IFERROR(__xludf.DUMMYFUNCTION("""COMPUTED_VALUE"""),45060.74035194445)</f>
        <v>45060.74035</v>
      </c>
      <c r="C378" s="9"/>
      <c r="D378" s="10">
        <f>IFERROR(__xludf.DUMMYFUNCTION("""COMPUTED_VALUE"""),45063.0)</f>
        <v>45063</v>
      </c>
      <c r="E378" s="10" t="str">
        <f>IFERROR(__xludf.DUMMYFUNCTION("""COMPUTED_VALUE"""),"05Mei")</f>
        <v>05Mei</v>
      </c>
      <c r="F378" s="10" t="str">
        <f>IFERROR(__xludf.DUMMYFUNCTION("""COMPUTED_VALUE"""),"2023")</f>
        <v>2023</v>
      </c>
      <c r="G378" s="16" t="str">
        <f>IFERROR(__xludf.DUMMYFUNCTION("""COMPUTED_VALUE"""),"ERNIWATI")</f>
        <v>ERNIWATI</v>
      </c>
      <c r="H378" s="17" t="str">
        <f>IFERROR(__xludf.DUMMYFUNCTION("""COMPUTED_VALUE"""),"E8423058989")</f>
        <v>E8423058989</v>
      </c>
      <c r="I378" s="17">
        <f>IFERROR(__xludf.DUMMYFUNCTION("""COMPUTED_VALUE"""),41.0)</f>
        <v>41</v>
      </c>
      <c r="J378" s="17" t="str">
        <f>IFERROR(__xludf.DUMMYFUNCTION("""COMPUTED_VALUE"""),"35-44 tahun")</f>
        <v>35-44 tahun</v>
      </c>
      <c r="K378" s="19">
        <f>IFERROR(__xludf.DUMMYFUNCTION("""COMPUTED_VALUE"""),30922.0)</f>
        <v>30922</v>
      </c>
      <c r="L378" s="19" t="str">
        <f>IFERROR(__xludf.DUMMYFUNCTION("""COMPUTED_VALUE"""),"PEREMPUAN")</f>
        <v>PEREMPUAN</v>
      </c>
      <c r="M378" s="16" t="str">
        <f>IFERROR(__xludf.DUMMYFUNCTION("""COMPUTED_VALUE"""),"NUSA INDAH BARU B7")</f>
        <v>NUSA INDAH BARU B7</v>
      </c>
      <c r="N378" s="16"/>
      <c r="O378" s="16"/>
      <c r="P378" s="16"/>
      <c r="Q378" s="16"/>
      <c r="R378" s="19" t="str">
        <f>IFERROR(__xludf.DUMMYFUNCTION("""COMPUTED_VALUE"""),"BUDDHA")</f>
        <v>BUDDHA</v>
      </c>
      <c r="S378" s="16" t="str">
        <f>IFERROR(__xludf.DUMMYFUNCTION("""COMPUTED_VALUE"""),"RUMAH TANGGA")</f>
        <v>RUMAH TANGGA</v>
      </c>
      <c r="T378" s="16" t="str">
        <f>IFERROR(__xludf.DUMMYFUNCTION("""COMPUTED_VALUE"""),"SALAH URAT")</f>
        <v>SALAH URAT</v>
      </c>
      <c r="U378" s="16" t="str">
        <f>IFERROR(__xludf.DUMMYFUNCTION("""COMPUTED_VALUE"""),"MASAK")</f>
        <v>MASAK</v>
      </c>
      <c r="V378" s="21" t="str">
        <f>IFERROR(__xludf.DUMMYFUNCTION("""COMPUTED_VALUE"""),"081254768989")</f>
        <v>081254768989</v>
      </c>
      <c r="W378" s="22"/>
    </row>
    <row r="379" ht="22.5" customHeight="1">
      <c r="A379" s="8"/>
      <c r="B379" s="9">
        <f>IFERROR(__xludf.DUMMYFUNCTION("""COMPUTED_VALUE"""),45060.76964684028)</f>
        <v>45060.76965</v>
      </c>
      <c r="C379" s="9"/>
      <c r="D379" s="10">
        <f>IFERROR(__xludf.DUMMYFUNCTION("""COMPUTED_VALUE"""),45063.0)</f>
        <v>45063</v>
      </c>
      <c r="E379" s="10" t="str">
        <f>IFERROR(__xludf.DUMMYFUNCTION("""COMPUTED_VALUE"""),"05Mei")</f>
        <v>05Mei</v>
      </c>
      <c r="F379" s="10" t="str">
        <f>IFERROR(__xludf.DUMMYFUNCTION("""COMPUTED_VALUE"""),"2023")</f>
        <v>2023</v>
      </c>
      <c r="G379" s="16" t="str">
        <f>IFERROR(__xludf.DUMMYFUNCTION("""COMPUTED_VALUE"""),"RYAN REYNALDI")</f>
        <v>RYAN REYNALDI</v>
      </c>
      <c r="H379" s="17" t="str">
        <f>IFERROR(__xludf.DUMMYFUNCTION("""COMPUTED_VALUE"""),"R9823059662")</f>
        <v>R9823059662</v>
      </c>
      <c r="I379" s="17">
        <f>IFERROR(__xludf.DUMMYFUNCTION("""COMPUTED_VALUE"""),28.0)</f>
        <v>28</v>
      </c>
      <c r="J379" s="17" t="str">
        <f>IFERROR(__xludf.DUMMYFUNCTION("""COMPUTED_VALUE"""),"25-34 tahun")</f>
        <v>25-34 tahun</v>
      </c>
      <c r="K379" s="19">
        <f>IFERROR(__xludf.DUMMYFUNCTION("""COMPUTED_VALUE"""),35933.0)</f>
        <v>35933</v>
      </c>
      <c r="L379" s="19" t="str">
        <f>IFERROR(__xludf.DUMMYFUNCTION("""COMPUTED_VALUE"""),"LAKI-LAKI")</f>
        <v>LAKI-LAKI</v>
      </c>
      <c r="M379" s="16" t="str">
        <f>IFERROR(__xludf.DUMMYFUNCTION("""COMPUTED_VALUE"""),"BANGUN HARJO RT 10 RW 03 KECAMATAN BATAGUH")</f>
        <v>BANGUN HARJO RT 10 RW 03 KECAMATAN BATAGUH</v>
      </c>
      <c r="N379" s="16"/>
      <c r="O379" s="16"/>
      <c r="P379" s="16"/>
      <c r="Q379" s="16"/>
      <c r="R379" s="19" t="str">
        <f>IFERROR(__xludf.DUMMYFUNCTION("""COMPUTED_VALUE"""),"ISLAM")</f>
        <v>ISLAM</v>
      </c>
      <c r="S379" s="16" t="str">
        <f>IFERROR(__xludf.DUMMYFUNCTION("""COMPUTED_VALUE"""),"ATLET")</f>
        <v>ATLET</v>
      </c>
      <c r="T379" s="16" t="str">
        <f>IFERROR(__xludf.DUMMYFUNCTION("""COMPUTED_VALUE"""),"SAKIT DI BAGIAN")</f>
        <v>SAKIT DI BAGIAN</v>
      </c>
      <c r="U379" s="16" t="str">
        <f>IFERROR(__xludf.DUMMYFUNCTION("""COMPUTED_VALUE"""),"OLAHRAGA")</f>
        <v>OLAHRAGA</v>
      </c>
      <c r="V379" s="21" t="str">
        <f>IFERROR(__xludf.DUMMYFUNCTION("""COMPUTED_VALUE"""),"085651259662")</f>
        <v>085651259662</v>
      </c>
      <c r="W379" s="22"/>
    </row>
    <row r="380" ht="22.5" customHeight="1">
      <c r="A380" s="8"/>
      <c r="B380" s="9">
        <f>IFERROR(__xludf.DUMMYFUNCTION("""COMPUTED_VALUE"""),45061.40492818287)</f>
        <v>45061.40493</v>
      </c>
      <c r="C380" s="9"/>
      <c r="D380" s="10">
        <f>IFERROR(__xludf.DUMMYFUNCTION("""COMPUTED_VALUE"""),45066.0)</f>
        <v>45066</v>
      </c>
      <c r="E380" s="10" t="str">
        <f>IFERROR(__xludf.DUMMYFUNCTION("""COMPUTED_VALUE"""),"05Mei")</f>
        <v>05Mei</v>
      </c>
      <c r="F380" s="10" t="str">
        <f>IFERROR(__xludf.DUMMYFUNCTION("""COMPUTED_VALUE"""),"2023")</f>
        <v>2023</v>
      </c>
      <c r="G380" s="16" t="str">
        <f>IFERROR(__xludf.DUMMYFUNCTION("""COMPUTED_VALUE"""),"HERLINA AGUSTININGSIH, ST")</f>
        <v>HERLINA AGUSTININGSIH, ST</v>
      </c>
      <c r="H380" s="17" t="str">
        <f>IFERROR(__xludf.DUMMYFUNCTION("""COMPUTED_VALUE"""),"H8523051399")</f>
        <v>H8523051399</v>
      </c>
      <c r="I380" s="17">
        <f>IFERROR(__xludf.DUMMYFUNCTION("""COMPUTED_VALUE"""),40.0)</f>
        <v>40</v>
      </c>
      <c r="J380" s="17" t="str">
        <f>IFERROR(__xludf.DUMMYFUNCTION("""COMPUTED_VALUE"""),"35-44 tahun")</f>
        <v>35-44 tahun</v>
      </c>
      <c r="K380" s="19">
        <f>IFERROR(__xludf.DUMMYFUNCTION("""COMPUTED_VALUE"""),31274.0)</f>
        <v>31274</v>
      </c>
      <c r="L380" s="19" t="str">
        <f>IFERROR(__xludf.DUMMYFUNCTION("""COMPUTED_VALUE"""),"PEREMPUAN")</f>
        <v>PEREMPUAN</v>
      </c>
      <c r="M380" s="16" t="str">
        <f>IFERROR(__xludf.DUMMYFUNCTION("""COMPUTED_VALUE"""),"JL M YAMIN GG TELUK PAKEDAI 2 NO. 30")</f>
        <v>JL M YAMIN GG TELUK PAKEDAI 2 NO. 30</v>
      </c>
      <c r="N380" s="16"/>
      <c r="O380" s="16"/>
      <c r="P380" s="16"/>
      <c r="Q380" s="16"/>
      <c r="R380" s="19" t="str">
        <f>IFERROR(__xludf.DUMMYFUNCTION("""COMPUTED_VALUE"""),"ISLAM")</f>
        <v>ISLAM</v>
      </c>
      <c r="S380" s="16" t="str">
        <f>IFERROR(__xludf.DUMMYFUNCTION("""COMPUTED_VALUE"""),"ASN")</f>
        <v>ASN</v>
      </c>
      <c r="T380" s="16" t="str">
        <f>IFERROR(__xludf.DUMMYFUNCTION("""COMPUTED_VALUE"""),"TULANG BELAKANG DARI HASIL RONTGEN TAMPAK BENGKOK.")</f>
        <v>TULANG BELAKANG DARI HASIL RONTGEN TAMPAK BENGKOK.</v>
      </c>
      <c r="U380" s="16" t="str">
        <f>IFERROR(__xludf.DUMMYFUNCTION("""COMPUTED_VALUE"""),"SEDENTARY.")</f>
        <v>SEDENTARY.</v>
      </c>
      <c r="V380" s="21" t="str">
        <f>IFERROR(__xludf.DUMMYFUNCTION("""COMPUTED_VALUE"""),"081345081399")</f>
        <v>081345081399</v>
      </c>
      <c r="W380" s="22"/>
    </row>
    <row r="381" ht="22.5" customHeight="1">
      <c r="A381" s="8"/>
      <c r="B381" s="9">
        <f>IFERROR(__xludf.DUMMYFUNCTION("""COMPUTED_VALUE"""),45061.437055891205)</f>
        <v>45061.43706</v>
      </c>
      <c r="C381" s="9"/>
      <c r="D381" s="10">
        <f>IFERROR(__xludf.DUMMYFUNCTION("""COMPUTED_VALUE"""),45066.0)</f>
        <v>45066</v>
      </c>
      <c r="E381" s="10" t="str">
        <f>IFERROR(__xludf.DUMMYFUNCTION("""COMPUTED_VALUE"""),"05Mei")</f>
        <v>05Mei</v>
      </c>
      <c r="F381" s="10" t="str">
        <f>IFERROR(__xludf.DUMMYFUNCTION("""COMPUTED_VALUE"""),"2023")</f>
        <v>2023</v>
      </c>
      <c r="G381" s="16" t="str">
        <f>IFERROR(__xludf.DUMMYFUNCTION("""COMPUTED_VALUE"""),"MUHAMMAD SUTAN ZE PONTIVA SYAMSUAR")</f>
        <v>MUHAMMAD SUTAN ZE PONTIVA SYAMSUAR</v>
      </c>
      <c r="H381" s="17" t="str">
        <f>IFERROR(__xludf.DUMMYFUNCTION("""COMPUTED_VALUE"""),"M0123053299")</f>
        <v>M0123053299</v>
      </c>
      <c r="I381" s="17">
        <f>IFERROR(__xludf.DUMMYFUNCTION("""COMPUTED_VALUE"""),25.0)</f>
        <v>25</v>
      </c>
      <c r="J381" s="17" t="str">
        <f>IFERROR(__xludf.DUMMYFUNCTION("""COMPUTED_VALUE"""),"25-34 tahun")</f>
        <v>25-34 tahun</v>
      </c>
      <c r="K381" s="19">
        <f>IFERROR(__xludf.DUMMYFUNCTION("""COMPUTED_VALUE"""),37030.0)</f>
        <v>37030</v>
      </c>
      <c r="L381" s="19" t="str">
        <f>IFERROR(__xludf.DUMMYFUNCTION("""COMPUTED_VALUE"""),"LAKI-LAKI")</f>
        <v>LAKI-LAKI</v>
      </c>
      <c r="M381" s="16" t="str">
        <f>IFERROR(__xludf.DUMMYFUNCTION("""COMPUTED_VALUE"""),"JALAN TANJUNG RAYA1 GANG FAMILY")</f>
        <v>JALAN TANJUNG RAYA1 GANG FAMILY</v>
      </c>
      <c r="N381" s="16"/>
      <c r="O381" s="16"/>
      <c r="P381" s="16"/>
      <c r="Q381" s="16"/>
      <c r="R381" s="19" t="str">
        <f>IFERROR(__xludf.DUMMYFUNCTION("""COMPUTED_VALUE"""),"ISLAM")</f>
        <v>ISLAM</v>
      </c>
      <c r="S381" s="16" t="str">
        <f>IFERROR(__xludf.DUMMYFUNCTION("""COMPUTED_VALUE"""),"PELAJAR/MAHASISWA")</f>
        <v>PELAJAR/MAHASISWA</v>
      </c>
      <c r="T381" s="16"/>
      <c r="U381" s="16" t="str">
        <f>IFERROR(__xludf.DUMMYFUNCTION("""COMPUTED_VALUE"""),"FUTSAL")</f>
        <v>FUTSAL</v>
      </c>
      <c r="V381" s="21" t="str">
        <f>IFERROR(__xludf.DUMMYFUNCTION("""COMPUTED_VALUE"""),"081347913299")</f>
        <v>081347913299</v>
      </c>
      <c r="W381" s="22"/>
    </row>
    <row r="382" ht="22.5" customHeight="1">
      <c r="A382" s="8"/>
      <c r="B382" s="9">
        <f>IFERROR(__xludf.DUMMYFUNCTION("""COMPUTED_VALUE"""),45061.53729581018)</f>
        <v>45061.5373</v>
      </c>
      <c r="C382" s="9"/>
      <c r="D382" s="10">
        <f>IFERROR(__xludf.DUMMYFUNCTION("""COMPUTED_VALUE"""),45067.0)</f>
        <v>45067</v>
      </c>
      <c r="E382" s="10" t="str">
        <f>IFERROR(__xludf.DUMMYFUNCTION("""COMPUTED_VALUE"""),"05Mei")</f>
        <v>05Mei</v>
      </c>
      <c r="F382" s="10" t="str">
        <f>IFERROR(__xludf.DUMMYFUNCTION("""COMPUTED_VALUE"""),"2023")</f>
        <v>2023</v>
      </c>
      <c r="G382" s="16" t="str">
        <f>IFERROR(__xludf.DUMMYFUNCTION("""COMPUTED_VALUE"""),"KARTIKAWATI")</f>
        <v>KARTIKAWATI</v>
      </c>
      <c r="H382" s="17" t="str">
        <f>IFERROR(__xludf.DUMMYFUNCTION("""COMPUTED_VALUE"""),"K6323053440")</f>
        <v>K6323053440</v>
      </c>
      <c r="I382" s="17">
        <f>IFERROR(__xludf.DUMMYFUNCTION("""COMPUTED_VALUE"""),63.0)</f>
        <v>63</v>
      </c>
      <c r="J382" s="17" t="str">
        <f>IFERROR(__xludf.DUMMYFUNCTION("""COMPUTED_VALUE"""),"&gt; 44 tahun")</f>
        <v>&gt; 44 tahun</v>
      </c>
      <c r="K382" s="19">
        <f>IFERROR(__xludf.DUMMYFUNCTION("""COMPUTED_VALUE"""),23152.0)</f>
        <v>23152</v>
      </c>
      <c r="L382" s="19" t="str">
        <f>IFERROR(__xludf.DUMMYFUNCTION("""COMPUTED_VALUE"""),"PEREMPUAN")</f>
        <v>PEREMPUAN</v>
      </c>
      <c r="M382" s="16" t="str">
        <f>IFERROR(__xludf.DUMMYFUNCTION("""COMPUTED_VALUE"""),"JLN.PROF.M.YAMIN NO 7")</f>
        <v>JLN.PROF.M.YAMIN NO 7</v>
      </c>
      <c r="N382" s="16"/>
      <c r="O382" s="16"/>
      <c r="P382" s="16"/>
      <c r="Q382" s="16"/>
      <c r="R382" s="19" t="str">
        <f>IFERROR(__xludf.DUMMYFUNCTION("""COMPUTED_VALUE"""),"ISLAM")</f>
        <v>ISLAM</v>
      </c>
      <c r="S382" s="16" t="str">
        <f>IFERROR(__xludf.DUMMYFUNCTION("""COMPUTED_VALUE"""),"RUMAH TANGGA")</f>
        <v>RUMAH TANGGA</v>
      </c>
      <c r="T382" s="16" t="str">
        <f>IFERROR(__xludf.DUMMYFUNCTION("""COMPUTED_VALUE"""),"SAKIT SAMPAI KE PINGGANG")</f>
        <v>SAKIT SAMPAI KE PINGGANG</v>
      </c>
      <c r="U382" s="16" t="str">
        <f>IFERROR(__xludf.DUMMYFUNCTION("""COMPUTED_VALUE"""),"MENGURUS RUMAH TANGGA08")</f>
        <v>MENGURUS RUMAH TANGGA08</v>
      </c>
      <c r="V382" s="21" t="str">
        <f>IFERROR(__xludf.DUMMYFUNCTION("""COMPUTED_VALUE"""),"089693483440")</f>
        <v>089693483440</v>
      </c>
      <c r="W382" s="22"/>
    </row>
    <row r="383" ht="22.5" customHeight="1">
      <c r="A383" s="8"/>
      <c r="B383" s="9">
        <f>IFERROR(__xludf.DUMMYFUNCTION("""COMPUTED_VALUE"""),45061.76878291667)</f>
        <v>45061.76878</v>
      </c>
      <c r="C383" s="9"/>
      <c r="D383" s="10">
        <f>IFERROR(__xludf.DUMMYFUNCTION("""COMPUTED_VALUE"""),45067.0)</f>
        <v>45067</v>
      </c>
      <c r="E383" s="10" t="str">
        <f>IFERROR(__xludf.DUMMYFUNCTION("""COMPUTED_VALUE"""),"05Mei")</f>
        <v>05Mei</v>
      </c>
      <c r="F383" s="10" t="str">
        <f>IFERROR(__xludf.DUMMYFUNCTION("""COMPUTED_VALUE"""),"2023")</f>
        <v>2023</v>
      </c>
      <c r="G383" s="16" t="str">
        <f>IFERROR(__xludf.DUMMYFUNCTION("""COMPUTED_VALUE"""),"VERA FEBRIYANTI")</f>
        <v>VERA FEBRIYANTI</v>
      </c>
      <c r="H383" s="17" t="str">
        <f>IFERROR(__xludf.DUMMYFUNCTION("""COMPUTED_VALUE"""),"V8723053440")</f>
        <v>V8723053440</v>
      </c>
      <c r="I383" s="17">
        <f>IFERROR(__xludf.DUMMYFUNCTION("""COMPUTED_VALUE"""),39.0)</f>
        <v>39</v>
      </c>
      <c r="J383" s="17" t="str">
        <f>IFERROR(__xludf.DUMMYFUNCTION("""COMPUTED_VALUE"""),"35-44 tahun")</f>
        <v>35-44 tahun</v>
      </c>
      <c r="K383" s="19">
        <f>IFERROR(__xludf.DUMMYFUNCTION("""COMPUTED_VALUE"""),31833.0)</f>
        <v>31833</v>
      </c>
      <c r="L383" s="19" t="str">
        <f>IFERROR(__xludf.DUMMYFUNCTION("""COMPUTED_VALUE"""),"PEREMPUAN")</f>
        <v>PEREMPUAN</v>
      </c>
      <c r="M383" s="16" t="str">
        <f>IFERROR(__xludf.DUMMYFUNCTION("""COMPUTED_VALUE"""),"JLN.PROF.M.YAMIN NO 7")</f>
        <v>JLN.PROF.M.YAMIN NO 7</v>
      </c>
      <c r="N383" s="16"/>
      <c r="O383" s="16"/>
      <c r="P383" s="16"/>
      <c r="Q383" s="16"/>
      <c r="R383" s="19" t="str">
        <f>IFERROR(__xludf.DUMMYFUNCTION("""COMPUTED_VALUE"""),"ISLAM")</f>
        <v>ISLAM</v>
      </c>
      <c r="S383" s="16" t="str">
        <f>IFERROR(__xludf.DUMMYFUNCTION("""COMPUTED_VALUE"""),"RUMAH TANGGA")</f>
        <v>RUMAH TANGGA</v>
      </c>
      <c r="T383" s="16" t="str">
        <f>IFERROR(__xludf.DUMMYFUNCTION("""COMPUTED_VALUE"""),"SAKIT PERGELANGAN KAKI BENGKAK SAMPAI KE PINGGANG")</f>
        <v>SAKIT PERGELANGAN KAKI BENGKAK SAMPAI KE PINGGANG</v>
      </c>
      <c r="U383" s="16" t="str">
        <f>IFERROR(__xludf.DUMMYFUNCTION("""COMPUTED_VALUE"""),"MENGURUS RUMAH TANGGA")</f>
        <v>MENGURUS RUMAH TANGGA</v>
      </c>
      <c r="V383" s="21" t="str">
        <f>IFERROR(__xludf.DUMMYFUNCTION("""COMPUTED_VALUE"""),"089693483440")</f>
        <v>089693483440</v>
      </c>
      <c r="W383" s="22"/>
    </row>
    <row r="384" ht="22.5" customHeight="1">
      <c r="A384" s="8"/>
      <c r="B384" s="9">
        <f>IFERROR(__xludf.DUMMYFUNCTION("""COMPUTED_VALUE"""),45062.399738356486)</f>
        <v>45062.39974</v>
      </c>
      <c r="C384" s="9"/>
      <c r="D384" s="10">
        <f>IFERROR(__xludf.DUMMYFUNCTION("""COMPUTED_VALUE"""),45067.0)</f>
        <v>45067</v>
      </c>
      <c r="E384" s="10" t="str">
        <f>IFERROR(__xludf.DUMMYFUNCTION("""COMPUTED_VALUE"""),"05Mei")</f>
        <v>05Mei</v>
      </c>
      <c r="F384" s="10" t="str">
        <f>IFERROR(__xludf.DUMMYFUNCTION("""COMPUTED_VALUE"""),"2023")</f>
        <v>2023</v>
      </c>
      <c r="G384" s="16" t="str">
        <f>IFERROR(__xludf.DUMMYFUNCTION("""COMPUTED_VALUE"""),"DIAN FARADILLAH")</f>
        <v>DIAN FARADILLAH</v>
      </c>
      <c r="H384" s="17" t="str">
        <f>IFERROR(__xludf.DUMMYFUNCTION("""COMPUTED_VALUE"""),"D8123056601")</f>
        <v>D8123056601</v>
      </c>
      <c r="I384" s="17">
        <f>IFERROR(__xludf.DUMMYFUNCTION("""COMPUTED_VALUE"""),45.0)</f>
        <v>45</v>
      </c>
      <c r="J384" s="17" t="str">
        <f>IFERROR(__xludf.DUMMYFUNCTION("""COMPUTED_VALUE"""),"&gt; 44 tahun")</f>
        <v>&gt; 44 tahun</v>
      </c>
      <c r="K384" s="19">
        <f>IFERROR(__xludf.DUMMYFUNCTION("""COMPUTED_VALUE"""),29702.0)</f>
        <v>29702</v>
      </c>
      <c r="L384" s="19" t="str">
        <f>IFERROR(__xludf.DUMMYFUNCTION("""COMPUTED_VALUE"""),"PEREMPUAN")</f>
        <v>PEREMPUAN</v>
      </c>
      <c r="M384" s="16" t="str">
        <f>IFERROR(__xludf.DUMMYFUNCTION("""COMPUTED_VALUE"""),"JALAN KARET KOMPLEK LAVISTA B12")</f>
        <v>JALAN KARET KOMPLEK LAVISTA B12</v>
      </c>
      <c r="N384" s="16"/>
      <c r="O384" s="16"/>
      <c r="P384" s="16"/>
      <c r="Q384" s="16"/>
      <c r="R384" s="19" t="str">
        <f>IFERROR(__xludf.DUMMYFUNCTION("""COMPUTED_VALUE"""),"ISLAM")</f>
        <v>ISLAM</v>
      </c>
      <c r="S384" s="16" t="str">
        <f>IFERROR(__xludf.DUMMYFUNCTION("""COMPUTED_VALUE"""),"ASN")</f>
        <v>ASN</v>
      </c>
      <c r="T384" s="16" t="str">
        <f>IFERROR(__xludf.DUMMYFUNCTION("""COMPUTED_VALUE"""),"KAKI KIRI SAKIT")</f>
        <v>KAKI KIRI SAKIT</v>
      </c>
      <c r="U384" s="16" t="str">
        <f>IFERROR(__xludf.DUMMYFUNCTION("""COMPUTED_VALUE"""),"MEMBACA")</f>
        <v>MEMBACA</v>
      </c>
      <c r="V384" s="21" t="str">
        <f>IFERROR(__xludf.DUMMYFUNCTION("""COMPUTED_VALUE"""),"089693576601")</f>
        <v>089693576601</v>
      </c>
      <c r="W384" s="22"/>
    </row>
    <row r="385" ht="22.5" customHeight="1">
      <c r="A385" s="8"/>
      <c r="B385" s="9">
        <f>IFERROR(__xludf.DUMMYFUNCTION("""COMPUTED_VALUE"""),45062.482952743056)</f>
        <v>45062.48295</v>
      </c>
      <c r="C385" s="9"/>
      <c r="D385" s="10">
        <f>IFERROR(__xludf.DUMMYFUNCTION("""COMPUTED_VALUE"""),45067.0)</f>
        <v>45067</v>
      </c>
      <c r="E385" s="10" t="str">
        <f>IFERROR(__xludf.DUMMYFUNCTION("""COMPUTED_VALUE"""),"05Mei")</f>
        <v>05Mei</v>
      </c>
      <c r="F385" s="10" t="str">
        <f>IFERROR(__xludf.DUMMYFUNCTION("""COMPUTED_VALUE"""),"2023")</f>
        <v>2023</v>
      </c>
      <c r="G385" s="16" t="str">
        <f>IFERROR(__xludf.DUMMYFUNCTION("""COMPUTED_VALUE"""),"MASNING")</f>
        <v>MASNING</v>
      </c>
      <c r="H385" s="17" t="str">
        <f>IFERROR(__xludf.DUMMYFUNCTION("""COMPUTED_VALUE"""),"M7423051868")</f>
        <v>M7423051868</v>
      </c>
      <c r="I385" s="17">
        <f>IFERROR(__xludf.DUMMYFUNCTION("""COMPUTED_VALUE"""),51.0)</f>
        <v>51</v>
      </c>
      <c r="J385" s="17" t="str">
        <f>IFERROR(__xludf.DUMMYFUNCTION("""COMPUTED_VALUE"""),"&gt; 44 tahun")</f>
        <v>&gt; 44 tahun</v>
      </c>
      <c r="K385" s="19">
        <f>IFERROR(__xludf.DUMMYFUNCTION("""COMPUTED_VALUE"""),27303.0)</f>
        <v>27303</v>
      </c>
      <c r="L385" s="19" t="str">
        <f>IFERROR(__xludf.DUMMYFUNCTION("""COMPUTED_VALUE"""),"PEREMPUAN")</f>
        <v>PEREMPUAN</v>
      </c>
      <c r="M385" s="16" t="str">
        <f>IFERROR(__xludf.DUMMYFUNCTION("""COMPUTED_VALUE"""),"JL. MT. HARYONO KAPUS KANAN HULU SINTANG")</f>
        <v>JL. MT. HARYONO KAPUS KANAN HULU SINTANG</v>
      </c>
      <c r="N385" s="16"/>
      <c r="O385" s="16"/>
      <c r="P385" s="16"/>
      <c r="Q385" s="16"/>
      <c r="R385" s="19" t="str">
        <f>IFERROR(__xludf.DUMMYFUNCTION("""COMPUTED_VALUE"""),"ISLAM")</f>
        <v>ISLAM</v>
      </c>
      <c r="S385" s="16" t="str">
        <f>IFERROR(__xludf.DUMMYFUNCTION("""COMPUTED_VALUE"""),"RUMAH TANGGA")</f>
        <v>RUMAH TANGGA</v>
      </c>
      <c r="T385" s="16" t="str">
        <f>IFERROR(__xludf.DUMMYFUNCTION("""COMPUTED_VALUE"""),"STROKE")</f>
        <v>STROKE</v>
      </c>
      <c r="U385" s="16" t="str">
        <f>IFERROR(__xludf.DUMMYFUNCTION("""COMPUTED_VALUE"""),"-")</f>
        <v>-</v>
      </c>
      <c r="V385" s="21" t="str">
        <f>IFERROR(__xludf.DUMMYFUNCTION("""COMPUTED_VALUE"""),"0895379011868")</f>
        <v>0895379011868</v>
      </c>
      <c r="W385" s="22"/>
    </row>
    <row r="386" ht="22.5" customHeight="1">
      <c r="A386" s="8"/>
      <c r="B386" s="9">
        <f>IFERROR(__xludf.DUMMYFUNCTION("""COMPUTED_VALUE"""),45062.63436768518)</f>
        <v>45062.63437</v>
      </c>
      <c r="C386" s="9"/>
      <c r="D386" s="10">
        <f>IFERROR(__xludf.DUMMYFUNCTION("""COMPUTED_VALUE"""),45068.0)</f>
        <v>45068</v>
      </c>
      <c r="E386" s="10" t="str">
        <f>IFERROR(__xludf.DUMMYFUNCTION("""COMPUTED_VALUE"""),"05Mei")</f>
        <v>05Mei</v>
      </c>
      <c r="F386" s="10" t="str">
        <f>IFERROR(__xludf.DUMMYFUNCTION("""COMPUTED_VALUE"""),"2023")</f>
        <v>2023</v>
      </c>
      <c r="G386" s="16" t="str">
        <f>IFERROR(__xludf.DUMMYFUNCTION("""COMPUTED_VALUE"""),"DEDDY FEBRIYADI")</f>
        <v>DEDDY FEBRIYADI</v>
      </c>
      <c r="H386" s="17" t="str">
        <f>IFERROR(__xludf.DUMMYFUNCTION("""COMPUTED_VALUE"""),"D8723050777")</f>
        <v>D8723050777</v>
      </c>
      <c r="I386" s="17">
        <f>IFERROR(__xludf.DUMMYFUNCTION("""COMPUTED_VALUE"""),39.0)</f>
        <v>39</v>
      </c>
      <c r="J386" s="17" t="str">
        <f>IFERROR(__xludf.DUMMYFUNCTION("""COMPUTED_VALUE"""),"35-44 tahun")</f>
        <v>35-44 tahun</v>
      </c>
      <c r="K386" s="19">
        <f>IFERROR(__xludf.DUMMYFUNCTION("""COMPUTED_VALUE"""),31822.0)</f>
        <v>31822</v>
      </c>
      <c r="L386" s="19" t="str">
        <f>IFERROR(__xludf.DUMMYFUNCTION("""COMPUTED_VALUE"""),"LAKI-LAKI")</f>
        <v>LAKI-LAKI</v>
      </c>
      <c r="M386" s="16" t="str">
        <f>IFERROR(__xludf.DUMMYFUNCTION("""COMPUTED_VALUE"""),"JL PERDANA")</f>
        <v>JL PERDANA</v>
      </c>
      <c r="N386" s="16"/>
      <c r="O386" s="16"/>
      <c r="P386" s="16"/>
      <c r="Q386" s="16"/>
      <c r="R386" s="19" t="str">
        <f>IFERROR(__xludf.DUMMYFUNCTION("""COMPUTED_VALUE"""),"ISLAM")</f>
        <v>ISLAM</v>
      </c>
      <c r="S386" s="16" t="str">
        <f>IFERROR(__xludf.DUMMYFUNCTION("""COMPUTED_VALUE"""),"SWASTA")</f>
        <v>SWASTA</v>
      </c>
      <c r="T386" s="16" t="str">
        <f>IFERROR(__xludf.DUMMYFUNCTION("""COMPUTED_VALUE"""),"PAHA KIRI TERKENA BENTURAN")</f>
        <v>PAHA KIRI TERKENA BENTURAN</v>
      </c>
      <c r="U386" s="16" t="str">
        <f>IFERROR(__xludf.DUMMYFUNCTION("""COMPUTED_VALUE"""),"SEPAK BOLA")</f>
        <v>SEPAK BOLA</v>
      </c>
      <c r="V386" s="21" t="str">
        <f>IFERROR(__xludf.DUMMYFUNCTION("""COMPUTED_VALUE"""),"085245170777")</f>
        <v>085245170777</v>
      </c>
      <c r="W386" s="22"/>
    </row>
    <row r="387" ht="22.5" customHeight="1">
      <c r="A387" s="8"/>
      <c r="B387" s="9">
        <f>IFERROR(__xludf.DUMMYFUNCTION("""COMPUTED_VALUE"""),45062.83792428241)</f>
        <v>45062.83792</v>
      </c>
      <c r="C387" s="9"/>
      <c r="D387" s="10">
        <f>IFERROR(__xludf.DUMMYFUNCTION("""COMPUTED_VALUE"""),45069.0)</f>
        <v>45069</v>
      </c>
      <c r="E387" s="10" t="str">
        <f>IFERROR(__xludf.DUMMYFUNCTION("""COMPUTED_VALUE"""),"05Mei")</f>
        <v>05Mei</v>
      </c>
      <c r="F387" s="10" t="str">
        <f>IFERROR(__xludf.DUMMYFUNCTION("""COMPUTED_VALUE"""),"2023")</f>
        <v>2023</v>
      </c>
      <c r="G387" s="16" t="str">
        <f>IFERROR(__xludf.DUMMYFUNCTION("""COMPUTED_VALUE"""),"SELVIA ANANDA ANUGRAH")</f>
        <v>SELVIA ANANDA ANUGRAH</v>
      </c>
      <c r="H387" s="17" t="str">
        <f>IFERROR(__xludf.DUMMYFUNCTION("""COMPUTED_VALUE"""),"S0123054453")</f>
        <v>S0123054453</v>
      </c>
      <c r="I387" s="17">
        <f>IFERROR(__xludf.DUMMYFUNCTION("""COMPUTED_VALUE"""),24.0)</f>
        <v>24</v>
      </c>
      <c r="J387" s="17" t="str">
        <f>IFERROR(__xludf.DUMMYFUNCTION("""COMPUTED_VALUE"""),"18-24 tahun")</f>
        <v>18-24 tahun</v>
      </c>
      <c r="K387" s="19">
        <f>IFERROR(__xludf.DUMMYFUNCTION("""COMPUTED_VALUE"""),37144.0)</f>
        <v>37144</v>
      </c>
      <c r="L387" s="19" t="str">
        <f>IFERROR(__xludf.DUMMYFUNCTION("""COMPUTED_VALUE"""),"PEREMPUAN")</f>
        <v>PEREMPUAN</v>
      </c>
      <c r="M387" s="16" t="str">
        <f>IFERROR(__xludf.DUMMYFUNCTION("""COMPUTED_VALUE"""),"JALAN APEL GG APEL V NO 24")</f>
        <v>JALAN APEL GG APEL V NO 24</v>
      </c>
      <c r="N387" s="16"/>
      <c r="O387" s="16"/>
      <c r="P387" s="16"/>
      <c r="Q387" s="16"/>
      <c r="R387" s="19" t="str">
        <f>IFERROR(__xludf.DUMMYFUNCTION("""COMPUTED_VALUE"""),"ISLAM")</f>
        <v>ISLAM</v>
      </c>
      <c r="S387" s="16" t="str">
        <f>IFERROR(__xludf.DUMMYFUNCTION("""COMPUTED_VALUE"""),"RUMAH TANGGA")</f>
        <v>RUMAH TANGGA</v>
      </c>
      <c r="T387" s="16" t="str">
        <f>IFERROR(__xludf.DUMMYFUNCTION("""COMPUTED_VALUE"""),"CIDERA PADA HINGGA BOKONG")</f>
        <v>CIDERA PADA HINGGA BOKONG</v>
      </c>
      <c r="U387" s="16" t="str">
        <f>IFERROR(__xludf.DUMMYFUNCTION("""COMPUTED_VALUE"""),"PENGAJAR")</f>
        <v>PENGAJAR</v>
      </c>
      <c r="V387" s="21" t="str">
        <f>IFERROR(__xludf.DUMMYFUNCTION("""COMPUTED_VALUE"""),"85849694453")</f>
        <v>85849694453</v>
      </c>
      <c r="W387" s="22"/>
    </row>
    <row r="388" ht="22.5" customHeight="1">
      <c r="A388" s="8"/>
      <c r="B388" s="9">
        <f>IFERROR(__xludf.DUMMYFUNCTION("""COMPUTED_VALUE"""),45062.89958334491)</f>
        <v>45062.89958</v>
      </c>
      <c r="C388" s="9"/>
      <c r="D388" s="10">
        <f>IFERROR(__xludf.DUMMYFUNCTION("""COMPUTED_VALUE"""),45069.0)</f>
        <v>45069</v>
      </c>
      <c r="E388" s="10" t="str">
        <f>IFERROR(__xludf.DUMMYFUNCTION("""COMPUTED_VALUE"""),"05Mei")</f>
        <v>05Mei</v>
      </c>
      <c r="F388" s="10" t="str">
        <f>IFERROR(__xludf.DUMMYFUNCTION("""COMPUTED_VALUE"""),"2023")</f>
        <v>2023</v>
      </c>
      <c r="G388" s="16" t="str">
        <f>IFERROR(__xludf.DUMMYFUNCTION("""COMPUTED_VALUE"""),"MARYADI")</f>
        <v>MARYADI</v>
      </c>
      <c r="H388" s="17" t="str">
        <f>IFERROR(__xludf.DUMMYFUNCTION("""COMPUTED_VALUE"""),"M7123059777")</f>
        <v>M7123059777</v>
      </c>
      <c r="I388" s="17">
        <f>IFERROR(__xludf.DUMMYFUNCTION("""COMPUTED_VALUE"""),55.0)</f>
        <v>55</v>
      </c>
      <c r="J388" s="17" t="str">
        <f>IFERROR(__xludf.DUMMYFUNCTION("""COMPUTED_VALUE"""),"&gt; 44 tahun")</f>
        <v>&gt; 44 tahun</v>
      </c>
      <c r="K388" s="19">
        <f>IFERROR(__xludf.DUMMYFUNCTION("""COMPUTED_VALUE"""),26001.0)</f>
        <v>26001</v>
      </c>
      <c r="L388" s="19" t="str">
        <f>IFERROR(__xludf.DUMMYFUNCTION("""COMPUTED_VALUE"""),"LAKI-LAKI")</f>
        <v>LAKI-LAKI</v>
      </c>
      <c r="M388" s="16" t="str">
        <f>IFERROR(__xludf.DUMMYFUNCTION("""COMPUTED_VALUE"""),"JL. LINGKAR SUNGAI DURIAN GG JALUR 1 RT 34/RW V KELURAHAN KAPUAS KANAN HULU SINTANG")</f>
        <v>JL. LINGKAR SUNGAI DURIAN GG JALUR 1 RT 34/RW V KELURAHAN KAPUAS KANAN HULU SINTANG</v>
      </c>
      <c r="N388" s="16"/>
      <c r="O388" s="16"/>
      <c r="P388" s="16"/>
      <c r="Q388" s="16"/>
      <c r="R388" s="19" t="str">
        <f>IFERROR(__xludf.DUMMYFUNCTION("""COMPUTED_VALUE"""),"PROTESTAN")</f>
        <v>PROTESTAN</v>
      </c>
      <c r="S388" s="16" t="str">
        <f>IFERROR(__xludf.DUMMYFUNCTION("""COMPUTED_VALUE"""),"ASN")</f>
        <v>ASN</v>
      </c>
      <c r="T388" s="16" t="str">
        <f>IFERROR(__xludf.DUMMYFUNCTION("""COMPUTED_VALUE"""),"NGILU TANGAN KANAN")</f>
        <v>NGILU TANGAN KANAN</v>
      </c>
      <c r="U388" s="16" t="str">
        <f>IFERROR(__xludf.DUMMYFUNCTION("""COMPUTED_VALUE"""),"KANTORAN DAN BERKEBUN")</f>
        <v>KANTORAN DAN BERKEBUN</v>
      </c>
      <c r="V388" s="21" t="str">
        <f>IFERROR(__xludf.DUMMYFUNCTION("""COMPUTED_VALUE"""),"082153879777")</f>
        <v>082153879777</v>
      </c>
      <c r="W388" s="22"/>
    </row>
    <row r="389" ht="22.5" customHeight="1">
      <c r="A389" s="8"/>
      <c r="B389" s="9">
        <f>IFERROR(__xludf.DUMMYFUNCTION("""COMPUTED_VALUE"""),45063.39363689815)</f>
        <v>45063.39364</v>
      </c>
      <c r="C389" s="9"/>
      <c r="D389" s="10">
        <f>IFERROR(__xludf.DUMMYFUNCTION("""COMPUTED_VALUE"""),45070.0)</f>
        <v>45070</v>
      </c>
      <c r="E389" s="10" t="str">
        <f>IFERROR(__xludf.DUMMYFUNCTION("""COMPUTED_VALUE"""),"05Mei")</f>
        <v>05Mei</v>
      </c>
      <c r="F389" s="10" t="str">
        <f>IFERROR(__xludf.DUMMYFUNCTION("""COMPUTED_VALUE"""),"2023")</f>
        <v>2023</v>
      </c>
      <c r="G389" s="16" t="str">
        <f>IFERROR(__xludf.DUMMYFUNCTION("""COMPUTED_VALUE"""),"JULITA")</f>
        <v>JULITA</v>
      </c>
      <c r="H389" s="17" t="str">
        <f>IFERROR(__xludf.DUMMYFUNCTION("""COMPUTED_VALUE"""),"J7923057700")</f>
        <v>J7923057700</v>
      </c>
      <c r="I389" s="17">
        <f>IFERROR(__xludf.DUMMYFUNCTION("""COMPUTED_VALUE"""),46.0)</f>
        <v>46</v>
      </c>
      <c r="J389" s="17" t="str">
        <f>IFERROR(__xludf.DUMMYFUNCTION("""COMPUTED_VALUE"""),"&gt; 44 tahun")</f>
        <v>&gt; 44 tahun</v>
      </c>
      <c r="K389" s="19">
        <f>IFERROR(__xludf.DUMMYFUNCTION("""COMPUTED_VALUE"""),29037.0)</f>
        <v>29037</v>
      </c>
      <c r="L389" s="19" t="str">
        <f>IFERROR(__xludf.DUMMYFUNCTION("""COMPUTED_VALUE"""),"PEREMPUAN")</f>
        <v>PEREMPUAN</v>
      </c>
      <c r="M389" s="16" t="str">
        <f>IFERROR(__xludf.DUMMYFUNCTION("""COMPUTED_VALUE"""),"KOMP. CITRA GARDEN CITY 5 BLOK D5 NO 9, JKT BARAT")</f>
        <v>KOMP. CITRA GARDEN CITY 5 BLOK D5 NO 9, JKT BARAT</v>
      </c>
      <c r="N389" s="16"/>
      <c r="O389" s="16"/>
      <c r="P389" s="16"/>
      <c r="Q389" s="16"/>
      <c r="R389" s="19" t="str">
        <f>IFERROR(__xludf.DUMMYFUNCTION("""COMPUTED_VALUE"""),"BUDDHA")</f>
        <v>BUDDHA</v>
      </c>
      <c r="S389" s="16" t="str">
        <f>IFERROR(__xludf.DUMMYFUNCTION("""COMPUTED_VALUE"""),"RUMAH TANGGA")</f>
        <v>RUMAH TANGGA</v>
      </c>
      <c r="T389" s="16" t="str">
        <f>IFERROR(__xludf.DUMMYFUNCTION("""COMPUTED_VALUE"""),"PUNDAK KIRI DAN KANAN TDK SAMA TINGGI")</f>
        <v>PUNDAK KIRI DAN KANAN TDK SAMA TINGGI</v>
      </c>
      <c r="U389" s="16" t="str">
        <f>IFERROR(__xludf.DUMMYFUNCTION("""COMPUTED_VALUE"""),"BERSEPEDA")</f>
        <v>BERSEPEDA</v>
      </c>
      <c r="V389" s="21" t="str">
        <f>IFERROR(__xludf.DUMMYFUNCTION("""COMPUTED_VALUE"""),"082158887700")</f>
        <v>082158887700</v>
      </c>
      <c r="W389" s="22"/>
    </row>
    <row r="390" ht="22.5" customHeight="1">
      <c r="A390" s="8"/>
      <c r="B390" s="9">
        <f>IFERROR(__xludf.DUMMYFUNCTION("""COMPUTED_VALUE"""),45066.38051320602)</f>
        <v>45066.38051</v>
      </c>
      <c r="C390" s="9"/>
      <c r="D390" s="10">
        <f>IFERROR(__xludf.DUMMYFUNCTION("""COMPUTED_VALUE"""),45070.0)</f>
        <v>45070</v>
      </c>
      <c r="E390" s="10" t="str">
        <f>IFERROR(__xludf.DUMMYFUNCTION("""COMPUTED_VALUE"""),"05Mei")</f>
        <v>05Mei</v>
      </c>
      <c r="F390" s="10" t="str">
        <f>IFERROR(__xludf.DUMMYFUNCTION("""COMPUTED_VALUE"""),"2023")</f>
        <v>2023</v>
      </c>
      <c r="G390" s="16" t="str">
        <f>IFERROR(__xludf.DUMMYFUNCTION("""COMPUTED_VALUE"""),"ZAINUDDIN ARRASYID")</f>
        <v>ZAINUDDIN ARRASYID</v>
      </c>
      <c r="H390" s="17" t="str">
        <f>IFERROR(__xludf.DUMMYFUNCTION("""COMPUTED_VALUE"""),"Z0323052845")</f>
        <v>Z0323052845</v>
      </c>
      <c r="I390" s="17">
        <f>IFERROR(__xludf.DUMMYFUNCTION("""COMPUTED_VALUE"""),23.0)</f>
        <v>23</v>
      </c>
      <c r="J390" s="17" t="str">
        <f>IFERROR(__xludf.DUMMYFUNCTION("""COMPUTED_VALUE"""),"18-24 tahun")</f>
        <v>18-24 tahun</v>
      </c>
      <c r="K390" s="19">
        <f>IFERROR(__xludf.DUMMYFUNCTION("""COMPUTED_VALUE"""),37692.0)</f>
        <v>37692</v>
      </c>
      <c r="L390" s="19" t="str">
        <f>IFERROR(__xludf.DUMMYFUNCTION("""COMPUTED_VALUE"""),"LAKI-LAKI")</f>
        <v>LAKI-LAKI</v>
      </c>
      <c r="M390" s="16" t="str">
        <f>IFERROR(__xludf.DUMMYFUNCTION("""COMPUTED_VALUE"""),"JLN.TABRANI AHMAD GG.GUNUNG RINJANI 2")</f>
        <v>JLN.TABRANI AHMAD GG.GUNUNG RINJANI 2</v>
      </c>
      <c r="N390" s="16" t="str">
        <f>IFERROR(__xludf.DUMMYFUNCTION("""COMPUTED_VALUE"""),"Sungai jawi dalam")</f>
        <v>Sungai jawi dalam</v>
      </c>
      <c r="O390" s="16" t="str">
        <f>IFERROR(__xludf.DUMMYFUNCTION("""COMPUTED_VALUE"""),"Pontianak barat")</f>
        <v>Pontianak barat</v>
      </c>
      <c r="P390" s="16" t="str">
        <f>IFERROR(__xludf.DUMMYFUNCTION("""COMPUTED_VALUE"""),"Pontianak")</f>
        <v>Pontianak</v>
      </c>
      <c r="Q390" s="16" t="str">
        <f>IFERROR(__xludf.DUMMYFUNCTION("""COMPUTED_VALUE"""),"Kalimantan barat")</f>
        <v>Kalimantan barat</v>
      </c>
      <c r="R390" s="19" t="str">
        <f>IFERROR(__xludf.DUMMYFUNCTION("""COMPUTED_VALUE"""),"ISLAM")</f>
        <v>ISLAM</v>
      </c>
      <c r="S390" s="16" t="str">
        <f>IFERROR(__xludf.DUMMYFUNCTION("""COMPUTED_VALUE"""),"PELAJAR/MAHASISWA")</f>
        <v>PELAJAR/MAHASISWA</v>
      </c>
      <c r="T390" s="16" t="str">
        <f>IFERROR(__xludf.DUMMYFUNCTION("""COMPUTED_VALUE"""),"ANGKLE KAKI")</f>
        <v>ANGKLE KAKI</v>
      </c>
      <c r="U390" s="16" t="str">
        <f>IFERROR(__xludf.DUMMYFUNCTION("""COMPUTED_VALUE"""),"FUTSAL")</f>
        <v>FUTSAL</v>
      </c>
      <c r="V390" s="21" t="str">
        <f>IFERROR(__xludf.DUMMYFUNCTION("""COMPUTED_VALUE"""),"087722212845")</f>
        <v>087722212845</v>
      </c>
      <c r="W390" s="22"/>
    </row>
    <row r="391" ht="22.5" customHeight="1">
      <c r="A391" s="8"/>
      <c r="B391" s="9">
        <f>IFERROR(__xludf.DUMMYFUNCTION("""COMPUTED_VALUE"""),45066.38203616899)</f>
        <v>45066.38204</v>
      </c>
      <c r="C391" s="9"/>
      <c r="D391" s="10">
        <f>IFERROR(__xludf.DUMMYFUNCTION("""COMPUTED_VALUE"""),45070.0)</f>
        <v>45070</v>
      </c>
      <c r="E391" s="10" t="str">
        <f>IFERROR(__xludf.DUMMYFUNCTION("""COMPUTED_VALUE"""),"05Mei")</f>
        <v>05Mei</v>
      </c>
      <c r="F391" s="10" t="str">
        <f>IFERROR(__xludf.DUMMYFUNCTION("""COMPUTED_VALUE"""),"2023")</f>
        <v>2023</v>
      </c>
      <c r="G391" s="16" t="str">
        <f>IFERROR(__xludf.DUMMYFUNCTION("""COMPUTED_VALUE"""),"DIKI FIRMANSYAH")</f>
        <v>DIKI FIRMANSYAH</v>
      </c>
      <c r="H391" s="17" t="str">
        <f>IFERROR(__xludf.DUMMYFUNCTION("""COMPUTED_VALUE"""),"D0223058533")</f>
        <v>D0223058533</v>
      </c>
      <c r="I391" s="17">
        <f>IFERROR(__xludf.DUMMYFUNCTION("""COMPUTED_VALUE"""),24.0)</f>
        <v>24</v>
      </c>
      <c r="J391" s="17" t="str">
        <f>IFERROR(__xludf.DUMMYFUNCTION("""COMPUTED_VALUE"""),"18-24 tahun")</f>
        <v>18-24 tahun</v>
      </c>
      <c r="K391" s="19">
        <f>IFERROR(__xludf.DUMMYFUNCTION("""COMPUTED_VALUE"""),37413.0)</f>
        <v>37413</v>
      </c>
      <c r="L391" s="19" t="str">
        <f>IFERROR(__xludf.DUMMYFUNCTION("""COMPUTED_VALUE"""),"LAKI-LAKI")</f>
        <v>LAKI-LAKI</v>
      </c>
      <c r="M391" s="16" t="str">
        <f>IFERROR(__xludf.DUMMYFUNCTION("""COMPUTED_VALUE"""),"JALAN PARIT WAK GATTAK")</f>
        <v>JALAN PARIT WAK GATTAK</v>
      </c>
      <c r="N391" s="16"/>
      <c r="O391" s="16"/>
      <c r="P391" s="16"/>
      <c r="Q391" s="16"/>
      <c r="R391" s="19" t="str">
        <f>IFERROR(__xludf.DUMMYFUNCTION("""COMPUTED_VALUE"""),"ISLAM")</f>
        <v>ISLAM</v>
      </c>
      <c r="S391" s="16" t="str">
        <f>IFERROR(__xludf.DUMMYFUNCTION("""COMPUTED_VALUE"""),"PELAJAR/MAHASISWA")</f>
        <v>PELAJAR/MAHASISWA</v>
      </c>
      <c r="T391" s="16"/>
      <c r="U391" s="16" t="str">
        <f>IFERROR(__xludf.DUMMYFUNCTION("""COMPUTED_VALUE"""),"FUTSAL")</f>
        <v>FUTSAL</v>
      </c>
      <c r="V391" s="21" t="str">
        <f>IFERROR(__xludf.DUMMYFUNCTION("""COMPUTED_VALUE"""),"085652008533")</f>
        <v>085652008533</v>
      </c>
      <c r="W391" s="22"/>
    </row>
    <row r="392" ht="22.5" customHeight="1">
      <c r="A392" s="8"/>
      <c r="B392" s="9">
        <f>IFERROR(__xludf.DUMMYFUNCTION("""COMPUTED_VALUE"""),45066.48015055555)</f>
        <v>45066.48015</v>
      </c>
      <c r="C392" s="9"/>
      <c r="D392" s="10">
        <f>IFERROR(__xludf.DUMMYFUNCTION("""COMPUTED_VALUE"""),45070.0)</f>
        <v>45070</v>
      </c>
      <c r="E392" s="10" t="str">
        <f>IFERROR(__xludf.DUMMYFUNCTION("""COMPUTED_VALUE"""),"05Mei")</f>
        <v>05Mei</v>
      </c>
      <c r="F392" s="10" t="str">
        <f>IFERROR(__xludf.DUMMYFUNCTION("""COMPUTED_VALUE"""),"2023")</f>
        <v>2023</v>
      </c>
      <c r="G392" s="16" t="str">
        <f>IFERROR(__xludf.DUMMYFUNCTION("""COMPUTED_VALUE"""),"STEFEN")</f>
        <v>STEFEN</v>
      </c>
      <c r="H392" s="17" t="str">
        <f>IFERROR(__xludf.DUMMYFUNCTION("""COMPUTED_VALUE"""),"S0023059651")</f>
        <v>S0023059651</v>
      </c>
      <c r="I392" s="17">
        <f>IFERROR(__xludf.DUMMYFUNCTION("""COMPUTED_VALUE"""),25.0)</f>
        <v>25</v>
      </c>
      <c r="J392" s="17" t="str">
        <f>IFERROR(__xludf.DUMMYFUNCTION("""COMPUTED_VALUE"""),"25-34 tahun")</f>
        <v>25-34 tahun</v>
      </c>
      <c r="K392" s="19">
        <f>IFERROR(__xludf.DUMMYFUNCTION("""COMPUTED_VALUE"""),36765.0)</f>
        <v>36765</v>
      </c>
      <c r="L392" s="19" t="str">
        <f>IFERROR(__xludf.DUMMYFUNCTION("""COMPUTED_VALUE"""),"LAKI-LAKI")</f>
        <v>LAKI-LAKI</v>
      </c>
      <c r="M392" s="16" t="str">
        <f>IFERROR(__xludf.DUMMYFUNCTION("""COMPUTED_VALUE"""),"SEMITAU")</f>
        <v>SEMITAU</v>
      </c>
      <c r="N392" s="16"/>
      <c r="O392" s="16"/>
      <c r="P392" s="16"/>
      <c r="Q392" s="16"/>
      <c r="R392" s="19" t="str">
        <f>IFERROR(__xludf.DUMMYFUNCTION("""COMPUTED_VALUE"""),"ISLAM")</f>
        <v>ISLAM</v>
      </c>
      <c r="S392" s="16" t="str">
        <f>IFERROR(__xludf.DUMMYFUNCTION("""COMPUTED_VALUE"""),"PELAJAR/MAHASISWA")</f>
        <v>PELAJAR/MAHASISWA</v>
      </c>
      <c r="T392" s="16" t="str">
        <f>IFERROR(__xludf.DUMMYFUNCTION("""COMPUTED_VALUE"""),"KESEMUTAN DIBAGIAN KAKI KANAN APABILA LAMA BERDIRI")</f>
        <v>KESEMUTAN DIBAGIAN KAKI KANAN APABILA LAMA BERDIRI</v>
      </c>
      <c r="U392" s="16" t="str">
        <f>IFERROR(__xludf.DUMMYFUNCTION("""COMPUTED_VALUE"""),"FUTSAL DAN GYM")</f>
        <v>FUTSAL DAN GYM</v>
      </c>
      <c r="V392" s="21" t="str">
        <f>IFERROR(__xludf.DUMMYFUNCTION("""COMPUTED_VALUE"""),"082153509651")</f>
        <v>082153509651</v>
      </c>
      <c r="W392" s="22"/>
    </row>
    <row r="393" ht="22.5" customHeight="1">
      <c r="A393" s="8"/>
      <c r="B393" s="9">
        <f>IFERROR(__xludf.DUMMYFUNCTION("""COMPUTED_VALUE"""),45066.66540409722)</f>
        <v>45066.6654</v>
      </c>
      <c r="C393" s="9"/>
      <c r="D393" s="10">
        <f>IFERROR(__xludf.DUMMYFUNCTION("""COMPUTED_VALUE"""),45071.0)</f>
        <v>45071</v>
      </c>
      <c r="E393" s="10" t="str">
        <f>IFERROR(__xludf.DUMMYFUNCTION("""COMPUTED_VALUE"""),"05Mei")</f>
        <v>05Mei</v>
      </c>
      <c r="F393" s="10" t="str">
        <f>IFERROR(__xludf.DUMMYFUNCTION("""COMPUTED_VALUE"""),"2023")</f>
        <v>2023</v>
      </c>
      <c r="G393" s="16" t="str">
        <f>IFERROR(__xludf.DUMMYFUNCTION("""COMPUTED_VALUE"""),"HERTY NURSIANA")</f>
        <v>HERTY NURSIANA</v>
      </c>
      <c r="H393" s="17" t="str">
        <f>IFERROR(__xludf.DUMMYFUNCTION("""COMPUTED_VALUE"""),"H7123054822")</f>
        <v>H7123054822</v>
      </c>
      <c r="I393" s="17">
        <f>IFERROR(__xludf.DUMMYFUNCTION("""COMPUTED_VALUE"""),54.0)</f>
        <v>54</v>
      </c>
      <c r="J393" s="17" t="str">
        <f>IFERROR(__xludf.DUMMYFUNCTION("""COMPUTED_VALUE"""),"&gt; 44 tahun")</f>
        <v>&gt; 44 tahun</v>
      </c>
      <c r="K393" s="19">
        <f>IFERROR(__xludf.DUMMYFUNCTION("""COMPUTED_VALUE"""),26289.0)</f>
        <v>26289</v>
      </c>
      <c r="L393" s="19" t="str">
        <f>IFERROR(__xludf.DUMMYFUNCTION("""COMPUTED_VALUE"""),"PEREMPUAN")</f>
        <v>PEREMPUAN</v>
      </c>
      <c r="M393" s="16" t="str">
        <f>IFERROR(__xludf.DUMMYFUNCTION("""COMPUTED_VALUE"""),"JALAN ARTERI SUPADIOKKMPLEK ANGKASA PERMAI A.14")</f>
        <v>JALAN ARTERI SUPADIOKKMPLEK ANGKASA PERMAI A.14</v>
      </c>
      <c r="N393" s="16"/>
      <c r="O393" s="16"/>
      <c r="P393" s="16"/>
      <c r="Q393" s="16"/>
      <c r="R393" s="19" t="str">
        <f>IFERROR(__xludf.DUMMYFUNCTION("""COMPUTED_VALUE"""),"ISLAM")</f>
        <v>ISLAM</v>
      </c>
      <c r="S393" s="16" t="str">
        <f>IFERROR(__xludf.DUMMYFUNCTION("""COMPUTED_VALUE"""),"ASN")</f>
        <v>ASN</v>
      </c>
      <c r="T393" s="16" t="str">
        <f>IFERROR(__xludf.DUMMYFUNCTION("""COMPUTED_VALUE"""),"NYERI SENDI JARI JEMPOL SEBELAH KIRI")</f>
        <v>NYERI SENDI JARI JEMPOL SEBELAH KIRI</v>
      </c>
      <c r="U393" s="16" t="str">
        <f>IFERROR(__xludf.DUMMYFUNCTION("""COMPUTED_VALUE"""),"OLAH RAGA/ BEKERJA")</f>
        <v>OLAH RAGA/ BEKERJA</v>
      </c>
      <c r="V393" s="21" t="str">
        <f>IFERROR(__xludf.DUMMYFUNCTION("""COMPUTED_VALUE"""),"085393554822")</f>
        <v>085393554822</v>
      </c>
      <c r="W393" s="22"/>
    </row>
    <row r="394" ht="22.5" customHeight="1">
      <c r="A394" s="8"/>
      <c r="B394" s="9">
        <f>IFERROR(__xludf.DUMMYFUNCTION("""COMPUTED_VALUE"""),45066.68875793982)</f>
        <v>45066.68876</v>
      </c>
      <c r="C394" s="9"/>
      <c r="D394" s="10">
        <f>IFERROR(__xludf.DUMMYFUNCTION("""COMPUTED_VALUE"""),45071.0)</f>
        <v>45071</v>
      </c>
      <c r="E394" s="10" t="str">
        <f>IFERROR(__xludf.DUMMYFUNCTION("""COMPUTED_VALUE"""),"05Mei")</f>
        <v>05Mei</v>
      </c>
      <c r="F394" s="10" t="str">
        <f>IFERROR(__xludf.DUMMYFUNCTION("""COMPUTED_VALUE"""),"2023")</f>
        <v>2023</v>
      </c>
      <c r="G394" s="16" t="str">
        <f>IFERROR(__xludf.DUMMYFUNCTION("""COMPUTED_VALUE"""),"MUJIONO")</f>
        <v>MUJIONO</v>
      </c>
      <c r="H394" s="17" t="str">
        <f>IFERROR(__xludf.DUMMYFUNCTION("""COMPUTED_VALUE"""),"M6623059922")</f>
        <v>M6623059922</v>
      </c>
      <c r="I394" s="17">
        <f>IFERROR(__xludf.DUMMYFUNCTION("""COMPUTED_VALUE"""),60.0)</f>
        <v>60</v>
      </c>
      <c r="J394" s="17" t="str">
        <f>IFERROR(__xludf.DUMMYFUNCTION("""COMPUTED_VALUE"""),"&gt; 44 tahun")</f>
        <v>&gt; 44 tahun</v>
      </c>
      <c r="K394" s="19">
        <f>IFERROR(__xludf.DUMMYFUNCTION("""COMPUTED_VALUE"""),24264.0)</f>
        <v>24264</v>
      </c>
      <c r="L394" s="19" t="str">
        <f>IFERROR(__xludf.DUMMYFUNCTION("""COMPUTED_VALUE"""),"LAKI-LAKI")</f>
        <v>LAKI-LAKI</v>
      </c>
      <c r="M394" s="16" t="str">
        <f>IFERROR(__xludf.DUMMYFUNCTION("""COMPUTED_VALUE"""),"JALAN ABDUL SALAM GANG HIDAYAH KAB. BENGKAYANG")</f>
        <v>JALAN ABDUL SALAM GANG HIDAYAH KAB. BENGKAYANG</v>
      </c>
      <c r="N394" s="16"/>
      <c r="O394" s="16"/>
      <c r="P394" s="16"/>
      <c r="Q394" s="16"/>
      <c r="R394" s="19" t="str">
        <f>IFERROR(__xludf.DUMMYFUNCTION("""COMPUTED_VALUE"""),"ISLAM")</f>
        <v>ISLAM</v>
      </c>
      <c r="S394" s="16" t="str">
        <f>IFERROR(__xludf.DUMMYFUNCTION("""COMPUTED_VALUE"""),"ASN")</f>
        <v>ASN</v>
      </c>
      <c r="T394" s="16" t="str">
        <f>IFERROR(__xludf.DUMMYFUNCTION("""COMPUTED_VALUE"""),"KAKI LEMAH TIDAK BERTENAGA")</f>
        <v>KAKI LEMAH TIDAK BERTENAGA</v>
      </c>
      <c r="U394" s="16" t="str">
        <f>IFERROR(__xludf.DUMMYFUNCTION("""COMPUTED_VALUE"""),"BERCOCOK TANAM")</f>
        <v>BERCOCOK TANAM</v>
      </c>
      <c r="V394" s="21" t="str">
        <f>IFERROR(__xludf.DUMMYFUNCTION("""COMPUTED_VALUE"""),"081345599922")</f>
        <v>081345599922</v>
      </c>
      <c r="W394" s="22"/>
    </row>
    <row r="395" ht="22.5" customHeight="1">
      <c r="A395" s="8"/>
      <c r="B395" s="9">
        <f>IFERROR(__xludf.DUMMYFUNCTION("""COMPUTED_VALUE"""),45066.835703993056)</f>
        <v>45066.8357</v>
      </c>
      <c r="C395" s="9"/>
      <c r="D395" s="10">
        <f>IFERROR(__xludf.DUMMYFUNCTION("""COMPUTED_VALUE"""),45071.0)</f>
        <v>45071</v>
      </c>
      <c r="E395" s="10" t="str">
        <f>IFERROR(__xludf.DUMMYFUNCTION("""COMPUTED_VALUE"""),"05Mei")</f>
        <v>05Mei</v>
      </c>
      <c r="F395" s="10" t="str">
        <f>IFERROR(__xludf.DUMMYFUNCTION("""COMPUTED_VALUE"""),"2023")</f>
        <v>2023</v>
      </c>
      <c r="G395" s="16" t="str">
        <f>IFERROR(__xludf.DUMMYFUNCTION("""COMPUTED_VALUE"""),"M.RIDWANSYAH")</f>
        <v>M.RIDWANSYAH</v>
      </c>
      <c r="H395" s="17" t="str">
        <f>IFERROR(__xludf.DUMMYFUNCTION("""COMPUTED_VALUE"""),"M9423059656")</f>
        <v>M9423059656</v>
      </c>
      <c r="I395" s="17">
        <f>IFERROR(__xludf.DUMMYFUNCTION("""COMPUTED_VALUE"""),32.0)</f>
        <v>32</v>
      </c>
      <c r="J395" s="17" t="str">
        <f>IFERROR(__xludf.DUMMYFUNCTION("""COMPUTED_VALUE"""),"25-34 tahun")</f>
        <v>25-34 tahun</v>
      </c>
      <c r="K395" s="19">
        <f>IFERROR(__xludf.DUMMYFUNCTION("""COMPUTED_VALUE"""),34427.0)</f>
        <v>34427</v>
      </c>
      <c r="L395" s="19" t="str">
        <f>IFERROR(__xludf.DUMMYFUNCTION("""COMPUTED_VALUE"""),"LAKI-LAKI")</f>
        <v>LAKI-LAKI</v>
      </c>
      <c r="M395" s="16" t="str">
        <f>IFERROR(__xludf.DUMMYFUNCTION("""COMPUTED_VALUE"""),"PARIT SRI BARU RT 48/ RW 15 KEL. PUNGGUR BESAR KEC. SUNGAI KAKAP KAB. KUBU RAYA")</f>
        <v>PARIT SRI BARU RT 48/ RW 15 KEL. PUNGGUR BESAR KEC. SUNGAI KAKAP KAB. KUBU RAYA</v>
      </c>
      <c r="N395" s="16"/>
      <c r="O395" s="16"/>
      <c r="P395" s="16"/>
      <c r="Q395" s="16"/>
      <c r="R395" s="19" t="str">
        <f>IFERROR(__xludf.DUMMYFUNCTION("""COMPUTED_VALUE"""),"ISLAM")</f>
        <v>ISLAM</v>
      </c>
      <c r="S395" s="16" t="str">
        <f>IFERROR(__xludf.DUMMYFUNCTION("""COMPUTED_VALUE"""),"SWASTA")</f>
        <v>SWASTA</v>
      </c>
      <c r="T395" s="16" t="str">
        <f>IFERROR(__xludf.DUMMYFUNCTION("""COMPUTED_VALUE"""),"KSELEO PERGELANGAN TANGAN")</f>
        <v>KSELEO PERGELANGAN TANGAN</v>
      </c>
      <c r="U395" s="16" t="str">
        <f>IFERROR(__xludf.DUMMYFUNCTION("""COMPUTED_VALUE"""),"KERJA")</f>
        <v>KERJA</v>
      </c>
      <c r="V395" s="21" t="str">
        <f>IFERROR(__xludf.DUMMYFUNCTION("""COMPUTED_VALUE"""),"085654729656")</f>
        <v>085654729656</v>
      </c>
      <c r="W395" s="22"/>
    </row>
    <row r="396" ht="22.5" customHeight="1">
      <c r="A396" s="8"/>
      <c r="B396" s="9">
        <f>IFERROR(__xludf.DUMMYFUNCTION("""COMPUTED_VALUE"""),45068.58209861111)</f>
        <v>45068.5821</v>
      </c>
      <c r="C396" s="9"/>
      <c r="D396" s="10">
        <f>IFERROR(__xludf.DUMMYFUNCTION("""COMPUTED_VALUE"""),45071.0)</f>
        <v>45071</v>
      </c>
      <c r="E396" s="10" t="str">
        <f>IFERROR(__xludf.DUMMYFUNCTION("""COMPUTED_VALUE"""),"05Mei")</f>
        <v>05Mei</v>
      </c>
      <c r="F396" s="10" t="str">
        <f>IFERROR(__xludf.DUMMYFUNCTION("""COMPUTED_VALUE"""),"2023")</f>
        <v>2023</v>
      </c>
      <c r="G396" s="16" t="str">
        <f>IFERROR(__xludf.DUMMYFUNCTION("""COMPUTED_VALUE"""),"ABBIYU KAFIE AL AZZAM")</f>
        <v>ABBIYU KAFIE AL AZZAM</v>
      </c>
      <c r="H396" s="17" t="str">
        <f>IFERROR(__xludf.DUMMYFUNCTION("""COMPUTED_VALUE"""),"A1423056701")</f>
        <v>A1423056701</v>
      </c>
      <c r="I396" s="17">
        <f>IFERROR(__xludf.DUMMYFUNCTION("""COMPUTED_VALUE"""),11.0)</f>
        <v>11</v>
      </c>
      <c r="J396" s="17" t="str">
        <f>IFERROR(__xludf.DUMMYFUNCTION("""COMPUTED_VALUE"""),"&lt; 18 tahun")</f>
        <v>&lt; 18 tahun</v>
      </c>
      <c r="K396" s="19">
        <f>IFERROR(__xludf.DUMMYFUNCTION("""COMPUTED_VALUE"""),41946.0)</f>
        <v>41946</v>
      </c>
      <c r="L396" s="19" t="str">
        <f>IFERROR(__xludf.DUMMYFUNCTION("""COMPUTED_VALUE"""),"LAKI-LAKI")</f>
        <v>LAKI-LAKI</v>
      </c>
      <c r="M396" s="16" t="str">
        <f>IFERROR(__xludf.DUMMYFUNCTION("""COMPUTED_VALUE"""),"JL. SUKAMULYA GG. SUKMA 12 NO. 5B")</f>
        <v>JL. SUKAMULYA GG. SUKMA 12 NO. 5B</v>
      </c>
      <c r="N396" s="16" t="str">
        <f>IFERROR(__xludf.DUMMYFUNCTION("""COMPUTED_VALUE"""),"KEL. SUNGAI JAWI")</f>
        <v>KEL. SUNGAI JAWI</v>
      </c>
      <c r="O396" s="16" t="str">
        <f>IFERROR(__xludf.DUMMYFUNCTION("""COMPUTED_VALUE"""),"KEC. PONTIANAK KOTA")</f>
        <v>KEC. PONTIANAK KOTA</v>
      </c>
      <c r="P396" s="16" t="str">
        <f>IFERROR(__xludf.DUMMYFUNCTION("""COMPUTED_VALUE"""),"KOTA PONTIANAK")</f>
        <v>KOTA PONTIANAK</v>
      </c>
      <c r="Q396" s="16" t="str">
        <f>IFERROR(__xludf.DUMMYFUNCTION("""COMPUTED_VALUE"""),"KALIMANTAN BARAT")</f>
        <v>KALIMANTAN BARAT</v>
      </c>
      <c r="R396" s="19" t="str">
        <f>IFERROR(__xludf.DUMMYFUNCTION("""COMPUTED_VALUE"""),"ISLAM")</f>
        <v>ISLAM</v>
      </c>
      <c r="S396" s="16" t="str">
        <f>IFERROR(__xludf.DUMMYFUNCTION("""COMPUTED_VALUE"""),"PELAJAR/MAHASISWA")</f>
        <v>PELAJAR/MAHASISWA</v>
      </c>
      <c r="T396" s="16" t="str">
        <f>IFERROR(__xludf.DUMMYFUNCTION("""COMPUTED_VALUE"""),"Sakit pada angkel kaki")</f>
        <v>Sakit pada angkel kaki</v>
      </c>
      <c r="U396" s="16" t="str">
        <f>IFERROR(__xludf.DUMMYFUNCTION("""COMPUTED_VALUE"""),"Sepak Bola")</f>
        <v>Sepak Bola</v>
      </c>
      <c r="V396" s="21" t="str">
        <f>IFERROR(__xludf.DUMMYFUNCTION("""COMPUTED_VALUE"""),"082314696701")</f>
        <v>082314696701</v>
      </c>
      <c r="W396" s="22"/>
    </row>
    <row r="397" ht="22.5" customHeight="1">
      <c r="A397" s="8"/>
      <c r="B397" s="9">
        <f>IFERROR(__xludf.DUMMYFUNCTION("""COMPUTED_VALUE"""),45069.765051689814)</f>
        <v>45069.76505</v>
      </c>
      <c r="C397" s="9"/>
      <c r="D397" s="10">
        <f>IFERROR(__xludf.DUMMYFUNCTION("""COMPUTED_VALUE"""),45073.0)</f>
        <v>45073</v>
      </c>
      <c r="E397" s="10" t="str">
        <f>IFERROR(__xludf.DUMMYFUNCTION("""COMPUTED_VALUE"""),"05Mei")</f>
        <v>05Mei</v>
      </c>
      <c r="F397" s="10" t="str">
        <f>IFERROR(__xludf.DUMMYFUNCTION("""COMPUTED_VALUE"""),"2023")</f>
        <v>2023</v>
      </c>
      <c r="G397" s="16" t="str">
        <f>IFERROR(__xludf.DUMMYFUNCTION("""COMPUTED_VALUE"""),"FERRY SAPTAWAN")</f>
        <v>FERRY SAPTAWAN</v>
      </c>
      <c r="H397" s="17" t="str">
        <f>IFERROR(__xludf.DUMMYFUNCTION("""COMPUTED_VALUE"""),"F9923050199")</f>
        <v>F9923050199</v>
      </c>
      <c r="I397" s="17">
        <f>IFERROR(__xludf.DUMMYFUNCTION("""COMPUTED_VALUE"""),26.0)</f>
        <v>26</v>
      </c>
      <c r="J397" s="17" t="str">
        <f>IFERROR(__xludf.DUMMYFUNCTION("""COMPUTED_VALUE"""),"25-34 tahun")</f>
        <v>25-34 tahun</v>
      </c>
      <c r="K397" s="19">
        <f>IFERROR(__xludf.DUMMYFUNCTION("""COMPUTED_VALUE"""),36408.0)</f>
        <v>36408</v>
      </c>
      <c r="L397" s="19" t="str">
        <f>IFERROR(__xludf.DUMMYFUNCTION("""COMPUTED_VALUE"""),"LAKI-LAKI")</f>
        <v>LAKI-LAKI</v>
      </c>
      <c r="M397" s="16" t="str">
        <f>IFERROR(__xludf.DUMMYFUNCTION("""COMPUTED_VALUE"""),"DUSUN INTI NO.2 RT 001 / RW 001, DESA PENDAWAN, KECAMATAN SAMBAS")</f>
        <v>DUSUN INTI NO.2 RT 001 / RW 001, DESA PENDAWAN, KECAMATAN SAMBAS</v>
      </c>
      <c r="N397" s="16"/>
      <c r="O397" s="16"/>
      <c r="P397" s="16"/>
      <c r="Q397" s="16"/>
      <c r="R397" s="19" t="str">
        <f>IFERROR(__xludf.DUMMYFUNCTION("""COMPUTED_VALUE"""),"ISLAM")</f>
        <v>ISLAM</v>
      </c>
      <c r="S397" s="16" t="str">
        <f>IFERROR(__xludf.DUMMYFUNCTION("""COMPUTED_VALUE"""),"PELAJAR/MAHASISWA")</f>
        <v>PELAJAR/MAHASISWA</v>
      </c>
      <c r="T397" s="16" t="str">
        <f>IFERROR(__xludf.DUMMYFUNCTION("""COMPUTED_VALUE"""),"KESELEO")</f>
        <v>KESELEO</v>
      </c>
      <c r="U397" s="16" t="str">
        <f>IFERROR(__xludf.DUMMYFUNCTION("""COMPUTED_VALUE"""),"BADMINTON")</f>
        <v>BADMINTON</v>
      </c>
      <c r="V397" s="21" t="str">
        <f>IFERROR(__xludf.DUMMYFUNCTION("""COMPUTED_VALUE"""),"081350140199")</f>
        <v>081350140199</v>
      </c>
      <c r="W397" s="22"/>
    </row>
    <row r="398" ht="22.5" customHeight="1">
      <c r="A398" s="8"/>
      <c r="B398" s="9">
        <f>IFERROR(__xludf.DUMMYFUNCTION("""COMPUTED_VALUE"""),45069.78490996528)</f>
        <v>45069.78491</v>
      </c>
      <c r="C398" s="9"/>
      <c r="D398" s="10">
        <f>IFERROR(__xludf.DUMMYFUNCTION("""COMPUTED_VALUE"""),45074.0)</f>
        <v>45074</v>
      </c>
      <c r="E398" s="10" t="str">
        <f>IFERROR(__xludf.DUMMYFUNCTION("""COMPUTED_VALUE"""),"05Mei")</f>
        <v>05Mei</v>
      </c>
      <c r="F398" s="10" t="str">
        <f>IFERROR(__xludf.DUMMYFUNCTION("""COMPUTED_VALUE"""),"2023")</f>
        <v>2023</v>
      </c>
      <c r="G398" s="16" t="str">
        <f>IFERROR(__xludf.DUMMYFUNCTION("""COMPUTED_VALUE"""),"DRG. WEYA HARSIWI KUTIBA")</f>
        <v>DRG. WEYA HARSIWI KUTIBA</v>
      </c>
      <c r="H398" s="17" t="str">
        <f>IFERROR(__xludf.DUMMYFUNCTION("""COMPUTED_VALUE"""),"D9723056299")</f>
        <v>D9723056299</v>
      </c>
      <c r="I398" s="17">
        <f>IFERROR(__xludf.DUMMYFUNCTION("""COMPUTED_VALUE"""),29.0)</f>
        <v>29</v>
      </c>
      <c r="J398" s="17" t="str">
        <f>IFERROR(__xludf.DUMMYFUNCTION("""COMPUTED_VALUE"""),"25-34 tahun")</f>
        <v>25-34 tahun</v>
      </c>
      <c r="K398" s="19">
        <f>IFERROR(__xludf.DUMMYFUNCTION("""COMPUTED_VALUE"""),35541.0)</f>
        <v>35541</v>
      </c>
      <c r="L398" s="19" t="str">
        <f>IFERROR(__xludf.DUMMYFUNCTION("""COMPUTED_VALUE"""),"PEREMPUAN")</f>
        <v>PEREMPUAN</v>
      </c>
      <c r="M398" s="16" t="str">
        <f>IFERROR(__xludf.DUMMYFUNCTION("""COMPUTED_VALUE"""),"DUSUN KERAMAT DESA LUMBANG, RT/RW 013/007, SAMBAS, KALBAR")</f>
        <v>DUSUN KERAMAT DESA LUMBANG, RT/RW 013/007, SAMBAS, KALBAR</v>
      </c>
      <c r="N398" s="16"/>
      <c r="O398" s="16"/>
      <c r="P398" s="16"/>
      <c r="Q398" s="16"/>
      <c r="R398" s="19" t="str">
        <f>IFERROR(__xludf.DUMMYFUNCTION("""COMPUTED_VALUE"""),"ISLAM")</f>
        <v>ISLAM</v>
      </c>
      <c r="S398" s="16" t="str">
        <f>IFERROR(__xludf.DUMMYFUNCTION("""COMPUTED_VALUE"""),"WIRASWASTA")</f>
        <v>WIRASWASTA</v>
      </c>
      <c r="T398" s="16" t="str">
        <f>IFERROR(__xludf.DUMMYFUNCTION("""COMPUTED_VALUE"""),"NYERI DI PINGGANG BAGIAN BELAKANG")</f>
        <v>NYERI DI PINGGANG BAGIAN BELAKANG</v>
      </c>
      <c r="U398" s="16" t="str">
        <f>IFERROR(__xludf.DUMMYFUNCTION("""COMPUTED_VALUE"""),"MENGERJAKAN PASIEN POSISI DUDUK AGAK BUNGKUK")</f>
        <v>MENGERJAKAN PASIEN POSISI DUDUK AGAK BUNGKUK</v>
      </c>
      <c r="V398" s="21" t="str">
        <f>IFERROR(__xludf.DUMMYFUNCTION("""COMPUTED_VALUE"""),"089693726299")</f>
        <v>089693726299</v>
      </c>
      <c r="W398" s="22"/>
    </row>
    <row r="399" ht="22.5" customHeight="1">
      <c r="A399" s="8"/>
      <c r="B399" s="9">
        <f>IFERROR(__xludf.DUMMYFUNCTION("""COMPUTED_VALUE"""),45070.57305832176)</f>
        <v>45070.57306</v>
      </c>
      <c r="C399" s="9"/>
      <c r="D399" s="10">
        <f>IFERROR(__xludf.DUMMYFUNCTION("""COMPUTED_VALUE"""),45074.0)</f>
        <v>45074</v>
      </c>
      <c r="E399" s="10" t="str">
        <f>IFERROR(__xludf.DUMMYFUNCTION("""COMPUTED_VALUE"""),"05Mei")</f>
        <v>05Mei</v>
      </c>
      <c r="F399" s="10" t="str">
        <f>IFERROR(__xludf.DUMMYFUNCTION("""COMPUTED_VALUE"""),"2023")</f>
        <v>2023</v>
      </c>
      <c r="G399" s="16" t="str">
        <f>IFERROR(__xludf.DUMMYFUNCTION("""COMPUTED_VALUE"""),"DANIEL JUNIARDY SUTANTO")</f>
        <v>DANIEL JUNIARDY SUTANTO</v>
      </c>
      <c r="H399" s="17" t="str">
        <f>IFERROR(__xludf.DUMMYFUNCTION("""COMPUTED_VALUE"""),"D9323052240")</f>
        <v>D9323052240</v>
      </c>
      <c r="I399" s="17">
        <f>IFERROR(__xludf.DUMMYFUNCTION("""COMPUTED_VALUE"""),33.0)</f>
        <v>33</v>
      </c>
      <c r="J399" s="17" t="str">
        <f>IFERROR(__xludf.DUMMYFUNCTION("""COMPUTED_VALUE"""),"25-34 tahun")</f>
        <v>25-34 tahun</v>
      </c>
      <c r="K399" s="19">
        <f>IFERROR(__xludf.DUMMYFUNCTION("""COMPUTED_VALUE"""),33975.0)</f>
        <v>33975</v>
      </c>
      <c r="L399" s="19" t="str">
        <f>IFERROR(__xludf.DUMMYFUNCTION("""COMPUTED_VALUE"""),"LAKI-LAKI")</f>
        <v>LAKI-LAKI</v>
      </c>
      <c r="M399" s="16" t="str">
        <f>IFERROR(__xludf.DUMMYFUNCTION("""COMPUTED_VALUE"""),"JL. SURYA NO. A3")</f>
        <v>JL. SURYA NO. A3</v>
      </c>
      <c r="N399" s="16"/>
      <c r="O399" s="16"/>
      <c r="P399" s="16"/>
      <c r="Q399" s="16"/>
      <c r="R399" s="19" t="str">
        <f>IFERROR(__xludf.DUMMYFUNCTION("""COMPUTED_VALUE"""),"PROTESTAN")</f>
        <v>PROTESTAN</v>
      </c>
      <c r="S399" s="16" t="str">
        <f>IFERROR(__xludf.DUMMYFUNCTION("""COMPUTED_VALUE"""),"SWASTA")</f>
        <v>SWASTA</v>
      </c>
      <c r="T399" s="16" t="str">
        <f>IFERROR(__xludf.DUMMYFUNCTION("""COMPUTED_VALUE"""),"BAHU")</f>
        <v>BAHU</v>
      </c>
      <c r="U399" s="16" t="str">
        <f>IFERROR(__xludf.DUMMYFUNCTION("""COMPUTED_VALUE"""),"BADMINTON")</f>
        <v>BADMINTON</v>
      </c>
      <c r="V399" s="21" t="str">
        <f>IFERROR(__xludf.DUMMYFUNCTION("""COMPUTED_VALUE"""),"082324612240")</f>
        <v>082324612240</v>
      </c>
      <c r="W399" s="22"/>
    </row>
    <row r="400" ht="22.5" customHeight="1">
      <c r="A400" s="8"/>
      <c r="B400" s="9">
        <f>IFERROR(__xludf.DUMMYFUNCTION("""COMPUTED_VALUE"""),45070.57551106482)</f>
        <v>45070.57551</v>
      </c>
      <c r="C400" s="9"/>
      <c r="D400" s="10">
        <f>IFERROR(__xludf.DUMMYFUNCTION("""COMPUTED_VALUE"""),45075.0)</f>
        <v>45075</v>
      </c>
      <c r="E400" s="10" t="str">
        <f>IFERROR(__xludf.DUMMYFUNCTION("""COMPUTED_VALUE"""),"05Mei")</f>
        <v>05Mei</v>
      </c>
      <c r="F400" s="10" t="str">
        <f>IFERROR(__xludf.DUMMYFUNCTION("""COMPUTED_VALUE"""),"2023")</f>
        <v>2023</v>
      </c>
      <c r="G400" s="16" t="str">
        <f>IFERROR(__xludf.DUMMYFUNCTION("""COMPUTED_VALUE"""),"SUDIRMO")</f>
        <v>SUDIRMO</v>
      </c>
      <c r="H400" s="17" t="str">
        <f>IFERROR(__xludf.DUMMYFUNCTION("""COMPUTED_VALUE"""),"S8523058504")</f>
        <v>S8523058504</v>
      </c>
      <c r="I400" s="17">
        <f>IFERROR(__xludf.DUMMYFUNCTION("""COMPUTED_VALUE"""),41.0)</f>
        <v>41</v>
      </c>
      <c r="J400" s="17" t="str">
        <f>IFERROR(__xludf.DUMMYFUNCTION("""COMPUTED_VALUE"""),"35-44 tahun")</f>
        <v>35-44 tahun</v>
      </c>
      <c r="K400" s="19">
        <f>IFERROR(__xludf.DUMMYFUNCTION("""COMPUTED_VALUE"""),31146.0)</f>
        <v>31146</v>
      </c>
      <c r="L400" s="19" t="str">
        <f>IFERROR(__xludf.DUMMYFUNCTION("""COMPUTED_VALUE"""),"LAKI-LAKI")</f>
        <v>LAKI-LAKI</v>
      </c>
      <c r="M400" s="16" t="str">
        <f>IFERROR(__xludf.DUMMYFUNCTION("""COMPUTED_VALUE"""),"JL. HUSEIN HAMZAH")</f>
        <v>JL. HUSEIN HAMZAH</v>
      </c>
      <c r="N400" s="16"/>
      <c r="O400" s="16"/>
      <c r="P400" s="16"/>
      <c r="Q400" s="16"/>
      <c r="R400" s="19" t="str">
        <f>IFERROR(__xludf.DUMMYFUNCTION("""COMPUTED_VALUE"""),"ISLAM")</f>
        <v>ISLAM</v>
      </c>
      <c r="S400" s="16" t="str">
        <f>IFERROR(__xludf.DUMMYFUNCTION("""COMPUTED_VALUE"""),"")</f>
        <v/>
      </c>
      <c r="T400" s="16" t="str">
        <f>IFERROR(__xludf.DUMMYFUNCTION("""COMPUTED_VALUE"""),"- TUNGKAI BAWAH")</f>
        <v>- TUNGKAI BAWAH</v>
      </c>
      <c r="U400" s="16" t="str">
        <f>IFERROR(__xludf.DUMMYFUNCTION("""COMPUTED_VALUE"""),"")</f>
        <v/>
      </c>
      <c r="V400" s="21" t="str">
        <f>IFERROR(__xludf.DUMMYFUNCTION("""COMPUTED_VALUE"""),"085247258504")</f>
        <v>085247258504</v>
      </c>
      <c r="W400" s="22"/>
    </row>
    <row r="401" ht="22.5" customHeight="1">
      <c r="A401" s="8"/>
      <c r="B401" s="9">
        <f>IFERROR(__xludf.DUMMYFUNCTION("""COMPUTED_VALUE"""),45070.74696851852)</f>
        <v>45070.74697</v>
      </c>
      <c r="C401" s="9"/>
      <c r="D401" s="10">
        <f>IFERROR(__xludf.DUMMYFUNCTION("""COMPUTED_VALUE"""),45075.0)</f>
        <v>45075</v>
      </c>
      <c r="E401" s="10" t="str">
        <f>IFERROR(__xludf.DUMMYFUNCTION("""COMPUTED_VALUE"""),"05Mei")</f>
        <v>05Mei</v>
      </c>
      <c r="F401" s="10" t="str">
        <f>IFERROR(__xludf.DUMMYFUNCTION("""COMPUTED_VALUE"""),"2023")</f>
        <v>2023</v>
      </c>
      <c r="G401" s="16" t="str">
        <f>IFERROR(__xludf.DUMMYFUNCTION("""COMPUTED_VALUE"""),"AFRYANDI CHRISTIANTO NG")</f>
        <v>AFRYANDI CHRISTIANTO NG</v>
      </c>
      <c r="H401" s="17" t="str">
        <f>IFERROR(__xludf.DUMMYFUNCTION("""COMPUTED_VALUE"""),"A9223058978")</f>
        <v>A9223058978</v>
      </c>
      <c r="I401" s="17">
        <f>IFERROR(__xludf.DUMMYFUNCTION("""COMPUTED_VALUE"""),34.0)</f>
        <v>34</v>
      </c>
      <c r="J401" s="17" t="str">
        <f>IFERROR(__xludf.DUMMYFUNCTION("""COMPUTED_VALUE"""),"25-34 tahun")</f>
        <v>25-34 tahun</v>
      </c>
      <c r="K401" s="19">
        <f>IFERROR(__xludf.DUMMYFUNCTION("""COMPUTED_VALUE"""),33705.0)</f>
        <v>33705</v>
      </c>
      <c r="L401" s="19" t="str">
        <f>IFERROR(__xludf.DUMMYFUNCTION("""COMPUTED_VALUE"""),"LAKI-LAKI")</f>
        <v>LAKI-LAKI</v>
      </c>
      <c r="M401" s="16" t="str">
        <f>IFERROR(__xludf.DUMMYFUNCTION("""COMPUTED_VALUE"""),"JL. BUDI KARYA 10")</f>
        <v>JL. BUDI KARYA 10</v>
      </c>
      <c r="N401" s="16"/>
      <c r="O401" s="16"/>
      <c r="P401" s="16"/>
      <c r="Q401" s="16"/>
      <c r="R401" s="19" t="str">
        <f>IFERROR(__xludf.DUMMYFUNCTION("""COMPUTED_VALUE"""),"KHONGHUCU")</f>
        <v>KHONGHUCU</v>
      </c>
      <c r="S401" s="16" t="str">
        <f>IFERROR(__xludf.DUMMYFUNCTION("""COMPUTED_VALUE"""),"WIRASWASTA")</f>
        <v>WIRASWASTA</v>
      </c>
      <c r="T401" s="16" t="str">
        <f>IFERROR(__xludf.DUMMYFUNCTION("""COMPUTED_VALUE"""),"(HAMSTRING/GLUTES)")</f>
        <v>(HAMSTRING/GLUTES)</v>
      </c>
      <c r="U401" s="16" t="str">
        <f>IFERROR(__xludf.DUMMYFUNCTION("""COMPUTED_VALUE"""),"FUTSAL")</f>
        <v>FUTSAL</v>
      </c>
      <c r="V401" s="21" t="str">
        <f>IFERROR(__xludf.DUMMYFUNCTION("""COMPUTED_VALUE"""),"081919978978")</f>
        <v>081919978978</v>
      </c>
      <c r="W401" s="22"/>
    </row>
    <row r="402" ht="22.5" customHeight="1">
      <c r="A402" s="8"/>
      <c r="B402" s="9">
        <f>IFERROR(__xludf.DUMMYFUNCTION("""COMPUTED_VALUE"""),45070.82683572917)</f>
        <v>45070.82684</v>
      </c>
      <c r="C402" s="9"/>
      <c r="D402" s="10">
        <f>IFERROR(__xludf.DUMMYFUNCTION("""COMPUTED_VALUE"""),45075.50558515046)</f>
        <v>45075.50559</v>
      </c>
      <c r="E402" s="10" t="str">
        <f>IFERROR(__xludf.DUMMYFUNCTION("""COMPUTED_VALUE"""),"05Mei")</f>
        <v>05Mei</v>
      </c>
      <c r="F402" s="10" t="str">
        <f>IFERROR(__xludf.DUMMYFUNCTION("""COMPUTED_VALUE"""),"2023")</f>
        <v>2023</v>
      </c>
      <c r="G402" s="16" t="str">
        <f>IFERROR(__xludf.DUMMYFUNCTION("""COMPUTED_VALUE"""),"JENNI ABHIDYA")</f>
        <v>JENNI ABHIDYA</v>
      </c>
      <c r="H402" s="17" t="str">
        <f>IFERROR(__xludf.DUMMYFUNCTION("""COMPUTED_VALUE"""),"J8423053616")</f>
        <v>J8423053616</v>
      </c>
      <c r="I402" s="17">
        <f>IFERROR(__xludf.DUMMYFUNCTION("""COMPUTED_VALUE"""),42.0)</f>
        <v>42</v>
      </c>
      <c r="J402" s="17" t="str">
        <f>IFERROR(__xludf.DUMMYFUNCTION("""COMPUTED_VALUE"""),"35-44 tahun")</f>
        <v>35-44 tahun</v>
      </c>
      <c r="K402" s="19">
        <f>IFERROR(__xludf.DUMMYFUNCTION("""COMPUTED_VALUE"""),30699.0)</f>
        <v>30699</v>
      </c>
      <c r="L402" s="19" t="str">
        <f>IFERROR(__xludf.DUMMYFUNCTION("""COMPUTED_VALUE"""),"PEREMPUAN")</f>
        <v>PEREMPUAN</v>
      </c>
      <c r="M402" s="16" t="str">
        <f>IFERROR(__xludf.DUMMYFUNCTION("""COMPUTED_VALUE"""),"JL. TABRANI AHMAD KOMP. GRAHA BUMI KATULISWA 2 NO B21")</f>
        <v>JL. TABRANI AHMAD KOMP. GRAHA BUMI KATULISWA 2 NO B21</v>
      </c>
      <c r="N402" s="16"/>
      <c r="O402" s="16"/>
      <c r="P402" s="16"/>
      <c r="Q402" s="16"/>
      <c r="R402" s="19" t="str">
        <f>IFERROR(__xludf.DUMMYFUNCTION("""COMPUTED_VALUE"""),"ISLAM")</f>
        <v>ISLAM</v>
      </c>
      <c r="S402" s="16" t="str">
        <f>IFERROR(__xludf.DUMMYFUNCTION("""COMPUTED_VALUE"""),"ASN")</f>
        <v>ASN</v>
      </c>
      <c r="T402" s="16" t="str">
        <f>IFERROR(__xludf.DUMMYFUNCTION("""COMPUTED_VALUE"""),"PASCA STROKE")</f>
        <v>PASCA STROKE</v>
      </c>
      <c r="U402" s="16" t="str">
        <f>IFERROR(__xludf.DUMMYFUNCTION("""COMPUTED_VALUE"""),"JALAN JALAN")</f>
        <v>JALAN JALAN</v>
      </c>
      <c r="V402" s="21" t="str">
        <f>IFERROR(__xludf.DUMMYFUNCTION("""COMPUTED_VALUE"""),"081328063616")</f>
        <v>081328063616</v>
      </c>
      <c r="W402" s="22"/>
    </row>
    <row r="403" ht="22.5" customHeight="1">
      <c r="A403" s="8"/>
      <c r="B403" s="9">
        <f>IFERROR(__xludf.DUMMYFUNCTION("""COMPUTED_VALUE"""),45071.406673854166)</f>
        <v>45071.40667</v>
      </c>
      <c r="C403" s="9"/>
      <c r="D403" s="10">
        <f>IFERROR(__xludf.DUMMYFUNCTION("""COMPUTED_VALUE"""),45076.0)</f>
        <v>45076</v>
      </c>
      <c r="E403" s="10" t="str">
        <f>IFERROR(__xludf.DUMMYFUNCTION("""COMPUTED_VALUE"""),"05Mei")</f>
        <v>05Mei</v>
      </c>
      <c r="F403" s="10" t="str">
        <f>IFERROR(__xludf.DUMMYFUNCTION("""COMPUTED_VALUE"""),"2023")</f>
        <v>2023</v>
      </c>
      <c r="G403" s="16" t="str">
        <f>IFERROR(__xludf.DUMMYFUNCTION("""COMPUTED_VALUE"""),"SIGIT MUNDIARTO")</f>
        <v>SIGIT MUNDIARTO</v>
      </c>
      <c r="H403" s="17" t="str">
        <f>IFERROR(__xludf.DUMMYFUNCTION("""COMPUTED_VALUE"""),"S7323058545")</f>
        <v>S7323058545</v>
      </c>
      <c r="I403" s="17">
        <f>IFERROR(__xludf.DUMMYFUNCTION("""COMPUTED_VALUE"""),52.0)</f>
        <v>52</v>
      </c>
      <c r="J403" s="17" t="str">
        <f>IFERROR(__xludf.DUMMYFUNCTION("""COMPUTED_VALUE"""),"&gt; 44 tahun")</f>
        <v>&gt; 44 tahun</v>
      </c>
      <c r="K403" s="19">
        <f>IFERROR(__xludf.DUMMYFUNCTION("""COMPUTED_VALUE"""),26874.0)</f>
        <v>26874</v>
      </c>
      <c r="L403" s="19" t="str">
        <f>IFERROR(__xludf.DUMMYFUNCTION("""COMPUTED_VALUE"""),"LAKI-LAKI")</f>
        <v>LAKI-LAKI</v>
      </c>
      <c r="M403" s="16" t="str">
        <f>IFERROR(__xludf.DUMMYFUNCTION("""COMPUTED_VALUE"""),"JL. ALIANYANG GANG KURNIA DALAM NO. 81 PONTIANAK")</f>
        <v>JL. ALIANYANG GANG KURNIA DALAM NO. 81 PONTIANAK</v>
      </c>
      <c r="N403" s="16"/>
      <c r="O403" s="16"/>
      <c r="P403" s="16"/>
      <c r="Q403" s="16"/>
      <c r="R403" s="19" t="str">
        <f>IFERROR(__xludf.DUMMYFUNCTION("""COMPUTED_VALUE"""),"ISLAM")</f>
        <v>ISLAM</v>
      </c>
      <c r="S403" s="16" t="str">
        <f>IFERROR(__xludf.DUMMYFUNCTION("""COMPUTED_VALUE"""),"WIRASWASTA")</f>
        <v>WIRASWASTA</v>
      </c>
      <c r="T403" s="16" t="str">
        <f>IFERROR(__xludf.DUMMYFUNCTION("""COMPUTED_VALUE"""),"PERSENDIAN KIRI DAN KAKI SAKIT SAAT DITEKUK")</f>
        <v>PERSENDIAN KIRI DAN KAKI SAKIT SAAT DITEKUK</v>
      </c>
      <c r="U403" s="16" t="str">
        <f>IFERROR(__xludf.DUMMYFUNCTION("""COMPUTED_VALUE"""),"OLAHRAGA TENNIS LAPANGAN")</f>
        <v>OLAHRAGA TENNIS LAPANGAN</v>
      </c>
      <c r="V403" s="21" t="str">
        <f>IFERROR(__xludf.DUMMYFUNCTION("""COMPUTED_VALUE"""),"085654648545")</f>
        <v>085654648545</v>
      </c>
      <c r="W403" s="22"/>
    </row>
    <row r="404" ht="22.5" customHeight="1">
      <c r="A404" s="8"/>
      <c r="B404" s="9">
        <f>IFERROR(__xludf.DUMMYFUNCTION("""COMPUTED_VALUE"""),45071.55486561343)</f>
        <v>45071.55487</v>
      </c>
      <c r="C404" s="9"/>
      <c r="D404" s="10">
        <f>IFERROR(__xludf.DUMMYFUNCTION("""COMPUTED_VALUE"""),45076.0)</f>
        <v>45076</v>
      </c>
      <c r="E404" s="10" t="str">
        <f>IFERROR(__xludf.DUMMYFUNCTION("""COMPUTED_VALUE"""),"05Mei")</f>
        <v>05Mei</v>
      </c>
      <c r="F404" s="10" t="str">
        <f>IFERROR(__xludf.DUMMYFUNCTION("""COMPUTED_VALUE"""),"2023")</f>
        <v>2023</v>
      </c>
      <c r="G404" s="16" t="str">
        <f>IFERROR(__xludf.DUMMYFUNCTION("""COMPUTED_VALUE"""),"NELLSON JONATHAN")</f>
        <v>NELLSON JONATHAN</v>
      </c>
      <c r="H404" s="17" t="str">
        <f>IFERROR(__xludf.DUMMYFUNCTION("""COMPUTED_VALUE"""),"N0223053840")</f>
        <v>N0223053840</v>
      </c>
      <c r="I404" s="17">
        <f>IFERROR(__xludf.DUMMYFUNCTION("""COMPUTED_VALUE"""),24.0)</f>
        <v>24</v>
      </c>
      <c r="J404" s="17" t="str">
        <f>IFERROR(__xludf.DUMMYFUNCTION("""COMPUTED_VALUE"""),"18-24 tahun")</f>
        <v>18-24 tahun</v>
      </c>
      <c r="K404" s="19">
        <f>IFERROR(__xludf.DUMMYFUNCTION("""COMPUTED_VALUE"""),37411.0)</f>
        <v>37411</v>
      </c>
      <c r="L404" s="19" t="str">
        <f>IFERROR(__xludf.DUMMYFUNCTION("""COMPUTED_VALUE"""),"LAKI-LAKI")</f>
        <v>LAKI-LAKI</v>
      </c>
      <c r="M404" s="16" t="str">
        <f>IFERROR(__xludf.DUMMYFUNCTION("""COMPUTED_VALUE"""),"JALAN TANJUNG SARI NO 46")</f>
        <v>JALAN TANJUNG SARI NO 46</v>
      </c>
      <c r="N404" s="16"/>
      <c r="O404" s="16"/>
      <c r="P404" s="16"/>
      <c r="Q404" s="16"/>
      <c r="R404" s="19" t="str">
        <f>IFERROR(__xludf.DUMMYFUNCTION("""COMPUTED_VALUE"""),"PROTESTAN")</f>
        <v>PROTESTAN</v>
      </c>
      <c r="S404" s="16" t="str">
        <f>IFERROR(__xludf.DUMMYFUNCTION("""COMPUTED_VALUE"""),"SWASTA")</f>
        <v>SWASTA</v>
      </c>
      <c r="T404" s="16" t="str">
        <f>IFERROR(__xludf.DUMMYFUNCTION("""COMPUTED_VALUE"""),"POST OPERASI PCL, LCL, PMFL")</f>
        <v>POST OPERASI PCL, LCL, PMFL</v>
      </c>
      <c r="U404" s="16" t="str">
        <f>IFERROR(__xludf.DUMMYFUNCTION("""COMPUTED_VALUE"""),"OLAHRAGA DAN BEKERJA")</f>
        <v>OLAHRAGA DAN BEKERJA</v>
      </c>
      <c r="V404" s="21" t="str">
        <f>IFERROR(__xludf.DUMMYFUNCTION("""COMPUTED_VALUE"""),"081253423840")</f>
        <v>081253423840</v>
      </c>
      <c r="W404" s="22"/>
    </row>
    <row r="405" ht="22.5" customHeight="1">
      <c r="A405" s="8"/>
      <c r="B405" s="9">
        <f>IFERROR(__xludf.DUMMYFUNCTION("""COMPUTED_VALUE"""),45071.64840048611)</f>
        <v>45071.6484</v>
      </c>
      <c r="C405" s="9"/>
      <c r="D405" s="10">
        <f>IFERROR(__xludf.DUMMYFUNCTION("""COMPUTED_VALUE"""),45076.0)</f>
        <v>45076</v>
      </c>
      <c r="E405" s="10" t="str">
        <f>IFERROR(__xludf.DUMMYFUNCTION("""COMPUTED_VALUE"""),"05Mei")</f>
        <v>05Mei</v>
      </c>
      <c r="F405" s="10" t="str">
        <f>IFERROR(__xludf.DUMMYFUNCTION("""COMPUTED_VALUE"""),"2023")</f>
        <v>2023</v>
      </c>
      <c r="G405" s="16" t="str">
        <f>IFERROR(__xludf.DUMMYFUNCTION("""COMPUTED_VALUE"""),"TOMTOWI ADNAN")</f>
        <v>TOMTOWI ADNAN</v>
      </c>
      <c r="H405" s="17" t="str">
        <f>IFERROR(__xludf.DUMMYFUNCTION("""COMPUTED_VALUE"""),"T9323053863")</f>
        <v>T9323053863</v>
      </c>
      <c r="I405" s="17">
        <f>IFERROR(__xludf.DUMMYFUNCTION("""COMPUTED_VALUE"""),33.0)</f>
        <v>33</v>
      </c>
      <c r="J405" s="17" t="str">
        <f>IFERROR(__xludf.DUMMYFUNCTION("""COMPUTED_VALUE"""),"25-34 tahun")</f>
        <v>25-34 tahun</v>
      </c>
      <c r="K405" s="19">
        <f>IFERROR(__xludf.DUMMYFUNCTION("""COMPUTED_VALUE"""),34114.0)</f>
        <v>34114</v>
      </c>
      <c r="L405" s="19" t="str">
        <f>IFERROR(__xludf.DUMMYFUNCTION("""COMPUTED_VALUE"""),"LAKI-LAKI")</f>
        <v>LAKI-LAKI</v>
      </c>
      <c r="M405" s="16" t="str">
        <f>IFERROR(__xludf.DUMMYFUNCTION("""COMPUTED_VALUE"""),"JL. HUSEIN HAMZAH")</f>
        <v>JL. HUSEIN HAMZAH</v>
      </c>
      <c r="N405" s="16"/>
      <c r="O405" s="16"/>
      <c r="P405" s="16"/>
      <c r="Q405" s="16"/>
      <c r="R405" s="19" t="str">
        <f>IFERROR(__xludf.DUMMYFUNCTION("""COMPUTED_VALUE"""),"ISLAM")</f>
        <v>ISLAM</v>
      </c>
      <c r="S405" s="16" t="str">
        <f>IFERROR(__xludf.DUMMYFUNCTION("""COMPUTED_VALUE"""),"SWASTA")</f>
        <v>SWASTA</v>
      </c>
      <c r="T405" s="16" t="str">
        <f>IFERROR(__xludf.DUMMYFUNCTION("""COMPUTED_VALUE"""),"SAKIT PINGGANG")</f>
        <v>SAKIT PINGGANG</v>
      </c>
      <c r="U405" s="16" t="str">
        <f>IFERROR(__xludf.DUMMYFUNCTION("""COMPUTED_VALUE"""),"MENGAJAR")</f>
        <v>MENGAJAR</v>
      </c>
      <c r="V405" s="21" t="str">
        <f>IFERROR(__xludf.DUMMYFUNCTION("""COMPUTED_VALUE"""),"081250763863")</f>
        <v>081250763863</v>
      </c>
      <c r="W405" s="22"/>
    </row>
    <row r="406" ht="22.5" customHeight="1">
      <c r="A406" s="8"/>
      <c r="B406" s="9">
        <f>IFERROR(__xludf.DUMMYFUNCTION("""COMPUTED_VALUE"""),45071.703513518514)</f>
        <v>45071.70351</v>
      </c>
      <c r="C406" s="9"/>
      <c r="D406" s="10">
        <f>IFERROR(__xludf.DUMMYFUNCTION("""COMPUTED_VALUE"""),45077.0)</f>
        <v>45077</v>
      </c>
      <c r="E406" s="10" t="str">
        <f>IFERROR(__xludf.DUMMYFUNCTION("""COMPUTED_VALUE"""),"05Mei")</f>
        <v>05Mei</v>
      </c>
      <c r="F406" s="10" t="str">
        <f>IFERROR(__xludf.DUMMYFUNCTION("""COMPUTED_VALUE"""),"2023")</f>
        <v>2023</v>
      </c>
      <c r="G406" s="16" t="str">
        <f>IFERROR(__xludf.DUMMYFUNCTION("""COMPUTED_VALUE"""),"SAIFUL BAHRI")</f>
        <v>SAIFUL BAHRI</v>
      </c>
      <c r="H406" s="17" t="str">
        <f>IFERROR(__xludf.DUMMYFUNCTION("""COMPUTED_VALUE"""),"S9123052011")</f>
        <v>S9123052011</v>
      </c>
      <c r="I406" s="17">
        <f>IFERROR(__xludf.DUMMYFUNCTION("""COMPUTED_VALUE"""),35.0)</f>
        <v>35</v>
      </c>
      <c r="J406" s="17" t="str">
        <f>IFERROR(__xludf.DUMMYFUNCTION("""COMPUTED_VALUE"""),"35-44 tahun")</f>
        <v>35-44 tahun</v>
      </c>
      <c r="K406" s="19">
        <f>IFERROR(__xludf.DUMMYFUNCTION("""COMPUTED_VALUE"""),33239.0)</f>
        <v>33239</v>
      </c>
      <c r="L406" s="19" t="str">
        <f>IFERROR(__xludf.DUMMYFUNCTION("""COMPUTED_VALUE"""),"LAKI-LAKI")</f>
        <v>LAKI-LAKI</v>
      </c>
      <c r="M406" s="16" t="str">
        <f>IFERROR(__xludf.DUMMYFUNCTION("""COMPUTED_VALUE"""),"PUNGGUR")</f>
        <v>PUNGGUR</v>
      </c>
      <c r="N406" s="16"/>
      <c r="O406" s="16"/>
      <c r="P406" s="16"/>
      <c r="Q406" s="16"/>
      <c r="R406" s="19" t="str">
        <f>IFERROR(__xludf.DUMMYFUNCTION("""COMPUTED_VALUE"""),"ISLAM")</f>
        <v>ISLAM</v>
      </c>
      <c r="S406" s="16" t="str">
        <f>IFERROR(__xludf.DUMMYFUNCTION("""COMPUTED_VALUE"""),"SWASTA")</f>
        <v>SWASTA</v>
      </c>
      <c r="T406" s="16" t="str">
        <f>IFERROR(__xludf.DUMMYFUNCTION("""COMPUTED_VALUE"""),"SAKIT PINGGANG")</f>
        <v>SAKIT PINGGANG</v>
      </c>
      <c r="U406" s="16" t="str">
        <f>IFERROR(__xludf.DUMMYFUNCTION("""COMPUTED_VALUE"""),"OLAHRAGA")</f>
        <v>OLAHRAGA</v>
      </c>
      <c r="V406" s="21" t="str">
        <f>IFERROR(__xludf.DUMMYFUNCTION("""COMPUTED_VALUE"""),"085347442011")</f>
        <v>085347442011</v>
      </c>
      <c r="W406" s="22"/>
    </row>
    <row r="407" ht="22.5" customHeight="1">
      <c r="A407" s="8"/>
      <c r="B407" s="9">
        <f>IFERROR(__xludf.DUMMYFUNCTION("""COMPUTED_VALUE"""),45073.54836237269)</f>
        <v>45073.54836</v>
      </c>
      <c r="C407" s="9"/>
      <c r="D407" s="10">
        <f>IFERROR(__xludf.DUMMYFUNCTION("""COMPUTED_VALUE"""),45077.0)</f>
        <v>45077</v>
      </c>
      <c r="E407" s="10" t="str">
        <f>IFERROR(__xludf.DUMMYFUNCTION("""COMPUTED_VALUE"""),"05Mei")</f>
        <v>05Mei</v>
      </c>
      <c r="F407" s="10" t="str">
        <f>IFERROR(__xludf.DUMMYFUNCTION("""COMPUTED_VALUE"""),"2023")</f>
        <v>2023</v>
      </c>
      <c r="G407" s="16" t="str">
        <f>IFERROR(__xludf.DUMMYFUNCTION("""COMPUTED_VALUE"""),"ALI 5009")</f>
        <v>ALI 5009</v>
      </c>
      <c r="H407" s="17" t="str">
        <f>IFERROR(__xludf.DUMMYFUNCTION("""COMPUTED_VALUE"""),"A5023055901")</f>
        <v>A5023055901</v>
      </c>
      <c r="I407" s="17">
        <f>IFERROR(__xludf.DUMMYFUNCTION("""COMPUTED_VALUE"""),75.0)</f>
        <v>75</v>
      </c>
      <c r="J407" s="17" t="str">
        <f>IFERROR(__xludf.DUMMYFUNCTION("""COMPUTED_VALUE"""),"&gt; 44 tahun")</f>
        <v>&gt; 44 tahun</v>
      </c>
      <c r="K407" s="19">
        <f>IFERROR(__xludf.DUMMYFUNCTION("""COMPUTED_VALUE"""),18518.0)</f>
        <v>18518</v>
      </c>
      <c r="L407" s="19" t="str">
        <f>IFERROR(__xludf.DUMMYFUNCTION("""COMPUTED_VALUE"""),"PEREMPUAN")</f>
        <v>PEREMPUAN</v>
      </c>
      <c r="M407" s="16" t="str">
        <f>IFERROR(__xludf.DUMMYFUNCTION("""COMPUTED_VALUE"""),"PARIT MALINAU, SUNGAI AMBAWANG")</f>
        <v>PARIT MALINAU, SUNGAI AMBAWANG</v>
      </c>
      <c r="N407" s="16"/>
      <c r="O407" s="16"/>
      <c r="P407" s="16"/>
      <c r="Q407" s="16"/>
      <c r="R407" s="19" t="str">
        <f>IFERROR(__xludf.DUMMYFUNCTION("""COMPUTED_VALUE"""),"ISLAM")</f>
        <v>ISLAM</v>
      </c>
      <c r="S407" s="16" t="str">
        <f>IFERROR(__xludf.DUMMYFUNCTION("""COMPUTED_VALUE"""),"PETANI")</f>
        <v>PETANI</v>
      </c>
      <c r="T407" s="16"/>
      <c r="U407" s="16" t="str">
        <f>IFERROR(__xludf.DUMMYFUNCTION("""COMPUTED_VALUE"""),"BERKEBUN")</f>
        <v>BERKEBUN</v>
      </c>
      <c r="V407" s="21" t="str">
        <f>IFERROR(__xludf.DUMMYFUNCTION("""COMPUTED_VALUE"""),"081649015901")</f>
        <v>081649015901</v>
      </c>
      <c r="W407" s="22"/>
    </row>
    <row r="408" ht="22.5" customHeight="1">
      <c r="A408" s="8"/>
      <c r="B408" s="9">
        <f>IFERROR(__xludf.DUMMYFUNCTION("""COMPUTED_VALUE"""),45073.68958479167)</f>
        <v>45073.68958</v>
      </c>
      <c r="C408" s="9"/>
      <c r="D408" s="10">
        <f>IFERROR(__xludf.DUMMYFUNCTION("""COMPUTED_VALUE"""),45080.0)</f>
        <v>45080</v>
      </c>
      <c r="E408" s="10" t="str">
        <f>IFERROR(__xludf.DUMMYFUNCTION("""COMPUTED_VALUE"""),"06Jun")</f>
        <v>06Jun</v>
      </c>
      <c r="F408" s="10" t="str">
        <f>IFERROR(__xludf.DUMMYFUNCTION("""COMPUTED_VALUE"""),"2023")</f>
        <v>2023</v>
      </c>
      <c r="G408" s="16" t="str">
        <f>IFERROR(__xludf.DUMMYFUNCTION("""COMPUTED_VALUE"""),"LUSILA TRI LESTARI")</f>
        <v>LUSILA TRI LESTARI</v>
      </c>
      <c r="H408" s="17" t="str">
        <f>IFERROR(__xludf.DUMMYFUNCTION("""COMPUTED_VALUE"""),"L7023067298")</f>
        <v>L7023067298</v>
      </c>
      <c r="I408" s="17">
        <f>IFERROR(__xludf.DUMMYFUNCTION("""COMPUTED_VALUE"""),55.0)</f>
        <v>55</v>
      </c>
      <c r="J408" s="17" t="str">
        <f>IFERROR(__xludf.DUMMYFUNCTION("""COMPUTED_VALUE"""),"&gt; 44 tahun")</f>
        <v>&gt; 44 tahun</v>
      </c>
      <c r="K408" s="19">
        <f>IFERROR(__xludf.DUMMYFUNCTION("""COMPUTED_VALUE"""),25871.0)</f>
        <v>25871</v>
      </c>
      <c r="L408" s="19" t="str">
        <f>IFERROR(__xludf.DUMMYFUNCTION("""COMPUTED_VALUE"""),"PEREMPUAN")</f>
        <v>PEREMPUAN</v>
      </c>
      <c r="M408" s="16" t="str">
        <f>IFERROR(__xludf.DUMMYFUNCTION("""COMPUTED_VALUE"""),"JL. SELAT PANJANG GG. KARYA KELUARGA")</f>
        <v>JL. SELAT PANJANG GG. KARYA KELUARGA</v>
      </c>
      <c r="N408" s="16"/>
      <c r="O408" s="16"/>
      <c r="P408" s="16"/>
      <c r="Q408" s="16"/>
      <c r="R408" s="19" t="str">
        <f>IFERROR(__xludf.DUMMYFUNCTION("""COMPUTED_VALUE"""),"ISLAM")</f>
        <v>ISLAM</v>
      </c>
      <c r="S408" s="16" t="str">
        <f>IFERROR(__xludf.DUMMYFUNCTION("""COMPUTED_VALUE"""),"RUMAH TANGGA")</f>
        <v>RUMAH TANGGA</v>
      </c>
      <c r="T408" s="16" t="str">
        <f>IFERROR(__xludf.DUMMYFUNCTION("""COMPUTED_VALUE"""),"NYERI PADA")</f>
        <v>NYERI PADA</v>
      </c>
      <c r="U408" s="16" t="str">
        <f>IFERROR(__xludf.DUMMYFUNCTION("""COMPUTED_VALUE"""),"-")</f>
        <v>-</v>
      </c>
      <c r="V408" s="21" t="str">
        <f>IFERROR(__xludf.DUMMYFUNCTION("""COMPUTED_VALUE"""),"082354047298")</f>
        <v>082354047298</v>
      </c>
      <c r="W408" s="22"/>
    </row>
    <row r="409" ht="22.5" customHeight="1">
      <c r="A409" s="8"/>
      <c r="B409" s="9">
        <f>IFERROR(__xludf.DUMMYFUNCTION("""COMPUTED_VALUE"""),45073.808894710644)</f>
        <v>45073.80889</v>
      </c>
      <c r="C409" s="9"/>
      <c r="D409" s="10">
        <f>IFERROR(__xludf.DUMMYFUNCTION("""COMPUTED_VALUE"""),45080.0)</f>
        <v>45080</v>
      </c>
      <c r="E409" s="10" t="str">
        <f>IFERROR(__xludf.DUMMYFUNCTION("""COMPUTED_VALUE"""),"06Jun")</f>
        <v>06Jun</v>
      </c>
      <c r="F409" s="10" t="str">
        <f>IFERROR(__xludf.DUMMYFUNCTION("""COMPUTED_VALUE"""),"2023")</f>
        <v>2023</v>
      </c>
      <c r="G409" s="16" t="str">
        <f>IFERROR(__xludf.DUMMYFUNCTION("""COMPUTED_VALUE"""),"MAHASENA NUSANTARA")</f>
        <v>MAHASENA NUSANTARA</v>
      </c>
      <c r="H409" s="17" t="str">
        <f>IFERROR(__xludf.DUMMYFUNCTION("""COMPUTED_VALUE"""),"M1023062227")</f>
        <v>M1023062227</v>
      </c>
      <c r="I409" s="17">
        <f>IFERROR(__xludf.DUMMYFUNCTION("""COMPUTED_VALUE"""),15.0)</f>
        <v>15</v>
      </c>
      <c r="J409" s="17" t="str">
        <f>IFERROR(__xludf.DUMMYFUNCTION("""COMPUTED_VALUE"""),"&lt; 18 tahun")</f>
        <v>&lt; 18 tahun</v>
      </c>
      <c r="K409" s="19">
        <f>IFERROR(__xludf.DUMMYFUNCTION("""COMPUTED_VALUE"""),40491.0)</f>
        <v>40491</v>
      </c>
      <c r="L409" s="19" t="str">
        <f>IFERROR(__xludf.DUMMYFUNCTION("""COMPUTED_VALUE"""),"LAKI-LAKI")</f>
        <v>LAKI-LAKI</v>
      </c>
      <c r="M409" s="16" t="str">
        <f>IFERROR(__xludf.DUMMYFUNCTION("""COMPUTED_VALUE"""),"JL. H. HAMZAH, KOMP. DIDIS PERMAI 8, B. 6, PAL LIMA")</f>
        <v>JL. H. HAMZAH, KOMP. DIDIS PERMAI 8, B. 6, PAL LIMA</v>
      </c>
      <c r="N409" s="16"/>
      <c r="O409" s="16"/>
      <c r="P409" s="16"/>
      <c r="Q409" s="16"/>
      <c r="R409" s="19" t="str">
        <f>IFERROR(__xludf.DUMMYFUNCTION("""COMPUTED_VALUE"""),"ISLAM")</f>
        <v>ISLAM</v>
      </c>
      <c r="S409" s="16" t="str">
        <f>IFERROR(__xludf.DUMMYFUNCTION("""COMPUTED_VALUE"""),"PELAJAR/MAHASISWA")</f>
        <v>PELAJAR/MAHASISWA</v>
      </c>
      <c r="T409" s="16" t="str">
        <f>IFERROR(__xludf.DUMMYFUNCTION("""COMPUTED_VALUE"""),"KESELEO KAKI")</f>
        <v>KESELEO KAKI</v>
      </c>
      <c r="U409" s="16" t="str">
        <f>IFERROR(__xludf.DUMMYFUNCTION("""COMPUTED_VALUE"""),"OLAH RAGA")</f>
        <v>OLAH RAGA</v>
      </c>
      <c r="V409" s="21" t="str">
        <f>IFERROR(__xludf.DUMMYFUNCTION("""COMPUTED_VALUE"""),"082155242227")</f>
        <v>082155242227</v>
      </c>
      <c r="W409" s="22"/>
    </row>
    <row r="410" ht="22.5" customHeight="1">
      <c r="A410" s="8"/>
      <c r="B410" s="9">
        <f>IFERROR(__xludf.DUMMYFUNCTION("""COMPUTED_VALUE"""),45074.4706506713)</f>
        <v>45074.47065</v>
      </c>
      <c r="C410" s="9"/>
      <c r="D410" s="10">
        <f>IFERROR(__xludf.DUMMYFUNCTION("""COMPUTED_VALUE"""),45080.0)</f>
        <v>45080</v>
      </c>
      <c r="E410" s="10" t="str">
        <f>IFERROR(__xludf.DUMMYFUNCTION("""COMPUTED_VALUE"""),"06Jun")</f>
        <v>06Jun</v>
      </c>
      <c r="F410" s="10" t="str">
        <f>IFERROR(__xludf.DUMMYFUNCTION("""COMPUTED_VALUE"""),"2023")</f>
        <v>2023</v>
      </c>
      <c r="G410" s="16" t="str">
        <f>IFERROR(__xludf.DUMMYFUNCTION("""COMPUTED_VALUE"""),"ALBERT NICODEMUS SINUKABAN")</f>
        <v>ALBERT NICODEMUS SINUKABAN</v>
      </c>
      <c r="H410" s="17" t="str">
        <f>IFERROR(__xludf.DUMMYFUNCTION("""COMPUTED_VALUE"""),"A0223069001")</f>
        <v>A0223069001</v>
      </c>
      <c r="I410" s="17">
        <f>IFERROR(__xludf.DUMMYFUNCTION("""COMPUTED_VALUE"""),24.0)</f>
        <v>24</v>
      </c>
      <c r="J410" s="17" t="str">
        <f>IFERROR(__xludf.DUMMYFUNCTION("""COMPUTED_VALUE"""),"18-24 tahun")</f>
        <v>18-24 tahun</v>
      </c>
      <c r="K410" s="19">
        <f>IFERROR(__xludf.DUMMYFUNCTION("""COMPUTED_VALUE"""),37267.0)</f>
        <v>37267</v>
      </c>
      <c r="L410" s="19" t="str">
        <f>IFERROR(__xludf.DUMMYFUNCTION("""COMPUTED_VALUE"""),"LAKI-LAKI")</f>
        <v>LAKI-LAKI</v>
      </c>
      <c r="M410" s="16" t="str">
        <f>IFERROR(__xludf.DUMMYFUNCTION("""COMPUTED_VALUE"""),"PERUM GREEN REGENCY")</f>
        <v>PERUM GREEN REGENCY</v>
      </c>
      <c r="N410" s="16"/>
      <c r="O410" s="16"/>
      <c r="P410" s="16"/>
      <c r="Q410" s="16"/>
      <c r="R410" s="19" t="str">
        <f>IFERROR(__xludf.DUMMYFUNCTION("""COMPUTED_VALUE"""),"PROTESTAN")</f>
        <v>PROTESTAN</v>
      </c>
      <c r="S410" s="16" t="str">
        <f>IFERROR(__xludf.DUMMYFUNCTION("""COMPUTED_VALUE"""),"PELAJAR/MAHASISWA")</f>
        <v>PELAJAR/MAHASISWA</v>
      </c>
      <c r="T410" s="16" t="str">
        <f>IFERROR(__xludf.DUMMYFUNCTION("""COMPUTED_VALUE"""),"NYERI LUTUR KIRI")</f>
        <v>NYERI LUTUR KIRI</v>
      </c>
      <c r="U410" s="16" t="str">
        <f>IFERROR(__xludf.DUMMYFUNCTION("""COMPUTED_VALUE"""),"BAADMINTON")</f>
        <v>BAADMINTON</v>
      </c>
      <c r="V410" s="21" t="str">
        <f>IFERROR(__xludf.DUMMYFUNCTION("""COMPUTED_VALUE"""),"082253589001")</f>
        <v>082253589001</v>
      </c>
      <c r="W410" s="22"/>
    </row>
    <row r="411" ht="22.5" customHeight="1">
      <c r="A411" s="8"/>
      <c r="B411" s="9">
        <f>IFERROR(__xludf.DUMMYFUNCTION("""COMPUTED_VALUE"""),45075.50558515046)</f>
        <v>45075.50559</v>
      </c>
      <c r="C411" s="9"/>
      <c r="D411" s="10">
        <f>IFERROR(__xludf.DUMMYFUNCTION("""COMPUTED_VALUE"""),45080.0)</f>
        <v>45080</v>
      </c>
      <c r="E411" s="10" t="str">
        <f>IFERROR(__xludf.DUMMYFUNCTION("""COMPUTED_VALUE"""),"06Jun")</f>
        <v>06Jun</v>
      </c>
      <c r="F411" s="10" t="str">
        <f>IFERROR(__xludf.DUMMYFUNCTION("""COMPUTED_VALUE"""),"2023")</f>
        <v>2023</v>
      </c>
      <c r="G411" s="16" t="str">
        <f>IFERROR(__xludf.DUMMYFUNCTION("""COMPUTED_VALUE"""),"ERNAWATI")</f>
        <v>ERNAWATI</v>
      </c>
      <c r="H411" s="17" t="str">
        <f>IFERROR(__xludf.DUMMYFUNCTION("""COMPUTED_VALUE"""),"E6223064552")</f>
        <v>E6223064552</v>
      </c>
      <c r="I411" s="17">
        <f>IFERROR(__xludf.DUMMYFUNCTION("""COMPUTED_VALUE"""),63.0)</f>
        <v>63</v>
      </c>
      <c r="J411" s="17" t="str">
        <f>IFERROR(__xludf.DUMMYFUNCTION("""COMPUTED_VALUE"""),"&gt; 44 tahun")</f>
        <v>&gt; 44 tahun</v>
      </c>
      <c r="K411" s="19">
        <f>IFERROR(__xludf.DUMMYFUNCTION("""COMPUTED_VALUE"""),23011.0)</f>
        <v>23011</v>
      </c>
      <c r="L411" s="19" t="str">
        <f>IFERROR(__xludf.DUMMYFUNCTION("""COMPUTED_VALUE"""),"PEREMPUAN")</f>
        <v>PEREMPUAN</v>
      </c>
      <c r="M411" s="16" t="str">
        <f>IFERROR(__xludf.DUMMYFUNCTION("""COMPUTED_VALUE"""),"JL.PROF.M.YAMIN. GG.SWAKARYA 1 NO. 27")</f>
        <v>JL.PROF.M.YAMIN. GG.SWAKARYA 1 NO. 27</v>
      </c>
      <c r="N411" s="16"/>
      <c r="O411" s="16"/>
      <c r="P411" s="16"/>
      <c r="Q411" s="16"/>
      <c r="R411" s="19" t="str">
        <f>IFERROR(__xludf.DUMMYFUNCTION("""COMPUTED_VALUE"""),"ISLAM")</f>
        <v>ISLAM</v>
      </c>
      <c r="S411" s="16" t="str">
        <f>IFERROR(__xludf.DUMMYFUNCTION("""COMPUTED_VALUE"""),"RUMAH TANGGA")</f>
        <v>RUMAH TANGGA</v>
      </c>
      <c r="T411" s="16" t="str">
        <f>IFERROR(__xludf.DUMMYFUNCTION("""COMPUTED_VALUE"""),"SUDAH SEKITAR 5 HARI INI BADAN TERASA BERAT DAN TULANG TULANG SAKIT SEMUA.KALOK ,EMANG DI DIAGNOSA ADA PERADANGAN.KARENA BANTALAN ANTARA TULANG PAHA DAN BETIS YANG SEBELAH KIRI SUDAH TIDAK ADA")</f>
        <v>SUDAH SEKITAR 5 HARI INI BADAN TERASA BERAT DAN TULANG TULANG SAKIT SEMUA.KALOK ,EMANG DI DIAGNOSA ADA PERADANGAN.KARENA BANTALAN ANTARA TULANG PAHA DAN BETIS YANG SEBELAH KIRI SUDAH TIDAK ADA</v>
      </c>
      <c r="U411" s="16" t="str">
        <f>IFERROR(__xludf.DUMMYFUNCTION("""COMPUTED_VALUE"""),"BERKEBUN KALO SEMPAT")</f>
        <v>BERKEBUN KALO SEMPAT</v>
      </c>
      <c r="V411" s="21" t="str">
        <f>IFERROR(__xludf.DUMMYFUNCTION("""COMPUTED_VALUE"""),"08973114552")</f>
        <v>08973114552</v>
      </c>
      <c r="W411" s="22"/>
    </row>
    <row r="412" ht="22.5" customHeight="1">
      <c r="A412" s="8"/>
      <c r="B412" s="9">
        <f>IFERROR(__xludf.DUMMYFUNCTION("""COMPUTED_VALUE"""),45075.70296042824)</f>
        <v>45075.70296</v>
      </c>
      <c r="C412" s="9"/>
      <c r="D412" s="10">
        <f>IFERROR(__xludf.DUMMYFUNCTION("""COMPUTED_VALUE"""),45080.0)</f>
        <v>45080</v>
      </c>
      <c r="E412" s="10" t="str">
        <f>IFERROR(__xludf.DUMMYFUNCTION("""COMPUTED_VALUE"""),"06Jun")</f>
        <v>06Jun</v>
      </c>
      <c r="F412" s="10" t="str">
        <f>IFERROR(__xludf.DUMMYFUNCTION("""COMPUTED_VALUE"""),"2023")</f>
        <v>2023</v>
      </c>
      <c r="G412" s="16" t="str">
        <f>IFERROR(__xludf.DUMMYFUNCTION("""COMPUTED_VALUE"""),"SULHA")</f>
        <v>SULHA</v>
      </c>
      <c r="H412" s="17" t="str">
        <f>IFERROR(__xludf.DUMMYFUNCTION("""COMPUTED_VALUE"""),"S6223061369")</f>
        <v>S6223061369</v>
      </c>
      <c r="I412" s="17">
        <f>IFERROR(__xludf.DUMMYFUNCTION("""COMPUTED_VALUE"""),63.0)</f>
        <v>63</v>
      </c>
      <c r="J412" s="17" t="str">
        <f>IFERROR(__xludf.DUMMYFUNCTION("""COMPUTED_VALUE"""),"&gt; 44 tahun")</f>
        <v>&gt; 44 tahun</v>
      </c>
      <c r="K412" s="19">
        <f>IFERROR(__xludf.DUMMYFUNCTION("""COMPUTED_VALUE"""),22999.0)</f>
        <v>22999</v>
      </c>
      <c r="L412" s="19" t="str">
        <f>IFERROR(__xludf.DUMMYFUNCTION("""COMPUTED_VALUE"""),"PEREMPUAN")</f>
        <v>PEREMPUAN</v>
      </c>
      <c r="M412" s="16" t="str">
        <f>IFERROR(__xludf.DUMMYFUNCTION("""COMPUTED_VALUE"""),"JL. HUSEIN HAMZAH GG. THAYYBAH NO. 8B")</f>
        <v>JL. HUSEIN HAMZAH GG. THAYYBAH NO. 8B</v>
      </c>
      <c r="N412" s="16"/>
      <c r="O412" s="16"/>
      <c r="P412" s="16"/>
      <c r="Q412" s="16"/>
      <c r="R412" s="19" t="str">
        <f>IFERROR(__xludf.DUMMYFUNCTION("""COMPUTED_VALUE"""),"ISLAM")</f>
        <v>ISLAM</v>
      </c>
      <c r="S412" s="16" t="str">
        <f>IFERROR(__xludf.DUMMYFUNCTION("""COMPUTED_VALUE"""),"DOSEN/GURU")</f>
        <v>DOSEN/GURU</v>
      </c>
      <c r="T412" s="16" t="str">
        <f>IFERROR(__xludf.DUMMYFUNCTION("""COMPUTED_VALUE"""),"DISLOKASI BAHU")</f>
        <v>DISLOKASI BAHU</v>
      </c>
      <c r="U412" s="16" t="str">
        <f>IFERROR(__xludf.DUMMYFUNCTION("""COMPUTED_VALUE"""),"BERJALAN")</f>
        <v>BERJALAN</v>
      </c>
      <c r="V412" s="21" t="str">
        <f>IFERROR(__xludf.DUMMYFUNCTION("""COMPUTED_VALUE"""),"08125651369")</f>
        <v>08125651369</v>
      </c>
      <c r="W412" s="22"/>
    </row>
    <row r="413" ht="22.5" customHeight="1">
      <c r="A413" s="8"/>
      <c r="B413" s="9">
        <f>IFERROR(__xludf.DUMMYFUNCTION("""COMPUTED_VALUE"""),45076.386406736114)</f>
        <v>45076.38641</v>
      </c>
      <c r="C413" s="9"/>
      <c r="D413" s="10">
        <f>IFERROR(__xludf.DUMMYFUNCTION("""COMPUTED_VALUE"""),45080.0)</f>
        <v>45080</v>
      </c>
      <c r="E413" s="10" t="str">
        <f>IFERROR(__xludf.DUMMYFUNCTION("""COMPUTED_VALUE"""),"06Jun")</f>
        <v>06Jun</v>
      </c>
      <c r="F413" s="10" t="str">
        <f>IFERROR(__xludf.DUMMYFUNCTION("""COMPUTED_VALUE"""),"2023")</f>
        <v>2023</v>
      </c>
      <c r="G413" s="16" t="str">
        <f>IFERROR(__xludf.DUMMYFUNCTION("""COMPUTED_VALUE"""),"ERNA6605")</f>
        <v>ERNA6605</v>
      </c>
      <c r="H413" s="17" t="str">
        <f>IFERROR(__xludf.DUMMYFUNCTION("""COMPUTED_VALUE"""),"E6623066150")</f>
        <v>E6623066150</v>
      </c>
      <c r="I413" s="17">
        <f>IFERROR(__xludf.DUMMYFUNCTION("""COMPUTED_VALUE"""),60.0)</f>
        <v>60</v>
      </c>
      <c r="J413" s="17" t="str">
        <f>IFERROR(__xludf.DUMMYFUNCTION("""COMPUTED_VALUE"""),"&gt; 44 tahun")</f>
        <v>&gt; 44 tahun</v>
      </c>
      <c r="K413" s="19">
        <f>IFERROR(__xludf.DUMMYFUNCTION("""COMPUTED_VALUE"""),24237.0)</f>
        <v>24237</v>
      </c>
      <c r="L413" s="19" t="str">
        <f>IFERROR(__xludf.DUMMYFUNCTION("""COMPUTED_VALUE"""),"PEREMPUAN")</f>
        <v>PEREMPUAN</v>
      </c>
      <c r="M413" s="16" t="str">
        <f>IFERROR(__xludf.DUMMYFUNCTION("""COMPUTED_VALUE"""),"JL. KLESEHATAN GG. KESEHATAN DALAM NO. 11")</f>
        <v>JL. KLESEHATAN GG. KESEHATAN DALAM NO. 11</v>
      </c>
      <c r="N413" s="16"/>
      <c r="O413" s="16"/>
      <c r="P413" s="16"/>
      <c r="Q413" s="16"/>
      <c r="R413" s="19" t="str">
        <f>IFERROR(__xludf.DUMMYFUNCTION("""COMPUTED_VALUE"""),"ISLAM")</f>
        <v>ISLAM</v>
      </c>
      <c r="S413" s="16" t="str">
        <f>IFERROR(__xludf.DUMMYFUNCTION("""COMPUTED_VALUE"""),"DOSEN/GURU")</f>
        <v>DOSEN/GURU</v>
      </c>
      <c r="T413" s="16" t="str">
        <f>IFERROR(__xludf.DUMMYFUNCTION("""COMPUTED_VALUE"""),"SAKIT PINGGANG KANAN")</f>
        <v>SAKIT PINGGANG KANAN</v>
      </c>
      <c r="U413" s="16" t="str">
        <f>IFERROR(__xludf.DUMMYFUNCTION("""COMPUTED_VALUE"""),"MENGAJAR")</f>
        <v>MENGAJAR</v>
      </c>
      <c r="V413" s="21" t="str">
        <f>IFERROR(__xludf.DUMMYFUNCTION("""COMPUTED_VALUE"""),"081345036150")</f>
        <v>081345036150</v>
      </c>
      <c r="W413" s="22"/>
    </row>
    <row r="414" ht="22.5" customHeight="1">
      <c r="A414" s="28"/>
      <c r="B414" s="9">
        <f>IFERROR(__xludf.DUMMYFUNCTION("""COMPUTED_VALUE"""),45076.62988350695)</f>
        <v>45076.62988</v>
      </c>
      <c r="C414" s="9"/>
      <c r="D414" s="10">
        <f>IFERROR(__xludf.DUMMYFUNCTION("""COMPUTED_VALUE"""),45080.0)</f>
        <v>45080</v>
      </c>
      <c r="E414" s="10" t="str">
        <f>IFERROR(__xludf.DUMMYFUNCTION("""COMPUTED_VALUE"""),"06Jun")</f>
        <v>06Jun</v>
      </c>
      <c r="F414" s="10" t="str">
        <f>IFERROR(__xludf.DUMMYFUNCTION("""COMPUTED_VALUE"""),"2023")</f>
        <v>2023</v>
      </c>
      <c r="G414" s="16" t="str">
        <f>IFERROR(__xludf.DUMMYFUNCTION("""COMPUTED_VALUE"""),"ERNA8804")</f>
        <v>ERNA8804</v>
      </c>
      <c r="H414" s="17" t="str">
        <f>IFERROR(__xludf.DUMMYFUNCTION("""COMPUTED_VALUE"""),"E8823061262")</f>
        <v>E8823061262</v>
      </c>
      <c r="I414" s="17">
        <f>IFERROR(__xludf.DUMMYFUNCTION("""COMPUTED_VALUE"""),38.0)</f>
        <v>38</v>
      </c>
      <c r="J414" s="17" t="str">
        <f>IFERROR(__xludf.DUMMYFUNCTION("""COMPUTED_VALUE"""),"35-44 tahun")</f>
        <v>35-44 tahun</v>
      </c>
      <c r="K414" s="19">
        <f>IFERROR(__xludf.DUMMYFUNCTION("""COMPUTED_VALUE"""),32254.0)</f>
        <v>32254</v>
      </c>
      <c r="L414" s="19" t="str">
        <f>IFERROR(__xludf.DUMMYFUNCTION("""COMPUTED_VALUE"""),"PEREMPUAN")</f>
        <v>PEREMPUAN</v>
      </c>
      <c r="M414" s="16" t="str">
        <f>IFERROR(__xludf.DUMMYFUNCTION("""COMPUTED_VALUE"""),"JALAN PURNAMA II , GANG EKLASIA NO. 1B")</f>
        <v>JALAN PURNAMA II , GANG EKLASIA NO. 1B</v>
      </c>
      <c r="N414" s="16" t="str">
        <f>IFERROR(__xludf.DUMMYFUNCTION("""COMPUTED_VALUE"""),"KOTA BARU")</f>
        <v>KOTA BARU</v>
      </c>
      <c r="O414" s="16" t="str">
        <f>IFERROR(__xludf.DUMMYFUNCTION("""COMPUTED_VALUE"""),"PONTIANAK SELATAN")</f>
        <v>PONTIANAK SELATAN</v>
      </c>
      <c r="P414" s="16" t="str">
        <f>IFERROR(__xludf.DUMMYFUNCTION("""COMPUTED_VALUE"""),"KOTA PONTIANAK")</f>
        <v>KOTA PONTIANAK</v>
      </c>
      <c r="Q414" s="16" t="str">
        <f>IFERROR(__xludf.DUMMYFUNCTION("""COMPUTED_VALUE"""),"KALIMANTAN BARAT")</f>
        <v>KALIMANTAN BARAT</v>
      </c>
      <c r="R414" s="19" t="str">
        <f>IFERROR(__xludf.DUMMYFUNCTION("""COMPUTED_VALUE"""),"BUDDHA")</f>
        <v>BUDDHA</v>
      </c>
      <c r="S414" s="16" t="str">
        <f>IFERROR(__xludf.DUMMYFUNCTION("""COMPUTED_VALUE"""),"SWASTA")</f>
        <v>SWASTA</v>
      </c>
      <c r="T414" s="16" t="str">
        <f>IFERROR(__xludf.DUMMYFUNCTION("""COMPUTED_VALUE"""),"Cedera Elbow Lengan dan")</f>
        <v>Cedera Elbow Lengan dan</v>
      </c>
      <c r="U414" s="16" t="str">
        <f>IFERROR(__xludf.DUMMYFUNCTION("""COMPUTED_VALUE"""),"Olahraga Badminton")</f>
        <v>Olahraga Badminton</v>
      </c>
      <c r="V414" s="21" t="str">
        <f>IFERROR(__xludf.DUMMYFUNCTION("""COMPUTED_VALUE"""),"089620911262")</f>
        <v>089620911262</v>
      </c>
      <c r="W414" s="22"/>
    </row>
    <row r="415" ht="22.5" customHeight="1">
      <c r="A415" s="8"/>
      <c r="B415" s="9">
        <f>IFERROR(__xludf.DUMMYFUNCTION("""COMPUTED_VALUE"""),45077.399838935184)</f>
        <v>45077.39984</v>
      </c>
      <c r="C415" s="9"/>
      <c r="D415" s="10">
        <f>IFERROR(__xludf.DUMMYFUNCTION("""COMPUTED_VALUE"""),45082.0)</f>
        <v>45082</v>
      </c>
      <c r="E415" s="10" t="str">
        <f>IFERROR(__xludf.DUMMYFUNCTION("""COMPUTED_VALUE"""),"06Jun")</f>
        <v>06Jun</v>
      </c>
      <c r="F415" s="10" t="str">
        <f>IFERROR(__xludf.DUMMYFUNCTION("""COMPUTED_VALUE"""),"2023")</f>
        <v>2023</v>
      </c>
      <c r="G415" s="16" t="str">
        <f>IFERROR(__xludf.DUMMYFUNCTION("""COMPUTED_VALUE"""),"RITA EVIANTI")</f>
        <v>RITA EVIANTI</v>
      </c>
      <c r="H415" s="17" t="str">
        <f>IFERROR(__xludf.DUMMYFUNCTION("""COMPUTED_VALUE"""),"R6823060715")</f>
        <v>R6823060715</v>
      </c>
      <c r="I415" s="17">
        <f>IFERROR(__xludf.DUMMYFUNCTION("""COMPUTED_VALUE"""),57.0)</f>
        <v>57</v>
      </c>
      <c r="J415" s="17" t="str">
        <f>IFERROR(__xludf.DUMMYFUNCTION("""COMPUTED_VALUE"""),"&gt; 44 tahun")</f>
        <v>&gt; 44 tahun</v>
      </c>
      <c r="K415" s="19">
        <f>IFERROR(__xludf.DUMMYFUNCTION("""COMPUTED_VALUE"""),25142.0)</f>
        <v>25142</v>
      </c>
      <c r="L415" s="19" t="str">
        <f>IFERROR(__xludf.DUMMYFUNCTION("""COMPUTED_VALUE"""),"PEREMPUAN")</f>
        <v>PEREMPUAN</v>
      </c>
      <c r="M415" s="16" t="str">
        <f>IFERROR(__xludf.DUMMYFUNCTION("""COMPUTED_VALUE"""),"JL ST ABDURAHMAN GG BUDI SETIA NO 21 PONTIANAK")</f>
        <v>JL ST ABDURAHMAN GG BUDI SETIA NO 21 PONTIANAK</v>
      </c>
      <c r="N415" s="16"/>
      <c r="O415" s="16"/>
      <c r="P415" s="16"/>
      <c r="Q415" s="16"/>
      <c r="R415" s="19" t="str">
        <f>IFERROR(__xludf.DUMMYFUNCTION("""COMPUTED_VALUE"""),"ISLAM")</f>
        <v>ISLAM</v>
      </c>
      <c r="S415" s="16" t="str">
        <f>IFERROR(__xludf.DUMMYFUNCTION("""COMPUTED_VALUE"""),"ASN")</f>
        <v>ASN</v>
      </c>
      <c r="T415" s="16" t="str">
        <f>IFERROR(__xludf.DUMMYFUNCTION("""COMPUTED_VALUE"""),"PONTIANAK KOTA")</f>
        <v>PONTIANAK KOTA</v>
      </c>
      <c r="U415" s="16" t="str">
        <f>IFERROR(__xludf.DUMMYFUNCTION("""COMPUTED_VALUE"""),"OLGA")</f>
        <v>OLGA</v>
      </c>
      <c r="V415" s="21" t="str">
        <f>IFERROR(__xludf.DUMMYFUNCTION("""COMPUTED_VALUE"""),"08125710715")</f>
        <v>08125710715</v>
      </c>
      <c r="W415" s="22"/>
    </row>
    <row r="416" ht="22.5" customHeight="1">
      <c r="A416" s="8"/>
      <c r="B416" s="9">
        <f>IFERROR(__xludf.DUMMYFUNCTION("""COMPUTED_VALUE"""),45077.5948149537)</f>
        <v>45077.59481</v>
      </c>
      <c r="C416" s="9"/>
      <c r="D416" s="10">
        <f>IFERROR(__xludf.DUMMYFUNCTION("""COMPUTED_VALUE"""),45082.0)</f>
        <v>45082</v>
      </c>
      <c r="E416" s="10" t="str">
        <f>IFERROR(__xludf.DUMMYFUNCTION("""COMPUTED_VALUE"""),"06Jun")</f>
        <v>06Jun</v>
      </c>
      <c r="F416" s="10" t="str">
        <f>IFERROR(__xludf.DUMMYFUNCTION("""COMPUTED_VALUE"""),"2023")</f>
        <v>2023</v>
      </c>
      <c r="G416" s="16" t="str">
        <f>IFERROR(__xludf.DUMMYFUNCTION("""COMPUTED_VALUE"""),"ALPUTRALAW")</f>
        <v>ALPUTRALAW</v>
      </c>
      <c r="H416" s="17" t="str">
        <f>IFERROR(__xludf.DUMMYFUNCTION("""COMPUTED_VALUE"""),"A9323069998")</f>
        <v>A9323069998</v>
      </c>
      <c r="I416" s="17">
        <f>IFERROR(__xludf.DUMMYFUNCTION("""COMPUTED_VALUE"""),33.0)</f>
        <v>33</v>
      </c>
      <c r="J416" s="17" t="str">
        <f>IFERROR(__xludf.DUMMYFUNCTION("""COMPUTED_VALUE"""),"25-34 tahun")</f>
        <v>25-34 tahun</v>
      </c>
      <c r="K416" s="19">
        <f>IFERROR(__xludf.DUMMYFUNCTION("""COMPUTED_VALUE"""),34087.0)</f>
        <v>34087</v>
      </c>
      <c r="L416" s="19" t="str">
        <f>IFERROR(__xludf.DUMMYFUNCTION("""COMPUTED_VALUE"""),"LAKI-LAKI")</f>
        <v>LAKI-LAKI</v>
      </c>
      <c r="M416" s="16" t="str">
        <f>IFERROR(__xludf.DUMMYFUNCTION("""COMPUTED_VALUE"""),"JL. DI. PANJAITAN NO. 14")</f>
        <v>JL. DI. PANJAITAN NO. 14</v>
      </c>
      <c r="N416" s="16" t="str">
        <f>IFERROR(__xludf.DUMMYFUNCTION("""COMPUTED_VALUE"""),"BENUA MELAYU DARAT")</f>
        <v>BENUA MELAYU DARAT</v>
      </c>
      <c r="O416" s="16" t="str">
        <f>IFERROR(__xludf.DUMMYFUNCTION("""COMPUTED_VALUE"""),"KEC. PONTIANAK SELATAN")</f>
        <v>KEC. PONTIANAK SELATAN</v>
      </c>
      <c r="P416" s="16" t="str">
        <f>IFERROR(__xludf.DUMMYFUNCTION("""COMPUTED_VALUE"""),"KOTA PONTIANAK")</f>
        <v>KOTA PONTIANAK</v>
      </c>
      <c r="Q416" s="16" t="str">
        <f>IFERROR(__xludf.DUMMYFUNCTION("""COMPUTED_VALUE"""),"KALIMANTAN BARAT")</f>
        <v>KALIMANTAN BARAT</v>
      </c>
      <c r="R416" s="19" t="str">
        <f>IFERROR(__xludf.DUMMYFUNCTION("""COMPUTED_VALUE"""),"KHONGHUCU")</f>
        <v>KHONGHUCU</v>
      </c>
      <c r="S416" s="16" t="str">
        <f>IFERROR(__xludf.DUMMYFUNCTION("""COMPUTED_VALUE"""),"WIRASWASTA")</f>
        <v>WIRASWASTA</v>
      </c>
      <c r="T416" s="16" t="str">
        <f>IFERROR(__xludf.DUMMYFUNCTION("""COMPUTED_VALUE"""),"ANGKLE PERGELANGAN TANGAN KANAN")</f>
        <v>ANGKLE PERGELANGAN TANGAN KANAN</v>
      </c>
      <c r="U416" s="16" t="str">
        <f>IFERROR(__xludf.DUMMYFUNCTION("""COMPUTED_VALUE"""),"BADMINTON")</f>
        <v>BADMINTON</v>
      </c>
      <c r="V416" s="21" t="str">
        <f>IFERROR(__xludf.DUMMYFUNCTION("""COMPUTED_VALUE"""),"082111899998")</f>
        <v>082111899998</v>
      </c>
      <c r="W416" s="22"/>
    </row>
    <row r="417" ht="22.5" customHeight="1">
      <c r="A417" s="8"/>
      <c r="B417" s="9">
        <f>IFERROR(__xludf.DUMMYFUNCTION("""COMPUTED_VALUE"""),45077.658662500005)</f>
        <v>45077.65866</v>
      </c>
      <c r="C417" s="9"/>
      <c r="D417" s="10">
        <f>IFERROR(__xludf.DUMMYFUNCTION("""COMPUTED_VALUE"""),45082.0)</f>
        <v>45082</v>
      </c>
      <c r="E417" s="10" t="str">
        <f>IFERROR(__xludf.DUMMYFUNCTION("""COMPUTED_VALUE"""),"06Jun")</f>
        <v>06Jun</v>
      </c>
      <c r="F417" s="10" t="str">
        <f>IFERROR(__xludf.DUMMYFUNCTION("""COMPUTED_VALUE"""),"2023")</f>
        <v>2023</v>
      </c>
      <c r="G417" s="16" t="str">
        <f>IFERROR(__xludf.DUMMYFUNCTION("""COMPUTED_VALUE"""),"UTI MUHAMMAD RIFQI HAFIZH")</f>
        <v>UTI MUHAMMAD RIFQI HAFIZH</v>
      </c>
      <c r="H417" s="17" t="str">
        <f>IFERROR(__xludf.DUMMYFUNCTION("""COMPUTED_VALUE"""),"U0423067597")</f>
        <v>U0423067597</v>
      </c>
      <c r="I417" s="17">
        <f>IFERROR(__xludf.DUMMYFUNCTION("""COMPUTED_VALUE"""),21.0)</f>
        <v>21</v>
      </c>
      <c r="J417" s="17" t="str">
        <f>IFERROR(__xludf.DUMMYFUNCTION("""COMPUTED_VALUE"""),"18-24 tahun")</f>
        <v>18-24 tahun</v>
      </c>
      <c r="K417" s="19">
        <f>IFERROR(__xludf.DUMMYFUNCTION("""COMPUTED_VALUE"""),38153.0)</f>
        <v>38153</v>
      </c>
      <c r="L417" s="19" t="str">
        <f>IFERROR(__xludf.DUMMYFUNCTION("""COMPUTED_VALUE"""),"LAKI-LAKI")</f>
        <v>LAKI-LAKI</v>
      </c>
      <c r="M417" s="16" t="str">
        <f>IFERROR(__xludf.DUMMYFUNCTION("""COMPUTED_VALUE"""),"JL. MT HARYONO KOMP. PONDOK BANDARA ASRI C21")</f>
        <v>JL. MT HARYONO KOMP. PONDOK BANDARA ASRI C21</v>
      </c>
      <c r="N417" s="16"/>
      <c r="O417" s="16"/>
      <c r="P417" s="16"/>
      <c r="Q417" s="16"/>
      <c r="R417" s="19" t="str">
        <f>IFERROR(__xludf.DUMMYFUNCTION("""COMPUTED_VALUE"""),"ISLAM")</f>
        <v>ISLAM</v>
      </c>
      <c r="S417" s="16" t="str">
        <f>IFERROR(__xludf.DUMMYFUNCTION("""COMPUTED_VALUE"""),"TIDAK ADA")</f>
        <v>TIDAK ADA</v>
      </c>
      <c r="T417" s="16" t="str">
        <f>IFERROR(__xludf.DUMMYFUNCTION("""COMPUTED_VALUE"""),"KAKI X")</f>
        <v>KAKI X</v>
      </c>
      <c r="U417" s="16" t="str">
        <f>IFERROR(__xludf.DUMMYFUNCTION("""COMPUTED_VALUE"""),"LARI")</f>
        <v>LARI</v>
      </c>
      <c r="V417" s="21" t="str">
        <f>IFERROR(__xludf.DUMMYFUNCTION("""COMPUTED_VALUE"""),"089529277597")</f>
        <v>089529277597</v>
      </c>
      <c r="W417" s="22"/>
    </row>
    <row r="418" ht="22.5" customHeight="1">
      <c r="A418" s="8"/>
      <c r="B418" s="9">
        <f>IFERROR(__xludf.DUMMYFUNCTION("""COMPUTED_VALUE"""),45077.667878796296)</f>
        <v>45077.66788</v>
      </c>
      <c r="C418" s="9"/>
      <c r="D418" s="10">
        <f>IFERROR(__xludf.DUMMYFUNCTION("""COMPUTED_VALUE"""),45082.0)</f>
        <v>45082</v>
      </c>
      <c r="E418" s="10" t="str">
        <f>IFERROR(__xludf.DUMMYFUNCTION("""COMPUTED_VALUE"""),"06Jun")</f>
        <v>06Jun</v>
      </c>
      <c r="F418" s="10" t="str">
        <f>IFERROR(__xludf.DUMMYFUNCTION("""COMPUTED_VALUE"""),"2023")</f>
        <v>2023</v>
      </c>
      <c r="G418" s="16" t="str">
        <f>IFERROR(__xludf.DUMMYFUNCTION("""COMPUTED_VALUE"""),"ADITIYANO FIRMANSYAH")</f>
        <v>ADITIYANO FIRMANSYAH</v>
      </c>
      <c r="H418" s="17" t="str">
        <f>IFERROR(__xludf.DUMMYFUNCTION("""COMPUTED_VALUE"""),"A0423066158")</f>
        <v>A0423066158</v>
      </c>
      <c r="I418" s="17">
        <f>IFERROR(__xludf.DUMMYFUNCTION("""COMPUTED_VALUE"""),21.0)</f>
        <v>21</v>
      </c>
      <c r="J418" s="17" t="str">
        <f>IFERROR(__xludf.DUMMYFUNCTION("""COMPUTED_VALUE"""),"18-24 tahun")</f>
        <v>18-24 tahun</v>
      </c>
      <c r="K418" s="19">
        <f>IFERROR(__xludf.DUMMYFUNCTION("""COMPUTED_VALUE"""),38222.0)</f>
        <v>38222</v>
      </c>
      <c r="L418" s="19" t="str">
        <f>IFERROR(__xludf.DUMMYFUNCTION("""COMPUTED_VALUE"""),"LAKI-LAKI")</f>
        <v>LAKI-LAKI</v>
      </c>
      <c r="M418" s="16" t="str">
        <f>IFERROR(__xludf.DUMMYFUNCTION("""COMPUTED_VALUE"""),"DESA SUKA MULIA, KEC. PARINDU, KAB. SANGGAU")</f>
        <v>DESA SUKA MULIA, KEC. PARINDU, KAB. SANGGAU</v>
      </c>
      <c r="N418" s="16"/>
      <c r="O418" s="16"/>
      <c r="P418" s="16"/>
      <c r="Q418" s="16"/>
      <c r="R418" s="19" t="str">
        <f>IFERROR(__xludf.DUMMYFUNCTION("""COMPUTED_VALUE"""),"ISLAM")</f>
        <v>ISLAM</v>
      </c>
      <c r="S418" s="16" t="str">
        <f>IFERROR(__xludf.DUMMYFUNCTION("""COMPUTED_VALUE"""),"PELAJAR/MAHASISWA")</f>
        <v>PELAJAR/MAHASISWA</v>
      </c>
      <c r="T418" s="16" t="str">
        <f>IFERROR(__xludf.DUMMYFUNCTION("""COMPUTED_VALUE"""),"NYERI BAGIAN PINGGUL HINGGA UJUNG KAKI")</f>
        <v>NYERI BAGIAN PINGGUL HINGGA UJUNG KAKI</v>
      </c>
      <c r="U418" s="16" t="str">
        <f>IFERROR(__xludf.DUMMYFUNCTION("""COMPUTED_VALUE"""),"OLAHRAGA")</f>
        <v>OLAHRAGA</v>
      </c>
      <c r="V418" s="21" t="str">
        <f>IFERROR(__xludf.DUMMYFUNCTION("""COMPUTED_VALUE"""),"0895701716158")</f>
        <v>0895701716158</v>
      </c>
      <c r="W418" s="22"/>
    </row>
    <row r="419" ht="22.5" customHeight="1">
      <c r="A419" s="8"/>
      <c r="B419" s="9">
        <f>IFERROR(__xludf.DUMMYFUNCTION("""COMPUTED_VALUE"""),45080.380345694444)</f>
        <v>45080.38035</v>
      </c>
      <c r="C419" s="9"/>
      <c r="D419" s="10">
        <f>IFERROR(__xludf.DUMMYFUNCTION("""COMPUTED_VALUE"""),45082.0)</f>
        <v>45082</v>
      </c>
      <c r="E419" s="10" t="str">
        <f>IFERROR(__xludf.DUMMYFUNCTION("""COMPUTED_VALUE"""),"06Jun")</f>
        <v>06Jun</v>
      </c>
      <c r="F419" s="10" t="str">
        <f>IFERROR(__xludf.DUMMYFUNCTION("""COMPUTED_VALUE"""),"2023")</f>
        <v>2023</v>
      </c>
      <c r="G419" s="16" t="str">
        <f>IFERROR(__xludf.DUMMYFUNCTION("""COMPUTED_VALUE"""),"BENEDIKTUS DAVI NAWILIS")</f>
        <v>BENEDIKTUS DAVI NAWILIS</v>
      </c>
      <c r="H419" s="17" t="str">
        <f>IFERROR(__xludf.DUMMYFUNCTION("""COMPUTED_VALUE"""),"B0523064333")</f>
        <v>B0523064333</v>
      </c>
      <c r="I419" s="17">
        <f>IFERROR(__xludf.DUMMYFUNCTION("""COMPUTED_VALUE"""),20.0)</f>
        <v>20</v>
      </c>
      <c r="J419" s="17" t="str">
        <f>IFERROR(__xludf.DUMMYFUNCTION("""COMPUTED_VALUE"""),"18-24 tahun")</f>
        <v>18-24 tahun</v>
      </c>
      <c r="K419" s="19">
        <f>IFERROR(__xludf.DUMMYFUNCTION("""COMPUTED_VALUE"""),38543.0)</f>
        <v>38543</v>
      </c>
      <c r="L419" s="19" t="str">
        <f>IFERROR(__xludf.DUMMYFUNCTION("""COMPUTED_VALUE"""),"LAKI-LAKI")</f>
        <v>LAKI-LAKI</v>
      </c>
      <c r="M419" s="16" t="str">
        <f>IFERROR(__xludf.DUMMYFUNCTION("""COMPUTED_VALUE"""),"JL. H. RAIS A. RAHMAN GG. BERSAMA 3")</f>
        <v>JL. H. RAIS A. RAHMAN GG. BERSAMA 3</v>
      </c>
      <c r="N419" s="16"/>
      <c r="O419" s="16"/>
      <c r="P419" s="16"/>
      <c r="Q419" s="16"/>
      <c r="R419" s="19" t="str">
        <f>IFERROR(__xludf.DUMMYFUNCTION("""COMPUTED_VALUE"""),"KATOLIK")</f>
        <v>KATOLIK</v>
      </c>
      <c r="S419" s="16" t="str">
        <f>IFERROR(__xludf.DUMMYFUNCTION("""COMPUTED_VALUE"""),"TIDAK ADA")</f>
        <v>TIDAK ADA</v>
      </c>
      <c r="T419" s="16" t="str">
        <f>IFERROR(__xludf.DUMMYFUNCTION("""COMPUTED_VALUE"""),"BAGIAN KIRI KAKU DAN TULANG BELAKANG TERLALU LURUS")</f>
        <v>BAGIAN KIRI KAKU DAN TULANG BELAKANG TERLALU LURUS</v>
      </c>
      <c r="U419" s="16" t="str">
        <f>IFERROR(__xludf.DUMMYFUNCTION("""COMPUTED_VALUE"""),"OLAHRAGA")</f>
        <v>OLAHRAGA</v>
      </c>
      <c r="V419" s="21" t="str">
        <f>IFERROR(__xludf.DUMMYFUNCTION("""COMPUTED_VALUE"""),"08115614333")</f>
        <v>08115614333</v>
      </c>
      <c r="W419" s="22"/>
    </row>
    <row r="420" ht="22.5" customHeight="1">
      <c r="A420" s="8"/>
      <c r="B420" s="9">
        <f>IFERROR(__xludf.DUMMYFUNCTION("""COMPUTED_VALUE"""),45080.52613707176)</f>
        <v>45080.52614</v>
      </c>
      <c r="C420" s="9"/>
      <c r="D420" s="10">
        <f>IFERROR(__xludf.DUMMYFUNCTION("""COMPUTED_VALUE"""),45083.0)</f>
        <v>45083</v>
      </c>
      <c r="E420" s="10" t="str">
        <f>IFERROR(__xludf.DUMMYFUNCTION("""COMPUTED_VALUE"""),"06Jun")</f>
        <v>06Jun</v>
      </c>
      <c r="F420" s="10" t="str">
        <f>IFERROR(__xludf.DUMMYFUNCTION("""COMPUTED_VALUE"""),"2023")</f>
        <v>2023</v>
      </c>
      <c r="G420" s="16" t="str">
        <f>IFERROR(__xludf.DUMMYFUNCTION("""COMPUTED_VALUE"""),"RICKI KURNIAWAN")</f>
        <v>RICKI KURNIAWAN</v>
      </c>
      <c r="H420" s="17" t="str">
        <f>IFERROR(__xludf.DUMMYFUNCTION("""COMPUTED_VALUE"""),"R9223060601")</f>
        <v>R9223060601</v>
      </c>
      <c r="I420" s="17">
        <f>IFERROR(__xludf.DUMMYFUNCTION("""COMPUTED_VALUE"""),34.0)</f>
        <v>34</v>
      </c>
      <c r="J420" s="17" t="str">
        <f>IFERROR(__xludf.DUMMYFUNCTION("""COMPUTED_VALUE"""),"25-34 tahun")</f>
        <v>25-34 tahun</v>
      </c>
      <c r="K420" s="19">
        <f>IFERROR(__xludf.DUMMYFUNCTION("""COMPUTED_VALUE"""),33665.0)</f>
        <v>33665</v>
      </c>
      <c r="L420" s="19" t="str">
        <f>IFERROR(__xludf.DUMMYFUNCTION("""COMPUTED_VALUE"""),"LAKI-LAKI")</f>
        <v>LAKI-LAKI</v>
      </c>
      <c r="M420" s="16" t="str">
        <f>IFERROR(__xludf.DUMMYFUNCTION("""COMPUTED_VALUE"""),"DUSUN SERAMBAI ,DESA TANGJUNG MERPATI,KEC.KEMBAYAN,SANGGAU,KALIMANTAN BARAT")</f>
        <v>DUSUN SERAMBAI ,DESA TANGJUNG MERPATI,KEC.KEMBAYAN,SANGGAU,KALIMANTAN BARAT</v>
      </c>
      <c r="N420" s="16"/>
      <c r="O420" s="16"/>
      <c r="P420" s="16"/>
      <c r="Q420" s="16"/>
      <c r="R420" s="19" t="str">
        <f>IFERROR(__xludf.DUMMYFUNCTION("""COMPUTED_VALUE"""),"ISLAM")</f>
        <v>ISLAM</v>
      </c>
      <c r="S420" s="16" t="str">
        <f>IFERROR(__xludf.DUMMYFUNCTION("""COMPUTED_VALUE"""),"WIRASWASTA")</f>
        <v>WIRASWASTA</v>
      </c>
      <c r="T420" s="16" t="str">
        <f>IFERROR(__xludf.DUMMYFUNCTION("""COMPUTED_VALUE"""),"SAKIT TENGKUK")</f>
        <v>SAKIT TENGKUK</v>
      </c>
      <c r="U420" s="16" t="str">
        <f>IFERROR(__xludf.DUMMYFUNCTION("""COMPUTED_VALUE"""),"PEDAGANG")</f>
        <v>PEDAGANG</v>
      </c>
      <c r="V420" s="21" t="str">
        <f>IFERROR(__xludf.DUMMYFUNCTION("""COMPUTED_VALUE"""),"082169020601")</f>
        <v>082169020601</v>
      </c>
      <c r="W420" s="22"/>
    </row>
    <row r="421" ht="22.5" customHeight="1">
      <c r="A421" s="8"/>
      <c r="B421" s="9">
        <f>IFERROR(__xludf.DUMMYFUNCTION("""COMPUTED_VALUE"""),45080.55202403935)</f>
        <v>45080.55202</v>
      </c>
      <c r="C421" s="9"/>
      <c r="D421" s="10">
        <f>IFERROR(__xludf.DUMMYFUNCTION("""COMPUTED_VALUE"""),45083.0)</f>
        <v>45083</v>
      </c>
      <c r="E421" s="10" t="str">
        <f>IFERROR(__xludf.DUMMYFUNCTION("""COMPUTED_VALUE"""),"06Jun")</f>
        <v>06Jun</v>
      </c>
      <c r="F421" s="10" t="str">
        <f>IFERROR(__xludf.DUMMYFUNCTION("""COMPUTED_VALUE"""),"2023")</f>
        <v>2023</v>
      </c>
      <c r="G421" s="16" t="str">
        <f>IFERROR(__xludf.DUMMYFUNCTION("""COMPUTED_VALUE"""),"U.TITIEN FADIAH")</f>
        <v>U.TITIEN FADIAH</v>
      </c>
      <c r="H421" s="17" t="str">
        <f>IFERROR(__xludf.DUMMYFUNCTION("""COMPUTED_VALUE"""),"U5323066024")</f>
        <v>U5323066024</v>
      </c>
      <c r="I421" s="17">
        <f>IFERROR(__xludf.DUMMYFUNCTION("""COMPUTED_VALUE"""),73.0)</f>
        <v>73</v>
      </c>
      <c r="J421" s="17" t="str">
        <f>IFERROR(__xludf.DUMMYFUNCTION("""COMPUTED_VALUE"""),"&gt; 44 tahun")</f>
        <v>&gt; 44 tahun</v>
      </c>
      <c r="K421" s="19">
        <f>IFERROR(__xludf.DUMMYFUNCTION("""COMPUTED_VALUE"""),19395.0)</f>
        <v>19395</v>
      </c>
      <c r="L421" s="19" t="str">
        <f>IFERROR(__xludf.DUMMYFUNCTION("""COMPUTED_VALUE"""),"PEREMPUAN")</f>
        <v>PEREMPUAN</v>
      </c>
      <c r="M421" s="16" t="str">
        <f>IFERROR(__xludf.DUMMYFUNCTION("""COMPUTED_VALUE"""),"JL. PROF.M. YAMIN GG URAI HAMID NO 49 PONTIANAK")</f>
        <v>JL. PROF.M. YAMIN GG URAI HAMID NO 49 PONTIANAK</v>
      </c>
      <c r="N421" s="16"/>
      <c r="O421" s="16"/>
      <c r="P421" s="16"/>
      <c r="Q421" s="16"/>
      <c r="R421" s="19" t="str">
        <f>IFERROR(__xludf.DUMMYFUNCTION("""COMPUTED_VALUE"""),"ISLAM")</f>
        <v>ISLAM</v>
      </c>
      <c r="S421" s="16" t="str">
        <f>IFERROR(__xludf.DUMMYFUNCTION("""COMPUTED_VALUE"""),"PENSIUN")</f>
        <v>PENSIUN</v>
      </c>
      <c r="T421" s="16" t="str">
        <f>IFERROR(__xludf.DUMMYFUNCTION("""COMPUTED_VALUE"""),"KAKI KIRI NYERI SAKIT SUSAH JALAN. KOLESTEROL TINGGI SUDAH TURUN MASIH SAKIT")</f>
        <v>KAKI KIRI NYERI SAKIT SUSAH JALAN. KOLESTEROL TINGGI SUDAH TURUN MASIH SAKIT</v>
      </c>
      <c r="U421" s="16" t="str">
        <f>IFERROR(__xludf.DUMMYFUNCTION("""COMPUTED_VALUE"""),"-")</f>
        <v>-</v>
      </c>
      <c r="V421" s="21" t="str">
        <f>IFERROR(__xludf.DUMMYFUNCTION("""COMPUTED_VALUE"""),"085828526024")</f>
        <v>085828526024</v>
      </c>
      <c r="W421" s="22"/>
    </row>
    <row r="422" ht="22.5" customHeight="1">
      <c r="A422" s="8"/>
      <c r="B422" s="9">
        <f>IFERROR(__xludf.DUMMYFUNCTION("""COMPUTED_VALUE"""),45080.553253391205)</f>
        <v>45080.55325</v>
      </c>
      <c r="C422" s="9"/>
      <c r="D422" s="10">
        <f>IFERROR(__xludf.DUMMYFUNCTION("""COMPUTED_VALUE"""),45083.0)</f>
        <v>45083</v>
      </c>
      <c r="E422" s="10" t="str">
        <f>IFERROR(__xludf.DUMMYFUNCTION("""COMPUTED_VALUE"""),"06Jun")</f>
        <v>06Jun</v>
      </c>
      <c r="F422" s="10" t="str">
        <f>IFERROR(__xludf.DUMMYFUNCTION("""COMPUTED_VALUE"""),"2023")</f>
        <v>2023</v>
      </c>
      <c r="G422" s="16" t="str">
        <f>IFERROR(__xludf.DUMMYFUNCTION("""COMPUTED_VALUE"""),"ELIDA SEPTRIANI SIMANGUNSONG")</f>
        <v>ELIDA SEPTRIANI SIMANGUNSONG</v>
      </c>
      <c r="H422" s="17" t="str">
        <f>IFERROR(__xludf.DUMMYFUNCTION("""COMPUTED_VALUE"""),"E8923062696")</f>
        <v>E8923062696</v>
      </c>
      <c r="I422" s="17">
        <f>IFERROR(__xludf.DUMMYFUNCTION("""COMPUTED_VALUE"""),36.0)</f>
        <v>36</v>
      </c>
      <c r="J422" s="17" t="str">
        <f>IFERROR(__xludf.DUMMYFUNCTION("""COMPUTED_VALUE"""),"35-44 tahun")</f>
        <v>35-44 tahun</v>
      </c>
      <c r="K422" s="19">
        <f>IFERROR(__xludf.DUMMYFUNCTION("""COMPUTED_VALUE"""),32776.0)</f>
        <v>32776</v>
      </c>
      <c r="L422" s="19" t="str">
        <f>IFERROR(__xludf.DUMMYFUNCTION("""COMPUTED_VALUE"""),"PEREMPUAN")</f>
        <v>PEREMPUAN</v>
      </c>
      <c r="M422" s="16" t="str">
        <f>IFERROR(__xludf.DUMMYFUNCTION("""COMPUTED_VALUE"""),"LINGKUNGAN KAMPUNG KALAPANE, KEL. KOTA PINANG, KEC. KOTA PINANG, KAB. LABUHAN BATU SELATAN")</f>
        <v>LINGKUNGAN KAMPUNG KALAPANE, KEL. KOTA PINANG, KEC. KOTA PINANG, KAB. LABUHAN BATU SELATAN</v>
      </c>
      <c r="N422" s="16"/>
      <c r="O422" s="16"/>
      <c r="P422" s="16"/>
      <c r="Q422" s="16"/>
      <c r="R422" s="19" t="str">
        <f>IFERROR(__xludf.DUMMYFUNCTION("""COMPUTED_VALUE"""),"PROTESTAN")</f>
        <v>PROTESTAN</v>
      </c>
      <c r="S422" s="16" t="str">
        <f>IFERROR(__xludf.DUMMYFUNCTION("""COMPUTED_VALUE"""),"SWASTA")</f>
        <v>SWASTA</v>
      </c>
      <c r="T422" s="16" t="str">
        <f>IFERROR(__xludf.DUMMYFUNCTION("""COMPUTED_VALUE"""),"6 MEI KEMARIN JATUH DARI MOTOR DAN MENGALAMI DISLOKASI DI KAKI KANAN (DEKAT ). SUDAH DIREPOSISI SECARA ALTERNATIF. TAPI KAKI BELUM BISA DITEKUK DAN KAYAKNYA ADA DROP FOOT JUGA. ADA NYERI, KAKU, NGILU, DAN MASIH BENGKAK.")</f>
        <v>6 MEI KEMARIN JATUH DARI MOTOR DAN MENGALAMI DISLOKASI DI KAKI KANAN (DEKAT ). SUDAH DIREPOSISI SECARA ALTERNATIF. TAPI KAKI BELUM BISA DITEKUK DAN KAYAKNYA ADA DROP FOOT JUGA. ADA NYERI, KAKU, NGILU, DAN MASIH BENGKAK.</v>
      </c>
      <c r="U422" s="16" t="str">
        <f>IFERROR(__xludf.DUMMYFUNCTION("""COMPUTED_VALUE"""),"MENGURUS RUMAH DAN BEKERJA. UDAH 1 BULAN INI ISTIRAHAT.")</f>
        <v>MENGURUS RUMAH DAN BEKERJA. UDAH 1 BULAN INI ISTIRAHAT.</v>
      </c>
      <c r="V422" s="11" t="str">
        <f>IFERROR(__xludf.DUMMYFUNCTION("""COMPUTED_VALUE"""),"81274132696")</f>
        <v>81274132696</v>
      </c>
      <c r="W422" s="15"/>
    </row>
    <row r="423" ht="22.5" customHeight="1">
      <c r="A423" s="8"/>
      <c r="B423" s="9">
        <f>IFERROR(__xludf.DUMMYFUNCTION("""COMPUTED_VALUE"""),45080.56659127315)</f>
        <v>45080.56659</v>
      </c>
      <c r="C423" s="9"/>
      <c r="D423" s="10">
        <f>IFERROR(__xludf.DUMMYFUNCTION("""COMPUTED_VALUE"""),45083.0)</f>
        <v>45083</v>
      </c>
      <c r="E423" s="10" t="str">
        <f>IFERROR(__xludf.DUMMYFUNCTION("""COMPUTED_VALUE"""),"06Jun")</f>
        <v>06Jun</v>
      </c>
      <c r="F423" s="10" t="str">
        <f>IFERROR(__xludf.DUMMYFUNCTION("""COMPUTED_VALUE"""),"2023")</f>
        <v>2023</v>
      </c>
      <c r="G423" s="16" t="str">
        <f>IFERROR(__xludf.DUMMYFUNCTION("""COMPUTED_VALUE"""),"IIS ARISBAYA")</f>
        <v>IIS ARISBAYA</v>
      </c>
      <c r="H423" s="17" t="str">
        <f>IFERROR(__xludf.DUMMYFUNCTION("""COMPUTED_VALUE"""),"I7023065388")</f>
        <v>I7023065388</v>
      </c>
      <c r="I423" s="17">
        <f>IFERROR(__xludf.DUMMYFUNCTION("""COMPUTED_VALUE"""),55.0)</f>
        <v>55</v>
      </c>
      <c r="J423" s="17" t="str">
        <f>IFERROR(__xludf.DUMMYFUNCTION("""COMPUTED_VALUE"""),"&gt; 44 tahun")</f>
        <v>&gt; 44 tahun</v>
      </c>
      <c r="K423" s="19">
        <f>IFERROR(__xludf.DUMMYFUNCTION("""COMPUTED_VALUE"""),25877.0)</f>
        <v>25877</v>
      </c>
      <c r="L423" s="19" t="str">
        <f>IFERROR(__xludf.DUMMYFUNCTION("""COMPUTED_VALUE"""),"PEREMPUAN")</f>
        <v>PEREMPUAN</v>
      </c>
      <c r="M423" s="16" t="str">
        <f>IFERROR(__xludf.DUMMYFUNCTION("""COMPUTED_VALUE"""),"DOAR SELATAN RT01 RW04 DESA LIANGJULANG KEC. KADIPATEN KAB.MAJALENGKA JAWA BARAT")</f>
        <v>DOAR SELATAN RT01 RW04 DESA LIANGJULANG KEC. KADIPATEN KAB.MAJALENGKA JAWA BARAT</v>
      </c>
      <c r="N423" s="16"/>
      <c r="O423" s="16"/>
      <c r="P423" s="16"/>
      <c r="Q423" s="16"/>
      <c r="R423" s="19" t="str">
        <f>IFERROR(__xludf.DUMMYFUNCTION("""COMPUTED_VALUE"""),"ISLAM")</f>
        <v>ISLAM</v>
      </c>
      <c r="S423" s="16" t="str">
        <f>IFERROR(__xludf.DUMMYFUNCTION("""COMPUTED_VALUE"""),"RUMAH TANGGA")</f>
        <v>RUMAH TANGGA</v>
      </c>
      <c r="T423" s="16" t="str">
        <f>IFERROR(__xludf.DUMMYFUNCTION("""COMPUTED_VALUE"""),"SAKIT PINGGANG")</f>
        <v>SAKIT PINGGANG</v>
      </c>
      <c r="U423" s="16" t="str">
        <f>IFERROR(__xludf.DUMMYFUNCTION("""COMPUTED_VALUE"""),"MENGURUS CUCU DAN RUMAH")</f>
        <v>MENGURUS CUCU DAN RUMAH</v>
      </c>
      <c r="V423" s="11" t="str">
        <f>IFERROR(__xludf.DUMMYFUNCTION("""COMPUTED_VALUE"""),"085223955388")</f>
        <v>085223955388</v>
      </c>
      <c r="W423" s="15"/>
    </row>
    <row r="424" ht="22.5" customHeight="1">
      <c r="A424" s="8"/>
      <c r="B424" s="9">
        <f>IFERROR(__xludf.DUMMYFUNCTION("""COMPUTED_VALUE"""),45080.60212045139)</f>
        <v>45080.60212</v>
      </c>
      <c r="C424" s="9"/>
      <c r="D424" s="34">
        <f>IFERROR(__xludf.DUMMYFUNCTION("""COMPUTED_VALUE"""),45083.0)</f>
        <v>45083</v>
      </c>
      <c r="E424" s="34" t="str">
        <f>IFERROR(__xludf.DUMMYFUNCTION("""COMPUTED_VALUE"""),"06Jun")</f>
        <v>06Jun</v>
      </c>
      <c r="F424" s="34" t="str">
        <f>IFERROR(__xludf.DUMMYFUNCTION("""COMPUTED_VALUE"""),"2023")</f>
        <v>2023</v>
      </c>
      <c r="G424" s="35" t="str">
        <f>IFERROR(__xludf.DUMMYFUNCTION("""COMPUTED_VALUE"""),"NOPILIUS SALIM")</f>
        <v>NOPILIUS SALIM</v>
      </c>
      <c r="H424" s="17" t="str">
        <f>IFERROR(__xludf.DUMMYFUNCTION("""COMPUTED_VALUE"""),"N9323064777")</f>
        <v>N9323064777</v>
      </c>
      <c r="I424" s="17">
        <f>IFERROR(__xludf.DUMMYFUNCTION("""COMPUTED_VALUE"""),32.0)</f>
        <v>32</v>
      </c>
      <c r="J424" s="17" t="str">
        <f>IFERROR(__xludf.DUMMYFUNCTION("""COMPUTED_VALUE"""),"25-34 tahun")</f>
        <v>25-34 tahun</v>
      </c>
      <c r="K424" s="19">
        <f>IFERROR(__xludf.DUMMYFUNCTION("""COMPUTED_VALUE"""),34296.0)</f>
        <v>34296</v>
      </c>
      <c r="L424" s="19" t="str">
        <f>IFERROR(__xludf.DUMMYFUNCTION("""COMPUTED_VALUE"""),"LAKI-LAKI")</f>
        <v>LAKI-LAKI</v>
      </c>
      <c r="M424" s="35" t="str">
        <f>IFERROR(__xludf.DUMMYFUNCTION("""COMPUTED_VALUE"""),"JL. PURNAMA GG. KELUARGA KOMP. FAMILY RESIDENCE NO. B1")</f>
        <v>JL. PURNAMA GG. KELUARGA KOMP. FAMILY RESIDENCE NO. B1</v>
      </c>
      <c r="N424" s="35"/>
      <c r="O424" s="35"/>
      <c r="P424" s="16"/>
      <c r="Q424" s="16"/>
      <c r="R424" s="19" t="str">
        <f>IFERROR(__xludf.DUMMYFUNCTION("""COMPUTED_VALUE"""),"KATOLIK")</f>
        <v>KATOLIK</v>
      </c>
      <c r="S424" s="16" t="str">
        <f>IFERROR(__xludf.DUMMYFUNCTION("""COMPUTED_VALUE"""),"SWASTA")</f>
        <v>SWASTA</v>
      </c>
      <c r="T424" s="16" t="str">
        <f>IFERROR(__xludf.DUMMYFUNCTION("""COMPUTED_VALUE"""),"LOWER BACK")</f>
        <v>LOWER BACK</v>
      </c>
      <c r="U424" s="16" t="str">
        <f>IFERROR(__xludf.DUMMYFUNCTION("""COMPUTED_VALUE"""),"GYM")</f>
        <v>GYM</v>
      </c>
      <c r="V424" s="11" t="str">
        <f>IFERROR(__xludf.DUMMYFUNCTION("""COMPUTED_VALUE"""),"081348064777")</f>
        <v>081348064777</v>
      </c>
      <c r="W424" s="15"/>
    </row>
    <row r="425" ht="22.5" customHeight="1">
      <c r="A425" s="8"/>
      <c r="B425" s="9">
        <f>IFERROR(__xludf.DUMMYFUNCTION("""COMPUTED_VALUE"""),45080.674333229166)</f>
        <v>45080.67433</v>
      </c>
      <c r="C425" s="9"/>
      <c r="D425" s="10">
        <f>IFERROR(__xludf.DUMMYFUNCTION("""COMPUTED_VALUE"""),45084.0)</f>
        <v>45084</v>
      </c>
      <c r="E425" s="10" t="str">
        <f>IFERROR(__xludf.DUMMYFUNCTION("""COMPUTED_VALUE"""),"06Jun")</f>
        <v>06Jun</v>
      </c>
      <c r="F425" s="10" t="str">
        <f>IFERROR(__xludf.DUMMYFUNCTION("""COMPUTED_VALUE"""),"2023")</f>
        <v>2023</v>
      </c>
      <c r="G425" s="16" t="str">
        <f>IFERROR(__xludf.DUMMYFUNCTION("""COMPUTED_VALUE"""),"I MADE TEJA SUTRESNA")</f>
        <v>I MADE TEJA SUTRESNA</v>
      </c>
      <c r="H425" s="17" t="str">
        <f>IFERROR(__xludf.DUMMYFUNCTION("""COMPUTED_VALUE"""),"I8923069521")</f>
        <v>I8923069521</v>
      </c>
      <c r="I425" s="17">
        <f>IFERROR(__xludf.DUMMYFUNCTION("""COMPUTED_VALUE"""),37.0)</f>
        <v>37</v>
      </c>
      <c r="J425" s="17" t="str">
        <f>IFERROR(__xludf.DUMMYFUNCTION("""COMPUTED_VALUE"""),"35-44 tahun")</f>
        <v>35-44 tahun</v>
      </c>
      <c r="K425" s="19">
        <f>IFERROR(__xludf.DUMMYFUNCTION("""COMPUTED_VALUE"""),32574.0)</f>
        <v>32574</v>
      </c>
      <c r="L425" s="19" t="str">
        <f>IFERROR(__xludf.DUMMYFUNCTION("""COMPUTED_VALUE"""),"LAKI-LAKI")</f>
        <v>LAKI-LAKI</v>
      </c>
      <c r="M425" s="16" t="str">
        <f>IFERROR(__xludf.DUMMYFUNCTION("""COMPUTED_VALUE"""),"JL. UJUNG PANDANG GG. NUANSA NO. 11")</f>
        <v>JL. UJUNG PANDANG GG. NUANSA NO. 11</v>
      </c>
      <c r="N425" s="16"/>
      <c r="O425" s="16"/>
      <c r="P425" s="16"/>
      <c r="Q425" s="16"/>
      <c r="R425" s="19" t="str">
        <f>IFERROR(__xludf.DUMMYFUNCTION("""COMPUTED_VALUE"""),"ISLAM")</f>
        <v>ISLAM</v>
      </c>
      <c r="S425" s="16" t="str">
        <f>IFERROR(__xludf.DUMMYFUNCTION("""COMPUTED_VALUE"""),"BUMN")</f>
        <v>BUMN</v>
      </c>
      <c r="T425" s="16" t="str">
        <f>IFERROR(__xludf.DUMMYFUNCTION("""COMPUTED_VALUE"""),"NYERI SAAT BERLARI")</f>
        <v>NYERI SAAT BERLARI</v>
      </c>
      <c r="U425" s="16" t="str">
        <f>IFERROR(__xludf.DUMMYFUNCTION("""COMPUTED_VALUE"""),"-")</f>
        <v>-</v>
      </c>
      <c r="V425" s="21" t="str">
        <f>IFERROR(__xludf.DUMMYFUNCTION("""COMPUTED_VALUE"""),"081256839521")</f>
        <v>081256839521</v>
      </c>
      <c r="W425" s="22"/>
    </row>
    <row r="426" ht="22.5" customHeight="1">
      <c r="A426" s="8"/>
      <c r="B426" s="9">
        <f>IFERROR(__xludf.DUMMYFUNCTION("""COMPUTED_VALUE"""),45080.81050021991)</f>
        <v>45080.8105</v>
      </c>
      <c r="C426" s="9"/>
      <c r="D426" s="10">
        <f>IFERROR(__xludf.DUMMYFUNCTION("""COMPUTED_VALUE"""),45084.0)</f>
        <v>45084</v>
      </c>
      <c r="E426" s="10" t="str">
        <f>IFERROR(__xludf.DUMMYFUNCTION("""COMPUTED_VALUE"""),"06Jun")</f>
        <v>06Jun</v>
      </c>
      <c r="F426" s="10" t="str">
        <f>IFERROR(__xludf.DUMMYFUNCTION("""COMPUTED_VALUE"""),"2023")</f>
        <v>2023</v>
      </c>
      <c r="G426" s="16" t="str">
        <f>IFERROR(__xludf.DUMMYFUNCTION("""COMPUTED_VALUE"""),"LO HWA KUI")</f>
        <v>LO HWA KUI</v>
      </c>
      <c r="H426" s="17" t="str">
        <f>IFERROR(__xludf.DUMMYFUNCTION("""COMPUTED_VALUE"""),"L7923065510")</f>
        <v>L7923065510</v>
      </c>
      <c r="I426" s="17">
        <f>IFERROR(__xludf.DUMMYFUNCTION("""COMPUTED_VALUE"""),46.0)</f>
        <v>46</v>
      </c>
      <c r="J426" s="17" t="str">
        <f>IFERROR(__xludf.DUMMYFUNCTION("""COMPUTED_VALUE"""),"&gt; 44 tahun")</f>
        <v>&gt; 44 tahun</v>
      </c>
      <c r="K426" s="19">
        <f>IFERROR(__xludf.DUMMYFUNCTION("""COMPUTED_VALUE"""),29053.0)</f>
        <v>29053</v>
      </c>
      <c r="L426" s="19" t="str">
        <f>IFERROR(__xludf.DUMMYFUNCTION("""COMPUTED_VALUE"""),"LAKI-LAKI")</f>
        <v>LAKI-LAKI</v>
      </c>
      <c r="M426" s="16" t="str">
        <f>IFERROR(__xludf.DUMMYFUNCTION("""COMPUTED_VALUE"""),"JL. KEDAH NO. 5")</f>
        <v>JL. KEDAH NO. 5</v>
      </c>
      <c r="N426" s="16"/>
      <c r="O426" s="16"/>
      <c r="P426" s="16"/>
      <c r="Q426" s="16"/>
      <c r="R426" s="19" t="str">
        <f>IFERROR(__xludf.DUMMYFUNCTION("""COMPUTED_VALUE"""),"BUDDHA")</f>
        <v>BUDDHA</v>
      </c>
      <c r="S426" s="16" t="str">
        <f>IFERROR(__xludf.DUMMYFUNCTION("""COMPUTED_VALUE"""),"WIRASWASTA")</f>
        <v>WIRASWASTA</v>
      </c>
      <c r="T426" s="16" t="str">
        <f>IFERROR(__xludf.DUMMYFUNCTION("""COMPUTED_VALUE"""),"Syaraf kaki lemah / stroke ringan")</f>
        <v>Syaraf kaki lemah / stroke ringan</v>
      </c>
      <c r="U426" s="16" t="str">
        <f>IFERROR(__xludf.DUMMYFUNCTION("""COMPUTED_VALUE"""),"KERJA")</f>
        <v>KERJA</v>
      </c>
      <c r="V426" s="21" t="str">
        <f>IFERROR(__xludf.DUMMYFUNCTION("""COMPUTED_VALUE"""),"05245835510")</f>
        <v>05245835510</v>
      </c>
      <c r="W426" s="22"/>
    </row>
    <row r="427" ht="22.5" customHeight="1">
      <c r="A427" s="8"/>
      <c r="B427" s="9">
        <f>IFERROR(__xludf.DUMMYFUNCTION("""COMPUTED_VALUE"""),45080.81467627315)</f>
        <v>45080.81468</v>
      </c>
      <c r="C427" s="9"/>
      <c r="D427" s="10">
        <f>IFERROR(__xludf.DUMMYFUNCTION("""COMPUTED_VALUE"""),45084.0)</f>
        <v>45084</v>
      </c>
      <c r="E427" s="10" t="str">
        <f>IFERROR(__xludf.DUMMYFUNCTION("""COMPUTED_VALUE"""),"06Jun")</f>
        <v>06Jun</v>
      </c>
      <c r="F427" s="10" t="str">
        <f>IFERROR(__xludf.DUMMYFUNCTION("""COMPUTED_VALUE"""),"2023")</f>
        <v>2023</v>
      </c>
      <c r="G427" s="16" t="str">
        <f>IFERROR(__xludf.DUMMYFUNCTION("""COMPUTED_VALUE"""),"NASRANI")</f>
        <v>NASRANI</v>
      </c>
      <c r="H427" s="17" t="str">
        <f>IFERROR(__xludf.DUMMYFUNCTION("""COMPUTED_VALUE"""),"N8723062132")</f>
        <v>N8723062132</v>
      </c>
      <c r="I427" s="17">
        <f>IFERROR(__xludf.DUMMYFUNCTION("""COMPUTED_VALUE"""),38.0)</f>
        <v>38</v>
      </c>
      <c r="J427" s="17" t="str">
        <f>IFERROR(__xludf.DUMMYFUNCTION("""COMPUTED_VALUE"""),"35-44 tahun")</f>
        <v>35-44 tahun</v>
      </c>
      <c r="K427" s="19">
        <f>IFERROR(__xludf.DUMMYFUNCTION("""COMPUTED_VALUE"""),32104.0)</f>
        <v>32104</v>
      </c>
      <c r="L427" s="19" t="str">
        <f>IFERROR(__xludf.DUMMYFUNCTION("""COMPUTED_VALUE"""),"PEREMPUAN")</f>
        <v>PEREMPUAN</v>
      </c>
      <c r="M427" s="16" t="str">
        <f>IFERROR(__xludf.DUMMYFUNCTION("""COMPUTED_VALUE"""),"JL. DANAU SENTARUM GG. WOWNOSOBO PERUMAHAN ANUGERAH INDAH 3 C23")</f>
        <v>JL. DANAU SENTARUM GG. WOWNOSOBO PERUMAHAN ANUGERAH INDAH 3 C23</v>
      </c>
      <c r="N427" s="16"/>
      <c r="O427" s="16"/>
      <c r="P427" s="16"/>
      <c r="Q427" s="16"/>
      <c r="R427" s="19" t="str">
        <f>IFERROR(__xludf.DUMMYFUNCTION("""COMPUTED_VALUE"""),"BUDDHA")</f>
        <v>BUDDHA</v>
      </c>
      <c r="S427" s="16" t="str">
        <f>IFERROR(__xludf.DUMMYFUNCTION("""COMPUTED_VALUE"""),"RUMAH TANGGA")</f>
        <v>RUMAH TANGGA</v>
      </c>
      <c r="T427" s="16" t="str">
        <f>IFERROR(__xludf.DUMMYFUNCTION("""COMPUTED_VALUE"""),"SYARAF KEJEPIT")</f>
        <v>SYARAF KEJEPIT</v>
      </c>
      <c r="U427" s="16" t="str">
        <f>IFERROR(__xludf.DUMMYFUNCTION("""COMPUTED_VALUE"""),"MEMASAK")</f>
        <v>MEMASAK</v>
      </c>
      <c r="V427" s="21" t="str">
        <f>IFERROR(__xludf.DUMMYFUNCTION("""COMPUTED_VALUE"""),"082351462132")</f>
        <v>082351462132</v>
      </c>
      <c r="W427" s="22"/>
    </row>
    <row r="428" ht="22.5" customHeight="1">
      <c r="A428" s="8"/>
      <c r="B428" s="9">
        <f>IFERROR(__xludf.DUMMYFUNCTION("""COMPUTED_VALUE"""),45082.459016215274)</f>
        <v>45082.45902</v>
      </c>
      <c r="C428" s="9"/>
      <c r="D428" s="10">
        <f>IFERROR(__xludf.DUMMYFUNCTION("""COMPUTED_VALUE"""),45084.0)</f>
        <v>45084</v>
      </c>
      <c r="E428" s="10" t="str">
        <f>IFERROR(__xludf.DUMMYFUNCTION("""COMPUTED_VALUE"""),"06Jun")</f>
        <v>06Jun</v>
      </c>
      <c r="F428" s="10" t="str">
        <f>IFERROR(__xludf.DUMMYFUNCTION("""COMPUTED_VALUE"""),"2023")</f>
        <v>2023</v>
      </c>
      <c r="G428" s="16" t="str">
        <f>IFERROR(__xludf.DUMMYFUNCTION("""COMPUTED_VALUE"""),"FATIMAH M YUSUF")</f>
        <v>FATIMAH M YUSUF</v>
      </c>
      <c r="H428" s="17" t="str">
        <f>IFERROR(__xludf.DUMMYFUNCTION("""COMPUTED_VALUE"""),"F5023065308")</f>
        <v>F5023065308</v>
      </c>
      <c r="I428" s="17">
        <f>IFERROR(__xludf.DUMMYFUNCTION("""COMPUTED_VALUE"""),76.0)</f>
        <v>76</v>
      </c>
      <c r="J428" s="17" t="str">
        <f>IFERROR(__xludf.DUMMYFUNCTION("""COMPUTED_VALUE"""),"&gt; 44 tahun")</f>
        <v>&gt; 44 tahun</v>
      </c>
      <c r="K428" s="19">
        <f>IFERROR(__xludf.DUMMYFUNCTION("""COMPUTED_VALUE"""),18419.0)</f>
        <v>18419</v>
      </c>
      <c r="L428" s="19" t="str">
        <f>IFERROR(__xludf.DUMMYFUNCTION("""COMPUTED_VALUE"""),"PEREMPUAN")</f>
        <v>PEREMPUAN</v>
      </c>
      <c r="M428" s="16" t="str">
        <f>IFERROR(__xludf.DUMMYFUNCTION("""COMPUTED_VALUE"""),"JL. APEL KOMP. PEMDA D17 SUNGAI JAWI LUAR PONTIANAK")</f>
        <v>JL. APEL KOMP. PEMDA D17 SUNGAI JAWI LUAR PONTIANAK</v>
      </c>
      <c r="N428" s="16"/>
      <c r="O428" s="16"/>
      <c r="P428" s="16"/>
      <c r="Q428" s="16"/>
      <c r="R428" s="19" t="str">
        <f>IFERROR(__xludf.DUMMYFUNCTION("""COMPUTED_VALUE"""),"ISLAM")</f>
        <v>ISLAM</v>
      </c>
      <c r="S428" s="16" t="str">
        <f>IFERROR(__xludf.DUMMYFUNCTION("""COMPUTED_VALUE"""),"PENSIUN")</f>
        <v>PENSIUN</v>
      </c>
      <c r="T428" s="36" t="str">
        <f>IFERROR(__xludf.DUMMYFUNCTION("""COMPUTED_VALUE"""),"SAKIT PINGGANG")</f>
        <v>SAKIT PINGGANG</v>
      </c>
      <c r="U428" s="16" t="str">
        <f>IFERROR(__xludf.DUMMYFUNCTION("""COMPUTED_VALUE"""),"BERENANG")</f>
        <v>BERENANG</v>
      </c>
      <c r="V428" s="11" t="str">
        <f>IFERROR(__xludf.DUMMYFUNCTION("""COMPUTED_VALUE"""),"081255565308")</f>
        <v>081255565308</v>
      </c>
      <c r="W428" s="15"/>
    </row>
    <row r="429" ht="22.5" customHeight="1">
      <c r="A429" s="8"/>
      <c r="B429" s="9">
        <f>IFERROR(__xludf.DUMMYFUNCTION("""COMPUTED_VALUE"""),45080.770434872684)</f>
        <v>45080.77043</v>
      </c>
      <c r="C429" s="9"/>
      <c r="D429" s="10">
        <f>IFERROR(__xludf.DUMMYFUNCTION("""COMPUTED_VALUE"""),45084.0)</f>
        <v>45084</v>
      </c>
      <c r="E429" s="10" t="str">
        <f>IFERROR(__xludf.DUMMYFUNCTION("""COMPUTED_VALUE"""),"06Jun")</f>
        <v>06Jun</v>
      </c>
      <c r="F429" s="10" t="str">
        <f>IFERROR(__xludf.DUMMYFUNCTION("""COMPUTED_VALUE"""),"2023")</f>
        <v>2023</v>
      </c>
      <c r="G429" s="16" t="str">
        <f>IFERROR(__xludf.DUMMYFUNCTION("""COMPUTED_VALUE"""),"WELLY KENT SEN")</f>
        <v>WELLY KENT SEN</v>
      </c>
      <c r="H429" s="17" t="str">
        <f>IFERROR(__xludf.DUMMYFUNCTION("""COMPUTED_VALUE"""),"W9423067338")</f>
        <v>W9423067338</v>
      </c>
      <c r="I429" s="17">
        <f>IFERROR(__xludf.DUMMYFUNCTION("""COMPUTED_VALUE"""),31.0)</f>
        <v>31</v>
      </c>
      <c r="J429" s="17" t="str">
        <f>IFERROR(__xludf.DUMMYFUNCTION("""COMPUTED_VALUE"""),"25-34 tahun")</f>
        <v>25-34 tahun</v>
      </c>
      <c r="K429" s="19">
        <f>IFERROR(__xludf.DUMMYFUNCTION("""COMPUTED_VALUE"""),34516.0)</f>
        <v>34516</v>
      </c>
      <c r="L429" s="19" t="str">
        <f>IFERROR(__xludf.DUMMYFUNCTION("""COMPUTED_VALUE"""),"LAKI-LAKI")</f>
        <v>LAKI-LAKI</v>
      </c>
      <c r="M429" s="16" t="str">
        <f>IFERROR(__xludf.DUMMYFUNCTION("""COMPUTED_VALUE"""),"JL. WR. SUPRATMAN GG. WARU 5 NO. 89")</f>
        <v>JL. WR. SUPRATMAN GG. WARU 5 NO. 89</v>
      </c>
      <c r="N429" s="16"/>
      <c r="O429" s="16"/>
      <c r="P429" s="16"/>
      <c r="Q429" s="16"/>
      <c r="R429" s="19" t="str">
        <f>IFERROR(__xludf.DUMMYFUNCTION("""COMPUTED_VALUE"""),"BUDDHA")</f>
        <v>BUDDHA</v>
      </c>
      <c r="S429" s="16" t="str">
        <f>IFERROR(__xludf.DUMMYFUNCTION("""COMPUTED_VALUE"""),"SALES")</f>
        <v>SALES</v>
      </c>
      <c r="T429" s="36" t="str">
        <f>IFERROR(__xludf.DUMMYFUNCTION("""COMPUTED_VALUE"""),"CEDERA KAKI KIRI &amp; PERGELANGAN TGN KANAN DIKARENAKAN TABRAKAN KENDARAAN BERMOTOR")</f>
        <v>CEDERA KAKI KIRI &amp; PERGELANGAN TGN KANAN DIKARENAKAN TABRAKAN KENDARAAN BERMOTOR</v>
      </c>
      <c r="U429" s="16" t="str">
        <f>IFERROR(__xludf.DUMMYFUNCTION("""COMPUTED_VALUE"""),"BADMINTON")</f>
        <v>BADMINTON</v>
      </c>
      <c r="V429" s="11" t="str">
        <f>IFERROR(__xludf.DUMMYFUNCTION("""COMPUTED_VALUE"""),"082251077338")</f>
        <v>082251077338</v>
      </c>
      <c r="W429" s="15"/>
    </row>
    <row r="430" ht="22.5" customHeight="1">
      <c r="A430" s="8"/>
      <c r="B430" s="9">
        <f>IFERROR(__xludf.DUMMYFUNCTION("""COMPUTED_VALUE"""),45082.597442893515)</f>
        <v>45082.59744</v>
      </c>
      <c r="C430" s="9"/>
      <c r="D430" s="10">
        <f>IFERROR(__xludf.DUMMYFUNCTION("""COMPUTED_VALUE"""),45085.0)</f>
        <v>45085</v>
      </c>
      <c r="E430" s="10" t="str">
        <f>IFERROR(__xludf.DUMMYFUNCTION("""COMPUTED_VALUE"""),"06Jun")</f>
        <v>06Jun</v>
      </c>
      <c r="F430" s="10" t="str">
        <f>IFERROR(__xludf.DUMMYFUNCTION("""COMPUTED_VALUE"""),"2023")</f>
        <v>2023</v>
      </c>
      <c r="G430" s="16" t="str">
        <f>IFERROR(__xludf.DUMMYFUNCTION("""COMPUTED_VALUE"""),"LIN FON DJUNG")</f>
        <v>LIN FON DJUNG</v>
      </c>
      <c r="H430" s="17" t="str">
        <f>IFERROR(__xludf.DUMMYFUNCTION("""COMPUTED_VALUE"""),"L5823062329")</f>
        <v>L5823062329</v>
      </c>
      <c r="I430" s="17">
        <f>IFERROR(__xludf.DUMMYFUNCTION("""COMPUTED_VALUE"""),67.0)</f>
        <v>67</v>
      </c>
      <c r="J430" s="17" t="str">
        <f>IFERROR(__xludf.DUMMYFUNCTION("""COMPUTED_VALUE"""),"&gt; 44 tahun")</f>
        <v>&gt; 44 tahun</v>
      </c>
      <c r="K430" s="19">
        <f>IFERROR(__xludf.DUMMYFUNCTION("""COMPUTED_VALUE"""),21399.0)</f>
        <v>21399</v>
      </c>
      <c r="L430" s="19" t="str">
        <f>IFERROR(__xludf.DUMMYFUNCTION("""COMPUTED_VALUE"""),"PEREMPUAN")</f>
        <v>PEREMPUAN</v>
      </c>
      <c r="M430" s="16" t="str">
        <f>IFERROR(__xludf.DUMMYFUNCTION("""COMPUTED_VALUE"""),"JL. HASANUDDIN NO. 97")</f>
        <v>JL. HASANUDDIN NO. 97</v>
      </c>
      <c r="N430" s="16"/>
      <c r="O430" s="16"/>
      <c r="P430" s="16"/>
      <c r="Q430" s="16"/>
      <c r="R430" s="19" t="str">
        <f>IFERROR(__xludf.DUMMYFUNCTION("""COMPUTED_VALUE"""),"BUDDHA")</f>
        <v>BUDDHA</v>
      </c>
      <c r="S430" s="16" t="str">
        <f>IFERROR(__xludf.DUMMYFUNCTION("""COMPUTED_VALUE"""),"WIRASWASTA")</f>
        <v>WIRASWASTA</v>
      </c>
      <c r="T430" s="16" t="str">
        <f>IFERROR(__xludf.DUMMYFUNCTION("""COMPUTED_VALUE"""),"KETIDAKNYAMANAN PADA KIRI DAN KANAN")</f>
        <v>KETIDAKNYAMANAN PADA KIRI DAN KANAN</v>
      </c>
      <c r="U430" s="16" t="str">
        <f>IFERROR(__xludf.DUMMYFUNCTION("""COMPUTED_VALUE"""),"JALAN PAGI DAN SEDIKIT YOGA")</f>
        <v>JALAN PAGI DAN SEDIKIT YOGA</v>
      </c>
      <c r="V430" s="21" t="str">
        <f>IFERROR(__xludf.DUMMYFUNCTION("""COMPUTED_VALUE"""),"0812562329")</f>
        <v>0812562329</v>
      </c>
      <c r="W430" s="22"/>
    </row>
    <row r="431" ht="22.5" customHeight="1">
      <c r="A431" s="8"/>
      <c r="B431" s="9">
        <f>IFERROR(__xludf.DUMMYFUNCTION("""COMPUTED_VALUE"""),45082.60668078704)</f>
        <v>45082.60668</v>
      </c>
      <c r="C431" s="9"/>
      <c r="D431" s="10">
        <f>IFERROR(__xludf.DUMMYFUNCTION("""COMPUTED_VALUE"""),45085.0)</f>
        <v>45085</v>
      </c>
      <c r="E431" s="10" t="str">
        <f>IFERROR(__xludf.DUMMYFUNCTION("""COMPUTED_VALUE"""),"06Jun")</f>
        <v>06Jun</v>
      </c>
      <c r="F431" s="10" t="str">
        <f>IFERROR(__xludf.DUMMYFUNCTION("""COMPUTED_VALUE"""),"2023")</f>
        <v>2023</v>
      </c>
      <c r="G431" s="16" t="str">
        <f>IFERROR(__xludf.DUMMYFUNCTION("""COMPUTED_VALUE"""),"ALFIN SIMANTIAR")</f>
        <v>ALFIN SIMANTIAR</v>
      </c>
      <c r="H431" s="17" t="str">
        <f>IFERROR(__xludf.DUMMYFUNCTION("""COMPUTED_VALUE"""),"A9323067821")</f>
        <v>A9323067821</v>
      </c>
      <c r="I431" s="17">
        <f>IFERROR(__xludf.DUMMYFUNCTION("""COMPUTED_VALUE"""),32.0)</f>
        <v>32</v>
      </c>
      <c r="J431" s="17" t="str">
        <f>IFERROR(__xludf.DUMMYFUNCTION("""COMPUTED_VALUE"""),"25-34 tahun")</f>
        <v>25-34 tahun</v>
      </c>
      <c r="K431" s="19">
        <f>IFERROR(__xludf.DUMMYFUNCTION("""COMPUTED_VALUE"""),34184.0)</f>
        <v>34184</v>
      </c>
      <c r="L431" s="19" t="str">
        <f>IFERROR(__xludf.DUMMYFUNCTION("""COMPUTED_VALUE"""),"LAKI-LAKI")</f>
        <v>LAKI-LAKI</v>
      </c>
      <c r="M431" s="16" t="str">
        <f>IFERROR(__xludf.DUMMYFUNCTION("""COMPUTED_VALUE"""),"JL. PURNAMA KOMP. GRIYA PURNAMA E1-2")</f>
        <v>JL. PURNAMA KOMP. GRIYA PURNAMA E1-2</v>
      </c>
      <c r="N431" s="16"/>
      <c r="O431" s="16"/>
      <c r="P431" s="16"/>
      <c r="Q431" s="16"/>
      <c r="R431" s="19" t="str">
        <f>IFERROR(__xludf.DUMMYFUNCTION("""COMPUTED_VALUE"""),"KHONGHUCU")</f>
        <v>KHONGHUCU</v>
      </c>
      <c r="S431" s="16" t="str">
        <f>IFERROR(__xludf.DUMMYFUNCTION("""COMPUTED_VALUE"""),"WIRASWASTA")</f>
        <v>WIRASWASTA</v>
      </c>
      <c r="T431" s="16" t="str">
        <f>IFERROR(__xludf.DUMMYFUNCTION("""COMPUTED_VALUE"""),"TULANG BELAKANG SAKIT")</f>
        <v>TULANG BELAKANG SAKIT</v>
      </c>
      <c r="U431" s="16" t="str">
        <f>IFERROR(__xludf.DUMMYFUNCTION("""COMPUTED_VALUE"""),"BEKERJA")</f>
        <v>BEKERJA</v>
      </c>
      <c r="V431" s="21" t="str">
        <f>IFERROR(__xludf.DUMMYFUNCTION("""COMPUTED_VALUE"""),"081528927821")</f>
        <v>081528927821</v>
      </c>
      <c r="W431" s="22"/>
    </row>
    <row r="432" ht="22.5" customHeight="1">
      <c r="A432" s="8"/>
      <c r="B432" s="9">
        <f>IFERROR(__xludf.DUMMYFUNCTION("""COMPUTED_VALUE"""),45082.82178462963)</f>
        <v>45082.82178</v>
      </c>
      <c r="C432" s="9"/>
      <c r="D432" s="10">
        <f>IFERROR(__xludf.DUMMYFUNCTION("""COMPUTED_VALUE"""),45085.0)</f>
        <v>45085</v>
      </c>
      <c r="E432" s="10" t="str">
        <f>IFERROR(__xludf.DUMMYFUNCTION("""COMPUTED_VALUE"""),"06Jun")</f>
        <v>06Jun</v>
      </c>
      <c r="F432" s="10" t="str">
        <f>IFERROR(__xludf.DUMMYFUNCTION("""COMPUTED_VALUE"""),"2023")</f>
        <v>2023</v>
      </c>
      <c r="G432" s="16" t="str">
        <f>IFERROR(__xludf.DUMMYFUNCTION("""COMPUTED_VALUE"""),"MUHAMMAD AGUNG ZULFI")</f>
        <v>MUHAMMAD AGUNG ZULFI</v>
      </c>
      <c r="H432" s="17" t="str">
        <f>IFERROR(__xludf.DUMMYFUNCTION("""COMPUTED_VALUE"""),"M9023060146")</f>
        <v>M9023060146</v>
      </c>
      <c r="I432" s="17">
        <f>IFERROR(__xludf.DUMMYFUNCTION("""COMPUTED_VALUE"""),36.0)</f>
        <v>36</v>
      </c>
      <c r="J432" s="17" t="str">
        <f>IFERROR(__xludf.DUMMYFUNCTION("""COMPUTED_VALUE"""),"35-44 tahun")</f>
        <v>35-44 tahun</v>
      </c>
      <c r="K432" s="19">
        <f>IFERROR(__xludf.DUMMYFUNCTION("""COMPUTED_VALUE"""),33037.0)</f>
        <v>33037</v>
      </c>
      <c r="L432" s="19" t="str">
        <f>IFERROR(__xludf.DUMMYFUNCTION("""COMPUTED_VALUE"""),"LAKI-LAKI")</f>
        <v>LAKI-LAKI</v>
      </c>
      <c r="M432" s="16" t="str">
        <f>IFERROR(__xludf.DUMMYFUNCTION("""COMPUTED_VALUE"""),"JL. UJUNG PANDANG KOMP. AMPERA LESTARI RESIDENCE NO. B15")</f>
        <v>JL. UJUNG PANDANG KOMP. AMPERA LESTARI RESIDENCE NO. B15</v>
      </c>
      <c r="N432" s="16"/>
      <c r="O432" s="16"/>
      <c r="P432" s="16"/>
      <c r="Q432" s="16"/>
      <c r="R432" s="19" t="str">
        <f>IFERROR(__xludf.DUMMYFUNCTION("""COMPUTED_VALUE"""),"ISLAM")</f>
        <v>ISLAM</v>
      </c>
      <c r="S432" s="16" t="str">
        <f>IFERROR(__xludf.DUMMYFUNCTION("""COMPUTED_VALUE"""),"SWASTA")</f>
        <v>SWASTA</v>
      </c>
      <c r="T432" s="16" t="str">
        <f>IFERROR(__xludf.DUMMYFUNCTION("""COMPUTED_VALUE"""),"BETIS KERASA KETARIK")</f>
        <v>BETIS KERASA KETARIK</v>
      </c>
      <c r="U432" s="16" t="str">
        <f>IFERROR(__xludf.DUMMYFUNCTION("""COMPUTED_VALUE"""),"LARI")</f>
        <v>LARI</v>
      </c>
      <c r="V432" s="11" t="str">
        <f>IFERROR(__xludf.DUMMYFUNCTION("""COMPUTED_VALUE"""),"0816220146")</f>
        <v>0816220146</v>
      </c>
      <c r="W432" s="15"/>
    </row>
    <row r="433" ht="22.5" customHeight="1">
      <c r="A433" s="8"/>
      <c r="B433" s="9">
        <f>IFERROR(__xludf.DUMMYFUNCTION("""COMPUTED_VALUE"""),45083.49053740741)</f>
        <v>45083.49054</v>
      </c>
      <c r="C433" s="9"/>
      <c r="D433" s="10">
        <f>IFERROR(__xludf.DUMMYFUNCTION("""COMPUTED_VALUE"""),45087.0)</f>
        <v>45087</v>
      </c>
      <c r="E433" s="10" t="str">
        <f>IFERROR(__xludf.DUMMYFUNCTION("""COMPUTED_VALUE"""),"06Jun")</f>
        <v>06Jun</v>
      </c>
      <c r="F433" s="10" t="str">
        <f>IFERROR(__xludf.DUMMYFUNCTION("""COMPUTED_VALUE"""),"2023")</f>
        <v>2023</v>
      </c>
      <c r="G433" s="16" t="str">
        <f>IFERROR(__xludf.DUMMYFUNCTION("""COMPUTED_VALUE"""),"DIAH SANTI")</f>
        <v>DIAH SANTI</v>
      </c>
      <c r="H433" s="17" t="str">
        <f>IFERROR(__xludf.DUMMYFUNCTION("""COMPUTED_VALUE"""),"D6323060292")</f>
        <v>D6323060292</v>
      </c>
      <c r="I433" s="17">
        <f>IFERROR(__xludf.DUMMYFUNCTION("""COMPUTED_VALUE"""),63.0)</f>
        <v>63</v>
      </c>
      <c r="J433" s="17" t="str">
        <f>IFERROR(__xludf.DUMMYFUNCTION("""COMPUTED_VALUE"""),"&gt; 44 tahun")</f>
        <v>&gt; 44 tahun</v>
      </c>
      <c r="K433" s="19">
        <f>IFERROR(__xludf.DUMMYFUNCTION("""COMPUTED_VALUE"""),23085.0)</f>
        <v>23085</v>
      </c>
      <c r="L433" s="19" t="str">
        <f>IFERROR(__xludf.DUMMYFUNCTION("""COMPUTED_VALUE"""),"PEREMPUAN")</f>
        <v>PEREMPUAN</v>
      </c>
      <c r="M433" s="36" t="str">
        <f>IFERROR(__xludf.DUMMYFUNCTION("""COMPUTED_VALUE"""),"JL. SULTAN SYAHRIR GG. RAESARI 2 NO. 5")</f>
        <v>JL. SULTAN SYAHRIR GG. RAESARI 2 NO. 5</v>
      </c>
      <c r="N433" s="36"/>
      <c r="O433" s="36"/>
      <c r="P433" s="36"/>
      <c r="Q433" s="36"/>
      <c r="R433" s="19" t="str">
        <f>IFERROR(__xludf.DUMMYFUNCTION("""COMPUTED_VALUE"""),"ISLAM")</f>
        <v>ISLAM</v>
      </c>
      <c r="S433" s="16" t="str">
        <f>IFERROR(__xludf.DUMMYFUNCTION("""COMPUTED_VALUE"""),"PENSIUN")</f>
        <v>PENSIUN</v>
      </c>
      <c r="T433" s="16" t="str">
        <f>IFERROR(__xludf.DUMMYFUNCTION("""COMPUTED_VALUE"""),"BAHU")</f>
        <v>BAHU</v>
      </c>
      <c r="U433" s="16" t="str">
        <f>IFERROR(__xludf.DUMMYFUNCTION("""COMPUTED_VALUE"""),"-")</f>
        <v>-</v>
      </c>
      <c r="V433" s="11" t="str">
        <f>IFERROR(__xludf.DUMMYFUNCTION("""COMPUTED_VALUE"""),"081345220292")</f>
        <v>081345220292</v>
      </c>
      <c r="W433" s="15"/>
    </row>
    <row r="434" ht="22.5" customHeight="1">
      <c r="A434" s="8"/>
      <c r="B434" s="9">
        <f>IFERROR(__xludf.DUMMYFUNCTION("""COMPUTED_VALUE"""),45083.71575496528)</f>
        <v>45083.71575</v>
      </c>
      <c r="C434" s="9"/>
      <c r="D434" s="10">
        <f>IFERROR(__xludf.DUMMYFUNCTION("""COMPUTED_VALUE"""),45087.0)</f>
        <v>45087</v>
      </c>
      <c r="E434" s="10" t="str">
        <f>IFERROR(__xludf.DUMMYFUNCTION("""COMPUTED_VALUE"""),"06Jun")</f>
        <v>06Jun</v>
      </c>
      <c r="F434" s="10" t="str">
        <f>IFERROR(__xludf.DUMMYFUNCTION("""COMPUTED_VALUE"""),"2023")</f>
        <v>2023</v>
      </c>
      <c r="G434" s="16" t="str">
        <f>IFERROR(__xludf.DUMMYFUNCTION("""COMPUTED_VALUE"""),"RYALDI")</f>
        <v>RYALDI</v>
      </c>
      <c r="H434" s="17" t="str">
        <f>IFERROR(__xludf.DUMMYFUNCTION("""COMPUTED_VALUE"""),"R9623068078")</f>
        <v>R9623068078</v>
      </c>
      <c r="I434" s="17">
        <f>IFERROR(__xludf.DUMMYFUNCTION("""COMPUTED_VALUE"""),29.0)</f>
        <v>29</v>
      </c>
      <c r="J434" s="17" t="str">
        <f>IFERROR(__xludf.DUMMYFUNCTION("""COMPUTED_VALUE"""),"25-34 tahun")</f>
        <v>25-34 tahun</v>
      </c>
      <c r="K434" s="19">
        <f>IFERROR(__xludf.DUMMYFUNCTION("""COMPUTED_VALUE"""),35258.0)</f>
        <v>35258</v>
      </c>
      <c r="L434" s="19" t="str">
        <f>IFERROR(__xludf.DUMMYFUNCTION("""COMPUTED_VALUE"""),"LAKI-LAKI")</f>
        <v>LAKI-LAKI</v>
      </c>
      <c r="M434" s="16" t="str">
        <f>IFERROR(__xludf.DUMMYFUNCTION("""COMPUTED_VALUE"""),"JL. ADI SUCIPTO GG. TELADAN NO. 09")</f>
        <v>JL. ADI SUCIPTO GG. TELADAN NO. 09</v>
      </c>
      <c r="N434" s="16"/>
      <c r="O434" s="16"/>
      <c r="P434" s="16"/>
      <c r="Q434" s="16"/>
      <c r="R434" s="19" t="str">
        <f>IFERROR(__xludf.DUMMYFUNCTION("""COMPUTED_VALUE"""),"ISLAM")</f>
        <v>ISLAM</v>
      </c>
      <c r="S434" s="16" t="str">
        <f>IFERROR(__xludf.DUMMYFUNCTION("""COMPUTED_VALUE"""),"SWASTA")</f>
        <v>SWASTA</v>
      </c>
      <c r="T434" s="16" t="str">
        <f>IFERROR(__xludf.DUMMYFUNCTION("""COMPUTED_VALUE"""),"PINGGUL DAN SELANGKANGAN NYERI, RUANG GERAK TERBATAS")</f>
        <v>PINGGUL DAN SELANGKANGAN NYERI, RUANG GERAK TERBATAS</v>
      </c>
      <c r="U434" s="16" t="str">
        <f>IFERROR(__xludf.DUMMYFUNCTION("""COMPUTED_VALUE"""),"NONTON")</f>
        <v>NONTON</v>
      </c>
      <c r="V434" s="11" t="str">
        <f>IFERROR(__xludf.DUMMYFUNCTION("""COMPUTED_VALUE"""),"0887436498078")</f>
        <v>0887436498078</v>
      </c>
      <c r="W434" s="15"/>
    </row>
    <row r="435" ht="22.5" customHeight="1">
      <c r="A435" s="8"/>
      <c r="B435" s="9">
        <f>IFERROR(__xludf.DUMMYFUNCTION("""COMPUTED_VALUE"""),45084.65331538195)</f>
        <v>45084.65332</v>
      </c>
      <c r="C435" s="9"/>
      <c r="D435" s="10">
        <f>IFERROR(__xludf.DUMMYFUNCTION("""COMPUTED_VALUE"""),45087.0)</f>
        <v>45087</v>
      </c>
      <c r="E435" s="10" t="str">
        <f>IFERROR(__xludf.DUMMYFUNCTION("""COMPUTED_VALUE"""),"06Jun")</f>
        <v>06Jun</v>
      </c>
      <c r="F435" s="10" t="str">
        <f>IFERROR(__xludf.DUMMYFUNCTION("""COMPUTED_VALUE"""),"2023")</f>
        <v>2023</v>
      </c>
      <c r="G435" s="16" t="str">
        <f>IFERROR(__xludf.DUMMYFUNCTION("""COMPUTED_VALUE"""),"RIZKA MAYA SALSABILA")</f>
        <v>RIZKA MAYA SALSABILA</v>
      </c>
      <c r="H435" s="17" t="str">
        <f>IFERROR(__xludf.DUMMYFUNCTION("""COMPUTED_VALUE"""),"R0023064561")</f>
        <v>R0023064561</v>
      </c>
      <c r="I435" s="17">
        <f>IFERROR(__xludf.DUMMYFUNCTION("""COMPUTED_VALUE"""),26.0)</f>
        <v>26</v>
      </c>
      <c r="J435" s="17" t="str">
        <f>IFERROR(__xludf.DUMMYFUNCTION("""COMPUTED_VALUE"""),"25-34 tahun")</f>
        <v>25-34 tahun</v>
      </c>
      <c r="K435" s="19">
        <f>IFERROR(__xludf.DUMMYFUNCTION("""COMPUTED_VALUE"""),36651.0)</f>
        <v>36651</v>
      </c>
      <c r="L435" s="19" t="str">
        <f>IFERROR(__xludf.DUMMYFUNCTION("""COMPUTED_VALUE"""),"PEREMPUAN")</f>
        <v>PEREMPUAN</v>
      </c>
      <c r="M435" s="16" t="str">
        <f>IFERROR(__xludf.DUMMYFUNCTION("""COMPUTED_VALUE"""),"JL. VETERAN GANG SYUKUR 6 NO. 3")</f>
        <v>JL. VETERAN GANG SYUKUR 6 NO. 3</v>
      </c>
      <c r="N435" s="16"/>
      <c r="O435" s="16"/>
      <c r="P435" s="16"/>
      <c r="Q435" s="16"/>
      <c r="R435" s="19" t="str">
        <f>IFERROR(__xludf.DUMMYFUNCTION("""COMPUTED_VALUE"""),"ISLAM")</f>
        <v>ISLAM</v>
      </c>
      <c r="S435" s="16" t="str">
        <f>IFERROR(__xludf.DUMMYFUNCTION("""COMPUTED_VALUE"""),"PELAJAR/MAHASISWA")</f>
        <v>PELAJAR/MAHASISWA</v>
      </c>
      <c r="T435" s="16" t="str">
        <f>IFERROR(__xludf.DUMMYFUNCTION("""COMPUTED_VALUE"""),"BENGKAK BAGIAN")</f>
        <v>BENGKAK BAGIAN</v>
      </c>
      <c r="U435" s="16" t="str">
        <f>IFERROR(__xludf.DUMMYFUNCTION("""COMPUTED_VALUE"""),"OLAHRAGA")</f>
        <v>OLAHRAGA</v>
      </c>
      <c r="V435" s="11" t="str">
        <f>IFERROR(__xludf.DUMMYFUNCTION("""COMPUTED_VALUE"""),"087811124561")</f>
        <v>087811124561</v>
      </c>
      <c r="W435" s="15"/>
    </row>
    <row r="436" ht="22.5" customHeight="1">
      <c r="A436" s="8"/>
      <c r="B436" s="9">
        <f>IFERROR(__xludf.DUMMYFUNCTION("""COMPUTED_VALUE"""),45084.74496327546)</f>
        <v>45084.74496</v>
      </c>
      <c r="C436" s="9"/>
      <c r="D436" s="10">
        <f>IFERROR(__xludf.DUMMYFUNCTION("""COMPUTED_VALUE"""),45087.0)</f>
        <v>45087</v>
      </c>
      <c r="E436" s="10" t="str">
        <f>IFERROR(__xludf.DUMMYFUNCTION("""COMPUTED_VALUE"""),"06Jun")</f>
        <v>06Jun</v>
      </c>
      <c r="F436" s="10" t="str">
        <f>IFERROR(__xludf.DUMMYFUNCTION("""COMPUTED_VALUE"""),"2023")</f>
        <v>2023</v>
      </c>
      <c r="G436" s="16" t="str">
        <f>IFERROR(__xludf.DUMMYFUNCTION("""COMPUTED_VALUE"""),"ENCEP AHMAD BAHTIAR")</f>
        <v>ENCEP AHMAD BAHTIAR</v>
      </c>
      <c r="H436" s="17" t="str">
        <f>IFERROR(__xludf.DUMMYFUNCTION("""COMPUTED_VALUE"""),"E7823069993")</f>
        <v>E7823069993</v>
      </c>
      <c r="I436" s="17">
        <f>IFERROR(__xludf.DUMMYFUNCTION("""COMPUTED_VALUE"""),47.0)</f>
        <v>47</v>
      </c>
      <c r="J436" s="17" t="str">
        <f>IFERROR(__xludf.DUMMYFUNCTION("""COMPUTED_VALUE"""),"&gt; 44 tahun")</f>
        <v>&gt; 44 tahun</v>
      </c>
      <c r="K436" s="19">
        <f>IFERROR(__xludf.DUMMYFUNCTION("""COMPUTED_VALUE"""),28776.0)</f>
        <v>28776</v>
      </c>
      <c r="L436" s="19" t="str">
        <f>IFERROR(__xludf.DUMMYFUNCTION("""COMPUTED_VALUE"""),"LAKI-LAKI")</f>
        <v>LAKI-LAKI</v>
      </c>
      <c r="M436" s="16" t="str">
        <f>IFERROR(__xludf.DUMMYFUNCTION("""COMPUTED_VALUE"""),"GG. SILVA JAYA KOMP. GREEN SILVA 3 BLOK D NO. 2")</f>
        <v>GG. SILVA JAYA KOMP. GREEN SILVA 3 BLOK D NO. 2</v>
      </c>
      <c r="N436" s="16"/>
      <c r="O436" s="16"/>
      <c r="P436" s="16"/>
      <c r="Q436" s="16"/>
      <c r="R436" s="19" t="str">
        <f>IFERROR(__xludf.DUMMYFUNCTION("""COMPUTED_VALUE"""),"ISLAM")</f>
        <v>ISLAM</v>
      </c>
      <c r="S436" s="16" t="str">
        <f>IFERROR(__xludf.DUMMYFUNCTION("""COMPUTED_VALUE"""),"SWASTA")</f>
        <v>SWASTA</v>
      </c>
      <c r="T436" s="16" t="str">
        <f>IFERROR(__xludf.DUMMYFUNCTION("""COMPUTED_VALUE"""),"OTOT PERUT DAN RUSUK SAKIT")</f>
        <v>OTOT PERUT DAN RUSUK SAKIT</v>
      </c>
      <c r="U436" s="16" t="str">
        <f>IFERROR(__xludf.DUMMYFUNCTION("""COMPUTED_VALUE"""),"OLAHRAGA")</f>
        <v>OLAHRAGA</v>
      </c>
      <c r="V436" s="11" t="str">
        <f>IFERROR(__xludf.DUMMYFUNCTION("""COMPUTED_VALUE"""),"081352349993")</f>
        <v>081352349993</v>
      </c>
      <c r="W436" s="15"/>
    </row>
    <row r="437" ht="22.5" customHeight="1">
      <c r="A437" s="8"/>
      <c r="B437" s="9">
        <f>IFERROR(__xludf.DUMMYFUNCTION("""COMPUTED_VALUE"""),45085.47024697917)</f>
        <v>45085.47025</v>
      </c>
      <c r="C437" s="9"/>
      <c r="D437" s="10">
        <f>IFERROR(__xludf.DUMMYFUNCTION("""COMPUTED_VALUE"""),45087.0)</f>
        <v>45087</v>
      </c>
      <c r="E437" s="10" t="str">
        <f>IFERROR(__xludf.DUMMYFUNCTION("""COMPUTED_VALUE"""),"06Jun")</f>
        <v>06Jun</v>
      </c>
      <c r="F437" s="10" t="str">
        <f>IFERROR(__xludf.DUMMYFUNCTION("""COMPUTED_VALUE"""),"2023")</f>
        <v>2023</v>
      </c>
      <c r="G437" s="16" t="str">
        <f>IFERROR(__xludf.DUMMYFUNCTION("""COMPUTED_VALUE"""),"FREDY TRISNANDI")</f>
        <v>FREDY TRISNANDI</v>
      </c>
      <c r="H437" s="17" t="str">
        <f>IFERROR(__xludf.DUMMYFUNCTION("""COMPUTED_VALUE"""),"F8823066948")</f>
        <v>F8823066948</v>
      </c>
      <c r="I437" s="17">
        <f>IFERROR(__xludf.DUMMYFUNCTION("""COMPUTED_VALUE"""),37.0)</f>
        <v>37</v>
      </c>
      <c r="J437" s="17" t="str">
        <f>IFERROR(__xludf.DUMMYFUNCTION("""COMPUTED_VALUE"""),"35-44 tahun")</f>
        <v>35-44 tahun</v>
      </c>
      <c r="K437" s="19">
        <f>IFERROR(__xludf.DUMMYFUNCTION("""COMPUTED_VALUE"""),32319.0)</f>
        <v>32319</v>
      </c>
      <c r="L437" s="19" t="str">
        <f>IFERROR(__xludf.DUMMYFUNCTION("""COMPUTED_VALUE"""),"LAKI-LAKI")</f>
        <v>LAKI-LAKI</v>
      </c>
      <c r="M437" s="16" t="str">
        <f>IFERROR(__xludf.DUMMYFUNCTION("""COMPUTED_VALUE"""),"KOMPLEK DIRGANTARA 4 NO 34 LANUD SUPADIO")</f>
        <v>KOMPLEK DIRGANTARA 4 NO 34 LANUD SUPADIO</v>
      </c>
      <c r="N437" s="16"/>
      <c r="O437" s="16"/>
      <c r="P437" s="16"/>
      <c r="Q437" s="16"/>
      <c r="R437" s="19" t="str">
        <f>IFERROR(__xludf.DUMMYFUNCTION("""COMPUTED_VALUE"""),"ISLAM")</f>
        <v>ISLAM</v>
      </c>
      <c r="S437" s="16" t="str">
        <f>IFERROR(__xludf.DUMMYFUNCTION("""COMPUTED_VALUE"""),"TNI/POLRI")</f>
        <v>TNI/POLRI</v>
      </c>
      <c r="T437" s="16" t="str">
        <f>IFERROR(__xludf.DUMMYFUNCTION("""COMPUTED_VALUE"""),"PASCA OPERASI PCL + MENISCUS TAMBAHAN LESI NERVUS")</f>
        <v>PASCA OPERASI PCL + MENISCUS TAMBAHAN LESI NERVUS</v>
      </c>
      <c r="U437" s="16" t="str">
        <f>IFERROR(__xludf.DUMMYFUNCTION("""COMPUTED_VALUE"""),"SPORT")</f>
        <v>SPORT</v>
      </c>
      <c r="V437" s="11" t="str">
        <f>IFERROR(__xludf.DUMMYFUNCTION("""COMPUTED_VALUE"""),"089673786948")</f>
        <v>089673786948</v>
      </c>
      <c r="W437" s="15"/>
    </row>
    <row r="438" ht="22.5" customHeight="1">
      <c r="A438" s="8"/>
      <c r="B438" s="9">
        <f>IFERROR(__xludf.DUMMYFUNCTION("""COMPUTED_VALUE"""),45087.384069224536)</f>
        <v>45087.38407</v>
      </c>
      <c r="C438" s="9"/>
      <c r="D438" s="10">
        <f>IFERROR(__xludf.DUMMYFUNCTION("""COMPUTED_VALUE"""),45087.0)</f>
        <v>45087</v>
      </c>
      <c r="E438" s="10" t="str">
        <f>IFERROR(__xludf.DUMMYFUNCTION("""COMPUTED_VALUE"""),"06Jun")</f>
        <v>06Jun</v>
      </c>
      <c r="F438" s="10" t="str">
        <f>IFERROR(__xludf.DUMMYFUNCTION("""COMPUTED_VALUE"""),"2023")</f>
        <v>2023</v>
      </c>
      <c r="G438" s="16" t="str">
        <f>IFERROR(__xludf.DUMMYFUNCTION("""COMPUTED_VALUE"""),"ALDI RANDY RUDO")</f>
        <v>ALDI RANDY RUDO</v>
      </c>
      <c r="H438" s="17" t="str">
        <f>IFERROR(__xludf.DUMMYFUNCTION("""COMPUTED_VALUE"""),"A9223062020")</f>
        <v>A9223062020</v>
      </c>
      <c r="I438" s="17">
        <f>IFERROR(__xludf.DUMMYFUNCTION("""COMPUTED_VALUE"""),34.0)</f>
        <v>34</v>
      </c>
      <c r="J438" s="17" t="str">
        <f>IFERROR(__xludf.DUMMYFUNCTION("""COMPUTED_VALUE"""),"25-34 tahun")</f>
        <v>25-34 tahun</v>
      </c>
      <c r="K438" s="19">
        <f>IFERROR(__xludf.DUMMYFUNCTION("""COMPUTED_VALUE"""),33643.0)</f>
        <v>33643</v>
      </c>
      <c r="L438" s="19" t="str">
        <f>IFERROR(__xludf.DUMMYFUNCTION("""COMPUTED_VALUE"""),"LAKI-LAKI")</f>
        <v>LAKI-LAKI</v>
      </c>
      <c r="M438" s="16" t="str">
        <f>IFERROR(__xludf.DUMMYFUNCTION("""COMPUTED_VALUE"""),"JL. PERDANA KOMP. BALI AGUNG 2 BLOK F1")</f>
        <v>JL. PERDANA KOMP. BALI AGUNG 2 BLOK F1</v>
      </c>
      <c r="N438" s="16"/>
      <c r="O438" s="16"/>
      <c r="P438" s="16"/>
      <c r="Q438" s="16"/>
      <c r="R438" s="19" t="str">
        <f>IFERROR(__xludf.DUMMYFUNCTION("""COMPUTED_VALUE"""),"ISLAM")</f>
        <v>ISLAM</v>
      </c>
      <c r="S438" s="16" t="str">
        <f>IFERROR(__xludf.DUMMYFUNCTION("""COMPUTED_VALUE"""),"BUMD")</f>
        <v>BUMD</v>
      </c>
      <c r="T438" s="16" t="str">
        <f>IFERROR(__xludf.DUMMYFUNCTION("""COMPUTED_VALUE"""),"BELIKAT SAKIT NYERI")</f>
        <v>BELIKAT SAKIT NYERI</v>
      </c>
      <c r="U438" s="16" t="str">
        <f>IFERROR(__xludf.DUMMYFUNCTION("""COMPUTED_VALUE"""),"OLAHRAGA")</f>
        <v>OLAHRAGA</v>
      </c>
      <c r="V438" s="11" t="str">
        <f>IFERROR(__xludf.DUMMYFUNCTION("""COMPUTED_VALUE"""),"08115732020")</f>
        <v>08115732020</v>
      </c>
      <c r="W438" s="15"/>
    </row>
    <row r="439" ht="22.5" customHeight="1">
      <c r="A439" s="8"/>
      <c r="B439" s="9">
        <f>IFERROR(__xludf.DUMMYFUNCTION("""COMPUTED_VALUE"""),45087.39411479166)</f>
        <v>45087.39411</v>
      </c>
      <c r="C439" s="9"/>
      <c r="D439" s="10">
        <f>IFERROR(__xludf.DUMMYFUNCTION("""COMPUTED_VALUE"""),45087.0)</f>
        <v>45087</v>
      </c>
      <c r="E439" s="10" t="str">
        <f>IFERROR(__xludf.DUMMYFUNCTION("""COMPUTED_VALUE"""),"06Jun")</f>
        <v>06Jun</v>
      </c>
      <c r="F439" s="10" t="str">
        <f>IFERROR(__xludf.DUMMYFUNCTION("""COMPUTED_VALUE"""),"2023")</f>
        <v>2023</v>
      </c>
      <c r="G439" s="16" t="str">
        <f>IFERROR(__xludf.DUMMYFUNCTION("""COMPUTED_VALUE"""),"UTIN ZUBAIDAH")</f>
        <v>UTIN ZUBAIDAH</v>
      </c>
      <c r="H439" s="17" t="str">
        <f>IFERROR(__xludf.DUMMYFUNCTION("""COMPUTED_VALUE"""),"U4623065128")</f>
        <v>U4623065128</v>
      </c>
      <c r="I439" s="17">
        <f>IFERROR(__xludf.DUMMYFUNCTION("""COMPUTED_VALUE"""),80.0)</f>
        <v>80</v>
      </c>
      <c r="J439" s="17" t="str">
        <f>IFERROR(__xludf.DUMMYFUNCTION("""COMPUTED_VALUE"""),"&gt; 44 tahun")</f>
        <v>&gt; 44 tahun</v>
      </c>
      <c r="K439" s="19">
        <f>IFERROR(__xludf.DUMMYFUNCTION("""COMPUTED_VALUE"""),16959.0)</f>
        <v>16959</v>
      </c>
      <c r="L439" s="19" t="str">
        <f>IFERROR(__xludf.DUMMYFUNCTION("""COMPUTED_VALUE"""),"PEREMPUAN")</f>
        <v>PEREMPUAN</v>
      </c>
      <c r="M439" s="16" t="str">
        <f>IFERROR(__xludf.DUMMYFUNCTION("""COMPUTED_VALUE"""),"JL. PARIS 2 GG. DEMAK NO 5 PONTIANAK")</f>
        <v>JL. PARIS 2 GG. DEMAK NO 5 PONTIANAK</v>
      </c>
      <c r="N439" s="16"/>
      <c r="O439" s="16"/>
      <c r="P439" s="16"/>
      <c r="Q439" s="16"/>
      <c r="R439" s="19" t="str">
        <f>IFERROR(__xludf.DUMMYFUNCTION("""COMPUTED_VALUE"""),"ISLAM")</f>
        <v>ISLAM</v>
      </c>
      <c r="S439" s="16" t="str">
        <f>IFERROR(__xludf.DUMMYFUNCTION("""COMPUTED_VALUE"""),"RUMAH TANGGA")</f>
        <v>RUMAH TANGGA</v>
      </c>
      <c r="T439" s="36" t="str">
        <f>IFERROR(__xludf.DUMMYFUNCTION("""COMPUTED_VALUE"""),"SAKIT JIKA BERJALAN DI BAGIAN BOKONG SAMPAI KE KANAN")</f>
        <v>SAKIT JIKA BERJALAN DI BAGIAN BOKONG SAMPAI KE KANAN</v>
      </c>
      <c r="U439" s="16" t="str">
        <f>IFERROR(__xludf.DUMMYFUNCTION("""COMPUTED_VALUE"""),"NONTON TV")</f>
        <v>NONTON TV</v>
      </c>
      <c r="V439" s="11" t="str">
        <f>IFERROR(__xludf.DUMMYFUNCTION("""COMPUTED_VALUE"""),"087787495128")</f>
        <v>087787495128</v>
      </c>
      <c r="W439" s="15"/>
    </row>
    <row r="440" ht="22.5" customHeight="1">
      <c r="A440" s="8"/>
      <c r="B440" s="9">
        <f>IFERROR(__xludf.DUMMYFUNCTION("""COMPUTED_VALUE"""),45087.46160400463)</f>
        <v>45087.4616</v>
      </c>
      <c r="C440" s="9"/>
      <c r="D440" s="10">
        <f>IFERROR(__xludf.DUMMYFUNCTION("""COMPUTED_VALUE"""),45088.0)</f>
        <v>45088</v>
      </c>
      <c r="E440" s="10" t="str">
        <f>IFERROR(__xludf.DUMMYFUNCTION("""COMPUTED_VALUE"""),"06Jun")</f>
        <v>06Jun</v>
      </c>
      <c r="F440" s="10" t="str">
        <f>IFERROR(__xludf.DUMMYFUNCTION("""COMPUTED_VALUE"""),"2023")</f>
        <v>2023</v>
      </c>
      <c r="G440" s="16" t="str">
        <f>IFERROR(__xludf.DUMMYFUNCTION("""COMPUTED_VALUE"""),"SYARONI")</f>
        <v>SYARONI</v>
      </c>
      <c r="H440" s="17" t="str">
        <f>IFERROR(__xludf.DUMMYFUNCTION("""COMPUTED_VALUE"""),"S8023065758")</f>
        <v>S8023065758</v>
      </c>
      <c r="I440" s="17">
        <f>IFERROR(__xludf.DUMMYFUNCTION("""COMPUTED_VALUE"""),46.0)</f>
        <v>46</v>
      </c>
      <c r="J440" s="17" t="str">
        <f>IFERROR(__xludf.DUMMYFUNCTION("""COMPUTED_VALUE"""),"&gt; 44 tahun")</f>
        <v>&gt; 44 tahun</v>
      </c>
      <c r="K440" s="19">
        <f>IFERROR(__xludf.DUMMYFUNCTION("""COMPUTED_VALUE"""),29225.0)</f>
        <v>29225</v>
      </c>
      <c r="L440" s="19" t="str">
        <f>IFERROR(__xludf.DUMMYFUNCTION("""COMPUTED_VALUE"""),"LAKI-LAKI")</f>
        <v>LAKI-LAKI</v>
      </c>
      <c r="M440" s="16" t="str">
        <f>IFERROR(__xludf.DUMMYFUNCTION("""COMPUTED_VALUE"""),"Jl. H.M. SUWIGNYO. GG. PERMAI NO 40 PONTIANAK")</f>
        <v>Jl. H.M. SUWIGNYO. GG. PERMAI NO 40 PONTIANAK</v>
      </c>
      <c r="N440" s="16"/>
      <c r="O440" s="16"/>
      <c r="P440" s="16"/>
      <c r="Q440" s="16"/>
      <c r="R440" s="19" t="str">
        <f>IFERROR(__xludf.DUMMYFUNCTION("""COMPUTED_VALUE"""),"ISLAM")</f>
        <v>ISLAM</v>
      </c>
      <c r="S440" s="16" t="str">
        <f>IFERROR(__xludf.DUMMYFUNCTION("""COMPUTED_VALUE"""),"ASN")</f>
        <v>ASN</v>
      </c>
      <c r="T440" s="16" t="str">
        <f>IFERROR(__xludf.DUMMYFUNCTION("""COMPUTED_VALUE"""),"NYERI DI BAHU")</f>
        <v>NYERI DI BAHU</v>
      </c>
      <c r="U440" s="16" t="str">
        <f>IFERROR(__xludf.DUMMYFUNCTION("""COMPUTED_VALUE"""),"BEKERJA")</f>
        <v>BEKERJA</v>
      </c>
      <c r="V440" s="21" t="str">
        <f>IFERROR(__xludf.DUMMYFUNCTION("""COMPUTED_VALUE"""),"08115745758")</f>
        <v>08115745758</v>
      </c>
      <c r="W440" s="22"/>
    </row>
    <row r="441" ht="22.5" customHeight="1">
      <c r="A441" s="8"/>
      <c r="B441" s="9">
        <f>IFERROR(__xludf.DUMMYFUNCTION("""COMPUTED_VALUE"""),45087.483641886574)</f>
        <v>45087.48364</v>
      </c>
      <c r="C441" s="9"/>
      <c r="D441" s="10">
        <f>IFERROR(__xludf.DUMMYFUNCTION("""COMPUTED_VALUE"""),45088.0)</f>
        <v>45088</v>
      </c>
      <c r="E441" s="10" t="str">
        <f>IFERROR(__xludf.DUMMYFUNCTION("""COMPUTED_VALUE"""),"06Jun")</f>
        <v>06Jun</v>
      </c>
      <c r="F441" s="10" t="str">
        <f>IFERROR(__xludf.DUMMYFUNCTION("""COMPUTED_VALUE"""),"2023")</f>
        <v>2023</v>
      </c>
      <c r="G441" s="16" t="str">
        <f>IFERROR(__xludf.DUMMYFUNCTION("""COMPUTED_VALUE"""),"SUKMAWAN")</f>
        <v>SUKMAWAN</v>
      </c>
      <c r="H441" s="17" t="str">
        <f>IFERROR(__xludf.DUMMYFUNCTION("""COMPUTED_VALUE"""),"S8623067744")</f>
        <v>S8623067744</v>
      </c>
      <c r="I441" s="17">
        <f>IFERROR(__xludf.DUMMYFUNCTION("""COMPUTED_VALUE"""),40.0)</f>
        <v>40</v>
      </c>
      <c r="J441" s="17" t="str">
        <f>IFERROR(__xludf.DUMMYFUNCTION("""COMPUTED_VALUE"""),"35-44 tahun")</f>
        <v>35-44 tahun</v>
      </c>
      <c r="K441" s="19">
        <f>IFERROR(__xludf.DUMMYFUNCTION("""COMPUTED_VALUE"""),31470.0)</f>
        <v>31470</v>
      </c>
      <c r="L441" s="19" t="str">
        <f>IFERROR(__xludf.DUMMYFUNCTION("""COMPUTED_VALUE"""),"LAKI-LAKI")</f>
        <v>LAKI-LAKI</v>
      </c>
      <c r="M441" s="16" t="str">
        <f>IFERROR(__xludf.DUMMYFUNCTION("""COMPUTED_VALUE"""),"GRIYA SELAMA INDAH,DESA KALIAKIK KAB MELAWI")</f>
        <v>GRIYA SELAMA INDAH,DESA KALIAKIK KAB MELAWI</v>
      </c>
      <c r="N441" s="16"/>
      <c r="O441" s="16"/>
      <c r="P441" s="16"/>
      <c r="Q441" s="16"/>
      <c r="R441" s="19" t="str">
        <f>IFERROR(__xludf.DUMMYFUNCTION("""COMPUTED_VALUE"""),"ISLAM")</f>
        <v>ISLAM</v>
      </c>
      <c r="S441" s="16" t="str">
        <f>IFERROR(__xludf.DUMMYFUNCTION("""COMPUTED_VALUE"""),"SWASTA")</f>
        <v>SWASTA</v>
      </c>
      <c r="T441" s="16" t="str">
        <f>IFERROR(__xludf.DUMMYFUNCTION("""COMPUTED_VALUE"""),"NYERI BOKONG SAMPAI KE KAKI")</f>
        <v>NYERI BOKONG SAMPAI KE KAKI</v>
      </c>
      <c r="U441" s="16" t="str">
        <f>IFERROR(__xludf.DUMMYFUNCTION("""COMPUTED_VALUE"""),"TRAVELLING")</f>
        <v>TRAVELLING</v>
      </c>
      <c r="V441" s="11" t="str">
        <f>IFERROR(__xludf.DUMMYFUNCTION("""COMPUTED_VALUE"""),"085647017744")</f>
        <v>085647017744</v>
      </c>
      <c r="W441" s="15"/>
    </row>
    <row r="442" ht="22.5" customHeight="1">
      <c r="A442" s="8"/>
      <c r="B442" s="9">
        <f>IFERROR(__xludf.DUMMYFUNCTION("""COMPUTED_VALUE"""),45087.6323275926)</f>
        <v>45087.63233</v>
      </c>
      <c r="C442" s="9"/>
      <c r="D442" s="10">
        <f>IFERROR(__xludf.DUMMYFUNCTION("""COMPUTED_VALUE"""),45089.0)</f>
        <v>45089</v>
      </c>
      <c r="E442" s="10" t="str">
        <f>IFERROR(__xludf.DUMMYFUNCTION("""COMPUTED_VALUE"""),"06Jun")</f>
        <v>06Jun</v>
      </c>
      <c r="F442" s="10" t="str">
        <f>IFERROR(__xludf.DUMMYFUNCTION("""COMPUTED_VALUE"""),"2023")</f>
        <v>2023</v>
      </c>
      <c r="G442" s="16" t="str">
        <f>IFERROR(__xludf.DUMMYFUNCTION("""COMPUTED_VALUE"""),"AZZAH LUTFIA AFIFI")</f>
        <v>AZZAH LUTFIA AFIFI</v>
      </c>
      <c r="H442" s="17" t="str">
        <f>IFERROR(__xludf.DUMMYFUNCTION("""COMPUTED_VALUE"""),"A0523068956")</f>
        <v>A0523068956</v>
      </c>
      <c r="I442" s="17">
        <f>IFERROR(__xludf.DUMMYFUNCTION("""COMPUTED_VALUE"""),20.0)</f>
        <v>20</v>
      </c>
      <c r="J442" s="17" t="str">
        <f>IFERROR(__xludf.DUMMYFUNCTION("""COMPUTED_VALUE"""),"18-24 tahun")</f>
        <v>18-24 tahun</v>
      </c>
      <c r="K442" s="19">
        <f>IFERROR(__xludf.DUMMYFUNCTION("""COMPUTED_VALUE"""),38710.0)</f>
        <v>38710</v>
      </c>
      <c r="L442" s="19" t="str">
        <f>IFERROR(__xludf.DUMMYFUNCTION("""COMPUTED_VALUE"""),"PEREMPUAN")</f>
        <v>PEREMPUAN</v>
      </c>
      <c r="M442" s="16" t="str">
        <f>IFERROR(__xludf.DUMMYFUNCTION("""COMPUTED_VALUE"""),"NANGA SEMANGUT DUSUN PULAU PAGUN RT/RW 001/001 BUNUT HULU")</f>
        <v>NANGA SEMANGUT DUSUN PULAU PAGUN RT/RW 001/001 BUNUT HULU</v>
      </c>
      <c r="N442" s="16"/>
      <c r="O442" s="16"/>
      <c r="P442" s="16"/>
      <c r="Q442" s="16"/>
      <c r="R442" s="19" t="str">
        <f>IFERROR(__xludf.DUMMYFUNCTION("""COMPUTED_VALUE"""),"ISLAM")</f>
        <v>ISLAM</v>
      </c>
      <c r="S442" s="16" t="str">
        <f>IFERROR(__xludf.DUMMYFUNCTION("""COMPUTED_VALUE"""),"PELAJAR/MAHASISWA")</f>
        <v>PELAJAR/MAHASISWA</v>
      </c>
      <c r="T442" s="16" t="str">
        <f>IFERROR(__xludf.DUMMYFUNCTION("""COMPUTED_VALUE"""),"BENGKAK DAN MEMAR")</f>
        <v>BENGKAK DAN MEMAR</v>
      </c>
      <c r="U442" s="16" t="str">
        <f>IFERROR(__xludf.DUMMYFUNCTION("""COMPUTED_VALUE"""),"OLAHRAGA")</f>
        <v>OLAHRAGA</v>
      </c>
      <c r="V442" s="11" t="str">
        <f>IFERROR(__xludf.DUMMYFUNCTION("""COMPUTED_VALUE"""),"085828088956")</f>
        <v>085828088956</v>
      </c>
      <c r="W442" s="15"/>
    </row>
    <row r="443" ht="22.5" customHeight="1">
      <c r="A443" s="8"/>
      <c r="B443" s="9">
        <f>IFERROR(__xludf.DUMMYFUNCTION("""COMPUTED_VALUE"""),45087.820787199074)</f>
        <v>45087.82079</v>
      </c>
      <c r="C443" s="9"/>
      <c r="D443" s="10">
        <f>IFERROR(__xludf.DUMMYFUNCTION("""COMPUTED_VALUE"""),45089.0)</f>
        <v>45089</v>
      </c>
      <c r="E443" s="10" t="str">
        <f>IFERROR(__xludf.DUMMYFUNCTION("""COMPUTED_VALUE"""),"06Jun")</f>
        <v>06Jun</v>
      </c>
      <c r="F443" s="10" t="str">
        <f>IFERROR(__xludf.DUMMYFUNCTION("""COMPUTED_VALUE"""),"2023")</f>
        <v>2023</v>
      </c>
      <c r="G443" s="16" t="str">
        <f>IFERROR(__xludf.DUMMYFUNCTION("""COMPUTED_VALUE"""),"ADITYA PRAYOGI")</f>
        <v>ADITYA PRAYOGI</v>
      </c>
      <c r="H443" s="17" t="str">
        <f>IFERROR(__xludf.DUMMYFUNCTION("""COMPUTED_VALUE"""),"A9723063838")</f>
        <v>A9723063838</v>
      </c>
      <c r="I443" s="17">
        <f>IFERROR(__xludf.DUMMYFUNCTION("""COMPUTED_VALUE"""),29.0)</f>
        <v>29</v>
      </c>
      <c r="J443" s="17" t="str">
        <f>IFERROR(__xludf.DUMMYFUNCTION("""COMPUTED_VALUE"""),"25-34 tahun")</f>
        <v>25-34 tahun</v>
      </c>
      <c r="K443" s="19">
        <f>IFERROR(__xludf.DUMMYFUNCTION("""COMPUTED_VALUE"""),35568.0)</f>
        <v>35568</v>
      </c>
      <c r="L443" s="19" t="str">
        <f>IFERROR(__xludf.DUMMYFUNCTION("""COMPUTED_VALUE"""),"LAKI-LAKI")</f>
        <v>LAKI-LAKI</v>
      </c>
      <c r="M443" s="16" t="str">
        <f>IFERROR(__xludf.DUMMYFUNCTION("""COMPUTED_VALUE"""),"JLN.KH WAHID HASYIM")</f>
        <v>JLN.KH WAHID HASYIM</v>
      </c>
      <c r="N443" s="16"/>
      <c r="O443" s="16"/>
      <c r="P443" s="16"/>
      <c r="Q443" s="16"/>
      <c r="R443" s="19" t="str">
        <f>IFERROR(__xludf.DUMMYFUNCTION("""COMPUTED_VALUE"""),"ISLAM")</f>
        <v>ISLAM</v>
      </c>
      <c r="S443" s="16" t="str">
        <f>IFERROR(__xludf.DUMMYFUNCTION("""COMPUTED_VALUE"""),"PELAJAR/MAHASISWA")</f>
        <v>PELAJAR/MAHASISWA</v>
      </c>
      <c r="T443" s="16" t="str">
        <f>IFERROR(__xludf.DUMMYFUNCTION("""COMPUTED_VALUE"""),"SAKIT PINGGANG")</f>
        <v>SAKIT PINGGANG</v>
      </c>
      <c r="U443" s="16" t="str">
        <f>IFERROR(__xludf.DUMMYFUNCTION("""COMPUTED_VALUE"""),"GAMING")</f>
        <v>GAMING</v>
      </c>
      <c r="V443" s="21" t="str">
        <f>IFERROR(__xludf.DUMMYFUNCTION("""COMPUTED_VALUE"""),"089521873838")</f>
        <v>089521873838</v>
      </c>
      <c r="W443" s="22"/>
    </row>
    <row r="444" ht="22.5" customHeight="1">
      <c r="A444" s="8"/>
      <c r="B444" s="9">
        <f>IFERROR(__xludf.DUMMYFUNCTION("""COMPUTED_VALUE"""),45090.44561333333)</f>
        <v>45090.44561</v>
      </c>
      <c r="C444" s="9"/>
      <c r="D444" s="10">
        <f>IFERROR(__xludf.DUMMYFUNCTION("""COMPUTED_VALUE"""),45090.0)</f>
        <v>45090</v>
      </c>
      <c r="E444" s="10" t="str">
        <f>IFERROR(__xludf.DUMMYFUNCTION("""COMPUTED_VALUE"""),"06Jun")</f>
        <v>06Jun</v>
      </c>
      <c r="F444" s="10" t="str">
        <f>IFERROR(__xludf.DUMMYFUNCTION("""COMPUTED_VALUE"""),"2023")</f>
        <v>2023</v>
      </c>
      <c r="G444" s="16" t="str">
        <f>IFERROR(__xludf.DUMMYFUNCTION("""COMPUTED_VALUE"""),"VICHO ELEKSIUS DO VANTU")</f>
        <v>VICHO ELEKSIUS DO VANTU</v>
      </c>
      <c r="H444" s="17" t="str">
        <f>IFERROR(__xludf.DUMMYFUNCTION("""COMPUTED_VALUE"""),"V0523064606")</f>
        <v>V0523064606</v>
      </c>
      <c r="I444" s="17">
        <f>IFERROR(__xludf.DUMMYFUNCTION("""COMPUTED_VALUE"""),20.0)</f>
        <v>20</v>
      </c>
      <c r="J444" s="17" t="str">
        <f>IFERROR(__xludf.DUMMYFUNCTION("""COMPUTED_VALUE"""),"18-24 tahun")</f>
        <v>18-24 tahun</v>
      </c>
      <c r="K444" s="19">
        <f>IFERROR(__xludf.DUMMYFUNCTION("""COMPUTED_VALUE"""),38550.0)</f>
        <v>38550</v>
      </c>
      <c r="L444" s="19" t="str">
        <f>IFERROR(__xludf.DUMMYFUNCTION("""COMPUTED_VALUE"""),"LAKI-LAKI")</f>
        <v>LAKI-LAKI</v>
      </c>
      <c r="M444" s="16" t="str">
        <f>IFERROR(__xludf.DUMMYFUNCTION("""COMPUTED_VALUE"""),"DUSUN NGEDANG NO 18, NGABANG, LANDAK")</f>
        <v>DUSUN NGEDANG NO 18, NGABANG, LANDAK</v>
      </c>
      <c r="N444" s="16" t="str">
        <f>IFERROR(__xludf.DUMMYFUNCTION("""COMPUTED_VALUE"""),"TEBEDAK")</f>
        <v>TEBEDAK</v>
      </c>
      <c r="O444" s="16" t="str">
        <f>IFERROR(__xludf.DUMMYFUNCTION("""COMPUTED_VALUE"""),"NGABANG")</f>
        <v>NGABANG</v>
      </c>
      <c r="P444" s="16" t="str">
        <f>IFERROR(__xludf.DUMMYFUNCTION("""COMPUTED_VALUE"""),"KAB. LANDAK")</f>
        <v>KAB. LANDAK</v>
      </c>
      <c r="Q444" s="16" t="str">
        <f>IFERROR(__xludf.DUMMYFUNCTION("""COMPUTED_VALUE"""),"KALIMANTAN BARAT")</f>
        <v>KALIMANTAN BARAT</v>
      </c>
      <c r="R444" s="19" t="str">
        <f>IFERROR(__xludf.DUMMYFUNCTION("""COMPUTED_VALUE"""),"KATOLIK")</f>
        <v>KATOLIK</v>
      </c>
      <c r="S444" s="16" t="str">
        <f>IFERROR(__xludf.DUMMYFUNCTION("""COMPUTED_VALUE"""),"PELAJAR/MAHASISWA")</f>
        <v>PELAJAR/MAHASISWA</v>
      </c>
      <c r="T444" s="16" t="str">
        <f>IFERROR(__xludf.DUMMYFUNCTION("""COMPUTED_VALUE"""),"CIDERA LIGAMEN ROBEK")</f>
        <v>CIDERA LIGAMEN ROBEK</v>
      </c>
      <c r="U444" s="16" t="str">
        <f>IFERROR(__xludf.DUMMYFUNCTION("""COMPUTED_VALUE"""),"MAIN ALAT MUSIK, OLAHRAGA")</f>
        <v>MAIN ALAT MUSIK, OLAHRAGA</v>
      </c>
      <c r="V444" s="11" t="str">
        <f>IFERROR(__xludf.DUMMYFUNCTION("""COMPUTED_VALUE"""),"082256824606")</f>
        <v>082256824606</v>
      </c>
      <c r="W444" s="15"/>
    </row>
    <row r="445" ht="22.5" customHeight="1">
      <c r="A445" s="8"/>
      <c r="B445" s="9">
        <f>IFERROR(__xludf.DUMMYFUNCTION("""COMPUTED_VALUE"""),45088.50540958333)</f>
        <v>45088.50541</v>
      </c>
      <c r="C445" s="9"/>
      <c r="D445" s="10">
        <f>IFERROR(__xludf.DUMMYFUNCTION("""COMPUTED_VALUE"""),45090.0)</f>
        <v>45090</v>
      </c>
      <c r="E445" s="10" t="str">
        <f>IFERROR(__xludf.DUMMYFUNCTION("""COMPUTED_VALUE"""),"06Jun")</f>
        <v>06Jun</v>
      </c>
      <c r="F445" s="10" t="str">
        <f>IFERROR(__xludf.DUMMYFUNCTION("""COMPUTED_VALUE"""),"2023")</f>
        <v>2023</v>
      </c>
      <c r="G445" s="16" t="str">
        <f>IFERROR(__xludf.DUMMYFUNCTION("""COMPUTED_VALUE"""),"IPRAN SAYIT MATARAM")</f>
        <v>IPRAN SAYIT MATARAM</v>
      </c>
      <c r="H445" s="17" t="str">
        <f>IFERROR(__xludf.DUMMYFUNCTION("""COMPUTED_VALUE"""),"I9323065250")</f>
        <v>I9323065250</v>
      </c>
      <c r="I445" s="17">
        <f>IFERROR(__xludf.DUMMYFUNCTION("""COMPUTED_VALUE"""),33.0)</f>
        <v>33</v>
      </c>
      <c r="J445" s="17" t="str">
        <f>IFERROR(__xludf.DUMMYFUNCTION("""COMPUTED_VALUE"""),"25-34 tahun")</f>
        <v>25-34 tahun</v>
      </c>
      <c r="K445" s="19">
        <f>IFERROR(__xludf.DUMMYFUNCTION("""COMPUTED_VALUE"""),34018.0)</f>
        <v>34018</v>
      </c>
      <c r="L445" s="19" t="str">
        <f>IFERROR(__xludf.DUMMYFUNCTION("""COMPUTED_VALUE"""),"LAKI-LAKI")</f>
        <v>LAKI-LAKI</v>
      </c>
      <c r="M445" s="16" t="str">
        <f>IFERROR(__xludf.DUMMYFUNCTION("""COMPUTED_VALUE"""),"GAMBLOK RT 004 / RW 024 MERDIKOREJO TEMPEL SLEMAN YOGYAKARTA")</f>
        <v>GAMBLOK RT 004 / RW 024 MERDIKOREJO TEMPEL SLEMAN YOGYAKARTA</v>
      </c>
      <c r="N445" s="16"/>
      <c r="O445" s="16"/>
      <c r="P445" s="16"/>
      <c r="Q445" s="16"/>
      <c r="R445" s="19" t="str">
        <f>IFERROR(__xludf.DUMMYFUNCTION("""COMPUTED_VALUE"""),"ISLAM")</f>
        <v>ISLAM</v>
      </c>
      <c r="S445" s="16" t="str">
        <f>IFERROR(__xludf.DUMMYFUNCTION("""COMPUTED_VALUE"""),"TNI/POLRI")</f>
        <v>TNI/POLRI</v>
      </c>
      <c r="T445" s="36" t="str">
        <f>IFERROR(__xludf.DUMMYFUNCTION("""COMPUTED_VALUE"""),"POST RECONSTRUCTION ACL DEXTRA, LATERAL TENODESIS, MENISCUS LATERAL REPAIR, CARTILAGE DEFEK CONDYLUS MEDIAL FEMUR")</f>
        <v>POST RECONSTRUCTION ACL DEXTRA, LATERAL TENODESIS, MENISCUS LATERAL REPAIR, CARTILAGE DEFEK CONDYLUS MEDIAL FEMUR</v>
      </c>
      <c r="U445" s="16" t="str">
        <f>IFERROR(__xludf.DUMMYFUNCTION("""COMPUTED_VALUE"""),"SEPAK BOLA DAN FUTSAL")</f>
        <v>SEPAK BOLA DAN FUTSAL</v>
      </c>
      <c r="V445" s="11" t="str">
        <f>IFERROR(__xludf.DUMMYFUNCTION("""COMPUTED_VALUE"""),"083821145250")</f>
        <v>083821145250</v>
      </c>
      <c r="W445" s="15"/>
    </row>
    <row r="446" ht="22.5" customHeight="1">
      <c r="A446" s="8"/>
      <c r="B446" s="9">
        <f>IFERROR(__xludf.DUMMYFUNCTION("""COMPUTED_VALUE"""),45088.54832702546)</f>
        <v>45088.54833</v>
      </c>
      <c r="C446" s="9"/>
      <c r="D446" s="10">
        <f>IFERROR(__xludf.DUMMYFUNCTION("""COMPUTED_VALUE"""),45091.0)</f>
        <v>45091</v>
      </c>
      <c r="E446" s="10" t="str">
        <f>IFERROR(__xludf.DUMMYFUNCTION("""COMPUTED_VALUE"""),"06Jun")</f>
        <v>06Jun</v>
      </c>
      <c r="F446" s="10" t="str">
        <f>IFERROR(__xludf.DUMMYFUNCTION("""COMPUTED_VALUE"""),"2023")</f>
        <v>2023</v>
      </c>
      <c r="G446" s="16" t="str">
        <f>IFERROR(__xludf.DUMMYFUNCTION("""COMPUTED_VALUE"""),"FAIZAL HRH")</f>
        <v>FAIZAL HRH</v>
      </c>
      <c r="H446" s="17" t="str">
        <f>IFERROR(__xludf.DUMMYFUNCTION("""COMPUTED_VALUE"""),"F8923061386")</f>
        <v>F8923061386</v>
      </c>
      <c r="I446" s="17">
        <f>IFERROR(__xludf.DUMMYFUNCTION("""COMPUTED_VALUE"""),37.0)</f>
        <v>37</v>
      </c>
      <c r="J446" s="17" t="str">
        <f>IFERROR(__xludf.DUMMYFUNCTION("""COMPUTED_VALUE"""),"35-44 tahun")</f>
        <v>35-44 tahun</v>
      </c>
      <c r="K446" s="19">
        <f>IFERROR(__xludf.DUMMYFUNCTION("""COMPUTED_VALUE"""),32608.0)</f>
        <v>32608</v>
      </c>
      <c r="L446" s="19" t="str">
        <f>IFERROR(__xludf.DUMMYFUNCTION("""COMPUTED_VALUE"""),"LAKI-LAKI")</f>
        <v>LAKI-LAKI</v>
      </c>
      <c r="M446" s="16" t="str">
        <f>IFERROR(__xludf.DUMMYFUNCTION("""COMPUTED_VALUE"""),"SINGKAWANG")</f>
        <v>SINGKAWANG</v>
      </c>
      <c r="N446" s="16"/>
      <c r="O446" s="16"/>
      <c r="P446" s="16"/>
      <c r="Q446" s="16"/>
      <c r="R446" s="19" t="str">
        <f>IFERROR(__xludf.DUMMYFUNCTION("""COMPUTED_VALUE"""),"ISLAM")</f>
        <v>ISLAM</v>
      </c>
      <c r="S446" s="16" t="str">
        <f>IFERROR(__xludf.DUMMYFUNCTION("""COMPUTED_VALUE"""),"SWASTA")</f>
        <v>SWASTA</v>
      </c>
      <c r="T446" s="16" t="str">
        <f>IFERROR(__xludf.DUMMYFUNCTION("""COMPUTED_VALUE"""),"SAKIT KIRI")</f>
        <v>SAKIT KIRI</v>
      </c>
      <c r="U446" s="16" t="str">
        <f>IFERROR(__xludf.DUMMYFUNCTION("""COMPUTED_VALUE"""),"FUTSAL")</f>
        <v>FUTSAL</v>
      </c>
      <c r="V446" s="11" t="str">
        <f>IFERROR(__xludf.DUMMYFUNCTION("""COMPUTED_VALUE"""),"082213851386")</f>
        <v>082213851386</v>
      </c>
      <c r="W446" s="15"/>
    </row>
    <row r="447" ht="22.5" customHeight="1">
      <c r="A447" s="8"/>
      <c r="B447" s="9">
        <f>IFERROR(__xludf.DUMMYFUNCTION("""COMPUTED_VALUE"""),45088.63776802083)</f>
        <v>45088.63777</v>
      </c>
      <c r="C447" s="9"/>
      <c r="D447" s="10">
        <f>IFERROR(__xludf.DUMMYFUNCTION("""COMPUTED_VALUE"""),45092.0)</f>
        <v>45092</v>
      </c>
      <c r="E447" s="10" t="str">
        <f>IFERROR(__xludf.DUMMYFUNCTION("""COMPUTED_VALUE"""),"06Jun")</f>
        <v>06Jun</v>
      </c>
      <c r="F447" s="10" t="str">
        <f>IFERROR(__xludf.DUMMYFUNCTION("""COMPUTED_VALUE"""),"2023")</f>
        <v>2023</v>
      </c>
      <c r="G447" s="16" t="str">
        <f>IFERROR(__xludf.DUMMYFUNCTION("""COMPUTED_VALUE"""),"MUHAMMAD KENZO ZAIN")</f>
        <v>MUHAMMAD KENZO ZAIN</v>
      </c>
      <c r="H447" s="17" t="str">
        <f>IFERROR(__xludf.DUMMYFUNCTION("""COMPUTED_VALUE"""),"M1123069542")</f>
        <v>M1123069542</v>
      </c>
      <c r="I447" s="17">
        <f>IFERROR(__xludf.DUMMYFUNCTION("""COMPUTED_VALUE"""),14.0)</f>
        <v>14</v>
      </c>
      <c r="J447" s="17" t="str">
        <f>IFERROR(__xludf.DUMMYFUNCTION("""COMPUTED_VALUE"""),"&lt; 18 tahun")</f>
        <v>&lt; 18 tahun</v>
      </c>
      <c r="K447" s="19">
        <f>IFERROR(__xludf.DUMMYFUNCTION("""COMPUTED_VALUE"""),40851.0)</f>
        <v>40851</v>
      </c>
      <c r="L447" s="19" t="str">
        <f>IFERROR(__xludf.DUMMYFUNCTION("""COMPUTED_VALUE"""),"LAKI-LAKI")</f>
        <v>LAKI-LAKI</v>
      </c>
      <c r="M447" s="16" t="str">
        <f>IFERROR(__xludf.DUMMYFUNCTION("""COMPUTED_VALUE"""),"Jl. HM Suwignyo gg. Suka bangun no 6")</f>
        <v>Jl. HM Suwignyo gg. Suka bangun no 6</v>
      </c>
      <c r="N447" s="16"/>
      <c r="O447" s="16"/>
      <c r="P447" s="16"/>
      <c r="Q447" s="16"/>
      <c r="R447" s="19" t="str">
        <f>IFERROR(__xludf.DUMMYFUNCTION("""COMPUTED_VALUE"""),"ISLAM")</f>
        <v>ISLAM</v>
      </c>
      <c r="S447" s="16" t="str">
        <f>IFERROR(__xludf.DUMMYFUNCTION("""COMPUTED_VALUE"""),"PELAJAR/MAHASISWA")</f>
        <v>PELAJAR/MAHASISWA</v>
      </c>
      <c r="T447" s="16" t="str">
        <f>IFERROR(__xludf.DUMMYFUNCTION("""COMPUTED_VALUE"""),"TUMIT KANAN KIRI SAKIT (KIRI LEBIH KUAT SAKIT)")</f>
        <v>TUMIT KANAN KIRI SAKIT (KIRI LEBIH KUAT SAKIT)</v>
      </c>
      <c r="U447" s="16" t="str">
        <f>IFERROR(__xludf.DUMMYFUNCTION("""COMPUTED_VALUE"""),"BASKETBALL (KANCIL FAMILI ACADEMY) &amp;FUTSAL")</f>
        <v>BASKETBALL (KANCIL FAMILI ACADEMY) &amp;FUTSAL</v>
      </c>
      <c r="V447" s="11" t="str">
        <f>IFERROR(__xludf.DUMMYFUNCTION("""COMPUTED_VALUE"""),"089605389542")</f>
        <v>089605389542</v>
      </c>
      <c r="W447" s="15"/>
    </row>
    <row r="448" ht="22.5" customHeight="1">
      <c r="A448" s="8"/>
      <c r="B448" s="9">
        <f>IFERROR(__xludf.DUMMYFUNCTION("""COMPUTED_VALUE"""),45089.62496454861)</f>
        <v>45089.62496</v>
      </c>
      <c r="C448" s="9"/>
      <c r="D448" s="10">
        <f>IFERROR(__xludf.DUMMYFUNCTION("""COMPUTED_VALUE"""),45092.0)</f>
        <v>45092</v>
      </c>
      <c r="E448" s="10" t="str">
        <f>IFERROR(__xludf.DUMMYFUNCTION("""COMPUTED_VALUE"""),"06Jun")</f>
        <v>06Jun</v>
      </c>
      <c r="F448" s="10" t="str">
        <f>IFERROR(__xludf.DUMMYFUNCTION("""COMPUTED_VALUE"""),"2023")</f>
        <v>2023</v>
      </c>
      <c r="G448" s="16" t="str">
        <f>IFERROR(__xludf.DUMMYFUNCTION("""COMPUTED_VALUE"""),"WAHIDRIANTO")</f>
        <v>WAHIDRIANTO</v>
      </c>
      <c r="H448" s="17" t="str">
        <f>IFERROR(__xludf.DUMMYFUNCTION("""COMPUTED_VALUE"""),"W9023063336")</f>
        <v>W9023063336</v>
      </c>
      <c r="I448" s="17">
        <f>IFERROR(__xludf.DUMMYFUNCTION("""COMPUTED_VALUE"""),36.0)</f>
        <v>36</v>
      </c>
      <c r="J448" s="17" t="str">
        <f>IFERROR(__xludf.DUMMYFUNCTION("""COMPUTED_VALUE"""),"35-44 tahun")</f>
        <v>35-44 tahun</v>
      </c>
      <c r="K448" s="19">
        <f>IFERROR(__xludf.DUMMYFUNCTION("""COMPUTED_VALUE"""),32934.0)</f>
        <v>32934</v>
      </c>
      <c r="L448" s="19" t="str">
        <f>IFERROR(__xludf.DUMMYFUNCTION("""COMPUTED_VALUE"""),"LAKI-LAKI")</f>
        <v>LAKI-LAKI</v>
      </c>
      <c r="M448" s="36" t="str">
        <f>IFERROR(__xludf.DUMMYFUNCTION("""COMPUTED_VALUE"""),"Jl. H.R.A Rachman Gg. Kodrat No. 11a")</f>
        <v>Jl. H.R.A Rachman Gg. Kodrat No. 11a</v>
      </c>
      <c r="N448" s="36"/>
      <c r="O448" s="36"/>
      <c r="P448" s="36"/>
      <c r="Q448" s="36"/>
      <c r="R448" s="19" t="str">
        <f>IFERROR(__xludf.DUMMYFUNCTION("""COMPUTED_VALUE"""),"ISLAM")</f>
        <v>ISLAM</v>
      </c>
      <c r="S448" s="16" t="str">
        <f>IFERROR(__xludf.DUMMYFUNCTION("""COMPUTED_VALUE"""),"BUMD")</f>
        <v>BUMD</v>
      </c>
      <c r="T448" s="36" t="str">
        <f>IFERROR(__xludf.DUMMYFUNCTION("""COMPUTED_VALUE"""),"SAKIT PINGGANG")</f>
        <v>SAKIT PINGGANG</v>
      </c>
      <c r="U448" s="16" t="str">
        <f>IFERROR(__xludf.DUMMYFUNCTION("""COMPUTED_VALUE"""),"KERJA")</f>
        <v>KERJA</v>
      </c>
      <c r="V448" s="11" t="str">
        <f>IFERROR(__xludf.DUMMYFUNCTION("""COMPUTED_VALUE"""),"085822303336")</f>
        <v>085822303336</v>
      </c>
      <c r="W448" s="15"/>
    </row>
    <row r="449" ht="22.5" customHeight="1">
      <c r="A449" s="8"/>
      <c r="B449" s="9">
        <f>IFERROR(__xludf.DUMMYFUNCTION("""COMPUTED_VALUE"""),45089.63943920139)</f>
        <v>45089.63944</v>
      </c>
      <c r="C449" s="9"/>
      <c r="D449" s="10">
        <f>IFERROR(__xludf.DUMMYFUNCTION("""COMPUTED_VALUE"""),45094.0)</f>
        <v>45094</v>
      </c>
      <c r="E449" s="10" t="str">
        <f>IFERROR(__xludf.DUMMYFUNCTION("""COMPUTED_VALUE"""),"06Jun")</f>
        <v>06Jun</v>
      </c>
      <c r="F449" s="10" t="str">
        <f>IFERROR(__xludf.DUMMYFUNCTION("""COMPUTED_VALUE"""),"2023")</f>
        <v>2023</v>
      </c>
      <c r="G449" s="16" t="str">
        <f>IFERROR(__xludf.DUMMYFUNCTION("""COMPUTED_VALUE"""),"TIO JAU PHENG")</f>
        <v>TIO JAU PHENG</v>
      </c>
      <c r="H449" s="17" t="str">
        <f>IFERROR(__xludf.DUMMYFUNCTION("""COMPUTED_VALUE"""),"T4623066555")</f>
        <v>T4623066555</v>
      </c>
      <c r="I449" s="17">
        <f>IFERROR(__xludf.DUMMYFUNCTION("""COMPUTED_VALUE"""),79.0)</f>
        <v>79</v>
      </c>
      <c r="J449" s="17" t="str">
        <f>IFERROR(__xludf.DUMMYFUNCTION("""COMPUTED_VALUE"""),"&gt; 44 tahun")</f>
        <v>&gt; 44 tahun</v>
      </c>
      <c r="K449" s="19">
        <f>IFERROR(__xludf.DUMMYFUNCTION("""COMPUTED_VALUE"""),17047.0)</f>
        <v>17047</v>
      </c>
      <c r="L449" s="19" t="str">
        <f>IFERROR(__xludf.DUMMYFUNCTION("""COMPUTED_VALUE"""),"LAKI-LAKI")</f>
        <v>LAKI-LAKI</v>
      </c>
      <c r="M449" s="16" t="str">
        <f>IFERROR(__xludf.DUMMYFUNCTION("""COMPUTED_VALUE"""),"Purnama agung 4 no O 6")</f>
        <v>Purnama agung 4 no O 6</v>
      </c>
      <c r="N449" s="16"/>
      <c r="O449" s="16"/>
      <c r="P449" s="16"/>
      <c r="Q449" s="16"/>
      <c r="R449" s="19" t="str">
        <f>IFERROR(__xludf.DUMMYFUNCTION("""COMPUTED_VALUE"""),"KHONGHUCU")</f>
        <v>KHONGHUCU</v>
      </c>
      <c r="S449" s="16" t="str">
        <f>IFERROR(__xludf.DUMMYFUNCTION("""COMPUTED_VALUE"""),"PENSIUN")</f>
        <v>PENSIUN</v>
      </c>
      <c r="T449" s="16" t="str">
        <f>IFERROR(__xludf.DUMMYFUNCTION("""COMPUTED_VALUE"""),"Kedua kaki bagian betis sakit dan tidak ada tenaga")</f>
        <v>Kedua kaki bagian betis sakit dan tidak ada tenaga</v>
      </c>
      <c r="U449" s="16" t="str">
        <f>IFERROR(__xludf.DUMMYFUNCTION("""COMPUTED_VALUE"""),"TIDAK ADA")</f>
        <v>TIDAK ADA</v>
      </c>
      <c r="V449" s="11" t="str">
        <f>IFERROR(__xludf.DUMMYFUNCTION("""COMPUTED_VALUE"""),"081352256555")</f>
        <v>081352256555</v>
      </c>
      <c r="W449" s="15"/>
    </row>
    <row r="450" ht="22.5" customHeight="1">
      <c r="A450" s="8"/>
      <c r="B450" s="9">
        <f>IFERROR(__xludf.DUMMYFUNCTION("""COMPUTED_VALUE"""),45090.53302509259)</f>
        <v>45090.53303</v>
      </c>
      <c r="C450" s="9"/>
      <c r="D450" s="10">
        <f>IFERROR(__xludf.DUMMYFUNCTION("""COMPUTED_VALUE"""),45095.0)</f>
        <v>45095</v>
      </c>
      <c r="E450" s="10" t="str">
        <f>IFERROR(__xludf.DUMMYFUNCTION("""COMPUTED_VALUE"""),"06Jun")</f>
        <v>06Jun</v>
      </c>
      <c r="F450" s="10" t="str">
        <f>IFERROR(__xludf.DUMMYFUNCTION("""COMPUTED_VALUE"""),"2023")</f>
        <v>2023</v>
      </c>
      <c r="G450" s="16" t="str">
        <f>IFERROR(__xludf.DUMMYFUNCTION("""COMPUTED_VALUE"""),"R.M. KOKO MAFAZA YUGO")</f>
        <v>R.M. KOKO MAFAZA YUGO</v>
      </c>
      <c r="H450" s="17" t="str">
        <f>IFERROR(__xludf.DUMMYFUNCTION("""COMPUTED_VALUE"""),"R9923065389")</f>
        <v>R9923065389</v>
      </c>
      <c r="I450" s="17">
        <f>IFERROR(__xludf.DUMMYFUNCTION("""COMPUTED_VALUE"""),26.0)</f>
        <v>26</v>
      </c>
      <c r="J450" s="17" t="str">
        <f>IFERROR(__xludf.DUMMYFUNCTION("""COMPUTED_VALUE"""),"25-34 tahun")</f>
        <v>25-34 tahun</v>
      </c>
      <c r="K450" s="19">
        <f>IFERROR(__xludf.DUMMYFUNCTION("""COMPUTED_VALUE"""),36416.0)</f>
        <v>36416</v>
      </c>
      <c r="L450" s="19" t="str">
        <f>IFERROR(__xludf.DUMMYFUNCTION("""COMPUTED_VALUE"""),"LAKI-LAKI")</f>
        <v>LAKI-LAKI</v>
      </c>
      <c r="M450" s="36" t="str">
        <f>IFERROR(__xludf.DUMMYFUNCTION("""COMPUTED_VALUE"""),"Jl.p.h.husin 2 komplek pesona mutiara dewata")</f>
        <v>Jl.p.h.husin 2 komplek pesona mutiara dewata</v>
      </c>
      <c r="N450" s="36"/>
      <c r="O450" s="36"/>
      <c r="P450" s="36"/>
      <c r="Q450" s="36"/>
      <c r="R450" s="19" t="str">
        <f>IFERROR(__xludf.DUMMYFUNCTION("""COMPUTED_VALUE"""),"ISLAM")</f>
        <v>ISLAM</v>
      </c>
      <c r="S450" s="16" t="str">
        <f>IFERROR(__xludf.DUMMYFUNCTION("""COMPUTED_VALUE"""),"ASN")</f>
        <v>ASN</v>
      </c>
      <c r="T450" s="16" t="str">
        <f>IFERROR(__xludf.DUMMYFUNCTION("""COMPUTED_VALUE"""),"LOW BACK PAIN")</f>
        <v>LOW BACK PAIN</v>
      </c>
      <c r="U450" s="16" t="str">
        <f>IFERROR(__xludf.DUMMYFUNCTION("""COMPUTED_VALUE"""),"GYM 5X/MINGGU, FUTSAL 1/MINGGU")</f>
        <v>GYM 5X/MINGGU, FUTSAL 1/MINGGU</v>
      </c>
      <c r="V450" s="11" t="str">
        <f>IFERROR(__xludf.DUMMYFUNCTION("""COMPUTED_VALUE"""),"081387375389")</f>
        <v>081387375389</v>
      </c>
      <c r="W450" s="15"/>
    </row>
    <row r="451" ht="22.5" customHeight="1">
      <c r="A451" s="8"/>
      <c r="B451" s="9">
        <f>IFERROR(__xludf.DUMMYFUNCTION("""COMPUTED_VALUE"""),45092.720432511574)</f>
        <v>45092.72043</v>
      </c>
      <c r="C451" s="9"/>
      <c r="D451" s="10">
        <f>IFERROR(__xludf.DUMMYFUNCTION("""COMPUTED_VALUE"""),45095.0)</f>
        <v>45095</v>
      </c>
      <c r="E451" s="10" t="str">
        <f>IFERROR(__xludf.DUMMYFUNCTION("""COMPUTED_VALUE"""),"06Jun")</f>
        <v>06Jun</v>
      </c>
      <c r="F451" s="10" t="str">
        <f>IFERROR(__xludf.DUMMYFUNCTION("""COMPUTED_VALUE"""),"2023")</f>
        <v>2023</v>
      </c>
      <c r="G451" s="16" t="str">
        <f>IFERROR(__xludf.DUMMYFUNCTION("""COMPUTED_VALUE"""),"HENDRA EDISON")</f>
        <v>HENDRA EDISON</v>
      </c>
      <c r="H451" s="17" t="str">
        <f>IFERROR(__xludf.DUMMYFUNCTION("""COMPUTED_VALUE"""),"H0023065728")</f>
        <v>H0023065728</v>
      </c>
      <c r="I451" s="17">
        <f>IFERROR(__xludf.DUMMYFUNCTION("""COMPUTED_VALUE"""),25.0)</f>
        <v>25</v>
      </c>
      <c r="J451" s="17" t="str">
        <f>IFERROR(__xludf.DUMMYFUNCTION("""COMPUTED_VALUE"""),"25-34 tahun")</f>
        <v>25-34 tahun</v>
      </c>
      <c r="K451" s="19">
        <f>IFERROR(__xludf.DUMMYFUNCTION("""COMPUTED_VALUE"""),36841.0)</f>
        <v>36841</v>
      </c>
      <c r="L451" s="19" t="str">
        <f>IFERROR(__xludf.DUMMYFUNCTION("""COMPUTED_VALUE"""),"LAKI-LAKI")</f>
        <v>LAKI-LAKI</v>
      </c>
      <c r="M451" s="16" t="str">
        <f>IFERROR(__xludf.DUMMYFUNCTION("""COMPUTED_VALUE"""),"PERUM 2 GG. MATAN 6")</f>
        <v>PERUM 2 GG. MATAN 6</v>
      </c>
      <c r="N451" s="16"/>
      <c r="O451" s="16"/>
      <c r="P451" s="16"/>
      <c r="Q451" s="16"/>
      <c r="R451" s="19" t="str">
        <f>IFERROR(__xludf.DUMMYFUNCTION("""COMPUTED_VALUE"""),"KATOLIK")</f>
        <v>KATOLIK</v>
      </c>
      <c r="S451" s="16" t="str">
        <f>IFERROR(__xludf.DUMMYFUNCTION("""COMPUTED_VALUE"""),"SWASTA")</f>
        <v>SWASTA</v>
      </c>
      <c r="T451" s="16" t="str">
        <f>IFERROR(__xludf.DUMMYFUNCTION("""COMPUTED_VALUE"""),"SAKIT KEPALA")</f>
        <v>SAKIT KEPALA</v>
      </c>
      <c r="U451" s="16" t="str">
        <f>IFERROR(__xludf.DUMMYFUNCTION("""COMPUTED_VALUE"""),"BEKERJA DI DEPAN KOMPUTER DAN GYM")</f>
        <v>BEKERJA DI DEPAN KOMPUTER DAN GYM</v>
      </c>
      <c r="V451" s="11" t="str">
        <f>IFERROR(__xludf.DUMMYFUNCTION("""COMPUTED_VALUE"""),"089694005728")</f>
        <v>089694005728</v>
      </c>
      <c r="W451" s="15"/>
    </row>
    <row r="452" ht="22.5" customHeight="1">
      <c r="A452" s="8"/>
      <c r="B452" s="9">
        <f>IFERROR(__xludf.DUMMYFUNCTION("""COMPUTED_VALUE"""),45092.91848315972)</f>
        <v>45092.91848</v>
      </c>
      <c r="C452" s="9"/>
      <c r="D452" s="10">
        <f>IFERROR(__xludf.DUMMYFUNCTION("""COMPUTED_VALUE"""),45095.0)</f>
        <v>45095</v>
      </c>
      <c r="E452" s="10" t="str">
        <f>IFERROR(__xludf.DUMMYFUNCTION("""COMPUTED_VALUE"""),"06Jun")</f>
        <v>06Jun</v>
      </c>
      <c r="F452" s="10" t="str">
        <f>IFERROR(__xludf.DUMMYFUNCTION("""COMPUTED_VALUE"""),"2023")</f>
        <v>2023</v>
      </c>
      <c r="G452" s="16" t="str">
        <f>IFERROR(__xludf.DUMMYFUNCTION("""COMPUTED_VALUE"""),"SITI AISYAH")</f>
        <v>SITI AISYAH</v>
      </c>
      <c r="H452" s="17" t="str">
        <f>IFERROR(__xludf.DUMMYFUNCTION("""COMPUTED_VALUE"""),"S9823065220")</f>
        <v>S9823065220</v>
      </c>
      <c r="I452" s="17">
        <f>IFERROR(__xludf.DUMMYFUNCTION("""COMPUTED_VALUE"""),28.0)</f>
        <v>28</v>
      </c>
      <c r="J452" s="17" t="str">
        <f>IFERROR(__xludf.DUMMYFUNCTION("""COMPUTED_VALUE"""),"25-34 tahun")</f>
        <v>25-34 tahun</v>
      </c>
      <c r="K452" s="19">
        <f>IFERROR(__xludf.DUMMYFUNCTION("""COMPUTED_VALUE"""),35947.0)</f>
        <v>35947</v>
      </c>
      <c r="L452" s="19" t="str">
        <f>IFERROR(__xludf.DUMMYFUNCTION("""COMPUTED_VALUE"""),"PEREMPUAN")</f>
        <v>PEREMPUAN</v>
      </c>
      <c r="M452" s="16" t="str">
        <f>IFERROR(__xludf.DUMMYFUNCTION("""COMPUTED_VALUE"""),"DUSUN SUKA MAJU, RT/RW 004/002, DESA BATU BEGIGI, KECAMATAN TANAH PINOH, KABUPATEN MELAWI")</f>
        <v>DUSUN SUKA MAJU, RT/RW 004/002, DESA BATU BEGIGI, KECAMATAN TANAH PINOH, KABUPATEN MELAWI</v>
      </c>
      <c r="N452" s="16"/>
      <c r="O452" s="16"/>
      <c r="P452" s="16"/>
      <c r="Q452" s="16"/>
      <c r="R452" s="19" t="str">
        <f>IFERROR(__xludf.DUMMYFUNCTION("""COMPUTED_VALUE"""),"ISLAM")</f>
        <v>ISLAM</v>
      </c>
      <c r="S452" s="16" t="str">
        <f>IFERROR(__xludf.DUMMYFUNCTION("""COMPUTED_VALUE"""),"DOSEN/GURU")</f>
        <v>DOSEN/GURU</v>
      </c>
      <c r="T452" s="16" t="str">
        <f>IFERROR(__xludf.DUMMYFUNCTION("""COMPUTED_VALUE"""),"RETAK PADA DAN TULANG BERGESER")</f>
        <v>RETAK PADA DAN TULANG BERGESER</v>
      </c>
      <c r="U452" s="16" t="str">
        <f>IFERROR(__xludf.DUMMYFUNCTION("""COMPUTED_VALUE"""),"MENGAJAR")</f>
        <v>MENGAJAR</v>
      </c>
      <c r="V452" s="11" t="str">
        <f>IFERROR(__xludf.DUMMYFUNCTION("""COMPUTED_VALUE"""),"085386825220")</f>
        <v>085386825220</v>
      </c>
      <c r="W452" s="15"/>
    </row>
    <row r="453" ht="22.5" customHeight="1">
      <c r="A453" s="8"/>
      <c r="B453" s="9">
        <f>IFERROR(__xludf.DUMMYFUNCTION("""COMPUTED_VALUE"""),45094.449155486116)</f>
        <v>45094.44916</v>
      </c>
      <c r="C453" s="9"/>
      <c r="D453" s="10">
        <f>IFERROR(__xludf.DUMMYFUNCTION("""COMPUTED_VALUE"""),45095.0)</f>
        <v>45095</v>
      </c>
      <c r="E453" s="10" t="str">
        <f>IFERROR(__xludf.DUMMYFUNCTION("""COMPUTED_VALUE"""),"06Jun")</f>
        <v>06Jun</v>
      </c>
      <c r="F453" s="10" t="str">
        <f>IFERROR(__xludf.DUMMYFUNCTION("""COMPUTED_VALUE"""),"2023")</f>
        <v>2023</v>
      </c>
      <c r="G453" s="16" t="str">
        <f>IFERROR(__xludf.DUMMYFUNCTION("""COMPUTED_VALUE"""),"NADIA AYUNI PUTRI")</f>
        <v>NADIA AYUNI PUTRI</v>
      </c>
      <c r="H453" s="17" t="str">
        <f>IFERROR(__xludf.DUMMYFUNCTION("""COMPUTED_VALUE"""),"N9223062600")</f>
        <v>N9223062600</v>
      </c>
      <c r="I453" s="17">
        <f>IFERROR(__xludf.DUMMYFUNCTION("""COMPUTED_VALUE"""),34.0)</f>
        <v>34</v>
      </c>
      <c r="J453" s="17" t="str">
        <f>IFERROR(__xludf.DUMMYFUNCTION("""COMPUTED_VALUE"""),"25-34 tahun")</f>
        <v>25-34 tahun</v>
      </c>
      <c r="K453" s="19">
        <f>IFERROR(__xludf.DUMMYFUNCTION("""COMPUTED_VALUE"""),33758.0)</f>
        <v>33758</v>
      </c>
      <c r="L453" s="19" t="str">
        <f>IFERROR(__xludf.DUMMYFUNCTION("""COMPUTED_VALUE"""),"PEREMPUAN")</f>
        <v>PEREMPUAN</v>
      </c>
      <c r="M453" s="36" t="str">
        <f>IFERROR(__xludf.DUMMYFUNCTION("""COMPUTED_VALUE"""),"Jl. P. H. Husin 2 Komplek Pemda Jalur 1 No. 72 RT001 RW005 Kel. Bansir Darat Kec. Pontianak Tenggara 78124")</f>
        <v>Jl. P. H. Husin 2 Komplek Pemda Jalur 1 No. 72 RT001 RW005 Kel. Bansir Darat Kec. Pontianak Tenggara 78124</v>
      </c>
      <c r="N453" s="36" t="str">
        <f>IFERROR(__xludf.DUMMYFUNCTION("""COMPUTED_VALUE"""),"NYERI BAHU KANAN DAN KANAN")</f>
        <v>NYERI BAHU KANAN DAN KANAN</v>
      </c>
      <c r="O453" s="36"/>
      <c r="P453" s="36"/>
      <c r="Q453" s="36"/>
      <c r="R453" s="19" t="str">
        <f>IFERROR(__xludf.DUMMYFUNCTION("""COMPUTED_VALUE"""),"ISLAM")</f>
        <v>ISLAM</v>
      </c>
      <c r="S453" s="16" t="str">
        <f>IFERROR(__xludf.DUMMYFUNCTION("""COMPUTED_VALUE"""),"BUMD")</f>
        <v>BUMD</v>
      </c>
      <c r="T453" s="36"/>
      <c r="U453" s="16" t="str">
        <f>IFERROR(__xludf.DUMMYFUNCTION("""COMPUTED_VALUE"""),"OLAHRAGA")</f>
        <v>OLAHRAGA</v>
      </c>
      <c r="V453" s="11" t="str">
        <f>IFERROR(__xludf.DUMMYFUNCTION("""COMPUTED_VALUE"""),"082153782600")</f>
        <v>082153782600</v>
      </c>
      <c r="W453" s="15"/>
    </row>
    <row r="454" ht="22.5" customHeight="1">
      <c r="A454" s="8"/>
      <c r="B454" s="9">
        <f>IFERROR(__xludf.DUMMYFUNCTION("""COMPUTED_VALUE"""),45094.468288749995)</f>
        <v>45094.46829</v>
      </c>
      <c r="C454" s="9"/>
      <c r="D454" s="10">
        <f>IFERROR(__xludf.DUMMYFUNCTION("""COMPUTED_VALUE"""),45095.0)</f>
        <v>45095</v>
      </c>
      <c r="E454" s="10" t="str">
        <f>IFERROR(__xludf.DUMMYFUNCTION("""COMPUTED_VALUE"""),"06Jun")</f>
        <v>06Jun</v>
      </c>
      <c r="F454" s="10" t="str">
        <f>IFERROR(__xludf.DUMMYFUNCTION("""COMPUTED_VALUE"""),"2023")</f>
        <v>2023</v>
      </c>
      <c r="G454" s="16" t="str">
        <f>IFERROR(__xludf.DUMMYFUNCTION("""COMPUTED_VALUE"""),"GUSTI ALFI ANUGRAH")</f>
        <v>GUSTI ALFI ANUGRAH</v>
      </c>
      <c r="H454" s="17" t="str">
        <f>IFERROR(__xludf.DUMMYFUNCTION("""COMPUTED_VALUE"""),"G9923061404")</f>
        <v>G9923061404</v>
      </c>
      <c r="I454" s="17">
        <f>IFERROR(__xludf.DUMMYFUNCTION("""COMPUTED_VALUE"""),26.0)</f>
        <v>26</v>
      </c>
      <c r="J454" s="17" t="str">
        <f>IFERROR(__xludf.DUMMYFUNCTION("""COMPUTED_VALUE"""),"25-34 tahun")</f>
        <v>25-34 tahun</v>
      </c>
      <c r="K454" s="19">
        <f>IFERROR(__xludf.DUMMYFUNCTION("""COMPUTED_VALUE"""),36393.0)</f>
        <v>36393</v>
      </c>
      <c r="L454" s="19" t="str">
        <f>IFERROR(__xludf.DUMMYFUNCTION("""COMPUTED_VALUE"""),"LAKI-LAKI")</f>
        <v>LAKI-LAKI</v>
      </c>
      <c r="M454" s="36" t="str">
        <f>IFERROR(__xludf.DUMMYFUNCTION("""COMPUTED_VALUE"""),"JL. SUI RAYA DALAM")</f>
        <v>JL. SUI RAYA DALAM</v>
      </c>
      <c r="N454" s="36"/>
      <c r="O454" s="36"/>
      <c r="P454" s="36"/>
      <c r="Q454" s="36"/>
      <c r="R454" s="19" t="str">
        <f>IFERROR(__xludf.DUMMYFUNCTION("""COMPUTED_VALUE"""),"ISLAM")</f>
        <v>ISLAM</v>
      </c>
      <c r="S454" s="16" t="str">
        <f>IFERROR(__xludf.DUMMYFUNCTION("""COMPUTED_VALUE"""),"APOTEKER")</f>
        <v>APOTEKER</v>
      </c>
      <c r="T454" s="16" t="str">
        <f>IFERROR(__xludf.DUMMYFUNCTION("""COMPUTED_VALUE"""),"SAKIT PINGGANG")</f>
        <v>SAKIT PINGGANG</v>
      </c>
      <c r="U454" s="16" t="str">
        <f>IFERROR(__xludf.DUMMYFUNCTION("""COMPUTED_VALUE"""),"BADMINTON")</f>
        <v>BADMINTON</v>
      </c>
      <c r="V454" s="11" t="str">
        <f>IFERROR(__xludf.DUMMYFUNCTION("""COMPUTED_VALUE"""),"081351941404")</f>
        <v>081351941404</v>
      </c>
      <c r="W454" s="15"/>
    </row>
    <row r="455" ht="22.5" customHeight="1">
      <c r="A455" s="8"/>
      <c r="B455" s="9">
        <f>IFERROR(__xludf.DUMMYFUNCTION("""COMPUTED_VALUE"""),45094.57506181713)</f>
        <v>45094.57506</v>
      </c>
      <c r="C455" s="9"/>
      <c r="D455" s="10">
        <f>IFERROR(__xludf.DUMMYFUNCTION("""COMPUTED_VALUE"""),45095.0)</f>
        <v>45095</v>
      </c>
      <c r="E455" s="10" t="str">
        <f>IFERROR(__xludf.DUMMYFUNCTION("""COMPUTED_VALUE"""),"06Jun")</f>
        <v>06Jun</v>
      </c>
      <c r="F455" s="10" t="str">
        <f>IFERROR(__xludf.DUMMYFUNCTION("""COMPUTED_VALUE"""),"2023")</f>
        <v>2023</v>
      </c>
      <c r="G455" s="16" t="str">
        <f>IFERROR(__xludf.DUMMYFUNCTION("""COMPUTED_VALUE"""),"WENARDY CHIONDA")</f>
        <v>WENARDY CHIONDA</v>
      </c>
      <c r="H455" s="17" t="str">
        <f>IFERROR(__xludf.DUMMYFUNCTION("""COMPUTED_VALUE"""),"W9823064942")</f>
        <v>W9823064942</v>
      </c>
      <c r="I455" s="17">
        <f>IFERROR(__xludf.DUMMYFUNCTION("""COMPUTED_VALUE"""),28.0)</f>
        <v>28</v>
      </c>
      <c r="J455" s="17" t="str">
        <f>IFERROR(__xludf.DUMMYFUNCTION("""COMPUTED_VALUE"""),"25-34 tahun")</f>
        <v>25-34 tahun</v>
      </c>
      <c r="K455" s="19">
        <f>IFERROR(__xludf.DUMMYFUNCTION("""COMPUTED_VALUE"""),35945.0)</f>
        <v>35945</v>
      </c>
      <c r="L455" s="19" t="str">
        <f>IFERROR(__xludf.DUMMYFUNCTION("""COMPUTED_VALUE"""),"LAKI-LAKI")</f>
        <v>LAKI-LAKI</v>
      </c>
      <c r="M455" s="36" t="str">
        <f>IFERROR(__xludf.DUMMYFUNCTION("""COMPUTED_VALUE"""),"JL. IGUSTI NGURAHRAI NO 1.G")</f>
        <v>JL. IGUSTI NGURAHRAI NO 1.G</v>
      </c>
      <c r="N455" s="36"/>
      <c r="O455" s="36"/>
      <c r="P455" s="36"/>
      <c r="Q455" s="36"/>
      <c r="R455" s="19" t="str">
        <f>IFERROR(__xludf.DUMMYFUNCTION("""COMPUTED_VALUE"""),"PROTESTAN")</f>
        <v>PROTESTAN</v>
      </c>
      <c r="S455" s="16" t="str">
        <f>IFERROR(__xludf.DUMMYFUNCTION("""COMPUTED_VALUE"""),"SWASTA")</f>
        <v>SWASTA</v>
      </c>
      <c r="T455" s="16" t="str">
        <f>IFERROR(__xludf.DUMMYFUNCTION("""COMPUTED_VALUE"""),"KESELEO")</f>
        <v>KESELEO</v>
      </c>
      <c r="U455" s="16" t="str">
        <f>IFERROR(__xludf.DUMMYFUNCTION("""COMPUTED_VALUE"""),"JALAN2")</f>
        <v>JALAN2</v>
      </c>
      <c r="V455" s="11" t="str">
        <f>IFERROR(__xludf.DUMMYFUNCTION("""COMPUTED_VALUE"""),"081349364942")</f>
        <v>081349364942</v>
      </c>
      <c r="W455" s="15"/>
    </row>
    <row r="456" ht="22.5" customHeight="1">
      <c r="A456" s="8"/>
      <c r="B456" s="9">
        <f>IFERROR(__xludf.DUMMYFUNCTION("""COMPUTED_VALUE"""),45094.72180481481)</f>
        <v>45094.7218</v>
      </c>
      <c r="C456" s="9"/>
      <c r="D456" s="10">
        <f>IFERROR(__xludf.DUMMYFUNCTION("""COMPUTED_VALUE"""),45095.0)</f>
        <v>45095</v>
      </c>
      <c r="E456" s="10" t="str">
        <f>IFERROR(__xludf.DUMMYFUNCTION("""COMPUTED_VALUE"""),"06Jun")</f>
        <v>06Jun</v>
      </c>
      <c r="F456" s="10" t="str">
        <f>IFERROR(__xludf.DUMMYFUNCTION("""COMPUTED_VALUE"""),"2023")</f>
        <v>2023</v>
      </c>
      <c r="G456" s="16" t="str">
        <f>IFERROR(__xludf.DUMMYFUNCTION("""COMPUTED_VALUE"""),"SALSABELLA")</f>
        <v>SALSABELLA</v>
      </c>
      <c r="H456" s="17" t="str">
        <f>IFERROR(__xludf.DUMMYFUNCTION("""COMPUTED_VALUE"""),"S9823069696")</f>
        <v>S9823069696</v>
      </c>
      <c r="I456" s="17">
        <f>IFERROR(__xludf.DUMMYFUNCTION("""COMPUTED_VALUE"""),28.0)</f>
        <v>28</v>
      </c>
      <c r="J456" s="17" t="str">
        <f>IFERROR(__xludf.DUMMYFUNCTION("""COMPUTED_VALUE"""),"25-34 tahun")</f>
        <v>25-34 tahun</v>
      </c>
      <c r="K456" s="19">
        <f>IFERROR(__xludf.DUMMYFUNCTION("""COMPUTED_VALUE"""),35888.0)</f>
        <v>35888</v>
      </c>
      <c r="L456" s="19" t="str">
        <f>IFERROR(__xludf.DUMMYFUNCTION("""COMPUTED_VALUE"""),"PEREMPUAN")</f>
        <v>PEREMPUAN</v>
      </c>
      <c r="M456" s="16" t="str">
        <f>IFERROR(__xludf.DUMMYFUNCTION("""COMPUTED_VALUE"""),"Jl A YANI NO 1 SINTANG")</f>
        <v>Jl A YANI NO 1 SINTANG</v>
      </c>
      <c r="N456" s="16"/>
      <c r="O456" s="16"/>
      <c r="P456" s="16"/>
      <c r="Q456" s="16"/>
      <c r="R456" s="19" t="str">
        <f>IFERROR(__xludf.DUMMYFUNCTION("""COMPUTED_VALUE"""),"ISLAM")</f>
        <v>ISLAM</v>
      </c>
      <c r="S456" s="16" t="str">
        <f>IFERROR(__xludf.DUMMYFUNCTION("""COMPUTED_VALUE"""),"RUMAH TANGGA")</f>
        <v>RUMAH TANGGA</v>
      </c>
      <c r="T456" s="16" t="str">
        <f>IFERROR(__xludf.DUMMYFUNCTION("""COMPUTED_VALUE"""),"SAKIT PINGGANG")</f>
        <v>SAKIT PINGGANG</v>
      </c>
      <c r="U456" s="16" t="str">
        <f>IFERROR(__xludf.DUMMYFUNCTION("""COMPUTED_VALUE"""),"IBU RUMAH TANGGA")</f>
        <v>IBU RUMAH TANGGA</v>
      </c>
      <c r="V456" s="11" t="str">
        <f>IFERROR(__xludf.DUMMYFUNCTION("""COMPUTED_VALUE"""),"082352339696")</f>
        <v>082352339696</v>
      </c>
      <c r="W456" s="15"/>
    </row>
    <row r="457" ht="22.5" customHeight="1">
      <c r="A457" s="8"/>
      <c r="B457" s="9">
        <f>IFERROR(__xludf.DUMMYFUNCTION("""COMPUTED_VALUE"""),45094.83457777778)</f>
        <v>45094.83458</v>
      </c>
      <c r="C457" s="9"/>
      <c r="D457" s="10">
        <f>IFERROR(__xludf.DUMMYFUNCTION("""COMPUTED_VALUE"""),45096.0)</f>
        <v>45096</v>
      </c>
      <c r="E457" s="10" t="str">
        <f>IFERROR(__xludf.DUMMYFUNCTION("""COMPUTED_VALUE"""),"06Jun")</f>
        <v>06Jun</v>
      </c>
      <c r="F457" s="10" t="str">
        <f>IFERROR(__xludf.DUMMYFUNCTION("""COMPUTED_VALUE"""),"2023")</f>
        <v>2023</v>
      </c>
      <c r="G457" s="16" t="str">
        <f>IFERROR(__xludf.DUMMYFUNCTION("""COMPUTED_VALUE"""),"SILVINA PUTRI")</f>
        <v>SILVINA PUTRI</v>
      </c>
      <c r="H457" s="17" t="str">
        <f>IFERROR(__xludf.DUMMYFUNCTION("""COMPUTED_VALUE"""),"S0923067854")</f>
        <v>S0923067854</v>
      </c>
      <c r="I457" s="17">
        <f>IFERROR(__xludf.DUMMYFUNCTION("""COMPUTED_VALUE"""),16.0)</f>
        <v>16</v>
      </c>
      <c r="J457" s="17" t="str">
        <f>IFERROR(__xludf.DUMMYFUNCTION("""COMPUTED_VALUE"""),"&lt; 18 tahun")</f>
        <v>&lt; 18 tahun</v>
      </c>
      <c r="K457" s="19">
        <f>IFERROR(__xludf.DUMMYFUNCTION("""COMPUTED_VALUE"""),39993.0)</f>
        <v>39993</v>
      </c>
      <c r="L457" s="19" t="str">
        <f>IFERROR(__xludf.DUMMYFUNCTION("""COMPUTED_VALUE"""),"PEREMPUAN")</f>
        <v>PEREMPUAN</v>
      </c>
      <c r="M457" s="16" t="str">
        <f>IFERROR(__xludf.DUMMYFUNCTION("""COMPUTED_VALUE"""),"JL. RAYA SUNGAI KAKAP")</f>
        <v>JL. RAYA SUNGAI KAKAP</v>
      </c>
      <c r="N457" s="16"/>
      <c r="O457" s="16"/>
      <c r="P457" s="16"/>
      <c r="Q457" s="16"/>
      <c r="R457" s="19" t="str">
        <f>IFERROR(__xludf.DUMMYFUNCTION("""COMPUTED_VALUE"""),"ISLAM")</f>
        <v>ISLAM</v>
      </c>
      <c r="S457" s="16" t="str">
        <f>IFERROR(__xludf.DUMMYFUNCTION("""COMPUTED_VALUE"""),"TIDAK ADA")</f>
        <v>TIDAK ADA</v>
      </c>
      <c r="T457" s="36" t="str">
        <f>IFERROR(__xludf.DUMMYFUNCTION("""COMPUTED_VALUE"""),"SAKIT MENINGITIS TB+HIDROSEFALUS HAMPIR 1 TAHUN,KONDISI BELUM BISA BANGUN UNTUK DUDUK,BELUM BISA BICARA (KARNA SELALU MENGELUARKAN AIR LIUR) DAN BERJALAN,DAN DI CEK KMRN ADA SKOLIOSIS. SEKARANG SUDAH BISA MERESPON DENGAN GELENGAN DAN ANGGUKAN KEPALA")</f>
        <v>SAKIT MENINGITIS TB+HIDROSEFALUS HAMPIR 1 TAHUN,KONDISI BELUM BISA BANGUN UNTUK DUDUK,BELUM BISA BICARA (KARNA SELALU MENGELUARKAN AIR LIUR) DAN BERJALAN,DAN DI CEK KMRN ADA SKOLIOSIS. SEKARANG SUDAH BISA MERESPON DENGAN GELENGAN DAN ANGGUKAN KEPALA</v>
      </c>
      <c r="U457" s="16" t="str">
        <f>IFERROR(__xludf.DUMMYFUNCTION("""COMPUTED_VALUE"""),"Sekolah di pondok pesantren Walisongo")</f>
        <v>Sekolah di pondok pesantren Walisongo</v>
      </c>
      <c r="V457" s="11" t="str">
        <f>IFERROR(__xludf.DUMMYFUNCTION("""COMPUTED_VALUE"""),"085750157854")</f>
        <v>085750157854</v>
      </c>
      <c r="W457" s="15"/>
    </row>
    <row r="458" ht="22.5" customHeight="1">
      <c r="A458" s="8"/>
      <c r="B458" s="9">
        <f>IFERROR(__xludf.DUMMYFUNCTION("""COMPUTED_VALUE"""),45094.84050898148)</f>
        <v>45094.84051</v>
      </c>
      <c r="C458" s="9"/>
      <c r="D458" s="10">
        <f>IFERROR(__xludf.DUMMYFUNCTION("""COMPUTED_VALUE"""),45096.0)</f>
        <v>45096</v>
      </c>
      <c r="E458" s="10" t="str">
        <f>IFERROR(__xludf.DUMMYFUNCTION("""COMPUTED_VALUE"""),"06Jun")</f>
        <v>06Jun</v>
      </c>
      <c r="F458" s="10" t="str">
        <f>IFERROR(__xludf.DUMMYFUNCTION("""COMPUTED_VALUE"""),"2023")</f>
        <v>2023</v>
      </c>
      <c r="G458" s="16" t="str">
        <f>IFERROR(__xludf.DUMMYFUNCTION("""COMPUTED_VALUE"""),"HERLITA YULIANA")</f>
        <v>HERLITA YULIANA</v>
      </c>
      <c r="H458" s="17" t="str">
        <f>IFERROR(__xludf.DUMMYFUNCTION("""COMPUTED_VALUE"""),"H7423069338")</f>
        <v>H7423069338</v>
      </c>
      <c r="I458" s="17">
        <f>IFERROR(__xludf.DUMMYFUNCTION("""COMPUTED_VALUE"""),51.0)</f>
        <v>51</v>
      </c>
      <c r="J458" s="17" t="str">
        <f>IFERROR(__xludf.DUMMYFUNCTION("""COMPUTED_VALUE"""),"&gt; 44 tahun")</f>
        <v>&gt; 44 tahun</v>
      </c>
      <c r="K458" s="19">
        <f>IFERROR(__xludf.DUMMYFUNCTION("""COMPUTED_VALUE"""),27226.0)</f>
        <v>27226</v>
      </c>
      <c r="L458" s="19" t="str">
        <f>IFERROR(__xludf.DUMMYFUNCTION("""COMPUTED_VALUE"""),"PEREMPUAN")</f>
        <v>PEREMPUAN</v>
      </c>
      <c r="M458" s="16" t="str">
        <f>IFERROR(__xludf.DUMMYFUNCTION("""COMPUTED_VALUE"""),"Jl eka warni IX no 8a gedung johor medan johor")</f>
        <v>Jl eka warni IX no 8a gedung johor medan johor</v>
      </c>
      <c r="N458" s="16"/>
      <c r="O458" s="16"/>
      <c r="P458" s="16"/>
      <c r="Q458" s="16"/>
      <c r="R458" s="19" t="str">
        <f>IFERROR(__xludf.DUMMYFUNCTION("""COMPUTED_VALUE"""),"ISLAM")</f>
        <v>ISLAM</v>
      </c>
      <c r="S458" s="16" t="str">
        <f>IFERROR(__xludf.DUMMYFUNCTION("""COMPUTED_VALUE"""),"RUMAH TANGGA")</f>
        <v>RUMAH TANGGA</v>
      </c>
      <c r="T458" s="16" t="str">
        <f>IFERROR(__xludf.DUMMYFUNCTION("""COMPUTED_VALUE"""),"Cervical root syndrome")</f>
        <v>Cervical root syndrome</v>
      </c>
      <c r="U458" s="16" t="str">
        <f>IFERROR(__xludf.DUMMYFUNCTION("""COMPUTED_VALUE"""),"PEKERJAAN RUMAH TANGGA")</f>
        <v>PEKERJAAN RUMAH TANGGA</v>
      </c>
      <c r="V458" s="11" t="str">
        <f>IFERROR(__xludf.DUMMYFUNCTION("""COMPUTED_VALUE"""),"895338529338")</f>
        <v>895338529338</v>
      </c>
      <c r="W458" s="15"/>
    </row>
    <row r="459" ht="22.5" customHeight="1">
      <c r="A459" s="8"/>
      <c r="B459" s="9">
        <f>IFERROR(__xludf.DUMMYFUNCTION("""COMPUTED_VALUE"""),45095.38384430556)</f>
        <v>45095.38384</v>
      </c>
      <c r="C459" s="9"/>
      <c r="D459" s="10">
        <f>IFERROR(__xludf.DUMMYFUNCTION("""COMPUTED_VALUE"""),45096.0)</f>
        <v>45096</v>
      </c>
      <c r="E459" s="10" t="str">
        <f>IFERROR(__xludf.DUMMYFUNCTION("""COMPUTED_VALUE"""),"06Jun")</f>
        <v>06Jun</v>
      </c>
      <c r="F459" s="10" t="str">
        <f>IFERROR(__xludf.DUMMYFUNCTION("""COMPUTED_VALUE"""),"2023")</f>
        <v>2023</v>
      </c>
      <c r="G459" s="16" t="str">
        <f>IFERROR(__xludf.DUMMYFUNCTION("""COMPUTED_VALUE"""),"ROSITA")</f>
        <v>ROSITA</v>
      </c>
      <c r="H459" s="17" t="str">
        <f>IFERROR(__xludf.DUMMYFUNCTION("""COMPUTED_VALUE"""),"R6223060242")</f>
        <v>R6223060242</v>
      </c>
      <c r="I459" s="17">
        <f>IFERROR(__xludf.DUMMYFUNCTION("""COMPUTED_VALUE"""),63.0)</f>
        <v>63</v>
      </c>
      <c r="J459" s="17" t="str">
        <f>IFERROR(__xludf.DUMMYFUNCTION("""COMPUTED_VALUE"""),"&gt; 44 tahun")</f>
        <v>&gt; 44 tahun</v>
      </c>
      <c r="K459" s="19">
        <f>IFERROR(__xludf.DUMMYFUNCTION("""COMPUTED_VALUE"""),22851.0)</f>
        <v>22851</v>
      </c>
      <c r="L459" s="19" t="str">
        <f>IFERROR(__xludf.DUMMYFUNCTION("""COMPUTED_VALUE"""),"PEREMPUAN")</f>
        <v>PEREMPUAN</v>
      </c>
      <c r="M459" s="16" t="str">
        <f>IFERROR(__xludf.DUMMYFUNCTION("""COMPUTED_VALUE"""),"JL. PURNAMA GG. PURNAMA 8 NO.42 PONTIANAK")</f>
        <v>JL. PURNAMA GG. PURNAMA 8 NO.42 PONTIANAK</v>
      </c>
      <c r="N459" s="16"/>
      <c r="O459" s="16"/>
      <c r="P459" s="16"/>
      <c r="Q459" s="16"/>
      <c r="R459" s="19" t="str">
        <f>IFERROR(__xludf.DUMMYFUNCTION("""COMPUTED_VALUE"""),"ISLAM")</f>
        <v>ISLAM</v>
      </c>
      <c r="S459" s="16" t="str">
        <f>IFERROR(__xludf.DUMMYFUNCTION("""COMPUTED_VALUE"""),"RUMAH TANGGA")</f>
        <v>RUMAH TANGGA</v>
      </c>
      <c r="T459" s="16" t="str">
        <f>IFERROR(__xludf.DUMMYFUNCTION("""COMPUTED_VALUE"""),"SAKIT BETIS DAN SKOLIOSIS")</f>
        <v>SAKIT BETIS DAN SKOLIOSIS</v>
      </c>
      <c r="U459" s="16" t="str">
        <f>IFERROR(__xludf.DUMMYFUNCTION("""COMPUTED_VALUE"""),"RUMAH TANGGA")</f>
        <v>RUMAH TANGGA</v>
      </c>
      <c r="V459" s="11" t="str">
        <f>IFERROR(__xludf.DUMMYFUNCTION("""COMPUTED_VALUE"""),"08979300242")</f>
        <v>08979300242</v>
      </c>
      <c r="W459" s="15"/>
    </row>
    <row r="460" ht="22.5" customHeight="1">
      <c r="A460" s="8"/>
      <c r="B460" s="9">
        <f>IFERROR(__xludf.DUMMYFUNCTION("""COMPUTED_VALUE"""),45095.404390474534)</f>
        <v>45095.40439</v>
      </c>
      <c r="C460" s="9"/>
      <c r="D460" s="10">
        <f>IFERROR(__xludf.DUMMYFUNCTION("""COMPUTED_VALUE"""),45096.0)</f>
        <v>45096</v>
      </c>
      <c r="E460" s="10" t="str">
        <f>IFERROR(__xludf.DUMMYFUNCTION("""COMPUTED_VALUE"""),"06Jun")</f>
        <v>06Jun</v>
      </c>
      <c r="F460" s="10" t="str">
        <f>IFERROR(__xludf.DUMMYFUNCTION("""COMPUTED_VALUE"""),"2023")</f>
        <v>2023</v>
      </c>
      <c r="G460" s="16" t="str">
        <f>IFERROR(__xludf.DUMMYFUNCTION("""COMPUTED_VALUE"""),"LITA AMELIA")</f>
        <v>LITA AMELIA</v>
      </c>
      <c r="H460" s="17" t="str">
        <f>IFERROR(__xludf.DUMMYFUNCTION("""COMPUTED_VALUE"""),"L9423069956")</f>
        <v>L9423069956</v>
      </c>
      <c r="I460" s="17">
        <f>IFERROR(__xludf.DUMMYFUNCTION("""COMPUTED_VALUE"""),31.0)</f>
        <v>31</v>
      </c>
      <c r="J460" s="17" t="str">
        <f>IFERROR(__xludf.DUMMYFUNCTION("""COMPUTED_VALUE"""),"25-34 tahun")</f>
        <v>25-34 tahun</v>
      </c>
      <c r="K460" s="19">
        <f>IFERROR(__xludf.DUMMYFUNCTION("""COMPUTED_VALUE"""),34636.0)</f>
        <v>34636</v>
      </c>
      <c r="L460" s="19" t="str">
        <f>IFERROR(__xludf.DUMMYFUNCTION("""COMPUTED_VALUE"""),"PEREMPUAN")</f>
        <v>PEREMPUAN</v>
      </c>
      <c r="M460" s="16" t="str">
        <f>IFERROR(__xludf.DUMMYFUNCTION("""COMPUTED_VALUE"""),"CEMPLANG UTARA RT 01/13, KEL. CILENDEK BARAT. KOTA BOGOR")</f>
        <v>CEMPLANG UTARA RT 01/13, KEL. CILENDEK BARAT. KOTA BOGOR</v>
      </c>
      <c r="N460" s="16"/>
      <c r="O460" s="16"/>
      <c r="P460" s="16"/>
      <c r="Q460" s="16"/>
      <c r="R460" s="19" t="str">
        <f>IFERROR(__xludf.DUMMYFUNCTION("""COMPUTED_VALUE"""),"ISLAM")</f>
        <v>ISLAM</v>
      </c>
      <c r="S460" s="16" t="str">
        <f>IFERROR(__xludf.DUMMYFUNCTION("""COMPUTED_VALUE"""),"RUMAH TANGGA")</f>
        <v>RUMAH TANGGA</v>
      </c>
      <c r="T460" s="16" t="str">
        <f>IFERROR(__xludf.DUMMYFUNCTION("""COMPUTED_VALUE"""),"SKOLIOSIS")</f>
        <v>SKOLIOSIS</v>
      </c>
      <c r="U460" s="16" t="str">
        <f>IFERROR(__xludf.DUMMYFUNCTION("""COMPUTED_VALUE"""),"PEKERJAAN RUMAH TANGGA")</f>
        <v>PEKERJAAN RUMAH TANGGA</v>
      </c>
      <c r="V460" s="11" t="str">
        <f>IFERROR(__xludf.DUMMYFUNCTION("""COMPUTED_VALUE"""),"085211199956")</f>
        <v>085211199956</v>
      </c>
      <c r="W460" s="15"/>
    </row>
    <row r="461" ht="22.5" customHeight="1">
      <c r="A461" s="8"/>
      <c r="B461" s="9">
        <f>IFERROR(__xludf.DUMMYFUNCTION("""COMPUTED_VALUE"""),45095.507342384255)</f>
        <v>45095.50734</v>
      </c>
      <c r="C461" s="9"/>
      <c r="D461" s="10">
        <f>IFERROR(__xludf.DUMMYFUNCTION("""COMPUTED_VALUE"""),45096.0)</f>
        <v>45096</v>
      </c>
      <c r="E461" s="10" t="str">
        <f>IFERROR(__xludf.DUMMYFUNCTION("""COMPUTED_VALUE"""),"06Jun")</f>
        <v>06Jun</v>
      </c>
      <c r="F461" s="10" t="str">
        <f>IFERROR(__xludf.DUMMYFUNCTION("""COMPUTED_VALUE"""),"2023")</f>
        <v>2023</v>
      </c>
      <c r="G461" s="16" t="str">
        <f>IFERROR(__xludf.DUMMYFUNCTION("""COMPUTED_VALUE"""),"HARRY PERMANA KAMANDAKA")</f>
        <v>HARRY PERMANA KAMANDAKA</v>
      </c>
      <c r="H461" s="17" t="str">
        <f>IFERROR(__xludf.DUMMYFUNCTION("""COMPUTED_VALUE"""),"H9123068005")</f>
        <v>H9123068005</v>
      </c>
      <c r="I461" s="17">
        <f>IFERROR(__xludf.DUMMYFUNCTION("""COMPUTED_VALUE"""),34.0)</f>
        <v>34</v>
      </c>
      <c r="J461" s="17" t="str">
        <f>IFERROR(__xludf.DUMMYFUNCTION("""COMPUTED_VALUE"""),"25-34 tahun")</f>
        <v>25-34 tahun</v>
      </c>
      <c r="K461" s="19">
        <f>IFERROR(__xludf.DUMMYFUNCTION("""COMPUTED_VALUE"""),33593.0)</f>
        <v>33593</v>
      </c>
      <c r="L461" s="19" t="str">
        <f>IFERROR(__xludf.DUMMYFUNCTION("""COMPUTED_VALUE"""),"LAKI-LAKI")</f>
        <v>LAKI-LAKI</v>
      </c>
      <c r="M461" s="16" t="str">
        <f>IFERROR(__xludf.DUMMYFUNCTION("""COMPUTED_VALUE"""),"JL. SMU 5 KOMP. BTN FLAMBOYAN 1")</f>
        <v>JL. SMU 5 KOMP. BTN FLAMBOYAN 1</v>
      </c>
      <c r="N461" s="16"/>
      <c r="O461" s="16"/>
      <c r="P461" s="16"/>
      <c r="Q461" s="16"/>
      <c r="R461" s="19" t="str">
        <f>IFERROR(__xludf.DUMMYFUNCTION("""COMPUTED_VALUE"""),"ISLAM")</f>
        <v>ISLAM</v>
      </c>
      <c r="S461" s="16" t="str">
        <f>IFERROR(__xludf.DUMMYFUNCTION("""COMPUTED_VALUE"""),"ASN")</f>
        <v>ASN</v>
      </c>
      <c r="T461" s="16" t="str">
        <f>IFERROR(__xludf.DUMMYFUNCTION("""COMPUTED_VALUE"""),"NYERI DIPERGELANGAN TANGAN")</f>
        <v>NYERI DIPERGELANGAN TANGAN</v>
      </c>
      <c r="U461" s="16" t="str">
        <f>IFERROR(__xludf.DUMMYFUNCTION("""COMPUTED_VALUE"""),"SEPAK BOLA,FUTSAL, MOTORCROSS")</f>
        <v>SEPAK BOLA,FUTSAL, MOTORCROSS</v>
      </c>
      <c r="V461" s="11" t="str">
        <f>IFERROR(__xludf.DUMMYFUNCTION("""COMPUTED_VALUE"""),"085332378005")</f>
        <v>085332378005</v>
      </c>
      <c r="W461" s="15"/>
    </row>
    <row r="462" ht="22.5" customHeight="1">
      <c r="A462" s="8"/>
      <c r="B462" s="9">
        <f>IFERROR(__xludf.DUMMYFUNCTION("""COMPUTED_VALUE"""),45095.52578790509)</f>
        <v>45095.52579</v>
      </c>
      <c r="C462" s="9"/>
      <c r="D462" s="10">
        <f>IFERROR(__xludf.DUMMYFUNCTION("""COMPUTED_VALUE"""),45096.0)</f>
        <v>45096</v>
      </c>
      <c r="E462" s="10" t="str">
        <f>IFERROR(__xludf.DUMMYFUNCTION("""COMPUTED_VALUE"""),"06Jun")</f>
        <v>06Jun</v>
      </c>
      <c r="F462" s="10" t="str">
        <f>IFERROR(__xludf.DUMMYFUNCTION("""COMPUTED_VALUE"""),"2023")</f>
        <v>2023</v>
      </c>
      <c r="G462" s="16" t="str">
        <f>IFERROR(__xludf.DUMMYFUNCTION("""COMPUTED_VALUE"""),"NURHAYATI 62")</f>
        <v>NURHAYATI 62</v>
      </c>
      <c r="H462" s="17" t="str">
        <f>IFERROR(__xludf.DUMMYFUNCTION("""COMPUTED_VALUE"""),"N6223068700")</f>
        <v>N6223068700</v>
      </c>
      <c r="I462" s="17">
        <f>IFERROR(__xludf.DUMMYFUNCTION("""COMPUTED_VALUE"""),63.0)</f>
        <v>63</v>
      </c>
      <c r="J462" s="17" t="str">
        <f>IFERROR(__xludf.DUMMYFUNCTION("""COMPUTED_VALUE"""),"&gt; 44 tahun")</f>
        <v>&gt; 44 tahun</v>
      </c>
      <c r="K462" s="19">
        <f>IFERROR(__xludf.DUMMYFUNCTION("""COMPUTED_VALUE"""),22888.0)</f>
        <v>22888</v>
      </c>
      <c r="L462" s="19" t="str">
        <f>IFERROR(__xludf.DUMMYFUNCTION("""COMPUTED_VALUE"""),"PEREMPUAN")</f>
        <v>PEREMPUAN</v>
      </c>
      <c r="M462" s="16" t="str">
        <f>IFERROR(__xludf.DUMMYFUNCTION("""COMPUTED_VALUE"""),"Jl. Khatulistiwa, Gg. Teluk Air No. 36bRt.03/Rw.09")</f>
        <v>Jl. Khatulistiwa, Gg. Teluk Air No. 36bRt.03/Rw.09</v>
      </c>
      <c r="N462" s="16"/>
      <c r="O462" s="16"/>
      <c r="P462" s="16"/>
      <c r="Q462" s="16"/>
      <c r="R462" s="19" t="str">
        <f>IFERROR(__xludf.DUMMYFUNCTION("""COMPUTED_VALUE"""),"ISLAM")</f>
        <v>ISLAM</v>
      </c>
      <c r="S462" s="16" t="str">
        <f>IFERROR(__xludf.DUMMYFUNCTION("""COMPUTED_VALUE"""),"PENSIUN")</f>
        <v>PENSIUN</v>
      </c>
      <c r="T462" s="16" t="str">
        <f>IFERROR(__xludf.DUMMYFUNCTION("""COMPUTED_VALUE"""),"Siantan Hilir")</f>
        <v>Siantan Hilir</v>
      </c>
      <c r="U462" s="16" t="str">
        <f>IFERROR(__xludf.DUMMYFUNCTION("""COMPUTED_VALUE"""),"MAIN SAMA CUCU")</f>
        <v>MAIN SAMA CUCU</v>
      </c>
      <c r="V462" s="11" t="str">
        <f>IFERROR(__xludf.DUMMYFUNCTION("""COMPUTED_VALUE"""),"081257578700")</f>
        <v>081257578700</v>
      </c>
      <c r="W462" s="15"/>
    </row>
    <row r="463" ht="22.5" customHeight="1">
      <c r="A463" s="8"/>
      <c r="B463" s="9">
        <f>IFERROR(__xludf.DUMMYFUNCTION("""COMPUTED_VALUE"""),45095.767875219906)</f>
        <v>45095.76788</v>
      </c>
      <c r="C463" s="9"/>
      <c r="D463" s="10">
        <f>IFERROR(__xludf.DUMMYFUNCTION("""COMPUTED_VALUE"""),45096.420192777776)</f>
        <v>45096.42019</v>
      </c>
      <c r="E463" s="10" t="str">
        <f>IFERROR(__xludf.DUMMYFUNCTION("""COMPUTED_VALUE"""),"06Jun")</f>
        <v>06Jun</v>
      </c>
      <c r="F463" s="10" t="str">
        <f>IFERROR(__xludf.DUMMYFUNCTION("""COMPUTED_VALUE"""),"2023")</f>
        <v>2023</v>
      </c>
      <c r="G463" s="16" t="str">
        <f>IFERROR(__xludf.DUMMYFUNCTION("""COMPUTED_VALUE"""),"NUR HAYATI 5212")</f>
        <v>NUR HAYATI 5212</v>
      </c>
      <c r="H463" s="17" t="str">
        <f>IFERROR(__xludf.DUMMYFUNCTION("""COMPUTED_VALUE"""),"N5223065524")</f>
        <v>N5223065524</v>
      </c>
      <c r="I463" s="17">
        <f>IFERROR(__xludf.DUMMYFUNCTION("""COMPUTED_VALUE"""),73.0)</f>
        <v>73</v>
      </c>
      <c r="J463" s="17" t="str">
        <f>IFERROR(__xludf.DUMMYFUNCTION("""COMPUTED_VALUE"""),"&gt; 44 tahun")</f>
        <v>&gt; 44 tahun</v>
      </c>
      <c r="K463" s="19">
        <f>IFERROR(__xludf.DUMMYFUNCTION("""COMPUTED_VALUE"""),19347.0)</f>
        <v>19347</v>
      </c>
      <c r="L463" s="19" t="str">
        <f>IFERROR(__xludf.DUMMYFUNCTION("""COMPUTED_VALUE"""),"PEREMPUAN")</f>
        <v>PEREMPUAN</v>
      </c>
      <c r="M463" s="16" t="str">
        <f>IFERROR(__xludf.DUMMYFUNCTION("""COMPUTED_VALUE"""),"GG. RAMBUTAN NO 91 SINGKAWANG")</f>
        <v>GG. RAMBUTAN NO 91 SINGKAWANG</v>
      </c>
      <c r="N463" s="16"/>
      <c r="O463" s="16"/>
      <c r="P463" s="16"/>
      <c r="Q463" s="16"/>
      <c r="R463" s="19" t="str">
        <f>IFERROR(__xludf.DUMMYFUNCTION("""COMPUTED_VALUE"""),"ISLAM")</f>
        <v>ISLAM</v>
      </c>
      <c r="S463" s="16" t="str">
        <f>IFERROR(__xludf.DUMMYFUNCTION("""COMPUTED_VALUE"""),"RUMAH TANGGA")</f>
        <v>RUMAH TANGGA</v>
      </c>
      <c r="T463" s="16" t="str">
        <f>IFERROR(__xludf.DUMMYFUNCTION("""COMPUTED_VALUE"""),"NYERI PAHA SAMPAI KE PINGGANG SEPERTI KERAM TERUTAMA DI SUBUH HARI")</f>
        <v>NYERI PAHA SAMPAI KE PINGGANG SEPERTI KERAM TERUTAMA DI SUBUH HARI</v>
      </c>
      <c r="U463" s="16" t="str">
        <f>IFERROR(__xludf.DUMMYFUNCTION("""COMPUTED_VALUE"""),"MENANAM BUNGA")</f>
        <v>MENANAM BUNGA</v>
      </c>
      <c r="V463" s="11" t="str">
        <f>IFERROR(__xludf.DUMMYFUNCTION("""COMPUTED_VALUE"""),"08565025524")</f>
        <v>08565025524</v>
      </c>
      <c r="W463" s="15"/>
    </row>
    <row r="464" ht="22.5" customHeight="1">
      <c r="A464" s="8"/>
      <c r="B464" s="9">
        <f>IFERROR(__xludf.DUMMYFUNCTION("""COMPUTED_VALUE"""),45095.81872924769)</f>
        <v>45095.81873</v>
      </c>
      <c r="C464" s="9"/>
      <c r="D464" s="10">
        <f>IFERROR(__xludf.DUMMYFUNCTION("""COMPUTED_VALUE"""),45096.51382237268)</f>
        <v>45096.51382</v>
      </c>
      <c r="E464" s="10" t="str">
        <f>IFERROR(__xludf.DUMMYFUNCTION("""COMPUTED_VALUE"""),"06Jun")</f>
        <v>06Jun</v>
      </c>
      <c r="F464" s="10" t="str">
        <f>IFERROR(__xludf.DUMMYFUNCTION("""COMPUTED_VALUE"""),"2023")</f>
        <v>2023</v>
      </c>
      <c r="G464" s="16" t="str">
        <f>IFERROR(__xludf.DUMMYFUNCTION("""COMPUTED_VALUE"""),"WULANDARI GANI")</f>
        <v>WULANDARI GANI</v>
      </c>
      <c r="H464" s="17" t="str">
        <f>IFERROR(__xludf.DUMMYFUNCTION("""COMPUTED_VALUE"""),"W9523060011")</f>
        <v>W9523060011</v>
      </c>
      <c r="I464" s="17">
        <f>IFERROR(__xludf.DUMMYFUNCTION("""COMPUTED_VALUE"""),30.0)</f>
        <v>30</v>
      </c>
      <c r="J464" s="17" t="str">
        <f>IFERROR(__xludf.DUMMYFUNCTION("""COMPUTED_VALUE"""),"25-34 tahun")</f>
        <v>25-34 tahun</v>
      </c>
      <c r="K464" s="19">
        <f>IFERROR(__xludf.DUMMYFUNCTION("""COMPUTED_VALUE"""),34898.0)</f>
        <v>34898</v>
      </c>
      <c r="L464" s="19" t="str">
        <f>IFERROR(__xludf.DUMMYFUNCTION("""COMPUTED_VALUE"""),"PEREMPUAN")</f>
        <v>PEREMPUAN</v>
      </c>
      <c r="M464" s="16" t="str">
        <f>IFERROR(__xludf.DUMMYFUNCTION("""COMPUTED_VALUE"""),"JL. ADISUCIPTO GG. MELATI PUTIH NO. 62")</f>
        <v>JL. ADISUCIPTO GG. MELATI PUTIH NO. 62</v>
      </c>
      <c r="N464" s="16"/>
      <c r="O464" s="16"/>
      <c r="P464" s="16"/>
      <c r="Q464" s="16"/>
      <c r="R464" s="19" t="str">
        <f>IFERROR(__xludf.DUMMYFUNCTION("""COMPUTED_VALUE"""),"PROTESTAN")</f>
        <v>PROTESTAN</v>
      </c>
      <c r="S464" s="16" t="str">
        <f>IFERROR(__xludf.DUMMYFUNCTION("""COMPUTED_VALUE"""),"RUMAH TANGGA")</f>
        <v>RUMAH TANGGA</v>
      </c>
      <c r="T464" s="16" t="str">
        <f>IFERROR(__xludf.DUMMYFUNCTION("""COMPUTED_VALUE"""),"SAKIT BAGIAN PAHA DAN PINGGANG")</f>
        <v>SAKIT BAGIAN PAHA DAN PINGGANG</v>
      </c>
      <c r="U464" s="16" t="str">
        <f>IFERROR(__xludf.DUMMYFUNCTION("""COMPUTED_VALUE"""),"MENGURUS ANAK DAN TOKO")</f>
        <v>MENGURUS ANAK DAN TOKO</v>
      </c>
      <c r="V464" s="11" t="str">
        <f>IFERROR(__xludf.DUMMYFUNCTION("""COMPUTED_VALUE"""),"089506930011")</f>
        <v>089506930011</v>
      </c>
      <c r="W464" s="15"/>
    </row>
    <row r="465" ht="22.5" customHeight="1">
      <c r="A465" s="8"/>
      <c r="B465" s="9">
        <f>IFERROR(__xludf.DUMMYFUNCTION("""COMPUTED_VALUE"""),45096.40910989583)</f>
        <v>45096.40911</v>
      </c>
      <c r="C465" s="9"/>
      <c r="D465" s="10">
        <f>IFERROR(__xludf.DUMMYFUNCTION("""COMPUTED_VALUE"""),45097.0)</f>
        <v>45097</v>
      </c>
      <c r="E465" s="10" t="str">
        <f>IFERROR(__xludf.DUMMYFUNCTION("""COMPUTED_VALUE"""),"06Jun")</f>
        <v>06Jun</v>
      </c>
      <c r="F465" s="10" t="str">
        <f>IFERROR(__xludf.DUMMYFUNCTION("""COMPUTED_VALUE"""),"2023")</f>
        <v>2023</v>
      </c>
      <c r="G465" s="16" t="str">
        <f>IFERROR(__xludf.DUMMYFUNCTION("""COMPUTED_VALUE"""),"ALVIN ROSANDY")</f>
        <v>ALVIN ROSANDY</v>
      </c>
      <c r="H465" s="17" t="str">
        <f>IFERROR(__xludf.DUMMYFUNCTION("""COMPUTED_VALUE"""),"A9423065183")</f>
        <v>A9423065183</v>
      </c>
      <c r="I465" s="17">
        <f>IFERROR(__xludf.DUMMYFUNCTION("""COMPUTED_VALUE"""),32.0)</f>
        <v>32</v>
      </c>
      <c r="J465" s="17" t="str">
        <f>IFERROR(__xludf.DUMMYFUNCTION("""COMPUTED_VALUE"""),"25-34 tahun")</f>
        <v>25-34 tahun</v>
      </c>
      <c r="K465" s="19">
        <f>IFERROR(__xludf.DUMMYFUNCTION("""COMPUTED_VALUE"""),34442.0)</f>
        <v>34442</v>
      </c>
      <c r="L465" s="19" t="str">
        <f>IFERROR(__xludf.DUMMYFUNCTION("""COMPUTED_VALUE"""),"LAKI-LAKI")</f>
        <v>LAKI-LAKI</v>
      </c>
      <c r="M465" s="16" t="str">
        <f>IFERROR(__xludf.DUMMYFUNCTION("""COMPUTED_VALUE"""),"JL. SUI RAYA DALAM KOMP. VILLA GADING RAYA 1 NO.10I")</f>
        <v>JL. SUI RAYA DALAM KOMP. VILLA GADING RAYA 1 NO.10I</v>
      </c>
      <c r="N465" s="16"/>
      <c r="O465" s="16"/>
      <c r="P465" s="16"/>
      <c r="Q465" s="16"/>
      <c r="R465" s="19" t="str">
        <f>IFERROR(__xludf.DUMMYFUNCTION("""COMPUTED_VALUE"""),"PROTESTAN")</f>
        <v>PROTESTAN</v>
      </c>
      <c r="S465" s="16" t="str">
        <f>IFERROR(__xludf.DUMMYFUNCTION("""COMPUTED_VALUE"""),"WIRASWASTA")</f>
        <v>WIRASWASTA</v>
      </c>
      <c r="T465" s="16" t="str">
        <f>IFERROR(__xludf.DUMMYFUNCTION("""COMPUTED_VALUE"""),"SNAPPING ELBOW SYNDROME")</f>
        <v>SNAPPING ELBOW SYNDROME</v>
      </c>
      <c r="U465" s="16" t="str">
        <f>IFERROR(__xludf.DUMMYFUNCTION("""COMPUTED_VALUE"""),"GYM, TENIS")</f>
        <v>GYM, TENIS</v>
      </c>
      <c r="V465" s="11" t="str">
        <f>IFERROR(__xludf.DUMMYFUNCTION("""COMPUTED_VALUE"""),"0895384395183")</f>
        <v>0895384395183</v>
      </c>
      <c r="W465" s="15"/>
    </row>
    <row r="466" ht="22.5" customHeight="1">
      <c r="A466" s="8"/>
      <c r="B466" s="9">
        <f>IFERROR(__xludf.DUMMYFUNCTION("""COMPUTED_VALUE"""),45096.420192777776)</f>
        <v>45096.42019</v>
      </c>
      <c r="C466" s="9"/>
      <c r="D466" s="10">
        <f>IFERROR(__xludf.DUMMYFUNCTION("""COMPUTED_VALUE"""),45097.0)</f>
        <v>45097</v>
      </c>
      <c r="E466" s="10" t="str">
        <f>IFERROR(__xludf.DUMMYFUNCTION("""COMPUTED_VALUE"""),"06Jun")</f>
        <v>06Jun</v>
      </c>
      <c r="F466" s="10" t="str">
        <f>IFERROR(__xludf.DUMMYFUNCTION("""COMPUTED_VALUE"""),"2023")</f>
        <v>2023</v>
      </c>
      <c r="G466" s="16" t="str">
        <f>IFERROR(__xludf.DUMMYFUNCTION("""COMPUTED_VALUE"""),"SISKA AYU RIYANTI")</f>
        <v>SISKA AYU RIYANTI</v>
      </c>
      <c r="H466" s="17" t="str">
        <f>IFERROR(__xludf.DUMMYFUNCTION("""COMPUTED_VALUE"""),"S9223062300")</f>
        <v>S9223062300</v>
      </c>
      <c r="I466" s="17">
        <f>IFERROR(__xludf.DUMMYFUNCTION("""COMPUTED_VALUE"""),33.0)</f>
        <v>33</v>
      </c>
      <c r="J466" s="17" t="str">
        <f>IFERROR(__xludf.DUMMYFUNCTION("""COMPUTED_VALUE"""),"25-34 tahun")</f>
        <v>25-34 tahun</v>
      </c>
      <c r="K466" s="19">
        <f>IFERROR(__xludf.DUMMYFUNCTION("""COMPUTED_VALUE"""),33924.0)</f>
        <v>33924</v>
      </c>
      <c r="L466" s="19" t="str">
        <f>IFERROR(__xludf.DUMMYFUNCTION("""COMPUTED_VALUE"""),"PEREMPUAN")</f>
        <v>PEREMPUAN</v>
      </c>
      <c r="M466" s="16" t="str">
        <f>IFERROR(__xludf.DUMMYFUNCTION("""COMPUTED_VALUE"""),"JL.SUNGAI RAYA DALAM KOMP. BDN NO. 26")</f>
        <v>JL.SUNGAI RAYA DALAM KOMP. BDN NO. 26</v>
      </c>
      <c r="N466" s="16"/>
      <c r="O466" s="16"/>
      <c r="P466" s="16"/>
      <c r="Q466" s="16"/>
      <c r="R466" s="19" t="str">
        <f>IFERROR(__xludf.DUMMYFUNCTION("""COMPUTED_VALUE"""),"ISLAM")</f>
        <v>ISLAM</v>
      </c>
      <c r="S466" s="16" t="str">
        <f>IFERROR(__xludf.DUMMYFUNCTION("""COMPUTED_VALUE"""),"WIRASWASTA")</f>
        <v>WIRASWASTA</v>
      </c>
      <c r="T466" s="16" t="str">
        <f>IFERROR(__xludf.DUMMYFUNCTION("""COMPUTED_VALUE"""),"KANAN NYERI")</f>
        <v>KANAN NYERI</v>
      </c>
      <c r="U466" s="16" t="str">
        <f>IFERROR(__xludf.DUMMYFUNCTION("""COMPUTED_VALUE"""),"VOLLY")</f>
        <v>VOLLY</v>
      </c>
      <c r="V466" s="11" t="str">
        <f>IFERROR(__xludf.DUMMYFUNCTION("""COMPUTED_VALUE"""),"089505332300")</f>
        <v>089505332300</v>
      </c>
      <c r="W466" s="15"/>
    </row>
    <row r="467" ht="22.5" customHeight="1">
      <c r="A467" s="8"/>
      <c r="B467" s="9">
        <f>IFERROR(__xludf.DUMMYFUNCTION("""COMPUTED_VALUE"""),45096.51382237268)</f>
        <v>45096.51382</v>
      </c>
      <c r="C467" s="9"/>
      <c r="D467" s="10">
        <f>IFERROR(__xludf.DUMMYFUNCTION("""COMPUTED_VALUE"""),45097.0)</f>
        <v>45097</v>
      </c>
      <c r="E467" s="10" t="str">
        <f>IFERROR(__xludf.DUMMYFUNCTION("""COMPUTED_VALUE"""),"06Jun")</f>
        <v>06Jun</v>
      </c>
      <c r="F467" s="10" t="str">
        <f>IFERROR(__xludf.DUMMYFUNCTION("""COMPUTED_VALUE"""),"2023")</f>
        <v>2023</v>
      </c>
      <c r="G467" s="16" t="str">
        <f>IFERROR(__xludf.DUMMYFUNCTION("""COMPUTED_VALUE"""),"RUDY HUMALA LUMBAN RAJA")</f>
        <v>RUDY HUMALA LUMBAN RAJA</v>
      </c>
      <c r="H467" s="17" t="str">
        <f>IFERROR(__xludf.DUMMYFUNCTION("""COMPUTED_VALUE"""),"R7623060675")</f>
        <v>R7623060675</v>
      </c>
      <c r="I467" s="17">
        <f>IFERROR(__xludf.DUMMYFUNCTION("""COMPUTED_VALUE"""),50.0)</f>
        <v>50</v>
      </c>
      <c r="J467" s="17" t="str">
        <f>IFERROR(__xludf.DUMMYFUNCTION("""COMPUTED_VALUE"""),"&gt; 44 tahun")</f>
        <v>&gt; 44 tahun</v>
      </c>
      <c r="K467" s="19">
        <f>IFERROR(__xludf.DUMMYFUNCTION("""COMPUTED_VALUE"""),27932.0)</f>
        <v>27932</v>
      </c>
      <c r="L467" s="19" t="str">
        <f>IFERROR(__xludf.DUMMYFUNCTION("""COMPUTED_VALUE"""),"LAKI-LAKI")</f>
        <v>LAKI-LAKI</v>
      </c>
      <c r="M467" s="16" t="str">
        <f>IFERROR(__xludf.DUMMYFUNCTION("""COMPUTED_VALUE"""),"JL. PROF. M. YAMIN GG. PEMANGKAT 1 NO. 5A")</f>
        <v>JL. PROF. M. YAMIN GG. PEMANGKAT 1 NO. 5A</v>
      </c>
      <c r="N467" s="16"/>
      <c r="O467" s="16"/>
      <c r="P467" s="16"/>
      <c r="Q467" s="16"/>
      <c r="R467" s="19" t="str">
        <f>IFERROR(__xludf.DUMMYFUNCTION("""COMPUTED_VALUE"""),"PROTESTAN")</f>
        <v>PROTESTAN</v>
      </c>
      <c r="S467" s="16" t="str">
        <f>IFERROR(__xludf.DUMMYFUNCTION("""COMPUTED_VALUE"""),"SWASTA")</f>
        <v>SWASTA</v>
      </c>
      <c r="T467" s="16" t="str">
        <f>IFERROR(__xludf.DUMMYFUNCTION("""COMPUTED_VALUE"""),"SAKIT PINGGANG")</f>
        <v>SAKIT PINGGANG</v>
      </c>
      <c r="U467" s="16" t="str">
        <f>IFERROR(__xludf.DUMMYFUNCTION("""COMPUTED_VALUE"""),"BACA BUKU")</f>
        <v>BACA BUKU</v>
      </c>
      <c r="V467" s="11" t="str">
        <f>IFERROR(__xludf.DUMMYFUNCTION("""COMPUTED_VALUE"""),"082151610675")</f>
        <v>082151610675</v>
      </c>
      <c r="W467" s="15"/>
    </row>
    <row r="468" ht="22.5" customHeight="1">
      <c r="A468" s="8"/>
      <c r="B468" s="9">
        <f>IFERROR(__xludf.DUMMYFUNCTION("""COMPUTED_VALUE"""),45096.627800937495)</f>
        <v>45096.6278</v>
      </c>
      <c r="C468" s="9"/>
      <c r="D468" s="10">
        <f>IFERROR(__xludf.DUMMYFUNCTION("""COMPUTED_VALUE"""),45098.0)</f>
        <v>45098</v>
      </c>
      <c r="E468" s="10" t="str">
        <f>IFERROR(__xludf.DUMMYFUNCTION("""COMPUTED_VALUE"""),"06Jun")</f>
        <v>06Jun</v>
      </c>
      <c r="F468" s="10" t="str">
        <f>IFERROR(__xludf.DUMMYFUNCTION("""COMPUTED_VALUE"""),"2023")</f>
        <v>2023</v>
      </c>
      <c r="G468" s="16" t="str">
        <f>IFERROR(__xludf.DUMMYFUNCTION("""COMPUTED_VALUE"""),"DINA SYAFRIDA")</f>
        <v>DINA SYAFRIDA</v>
      </c>
      <c r="H468" s="17" t="str">
        <f>IFERROR(__xludf.DUMMYFUNCTION("""COMPUTED_VALUE"""),"D8023066873")</f>
        <v>D8023066873</v>
      </c>
      <c r="I468" s="17">
        <f>IFERROR(__xludf.DUMMYFUNCTION("""COMPUTED_VALUE"""),46.0)</f>
        <v>46</v>
      </c>
      <c r="J468" s="17" t="str">
        <f>IFERROR(__xludf.DUMMYFUNCTION("""COMPUTED_VALUE"""),"&gt; 44 tahun")</f>
        <v>&gt; 44 tahun</v>
      </c>
      <c r="K468" s="19">
        <f>IFERROR(__xludf.DUMMYFUNCTION("""COMPUTED_VALUE"""),29232.0)</f>
        <v>29232</v>
      </c>
      <c r="L468" s="19" t="str">
        <f>IFERROR(__xludf.DUMMYFUNCTION("""COMPUTED_VALUE"""),"PEREMPUAN")</f>
        <v>PEREMPUAN</v>
      </c>
      <c r="M468" s="16" t="str">
        <f>IFERROR(__xludf.DUMMYFUNCTION("""COMPUTED_VALUE"""),"JL. PARIT H. HUSIN 2 GG. MITRA NO. 31")</f>
        <v>JL. PARIT H. HUSIN 2 GG. MITRA NO. 31</v>
      </c>
      <c r="N468" s="16"/>
      <c r="O468" s="16"/>
      <c r="P468" s="16"/>
      <c r="Q468" s="16"/>
      <c r="R468" s="19" t="str">
        <f>IFERROR(__xludf.DUMMYFUNCTION("""COMPUTED_VALUE"""),"ISLAM")</f>
        <v>ISLAM</v>
      </c>
      <c r="S468" s="16" t="str">
        <f>IFERROR(__xludf.DUMMYFUNCTION("""COMPUTED_VALUE"""),"SWASTA")</f>
        <v>SWASTA</v>
      </c>
      <c r="T468" s="16" t="str">
        <f>IFERROR(__xludf.DUMMYFUNCTION("""COMPUTED_VALUE"""),"NYERI TUMIT")</f>
        <v>NYERI TUMIT</v>
      </c>
      <c r="U468" s="16" t="str">
        <f>IFERROR(__xludf.DUMMYFUNCTION("""COMPUTED_VALUE"""),"SENAM")</f>
        <v>SENAM</v>
      </c>
      <c r="V468" s="11" t="str">
        <f>IFERROR(__xludf.DUMMYFUNCTION("""COMPUTED_VALUE"""),"0895600386873")</f>
        <v>0895600386873</v>
      </c>
      <c r="W468" s="15"/>
    </row>
    <row r="469" ht="22.5" customHeight="1">
      <c r="A469" s="8"/>
      <c r="B469" s="9">
        <f>IFERROR(__xludf.DUMMYFUNCTION("""COMPUTED_VALUE"""),45096.50714555556)</f>
        <v>45096.50715</v>
      </c>
      <c r="C469" s="9"/>
      <c r="D469" s="10">
        <f>IFERROR(__xludf.DUMMYFUNCTION("""COMPUTED_VALUE"""),45098.0)</f>
        <v>45098</v>
      </c>
      <c r="E469" s="10" t="str">
        <f>IFERROR(__xludf.DUMMYFUNCTION("""COMPUTED_VALUE"""),"06Jun")</f>
        <v>06Jun</v>
      </c>
      <c r="F469" s="10" t="str">
        <f>IFERROR(__xludf.DUMMYFUNCTION("""COMPUTED_VALUE"""),"2023")</f>
        <v>2023</v>
      </c>
      <c r="G469" s="16" t="str">
        <f>IFERROR(__xludf.DUMMYFUNCTION("""COMPUTED_VALUE"""),"WACHIED SETIYO POETRA")</f>
        <v>WACHIED SETIYO POETRA</v>
      </c>
      <c r="H469" s="17" t="str">
        <f>IFERROR(__xludf.DUMMYFUNCTION("""COMPUTED_VALUE"""),"W9123066982")</f>
        <v>W9123066982</v>
      </c>
      <c r="I469" s="17">
        <f>IFERROR(__xludf.DUMMYFUNCTION("""COMPUTED_VALUE"""),34.0)</f>
        <v>34</v>
      </c>
      <c r="J469" s="17" t="str">
        <f>IFERROR(__xludf.DUMMYFUNCTION("""COMPUTED_VALUE"""),"25-34 tahun")</f>
        <v>25-34 tahun</v>
      </c>
      <c r="K469" s="19">
        <f>IFERROR(__xludf.DUMMYFUNCTION("""COMPUTED_VALUE"""),33421.0)</f>
        <v>33421</v>
      </c>
      <c r="L469" s="19" t="str">
        <f>IFERROR(__xludf.DUMMYFUNCTION("""COMPUTED_VALUE"""),"LAKI-LAKI")</f>
        <v>LAKI-LAKI</v>
      </c>
      <c r="M469" s="16" t="str">
        <f>IFERROR(__xludf.DUMMYFUNCTION("""COMPUTED_VALUE"""),"JL. KARYA BARU, KOMP. KARYA BARU PERMAI, NO. 69")</f>
        <v>JL. KARYA BARU, KOMP. KARYA BARU PERMAI, NO. 69</v>
      </c>
      <c r="N469" s="16"/>
      <c r="O469" s="16"/>
      <c r="P469" s="16"/>
      <c r="Q469" s="16"/>
      <c r="R469" s="19" t="str">
        <f>IFERROR(__xludf.DUMMYFUNCTION("""COMPUTED_VALUE"""),"ISLAM")</f>
        <v>ISLAM</v>
      </c>
      <c r="S469" s="16" t="str">
        <f>IFERROR(__xludf.DUMMYFUNCTION("""COMPUTED_VALUE"""),"ASN")</f>
        <v>ASN</v>
      </c>
      <c r="T469" s="16" t="str">
        <f>IFERROR(__xludf.DUMMYFUNCTION("""COMPUTED_VALUE"""),"NYERI DI PASCA CIDERA")</f>
        <v>NYERI DI PASCA CIDERA</v>
      </c>
      <c r="U469" s="16" t="str">
        <f>IFERROR(__xludf.DUMMYFUNCTION("""COMPUTED_VALUE"""),"-")</f>
        <v>-</v>
      </c>
      <c r="V469" s="11" t="str">
        <f>IFERROR(__xludf.DUMMYFUNCTION("""COMPUTED_VALUE"""),"082287806982")</f>
        <v>082287806982</v>
      </c>
      <c r="W469" s="15"/>
    </row>
    <row r="470" ht="22.5" customHeight="1">
      <c r="A470" s="8"/>
      <c r="B470" s="9">
        <f>IFERROR(__xludf.DUMMYFUNCTION("""COMPUTED_VALUE"""),45097.43354642361)</f>
        <v>45097.43355</v>
      </c>
      <c r="C470" s="9"/>
      <c r="D470" s="10">
        <f>IFERROR(__xludf.DUMMYFUNCTION("""COMPUTED_VALUE"""),45099.0)</f>
        <v>45099</v>
      </c>
      <c r="E470" s="10" t="str">
        <f>IFERROR(__xludf.DUMMYFUNCTION("""COMPUTED_VALUE"""),"06Jun")</f>
        <v>06Jun</v>
      </c>
      <c r="F470" s="10" t="str">
        <f>IFERROR(__xludf.DUMMYFUNCTION("""COMPUTED_VALUE"""),"2023")</f>
        <v>2023</v>
      </c>
      <c r="G470" s="16" t="str">
        <f>IFERROR(__xludf.DUMMYFUNCTION("""COMPUTED_VALUE"""),"LUQMAN ABDULHAKIM")</f>
        <v>LUQMAN ABDULHAKIM</v>
      </c>
      <c r="H470" s="17" t="str">
        <f>IFERROR(__xludf.DUMMYFUNCTION("""COMPUTED_VALUE"""),"L1423066180")</f>
        <v>L1423066180</v>
      </c>
      <c r="I470" s="17">
        <f>IFERROR(__xludf.DUMMYFUNCTION("""COMPUTED_VALUE"""),12.0)</f>
        <v>12</v>
      </c>
      <c r="J470" s="17" t="str">
        <f>IFERROR(__xludf.DUMMYFUNCTION("""COMPUTED_VALUE"""),"&lt; 18 tahun")</f>
        <v>&lt; 18 tahun</v>
      </c>
      <c r="K470" s="19">
        <f>IFERROR(__xludf.DUMMYFUNCTION("""COMPUTED_VALUE"""),41647.0)</f>
        <v>41647</v>
      </c>
      <c r="L470" s="19" t="str">
        <f>IFERROR(__xludf.DUMMYFUNCTION("""COMPUTED_VALUE"""),"LAKI-LAKI")</f>
        <v>LAKI-LAKI</v>
      </c>
      <c r="M470" s="16" t="str">
        <f>IFERROR(__xludf.DUMMYFUNCTION("""COMPUTED_VALUE"""),"DS. LANDAU BARA, KEC. KAYAN HULU KAB. SINTANG")</f>
        <v>DS. LANDAU BARA, KEC. KAYAN HULU KAB. SINTANG</v>
      </c>
      <c r="N470" s="16"/>
      <c r="O470" s="16"/>
      <c r="P470" s="16"/>
      <c r="Q470" s="16"/>
      <c r="R470" s="19" t="str">
        <f>IFERROR(__xludf.DUMMYFUNCTION("""COMPUTED_VALUE"""),"ISLAM")</f>
        <v>ISLAM</v>
      </c>
      <c r="S470" s="16" t="str">
        <f>IFERROR(__xludf.DUMMYFUNCTION("""COMPUTED_VALUE"""),"PELAJAR/MAHASISWA")</f>
        <v>PELAJAR/MAHASISWA</v>
      </c>
      <c r="T470" s="16" t="str">
        <f>IFERROR(__xludf.DUMMYFUNCTION("""COMPUTED_VALUE"""),"NYERI PADA JIKA AKTIFITAS TERLALU LAMA")</f>
        <v>NYERI PADA JIKA AKTIFITAS TERLALU LAMA</v>
      </c>
      <c r="U470" s="16" t="str">
        <f>IFERROR(__xludf.DUMMYFUNCTION("""COMPUTED_VALUE"""),"MAIN BOLA")</f>
        <v>MAIN BOLA</v>
      </c>
      <c r="V470" s="11" t="str">
        <f>IFERROR(__xludf.DUMMYFUNCTION("""COMPUTED_VALUE"""),"081649326180")</f>
        <v>081649326180</v>
      </c>
      <c r="W470" s="15"/>
    </row>
    <row r="471" ht="22.5" customHeight="1">
      <c r="A471" s="8"/>
      <c r="B471" s="9">
        <f>IFERROR(__xludf.DUMMYFUNCTION("""COMPUTED_VALUE"""),45097.44762313657)</f>
        <v>45097.44762</v>
      </c>
      <c r="C471" s="9"/>
      <c r="D471" s="10">
        <f>IFERROR(__xludf.DUMMYFUNCTION("""COMPUTED_VALUE"""),45099.0)</f>
        <v>45099</v>
      </c>
      <c r="E471" s="10" t="str">
        <f>IFERROR(__xludf.DUMMYFUNCTION("""COMPUTED_VALUE"""),"06Jun")</f>
        <v>06Jun</v>
      </c>
      <c r="F471" s="10" t="str">
        <f>IFERROR(__xludf.DUMMYFUNCTION("""COMPUTED_VALUE"""),"2023")</f>
        <v>2023</v>
      </c>
      <c r="G471" s="16" t="str">
        <f>IFERROR(__xludf.DUMMYFUNCTION("""COMPUTED_VALUE"""),"IWAN SETIAWAN0505")</f>
        <v>IWAN SETIAWAN0505</v>
      </c>
      <c r="H471" s="17" t="str">
        <f>IFERROR(__xludf.DUMMYFUNCTION("""COMPUTED_VALUE"""),"I0523068702")</f>
        <v>I0523068702</v>
      </c>
      <c r="I471" s="17">
        <f>IFERROR(__xludf.DUMMYFUNCTION("""COMPUTED_VALUE"""),21.0)</f>
        <v>21</v>
      </c>
      <c r="J471" s="17" t="str">
        <f>IFERROR(__xludf.DUMMYFUNCTION("""COMPUTED_VALUE"""),"18-24 tahun")</f>
        <v>18-24 tahun</v>
      </c>
      <c r="K471" s="19">
        <f>IFERROR(__xludf.DUMMYFUNCTION("""COMPUTED_VALUE"""),38490.0)</f>
        <v>38490</v>
      </c>
      <c r="L471" s="19" t="str">
        <f>IFERROR(__xludf.DUMMYFUNCTION("""COMPUTED_VALUE"""),"LAKI-LAKI")</f>
        <v>LAKI-LAKI</v>
      </c>
      <c r="M471" s="16" t="str">
        <f>IFERROR(__xludf.DUMMYFUNCTION("""COMPUTED_VALUE"""),"JL.SAMBAS BARAT KOMPLEK SAIGON INDAH LESTARI")</f>
        <v>JL.SAMBAS BARAT KOMPLEK SAIGON INDAH LESTARI</v>
      </c>
      <c r="N471" s="16"/>
      <c r="O471" s="16"/>
      <c r="P471" s="16"/>
      <c r="Q471" s="16"/>
      <c r="R471" s="19" t="str">
        <f>IFERROR(__xludf.DUMMYFUNCTION("""COMPUTED_VALUE"""),"ISLAM")</f>
        <v>ISLAM</v>
      </c>
      <c r="S471" s="16" t="str">
        <f>IFERROR(__xludf.DUMMYFUNCTION("""COMPUTED_VALUE"""),"SWASTA")</f>
        <v>SWASTA</v>
      </c>
      <c r="T471" s="16" t="str">
        <f>IFERROR(__xludf.DUMMYFUNCTION("""COMPUTED_VALUE"""),"KAKI X")</f>
        <v>KAKI X</v>
      </c>
      <c r="U471" s="16" t="str">
        <f>IFERROR(__xludf.DUMMYFUNCTION("""COMPUTED_VALUE"""),"OLAHRAGA")</f>
        <v>OLAHRAGA</v>
      </c>
      <c r="V471" s="11" t="str">
        <f>IFERROR(__xludf.DUMMYFUNCTION("""COMPUTED_VALUE"""),"085751858702")</f>
        <v>085751858702</v>
      </c>
      <c r="W471" s="15"/>
    </row>
    <row r="472" ht="22.5" customHeight="1">
      <c r="A472" s="8"/>
      <c r="B472" s="9">
        <f>IFERROR(__xludf.DUMMYFUNCTION("""COMPUTED_VALUE"""),45097.690717453705)</f>
        <v>45097.69072</v>
      </c>
      <c r="C472" s="9"/>
      <c r="D472" s="10">
        <f>IFERROR(__xludf.DUMMYFUNCTION("""COMPUTED_VALUE"""),45099.0)</f>
        <v>45099</v>
      </c>
      <c r="E472" s="10" t="str">
        <f>IFERROR(__xludf.DUMMYFUNCTION("""COMPUTED_VALUE"""),"06Jun")</f>
        <v>06Jun</v>
      </c>
      <c r="F472" s="10" t="str">
        <f>IFERROR(__xludf.DUMMYFUNCTION("""COMPUTED_VALUE"""),"2023")</f>
        <v>2023</v>
      </c>
      <c r="G472" s="16" t="str">
        <f>IFERROR(__xludf.DUMMYFUNCTION("""COMPUTED_VALUE"""),"SUWANDI PUTRA LUSLIM")</f>
        <v>SUWANDI PUTRA LUSLIM</v>
      </c>
      <c r="H472" s="17" t="str">
        <f>IFERROR(__xludf.DUMMYFUNCTION("""COMPUTED_VALUE"""),"S9123068899")</f>
        <v>S9123068899</v>
      </c>
      <c r="I472" s="17">
        <f>IFERROR(__xludf.DUMMYFUNCTION("""COMPUTED_VALUE"""),34.0)</f>
        <v>34</v>
      </c>
      <c r="J472" s="17" t="str">
        <f>IFERROR(__xludf.DUMMYFUNCTION("""COMPUTED_VALUE"""),"25-34 tahun")</f>
        <v>25-34 tahun</v>
      </c>
      <c r="K472" s="19">
        <f>IFERROR(__xludf.DUMMYFUNCTION("""COMPUTED_VALUE"""),33512.0)</f>
        <v>33512</v>
      </c>
      <c r="L472" s="19" t="str">
        <f>IFERROR(__xludf.DUMMYFUNCTION("""COMPUTED_VALUE"""),"LAKI-LAKI")</f>
        <v>LAKI-LAKI</v>
      </c>
      <c r="M472" s="16" t="str">
        <f>IFERROR(__xludf.DUMMYFUNCTION("""COMPUTED_VALUE"""),"Jalan Ar Saleh Gang Cakra Nomor 29")</f>
        <v>Jalan Ar Saleh Gang Cakra Nomor 29</v>
      </c>
      <c r="N472" s="16"/>
      <c r="O472" s="16"/>
      <c r="P472" s="16"/>
      <c r="Q472" s="16"/>
      <c r="R472" s="19" t="str">
        <f>IFERROR(__xludf.DUMMYFUNCTION("""COMPUTED_VALUE"""),"PROTESTAN")</f>
        <v>PROTESTAN</v>
      </c>
      <c r="S472" s="16" t="str">
        <f>IFERROR(__xludf.DUMMYFUNCTION("""COMPUTED_VALUE"""),"WIRASWASTA")</f>
        <v>WIRASWASTA</v>
      </c>
      <c r="T472" s="16" t="str">
        <f>IFERROR(__xludf.DUMMYFUNCTION("""COMPUTED_VALUE"""),"TANGAN SAKIT / SENDI TANGAN")</f>
        <v>TANGAN SAKIT / SENDI TANGAN</v>
      </c>
      <c r="U472" s="16" t="str">
        <f>IFERROR(__xludf.DUMMYFUNCTION("""COMPUTED_VALUE"""),"BADMINTON")</f>
        <v>BADMINTON</v>
      </c>
      <c r="V472" s="11" t="str">
        <f>IFERROR(__xludf.DUMMYFUNCTION("""COMPUTED_VALUE"""),"0819808899")</f>
        <v>0819808899</v>
      </c>
      <c r="W472" s="15"/>
    </row>
    <row r="473" ht="22.5" customHeight="1">
      <c r="A473" s="8"/>
      <c r="B473" s="9">
        <f>IFERROR(__xludf.DUMMYFUNCTION("""COMPUTED_VALUE"""),45098.023424432875)</f>
        <v>45098.02342</v>
      </c>
      <c r="C473" s="9"/>
      <c r="D473" s="10">
        <f>IFERROR(__xludf.DUMMYFUNCTION("""COMPUTED_VALUE"""),45099.0)</f>
        <v>45099</v>
      </c>
      <c r="E473" s="10" t="str">
        <f>IFERROR(__xludf.DUMMYFUNCTION("""COMPUTED_VALUE"""),"06Jun")</f>
        <v>06Jun</v>
      </c>
      <c r="F473" s="10" t="str">
        <f>IFERROR(__xludf.DUMMYFUNCTION("""COMPUTED_VALUE"""),"2023")</f>
        <v>2023</v>
      </c>
      <c r="G473" s="16" t="str">
        <f>IFERROR(__xludf.DUMMYFUNCTION("""COMPUTED_VALUE"""),"SITI NURBAYA")</f>
        <v>SITI NURBAYA</v>
      </c>
      <c r="H473" s="17" t="str">
        <f>IFERROR(__xludf.DUMMYFUNCTION("""COMPUTED_VALUE"""),"S7323061995")</f>
        <v>S7323061995</v>
      </c>
      <c r="I473" s="17">
        <f>IFERROR(__xludf.DUMMYFUNCTION("""COMPUTED_VALUE"""),52.0)</f>
        <v>52</v>
      </c>
      <c r="J473" s="17" t="str">
        <f>IFERROR(__xludf.DUMMYFUNCTION("""COMPUTED_VALUE"""),"&gt; 44 tahun")</f>
        <v>&gt; 44 tahun</v>
      </c>
      <c r="K473" s="19">
        <f>IFERROR(__xludf.DUMMYFUNCTION("""COMPUTED_VALUE"""),26904.0)</f>
        <v>26904</v>
      </c>
      <c r="L473" s="19" t="str">
        <f>IFERROR(__xludf.DUMMYFUNCTION("""COMPUTED_VALUE"""),"PEREMPUAN")</f>
        <v>PEREMPUAN</v>
      </c>
      <c r="M473" s="16" t="str">
        <f>IFERROR(__xludf.DUMMYFUNCTION("""COMPUTED_VALUE"""),"Nanga Bunut, kecamatam bunut hilir, kapuas hulu, kalimantan barat")</f>
        <v>Nanga Bunut, kecamatam bunut hilir, kapuas hulu, kalimantan barat</v>
      </c>
      <c r="N473" s="16"/>
      <c r="O473" s="16"/>
      <c r="P473" s="16"/>
      <c r="Q473" s="16"/>
      <c r="R473" s="19" t="str">
        <f>IFERROR(__xludf.DUMMYFUNCTION("""COMPUTED_VALUE"""),"ISLAM")</f>
        <v>ISLAM</v>
      </c>
      <c r="S473" s="16" t="str">
        <f>IFERROR(__xludf.DUMMYFUNCTION("""COMPUTED_VALUE"""),"ASN")</f>
        <v>ASN</v>
      </c>
      <c r="T473" s="16" t="str">
        <f>IFERROR(__xludf.DUMMYFUNCTION("""COMPUTED_VALUE"""),"SAKIT PUNGGUNG TULANG EKOR SAMPAI TULANG BELAKANG")</f>
        <v>SAKIT PUNGGUNG TULANG EKOR SAMPAI TULANG BELAKANG</v>
      </c>
      <c r="U473" s="16" t="str">
        <f>IFERROR(__xludf.DUMMYFUNCTION("""COMPUTED_VALUE"""),"PEKERJAAN RUMAH")</f>
        <v>PEKERJAAN RUMAH</v>
      </c>
      <c r="V473" s="11" t="str">
        <f>IFERROR(__xludf.DUMMYFUNCTION("""COMPUTED_VALUE"""),"085753141995")</f>
        <v>085753141995</v>
      </c>
      <c r="W473" s="15"/>
    </row>
    <row r="474" ht="22.5" customHeight="1">
      <c r="A474" s="28"/>
      <c r="B474" s="9">
        <f>IFERROR(__xludf.DUMMYFUNCTION("""COMPUTED_VALUE"""),45098.399153067134)</f>
        <v>45098.39915</v>
      </c>
      <c r="C474" s="9"/>
      <c r="D474" s="10">
        <f>IFERROR(__xludf.DUMMYFUNCTION("""COMPUTED_VALUE"""),45101.0)</f>
        <v>45101</v>
      </c>
      <c r="E474" s="10" t="str">
        <f>IFERROR(__xludf.DUMMYFUNCTION("""COMPUTED_VALUE"""),"06Jun")</f>
        <v>06Jun</v>
      </c>
      <c r="F474" s="10" t="str">
        <f>IFERROR(__xludf.DUMMYFUNCTION("""COMPUTED_VALUE"""),"2023")</f>
        <v>2023</v>
      </c>
      <c r="G474" s="16" t="str">
        <f>IFERROR(__xludf.DUMMYFUNCTION("""COMPUTED_VALUE"""),"JOKO AKBAR")</f>
        <v>JOKO AKBAR</v>
      </c>
      <c r="H474" s="17" t="str">
        <f>IFERROR(__xludf.DUMMYFUNCTION("""COMPUTED_VALUE"""),"J9423062216")</f>
        <v>J9423062216</v>
      </c>
      <c r="I474" s="17">
        <f>IFERROR(__xludf.DUMMYFUNCTION("""COMPUTED_VALUE"""),32.0)</f>
        <v>32</v>
      </c>
      <c r="J474" s="17" t="str">
        <f>IFERROR(__xludf.DUMMYFUNCTION("""COMPUTED_VALUE"""),"25-34 tahun")</f>
        <v>25-34 tahun</v>
      </c>
      <c r="K474" s="19">
        <f>IFERROR(__xludf.DUMMYFUNCTION("""COMPUTED_VALUE"""),34434.0)</f>
        <v>34434</v>
      </c>
      <c r="L474" s="19" t="str">
        <f>IFERROR(__xludf.DUMMYFUNCTION("""COMPUTED_VALUE"""),"LAKI-LAKI")</f>
        <v>LAKI-LAKI</v>
      </c>
      <c r="M474" s="16" t="str">
        <f>IFERROR(__xludf.DUMMYFUNCTION("""COMPUTED_VALUE"""),"JL. VETERAN")</f>
        <v>JL. VETERAN</v>
      </c>
      <c r="N474" s="16"/>
      <c r="O474" s="16"/>
      <c r="P474" s="16"/>
      <c r="Q474" s="16"/>
      <c r="R474" s="19" t="str">
        <f>IFERROR(__xludf.DUMMYFUNCTION("""COMPUTED_VALUE"""),"ISLAM")</f>
        <v>ISLAM</v>
      </c>
      <c r="S474" s="16" t="str">
        <f>IFERROR(__xludf.DUMMYFUNCTION("""COMPUTED_VALUE"""),"SWASTA")</f>
        <v>SWASTA</v>
      </c>
      <c r="T474" s="16" t="str">
        <f>IFERROR(__xludf.DUMMYFUNCTION("""COMPUTED_VALUE"""),"NYERI PINGGANG HINGGA KE KAKI")</f>
        <v>NYERI PINGGANG HINGGA KE KAKI</v>
      </c>
      <c r="U474" s="16" t="str">
        <f>IFERROR(__xludf.DUMMYFUNCTION("""COMPUTED_VALUE"""),"FUTSAL")</f>
        <v>FUTSAL</v>
      </c>
      <c r="V474" s="11" t="str">
        <f>IFERROR(__xludf.DUMMYFUNCTION("""COMPUTED_VALUE"""),"0895701892216")</f>
        <v>0895701892216</v>
      </c>
      <c r="W474" s="15"/>
    </row>
    <row r="475" ht="22.5" customHeight="1">
      <c r="A475" s="28"/>
      <c r="B475" s="9">
        <f>IFERROR(__xludf.DUMMYFUNCTION("""COMPUTED_VALUE"""),45098.6734196412)</f>
        <v>45098.67342</v>
      </c>
      <c r="C475" s="9"/>
      <c r="D475" s="10">
        <f>IFERROR(__xludf.DUMMYFUNCTION("""COMPUTED_VALUE"""),45101.0)</f>
        <v>45101</v>
      </c>
      <c r="E475" s="10" t="str">
        <f>IFERROR(__xludf.DUMMYFUNCTION("""COMPUTED_VALUE"""),"06Jun")</f>
        <v>06Jun</v>
      </c>
      <c r="F475" s="10" t="str">
        <f>IFERROR(__xludf.DUMMYFUNCTION("""COMPUTED_VALUE"""),"2023")</f>
        <v>2023</v>
      </c>
      <c r="G475" s="16" t="str">
        <f>IFERROR(__xludf.DUMMYFUNCTION("""COMPUTED_VALUE"""),"NABILLA ARUM SEPTIRANI")</f>
        <v>NABILLA ARUM SEPTIRANI</v>
      </c>
      <c r="H475" s="17" t="str">
        <f>IFERROR(__xludf.DUMMYFUNCTION("""COMPUTED_VALUE"""),"N9523069353")</f>
        <v>N9523069353</v>
      </c>
      <c r="I475" s="17">
        <f>IFERROR(__xludf.DUMMYFUNCTION("""COMPUTED_VALUE"""),30.0)</f>
        <v>30</v>
      </c>
      <c r="J475" s="17" t="str">
        <f>IFERROR(__xludf.DUMMYFUNCTION("""COMPUTED_VALUE"""),"25-34 tahun")</f>
        <v>25-34 tahun</v>
      </c>
      <c r="K475" s="19">
        <f>IFERROR(__xludf.DUMMYFUNCTION("""COMPUTED_VALUE"""),34944.0)</f>
        <v>34944</v>
      </c>
      <c r="L475" s="19" t="str">
        <f>IFERROR(__xludf.DUMMYFUNCTION("""COMPUTED_VALUE"""),"PEREMPUAN")</f>
        <v>PEREMPUAN</v>
      </c>
      <c r="M475" s="16" t="str">
        <f>IFERROR(__xludf.DUMMYFUNCTION("""COMPUTED_VALUE"""),"Parit H. Husin II Komplek Pemda Jalur 1 No. 72")</f>
        <v>Parit H. Husin II Komplek Pemda Jalur 1 No. 72</v>
      </c>
      <c r="N475" s="16"/>
      <c r="O475" s="16"/>
      <c r="P475" s="16"/>
      <c r="Q475" s="16"/>
      <c r="R475" s="19" t="str">
        <f>IFERROR(__xludf.DUMMYFUNCTION("""COMPUTED_VALUE"""),"ISLAM")</f>
        <v>ISLAM</v>
      </c>
      <c r="S475" s="16" t="str">
        <f>IFERROR(__xludf.DUMMYFUNCTION("""COMPUTED_VALUE"""),"SWASTA")</f>
        <v>SWASTA</v>
      </c>
      <c r="T475" s="16" t="str">
        <f>IFERROR(__xludf.DUMMYFUNCTION("""COMPUTED_VALUE"""),"SAKIT PINGGANG BELAKANG (PEGAL, KAKU, ADA SEDIKIT NYERI, JARANG KESEMUTAN) SAAT POSISI DUDUK TERTENTU ATAU DUDUK TERLALU LAMA. TERASA TERIK SAMPAI DI KAKI KIRI, KAKI KANAN NORMAL. PERNAH TERPELESET JATUH KE ARAH KIRI HAMPIR SETAHUN LALU.")</f>
        <v>SAKIT PINGGANG BELAKANG (PEGAL, KAKU, ADA SEDIKIT NYERI, JARANG KESEMUTAN) SAAT POSISI DUDUK TERTENTU ATAU DUDUK TERLALU LAMA. TERASA TERIK SAMPAI DI KAKI KIRI, KAKI KANAN NORMAL. PERNAH TERPELESET JATUH KE ARAH KIRI HAMPIR SETAHUN LALU.</v>
      </c>
      <c r="U475" s="16" t="str">
        <f>IFERROR(__xludf.DUMMYFUNCTION("""COMPUTED_VALUE"""),"BEKERJA (ADA DUDUK LAMA), OLAHRAGA MINIMAL 2X SEMINGGU: WORKOUT DI RUMAH, JALAN KAKI, SEPEDA, LARI")</f>
        <v>BEKERJA (ADA DUDUK LAMA), OLAHRAGA MINIMAL 2X SEMINGGU: WORKOUT DI RUMAH, JALAN KAKI, SEPEDA, LARI</v>
      </c>
      <c r="V475" s="11" t="str">
        <f>IFERROR(__xludf.DUMMYFUNCTION("""COMPUTED_VALUE"""),"085249949353")</f>
        <v>085249949353</v>
      </c>
      <c r="W475" s="15"/>
    </row>
    <row r="476" ht="22.5" customHeight="1">
      <c r="A476" s="8"/>
      <c r="B476" s="9">
        <f>IFERROR(__xludf.DUMMYFUNCTION("""COMPUTED_VALUE"""),45098.78733210648)</f>
        <v>45098.78733</v>
      </c>
      <c r="C476" s="9"/>
      <c r="D476" s="10">
        <f>IFERROR(__xludf.DUMMYFUNCTION("""COMPUTED_VALUE"""),45101.0)</f>
        <v>45101</v>
      </c>
      <c r="E476" s="10" t="str">
        <f>IFERROR(__xludf.DUMMYFUNCTION("""COMPUTED_VALUE"""),"06Jun")</f>
        <v>06Jun</v>
      </c>
      <c r="F476" s="10" t="str">
        <f>IFERROR(__xludf.DUMMYFUNCTION("""COMPUTED_VALUE"""),"2023")</f>
        <v>2023</v>
      </c>
      <c r="G476" s="16" t="str">
        <f>IFERROR(__xludf.DUMMYFUNCTION("""COMPUTED_VALUE"""),"RONY PRATAMA")</f>
        <v>RONY PRATAMA</v>
      </c>
      <c r="H476" s="17" t="str">
        <f>IFERROR(__xludf.DUMMYFUNCTION("""COMPUTED_VALUE"""),"R9423060619")</f>
        <v>R9423060619</v>
      </c>
      <c r="I476" s="17">
        <f>IFERROR(__xludf.DUMMYFUNCTION("""COMPUTED_VALUE"""),31.0)</f>
        <v>31</v>
      </c>
      <c r="J476" s="17" t="str">
        <f>IFERROR(__xludf.DUMMYFUNCTION("""COMPUTED_VALUE"""),"25-34 tahun")</f>
        <v>25-34 tahun</v>
      </c>
      <c r="K476" s="19">
        <f>IFERROR(__xludf.DUMMYFUNCTION("""COMPUTED_VALUE"""),34504.0)</f>
        <v>34504</v>
      </c>
      <c r="L476" s="19" t="str">
        <f>IFERROR(__xludf.DUMMYFUNCTION("""COMPUTED_VALUE"""),"LAKI-LAKI")</f>
        <v>LAKI-LAKI</v>
      </c>
      <c r="M476" s="16" t="str">
        <f>IFERROR(__xludf.DUMMYFUNCTION("""COMPUTED_VALUE"""),"Jl. Dr. Sutomo Gg. Karya 1 No.26 Kota Pontianak")</f>
        <v>Jl. Dr. Sutomo Gg. Karya 1 No.26 Kota Pontianak</v>
      </c>
      <c r="N476" s="16"/>
      <c r="O476" s="16"/>
      <c r="P476" s="16"/>
      <c r="Q476" s="16"/>
      <c r="R476" s="19" t="str">
        <f>IFERROR(__xludf.DUMMYFUNCTION("""COMPUTED_VALUE"""),"ISLAM")</f>
        <v>ISLAM</v>
      </c>
      <c r="S476" s="16" t="str">
        <f>IFERROR(__xludf.DUMMYFUNCTION("""COMPUTED_VALUE"""),"SWASTA")</f>
        <v>SWASTA</v>
      </c>
      <c r="T476" s="16" t="str">
        <f>IFERROR(__xludf.DUMMYFUNCTION("""COMPUTED_VALUE"""),"KELUHAN SAYA DI KIRI SEPERTINYA KENA UNSTABEL JOINS KATA BU PIPIN FISIO PUSKESMAS ALIANYANG, JDI KAYAK SERING BEBUNYI2 GITU, PASCA CIDERA SETAHUN YANG LALU, TRUS KALAU BANYAK JALAN SAMA TURUN NAIK TANGGA RADA SAKIT...")</f>
        <v>KELUHAN SAYA DI KIRI SEPERTINYA KENA UNSTABEL JOINS KATA BU PIPIN FISIO PUSKESMAS ALIANYANG, JDI KAYAK SERING BEBUNYI2 GITU, PASCA CIDERA SETAHUN YANG LALU, TRUS KALAU BANYAK JALAN SAMA TURUN NAIK TANGGA RADA SAKIT...</v>
      </c>
      <c r="U476" s="16" t="str">
        <f>IFERROR(__xludf.DUMMYFUNCTION("""COMPUTED_VALUE"""),"OLAHRAGA")</f>
        <v>OLAHRAGA</v>
      </c>
      <c r="V476" s="11" t="str">
        <f>IFERROR(__xludf.DUMMYFUNCTION("""COMPUTED_VALUE"""),"085845420619")</f>
        <v>085845420619</v>
      </c>
      <c r="W476" s="15"/>
    </row>
    <row r="477" ht="22.5" customHeight="1">
      <c r="A477" s="8"/>
      <c r="B477" s="9">
        <f>IFERROR(__xludf.DUMMYFUNCTION("""COMPUTED_VALUE"""),45099.48248277778)</f>
        <v>45099.48248</v>
      </c>
      <c r="C477" s="9"/>
      <c r="D477" s="10">
        <f>IFERROR(__xludf.DUMMYFUNCTION("""COMPUTED_VALUE"""),45101.0)</f>
        <v>45101</v>
      </c>
      <c r="E477" s="10" t="str">
        <f>IFERROR(__xludf.DUMMYFUNCTION("""COMPUTED_VALUE"""),"06Jun")</f>
        <v>06Jun</v>
      </c>
      <c r="F477" s="10" t="str">
        <f>IFERROR(__xludf.DUMMYFUNCTION("""COMPUTED_VALUE"""),"2023")</f>
        <v>2023</v>
      </c>
      <c r="G477" s="16" t="str">
        <f>IFERROR(__xludf.DUMMYFUNCTION("""COMPUTED_VALUE"""),"MUHAMMAD FALATEHAN")</f>
        <v>MUHAMMAD FALATEHAN</v>
      </c>
      <c r="H477" s="17" t="str">
        <f>IFERROR(__xludf.DUMMYFUNCTION("""COMPUTED_VALUE"""),"M0623062755")</f>
        <v>M0623062755</v>
      </c>
      <c r="I477" s="17">
        <f>IFERROR(__xludf.DUMMYFUNCTION("""COMPUTED_VALUE"""),20.0)</f>
        <v>20</v>
      </c>
      <c r="J477" s="17" t="str">
        <f>IFERROR(__xludf.DUMMYFUNCTION("""COMPUTED_VALUE"""),"18-24 tahun")</f>
        <v>18-24 tahun</v>
      </c>
      <c r="K477" s="19">
        <f>IFERROR(__xludf.DUMMYFUNCTION("""COMPUTED_VALUE"""),38741.0)</f>
        <v>38741</v>
      </c>
      <c r="L477" s="19" t="str">
        <f>IFERROR(__xludf.DUMMYFUNCTION("""COMPUTED_VALUE"""),"LAKI-LAKI")</f>
        <v>LAKI-LAKI</v>
      </c>
      <c r="M477" s="16" t="str">
        <f>IFERROR(__xludf.DUMMYFUNCTION("""COMPUTED_VALUE"""),"Jl pak benceng Gg wonorejo")</f>
        <v>Jl pak benceng Gg wonorejo</v>
      </c>
      <c r="N477" s="16"/>
      <c r="O477" s="16"/>
      <c r="P477" s="16"/>
      <c r="Q477" s="16"/>
      <c r="R477" s="19" t="str">
        <f>IFERROR(__xludf.DUMMYFUNCTION("""COMPUTED_VALUE"""),"ISLAM")</f>
        <v>ISLAM</v>
      </c>
      <c r="S477" s="16" t="str">
        <f>IFERROR(__xludf.DUMMYFUNCTION("""COMPUTED_VALUE"""),"TIDAK ADA")</f>
        <v>TIDAK ADA</v>
      </c>
      <c r="T477" s="16" t="str">
        <f>IFERROR(__xludf.DUMMYFUNCTION("""COMPUTED_VALUE"""),"TULANG BELAKANG DI BAWAH TULANG SAYAP SAKIT")</f>
        <v>TULANG BELAKANG DI BAWAH TULANG SAYAP SAKIT</v>
      </c>
      <c r="U477" s="16" t="str">
        <f>IFERROR(__xludf.DUMMYFUNCTION("""COMPUTED_VALUE"""),"LARI, FUTSAL")</f>
        <v>LARI, FUTSAL</v>
      </c>
      <c r="V477" s="11" t="str">
        <f>IFERROR(__xludf.DUMMYFUNCTION("""COMPUTED_VALUE"""),"085247182755")</f>
        <v>085247182755</v>
      </c>
      <c r="W477" s="15"/>
    </row>
    <row r="478" ht="22.5" customHeight="1">
      <c r="A478" s="8"/>
      <c r="B478" s="9">
        <f>IFERROR(__xludf.DUMMYFUNCTION("""COMPUTED_VALUE"""),45099.554881504635)</f>
        <v>45099.55488</v>
      </c>
      <c r="C478" s="9"/>
      <c r="D478" s="10">
        <f>IFERROR(__xludf.DUMMYFUNCTION("""COMPUTED_VALUE"""),45101.0)</f>
        <v>45101</v>
      </c>
      <c r="E478" s="10" t="str">
        <f>IFERROR(__xludf.DUMMYFUNCTION("""COMPUTED_VALUE"""),"06Jun")</f>
        <v>06Jun</v>
      </c>
      <c r="F478" s="10" t="str">
        <f>IFERROR(__xludf.DUMMYFUNCTION("""COMPUTED_VALUE"""),"2023")</f>
        <v>2023</v>
      </c>
      <c r="G478" s="16" t="str">
        <f>IFERROR(__xludf.DUMMYFUNCTION("""COMPUTED_VALUE"""),"YEPI ROHIMAN")</f>
        <v>YEPI ROHIMAN</v>
      </c>
      <c r="H478" s="17" t="str">
        <f>IFERROR(__xludf.DUMMYFUNCTION("""COMPUTED_VALUE"""),"Y9123064783")</f>
        <v>Y9123064783</v>
      </c>
      <c r="I478" s="17">
        <f>IFERROR(__xludf.DUMMYFUNCTION("""COMPUTED_VALUE"""),35.0)</f>
        <v>35</v>
      </c>
      <c r="J478" s="17" t="str">
        <f>IFERROR(__xludf.DUMMYFUNCTION("""COMPUTED_VALUE"""),"35-44 tahun")</f>
        <v>35-44 tahun</v>
      </c>
      <c r="K478" s="19">
        <f>IFERROR(__xludf.DUMMYFUNCTION("""COMPUTED_VALUE"""),33390.0)</f>
        <v>33390</v>
      </c>
      <c r="L478" s="19" t="str">
        <f>IFERROR(__xludf.DUMMYFUNCTION("""COMPUTED_VALUE"""),"LAKI-LAKI")</f>
        <v>LAKI-LAKI</v>
      </c>
      <c r="M478" s="16" t="str">
        <f>IFERROR(__xludf.DUMMYFUNCTION("""COMPUTED_VALUE"""),"Jl Tebu Gg Musyawarah No 6 Pontianak")</f>
        <v>Jl Tebu Gg Musyawarah No 6 Pontianak</v>
      </c>
      <c r="N478" s="16"/>
      <c r="O478" s="16"/>
      <c r="P478" s="16"/>
      <c r="Q478" s="16"/>
      <c r="R478" s="19" t="str">
        <f>IFERROR(__xludf.DUMMYFUNCTION("""COMPUTED_VALUE"""),"ISLAM")</f>
        <v>ISLAM</v>
      </c>
      <c r="S478" s="16" t="str">
        <f>IFERROR(__xludf.DUMMYFUNCTION("""COMPUTED_VALUE"""),"ASN")</f>
        <v>ASN</v>
      </c>
      <c r="T478" s="16" t="str">
        <f>IFERROR(__xludf.DUMMYFUNCTION("""COMPUTED_VALUE"""),"TUMIT SAKIT")</f>
        <v>TUMIT SAKIT</v>
      </c>
      <c r="U478" s="16" t="str">
        <f>IFERROR(__xludf.DUMMYFUNCTION("""COMPUTED_VALUE"""),"KERJA KANTORAN/SEPAKBOLA")</f>
        <v>KERJA KANTORAN/SEPAKBOLA</v>
      </c>
      <c r="V478" s="11" t="str">
        <f>IFERROR(__xludf.DUMMYFUNCTION("""COMPUTED_VALUE"""),"081222444783")</f>
        <v>081222444783</v>
      </c>
      <c r="W478" s="15"/>
    </row>
    <row r="479" ht="22.5" customHeight="1">
      <c r="A479" s="8"/>
      <c r="B479" s="9">
        <f>IFERROR(__xludf.DUMMYFUNCTION("""COMPUTED_VALUE"""),45099.809750416665)</f>
        <v>45099.80975</v>
      </c>
      <c r="C479" s="9"/>
      <c r="D479" s="10">
        <f>IFERROR(__xludf.DUMMYFUNCTION("""COMPUTED_VALUE"""),45102.0)</f>
        <v>45102</v>
      </c>
      <c r="E479" s="10" t="str">
        <f>IFERROR(__xludf.DUMMYFUNCTION("""COMPUTED_VALUE"""),"06Jun")</f>
        <v>06Jun</v>
      </c>
      <c r="F479" s="10" t="str">
        <f>IFERROR(__xludf.DUMMYFUNCTION("""COMPUTED_VALUE"""),"2023")</f>
        <v>2023</v>
      </c>
      <c r="G479" s="16" t="str">
        <f>IFERROR(__xludf.DUMMYFUNCTION("""COMPUTED_VALUE"""),"ISTIQAMAH")</f>
        <v>ISTIQAMAH</v>
      </c>
      <c r="H479" s="17" t="str">
        <f>IFERROR(__xludf.DUMMYFUNCTION("""COMPUTED_VALUE"""),"I8423066633")</f>
        <v>I8423066633</v>
      </c>
      <c r="I479" s="17">
        <f>IFERROR(__xludf.DUMMYFUNCTION("""COMPUTED_VALUE"""),41.0)</f>
        <v>41</v>
      </c>
      <c r="J479" s="17" t="str">
        <f>IFERROR(__xludf.DUMMYFUNCTION("""COMPUTED_VALUE"""),"35-44 tahun")</f>
        <v>35-44 tahun</v>
      </c>
      <c r="K479" s="19">
        <f>IFERROR(__xludf.DUMMYFUNCTION("""COMPUTED_VALUE"""),30948.0)</f>
        <v>30948</v>
      </c>
      <c r="L479" s="19" t="str">
        <f>IFERROR(__xludf.DUMMYFUNCTION("""COMPUTED_VALUE"""),"PEREMPUAN")</f>
        <v>PEREMPUAN</v>
      </c>
      <c r="M479" s="16" t="str">
        <f>IFERROR(__xludf.DUMMYFUNCTION("""COMPUTED_VALUE"""),"JL. K.H. WAHID HASYIM GG SETIA")</f>
        <v>JL. K.H. WAHID HASYIM GG SETIA</v>
      </c>
      <c r="N479" s="16"/>
      <c r="O479" s="16"/>
      <c r="P479" s="16"/>
      <c r="Q479" s="16"/>
      <c r="R479" s="19" t="str">
        <f>IFERROR(__xludf.DUMMYFUNCTION("""COMPUTED_VALUE"""),"ISLAM")</f>
        <v>ISLAM</v>
      </c>
      <c r="S479" s="16" t="str">
        <f>IFERROR(__xludf.DUMMYFUNCTION("""COMPUTED_VALUE"""),"ASN")</f>
        <v>ASN</v>
      </c>
      <c r="T479" s="16" t="str">
        <f>IFERROR(__xludf.DUMMYFUNCTION("""COMPUTED_VALUE"""),"SEBELAH KANAN SERING SAKIT APABILA NAIK TANGGA")</f>
        <v>SEBELAH KANAN SERING SAKIT APABILA NAIK TANGGA</v>
      </c>
      <c r="U479" s="16" t="str">
        <f>IFERROR(__xludf.DUMMYFUNCTION("""COMPUTED_VALUE"""),"OLAH RAGA")</f>
        <v>OLAH RAGA</v>
      </c>
      <c r="V479" s="11" t="str">
        <f>IFERROR(__xludf.DUMMYFUNCTION("""COMPUTED_VALUE"""),"0895324096633")</f>
        <v>0895324096633</v>
      </c>
      <c r="W479" s="15"/>
    </row>
    <row r="480" ht="22.5" customHeight="1">
      <c r="A480" s="8"/>
      <c r="B480" s="9">
        <f>IFERROR(__xludf.DUMMYFUNCTION("""COMPUTED_VALUE"""),45099.844099849535)</f>
        <v>45099.8441</v>
      </c>
      <c r="C480" s="9"/>
      <c r="D480" s="10">
        <f>IFERROR(__xludf.DUMMYFUNCTION("""COMPUTED_VALUE"""),45102.0)</f>
        <v>45102</v>
      </c>
      <c r="E480" s="10" t="str">
        <f>IFERROR(__xludf.DUMMYFUNCTION("""COMPUTED_VALUE"""),"06Jun")</f>
        <v>06Jun</v>
      </c>
      <c r="F480" s="10" t="str">
        <f>IFERROR(__xludf.DUMMYFUNCTION("""COMPUTED_VALUE"""),"2023")</f>
        <v>2023</v>
      </c>
      <c r="G480" s="16" t="str">
        <f>IFERROR(__xludf.DUMMYFUNCTION("""COMPUTED_VALUE"""),"ALFI ZIKRIL RAKHMADI")</f>
        <v>ALFI ZIKRIL RAKHMADI</v>
      </c>
      <c r="H480" s="17" t="str">
        <f>IFERROR(__xludf.DUMMYFUNCTION("""COMPUTED_VALUE"""),"A0523069035")</f>
        <v>A0523069035</v>
      </c>
      <c r="I480" s="17">
        <f>IFERROR(__xludf.DUMMYFUNCTION("""COMPUTED_VALUE"""),21.0)</f>
        <v>21</v>
      </c>
      <c r="J480" s="17" t="str">
        <f>IFERROR(__xludf.DUMMYFUNCTION("""COMPUTED_VALUE"""),"18-24 tahun")</f>
        <v>18-24 tahun</v>
      </c>
      <c r="K480" s="19">
        <f>IFERROR(__xludf.DUMMYFUNCTION("""COMPUTED_VALUE"""),38513.0)</f>
        <v>38513</v>
      </c>
      <c r="L480" s="19" t="str">
        <f>IFERROR(__xludf.DUMMYFUNCTION("""COMPUTED_VALUE"""),"LAKI-LAKI")</f>
        <v>LAKI-LAKI</v>
      </c>
      <c r="M480" s="16" t="str">
        <f>IFERROR(__xludf.DUMMYFUNCTION("""COMPUTED_VALUE"""),"Jl. Tani 1 Gg. Mangga No. 2")</f>
        <v>Jl. Tani 1 Gg. Mangga No. 2</v>
      </c>
      <c r="N480" s="16"/>
      <c r="O480" s="16"/>
      <c r="P480" s="16"/>
      <c r="Q480" s="16"/>
      <c r="R480" s="19" t="str">
        <f>IFERROR(__xludf.DUMMYFUNCTION("""COMPUTED_VALUE"""),"ISLAM")</f>
        <v>ISLAM</v>
      </c>
      <c r="S480" s="16" t="str">
        <f>IFERROR(__xludf.DUMMYFUNCTION("""COMPUTED_VALUE"""),"PELAJAR/MAHASISWA")</f>
        <v>PELAJAR/MAHASISWA</v>
      </c>
      <c r="T480" s="16" t="str">
        <f>IFERROR(__xludf.DUMMYFUNCTION("""COMPUTED_VALUE"""),"CEDERA ANKLE &amp; JEMPOL KAKI")</f>
        <v>CEDERA ANKLE &amp; JEMPOL KAKI</v>
      </c>
      <c r="U480" s="16" t="str">
        <f>IFERROR(__xludf.DUMMYFUNCTION("""COMPUTED_VALUE"""),"FUTSAL")</f>
        <v>FUTSAL</v>
      </c>
      <c r="V480" s="11" t="str">
        <f>IFERROR(__xludf.DUMMYFUNCTION("""COMPUTED_VALUE"""),"081257899035")</f>
        <v>081257899035</v>
      </c>
      <c r="W480" s="15"/>
    </row>
    <row r="481" ht="22.5" customHeight="1">
      <c r="A481" s="8"/>
      <c r="B481" s="9">
        <f>IFERROR(__xludf.DUMMYFUNCTION("""COMPUTED_VALUE"""),45101.46386737269)</f>
        <v>45101.46387</v>
      </c>
      <c r="C481" s="9"/>
      <c r="D481" s="10">
        <f>IFERROR(__xludf.DUMMYFUNCTION("""COMPUTED_VALUE"""),45102.0)</f>
        <v>45102</v>
      </c>
      <c r="E481" s="10" t="str">
        <f>IFERROR(__xludf.DUMMYFUNCTION("""COMPUTED_VALUE"""),"06Jun")</f>
        <v>06Jun</v>
      </c>
      <c r="F481" s="10" t="str">
        <f>IFERROR(__xludf.DUMMYFUNCTION("""COMPUTED_VALUE"""),"2023")</f>
        <v>2023</v>
      </c>
      <c r="G481" s="16" t="str">
        <f>IFERROR(__xludf.DUMMYFUNCTION("""COMPUTED_VALUE"""),"ANUGRAH DESWARI")</f>
        <v>ANUGRAH DESWARI</v>
      </c>
      <c r="H481" s="17" t="str">
        <f>IFERROR(__xludf.DUMMYFUNCTION("""COMPUTED_VALUE"""),"A9323060943")</f>
        <v>A9323060943</v>
      </c>
      <c r="I481" s="17">
        <f>IFERROR(__xludf.DUMMYFUNCTION("""COMPUTED_VALUE"""),32.0)</f>
        <v>32</v>
      </c>
      <c r="J481" s="17" t="str">
        <f>IFERROR(__xludf.DUMMYFUNCTION("""COMPUTED_VALUE"""),"25-34 tahun")</f>
        <v>25-34 tahun</v>
      </c>
      <c r="K481" s="19">
        <f>IFERROR(__xludf.DUMMYFUNCTION("""COMPUTED_VALUE"""),34312.0)</f>
        <v>34312</v>
      </c>
      <c r="L481" s="19" t="str">
        <f>IFERROR(__xludf.DUMMYFUNCTION("""COMPUTED_VALUE"""),"LAKI-LAKI")</f>
        <v>LAKI-LAKI</v>
      </c>
      <c r="M481" s="16" t="str">
        <f>IFERROR(__xludf.DUMMYFUNCTION("""COMPUTED_VALUE"""),"Jl. Sui raya dalam gg. Family no. M-8")</f>
        <v>Jl. Sui raya dalam gg. Family no. M-8</v>
      </c>
      <c r="N481" s="16"/>
      <c r="O481" s="16"/>
      <c r="P481" s="16"/>
      <c r="Q481" s="16"/>
      <c r="R481" s="19" t="str">
        <f>IFERROR(__xludf.DUMMYFUNCTION("""COMPUTED_VALUE"""),"ISLAM")</f>
        <v>ISLAM</v>
      </c>
      <c r="S481" s="16" t="str">
        <f>IFERROR(__xludf.DUMMYFUNCTION("""COMPUTED_VALUE"""),"ASN")</f>
        <v>ASN</v>
      </c>
      <c r="T481" s="16" t="str">
        <f>IFERROR(__xludf.DUMMYFUNCTION("""COMPUTED_VALUE"""),"Cedera")</f>
        <v>Cedera</v>
      </c>
      <c r="U481" s="16" t="str">
        <f>IFERROR(__xludf.DUMMYFUNCTION("""COMPUTED_VALUE"""),"BOLA")</f>
        <v>BOLA</v>
      </c>
      <c r="V481" s="11" t="str">
        <f>IFERROR(__xludf.DUMMYFUNCTION("""COMPUTED_VALUE"""),"082284470943")</f>
        <v>082284470943</v>
      </c>
      <c r="W481" s="15"/>
    </row>
    <row r="482" ht="22.5" customHeight="1">
      <c r="A482" s="8"/>
      <c r="B482" s="9">
        <f>IFERROR(__xludf.DUMMYFUNCTION("""COMPUTED_VALUE"""),45101.62504914352)</f>
        <v>45101.62505</v>
      </c>
      <c r="C482" s="9"/>
      <c r="D482" s="10">
        <f>IFERROR(__xludf.DUMMYFUNCTION("""COMPUTED_VALUE"""),45102.0)</f>
        <v>45102</v>
      </c>
      <c r="E482" s="10" t="str">
        <f>IFERROR(__xludf.DUMMYFUNCTION("""COMPUTED_VALUE"""),"06Jun")</f>
        <v>06Jun</v>
      </c>
      <c r="F482" s="10" t="str">
        <f>IFERROR(__xludf.DUMMYFUNCTION("""COMPUTED_VALUE"""),"2023")</f>
        <v>2023</v>
      </c>
      <c r="G482" s="16" t="str">
        <f>IFERROR(__xludf.DUMMYFUNCTION("""COMPUTED_VALUE"""),"MUNAWAR FUADI")</f>
        <v>MUNAWAR FUADI</v>
      </c>
      <c r="H482" s="17" t="str">
        <f>IFERROR(__xludf.DUMMYFUNCTION("""COMPUTED_VALUE"""),"M8023069480")</f>
        <v>M8023069480</v>
      </c>
      <c r="I482" s="17">
        <f>IFERROR(__xludf.DUMMYFUNCTION("""COMPUTED_VALUE"""),46.0)</f>
        <v>46</v>
      </c>
      <c r="J482" s="17" t="str">
        <f>IFERROR(__xludf.DUMMYFUNCTION("""COMPUTED_VALUE"""),"&gt; 44 tahun")</f>
        <v>&gt; 44 tahun</v>
      </c>
      <c r="K482" s="19">
        <f>IFERROR(__xludf.DUMMYFUNCTION("""COMPUTED_VALUE"""),29340.0)</f>
        <v>29340</v>
      </c>
      <c r="L482" s="19" t="str">
        <f>IFERROR(__xludf.DUMMYFUNCTION("""COMPUTED_VALUE"""),"LAKI-LAKI")</f>
        <v>LAKI-LAKI</v>
      </c>
      <c r="M482" s="16" t="str">
        <f>IFERROR(__xludf.DUMMYFUNCTION("""COMPUTED_VALUE"""),"JL. TANK MAKEUP NO. 7")</f>
        <v>JL. TANK MAKEUP NO. 7</v>
      </c>
      <c r="N482" s="16"/>
      <c r="O482" s="16"/>
      <c r="P482" s="16"/>
      <c r="Q482" s="16"/>
      <c r="R482" s="19" t="str">
        <f>IFERROR(__xludf.DUMMYFUNCTION("""COMPUTED_VALUE"""),"ISLAM")</f>
        <v>ISLAM</v>
      </c>
      <c r="S482" s="16" t="str">
        <f>IFERROR(__xludf.DUMMYFUNCTION("""COMPUTED_VALUE"""),"SWASTA")</f>
        <v>SWASTA</v>
      </c>
      <c r="T482" s="16" t="str">
        <f>IFERROR(__xludf.DUMMYFUNCTION("""COMPUTED_VALUE"""),"NYERI OTOT")</f>
        <v>NYERI OTOT</v>
      </c>
      <c r="U482" s="16" t="str">
        <f>IFERROR(__xludf.DUMMYFUNCTION("""COMPUTED_VALUE"""),"BADMINTON, FUTSAL")</f>
        <v>BADMINTON, FUTSAL</v>
      </c>
      <c r="V482" s="11" t="str">
        <f>IFERROR(__xludf.DUMMYFUNCTION("""COMPUTED_VALUE"""),"081257929480")</f>
        <v>081257929480</v>
      </c>
      <c r="W482" s="15"/>
    </row>
    <row r="483" ht="22.5" customHeight="1">
      <c r="A483" s="8"/>
      <c r="B483" s="9">
        <f>IFERROR(__xludf.DUMMYFUNCTION("""COMPUTED_VALUE"""),45101.88372172454)</f>
        <v>45101.88372</v>
      </c>
      <c r="C483" s="9"/>
      <c r="D483" s="10">
        <f>IFERROR(__xludf.DUMMYFUNCTION("""COMPUTED_VALUE"""),45102.0)</f>
        <v>45102</v>
      </c>
      <c r="E483" s="10" t="str">
        <f>IFERROR(__xludf.DUMMYFUNCTION("""COMPUTED_VALUE"""),"06Jun")</f>
        <v>06Jun</v>
      </c>
      <c r="F483" s="10" t="str">
        <f>IFERROR(__xludf.DUMMYFUNCTION("""COMPUTED_VALUE"""),"2023")</f>
        <v>2023</v>
      </c>
      <c r="G483" s="16" t="str">
        <f>IFERROR(__xludf.DUMMYFUNCTION("""COMPUTED_VALUE"""),"NADYA FIRDASARI")</f>
        <v>NADYA FIRDASARI</v>
      </c>
      <c r="H483" s="17" t="str">
        <f>IFERROR(__xludf.DUMMYFUNCTION("""COMPUTED_VALUE"""),"N1023066868")</f>
        <v>N1023066868</v>
      </c>
      <c r="I483" s="17">
        <f>IFERROR(__xludf.DUMMYFUNCTION("""COMPUTED_VALUE"""),16.0)</f>
        <v>16</v>
      </c>
      <c r="J483" s="17" t="str">
        <f>IFERROR(__xludf.DUMMYFUNCTION("""COMPUTED_VALUE"""),"&lt; 18 tahun")</f>
        <v>&lt; 18 tahun</v>
      </c>
      <c r="K483" s="19">
        <f>IFERROR(__xludf.DUMMYFUNCTION("""COMPUTED_VALUE"""),40207.0)</f>
        <v>40207</v>
      </c>
      <c r="L483" s="19" t="str">
        <f>IFERROR(__xludf.DUMMYFUNCTION("""COMPUTED_VALUE"""),"PEREMPUAN")</f>
        <v>PEREMPUAN</v>
      </c>
      <c r="M483" s="16" t="str">
        <f>IFERROR(__xludf.DUMMYFUNCTION("""COMPUTED_VALUE"""),"SUKABANGUN, KETAPANG")</f>
        <v>SUKABANGUN, KETAPANG</v>
      </c>
      <c r="N483" s="16"/>
      <c r="O483" s="16"/>
      <c r="P483" s="16"/>
      <c r="Q483" s="16"/>
      <c r="R483" s="19" t="str">
        <f>IFERROR(__xludf.DUMMYFUNCTION("""COMPUTED_VALUE"""),"ISLAM")</f>
        <v>ISLAM</v>
      </c>
      <c r="S483" s="16" t="str">
        <f>IFERROR(__xludf.DUMMYFUNCTION("""COMPUTED_VALUE"""),"ATLET")</f>
        <v>ATLET</v>
      </c>
      <c r="T483" s="16" t="str">
        <f>IFERROR(__xludf.DUMMYFUNCTION("""COMPUTED_VALUE"""),"Sakit paha kanan belakang dan sakit di bawah kanan")</f>
        <v>Sakit paha kanan belakang dan sakit di bawah kanan</v>
      </c>
      <c r="U483" s="16" t="str">
        <f>IFERROR(__xludf.DUMMYFUNCTION("""COMPUTED_VALUE"""),"BADMINTON")</f>
        <v>BADMINTON</v>
      </c>
      <c r="V483" s="11" t="str">
        <f>IFERROR(__xludf.DUMMYFUNCTION("""COMPUTED_VALUE"""),"082350946868")</f>
        <v>082350946868</v>
      </c>
      <c r="W483" s="15"/>
    </row>
    <row r="484" ht="22.5" customHeight="1">
      <c r="A484" s="8"/>
      <c r="B484" s="9">
        <f>IFERROR(__xludf.DUMMYFUNCTION("""COMPUTED_VALUE"""),45102.15325346065)</f>
        <v>45102.15325</v>
      </c>
      <c r="C484" s="9"/>
      <c r="D484" s="10">
        <f>IFERROR(__xludf.DUMMYFUNCTION("""COMPUTED_VALUE"""),45103.0)</f>
        <v>45103</v>
      </c>
      <c r="E484" s="10" t="str">
        <f>IFERROR(__xludf.DUMMYFUNCTION("""COMPUTED_VALUE"""),"06Jun")</f>
        <v>06Jun</v>
      </c>
      <c r="F484" s="10" t="str">
        <f>IFERROR(__xludf.DUMMYFUNCTION("""COMPUTED_VALUE"""),"2023")</f>
        <v>2023</v>
      </c>
      <c r="G484" s="16" t="str">
        <f>IFERROR(__xludf.DUMMYFUNCTION("""COMPUTED_VALUE"""),"PARAMITHA AFI")</f>
        <v>PARAMITHA AFI</v>
      </c>
      <c r="H484" s="17" t="str">
        <f>IFERROR(__xludf.DUMMYFUNCTION("""COMPUTED_VALUE"""),"P9423061035")</f>
        <v>P9423061035</v>
      </c>
      <c r="I484" s="17">
        <f>IFERROR(__xludf.DUMMYFUNCTION("""COMPUTED_VALUE"""),32.0)</f>
        <v>32</v>
      </c>
      <c r="J484" s="17" t="str">
        <f>IFERROR(__xludf.DUMMYFUNCTION("""COMPUTED_VALUE"""),"25-34 tahun")</f>
        <v>25-34 tahun</v>
      </c>
      <c r="K484" s="19">
        <f>IFERROR(__xludf.DUMMYFUNCTION("""COMPUTED_VALUE"""),34438.0)</f>
        <v>34438</v>
      </c>
      <c r="L484" s="19" t="str">
        <f>IFERROR(__xludf.DUMMYFUNCTION("""COMPUTED_VALUE"""),"PEREMPUAN")</f>
        <v>PEREMPUAN</v>
      </c>
      <c r="M484" s="16" t="str">
        <f>IFERROR(__xludf.DUMMYFUNCTION("""COMPUTED_VALUE"""),"KUDUS, JAWA TENGAH")</f>
        <v>KUDUS, JAWA TENGAH</v>
      </c>
      <c r="N484" s="16"/>
      <c r="O484" s="16"/>
      <c r="P484" s="16"/>
      <c r="Q484" s="16"/>
      <c r="R484" s="19" t="str">
        <f>IFERROR(__xludf.DUMMYFUNCTION("""COMPUTED_VALUE"""),"ISLAM")</f>
        <v>ISLAM</v>
      </c>
      <c r="S484" s="16" t="str">
        <f>IFERROR(__xludf.DUMMYFUNCTION("""COMPUTED_VALUE"""),"RUMAH TANGGA")</f>
        <v>RUMAH TANGGA</v>
      </c>
      <c r="T484" s="16" t="str">
        <f>IFERROR(__xludf.DUMMYFUNCTION("""COMPUTED_VALUE"""),"NYERI PUNGGUNG")</f>
        <v>NYERI PUNGGUNG</v>
      </c>
      <c r="U484" s="16" t="str">
        <f>IFERROR(__xludf.DUMMYFUNCTION("""COMPUTED_VALUE"""),"DIRUMAH")</f>
        <v>DIRUMAH</v>
      </c>
      <c r="V484" s="11" t="str">
        <f>IFERROR(__xludf.DUMMYFUNCTION("""COMPUTED_VALUE"""),"085748481035")</f>
        <v>085748481035</v>
      </c>
      <c r="W484" s="15"/>
    </row>
    <row r="485" ht="22.5" customHeight="1">
      <c r="A485" s="8"/>
      <c r="B485" s="9">
        <f>IFERROR(__xludf.DUMMYFUNCTION("""COMPUTED_VALUE"""),45102.635840324074)</f>
        <v>45102.63584</v>
      </c>
      <c r="C485" s="9"/>
      <c r="D485" s="10">
        <f>IFERROR(__xludf.DUMMYFUNCTION("""COMPUTED_VALUE"""),45104.0)</f>
        <v>45104</v>
      </c>
      <c r="E485" s="10" t="str">
        <f>IFERROR(__xludf.DUMMYFUNCTION("""COMPUTED_VALUE"""),"06Jun")</f>
        <v>06Jun</v>
      </c>
      <c r="F485" s="10" t="str">
        <f>IFERROR(__xludf.DUMMYFUNCTION("""COMPUTED_VALUE"""),"2023")</f>
        <v>2023</v>
      </c>
      <c r="G485" s="16" t="str">
        <f>IFERROR(__xludf.DUMMYFUNCTION("""COMPUTED_VALUE"""),"MUHAMMAD ALDO N'DITI")</f>
        <v>MUHAMMAD ALDO N'DITI</v>
      </c>
      <c r="H485" s="17" t="str">
        <f>IFERROR(__xludf.DUMMYFUNCTION("""COMPUTED_VALUE"""),"M9723060071")</f>
        <v>M9723060071</v>
      </c>
      <c r="I485" s="17">
        <f>IFERROR(__xludf.DUMMYFUNCTION("""COMPUTED_VALUE"""),28.0)</f>
        <v>28</v>
      </c>
      <c r="J485" s="17" t="str">
        <f>IFERROR(__xludf.DUMMYFUNCTION("""COMPUTED_VALUE"""),"25-34 tahun")</f>
        <v>25-34 tahun</v>
      </c>
      <c r="K485" s="19">
        <f>IFERROR(__xludf.DUMMYFUNCTION("""COMPUTED_VALUE"""),35613.0)</f>
        <v>35613</v>
      </c>
      <c r="L485" s="19" t="str">
        <f>IFERROR(__xludf.DUMMYFUNCTION("""COMPUTED_VALUE"""),"LAKI-LAKI")</f>
        <v>LAKI-LAKI</v>
      </c>
      <c r="M485" s="16" t="str">
        <f>IFERROR(__xludf.DUMMYFUNCTION("""COMPUTED_VALUE"""),"JL KOM YOS SUDARSO GG MANGGA II")</f>
        <v>JL KOM YOS SUDARSO GG MANGGA II</v>
      </c>
      <c r="N485" s="16" t="str">
        <f>IFERROR(__xludf.DUMMYFUNCTION("""COMPUTED_VALUE"""),"SUNGAI JAWI LUAR")</f>
        <v>SUNGAI JAWI LUAR</v>
      </c>
      <c r="O485" s="16" t="str">
        <f>IFERROR(__xludf.DUMMYFUNCTION("""COMPUTED_VALUE"""),"PONTIANAK BARAT")</f>
        <v>PONTIANAK BARAT</v>
      </c>
      <c r="P485" s="16" t="str">
        <f>IFERROR(__xludf.DUMMYFUNCTION("""COMPUTED_VALUE"""),"PONTIANAK")</f>
        <v>PONTIANAK</v>
      </c>
      <c r="Q485" s="16" t="str">
        <f>IFERROR(__xludf.DUMMYFUNCTION("""COMPUTED_VALUE"""),"KALIMANTAN BARAT")</f>
        <v>KALIMANTAN BARAT</v>
      </c>
      <c r="R485" s="19" t="str">
        <f>IFERROR(__xludf.DUMMYFUNCTION("""COMPUTED_VALUE"""),"ISLAM")</f>
        <v>ISLAM</v>
      </c>
      <c r="S485" s="16" t="str">
        <f>IFERROR(__xludf.DUMMYFUNCTION("""COMPUTED_VALUE"""),"SWASTA")</f>
        <v>SWASTA</v>
      </c>
      <c r="T485" s="16" t="str">
        <f>IFERROR(__xludf.DUMMYFUNCTION("""COMPUTED_VALUE"""),"SAKIT PINGGANG BELAKANG")</f>
        <v>SAKIT PINGGANG BELAKANG</v>
      </c>
      <c r="U485" s="16" t="str">
        <f>IFERROR(__xludf.DUMMYFUNCTION("""COMPUTED_VALUE"""),"SEPAK BOLA")</f>
        <v>SEPAK BOLA</v>
      </c>
      <c r="V485" s="11" t="str">
        <f>IFERROR(__xludf.DUMMYFUNCTION("""COMPUTED_VALUE"""),"082153280071")</f>
        <v>082153280071</v>
      </c>
      <c r="W485" s="15"/>
    </row>
    <row r="486" ht="22.5" customHeight="1">
      <c r="A486" s="8"/>
      <c r="B486" s="9">
        <f>IFERROR(__xludf.DUMMYFUNCTION("""COMPUTED_VALUE"""),45103.41708733796)</f>
        <v>45103.41709</v>
      </c>
      <c r="C486" s="9"/>
      <c r="D486" s="10">
        <f>IFERROR(__xludf.DUMMYFUNCTION("""COMPUTED_VALUE"""),45104.0)</f>
        <v>45104</v>
      </c>
      <c r="E486" s="10" t="str">
        <f>IFERROR(__xludf.DUMMYFUNCTION("""COMPUTED_VALUE"""),"06Jun")</f>
        <v>06Jun</v>
      </c>
      <c r="F486" s="10" t="str">
        <f>IFERROR(__xludf.DUMMYFUNCTION("""COMPUTED_VALUE"""),"2023")</f>
        <v>2023</v>
      </c>
      <c r="G486" s="16" t="str">
        <f>IFERROR(__xludf.DUMMYFUNCTION("""COMPUTED_VALUE"""),"SYARIF ZULFAN ADHA")</f>
        <v>SYARIF ZULFAN ADHA</v>
      </c>
      <c r="H486" s="17" t="str">
        <f>IFERROR(__xludf.DUMMYFUNCTION("""COMPUTED_VALUE"""),"S9823066329")</f>
        <v>S9823066329</v>
      </c>
      <c r="I486" s="17">
        <f>IFERROR(__xludf.DUMMYFUNCTION("""COMPUTED_VALUE"""),28.0)</f>
        <v>28</v>
      </c>
      <c r="J486" s="17" t="str">
        <f>IFERROR(__xludf.DUMMYFUNCTION("""COMPUTED_VALUE"""),"25-34 tahun")</f>
        <v>25-34 tahun</v>
      </c>
      <c r="K486" s="19">
        <f>IFERROR(__xludf.DUMMYFUNCTION("""COMPUTED_VALUE"""),35891.0)</f>
        <v>35891</v>
      </c>
      <c r="L486" s="19" t="str">
        <f>IFERROR(__xludf.DUMMYFUNCTION("""COMPUTED_VALUE"""),"LAKI-LAKI")</f>
        <v>LAKI-LAKI</v>
      </c>
      <c r="M486" s="16" t="str">
        <f>IFERROR(__xludf.DUMMYFUNCTION("""COMPUTED_VALUE"""),"Jl. Merdeka Selatan, Gg. Sentapang")</f>
        <v>Jl. Merdeka Selatan, Gg. Sentapang</v>
      </c>
      <c r="N486" s="16"/>
      <c r="O486" s="16"/>
      <c r="P486" s="16"/>
      <c r="Q486" s="16"/>
      <c r="R486" s="19" t="str">
        <f>IFERROR(__xludf.DUMMYFUNCTION("""COMPUTED_VALUE"""),"ISLAM")</f>
        <v>ISLAM</v>
      </c>
      <c r="S486" s="16" t="str">
        <f>IFERROR(__xludf.DUMMYFUNCTION("""COMPUTED_VALUE"""),"PELAJAR/MAHASISWA")</f>
        <v>PELAJAR/MAHASISWA</v>
      </c>
      <c r="T486" s="16" t="str">
        <f>IFERROR(__xludf.DUMMYFUNCTION("""COMPUTED_VALUE"""),"TGL 22 KMAREN OPERASI ACL YG PUTUS")</f>
        <v>TGL 22 KMAREN OPERASI ACL YG PUTUS</v>
      </c>
      <c r="U486" s="16" t="str">
        <f>IFERROR(__xludf.DUMMYFUNCTION("""COMPUTED_VALUE"""),"OLAHRAGA, KULIAH")</f>
        <v>OLAHRAGA, KULIAH</v>
      </c>
      <c r="V486" s="11" t="str">
        <f>IFERROR(__xludf.DUMMYFUNCTION("""COMPUTED_VALUE"""),"089601796329")</f>
        <v>089601796329</v>
      </c>
      <c r="W486" s="15"/>
    </row>
    <row r="487" ht="22.5" customHeight="1">
      <c r="A487" s="8"/>
      <c r="B487" s="9">
        <f>IFERROR(__xludf.DUMMYFUNCTION("""COMPUTED_VALUE"""),45103.42703677084)</f>
        <v>45103.42704</v>
      </c>
      <c r="C487" s="9"/>
      <c r="D487" s="10">
        <f>IFERROR(__xludf.DUMMYFUNCTION("""COMPUTED_VALUE"""),45104.0)</f>
        <v>45104</v>
      </c>
      <c r="E487" s="10" t="str">
        <f>IFERROR(__xludf.DUMMYFUNCTION("""COMPUTED_VALUE"""),"06Jun")</f>
        <v>06Jun</v>
      </c>
      <c r="F487" s="10" t="str">
        <f>IFERROR(__xludf.DUMMYFUNCTION("""COMPUTED_VALUE"""),"2023")</f>
        <v>2023</v>
      </c>
      <c r="G487" s="16" t="str">
        <f>IFERROR(__xludf.DUMMYFUNCTION("""COMPUTED_VALUE"""),"ANDI KHALISA SULTAN")</f>
        <v>ANDI KHALISA SULTAN</v>
      </c>
      <c r="H487" s="17" t="str">
        <f>IFERROR(__xludf.DUMMYFUNCTION("""COMPUTED_VALUE"""),"A0423061046")</f>
        <v>A0423061046</v>
      </c>
      <c r="I487" s="17">
        <f>IFERROR(__xludf.DUMMYFUNCTION("""COMPUTED_VALUE"""),21.0)</f>
        <v>21</v>
      </c>
      <c r="J487" s="17" t="str">
        <f>IFERROR(__xludf.DUMMYFUNCTION("""COMPUTED_VALUE"""),"18-24 tahun")</f>
        <v>18-24 tahun</v>
      </c>
      <c r="K487" s="19">
        <f>IFERROR(__xludf.DUMMYFUNCTION("""COMPUTED_VALUE"""),38295.0)</f>
        <v>38295</v>
      </c>
      <c r="L487" s="19" t="str">
        <f>IFERROR(__xludf.DUMMYFUNCTION("""COMPUTED_VALUE"""),"PEREMPUAN")</f>
        <v>PEREMPUAN</v>
      </c>
      <c r="M487" s="16" t="str">
        <f>IFERROR(__xludf.DUMMYFUNCTION("""COMPUTED_VALUE"""),"JL. URAI BAWADI GG. MARDIRAHAYU NO. 38")</f>
        <v>JL. URAI BAWADI GG. MARDIRAHAYU NO. 38</v>
      </c>
      <c r="N487" s="16"/>
      <c r="O487" s="16"/>
      <c r="P487" s="16"/>
      <c r="Q487" s="16"/>
      <c r="R487" s="19" t="str">
        <f>IFERROR(__xludf.DUMMYFUNCTION("""COMPUTED_VALUE"""),"ISLAM")</f>
        <v>ISLAM</v>
      </c>
      <c r="S487" s="16" t="str">
        <f>IFERROR(__xludf.DUMMYFUNCTION("""COMPUTED_VALUE"""),"PELAJAR/MAHASISWA")</f>
        <v>PELAJAR/MAHASISWA</v>
      </c>
      <c r="T487" s="16" t="str">
        <f>IFERROR(__xludf.DUMMYFUNCTION("""COMPUTED_VALUE"""),"SAKIT KALO DITEKUK, HABIS KECELAKAAN ( TERHANTAM STANG MATOR)")</f>
        <v>SAKIT KALO DITEKUK, HABIS KECELAKAAN ( TERHANTAM STANG MATOR)</v>
      </c>
      <c r="U487" s="16" t="str">
        <f>IFERROR(__xludf.DUMMYFUNCTION("""COMPUTED_VALUE"""),"JALAN JALAN")</f>
        <v>JALAN JALAN</v>
      </c>
      <c r="V487" s="11" t="str">
        <f>IFERROR(__xludf.DUMMYFUNCTION("""COMPUTED_VALUE"""),"081262521046")</f>
        <v>081262521046</v>
      </c>
      <c r="W487" s="15"/>
    </row>
    <row r="488" ht="22.5" customHeight="1">
      <c r="A488" s="8"/>
      <c r="B488" s="9">
        <f>IFERROR(__xludf.DUMMYFUNCTION("""COMPUTED_VALUE"""),45104.41030420139)</f>
        <v>45104.4103</v>
      </c>
      <c r="C488" s="9"/>
      <c r="D488" s="10">
        <f>IFERROR(__xludf.DUMMYFUNCTION("""COMPUTED_VALUE"""),45105.0)</f>
        <v>45105</v>
      </c>
      <c r="E488" s="10" t="str">
        <f>IFERROR(__xludf.DUMMYFUNCTION("""COMPUTED_VALUE"""),"06Jun")</f>
        <v>06Jun</v>
      </c>
      <c r="F488" s="10" t="str">
        <f>IFERROR(__xludf.DUMMYFUNCTION("""COMPUTED_VALUE"""),"2023")</f>
        <v>2023</v>
      </c>
      <c r="G488" s="16" t="str">
        <f>IFERROR(__xludf.DUMMYFUNCTION("""COMPUTED_VALUE"""),"SUPARNO")</f>
        <v>SUPARNO</v>
      </c>
      <c r="H488" s="17" t="str">
        <f>IFERROR(__xludf.DUMMYFUNCTION("""COMPUTED_VALUE"""),"S6523066234")</f>
        <v>S6523066234</v>
      </c>
      <c r="I488" s="17">
        <f>IFERROR(__xludf.DUMMYFUNCTION("""COMPUTED_VALUE"""),60.0)</f>
        <v>60</v>
      </c>
      <c r="J488" s="17" t="str">
        <f>IFERROR(__xludf.DUMMYFUNCTION("""COMPUTED_VALUE"""),"&gt; 44 tahun")</f>
        <v>&gt; 44 tahun</v>
      </c>
      <c r="K488" s="19">
        <f>IFERROR(__xludf.DUMMYFUNCTION("""COMPUTED_VALUE"""),24026.0)</f>
        <v>24026</v>
      </c>
      <c r="L488" s="19" t="str">
        <f>IFERROR(__xludf.DUMMYFUNCTION("""COMPUTED_VALUE"""),"LAKI-LAKI")</f>
        <v>LAKI-LAKI</v>
      </c>
      <c r="M488" s="16" t="str">
        <f>IFERROR(__xludf.DUMMYFUNCTION("""COMPUTED_VALUE"""),"Jl.sukamulya komp.sukma mansion no 9 b")</f>
        <v>Jl.sukamulya komp.sukma mansion no 9 b</v>
      </c>
      <c r="N488" s="16"/>
      <c r="O488" s="16"/>
      <c r="P488" s="16"/>
      <c r="Q488" s="16"/>
      <c r="R488" s="19" t="str">
        <f>IFERROR(__xludf.DUMMYFUNCTION("""COMPUTED_VALUE"""),"ISLAM")</f>
        <v>ISLAM</v>
      </c>
      <c r="S488" s="16" t="str">
        <f>IFERROR(__xludf.DUMMYFUNCTION("""COMPUTED_VALUE"""),"ASN")</f>
        <v>ASN</v>
      </c>
      <c r="T488" s="16" t="str">
        <f>IFERROR(__xludf.DUMMYFUNCTION("""COMPUTED_VALUE"""),"PINGGANG SAKIT NYERI KAKU")</f>
        <v>PINGGANG SAKIT NYERI KAKU</v>
      </c>
      <c r="U488" s="16" t="str">
        <f>IFERROR(__xludf.DUMMYFUNCTION("""COMPUTED_VALUE"""),"OLAHRAGA RINGAN")</f>
        <v>OLAHRAGA RINGAN</v>
      </c>
      <c r="V488" s="11" t="str">
        <f>IFERROR(__xludf.DUMMYFUNCTION("""COMPUTED_VALUE"""),"081253326234")</f>
        <v>081253326234</v>
      </c>
      <c r="W488" s="15"/>
    </row>
    <row r="489" ht="22.5" customHeight="1">
      <c r="A489" s="8"/>
      <c r="B489" s="9">
        <f>IFERROR(__xludf.DUMMYFUNCTION("""COMPUTED_VALUE"""),45104.78688184028)</f>
        <v>45104.78688</v>
      </c>
      <c r="C489" s="9"/>
      <c r="D489" s="10">
        <f>IFERROR(__xludf.DUMMYFUNCTION("""COMPUTED_VALUE"""),45105.0)</f>
        <v>45105</v>
      </c>
      <c r="E489" s="10" t="str">
        <f>IFERROR(__xludf.DUMMYFUNCTION("""COMPUTED_VALUE"""),"06Jun")</f>
        <v>06Jun</v>
      </c>
      <c r="F489" s="10" t="str">
        <f>IFERROR(__xludf.DUMMYFUNCTION("""COMPUTED_VALUE"""),"2023")</f>
        <v>2023</v>
      </c>
      <c r="G489" s="16" t="str">
        <f>IFERROR(__xludf.DUMMYFUNCTION("""COMPUTED_VALUE"""),"DIAN PRAHARSA")</f>
        <v>DIAN PRAHARSA</v>
      </c>
      <c r="H489" s="17" t="str">
        <f>IFERROR(__xludf.DUMMYFUNCTION("""COMPUTED_VALUE"""),"D8423065166")</f>
        <v>D8423065166</v>
      </c>
      <c r="I489" s="17">
        <f>IFERROR(__xludf.DUMMYFUNCTION("""COMPUTED_VALUE"""),41.0)</f>
        <v>41</v>
      </c>
      <c r="J489" s="17" t="str">
        <f>IFERROR(__xludf.DUMMYFUNCTION("""COMPUTED_VALUE"""),"35-44 tahun")</f>
        <v>35-44 tahun</v>
      </c>
      <c r="K489" s="19">
        <f>IFERROR(__xludf.DUMMYFUNCTION("""COMPUTED_VALUE"""),30876.0)</f>
        <v>30876</v>
      </c>
      <c r="L489" s="19" t="str">
        <f>IFERROR(__xludf.DUMMYFUNCTION("""COMPUTED_VALUE"""),"LAKI-LAKI")</f>
        <v>LAKI-LAKI</v>
      </c>
      <c r="M489" s="16" t="str">
        <f>IFERROR(__xludf.DUMMYFUNCTION("""COMPUTED_VALUE"""),"JL. MAYOR HUMAN NO. 12 BAYANAN MAGELANG")</f>
        <v>JL. MAYOR HUMAN NO. 12 BAYANAN MAGELANG</v>
      </c>
      <c r="N489" s="16"/>
      <c r="O489" s="16"/>
      <c r="P489" s="16"/>
      <c r="Q489" s="16"/>
      <c r="R489" s="19" t="str">
        <f>IFERROR(__xludf.DUMMYFUNCTION("""COMPUTED_VALUE"""),"ISLAM")</f>
        <v>ISLAM</v>
      </c>
      <c r="S489" s="16" t="str">
        <f>IFERROR(__xludf.DUMMYFUNCTION("""COMPUTED_VALUE"""),"ASN")</f>
        <v>ASN</v>
      </c>
      <c r="T489" s="16" t="str">
        <f>IFERROR(__xludf.DUMMYFUNCTION("""COMPUTED_VALUE"""),"NYERI PINGGANG")</f>
        <v>NYERI PINGGANG</v>
      </c>
      <c r="U489" s="16" t="str">
        <f>IFERROR(__xludf.DUMMYFUNCTION("""COMPUTED_VALUE"""),"PNS")</f>
        <v>PNS</v>
      </c>
      <c r="V489" s="11" t="str">
        <f>IFERROR(__xludf.DUMMYFUNCTION("""COMPUTED_VALUE"""),"08122785166")</f>
        <v>08122785166</v>
      </c>
      <c r="W489" s="15"/>
    </row>
    <row r="490" ht="22.5" customHeight="1">
      <c r="A490" s="8"/>
      <c r="B490" s="9">
        <f>IFERROR(__xludf.DUMMYFUNCTION("""COMPUTED_VALUE"""),45105.443144502315)</f>
        <v>45105.44314</v>
      </c>
      <c r="C490" s="9"/>
      <c r="D490" s="10">
        <f>IFERROR(__xludf.DUMMYFUNCTION("""COMPUTED_VALUE"""),45105.0)</f>
        <v>45105</v>
      </c>
      <c r="E490" s="10" t="str">
        <f>IFERROR(__xludf.DUMMYFUNCTION("""COMPUTED_VALUE"""),"06Jun")</f>
        <v>06Jun</v>
      </c>
      <c r="F490" s="10" t="str">
        <f>IFERROR(__xludf.DUMMYFUNCTION("""COMPUTED_VALUE"""),"2023")</f>
        <v>2023</v>
      </c>
      <c r="G490" s="16" t="str">
        <f>IFERROR(__xludf.DUMMYFUNCTION("""COMPUTED_VALUE"""),"PASKALIS NIKO SAPUTRA")</f>
        <v>PASKALIS NIKO SAPUTRA</v>
      </c>
      <c r="H490" s="17" t="str">
        <f>IFERROR(__xludf.DUMMYFUNCTION("""COMPUTED_VALUE"""),"P9623063588")</f>
        <v>P9623063588</v>
      </c>
      <c r="I490" s="17">
        <f>IFERROR(__xludf.DUMMYFUNCTION("""COMPUTED_VALUE"""),30.0)</f>
        <v>30</v>
      </c>
      <c r="J490" s="17" t="str">
        <f>IFERROR(__xludf.DUMMYFUNCTION("""COMPUTED_VALUE"""),"25-34 tahun")</f>
        <v>25-34 tahun</v>
      </c>
      <c r="K490" s="19">
        <f>IFERROR(__xludf.DUMMYFUNCTION("""COMPUTED_VALUE"""),35154.0)</f>
        <v>35154</v>
      </c>
      <c r="L490" s="19" t="str">
        <f>IFERROR(__xludf.DUMMYFUNCTION("""COMPUTED_VALUE"""),"LAKI-LAKI")</f>
        <v>LAKI-LAKI</v>
      </c>
      <c r="M490" s="16" t="str">
        <f>IFERROR(__xludf.DUMMYFUNCTION("""COMPUTED_VALUE"""),"RASAU JAYA")</f>
        <v>RASAU JAYA</v>
      </c>
      <c r="N490" s="16"/>
      <c r="O490" s="16"/>
      <c r="P490" s="16"/>
      <c r="Q490" s="16"/>
      <c r="R490" s="19" t="str">
        <f>IFERROR(__xludf.DUMMYFUNCTION("""COMPUTED_VALUE"""),"ISLAM")</f>
        <v>ISLAM</v>
      </c>
      <c r="S490" s="16" t="str">
        <f>IFERROR(__xludf.DUMMYFUNCTION("""COMPUTED_VALUE"""),"TNI/POLRI")</f>
        <v>TNI/POLRI</v>
      </c>
      <c r="T490" s="16" t="str">
        <f>IFERROR(__xludf.DUMMYFUNCTION("""COMPUTED_VALUE"""),"ANKLE")</f>
        <v>ANKLE</v>
      </c>
      <c r="U490" s="16" t="str">
        <f>IFERROR(__xludf.DUMMYFUNCTION("""COMPUTED_VALUE"""),"KERJAP")</f>
        <v>KERJAP</v>
      </c>
      <c r="V490" s="11" t="str">
        <f>IFERROR(__xludf.DUMMYFUNCTION("""COMPUTED_VALUE"""),"085754413588")</f>
        <v>085754413588</v>
      </c>
      <c r="W490" s="15"/>
    </row>
    <row r="491" ht="22.5" customHeight="1">
      <c r="A491" s="8"/>
      <c r="B491" s="9">
        <f>IFERROR(__xludf.DUMMYFUNCTION("""COMPUTED_VALUE"""),45105.48511961805)</f>
        <v>45105.48512</v>
      </c>
      <c r="C491" s="9"/>
      <c r="D491" s="10">
        <f>IFERROR(__xludf.DUMMYFUNCTION("""COMPUTED_VALUE"""),45105.0)</f>
        <v>45105</v>
      </c>
      <c r="E491" s="10" t="str">
        <f>IFERROR(__xludf.DUMMYFUNCTION("""COMPUTED_VALUE"""),"06Jun")</f>
        <v>06Jun</v>
      </c>
      <c r="F491" s="10" t="str">
        <f>IFERROR(__xludf.DUMMYFUNCTION("""COMPUTED_VALUE"""),"2023")</f>
        <v>2023</v>
      </c>
      <c r="G491" s="16" t="str">
        <f>IFERROR(__xludf.DUMMYFUNCTION("""COMPUTED_VALUE"""),"BERLINSON")</f>
        <v>BERLINSON</v>
      </c>
      <c r="H491" s="17" t="str">
        <f>IFERROR(__xludf.DUMMYFUNCTION("""COMPUTED_VALUE"""),"B6023061946")</f>
        <v>B6023061946</v>
      </c>
      <c r="I491" s="17">
        <f>IFERROR(__xludf.DUMMYFUNCTION("""COMPUTED_VALUE"""),66.0)</f>
        <v>66</v>
      </c>
      <c r="J491" s="17" t="str">
        <f>IFERROR(__xludf.DUMMYFUNCTION("""COMPUTED_VALUE"""),"&gt; 44 tahun")</f>
        <v>&gt; 44 tahun</v>
      </c>
      <c r="K491" s="19">
        <f>IFERROR(__xludf.DUMMYFUNCTION("""COMPUTED_VALUE"""),22086.0)</f>
        <v>22086</v>
      </c>
      <c r="L491" s="19" t="str">
        <f>IFERROR(__xludf.DUMMYFUNCTION("""COMPUTED_VALUE"""),"LAKI-LAKI")</f>
        <v>LAKI-LAKI</v>
      </c>
      <c r="M491" s="16" t="str">
        <f>IFERROR(__xludf.DUMMYFUNCTION("""COMPUTED_VALUE"""),"JL. DANAU SENTARUM")</f>
        <v>JL. DANAU SENTARUM</v>
      </c>
      <c r="N491" s="16"/>
      <c r="O491" s="16"/>
      <c r="P491" s="16"/>
      <c r="Q491" s="16"/>
      <c r="R491" s="19" t="str">
        <f>IFERROR(__xludf.DUMMYFUNCTION("""COMPUTED_VALUE"""),"PROTESTAN")</f>
        <v>PROTESTAN</v>
      </c>
      <c r="S491" s="16" t="str">
        <f>IFERROR(__xludf.DUMMYFUNCTION("""COMPUTED_VALUE"""),"PENSIUN")</f>
        <v>PENSIUN</v>
      </c>
      <c r="T491" s="16" t="str">
        <f>IFERROR(__xludf.DUMMYFUNCTION("""COMPUTED_VALUE"""),"STROKE")</f>
        <v>STROKE</v>
      </c>
      <c r="U491" s="16" t="str">
        <f>IFERROR(__xludf.DUMMYFUNCTION("""COMPUTED_VALUE"""),"MANCING")</f>
        <v>MANCING</v>
      </c>
      <c r="V491" s="11" t="str">
        <f>IFERROR(__xludf.DUMMYFUNCTION("""COMPUTED_VALUE"""),"089646471946")</f>
        <v>089646471946</v>
      </c>
      <c r="W491" s="15"/>
    </row>
    <row r="492" ht="22.5" customHeight="1">
      <c r="A492" s="8"/>
      <c r="B492" s="9">
        <f>IFERROR(__xludf.DUMMYFUNCTION("""COMPUTED_VALUE"""),45105.49738947916)</f>
        <v>45105.49739</v>
      </c>
      <c r="C492" s="9"/>
      <c r="D492" s="10">
        <f>IFERROR(__xludf.DUMMYFUNCTION("""COMPUTED_VALUE"""),45109.0)</f>
        <v>45109</v>
      </c>
      <c r="E492" s="10" t="str">
        <f>IFERROR(__xludf.DUMMYFUNCTION("""COMPUTED_VALUE"""),"07Jul")</f>
        <v>07Jul</v>
      </c>
      <c r="F492" s="10" t="str">
        <f>IFERROR(__xludf.DUMMYFUNCTION("""COMPUTED_VALUE"""),"2023")</f>
        <v>2023</v>
      </c>
      <c r="G492" s="16" t="str">
        <f>IFERROR(__xludf.DUMMYFUNCTION("""COMPUTED_VALUE"""),"HENDY GUNTUR SAPUTRA")</f>
        <v>HENDY GUNTUR SAPUTRA</v>
      </c>
      <c r="H492" s="17" t="str">
        <f>IFERROR(__xludf.DUMMYFUNCTION("""COMPUTED_VALUE"""),"H9323072147")</f>
        <v>H9323072147</v>
      </c>
      <c r="I492" s="17">
        <f>IFERROR(__xludf.DUMMYFUNCTION("""COMPUTED_VALUE"""),33.0)</f>
        <v>33</v>
      </c>
      <c r="J492" s="17" t="str">
        <f>IFERROR(__xludf.DUMMYFUNCTION("""COMPUTED_VALUE"""),"25-34 tahun")</f>
        <v>25-34 tahun</v>
      </c>
      <c r="K492" s="19">
        <f>IFERROR(__xludf.DUMMYFUNCTION("""COMPUTED_VALUE"""),34114.0)</f>
        <v>34114</v>
      </c>
      <c r="L492" s="19" t="str">
        <f>IFERROR(__xludf.DUMMYFUNCTION("""COMPUTED_VALUE"""),"LAKI-LAKI")</f>
        <v>LAKI-LAKI</v>
      </c>
      <c r="M492" s="16" t="str">
        <f>IFERROR(__xludf.DUMMYFUNCTION("""COMPUTED_VALUE"""),"NGALIYAN KOTA SEMARANG")</f>
        <v>NGALIYAN KOTA SEMARANG</v>
      </c>
      <c r="N492" s="16"/>
      <c r="O492" s="16"/>
      <c r="P492" s="16"/>
      <c r="Q492" s="16"/>
      <c r="R492" s="19" t="str">
        <f>IFERROR(__xludf.DUMMYFUNCTION("""COMPUTED_VALUE"""),"ISLAM")</f>
        <v>ISLAM</v>
      </c>
      <c r="S492" s="16" t="str">
        <f>IFERROR(__xludf.DUMMYFUNCTION("""COMPUTED_VALUE"""),"SWASTA")</f>
        <v>SWASTA</v>
      </c>
      <c r="T492" s="16" t="str">
        <f>IFERROR(__xludf.DUMMYFUNCTION("""COMPUTED_VALUE"""),"SAKIT DI PAHA DAN BETIS BELAKANG KETIKA DITEKUK")</f>
        <v>SAKIT DI PAHA DAN BETIS BELAKANG KETIKA DITEKUK</v>
      </c>
      <c r="U492" s="16" t="str">
        <f>IFERROR(__xludf.DUMMYFUNCTION("""COMPUTED_VALUE"""),"LARI DAN TENIS")</f>
        <v>LARI DAN TENIS</v>
      </c>
      <c r="V492" s="11" t="str">
        <f>IFERROR(__xludf.DUMMYFUNCTION("""COMPUTED_VALUE"""),"081215162147")</f>
        <v>081215162147</v>
      </c>
      <c r="W492" s="15"/>
    </row>
    <row r="493" ht="22.5" customHeight="1">
      <c r="A493" s="8"/>
      <c r="B493" s="9">
        <f>IFERROR(__xludf.DUMMYFUNCTION("""COMPUTED_VALUE"""),45105.523831956016)</f>
        <v>45105.52383</v>
      </c>
      <c r="C493" s="9"/>
      <c r="D493" s="10">
        <f>IFERROR(__xludf.DUMMYFUNCTION("""COMPUTED_VALUE"""),45109.0)</f>
        <v>45109</v>
      </c>
      <c r="E493" s="10" t="str">
        <f>IFERROR(__xludf.DUMMYFUNCTION("""COMPUTED_VALUE"""),"07Jul")</f>
        <v>07Jul</v>
      </c>
      <c r="F493" s="10" t="str">
        <f>IFERROR(__xludf.DUMMYFUNCTION("""COMPUTED_VALUE"""),"2023")</f>
        <v>2023</v>
      </c>
      <c r="G493" s="16" t="str">
        <f>IFERROR(__xludf.DUMMYFUNCTION("""COMPUTED_VALUE"""),"MUHAMMAD ILMAM FAQIH")</f>
        <v>MUHAMMAD ILMAM FAQIH</v>
      </c>
      <c r="H493" s="17" t="str">
        <f>IFERROR(__xludf.DUMMYFUNCTION("""COMPUTED_VALUE"""),"M9523071888")</f>
        <v>M9523071888</v>
      </c>
      <c r="I493" s="17">
        <f>IFERROR(__xludf.DUMMYFUNCTION("""COMPUTED_VALUE"""),30.0)</f>
        <v>30</v>
      </c>
      <c r="J493" s="17" t="str">
        <f>IFERROR(__xludf.DUMMYFUNCTION("""COMPUTED_VALUE"""),"25-34 tahun")</f>
        <v>25-34 tahun</v>
      </c>
      <c r="K493" s="19">
        <f>IFERROR(__xludf.DUMMYFUNCTION("""COMPUTED_VALUE"""),34873.0)</f>
        <v>34873</v>
      </c>
      <c r="L493" s="19" t="str">
        <f>IFERROR(__xludf.DUMMYFUNCTION("""COMPUTED_VALUE"""),"LAKI-LAKI")</f>
        <v>LAKI-LAKI</v>
      </c>
      <c r="M493" s="16" t="str">
        <f>IFERROR(__xludf.DUMMYFUNCTION("""COMPUTED_VALUE"""),"JALAN KUDUS NOMOR 56 GKB GRESIK")</f>
        <v>JALAN KUDUS NOMOR 56 GKB GRESIK</v>
      </c>
      <c r="N493" s="16"/>
      <c r="O493" s="16"/>
      <c r="P493" s="16"/>
      <c r="Q493" s="16"/>
      <c r="R493" s="19" t="str">
        <f>IFERROR(__xludf.DUMMYFUNCTION("""COMPUTED_VALUE"""),"ISLAM")</f>
        <v>ISLAM</v>
      </c>
      <c r="S493" s="16" t="str">
        <f>IFERROR(__xludf.DUMMYFUNCTION("""COMPUTED_VALUE"""),"BUMN")</f>
        <v>BUMN</v>
      </c>
      <c r="T493" s="16" t="str">
        <f>IFERROR(__xludf.DUMMYFUNCTION("""COMPUTED_VALUE"""),"Nyeri di jempol, selangkangan, hamstring dan tumit")</f>
        <v>Nyeri di jempol, selangkangan, hamstring dan tumit</v>
      </c>
      <c r="U493" s="16" t="str">
        <f>IFERROR(__xludf.DUMMYFUNCTION("""COMPUTED_VALUE"""),"FUTSAL DAN SEPAKBOLA")</f>
        <v>FUTSAL DAN SEPAKBOLA</v>
      </c>
      <c r="V493" s="11" t="str">
        <f>IFERROR(__xludf.DUMMYFUNCTION("""COMPUTED_VALUE"""),"085730211888")</f>
        <v>085730211888</v>
      </c>
      <c r="W493" s="15"/>
    </row>
    <row r="494" ht="22.5" customHeight="1">
      <c r="A494" s="8"/>
      <c r="B494" s="9">
        <f>IFERROR(__xludf.DUMMYFUNCTION("""COMPUTED_VALUE"""),45105.48511961805)</f>
        <v>45105.48512</v>
      </c>
      <c r="C494" s="9"/>
      <c r="D494" s="10">
        <f>IFERROR(__xludf.DUMMYFUNCTION("""COMPUTED_VALUE"""),45110.0)</f>
        <v>45110</v>
      </c>
      <c r="E494" s="10" t="str">
        <f>IFERROR(__xludf.DUMMYFUNCTION("""COMPUTED_VALUE"""),"07Jul")</f>
        <v>07Jul</v>
      </c>
      <c r="F494" s="10" t="str">
        <f>IFERROR(__xludf.DUMMYFUNCTION("""COMPUTED_VALUE"""),"2023")</f>
        <v>2023</v>
      </c>
      <c r="G494" s="16" t="str">
        <f>IFERROR(__xludf.DUMMYFUNCTION("""COMPUTED_VALUE"""),"DEDI HALIM")</f>
        <v>DEDI HALIM</v>
      </c>
      <c r="H494" s="17" t="str">
        <f>IFERROR(__xludf.DUMMYFUNCTION("""COMPUTED_VALUE"""),"D8023070180")</f>
        <v>D8023070180</v>
      </c>
      <c r="I494" s="17">
        <f>IFERROR(__xludf.DUMMYFUNCTION("""COMPUTED_VALUE"""),46.0)</f>
        <v>46</v>
      </c>
      <c r="J494" s="17" t="str">
        <f>IFERROR(__xludf.DUMMYFUNCTION("""COMPUTED_VALUE"""),"&gt; 44 tahun")</f>
        <v>&gt; 44 tahun</v>
      </c>
      <c r="K494" s="19">
        <f>IFERROR(__xludf.DUMMYFUNCTION("""COMPUTED_VALUE"""),29235.0)</f>
        <v>29235</v>
      </c>
      <c r="L494" s="19" t="str">
        <f>IFERROR(__xludf.DUMMYFUNCTION("""COMPUTED_VALUE"""),"LAKI-LAKI")</f>
        <v>LAKI-LAKI</v>
      </c>
      <c r="M494" s="16" t="str">
        <f>IFERROR(__xludf.DUMMYFUNCTION("""COMPUTED_VALUE"""),"JL. HRA RAHMAN KOMP. PAWAN PERMAI BLOK C NO 9, SEI JAWI DALAM. PONTIANAK KOTA KALBAR")</f>
        <v>JL. HRA RAHMAN KOMP. PAWAN PERMAI BLOK C NO 9, SEI JAWI DALAM. PONTIANAK KOTA KALBAR</v>
      </c>
      <c r="N494" s="16"/>
      <c r="O494" s="16"/>
      <c r="P494" s="16"/>
      <c r="Q494" s="16"/>
      <c r="R494" s="19" t="str">
        <f>IFERROR(__xludf.DUMMYFUNCTION("""COMPUTED_VALUE"""),"KATOLIK")</f>
        <v>KATOLIK</v>
      </c>
      <c r="S494" s="16" t="str">
        <f>IFERROR(__xludf.DUMMYFUNCTION("""COMPUTED_VALUE"""),"SWASTA")</f>
        <v>SWASTA</v>
      </c>
      <c r="T494" s="16" t="str">
        <f>IFERROR(__xludf.DUMMYFUNCTION("""COMPUTED_VALUE"""),"Nyeri Pundak kanan dan pinggang")</f>
        <v>Nyeri Pundak kanan dan pinggang</v>
      </c>
      <c r="U494" s="16" t="str">
        <f>IFERROR(__xludf.DUMMYFUNCTION("""COMPUTED_VALUE"""),"Bertukang / Marketing lapangan, dlm sehari 4 sd 5 jam mengendarai motor")</f>
        <v>Bertukang / Marketing lapangan, dlm sehari 4 sd 5 jam mengendarai motor</v>
      </c>
      <c r="V494" s="21" t="str">
        <f>IFERROR(__xludf.DUMMYFUNCTION("""COMPUTED_VALUE"""),"081345090180")</f>
        <v>081345090180</v>
      </c>
      <c r="W494" s="22"/>
    </row>
    <row r="495" ht="22.5" customHeight="1">
      <c r="A495" s="8"/>
      <c r="B495" s="9">
        <f>IFERROR(__xludf.DUMMYFUNCTION("""COMPUTED_VALUE"""),45108.931187187496)</f>
        <v>45108.93119</v>
      </c>
      <c r="C495" s="9"/>
      <c r="D495" s="10">
        <f>IFERROR(__xludf.DUMMYFUNCTION("""COMPUTED_VALUE"""),45110.0)</f>
        <v>45110</v>
      </c>
      <c r="E495" s="10" t="str">
        <f>IFERROR(__xludf.DUMMYFUNCTION("""COMPUTED_VALUE"""),"07Jul")</f>
        <v>07Jul</v>
      </c>
      <c r="F495" s="10" t="str">
        <f>IFERROR(__xludf.DUMMYFUNCTION("""COMPUTED_VALUE"""),"2023")</f>
        <v>2023</v>
      </c>
      <c r="G495" s="16" t="str">
        <f>IFERROR(__xludf.DUMMYFUNCTION("""COMPUTED_VALUE"""),"FIRDASIAH")</f>
        <v>FIRDASIAH</v>
      </c>
      <c r="H495" s="17" t="str">
        <f>IFERROR(__xludf.DUMMYFUNCTION("""COMPUTED_VALUE"""),"F7323076334")</f>
        <v>F7323076334</v>
      </c>
      <c r="I495" s="17">
        <f>IFERROR(__xludf.DUMMYFUNCTION("""COMPUTED_VALUE"""),52.0)</f>
        <v>52</v>
      </c>
      <c r="J495" s="17" t="str">
        <f>IFERROR(__xludf.DUMMYFUNCTION("""COMPUTED_VALUE"""),"&gt; 44 tahun")</f>
        <v>&gt; 44 tahun</v>
      </c>
      <c r="K495" s="19">
        <f>IFERROR(__xludf.DUMMYFUNCTION("""COMPUTED_VALUE"""),26882.0)</f>
        <v>26882</v>
      </c>
      <c r="L495" s="19" t="str">
        <f>IFERROR(__xludf.DUMMYFUNCTION("""COMPUTED_VALUE"""),"PEREMPUAN")</f>
        <v>PEREMPUAN</v>
      </c>
      <c r="M495" s="16" t="str">
        <f>IFERROR(__xludf.DUMMYFUNCTION("""COMPUTED_VALUE"""),"Komp korpri Blok I.144")</f>
        <v>Komp korpri Blok I.144</v>
      </c>
      <c r="N495" s="16"/>
      <c r="O495" s="16"/>
      <c r="P495" s="16"/>
      <c r="Q495" s="16"/>
      <c r="R495" s="19" t="str">
        <f>IFERROR(__xludf.DUMMYFUNCTION("""COMPUTED_VALUE"""),"ISLAM")</f>
        <v>ISLAM</v>
      </c>
      <c r="S495" s="16" t="str">
        <f>IFERROR(__xludf.DUMMYFUNCTION("""COMPUTED_VALUE"""),"RUMAH TANGGA")</f>
        <v>RUMAH TANGGA</v>
      </c>
      <c r="T495" s="16" t="str">
        <f>IFERROR(__xludf.DUMMYFUNCTION("""COMPUTED_VALUE"""),"SAKIT PINGGANG")</f>
        <v>SAKIT PINGGANG</v>
      </c>
      <c r="U495" s="16" t="str">
        <f>IFERROR(__xludf.DUMMYFUNCTION("""COMPUTED_VALUE"""),"MASAK")</f>
        <v>MASAK</v>
      </c>
      <c r="V495" s="11" t="str">
        <f>IFERROR(__xludf.DUMMYFUNCTION("""COMPUTED_VALUE"""),"0895339806334")</f>
        <v>0895339806334</v>
      </c>
      <c r="W495" s="15"/>
    </row>
    <row r="496" ht="22.5" customHeight="1">
      <c r="A496" s="8"/>
      <c r="B496" s="9">
        <f>IFERROR(__xludf.DUMMYFUNCTION("""COMPUTED_VALUE"""),45109.40095335648)</f>
        <v>45109.40095</v>
      </c>
      <c r="C496" s="9"/>
      <c r="D496" s="10">
        <f>IFERROR(__xludf.DUMMYFUNCTION("""COMPUTED_VALUE"""),45110.0)</f>
        <v>45110</v>
      </c>
      <c r="E496" s="10" t="str">
        <f>IFERROR(__xludf.DUMMYFUNCTION("""COMPUTED_VALUE"""),"07Jul")</f>
        <v>07Jul</v>
      </c>
      <c r="F496" s="10" t="str">
        <f>IFERROR(__xludf.DUMMYFUNCTION("""COMPUTED_VALUE"""),"2023")</f>
        <v>2023</v>
      </c>
      <c r="G496" s="16" t="str">
        <f>IFERROR(__xludf.DUMMYFUNCTION("""COMPUTED_VALUE"""),"JUSTIN EUGENE NATHANIEL")</f>
        <v>JUSTIN EUGENE NATHANIEL</v>
      </c>
      <c r="H496" s="17" t="str">
        <f>IFERROR(__xludf.DUMMYFUNCTION("""COMPUTED_VALUE"""),"J0623073744")</f>
        <v>J0623073744</v>
      </c>
      <c r="I496" s="17">
        <f>IFERROR(__xludf.DUMMYFUNCTION("""COMPUTED_VALUE"""),19.0)</f>
        <v>19</v>
      </c>
      <c r="J496" s="17" t="str">
        <f>IFERROR(__xludf.DUMMYFUNCTION("""COMPUTED_VALUE"""),"18-24 tahun")</f>
        <v>18-24 tahun</v>
      </c>
      <c r="K496" s="19">
        <f>IFERROR(__xludf.DUMMYFUNCTION("""COMPUTED_VALUE"""),39007.0)</f>
        <v>39007</v>
      </c>
      <c r="L496" s="19" t="str">
        <f>IFERROR(__xludf.DUMMYFUNCTION("""COMPUTED_VALUE"""),"LAKI-LAKI")</f>
        <v>LAKI-LAKI</v>
      </c>
      <c r="M496" s="16" t="str">
        <f>IFERROR(__xludf.DUMMYFUNCTION("""COMPUTED_VALUE"""),"JL K.H AHMAD DAHLAN GANG WIJAYASARI NO.33")</f>
        <v>JL K.H AHMAD DAHLAN GANG WIJAYASARI NO.33</v>
      </c>
      <c r="N496" s="16"/>
      <c r="O496" s="16"/>
      <c r="P496" s="16"/>
      <c r="Q496" s="16"/>
      <c r="R496" s="19" t="str">
        <f>IFERROR(__xludf.DUMMYFUNCTION("""COMPUTED_VALUE"""),"KATOLIK")</f>
        <v>KATOLIK</v>
      </c>
      <c r="S496" s="16" t="str">
        <f>IFERROR(__xludf.DUMMYFUNCTION("""COMPUTED_VALUE"""),"PELAJAR/MAHASISWA")</f>
        <v>PELAJAR/MAHASISWA</v>
      </c>
      <c r="T496" s="16" t="str">
        <f>IFERROR(__xludf.DUMMYFUNCTION("""COMPUTED_VALUE"""),"SAKIT PADA PINGGANG BELAKANG")</f>
        <v>SAKIT PADA PINGGANG BELAKANG</v>
      </c>
      <c r="U496" s="16" t="str">
        <f>IFERROR(__xludf.DUMMYFUNCTION("""COMPUTED_VALUE"""),"BASKET")</f>
        <v>BASKET</v>
      </c>
      <c r="V496" s="11" t="str">
        <f>IFERROR(__xludf.DUMMYFUNCTION("""COMPUTED_VALUE"""),"081351183744")</f>
        <v>081351183744</v>
      </c>
      <c r="W496" s="15"/>
    </row>
    <row r="497" ht="22.5" customHeight="1">
      <c r="A497" s="8"/>
      <c r="B497" s="9">
        <f>IFERROR(__xludf.DUMMYFUNCTION("""COMPUTED_VALUE"""),45109.6555493287)</f>
        <v>45109.65555</v>
      </c>
      <c r="C497" s="9"/>
      <c r="D497" s="10">
        <f>IFERROR(__xludf.DUMMYFUNCTION("""COMPUTED_VALUE"""),45110.612841932874)</f>
        <v>45110.61284</v>
      </c>
      <c r="E497" s="10" t="str">
        <f>IFERROR(__xludf.DUMMYFUNCTION("""COMPUTED_VALUE"""),"07Jul")</f>
        <v>07Jul</v>
      </c>
      <c r="F497" s="10" t="str">
        <f>IFERROR(__xludf.DUMMYFUNCTION("""COMPUTED_VALUE"""),"2023")</f>
        <v>2023</v>
      </c>
      <c r="G497" s="16" t="str">
        <f>IFERROR(__xludf.DUMMYFUNCTION("""COMPUTED_VALUE"""),"NUGRAHA KWARTAMA")</f>
        <v>NUGRAHA KWARTAMA</v>
      </c>
      <c r="H497" s="17" t="str">
        <f>IFERROR(__xludf.DUMMYFUNCTION("""COMPUTED_VALUE"""),"N8723073000")</f>
        <v>N8723073000</v>
      </c>
      <c r="I497" s="17">
        <f>IFERROR(__xludf.DUMMYFUNCTION("""COMPUTED_VALUE"""),38.0)</f>
        <v>38</v>
      </c>
      <c r="J497" s="17" t="str">
        <f>IFERROR(__xludf.DUMMYFUNCTION("""COMPUTED_VALUE"""),"35-44 tahun")</f>
        <v>35-44 tahun</v>
      </c>
      <c r="K497" s="19">
        <f>IFERROR(__xludf.DUMMYFUNCTION("""COMPUTED_VALUE"""),32141.0)</f>
        <v>32141</v>
      </c>
      <c r="L497" s="19" t="str">
        <f>IFERROR(__xludf.DUMMYFUNCTION("""COMPUTED_VALUE"""),"LAKI-LAKI")</f>
        <v>LAKI-LAKI</v>
      </c>
      <c r="M497" s="16" t="str">
        <f>IFERROR(__xludf.DUMMYFUNCTION("""COMPUTED_VALUE"""),"JL. SERDAM")</f>
        <v>JL. SERDAM</v>
      </c>
      <c r="N497" s="16"/>
      <c r="O497" s="16"/>
      <c r="P497" s="16"/>
      <c r="Q497" s="16"/>
      <c r="R497" s="19" t="str">
        <f>IFERROR(__xludf.DUMMYFUNCTION("""COMPUTED_VALUE"""),"ISLAM")</f>
        <v>ISLAM</v>
      </c>
      <c r="S497" s="16" t="str">
        <f>IFERROR(__xludf.DUMMYFUNCTION("""COMPUTED_VALUE"""),"BUMD")</f>
        <v>BUMD</v>
      </c>
      <c r="T497" s="16" t="str">
        <f>IFERROR(__xludf.DUMMYFUNCTION("""COMPUTED_VALUE"""),"NYERI PUNGGUNG")</f>
        <v>NYERI PUNGGUNG</v>
      </c>
      <c r="U497" s="16" t="str">
        <f>IFERROR(__xludf.DUMMYFUNCTION("""COMPUTED_VALUE"""),"KANTOR")</f>
        <v>KANTOR</v>
      </c>
      <c r="V497" s="11" t="str">
        <f>IFERROR(__xludf.DUMMYFUNCTION("""COMPUTED_VALUE"""),"085346023000")</f>
        <v>085346023000</v>
      </c>
      <c r="W497" s="15"/>
    </row>
    <row r="498" ht="22.5" customHeight="1">
      <c r="A498" s="8"/>
      <c r="B498" s="9">
        <f>IFERROR(__xludf.DUMMYFUNCTION("""COMPUTED_VALUE"""),45109.65916321759)</f>
        <v>45109.65916</v>
      </c>
      <c r="C498" s="9"/>
      <c r="D498" s="10">
        <f>IFERROR(__xludf.DUMMYFUNCTION("""COMPUTED_VALUE"""),45111.0)</f>
        <v>45111</v>
      </c>
      <c r="E498" s="10" t="str">
        <f>IFERROR(__xludf.DUMMYFUNCTION("""COMPUTED_VALUE"""),"07Jul")</f>
        <v>07Jul</v>
      </c>
      <c r="F498" s="10" t="str">
        <f>IFERROR(__xludf.DUMMYFUNCTION("""COMPUTED_VALUE"""),"2023")</f>
        <v>2023</v>
      </c>
      <c r="G498" s="16" t="str">
        <f>IFERROR(__xludf.DUMMYFUNCTION("""COMPUTED_VALUE"""),"LITTA CHRISTINA PATTIPEILOHY")</f>
        <v>LITTA CHRISTINA PATTIPEILOHY</v>
      </c>
      <c r="H498" s="17" t="str">
        <f>IFERROR(__xludf.DUMMYFUNCTION("""COMPUTED_VALUE"""),"L8923073313")</f>
        <v>L8923073313</v>
      </c>
      <c r="I498" s="17">
        <f>IFERROR(__xludf.DUMMYFUNCTION("""COMPUTED_VALUE"""),37.0)</f>
        <v>37</v>
      </c>
      <c r="J498" s="17" t="str">
        <f>IFERROR(__xludf.DUMMYFUNCTION("""COMPUTED_VALUE"""),"35-44 tahun")</f>
        <v>35-44 tahun</v>
      </c>
      <c r="K498" s="19">
        <f>IFERROR(__xludf.DUMMYFUNCTION("""COMPUTED_VALUE"""),32524.0)</f>
        <v>32524</v>
      </c>
      <c r="L498" s="19" t="str">
        <f>IFERROR(__xludf.DUMMYFUNCTION("""COMPUTED_VALUE"""),"PEREMPUAN")</f>
        <v>PEREMPUAN</v>
      </c>
      <c r="M498" s="16" t="str">
        <f>IFERROR(__xludf.DUMMYFUNCTION("""COMPUTED_VALUE"""),"KOMP. JERUJU PERMAI NO. B54")</f>
        <v>KOMP. JERUJU PERMAI NO. B54</v>
      </c>
      <c r="N498" s="16"/>
      <c r="O498" s="16"/>
      <c r="P498" s="16"/>
      <c r="Q498" s="16"/>
      <c r="R498" s="19" t="str">
        <f>IFERROR(__xludf.DUMMYFUNCTION("""COMPUTED_VALUE"""),"PROTESTAN")</f>
        <v>PROTESTAN</v>
      </c>
      <c r="S498" s="16" t="str">
        <f>IFERROR(__xludf.DUMMYFUNCTION("""COMPUTED_VALUE"""),"PERAWAT")</f>
        <v>PERAWAT</v>
      </c>
      <c r="T498" s="16" t="str">
        <f>IFERROR(__xludf.DUMMYFUNCTION("""COMPUTED_VALUE"""),"CEDERA/TRAUMA KIRI DAN TANGAN KIRI")</f>
        <v>CEDERA/TRAUMA KIRI DAN TANGAN KIRI</v>
      </c>
      <c r="U498" s="16" t="str">
        <f>IFERROR(__xludf.DUMMYFUNCTION("""COMPUTED_VALUE"""),"kuliner, traveling, kerja")</f>
        <v>kuliner, traveling, kerja</v>
      </c>
      <c r="V498" s="11" t="str">
        <f>IFERROR(__xludf.DUMMYFUNCTION("""COMPUTED_VALUE"""),"082157993313")</f>
        <v>082157993313</v>
      </c>
      <c r="W498" s="15"/>
    </row>
    <row r="499" ht="22.5" customHeight="1">
      <c r="A499" s="8"/>
      <c r="B499" s="9">
        <f>IFERROR(__xludf.DUMMYFUNCTION("""COMPUTED_VALUE"""),45109.66136252315)</f>
        <v>45109.66136</v>
      </c>
      <c r="C499" s="9"/>
      <c r="D499" s="10">
        <f>IFERROR(__xludf.DUMMYFUNCTION("""COMPUTED_VALUE"""),45111.0)</f>
        <v>45111</v>
      </c>
      <c r="E499" s="10" t="str">
        <f>IFERROR(__xludf.DUMMYFUNCTION("""COMPUTED_VALUE"""),"07Jul")</f>
        <v>07Jul</v>
      </c>
      <c r="F499" s="10" t="str">
        <f>IFERROR(__xludf.DUMMYFUNCTION("""COMPUTED_VALUE"""),"2023")</f>
        <v>2023</v>
      </c>
      <c r="G499" s="16" t="str">
        <f>IFERROR(__xludf.DUMMYFUNCTION("""COMPUTED_VALUE"""),"MULYANI")</f>
        <v>MULYANI</v>
      </c>
      <c r="H499" s="17" t="str">
        <f>IFERROR(__xludf.DUMMYFUNCTION("""COMPUTED_VALUE"""),"M6823070309")</f>
        <v>M6823070309</v>
      </c>
      <c r="I499" s="17">
        <f>IFERROR(__xludf.DUMMYFUNCTION("""COMPUTED_VALUE"""),57.0)</f>
        <v>57</v>
      </c>
      <c r="J499" s="17" t="str">
        <f>IFERROR(__xludf.DUMMYFUNCTION("""COMPUTED_VALUE"""),"&gt; 44 tahun")</f>
        <v>&gt; 44 tahun</v>
      </c>
      <c r="K499" s="19">
        <f>IFERROR(__xludf.DUMMYFUNCTION("""COMPUTED_VALUE"""),25157.0)</f>
        <v>25157</v>
      </c>
      <c r="L499" s="19" t="str">
        <f>IFERROR(__xludf.DUMMYFUNCTION("""COMPUTED_VALUE"""),"PEREMPUAN")</f>
        <v>PEREMPUAN</v>
      </c>
      <c r="M499" s="16" t="str">
        <f>IFERROR(__xludf.DUMMYFUNCTION("""COMPUTED_VALUE"""),"Jln Alianyang gg kurnia no 6 A")</f>
        <v>Jln Alianyang gg kurnia no 6 A</v>
      </c>
      <c r="N499" s="16"/>
      <c r="O499" s="16"/>
      <c r="P499" s="16"/>
      <c r="Q499" s="16"/>
      <c r="R499" s="19" t="str">
        <f>IFERROR(__xludf.DUMMYFUNCTION("""COMPUTED_VALUE"""),"ISLAM")</f>
        <v>ISLAM</v>
      </c>
      <c r="S499" s="16" t="str">
        <f>IFERROR(__xludf.DUMMYFUNCTION("""COMPUTED_VALUE"""),"RUMAH TANGGA")</f>
        <v>RUMAH TANGGA</v>
      </c>
      <c r="T499" s="16" t="str">
        <f>IFERROR(__xludf.DUMMYFUNCTION("""COMPUTED_VALUE"""),"Tulang belakang tegang jalan agak miring")</f>
        <v>Tulang belakang tegang jalan agak miring</v>
      </c>
      <c r="U499" s="16" t="str">
        <f>IFERROR(__xludf.DUMMYFUNCTION("""COMPUTED_VALUE"""),"BERSIH2 RUMAH")</f>
        <v>BERSIH2 RUMAH</v>
      </c>
      <c r="V499" s="11" t="str">
        <f>IFERROR(__xludf.DUMMYFUNCTION("""COMPUTED_VALUE"""),"08988990309")</f>
        <v>08988990309</v>
      </c>
      <c r="W499" s="15"/>
    </row>
    <row r="500" ht="22.5" customHeight="1">
      <c r="A500" s="8"/>
      <c r="B500" s="9">
        <f>IFERROR(__xludf.DUMMYFUNCTION("""COMPUTED_VALUE"""),45109.7653274537)</f>
        <v>45109.76533</v>
      </c>
      <c r="C500" s="9"/>
      <c r="D500" s="10">
        <f>IFERROR(__xludf.DUMMYFUNCTION("""COMPUTED_VALUE"""),45111.0)</f>
        <v>45111</v>
      </c>
      <c r="E500" s="10" t="str">
        <f>IFERROR(__xludf.DUMMYFUNCTION("""COMPUTED_VALUE"""),"07Jul")</f>
        <v>07Jul</v>
      </c>
      <c r="F500" s="10" t="str">
        <f>IFERROR(__xludf.DUMMYFUNCTION("""COMPUTED_VALUE"""),"2023")</f>
        <v>2023</v>
      </c>
      <c r="G500" s="16" t="str">
        <f>IFERROR(__xludf.DUMMYFUNCTION("""COMPUTED_VALUE"""),"FIKRI")</f>
        <v>FIKRI</v>
      </c>
      <c r="H500" s="17" t="str">
        <f>IFERROR(__xludf.DUMMYFUNCTION("""COMPUTED_VALUE"""),"F9823079796")</f>
        <v>F9823079796</v>
      </c>
      <c r="I500" s="17">
        <f>IFERROR(__xludf.DUMMYFUNCTION("""COMPUTED_VALUE"""),28.0)</f>
        <v>28</v>
      </c>
      <c r="J500" s="17" t="str">
        <f>IFERROR(__xludf.DUMMYFUNCTION("""COMPUTED_VALUE"""),"25-34 tahun")</f>
        <v>25-34 tahun</v>
      </c>
      <c r="K500" s="19">
        <f>IFERROR(__xludf.DUMMYFUNCTION("""COMPUTED_VALUE"""),35936.0)</f>
        <v>35936</v>
      </c>
      <c r="L500" s="19" t="str">
        <f>IFERROR(__xludf.DUMMYFUNCTION("""COMPUTED_VALUE"""),"LAKI-LAKI")</f>
        <v>LAKI-LAKI</v>
      </c>
      <c r="M500" s="16" t="str">
        <f>IFERROR(__xludf.DUMMYFUNCTION("""COMPUTED_VALUE"""),"Jalan Danau Sentarum Gang 845")</f>
        <v>Jalan Danau Sentarum Gang 845</v>
      </c>
      <c r="N500" s="16"/>
      <c r="O500" s="16"/>
      <c r="P500" s="16"/>
      <c r="Q500" s="16"/>
      <c r="R500" s="19" t="str">
        <f>IFERROR(__xludf.DUMMYFUNCTION("""COMPUTED_VALUE"""),"ISLAM")</f>
        <v>ISLAM</v>
      </c>
      <c r="S500" s="16" t="str">
        <f>IFERROR(__xludf.DUMMYFUNCTION("""COMPUTED_VALUE"""),"PELAJAR/MAHASISWA")</f>
        <v>PELAJAR/MAHASISWA</v>
      </c>
      <c r="T500" s="16" t="str">
        <f>IFERROR(__xludf.DUMMYFUNCTION("""COMPUTED_VALUE"""),"Sakit di pergelangan tangan kanan, kanan dan bokong sebelah kanan dikarenakan ditabrak motor dari belakang")</f>
        <v>Sakit di pergelangan tangan kanan, kanan dan bokong sebelah kanan dikarenakan ditabrak motor dari belakang</v>
      </c>
      <c r="U500" s="16" t="str">
        <f>IFERROR(__xludf.DUMMYFUNCTION("""COMPUTED_VALUE"""),"BADMINTON")</f>
        <v>BADMINTON</v>
      </c>
      <c r="V500" s="11" t="str">
        <f>IFERROR(__xludf.DUMMYFUNCTION("""COMPUTED_VALUE"""),"081224449796")</f>
        <v>081224449796</v>
      </c>
      <c r="W500" s="15"/>
    </row>
    <row r="501" ht="22.5" customHeight="1">
      <c r="A501" s="8"/>
      <c r="B501" s="9">
        <f>IFERROR(__xludf.DUMMYFUNCTION("""COMPUTED_VALUE"""),45110.39962614584)</f>
        <v>45110.39963</v>
      </c>
      <c r="C501" s="9"/>
      <c r="D501" s="10">
        <f>IFERROR(__xludf.DUMMYFUNCTION("""COMPUTED_VALUE"""),45111.0)</f>
        <v>45111</v>
      </c>
      <c r="E501" s="10" t="str">
        <f>IFERROR(__xludf.DUMMYFUNCTION("""COMPUTED_VALUE"""),"07Jul")</f>
        <v>07Jul</v>
      </c>
      <c r="F501" s="10" t="str">
        <f>IFERROR(__xludf.DUMMYFUNCTION("""COMPUTED_VALUE"""),"2023")</f>
        <v>2023</v>
      </c>
      <c r="G501" s="16" t="str">
        <f>IFERROR(__xludf.DUMMYFUNCTION("""COMPUTED_VALUE"""),"AI LIE")</f>
        <v>AI LIE</v>
      </c>
      <c r="H501" s="17" t="str">
        <f>IFERROR(__xludf.DUMMYFUNCTION("""COMPUTED_VALUE"""),"A6523075669")</f>
        <v>A6523075669</v>
      </c>
      <c r="I501" s="17">
        <f>IFERROR(__xludf.DUMMYFUNCTION("""COMPUTED_VALUE"""),60.0)</f>
        <v>60</v>
      </c>
      <c r="J501" s="17" t="str">
        <f>IFERROR(__xludf.DUMMYFUNCTION("""COMPUTED_VALUE"""),"&gt; 44 tahun")</f>
        <v>&gt; 44 tahun</v>
      </c>
      <c r="K501" s="19">
        <f>IFERROR(__xludf.DUMMYFUNCTION("""COMPUTED_VALUE"""),23920.0)</f>
        <v>23920</v>
      </c>
      <c r="L501" s="19" t="str">
        <f>IFERROR(__xludf.DUMMYFUNCTION("""COMPUTED_VALUE"""),"PEREMPUAN")</f>
        <v>PEREMPUAN</v>
      </c>
      <c r="M501" s="16" t="str">
        <f>IFERROR(__xludf.DUMMYFUNCTION("""COMPUTED_VALUE"""),"JL. PERDANA KOMP. ADI PERDANA NO. A21")</f>
        <v>JL. PERDANA KOMP. ADI PERDANA NO. A21</v>
      </c>
      <c r="N501" s="16"/>
      <c r="O501" s="16"/>
      <c r="P501" s="16"/>
      <c r="Q501" s="16"/>
      <c r="R501" s="19" t="str">
        <f>IFERROR(__xludf.DUMMYFUNCTION("""COMPUTED_VALUE"""),"KATOLIK")</f>
        <v>KATOLIK</v>
      </c>
      <c r="S501" s="16" t="str">
        <f>IFERROR(__xludf.DUMMYFUNCTION("""COMPUTED_VALUE"""),"RUMAH TANGGA")</f>
        <v>RUMAH TANGGA</v>
      </c>
      <c r="T501" s="16" t="str">
        <f>IFERROR(__xludf.DUMMYFUNCTION("""COMPUTED_VALUE"""),"PINGGANG")</f>
        <v>PINGGANG</v>
      </c>
      <c r="U501" s="16" t="str">
        <f>IFERROR(__xludf.DUMMYFUNCTION("""COMPUTED_VALUE"""),"MELAKUKAN PEKERJAAN RUMAH")</f>
        <v>MELAKUKAN PEKERJAAN RUMAH</v>
      </c>
      <c r="V501" s="11" t="str">
        <f>IFERROR(__xludf.DUMMYFUNCTION("""COMPUTED_VALUE"""),"082395325669")</f>
        <v>082395325669</v>
      </c>
      <c r="W501" s="15"/>
    </row>
    <row r="502" ht="22.5" customHeight="1">
      <c r="A502" s="8"/>
      <c r="B502" s="9">
        <f>IFERROR(__xludf.DUMMYFUNCTION("""COMPUTED_VALUE"""),45110.48872469907)</f>
        <v>45110.48872</v>
      </c>
      <c r="C502" s="9"/>
      <c r="D502" s="10">
        <f>IFERROR(__xludf.DUMMYFUNCTION("""COMPUTED_VALUE"""),45112.0)</f>
        <v>45112</v>
      </c>
      <c r="E502" s="10" t="str">
        <f>IFERROR(__xludf.DUMMYFUNCTION("""COMPUTED_VALUE"""),"07Jul")</f>
        <v>07Jul</v>
      </c>
      <c r="F502" s="10" t="str">
        <f>IFERROR(__xludf.DUMMYFUNCTION("""COMPUTED_VALUE"""),"2023")</f>
        <v>2023</v>
      </c>
      <c r="G502" s="16" t="str">
        <f>IFERROR(__xludf.DUMMYFUNCTION("""COMPUTED_VALUE"""),"SUPRIATIN")</f>
        <v>SUPRIATIN</v>
      </c>
      <c r="H502" s="17" t="str">
        <f>IFERROR(__xludf.DUMMYFUNCTION("""COMPUTED_VALUE"""),"S7023074396")</f>
        <v>S7023074396</v>
      </c>
      <c r="I502" s="17">
        <f>IFERROR(__xludf.DUMMYFUNCTION("""COMPUTED_VALUE"""),55.0)</f>
        <v>55</v>
      </c>
      <c r="J502" s="17" t="str">
        <f>IFERROR(__xludf.DUMMYFUNCTION("""COMPUTED_VALUE"""),"&gt; 44 tahun")</f>
        <v>&gt; 44 tahun</v>
      </c>
      <c r="K502" s="19">
        <f>IFERROR(__xludf.DUMMYFUNCTION("""COMPUTED_VALUE"""),25818.0)</f>
        <v>25818</v>
      </c>
      <c r="L502" s="19" t="str">
        <f>IFERROR(__xludf.DUMMYFUNCTION("""COMPUTED_VALUE"""),"PEREMPUAN")</f>
        <v>PEREMPUAN</v>
      </c>
      <c r="M502" s="16" t="str">
        <f>IFERROR(__xludf.DUMMYFUNCTION("""COMPUTED_VALUE"""),"JL.P. NATAKUSUMA GG. RUKUN NO. 43A")</f>
        <v>JL.P. NATAKUSUMA GG. RUKUN NO. 43A</v>
      </c>
      <c r="N502" s="16"/>
      <c r="O502" s="16"/>
      <c r="P502" s="16"/>
      <c r="Q502" s="16"/>
      <c r="R502" s="19" t="str">
        <f>IFERROR(__xludf.DUMMYFUNCTION("""COMPUTED_VALUE"""),"ISLAM")</f>
        <v>ISLAM</v>
      </c>
      <c r="S502" s="16" t="str">
        <f>IFERROR(__xludf.DUMMYFUNCTION("""COMPUTED_VALUE"""),"RUMAH TANGGA")</f>
        <v>RUMAH TANGGA</v>
      </c>
      <c r="T502" s="16" t="str">
        <f>IFERROR(__xludf.DUMMYFUNCTION("""COMPUTED_VALUE"""),"HABIS KEPLESET, BERJALAN DENGKUL SAKIT")</f>
        <v>HABIS KEPLESET, BERJALAN DENGKUL SAKIT</v>
      </c>
      <c r="U502" s="16" t="str">
        <f>IFERROR(__xludf.DUMMYFUNCTION("""COMPUTED_VALUE"""),"MENGURUS RUMAH TANGGA")</f>
        <v>MENGURUS RUMAH TANGGA</v>
      </c>
      <c r="V502" s="11" t="str">
        <f>IFERROR(__xludf.DUMMYFUNCTION("""COMPUTED_VALUE"""),"085743204396")</f>
        <v>085743204396</v>
      </c>
      <c r="W502" s="15"/>
    </row>
    <row r="503" ht="22.5" customHeight="1">
      <c r="A503" s="8"/>
      <c r="B503" s="9">
        <f>IFERROR(__xludf.DUMMYFUNCTION("""COMPUTED_VALUE"""),45110.51981819444)</f>
        <v>45110.51982</v>
      </c>
      <c r="C503" s="9"/>
      <c r="D503" s="10">
        <f>IFERROR(__xludf.DUMMYFUNCTION("""COMPUTED_VALUE"""),45112.0)</f>
        <v>45112</v>
      </c>
      <c r="E503" s="10" t="str">
        <f>IFERROR(__xludf.DUMMYFUNCTION("""COMPUTED_VALUE"""),"07Jul")</f>
        <v>07Jul</v>
      </c>
      <c r="F503" s="10" t="str">
        <f>IFERROR(__xludf.DUMMYFUNCTION("""COMPUTED_VALUE"""),"2023")</f>
        <v>2023</v>
      </c>
      <c r="G503" s="16" t="str">
        <f>IFERROR(__xludf.DUMMYFUNCTION("""COMPUTED_VALUE"""),"DINDA PUSVITA")</f>
        <v>DINDA PUSVITA</v>
      </c>
      <c r="H503" s="17" t="str">
        <f>IFERROR(__xludf.DUMMYFUNCTION("""COMPUTED_VALUE"""),"D0123070800")</f>
        <v>D0123070800</v>
      </c>
      <c r="I503" s="17">
        <f>IFERROR(__xludf.DUMMYFUNCTION("""COMPUTED_VALUE"""),25.0)</f>
        <v>25</v>
      </c>
      <c r="J503" s="17" t="str">
        <f>IFERROR(__xludf.DUMMYFUNCTION("""COMPUTED_VALUE"""),"25-34 tahun")</f>
        <v>25-34 tahun</v>
      </c>
      <c r="K503" s="19">
        <f>IFERROR(__xludf.DUMMYFUNCTION("""COMPUTED_VALUE"""),36963.0)</f>
        <v>36963</v>
      </c>
      <c r="L503" s="19" t="str">
        <f>IFERROR(__xludf.DUMMYFUNCTION("""COMPUTED_VALUE"""),"PEREMPUAN")</f>
        <v>PEREMPUAN</v>
      </c>
      <c r="M503" s="16" t="str">
        <f>IFERROR(__xludf.DUMMYFUNCTION("""COMPUTED_VALUE"""),"JL.SUNGAI SELAMAT")</f>
        <v>JL.SUNGAI SELAMAT</v>
      </c>
      <c r="N503" s="16"/>
      <c r="O503" s="16"/>
      <c r="P503" s="16"/>
      <c r="Q503" s="16"/>
      <c r="R503" s="19" t="str">
        <f>IFERROR(__xludf.DUMMYFUNCTION("""COMPUTED_VALUE"""),"ISLAM")</f>
        <v>ISLAM</v>
      </c>
      <c r="S503" s="16" t="str">
        <f>IFERROR(__xludf.DUMMYFUNCTION("""COMPUTED_VALUE"""),"SALON")</f>
        <v>SALON</v>
      </c>
      <c r="T503" s="16" t="str">
        <f>IFERROR(__xludf.DUMMYFUNCTION("""COMPUTED_VALUE"""),"SARAF KEJEPIT DIPINGGANG")</f>
        <v>SARAF KEJEPIT DIPINGGANG</v>
      </c>
      <c r="U503" s="16" t="str">
        <f>IFERROR(__xludf.DUMMYFUNCTION("""COMPUTED_VALUE"""),"BEKERJA")</f>
        <v>BEKERJA</v>
      </c>
      <c r="V503" s="11" t="str">
        <f>IFERROR(__xludf.DUMMYFUNCTION("""COMPUTED_VALUE"""),"0895706910800")</f>
        <v>0895706910800</v>
      </c>
      <c r="W503" s="15"/>
    </row>
    <row r="504" ht="22.5" customHeight="1">
      <c r="A504" s="8"/>
      <c r="B504" s="9">
        <f>IFERROR(__xludf.DUMMYFUNCTION("""COMPUTED_VALUE"""),45110.612841932874)</f>
        <v>45110.61284</v>
      </c>
      <c r="C504" s="9"/>
      <c r="D504" s="10">
        <f>IFERROR(__xludf.DUMMYFUNCTION("""COMPUTED_VALUE"""),45112.0)</f>
        <v>45112</v>
      </c>
      <c r="E504" s="10" t="str">
        <f>IFERROR(__xludf.DUMMYFUNCTION("""COMPUTED_VALUE"""),"07Jul")</f>
        <v>07Jul</v>
      </c>
      <c r="F504" s="10" t="str">
        <f>IFERROR(__xludf.DUMMYFUNCTION("""COMPUTED_VALUE"""),"2023")</f>
        <v>2023</v>
      </c>
      <c r="G504" s="16" t="str">
        <f>IFERROR(__xludf.DUMMYFUNCTION("""COMPUTED_VALUE"""),"JUANITA MAULIDYA")</f>
        <v>JUANITA MAULIDYA</v>
      </c>
      <c r="H504" s="17" t="str">
        <f>IFERROR(__xludf.DUMMYFUNCTION("""COMPUTED_VALUE"""),"J7223074484")</f>
        <v>J7223074484</v>
      </c>
      <c r="I504" s="17">
        <f>IFERROR(__xludf.DUMMYFUNCTION("""COMPUTED_VALUE"""),54.0)</f>
        <v>54</v>
      </c>
      <c r="J504" s="17" t="str">
        <f>IFERROR(__xludf.DUMMYFUNCTION("""COMPUTED_VALUE"""),"&gt; 44 tahun")</f>
        <v>&gt; 44 tahun</v>
      </c>
      <c r="K504" s="19">
        <f>IFERROR(__xludf.DUMMYFUNCTION("""COMPUTED_VALUE"""),26459.0)</f>
        <v>26459</v>
      </c>
      <c r="L504" s="19" t="str">
        <f>IFERROR(__xludf.DUMMYFUNCTION("""COMPUTED_VALUE"""),"PEREMPUAN")</f>
        <v>PEREMPUAN</v>
      </c>
      <c r="M504" s="16" t="str">
        <f>IFERROR(__xludf.DUMMYFUNCTION("""COMPUTED_VALUE"""),"JL. SUNGAI RAYA DALAM KOMP. PERMATA AGUNG NO. 33")</f>
        <v>JL. SUNGAI RAYA DALAM KOMP. PERMATA AGUNG NO. 33</v>
      </c>
      <c r="N504" s="16"/>
      <c r="O504" s="16"/>
      <c r="P504" s="16"/>
      <c r="Q504" s="16"/>
      <c r="R504" s="19" t="str">
        <f>IFERROR(__xludf.DUMMYFUNCTION("""COMPUTED_VALUE"""),"ISLAM")</f>
        <v>ISLAM</v>
      </c>
      <c r="S504" s="16" t="str">
        <f>IFERROR(__xludf.DUMMYFUNCTION("""COMPUTED_VALUE"""),"TIDAK ADA")</f>
        <v>TIDAK ADA</v>
      </c>
      <c r="T504" s="16" t="str">
        <f>IFERROR(__xludf.DUMMYFUNCTION("""COMPUTED_VALUE"""),"PERGELANGAN TANGAN KANAN")</f>
        <v>PERGELANGAN TANGAN KANAN</v>
      </c>
      <c r="U504" s="16" t="str">
        <f>IFERROR(__xludf.DUMMYFUNCTION("""COMPUTED_VALUE"""),"-")</f>
        <v>-</v>
      </c>
      <c r="V504" s="11" t="str">
        <f>IFERROR(__xludf.DUMMYFUNCTION("""COMPUTED_VALUE"""),"0821148184484")</f>
        <v>0821148184484</v>
      </c>
      <c r="W504" s="15"/>
    </row>
    <row r="505" ht="22.5" customHeight="1">
      <c r="A505" s="8"/>
      <c r="B505" s="9">
        <f>IFERROR(__xludf.DUMMYFUNCTION("""COMPUTED_VALUE"""),45110.752543599534)</f>
        <v>45110.75254</v>
      </c>
      <c r="C505" s="9"/>
      <c r="D505" s="10">
        <f>IFERROR(__xludf.DUMMYFUNCTION("""COMPUTED_VALUE"""),45113.0)</f>
        <v>45113</v>
      </c>
      <c r="E505" s="10" t="str">
        <f>IFERROR(__xludf.DUMMYFUNCTION("""COMPUTED_VALUE"""),"07Jul")</f>
        <v>07Jul</v>
      </c>
      <c r="F505" s="10" t="str">
        <f>IFERROR(__xludf.DUMMYFUNCTION("""COMPUTED_VALUE"""),"2023")</f>
        <v>2023</v>
      </c>
      <c r="G505" s="16" t="str">
        <f>IFERROR(__xludf.DUMMYFUNCTION("""COMPUTED_VALUE"""),"JULSENT")</f>
        <v>JULSENT</v>
      </c>
      <c r="H505" s="17" t="str">
        <f>IFERROR(__xludf.DUMMYFUNCTION("""COMPUTED_VALUE"""),"J9523076006")</f>
        <v>J9523076006</v>
      </c>
      <c r="I505" s="17">
        <f>IFERROR(__xludf.DUMMYFUNCTION("""COMPUTED_VALUE"""),30.0)</f>
        <v>30</v>
      </c>
      <c r="J505" s="17" t="str">
        <f>IFERROR(__xludf.DUMMYFUNCTION("""COMPUTED_VALUE"""),"25-34 tahun")</f>
        <v>25-34 tahun</v>
      </c>
      <c r="K505" s="19">
        <f>IFERROR(__xludf.DUMMYFUNCTION("""COMPUTED_VALUE"""),34901.0)</f>
        <v>34901</v>
      </c>
      <c r="L505" s="19" t="str">
        <f>IFERROR(__xludf.DUMMYFUNCTION("""COMPUTED_VALUE"""),"LAKI-LAKI")</f>
        <v>LAKI-LAKI</v>
      </c>
      <c r="M505" s="16" t="str">
        <f>IFERROR(__xludf.DUMMYFUNCTION("""COMPUTED_VALUE"""),"JL. PARIS 2 KOMP. BAVERLY HILLS")</f>
        <v>JL. PARIS 2 KOMP. BAVERLY HILLS</v>
      </c>
      <c r="N505" s="16"/>
      <c r="O505" s="16"/>
      <c r="P505" s="16"/>
      <c r="Q505" s="16"/>
      <c r="R505" s="19" t="str">
        <f>IFERROR(__xludf.DUMMYFUNCTION("""COMPUTED_VALUE"""),"KATOLIK")</f>
        <v>KATOLIK</v>
      </c>
      <c r="S505" s="16" t="str">
        <f>IFERROR(__xludf.DUMMYFUNCTION("""COMPUTED_VALUE"""),"SWASTA")</f>
        <v>SWASTA</v>
      </c>
      <c r="T505" s="16" t="str">
        <f>IFERROR(__xludf.DUMMYFUNCTION("""COMPUTED_VALUE"""),"KAKI CEDERA SAKIT SAAT JALAN,SAMA PINGGANG SUKA NYERI")</f>
        <v>KAKI CEDERA SAKIT SAAT JALAN,SAMA PINGGANG SUKA NYERI</v>
      </c>
      <c r="U505" s="16" t="str">
        <f>IFERROR(__xludf.DUMMYFUNCTION("""COMPUTED_VALUE"""),"BASKET")</f>
        <v>BASKET</v>
      </c>
      <c r="V505" s="11" t="str">
        <f>IFERROR(__xludf.DUMMYFUNCTION("""COMPUTED_VALUE"""),"0811566006")</f>
        <v>0811566006</v>
      </c>
      <c r="W505" s="15"/>
    </row>
    <row r="506" ht="22.5" customHeight="1">
      <c r="A506" s="8"/>
      <c r="B506" s="9">
        <f>IFERROR(__xludf.DUMMYFUNCTION("""COMPUTED_VALUE"""),45112.546306550925)</f>
        <v>45112.54631</v>
      </c>
      <c r="C506" s="9"/>
      <c r="D506" s="10">
        <f>IFERROR(__xludf.DUMMYFUNCTION("""COMPUTED_VALUE"""),45113.0)</f>
        <v>45113</v>
      </c>
      <c r="E506" s="10" t="str">
        <f>IFERROR(__xludf.DUMMYFUNCTION("""COMPUTED_VALUE"""),"07Jul")</f>
        <v>07Jul</v>
      </c>
      <c r="F506" s="10" t="str">
        <f>IFERROR(__xludf.DUMMYFUNCTION("""COMPUTED_VALUE"""),"2023")</f>
        <v>2023</v>
      </c>
      <c r="G506" s="16" t="str">
        <f>IFERROR(__xludf.DUMMYFUNCTION("""COMPUTED_VALUE"""),"LENA YOVITA")</f>
        <v>LENA YOVITA</v>
      </c>
      <c r="H506" s="17" t="str">
        <f>IFERROR(__xludf.DUMMYFUNCTION("""COMPUTED_VALUE"""),"L7223073992")</f>
        <v>L7223073992</v>
      </c>
      <c r="I506" s="17">
        <f>IFERROR(__xludf.DUMMYFUNCTION("""COMPUTED_VALUE"""),54.0)</f>
        <v>54</v>
      </c>
      <c r="J506" s="17" t="str">
        <f>IFERROR(__xludf.DUMMYFUNCTION("""COMPUTED_VALUE"""),"&gt; 44 tahun")</f>
        <v>&gt; 44 tahun</v>
      </c>
      <c r="K506" s="19">
        <f>IFERROR(__xludf.DUMMYFUNCTION("""COMPUTED_VALUE"""),26438.0)</f>
        <v>26438</v>
      </c>
      <c r="L506" s="19" t="str">
        <f>IFERROR(__xludf.DUMMYFUNCTION("""COMPUTED_VALUE"""),"PEREMPUAN")</f>
        <v>PEREMPUAN</v>
      </c>
      <c r="M506" s="16" t="str">
        <f>IFERROR(__xludf.DUMMYFUNCTION("""COMPUTED_VALUE"""),"JL. KOMYOS SUDARSO GG. ALPUKAT INDAH IV")</f>
        <v>JL. KOMYOS SUDARSO GG. ALPUKAT INDAH IV</v>
      </c>
      <c r="N506" s="16"/>
      <c r="O506" s="16"/>
      <c r="P506" s="16"/>
      <c r="Q506" s="16"/>
      <c r="R506" s="19" t="str">
        <f>IFERROR(__xludf.DUMMYFUNCTION("""COMPUTED_VALUE"""),"ISLAM")</f>
        <v>ISLAM</v>
      </c>
      <c r="S506" s="16" t="str">
        <f>IFERROR(__xludf.DUMMYFUNCTION("""COMPUTED_VALUE"""),"RUMAH TANGGA")</f>
        <v>RUMAH TANGGA</v>
      </c>
      <c r="T506" s="16" t="str">
        <f>IFERROR(__xludf.DUMMYFUNCTION("""COMPUTED_VALUE"""),"ANKLE")</f>
        <v>ANKLE</v>
      </c>
      <c r="U506" s="16" t="str">
        <f>IFERROR(__xludf.DUMMYFUNCTION("""COMPUTED_VALUE"""),"IRT")</f>
        <v>IRT</v>
      </c>
      <c r="V506" s="11" t="str">
        <f>IFERROR(__xludf.DUMMYFUNCTION("""COMPUTED_VALUE"""),"0816223992")</f>
        <v>0816223992</v>
      </c>
      <c r="W506" s="15"/>
    </row>
    <row r="507" ht="22.5" customHeight="1">
      <c r="A507" s="8"/>
      <c r="B507" s="9">
        <f>IFERROR(__xludf.DUMMYFUNCTION("""COMPUTED_VALUE"""),45112.688102430555)</f>
        <v>45112.6881</v>
      </c>
      <c r="C507" s="9"/>
      <c r="D507" s="10">
        <f>IFERROR(__xludf.DUMMYFUNCTION("""COMPUTED_VALUE"""),45113.0)</f>
        <v>45113</v>
      </c>
      <c r="E507" s="10" t="str">
        <f>IFERROR(__xludf.DUMMYFUNCTION("""COMPUTED_VALUE"""),"07Jul")</f>
        <v>07Jul</v>
      </c>
      <c r="F507" s="10" t="str">
        <f>IFERROR(__xludf.DUMMYFUNCTION("""COMPUTED_VALUE"""),"2023")</f>
        <v>2023</v>
      </c>
      <c r="G507" s="16" t="str">
        <f>IFERROR(__xludf.DUMMYFUNCTION("""COMPUTED_VALUE"""),"SARLESBURY MONCAL S.SOA")</f>
        <v>SARLESBURY MONCAL S.SOA</v>
      </c>
      <c r="H507" s="17" t="str">
        <f>IFERROR(__xludf.DUMMYFUNCTION("""COMPUTED_VALUE"""),"S8023071119")</f>
        <v>S8023071119</v>
      </c>
      <c r="I507" s="17">
        <f>IFERROR(__xludf.DUMMYFUNCTION("""COMPUTED_VALUE"""),45.0)</f>
        <v>45</v>
      </c>
      <c r="J507" s="17" t="str">
        <f>IFERROR(__xludf.DUMMYFUNCTION("""COMPUTED_VALUE"""),"&gt; 44 tahun")</f>
        <v>&gt; 44 tahun</v>
      </c>
      <c r="K507" s="19">
        <f>IFERROR(__xludf.DUMMYFUNCTION("""COMPUTED_VALUE"""),29523.0)</f>
        <v>29523</v>
      </c>
      <c r="L507" s="19" t="str">
        <f>IFERROR(__xludf.DUMMYFUNCTION("""COMPUTED_VALUE"""),"LAKI-LAKI")</f>
        <v>LAKI-LAKI</v>
      </c>
      <c r="M507" s="16" t="str">
        <f>IFERROR(__xludf.DUMMYFUNCTION("""COMPUTED_VALUE"""),"JL. FLAMBOYAN GG. PERMAI SANGGAU")</f>
        <v>JL. FLAMBOYAN GG. PERMAI SANGGAU</v>
      </c>
      <c r="N507" s="16"/>
      <c r="O507" s="16"/>
      <c r="P507" s="16"/>
      <c r="Q507" s="16"/>
      <c r="R507" s="19" t="str">
        <f>IFERROR(__xludf.DUMMYFUNCTION("""COMPUTED_VALUE"""),"PROTESTAN")</f>
        <v>PROTESTAN</v>
      </c>
      <c r="S507" s="16" t="str">
        <f>IFERROR(__xludf.DUMMYFUNCTION("""COMPUTED_VALUE"""),"SWASTA")</f>
        <v>SWASTA</v>
      </c>
      <c r="T507" s="16" t="str">
        <f>IFERROR(__xludf.DUMMYFUNCTION("""COMPUTED_VALUE"""),"PERNAH KECELAKAAN NYERI PINGGANG, DADA DAN PUNGGUNG HINGGA PAHA")</f>
        <v>PERNAH KECELAKAAN NYERI PINGGANG, DADA DAN PUNGGUNG HINGGA PAHA</v>
      </c>
      <c r="U507" s="16" t="str">
        <f>IFERROR(__xludf.DUMMYFUNCTION("""COMPUTED_VALUE"""),"OLAHRAGA")</f>
        <v>OLAHRAGA</v>
      </c>
      <c r="V507" s="11" t="str">
        <f>IFERROR(__xludf.DUMMYFUNCTION("""COMPUTED_VALUE"""),"081352091119")</f>
        <v>081352091119</v>
      </c>
      <c r="W507" s="15"/>
    </row>
    <row r="508" ht="22.5" customHeight="1">
      <c r="A508" s="8"/>
      <c r="B508" s="9">
        <f>IFERROR(__xludf.DUMMYFUNCTION("""COMPUTED_VALUE"""),45113.44148414352)</f>
        <v>45113.44148</v>
      </c>
      <c r="C508" s="9"/>
      <c r="D508" s="10">
        <f>IFERROR(__xludf.DUMMYFUNCTION("""COMPUTED_VALUE"""),45115.0)</f>
        <v>45115</v>
      </c>
      <c r="E508" s="10" t="str">
        <f>IFERROR(__xludf.DUMMYFUNCTION("""COMPUTED_VALUE"""),"07Jul")</f>
        <v>07Jul</v>
      </c>
      <c r="F508" s="10" t="str">
        <f>IFERROR(__xludf.DUMMYFUNCTION("""COMPUTED_VALUE"""),"2023")</f>
        <v>2023</v>
      </c>
      <c r="G508" s="16" t="str">
        <f>IFERROR(__xludf.DUMMYFUNCTION("""COMPUTED_VALUE"""),"JASMIN CHAIRYAH")</f>
        <v>JASMIN CHAIRYAH</v>
      </c>
      <c r="H508" s="17" t="str">
        <f>IFERROR(__xludf.DUMMYFUNCTION("""COMPUTED_VALUE"""),"J9223078684")</f>
        <v>J9223078684</v>
      </c>
      <c r="I508" s="17">
        <f>IFERROR(__xludf.DUMMYFUNCTION("""COMPUTED_VALUE"""),33.0)</f>
        <v>33</v>
      </c>
      <c r="J508" s="17" t="str">
        <f>IFERROR(__xludf.DUMMYFUNCTION("""COMPUTED_VALUE"""),"25-34 tahun")</f>
        <v>25-34 tahun</v>
      </c>
      <c r="K508" s="21">
        <f>IFERROR(__xludf.DUMMYFUNCTION("""COMPUTED_VALUE"""),33799.0)</f>
        <v>33799</v>
      </c>
      <c r="L508" s="21" t="str">
        <f>IFERROR(__xludf.DUMMYFUNCTION("""COMPUTED_VALUE"""),"PEREMPUAN")</f>
        <v>PEREMPUAN</v>
      </c>
      <c r="M508" s="16" t="str">
        <f>IFERROR(__xludf.DUMMYFUNCTION("""COMPUTED_VALUE"""),"JL. KARYA BHAKTI NO. 21")</f>
        <v>JL. KARYA BHAKTI NO. 21</v>
      </c>
      <c r="N508" s="16"/>
      <c r="O508" s="16"/>
      <c r="P508" s="16"/>
      <c r="Q508" s="16"/>
      <c r="R508" s="21" t="str">
        <f>IFERROR(__xludf.DUMMYFUNCTION("""COMPUTED_VALUE"""),"ISLAM")</f>
        <v>ISLAM</v>
      </c>
      <c r="S508" s="16" t="str">
        <f>IFERROR(__xludf.DUMMYFUNCTION("""COMPUTED_VALUE"""),"ASN")</f>
        <v>ASN</v>
      </c>
      <c r="T508" s="16" t="str">
        <f>IFERROR(__xludf.DUMMYFUNCTION("""COMPUTED_VALUE"""),"OTOT BETIS KAKI KANAN KIRI KAKU")</f>
        <v>OTOT BETIS KAKI KANAN KIRI KAKU</v>
      </c>
      <c r="U508" s="16" t="str">
        <f>IFERROR(__xludf.DUMMYFUNCTION("""COMPUTED_VALUE"""),"LARI DAN STRONGNATION")</f>
        <v>LARI DAN STRONGNATION</v>
      </c>
      <c r="V508" s="37" t="str">
        <f>IFERROR(__xludf.DUMMYFUNCTION("""COMPUTED_VALUE"""),"085252688684")</f>
        <v>085252688684</v>
      </c>
      <c r="W508" s="22"/>
    </row>
    <row r="509" ht="22.5" customHeight="1">
      <c r="A509" s="8"/>
      <c r="B509" s="9">
        <f>IFERROR(__xludf.DUMMYFUNCTION("""COMPUTED_VALUE"""),45113.45068572917)</f>
        <v>45113.45069</v>
      </c>
      <c r="C509" s="9"/>
      <c r="D509" s="10">
        <f>IFERROR(__xludf.DUMMYFUNCTION("""COMPUTED_VALUE"""),45115.0)</f>
        <v>45115</v>
      </c>
      <c r="E509" s="10" t="str">
        <f>IFERROR(__xludf.DUMMYFUNCTION("""COMPUTED_VALUE"""),"07Jul")</f>
        <v>07Jul</v>
      </c>
      <c r="F509" s="10" t="str">
        <f>IFERROR(__xludf.DUMMYFUNCTION("""COMPUTED_VALUE"""),"2023")</f>
        <v>2023</v>
      </c>
      <c r="G509" s="16" t="str">
        <f>IFERROR(__xludf.DUMMYFUNCTION("""COMPUTED_VALUE"""),"NABIL FATHIR MAHENDRA")</f>
        <v>NABIL FATHIR MAHENDRA</v>
      </c>
      <c r="H509" s="17" t="str">
        <f>IFERROR(__xludf.DUMMYFUNCTION("""COMPUTED_VALUE"""),"N0923071899")</f>
        <v>N0923071899</v>
      </c>
      <c r="I509" s="17">
        <f>IFERROR(__xludf.DUMMYFUNCTION("""COMPUTED_VALUE"""),16.0)</f>
        <v>16</v>
      </c>
      <c r="J509" s="17" t="str">
        <f>IFERROR(__xludf.DUMMYFUNCTION("""COMPUTED_VALUE"""),"&lt; 18 tahun")</f>
        <v>&lt; 18 tahun</v>
      </c>
      <c r="K509" s="19">
        <f>IFERROR(__xludf.DUMMYFUNCTION("""COMPUTED_VALUE"""),40117.0)</f>
        <v>40117</v>
      </c>
      <c r="L509" s="19" t="str">
        <f>IFERROR(__xludf.DUMMYFUNCTION("""COMPUTED_VALUE"""),"LAKI-LAKI")</f>
        <v>LAKI-LAKI</v>
      </c>
      <c r="M509" s="16" t="str">
        <f>IFERROR(__xludf.DUMMYFUNCTION("""COMPUTED_VALUE"""),"KOMPLEK RESIDENCE BORNEO KHALTULISTIWA NO B27")</f>
        <v>KOMPLEK RESIDENCE BORNEO KHALTULISTIWA NO B27</v>
      </c>
      <c r="N509" s="16"/>
      <c r="O509" s="16"/>
      <c r="P509" s="16"/>
      <c r="Q509" s="16"/>
      <c r="R509" s="19" t="str">
        <f>IFERROR(__xludf.DUMMYFUNCTION("""COMPUTED_VALUE"""),"ISLAM")</f>
        <v>ISLAM</v>
      </c>
      <c r="S509" s="16" t="str">
        <f>IFERROR(__xludf.DUMMYFUNCTION("""COMPUTED_VALUE"""),"PELAJAR/MAHASISWA")</f>
        <v>PELAJAR/MAHASISWA</v>
      </c>
      <c r="T509" s="16" t="str">
        <f>IFERROR(__xludf.DUMMYFUNCTION("""COMPUTED_VALUE"""),"KEMARIN SEMPAT JATUH DAN BEGESER TULANG NYA DAN SUDAH KEMBALI NORMAL TINGGAL PROSES KEMBALI JALAN SEPERTI BIASA AJA")</f>
        <v>KEMARIN SEMPAT JATUH DAN BEGESER TULANG NYA DAN SUDAH KEMBALI NORMAL TINGGAL PROSES KEMBALI JALAN SEPERTI BIASA AJA</v>
      </c>
      <c r="U509" s="16" t="str">
        <f>IFERROR(__xludf.DUMMYFUNCTION("""COMPUTED_VALUE"""),"SEKOLAH DAN DI KAMAR SAJA")</f>
        <v>SEKOLAH DAN DI KAMAR SAJA</v>
      </c>
      <c r="V509" s="11" t="str">
        <f>IFERROR(__xludf.DUMMYFUNCTION("""COMPUTED_VALUE"""),"081345111899")</f>
        <v>081345111899</v>
      </c>
      <c r="W509" s="15"/>
    </row>
    <row r="510" ht="22.5" customHeight="1">
      <c r="A510" s="8"/>
      <c r="B510" s="9">
        <f>IFERROR(__xludf.DUMMYFUNCTION("""COMPUTED_VALUE"""),45113.493950833334)</f>
        <v>45113.49395</v>
      </c>
      <c r="C510" s="9"/>
      <c r="D510" s="10">
        <f>IFERROR(__xludf.DUMMYFUNCTION("""COMPUTED_VALUE"""),45115.0)</f>
        <v>45115</v>
      </c>
      <c r="E510" s="10" t="str">
        <f>IFERROR(__xludf.DUMMYFUNCTION("""COMPUTED_VALUE"""),"07Jul")</f>
        <v>07Jul</v>
      </c>
      <c r="F510" s="10" t="str">
        <f>IFERROR(__xludf.DUMMYFUNCTION("""COMPUTED_VALUE"""),"2023")</f>
        <v>2023</v>
      </c>
      <c r="G510" s="16" t="str">
        <f>IFERROR(__xludf.DUMMYFUNCTION("""COMPUTED_VALUE"""),"FUJI TULUS RANDELA")</f>
        <v>FUJI TULUS RANDELA</v>
      </c>
      <c r="H510" s="17" t="str">
        <f>IFERROR(__xludf.DUMMYFUNCTION("""COMPUTED_VALUE"""),"F8723077536")</f>
        <v>F8723077536</v>
      </c>
      <c r="I510" s="17">
        <f>IFERROR(__xludf.DUMMYFUNCTION("""COMPUTED_VALUE"""),39.0)</f>
        <v>39</v>
      </c>
      <c r="J510" s="17" t="str">
        <f>IFERROR(__xludf.DUMMYFUNCTION("""COMPUTED_VALUE"""),"35-44 tahun")</f>
        <v>35-44 tahun</v>
      </c>
      <c r="K510" s="19">
        <f>IFERROR(__xludf.DUMMYFUNCTION("""COMPUTED_VALUE"""),31884.0)</f>
        <v>31884</v>
      </c>
      <c r="L510" s="19" t="str">
        <f>IFERROR(__xludf.DUMMYFUNCTION("""COMPUTED_VALUE"""),"LAKI-LAKI")</f>
        <v>LAKI-LAKI</v>
      </c>
      <c r="M510" s="16" t="str">
        <f>IFERROR(__xludf.DUMMYFUNCTION("""COMPUTED_VALUE"""),"JL. PUTRI DARA HITAM")</f>
        <v>JL. PUTRI DARA HITAM</v>
      </c>
      <c r="N510" s="16"/>
      <c r="O510" s="16"/>
      <c r="P510" s="16"/>
      <c r="Q510" s="16"/>
      <c r="R510" s="19" t="str">
        <f>IFERROR(__xludf.DUMMYFUNCTION("""COMPUTED_VALUE"""),"ISLAM")</f>
        <v>ISLAM</v>
      </c>
      <c r="S510" s="16" t="str">
        <f>IFERROR(__xludf.DUMMYFUNCTION("""COMPUTED_VALUE"""),"TNI/POLRI")</f>
        <v>TNI/POLRI</v>
      </c>
      <c r="T510" s="16" t="str">
        <f>IFERROR(__xludf.DUMMYFUNCTION("""COMPUTED_VALUE"""),"SAKIT BAGIAN DAN PAHA")</f>
        <v>SAKIT BAGIAN DAN PAHA</v>
      </c>
      <c r="U510" s="16" t="str">
        <f>IFERROR(__xludf.DUMMYFUNCTION("""COMPUTED_VALUE"""),"GYM")</f>
        <v>GYM</v>
      </c>
      <c r="V510" s="11" t="str">
        <f>IFERROR(__xludf.DUMMYFUNCTION("""COMPUTED_VALUE"""),"082254097536")</f>
        <v>082254097536</v>
      </c>
      <c r="W510" s="15"/>
    </row>
    <row r="511" ht="22.5" customHeight="1">
      <c r="A511" s="8"/>
      <c r="B511" s="9">
        <f>IFERROR(__xludf.DUMMYFUNCTION("""COMPUTED_VALUE"""),45113.56532810185)</f>
        <v>45113.56533</v>
      </c>
      <c r="C511" s="9"/>
      <c r="D511" s="34">
        <f>IFERROR(__xludf.DUMMYFUNCTION("""COMPUTED_VALUE"""),45115.0)</f>
        <v>45115</v>
      </c>
      <c r="E511" s="34" t="str">
        <f>IFERROR(__xludf.DUMMYFUNCTION("""COMPUTED_VALUE"""),"07Jul")</f>
        <v>07Jul</v>
      </c>
      <c r="F511" s="34" t="str">
        <f>IFERROR(__xludf.DUMMYFUNCTION("""COMPUTED_VALUE"""),"2023")</f>
        <v>2023</v>
      </c>
      <c r="G511" s="35" t="str">
        <f>IFERROR(__xludf.DUMMYFUNCTION("""COMPUTED_VALUE"""),"WAHONO 6001")</f>
        <v>WAHONO 6001</v>
      </c>
      <c r="H511" s="17" t="str">
        <f>IFERROR(__xludf.DUMMYFUNCTION("""COMPUTED_VALUE"""),"W6023073645")</f>
        <v>W6023073645</v>
      </c>
      <c r="I511" s="17">
        <f>IFERROR(__xludf.DUMMYFUNCTION("""COMPUTED_VALUE"""),66.0)</f>
        <v>66</v>
      </c>
      <c r="J511" s="17" t="str">
        <f>IFERROR(__xludf.DUMMYFUNCTION("""COMPUTED_VALUE"""),"&gt; 44 tahun")</f>
        <v>&gt; 44 tahun</v>
      </c>
      <c r="K511" s="19">
        <f>IFERROR(__xludf.DUMMYFUNCTION("""COMPUTED_VALUE"""),21935.0)</f>
        <v>21935</v>
      </c>
      <c r="L511" s="19" t="str">
        <f>IFERROR(__xludf.DUMMYFUNCTION("""COMPUTED_VALUE"""),"LAKI-LAKI")</f>
        <v>LAKI-LAKI</v>
      </c>
      <c r="M511" s="35" t="str">
        <f>IFERROR(__xludf.DUMMYFUNCTION("""COMPUTED_VALUE"""),"JL. NIRBAYA GG. TATA KOTA NO. 12")</f>
        <v>JL. NIRBAYA GG. TATA KOTA NO. 12</v>
      </c>
      <c r="N511" s="35"/>
      <c r="O511" s="35"/>
      <c r="P511" s="16"/>
      <c r="Q511" s="16"/>
      <c r="R511" s="19" t="str">
        <f>IFERROR(__xludf.DUMMYFUNCTION("""COMPUTED_VALUE"""),"ISLAM")</f>
        <v>ISLAM</v>
      </c>
      <c r="S511" s="16" t="str">
        <f>IFERROR(__xludf.DUMMYFUNCTION("""COMPUTED_VALUE"""),"PENSIUN")</f>
        <v>PENSIUN</v>
      </c>
      <c r="T511" s="16" t="str">
        <f>IFERROR(__xludf.DUMMYFUNCTION("""COMPUTED_VALUE"""),"STROKE")</f>
        <v>STROKE</v>
      </c>
      <c r="U511" s="16" t="str">
        <f>IFERROR(__xludf.DUMMYFUNCTION("""COMPUTED_VALUE"""),"DIRUMAH")</f>
        <v>DIRUMAH</v>
      </c>
      <c r="V511" s="11" t="str">
        <f>IFERROR(__xludf.DUMMYFUNCTION("""COMPUTED_VALUE"""),"08988223645")</f>
        <v>08988223645</v>
      </c>
      <c r="W511" s="15"/>
    </row>
    <row r="512" ht="22.5" customHeight="1">
      <c r="A512" s="8"/>
      <c r="B512" s="9">
        <f>IFERROR(__xludf.DUMMYFUNCTION("""COMPUTED_VALUE"""),45113.606172685184)</f>
        <v>45113.60617</v>
      </c>
      <c r="C512" s="9"/>
      <c r="D512" s="10">
        <f>IFERROR(__xludf.DUMMYFUNCTION("""COMPUTED_VALUE"""),45115.0)</f>
        <v>45115</v>
      </c>
      <c r="E512" s="10" t="str">
        <f>IFERROR(__xludf.DUMMYFUNCTION("""COMPUTED_VALUE"""),"07Jul")</f>
        <v>07Jul</v>
      </c>
      <c r="F512" s="10" t="str">
        <f>IFERROR(__xludf.DUMMYFUNCTION("""COMPUTED_VALUE"""),"2023")</f>
        <v>2023</v>
      </c>
      <c r="G512" s="16" t="str">
        <f>IFERROR(__xludf.DUMMYFUNCTION("""COMPUTED_VALUE"""),"ANGGI KUSUMA")</f>
        <v>ANGGI KUSUMA</v>
      </c>
      <c r="H512" s="17" t="str">
        <f>IFERROR(__xludf.DUMMYFUNCTION("""COMPUTED_VALUE"""),"A8823073845")</f>
        <v>A8823073845</v>
      </c>
      <c r="I512" s="17">
        <f>IFERROR(__xludf.DUMMYFUNCTION("""COMPUTED_VALUE"""),38.0)</f>
        <v>38</v>
      </c>
      <c r="J512" s="17" t="str">
        <f>IFERROR(__xludf.DUMMYFUNCTION("""COMPUTED_VALUE"""),"35-44 tahun")</f>
        <v>35-44 tahun</v>
      </c>
      <c r="K512" s="19">
        <f>IFERROR(__xludf.DUMMYFUNCTION("""COMPUTED_VALUE"""),32257.0)</f>
        <v>32257</v>
      </c>
      <c r="L512" s="19" t="str">
        <f>IFERROR(__xludf.DUMMYFUNCTION("""COMPUTED_VALUE"""),"LAKI-LAKI")</f>
        <v>LAKI-LAKI</v>
      </c>
      <c r="M512" s="16" t="str">
        <f>IFERROR(__xludf.DUMMYFUNCTION("""COMPUTED_VALUE"""),"JL. DR. WAHIDIN SEPAKAT 8 JALUR 5 NO. A6")</f>
        <v>JL. DR. WAHIDIN SEPAKAT 8 JALUR 5 NO. A6</v>
      </c>
      <c r="N512" s="16"/>
      <c r="O512" s="16"/>
      <c r="P512" s="16"/>
      <c r="Q512" s="16"/>
      <c r="R512" s="19" t="str">
        <f>IFERROR(__xludf.DUMMYFUNCTION("""COMPUTED_VALUE"""),"ISLAM")</f>
        <v>ISLAM</v>
      </c>
      <c r="S512" s="16" t="str">
        <f>IFERROR(__xludf.DUMMYFUNCTION("""COMPUTED_VALUE"""),"SWASTA")</f>
        <v>SWASTA</v>
      </c>
      <c r="T512" s="16" t="str">
        <f>IFERROR(__xludf.DUMMYFUNCTION("""COMPUTED_VALUE"""),"SAKIT DIBAGIAN TUMIT")</f>
        <v>SAKIT DIBAGIAN TUMIT</v>
      </c>
      <c r="U512" s="16" t="str">
        <f>IFERROR(__xludf.DUMMYFUNCTION("""COMPUTED_VALUE"""),"LARI")</f>
        <v>LARI</v>
      </c>
      <c r="V512" s="11" t="str">
        <f>IFERROR(__xludf.DUMMYFUNCTION("""COMPUTED_VALUE"""),"085725383845")</f>
        <v>085725383845</v>
      </c>
      <c r="W512" s="15"/>
    </row>
    <row r="513" ht="22.5" customHeight="1">
      <c r="A513" s="8"/>
      <c r="B513" s="9">
        <f>IFERROR(__xludf.DUMMYFUNCTION("""COMPUTED_VALUE"""),45113.649406666664)</f>
        <v>45113.64941</v>
      </c>
      <c r="C513" s="9"/>
      <c r="D513" s="10">
        <f>IFERROR(__xludf.DUMMYFUNCTION("""COMPUTED_VALUE"""),45115.0)</f>
        <v>45115</v>
      </c>
      <c r="E513" s="10" t="str">
        <f>IFERROR(__xludf.DUMMYFUNCTION("""COMPUTED_VALUE"""),"07Jul")</f>
        <v>07Jul</v>
      </c>
      <c r="F513" s="10" t="str">
        <f>IFERROR(__xludf.DUMMYFUNCTION("""COMPUTED_VALUE"""),"2023")</f>
        <v>2023</v>
      </c>
      <c r="G513" s="16" t="str">
        <f>IFERROR(__xludf.DUMMYFUNCTION("""COMPUTED_VALUE"""),"URAI TOBY ABDILLAH")</f>
        <v>URAI TOBY ABDILLAH</v>
      </c>
      <c r="H513" s="17" t="str">
        <f>IFERROR(__xludf.DUMMYFUNCTION("""COMPUTED_VALUE"""),"U1223076211")</f>
        <v>U1223076211</v>
      </c>
      <c r="I513" s="17">
        <f>IFERROR(__xludf.DUMMYFUNCTION("""COMPUTED_VALUE"""),13.0)</f>
        <v>13</v>
      </c>
      <c r="J513" s="17" t="str">
        <f>IFERROR(__xludf.DUMMYFUNCTION("""COMPUTED_VALUE"""),"&lt; 18 tahun")</f>
        <v>&lt; 18 tahun</v>
      </c>
      <c r="K513" s="19">
        <f>IFERROR(__xludf.DUMMYFUNCTION("""COMPUTED_VALUE"""),41227.0)</f>
        <v>41227</v>
      </c>
      <c r="L513" s="19" t="str">
        <f>IFERROR(__xludf.DUMMYFUNCTION("""COMPUTED_VALUE"""),"LAKI-LAKI")</f>
        <v>LAKI-LAKI</v>
      </c>
      <c r="M513" s="16" t="str">
        <f>IFERROR(__xludf.DUMMYFUNCTION("""COMPUTED_VALUE"""),"JL TABRANI AHMAD KOMP GRAHA BUMI KHATULISTIWA 2 B16")</f>
        <v>JL TABRANI AHMAD KOMP GRAHA BUMI KHATULISTIWA 2 B16</v>
      </c>
      <c r="N513" s="16"/>
      <c r="O513" s="16"/>
      <c r="P513" s="16"/>
      <c r="Q513" s="16"/>
      <c r="R513" s="19" t="str">
        <f>IFERROR(__xludf.DUMMYFUNCTION("""COMPUTED_VALUE"""),"ISLAM")</f>
        <v>ISLAM</v>
      </c>
      <c r="S513" s="16" t="str">
        <f>IFERROR(__xludf.DUMMYFUNCTION("""COMPUTED_VALUE"""),"PELAJAR/MAHASISWA")</f>
        <v>PELAJAR/MAHASISWA</v>
      </c>
      <c r="T513" s="16" t="str">
        <f>IFERROR(__xludf.DUMMYFUNCTION("""COMPUTED_VALUE"""),"POSTUR TUBUH BUNGKUK")</f>
        <v>POSTUR TUBUH BUNGKUK</v>
      </c>
      <c r="U513" s="16" t="str">
        <f>IFERROR(__xludf.DUMMYFUNCTION("""COMPUTED_VALUE"""),"BERMAIN GAME PC")</f>
        <v>BERMAIN GAME PC</v>
      </c>
      <c r="V513" s="11" t="str">
        <f>IFERROR(__xludf.DUMMYFUNCTION("""COMPUTED_VALUE"""),"085752476211")</f>
        <v>085752476211</v>
      </c>
      <c r="W513" s="15"/>
    </row>
    <row r="514" ht="22.5" customHeight="1">
      <c r="A514" s="28"/>
      <c r="B514" s="9">
        <f>IFERROR(__xludf.DUMMYFUNCTION("""COMPUTED_VALUE"""),45115.49728052084)</f>
        <v>45115.49728</v>
      </c>
      <c r="C514" s="9"/>
      <c r="D514" s="10">
        <f>IFERROR(__xludf.DUMMYFUNCTION("""COMPUTED_VALUE"""),45116.0)</f>
        <v>45116</v>
      </c>
      <c r="E514" s="10" t="str">
        <f>IFERROR(__xludf.DUMMYFUNCTION("""COMPUTED_VALUE"""),"07Jul")</f>
        <v>07Jul</v>
      </c>
      <c r="F514" s="10" t="str">
        <f>IFERROR(__xludf.DUMMYFUNCTION("""COMPUTED_VALUE"""),"2023")</f>
        <v>2023</v>
      </c>
      <c r="G514" s="16" t="str">
        <f>IFERROR(__xludf.DUMMYFUNCTION("""COMPUTED_VALUE"""),"MUHAMMAD RAVI MAULANA")</f>
        <v>MUHAMMAD RAVI MAULANA</v>
      </c>
      <c r="H514" s="17" t="str">
        <f>IFERROR(__xludf.DUMMYFUNCTION("""COMPUTED_VALUE"""),"M0323079100")</f>
        <v>M0323079100</v>
      </c>
      <c r="I514" s="17">
        <f>IFERROR(__xludf.DUMMYFUNCTION("""COMPUTED_VALUE"""),23.0)</f>
        <v>23</v>
      </c>
      <c r="J514" s="17" t="str">
        <f>IFERROR(__xludf.DUMMYFUNCTION("""COMPUTED_VALUE"""),"18-24 tahun")</f>
        <v>18-24 tahun</v>
      </c>
      <c r="K514" s="19">
        <f>IFERROR(__xludf.DUMMYFUNCTION("""COMPUTED_VALUE"""),37768.0)</f>
        <v>37768</v>
      </c>
      <c r="L514" s="19" t="str">
        <f>IFERROR(__xludf.DUMMYFUNCTION("""COMPUTED_VALUE"""),"LAKI-LAKI")</f>
        <v>LAKI-LAKI</v>
      </c>
      <c r="M514" s="16" t="str">
        <f>IFERROR(__xludf.DUMMYFUNCTION("""COMPUTED_VALUE"""),"JL. KARET KOMP. DIDIS PERMAI B.12")</f>
        <v>JL. KARET KOMP. DIDIS PERMAI B.12</v>
      </c>
      <c r="N514" s="16"/>
      <c r="O514" s="16"/>
      <c r="P514" s="16"/>
      <c r="Q514" s="16"/>
      <c r="R514" s="19" t="str">
        <f>IFERROR(__xludf.DUMMYFUNCTION("""COMPUTED_VALUE"""),"ISLAM")</f>
        <v>ISLAM</v>
      </c>
      <c r="S514" s="16" t="str">
        <f>IFERROR(__xludf.DUMMYFUNCTION("""COMPUTED_VALUE"""),"PELAJAR/MAHASISWA")</f>
        <v>PELAJAR/MAHASISWA</v>
      </c>
      <c r="T514" s="16" t="str">
        <f>IFERROR(__xludf.DUMMYFUNCTION("""COMPUTED_VALUE"""),"CIDERA LIGAMEN ROBEK")</f>
        <v>CIDERA LIGAMEN ROBEK</v>
      </c>
      <c r="U514" s="16" t="str">
        <f>IFERROR(__xludf.DUMMYFUNCTION("""COMPUTED_VALUE"""),"FUTSAL")</f>
        <v>FUTSAL</v>
      </c>
      <c r="V514" s="11" t="str">
        <f>IFERROR(__xludf.DUMMYFUNCTION("""COMPUTED_VALUE"""),"089612019100")</f>
        <v>089612019100</v>
      </c>
      <c r="W514" s="15"/>
    </row>
    <row r="515" ht="22.5" customHeight="1">
      <c r="A515" s="8"/>
      <c r="B515" s="9">
        <f>IFERROR(__xludf.DUMMYFUNCTION("""COMPUTED_VALUE"""),45115.53351383102)</f>
        <v>45115.53351</v>
      </c>
      <c r="C515" s="9"/>
      <c r="D515" s="10">
        <f>IFERROR(__xludf.DUMMYFUNCTION("""COMPUTED_VALUE"""),45116.0)</f>
        <v>45116</v>
      </c>
      <c r="E515" s="10" t="str">
        <f>IFERROR(__xludf.DUMMYFUNCTION("""COMPUTED_VALUE"""),"07Jul")</f>
        <v>07Jul</v>
      </c>
      <c r="F515" s="10" t="str">
        <f>IFERROR(__xludf.DUMMYFUNCTION("""COMPUTED_VALUE"""),"2023")</f>
        <v>2023</v>
      </c>
      <c r="G515" s="16" t="str">
        <f>IFERROR(__xludf.DUMMYFUNCTION("""COMPUTED_VALUE"""),"PUTRI SEPTIANI")</f>
        <v>PUTRI SEPTIANI</v>
      </c>
      <c r="H515" s="17" t="str">
        <f>IFERROR(__xludf.DUMMYFUNCTION("""COMPUTED_VALUE"""),"P0323077573")</f>
        <v>P0323077573</v>
      </c>
      <c r="I515" s="17">
        <f>IFERROR(__xludf.DUMMYFUNCTION("""COMPUTED_VALUE"""),22.0)</f>
        <v>22</v>
      </c>
      <c r="J515" s="17" t="str">
        <f>IFERROR(__xludf.DUMMYFUNCTION("""COMPUTED_VALUE"""),"18-24 tahun")</f>
        <v>18-24 tahun</v>
      </c>
      <c r="K515" s="19">
        <f>IFERROR(__xludf.DUMMYFUNCTION("""COMPUTED_VALUE"""),37870.0)</f>
        <v>37870</v>
      </c>
      <c r="L515" s="19" t="str">
        <f>IFERROR(__xludf.DUMMYFUNCTION("""COMPUTED_VALUE"""),"PEREMPUAN")</f>
        <v>PEREMPUAN</v>
      </c>
      <c r="M515" s="16" t="str">
        <f>IFERROR(__xludf.DUMMYFUNCTION("""COMPUTED_VALUE"""),"JL. WONOBARU GG. WONODADI I RT 001 TW 002 KELURAHAN KOTA BARU KECAMATAN PONTIANAK SELATAN")</f>
        <v>JL. WONOBARU GG. WONODADI I RT 001 TW 002 KELURAHAN KOTA BARU KECAMATAN PONTIANAK SELATAN</v>
      </c>
      <c r="N515" s="16"/>
      <c r="O515" s="16"/>
      <c r="P515" s="16"/>
      <c r="Q515" s="16"/>
      <c r="R515" s="19" t="str">
        <f>IFERROR(__xludf.DUMMYFUNCTION("""COMPUTED_VALUE"""),"ISLAM")</f>
        <v>ISLAM</v>
      </c>
      <c r="S515" s="16" t="str">
        <f>IFERROR(__xludf.DUMMYFUNCTION("""COMPUTED_VALUE"""),"PELAJAR/MAHASISWA")</f>
        <v>PELAJAR/MAHASISWA</v>
      </c>
      <c r="T515" s="16" t="str">
        <f>IFERROR(__xludf.DUMMYFUNCTION("""COMPUTED_VALUE"""),"SAKIT KAKI BAGIAN BAWAH HAMPIR SEBULAN, JADI NAPAK ITU TERASA SAKITNYA GARAGARA FAKTOR OLAHRAGA.")</f>
        <v>SAKIT KAKI BAGIAN BAWAH HAMPIR SEBULAN, JADI NAPAK ITU TERASA SAKITNYA GARAGARA FAKTOR OLAHRAGA.</v>
      </c>
      <c r="U515" s="16" t="str">
        <f>IFERROR(__xludf.DUMMYFUNCTION("""COMPUTED_VALUE"""),"MEMBANTU MELAKUKAN PEKERJAAN RUMAH. OLAHRAGA JOGING DLL TAPI SEMENJAK SAKIT BELUM LARI KRN TAKUT DLL")</f>
        <v>MEMBANTU MELAKUKAN PEKERJAAN RUMAH. OLAHRAGA JOGING DLL TAPI SEMENJAK SAKIT BELUM LARI KRN TAKUT DLL</v>
      </c>
      <c r="V515" s="11" t="str">
        <f>IFERROR(__xludf.DUMMYFUNCTION("""COMPUTED_VALUE"""),"085524757573")</f>
        <v>085524757573</v>
      </c>
      <c r="W515" s="15"/>
    </row>
    <row r="516" ht="22.5" customHeight="1">
      <c r="A516" s="8"/>
      <c r="B516" s="9">
        <f>IFERROR(__xludf.DUMMYFUNCTION("""COMPUTED_VALUE"""),45115.54235322917)</f>
        <v>45115.54235</v>
      </c>
      <c r="C516" s="9"/>
      <c r="D516" s="10">
        <f>IFERROR(__xludf.DUMMYFUNCTION("""COMPUTED_VALUE"""),45116.0)</f>
        <v>45116</v>
      </c>
      <c r="E516" s="10" t="str">
        <f>IFERROR(__xludf.DUMMYFUNCTION("""COMPUTED_VALUE"""),"07Jul")</f>
        <v>07Jul</v>
      </c>
      <c r="F516" s="10" t="str">
        <f>IFERROR(__xludf.DUMMYFUNCTION("""COMPUTED_VALUE"""),"2023")</f>
        <v>2023</v>
      </c>
      <c r="G516" s="16" t="str">
        <f>IFERROR(__xludf.DUMMYFUNCTION("""COMPUTED_VALUE"""),"BARIZ NABHAN PUTRA HARDYAN")</f>
        <v>BARIZ NABHAN PUTRA HARDYAN</v>
      </c>
      <c r="H516" s="17" t="str">
        <f>IFERROR(__xludf.DUMMYFUNCTION("""COMPUTED_VALUE"""),"B0623075121")</f>
        <v>B0623075121</v>
      </c>
      <c r="I516" s="17">
        <f>IFERROR(__xludf.DUMMYFUNCTION("""COMPUTED_VALUE"""),20.0)</f>
        <v>20</v>
      </c>
      <c r="J516" s="17" t="str">
        <f>IFERROR(__xludf.DUMMYFUNCTION("""COMPUTED_VALUE"""),"18-24 tahun")</f>
        <v>18-24 tahun</v>
      </c>
      <c r="K516" s="19">
        <f>IFERROR(__xludf.DUMMYFUNCTION("""COMPUTED_VALUE"""),38734.0)</f>
        <v>38734</v>
      </c>
      <c r="L516" s="19" t="str">
        <f>IFERROR(__xludf.DUMMYFUNCTION("""COMPUTED_VALUE"""),"LAKI-LAKI")</f>
        <v>LAKI-LAKI</v>
      </c>
      <c r="M516" s="16" t="str">
        <f>IFERROR(__xludf.DUMMYFUNCTION("""COMPUTED_VALUE"""),"JL.SUBARKAH ASPOL SUBARKAH BLOK A NO A12")</f>
        <v>JL.SUBARKAH ASPOL SUBARKAH BLOK A NO A12</v>
      </c>
      <c r="N516" s="16"/>
      <c r="O516" s="16"/>
      <c r="P516" s="16"/>
      <c r="Q516" s="16"/>
      <c r="R516" s="19" t="str">
        <f>IFERROR(__xludf.DUMMYFUNCTION("""COMPUTED_VALUE"""),"ISLAM")</f>
        <v>ISLAM</v>
      </c>
      <c r="S516" s="16" t="str">
        <f>IFERROR(__xludf.DUMMYFUNCTION("""COMPUTED_VALUE"""),"PELAJAR/MAHASISWA")</f>
        <v>PELAJAR/MAHASISWA</v>
      </c>
      <c r="T516" s="16" t="str">
        <f>IFERROR(__xludf.DUMMYFUNCTION("""COMPUTED_VALUE"""),"KAKI X")</f>
        <v>KAKI X</v>
      </c>
      <c r="U516" s="16" t="str">
        <f>IFERROR(__xludf.DUMMYFUNCTION("""COMPUTED_VALUE"""),"OLAHRAGA")</f>
        <v>OLAHRAGA</v>
      </c>
      <c r="V516" s="11" t="str">
        <f>IFERROR(__xludf.DUMMYFUNCTION("""COMPUTED_VALUE"""),"0811565121")</f>
        <v>0811565121</v>
      </c>
      <c r="W516" s="15"/>
    </row>
    <row r="517" ht="22.5" customHeight="1">
      <c r="A517" s="8"/>
      <c r="B517" s="9">
        <f>IFERROR(__xludf.DUMMYFUNCTION("""COMPUTED_VALUE"""),45115.671594976855)</f>
        <v>45115.67159</v>
      </c>
      <c r="C517" s="9"/>
      <c r="D517" s="10">
        <f>IFERROR(__xludf.DUMMYFUNCTION("""COMPUTED_VALUE"""),45116.0)</f>
        <v>45116</v>
      </c>
      <c r="E517" s="10" t="str">
        <f>IFERROR(__xludf.DUMMYFUNCTION("""COMPUTED_VALUE"""),"07Jul")</f>
        <v>07Jul</v>
      </c>
      <c r="F517" s="10" t="str">
        <f>IFERROR(__xludf.DUMMYFUNCTION("""COMPUTED_VALUE"""),"2023")</f>
        <v>2023</v>
      </c>
      <c r="G517" s="16" t="str">
        <f>IFERROR(__xludf.DUMMYFUNCTION("""COMPUTED_VALUE"""),"LIU YULIANTI")</f>
        <v>LIU YULIANTI</v>
      </c>
      <c r="H517" s="17" t="str">
        <f>IFERROR(__xludf.DUMMYFUNCTION("""COMPUTED_VALUE"""),"L8623076060")</f>
        <v>L8623076060</v>
      </c>
      <c r="I517" s="17">
        <f>IFERROR(__xludf.DUMMYFUNCTION("""COMPUTED_VALUE"""),40.0)</f>
        <v>40</v>
      </c>
      <c r="J517" s="17" t="str">
        <f>IFERROR(__xludf.DUMMYFUNCTION("""COMPUTED_VALUE"""),"35-44 tahun")</f>
        <v>35-44 tahun</v>
      </c>
      <c r="K517" s="19">
        <f>IFERROR(__xludf.DUMMYFUNCTION("""COMPUTED_VALUE"""),31456.0)</f>
        <v>31456</v>
      </c>
      <c r="L517" s="19" t="str">
        <f>IFERROR(__xludf.DUMMYFUNCTION("""COMPUTED_VALUE"""),"PEREMPUAN")</f>
        <v>PEREMPUAN</v>
      </c>
      <c r="M517" s="16" t="str">
        <f>IFERROR(__xludf.DUMMYFUNCTION("""COMPUTED_VALUE"""),"JL. TANRAY II GG. KURNIA JAYA NO. 6")</f>
        <v>JL. TANRAY II GG. KURNIA JAYA NO. 6</v>
      </c>
      <c r="N517" s="16"/>
      <c r="O517" s="16"/>
      <c r="P517" s="16"/>
      <c r="Q517" s="16"/>
      <c r="R517" s="19" t="str">
        <f>IFERROR(__xludf.DUMMYFUNCTION("""COMPUTED_VALUE"""),"ISLAM")</f>
        <v>ISLAM</v>
      </c>
      <c r="S517" s="16" t="str">
        <f>IFERROR(__xludf.DUMMYFUNCTION("""COMPUTED_VALUE"""),"SWASTA")</f>
        <v>SWASTA</v>
      </c>
      <c r="T517" s="16" t="str">
        <f>IFERROR(__xludf.DUMMYFUNCTION("""COMPUTED_VALUE"""),"SAKIT TANGAN KAKI SEBELAH KANAN")</f>
        <v>SAKIT TANGAN KAKI SEBELAH KANAN</v>
      </c>
      <c r="U517" s="16" t="str">
        <f>IFERROR(__xludf.DUMMYFUNCTION("""COMPUTED_VALUE"""),"KERJA")</f>
        <v>KERJA</v>
      </c>
      <c r="V517" s="11" t="str">
        <f>IFERROR(__xludf.DUMMYFUNCTION("""COMPUTED_VALUE"""),"082255636060")</f>
        <v>082255636060</v>
      </c>
      <c r="W517" s="15"/>
    </row>
    <row r="518" ht="22.5" customHeight="1">
      <c r="A518" s="8"/>
      <c r="B518" s="9">
        <f>IFERROR(__xludf.DUMMYFUNCTION("""COMPUTED_VALUE"""),45115.774208877316)</f>
        <v>45115.77421</v>
      </c>
      <c r="C518" s="9"/>
      <c r="D518" s="10">
        <f>IFERROR(__xludf.DUMMYFUNCTION("""COMPUTED_VALUE"""),45116.0)</f>
        <v>45116</v>
      </c>
      <c r="E518" s="10" t="str">
        <f>IFERROR(__xludf.DUMMYFUNCTION("""COMPUTED_VALUE"""),"07Jul")</f>
        <v>07Jul</v>
      </c>
      <c r="F518" s="10" t="str">
        <f>IFERROR(__xludf.DUMMYFUNCTION("""COMPUTED_VALUE"""),"2023")</f>
        <v>2023</v>
      </c>
      <c r="G518" s="16" t="str">
        <f>IFERROR(__xludf.DUMMYFUNCTION("""COMPUTED_VALUE"""),"RIRZKI AMANDA")</f>
        <v>RIRZKI AMANDA</v>
      </c>
      <c r="H518" s="17" t="str">
        <f>IFERROR(__xludf.DUMMYFUNCTION("""COMPUTED_VALUE"""),"R9023070027")</f>
        <v>R9023070027</v>
      </c>
      <c r="I518" s="17">
        <f>IFERROR(__xludf.DUMMYFUNCTION("""COMPUTED_VALUE"""),36.0)</f>
        <v>36</v>
      </c>
      <c r="J518" s="17" t="str">
        <f>IFERROR(__xludf.DUMMYFUNCTION("""COMPUTED_VALUE"""),"35-44 tahun")</f>
        <v>35-44 tahun</v>
      </c>
      <c r="K518" s="19">
        <f>IFERROR(__xludf.DUMMYFUNCTION("""COMPUTED_VALUE"""),32959.0)</f>
        <v>32959</v>
      </c>
      <c r="L518" s="19" t="str">
        <f>IFERROR(__xludf.DUMMYFUNCTION("""COMPUTED_VALUE"""),"LAKI-LAKI")</f>
        <v>LAKI-LAKI</v>
      </c>
      <c r="M518" s="16" t="str">
        <f>IFERROR(__xludf.DUMMYFUNCTION("""COMPUTED_VALUE"""),"JALAN DANAU SENTARUM GANG MUFAKAT NOMOR 2")</f>
        <v>JALAN DANAU SENTARUM GANG MUFAKAT NOMOR 2</v>
      </c>
      <c r="N518" s="16"/>
      <c r="O518" s="16"/>
      <c r="P518" s="16"/>
      <c r="Q518" s="16"/>
      <c r="R518" s="19" t="str">
        <f>IFERROR(__xludf.DUMMYFUNCTION("""COMPUTED_VALUE"""),"ISLAM")</f>
        <v>ISLAM</v>
      </c>
      <c r="S518" s="16" t="str">
        <f>IFERROR(__xludf.DUMMYFUNCTION("""COMPUTED_VALUE"""),"ASN")</f>
        <v>ASN</v>
      </c>
      <c r="T518" s="16" t="str">
        <f>IFERROR(__xludf.DUMMYFUNCTION("""COMPUTED_VALUE"""),"SAKIT PINGGANG")</f>
        <v>SAKIT PINGGANG</v>
      </c>
      <c r="U518" s="16" t="str">
        <f>IFERROR(__xludf.DUMMYFUNCTION("""COMPUTED_VALUE"""),"OLAHRAGA")</f>
        <v>OLAHRAGA</v>
      </c>
      <c r="V518" s="11" t="str">
        <f>IFERROR(__xludf.DUMMYFUNCTION("""COMPUTED_VALUE"""),"082213300027")</f>
        <v>082213300027</v>
      </c>
      <c r="W518" s="15"/>
    </row>
    <row r="519" ht="22.5" customHeight="1">
      <c r="A519" s="8"/>
      <c r="B519" s="9">
        <f>IFERROR(__xludf.DUMMYFUNCTION("""COMPUTED_VALUE"""),45116.43568197917)</f>
        <v>45116.43568</v>
      </c>
      <c r="C519" s="9"/>
      <c r="D519" s="10">
        <f>IFERROR(__xludf.DUMMYFUNCTION("""COMPUTED_VALUE"""),45117.0)</f>
        <v>45117</v>
      </c>
      <c r="E519" s="10" t="str">
        <f>IFERROR(__xludf.DUMMYFUNCTION("""COMPUTED_VALUE"""),"07Jul")</f>
        <v>07Jul</v>
      </c>
      <c r="F519" s="10" t="str">
        <f>IFERROR(__xludf.DUMMYFUNCTION("""COMPUTED_VALUE"""),"2023")</f>
        <v>2023</v>
      </c>
      <c r="G519" s="16" t="str">
        <f>IFERROR(__xludf.DUMMYFUNCTION("""COMPUTED_VALUE"""),"RIZTIO NOVAN PRATOMO")</f>
        <v>RIZTIO NOVAN PRATOMO</v>
      </c>
      <c r="H519" s="17" t="str">
        <f>IFERROR(__xludf.DUMMYFUNCTION("""COMPUTED_VALUE"""),"R9123077213")</f>
        <v>R9123077213</v>
      </c>
      <c r="I519" s="17">
        <f>IFERROR(__xludf.DUMMYFUNCTION("""COMPUTED_VALUE"""),34.0)</f>
        <v>34</v>
      </c>
      <c r="J519" s="17" t="str">
        <f>IFERROR(__xludf.DUMMYFUNCTION("""COMPUTED_VALUE"""),"25-34 tahun")</f>
        <v>25-34 tahun</v>
      </c>
      <c r="K519" s="19">
        <f>IFERROR(__xludf.DUMMYFUNCTION("""COMPUTED_VALUE"""),33570.0)</f>
        <v>33570</v>
      </c>
      <c r="L519" s="19" t="str">
        <f>IFERROR(__xludf.DUMMYFUNCTION("""COMPUTED_VALUE"""),"LAKI-LAKI")</f>
        <v>LAKI-LAKI</v>
      </c>
      <c r="M519" s="16" t="str">
        <f>IFERROR(__xludf.DUMMYFUNCTION("""COMPUTED_VALUE"""),"JL. KHATULISTIWA GANG PURNAJAYA 2 NO. 12")</f>
        <v>JL. KHATULISTIWA GANG PURNAJAYA 2 NO. 12</v>
      </c>
      <c r="N519" s="16"/>
      <c r="O519" s="16"/>
      <c r="P519" s="16"/>
      <c r="Q519" s="16"/>
      <c r="R519" s="19" t="str">
        <f>IFERROR(__xludf.DUMMYFUNCTION("""COMPUTED_VALUE"""),"ISLAM")</f>
        <v>ISLAM</v>
      </c>
      <c r="S519" s="16" t="str">
        <f>IFERROR(__xludf.DUMMYFUNCTION("""COMPUTED_VALUE"""),"TENAGA HONOR")</f>
        <v>TENAGA HONOR</v>
      </c>
      <c r="T519" s="16"/>
      <c r="U519" s="16" t="str">
        <f>IFERROR(__xludf.DUMMYFUNCTION("""COMPUTED_VALUE"""),"OLAHRAGA")</f>
        <v>OLAHRAGA</v>
      </c>
      <c r="V519" s="11" t="str">
        <f>IFERROR(__xludf.DUMMYFUNCTION("""COMPUTED_VALUE"""),"089693417213")</f>
        <v>089693417213</v>
      </c>
      <c r="W519" s="15"/>
    </row>
    <row r="520" ht="22.5" customHeight="1">
      <c r="A520" s="8"/>
      <c r="B520" s="9">
        <f>IFERROR(__xludf.DUMMYFUNCTION("""COMPUTED_VALUE"""),45116.44444263889)</f>
        <v>45116.44444</v>
      </c>
      <c r="C520" s="9"/>
      <c r="D520" s="10">
        <f>IFERROR(__xludf.DUMMYFUNCTION("""COMPUTED_VALUE"""),45117.41900678241)</f>
        <v>45117.41901</v>
      </c>
      <c r="E520" s="10" t="str">
        <f>IFERROR(__xludf.DUMMYFUNCTION("""COMPUTED_VALUE"""),"07Jul")</f>
        <v>07Jul</v>
      </c>
      <c r="F520" s="10" t="str">
        <f>IFERROR(__xludf.DUMMYFUNCTION("""COMPUTED_VALUE"""),"2023")</f>
        <v>2023</v>
      </c>
      <c r="G520" s="16" t="str">
        <f>IFERROR(__xludf.DUMMYFUNCTION("""COMPUTED_VALUE"""),"MOSES AHIE")</f>
        <v>MOSES AHIE</v>
      </c>
      <c r="H520" s="17" t="str">
        <f>IFERROR(__xludf.DUMMYFUNCTION("""COMPUTED_VALUE"""),"M5623071188")</f>
        <v>M5623071188</v>
      </c>
      <c r="I520" s="17">
        <f>IFERROR(__xludf.DUMMYFUNCTION("""COMPUTED_VALUE"""),70.0)</f>
        <v>70</v>
      </c>
      <c r="J520" s="17" t="str">
        <f>IFERROR(__xludf.DUMMYFUNCTION("""COMPUTED_VALUE"""),"&gt; 44 tahun")</f>
        <v>&gt; 44 tahun</v>
      </c>
      <c r="K520" s="19">
        <f>IFERROR(__xludf.DUMMYFUNCTION("""COMPUTED_VALUE"""),20569.0)</f>
        <v>20569</v>
      </c>
      <c r="L520" s="19" t="str">
        <f>IFERROR(__xludf.DUMMYFUNCTION("""COMPUTED_VALUE"""),"LAKI-LAKI")</f>
        <v>LAKI-LAKI</v>
      </c>
      <c r="M520" s="16" t="str">
        <f>IFERROR(__xludf.DUMMYFUNCTION("""COMPUTED_VALUE"""),"JL SWADAYA 74 SINGKAWANG")</f>
        <v>JL SWADAYA 74 SINGKAWANG</v>
      </c>
      <c r="N520" s="16"/>
      <c r="O520" s="16"/>
      <c r="P520" s="16"/>
      <c r="Q520" s="16"/>
      <c r="R520" s="19" t="str">
        <f>IFERROR(__xludf.DUMMYFUNCTION("""COMPUTED_VALUE"""),"KATOLIK")</f>
        <v>KATOLIK</v>
      </c>
      <c r="S520" s="16" t="str">
        <f>IFERROR(__xludf.DUMMYFUNCTION("""COMPUTED_VALUE"""),"TNI/POLRI")</f>
        <v>TNI/POLRI</v>
      </c>
      <c r="T520" s="16" t="str">
        <f>IFERROR(__xludf.DUMMYFUNCTION("""COMPUTED_VALUE"""),"NYERI BELAKANG")</f>
        <v>NYERI BELAKANG</v>
      </c>
      <c r="U520" s="16" t="str">
        <f>IFERROR(__xludf.DUMMYFUNCTION("""COMPUTED_VALUE"""),"OLAHRAGA")</f>
        <v>OLAHRAGA</v>
      </c>
      <c r="V520" s="11" t="str">
        <f>IFERROR(__xludf.DUMMYFUNCTION("""COMPUTED_VALUE"""),"082112791188")</f>
        <v>082112791188</v>
      </c>
      <c r="W520" s="15"/>
    </row>
    <row r="521" ht="22.5" customHeight="1">
      <c r="A521" s="8"/>
      <c r="B521" s="9">
        <f>IFERROR(__xludf.DUMMYFUNCTION("""COMPUTED_VALUE"""),45117.41900678241)</f>
        <v>45117.41901</v>
      </c>
      <c r="C521" s="9"/>
      <c r="D521" s="10">
        <f>IFERROR(__xludf.DUMMYFUNCTION("""COMPUTED_VALUE"""),45118.0)</f>
        <v>45118</v>
      </c>
      <c r="E521" s="10" t="str">
        <f>IFERROR(__xludf.DUMMYFUNCTION("""COMPUTED_VALUE"""),"07Jul")</f>
        <v>07Jul</v>
      </c>
      <c r="F521" s="10" t="str">
        <f>IFERROR(__xludf.DUMMYFUNCTION("""COMPUTED_VALUE"""),"2023")</f>
        <v>2023</v>
      </c>
      <c r="G521" s="16" t="str">
        <f>IFERROR(__xludf.DUMMYFUNCTION("""COMPUTED_VALUE"""),"DEWI ARTIKA")</f>
        <v>DEWI ARTIKA</v>
      </c>
      <c r="H521" s="17" t="str">
        <f>IFERROR(__xludf.DUMMYFUNCTION("""COMPUTED_VALUE"""),"D7923079767")</f>
        <v>D7923079767</v>
      </c>
      <c r="I521" s="17">
        <f>IFERROR(__xludf.DUMMYFUNCTION("""COMPUTED_VALUE"""),46.0)</f>
        <v>46</v>
      </c>
      <c r="J521" s="17" t="str">
        <f>IFERROR(__xludf.DUMMYFUNCTION("""COMPUTED_VALUE"""),"&gt; 44 tahun")</f>
        <v>&gt; 44 tahun</v>
      </c>
      <c r="K521" s="19">
        <f>IFERROR(__xludf.DUMMYFUNCTION("""COMPUTED_VALUE"""),29211.0)</f>
        <v>29211</v>
      </c>
      <c r="L521" s="19" t="str">
        <f>IFERROR(__xludf.DUMMYFUNCTION("""COMPUTED_VALUE"""),"PEREMPUAN")</f>
        <v>PEREMPUAN</v>
      </c>
      <c r="M521" s="16" t="str">
        <f>IFERROR(__xludf.DUMMYFUNCTION("""COMPUTED_VALUE"""),"JL. H. RAIS ARAHMAN NO. 8")</f>
        <v>JL. H. RAIS ARAHMAN NO. 8</v>
      </c>
      <c r="N521" s="16"/>
      <c r="O521" s="16"/>
      <c r="P521" s="16"/>
      <c r="Q521" s="16"/>
      <c r="R521" s="19" t="str">
        <f>IFERROR(__xludf.DUMMYFUNCTION("""COMPUTED_VALUE"""),"ISLAM")</f>
        <v>ISLAM</v>
      </c>
      <c r="S521" s="16" t="str">
        <f>IFERROR(__xludf.DUMMYFUNCTION("""COMPUTED_VALUE"""),"RUMAH TANGGA")</f>
        <v>RUMAH TANGGA</v>
      </c>
      <c r="T521" s="16" t="str">
        <f>IFERROR(__xludf.DUMMYFUNCTION("""COMPUTED_VALUE"""),"Sui Jawi dalam")</f>
        <v>Sui Jawi dalam</v>
      </c>
      <c r="U521" s="16" t="str">
        <f>IFERROR(__xludf.DUMMYFUNCTION("""COMPUTED_VALUE"""),"MEMASAK")</f>
        <v>MEMASAK</v>
      </c>
      <c r="V521" s="11" t="str">
        <f>IFERROR(__xludf.DUMMYFUNCTION("""COMPUTED_VALUE"""),"081347699767")</f>
        <v>081347699767</v>
      </c>
      <c r="W521" s="15"/>
    </row>
    <row r="522" ht="22.5" customHeight="1">
      <c r="A522" s="8"/>
      <c r="B522" s="9">
        <f>IFERROR(__xludf.DUMMYFUNCTION("""COMPUTED_VALUE"""),45117.861711377314)</f>
        <v>45117.86171</v>
      </c>
      <c r="C522" s="9"/>
      <c r="D522" s="10">
        <f>IFERROR(__xludf.DUMMYFUNCTION("""COMPUTED_VALUE"""),45118.0)</f>
        <v>45118</v>
      </c>
      <c r="E522" s="10" t="str">
        <f>IFERROR(__xludf.DUMMYFUNCTION("""COMPUTED_VALUE"""),"07Jul")</f>
        <v>07Jul</v>
      </c>
      <c r="F522" s="10" t="str">
        <f>IFERROR(__xludf.DUMMYFUNCTION("""COMPUTED_VALUE"""),"2023")</f>
        <v>2023</v>
      </c>
      <c r="G522" s="16" t="str">
        <f>IFERROR(__xludf.DUMMYFUNCTION("""COMPUTED_VALUE"""),"AGATHA ARCADIA")</f>
        <v>AGATHA ARCADIA</v>
      </c>
      <c r="H522" s="17" t="str">
        <f>IFERROR(__xludf.DUMMYFUNCTION("""COMPUTED_VALUE"""),"A0623071437")</f>
        <v>A0623071437</v>
      </c>
      <c r="I522" s="17">
        <f>IFERROR(__xludf.DUMMYFUNCTION("""COMPUTED_VALUE"""),20.0)</f>
        <v>20</v>
      </c>
      <c r="J522" s="17" t="str">
        <f>IFERROR(__xludf.DUMMYFUNCTION("""COMPUTED_VALUE"""),"18-24 tahun")</f>
        <v>18-24 tahun</v>
      </c>
      <c r="K522" s="19">
        <f>IFERROR(__xludf.DUMMYFUNCTION("""COMPUTED_VALUE"""),38867.0)</f>
        <v>38867</v>
      </c>
      <c r="L522" s="19" t="str">
        <f>IFERROR(__xludf.DUMMYFUNCTION("""COMPUTED_VALUE"""),"LAKI-LAKI")</f>
        <v>LAKI-LAKI</v>
      </c>
      <c r="M522" s="16" t="str">
        <f>IFERROR(__xludf.DUMMYFUNCTION("""COMPUTED_VALUE"""),"JL. PELITA 1, PUNGGUR KECIL")</f>
        <v>JL. PELITA 1, PUNGGUR KECIL</v>
      </c>
      <c r="N522" s="16"/>
      <c r="O522" s="16"/>
      <c r="P522" s="16"/>
      <c r="Q522" s="16"/>
      <c r="R522" s="19" t="str">
        <f>IFERROR(__xludf.DUMMYFUNCTION("""COMPUTED_VALUE"""),"ISLAM")</f>
        <v>ISLAM</v>
      </c>
      <c r="S522" s="16" t="str">
        <f>IFERROR(__xludf.DUMMYFUNCTION("""COMPUTED_VALUE"""),"PELAJAR/MAHASISWA")</f>
        <v>PELAJAR/MAHASISWA</v>
      </c>
      <c r="T522" s="16" t="str">
        <f>IFERROR(__xludf.DUMMYFUNCTION("""COMPUTED_VALUE"""),"Cedera Engkel Di Kaki")</f>
        <v>Cedera Engkel Di Kaki</v>
      </c>
      <c r="U522" s="16" t="str">
        <f>IFERROR(__xludf.DUMMYFUNCTION("""COMPUTED_VALUE"""),"BERMAIN FUTSAL")</f>
        <v>BERMAIN FUTSAL</v>
      </c>
      <c r="V522" s="11" t="str">
        <f>IFERROR(__xludf.DUMMYFUNCTION("""COMPUTED_VALUE"""),"089693771437")</f>
        <v>089693771437</v>
      </c>
      <c r="W522" s="15"/>
    </row>
    <row r="523" ht="22.5" customHeight="1">
      <c r="A523" s="8"/>
      <c r="B523" s="9">
        <f>IFERROR(__xludf.DUMMYFUNCTION("""COMPUTED_VALUE"""),45118.87035445602)</f>
        <v>45118.87035</v>
      </c>
      <c r="C523" s="9"/>
      <c r="D523" s="10">
        <f>IFERROR(__xludf.DUMMYFUNCTION("""COMPUTED_VALUE"""),45119.0)</f>
        <v>45119</v>
      </c>
      <c r="E523" s="10" t="str">
        <f>IFERROR(__xludf.DUMMYFUNCTION("""COMPUTED_VALUE"""),"07Jul")</f>
        <v>07Jul</v>
      </c>
      <c r="F523" s="10" t="str">
        <f>IFERROR(__xludf.DUMMYFUNCTION("""COMPUTED_VALUE"""),"2023")</f>
        <v>2023</v>
      </c>
      <c r="G523" s="16" t="str">
        <f>IFERROR(__xludf.DUMMYFUNCTION("""COMPUTED_VALUE"""),"TETI AISYAH")</f>
        <v>TETI AISYAH</v>
      </c>
      <c r="H523" s="17" t="str">
        <f>IFERROR(__xludf.DUMMYFUNCTION("""COMPUTED_VALUE"""),"T7623079709")</f>
        <v>T7623079709</v>
      </c>
      <c r="I523" s="17">
        <f>IFERROR(__xludf.DUMMYFUNCTION("""COMPUTED_VALUE"""),49.0)</f>
        <v>49</v>
      </c>
      <c r="J523" s="17" t="str">
        <f>IFERROR(__xludf.DUMMYFUNCTION("""COMPUTED_VALUE"""),"&gt; 44 tahun")</f>
        <v>&gt; 44 tahun</v>
      </c>
      <c r="K523" s="19">
        <f>IFERROR(__xludf.DUMMYFUNCTION("""COMPUTED_VALUE"""),27989.0)</f>
        <v>27989</v>
      </c>
      <c r="L523" s="19" t="str">
        <f>IFERROR(__xludf.DUMMYFUNCTION("""COMPUTED_VALUE"""),"PEREMPUAN")</f>
        <v>PEREMPUAN</v>
      </c>
      <c r="M523" s="16" t="str">
        <f>IFERROR(__xludf.DUMMYFUNCTION("""COMPUTED_VALUE"""),"DUSUN JAMBI LUAR, KECAMATAN MANIS MATA, KABUPATEN KETAPANG, KALIMANTAN BARAT")</f>
        <v>DUSUN JAMBI LUAR, KECAMATAN MANIS MATA, KABUPATEN KETAPANG, KALIMANTAN BARAT</v>
      </c>
      <c r="N523" s="16"/>
      <c r="O523" s="16"/>
      <c r="P523" s="16"/>
      <c r="Q523" s="16"/>
      <c r="R523" s="19" t="str">
        <f>IFERROR(__xludf.DUMMYFUNCTION("""COMPUTED_VALUE"""),"ISLAM")</f>
        <v>ISLAM</v>
      </c>
      <c r="S523" s="16" t="str">
        <f>IFERROR(__xludf.DUMMYFUNCTION("""COMPUTED_VALUE"""),"ASN")</f>
        <v>ASN</v>
      </c>
      <c r="T523" s="16" t="str">
        <f>IFERROR(__xludf.DUMMYFUNCTION("""COMPUTED_VALUE"""),"PASCA STROKE, KEKAKUAN DI BAGIAN TUBUH SEBELAH KIRI")</f>
        <v>PASCA STROKE, KEKAKUAN DI BAGIAN TUBUH SEBELAH KIRI</v>
      </c>
      <c r="U523" s="16" t="str">
        <f>IFERROR(__xludf.DUMMYFUNCTION("""COMPUTED_VALUE"""),"IBU RUMAH TANGGA DAN PEGAWAI PUSKESMAS")</f>
        <v>IBU RUMAH TANGGA DAN PEGAWAI PUSKESMAS</v>
      </c>
      <c r="V523" s="11" t="str">
        <f>IFERROR(__xludf.DUMMYFUNCTION("""COMPUTED_VALUE"""),"082153499709")</f>
        <v>082153499709</v>
      </c>
      <c r="W523" s="15"/>
    </row>
    <row r="524" ht="22.5" customHeight="1">
      <c r="A524" s="8"/>
      <c r="B524" s="9">
        <f>IFERROR(__xludf.DUMMYFUNCTION("""COMPUTED_VALUE"""),45119.405982048615)</f>
        <v>45119.40598</v>
      </c>
      <c r="C524" s="9"/>
      <c r="D524" s="10">
        <f>IFERROR(__xludf.DUMMYFUNCTION("""COMPUTED_VALUE"""),45119.0)</f>
        <v>45119</v>
      </c>
      <c r="E524" s="10" t="str">
        <f>IFERROR(__xludf.DUMMYFUNCTION("""COMPUTED_VALUE"""),"07Jul")</f>
        <v>07Jul</v>
      </c>
      <c r="F524" s="10" t="str">
        <f>IFERROR(__xludf.DUMMYFUNCTION("""COMPUTED_VALUE"""),"2023")</f>
        <v>2023</v>
      </c>
      <c r="G524" s="16" t="str">
        <f>IFERROR(__xludf.DUMMYFUNCTION("""COMPUTED_VALUE"""),"FATMAWATI SYAM")</f>
        <v>FATMAWATI SYAM</v>
      </c>
      <c r="H524" s="17" t="str">
        <f>IFERROR(__xludf.DUMMYFUNCTION("""COMPUTED_VALUE"""),"F6923072692")</f>
        <v>F6923072692</v>
      </c>
      <c r="I524" s="17">
        <f>IFERROR(__xludf.DUMMYFUNCTION("""COMPUTED_VALUE"""),57.0)</f>
        <v>57</v>
      </c>
      <c r="J524" s="17" t="str">
        <f>IFERROR(__xludf.DUMMYFUNCTION("""COMPUTED_VALUE"""),"&gt; 44 tahun")</f>
        <v>&gt; 44 tahun</v>
      </c>
      <c r="K524" s="19">
        <f>IFERROR(__xludf.DUMMYFUNCTION("""COMPUTED_VALUE"""),25248.0)</f>
        <v>25248</v>
      </c>
      <c r="L524" s="19" t="str">
        <f>IFERROR(__xludf.DUMMYFUNCTION("""COMPUTED_VALUE"""),"PEREMPUAN")</f>
        <v>PEREMPUAN</v>
      </c>
      <c r="M524" s="16" t="str">
        <f>IFERROR(__xludf.DUMMYFUNCTION("""COMPUTED_VALUE"""),"JL. PULAU WE NO.18")</f>
        <v>JL. PULAU WE NO.18</v>
      </c>
      <c r="N524" s="16"/>
      <c r="O524" s="16"/>
      <c r="P524" s="16"/>
      <c r="Q524" s="16"/>
      <c r="R524" s="19" t="str">
        <f>IFERROR(__xludf.DUMMYFUNCTION("""COMPUTED_VALUE"""),"ISLAM")</f>
        <v>ISLAM</v>
      </c>
      <c r="S524" s="16" t="str">
        <f>IFERROR(__xludf.DUMMYFUNCTION("""COMPUTED_VALUE"""),"PERBANKAN")</f>
        <v>PERBANKAN</v>
      </c>
      <c r="T524" s="16" t="str">
        <f>IFERROR(__xludf.DUMMYFUNCTION("""COMPUTED_VALUE"""),"RADANG OTOT JEMPOL TANGAN KIRI DAN KANAN")</f>
        <v>RADANG OTOT JEMPOL TANGAN KIRI DAN KANAN</v>
      </c>
      <c r="U524" s="16" t="str">
        <f>IFERROR(__xludf.DUMMYFUNCTION("""COMPUTED_VALUE"""),"BEKERJA DIKANTOR")</f>
        <v>BEKERJA DIKANTOR</v>
      </c>
      <c r="V524" s="11" t="str">
        <f>IFERROR(__xludf.DUMMYFUNCTION("""COMPUTED_VALUE"""),"0895364422692")</f>
        <v>0895364422692</v>
      </c>
      <c r="W524" s="15"/>
    </row>
    <row r="525" ht="22.5" customHeight="1">
      <c r="A525" s="8"/>
      <c r="B525" s="9">
        <f>IFERROR(__xludf.DUMMYFUNCTION("""COMPUTED_VALUE"""),45119.81334008102)</f>
        <v>45119.81334</v>
      </c>
      <c r="C525" s="9"/>
      <c r="D525" s="10">
        <f>IFERROR(__xludf.DUMMYFUNCTION("""COMPUTED_VALUE"""),45120.0)</f>
        <v>45120</v>
      </c>
      <c r="E525" s="10" t="str">
        <f>IFERROR(__xludf.DUMMYFUNCTION("""COMPUTED_VALUE"""),"07Jul")</f>
        <v>07Jul</v>
      </c>
      <c r="F525" s="10" t="str">
        <f>IFERROR(__xludf.DUMMYFUNCTION("""COMPUTED_VALUE"""),"2023")</f>
        <v>2023</v>
      </c>
      <c r="G525" s="16" t="str">
        <f>IFERROR(__xludf.DUMMYFUNCTION("""COMPUTED_VALUE"""),"NABILA ANGGRAINI")</f>
        <v>NABILA ANGGRAINI</v>
      </c>
      <c r="H525" s="17" t="str">
        <f>IFERROR(__xludf.DUMMYFUNCTION("""COMPUTED_VALUE"""),"N0623079242")</f>
        <v>N0623079242</v>
      </c>
      <c r="I525" s="17">
        <f>IFERROR(__xludf.DUMMYFUNCTION("""COMPUTED_VALUE"""),20.0)</f>
        <v>20</v>
      </c>
      <c r="J525" s="17" t="str">
        <f>IFERROR(__xludf.DUMMYFUNCTION("""COMPUTED_VALUE"""),"18-24 tahun")</f>
        <v>18-24 tahun</v>
      </c>
      <c r="K525" s="19">
        <f>IFERROR(__xludf.DUMMYFUNCTION("""COMPUTED_VALUE"""),38802.0)</f>
        <v>38802</v>
      </c>
      <c r="L525" s="19" t="str">
        <f>IFERROR(__xludf.DUMMYFUNCTION("""COMPUTED_VALUE"""),"PEREMPUAN")</f>
        <v>PEREMPUAN</v>
      </c>
      <c r="M525" s="16" t="str">
        <f>IFERROR(__xludf.DUMMYFUNCTION("""COMPUTED_VALUE"""),"JL. TEUKU UMAR RT.06/ RW.02 NO.07 KEL. LADANG")</f>
        <v>JL. TEUKU UMAR RT.06/ RW.02 NO.07 KEL. LADANG</v>
      </c>
      <c r="N525" s="16"/>
      <c r="O525" s="16"/>
      <c r="P525" s="16"/>
      <c r="Q525" s="16"/>
      <c r="R525" s="19" t="str">
        <f>IFERROR(__xludf.DUMMYFUNCTION("""COMPUTED_VALUE"""),"ISLAM")</f>
        <v>ISLAM</v>
      </c>
      <c r="S525" s="16" t="str">
        <f>IFERROR(__xludf.DUMMYFUNCTION("""COMPUTED_VALUE"""),"PELAJAR/MAHASISWA")</f>
        <v>PELAJAR/MAHASISWA</v>
      </c>
      <c r="T525" s="16" t="str">
        <f>IFERROR(__xludf.DUMMYFUNCTION("""COMPUTED_VALUE"""),"KAKI X")</f>
        <v>KAKI X</v>
      </c>
      <c r="U525" s="16" t="str">
        <f>IFERROR(__xludf.DUMMYFUNCTION("""COMPUTED_VALUE"""),"OLAHRAGA")</f>
        <v>OLAHRAGA</v>
      </c>
      <c r="V525" s="11" t="str">
        <f>IFERROR(__xludf.DUMMYFUNCTION("""COMPUTED_VALUE"""),"081522569242")</f>
        <v>081522569242</v>
      </c>
      <c r="W525" s="15"/>
    </row>
    <row r="526" ht="22.5" customHeight="1">
      <c r="A526" s="8"/>
      <c r="B526" s="9">
        <f>IFERROR(__xludf.DUMMYFUNCTION("""COMPUTED_VALUE"""),45119.888594502314)</f>
        <v>45119.88859</v>
      </c>
      <c r="C526" s="9"/>
      <c r="D526" s="10">
        <f>IFERROR(__xludf.DUMMYFUNCTION("""COMPUTED_VALUE"""),45120.0)</f>
        <v>45120</v>
      </c>
      <c r="E526" s="10" t="str">
        <f>IFERROR(__xludf.DUMMYFUNCTION("""COMPUTED_VALUE"""),"07Jul")</f>
        <v>07Jul</v>
      </c>
      <c r="F526" s="10" t="str">
        <f>IFERROR(__xludf.DUMMYFUNCTION("""COMPUTED_VALUE"""),"2023")</f>
        <v>2023</v>
      </c>
      <c r="G526" s="16" t="str">
        <f>IFERROR(__xludf.DUMMYFUNCTION("""COMPUTED_VALUE"""),"VICTOR 8811")</f>
        <v>VICTOR 8811</v>
      </c>
      <c r="H526" s="17" t="str">
        <f>IFERROR(__xludf.DUMMYFUNCTION("""COMPUTED_VALUE"""),"V8823076160")</f>
        <v>V8823076160</v>
      </c>
      <c r="I526" s="17">
        <f>IFERROR(__xludf.DUMMYFUNCTION("""COMPUTED_VALUE"""),37.0)</f>
        <v>37</v>
      </c>
      <c r="J526" s="17" t="str">
        <f>IFERROR(__xludf.DUMMYFUNCTION("""COMPUTED_VALUE"""),"35-44 tahun")</f>
        <v>35-44 tahun</v>
      </c>
      <c r="K526" s="19">
        <f>IFERROR(__xludf.DUMMYFUNCTION("""COMPUTED_VALUE"""),32473.0)</f>
        <v>32473</v>
      </c>
      <c r="L526" s="19" t="str">
        <f>IFERROR(__xludf.DUMMYFUNCTION("""COMPUTED_VALUE"""),"LAKI-LAKI")</f>
        <v>LAKI-LAKI</v>
      </c>
      <c r="M526" s="16" t="str">
        <f>IFERROR(__xludf.DUMMYFUNCTION("""COMPUTED_VALUE"""),"JL. TABRANI AHMAD NO. 3")</f>
        <v>JL. TABRANI AHMAD NO. 3</v>
      </c>
      <c r="N526" s="16"/>
      <c r="O526" s="16"/>
      <c r="P526" s="16"/>
      <c r="Q526" s="16"/>
      <c r="R526" s="19" t="str">
        <f>IFERROR(__xludf.DUMMYFUNCTION("""COMPUTED_VALUE"""),"PROTESTAN")</f>
        <v>PROTESTAN</v>
      </c>
      <c r="S526" s="16" t="str">
        <f>IFERROR(__xludf.DUMMYFUNCTION("""COMPUTED_VALUE"""),"SWASTA")</f>
        <v>SWASTA</v>
      </c>
      <c r="T526" s="16" t="str">
        <f>IFERROR(__xludf.DUMMYFUNCTION("""COMPUTED_VALUE"""),",CIDERA ENGKEL,BADAN PEGAL2")</f>
        <v>,CIDERA ENGKEL,BADAN PEGAL2</v>
      </c>
      <c r="U526" s="16" t="str">
        <f>IFERROR(__xludf.DUMMYFUNCTION("""COMPUTED_VALUE"""),"OLAHRAGA")</f>
        <v>OLAHRAGA</v>
      </c>
      <c r="V526" s="11" t="str">
        <f>IFERROR(__xludf.DUMMYFUNCTION("""COMPUTED_VALUE"""),"0895385406160")</f>
        <v>0895385406160</v>
      </c>
      <c r="W526" s="15"/>
    </row>
    <row r="527" ht="22.5" customHeight="1">
      <c r="A527" s="8"/>
      <c r="B527" s="9">
        <f>IFERROR(__xludf.DUMMYFUNCTION("""COMPUTED_VALUE"""),45119.89004049769)</f>
        <v>45119.89004</v>
      </c>
      <c r="C527" s="9"/>
      <c r="D527" s="10">
        <f>IFERROR(__xludf.DUMMYFUNCTION("""COMPUTED_VALUE"""),45120.0)</f>
        <v>45120</v>
      </c>
      <c r="E527" s="10" t="str">
        <f>IFERROR(__xludf.DUMMYFUNCTION("""COMPUTED_VALUE"""),"07Jul")</f>
        <v>07Jul</v>
      </c>
      <c r="F527" s="10" t="str">
        <f>IFERROR(__xludf.DUMMYFUNCTION("""COMPUTED_VALUE"""),"2023")</f>
        <v>2023</v>
      </c>
      <c r="G527" s="16" t="str">
        <f>IFERROR(__xludf.DUMMYFUNCTION("""COMPUTED_VALUE"""),"VICTOR 9012")</f>
        <v>VICTOR 9012</v>
      </c>
      <c r="H527" s="17" t="str">
        <f>IFERROR(__xludf.DUMMYFUNCTION("""COMPUTED_VALUE"""),"V9023079008")</f>
        <v>V9023079008</v>
      </c>
      <c r="I527" s="17">
        <f>IFERROR(__xludf.DUMMYFUNCTION("""COMPUTED_VALUE"""),35.0)</f>
        <v>35</v>
      </c>
      <c r="J527" s="17" t="str">
        <f>IFERROR(__xludf.DUMMYFUNCTION("""COMPUTED_VALUE"""),"35-44 tahun")</f>
        <v>35-44 tahun</v>
      </c>
      <c r="K527" s="19">
        <f>IFERROR(__xludf.DUMMYFUNCTION("""COMPUTED_VALUE"""),33210.0)</f>
        <v>33210</v>
      </c>
      <c r="L527" s="19" t="str">
        <f>IFERROR(__xludf.DUMMYFUNCTION("""COMPUTED_VALUE"""),"LAKI-LAKI")</f>
        <v>LAKI-LAKI</v>
      </c>
      <c r="M527" s="16" t="str">
        <f>IFERROR(__xludf.DUMMYFUNCTION("""COMPUTED_VALUE"""),"JALAN DANAU SENTARUM GG H NGADIO KOMP PERUMAHAN NO 5")</f>
        <v>JALAN DANAU SENTARUM GG H NGADIO KOMP PERUMAHAN NO 5</v>
      </c>
      <c r="N527" s="16" t="str">
        <f>IFERROR(__xludf.DUMMYFUNCTION("""COMPUTED_VALUE"""),"SUNGAI BANGKONG")</f>
        <v>SUNGAI BANGKONG</v>
      </c>
      <c r="O527" s="16" t="str">
        <f>IFERROR(__xludf.DUMMYFUNCTION("""COMPUTED_VALUE"""),"PONTIANAK KOTA")</f>
        <v>PONTIANAK KOTA</v>
      </c>
      <c r="P527" s="16" t="str">
        <f>IFERROR(__xludf.DUMMYFUNCTION("""COMPUTED_VALUE"""),"KOTA PONTIANAK")</f>
        <v>KOTA PONTIANAK</v>
      </c>
      <c r="Q527" s="16" t="str">
        <f>IFERROR(__xludf.DUMMYFUNCTION("""COMPUTED_VALUE"""),"KALIMANTAN BARAT")</f>
        <v>KALIMANTAN BARAT</v>
      </c>
      <c r="R527" s="19" t="str">
        <f>IFERROR(__xludf.DUMMYFUNCTION("""COMPUTED_VALUE"""),"BUDDHA")</f>
        <v>BUDDHA</v>
      </c>
      <c r="S527" s="16" t="str">
        <f>IFERROR(__xludf.DUMMYFUNCTION("""COMPUTED_VALUE"""),"SWASTA")</f>
        <v>SWASTA</v>
      </c>
      <c r="T527" s="16" t="str">
        <f>IFERROR(__xludf.DUMMYFUNCTION("""COMPUTED_VALUE"""),"sakit di")</f>
        <v>sakit di</v>
      </c>
      <c r="U527" s="16" t="str">
        <f>IFERROR(__xludf.DUMMYFUNCTION("""COMPUTED_VALUE"""),"mini soccer")</f>
        <v>mini soccer</v>
      </c>
      <c r="V527" s="11" t="str">
        <f>IFERROR(__xludf.DUMMYFUNCTION("""COMPUTED_VALUE"""),"081250769008")</f>
        <v>081250769008</v>
      </c>
      <c r="W527" s="15"/>
    </row>
    <row r="528" ht="22.5" customHeight="1">
      <c r="A528" s="8"/>
      <c r="B528" s="9">
        <f>IFERROR(__xludf.DUMMYFUNCTION("""COMPUTED_VALUE"""),45120.467116747684)</f>
        <v>45120.46712</v>
      </c>
      <c r="C528" s="9"/>
      <c r="D528" s="10">
        <f>IFERROR(__xludf.DUMMYFUNCTION("""COMPUTED_VALUE"""),45122.0)</f>
        <v>45122</v>
      </c>
      <c r="E528" s="10" t="str">
        <f>IFERROR(__xludf.DUMMYFUNCTION("""COMPUTED_VALUE"""),"07Jul")</f>
        <v>07Jul</v>
      </c>
      <c r="F528" s="10" t="str">
        <f>IFERROR(__xludf.DUMMYFUNCTION("""COMPUTED_VALUE"""),"2023")</f>
        <v>2023</v>
      </c>
      <c r="G528" s="16" t="str">
        <f>IFERROR(__xludf.DUMMYFUNCTION("""COMPUTED_VALUE"""),"YULIANTI 7911")</f>
        <v>YULIANTI 7911</v>
      </c>
      <c r="H528" s="17" t="str">
        <f>IFERROR(__xludf.DUMMYFUNCTION("""COMPUTED_VALUE"""),"Y7923075184")</f>
        <v>Y7923075184</v>
      </c>
      <c r="I528" s="17">
        <f>IFERROR(__xludf.DUMMYFUNCTION("""COMPUTED_VALUE"""),46.0)</f>
        <v>46</v>
      </c>
      <c r="J528" s="17" t="str">
        <f>IFERROR(__xludf.DUMMYFUNCTION("""COMPUTED_VALUE"""),"&gt; 44 tahun")</f>
        <v>&gt; 44 tahun</v>
      </c>
      <c r="K528" s="19">
        <f>IFERROR(__xludf.DUMMYFUNCTION("""COMPUTED_VALUE"""),29172.0)</f>
        <v>29172</v>
      </c>
      <c r="L528" s="19" t="str">
        <f>IFERROR(__xludf.DUMMYFUNCTION("""COMPUTED_VALUE"""),"PEREMPUAN")</f>
        <v>PEREMPUAN</v>
      </c>
      <c r="M528" s="16" t="str">
        <f>IFERROR(__xludf.DUMMYFUNCTION("""COMPUTED_VALUE"""),"JL. GAJAH MADA 16 NO 91")</f>
        <v>JL. GAJAH MADA 16 NO 91</v>
      </c>
      <c r="N528" s="16"/>
      <c r="O528" s="16"/>
      <c r="P528" s="16"/>
      <c r="Q528" s="16"/>
      <c r="R528" s="19" t="str">
        <f>IFERROR(__xludf.DUMMYFUNCTION("""COMPUTED_VALUE"""),"LAINNYA")</f>
        <v>LAINNYA</v>
      </c>
      <c r="S528" s="16" t="str">
        <f>IFERROR(__xludf.DUMMYFUNCTION("""COMPUTED_VALUE"""),"SWASTA")</f>
        <v>SWASTA</v>
      </c>
      <c r="T528" s="16" t="str">
        <f>IFERROR(__xludf.DUMMYFUNCTION("""COMPUTED_VALUE"""),"PINGGANG")</f>
        <v>PINGGANG</v>
      </c>
      <c r="U528" s="16" t="str">
        <f>IFERROR(__xludf.DUMMYFUNCTION("""COMPUTED_VALUE"""),"-")</f>
        <v>-</v>
      </c>
      <c r="V528" s="11" t="str">
        <f>IFERROR(__xludf.DUMMYFUNCTION("""COMPUTED_VALUE"""),"08125605184")</f>
        <v>08125605184</v>
      </c>
      <c r="W528" s="15"/>
    </row>
    <row r="529" ht="22.5" customHeight="1">
      <c r="A529" s="8"/>
      <c r="B529" s="9">
        <f>IFERROR(__xludf.DUMMYFUNCTION("""COMPUTED_VALUE"""),45120.63770586805)</f>
        <v>45120.63771</v>
      </c>
      <c r="C529" s="9"/>
      <c r="D529" s="10">
        <f>IFERROR(__xludf.DUMMYFUNCTION("""COMPUTED_VALUE"""),45122.0)</f>
        <v>45122</v>
      </c>
      <c r="E529" s="10" t="str">
        <f>IFERROR(__xludf.DUMMYFUNCTION("""COMPUTED_VALUE"""),"07Jul")</f>
        <v>07Jul</v>
      </c>
      <c r="F529" s="10" t="str">
        <f>IFERROR(__xludf.DUMMYFUNCTION("""COMPUTED_VALUE"""),"2023")</f>
        <v>2023</v>
      </c>
      <c r="G529" s="16" t="str">
        <f>IFERROR(__xludf.DUMMYFUNCTION("""COMPUTED_VALUE"""),"MITA SARINIDA")</f>
        <v>MITA SARINIDA</v>
      </c>
      <c r="H529" s="17" t="str">
        <f>IFERROR(__xludf.DUMMYFUNCTION("""COMPUTED_VALUE"""),"M0123077390")</f>
        <v>M0123077390</v>
      </c>
      <c r="I529" s="17">
        <f>IFERROR(__xludf.DUMMYFUNCTION("""COMPUTED_VALUE"""),24.0)</f>
        <v>24</v>
      </c>
      <c r="J529" s="17" t="str">
        <f>IFERROR(__xludf.DUMMYFUNCTION("""COMPUTED_VALUE"""),"18-24 tahun")</f>
        <v>18-24 tahun</v>
      </c>
      <c r="K529" s="19">
        <f>IFERROR(__xludf.DUMMYFUNCTION("""COMPUTED_VALUE"""),37087.0)</f>
        <v>37087</v>
      </c>
      <c r="L529" s="19" t="str">
        <f>IFERROR(__xludf.DUMMYFUNCTION("""COMPUTED_VALUE"""),"PEREMPUAN")</f>
        <v>PEREMPUAN</v>
      </c>
      <c r="M529" s="16" t="str">
        <f>IFERROR(__xludf.DUMMYFUNCTION("""COMPUTED_VALUE"""),"DESA SIDOMULYO, JL. H. BUJANG SAHPRI")</f>
        <v>DESA SIDOMULYO, JL. H. BUJANG SAHPRI</v>
      </c>
      <c r="N529" s="16"/>
      <c r="O529" s="16"/>
      <c r="P529" s="16"/>
      <c r="Q529" s="16"/>
      <c r="R529" s="19" t="str">
        <f>IFERROR(__xludf.DUMMYFUNCTION("""COMPUTED_VALUE"""),"ISLAM")</f>
        <v>ISLAM</v>
      </c>
      <c r="S529" s="16" t="str">
        <f>IFERROR(__xludf.DUMMYFUNCTION("""COMPUTED_VALUE"""),"SWASTA")</f>
        <v>SWASTA</v>
      </c>
      <c r="T529" s="16" t="str">
        <f>IFERROR(__xludf.DUMMYFUNCTION("""COMPUTED_VALUE"""),"ANKLE KAKI KANAN")</f>
        <v>ANKLE KAKI KANAN</v>
      </c>
      <c r="U529" s="16" t="str">
        <f>IFERROR(__xludf.DUMMYFUNCTION("""COMPUTED_VALUE"""),"OLAHRAGA")</f>
        <v>OLAHRAGA</v>
      </c>
      <c r="V529" s="11" t="str">
        <f>IFERROR(__xludf.DUMMYFUNCTION("""COMPUTED_VALUE"""),"085894887390")</f>
        <v>085894887390</v>
      </c>
      <c r="W529" s="15"/>
    </row>
    <row r="530" ht="22.5" customHeight="1">
      <c r="A530" s="8"/>
      <c r="B530" s="9">
        <f>IFERROR(__xludf.DUMMYFUNCTION("""COMPUTED_VALUE"""),45120.64068423611)</f>
        <v>45120.64068</v>
      </c>
      <c r="C530" s="9"/>
      <c r="D530" s="10">
        <f>IFERROR(__xludf.DUMMYFUNCTION("""COMPUTED_VALUE"""),45122.0)</f>
        <v>45122</v>
      </c>
      <c r="E530" s="10" t="str">
        <f>IFERROR(__xludf.DUMMYFUNCTION("""COMPUTED_VALUE"""),"07Jul")</f>
        <v>07Jul</v>
      </c>
      <c r="F530" s="10" t="str">
        <f>IFERROR(__xludf.DUMMYFUNCTION("""COMPUTED_VALUE"""),"2023")</f>
        <v>2023</v>
      </c>
      <c r="G530" s="16" t="str">
        <f>IFERROR(__xludf.DUMMYFUNCTION("""COMPUTED_VALUE"""),"LINA")</f>
        <v>LINA</v>
      </c>
      <c r="H530" s="17" t="str">
        <f>IFERROR(__xludf.DUMMYFUNCTION("""COMPUTED_VALUE"""),"L7423071918")</f>
        <v>L7423071918</v>
      </c>
      <c r="I530" s="17">
        <f>IFERROR(__xludf.DUMMYFUNCTION("""COMPUTED_VALUE"""),52.0)</f>
        <v>52</v>
      </c>
      <c r="J530" s="17" t="str">
        <f>IFERROR(__xludf.DUMMYFUNCTION("""COMPUTED_VALUE"""),"&gt; 44 tahun")</f>
        <v>&gt; 44 tahun</v>
      </c>
      <c r="K530" s="19">
        <f>IFERROR(__xludf.DUMMYFUNCTION("""COMPUTED_VALUE"""),27198.0)</f>
        <v>27198</v>
      </c>
      <c r="L530" s="19" t="str">
        <f>IFERROR(__xludf.DUMMYFUNCTION("""COMPUTED_VALUE"""),"PEREMPUAN")</f>
        <v>PEREMPUAN</v>
      </c>
      <c r="M530" s="16" t="str">
        <f>IFERROR(__xludf.DUMMYFUNCTION("""COMPUTED_VALUE"""),"JL. SUI RAYA DALAM GG. CERIA 7 NO. 4")</f>
        <v>JL. SUI RAYA DALAM GG. CERIA 7 NO. 4</v>
      </c>
      <c r="N530" s="16"/>
      <c r="O530" s="16"/>
      <c r="P530" s="16"/>
      <c r="Q530" s="16"/>
      <c r="R530" s="19" t="str">
        <f>IFERROR(__xludf.DUMMYFUNCTION("""COMPUTED_VALUE"""),"KATOLIK")</f>
        <v>KATOLIK</v>
      </c>
      <c r="S530" s="16" t="str">
        <f>IFERROR(__xludf.DUMMYFUNCTION("""COMPUTED_VALUE"""),"RUMAH TANGGA")</f>
        <v>RUMAH TANGGA</v>
      </c>
      <c r="T530" s="16" t="str">
        <f>IFERROR(__xludf.DUMMYFUNCTION("""COMPUTED_VALUE"""),"PINGGANG")</f>
        <v>PINGGANG</v>
      </c>
      <c r="U530" s="16" t="str">
        <f>IFERROR(__xludf.DUMMYFUNCTION("""COMPUTED_VALUE"""),"IRT")</f>
        <v>IRT</v>
      </c>
      <c r="V530" s="11" t="str">
        <f>IFERROR(__xludf.DUMMYFUNCTION("""COMPUTED_VALUE"""),"082255241918")</f>
        <v>082255241918</v>
      </c>
      <c r="W530" s="15"/>
    </row>
    <row r="531" ht="22.5" customHeight="1">
      <c r="A531" s="8"/>
      <c r="B531" s="9">
        <f>IFERROR(__xludf.DUMMYFUNCTION("""COMPUTED_VALUE"""),45122.51085612268)</f>
        <v>45122.51086</v>
      </c>
      <c r="C531" s="9"/>
      <c r="D531" s="10">
        <f>IFERROR(__xludf.DUMMYFUNCTION("""COMPUTED_VALUE"""),45123.0)</f>
        <v>45123</v>
      </c>
      <c r="E531" s="10" t="str">
        <f>IFERROR(__xludf.DUMMYFUNCTION("""COMPUTED_VALUE"""),"07Jul")</f>
        <v>07Jul</v>
      </c>
      <c r="F531" s="10" t="str">
        <f>IFERROR(__xludf.DUMMYFUNCTION("""COMPUTED_VALUE"""),"2023")</f>
        <v>2023</v>
      </c>
      <c r="G531" s="16" t="str">
        <f>IFERROR(__xludf.DUMMYFUNCTION("""COMPUTED_VALUE"""),"APRIANA")</f>
        <v>APRIANA</v>
      </c>
      <c r="H531" s="17" t="str">
        <f>IFERROR(__xludf.DUMMYFUNCTION("""COMPUTED_VALUE"""),"A9023072233")</f>
        <v>A9023072233</v>
      </c>
      <c r="I531" s="17">
        <f>IFERROR(__xludf.DUMMYFUNCTION("""COMPUTED_VALUE"""),36.0)</f>
        <v>36</v>
      </c>
      <c r="J531" s="17" t="str">
        <f>IFERROR(__xludf.DUMMYFUNCTION("""COMPUTED_VALUE"""),"35-44 tahun")</f>
        <v>35-44 tahun</v>
      </c>
      <c r="K531" s="19">
        <f>IFERROR(__xludf.DUMMYFUNCTION("""COMPUTED_VALUE"""),32991.0)</f>
        <v>32991</v>
      </c>
      <c r="L531" s="19" t="str">
        <f>IFERROR(__xludf.DUMMYFUNCTION("""COMPUTED_VALUE"""),"PEREMPUAN")</f>
        <v>PEREMPUAN</v>
      </c>
      <c r="M531" s="16" t="str">
        <f>IFERROR(__xludf.DUMMYFUNCTION("""COMPUTED_VALUE"""),"JL. TABRANI AHMAD NO. 3")</f>
        <v>JL. TABRANI AHMAD NO. 3</v>
      </c>
      <c r="N531" s="16"/>
      <c r="O531" s="16"/>
      <c r="P531" s="16"/>
      <c r="Q531" s="16"/>
      <c r="R531" s="19" t="str">
        <f>IFERROR(__xludf.DUMMYFUNCTION("""COMPUTED_VALUE"""),"PROTESTAN")</f>
        <v>PROTESTAN</v>
      </c>
      <c r="S531" s="16" t="str">
        <f>IFERROR(__xludf.DUMMYFUNCTION("""COMPUTED_VALUE"""),"SWASTA")</f>
        <v>SWASTA</v>
      </c>
      <c r="T531" s="16" t="str">
        <f>IFERROR(__xludf.DUMMYFUNCTION("""COMPUTED_VALUE"""),"TANGAN CEPAT PEGAL,KDG GA BERTENAGA,DULU PERNAH TERTIMPA BARANG BAGIAN BADAN BELAKANG")</f>
        <v>TANGAN CEPAT PEGAL,KDG GA BERTENAGA,DULU PERNAH TERTIMPA BARANG BAGIAN BADAN BELAKANG</v>
      </c>
      <c r="U531" s="16" t="str">
        <f>IFERROR(__xludf.DUMMYFUNCTION("""COMPUTED_VALUE"""),"OLAHRAGA")</f>
        <v>OLAHRAGA</v>
      </c>
      <c r="V531" s="11" t="str">
        <f>IFERROR(__xludf.DUMMYFUNCTION("""COMPUTED_VALUE"""),"083125572233")</f>
        <v>083125572233</v>
      </c>
      <c r="W531" s="15"/>
    </row>
    <row r="532" ht="22.5" customHeight="1">
      <c r="A532" s="28"/>
      <c r="B532" s="9">
        <f>IFERROR(__xludf.DUMMYFUNCTION("""COMPUTED_VALUE"""),45122.61279666667)</f>
        <v>45122.6128</v>
      </c>
      <c r="C532" s="9"/>
      <c r="D532" s="10">
        <f>IFERROR(__xludf.DUMMYFUNCTION("""COMPUTED_VALUE"""),45123.0)</f>
        <v>45123</v>
      </c>
      <c r="E532" s="10" t="str">
        <f>IFERROR(__xludf.DUMMYFUNCTION("""COMPUTED_VALUE"""),"07Jul")</f>
        <v>07Jul</v>
      </c>
      <c r="F532" s="10" t="str">
        <f>IFERROR(__xludf.DUMMYFUNCTION("""COMPUTED_VALUE"""),"2023")</f>
        <v>2023</v>
      </c>
      <c r="G532" s="16" t="str">
        <f>IFERROR(__xludf.DUMMYFUNCTION("""COMPUTED_VALUE"""),"MUHAMAD ICHFAN FIRDIANSYAH")</f>
        <v>MUHAMAD ICHFAN FIRDIANSYAH</v>
      </c>
      <c r="H532" s="17" t="str">
        <f>IFERROR(__xludf.DUMMYFUNCTION("""COMPUTED_VALUE"""),"M9023071522")</f>
        <v>M9023071522</v>
      </c>
      <c r="I532" s="17">
        <f>IFERROR(__xludf.DUMMYFUNCTION("""COMPUTED_VALUE"""),36.0)</f>
        <v>36</v>
      </c>
      <c r="J532" s="17" t="str">
        <f>IFERROR(__xludf.DUMMYFUNCTION("""COMPUTED_VALUE"""),"35-44 tahun")</f>
        <v>35-44 tahun</v>
      </c>
      <c r="K532" s="19">
        <f>IFERROR(__xludf.DUMMYFUNCTION("""COMPUTED_VALUE"""),32967.0)</f>
        <v>32967</v>
      </c>
      <c r="L532" s="19" t="str">
        <f>IFERROR(__xludf.DUMMYFUNCTION("""COMPUTED_VALUE"""),"LAKI-LAKI")</f>
        <v>LAKI-LAKI</v>
      </c>
      <c r="M532" s="16" t="str">
        <f>IFERROR(__xludf.DUMMYFUNCTION("""COMPUTED_VALUE"""),"JL GUSTI M. SALEH ALIUDIN MEMPAWAH")</f>
        <v>JL GUSTI M. SALEH ALIUDIN MEMPAWAH</v>
      </c>
      <c r="N532" s="16"/>
      <c r="O532" s="16"/>
      <c r="P532" s="16"/>
      <c r="Q532" s="16"/>
      <c r="R532" s="19" t="str">
        <f>IFERROR(__xludf.DUMMYFUNCTION("""COMPUTED_VALUE"""),"ISLAM")</f>
        <v>ISLAM</v>
      </c>
      <c r="S532" s="16" t="str">
        <f>IFERROR(__xludf.DUMMYFUNCTION("""COMPUTED_VALUE"""),"BUMD")</f>
        <v>BUMD</v>
      </c>
      <c r="T532" s="16" t="str">
        <f>IFERROR(__xludf.DUMMYFUNCTION("""COMPUTED_VALUE"""),"SAKIT RAHANG TIDAK BISA NGUNYAH MAKAN KENCANG2")</f>
        <v>SAKIT RAHANG TIDAK BISA NGUNYAH MAKAN KENCANG2</v>
      </c>
      <c r="U532" s="16" t="str">
        <f>IFERROR(__xludf.DUMMYFUNCTION("""COMPUTED_VALUE"""),"KERJA BAGIAN LAPANGAN")</f>
        <v>KERJA BAGIAN LAPANGAN</v>
      </c>
      <c r="V532" s="11" t="str">
        <f>IFERROR(__xludf.DUMMYFUNCTION("""COMPUTED_VALUE"""),"085252251522")</f>
        <v>085252251522</v>
      </c>
      <c r="W532" s="15"/>
    </row>
    <row r="533" ht="22.5" customHeight="1">
      <c r="A533" s="8"/>
      <c r="B533" s="9">
        <f>IFERROR(__xludf.DUMMYFUNCTION("""COMPUTED_VALUE"""),45122.63979425926)</f>
        <v>45122.63979</v>
      </c>
      <c r="C533" s="9"/>
      <c r="D533" s="10">
        <f>IFERROR(__xludf.DUMMYFUNCTION("""COMPUTED_VALUE"""),45123.0)</f>
        <v>45123</v>
      </c>
      <c r="E533" s="10" t="str">
        <f>IFERROR(__xludf.DUMMYFUNCTION("""COMPUTED_VALUE"""),"07Jul")</f>
        <v>07Jul</v>
      </c>
      <c r="F533" s="10" t="str">
        <f>IFERROR(__xludf.DUMMYFUNCTION("""COMPUTED_VALUE"""),"2023")</f>
        <v>2023</v>
      </c>
      <c r="G533" s="16" t="str">
        <f>IFERROR(__xludf.DUMMYFUNCTION("""COMPUTED_VALUE"""),"ANDI WIJAYA")</f>
        <v>ANDI WIJAYA</v>
      </c>
      <c r="H533" s="17" t="str">
        <f>IFERROR(__xludf.DUMMYFUNCTION("""COMPUTED_VALUE"""),"A0023072560")</f>
        <v>A0023072560</v>
      </c>
      <c r="I533" s="17">
        <f>IFERROR(__xludf.DUMMYFUNCTION("""COMPUTED_VALUE"""),26.0)</f>
        <v>26</v>
      </c>
      <c r="J533" s="17" t="str">
        <f>IFERROR(__xludf.DUMMYFUNCTION("""COMPUTED_VALUE"""),"25-34 tahun")</f>
        <v>25-34 tahun</v>
      </c>
      <c r="K533" s="19">
        <f>IFERROR(__xludf.DUMMYFUNCTION("""COMPUTED_VALUE"""),36618.0)</f>
        <v>36618</v>
      </c>
      <c r="L533" s="19" t="str">
        <f>IFERROR(__xludf.DUMMYFUNCTION("""COMPUTED_VALUE"""),"LAKI-LAKI")</f>
        <v>LAKI-LAKI</v>
      </c>
      <c r="M533" s="16" t="str">
        <f>IFERROR(__xludf.DUMMYFUNCTION("""COMPUTED_VALUE"""),"JlL. TANJUNG RAYA 2 GG. SAIGON UTAM")</f>
        <v>JlL. TANJUNG RAYA 2 GG. SAIGON UTAM</v>
      </c>
      <c r="N533" s="16"/>
      <c r="O533" s="16"/>
      <c r="P533" s="16"/>
      <c r="Q533" s="16"/>
      <c r="R533" s="19" t="str">
        <f>IFERROR(__xludf.DUMMYFUNCTION("""COMPUTED_VALUE"""),"BUDDHA")</f>
        <v>BUDDHA</v>
      </c>
      <c r="S533" s="16" t="str">
        <f>IFERROR(__xludf.DUMMYFUNCTION("""COMPUTED_VALUE"""),"WIRASWASTA")</f>
        <v>WIRASWASTA</v>
      </c>
      <c r="T533" s="16" t="str">
        <f>IFERROR(__xludf.DUMMYFUNCTION("""COMPUTED_VALUE"""),"KAKI SAKIT")</f>
        <v>KAKI SAKIT</v>
      </c>
      <c r="U533" s="16" t="str">
        <f>IFERROR(__xludf.DUMMYFUNCTION("""COMPUTED_VALUE"""),"BASKET")</f>
        <v>BASKET</v>
      </c>
      <c r="V533" s="11" t="str">
        <f>IFERROR(__xludf.DUMMYFUNCTION("""COMPUTED_VALUE"""),"082252492560")</f>
        <v>082252492560</v>
      </c>
      <c r="W533" s="15"/>
    </row>
    <row r="534" ht="22.5" customHeight="1">
      <c r="A534" s="8"/>
      <c r="B534" s="9">
        <f>IFERROR(__xludf.DUMMYFUNCTION("""COMPUTED_VALUE"""),45123.43877540509)</f>
        <v>45123.43878</v>
      </c>
      <c r="C534" s="9"/>
      <c r="D534" s="10">
        <f>IFERROR(__xludf.DUMMYFUNCTION("""COMPUTED_VALUE"""),45123.0)</f>
        <v>45123</v>
      </c>
      <c r="E534" s="10" t="str">
        <f>IFERROR(__xludf.DUMMYFUNCTION("""COMPUTED_VALUE"""),"07Jul")</f>
        <v>07Jul</v>
      </c>
      <c r="F534" s="10" t="str">
        <f>IFERROR(__xludf.DUMMYFUNCTION("""COMPUTED_VALUE"""),"2023")</f>
        <v>2023</v>
      </c>
      <c r="G534" s="16" t="str">
        <f>IFERROR(__xludf.DUMMYFUNCTION("""COMPUTED_VALUE"""),"TANTU WRESPATI")</f>
        <v>TANTU WRESPATI</v>
      </c>
      <c r="H534" s="17" t="str">
        <f>IFERROR(__xludf.DUMMYFUNCTION("""COMPUTED_VALUE"""),"T9023072707")</f>
        <v>T9023072707</v>
      </c>
      <c r="I534" s="17">
        <f>IFERROR(__xludf.DUMMYFUNCTION("""COMPUTED_VALUE"""),36.0)</f>
        <v>36</v>
      </c>
      <c r="J534" s="17" t="str">
        <f>IFERROR(__xludf.DUMMYFUNCTION("""COMPUTED_VALUE"""),"35-44 tahun")</f>
        <v>35-44 tahun</v>
      </c>
      <c r="K534" s="19">
        <f>IFERROR(__xludf.DUMMYFUNCTION("""COMPUTED_VALUE"""),32947.0)</f>
        <v>32947</v>
      </c>
      <c r="L534" s="19" t="str">
        <f>IFERROR(__xludf.DUMMYFUNCTION("""COMPUTED_VALUE"""),"LAKI-LAKI")</f>
        <v>LAKI-LAKI</v>
      </c>
      <c r="M534" s="16" t="str">
        <f>IFERROR(__xludf.DUMMYFUNCTION("""COMPUTED_VALUE"""),"JL. H.M. SUWIGNYO GG. MARGODADIREJO 1 NO. 19")</f>
        <v>JL. H.M. SUWIGNYO GG. MARGODADIREJO 1 NO. 19</v>
      </c>
      <c r="N534" s="16"/>
      <c r="O534" s="16"/>
      <c r="P534" s="16"/>
      <c r="Q534" s="16"/>
      <c r="R534" s="19" t="str">
        <f>IFERROR(__xludf.DUMMYFUNCTION("""COMPUTED_VALUE"""),"KATOLIK")</f>
        <v>KATOLIK</v>
      </c>
      <c r="S534" s="16" t="str">
        <f>IFERROR(__xludf.DUMMYFUNCTION("""COMPUTED_VALUE"""),"PSIKOLOG")</f>
        <v>PSIKOLOG</v>
      </c>
      <c r="T534" s="16" t="str">
        <f>IFERROR(__xludf.DUMMYFUNCTION("""COMPUTED_VALUE"""),"BELL'S PALSY. BAGIAN MUKA SEBELAH KANAN LEBIH LEMAH DIBANDING SEBELAH KIRI. KETIKA TERSENYUM BIBIR KIRI LEBIH LEBAR DIBANDING KANAN. KETIKA MENUTUP MATA SEBELAH KIRI BISA LEBIH KERAS DIBANDING KANAN")</f>
        <v>BELL'S PALSY. BAGIAN MUKA SEBELAH KANAN LEBIH LEMAH DIBANDING SEBELAH KIRI. KETIKA TERSENYUM BIBIR KIRI LEBIH LEBAR DIBANDING KANAN. KETIKA MENUTUP MATA SEBELAH KIRI BISA LEBIH KERAS DIBANDING KANAN</v>
      </c>
      <c r="U534" s="16" t="str">
        <f>IFERROR(__xludf.DUMMYFUNCTION("""COMPUTED_VALUE"""),"HP")</f>
        <v>HP</v>
      </c>
      <c r="V534" s="11" t="str">
        <f>IFERROR(__xludf.DUMMYFUNCTION("""COMPUTED_VALUE"""),"085733312707")</f>
        <v>085733312707</v>
      </c>
      <c r="W534" s="15"/>
    </row>
    <row r="535" ht="22.5" customHeight="1">
      <c r="A535" s="8"/>
      <c r="B535" s="9">
        <f>IFERROR(__xludf.DUMMYFUNCTION("""COMPUTED_VALUE"""),45123.44315491898)</f>
        <v>45123.44315</v>
      </c>
      <c r="C535" s="9"/>
      <c r="D535" s="10">
        <f>IFERROR(__xludf.DUMMYFUNCTION("""COMPUTED_VALUE"""),45123.0)</f>
        <v>45123</v>
      </c>
      <c r="E535" s="10" t="str">
        <f>IFERROR(__xludf.DUMMYFUNCTION("""COMPUTED_VALUE"""),"07Jul")</f>
        <v>07Jul</v>
      </c>
      <c r="F535" s="10" t="str">
        <f>IFERROR(__xludf.DUMMYFUNCTION("""COMPUTED_VALUE"""),"2023")</f>
        <v>2023</v>
      </c>
      <c r="G535" s="16" t="str">
        <f>IFERROR(__xludf.DUMMYFUNCTION("""COMPUTED_VALUE"""),"TJEN DJAU TJUNG")</f>
        <v>TJEN DJAU TJUNG</v>
      </c>
      <c r="H535" s="17" t="str">
        <f>IFERROR(__xludf.DUMMYFUNCTION("""COMPUTED_VALUE"""),"T6023073452")</f>
        <v>T6023073452</v>
      </c>
      <c r="I535" s="17">
        <f>IFERROR(__xludf.DUMMYFUNCTION("""COMPUTED_VALUE"""),65.0)</f>
        <v>65</v>
      </c>
      <c r="J535" s="17" t="str">
        <f>IFERROR(__xludf.DUMMYFUNCTION("""COMPUTED_VALUE"""),"&gt; 44 tahun")</f>
        <v>&gt; 44 tahun</v>
      </c>
      <c r="K535" s="19">
        <f>IFERROR(__xludf.DUMMYFUNCTION("""COMPUTED_VALUE"""),22155.0)</f>
        <v>22155</v>
      </c>
      <c r="L535" s="19" t="str">
        <f>IFERROR(__xludf.DUMMYFUNCTION("""COMPUTED_VALUE"""),"LAKI-LAKI")</f>
        <v>LAKI-LAKI</v>
      </c>
      <c r="M535" s="16" t="str">
        <f>IFERROR(__xludf.DUMMYFUNCTION("""COMPUTED_VALUE"""),"GG. PUYUH 1 NO. 15")</f>
        <v>GG. PUYUH 1 NO. 15</v>
      </c>
      <c r="N535" s="16"/>
      <c r="O535" s="16"/>
      <c r="P535" s="16"/>
      <c r="Q535" s="16"/>
      <c r="R535" s="19" t="str">
        <f>IFERROR(__xludf.DUMMYFUNCTION("""COMPUTED_VALUE"""),"BUDDHA")</f>
        <v>BUDDHA</v>
      </c>
      <c r="S535" s="16" t="str">
        <f>IFERROR(__xludf.DUMMYFUNCTION("""COMPUTED_VALUE"""),"SWASTA")</f>
        <v>SWASTA</v>
      </c>
      <c r="T535" s="16" t="str">
        <f>IFERROR(__xludf.DUMMYFUNCTION("""COMPUTED_VALUE"""),"KAKI TIDAK ADA TENAGA")</f>
        <v>KAKI TIDAK ADA TENAGA</v>
      </c>
      <c r="U535" s="16" t="str">
        <f>IFERROR(__xludf.DUMMYFUNCTION("""COMPUTED_VALUE"""),"BEKERJA")</f>
        <v>BEKERJA</v>
      </c>
      <c r="V535" s="11" t="str">
        <f>IFERROR(__xludf.DUMMYFUNCTION("""COMPUTED_VALUE"""),"089699713452")</f>
        <v>089699713452</v>
      </c>
      <c r="W535" s="15"/>
    </row>
    <row r="536" ht="22.5" customHeight="1">
      <c r="A536" s="8"/>
      <c r="B536" s="9">
        <f>IFERROR(__xludf.DUMMYFUNCTION("""COMPUTED_VALUE"""),45123.491108807866)</f>
        <v>45123.49111</v>
      </c>
      <c r="C536" s="9"/>
      <c r="D536" s="10">
        <f>IFERROR(__xludf.DUMMYFUNCTION("""COMPUTED_VALUE"""),45124.0)</f>
        <v>45124</v>
      </c>
      <c r="E536" s="10" t="str">
        <f>IFERROR(__xludf.DUMMYFUNCTION("""COMPUTED_VALUE"""),"07Jul")</f>
        <v>07Jul</v>
      </c>
      <c r="F536" s="10" t="str">
        <f>IFERROR(__xludf.DUMMYFUNCTION("""COMPUTED_VALUE"""),"2023")</f>
        <v>2023</v>
      </c>
      <c r="G536" s="16" t="str">
        <f>IFERROR(__xludf.DUMMYFUNCTION("""COMPUTED_VALUE"""),"LUCKY HARTANTI")</f>
        <v>LUCKY HARTANTI</v>
      </c>
      <c r="H536" s="17" t="str">
        <f>IFERROR(__xludf.DUMMYFUNCTION("""COMPUTED_VALUE"""),"L7523073884")</f>
        <v>L7523073884</v>
      </c>
      <c r="I536" s="17">
        <f>IFERROR(__xludf.DUMMYFUNCTION("""COMPUTED_VALUE"""),51.0)</f>
        <v>51</v>
      </c>
      <c r="J536" s="17" t="str">
        <f>IFERROR(__xludf.DUMMYFUNCTION("""COMPUTED_VALUE"""),"&gt; 44 tahun")</f>
        <v>&gt; 44 tahun</v>
      </c>
      <c r="K536" s="19">
        <f>IFERROR(__xludf.DUMMYFUNCTION("""COMPUTED_VALUE"""),27455.0)</f>
        <v>27455</v>
      </c>
      <c r="L536" s="19" t="str">
        <f>IFERROR(__xludf.DUMMYFUNCTION("""COMPUTED_VALUE"""),"PEREMPUAN")</f>
        <v>PEREMPUAN</v>
      </c>
      <c r="M536" s="16" t="str">
        <f>IFERROR(__xludf.DUMMYFUNCTION("""COMPUTED_VALUE"""),"JL. DANAU SENTARUM GG. NURHADI 3 NO. 17")</f>
        <v>JL. DANAU SENTARUM GG. NURHADI 3 NO. 17</v>
      </c>
      <c r="N536" s="16"/>
      <c r="O536" s="16"/>
      <c r="P536" s="16"/>
      <c r="Q536" s="16"/>
      <c r="R536" s="19" t="str">
        <f>IFERROR(__xludf.DUMMYFUNCTION("""COMPUTED_VALUE"""),"ISLAM")</f>
        <v>ISLAM</v>
      </c>
      <c r="S536" s="16" t="str">
        <f>IFERROR(__xludf.DUMMYFUNCTION("""COMPUTED_VALUE"""),"DOSEN/GURU")</f>
        <v>DOSEN/GURU</v>
      </c>
      <c r="T536" s="16" t="str">
        <f>IFERROR(__xludf.DUMMYFUNCTION("""COMPUTED_VALUE"""),"BACKPAIN")</f>
        <v>BACKPAIN</v>
      </c>
      <c r="U536" s="16" t="str">
        <f>IFERROR(__xludf.DUMMYFUNCTION("""COMPUTED_VALUE"""),"MENGAJAR")</f>
        <v>MENGAJAR</v>
      </c>
      <c r="V536" s="11" t="str">
        <f>IFERROR(__xludf.DUMMYFUNCTION("""COMPUTED_VALUE"""),"081234993884")</f>
        <v>081234993884</v>
      </c>
      <c r="W536" s="15"/>
    </row>
    <row r="537" ht="22.5" customHeight="1">
      <c r="A537" s="8"/>
      <c r="B537" s="9">
        <f>IFERROR(__xludf.DUMMYFUNCTION("""COMPUTED_VALUE"""),45123.647556701384)</f>
        <v>45123.64756</v>
      </c>
      <c r="C537" s="9"/>
      <c r="D537" s="10">
        <f>IFERROR(__xludf.DUMMYFUNCTION("""COMPUTED_VALUE"""),45124.0)</f>
        <v>45124</v>
      </c>
      <c r="E537" s="10" t="str">
        <f>IFERROR(__xludf.DUMMYFUNCTION("""COMPUTED_VALUE"""),"07Jul")</f>
        <v>07Jul</v>
      </c>
      <c r="F537" s="10" t="str">
        <f>IFERROR(__xludf.DUMMYFUNCTION("""COMPUTED_VALUE"""),"2023")</f>
        <v>2023</v>
      </c>
      <c r="G537" s="16" t="str">
        <f>IFERROR(__xludf.DUMMYFUNCTION("""COMPUTED_VALUE"""),"RIO RAMADHAN PUTRA")</f>
        <v>RIO RAMADHAN PUTRA</v>
      </c>
      <c r="H537" s="17" t="str">
        <f>IFERROR(__xludf.DUMMYFUNCTION("""COMPUTED_VALUE"""),"R9223073339")</f>
        <v>R9223073339</v>
      </c>
      <c r="I537" s="17">
        <f>IFERROR(__xludf.DUMMYFUNCTION("""COMPUTED_VALUE"""),33.0)</f>
        <v>33</v>
      </c>
      <c r="J537" s="17" t="str">
        <f>IFERROR(__xludf.DUMMYFUNCTION("""COMPUTED_VALUE"""),"25-34 tahun")</f>
        <v>25-34 tahun</v>
      </c>
      <c r="K537" s="19">
        <f>IFERROR(__xludf.DUMMYFUNCTION("""COMPUTED_VALUE"""),33941.0)</f>
        <v>33941</v>
      </c>
      <c r="L537" s="19" t="str">
        <f>IFERROR(__xludf.DUMMYFUNCTION("""COMPUTED_VALUE"""),"LAKI-LAKI")</f>
        <v>LAKI-LAKI</v>
      </c>
      <c r="M537" s="16" t="str">
        <f>IFERROR(__xludf.DUMMYFUNCTION("""COMPUTED_VALUE"""),"Jl. Sei Raya Dalam. Komp. Sei Raya Lestari 1 No. D10")</f>
        <v>Jl. Sei Raya Dalam. Komp. Sei Raya Lestari 1 No. D10</v>
      </c>
      <c r="N537" s="16"/>
      <c r="O537" s="16"/>
      <c r="P537" s="16"/>
      <c r="Q537" s="16"/>
      <c r="R537" s="19" t="str">
        <f>IFERROR(__xludf.DUMMYFUNCTION("""COMPUTED_VALUE"""),"ISLAM")</f>
        <v>ISLAM</v>
      </c>
      <c r="S537" s="16" t="str">
        <f>IFERROR(__xludf.DUMMYFUNCTION("""COMPUTED_VALUE"""),"TENAGA HONOR")</f>
        <v>TENAGA HONOR</v>
      </c>
      <c r="T537" s="16" t="str">
        <f>IFERROR(__xludf.DUMMYFUNCTION("""COMPUTED_VALUE"""),"SAKIT PINGGANG")</f>
        <v>SAKIT PINGGANG</v>
      </c>
      <c r="U537" s="16" t="str">
        <f>IFERROR(__xludf.DUMMYFUNCTION("""COMPUTED_VALUE"""),"BASKET/BEKERJA")</f>
        <v>BASKET/BEKERJA</v>
      </c>
      <c r="V537" s="11" t="str">
        <f>IFERROR(__xludf.DUMMYFUNCTION("""COMPUTED_VALUE"""),"085845373339")</f>
        <v>085845373339</v>
      </c>
      <c r="W537" s="15"/>
    </row>
    <row r="538" ht="22.5" customHeight="1">
      <c r="A538" s="8"/>
      <c r="B538" s="9">
        <f>IFERROR(__xludf.DUMMYFUNCTION("""COMPUTED_VALUE"""),45123.875917453704)</f>
        <v>45123.87592</v>
      </c>
      <c r="C538" s="9"/>
      <c r="D538" s="10">
        <f>IFERROR(__xludf.DUMMYFUNCTION("""COMPUTED_VALUE"""),45124.0)</f>
        <v>45124</v>
      </c>
      <c r="E538" s="10" t="str">
        <f>IFERROR(__xludf.DUMMYFUNCTION("""COMPUTED_VALUE"""),"07Jul")</f>
        <v>07Jul</v>
      </c>
      <c r="F538" s="10" t="str">
        <f>IFERROR(__xludf.DUMMYFUNCTION("""COMPUTED_VALUE"""),"2023")</f>
        <v>2023</v>
      </c>
      <c r="G538" s="16" t="str">
        <f>IFERROR(__xludf.DUMMYFUNCTION("""COMPUTED_VALUE"""),"JOHAN")</f>
        <v>JOHAN</v>
      </c>
      <c r="H538" s="17" t="str">
        <f>IFERROR(__xludf.DUMMYFUNCTION("""COMPUTED_VALUE"""),"J8923077991")</f>
        <v>J8923077991</v>
      </c>
      <c r="I538" s="17">
        <f>IFERROR(__xludf.DUMMYFUNCTION("""COMPUTED_VALUE"""),37.0)</f>
        <v>37</v>
      </c>
      <c r="J538" s="17" t="str">
        <f>IFERROR(__xludf.DUMMYFUNCTION("""COMPUTED_VALUE"""),"35-44 tahun")</f>
        <v>35-44 tahun</v>
      </c>
      <c r="K538" s="19">
        <f>IFERROR(__xludf.DUMMYFUNCTION("""COMPUTED_VALUE"""),32629.0)</f>
        <v>32629</v>
      </c>
      <c r="L538" s="19" t="str">
        <f>IFERROR(__xludf.DUMMYFUNCTION("""COMPUTED_VALUE"""),"LAKI-LAKI")</f>
        <v>LAKI-LAKI</v>
      </c>
      <c r="M538" s="16" t="str">
        <f>IFERROR(__xludf.DUMMYFUNCTION("""COMPUTED_VALUE"""),"JL. ADI SUCIPTO GG. HANURA 2 NO. B3")</f>
        <v>JL. ADI SUCIPTO GG. HANURA 2 NO. B3</v>
      </c>
      <c r="N538" s="16"/>
      <c r="O538" s="16"/>
      <c r="P538" s="16"/>
      <c r="Q538" s="16"/>
      <c r="R538" s="19" t="str">
        <f>IFERROR(__xludf.DUMMYFUNCTION("""COMPUTED_VALUE"""),"BUDDHA")</f>
        <v>BUDDHA</v>
      </c>
      <c r="S538" s="16" t="str">
        <f>IFERROR(__xludf.DUMMYFUNCTION("""COMPUTED_VALUE"""),"SWASTA")</f>
        <v>SWASTA</v>
      </c>
      <c r="T538" s="16" t="str">
        <f>IFERROR(__xludf.DUMMYFUNCTION("""COMPUTED_VALUE"""),"TUMIT KIRI SAMPAI TELAPAK KAKI SAKIT")</f>
        <v>TUMIT KIRI SAMPAI TELAPAK KAKI SAKIT</v>
      </c>
      <c r="U538" s="16" t="str">
        <f>IFERROR(__xludf.DUMMYFUNCTION("""COMPUTED_VALUE"""),"BASKET")</f>
        <v>BASKET</v>
      </c>
      <c r="V538" s="11" t="str">
        <f>IFERROR(__xludf.DUMMYFUNCTION("""COMPUTED_VALUE"""),"081269057991")</f>
        <v>081269057991</v>
      </c>
      <c r="W538" s="15"/>
    </row>
    <row r="539" ht="22.5" customHeight="1">
      <c r="A539" s="8"/>
      <c r="B539" s="9">
        <f>IFERROR(__xludf.DUMMYFUNCTION("""COMPUTED_VALUE"""),45124.40899701389)</f>
        <v>45124.409</v>
      </c>
      <c r="C539" s="9"/>
      <c r="D539" s="10">
        <f>IFERROR(__xludf.DUMMYFUNCTION("""COMPUTED_VALUE"""),45124.0)</f>
        <v>45124</v>
      </c>
      <c r="E539" s="10" t="str">
        <f>IFERROR(__xludf.DUMMYFUNCTION("""COMPUTED_VALUE"""),"07Jul")</f>
        <v>07Jul</v>
      </c>
      <c r="F539" s="10" t="str">
        <f>IFERROR(__xludf.DUMMYFUNCTION("""COMPUTED_VALUE"""),"2023")</f>
        <v>2023</v>
      </c>
      <c r="G539" s="16" t="str">
        <f>IFERROR(__xludf.DUMMYFUNCTION("""COMPUTED_VALUE"""),"FELIKS ARMANTO")</f>
        <v>FELIKS ARMANTO</v>
      </c>
      <c r="H539" s="17" t="str">
        <f>IFERROR(__xludf.DUMMYFUNCTION("""COMPUTED_VALUE"""),"F9923076881")</f>
        <v>F9923076881</v>
      </c>
      <c r="I539" s="17">
        <f>IFERROR(__xludf.DUMMYFUNCTION("""COMPUTED_VALUE"""),27.0)</f>
        <v>27</v>
      </c>
      <c r="J539" s="17" t="str">
        <f>IFERROR(__xludf.DUMMYFUNCTION("""COMPUTED_VALUE"""),"25-34 tahun")</f>
        <v>25-34 tahun</v>
      </c>
      <c r="K539" s="19">
        <f>IFERROR(__xludf.DUMMYFUNCTION("""COMPUTED_VALUE"""),36188.0)</f>
        <v>36188</v>
      </c>
      <c r="L539" s="19" t="str">
        <f>IFERROR(__xludf.DUMMYFUNCTION("""COMPUTED_VALUE"""),"LAKI-LAKI")</f>
        <v>LAKI-LAKI</v>
      </c>
      <c r="M539" s="16" t="str">
        <f>IFERROR(__xludf.DUMMYFUNCTION("""COMPUTED_VALUE"""),"BTN BALI PERMAI LANDAK")</f>
        <v>BTN BALI PERMAI LANDAK</v>
      </c>
      <c r="N539" s="16"/>
      <c r="O539" s="16"/>
      <c r="P539" s="16"/>
      <c r="Q539" s="16"/>
      <c r="R539" s="19" t="str">
        <f>IFERROR(__xludf.DUMMYFUNCTION("""COMPUTED_VALUE"""),"KATOLIK")</f>
        <v>KATOLIK</v>
      </c>
      <c r="S539" s="16" t="str">
        <f>IFERROR(__xludf.DUMMYFUNCTION("""COMPUTED_VALUE"""),"PELAJAR/MAHASISWA")</f>
        <v>PELAJAR/MAHASISWA</v>
      </c>
      <c r="T539" s="16" t="str">
        <f>IFERROR(__xludf.DUMMYFUNCTION("""COMPUTED_VALUE"""),"SAKIT LUTU KANAN")</f>
        <v>SAKIT LUTU KANAN</v>
      </c>
      <c r="U539" s="16" t="str">
        <f>IFERROR(__xludf.DUMMYFUNCTION("""COMPUTED_VALUE"""),"FUTSAL")</f>
        <v>FUTSAL</v>
      </c>
      <c r="V539" s="11" t="str">
        <f>IFERROR(__xludf.DUMMYFUNCTION("""COMPUTED_VALUE"""),"0895372706881")</f>
        <v>0895372706881</v>
      </c>
      <c r="W539" s="15"/>
    </row>
    <row r="540" ht="22.5" customHeight="1">
      <c r="A540" s="8"/>
      <c r="B540" s="9">
        <f>IFERROR(__xludf.DUMMYFUNCTION("""COMPUTED_VALUE"""),45124.45165027778)</f>
        <v>45124.45165</v>
      </c>
      <c r="C540" s="9"/>
      <c r="D540" s="10">
        <f>IFERROR(__xludf.DUMMYFUNCTION("""COMPUTED_VALUE"""),45125.0)</f>
        <v>45125</v>
      </c>
      <c r="E540" s="10" t="str">
        <f>IFERROR(__xludf.DUMMYFUNCTION("""COMPUTED_VALUE"""),"07Jul")</f>
        <v>07Jul</v>
      </c>
      <c r="F540" s="10" t="str">
        <f>IFERROR(__xludf.DUMMYFUNCTION("""COMPUTED_VALUE"""),"2023")</f>
        <v>2023</v>
      </c>
      <c r="G540" s="16" t="str">
        <f>IFERROR(__xludf.DUMMYFUNCTION("""COMPUTED_VALUE"""),"IBNU SUWITO")</f>
        <v>IBNU SUWITO</v>
      </c>
      <c r="H540" s="17" t="str">
        <f>IFERROR(__xludf.DUMMYFUNCTION("""COMPUTED_VALUE"""),"I7523072598")</f>
        <v>I7523072598</v>
      </c>
      <c r="I540" s="17">
        <f>IFERROR(__xludf.DUMMYFUNCTION("""COMPUTED_VALUE"""),50.0)</f>
        <v>50</v>
      </c>
      <c r="J540" s="17" t="str">
        <f>IFERROR(__xludf.DUMMYFUNCTION("""COMPUTED_VALUE"""),"&gt; 44 tahun")</f>
        <v>&gt; 44 tahun</v>
      </c>
      <c r="K540" s="19">
        <f>IFERROR(__xludf.DUMMYFUNCTION("""COMPUTED_VALUE"""),27747.0)</f>
        <v>27747</v>
      </c>
      <c r="L540" s="19" t="str">
        <f>IFERROR(__xludf.DUMMYFUNCTION("""COMPUTED_VALUE"""),"LAKI-LAKI")</f>
        <v>LAKI-LAKI</v>
      </c>
      <c r="M540" s="16" t="str">
        <f>IFERROR(__xludf.DUMMYFUNCTION("""COMPUTED_VALUE"""),"JL. SUNGAI RAYA DALAM KOMP. VILLA GADING RAYA II")</f>
        <v>JL. SUNGAI RAYA DALAM KOMP. VILLA GADING RAYA II</v>
      </c>
      <c r="N540" s="16"/>
      <c r="O540" s="16"/>
      <c r="P540" s="16"/>
      <c r="Q540" s="16"/>
      <c r="R540" s="19" t="str">
        <f>IFERROR(__xludf.DUMMYFUNCTION("""COMPUTED_VALUE"""),"KATOLIK")</f>
        <v>KATOLIK</v>
      </c>
      <c r="S540" s="16" t="str">
        <f>IFERROR(__xludf.DUMMYFUNCTION("""COMPUTED_VALUE"""),"SWASTA")</f>
        <v>SWASTA</v>
      </c>
      <c r="T540" s="16" t="str">
        <f>IFERROR(__xludf.DUMMYFUNCTION("""COMPUTED_VALUE"""),"NYERI OTOT LENGAN")</f>
        <v>NYERI OTOT LENGAN</v>
      </c>
      <c r="U540" s="16" t="str">
        <f>IFERROR(__xludf.DUMMYFUNCTION("""COMPUTED_VALUE"""),"BADMINTON")</f>
        <v>BADMINTON</v>
      </c>
      <c r="V540" s="11" t="str">
        <f>IFERROR(__xludf.DUMMYFUNCTION("""COMPUTED_VALUE"""),"085386922598")</f>
        <v>085386922598</v>
      </c>
      <c r="W540" s="15"/>
    </row>
    <row r="541" ht="22.5" customHeight="1">
      <c r="A541" s="8"/>
      <c r="B541" s="9">
        <f>IFERROR(__xludf.DUMMYFUNCTION("""COMPUTED_VALUE"""),45129.83731474537)</f>
        <v>45129.83731</v>
      </c>
      <c r="C541" s="9"/>
      <c r="D541" s="10">
        <f>IFERROR(__xludf.DUMMYFUNCTION("""COMPUTED_VALUE"""),45125.0)</f>
        <v>45125</v>
      </c>
      <c r="E541" s="10" t="str">
        <f>IFERROR(__xludf.DUMMYFUNCTION("""COMPUTED_VALUE"""),"07Jul")</f>
        <v>07Jul</v>
      </c>
      <c r="F541" s="10" t="str">
        <f>IFERROR(__xludf.DUMMYFUNCTION("""COMPUTED_VALUE"""),"2023")</f>
        <v>2023</v>
      </c>
      <c r="G541" s="16" t="str">
        <f>IFERROR(__xludf.DUMMYFUNCTION("""COMPUTED_VALUE"""),"HAURA NINDIA NAZIHAH")</f>
        <v>HAURA NINDIA NAZIHAH</v>
      </c>
      <c r="H541" s="17" t="str">
        <f>IFERROR(__xludf.DUMMYFUNCTION("""COMPUTED_VALUE"""),"H0923076882")</f>
        <v>H0923076882</v>
      </c>
      <c r="I541" s="17">
        <f>IFERROR(__xludf.DUMMYFUNCTION("""COMPUTED_VALUE"""),17.0)</f>
        <v>17</v>
      </c>
      <c r="J541" s="17" t="str">
        <f>IFERROR(__xludf.DUMMYFUNCTION("""COMPUTED_VALUE"""),"&lt; 18 tahun")</f>
        <v>&lt; 18 tahun</v>
      </c>
      <c r="K541" s="19">
        <f>IFERROR(__xludf.DUMMYFUNCTION("""COMPUTED_VALUE"""),39854.0)</f>
        <v>39854</v>
      </c>
      <c r="L541" s="19" t="str">
        <f>IFERROR(__xludf.DUMMYFUNCTION("""COMPUTED_VALUE"""),"PEREMPUAN")</f>
        <v>PEREMPUAN</v>
      </c>
      <c r="M541" s="16" t="str">
        <f>IFERROR(__xludf.DUMMYFUNCTION("""COMPUTED_VALUE"""),"JL KESEHATAN GG ASSALAM NO.25")</f>
        <v>JL KESEHATAN GG ASSALAM NO.25</v>
      </c>
      <c r="N541" s="16"/>
      <c r="O541" s="16"/>
      <c r="P541" s="16"/>
      <c r="Q541" s="16"/>
      <c r="R541" s="19" t="str">
        <f>IFERROR(__xludf.DUMMYFUNCTION("""COMPUTED_VALUE"""),"ISLAM")</f>
        <v>ISLAM</v>
      </c>
      <c r="S541" s="16" t="str">
        <f>IFERROR(__xludf.DUMMYFUNCTION("""COMPUTED_VALUE"""),"PELAJAR/MAHASISWA")</f>
        <v>PELAJAR/MAHASISWA</v>
      </c>
      <c r="T541" s="16" t="str">
        <f>IFERROR(__xludf.DUMMYFUNCTION("""COMPUTED_VALUE"""),"KAKI KIRI BELAJAR JALAN")</f>
        <v>KAKI KIRI BELAJAR JALAN</v>
      </c>
      <c r="U541" s="16" t="str">
        <f>IFERROR(__xludf.DUMMYFUNCTION("""COMPUTED_VALUE"""),"PENCAK SILAT")</f>
        <v>PENCAK SILAT</v>
      </c>
      <c r="V541" s="11" t="str">
        <f>IFERROR(__xludf.DUMMYFUNCTION("""COMPUTED_VALUE"""),"081345286882")</f>
        <v>081345286882</v>
      </c>
      <c r="W541" s="15"/>
    </row>
    <row r="542" ht="22.5" customHeight="1">
      <c r="A542" s="8"/>
      <c r="B542" s="9">
        <f>IFERROR(__xludf.DUMMYFUNCTION("""COMPUTED_VALUE"""),45125.40392724537)</f>
        <v>45125.40393</v>
      </c>
      <c r="C542" s="9"/>
      <c r="D542" s="10">
        <f>IFERROR(__xludf.DUMMYFUNCTION("""COMPUTED_VALUE"""),45125.0)</f>
        <v>45125</v>
      </c>
      <c r="E542" s="10" t="str">
        <f>IFERROR(__xludf.DUMMYFUNCTION("""COMPUTED_VALUE"""),"07Jul")</f>
        <v>07Jul</v>
      </c>
      <c r="F542" s="10" t="str">
        <f>IFERROR(__xludf.DUMMYFUNCTION("""COMPUTED_VALUE"""),"2023")</f>
        <v>2023</v>
      </c>
      <c r="G542" s="16" t="str">
        <f>IFERROR(__xludf.DUMMYFUNCTION("""COMPUTED_VALUE"""),"NOVEL BANGUN KUSWANDI")</f>
        <v>NOVEL BANGUN KUSWANDI</v>
      </c>
      <c r="H542" s="17" t="str">
        <f>IFERROR(__xludf.DUMMYFUNCTION("""COMPUTED_VALUE"""),"N8523070146")</f>
        <v>N8523070146</v>
      </c>
      <c r="I542" s="17">
        <f>IFERROR(__xludf.DUMMYFUNCTION("""COMPUTED_VALUE"""),41.0)</f>
        <v>41</v>
      </c>
      <c r="J542" s="17" t="str">
        <f>IFERROR(__xludf.DUMMYFUNCTION("""COMPUTED_VALUE"""),"35-44 tahun")</f>
        <v>35-44 tahun</v>
      </c>
      <c r="K542" s="19">
        <f>IFERROR(__xludf.DUMMYFUNCTION("""COMPUTED_VALUE"""),31215.0)</f>
        <v>31215</v>
      </c>
      <c r="L542" s="19" t="str">
        <f>IFERROR(__xludf.DUMMYFUNCTION("""COMPUTED_VALUE"""),"LAKI-LAKI")</f>
        <v>LAKI-LAKI</v>
      </c>
      <c r="M542" s="16" t="str">
        <f>IFERROR(__xludf.DUMMYFUNCTION("""COMPUTED_VALUE"""),"JL. KARET")</f>
        <v>JL. KARET</v>
      </c>
      <c r="N542" s="16"/>
      <c r="O542" s="16"/>
      <c r="P542" s="16"/>
      <c r="Q542" s="16"/>
      <c r="R542" s="19" t="str">
        <f>IFERROR(__xludf.DUMMYFUNCTION("""COMPUTED_VALUE"""),"ISLAM")</f>
        <v>ISLAM</v>
      </c>
      <c r="S542" s="16" t="str">
        <f>IFERROR(__xludf.DUMMYFUNCTION("""COMPUTED_VALUE"""),"ASN")</f>
        <v>ASN</v>
      </c>
      <c r="T542" s="16" t="str">
        <f>IFERROR(__xludf.DUMMYFUNCTION("""COMPUTED_VALUE"""),"PENGUATAN SETELAH OPERASI ACL")</f>
        <v>PENGUATAN SETELAH OPERASI ACL</v>
      </c>
      <c r="U542" s="16" t="str">
        <f>IFERROR(__xludf.DUMMYFUNCTION("""COMPUTED_VALUE"""),"TIDAK ADA")</f>
        <v>TIDAK ADA</v>
      </c>
      <c r="V542" s="11" t="str">
        <f>IFERROR(__xludf.DUMMYFUNCTION("""COMPUTED_VALUE"""),"0816220146")</f>
        <v>0816220146</v>
      </c>
      <c r="W542" s="15"/>
    </row>
    <row r="543" ht="22.5" customHeight="1">
      <c r="A543" s="8"/>
      <c r="B543" s="9">
        <f>IFERROR(__xludf.DUMMYFUNCTION("""COMPUTED_VALUE"""),45125.44537206019)</f>
        <v>45125.44537</v>
      </c>
      <c r="C543" s="9"/>
      <c r="D543" s="10">
        <f>IFERROR(__xludf.DUMMYFUNCTION("""COMPUTED_VALUE"""),45127.0)</f>
        <v>45127</v>
      </c>
      <c r="E543" s="10" t="str">
        <f>IFERROR(__xludf.DUMMYFUNCTION("""COMPUTED_VALUE"""),"07Jul")</f>
        <v>07Jul</v>
      </c>
      <c r="F543" s="10" t="str">
        <f>IFERROR(__xludf.DUMMYFUNCTION("""COMPUTED_VALUE"""),"2023")</f>
        <v>2023</v>
      </c>
      <c r="G543" s="16" t="str">
        <f>IFERROR(__xludf.DUMMYFUNCTION("""COMPUTED_VALUE"""),"RIA ANANDA")</f>
        <v>RIA ANANDA</v>
      </c>
      <c r="H543" s="17" t="str">
        <f>IFERROR(__xludf.DUMMYFUNCTION("""COMPUTED_VALUE"""),"R9423073528")</f>
        <v>R9423073528</v>
      </c>
      <c r="I543" s="17">
        <f>IFERROR(__xludf.DUMMYFUNCTION("""COMPUTED_VALUE"""),32.0)</f>
        <v>32</v>
      </c>
      <c r="J543" s="17" t="str">
        <f>IFERROR(__xludf.DUMMYFUNCTION("""COMPUTED_VALUE"""),"25-34 tahun")</f>
        <v>25-34 tahun</v>
      </c>
      <c r="K543" s="19">
        <f>IFERROR(__xludf.DUMMYFUNCTION("""COMPUTED_VALUE"""),34335.0)</f>
        <v>34335</v>
      </c>
      <c r="L543" s="19" t="str">
        <f>IFERROR(__xludf.DUMMYFUNCTION("""COMPUTED_VALUE"""),"PEREMPUAN")</f>
        <v>PEREMPUAN</v>
      </c>
      <c r="M543" s="16" t="str">
        <f>IFERROR(__xludf.DUMMYFUNCTION("""COMPUTED_VALUE"""),"Jl. AMPERA, GG. PERMATA KOTA, NO. 15")</f>
        <v>Jl. AMPERA, GG. PERMATA KOTA, NO. 15</v>
      </c>
      <c r="N543" s="16"/>
      <c r="O543" s="16"/>
      <c r="P543" s="16"/>
      <c r="Q543" s="16"/>
      <c r="R543" s="19" t="str">
        <f>IFERROR(__xludf.DUMMYFUNCTION("""COMPUTED_VALUE"""),"ISLAM")</f>
        <v>ISLAM</v>
      </c>
      <c r="S543" s="16" t="str">
        <f>IFERROR(__xludf.DUMMYFUNCTION("""COMPUTED_VALUE"""),"RUMAH TANGGA")</f>
        <v>RUMAH TANGGA</v>
      </c>
      <c r="T543" s="16" t="str">
        <f>IFERROR(__xludf.DUMMYFUNCTION("""COMPUTED_VALUE"""),"SAKIT DARI TULANG BELAKANG SAMPAI TELAPAK KAKI")</f>
        <v>SAKIT DARI TULANG BELAKANG SAMPAI TELAPAK KAKI</v>
      </c>
      <c r="U543" s="16" t="str">
        <f>IFERROR(__xludf.DUMMYFUNCTION("""COMPUTED_VALUE"""),"JUALAN")</f>
        <v>JUALAN</v>
      </c>
      <c r="V543" s="11" t="str">
        <f>IFERROR(__xludf.DUMMYFUNCTION("""COMPUTED_VALUE"""),"089688353528")</f>
        <v>089688353528</v>
      </c>
      <c r="W543" s="15"/>
    </row>
    <row r="544" ht="22.5" customHeight="1">
      <c r="A544" s="8"/>
      <c r="B544" s="9">
        <f>IFERROR(__xludf.DUMMYFUNCTION("""COMPUTED_VALUE"""),45125.593686990745)</f>
        <v>45125.59369</v>
      </c>
      <c r="C544" s="9"/>
      <c r="D544" s="10">
        <f>IFERROR(__xludf.DUMMYFUNCTION("""COMPUTED_VALUE"""),45127.0)</f>
        <v>45127</v>
      </c>
      <c r="E544" s="10" t="str">
        <f>IFERROR(__xludf.DUMMYFUNCTION("""COMPUTED_VALUE"""),"07Jul")</f>
        <v>07Jul</v>
      </c>
      <c r="F544" s="10" t="str">
        <f>IFERROR(__xludf.DUMMYFUNCTION("""COMPUTED_VALUE"""),"2023")</f>
        <v>2023</v>
      </c>
      <c r="G544" s="16" t="str">
        <f>IFERROR(__xludf.DUMMYFUNCTION("""COMPUTED_VALUE"""),"LEONARDO")</f>
        <v>LEONARDO</v>
      </c>
      <c r="H544" s="17" t="str">
        <f>IFERROR(__xludf.DUMMYFUNCTION("""COMPUTED_VALUE"""),"L8723079900")</f>
        <v>L8723079900</v>
      </c>
      <c r="I544" s="17">
        <f>IFERROR(__xludf.DUMMYFUNCTION("""COMPUTED_VALUE"""),38.0)</f>
        <v>38</v>
      </c>
      <c r="J544" s="17" t="str">
        <f>IFERROR(__xludf.DUMMYFUNCTION("""COMPUTED_VALUE"""),"35-44 tahun")</f>
        <v>35-44 tahun</v>
      </c>
      <c r="K544" s="19">
        <f>IFERROR(__xludf.DUMMYFUNCTION("""COMPUTED_VALUE"""),31984.0)</f>
        <v>31984</v>
      </c>
      <c r="L544" s="19" t="str">
        <f>IFERROR(__xludf.DUMMYFUNCTION("""COMPUTED_VALUE"""),"LAKI-LAKI")</f>
        <v>LAKI-LAKI</v>
      </c>
      <c r="M544" s="16" t="str">
        <f>IFERROR(__xludf.DUMMYFUNCTION("""COMPUTED_VALUE"""),"JL. SIAM NO. 54")</f>
        <v>JL. SIAM NO. 54</v>
      </c>
      <c r="N544" s="16"/>
      <c r="O544" s="16"/>
      <c r="P544" s="16"/>
      <c r="Q544" s="16"/>
      <c r="R544" s="19" t="str">
        <f>IFERROR(__xludf.DUMMYFUNCTION("""COMPUTED_VALUE"""),"LAINNYA")</f>
        <v>LAINNYA</v>
      </c>
      <c r="S544" s="16" t="str">
        <f>IFERROR(__xludf.DUMMYFUNCTION("""COMPUTED_VALUE"""),"PELUKIS")</f>
        <v>PELUKIS</v>
      </c>
      <c r="T544" s="16" t="str">
        <f>IFERROR(__xludf.DUMMYFUNCTION("""COMPUTED_VALUE"""),"SAKIT PUNGGUNG")</f>
        <v>SAKIT PUNGGUNG</v>
      </c>
      <c r="U544" s="16" t="str">
        <f>IFERROR(__xludf.DUMMYFUNCTION("""COMPUTED_VALUE"""),"TINJU")</f>
        <v>TINJU</v>
      </c>
      <c r="V544" s="11" t="str">
        <f>IFERROR(__xludf.DUMMYFUNCTION("""COMPUTED_VALUE"""),"081345509900")</f>
        <v>081345509900</v>
      </c>
      <c r="W544" s="15"/>
    </row>
    <row r="545" ht="22.5" customHeight="1">
      <c r="A545" s="8"/>
      <c r="B545" s="9">
        <f>IFERROR(__xludf.DUMMYFUNCTION("""COMPUTED_VALUE"""),45125.75393990741)</f>
        <v>45125.75394</v>
      </c>
      <c r="C545" s="9"/>
      <c r="D545" s="10">
        <f>IFERROR(__xludf.DUMMYFUNCTION("""COMPUTED_VALUE"""),45127.0)</f>
        <v>45127</v>
      </c>
      <c r="E545" s="10" t="str">
        <f>IFERROR(__xludf.DUMMYFUNCTION("""COMPUTED_VALUE"""),"07Jul")</f>
        <v>07Jul</v>
      </c>
      <c r="F545" s="10" t="str">
        <f>IFERROR(__xludf.DUMMYFUNCTION("""COMPUTED_VALUE"""),"2023")</f>
        <v>2023</v>
      </c>
      <c r="G545" s="16" t="str">
        <f>IFERROR(__xludf.DUMMYFUNCTION("""COMPUTED_VALUE"""),"PIKI RAMDANI")</f>
        <v>PIKI RAMDANI</v>
      </c>
      <c r="H545" s="17" t="str">
        <f>IFERROR(__xludf.DUMMYFUNCTION("""COMPUTED_VALUE"""),"P9323071126")</f>
        <v>P9323071126</v>
      </c>
      <c r="I545" s="17">
        <f>IFERROR(__xludf.DUMMYFUNCTION("""COMPUTED_VALUE"""),33.0)</f>
        <v>33</v>
      </c>
      <c r="J545" s="17" t="str">
        <f>IFERROR(__xludf.DUMMYFUNCTION("""COMPUTED_VALUE"""),"25-34 tahun")</f>
        <v>25-34 tahun</v>
      </c>
      <c r="K545" s="19">
        <f>IFERROR(__xludf.DUMMYFUNCTION("""COMPUTED_VALUE"""),34024.0)</f>
        <v>34024</v>
      </c>
      <c r="L545" s="19" t="str">
        <f>IFERROR(__xludf.DUMMYFUNCTION("""COMPUTED_VALUE"""),"LAKI-LAKI")</f>
        <v>LAKI-LAKI</v>
      </c>
      <c r="M545" s="16" t="str">
        <f>IFERROR(__xludf.DUMMYFUNCTION("""COMPUTED_VALUE"""),"KP. SUKARANDEG, DESA GUNUNG SARI, KEC. PAGADEN, KAB. SUBANG, JAWA BARAT")</f>
        <v>KP. SUKARANDEG, DESA GUNUNG SARI, KEC. PAGADEN, KAB. SUBANG, JAWA BARAT</v>
      </c>
      <c r="N545" s="16"/>
      <c r="O545" s="16"/>
      <c r="P545" s="16"/>
      <c r="Q545" s="16"/>
      <c r="R545" s="19" t="str">
        <f>IFERROR(__xludf.DUMMYFUNCTION("""COMPUTED_VALUE"""),"ISLAM")</f>
        <v>ISLAM</v>
      </c>
      <c r="S545" s="16" t="str">
        <f>IFERROR(__xludf.DUMMYFUNCTION("""COMPUTED_VALUE"""),"ASN")</f>
        <v>ASN</v>
      </c>
      <c r="T545" s="16" t="str">
        <f>IFERROR(__xludf.DUMMYFUNCTION("""COMPUTED_VALUE"""),"NYERI AKIBAT BENTURAN")</f>
        <v>NYERI AKIBAT BENTURAN</v>
      </c>
      <c r="U545" s="16" t="str">
        <f>IFERROR(__xludf.DUMMYFUNCTION("""COMPUTED_VALUE"""),"OLAHRAGA")</f>
        <v>OLAHRAGA</v>
      </c>
      <c r="V545" s="11" t="str">
        <f>IFERROR(__xludf.DUMMYFUNCTION("""COMPUTED_VALUE"""),"085210841126")</f>
        <v>085210841126</v>
      </c>
      <c r="W545" s="15"/>
    </row>
    <row r="546" ht="22.5" customHeight="1">
      <c r="A546" s="8"/>
      <c r="B546" s="9">
        <f>IFERROR(__xludf.DUMMYFUNCTION("""COMPUTED_VALUE"""),45127.40834756945)</f>
        <v>45127.40835</v>
      </c>
      <c r="C546" s="9"/>
      <c r="D546" s="34">
        <f>IFERROR(__xludf.DUMMYFUNCTION("""COMPUTED_VALUE"""),45127.0)</f>
        <v>45127</v>
      </c>
      <c r="E546" s="34" t="str">
        <f>IFERROR(__xludf.DUMMYFUNCTION("""COMPUTED_VALUE"""),"07Jul")</f>
        <v>07Jul</v>
      </c>
      <c r="F546" s="34" t="str">
        <f>IFERROR(__xludf.DUMMYFUNCTION("""COMPUTED_VALUE"""),"2023")</f>
        <v>2023</v>
      </c>
      <c r="G546" s="35" t="str">
        <f>IFERROR(__xludf.DUMMYFUNCTION("""COMPUTED_VALUE"""),"KI DHARMAWAN")</f>
        <v>KI DHARMAWAN</v>
      </c>
      <c r="H546" s="17" t="str">
        <f>IFERROR(__xludf.DUMMYFUNCTION("""COMPUTED_VALUE"""),"K9823072535")</f>
        <v>K9823072535</v>
      </c>
      <c r="I546" s="17">
        <f>IFERROR(__xludf.DUMMYFUNCTION("""COMPUTED_VALUE"""),28.0)</f>
        <v>28</v>
      </c>
      <c r="J546" s="17" t="str">
        <f>IFERROR(__xludf.DUMMYFUNCTION("""COMPUTED_VALUE"""),"25-34 tahun")</f>
        <v>25-34 tahun</v>
      </c>
      <c r="K546" s="19">
        <f>IFERROR(__xludf.DUMMYFUNCTION("""COMPUTED_VALUE"""),35833.0)</f>
        <v>35833</v>
      </c>
      <c r="L546" s="19" t="str">
        <f>IFERROR(__xludf.DUMMYFUNCTION("""COMPUTED_VALUE"""),"LAKI-LAKI")</f>
        <v>LAKI-LAKI</v>
      </c>
      <c r="M546" s="35" t="str">
        <f>IFERROR(__xludf.DUMMYFUNCTION("""COMPUTED_VALUE"""),"JL. PAINI BARDAN NO. 166")</f>
        <v>JL. PAINI BARDAN NO. 166</v>
      </c>
      <c r="N546" s="35"/>
      <c r="O546" s="35"/>
      <c r="P546" s="16"/>
      <c r="Q546" s="16"/>
      <c r="R546" s="19" t="str">
        <f>IFERROR(__xludf.DUMMYFUNCTION("""COMPUTED_VALUE"""),"PROTESTAN")</f>
        <v>PROTESTAN</v>
      </c>
      <c r="S546" s="16" t="str">
        <f>IFERROR(__xludf.DUMMYFUNCTION("""COMPUTED_VALUE"""),"WIRASWASTA")</f>
        <v>WIRASWASTA</v>
      </c>
      <c r="T546" s="16"/>
      <c r="U546" s="16" t="str">
        <f>IFERROR(__xludf.DUMMYFUNCTION("""COMPUTED_VALUE"""),"KERJA")</f>
        <v>KERJA</v>
      </c>
      <c r="V546" s="11" t="str">
        <f>IFERROR(__xludf.DUMMYFUNCTION("""COMPUTED_VALUE"""),"082155522535")</f>
        <v>082155522535</v>
      </c>
      <c r="W546" s="15"/>
    </row>
    <row r="547" ht="22.5" customHeight="1">
      <c r="A547" s="8"/>
      <c r="B547" s="9">
        <f>IFERROR(__xludf.DUMMYFUNCTION("""COMPUTED_VALUE"""),45127.429355995366)</f>
        <v>45127.42936</v>
      </c>
      <c r="C547" s="9"/>
      <c r="D547" s="10">
        <f>IFERROR(__xludf.DUMMYFUNCTION("""COMPUTED_VALUE"""),45127.0)</f>
        <v>45127</v>
      </c>
      <c r="E547" s="10" t="str">
        <f>IFERROR(__xludf.DUMMYFUNCTION("""COMPUTED_VALUE"""),"07Jul")</f>
        <v>07Jul</v>
      </c>
      <c r="F547" s="10" t="str">
        <f>IFERROR(__xludf.DUMMYFUNCTION("""COMPUTED_VALUE"""),"2023")</f>
        <v>2023</v>
      </c>
      <c r="G547" s="16" t="str">
        <f>IFERROR(__xludf.DUMMYFUNCTION("""COMPUTED_VALUE"""),"YOUNG BRILLIAN THEHAWIJAYA")</f>
        <v>YOUNG BRILLIAN THEHAWIJAYA</v>
      </c>
      <c r="H547" s="17" t="str">
        <f>IFERROR(__xludf.DUMMYFUNCTION("""COMPUTED_VALUE"""),"Y0623078833")</f>
        <v>Y0623078833</v>
      </c>
      <c r="I547" s="17">
        <f>IFERROR(__xludf.DUMMYFUNCTION("""COMPUTED_VALUE"""),19.0)</f>
        <v>19</v>
      </c>
      <c r="J547" s="17" t="str">
        <f>IFERROR(__xludf.DUMMYFUNCTION("""COMPUTED_VALUE"""),"18-24 tahun")</f>
        <v>18-24 tahun</v>
      </c>
      <c r="K547" s="19">
        <f>IFERROR(__xludf.DUMMYFUNCTION("""COMPUTED_VALUE"""),38966.0)</f>
        <v>38966</v>
      </c>
      <c r="L547" s="19" t="str">
        <f>IFERROR(__xludf.DUMMYFUNCTION("""COMPUTED_VALUE"""),"LAKI-LAKI")</f>
        <v>LAKI-LAKI</v>
      </c>
      <c r="M547" s="16" t="str">
        <f>IFERROR(__xludf.DUMMYFUNCTION("""COMPUTED_VALUE"""),"JL. GAJAH MADA NO. 33")</f>
        <v>JL. GAJAH MADA NO. 33</v>
      </c>
      <c r="N547" s="16"/>
      <c r="O547" s="16"/>
      <c r="P547" s="16"/>
      <c r="Q547" s="16"/>
      <c r="R547" s="19" t="str">
        <f>IFERROR(__xludf.DUMMYFUNCTION("""COMPUTED_VALUE"""),"BUDDHA")</f>
        <v>BUDDHA</v>
      </c>
      <c r="S547" s="16" t="str">
        <f>IFERROR(__xludf.DUMMYFUNCTION("""COMPUTED_VALUE"""),"PELAJAR/MAHASISWA")</f>
        <v>PELAJAR/MAHASISWA</v>
      </c>
      <c r="T547" s="16" t="str">
        <f>IFERROR(__xludf.DUMMYFUNCTION("""COMPUTED_VALUE"""),"SAAT MAU MELAKUKAN GERAKAN BENCH PRESS SATU FOREARMS TERASA TERTUSUK DI KEDUA TANGAN")</f>
        <v>SAAT MAU MELAKUKAN GERAKAN BENCH PRESS SATU FOREARMS TERASA TERTUSUK DI KEDUA TANGAN</v>
      </c>
      <c r="U547" s="16" t="str">
        <f>IFERROR(__xludf.DUMMYFUNCTION("""COMPUTED_VALUE"""),"GYM DAN SEKOLAH")</f>
        <v>GYM DAN SEKOLAH</v>
      </c>
      <c r="V547" s="21" t="str">
        <f>IFERROR(__xludf.DUMMYFUNCTION("""COMPUTED_VALUE"""),"081251198833")</f>
        <v>081251198833</v>
      </c>
      <c r="W547" s="22"/>
    </row>
    <row r="548" ht="22.5" customHeight="1">
      <c r="A548" s="8"/>
      <c r="B548" s="9">
        <f>IFERROR(__xludf.DUMMYFUNCTION("""COMPUTED_VALUE"""),45127.430880706015)</f>
        <v>45127.43088</v>
      </c>
      <c r="C548" s="9"/>
      <c r="D548" s="10">
        <f>IFERROR(__xludf.DUMMYFUNCTION("""COMPUTED_VALUE"""),45127.0)</f>
        <v>45127</v>
      </c>
      <c r="E548" s="10" t="str">
        <f>IFERROR(__xludf.DUMMYFUNCTION("""COMPUTED_VALUE"""),"07Jul")</f>
        <v>07Jul</v>
      </c>
      <c r="F548" s="10" t="str">
        <f>IFERROR(__xludf.DUMMYFUNCTION("""COMPUTED_VALUE"""),"2023")</f>
        <v>2023</v>
      </c>
      <c r="G548" s="16" t="str">
        <f>IFERROR(__xludf.DUMMYFUNCTION("""COMPUTED_VALUE"""),"IDA HIDAYATI")</f>
        <v>IDA HIDAYATI</v>
      </c>
      <c r="H548" s="17" t="str">
        <f>IFERROR(__xludf.DUMMYFUNCTION("""COMPUTED_VALUE"""),"I6823070922")</f>
        <v>I6823070922</v>
      </c>
      <c r="I548" s="17">
        <f>IFERROR(__xludf.DUMMYFUNCTION("""COMPUTED_VALUE"""),57.0)</f>
        <v>57</v>
      </c>
      <c r="J548" s="17" t="str">
        <f>IFERROR(__xludf.DUMMYFUNCTION("""COMPUTED_VALUE"""),"&gt; 44 tahun")</f>
        <v>&gt; 44 tahun</v>
      </c>
      <c r="K548" s="19">
        <f>IFERROR(__xludf.DUMMYFUNCTION("""COMPUTED_VALUE"""),25031.0)</f>
        <v>25031</v>
      </c>
      <c r="L548" s="19" t="str">
        <f>IFERROR(__xludf.DUMMYFUNCTION("""COMPUTED_VALUE"""),"PEREMPUAN")</f>
        <v>PEREMPUAN</v>
      </c>
      <c r="M548" s="16" t="str">
        <f>IFERROR(__xludf.DUMMYFUNCTION("""COMPUTED_VALUE"""),"JL DR SUTOMO KOMPLEK BATARA INDAH 4")</f>
        <v>JL DR SUTOMO KOMPLEK BATARA INDAH 4</v>
      </c>
      <c r="N548" s="16"/>
      <c r="O548" s="16"/>
      <c r="P548" s="16"/>
      <c r="Q548" s="16"/>
      <c r="R548" s="19" t="str">
        <f>IFERROR(__xludf.DUMMYFUNCTION("""COMPUTED_VALUE"""),"ISLAM")</f>
        <v>ISLAM</v>
      </c>
      <c r="S548" s="16" t="str">
        <f>IFERROR(__xludf.DUMMYFUNCTION("""COMPUTED_VALUE"""),"PENSIUN")</f>
        <v>PENSIUN</v>
      </c>
      <c r="T548" s="16" t="str">
        <f>IFERROR(__xludf.DUMMYFUNCTION("""COMPUTED_VALUE"""),"SAKIT DI BAGIAN KAKI KANAN TEPATNYA DI BAGIAN BETIS TELAPAK KAKI")</f>
        <v>SAKIT DI BAGIAN KAKI KANAN TEPATNYA DI BAGIAN BETIS TELAPAK KAKI</v>
      </c>
      <c r="U548" s="16" t="str">
        <f>IFERROR(__xludf.DUMMYFUNCTION("""COMPUTED_VALUE"""),"MEMASAK")</f>
        <v>MEMASAK</v>
      </c>
      <c r="V548" s="11" t="str">
        <f>IFERROR(__xludf.DUMMYFUNCTION("""COMPUTED_VALUE"""),"081258360922")</f>
        <v>081258360922</v>
      </c>
      <c r="W548" s="15"/>
    </row>
    <row r="549" ht="22.5" customHeight="1">
      <c r="A549" s="8"/>
      <c r="B549" s="9">
        <f>IFERROR(__xludf.DUMMYFUNCTION("""COMPUTED_VALUE"""),45127.4862662963)</f>
        <v>45127.48627</v>
      </c>
      <c r="C549" s="9"/>
      <c r="D549" s="10">
        <f>IFERROR(__xludf.DUMMYFUNCTION("""COMPUTED_VALUE"""),45129.0)</f>
        <v>45129</v>
      </c>
      <c r="E549" s="10" t="str">
        <f>IFERROR(__xludf.DUMMYFUNCTION("""COMPUTED_VALUE"""),"07Jul")</f>
        <v>07Jul</v>
      </c>
      <c r="F549" s="10" t="str">
        <f>IFERROR(__xludf.DUMMYFUNCTION("""COMPUTED_VALUE"""),"2023")</f>
        <v>2023</v>
      </c>
      <c r="G549" s="16" t="str">
        <f>IFERROR(__xludf.DUMMYFUNCTION("""COMPUTED_VALUE"""),"BANYU GIFTKHAN MAYLEKA")</f>
        <v>BANYU GIFTKHAN MAYLEKA</v>
      </c>
      <c r="H549" s="17" t="str">
        <f>IFERROR(__xludf.DUMMYFUNCTION("""COMPUTED_VALUE"""),"B0823070540")</f>
        <v>B0823070540</v>
      </c>
      <c r="I549" s="17">
        <f>IFERROR(__xludf.DUMMYFUNCTION("""COMPUTED_VALUE"""),18.0)</f>
        <v>18</v>
      </c>
      <c r="J549" s="17" t="str">
        <f>IFERROR(__xludf.DUMMYFUNCTION("""COMPUTED_VALUE"""),"&lt; 18 tahun")</f>
        <v>&lt; 18 tahun</v>
      </c>
      <c r="K549" s="19">
        <f>IFERROR(__xludf.DUMMYFUNCTION("""COMPUTED_VALUE"""),39574.0)</f>
        <v>39574</v>
      </c>
      <c r="L549" s="19" t="str">
        <f>IFERROR(__xludf.DUMMYFUNCTION("""COMPUTED_VALUE"""),"LAKI-LAKI")</f>
        <v>LAKI-LAKI</v>
      </c>
      <c r="M549" s="16" t="str">
        <f>IFERROR(__xludf.DUMMYFUNCTION("""COMPUTED_VALUE"""),"JL.TABRANI AHMAD KOMP DIDIS PERMAI 7..17")</f>
        <v>JL.TABRANI AHMAD KOMP DIDIS PERMAI 7..17</v>
      </c>
      <c r="N549" s="16"/>
      <c r="O549" s="16"/>
      <c r="P549" s="16"/>
      <c r="Q549" s="16"/>
      <c r="R549" s="19" t="str">
        <f>IFERROR(__xludf.DUMMYFUNCTION("""COMPUTED_VALUE"""),"ISLAM")</f>
        <v>ISLAM</v>
      </c>
      <c r="S549" s="16" t="str">
        <f>IFERROR(__xludf.DUMMYFUNCTION("""COMPUTED_VALUE"""),"PELAJAR/MAHASISWA")</f>
        <v>PELAJAR/MAHASISWA</v>
      </c>
      <c r="T549" s="16" t="str">
        <f>IFERROR(__xludf.DUMMYFUNCTION("""COMPUTED_VALUE"""),"NYERI DI PUNGUNG KANAN")</f>
        <v>NYERI DI PUNGUNG KANAN</v>
      </c>
      <c r="U549" s="16" t="str">
        <f>IFERROR(__xludf.DUMMYFUNCTION("""COMPUTED_VALUE"""),"OLAH RAGA")</f>
        <v>OLAH RAGA</v>
      </c>
      <c r="V549" s="11" t="str">
        <f>IFERROR(__xludf.DUMMYFUNCTION("""COMPUTED_VALUE"""),"0895702480540")</f>
        <v>0895702480540</v>
      </c>
      <c r="W549" s="15"/>
    </row>
    <row r="550" ht="22.5" customHeight="1">
      <c r="A550" s="8"/>
      <c r="B550" s="9">
        <f>IFERROR(__xludf.DUMMYFUNCTION("""COMPUTED_VALUE"""),45127.514045648146)</f>
        <v>45127.51405</v>
      </c>
      <c r="C550" s="9"/>
      <c r="D550" s="10">
        <f>IFERROR(__xludf.DUMMYFUNCTION("""COMPUTED_VALUE"""),45130.0)</f>
        <v>45130</v>
      </c>
      <c r="E550" s="10" t="str">
        <f>IFERROR(__xludf.DUMMYFUNCTION("""COMPUTED_VALUE"""),"07Jul")</f>
        <v>07Jul</v>
      </c>
      <c r="F550" s="10" t="str">
        <f>IFERROR(__xludf.DUMMYFUNCTION("""COMPUTED_VALUE"""),"2023")</f>
        <v>2023</v>
      </c>
      <c r="G550" s="16" t="str">
        <f>IFERROR(__xludf.DUMMYFUNCTION("""COMPUTED_VALUE"""),"DAFFA RIZKY PRATAMA")</f>
        <v>DAFFA RIZKY PRATAMA</v>
      </c>
      <c r="H550" s="17" t="str">
        <f>IFERROR(__xludf.DUMMYFUNCTION("""COMPUTED_VALUE"""),"D0423074113")</f>
        <v>D0423074113</v>
      </c>
      <c r="I550" s="17">
        <f>IFERROR(__xludf.DUMMYFUNCTION("""COMPUTED_VALUE"""),21.0)</f>
        <v>21</v>
      </c>
      <c r="J550" s="17" t="str">
        <f>IFERROR(__xludf.DUMMYFUNCTION("""COMPUTED_VALUE"""),"18-24 tahun")</f>
        <v>18-24 tahun</v>
      </c>
      <c r="K550" s="19">
        <f>IFERROR(__xludf.DUMMYFUNCTION("""COMPUTED_VALUE"""),38191.0)</f>
        <v>38191</v>
      </c>
      <c r="L550" s="19" t="str">
        <f>IFERROR(__xludf.DUMMYFUNCTION("""COMPUTED_VALUE"""),"LAKI-LAKI")</f>
        <v>LAKI-LAKI</v>
      </c>
      <c r="M550" s="16" t="str">
        <f>IFERROR(__xludf.DUMMYFUNCTION("""COMPUTED_VALUE"""),"JL. MERDEKA GG. NURI NO. 15")</f>
        <v>JL. MERDEKA GG. NURI NO. 15</v>
      </c>
      <c r="N550" s="16"/>
      <c r="O550" s="16"/>
      <c r="P550" s="16"/>
      <c r="Q550" s="16"/>
      <c r="R550" s="19" t="str">
        <f>IFERROR(__xludf.DUMMYFUNCTION("""COMPUTED_VALUE"""),"ISLAM")</f>
        <v>ISLAM</v>
      </c>
      <c r="S550" s="16" t="str">
        <f>IFERROR(__xludf.DUMMYFUNCTION("""COMPUTED_VALUE"""),"PELAJAR/MAHASISWA")</f>
        <v>PELAJAR/MAHASISWA</v>
      </c>
      <c r="T550" s="16" t="str">
        <f>IFERROR(__xludf.DUMMYFUNCTION("""COMPUTED_VALUE"""),"KAKI X 9")</f>
        <v>KAKI X 9</v>
      </c>
      <c r="U550" s="16" t="str">
        <f>IFERROR(__xludf.DUMMYFUNCTION("""COMPUTED_VALUE"""),"OLAHRAGA")</f>
        <v>OLAHRAGA</v>
      </c>
      <c r="V550" s="11" t="str">
        <f>IFERROR(__xludf.DUMMYFUNCTION("""COMPUTED_VALUE"""),"081256584113")</f>
        <v>081256584113</v>
      </c>
      <c r="W550" s="15"/>
    </row>
    <row r="551" ht="22.5" customHeight="1">
      <c r="A551" s="8"/>
      <c r="B551" s="9">
        <f>IFERROR(__xludf.DUMMYFUNCTION("""COMPUTED_VALUE"""),45127.541314409726)</f>
        <v>45127.54131</v>
      </c>
      <c r="C551" s="9"/>
      <c r="D551" s="10">
        <f>IFERROR(__xludf.DUMMYFUNCTION("""COMPUTED_VALUE"""),45130.0)</f>
        <v>45130</v>
      </c>
      <c r="E551" s="10" t="str">
        <f>IFERROR(__xludf.DUMMYFUNCTION("""COMPUTED_VALUE"""),"07Jul")</f>
        <v>07Jul</v>
      </c>
      <c r="F551" s="10" t="str">
        <f>IFERROR(__xludf.DUMMYFUNCTION("""COMPUTED_VALUE"""),"2023")</f>
        <v>2023</v>
      </c>
      <c r="G551" s="16" t="str">
        <f>IFERROR(__xludf.DUMMYFUNCTION("""COMPUTED_VALUE"""),"SUSNAWATI")</f>
        <v>SUSNAWATI</v>
      </c>
      <c r="H551" s="17" t="str">
        <f>IFERROR(__xludf.DUMMYFUNCTION("""COMPUTED_VALUE"""),"S7823077140")</f>
        <v>S7823077140</v>
      </c>
      <c r="I551" s="17">
        <f>IFERROR(__xludf.DUMMYFUNCTION("""COMPUTED_VALUE"""),47.0)</f>
        <v>47</v>
      </c>
      <c r="J551" s="17" t="str">
        <f>IFERROR(__xludf.DUMMYFUNCTION("""COMPUTED_VALUE"""),"&gt; 44 tahun")</f>
        <v>&gt; 44 tahun</v>
      </c>
      <c r="K551" s="19">
        <f>IFERROR(__xludf.DUMMYFUNCTION("""COMPUTED_VALUE"""),28814.0)</f>
        <v>28814</v>
      </c>
      <c r="L551" s="19" t="str">
        <f>IFERROR(__xludf.DUMMYFUNCTION("""COMPUTED_VALUE"""),"PEREMPUAN")</f>
        <v>PEREMPUAN</v>
      </c>
      <c r="M551" s="16" t="str">
        <f>IFERROR(__xludf.DUMMYFUNCTION("""COMPUTED_VALUE"""),"JL.LINTAS SELATAN, DUSUN GUCI BETUAH, DESA MARTADANA, KECAMATAN PENGKADAN KABUPATEN KAPUAS HULU")</f>
        <v>JL.LINTAS SELATAN, DUSUN GUCI BETUAH, DESA MARTADANA, KECAMATAN PENGKADAN KABUPATEN KAPUAS HULU</v>
      </c>
      <c r="N551" s="16"/>
      <c r="O551" s="16"/>
      <c r="P551" s="16"/>
      <c r="Q551" s="16"/>
      <c r="R551" s="19" t="str">
        <f>IFERROR(__xludf.DUMMYFUNCTION("""COMPUTED_VALUE"""),"ISLAM")</f>
        <v>ISLAM</v>
      </c>
      <c r="S551" s="16" t="str">
        <f>IFERROR(__xludf.DUMMYFUNCTION("""COMPUTED_VALUE"""),"WIRASWASTA")</f>
        <v>WIRASWASTA</v>
      </c>
      <c r="T551" s="16" t="str">
        <f>IFERROR(__xludf.DUMMYFUNCTION("""COMPUTED_VALUE"""),"SAKIT DAN TANGAN SERING KESEMUTAN")</f>
        <v>SAKIT DAN TANGAN SERING KESEMUTAN</v>
      </c>
      <c r="U551" s="16" t="str">
        <f>IFERROR(__xludf.DUMMYFUNCTION("""COMPUTED_VALUE"""),"BEKERJA DI RUMAH")</f>
        <v>BEKERJA DI RUMAH</v>
      </c>
      <c r="V551" s="11" t="str">
        <f>IFERROR(__xludf.DUMMYFUNCTION("""COMPUTED_VALUE"""),"082158557140")</f>
        <v>082158557140</v>
      </c>
      <c r="W551" s="15"/>
    </row>
    <row r="552" ht="22.5" customHeight="1">
      <c r="A552" s="8"/>
      <c r="B552" s="9">
        <f>IFERROR(__xludf.DUMMYFUNCTION("""COMPUTED_VALUE"""),45128.37705034722)</f>
        <v>45128.37705</v>
      </c>
      <c r="C552" s="9"/>
      <c r="D552" s="10">
        <f>IFERROR(__xludf.DUMMYFUNCTION("""COMPUTED_VALUE"""),45130.0)</f>
        <v>45130</v>
      </c>
      <c r="E552" s="10" t="str">
        <f>IFERROR(__xludf.DUMMYFUNCTION("""COMPUTED_VALUE"""),"07Jul")</f>
        <v>07Jul</v>
      </c>
      <c r="F552" s="10" t="str">
        <f>IFERROR(__xludf.DUMMYFUNCTION("""COMPUTED_VALUE"""),"2023")</f>
        <v>2023</v>
      </c>
      <c r="G552" s="16" t="str">
        <f>IFERROR(__xludf.DUMMYFUNCTION("""COMPUTED_VALUE"""),"RUTIANA")</f>
        <v>RUTIANA</v>
      </c>
      <c r="H552" s="17" t="str">
        <f>IFERROR(__xludf.DUMMYFUNCTION("""COMPUTED_VALUE"""),"R6823075669")</f>
        <v>R6823075669</v>
      </c>
      <c r="I552" s="17">
        <f>IFERROR(__xludf.DUMMYFUNCTION("""COMPUTED_VALUE"""),57.0)</f>
        <v>57</v>
      </c>
      <c r="J552" s="17" t="str">
        <f>IFERROR(__xludf.DUMMYFUNCTION("""COMPUTED_VALUE"""),"&gt; 44 tahun")</f>
        <v>&gt; 44 tahun</v>
      </c>
      <c r="K552" s="19">
        <f>IFERROR(__xludf.DUMMYFUNCTION("""COMPUTED_VALUE"""),25055.0)</f>
        <v>25055</v>
      </c>
      <c r="L552" s="19" t="str">
        <f>IFERROR(__xludf.DUMMYFUNCTION("""COMPUTED_VALUE"""),"PEREMPUAN")</f>
        <v>PEREMPUAN</v>
      </c>
      <c r="M552" s="16" t="str">
        <f>IFERROR(__xludf.DUMMYFUNCTION("""COMPUTED_VALUE"""),"JL. KURAU NO. 7 SINGKAWANG")</f>
        <v>JL. KURAU NO. 7 SINGKAWANG</v>
      </c>
      <c r="N552" s="16"/>
      <c r="O552" s="16"/>
      <c r="P552" s="16"/>
      <c r="Q552" s="16"/>
      <c r="R552" s="19" t="str">
        <f>IFERROR(__xludf.DUMMYFUNCTION("""COMPUTED_VALUE"""),"BUDDHA")</f>
        <v>BUDDHA</v>
      </c>
      <c r="S552" s="16" t="str">
        <f>IFERROR(__xludf.DUMMYFUNCTION("""COMPUTED_VALUE"""),"RUMAH TANGGA")</f>
        <v>RUMAH TANGGA</v>
      </c>
      <c r="T552" s="16" t="str">
        <f>IFERROR(__xludf.DUMMYFUNCTION("""COMPUTED_VALUE"""),"SAKIT SEKITAR TUMIT KAKI")</f>
        <v>SAKIT SEKITAR TUMIT KAKI</v>
      </c>
      <c r="U552" s="16" t="str">
        <f>IFERROR(__xludf.DUMMYFUNCTION("""COMPUTED_VALUE"""),"JALAN KAKI DAN BERES2 RUMAH")</f>
        <v>JALAN KAKI DAN BERES2 RUMAH</v>
      </c>
      <c r="V552" s="11" t="str">
        <f>IFERROR(__xludf.DUMMYFUNCTION("""COMPUTED_VALUE"""),"085346595669")</f>
        <v>085346595669</v>
      </c>
      <c r="W552" s="15"/>
    </row>
    <row r="553" ht="22.5" customHeight="1">
      <c r="A553" s="8"/>
      <c r="B553" s="9">
        <f>IFERROR(__xludf.DUMMYFUNCTION("""COMPUTED_VALUE"""),45129.69834415509)</f>
        <v>45129.69834</v>
      </c>
      <c r="C553" s="9"/>
      <c r="D553" s="10">
        <f>IFERROR(__xludf.DUMMYFUNCTION("""COMPUTED_VALUE"""),45131.0)</f>
        <v>45131</v>
      </c>
      <c r="E553" s="10" t="str">
        <f>IFERROR(__xludf.DUMMYFUNCTION("""COMPUTED_VALUE"""),"07Jul")</f>
        <v>07Jul</v>
      </c>
      <c r="F553" s="10" t="str">
        <f>IFERROR(__xludf.DUMMYFUNCTION("""COMPUTED_VALUE"""),"2023")</f>
        <v>2023</v>
      </c>
      <c r="G553" s="16" t="str">
        <f>IFERROR(__xludf.DUMMYFUNCTION("""COMPUTED_VALUE"""),"NOVI INDRAWAN")</f>
        <v>NOVI INDRAWAN</v>
      </c>
      <c r="H553" s="17" t="str">
        <f>IFERROR(__xludf.DUMMYFUNCTION("""COMPUTED_VALUE"""),"N8923079631")</f>
        <v>N8923079631</v>
      </c>
      <c r="I553" s="17">
        <f>IFERROR(__xludf.DUMMYFUNCTION("""COMPUTED_VALUE"""),36.0)</f>
        <v>36</v>
      </c>
      <c r="J553" s="17" t="str">
        <f>IFERROR(__xludf.DUMMYFUNCTION("""COMPUTED_VALUE"""),"35-44 tahun")</f>
        <v>35-44 tahun</v>
      </c>
      <c r="K553" s="19">
        <f>IFERROR(__xludf.DUMMYFUNCTION("""COMPUTED_VALUE"""),32825.0)</f>
        <v>32825</v>
      </c>
      <c r="L553" s="19" t="str">
        <f>IFERROR(__xludf.DUMMYFUNCTION("""COMPUTED_VALUE"""),"LAKI-LAKI")</f>
        <v>LAKI-LAKI</v>
      </c>
      <c r="M553" s="16" t="str">
        <f>IFERROR(__xludf.DUMMYFUNCTION("""COMPUTED_VALUE"""),"Dusun merdeka sui durian RT 001/RW 003 Kel limbung, kecamatan sui raya, jl adisucipto gg lestari")</f>
        <v>Dusun merdeka sui durian RT 001/RW 003 Kel limbung, kecamatan sui raya, jl adisucipto gg lestari</v>
      </c>
      <c r="N553" s="16"/>
      <c r="O553" s="16"/>
      <c r="P553" s="16"/>
      <c r="Q553" s="16"/>
      <c r="R553" s="19" t="str">
        <f>IFERROR(__xludf.DUMMYFUNCTION("""COMPUTED_VALUE"""),"ISLAM")</f>
        <v>ISLAM</v>
      </c>
      <c r="S553" s="16" t="str">
        <f>IFERROR(__xludf.DUMMYFUNCTION("""COMPUTED_VALUE"""),"BUMN")</f>
        <v>BUMN</v>
      </c>
      <c r="T553" s="16" t="str">
        <f>IFERROR(__xludf.DUMMYFUNCTION("""COMPUTED_VALUE"""),"NYERI PADA BAGIAN KAKI DAN PAHA ATAS")</f>
        <v>NYERI PADA BAGIAN KAKI DAN PAHA ATAS</v>
      </c>
      <c r="U553" s="16" t="str">
        <f>IFERROR(__xludf.DUMMYFUNCTION("""COMPUTED_VALUE"""),"OLAHRAGA DAN TENIS MEJA")</f>
        <v>OLAHRAGA DAN TENIS MEJA</v>
      </c>
      <c r="V553" s="11" t="str">
        <f>IFERROR(__xludf.DUMMYFUNCTION("""COMPUTED_VALUE"""),"0895346789631")</f>
        <v>0895346789631</v>
      </c>
      <c r="W553" s="15"/>
    </row>
    <row r="554" ht="22.5" customHeight="1">
      <c r="A554" s="8"/>
      <c r="B554" s="9">
        <f>IFERROR(__xludf.DUMMYFUNCTION("""COMPUTED_VALUE"""),45129.72272929398)</f>
        <v>45129.72273</v>
      </c>
      <c r="C554" s="9"/>
      <c r="D554" s="10">
        <f>IFERROR(__xludf.DUMMYFUNCTION("""COMPUTED_VALUE"""),45131.0)</f>
        <v>45131</v>
      </c>
      <c r="E554" s="10" t="str">
        <f>IFERROR(__xludf.DUMMYFUNCTION("""COMPUTED_VALUE"""),"07Jul")</f>
        <v>07Jul</v>
      </c>
      <c r="F554" s="10" t="str">
        <f>IFERROR(__xludf.DUMMYFUNCTION("""COMPUTED_VALUE"""),"2023")</f>
        <v>2023</v>
      </c>
      <c r="G554" s="16" t="str">
        <f>IFERROR(__xludf.DUMMYFUNCTION("""COMPUTED_VALUE"""),"BONAVENTURA VITO CINTA KARUNIA")</f>
        <v>BONAVENTURA VITO CINTA KARUNIA</v>
      </c>
      <c r="H554" s="17" t="str">
        <f>IFERROR(__xludf.DUMMYFUNCTION("""COMPUTED_VALUE"""),"B0323075177")</f>
        <v>B0323075177</v>
      </c>
      <c r="I554" s="17">
        <f>IFERROR(__xludf.DUMMYFUNCTION("""COMPUTED_VALUE"""),23.0)</f>
        <v>23</v>
      </c>
      <c r="J554" s="17" t="str">
        <f>IFERROR(__xludf.DUMMYFUNCTION("""COMPUTED_VALUE"""),"18-24 tahun")</f>
        <v>18-24 tahun</v>
      </c>
      <c r="K554" s="19">
        <f>IFERROR(__xludf.DUMMYFUNCTION("""COMPUTED_VALUE"""),37695.0)</f>
        <v>37695</v>
      </c>
      <c r="L554" s="19" t="str">
        <f>IFERROR(__xludf.DUMMYFUNCTION("""COMPUTED_VALUE"""),"LAKI-LAKI")</f>
        <v>LAKI-LAKI</v>
      </c>
      <c r="M554" s="16" t="str">
        <f>IFERROR(__xludf.DUMMYFUNCTION("""COMPUTED_VALUE"""),"Jl. PARIT HJ.HUSIN 1, GG.MUSLIMIN 2, NO.37")</f>
        <v>Jl. PARIT HJ.HUSIN 1, GG.MUSLIMIN 2, NO.37</v>
      </c>
      <c r="N554" s="16"/>
      <c r="O554" s="16"/>
      <c r="P554" s="16"/>
      <c r="Q554" s="16"/>
      <c r="R554" s="19" t="str">
        <f>IFERROR(__xludf.DUMMYFUNCTION("""COMPUTED_VALUE"""),"KATOLIK")</f>
        <v>KATOLIK</v>
      </c>
      <c r="S554" s="16" t="str">
        <f>IFERROR(__xludf.DUMMYFUNCTION("""COMPUTED_VALUE"""),"PELAJAR/MAHASISWA")</f>
        <v>PELAJAR/MAHASISWA</v>
      </c>
      <c r="T554" s="36" t="str">
        <f>IFERROR(__xludf.DUMMYFUNCTION("""COMPUTED_VALUE"""),"SYARAF KEJEPIT NYERI DARI PINGGANG SAMPAI KAKI")</f>
        <v>SYARAF KEJEPIT NYERI DARI PINGGANG SAMPAI KAKI</v>
      </c>
      <c r="U554" s="16" t="str">
        <f>IFERROR(__xludf.DUMMYFUNCTION("""COMPUTED_VALUE"""),"WORKOUT")</f>
        <v>WORKOUT</v>
      </c>
      <c r="V554" s="11" t="str">
        <f>IFERROR(__xludf.DUMMYFUNCTION("""COMPUTED_VALUE"""),"0895374915177")</f>
        <v>0895374915177</v>
      </c>
      <c r="W554" s="15"/>
    </row>
    <row r="555" ht="22.5" customHeight="1">
      <c r="A555" s="8"/>
      <c r="B555" s="9"/>
      <c r="C555" s="9"/>
      <c r="D555" s="10">
        <f>IFERROR(__xludf.DUMMYFUNCTION("""COMPUTED_VALUE"""),45131.0)</f>
        <v>45131</v>
      </c>
      <c r="E555" s="10" t="str">
        <f>IFERROR(__xludf.DUMMYFUNCTION("""COMPUTED_VALUE"""),"07Jul")</f>
        <v>07Jul</v>
      </c>
      <c r="F555" s="10" t="str">
        <f>IFERROR(__xludf.DUMMYFUNCTION("""COMPUTED_VALUE"""),"2023")</f>
        <v>2023</v>
      </c>
      <c r="G555" s="16" t="str">
        <f>IFERROR(__xludf.DUMMYFUNCTION("""COMPUTED_VALUE"""),"ANDAR SETIAWAN")</f>
        <v>ANDAR SETIAWAN</v>
      </c>
      <c r="H555" s="17" t="str">
        <f>IFERROR(__xludf.DUMMYFUNCTION("""COMPUTED_VALUE"""),"A8823075452")</f>
        <v>A8823075452</v>
      </c>
      <c r="I555" s="17">
        <f>IFERROR(__xludf.DUMMYFUNCTION("""COMPUTED_VALUE"""),38.0)</f>
        <v>38</v>
      </c>
      <c r="J555" s="17" t="str">
        <f>IFERROR(__xludf.DUMMYFUNCTION("""COMPUTED_VALUE"""),"35-44 tahun")</f>
        <v>35-44 tahun</v>
      </c>
      <c r="K555" s="19">
        <f>IFERROR(__xludf.DUMMYFUNCTION("""COMPUTED_VALUE"""),32200.0)</f>
        <v>32200</v>
      </c>
      <c r="L555" s="19" t="str">
        <f>IFERROR(__xludf.DUMMYFUNCTION("""COMPUTED_VALUE"""),"LAKI-LAKI")</f>
        <v>LAKI-LAKI</v>
      </c>
      <c r="M555" s="16" t="str">
        <f>IFERROR(__xludf.DUMMYFUNCTION("""COMPUTED_VALUE"""),"JL. H. R. A. RACHAMAN GG. SELAMAT 2")</f>
        <v>JL. H. R. A. RACHAMAN GG. SELAMAT 2</v>
      </c>
      <c r="N555" s="16"/>
      <c r="O555" s="16"/>
      <c r="P555" s="16"/>
      <c r="Q555" s="16"/>
      <c r="R555" s="19" t="str">
        <f>IFERROR(__xludf.DUMMYFUNCTION("""COMPUTED_VALUE"""),"ISLAM")</f>
        <v>ISLAM</v>
      </c>
      <c r="S555" s="16" t="str">
        <f>IFERROR(__xludf.DUMMYFUNCTION("""COMPUTED_VALUE"""),"SWASTA")</f>
        <v>SWASTA</v>
      </c>
      <c r="T555" s="16"/>
      <c r="U555" s="16" t="str">
        <f>IFERROR(__xludf.DUMMYFUNCTION("""COMPUTED_VALUE"""),"BASKET")</f>
        <v>BASKET</v>
      </c>
      <c r="V555" s="11" t="str">
        <f>IFERROR(__xludf.DUMMYFUNCTION("""COMPUTED_VALUE"""),"089694375452")</f>
        <v>089694375452</v>
      </c>
      <c r="W555" s="15"/>
    </row>
    <row r="556" ht="22.5" customHeight="1">
      <c r="A556" s="8"/>
      <c r="B556" s="9">
        <f>IFERROR(__xludf.DUMMYFUNCTION("""COMPUTED_VALUE"""),45130.78836417824)</f>
        <v>45130.78836</v>
      </c>
      <c r="C556" s="9"/>
      <c r="D556" s="10">
        <f>IFERROR(__xludf.DUMMYFUNCTION("""COMPUTED_VALUE"""),45131.0)</f>
        <v>45131</v>
      </c>
      <c r="E556" s="10" t="str">
        <f>IFERROR(__xludf.DUMMYFUNCTION("""COMPUTED_VALUE"""),"07Jul")</f>
        <v>07Jul</v>
      </c>
      <c r="F556" s="10" t="str">
        <f>IFERROR(__xludf.DUMMYFUNCTION("""COMPUTED_VALUE"""),"2023")</f>
        <v>2023</v>
      </c>
      <c r="G556" s="16" t="str">
        <f>IFERROR(__xludf.DUMMYFUNCTION("""COMPUTED_VALUE"""),"PUTRA MANCHERIGAU CHENDIKIA FERNANDES")</f>
        <v>PUTRA MANCHERIGAU CHENDIKIA FERNANDES</v>
      </c>
      <c r="H556" s="17" t="str">
        <f>IFERROR(__xludf.DUMMYFUNCTION("""COMPUTED_VALUE"""),"P0623074406")</f>
        <v>P0623074406</v>
      </c>
      <c r="I556" s="17">
        <f>IFERROR(__xludf.DUMMYFUNCTION("""COMPUTED_VALUE"""),20.0)</f>
        <v>20</v>
      </c>
      <c r="J556" s="17" t="str">
        <f>IFERROR(__xludf.DUMMYFUNCTION("""COMPUTED_VALUE"""),"18-24 tahun")</f>
        <v>18-24 tahun</v>
      </c>
      <c r="K556" s="19">
        <f>IFERROR(__xludf.DUMMYFUNCTION("""COMPUTED_VALUE"""),38804.0)</f>
        <v>38804</v>
      </c>
      <c r="L556" s="19" t="str">
        <f>IFERROR(__xludf.DUMMYFUNCTION("""COMPUTED_VALUE"""),"LAKI-LAKI")</f>
        <v>LAKI-LAKI</v>
      </c>
      <c r="M556" s="16" t="str">
        <f>IFERROR(__xludf.DUMMYFUNCTION("""COMPUTED_VALUE"""),"JL. AMPERA KOMPLEK ARYA RESIDENCE NO.9")</f>
        <v>JL. AMPERA KOMPLEK ARYA RESIDENCE NO.9</v>
      </c>
      <c r="N556" s="16"/>
      <c r="O556" s="16"/>
      <c r="P556" s="16"/>
      <c r="Q556" s="16"/>
      <c r="R556" s="19" t="str">
        <f>IFERROR(__xludf.DUMMYFUNCTION("""COMPUTED_VALUE"""),"KATOLIK")</f>
        <v>KATOLIK</v>
      </c>
      <c r="S556" s="16" t="str">
        <f>IFERROR(__xludf.DUMMYFUNCTION("""COMPUTED_VALUE"""),"PELAJAR/MAHASISWA")</f>
        <v>PELAJAR/MAHASISWA</v>
      </c>
      <c r="T556" s="16" t="str">
        <f>IFERROR(__xludf.DUMMYFUNCTION("""COMPUTED_VALUE"""),"ANKLE DAN")</f>
        <v>ANKLE DAN</v>
      </c>
      <c r="U556" s="16" t="str">
        <f>IFERROR(__xludf.DUMMYFUNCTION("""COMPUTED_VALUE"""),"BASKET")</f>
        <v>BASKET</v>
      </c>
      <c r="V556" s="11" t="str">
        <f>IFERROR(__xludf.DUMMYFUNCTION("""COMPUTED_VALUE"""),"082148664406")</f>
        <v>082148664406</v>
      </c>
      <c r="W556" s="15"/>
    </row>
    <row r="557" ht="22.5" customHeight="1">
      <c r="A557" s="8"/>
      <c r="B557" s="9">
        <f>IFERROR(__xludf.DUMMYFUNCTION("""COMPUTED_VALUE"""),45131.592208159724)</f>
        <v>45131.59221</v>
      </c>
      <c r="C557" s="9"/>
      <c r="D557" s="10">
        <f>IFERROR(__xludf.DUMMYFUNCTION("""COMPUTED_VALUE"""),45132.0)</f>
        <v>45132</v>
      </c>
      <c r="E557" s="10" t="str">
        <f>IFERROR(__xludf.DUMMYFUNCTION("""COMPUTED_VALUE"""),"07Jul")</f>
        <v>07Jul</v>
      </c>
      <c r="F557" s="10" t="str">
        <f>IFERROR(__xludf.DUMMYFUNCTION("""COMPUTED_VALUE"""),"2023")</f>
        <v>2023</v>
      </c>
      <c r="G557" s="16" t="str">
        <f>IFERROR(__xludf.DUMMYFUNCTION("""COMPUTED_VALUE"""),"AULIA RAHMAH PUTRI ADISHA")</f>
        <v>AULIA RAHMAH PUTRI ADISHA</v>
      </c>
      <c r="H557" s="17" t="str">
        <f>IFERROR(__xludf.DUMMYFUNCTION("""COMPUTED_VALUE"""),"A1123072881")</f>
        <v>A1123072881</v>
      </c>
      <c r="I557" s="17">
        <f>IFERROR(__xludf.DUMMYFUNCTION("""COMPUTED_VALUE"""),14.0)</f>
        <v>14</v>
      </c>
      <c r="J557" s="17" t="str">
        <f>IFERROR(__xludf.DUMMYFUNCTION("""COMPUTED_VALUE"""),"&lt; 18 tahun")</f>
        <v>&lt; 18 tahun</v>
      </c>
      <c r="K557" s="19">
        <f>IFERROR(__xludf.DUMMYFUNCTION("""COMPUTED_VALUE"""),40747.0)</f>
        <v>40747</v>
      </c>
      <c r="L557" s="19" t="str">
        <f>IFERROR(__xludf.DUMMYFUNCTION("""COMPUTED_VALUE"""),"PEREMPUAN")</f>
        <v>PEREMPUAN</v>
      </c>
      <c r="M557" s="16" t="str">
        <f>IFERROR(__xludf.DUMMYFUNCTION("""COMPUTED_VALUE"""),"JL. DANAU SENTARUM KOMPLEK DANAU ASRI B6")</f>
        <v>JL. DANAU SENTARUM KOMPLEK DANAU ASRI B6</v>
      </c>
      <c r="N557" s="16"/>
      <c r="O557" s="16"/>
      <c r="P557" s="16"/>
      <c r="Q557" s="16"/>
      <c r="R557" s="19" t="str">
        <f>IFERROR(__xludf.DUMMYFUNCTION("""COMPUTED_VALUE"""),"ISLAM")</f>
        <v>ISLAM</v>
      </c>
      <c r="S557" s="16" t="str">
        <f>IFERROR(__xludf.DUMMYFUNCTION("""COMPUTED_VALUE"""),"PELAJAR/MAHASISWA")</f>
        <v>PELAJAR/MAHASISWA</v>
      </c>
      <c r="T557" s="16" t="str">
        <f>IFERROR(__xludf.DUMMYFUNCTION("""COMPUTED_VALUE"""),"NYERI")</f>
        <v>NYERI</v>
      </c>
      <c r="U557" s="16" t="str">
        <f>IFERROR(__xludf.DUMMYFUNCTION("""COMPUTED_VALUE"""),"RENANG")</f>
        <v>RENANG</v>
      </c>
      <c r="V557" s="11" t="str">
        <f>IFERROR(__xludf.DUMMYFUNCTION("""COMPUTED_VALUE"""),"012826367736372881")</f>
        <v>012826367736372881</v>
      </c>
      <c r="W557" s="15"/>
    </row>
    <row r="558" ht="22.5" customHeight="1">
      <c r="A558" s="8"/>
      <c r="B558" s="9">
        <f>IFERROR(__xludf.DUMMYFUNCTION("""COMPUTED_VALUE"""),45131.66254284722)</f>
        <v>45131.66254</v>
      </c>
      <c r="C558" s="9"/>
      <c r="D558" s="10">
        <f>IFERROR(__xludf.DUMMYFUNCTION("""COMPUTED_VALUE"""),45132.0)</f>
        <v>45132</v>
      </c>
      <c r="E558" s="10" t="str">
        <f>IFERROR(__xludf.DUMMYFUNCTION("""COMPUTED_VALUE"""),"07Jul")</f>
        <v>07Jul</v>
      </c>
      <c r="F558" s="10" t="str">
        <f>IFERROR(__xludf.DUMMYFUNCTION("""COMPUTED_VALUE"""),"2023")</f>
        <v>2023</v>
      </c>
      <c r="G558" s="16" t="str">
        <f>IFERROR(__xludf.DUMMYFUNCTION("""COMPUTED_VALUE"""),"DINA SITEPU")</f>
        <v>DINA SITEPU</v>
      </c>
      <c r="H558" s="17" t="str">
        <f>IFERROR(__xludf.DUMMYFUNCTION("""COMPUTED_VALUE"""),"D6723078440")</f>
        <v>D6723078440</v>
      </c>
      <c r="I558" s="17">
        <f>IFERROR(__xludf.DUMMYFUNCTION("""COMPUTED_VALUE"""),59.0)</f>
        <v>59</v>
      </c>
      <c r="J558" s="17" t="str">
        <f>IFERROR(__xludf.DUMMYFUNCTION("""COMPUTED_VALUE"""),"&gt; 44 tahun")</f>
        <v>&gt; 44 tahun</v>
      </c>
      <c r="K558" s="19">
        <f>IFERROR(__xludf.DUMMYFUNCTION("""COMPUTED_VALUE"""),24634.0)</f>
        <v>24634</v>
      </c>
      <c r="L558" s="19" t="str">
        <f>IFERROR(__xludf.DUMMYFUNCTION("""COMPUTED_VALUE"""),"PEREMPUAN")</f>
        <v>PEREMPUAN</v>
      </c>
      <c r="M558" s="16" t="str">
        <f>IFERROR(__xludf.DUMMYFUNCTION("""COMPUTED_VALUE"""),"JL KESEHATAN GG SUMBER AGUNG 1 PONTIANAK")</f>
        <v>JL KESEHATAN GG SUMBER AGUNG 1 PONTIANAK</v>
      </c>
      <c r="N558" s="16"/>
      <c r="O558" s="16"/>
      <c r="P558" s="16"/>
      <c r="Q558" s="16"/>
      <c r="R558" s="19" t="str">
        <f>IFERROR(__xludf.DUMMYFUNCTION("""COMPUTED_VALUE"""),"KATOLIK")</f>
        <v>KATOLIK</v>
      </c>
      <c r="S558" s="16" t="str">
        <f>IFERROR(__xludf.DUMMYFUNCTION("""COMPUTED_VALUE"""),"RUMAH TANGGA")</f>
        <v>RUMAH TANGGA</v>
      </c>
      <c r="T558" s="36" t="str">
        <f>IFERROR(__xludf.DUMMYFUNCTION("""COMPUTED_VALUE"""),"SAKIT KAKI DAN PINGGANG")</f>
        <v>SAKIT KAKI DAN PINGGANG</v>
      </c>
      <c r="U558" s="16" t="str">
        <f>IFERROR(__xludf.DUMMYFUNCTION("""COMPUTED_VALUE"""),"PEKERJAAN RUMAH")</f>
        <v>PEKERJAAN RUMAH</v>
      </c>
      <c r="V558" s="11" t="str">
        <f>IFERROR(__xludf.DUMMYFUNCTION("""COMPUTED_VALUE"""),"082154408440")</f>
        <v>082154408440</v>
      </c>
      <c r="W558" s="15"/>
    </row>
    <row r="559" ht="22.5" customHeight="1">
      <c r="A559" s="8"/>
      <c r="B559" s="9">
        <f>IFERROR(__xludf.DUMMYFUNCTION("""COMPUTED_VALUE"""),45131.84909329861)</f>
        <v>45131.84909</v>
      </c>
      <c r="C559" s="9"/>
      <c r="D559" s="10">
        <f>IFERROR(__xludf.DUMMYFUNCTION("""COMPUTED_VALUE"""),45132.0)</f>
        <v>45132</v>
      </c>
      <c r="E559" s="10" t="str">
        <f>IFERROR(__xludf.DUMMYFUNCTION("""COMPUTED_VALUE"""),"07Jul")</f>
        <v>07Jul</v>
      </c>
      <c r="F559" s="10" t="str">
        <f>IFERROR(__xludf.DUMMYFUNCTION("""COMPUTED_VALUE"""),"2023")</f>
        <v>2023</v>
      </c>
      <c r="G559" s="16" t="str">
        <f>IFERROR(__xludf.DUMMYFUNCTION("""COMPUTED_VALUE"""),"DORA CHAROLINA")</f>
        <v>DORA CHAROLINA</v>
      </c>
      <c r="H559" s="17" t="str">
        <f>IFERROR(__xludf.DUMMYFUNCTION("""COMPUTED_VALUE"""),"D8223070123")</f>
        <v>D8223070123</v>
      </c>
      <c r="I559" s="17">
        <f>IFERROR(__xludf.DUMMYFUNCTION("""COMPUTED_VALUE"""),44.0)</f>
        <v>44</v>
      </c>
      <c r="J559" s="17" t="str">
        <f>IFERROR(__xludf.DUMMYFUNCTION("""COMPUTED_VALUE"""),"35-44 tahun")</f>
        <v>35-44 tahun</v>
      </c>
      <c r="K559" s="19">
        <f>IFERROR(__xludf.DUMMYFUNCTION("""COMPUTED_VALUE"""),30030.0)</f>
        <v>30030</v>
      </c>
      <c r="L559" s="19" t="str">
        <f>IFERROR(__xludf.DUMMYFUNCTION("""COMPUTED_VALUE"""),"PEREMPUAN")</f>
        <v>PEREMPUAN</v>
      </c>
      <c r="M559" s="16" t="str">
        <f>IFERROR(__xludf.DUMMYFUNCTION("""COMPUTED_VALUE"""),"JL. DANAU SENTARUM, GG. BUDI MULYA NO.25, KEL. SUI BANGKONG, KEC. PONTIANAK KOTA")</f>
        <v>JL. DANAU SENTARUM, GG. BUDI MULYA NO.25, KEL. SUI BANGKONG, KEC. PONTIANAK KOTA</v>
      </c>
      <c r="N559" s="16"/>
      <c r="O559" s="16"/>
      <c r="P559" s="16"/>
      <c r="Q559" s="16"/>
      <c r="R559" s="19" t="str">
        <f>IFERROR(__xludf.DUMMYFUNCTION("""COMPUTED_VALUE"""),"ISLAM")</f>
        <v>ISLAM</v>
      </c>
      <c r="S559" s="16" t="str">
        <f>IFERROR(__xludf.DUMMYFUNCTION("""COMPUTED_VALUE"""),"ASN")</f>
        <v>ASN</v>
      </c>
      <c r="T559" s="16" t="str">
        <f>IFERROR(__xludf.DUMMYFUNCTION("""COMPUTED_VALUE"""),"SAKIT DI DAERAH DAN PAHA")</f>
        <v>SAKIT DI DAERAH DAN PAHA</v>
      </c>
      <c r="U559" s="16" t="str">
        <f>IFERROR(__xludf.DUMMYFUNCTION("""COMPUTED_VALUE"""),"OLAHRAGA")</f>
        <v>OLAHRAGA</v>
      </c>
      <c r="V559" s="11" t="str">
        <f>IFERROR(__xludf.DUMMYFUNCTION("""COMPUTED_VALUE"""),"081350000123")</f>
        <v>081350000123</v>
      </c>
      <c r="W559" s="15"/>
    </row>
    <row r="560" ht="22.5" customHeight="1">
      <c r="A560" s="8"/>
      <c r="B560" s="9">
        <f>IFERROR(__xludf.DUMMYFUNCTION("""COMPUTED_VALUE"""),45132.30435228009)</f>
        <v>45132.30435</v>
      </c>
      <c r="C560" s="9"/>
      <c r="D560" s="10">
        <f>IFERROR(__xludf.DUMMYFUNCTION("""COMPUTED_VALUE"""),45133.0)</f>
        <v>45133</v>
      </c>
      <c r="E560" s="10" t="str">
        <f>IFERROR(__xludf.DUMMYFUNCTION("""COMPUTED_VALUE"""),"07Jul")</f>
        <v>07Jul</v>
      </c>
      <c r="F560" s="10" t="str">
        <f>IFERROR(__xludf.DUMMYFUNCTION("""COMPUTED_VALUE"""),"2023")</f>
        <v>2023</v>
      </c>
      <c r="G560" s="16" t="str">
        <f>IFERROR(__xludf.DUMMYFUNCTION("""COMPUTED_VALUE"""),"RITA SUSANTI VIDYA")</f>
        <v>RITA SUSANTI VIDYA</v>
      </c>
      <c r="H560" s="17" t="str">
        <f>IFERROR(__xludf.DUMMYFUNCTION("""COMPUTED_VALUE"""),"R7823075558")</f>
        <v>R7823075558</v>
      </c>
      <c r="I560" s="17">
        <f>IFERROR(__xludf.DUMMYFUNCTION("""COMPUTED_VALUE"""),47.0)</f>
        <v>47</v>
      </c>
      <c r="J560" s="17" t="str">
        <f>IFERROR(__xludf.DUMMYFUNCTION("""COMPUTED_VALUE"""),"&gt; 44 tahun")</f>
        <v>&gt; 44 tahun</v>
      </c>
      <c r="K560" s="19">
        <f>IFERROR(__xludf.DUMMYFUNCTION("""COMPUTED_VALUE"""),28836.0)</f>
        <v>28836</v>
      </c>
      <c r="L560" s="19" t="str">
        <f>IFERROR(__xludf.DUMMYFUNCTION("""COMPUTED_VALUE"""),"PEREMPUAN")</f>
        <v>PEREMPUAN</v>
      </c>
      <c r="M560" s="16" t="str">
        <f>IFERROR(__xludf.DUMMYFUNCTION("""COMPUTED_VALUE"""),"JL. APEL GG PISANG BERANGAN BO 46")</f>
        <v>JL. APEL GG PISANG BERANGAN BO 46</v>
      </c>
      <c r="N560" s="16"/>
      <c r="O560" s="16"/>
      <c r="P560" s="16"/>
      <c r="Q560" s="16"/>
      <c r="R560" s="19" t="str">
        <f>IFERROR(__xludf.DUMMYFUNCTION("""COMPUTED_VALUE"""),"ISLAM")</f>
        <v>ISLAM</v>
      </c>
      <c r="S560" s="16" t="str">
        <f>IFERROR(__xludf.DUMMYFUNCTION("""COMPUTED_VALUE"""),"WIRASWASTA")</f>
        <v>WIRASWASTA</v>
      </c>
      <c r="T560" s="16" t="str">
        <f>IFERROR(__xludf.DUMMYFUNCTION("""COMPUTED_VALUE"""),"SAKIT PINGGANG")</f>
        <v>SAKIT PINGGANG</v>
      </c>
      <c r="U560" s="16" t="str">
        <f>IFERROR(__xludf.DUMMYFUNCTION("""COMPUTED_VALUE"""),"BEKERJA")</f>
        <v>BEKERJA</v>
      </c>
      <c r="V560" s="11" t="str">
        <f>IFERROR(__xludf.DUMMYFUNCTION("""COMPUTED_VALUE"""),"081348105558")</f>
        <v>081348105558</v>
      </c>
      <c r="W560" s="15"/>
    </row>
    <row r="561" ht="22.5" customHeight="1">
      <c r="A561" s="8"/>
      <c r="B561" s="9">
        <f>IFERROR(__xludf.DUMMYFUNCTION("""COMPUTED_VALUE"""),45132.57767248843)</f>
        <v>45132.57767</v>
      </c>
      <c r="C561" s="9"/>
      <c r="D561" s="10">
        <f>IFERROR(__xludf.DUMMYFUNCTION("""COMPUTED_VALUE"""),45133.0)</f>
        <v>45133</v>
      </c>
      <c r="E561" s="10" t="str">
        <f>IFERROR(__xludf.DUMMYFUNCTION("""COMPUTED_VALUE"""),"07Jul")</f>
        <v>07Jul</v>
      </c>
      <c r="F561" s="10" t="str">
        <f>IFERROR(__xludf.DUMMYFUNCTION("""COMPUTED_VALUE"""),"2023")</f>
        <v>2023</v>
      </c>
      <c r="G561" s="16" t="str">
        <f>IFERROR(__xludf.DUMMYFUNCTION("""COMPUTED_VALUE"""),"EMYLIA")</f>
        <v>EMYLIA</v>
      </c>
      <c r="H561" s="17" t="str">
        <f>IFERROR(__xludf.DUMMYFUNCTION("""COMPUTED_VALUE"""),"E9523075183")</f>
        <v>E9523075183</v>
      </c>
      <c r="I561" s="17">
        <f>IFERROR(__xludf.DUMMYFUNCTION("""COMPUTED_VALUE"""),30.0)</f>
        <v>30</v>
      </c>
      <c r="J561" s="17" t="str">
        <f>IFERROR(__xludf.DUMMYFUNCTION("""COMPUTED_VALUE"""),"25-34 tahun")</f>
        <v>25-34 tahun</v>
      </c>
      <c r="K561" s="19">
        <f>IFERROR(__xludf.DUMMYFUNCTION("""COMPUTED_VALUE"""),34924.0)</f>
        <v>34924</v>
      </c>
      <c r="L561" s="19" t="str">
        <f>IFERROR(__xludf.DUMMYFUNCTION("""COMPUTED_VALUE"""),"PEREMPUAN")</f>
        <v>PEREMPUAN</v>
      </c>
      <c r="M561" s="16" t="str">
        <f>IFERROR(__xludf.DUMMYFUNCTION("""COMPUTED_VALUE"""),"JL. SERDAM KOMP. VILLA GADING RAYA 1")</f>
        <v>JL. SERDAM KOMP. VILLA GADING RAYA 1</v>
      </c>
      <c r="N561" s="16"/>
      <c r="O561" s="16"/>
      <c r="P561" s="16"/>
      <c r="Q561" s="16"/>
      <c r="R561" s="19" t="str">
        <f>IFERROR(__xludf.DUMMYFUNCTION("""COMPUTED_VALUE"""),"PROTESTAN")</f>
        <v>PROTESTAN</v>
      </c>
      <c r="S561" s="16" t="str">
        <f>IFERROR(__xludf.DUMMYFUNCTION("""COMPUTED_VALUE"""),"WIRASWASTA")</f>
        <v>WIRASWASTA</v>
      </c>
      <c r="T561" s="16" t="str">
        <f>IFERROR(__xludf.DUMMYFUNCTION("""COMPUTED_VALUE"""),"PERGELANGAN SAKIT")</f>
        <v>PERGELANGAN SAKIT</v>
      </c>
      <c r="U561" s="16" t="str">
        <f>IFERROR(__xludf.DUMMYFUNCTION("""COMPUTED_VALUE"""),"TENIS MEJA")</f>
        <v>TENIS MEJA</v>
      </c>
      <c r="V561" s="11" t="str">
        <f>IFERROR(__xludf.DUMMYFUNCTION("""COMPUTED_VALUE"""),"0895384395183")</f>
        <v>0895384395183</v>
      </c>
      <c r="W561" s="15"/>
    </row>
    <row r="562" ht="22.5" customHeight="1">
      <c r="A562" s="8"/>
      <c r="B562" s="9">
        <f>IFERROR(__xludf.DUMMYFUNCTION("""COMPUTED_VALUE"""),45132.61682386574)</f>
        <v>45132.61682</v>
      </c>
      <c r="C562" s="9"/>
      <c r="D562" s="10">
        <f>IFERROR(__xludf.DUMMYFUNCTION("""COMPUTED_VALUE"""),45133.0)</f>
        <v>45133</v>
      </c>
      <c r="E562" s="10" t="str">
        <f>IFERROR(__xludf.DUMMYFUNCTION("""COMPUTED_VALUE"""),"07Jul")</f>
        <v>07Jul</v>
      </c>
      <c r="F562" s="10" t="str">
        <f>IFERROR(__xludf.DUMMYFUNCTION("""COMPUTED_VALUE"""),"2023")</f>
        <v>2023</v>
      </c>
      <c r="G562" s="16" t="str">
        <f>IFERROR(__xludf.DUMMYFUNCTION("""COMPUTED_VALUE"""),"AGUNG WIYANTO")</f>
        <v>AGUNG WIYANTO</v>
      </c>
      <c r="H562" s="17" t="str">
        <f>IFERROR(__xludf.DUMMYFUNCTION("""COMPUTED_VALUE"""),"A9823072922")</f>
        <v>A9823072922</v>
      </c>
      <c r="I562" s="17">
        <f>IFERROR(__xludf.DUMMYFUNCTION("""COMPUTED_VALUE"""),27.0)</f>
        <v>27</v>
      </c>
      <c r="J562" s="17" t="str">
        <f>IFERROR(__xludf.DUMMYFUNCTION("""COMPUTED_VALUE"""),"25-34 tahun")</f>
        <v>25-34 tahun</v>
      </c>
      <c r="K562" s="19">
        <f>IFERROR(__xludf.DUMMYFUNCTION("""COMPUTED_VALUE"""),36053.0)</f>
        <v>36053</v>
      </c>
      <c r="L562" s="19" t="str">
        <f>IFERROR(__xludf.DUMMYFUNCTION("""COMPUTED_VALUE"""),"LAKI-LAKI")</f>
        <v>LAKI-LAKI</v>
      </c>
      <c r="M562" s="16" t="str">
        <f>IFERROR(__xludf.DUMMYFUNCTION("""COMPUTED_VALUE"""),"JL KESEHATAN GG SUMBER AGUNG 1 PONTIANAK")</f>
        <v>JL KESEHATAN GG SUMBER AGUNG 1 PONTIANAK</v>
      </c>
      <c r="N562" s="16"/>
      <c r="O562" s="16"/>
      <c r="P562" s="16"/>
      <c r="Q562" s="16"/>
      <c r="R562" s="19" t="str">
        <f>IFERROR(__xludf.DUMMYFUNCTION("""COMPUTED_VALUE"""),"ISLAM")</f>
        <v>ISLAM</v>
      </c>
      <c r="S562" s="16" t="str">
        <f>IFERROR(__xludf.DUMMYFUNCTION("""COMPUTED_VALUE"""),"ASN")</f>
        <v>ASN</v>
      </c>
      <c r="T562" s="16" t="str">
        <f>IFERROR(__xludf.DUMMYFUNCTION("""COMPUTED_VALUE"""),"SAKIT")</f>
        <v>SAKIT</v>
      </c>
      <c r="U562" s="16" t="str">
        <f>IFERROR(__xludf.DUMMYFUNCTION("""COMPUTED_VALUE"""),"JOGING DAN MAIN BOLA")</f>
        <v>JOGING DAN MAIN BOLA</v>
      </c>
      <c r="V562" s="11" t="str">
        <f>IFERROR(__xludf.DUMMYFUNCTION("""COMPUTED_VALUE"""),"08973282922")</f>
        <v>08973282922</v>
      </c>
      <c r="W562" s="15"/>
    </row>
    <row r="563" ht="22.5" customHeight="1">
      <c r="A563" s="8"/>
      <c r="B563" s="9">
        <f>IFERROR(__xludf.DUMMYFUNCTION("""COMPUTED_VALUE"""),45132.793027465275)</f>
        <v>45132.79303</v>
      </c>
      <c r="C563" s="9"/>
      <c r="D563" s="10">
        <f>IFERROR(__xludf.DUMMYFUNCTION("""COMPUTED_VALUE"""),45136.0)</f>
        <v>45136</v>
      </c>
      <c r="E563" s="10" t="str">
        <f>IFERROR(__xludf.DUMMYFUNCTION("""COMPUTED_VALUE"""),"07Jul")</f>
        <v>07Jul</v>
      </c>
      <c r="F563" s="10" t="str">
        <f>IFERROR(__xludf.DUMMYFUNCTION("""COMPUTED_VALUE"""),"2023")</f>
        <v>2023</v>
      </c>
      <c r="G563" s="16" t="str">
        <f>IFERROR(__xludf.DUMMYFUNCTION("""COMPUTED_VALUE"""),"MURZANI NUR")</f>
        <v>MURZANI NUR</v>
      </c>
      <c r="H563" s="17" t="str">
        <f>IFERROR(__xludf.DUMMYFUNCTION("""COMPUTED_VALUE"""),"M6223071870")</f>
        <v>M6223071870</v>
      </c>
      <c r="I563" s="17">
        <f>IFERROR(__xludf.DUMMYFUNCTION("""COMPUTED_VALUE"""),64.0)</f>
        <v>64</v>
      </c>
      <c r="J563" s="17" t="str">
        <f>IFERROR(__xludf.DUMMYFUNCTION("""COMPUTED_VALUE"""),"&gt; 44 tahun")</f>
        <v>&gt; 44 tahun</v>
      </c>
      <c r="K563" s="19">
        <f>IFERROR(__xludf.DUMMYFUNCTION("""COMPUTED_VALUE"""),22819.0)</f>
        <v>22819</v>
      </c>
      <c r="L563" s="19" t="str">
        <f>IFERROR(__xludf.DUMMYFUNCTION("""COMPUTED_VALUE"""),"LAKI-LAKI")</f>
        <v>LAKI-LAKI</v>
      </c>
      <c r="M563" s="16" t="str">
        <f>IFERROR(__xludf.DUMMYFUNCTION("""COMPUTED_VALUE"""),"Jl. Komyos Sudarso Gg Kenari 1 No 26 Pontianak")</f>
        <v>Jl. Komyos Sudarso Gg Kenari 1 No 26 Pontianak</v>
      </c>
      <c r="N563" s="16"/>
      <c r="O563" s="16"/>
      <c r="P563" s="16"/>
      <c r="Q563" s="16"/>
      <c r="R563" s="19" t="str">
        <f>IFERROR(__xludf.DUMMYFUNCTION("""COMPUTED_VALUE"""),"ISLAM")</f>
        <v>ISLAM</v>
      </c>
      <c r="S563" s="16" t="str">
        <f>IFERROR(__xludf.DUMMYFUNCTION("""COMPUTED_VALUE"""),"PENSIUN")</f>
        <v>PENSIUN</v>
      </c>
      <c r="T563" s="36" t="str">
        <f>IFERROR(__xludf.DUMMYFUNCTION("""COMPUTED_VALUE"""),"PASCA STROKE")</f>
        <v>PASCA STROKE</v>
      </c>
      <c r="U563" s="16" t="str">
        <f>IFERROR(__xludf.DUMMYFUNCTION("""COMPUTED_VALUE"""),"TIDAK ADA")</f>
        <v>TIDAK ADA</v>
      </c>
      <c r="V563" s="11" t="str">
        <f>IFERROR(__xludf.DUMMYFUNCTION("""COMPUTED_VALUE"""),"085750811870")</f>
        <v>085750811870</v>
      </c>
      <c r="W563" s="15"/>
    </row>
    <row r="564" ht="22.5" customHeight="1">
      <c r="A564" s="8"/>
      <c r="B564" s="9">
        <f>IFERROR(__xludf.DUMMYFUNCTION("""COMPUTED_VALUE"""),45129.576094421296)</f>
        <v>45129.57609</v>
      </c>
      <c r="C564" s="9"/>
      <c r="D564" s="10">
        <f>IFERROR(__xludf.DUMMYFUNCTION("""COMPUTED_VALUE"""),45137.0)</f>
        <v>45137</v>
      </c>
      <c r="E564" s="10" t="str">
        <f>IFERROR(__xludf.DUMMYFUNCTION("""COMPUTED_VALUE"""),"07Jul")</f>
        <v>07Jul</v>
      </c>
      <c r="F564" s="10" t="str">
        <f>IFERROR(__xludf.DUMMYFUNCTION("""COMPUTED_VALUE"""),"2023")</f>
        <v>2023</v>
      </c>
      <c r="G564" s="16" t="str">
        <f>IFERROR(__xludf.DUMMYFUNCTION("""COMPUTED_VALUE"""),"YUDI ANGGA PRATAMA")</f>
        <v>YUDI ANGGA PRATAMA</v>
      </c>
      <c r="H564" s="17" t="str">
        <f>IFERROR(__xludf.DUMMYFUNCTION("""COMPUTED_VALUE"""),"Y9723077258")</f>
        <v>Y9723077258</v>
      </c>
      <c r="I564" s="17">
        <f>IFERROR(__xludf.DUMMYFUNCTION("""COMPUTED_VALUE"""),29.0)</f>
        <v>29</v>
      </c>
      <c r="J564" s="17" t="str">
        <f>IFERROR(__xludf.DUMMYFUNCTION("""COMPUTED_VALUE"""),"25-34 tahun")</f>
        <v>25-34 tahun</v>
      </c>
      <c r="K564" s="19">
        <f>IFERROR(__xludf.DUMMYFUNCTION("""COMPUTED_VALUE"""),35484.0)</f>
        <v>35484</v>
      </c>
      <c r="L564" s="19" t="str">
        <f>IFERROR(__xludf.DUMMYFUNCTION("""COMPUTED_VALUE"""),"LAKI-LAKI")</f>
        <v>LAKI-LAKI</v>
      </c>
      <c r="M564" s="16" t="str">
        <f>IFERROR(__xludf.DUMMYFUNCTION("""COMPUTED_VALUE"""),"DUSUN SIDODADI RW 3 KEC. BINJAI HULU KAB. SINTANG")</f>
        <v>DUSUN SIDODADI RW 3 KEC. BINJAI HULU KAB. SINTANG</v>
      </c>
      <c r="N564" s="16"/>
      <c r="O564" s="16"/>
      <c r="P564" s="16"/>
      <c r="Q564" s="16"/>
      <c r="R564" s="19" t="str">
        <f>IFERROR(__xludf.DUMMYFUNCTION("""COMPUTED_VALUE"""),"ISLAM")</f>
        <v>ISLAM</v>
      </c>
      <c r="S564" s="16" t="str">
        <f>IFERROR(__xludf.DUMMYFUNCTION("""COMPUTED_VALUE"""),"SWASTA")</f>
        <v>SWASTA</v>
      </c>
      <c r="T564" s="16" t="str">
        <f>IFERROR(__xludf.DUMMYFUNCTION("""COMPUTED_VALUE"""),"NYERI DI , DI TEKUK SAKIT")</f>
        <v>NYERI DI , DI TEKUK SAKIT</v>
      </c>
      <c r="U564" s="16" t="str">
        <f>IFERROR(__xludf.DUMMYFUNCTION("""COMPUTED_VALUE"""),"SEPAK BOLA")</f>
        <v>SEPAK BOLA</v>
      </c>
      <c r="V564" s="11" t="str">
        <f>IFERROR(__xludf.DUMMYFUNCTION("""COMPUTED_VALUE"""),"089630457258")</f>
        <v>089630457258</v>
      </c>
      <c r="W564" s="15"/>
    </row>
    <row r="565" ht="22.5" customHeight="1">
      <c r="A565" s="8"/>
      <c r="B565" s="9">
        <f>IFERROR(__xludf.DUMMYFUNCTION("""COMPUTED_VALUE"""),45132.87706295139)</f>
        <v>45132.87706</v>
      </c>
      <c r="C565" s="9"/>
      <c r="D565" s="10">
        <f>IFERROR(__xludf.DUMMYFUNCTION("""COMPUTED_VALUE"""),45138.0)</f>
        <v>45138</v>
      </c>
      <c r="E565" s="10" t="str">
        <f>IFERROR(__xludf.DUMMYFUNCTION("""COMPUTED_VALUE"""),"07Jul")</f>
        <v>07Jul</v>
      </c>
      <c r="F565" s="10" t="str">
        <f>IFERROR(__xludf.DUMMYFUNCTION("""COMPUTED_VALUE"""),"2023")</f>
        <v>2023</v>
      </c>
      <c r="G565" s="16" t="str">
        <f>IFERROR(__xludf.DUMMYFUNCTION("""COMPUTED_VALUE"""),"LILI SUHANA")</f>
        <v>LILI SUHANA</v>
      </c>
      <c r="H565" s="17" t="str">
        <f>IFERROR(__xludf.DUMMYFUNCTION("""COMPUTED_VALUE"""),"L8123072518")</f>
        <v>L8123072518</v>
      </c>
      <c r="I565" s="17">
        <f>IFERROR(__xludf.DUMMYFUNCTION("""COMPUTED_VALUE"""),45.0)</f>
        <v>45</v>
      </c>
      <c r="J565" s="17" t="str">
        <f>IFERROR(__xludf.DUMMYFUNCTION("""COMPUTED_VALUE"""),"&gt; 44 tahun")</f>
        <v>&gt; 44 tahun</v>
      </c>
      <c r="K565" s="19">
        <f>IFERROR(__xludf.DUMMYFUNCTION("""COMPUTED_VALUE"""),29664.0)</f>
        <v>29664</v>
      </c>
      <c r="L565" s="19" t="str">
        <f>IFERROR(__xludf.DUMMYFUNCTION("""COMPUTED_VALUE"""),"PEREMPUAN")</f>
        <v>PEREMPUAN</v>
      </c>
      <c r="M565" s="16" t="str">
        <f>IFERROR(__xludf.DUMMYFUNCTION("""COMPUTED_VALUE"""),"Jl. Purnama Gg. Purnama Dalam No. 25")</f>
        <v>Jl. Purnama Gg. Purnama Dalam No. 25</v>
      </c>
      <c r="N565" s="16"/>
      <c r="O565" s="16"/>
      <c r="P565" s="16"/>
      <c r="Q565" s="16"/>
      <c r="R565" s="19" t="str">
        <f>IFERROR(__xludf.DUMMYFUNCTION("""COMPUTED_VALUE"""),"KATOLIK")</f>
        <v>KATOLIK</v>
      </c>
      <c r="S565" s="16" t="str">
        <f>IFERROR(__xludf.DUMMYFUNCTION("""COMPUTED_VALUE"""),"RUMAH TANGGA")</f>
        <v>RUMAH TANGGA</v>
      </c>
      <c r="T565" s="16" t="str">
        <f>IFERROR(__xludf.DUMMYFUNCTION("""COMPUTED_VALUE"""),"OTOT LEMAH, SENDI KAKU, HILANG KESEIMBANGAN, KESULITAN BERJALAN")</f>
        <v>OTOT LEMAH, SENDI KAKU, HILANG KESEIMBANGAN, KESULITAN BERJALAN</v>
      </c>
      <c r="U565" s="16" t="str">
        <f>IFERROR(__xludf.DUMMYFUNCTION("""COMPUTED_VALUE"""),"MENGURUS RUMAH TANGGA")</f>
        <v>MENGURUS RUMAH TANGGA</v>
      </c>
      <c r="V565" s="11" t="str">
        <f>IFERROR(__xludf.DUMMYFUNCTION("""COMPUTED_VALUE"""),"081345232518")</f>
        <v>081345232518</v>
      </c>
      <c r="W565" s="15"/>
    </row>
    <row r="566" ht="22.5" customHeight="1">
      <c r="A566" s="8"/>
      <c r="B566" s="9">
        <f>IFERROR(__xludf.DUMMYFUNCTION("""COMPUTED_VALUE"""),45133.66521091435)</f>
        <v>45133.66521</v>
      </c>
      <c r="C566" s="9"/>
      <c r="D566" s="10">
        <f>IFERROR(__xludf.DUMMYFUNCTION("""COMPUTED_VALUE"""),45138.0)</f>
        <v>45138</v>
      </c>
      <c r="E566" s="10" t="str">
        <f>IFERROR(__xludf.DUMMYFUNCTION("""COMPUTED_VALUE"""),"07Jul")</f>
        <v>07Jul</v>
      </c>
      <c r="F566" s="10" t="str">
        <f>IFERROR(__xludf.DUMMYFUNCTION("""COMPUTED_VALUE"""),"2023")</f>
        <v>2023</v>
      </c>
      <c r="G566" s="16" t="str">
        <f>IFERROR(__xludf.DUMMYFUNCTION("""COMPUTED_VALUE"""),"HARINI")</f>
        <v>HARINI</v>
      </c>
      <c r="H566" s="17" t="str">
        <f>IFERROR(__xludf.DUMMYFUNCTION("""COMPUTED_VALUE"""),"H7023078732")</f>
        <v>H7023078732</v>
      </c>
      <c r="I566" s="17">
        <f>IFERROR(__xludf.DUMMYFUNCTION("""COMPUTED_VALUE"""),55.0)</f>
        <v>55</v>
      </c>
      <c r="J566" s="17" t="str">
        <f>IFERROR(__xludf.DUMMYFUNCTION("""COMPUTED_VALUE"""),"&gt; 44 tahun")</f>
        <v>&gt; 44 tahun</v>
      </c>
      <c r="K566" s="19">
        <f>IFERROR(__xludf.DUMMYFUNCTION("""COMPUTED_VALUE"""),25795.0)</f>
        <v>25795</v>
      </c>
      <c r="L566" s="19" t="str">
        <f>IFERROR(__xludf.DUMMYFUNCTION("""COMPUTED_VALUE"""),"PEREMPUAN")</f>
        <v>PEREMPUAN</v>
      </c>
      <c r="M566" s="16" t="str">
        <f>IFERROR(__xludf.DUMMYFUNCTION("""COMPUTED_VALUE"""),"Jl.PERDAMAIAN. KOMP. ARI KARYA INDAAH 4 JALUR 1 BLOK.D.18")</f>
        <v>Jl.PERDAMAIAN. KOMP. ARI KARYA INDAAH 4 JALUR 1 BLOK.D.18</v>
      </c>
      <c r="N566" s="16"/>
      <c r="O566" s="16"/>
      <c r="P566" s="16"/>
      <c r="Q566" s="16"/>
      <c r="R566" s="19" t="str">
        <f>IFERROR(__xludf.DUMMYFUNCTION("""COMPUTED_VALUE"""),"ISLAM")</f>
        <v>ISLAM</v>
      </c>
      <c r="S566" s="16" t="str">
        <f>IFERROR(__xludf.DUMMYFUNCTION("""COMPUTED_VALUE"""),"ASN")</f>
        <v>ASN</v>
      </c>
      <c r="T566" s="16" t="str">
        <f>IFERROR(__xludf.DUMMYFUNCTION("""COMPUTED_VALUE"""),"NEUROPATI")</f>
        <v>NEUROPATI</v>
      </c>
      <c r="U566" s="16" t="str">
        <f>IFERROR(__xludf.DUMMYFUNCTION("""COMPUTED_VALUE"""),"JALAN KAKI")</f>
        <v>JALAN KAKI</v>
      </c>
      <c r="V566" s="11" t="str">
        <f>IFERROR(__xludf.DUMMYFUNCTION("""COMPUTED_VALUE"""),"081257178732")</f>
        <v>081257178732</v>
      </c>
      <c r="W566" s="15"/>
    </row>
    <row r="567" ht="22.5" customHeight="1">
      <c r="A567" s="8"/>
      <c r="B567" s="9">
        <f>IFERROR(__xludf.DUMMYFUNCTION("""COMPUTED_VALUE"""),45136.46887228009)</f>
        <v>45136.46887</v>
      </c>
      <c r="C567" s="9"/>
      <c r="D567" s="10">
        <f>IFERROR(__xludf.DUMMYFUNCTION("""COMPUTED_VALUE"""),45138.0)</f>
        <v>45138</v>
      </c>
      <c r="E567" s="10" t="str">
        <f>IFERROR(__xludf.DUMMYFUNCTION("""COMPUTED_VALUE"""),"07Jul")</f>
        <v>07Jul</v>
      </c>
      <c r="F567" s="10" t="str">
        <f>IFERROR(__xludf.DUMMYFUNCTION("""COMPUTED_VALUE"""),"2023")</f>
        <v>2023</v>
      </c>
      <c r="G567" s="16" t="str">
        <f>IFERROR(__xludf.DUMMYFUNCTION("""COMPUTED_VALUE"""),"MUHAMMAD TAUFIK KAMIL")</f>
        <v>MUHAMMAD TAUFIK KAMIL</v>
      </c>
      <c r="H567" s="17" t="str">
        <f>IFERROR(__xludf.DUMMYFUNCTION("""COMPUTED_VALUE"""),"M0623074204")</f>
        <v>M0623074204</v>
      </c>
      <c r="I567" s="17">
        <f>IFERROR(__xludf.DUMMYFUNCTION("""COMPUTED_VALUE"""),20.0)</f>
        <v>20</v>
      </c>
      <c r="J567" s="17" t="str">
        <f>IFERROR(__xludf.DUMMYFUNCTION("""COMPUTED_VALUE"""),"18-24 tahun")</f>
        <v>18-24 tahun</v>
      </c>
      <c r="K567" s="19">
        <f>IFERROR(__xludf.DUMMYFUNCTION("""COMPUTED_VALUE"""),38722.0)</f>
        <v>38722</v>
      </c>
      <c r="L567" s="19" t="str">
        <f>IFERROR(__xludf.DUMMYFUNCTION("""COMPUTED_VALUE"""),"LAKI-LAKI")</f>
        <v>LAKI-LAKI</v>
      </c>
      <c r="M567" s="16" t="str">
        <f>IFERROR(__xludf.DUMMYFUNCTION("""COMPUTED_VALUE"""),"Jl. Arteri supadio Komp. Adi Griya Karya")</f>
        <v>Jl. Arteri supadio Komp. Adi Griya Karya</v>
      </c>
      <c r="N567" s="16"/>
      <c r="O567" s="16"/>
      <c r="P567" s="16"/>
      <c r="Q567" s="16"/>
      <c r="R567" s="19" t="str">
        <f>IFERROR(__xludf.DUMMYFUNCTION("""COMPUTED_VALUE"""),"ISLAM")</f>
        <v>ISLAM</v>
      </c>
      <c r="S567" s="16" t="str">
        <f>IFERROR(__xludf.DUMMYFUNCTION("""COMPUTED_VALUE"""),"PELAJAR/MAHASISWA")</f>
        <v>PELAJAR/MAHASISWA</v>
      </c>
      <c r="T567" s="36" t="str">
        <f>IFERROR(__xludf.DUMMYFUNCTION("""COMPUTED_VALUE"""),"SHIN SPLINT")</f>
        <v>SHIN SPLINT</v>
      </c>
      <c r="U567" s="16" t="str">
        <f>IFERROR(__xludf.DUMMYFUNCTION("""COMPUTED_VALUE"""),"LARI")</f>
        <v>LARI</v>
      </c>
      <c r="V567" s="11" t="str">
        <f>IFERROR(__xludf.DUMMYFUNCTION("""COMPUTED_VALUE"""),"085717044204")</f>
        <v>085717044204</v>
      </c>
      <c r="W567" s="15"/>
    </row>
    <row r="568" ht="22.5" customHeight="1">
      <c r="A568" s="8"/>
      <c r="B568" s="9">
        <f>IFERROR(__xludf.DUMMYFUNCTION("""COMPUTED_VALUE"""),45136.4963621412)</f>
        <v>45136.49636</v>
      </c>
      <c r="C568" s="9"/>
      <c r="D568" s="10">
        <f>IFERROR(__xludf.DUMMYFUNCTION("""COMPUTED_VALUE"""),45138.0)</f>
        <v>45138</v>
      </c>
      <c r="E568" s="10" t="str">
        <f>IFERROR(__xludf.DUMMYFUNCTION("""COMPUTED_VALUE"""),"07Jul")</f>
        <v>07Jul</v>
      </c>
      <c r="F568" s="10" t="str">
        <f>IFERROR(__xludf.DUMMYFUNCTION("""COMPUTED_VALUE"""),"2023")</f>
        <v>2023</v>
      </c>
      <c r="G568" s="16" t="str">
        <f>IFERROR(__xludf.DUMMYFUNCTION("""COMPUTED_VALUE"""),"ANGGA FRATAMA,S.STP")</f>
        <v>ANGGA FRATAMA,S.STP</v>
      </c>
      <c r="H568" s="17" t="str">
        <f>IFERROR(__xludf.DUMMYFUNCTION("""COMPUTED_VALUE"""),"A8623077979")</f>
        <v>A8623077979</v>
      </c>
      <c r="I568" s="17">
        <f>IFERROR(__xludf.DUMMYFUNCTION("""COMPUTED_VALUE"""),39.0)</f>
        <v>39</v>
      </c>
      <c r="J568" s="17" t="str">
        <f>IFERROR(__xludf.DUMMYFUNCTION("""COMPUTED_VALUE"""),"35-44 tahun")</f>
        <v>35-44 tahun</v>
      </c>
      <c r="K568" s="19">
        <f>IFERROR(__xludf.DUMMYFUNCTION("""COMPUTED_VALUE"""),31668.0)</f>
        <v>31668</v>
      </c>
      <c r="L568" s="19" t="str">
        <f>IFERROR(__xludf.DUMMYFUNCTION("""COMPUTED_VALUE"""),"LAKI-LAKI")</f>
        <v>LAKI-LAKI</v>
      </c>
      <c r="M568" s="16" t="str">
        <f>IFERROR(__xludf.DUMMYFUNCTION("""COMPUTED_VALUE"""),"jl ampera komp cendana mulya A10 kel sui bangkong")</f>
        <v>jl ampera komp cendana mulya A10 kel sui bangkong</v>
      </c>
      <c r="N568" s="16"/>
      <c r="O568" s="16"/>
      <c r="P568" s="16"/>
      <c r="Q568" s="16"/>
      <c r="R568" s="19" t="str">
        <f>IFERROR(__xludf.DUMMYFUNCTION("""COMPUTED_VALUE"""),"ISLAM")</f>
        <v>ISLAM</v>
      </c>
      <c r="S568" s="16" t="str">
        <f>IFERROR(__xludf.DUMMYFUNCTION("""COMPUTED_VALUE"""),"ASN")</f>
        <v>ASN</v>
      </c>
      <c r="T568" s="16" t="str">
        <f>IFERROR(__xludf.DUMMYFUNCTION("""COMPUTED_VALUE"""),"NYERI PADA SAAT AKTIFITAS LARI")</f>
        <v>NYERI PADA SAAT AKTIFITAS LARI</v>
      </c>
      <c r="U568" s="16" t="str">
        <f>IFERROR(__xludf.DUMMYFUNCTION("""COMPUTED_VALUE"""),"RUNNIG")</f>
        <v>RUNNIG</v>
      </c>
      <c r="V568" s="11" t="str">
        <f>IFERROR(__xludf.DUMMYFUNCTION("""COMPUTED_VALUE"""),"08125597979")</f>
        <v>08125597979</v>
      </c>
      <c r="W568" s="15"/>
    </row>
    <row r="569" ht="22.5" customHeight="1">
      <c r="A569" s="8"/>
      <c r="B569" s="9">
        <f>IFERROR(__xludf.DUMMYFUNCTION("""COMPUTED_VALUE"""),45137.40890811343)</f>
        <v>45137.40891</v>
      </c>
      <c r="C569" s="9"/>
      <c r="D569" s="10">
        <f>IFERROR(__xludf.DUMMYFUNCTION("""COMPUTED_VALUE"""),45138.0)</f>
        <v>45138</v>
      </c>
      <c r="E569" s="10" t="str">
        <f>IFERROR(__xludf.DUMMYFUNCTION("""COMPUTED_VALUE"""),"07Jul")</f>
        <v>07Jul</v>
      </c>
      <c r="F569" s="10" t="str">
        <f>IFERROR(__xludf.DUMMYFUNCTION("""COMPUTED_VALUE"""),"2023")</f>
        <v>2023</v>
      </c>
      <c r="G569" s="16" t="str">
        <f>IFERROR(__xludf.DUMMYFUNCTION("""COMPUTED_VALUE"""),"ANDREW WILLARD HWANGSU")</f>
        <v>ANDREW WILLARD HWANGSU</v>
      </c>
      <c r="H569" s="17" t="str">
        <f>IFERROR(__xludf.DUMMYFUNCTION("""COMPUTED_VALUE"""),"A0423074795")</f>
        <v>A0423074795</v>
      </c>
      <c r="I569" s="17">
        <f>IFERROR(__xludf.DUMMYFUNCTION("""COMPUTED_VALUE"""),21.0)</f>
        <v>21</v>
      </c>
      <c r="J569" s="17" t="str">
        <f>IFERROR(__xludf.DUMMYFUNCTION("""COMPUTED_VALUE"""),"18-24 tahun")</f>
        <v>18-24 tahun</v>
      </c>
      <c r="K569" s="19">
        <f>IFERROR(__xludf.DUMMYFUNCTION("""COMPUTED_VALUE"""),38163.0)</f>
        <v>38163</v>
      </c>
      <c r="L569" s="19" t="str">
        <f>IFERROR(__xludf.DUMMYFUNCTION("""COMPUTED_VALUE"""),"LAKI-LAKI")</f>
        <v>LAKI-LAKI</v>
      </c>
      <c r="M569" s="16" t="str">
        <f>IFERROR(__xludf.DUMMYFUNCTION("""COMPUTED_VALUE"""),"Jl. Parit Haji Husin 2 Komplek Buana Lestari No. D6")</f>
        <v>Jl. Parit Haji Husin 2 Komplek Buana Lestari No. D6</v>
      </c>
      <c r="N569" s="16"/>
      <c r="O569" s="16"/>
      <c r="P569" s="16"/>
      <c r="Q569" s="16"/>
      <c r="R569" s="19" t="str">
        <f>IFERROR(__xludf.DUMMYFUNCTION("""COMPUTED_VALUE"""),"KATOLIK")</f>
        <v>KATOLIK</v>
      </c>
      <c r="S569" s="16" t="str">
        <f>IFERROR(__xludf.DUMMYFUNCTION("""COMPUTED_VALUE"""),"PELAJAR/MAHASISWA")</f>
        <v>PELAJAR/MAHASISWA</v>
      </c>
      <c r="T569" s="16" t="str">
        <f>IFERROR(__xludf.DUMMYFUNCTION("""COMPUTED_VALUE"""),"SPRAINED ANKLE DAN BAHU")</f>
        <v>SPRAINED ANKLE DAN BAHU</v>
      </c>
      <c r="U569" s="16" t="str">
        <f>IFERROR(__xludf.DUMMYFUNCTION("""COMPUTED_VALUE"""),"OLAHRAGA")</f>
        <v>OLAHRAGA</v>
      </c>
      <c r="V569" s="11" t="str">
        <f>IFERROR(__xludf.DUMMYFUNCTION("""COMPUTED_VALUE"""),"081348654795")</f>
        <v>081348654795</v>
      </c>
      <c r="W569" s="15"/>
    </row>
    <row r="570" ht="22.5" customHeight="1">
      <c r="A570" s="8"/>
      <c r="B570" s="9">
        <f>IFERROR(__xludf.DUMMYFUNCTION("""COMPUTED_VALUE"""),45137.44049954861)</f>
        <v>45137.4405</v>
      </c>
      <c r="C570" s="9"/>
      <c r="D570" s="10">
        <f>IFERROR(__xludf.DUMMYFUNCTION("""COMPUTED_VALUE"""),45138.0)</f>
        <v>45138</v>
      </c>
      <c r="E570" s="10" t="str">
        <f>IFERROR(__xludf.DUMMYFUNCTION("""COMPUTED_VALUE"""),"07Jul")</f>
        <v>07Jul</v>
      </c>
      <c r="F570" s="10" t="str">
        <f>IFERROR(__xludf.DUMMYFUNCTION("""COMPUTED_VALUE"""),"2023")</f>
        <v>2023</v>
      </c>
      <c r="G570" s="16" t="str">
        <f>IFERROR(__xludf.DUMMYFUNCTION("""COMPUTED_VALUE"""),"INDRIANI BUDI KURNIAWATI")</f>
        <v>INDRIANI BUDI KURNIAWATI</v>
      </c>
      <c r="H570" s="17" t="str">
        <f>IFERROR(__xludf.DUMMYFUNCTION("""COMPUTED_VALUE"""),"I8023078956")</f>
        <v>I8023078956</v>
      </c>
      <c r="I570" s="17">
        <f>IFERROR(__xludf.DUMMYFUNCTION("""COMPUTED_VALUE"""),46.0)</f>
        <v>46</v>
      </c>
      <c r="J570" s="17" t="str">
        <f>IFERROR(__xludf.DUMMYFUNCTION("""COMPUTED_VALUE"""),"&gt; 44 tahun")</f>
        <v>&gt; 44 tahun</v>
      </c>
      <c r="K570" s="19">
        <f>IFERROR(__xludf.DUMMYFUNCTION("""COMPUTED_VALUE"""),29352.0)</f>
        <v>29352</v>
      </c>
      <c r="L570" s="19" t="str">
        <f>IFERROR(__xludf.DUMMYFUNCTION("""COMPUTED_VALUE"""),"PEREMPUAN")</f>
        <v>PEREMPUAN</v>
      </c>
      <c r="M570" s="16" t="str">
        <f>IFERROR(__xludf.DUMMYFUNCTION("""COMPUTED_VALUE"""),"Komp. Angkasa no 29 supadio")</f>
        <v>Komp. Angkasa no 29 supadio</v>
      </c>
      <c r="N570" s="16"/>
      <c r="O570" s="16"/>
      <c r="P570" s="16"/>
      <c r="Q570" s="16"/>
      <c r="R570" s="19" t="str">
        <f>IFERROR(__xludf.DUMMYFUNCTION("""COMPUTED_VALUE"""),"PROTESTAN")</f>
        <v>PROTESTAN</v>
      </c>
      <c r="S570" s="16" t="str">
        <f>IFERROR(__xludf.DUMMYFUNCTION("""COMPUTED_VALUE"""),"ASN")</f>
        <v>ASN</v>
      </c>
      <c r="T570" s="16" t="str">
        <f>IFERROR(__xludf.DUMMYFUNCTION("""COMPUTED_VALUE"""),"NYERI TULANG BELAKANG DAN BAGIAN PUNGGUNG")</f>
        <v>NYERI TULANG BELAKANG DAN BAGIAN PUNGGUNG</v>
      </c>
      <c r="U570" s="16" t="str">
        <f>IFERROR(__xludf.DUMMYFUNCTION("""COMPUTED_VALUE"""),"OLAHRAGA DAN BEKERJA (DUDUK)")</f>
        <v>OLAHRAGA DAN BEKERJA (DUDUK)</v>
      </c>
      <c r="V570" s="11" t="str">
        <f>IFERROR(__xludf.DUMMYFUNCTION("""COMPUTED_VALUE"""),"081254718956")</f>
        <v>081254718956</v>
      </c>
      <c r="W570" s="15"/>
    </row>
    <row r="571" ht="22.5" customHeight="1">
      <c r="A571" s="8"/>
      <c r="B571" s="9">
        <f>IFERROR(__xludf.DUMMYFUNCTION("""COMPUTED_VALUE"""),45138.38562137731)</f>
        <v>45138.38562</v>
      </c>
      <c r="C571" s="9"/>
      <c r="D571" s="10">
        <f>IFERROR(__xludf.DUMMYFUNCTION("""COMPUTED_VALUE"""),45138.0)</f>
        <v>45138</v>
      </c>
      <c r="E571" s="10" t="str">
        <f>IFERROR(__xludf.DUMMYFUNCTION("""COMPUTED_VALUE"""),"07Jul")</f>
        <v>07Jul</v>
      </c>
      <c r="F571" s="10" t="str">
        <f>IFERROR(__xludf.DUMMYFUNCTION("""COMPUTED_VALUE"""),"2023")</f>
        <v>2023</v>
      </c>
      <c r="G571" s="16" t="str">
        <f>IFERROR(__xludf.DUMMYFUNCTION("""COMPUTED_VALUE"""),"GABRIEL PRASTIO")</f>
        <v>GABRIEL PRASTIO</v>
      </c>
      <c r="H571" s="17" t="str">
        <f>IFERROR(__xludf.DUMMYFUNCTION("""COMPUTED_VALUE"""),"G1423079647")</f>
        <v>G1423079647</v>
      </c>
      <c r="I571" s="17">
        <f>IFERROR(__xludf.DUMMYFUNCTION("""COMPUTED_VALUE"""),12.0)</f>
        <v>12</v>
      </c>
      <c r="J571" s="17" t="str">
        <f>IFERROR(__xludf.DUMMYFUNCTION("""COMPUTED_VALUE"""),"&lt; 18 tahun")</f>
        <v>&lt; 18 tahun</v>
      </c>
      <c r="K571" s="19">
        <f>IFERROR(__xludf.DUMMYFUNCTION("""COMPUTED_VALUE"""),41712.0)</f>
        <v>41712</v>
      </c>
      <c r="L571" s="19" t="str">
        <f>IFERROR(__xludf.DUMMYFUNCTION("""COMPUTED_VALUE"""),"LAKI-LAKI")</f>
        <v>LAKI-LAKI</v>
      </c>
      <c r="M571" s="16" t="str">
        <f>IFERROR(__xludf.DUMMYFUNCTION("""COMPUTED_VALUE"""),"Jln. MT Haryono BTN Cipta Mandiri 1 blok E. No 15 Sintang, Kalimantan Barat")</f>
        <v>Jln. MT Haryono BTN Cipta Mandiri 1 blok E. No 15 Sintang, Kalimantan Barat</v>
      </c>
      <c r="N571" s="16"/>
      <c r="O571" s="16"/>
      <c r="P571" s="16"/>
      <c r="Q571" s="16"/>
      <c r="R571" s="19" t="str">
        <f>IFERROR(__xludf.DUMMYFUNCTION("""COMPUTED_VALUE"""),"KATOLIK")</f>
        <v>KATOLIK</v>
      </c>
      <c r="S571" s="16" t="str">
        <f>IFERROR(__xludf.DUMMYFUNCTION("""COMPUTED_VALUE"""),"PELAJAR/MAHASISWA")</f>
        <v>PELAJAR/MAHASISWA</v>
      </c>
      <c r="T571" s="16" t="str">
        <f>IFERROR(__xludf.DUMMYFUNCTION("""COMPUTED_VALUE"""),"TERAPI POST OP FRAKTUR COMPLETE LENGAN KIRI")</f>
        <v>TERAPI POST OP FRAKTUR COMPLETE LENGAN KIRI</v>
      </c>
      <c r="U571" s="16" t="str">
        <f>IFERROR(__xludf.DUMMYFUNCTION("""COMPUTED_VALUE"""),"BERMAIN BOLA DAN BERMAIN GAME")</f>
        <v>BERMAIN BOLA DAN BERMAIN GAME</v>
      </c>
      <c r="V571" s="11" t="str">
        <f>IFERROR(__xludf.DUMMYFUNCTION("""COMPUTED_VALUE"""),"081257209647")</f>
        <v>081257209647</v>
      </c>
      <c r="W571" s="15"/>
    </row>
    <row r="572" ht="22.5" customHeight="1">
      <c r="A572" s="8"/>
      <c r="B572" s="9">
        <f>IFERROR(__xludf.DUMMYFUNCTION("""COMPUTED_VALUE"""),45138.39018643519)</f>
        <v>45138.39019</v>
      </c>
      <c r="C572" s="9"/>
      <c r="D572" s="10">
        <f>IFERROR(__xludf.DUMMYFUNCTION("""COMPUTED_VALUE"""),45138.0)</f>
        <v>45138</v>
      </c>
      <c r="E572" s="10" t="str">
        <f>IFERROR(__xludf.DUMMYFUNCTION("""COMPUTED_VALUE"""),"07Jul")</f>
        <v>07Jul</v>
      </c>
      <c r="F572" s="10" t="str">
        <f>IFERROR(__xludf.DUMMYFUNCTION("""COMPUTED_VALUE"""),"2023")</f>
        <v>2023</v>
      </c>
      <c r="G572" s="16" t="str">
        <f>IFERROR(__xludf.DUMMYFUNCTION("""COMPUTED_VALUE"""),"KHALIL ABRAR")</f>
        <v>KHALIL ABRAR</v>
      </c>
      <c r="H572" s="17" t="str">
        <f>IFERROR(__xludf.DUMMYFUNCTION("""COMPUTED_VALUE"""),"K0723071442")</f>
        <v>K0723071442</v>
      </c>
      <c r="I572" s="17">
        <f>IFERROR(__xludf.DUMMYFUNCTION("""COMPUTED_VALUE"""),18.0)</f>
        <v>18</v>
      </c>
      <c r="J572" s="17" t="str">
        <f>IFERROR(__xludf.DUMMYFUNCTION("""COMPUTED_VALUE"""),"&lt; 18 tahun")</f>
        <v>&lt; 18 tahun</v>
      </c>
      <c r="K572" s="19">
        <f>IFERROR(__xludf.DUMMYFUNCTION("""COMPUTED_VALUE"""),39275.0)</f>
        <v>39275</v>
      </c>
      <c r="L572" s="19" t="str">
        <f>IFERROR(__xludf.DUMMYFUNCTION("""COMPUTED_VALUE"""),"LAKI-LAKI")</f>
        <v>LAKI-LAKI</v>
      </c>
      <c r="M572" s="16" t="str">
        <f>IFERROR(__xludf.DUMMYFUNCTION("""COMPUTED_VALUE"""),"Pontianak barat Jl. Nawawi hasan 2 Gg matan5 no 168")</f>
        <v>Pontianak barat Jl. Nawawi hasan 2 Gg matan5 no 168</v>
      </c>
      <c r="N572" s="16"/>
      <c r="O572" s="16"/>
      <c r="P572" s="16"/>
      <c r="Q572" s="16"/>
      <c r="R572" s="19" t="str">
        <f>IFERROR(__xludf.DUMMYFUNCTION("""COMPUTED_VALUE"""),"ISLAM")</f>
        <v>ISLAM</v>
      </c>
      <c r="S572" s="16" t="str">
        <f>IFERROR(__xludf.DUMMYFUNCTION("""COMPUTED_VALUE"""),"PELAJAR/MAHASISWA")</f>
        <v>PELAJAR/MAHASISWA</v>
      </c>
      <c r="T572" s="16"/>
      <c r="U572" s="16" t="str">
        <f>IFERROR(__xludf.DUMMYFUNCTION("""COMPUTED_VALUE"""),"FUTSAL")</f>
        <v>FUTSAL</v>
      </c>
      <c r="V572" s="11" t="str">
        <f>IFERROR(__xludf.DUMMYFUNCTION("""COMPUTED_VALUE"""),"089601081442")</f>
        <v>089601081442</v>
      </c>
      <c r="W572" s="15"/>
    </row>
    <row r="573" ht="22.5" customHeight="1">
      <c r="A573" s="8"/>
      <c r="B573" s="9">
        <f>IFERROR(__xludf.DUMMYFUNCTION("""COMPUTED_VALUE"""),45138.41555252315)</f>
        <v>45138.41555</v>
      </c>
      <c r="C573" s="9"/>
      <c r="D573" s="10">
        <f>IFERROR(__xludf.DUMMYFUNCTION("""COMPUTED_VALUE"""),45035.0)</f>
        <v>45035</v>
      </c>
      <c r="E573" s="10" t="str">
        <f>IFERROR(__xludf.DUMMYFUNCTION("""COMPUTED_VALUE"""),"04Apr")</f>
        <v>04Apr</v>
      </c>
      <c r="F573" s="10" t="str">
        <f>IFERROR(__xludf.DUMMYFUNCTION("""COMPUTED_VALUE"""),"2023")</f>
        <v>2023</v>
      </c>
      <c r="G573" s="16" t="str">
        <f>IFERROR(__xludf.DUMMYFUNCTION("""COMPUTED_VALUE"""),"HAPPY HENDRAWAN")</f>
        <v>HAPPY HENDRAWAN</v>
      </c>
      <c r="H573" s="17" t="str">
        <f>IFERROR(__xludf.DUMMYFUNCTION("""COMPUTED_VALUE"""),"H6823047357")</f>
        <v>H6823047357</v>
      </c>
      <c r="I573" s="17">
        <f>IFERROR(__xludf.DUMMYFUNCTION("""COMPUTED_VALUE"""),57.0)</f>
        <v>57</v>
      </c>
      <c r="J573" s="17" t="str">
        <f>IFERROR(__xludf.DUMMYFUNCTION("""COMPUTED_VALUE"""),"&gt; 44 tahun")</f>
        <v>&gt; 44 tahun</v>
      </c>
      <c r="K573" s="19">
        <f>IFERROR(__xludf.DUMMYFUNCTION("""COMPUTED_VALUE"""),25063.0)</f>
        <v>25063</v>
      </c>
      <c r="L573" s="19" t="str">
        <f>IFERROR(__xludf.DUMMYFUNCTION("""COMPUTED_VALUE"""),"LAKI-LAKI")</f>
        <v>LAKI-LAKI</v>
      </c>
      <c r="M573" s="16" t="str">
        <f>IFERROR(__xludf.DUMMYFUNCTION("""COMPUTED_VALUE"""),"JL.PANGERAN NATAKUSUMA")</f>
        <v>JL.PANGERAN NATAKUSUMA</v>
      </c>
      <c r="N573" s="16"/>
      <c r="O573" s="16"/>
      <c r="P573" s="16"/>
      <c r="Q573" s="16"/>
      <c r="R573" s="19" t="str">
        <f>IFERROR(__xludf.DUMMYFUNCTION("""COMPUTED_VALUE"""),"ISLAM")</f>
        <v>ISLAM</v>
      </c>
      <c r="S573" s="16" t="str">
        <f>IFERROR(__xludf.DUMMYFUNCTION("""COMPUTED_VALUE"""),"SATPAM")</f>
        <v>SATPAM</v>
      </c>
      <c r="T573" s="36" t="str">
        <f>IFERROR(__xludf.DUMMYFUNCTION("""COMPUTED_VALUE"""),"PAHA SAMPAI BOKONG KIRI NYERI , SULIT RUKU")</f>
        <v>PAHA SAMPAI BOKONG KIRI NYERI , SULIT RUKU</v>
      </c>
      <c r="U573" s="16" t="str">
        <f>IFERROR(__xludf.DUMMYFUNCTION("""COMPUTED_VALUE"""),"DUDUK DEPAN LAPTOP")</f>
        <v>DUDUK DEPAN LAPTOP</v>
      </c>
      <c r="V573" s="11" t="str">
        <f>IFERROR(__xludf.DUMMYFUNCTION("""COMPUTED_VALUE"""),"085350797357")</f>
        <v>085350797357</v>
      </c>
      <c r="W573" s="15"/>
    </row>
    <row r="574" ht="22.5" customHeight="1">
      <c r="A574" s="8"/>
      <c r="B574" s="9">
        <f>IFERROR(__xludf.DUMMYFUNCTION("""COMPUTED_VALUE"""),45138.46252890046)</f>
        <v>45138.46253</v>
      </c>
      <c r="C574" s="9"/>
      <c r="D574" s="10">
        <f>IFERROR(__xludf.DUMMYFUNCTION("""COMPUTED_VALUE"""),45139.0)</f>
        <v>45139</v>
      </c>
      <c r="E574" s="10" t="str">
        <f>IFERROR(__xludf.DUMMYFUNCTION("""COMPUTED_VALUE"""),"08Agu")</f>
        <v>08Agu</v>
      </c>
      <c r="F574" s="10" t="str">
        <f>IFERROR(__xludf.DUMMYFUNCTION("""COMPUTED_VALUE"""),"2023")</f>
        <v>2023</v>
      </c>
      <c r="G574" s="16" t="str">
        <f>IFERROR(__xludf.DUMMYFUNCTION("""COMPUTED_VALUE"""),"VIBRYA AQUANA")</f>
        <v>VIBRYA AQUANA</v>
      </c>
      <c r="H574" s="17" t="str">
        <f>IFERROR(__xludf.DUMMYFUNCTION("""COMPUTED_VALUE"""),"V7923087686")</f>
        <v>V7923087686</v>
      </c>
      <c r="I574" s="17">
        <f>IFERROR(__xludf.DUMMYFUNCTION("""COMPUTED_VALUE"""),47.0)</f>
        <v>47</v>
      </c>
      <c r="J574" s="17" t="str">
        <f>IFERROR(__xludf.DUMMYFUNCTION("""COMPUTED_VALUE"""),"&gt; 44 tahun")</f>
        <v>&gt; 44 tahun</v>
      </c>
      <c r="K574" s="19">
        <f>IFERROR(__xludf.DUMMYFUNCTION("""COMPUTED_VALUE"""),28897.0)</f>
        <v>28897</v>
      </c>
      <c r="L574" s="19" t="str">
        <f>IFERROR(__xludf.DUMMYFUNCTION("""COMPUTED_VALUE"""),"PEREMPUAN")</f>
        <v>PEREMPUAN</v>
      </c>
      <c r="M574" s="16" t="str">
        <f>IFERROR(__xludf.DUMMYFUNCTION("""COMPUTED_VALUE"""),"JL. PEMBANGUNAN NO.06 RT/RW: 06/02 KELURAHAN TENGAH SINGKAWANG BARAT")</f>
        <v>JL. PEMBANGUNAN NO.06 RT/RW: 06/02 KELURAHAN TENGAH SINGKAWANG BARAT</v>
      </c>
      <c r="N574" s="16"/>
      <c r="O574" s="16"/>
      <c r="P574" s="16"/>
      <c r="Q574" s="16"/>
      <c r="R574" s="19" t="str">
        <f>IFERROR(__xludf.DUMMYFUNCTION("""COMPUTED_VALUE"""),"ISLAM")</f>
        <v>ISLAM</v>
      </c>
      <c r="S574" s="16" t="str">
        <f>IFERROR(__xludf.DUMMYFUNCTION("""COMPUTED_VALUE"""),"RUMAH TANGGA")</f>
        <v>RUMAH TANGGA</v>
      </c>
      <c r="T574" s="16" t="str">
        <f>IFERROR(__xludf.DUMMYFUNCTION("""COMPUTED_VALUE"""),"TERKILIR DAN NYERI PADA TEMPURUNG KAKI KANAN")</f>
        <v>TERKILIR DAN NYERI PADA TEMPURUNG KAKI KANAN</v>
      </c>
      <c r="U574" s="16" t="str">
        <f>IFERROR(__xludf.DUMMYFUNCTION("""COMPUTED_VALUE"""),"MEMASAK")</f>
        <v>MEMASAK</v>
      </c>
      <c r="V574" s="11" t="str">
        <f>IFERROR(__xludf.DUMMYFUNCTION("""COMPUTED_VALUE"""),"085787537686")</f>
        <v>085787537686</v>
      </c>
      <c r="W574" s="15"/>
    </row>
    <row r="575" ht="22.5" customHeight="1">
      <c r="A575" s="8"/>
      <c r="B575" s="9">
        <f>IFERROR(__xludf.DUMMYFUNCTION("""COMPUTED_VALUE"""),45138.541227650465)</f>
        <v>45138.54123</v>
      </c>
      <c r="C575" s="9"/>
      <c r="D575" s="10">
        <f>IFERROR(__xludf.DUMMYFUNCTION("""COMPUTED_VALUE"""),45035.0)</f>
        <v>45035</v>
      </c>
      <c r="E575" s="10" t="str">
        <f>IFERROR(__xludf.DUMMYFUNCTION("""COMPUTED_VALUE"""),"04Apr")</f>
        <v>04Apr</v>
      </c>
      <c r="F575" s="10" t="str">
        <f>IFERROR(__xludf.DUMMYFUNCTION("""COMPUTED_VALUE"""),"2023")</f>
        <v>2023</v>
      </c>
      <c r="G575" s="16" t="str">
        <f>IFERROR(__xludf.DUMMYFUNCTION("""COMPUTED_VALUE"""),"RIZKI SUBARKAH")</f>
        <v>RIZKI SUBARKAH</v>
      </c>
      <c r="H575" s="17" t="str">
        <f>IFERROR(__xludf.DUMMYFUNCTION("""COMPUTED_VALUE"""),"R9323047327")</f>
        <v>R9323047327</v>
      </c>
      <c r="I575" s="17">
        <f>IFERROR(__xludf.DUMMYFUNCTION("""COMPUTED_VALUE"""),33.0)</f>
        <v>33</v>
      </c>
      <c r="J575" s="17" t="str">
        <f>IFERROR(__xludf.DUMMYFUNCTION("""COMPUTED_VALUE"""),"25-34 tahun")</f>
        <v>25-34 tahun</v>
      </c>
      <c r="K575" s="19">
        <f>IFERROR(__xludf.DUMMYFUNCTION("""COMPUTED_VALUE"""),34106.0)</f>
        <v>34106</v>
      </c>
      <c r="L575" s="19" t="str">
        <f>IFERROR(__xludf.DUMMYFUNCTION("""COMPUTED_VALUE"""),"LAKI-LAKI")</f>
        <v>LAKI-LAKI</v>
      </c>
      <c r="M575" s="16" t="str">
        <f>IFERROR(__xludf.DUMMYFUNCTION("""COMPUTED_VALUE"""),"JL.SUKARAMAI KOMPLEK ADENIA NO A5")</f>
        <v>JL.SUKARAMAI KOMPLEK ADENIA NO A5</v>
      </c>
      <c r="N575" s="16"/>
      <c r="O575" s="16"/>
      <c r="P575" s="16"/>
      <c r="Q575" s="16"/>
      <c r="R575" s="19" t="str">
        <f>IFERROR(__xludf.DUMMYFUNCTION("""COMPUTED_VALUE"""),"ISLAM")</f>
        <v>ISLAM</v>
      </c>
      <c r="S575" s="16" t="str">
        <f>IFERROR(__xludf.DUMMYFUNCTION("""COMPUTED_VALUE"""),"DOSEN/GURU")</f>
        <v>DOSEN/GURU</v>
      </c>
      <c r="T575" s="16" t="str">
        <f>IFERROR(__xludf.DUMMYFUNCTION("""COMPUTED_VALUE"""),"SAKIT DI BETIS")</f>
        <v>SAKIT DI BETIS</v>
      </c>
      <c r="U575" s="16" t="str">
        <f>IFERROR(__xludf.DUMMYFUNCTION("""COMPUTED_VALUE"""),"WASIT SEPAK BOLA")</f>
        <v>WASIT SEPAK BOLA</v>
      </c>
      <c r="V575" s="11" t="str">
        <f>IFERROR(__xludf.DUMMYFUNCTION("""COMPUTED_VALUE"""),"089523887327")</f>
        <v>089523887327</v>
      </c>
      <c r="W575" s="15"/>
    </row>
    <row r="576" ht="22.5" customHeight="1">
      <c r="A576" s="8"/>
      <c r="B576" s="9">
        <f>IFERROR(__xludf.DUMMYFUNCTION("""COMPUTED_VALUE"""),45138.672064548606)</f>
        <v>45138.67206</v>
      </c>
      <c r="C576" s="9"/>
      <c r="D576" s="10">
        <f>IFERROR(__xludf.DUMMYFUNCTION("""COMPUTED_VALUE"""),45139.0)</f>
        <v>45139</v>
      </c>
      <c r="E576" s="10" t="str">
        <f>IFERROR(__xludf.DUMMYFUNCTION("""COMPUTED_VALUE"""),"08Agu")</f>
        <v>08Agu</v>
      </c>
      <c r="F576" s="10" t="str">
        <f>IFERROR(__xludf.DUMMYFUNCTION("""COMPUTED_VALUE"""),"2023")</f>
        <v>2023</v>
      </c>
      <c r="G576" s="16" t="str">
        <f>IFERROR(__xludf.DUMMYFUNCTION("""COMPUTED_VALUE"""),"ARY FAHRIANSYAH")</f>
        <v>ARY FAHRIANSYAH</v>
      </c>
      <c r="H576" s="17" t="str">
        <f>IFERROR(__xludf.DUMMYFUNCTION("""COMPUTED_VALUE"""),"A8623080507")</f>
        <v>A8623080507</v>
      </c>
      <c r="I576" s="17">
        <f>IFERROR(__xludf.DUMMYFUNCTION("""COMPUTED_VALUE"""),39.0)</f>
        <v>39</v>
      </c>
      <c r="J576" s="17" t="str">
        <f>IFERROR(__xludf.DUMMYFUNCTION("""COMPUTED_VALUE"""),"35-44 tahun")</f>
        <v>35-44 tahun</v>
      </c>
      <c r="K576" s="19">
        <f>IFERROR(__xludf.DUMMYFUNCTION("""COMPUTED_VALUE"""),31768.0)</f>
        <v>31768</v>
      </c>
      <c r="L576" s="19" t="str">
        <f>IFERROR(__xludf.DUMMYFUNCTION("""COMPUTED_VALUE"""),"LAKI-LAKI")</f>
        <v>LAKI-LAKI</v>
      </c>
      <c r="M576" s="16" t="str">
        <f>IFERROR(__xludf.DUMMYFUNCTION("""COMPUTED_VALUE"""),"JL 28 OKTOBER GG KARAKTERDES JALUR 1 NO 1")</f>
        <v>JL 28 OKTOBER GG KARAKTERDES JALUR 1 NO 1</v>
      </c>
      <c r="N576" s="16" t="str">
        <f>IFERROR(__xludf.DUMMYFUNCTION("""COMPUTED_VALUE"""),"SIANTAN HULU")</f>
        <v>SIANTAN HULU</v>
      </c>
      <c r="O576" s="16" t="str">
        <f>IFERROR(__xludf.DUMMYFUNCTION("""COMPUTED_VALUE"""),"PONTIANAK UTARA")</f>
        <v>PONTIANAK UTARA</v>
      </c>
      <c r="P576" s="16" t="str">
        <f>IFERROR(__xludf.DUMMYFUNCTION("""COMPUTED_VALUE"""),"KOTA PONTIANAK")</f>
        <v>KOTA PONTIANAK</v>
      </c>
      <c r="Q576" s="16" t="str">
        <f>IFERROR(__xludf.DUMMYFUNCTION("""COMPUTED_VALUE"""),"KALIMANTAN BARAT")</f>
        <v>KALIMANTAN BARAT</v>
      </c>
      <c r="R576" s="19" t="str">
        <f>IFERROR(__xludf.DUMMYFUNCTION("""COMPUTED_VALUE"""),"ISLAM")</f>
        <v>ISLAM</v>
      </c>
      <c r="S576" s="16" t="str">
        <f>IFERROR(__xludf.DUMMYFUNCTION("""COMPUTED_VALUE"""),"WIRASWASTA")</f>
        <v>WIRASWASTA</v>
      </c>
      <c r="T576" s="16" t="str">
        <f>IFERROR(__xludf.DUMMYFUNCTION("""COMPUTED_VALUE"""),"Lower Back Pain")</f>
        <v>Lower Back Pain</v>
      </c>
      <c r="U576" s="16" t="str">
        <f>IFERROR(__xludf.DUMMYFUNCTION("""COMPUTED_VALUE"""),"Sepeda &amp; Lari")</f>
        <v>Sepeda &amp; Lari</v>
      </c>
      <c r="V576" s="11" t="str">
        <f>IFERROR(__xludf.DUMMYFUNCTION("""COMPUTED_VALUE"""),"081345570507")</f>
        <v>081345570507</v>
      </c>
      <c r="W576" s="15"/>
    </row>
    <row r="577" ht="22.5" customHeight="1">
      <c r="A577" s="8"/>
      <c r="B577" s="9">
        <f>IFERROR(__xludf.DUMMYFUNCTION("""COMPUTED_VALUE"""),45138.75646800926)</f>
        <v>45138.75647</v>
      </c>
      <c r="C577" s="9"/>
      <c r="D577" s="10">
        <f>IFERROR(__xludf.DUMMYFUNCTION("""COMPUTED_VALUE"""),45140.0)</f>
        <v>45140</v>
      </c>
      <c r="E577" s="10" t="str">
        <f>IFERROR(__xludf.DUMMYFUNCTION("""COMPUTED_VALUE"""),"08Agu")</f>
        <v>08Agu</v>
      </c>
      <c r="F577" s="10" t="str">
        <f>IFERROR(__xludf.DUMMYFUNCTION("""COMPUTED_VALUE"""),"2023")</f>
        <v>2023</v>
      </c>
      <c r="G577" s="16" t="str">
        <f>IFERROR(__xludf.DUMMYFUNCTION("""COMPUTED_VALUE"""),"USDEKAWATI")</f>
        <v>USDEKAWATI</v>
      </c>
      <c r="H577" s="17" t="str">
        <f>IFERROR(__xludf.DUMMYFUNCTION("""COMPUTED_VALUE"""),"U7623081979")</f>
        <v>U7623081979</v>
      </c>
      <c r="I577" s="17">
        <f>IFERROR(__xludf.DUMMYFUNCTION("""COMPUTED_VALUE"""),49.0)</f>
        <v>49</v>
      </c>
      <c r="J577" s="17" t="str">
        <f>IFERROR(__xludf.DUMMYFUNCTION("""COMPUTED_VALUE"""),"&gt; 44 tahun")</f>
        <v>&gt; 44 tahun</v>
      </c>
      <c r="K577" s="19">
        <f>IFERROR(__xludf.DUMMYFUNCTION("""COMPUTED_VALUE"""),28077.0)</f>
        <v>28077</v>
      </c>
      <c r="L577" s="19" t="str">
        <f>IFERROR(__xludf.DUMMYFUNCTION("""COMPUTED_VALUE"""),"PEREMPUAN")</f>
        <v>PEREMPUAN</v>
      </c>
      <c r="M577" s="16" t="str">
        <f>IFERROR(__xludf.DUMMYFUNCTION("""COMPUTED_VALUE"""),"Dan sen komp. Green silva 2 no. A4")</f>
        <v>Dan sen komp. Green silva 2 no. A4</v>
      </c>
      <c r="N577" s="16"/>
      <c r="O577" s="16"/>
      <c r="P577" s="16"/>
      <c r="Q577" s="16"/>
      <c r="R577" s="19" t="str">
        <f>IFERROR(__xludf.DUMMYFUNCTION("""COMPUTED_VALUE"""),"KATOLIK")</f>
        <v>KATOLIK</v>
      </c>
      <c r="S577" s="16" t="str">
        <f>IFERROR(__xludf.DUMMYFUNCTION("""COMPUTED_VALUE"""),"SWASTA")</f>
        <v>SWASTA</v>
      </c>
      <c r="T577" s="16" t="str">
        <f>IFERROR(__xludf.DUMMYFUNCTION("""COMPUTED_VALUE"""),"KAKI TUMIT SAKIT")</f>
        <v>KAKI TUMIT SAKIT</v>
      </c>
      <c r="U577" s="16" t="str">
        <f>IFERROR(__xludf.DUMMYFUNCTION("""COMPUTED_VALUE"""),"MASAK")</f>
        <v>MASAK</v>
      </c>
      <c r="V577" s="11" t="str">
        <f>IFERROR(__xludf.DUMMYFUNCTION("""COMPUTED_VALUE"""),"081350401979")</f>
        <v>081350401979</v>
      </c>
      <c r="W577" s="15"/>
    </row>
    <row r="578" ht="22.5" customHeight="1">
      <c r="A578" s="8"/>
      <c r="B578" s="9">
        <f>IFERROR(__xludf.DUMMYFUNCTION("""COMPUTED_VALUE"""),45139.44509194445)</f>
        <v>45139.44509</v>
      </c>
      <c r="C578" s="9"/>
      <c r="D578" s="10">
        <f>IFERROR(__xludf.DUMMYFUNCTION("""COMPUTED_VALUE"""),45141.0)</f>
        <v>45141</v>
      </c>
      <c r="E578" s="10" t="str">
        <f>IFERROR(__xludf.DUMMYFUNCTION("""COMPUTED_VALUE"""),"08Agu")</f>
        <v>08Agu</v>
      </c>
      <c r="F578" s="10" t="str">
        <f>IFERROR(__xludf.DUMMYFUNCTION("""COMPUTED_VALUE"""),"2023")</f>
        <v>2023</v>
      </c>
      <c r="G578" s="16" t="str">
        <f>IFERROR(__xludf.DUMMYFUNCTION("""COMPUTED_VALUE"""),"CERI NATASYA JANITRA")</f>
        <v>CERI NATASYA JANITRA</v>
      </c>
      <c r="H578" s="17" t="str">
        <f>IFERROR(__xludf.DUMMYFUNCTION("""COMPUTED_VALUE"""),"C0023089336")</f>
        <v>C0023089336</v>
      </c>
      <c r="I578" s="17">
        <f>IFERROR(__xludf.DUMMYFUNCTION("""COMPUTED_VALUE"""),25.0)</f>
        <v>25</v>
      </c>
      <c r="J578" s="17" t="str">
        <f>IFERROR(__xludf.DUMMYFUNCTION("""COMPUTED_VALUE"""),"25-34 tahun")</f>
        <v>25-34 tahun</v>
      </c>
      <c r="K578" s="19">
        <f>IFERROR(__xludf.DUMMYFUNCTION("""COMPUTED_VALUE"""),36881.0)</f>
        <v>36881</v>
      </c>
      <c r="L578" s="19" t="str">
        <f>IFERROR(__xludf.DUMMYFUNCTION("""COMPUTED_VALUE"""),"PEREMPUAN")</f>
        <v>PEREMPUAN</v>
      </c>
      <c r="M578" s="16" t="str">
        <f>IFERROR(__xludf.DUMMYFUNCTION("""COMPUTED_VALUE"""),"Jl. Dr. Rubini No.10")</f>
        <v>Jl. Dr. Rubini No.10</v>
      </c>
      <c r="N578" s="16"/>
      <c r="O578" s="16"/>
      <c r="P578" s="16"/>
      <c r="Q578" s="16"/>
      <c r="R578" s="19" t="str">
        <f>IFERROR(__xludf.DUMMYFUNCTION("""COMPUTED_VALUE"""),"KATOLIK")</f>
        <v>KATOLIK</v>
      </c>
      <c r="S578" s="16" t="str">
        <f>IFERROR(__xludf.DUMMYFUNCTION("""COMPUTED_VALUE"""),"ATLET")</f>
        <v>ATLET</v>
      </c>
      <c r="T578" s="16" t="str">
        <f>IFERROR(__xludf.DUMMYFUNCTION("""COMPUTED_VALUE"""),"LOWER BACK, LEFT SHOULDER, LEFT HIP, MUSCLE PAIN DI SEKITAR SHOULDER BLADE")</f>
        <v>LOWER BACK, LEFT SHOULDER, LEFT HIP, MUSCLE PAIN DI SEKITAR SHOULDER BLADE</v>
      </c>
      <c r="U578" s="16" t="str">
        <f>IFERROR(__xludf.DUMMYFUNCTION("""COMPUTED_VALUE"""),"GOLF")</f>
        <v>GOLF</v>
      </c>
      <c r="V578" s="11" t="str">
        <f>IFERROR(__xludf.DUMMYFUNCTION("""COMPUTED_VALUE"""),"+821065279336")</f>
        <v>+821065279336</v>
      </c>
      <c r="W578" s="15"/>
    </row>
    <row r="579" ht="22.5" customHeight="1">
      <c r="A579" s="8"/>
      <c r="B579" s="9">
        <f>IFERROR(__xludf.DUMMYFUNCTION("""COMPUTED_VALUE"""),45139.695929953705)</f>
        <v>45139.69593</v>
      </c>
      <c r="C579" s="9"/>
      <c r="D579" s="10">
        <f>IFERROR(__xludf.DUMMYFUNCTION("""COMPUTED_VALUE"""),45141.0)</f>
        <v>45141</v>
      </c>
      <c r="E579" s="10" t="str">
        <f>IFERROR(__xludf.DUMMYFUNCTION("""COMPUTED_VALUE"""),"08Agu")</f>
        <v>08Agu</v>
      </c>
      <c r="F579" s="10" t="str">
        <f>IFERROR(__xludf.DUMMYFUNCTION("""COMPUTED_VALUE"""),"2023")</f>
        <v>2023</v>
      </c>
      <c r="G579" s="16" t="str">
        <f>IFERROR(__xludf.DUMMYFUNCTION("""COMPUTED_VALUE"""),"DICKY KRISTIAN")</f>
        <v>DICKY KRISTIAN</v>
      </c>
      <c r="H579" s="17" t="str">
        <f>IFERROR(__xludf.DUMMYFUNCTION("""COMPUTED_VALUE"""),"D9923082332")</f>
        <v>D9923082332</v>
      </c>
      <c r="I579" s="17">
        <f>IFERROR(__xludf.DUMMYFUNCTION("""COMPUTED_VALUE"""),27.0)</f>
        <v>27</v>
      </c>
      <c r="J579" s="17" t="str">
        <f>IFERROR(__xludf.DUMMYFUNCTION("""COMPUTED_VALUE"""),"25-34 tahun")</f>
        <v>25-34 tahun</v>
      </c>
      <c r="K579" s="19">
        <f>IFERROR(__xludf.DUMMYFUNCTION("""COMPUTED_VALUE"""),36319.0)</f>
        <v>36319</v>
      </c>
      <c r="L579" s="19" t="str">
        <f>IFERROR(__xludf.DUMMYFUNCTION("""COMPUTED_VALUE"""),"LAKI-LAKI")</f>
        <v>LAKI-LAKI</v>
      </c>
      <c r="M579" s="16" t="str">
        <f>IFERROR(__xludf.DUMMYFUNCTION("""COMPUTED_VALUE"""),"DSN SERUNDUNG PERMAI RT 006 RW 003 DS.TJ NIAGA KEC.NG PINOH KAB.MELAWI")</f>
        <v>DSN SERUNDUNG PERMAI RT 006 RW 003 DS.TJ NIAGA KEC.NG PINOH KAB.MELAWI</v>
      </c>
      <c r="N579" s="16"/>
      <c r="O579" s="16"/>
      <c r="P579" s="16"/>
      <c r="Q579" s="16"/>
      <c r="R579" s="19" t="str">
        <f>IFERROR(__xludf.DUMMYFUNCTION("""COMPUTED_VALUE"""),"PROTESTAN")</f>
        <v>PROTESTAN</v>
      </c>
      <c r="S579" s="16" t="str">
        <f>IFERROR(__xludf.DUMMYFUNCTION("""COMPUTED_VALUE"""),"TNI/POLRI")</f>
        <v>TNI/POLRI</v>
      </c>
      <c r="T579" s="16" t="str">
        <f>IFERROR(__xludf.DUMMYFUNCTION("""COMPUTED_VALUE"""),"NYERI PADA BAHU SEBELAH KANAN PASCA KECELAKAAN")</f>
        <v>NYERI PADA BAHU SEBELAH KANAN PASCA KECELAKAAN</v>
      </c>
      <c r="U579" s="16" t="str">
        <f>IFERROR(__xludf.DUMMYFUNCTION("""COMPUTED_VALUE"""),"JOGGING")</f>
        <v>JOGGING</v>
      </c>
      <c r="V579" s="11" t="str">
        <f>IFERROR(__xludf.DUMMYFUNCTION("""COMPUTED_VALUE"""),"089509262332")</f>
        <v>089509262332</v>
      </c>
      <c r="W579" s="15"/>
    </row>
    <row r="580" ht="22.5" customHeight="1">
      <c r="A580" s="8"/>
      <c r="B580" s="9">
        <f>IFERROR(__xludf.DUMMYFUNCTION("""COMPUTED_VALUE"""),45140.604852777775)</f>
        <v>45140.60485</v>
      </c>
      <c r="C580" s="9"/>
      <c r="D580" s="10">
        <f>IFERROR(__xludf.DUMMYFUNCTION("""COMPUTED_VALUE"""),45141.0)</f>
        <v>45141</v>
      </c>
      <c r="E580" s="10" t="str">
        <f>IFERROR(__xludf.DUMMYFUNCTION("""COMPUTED_VALUE"""),"08Agu")</f>
        <v>08Agu</v>
      </c>
      <c r="F580" s="10" t="str">
        <f>IFERROR(__xludf.DUMMYFUNCTION("""COMPUTED_VALUE"""),"2023")</f>
        <v>2023</v>
      </c>
      <c r="G580" s="16" t="str">
        <f>IFERROR(__xludf.DUMMYFUNCTION("""COMPUTED_VALUE"""),"SURYATI")</f>
        <v>SURYATI</v>
      </c>
      <c r="H580" s="17" t="str">
        <f>IFERROR(__xludf.DUMMYFUNCTION("""COMPUTED_VALUE"""),"S7323083657")</f>
        <v>S7323083657</v>
      </c>
      <c r="I580" s="17">
        <f>IFERROR(__xludf.DUMMYFUNCTION("""COMPUTED_VALUE"""),-948.0)</f>
        <v>-948</v>
      </c>
      <c r="J580" s="17" t="str">
        <f>IFERROR(__xludf.DUMMYFUNCTION("""COMPUTED_VALUE"""),"&lt; 18 tahun")</f>
        <v>&lt; 18 tahun</v>
      </c>
      <c r="K580" s="19">
        <f>IFERROR(__xludf.DUMMYFUNCTION("""COMPUTED_VALUE"""),392208.0)</f>
        <v>392208</v>
      </c>
      <c r="L580" s="19" t="str">
        <f>IFERROR(__xludf.DUMMYFUNCTION("""COMPUTED_VALUE"""),"PEREMPUAN")</f>
        <v>PEREMPUAN</v>
      </c>
      <c r="M580" s="16" t="str">
        <f>IFERROR(__xludf.DUMMYFUNCTION("""COMPUTED_VALUE"""),"GG. KAMBOJA BARU")</f>
        <v>GG. KAMBOJA BARU</v>
      </c>
      <c r="N580" s="16"/>
      <c r="O580" s="16"/>
      <c r="P580" s="16"/>
      <c r="Q580" s="16"/>
      <c r="R580" s="19" t="str">
        <f>IFERROR(__xludf.DUMMYFUNCTION("""COMPUTED_VALUE"""),"KATOLIK")</f>
        <v>KATOLIK</v>
      </c>
      <c r="S580" s="16" t="str">
        <f>IFERROR(__xludf.DUMMYFUNCTION("""COMPUTED_VALUE"""),"RUMAH TANGGA")</f>
        <v>RUMAH TANGGA</v>
      </c>
      <c r="T580" s="16" t="str">
        <f>IFERROR(__xludf.DUMMYFUNCTION("""COMPUTED_VALUE"""),"BETIS SAKIT")</f>
        <v>BETIS SAKIT</v>
      </c>
      <c r="U580" s="16" t="str">
        <f>IFERROR(__xludf.DUMMYFUNCTION("""COMPUTED_VALUE"""),"AEROBIK")</f>
        <v>AEROBIK</v>
      </c>
      <c r="V580" s="11" t="str">
        <f>IFERROR(__xludf.DUMMYFUNCTION("""COMPUTED_VALUE"""),"0811573657")</f>
        <v>0811573657</v>
      </c>
      <c r="W580" s="15"/>
    </row>
    <row r="581" ht="22.5" customHeight="1">
      <c r="A581" s="8"/>
      <c r="B581" s="9">
        <f>IFERROR(__xludf.DUMMYFUNCTION("""COMPUTED_VALUE"""),45140.67853653935)</f>
        <v>45140.67854</v>
      </c>
      <c r="C581" s="9"/>
      <c r="D581" s="10">
        <f>IFERROR(__xludf.DUMMYFUNCTION("""COMPUTED_VALUE"""),45141.0)</f>
        <v>45141</v>
      </c>
      <c r="E581" s="10" t="str">
        <f>IFERROR(__xludf.DUMMYFUNCTION("""COMPUTED_VALUE"""),"08Agu")</f>
        <v>08Agu</v>
      </c>
      <c r="F581" s="10" t="str">
        <f>IFERROR(__xludf.DUMMYFUNCTION("""COMPUTED_VALUE"""),"2023")</f>
        <v>2023</v>
      </c>
      <c r="G581" s="16" t="str">
        <f>IFERROR(__xludf.DUMMYFUNCTION("""COMPUTED_VALUE"""),"RAMADHAN 0510")</f>
        <v>RAMADHAN 0510</v>
      </c>
      <c r="H581" s="17" t="str">
        <f>IFERROR(__xludf.DUMMYFUNCTION("""COMPUTED_VALUE"""),"R0523089185")</f>
        <v>R0523089185</v>
      </c>
      <c r="I581" s="17">
        <f>IFERROR(__xludf.DUMMYFUNCTION("""COMPUTED_VALUE"""),20.0)</f>
        <v>20</v>
      </c>
      <c r="J581" s="17" t="str">
        <f>IFERROR(__xludf.DUMMYFUNCTION("""COMPUTED_VALUE"""),"18-24 tahun")</f>
        <v>18-24 tahun</v>
      </c>
      <c r="K581" s="19">
        <f>IFERROR(__xludf.DUMMYFUNCTION("""COMPUTED_VALUE"""),38647.0)</f>
        <v>38647</v>
      </c>
      <c r="L581" s="19" t="str">
        <f>IFERROR(__xludf.DUMMYFUNCTION("""COMPUTED_VALUE"""),"LAKI-LAKI")</f>
        <v>LAKI-LAKI</v>
      </c>
      <c r="M581" s="16" t="str">
        <f>IFERROR(__xludf.DUMMYFUNCTION("""COMPUTED_VALUE"""),"JL. WAN SEGAF NO. 6")</f>
        <v>JL. WAN SEGAF NO. 6</v>
      </c>
      <c r="N581" s="16"/>
      <c r="O581" s="16"/>
      <c r="P581" s="16"/>
      <c r="Q581" s="16"/>
      <c r="R581" s="19" t="str">
        <f>IFERROR(__xludf.DUMMYFUNCTION("""COMPUTED_VALUE"""),"ISLAM")</f>
        <v>ISLAM</v>
      </c>
      <c r="S581" s="16" t="str">
        <f>IFERROR(__xludf.DUMMYFUNCTION("""COMPUTED_VALUE"""),"PELAJAR/MAHASISWA")</f>
        <v>PELAJAR/MAHASISWA</v>
      </c>
      <c r="T581" s="16" t="str">
        <f>IFERROR(__xludf.DUMMYFUNCTION("""COMPUTED_VALUE"""),"KAKI X")</f>
        <v>KAKI X</v>
      </c>
      <c r="U581" s="16" t="str">
        <f>IFERROR(__xludf.DUMMYFUNCTION("""COMPUTED_VALUE"""),"OLAHRAGA")</f>
        <v>OLAHRAGA</v>
      </c>
      <c r="V581" s="11" t="str">
        <f>IFERROR(__xludf.DUMMYFUNCTION("""COMPUTED_VALUE"""),"082256169185")</f>
        <v>082256169185</v>
      </c>
      <c r="W581" s="15"/>
    </row>
    <row r="582" ht="22.5" customHeight="1">
      <c r="A582" s="8"/>
      <c r="B582" s="9">
        <f>IFERROR(__xludf.DUMMYFUNCTION("""COMPUTED_VALUE"""),45141.42243856481)</f>
        <v>45141.42244</v>
      </c>
      <c r="C582" s="9"/>
      <c r="D582" s="10">
        <f>IFERROR(__xludf.DUMMYFUNCTION("""COMPUTED_VALUE"""),45143.0)</f>
        <v>45143</v>
      </c>
      <c r="E582" s="10" t="str">
        <f>IFERROR(__xludf.DUMMYFUNCTION("""COMPUTED_VALUE"""),"08Agu")</f>
        <v>08Agu</v>
      </c>
      <c r="F582" s="10" t="str">
        <f>IFERROR(__xludf.DUMMYFUNCTION("""COMPUTED_VALUE"""),"2023")</f>
        <v>2023</v>
      </c>
      <c r="G582" s="16" t="str">
        <f>IFERROR(__xludf.DUMMYFUNCTION("""COMPUTED_VALUE"""),"ROLA BINTANG KURNIA")</f>
        <v>ROLA BINTANG KURNIA</v>
      </c>
      <c r="H582" s="17" t="str">
        <f>IFERROR(__xludf.DUMMYFUNCTION("""COMPUTED_VALUE"""),"R9623087823")</f>
        <v>R9623087823</v>
      </c>
      <c r="I582" s="17">
        <f>IFERROR(__xludf.DUMMYFUNCTION("""COMPUTED_VALUE"""),29.0)</f>
        <v>29</v>
      </c>
      <c r="J582" s="17" t="str">
        <f>IFERROR(__xludf.DUMMYFUNCTION("""COMPUTED_VALUE"""),"25-34 tahun")</f>
        <v>25-34 tahun</v>
      </c>
      <c r="K582" s="19">
        <f>IFERROR(__xludf.DUMMYFUNCTION("""COMPUTED_VALUE"""),35340.0)</f>
        <v>35340</v>
      </c>
      <c r="L582" s="19" t="str">
        <f>IFERROR(__xludf.DUMMYFUNCTION("""COMPUTED_VALUE"""),"LAKI-LAKI")</f>
        <v>LAKI-LAKI</v>
      </c>
      <c r="M582" s="16" t="str">
        <f>IFERROR(__xludf.DUMMYFUNCTION("""COMPUTED_VALUE"""),"Cangakan Timur, RT 003 RW 002, Kel. Cangakan, Kec. Karanganyar, Kab. Karanganyar, Jawa Tengah")</f>
        <v>Cangakan Timur, RT 003 RW 002, Kel. Cangakan, Kec. Karanganyar, Kab. Karanganyar, Jawa Tengah</v>
      </c>
      <c r="N582" s="16"/>
      <c r="O582" s="16"/>
      <c r="P582" s="16"/>
      <c r="Q582" s="16"/>
      <c r="R582" s="19" t="str">
        <f>IFERROR(__xludf.DUMMYFUNCTION("""COMPUTED_VALUE"""),"ISLAM")</f>
        <v>ISLAM</v>
      </c>
      <c r="S582" s="16" t="str">
        <f>IFERROR(__xludf.DUMMYFUNCTION("""COMPUTED_VALUE"""),"ASN")</f>
        <v>ASN</v>
      </c>
      <c r="T582" s="16" t="str">
        <f>IFERROR(__xludf.DUMMYFUNCTION("""COMPUTED_VALUE"""),"SAYA 2 MINGGU YG LALU CEDERA AKIBAT MAIN FUTSAL SEPERTINYA SALAH NAPAK KAKI SETELAH ITU PERADANGAN SENDI DAN BENGKAK. UDAH SAYA OERNAH RONTGEN INFO DOKTER TIDAK ADA PERGESERAN ATAU PATAH. TAPI UNTUK SEKARANG MASIH AGAK NGILU UNTUK LONCAT DAN OLAHRAGA BERA"&amp;"T UNTUK JALAN SUDAH NORMAL")</f>
        <v>SAYA 2 MINGGU YG LALU CEDERA AKIBAT MAIN FUTSAL SEPERTINYA SALAH NAPAK KAKI SETELAH ITU PERADANGAN SENDI DAN BENGKAK. UDAH SAYA OERNAH RONTGEN INFO DOKTER TIDAK ADA PERGESERAN ATAU PATAH. TAPI UNTUK SEKARANG MASIH AGAK NGILU UNTUK LONCAT DAN OLAHRAGA BERAT UNTUK JALAN SUDAH NORMAL</v>
      </c>
      <c r="U582" s="16" t="str">
        <f>IFERROR(__xludf.DUMMYFUNCTION("""COMPUTED_VALUE"""),"SEPAK BOLA ATAU FUTSAL")</f>
        <v>SEPAK BOLA ATAU FUTSAL</v>
      </c>
      <c r="V582" s="11" t="str">
        <f>IFERROR(__xludf.DUMMYFUNCTION("""COMPUTED_VALUE"""),"081294827823")</f>
        <v>081294827823</v>
      </c>
      <c r="W582" s="15"/>
    </row>
    <row r="583" ht="22.5" customHeight="1">
      <c r="A583" s="8"/>
      <c r="B583" s="9">
        <f>IFERROR(__xludf.DUMMYFUNCTION("""COMPUTED_VALUE"""),45141.66115965278)</f>
        <v>45141.66116</v>
      </c>
      <c r="C583" s="9"/>
      <c r="D583" s="10">
        <f>IFERROR(__xludf.DUMMYFUNCTION("""COMPUTED_VALUE"""),45143.0)</f>
        <v>45143</v>
      </c>
      <c r="E583" s="10" t="str">
        <f>IFERROR(__xludf.DUMMYFUNCTION("""COMPUTED_VALUE"""),"08Agu")</f>
        <v>08Agu</v>
      </c>
      <c r="F583" s="10" t="str">
        <f>IFERROR(__xludf.DUMMYFUNCTION("""COMPUTED_VALUE"""),"2023")</f>
        <v>2023</v>
      </c>
      <c r="G583" s="16" t="str">
        <f>IFERROR(__xludf.DUMMYFUNCTION("""COMPUTED_VALUE"""),"REZZA SETYA ALARY")</f>
        <v>REZZA SETYA ALARY</v>
      </c>
      <c r="H583" s="17" t="str">
        <f>IFERROR(__xludf.DUMMYFUNCTION("""COMPUTED_VALUE"""),"R9323089780")</f>
        <v>R9323089780</v>
      </c>
      <c r="I583" s="17">
        <f>IFERROR(__xludf.DUMMYFUNCTION("""COMPUTED_VALUE"""),32.0)</f>
        <v>32</v>
      </c>
      <c r="J583" s="17" t="str">
        <f>IFERROR(__xludf.DUMMYFUNCTION("""COMPUTED_VALUE"""),"25-34 tahun")</f>
        <v>25-34 tahun</v>
      </c>
      <c r="K583" s="19">
        <f>IFERROR(__xludf.DUMMYFUNCTION("""COMPUTED_VALUE"""),34293.0)</f>
        <v>34293</v>
      </c>
      <c r="L583" s="19" t="str">
        <f>IFERROR(__xludf.DUMMYFUNCTION("""COMPUTED_VALUE"""),"LAKI-LAKI")</f>
        <v>LAKI-LAKI</v>
      </c>
      <c r="M583" s="16" t="str">
        <f>IFERROR(__xludf.DUMMYFUNCTION("""COMPUTED_VALUE"""),"Pondok Indah Lestari E 7 No 6")</f>
        <v>Pondok Indah Lestari E 7 No 6</v>
      </c>
      <c r="N583" s="16"/>
      <c r="O583" s="16"/>
      <c r="P583" s="16"/>
      <c r="Q583" s="16"/>
      <c r="R583" s="19" t="str">
        <f>IFERROR(__xludf.DUMMYFUNCTION("""COMPUTED_VALUE"""),"ISLAM")</f>
        <v>ISLAM</v>
      </c>
      <c r="S583" s="16" t="str">
        <f>IFERROR(__xludf.DUMMYFUNCTION("""COMPUTED_VALUE"""),"ASN")</f>
        <v>ASN</v>
      </c>
      <c r="T583" s="16" t="str">
        <f>IFERROR(__xludf.DUMMYFUNCTION("""COMPUTED_VALUE"""),"SARAF PINGGANG KEJEPIT")</f>
        <v>SARAF PINGGANG KEJEPIT</v>
      </c>
      <c r="U583" s="16" t="str">
        <f>IFERROR(__xludf.DUMMYFUNCTION("""COMPUTED_VALUE"""),"OLAHRAGA")</f>
        <v>OLAHRAGA</v>
      </c>
      <c r="V583" s="11" t="str">
        <f>IFERROR(__xludf.DUMMYFUNCTION("""COMPUTED_VALUE"""),"082148109780")</f>
        <v>082148109780</v>
      </c>
      <c r="W583" s="15"/>
    </row>
    <row r="584" ht="22.5" customHeight="1">
      <c r="A584" s="8"/>
      <c r="B584" s="9">
        <f>IFERROR(__xludf.DUMMYFUNCTION("""COMPUTED_VALUE"""),45141.9077315162)</f>
        <v>45141.90773</v>
      </c>
      <c r="C584" s="9"/>
      <c r="D584" s="10">
        <f>IFERROR(__xludf.DUMMYFUNCTION("""COMPUTED_VALUE"""),45143.0)</f>
        <v>45143</v>
      </c>
      <c r="E584" s="10" t="str">
        <f>IFERROR(__xludf.DUMMYFUNCTION("""COMPUTED_VALUE"""),"08Agu")</f>
        <v>08Agu</v>
      </c>
      <c r="F584" s="10" t="str">
        <f>IFERROR(__xludf.DUMMYFUNCTION("""COMPUTED_VALUE"""),"2023")</f>
        <v>2023</v>
      </c>
      <c r="G584" s="16" t="str">
        <f>IFERROR(__xludf.DUMMYFUNCTION("""COMPUTED_VALUE"""),"M. RAZIQ HANAN")</f>
        <v>M. RAZIQ HANAN</v>
      </c>
      <c r="H584" s="17" t="str">
        <f>IFERROR(__xludf.DUMMYFUNCTION("""COMPUTED_VALUE"""),"M1323086565")</f>
        <v>M1323086565</v>
      </c>
      <c r="I584" s="17">
        <f>IFERROR(__xludf.DUMMYFUNCTION("""COMPUTED_VALUE"""),12.0)</f>
        <v>12</v>
      </c>
      <c r="J584" s="17" t="str">
        <f>IFERROR(__xludf.DUMMYFUNCTION("""COMPUTED_VALUE"""),"&lt; 18 tahun")</f>
        <v>&lt; 18 tahun</v>
      </c>
      <c r="K584" s="19">
        <f>IFERROR(__xludf.DUMMYFUNCTION("""COMPUTED_VALUE"""),41602.0)</f>
        <v>41602</v>
      </c>
      <c r="L584" s="19" t="str">
        <f>IFERROR(__xludf.DUMMYFUNCTION("""COMPUTED_VALUE"""),"LAKI-LAKI")</f>
        <v>LAKI-LAKI</v>
      </c>
      <c r="M584" s="16" t="str">
        <f>IFERROR(__xludf.DUMMYFUNCTION("""COMPUTED_VALUE"""),"PURWOSARI AGUNG")</f>
        <v>PURWOSARI AGUNG</v>
      </c>
      <c r="N584" s="16"/>
      <c r="O584" s="16"/>
      <c r="P584" s="16"/>
      <c r="Q584" s="16"/>
      <c r="R584" s="19" t="str">
        <f>IFERROR(__xludf.DUMMYFUNCTION("""COMPUTED_VALUE"""),"ISLAM")</f>
        <v>ISLAM</v>
      </c>
      <c r="S584" s="16" t="str">
        <f>IFERROR(__xludf.DUMMYFUNCTION("""COMPUTED_VALUE"""),"PELAJAR/MAHASISWA")</f>
        <v>PELAJAR/MAHASISWA</v>
      </c>
      <c r="T584" s="16" t="str">
        <f>IFERROR(__xludf.DUMMYFUNCTION("""COMPUTED_VALUE"""),"SAKIT PINGGANG")</f>
        <v>SAKIT PINGGANG</v>
      </c>
      <c r="U584" s="16" t="str">
        <f>IFERROR(__xludf.DUMMYFUNCTION("""COMPUTED_VALUE"""),"DUDUK")</f>
        <v>DUDUK</v>
      </c>
      <c r="V584" s="11" t="str">
        <f>IFERROR(__xludf.DUMMYFUNCTION("""COMPUTED_VALUE"""),"081345916565")</f>
        <v>081345916565</v>
      </c>
      <c r="W584" s="15"/>
    </row>
    <row r="585" ht="22.5" customHeight="1">
      <c r="A585" s="8"/>
      <c r="B585" s="9">
        <f>IFERROR(__xludf.DUMMYFUNCTION("""COMPUTED_VALUE"""),45143.707133194446)</f>
        <v>45143.70713</v>
      </c>
      <c r="C585" s="9"/>
      <c r="D585" s="10">
        <f>IFERROR(__xludf.DUMMYFUNCTION("""COMPUTED_VALUE"""),45144.0)</f>
        <v>45144</v>
      </c>
      <c r="E585" s="10" t="str">
        <f>IFERROR(__xludf.DUMMYFUNCTION("""COMPUTED_VALUE"""),"08Agu")</f>
        <v>08Agu</v>
      </c>
      <c r="F585" s="10" t="str">
        <f>IFERROR(__xludf.DUMMYFUNCTION("""COMPUTED_VALUE"""),"2023")</f>
        <v>2023</v>
      </c>
      <c r="G585" s="16" t="str">
        <f>IFERROR(__xludf.DUMMYFUNCTION("""COMPUTED_VALUE"""),"ERWIN DJUNG")</f>
        <v>ERWIN DJUNG</v>
      </c>
      <c r="H585" s="17" t="str">
        <f>IFERROR(__xludf.DUMMYFUNCTION("""COMPUTED_VALUE"""),"E6223083788")</f>
        <v>E6223083788</v>
      </c>
      <c r="I585" s="17">
        <f>IFERROR(__xludf.DUMMYFUNCTION("""COMPUTED_VALUE"""),64.0)</f>
        <v>64</v>
      </c>
      <c r="J585" s="17" t="str">
        <f>IFERROR(__xludf.DUMMYFUNCTION("""COMPUTED_VALUE"""),"&gt; 44 tahun")</f>
        <v>&gt; 44 tahun</v>
      </c>
      <c r="K585" s="19">
        <f>IFERROR(__xludf.DUMMYFUNCTION("""COMPUTED_VALUE"""),22653.0)</f>
        <v>22653</v>
      </c>
      <c r="L585" s="19" t="str">
        <f>IFERROR(__xludf.DUMMYFUNCTION("""COMPUTED_VALUE"""),"LAKI-LAKI")</f>
        <v>LAKI-LAKI</v>
      </c>
      <c r="M585" s="16" t="str">
        <f>IFERROR(__xludf.DUMMYFUNCTION("""COMPUTED_VALUE"""),"Purnama agung 7 no M2 Pontianak")</f>
        <v>Purnama agung 7 no M2 Pontianak</v>
      </c>
      <c r="N585" s="16"/>
      <c r="O585" s="16"/>
      <c r="P585" s="16"/>
      <c r="Q585" s="16"/>
      <c r="R585" s="19" t="str">
        <f>IFERROR(__xludf.DUMMYFUNCTION("""COMPUTED_VALUE"""),"PROTESTAN")</f>
        <v>PROTESTAN</v>
      </c>
      <c r="S585" s="16" t="str">
        <f>IFERROR(__xludf.DUMMYFUNCTION("""COMPUTED_VALUE"""),"ASN")</f>
        <v>ASN</v>
      </c>
      <c r="T585" s="36" t="str">
        <f>IFERROR(__xludf.DUMMYFUNCTION("""COMPUTED_VALUE"""),"DSN SERUNDUNG PERMAI RT 006 RW 003 DS.TJ NIAGA KEC.NG PINOH KAB.MELAWI")</f>
        <v>DSN SERUNDUNG PERMAI RT 006 RW 003 DS.TJ NIAGA KEC.NG PINOH KAB.MELAWI</v>
      </c>
      <c r="U585" s="16" t="str">
        <f>IFERROR(__xludf.DUMMYFUNCTION("""COMPUTED_VALUE"""),"NONTON")</f>
        <v>NONTON</v>
      </c>
      <c r="V585" s="11" t="str">
        <f>IFERROR(__xludf.DUMMYFUNCTION("""COMPUTED_VALUE"""),"081283093788")</f>
        <v>081283093788</v>
      </c>
      <c r="W585" s="15"/>
    </row>
    <row r="586" ht="22.5" customHeight="1">
      <c r="A586" s="8"/>
      <c r="B586" s="9">
        <f>IFERROR(__xludf.DUMMYFUNCTION("""COMPUTED_VALUE"""),45144.6798484375)</f>
        <v>45144.67985</v>
      </c>
      <c r="C586" s="9"/>
      <c r="D586" s="10">
        <f>IFERROR(__xludf.DUMMYFUNCTION("""COMPUTED_VALUE"""),45144.0)</f>
        <v>45144</v>
      </c>
      <c r="E586" s="10" t="str">
        <f>IFERROR(__xludf.DUMMYFUNCTION("""COMPUTED_VALUE"""),"08Agu")</f>
        <v>08Agu</v>
      </c>
      <c r="F586" s="10" t="str">
        <f>IFERROR(__xludf.DUMMYFUNCTION("""COMPUTED_VALUE"""),"2023")</f>
        <v>2023</v>
      </c>
      <c r="G586" s="16" t="str">
        <f>IFERROR(__xludf.DUMMYFUNCTION("""COMPUTED_VALUE"""),"POSMA MAS HERLINA")</f>
        <v>POSMA MAS HERLINA</v>
      </c>
      <c r="H586" s="17" t="str">
        <f>IFERROR(__xludf.DUMMYFUNCTION("""COMPUTED_VALUE"""),"P6223084907")</f>
        <v>P6223084907</v>
      </c>
      <c r="I586" s="17">
        <f>IFERROR(__xludf.DUMMYFUNCTION("""COMPUTED_VALUE"""),63.0)</f>
        <v>63</v>
      </c>
      <c r="J586" s="17" t="str">
        <f>IFERROR(__xludf.DUMMYFUNCTION("""COMPUTED_VALUE"""),"&gt; 44 tahun")</f>
        <v>&gt; 44 tahun</v>
      </c>
      <c r="K586" s="19">
        <f>IFERROR(__xludf.DUMMYFUNCTION("""COMPUTED_VALUE"""),22987.0)</f>
        <v>22987</v>
      </c>
      <c r="L586" s="19" t="str">
        <f>IFERROR(__xludf.DUMMYFUNCTION("""COMPUTED_VALUE"""),"PEREMPUAN")</f>
        <v>PEREMPUAN</v>
      </c>
      <c r="M586" s="16" t="str">
        <f>IFERROR(__xludf.DUMMYFUNCTION("""COMPUTED_VALUE"""),"Purnama agung 7 no. M2")</f>
        <v>Purnama agung 7 no. M2</v>
      </c>
      <c r="N586" s="16"/>
      <c r="O586" s="16"/>
      <c r="P586" s="16"/>
      <c r="Q586" s="16"/>
      <c r="R586" s="19" t="str">
        <f>IFERROR(__xludf.DUMMYFUNCTION("""COMPUTED_VALUE"""),"PROTESTAN")</f>
        <v>PROTESTAN</v>
      </c>
      <c r="S586" s="16" t="str">
        <f>IFERROR(__xludf.DUMMYFUNCTION("""COMPUTED_VALUE"""),"RUMAH TANGGA")</f>
        <v>RUMAH TANGGA</v>
      </c>
      <c r="T586" s="16" t="str">
        <f>IFERROR(__xludf.DUMMYFUNCTION("""COMPUTED_VALUE"""),"KERAS DAN RASA SAKIT DI BAHU")</f>
        <v>KERAS DAN RASA SAKIT DI BAHU</v>
      </c>
      <c r="U586" s="16" t="str">
        <f>IFERROR(__xludf.DUMMYFUNCTION("""COMPUTED_VALUE"""),"NONTON")</f>
        <v>NONTON</v>
      </c>
      <c r="V586" s="11" t="str">
        <f>IFERROR(__xludf.DUMMYFUNCTION("""COMPUTED_VALUE"""),"085232264907")</f>
        <v>085232264907</v>
      </c>
      <c r="W586" s="15"/>
    </row>
    <row r="587" ht="22.5" customHeight="1">
      <c r="A587" s="8"/>
      <c r="B587" s="9">
        <f>IFERROR(__xludf.DUMMYFUNCTION("""COMPUTED_VALUE"""),45145.44901483796)</f>
        <v>45145.44901</v>
      </c>
      <c r="C587" s="9"/>
      <c r="D587" s="10">
        <f>IFERROR(__xludf.DUMMYFUNCTION("""COMPUTED_VALUE"""),45144.0)</f>
        <v>45144</v>
      </c>
      <c r="E587" s="10" t="str">
        <f>IFERROR(__xludf.DUMMYFUNCTION("""COMPUTED_VALUE"""),"08Agu")</f>
        <v>08Agu</v>
      </c>
      <c r="F587" s="10" t="str">
        <f>IFERROR(__xludf.DUMMYFUNCTION("""COMPUTED_VALUE"""),"2023")</f>
        <v>2023</v>
      </c>
      <c r="G587" s="16" t="str">
        <f>IFERROR(__xludf.DUMMYFUNCTION("""COMPUTED_VALUE"""),"MEGA SHINTIAWATI")</f>
        <v>MEGA SHINTIAWATI</v>
      </c>
      <c r="H587" s="17" t="str">
        <f>IFERROR(__xludf.DUMMYFUNCTION("""COMPUTED_VALUE"""),"M9523087439")</f>
        <v>M9523087439</v>
      </c>
      <c r="I587" s="17">
        <f>IFERROR(__xludf.DUMMYFUNCTION("""COMPUTED_VALUE"""),30.0)</f>
        <v>30</v>
      </c>
      <c r="J587" s="17" t="str">
        <f>IFERROR(__xludf.DUMMYFUNCTION("""COMPUTED_VALUE"""),"25-34 tahun")</f>
        <v>25-34 tahun</v>
      </c>
      <c r="K587" s="19">
        <f>IFERROR(__xludf.DUMMYFUNCTION("""COMPUTED_VALUE"""),34889.0)</f>
        <v>34889</v>
      </c>
      <c r="L587" s="19" t="str">
        <f>IFERROR(__xludf.DUMMYFUNCTION("""COMPUTED_VALUE"""),"PEREMPUAN")</f>
        <v>PEREMPUAN</v>
      </c>
      <c r="M587" s="16" t="str">
        <f>IFERROR(__xludf.DUMMYFUNCTION("""COMPUTED_VALUE"""),"Jalan karet Gang alam jaya 2, Queenza residen no 3")</f>
        <v>Jalan karet Gang alam jaya 2, Queenza residen no 3</v>
      </c>
      <c r="N587" s="16"/>
      <c r="O587" s="16"/>
      <c r="P587" s="16"/>
      <c r="Q587" s="16"/>
      <c r="R587" s="19" t="str">
        <f>IFERROR(__xludf.DUMMYFUNCTION("""COMPUTED_VALUE"""),"ISLAM")</f>
        <v>ISLAM</v>
      </c>
      <c r="S587" s="16" t="str">
        <f>IFERROR(__xludf.DUMMYFUNCTION("""COMPUTED_VALUE"""),"SWASTA")</f>
        <v>SWASTA</v>
      </c>
      <c r="T587" s="16" t="str">
        <f>IFERROR(__xludf.DUMMYFUNCTION("""COMPUTED_VALUE"""),"SAKIT DI TANGAN")</f>
        <v>SAKIT DI TANGAN</v>
      </c>
      <c r="U587" s="16" t="str">
        <f>IFERROR(__xludf.DUMMYFUNCTION("""COMPUTED_VALUE"""),"GYM, TENNIS")</f>
        <v>GYM, TENNIS</v>
      </c>
      <c r="V587" s="11" t="str">
        <f>IFERROR(__xludf.DUMMYFUNCTION("""COMPUTED_VALUE"""),"082119067439")</f>
        <v>082119067439</v>
      </c>
      <c r="W587" s="15"/>
    </row>
    <row r="588" ht="22.5" customHeight="1">
      <c r="A588" s="8"/>
      <c r="B588" s="9">
        <f>IFERROR(__xludf.DUMMYFUNCTION("""COMPUTED_VALUE"""),45145.46606203704)</f>
        <v>45145.46606</v>
      </c>
      <c r="C588" s="9"/>
      <c r="D588" s="10">
        <f>IFERROR(__xludf.DUMMYFUNCTION("""COMPUTED_VALUE"""),45145.0)</f>
        <v>45145</v>
      </c>
      <c r="E588" s="10" t="str">
        <f>IFERROR(__xludf.DUMMYFUNCTION("""COMPUTED_VALUE"""),"08Agu")</f>
        <v>08Agu</v>
      </c>
      <c r="F588" s="10" t="str">
        <f>IFERROR(__xludf.DUMMYFUNCTION("""COMPUTED_VALUE"""),"2023")</f>
        <v>2023</v>
      </c>
      <c r="G588" s="16" t="str">
        <f>IFERROR(__xludf.DUMMYFUNCTION("""COMPUTED_VALUE"""),"PRAYOKO TANGESTU TANTRA")</f>
        <v>PRAYOKO TANGESTU TANTRA</v>
      </c>
      <c r="H588" s="17" t="str">
        <f>IFERROR(__xludf.DUMMYFUNCTION("""COMPUTED_VALUE"""),"P9723086797")</f>
        <v>P9723086797</v>
      </c>
      <c r="I588" s="17">
        <f>IFERROR(__xludf.DUMMYFUNCTION("""COMPUTED_VALUE"""),29.0)</f>
        <v>29</v>
      </c>
      <c r="J588" s="17" t="str">
        <f>IFERROR(__xludf.DUMMYFUNCTION("""COMPUTED_VALUE"""),"25-34 tahun")</f>
        <v>25-34 tahun</v>
      </c>
      <c r="K588" s="19">
        <f>IFERROR(__xludf.DUMMYFUNCTION("""COMPUTED_VALUE"""),35432.0)</f>
        <v>35432</v>
      </c>
      <c r="L588" s="19" t="str">
        <f>IFERROR(__xludf.DUMMYFUNCTION("""COMPUTED_VALUE"""),"LAKI-LAKI")</f>
        <v>LAKI-LAKI</v>
      </c>
      <c r="M588" s="16" t="str">
        <f>IFERROR(__xludf.DUMMYFUNCTION("""COMPUTED_VALUE"""),"Jl. Pasar Baru Blok E No.12")</f>
        <v>Jl. Pasar Baru Blok E No.12</v>
      </c>
      <c r="N588" s="16"/>
      <c r="O588" s="16"/>
      <c r="P588" s="16"/>
      <c r="Q588" s="16"/>
      <c r="R588" s="19" t="str">
        <f>IFERROR(__xludf.DUMMYFUNCTION("""COMPUTED_VALUE"""),"KATOLIK")</f>
        <v>KATOLIK</v>
      </c>
      <c r="S588" s="16" t="str">
        <f>IFERROR(__xludf.DUMMYFUNCTION("""COMPUTED_VALUE"""),"SWASTA")</f>
        <v>SWASTA</v>
      </c>
      <c r="T588" s="16" t="str">
        <f>IFERROR(__xludf.DUMMYFUNCTION("""COMPUTED_VALUE"""),"KAKI SEBELAH KIRI BENGKAK D BAGIAN ANKLE DAN D BETIS ADA GUMPALAN DARAH")</f>
        <v>KAKI SEBELAH KIRI BENGKAK D BAGIAN ANKLE DAN D BETIS ADA GUMPALAN DARAH</v>
      </c>
      <c r="U588" s="16" t="str">
        <f>IFERROR(__xludf.DUMMYFUNCTION("""COMPUTED_VALUE"""),"BULU TANGKIS, GYM")</f>
        <v>BULU TANGKIS, GYM</v>
      </c>
      <c r="V588" s="11" t="str">
        <f>IFERROR(__xludf.DUMMYFUNCTION("""COMPUTED_VALUE"""),"081299676797")</f>
        <v>081299676797</v>
      </c>
      <c r="W588" s="15"/>
    </row>
    <row r="589" ht="22.5" customHeight="1">
      <c r="A589" s="8"/>
      <c r="B589" s="9">
        <f>IFERROR(__xludf.DUMMYFUNCTION("""COMPUTED_VALUE"""),45145.46708256945)</f>
        <v>45145.46708</v>
      </c>
      <c r="C589" s="9"/>
      <c r="D589" s="10">
        <f>IFERROR(__xludf.DUMMYFUNCTION("""COMPUTED_VALUE"""),45145.0)</f>
        <v>45145</v>
      </c>
      <c r="E589" s="10" t="str">
        <f>IFERROR(__xludf.DUMMYFUNCTION("""COMPUTED_VALUE"""),"08Agu")</f>
        <v>08Agu</v>
      </c>
      <c r="F589" s="10" t="str">
        <f>IFERROR(__xludf.DUMMYFUNCTION("""COMPUTED_VALUE"""),"2023")</f>
        <v>2023</v>
      </c>
      <c r="G589" s="16" t="str">
        <f>IFERROR(__xludf.DUMMYFUNCTION("""COMPUTED_VALUE"""),"ISMURHADI RIZKI")</f>
        <v>ISMURHADI RIZKI</v>
      </c>
      <c r="H589" s="17" t="str">
        <f>IFERROR(__xludf.DUMMYFUNCTION("""COMPUTED_VALUE"""),"I9423084523")</f>
        <v>I9423084523</v>
      </c>
      <c r="I589" s="17">
        <f>IFERROR(__xludf.DUMMYFUNCTION("""COMPUTED_VALUE"""),32.0)</f>
        <v>32</v>
      </c>
      <c r="J589" s="17" t="str">
        <f>IFERROR(__xludf.DUMMYFUNCTION("""COMPUTED_VALUE"""),"25-34 tahun")</f>
        <v>25-34 tahun</v>
      </c>
      <c r="K589" s="19">
        <f>IFERROR(__xludf.DUMMYFUNCTION("""COMPUTED_VALUE"""),34438.0)</f>
        <v>34438</v>
      </c>
      <c r="L589" s="19" t="str">
        <f>IFERROR(__xludf.DUMMYFUNCTION("""COMPUTED_VALUE"""),"LAKI-LAKI")</f>
        <v>LAKI-LAKI</v>
      </c>
      <c r="M589" s="16" t="str">
        <f>IFERROR(__xludf.DUMMYFUNCTION("""COMPUTED_VALUE"""),"Komp mitra raya lestari V")</f>
        <v>Komp mitra raya lestari V</v>
      </c>
      <c r="N589" s="16"/>
      <c r="O589" s="16"/>
      <c r="P589" s="16"/>
      <c r="Q589" s="16"/>
      <c r="R589" s="19" t="str">
        <f>IFERROR(__xludf.DUMMYFUNCTION("""COMPUTED_VALUE"""),"ISLAM")</f>
        <v>ISLAM</v>
      </c>
      <c r="S589" s="16" t="str">
        <f>IFERROR(__xludf.DUMMYFUNCTION("""COMPUTED_VALUE"""),"ASN")</f>
        <v>ASN</v>
      </c>
      <c r="T589" s="36" t="str">
        <f>IFERROR(__xludf.DUMMYFUNCTION("""COMPUTED_VALUE"""),"RECOVERY PASCA KESELEO")</f>
        <v>RECOVERY PASCA KESELEO</v>
      </c>
      <c r="U589" s="16" t="str">
        <f>IFERROR(__xludf.DUMMYFUNCTION("""COMPUTED_VALUE"""),"OLAHRAGA")</f>
        <v>OLAHRAGA</v>
      </c>
      <c r="V589" s="11" t="str">
        <f>IFERROR(__xludf.DUMMYFUNCTION("""COMPUTED_VALUE"""),"085750184523")</f>
        <v>085750184523</v>
      </c>
      <c r="W589" s="15"/>
    </row>
    <row r="590" ht="22.5" customHeight="1">
      <c r="A590" s="8"/>
      <c r="B590" s="9">
        <f>IFERROR(__xludf.DUMMYFUNCTION("""COMPUTED_VALUE"""),45145.579115381945)</f>
        <v>45145.57912</v>
      </c>
      <c r="C590" s="9"/>
      <c r="D590" s="10">
        <f>IFERROR(__xludf.DUMMYFUNCTION("""COMPUTED_VALUE"""),45145.0)</f>
        <v>45145</v>
      </c>
      <c r="E590" s="10" t="str">
        <f>IFERROR(__xludf.DUMMYFUNCTION("""COMPUTED_VALUE"""),"08Agu")</f>
        <v>08Agu</v>
      </c>
      <c r="F590" s="10" t="str">
        <f>IFERROR(__xludf.DUMMYFUNCTION("""COMPUTED_VALUE"""),"2023")</f>
        <v>2023</v>
      </c>
      <c r="G590" s="16" t="str">
        <f>IFERROR(__xludf.DUMMYFUNCTION("""COMPUTED_VALUE"""),"ERIC MEINARD TAMPUBOLON")</f>
        <v>ERIC MEINARD TAMPUBOLON</v>
      </c>
      <c r="H590" s="17" t="str">
        <f>IFERROR(__xludf.DUMMYFUNCTION("""COMPUTED_VALUE"""),"E8423086861")</f>
        <v>E8423086861</v>
      </c>
      <c r="I590" s="17">
        <f>IFERROR(__xludf.DUMMYFUNCTION("""COMPUTED_VALUE"""),42.0)</f>
        <v>42</v>
      </c>
      <c r="J590" s="17" t="str">
        <f>IFERROR(__xludf.DUMMYFUNCTION("""COMPUTED_VALUE"""),"35-44 tahun")</f>
        <v>35-44 tahun</v>
      </c>
      <c r="K590" s="19">
        <f>IFERROR(__xludf.DUMMYFUNCTION("""COMPUTED_VALUE"""),30820.0)</f>
        <v>30820</v>
      </c>
      <c r="L590" s="19" t="str">
        <f>IFERROR(__xludf.DUMMYFUNCTION("""COMPUTED_VALUE"""),"LAKI-LAKI")</f>
        <v>LAKI-LAKI</v>
      </c>
      <c r="M590" s="16" t="str">
        <f>IFERROR(__xludf.DUMMYFUNCTION("""COMPUTED_VALUE"""),"Jln abdurahman saleh gg abdurahman saleh 2 no 7")</f>
        <v>Jln abdurahman saleh gg abdurahman saleh 2 no 7</v>
      </c>
      <c r="N590" s="16"/>
      <c r="O590" s="16"/>
      <c r="P590" s="16"/>
      <c r="Q590" s="16"/>
      <c r="R590" s="19" t="str">
        <f>IFERROR(__xludf.DUMMYFUNCTION("""COMPUTED_VALUE"""),"PROTESTAN")</f>
        <v>PROTESTAN</v>
      </c>
      <c r="S590" s="16" t="str">
        <f>IFERROR(__xludf.DUMMYFUNCTION("""COMPUTED_VALUE"""),"SWASTA")</f>
        <v>SWASTA</v>
      </c>
      <c r="T590" s="36" t="str">
        <f>IFERROR(__xludf.DUMMYFUNCTION("""COMPUTED_VALUE"""),"KESELEO")</f>
        <v>KESELEO</v>
      </c>
      <c r="U590" s="16" t="str">
        <f>IFERROR(__xludf.DUMMYFUNCTION("""COMPUTED_VALUE"""),"SEPEDAAN")</f>
        <v>SEPEDAAN</v>
      </c>
      <c r="V590" s="11" t="str">
        <f>IFERROR(__xludf.DUMMYFUNCTION("""COMPUTED_VALUE"""),"085252036861")</f>
        <v>085252036861</v>
      </c>
      <c r="W590" s="15"/>
    </row>
    <row r="591" ht="22.5" customHeight="1">
      <c r="A591" s="8"/>
      <c r="B591" s="9">
        <f>IFERROR(__xludf.DUMMYFUNCTION("""COMPUTED_VALUE"""),45145.719316469906)</f>
        <v>45145.71932</v>
      </c>
      <c r="C591" s="9"/>
      <c r="D591" s="10">
        <f>IFERROR(__xludf.DUMMYFUNCTION("""COMPUTED_VALUE"""),45145.0)</f>
        <v>45145</v>
      </c>
      <c r="E591" s="10" t="str">
        <f>IFERROR(__xludf.DUMMYFUNCTION("""COMPUTED_VALUE"""),"08Agu")</f>
        <v>08Agu</v>
      </c>
      <c r="F591" s="10" t="str">
        <f>IFERROR(__xludf.DUMMYFUNCTION("""COMPUTED_VALUE"""),"2023")</f>
        <v>2023</v>
      </c>
      <c r="G591" s="16" t="str">
        <f>IFERROR(__xludf.DUMMYFUNCTION("""COMPUTED_VALUE"""),"HENDRIATY S")</f>
        <v>HENDRIATY S</v>
      </c>
      <c r="H591" s="17" t="str">
        <f>IFERROR(__xludf.DUMMYFUNCTION("""COMPUTED_VALUE"""),"H5923089099")</f>
        <v>H5923089099</v>
      </c>
      <c r="I591" s="17">
        <f>IFERROR(__xludf.DUMMYFUNCTION("""COMPUTED_VALUE"""),67.0)</f>
        <v>67</v>
      </c>
      <c r="J591" s="17" t="str">
        <f>IFERROR(__xludf.DUMMYFUNCTION("""COMPUTED_VALUE"""),"&gt; 44 tahun")</f>
        <v>&gt; 44 tahun</v>
      </c>
      <c r="K591" s="19">
        <f>IFERROR(__xludf.DUMMYFUNCTION("""COMPUTED_VALUE"""),21684.0)</f>
        <v>21684</v>
      </c>
      <c r="L591" s="19" t="str">
        <f>IFERROR(__xludf.DUMMYFUNCTION("""COMPUTED_VALUE"""),"PEREMPUAN")</f>
        <v>PEREMPUAN</v>
      </c>
      <c r="M591" s="16" t="str">
        <f>IFERROR(__xludf.DUMMYFUNCTION("""COMPUTED_VALUE"""),"JL GUSTI HAMZAH GG HIDAYAH NO 28")</f>
        <v>JL GUSTI HAMZAH GG HIDAYAH NO 28</v>
      </c>
      <c r="N591" s="16"/>
      <c r="O591" s="16"/>
      <c r="P591" s="16"/>
      <c r="Q591" s="16"/>
      <c r="R591" s="19" t="str">
        <f>IFERROR(__xludf.DUMMYFUNCTION("""COMPUTED_VALUE"""),"ISLAM")</f>
        <v>ISLAM</v>
      </c>
      <c r="S591" s="16" t="str">
        <f>IFERROR(__xludf.DUMMYFUNCTION("""COMPUTED_VALUE"""),"PENSIUN")</f>
        <v>PENSIUN</v>
      </c>
      <c r="T591" s="36" t="str">
        <f>IFERROR(__xludf.DUMMYFUNCTION("""COMPUTED_VALUE"""),"PINGGANG")</f>
        <v>PINGGANG</v>
      </c>
      <c r="U591" s="36" t="str">
        <f>IFERROR(__xludf.DUMMYFUNCTION("""COMPUTED_VALUE"""),"-")</f>
        <v>-</v>
      </c>
      <c r="V591" s="11" t="str">
        <f>IFERROR(__xludf.DUMMYFUNCTION("""COMPUTED_VALUE"""),"081258089099")</f>
        <v>081258089099</v>
      </c>
      <c r="W591" s="15"/>
    </row>
    <row r="592" ht="22.5" customHeight="1">
      <c r="A592" s="8"/>
      <c r="B592" s="9">
        <f>IFERROR(__xludf.DUMMYFUNCTION("""COMPUTED_VALUE"""),45145.73108724537)</f>
        <v>45145.73109</v>
      </c>
      <c r="C592" s="9"/>
      <c r="D592" s="10">
        <f>IFERROR(__xludf.DUMMYFUNCTION("""COMPUTED_VALUE"""),45146.0)</f>
        <v>45146</v>
      </c>
      <c r="E592" s="10" t="str">
        <f>IFERROR(__xludf.DUMMYFUNCTION("""COMPUTED_VALUE"""),"08Agu")</f>
        <v>08Agu</v>
      </c>
      <c r="F592" s="10" t="str">
        <f>IFERROR(__xludf.DUMMYFUNCTION("""COMPUTED_VALUE"""),"2023")</f>
        <v>2023</v>
      </c>
      <c r="G592" s="16" t="str">
        <f>IFERROR(__xludf.DUMMYFUNCTION("""COMPUTED_VALUE"""),"LILIS ANDRIYANI")</f>
        <v>LILIS ANDRIYANI</v>
      </c>
      <c r="H592" s="17" t="str">
        <f>IFERROR(__xludf.DUMMYFUNCTION("""COMPUTED_VALUE"""),"L7423084255")</f>
        <v>L7423084255</v>
      </c>
      <c r="I592" s="17">
        <f>IFERROR(__xludf.DUMMYFUNCTION("""COMPUTED_VALUE"""),51.0)</f>
        <v>51</v>
      </c>
      <c r="J592" s="17" t="str">
        <f>IFERROR(__xludf.DUMMYFUNCTION("""COMPUTED_VALUE"""),"&gt; 44 tahun")</f>
        <v>&gt; 44 tahun</v>
      </c>
      <c r="K592" s="19">
        <f>IFERROR(__xludf.DUMMYFUNCTION("""COMPUTED_VALUE"""),27296.0)</f>
        <v>27296</v>
      </c>
      <c r="L592" s="19" t="str">
        <f>IFERROR(__xludf.DUMMYFUNCTION("""COMPUTED_VALUE"""),"PEREMPUAN")</f>
        <v>PEREMPUAN</v>
      </c>
      <c r="M592" s="16" t="str">
        <f>IFERROR(__xludf.DUMMYFUNCTION("""COMPUTED_VALUE"""),"Jl.SEI RAYA DALAM, KOMPLEKS MITRA UTAMA INDAH 1 NO.AA1")</f>
        <v>Jl.SEI RAYA DALAM, KOMPLEKS MITRA UTAMA INDAH 1 NO.AA1</v>
      </c>
      <c r="N592" s="16"/>
      <c r="O592" s="16"/>
      <c r="P592" s="16"/>
      <c r="Q592" s="16"/>
      <c r="R592" s="19" t="str">
        <f>IFERROR(__xludf.DUMMYFUNCTION("""COMPUTED_VALUE"""),"KATOLIK")</f>
        <v>KATOLIK</v>
      </c>
      <c r="S592" s="16" t="str">
        <f>IFERROR(__xludf.DUMMYFUNCTION("""COMPUTED_VALUE"""),"RUMAH TANGGA")</f>
        <v>RUMAH TANGGA</v>
      </c>
      <c r="T592" s="16" t="str">
        <f>IFERROR(__xludf.DUMMYFUNCTION("""COMPUTED_VALUE"""),"KAKI SAKIT")</f>
        <v>KAKI SAKIT</v>
      </c>
      <c r="U592" s="16" t="str">
        <f>IFERROR(__xludf.DUMMYFUNCTION("""COMPUTED_VALUE"""),"JOGGING")</f>
        <v>JOGGING</v>
      </c>
      <c r="V592" s="11" t="str">
        <f>IFERROR(__xludf.DUMMYFUNCTION("""COMPUTED_VALUE"""),"0811564255")</f>
        <v>0811564255</v>
      </c>
      <c r="W592" s="15"/>
    </row>
    <row r="593" ht="22.5" customHeight="1">
      <c r="A593" s="8"/>
      <c r="B593" s="9">
        <f>IFERROR(__xludf.DUMMYFUNCTION("""COMPUTED_VALUE"""),45145.73472824074)</f>
        <v>45145.73473</v>
      </c>
      <c r="C593" s="9"/>
      <c r="D593" s="10">
        <f>IFERROR(__xludf.DUMMYFUNCTION("""COMPUTED_VALUE"""),45146.0)</f>
        <v>45146</v>
      </c>
      <c r="E593" s="10" t="str">
        <f>IFERROR(__xludf.DUMMYFUNCTION("""COMPUTED_VALUE"""),"08Agu")</f>
        <v>08Agu</v>
      </c>
      <c r="F593" s="10" t="str">
        <f>IFERROR(__xludf.DUMMYFUNCTION("""COMPUTED_VALUE"""),"2023")</f>
        <v>2023</v>
      </c>
      <c r="G593" s="16" t="str">
        <f>IFERROR(__xludf.DUMMYFUNCTION("""COMPUTED_VALUE"""),"MUHAMMAD LUTFI TRI DARMAWAN")</f>
        <v>MUHAMMAD LUTFI TRI DARMAWAN</v>
      </c>
      <c r="H593" s="17" t="str">
        <f>IFERROR(__xludf.DUMMYFUNCTION("""COMPUTED_VALUE"""),"M9323084088")</f>
        <v>M9323084088</v>
      </c>
      <c r="I593" s="17">
        <f>IFERROR(__xludf.DUMMYFUNCTION("""COMPUTED_VALUE"""),32.0)</f>
        <v>32</v>
      </c>
      <c r="J593" s="17" t="str">
        <f>IFERROR(__xludf.DUMMYFUNCTION("""COMPUTED_VALUE"""),"25-34 tahun")</f>
        <v>25-34 tahun</v>
      </c>
      <c r="K593" s="19">
        <f>IFERROR(__xludf.DUMMYFUNCTION("""COMPUTED_VALUE"""),34139.0)</f>
        <v>34139</v>
      </c>
      <c r="L593" s="19" t="str">
        <f>IFERROR(__xludf.DUMMYFUNCTION("""COMPUTED_VALUE"""),"LAKI-LAKI")</f>
        <v>LAKI-LAKI</v>
      </c>
      <c r="M593" s="16" t="str">
        <f>IFERROR(__xludf.DUMMYFUNCTION("""COMPUTED_VALUE"""),"Jalan Alianyang no 74.A Singkawang")</f>
        <v>Jalan Alianyang no 74.A Singkawang</v>
      </c>
      <c r="N593" s="16"/>
      <c r="O593" s="16"/>
      <c r="P593" s="16"/>
      <c r="Q593" s="16"/>
      <c r="R593" s="19" t="str">
        <f>IFERROR(__xludf.DUMMYFUNCTION("""COMPUTED_VALUE"""),"ISLAM")</f>
        <v>ISLAM</v>
      </c>
      <c r="S593" s="16" t="str">
        <f>IFERROR(__xludf.DUMMYFUNCTION("""COMPUTED_VALUE"""),"WIRASWASTA")</f>
        <v>WIRASWASTA</v>
      </c>
      <c r="T593" s="36" t="str">
        <f>IFERROR(__xludf.DUMMYFUNCTION("""COMPUTED_VALUE"""),"KAKU PASCA SAKIT PINGGANG")</f>
        <v>KAKU PASCA SAKIT PINGGANG</v>
      </c>
      <c r="U593" s="16" t="str">
        <f>IFERROR(__xludf.DUMMYFUNCTION("""COMPUTED_VALUE"""),"Bekerja dan berolahraga")</f>
        <v>Bekerja dan berolahraga</v>
      </c>
      <c r="V593" s="11" t="str">
        <f>IFERROR(__xludf.DUMMYFUNCTION("""COMPUTED_VALUE"""),"082159874088")</f>
        <v>082159874088</v>
      </c>
      <c r="W593" s="15"/>
    </row>
    <row r="594" ht="22.5" customHeight="1">
      <c r="A594" s="8"/>
      <c r="B594" s="9">
        <f>IFERROR(__xludf.DUMMYFUNCTION("""COMPUTED_VALUE"""),45145.753508229165)</f>
        <v>45145.75351</v>
      </c>
      <c r="C594" s="9"/>
      <c r="D594" s="10">
        <f>IFERROR(__xludf.DUMMYFUNCTION("""COMPUTED_VALUE"""),45146.0)</f>
        <v>45146</v>
      </c>
      <c r="E594" s="10" t="str">
        <f>IFERROR(__xludf.DUMMYFUNCTION("""COMPUTED_VALUE"""),"08Agu")</f>
        <v>08Agu</v>
      </c>
      <c r="F594" s="10" t="str">
        <f>IFERROR(__xludf.DUMMYFUNCTION("""COMPUTED_VALUE"""),"2023")</f>
        <v>2023</v>
      </c>
      <c r="G594" s="16" t="str">
        <f>IFERROR(__xludf.DUMMYFUNCTION("""COMPUTED_VALUE"""),"BUDI KURNIAWAN")</f>
        <v>BUDI KURNIAWAN</v>
      </c>
      <c r="H594" s="17" t="str">
        <f>IFERROR(__xludf.DUMMYFUNCTION("""COMPUTED_VALUE"""),"B7623087756")</f>
        <v>B7623087756</v>
      </c>
      <c r="I594" s="17">
        <f>IFERROR(__xludf.DUMMYFUNCTION("""COMPUTED_VALUE"""),50.0)</f>
        <v>50</v>
      </c>
      <c r="J594" s="17" t="str">
        <f>IFERROR(__xludf.DUMMYFUNCTION("""COMPUTED_VALUE"""),"&gt; 44 tahun")</f>
        <v>&gt; 44 tahun</v>
      </c>
      <c r="K594" s="19">
        <f>IFERROR(__xludf.DUMMYFUNCTION("""COMPUTED_VALUE"""),27787.0)</f>
        <v>27787</v>
      </c>
      <c r="L594" s="19" t="str">
        <f>IFERROR(__xludf.DUMMYFUNCTION("""COMPUTED_VALUE"""),"LAKI-LAKI")</f>
        <v>LAKI-LAKI</v>
      </c>
      <c r="M594" s="16" t="str">
        <f>IFERROR(__xludf.DUMMYFUNCTION("""COMPUTED_VALUE"""),"Jl putri candra midi gg sukajaya no 7")</f>
        <v>Jl putri candra midi gg sukajaya no 7</v>
      </c>
      <c r="N594" s="16"/>
      <c r="O594" s="16"/>
      <c r="P594" s="16"/>
      <c r="Q594" s="16"/>
      <c r="R594" s="19" t="str">
        <f>IFERROR(__xludf.DUMMYFUNCTION("""COMPUTED_VALUE"""),"ISLAM")</f>
        <v>ISLAM</v>
      </c>
      <c r="S594" s="16" t="str">
        <f>IFERROR(__xludf.DUMMYFUNCTION("""COMPUTED_VALUE"""),"KARYAWAN PONTIANAK POST")</f>
        <v>KARYAWAN PONTIANAK POST</v>
      </c>
      <c r="T594" s="16" t="str">
        <f>IFERROR(__xludf.DUMMYFUNCTION("""COMPUTED_VALUE"""),"LENGAN KIRI TIDAK BISA DIANGKAT")</f>
        <v>LENGAN KIRI TIDAK BISA DIANGKAT</v>
      </c>
      <c r="U594" s="16" t="str">
        <f>IFERROR(__xludf.DUMMYFUNCTION("""COMPUTED_VALUE"""),"LUKIS")</f>
        <v>LUKIS</v>
      </c>
      <c r="V594" s="11" t="str">
        <f>IFERROR(__xludf.DUMMYFUNCTION("""COMPUTED_VALUE"""),"08152217756")</f>
        <v>08152217756</v>
      </c>
      <c r="W594" s="15"/>
    </row>
    <row r="595" ht="22.5" customHeight="1">
      <c r="A595" s="8"/>
      <c r="B595" s="9">
        <f>IFERROR(__xludf.DUMMYFUNCTION("""COMPUTED_VALUE"""),45145.80414042824)</f>
        <v>45145.80414</v>
      </c>
      <c r="C595" s="9"/>
      <c r="D595" s="10">
        <f>IFERROR(__xludf.DUMMYFUNCTION("""COMPUTED_VALUE"""),45146.0)</f>
        <v>45146</v>
      </c>
      <c r="E595" s="10" t="str">
        <f>IFERROR(__xludf.DUMMYFUNCTION("""COMPUTED_VALUE"""),"08Agu")</f>
        <v>08Agu</v>
      </c>
      <c r="F595" s="10" t="str">
        <f>IFERROR(__xludf.DUMMYFUNCTION("""COMPUTED_VALUE"""),"2023")</f>
        <v>2023</v>
      </c>
      <c r="G595" s="16" t="str">
        <f>IFERROR(__xludf.DUMMYFUNCTION("""COMPUTED_VALUE"""),"LYDIA GRACE")</f>
        <v>LYDIA GRACE</v>
      </c>
      <c r="H595" s="17" t="str">
        <f>IFERROR(__xludf.DUMMYFUNCTION("""COMPUTED_VALUE"""),"L7823080350")</f>
        <v>L7823080350</v>
      </c>
      <c r="I595" s="17">
        <f>IFERROR(__xludf.DUMMYFUNCTION("""COMPUTED_VALUE"""),48.0)</f>
        <v>48</v>
      </c>
      <c r="J595" s="17" t="str">
        <f>IFERROR(__xludf.DUMMYFUNCTION("""COMPUTED_VALUE"""),"&gt; 44 tahun")</f>
        <v>&gt; 44 tahun</v>
      </c>
      <c r="K595" s="19">
        <f>IFERROR(__xludf.DUMMYFUNCTION("""COMPUTED_VALUE"""),28529.0)</f>
        <v>28529</v>
      </c>
      <c r="L595" s="19" t="str">
        <f>IFERROR(__xludf.DUMMYFUNCTION("""COMPUTED_VALUE"""),"PEREMPUAN")</f>
        <v>PEREMPUAN</v>
      </c>
      <c r="M595" s="16" t="str">
        <f>IFERROR(__xludf.DUMMYFUNCTION("""COMPUTED_VALUE"""),"SERPONG PARK G7/7 BSD TANGERANG")</f>
        <v>SERPONG PARK G7/7 BSD TANGERANG</v>
      </c>
      <c r="N595" s="16"/>
      <c r="O595" s="16"/>
      <c r="P595" s="16"/>
      <c r="Q595" s="16"/>
      <c r="R595" s="19" t="str">
        <f>IFERROR(__xludf.DUMMYFUNCTION("""COMPUTED_VALUE"""),"PROTESTAN")</f>
        <v>PROTESTAN</v>
      </c>
      <c r="S595" s="16" t="str">
        <f>IFERROR(__xludf.DUMMYFUNCTION("""COMPUTED_VALUE"""),"SWASTA")</f>
        <v>SWASTA</v>
      </c>
      <c r="T595" s="36" t="str">
        <f>IFERROR(__xludf.DUMMYFUNCTION("""COMPUTED_VALUE"""),"TERAPI PASCA OPERASI MENISCUS TEAR")</f>
        <v>TERAPI PASCA OPERASI MENISCUS TEAR</v>
      </c>
      <c r="U595" s="16" t="str">
        <f>IFERROR(__xludf.DUMMYFUNCTION("""COMPUTED_VALUE"""),"-")</f>
        <v>-</v>
      </c>
      <c r="V595" s="11" t="str">
        <f>IFERROR(__xludf.DUMMYFUNCTION("""COMPUTED_VALUE"""),"0817770350")</f>
        <v>0817770350</v>
      </c>
      <c r="W595" s="15"/>
    </row>
    <row r="596" ht="22.5" customHeight="1">
      <c r="A596" s="8"/>
      <c r="B596" s="9">
        <f>IFERROR(__xludf.DUMMYFUNCTION("""COMPUTED_VALUE"""),45145.818019108796)</f>
        <v>45145.81802</v>
      </c>
      <c r="C596" s="9"/>
      <c r="D596" s="34">
        <f>IFERROR(__xludf.DUMMYFUNCTION("""COMPUTED_VALUE"""),45147.0)</f>
        <v>45147</v>
      </c>
      <c r="E596" s="34" t="str">
        <f>IFERROR(__xludf.DUMMYFUNCTION("""COMPUTED_VALUE"""),"08Agu")</f>
        <v>08Agu</v>
      </c>
      <c r="F596" s="34" t="str">
        <f>IFERROR(__xludf.DUMMYFUNCTION("""COMPUTED_VALUE"""),"2023")</f>
        <v>2023</v>
      </c>
      <c r="G596" s="16" t="str">
        <f>IFERROR(__xludf.DUMMYFUNCTION("""COMPUTED_VALUE"""),"HENDRIK")</f>
        <v>HENDRIK</v>
      </c>
      <c r="H596" s="17" t="str">
        <f>IFERROR(__xludf.DUMMYFUNCTION("""COMPUTED_VALUE"""),"H7823085883")</f>
        <v>H7823085883</v>
      </c>
      <c r="I596" s="17">
        <f>IFERROR(__xludf.DUMMYFUNCTION("""COMPUTED_VALUE"""),47.0)</f>
        <v>47</v>
      </c>
      <c r="J596" s="17" t="str">
        <f>IFERROR(__xludf.DUMMYFUNCTION("""COMPUTED_VALUE"""),"&gt; 44 tahun")</f>
        <v>&gt; 44 tahun</v>
      </c>
      <c r="K596" s="19">
        <f>IFERROR(__xludf.DUMMYFUNCTION("""COMPUTED_VALUE"""),28823.0)</f>
        <v>28823</v>
      </c>
      <c r="L596" s="19" t="str">
        <f>IFERROR(__xludf.DUMMYFUNCTION("""COMPUTED_VALUE"""),"LAKI-LAKI")</f>
        <v>LAKI-LAKI</v>
      </c>
      <c r="M596" s="35" t="str">
        <f>IFERROR(__xludf.DUMMYFUNCTION("""COMPUTED_VALUE"""),"VETERAN")</f>
        <v>VETERAN</v>
      </c>
      <c r="N596" s="16"/>
      <c r="O596" s="16"/>
      <c r="P596" s="16"/>
      <c r="Q596" s="16"/>
      <c r="R596" s="19" t="str">
        <f>IFERROR(__xludf.DUMMYFUNCTION("""COMPUTED_VALUE"""),"PROTESTAN")</f>
        <v>PROTESTAN</v>
      </c>
      <c r="S596" s="16" t="str">
        <f>IFERROR(__xludf.DUMMYFUNCTION("""COMPUTED_VALUE"""),"ASN")</f>
        <v>ASN</v>
      </c>
      <c r="T596" s="16" t="str">
        <f>IFERROR(__xludf.DUMMYFUNCTION("""COMPUTED_VALUE"""),"CIDERA BAHU AKIBAT BADMINTON")</f>
        <v>CIDERA BAHU AKIBAT BADMINTON</v>
      </c>
      <c r="U596" s="16" t="str">
        <f>IFERROR(__xludf.DUMMYFUNCTION("""COMPUTED_VALUE"""),"OLAHRAGA")</f>
        <v>OLAHRAGA</v>
      </c>
      <c r="V596" s="11" t="str">
        <f>IFERROR(__xludf.DUMMYFUNCTION("""COMPUTED_VALUE"""),"081388515883")</f>
        <v>081388515883</v>
      </c>
      <c r="W596" s="15"/>
    </row>
    <row r="597" ht="22.5" customHeight="1">
      <c r="A597" s="8"/>
      <c r="B597" s="9">
        <f>IFERROR(__xludf.DUMMYFUNCTION("""COMPUTED_VALUE"""),45146.47021225694)</f>
        <v>45146.47021</v>
      </c>
      <c r="C597" s="9"/>
      <c r="D597" s="10">
        <f>IFERROR(__xludf.DUMMYFUNCTION("""COMPUTED_VALUE"""),45147.0)</f>
        <v>45147</v>
      </c>
      <c r="E597" s="10" t="str">
        <f>IFERROR(__xludf.DUMMYFUNCTION("""COMPUTED_VALUE"""),"08Agu")</f>
        <v>08Agu</v>
      </c>
      <c r="F597" s="10" t="str">
        <f>IFERROR(__xludf.DUMMYFUNCTION("""COMPUTED_VALUE"""),"2023")</f>
        <v>2023</v>
      </c>
      <c r="G597" s="16" t="str">
        <f>IFERROR(__xludf.DUMMYFUNCTION("""COMPUTED_VALUE"""),"HENDRA BONG")</f>
        <v>HENDRA BONG</v>
      </c>
      <c r="H597" s="17" t="str">
        <f>IFERROR(__xludf.DUMMYFUNCTION("""COMPUTED_VALUE"""),"H8623081986")</f>
        <v>H8623081986</v>
      </c>
      <c r="I597" s="17">
        <f>IFERROR(__xludf.DUMMYFUNCTION("""COMPUTED_VALUE"""),39.0)</f>
        <v>39</v>
      </c>
      <c r="J597" s="17" t="str">
        <f>IFERROR(__xludf.DUMMYFUNCTION("""COMPUTED_VALUE"""),"35-44 tahun")</f>
        <v>35-44 tahun</v>
      </c>
      <c r="K597" s="19">
        <f>IFERROR(__xludf.DUMMYFUNCTION("""COMPUTED_VALUE"""),31630.0)</f>
        <v>31630</v>
      </c>
      <c r="L597" s="19" t="str">
        <f>IFERROR(__xludf.DUMMYFUNCTION("""COMPUTED_VALUE"""),"LAKI-LAKI")</f>
        <v>LAKI-LAKI</v>
      </c>
      <c r="M597" s="16" t="str">
        <f>IFERROR(__xludf.DUMMYFUNCTION("""COMPUTED_VALUE"""),"Jalan. Danau sentarum")</f>
        <v>Jalan. Danau sentarum</v>
      </c>
      <c r="N597" s="16"/>
      <c r="O597" s="16"/>
      <c r="P597" s="16"/>
      <c r="Q597" s="16"/>
      <c r="R597" s="19" t="str">
        <f>IFERROR(__xludf.DUMMYFUNCTION("""COMPUTED_VALUE"""),"BUDDHA")</f>
        <v>BUDDHA</v>
      </c>
      <c r="S597" s="16" t="str">
        <f>IFERROR(__xludf.DUMMYFUNCTION("""COMPUTED_VALUE"""),"SWASTA")</f>
        <v>SWASTA</v>
      </c>
      <c r="T597" s="16" t="str">
        <f>IFERROR(__xludf.DUMMYFUNCTION("""COMPUTED_VALUE"""),"TRIGGER FINGER")</f>
        <v>TRIGGER FINGER</v>
      </c>
      <c r="U597" s="16" t="str">
        <f>IFERROR(__xludf.DUMMYFUNCTION("""COMPUTED_VALUE"""),"BADMINTON")</f>
        <v>BADMINTON</v>
      </c>
      <c r="V597" s="11" t="str">
        <f>IFERROR(__xludf.DUMMYFUNCTION("""COMPUTED_VALUE"""),"081289871986")</f>
        <v>081289871986</v>
      </c>
      <c r="W597" s="15"/>
    </row>
    <row r="598" ht="22.5" customHeight="1">
      <c r="A598" s="8"/>
      <c r="B598" s="9">
        <f>IFERROR(__xludf.DUMMYFUNCTION("""COMPUTED_VALUE"""),45146.66043989583)</f>
        <v>45146.66044</v>
      </c>
      <c r="C598" s="9"/>
      <c r="D598" s="10">
        <f>IFERROR(__xludf.DUMMYFUNCTION("""COMPUTED_VALUE"""),45148.0)</f>
        <v>45148</v>
      </c>
      <c r="E598" s="10" t="str">
        <f>IFERROR(__xludf.DUMMYFUNCTION("""COMPUTED_VALUE"""),"08Agu")</f>
        <v>08Agu</v>
      </c>
      <c r="F598" s="10" t="str">
        <f>IFERROR(__xludf.DUMMYFUNCTION("""COMPUTED_VALUE"""),"2023")</f>
        <v>2023</v>
      </c>
      <c r="G598" s="16" t="str">
        <f>IFERROR(__xludf.DUMMYFUNCTION("""COMPUTED_VALUE"""),"UTI MUHAMAD MAHRUS PRIMADI")</f>
        <v>UTI MUHAMAD MAHRUS PRIMADI</v>
      </c>
      <c r="H598" s="17" t="str">
        <f>IFERROR(__xludf.DUMMYFUNCTION("""COMPUTED_VALUE"""),"U0223089500")</f>
        <v>U0223089500</v>
      </c>
      <c r="I598" s="17">
        <f>IFERROR(__xludf.DUMMYFUNCTION("""COMPUTED_VALUE"""),23.0)</f>
        <v>23</v>
      </c>
      <c r="J598" s="17" t="str">
        <f>IFERROR(__xludf.DUMMYFUNCTION("""COMPUTED_VALUE"""),"18-24 tahun")</f>
        <v>18-24 tahun</v>
      </c>
      <c r="K598" s="19">
        <f>IFERROR(__xludf.DUMMYFUNCTION("""COMPUTED_VALUE"""),37585.0)</f>
        <v>37585</v>
      </c>
      <c r="L598" s="19" t="str">
        <f>IFERROR(__xludf.DUMMYFUNCTION("""COMPUTED_VALUE"""),"LAKI-LAKI")</f>
        <v>LAKI-LAKI</v>
      </c>
      <c r="M598" s="16" t="str">
        <f>IFERROR(__xludf.DUMMYFUNCTION("""COMPUTED_VALUE"""),"Jl. Aip Ks. Tubun No. 25 Kec. Delta Pawan Kab. Ketapan")</f>
        <v>Jl. Aip Ks. Tubun No. 25 Kec. Delta Pawan Kab. Ketapan</v>
      </c>
      <c r="N598" s="16"/>
      <c r="O598" s="16"/>
      <c r="P598" s="16"/>
      <c r="Q598" s="16"/>
      <c r="R598" s="19" t="str">
        <f>IFERROR(__xludf.DUMMYFUNCTION("""COMPUTED_VALUE"""),"ISLAM")</f>
        <v>ISLAM</v>
      </c>
      <c r="S598" s="16" t="str">
        <f>IFERROR(__xludf.DUMMYFUNCTION("""COMPUTED_VALUE"""),"TNI/POLRI")</f>
        <v>TNI/POLRI</v>
      </c>
      <c r="T598" s="36" t="str">
        <f>IFERROR(__xludf.DUMMYFUNCTION("""COMPUTED_VALUE"""),"NYERI BAGIAN LENGAN ATAS HINGGA LENGAN BAWAH")</f>
        <v>NYERI BAGIAN LENGAN ATAS HINGGA LENGAN BAWAH</v>
      </c>
      <c r="U598" s="16" t="str">
        <f>IFERROR(__xludf.DUMMYFUNCTION("""COMPUTED_VALUE"""),"BASKET")</f>
        <v>BASKET</v>
      </c>
      <c r="V598" s="11" t="str">
        <f>IFERROR(__xludf.DUMMYFUNCTION("""COMPUTED_VALUE"""),"089639999500")</f>
        <v>089639999500</v>
      </c>
      <c r="W598" s="15"/>
    </row>
    <row r="599" ht="22.5" customHeight="1">
      <c r="A599" s="8"/>
      <c r="B599" s="9">
        <f>IFERROR(__xludf.DUMMYFUNCTION("""COMPUTED_VALUE"""),45146.68042464121)</f>
        <v>45146.68042</v>
      </c>
      <c r="C599" s="9"/>
      <c r="D599" s="10">
        <f>IFERROR(__xludf.DUMMYFUNCTION("""COMPUTED_VALUE"""),45148.0)</f>
        <v>45148</v>
      </c>
      <c r="E599" s="10" t="str">
        <f>IFERROR(__xludf.DUMMYFUNCTION("""COMPUTED_VALUE"""),"08Agu")</f>
        <v>08Agu</v>
      </c>
      <c r="F599" s="10" t="str">
        <f>IFERROR(__xludf.DUMMYFUNCTION("""COMPUTED_VALUE"""),"2023")</f>
        <v>2023</v>
      </c>
      <c r="G599" s="16" t="str">
        <f>IFERROR(__xludf.DUMMYFUNCTION("""COMPUTED_VALUE"""),"ROSMA WARDHANI")</f>
        <v>ROSMA WARDHANI</v>
      </c>
      <c r="H599" s="17" t="str">
        <f>IFERROR(__xludf.DUMMYFUNCTION("""COMPUTED_VALUE"""),"R8623085811")</f>
        <v>R8623085811</v>
      </c>
      <c r="I599" s="17">
        <f>IFERROR(__xludf.DUMMYFUNCTION("""COMPUTED_VALUE"""),40.0)</f>
        <v>40</v>
      </c>
      <c r="J599" s="17" t="str">
        <f>IFERROR(__xludf.DUMMYFUNCTION("""COMPUTED_VALUE"""),"35-44 tahun")</f>
        <v>35-44 tahun</v>
      </c>
      <c r="K599" s="19">
        <f>IFERROR(__xludf.DUMMYFUNCTION("""COMPUTED_VALUE"""),31414.0)</f>
        <v>31414</v>
      </c>
      <c r="L599" s="19" t="str">
        <f>IFERROR(__xludf.DUMMYFUNCTION("""COMPUTED_VALUE"""),"PEREMPUAN")</f>
        <v>PEREMPUAN</v>
      </c>
      <c r="M599" s="16" t="str">
        <f>IFERROR(__xludf.DUMMYFUNCTION("""COMPUTED_VALUE"""),"Jl. Ujung Pandang PRM Cendana Murni.C.18")</f>
        <v>Jl. Ujung Pandang PRM Cendana Murni.C.18</v>
      </c>
      <c r="N599" s="16"/>
      <c r="O599" s="16"/>
      <c r="P599" s="16"/>
      <c r="Q599" s="16"/>
      <c r="R599" s="19" t="str">
        <f>IFERROR(__xludf.DUMMYFUNCTION("""COMPUTED_VALUE"""),"ISLAM")</f>
        <v>ISLAM</v>
      </c>
      <c r="S599" s="16" t="str">
        <f>IFERROR(__xludf.DUMMYFUNCTION("""COMPUTED_VALUE"""),"BUMD")</f>
        <v>BUMD</v>
      </c>
      <c r="T599" s="16" t="str">
        <f>IFERROR(__xludf.DUMMYFUNCTION("""COMPUTED_VALUE"""),"SAKIT AREA PINGGANG KE BAWAH")</f>
        <v>SAKIT AREA PINGGANG KE BAWAH</v>
      </c>
      <c r="U599" s="16" t="str">
        <f>IFERROR(__xludf.DUMMYFUNCTION("""COMPUTED_VALUE"""),"BACA")</f>
        <v>BACA</v>
      </c>
      <c r="V599" s="11" t="str">
        <f>IFERROR(__xludf.DUMMYFUNCTION("""COMPUTED_VALUE"""),"085252515811")</f>
        <v>085252515811</v>
      </c>
      <c r="W599" s="15"/>
    </row>
    <row r="600" ht="22.5" customHeight="1">
      <c r="A600" s="8"/>
      <c r="B600" s="9">
        <f>IFERROR(__xludf.DUMMYFUNCTION("""COMPUTED_VALUE"""),45146.703523159726)</f>
        <v>45146.70352</v>
      </c>
      <c r="C600" s="9"/>
      <c r="D600" s="10">
        <f>IFERROR(__xludf.DUMMYFUNCTION("""COMPUTED_VALUE"""),45148.0)</f>
        <v>45148</v>
      </c>
      <c r="E600" s="10" t="str">
        <f>IFERROR(__xludf.DUMMYFUNCTION("""COMPUTED_VALUE"""),"08Agu")</f>
        <v>08Agu</v>
      </c>
      <c r="F600" s="10" t="str">
        <f>IFERROR(__xludf.DUMMYFUNCTION("""COMPUTED_VALUE"""),"2023")</f>
        <v>2023</v>
      </c>
      <c r="G600" s="16" t="str">
        <f>IFERROR(__xludf.DUMMYFUNCTION("""COMPUTED_VALUE"""),"TEMMI")</f>
        <v>TEMMI</v>
      </c>
      <c r="H600" s="17" t="str">
        <f>IFERROR(__xludf.DUMMYFUNCTION("""COMPUTED_VALUE"""),"T9323082998")</f>
        <v>T9323082998</v>
      </c>
      <c r="I600" s="17">
        <f>IFERROR(__xludf.DUMMYFUNCTION("""COMPUTED_VALUE"""),32.0)</f>
        <v>32</v>
      </c>
      <c r="J600" s="17" t="str">
        <f>IFERROR(__xludf.DUMMYFUNCTION("""COMPUTED_VALUE"""),"25-34 tahun")</f>
        <v>25-34 tahun</v>
      </c>
      <c r="K600" s="19">
        <f>IFERROR(__xludf.DUMMYFUNCTION("""COMPUTED_VALUE"""),34176.0)</f>
        <v>34176</v>
      </c>
      <c r="L600" s="19" t="str">
        <f>IFERROR(__xludf.DUMMYFUNCTION("""COMPUTED_VALUE"""),"LAKI-LAKI")</f>
        <v>LAKI-LAKI</v>
      </c>
      <c r="M600" s="16" t="str">
        <f>IFERROR(__xludf.DUMMYFUNCTION("""COMPUTED_VALUE"""),"PASAR PUNGGUR BESAR")</f>
        <v>PASAR PUNGGUR BESAR</v>
      </c>
      <c r="N600" s="16"/>
      <c r="O600" s="16"/>
      <c r="P600" s="16" t="str">
        <f>IFERROR(__xludf.DUMMYFUNCTION("""COMPUTED_VALUE"""),"KUBU RAYA")</f>
        <v>KUBU RAYA</v>
      </c>
      <c r="Q600" s="16" t="str">
        <f>IFERROR(__xludf.DUMMYFUNCTION("""COMPUTED_VALUE"""),"KALIMANTAN BARAT")</f>
        <v>KALIMANTAN BARAT</v>
      </c>
      <c r="R600" s="19" t="str">
        <f>IFERROR(__xludf.DUMMYFUNCTION("""COMPUTED_VALUE"""),"KATOLIK")</f>
        <v>KATOLIK</v>
      </c>
      <c r="S600" s="16" t="str">
        <f>IFERROR(__xludf.DUMMYFUNCTION("""COMPUTED_VALUE"""),"WIRASWASTA")</f>
        <v>WIRASWASTA</v>
      </c>
      <c r="T600" s="16"/>
      <c r="U600" s="16" t="str">
        <f>IFERROR(__xludf.DUMMYFUNCTION("""COMPUTED_VALUE"""),"BARISTA")</f>
        <v>BARISTA</v>
      </c>
      <c r="V600" s="11" t="str">
        <f>IFERROR(__xludf.DUMMYFUNCTION("""COMPUTED_VALUE"""),"089675402998")</f>
        <v>089675402998</v>
      </c>
      <c r="W600" s="15"/>
    </row>
    <row r="601" ht="22.5" customHeight="1">
      <c r="A601" s="8"/>
      <c r="B601" s="9">
        <f>IFERROR(__xludf.DUMMYFUNCTION("""COMPUTED_VALUE"""),45147.41370439815)</f>
        <v>45147.4137</v>
      </c>
      <c r="C601" s="9"/>
      <c r="D601" s="10">
        <f>IFERROR(__xludf.DUMMYFUNCTION("""COMPUTED_VALUE"""),45148.0)</f>
        <v>45148</v>
      </c>
      <c r="E601" s="10" t="str">
        <f>IFERROR(__xludf.DUMMYFUNCTION("""COMPUTED_VALUE"""),"08Agu")</f>
        <v>08Agu</v>
      </c>
      <c r="F601" s="10" t="str">
        <f>IFERROR(__xludf.DUMMYFUNCTION("""COMPUTED_VALUE"""),"2023")</f>
        <v>2023</v>
      </c>
      <c r="G601" s="16" t="str">
        <f>IFERROR(__xludf.DUMMYFUNCTION("""COMPUTED_VALUE"""),"BAYUAJI HERLAMBANG")</f>
        <v>BAYUAJI HERLAMBANG</v>
      </c>
      <c r="H601" s="17" t="str">
        <f>IFERROR(__xludf.DUMMYFUNCTION("""COMPUTED_VALUE"""),"B9723088521")</f>
        <v>B9723088521</v>
      </c>
      <c r="I601" s="17">
        <f>IFERROR(__xludf.DUMMYFUNCTION("""COMPUTED_VALUE"""),28.0)</f>
        <v>28</v>
      </c>
      <c r="J601" s="17" t="str">
        <f>IFERROR(__xludf.DUMMYFUNCTION("""COMPUTED_VALUE"""),"25-34 tahun")</f>
        <v>25-34 tahun</v>
      </c>
      <c r="K601" s="19">
        <f>IFERROR(__xludf.DUMMYFUNCTION("""COMPUTED_VALUE"""),35774.0)</f>
        <v>35774</v>
      </c>
      <c r="L601" s="19" t="str">
        <f>IFERROR(__xludf.DUMMYFUNCTION("""COMPUTED_VALUE"""),"LAKI-LAKI")</f>
        <v>LAKI-LAKI</v>
      </c>
      <c r="M601" s="16" t="str">
        <f>IFERROR(__xludf.DUMMYFUNCTION("""COMPUTED_VALUE"""),"Jalan nusantara singkawang tengah")</f>
        <v>Jalan nusantara singkawang tengah</v>
      </c>
      <c r="N601" s="16"/>
      <c r="O601" s="16"/>
      <c r="P601" s="16"/>
      <c r="Q601" s="16"/>
      <c r="R601" s="19" t="str">
        <f>IFERROR(__xludf.DUMMYFUNCTION("""COMPUTED_VALUE"""),"ISLAM")</f>
        <v>ISLAM</v>
      </c>
      <c r="S601" s="16" t="str">
        <f>IFERROR(__xludf.DUMMYFUNCTION("""COMPUTED_VALUE"""),"SWASTA")</f>
        <v>SWASTA</v>
      </c>
      <c r="T601" s="16" t="str">
        <f>IFERROR(__xludf.DUMMYFUNCTION("""COMPUTED_VALUE"""),"Tangan")</f>
        <v>Tangan</v>
      </c>
      <c r="U601" s="16" t="str">
        <f>IFERROR(__xludf.DUMMYFUNCTION("""COMPUTED_VALUE"""),"Kerja")</f>
        <v>Kerja</v>
      </c>
      <c r="V601" s="11" t="str">
        <f>IFERROR(__xludf.DUMMYFUNCTION("""COMPUTED_VALUE"""),"085933048521")</f>
        <v>085933048521</v>
      </c>
      <c r="W601" s="15"/>
    </row>
    <row r="602" ht="22.5" customHeight="1">
      <c r="A602" s="8"/>
      <c r="B602" s="9">
        <f>IFERROR(__xludf.DUMMYFUNCTION("""COMPUTED_VALUE"""),45147.73002944444)</f>
        <v>45147.73003</v>
      </c>
      <c r="C602" s="9"/>
      <c r="D602" s="10">
        <f>IFERROR(__xludf.DUMMYFUNCTION("""COMPUTED_VALUE"""),45150.0)</f>
        <v>45150</v>
      </c>
      <c r="E602" s="10" t="str">
        <f>IFERROR(__xludf.DUMMYFUNCTION("""COMPUTED_VALUE"""),"08Agu")</f>
        <v>08Agu</v>
      </c>
      <c r="F602" s="10" t="str">
        <f>IFERROR(__xludf.DUMMYFUNCTION("""COMPUTED_VALUE"""),"2023")</f>
        <v>2023</v>
      </c>
      <c r="G602" s="16" t="str">
        <f>IFERROR(__xludf.DUMMYFUNCTION("""COMPUTED_VALUE"""),"DEVI SUSANTI")</f>
        <v>DEVI SUSANTI</v>
      </c>
      <c r="H602" s="17" t="str">
        <f>IFERROR(__xludf.DUMMYFUNCTION("""COMPUTED_VALUE"""),"D9123086880")</f>
        <v>D9123086880</v>
      </c>
      <c r="I602" s="17">
        <f>IFERROR(__xludf.DUMMYFUNCTION("""COMPUTED_VALUE"""),34.0)</f>
        <v>34</v>
      </c>
      <c r="J602" s="17" t="str">
        <f>IFERROR(__xludf.DUMMYFUNCTION("""COMPUTED_VALUE"""),"25-34 tahun")</f>
        <v>25-34 tahun</v>
      </c>
      <c r="K602" s="19">
        <f>IFERROR(__xludf.DUMMYFUNCTION("""COMPUTED_VALUE"""),33460.0)</f>
        <v>33460</v>
      </c>
      <c r="L602" s="19" t="str">
        <f>IFERROR(__xludf.DUMMYFUNCTION("""COMPUTED_VALUE"""),"PEREMPUAN")</f>
        <v>PEREMPUAN</v>
      </c>
      <c r="M602" s="16" t="str">
        <f>IFERROR(__xludf.DUMMYFUNCTION("""COMPUTED_VALUE"""),"SEMARANG")</f>
        <v>SEMARANG</v>
      </c>
      <c r="N602" s="16"/>
      <c r="O602" s="16"/>
      <c r="P602" s="16"/>
      <c r="Q602" s="16"/>
      <c r="R602" s="19" t="str">
        <f>IFERROR(__xludf.DUMMYFUNCTION("""COMPUTED_VALUE"""),"ISLAM")</f>
        <v>ISLAM</v>
      </c>
      <c r="S602" s="16" t="str">
        <f>IFERROR(__xludf.DUMMYFUNCTION("""COMPUTED_VALUE"""),"BIDAN")</f>
        <v>BIDAN</v>
      </c>
      <c r="T602" s="16" t="str">
        <f>IFERROR(__xludf.DUMMYFUNCTION("""COMPUTED_VALUE"""),"POST ARTHROSCOPY REKONSTRUKSI ACL TANGGAL 5 MEI 2023, KELUHAN : INGIN BISA BERLARI, ROM NORMAL, SANDBAG TERAKHIR PADA SAAT LATIHAN 3KG")</f>
        <v>POST ARTHROSCOPY REKONSTRUKSI ACL TANGGAL 5 MEI 2023, KELUHAN : INGIN BISA BERLARI, ROM NORMAL, SANDBAG TERAKHIR PADA SAAT LATIHAN 3KG</v>
      </c>
      <c r="U602" s="16" t="str">
        <f>IFERROR(__xludf.DUMMYFUNCTION("""COMPUTED_VALUE"""),"MENGURUS RUMAH TANGGA")</f>
        <v>MENGURUS RUMAH TANGGA</v>
      </c>
      <c r="V602" s="11" t="str">
        <f>IFERROR(__xludf.DUMMYFUNCTION("""COMPUTED_VALUE"""),"081283706880")</f>
        <v>081283706880</v>
      </c>
      <c r="W602" s="15"/>
    </row>
    <row r="603" ht="22.5" customHeight="1">
      <c r="A603" s="8"/>
      <c r="B603" s="9">
        <f>IFERROR(__xludf.DUMMYFUNCTION("""COMPUTED_VALUE"""),45147.83176402778)</f>
        <v>45147.83176</v>
      </c>
      <c r="C603" s="9"/>
      <c r="D603" s="10">
        <f>IFERROR(__xludf.DUMMYFUNCTION("""COMPUTED_VALUE"""),45150.0)</f>
        <v>45150</v>
      </c>
      <c r="E603" s="10" t="str">
        <f>IFERROR(__xludf.DUMMYFUNCTION("""COMPUTED_VALUE"""),"08Agu")</f>
        <v>08Agu</v>
      </c>
      <c r="F603" s="10" t="str">
        <f>IFERROR(__xludf.DUMMYFUNCTION("""COMPUTED_VALUE"""),"2023")</f>
        <v>2023</v>
      </c>
      <c r="G603" s="16" t="str">
        <f>IFERROR(__xludf.DUMMYFUNCTION("""COMPUTED_VALUE"""),"DIDIT CINDARBUMI TZ")</f>
        <v>DIDIT CINDARBUMI TZ</v>
      </c>
      <c r="H603" s="17" t="str">
        <f>IFERROR(__xludf.DUMMYFUNCTION("""COMPUTED_VALUE"""),"D7323087570")</f>
        <v>D7323087570</v>
      </c>
      <c r="I603" s="17">
        <f>IFERROR(__xludf.DUMMYFUNCTION("""COMPUTED_VALUE"""),52.0)</f>
        <v>52</v>
      </c>
      <c r="J603" s="17" t="str">
        <f>IFERROR(__xludf.DUMMYFUNCTION("""COMPUTED_VALUE"""),"&gt; 44 tahun")</f>
        <v>&gt; 44 tahun</v>
      </c>
      <c r="K603" s="19">
        <f>IFERROR(__xludf.DUMMYFUNCTION("""COMPUTED_VALUE"""),26946.0)</f>
        <v>26946</v>
      </c>
      <c r="L603" s="19" t="str">
        <f>IFERROR(__xludf.DUMMYFUNCTION("""COMPUTED_VALUE"""),"LAKI-LAKI")</f>
        <v>LAKI-LAKI</v>
      </c>
      <c r="M603" s="16" t="str">
        <f>IFERROR(__xludf.DUMMYFUNCTION("""COMPUTED_VALUE"""),"Jl Sintang No.P1 komplek Untan")</f>
        <v>Jl Sintang No.P1 komplek Untan</v>
      </c>
      <c r="N603" s="16"/>
      <c r="O603" s="16"/>
      <c r="P603" s="16"/>
      <c r="Q603" s="16"/>
      <c r="R603" s="19" t="str">
        <f>IFERROR(__xludf.DUMMYFUNCTION("""COMPUTED_VALUE"""),"ISLAM")</f>
        <v>ISLAM</v>
      </c>
      <c r="S603" s="16" t="str">
        <f>IFERROR(__xludf.DUMMYFUNCTION("""COMPUTED_VALUE"""),"WIRASWASTA")</f>
        <v>WIRASWASTA</v>
      </c>
      <c r="T603" s="16" t="str">
        <f>IFERROR(__xludf.DUMMYFUNCTION("""COMPUTED_VALUE"""),"JARI MANIS KANAN KAKU,DITEKUK NYERI")</f>
        <v>JARI MANIS KANAN KAKU,DITEKUK NYERI</v>
      </c>
      <c r="U603" s="16" t="str">
        <f>IFERROR(__xludf.DUMMYFUNCTION("""COMPUTED_VALUE"""),"SEPEDAAN")</f>
        <v>SEPEDAAN</v>
      </c>
      <c r="V603" s="11" t="str">
        <f>IFERROR(__xludf.DUMMYFUNCTION("""COMPUTED_VALUE"""),"0811577570")</f>
        <v>0811577570</v>
      </c>
      <c r="W603" s="15"/>
    </row>
    <row r="604" ht="22.5" customHeight="1">
      <c r="A604" s="8"/>
      <c r="B604" s="9">
        <f>IFERROR(__xludf.DUMMYFUNCTION("""COMPUTED_VALUE"""),45148.63815189815)</f>
        <v>45148.63815</v>
      </c>
      <c r="C604" s="9"/>
      <c r="D604" s="10">
        <f>IFERROR(__xludf.DUMMYFUNCTION("""COMPUTED_VALUE"""),45150.0)</f>
        <v>45150</v>
      </c>
      <c r="E604" s="10" t="str">
        <f>IFERROR(__xludf.DUMMYFUNCTION("""COMPUTED_VALUE"""),"08Agu")</f>
        <v>08Agu</v>
      </c>
      <c r="F604" s="10" t="str">
        <f>IFERROR(__xludf.DUMMYFUNCTION("""COMPUTED_VALUE"""),"2023")</f>
        <v>2023</v>
      </c>
      <c r="G604" s="16" t="str">
        <f>IFERROR(__xludf.DUMMYFUNCTION("""COMPUTED_VALUE"""),"CHARLES JERICHO PANGESTU")</f>
        <v>CHARLES JERICHO PANGESTU</v>
      </c>
      <c r="H604" s="17" t="str">
        <f>IFERROR(__xludf.DUMMYFUNCTION("""COMPUTED_VALUE"""),"C0623081570")</f>
        <v>C0623081570</v>
      </c>
      <c r="I604" s="17">
        <f>IFERROR(__xludf.DUMMYFUNCTION("""COMPUTED_VALUE"""),19.0)</f>
        <v>19</v>
      </c>
      <c r="J604" s="17" t="str">
        <f>IFERROR(__xludf.DUMMYFUNCTION("""COMPUTED_VALUE"""),"18-24 tahun")</f>
        <v>18-24 tahun</v>
      </c>
      <c r="K604" s="19">
        <f>IFERROR(__xludf.DUMMYFUNCTION("""COMPUTED_VALUE"""),38883.0)</f>
        <v>38883</v>
      </c>
      <c r="L604" s="19" t="str">
        <f>IFERROR(__xludf.DUMMYFUNCTION("""COMPUTED_VALUE"""),"LAKI-LAKI")</f>
        <v>LAKI-LAKI</v>
      </c>
      <c r="M604" s="16" t="str">
        <f>IFERROR(__xludf.DUMMYFUNCTION("""COMPUTED_VALUE"""),"Jalan Purnama 2 Gang Eklasia No 5")</f>
        <v>Jalan Purnama 2 Gang Eklasia No 5</v>
      </c>
      <c r="N604" s="16"/>
      <c r="O604" s="16"/>
      <c r="P604" s="16"/>
      <c r="Q604" s="16"/>
      <c r="R604" s="19" t="str">
        <f>IFERROR(__xludf.DUMMYFUNCTION("""COMPUTED_VALUE"""),"KATOLIK")</f>
        <v>KATOLIK</v>
      </c>
      <c r="S604" s="16" t="str">
        <f>IFERROR(__xludf.DUMMYFUNCTION("""COMPUTED_VALUE"""),"PELAJAR/MAHASISWA")</f>
        <v>PELAJAR/MAHASISWA</v>
      </c>
      <c r="T604" s="16" t="str">
        <f>IFERROR(__xludf.DUMMYFUNCTION("""COMPUTED_VALUE"""),"SAKIT DI BAGIAN PINGGANG")</f>
        <v>SAKIT DI BAGIAN PINGGANG</v>
      </c>
      <c r="U604" s="16" t="str">
        <f>IFERROR(__xludf.DUMMYFUNCTION("""COMPUTED_VALUE"""),"FUTSAL")</f>
        <v>FUTSAL</v>
      </c>
      <c r="V604" s="11" t="str">
        <f>IFERROR(__xludf.DUMMYFUNCTION("""COMPUTED_VALUE"""),"085754381570")</f>
        <v>085754381570</v>
      </c>
      <c r="W604" s="15"/>
    </row>
    <row r="605" ht="22.5" customHeight="1">
      <c r="A605" s="8"/>
      <c r="B605" s="9">
        <f>IFERROR(__xludf.DUMMYFUNCTION("""COMPUTED_VALUE"""),45148.910226527776)</f>
        <v>45148.91023</v>
      </c>
      <c r="C605" s="9"/>
      <c r="D605" s="10">
        <f>IFERROR(__xludf.DUMMYFUNCTION("""COMPUTED_VALUE"""),45150.0)</f>
        <v>45150</v>
      </c>
      <c r="E605" s="10" t="str">
        <f>IFERROR(__xludf.DUMMYFUNCTION("""COMPUTED_VALUE"""),"08Agu")</f>
        <v>08Agu</v>
      </c>
      <c r="F605" s="10" t="str">
        <f>IFERROR(__xludf.DUMMYFUNCTION("""COMPUTED_VALUE"""),"2023")</f>
        <v>2023</v>
      </c>
      <c r="G605" s="16" t="str">
        <f>IFERROR(__xludf.DUMMYFUNCTION("""COMPUTED_VALUE"""),"WILLY FERDIAN")</f>
        <v>WILLY FERDIAN</v>
      </c>
      <c r="H605" s="17" t="str">
        <f>IFERROR(__xludf.DUMMYFUNCTION("""COMPUTED_VALUE"""),"W8423086646")</f>
        <v>W8423086646</v>
      </c>
      <c r="I605" s="17">
        <f>IFERROR(__xludf.DUMMYFUNCTION("""COMPUTED_VALUE"""),42.0)</f>
        <v>42</v>
      </c>
      <c r="J605" s="17" t="str">
        <f>IFERROR(__xludf.DUMMYFUNCTION("""COMPUTED_VALUE"""),"35-44 tahun")</f>
        <v>35-44 tahun</v>
      </c>
      <c r="K605" s="19">
        <f>IFERROR(__xludf.DUMMYFUNCTION("""COMPUTED_VALUE"""),30721.0)</f>
        <v>30721</v>
      </c>
      <c r="L605" s="19" t="str">
        <f>IFERROR(__xludf.DUMMYFUNCTION("""COMPUTED_VALUE"""),"LAKI-LAKI")</f>
        <v>LAKI-LAKI</v>
      </c>
      <c r="M605" s="16" t="str">
        <f>IFERROR(__xludf.DUMMYFUNCTION("""COMPUTED_VALUE"""),"Jl. H. Rais A. Rahman Gg. Lawu No.19")</f>
        <v>Jl. H. Rais A. Rahman Gg. Lawu No.19</v>
      </c>
      <c r="N605" s="16"/>
      <c r="O605" s="16"/>
      <c r="P605" s="16"/>
      <c r="Q605" s="16"/>
      <c r="R605" s="19" t="str">
        <f>IFERROR(__xludf.DUMMYFUNCTION("""COMPUTED_VALUE"""),"ISLAM")</f>
        <v>ISLAM</v>
      </c>
      <c r="S605" s="16" t="str">
        <f>IFERROR(__xludf.DUMMYFUNCTION("""COMPUTED_VALUE"""),"SWASTA")</f>
        <v>SWASTA</v>
      </c>
      <c r="T605" s="16" t="str">
        <f>IFERROR(__xludf.DUMMYFUNCTION("""COMPUTED_VALUE"""),"TULANG BERGESER")</f>
        <v>TULANG BERGESER</v>
      </c>
      <c r="U605" s="16" t="str">
        <f>IFERROR(__xludf.DUMMYFUNCTION("""COMPUTED_VALUE"""),"NONTON")</f>
        <v>NONTON</v>
      </c>
      <c r="V605" s="11" t="str">
        <f>IFERROR(__xludf.DUMMYFUNCTION("""COMPUTED_VALUE"""),"085252306646")</f>
        <v>085252306646</v>
      </c>
      <c r="W605" s="15"/>
    </row>
    <row r="606" ht="22.5" customHeight="1">
      <c r="A606" s="8"/>
      <c r="B606" s="9">
        <f>IFERROR(__xludf.DUMMYFUNCTION("""COMPUTED_VALUE"""),45148.94531241898)</f>
        <v>45148.94531</v>
      </c>
      <c r="C606" s="9"/>
      <c r="D606" s="10">
        <f>IFERROR(__xludf.DUMMYFUNCTION("""COMPUTED_VALUE"""),45150.0)</f>
        <v>45150</v>
      </c>
      <c r="E606" s="10" t="str">
        <f>IFERROR(__xludf.DUMMYFUNCTION("""COMPUTED_VALUE"""),"08Agu")</f>
        <v>08Agu</v>
      </c>
      <c r="F606" s="10" t="str">
        <f>IFERROR(__xludf.DUMMYFUNCTION("""COMPUTED_VALUE"""),"2023")</f>
        <v>2023</v>
      </c>
      <c r="G606" s="16" t="str">
        <f>IFERROR(__xludf.DUMMYFUNCTION("""COMPUTED_VALUE"""),"MOHAMMAD BAHY AZKA ADIVA")</f>
        <v>MOHAMMAD BAHY AZKA ADIVA</v>
      </c>
      <c r="H606" s="17" t="str">
        <f>IFERROR(__xludf.DUMMYFUNCTION("""COMPUTED_VALUE"""),"M1123086337")</f>
        <v>M1123086337</v>
      </c>
      <c r="I606" s="17">
        <f>IFERROR(__xludf.DUMMYFUNCTION("""COMPUTED_VALUE"""),15.0)</f>
        <v>15</v>
      </c>
      <c r="J606" s="17" t="str">
        <f>IFERROR(__xludf.DUMMYFUNCTION("""COMPUTED_VALUE"""),"&lt; 18 tahun")</f>
        <v>&lt; 18 tahun</v>
      </c>
      <c r="K606" s="19">
        <f>IFERROR(__xludf.DUMMYFUNCTION("""COMPUTED_VALUE"""),40664.0)</f>
        <v>40664</v>
      </c>
      <c r="L606" s="19" t="str">
        <f>IFERROR(__xludf.DUMMYFUNCTION("""COMPUTED_VALUE"""),"LAKI-LAKI")</f>
        <v>LAKI-LAKI</v>
      </c>
      <c r="M606" s="16" t="str">
        <f>IFERROR(__xludf.DUMMYFUNCTION("""COMPUTED_VALUE"""),"Jln m Yamin no 7")</f>
        <v>Jln m Yamin no 7</v>
      </c>
      <c r="N606" s="16"/>
      <c r="O606" s="16"/>
      <c r="P606" s="16"/>
      <c r="Q606" s="16"/>
      <c r="R606" s="19" t="str">
        <f>IFERROR(__xludf.DUMMYFUNCTION("""COMPUTED_VALUE"""),"ISLAM")</f>
        <v>ISLAM</v>
      </c>
      <c r="S606" s="16" t="str">
        <f>IFERROR(__xludf.DUMMYFUNCTION("""COMPUTED_VALUE"""),"PELAJAR/MAHASISWA")</f>
        <v>PELAJAR/MAHASISWA</v>
      </c>
      <c r="T606" s="35" t="str">
        <f>IFERROR(__xludf.DUMMYFUNCTION("""COMPUTED_VALUE"""),"NYERI PAHA")</f>
        <v>NYERI PAHA</v>
      </c>
      <c r="U606" s="16" t="str">
        <f>IFERROR(__xludf.DUMMYFUNCTION("""COMPUTED_VALUE"""),"OLAHRAGA")</f>
        <v>OLAHRAGA</v>
      </c>
      <c r="V606" s="11" t="str">
        <f>IFERROR(__xludf.DUMMYFUNCTION("""COMPUTED_VALUE"""),"089625346337")</f>
        <v>089625346337</v>
      </c>
      <c r="W606" s="15"/>
    </row>
    <row r="607" ht="22.5" customHeight="1">
      <c r="A607" s="8"/>
      <c r="B607" s="9">
        <f>IFERROR(__xludf.DUMMYFUNCTION("""COMPUTED_VALUE"""),45150.48258454861)</f>
        <v>45150.48258</v>
      </c>
      <c r="C607" s="9"/>
      <c r="D607" s="10">
        <f>IFERROR(__xludf.DUMMYFUNCTION("""COMPUTED_VALUE"""),45151.0)</f>
        <v>45151</v>
      </c>
      <c r="E607" s="10" t="str">
        <f>IFERROR(__xludf.DUMMYFUNCTION("""COMPUTED_VALUE"""),"08Agu")</f>
        <v>08Agu</v>
      </c>
      <c r="F607" s="10" t="str">
        <f>IFERROR(__xludf.DUMMYFUNCTION("""COMPUTED_VALUE"""),"2023")</f>
        <v>2023</v>
      </c>
      <c r="G607" s="16" t="str">
        <f>IFERROR(__xludf.DUMMYFUNCTION("""COMPUTED_VALUE"""),"CAHYO FITRIWATI")</f>
        <v>CAHYO FITRIWATI</v>
      </c>
      <c r="H607" s="17" t="str">
        <f>IFERROR(__xludf.DUMMYFUNCTION("""COMPUTED_VALUE"""),"C9423084401")</f>
        <v>C9423084401</v>
      </c>
      <c r="I607" s="17">
        <f>IFERROR(__xludf.DUMMYFUNCTION("""COMPUTED_VALUE"""),32.0)</f>
        <v>32</v>
      </c>
      <c r="J607" s="17" t="str">
        <f>IFERROR(__xludf.DUMMYFUNCTION("""COMPUTED_VALUE"""),"25-34 tahun")</f>
        <v>25-34 tahun</v>
      </c>
      <c r="K607" s="19">
        <f>IFERROR(__xludf.DUMMYFUNCTION("""COMPUTED_VALUE"""),34410.0)</f>
        <v>34410</v>
      </c>
      <c r="L607" s="19" t="str">
        <f>IFERROR(__xludf.DUMMYFUNCTION("""COMPUTED_VALUE"""),"PEREMPUAN")</f>
        <v>PEREMPUAN</v>
      </c>
      <c r="M607" s="16" t="str">
        <f>IFERROR(__xludf.DUMMYFUNCTION("""COMPUTED_VALUE"""),"Jl UJUNG PANDANG GG GAHARU NO 23")</f>
        <v>Jl UJUNG PANDANG GG GAHARU NO 23</v>
      </c>
      <c r="N607" s="16"/>
      <c r="O607" s="16"/>
      <c r="P607" s="16"/>
      <c r="Q607" s="16"/>
      <c r="R607" s="19" t="str">
        <f>IFERROR(__xludf.DUMMYFUNCTION("""COMPUTED_VALUE"""),"ISLAM")</f>
        <v>ISLAM</v>
      </c>
      <c r="S607" s="16" t="str">
        <f>IFERROR(__xludf.DUMMYFUNCTION("""COMPUTED_VALUE"""),"RUMAH TANGGA")</f>
        <v>RUMAH TANGGA</v>
      </c>
      <c r="T607" s="36" t="str">
        <f>IFERROR(__xludf.DUMMYFUNCTION("""COMPUTED_VALUE"""),"SAKIT PINGGANG BAGIAN BAWAH KANAN")</f>
        <v>SAKIT PINGGANG BAGIAN BAWAH KANAN</v>
      </c>
      <c r="U607" s="16" t="str">
        <f>IFERROR(__xludf.DUMMYFUNCTION("""COMPUTED_VALUE"""),"MEMBUAT BUKET BUNGA")</f>
        <v>MEMBUAT BUKET BUNGA</v>
      </c>
      <c r="V607" s="11" t="str">
        <f>IFERROR(__xludf.DUMMYFUNCTION("""COMPUTED_VALUE"""),"082251844401")</f>
        <v>082251844401</v>
      </c>
      <c r="W607" s="15"/>
    </row>
    <row r="608" ht="22.5" customHeight="1">
      <c r="A608" s="8"/>
      <c r="B608" s="9">
        <f>IFERROR(__xludf.DUMMYFUNCTION("""COMPUTED_VALUE"""),45150.64720689815)</f>
        <v>45150.64721</v>
      </c>
      <c r="C608" s="9"/>
      <c r="D608" s="10">
        <f>IFERROR(__xludf.DUMMYFUNCTION("""COMPUTED_VALUE"""),45151.0)</f>
        <v>45151</v>
      </c>
      <c r="E608" s="10" t="str">
        <f>IFERROR(__xludf.DUMMYFUNCTION("""COMPUTED_VALUE"""),"08Agu")</f>
        <v>08Agu</v>
      </c>
      <c r="F608" s="10" t="str">
        <f>IFERROR(__xludf.DUMMYFUNCTION("""COMPUTED_VALUE"""),"2023")</f>
        <v>2023</v>
      </c>
      <c r="G608" s="16" t="str">
        <f>IFERROR(__xludf.DUMMYFUNCTION("""COMPUTED_VALUE"""),"ARIEF ADI PURWOKO")</f>
        <v>ARIEF ADI PURWOKO</v>
      </c>
      <c r="H608" s="17" t="str">
        <f>IFERROR(__xludf.DUMMYFUNCTION("""COMPUTED_VALUE"""),"A8623089993")</f>
        <v>A8623089993</v>
      </c>
      <c r="I608" s="17">
        <f>IFERROR(__xludf.DUMMYFUNCTION("""COMPUTED_VALUE"""),40.0)</f>
        <v>40</v>
      </c>
      <c r="J608" s="17" t="str">
        <f>IFERROR(__xludf.DUMMYFUNCTION("""COMPUTED_VALUE"""),"35-44 tahun")</f>
        <v>35-44 tahun</v>
      </c>
      <c r="K608" s="19">
        <f>IFERROR(__xludf.DUMMYFUNCTION("""COMPUTED_VALUE"""),31541.0)</f>
        <v>31541</v>
      </c>
      <c r="L608" s="19" t="str">
        <f>IFERROR(__xludf.DUMMYFUNCTION("""COMPUTED_VALUE"""),"LAKI-LAKI")</f>
        <v>LAKI-LAKI</v>
      </c>
      <c r="M608" s="16" t="str">
        <f>IFERROR(__xludf.DUMMYFUNCTION("""COMPUTED_VALUE"""),"Tidar Krajan RT.04/RW.09, Kelurahan Tidar Utara, Kota Magelang")</f>
        <v>Tidar Krajan RT.04/RW.09, Kelurahan Tidar Utara, Kota Magelang</v>
      </c>
      <c r="N608" s="16"/>
      <c r="O608" s="16"/>
      <c r="P608" s="16"/>
      <c r="Q608" s="16"/>
      <c r="R608" s="19" t="str">
        <f>IFERROR(__xludf.DUMMYFUNCTION("""COMPUTED_VALUE"""),"ISLAM")</f>
        <v>ISLAM</v>
      </c>
      <c r="S608" s="16" t="str">
        <f>IFERROR(__xludf.DUMMYFUNCTION("""COMPUTED_VALUE"""),"DOSEN/GURU")</f>
        <v>DOSEN/GURU</v>
      </c>
      <c r="T608" s="16" t="str">
        <f>IFERROR(__xludf.DUMMYFUNCTION("""COMPUTED_VALUE"""),"BELIKAT BAGIAN KANAN HINGGA LENGAN DAN TANGAN SEBELAH KANAN KESEMUTAN")</f>
        <v>BELIKAT BAGIAN KANAN HINGGA LENGAN DAN TANGAN SEBELAH KANAN KESEMUTAN</v>
      </c>
      <c r="U608" s="16" t="str">
        <f>IFERROR(__xludf.DUMMYFUNCTION("""COMPUTED_VALUE"""),"Membaca, menulis, dan mengajar")</f>
        <v>Membaca, menulis, dan mengajar</v>
      </c>
      <c r="V608" s="11" t="str">
        <f>IFERROR(__xludf.DUMMYFUNCTION("""COMPUTED_VALUE"""),"085729949993")</f>
        <v>085729949993</v>
      </c>
      <c r="W608" s="15"/>
    </row>
    <row r="609" ht="22.5" customHeight="1">
      <c r="A609" s="8"/>
      <c r="B609" s="9">
        <f>IFERROR(__xludf.DUMMYFUNCTION("""COMPUTED_VALUE"""),45151.42532197917)</f>
        <v>45151.42532</v>
      </c>
      <c r="C609" s="9"/>
      <c r="D609" s="10">
        <f>IFERROR(__xludf.DUMMYFUNCTION("""COMPUTED_VALUE"""),45151.0)</f>
        <v>45151</v>
      </c>
      <c r="E609" s="10" t="str">
        <f>IFERROR(__xludf.DUMMYFUNCTION("""COMPUTED_VALUE"""),"08Agu")</f>
        <v>08Agu</v>
      </c>
      <c r="F609" s="10" t="str">
        <f>IFERROR(__xludf.DUMMYFUNCTION("""COMPUTED_VALUE"""),"2023")</f>
        <v>2023</v>
      </c>
      <c r="G609" s="16" t="str">
        <f>IFERROR(__xludf.DUMMYFUNCTION("""COMPUTED_VALUE"""),"WINDY EKA PUSPITA")</f>
        <v>WINDY EKA PUSPITA</v>
      </c>
      <c r="H609" s="17" t="str">
        <f>IFERROR(__xludf.DUMMYFUNCTION("""COMPUTED_VALUE"""),"W7823082225")</f>
        <v>W7823082225</v>
      </c>
      <c r="I609" s="17">
        <f>IFERROR(__xludf.DUMMYFUNCTION("""COMPUTED_VALUE"""),47.0)</f>
        <v>47</v>
      </c>
      <c r="J609" s="17" t="str">
        <f>IFERROR(__xludf.DUMMYFUNCTION("""COMPUTED_VALUE"""),"&gt; 44 tahun")</f>
        <v>&gt; 44 tahun</v>
      </c>
      <c r="K609" s="19">
        <f>IFERROR(__xludf.DUMMYFUNCTION("""COMPUTED_VALUE"""),28668.0)</f>
        <v>28668</v>
      </c>
      <c r="L609" s="19" t="str">
        <f>IFERROR(__xludf.DUMMYFUNCTION("""COMPUTED_VALUE"""),"PEREMPUAN")</f>
        <v>PEREMPUAN</v>
      </c>
      <c r="M609" s="16" t="str">
        <f>IFERROR(__xludf.DUMMYFUNCTION("""COMPUTED_VALUE"""),"Jl. Wonobaru Gg. Wonodadi I No. 14")</f>
        <v>Jl. Wonobaru Gg. Wonodadi I No. 14</v>
      </c>
      <c r="N609" s="16"/>
      <c r="O609" s="16"/>
      <c r="P609" s="16"/>
      <c r="Q609" s="16"/>
      <c r="R609" s="19" t="str">
        <f>IFERROR(__xludf.DUMMYFUNCTION("""COMPUTED_VALUE"""),"ISLAM")</f>
        <v>ISLAM</v>
      </c>
      <c r="S609" s="16" t="str">
        <f>IFERROR(__xludf.DUMMYFUNCTION("""COMPUTED_VALUE"""),"ASN")</f>
        <v>ASN</v>
      </c>
      <c r="T609" s="36" t="str">
        <f>IFERROR(__xludf.DUMMYFUNCTION("""COMPUTED_VALUE"""),"SAKIT DI BAGIAN DEKAT TULANG EKOR AKIBAT JATIH DI WC")</f>
        <v>SAKIT DI BAGIAN DEKAT TULANG EKOR AKIBAT JATIH DI WC</v>
      </c>
      <c r="U609" s="16" t="str">
        <f>IFERROR(__xludf.DUMMYFUNCTION("""COMPUTED_VALUE"""),"BEKERJA")</f>
        <v>BEKERJA</v>
      </c>
      <c r="V609" s="11" t="str">
        <f>IFERROR(__xludf.DUMMYFUNCTION("""COMPUTED_VALUE"""),"081258352225")</f>
        <v>081258352225</v>
      </c>
      <c r="W609" s="15"/>
    </row>
    <row r="610" ht="22.5" customHeight="1">
      <c r="A610" s="8"/>
      <c r="B610" s="9">
        <f>IFERROR(__xludf.DUMMYFUNCTION("""COMPUTED_VALUE"""),45151.47141358796)</f>
        <v>45151.47141</v>
      </c>
      <c r="C610" s="9"/>
      <c r="D610" s="10">
        <f>IFERROR(__xludf.DUMMYFUNCTION("""COMPUTED_VALUE"""),45151.0)</f>
        <v>45151</v>
      </c>
      <c r="E610" s="10" t="str">
        <f>IFERROR(__xludf.DUMMYFUNCTION("""COMPUTED_VALUE"""),"08Agu")</f>
        <v>08Agu</v>
      </c>
      <c r="F610" s="10" t="str">
        <f>IFERROR(__xludf.DUMMYFUNCTION("""COMPUTED_VALUE"""),"2023")</f>
        <v>2023</v>
      </c>
      <c r="G610" s="16" t="str">
        <f>IFERROR(__xludf.DUMMYFUNCTION("""COMPUTED_VALUE"""),"MERY TRI LESTARI")</f>
        <v>MERY TRI LESTARI</v>
      </c>
      <c r="H610" s="17" t="str">
        <f>IFERROR(__xludf.DUMMYFUNCTION("""COMPUTED_VALUE"""),"M8823080700")</f>
        <v>M8823080700</v>
      </c>
      <c r="I610" s="17">
        <f>IFERROR(__xludf.DUMMYFUNCTION("""COMPUTED_VALUE"""),38.0)</f>
        <v>38</v>
      </c>
      <c r="J610" s="17" t="str">
        <f>IFERROR(__xludf.DUMMYFUNCTION("""COMPUTED_VALUE"""),"35-44 tahun")</f>
        <v>35-44 tahun</v>
      </c>
      <c r="K610" s="19">
        <f>IFERROR(__xludf.DUMMYFUNCTION("""COMPUTED_VALUE"""),32208.0)</f>
        <v>32208</v>
      </c>
      <c r="L610" s="19" t="str">
        <f>IFERROR(__xludf.DUMMYFUNCTION("""COMPUTED_VALUE"""),"PEREMPUAN")</f>
        <v>PEREMPUAN</v>
      </c>
      <c r="M610" s="16" t="str">
        <f>IFERROR(__xludf.DUMMYFUNCTION("""COMPUTED_VALUE"""),"Jl. Purnama komp. Purnama Agung 3 No. F. 7")</f>
        <v>Jl. Purnama komp. Purnama Agung 3 No. F. 7</v>
      </c>
      <c r="N610" s="16"/>
      <c r="O610" s="16"/>
      <c r="P610" s="16"/>
      <c r="Q610" s="16"/>
      <c r="R610" s="19" t="str">
        <f>IFERROR(__xludf.DUMMYFUNCTION("""COMPUTED_VALUE"""),"KATOLIK")</f>
        <v>KATOLIK</v>
      </c>
      <c r="S610" s="16" t="str">
        <f>IFERROR(__xludf.DUMMYFUNCTION("""COMPUTED_VALUE"""),"RUMAH TANGGA")</f>
        <v>RUMAH TANGGA</v>
      </c>
      <c r="T610" s="36" t="str">
        <f>IFERROR(__xludf.DUMMYFUNCTION("""COMPUTED_VALUE"""),"TANGAN TERKILIR")</f>
        <v>TANGAN TERKILIR</v>
      </c>
      <c r="U610" s="16" t="str">
        <f>IFERROR(__xludf.DUMMYFUNCTION("""COMPUTED_VALUE"""),"MASAK")</f>
        <v>MASAK</v>
      </c>
      <c r="V610" s="11" t="str">
        <f>IFERROR(__xludf.DUMMYFUNCTION("""COMPUTED_VALUE"""),"0815750450700")</f>
        <v>0815750450700</v>
      </c>
      <c r="W610" s="15"/>
    </row>
    <row r="611" ht="22.5" customHeight="1">
      <c r="A611" s="8"/>
      <c r="B611" s="9">
        <f>IFERROR(__xludf.DUMMYFUNCTION("""COMPUTED_VALUE"""),45151.51863016204)</f>
        <v>45151.51863</v>
      </c>
      <c r="C611" s="9"/>
      <c r="D611" s="10">
        <f>IFERROR(__xludf.DUMMYFUNCTION("""COMPUTED_VALUE"""),45151.0)</f>
        <v>45151</v>
      </c>
      <c r="E611" s="10" t="str">
        <f>IFERROR(__xludf.DUMMYFUNCTION("""COMPUTED_VALUE"""),"08Agu")</f>
        <v>08Agu</v>
      </c>
      <c r="F611" s="10" t="str">
        <f>IFERROR(__xludf.DUMMYFUNCTION("""COMPUTED_VALUE"""),"2023")</f>
        <v>2023</v>
      </c>
      <c r="G611" s="16" t="str">
        <f>IFERROR(__xludf.DUMMYFUNCTION("""COMPUTED_VALUE"""),"RAHAYU")</f>
        <v>RAHAYU</v>
      </c>
      <c r="H611" s="17" t="str">
        <f>IFERROR(__xludf.DUMMYFUNCTION("""COMPUTED_VALUE"""),"R8923084389")</f>
        <v>R8923084389</v>
      </c>
      <c r="I611" s="17">
        <f>IFERROR(__xludf.DUMMYFUNCTION("""COMPUTED_VALUE"""),37.0)</f>
        <v>37</v>
      </c>
      <c r="J611" s="17" t="str">
        <f>IFERROR(__xludf.DUMMYFUNCTION("""COMPUTED_VALUE"""),"35-44 tahun")</f>
        <v>35-44 tahun</v>
      </c>
      <c r="K611" s="19">
        <f>IFERROR(__xludf.DUMMYFUNCTION("""COMPUTED_VALUE"""),32568.0)</f>
        <v>32568</v>
      </c>
      <c r="L611" s="19" t="str">
        <f>IFERROR(__xludf.DUMMYFUNCTION("""COMPUTED_VALUE"""),"PEREMPUAN")</f>
        <v>PEREMPUAN</v>
      </c>
      <c r="M611" s="16" t="str">
        <f>IFERROR(__xludf.DUMMYFUNCTION("""COMPUTED_VALUE"""),"JL. PGA")</f>
        <v>JL. PGA</v>
      </c>
      <c r="N611" s="16"/>
      <c r="O611" s="16"/>
      <c r="P611" s="16"/>
      <c r="Q611" s="16"/>
      <c r="R611" s="19" t="str">
        <f>IFERROR(__xludf.DUMMYFUNCTION("""COMPUTED_VALUE"""),"ISLAM")</f>
        <v>ISLAM</v>
      </c>
      <c r="S611" s="16" t="str">
        <f>IFERROR(__xludf.DUMMYFUNCTION("""COMPUTED_VALUE"""),"ASN")</f>
        <v>ASN</v>
      </c>
      <c r="T611" s="16" t="str">
        <f>IFERROR(__xludf.DUMMYFUNCTION("""COMPUTED_VALUE"""),"BAHU")</f>
        <v>BAHU</v>
      </c>
      <c r="U611" s="16" t="str">
        <f>IFERROR(__xludf.DUMMYFUNCTION("""COMPUTED_VALUE"""),"MAIN VOLLY")</f>
        <v>MAIN VOLLY</v>
      </c>
      <c r="V611" s="11" t="str">
        <f>IFERROR(__xludf.DUMMYFUNCTION("""COMPUTED_VALUE"""),"085245924389")</f>
        <v>085245924389</v>
      </c>
      <c r="W611" s="15"/>
    </row>
    <row r="612" ht="22.5" customHeight="1">
      <c r="A612" s="8"/>
      <c r="B612" s="9">
        <f>IFERROR(__xludf.DUMMYFUNCTION("""COMPUTED_VALUE"""),45151.54576606481)</f>
        <v>45151.54577</v>
      </c>
      <c r="C612" s="9"/>
      <c r="D612" s="10">
        <f>IFERROR(__xludf.DUMMYFUNCTION("""COMPUTED_VALUE"""),45152.0)</f>
        <v>45152</v>
      </c>
      <c r="E612" s="10" t="str">
        <f>IFERROR(__xludf.DUMMYFUNCTION("""COMPUTED_VALUE"""),"08Agu")</f>
        <v>08Agu</v>
      </c>
      <c r="F612" s="10" t="str">
        <f>IFERROR(__xludf.DUMMYFUNCTION("""COMPUTED_VALUE"""),"2023")</f>
        <v>2023</v>
      </c>
      <c r="G612" s="16" t="str">
        <f>IFERROR(__xludf.DUMMYFUNCTION("""COMPUTED_VALUE"""),"RIZALDI")</f>
        <v>RIZALDI</v>
      </c>
      <c r="H612" s="17" t="str">
        <f>IFERROR(__xludf.DUMMYFUNCTION("""COMPUTED_VALUE"""),"R8023089939")</f>
        <v>R8023089939</v>
      </c>
      <c r="I612" s="17">
        <f>IFERROR(__xludf.DUMMYFUNCTION("""COMPUTED_VALUE"""),45.0)</f>
        <v>45</v>
      </c>
      <c r="J612" s="17" t="str">
        <f>IFERROR(__xludf.DUMMYFUNCTION("""COMPUTED_VALUE"""),"&gt; 44 tahun")</f>
        <v>&gt; 44 tahun</v>
      </c>
      <c r="K612" s="19">
        <f>IFERROR(__xludf.DUMMYFUNCTION("""COMPUTED_VALUE"""),29460.0)</f>
        <v>29460</v>
      </c>
      <c r="L612" s="19" t="str">
        <f>IFERROR(__xludf.DUMMYFUNCTION("""COMPUTED_VALUE"""),"LAKI-LAKI")</f>
        <v>LAKI-LAKI</v>
      </c>
      <c r="M612" s="16" t="str">
        <f>IFERROR(__xludf.DUMMYFUNCTION("""COMPUTED_VALUE"""),"Komplek Sinar Agung Blok B36, Desa Kapur, Sungai Raya, Kubu Raya")</f>
        <v>Komplek Sinar Agung Blok B36, Desa Kapur, Sungai Raya, Kubu Raya</v>
      </c>
      <c r="N612" s="16"/>
      <c r="O612" s="16"/>
      <c r="P612" s="16"/>
      <c r="Q612" s="16"/>
      <c r="R612" s="19" t="str">
        <f>IFERROR(__xludf.DUMMYFUNCTION("""COMPUTED_VALUE"""),"ISLAM")</f>
        <v>ISLAM</v>
      </c>
      <c r="S612" s="16" t="str">
        <f>IFERROR(__xludf.DUMMYFUNCTION("""COMPUTED_VALUE"""),"WIRASWASTA")</f>
        <v>WIRASWASTA</v>
      </c>
      <c r="T612" s="16" t="str">
        <f>IFERROR(__xludf.DUMMYFUNCTION("""COMPUTED_VALUE"""),"BAHU SAKIT")</f>
        <v>BAHU SAKIT</v>
      </c>
      <c r="U612" s="16" t="str">
        <f>IFERROR(__xludf.DUMMYFUNCTION("""COMPUTED_VALUE"""),"BERKEBUN")</f>
        <v>BERKEBUN</v>
      </c>
      <c r="V612" s="11" t="str">
        <f>IFERROR(__xludf.DUMMYFUNCTION("""COMPUTED_VALUE"""),"0811579939")</f>
        <v>0811579939</v>
      </c>
      <c r="W612" s="15"/>
    </row>
    <row r="613" ht="22.5" customHeight="1">
      <c r="A613" s="8"/>
      <c r="B613" s="9">
        <f>IFERROR(__xludf.DUMMYFUNCTION("""COMPUTED_VALUE"""),45151.791408888894)</f>
        <v>45151.79141</v>
      </c>
      <c r="C613" s="9"/>
      <c r="D613" s="10">
        <f>IFERROR(__xludf.DUMMYFUNCTION("""COMPUTED_VALUE"""),45153.0)</f>
        <v>45153</v>
      </c>
      <c r="E613" s="10" t="str">
        <f>IFERROR(__xludf.DUMMYFUNCTION("""COMPUTED_VALUE"""),"08Agu")</f>
        <v>08Agu</v>
      </c>
      <c r="F613" s="10" t="str">
        <f>IFERROR(__xludf.DUMMYFUNCTION("""COMPUTED_VALUE"""),"2023")</f>
        <v>2023</v>
      </c>
      <c r="G613" s="16" t="str">
        <f>IFERROR(__xludf.DUMMYFUNCTION("""COMPUTED_VALUE"""),"ROFEAH")</f>
        <v>ROFEAH</v>
      </c>
      <c r="H613" s="17" t="str">
        <f>IFERROR(__xludf.DUMMYFUNCTION("""COMPUTED_VALUE"""),"R7623086269")</f>
        <v>R7623086269</v>
      </c>
      <c r="I613" s="17">
        <f>IFERROR(__xludf.DUMMYFUNCTION("""COMPUTED_VALUE"""),50.0)</f>
        <v>50</v>
      </c>
      <c r="J613" s="17" t="str">
        <f>IFERROR(__xludf.DUMMYFUNCTION("""COMPUTED_VALUE"""),"&gt; 44 tahun")</f>
        <v>&gt; 44 tahun</v>
      </c>
      <c r="K613" s="19">
        <f>IFERROR(__xludf.DUMMYFUNCTION("""COMPUTED_VALUE"""),27892.0)</f>
        <v>27892</v>
      </c>
      <c r="L613" s="19" t="str">
        <f>IFERROR(__xludf.DUMMYFUNCTION("""COMPUTED_VALUE"""),"PEREMPUAN")</f>
        <v>PEREMPUAN</v>
      </c>
      <c r="M613" s="16" t="str">
        <f>IFERROR(__xludf.DUMMYFUNCTION("""COMPUTED_VALUE"""),"Jln padat karya saigon")</f>
        <v>Jln padat karya saigon</v>
      </c>
      <c r="N613" s="16"/>
      <c r="O613" s="16"/>
      <c r="P613" s="16"/>
      <c r="Q613" s="16"/>
      <c r="R613" s="19" t="str">
        <f>IFERROR(__xludf.DUMMYFUNCTION("""COMPUTED_VALUE"""),"ISLAM")</f>
        <v>ISLAM</v>
      </c>
      <c r="S613" s="16" t="str">
        <f>IFERROR(__xludf.DUMMYFUNCTION("""COMPUTED_VALUE"""),"RUMAH TANGGA")</f>
        <v>RUMAH TANGGA</v>
      </c>
      <c r="T613" s="16" t="str">
        <f>IFERROR(__xludf.DUMMYFUNCTION("""COMPUTED_VALUE"""),"SAKIT PINGGANG DRI PINGGANG,BOKONG SMPAI KEE PAHA")</f>
        <v>SAKIT PINGGANG DRI PINGGANG,BOKONG SMPAI KEE PAHA</v>
      </c>
      <c r="U613" s="16" t="str">
        <f>IFERROR(__xludf.DUMMYFUNCTION("""COMPUTED_VALUE"""),"IRT")</f>
        <v>IRT</v>
      </c>
      <c r="V613" s="11" t="str">
        <f>IFERROR(__xludf.DUMMYFUNCTION("""COMPUTED_VALUE"""),"085658366269")</f>
        <v>085658366269</v>
      </c>
      <c r="W613" s="15"/>
    </row>
    <row r="614" ht="22.5" customHeight="1">
      <c r="A614" s="8"/>
      <c r="B614" s="9">
        <f>IFERROR(__xludf.DUMMYFUNCTION("""COMPUTED_VALUE"""),45152.54262840278)</f>
        <v>45152.54263</v>
      </c>
      <c r="C614" s="9"/>
      <c r="D614" s="10">
        <f>IFERROR(__xludf.DUMMYFUNCTION("""COMPUTED_VALUE"""),45153.0)</f>
        <v>45153</v>
      </c>
      <c r="E614" s="10" t="str">
        <f>IFERROR(__xludf.DUMMYFUNCTION("""COMPUTED_VALUE"""),"08Agu")</f>
        <v>08Agu</v>
      </c>
      <c r="F614" s="10" t="str">
        <f>IFERROR(__xludf.DUMMYFUNCTION("""COMPUTED_VALUE"""),"2023")</f>
        <v>2023</v>
      </c>
      <c r="G614" s="16" t="str">
        <f>IFERROR(__xludf.DUMMYFUNCTION("""COMPUTED_VALUE"""),"SYARIF RAIHAN RAFISKI")</f>
        <v>SYARIF RAIHAN RAFISKI</v>
      </c>
      <c r="H614" s="17" t="str">
        <f>IFERROR(__xludf.DUMMYFUNCTION("""COMPUTED_VALUE"""),"S1223087980")</f>
        <v>S1223087980</v>
      </c>
      <c r="I614" s="17">
        <f>IFERROR(__xludf.DUMMYFUNCTION("""COMPUTED_VALUE"""),14.0)</f>
        <v>14</v>
      </c>
      <c r="J614" s="17" t="str">
        <f>IFERROR(__xludf.DUMMYFUNCTION("""COMPUTED_VALUE"""),"&lt; 18 tahun")</f>
        <v>&lt; 18 tahun</v>
      </c>
      <c r="K614" s="19">
        <f>IFERROR(__xludf.DUMMYFUNCTION("""COMPUTED_VALUE"""),40938.0)</f>
        <v>40938</v>
      </c>
      <c r="L614" s="19" t="str">
        <f>IFERROR(__xludf.DUMMYFUNCTION("""COMPUTED_VALUE"""),"LAKI-LAKI")</f>
        <v>LAKI-LAKI</v>
      </c>
      <c r="M614" s="16" t="str">
        <f>IFERROR(__xludf.DUMMYFUNCTION("""COMPUTED_VALUE"""),"Jl tabrani ahmad 2 komp villa arthaland no a7")</f>
        <v>Jl tabrani ahmad 2 komp villa arthaland no a7</v>
      </c>
      <c r="N614" s="16"/>
      <c r="O614" s="16"/>
      <c r="P614" s="16"/>
      <c r="Q614" s="16"/>
      <c r="R614" s="19" t="str">
        <f>IFERROR(__xludf.DUMMYFUNCTION("""COMPUTED_VALUE"""),"ISLAM")</f>
        <v>ISLAM</v>
      </c>
      <c r="S614" s="16" t="str">
        <f>IFERROR(__xludf.DUMMYFUNCTION("""COMPUTED_VALUE"""),"PELAJAR/MAHASISWA")</f>
        <v>PELAJAR/MAHASISWA</v>
      </c>
      <c r="T614" s="36" t="str">
        <f>IFERROR(__xludf.DUMMYFUNCTION("""COMPUTED_VALUE"""),"NYERI TUMIT DAN")</f>
        <v>NYERI TUMIT DAN</v>
      </c>
      <c r="U614" s="16" t="str">
        <f>IFERROR(__xludf.DUMMYFUNCTION("""COMPUTED_VALUE"""),"FUTSAL")</f>
        <v>FUTSAL</v>
      </c>
      <c r="V614" s="11" t="str">
        <f>IFERROR(__xludf.DUMMYFUNCTION("""COMPUTED_VALUE"""),"085388317980")</f>
        <v>085388317980</v>
      </c>
      <c r="W614" s="15"/>
    </row>
    <row r="615" ht="22.5" customHeight="1">
      <c r="A615" s="8"/>
      <c r="B615" s="9">
        <f>IFERROR(__xludf.DUMMYFUNCTION("""COMPUTED_VALUE"""),45152.86688375)</f>
        <v>45152.86688</v>
      </c>
      <c r="C615" s="9"/>
      <c r="D615" s="10">
        <f>IFERROR(__xludf.DUMMYFUNCTION("""COMPUTED_VALUE"""),45153.0)</f>
        <v>45153</v>
      </c>
      <c r="E615" s="10" t="str">
        <f>IFERROR(__xludf.DUMMYFUNCTION("""COMPUTED_VALUE"""),"08Agu")</f>
        <v>08Agu</v>
      </c>
      <c r="F615" s="10" t="str">
        <f>IFERROR(__xludf.DUMMYFUNCTION("""COMPUTED_VALUE"""),"2023")</f>
        <v>2023</v>
      </c>
      <c r="G615" s="16" t="str">
        <f>IFERROR(__xludf.DUMMYFUNCTION("""COMPUTED_VALUE"""),"DAMASUS JEKI KURNIAWAN")</f>
        <v>DAMASUS JEKI KURNIAWAN</v>
      </c>
      <c r="H615" s="17" t="str">
        <f>IFERROR(__xludf.DUMMYFUNCTION("""COMPUTED_VALUE"""),"D0023081150")</f>
        <v>D0023081150</v>
      </c>
      <c r="I615" s="17">
        <f>IFERROR(__xludf.DUMMYFUNCTION("""COMPUTED_VALUE"""),25.0)</f>
        <v>25</v>
      </c>
      <c r="J615" s="17" t="str">
        <f>IFERROR(__xludf.DUMMYFUNCTION("""COMPUTED_VALUE"""),"25-34 tahun")</f>
        <v>25-34 tahun</v>
      </c>
      <c r="K615" s="19">
        <f>IFERROR(__xludf.DUMMYFUNCTION("""COMPUTED_VALUE"""),36873.0)</f>
        <v>36873</v>
      </c>
      <c r="L615" s="19" t="str">
        <f>IFERROR(__xludf.DUMMYFUNCTION("""COMPUTED_VALUE"""),"LAKI-LAKI")</f>
        <v>LAKI-LAKI</v>
      </c>
      <c r="M615" s="16" t="str">
        <f>IFERROR(__xludf.DUMMYFUNCTION("""COMPUTED_VALUE"""),"Dusun Mundun, Desa Palem Jaya")</f>
        <v>Dusun Mundun, Desa Palem Jaya</v>
      </c>
      <c r="N615" s="16"/>
      <c r="O615" s="16"/>
      <c r="P615" s="16"/>
      <c r="Q615" s="16"/>
      <c r="R615" s="19" t="str">
        <f>IFERROR(__xludf.DUMMYFUNCTION("""COMPUTED_VALUE"""),"KATOLIK")</f>
        <v>KATOLIK</v>
      </c>
      <c r="S615" s="16" t="str">
        <f>IFERROR(__xludf.DUMMYFUNCTION("""COMPUTED_VALUE"""),"PELAJAR/MAHASISWA")</f>
        <v>PELAJAR/MAHASISWA</v>
      </c>
      <c r="T615" s="36" t="str">
        <f>IFERROR(__xludf.DUMMYFUNCTION("""COMPUTED_VALUE"""),"SAKIT DIBAGIAN PAHA")</f>
        <v>SAKIT DIBAGIAN PAHA</v>
      </c>
      <c r="U615" s="16" t="str">
        <f>IFERROR(__xludf.DUMMYFUNCTION("""COMPUTED_VALUE"""),"Badminton, game, kuliah")</f>
        <v>Badminton, game, kuliah</v>
      </c>
      <c r="V615" s="11" t="str">
        <f>IFERROR(__xludf.DUMMYFUNCTION("""COMPUTED_VALUE"""),"085346971150")</f>
        <v>085346971150</v>
      </c>
      <c r="W615" s="15"/>
    </row>
    <row r="616" ht="22.5" customHeight="1">
      <c r="A616" s="8"/>
      <c r="B616" s="9">
        <f>IFERROR(__xludf.DUMMYFUNCTION("""COMPUTED_VALUE"""),45153.374227395834)</f>
        <v>45153.37423</v>
      </c>
      <c r="C616" s="9"/>
      <c r="D616" s="10">
        <f>IFERROR(__xludf.DUMMYFUNCTION("""COMPUTED_VALUE"""),45153.0)</f>
        <v>45153</v>
      </c>
      <c r="E616" s="10" t="str">
        <f>IFERROR(__xludf.DUMMYFUNCTION("""COMPUTED_VALUE"""),"08Agu")</f>
        <v>08Agu</v>
      </c>
      <c r="F616" s="10" t="str">
        <f>IFERROR(__xludf.DUMMYFUNCTION("""COMPUTED_VALUE"""),"2023")</f>
        <v>2023</v>
      </c>
      <c r="G616" s="16" t="str">
        <f>IFERROR(__xludf.DUMMYFUNCTION("""COMPUTED_VALUE"""),"EVI YULIANTI")</f>
        <v>EVI YULIANTI</v>
      </c>
      <c r="H616" s="17" t="str">
        <f>IFERROR(__xludf.DUMMYFUNCTION("""COMPUTED_VALUE"""),"E8123086210")</f>
        <v>E8123086210</v>
      </c>
      <c r="I616" s="17">
        <f>IFERROR(__xludf.DUMMYFUNCTION("""COMPUTED_VALUE"""),45.0)</f>
        <v>45</v>
      </c>
      <c r="J616" s="17" t="str">
        <f>IFERROR(__xludf.DUMMYFUNCTION("""COMPUTED_VALUE"""),"&gt; 44 tahun")</f>
        <v>&gt; 44 tahun</v>
      </c>
      <c r="K616" s="19">
        <f>IFERROR(__xludf.DUMMYFUNCTION("""COMPUTED_VALUE"""),29644.0)</f>
        <v>29644</v>
      </c>
      <c r="L616" s="19" t="str">
        <f>IFERROR(__xludf.DUMMYFUNCTION("""COMPUTED_VALUE"""),"PEREMPUAN")</f>
        <v>PEREMPUAN</v>
      </c>
      <c r="M616" s="16" t="str">
        <f>IFERROR(__xludf.DUMMYFUNCTION("""COMPUTED_VALUE"""),"Jl putri candra midi gg sukajaya no 7")</f>
        <v>Jl putri candra midi gg sukajaya no 7</v>
      </c>
      <c r="N616" s="16"/>
      <c r="O616" s="16"/>
      <c r="P616" s="16"/>
      <c r="Q616" s="16"/>
      <c r="R616" s="19" t="str">
        <f>IFERROR(__xludf.DUMMYFUNCTION("""COMPUTED_VALUE"""),"ISLAM")</f>
        <v>ISLAM</v>
      </c>
      <c r="S616" s="16" t="str">
        <f>IFERROR(__xludf.DUMMYFUNCTION("""COMPUTED_VALUE"""),"DOSEN/GURU")</f>
        <v>DOSEN/GURU</v>
      </c>
      <c r="T616" s="16" t="str">
        <f>IFERROR(__xludf.DUMMYFUNCTION("""COMPUTED_VALUE"""),"KESELEO KAKI KANAN")</f>
        <v>KESELEO KAKI KANAN</v>
      </c>
      <c r="U616" s="16" t="str">
        <f>IFERROR(__xludf.DUMMYFUNCTION("""COMPUTED_VALUE"""),"MC")</f>
        <v>MC</v>
      </c>
      <c r="V616" s="11" t="str">
        <f>IFERROR(__xludf.DUMMYFUNCTION("""COMPUTED_VALUE"""),"081522526210")</f>
        <v>081522526210</v>
      </c>
      <c r="W616" s="15"/>
    </row>
    <row r="617" ht="22.5" customHeight="1">
      <c r="A617" s="8"/>
      <c r="B617" s="9">
        <f>IFERROR(__xludf.DUMMYFUNCTION("""COMPUTED_VALUE"""),45153.41964733796)</f>
        <v>45153.41965</v>
      </c>
      <c r="C617" s="9"/>
      <c r="D617" s="10">
        <f>IFERROR(__xludf.DUMMYFUNCTION("""COMPUTED_VALUE"""),45154.0)</f>
        <v>45154</v>
      </c>
      <c r="E617" s="10" t="str">
        <f>IFERROR(__xludf.DUMMYFUNCTION("""COMPUTED_VALUE"""),"08Agu")</f>
        <v>08Agu</v>
      </c>
      <c r="F617" s="10" t="str">
        <f>IFERROR(__xludf.DUMMYFUNCTION("""COMPUTED_VALUE"""),"2023")</f>
        <v>2023</v>
      </c>
      <c r="G617" s="16" t="str">
        <f>IFERROR(__xludf.DUMMYFUNCTION("""COMPUTED_VALUE"""),"DEWI SURATININGSIH")</f>
        <v>DEWI SURATININGSIH</v>
      </c>
      <c r="H617" s="17" t="str">
        <f>IFERROR(__xludf.DUMMYFUNCTION("""COMPUTED_VALUE"""),"D8623084543")</f>
        <v>D8623084543</v>
      </c>
      <c r="I617" s="17">
        <f>IFERROR(__xludf.DUMMYFUNCTION("""COMPUTED_VALUE"""),39.0)</f>
        <v>39</v>
      </c>
      <c r="J617" s="17" t="str">
        <f>IFERROR(__xludf.DUMMYFUNCTION("""COMPUTED_VALUE"""),"35-44 tahun")</f>
        <v>35-44 tahun</v>
      </c>
      <c r="K617" s="19">
        <f>IFERROR(__xludf.DUMMYFUNCTION("""COMPUTED_VALUE"""),31669.0)</f>
        <v>31669</v>
      </c>
      <c r="L617" s="19" t="str">
        <f>IFERROR(__xludf.DUMMYFUNCTION("""COMPUTED_VALUE"""),"PEREMPUAN")</f>
        <v>PEREMPUAN</v>
      </c>
      <c r="M617" s="16" t="str">
        <f>IFERROR(__xludf.DUMMYFUNCTION("""COMPUTED_VALUE"""),"Jl. Parit H. Husin II, Komp. Bali Mas 3, no.BB 16")</f>
        <v>Jl. Parit H. Husin II, Komp. Bali Mas 3, no.BB 16</v>
      </c>
      <c r="N617" s="16"/>
      <c r="O617" s="16"/>
      <c r="P617" s="16"/>
      <c r="Q617" s="16"/>
      <c r="R617" s="19" t="str">
        <f>IFERROR(__xludf.DUMMYFUNCTION("""COMPUTED_VALUE"""),"ISLAM")</f>
        <v>ISLAM</v>
      </c>
      <c r="S617" s="16" t="str">
        <f>IFERROR(__xludf.DUMMYFUNCTION("""COMPUTED_VALUE"""),"DOSEN/GURU")</f>
        <v>DOSEN/GURU</v>
      </c>
      <c r="T617" s="36" t="str">
        <f>IFERROR(__xludf.DUMMYFUNCTION("""COMPUTED_VALUE"""),"NYERI PINGGANG DAN JARI TANGAN")</f>
        <v>NYERI PINGGANG DAN JARI TANGAN</v>
      </c>
      <c r="U617" s="16" t="str">
        <f>IFERROR(__xludf.DUMMYFUNCTION("""COMPUTED_VALUE"""),"Aktivitas kebanyakan duduk")</f>
        <v>Aktivitas kebanyakan duduk</v>
      </c>
      <c r="V617" s="11" t="str">
        <f>IFERROR(__xludf.DUMMYFUNCTION("""COMPUTED_VALUE"""),"083151004543")</f>
        <v>083151004543</v>
      </c>
      <c r="W617" s="15"/>
    </row>
    <row r="618" ht="22.5" customHeight="1">
      <c r="A618" s="8"/>
      <c r="B618" s="9">
        <f>IFERROR(__xludf.DUMMYFUNCTION("""COMPUTED_VALUE"""),45153.789789699076)</f>
        <v>45153.78979</v>
      </c>
      <c r="C618" s="9"/>
      <c r="D618" s="10">
        <f>IFERROR(__xludf.DUMMYFUNCTION("""COMPUTED_VALUE"""),45154.0)</f>
        <v>45154</v>
      </c>
      <c r="E618" s="10" t="str">
        <f>IFERROR(__xludf.DUMMYFUNCTION("""COMPUTED_VALUE"""),"08Agu")</f>
        <v>08Agu</v>
      </c>
      <c r="F618" s="10" t="str">
        <f>IFERROR(__xludf.DUMMYFUNCTION("""COMPUTED_VALUE"""),"2023")</f>
        <v>2023</v>
      </c>
      <c r="G618" s="16" t="str">
        <f>IFERROR(__xludf.DUMMYFUNCTION("""COMPUTED_VALUE"""),"FRANSISKUS WAWAS")</f>
        <v>FRANSISKUS WAWAS</v>
      </c>
      <c r="H618" s="17" t="str">
        <f>IFERROR(__xludf.DUMMYFUNCTION("""COMPUTED_VALUE"""),"F6923081022")</f>
        <v>F6923081022</v>
      </c>
      <c r="I618" s="17">
        <f>IFERROR(__xludf.DUMMYFUNCTION("""COMPUTED_VALUE"""),57.0)</f>
        <v>57</v>
      </c>
      <c r="J618" s="17" t="str">
        <f>IFERROR(__xludf.DUMMYFUNCTION("""COMPUTED_VALUE"""),"&gt; 44 tahun")</f>
        <v>&gt; 44 tahun</v>
      </c>
      <c r="K618" s="19">
        <f>IFERROR(__xludf.DUMMYFUNCTION("""COMPUTED_VALUE"""),25328.0)</f>
        <v>25328</v>
      </c>
      <c r="L618" s="19" t="str">
        <f>IFERROR(__xludf.DUMMYFUNCTION("""COMPUTED_VALUE"""),"LAKI-LAKI")</f>
        <v>LAKI-LAKI</v>
      </c>
      <c r="M618" s="16" t="str">
        <f>IFERROR(__xludf.DUMMYFUNCTION("""COMPUTED_VALUE"""),"Jln Paris 1 gg wana bakti")</f>
        <v>Jln Paris 1 gg wana bakti</v>
      </c>
      <c r="N618" s="16"/>
      <c r="O618" s="16"/>
      <c r="P618" s="16"/>
      <c r="Q618" s="16"/>
      <c r="R618" s="19" t="str">
        <f>IFERROR(__xludf.DUMMYFUNCTION("""COMPUTED_VALUE"""),"KATOLIK")</f>
        <v>KATOLIK</v>
      </c>
      <c r="S618" s="16" t="str">
        <f>IFERROR(__xludf.DUMMYFUNCTION("""COMPUTED_VALUE"""),"ASN")</f>
        <v>ASN</v>
      </c>
      <c r="T618" s="36" t="str">
        <f>IFERROR(__xludf.DUMMYFUNCTION("""COMPUTED_VALUE"""),"SAKIT BAGIAN PANTAT DALAM KIRI PAHA ATAS KIRI")</f>
        <v>SAKIT BAGIAN PANTAT DALAM KIRI PAHA ATAS KIRI</v>
      </c>
      <c r="U618" s="16" t="str">
        <f>IFERROR(__xludf.DUMMYFUNCTION("""COMPUTED_VALUE"""),"KE KEBUN")</f>
        <v>KE KEBUN</v>
      </c>
      <c r="V618" s="11" t="str">
        <f>IFERROR(__xludf.DUMMYFUNCTION("""COMPUTED_VALUE"""),"081256411022")</f>
        <v>081256411022</v>
      </c>
      <c r="W618" s="15"/>
    </row>
    <row r="619" ht="22.5" customHeight="1">
      <c r="A619" s="8"/>
      <c r="B619" s="9">
        <f>IFERROR(__xludf.DUMMYFUNCTION("""COMPUTED_VALUE"""),45154.43738138889)</f>
        <v>45154.43738</v>
      </c>
      <c r="C619" s="9"/>
      <c r="D619" s="10">
        <f>IFERROR(__xludf.DUMMYFUNCTION("""COMPUTED_VALUE"""),45154.0)</f>
        <v>45154</v>
      </c>
      <c r="E619" s="10" t="str">
        <f>IFERROR(__xludf.DUMMYFUNCTION("""COMPUTED_VALUE"""),"08Agu")</f>
        <v>08Agu</v>
      </c>
      <c r="F619" s="10" t="str">
        <f>IFERROR(__xludf.DUMMYFUNCTION("""COMPUTED_VALUE"""),"2023")</f>
        <v>2023</v>
      </c>
      <c r="G619" s="16" t="str">
        <f>IFERROR(__xludf.DUMMYFUNCTION("""COMPUTED_VALUE"""),"ARDIANSYAH PUTRA")</f>
        <v>ARDIANSYAH PUTRA</v>
      </c>
      <c r="H619" s="17" t="str">
        <f>IFERROR(__xludf.DUMMYFUNCTION("""COMPUTED_VALUE"""),"A9523089058")</f>
        <v>A9523089058</v>
      </c>
      <c r="I619" s="17">
        <f>IFERROR(__xludf.DUMMYFUNCTION("""COMPUTED_VALUE"""),31.0)</f>
        <v>31</v>
      </c>
      <c r="J619" s="17" t="str">
        <f>IFERROR(__xludf.DUMMYFUNCTION("""COMPUTED_VALUE"""),"25-34 tahun")</f>
        <v>25-34 tahun</v>
      </c>
      <c r="K619" s="19">
        <f>IFERROR(__xludf.DUMMYFUNCTION("""COMPUTED_VALUE"""),34769.0)</f>
        <v>34769</v>
      </c>
      <c r="L619" s="19" t="str">
        <f>IFERROR(__xludf.DUMMYFUNCTION("""COMPUTED_VALUE"""),"LAKI-LAKI")</f>
        <v>LAKI-LAKI</v>
      </c>
      <c r="M619" s="16" t="str">
        <f>IFERROR(__xludf.DUMMYFUNCTION("""COMPUTED_VALUE"""),"Jl tanjung harapan gg 85")</f>
        <v>Jl tanjung harapan gg 85</v>
      </c>
      <c r="N619" s="16"/>
      <c r="O619" s="16"/>
      <c r="P619" s="16"/>
      <c r="Q619" s="16"/>
      <c r="R619" s="19" t="str">
        <f>IFERROR(__xludf.DUMMYFUNCTION("""COMPUTED_VALUE"""),"ISLAM")</f>
        <v>ISLAM</v>
      </c>
      <c r="S619" s="16" t="str">
        <f>IFERROR(__xludf.DUMMYFUNCTION("""COMPUTED_VALUE"""),"WIRASWASTA")</f>
        <v>WIRASWASTA</v>
      </c>
      <c r="T619" s="36" t="str">
        <f>IFERROR(__xludf.DUMMYFUNCTION("""COMPUTED_VALUE"""),"CEDERA SUDAH LUMAYAN LAMA")</f>
        <v>CEDERA SUDAH LUMAYAN LAMA</v>
      </c>
      <c r="U619" s="16" t="str">
        <f>IFERROR(__xludf.DUMMYFUNCTION("""COMPUTED_VALUE"""),"OLAHRAGA")</f>
        <v>OLAHRAGA</v>
      </c>
      <c r="V619" s="11" t="str">
        <f>IFERROR(__xludf.DUMMYFUNCTION("""COMPUTED_VALUE"""),"0895704969058")</f>
        <v>0895704969058</v>
      </c>
      <c r="W619" s="15"/>
    </row>
    <row r="620" ht="22.5" customHeight="1">
      <c r="A620" s="8"/>
      <c r="B620" s="9">
        <f>IFERROR(__xludf.DUMMYFUNCTION("""COMPUTED_VALUE"""),45154.54254185186)</f>
        <v>45154.54254</v>
      </c>
      <c r="C620" s="9"/>
      <c r="D620" s="10">
        <f>IFERROR(__xludf.DUMMYFUNCTION("""COMPUTED_VALUE"""),45154.0)</f>
        <v>45154</v>
      </c>
      <c r="E620" s="10" t="str">
        <f>IFERROR(__xludf.DUMMYFUNCTION("""COMPUTED_VALUE"""),"08Agu")</f>
        <v>08Agu</v>
      </c>
      <c r="F620" s="10" t="str">
        <f>IFERROR(__xludf.DUMMYFUNCTION("""COMPUTED_VALUE"""),"2023")</f>
        <v>2023</v>
      </c>
      <c r="G620" s="16" t="str">
        <f>IFERROR(__xludf.DUMMYFUNCTION("""COMPUTED_VALUE"""),"MILA KARTIKA SARI")</f>
        <v>MILA KARTIKA SARI</v>
      </c>
      <c r="H620" s="17" t="str">
        <f>IFERROR(__xludf.DUMMYFUNCTION("""COMPUTED_VALUE"""),"M8123084021")</f>
        <v>M8123084021</v>
      </c>
      <c r="I620" s="17">
        <f>IFERROR(__xludf.DUMMYFUNCTION("""COMPUTED_VALUE"""),45.0)</f>
        <v>45</v>
      </c>
      <c r="J620" s="17" t="str">
        <f>IFERROR(__xludf.DUMMYFUNCTION("""COMPUTED_VALUE"""),"&gt; 44 tahun")</f>
        <v>&gt; 44 tahun</v>
      </c>
      <c r="K620" s="19">
        <f>IFERROR(__xludf.DUMMYFUNCTION("""COMPUTED_VALUE"""),29740.0)</f>
        <v>29740</v>
      </c>
      <c r="L620" s="19" t="str">
        <f>IFERROR(__xludf.DUMMYFUNCTION("""COMPUTED_VALUE"""),"PEREMPUAN")</f>
        <v>PEREMPUAN</v>
      </c>
      <c r="M620" s="16" t="str">
        <f>IFERROR(__xludf.DUMMYFUNCTION("""COMPUTED_VALUE"""),"Komplek jeruju permai blok G.no 8")</f>
        <v>Komplek jeruju permai blok G.no 8</v>
      </c>
      <c r="N620" s="16"/>
      <c r="O620" s="16"/>
      <c r="P620" s="16"/>
      <c r="Q620" s="16"/>
      <c r="R620" s="19" t="str">
        <f>IFERROR(__xludf.DUMMYFUNCTION("""COMPUTED_VALUE"""),"ISLAM")</f>
        <v>ISLAM</v>
      </c>
      <c r="S620" s="16" t="str">
        <f>IFERROR(__xludf.DUMMYFUNCTION("""COMPUTED_VALUE"""),"RUMAH TANGGA")</f>
        <v>RUMAH TANGGA</v>
      </c>
      <c r="T620" s="36" t="str">
        <f>IFERROR(__xludf.DUMMYFUNCTION("""COMPUTED_VALUE"""),"KAKU PADA , TIDAK BISA MENEKUK PASCA LEPAS GIPS")</f>
        <v>KAKU PADA , TIDAK BISA MENEKUK PASCA LEPAS GIPS</v>
      </c>
      <c r="U620" s="16" t="str">
        <f>IFERROR(__xludf.DUMMYFUNCTION("""COMPUTED_VALUE"""),"COOKING")</f>
        <v>COOKING</v>
      </c>
      <c r="V620" s="11" t="str">
        <f>IFERROR(__xludf.DUMMYFUNCTION("""COMPUTED_VALUE"""),"089693774021")</f>
        <v>089693774021</v>
      </c>
      <c r="W620" s="15"/>
    </row>
    <row r="621" ht="22.5" customHeight="1">
      <c r="A621" s="8"/>
      <c r="B621" s="9">
        <f>IFERROR(__xludf.DUMMYFUNCTION("""COMPUTED_VALUE"""),45154.55277172454)</f>
        <v>45154.55277</v>
      </c>
      <c r="C621" s="9"/>
      <c r="D621" s="10">
        <f>IFERROR(__xludf.DUMMYFUNCTION("""COMPUTED_VALUE"""),45154.0)</f>
        <v>45154</v>
      </c>
      <c r="E621" s="10" t="str">
        <f>IFERROR(__xludf.DUMMYFUNCTION("""COMPUTED_VALUE"""),"08Agu")</f>
        <v>08Agu</v>
      </c>
      <c r="F621" s="10" t="str">
        <f>IFERROR(__xludf.DUMMYFUNCTION("""COMPUTED_VALUE"""),"2023")</f>
        <v>2023</v>
      </c>
      <c r="G621" s="16" t="str">
        <f>IFERROR(__xludf.DUMMYFUNCTION("""COMPUTED_VALUE"""),"YANUAR PRATAMA")</f>
        <v>YANUAR PRATAMA</v>
      </c>
      <c r="H621" s="17" t="str">
        <f>IFERROR(__xludf.DUMMYFUNCTION("""COMPUTED_VALUE"""),"Y9123082005")</f>
        <v>Y9123082005</v>
      </c>
      <c r="I621" s="17">
        <f>IFERROR(__xludf.DUMMYFUNCTION("""COMPUTED_VALUE"""),35.0)</f>
        <v>35</v>
      </c>
      <c r="J621" s="17" t="str">
        <f>IFERROR(__xludf.DUMMYFUNCTION("""COMPUTED_VALUE"""),"35-44 tahun")</f>
        <v>35-44 tahun</v>
      </c>
      <c r="K621" s="19">
        <f>IFERROR(__xludf.DUMMYFUNCTION("""COMPUTED_VALUE"""),33266.0)</f>
        <v>33266</v>
      </c>
      <c r="L621" s="19" t="str">
        <f>IFERROR(__xludf.DUMMYFUNCTION("""COMPUTED_VALUE"""),"LAKI-LAKI")</f>
        <v>LAKI-LAKI</v>
      </c>
      <c r="M621" s="16" t="str">
        <f>IFERROR(__xludf.DUMMYFUNCTION("""COMPUTED_VALUE"""),"Jln siaga gg siaga raya no 1")</f>
        <v>Jln siaga gg siaga raya no 1</v>
      </c>
      <c r="N621" s="16"/>
      <c r="O621" s="16"/>
      <c r="P621" s="35"/>
      <c r="Q621" s="35"/>
      <c r="R621" s="19" t="str">
        <f>IFERROR(__xludf.DUMMYFUNCTION("""COMPUTED_VALUE"""),"ISLAM")</f>
        <v>ISLAM</v>
      </c>
      <c r="S621" s="16" t="str">
        <f>IFERROR(__xludf.DUMMYFUNCTION("""COMPUTED_VALUE"""),"TNI/POLRI")</f>
        <v>TNI/POLRI</v>
      </c>
      <c r="T621" s="16" t="str">
        <f>IFERROR(__xludf.DUMMYFUNCTION("""COMPUTED_VALUE"""),"CEDERA")</f>
        <v>CEDERA</v>
      </c>
      <c r="U621" s="16" t="str">
        <f>IFERROR(__xludf.DUMMYFUNCTION("""COMPUTED_VALUE"""),"FUTSAL/SEPAK BOLA")</f>
        <v>FUTSAL/SEPAK BOLA</v>
      </c>
      <c r="V621" s="11" t="str">
        <f>IFERROR(__xludf.DUMMYFUNCTION("""COMPUTED_VALUE"""),"082150372005")</f>
        <v>082150372005</v>
      </c>
      <c r="W621" s="15"/>
    </row>
    <row r="622" ht="22.5" customHeight="1">
      <c r="A622" s="8"/>
      <c r="B622" s="9">
        <f>IFERROR(__xludf.DUMMYFUNCTION("""COMPUTED_VALUE"""),45154.5798774537)</f>
        <v>45154.57988</v>
      </c>
      <c r="C622" s="9"/>
      <c r="D622" s="10">
        <f>IFERROR(__xludf.DUMMYFUNCTION("""COMPUTED_VALUE"""),45154.0)</f>
        <v>45154</v>
      </c>
      <c r="E622" s="10" t="str">
        <f>IFERROR(__xludf.DUMMYFUNCTION("""COMPUTED_VALUE"""),"08Agu")</f>
        <v>08Agu</v>
      </c>
      <c r="F622" s="10" t="str">
        <f>IFERROR(__xludf.DUMMYFUNCTION("""COMPUTED_VALUE"""),"2023")</f>
        <v>2023</v>
      </c>
      <c r="G622" s="16" t="str">
        <f>IFERROR(__xludf.DUMMYFUNCTION("""COMPUTED_VALUE"""),"ARYA FARREL GANDHI SAVAGAS")</f>
        <v>ARYA FARREL GANDHI SAVAGAS</v>
      </c>
      <c r="H622" s="17" t="str">
        <f>IFERROR(__xludf.DUMMYFUNCTION("""COMPUTED_VALUE"""),"A0723083784")</f>
        <v>A0723083784</v>
      </c>
      <c r="I622" s="17">
        <f>IFERROR(__xludf.DUMMYFUNCTION("""COMPUTED_VALUE"""),19.0)</f>
        <v>19</v>
      </c>
      <c r="J622" s="17" t="str">
        <f>IFERROR(__xludf.DUMMYFUNCTION("""COMPUTED_VALUE"""),"18-24 tahun")</f>
        <v>18-24 tahun</v>
      </c>
      <c r="K622" s="19">
        <f>IFERROR(__xludf.DUMMYFUNCTION("""COMPUTED_VALUE"""),39176.0)</f>
        <v>39176</v>
      </c>
      <c r="L622" s="19" t="str">
        <f>IFERROR(__xludf.DUMMYFUNCTION("""COMPUTED_VALUE"""),"LAKI-LAKI")</f>
        <v>LAKI-LAKI</v>
      </c>
      <c r="M622" s="16" t="str">
        <f>IFERROR(__xludf.DUMMYFUNCTION("""COMPUTED_VALUE"""),"jl. danau sentarum gg. nurhadi 1 no. 5")</f>
        <v>jl. danau sentarum gg. nurhadi 1 no. 5</v>
      </c>
      <c r="N622" s="16"/>
      <c r="O622" s="16"/>
      <c r="P622" s="16"/>
      <c r="Q622" s="16"/>
      <c r="R622" s="19" t="str">
        <f>IFERROR(__xludf.DUMMYFUNCTION("""COMPUTED_VALUE"""),"ISLAM")</f>
        <v>ISLAM</v>
      </c>
      <c r="S622" s="16" t="str">
        <f>IFERROR(__xludf.DUMMYFUNCTION("""COMPUTED_VALUE"""),"PELAJAR/MAHASISWA")</f>
        <v>PELAJAR/MAHASISWA</v>
      </c>
      <c r="T622" s="16" t="str">
        <f>IFERROR(__xludf.DUMMYFUNCTION("""COMPUTED_VALUE"""),"GESER SUDAH DI BAWA KE URUT NAMUN MASIH NYERI")</f>
        <v>GESER SUDAH DI BAWA KE URUT NAMUN MASIH NYERI</v>
      </c>
      <c r="U622" s="16" t="str">
        <f>IFERROR(__xludf.DUMMYFUNCTION("""COMPUTED_VALUE"""),"OLAH RAGA/ATLIT ANGKAT BESI")</f>
        <v>OLAH RAGA/ATLIT ANGKAT BESI</v>
      </c>
      <c r="V622" s="11" t="str">
        <f>IFERROR(__xludf.DUMMYFUNCTION("""COMPUTED_VALUE"""),"089616333784")</f>
        <v>089616333784</v>
      </c>
      <c r="W622" s="15"/>
    </row>
    <row r="623" ht="22.5" customHeight="1">
      <c r="A623" s="8"/>
      <c r="B623" s="9">
        <f>IFERROR(__xludf.DUMMYFUNCTION("""COMPUTED_VALUE"""),45154.74344479167)</f>
        <v>45154.74344</v>
      </c>
      <c r="C623" s="9"/>
      <c r="D623" s="10">
        <f>IFERROR(__xludf.DUMMYFUNCTION("""COMPUTED_VALUE"""),45154.0)</f>
        <v>45154</v>
      </c>
      <c r="E623" s="10" t="str">
        <f>IFERROR(__xludf.DUMMYFUNCTION("""COMPUTED_VALUE"""),"08Agu")</f>
        <v>08Agu</v>
      </c>
      <c r="F623" s="10" t="str">
        <f>IFERROR(__xludf.DUMMYFUNCTION("""COMPUTED_VALUE"""),"2023")</f>
        <v>2023</v>
      </c>
      <c r="G623" s="16" t="str">
        <f>IFERROR(__xludf.DUMMYFUNCTION("""COMPUTED_VALUE"""),"EKO YULI PRIANTO")</f>
        <v>EKO YULI PRIANTO</v>
      </c>
      <c r="H623" s="17" t="str">
        <f>IFERROR(__xludf.DUMMYFUNCTION("""COMPUTED_VALUE"""),"E8523084694")</f>
        <v>E8523084694</v>
      </c>
      <c r="I623" s="17">
        <f>IFERROR(__xludf.DUMMYFUNCTION("""COMPUTED_VALUE"""),40.0)</f>
        <v>40</v>
      </c>
      <c r="J623" s="17" t="str">
        <f>IFERROR(__xludf.DUMMYFUNCTION("""COMPUTED_VALUE"""),"35-44 tahun")</f>
        <v>35-44 tahun</v>
      </c>
      <c r="K623" s="19">
        <f>IFERROR(__xludf.DUMMYFUNCTION("""COMPUTED_VALUE"""),31273.0)</f>
        <v>31273</v>
      </c>
      <c r="L623" s="19" t="str">
        <f>IFERROR(__xludf.DUMMYFUNCTION("""COMPUTED_VALUE"""),"LAKI-LAKI")</f>
        <v>LAKI-LAKI</v>
      </c>
      <c r="M623" s="16" t="str">
        <f>IFERROR(__xludf.DUMMYFUNCTION("""COMPUTED_VALUE"""),"Jl wonobaru gg madyosari ii")</f>
        <v>Jl wonobaru gg madyosari ii</v>
      </c>
      <c r="N623" s="16"/>
      <c r="O623" s="16"/>
      <c r="P623" s="16"/>
      <c r="Q623" s="16"/>
      <c r="R623" s="19" t="str">
        <f>IFERROR(__xludf.DUMMYFUNCTION("""COMPUTED_VALUE"""),"ISLAM")</f>
        <v>ISLAM</v>
      </c>
      <c r="S623" s="16" t="str">
        <f>IFERROR(__xludf.DUMMYFUNCTION("""COMPUTED_VALUE"""),"ASN")</f>
        <v>ASN</v>
      </c>
      <c r="T623" s="36" t="str">
        <f>IFERROR(__xludf.DUMMYFUNCTION("""COMPUTED_VALUE"""),"SAKIT PUNGGUNG DAN LEHER")</f>
        <v>SAKIT PUNGGUNG DAN LEHER</v>
      </c>
      <c r="U623" s="16" t="str">
        <f>IFERROR(__xludf.DUMMYFUNCTION("""COMPUTED_VALUE"""),"LARI")</f>
        <v>LARI</v>
      </c>
      <c r="V623" s="11" t="str">
        <f>IFERROR(__xludf.DUMMYFUNCTION("""COMPUTED_VALUE"""),"081398964694")</f>
        <v>081398964694</v>
      </c>
      <c r="W623" s="15"/>
    </row>
    <row r="624" ht="22.5" customHeight="1">
      <c r="A624" s="8"/>
      <c r="B624" s="9">
        <f>IFERROR(__xludf.DUMMYFUNCTION("""COMPUTED_VALUE"""),45154.83455284723)</f>
        <v>45154.83455</v>
      </c>
      <c r="C624" s="9"/>
      <c r="D624" s="10">
        <f>IFERROR(__xludf.DUMMYFUNCTION("""COMPUTED_VALUE"""),45154.0)</f>
        <v>45154</v>
      </c>
      <c r="E624" s="10" t="str">
        <f>IFERROR(__xludf.DUMMYFUNCTION("""COMPUTED_VALUE"""),"08Agu")</f>
        <v>08Agu</v>
      </c>
      <c r="F624" s="10" t="str">
        <f>IFERROR(__xludf.DUMMYFUNCTION("""COMPUTED_VALUE"""),"2023")</f>
        <v>2023</v>
      </c>
      <c r="G624" s="16" t="str">
        <f>IFERROR(__xludf.DUMMYFUNCTION("""COMPUTED_VALUE"""),"FRIKANTI SIREGAR")</f>
        <v>FRIKANTI SIREGAR</v>
      </c>
      <c r="H624" s="17" t="str">
        <f>IFERROR(__xludf.DUMMYFUNCTION("""COMPUTED_VALUE"""),"F7023084258")</f>
        <v>F7023084258</v>
      </c>
      <c r="I624" s="17">
        <f>IFERROR(__xludf.DUMMYFUNCTION("""COMPUTED_VALUE"""),56.0)</f>
        <v>56</v>
      </c>
      <c r="J624" s="17" t="str">
        <f>IFERROR(__xludf.DUMMYFUNCTION("""COMPUTED_VALUE"""),"&gt; 44 tahun")</f>
        <v>&gt; 44 tahun</v>
      </c>
      <c r="K624" s="19">
        <f>IFERROR(__xludf.DUMMYFUNCTION("""COMPUTED_VALUE"""),25643.0)</f>
        <v>25643</v>
      </c>
      <c r="L624" s="19" t="str">
        <f>IFERROR(__xludf.DUMMYFUNCTION("""COMPUTED_VALUE"""),"PEREMPUAN")</f>
        <v>PEREMPUAN</v>
      </c>
      <c r="M624" s="16" t="str">
        <f>IFERROR(__xludf.DUMMYFUNCTION("""COMPUTED_VALUE"""),"Dabau Sentarum Jl. Sukamulia no 2A")</f>
        <v>Dabau Sentarum Jl. Sukamulia no 2A</v>
      </c>
      <c r="N624" s="16"/>
      <c r="O624" s="16"/>
      <c r="P624" s="16"/>
      <c r="Q624" s="16"/>
      <c r="R624" s="19" t="str">
        <f>IFERROR(__xludf.DUMMYFUNCTION("""COMPUTED_VALUE"""),"ISLAM")</f>
        <v>ISLAM</v>
      </c>
      <c r="S624" s="16" t="str">
        <f>IFERROR(__xludf.DUMMYFUNCTION("""COMPUTED_VALUE"""),"RUMAH TANGGA")</f>
        <v>RUMAH TANGGA</v>
      </c>
      <c r="T624" s="36" t="str">
        <f>IFERROR(__xludf.DUMMYFUNCTION("""COMPUTED_VALUE"""),"TANGGAN SEBELAH KIRI SAMPAI KELEHER SAKIT")</f>
        <v>TANGGAN SEBELAH KIRI SAMPAI KELEHER SAKIT</v>
      </c>
      <c r="U624" s="16" t="str">
        <f>IFERROR(__xludf.DUMMYFUNCTION("""COMPUTED_VALUE"""),"KERJAAN RUMAH JAK")</f>
        <v>KERJAAN RUMAH JAK</v>
      </c>
      <c r="V624" s="11" t="str">
        <f>IFERROR(__xludf.DUMMYFUNCTION("""COMPUTED_VALUE"""),"081345134258")</f>
        <v>081345134258</v>
      </c>
      <c r="W624" s="15"/>
    </row>
    <row r="625" ht="22.5" customHeight="1">
      <c r="A625" s="8"/>
      <c r="B625" s="9">
        <f>IFERROR(__xludf.DUMMYFUNCTION("""COMPUTED_VALUE"""),45155.6539462037)</f>
        <v>45155.65395</v>
      </c>
      <c r="C625" s="9"/>
      <c r="D625" s="10">
        <f>IFERROR(__xludf.DUMMYFUNCTION("""COMPUTED_VALUE"""),45157.0)</f>
        <v>45157</v>
      </c>
      <c r="E625" s="10" t="str">
        <f>IFERROR(__xludf.DUMMYFUNCTION("""COMPUTED_VALUE"""),"08Agu")</f>
        <v>08Agu</v>
      </c>
      <c r="F625" s="10" t="str">
        <f>IFERROR(__xludf.DUMMYFUNCTION("""COMPUTED_VALUE"""),"2023")</f>
        <v>2023</v>
      </c>
      <c r="G625" s="16" t="str">
        <f>IFERROR(__xludf.DUMMYFUNCTION("""COMPUTED_VALUE"""),"MUHAMMAD AZRIEL PASHA RYVEL")</f>
        <v>MUHAMMAD AZRIEL PASHA RYVEL</v>
      </c>
      <c r="H625" s="17" t="str">
        <f>IFERROR(__xludf.DUMMYFUNCTION("""COMPUTED_VALUE"""),"M0623082859")</f>
        <v>M0623082859</v>
      </c>
      <c r="I625" s="17">
        <f>IFERROR(__xludf.DUMMYFUNCTION("""COMPUTED_VALUE"""),19.0)</f>
        <v>19</v>
      </c>
      <c r="J625" s="17" t="str">
        <f>IFERROR(__xludf.DUMMYFUNCTION("""COMPUTED_VALUE"""),"18-24 tahun")</f>
        <v>18-24 tahun</v>
      </c>
      <c r="K625" s="19">
        <f>IFERROR(__xludf.DUMMYFUNCTION("""COMPUTED_VALUE"""),38971.0)</f>
        <v>38971</v>
      </c>
      <c r="L625" s="19" t="str">
        <f>IFERROR(__xludf.DUMMYFUNCTION("""COMPUTED_VALUE"""),"LAKI-LAKI")</f>
        <v>LAKI-LAKI</v>
      </c>
      <c r="M625" s="16" t="str">
        <f>IFERROR(__xludf.DUMMYFUNCTION("""COMPUTED_VALUE"""),"Jl Karet Komplek Intan Permata no D.12")</f>
        <v>Jl Karet Komplek Intan Permata no D.12</v>
      </c>
      <c r="N625" s="16"/>
      <c r="O625" s="16"/>
      <c r="P625" s="16"/>
      <c r="Q625" s="16"/>
      <c r="R625" s="19" t="str">
        <f>IFERROR(__xludf.DUMMYFUNCTION("""COMPUTED_VALUE"""),"ISLAM")</f>
        <v>ISLAM</v>
      </c>
      <c r="S625" s="16" t="str">
        <f>IFERROR(__xludf.DUMMYFUNCTION("""COMPUTED_VALUE"""),"PELAJAR/MAHASISWA")</f>
        <v>PELAJAR/MAHASISWA</v>
      </c>
      <c r="T625" s="36" t="str">
        <f>IFERROR(__xludf.DUMMYFUNCTION("""COMPUTED_VALUE"""),"KIRI BAGIAN BELAKANG TERASA SAKIT")</f>
        <v>KIRI BAGIAN BELAKANG TERASA SAKIT</v>
      </c>
      <c r="U625" s="16" t="str">
        <f>IFERROR(__xludf.DUMMYFUNCTION("""COMPUTED_VALUE"""),"OLAHRAGA DAN MUSIK")</f>
        <v>OLAHRAGA DAN MUSIK</v>
      </c>
      <c r="V625" s="11" t="str">
        <f>IFERROR(__xludf.DUMMYFUNCTION("""COMPUTED_VALUE"""),"0895372152859")</f>
        <v>0895372152859</v>
      </c>
      <c r="W625" s="15"/>
    </row>
    <row r="626" ht="22.5" customHeight="1">
      <c r="A626" s="8"/>
      <c r="B626" s="9">
        <f>IFERROR(__xludf.DUMMYFUNCTION("""COMPUTED_VALUE"""),45157.394497430556)</f>
        <v>45157.3945</v>
      </c>
      <c r="C626" s="9"/>
      <c r="D626" s="10">
        <f>IFERROR(__xludf.DUMMYFUNCTION("""COMPUTED_VALUE"""),45157.0)</f>
        <v>45157</v>
      </c>
      <c r="E626" s="10" t="str">
        <f>IFERROR(__xludf.DUMMYFUNCTION("""COMPUTED_VALUE"""),"08Agu")</f>
        <v>08Agu</v>
      </c>
      <c r="F626" s="10" t="str">
        <f>IFERROR(__xludf.DUMMYFUNCTION("""COMPUTED_VALUE"""),"2023")</f>
        <v>2023</v>
      </c>
      <c r="G626" s="16" t="str">
        <f>IFERROR(__xludf.DUMMYFUNCTION("""COMPUTED_VALUE"""),"RICKY VALENT")</f>
        <v>RICKY VALENT</v>
      </c>
      <c r="H626" s="17" t="str">
        <f>IFERROR(__xludf.DUMMYFUNCTION("""COMPUTED_VALUE"""),"R0123085464")</f>
        <v>R0123085464</v>
      </c>
      <c r="I626" s="17">
        <f>IFERROR(__xludf.DUMMYFUNCTION("""COMPUTED_VALUE"""),25.0)</f>
        <v>25</v>
      </c>
      <c r="J626" s="17" t="str">
        <f>IFERROR(__xludf.DUMMYFUNCTION("""COMPUTED_VALUE"""),"25-34 tahun")</f>
        <v>25-34 tahun</v>
      </c>
      <c r="K626" s="19">
        <f>IFERROR(__xludf.DUMMYFUNCTION("""COMPUTED_VALUE"""),36935.0)</f>
        <v>36935</v>
      </c>
      <c r="L626" s="19" t="str">
        <f>IFERROR(__xludf.DUMMYFUNCTION("""COMPUTED_VALUE"""),"LAKI-LAKI")</f>
        <v>LAKI-LAKI</v>
      </c>
      <c r="M626" s="16" t="str">
        <f>IFERROR(__xludf.DUMMYFUNCTION("""COMPUTED_VALUE"""),"JL.BUDI UTOMO NO.H2")</f>
        <v>JL.BUDI UTOMO NO.H2</v>
      </c>
      <c r="N626" s="16"/>
      <c r="O626" s="16"/>
      <c r="P626" s="16"/>
      <c r="Q626" s="16"/>
      <c r="R626" s="19" t="str">
        <f>IFERROR(__xludf.DUMMYFUNCTION("""COMPUTED_VALUE"""),"BUDDHA")</f>
        <v>BUDDHA</v>
      </c>
      <c r="S626" s="16" t="str">
        <f>IFERROR(__xludf.DUMMYFUNCTION("""COMPUTED_VALUE"""),"WIRASWASTA")</f>
        <v>WIRASWASTA</v>
      </c>
      <c r="T626" s="16" t="str">
        <f>IFERROR(__xludf.DUMMYFUNCTION("""COMPUTED_VALUE"""),"LOWER BACK PAIN")</f>
        <v>LOWER BACK PAIN</v>
      </c>
      <c r="U626" s="16" t="str">
        <f>IFERROR(__xludf.DUMMYFUNCTION("""COMPUTED_VALUE"""),"OLAHRAGA DAN GYM (AKTIF)")</f>
        <v>OLAHRAGA DAN GYM (AKTIF)</v>
      </c>
      <c r="V626" s="11" t="str">
        <f>IFERROR(__xludf.DUMMYFUNCTION("""COMPUTED_VALUE"""),"082256305464")</f>
        <v>082256305464</v>
      </c>
      <c r="W626" s="15"/>
    </row>
    <row r="627" ht="22.5" customHeight="1">
      <c r="A627" s="8"/>
      <c r="B627" s="9">
        <f>IFERROR(__xludf.DUMMYFUNCTION("""COMPUTED_VALUE"""),45157.649779976855)</f>
        <v>45157.64978</v>
      </c>
      <c r="C627" s="9"/>
      <c r="D627" s="10">
        <f>IFERROR(__xludf.DUMMYFUNCTION("""COMPUTED_VALUE"""),45158.0)</f>
        <v>45158</v>
      </c>
      <c r="E627" s="10" t="str">
        <f>IFERROR(__xludf.DUMMYFUNCTION("""COMPUTED_VALUE"""),"08Agu")</f>
        <v>08Agu</v>
      </c>
      <c r="F627" s="10" t="str">
        <f>IFERROR(__xludf.DUMMYFUNCTION("""COMPUTED_VALUE"""),"2023")</f>
        <v>2023</v>
      </c>
      <c r="G627" s="16" t="str">
        <f>IFERROR(__xludf.DUMMYFUNCTION("""COMPUTED_VALUE"""),"MUKHLIS")</f>
        <v>MUKHLIS</v>
      </c>
      <c r="H627" s="17" t="str">
        <f>IFERROR(__xludf.DUMMYFUNCTION("""COMPUTED_VALUE"""),"M9423083585")</f>
        <v>M9423083585</v>
      </c>
      <c r="I627" s="17">
        <f>IFERROR(__xludf.DUMMYFUNCTION("""COMPUTED_VALUE"""),32.0)</f>
        <v>32</v>
      </c>
      <c r="J627" s="17" t="str">
        <f>IFERROR(__xludf.DUMMYFUNCTION("""COMPUTED_VALUE"""),"25-34 tahun")</f>
        <v>25-34 tahun</v>
      </c>
      <c r="K627" s="19">
        <f>IFERROR(__xludf.DUMMYFUNCTION("""COMPUTED_VALUE"""),34426.0)</f>
        <v>34426</v>
      </c>
      <c r="L627" s="19" t="str">
        <f>IFERROR(__xludf.DUMMYFUNCTION("""COMPUTED_VALUE"""),"LAKI-LAKI")</f>
        <v>LAKI-LAKI</v>
      </c>
      <c r="M627" s="16" t="str">
        <f>IFERROR(__xludf.DUMMYFUNCTION("""COMPUTED_VALUE"""),"JL.PELITA")</f>
        <v>JL.PELITA</v>
      </c>
      <c r="N627" s="16"/>
      <c r="O627" s="16"/>
      <c r="P627" s="16"/>
      <c r="Q627" s="16"/>
      <c r="R627" s="19" t="str">
        <f>IFERROR(__xludf.DUMMYFUNCTION("""COMPUTED_VALUE"""),"ISLAM")</f>
        <v>ISLAM</v>
      </c>
      <c r="S627" s="16" t="str">
        <f>IFERROR(__xludf.DUMMYFUNCTION("""COMPUTED_VALUE"""),"SWASTA")</f>
        <v>SWASTA</v>
      </c>
      <c r="T627" s="16" t="str">
        <f>IFERROR(__xludf.DUMMYFUNCTION("""COMPUTED_VALUE"""),"CEDRA BAGIAN")</f>
        <v>CEDRA BAGIAN</v>
      </c>
      <c r="U627" s="16" t="str">
        <f>IFERROR(__xludf.DUMMYFUNCTION("""COMPUTED_VALUE"""),"SEPAK BOLA")</f>
        <v>SEPAK BOLA</v>
      </c>
      <c r="V627" s="11" t="str">
        <f>IFERROR(__xludf.DUMMYFUNCTION("""COMPUTED_VALUE"""),"085828513585")</f>
        <v>085828513585</v>
      </c>
      <c r="W627" s="15"/>
    </row>
    <row r="628" ht="22.5" customHeight="1">
      <c r="A628" s="8"/>
      <c r="B628" s="9">
        <f>IFERROR(__xludf.DUMMYFUNCTION("""COMPUTED_VALUE"""),45157.683905196754)</f>
        <v>45157.68391</v>
      </c>
      <c r="C628" s="9"/>
      <c r="D628" s="10">
        <f>IFERROR(__xludf.DUMMYFUNCTION("""COMPUTED_VALUE"""),45158.0)</f>
        <v>45158</v>
      </c>
      <c r="E628" s="10" t="str">
        <f>IFERROR(__xludf.DUMMYFUNCTION("""COMPUTED_VALUE"""),"08Agu")</f>
        <v>08Agu</v>
      </c>
      <c r="F628" s="10" t="str">
        <f>IFERROR(__xludf.DUMMYFUNCTION("""COMPUTED_VALUE"""),"2023")</f>
        <v>2023</v>
      </c>
      <c r="G628" s="16" t="str">
        <f>IFERROR(__xludf.DUMMYFUNCTION("""COMPUTED_VALUE"""),"JIMMY ALVINDO SULIANTO")</f>
        <v>JIMMY ALVINDO SULIANTO</v>
      </c>
      <c r="H628" s="17" t="str">
        <f>IFERROR(__xludf.DUMMYFUNCTION("""COMPUTED_VALUE"""),"J9523088191")</f>
        <v>J9523088191</v>
      </c>
      <c r="I628" s="17">
        <f>IFERROR(__xludf.DUMMYFUNCTION("""COMPUTED_VALUE"""),30.0)</f>
        <v>30</v>
      </c>
      <c r="J628" s="17" t="str">
        <f>IFERROR(__xludf.DUMMYFUNCTION("""COMPUTED_VALUE"""),"25-34 tahun")</f>
        <v>25-34 tahun</v>
      </c>
      <c r="K628" s="19">
        <f>IFERROR(__xludf.DUMMYFUNCTION("""COMPUTED_VALUE"""),34990.0)</f>
        <v>34990</v>
      </c>
      <c r="L628" s="19" t="str">
        <f>IFERROR(__xludf.DUMMYFUNCTION("""COMPUTED_VALUE"""),"LAKI-LAKI")</f>
        <v>LAKI-LAKI</v>
      </c>
      <c r="M628" s="16" t="str">
        <f>IFERROR(__xludf.DUMMYFUNCTION("""COMPUTED_VALUE"""),"Jend sudirman no. 10-11 sanggah")</f>
        <v>Jend sudirman no. 10-11 sanggah</v>
      </c>
      <c r="N628" s="16"/>
      <c r="O628" s="16"/>
      <c r="P628" s="16"/>
      <c r="Q628" s="16"/>
      <c r="R628" s="19" t="str">
        <f>IFERROR(__xludf.DUMMYFUNCTION("""COMPUTED_VALUE"""),"PROTESTAN")</f>
        <v>PROTESTAN</v>
      </c>
      <c r="S628" s="16" t="str">
        <f>IFERROR(__xludf.DUMMYFUNCTION("""COMPUTED_VALUE"""),"WIRASWASTA")</f>
        <v>WIRASWASTA</v>
      </c>
      <c r="T628" s="16" t="str">
        <f>IFERROR(__xludf.DUMMYFUNCTION("""COMPUTED_VALUE"""),"PINGGANG SLIP DISC")</f>
        <v>PINGGANG SLIP DISC</v>
      </c>
      <c r="U628" s="16" t="str">
        <f>IFERROR(__xludf.DUMMYFUNCTION("""COMPUTED_VALUE"""),"GOLF")</f>
        <v>GOLF</v>
      </c>
      <c r="V628" s="11" t="str">
        <f>IFERROR(__xludf.DUMMYFUNCTION("""COMPUTED_VALUE"""),"081348518191")</f>
        <v>081348518191</v>
      </c>
      <c r="W628" s="15"/>
    </row>
    <row r="629" ht="22.5" customHeight="1">
      <c r="A629" s="8"/>
      <c r="B629" s="9">
        <f>IFERROR(__xludf.DUMMYFUNCTION("""COMPUTED_VALUE"""),45157.81703356482)</f>
        <v>45157.81703</v>
      </c>
      <c r="C629" s="9"/>
      <c r="D629" s="10">
        <f>IFERROR(__xludf.DUMMYFUNCTION("""COMPUTED_VALUE"""),45158.0)</f>
        <v>45158</v>
      </c>
      <c r="E629" s="10" t="str">
        <f>IFERROR(__xludf.DUMMYFUNCTION("""COMPUTED_VALUE"""),"08Agu")</f>
        <v>08Agu</v>
      </c>
      <c r="F629" s="10" t="str">
        <f>IFERROR(__xludf.DUMMYFUNCTION("""COMPUTED_VALUE"""),"2023")</f>
        <v>2023</v>
      </c>
      <c r="G629" s="16" t="str">
        <f>IFERROR(__xludf.DUMMYFUNCTION("""COMPUTED_VALUE"""),"ALDO PUTRA DERMAWAN")</f>
        <v>ALDO PUTRA DERMAWAN</v>
      </c>
      <c r="H629" s="17" t="str">
        <f>IFERROR(__xludf.DUMMYFUNCTION("""COMPUTED_VALUE"""),"A1423086916")</f>
        <v>A1423086916</v>
      </c>
      <c r="I629" s="17">
        <f>IFERROR(__xludf.DUMMYFUNCTION("""COMPUTED_VALUE"""),11.0)</f>
        <v>11</v>
      </c>
      <c r="J629" s="17" t="str">
        <f>IFERROR(__xludf.DUMMYFUNCTION("""COMPUTED_VALUE"""),"&lt; 18 tahun")</f>
        <v>&lt; 18 tahun</v>
      </c>
      <c r="K629" s="19">
        <f>IFERROR(__xludf.DUMMYFUNCTION("""COMPUTED_VALUE"""),41975.0)</f>
        <v>41975</v>
      </c>
      <c r="L629" s="19" t="str">
        <f>IFERROR(__xludf.DUMMYFUNCTION("""COMPUTED_VALUE"""),"LAKI-LAKI")</f>
        <v>LAKI-LAKI</v>
      </c>
      <c r="M629" s="16" t="str">
        <f>IFERROR(__xludf.DUMMYFUNCTION("""COMPUTED_VALUE"""),"Jl.karet gg.karet indah . No.5")</f>
        <v>Jl.karet gg.karet indah . No.5</v>
      </c>
      <c r="N629" s="16"/>
      <c r="O629" s="16"/>
      <c r="P629" s="16"/>
      <c r="Q629" s="16"/>
      <c r="R629" s="19" t="str">
        <f>IFERROR(__xludf.DUMMYFUNCTION("""COMPUTED_VALUE"""),"ISLAM")</f>
        <v>ISLAM</v>
      </c>
      <c r="S629" s="16" t="str">
        <f>IFERROR(__xludf.DUMMYFUNCTION("""COMPUTED_VALUE"""),"PELAJAR/MAHASISWA")</f>
        <v>PELAJAR/MAHASISWA</v>
      </c>
      <c r="T629" s="36" t="str">
        <f>IFERROR(__xludf.DUMMYFUNCTION("""COMPUTED_VALUE"""),"ANKLE KAKI KANAN")</f>
        <v>ANKLE KAKI KANAN</v>
      </c>
      <c r="U629" s="16" t="str">
        <f>IFERROR(__xludf.DUMMYFUNCTION("""COMPUTED_VALUE"""),"BOLA")</f>
        <v>BOLA</v>
      </c>
      <c r="V629" s="11" t="str">
        <f>IFERROR(__xludf.DUMMYFUNCTION("""COMPUTED_VALUE"""),"08989606916")</f>
        <v>08989606916</v>
      </c>
      <c r="W629" s="15"/>
    </row>
    <row r="630" ht="22.5" customHeight="1">
      <c r="A630" s="8"/>
      <c r="B630" s="9">
        <f>IFERROR(__xludf.DUMMYFUNCTION("""COMPUTED_VALUE"""),45157.8365525463)</f>
        <v>45157.83655</v>
      </c>
      <c r="C630" s="9"/>
      <c r="D630" s="10">
        <f>IFERROR(__xludf.DUMMYFUNCTION("""COMPUTED_VALUE"""),45158.0)</f>
        <v>45158</v>
      </c>
      <c r="E630" s="10" t="str">
        <f>IFERROR(__xludf.DUMMYFUNCTION("""COMPUTED_VALUE"""),"08Agu")</f>
        <v>08Agu</v>
      </c>
      <c r="F630" s="10" t="str">
        <f>IFERROR(__xludf.DUMMYFUNCTION("""COMPUTED_VALUE"""),"2023")</f>
        <v>2023</v>
      </c>
      <c r="G630" s="16" t="str">
        <f>IFERROR(__xludf.DUMMYFUNCTION("""COMPUTED_VALUE"""),"SUNANDAR")</f>
        <v>SUNANDAR</v>
      </c>
      <c r="H630" s="17" t="str">
        <f>IFERROR(__xludf.DUMMYFUNCTION("""COMPUTED_VALUE"""),"S7123082154")</f>
        <v>S7123082154</v>
      </c>
      <c r="I630" s="17">
        <f>IFERROR(__xludf.DUMMYFUNCTION("""COMPUTED_VALUE"""),54.0)</f>
        <v>54</v>
      </c>
      <c r="J630" s="17" t="str">
        <f>IFERROR(__xludf.DUMMYFUNCTION("""COMPUTED_VALUE"""),"&gt; 44 tahun")</f>
        <v>&gt; 44 tahun</v>
      </c>
      <c r="K630" s="19">
        <f>IFERROR(__xludf.DUMMYFUNCTION("""COMPUTED_VALUE"""),26155.0)</f>
        <v>26155</v>
      </c>
      <c r="L630" s="19" t="str">
        <f>IFERROR(__xludf.DUMMYFUNCTION("""COMPUTED_VALUE"""),"LAKI-LAKI")</f>
        <v>LAKI-LAKI</v>
      </c>
      <c r="M630" s="16" t="str">
        <f>IFERROR(__xludf.DUMMYFUNCTION("""COMPUTED_VALUE"""),"Jl .ALIANYANG GG KURNIA DALAM NO.41")</f>
        <v>Jl .ALIANYANG GG KURNIA DALAM NO.41</v>
      </c>
      <c r="N630" s="16"/>
      <c r="O630" s="16"/>
      <c r="P630" s="16"/>
      <c r="Q630" s="16"/>
      <c r="R630" s="19" t="str">
        <f>IFERROR(__xludf.DUMMYFUNCTION("""COMPUTED_VALUE"""),"ISLAM")</f>
        <v>ISLAM</v>
      </c>
      <c r="S630" s="16" t="str">
        <f>IFERROR(__xludf.DUMMYFUNCTION("""COMPUTED_VALUE"""),"SWASTA")</f>
        <v>SWASTA</v>
      </c>
      <c r="T630" s="36" t="str">
        <f>IFERROR(__xludf.DUMMYFUNCTION("""COMPUTED_VALUE"""),"NYERI DI BACK BAGIAN BELIKAT")</f>
        <v>NYERI DI BACK BAGIAN BELIKAT</v>
      </c>
      <c r="U630" s="16" t="str">
        <f>IFERROR(__xludf.DUMMYFUNCTION("""COMPUTED_VALUE"""),"OLAHRAGA")</f>
        <v>OLAHRAGA</v>
      </c>
      <c r="V630" s="11" t="str">
        <f>IFERROR(__xludf.DUMMYFUNCTION("""COMPUTED_VALUE"""),"085245002154")</f>
        <v>085245002154</v>
      </c>
      <c r="W630" s="15"/>
    </row>
    <row r="631" ht="22.5" customHeight="1">
      <c r="A631" s="8"/>
      <c r="B631" s="9">
        <f>IFERROR(__xludf.DUMMYFUNCTION("""COMPUTED_VALUE"""),45158.33695642361)</f>
        <v>45158.33696</v>
      </c>
      <c r="C631" s="9"/>
      <c r="D631" s="10">
        <f>IFERROR(__xludf.DUMMYFUNCTION("""COMPUTED_VALUE"""),45159.0)</f>
        <v>45159</v>
      </c>
      <c r="E631" s="10" t="str">
        <f>IFERROR(__xludf.DUMMYFUNCTION("""COMPUTED_VALUE"""),"08Agu")</f>
        <v>08Agu</v>
      </c>
      <c r="F631" s="10" t="str">
        <f>IFERROR(__xludf.DUMMYFUNCTION("""COMPUTED_VALUE"""),"2023")</f>
        <v>2023</v>
      </c>
      <c r="G631" s="16" t="str">
        <f>IFERROR(__xludf.DUMMYFUNCTION("""COMPUTED_VALUE"""),"MONA DEWANTI")</f>
        <v>MONA DEWANTI</v>
      </c>
      <c r="H631" s="17" t="str">
        <f>IFERROR(__xludf.DUMMYFUNCTION("""COMPUTED_VALUE"""),"M0223089059")</f>
        <v>M0223089059</v>
      </c>
      <c r="I631" s="17">
        <f>IFERROR(__xludf.DUMMYFUNCTION("""COMPUTED_VALUE"""),23.0)</f>
        <v>23</v>
      </c>
      <c r="J631" s="17" t="str">
        <f>IFERROR(__xludf.DUMMYFUNCTION("""COMPUTED_VALUE"""),"18-24 tahun")</f>
        <v>18-24 tahun</v>
      </c>
      <c r="K631" s="19">
        <f>IFERROR(__xludf.DUMMYFUNCTION("""COMPUTED_VALUE"""),37428.0)</f>
        <v>37428</v>
      </c>
      <c r="L631" s="19" t="str">
        <f>IFERROR(__xludf.DUMMYFUNCTION("""COMPUTED_VALUE"""),"PEREMPUAN")</f>
        <v>PEREMPUAN</v>
      </c>
      <c r="M631" s="16" t="str">
        <f>IFERROR(__xludf.DUMMYFUNCTION("""COMPUTED_VALUE"""),"jl.padat karya komp.gria pesona 1 no.d9")</f>
        <v>jl.padat karya komp.gria pesona 1 no.d9</v>
      </c>
      <c r="N631" s="16"/>
      <c r="O631" s="16"/>
      <c r="P631" s="16"/>
      <c r="Q631" s="16"/>
      <c r="R631" s="19" t="str">
        <f>IFERROR(__xludf.DUMMYFUNCTION("""COMPUTED_VALUE"""),"ISLAM")</f>
        <v>ISLAM</v>
      </c>
      <c r="S631" s="16" t="str">
        <f>IFERROR(__xludf.DUMMYFUNCTION("""COMPUTED_VALUE"""),"SWASTA")</f>
        <v>SWASTA</v>
      </c>
      <c r="T631" s="16" t="str">
        <f>IFERROR(__xludf.DUMMYFUNCTION("""COMPUTED_VALUE"""),"BELLS PALSY")</f>
        <v>BELLS PALSY</v>
      </c>
      <c r="U631" s="16" t="str">
        <f>IFERROR(__xludf.DUMMYFUNCTION("""COMPUTED_VALUE"""),"KERJA")</f>
        <v>KERJA</v>
      </c>
      <c r="V631" s="11" t="str">
        <f>IFERROR(__xludf.DUMMYFUNCTION("""COMPUTED_VALUE"""),"089693689059")</f>
        <v>089693689059</v>
      </c>
      <c r="W631" s="15"/>
    </row>
    <row r="632" ht="22.5" customHeight="1">
      <c r="A632" s="8"/>
      <c r="B632" s="9">
        <f>IFERROR(__xludf.DUMMYFUNCTION("""COMPUTED_VALUE"""),45158.5420346412)</f>
        <v>45158.54203</v>
      </c>
      <c r="C632" s="9"/>
      <c r="D632" s="10">
        <f>IFERROR(__xludf.DUMMYFUNCTION("""COMPUTED_VALUE"""),45159.0)</f>
        <v>45159</v>
      </c>
      <c r="E632" s="10" t="str">
        <f>IFERROR(__xludf.DUMMYFUNCTION("""COMPUTED_VALUE"""),"08Agu")</f>
        <v>08Agu</v>
      </c>
      <c r="F632" s="10" t="str">
        <f>IFERROR(__xludf.DUMMYFUNCTION("""COMPUTED_VALUE"""),"2023")</f>
        <v>2023</v>
      </c>
      <c r="G632" s="16" t="str">
        <f>IFERROR(__xludf.DUMMYFUNCTION("""COMPUTED_VALUE"""),"WARSONO")</f>
        <v>WARSONO</v>
      </c>
      <c r="H632" s="17" t="str">
        <f>IFERROR(__xludf.DUMMYFUNCTION("""COMPUTED_VALUE"""),"W2323080567")</f>
        <v>W2323080567</v>
      </c>
      <c r="I632" s="17">
        <f>IFERROR(__xludf.DUMMYFUNCTION("""COMPUTED_VALUE"""),2.0)</f>
        <v>2</v>
      </c>
      <c r="J632" s="17" t="str">
        <f>IFERROR(__xludf.DUMMYFUNCTION("""COMPUTED_VALUE"""),"&lt; 18 tahun")</f>
        <v>&lt; 18 tahun</v>
      </c>
      <c r="K632" s="19">
        <f>IFERROR(__xludf.DUMMYFUNCTION("""COMPUTED_VALUE"""),45150.0)</f>
        <v>45150</v>
      </c>
      <c r="L632" s="19" t="str">
        <f>IFERROR(__xludf.DUMMYFUNCTION("""COMPUTED_VALUE"""),"LAKI-LAKI")</f>
        <v>LAKI-LAKI</v>
      </c>
      <c r="M632" s="16" t="str">
        <f>IFERROR(__xludf.DUMMYFUNCTION("""COMPUTED_VALUE"""),"Jln. Oevang Oeray Gang Nanas")</f>
        <v>Jln. Oevang Oeray Gang Nanas</v>
      </c>
      <c r="N632" s="16"/>
      <c r="O632" s="16"/>
      <c r="P632" s="16"/>
      <c r="Q632" s="16"/>
      <c r="R632" s="19" t="str">
        <f>IFERROR(__xludf.DUMMYFUNCTION("""COMPUTED_VALUE"""),"ISLAM")</f>
        <v>ISLAM</v>
      </c>
      <c r="S632" s="16" t="str">
        <f>IFERROR(__xludf.DUMMYFUNCTION("""COMPUTED_VALUE"""),"TNI/POLRI")</f>
        <v>TNI/POLRI</v>
      </c>
      <c r="T632" s="16" t="str">
        <f>IFERROR(__xludf.DUMMYFUNCTION("""COMPUTED_VALUE"""),"STROKE")</f>
        <v>STROKE</v>
      </c>
      <c r="U632" s="16" t="str">
        <f>IFERROR(__xludf.DUMMYFUNCTION("""COMPUTED_VALUE"""),"BERSOSIALISASI")</f>
        <v>BERSOSIALISASI</v>
      </c>
      <c r="V632" s="11" t="str">
        <f>IFERROR(__xludf.DUMMYFUNCTION("""COMPUTED_VALUE"""),"081257580567")</f>
        <v>081257580567</v>
      </c>
      <c r="W632" s="15"/>
    </row>
    <row r="633" ht="22.5" customHeight="1">
      <c r="A633" s="8"/>
      <c r="B633" s="9">
        <f>IFERROR(__xludf.DUMMYFUNCTION("""COMPUTED_VALUE"""),45158.62938993056)</f>
        <v>45158.62939</v>
      </c>
      <c r="C633" s="9"/>
      <c r="D633" s="10">
        <f>IFERROR(__xludf.DUMMYFUNCTION("""COMPUTED_VALUE"""),45159.0)</f>
        <v>45159</v>
      </c>
      <c r="E633" s="10" t="str">
        <f>IFERROR(__xludf.DUMMYFUNCTION("""COMPUTED_VALUE"""),"08Agu")</f>
        <v>08Agu</v>
      </c>
      <c r="F633" s="10" t="str">
        <f>IFERROR(__xludf.DUMMYFUNCTION("""COMPUTED_VALUE"""),"2023")</f>
        <v>2023</v>
      </c>
      <c r="G633" s="16" t="str">
        <f>IFERROR(__xludf.DUMMYFUNCTION("""COMPUTED_VALUE"""),"HANDY")</f>
        <v>HANDY</v>
      </c>
      <c r="H633" s="17" t="str">
        <f>IFERROR(__xludf.DUMMYFUNCTION("""COMPUTED_VALUE"""),"H8723086555")</f>
        <v>H8723086555</v>
      </c>
      <c r="I633" s="17">
        <f>IFERROR(__xludf.DUMMYFUNCTION("""COMPUTED_VALUE"""),38.0)</f>
        <v>38</v>
      </c>
      <c r="J633" s="17" t="str">
        <f>IFERROR(__xludf.DUMMYFUNCTION("""COMPUTED_VALUE"""),"35-44 tahun")</f>
        <v>35-44 tahun</v>
      </c>
      <c r="K633" s="19">
        <f>IFERROR(__xludf.DUMMYFUNCTION("""COMPUTED_VALUE"""),32055.0)</f>
        <v>32055</v>
      </c>
      <c r="L633" s="19" t="str">
        <f>IFERROR(__xludf.DUMMYFUNCTION("""COMPUTED_VALUE"""),"LAKI-LAKI")</f>
        <v>LAKI-LAKI</v>
      </c>
      <c r="M633" s="16" t="str">
        <f>IFERROR(__xludf.DUMMYFUNCTION("""COMPUTED_VALUE"""),"Jln. Petani, Komp. ViLa Mas")</f>
        <v>Jln. Petani, Komp. ViLa Mas</v>
      </c>
      <c r="N633" s="16"/>
      <c r="O633" s="16"/>
      <c r="P633" s="16"/>
      <c r="Q633" s="16"/>
      <c r="R633" s="19" t="str">
        <f>IFERROR(__xludf.DUMMYFUNCTION("""COMPUTED_VALUE"""),"BUDDHA")</f>
        <v>BUDDHA</v>
      </c>
      <c r="S633" s="16" t="str">
        <f>IFERROR(__xludf.DUMMYFUNCTION("""COMPUTED_VALUE"""),"SWASTA")</f>
        <v>SWASTA</v>
      </c>
      <c r="T633" s="16" t="str">
        <f>IFERROR(__xludf.DUMMYFUNCTION("""COMPUTED_VALUE"""),"SAKIT DI KE 2 BAGIAN DAN SIKUK")</f>
        <v>SAKIT DI KE 2 BAGIAN DAN SIKUK</v>
      </c>
      <c r="U633" s="16" t="str">
        <f>IFERROR(__xludf.DUMMYFUNCTION("""COMPUTED_VALUE"""),"BADMINTON")</f>
        <v>BADMINTON</v>
      </c>
      <c r="V633" s="11" t="str">
        <f>IFERROR(__xludf.DUMMYFUNCTION("""COMPUTED_VALUE"""),"085252166555")</f>
        <v>085252166555</v>
      </c>
      <c r="W633" s="15"/>
    </row>
    <row r="634" ht="22.5" customHeight="1">
      <c r="A634" s="8"/>
      <c r="B634" s="9">
        <f>IFERROR(__xludf.DUMMYFUNCTION("""COMPUTED_VALUE"""),45158.747981782406)</f>
        <v>45158.74798</v>
      </c>
      <c r="C634" s="9"/>
      <c r="D634" s="10">
        <f>IFERROR(__xludf.DUMMYFUNCTION("""COMPUTED_VALUE"""),45159.0)</f>
        <v>45159</v>
      </c>
      <c r="E634" s="10" t="str">
        <f>IFERROR(__xludf.DUMMYFUNCTION("""COMPUTED_VALUE"""),"08Agu")</f>
        <v>08Agu</v>
      </c>
      <c r="F634" s="10" t="str">
        <f>IFERROR(__xludf.DUMMYFUNCTION("""COMPUTED_VALUE"""),"2023")</f>
        <v>2023</v>
      </c>
      <c r="G634" s="16" t="str">
        <f>IFERROR(__xludf.DUMMYFUNCTION("""COMPUTED_VALUE"""),"EDI CAHYONO")</f>
        <v>EDI CAHYONO</v>
      </c>
      <c r="H634" s="17" t="str">
        <f>IFERROR(__xludf.DUMMYFUNCTION("""COMPUTED_VALUE"""),"E7623081888")</f>
        <v>E7623081888</v>
      </c>
      <c r="I634" s="17">
        <f>IFERROR(__xludf.DUMMYFUNCTION("""COMPUTED_VALUE"""),50.0)</f>
        <v>50</v>
      </c>
      <c r="J634" s="17" t="str">
        <f>IFERROR(__xludf.DUMMYFUNCTION("""COMPUTED_VALUE"""),"&gt; 44 tahun")</f>
        <v>&gt; 44 tahun</v>
      </c>
      <c r="K634" s="19">
        <f>IFERROR(__xludf.DUMMYFUNCTION("""COMPUTED_VALUE"""),27893.0)</f>
        <v>27893</v>
      </c>
      <c r="L634" s="19" t="str">
        <f>IFERROR(__xludf.DUMMYFUNCTION("""COMPUTED_VALUE"""),"LAKI-LAKI")</f>
        <v>LAKI-LAKI</v>
      </c>
      <c r="M634" s="16" t="str">
        <f>IFERROR(__xludf.DUMMYFUNCTION("""COMPUTED_VALUE"""),"Jalan Merak 4, no.12, Perum KDA, Belian, Batam Center, Kota Batam")</f>
        <v>Jalan Merak 4, no.12, Perum KDA, Belian, Batam Center, Kota Batam</v>
      </c>
      <c r="N634" s="16"/>
      <c r="O634" s="16"/>
      <c r="P634" s="16"/>
      <c r="Q634" s="16"/>
      <c r="R634" s="19" t="str">
        <f>IFERROR(__xludf.DUMMYFUNCTION("""COMPUTED_VALUE"""),"ISLAM")</f>
        <v>ISLAM</v>
      </c>
      <c r="S634" s="16" t="str">
        <f>IFERROR(__xludf.DUMMYFUNCTION("""COMPUTED_VALUE"""),"ASN")</f>
        <v>ASN</v>
      </c>
      <c r="T634" s="36" t="str">
        <f>IFERROR(__xludf.DUMMYFUNCTION("""COMPUTED_VALUE"""),"SAKIT DI LIPAT ATAU UNT DUDUK ANTARA SUJUD")</f>
        <v>SAKIT DI LIPAT ATAU UNT DUDUK ANTARA SUJUD</v>
      </c>
      <c r="U634" s="16" t="str">
        <f>IFERROR(__xludf.DUMMYFUNCTION("""COMPUTED_VALUE"""),"Olahraga, Kegiatan pekerjaan di lapangan")</f>
        <v>Olahraga, Kegiatan pekerjaan di lapangan</v>
      </c>
      <c r="V634" s="11" t="str">
        <f>IFERROR(__xludf.DUMMYFUNCTION("""COMPUTED_VALUE"""),"081267241888")</f>
        <v>081267241888</v>
      </c>
      <c r="W634" s="15"/>
    </row>
    <row r="635" ht="22.5" customHeight="1">
      <c r="A635" s="8"/>
      <c r="B635" s="9">
        <f>IFERROR(__xludf.DUMMYFUNCTION("""COMPUTED_VALUE"""),45159.44917045139)</f>
        <v>45159.44917</v>
      </c>
      <c r="C635" s="9"/>
      <c r="D635" s="10">
        <f>IFERROR(__xludf.DUMMYFUNCTION("""COMPUTED_VALUE"""),45159.0)</f>
        <v>45159</v>
      </c>
      <c r="E635" s="10" t="str">
        <f>IFERROR(__xludf.DUMMYFUNCTION("""COMPUTED_VALUE"""),"08Agu")</f>
        <v>08Agu</v>
      </c>
      <c r="F635" s="10" t="str">
        <f>IFERROR(__xludf.DUMMYFUNCTION("""COMPUTED_VALUE"""),"2023")</f>
        <v>2023</v>
      </c>
      <c r="G635" s="16" t="str">
        <f>IFERROR(__xludf.DUMMYFUNCTION("""COMPUTED_VALUE"""),"WITA DAMAYANTI")</f>
        <v>WITA DAMAYANTI</v>
      </c>
      <c r="H635" s="17" t="str">
        <f>IFERROR(__xludf.DUMMYFUNCTION("""COMPUTED_VALUE"""),"W0623083242")</f>
        <v>W0623083242</v>
      </c>
      <c r="I635" s="17">
        <f>IFERROR(__xludf.DUMMYFUNCTION("""COMPUTED_VALUE"""),20.0)</f>
        <v>20</v>
      </c>
      <c r="J635" s="17" t="str">
        <f>IFERROR(__xludf.DUMMYFUNCTION("""COMPUTED_VALUE"""),"18-24 tahun")</f>
        <v>18-24 tahun</v>
      </c>
      <c r="K635" s="19">
        <f>IFERROR(__xludf.DUMMYFUNCTION("""COMPUTED_VALUE"""),38829.0)</f>
        <v>38829</v>
      </c>
      <c r="L635" s="19" t="str">
        <f>IFERROR(__xludf.DUMMYFUNCTION("""COMPUTED_VALUE"""),"PEREMPUAN")</f>
        <v>PEREMPUAN</v>
      </c>
      <c r="M635" s="16" t="str">
        <f>IFERROR(__xludf.DUMMYFUNCTION("""COMPUTED_VALUE"""),"jl. Pangeran Natakusuma Gg. Selamat Bersama no. 35")</f>
        <v>jl. Pangeran Natakusuma Gg. Selamat Bersama no. 35</v>
      </c>
      <c r="N635" s="16"/>
      <c r="O635" s="16"/>
      <c r="P635" s="16"/>
      <c r="Q635" s="16"/>
      <c r="R635" s="19" t="str">
        <f>IFERROR(__xludf.DUMMYFUNCTION("""COMPUTED_VALUE"""),"ISLAM")</f>
        <v>ISLAM</v>
      </c>
      <c r="S635" s="16" t="str">
        <f>IFERROR(__xludf.DUMMYFUNCTION("""COMPUTED_VALUE"""),"PELAJAR/MAHASISWA")</f>
        <v>PELAJAR/MAHASISWA</v>
      </c>
      <c r="T635" s="16" t="str">
        <f>IFERROR(__xludf.DUMMYFUNCTION("""COMPUTED_VALUE"""),"SAKIT BAGIAN PUNGGUNG")</f>
        <v>SAKIT BAGIAN PUNGGUNG</v>
      </c>
      <c r="U635" s="16" t="str">
        <f>IFERROR(__xludf.DUMMYFUNCTION("""COMPUTED_VALUE"""),"MENULIS")</f>
        <v>MENULIS</v>
      </c>
      <c r="V635" s="11" t="str">
        <f>IFERROR(__xludf.DUMMYFUNCTION("""COMPUTED_VALUE"""),"81257193242")</f>
        <v>81257193242</v>
      </c>
      <c r="W635" s="15"/>
    </row>
    <row r="636" ht="22.5" customHeight="1">
      <c r="A636" s="8"/>
      <c r="B636" s="9">
        <f>IFERROR(__xludf.DUMMYFUNCTION("""COMPUTED_VALUE"""),45159.55632478009)</f>
        <v>45159.55632</v>
      </c>
      <c r="C636" s="9"/>
      <c r="D636" s="10">
        <f>IFERROR(__xludf.DUMMYFUNCTION("""COMPUTED_VALUE"""),45159.0)</f>
        <v>45159</v>
      </c>
      <c r="E636" s="10" t="str">
        <f>IFERROR(__xludf.DUMMYFUNCTION("""COMPUTED_VALUE"""),"08Agu")</f>
        <v>08Agu</v>
      </c>
      <c r="F636" s="10" t="str">
        <f>IFERROR(__xludf.DUMMYFUNCTION("""COMPUTED_VALUE"""),"2023")</f>
        <v>2023</v>
      </c>
      <c r="G636" s="16" t="str">
        <f>IFERROR(__xludf.DUMMYFUNCTION("""COMPUTED_VALUE"""),"ENDIH SUPANDIH")</f>
        <v>ENDIH SUPANDIH</v>
      </c>
      <c r="H636" s="17" t="str">
        <f>IFERROR(__xludf.DUMMYFUNCTION("""COMPUTED_VALUE"""),"E7523087500")</f>
        <v>E7523087500</v>
      </c>
      <c r="I636" s="17">
        <f>IFERROR(__xludf.DUMMYFUNCTION("""COMPUTED_VALUE"""),50.0)</f>
        <v>50</v>
      </c>
      <c r="J636" s="17" t="str">
        <f>IFERROR(__xludf.DUMMYFUNCTION("""COMPUTED_VALUE"""),"&gt; 44 tahun")</f>
        <v>&gt; 44 tahun</v>
      </c>
      <c r="K636" s="19">
        <f>IFERROR(__xludf.DUMMYFUNCTION("""COMPUTED_VALUE"""),27586.0)</f>
        <v>27586</v>
      </c>
      <c r="L636" s="19" t="str">
        <f>IFERROR(__xludf.DUMMYFUNCTION("""COMPUTED_VALUE"""),"LAKI-LAKI")</f>
        <v>LAKI-LAKI</v>
      </c>
      <c r="M636" s="16" t="str">
        <f>IFERROR(__xludf.DUMMYFUNCTION("""COMPUTED_VALUE"""),"KOMP. BUDI ASRI")</f>
        <v>KOMP. BUDI ASRI</v>
      </c>
      <c r="N636" s="16"/>
      <c r="O636" s="16"/>
      <c r="P636" s="16"/>
      <c r="Q636" s="16"/>
      <c r="R636" s="19" t="str">
        <f>IFERROR(__xludf.DUMMYFUNCTION("""COMPUTED_VALUE"""),"ISLAM")</f>
        <v>ISLAM</v>
      </c>
      <c r="S636" s="16" t="str">
        <f>IFERROR(__xludf.DUMMYFUNCTION("""COMPUTED_VALUE"""),"WIRASWASTA")</f>
        <v>WIRASWASTA</v>
      </c>
      <c r="T636" s="36" t="str">
        <f>IFERROR(__xludf.DUMMYFUNCTION("""COMPUTED_VALUE"""),"LEHER DAN BAHU")</f>
        <v>LEHER DAN BAHU</v>
      </c>
      <c r="U636" s="16" t="str">
        <f>IFERROR(__xludf.DUMMYFUNCTION("""COMPUTED_VALUE"""),"-")</f>
        <v>-</v>
      </c>
      <c r="V636" s="11" t="str">
        <f>IFERROR(__xludf.DUMMYFUNCTION("""COMPUTED_VALUE"""),"08115667500")</f>
        <v>08115667500</v>
      </c>
      <c r="W636" s="15"/>
    </row>
    <row r="637" ht="22.5" customHeight="1">
      <c r="A637" s="8"/>
      <c r="B637" s="9">
        <f>IFERROR(__xludf.DUMMYFUNCTION("""COMPUTED_VALUE"""),45159.836191967595)</f>
        <v>45159.83619</v>
      </c>
      <c r="C637" s="9"/>
      <c r="D637" s="10">
        <f>IFERROR(__xludf.DUMMYFUNCTION("""COMPUTED_VALUE"""),45160.0)</f>
        <v>45160</v>
      </c>
      <c r="E637" s="10" t="str">
        <f>IFERROR(__xludf.DUMMYFUNCTION("""COMPUTED_VALUE"""),"08Agu")</f>
        <v>08Agu</v>
      </c>
      <c r="F637" s="10" t="str">
        <f>IFERROR(__xludf.DUMMYFUNCTION("""COMPUTED_VALUE"""),"2023")</f>
        <v>2023</v>
      </c>
      <c r="G637" s="16" t="str">
        <f>IFERROR(__xludf.DUMMYFUNCTION("""COMPUTED_VALUE"""),"TUNIAH")</f>
        <v>TUNIAH</v>
      </c>
      <c r="H637" s="17" t="str">
        <f>IFERROR(__xludf.DUMMYFUNCTION("""COMPUTED_VALUE"""),"T7023085170")</f>
        <v>T7023085170</v>
      </c>
      <c r="I637" s="17">
        <f>IFERROR(__xludf.DUMMYFUNCTION("""COMPUTED_VALUE"""),55.0)</f>
        <v>55</v>
      </c>
      <c r="J637" s="17" t="str">
        <f>IFERROR(__xludf.DUMMYFUNCTION("""COMPUTED_VALUE"""),"&gt; 44 tahun")</f>
        <v>&gt; 44 tahun</v>
      </c>
      <c r="K637" s="19">
        <f>IFERROR(__xludf.DUMMYFUNCTION("""COMPUTED_VALUE"""),25796.0)</f>
        <v>25796</v>
      </c>
      <c r="L637" s="19" t="str">
        <f>IFERROR(__xludf.DUMMYFUNCTION("""COMPUTED_VALUE"""),"PEREMPUAN")</f>
        <v>PEREMPUAN</v>
      </c>
      <c r="M637" s="16" t="str">
        <f>IFERROR(__xludf.DUMMYFUNCTION("""COMPUTED_VALUE"""),"Jl .pemda Gg aisyah kasim")</f>
        <v>Jl .pemda Gg aisyah kasim</v>
      </c>
      <c r="N637" s="16"/>
      <c r="O637" s="16"/>
      <c r="P637" s="16"/>
      <c r="Q637" s="16"/>
      <c r="R637" s="19" t="str">
        <f>IFERROR(__xludf.DUMMYFUNCTION("""COMPUTED_VALUE"""),"ISLAM")</f>
        <v>ISLAM</v>
      </c>
      <c r="S637" s="16" t="str">
        <f>IFERROR(__xludf.DUMMYFUNCTION("""COMPUTED_VALUE"""),"ASN")</f>
        <v>ASN</v>
      </c>
      <c r="T637" s="36" t="str">
        <f>IFERROR(__xludf.DUMMYFUNCTION("""COMPUTED_VALUE"""),"DAERAH TENGKUK SAMPAI BAHU DAN TANGAN KANAN TERASA NYERI, DIAGNOSA DOKTER SARAF TERJEPIT DAN DI ANJURKAN UMTUK FISIOTERAPI")</f>
        <v>DAERAH TENGKUK SAMPAI BAHU DAN TANGAN KANAN TERASA NYERI, DIAGNOSA DOKTER SARAF TERJEPIT DAN DI ANJURKAN UMTUK FISIOTERAPI</v>
      </c>
      <c r="U637" s="16" t="str">
        <f>IFERROR(__xludf.DUMMYFUNCTION("""COMPUTED_VALUE"""),"Sebagai terapis gigi")</f>
        <v>Sebagai terapis gigi</v>
      </c>
      <c r="V637" s="11" t="str">
        <f>IFERROR(__xludf.DUMMYFUNCTION("""COMPUTED_VALUE"""),"081779485170")</f>
        <v>081779485170</v>
      </c>
      <c r="W637" s="15"/>
    </row>
    <row r="638" ht="22.5" customHeight="1">
      <c r="A638" s="8"/>
      <c r="B638" s="9">
        <f>IFERROR(__xludf.DUMMYFUNCTION("""COMPUTED_VALUE"""),45160.3433505787)</f>
        <v>45160.34335</v>
      </c>
      <c r="C638" s="9"/>
      <c r="D638" s="10">
        <f>IFERROR(__xludf.DUMMYFUNCTION("""COMPUTED_VALUE"""),45160.0)</f>
        <v>45160</v>
      </c>
      <c r="E638" s="10" t="str">
        <f>IFERROR(__xludf.DUMMYFUNCTION("""COMPUTED_VALUE"""),"08Agu")</f>
        <v>08Agu</v>
      </c>
      <c r="F638" s="10" t="str">
        <f>IFERROR(__xludf.DUMMYFUNCTION("""COMPUTED_VALUE"""),"2023")</f>
        <v>2023</v>
      </c>
      <c r="G638" s="16" t="str">
        <f>IFERROR(__xludf.DUMMYFUNCTION("""COMPUTED_VALUE"""),"JULINA LIAUW")</f>
        <v>JULINA LIAUW</v>
      </c>
      <c r="H638" s="17" t="str">
        <f>IFERROR(__xludf.DUMMYFUNCTION("""COMPUTED_VALUE"""),"J8323083267")</f>
        <v>J8323083267</v>
      </c>
      <c r="I638" s="17">
        <f>IFERROR(__xludf.DUMMYFUNCTION("""COMPUTED_VALUE"""),42.0)</f>
        <v>42</v>
      </c>
      <c r="J638" s="17" t="str">
        <f>IFERROR(__xludf.DUMMYFUNCTION("""COMPUTED_VALUE"""),"35-44 tahun")</f>
        <v>35-44 tahun</v>
      </c>
      <c r="K638" s="19">
        <f>IFERROR(__xludf.DUMMYFUNCTION("""COMPUTED_VALUE"""),30514.0)</f>
        <v>30514</v>
      </c>
      <c r="L638" s="19" t="str">
        <f>IFERROR(__xludf.DUMMYFUNCTION("""COMPUTED_VALUE"""),"PEREMPUAN")</f>
        <v>PEREMPUAN</v>
      </c>
      <c r="M638" s="16" t="str">
        <f>IFERROR(__xludf.DUMMYFUNCTION("""COMPUTED_VALUE"""),"Jl. Karya Baru komp. Sunrise residence no E05")</f>
        <v>Jl. Karya Baru komp. Sunrise residence no E05</v>
      </c>
      <c r="N638" s="16"/>
      <c r="O638" s="16"/>
      <c r="P638" s="16"/>
      <c r="Q638" s="16"/>
      <c r="R638" s="19" t="str">
        <f>IFERROR(__xludf.DUMMYFUNCTION("""COMPUTED_VALUE"""),"PROTESTAN")</f>
        <v>PROTESTAN</v>
      </c>
      <c r="S638" s="16" t="str">
        <f>IFERROR(__xludf.DUMMYFUNCTION("""COMPUTED_VALUE"""),"RUMAH TANGGA")</f>
        <v>RUMAH TANGGA</v>
      </c>
      <c r="T638" s="36" t="str">
        <f>IFERROR(__xludf.DUMMYFUNCTION("""COMPUTED_VALUE"""),"MASALAH DI TANGAN KIRI")</f>
        <v>MASALAH DI TANGAN KIRI</v>
      </c>
      <c r="U638" s="16" t="str">
        <f>IFERROR(__xludf.DUMMYFUNCTION("""COMPUTED_VALUE"""),"YOGA")</f>
        <v>YOGA</v>
      </c>
      <c r="V638" s="11" t="str">
        <f>IFERROR(__xludf.DUMMYFUNCTION("""COMPUTED_VALUE"""),"081345933267")</f>
        <v>081345933267</v>
      </c>
      <c r="W638" s="15"/>
    </row>
    <row r="639" ht="22.5" customHeight="1">
      <c r="A639" s="8"/>
      <c r="B639" s="9">
        <f>IFERROR(__xludf.DUMMYFUNCTION("""COMPUTED_VALUE"""),45160.42607903935)</f>
        <v>45160.42608</v>
      </c>
      <c r="C639" s="9"/>
      <c r="D639" s="10">
        <f>IFERROR(__xludf.DUMMYFUNCTION("""COMPUTED_VALUE"""),45160.0)</f>
        <v>45160</v>
      </c>
      <c r="E639" s="10" t="str">
        <f>IFERROR(__xludf.DUMMYFUNCTION("""COMPUTED_VALUE"""),"08Agu")</f>
        <v>08Agu</v>
      </c>
      <c r="F639" s="10" t="str">
        <f>IFERROR(__xludf.DUMMYFUNCTION("""COMPUTED_VALUE"""),"2023")</f>
        <v>2023</v>
      </c>
      <c r="G639" s="16" t="str">
        <f>IFERROR(__xludf.DUMMYFUNCTION("""COMPUTED_VALUE"""),"JOAQUIN FERDINAND")</f>
        <v>JOAQUIN FERDINAND</v>
      </c>
      <c r="H639" s="17" t="str">
        <f>IFERROR(__xludf.DUMMYFUNCTION("""COMPUTED_VALUE"""),"J0723085998")</f>
        <v>J0723085998</v>
      </c>
      <c r="I639" s="17">
        <f>IFERROR(__xludf.DUMMYFUNCTION("""COMPUTED_VALUE"""),18.0)</f>
        <v>18</v>
      </c>
      <c r="J639" s="17" t="str">
        <f>IFERROR(__xludf.DUMMYFUNCTION("""COMPUTED_VALUE"""),"&lt; 18 tahun")</f>
        <v>&lt; 18 tahun</v>
      </c>
      <c r="K639" s="19">
        <f>IFERROR(__xludf.DUMMYFUNCTION("""COMPUTED_VALUE"""),39374.0)</f>
        <v>39374</v>
      </c>
      <c r="L639" s="19" t="str">
        <f>IFERROR(__xludf.DUMMYFUNCTION("""COMPUTED_VALUE"""),"LAKI-LAKI")</f>
        <v>LAKI-LAKI</v>
      </c>
      <c r="M639" s="16" t="str">
        <f>IFERROR(__xludf.DUMMYFUNCTION("""COMPUTED_VALUE"""),"Jln. Paris 2 komplek buana lestari no C7")</f>
        <v>Jln. Paris 2 komplek buana lestari no C7</v>
      </c>
      <c r="N639" s="16"/>
      <c r="O639" s="16"/>
      <c r="P639" s="16"/>
      <c r="Q639" s="16"/>
      <c r="R639" s="19" t="str">
        <f>IFERROR(__xludf.DUMMYFUNCTION("""COMPUTED_VALUE"""),"KATOLIK")</f>
        <v>KATOLIK</v>
      </c>
      <c r="S639" s="16" t="str">
        <f>IFERROR(__xludf.DUMMYFUNCTION("""COMPUTED_VALUE"""),"PELAJAR/MAHASISWA")</f>
        <v>PELAJAR/MAHASISWA</v>
      </c>
      <c r="T639" s="36" t="str">
        <f>IFERROR(__xludf.DUMMYFUNCTION("""COMPUTED_VALUE"""),"ANKLE")</f>
        <v>ANKLE</v>
      </c>
      <c r="U639" s="16" t="str">
        <f>IFERROR(__xludf.DUMMYFUNCTION("""COMPUTED_VALUE"""),"BADMINTON")</f>
        <v>BADMINTON</v>
      </c>
      <c r="V639" s="11" t="str">
        <f>IFERROR(__xludf.DUMMYFUNCTION("""COMPUTED_VALUE"""),"082152415998")</f>
        <v>082152415998</v>
      </c>
      <c r="W639" s="15"/>
    </row>
    <row r="640" ht="22.5" customHeight="1">
      <c r="A640" s="8"/>
      <c r="B640" s="9">
        <f>IFERROR(__xludf.DUMMYFUNCTION("""COMPUTED_VALUE"""),45160.55795428241)</f>
        <v>45160.55795</v>
      </c>
      <c r="C640" s="9"/>
      <c r="D640" s="10">
        <f>IFERROR(__xludf.DUMMYFUNCTION("""COMPUTED_VALUE"""),45160.0)</f>
        <v>45160</v>
      </c>
      <c r="E640" s="10" t="str">
        <f>IFERROR(__xludf.DUMMYFUNCTION("""COMPUTED_VALUE"""),"08Agu")</f>
        <v>08Agu</v>
      </c>
      <c r="F640" s="10" t="str">
        <f>IFERROR(__xludf.DUMMYFUNCTION("""COMPUTED_VALUE"""),"2023")</f>
        <v>2023</v>
      </c>
      <c r="G640" s="16" t="str">
        <f>IFERROR(__xludf.DUMMYFUNCTION("""COMPUTED_VALUE"""),"SATRIYADI")</f>
        <v>SATRIYADI</v>
      </c>
      <c r="H640" s="17" t="str">
        <f>IFERROR(__xludf.DUMMYFUNCTION("""COMPUTED_VALUE"""),"S7623085562")</f>
        <v>S7623085562</v>
      </c>
      <c r="I640" s="17">
        <f>IFERROR(__xludf.DUMMYFUNCTION("""COMPUTED_VALUE"""),49.0)</f>
        <v>49</v>
      </c>
      <c r="J640" s="17" t="str">
        <f>IFERROR(__xludf.DUMMYFUNCTION("""COMPUTED_VALUE"""),"&gt; 44 tahun")</f>
        <v>&gt; 44 tahun</v>
      </c>
      <c r="K640" s="19">
        <f>IFERROR(__xludf.DUMMYFUNCTION("""COMPUTED_VALUE"""),28101.0)</f>
        <v>28101</v>
      </c>
      <c r="L640" s="19" t="str">
        <f>IFERROR(__xludf.DUMMYFUNCTION("""COMPUTED_VALUE"""),"LAKI-LAKI")</f>
        <v>LAKI-LAKI</v>
      </c>
      <c r="M640" s="16" t="str">
        <f>IFERROR(__xludf.DUMMYFUNCTION("""COMPUTED_VALUE"""),"Jl Moch Amin Semitau")</f>
        <v>Jl Moch Amin Semitau</v>
      </c>
      <c r="N640" s="16"/>
      <c r="O640" s="16"/>
      <c r="P640" s="16"/>
      <c r="Q640" s="16"/>
      <c r="R640" s="19" t="str">
        <f>IFERROR(__xludf.DUMMYFUNCTION("""COMPUTED_VALUE"""),"ISLAM")</f>
        <v>ISLAM</v>
      </c>
      <c r="S640" s="16" t="str">
        <f>IFERROR(__xludf.DUMMYFUNCTION("""COMPUTED_VALUE"""),"WIRASWASTA")</f>
        <v>WIRASWASTA</v>
      </c>
      <c r="T640" s="16" t="str">
        <f>IFERROR(__xludf.DUMMYFUNCTION("""COMPUTED_VALUE"""),"SAKIT PINGGANG DAN PUNGGUNG")</f>
        <v>SAKIT PINGGANG DAN PUNGGUNG</v>
      </c>
      <c r="U640" s="16" t="str">
        <f>IFERROR(__xludf.DUMMYFUNCTION("""COMPUTED_VALUE"""),"OLAHRAGA")</f>
        <v>OLAHRAGA</v>
      </c>
      <c r="V640" s="11" t="str">
        <f>IFERROR(__xludf.DUMMYFUNCTION("""COMPUTED_VALUE"""),"085250875562")</f>
        <v>085250875562</v>
      </c>
      <c r="W640" s="15"/>
    </row>
    <row r="641" ht="22.5" customHeight="1">
      <c r="A641" s="8"/>
      <c r="B641" s="9">
        <f>IFERROR(__xludf.DUMMYFUNCTION("""COMPUTED_VALUE"""),45160.65829603009)</f>
        <v>45160.6583</v>
      </c>
      <c r="C641" s="9"/>
      <c r="D641" s="10">
        <f>IFERROR(__xludf.DUMMYFUNCTION("""COMPUTED_VALUE"""),45161.0)</f>
        <v>45161</v>
      </c>
      <c r="E641" s="10" t="str">
        <f>IFERROR(__xludf.DUMMYFUNCTION("""COMPUTED_VALUE"""),"08Agu")</f>
        <v>08Agu</v>
      </c>
      <c r="F641" s="10" t="str">
        <f>IFERROR(__xludf.DUMMYFUNCTION("""COMPUTED_VALUE"""),"2023")</f>
        <v>2023</v>
      </c>
      <c r="G641" s="16" t="str">
        <f>IFERROR(__xludf.DUMMYFUNCTION("""COMPUTED_VALUE"""),"ALEXANDER YANSENS")</f>
        <v>ALEXANDER YANSENS</v>
      </c>
      <c r="H641" s="17" t="str">
        <f>IFERROR(__xludf.DUMMYFUNCTION("""COMPUTED_VALUE"""),"A5823084577")</f>
        <v>A5823084577</v>
      </c>
      <c r="I641" s="17">
        <f>IFERROR(__xludf.DUMMYFUNCTION("""COMPUTED_VALUE"""),68.0)</f>
        <v>68</v>
      </c>
      <c r="J641" s="17" t="str">
        <f>IFERROR(__xludf.DUMMYFUNCTION("""COMPUTED_VALUE"""),"&gt; 44 tahun")</f>
        <v>&gt; 44 tahun</v>
      </c>
      <c r="K641" s="19">
        <f>IFERROR(__xludf.DUMMYFUNCTION("""COMPUTED_VALUE"""),21217.0)</f>
        <v>21217</v>
      </c>
      <c r="L641" s="19" t="str">
        <f>IFERROR(__xludf.DUMMYFUNCTION("""COMPUTED_VALUE"""),"LAKI-LAKI")</f>
        <v>LAKI-LAKI</v>
      </c>
      <c r="M641" s="16" t="str">
        <f>IFERROR(__xludf.DUMMYFUNCTION("""COMPUTED_VALUE"""),"Jl RE Martadinata Gg Buncis No 9, Sei Jawi Luar, Pontianak - Kal Bar")</f>
        <v>Jl RE Martadinata Gg Buncis No 9, Sei Jawi Luar, Pontianak - Kal Bar</v>
      </c>
      <c r="N641" s="16"/>
      <c r="O641" s="16"/>
      <c r="P641" s="16"/>
      <c r="Q641" s="16"/>
      <c r="R641" s="19" t="str">
        <f>IFERROR(__xludf.DUMMYFUNCTION("""COMPUTED_VALUE"""),"PROTESTAN")</f>
        <v>PROTESTAN</v>
      </c>
      <c r="S641" s="16" t="str">
        <f>IFERROR(__xludf.DUMMYFUNCTION("""COMPUTED_VALUE"""),"WIRASWASTA")</f>
        <v>WIRASWASTA</v>
      </c>
      <c r="T641" s="16" t="str">
        <f>IFERROR(__xludf.DUMMYFUNCTION("""COMPUTED_VALUE"""),"NYERI TULANG")</f>
        <v>NYERI TULANG</v>
      </c>
      <c r="U641" s="16" t="str">
        <f>IFERROR(__xludf.DUMMYFUNCTION("""COMPUTED_VALUE"""),"JALAN PAGI")</f>
        <v>JALAN PAGI</v>
      </c>
      <c r="V641" s="11" t="str">
        <f>IFERROR(__xludf.DUMMYFUNCTION("""COMPUTED_VALUE"""),"0816224577")</f>
        <v>0816224577</v>
      </c>
      <c r="W641" s="15"/>
    </row>
    <row r="642" ht="22.5" customHeight="1">
      <c r="A642" s="8"/>
      <c r="B642" s="9">
        <f>IFERROR(__xludf.DUMMYFUNCTION("""COMPUTED_VALUE"""),45160.746026168985)</f>
        <v>45160.74603</v>
      </c>
      <c r="C642" s="9"/>
      <c r="D642" s="10">
        <f>IFERROR(__xludf.DUMMYFUNCTION("""COMPUTED_VALUE"""),45161.0)</f>
        <v>45161</v>
      </c>
      <c r="E642" s="10" t="str">
        <f>IFERROR(__xludf.DUMMYFUNCTION("""COMPUTED_VALUE"""),"08Agu")</f>
        <v>08Agu</v>
      </c>
      <c r="F642" s="10" t="str">
        <f>IFERROR(__xludf.DUMMYFUNCTION("""COMPUTED_VALUE"""),"2023")</f>
        <v>2023</v>
      </c>
      <c r="G642" s="16" t="str">
        <f>IFERROR(__xludf.DUMMYFUNCTION("""COMPUTED_VALUE"""),"LISA RAYANI SUJANA")</f>
        <v>LISA RAYANI SUJANA</v>
      </c>
      <c r="H642" s="17" t="str">
        <f>IFERROR(__xludf.DUMMYFUNCTION("""COMPUTED_VALUE"""),"L9523086667")</f>
        <v>L9523086667</v>
      </c>
      <c r="I642" s="17">
        <f>IFERROR(__xludf.DUMMYFUNCTION("""COMPUTED_VALUE"""),30.0)</f>
        <v>30</v>
      </c>
      <c r="J642" s="17" t="str">
        <f>IFERROR(__xludf.DUMMYFUNCTION("""COMPUTED_VALUE"""),"25-34 tahun")</f>
        <v>25-34 tahun</v>
      </c>
      <c r="K642" s="19">
        <f>IFERROR(__xludf.DUMMYFUNCTION("""COMPUTED_VALUE"""),34905.0)</f>
        <v>34905</v>
      </c>
      <c r="L642" s="19" t="str">
        <f>IFERROR(__xludf.DUMMYFUNCTION("""COMPUTED_VALUE"""),"PEREMPUAN")</f>
        <v>PEREMPUAN</v>
      </c>
      <c r="M642" s="16" t="str">
        <f>IFERROR(__xludf.DUMMYFUNCTION("""COMPUTED_VALUE"""),"JL. DANAU SENTARUM GG. DANAU FAMILI NO. 67")</f>
        <v>JL. DANAU SENTARUM GG. DANAU FAMILI NO. 67</v>
      </c>
      <c r="N642" s="16"/>
      <c r="O642" s="16"/>
      <c r="P642" s="16"/>
      <c r="Q642" s="16"/>
      <c r="R642" s="19" t="str">
        <f>IFERROR(__xludf.DUMMYFUNCTION("""COMPUTED_VALUE"""),"ISLAM")</f>
        <v>ISLAM</v>
      </c>
      <c r="S642" s="16" t="str">
        <f>IFERROR(__xludf.DUMMYFUNCTION("""COMPUTED_VALUE"""),"TNI/POLRI")</f>
        <v>TNI/POLRI</v>
      </c>
      <c r="T642" s="16" t="str">
        <f>IFERROR(__xludf.DUMMYFUNCTION("""COMPUTED_VALUE"""),"KESELEO DIBAGIAN PERGELANGAN KAKI")</f>
        <v>KESELEO DIBAGIAN PERGELANGAN KAKI</v>
      </c>
      <c r="U642" s="16" t="str">
        <f>IFERROR(__xludf.DUMMYFUNCTION("""COMPUTED_VALUE"""),"BEKERJA")</f>
        <v>BEKERJA</v>
      </c>
      <c r="V642" s="11" t="str">
        <f>IFERROR(__xludf.DUMMYFUNCTION("""COMPUTED_VALUE"""),"082158476667")</f>
        <v>082158476667</v>
      </c>
      <c r="W642" s="15"/>
    </row>
    <row r="643" ht="22.5" customHeight="1">
      <c r="A643" s="8"/>
      <c r="B643" s="9">
        <f>IFERROR(__xludf.DUMMYFUNCTION("""COMPUTED_VALUE"""),45160.88607788194)</f>
        <v>45160.88608</v>
      </c>
      <c r="C643" s="9"/>
      <c r="D643" s="10">
        <f>IFERROR(__xludf.DUMMYFUNCTION("""COMPUTED_VALUE"""),45161.0)</f>
        <v>45161</v>
      </c>
      <c r="E643" s="10" t="str">
        <f>IFERROR(__xludf.DUMMYFUNCTION("""COMPUTED_VALUE"""),"08Agu")</f>
        <v>08Agu</v>
      </c>
      <c r="F643" s="10" t="str">
        <f>IFERROR(__xludf.DUMMYFUNCTION("""COMPUTED_VALUE"""),"2023")</f>
        <v>2023</v>
      </c>
      <c r="G643" s="16" t="str">
        <f>IFERROR(__xludf.DUMMYFUNCTION("""COMPUTED_VALUE"""),"ADITYA MULYA HAMIDZAN")</f>
        <v>ADITYA MULYA HAMIDZAN</v>
      </c>
      <c r="H643" s="17" t="str">
        <f>IFERROR(__xludf.DUMMYFUNCTION("""COMPUTED_VALUE"""),"A1423081427")</f>
        <v>A1423081427</v>
      </c>
      <c r="I643" s="17">
        <f>IFERROR(__xludf.DUMMYFUNCTION("""COMPUTED_VALUE"""),11.0)</f>
        <v>11</v>
      </c>
      <c r="J643" s="17" t="str">
        <f>IFERROR(__xludf.DUMMYFUNCTION("""COMPUTED_VALUE"""),"&lt; 18 tahun")</f>
        <v>&lt; 18 tahun</v>
      </c>
      <c r="K643" s="19">
        <f>IFERROR(__xludf.DUMMYFUNCTION("""COMPUTED_VALUE"""),41898.0)</f>
        <v>41898</v>
      </c>
      <c r="L643" s="19" t="str">
        <f>IFERROR(__xludf.DUMMYFUNCTION("""COMPUTED_VALUE"""),"LAKI-LAKI")</f>
        <v>LAKI-LAKI</v>
      </c>
      <c r="M643" s="16" t="str">
        <f>IFERROR(__xludf.DUMMYFUNCTION("""COMPUTED_VALUE"""),"Jl.Pemda Gg.Dharma Putra")</f>
        <v>Jl.Pemda Gg.Dharma Putra</v>
      </c>
      <c r="N643" s="16"/>
      <c r="O643" s="16"/>
      <c r="P643" s="16"/>
      <c r="Q643" s="16"/>
      <c r="R643" s="19" t="str">
        <f>IFERROR(__xludf.DUMMYFUNCTION("""COMPUTED_VALUE"""),"ISLAM")</f>
        <v>ISLAM</v>
      </c>
      <c r="S643" s="16" t="str">
        <f>IFERROR(__xludf.DUMMYFUNCTION("""COMPUTED_VALUE"""),"PELAJAR/MAHASISWA")</f>
        <v>PELAJAR/MAHASISWA</v>
      </c>
      <c r="T643" s="16" t="str">
        <f>IFERROR(__xludf.DUMMYFUNCTION("""COMPUTED_VALUE"""),"Sakit pada paha/Sakit saat berdiri")</f>
        <v>Sakit pada paha/Sakit saat berdiri</v>
      </c>
      <c r="U643" s="36" t="str">
        <f>IFERROR(__xludf.DUMMYFUNCTION("""COMPUTED_VALUE"""),"Sekolah,latihan basket,latihan silat")</f>
        <v>Sekolah,latihan basket,latihan silat</v>
      </c>
      <c r="V643" s="11" t="str">
        <f>IFERROR(__xludf.DUMMYFUNCTION("""COMPUTED_VALUE"""),"081345961427")</f>
        <v>081345961427</v>
      </c>
      <c r="W643" s="15"/>
    </row>
    <row r="644" ht="22.5" customHeight="1">
      <c r="A644" s="8"/>
      <c r="B644" s="9">
        <f>IFERROR(__xludf.DUMMYFUNCTION("""COMPUTED_VALUE"""),45161.41453101852)</f>
        <v>45161.41453</v>
      </c>
      <c r="C644" s="9"/>
      <c r="D644" s="10">
        <f>IFERROR(__xludf.DUMMYFUNCTION("""COMPUTED_VALUE"""),45162.0)</f>
        <v>45162</v>
      </c>
      <c r="E644" s="10" t="str">
        <f>IFERROR(__xludf.DUMMYFUNCTION("""COMPUTED_VALUE"""),"08Agu")</f>
        <v>08Agu</v>
      </c>
      <c r="F644" s="10" t="str">
        <f>IFERROR(__xludf.DUMMYFUNCTION("""COMPUTED_VALUE"""),"2023")</f>
        <v>2023</v>
      </c>
      <c r="G644" s="16" t="str">
        <f>IFERROR(__xludf.DUMMYFUNCTION("""COMPUTED_VALUE"""),"SAMUELSON GILBERT SINAGA")</f>
        <v>SAMUELSON GILBERT SINAGA</v>
      </c>
      <c r="H644" s="17" t="str">
        <f>IFERROR(__xludf.DUMMYFUNCTION("""COMPUTED_VALUE"""),"S0323081644")</f>
        <v>S0323081644</v>
      </c>
      <c r="I644" s="17">
        <f>IFERROR(__xludf.DUMMYFUNCTION("""COMPUTED_VALUE"""),22.0)</f>
        <v>22</v>
      </c>
      <c r="J644" s="17" t="str">
        <f>IFERROR(__xludf.DUMMYFUNCTION("""COMPUTED_VALUE"""),"18-24 tahun")</f>
        <v>18-24 tahun</v>
      </c>
      <c r="K644" s="19">
        <f>IFERROR(__xludf.DUMMYFUNCTION("""COMPUTED_VALUE"""),37961.0)</f>
        <v>37961</v>
      </c>
      <c r="L644" s="19" t="str">
        <f>IFERROR(__xludf.DUMMYFUNCTION("""COMPUTED_VALUE"""),"LAKI-LAKI")</f>
        <v>LAKI-LAKI</v>
      </c>
      <c r="M644" s="16" t="str">
        <f>IFERROR(__xludf.DUMMYFUNCTION("""COMPUTED_VALUE"""),"JL MULIA GG MARLI")</f>
        <v>JL MULIA GG MARLI</v>
      </c>
      <c r="N644" s="16"/>
      <c r="O644" s="16"/>
      <c r="P644" s="16"/>
      <c r="Q644" s="16"/>
      <c r="R644" s="19" t="str">
        <f>IFERROR(__xludf.DUMMYFUNCTION("""COMPUTED_VALUE"""),"PROTESTAN")</f>
        <v>PROTESTAN</v>
      </c>
      <c r="S644" s="16" t="str">
        <f>IFERROR(__xludf.DUMMYFUNCTION("""COMPUTED_VALUE"""),"PELAJAR/MAHASISWA")</f>
        <v>PELAJAR/MAHASISWA</v>
      </c>
      <c r="T644" s="36" t="str">
        <f>IFERROR(__xludf.DUMMYFUNCTION("""COMPUTED_VALUE"""),"FLAT FEET")</f>
        <v>FLAT FEET</v>
      </c>
      <c r="U644" s="16" t="str">
        <f>IFERROR(__xludf.DUMMYFUNCTION("""COMPUTED_VALUE"""),"SEPAK BOLA")</f>
        <v>SEPAK BOLA</v>
      </c>
      <c r="V644" s="11" t="str">
        <f>IFERROR(__xludf.DUMMYFUNCTION("""COMPUTED_VALUE"""),"081347691644")</f>
        <v>081347691644</v>
      </c>
      <c r="W644" s="15"/>
    </row>
    <row r="645" ht="22.5" customHeight="1">
      <c r="A645" s="8"/>
      <c r="B645" s="9">
        <f>IFERROR(__xludf.DUMMYFUNCTION("""COMPUTED_VALUE"""),45164.373852881945)</f>
        <v>45164.37385</v>
      </c>
      <c r="C645" s="9"/>
      <c r="D645" s="10">
        <f>IFERROR(__xludf.DUMMYFUNCTION("""COMPUTED_VALUE"""),45164.0)</f>
        <v>45164</v>
      </c>
      <c r="E645" s="10" t="str">
        <f>IFERROR(__xludf.DUMMYFUNCTION("""COMPUTED_VALUE"""),"08Agu")</f>
        <v>08Agu</v>
      </c>
      <c r="F645" s="10" t="str">
        <f>IFERROR(__xludf.DUMMYFUNCTION("""COMPUTED_VALUE"""),"2023")</f>
        <v>2023</v>
      </c>
      <c r="G645" s="16" t="str">
        <f>IFERROR(__xludf.DUMMYFUNCTION("""COMPUTED_VALUE"""),"MUHAMMAD RAIHAN")</f>
        <v>MUHAMMAD RAIHAN</v>
      </c>
      <c r="H645" s="17" t="str">
        <f>IFERROR(__xludf.DUMMYFUNCTION("""COMPUTED_VALUE"""),"M9723088679")</f>
        <v>M9723088679</v>
      </c>
      <c r="I645" s="17">
        <f>IFERROR(__xludf.DUMMYFUNCTION("""COMPUTED_VALUE"""),28.0)</f>
        <v>28</v>
      </c>
      <c r="J645" s="17" t="str">
        <f>IFERROR(__xludf.DUMMYFUNCTION("""COMPUTED_VALUE"""),"25-34 tahun")</f>
        <v>25-34 tahun</v>
      </c>
      <c r="K645" s="19">
        <f>IFERROR(__xludf.DUMMYFUNCTION("""COMPUTED_VALUE"""),35700.0)</f>
        <v>35700</v>
      </c>
      <c r="L645" s="19" t="str">
        <f>IFERROR(__xludf.DUMMYFUNCTION("""COMPUTED_VALUE"""),"LAKI-LAKI")</f>
        <v>LAKI-LAKI</v>
      </c>
      <c r="M645" s="16" t="str">
        <f>IFERROR(__xludf.DUMMYFUNCTION("""COMPUTED_VALUE"""),"JL DANAU SENTARUM GG NURHADI 1 NO 14")</f>
        <v>JL DANAU SENTARUM GG NURHADI 1 NO 14</v>
      </c>
      <c r="N645" s="16"/>
      <c r="O645" s="16"/>
      <c r="P645" s="16"/>
      <c r="Q645" s="16"/>
      <c r="R645" s="19" t="str">
        <f>IFERROR(__xludf.DUMMYFUNCTION("""COMPUTED_VALUE"""),"ISLAM")</f>
        <v>ISLAM</v>
      </c>
      <c r="S645" s="16" t="str">
        <f>IFERROR(__xludf.DUMMYFUNCTION("""COMPUTED_VALUE"""),"")</f>
        <v/>
      </c>
      <c r="T645" s="36" t="str">
        <f>IFERROR(__xludf.DUMMYFUNCTION("""COMPUTED_VALUE"""),"- TUNGKAI BAWAH")</f>
        <v>- TUNGKAI BAWAH</v>
      </c>
      <c r="U645" s="16" t="str">
        <f>IFERROR(__xludf.DUMMYFUNCTION("""COMPUTED_VALUE"""),"")</f>
        <v/>
      </c>
      <c r="V645" s="11" t="str">
        <f>IFERROR(__xludf.DUMMYFUNCTION("""COMPUTED_VALUE"""),"085211528679")</f>
        <v>085211528679</v>
      </c>
      <c r="W645" s="15"/>
    </row>
    <row r="646" ht="22.5" customHeight="1">
      <c r="A646" s="8"/>
      <c r="B646" s="9">
        <f>IFERROR(__xludf.DUMMYFUNCTION("""COMPUTED_VALUE"""),45164.41758267361)</f>
        <v>45164.41758</v>
      </c>
      <c r="C646" s="9"/>
      <c r="D646" s="10">
        <f>IFERROR(__xludf.DUMMYFUNCTION("""COMPUTED_VALUE"""),45164.0)</f>
        <v>45164</v>
      </c>
      <c r="E646" s="10" t="str">
        <f>IFERROR(__xludf.DUMMYFUNCTION("""COMPUTED_VALUE"""),"08Agu")</f>
        <v>08Agu</v>
      </c>
      <c r="F646" s="10" t="str">
        <f>IFERROR(__xludf.DUMMYFUNCTION("""COMPUTED_VALUE"""),"2023")</f>
        <v>2023</v>
      </c>
      <c r="G646" s="16" t="str">
        <f>IFERROR(__xludf.DUMMYFUNCTION("""COMPUTED_VALUE"""),"FIKRI AKIFA PERMANA")</f>
        <v>FIKRI AKIFA PERMANA</v>
      </c>
      <c r="H646" s="17" t="str">
        <f>IFERROR(__xludf.DUMMYFUNCTION("""COMPUTED_VALUE"""),"F0423083055")</f>
        <v>F0423083055</v>
      </c>
      <c r="I646" s="17">
        <f>IFERROR(__xludf.DUMMYFUNCTION("""COMPUTED_VALUE"""),21.0)</f>
        <v>21</v>
      </c>
      <c r="J646" s="17" t="str">
        <f>IFERROR(__xludf.DUMMYFUNCTION("""COMPUTED_VALUE"""),"18-24 tahun")</f>
        <v>18-24 tahun</v>
      </c>
      <c r="K646" s="19">
        <f>IFERROR(__xludf.DUMMYFUNCTION("""COMPUTED_VALUE"""),38219.0)</f>
        <v>38219</v>
      </c>
      <c r="L646" s="19" t="str">
        <f>IFERROR(__xludf.DUMMYFUNCTION("""COMPUTED_VALUE"""),"LAKI-LAKI")</f>
        <v>LAKI-LAKI</v>
      </c>
      <c r="M646" s="16" t="str">
        <f>IFERROR(__xludf.DUMMYFUNCTION("""COMPUTED_VALUE"""),"Jl kacang gg melur1 no.20")</f>
        <v>Jl kacang gg melur1 no.20</v>
      </c>
      <c r="N646" s="16"/>
      <c r="O646" s="16"/>
      <c r="P646" s="16"/>
      <c r="Q646" s="16"/>
      <c r="R646" s="19" t="str">
        <f>IFERROR(__xludf.DUMMYFUNCTION("""COMPUTED_VALUE"""),"ISLAM")</f>
        <v>ISLAM</v>
      </c>
      <c r="S646" s="16" t="str">
        <f>IFERROR(__xludf.DUMMYFUNCTION("""COMPUTED_VALUE"""),"PELAJAR/MAHASISWA")</f>
        <v>PELAJAR/MAHASISWA</v>
      </c>
      <c r="T646" s="16" t="str">
        <f>IFERROR(__xludf.DUMMYFUNCTION("""COMPUTED_VALUE"""),"SAKIT DAN NGERI DI BAGIAN KAKI")</f>
        <v>SAKIT DAN NGERI DI BAGIAN KAKI</v>
      </c>
      <c r="U646" s="36" t="str">
        <f>IFERROR(__xludf.DUMMYFUNCTION("""COMPUTED_VALUE"""),"OLAHRAGA")</f>
        <v>OLAHRAGA</v>
      </c>
      <c r="V646" s="11" t="str">
        <f>IFERROR(__xludf.DUMMYFUNCTION("""COMPUTED_VALUE"""),"082151393055")</f>
        <v>082151393055</v>
      </c>
      <c r="W646" s="15"/>
    </row>
    <row r="647" ht="22.5" customHeight="1">
      <c r="A647" s="8"/>
      <c r="B647" s="9">
        <f>IFERROR(__xludf.DUMMYFUNCTION("""COMPUTED_VALUE"""),45164.660087627315)</f>
        <v>45164.66009</v>
      </c>
      <c r="C647" s="9"/>
      <c r="D647" s="10">
        <f>IFERROR(__xludf.DUMMYFUNCTION("""COMPUTED_VALUE"""),45164.0)</f>
        <v>45164</v>
      </c>
      <c r="E647" s="10" t="str">
        <f>IFERROR(__xludf.DUMMYFUNCTION("""COMPUTED_VALUE"""),"08Agu")</f>
        <v>08Agu</v>
      </c>
      <c r="F647" s="10" t="str">
        <f>IFERROR(__xludf.DUMMYFUNCTION("""COMPUTED_VALUE"""),"2023")</f>
        <v>2023</v>
      </c>
      <c r="G647" s="16" t="str">
        <f>IFERROR(__xludf.DUMMYFUNCTION("""COMPUTED_VALUE"""),"ANGGA WIYONO")</f>
        <v>ANGGA WIYONO</v>
      </c>
      <c r="H647" s="17" t="str">
        <f>IFERROR(__xludf.DUMMYFUNCTION("""COMPUTED_VALUE"""),"A9523086008")</f>
        <v>A9523086008</v>
      </c>
      <c r="I647" s="17">
        <f>IFERROR(__xludf.DUMMYFUNCTION("""COMPUTED_VALUE"""),30.0)</f>
        <v>30</v>
      </c>
      <c r="J647" s="17" t="str">
        <f>IFERROR(__xludf.DUMMYFUNCTION("""COMPUTED_VALUE"""),"25-34 tahun")</f>
        <v>25-34 tahun</v>
      </c>
      <c r="K647" s="19">
        <f>IFERROR(__xludf.DUMMYFUNCTION("""COMPUTED_VALUE"""),34887.0)</f>
        <v>34887</v>
      </c>
      <c r="L647" s="19" t="str">
        <f>IFERROR(__xludf.DUMMYFUNCTION("""COMPUTED_VALUE"""),"LAKI-LAKI")</f>
        <v>LAKI-LAKI</v>
      </c>
      <c r="M647" s="16" t="str">
        <f>IFERROR(__xludf.DUMMYFUNCTION("""COMPUTED_VALUE"""),"Jl Danau Sentarum Komp Sentarum Mandiri no A30")</f>
        <v>Jl Danau Sentarum Komp Sentarum Mandiri no A30</v>
      </c>
      <c r="N647" s="16"/>
      <c r="O647" s="16"/>
      <c r="P647" s="16"/>
      <c r="Q647" s="16"/>
      <c r="R647" s="19" t="str">
        <f>IFERROR(__xludf.DUMMYFUNCTION("""COMPUTED_VALUE"""),"ISLAM")</f>
        <v>ISLAM</v>
      </c>
      <c r="S647" s="16" t="str">
        <f>IFERROR(__xludf.DUMMYFUNCTION("""COMPUTED_VALUE"""),"TNI/POLRI")</f>
        <v>TNI/POLRI</v>
      </c>
      <c r="T647" s="16" t="str">
        <f>IFERROR(__xludf.DUMMYFUNCTION("""COMPUTED_VALUE"""),"SAKIT PINGGANG BELAKAKNG")</f>
        <v>SAKIT PINGGANG BELAKAKNG</v>
      </c>
      <c r="U647" s="16" t="str">
        <f>IFERROR(__xludf.DUMMYFUNCTION("""COMPUTED_VALUE"""),"TENNIS LAPANAGN")</f>
        <v>TENNIS LAPANAGN</v>
      </c>
      <c r="V647" s="11" t="str">
        <f>IFERROR(__xludf.DUMMYFUNCTION("""COMPUTED_VALUE"""),"081328586008")</f>
        <v>081328586008</v>
      </c>
      <c r="W647" s="15"/>
    </row>
    <row r="648" ht="22.5" customHeight="1">
      <c r="A648" s="8"/>
      <c r="B648" s="9">
        <f>IFERROR(__xludf.DUMMYFUNCTION("""COMPUTED_VALUE"""),45164.76786175926)</f>
        <v>45164.76786</v>
      </c>
      <c r="C648" s="9"/>
      <c r="D648" s="10">
        <f>IFERROR(__xludf.DUMMYFUNCTION("""COMPUTED_VALUE"""),45164.0)</f>
        <v>45164</v>
      </c>
      <c r="E648" s="10" t="str">
        <f>IFERROR(__xludf.DUMMYFUNCTION("""COMPUTED_VALUE"""),"08Agu")</f>
        <v>08Agu</v>
      </c>
      <c r="F648" s="10" t="str">
        <f>IFERROR(__xludf.DUMMYFUNCTION("""COMPUTED_VALUE"""),"2023")</f>
        <v>2023</v>
      </c>
      <c r="G648" s="16" t="str">
        <f>IFERROR(__xludf.DUMMYFUNCTION("""COMPUTED_VALUE"""),"LUHUR FARAYTODI")</f>
        <v>LUHUR FARAYTODI</v>
      </c>
      <c r="H648" s="17" t="str">
        <f>IFERROR(__xludf.DUMMYFUNCTION("""COMPUTED_VALUE"""),"L7923085495")</f>
        <v>L7923085495</v>
      </c>
      <c r="I648" s="17">
        <f>IFERROR(__xludf.DUMMYFUNCTION("""COMPUTED_VALUE"""),46.0)</f>
        <v>46</v>
      </c>
      <c r="J648" s="17" t="str">
        <f>IFERROR(__xludf.DUMMYFUNCTION("""COMPUTED_VALUE"""),"&gt; 44 tahun")</f>
        <v>&gt; 44 tahun</v>
      </c>
      <c r="K648" s="19">
        <f>IFERROR(__xludf.DUMMYFUNCTION("""COMPUTED_VALUE"""),29120.0)</f>
        <v>29120</v>
      </c>
      <c r="L648" s="19" t="str">
        <f>IFERROR(__xludf.DUMMYFUNCTION("""COMPUTED_VALUE"""),"LAKI-LAKI")</f>
        <v>LAKI-LAKI</v>
      </c>
      <c r="M648" s="16" t="str">
        <f>IFERROR(__xludf.DUMMYFUNCTION("""COMPUTED_VALUE"""),"Jalan sultan jalaludin ketapang")</f>
        <v>Jalan sultan jalaludin ketapang</v>
      </c>
      <c r="N648" s="16"/>
      <c r="O648" s="16"/>
      <c r="P648" s="16"/>
      <c r="Q648" s="16"/>
      <c r="R648" s="19" t="str">
        <f>IFERROR(__xludf.DUMMYFUNCTION("""COMPUTED_VALUE"""),"ISLAM")</f>
        <v>ISLAM</v>
      </c>
      <c r="S648" s="16" t="str">
        <f>IFERROR(__xludf.DUMMYFUNCTION("""COMPUTED_VALUE"""),"ASN")</f>
        <v>ASN</v>
      </c>
      <c r="T648" s="16" t="str">
        <f>IFERROR(__xludf.DUMMYFUNCTION("""COMPUTED_VALUE"""),"SAKIT BETIS")</f>
        <v>SAKIT BETIS</v>
      </c>
      <c r="U648" s="16" t="str">
        <f>IFERROR(__xludf.DUMMYFUNCTION("""COMPUTED_VALUE"""),"JALAN KAKI")</f>
        <v>JALAN KAKI</v>
      </c>
      <c r="V648" s="11" t="str">
        <f>IFERROR(__xludf.DUMMYFUNCTION("""COMPUTED_VALUE"""),"081348685495")</f>
        <v>081348685495</v>
      </c>
      <c r="W648" s="15"/>
    </row>
    <row r="649" ht="22.5" customHeight="1">
      <c r="A649" s="8"/>
      <c r="B649" s="9">
        <f>IFERROR(__xludf.DUMMYFUNCTION("""COMPUTED_VALUE"""),45164.9030491088)</f>
        <v>45164.90305</v>
      </c>
      <c r="C649" s="9"/>
      <c r="D649" s="10">
        <f>IFERROR(__xludf.DUMMYFUNCTION("""COMPUTED_VALUE"""),45164.0)</f>
        <v>45164</v>
      </c>
      <c r="E649" s="10" t="str">
        <f>IFERROR(__xludf.DUMMYFUNCTION("""COMPUTED_VALUE"""),"08Agu")</f>
        <v>08Agu</v>
      </c>
      <c r="F649" s="10" t="str">
        <f>IFERROR(__xludf.DUMMYFUNCTION("""COMPUTED_VALUE"""),"2023")</f>
        <v>2023</v>
      </c>
      <c r="G649" s="16" t="str">
        <f>IFERROR(__xludf.DUMMYFUNCTION("""COMPUTED_VALUE"""),"NAZWA ATHAYA RAMADHANI")</f>
        <v>NAZWA ATHAYA RAMADHANI</v>
      </c>
      <c r="H649" s="17" t="str">
        <f>IFERROR(__xludf.DUMMYFUNCTION("""COMPUTED_VALUE"""),"N0623082779")</f>
        <v>N0623082779</v>
      </c>
      <c r="I649" s="17">
        <f>IFERROR(__xludf.DUMMYFUNCTION("""COMPUTED_VALUE"""),19.0)</f>
        <v>19</v>
      </c>
      <c r="J649" s="17" t="str">
        <f>IFERROR(__xludf.DUMMYFUNCTION("""COMPUTED_VALUE"""),"18-24 tahun")</f>
        <v>18-24 tahun</v>
      </c>
      <c r="K649" s="19">
        <f>IFERROR(__xludf.DUMMYFUNCTION("""COMPUTED_VALUE"""),39002.0)</f>
        <v>39002</v>
      </c>
      <c r="L649" s="19" t="str">
        <f>IFERROR(__xludf.DUMMYFUNCTION("""COMPUTED_VALUE"""),"PEREMPUAN")</f>
        <v>PEREMPUAN</v>
      </c>
      <c r="M649" s="16" t="str">
        <f>IFERROR(__xludf.DUMMYFUNCTION("""COMPUTED_VALUE"""),"Jl. Sutan Syahrir GG. Rawasari 1 no 15a")</f>
        <v>Jl. Sutan Syahrir GG. Rawasari 1 no 15a</v>
      </c>
      <c r="N649" s="16"/>
      <c r="O649" s="16"/>
      <c r="P649" s="16"/>
      <c r="Q649" s="16"/>
      <c r="R649" s="19" t="str">
        <f>IFERROR(__xludf.DUMMYFUNCTION("""COMPUTED_VALUE"""),"ISLAM")</f>
        <v>ISLAM</v>
      </c>
      <c r="S649" s="16" t="str">
        <f>IFERROR(__xludf.DUMMYFUNCTION("""COMPUTED_VALUE"""),"PELAJAR/MAHASISWA")</f>
        <v>PELAJAR/MAHASISWA</v>
      </c>
      <c r="T649" s="36" t="str">
        <f>IFERROR(__xludf.DUMMYFUNCTION("""COMPUTED_VALUE"""),"TERKILIR JATUH DARI MOTOR")</f>
        <v>TERKILIR JATUH DARI MOTOR</v>
      </c>
      <c r="U649" s="16" t="str">
        <f>IFERROR(__xludf.DUMMYFUNCTION("""COMPUTED_VALUE"""),"MAIN")</f>
        <v>MAIN</v>
      </c>
      <c r="V649" s="11" t="str">
        <f>IFERROR(__xludf.DUMMYFUNCTION("""COMPUTED_VALUE"""),"081345152779")</f>
        <v>081345152779</v>
      </c>
      <c r="W649" s="15"/>
    </row>
    <row r="650" ht="22.5" customHeight="1">
      <c r="A650" s="8"/>
      <c r="B650" s="9">
        <f>IFERROR(__xludf.DUMMYFUNCTION("""COMPUTED_VALUE"""),45165.416298067124)</f>
        <v>45165.4163</v>
      </c>
      <c r="C650" s="9"/>
      <c r="D650" s="10">
        <f>IFERROR(__xludf.DUMMYFUNCTION("""COMPUTED_VALUE"""),45164.0)</f>
        <v>45164</v>
      </c>
      <c r="E650" s="10" t="str">
        <f>IFERROR(__xludf.DUMMYFUNCTION("""COMPUTED_VALUE"""),"08Agu")</f>
        <v>08Agu</v>
      </c>
      <c r="F650" s="10" t="str">
        <f>IFERROR(__xludf.DUMMYFUNCTION("""COMPUTED_VALUE"""),"2023")</f>
        <v>2023</v>
      </c>
      <c r="G650" s="16" t="str">
        <f>IFERROR(__xludf.DUMMYFUNCTION("""COMPUTED_VALUE"""),"YOSEVIN EVI")</f>
        <v>YOSEVIN EVI</v>
      </c>
      <c r="H650" s="17" t="str">
        <f>IFERROR(__xludf.DUMMYFUNCTION("""COMPUTED_VALUE"""),"Y7423082591")</f>
        <v>Y7423082591</v>
      </c>
      <c r="I650" s="17">
        <f>IFERROR(__xludf.DUMMYFUNCTION("""COMPUTED_VALUE"""),52.0)</f>
        <v>52</v>
      </c>
      <c r="J650" s="17" t="str">
        <f>IFERROR(__xludf.DUMMYFUNCTION("""COMPUTED_VALUE"""),"&gt; 44 tahun")</f>
        <v>&gt; 44 tahun</v>
      </c>
      <c r="K650" s="19">
        <f>IFERROR(__xludf.DUMMYFUNCTION("""COMPUTED_VALUE"""),27183.0)</f>
        <v>27183</v>
      </c>
      <c r="L650" s="19" t="str">
        <f>IFERROR(__xludf.DUMMYFUNCTION("""COMPUTED_VALUE"""),"PEREMPUAN")</f>
        <v>PEREMPUAN</v>
      </c>
      <c r="M650" s="16" t="str">
        <f>IFERROR(__xludf.DUMMYFUNCTION("""COMPUTED_VALUE"""),"Dusun Limpahung Desa Sebadu Kec. Mandor Kab. Landak")</f>
        <v>Dusun Limpahung Desa Sebadu Kec. Mandor Kab. Landak</v>
      </c>
      <c r="N650" s="16"/>
      <c r="O650" s="16"/>
      <c r="P650" s="16"/>
      <c r="Q650" s="16"/>
      <c r="R650" s="19" t="str">
        <f>IFERROR(__xludf.DUMMYFUNCTION("""COMPUTED_VALUE"""),"PROTESTAN")</f>
        <v>PROTESTAN</v>
      </c>
      <c r="S650" s="16" t="str">
        <f>IFERROR(__xludf.DUMMYFUNCTION("""COMPUTED_VALUE"""),"DOSEN/GURU")</f>
        <v>DOSEN/GURU</v>
      </c>
      <c r="T650" s="16" t="str">
        <f>IFERROR(__xludf.DUMMYFUNCTION("""COMPUTED_VALUE"""),"SARAF TERJEPIT")</f>
        <v>SARAF TERJEPIT</v>
      </c>
      <c r="U650" s="16" t="str">
        <f>IFERROR(__xludf.DUMMYFUNCTION("""COMPUTED_VALUE"""),"PENDIDIK")</f>
        <v>PENDIDIK</v>
      </c>
      <c r="V650" s="11" t="str">
        <f>IFERROR(__xludf.DUMMYFUNCTION("""COMPUTED_VALUE"""),"085820632591")</f>
        <v>085820632591</v>
      </c>
      <c r="W650" s="15"/>
    </row>
    <row r="651" ht="22.5" customHeight="1">
      <c r="A651" s="8"/>
      <c r="B651" s="9">
        <f>IFERROR(__xludf.DUMMYFUNCTION("""COMPUTED_VALUE"""),45165.55244119213)</f>
        <v>45165.55244</v>
      </c>
      <c r="C651" s="9"/>
      <c r="D651" s="10">
        <f>IFERROR(__xludf.DUMMYFUNCTION("""COMPUTED_VALUE"""),45164.0)</f>
        <v>45164</v>
      </c>
      <c r="E651" s="10" t="str">
        <f>IFERROR(__xludf.DUMMYFUNCTION("""COMPUTED_VALUE"""),"08Agu")</f>
        <v>08Agu</v>
      </c>
      <c r="F651" s="10" t="str">
        <f>IFERROR(__xludf.DUMMYFUNCTION("""COMPUTED_VALUE"""),"2023")</f>
        <v>2023</v>
      </c>
      <c r="G651" s="16" t="str">
        <f>IFERROR(__xludf.DUMMYFUNCTION("""COMPUTED_VALUE"""),"SUMADI PHUANTINUS")</f>
        <v>SUMADI PHUANTINUS</v>
      </c>
      <c r="H651" s="17" t="str">
        <f>IFERROR(__xludf.DUMMYFUNCTION("""COMPUTED_VALUE"""),"S7123080288")</f>
        <v>S7123080288</v>
      </c>
      <c r="I651" s="17">
        <f>IFERROR(__xludf.DUMMYFUNCTION("""COMPUTED_VALUE"""),55.0)</f>
        <v>55</v>
      </c>
      <c r="J651" s="17" t="str">
        <f>IFERROR(__xludf.DUMMYFUNCTION("""COMPUTED_VALUE"""),"&gt; 44 tahun")</f>
        <v>&gt; 44 tahun</v>
      </c>
      <c r="K651" s="19">
        <f>IFERROR(__xludf.DUMMYFUNCTION("""COMPUTED_VALUE"""),25934.0)</f>
        <v>25934</v>
      </c>
      <c r="L651" s="19" t="str">
        <f>IFERROR(__xludf.DUMMYFUNCTION("""COMPUTED_VALUE"""),"LAKI-LAKI")</f>
        <v>LAKI-LAKI</v>
      </c>
      <c r="M651" s="16" t="str">
        <f>IFERROR(__xludf.DUMMYFUNCTION("""COMPUTED_VALUE"""),"JL. SUI RAYA DALAM GG. CERIA NO. 4")</f>
        <v>JL. SUI RAYA DALAM GG. CERIA NO. 4</v>
      </c>
      <c r="N651" s="16"/>
      <c r="O651" s="16"/>
      <c r="P651" s="16"/>
      <c r="Q651" s="16"/>
      <c r="R651" s="19" t="str">
        <f>IFERROR(__xludf.DUMMYFUNCTION("""COMPUTED_VALUE"""),"KATOLIK")</f>
        <v>KATOLIK</v>
      </c>
      <c r="S651" s="16" t="str">
        <f>IFERROR(__xludf.DUMMYFUNCTION("""COMPUTED_VALUE"""),"SWASTA")</f>
        <v>SWASTA</v>
      </c>
      <c r="T651" s="16" t="str">
        <f>IFERROR(__xludf.DUMMYFUNCTION("""COMPUTED_VALUE"""),"JARI")</f>
        <v>JARI</v>
      </c>
      <c r="U651" s="16" t="str">
        <f>IFERROR(__xludf.DUMMYFUNCTION("""COMPUTED_VALUE"""),"-")</f>
        <v>-</v>
      </c>
      <c r="V651" s="11" t="str">
        <f>IFERROR(__xludf.DUMMYFUNCTION("""COMPUTED_VALUE"""),"081345420288")</f>
        <v>081345420288</v>
      </c>
      <c r="W651" s="15"/>
    </row>
    <row r="652" ht="22.5" customHeight="1">
      <c r="A652" s="8"/>
      <c r="B652" s="9">
        <f>IFERROR(__xludf.DUMMYFUNCTION("""COMPUTED_VALUE"""),45166.38357034722)</f>
        <v>45166.38357</v>
      </c>
      <c r="C652" s="9"/>
      <c r="D652" s="10">
        <f>IFERROR(__xludf.DUMMYFUNCTION("""COMPUTED_VALUE"""),45165.0)</f>
        <v>45165</v>
      </c>
      <c r="E652" s="10" t="str">
        <f>IFERROR(__xludf.DUMMYFUNCTION("""COMPUTED_VALUE"""),"08Agu")</f>
        <v>08Agu</v>
      </c>
      <c r="F652" s="10" t="str">
        <f>IFERROR(__xludf.DUMMYFUNCTION("""COMPUTED_VALUE"""),"2023")</f>
        <v>2023</v>
      </c>
      <c r="G652" s="16" t="str">
        <f>IFERROR(__xludf.DUMMYFUNCTION("""COMPUTED_VALUE"""),"ANDRY SUSANTO")</f>
        <v>ANDRY SUSANTO</v>
      </c>
      <c r="H652" s="17" t="str">
        <f>IFERROR(__xludf.DUMMYFUNCTION("""COMPUTED_VALUE"""),"A8223089383")</f>
        <v>A8223089383</v>
      </c>
      <c r="I652" s="17">
        <f>IFERROR(__xludf.DUMMYFUNCTION("""COMPUTED_VALUE"""),43.0)</f>
        <v>43</v>
      </c>
      <c r="J652" s="17" t="str">
        <f>IFERROR(__xludf.DUMMYFUNCTION("""COMPUTED_VALUE"""),"35-44 tahun")</f>
        <v>35-44 tahun</v>
      </c>
      <c r="K652" s="19">
        <f>IFERROR(__xludf.DUMMYFUNCTION("""COMPUTED_VALUE"""),30285.0)</f>
        <v>30285</v>
      </c>
      <c r="L652" s="19" t="str">
        <f>IFERROR(__xludf.DUMMYFUNCTION("""COMPUTED_VALUE"""),"LAKI-LAKI")</f>
        <v>LAKI-LAKI</v>
      </c>
      <c r="M652" s="16" t="str">
        <f>IFERROR(__xludf.DUMMYFUNCTION("""COMPUTED_VALUE"""),"Jl purnama gg purnama 2a no 2")</f>
        <v>Jl purnama gg purnama 2a no 2</v>
      </c>
      <c r="N652" s="16"/>
      <c r="O652" s="16"/>
      <c r="P652" s="16"/>
      <c r="Q652" s="16"/>
      <c r="R652" s="19" t="str">
        <f>IFERROR(__xludf.DUMMYFUNCTION("""COMPUTED_VALUE"""),"ISLAM")</f>
        <v>ISLAM</v>
      </c>
      <c r="S652" s="16" t="str">
        <f>IFERROR(__xludf.DUMMYFUNCTION("""COMPUTED_VALUE"""),"SWASTA")</f>
        <v>SWASTA</v>
      </c>
      <c r="T652" s="16" t="str">
        <f>IFERROR(__xludf.DUMMYFUNCTION("""COMPUTED_VALUE"""),"KAKI SAKIT")</f>
        <v>KAKI SAKIT</v>
      </c>
      <c r="U652" s="16" t="str">
        <f>IFERROR(__xludf.DUMMYFUNCTION("""COMPUTED_VALUE"""),"KERJA")</f>
        <v>KERJA</v>
      </c>
      <c r="V652" s="11" t="str">
        <f>IFERROR(__xludf.DUMMYFUNCTION("""COMPUTED_VALUE"""),"085252699383")</f>
        <v>085252699383</v>
      </c>
      <c r="W652" s="15"/>
    </row>
    <row r="653" ht="22.5" customHeight="1">
      <c r="A653" s="8"/>
      <c r="B653" s="9">
        <f>IFERROR(__xludf.DUMMYFUNCTION("""COMPUTED_VALUE"""),45166.3849759375)</f>
        <v>45166.38498</v>
      </c>
      <c r="C653" s="9"/>
      <c r="D653" s="10">
        <f>IFERROR(__xludf.DUMMYFUNCTION("""COMPUTED_VALUE"""),45165.0)</f>
        <v>45165</v>
      </c>
      <c r="E653" s="10" t="str">
        <f>IFERROR(__xludf.DUMMYFUNCTION("""COMPUTED_VALUE"""),"08Agu")</f>
        <v>08Agu</v>
      </c>
      <c r="F653" s="10" t="str">
        <f>IFERROR(__xludf.DUMMYFUNCTION("""COMPUTED_VALUE"""),"2023")</f>
        <v>2023</v>
      </c>
      <c r="G653" s="16" t="str">
        <f>IFERROR(__xludf.DUMMYFUNCTION("""COMPUTED_VALUE"""),"CUT NASRULI AZARIA")</f>
        <v>CUT NASRULI AZARIA</v>
      </c>
      <c r="H653" s="17" t="str">
        <f>IFERROR(__xludf.DUMMYFUNCTION("""COMPUTED_VALUE"""),"C9423082008")</f>
        <v>C9423082008</v>
      </c>
      <c r="I653" s="17">
        <f>IFERROR(__xludf.DUMMYFUNCTION("""COMPUTED_VALUE"""),31.0)</f>
        <v>31</v>
      </c>
      <c r="J653" s="17" t="str">
        <f>IFERROR(__xludf.DUMMYFUNCTION("""COMPUTED_VALUE"""),"25-34 tahun")</f>
        <v>25-34 tahun</v>
      </c>
      <c r="K653" s="19">
        <f>IFERROR(__xludf.DUMMYFUNCTION("""COMPUTED_VALUE"""),34618.0)</f>
        <v>34618</v>
      </c>
      <c r="L653" s="19" t="str">
        <f>IFERROR(__xludf.DUMMYFUNCTION("""COMPUTED_VALUE"""),"PEREMPUAN")</f>
        <v>PEREMPUAN</v>
      </c>
      <c r="M653" s="16" t="str">
        <f>IFERROR(__xludf.DUMMYFUNCTION("""COMPUTED_VALUE"""),"jl suka mulya komplek sepakat mulia no 6")</f>
        <v>jl suka mulya komplek sepakat mulia no 6</v>
      </c>
      <c r="N653" s="16"/>
      <c r="O653" s="16"/>
      <c r="P653" s="16"/>
      <c r="Q653" s="16"/>
      <c r="R653" s="19" t="str">
        <f>IFERROR(__xludf.DUMMYFUNCTION("""COMPUTED_VALUE"""),"ISLAM")</f>
        <v>ISLAM</v>
      </c>
      <c r="S653" s="16" t="str">
        <f>IFERROR(__xludf.DUMMYFUNCTION("""COMPUTED_VALUE"""),"WIRASWASTA")</f>
        <v>WIRASWASTA</v>
      </c>
      <c r="T653" s="16" t="str">
        <f>IFERROR(__xludf.DUMMYFUNCTION("""COMPUTED_VALUE"""),"BUNGKUK, NYERI TULANG BELAKANG")</f>
        <v>BUNGKUK, NYERI TULANG BELAKANG</v>
      </c>
      <c r="U653" s="16" t="str">
        <f>IFERROR(__xludf.DUMMYFUNCTION("""COMPUTED_VALUE"""),"BEKERJA")</f>
        <v>BEKERJA</v>
      </c>
      <c r="V653" s="11" t="str">
        <f>IFERROR(__xludf.DUMMYFUNCTION("""COMPUTED_VALUE"""),"08888762008")</f>
        <v>08888762008</v>
      </c>
      <c r="W653" s="15"/>
    </row>
    <row r="654" ht="22.5" customHeight="1">
      <c r="A654" s="8"/>
      <c r="B654" s="9">
        <f>IFERROR(__xludf.DUMMYFUNCTION("""COMPUTED_VALUE"""),45166.429847604166)</f>
        <v>45166.42985</v>
      </c>
      <c r="C654" s="9"/>
      <c r="D654" s="10">
        <f>IFERROR(__xludf.DUMMYFUNCTION("""COMPUTED_VALUE"""),45165.0)</f>
        <v>45165</v>
      </c>
      <c r="E654" s="10" t="str">
        <f>IFERROR(__xludf.DUMMYFUNCTION("""COMPUTED_VALUE"""),"08Agu")</f>
        <v>08Agu</v>
      </c>
      <c r="F654" s="10" t="str">
        <f>IFERROR(__xludf.DUMMYFUNCTION("""COMPUTED_VALUE"""),"2023")</f>
        <v>2023</v>
      </c>
      <c r="G654" s="16" t="str">
        <f>IFERROR(__xludf.DUMMYFUNCTION("""COMPUTED_VALUE"""),"MEIGA FITRIANTI")</f>
        <v>MEIGA FITRIANTI</v>
      </c>
      <c r="H654" s="17" t="str">
        <f>IFERROR(__xludf.DUMMYFUNCTION("""COMPUTED_VALUE"""),"M8823080525")</f>
        <v>M8823080525</v>
      </c>
      <c r="I654" s="17">
        <f>IFERROR(__xludf.DUMMYFUNCTION("""COMPUTED_VALUE"""),38.0)</f>
        <v>38</v>
      </c>
      <c r="J654" s="17" t="str">
        <f>IFERROR(__xludf.DUMMYFUNCTION("""COMPUTED_VALUE"""),"35-44 tahun")</f>
        <v>35-44 tahun</v>
      </c>
      <c r="K654" s="19">
        <f>IFERROR(__xludf.DUMMYFUNCTION("""COMPUTED_VALUE"""),32278.0)</f>
        <v>32278</v>
      </c>
      <c r="L654" s="19" t="str">
        <f>IFERROR(__xludf.DUMMYFUNCTION("""COMPUTED_VALUE"""),"PEREMPUAN")</f>
        <v>PEREMPUAN</v>
      </c>
      <c r="M654" s="16" t="str">
        <f>IFERROR(__xludf.DUMMYFUNCTION("""COMPUTED_VALUE"""),"Desa Balai Karangan Kec.Sekayam Kab.Sanggau")</f>
        <v>Desa Balai Karangan Kec.Sekayam Kab.Sanggau</v>
      </c>
      <c r="N654" s="16"/>
      <c r="O654" s="16"/>
      <c r="P654" s="16"/>
      <c r="Q654" s="16"/>
      <c r="R654" s="19" t="str">
        <f>IFERROR(__xludf.DUMMYFUNCTION("""COMPUTED_VALUE"""),"ISLAM")</f>
        <v>ISLAM</v>
      </c>
      <c r="S654" s="16" t="str">
        <f>IFERROR(__xludf.DUMMYFUNCTION("""COMPUTED_VALUE"""),"RUMAH TANGGA")</f>
        <v>RUMAH TANGGA</v>
      </c>
      <c r="T654" s="16" t="str">
        <f>IFERROR(__xludf.DUMMYFUNCTION("""COMPUTED_VALUE"""),"SAKIT PINGGANG")</f>
        <v>SAKIT PINGGANG</v>
      </c>
      <c r="U654" s="16" t="str">
        <f>IFERROR(__xludf.DUMMYFUNCTION("""COMPUTED_VALUE"""),"KEGIATAN RUMAH TANGGA")</f>
        <v>KEGIATAN RUMAH TANGGA</v>
      </c>
      <c r="V654" s="11" t="str">
        <f>IFERROR(__xludf.DUMMYFUNCTION("""COMPUTED_VALUE"""),"081350040525")</f>
        <v>081350040525</v>
      </c>
      <c r="W654" s="15"/>
    </row>
    <row r="655" ht="22.5" customHeight="1">
      <c r="A655" s="8"/>
      <c r="B655" s="9">
        <f>IFERROR(__xludf.DUMMYFUNCTION("""COMPUTED_VALUE"""),45166.67750520833)</f>
        <v>45166.67751</v>
      </c>
      <c r="C655" s="9"/>
      <c r="D655" s="10">
        <f>IFERROR(__xludf.DUMMYFUNCTION("""COMPUTED_VALUE"""),45166.0)</f>
        <v>45166</v>
      </c>
      <c r="E655" s="10" t="str">
        <f>IFERROR(__xludf.DUMMYFUNCTION("""COMPUTED_VALUE"""),"08Agu")</f>
        <v>08Agu</v>
      </c>
      <c r="F655" s="10" t="str">
        <f>IFERROR(__xludf.DUMMYFUNCTION("""COMPUTED_VALUE"""),"2023")</f>
        <v>2023</v>
      </c>
      <c r="G655" s="16" t="str">
        <f>IFERROR(__xludf.DUMMYFUNCTION("""COMPUTED_VALUE"""),"RAMLI HAJAR.")</f>
        <v>RAMLI HAJAR.</v>
      </c>
      <c r="H655" s="17" t="str">
        <f>IFERROR(__xludf.DUMMYFUNCTION("""COMPUTED_VALUE"""),"R6923083243")</f>
        <v>R6923083243</v>
      </c>
      <c r="I655" s="17">
        <f>IFERROR(__xludf.DUMMYFUNCTION("""COMPUTED_VALUE"""),56.0)</f>
        <v>56</v>
      </c>
      <c r="J655" s="17" t="str">
        <f>IFERROR(__xludf.DUMMYFUNCTION("""COMPUTED_VALUE"""),"&gt; 44 tahun")</f>
        <v>&gt; 44 tahun</v>
      </c>
      <c r="K655" s="19">
        <f>IFERROR(__xludf.DUMMYFUNCTION("""COMPUTED_VALUE"""),25482.0)</f>
        <v>25482</v>
      </c>
      <c r="L655" s="19" t="str">
        <f>IFERROR(__xludf.DUMMYFUNCTION("""COMPUTED_VALUE"""),"LAKI-LAKI")</f>
        <v>LAKI-LAKI</v>
      </c>
      <c r="M655" s="16" t="str">
        <f>IFERROR(__xludf.DUMMYFUNCTION("""COMPUTED_VALUE"""),"Jl.parit H.Mucksin GG Taruna No.8")</f>
        <v>Jl.parit H.Mucksin GG Taruna No.8</v>
      </c>
      <c r="N655" s="16"/>
      <c r="O655" s="16"/>
      <c r="P655" s="16"/>
      <c r="Q655" s="16"/>
      <c r="R655" s="19" t="str">
        <f>IFERROR(__xludf.DUMMYFUNCTION("""COMPUTED_VALUE"""),"ISLAM")</f>
        <v>ISLAM</v>
      </c>
      <c r="S655" s="16" t="str">
        <f>IFERROR(__xludf.DUMMYFUNCTION("""COMPUTED_VALUE"""),"ASN")</f>
        <v>ASN</v>
      </c>
      <c r="T655" s="16" t="str">
        <f>IFERROR(__xludf.DUMMYFUNCTION("""COMPUTED_VALUE"""),"Sakit jika dibawa lari ( Sprin )")</f>
        <v>Sakit jika dibawa lari ( Sprin )</v>
      </c>
      <c r="U655" s="16" t="str">
        <f>IFERROR(__xludf.DUMMYFUNCTION("""COMPUTED_VALUE"""),"SEPAK BOLA")</f>
        <v>SEPAK BOLA</v>
      </c>
      <c r="V655" s="11" t="str">
        <f>IFERROR(__xludf.DUMMYFUNCTION("""COMPUTED_VALUE"""),"085252663243")</f>
        <v>085252663243</v>
      </c>
      <c r="W655" s="15"/>
    </row>
    <row r="656" ht="22.5" customHeight="1">
      <c r="A656" s="8"/>
      <c r="B656" s="9">
        <f>IFERROR(__xludf.DUMMYFUNCTION("""COMPUTED_VALUE"""),45166.707610439815)</f>
        <v>45166.70761</v>
      </c>
      <c r="C656" s="9"/>
      <c r="D656" s="10">
        <f>IFERROR(__xludf.DUMMYFUNCTION("""COMPUTED_VALUE"""),45166.0)</f>
        <v>45166</v>
      </c>
      <c r="E656" s="10" t="str">
        <f>IFERROR(__xludf.DUMMYFUNCTION("""COMPUTED_VALUE"""),"08Agu")</f>
        <v>08Agu</v>
      </c>
      <c r="F656" s="10" t="str">
        <f>IFERROR(__xludf.DUMMYFUNCTION("""COMPUTED_VALUE"""),"2023")</f>
        <v>2023</v>
      </c>
      <c r="G656" s="16" t="str">
        <f>IFERROR(__xludf.DUMMYFUNCTION("""COMPUTED_VALUE"""),"ADIKA RAMADHANI")</f>
        <v>ADIKA RAMADHANI</v>
      </c>
      <c r="H656" s="17" t="str">
        <f>IFERROR(__xludf.DUMMYFUNCTION("""COMPUTED_VALUE"""),"A1023089919")</f>
        <v>A1023089919</v>
      </c>
      <c r="I656" s="17">
        <f>IFERROR(__xludf.DUMMYFUNCTION("""COMPUTED_VALUE"""),15.0)</f>
        <v>15</v>
      </c>
      <c r="J656" s="17" t="str">
        <f>IFERROR(__xludf.DUMMYFUNCTION("""COMPUTED_VALUE"""),"&lt; 18 tahun")</f>
        <v>&lt; 18 tahun</v>
      </c>
      <c r="K656" s="19">
        <f>IFERROR(__xludf.DUMMYFUNCTION("""COMPUTED_VALUE"""),40429.0)</f>
        <v>40429</v>
      </c>
      <c r="L656" s="19" t="str">
        <f>IFERROR(__xludf.DUMMYFUNCTION("""COMPUTED_VALUE"""),"LAKI-LAKI")</f>
        <v>LAKI-LAKI</v>
      </c>
      <c r="M656" s="16" t="str">
        <f>IFERROR(__xludf.DUMMYFUNCTION("""COMPUTED_VALUE"""),"Jln. bukit barisan")</f>
        <v>Jln. bukit barisan</v>
      </c>
      <c r="N656" s="16"/>
      <c r="O656" s="16"/>
      <c r="P656" s="16"/>
      <c r="Q656" s="16"/>
      <c r="R656" s="19" t="str">
        <f>IFERROR(__xludf.DUMMYFUNCTION("""COMPUTED_VALUE"""),"ISLAM")</f>
        <v>ISLAM</v>
      </c>
      <c r="S656" s="16" t="str">
        <f>IFERROR(__xludf.DUMMYFUNCTION("""COMPUTED_VALUE"""),"PELAJAR/MAHASISWA")</f>
        <v>PELAJAR/MAHASISWA</v>
      </c>
      <c r="T656" s="36"/>
      <c r="U656" s="16" t="str">
        <f>IFERROR(__xludf.DUMMYFUNCTION("""COMPUTED_VALUE"""),"SEPAK BOLA")</f>
        <v>SEPAK BOLA</v>
      </c>
      <c r="V656" s="11" t="str">
        <f>IFERROR(__xludf.DUMMYFUNCTION("""COMPUTED_VALUE"""),"081352279919")</f>
        <v>081352279919</v>
      </c>
      <c r="W656" s="15"/>
    </row>
    <row r="657" ht="22.5" customHeight="1">
      <c r="A657" s="8"/>
      <c r="B657" s="9">
        <f>IFERROR(__xludf.DUMMYFUNCTION("""COMPUTED_VALUE"""),45166.45726577546)</f>
        <v>45166.45727</v>
      </c>
      <c r="C657" s="9"/>
      <c r="D657" s="10">
        <f>IFERROR(__xludf.DUMMYFUNCTION("""COMPUTED_VALUE"""),45166.0)</f>
        <v>45166</v>
      </c>
      <c r="E657" s="10" t="str">
        <f>IFERROR(__xludf.DUMMYFUNCTION("""COMPUTED_VALUE"""),"08Agu")</f>
        <v>08Agu</v>
      </c>
      <c r="F657" s="10" t="str">
        <f>IFERROR(__xludf.DUMMYFUNCTION("""COMPUTED_VALUE"""),"2023")</f>
        <v>2023</v>
      </c>
      <c r="G657" s="16" t="str">
        <f>IFERROR(__xludf.DUMMYFUNCTION("""COMPUTED_VALUE"""),"ELMO RIALDY ARWANDA")</f>
        <v>ELMO RIALDY ARWANDA</v>
      </c>
      <c r="H657" s="17" t="str">
        <f>IFERROR(__xludf.DUMMYFUNCTION("""COMPUTED_VALUE"""),"E9923089144")</f>
        <v>E9923089144</v>
      </c>
      <c r="I657" s="17">
        <f>IFERROR(__xludf.DUMMYFUNCTION("""COMPUTED_VALUE"""),26.0)</f>
        <v>26</v>
      </c>
      <c r="J657" s="17" t="str">
        <f>IFERROR(__xludf.DUMMYFUNCTION("""COMPUTED_VALUE"""),"25-34 tahun")</f>
        <v>25-34 tahun</v>
      </c>
      <c r="K657" s="19">
        <f>IFERROR(__xludf.DUMMYFUNCTION("""COMPUTED_VALUE"""),36465.0)</f>
        <v>36465</v>
      </c>
      <c r="L657" s="19" t="str">
        <f>IFERROR(__xludf.DUMMYFUNCTION("""COMPUTED_VALUE"""),"LAKI-LAKI")</f>
        <v>LAKI-LAKI</v>
      </c>
      <c r="M657" s="16" t="str">
        <f>IFERROR(__xludf.DUMMYFUNCTION("""COMPUTED_VALUE"""),"Jl. Abdul Rasyid, Kel. Keramat, Kec. Rangkui, Kota Pangkalpinang")</f>
        <v>Jl. Abdul Rasyid, Kel. Keramat, Kec. Rangkui, Kota Pangkalpinang</v>
      </c>
      <c r="N657" s="16"/>
      <c r="O657" s="16"/>
      <c r="P657" s="16"/>
      <c r="Q657" s="16"/>
      <c r="R657" s="19" t="str">
        <f>IFERROR(__xludf.DUMMYFUNCTION("""COMPUTED_VALUE"""),"ISLAM")</f>
        <v>ISLAM</v>
      </c>
      <c r="S657" s="16" t="str">
        <f>IFERROR(__xludf.DUMMYFUNCTION("""COMPUTED_VALUE"""),"SWASTA")</f>
        <v>SWASTA</v>
      </c>
      <c r="T657" s="16" t="str">
        <f>IFERROR(__xludf.DUMMYFUNCTION("""COMPUTED_VALUE"""),"Pemulihan pasca operasi patah tulang paha")</f>
        <v>Pemulihan pasca operasi patah tulang paha</v>
      </c>
      <c r="U657" s="16" t="str">
        <f>IFERROR(__xludf.DUMMYFUNCTION("""COMPUTED_VALUE"""),"OLAHRAGA")</f>
        <v>OLAHRAGA</v>
      </c>
      <c r="V657" s="11" t="str">
        <f>IFERROR(__xludf.DUMMYFUNCTION("""COMPUTED_VALUE"""),"082280119144")</f>
        <v>082280119144</v>
      </c>
      <c r="W657" s="15"/>
    </row>
    <row r="658" ht="22.5" customHeight="1">
      <c r="A658" s="8"/>
      <c r="B658" s="9">
        <f>IFERROR(__xludf.DUMMYFUNCTION("""COMPUTED_VALUE"""),45167.43698960648)</f>
        <v>45167.43699</v>
      </c>
      <c r="C658" s="9"/>
      <c r="D658" s="10">
        <f>IFERROR(__xludf.DUMMYFUNCTION("""COMPUTED_VALUE"""),45166.0)</f>
        <v>45166</v>
      </c>
      <c r="E658" s="10" t="str">
        <f>IFERROR(__xludf.DUMMYFUNCTION("""COMPUTED_VALUE"""),"08Agu")</f>
        <v>08Agu</v>
      </c>
      <c r="F658" s="10" t="str">
        <f>IFERROR(__xludf.DUMMYFUNCTION("""COMPUTED_VALUE"""),"2023")</f>
        <v>2023</v>
      </c>
      <c r="G658" s="16" t="str">
        <f>IFERROR(__xludf.DUMMYFUNCTION("""COMPUTED_VALUE"""),"TRI WIBOWO 8009")</f>
        <v>TRI WIBOWO 8009</v>
      </c>
      <c r="H658" s="17" t="str">
        <f>IFERROR(__xludf.DUMMYFUNCTION("""COMPUTED_VALUE"""),"T8023087071")</f>
        <v>T8023087071</v>
      </c>
      <c r="I658" s="17">
        <f>IFERROR(__xludf.DUMMYFUNCTION("""COMPUTED_VALUE"""),45.0)</f>
        <v>45</v>
      </c>
      <c r="J658" s="17" t="str">
        <f>IFERROR(__xludf.DUMMYFUNCTION("""COMPUTED_VALUE"""),"&gt; 44 tahun")</f>
        <v>&gt; 44 tahun</v>
      </c>
      <c r="K658" s="19">
        <f>IFERROR(__xludf.DUMMYFUNCTION("""COMPUTED_VALUE"""),29480.0)</f>
        <v>29480</v>
      </c>
      <c r="L658" s="19" t="str">
        <f>IFERROR(__xludf.DUMMYFUNCTION("""COMPUTED_VALUE"""),"LAKI-LAKI")</f>
        <v>LAKI-LAKI</v>
      </c>
      <c r="M658" s="16" t="str">
        <f>IFERROR(__xludf.DUMMYFUNCTION("""COMPUTED_VALUE"""),"Jl gatot subroto gg 16 no 3 samarinda")</f>
        <v>Jl gatot subroto gg 16 no 3 samarinda</v>
      </c>
      <c r="N658" s="16"/>
      <c r="O658" s="16"/>
      <c r="P658" s="16"/>
      <c r="Q658" s="16"/>
      <c r="R658" s="19" t="str">
        <f>IFERROR(__xludf.DUMMYFUNCTION("""COMPUTED_VALUE"""),"ISLAM")</f>
        <v>ISLAM</v>
      </c>
      <c r="S658" s="16" t="str">
        <f>IFERROR(__xludf.DUMMYFUNCTION("""COMPUTED_VALUE"""),"BUMN")</f>
        <v>BUMN</v>
      </c>
      <c r="T658" s="36" t="str">
        <f>IFERROR(__xludf.DUMMYFUNCTION("""COMPUTED_VALUE"""),"KANAN")</f>
        <v>KANAN</v>
      </c>
      <c r="U658" s="16" t="str">
        <f>IFERROR(__xludf.DUMMYFUNCTION("""COMPUTED_VALUE"""),"OLAHRAGA")</f>
        <v>OLAHRAGA</v>
      </c>
      <c r="V658" s="11" t="str">
        <f>IFERROR(__xludf.DUMMYFUNCTION("""COMPUTED_VALUE"""),"08115817071")</f>
        <v>08115817071</v>
      </c>
      <c r="W658" s="15"/>
    </row>
    <row r="659" ht="22.5" customHeight="1">
      <c r="A659" s="8"/>
      <c r="B659" s="9">
        <f>IFERROR(__xludf.DUMMYFUNCTION("""COMPUTED_VALUE"""),45167.93250736111)</f>
        <v>45167.93251</v>
      </c>
      <c r="C659" s="9"/>
      <c r="D659" s="10">
        <f>IFERROR(__xludf.DUMMYFUNCTION("""COMPUTED_VALUE"""),45167.0)</f>
        <v>45167</v>
      </c>
      <c r="E659" s="10" t="str">
        <f>IFERROR(__xludf.DUMMYFUNCTION("""COMPUTED_VALUE"""),"08Agu")</f>
        <v>08Agu</v>
      </c>
      <c r="F659" s="10" t="str">
        <f>IFERROR(__xludf.DUMMYFUNCTION("""COMPUTED_VALUE"""),"2023")</f>
        <v>2023</v>
      </c>
      <c r="G659" s="16" t="str">
        <f>IFERROR(__xludf.DUMMYFUNCTION("""COMPUTED_VALUE"""),"PORNOMO SUGANDA")</f>
        <v>PORNOMO SUGANDA</v>
      </c>
      <c r="H659" s="17" t="str">
        <f>IFERROR(__xludf.DUMMYFUNCTION("""COMPUTED_VALUE"""),"P6323085737")</f>
        <v>P6323085737</v>
      </c>
      <c r="I659" s="17">
        <f>IFERROR(__xludf.DUMMYFUNCTION("""COMPUTED_VALUE"""),62.0)</f>
        <v>62</v>
      </c>
      <c r="J659" s="17" t="str">
        <f>IFERROR(__xludf.DUMMYFUNCTION("""COMPUTED_VALUE"""),"&gt; 44 tahun")</f>
        <v>&gt; 44 tahun</v>
      </c>
      <c r="K659" s="19">
        <f>IFERROR(__xludf.DUMMYFUNCTION("""COMPUTED_VALUE"""),23331.0)</f>
        <v>23331</v>
      </c>
      <c r="L659" s="19" t="str">
        <f>IFERROR(__xludf.DUMMYFUNCTION("""COMPUTED_VALUE"""),"LAKI-LAKI")</f>
        <v>LAKI-LAKI</v>
      </c>
      <c r="M659" s="16" t="str">
        <f>IFERROR(__xludf.DUMMYFUNCTION("""COMPUTED_VALUE"""),"Jln Nusa Indah Iii blok BB no 18")</f>
        <v>Jln Nusa Indah Iii blok BB no 18</v>
      </c>
      <c r="N659" s="16"/>
      <c r="O659" s="16"/>
      <c r="P659" s="16"/>
      <c r="Q659" s="16"/>
      <c r="R659" s="19" t="str">
        <f>IFERROR(__xludf.DUMMYFUNCTION("""COMPUTED_VALUE"""),"BUDDHA")</f>
        <v>BUDDHA</v>
      </c>
      <c r="S659" s="16" t="str">
        <f>IFERROR(__xludf.DUMMYFUNCTION("""COMPUTED_VALUE"""),"WIRASWASTA")</f>
        <v>WIRASWASTA</v>
      </c>
      <c r="T659" s="16" t="str">
        <f>IFERROR(__xludf.DUMMYFUNCTION("""COMPUTED_VALUE"""),"PASCA STROKE SEBELAH KIRI")</f>
        <v>PASCA STROKE SEBELAH KIRI</v>
      </c>
      <c r="U659" s="16" t="str">
        <f>IFERROR(__xludf.DUMMYFUNCTION("""COMPUTED_VALUE"""),"DIRUMAH SAJA")</f>
        <v>DIRUMAH SAJA</v>
      </c>
      <c r="V659" s="11" t="str">
        <f>IFERROR(__xludf.DUMMYFUNCTION("""COMPUTED_VALUE"""),"081366325737")</f>
        <v>081366325737</v>
      </c>
      <c r="W659" s="15"/>
    </row>
    <row r="660" ht="22.5" customHeight="1">
      <c r="A660" s="8"/>
      <c r="B660" s="9">
        <f>IFERROR(__xludf.DUMMYFUNCTION("""COMPUTED_VALUE"""),45168.8460071875)</f>
        <v>45168.84601</v>
      </c>
      <c r="C660" s="9"/>
      <c r="D660" s="10">
        <f>IFERROR(__xludf.DUMMYFUNCTION("""COMPUTED_VALUE"""),45167.0)</f>
        <v>45167</v>
      </c>
      <c r="E660" s="10" t="str">
        <f>IFERROR(__xludf.DUMMYFUNCTION("""COMPUTED_VALUE"""),"08Agu")</f>
        <v>08Agu</v>
      </c>
      <c r="F660" s="10" t="str">
        <f>IFERROR(__xludf.DUMMYFUNCTION("""COMPUTED_VALUE"""),"2023")</f>
        <v>2023</v>
      </c>
      <c r="G660" s="16" t="str">
        <f>IFERROR(__xludf.DUMMYFUNCTION("""COMPUTED_VALUE"""),"RESTI TRI YULIANINGSIH")</f>
        <v>RESTI TRI YULIANINGSIH</v>
      </c>
      <c r="H660" s="17" t="str">
        <f>IFERROR(__xludf.DUMMYFUNCTION("""COMPUTED_VALUE"""),"R9023080345")</f>
        <v>R9023080345</v>
      </c>
      <c r="I660" s="17">
        <f>IFERROR(__xludf.DUMMYFUNCTION("""COMPUTED_VALUE"""),35.0)</f>
        <v>35</v>
      </c>
      <c r="J660" s="17" t="str">
        <f>IFERROR(__xludf.DUMMYFUNCTION("""COMPUTED_VALUE"""),"35-44 tahun")</f>
        <v>35-44 tahun</v>
      </c>
      <c r="K660" s="19">
        <f>IFERROR(__xludf.DUMMYFUNCTION("""COMPUTED_VALUE"""),33061.0)</f>
        <v>33061</v>
      </c>
      <c r="L660" s="19" t="str">
        <f>IFERROR(__xludf.DUMMYFUNCTION("""COMPUTED_VALUE"""),"PEREMPUAN")</f>
        <v>PEREMPUAN</v>
      </c>
      <c r="M660" s="16" t="str">
        <f>IFERROR(__xludf.DUMMYFUNCTION("""COMPUTED_VALUE"""),"Asrama Brimob Polda Kalbar")</f>
        <v>Asrama Brimob Polda Kalbar</v>
      </c>
      <c r="N660" s="16"/>
      <c r="O660" s="16"/>
      <c r="P660" s="16"/>
      <c r="Q660" s="16"/>
      <c r="R660" s="19" t="str">
        <f>IFERROR(__xludf.DUMMYFUNCTION("""COMPUTED_VALUE"""),"ISLAM")</f>
        <v>ISLAM</v>
      </c>
      <c r="S660" s="16" t="str">
        <f>IFERROR(__xludf.DUMMYFUNCTION("""COMPUTED_VALUE"""),"SWASTA")</f>
        <v>SWASTA</v>
      </c>
      <c r="T660" s="16" t="str">
        <f>IFERROR(__xludf.DUMMYFUNCTION("""COMPUTED_VALUE"""),"Nyeri punggung dan kesemutan")</f>
        <v>Nyeri punggung dan kesemutan</v>
      </c>
      <c r="U660" s="16" t="str">
        <f>IFERROR(__xludf.DUMMYFUNCTION("""COMPUTED_VALUE"""),"KERJA KLINIK")</f>
        <v>KERJA KLINIK</v>
      </c>
      <c r="V660" s="11" t="str">
        <f>IFERROR(__xludf.DUMMYFUNCTION("""COMPUTED_VALUE"""),"085227150345")</f>
        <v>085227150345</v>
      </c>
      <c r="W660" s="15"/>
    </row>
    <row r="661" ht="22.5" customHeight="1">
      <c r="A661" s="8"/>
      <c r="B661" s="9">
        <f>IFERROR(__xludf.DUMMYFUNCTION("""COMPUTED_VALUE"""),45167.50543675926)</f>
        <v>45167.50544</v>
      </c>
      <c r="C661" s="9"/>
      <c r="D661" s="10">
        <f>IFERROR(__xludf.DUMMYFUNCTION("""COMPUTED_VALUE"""),45167.0)</f>
        <v>45167</v>
      </c>
      <c r="E661" s="10" t="str">
        <f>IFERROR(__xludf.DUMMYFUNCTION("""COMPUTED_VALUE"""),"08Agu")</f>
        <v>08Agu</v>
      </c>
      <c r="F661" s="10" t="str">
        <f>IFERROR(__xludf.DUMMYFUNCTION("""COMPUTED_VALUE"""),"2023")</f>
        <v>2023</v>
      </c>
      <c r="G661" s="16" t="str">
        <f>IFERROR(__xludf.DUMMYFUNCTION("""COMPUTED_VALUE"""),"SYAHNIARTI")</f>
        <v>SYAHNIARTI</v>
      </c>
      <c r="H661" s="17" t="str">
        <f>IFERROR(__xludf.DUMMYFUNCTION("""COMPUTED_VALUE"""),"S6623087536")</f>
        <v>S6623087536</v>
      </c>
      <c r="I661" s="17">
        <f>IFERROR(__xludf.DUMMYFUNCTION("""COMPUTED_VALUE"""),59.0)</f>
        <v>59</v>
      </c>
      <c r="J661" s="17" t="str">
        <f>IFERROR(__xludf.DUMMYFUNCTION("""COMPUTED_VALUE"""),"&gt; 44 tahun")</f>
        <v>&gt; 44 tahun</v>
      </c>
      <c r="K661" s="19">
        <f>IFERROR(__xludf.DUMMYFUNCTION("""COMPUTED_VALUE"""),24403.0)</f>
        <v>24403</v>
      </c>
      <c r="L661" s="19" t="str">
        <f>IFERROR(__xludf.DUMMYFUNCTION("""COMPUTED_VALUE"""),"PEREMPUAN")</f>
        <v>PEREMPUAN</v>
      </c>
      <c r="M661" s="16" t="str">
        <f>IFERROR(__xludf.DUMMYFUNCTION("""COMPUTED_VALUE"""),"ARANG LIMBUNG")</f>
        <v>ARANG LIMBUNG</v>
      </c>
      <c r="N661" s="16"/>
      <c r="O661" s="16"/>
      <c r="P661" s="16"/>
      <c r="Q661" s="16"/>
      <c r="R661" s="19" t="str">
        <f>IFERROR(__xludf.DUMMYFUNCTION("""COMPUTED_VALUE"""),"ISLAM")</f>
        <v>ISLAM</v>
      </c>
      <c r="S661" s="16" t="str">
        <f>IFERROR(__xludf.DUMMYFUNCTION("""COMPUTED_VALUE"""),"RUMAH TANGGA")</f>
        <v>RUMAH TANGGA</v>
      </c>
      <c r="T661" s="36" t="str">
        <f>IFERROR(__xludf.DUMMYFUNCTION("""COMPUTED_VALUE"""),"SAKIT DI BETIS")</f>
        <v>SAKIT DI BETIS</v>
      </c>
      <c r="U661" s="16" t="str">
        <f>IFERROR(__xludf.DUMMYFUNCTION("""COMPUTED_VALUE"""),"IRT")</f>
        <v>IRT</v>
      </c>
      <c r="V661" s="11" t="str">
        <f>IFERROR(__xludf.DUMMYFUNCTION("""COMPUTED_VALUE"""),"082254097536")</f>
        <v>082254097536</v>
      </c>
      <c r="W661" s="15"/>
    </row>
    <row r="662" ht="22.5" customHeight="1">
      <c r="A662" s="8"/>
      <c r="B662" s="9">
        <f>IFERROR(__xludf.DUMMYFUNCTION("""COMPUTED_VALUE"""),45169.420659421296)</f>
        <v>45169.42066</v>
      </c>
      <c r="C662" s="9"/>
      <c r="D662" s="10">
        <f>IFERROR(__xludf.DUMMYFUNCTION("""COMPUTED_VALUE"""),45167.0)</f>
        <v>45167</v>
      </c>
      <c r="E662" s="10" t="str">
        <f>IFERROR(__xludf.DUMMYFUNCTION("""COMPUTED_VALUE"""),"08Agu")</f>
        <v>08Agu</v>
      </c>
      <c r="F662" s="10" t="str">
        <f>IFERROR(__xludf.DUMMYFUNCTION("""COMPUTED_VALUE"""),"2023")</f>
        <v>2023</v>
      </c>
      <c r="G662" s="16" t="str">
        <f>IFERROR(__xludf.DUMMYFUNCTION("""COMPUTED_VALUE"""),"ALWIS ASIDIQ")</f>
        <v>ALWIS ASIDIQ</v>
      </c>
      <c r="H662" s="17" t="str">
        <f>IFERROR(__xludf.DUMMYFUNCTION("""COMPUTED_VALUE"""),"A9523087885")</f>
        <v>A9523087885</v>
      </c>
      <c r="I662" s="17">
        <f>IFERROR(__xludf.DUMMYFUNCTION("""COMPUTED_VALUE"""),30.0)</f>
        <v>30</v>
      </c>
      <c r="J662" s="17" t="str">
        <f>IFERROR(__xludf.DUMMYFUNCTION("""COMPUTED_VALUE"""),"25-34 tahun")</f>
        <v>25-34 tahun</v>
      </c>
      <c r="K662" s="19">
        <f>IFERROR(__xludf.DUMMYFUNCTION("""COMPUTED_VALUE"""),34957.0)</f>
        <v>34957</v>
      </c>
      <c r="L662" s="19" t="str">
        <f>IFERROR(__xludf.DUMMYFUNCTION("""COMPUTED_VALUE"""),"LAKI-LAKI")</f>
        <v>LAKI-LAKI</v>
      </c>
      <c r="M662" s="16" t="str">
        <f>IFERROR(__xludf.DUMMYFUNCTION("""COMPUTED_VALUE"""),"Jl. Pengadilan Lama RT/RW : 05/03 Pangandaran , Jawa Barat")</f>
        <v>Jl. Pengadilan Lama RT/RW : 05/03 Pangandaran , Jawa Barat</v>
      </c>
      <c r="N662" s="16"/>
      <c r="O662" s="16"/>
      <c r="P662" s="16"/>
      <c r="Q662" s="16"/>
      <c r="R662" s="19" t="str">
        <f>IFERROR(__xludf.DUMMYFUNCTION("""COMPUTED_VALUE"""),"ISLAM")</f>
        <v>ISLAM</v>
      </c>
      <c r="S662" s="16" t="str">
        <f>IFERROR(__xludf.DUMMYFUNCTION("""COMPUTED_VALUE"""),"SWASTA")</f>
        <v>SWASTA</v>
      </c>
      <c r="T662" s="16" t="str">
        <f>IFERROR(__xludf.DUMMYFUNCTION("""COMPUTED_VALUE"""),"Angkle Sprain / terkilir")</f>
        <v>Angkle Sprain / terkilir</v>
      </c>
      <c r="U662" s="16" t="str">
        <f>IFERROR(__xludf.DUMMYFUNCTION("""COMPUTED_VALUE"""),"TENNIS")</f>
        <v>TENNIS</v>
      </c>
      <c r="V662" s="11" t="str">
        <f>IFERROR(__xludf.DUMMYFUNCTION("""COMPUTED_VALUE"""),"081111117885")</f>
        <v>081111117885</v>
      </c>
      <c r="W662" s="15"/>
    </row>
    <row r="663" ht="22.5" customHeight="1">
      <c r="A663" s="8"/>
      <c r="B663" s="9">
        <f>IFERROR(__xludf.DUMMYFUNCTION("""COMPUTED_VALUE"""),45167.83119028935)</f>
        <v>45167.83119</v>
      </c>
      <c r="C663" s="9"/>
      <c r="D663" s="10">
        <f>IFERROR(__xludf.DUMMYFUNCTION("""COMPUTED_VALUE"""),45168.0)</f>
        <v>45168</v>
      </c>
      <c r="E663" s="10" t="str">
        <f>IFERROR(__xludf.DUMMYFUNCTION("""COMPUTED_VALUE"""),"08Agu")</f>
        <v>08Agu</v>
      </c>
      <c r="F663" s="10" t="str">
        <f>IFERROR(__xludf.DUMMYFUNCTION("""COMPUTED_VALUE"""),"2023")</f>
        <v>2023</v>
      </c>
      <c r="G663" s="16" t="str">
        <f>IFERROR(__xludf.DUMMYFUNCTION("""COMPUTED_VALUE"""),"RAMDHALITA")</f>
        <v>RAMDHALITA</v>
      </c>
      <c r="H663" s="17" t="str">
        <f>IFERROR(__xludf.DUMMYFUNCTION("""COMPUTED_VALUE"""),"R7123082320")</f>
        <v>R7123082320</v>
      </c>
      <c r="I663" s="17">
        <f>IFERROR(__xludf.DUMMYFUNCTION("""COMPUTED_VALUE"""),54.0)</f>
        <v>54</v>
      </c>
      <c r="J663" s="17" t="str">
        <f>IFERROR(__xludf.DUMMYFUNCTION("""COMPUTED_VALUE"""),"&gt; 44 tahun")</f>
        <v>&gt; 44 tahun</v>
      </c>
      <c r="K663" s="19">
        <f>IFERROR(__xludf.DUMMYFUNCTION("""COMPUTED_VALUE"""),26237.0)</f>
        <v>26237</v>
      </c>
      <c r="L663" s="19" t="str">
        <f>IFERROR(__xludf.DUMMYFUNCTION("""COMPUTED_VALUE"""),"PEREMPUAN")</f>
        <v>PEREMPUAN</v>
      </c>
      <c r="M663" s="16" t="str">
        <f>IFERROR(__xludf.DUMMYFUNCTION("""COMPUTED_VALUE"""),"Jl. M.yamin gg. Bina karya")</f>
        <v>Jl. M.yamin gg. Bina karya</v>
      </c>
      <c r="N663" s="16"/>
      <c r="O663" s="16"/>
      <c r="P663" s="16"/>
      <c r="Q663" s="16"/>
      <c r="R663" s="19" t="str">
        <f>IFERROR(__xludf.DUMMYFUNCTION("""COMPUTED_VALUE"""),"ISLAM")</f>
        <v>ISLAM</v>
      </c>
      <c r="S663" s="16" t="str">
        <f>IFERROR(__xludf.DUMMYFUNCTION("""COMPUTED_VALUE"""),"RUMAH TANGGA")</f>
        <v>RUMAH TANGGA</v>
      </c>
      <c r="T663" s="36" t="str">
        <f>IFERROR(__xludf.DUMMYFUNCTION("""COMPUTED_VALUE"""),"STROKE RINGAN")</f>
        <v>STROKE RINGAN</v>
      </c>
      <c r="U663" s="16" t="str">
        <f>IFERROR(__xludf.DUMMYFUNCTION("""COMPUTED_VALUE"""),"MASAK JAGA TOKO")</f>
        <v>MASAK JAGA TOKO</v>
      </c>
      <c r="V663" s="11" t="str">
        <f>IFERROR(__xludf.DUMMYFUNCTION("""COMPUTED_VALUE"""),"89661372320")</f>
        <v>89661372320</v>
      </c>
      <c r="W663" s="15"/>
    </row>
    <row r="664" ht="22.5" customHeight="1">
      <c r="A664" s="8"/>
      <c r="B664" s="9">
        <f>IFERROR(__xludf.DUMMYFUNCTION("""COMPUTED_VALUE"""),45171.494653877315)</f>
        <v>45171.49465</v>
      </c>
      <c r="C664" s="9"/>
      <c r="D664" s="10">
        <f>IFERROR(__xludf.DUMMYFUNCTION("""COMPUTED_VALUE"""),45169.0)</f>
        <v>45169</v>
      </c>
      <c r="E664" s="10" t="str">
        <f>IFERROR(__xludf.DUMMYFUNCTION("""COMPUTED_VALUE"""),"08Agu")</f>
        <v>08Agu</v>
      </c>
      <c r="F664" s="10" t="str">
        <f>IFERROR(__xludf.DUMMYFUNCTION("""COMPUTED_VALUE"""),"2023")</f>
        <v>2023</v>
      </c>
      <c r="G664" s="16" t="str">
        <f>IFERROR(__xludf.DUMMYFUNCTION("""COMPUTED_VALUE"""),"ELIS PIRUS")</f>
        <v>ELIS PIRUS</v>
      </c>
      <c r="H664" s="17" t="str">
        <f>IFERROR(__xludf.DUMMYFUNCTION("""COMPUTED_VALUE"""),"E6423082492")</f>
        <v>E6423082492</v>
      </c>
      <c r="I664" s="17">
        <f>IFERROR(__xludf.DUMMYFUNCTION("""COMPUTED_VALUE"""),61.0)</f>
        <v>61</v>
      </c>
      <c r="J664" s="17" t="str">
        <f>IFERROR(__xludf.DUMMYFUNCTION("""COMPUTED_VALUE"""),"&gt; 44 tahun")</f>
        <v>&gt; 44 tahun</v>
      </c>
      <c r="K664" s="19">
        <f>IFERROR(__xludf.DUMMYFUNCTION("""COMPUTED_VALUE"""),23660.0)</f>
        <v>23660</v>
      </c>
      <c r="L664" s="19" t="str">
        <f>IFERROR(__xludf.DUMMYFUNCTION("""COMPUTED_VALUE"""),"PEREMPUAN")</f>
        <v>PEREMPUAN</v>
      </c>
      <c r="M664" s="16" t="str">
        <f>IFERROR(__xludf.DUMMYFUNCTION("""COMPUTED_VALUE"""),"Jln. Nusa indah Iii blok BB no 18")</f>
        <v>Jln. Nusa indah Iii blok BB no 18</v>
      </c>
      <c r="N664" s="16"/>
      <c r="O664" s="16"/>
      <c r="P664" s="16"/>
      <c r="Q664" s="16"/>
      <c r="R664" s="19" t="str">
        <f>IFERROR(__xludf.DUMMYFUNCTION("""COMPUTED_VALUE"""),"BUDDHA")</f>
        <v>BUDDHA</v>
      </c>
      <c r="S664" s="16" t="str">
        <f>IFERROR(__xludf.DUMMYFUNCTION("""COMPUTED_VALUE"""),"RUMAH TANGGA")</f>
        <v>RUMAH TANGGA</v>
      </c>
      <c r="T664" s="16" t="str">
        <f>IFERROR(__xludf.DUMMYFUNCTION("""COMPUTED_VALUE"""),"SAKIT PINGGANG")</f>
        <v>SAKIT PINGGANG</v>
      </c>
      <c r="U664" s="16" t="str">
        <f>IFERROR(__xludf.DUMMYFUNCTION("""COMPUTED_VALUE"""),"LAKUKAN KERJAAN RUMAH")</f>
        <v>LAKUKAN KERJAAN RUMAH</v>
      </c>
      <c r="V664" s="11" t="str">
        <f>IFERROR(__xludf.DUMMYFUNCTION("""COMPUTED_VALUE"""),"08125632492")</f>
        <v>08125632492</v>
      </c>
      <c r="W664" s="15"/>
    </row>
    <row r="665" ht="22.5" customHeight="1">
      <c r="A665" s="8"/>
      <c r="B665" s="9">
        <f>IFERROR(__xludf.DUMMYFUNCTION("""COMPUTED_VALUE"""),45171.58917530093)</f>
        <v>45171.58918</v>
      </c>
      <c r="C665" s="9"/>
      <c r="D665" s="10">
        <f>IFERROR(__xludf.DUMMYFUNCTION("""COMPUTED_VALUE"""),45169.0)</f>
        <v>45169</v>
      </c>
      <c r="E665" s="10" t="str">
        <f>IFERROR(__xludf.DUMMYFUNCTION("""COMPUTED_VALUE"""),"08Agu")</f>
        <v>08Agu</v>
      </c>
      <c r="F665" s="10" t="str">
        <f>IFERROR(__xludf.DUMMYFUNCTION("""COMPUTED_VALUE"""),"2023")</f>
        <v>2023</v>
      </c>
      <c r="G665" s="16" t="str">
        <f>IFERROR(__xludf.DUMMYFUNCTION("""COMPUTED_VALUE"""),"ADI BAGUS JUNIYANTO")</f>
        <v>ADI BAGUS JUNIYANTO</v>
      </c>
      <c r="H665" s="17" t="str">
        <f>IFERROR(__xludf.DUMMYFUNCTION("""COMPUTED_VALUE"""),"A0523081876")</f>
        <v>A0523081876</v>
      </c>
      <c r="I665" s="17">
        <f>IFERROR(__xludf.DUMMYFUNCTION("""COMPUTED_VALUE"""),21.0)</f>
        <v>21</v>
      </c>
      <c r="J665" s="17" t="str">
        <f>IFERROR(__xludf.DUMMYFUNCTION("""COMPUTED_VALUE"""),"18-24 tahun")</f>
        <v>18-24 tahun</v>
      </c>
      <c r="K665" s="19">
        <f>IFERROR(__xludf.DUMMYFUNCTION("""COMPUTED_VALUE"""),38515.0)</f>
        <v>38515</v>
      </c>
      <c r="L665" s="19" t="str">
        <f>IFERROR(__xludf.DUMMYFUNCTION("""COMPUTED_VALUE"""),"LAKI-LAKI")</f>
        <v>LAKI-LAKI</v>
      </c>
      <c r="M665" s="16" t="str">
        <f>IFERROR(__xludf.DUMMYFUNCTION("""COMPUTED_VALUE"""),"BTN SKJ INDAH 1 BLOK A NO.1 KETAPANG")</f>
        <v>BTN SKJ INDAH 1 BLOK A NO.1 KETAPANG</v>
      </c>
      <c r="N665" s="16"/>
      <c r="O665" s="16"/>
      <c r="P665" s="16"/>
      <c r="Q665" s="16"/>
      <c r="R665" s="19" t="str">
        <f>IFERROR(__xludf.DUMMYFUNCTION("""COMPUTED_VALUE"""),"ISLAM")</f>
        <v>ISLAM</v>
      </c>
      <c r="S665" s="16" t="str">
        <f>IFERROR(__xludf.DUMMYFUNCTION("""COMPUTED_VALUE"""),"PELAJAR/MAHASISWA")</f>
        <v>PELAJAR/MAHASISWA</v>
      </c>
      <c r="T665" s="16" t="str">
        <f>IFERROR(__xludf.DUMMYFUNCTION("""COMPUTED_VALUE"""),"KAKI X")</f>
        <v>KAKI X</v>
      </c>
      <c r="U665" s="16" t="str">
        <f>IFERROR(__xludf.DUMMYFUNCTION("""COMPUTED_VALUE"""),"SURVIVAL")</f>
        <v>SURVIVAL</v>
      </c>
      <c r="V665" s="11" t="str">
        <f>IFERROR(__xludf.DUMMYFUNCTION("""COMPUTED_VALUE"""),"089692911876")</f>
        <v>089692911876</v>
      </c>
      <c r="W665" s="15"/>
    </row>
    <row r="666" ht="22.5" customHeight="1">
      <c r="A666" s="8"/>
      <c r="B666" s="9">
        <f>IFERROR(__xludf.DUMMYFUNCTION("""COMPUTED_VALUE"""),45172.458087928244)</f>
        <v>45172.45809</v>
      </c>
      <c r="C666" s="9"/>
      <c r="D666" s="10">
        <f>IFERROR(__xludf.DUMMYFUNCTION("""COMPUTED_VALUE"""),45171.0)</f>
        <v>45171</v>
      </c>
      <c r="E666" s="10" t="str">
        <f>IFERROR(__xludf.DUMMYFUNCTION("""COMPUTED_VALUE"""),"09Sep")</f>
        <v>09Sep</v>
      </c>
      <c r="F666" s="10" t="str">
        <f>IFERROR(__xludf.DUMMYFUNCTION("""COMPUTED_VALUE"""),"2023")</f>
        <v>2023</v>
      </c>
      <c r="G666" s="16" t="str">
        <f>IFERROR(__xludf.DUMMYFUNCTION("""COMPUTED_VALUE"""),"NELI")</f>
        <v>NELI</v>
      </c>
      <c r="H666" s="17" t="str">
        <f>IFERROR(__xludf.DUMMYFUNCTION("""COMPUTED_VALUE"""),"N8923098328")</f>
        <v>N8923098328</v>
      </c>
      <c r="I666" s="17">
        <f>IFERROR(__xludf.DUMMYFUNCTION("""COMPUTED_VALUE"""),36.0)</f>
        <v>36</v>
      </c>
      <c r="J666" s="17" t="str">
        <f>IFERROR(__xludf.DUMMYFUNCTION("""COMPUTED_VALUE"""),"35-44 tahun")</f>
        <v>35-44 tahun</v>
      </c>
      <c r="K666" s="19">
        <f>IFERROR(__xludf.DUMMYFUNCTION("""COMPUTED_VALUE"""),32815.0)</f>
        <v>32815</v>
      </c>
      <c r="L666" s="19" t="str">
        <f>IFERROR(__xludf.DUMMYFUNCTION("""COMPUTED_VALUE"""),"PEREMPUAN")</f>
        <v>PEREMPUAN</v>
      </c>
      <c r="M666" s="16" t="str">
        <f>IFERROR(__xludf.DUMMYFUNCTION("""COMPUTED_VALUE"""),"Jl.tanjungpura gg suez no 85")</f>
        <v>Jl.tanjungpura gg suez no 85</v>
      </c>
      <c r="N666" s="16"/>
      <c r="O666" s="16"/>
      <c r="P666" s="16"/>
      <c r="Q666" s="16"/>
      <c r="R666" s="19" t="str">
        <f>IFERROR(__xludf.DUMMYFUNCTION("""COMPUTED_VALUE"""),"BUDDHA")</f>
        <v>BUDDHA</v>
      </c>
      <c r="S666" s="16" t="str">
        <f>IFERROR(__xludf.DUMMYFUNCTION("""COMPUTED_VALUE"""),"SWASTA")</f>
        <v>SWASTA</v>
      </c>
      <c r="T666" s="16" t="str">
        <f>IFERROR(__xludf.DUMMYFUNCTION("""COMPUTED_VALUE"""),"SAKIT PINGGANG DAN BAHU")</f>
        <v>SAKIT PINGGANG DAN BAHU</v>
      </c>
      <c r="U666" s="16" t="str">
        <f>IFERROR(__xludf.DUMMYFUNCTION("""COMPUTED_VALUE"""),"Traveling/ duduk bekerja di depan komputer")</f>
        <v>Traveling/ duduk bekerja di depan komputer</v>
      </c>
      <c r="V666" s="21" t="str">
        <f>IFERROR(__xludf.DUMMYFUNCTION("""COMPUTED_VALUE"""),"085245788328")</f>
        <v>085245788328</v>
      </c>
      <c r="W666" s="22"/>
    </row>
    <row r="667" ht="22.5" customHeight="1">
      <c r="A667" s="8"/>
      <c r="B667" s="9">
        <f>IFERROR(__xludf.DUMMYFUNCTION("""COMPUTED_VALUE"""),45172.779954791666)</f>
        <v>45172.77995</v>
      </c>
      <c r="C667" s="9"/>
      <c r="D667" s="10">
        <f>IFERROR(__xludf.DUMMYFUNCTION("""COMPUTED_VALUE"""),45171.0)</f>
        <v>45171</v>
      </c>
      <c r="E667" s="10" t="str">
        <f>IFERROR(__xludf.DUMMYFUNCTION("""COMPUTED_VALUE"""),"09Sep")</f>
        <v>09Sep</v>
      </c>
      <c r="F667" s="10" t="str">
        <f>IFERROR(__xludf.DUMMYFUNCTION("""COMPUTED_VALUE"""),"2023")</f>
        <v>2023</v>
      </c>
      <c r="G667" s="16" t="str">
        <f>IFERROR(__xludf.DUMMYFUNCTION("""COMPUTED_VALUE"""),"MUHAMMAD ARIF MANTIKO")</f>
        <v>MUHAMMAD ARIF MANTIKO</v>
      </c>
      <c r="H667" s="17" t="str">
        <f>IFERROR(__xludf.DUMMYFUNCTION("""COMPUTED_VALUE"""),"M9523097776")</f>
        <v>M9523097776</v>
      </c>
      <c r="I667" s="17">
        <f>IFERROR(__xludf.DUMMYFUNCTION("""COMPUTED_VALUE"""),30.0)</f>
        <v>30</v>
      </c>
      <c r="J667" s="17" t="str">
        <f>IFERROR(__xludf.DUMMYFUNCTION("""COMPUTED_VALUE"""),"25-34 tahun")</f>
        <v>25-34 tahun</v>
      </c>
      <c r="K667" s="19">
        <f>IFERROR(__xludf.DUMMYFUNCTION("""COMPUTED_VALUE"""),34877.0)</f>
        <v>34877</v>
      </c>
      <c r="L667" s="19" t="str">
        <f>IFERROR(__xludf.DUMMYFUNCTION("""COMPUTED_VALUE"""),"LAKI-LAKI")</f>
        <v>LAKI-LAKI</v>
      </c>
      <c r="M667" s="16" t="str">
        <f>IFERROR(__xludf.DUMMYFUNCTION("""COMPUTED_VALUE"""),"Jln komyos sudarso gang mangga 1 no 1")</f>
        <v>Jln komyos sudarso gang mangga 1 no 1</v>
      </c>
      <c r="N667" s="16"/>
      <c r="O667" s="16"/>
      <c r="P667" s="16"/>
      <c r="Q667" s="16"/>
      <c r="R667" s="19" t="str">
        <f>IFERROR(__xludf.DUMMYFUNCTION("""COMPUTED_VALUE"""),"ISLAM")</f>
        <v>ISLAM</v>
      </c>
      <c r="S667" s="16" t="str">
        <f>IFERROR(__xludf.DUMMYFUNCTION("""COMPUTED_VALUE"""),"WIRASWASTA")</f>
        <v>WIRASWASTA</v>
      </c>
      <c r="T667" s="36" t="str">
        <f>IFERROR(__xludf.DUMMYFUNCTION("""COMPUTED_VALUE"""),"KESELEO")</f>
        <v>KESELEO</v>
      </c>
      <c r="U667" s="16" t="str">
        <f>IFERROR(__xludf.DUMMYFUNCTION("""COMPUTED_VALUE"""),"KERJA")</f>
        <v>KERJA</v>
      </c>
      <c r="V667" s="11" t="str">
        <f>IFERROR(__xludf.DUMMYFUNCTION("""COMPUTED_VALUE"""),"082256667776")</f>
        <v>082256667776</v>
      </c>
      <c r="W667" s="15"/>
    </row>
    <row r="668" ht="22.5" customHeight="1">
      <c r="A668" s="8"/>
      <c r="B668" s="9">
        <f>IFERROR(__xludf.DUMMYFUNCTION("""COMPUTED_VALUE"""),45173.451784537036)</f>
        <v>45173.45178</v>
      </c>
      <c r="C668" s="9"/>
      <c r="D668" s="10">
        <f>IFERROR(__xludf.DUMMYFUNCTION("""COMPUTED_VALUE"""),45171.0)</f>
        <v>45171</v>
      </c>
      <c r="E668" s="10" t="str">
        <f>IFERROR(__xludf.DUMMYFUNCTION("""COMPUTED_VALUE"""),"09Sep")</f>
        <v>09Sep</v>
      </c>
      <c r="F668" s="10" t="str">
        <f>IFERROR(__xludf.DUMMYFUNCTION("""COMPUTED_VALUE"""),"2023")</f>
        <v>2023</v>
      </c>
      <c r="G668" s="16" t="str">
        <f>IFERROR(__xludf.DUMMYFUNCTION("""COMPUTED_VALUE"""),"MASRIL")</f>
        <v>MASRIL</v>
      </c>
      <c r="H668" s="17" t="str">
        <f>IFERROR(__xludf.DUMMYFUNCTION("""COMPUTED_VALUE"""),"M5823090064")</f>
        <v>M5823090064</v>
      </c>
      <c r="I668" s="17">
        <f>IFERROR(__xludf.DUMMYFUNCTION("""COMPUTED_VALUE"""),68.0)</f>
        <v>68</v>
      </c>
      <c r="J668" s="17" t="str">
        <f>IFERROR(__xludf.DUMMYFUNCTION("""COMPUTED_VALUE"""),"&gt; 44 tahun")</f>
        <v>&gt; 44 tahun</v>
      </c>
      <c r="K668" s="19">
        <f>IFERROR(__xludf.DUMMYFUNCTION("""COMPUTED_VALUE"""),21310.0)</f>
        <v>21310</v>
      </c>
      <c r="L668" s="19" t="str">
        <f>IFERROR(__xludf.DUMMYFUNCTION("""COMPUTED_VALUE"""),"LAKI-LAKI")</f>
        <v>LAKI-LAKI</v>
      </c>
      <c r="M668" s="16" t="str">
        <f>IFERROR(__xludf.DUMMYFUNCTION("""COMPUTED_VALUE"""),"JL. A. YANI SEPAKAT NO. 3")</f>
        <v>JL. A. YANI SEPAKAT NO. 3</v>
      </c>
      <c r="N668" s="16"/>
      <c r="O668" s="16"/>
      <c r="P668" s="16"/>
      <c r="Q668" s="16"/>
      <c r="R668" s="19" t="str">
        <f>IFERROR(__xludf.DUMMYFUNCTION("""COMPUTED_VALUE"""),"ISLAM")</f>
        <v>ISLAM</v>
      </c>
      <c r="S668" s="16" t="str">
        <f>IFERROR(__xludf.DUMMYFUNCTION("""COMPUTED_VALUE"""),"DOSEN/GURU")</f>
        <v>DOSEN/GURU</v>
      </c>
      <c r="T668" s="16"/>
      <c r="U668" s="16" t="str">
        <f>IFERROR(__xludf.DUMMYFUNCTION("""COMPUTED_VALUE"""),"MENGAJAR")</f>
        <v>MENGAJAR</v>
      </c>
      <c r="V668" s="11" t="str">
        <f>IFERROR(__xludf.DUMMYFUNCTION("""COMPUTED_VALUE"""),"081257500064")</f>
        <v>081257500064</v>
      </c>
      <c r="W668" s="15"/>
    </row>
    <row r="669" ht="22.5" customHeight="1">
      <c r="A669" s="8"/>
      <c r="B669" s="9">
        <f>IFERROR(__xludf.DUMMYFUNCTION("""COMPUTED_VALUE"""),45173.48493881944)</f>
        <v>45173.48494</v>
      </c>
      <c r="C669" s="9"/>
      <c r="D669" s="10">
        <f>IFERROR(__xludf.DUMMYFUNCTION("""COMPUTED_VALUE"""),45172.0)</f>
        <v>45172</v>
      </c>
      <c r="E669" s="10" t="str">
        <f>IFERROR(__xludf.DUMMYFUNCTION("""COMPUTED_VALUE"""),"09Sep")</f>
        <v>09Sep</v>
      </c>
      <c r="F669" s="10" t="str">
        <f>IFERROR(__xludf.DUMMYFUNCTION("""COMPUTED_VALUE"""),"2023")</f>
        <v>2023</v>
      </c>
      <c r="G669" s="16" t="str">
        <f>IFERROR(__xludf.DUMMYFUNCTION("""COMPUTED_VALUE"""),"JIMIATI")</f>
        <v>JIMIATI</v>
      </c>
      <c r="H669" s="17" t="str">
        <f>IFERROR(__xludf.DUMMYFUNCTION("""COMPUTED_VALUE"""),"J8823092700")</f>
        <v>J8823092700</v>
      </c>
      <c r="I669" s="17">
        <f>IFERROR(__xludf.DUMMYFUNCTION("""COMPUTED_VALUE"""),38.0)</f>
        <v>38</v>
      </c>
      <c r="J669" s="17" t="str">
        <f>IFERROR(__xludf.DUMMYFUNCTION("""COMPUTED_VALUE"""),"35-44 tahun")</f>
        <v>35-44 tahun</v>
      </c>
      <c r="K669" s="19">
        <f>IFERROR(__xludf.DUMMYFUNCTION("""COMPUTED_VALUE"""),32157.0)</f>
        <v>32157</v>
      </c>
      <c r="L669" s="19" t="str">
        <f>IFERROR(__xludf.DUMMYFUNCTION("""COMPUTED_VALUE"""),"PEREMPUAN")</f>
        <v>PEREMPUAN</v>
      </c>
      <c r="M669" s="16" t="str">
        <f>IFERROR(__xludf.DUMMYFUNCTION("""COMPUTED_VALUE"""),"Jl. Purnama Gg. Purnama Patra No.12D")</f>
        <v>Jl. Purnama Gg. Purnama Patra No.12D</v>
      </c>
      <c r="N669" s="16"/>
      <c r="O669" s="16"/>
      <c r="P669" s="16"/>
      <c r="Q669" s="16"/>
      <c r="R669" s="19" t="str">
        <f>IFERROR(__xludf.DUMMYFUNCTION("""COMPUTED_VALUE"""),"PROTESTAN")</f>
        <v>PROTESTAN</v>
      </c>
      <c r="S669" s="16" t="str">
        <f>IFERROR(__xludf.DUMMYFUNCTION("""COMPUTED_VALUE"""),"SWASTA")</f>
        <v>SWASTA</v>
      </c>
      <c r="T669" s="16" t="str">
        <f>IFERROR(__xludf.DUMMYFUNCTION("""COMPUTED_VALUE"""),"Sakit dileher sampai kepunggung, susah menoleh kekanan &amp; kekiri. Dan sangat sakit sekali setelah bangun tidur")</f>
        <v>Sakit dileher sampai kepunggung, susah menoleh kekanan &amp; kekiri. Dan sangat sakit sekali setelah bangun tidur</v>
      </c>
      <c r="U669" s="16" t="str">
        <f>IFERROR(__xludf.DUMMYFUNCTION("""COMPUTED_VALUE"""),"GYM")</f>
        <v>GYM</v>
      </c>
      <c r="V669" s="11" t="str">
        <f>IFERROR(__xludf.DUMMYFUNCTION("""COMPUTED_VALUE"""),"081256632700")</f>
        <v>081256632700</v>
      </c>
      <c r="W669" s="15"/>
    </row>
    <row r="670" ht="22.5" customHeight="1">
      <c r="A670" s="8"/>
      <c r="B670" s="9">
        <f>IFERROR(__xludf.DUMMYFUNCTION("""COMPUTED_VALUE"""),45173.512898078705)</f>
        <v>45173.5129</v>
      </c>
      <c r="C670" s="9"/>
      <c r="D670" s="10">
        <f>IFERROR(__xludf.DUMMYFUNCTION("""COMPUTED_VALUE"""),45172.0)</f>
        <v>45172</v>
      </c>
      <c r="E670" s="10" t="str">
        <f>IFERROR(__xludf.DUMMYFUNCTION("""COMPUTED_VALUE"""),"09Sep")</f>
        <v>09Sep</v>
      </c>
      <c r="F670" s="10" t="str">
        <f>IFERROR(__xludf.DUMMYFUNCTION("""COMPUTED_VALUE"""),"2023")</f>
        <v>2023</v>
      </c>
      <c r="G670" s="16" t="str">
        <f>IFERROR(__xludf.DUMMYFUNCTION("""COMPUTED_VALUE"""),"GRACIO WYATT LIM")</f>
        <v>GRACIO WYATT LIM</v>
      </c>
      <c r="H670" s="17" t="str">
        <f>IFERROR(__xludf.DUMMYFUNCTION("""COMPUTED_VALUE"""),"G1223092700")</f>
        <v>G1223092700</v>
      </c>
      <c r="I670" s="17">
        <f>IFERROR(__xludf.DUMMYFUNCTION("""COMPUTED_VALUE"""),13.0)</f>
        <v>13</v>
      </c>
      <c r="J670" s="17" t="str">
        <f>IFERROR(__xludf.DUMMYFUNCTION("""COMPUTED_VALUE"""),"&lt; 18 tahun")</f>
        <v>&lt; 18 tahun</v>
      </c>
      <c r="K670" s="19">
        <f>IFERROR(__xludf.DUMMYFUNCTION("""COMPUTED_VALUE"""),41108.0)</f>
        <v>41108</v>
      </c>
      <c r="L670" s="19" t="str">
        <f>IFERROR(__xludf.DUMMYFUNCTION("""COMPUTED_VALUE"""),"LAKI-LAKI")</f>
        <v>LAKI-LAKI</v>
      </c>
      <c r="M670" s="16" t="str">
        <f>IFERROR(__xludf.DUMMYFUNCTION("""COMPUTED_VALUE"""),"Jl. Purnama Gg. Purnama Patra No.12D")</f>
        <v>Jl. Purnama Gg. Purnama Patra No.12D</v>
      </c>
      <c r="N670" s="16"/>
      <c r="O670" s="16"/>
      <c r="P670" s="16"/>
      <c r="Q670" s="16"/>
      <c r="R670" s="19" t="str">
        <f>IFERROR(__xludf.DUMMYFUNCTION("""COMPUTED_VALUE"""),"PROTESTAN")</f>
        <v>PROTESTAN</v>
      </c>
      <c r="S670" s="16" t="str">
        <f>IFERROR(__xludf.DUMMYFUNCTION("""COMPUTED_VALUE"""),"PELAJAR/MAHASISWA")</f>
        <v>PELAJAR/MAHASISWA</v>
      </c>
      <c r="T670" s="16" t="str">
        <f>IFERROR(__xludf.DUMMYFUNCTION("""COMPUTED_VALUE"""),"Mau cek tulang belakang krn dulu pernah jatuh terpeleset")</f>
        <v>Mau cek tulang belakang krn dulu pernah jatuh terpeleset</v>
      </c>
      <c r="U670" s="16" t="str">
        <f>IFERROR(__xludf.DUMMYFUNCTION("""COMPUTED_VALUE"""),"BASKET")</f>
        <v>BASKET</v>
      </c>
      <c r="V670" s="11" t="str">
        <f>IFERROR(__xludf.DUMMYFUNCTION("""COMPUTED_VALUE"""),"081256632700")</f>
        <v>081256632700</v>
      </c>
      <c r="W670" s="15"/>
    </row>
    <row r="671" ht="22.5" customHeight="1">
      <c r="A671" s="8"/>
      <c r="B671" s="9">
        <f>IFERROR(__xludf.DUMMYFUNCTION("""COMPUTED_VALUE"""),45173.54946296297)</f>
        <v>45173.54946</v>
      </c>
      <c r="C671" s="9"/>
      <c r="D671" s="10">
        <f>IFERROR(__xludf.DUMMYFUNCTION("""COMPUTED_VALUE"""),45172.0)</f>
        <v>45172</v>
      </c>
      <c r="E671" s="10" t="str">
        <f>IFERROR(__xludf.DUMMYFUNCTION("""COMPUTED_VALUE"""),"09Sep")</f>
        <v>09Sep</v>
      </c>
      <c r="F671" s="10" t="str">
        <f>IFERROR(__xludf.DUMMYFUNCTION("""COMPUTED_VALUE"""),"2023")</f>
        <v>2023</v>
      </c>
      <c r="G671" s="16" t="str">
        <f>IFERROR(__xludf.DUMMYFUNCTION("""COMPUTED_VALUE"""),"GALIH AULIA AKBAR")</f>
        <v>GALIH AULIA AKBAR</v>
      </c>
      <c r="H671" s="17" t="str">
        <f>IFERROR(__xludf.DUMMYFUNCTION("""COMPUTED_VALUE"""),"G8423095758")</f>
        <v>G8423095758</v>
      </c>
      <c r="I671" s="17">
        <f>IFERROR(__xludf.DUMMYFUNCTION("""COMPUTED_VALUE"""),41.0)</f>
        <v>41</v>
      </c>
      <c r="J671" s="17" t="str">
        <f>IFERROR(__xludf.DUMMYFUNCTION("""COMPUTED_VALUE"""),"35-44 tahun")</f>
        <v>35-44 tahun</v>
      </c>
      <c r="K671" s="19">
        <f>IFERROR(__xludf.DUMMYFUNCTION("""COMPUTED_VALUE"""),30863.0)</f>
        <v>30863</v>
      </c>
      <c r="L671" s="19" t="str">
        <f>IFERROR(__xludf.DUMMYFUNCTION("""COMPUTED_VALUE"""),"LAKI-LAKI")</f>
        <v>LAKI-LAKI</v>
      </c>
      <c r="M671" s="16" t="str">
        <f>IFERROR(__xludf.DUMMYFUNCTION("""COMPUTED_VALUE"""),"Jl. Dewi Sartika-Batu")</f>
        <v>Jl. Dewi Sartika-Batu</v>
      </c>
      <c r="N671" s="16"/>
      <c r="O671" s="16"/>
      <c r="P671" s="16"/>
      <c r="Q671" s="16"/>
      <c r="R671" s="19" t="str">
        <f>IFERROR(__xludf.DUMMYFUNCTION("""COMPUTED_VALUE"""),"ISLAM")</f>
        <v>ISLAM</v>
      </c>
      <c r="S671" s="16" t="str">
        <f>IFERROR(__xludf.DUMMYFUNCTION("""COMPUTED_VALUE"""),"WIRASWASTA")</f>
        <v>WIRASWASTA</v>
      </c>
      <c r="T671" s="16" t="str">
        <f>IFERROR(__xludf.DUMMYFUNCTION("""COMPUTED_VALUE"""),"NYERI LEHER PUNDAK")</f>
        <v>NYERI LEHER PUNDAK</v>
      </c>
      <c r="U671" s="16" t="str">
        <f>IFERROR(__xludf.DUMMYFUNCTION("""COMPUTED_VALUE"""),"GADGET")</f>
        <v>GADGET</v>
      </c>
      <c r="V671" s="11" t="str">
        <f>IFERROR(__xludf.DUMMYFUNCTION("""COMPUTED_VALUE"""),"081929215758")</f>
        <v>081929215758</v>
      </c>
      <c r="W671" s="15"/>
    </row>
    <row r="672" ht="22.5" customHeight="1">
      <c r="A672" s="8"/>
      <c r="B672" s="9">
        <f>IFERROR(__xludf.DUMMYFUNCTION("""COMPUTED_VALUE"""),45173.60580130787)</f>
        <v>45173.6058</v>
      </c>
      <c r="C672" s="9"/>
      <c r="D672" s="10">
        <f>IFERROR(__xludf.DUMMYFUNCTION("""COMPUTED_VALUE"""),45172.0)</f>
        <v>45172</v>
      </c>
      <c r="E672" s="10" t="str">
        <f>IFERROR(__xludf.DUMMYFUNCTION("""COMPUTED_VALUE"""),"09Sep")</f>
        <v>09Sep</v>
      </c>
      <c r="F672" s="10" t="str">
        <f>IFERROR(__xludf.DUMMYFUNCTION("""COMPUTED_VALUE"""),"2023")</f>
        <v>2023</v>
      </c>
      <c r="G672" s="16" t="str">
        <f>IFERROR(__xludf.DUMMYFUNCTION("""COMPUTED_VALUE"""),"ARIS SOEPONO")</f>
        <v>ARIS SOEPONO</v>
      </c>
      <c r="H672" s="17" t="str">
        <f>IFERROR(__xludf.DUMMYFUNCTION("""COMPUTED_VALUE"""),"A5323096683")</f>
        <v>A5323096683</v>
      </c>
      <c r="I672" s="17">
        <f>IFERROR(__xludf.DUMMYFUNCTION("""COMPUTED_VALUE"""),73.0)</f>
        <v>73</v>
      </c>
      <c r="J672" s="17" t="str">
        <f>IFERROR(__xludf.DUMMYFUNCTION("""COMPUTED_VALUE"""),"&gt; 44 tahun")</f>
        <v>&gt; 44 tahun</v>
      </c>
      <c r="K672" s="19">
        <f>IFERROR(__xludf.DUMMYFUNCTION("""COMPUTED_VALUE"""),19450.0)</f>
        <v>19450</v>
      </c>
      <c r="L672" s="19" t="str">
        <f>IFERROR(__xludf.DUMMYFUNCTION("""COMPUTED_VALUE"""),"LAKI-LAKI")</f>
        <v>LAKI-LAKI</v>
      </c>
      <c r="M672" s="16" t="str">
        <f>IFERROR(__xludf.DUMMYFUNCTION("""COMPUTED_VALUE"""),"Jalan parit haji husin 1 gang palaguna no 14")</f>
        <v>Jalan parit haji husin 1 gang palaguna no 14</v>
      </c>
      <c r="N672" s="16"/>
      <c r="O672" s="16"/>
      <c r="P672" s="16"/>
      <c r="Q672" s="16"/>
      <c r="R672" s="19" t="str">
        <f>IFERROR(__xludf.DUMMYFUNCTION("""COMPUTED_VALUE"""),"ISLAM")</f>
        <v>ISLAM</v>
      </c>
      <c r="S672" s="16" t="str">
        <f>IFERROR(__xludf.DUMMYFUNCTION("""COMPUTED_VALUE"""),"TNI/POLRI")</f>
        <v>TNI/POLRI</v>
      </c>
      <c r="T672" s="16" t="str">
        <f>IFERROR(__xludf.DUMMYFUNCTION("""COMPUTED_VALUE"""),"Jari telunjuk terasa sakit jika digerakan")</f>
        <v>Jari telunjuk terasa sakit jika digerakan</v>
      </c>
      <c r="U672" s="16" t="str">
        <f>IFERROR(__xludf.DUMMYFUNCTION("""COMPUTED_VALUE"""),"Olahraga dan aktifitas biasa di rimah")</f>
        <v>Olahraga dan aktifitas biasa di rimah</v>
      </c>
      <c r="V672" s="11" t="str">
        <f>IFERROR(__xludf.DUMMYFUNCTION("""COMPUTED_VALUE"""),"089675026683")</f>
        <v>089675026683</v>
      </c>
      <c r="W672" s="15"/>
    </row>
    <row r="673" ht="22.5" customHeight="1">
      <c r="A673" s="8"/>
      <c r="B673" s="9">
        <f>IFERROR(__xludf.DUMMYFUNCTION("""COMPUTED_VALUE"""),45173.60656355324)</f>
        <v>45173.60656</v>
      </c>
      <c r="C673" s="9"/>
      <c r="D673" s="10">
        <f>IFERROR(__xludf.DUMMYFUNCTION("""COMPUTED_VALUE"""),45173.0)</f>
        <v>45173</v>
      </c>
      <c r="E673" s="10" t="str">
        <f>IFERROR(__xludf.DUMMYFUNCTION("""COMPUTED_VALUE"""),"09Sep")</f>
        <v>09Sep</v>
      </c>
      <c r="F673" s="10" t="str">
        <f>IFERROR(__xludf.DUMMYFUNCTION("""COMPUTED_VALUE"""),"2023")</f>
        <v>2023</v>
      </c>
      <c r="G673" s="16" t="str">
        <f>IFERROR(__xludf.DUMMYFUNCTION("""COMPUTED_VALUE"""),"SUGIONO")</f>
        <v>SUGIONO</v>
      </c>
      <c r="H673" s="17" t="str">
        <f>IFERROR(__xludf.DUMMYFUNCTION("""COMPUTED_VALUE"""),"S7323093066")</f>
        <v>S7323093066</v>
      </c>
      <c r="I673" s="17">
        <f>IFERROR(__xludf.DUMMYFUNCTION("""COMPUTED_VALUE"""),53.0)</f>
        <v>53</v>
      </c>
      <c r="J673" s="17" t="str">
        <f>IFERROR(__xludf.DUMMYFUNCTION("""COMPUTED_VALUE"""),"&gt; 44 tahun")</f>
        <v>&gt; 44 tahun</v>
      </c>
      <c r="K673" s="19">
        <f>IFERROR(__xludf.DUMMYFUNCTION("""COMPUTED_VALUE"""),26751.0)</f>
        <v>26751</v>
      </c>
      <c r="L673" s="19" t="str">
        <f>IFERROR(__xludf.DUMMYFUNCTION("""COMPUTED_VALUE"""),"LAKI-LAKI")</f>
        <v>LAKI-LAKI</v>
      </c>
      <c r="M673" s="16" t="str">
        <f>IFERROR(__xludf.DUMMYFUNCTION("""COMPUTED_VALUE"""),"Jl.purnama 2 no 89")</f>
        <v>Jl.purnama 2 no 89</v>
      </c>
      <c r="N673" s="16"/>
      <c r="O673" s="16"/>
      <c r="P673" s="16"/>
      <c r="Q673" s="16"/>
      <c r="R673" s="19" t="str">
        <f>IFERROR(__xludf.DUMMYFUNCTION("""COMPUTED_VALUE"""),"BUDDHA")</f>
        <v>BUDDHA</v>
      </c>
      <c r="S673" s="16" t="str">
        <f>IFERROR(__xludf.DUMMYFUNCTION("""COMPUTED_VALUE"""),"SWASTA")</f>
        <v>SWASTA</v>
      </c>
      <c r="T673" s="16" t="str">
        <f>IFERROR(__xludf.DUMMYFUNCTION("""COMPUTED_VALUE"""),"SYARAF KEJEPIT")</f>
        <v>SYARAF KEJEPIT</v>
      </c>
      <c r="U673" s="16" t="str">
        <f>IFERROR(__xludf.DUMMYFUNCTION("""COMPUTED_VALUE"""),"NONTON TV")</f>
        <v>NONTON TV</v>
      </c>
      <c r="V673" s="11" t="str">
        <f>IFERROR(__xludf.DUMMYFUNCTION("""COMPUTED_VALUE"""),"0811573066")</f>
        <v>0811573066</v>
      </c>
      <c r="W673" s="15"/>
    </row>
    <row r="674" ht="22.5" customHeight="1">
      <c r="A674" s="8"/>
      <c r="B674" s="9">
        <f>IFERROR(__xludf.DUMMYFUNCTION("""COMPUTED_VALUE"""),45167.79171754629)</f>
        <v>45167.79172</v>
      </c>
      <c r="C674" s="9"/>
      <c r="D674" s="10">
        <f>IFERROR(__xludf.DUMMYFUNCTION("""COMPUTED_VALUE"""),45173.0)</f>
        <v>45173</v>
      </c>
      <c r="E674" s="10" t="str">
        <f>IFERROR(__xludf.DUMMYFUNCTION("""COMPUTED_VALUE"""),"09Sep")</f>
        <v>09Sep</v>
      </c>
      <c r="F674" s="10" t="str">
        <f>IFERROR(__xludf.DUMMYFUNCTION("""COMPUTED_VALUE"""),"2023")</f>
        <v>2023</v>
      </c>
      <c r="G674" s="16" t="str">
        <f>IFERROR(__xludf.DUMMYFUNCTION("""COMPUTED_VALUE"""),"BRYAN HARLAN SIBARANI")</f>
        <v>BRYAN HARLAN SIBARANI</v>
      </c>
      <c r="H674" s="17" t="str">
        <f>IFERROR(__xludf.DUMMYFUNCTION("""COMPUTED_VALUE"""),"B8823098707")</f>
        <v>B8823098707</v>
      </c>
      <c r="I674" s="17">
        <f>IFERROR(__xludf.DUMMYFUNCTION("""COMPUTED_VALUE"""),37.0)</f>
        <v>37</v>
      </c>
      <c r="J674" s="17" t="str">
        <f>IFERROR(__xludf.DUMMYFUNCTION("""COMPUTED_VALUE"""),"35-44 tahun")</f>
        <v>35-44 tahun</v>
      </c>
      <c r="K674" s="19">
        <f>IFERROR(__xludf.DUMMYFUNCTION("""COMPUTED_VALUE"""),32485.0)</f>
        <v>32485</v>
      </c>
      <c r="L674" s="19" t="str">
        <f>IFERROR(__xludf.DUMMYFUNCTION("""COMPUTED_VALUE"""),"LAKI-LAKI")</f>
        <v>LAKI-LAKI</v>
      </c>
      <c r="M674" s="16" t="str">
        <f>IFERROR(__xludf.DUMMYFUNCTION("""COMPUTED_VALUE"""),"6471050812880006")</f>
        <v>6471050812880006</v>
      </c>
      <c r="N674" s="16"/>
      <c r="O674" s="16"/>
      <c r="P674" s="16"/>
      <c r="Q674" s="16"/>
      <c r="R674" s="19" t="str">
        <f>IFERROR(__xludf.DUMMYFUNCTION("""COMPUTED_VALUE"""),"PROTESTAN")</f>
        <v>PROTESTAN</v>
      </c>
      <c r="S674" s="16" t="str">
        <f>IFERROR(__xludf.DUMMYFUNCTION("""COMPUTED_VALUE"""),"SWASTA")</f>
        <v>SWASTA</v>
      </c>
      <c r="T674" s="36" t="str">
        <f>IFERROR(__xludf.DUMMYFUNCTION("""COMPUTED_VALUE"""),"Hamstring paha kiri dan engsel bahu tangan kiri")</f>
        <v>Hamstring paha kiri dan engsel bahu tangan kiri</v>
      </c>
      <c r="U674" s="16" t="str">
        <f>IFERROR(__xludf.DUMMYFUNCTION("""COMPUTED_VALUE"""),"BASKETBALL")</f>
        <v>BASKETBALL</v>
      </c>
      <c r="V674" s="11" t="str">
        <f>IFERROR(__xludf.DUMMYFUNCTION("""COMPUTED_VALUE"""),"0811598707")</f>
        <v>0811598707</v>
      </c>
      <c r="W674" s="15"/>
    </row>
    <row r="675" ht="22.5" customHeight="1">
      <c r="A675" s="8"/>
      <c r="B675" s="9">
        <f>IFERROR(__xludf.DUMMYFUNCTION("""COMPUTED_VALUE"""),45173.62416636574)</f>
        <v>45173.62417</v>
      </c>
      <c r="C675" s="9"/>
      <c r="D675" s="10">
        <f>IFERROR(__xludf.DUMMYFUNCTION("""COMPUTED_VALUE"""),45173.0)</f>
        <v>45173</v>
      </c>
      <c r="E675" s="10" t="str">
        <f>IFERROR(__xludf.DUMMYFUNCTION("""COMPUTED_VALUE"""),"09Sep")</f>
        <v>09Sep</v>
      </c>
      <c r="F675" s="10" t="str">
        <f>IFERROR(__xludf.DUMMYFUNCTION("""COMPUTED_VALUE"""),"2023")</f>
        <v>2023</v>
      </c>
      <c r="G675" s="16" t="str">
        <f>IFERROR(__xludf.DUMMYFUNCTION("""COMPUTED_VALUE"""),"MARETHA AMRAYNI")</f>
        <v>MARETHA AMRAYNI</v>
      </c>
      <c r="H675" s="17" t="str">
        <f>IFERROR(__xludf.DUMMYFUNCTION("""COMPUTED_VALUE"""),"M8423098883")</f>
        <v>M8423098883</v>
      </c>
      <c r="I675" s="17">
        <f>IFERROR(__xludf.DUMMYFUNCTION("""COMPUTED_VALUE"""),42.0)</f>
        <v>42</v>
      </c>
      <c r="J675" s="17" t="str">
        <f>IFERROR(__xludf.DUMMYFUNCTION("""COMPUTED_VALUE"""),"35-44 tahun")</f>
        <v>35-44 tahun</v>
      </c>
      <c r="K675" s="19">
        <f>IFERROR(__xludf.DUMMYFUNCTION("""COMPUTED_VALUE"""),30769.0)</f>
        <v>30769</v>
      </c>
      <c r="L675" s="19" t="str">
        <f>IFERROR(__xludf.DUMMYFUNCTION("""COMPUTED_VALUE"""),"PEREMPUAN")</f>
        <v>PEREMPUAN</v>
      </c>
      <c r="M675" s="16" t="str">
        <f>IFERROR(__xludf.DUMMYFUNCTION("""COMPUTED_VALUE"""),"Komp. Grand 8 Residence no.D7")</f>
        <v>Komp. Grand 8 Residence no.D7</v>
      </c>
      <c r="N675" s="16"/>
      <c r="O675" s="16"/>
      <c r="P675" s="16"/>
      <c r="Q675" s="16"/>
      <c r="R675" s="19" t="str">
        <f>IFERROR(__xludf.DUMMYFUNCTION("""COMPUTED_VALUE"""),"ISLAM")</f>
        <v>ISLAM</v>
      </c>
      <c r="S675" s="16" t="str">
        <f>IFERROR(__xludf.DUMMYFUNCTION("""COMPUTED_VALUE"""),"SWASTA")</f>
        <v>SWASTA</v>
      </c>
      <c r="T675" s="16" t="str">
        <f>IFERROR(__xludf.DUMMYFUNCTION("""COMPUTED_VALUE"""),"Nyeri di tungkai depan kaki kiri")</f>
        <v>Nyeri di tungkai depan kaki kiri</v>
      </c>
      <c r="U675" s="16" t="str">
        <f>IFERROR(__xludf.DUMMYFUNCTION("""COMPUTED_VALUE"""),"KARYAWAN - IRT")</f>
        <v>KARYAWAN - IRT</v>
      </c>
      <c r="V675" s="11" t="str">
        <f>IFERROR(__xludf.DUMMYFUNCTION("""COMPUTED_VALUE"""),"081322328883")</f>
        <v>081322328883</v>
      </c>
      <c r="W675" s="15"/>
    </row>
    <row r="676" ht="22.5" customHeight="1">
      <c r="A676" s="8"/>
      <c r="B676" s="9">
        <f>IFERROR(__xludf.DUMMYFUNCTION("""COMPUTED_VALUE"""),45173.7568024537)</f>
        <v>45173.7568</v>
      </c>
      <c r="C676" s="9"/>
      <c r="D676" s="10">
        <f>IFERROR(__xludf.DUMMYFUNCTION("""COMPUTED_VALUE"""),45173.0)</f>
        <v>45173</v>
      </c>
      <c r="E676" s="10" t="str">
        <f>IFERROR(__xludf.DUMMYFUNCTION("""COMPUTED_VALUE"""),"09Sep")</f>
        <v>09Sep</v>
      </c>
      <c r="F676" s="10" t="str">
        <f>IFERROR(__xludf.DUMMYFUNCTION("""COMPUTED_VALUE"""),"2023")</f>
        <v>2023</v>
      </c>
      <c r="G676" s="16" t="str">
        <f>IFERROR(__xludf.DUMMYFUNCTION("""COMPUTED_VALUE"""),"ANJAS PRAHARA INDIRWAN")</f>
        <v>ANJAS PRAHARA INDIRWAN</v>
      </c>
      <c r="H676" s="17" t="str">
        <f>IFERROR(__xludf.DUMMYFUNCTION("""COMPUTED_VALUE"""),"A9523097561")</f>
        <v>A9523097561</v>
      </c>
      <c r="I676" s="17">
        <f>IFERROR(__xludf.DUMMYFUNCTION("""COMPUTED_VALUE"""),30.0)</f>
        <v>30</v>
      </c>
      <c r="J676" s="17" t="str">
        <f>IFERROR(__xludf.DUMMYFUNCTION("""COMPUTED_VALUE"""),"25-34 tahun")</f>
        <v>25-34 tahun</v>
      </c>
      <c r="K676" s="19">
        <f>IFERROR(__xludf.DUMMYFUNCTION("""COMPUTED_VALUE"""),34975.0)</f>
        <v>34975</v>
      </c>
      <c r="L676" s="19" t="str">
        <f>IFERROR(__xludf.DUMMYFUNCTION("""COMPUTED_VALUE"""),"LAKI-LAKI")</f>
        <v>LAKI-LAKI</v>
      </c>
      <c r="M676" s="16" t="str">
        <f>IFERROR(__xludf.DUMMYFUNCTION("""COMPUTED_VALUE"""),"Jl.h rais arahman gg era baru dalam no.28b")</f>
        <v>Jl.h rais arahman gg era baru dalam no.28b</v>
      </c>
      <c r="N676" s="16"/>
      <c r="O676" s="16"/>
      <c r="P676" s="16"/>
      <c r="Q676" s="16"/>
      <c r="R676" s="19" t="str">
        <f>IFERROR(__xludf.DUMMYFUNCTION("""COMPUTED_VALUE"""),"ISLAM")</f>
        <v>ISLAM</v>
      </c>
      <c r="S676" s="16" t="str">
        <f>IFERROR(__xludf.DUMMYFUNCTION("""COMPUTED_VALUE"""),"SWASTA")</f>
        <v>SWASTA</v>
      </c>
      <c r="T676" s="16" t="str">
        <f>IFERROR(__xludf.DUMMYFUNCTION("""COMPUTED_VALUE"""),"KIRI BENGKAK")</f>
        <v>KIRI BENGKAK</v>
      </c>
      <c r="U676" s="16" t="str">
        <f>IFERROR(__xludf.DUMMYFUNCTION("""COMPUTED_VALUE"""),"LARI DAN DANCE")</f>
        <v>LARI DAN DANCE</v>
      </c>
      <c r="V676" s="11" t="str">
        <f>IFERROR(__xludf.DUMMYFUNCTION("""COMPUTED_VALUE"""),"082122977561")</f>
        <v>082122977561</v>
      </c>
      <c r="W676" s="15"/>
    </row>
    <row r="677" ht="22.5" customHeight="1">
      <c r="A677" s="8"/>
      <c r="B677" s="9">
        <f>IFERROR(__xludf.DUMMYFUNCTION("""COMPUTED_VALUE"""),45173.815310555554)</f>
        <v>45173.81531</v>
      </c>
      <c r="C677" s="9"/>
      <c r="D677" s="10">
        <f>IFERROR(__xludf.DUMMYFUNCTION("""COMPUTED_VALUE"""),45173.0)</f>
        <v>45173</v>
      </c>
      <c r="E677" s="10" t="str">
        <f>IFERROR(__xludf.DUMMYFUNCTION("""COMPUTED_VALUE"""),"09Sep")</f>
        <v>09Sep</v>
      </c>
      <c r="F677" s="10" t="str">
        <f>IFERROR(__xludf.DUMMYFUNCTION("""COMPUTED_VALUE"""),"2023")</f>
        <v>2023</v>
      </c>
      <c r="G677" s="16" t="str">
        <f>IFERROR(__xludf.DUMMYFUNCTION("""COMPUTED_VALUE"""),"BEATRIX HERJANTO")</f>
        <v>BEATRIX HERJANTO</v>
      </c>
      <c r="H677" s="17" t="str">
        <f>IFERROR(__xludf.DUMMYFUNCTION("""COMPUTED_VALUE"""),"B8723099133")</f>
        <v>B8723099133</v>
      </c>
      <c r="I677" s="17">
        <f>IFERROR(__xludf.DUMMYFUNCTION("""COMPUTED_VALUE"""),38.0)</f>
        <v>38</v>
      </c>
      <c r="J677" s="17" t="str">
        <f>IFERROR(__xludf.DUMMYFUNCTION("""COMPUTED_VALUE"""),"35-44 tahun")</f>
        <v>35-44 tahun</v>
      </c>
      <c r="K677" s="19">
        <f>IFERROR(__xludf.DUMMYFUNCTION("""COMPUTED_VALUE"""),32026.0)</f>
        <v>32026</v>
      </c>
      <c r="L677" s="19" t="str">
        <f>IFERROR(__xludf.DUMMYFUNCTION("""COMPUTED_VALUE"""),"PEREMPUAN")</f>
        <v>PEREMPUAN</v>
      </c>
      <c r="M677" s="16" t="str">
        <f>IFERROR(__xludf.DUMMYFUNCTION("""COMPUTED_VALUE"""),"Taman alfa indah a5 no 7")</f>
        <v>Taman alfa indah a5 no 7</v>
      </c>
      <c r="N677" s="16"/>
      <c r="O677" s="16"/>
      <c r="P677" s="16"/>
      <c r="Q677" s="16"/>
      <c r="R677" s="19" t="str">
        <f>IFERROR(__xludf.DUMMYFUNCTION("""COMPUTED_VALUE"""),"PROTESTAN")</f>
        <v>PROTESTAN</v>
      </c>
      <c r="S677" s="16" t="str">
        <f>IFERROR(__xludf.DUMMYFUNCTION("""COMPUTED_VALUE"""),"RUMAH TANGGA")</f>
        <v>RUMAH TANGGA</v>
      </c>
      <c r="T677" s="16" t="str">
        <f>IFERROR(__xludf.DUMMYFUNCTION("""COMPUTED_VALUE"""),"Pergelangan kaki &amp;")</f>
        <v>Pergelangan kaki &amp;</v>
      </c>
      <c r="U677" s="16" t="str">
        <f>IFERROR(__xludf.DUMMYFUNCTION("""COMPUTED_VALUE"""),"OLAHRAGA")</f>
        <v>OLAHRAGA</v>
      </c>
      <c r="V677" s="11" t="str">
        <f>IFERROR(__xludf.DUMMYFUNCTION("""COMPUTED_VALUE"""),"08119119133")</f>
        <v>08119119133</v>
      </c>
      <c r="W677" s="15"/>
    </row>
    <row r="678" ht="22.5" customHeight="1">
      <c r="A678" s="8"/>
      <c r="B678" s="9">
        <f>IFERROR(__xludf.DUMMYFUNCTION("""COMPUTED_VALUE"""),45174.38641695602)</f>
        <v>45174.38642</v>
      </c>
      <c r="C678" s="9"/>
      <c r="D678" s="10">
        <f>IFERROR(__xludf.DUMMYFUNCTION("""COMPUTED_VALUE"""),45173.0)</f>
        <v>45173</v>
      </c>
      <c r="E678" s="10" t="str">
        <f>IFERROR(__xludf.DUMMYFUNCTION("""COMPUTED_VALUE"""),"09Sep")</f>
        <v>09Sep</v>
      </c>
      <c r="F678" s="10" t="str">
        <f>IFERROR(__xludf.DUMMYFUNCTION("""COMPUTED_VALUE"""),"2023")</f>
        <v>2023</v>
      </c>
      <c r="G678" s="16" t="str">
        <f>IFERROR(__xludf.DUMMYFUNCTION("""COMPUTED_VALUE"""),"MEIDI8605")</f>
        <v>MEIDI8605</v>
      </c>
      <c r="H678" s="17" t="str">
        <f>IFERROR(__xludf.DUMMYFUNCTION("""COMPUTED_VALUE"""),"M8623099966")</f>
        <v>M8623099966</v>
      </c>
      <c r="I678" s="17">
        <f>IFERROR(__xludf.DUMMYFUNCTION("""COMPUTED_VALUE"""),40.0)</f>
        <v>40</v>
      </c>
      <c r="J678" s="17" t="str">
        <f>IFERROR(__xludf.DUMMYFUNCTION("""COMPUTED_VALUE"""),"35-44 tahun")</f>
        <v>35-44 tahun</v>
      </c>
      <c r="K678" s="19">
        <f>IFERROR(__xludf.DUMMYFUNCTION("""COMPUTED_VALUE"""),31535.0)</f>
        <v>31535</v>
      </c>
      <c r="L678" s="19" t="str">
        <f>IFERROR(__xludf.DUMMYFUNCTION("""COMPUTED_VALUE"""),"LAKI-LAKI")</f>
        <v>LAKI-LAKI</v>
      </c>
      <c r="M678" s="16" t="str">
        <f>IFERROR(__xludf.DUMMYFUNCTION("""COMPUTED_VALUE"""),"Jl HRA Rachman 132 B")</f>
        <v>Jl HRA Rachman 132 B</v>
      </c>
      <c r="N678" s="16"/>
      <c r="O678" s="16"/>
      <c r="P678" s="16"/>
      <c r="Q678" s="16"/>
      <c r="R678" s="19" t="str">
        <f>IFERROR(__xludf.DUMMYFUNCTION("""COMPUTED_VALUE"""),"PROTESTAN")</f>
        <v>PROTESTAN</v>
      </c>
      <c r="S678" s="16" t="str">
        <f>IFERROR(__xludf.DUMMYFUNCTION("""COMPUTED_VALUE"""),"WIRASWASTA")</f>
        <v>WIRASWASTA</v>
      </c>
      <c r="T678" s="16"/>
      <c r="U678" s="16" t="str">
        <f>IFERROR(__xludf.DUMMYFUNCTION("""COMPUTED_VALUE"""),"BEKERJA")</f>
        <v>BEKERJA</v>
      </c>
      <c r="V678" s="11" t="str">
        <f>IFERROR(__xludf.DUMMYFUNCTION("""COMPUTED_VALUE"""),"081257559966")</f>
        <v>081257559966</v>
      </c>
      <c r="W678" s="15"/>
    </row>
    <row r="679" ht="22.5" customHeight="1">
      <c r="A679" s="8"/>
      <c r="B679" s="9">
        <f>IFERROR(__xludf.DUMMYFUNCTION("""COMPUTED_VALUE"""),45173.88642594907)</f>
        <v>45173.88643</v>
      </c>
      <c r="C679" s="9"/>
      <c r="D679" s="10">
        <f>IFERROR(__xludf.DUMMYFUNCTION("""COMPUTED_VALUE"""),45173.0)</f>
        <v>45173</v>
      </c>
      <c r="E679" s="10" t="str">
        <f>IFERROR(__xludf.DUMMYFUNCTION("""COMPUTED_VALUE"""),"09Sep")</f>
        <v>09Sep</v>
      </c>
      <c r="F679" s="10" t="str">
        <f>IFERROR(__xludf.DUMMYFUNCTION("""COMPUTED_VALUE"""),"2023")</f>
        <v>2023</v>
      </c>
      <c r="G679" s="16" t="str">
        <f>IFERROR(__xludf.DUMMYFUNCTION("""COMPUTED_VALUE"""),"RUSMINIARTI")</f>
        <v>RUSMINIARTI</v>
      </c>
      <c r="H679" s="17" t="str">
        <f>IFERROR(__xludf.DUMMYFUNCTION("""COMPUTED_VALUE"""),"R5823090638")</f>
        <v>R5823090638</v>
      </c>
      <c r="I679" s="17">
        <f>IFERROR(__xludf.DUMMYFUNCTION("""COMPUTED_VALUE"""),67.0)</f>
        <v>67</v>
      </c>
      <c r="J679" s="17" t="str">
        <f>IFERROR(__xludf.DUMMYFUNCTION("""COMPUTED_VALUE"""),"&gt; 44 tahun")</f>
        <v>&gt; 44 tahun</v>
      </c>
      <c r="K679" s="19">
        <f>IFERROR(__xludf.DUMMYFUNCTION("""COMPUTED_VALUE"""),21417.0)</f>
        <v>21417</v>
      </c>
      <c r="L679" s="19" t="str">
        <f>IFERROR(__xludf.DUMMYFUNCTION("""COMPUTED_VALUE"""),"PEREMPUAN")</f>
        <v>PEREMPUAN</v>
      </c>
      <c r="M679" s="16" t="str">
        <f>IFERROR(__xludf.DUMMYFUNCTION("""COMPUTED_VALUE"""),"JL. SUNGAI JAWI GG. SELAMAT 3 NO. 33")</f>
        <v>JL. SUNGAI JAWI GG. SELAMAT 3 NO. 33</v>
      </c>
      <c r="N679" s="16"/>
      <c r="O679" s="16"/>
      <c r="P679" s="16"/>
      <c r="Q679" s="16"/>
      <c r="R679" s="19" t="str">
        <f>IFERROR(__xludf.DUMMYFUNCTION("""COMPUTED_VALUE"""),"ISLAM")</f>
        <v>ISLAM</v>
      </c>
      <c r="S679" s="16" t="str">
        <f>IFERROR(__xludf.DUMMYFUNCTION("""COMPUTED_VALUE"""),"RUMAH TANGGA")</f>
        <v>RUMAH TANGGA</v>
      </c>
      <c r="T679" s="16" t="str">
        <f>IFERROR(__xludf.DUMMYFUNCTION("""COMPUTED_VALUE"""),"BETIS")</f>
        <v>BETIS</v>
      </c>
      <c r="U679" s="16" t="str">
        <f>IFERROR(__xludf.DUMMYFUNCTION("""COMPUTED_VALUE"""),"MASAK")</f>
        <v>MASAK</v>
      </c>
      <c r="V679" s="11" t="str">
        <f>IFERROR(__xludf.DUMMYFUNCTION("""COMPUTED_VALUE"""),"085245410638")</f>
        <v>085245410638</v>
      </c>
      <c r="W679" s="15"/>
    </row>
    <row r="680" ht="22.5" customHeight="1">
      <c r="A680" s="8"/>
      <c r="B680" s="9">
        <f>IFERROR(__xludf.DUMMYFUNCTION("""COMPUTED_VALUE"""),45173.95003861111)</f>
        <v>45173.95004</v>
      </c>
      <c r="C680" s="9"/>
      <c r="D680" s="10">
        <f>IFERROR(__xludf.DUMMYFUNCTION("""COMPUTED_VALUE"""),45174.0)</f>
        <v>45174</v>
      </c>
      <c r="E680" s="10" t="str">
        <f>IFERROR(__xludf.DUMMYFUNCTION("""COMPUTED_VALUE"""),"09Sep")</f>
        <v>09Sep</v>
      </c>
      <c r="F680" s="10" t="str">
        <f>IFERROR(__xludf.DUMMYFUNCTION("""COMPUTED_VALUE"""),"2023")</f>
        <v>2023</v>
      </c>
      <c r="G680" s="16" t="str">
        <f>IFERROR(__xludf.DUMMYFUNCTION("""COMPUTED_VALUE"""),"ILHAM NURHADI")</f>
        <v>ILHAM NURHADI</v>
      </c>
      <c r="H680" s="17" t="str">
        <f>IFERROR(__xludf.DUMMYFUNCTION("""COMPUTED_VALUE"""),"I9723093534")</f>
        <v>I9723093534</v>
      </c>
      <c r="I680" s="17">
        <f>IFERROR(__xludf.DUMMYFUNCTION("""COMPUTED_VALUE"""),28.0)</f>
        <v>28</v>
      </c>
      <c r="J680" s="17" t="str">
        <f>IFERROR(__xludf.DUMMYFUNCTION("""COMPUTED_VALUE"""),"25-34 tahun")</f>
        <v>25-34 tahun</v>
      </c>
      <c r="K680" s="19">
        <f>IFERROR(__xludf.DUMMYFUNCTION("""COMPUTED_VALUE"""),35758.0)</f>
        <v>35758</v>
      </c>
      <c r="L680" s="19" t="str">
        <f>IFERROR(__xludf.DUMMYFUNCTION("""COMPUTED_VALUE"""),"LAKI-LAKI")</f>
        <v>LAKI-LAKI</v>
      </c>
      <c r="M680" s="16" t="str">
        <f>IFERROR(__xludf.DUMMYFUNCTION("""COMPUTED_VALUE"""),"SINTANG")</f>
        <v>SINTANG</v>
      </c>
      <c r="N680" s="16"/>
      <c r="O680" s="16"/>
      <c r="P680" s="16"/>
      <c r="Q680" s="16"/>
      <c r="R680" s="19" t="str">
        <f>IFERROR(__xludf.DUMMYFUNCTION("""COMPUTED_VALUE"""),"ISLAM")</f>
        <v>ISLAM</v>
      </c>
      <c r="S680" s="16" t="str">
        <f>IFERROR(__xludf.DUMMYFUNCTION("""COMPUTED_VALUE"""),"SWASTA")</f>
        <v>SWASTA</v>
      </c>
      <c r="T680" s="16" t="str">
        <f>IFERROR(__xludf.DUMMYFUNCTION("""COMPUTED_VALUE"""),"syaraf kejepit, sampe otot bokong, otot paha dan betis tegang, kaki susah lurus juga")</f>
        <v>syaraf kejepit, sampe otot bokong, otot paha dan betis tegang, kaki susah lurus juga</v>
      </c>
      <c r="U680" s="16" t="str">
        <f>IFERROR(__xludf.DUMMYFUNCTION("""COMPUTED_VALUE"""),"FUTSAL DAN JAGA TOKO")</f>
        <v>FUTSAL DAN JAGA TOKO</v>
      </c>
      <c r="V680" s="11" t="str">
        <f>IFERROR(__xludf.DUMMYFUNCTION("""COMPUTED_VALUE"""),"081258643534")</f>
        <v>081258643534</v>
      </c>
      <c r="W680" s="15"/>
    </row>
    <row r="681" ht="22.5" customHeight="1">
      <c r="A681" s="8"/>
      <c r="B681" s="9"/>
      <c r="C681" s="9"/>
      <c r="D681" s="10">
        <f>IFERROR(__xludf.DUMMYFUNCTION("""COMPUTED_VALUE"""),45174.0)</f>
        <v>45174</v>
      </c>
      <c r="E681" s="10" t="str">
        <f>IFERROR(__xludf.DUMMYFUNCTION("""COMPUTED_VALUE"""),"09Sep")</f>
        <v>09Sep</v>
      </c>
      <c r="F681" s="10" t="str">
        <f>IFERROR(__xludf.DUMMYFUNCTION("""COMPUTED_VALUE"""),"2023")</f>
        <v>2023</v>
      </c>
      <c r="G681" s="16" t="str">
        <f>IFERROR(__xludf.DUMMYFUNCTION("""COMPUTED_VALUE"""),"TUPARNO")</f>
        <v>TUPARNO</v>
      </c>
      <c r="H681" s="17" t="str">
        <f>IFERROR(__xludf.DUMMYFUNCTION("""COMPUTED_VALUE"""),"T7823097698")</f>
        <v>T7823097698</v>
      </c>
      <c r="I681" s="17">
        <f>IFERROR(__xludf.DUMMYFUNCTION("""COMPUTED_VALUE"""),47.0)</f>
        <v>47</v>
      </c>
      <c r="J681" s="17" t="str">
        <f>IFERROR(__xludf.DUMMYFUNCTION("""COMPUTED_VALUE"""),"&gt; 44 tahun")</f>
        <v>&gt; 44 tahun</v>
      </c>
      <c r="K681" s="19">
        <f>IFERROR(__xludf.DUMMYFUNCTION("""COMPUTED_VALUE"""),28717.0)</f>
        <v>28717</v>
      </c>
      <c r="L681" s="19" t="str">
        <f>IFERROR(__xludf.DUMMYFUNCTION("""COMPUTED_VALUE"""),"LAKI-LAKI")</f>
        <v>LAKI-LAKI</v>
      </c>
      <c r="M681" s="16" t="str">
        <f>IFERROR(__xludf.DUMMYFUNCTION("""COMPUTED_VALUE"""),"Jl harapan jaya GG Asia jaya")</f>
        <v>Jl harapan jaya GG Asia jaya</v>
      </c>
      <c r="N681" s="16"/>
      <c r="O681" s="16"/>
      <c r="P681" s="16"/>
      <c r="Q681" s="16"/>
      <c r="R681" s="19" t="str">
        <f>IFERROR(__xludf.DUMMYFUNCTION("""COMPUTED_VALUE"""),"ISLAM")</f>
        <v>ISLAM</v>
      </c>
      <c r="S681" s="16" t="str">
        <f>IFERROR(__xludf.DUMMYFUNCTION("""COMPUTED_VALUE"""),"SWASTA")</f>
        <v>SWASTA</v>
      </c>
      <c r="T681" s="16" t="str">
        <f>IFERROR(__xludf.DUMMYFUNCTION("""COMPUTED_VALUE"""),"Terapi selepas oprasi biar cepat bengkok")</f>
        <v>Terapi selepas oprasi biar cepat bengkok</v>
      </c>
      <c r="U681" s="16" t="str">
        <f>IFERROR(__xludf.DUMMYFUNCTION("""COMPUTED_VALUE"""),"OLAHRAGA")</f>
        <v>OLAHRAGA</v>
      </c>
      <c r="V681" s="11" t="str">
        <f>IFERROR(__xludf.DUMMYFUNCTION("""COMPUTED_VALUE"""),"085754347698")</f>
        <v>085754347698</v>
      </c>
      <c r="W681" s="15"/>
    </row>
    <row r="682" ht="22.5" customHeight="1">
      <c r="A682" s="8"/>
      <c r="B682" s="9"/>
      <c r="C682" s="9"/>
      <c r="D682" s="10">
        <f>IFERROR(__xludf.DUMMYFUNCTION("""COMPUTED_VALUE"""),45174.0)</f>
        <v>45174</v>
      </c>
      <c r="E682" s="10" t="str">
        <f>IFERROR(__xludf.DUMMYFUNCTION("""COMPUTED_VALUE"""),"09Sep")</f>
        <v>09Sep</v>
      </c>
      <c r="F682" s="10" t="str">
        <f>IFERROR(__xludf.DUMMYFUNCTION("""COMPUTED_VALUE"""),"2023")</f>
        <v>2023</v>
      </c>
      <c r="G682" s="16" t="str">
        <f>IFERROR(__xludf.DUMMYFUNCTION("""COMPUTED_VALUE"""),"SERGIO OREZA SILVATORA")</f>
        <v>SERGIO OREZA SILVATORA</v>
      </c>
      <c r="H682" s="17" t="str">
        <f>IFERROR(__xludf.DUMMYFUNCTION("""COMPUTED_VALUE"""),"S9823096202")</f>
        <v>S9823096202</v>
      </c>
      <c r="I682" s="17">
        <f>IFERROR(__xludf.DUMMYFUNCTION("""COMPUTED_VALUE"""),28.0)</f>
        <v>28</v>
      </c>
      <c r="J682" s="17" t="str">
        <f>IFERROR(__xludf.DUMMYFUNCTION("""COMPUTED_VALUE"""),"25-34 tahun")</f>
        <v>25-34 tahun</v>
      </c>
      <c r="K682" s="19">
        <f>IFERROR(__xludf.DUMMYFUNCTION("""COMPUTED_VALUE"""),35799.0)</f>
        <v>35799</v>
      </c>
      <c r="L682" s="19" t="str">
        <f>IFERROR(__xludf.DUMMYFUNCTION("""COMPUTED_VALUE"""),"LAKI-LAKI")</f>
        <v>LAKI-LAKI</v>
      </c>
      <c r="M682" s="16" t="str">
        <f>IFERROR(__xludf.DUMMYFUNCTION("""COMPUTED_VALUE"""),"Dusun Tungkul, Desa Hilir Kantor, kecamatan Ngabang Kabupaten Landak")</f>
        <v>Dusun Tungkul, Desa Hilir Kantor, kecamatan Ngabang Kabupaten Landak</v>
      </c>
      <c r="N682" s="16"/>
      <c r="O682" s="16"/>
      <c r="P682" s="16"/>
      <c r="Q682" s="16"/>
      <c r="R682" s="19" t="str">
        <f>IFERROR(__xludf.DUMMYFUNCTION("""COMPUTED_VALUE"""),"KATOLIK")</f>
        <v>KATOLIK</v>
      </c>
      <c r="S682" s="16" t="str">
        <f>IFERROR(__xludf.DUMMYFUNCTION("""COMPUTED_VALUE"""),"SWASTA")</f>
        <v>SWASTA</v>
      </c>
      <c r="T682" s="16" t="str">
        <f>IFERROR(__xludf.DUMMYFUNCTION("""COMPUTED_VALUE"""),"BAHU")</f>
        <v>BAHU</v>
      </c>
      <c r="U682" s="16" t="str">
        <f>IFERROR(__xludf.DUMMYFUNCTION("""COMPUTED_VALUE"""),"OLAHRAGA DAN BEKERJA")</f>
        <v>OLAHRAGA DAN BEKERJA</v>
      </c>
      <c r="V682" s="11" t="str">
        <f>IFERROR(__xludf.DUMMYFUNCTION("""COMPUTED_VALUE"""),"087879816202")</f>
        <v>087879816202</v>
      </c>
      <c r="W682" s="15"/>
    </row>
    <row r="683" ht="22.5" customHeight="1">
      <c r="A683" s="8"/>
      <c r="B683" s="9">
        <f>IFERROR(__xludf.DUMMYFUNCTION("""COMPUTED_VALUE"""),45176.66870278935)</f>
        <v>45176.6687</v>
      </c>
      <c r="C683" s="9"/>
      <c r="D683" s="10">
        <f>IFERROR(__xludf.DUMMYFUNCTION("""COMPUTED_VALUE"""),45174.0)</f>
        <v>45174</v>
      </c>
      <c r="E683" s="10" t="str">
        <f>IFERROR(__xludf.DUMMYFUNCTION("""COMPUTED_VALUE"""),"09Sep")</f>
        <v>09Sep</v>
      </c>
      <c r="F683" s="10" t="str">
        <f>IFERROR(__xludf.DUMMYFUNCTION("""COMPUTED_VALUE"""),"2023")</f>
        <v>2023</v>
      </c>
      <c r="G683" s="16" t="str">
        <f>IFERROR(__xludf.DUMMYFUNCTION("""COMPUTED_VALUE"""),"MASNILAWATI")</f>
        <v>MASNILAWATI</v>
      </c>
      <c r="H683" s="17" t="str">
        <f>IFERROR(__xludf.DUMMYFUNCTION("""COMPUTED_VALUE"""),"M6023095851")</f>
        <v>M6023095851</v>
      </c>
      <c r="I683" s="17">
        <f>IFERROR(__xludf.DUMMYFUNCTION("""COMPUTED_VALUE"""),65.0)</f>
        <v>65</v>
      </c>
      <c r="J683" s="17" t="str">
        <f>IFERROR(__xludf.DUMMYFUNCTION("""COMPUTED_VALUE"""),"&gt; 44 tahun")</f>
        <v>&gt; 44 tahun</v>
      </c>
      <c r="K683" s="19">
        <f>IFERROR(__xludf.DUMMYFUNCTION("""COMPUTED_VALUE"""),22231.0)</f>
        <v>22231</v>
      </c>
      <c r="L683" s="19" t="str">
        <f>IFERROR(__xludf.DUMMYFUNCTION("""COMPUTED_VALUE"""),"PEREMPUAN")</f>
        <v>PEREMPUAN</v>
      </c>
      <c r="M683" s="16" t="str">
        <f>IFERROR(__xludf.DUMMYFUNCTION("""COMPUTED_VALUE"""),"KABUPATEN SINTANG")</f>
        <v>KABUPATEN SINTANG</v>
      </c>
      <c r="N683" s="16"/>
      <c r="O683" s="16"/>
      <c r="P683" s="16"/>
      <c r="Q683" s="16"/>
      <c r="R683" s="19" t="str">
        <f>IFERROR(__xludf.DUMMYFUNCTION("""COMPUTED_VALUE"""),"ISLAM")</f>
        <v>ISLAM</v>
      </c>
      <c r="S683" s="16" t="str">
        <f>IFERROR(__xludf.DUMMYFUNCTION("""COMPUTED_VALUE"""),"RUMAH TANGGA")</f>
        <v>RUMAH TANGGA</v>
      </c>
      <c r="T683" s="16" t="str">
        <f>IFERROR(__xludf.DUMMYFUNCTION("""COMPUTED_VALUE"""),"SARAF KEJEPIT")</f>
        <v>SARAF KEJEPIT</v>
      </c>
      <c r="U683" s="16" t="str">
        <f>IFERROR(__xludf.DUMMYFUNCTION("""COMPUTED_VALUE"""),"OLAHRAGA")</f>
        <v>OLAHRAGA</v>
      </c>
      <c r="V683" s="11" t="str">
        <f>IFERROR(__xludf.DUMMYFUNCTION("""COMPUTED_VALUE"""),"082236575851")</f>
        <v>082236575851</v>
      </c>
      <c r="W683" s="15"/>
    </row>
    <row r="684" ht="22.5" customHeight="1">
      <c r="A684" s="8"/>
      <c r="B684" s="9">
        <f>IFERROR(__xludf.DUMMYFUNCTION("""COMPUTED_VALUE"""),45176.8603444676)</f>
        <v>45176.86034</v>
      </c>
      <c r="C684" s="9"/>
      <c r="D684" s="10">
        <f>IFERROR(__xludf.DUMMYFUNCTION("""COMPUTED_VALUE"""),45174.0)</f>
        <v>45174</v>
      </c>
      <c r="E684" s="10" t="str">
        <f>IFERROR(__xludf.DUMMYFUNCTION("""COMPUTED_VALUE"""),"09Sep")</f>
        <v>09Sep</v>
      </c>
      <c r="F684" s="10" t="str">
        <f>IFERROR(__xludf.DUMMYFUNCTION("""COMPUTED_VALUE"""),"2023")</f>
        <v>2023</v>
      </c>
      <c r="G684" s="16" t="str">
        <f>IFERROR(__xludf.DUMMYFUNCTION("""COMPUTED_VALUE"""),"CHARLESSIUS IWALDO LENDY")</f>
        <v>CHARLESSIUS IWALDO LENDY</v>
      </c>
      <c r="H684" s="17" t="str">
        <f>IFERROR(__xludf.DUMMYFUNCTION("""COMPUTED_VALUE"""),"C9323093223")</f>
        <v>C9323093223</v>
      </c>
      <c r="I684" s="17">
        <f>IFERROR(__xludf.DUMMYFUNCTION("""COMPUTED_VALUE"""),32.0)</f>
        <v>32</v>
      </c>
      <c r="J684" s="17" t="str">
        <f>IFERROR(__xludf.DUMMYFUNCTION("""COMPUTED_VALUE"""),"25-34 tahun")</f>
        <v>25-34 tahun</v>
      </c>
      <c r="K684" s="19">
        <f>IFERROR(__xludf.DUMMYFUNCTION("""COMPUTED_VALUE"""),34142.0)</f>
        <v>34142</v>
      </c>
      <c r="L684" s="19" t="str">
        <f>IFERROR(__xludf.DUMMYFUNCTION("""COMPUTED_VALUE"""),"LAKI-LAKI")</f>
        <v>LAKI-LAKI</v>
      </c>
      <c r="M684" s="16" t="str">
        <f>IFERROR(__xludf.DUMMYFUNCTION("""COMPUTED_VALUE"""),"Jalan madura no 44")</f>
        <v>Jalan madura no 44</v>
      </c>
      <c r="N684" s="16"/>
      <c r="O684" s="16"/>
      <c r="P684" s="16"/>
      <c r="Q684" s="16"/>
      <c r="R684" s="19" t="str">
        <f>IFERROR(__xludf.DUMMYFUNCTION("""COMPUTED_VALUE"""),"KATOLIK")</f>
        <v>KATOLIK</v>
      </c>
      <c r="S684" s="16" t="str">
        <f>IFERROR(__xludf.DUMMYFUNCTION("""COMPUTED_VALUE"""),"SWASTA")</f>
        <v>SWASTA</v>
      </c>
      <c r="T684" s="16" t="str">
        <f>IFERROR(__xludf.DUMMYFUNCTION("""COMPUTED_VALUE"""),"SAKIT AREA TUMIT")</f>
        <v>SAKIT AREA TUMIT</v>
      </c>
      <c r="U684" s="16" t="str">
        <f>IFERROR(__xludf.DUMMYFUNCTION("""COMPUTED_VALUE"""),"KERJA DAN OLAHRAGA")</f>
        <v>KERJA DAN OLAHRAGA</v>
      </c>
      <c r="V684" s="11" t="str">
        <f>IFERROR(__xludf.DUMMYFUNCTION("""COMPUTED_VALUE"""),"085750093223")</f>
        <v>085750093223</v>
      </c>
      <c r="W684" s="15"/>
    </row>
    <row r="685" ht="22.5" customHeight="1">
      <c r="A685" s="8"/>
      <c r="B685" s="9">
        <f>IFERROR(__xludf.DUMMYFUNCTION("""COMPUTED_VALUE"""),45178.44087466435)</f>
        <v>45178.44087</v>
      </c>
      <c r="C685" s="9"/>
      <c r="D685" s="10">
        <f>IFERROR(__xludf.DUMMYFUNCTION("""COMPUTED_VALUE"""),45175.0)</f>
        <v>45175</v>
      </c>
      <c r="E685" s="10" t="str">
        <f>IFERROR(__xludf.DUMMYFUNCTION("""COMPUTED_VALUE"""),"09Sep")</f>
        <v>09Sep</v>
      </c>
      <c r="F685" s="10" t="str">
        <f>IFERROR(__xludf.DUMMYFUNCTION("""COMPUTED_VALUE"""),"2023")</f>
        <v>2023</v>
      </c>
      <c r="G685" s="16" t="str">
        <f>IFERROR(__xludf.DUMMYFUNCTION("""COMPUTED_VALUE"""),"CENSEN HUANG")</f>
        <v>CENSEN HUANG</v>
      </c>
      <c r="H685" s="17" t="str">
        <f>IFERROR(__xludf.DUMMYFUNCTION("""COMPUTED_VALUE"""),"C0823099272")</f>
        <v>C0823099272</v>
      </c>
      <c r="I685" s="17">
        <f>IFERROR(__xludf.DUMMYFUNCTION("""COMPUTED_VALUE"""),18.0)</f>
        <v>18</v>
      </c>
      <c r="J685" s="17" t="str">
        <f>IFERROR(__xludf.DUMMYFUNCTION("""COMPUTED_VALUE"""),"&lt; 18 tahun")</f>
        <v>&lt; 18 tahun</v>
      </c>
      <c r="K685" s="19">
        <f>IFERROR(__xludf.DUMMYFUNCTION("""COMPUTED_VALUE"""),39486.0)</f>
        <v>39486</v>
      </c>
      <c r="L685" s="19" t="str">
        <f>IFERROR(__xludf.DUMMYFUNCTION("""COMPUTED_VALUE"""),"LAKI-LAKI")</f>
        <v>LAKI-LAKI</v>
      </c>
      <c r="M685" s="16" t="str">
        <f>IFERROR(__xludf.DUMMYFUNCTION("""COMPUTED_VALUE"""),"Jl uraybawadi gg tria 1 Ko.3B")</f>
        <v>Jl uraybawadi gg tria 1 Ko.3B</v>
      </c>
      <c r="N685" s="16"/>
      <c r="O685" s="16"/>
      <c r="P685" s="16"/>
      <c r="Q685" s="16"/>
      <c r="R685" s="19" t="str">
        <f>IFERROR(__xludf.DUMMYFUNCTION("""COMPUTED_VALUE"""),"KATOLIK")</f>
        <v>KATOLIK</v>
      </c>
      <c r="S685" s="16" t="str">
        <f>IFERROR(__xludf.DUMMYFUNCTION("""COMPUTED_VALUE"""),"PELAJAR/MAHASISWA")</f>
        <v>PELAJAR/MAHASISWA</v>
      </c>
      <c r="T685" s="16" t="str">
        <f>IFERROR(__xludf.DUMMYFUNCTION("""COMPUTED_VALUE"""),"CEDERA")</f>
        <v>CEDERA</v>
      </c>
      <c r="U685" s="16" t="str">
        <f>IFERROR(__xludf.DUMMYFUNCTION("""COMPUTED_VALUE"""),"OLAHRAGA BASKET")</f>
        <v>OLAHRAGA BASKET</v>
      </c>
      <c r="V685" s="11" t="str">
        <f>IFERROR(__xludf.DUMMYFUNCTION("""COMPUTED_VALUE"""),"089618429272")</f>
        <v>089618429272</v>
      </c>
      <c r="W685" s="15"/>
    </row>
    <row r="686" ht="22.5" customHeight="1">
      <c r="A686" s="8"/>
      <c r="B686" s="9">
        <f>IFERROR(__xludf.DUMMYFUNCTION("""COMPUTED_VALUE"""),45178.60823510417)</f>
        <v>45178.60824</v>
      </c>
      <c r="C686" s="9"/>
      <c r="D686" s="10">
        <f>IFERROR(__xludf.DUMMYFUNCTION("""COMPUTED_VALUE"""),45175.0)</f>
        <v>45175</v>
      </c>
      <c r="E686" s="10" t="str">
        <f>IFERROR(__xludf.DUMMYFUNCTION("""COMPUTED_VALUE"""),"09Sep")</f>
        <v>09Sep</v>
      </c>
      <c r="F686" s="10" t="str">
        <f>IFERROR(__xludf.DUMMYFUNCTION("""COMPUTED_VALUE"""),"2023")</f>
        <v>2023</v>
      </c>
      <c r="G686" s="16" t="str">
        <f>IFERROR(__xludf.DUMMYFUNCTION("""COMPUTED_VALUE"""),"MUHAMMAD ALWI ERLANGGA MUFHTI")</f>
        <v>MUHAMMAD ALWI ERLANGGA MUFHTI</v>
      </c>
      <c r="H686" s="17" t="str">
        <f>IFERROR(__xludf.DUMMYFUNCTION("""COMPUTED_VALUE"""),"M0923093242")</f>
        <v>M0923093242</v>
      </c>
      <c r="I686" s="17">
        <f>IFERROR(__xludf.DUMMYFUNCTION("""COMPUTED_VALUE"""),16.0)</f>
        <v>16</v>
      </c>
      <c r="J686" s="17" t="str">
        <f>IFERROR(__xludf.DUMMYFUNCTION("""COMPUTED_VALUE"""),"&lt; 18 tahun")</f>
        <v>&lt; 18 tahun</v>
      </c>
      <c r="K686" s="19">
        <f>IFERROR(__xludf.DUMMYFUNCTION("""COMPUTED_VALUE"""),40088.0)</f>
        <v>40088</v>
      </c>
      <c r="L686" s="19" t="str">
        <f>IFERROR(__xludf.DUMMYFUNCTION("""COMPUTED_VALUE"""),"LAKI-LAKI")</f>
        <v>LAKI-LAKI</v>
      </c>
      <c r="M686" s="16" t="str">
        <f>IFERROR(__xludf.DUMMYFUNCTION("""COMPUTED_VALUE"""),"Komplek griya Pratama 1")</f>
        <v>Komplek griya Pratama 1</v>
      </c>
      <c r="N686" s="16"/>
      <c r="O686" s="16"/>
      <c r="P686" s="16"/>
      <c r="Q686" s="16"/>
      <c r="R686" s="19" t="str">
        <f>IFERROR(__xludf.DUMMYFUNCTION("""COMPUTED_VALUE"""),"ISLAM")</f>
        <v>ISLAM</v>
      </c>
      <c r="S686" s="16" t="str">
        <f>IFERROR(__xludf.DUMMYFUNCTION("""COMPUTED_VALUE"""),"PELAJAR/MAHASISWA")</f>
        <v>PELAJAR/MAHASISWA</v>
      </c>
      <c r="T686" s="16" t="str">
        <f>IFERROR(__xludf.DUMMYFUNCTION("""COMPUTED_VALUE"""),"terasa terik di bagian paha samping")</f>
        <v>terasa terik di bagian paha samping</v>
      </c>
      <c r="U686" s="16" t="str">
        <f>IFERROR(__xludf.DUMMYFUNCTION("""COMPUTED_VALUE"""),"bermain bola/futsal dan lari lari")</f>
        <v>bermain bola/futsal dan lari lari</v>
      </c>
      <c r="V686" s="11" t="str">
        <f>IFERROR(__xludf.DUMMYFUNCTION("""COMPUTED_VALUE"""),"081345023242")</f>
        <v>081345023242</v>
      </c>
      <c r="W686" s="15"/>
    </row>
    <row r="687" ht="22.5" customHeight="1">
      <c r="A687" s="8"/>
      <c r="B687" s="9">
        <f>IFERROR(__xludf.DUMMYFUNCTION("""COMPUTED_VALUE"""),45178.735148576394)</f>
        <v>45178.73515</v>
      </c>
      <c r="C687" s="9"/>
      <c r="D687" s="10">
        <f>IFERROR(__xludf.DUMMYFUNCTION("""COMPUTED_VALUE"""),45175.0)</f>
        <v>45175</v>
      </c>
      <c r="E687" s="10" t="str">
        <f>IFERROR(__xludf.DUMMYFUNCTION("""COMPUTED_VALUE"""),"09Sep")</f>
        <v>09Sep</v>
      </c>
      <c r="F687" s="10" t="str">
        <f>IFERROR(__xludf.DUMMYFUNCTION("""COMPUTED_VALUE"""),"2023")</f>
        <v>2023</v>
      </c>
      <c r="G687" s="16" t="str">
        <f>IFERROR(__xludf.DUMMYFUNCTION("""COMPUTED_VALUE"""),"MARIANA")</f>
        <v>MARIANA</v>
      </c>
      <c r="H687" s="17" t="str">
        <f>IFERROR(__xludf.DUMMYFUNCTION("""COMPUTED_VALUE"""),"M8923092828")</f>
        <v>M8923092828</v>
      </c>
      <c r="I687" s="17">
        <f>IFERROR(__xludf.DUMMYFUNCTION("""COMPUTED_VALUE"""),36.0)</f>
        <v>36</v>
      </c>
      <c r="J687" s="17" t="str">
        <f>IFERROR(__xludf.DUMMYFUNCTION("""COMPUTED_VALUE"""),"35-44 tahun")</f>
        <v>35-44 tahun</v>
      </c>
      <c r="K687" s="19">
        <f>IFERROR(__xludf.DUMMYFUNCTION("""COMPUTED_VALUE"""),32772.0)</f>
        <v>32772</v>
      </c>
      <c r="L687" s="19" t="str">
        <f>IFERROR(__xludf.DUMMYFUNCTION("""COMPUTED_VALUE"""),"PEREMPUAN")</f>
        <v>PEREMPUAN</v>
      </c>
      <c r="M687" s="16" t="str">
        <f>IFERROR(__xludf.DUMMYFUNCTION("""COMPUTED_VALUE"""),"Jl chairil anwar no 25")</f>
        <v>Jl chairil anwar no 25</v>
      </c>
      <c r="N687" s="16"/>
      <c r="O687" s="16"/>
      <c r="P687" s="16"/>
      <c r="Q687" s="16"/>
      <c r="R687" s="19" t="str">
        <f>IFERROR(__xludf.DUMMYFUNCTION("""COMPUTED_VALUE"""),"KATOLIK")</f>
        <v>KATOLIK</v>
      </c>
      <c r="S687" s="16" t="str">
        <f>IFERROR(__xludf.DUMMYFUNCTION("""COMPUTED_VALUE"""),"RUMAH TANGGA")</f>
        <v>RUMAH TANGGA</v>
      </c>
      <c r="T687" s="16" t="str">
        <f>IFERROR(__xludf.DUMMYFUNCTION("""COMPUTED_VALUE"""),"KESELEO")</f>
        <v>KESELEO</v>
      </c>
      <c r="U687" s="16" t="str">
        <f>IFERROR(__xludf.DUMMYFUNCTION("""COMPUTED_VALUE"""),"OLAHRAGA")</f>
        <v>OLAHRAGA</v>
      </c>
      <c r="V687" s="11" t="str">
        <f>IFERROR(__xludf.DUMMYFUNCTION("""COMPUTED_VALUE"""),"08115752828")</f>
        <v>08115752828</v>
      </c>
      <c r="W687" s="15"/>
    </row>
    <row r="688" ht="22.5" customHeight="1">
      <c r="A688" s="8"/>
      <c r="B688" s="9">
        <f>IFERROR(__xludf.DUMMYFUNCTION("""COMPUTED_VALUE"""),45179.42760173611)</f>
        <v>45179.4276</v>
      </c>
      <c r="C688" s="9"/>
      <c r="D688" s="10">
        <f>IFERROR(__xludf.DUMMYFUNCTION("""COMPUTED_VALUE"""),45178.0)</f>
        <v>45178</v>
      </c>
      <c r="E688" s="10" t="str">
        <f>IFERROR(__xludf.DUMMYFUNCTION("""COMPUTED_VALUE"""),"09Sep")</f>
        <v>09Sep</v>
      </c>
      <c r="F688" s="10" t="str">
        <f>IFERROR(__xludf.DUMMYFUNCTION("""COMPUTED_VALUE"""),"2023")</f>
        <v>2023</v>
      </c>
      <c r="G688" s="16" t="str">
        <f>IFERROR(__xludf.DUMMYFUNCTION("""COMPUTED_VALUE"""),"VALENCIA TANAPUTRA")</f>
        <v>VALENCIA TANAPUTRA</v>
      </c>
      <c r="H688" s="17" t="str">
        <f>IFERROR(__xludf.DUMMYFUNCTION("""COMPUTED_VALUE"""),"V8723094887")</f>
        <v>V8723094887</v>
      </c>
      <c r="I688" s="17">
        <f>IFERROR(__xludf.DUMMYFUNCTION("""COMPUTED_VALUE"""),39.0)</f>
        <v>39</v>
      </c>
      <c r="J688" s="17" t="str">
        <f>IFERROR(__xludf.DUMMYFUNCTION("""COMPUTED_VALUE"""),"35-44 tahun")</f>
        <v>35-44 tahun</v>
      </c>
      <c r="K688" s="19">
        <f>IFERROR(__xludf.DUMMYFUNCTION("""COMPUTED_VALUE"""),31842.0)</f>
        <v>31842</v>
      </c>
      <c r="L688" s="19" t="str">
        <f>IFERROR(__xludf.DUMMYFUNCTION("""COMPUTED_VALUE"""),"PEREMPUAN")</f>
        <v>PEREMPUAN</v>
      </c>
      <c r="M688" s="16" t="str">
        <f>IFERROR(__xludf.DUMMYFUNCTION("""COMPUTED_VALUE"""),"Jl. W. R. Supratman No. 15 A")</f>
        <v>Jl. W. R. Supratman No. 15 A</v>
      </c>
      <c r="N688" s="16"/>
      <c r="O688" s="16"/>
      <c r="P688" s="16"/>
      <c r="Q688" s="16"/>
      <c r="R688" s="19" t="str">
        <f>IFERROR(__xludf.DUMMYFUNCTION("""COMPUTED_VALUE"""),"PROTESTAN")</f>
        <v>PROTESTAN</v>
      </c>
      <c r="S688" s="16" t="str">
        <f>IFERROR(__xludf.DUMMYFUNCTION("""COMPUTED_VALUE"""),"SWASTA")</f>
        <v>SWASTA</v>
      </c>
      <c r="T688" s="16" t="str">
        <f>IFERROR(__xludf.DUMMYFUNCTION("""COMPUTED_VALUE"""),"Pinggul kanan belakang sakit")</f>
        <v>Pinggul kanan belakang sakit</v>
      </c>
      <c r="U688" s="16" t="str">
        <f>IFERROR(__xludf.DUMMYFUNCTION("""COMPUTED_VALUE"""),"BEKERJA")</f>
        <v>BEKERJA</v>
      </c>
      <c r="V688" s="11" t="str">
        <f>IFERROR(__xludf.DUMMYFUNCTION("""COMPUTED_VALUE"""),"082155854887")</f>
        <v>082155854887</v>
      </c>
      <c r="W688" s="15"/>
    </row>
    <row r="689" ht="22.5" customHeight="1">
      <c r="A689" s="8"/>
      <c r="B689" s="9">
        <f>IFERROR(__xludf.DUMMYFUNCTION("""COMPUTED_VALUE"""),45179.51482159722)</f>
        <v>45179.51482</v>
      </c>
      <c r="C689" s="9"/>
      <c r="D689" s="10">
        <f>IFERROR(__xludf.DUMMYFUNCTION("""COMPUTED_VALUE"""),45178.0)</f>
        <v>45178</v>
      </c>
      <c r="E689" s="10" t="str">
        <f>IFERROR(__xludf.DUMMYFUNCTION("""COMPUTED_VALUE"""),"09Sep")</f>
        <v>09Sep</v>
      </c>
      <c r="F689" s="10" t="str">
        <f>IFERROR(__xludf.DUMMYFUNCTION("""COMPUTED_VALUE"""),"2023")</f>
        <v>2023</v>
      </c>
      <c r="G689" s="16" t="str">
        <f>IFERROR(__xludf.DUMMYFUNCTION("""COMPUTED_VALUE"""),"ERIC BRAYN CHRISTIAN NIKIJULUW")</f>
        <v>ERIC BRAYN CHRISTIAN NIKIJULUW</v>
      </c>
      <c r="H689" s="17" t="str">
        <f>IFERROR(__xludf.DUMMYFUNCTION("""COMPUTED_VALUE"""),"E9323099575")</f>
        <v>E9323099575</v>
      </c>
      <c r="I689" s="17">
        <f>IFERROR(__xludf.DUMMYFUNCTION("""COMPUTED_VALUE"""),33.0)</f>
        <v>33</v>
      </c>
      <c r="J689" s="17" t="str">
        <f>IFERROR(__xludf.DUMMYFUNCTION("""COMPUTED_VALUE"""),"25-34 tahun")</f>
        <v>25-34 tahun</v>
      </c>
      <c r="K689" s="19">
        <f>IFERROR(__xludf.DUMMYFUNCTION("""COMPUTED_VALUE"""),34021.0)</f>
        <v>34021</v>
      </c>
      <c r="L689" s="19" t="str">
        <f>IFERROR(__xludf.DUMMYFUNCTION("""COMPUTED_VALUE"""),"LAKI-LAKI")</f>
        <v>LAKI-LAKI</v>
      </c>
      <c r="M689" s="16" t="str">
        <f>IFERROR(__xludf.DUMMYFUNCTION("""COMPUTED_VALUE"""),"Dusun motolohu, desa mongolato kecamatan telaga, kabupaten Gorontalo, provinsi Gorontalo Alamat sekarang : mess pemda bengkayang, jln mitra perdana, parit tokaya, kec. Pontianak selatan, kota pontianak")</f>
        <v>Dusun motolohu, desa mongolato kecamatan telaga, kabupaten Gorontalo, provinsi Gorontalo Alamat sekarang : mess pemda bengkayang, jln mitra perdana, parit tokaya, kec. Pontianak selatan, kota pontianak</v>
      </c>
      <c r="N689" s="16"/>
      <c r="O689" s="16"/>
      <c r="P689" s="16"/>
      <c r="Q689" s="16"/>
      <c r="R689" s="19" t="str">
        <f>IFERROR(__xludf.DUMMYFUNCTION("""COMPUTED_VALUE"""),"PROTESTAN")</f>
        <v>PROTESTAN</v>
      </c>
      <c r="S689" s="16" t="str">
        <f>IFERROR(__xludf.DUMMYFUNCTION("""COMPUTED_VALUE"""),"ASN")</f>
        <v>ASN</v>
      </c>
      <c r="T689" s="16" t="str">
        <f>IFERROR(__xludf.DUMMYFUNCTION("""COMPUTED_VALUE"""),"Cedera kaki kiri dan kaki kanan bagian akibat olahraga futsal, pernah di urut tapi masih sakit apalgi kalo terlalu lama jongkok")</f>
        <v>Cedera kaki kiri dan kaki kanan bagian akibat olahraga futsal, pernah di urut tapi masih sakit apalgi kalo terlalu lama jongkok</v>
      </c>
      <c r="U689" s="16" t="str">
        <f>IFERROR(__xludf.DUMMYFUNCTION("""COMPUTED_VALUE"""),"Sepakbola, futsal, badminton")</f>
        <v>Sepakbola, futsal, badminton</v>
      </c>
      <c r="V689" s="11" t="str">
        <f>IFERROR(__xludf.DUMMYFUNCTION("""COMPUTED_VALUE"""),"08218939575")</f>
        <v>08218939575</v>
      </c>
      <c r="W689" s="15"/>
    </row>
    <row r="690" ht="22.5" customHeight="1">
      <c r="A690" s="8"/>
      <c r="B690" s="9">
        <f>IFERROR(__xludf.DUMMYFUNCTION("""COMPUTED_VALUE"""),45179.57952060185)</f>
        <v>45179.57952</v>
      </c>
      <c r="C690" s="9"/>
      <c r="D690" s="10">
        <f>IFERROR(__xludf.DUMMYFUNCTION("""COMPUTED_VALUE"""),45178.0)</f>
        <v>45178</v>
      </c>
      <c r="E690" s="10" t="str">
        <f>IFERROR(__xludf.DUMMYFUNCTION("""COMPUTED_VALUE"""),"09Sep")</f>
        <v>09Sep</v>
      </c>
      <c r="F690" s="10" t="str">
        <f>IFERROR(__xludf.DUMMYFUNCTION("""COMPUTED_VALUE"""),"2023")</f>
        <v>2023</v>
      </c>
      <c r="G690" s="16" t="str">
        <f>IFERROR(__xludf.DUMMYFUNCTION("""COMPUTED_VALUE"""),"AGUS NURHUDA")</f>
        <v>AGUS NURHUDA</v>
      </c>
      <c r="H690" s="17" t="str">
        <f>IFERROR(__xludf.DUMMYFUNCTION("""COMPUTED_VALUE"""),"A9723097220")</f>
        <v>A9723097220</v>
      </c>
      <c r="I690" s="17">
        <f>IFERROR(__xludf.DUMMYFUNCTION("""COMPUTED_VALUE"""),28.0)</f>
        <v>28</v>
      </c>
      <c r="J690" s="17" t="str">
        <f>IFERROR(__xludf.DUMMYFUNCTION("""COMPUTED_VALUE"""),"25-34 tahun")</f>
        <v>25-34 tahun</v>
      </c>
      <c r="K690" s="19">
        <f>IFERROR(__xludf.DUMMYFUNCTION("""COMPUTED_VALUE"""),35660.0)</f>
        <v>35660</v>
      </c>
      <c r="L690" s="19" t="str">
        <f>IFERROR(__xludf.DUMMYFUNCTION("""COMPUTED_VALUE"""),"LAKI-LAKI")</f>
        <v>LAKI-LAKI</v>
      </c>
      <c r="M690" s="16" t="str">
        <f>IFERROR(__xludf.DUMMYFUNCTION("""COMPUTED_VALUE"""),"JL. GST. IBRAHIM SYAFIUDIN, MEMPAWAH")</f>
        <v>JL. GST. IBRAHIM SYAFIUDIN, MEMPAWAH</v>
      </c>
      <c r="N690" s="16"/>
      <c r="O690" s="16"/>
      <c r="P690" s="16"/>
      <c r="Q690" s="16"/>
      <c r="R690" s="19" t="str">
        <f>IFERROR(__xludf.DUMMYFUNCTION("""COMPUTED_VALUE"""),"ISLAM")</f>
        <v>ISLAM</v>
      </c>
      <c r="S690" s="16" t="str">
        <f>IFERROR(__xludf.DUMMYFUNCTION("""COMPUTED_VALUE"""),"DOSEN/GURU")</f>
        <v>DOSEN/GURU</v>
      </c>
      <c r="T690" s="16" t="str">
        <f>IFERROR(__xludf.DUMMYFUNCTION("""COMPUTED_VALUE"""),"CEDERA ACL PARSIAL, LCL, MENISCUS")</f>
        <v>CEDERA ACL PARSIAL, LCL, MENISCUS</v>
      </c>
      <c r="U690" s="16" t="str">
        <f>IFERROR(__xludf.DUMMYFUNCTION("""COMPUTED_VALUE"""),"LARI, FUTSAL, BADMINTON, VOLY")</f>
        <v>LARI, FUTSAL, BADMINTON, VOLY</v>
      </c>
      <c r="V690" s="11" t="str">
        <f>IFERROR(__xludf.DUMMYFUNCTION("""COMPUTED_VALUE"""),"089693857220")</f>
        <v>089693857220</v>
      </c>
      <c r="W690" s="15"/>
    </row>
    <row r="691" ht="22.5" customHeight="1">
      <c r="A691" s="8"/>
      <c r="B691" s="9">
        <f>IFERROR(__xludf.DUMMYFUNCTION("""COMPUTED_VALUE"""),45180.4830074537)</f>
        <v>45180.48301</v>
      </c>
      <c r="C691" s="9"/>
      <c r="D691" s="10">
        <f>IFERROR(__xludf.DUMMYFUNCTION("""COMPUTED_VALUE"""),45178.0)</f>
        <v>45178</v>
      </c>
      <c r="E691" s="10" t="str">
        <f>IFERROR(__xludf.DUMMYFUNCTION("""COMPUTED_VALUE"""),"09Sep")</f>
        <v>09Sep</v>
      </c>
      <c r="F691" s="10" t="str">
        <f>IFERROR(__xludf.DUMMYFUNCTION("""COMPUTED_VALUE"""),"2023")</f>
        <v>2023</v>
      </c>
      <c r="G691" s="16" t="str">
        <f>IFERROR(__xludf.DUMMYFUNCTION("""COMPUTED_VALUE"""),"IND DHARMAWAN S")</f>
        <v>IND DHARMAWAN S</v>
      </c>
      <c r="H691" s="17" t="str">
        <f>IFERROR(__xludf.DUMMYFUNCTION("""COMPUTED_VALUE"""),"I9623090262")</f>
        <v>I9623090262</v>
      </c>
      <c r="I691" s="17">
        <f>IFERROR(__xludf.DUMMYFUNCTION("""COMPUTED_VALUE"""),30.0)</f>
        <v>30</v>
      </c>
      <c r="J691" s="17" t="str">
        <f>IFERROR(__xludf.DUMMYFUNCTION("""COMPUTED_VALUE"""),"25-34 tahun")</f>
        <v>25-34 tahun</v>
      </c>
      <c r="K691" s="19">
        <f>IFERROR(__xludf.DUMMYFUNCTION("""COMPUTED_VALUE"""),35147.0)</f>
        <v>35147</v>
      </c>
      <c r="L691" s="19" t="str">
        <f>IFERROR(__xludf.DUMMYFUNCTION("""COMPUTED_VALUE"""),"LAKI-LAKI")</f>
        <v>LAKI-LAKI</v>
      </c>
      <c r="M691" s="16" t="str">
        <f>IFERROR(__xludf.DUMMYFUNCTION("""COMPUTED_VALUE"""),"Jl ilham komp ilham permai c.1")</f>
        <v>Jl ilham komp ilham permai c.1</v>
      </c>
      <c r="N691" s="16"/>
      <c r="O691" s="16"/>
      <c r="P691" s="16"/>
      <c r="Q691" s="16"/>
      <c r="R691" s="19" t="str">
        <f>IFERROR(__xludf.DUMMYFUNCTION("""COMPUTED_VALUE"""),"PROTESTAN")</f>
        <v>PROTESTAN</v>
      </c>
      <c r="S691" s="16" t="str">
        <f>IFERROR(__xludf.DUMMYFUNCTION("""COMPUTED_VALUE"""),"SWASTA")</f>
        <v>SWASTA</v>
      </c>
      <c r="T691" s="16" t="str">
        <f>IFERROR(__xludf.DUMMYFUNCTION("""COMPUTED_VALUE"""),"SAKIT")</f>
        <v>SAKIT</v>
      </c>
      <c r="U691" s="16" t="str">
        <f>IFERROR(__xludf.DUMMYFUNCTION("""COMPUTED_VALUE"""),"FUTSAL")</f>
        <v>FUTSAL</v>
      </c>
      <c r="V691" s="11" t="str">
        <f>IFERROR(__xludf.DUMMYFUNCTION("""COMPUTED_VALUE"""),"085246060262")</f>
        <v>085246060262</v>
      </c>
      <c r="W691" s="15"/>
    </row>
    <row r="692" ht="22.5" customHeight="1">
      <c r="A692" s="8"/>
      <c r="B692" s="9">
        <f>IFERROR(__xludf.DUMMYFUNCTION("""COMPUTED_VALUE"""),45180.623808715274)</f>
        <v>45180.62381</v>
      </c>
      <c r="C692" s="9"/>
      <c r="D692" s="10">
        <f>IFERROR(__xludf.DUMMYFUNCTION("""COMPUTED_VALUE"""),45179.0)</f>
        <v>45179</v>
      </c>
      <c r="E692" s="10" t="str">
        <f>IFERROR(__xludf.DUMMYFUNCTION("""COMPUTED_VALUE"""),"09Sep")</f>
        <v>09Sep</v>
      </c>
      <c r="F692" s="10" t="str">
        <f>IFERROR(__xludf.DUMMYFUNCTION("""COMPUTED_VALUE"""),"2023")</f>
        <v>2023</v>
      </c>
      <c r="G692" s="16" t="str">
        <f>IFERROR(__xludf.DUMMYFUNCTION("""COMPUTED_VALUE"""),"HERMANSYAH LIMAS")</f>
        <v>HERMANSYAH LIMAS</v>
      </c>
      <c r="H692" s="17" t="str">
        <f>IFERROR(__xludf.DUMMYFUNCTION("""COMPUTED_VALUE"""),"H6723092819")</f>
        <v>H6723092819</v>
      </c>
      <c r="I692" s="17">
        <f>IFERROR(__xludf.DUMMYFUNCTION("""COMPUTED_VALUE"""),59.0)</f>
        <v>59</v>
      </c>
      <c r="J692" s="17" t="str">
        <f>IFERROR(__xludf.DUMMYFUNCTION("""COMPUTED_VALUE"""),"&gt; 44 tahun")</f>
        <v>&gt; 44 tahun</v>
      </c>
      <c r="K692" s="19">
        <f>IFERROR(__xludf.DUMMYFUNCTION("""COMPUTED_VALUE"""),24618.0)</f>
        <v>24618</v>
      </c>
      <c r="L692" s="19" t="str">
        <f>IFERROR(__xludf.DUMMYFUNCTION("""COMPUTED_VALUE"""),"LAKI-LAKI")</f>
        <v>LAKI-LAKI</v>
      </c>
      <c r="M692" s="16" t="str">
        <f>IFERROR(__xludf.DUMMYFUNCTION("""COMPUTED_VALUE"""),"Jl.uray bawadi gg tria no.3b pontianak")</f>
        <v>Jl.uray bawadi gg tria no.3b pontianak</v>
      </c>
      <c r="N692" s="16"/>
      <c r="O692" s="16"/>
      <c r="P692" s="16"/>
      <c r="Q692" s="16"/>
      <c r="R692" s="19" t="str">
        <f>IFERROR(__xludf.DUMMYFUNCTION("""COMPUTED_VALUE"""),"KATOLIK")</f>
        <v>KATOLIK</v>
      </c>
      <c r="S692" s="16" t="str">
        <f>IFERROR(__xludf.DUMMYFUNCTION("""COMPUTED_VALUE"""),"SWASTA")</f>
        <v>SWASTA</v>
      </c>
      <c r="T692" s="16" t="str">
        <f>IFERROR(__xludf.DUMMYFUNCTION("""COMPUTED_VALUE"""),"kanan naik tangga sakit / bunyi")</f>
        <v>kanan naik tangga sakit / bunyi</v>
      </c>
      <c r="U692" s="16" t="str">
        <f>IFERROR(__xludf.DUMMYFUNCTION("""COMPUTED_VALUE"""),"JALAN PAGI")</f>
        <v>JALAN PAGI</v>
      </c>
      <c r="V692" s="11" t="str">
        <f>IFERROR(__xludf.DUMMYFUNCTION("""COMPUTED_VALUE"""),"0811562819")</f>
        <v>0811562819</v>
      </c>
      <c r="W692" s="15"/>
    </row>
    <row r="693" ht="22.5" customHeight="1">
      <c r="A693" s="8"/>
      <c r="B693" s="9">
        <f>IFERROR(__xludf.DUMMYFUNCTION("""COMPUTED_VALUE"""),45180.8511758449)</f>
        <v>45180.85118</v>
      </c>
      <c r="C693" s="9"/>
      <c r="D693" s="10">
        <f>IFERROR(__xludf.DUMMYFUNCTION("""COMPUTED_VALUE"""),45179.0)</f>
        <v>45179</v>
      </c>
      <c r="E693" s="10" t="str">
        <f>IFERROR(__xludf.DUMMYFUNCTION("""COMPUTED_VALUE"""),"09Sep")</f>
        <v>09Sep</v>
      </c>
      <c r="F693" s="10" t="str">
        <f>IFERROR(__xludf.DUMMYFUNCTION("""COMPUTED_VALUE"""),"2023")</f>
        <v>2023</v>
      </c>
      <c r="G693" s="16" t="str">
        <f>IFERROR(__xludf.DUMMYFUNCTION("""COMPUTED_VALUE"""),"YUSNITA")</f>
        <v>YUSNITA</v>
      </c>
      <c r="H693" s="17" t="str">
        <f>IFERROR(__xludf.DUMMYFUNCTION("""COMPUTED_VALUE"""),"Y9623098888")</f>
        <v>Y9623098888</v>
      </c>
      <c r="I693" s="17">
        <f>IFERROR(__xludf.DUMMYFUNCTION("""COMPUTED_VALUE"""),29.0)</f>
        <v>29</v>
      </c>
      <c r="J693" s="17" t="str">
        <f>IFERROR(__xludf.DUMMYFUNCTION("""COMPUTED_VALUE"""),"25-34 tahun")</f>
        <v>25-34 tahun</v>
      </c>
      <c r="K693" s="19">
        <f>IFERROR(__xludf.DUMMYFUNCTION("""COMPUTED_VALUE"""),35397.0)</f>
        <v>35397</v>
      </c>
      <c r="L693" s="19" t="str">
        <f>IFERROR(__xludf.DUMMYFUNCTION("""COMPUTED_VALUE"""),"PEREMPUAN")</f>
        <v>PEREMPUAN</v>
      </c>
      <c r="M693" s="16" t="str">
        <f>IFERROR(__xludf.DUMMYFUNCTION("""COMPUTED_VALUE"""),"Jl Melati putussibau")</f>
        <v>Jl Melati putussibau</v>
      </c>
      <c r="N693" s="16"/>
      <c r="O693" s="16"/>
      <c r="P693" s="16"/>
      <c r="Q693" s="16"/>
      <c r="R693" s="19" t="str">
        <f>IFERROR(__xludf.DUMMYFUNCTION("""COMPUTED_VALUE"""),"KHONGHUCU")</f>
        <v>KHONGHUCU</v>
      </c>
      <c r="S693" s="16" t="str">
        <f>IFERROR(__xludf.DUMMYFUNCTION("""COMPUTED_VALUE"""),"RUMAH TANGGA")</f>
        <v>RUMAH TANGGA</v>
      </c>
      <c r="T693" s="16" t="str">
        <f>IFERROR(__xludf.DUMMYFUNCTION("""COMPUTED_VALUE"""),"Bahu sebelah kiri tidak nyaman, seperti salah tidur/angkat berat, sudah mau sekitar 2bulan, tangan jari kiri kebas kebas dan setiap malam tidak nyaman untk tidur")</f>
        <v>Bahu sebelah kiri tidak nyaman, seperti salah tidur/angkat berat, sudah mau sekitar 2bulan, tangan jari kiri kebas kebas dan setiap malam tidak nyaman untk tidur</v>
      </c>
      <c r="U693" s="16" t="str">
        <f>IFERROR(__xludf.DUMMYFUNCTION("""COMPUTED_VALUE"""),"Ibu rumah tangga kadang membantu suami kerja (admin)")</f>
        <v>Ibu rumah tangga kadang membantu suami kerja (admin)</v>
      </c>
      <c r="V693" s="11" t="str">
        <f>IFERROR(__xludf.DUMMYFUNCTION("""COMPUTED_VALUE"""),"082253078888")</f>
        <v>082253078888</v>
      </c>
      <c r="W693" s="15"/>
    </row>
    <row r="694" ht="22.5" customHeight="1">
      <c r="A694" s="8"/>
      <c r="B694" s="9">
        <f>IFERROR(__xludf.DUMMYFUNCTION("""COMPUTED_VALUE"""),45181.38698556713)</f>
        <v>45181.38699</v>
      </c>
      <c r="C694" s="9"/>
      <c r="D694" s="10">
        <f>IFERROR(__xludf.DUMMYFUNCTION("""COMPUTED_VALUE"""),45179.0)</f>
        <v>45179</v>
      </c>
      <c r="E694" s="10" t="str">
        <f>IFERROR(__xludf.DUMMYFUNCTION("""COMPUTED_VALUE"""),"09Sep")</f>
        <v>09Sep</v>
      </c>
      <c r="F694" s="10" t="str">
        <f>IFERROR(__xludf.DUMMYFUNCTION("""COMPUTED_VALUE"""),"2023")</f>
        <v>2023</v>
      </c>
      <c r="G694" s="16" t="str">
        <f>IFERROR(__xludf.DUMMYFUNCTION("""COMPUTED_VALUE"""),"TEGUH SETIAWAN")</f>
        <v>TEGUH SETIAWAN</v>
      </c>
      <c r="H694" s="17" t="str">
        <f>IFERROR(__xludf.DUMMYFUNCTION("""COMPUTED_VALUE"""),"T9523093955")</f>
        <v>T9523093955</v>
      </c>
      <c r="I694" s="17">
        <f>IFERROR(__xludf.DUMMYFUNCTION("""COMPUTED_VALUE"""),31.0)</f>
        <v>31</v>
      </c>
      <c r="J694" s="17" t="str">
        <f>IFERROR(__xludf.DUMMYFUNCTION("""COMPUTED_VALUE"""),"25-34 tahun")</f>
        <v>25-34 tahun</v>
      </c>
      <c r="K694" s="19">
        <f>IFERROR(__xludf.DUMMYFUNCTION("""COMPUTED_VALUE"""),34797.0)</f>
        <v>34797</v>
      </c>
      <c r="L694" s="19" t="str">
        <f>IFERROR(__xludf.DUMMYFUNCTION("""COMPUTED_VALUE"""),"LAKI-LAKI")</f>
        <v>LAKI-LAKI</v>
      </c>
      <c r="M694" s="16" t="str">
        <f>IFERROR(__xludf.DUMMYFUNCTION("""COMPUTED_VALUE"""),"JL PH HUSIN 2 KP PURI AKCAYA 3 NO D12")</f>
        <v>JL PH HUSIN 2 KP PURI AKCAYA 3 NO D12</v>
      </c>
      <c r="N694" s="16"/>
      <c r="O694" s="16"/>
      <c r="P694" s="16"/>
      <c r="Q694" s="16"/>
      <c r="R694" s="19" t="str">
        <f>IFERROR(__xludf.DUMMYFUNCTION("""COMPUTED_VALUE"""),"ISLAM")</f>
        <v>ISLAM</v>
      </c>
      <c r="S694" s="16" t="str">
        <f>IFERROR(__xludf.DUMMYFUNCTION("""COMPUTED_VALUE"""),"BUMN")</f>
        <v>BUMN</v>
      </c>
      <c r="T694" s="16" t="str">
        <f>IFERROR(__xludf.DUMMYFUNCTION("""COMPUTED_VALUE"""),"NGILU PADA SEKITARAN ENGKEL KAKI KIRI SAAT BERLARI MAUPUN BERJALAN")</f>
        <v>NGILU PADA SEKITARAN ENGKEL KAKI KIRI SAAT BERLARI MAUPUN BERJALAN</v>
      </c>
      <c r="U694" s="16" t="str">
        <f>IFERROR(__xludf.DUMMYFUNCTION("""COMPUTED_VALUE"""),"MAIN FUTSAL DAN BOLA")</f>
        <v>MAIN FUTSAL DAN BOLA</v>
      </c>
      <c r="V694" s="11" t="str">
        <f>IFERROR(__xludf.DUMMYFUNCTION("""COMPUTED_VALUE"""),"085348883955")</f>
        <v>085348883955</v>
      </c>
      <c r="W694" s="15"/>
    </row>
    <row r="695" ht="22.5" customHeight="1">
      <c r="A695" s="8"/>
      <c r="B695" s="9">
        <f>IFERROR(__xludf.DUMMYFUNCTION("""COMPUTED_VALUE"""),45181.41099004629)</f>
        <v>45181.41099</v>
      </c>
      <c r="C695" s="9"/>
      <c r="D695" s="10">
        <f>IFERROR(__xludf.DUMMYFUNCTION("""COMPUTED_VALUE"""),45180.0)</f>
        <v>45180</v>
      </c>
      <c r="E695" s="10" t="str">
        <f>IFERROR(__xludf.DUMMYFUNCTION("""COMPUTED_VALUE"""),"09Sep")</f>
        <v>09Sep</v>
      </c>
      <c r="F695" s="10" t="str">
        <f>IFERROR(__xludf.DUMMYFUNCTION("""COMPUTED_VALUE"""),"2023")</f>
        <v>2023</v>
      </c>
      <c r="G695" s="16" t="str">
        <f>IFERROR(__xludf.DUMMYFUNCTION("""COMPUTED_VALUE"""),"DARWIS")</f>
        <v>DARWIS</v>
      </c>
      <c r="H695" s="17" t="str">
        <f>IFERROR(__xludf.DUMMYFUNCTION("""COMPUTED_VALUE"""),"D4923097226")</f>
        <v>D4923097226</v>
      </c>
      <c r="I695" s="17">
        <f>IFERROR(__xludf.DUMMYFUNCTION("""COMPUTED_VALUE"""),77.0)</f>
        <v>77</v>
      </c>
      <c r="J695" s="17" t="str">
        <f>IFERROR(__xludf.DUMMYFUNCTION("""COMPUTED_VALUE"""),"&gt; 44 tahun")</f>
        <v>&gt; 44 tahun</v>
      </c>
      <c r="K695" s="19">
        <f>IFERROR(__xludf.DUMMYFUNCTION("""COMPUTED_VALUE"""),17998.0)</f>
        <v>17998</v>
      </c>
      <c r="L695" s="19" t="str">
        <f>IFERROR(__xludf.DUMMYFUNCTION("""COMPUTED_VALUE"""),"LAKI-LAKI")</f>
        <v>LAKI-LAKI</v>
      </c>
      <c r="M695" s="16" t="str">
        <f>IFERROR(__xludf.DUMMYFUNCTION("""COMPUTED_VALUE"""),"Komyos Sudarso GG.lamtoro jalur 3 no 01")</f>
        <v>Komyos Sudarso GG.lamtoro jalur 3 no 01</v>
      </c>
      <c r="N695" s="16"/>
      <c r="O695" s="16"/>
      <c r="P695" s="16"/>
      <c r="Q695" s="16"/>
      <c r="R695" s="19" t="str">
        <f>IFERROR(__xludf.DUMMYFUNCTION("""COMPUTED_VALUE"""),"ISLAM")</f>
        <v>ISLAM</v>
      </c>
      <c r="S695" s="16" t="str">
        <f>IFERROR(__xludf.DUMMYFUNCTION("""COMPUTED_VALUE"""),"PENSIUN")</f>
        <v>PENSIUN</v>
      </c>
      <c r="T695" s="16" t="str">
        <f>IFERROR(__xludf.DUMMYFUNCTION("""COMPUTED_VALUE"""),"STROKE RINGAN")</f>
        <v>STROKE RINGAN</v>
      </c>
      <c r="U695" s="16" t="str">
        <f>IFERROR(__xludf.DUMMYFUNCTION("""COMPUTED_VALUE"""),"TIDUR")</f>
        <v>TIDUR</v>
      </c>
      <c r="V695" s="11" t="str">
        <f>IFERROR(__xludf.DUMMYFUNCTION("""COMPUTED_VALUE"""),"081232127226")</f>
        <v>081232127226</v>
      </c>
      <c r="W695" s="15"/>
    </row>
    <row r="696" ht="22.5" customHeight="1">
      <c r="A696" s="8"/>
      <c r="B696" s="9">
        <f>IFERROR(__xludf.DUMMYFUNCTION("""COMPUTED_VALUE"""),45181.534142986115)</f>
        <v>45181.53414</v>
      </c>
      <c r="C696" s="9"/>
      <c r="D696" s="10">
        <f>IFERROR(__xludf.DUMMYFUNCTION("""COMPUTED_VALUE"""),45180.0)</f>
        <v>45180</v>
      </c>
      <c r="E696" s="10" t="str">
        <f>IFERROR(__xludf.DUMMYFUNCTION("""COMPUTED_VALUE"""),"09Sep")</f>
        <v>09Sep</v>
      </c>
      <c r="F696" s="10" t="str">
        <f>IFERROR(__xludf.DUMMYFUNCTION("""COMPUTED_VALUE"""),"2023")</f>
        <v>2023</v>
      </c>
      <c r="G696" s="16" t="str">
        <f>IFERROR(__xludf.DUMMYFUNCTION("""COMPUTED_VALUE"""),"RIZKY WARITS ISSYAFHADI")</f>
        <v>RIZKY WARITS ISSYAFHADI</v>
      </c>
      <c r="H696" s="17" t="str">
        <f>IFERROR(__xludf.DUMMYFUNCTION("""COMPUTED_VALUE"""),"R9723098009")</f>
        <v>R9723098009</v>
      </c>
      <c r="I696" s="17">
        <f>IFERROR(__xludf.DUMMYFUNCTION("""COMPUTED_VALUE"""),28.0)</f>
        <v>28</v>
      </c>
      <c r="J696" s="17" t="str">
        <f>IFERROR(__xludf.DUMMYFUNCTION("""COMPUTED_VALUE"""),"25-34 tahun")</f>
        <v>25-34 tahun</v>
      </c>
      <c r="K696" s="19">
        <f>IFERROR(__xludf.DUMMYFUNCTION("""COMPUTED_VALUE"""),35682.0)</f>
        <v>35682</v>
      </c>
      <c r="L696" s="19" t="str">
        <f>IFERROR(__xludf.DUMMYFUNCTION("""COMPUTED_VALUE"""),"LAKI-LAKI")</f>
        <v>LAKI-LAKI</v>
      </c>
      <c r="M696" s="16" t="str">
        <f>IFERROR(__xludf.DUMMYFUNCTION("""COMPUTED_VALUE"""),"Jalan Danau Sentarum, Komplek Bank Duta No 2B")</f>
        <v>Jalan Danau Sentarum, Komplek Bank Duta No 2B</v>
      </c>
      <c r="N696" s="16"/>
      <c r="O696" s="16"/>
      <c r="P696" s="16"/>
      <c r="Q696" s="16"/>
      <c r="R696" s="19" t="str">
        <f>IFERROR(__xludf.DUMMYFUNCTION("""COMPUTED_VALUE"""),"ISLAM")</f>
        <v>ISLAM</v>
      </c>
      <c r="S696" s="16" t="str">
        <f>IFERROR(__xludf.DUMMYFUNCTION("""COMPUTED_VALUE"""),"WIRASWASTA")</f>
        <v>WIRASWASTA</v>
      </c>
      <c r="T696" s="16" t="str">
        <f>IFERROR(__xludf.DUMMYFUNCTION("""COMPUTED_VALUE"""),"KAKI KIRI TERKILIR")</f>
        <v>KAKI KIRI TERKILIR</v>
      </c>
      <c r="U696" s="16" t="str">
        <f>IFERROR(__xludf.DUMMYFUNCTION("""COMPUTED_VALUE"""),"GYM")</f>
        <v>GYM</v>
      </c>
      <c r="V696" s="11" t="str">
        <f>IFERROR(__xludf.DUMMYFUNCTION("""COMPUTED_VALUE"""),"082255338009")</f>
        <v>082255338009</v>
      </c>
      <c r="W696" s="15"/>
    </row>
    <row r="697" ht="22.5" customHeight="1">
      <c r="A697" s="8"/>
      <c r="B697" s="9">
        <f>IFERROR(__xludf.DUMMYFUNCTION("""COMPUTED_VALUE"""),45182.3914435301)</f>
        <v>45182.39144</v>
      </c>
      <c r="C697" s="9"/>
      <c r="D697" s="10">
        <f>IFERROR(__xludf.DUMMYFUNCTION("""COMPUTED_VALUE"""),45181.0)</f>
        <v>45181</v>
      </c>
      <c r="E697" s="10" t="str">
        <f>IFERROR(__xludf.DUMMYFUNCTION("""COMPUTED_VALUE"""),"09Sep")</f>
        <v>09Sep</v>
      </c>
      <c r="F697" s="10" t="str">
        <f>IFERROR(__xludf.DUMMYFUNCTION("""COMPUTED_VALUE"""),"2023")</f>
        <v>2023</v>
      </c>
      <c r="G697" s="16" t="str">
        <f>IFERROR(__xludf.DUMMYFUNCTION("""COMPUTED_VALUE"""),"AGNES")</f>
        <v>AGNES</v>
      </c>
      <c r="H697" s="17" t="str">
        <f>IFERROR(__xludf.DUMMYFUNCTION("""COMPUTED_VALUE"""),"A6223091012")</f>
        <v>A6223091012</v>
      </c>
      <c r="I697" s="17">
        <f>IFERROR(__xludf.DUMMYFUNCTION("""COMPUTED_VALUE"""),64.0)</f>
        <v>64</v>
      </c>
      <c r="J697" s="17" t="str">
        <f>IFERROR(__xludf.DUMMYFUNCTION("""COMPUTED_VALUE"""),"&gt; 44 tahun")</f>
        <v>&gt; 44 tahun</v>
      </c>
      <c r="K697" s="19">
        <f>IFERROR(__xludf.DUMMYFUNCTION("""COMPUTED_VALUE"""),22661.0)</f>
        <v>22661</v>
      </c>
      <c r="L697" s="19" t="str">
        <f>IFERROR(__xludf.DUMMYFUNCTION("""COMPUTED_VALUE"""),"PEREMPUAN")</f>
        <v>PEREMPUAN</v>
      </c>
      <c r="M697" s="16" t="str">
        <f>IFERROR(__xludf.DUMMYFUNCTION("""COMPUTED_VALUE"""),"Jl. Danau sentarum komp sentarum sejahtera 1. No A54")</f>
        <v>Jl. Danau sentarum komp sentarum sejahtera 1. No A54</v>
      </c>
      <c r="N697" s="16"/>
      <c r="O697" s="16"/>
      <c r="P697" s="16"/>
      <c r="Q697" s="16"/>
      <c r="R697" s="19" t="str">
        <f>IFERROR(__xludf.DUMMYFUNCTION("""COMPUTED_VALUE"""),"ISLAM")</f>
        <v>ISLAM</v>
      </c>
      <c r="S697" s="16" t="str">
        <f>IFERROR(__xludf.DUMMYFUNCTION("""COMPUTED_VALUE"""),"PENSIUN")</f>
        <v>PENSIUN</v>
      </c>
      <c r="T697" s="16" t="str">
        <f>IFERROR(__xludf.DUMMYFUNCTION("""COMPUTED_VALUE"""),"Sakit kaki, tidak bisa ditekuk")</f>
        <v>Sakit kaki, tidak bisa ditekuk</v>
      </c>
      <c r="U697" s="16" t="str">
        <f>IFERROR(__xludf.DUMMYFUNCTION("""COMPUTED_VALUE"""),"OLAHRAGA")</f>
        <v>OLAHRAGA</v>
      </c>
      <c r="V697" s="11" t="str">
        <f>IFERROR(__xludf.DUMMYFUNCTION("""COMPUTED_VALUE"""),"081256421012")</f>
        <v>081256421012</v>
      </c>
      <c r="W697" s="15"/>
    </row>
    <row r="698" ht="22.5" customHeight="1">
      <c r="A698" s="8"/>
      <c r="B698" s="9">
        <f>IFERROR(__xludf.DUMMYFUNCTION("""COMPUTED_VALUE"""),45182.414347199076)</f>
        <v>45182.41435</v>
      </c>
      <c r="C698" s="9"/>
      <c r="D698" s="10">
        <f>IFERROR(__xludf.DUMMYFUNCTION("""COMPUTED_VALUE"""),45181.0)</f>
        <v>45181</v>
      </c>
      <c r="E698" s="10" t="str">
        <f>IFERROR(__xludf.DUMMYFUNCTION("""COMPUTED_VALUE"""),"09Sep")</f>
        <v>09Sep</v>
      </c>
      <c r="F698" s="10" t="str">
        <f>IFERROR(__xludf.DUMMYFUNCTION("""COMPUTED_VALUE"""),"2023")</f>
        <v>2023</v>
      </c>
      <c r="G698" s="16" t="str">
        <f>IFERROR(__xludf.DUMMYFUNCTION("""COMPUTED_VALUE"""),"ARDIKMO VERNANDES")</f>
        <v>ARDIKMO VERNANDES</v>
      </c>
      <c r="H698" s="17" t="str">
        <f>IFERROR(__xludf.DUMMYFUNCTION("""COMPUTED_VALUE"""),"A0423095145")</f>
        <v>A0423095145</v>
      </c>
      <c r="I698" s="17">
        <f>IFERROR(__xludf.DUMMYFUNCTION("""COMPUTED_VALUE"""),21.0)</f>
        <v>21</v>
      </c>
      <c r="J698" s="17" t="str">
        <f>IFERROR(__xludf.DUMMYFUNCTION("""COMPUTED_VALUE"""),"18-24 tahun")</f>
        <v>18-24 tahun</v>
      </c>
      <c r="K698" s="19">
        <f>IFERROR(__xludf.DUMMYFUNCTION("""COMPUTED_VALUE"""),38184.0)</f>
        <v>38184</v>
      </c>
      <c r="L698" s="19" t="str">
        <f>IFERROR(__xludf.DUMMYFUNCTION("""COMPUTED_VALUE"""),"LAKI-LAKI")</f>
        <v>LAKI-LAKI</v>
      </c>
      <c r="M698" s="16" t="str">
        <f>IFERROR(__xludf.DUMMYFUNCTION("""COMPUTED_VALUE"""),"DUSUN EMPARU")</f>
        <v>DUSUN EMPARU</v>
      </c>
      <c r="N698" s="16"/>
      <c r="O698" s="16"/>
      <c r="P698" s="16"/>
      <c r="Q698" s="16"/>
      <c r="R698" s="19" t="str">
        <f>IFERROR(__xludf.DUMMYFUNCTION("""COMPUTED_VALUE"""),"KATOLIK")</f>
        <v>KATOLIK</v>
      </c>
      <c r="S698" s="16" t="str">
        <f>IFERROR(__xludf.DUMMYFUNCTION("""COMPUTED_VALUE"""),"TNI/POLRI")</f>
        <v>TNI/POLRI</v>
      </c>
      <c r="T698" s="16" t="str">
        <f>IFERROR(__xludf.DUMMYFUNCTION("""COMPUTED_VALUE"""),"CIDERA ACL")</f>
        <v>CIDERA ACL</v>
      </c>
      <c r="U698" s="16" t="str">
        <f>IFERROR(__xludf.DUMMYFUNCTION("""COMPUTED_VALUE"""),"ORENTASI LATIHAN DALMAS POLRI")</f>
        <v>ORENTASI LATIHAN DALMAS POLRI</v>
      </c>
      <c r="V698" s="11" t="str">
        <f>IFERROR(__xludf.DUMMYFUNCTION("""COMPUTED_VALUE"""),"081258855145")</f>
        <v>081258855145</v>
      </c>
      <c r="W698" s="15"/>
    </row>
    <row r="699" ht="22.5" customHeight="1">
      <c r="A699" s="8"/>
      <c r="B699" s="9">
        <f>IFERROR(__xludf.DUMMYFUNCTION("""COMPUTED_VALUE"""),45182.50449673611)</f>
        <v>45182.5045</v>
      </c>
      <c r="C699" s="9"/>
      <c r="D699" s="10">
        <f>IFERROR(__xludf.DUMMYFUNCTION("""COMPUTED_VALUE"""),45181.0)</f>
        <v>45181</v>
      </c>
      <c r="E699" s="10" t="str">
        <f>IFERROR(__xludf.DUMMYFUNCTION("""COMPUTED_VALUE"""),"09Sep")</f>
        <v>09Sep</v>
      </c>
      <c r="F699" s="10" t="str">
        <f>IFERROR(__xludf.DUMMYFUNCTION("""COMPUTED_VALUE"""),"2023")</f>
        <v>2023</v>
      </c>
      <c r="G699" s="16" t="str">
        <f>IFERROR(__xludf.DUMMYFUNCTION("""COMPUTED_VALUE"""),"TENGKU NURUL RIZKIYANTI")</f>
        <v>TENGKU NURUL RIZKIYANTI</v>
      </c>
      <c r="H699" s="17" t="str">
        <f>IFERROR(__xludf.DUMMYFUNCTION("""COMPUTED_VALUE"""),"T9223098358")</f>
        <v>T9223098358</v>
      </c>
      <c r="I699" s="17">
        <f>IFERROR(__xludf.DUMMYFUNCTION("""COMPUTED_VALUE"""),33.0)</f>
        <v>33</v>
      </c>
      <c r="J699" s="17" t="str">
        <f>IFERROR(__xludf.DUMMYFUNCTION("""COMPUTED_VALUE"""),"25-34 tahun")</f>
        <v>25-34 tahun</v>
      </c>
      <c r="K699" s="19">
        <f>IFERROR(__xludf.DUMMYFUNCTION("""COMPUTED_VALUE"""),33952.0)</f>
        <v>33952</v>
      </c>
      <c r="L699" s="19" t="str">
        <f>IFERROR(__xludf.DUMMYFUNCTION("""COMPUTED_VALUE"""),"PEREMPUAN")</f>
        <v>PEREMPUAN</v>
      </c>
      <c r="M699" s="16" t="str">
        <f>IFERROR(__xludf.DUMMYFUNCTION("""COMPUTED_VALUE"""),"Jln wonobaru, gg madyosari 2")</f>
        <v>Jln wonobaru, gg madyosari 2</v>
      </c>
      <c r="N699" s="16"/>
      <c r="O699" s="16"/>
      <c r="P699" s="16"/>
      <c r="Q699" s="16"/>
      <c r="R699" s="19" t="str">
        <f>IFERROR(__xludf.DUMMYFUNCTION("""COMPUTED_VALUE"""),"ISLAM")</f>
        <v>ISLAM</v>
      </c>
      <c r="S699" s="16" t="str">
        <f>IFERROR(__xludf.DUMMYFUNCTION("""COMPUTED_VALUE"""),"RUMAH TANGGA")</f>
        <v>RUMAH TANGGA</v>
      </c>
      <c r="T699" s="16" t="str">
        <f>IFERROR(__xludf.DUMMYFUNCTION("""COMPUTED_VALUE"""),"SAKIT PINGGANG")</f>
        <v>SAKIT PINGGANG</v>
      </c>
      <c r="U699" s="16" t="str">
        <f>IFERROR(__xludf.DUMMYFUNCTION("""COMPUTED_VALUE"""),"Ngegym, antar jemput anak les dan sekolah")</f>
        <v>Ngegym, antar jemput anak les dan sekolah</v>
      </c>
      <c r="V699" s="11" t="str">
        <f>IFERROR(__xludf.DUMMYFUNCTION("""COMPUTED_VALUE"""),"082149608358")</f>
        <v>082149608358</v>
      </c>
      <c r="W699" s="15"/>
    </row>
    <row r="700" ht="22.5" customHeight="1">
      <c r="A700" s="8"/>
      <c r="B700" s="9">
        <f>IFERROR(__xludf.DUMMYFUNCTION("""COMPUTED_VALUE"""),45182.530014606484)</f>
        <v>45182.53001</v>
      </c>
      <c r="C700" s="9"/>
      <c r="D700" s="10">
        <f>IFERROR(__xludf.DUMMYFUNCTION("""COMPUTED_VALUE"""),45182.0)</f>
        <v>45182</v>
      </c>
      <c r="E700" s="10" t="str">
        <f>IFERROR(__xludf.DUMMYFUNCTION("""COMPUTED_VALUE"""),"09Sep")</f>
        <v>09Sep</v>
      </c>
      <c r="F700" s="10" t="str">
        <f>IFERROR(__xludf.DUMMYFUNCTION("""COMPUTED_VALUE"""),"2023")</f>
        <v>2023</v>
      </c>
      <c r="G700" s="16" t="str">
        <f>IFERROR(__xludf.DUMMYFUNCTION("""COMPUTED_VALUE"""),"SUGEMIATI")</f>
        <v>SUGEMIATI</v>
      </c>
      <c r="H700" s="17" t="str">
        <f>IFERROR(__xludf.DUMMYFUNCTION("""COMPUTED_VALUE"""),"S6823098597")</f>
        <v>S6823098597</v>
      </c>
      <c r="I700" s="17">
        <f>IFERROR(__xludf.DUMMYFUNCTION("""COMPUTED_VALUE"""),57.0)</f>
        <v>57</v>
      </c>
      <c r="J700" s="17" t="str">
        <f>IFERROR(__xludf.DUMMYFUNCTION("""COMPUTED_VALUE"""),"&gt; 44 tahun")</f>
        <v>&gt; 44 tahun</v>
      </c>
      <c r="K700" s="19">
        <f>IFERROR(__xludf.DUMMYFUNCTION("""COMPUTED_VALUE"""),25124.0)</f>
        <v>25124</v>
      </c>
      <c r="L700" s="19" t="str">
        <f>IFERROR(__xludf.DUMMYFUNCTION("""COMPUTED_VALUE"""),"PEREMPUAN")</f>
        <v>PEREMPUAN</v>
      </c>
      <c r="M700" s="16" t="str">
        <f>IFERROR(__xludf.DUMMYFUNCTION("""COMPUTED_VALUE"""),"Jalan kom yos sudarso. Gg gandapura 1 a no 32")</f>
        <v>Jalan kom yos sudarso. Gg gandapura 1 a no 32</v>
      </c>
      <c r="N700" s="16"/>
      <c r="O700" s="16"/>
      <c r="P700" s="16"/>
      <c r="Q700" s="16"/>
      <c r="R700" s="19" t="str">
        <f>IFERROR(__xludf.DUMMYFUNCTION("""COMPUTED_VALUE"""),"ISLAM")</f>
        <v>ISLAM</v>
      </c>
      <c r="S700" s="16" t="str">
        <f>IFERROR(__xludf.DUMMYFUNCTION("""COMPUTED_VALUE"""),"RUMAH TANGGA")</f>
        <v>RUMAH TANGGA</v>
      </c>
      <c r="T700" s="16" t="str">
        <f>IFERROR(__xludf.DUMMYFUNCTION("""COMPUTED_VALUE"""),"Sakit di bahu kanan sejak jatuh dr tempat tidur 1 tahun lalu")</f>
        <v>Sakit di bahu kanan sejak jatuh dr tempat tidur 1 tahun lalu</v>
      </c>
      <c r="U700" s="16" t="str">
        <f>IFERROR(__xludf.DUMMYFUNCTION("""COMPUTED_VALUE"""),"JAGA TOKO")</f>
        <v>JAGA TOKO</v>
      </c>
      <c r="V700" s="11" t="str">
        <f>IFERROR(__xludf.DUMMYFUNCTION("""COMPUTED_VALUE"""),"081345228597")</f>
        <v>081345228597</v>
      </c>
      <c r="W700" s="15"/>
    </row>
    <row r="701" ht="22.5" customHeight="1">
      <c r="A701" s="8"/>
      <c r="B701" s="9">
        <f>IFERROR(__xludf.DUMMYFUNCTION("""COMPUTED_VALUE"""),45182.5940446412)</f>
        <v>45182.59404</v>
      </c>
      <c r="C701" s="9"/>
      <c r="D701" s="10">
        <f>IFERROR(__xludf.DUMMYFUNCTION("""COMPUTED_VALUE"""),45182.0)</f>
        <v>45182</v>
      </c>
      <c r="E701" s="10" t="str">
        <f>IFERROR(__xludf.DUMMYFUNCTION("""COMPUTED_VALUE"""),"09Sep")</f>
        <v>09Sep</v>
      </c>
      <c r="F701" s="10" t="str">
        <f>IFERROR(__xludf.DUMMYFUNCTION("""COMPUTED_VALUE"""),"2023")</f>
        <v>2023</v>
      </c>
      <c r="G701" s="16" t="str">
        <f>IFERROR(__xludf.DUMMYFUNCTION("""COMPUTED_VALUE"""),"LILY 7506")</f>
        <v>LILY 7506</v>
      </c>
      <c r="H701" s="17" t="str">
        <f>IFERROR(__xludf.DUMMYFUNCTION("""COMPUTED_VALUE"""),"L7523093321")</f>
        <v>L7523093321</v>
      </c>
      <c r="I701" s="17">
        <f>IFERROR(__xludf.DUMMYFUNCTION("""COMPUTED_VALUE"""),51.0)</f>
        <v>51</v>
      </c>
      <c r="J701" s="17" t="str">
        <f>IFERROR(__xludf.DUMMYFUNCTION("""COMPUTED_VALUE"""),"&gt; 44 tahun")</f>
        <v>&gt; 44 tahun</v>
      </c>
      <c r="K701" s="19">
        <f>IFERROR(__xludf.DUMMYFUNCTION("""COMPUTED_VALUE"""),27566.0)</f>
        <v>27566</v>
      </c>
      <c r="L701" s="19" t="str">
        <f>IFERROR(__xludf.DUMMYFUNCTION("""COMPUTED_VALUE"""),"PEREMPUAN")</f>
        <v>PEREMPUAN</v>
      </c>
      <c r="M701" s="16" t="str">
        <f>IFERROR(__xludf.DUMMYFUNCTION("""COMPUTED_VALUE"""),"Jalan purnama")</f>
        <v>Jalan purnama</v>
      </c>
      <c r="N701" s="16"/>
      <c r="O701" s="16"/>
      <c r="P701" s="16"/>
      <c r="Q701" s="16"/>
      <c r="R701" s="19" t="str">
        <f>IFERROR(__xludf.DUMMYFUNCTION("""COMPUTED_VALUE"""),"BUDDHA")</f>
        <v>BUDDHA</v>
      </c>
      <c r="S701" s="16" t="str">
        <f>IFERROR(__xludf.DUMMYFUNCTION("""COMPUTED_VALUE"""),"SWASTA")</f>
        <v>SWASTA</v>
      </c>
      <c r="T701" s="16" t="str">
        <f>IFERROR(__xludf.DUMMYFUNCTION("""COMPUTED_VALUE"""),"Tangan sakit setelah jatuh")</f>
        <v>Tangan sakit setelah jatuh</v>
      </c>
      <c r="U701" s="16" t="str">
        <f>IFERROR(__xludf.DUMMYFUNCTION("""COMPUTED_VALUE"""),"JALAN SEHAT")</f>
        <v>JALAN SEHAT</v>
      </c>
      <c r="V701" s="11" t="str">
        <f>IFERROR(__xludf.DUMMYFUNCTION("""COMPUTED_VALUE"""),"082234563321")</f>
        <v>082234563321</v>
      </c>
      <c r="W701" s="15"/>
    </row>
    <row r="702" ht="22.5" customHeight="1">
      <c r="A702" s="8"/>
      <c r="B702" s="9">
        <f>IFERROR(__xludf.DUMMYFUNCTION("""COMPUTED_VALUE"""),45182.76531109954)</f>
        <v>45182.76531</v>
      </c>
      <c r="C702" s="9"/>
      <c r="D702" s="10">
        <f>IFERROR(__xludf.DUMMYFUNCTION("""COMPUTED_VALUE"""),45182.0)</f>
        <v>45182</v>
      </c>
      <c r="E702" s="10" t="str">
        <f>IFERROR(__xludf.DUMMYFUNCTION("""COMPUTED_VALUE"""),"09Sep")</f>
        <v>09Sep</v>
      </c>
      <c r="F702" s="10" t="str">
        <f>IFERROR(__xludf.DUMMYFUNCTION("""COMPUTED_VALUE"""),"2023")</f>
        <v>2023</v>
      </c>
      <c r="G702" s="16" t="str">
        <f>IFERROR(__xludf.DUMMYFUNCTION("""COMPUTED_VALUE"""),"WAHYUDINATA")</f>
        <v>WAHYUDINATA</v>
      </c>
      <c r="H702" s="17" t="str">
        <f>IFERROR(__xludf.DUMMYFUNCTION("""COMPUTED_VALUE"""),"W8823098732")</f>
        <v>W8823098732</v>
      </c>
      <c r="I702" s="17">
        <f>IFERROR(__xludf.DUMMYFUNCTION("""COMPUTED_VALUE"""),37.0)</f>
        <v>37</v>
      </c>
      <c r="J702" s="17" t="str">
        <f>IFERROR(__xludf.DUMMYFUNCTION("""COMPUTED_VALUE"""),"35-44 tahun")</f>
        <v>35-44 tahun</v>
      </c>
      <c r="K702" s="19">
        <f>IFERROR(__xludf.DUMMYFUNCTION("""COMPUTED_VALUE"""),32314.0)</f>
        <v>32314</v>
      </c>
      <c r="L702" s="19" t="str">
        <f>IFERROR(__xludf.DUMMYFUNCTION("""COMPUTED_VALUE"""),"LAKI-LAKI")</f>
        <v>LAKI-LAKI</v>
      </c>
      <c r="M702" s="16" t="str">
        <f>IFERROR(__xludf.DUMMYFUNCTION("""COMPUTED_VALUE"""),"Jl parit Bugis GG Rahmat 1")</f>
        <v>Jl parit Bugis GG Rahmat 1</v>
      </c>
      <c r="N702" s="16"/>
      <c r="O702" s="16"/>
      <c r="P702" s="16"/>
      <c r="Q702" s="16"/>
      <c r="R702" s="19" t="str">
        <f>IFERROR(__xludf.DUMMYFUNCTION("""COMPUTED_VALUE"""),"ISLAM")</f>
        <v>ISLAM</v>
      </c>
      <c r="S702" s="16" t="str">
        <f>IFERROR(__xludf.DUMMYFUNCTION("""COMPUTED_VALUE"""),"BUMD")</f>
        <v>BUMD</v>
      </c>
      <c r="T702" s="16" t="str">
        <f>IFERROR(__xludf.DUMMYFUNCTION("""COMPUTED_VALUE"""),"Sakit pinggang dan")</f>
        <v>Sakit pinggang dan</v>
      </c>
      <c r="U702" s="16" t="str">
        <f>IFERROR(__xludf.DUMMYFUNCTION("""COMPUTED_VALUE"""),"TIDAK ADA")</f>
        <v>TIDAK ADA</v>
      </c>
      <c r="V702" s="11" t="str">
        <f>IFERROR(__xludf.DUMMYFUNCTION("""COMPUTED_VALUE"""),"085245688732")</f>
        <v>085245688732</v>
      </c>
      <c r="W702" s="15"/>
    </row>
    <row r="703" ht="22.5" customHeight="1">
      <c r="A703" s="8"/>
      <c r="B703" s="9">
        <f>IFERROR(__xludf.DUMMYFUNCTION("""COMPUTED_VALUE"""),45183.63632471065)</f>
        <v>45183.63632</v>
      </c>
      <c r="C703" s="9"/>
      <c r="D703" s="10">
        <f>IFERROR(__xludf.DUMMYFUNCTION("""COMPUTED_VALUE"""),45182.0)</f>
        <v>45182</v>
      </c>
      <c r="E703" s="10" t="str">
        <f>IFERROR(__xludf.DUMMYFUNCTION("""COMPUTED_VALUE"""),"09Sep")</f>
        <v>09Sep</v>
      </c>
      <c r="F703" s="10" t="str">
        <f>IFERROR(__xludf.DUMMYFUNCTION("""COMPUTED_VALUE"""),"2023")</f>
        <v>2023</v>
      </c>
      <c r="G703" s="16" t="str">
        <f>IFERROR(__xludf.DUMMYFUNCTION("""COMPUTED_VALUE"""),"TUNJUNG KUNTO NUGROHO")</f>
        <v>TUNJUNG KUNTO NUGROHO</v>
      </c>
      <c r="H703" s="17" t="str">
        <f>IFERROR(__xludf.DUMMYFUNCTION("""COMPUTED_VALUE"""),"T9423098983")</f>
        <v>T9423098983</v>
      </c>
      <c r="I703" s="17">
        <f>IFERROR(__xludf.DUMMYFUNCTION("""COMPUTED_VALUE"""),32.0)</f>
        <v>32</v>
      </c>
      <c r="J703" s="17" t="str">
        <f>IFERROR(__xludf.DUMMYFUNCTION("""COMPUTED_VALUE"""),"25-34 tahun")</f>
        <v>25-34 tahun</v>
      </c>
      <c r="K703" s="19">
        <f>IFERROR(__xludf.DUMMYFUNCTION("""COMPUTED_VALUE"""),34419.0)</f>
        <v>34419</v>
      </c>
      <c r="L703" s="19" t="str">
        <f>IFERROR(__xludf.DUMMYFUNCTION("""COMPUTED_VALUE"""),"LAKI-LAKI")</f>
        <v>LAKI-LAKI</v>
      </c>
      <c r="M703" s="16" t="str">
        <f>IFERROR(__xludf.DUMMYFUNCTION("""COMPUTED_VALUE"""),"Jl. Perintis no.19")</f>
        <v>Jl. Perintis no.19</v>
      </c>
      <c r="N703" s="16"/>
      <c r="O703" s="16"/>
      <c r="P703" s="16"/>
      <c r="Q703" s="16"/>
      <c r="R703" s="19" t="str">
        <f>IFERROR(__xludf.DUMMYFUNCTION("""COMPUTED_VALUE"""),"ISLAM")</f>
        <v>ISLAM</v>
      </c>
      <c r="S703" s="16" t="str">
        <f>IFERROR(__xludf.DUMMYFUNCTION("""COMPUTED_VALUE"""),"ASN")</f>
        <v>ASN</v>
      </c>
      <c r="T703" s="16" t="str">
        <f>IFERROR(__xludf.DUMMYFUNCTION("""COMPUTED_VALUE"""),"CEDERA ANKLE")</f>
        <v>CEDERA ANKLE</v>
      </c>
      <c r="U703" s="16" t="str">
        <f>IFERROR(__xludf.DUMMYFUNCTION("""COMPUTED_VALUE"""),"BADMINTON")</f>
        <v>BADMINTON</v>
      </c>
      <c r="V703" s="11" t="str">
        <f>IFERROR(__xludf.DUMMYFUNCTION("""COMPUTED_VALUE"""),"081253268983")</f>
        <v>081253268983</v>
      </c>
      <c r="W703" s="15"/>
    </row>
    <row r="704" ht="22.5" customHeight="1">
      <c r="A704" s="8"/>
      <c r="B704" s="9">
        <f>IFERROR(__xludf.DUMMYFUNCTION("""COMPUTED_VALUE"""),45185.48473880787)</f>
        <v>45185.48474</v>
      </c>
      <c r="C704" s="9"/>
      <c r="D704" s="10">
        <f>IFERROR(__xludf.DUMMYFUNCTION("""COMPUTED_VALUE"""),45182.0)</f>
        <v>45182</v>
      </c>
      <c r="E704" s="10" t="str">
        <f>IFERROR(__xludf.DUMMYFUNCTION("""COMPUTED_VALUE"""),"09Sep")</f>
        <v>09Sep</v>
      </c>
      <c r="F704" s="10" t="str">
        <f>IFERROR(__xludf.DUMMYFUNCTION("""COMPUTED_VALUE"""),"2023")</f>
        <v>2023</v>
      </c>
      <c r="G704" s="16" t="str">
        <f>IFERROR(__xludf.DUMMYFUNCTION("""COMPUTED_VALUE"""),"MUHAMMAD LUTHFI ILHAM")</f>
        <v>MUHAMMAD LUTHFI ILHAM</v>
      </c>
      <c r="H704" s="17" t="str">
        <f>IFERROR(__xludf.DUMMYFUNCTION("""COMPUTED_VALUE"""),"M0023093159")</f>
        <v>M0023093159</v>
      </c>
      <c r="I704" s="17">
        <f>IFERROR(__xludf.DUMMYFUNCTION("""COMPUTED_VALUE"""),26.0)</f>
        <v>26</v>
      </c>
      <c r="J704" s="17" t="str">
        <f>IFERROR(__xludf.DUMMYFUNCTION("""COMPUTED_VALUE"""),"25-34 tahun")</f>
        <v>25-34 tahun</v>
      </c>
      <c r="K704" s="19">
        <f>IFERROR(__xludf.DUMMYFUNCTION("""COMPUTED_VALUE"""),36643.0)</f>
        <v>36643</v>
      </c>
      <c r="L704" s="19" t="str">
        <f>IFERROR(__xludf.DUMMYFUNCTION("""COMPUTED_VALUE"""),"LAKI-LAKI")</f>
        <v>LAKI-LAKI</v>
      </c>
      <c r="M704" s="16" t="str">
        <f>IFERROR(__xludf.DUMMYFUNCTION("""COMPUTED_VALUE"""),"JL KHATULISTIWA GG. BERINGIN II")</f>
        <v>JL KHATULISTIWA GG. BERINGIN II</v>
      </c>
      <c r="N704" s="16"/>
      <c r="O704" s="16"/>
      <c r="P704" s="16"/>
      <c r="Q704" s="16"/>
      <c r="R704" s="19" t="str">
        <f>IFERROR(__xludf.DUMMYFUNCTION("""COMPUTED_VALUE"""),"ISLAM")</f>
        <v>ISLAM</v>
      </c>
      <c r="S704" s="16" t="str">
        <f>IFERROR(__xludf.DUMMYFUNCTION("""COMPUTED_VALUE"""),"PELAJAR/MAHASISWA")</f>
        <v>PELAJAR/MAHASISWA</v>
      </c>
      <c r="T704" s="16" t="str">
        <f>IFERROR(__xludf.DUMMYFUNCTION("""COMPUTED_VALUE"""),"sakit di kaki kanan belakang")</f>
        <v>sakit di kaki kanan belakang</v>
      </c>
      <c r="U704" s="16" t="str">
        <f>IFERROR(__xludf.DUMMYFUNCTION("""COMPUTED_VALUE"""),"Renang, pencak silat")</f>
        <v>Renang, pencak silat</v>
      </c>
      <c r="V704" s="11" t="str">
        <f>IFERROR(__xludf.DUMMYFUNCTION("""COMPUTED_VALUE"""),"085752853159")</f>
        <v>085752853159</v>
      </c>
      <c r="W704" s="15"/>
    </row>
    <row r="705" ht="22.5" customHeight="1">
      <c r="A705" s="8"/>
      <c r="B705" s="9">
        <f>IFERROR(__xludf.DUMMYFUNCTION("""COMPUTED_VALUE"""),45185.48956795139)</f>
        <v>45185.48957</v>
      </c>
      <c r="C705" s="9"/>
      <c r="D705" s="10">
        <f>IFERROR(__xludf.DUMMYFUNCTION("""COMPUTED_VALUE"""),45182.0)</f>
        <v>45182</v>
      </c>
      <c r="E705" s="10" t="str">
        <f>IFERROR(__xludf.DUMMYFUNCTION("""COMPUTED_VALUE"""),"09Sep")</f>
        <v>09Sep</v>
      </c>
      <c r="F705" s="10" t="str">
        <f>IFERROR(__xludf.DUMMYFUNCTION("""COMPUTED_VALUE"""),"2023")</f>
        <v>2023</v>
      </c>
      <c r="G705" s="16" t="str">
        <f>IFERROR(__xludf.DUMMYFUNCTION("""COMPUTED_VALUE"""),"MARGIE NASTITI")</f>
        <v>MARGIE NASTITI</v>
      </c>
      <c r="H705" s="17" t="str">
        <f>IFERROR(__xludf.DUMMYFUNCTION("""COMPUTED_VALUE"""),"M9523093913")</f>
        <v>M9523093913</v>
      </c>
      <c r="I705" s="17">
        <f>IFERROR(__xludf.DUMMYFUNCTION("""COMPUTED_VALUE"""),31.0)</f>
        <v>31</v>
      </c>
      <c r="J705" s="17" t="str">
        <f>IFERROR(__xludf.DUMMYFUNCTION("""COMPUTED_VALUE"""),"25-34 tahun")</f>
        <v>25-34 tahun</v>
      </c>
      <c r="K705" s="19">
        <f>IFERROR(__xludf.DUMMYFUNCTION("""COMPUTED_VALUE"""),34805.0)</f>
        <v>34805</v>
      </c>
      <c r="L705" s="19" t="str">
        <f>IFERROR(__xludf.DUMMYFUNCTION("""COMPUTED_VALUE"""),"PEREMPUAN")</f>
        <v>PEREMPUAN</v>
      </c>
      <c r="M705" s="16" t="str">
        <f>IFERROR(__xludf.DUMMYFUNCTION("""COMPUTED_VALUE"""),"Jl. Karet Gg. Eka Sapta No. 23")</f>
        <v>Jl. Karet Gg. Eka Sapta No. 23</v>
      </c>
      <c r="N705" s="16"/>
      <c r="O705" s="16"/>
      <c r="P705" s="16"/>
      <c r="Q705" s="16"/>
      <c r="R705" s="19" t="str">
        <f>IFERROR(__xludf.DUMMYFUNCTION("""COMPUTED_VALUE"""),"ISLAM")</f>
        <v>ISLAM</v>
      </c>
      <c r="S705" s="16" t="str">
        <f>IFERROR(__xludf.DUMMYFUNCTION("""COMPUTED_VALUE"""),"SWASTA")</f>
        <v>SWASTA</v>
      </c>
      <c r="T705" s="16" t="str">
        <f>IFERROR(__xludf.DUMMYFUNCTION("""COMPUTED_VALUE"""),"SKOLIOSIS")</f>
        <v>SKOLIOSIS</v>
      </c>
      <c r="U705" s="16" t="str">
        <f>IFERROR(__xludf.DUMMYFUNCTION("""COMPUTED_VALUE"""),"-")</f>
        <v>-</v>
      </c>
      <c r="V705" s="11" t="str">
        <f>IFERROR(__xludf.DUMMYFUNCTION("""COMPUTED_VALUE"""),"085163103913")</f>
        <v>085163103913</v>
      </c>
      <c r="W705" s="15"/>
    </row>
    <row r="706" ht="22.5" customHeight="1">
      <c r="A706" s="8"/>
      <c r="B706" s="9">
        <f>IFERROR(__xludf.DUMMYFUNCTION("""COMPUTED_VALUE"""),45200.728680925924)</f>
        <v>45200.72868</v>
      </c>
      <c r="C706" s="9"/>
      <c r="D706" s="10">
        <f>IFERROR(__xludf.DUMMYFUNCTION("""COMPUTED_VALUE"""),45183.0)</f>
        <v>45183</v>
      </c>
      <c r="E706" s="10" t="str">
        <f>IFERROR(__xludf.DUMMYFUNCTION("""COMPUTED_VALUE"""),"09Sep")</f>
        <v>09Sep</v>
      </c>
      <c r="F706" s="10" t="str">
        <f>IFERROR(__xludf.DUMMYFUNCTION("""COMPUTED_VALUE"""),"2023")</f>
        <v>2023</v>
      </c>
      <c r="G706" s="16" t="str">
        <f>IFERROR(__xludf.DUMMYFUNCTION("""COMPUTED_VALUE"""),"HERI SARMAN")</f>
        <v>HERI SARMAN</v>
      </c>
      <c r="H706" s="17" t="str">
        <f>IFERROR(__xludf.DUMMYFUNCTION("""COMPUTED_VALUE"""),"H0123093969")</f>
        <v>H0123093969</v>
      </c>
      <c r="I706" s="17">
        <f>IFERROR(__xludf.DUMMYFUNCTION("""COMPUTED_VALUE"""),24.0)</f>
        <v>24</v>
      </c>
      <c r="J706" s="17" t="str">
        <f>IFERROR(__xludf.DUMMYFUNCTION("""COMPUTED_VALUE"""),"18-24 tahun")</f>
        <v>18-24 tahun</v>
      </c>
      <c r="K706" s="19">
        <f>IFERROR(__xludf.DUMMYFUNCTION("""COMPUTED_VALUE"""),37221.0)</f>
        <v>37221</v>
      </c>
      <c r="L706" s="19" t="str">
        <f>IFERROR(__xludf.DUMMYFUNCTION("""COMPUTED_VALUE"""),"LAKI-LAKI")</f>
        <v>LAKI-LAKI</v>
      </c>
      <c r="M706" s="16" t="str">
        <f>IFERROR(__xludf.DUMMYFUNCTION("""COMPUTED_VALUE"""),"Jl. Raya Desa Pematang Gadung")</f>
        <v>Jl. Raya Desa Pematang Gadung</v>
      </c>
      <c r="N706" s="16"/>
      <c r="O706" s="16"/>
      <c r="P706" s="16"/>
      <c r="Q706" s="16"/>
      <c r="R706" s="19" t="str">
        <f>IFERROR(__xludf.DUMMYFUNCTION("""COMPUTED_VALUE"""),"ISLAM")</f>
        <v>ISLAM</v>
      </c>
      <c r="S706" s="16" t="str">
        <f>IFERROR(__xludf.DUMMYFUNCTION("""COMPUTED_VALUE"""),"WIRASWASTA")</f>
        <v>WIRASWASTA</v>
      </c>
      <c r="T706" s="16" t="str">
        <f>IFERROR(__xludf.DUMMYFUNCTION("""COMPUTED_VALUE"""),"Bungkuk dan scoliosis")</f>
        <v>Bungkuk dan scoliosis</v>
      </c>
      <c r="U706" s="16" t="str">
        <f>IFERROR(__xludf.DUMMYFUNCTION("""COMPUTED_VALUE"""),"Bekerja, bermain game dan futsal")</f>
        <v>Bekerja, bermain game dan futsal</v>
      </c>
      <c r="V706" s="11" t="str">
        <f>IFERROR(__xludf.DUMMYFUNCTION("""COMPUTED_VALUE"""),"082151893969")</f>
        <v>082151893969</v>
      </c>
      <c r="W706" s="15"/>
    </row>
    <row r="707" ht="22.5" customHeight="1">
      <c r="A707" s="8"/>
      <c r="B707" s="9">
        <f>IFERROR(__xludf.DUMMYFUNCTION("""COMPUTED_VALUE"""),45201.54701571759)</f>
        <v>45201.54702</v>
      </c>
      <c r="C707" s="9"/>
      <c r="D707" s="10">
        <f>IFERROR(__xludf.DUMMYFUNCTION("""COMPUTED_VALUE"""),45183.0)</f>
        <v>45183</v>
      </c>
      <c r="E707" s="10" t="str">
        <f>IFERROR(__xludf.DUMMYFUNCTION("""COMPUTED_VALUE"""),"09Sep")</f>
        <v>09Sep</v>
      </c>
      <c r="F707" s="10" t="str">
        <f>IFERROR(__xludf.DUMMYFUNCTION("""COMPUTED_VALUE"""),"2023")</f>
        <v>2023</v>
      </c>
      <c r="G707" s="16" t="str">
        <f>IFERROR(__xludf.DUMMYFUNCTION("""COMPUTED_VALUE"""),"ATHALLA NAWAF AR RASYID")</f>
        <v>ATHALLA NAWAF AR RASYID</v>
      </c>
      <c r="H707" s="17" t="str">
        <f>IFERROR(__xludf.DUMMYFUNCTION("""COMPUTED_VALUE"""),"A0923094762")</f>
        <v>A0923094762</v>
      </c>
      <c r="I707" s="17">
        <f>IFERROR(__xludf.DUMMYFUNCTION("""COMPUTED_VALUE"""),16.0)</f>
        <v>16</v>
      </c>
      <c r="J707" s="17" t="str">
        <f>IFERROR(__xludf.DUMMYFUNCTION("""COMPUTED_VALUE"""),"&lt; 18 tahun")</f>
        <v>&lt; 18 tahun</v>
      </c>
      <c r="K707" s="19">
        <f>IFERROR(__xludf.DUMMYFUNCTION("""COMPUTED_VALUE"""),40093.0)</f>
        <v>40093</v>
      </c>
      <c r="L707" s="19" t="str">
        <f>IFERROR(__xludf.DUMMYFUNCTION("""COMPUTED_VALUE"""),"LAKI-LAKI")</f>
        <v>LAKI-LAKI</v>
      </c>
      <c r="M707" s="16" t="str">
        <f>IFERROR(__xludf.DUMMYFUNCTION("""COMPUTED_VALUE"""),"Jl. dr Wahidin Sudirohusodo, Batas Pandang Komplek kelapa hijau No 9 Pontianak")</f>
        <v>Jl. dr Wahidin Sudirohusodo, Batas Pandang Komplek kelapa hijau No 9 Pontianak</v>
      </c>
      <c r="N707" s="16"/>
      <c r="O707" s="16"/>
      <c r="P707" s="16"/>
      <c r="Q707" s="16"/>
      <c r="R707" s="19" t="str">
        <f>IFERROR(__xludf.DUMMYFUNCTION("""COMPUTED_VALUE"""),"ISLAM")</f>
        <v>ISLAM</v>
      </c>
      <c r="S707" s="16" t="str">
        <f>IFERROR(__xludf.DUMMYFUNCTION("""COMPUTED_VALUE"""),"PELAJAR/MAHASISWA")</f>
        <v>PELAJAR/MAHASISWA</v>
      </c>
      <c r="T707" s="16" t="str">
        <f>IFERROR(__xludf.DUMMYFUNCTION("""COMPUTED_VALUE"""),"Leher sakit nyeri, kata dokter Frozen solder sindrom")</f>
        <v>Leher sakit nyeri, kata dokter Frozen solder sindrom</v>
      </c>
      <c r="U707" s="16" t="str">
        <f>IFERROR(__xludf.DUMMYFUNCTION("""COMPUTED_VALUE"""),"menggambar")</f>
        <v>menggambar</v>
      </c>
      <c r="V707" s="11" t="str">
        <f>IFERROR(__xludf.DUMMYFUNCTION("""COMPUTED_VALUE"""),"081253314762")</f>
        <v>081253314762</v>
      </c>
      <c r="W707" s="15"/>
    </row>
    <row r="708" ht="22.5" customHeight="1">
      <c r="A708" s="8"/>
      <c r="B708" s="9">
        <f>IFERROR(__xludf.DUMMYFUNCTION("""COMPUTED_VALUE"""),45201.54926880787)</f>
        <v>45201.54927</v>
      </c>
      <c r="C708" s="9"/>
      <c r="D708" s="10">
        <f>IFERROR(__xludf.DUMMYFUNCTION("""COMPUTED_VALUE"""),45185.0)</f>
        <v>45185</v>
      </c>
      <c r="E708" s="10" t="str">
        <f>IFERROR(__xludf.DUMMYFUNCTION("""COMPUTED_VALUE"""),"09Sep")</f>
        <v>09Sep</v>
      </c>
      <c r="F708" s="10" t="str">
        <f>IFERROR(__xludf.DUMMYFUNCTION("""COMPUTED_VALUE"""),"2023")</f>
        <v>2023</v>
      </c>
      <c r="G708" s="16" t="str">
        <f>IFERROR(__xludf.DUMMYFUNCTION("""COMPUTED_VALUE"""),"TRI LASTUTI")</f>
        <v>TRI LASTUTI</v>
      </c>
      <c r="H708" s="17" t="str">
        <f>IFERROR(__xludf.DUMMYFUNCTION("""COMPUTED_VALUE"""),"T7423095388")</f>
        <v>T7423095388</v>
      </c>
      <c r="I708" s="17">
        <f>IFERROR(__xludf.DUMMYFUNCTION("""COMPUTED_VALUE"""),52.0)</f>
        <v>52</v>
      </c>
      <c r="J708" s="17" t="str">
        <f>IFERROR(__xludf.DUMMYFUNCTION("""COMPUTED_VALUE"""),"&gt; 44 tahun")</f>
        <v>&gt; 44 tahun</v>
      </c>
      <c r="K708" s="19">
        <f>IFERROR(__xludf.DUMMYFUNCTION("""COMPUTED_VALUE"""),27124.0)</f>
        <v>27124</v>
      </c>
      <c r="L708" s="19" t="str">
        <f>IFERROR(__xludf.DUMMYFUNCTION("""COMPUTED_VALUE"""),"PEREMPUAN")</f>
        <v>PEREMPUAN</v>
      </c>
      <c r="M708" s="16" t="str">
        <f>IFERROR(__xludf.DUMMYFUNCTION("""COMPUTED_VALUE"""),"Lingk cikabuyutan barat hegarsari pataruman kota banjar jawa barat")</f>
        <v>Lingk cikabuyutan barat hegarsari pataruman kota banjar jawa barat</v>
      </c>
      <c r="N708" s="16"/>
      <c r="O708" s="16"/>
      <c r="P708" s="16"/>
      <c r="Q708" s="16"/>
      <c r="R708" s="19" t="str">
        <f>IFERROR(__xludf.DUMMYFUNCTION("""COMPUTED_VALUE"""),"ISLAM")</f>
        <v>ISLAM</v>
      </c>
      <c r="S708" s="16" t="str">
        <f>IFERROR(__xludf.DUMMYFUNCTION("""COMPUTED_VALUE"""),"RUMAH TANGGA")</f>
        <v>RUMAH TANGGA</v>
      </c>
      <c r="T708" s="16" t="str">
        <f>IFERROR(__xludf.DUMMYFUNCTION("""COMPUTED_VALUE"""),"SAKIT PINGGANG")</f>
        <v>SAKIT PINGGANG</v>
      </c>
      <c r="U708" s="16" t="str">
        <f>IFERROR(__xludf.DUMMYFUNCTION("""COMPUTED_VALUE"""),"MENGURUS RUMAH")</f>
        <v>MENGURUS RUMAH</v>
      </c>
      <c r="V708" s="11" t="str">
        <f>IFERROR(__xludf.DUMMYFUNCTION("""COMPUTED_VALUE"""),"085223955388")</f>
        <v>085223955388</v>
      </c>
      <c r="W708" s="15"/>
    </row>
    <row r="709" ht="22.5" customHeight="1">
      <c r="A709" s="8"/>
      <c r="B709" s="9">
        <f>IFERROR(__xludf.DUMMYFUNCTION("""COMPUTED_VALUE"""),45186.44988428241)</f>
        <v>45186.44988</v>
      </c>
      <c r="C709" s="9"/>
      <c r="D709" s="10">
        <f>IFERROR(__xludf.DUMMYFUNCTION("""COMPUTED_VALUE"""),45185.0)</f>
        <v>45185</v>
      </c>
      <c r="E709" s="10" t="str">
        <f>IFERROR(__xludf.DUMMYFUNCTION("""COMPUTED_VALUE"""),"09Sep")</f>
        <v>09Sep</v>
      </c>
      <c r="F709" s="10" t="str">
        <f>IFERROR(__xludf.DUMMYFUNCTION("""COMPUTED_VALUE"""),"2023")</f>
        <v>2023</v>
      </c>
      <c r="G709" s="16" t="str">
        <f>IFERROR(__xludf.DUMMYFUNCTION("""COMPUTED_VALUE"""),"SETYO KUNCORO")</f>
        <v>SETYO KUNCORO</v>
      </c>
      <c r="H709" s="17" t="str">
        <f>IFERROR(__xludf.DUMMYFUNCTION("""COMPUTED_VALUE"""),"S8223090985")</f>
        <v>S8223090985</v>
      </c>
      <c r="I709" s="17">
        <f>IFERROR(__xludf.DUMMYFUNCTION("""COMPUTED_VALUE"""),44.0)</f>
        <v>44</v>
      </c>
      <c r="J709" s="17" t="str">
        <f>IFERROR(__xludf.DUMMYFUNCTION("""COMPUTED_VALUE"""),"35-44 tahun")</f>
        <v>35-44 tahun</v>
      </c>
      <c r="K709" s="19">
        <f>IFERROR(__xludf.DUMMYFUNCTION("""COMPUTED_VALUE"""),30002.0)</f>
        <v>30002</v>
      </c>
      <c r="L709" s="19" t="str">
        <f>IFERROR(__xludf.DUMMYFUNCTION("""COMPUTED_VALUE"""),"LAKI-LAKI")</f>
        <v>LAKI-LAKI</v>
      </c>
      <c r="M709" s="16" t="str">
        <f>IFERROR(__xludf.DUMMYFUNCTION("""COMPUTED_VALUE"""),"Jalan KH Abdurrahman Wahid no 13 Dusun keramat 1 RT 03/RW01 Kec Sui Raya Kab Kubu Raya")</f>
        <v>Jalan KH Abdurrahman Wahid no 13 Dusun keramat 1 RT 03/RW01 Kec Sui Raya Kab Kubu Raya</v>
      </c>
      <c r="N709" s="16"/>
      <c r="O709" s="16"/>
      <c r="P709" s="16"/>
      <c r="Q709" s="16"/>
      <c r="R709" s="19" t="str">
        <f>IFERROR(__xludf.DUMMYFUNCTION("""COMPUTED_VALUE"""),"ISLAM")</f>
        <v>ISLAM</v>
      </c>
      <c r="S709" s="16" t="str">
        <f>IFERROR(__xludf.DUMMYFUNCTION("""COMPUTED_VALUE"""),"BUMN")</f>
        <v>BUMN</v>
      </c>
      <c r="T709" s="16" t="str">
        <f>IFERROR(__xludf.DUMMYFUNCTION("""COMPUTED_VALUE"""),"Sakit pada pinggang dan paha kanan")</f>
        <v>Sakit pada pinggang dan paha kanan</v>
      </c>
      <c r="U709" s="16" t="str">
        <f>IFERROR(__xludf.DUMMYFUNCTION("""COMPUTED_VALUE"""),"Olah Raga")</f>
        <v>Olah Raga</v>
      </c>
      <c r="V709" s="11" t="str">
        <f>IFERROR(__xludf.DUMMYFUNCTION("""COMPUTED_VALUE"""),"081352170985")</f>
        <v>081352170985</v>
      </c>
      <c r="W709" s="15"/>
    </row>
    <row r="710" ht="22.5" customHeight="1">
      <c r="A710" s="8"/>
      <c r="B710" s="9">
        <f>IFERROR(__xludf.DUMMYFUNCTION("""COMPUTED_VALUE"""),45186.75545334491)</f>
        <v>45186.75545</v>
      </c>
      <c r="C710" s="9"/>
      <c r="D710" s="10">
        <f>IFERROR(__xludf.DUMMYFUNCTION("""COMPUTED_VALUE"""),45185.0)</f>
        <v>45185</v>
      </c>
      <c r="E710" s="10" t="str">
        <f>IFERROR(__xludf.DUMMYFUNCTION("""COMPUTED_VALUE"""),"09Sep")</f>
        <v>09Sep</v>
      </c>
      <c r="F710" s="10" t="str">
        <f>IFERROR(__xludf.DUMMYFUNCTION("""COMPUTED_VALUE"""),"2023")</f>
        <v>2023</v>
      </c>
      <c r="G710" s="16" t="str">
        <f>IFERROR(__xludf.DUMMYFUNCTION("""COMPUTED_VALUE"""),"TIKA UTAMI SUNDARI")</f>
        <v>TIKA UTAMI SUNDARI</v>
      </c>
      <c r="H710" s="17" t="str">
        <f>IFERROR(__xludf.DUMMYFUNCTION("""COMPUTED_VALUE"""),"T9223095055")</f>
        <v>T9223095055</v>
      </c>
      <c r="I710" s="17">
        <f>IFERROR(__xludf.DUMMYFUNCTION("""COMPUTED_VALUE"""),34.0)</f>
        <v>34</v>
      </c>
      <c r="J710" s="17" t="str">
        <f>IFERROR(__xludf.DUMMYFUNCTION("""COMPUTED_VALUE"""),"25-34 tahun")</f>
        <v>25-34 tahun</v>
      </c>
      <c r="K710" s="19">
        <f>IFERROR(__xludf.DUMMYFUNCTION("""COMPUTED_VALUE"""),33674.0)</f>
        <v>33674</v>
      </c>
      <c r="L710" s="19" t="str">
        <f>IFERROR(__xludf.DUMMYFUNCTION("""COMPUTED_VALUE"""),"PEREMPUAN")</f>
        <v>PEREMPUAN</v>
      </c>
      <c r="M710" s="16" t="str">
        <f>IFERROR(__xludf.DUMMYFUNCTION("""COMPUTED_VALUE"""),"Jl. P. Natakusuma Gg. Langgar h. Ali no.18")</f>
        <v>Jl. P. Natakusuma Gg. Langgar h. Ali no.18</v>
      </c>
      <c r="N710" s="16"/>
      <c r="O710" s="16"/>
      <c r="P710" s="16"/>
      <c r="Q710" s="16"/>
      <c r="R710" s="19" t="str">
        <f>IFERROR(__xludf.DUMMYFUNCTION("""COMPUTED_VALUE"""),"ISLAM")</f>
        <v>ISLAM</v>
      </c>
      <c r="S710" s="16" t="str">
        <f>IFERROR(__xludf.DUMMYFUNCTION("""COMPUTED_VALUE"""),"WIRASWASTA")</f>
        <v>WIRASWASTA</v>
      </c>
      <c r="T710" s="16" t="str">
        <f>IFERROR(__xludf.DUMMYFUNCTION("""COMPUTED_VALUE"""),"Nyeri pergelangan tangan dan kebas")</f>
        <v>Nyeri pergelangan tangan dan kebas</v>
      </c>
      <c r="U710" s="16" t="str">
        <f>IFERROR(__xludf.DUMMYFUNCTION("""COMPUTED_VALUE"""),"Dekorasi, jalan-jalan")</f>
        <v>Dekorasi, jalan-jalan</v>
      </c>
      <c r="V710" s="11" t="str">
        <f>IFERROR(__xludf.DUMMYFUNCTION("""COMPUTED_VALUE"""),"085279555055")</f>
        <v>085279555055</v>
      </c>
      <c r="W710" s="15"/>
    </row>
    <row r="711" ht="22.5" customHeight="1">
      <c r="A711" s="8"/>
      <c r="B711" s="9">
        <f>IFERROR(__xludf.DUMMYFUNCTION("""COMPUTED_VALUE"""),45186.808303275466)</f>
        <v>45186.8083</v>
      </c>
      <c r="C711" s="9"/>
      <c r="D711" s="10">
        <f>IFERROR(__xludf.DUMMYFUNCTION("""COMPUTED_VALUE"""),45186.0)</f>
        <v>45186</v>
      </c>
      <c r="E711" s="10" t="str">
        <f>IFERROR(__xludf.DUMMYFUNCTION("""COMPUTED_VALUE"""),"09Sep")</f>
        <v>09Sep</v>
      </c>
      <c r="F711" s="10" t="str">
        <f>IFERROR(__xludf.DUMMYFUNCTION("""COMPUTED_VALUE"""),"2023")</f>
        <v>2023</v>
      </c>
      <c r="G711" s="16" t="str">
        <f>IFERROR(__xludf.DUMMYFUNCTION("""COMPUTED_VALUE"""),"NOFI IRAWAN")</f>
        <v>NOFI IRAWAN</v>
      </c>
      <c r="H711" s="17" t="str">
        <f>IFERROR(__xludf.DUMMYFUNCTION("""COMPUTED_VALUE"""),"N8823098877")</f>
        <v>N8823098877</v>
      </c>
      <c r="I711" s="17">
        <f>IFERROR(__xludf.DUMMYFUNCTION("""COMPUTED_VALUE"""),37.0)</f>
        <v>37</v>
      </c>
      <c r="J711" s="17" t="str">
        <f>IFERROR(__xludf.DUMMYFUNCTION("""COMPUTED_VALUE"""),"35-44 tahun")</f>
        <v>35-44 tahun</v>
      </c>
      <c r="K711" s="19">
        <f>IFERROR(__xludf.DUMMYFUNCTION("""COMPUTED_VALUE"""),32464.0)</f>
        <v>32464</v>
      </c>
      <c r="L711" s="19" t="str">
        <f>IFERROR(__xludf.DUMMYFUNCTION("""COMPUTED_VALUE"""),"LAKI-LAKI")</f>
        <v>LAKI-LAKI</v>
      </c>
      <c r="M711" s="16" t="str">
        <f>IFERROR(__xludf.DUMMYFUNCTION("""COMPUTED_VALUE"""),"Jalan Parit Haji Muksin 2 Gang Gemilang Indah 2 Kubu Raya")</f>
        <v>Jalan Parit Haji Muksin 2 Gang Gemilang Indah 2 Kubu Raya</v>
      </c>
      <c r="N711" s="16"/>
      <c r="O711" s="16"/>
      <c r="P711" s="16"/>
      <c r="Q711" s="16"/>
      <c r="R711" s="19" t="str">
        <f>IFERROR(__xludf.DUMMYFUNCTION("""COMPUTED_VALUE"""),"ISLAM")</f>
        <v>ISLAM</v>
      </c>
      <c r="S711" s="16" t="str">
        <f>IFERROR(__xludf.DUMMYFUNCTION("""COMPUTED_VALUE"""),"TNI/POLRI")</f>
        <v>TNI/POLRI</v>
      </c>
      <c r="T711" s="16" t="str">
        <f>IFERROR(__xludf.DUMMYFUNCTION("""COMPUTED_VALUE"""),"NYERI KIRI")</f>
        <v>NYERI KIRI</v>
      </c>
      <c r="U711" s="16" t="str">
        <f>IFERROR(__xludf.DUMMYFUNCTION("""COMPUTED_VALUE"""),"SEPEDA DAN LARI")</f>
        <v>SEPEDA DAN LARI</v>
      </c>
      <c r="V711" s="11" t="str">
        <f>IFERROR(__xludf.DUMMYFUNCTION("""COMPUTED_VALUE"""),"085245058877")</f>
        <v>085245058877</v>
      </c>
      <c r="W711" s="15"/>
    </row>
    <row r="712" ht="22.5" customHeight="1">
      <c r="A712" s="8"/>
      <c r="B712" s="9">
        <f>IFERROR(__xludf.DUMMYFUNCTION("""COMPUTED_VALUE"""),45186.80979494213)</f>
        <v>45186.80979</v>
      </c>
      <c r="C712" s="9"/>
      <c r="D712" s="10">
        <f>IFERROR(__xludf.DUMMYFUNCTION("""COMPUTED_VALUE"""),45187.0)</f>
        <v>45187</v>
      </c>
      <c r="E712" s="10" t="str">
        <f>IFERROR(__xludf.DUMMYFUNCTION("""COMPUTED_VALUE"""),"09Sep")</f>
        <v>09Sep</v>
      </c>
      <c r="F712" s="10" t="str">
        <f>IFERROR(__xludf.DUMMYFUNCTION("""COMPUTED_VALUE"""),"2023")</f>
        <v>2023</v>
      </c>
      <c r="G712" s="16" t="str">
        <f>IFERROR(__xludf.DUMMYFUNCTION("""COMPUTED_VALUE"""),"DEDDY FAISAL")</f>
        <v>DEDDY FAISAL</v>
      </c>
      <c r="H712" s="17" t="str">
        <f>IFERROR(__xludf.DUMMYFUNCTION("""COMPUTED_VALUE"""),"D9623095215")</f>
        <v>D9623095215</v>
      </c>
      <c r="I712" s="17">
        <f>IFERROR(__xludf.DUMMYFUNCTION("""COMPUTED_VALUE"""),29.0)</f>
        <v>29</v>
      </c>
      <c r="J712" s="17" t="str">
        <f>IFERROR(__xludf.DUMMYFUNCTION("""COMPUTED_VALUE"""),"25-34 tahun")</f>
        <v>25-34 tahun</v>
      </c>
      <c r="K712" s="19">
        <f>IFERROR(__xludf.DUMMYFUNCTION("""COMPUTED_VALUE"""),35302.0)</f>
        <v>35302</v>
      </c>
      <c r="L712" s="19" t="str">
        <f>IFERROR(__xludf.DUMMYFUNCTION("""COMPUTED_VALUE"""),"LAKI-LAKI")</f>
        <v>LAKI-LAKI</v>
      </c>
      <c r="M712" s="16" t="str">
        <f>IFERROR(__xludf.DUMMYFUNCTION("""COMPUTED_VALUE"""),"Jalan. Adisucipto Gg.thridarma No.3 kec. sui raya, Kab. Kubu Raya")</f>
        <v>Jalan. Adisucipto Gg.thridarma No.3 kec. sui raya, Kab. Kubu Raya</v>
      </c>
      <c r="N712" s="16"/>
      <c r="O712" s="16"/>
      <c r="P712" s="16"/>
      <c r="Q712" s="16"/>
      <c r="R712" s="19" t="str">
        <f>IFERROR(__xludf.DUMMYFUNCTION("""COMPUTED_VALUE"""),"ISLAM")</f>
        <v>ISLAM</v>
      </c>
      <c r="S712" s="16" t="str">
        <f>IFERROR(__xludf.DUMMYFUNCTION("""COMPUTED_VALUE"""),"FREELANCE")</f>
        <v>FREELANCE</v>
      </c>
      <c r="T712" s="16" t="str">
        <f>IFERROR(__xludf.DUMMYFUNCTION("""COMPUTED_VALUE"""),"pinggang bagian kiri sering sakit")</f>
        <v>pinggang bagian kiri sering sakit</v>
      </c>
      <c r="U712" s="16" t="str">
        <f>IFERROR(__xludf.DUMMYFUNCTION("""COMPUTED_VALUE"""),"badminton dan futsal/ bekerja duduk")</f>
        <v>badminton dan futsal/ bekerja duduk</v>
      </c>
      <c r="V712" s="11" t="str">
        <f>IFERROR(__xludf.DUMMYFUNCTION("""COMPUTED_VALUE"""),"089619215215")</f>
        <v>089619215215</v>
      </c>
      <c r="W712" s="15"/>
    </row>
    <row r="713" ht="22.5" customHeight="1">
      <c r="A713" s="8"/>
      <c r="B713" s="9">
        <f>IFERROR(__xludf.DUMMYFUNCTION("""COMPUTED_VALUE"""),45186.81374636574)</f>
        <v>45186.81375</v>
      </c>
      <c r="C713" s="9"/>
      <c r="D713" s="10">
        <f>IFERROR(__xludf.DUMMYFUNCTION("""COMPUTED_VALUE"""),45187.0)</f>
        <v>45187</v>
      </c>
      <c r="E713" s="10" t="str">
        <f>IFERROR(__xludf.DUMMYFUNCTION("""COMPUTED_VALUE"""),"09Sep")</f>
        <v>09Sep</v>
      </c>
      <c r="F713" s="10" t="str">
        <f>IFERROR(__xludf.DUMMYFUNCTION("""COMPUTED_VALUE"""),"2023")</f>
        <v>2023</v>
      </c>
      <c r="G713" s="16" t="str">
        <f>IFERROR(__xludf.DUMMYFUNCTION("""COMPUTED_VALUE"""),"NUR IHZA SATRIO")</f>
        <v>NUR IHZA SATRIO</v>
      </c>
      <c r="H713" s="17" t="str">
        <f>IFERROR(__xludf.DUMMYFUNCTION("""COMPUTED_VALUE"""),"N9923097667")</f>
        <v>N9923097667</v>
      </c>
      <c r="I713" s="17">
        <f>IFERROR(__xludf.DUMMYFUNCTION("""COMPUTED_VALUE"""),27.0)</f>
        <v>27</v>
      </c>
      <c r="J713" s="17" t="str">
        <f>IFERROR(__xludf.DUMMYFUNCTION("""COMPUTED_VALUE"""),"25-34 tahun")</f>
        <v>25-34 tahun</v>
      </c>
      <c r="K713" s="19">
        <f>IFERROR(__xludf.DUMMYFUNCTION("""COMPUTED_VALUE"""),36258.0)</f>
        <v>36258</v>
      </c>
      <c r="L713" s="19" t="str">
        <f>IFERROR(__xludf.DUMMYFUNCTION("""COMPUTED_VALUE"""),"LAKI-LAKI")</f>
        <v>LAKI-LAKI</v>
      </c>
      <c r="M713" s="16" t="str">
        <f>IFERROR(__xludf.DUMMYFUNCTION("""COMPUTED_VALUE"""),"Jl. 28 Oktober Komp. PEMDA RT/RW 002/024 Kel. SIantan Hulu Kec. Pontianak Utara Kota Pontianak")</f>
        <v>Jl. 28 Oktober Komp. PEMDA RT/RW 002/024 Kel. SIantan Hulu Kec. Pontianak Utara Kota Pontianak</v>
      </c>
      <c r="N713" s="16"/>
      <c r="O713" s="16"/>
      <c r="P713" s="16"/>
      <c r="Q713" s="16"/>
      <c r="R713" s="19" t="str">
        <f>IFERROR(__xludf.DUMMYFUNCTION("""COMPUTED_VALUE"""),"ISLAM")</f>
        <v>ISLAM</v>
      </c>
      <c r="S713" s="16" t="str">
        <f>IFERROR(__xludf.DUMMYFUNCTION("""COMPUTED_VALUE"""),"ASN")</f>
        <v>ASN</v>
      </c>
      <c r="T713" s="16" t="str">
        <f>IFERROR(__xludf.DUMMYFUNCTION("""COMPUTED_VALUE"""),"DISLOKASI BAHU")</f>
        <v>DISLOKASI BAHU</v>
      </c>
      <c r="U713" s="16" t="str">
        <f>IFERROR(__xludf.DUMMYFUNCTION("""COMPUTED_VALUE"""),"MEMBACA DAN OLAHRAGA")</f>
        <v>MEMBACA DAN OLAHRAGA</v>
      </c>
      <c r="V713" s="11" t="str">
        <f>IFERROR(__xludf.DUMMYFUNCTION("""COMPUTED_VALUE"""),"082253117667")</f>
        <v>082253117667</v>
      </c>
      <c r="W713" s="15"/>
    </row>
    <row r="714" ht="22.5" customHeight="1">
      <c r="A714" s="8"/>
      <c r="B714" s="9">
        <f>IFERROR(__xludf.DUMMYFUNCTION("""COMPUTED_VALUE"""),45145.80414042824)</f>
        <v>45145.80414</v>
      </c>
      <c r="C714" s="9"/>
      <c r="D714" s="10">
        <f>IFERROR(__xludf.DUMMYFUNCTION("""COMPUTED_VALUE"""),45189.0)</f>
        <v>45189</v>
      </c>
      <c r="E714" s="10" t="str">
        <f>IFERROR(__xludf.DUMMYFUNCTION("""COMPUTED_VALUE"""),"09Sep")</f>
        <v>09Sep</v>
      </c>
      <c r="F714" s="10" t="str">
        <f>IFERROR(__xludf.DUMMYFUNCTION("""COMPUTED_VALUE"""),"2023")</f>
        <v>2023</v>
      </c>
      <c r="G714" s="16" t="str">
        <f>IFERROR(__xludf.DUMMYFUNCTION("""COMPUTED_VALUE"""),"DAVID CEN")</f>
        <v>DAVID CEN</v>
      </c>
      <c r="H714" s="17" t="str">
        <f>IFERROR(__xludf.DUMMYFUNCTION("""COMPUTED_VALUE"""),"D9223092989")</f>
        <v>D9223092989</v>
      </c>
      <c r="I714" s="17">
        <f>IFERROR(__xludf.DUMMYFUNCTION("""COMPUTED_VALUE"""),34.0)</f>
        <v>34</v>
      </c>
      <c r="J714" s="17" t="str">
        <f>IFERROR(__xludf.DUMMYFUNCTION("""COMPUTED_VALUE"""),"25-34 tahun")</f>
        <v>25-34 tahun</v>
      </c>
      <c r="K714" s="19">
        <f>IFERROR(__xludf.DUMMYFUNCTION("""COMPUTED_VALUE"""),33639.0)</f>
        <v>33639</v>
      </c>
      <c r="L714" s="19" t="str">
        <f>IFERROR(__xludf.DUMMYFUNCTION("""COMPUTED_VALUE"""),"LAKI-LAKI")</f>
        <v>LAKI-LAKI</v>
      </c>
      <c r="M714" s="16" t="str">
        <f>IFERROR(__xludf.DUMMYFUNCTION("""COMPUTED_VALUE"""),"Jl. Kom. Yos. Sudarso Gg. Rambutan 1 No. 18")</f>
        <v>Jl. Kom. Yos. Sudarso Gg. Rambutan 1 No. 18</v>
      </c>
      <c r="N714" s="16"/>
      <c r="O714" s="16"/>
      <c r="P714" s="16"/>
      <c r="Q714" s="16"/>
      <c r="R714" s="19" t="str">
        <f>IFERROR(__xludf.DUMMYFUNCTION("""COMPUTED_VALUE"""),"PROTESTAN")</f>
        <v>PROTESTAN</v>
      </c>
      <c r="S714" s="16" t="str">
        <f>IFERROR(__xludf.DUMMYFUNCTION("""COMPUTED_VALUE"""),"WIRASWASTA")</f>
        <v>WIRASWASTA</v>
      </c>
      <c r="T714" s="16" t="str">
        <f>IFERROR(__xludf.DUMMYFUNCTION("""COMPUTED_VALUE"""),"PUNGGUNG DAN PINGGANG")</f>
        <v>PUNGGUNG DAN PINGGANG</v>
      </c>
      <c r="U714" s="16" t="str">
        <f>IFERROR(__xludf.DUMMYFUNCTION("""COMPUTED_VALUE"""),"KERJA")</f>
        <v>KERJA</v>
      </c>
      <c r="V714" s="11" t="str">
        <f>IFERROR(__xludf.DUMMYFUNCTION("""COMPUTED_VALUE"""),"081347442989")</f>
        <v>081347442989</v>
      </c>
      <c r="W714" s="15"/>
    </row>
    <row r="715" ht="22.5" customHeight="1">
      <c r="A715" s="8"/>
      <c r="B715" s="9">
        <f>IFERROR(__xludf.DUMMYFUNCTION("""COMPUTED_VALUE"""),45139.44509194445)</f>
        <v>45139.44509</v>
      </c>
      <c r="C715" s="9"/>
      <c r="D715" s="10">
        <f>IFERROR(__xludf.DUMMYFUNCTION("""COMPUTED_VALUE"""),45189.0)</f>
        <v>45189</v>
      </c>
      <c r="E715" s="10" t="str">
        <f>IFERROR(__xludf.DUMMYFUNCTION("""COMPUTED_VALUE"""),"09Sep")</f>
        <v>09Sep</v>
      </c>
      <c r="F715" s="10" t="str">
        <f>IFERROR(__xludf.DUMMYFUNCTION("""COMPUTED_VALUE"""),"2023")</f>
        <v>2023</v>
      </c>
      <c r="G715" s="16" t="str">
        <f>IFERROR(__xludf.DUMMYFUNCTION("""COMPUTED_VALUE"""),"AJI SETIAWAN")</f>
        <v>AJI SETIAWAN</v>
      </c>
      <c r="H715" s="17" t="str">
        <f>IFERROR(__xludf.DUMMYFUNCTION("""COMPUTED_VALUE"""),"A9923094980")</f>
        <v>A9923094980</v>
      </c>
      <c r="I715" s="17">
        <f>IFERROR(__xludf.DUMMYFUNCTION("""COMPUTED_VALUE"""),27.0)</f>
        <v>27</v>
      </c>
      <c r="J715" s="17" t="str">
        <f>IFERROR(__xludf.DUMMYFUNCTION("""COMPUTED_VALUE"""),"25-34 tahun")</f>
        <v>25-34 tahun</v>
      </c>
      <c r="K715" s="19">
        <f>IFERROR(__xludf.DUMMYFUNCTION("""COMPUTED_VALUE"""),36324.0)</f>
        <v>36324</v>
      </c>
      <c r="L715" s="19" t="str">
        <f>IFERROR(__xludf.DUMMYFUNCTION("""COMPUTED_VALUE"""),"LAKI-LAKI")</f>
        <v>LAKI-LAKI</v>
      </c>
      <c r="M715" s="16" t="str">
        <f>IFERROR(__xludf.DUMMYFUNCTION("""COMPUTED_VALUE"""),"JL GAJAH MADA")</f>
        <v>JL GAJAH MADA</v>
      </c>
      <c r="N715" s="16"/>
      <c r="O715" s="16"/>
      <c r="P715" s="16"/>
      <c r="Q715" s="16"/>
      <c r="R715" s="19" t="str">
        <f>IFERROR(__xludf.DUMMYFUNCTION("""COMPUTED_VALUE"""),"ISLAM")</f>
        <v>ISLAM</v>
      </c>
      <c r="S715" s="16" t="str">
        <f>IFERROR(__xludf.DUMMYFUNCTION("""COMPUTED_VALUE"""),"PELAJAR/MAHASISWA")</f>
        <v>PELAJAR/MAHASISWA</v>
      </c>
      <c r="T715" s="16" t="str">
        <f>IFERROR(__xludf.DUMMYFUNCTION("""COMPUTED_VALUE"""),"SAKIT DI PERGELANGAN TANGAN KANAN")</f>
        <v>SAKIT DI PERGELANGAN TANGAN KANAN</v>
      </c>
      <c r="U715" s="16" t="str">
        <f>IFERROR(__xludf.DUMMYFUNCTION("""COMPUTED_VALUE"""),"GYM - ANGKAT BEBAN")</f>
        <v>GYM - ANGKAT BEBAN</v>
      </c>
      <c r="V715" s="11" t="str">
        <f>IFERROR(__xludf.DUMMYFUNCTION("""COMPUTED_VALUE"""),"081345814980")</f>
        <v>081345814980</v>
      </c>
      <c r="W715" s="15"/>
    </row>
    <row r="716" ht="22.5" customHeight="1">
      <c r="A716" s="8"/>
      <c r="B716" s="9">
        <f>IFERROR(__xludf.DUMMYFUNCTION("""COMPUTED_VALUE"""),45187.53766912037)</f>
        <v>45187.53767</v>
      </c>
      <c r="C716" s="9"/>
      <c r="D716" s="10">
        <f>IFERROR(__xludf.DUMMYFUNCTION("""COMPUTED_VALUE"""),45189.0)</f>
        <v>45189</v>
      </c>
      <c r="E716" s="10" t="str">
        <f>IFERROR(__xludf.DUMMYFUNCTION("""COMPUTED_VALUE"""),"09Sep")</f>
        <v>09Sep</v>
      </c>
      <c r="F716" s="10" t="str">
        <f>IFERROR(__xludf.DUMMYFUNCTION("""COMPUTED_VALUE"""),"2023")</f>
        <v>2023</v>
      </c>
      <c r="G716" s="16" t="str">
        <f>IFERROR(__xludf.DUMMYFUNCTION("""COMPUTED_VALUE"""),"KUSMINAH")</f>
        <v>KUSMINAH</v>
      </c>
      <c r="H716" s="17" t="str">
        <f>IFERROR(__xludf.DUMMYFUNCTION("""COMPUTED_VALUE"""),"K6623093064")</f>
        <v>K6623093064</v>
      </c>
      <c r="I716" s="17">
        <f>IFERROR(__xludf.DUMMYFUNCTION("""COMPUTED_VALUE"""),60.0)</f>
        <v>60</v>
      </c>
      <c r="J716" s="17" t="str">
        <f>IFERROR(__xludf.DUMMYFUNCTION("""COMPUTED_VALUE"""),"&gt; 44 tahun")</f>
        <v>&gt; 44 tahun</v>
      </c>
      <c r="K716" s="19">
        <f>IFERROR(__xludf.DUMMYFUNCTION("""COMPUTED_VALUE"""),24267.0)</f>
        <v>24267</v>
      </c>
      <c r="L716" s="19" t="str">
        <f>IFERROR(__xludf.DUMMYFUNCTION("""COMPUTED_VALUE"""),"PEREMPUAN")</f>
        <v>PEREMPUAN</v>
      </c>
      <c r="M716" s="16" t="str">
        <f>IFERROR(__xludf.DUMMYFUNCTION("""COMPUTED_VALUE"""),"jalan karya baru GG karya baru 1 nomor 26 Pontianak Selatan")</f>
        <v>jalan karya baru GG karya baru 1 nomor 26 Pontianak Selatan</v>
      </c>
      <c r="N716" s="16"/>
      <c r="O716" s="16"/>
      <c r="P716" s="16"/>
      <c r="Q716" s="16"/>
      <c r="R716" s="19" t="str">
        <f>IFERROR(__xludf.DUMMYFUNCTION("""COMPUTED_VALUE"""),"ISLAM")</f>
        <v>ISLAM</v>
      </c>
      <c r="S716" s="16" t="str">
        <f>IFERROR(__xludf.DUMMYFUNCTION("""COMPUTED_VALUE"""),"RUMAH TANGGA")</f>
        <v>RUMAH TANGGA</v>
      </c>
      <c r="T716" s="16" t="str">
        <f>IFERROR(__xludf.DUMMYFUNCTION("""COMPUTED_VALUE"""),"TEGANG DI BAGIAN TEKUK LEHER SAMPAI LENGAN BATAS SIKU TERASA NYERI DAN NYILU")</f>
        <v>TEGANG DI BAGIAN TEKUK LEHER SAMPAI LENGAN BATAS SIKU TERASA NYERI DAN NYILU</v>
      </c>
      <c r="U716" s="16" t="str">
        <f>IFERROR(__xludf.DUMMYFUNCTION("""COMPUTED_VALUE"""),"BEKERJA")</f>
        <v>BEKERJA</v>
      </c>
      <c r="V716" s="11" t="str">
        <f>IFERROR(__xludf.DUMMYFUNCTION("""COMPUTED_VALUE"""),"081255813064")</f>
        <v>081255813064</v>
      </c>
      <c r="W716" s="15"/>
    </row>
    <row r="717" ht="22.5" customHeight="1">
      <c r="A717" s="8"/>
      <c r="B717" s="9">
        <f>IFERROR(__xludf.DUMMYFUNCTION("""COMPUTED_VALUE"""),45187.69302688657)</f>
        <v>45187.69303</v>
      </c>
      <c r="C717" s="9"/>
      <c r="D717" s="10">
        <f>IFERROR(__xludf.DUMMYFUNCTION("""COMPUTED_VALUE"""),45190.0)</f>
        <v>45190</v>
      </c>
      <c r="E717" s="10" t="str">
        <f>IFERROR(__xludf.DUMMYFUNCTION("""COMPUTED_VALUE"""),"09Sep")</f>
        <v>09Sep</v>
      </c>
      <c r="F717" s="10" t="str">
        <f>IFERROR(__xludf.DUMMYFUNCTION("""COMPUTED_VALUE"""),"2023")</f>
        <v>2023</v>
      </c>
      <c r="G717" s="16" t="str">
        <f>IFERROR(__xludf.DUMMYFUNCTION("""COMPUTED_VALUE"""),"SINATRYA NALADINDA")</f>
        <v>SINATRYA NALADINDA</v>
      </c>
      <c r="H717" s="17" t="str">
        <f>IFERROR(__xludf.DUMMYFUNCTION("""COMPUTED_VALUE"""),"S9823098544")</f>
        <v>S9823098544</v>
      </c>
      <c r="I717" s="17">
        <f>IFERROR(__xludf.DUMMYFUNCTION("""COMPUTED_VALUE"""),28.0)</f>
        <v>28</v>
      </c>
      <c r="J717" s="17" t="str">
        <f>IFERROR(__xludf.DUMMYFUNCTION("""COMPUTED_VALUE"""),"25-34 tahun")</f>
        <v>25-34 tahun</v>
      </c>
      <c r="K717" s="19">
        <f>IFERROR(__xludf.DUMMYFUNCTION("""COMPUTED_VALUE"""),35852.0)</f>
        <v>35852</v>
      </c>
      <c r="L717" s="19" t="str">
        <f>IFERROR(__xludf.DUMMYFUNCTION("""COMPUTED_VALUE"""),"PEREMPUAN")</f>
        <v>PEREMPUAN</v>
      </c>
      <c r="M717" s="16" t="str">
        <f>IFERROR(__xludf.DUMMYFUNCTION("""COMPUTED_VALUE"""),"Jl. Sulawesi Gg. Keluarga No. 17")</f>
        <v>Jl. Sulawesi Gg. Keluarga No. 17</v>
      </c>
      <c r="N717" s="16"/>
      <c r="O717" s="16"/>
      <c r="P717" s="16"/>
      <c r="Q717" s="16"/>
      <c r="R717" s="19" t="str">
        <f>IFERROR(__xludf.DUMMYFUNCTION("""COMPUTED_VALUE"""),"ISLAM")</f>
        <v>ISLAM</v>
      </c>
      <c r="S717" s="16" t="str">
        <f>IFERROR(__xludf.DUMMYFUNCTION("""COMPUTED_VALUE"""),"BUMD")</f>
        <v>BUMD</v>
      </c>
      <c r="T717" s="16" t="str">
        <f>IFERROR(__xludf.DUMMYFUNCTION("""COMPUTED_VALUE"""),"NYERI BAGIAN BELAKANG")</f>
        <v>NYERI BAGIAN BELAKANG</v>
      </c>
      <c r="U717" s="16" t="str">
        <f>IFERROR(__xludf.DUMMYFUNCTION("""COMPUTED_VALUE"""),"AKTIVITAS SEHARI2 BEKERJA + KULIAH")</f>
        <v>AKTIVITAS SEHARI2 BEKERJA + KULIAH</v>
      </c>
      <c r="V717" s="11" t="str">
        <f>IFERROR(__xludf.DUMMYFUNCTION("""COMPUTED_VALUE"""),"081254798544")</f>
        <v>081254798544</v>
      </c>
      <c r="W717" s="15"/>
    </row>
    <row r="718" ht="22.5" customHeight="1">
      <c r="A718" s="8"/>
      <c r="B718" s="9">
        <f>IFERROR(__xludf.DUMMYFUNCTION("""COMPUTED_VALUE"""),45187.7047174537)</f>
        <v>45187.70472</v>
      </c>
      <c r="C718" s="9"/>
      <c r="D718" s="34">
        <f>IFERROR(__xludf.DUMMYFUNCTION("""COMPUTED_VALUE"""),45192.0)</f>
        <v>45192</v>
      </c>
      <c r="E718" s="34" t="str">
        <f>IFERROR(__xludf.DUMMYFUNCTION("""COMPUTED_VALUE"""),"09Sep")</f>
        <v>09Sep</v>
      </c>
      <c r="F718" s="34" t="str">
        <f>IFERROR(__xludf.DUMMYFUNCTION("""COMPUTED_VALUE"""),"2023")</f>
        <v>2023</v>
      </c>
      <c r="G718" s="35" t="str">
        <f>IFERROR(__xludf.DUMMYFUNCTION("""COMPUTED_VALUE"""),"LESTARI KHAIRINIDYA")</f>
        <v>LESTARI KHAIRINIDYA</v>
      </c>
      <c r="H718" s="17" t="str">
        <f>IFERROR(__xludf.DUMMYFUNCTION("""COMPUTED_VALUE"""),"L9823099943")</f>
        <v>L9823099943</v>
      </c>
      <c r="I718" s="17">
        <f>IFERROR(__xludf.DUMMYFUNCTION("""COMPUTED_VALUE"""),27.0)</f>
        <v>27</v>
      </c>
      <c r="J718" s="17" t="str">
        <f>IFERROR(__xludf.DUMMYFUNCTION("""COMPUTED_VALUE"""),"25-34 tahun")</f>
        <v>25-34 tahun</v>
      </c>
      <c r="K718" s="19">
        <f>IFERROR(__xludf.DUMMYFUNCTION("""COMPUTED_VALUE"""),36112.0)</f>
        <v>36112</v>
      </c>
      <c r="L718" s="19" t="str">
        <f>IFERROR(__xludf.DUMMYFUNCTION("""COMPUTED_VALUE"""),"PEREMPUAN")</f>
        <v>PEREMPUAN</v>
      </c>
      <c r="M718" s="16" t="str">
        <f>IFERROR(__xludf.DUMMYFUNCTION("""COMPUTED_VALUE"""),"Jl. Bersama, Gg. Bersama 1b , No. 20")</f>
        <v>Jl. Bersama, Gg. Bersama 1b , No. 20</v>
      </c>
      <c r="N718" s="35"/>
      <c r="O718" s="35"/>
      <c r="P718" s="35"/>
      <c r="Q718" s="16"/>
      <c r="R718" s="19" t="str">
        <f>IFERROR(__xludf.DUMMYFUNCTION("""COMPUTED_VALUE"""),"ISLAM")</f>
        <v>ISLAM</v>
      </c>
      <c r="S718" s="16" t="str">
        <f>IFERROR(__xludf.DUMMYFUNCTION("""COMPUTED_VALUE"""),"ASN")</f>
        <v>ASN</v>
      </c>
      <c r="T718" s="16" t="str">
        <f>IFERROR(__xludf.DUMMYFUNCTION("""COMPUTED_VALUE"""),"PERGELANGAN TANGAN KANAN sedikit bermasalah")</f>
        <v>PERGELANGAN TANGAN KANAN sedikit bermasalah</v>
      </c>
      <c r="U718" s="16" t="str">
        <f>IFERROR(__xludf.DUMMYFUNCTION("""COMPUTED_VALUE"""),"FUTSAL / MENGETIK LAPORAN")</f>
        <v>FUTSAL / MENGETIK LAPORAN</v>
      </c>
      <c r="V718" s="11" t="str">
        <f>IFERROR(__xludf.DUMMYFUNCTION("""COMPUTED_VALUE"""),"0895383409943")</f>
        <v>0895383409943</v>
      </c>
      <c r="W718" s="15"/>
    </row>
    <row r="719" ht="22.5" customHeight="1">
      <c r="A719" s="8"/>
      <c r="B719" s="9">
        <f>IFERROR(__xludf.DUMMYFUNCTION("""COMPUTED_VALUE"""),45189.408512685186)</f>
        <v>45189.40851</v>
      </c>
      <c r="C719" s="9"/>
      <c r="D719" s="10">
        <f>IFERROR(__xludf.DUMMYFUNCTION("""COMPUTED_VALUE"""),45192.0)</f>
        <v>45192</v>
      </c>
      <c r="E719" s="10" t="str">
        <f>IFERROR(__xludf.DUMMYFUNCTION("""COMPUTED_VALUE"""),"09Sep")</f>
        <v>09Sep</v>
      </c>
      <c r="F719" s="10" t="str">
        <f>IFERROR(__xludf.DUMMYFUNCTION("""COMPUTED_VALUE"""),"2023")</f>
        <v>2023</v>
      </c>
      <c r="G719" s="16" t="str">
        <f>IFERROR(__xludf.DUMMYFUNCTION("""COMPUTED_VALUE"""),"SYARIF SALEH")</f>
        <v>SYARIF SALEH</v>
      </c>
      <c r="H719" s="17" t="str">
        <f>IFERROR(__xludf.DUMMYFUNCTION("""COMPUTED_VALUE"""),"S5423093112")</f>
        <v>S5423093112</v>
      </c>
      <c r="I719" s="17">
        <f>IFERROR(__xludf.DUMMYFUNCTION("""COMPUTED_VALUE"""),71.0)</f>
        <v>71</v>
      </c>
      <c r="J719" s="17" t="str">
        <f>IFERROR(__xludf.DUMMYFUNCTION("""COMPUTED_VALUE"""),"&gt; 44 tahun")</f>
        <v>&gt; 44 tahun</v>
      </c>
      <c r="K719" s="19">
        <f>IFERROR(__xludf.DUMMYFUNCTION("""COMPUTED_VALUE"""),19905.0)</f>
        <v>19905</v>
      </c>
      <c r="L719" s="19" t="str">
        <f>IFERROR(__xludf.DUMMYFUNCTION("""COMPUTED_VALUE"""),"LAKI-LAKI")</f>
        <v>LAKI-LAKI</v>
      </c>
      <c r="M719" s="16" t="str">
        <f>IFERROR(__xludf.DUMMYFUNCTION("""COMPUTED_VALUE"""),"JL. DR. WAHIDIN GG. SEPAKAT 6 JALUR 3 NO. 21")</f>
        <v>JL. DR. WAHIDIN GG. SEPAKAT 6 JALUR 3 NO. 21</v>
      </c>
      <c r="N719" s="16"/>
      <c r="O719" s="16"/>
      <c r="P719" s="16"/>
      <c r="Q719" s="16"/>
      <c r="R719" s="19" t="str">
        <f>IFERROR(__xludf.DUMMYFUNCTION("""COMPUTED_VALUE"""),"ISLAM")</f>
        <v>ISLAM</v>
      </c>
      <c r="S719" s="16" t="str">
        <f>IFERROR(__xludf.DUMMYFUNCTION("""COMPUTED_VALUE"""),"PENSIUN")</f>
        <v>PENSIUN</v>
      </c>
      <c r="T719" s="16" t="str">
        <f>IFERROR(__xludf.DUMMYFUNCTION("""COMPUTED_VALUE"""),"TULANG EKOR SAMPAI KAKI")</f>
        <v>TULANG EKOR SAMPAI KAKI</v>
      </c>
      <c r="U719" s="16" t="str">
        <f>IFERROR(__xludf.DUMMYFUNCTION("""COMPUTED_VALUE"""),"-")</f>
        <v>-</v>
      </c>
      <c r="V719" s="11" t="str">
        <f>IFERROR(__xludf.DUMMYFUNCTION("""COMPUTED_VALUE"""),"0811573112")</f>
        <v>0811573112</v>
      </c>
      <c r="W719" s="15"/>
    </row>
    <row r="720" ht="22.5" customHeight="1">
      <c r="A720" s="8"/>
      <c r="B720" s="9">
        <f>IFERROR(__xludf.DUMMYFUNCTION("""COMPUTED_VALUE"""),45189.84305026621)</f>
        <v>45189.84305</v>
      </c>
      <c r="C720" s="9"/>
      <c r="D720" s="10">
        <f>IFERROR(__xludf.DUMMYFUNCTION("""COMPUTED_VALUE"""),45192.0)</f>
        <v>45192</v>
      </c>
      <c r="E720" s="10" t="str">
        <f>IFERROR(__xludf.DUMMYFUNCTION("""COMPUTED_VALUE"""),"09Sep")</f>
        <v>09Sep</v>
      </c>
      <c r="F720" s="10" t="str">
        <f>IFERROR(__xludf.DUMMYFUNCTION("""COMPUTED_VALUE"""),"2023")</f>
        <v>2023</v>
      </c>
      <c r="G720" s="16" t="str">
        <f>IFERROR(__xludf.DUMMYFUNCTION("""COMPUTED_VALUE"""),"JODY COMMANDO")</f>
        <v>JODY COMMANDO</v>
      </c>
      <c r="H720" s="17" t="str">
        <f>IFERROR(__xludf.DUMMYFUNCTION("""COMPUTED_VALUE"""),"J9923095656")</f>
        <v>J9923095656</v>
      </c>
      <c r="I720" s="17">
        <f>IFERROR(__xludf.DUMMYFUNCTION("""COMPUTED_VALUE"""),26.0)</f>
        <v>26</v>
      </c>
      <c r="J720" s="17" t="str">
        <f>IFERROR(__xludf.DUMMYFUNCTION("""COMPUTED_VALUE"""),"25-34 tahun")</f>
        <v>25-34 tahun</v>
      </c>
      <c r="K720" s="19">
        <f>IFERROR(__xludf.DUMMYFUNCTION("""COMPUTED_VALUE"""),36436.0)</f>
        <v>36436</v>
      </c>
      <c r="L720" s="19" t="str">
        <f>IFERROR(__xludf.DUMMYFUNCTION("""COMPUTED_VALUE"""),"LAKI-LAKI")</f>
        <v>LAKI-LAKI</v>
      </c>
      <c r="M720" s="16" t="str">
        <f>IFERROR(__xludf.DUMMYFUNCTION("""COMPUTED_VALUE"""),"jl. wan sagaf no.23")</f>
        <v>jl. wan sagaf no.23</v>
      </c>
      <c r="N720" s="16"/>
      <c r="O720" s="16"/>
      <c r="P720" s="16"/>
      <c r="Q720" s="16"/>
      <c r="R720" s="19" t="str">
        <f>IFERROR(__xludf.DUMMYFUNCTION("""COMPUTED_VALUE"""),"PROTESTAN")</f>
        <v>PROTESTAN</v>
      </c>
      <c r="S720" s="16" t="str">
        <f>IFERROR(__xludf.DUMMYFUNCTION("""COMPUTED_VALUE"""),"WIRASWASTA")</f>
        <v>WIRASWASTA</v>
      </c>
      <c r="T720" s="16" t="str">
        <f>IFERROR(__xludf.DUMMYFUNCTION("""COMPUTED_VALUE"""),"SAKIT PINGGANG")</f>
        <v>SAKIT PINGGANG</v>
      </c>
      <c r="U720" s="16" t="str">
        <f>IFERROR(__xludf.DUMMYFUNCTION("""COMPUTED_VALUE"""),"GYM")</f>
        <v>GYM</v>
      </c>
      <c r="V720" s="11" t="str">
        <f>IFERROR(__xludf.DUMMYFUNCTION("""COMPUTED_VALUE"""),"08115765656")</f>
        <v>08115765656</v>
      </c>
      <c r="W720" s="15"/>
    </row>
    <row r="721" ht="22.5" customHeight="1">
      <c r="A721" s="8"/>
      <c r="B721" s="9">
        <f>IFERROR(__xludf.DUMMYFUNCTION("""COMPUTED_VALUE"""),45188.70555375)</f>
        <v>45188.70555</v>
      </c>
      <c r="C721" s="9"/>
      <c r="D721" s="10">
        <f>IFERROR(__xludf.DUMMYFUNCTION("""COMPUTED_VALUE"""),45192.0)</f>
        <v>45192</v>
      </c>
      <c r="E721" s="10" t="str">
        <f>IFERROR(__xludf.DUMMYFUNCTION("""COMPUTED_VALUE"""),"09Sep")</f>
        <v>09Sep</v>
      </c>
      <c r="F721" s="10" t="str">
        <f>IFERROR(__xludf.DUMMYFUNCTION("""COMPUTED_VALUE"""),"2023")</f>
        <v>2023</v>
      </c>
      <c r="G721" s="16" t="str">
        <f>IFERROR(__xludf.DUMMYFUNCTION("""COMPUTED_VALUE"""),"FITRIANDI")</f>
        <v>FITRIANDI</v>
      </c>
      <c r="H721" s="17" t="str">
        <f>IFERROR(__xludf.DUMMYFUNCTION("""COMPUTED_VALUE"""),"F9723093943")</f>
        <v>F9723093943</v>
      </c>
      <c r="I721" s="17">
        <f>IFERROR(__xludf.DUMMYFUNCTION("""COMPUTED_VALUE"""),29.0)</f>
        <v>29</v>
      </c>
      <c r="J721" s="17" t="str">
        <f>IFERROR(__xludf.DUMMYFUNCTION("""COMPUTED_VALUE"""),"25-34 tahun")</f>
        <v>25-34 tahun</v>
      </c>
      <c r="K721" s="19">
        <f>IFERROR(__xludf.DUMMYFUNCTION("""COMPUTED_VALUE"""),35475.0)</f>
        <v>35475</v>
      </c>
      <c r="L721" s="19" t="str">
        <f>IFERROR(__xludf.DUMMYFUNCTION("""COMPUTED_VALUE"""),"LAKI-LAKI")</f>
        <v>LAKI-LAKI</v>
      </c>
      <c r="M721" s="16" t="str">
        <f>IFERROR(__xludf.DUMMYFUNCTION("""COMPUTED_VALUE"""),"Sambas")</f>
        <v>Sambas</v>
      </c>
      <c r="N721" s="16"/>
      <c r="O721" s="16"/>
      <c r="P721" s="16"/>
      <c r="Q721" s="16"/>
      <c r="R721" s="19" t="str">
        <f>IFERROR(__xludf.DUMMYFUNCTION("""COMPUTED_VALUE"""),"ISLAM")</f>
        <v>ISLAM</v>
      </c>
      <c r="S721" s="16" t="str">
        <f>IFERROR(__xludf.DUMMYFUNCTION("""COMPUTED_VALUE"""),"ASN")</f>
        <v>ASN</v>
      </c>
      <c r="T721" s="16" t="str">
        <f>IFERROR(__xludf.DUMMYFUNCTION("""COMPUTED_VALUE"""),"ACL KAMBUH")</f>
        <v>ACL KAMBUH</v>
      </c>
      <c r="U721" s="16" t="str">
        <f>IFERROR(__xludf.DUMMYFUNCTION("""COMPUTED_VALUE"""),"FUTSAL")</f>
        <v>FUTSAL</v>
      </c>
      <c r="V721" s="11" t="str">
        <f>IFERROR(__xludf.DUMMYFUNCTION("""COMPUTED_VALUE"""),"08973933943")</f>
        <v>08973933943</v>
      </c>
      <c r="W721" s="15"/>
    </row>
    <row r="722" ht="22.5" customHeight="1">
      <c r="A722" s="8"/>
      <c r="B722" s="9">
        <f>IFERROR(__xludf.DUMMYFUNCTION("""COMPUTED_VALUE"""),45190.55486761574)</f>
        <v>45190.55487</v>
      </c>
      <c r="C722" s="9"/>
      <c r="D722" s="10">
        <f>IFERROR(__xludf.DUMMYFUNCTION("""COMPUTED_VALUE"""),45192.0)</f>
        <v>45192</v>
      </c>
      <c r="E722" s="10" t="str">
        <f>IFERROR(__xludf.DUMMYFUNCTION("""COMPUTED_VALUE"""),"09Sep")</f>
        <v>09Sep</v>
      </c>
      <c r="F722" s="10" t="str">
        <f>IFERROR(__xludf.DUMMYFUNCTION("""COMPUTED_VALUE"""),"2023")</f>
        <v>2023</v>
      </c>
      <c r="G722" s="16" t="str">
        <f>IFERROR(__xludf.DUMMYFUNCTION("""COMPUTED_VALUE"""),"NURHAYATI 50")</f>
        <v>NURHAYATI 50</v>
      </c>
      <c r="H722" s="17" t="str">
        <f>IFERROR(__xludf.DUMMYFUNCTION("""COMPUTED_VALUE"""),"N5023097111")</f>
        <v>N5023097111</v>
      </c>
      <c r="I722" s="17">
        <f>IFERROR(__xludf.DUMMYFUNCTION("""COMPUTED_VALUE"""),76.0)</f>
        <v>76</v>
      </c>
      <c r="J722" s="17" t="str">
        <f>IFERROR(__xludf.DUMMYFUNCTION("""COMPUTED_VALUE"""),"&gt; 44 tahun")</f>
        <v>&gt; 44 tahun</v>
      </c>
      <c r="K722" s="19">
        <f>IFERROR(__xludf.DUMMYFUNCTION("""COMPUTED_VALUE"""),18385.0)</f>
        <v>18385</v>
      </c>
      <c r="L722" s="19" t="str">
        <f>IFERROR(__xludf.DUMMYFUNCTION("""COMPUTED_VALUE"""),"PEREMPUAN")</f>
        <v>PEREMPUAN</v>
      </c>
      <c r="M722" s="16" t="str">
        <f>IFERROR(__xludf.DUMMYFUNCTION("""COMPUTED_VALUE"""),"JL KARYA BAKTI")</f>
        <v>JL KARYA BAKTI</v>
      </c>
      <c r="N722" s="16" t="str">
        <f>IFERROR(__xludf.DUMMYFUNCTION("""COMPUTED_VALUE"""),"Sampit")</f>
        <v>Sampit</v>
      </c>
      <c r="O722" s="16" t="str">
        <f>IFERROR(__xludf.DUMMYFUNCTION("""COMPUTED_VALUE"""),"Delta pawan")</f>
        <v>Delta pawan</v>
      </c>
      <c r="P722" s="16" t="str">
        <f>IFERROR(__xludf.DUMMYFUNCTION("""COMPUTED_VALUE"""),"Ketapang")</f>
        <v>Ketapang</v>
      </c>
      <c r="Q722" s="16" t="str">
        <f>IFERROR(__xludf.DUMMYFUNCTION("""COMPUTED_VALUE"""),"Kalimantan barat")</f>
        <v>Kalimantan barat</v>
      </c>
      <c r="R722" s="19" t="str">
        <f>IFERROR(__xludf.DUMMYFUNCTION("""COMPUTED_VALUE"""),"ISLAM")</f>
        <v>ISLAM</v>
      </c>
      <c r="S722" s="16" t="str">
        <f>IFERROR(__xludf.DUMMYFUNCTION("""COMPUTED_VALUE"""),"RUMAH TANGGA")</f>
        <v>RUMAH TANGGA</v>
      </c>
      <c r="T722" s="16" t="str">
        <f>IFERROR(__xludf.DUMMYFUNCTION("""COMPUTED_VALUE"""),"STROKE RINGAN")</f>
        <v>STROKE RINGAN</v>
      </c>
      <c r="U722" s="16" t="str">
        <f>IFERROR(__xludf.DUMMYFUNCTION("""COMPUTED_VALUE"""),"Mandii sholat")</f>
        <v>Mandii sholat</v>
      </c>
      <c r="V722" s="11" t="str">
        <f>IFERROR(__xludf.DUMMYFUNCTION("""COMPUTED_VALUE"""),"0895368177111")</f>
        <v>0895368177111</v>
      </c>
      <c r="W722" s="15"/>
    </row>
    <row r="723" ht="22.5" customHeight="1">
      <c r="A723" s="8"/>
      <c r="B723" s="9">
        <f>IFERROR(__xludf.DUMMYFUNCTION("""COMPUTED_VALUE"""),45190.588378252316)</f>
        <v>45190.58838</v>
      </c>
      <c r="C723" s="9"/>
      <c r="D723" s="10">
        <f>IFERROR(__xludf.DUMMYFUNCTION("""COMPUTED_VALUE"""),45193.0)</f>
        <v>45193</v>
      </c>
      <c r="E723" s="10" t="str">
        <f>IFERROR(__xludf.DUMMYFUNCTION("""COMPUTED_VALUE"""),"09Sep")</f>
        <v>09Sep</v>
      </c>
      <c r="F723" s="10" t="str">
        <f>IFERROR(__xludf.DUMMYFUNCTION("""COMPUTED_VALUE"""),"2023")</f>
        <v>2023</v>
      </c>
      <c r="G723" s="16" t="str">
        <f>IFERROR(__xludf.DUMMYFUNCTION("""COMPUTED_VALUE"""),"NUR APRIANI")</f>
        <v>NUR APRIANI</v>
      </c>
      <c r="H723" s="17" t="str">
        <f>IFERROR(__xludf.DUMMYFUNCTION("""COMPUTED_VALUE"""),"N8023098374")</f>
        <v>N8023098374</v>
      </c>
      <c r="I723" s="17">
        <f>IFERROR(__xludf.DUMMYFUNCTION("""COMPUTED_VALUE"""),46.0)</f>
        <v>46</v>
      </c>
      <c r="J723" s="17" t="str">
        <f>IFERROR(__xludf.DUMMYFUNCTION("""COMPUTED_VALUE"""),"&gt; 44 tahun")</f>
        <v>&gt; 44 tahun</v>
      </c>
      <c r="K723" s="19">
        <f>IFERROR(__xludf.DUMMYFUNCTION("""COMPUTED_VALUE"""),29323.0)</f>
        <v>29323</v>
      </c>
      <c r="L723" s="19" t="str">
        <f>IFERROR(__xludf.DUMMYFUNCTION("""COMPUTED_VALUE"""),"PEREMPUAN")</f>
        <v>PEREMPUAN</v>
      </c>
      <c r="M723" s="16" t="str">
        <f>IFERROR(__xludf.DUMMYFUNCTION("""COMPUTED_VALUE"""),"Komplek Mawar Indah No 3 Sungai Raya Dalam")</f>
        <v>Komplek Mawar Indah No 3 Sungai Raya Dalam</v>
      </c>
      <c r="N723" s="16"/>
      <c r="O723" s="16"/>
      <c r="P723" s="16"/>
      <c r="Q723" s="16"/>
      <c r="R723" s="19" t="str">
        <f>IFERROR(__xludf.DUMMYFUNCTION("""COMPUTED_VALUE"""),"ISLAM")</f>
        <v>ISLAM</v>
      </c>
      <c r="S723" s="16" t="str">
        <f>IFERROR(__xludf.DUMMYFUNCTION("""COMPUTED_VALUE"""),"ASN")</f>
        <v>ASN</v>
      </c>
      <c r="T723" s="16" t="str">
        <f>IFERROR(__xludf.DUMMYFUNCTION("""COMPUTED_VALUE"""),"NYERI PINGGANG DX MEDIS HNP DAN ADA SKIOLOSIS, NYERI DAN KEMAS KAKI KANAN SAAT BERDIRI, NYERI PINGGANG SKALA SEDANG JIKA DUDUK LAMA")</f>
        <v>NYERI PINGGANG DX MEDIS HNP DAN ADA SKIOLOSIS, NYERI DAN KEMAS KAKI KANAN SAAT BERDIRI, NYERI PINGGANG SKALA SEDANG JIKA DUDUK LAMA</v>
      </c>
      <c r="U723" s="16" t="str">
        <f>IFERROR(__xludf.DUMMYFUNCTION("""COMPUTED_VALUE"""),"SRAF ADMINISTRASI : DUDUK LAMA DIDEPAN KOMPUTER, JALAN KAKI SAAT LIBUR")</f>
        <v>SRAF ADMINISTRASI : DUDUK LAMA DIDEPAN KOMPUTER, JALAN KAKI SAAT LIBUR</v>
      </c>
      <c r="V723" s="11" t="str">
        <f>IFERROR(__xludf.DUMMYFUNCTION("""COMPUTED_VALUE"""),"085391988374")</f>
        <v>085391988374</v>
      </c>
      <c r="W723" s="15"/>
    </row>
    <row r="724" ht="22.5" customHeight="1">
      <c r="A724" s="8"/>
      <c r="B724" s="9">
        <f>IFERROR(__xludf.DUMMYFUNCTION("""COMPUTED_VALUE"""),45193.75146672454)</f>
        <v>45193.75147</v>
      </c>
      <c r="C724" s="9"/>
      <c r="D724" s="10">
        <f>IFERROR(__xludf.DUMMYFUNCTION("""COMPUTED_VALUE"""),45193.0)</f>
        <v>45193</v>
      </c>
      <c r="E724" s="10" t="str">
        <f>IFERROR(__xludf.DUMMYFUNCTION("""COMPUTED_VALUE"""),"09Sep")</f>
        <v>09Sep</v>
      </c>
      <c r="F724" s="10" t="str">
        <f>IFERROR(__xludf.DUMMYFUNCTION("""COMPUTED_VALUE"""),"2023")</f>
        <v>2023</v>
      </c>
      <c r="G724" s="16" t="str">
        <f>IFERROR(__xludf.DUMMYFUNCTION("""COMPUTED_VALUE"""),"FERRYS GUNAWAN")</f>
        <v>FERRYS GUNAWAN</v>
      </c>
      <c r="H724" s="17" t="str">
        <f>IFERROR(__xludf.DUMMYFUNCTION("""COMPUTED_VALUE"""),"F9523096097")</f>
        <v>F9523096097</v>
      </c>
      <c r="I724" s="17">
        <f>IFERROR(__xludf.DUMMYFUNCTION("""COMPUTED_VALUE"""),31.0)</f>
        <v>31</v>
      </c>
      <c r="J724" s="17" t="str">
        <f>IFERROR(__xludf.DUMMYFUNCTION("""COMPUTED_VALUE"""),"25-34 tahun")</f>
        <v>25-34 tahun</v>
      </c>
      <c r="K724" s="19">
        <f>IFERROR(__xludf.DUMMYFUNCTION("""COMPUTED_VALUE"""),34701.0)</f>
        <v>34701</v>
      </c>
      <c r="L724" s="19" t="str">
        <f>IFERROR(__xludf.DUMMYFUNCTION("""COMPUTED_VALUE"""),"LAKI-LAKI")</f>
        <v>LAKI-LAKI</v>
      </c>
      <c r="M724" s="16" t="str">
        <f>IFERROR(__xludf.DUMMYFUNCTION("""COMPUTED_VALUE"""),"JALAN CHAILIR ANWAR NO. 2")</f>
        <v>JALAN CHAILIR ANWAR NO. 2</v>
      </c>
      <c r="N724" s="16"/>
      <c r="O724" s="16"/>
      <c r="P724" s="16"/>
      <c r="Q724" s="16"/>
      <c r="R724" s="19" t="str">
        <f>IFERROR(__xludf.DUMMYFUNCTION("""COMPUTED_VALUE"""),"KATOLIK")</f>
        <v>KATOLIK</v>
      </c>
      <c r="S724" s="16" t="str">
        <f>IFERROR(__xludf.DUMMYFUNCTION("""COMPUTED_VALUE"""),"WIRASWASTA")</f>
        <v>WIRASWASTA</v>
      </c>
      <c r="T724" s="16" t="str">
        <f>IFERROR(__xludf.DUMMYFUNCTION("""COMPUTED_VALUE"""),"LOWER BACK PAIN / SCIATIC")</f>
        <v>LOWER BACK PAIN / SCIATIC</v>
      </c>
      <c r="U724" s="16" t="str">
        <f>IFERROR(__xludf.DUMMYFUNCTION("""COMPUTED_VALUE"""),"WEIGHT LIFTING 6X A WEEK, CARDIO BADMINTON, BERENANG, GOLF, JOGGING. ( BBRP KALI SEMINGGU)")</f>
        <v>WEIGHT LIFTING 6X A WEEK, CARDIO BADMINTON, BERENANG, GOLF, JOGGING. ( BBRP KALI SEMINGGU)</v>
      </c>
      <c r="V724" s="11" t="str">
        <f>IFERROR(__xludf.DUMMYFUNCTION("""COMPUTED_VALUE"""),"081314736097")</f>
        <v>081314736097</v>
      </c>
      <c r="W724" s="15"/>
    </row>
    <row r="725" ht="22.5" customHeight="1">
      <c r="A725" s="8"/>
      <c r="B725" s="9">
        <f>IFERROR(__xludf.DUMMYFUNCTION("""COMPUTED_VALUE"""),45192.51805778935)</f>
        <v>45192.51806</v>
      </c>
      <c r="C725" s="9"/>
      <c r="D725" s="10">
        <f>IFERROR(__xludf.DUMMYFUNCTION("""COMPUTED_VALUE"""),45193.0)</f>
        <v>45193</v>
      </c>
      <c r="E725" s="10" t="str">
        <f>IFERROR(__xludf.DUMMYFUNCTION("""COMPUTED_VALUE"""),"09Sep")</f>
        <v>09Sep</v>
      </c>
      <c r="F725" s="10" t="str">
        <f>IFERROR(__xludf.DUMMYFUNCTION("""COMPUTED_VALUE"""),"2023")</f>
        <v>2023</v>
      </c>
      <c r="G725" s="16" t="str">
        <f>IFERROR(__xludf.DUMMYFUNCTION("""COMPUTED_VALUE"""),"FIQKY RAVINDA KUMARA")</f>
        <v>FIQKY RAVINDA KUMARA</v>
      </c>
      <c r="H725" s="17" t="str">
        <f>IFERROR(__xludf.DUMMYFUNCTION("""COMPUTED_VALUE"""),"F9523092709")</f>
        <v>F9523092709</v>
      </c>
      <c r="I725" s="17">
        <f>IFERROR(__xludf.DUMMYFUNCTION("""COMPUTED_VALUE"""),30.0)</f>
        <v>30</v>
      </c>
      <c r="J725" s="17" t="str">
        <f>IFERROR(__xludf.DUMMYFUNCTION("""COMPUTED_VALUE"""),"25-34 tahun")</f>
        <v>25-34 tahun</v>
      </c>
      <c r="K725" s="19">
        <f>IFERROR(__xludf.DUMMYFUNCTION("""COMPUTED_VALUE"""),35032.0)</f>
        <v>35032</v>
      </c>
      <c r="L725" s="19" t="str">
        <f>IFERROR(__xludf.DUMMYFUNCTION("""COMPUTED_VALUE"""),"LAKI-LAKI")</f>
        <v>LAKI-LAKI</v>
      </c>
      <c r="M725" s="16" t="str">
        <f>IFERROR(__xludf.DUMMYFUNCTION("""COMPUTED_VALUE"""),"Jl Sei Raya Dalam Komp. Disbun 2 No.4C Kel. Bangka Belitung Darat Kec.Pontianak Tenggara")</f>
        <v>Jl Sei Raya Dalam Komp. Disbun 2 No.4C Kel. Bangka Belitung Darat Kec.Pontianak Tenggara</v>
      </c>
      <c r="N725" s="16"/>
      <c r="O725" s="16"/>
      <c r="P725" s="16"/>
      <c r="Q725" s="16"/>
      <c r="R725" s="19" t="str">
        <f>IFERROR(__xludf.DUMMYFUNCTION("""COMPUTED_VALUE"""),"ISLAM")</f>
        <v>ISLAM</v>
      </c>
      <c r="S725" s="16" t="str">
        <f>IFERROR(__xludf.DUMMYFUNCTION("""COMPUTED_VALUE"""),"ATLET")</f>
        <v>ATLET</v>
      </c>
      <c r="T725" s="16" t="str">
        <f>IFERROR(__xludf.DUMMYFUNCTION("""COMPUTED_VALUE"""),"SAKIT DAN BENGKAK JARI TENGAH KIRI")</f>
        <v>SAKIT DAN BENGKAK JARI TENGAH KIRI</v>
      </c>
      <c r="U725" s="16" t="str">
        <f>IFERROR(__xludf.DUMMYFUNCTION("""COMPUTED_VALUE"""),"NGOPI")</f>
        <v>NGOPI</v>
      </c>
      <c r="V725" s="11" t="str">
        <f>IFERROR(__xludf.DUMMYFUNCTION("""COMPUTED_VALUE"""),"089694462709")</f>
        <v>089694462709</v>
      </c>
      <c r="W725" s="15"/>
    </row>
    <row r="726" ht="22.5" customHeight="1">
      <c r="A726" s="8"/>
      <c r="B726" s="9">
        <f>IFERROR(__xludf.DUMMYFUNCTION("""COMPUTED_VALUE"""),45193.71584150463)</f>
        <v>45193.71584</v>
      </c>
      <c r="C726" s="9"/>
      <c r="D726" s="10">
        <f>IFERROR(__xludf.DUMMYFUNCTION("""COMPUTED_VALUE"""),45194.0)</f>
        <v>45194</v>
      </c>
      <c r="E726" s="10" t="str">
        <f>IFERROR(__xludf.DUMMYFUNCTION("""COMPUTED_VALUE"""),"09Sep")</f>
        <v>09Sep</v>
      </c>
      <c r="F726" s="10" t="str">
        <f>IFERROR(__xludf.DUMMYFUNCTION("""COMPUTED_VALUE"""),"2023")</f>
        <v>2023</v>
      </c>
      <c r="G726" s="16" t="str">
        <f>IFERROR(__xludf.DUMMYFUNCTION("""COMPUTED_VALUE"""),"VENDY DJUNAIDI")</f>
        <v>VENDY DJUNAIDI</v>
      </c>
      <c r="H726" s="17" t="str">
        <f>IFERROR(__xludf.DUMMYFUNCTION("""COMPUTED_VALUE"""),"V9223092255")</f>
        <v>V9223092255</v>
      </c>
      <c r="I726" s="17">
        <f>IFERROR(__xludf.DUMMYFUNCTION("""COMPUTED_VALUE"""),33.0)</f>
        <v>33</v>
      </c>
      <c r="J726" s="17" t="str">
        <f>IFERROR(__xludf.DUMMYFUNCTION("""COMPUTED_VALUE"""),"25-34 tahun")</f>
        <v>25-34 tahun</v>
      </c>
      <c r="K726" s="19">
        <f>IFERROR(__xludf.DUMMYFUNCTION("""COMPUTED_VALUE"""),33847.0)</f>
        <v>33847</v>
      </c>
      <c r="L726" s="19" t="str">
        <f>IFERROR(__xludf.DUMMYFUNCTION("""COMPUTED_VALUE"""),"LAKI-LAKI")</f>
        <v>LAKI-LAKI</v>
      </c>
      <c r="M726" s="16" t="str">
        <f>IFERROR(__xludf.DUMMYFUNCTION("""COMPUTED_VALUE"""),"Jl sultan muhammad no 125")</f>
        <v>Jl sultan muhammad no 125</v>
      </c>
      <c r="N726" s="16"/>
      <c r="O726" s="16"/>
      <c r="P726" s="16"/>
      <c r="Q726" s="16"/>
      <c r="R726" s="19" t="str">
        <f>IFERROR(__xludf.DUMMYFUNCTION("""COMPUTED_VALUE"""),"KATOLIK")</f>
        <v>KATOLIK</v>
      </c>
      <c r="S726" s="16" t="str">
        <f>IFERROR(__xludf.DUMMYFUNCTION("""COMPUTED_VALUE"""),"WIRASWASTA")</f>
        <v>WIRASWASTA</v>
      </c>
      <c r="T726" s="16" t="str">
        <f>IFERROR(__xludf.DUMMYFUNCTION("""COMPUTED_VALUE"""),"KONDISI NYERI DAN TIDAK ENAK SEHABIS BADMINTON SUDAH REST 2 MINGGU .")</f>
        <v>KONDISI NYERI DAN TIDAK ENAK SEHABIS BADMINTON SUDAH REST 2 MINGGU .</v>
      </c>
      <c r="U726" s="16" t="str">
        <f>IFERROR(__xludf.DUMMYFUNCTION("""COMPUTED_VALUE"""),"BADMINTON")</f>
        <v>BADMINTON</v>
      </c>
      <c r="V726" s="11" t="str">
        <f>IFERROR(__xludf.DUMMYFUNCTION("""COMPUTED_VALUE"""),"082125002255")</f>
        <v>082125002255</v>
      </c>
      <c r="W726" s="15"/>
    </row>
    <row r="727" ht="22.5" customHeight="1">
      <c r="A727" s="8"/>
      <c r="B727" s="9">
        <f>IFERROR(__xludf.DUMMYFUNCTION("""COMPUTED_VALUE"""),45194.480724594905)</f>
        <v>45194.48072</v>
      </c>
      <c r="C727" s="9"/>
      <c r="D727" s="10">
        <f>IFERROR(__xludf.DUMMYFUNCTION("""COMPUTED_VALUE"""),45194.0)</f>
        <v>45194</v>
      </c>
      <c r="E727" s="10" t="str">
        <f>IFERROR(__xludf.DUMMYFUNCTION("""COMPUTED_VALUE"""),"09Sep")</f>
        <v>09Sep</v>
      </c>
      <c r="F727" s="10" t="str">
        <f>IFERROR(__xludf.DUMMYFUNCTION("""COMPUTED_VALUE"""),"2023")</f>
        <v>2023</v>
      </c>
      <c r="G727" s="16" t="str">
        <f>IFERROR(__xludf.DUMMYFUNCTION("""COMPUTED_VALUE"""),"SRI WANGI")</f>
        <v>SRI WANGI</v>
      </c>
      <c r="H727" s="17" t="str">
        <f>IFERROR(__xludf.DUMMYFUNCTION("""COMPUTED_VALUE"""),"S7023095677")</f>
        <v>S7023095677</v>
      </c>
      <c r="I727" s="17">
        <f>IFERROR(__xludf.DUMMYFUNCTION("""COMPUTED_VALUE"""),56.0)</f>
        <v>56</v>
      </c>
      <c r="J727" s="17" t="str">
        <f>IFERROR(__xludf.DUMMYFUNCTION("""COMPUTED_VALUE"""),"&gt; 44 tahun")</f>
        <v>&gt; 44 tahun</v>
      </c>
      <c r="K727" s="19">
        <f>IFERROR(__xludf.DUMMYFUNCTION("""COMPUTED_VALUE"""),25647.0)</f>
        <v>25647</v>
      </c>
      <c r="L727" s="19" t="str">
        <f>IFERROR(__xludf.DUMMYFUNCTION("""COMPUTED_VALUE"""),"PEREMPUAN")</f>
        <v>PEREMPUAN</v>
      </c>
      <c r="M727" s="16" t="str">
        <f>IFERROR(__xludf.DUMMYFUNCTION("""COMPUTED_VALUE"""),"Jl R.A kartini kel alai sintang kalbar")</f>
        <v>Jl R.A kartini kel alai sintang kalbar</v>
      </c>
      <c r="N727" s="16"/>
      <c r="O727" s="16"/>
      <c r="P727" s="16"/>
      <c r="Q727" s="16"/>
      <c r="R727" s="19" t="str">
        <f>IFERROR(__xludf.DUMMYFUNCTION("""COMPUTED_VALUE"""),"ISLAM")</f>
        <v>ISLAM</v>
      </c>
      <c r="S727" s="16" t="str">
        <f>IFERROR(__xludf.DUMMYFUNCTION("""COMPUTED_VALUE"""),"RUMAH TANGGA")</f>
        <v>RUMAH TANGGA</v>
      </c>
      <c r="T727" s="16" t="str">
        <f>IFERROR(__xludf.DUMMYFUNCTION("""COMPUTED_VALUE"""),"KAKI SEBELAH KIRI SMPAI PINGGANG SAKIT")</f>
        <v>KAKI SEBELAH KIRI SMPAI PINGGANG SAKIT</v>
      </c>
      <c r="U727" s="16" t="str">
        <f>IFERROR(__xludf.DUMMYFUNCTION("""COMPUTED_VALUE"""),"MENJAGA CUCU")</f>
        <v>MENJAGA CUCU</v>
      </c>
      <c r="V727" s="11" t="str">
        <f>IFERROR(__xludf.DUMMYFUNCTION("""COMPUTED_VALUE"""),"085820465677")</f>
        <v>085820465677</v>
      </c>
      <c r="W727" s="15"/>
    </row>
    <row r="728" ht="22.5" customHeight="1">
      <c r="A728" s="8"/>
      <c r="B728" s="9">
        <f>IFERROR(__xludf.DUMMYFUNCTION("""COMPUTED_VALUE"""),45194.5439669676)</f>
        <v>45194.54397</v>
      </c>
      <c r="C728" s="9"/>
      <c r="D728" s="10">
        <f>IFERROR(__xludf.DUMMYFUNCTION("""COMPUTED_VALUE"""),45195.0)</f>
        <v>45195</v>
      </c>
      <c r="E728" s="10" t="str">
        <f>IFERROR(__xludf.DUMMYFUNCTION("""COMPUTED_VALUE"""),"09Sep")</f>
        <v>09Sep</v>
      </c>
      <c r="F728" s="10" t="str">
        <f>IFERROR(__xludf.DUMMYFUNCTION("""COMPUTED_VALUE"""),"2023")</f>
        <v>2023</v>
      </c>
      <c r="G728" s="16" t="str">
        <f>IFERROR(__xludf.DUMMYFUNCTION("""COMPUTED_VALUE"""),"RIDWAN")</f>
        <v>RIDWAN</v>
      </c>
      <c r="H728" s="17" t="str">
        <f>IFERROR(__xludf.DUMMYFUNCTION("""COMPUTED_VALUE"""),"R7523099000")</f>
        <v>R7523099000</v>
      </c>
      <c r="I728" s="17">
        <f>IFERROR(__xludf.DUMMYFUNCTION("""COMPUTED_VALUE"""),50.0)</f>
        <v>50</v>
      </c>
      <c r="J728" s="17" t="str">
        <f>IFERROR(__xludf.DUMMYFUNCTION("""COMPUTED_VALUE"""),"&gt; 44 tahun")</f>
        <v>&gt; 44 tahun</v>
      </c>
      <c r="K728" s="19">
        <f>IFERROR(__xludf.DUMMYFUNCTION("""COMPUTED_VALUE"""),27587.0)</f>
        <v>27587</v>
      </c>
      <c r="L728" s="19" t="str">
        <f>IFERROR(__xludf.DUMMYFUNCTION("""COMPUTED_VALUE"""),"LAKI-LAKI")</f>
        <v>LAKI-LAKI</v>
      </c>
      <c r="M728" s="16" t="str">
        <f>IFERROR(__xludf.DUMMYFUNCTION("""COMPUTED_VALUE"""),"Jalan gelanggang remaja no. 46 jakarta")</f>
        <v>Jalan gelanggang remaja no. 46 jakarta</v>
      </c>
      <c r="N728" s="16"/>
      <c r="O728" s="16"/>
      <c r="P728" s="16"/>
      <c r="Q728" s="16"/>
      <c r="R728" s="19" t="str">
        <f>IFERROR(__xludf.DUMMYFUNCTION("""COMPUTED_VALUE"""),"ISLAM")</f>
        <v>ISLAM</v>
      </c>
      <c r="S728" s="16" t="str">
        <f>IFERROR(__xludf.DUMMYFUNCTION("""COMPUTED_VALUE"""),"ASN")</f>
        <v>ASN</v>
      </c>
      <c r="T728" s="16" t="str">
        <f>IFERROR(__xludf.DUMMYFUNCTION("""COMPUTED_VALUE"""),"ELBOW TENNIS")</f>
        <v>ELBOW TENNIS</v>
      </c>
      <c r="U728" s="16" t="str">
        <f>IFERROR(__xludf.DUMMYFUNCTION("""COMPUTED_VALUE"""),"OLAHRAGA")</f>
        <v>OLAHRAGA</v>
      </c>
      <c r="V728" s="11" t="str">
        <f>IFERROR(__xludf.DUMMYFUNCTION("""COMPUTED_VALUE"""),"087880219000")</f>
        <v>087880219000</v>
      </c>
      <c r="W728" s="15"/>
    </row>
    <row r="729" ht="22.5" customHeight="1">
      <c r="A729" s="8"/>
      <c r="B729" s="9">
        <f>IFERROR(__xludf.DUMMYFUNCTION("""COMPUTED_VALUE"""),45195.57308021991)</f>
        <v>45195.57308</v>
      </c>
      <c r="C729" s="9"/>
      <c r="D729" s="10">
        <f>IFERROR(__xludf.DUMMYFUNCTION("""COMPUTED_VALUE"""),45195.0)</f>
        <v>45195</v>
      </c>
      <c r="E729" s="10" t="str">
        <f>IFERROR(__xludf.DUMMYFUNCTION("""COMPUTED_VALUE"""),"09Sep")</f>
        <v>09Sep</v>
      </c>
      <c r="F729" s="10" t="str">
        <f>IFERROR(__xludf.DUMMYFUNCTION("""COMPUTED_VALUE"""),"2023")</f>
        <v>2023</v>
      </c>
      <c r="G729" s="16" t="str">
        <f>IFERROR(__xludf.DUMMYFUNCTION("""COMPUTED_VALUE"""),"URAY JUWITA")</f>
        <v>URAY JUWITA</v>
      </c>
      <c r="H729" s="17" t="str">
        <f>IFERROR(__xludf.DUMMYFUNCTION("""COMPUTED_VALUE"""),"U8923098245")</f>
        <v>U8923098245</v>
      </c>
      <c r="I729" s="17">
        <f>IFERROR(__xludf.DUMMYFUNCTION("""COMPUTED_VALUE"""),37.0)</f>
        <v>37</v>
      </c>
      <c r="J729" s="17" t="str">
        <f>IFERROR(__xludf.DUMMYFUNCTION("""COMPUTED_VALUE"""),"35-44 tahun")</f>
        <v>35-44 tahun</v>
      </c>
      <c r="K729" s="19">
        <f>IFERROR(__xludf.DUMMYFUNCTION("""COMPUTED_VALUE"""),32538.0)</f>
        <v>32538</v>
      </c>
      <c r="L729" s="19" t="str">
        <f>IFERROR(__xludf.DUMMYFUNCTION("""COMPUTED_VALUE"""),"PEREMPUAN")</f>
        <v>PEREMPUAN</v>
      </c>
      <c r="M729" s="16" t="str">
        <f>IFERROR(__xludf.DUMMYFUNCTION("""COMPUTED_VALUE"""),"Jl harapan jaya")</f>
        <v>Jl harapan jaya</v>
      </c>
      <c r="N729" s="16"/>
      <c r="O729" s="16"/>
      <c r="P729" s="16"/>
      <c r="Q729" s="16"/>
      <c r="R729" s="19" t="str">
        <f>IFERROR(__xludf.DUMMYFUNCTION("""COMPUTED_VALUE"""),"ISLAM")</f>
        <v>ISLAM</v>
      </c>
      <c r="S729" s="16" t="str">
        <f>IFERROR(__xludf.DUMMYFUNCTION("""COMPUTED_VALUE"""),"SWASTA")</f>
        <v>SWASTA</v>
      </c>
      <c r="T729" s="16" t="str">
        <f>IFERROR(__xludf.DUMMYFUNCTION("""COMPUTED_VALUE"""),"SAKIT PINGGANG BELAKANG")</f>
        <v>SAKIT PINGGANG BELAKANG</v>
      </c>
      <c r="U729" s="16" t="str">
        <f>IFERROR(__xludf.DUMMYFUNCTION("""COMPUTED_VALUE"""),"NONTON")</f>
        <v>NONTON</v>
      </c>
      <c r="V729" s="11" t="str">
        <f>IFERROR(__xludf.DUMMYFUNCTION("""COMPUTED_VALUE"""),"085245458245")</f>
        <v>085245458245</v>
      </c>
      <c r="W729" s="15"/>
    </row>
    <row r="730" ht="22.5" customHeight="1">
      <c r="A730" s="8"/>
      <c r="B730" s="9">
        <f>IFERROR(__xludf.DUMMYFUNCTION("""COMPUTED_VALUE"""),45199.432451307875)</f>
        <v>45199.43245</v>
      </c>
      <c r="C730" s="9"/>
      <c r="D730" s="10">
        <f>IFERROR(__xludf.DUMMYFUNCTION("""COMPUTED_VALUE"""),45199.0)</f>
        <v>45199</v>
      </c>
      <c r="E730" s="10" t="str">
        <f>IFERROR(__xludf.DUMMYFUNCTION("""COMPUTED_VALUE"""),"09Sep")</f>
        <v>09Sep</v>
      </c>
      <c r="F730" s="10" t="str">
        <f>IFERROR(__xludf.DUMMYFUNCTION("""COMPUTED_VALUE"""),"2023")</f>
        <v>2023</v>
      </c>
      <c r="G730" s="16" t="str">
        <f>IFERROR(__xludf.DUMMYFUNCTION("""COMPUTED_VALUE"""),"UPIK KALSUM")</f>
        <v>UPIK KALSUM</v>
      </c>
      <c r="H730" s="17" t="str">
        <f>IFERROR(__xludf.DUMMYFUNCTION("""COMPUTED_VALUE"""),"U7023099220")</f>
        <v>U7023099220</v>
      </c>
      <c r="I730" s="17">
        <f>IFERROR(__xludf.DUMMYFUNCTION("""COMPUTED_VALUE"""),55.0)</f>
        <v>55</v>
      </c>
      <c r="J730" s="17" t="str">
        <f>IFERROR(__xludf.DUMMYFUNCTION("""COMPUTED_VALUE"""),"&gt; 44 tahun")</f>
        <v>&gt; 44 tahun</v>
      </c>
      <c r="K730" s="19">
        <f>IFERROR(__xludf.DUMMYFUNCTION("""COMPUTED_VALUE"""),25858.0)</f>
        <v>25858</v>
      </c>
      <c r="L730" s="19" t="str">
        <f>IFERROR(__xludf.DUMMYFUNCTION("""COMPUTED_VALUE"""),"PEREMPUAN")</f>
        <v>PEREMPUAN</v>
      </c>
      <c r="M730" s="16" t="str">
        <f>IFERROR(__xludf.DUMMYFUNCTION("""COMPUTED_VALUE"""),"Nanga Pinoh")</f>
        <v>Nanga Pinoh</v>
      </c>
      <c r="N730" s="16"/>
      <c r="O730" s="16"/>
      <c r="P730" s="16"/>
      <c r="Q730" s="16"/>
      <c r="R730" s="19" t="str">
        <f>IFERROR(__xludf.DUMMYFUNCTION("""COMPUTED_VALUE"""),"ISLAM")</f>
        <v>ISLAM</v>
      </c>
      <c r="S730" s="16" t="str">
        <f>IFERROR(__xludf.DUMMYFUNCTION("""COMPUTED_VALUE"""),"ASN")</f>
        <v>ASN</v>
      </c>
      <c r="T730" s="16" t="str">
        <f>IFERROR(__xludf.DUMMYFUNCTION("""COMPUTED_VALUE"""),"1. NYERI ANTARA BAHU DAN TANGAN. 2. NYERI PUNGGUNG BAGIAN BAWAH")</f>
        <v>1. NYERI ANTARA BAHU DAN TANGAN. 2. NYERI PUNGGUNG BAGIAN BAWAH</v>
      </c>
      <c r="U730" s="16" t="str">
        <f>IFERROR(__xludf.DUMMYFUNCTION("""COMPUTED_VALUE"""),"BEKERJA DI KANTOR DAN DI RUMAH")</f>
        <v>BEKERJA DI KANTOR DAN DI RUMAH</v>
      </c>
      <c r="V730" s="11" t="str">
        <f>IFERROR(__xludf.DUMMYFUNCTION("""COMPUTED_VALUE"""),"082255919220")</f>
        <v>082255919220</v>
      </c>
      <c r="W730" s="15"/>
    </row>
    <row r="731" ht="22.5" customHeight="1">
      <c r="A731" s="8"/>
      <c r="B731" s="9">
        <f>IFERROR(__xludf.DUMMYFUNCTION("""COMPUTED_VALUE"""),45199.43507936342)</f>
        <v>45199.43508</v>
      </c>
      <c r="C731" s="9"/>
      <c r="D731" s="10">
        <f>IFERROR(__xludf.DUMMYFUNCTION("""COMPUTED_VALUE"""),45199.0)</f>
        <v>45199</v>
      </c>
      <c r="E731" s="10" t="str">
        <f>IFERROR(__xludf.DUMMYFUNCTION("""COMPUTED_VALUE"""),"09Sep")</f>
        <v>09Sep</v>
      </c>
      <c r="F731" s="10" t="str">
        <f>IFERROR(__xludf.DUMMYFUNCTION("""COMPUTED_VALUE"""),"2023")</f>
        <v>2023</v>
      </c>
      <c r="G731" s="16" t="str">
        <f>IFERROR(__xludf.DUMMYFUNCTION("""COMPUTED_VALUE"""),"KRISTIAN BUDIMAN")</f>
        <v>KRISTIAN BUDIMAN</v>
      </c>
      <c r="H731" s="17" t="str">
        <f>IFERROR(__xludf.DUMMYFUNCTION("""COMPUTED_VALUE"""),"K9523099116")</f>
        <v>K9523099116</v>
      </c>
      <c r="I731" s="17">
        <f>IFERROR(__xludf.DUMMYFUNCTION("""COMPUTED_VALUE"""),31.0)</f>
        <v>31</v>
      </c>
      <c r="J731" s="17" t="str">
        <f>IFERROR(__xludf.DUMMYFUNCTION("""COMPUTED_VALUE"""),"25-34 tahun")</f>
        <v>25-34 tahun</v>
      </c>
      <c r="K731" s="19">
        <f>IFERROR(__xludf.DUMMYFUNCTION("""COMPUTED_VALUE"""),34760.0)</f>
        <v>34760</v>
      </c>
      <c r="L731" s="19" t="str">
        <f>IFERROR(__xludf.DUMMYFUNCTION("""COMPUTED_VALUE"""),"LAKI-LAKI")</f>
        <v>LAKI-LAKI</v>
      </c>
      <c r="M731" s="16" t="str">
        <f>IFERROR(__xludf.DUMMYFUNCTION("""COMPUTED_VALUE"""),"Jalan masjid jami bengkayang")</f>
        <v>Jalan masjid jami bengkayang</v>
      </c>
      <c r="N731" s="16"/>
      <c r="O731" s="16"/>
      <c r="P731" s="16"/>
      <c r="Q731" s="16"/>
      <c r="R731" s="19" t="str">
        <f>IFERROR(__xludf.DUMMYFUNCTION("""COMPUTED_VALUE"""),"KATOLIK")</f>
        <v>KATOLIK</v>
      </c>
      <c r="S731" s="16" t="str">
        <f>IFERROR(__xludf.DUMMYFUNCTION("""COMPUTED_VALUE"""),"ASN")</f>
        <v>ASN</v>
      </c>
      <c r="T731" s="16" t="str">
        <f>IFERROR(__xludf.DUMMYFUNCTION("""COMPUTED_VALUE"""),"SAKIT BAGIAN LEHER")</f>
        <v>SAKIT BAGIAN LEHER</v>
      </c>
      <c r="U731" s="16" t="str">
        <f>IFERROR(__xludf.DUMMYFUNCTION("""COMPUTED_VALUE"""),"FUTSAL")</f>
        <v>FUTSAL</v>
      </c>
      <c r="V731" s="11" t="str">
        <f>IFERROR(__xludf.DUMMYFUNCTION("""COMPUTED_VALUE"""),"085750009116")</f>
        <v>085750009116</v>
      </c>
      <c r="W731" s="15"/>
    </row>
    <row r="732" ht="22.5" customHeight="1">
      <c r="A732" s="8"/>
      <c r="B732" s="9">
        <f>IFERROR(__xludf.DUMMYFUNCTION("""COMPUTED_VALUE"""),45199.47382745371)</f>
        <v>45199.47383</v>
      </c>
      <c r="C732" s="9"/>
      <c r="D732" s="10">
        <f>IFERROR(__xludf.DUMMYFUNCTION("""COMPUTED_VALUE"""),45199.0)</f>
        <v>45199</v>
      </c>
      <c r="E732" s="10" t="str">
        <f>IFERROR(__xludf.DUMMYFUNCTION("""COMPUTED_VALUE"""),"09Sep")</f>
        <v>09Sep</v>
      </c>
      <c r="F732" s="10" t="str">
        <f>IFERROR(__xludf.DUMMYFUNCTION("""COMPUTED_VALUE"""),"2023")</f>
        <v>2023</v>
      </c>
      <c r="G732" s="16" t="str">
        <f>IFERROR(__xludf.DUMMYFUNCTION("""COMPUTED_VALUE"""),"WULANJANI ENDAH ASTUTI")</f>
        <v>WULANJANI ENDAH ASTUTI</v>
      </c>
      <c r="H732" s="17" t="str">
        <f>IFERROR(__xludf.DUMMYFUNCTION("""COMPUTED_VALUE"""),"W9723090206")</f>
        <v>W9723090206</v>
      </c>
      <c r="I732" s="17">
        <f>IFERROR(__xludf.DUMMYFUNCTION("""COMPUTED_VALUE"""),29.0)</f>
        <v>29</v>
      </c>
      <c r="J732" s="17" t="str">
        <f>IFERROR(__xludf.DUMMYFUNCTION("""COMPUTED_VALUE"""),"25-34 tahun")</f>
        <v>25-34 tahun</v>
      </c>
      <c r="K732" s="19">
        <f>IFERROR(__xludf.DUMMYFUNCTION("""COMPUTED_VALUE"""),35434.0)</f>
        <v>35434</v>
      </c>
      <c r="L732" s="19" t="str">
        <f>IFERROR(__xludf.DUMMYFUNCTION("""COMPUTED_VALUE"""),"PEREMPUAN")</f>
        <v>PEREMPUAN</v>
      </c>
      <c r="M732" s="16" t="str">
        <f>IFERROR(__xludf.DUMMYFUNCTION("""COMPUTED_VALUE"""),"Jalan danau sentarum")</f>
        <v>Jalan danau sentarum</v>
      </c>
      <c r="N732" s="16"/>
      <c r="O732" s="16"/>
      <c r="P732" s="16"/>
      <c r="Q732" s="16"/>
      <c r="R732" s="19" t="str">
        <f>IFERROR(__xludf.DUMMYFUNCTION("""COMPUTED_VALUE"""),"ISLAM")</f>
        <v>ISLAM</v>
      </c>
      <c r="S732" s="16" t="str">
        <f>IFERROR(__xludf.DUMMYFUNCTION("""COMPUTED_VALUE"""),"WIRASWASTA")</f>
        <v>WIRASWASTA</v>
      </c>
      <c r="T732" s="16" t="str">
        <f>IFERROR(__xludf.DUMMYFUNCTION("""COMPUTED_VALUE"""),"NYERI DI DENGKUL KIRI")</f>
        <v>NYERI DI DENGKUL KIRI</v>
      </c>
      <c r="U732" s="16" t="str">
        <f>IFERROR(__xludf.DUMMYFUNCTION("""COMPUTED_VALUE"""),"BERDAGANG")</f>
        <v>BERDAGANG</v>
      </c>
      <c r="V732" s="11" t="str">
        <f>IFERROR(__xludf.DUMMYFUNCTION("""COMPUTED_VALUE"""),"081253240206")</f>
        <v>081253240206</v>
      </c>
      <c r="W732" s="15"/>
    </row>
    <row r="733" ht="22.5" customHeight="1">
      <c r="A733" s="8"/>
      <c r="B733" s="9">
        <f>IFERROR(__xludf.DUMMYFUNCTION("""COMPUTED_VALUE"""),45199.50444762732)</f>
        <v>45199.50445</v>
      </c>
      <c r="C733" s="9"/>
      <c r="D733" s="10">
        <f>IFERROR(__xludf.DUMMYFUNCTION("""COMPUTED_VALUE"""),45200.0)</f>
        <v>45200</v>
      </c>
      <c r="E733" s="10" t="str">
        <f>IFERROR(__xludf.DUMMYFUNCTION("""COMPUTED_VALUE"""),"10Okt")</f>
        <v>10Okt</v>
      </c>
      <c r="F733" s="10" t="str">
        <f>IFERROR(__xludf.DUMMYFUNCTION("""COMPUTED_VALUE"""),"2023")</f>
        <v>2023</v>
      </c>
      <c r="G733" s="16" t="str">
        <f>IFERROR(__xludf.DUMMYFUNCTION("""COMPUTED_VALUE"""),"MUHAMMAD MARZOUQ")</f>
        <v>MUHAMMAD MARZOUQ</v>
      </c>
      <c r="H733" s="17" t="str">
        <f>IFERROR(__xludf.DUMMYFUNCTION("""COMPUTED_VALUE"""),"M1423101862")</f>
        <v>M1423101862</v>
      </c>
      <c r="I733" s="17">
        <f>IFERROR(__xludf.DUMMYFUNCTION("""COMPUTED_VALUE"""),11.0)</f>
        <v>11</v>
      </c>
      <c r="J733" s="17" t="str">
        <f>IFERROR(__xludf.DUMMYFUNCTION("""COMPUTED_VALUE"""),"&lt; 18 tahun")</f>
        <v>&lt; 18 tahun</v>
      </c>
      <c r="K733" s="19">
        <f>IFERROR(__xludf.DUMMYFUNCTION("""COMPUTED_VALUE"""),41903.0)</f>
        <v>41903</v>
      </c>
      <c r="L733" s="19" t="str">
        <f>IFERROR(__xludf.DUMMYFUNCTION("""COMPUTED_VALUE"""),"LAKI-LAKI")</f>
        <v>LAKI-LAKI</v>
      </c>
      <c r="M733" s="16" t="str">
        <f>IFERROR(__xludf.DUMMYFUNCTION("""COMPUTED_VALUE"""),"JALAN DR. WAHIDIN S KOMP. SEPAKAT DAMAI H/10")</f>
        <v>JALAN DR. WAHIDIN S KOMP. SEPAKAT DAMAI H/10</v>
      </c>
      <c r="N733" s="16"/>
      <c r="O733" s="16"/>
      <c r="P733" s="16"/>
      <c r="Q733" s="16"/>
      <c r="R733" s="19" t="str">
        <f>IFERROR(__xludf.DUMMYFUNCTION("""COMPUTED_VALUE"""),"ISLAM")</f>
        <v>ISLAM</v>
      </c>
      <c r="S733" s="16" t="str">
        <f>IFERROR(__xludf.DUMMYFUNCTION("""COMPUTED_VALUE"""),"PELAJAR/MAHASISWA")</f>
        <v>PELAJAR/MAHASISWA</v>
      </c>
      <c r="T733" s="16" t="str">
        <f>IFERROR(__xludf.DUMMYFUNCTION("""COMPUTED_VALUE"""),"TELAPAK KANAN FLAT FOOT SEHINGGA MENGAKIBATKAN CEPAT LELAH DAN MEMPENGARUHI BENTUK STRUKTUR PINGGUL SAMPAI KEBAWAH")</f>
        <v>TELAPAK KANAN FLAT FOOT SEHINGGA MENGAKIBATKAN CEPAT LELAH DAN MEMPENGARUHI BENTUK STRUKTUR PINGGUL SAMPAI KEBAWAH</v>
      </c>
      <c r="U733" s="16" t="str">
        <f>IFERROR(__xludf.DUMMYFUNCTION("""COMPUTED_VALUE"""),"BERSEPEDA DAN NONTON")</f>
        <v>BERSEPEDA DAN NONTON</v>
      </c>
      <c r="V733" s="11" t="str">
        <f>IFERROR(__xludf.DUMMYFUNCTION("""COMPUTED_VALUE"""),"081351971862")</f>
        <v>081351971862</v>
      </c>
      <c r="W733" s="15"/>
    </row>
    <row r="734" ht="22.5" customHeight="1">
      <c r="A734" s="8"/>
      <c r="B734" s="9">
        <f>IFERROR(__xludf.DUMMYFUNCTION("""COMPUTED_VALUE"""),45200.728680925924)</f>
        <v>45200.72868</v>
      </c>
      <c r="C734" s="9"/>
      <c r="D734" s="10">
        <f>IFERROR(__xludf.DUMMYFUNCTION("""COMPUTED_VALUE"""),45201.0)</f>
        <v>45201</v>
      </c>
      <c r="E734" s="10" t="str">
        <f>IFERROR(__xludf.DUMMYFUNCTION("""COMPUTED_VALUE"""),"10Okt")</f>
        <v>10Okt</v>
      </c>
      <c r="F734" s="10" t="str">
        <f>IFERROR(__xludf.DUMMYFUNCTION("""COMPUTED_VALUE"""),"2023")</f>
        <v>2023</v>
      </c>
      <c r="G734" s="16" t="str">
        <f>IFERROR(__xludf.DUMMYFUNCTION("""COMPUTED_VALUE"""),"RONAL")</f>
        <v>RONAL</v>
      </c>
      <c r="H734" s="17" t="str">
        <f>IFERROR(__xludf.DUMMYFUNCTION("""COMPUTED_VALUE"""),"R9923108940")</f>
        <v>R9923108940</v>
      </c>
      <c r="I734" s="17">
        <f>IFERROR(__xludf.DUMMYFUNCTION("""COMPUTED_VALUE"""),26.0)</f>
        <v>26</v>
      </c>
      <c r="J734" s="17" t="str">
        <f>IFERROR(__xludf.DUMMYFUNCTION("""COMPUTED_VALUE"""),"25-34 tahun")</f>
        <v>25-34 tahun</v>
      </c>
      <c r="K734" s="19">
        <f>IFERROR(__xludf.DUMMYFUNCTION("""COMPUTED_VALUE"""),36343.0)</f>
        <v>36343</v>
      </c>
      <c r="L734" s="19" t="str">
        <f>IFERROR(__xludf.DUMMYFUNCTION("""COMPUTED_VALUE"""),"LAKI-LAKI")</f>
        <v>LAKI-LAKI</v>
      </c>
      <c r="M734" s="16" t="str">
        <f>IFERROR(__xludf.DUMMYFUNCTION("""COMPUTED_VALUE"""),"Kabupaten bengkayang")</f>
        <v>Kabupaten bengkayang</v>
      </c>
      <c r="N734" s="16"/>
      <c r="O734" s="16"/>
      <c r="P734" s="16"/>
      <c r="Q734" s="16"/>
      <c r="R734" s="19" t="str">
        <f>IFERROR(__xludf.DUMMYFUNCTION("""COMPUTED_VALUE"""),"ISLAM")</f>
        <v>ISLAM</v>
      </c>
      <c r="S734" s="16" t="str">
        <f>IFERROR(__xludf.DUMMYFUNCTION("""COMPUTED_VALUE"""),"ELEKTROMEDIS")</f>
        <v>ELEKTROMEDIS</v>
      </c>
      <c r="T734" s="16" t="str">
        <f>IFERROR(__xludf.DUMMYFUNCTION("""COMPUTED_VALUE"""),"LCL")</f>
        <v>LCL</v>
      </c>
      <c r="U734" s="16" t="str">
        <f>IFERROR(__xludf.DUMMYFUNCTION("""COMPUTED_VALUE"""),"Sepak bola futsal badminton")</f>
        <v>Sepak bola futsal badminton</v>
      </c>
      <c r="V734" s="11" t="str">
        <f>IFERROR(__xludf.DUMMYFUNCTION("""COMPUTED_VALUE"""),"081230338940")</f>
        <v>081230338940</v>
      </c>
      <c r="W734" s="15"/>
    </row>
    <row r="735" ht="22.5" customHeight="1">
      <c r="A735" s="8"/>
      <c r="B735" s="9">
        <f>IFERROR(__xludf.DUMMYFUNCTION("""COMPUTED_VALUE"""),45192.451122060185)</f>
        <v>45192.45112</v>
      </c>
      <c r="C735" s="9"/>
      <c r="D735" s="10">
        <f>IFERROR(__xludf.DUMMYFUNCTION("""COMPUTED_VALUE"""),45201.0)</f>
        <v>45201</v>
      </c>
      <c r="E735" s="10" t="str">
        <f>IFERROR(__xludf.DUMMYFUNCTION("""COMPUTED_VALUE"""),"10Okt")</f>
        <v>10Okt</v>
      </c>
      <c r="F735" s="10" t="str">
        <f>IFERROR(__xludf.DUMMYFUNCTION("""COMPUTED_VALUE"""),"2023")</f>
        <v>2023</v>
      </c>
      <c r="G735" s="16" t="str">
        <f>IFERROR(__xludf.DUMMYFUNCTION("""COMPUTED_VALUE"""),"NS. DEBBY HATMALYAKIN, M. KEP")</f>
        <v>NS. DEBBY HATMALYAKIN, M. KEP</v>
      </c>
      <c r="H735" s="17" t="str">
        <f>IFERROR(__xludf.DUMMYFUNCTION("""COMPUTED_VALUE"""),"N9323100143")</f>
        <v>N9323100143</v>
      </c>
      <c r="I735" s="17">
        <f>IFERROR(__xludf.DUMMYFUNCTION("""COMPUTED_VALUE"""),33.0)</f>
        <v>33</v>
      </c>
      <c r="J735" s="17" t="str">
        <f>IFERROR(__xludf.DUMMYFUNCTION("""COMPUTED_VALUE"""),"25-34 tahun")</f>
        <v>25-34 tahun</v>
      </c>
      <c r="K735" s="19">
        <f>IFERROR(__xludf.DUMMYFUNCTION("""COMPUTED_VALUE"""),34030.0)</f>
        <v>34030</v>
      </c>
      <c r="L735" s="19" t="str">
        <f>IFERROR(__xludf.DUMMYFUNCTION("""COMPUTED_VALUE"""),"LAKI-LAKI")</f>
        <v>LAKI-LAKI</v>
      </c>
      <c r="M735" s="16" t="str">
        <f>IFERROR(__xludf.DUMMYFUNCTION("""COMPUTED_VALUE"""),"Perum mutiara indah sambas")</f>
        <v>Perum mutiara indah sambas</v>
      </c>
      <c r="N735" s="16"/>
      <c r="O735" s="16"/>
      <c r="P735" s="16"/>
      <c r="Q735" s="16"/>
      <c r="R735" s="19" t="str">
        <f>IFERROR(__xludf.DUMMYFUNCTION("""COMPUTED_VALUE"""),"ISLAM")</f>
        <v>ISLAM</v>
      </c>
      <c r="S735" s="16" t="str">
        <f>IFERROR(__xludf.DUMMYFUNCTION("""COMPUTED_VALUE"""),"DOSEN/GURU")</f>
        <v>DOSEN/GURU</v>
      </c>
      <c r="T735" s="16" t="str">
        <f>IFERROR(__xludf.DUMMYFUNCTION("""COMPUTED_VALUE"""),"LOW BACK PAIN")</f>
        <v>LOW BACK PAIN</v>
      </c>
      <c r="U735" s="16" t="str">
        <f>IFERROR(__xludf.DUMMYFUNCTION("""COMPUTED_VALUE"""),"Olahraga")</f>
        <v>Olahraga</v>
      </c>
      <c r="V735" s="11" t="str">
        <f>IFERROR(__xludf.DUMMYFUNCTION("""COMPUTED_VALUE"""),"089694050143")</f>
        <v>089694050143</v>
      </c>
      <c r="W735" s="15"/>
    </row>
    <row r="736" ht="22.5" customHeight="1">
      <c r="A736" s="8"/>
      <c r="B736" s="9">
        <f>IFERROR(__xludf.DUMMYFUNCTION("""COMPUTED_VALUE"""),45201.68657701389)</f>
        <v>45201.68658</v>
      </c>
      <c r="C736" s="9"/>
      <c r="D736" s="10">
        <f>IFERROR(__xludf.DUMMYFUNCTION("""COMPUTED_VALUE"""),45201.0)</f>
        <v>45201</v>
      </c>
      <c r="E736" s="10" t="str">
        <f>IFERROR(__xludf.DUMMYFUNCTION("""COMPUTED_VALUE"""),"10Okt")</f>
        <v>10Okt</v>
      </c>
      <c r="F736" s="10" t="str">
        <f>IFERROR(__xludf.DUMMYFUNCTION("""COMPUTED_VALUE"""),"2023")</f>
        <v>2023</v>
      </c>
      <c r="G736" s="16" t="str">
        <f>IFERROR(__xludf.DUMMYFUNCTION("""COMPUTED_VALUE"""),"YALQA RIZQI AZK")</f>
        <v>YALQA RIZQI AZK</v>
      </c>
      <c r="H736" s="17" t="str">
        <f>IFERROR(__xludf.DUMMYFUNCTION("""COMPUTED_VALUE"""),"Y0023104309")</f>
        <v>Y0023104309</v>
      </c>
      <c r="I736" s="17">
        <f>IFERROR(__xludf.DUMMYFUNCTION("""COMPUTED_VALUE"""),26.0)</f>
        <v>26</v>
      </c>
      <c r="J736" s="17" t="str">
        <f>IFERROR(__xludf.DUMMYFUNCTION("""COMPUTED_VALUE"""),"25-34 tahun")</f>
        <v>25-34 tahun</v>
      </c>
      <c r="K736" s="19">
        <f>IFERROR(__xludf.DUMMYFUNCTION("""COMPUTED_VALUE"""),36651.0)</f>
        <v>36651</v>
      </c>
      <c r="L736" s="19" t="str">
        <f>IFERROR(__xludf.DUMMYFUNCTION("""COMPUTED_VALUE"""),"LAKI-LAKI")</f>
        <v>LAKI-LAKI</v>
      </c>
      <c r="M736" s="16" t="str">
        <f>IFERROR(__xludf.DUMMYFUNCTION("""COMPUTED_VALUE"""),"Jl. Parit H. Husein II Komp. Imigrasi No. 3A")</f>
        <v>Jl. Parit H. Husein II Komp. Imigrasi No. 3A</v>
      </c>
      <c r="N736" s="16"/>
      <c r="O736" s="16"/>
      <c r="P736" s="16"/>
      <c r="Q736" s="16"/>
      <c r="R736" s="19" t="str">
        <f>IFERROR(__xludf.DUMMYFUNCTION("""COMPUTED_VALUE"""),"ISLAM")</f>
        <v>ISLAM</v>
      </c>
      <c r="S736" s="16" t="str">
        <f>IFERROR(__xludf.DUMMYFUNCTION("""COMPUTED_VALUE"""),"PELAJAR/MAHASISWA")</f>
        <v>PELAJAR/MAHASISWA</v>
      </c>
      <c r="T736" s="16" t="str">
        <f>IFERROR(__xludf.DUMMYFUNCTION("""COMPUTED_VALUE"""),"RAHANG KANAN SAKIT")</f>
        <v>RAHANG KANAN SAKIT</v>
      </c>
      <c r="U736" s="16" t="str">
        <f>IFERROR(__xludf.DUMMYFUNCTION("""COMPUTED_VALUE"""),"BELAJAR")</f>
        <v>BELAJAR</v>
      </c>
      <c r="V736" s="11" t="str">
        <f>IFERROR(__xludf.DUMMYFUNCTION("""COMPUTED_VALUE"""),"082149604309")</f>
        <v>082149604309</v>
      </c>
      <c r="W736" s="15"/>
    </row>
    <row r="737" ht="22.5" customHeight="1">
      <c r="A737" s="8"/>
      <c r="B737" s="9">
        <f>IFERROR(__xludf.DUMMYFUNCTION("""COMPUTED_VALUE"""),45201.805436863426)</f>
        <v>45201.80544</v>
      </c>
      <c r="C737" s="9"/>
      <c r="D737" s="10">
        <f>IFERROR(__xludf.DUMMYFUNCTION("""COMPUTED_VALUE"""),45201.0)</f>
        <v>45201</v>
      </c>
      <c r="E737" s="10" t="str">
        <f>IFERROR(__xludf.DUMMYFUNCTION("""COMPUTED_VALUE"""),"10Okt")</f>
        <v>10Okt</v>
      </c>
      <c r="F737" s="10" t="str">
        <f>IFERROR(__xludf.DUMMYFUNCTION("""COMPUTED_VALUE"""),"2023")</f>
        <v>2023</v>
      </c>
      <c r="G737" s="16" t="str">
        <f>IFERROR(__xludf.DUMMYFUNCTION("""COMPUTED_VALUE"""),"WELLY TRIPUTRA")</f>
        <v>WELLY TRIPUTRA</v>
      </c>
      <c r="H737" s="17" t="str">
        <f>IFERROR(__xludf.DUMMYFUNCTION("""COMPUTED_VALUE"""),"W0023100956")</f>
        <v>W0023100956</v>
      </c>
      <c r="I737" s="17">
        <f>IFERROR(__xludf.DUMMYFUNCTION("""COMPUTED_VALUE"""),26.0)</f>
        <v>26</v>
      </c>
      <c r="J737" s="17" t="str">
        <f>IFERROR(__xludf.DUMMYFUNCTION("""COMPUTED_VALUE"""),"25-34 tahun")</f>
        <v>25-34 tahun</v>
      </c>
      <c r="K737" s="19">
        <f>IFERROR(__xludf.DUMMYFUNCTION("""COMPUTED_VALUE"""),36526.0)</f>
        <v>36526</v>
      </c>
      <c r="L737" s="19" t="str">
        <f>IFERROR(__xludf.DUMMYFUNCTION("""COMPUTED_VALUE"""),"LAKI-LAKI")</f>
        <v>LAKI-LAKI</v>
      </c>
      <c r="M737" s="16" t="str">
        <f>IFERROR(__xludf.DUMMYFUNCTION("""COMPUTED_VALUE"""),"Jl. Komyos sudarso gg kuini 1")</f>
        <v>Jl. Komyos sudarso gg kuini 1</v>
      </c>
      <c r="N737" s="16"/>
      <c r="O737" s="16"/>
      <c r="P737" s="16"/>
      <c r="Q737" s="16"/>
      <c r="R737" s="19" t="str">
        <f>IFERROR(__xludf.DUMMYFUNCTION("""COMPUTED_VALUE"""),"BUDDHA")</f>
        <v>BUDDHA</v>
      </c>
      <c r="S737" s="16" t="str">
        <f>IFERROR(__xludf.DUMMYFUNCTION("""COMPUTED_VALUE"""),"SWASTA")</f>
        <v>SWASTA</v>
      </c>
      <c r="T737" s="36"/>
      <c r="U737" s="36" t="str">
        <f>IFERROR(__xludf.DUMMYFUNCTION("""COMPUTED_VALUE"""),"FUTSAL, RUNNING, BADMINTON")</f>
        <v>FUTSAL, RUNNING, BADMINTON</v>
      </c>
      <c r="V737" s="11" t="str">
        <f>IFERROR(__xludf.DUMMYFUNCTION("""COMPUTED_VALUE"""),"081368750956")</f>
        <v>081368750956</v>
      </c>
      <c r="W737" s="15"/>
    </row>
    <row r="738" ht="22.5" customHeight="1">
      <c r="A738" s="8"/>
      <c r="B738" s="9">
        <f>IFERROR(__xludf.DUMMYFUNCTION("""COMPUTED_VALUE"""),45201.80665517361)</f>
        <v>45201.80666</v>
      </c>
      <c r="C738" s="9"/>
      <c r="D738" s="10">
        <f>IFERROR(__xludf.DUMMYFUNCTION("""COMPUTED_VALUE"""),45201.0)</f>
        <v>45201</v>
      </c>
      <c r="E738" s="10" t="str">
        <f>IFERROR(__xludf.DUMMYFUNCTION("""COMPUTED_VALUE"""),"10Okt")</f>
        <v>10Okt</v>
      </c>
      <c r="F738" s="10" t="str">
        <f>IFERROR(__xludf.DUMMYFUNCTION("""COMPUTED_VALUE"""),"2023")</f>
        <v>2023</v>
      </c>
      <c r="G738" s="16" t="str">
        <f>IFERROR(__xludf.DUMMYFUNCTION("""COMPUTED_VALUE"""),"HIDAYATI")</f>
        <v>HIDAYATI</v>
      </c>
      <c r="H738" s="17" t="str">
        <f>IFERROR(__xludf.DUMMYFUNCTION("""COMPUTED_VALUE"""),"H7623100909")</f>
        <v>H7623100909</v>
      </c>
      <c r="I738" s="17">
        <f>IFERROR(__xludf.DUMMYFUNCTION("""COMPUTED_VALUE"""),49.0)</f>
        <v>49</v>
      </c>
      <c r="J738" s="17" t="str">
        <f>IFERROR(__xludf.DUMMYFUNCTION("""COMPUTED_VALUE"""),"&gt; 44 tahun")</f>
        <v>&gt; 44 tahun</v>
      </c>
      <c r="K738" s="19">
        <f>IFERROR(__xludf.DUMMYFUNCTION("""COMPUTED_VALUE"""),27967.0)</f>
        <v>27967</v>
      </c>
      <c r="L738" s="19" t="str">
        <f>IFERROR(__xludf.DUMMYFUNCTION("""COMPUTED_VALUE"""),"PEREMPUAN")</f>
        <v>PEREMPUAN</v>
      </c>
      <c r="M738" s="16" t="str">
        <f>IFERROR(__xludf.DUMMYFUNCTION("""COMPUTED_VALUE"""),"JL. SUTAN SYAHRIR NO. 5 PONTIANAK")</f>
        <v>JL. SUTAN SYAHRIR NO. 5 PONTIANAK</v>
      </c>
      <c r="N738" s="16"/>
      <c r="O738" s="16"/>
      <c r="P738" s="16"/>
      <c r="Q738" s="16"/>
      <c r="R738" s="19" t="str">
        <f>IFERROR(__xludf.DUMMYFUNCTION("""COMPUTED_VALUE"""),"ISLAM")</f>
        <v>ISLAM</v>
      </c>
      <c r="S738" s="16" t="str">
        <f>IFERROR(__xludf.DUMMYFUNCTION("""COMPUTED_VALUE"""),"TIDAK ADA")</f>
        <v>TIDAK ADA</v>
      </c>
      <c r="T738" s="36" t="str">
        <f>IFERROR(__xludf.DUMMYFUNCTION("""COMPUTED_VALUE"""),"LEMAH DAN JALAN OLENG")</f>
        <v>LEMAH DAN JALAN OLENG</v>
      </c>
      <c r="U738" s="16" t="str">
        <f>IFERROR(__xludf.DUMMYFUNCTION("""COMPUTED_VALUE"""),"-")</f>
        <v>-</v>
      </c>
      <c r="V738" s="11" t="str">
        <f>IFERROR(__xludf.DUMMYFUNCTION("""COMPUTED_VALUE"""),"08115750909")</f>
        <v>08115750909</v>
      </c>
      <c r="W738" s="15"/>
    </row>
    <row r="739" ht="22.5" customHeight="1">
      <c r="A739" s="8"/>
      <c r="B739" s="9">
        <f>IFERROR(__xludf.DUMMYFUNCTION("""COMPUTED_VALUE"""),45201.887566122685)</f>
        <v>45201.88757</v>
      </c>
      <c r="C739" s="9"/>
      <c r="D739" s="10">
        <f>IFERROR(__xludf.DUMMYFUNCTION("""COMPUTED_VALUE"""),45201.0)</f>
        <v>45201</v>
      </c>
      <c r="E739" s="10" t="str">
        <f>IFERROR(__xludf.DUMMYFUNCTION("""COMPUTED_VALUE"""),"10Okt")</f>
        <v>10Okt</v>
      </c>
      <c r="F739" s="10" t="str">
        <f>IFERROR(__xludf.DUMMYFUNCTION("""COMPUTED_VALUE"""),"2023")</f>
        <v>2023</v>
      </c>
      <c r="G739" s="16" t="str">
        <f>IFERROR(__xludf.DUMMYFUNCTION("""COMPUTED_VALUE"""),"ADHIT RAMADHAN")</f>
        <v>ADHIT RAMADHAN</v>
      </c>
      <c r="H739" s="17" t="str">
        <f>IFERROR(__xludf.DUMMYFUNCTION("""COMPUTED_VALUE"""),"A0123101")</f>
        <v>A0123101</v>
      </c>
      <c r="I739" s="17">
        <f>IFERROR(__xludf.DUMMYFUNCTION("""COMPUTED_VALUE"""),24.0)</f>
        <v>24</v>
      </c>
      <c r="J739" s="17" t="str">
        <f>IFERROR(__xludf.DUMMYFUNCTION("""COMPUTED_VALUE"""),"18-24 tahun")</f>
        <v>18-24 tahun</v>
      </c>
      <c r="K739" s="19">
        <f>IFERROR(__xludf.DUMMYFUNCTION("""COMPUTED_VALUE"""),37234.0)</f>
        <v>37234</v>
      </c>
      <c r="L739" s="19" t="str">
        <f>IFERROR(__xludf.DUMMYFUNCTION("""COMPUTED_VALUE"""),"LAKI-LAKI")</f>
        <v>LAKI-LAKI</v>
      </c>
      <c r="M739" s="16" t="str">
        <f>IFERROR(__xludf.DUMMYFUNCTION("""COMPUTED_VALUE"""),"JL. KESEHATAN GG. KESEHATAN DALAM NO.2")</f>
        <v>JL. KESEHATAN GG. KESEHATAN DALAM NO.2</v>
      </c>
      <c r="N739" s="16"/>
      <c r="O739" s="16"/>
      <c r="P739" s="16"/>
      <c r="Q739" s="16"/>
      <c r="R739" s="19" t="str">
        <f>IFERROR(__xludf.DUMMYFUNCTION("""COMPUTED_VALUE"""),"ISLAM")</f>
        <v>ISLAM</v>
      </c>
      <c r="S739" s="16" t="str">
        <f>IFERROR(__xludf.DUMMYFUNCTION("""COMPUTED_VALUE"""),"PELAJAR/MAHASISWA")</f>
        <v>PELAJAR/MAHASISWA</v>
      </c>
      <c r="T739" s="16" t="str">
        <f>IFERROR(__xludf.DUMMYFUNCTION("""COMPUTED_VALUE"""),"TELAPAK KAKI BENGKAK")</f>
        <v>TELAPAK KAKI BENGKAK</v>
      </c>
      <c r="U739" s="36" t="str">
        <f>IFERROR(__xludf.DUMMYFUNCTION("""COMPUTED_VALUE"""),"-")</f>
        <v>-</v>
      </c>
      <c r="V739" s="11" t="str">
        <f>IFERROR(__xludf.DUMMYFUNCTION("""COMPUTED_VALUE"""),"1")</f>
        <v>1</v>
      </c>
      <c r="W739" s="15"/>
    </row>
    <row r="740" ht="22.5" customHeight="1">
      <c r="A740" s="8"/>
      <c r="B740" s="9">
        <f>IFERROR(__xludf.DUMMYFUNCTION("""COMPUTED_VALUE"""),45192.47332314815)</f>
        <v>45192.47332</v>
      </c>
      <c r="C740" s="9"/>
      <c r="D740" s="10">
        <f>IFERROR(__xludf.DUMMYFUNCTION("""COMPUTED_VALUE"""),45201.0)</f>
        <v>45201</v>
      </c>
      <c r="E740" s="10" t="str">
        <f>IFERROR(__xludf.DUMMYFUNCTION("""COMPUTED_VALUE"""),"10Okt")</f>
        <v>10Okt</v>
      </c>
      <c r="F740" s="10" t="str">
        <f>IFERROR(__xludf.DUMMYFUNCTION("""COMPUTED_VALUE"""),"2023")</f>
        <v>2023</v>
      </c>
      <c r="G740" s="16" t="str">
        <f>IFERROR(__xludf.DUMMYFUNCTION("""COMPUTED_VALUE"""),"FARIDA 43")</f>
        <v>FARIDA 43</v>
      </c>
      <c r="H740" s="17" t="str">
        <f>IFERROR(__xludf.DUMMYFUNCTION("""COMPUTED_VALUE"""),"F8023109464")</f>
        <v>F8023109464</v>
      </c>
      <c r="I740" s="17">
        <f>IFERROR(__xludf.DUMMYFUNCTION("""COMPUTED_VALUE"""),46.0)</f>
        <v>46</v>
      </c>
      <c r="J740" s="17" t="str">
        <f>IFERROR(__xludf.DUMMYFUNCTION("""COMPUTED_VALUE"""),"&gt; 44 tahun")</f>
        <v>&gt; 44 tahun</v>
      </c>
      <c r="K740" s="19">
        <f>IFERROR(__xludf.DUMMYFUNCTION("""COMPUTED_VALUE"""),29350.0)</f>
        <v>29350</v>
      </c>
      <c r="L740" s="19" t="str">
        <f>IFERROR(__xludf.DUMMYFUNCTION("""COMPUTED_VALUE"""),"PEREMPUAN")</f>
        <v>PEREMPUAN</v>
      </c>
      <c r="M740" s="16" t="str">
        <f>IFERROR(__xludf.DUMMYFUNCTION("""COMPUTED_VALUE"""),"JL. HUSEIN HAMZAH GG. FATANA 3 NO. 7")</f>
        <v>JL. HUSEIN HAMZAH GG. FATANA 3 NO. 7</v>
      </c>
      <c r="N740" s="16"/>
      <c r="O740" s="16"/>
      <c r="P740" s="16"/>
      <c r="Q740" s="16"/>
      <c r="R740" s="19" t="str">
        <f>IFERROR(__xludf.DUMMYFUNCTION("""COMPUTED_VALUE"""),"ISLAM")</f>
        <v>ISLAM</v>
      </c>
      <c r="S740" s="16" t="str">
        <f>IFERROR(__xludf.DUMMYFUNCTION("""COMPUTED_VALUE"""),"RUMAH TANGGA")</f>
        <v>RUMAH TANGGA</v>
      </c>
      <c r="T740" s="16" t="str">
        <f>IFERROR(__xludf.DUMMYFUNCTION("""COMPUTED_VALUE"""),"PINGGANG SAMPAI KAKI, TULANG RUSUK, LEHER")</f>
        <v>PINGGANG SAMPAI KAKI, TULANG RUSUK, LEHER</v>
      </c>
      <c r="U740" s="35" t="str">
        <f>IFERROR(__xludf.DUMMYFUNCTION("""COMPUTED_VALUE"""),"JAHIT BAJU")</f>
        <v>JAHIT BAJU</v>
      </c>
      <c r="V740" s="11" t="str">
        <f>IFERROR(__xludf.DUMMYFUNCTION("""COMPUTED_VALUE"""),"085654689464")</f>
        <v>085654689464</v>
      </c>
      <c r="W740" s="15"/>
    </row>
    <row r="741" ht="22.5" customHeight="1">
      <c r="A741" s="8"/>
      <c r="B741" s="9">
        <f>IFERROR(__xludf.DUMMYFUNCTION("""COMPUTED_VALUE"""),45192.585938738426)</f>
        <v>45192.58594</v>
      </c>
      <c r="C741" s="9"/>
      <c r="D741" s="10">
        <f>IFERROR(__xludf.DUMMYFUNCTION("""COMPUTED_VALUE"""),45201.0)</f>
        <v>45201</v>
      </c>
      <c r="E741" s="10" t="str">
        <f>IFERROR(__xludf.DUMMYFUNCTION("""COMPUTED_VALUE"""),"10Okt")</f>
        <v>10Okt</v>
      </c>
      <c r="F741" s="10" t="str">
        <f>IFERROR(__xludf.DUMMYFUNCTION("""COMPUTED_VALUE"""),"2023")</f>
        <v>2023</v>
      </c>
      <c r="G741" s="16" t="str">
        <f>IFERROR(__xludf.DUMMYFUNCTION("""COMPUTED_VALUE"""),"MOH. YASIN")</f>
        <v>MOH. YASIN</v>
      </c>
      <c r="H741" s="17" t="str">
        <f>IFERROR(__xludf.DUMMYFUNCTION("""COMPUTED_VALUE"""),"M5723105002")</f>
        <v>M5723105002</v>
      </c>
      <c r="I741" s="17">
        <f>IFERROR(__xludf.DUMMYFUNCTION("""COMPUTED_VALUE"""),68.0)</f>
        <v>68</v>
      </c>
      <c r="J741" s="17" t="str">
        <f>IFERROR(__xludf.DUMMYFUNCTION("""COMPUTED_VALUE"""),"&gt; 44 tahun")</f>
        <v>&gt; 44 tahun</v>
      </c>
      <c r="K741" s="19">
        <f>IFERROR(__xludf.DUMMYFUNCTION("""COMPUTED_VALUE"""),21033.0)</f>
        <v>21033</v>
      </c>
      <c r="L741" s="19" t="str">
        <f>IFERROR(__xludf.DUMMYFUNCTION("""COMPUTED_VALUE"""),"LAKI-LAKI")</f>
        <v>LAKI-LAKI</v>
      </c>
      <c r="M741" s="16" t="str">
        <f>IFERROR(__xludf.DUMMYFUNCTION("""COMPUTED_VALUE"""),"PASAR PUNGGUR BESAR")</f>
        <v>PASAR PUNGGUR BESAR</v>
      </c>
      <c r="N741" s="16"/>
      <c r="O741" s="16"/>
      <c r="P741" s="16"/>
      <c r="Q741" s="16"/>
      <c r="R741" s="19" t="str">
        <f>IFERROR(__xludf.DUMMYFUNCTION("""COMPUTED_VALUE"""),"ISLAM")</f>
        <v>ISLAM</v>
      </c>
      <c r="S741" s="16" t="str">
        <f>IFERROR(__xludf.DUMMYFUNCTION("""COMPUTED_VALUE"""),"TIDAK ADA")</f>
        <v>TIDAK ADA</v>
      </c>
      <c r="T741" s="16" t="str">
        <f>IFERROR(__xludf.DUMMYFUNCTION("""COMPUTED_VALUE"""),"KAKI")</f>
        <v>KAKI</v>
      </c>
      <c r="U741" s="16" t="str">
        <f>IFERROR(__xludf.DUMMYFUNCTION("""COMPUTED_VALUE"""),"-")</f>
        <v>-</v>
      </c>
      <c r="V741" s="11" t="str">
        <f>IFERROR(__xludf.DUMMYFUNCTION("""COMPUTED_VALUE"""),"081257455002")</f>
        <v>081257455002</v>
      </c>
      <c r="W741" s="15"/>
    </row>
    <row r="742" ht="22.5" customHeight="1">
      <c r="A742" s="8"/>
      <c r="B742" s="9">
        <f>IFERROR(__xludf.DUMMYFUNCTION("""COMPUTED_VALUE"""),45192.73269163194)</f>
        <v>45192.73269</v>
      </c>
      <c r="C742" s="9"/>
      <c r="D742" s="10">
        <f>IFERROR(__xludf.DUMMYFUNCTION("""COMPUTED_VALUE"""),45202.0)</f>
        <v>45202</v>
      </c>
      <c r="E742" s="10" t="str">
        <f>IFERROR(__xludf.DUMMYFUNCTION("""COMPUTED_VALUE"""),"10Okt")</f>
        <v>10Okt</v>
      </c>
      <c r="F742" s="10" t="str">
        <f>IFERROR(__xludf.DUMMYFUNCTION("""COMPUTED_VALUE"""),"2023")</f>
        <v>2023</v>
      </c>
      <c r="G742" s="16" t="str">
        <f>IFERROR(__xludf.DUMMYFUNCTION("""COMPUTED_VALUE"""),"GALIH SENI RUPAWAN")</f>
        <v>GALIH SENI RUPAWAN</v>
      </c>
      <c r="H742" s="17" t="str">
        <f>IFERROR(__xludf.DUMMYFUNCTION("""COMPUTED_VALUE"""),"G9423106584")</f>
        <v>G9423106584</v>
      </c>
      <c r="I742" s="17">
        <f>IFERROR(__xludf.DUMMYFUNCTION("""COMPUTED_VALUE"""),32.0)</f>
        <v>32</v>
      </c>
      <c r="J742" s="17" t="str">
        <f>IFERROR(__xludf.DUMMYFUNCTION("""COMPUTED_VALUE"""),"25-34 tahun")</f>
        <v>25-34 tahun</v>
      </c>
      <c r="K742" s="19">
        <f>IFERROR(__xludf.DUMMYFUNCTION("""COMPUTED_VALUE"""),34493.0)</f>
        <v>34493</v>
      </c>
      <c r="L742" s="19" t="str">
        <f>IFERROR(__xludf.DUMMYFUNCTION("""COMPUTED_VALUE"""),"LAKI-LAKI")</f>
        <v>LAKI-LAKI</v>
      </c>
      <c r="M742" s="16" t="str">
        <f>IFERROR(__xludf.DUMMYFUNCTION("""COMPUTED_VALUE"""),"Jl. Perdamaian. Ari karya indah IV A.8")</f>
        <v>Jl. Perdamaian. Ari karya indah IV A.8</v>
      </c>
      <c r="N742" s="16"/>
      <c r="O742" s="16"/>
      <c r="P742" s="16"/>
      <c r="Q742" s="16"/>
      <c r="R742" s="19" t="str">
        <f>IFERROR(__xludf.DUMMYFUNCTION("""COMPUTED_VALUE"""),"ISLAM")</f>
        <v>ISLAM</v>
      </c>
      <c r="S742" s="16" t="str">
        <f>IFERROR(__xludf.DUMMYFUNCTION("""COMPUTED_VALUE"""),"WIRASWASTA")</f>
        <v>WIRASWASTA</v>
      </c>
      <c r="T742" s="16" t="str">
        <f>IFERROR(__xludf.DUMMYFUNCTION("""COMPUTED_VALUE"""),"SHOULDER PAIN")</f>
        <v>SHOULDER PAIN</v>
      </c>
      <c r="U742" s="16" t="str">
        <f>IFERROR(__xludf.DUMMYFUNCTION("""COMPUTED_VALUE"""),"MELAKUKAN PEKERJAAN REPETITIVE")</f>
        <v>MELAKUKAN PEKERJAAN REPETITIVE</v>
      </c>
      <c r="V742" s="11" t="str">
        <f>IFERROR(__xludf.DUMMYFUNCTION("""COMPUTED_VALUE"""),"0488436584")</f>
        <v>0488436584</v>
      </c>
      <c r="W742" s="15"/>
    </row>
    <row r="743" ht="22.5" customHeight="1">
      <c r="A743" s="8"/>
      <c r="B743" s="9">
        <f>IFERROR(__xludf.DUMMYFUNCTION("""COMPUTED_VALUE"""),45202.56868172454)</f>
        <v>45202.56868</v>
      </c>
      <c r="C743" s="9"/>
      <c r="D743" s="10">
        <f>IFERROR(__xludf.DUMMYFUNCTION("""COMPUTED_VALUE"""),45203.0)</f>
        <v>45203</v>
      </c>
      <c r="E743" s="10" t="str">
        <f>IFERROR(__xludf.DUMMYFUNCTION("""COMPUTED_VALUE"""),"10Okt")</f>
        <v>10Okt</v>
      </c>
      <c r="F743" s="10" t="str">
        <f>IFERROR(__xludf.DUMMYFUNCTION("""COMPUTED_VALUE"""),"2023")</f>
        <v>2023</v>
      </c>
      <c r="G743" s="16" t="str">
        <f>IFERROR(__xludf.DUMMYFUNCTION("""COMPUTED_VALUE"""),"RAIHAN FIRDAUS WIJAYA")</f>
        <v>RAIHAN FIRDAUS WIJAYA</v>
      </c>
      <c r="H743" s="17" t="str">
        <f>IFERROR(__xludf.DUMMYFUNCTION("""COMPUTED_VALUE"""),"R0123106306")</f>
        <v>R0123106306</v>
      </c>
      <c r="I743" s="17">
        <f>IFERROR(__xludf.DUMMYFUNCTION("""COMPUTED_VALUE"""),24.0)</f>
        <v>24</v>
      </c>
      <c r="J743" s="17" t="str">
        <f>IFERROR(__xludf.DUMMYFUNCTION("""COMPUTED_VALUE"""),"18-24 tahun")</f>
        <v>18-24 tahun</v>
      </c>
      <c r="K743" s="19">
        <f>IFERROR(__xludf.DUMMYFUNCTION("""COMPUTED_VALUE"""),37214.0)</f>
        <v>37214</v>
      </c>
      <c r="L743" s="19" t="str">
        <f>IFERROR(__xludf.DUMMYFUNCTION("""COMPUTED_VALUE"""),"LAKI-LAKI")</f>
        <v>LAKI-LAKI</v>
      </c>
      <c r="M743" s="16" t="str">
        <f>IFERROR(__xludf.DUMMYFUNCTION("""COMPUTED_VALUE"""),"Jl.WONOBARU GG.MADYOSARI 2 NO.47A")</f>
        <v>Jl.WONOBARU GG.MADYOSARI 2 NO.47A</v>
      </c>
      <c r="N743" s="16"/>
      <c r="O743" s="16"/>
      <c r="P743" s="16"/>
      <c r="Q743" s="16"/>
      <c r="R743" s="19" t="str">
        <f>IFERROR(__xludf.DUMMYFUNCTION("""COMPUTED_VALUE"""),"ISLAM")</f>
        <v>ISLAM</v>
      </c>
      <c r="S743" s="16" t="str">
        <f>IFERROR(__xludf.DUMMYFUNCTION("""COMPUTED_VALUE"""),"WIRASWASTA")</f>
        <v>WIRASWASTA</v>
      </c>
      <c r="T743" s="16" t="str">
        <f>IFERROR(__xludf.DUMMYFUNCTION("""COMPUTED_VALUE"""),"SAKIT")</f>
        <v>SAKIT</v>
      </c>
      <c r="U743" s="16" t="str">
        <f>IFERROR(__xludf.DUMMYFUNCTION("""COMPUTED_VALUE"""),"FUTSAL/ BERKERJA")</f>
        <v>FUTSAL/ BERKERJA</v>
      </c>
      <c r="V743" s="11" t="str">
        <f>IFERROR(__xludf.DUMMYFUNCTION("""COMPUTED_VALUE"""),"082155996306")</f>
        <v>082155996306</v>
      </c>
      <c r="W743" s="15"/>
    </row>
    <row r="744" ht="22.5" customHeight="1">
      <c r="A744" s="8"/>
      <c r="B744" s="9">
        <f>IFERROR(__xludf.DUMMYFUNCTION("""COMPUTED_VALUE"""),45202.72537894676)</f>
        <v>45202.72538</v>
      </c>
      <c r="C744" s="9"/>
      <c r="D744" s="34">
        <f>IFERROR(__xludf.DUMMYFUNCTION("""COMPUTED_VALUE"""),45203.0)</f>
        <v>45203</v>
      </c>
      <c r="E744" s="34" t="str">
        <f>IFERROR(__xludf.DUMMYFUNCTION("""COMPUTED_VALUE"""),"10Okt")</f>
        <v>10Okt</v>
      </c>
      <c r="F744" s="34" t="str">
        <f>IFERROR(__xludf.DUMMYFUNCTION("""COMPUTED_VALUE"""),"2023")</f>
        <v>2023</v>
      </c>
      <c r="G744" s="36" t="str">
        <f>IFERROR(__xludf.DUMMYFUNCTION("""COMPUTED_VALUE"""),"REXY GUSNIANDI")</f>
        <v>REXY GUSNIANDI</v>
      </c>
      <c r="H744" s="17" t="str">
        <f>IFERROR(__xludf.DUMMYFUNCTION("""COMPUTED_VALUE"""),"R9723104575")</f>
        <v>R9723104575</v>
      </c>
      <c r="I744" s="17">
        <f>IFERROR(__xludf.DUMMYFUNCTION("""COMPUTED_VALUE"""),28.0)</f>
        <v>28</v>
      </c>
      <c r="J744" s="17" t="str">
        <f>IFERROR(__xludf.DUMMYFUNCTION("""COMPUTED_VALUE"""),"25-34 tahun")</f>
        <v>25-34 tahun</v>
      </c>
      <c r="K744" s="19">
        <f>IFERROR(__xludf.DUMMYFUNCTION("""COMPUTED_VALUE"""),35645.0)</f>
        <v>35645</v>
      </c>
      <c r="L744" s="19" t="str">
        <f>IFERROR(__xludf.DUMMYFUNCTION("""COMPUTED_VALUE"""),"LAKI-LAKI")</f>
        <v>LAKI-LAKI</v>
      </c>
      <c r="M744" s="36" t="str">
        <f>IFERROR(__xludf.DUMMYFUNCTION("""COMPUTED_VALUE"""),"Jln moh amin semitau")</f>
        <v>Jln moh amin semitau</v>
      </c>
      <c r="N744" s="16"/>
      <c r="O744" s="16"/>
      <c r="P744" s="16"/>
      <c r="Q744" s="16"/>
      <c r="R744" s="19" t="str">
        <f>IFERROR(__xludf.DUMMYFUNCTION("""COMPUTED_VALUE"""),"KATOLIK")</f>
        <v>KATOLIK</v>
      </c>
      <c r="S744" s="16" t="str">
        <f>IFERROR(__xludf.DUMMYFUNCTION("""COMPUTED_VALUE"""),"SWASTA")</f>
        <v>SWASTA</v>
      </c>
      <c r="T744" s="36" t="str">
        <f>IFERROR(__xludf.DUMMYFUNCTION("""COMPUTED_VALUE"""),"ADA YG JANGGAL DENGAN KAKI SEBELAH KIRI")</f>
        <v>ADA YG JANGGAL DENGAN KAKI SEBELAH KIRI</v>
      </c>
      <c r="U744" s="16" t="str">
        <f>IFERROR(__xludf.DUMMYFUNCTION("""COMPUTED_VALUE"""),"FUTSAL")</f>
        <v>FUTSAL</v>
      </c>
      <c r="V744" s="11" t="str">
        <f>IFERROR(__xludf.DUMMYFUNCTION("""COMPUTED_VALUE"""),"085750664575")</f>
        <v>085750664575</v>
      </c>
      <c r="W744" s="15"/>
    </row>
    <row r="745" ht="22.5" customHeight="1">
      <c r="A745" s="8"/>
      <c r="B745" s="9">
        <f>IFERROR(__xludf.DUMMYFUNCTION("""COMPUTED_VALUE"""),45203.52307802084)</f>
        <v>45203.52308</v>
      </c>
      <c r="C745" s="9"/>
      <c r="D745" s="10">
        <f>IFERROR(__xludf.DUMMYFUNCTION("""COMPUTED_VALUE"""),45203.0)</f>
        <v>45203</v>
      </c>
      <c r="E745" s="10" t="str">
        <f>IFERROR(__xludf.DUMMYFUNCTION("""COMPUTED_VALUE"""),"10Okt")</f>
        <v>10Okt</v>
      </c>
      <c r="F745" s="10" t="str">
        <f>IFERROR(__xludf.DUMMYFUNCTION("""COMPUTED_VALUE"""),"2023")</f>
        <v>2023</v>
      </c>
      <c r="G745" s="16" t="str">
        <f>IFERROR(__xludf.DUMMYFUNCTION("""COMPUTED_VALUE"""),"BAMBANG SUGENG")</f>
        <v>BAMBANG SUGENG</v>
      </c>
      <c r="H745" s="17" t="str">
        <f>IFERROR(__xludf.DUMMYFUNCTION("""COMPUTED_VALUE"""),"B6523106766")</f>
        <v>B6523106766</v>
      </c>
      <c r="I745" s="17">
        <f>IFERROR(__xludf.DUMMYFUNCTION("""COMPUTED_VALUE"""),61.0)</f>
        <v>61</v>
      </c>
      <c r="J745" s="17" t="str">
        <f>IFERROR(__xludf.DUMMYFUNCTION("""COMPUTED_VALUE"""),"&gt; 44 tahun")</f>
        <v>&gt; 44 tahun</v>
      </c>
      <c r="K745" s="19">
        <f>IFERROR(__xludf.DUMMYFUNCTION("""COMPUTED_VALUE"""),23894.0)</f>
        <v>23894</v>
      </c>
      <c r="L745" s="19" t="str">
        <f>IFERROR(__xludf.DUMMYFUNCTION("""COMPUTED_VALUE"""),"LAKI-LAKI")</f>
        <v>LAKI-LAKI</v>
      </c>
      <c r="M745" s="16" t="str">
        <f>IFERROR(__xludf.DUMMYFUNCTION("""COMPUTED_VALUE"""),"Jalan Karangan Blok D Nomor 1 Komplek Untan")</f>
        <v>Jalan Karangan Blok D Nomor 1 Komplek Untan</v>
      </c>
      <c r="N745" s="16"/>
      <c r="O745" s="16"/>
      <c r="P745" s="16"/>
      <c r="Q745" s="16"/>
      <c r="R745" s="19" t="str">
        <f>IFERROR(__xludf.DUMMYFUNCTION("""COMPUTED_VALUE"""),"ISLAM")</f>
        <v>ISLAM</v>
      </c>
      <c r="S745" s="16" t="str">
        <f>IFERROR(__xludf.DUMMYFUNCTION("""COMPUTED_VALUE"""),"PENSIUN")</f>
        <v>PENSIUN</v>
      </c>
      <c r="T745" s="36" t="str">
        <f>IFERROR(__xludf.DUMMYFUNCTION("""COMPUTED_VALUE"""),"SAKIT JARI, PINGGANG DAN LEHER")</f>
        <v>SAKIT JARI, PINGGANG DAN LEHER</v>
      </c>
      <c r="U745" s="36" t="str">
        <f>IFERROR(__xludf.DUMMYFUNCTION("""COMPUTED_VALUE"""),"OLAHRAGA")</f>
        <v>OLAHRAGA</v>
      </c>
      <c r="V745" s="11" t="str">
        <f>IFERROR(__xludf.DUMMYFUNCTION("""COMPUTED_VALUE"""),"081345966766")</f>
        <v>081345966766</v>
      </c>
      <c r="W745" s="15"/>
    </row>
    <row r="746" ht="22.5" customHeight="1">
      <c r="A746" s="8"/>
      <c r="B746" s="9">
        <f>IFERROR(__xludf.DUMMYFUNCTION("""COMPUTED_VALUE"""),45203.687628541666)</f>
        <v>45203.68763</v>
      </c>
      <c r="C746" s="9"/>
      <c r="D746" s="10">
        <f>IFERROR(__xludf.DUMMYFUNCTION("""COMPUTED_VALUE"""),45204.0)</f>
        <v>45204</v>
      </c>
      <c r="E746" s="10" t="str">
        <f>IFERROR(__xludf.DUMMYFUNCTION("""COMPUTED_VALUE"""),"10Okt")</f>
        <v>10Okt</v>
      </c>
      <c r="F746" s="10" t="str">
        <f>IFERROR(__xludf.DUMMYFUNCTION("""COMPUTED_VALUE"""),"2023")</f>
        <v>2023</v>
      </c>
      <c r="G746" s="16" t="str">
        <f>IFERROR(__xludf.DUMMYFUNCTION("""COMPUTED_VALUE"""),"YOGA NOVA DIANSYAH")</f>
        <v>YOGA NOVA DIANSYAH</v>
      </c>
      <c r="H746" s="17" t="str">
        <f>IFERROR(__xludf.DUMMYFUNCTION("""COMPUTED_VALUE"""),"Y9523108480")</f>
        <v>Y9523108480</v>
      </c>
      <c r="I746" s="17">
        <f>IFERROR(__xludf.DUMMYFUNCTION("""COMPUTED_VALUE"""),30.0)</f>
        <v>30</v>
      </c>
      <c r="J746" s="17" t="str">
        <f>IFERROR(__xludf.DUMMYFUNCTION("""COMPUTED_VALUE"""),"25-34 tahun")</f>
        <v>25-34 tahun</v>
      </c>
      <c r="K746" s="19">
        <f>IFERROR(__xludf.DUMMYFUNCTION("""COMPUTED_VALUE"""),35008.0)</f>
        <v>35008</v>
      </c>
      <c r="L746" s="19" t="str">
        <f>IFERROR(__xludf.DUMMYFUNCTION("""COMPUTED_VALUE"""),"LAKI-LAKI")</f>
        <v>LAKI-LAKI</v>
      </c>
      <c r="M746" s="16" t="str">
        <f>IFERROR(__xludf.DUMMYFUNCTION("""COMPUTED_VALUE"""),"Jl. Ampera komp. Bali asri 1 no D 19")</f>
        <v>Jl. Ampera komp. Bali asri 1 no D 19</v>
      </c>
      <c r="N746" s="16"/>
      <c r="O746" s="16"/>
      <c r="P746" s="16"/>
      <c r="Q746" s="16"/>
      <c r="R746" s="19" t="str">
        <f>IFERROR(__xludf.DUMMYFUNCTION("""COMPUTED_VALUE"""),"ISLAM")</f>
        <v>ISLAM</v>
      </c>
      <c r="S746" s="16" t="str">
        <f>IFERROR(__xludf.DUMMYFUNCTION("""COMPUTED_VALUE"""),"WIRASWASTA")</f>
        <v>WIRASWASTA</v>
      </c>
      <c r="T746" s="36" t="str">
        <f>IFERROR(__xludf.DUMMYFUNCTION("""COMPUTED_VALUE"""),"CIDERA KAKI")</f>
        <v>CIDERA KAKI</v>
      </c>
      <c r="U746" s="36" t="str">
        <f>IFERROR(__xludf.DUMMYFUNCTION("""COMPUTED_VALUE"""),"FUTSAL")</f>
        <v>FUTSAL</v>
      </c>
      <c r="V746" s="11" t="str">
        <f>IFERROR(__xludf.DUMMYFUNCTION("""COMPUTED_VALUE"""),"082227398480")</f>
        <v>082227398480</v>
      </c>
      <c r="W746" s="15"/>
    </row>
    <row r="747" ht="22.5" customHeight="1">
      <c r="A747" s="8"/>
      <c r="B747" s="9">
        <f>IFERROR(__xludf.DUMMYFUNCTION("""COMPUTED_VALUE"""),45203.85401255787)</f>
        <v>45203.85401</v>
      </c>
      <c r="C747" s="9"/>
      <c r="D747" s="10">
        <f>IFERROR(__xludf.DUMMYFUNCTION("""COMPUTED_VALUE"""),45206.0)</f>
        <v>45206</v>
      </c>
      <c r="E747" s="10" t="str">
        <f>IFERROR(__xludf.DUMMYFUNCTION("""COMPUTED_VALUE"""),"10Okt")</f>
        <v>10Okt</v>
      </c>
      <c r="F747" s="10" t="str">
        <f>IFERROR(__xludf.DUMMYFUNCTION("""COMPUTED_VALUE"""),"2023")</f>
        <v>2023</v>
      </c>
      <c r="G747" s="16" t="str">
        <f>IFERROR(__xludf.DUMMYFUNCTION("""COMPUTED_VALUE"""),"ALVIANDY")</f>
        <v>ALVIANDY</v>
      </c>
      <c r="H747" s="17" t="str">
        <f>IFERROR(__xludf.DUMMYFUNCTION("""COMPUTED_VALUE"""),"A9823108688")</f>
        <v>A9823108688</v>
      </c>
      <c r="I747" s="17">
        <f>IFERROR(__xludf.DUMMYFUNCTION("""COMPUTED_VALUE"""),27.0)</f>
        <v>27</v>
      </c>
      <c r="J747" s="17" t="str">
        <f>IFERROR(__xludf.DUMMYFUNCTION("""COMPUTED_VALUE"""),"25-34 tahun")</f>
        <v>25-34 tahun</v>
      </c>
      <c r="K747" s="19">
        <f>IFERROR(__xludf.DUMMYFUNCTION("""COMPUTED_VALUE"""),36102.0)</f>
        <v>36102</v>
      </c>
      <c r="L747" s="19" t="str">
        <f>IFERROR(__xludf.DUMMYFUNCTION("""COMPUTED_VALUE"""),"LAKI-LAKI")</f>
        <v>LAKI-LAKI</v>
      </c>
      <c r="M747" s="16" t="str">
        <f>IFERROR(__xludf.DUMMYFUNCTION("""COMPUTED_VALUE"""),"Jl Putri Candramidi No34C")</f>
        <v>Jl Putri Candramidi No34C</v>
      </c>
      <c r="N747" s="16"/>
      <c r="O747" s="16"/>
      <c r="P747" s="16"/>
      <c r="Q747" s="16"/>
      <c r="R747" s="19" t="str">
        <f>IFERROR(__xludf.DUMMYFUNCTION("""COMPUTED_VALUE"""),"KHONGHUCU")</f>
        <v>KHONGHUCU</v>
      </c>
      <c r="S747" s="16" t="str">
        <f>IFERROR(__xludf.DUMMYFUNCTION("""COMPUTED_VALUE"""),"WIRASWASTA")</f>
        <v>WIRASWASTA</v>
      </c>
      <c r="T747" s="36" t="str">
        <f>IFERROR(__xludf.DUMMYFUNCTION("""COMPUTED_VALUE"""),"PERGELANGAN TANGAN KANAN SEDIKIT BERMASALAH")</f>
        <v>PERGELANGAN TANGAN KANAN SEDIKIT BERMASALAH</v>
      </c>
      <c r="U747" s="16" t="str">
        <f>IFERROR(__xludf.DUMMYFUNCTION("""COMPUTED_VALUE"""),"GYM DAN BADMINTON")</f>
        <v>GYM DAN BADMINTON</v>
      </c>
      <c r="V747" s="11" t="str">
        <f>IFERROR(__xludf.DUMMYFUNCTION("""COMPUTED_VALUE"""),"082251688688")</f>
        <v>082251688688</v>
      </c>
      <c r="W747" s="15"/>
    </row>
    <row r="748" ht="22.5" customHeight="1">
      <c r="A748" s="8"/>
      <c r="B748" s="9">
        <f>IFERROR(__xludf.DUMMYFUNCTION("""COMPUTED_VALUE"""),45204.423983368055)</f>
        <v>45204.42398</v>
      </c>
      <c r="C748" s="9"/>
      <c r="D748" s="10">
        <f>IFERROR(__xludf.DUMMYFUNCTION("""COMPUTED_VALUE"""),45206.0)</f>
        <v>45206</v>
      </c>
      <c r="E748" s="10" t="str">
        <f>IFERROR(__xludf.DUMMYFUNCTION("""COMPUTED_VALUE"""),"10Okt")</f>
        <v>10Okt</v>
      </c>
      <c r="F748" s="10" t="str">
        <f>IFERROR(__xludf.DUMMYFUNCTION("""COMPUTED_VALUE"""),"2023")</f>
        <v>2023</v>
      </c>
      <c r="G748" s="16" t="str">
        <f>IFERROR(__xludf.DUMMYFUNCTION("""COMPUTED_VALUE"""),"FARIDI YUSLA")</f>
        <v>FARIDI YUSLA</v>
      </c>
      <c r="H748" s="17" t="str">
        <f>IFERROR(__xludf.DUMMYFUNCTION("""COMPUTED_VALUE"""),"F5523101955")</f>
        <v>F5523101955</v>
      </c>
      <c r="I748" s="17">
        <f>IFERROR(__xludf.DUMMYFUNCTION("""COMPUTED_VALUE"""),71.0)</f>
        <v>71</v>
      </c>
      <c r="J748" s="17" t="str">
        <f>IFERROR(__xludf.DUMMYFUNCTION("""COMPUTED_VALUE"""),"&gt; 44 tahun")</f>
        <v>&gt; 44 tahun</v>
      </c>
      <c r="K748" s="19">
        <f>IFERROR(__xludf.DUMMYFUNCTION("""COMPUTED_VALUE"""),20243.0)</f>
        <v>20243</v>
      </c>
      <c r="L748" s="19" t="str">
        <f>IFERROR(__xludf.DUMMYFUNCTION("""COMPUTED_VALUE"""),"LAKI-LAKI")</f>
        <v>LAKI-LAKI</v>
      </c>
      <c r="M748" s="16" t="str">
        <f>IFERROR(__xludf.DUMMYFUNCTION("""COMPUTED_VALUE"""),"Jl Husein Hamzah. Gg melda no 12")</f>
        <v>Jl Husein Hamzah. Gg melda no 12</v>
      </c>
      <c r="N748" s="16"/>
      <c r="O748" s="16"/>
      <c r="P748" s="16"/>
      <c r="Q748" s="16"/>
      <c r="R748" s="19" t="str">
        <f>IFERROR(__xludf.DUMMYFUNCTION("""COMPUTED_VALUE"""),"ISLAM")</f>
        <v>ISLAM</v>
      </c>
      <c r="S748" s="16" t="str">
        <f>IFERROR(__xludf.DUMMYFUNCTION("""COMPUTED_VALUE"""),"PENSIUN")</f>
        <v>PENSIUN</v>
      </c>
      <c r="T748" s="16" t="str">
        <f>IFERROR(__xludf.DUMMYFUNCTION("""COMPUTED_VALUE"""),"BAHU")</f>
        <v>BAHU</v>
      </c>
      <c r="U748" s="16" t="str">
        <f>IFERROR(__xludf.DUMMYFUNCTION("""COMPUTED_VALUE"""),"MAIN TENNIS / BERSIH HALAMAN / BENDAHAR MESJID")</f>
        <v>MAIN TENNIS / BERSIH HALAMAN / BENDAHAR MESJID</v>
      </c>
      <c r="V748" s="11" t="str">
        <f>IFERROR(__xludf.DUMMYFUNCTION("""COMPUTED_VALUE"""),"08115671955")</f>
        <v>08115671955</v>
      </c>
      <c r="W748" s="15"/>
    </row>
    <row r="749" ht="22.5" customHeight="1">
      <c r="A749" s="8"/>
      <c r="B749" s="9">
        <f>IFERROR(__xludf.DUMMYFUNCTION("""COMPUTED_VALUE"""),45204.69988822917)</f>
        <v>45204.69989</v>
      </c>
      <c r="C749" s="9"/>
      <c r="D749" s="10">
        <f>IFERROR(__xludf.DUMMYFUNCTION("""COMPUTED_VALUE"""),45206.0)</f>
        <v>45206</v>
      </c>
      <c r="E749" s="10" t="str">
        <f>IFERROR(__xludf.DUMMYFUNCTION("""COMPUTED_VALUE"""),"10Okt")</f>
        <v>10Okt</v>
      </c>
      <c r="F749" s="10" t="str">
        <f>IFERROR(__xludf.DUMMYFUNCTION("""COMPUTED_VALUE"""),"2023")</f>
        <v>2023</v>
      </c>
      <c r="G749" s="16" t="str">
        <f>IFERROR(__xludf.DUMMYFUNCTION("""COMPUTED_VALUE"""),"MUJTABA TAMAMI")</f>
        <v>MUJTABA TAMAMI</v>
      </c>
      <c r="H749" s="17" t="str">
        <f>IFERROR(__xludf.DUMMYFUNCTION("""COMPUTED_VALUE"""),"M9123108544")</f>
        <v>M9123108544</v>
      </c>
      <c r="I749" s="17">
        <f>IFERROR(__xludf.DUMMYFUNCTION("""COMPUTED_VALUE"""),35.0)</f>
        <v>35</v>
      </c>
      <c r="J749" s="17" t="str">
        <f>IFERROR(__xludf.DUMMYFUNCTION("""COMPUTED_VALUE"""),"35-44 tahun")</f>
        <v>35-44 tahun</v>
      </c>
      <c r="K749" s="19">
        <f>IFERROR(__xludf.DUMMYFUNCTION("""COMPUTED_VALUE"""),33356.0)</f>
        <v>33356</v>
      </c>
      <c r="L749" s="19" t="str">
        <f>IFERROR(__xludf.DUMMYFUNCTION("""COMPUTED_VALUE"""),"LAKI-LAKI")</f>
        <v>LAKI-LAKI</v>
      </c>
      <c r="M749" s="16" t="str">
        <f>IFERROR(__xludf.DUMMYFUNCTION("""COMPUTED_VALUE"""),"Jalan Paris 2, Gg. Hidayah 1 No. A4")</f>
        <v>Jalan Paris 2, Gg. Hidayah 1 No. A4</v>
      </c>
      <c r="N749" s="16"/>
      <c r="O749" s="16"/>
      <c r="P749" s="16"/>
      <c r="Q749" s="16"/>
      <c r="R749" s="19" t="str">
        <f>IFERROR(__xludf.DUMMYFUNCTION("""COMPUTED_VALUE"""),"ISLAM")</f>
        <v>ISLAM</v>
      </c>
      <c r="S749" s="16" t="str">
        <f>IFERROR(__xludf.DUMMYFUNCTION("""COMPUTED_VALUE"""),"ASN")</f>
        <v>ASN</v>
      </c>
      <c r="T749" s="36" t="str">
        <f>IFERROR(__xludf.DUMMYFUNCTION("""COMPUTED_VALUE"""),"SKOLIOSIS")</f>
        <v>SKOLIOSIS</v>
      </c>
      <c r="U749" s="16" t="str">
        <f>IFERROR(__xludf.DUMMYFUNCTION("""COMPUTED_VALUE"""),"BEKERJA DI DEPAN LAPTOP")</f>
        <v>BEKERJA DI DEPAN LAPTOP</v>
      </c>
      <c r="V749" s="11" t="str">
        <f>IFERROR(__xludf.DUMMYFUNCTION("""COMPUTED_VALUE"""),"082149618544")</f>
        <v>082149618544</v>
      </c>
      <c r="W749" s="15"/>
    </row>
    <row r="750" ht="22.5" customHeight="1">
      <c r="A750" s="8"/>
      <c r="B750" s="9">
        <f>IFERROR(__xludf.DUMMYFUNCTION("""COMPUTED_VALUE"""),45206.51839466435)</f>
        <v>45206.51839</v>
      </c>
      <c r="C750" s="9"/>
      <c r="D750" s="10">
        <f>IFERROR(__xludf.DUMMYFUNCTION("""COMPUTED_VALUE"""),45207.0)</f>
        <v>45207</v>
      </c>
      <c r="E750" s="10" t="str">
        <f>IFERROR(__xludf.DUMMYFUNCTION("""COMPUTED_VALUE"""),"10Okt")</f>
        <v>10Okt</v>
      </c>
      <c r="F750" s="10" t="str">
        <f>IFERROR(__xludf.DUMMYFUNCTION("""COMPUTED_VALUE"""),"2023")</f>
        <v>2023</v>
      </c>
      <c r="G750" s="16" t="str">
        <f>IFERROR(__xludf.DUMMYFUNCTION("""COMPUTED_VALUE"""),"YUNIARTO")</f>
        <v>YUNIARTO</v>
      </c>
      <c r="H750" s="17" t="str">
        <f>IFERROR(__xludf.DUMMYFUNCTION("""COMPUTED_VALUE"""),"Y7723100199")</f>
        <v>Y7723100199</v>
      </c>
      <c r="I750" s="17">
        <f>IFERROR(__xludf.DUMMYFUNCTION("""COMPUTED_VALUE"""),49.0)</f>
        <v>49</v>
      </c>
      <c r="J750" s="17" t="str">
        <f>IFERROR(__xludf.DUMMYFUNCTION("""COMPUTED_VALUE"""),"&gt; 44 tahun")</f>
        <v>&gt; 44 tahun</v>
      </c>
      <c r="K750" s="19">
        <f>IFERROR(__xludf.DUMMYFUNCTION("""COMPUTED_VALUE"""),28277.0)</f>
        <v>28277</v>
      </c>
      <c r="L750" s="19" t="str">
        <f>IFERROR(__xludf.DUMMYFUNCTION("""COMPUTED_VALUE"""),"LAKI-LAKI")</f>
        <v>LAKI-LAKI</v>
      </c>
      <c r="M750" s="16" t="str">
        <f>IFERROR(__xludf.DUMMYFUNCTION("""COMPUTED_VALUE"""),"Komplek Purwosari agung no.b16")</f>
        <v>Komplek Purwosari agung no.b16</v>
      </c>
      <c r="N750" s="16"/>
      <c r="O750" s="16"/>
      <c r="P750" s="16"/>
      <c r="Q750" s="16"/>
      <c r="R750" s="19" t="str">
        <f>IFERROR(__xludf.DUMMYFUNCTION("""COMPUTED_VALUE"""),"ISLAM")</f>
        <v>ISLAM</v>
      </c>
      <c r="S750" s="16" t="str">
        <f>IFERROR(__xludf.DUMMYFUNCTION("""COMPUTED_VALUE"""),"SWASTA")</f>
        <v>SWASTA</v>
      </c>
      <c r="T750" s="16" t="str">
        <f>IFERROR(__xludf.DUMMYFUNCTION("""COMPUTED_VALUE"""),"SAKIT PINGGANG")</f>
        <v>SAKIT PINGGANG</v>
      </c>
      <c r="U750" s="16" t="str">
        <f>IFERROR(__xludf.DUMMYFUNCTION("""COMPUTED_VALUE"""),"DUDUK LAMA")</f>
        <v>DUDUK LAMA</v>
      </c>
      <c r="V750" s="11" t="str">
        <f>IFERROR(__xludf.DUMMYFUNCTION("""COMPUTED_VALUE"""),"081256650199")</f>
        <v>081256650199</v>
      </c>
      <c r="W750" s="15"/>
    </row>
    <row r="751" ht="22.5" customHeight="1">
      <c r="A751" s="8"/>
      <c r="B751" s="9">
        <f>IFERROR(__xludf.DUMMYFUNCTION("""COMPUTED_VALUE"""),45206.68057733796)</f>
        <v>45206.68058</v>
      </c>
      <c r="C751" s="9"/>
      <c r="D751" s="10">
        <f>IFERROR(__xludf.DUMMYFUNCTION("""COMPUTED_VALUE"""),45207.0)</f>
        <v>45207</v>
      </c>
      <c r="E751" s="10" t="str">
        <f>IFERROR(__xludf.DUMMYFUNCTION("""COMPUTED_VALUE"""),"10Okt")</f>
        <v>10Okt</v>
      </c>
      <c r="F751" s="10" t="str">
        <f>IFERROR(__xludf.DUMMYFUNCTION("""COMPUTED_VALUE"""),"2023")</f>
        <v>2023</v>
      </c>
      <c r="G751" s="16" t="str">
        <f>IFERROR(__xludf.DUMMYFUNCTION("""COMPUTED_VALUE"""),"TOTOCK SUPRIADI")</f>
        <v>TOTOCK SUPRIADI</v>
      </c>
      <c r="H751" s="17" t="str">
        <f>IFERROR(__xludf.DUMMYFUNCTION("""COMPUTED_VALUE"""),"T0223107096")</f>
        <v>T0223107096</v>
      </c>
      <c r="I751" s="17">
        <f>IFERROR(__xludf.DUMMYFUNCTION("""COMPUTED_VALUE"""),24.0)</f>
        <v>24</v>
      </c>
      <c r="J751" s="17" t="str">
        <f>IFERROR(__xludf.DUMMYFUNCTION("""COMPUTED_VALUE"""),"18-24 tahun")</f>
        <v>18-24 tahun</v>
      </c>
      <c r="K751" s="19">
        <f>IFERROR(__xludf.DUMMYFUNCTION("""COMPUTED_VALUE"""),37382.0)</f>
        <v>37382</v>
      </c>
      <c r="L751" s="19" t="str">
        <f>IFERROR(__xludf.DUMMYFUNCTION("""COMPUTED_VALUE"""),"LAKI-LAKI")</f>
        <v>LAKI-LAKI</v>
      </c>
      <c r="M751" s="16" t="str">
        <f>IFERROR(__xludf.DUMMYFUNCTION("""COMPUTED_VALUE"""),"Jln kini balu, desa serambai jaya, kecamatan mukok, kabupaten sanggau, provinsi kalimantan barat")</f>
        <v>Jln kini balu, desa serambai jaya, kecamatan mukok, kabupaten sanggau, provinsi kalimantan barat</v>
      </c>
      <c r="N751" s="16"/>
      <c r="O751" s="16"/>
      <c r="P751" s="16"/>
      <c r="Q751" s="16"/>
      <c r="R751" s="19" t="str">
        <f>IFERROR(__xludf.DUMMYFUNCTION("""COMPUTED_VALUE"""),"ISLAM")</f>
        <v>ISLAM</v>
      </c>
      <c r="S751" s="16" t="str">
        <f>IFERROR(__xludf.DUMMYFUNCTION("""COMPUTED_VALUE"""),"SWASTA")</f>
        <v>SWASTA</v>
      </c>
      <c r="T751" s="16" t="str">
        <f>IFERROR(__xludf.DUMMYFUNCTION("""COMPUTED_VALUE"""),"KAKI KANAN TERKILIR SUSAH DI TEKUT ATAU DI LURUSKAN")</f>
        <v>KAKI KANAN TERKILIR SUSAH DI TEKUT ATAU DI LURUSKAN</v>
      </c>
      <c r="U751" s="16" t="str">
        <f>IFERROR(__xludf.DUMMYFUNCTION("""COMPUTED_VALUE"""),"HOBI FUTSAL/BEKERJA SEBAGAI TEKNISI")</f>
        <v>HOBI FUTSAL/BEKERJA SEBAGAI TEKNISI</v>
      </c>
      <c r="V751" s="11" t="str">
        <f>IFERROR(__xludf.DUMMYFUNCTION("""COMPUTED_VALUE"""),"085346547096")</f>
        <v>085346547096</v>
      </c>
      <c r="W751" s="15"/>
    </row>
    <row r="752" ht="22.5" customHeight="1">
      <c r="A752" s="8"/>
      <c r="B752" s="9">
        <f>IFERROR(__xludf.DUMMYFUNCTION("""COMPUTED_VALUE"""),45207.584168761576)</f>
        <v>45207.58417</v>
      </c>
      <c r="C752" s="9"/>
      <c r="D752" s="10">
        <f>IFERROR(__xludf.DUMMYFUNCTION("""COMPUTED_VALUE"""),45207.0)</f>
        <v>45207</v>
      </c>
      <c r="E752" s="10" t="str">
        <f>IFERROR(__xludf.DUMMYFUNCTION("""COMPUTED_VALUE"""),"10Okt")</f>
        <v>10Okt</v>
      </c>
      <c r="F752" s="10" t="str">
        <f>IFERROR(__xludf.DUMMYFUNCTION("""COMPUTED_VALUE"""),"2023")</f>
        <v>2023</v>
      </c>
      <c r="G752" s="16" t="str">
        <f>IFERROR(__xludf.DUMMYFUNCTION("""COMPUTED_VALUE"""),"NABHAN ZAKY SAPUTRA")</f>
        <v>NABHAN ZAKY SAPUTRA</v>
      </c>
      <c r="H752" s="17" t="str">
        <f>IFERROR(__xludf.DUMMYFUNCTION("""COMPUTED_VALUE"""),"N0523108697")</f>
        <v>N0523108697</v>
      </c>
      <c r="I752" s="17">
        <f>IFERROR(__xludf.DUMMYFUNCTION("""COMPUTED_VALUE"""),20.0)</f>
        <v>20</v>
      </c>
      <c r="J752" s="17" t="str">
        <f>IFERROR(__xludf.DUMMYFUNCTION("""COMPUTED_VALUE"""),"18-24 tahun")</f>
        <v>18-24 tahun</v>
      </c>
      <c r="K752" s="19">
        <f>IFERROR(__xludf.DUMMYFUNCTION("""COMPUTED_VALUE"""),38577.0)</f>
        <v>38577</v>
      </c>
      <c r="L752" s="19" t="str">
        <f>IFERROR(__xludf.DUMMYFUNCTION("""COMPUTED_VALUE"""),"LAKI-LAKI")</f>
        <v>LAKI-LAKI</v>
      </c>
      <c r="M752" s="16" t="str">
        <f>IFERROR(__xludf.DUMMYFUNCTION("""COMPUTED_VALUE"""),"Jalan tebu komplek tebu Mandala")</f>
        <v>Jalan tebu komplek tebu Mandala</v>
      </c>
      <c r="N752" s="16"/>
      <c r="O752" s="16"/>
      <c r="P752" s="16"/>
      <c r="Q752" s="16"/>
      <c r="R752" s="19" t="str">
        <f>IFERROR(__xludf.DUMMYFUNCTION("""COMPUTED_VALUE"""),"ISLAM")</f>
        <v>ISLAM</v>
      </c>
      <c r="S752" s="16" t="str">
        <f>IFERROR(__xludf.DUMMYFUNCTION("""COMPUTED_VALUE"""),"PELAJAR/MAHASISWA")</f>
        <v>PELAJAR/MAHASISWA</v>
      </c>
      <c r="T752" s="35" t="str">
        <f>IFERROR(__xludf.DUMMYFUNCTION("""COMPUTED_VALUE"""),"Engsel tangan")</f>
        <v>Engsel tangan</v>
      </c>
      <c r="U752" s="35" t="str">
        <f>IFERROR(__xludf.DUMMYFUNCTION("""COMPUTED_VALUE"""),"Olahraga")</f>
        <v>Olahraga</v>
      </c>
      <c r="V752" s="11" t="str">
        <f>IFERROR(__xludf.DUMMYFUNCTION("""COMPUTED_VALUE"""),"085792538697")</f>
        <v>085792538697</v>
      </c>
      <c r="W752" s="15"/>
    </row>
    <row r="753" ht="22.5" customHeight="1">
      <c r="A753" s="8"/>
      <c r="B753" s="9">
        <f>IFERROR(__xludf.DUMMYFUNCTION("""COMPUTED_VALUE"""),45207.77175325232)</f>
        <v>45207.77175</v>
      </c>
      <c r="C753" s="9"/>
      <c r="D753" s="10">
        <f>IFERROR(__xludf.DUMMYFUNCTION("""COMPUTED_VALUE"""),45208.0)</f>
        <v>45208</v>
      </c>
      <c r="E753" s="10" t="str">
        <f>IFERROR(__xludf.DUMMYFUNCTION("""COMPUTED_VALUE"""),"10Okt")</f>
        <v>10Okt</v>
      </c>
      <c r="F753" s="10" t="str">
        <f>IFERROR(__xludf.DUMMYFUNCTION("""COMPUTED_VALUE"""),"2023")</f>
        <v>2023</v>
      </c>
      <c r="G753" s="16" t="str">
        <f>IFERROR(__xludf.DUMMYFUNCTION("""COMPUTED_VALUE"""),"HI TJIU NGO")</f>
        <v>HI TJIU NGO</v>
      </c>
      <c r="H753" s="17" t="str">
        <f>IFERROR(__xludf.DUMMYFUNCTION("""COMPUTED_VALUE"""),"H5023109150")</f>
        <v>H5023109150</v>
      </c>
      <c r="I753" s="17">
        <f>IFERROR(__xludf.DUMMYFUNCTION("""COMPUTED_VALUE"""),76.0)</f>
        <v>76</v>
      </c>
      <c r="J753" s="17" t="str">
        <f>IFERROR(__xludf.DUMMYFUNCTION("""COMPUTED_VALUE"""),"&gt; 44 tahun")</f>
        <v>&gt; 44 tahun</v>
      </c>
      <c r="K753" s="19">
        <f>IFERROR(__xludf.DUMMYFUNCTION("""COMPUTED_VALUE"""),18434.0)</f>
        <v>18434</v>
      </c>
      <c r="L753" s="19" t="str">
        <f>IFERROR(__xludf.DUMMYFUNCTION("""COMPUTED_VALUE"""),"PEREMPUAN")</f>
        <v>PEREMPUAN</v>
      </c>
      <c r="M753" s="16" t="str">
        <f>IFERROR(__xludf.DUMMYFUNCTION("""COMPUTED_VALUE"""),"JL PASAR IKAN BARU RT 003 RW 005")</f>
        <v>JL PASAR IKAN BARU RT 003 RW 005</v>
      </c>
      <c r="N753" s="16"/>
      <c r="O753" s="16"/>
      <c r="P753" s="16"/>
      <c r="Q753" s="16"/>
      <c r="R753" s="19" t="str">
        <f>IFERROR(__xludf.DUMMYFUNCTION("""COMPUTED_VALUE"""),"BUDDHA")</f>
        <v>BUDDHA</v>
      </c>
      <c r="S753" s="16" t="str">
        <f>IFERROR(__xludf.DUMMYFUNCTION("""COMPUTED_VALUE"""),"RUMAH TANGGA")</f>
        <v>RUMAH TANGGA</v>
      </c>
      <c r="T753" s="16" t="str">
        <f>IFERROR(__xludf.DUMMYFUNCTION("""COMPUTED_VALUE"""),"SAKIT PUNGGUNG")</f>
        <v>SAKIT PUNGGUNG</v>
      </c>
      <c r="U753" s="16" t="str">
        <f>IFERROR(__xludf.DUMMYFUNCTION("""COMPUTED_VALUE"""),"MENGURUS RUMAH")</f>
        <v>MENGURUS RUMAH</v>
      </c>
      <c r="V753" s="11" t="str">
        <f>IFERROR(__xludf.DUMMYFUNCTION("""COMPUTED_VALUE"""),"081255519150")</f>
        <v>081255519150</v>
      </c>
      <c r="W753" s="15"/>
    </row>
    <row r="754" ht="22.5" customHeight="1">
      <c r="A754" s="8"/>
      <c r="B754" s="9">
        <f>IFERROR(__xludf.DUMMYFUNCTION("""COMPUTED_VALUE"""),45208.50378932871)</f>
        <v>45208.50379</v>
      </c>
      <c r="C754" s="9"/>
      <c r="D754" s="10">
        <f>IFERROR(__xludf.DUMMYFUNCTION("""COMPUTED_VALUE"""),45208.0)</f>
        <v>45208</v>
      </c>
      <c r="E754" s="10" t="str">
        <f>IFERROR(__xludf.DUMMYFUNCTION("""COMPUTED_VALUE"""),"10Okt")</f>
        <v>10Okt</v>
      </c>
      <c r="F754" s="10" t="str">
        <f>IFERROR(__xludf.DUMMYFUNCTION("""COMPUTED_VALUE"""),"2023")</f>
        <v>2023</v>
      </c>
      <c r="G754" s="16" t="str">
        <f>IFERROR(__xludf.DUMMYFUNCTION("""COMPUTED_VALUE"""),"RUDI SUGIANTO")</f>
        <v>RUDI SUGIANTO</v>
      </c>
      <c r="H754" s="17" t="str">
        <f>IFERROR(__xludf.DUMMYFUNCTION("""COMPUTED_VALUE"""),"R8823107564")</f>
        <v>R8823107564</v>
      </c>
      <c r="I754" s="17">
        <f>IFERROR(__xludf.DUMMYFUNCTION("""COMPUTED_VALUE"""),38.0)</f>
        <v>38</v>
      </c>
      <c r="J754" s="17" t="str">
        <f>IFERROR(__xludf.DUMMYFUNCTION("""COMPUTED_VALUE"""),"35-44 tahun")</f>
        <v>35-44 tahun</v>
      </c>
      <c r="K754" s="19">
        <f>IFERROR(__xludf.DUMMYFUNCTION("""COMPUTED_VALUE"""),32154.0)</f>
        <v>32154</v>
      </c>
      <c r="L754" s="19" t="str">
        <f>IFERROR(__xludf.DUMMYFUNCTION("""COMPUTED_VALUE"""),"LAKI-LAKI")</f>
        <v>LAKI-LAKI</v>
      </c>
      <c r="M754" s="16" t="str">
        <f>IFERROR(__xludf.DUMMYFUNCTION("""COMPUTED_VALUE"""),"Jl. Sungai raya dalam gg lestari 1 no.5b")</f>
        <v>Jl. Sungai raya dalam gg lestari 1 no.5b</v>
      </c>
      <c r="N754" s="16"/>
      <c r="O754" s="16"/>
      <c r="P754" s="16"/>
      <c r="Q754" s="16"/>
      <c r="R754" s="19" t="str">
        <f>IFERROR(__xludf.DUMMYFUNCTION("""COMPUTED_VALUE"""),"BUDDHA")</f>
        <v>BUDDHA</v>
      </c>
      <c r="S754" s="16" t="str">
        <f>IFERROR(__xludf.DUMMYFUNCTION("""COMPUTED_VALUE"""),"WIRASWASTA")</f>
        <v>WIRASWASTA</v>
      </c>
      <c r="T754" s="16" t="str">
        <f>IFERROR(__xludf.DUMMYFUNCTION("""COMPUTED_VALUE"""),"Sakit saat berlari 1km atau 2km keatas.")</f>
        <v>Sakit saat berlari 1km atau 2km keatas.</v>
      </c>
      <c r="U754" s="16" t="str">
        <f>IFERROR(__xludf.DUMMYFUNCTION("""COMPUTED_VALUE"""),"LARI")</f>
        <v>LARI</v>
      </c>
      <c r="V754" s="11" t="str">
        <f>IFERROR(__xludf.DUMMYFUNCTION("""COMPUTED_VALUE"""),"089509157564")</f>
        <v>089509157564</v>
      </c>
      <c r="W754" s="15"/>
    </row>
    <row r="755" ht="22.5" customHeight="1">
      <c r="A755" s="8"/>
      <c r="B755" s="9">
        <f>IFERROR(__xludf.DUMMYFUNCTION("""COMPUTED_VALUE"""),45208.60044738426)</f>
        <v>45208.60045</v>
      </c>
      <c r="C755" s="9"/>
      <c r="D755" s="10">
        <f>IFERROR(__xludf.DUMMYFUNCTION("""COMPUTED_VALUE"""),45208.0)</f>
        <v>45208</v>
      </c>
      <c r="E755" s="10" t="str">
        <f>IFERROR(__xludf.DUMMYFUNCTION("""COMPUTED_VALUE"""),"10Okt")</f>
        <v>10Okt</v>
      </c>
      <c r="F755" s="10" t="str">
        <f>IFERROR(__xludf.DUMMYFUNCTION("""COMPUTED_VALUE"""),"2023")</f>
        <v>2023</v>
      </c>
      <c r="G755" s="16" t="str">
        <f>IFERROR(__xludf.DUMMYFUNCTION("""COMPUTED_VALUE"""),"DZAKY TSALITA W")</f>
        <v>DZAKY TSALITA W</v>
      </c>
      <c r="H755" s="17" t="str">
        <f>IFERROR(__xludf.DUMMYFUNCTION("""COMPUTED_VALUE"""),"D0923103899")</f>
        <v>D0923103899</v>
      </c>
      <c r="I755" s="17">
        <f>IFERROR(__xludf.DUMMYFUNCTION("""COMPUTED_VALUE"""),16.0)</f>
        <v>16</v>
      </c>
      <c r="J755" s="17" t="str">
        <f>IFERROR(__xludf.DUMMYFUNCTION("""COMPUTED_VALUE"""),"&lt; 18 tahun")</f>
        <v>&lt; 18 tahun</v>
      </c>
      <c r="K755" s="19">
        <f>IFERROR(__xludf.DUMMYFUNCTION("""COMPUTED_VALUE"""),40033.0)</f>
        <v>40033</v>
      </c>
      <c r="L755" s="19" t="str">
        <f>IFERROR(__xludf.DUMMYFUNCTION("""COMPUTED_VALUE"""),"LAKI-LAKI")</f>
        <v>LAKI-LAKI</v>
      </c>
      <c r="M755" s="16" t="str">
        <f>IFERROR(__xludf.DUMMYFUNCTION("""COMPUTED_VALUE"""),"JL.HM SUWIGNYO GG MARGODADIREJO 1")</f>
        <v>JL.HM SUWIGNYO GG MARGODADIREJO 1</v>
      </c>
      <c r="N755" s="16"/>
      <c r="O755" s="16"/>
      <c r="P755" s="16"/>
      <c r="Q755" s="16"/>
      <c r="R755" s="19" t="str">
        <f>IFERROR(__xludf.DUMMYFUNCTION("""COMPUTED_VALUE"""),"ISLAM")</f>
        <v>ISLAM</v>
      </c>
      <c r="S755" s="16" t="str">
        <f>IFERROR(__xludf.DUMMYFUNCTION("""COMPUTED_VALUE"""),"TIDAK ADA")</f>
        <v>TIDAK ADA</v>
      </c>
      <c r="T755" s="35" t="str">
        <f>IFERROR(__xludf.DUMMYFUNCTION("""COMPUTED_VALUE"""),"ANGKLE")</f>
        <v>ANGKLE</v>
      </c>
      <c r="U755" s="35" t="str">
        <f>IFERROR(__xludf.DUMMYFUNCTION("""COMPUTED_VALUE"""),"FUTSAL")</f>
        <v>FUTSAL</v>
      </c>
      <c r="V755" s="11" t="str">
        <f>IFERROR(__xludf.DUMMYFUNCTION("""COMPUTED_VALUE"""),"081522553899")</f>
        <v>081522553899</v>
      </c>
      <c r="W755" s="15"/>
    </row>
    <row r="756" ht="22.5" customHeight="1">
      <c r="A756" s="8"/>
      <c r="B756" s="9">
        <f>IFERROR(__xludf.DUMMYFUNCTION("""COMPUTED_VALUE"""),45208.61313442129)</f>
        <v>45208.61313</v>
      </c>
      <c r="C756" s="9"/>
      <c r="D756" s="10">
        <f>IFERROR(__xludf.DUMMYFUNCTION("""COMPUTED_VALUE"""),45209.0)</f>
        <v>45209</v>
      </c>
      <c r="E756" s="10" t="str">
        <f>IFERROR(__xludf.DUMMYFUNCTION("""COMPUTED_VALUE"""),"10Okt")</f>
        <v>10Okt</v>
      </c>
      <c r="F756" s="10" t="str">
        <f>IFERROR(__xludf.DUMMYFUNCTION("""COMPUTED_VALUE"""),"2023")</f>
        <v>2023</v>
      </c>
      <c r="G756" s="16" t="str">
        <f>IFERROR(__xludf.DUMMYFUNCTION("""COMPUTED_VALUE"""),"DHEA ASTRID NELINDA")</f>
        <v>DHEA ASTRID NELINDA</v>
      </c>
      <c r="H756" s="17" t="str">
        <f>IFERROR(__xludf.DUMMYFUNCTION("""COMPUTED_VALUE"""),"D9023100078")</f>
        <v>D9023100078</v>
      </c>
      <c r="I756" s="17">
        <f>IFERROR(__xludf.DUMMYFUNCTION("""COMPUTED_VALUE"""),35.0)</f>
        <v>35</v>
      </c>
      <c r="J756" s="17" t="str">
        <f>IFERROR(__xludf.DUMMYFUNCTION("""COMPUTED_VALUE"""),"35-44 tahun")</f>
        <v>35-44 tahun</v>
      </c>
      <c r="K756" s="19">
        <f>IFERROR(__xludf.DUMMYFUNCTION("""COMPUTED_VALUE"""),33113.0)</f>
        <v>33113</v>
      </c>
      <c r="L756" s="19" t="str">
        <f>IFERROR(__xludf.DUMMYFUNCTION("""COMPUTED_VALUE"""),"PEREMPUAN")</f>
        <v>PEREMPUAN</v>
      </c>
      <c r="M756" s="16" t="str">
        <f>IFERROR(__xludf.DUMMYFUNCTION("""COMPUTED_VALUE"""),"JALAN DANAU SENTARUM GG. HIDAYATULLAH NO. 19")</f>
        <v>JALAN DANAU SENTARUM GG. HIDAYATULLAH NO. 19</v>
      </c>
      <c r="N756" s="16"/>
      <c r="O756" s="16"/>
      <c r="P756" s="16"/>
      <c r="Q756" s="16"/>
      <c r="R756" s="19" t="str">
        <f>IFERROR(__xludf.DUMMYFUNCTION("""COMPUTED_VALUE"""),"ISLAM")</f>
        <v>ISLAM</v>
      </c>
      <c r="S756" s="16" t="str">
        <f>IFERROR(__xludf.DUMMYFUNCTION("""COMPUTED_VALUE"""),"ASN")</f>
        <v>ASN</v>
      </c>
      <c r="T756" s="16" t="str">
        <f>IFERROR(__xludf.DUMMYFUNCTION("""COMPUTED_VALUE"""),"BELLS PALSY")</f>
        <v>BELLS PALSY</v>
      </c>
      <c r="U756" s="16" t="str">
        <f>IFERROR(__xludf.DUMMYFUNCTION("""COMPUTED_VALUE"""),"KERJA")</f>
        <v>KERJA</v>
      </c>
      <c r="V756" s="11" t="str">
        <f>IFERROR(__xludf.DUMMYFUNCTION("""COMPUTED_VALUE"""),"085245220078")</f>
        <v>085245220078</v>
      </c>
      <c r="W756" s="15"/>
    </row>
    <row r="757" ht="22.5" customHeight="1">
      <c r="A757" s="8"/>
      <c r="B757" s="9">
        <f>IFERROR(__xludf.DUMMYFUNCTION("""COMPUTED_VALUE"""),45208.86165519676)</f>
        <v>45208.86166</v>
      </c>
      <c r="C757" s="9"/>
      <c r="D757" s="10">
        <f>IFERROR(__xludf.DUMMYFUNCTION("""COMPUTED_VALUE"""),45209.0)</f>
        <v>45209</v>
      </c>
      <c r="E757" s="10" t="str">
        <f>IFERROR(__xludf.DUMMYFUNCTION("""COMPUTED_VALUE"""),"10Okt")</f>
        <v>10Okt</v>
      </c>
      <c r="F757" s="10" t="str">
        <f>IFERROR(__xludf.DUMMYFUNCTION("""COMPUTED_VALUE"""),"2023")</f>
        <v>2023</v>
      </c>
      <c r="G757" s="16" t="str">
        <f>IFERROR(__xludf.DUMMYFUNCTION("""COMPUTED_VALUE"""),"NICOLAS VEDRIN")</f>
        <v>NICOLAS VEDRIN</v>
      </c>
      <c r="H757" s="17" t="str">
        <f>IFERROR(__xludf.DUMMYFUNCTION("""COMPUTED_VALUE"""),"N0023108947")</f>
        <v>N0023108947</v>
      </c>
      <c r="I757" s="17">
        <f>IFERROR(__xludf.DUMMYFUNCTION("""COMPUTED_VALUE"""),25.0)</f>
        <v>25</v>
      </c>
      <c r="J757" s="17" t="str">
        <f>IFERROR(__xludf.DUMMYFUNCTION("""COMPUTED_VALUE"""),"25-34 tahun")</f>
        <v>25-34 tahun</v>
      </c>
      <c r="K757" s="19">
        <f>IFERROR(__xludf.DUMMYFUNCTION("""COMPUTED_VALUE"""),36776.0)</f>
        <v>36776</v>
      </c>
      <c r="L757" s="19" t="str">
        <f>IFERROR(__xludf.DUMMYFUNCTION("""COMPUTED_VALUE"""),"LAKI-LAKI")</f>
        <v>LAKI-LAKI</v>
      </c>
      <c r="M757" s="16" t="str">
        <f>IFERROR(__xludf.DUMMYFUNCTION("""COMPUTED_VALUE"""),"Jl. Adisucipto km 7,3 no 10. PT. Tiara Pratama Wisata, Counter JNE Tiara, Kec. Pontianak, KOTA PONTIANAK")</f>
        <v>Jl. Adisucipto km 7,3 no 10. PT. Tiara Pratama Wisata, Counter JNE Tiara, Kec. Pontianak, KOTA PONTIANAK</v>
      </c>
      <c r="N757" s="16"/>
      <c r="O757" s="16"/>
      <c r="P757" s="16"/>
      <c r="Q757" s="16"/>
      <c r="R757" s="19" t="str">
        <f>IFERROR(__xludf.DUMMYFUNCTION("""COMPUTED_VALUE"""),"KATOLIK")</f>
        <v>KATOLIK</v>
      </c>
      <c r="S757" s="16" t="str">
        <f>IFERROR(__xludf.DUMMYFUNCTION("""COMPUTED_VALUE"""),"SWASTA")</f>
        <v>SWASTA</v>
      </c>
      <c r="T757" s="16" t="str">
        <f>IFERROR(__xludf.DUMMYFUNCTION("""COMPUTED_VALUE"""),"Sakit dada dan upper back")</f>
        <v>Sakit dada dan upper back</v>
      </c>
      <c r="U757" s="16" t="str">
        <f>IFERROR(__xludf.DUMMYFUNCTION("""COMPUTED_VALUE"""),"MAKAN, OLAHRAGA")</f>
        <v>MAKAN, OLAHRAGA</v>
      </c>
      <c r="V757" s="11" t="str">
        <f>IFERROR(__xludf.DUMMYFUNCTION("""COMPUTED_VALUE"""),"082148668947")</f>
        <v>082148668947</v>
      </c>
      <c r="W757" s="15"/>
    </row>
    <row r="758" ht="22.5" customHeight="1">
      <c r="A758" s="8"/>
      <c r="B758" s="9">
        <f>IFERROR(__xludf.DUMMYFUNCTION("""COMPUTED_VALUE"""),45209.592351087966)</f>
        <v>45209.59235</v>
      </c>
      <c r="C758" s="9"/>
      <c r="D758" s="10">
        <f>IFERROR(__xludf.DUMMYFUNCTION("""COMPUTED_VALUE"""),45209.0)</f>
        <v>45209</v>
      </c>
      <c r="E758" s="10" t="str">
        <f>IFERROR(__xludf.DUMMYFUNCTION("""COMPUTED_VALUE"""),"10Okt")</f>
        <v>10Okt</v>
      </c>
      <c r="F758" s="10" t="str">
        <f>IFERROR(__xludf.DUMMYFUNCTION("""COMPUTED_VALUE"""),"2023")</f>
        <v>2023</v>
      </c>
      <c r="G758" s="16" t="str">
        <f>IFERROR(__xludf.DUMMYFUNCTION("""COMPUTED_VALUE"""),"VIVI KURNIAWAN")</f>
        <v>VIVI KURNIAWAN</v>
      </c>
      <c r="H758" s="17" t="str">
        <f>IFERROR(__xludf.DUMMYFUNCTION("""COMPUTED_VALUE"""),"V8723106872")</f>
        <v>V8723106872</v>
      </c>
      <c r="I758" s="17">
        <f>IFERROR(__xludf.DUMMYFUNCTION("""COMPUTED_VALUE"""),38.0)</f>
        <v>38</v>
      </c>
      <c r="J758" s="17" t="str">
        <f>IFERROR(__xludf.DUMMYFUNCTION("""COMPUTED_VALUE"""),"35-44 tahun")</f>
        <v>35-44 tahun</v>
      </c>
      <c r="K758" s="19">
        <f>IFERROR(__xludf.DUMMYFUNCTION("""COMPUTED_VALUE"""),32100.0)</f>
        <v>32100</v>
      </c>
      <c r="L758" s="19" t="str">
        <f>IFERROR(__xludf.DUMMYFUNCTION("""COMPUTED_VALUE"""),"PEREMPUAN")</f>
        <v>PEREMPUAN</v>
      </c>
      <c r="M758" s="16" t="str">
        <f>IFERROR(__xludf.DUMMYFUNCTION("""COMPUTED_VALUE"""),"jl patimura 199")</f>
        <v>jl patimura 199</v>
      </c>
      <c r="N758" s="16"/>
      <c r="O758" s="16"/>
      <c r="P758" s="16"/>
      <c r="Q758" s="16"/>
      <c r="R758" s="19" t="str">
        <f>IFERROR(__xludf.DUMMYFUNCTION("""COMPUTED_VALUE"""),"KATOLIK")</f>
        <v>KATOLIK</v>
      </c>
      <c r="S758" s="16" t="str">
        <f>IFERROR(__xludf.DUMMYFUNCTION("""COMPUTED_VALUE"""),"RUMAH TANGGA")</f>
        <v>RUMAH TANGGA</v>
      </c>
      <c r="T758" s="16" t="str">
        <f>IFERROR(__xludf.DUMMYFUNCTION("""COMPUTED_VALUE"""),"KAKI DAN LENGAN SAKIT")</f>
        <v>KAKI DAN LENGAN SAKIT</v>
      </c>
      <c r="U758" s="16" t="str">
        <f>IFERROR(__xludf.DUMMYFUNCTION("""COMPUTED_VALUE"""),"nyetir,masak, baru mulai gym")</f>
        <v>nyetir,masak, baru mulai gym</v>
      </c>
      <c r="V758" s="11" t="str">
        <f>IFERROR(__xludf.DUMMYFUNCTION("""COMPUTED_VALUE"""),"08991396872")</f>
        <v>08991396872</v>
      </c>
      <c r="W758" s="15"/>
    </row>
    <row r="759" ht="22.5" customHeight="1">
      <c r="A759" s="8"/>
      <c r="B759" s="9">
        <f>IFERROR(__xludf.DUMMYFUNCTION("""COMPUTED_VALUE"""),45209.65725804398)</f>
        <v>45209.65726</v>
      </c>
      <c r="C759" s="9"/>
      <c r="D759" s="10">
        <f>IFERROR(__xludf.DUMMYFUNCTION("""COMPUTED_VALUE"""),45209.0)</f>
        <v>45209</v>
      </c>
      <c r="E759" s="10" t="str">
        <f>IFERROR(__xludf.DUMMYFUNCTION("""COMPUTED_VALUE"""),"10Okt")</f>
        <v>10Okt</v>
      </c>
      <c r="F759" s="10" t="str">
        <f>IFERROR(__xludf.DUMMYFUNCTION("""COMPUTED_VALUE"""),"2023")</f>
        <v>2023</v>
      </c>
      <c r="G759" s="16" t="str">
        <f>IFERROR(__xludf.DUMMYFUNCTION("""COMPUTED_VALUE"""),"FIRMAN")</f>
        <v>FIRMAN</v>
      </c>
      <c r="H759" s="17" t="str">
        <f>IFERROR(__xludf.DUMMYFUNCTION("""COMPUTED_VALUE"""),"F8923104122")</f>
        <v>F8923104122</v>
      </c>
      <c r="I759" s="17">
        <f>IFERROR(__xludf.DUMMYFUNCTION("""COMPUTED_VALUE"""),37.0)</f>
        <v>37</v>
      </c>
      <c r="J759" s="17" t="str">
        <f>IFERROR(__xludf.DUMMYFUNCTION("""COMPUTED_VALUE"""),"35-44 tahun")</f>
        <v>35-44 tahun</v>
      </c>
      <c r="K759" s="19">
        <f>IFERROR(__xludf.DUMMYFUNCTION("""COMPUTED_VALUE"""),32591.0)</f>
        <v>32591</v>
      </c>
      <c r="L759" s="19" t="str">
        <f>IFERROR(__xludf.DUMMYFUNCTION("""COMPUTED_VALUE"""),"LAKI-LAKI")</f>
        <v>LAKI-LAKI</v>
      </c>
      <c r="M759" s="16" t="str">
        <f>IFERROR(__xludf.DUMMYFUNCTION("""COMPUTED_VALUE"""),"SINTANG")</f>
        <v>SINTANG</v>
      </c>
      <c r="N759" s="16"/>
      <c r="O759" s="16"/>
      <c r="P759" s="16"/>
      <c r="Q759" s="16"/>
      <c r="R759" s="19" t="str">
        <f>IFERROR(__xludf.DUMMYFUNCTION("""COMPUTED_VALUE"""),"KATOLIK")</f>
        <v>KATOLIK</v>
      </c>
      <c r="S759" s="16" t="str">
        <f>IFERROR(__xludf.DUMMYFUNCTION("""COMPUTED_VALUE"""),"TNI/POLRI")</f>
        <v>TNI/POLRI</v>
      </c>
      <c r="T759" s="16" t="str">
        <f>IFERROR(__xludf.DUMMYFUNCTION("""COMPUTED_VALUE"""),"MINISCUS")</f>
        <v>MINISCUS</v>
      </c>
      <c r="U759" s="36" t="str">
        <f>IFERROR(__xludf.DUMMYFUNCTION("""COMPUTED_VALUE"""),"LARI")</f>
        <v>LARI</v>
      </c>
      <c r="V759" s="11" t="str">
        <f>IFERROR(__xludf.DUMMYFUNCTION("""COMPUTED_VALUE"""),"085252364122")</f>
        <v>085252364122</v>
      </c>
      <c r="W759" s="15"/>
    </row>
    <row r="760" ht="22.5" customHeight="1">
      <c r="A760" s="8"/>
      <c r="B760" s="9">
        <f>IFERROR(__xludf.DUMMYFUNCTION("""COMPUTED_VALUE"""),45209.71626664352)</f>
        <v>45209.71627</v>
      </c>
      <c r="C760" s="9"/>
      <c r="D760" s="10">
        <f>IFERROR(__xludf.DUMMYFUNCTION("""COMPUTED_VALUE"""),45209.0)</f>
        <v>45209</v>
      </c>
      <c r="E760" s="10" t="str">
        <f>IFERROR(__xludf.DUMMYFUNCTION("""COMPUTED_VALUE"""),"10Okt")</f>
        <v>10Okt</v>
      </c>
      <c r="F760" s="10" t="str">
        <f>IFERROR(__xludf.DUMMYFUNCTION("""COMPUTED_VALUE"""),"2023")</f>
        <v>2023</v>
      </c>
      <c r="G760" s="16" t="str">
        <f>IFERROR(__xludf.DUMMYFUNCTION("""COMPUTED_VALUE"""),"AGUS SURYANSYAH")</f>
        <v>AGUS SURYANSYAH</v>
      </c>
      <c r="H760" s="17" t="str">
        <f>IFERROR(__xludf.DUMMYFUNCTION("""COMPUTED_VALUE"""),"A8923100911")</f>
        <v>A8923100911</v>
      </c>
      <c r="I760" s="17">
        <f>IFERROR(__xludf.DUMMYFUNCTION("""COMPUTED_VALUE"""),36.0)</f>
        <v>36</v>
      </c>
      <c r="J760" s="17" t="str">
        <f>IFERROR(__xludf.DUMMYFUNCTION("""COMPUTED_VALUE"""),"35-44 tahun")</f>
        <v>35-44 tahun</v>
      </c>
      <c r="K760" s="19">
        <f>IFERROR(__xludf.DUMMYFUNCTION("""COMPUTED_VALUE"""),32732.0)</f>
        <v>32732</v>
      </c>
      <c r="L760" s="19" t="str">
        <f>IFERROR(__xludf.DUMMYFUNCTION("""COMPUTED_VALUE"""),"LAKI-LAKI")</f>
        <v>LAKI-LAKI</v>
      </c>
      <c r="M760" s="16" t="str">
        <f>IFERROR(__xludf.DUMMYFUNCTION("""COMPUTED_VALUE"""),"JL. PANCASILA V NO. 16 PONTIANAK")</f>
        <v>JL. PANCASILA V NO. 16 PONTIANAK</v>
      </c>
      <c r="N760" s="16"/>
      <c r="O760" s="16"/>
      <c r="P760" s="16"/>
      <c r="Q760" s="16"/>
      <c r="R760" s="19" t="str">
        <f>IFERROR(__xludf.DUMMYFUNCTION("""COMPUTED_VALUE"""),"ISLAM")</f>
        <v>ISLAM</v>
      </c>
      <c r="S760" s="16" t="str">
        <f>IFERROR(__xludf.DUMMYFUNCTION("""COMPUTED_VALUE"""),"TNI/POLRI")</f>
        <v>TNI/POLRI</v>
      </c>
      <c r="T760" s="16" t="str">
        <f>IFERROR(__xludf.DUMMYFUNCTION("""COMPUTED_VALUE"""),"CEDERA")</f>
        <v>CEDERA</v>
      </c>
      <c r="U760" s="36" t="str">
        <f>IFERROR(__xludf.DUMMYFUNCTION("""COMPUTED_VALUE"""),"LARI DAN SEPAK BOLA")</f>
        <v>LARI DAN SEPAK BOLA</v>
      </c>
      <c r="V760" s="11" t="str">
        <f>IFERROR(__xludf.DUMMYFUNCTION("""COMPUTED_VALUE"""),"081352680911")</f>
        <v>081352680911</v>
      </c>
      <c r="W760" s="15"/>
    </row>
    <row r="761" ht="22.5" customHeight="1">
      <c r="A761" s="8"/>
      <c r="B761" s="9">
        <f>IFERROR(__xludf.DUMMYFUNCTION("""COMPUTED_VALUE"""),45209.74357871528)</f>
        <v>45209.74358</v>
      </c>
      <c r="C761" s="9"/>
      <c r="D761" s="10">
        <f>IFERROR(__xludf.DUMMYFUNCTION("""COMPUTED_VALUE"""),45209.65725804398)</f>
        <v>45209.65726</v>
      </c>
      <c r="E761" s="10" t="str">
        <f>IFERROR(__xludf.DUMMYFUNCTION("""COMPUTED_VALUE"""),"10Okt")</f>
        <v>10Okt</v>
      </c>
      <c r="F761" s="10" t="str">
        <f>IFERROR(__xludf.DUMMYFUNCTION("""COMPUTED_VALUE"""),"2023")</f>
        <v>2023</v>
      </c>
      <c r="G761" s="16" t="str">
        <f>IFERROR(__xludf.DUMMYFUNCTION("""COMPUTED_VALUE"""),"ABDUL JABAR")</f>
        <v>ABDUL JABAR</v>
      </c>
      <c r="H761" s="17" t="str">
        <f>IFERROR(__xludf.DUMMYFUNCTION("""COMPUTED_VALUE"""),"A9823106594")</f>
        <v>A9823106594</v>
      </c>
      <c r="I761" s="17">
        <f>IFERROR(__xludf.DUMMYFUNCTION("""COMPUTED_VALUE"""),27.0)</f>
        <v>27</v>
      </c>
      <c r="J761" s="17" t="str">
        <f>IFERROR(__xludf.DUMMYFUNCTION("""COMPUTED_VALUE"""),"25-34 tahun")</f>
        <v>25-34 tahun</v>
      </c>
      <c r="K761" s="19">
        <f>IFERROR(__xludf.DUMMYFUNCTION("""COMPUTED_VALUE"""),36059.0)</f>
        <v>36059</v>
      </c>
      <c r="L761" s="19" t="str">
        <f>IFERROR(__xludf.DUMMYFUNCTION("""COMPUTED_VALUE"""),"LAKI-LAKI")</f>
        <v>LAKI-LAKI</v>
      </c>
      <c r="M761" s="16" t="str">
        <f>IFERROR(__xludf.DUMMYFUNCTION("""COMPUTED_VALUE"""),"Jalan paris 2 komplek griya caraka b3")</f>
        <v>Jalan paris 2 komplek griya caraka b3</v>
      </c>
      <c r="N761" s="16"/>
      <c r="O761" s="16"/>
      <c r="P761" s="16"/>
      <c r="Q761" s="16"/>
      <c r="R761" s="19" t="str">
        <f>IFERROR(__xludf.DUMMYFUNCTION("""COMPUTED_VALUE"""),"ISLAM")</f>
        <v>ISLAM</v>
      </c>
      <c r="S761" s="16" t="str">
        <f>IFERROR(__xludf.DUMMYFUNCTION("""COMPUTED_VALUE"""),"WIRASWASTA")</f>
        <v>WIRASWASTA</v>
      </c>
      <c r="T761" s="16" t="str">
        <f>IFERROR(__xludf.DUMMYFUNCTION("""COMPUTED_VALUE"""),"Engkel bengkak")</f>
        <v>Engkel bengkak</v>
      </c>
      <c r="U761" s="16" t="str">
        <f>IFERROR(__xludf.DUMMYFUNCTION("""COMPUTED_VALUE"""),"Olahraga")</f>
        <v>Olahraga</v>
      </c>
      <c r="V761" s="11" t="str">
        <f>IFERROR(__xludf.DUMMYFUNCTION("""COMPUTED_VALUE"""),"081250876594")</f>
        <v>081250876594</v>
      </c>
      <c r="W761" s="15"/>
    </row>
    <row r="762" ht="22.5" customHeight="1">
      <c r="A762" s="8"/>
      <c r="B762" s="9">
        <f>IFERROR(__xludf.DUMMYFUNCTION("""COMPUTED_VALUE"""),45209.41229140046)</f>
        <v>45209.41229</v>
      </c>
      <c r="C762" s="9"/>
      <c r="D762" s="10">
        <f>IFERROR(__xludf.DUMMYFUNCTION("""COMPUTED_VALUE"""),45210.0)</f>
        <v>45210</v>
      </c>
      <c r="E762" s="10" t="str">
        <f>IFERROR(__xludf.DUMMYFUNCTION("""COMPUTED_VALUE"""),"10Okt")</f>
        <v>10Okt</v>
      </c>
      <c r="F762" s="10" t="str">
        <f>IFERROR(__xludf.DUMMYFUNCTION("""COMPUTED_VALUE"""),"2023")</f>
        <v>2023</v>
      </c>
      <c r="G762" s="16" t="str">
        <f>IFERROR(__xludf.DUMMYFUNCTION("""COMPUTED_VALUE"""),"WINARNI")</f>
        <v>WINARNI</v>
      </c>
      <c r="H762" s="17" t="str">
        <f>IFERROR(__xludf.DUMMYFUNCTION("""COMPUTED_VALUE"""),"W8023106140")</f>
        <v>W8023106140</v>
      </c>
      <c r="I762" s="17">
        <f>IFERROR(__xludf.DUMMYFUNCTION("""COMPUTED_VALUE"""),45.0)</f>
        <v>45</v>
      </c>
      <c r="J762" s="17" t="str">
        <f>IFERROR(__xludf.DUMMYFUNCTION("""COMPUTED_VALUE"""),"&gt; 44 tahun")</f>
        <v>&gt; 44 tahun</v>
      </c>
      <c r="K762" s="19">
        <f>IFERROR(__xludf.DUMMYFUNCTION("""COMPUTED_VALUE"""),29410.0)</f>
        <v>29410</v>
      </c>
      <c r="L762" s="19" t="str">
        <f>IFERROR(__xludf.DUMMYFUNCTION("""COMPUTED_VALUE"""),"PEREMPUAN")</f>
        <v>PEREMPUAN</v>
      </c>
      <c r="M762" s="16" t="str">
        <f>IFERROR(__xludf.DUMMYFUNCTION("""COMPUTED_VALUE"""),"Jl. Putri daranante gg. Andayani 1 no.48")</f>
        <v>Jl. Putri daranante gg. Andayani 1 no.48</v>
      </c>
      <c r="N762" s="16"/>
      <c r="O762" s="16"/>
      <c r="P762" s="16"/>
      <c r="Q762" s="16"/>
      <c r="R762" s="19" t="str">
        <f>IFERROR(__xludf.DUMMYFUNCTION("""COMPUTED_VALUE"""),"ISLAM")</f>
        <v>ISLAM</v>
      </c>
      <c r="S762" s="16" t="str">
        <f>IFERROR(__xludf.DUMMYFUNCTION("""COMPUTED_VALUE"""),"RUMAH TANGGA")</f>
        <v>RUMAH TANGGA</v>
      </c>
      <c r="T762" s="16" t="str">
        <f>IFERROR(__xludf.DUMMYFUNCTION("""COMPUTED_VALUE"""),"sakit")</f>
        <v>sakit</v>
      </c>
      <c r="U762" s="16" t="str">
        <f>IFERROR(__xludf.DUMMYFUNCTION("""COMPUTED_VALUE"""),"Memasak")</f>
        <v>Memasak</v>
      </c>
      <c r="V762" s="11" t="str">
        <f>IFERROR(__xludf.DUMMYFUNCTION("""COMPUTED_VALUE"""),"08980806140")</f>
        <v>08980806140</v>
      </c>
      <c r="W762" s="15"/>
    </row>
    <row r="763" ht="22.5" customHeight="1">
      <c r="A763" s="8"/>
      <c r="B763" s="9">
        <f>IFERROR(__xludf.DUMMYFUNCTION("""COMPUTED_VALUE"""),45209.88270004629)</f>
        <v>45209.8827</v>
      </c>
      <c r="C763" s="9"/>
      <c r="D763" s="10">
        <f>IFERROR(__xludf.DUMMYFUNCTION("""COMPUTED_VALUE"""),45210.0)</f>
        <v>45210</v>
      </c>
      <c r="E763" s="10" t="str">
        <f>IFERROR(__xludf.DUMMYFUNCTION("""COMPUTED_VALUE"""),"10Okt")</f>
        <v>10Okt</v>
      </c>
      <c r="F763" s="10" t="str">
        <f>IFERROR(__xludf.DUMMYFUNCTION("""COMPUTED_VALUE"""),"2023")</f>
        <v>2023</v>
      </c>
      <c r="G763" s="16" t="str">
        <f>IFERROR(__xludf.DUMMYFUNCTION("""COMPUTED_VALUE"""),"YUSRON")</f>
        <v>YUSRON</v>
      </c>
      <c r="H763" s="17" t="str">
        <f>IFERROR(__xludf.DUMMYFUNCTION("""COMPUTED_VALUE"""),"Y9523102193")</f>
        <v>Y9523102193</v>
      </c>
      <c r="I763" s="17">
        <f>IFERROR(__xludf.DUMMYFUNCTION("""COMPUTED_VALUE"""),31.0)</f>
        <v>31</v>
      </c>
      <c r="J763" s="17" t="str">
        <f>IFERROR(__xludf.DUMMYFUNCTION("""COMPUTED_VALUE"""),"25-34 tahun")</f>
        <v>25-34 tahun</v>
      </c>
      <c r="K763" s="19">
        <f>IFERROR(__xludf.DUMMYFUNCTION("""COMPUTED_VALUE"""),34839.0)</f>
        <v>34839</v>
      </c>
      <c r="L763" s="19" t="str">
        <f>IFERROR(__xludf.DUMMYFUNCTION("""COMPUTED_VALUE"""),"LAKI-LAKI")</f>
        <v>LAKI-LAKI</v>
      </c>
      <c r="M763" s="16" t="str">
        <f>IFERROR(__xludf.DUMMYFUNCTION("""COMPUTED_VALUE"""),"Jln sungai pandan.gang amanah")</f>
        <v>Jln sungai pandan.gang amanah</v>
      </c>
      <c r="N763" s="16"/>
      <c r="O763" s="16"/>
      <c r="P763" s="16"/>
      <c r="Q763" s="16"/>
      <c r="R763" s="19" t="str">
        <f>IFERROR(__xludf.DUMMYFUNCTION("""COMPUTED_VALUE"""),"ISLAM")</f>
        <v>ISLAM</v>
      </c>
      <c r="S763" s="16" t="str">
        <f>IFERROR(__xludf.DUMMYFUNCTION("""COMPUTED_VALUE"""),"BURUH")</f>
        <v>BURUH</v>
      </c>
      <c r="T763" s="16" t="str">
        <f>IFERROR(__xludf.DUMMYFUNCTION("""COMPUTED_VALUE"""),"Cedera")</f>
        <v>Cedera</v>
      </c>
      <c r="U763" s="16" t="str">
        <f>IFERROR(__xludf.DUMMYFUNCTION("""COMPUTED_VALUE"""),"Futsal /")</f>
        <v>Futsal /</v>
      </c>
      <c r="V763" s="11" t="str">
        <f>IFERROR(__xludf.DUMMYFUNCTION("""COMPUTED_VALUE"""),"089693952193")</f>
        <v>089693952193</v>
      </c>
      <c r="W763" s="15"/>
    </row>
    <row r="764" ht="22.5" customHeight="1">
      <c r="A764" s="8"/>
      <c r="B764" s="9">
        <f>IFERROR(__xludf.DUMMYFUNCTION("""COMPUTED_VALUE"""),45211.61306158565)</f>
        <v>45211.61306</v>
      </c>
      <c r="C764" s="9"/>
      <c r="D764" s="10">
        <f>IFERROR(__xludf.DUMMYFUNCTION("""COMPUTED_VALUE"""),45210.0)</f>
        <v>45210</v>
      </c>
      <c r="E764" s="10" t="str">
        <f>IFERROR(__xludf.DUMMYFUNCTION("""COMPUTED_VALUE"""),"10Okt")</f>
        <v>10Okt</v>
      </c>
      <c r="F764" s="10" t="str">
        <f>IFERROR(__xludf.DUMMYFUNCTION("""COMPUTED_VALUE"""),"2023")</f>
        <v>2023</v>
      </c>
      <c r="G764" s="16" t="str">
        <f>IFERROR(__xludf.DUMMYFUNCTION("""COMPUTED_VALUE"""),"SY. MUHAMMAD AL JUFRI")</f>
        <v>SY. MUHAMMAD AL JUFRI</v>
      </c>
      <c r="H764" s="17" t="str">
        <f>IFERROR(__xludf.DUMMYFUNCTION("""COMPUTED_VALUE"""),"S7723103269")</f>
        <v>S7723103269</v>
      </c>
      <c r="I764" s="17">
        <f>IFERROR(__xludf.DUMMYFUNCTION("""COMPUTED_VALUE"""),48.0)</f>
        <v>48</v>
      </c>
      <c r="J764" s="17" t="str">
        <f>IFERROR(__xludf.DUMMYFUNCTION("""COMPUTED_VALUE"""),"&gt; 44 tahun")</f>
        <v>&gt; 44 tahun</v>
      </c>
      <c r="K764" s="19">
        <f>IFERROR(__xludf.DUMMYFUNCTION("""COMPUTED_VALUE"""),28431.0)</f>
        <v>28431</v>
      </c>
      <c r="L764" s="19" t="str">
        <f>IFERROR(__xludf.DUMMYFUNCTION("""COMPUTED_VALUE"""),"LAKI-LAKI")</f>
        <v>LAKI-LAKI</v>
      </c>
      <c r="M764" s="16" t="str">
        <f>IFERROR(__xludf.DUMMYFUNCTION("""COMPUTED_VALUE"""),"DUSUN KERAMAT DESA KUALA 2 SUNGAI RAYA")</f>
        <v>DUSUN KERAMAT DESA KUALA 2 SUNGAI RAYA</v>
      </c>
      <c r="N764" s="16"/>
      <c r="O764" s="16"/>
      <c r="P764" s="16"/>
      <c r="Q764" s="16"/>
      <c r="R764" s="19" t="str">
        <f>IFERROR(__xludf.DUMMYFUNCTION("""COMPUTED_VALUE"""),"ISLAM")</f>
        <v>ISLAM</v>
      </c>
      <c r="S764" s="16" t="str">
        <f>IFERROR(__xludf.DUMMYFUNCTION("""COMPUTED_VALUE"""),"WIRASWASTA")</f>
        <v>WIRASWASTA</v>
      </c>
      <c r="T764" s="16" t="str">
        <f>IFERROR(__xludf.DUMMYFUNCTION("""COMPUTED_VALUE"""),"STROKE")</f>
        <v>STROKE</v>
      </c>
      <c r="U764" s="16" t="str">
        <f>IFERROR(__xludf.DUMMYFUNCTION("""COMPUTED_VALUE"""),"-")</f>
        <v>-</v>
      </c>
      <c r="V764" s="11" t="str">
        <f>IFERROR(__xludf.DUMMYFUNCTION("""COMPUTED_VALUE"""),"0816223269")</f>
        <v>0816223269</v>
      </c>
      <c r="W764" s="15"/>
    </row>
    <row r="765" ht="22.5" customHeight="1">
      <c r="A765" s="8"/>
      <c r="B765" s="9">
        <f>IFERROR(__xludf.DUMMYFUNCTION("""COMPUTED_VALUE"""),45210.8830684375)</f>
        <v>45210.88307</v>
      </c>
      <c r="C765" s="9"/>
      <c r="D765" s="34">
        <f>IFERROR(__xludf.DUMMYFUNCTION("""COMPUTED_VALUE"""),45211.0)</f>
        <v>45211</v>
      </c>
      <c r="E765" s="34" t="str">
        <f>IFERROR(__xludf.DUMMYFUNCTION("""COMPUTED_VALUE"""),"10Okt")</f>
        <v>10Okt</v>
      </c>
      <c r="F765" s="34" t="str">
        <f>IFERROR(__xludf.DUMMYFUNCTION("""COMPUTED_VALUE"""),"2023")</f>
        <v>2023</v>
      </c>
      <c r="G765" s="35" t="str">
        <f>IFERROR(__xludf.DUMMYFUNCTION("""COMPUTED_VALUE"""),"AHMAD KURNIADI")</f>
        <v>AHMAD KURNIADI</v>
      </c>
      <c r="H765" s="17" t="str">
        <f>IFERROR(__xludf.DUMMYFUNCTION("""COMPUTED_VALUE"""),"A9823107627")</f>
        <v>A9823107627</v>
      </c>
      <c r="I765" s="17">
        <f>IFERROR(__xludf.DUMMYFUNCTION("""COMPUTED_VALUE"""),28.0)</f>
        <v>28</v>
      </c>
      <c r="J765" s="17" t="str">
        <f>IFERROR(__xludf.DUMMYFUNCTION("""COMPUTED_VALUE"""),"25-34 tahun")</f>
        <v>25-34 tahun</v>
      </c>
      <c r="K765" s="19">
        <f>IFERROR(__xludf.DUMMYFUNCTION("""COMPUTED_VALUE"""),35937.0)</f>
        <v>35937</v>
      </c>
      <c r="L765" s="19" t="str">
        <f>IFERROR(__xludf.DUMMYFUNCTION("""COMPUTED_VALUE"""),"LAKI-LAKI")</f>
        <v>LAKI-LAKI</v>
      </c>
      <c r="M765" s="35" t="str">
        <f>IFERROR(__xludf.DUMMYFUNCTION("""COMPUTED_VALUE"""),"JL. ADISUCIPTO GG. CEMPAKA PUTIH DALAM")</f>
        <v>JL. ADISUCIPTO GG. CEMPAKA PUTIH DALAM</v>
      </c>
      <c r="N765" s="35"/>
      <c r="O765" s="35"/>
      <c r="P765" s="35"/>
      <c r="Q765" s="16"/>
      <c r="R765" s="19" t="str">
        <f>IFERROR(__xludf.DUMMYFUNCTION("""COMPUTED_VALUE"""),"ISLAM")</f>
        <v>ISLAM</v>
      </c>
      <c r="S765" s="16" t="str">
        <f>IFERROR(__xludf.DUMMYFUNCTION("""COMPUTED_VALUE"""),"PELAJAR/MAHASISWA")</f>
        <v>PELAJAR/MAHASISWA</v>
      </c>
      <c r="T765" s="16" t="str">
        <f>IFERROR(__xludf.DUMMYFUNCTION("""COMPUTED_VALUE"""),"Keluhan nyeri di")</f>
        <v>Keluhan nyeri di</v>
      </c>
      <c r="U765" s="16" t="str">
        <f>IFERROR(__xludf.DUMMYFUNCTION("""COMPUTED_VALUE"""),"Olahraga Badminton &amp; Jogging")</f>
        <v>Olahraga Badminton &amp; Jogging</v>
      </c>
      <c r="V765" s="11" t="str">
        <f>IFERROR(__xludf.DUMMYFUNCTION("""COMPUTED_VALUE"""),"085845147627")</f>
        <v>085845147627</v>
      </c>
      <c r="W765" s="15"/>
    </row>
    <row r="766" ht="22.5" customHeight="1">
      <c r="A766" s="8"/>
      <c r="B766" s="9">
        <f>IFERROR(__xludf.DUMMYFUNCTION("""COMPUTED_VALUE"""),45212.45013498842)</f>
        <v>45212.45013</v>
      </c>
      <c r="C766" s="9"/>
      <c r="D766" s="10">
        <f>IFERROR(__xludf.DUMMYFUNCTION("""COMPUTED_VALUE"""),45211.0)</f>
        <v>45211</v>
      </c>
      <c r="E766" s="10" t="str">
        <f>IFERROR(__xludf.DUMMYFUNCTION("""COMPUTED_VALUE"""),"10Okt")</f>
        <v>10Okt</v>
      </c>
      <c r="F766" s="10" t="str">
        <f>IFERROR(__xludf.DUMMYFUNCTION("""COMPUTED_VALUE"""),"2023")</f>
        <v>2023</v>
      </c>
      <c r="G766" s="16" t="str">
        <f>IFERROR(__xludf.DUMMYFUNCTION("""COMPUTED_VALUE"""),"DODY IRAWAN")</f>
        <v>DODY IRAWAN</v>
      </c>
      <c r="H766" s="17" t="str">
        <f>IFERROR(__xludf.DUMMYFUNCTION("""COMPUTED_VALUE"""),"D8823105555")</f>
        <v>D8823105555</v>
      </c>
      <c r="I766" s="17">
        <f>IFERROR(__xludf.DUMMYFUNCTION("""COMPUTED_VALUE"""),38.0)</f>
        <v>38</v>
      </c>
      <c r="J766" s="17" t="str">
        <f>IFERROR(__xludf.DUMMYFUNCTION("""COMPUTED_VALUE"""),"35-44 tahun")</f>
        <v>35-44 tahun</v>
      </c>
      <c r="K766" s="19">
        <f>IFERROR(__xludf.DUMMYFUNCTION("""COMPUTED_VALUE"""),32302.0)</f>
        <v>32302</v>
      </c>
      <c r="L766" s="19" t="str">
        <f>IFERROR(__xludf.DUMMYFUNCTION("""COMPUTED_VALUE"""),"LAKI-LAKI")</f>
        <v>LAKI-LAKI</v>
      </c>
      <c r="M766" s="16" t="str">
        <f>IFERROR(__xludf.DUMMYFUNCTION("""COMPUTED_VALUE"""),"Jl wonobaru gg melda no 4a")</f>
        <v>Jl wonobaru gg melda no 4a</v>
      </c>
      <c r="N766" s="16"/>
      <c r="O766" s="16"/>
      <c r="P766" s="16"/>
      <c r="Q766" s="16"/>
      <c r="R766" s="19" t="str">
        <f>IFERROR(__xludf.DUMMYFUNCTION("""COMPUTED_VALUE"""),"ISLAM")</f>
        <v>ISLAM</v>
      </c>
      <c r="S766" s="16" t="str">
        <f>IFERROR(__xludf.DUMMYFUNCTION("""COMPUTED_VALUE"""),"TENAGA HONOR")</f>
        <v>TENAGA HONOR</v>
      </c>
      <c r="T766" s="16" t="str">
        <f>IFERROR(__xludf.DUMMYFUNCTION("""COMPUTED_VALUE"""),"Ngilu pada betis dan pada tulang ekor")</f>
        <v>Ngilu pada betis dan pada tulang ekor</v>
      </c>
      <c r="U766" s="36" t="str">
        <f>IFERROR(__xludf.DUMMYFUNCTION("""COMPUTED_VALUE"""),"Sepakbola ,")</f>
        <v>Sepakbola ,</v>
      </c>
      <c r="V766" s="11" t="str">
        <f>IFERROR(__xludf.DUMMYFUNCTION("""COMPUTED_VALUE"""),"08115745555")</f>
        <v>08115745555</v>
      </c>
      <c r="W766" s="15"/>
    </row>
    <row r="767" ht="22.5" customHeight="1">
      <c r="A767" s="8"/>
      <c r="B767" s="9">
        <f>IFERROR(__xludf.DUMMYFUNCTION("""COMPUTED_VALUE"""),45212.51563491898)</f>
        <v>45212.51563</v>
      </c>
      <c r="C767" s="9"/>
      <c r="D767" s="10">
        <f>IFERROR(__xludf.DUMMYFUNCTION("""COMPUTED_VALUE"""),45211.0)</f>
        <v>45211</v>
      </c>
      <c r="E767" s="10" t="str">
        <f>IFERROR(__xludf.DUMMYFUNCTION("""COMPUTED_VALUE"""),"10Okt")</f>
        <v>10Okt</v>
      </c>
      <c r="F767" s="10" t="str">
        <f>IFERROR(__xludf.DUMMYFUNCTION("""COMPUTED_VALUE"""),"2023")</f>
        <v>2023</v>
      </c>
      <c r="G767" s="16" t="str">
        <f>IFERROR(__xludf.DUMMYFUNCTION("""COMPUTED_VALUE"""),"MELLY")</f>
        <v>MELLY</v>
      </c>
      <c r="H767" s="17" t="str">
        <f>IFERROR(__xludf.DUMMYFUNCTION("""COMPUTED_VALUE"""),"M5523109112")</f>
        <v>M5523109112</v>
      </c>
      <c r="I767" s="17">
        <f>IFERROR(__xludf.DUMMYFUNCTION("""COMPUTED_VALUE"""),71.0)</f>
        <v>71</v>
      </c>
      <c r="J767" s="17" t="str">
        <f>IFERROR(__xludf.DUMMYFUNCTION("""COMPUTED_VALUE"""),"&gt; 44 tahun")</f>
        <v>&gt; 44 tahun</v>
      </c>
      <c r="K767" s="19">
        <f>IFERROR(__xludf.DUMMYFUNCTION("""COMPUTED_VALUE"""),20193.0)</f>
        <v>20193</v>
      </c>
      <c r="L767" s="19" t="str">
        <f>IFERROR(__xludf.DUMMYFUNCTION("""COMPUTED_VALUE"""),"PEREMPUAN")</f>
        <v>PEREMPUAN</v>
      </c>
      <c r="M767" s="16" t="str">
        <f>IFERROR(__xludf.DUMMYFUNCTION("""COMPUTED_VALUE"""),"GG. BUDI YUSMANA KOTA BARU")</f>
        <v>GG. BUDI YUSMANA KOTA BARU</v>
      </c>
      <c r="N767" s="16"/>
      <c r="O767" s="16"/>
      <c r="P767" s="16"/>
      <c r="Q767" s="16"/>
      <c r="R767" s="19" t="str">
        <f>IFERROR(__xludf.DUMMYFUNCTION("""COMPUTED_VALUE"""),"BUDDHA")</f>
        <v>BUDDHA</v>
      </c>
      <c r="S767" s="16" t="str">
        <f>IFERROR(__xludf.DUMMYFUNCTION("""COMPUTED_VALUE"""),"RUMAH TANGGA")</f>
        <v>RUMAH TANGGA</v>
      </c>
      <c r="T767" s="16" t="str">
        <f>IFERROR(__xludf.DUMMYFUNCTION("""COMPUTED_VALUE"""),"KAKI DAN TANGAN")</f>
        <v>KAKI DAN TANGAN</v>
      </c>
      <c r="U767" s="16" t="str">
        <f>IFERROR(__xludf.DUMMYFUNCTION("""COMPUTED_VALUE"""),"PEKERJAAN RUMAH")</f>
        <v>PEKERJAAN RUMAH</v>
      </c>
      <c r="V767" s="11" t="str">
        <f>IFERROR(__xludf.DUMMYFUNCTION("""COMPUTED_VALUE"""),"081254779112")</f>
        <v>081254779112</v>
      </c>
      <c r="W767" s="15"/>
    </row>
    <row r="768" ht="22.5" customHeight="1">
      <c r="A768" s="8"/>
      <c r="B768" s="9">
        <f>IFERROR(__xludf.DUMMYFUNCTION("""COMPUTED_VALUE"""),45212.7038394213)</f>
        <v>45212.70384</v>
      </c>
      <c r="C768" s="9"/>
      <c r="D768" s="10">
        <f>IFERROR(__xludf.DUMMYFUNCTION("""COMPUTED_VALUE"""),45212.0)</f>
        <v>45212</v>
      </c>
      <c r="E768" s="10" t="str">
        <f>IFERROR(__xludf.DUMMYFUNCTION("""COMPUTED_VALUE"""),"10Okt")</f>
        <v>10Okt</v>
      </c>
      <c r="F768" s="10" t="str">
        <f>IFERROR(__xludf.DUMMYFUNCTION("""COMPUTED_VALUE"""),"2023")</f>
        <v>2023</v>
      </c>
      <c r="G768" s="16" t="str">
        <f>IFERROR(__xludf.DUMMYFUNCTION("""COMPUTED_VALUE"""),"FILDZAH THARIFAH RAHMAH")</f>
        <v>FILDZAH THARIFAH RAHMAH</v>
      </c>
      <c r="H768" s="17" t="str">
        <f>IFERROR(__xludf.DUMMYFUNCTION("""COMPUTED_VALUE"""),"F0323101999")</f>
        <v>F0323101999</v>
      </c>
      <c r="I768" s="17">
        <f>IFERROR(__xludf.DUMMYFUNCTION("""COMPUTED_VALUE"""),23.0)</f>
        <v>23</v>
      </c>
      <c r="J768" s="17" t="str">
        <f>IFERROR(__xludf.DUMMYFUNCTION("""COMPUTED_VALUE"""),"18-24 tahun")</f>
        <v>18-24 tahun</v>
      </c>
      <c r="K768" s="19">
        <f>IFERROR(__xludf.DUMMYFUNCTION("""COMPUTED_VALUE"""),37785.0)</f>
        <v>37785</v>
      </c>
      <c r="L768" s="19" t="str">
        <f>IFERROR(__xludf.DUMMYFUNCTION("""COMPUTED_VALUE"""),"PEREMPUAN")</f>
        <v>PEREMPUAN</v>
      </c>
      <c r="M768" s="16" t="str">
        <f>IFERROR(__xludf.DUMMYFUNCTION("""COMPUTED_VALUE"""),"Jl. Husein Hamzah Komp. Pilar Emas 1 No a18")</f>
        <v>Jl. Husein Hamzah Komp. Pilar Emas 1 No a18</v>
      </c>
      <c r="N768" s="16"/>
      <c r="O768" s="16"/>
      <c r="P768" s="16"/>
      <c r="Q768" s="16"/>
      <c r="R768" s="19" t="str">
        <f>IFERROR(__xludf.DUMMYFUNCTION("""COMPUTED_VALUE"""),"ISLAM")</f>
        <v>ISLAM</v>
      </c>
      <c r="S768" s="16" t="str">
        <f>IFERROR(__xludf.DUMMYFUNCTION("""COMPUTED_VALUE"""),"PELAJAR/MAHASISWA")</f>
        <v>PELAJAR/MAHASISWA</v>
      </c>
      <c r="T768" s="35" t="str">
        <f>IFERROR(__xludf.DUMMYFUNCTION("""COMPUTED_VALUE"""),"SAKIT PINGGANG (TIDAK BISA RUKUK, NUNDUK DLL)")</f>
        <v>SAKIT PINGGANG (TIDAK BISA RUKUK, NUNDUK DLL)</v>
      </c>
      <c r="U768" s="16" t="str">
        <f>IFERROR(__xludf.DUMMYFUNCTION("""COMPUTED_VALUE"""),"NARI DAN AKTIVITAS KE KAMPUS SEPERTI BIASA AJA")</f>
        <v>NARI DAN AKTIVITAS KE KAMPUS SEPERTI BIASA AJA</v>
      </c>
      <c r="V768" s="11" t="str">
        <f>IFERROR(__xludf.DUMMYFUNCTION("""COMPUTED_VALUE"""),"089692131999")</f>
        <v>089692131999</v>
      </c>
      <c r="W768" s="15"/>
    </row>
    <row r="769" ht="22.5" customHeight="1">
      <c r="A769" s="8"/>
      <c r="B769" s="9">
        <f>IFERROR(__xludf.DUMMYFUNCTION("""COMPUTED_VALUE"""),45212.711448877315)</f>
        <v>45212.71145</v>
      </c>
      <c r="C769" s="9"/>
      <c r="D769" s="10">
        <f>IFERROR(__xludf.DUMMYFUNCTION("""COMPUTED_VALUE"""),45212.0)</f>
        <v>45212</v>
      </c>
      <c r="E769" s="10" t="str">
        <f>IFERROR(__xludf.DUMMYFUNCTION("""COMPUTED_VALUE"""),"10Okt")</f>
        <v>10Okt</v>
      </c>
      <c r="F769" s="10" t="str">
        <f>IFERROR(__xludf.DUMMYFUNCTION("""COMPUTED_VALUE"""),"2023")</f>
        <v>2023</v>
      </c>
      <c r="G769" s="16" t="str">
        <f>IFERROR(__xludf.DUMMYFUNCTION("""COMPUTED_VALUE"""),"YESSICA OLIVIA")</f>
        <v>YESSICA OLIVIA</v>
      </c>
      <c r="H769" s="17" t="str">
        <f>IFERROR(__xludf.DUMMYFUNCTION("""COMPUTED_VALUE"""),"Y9623105882")</f>
        <v>Y9623105882</v>
      </c>
      <c r="I769" s="17">
        <f>IFERROR(__xludf.DUMMYFUNCTION("""COMPUTED_VALUE"""),29.0)</f>
        <v>29</v>
      </c>
      <c r="J769" s="17" t="str">
        <f>IFERROR(__xludf.DUMMYFUNCTION("""COMPUTED_VALUE"""),"25-34 tahun")</f>
        <v>25-34 tahun</v>
      </c>
      <c r="K769" s="19">
        <f>IFERROR(__xludf.DUMMYFUNCTION("""COMPUTED_VALUE"""),35326.0)</f>
        <v>35326</v>
      </c>
      <c r="L769" s="19" t="str">
        <f>IFERROR(__xludf.DUMMYFUNCTION("""COMPUTED_VALUE"""),"PEREMPUAN")</f>
        <v>PEREMPUAN</v>
      </c>
      <c r="M769" s="16" t="str">
        <f>IFERROR(__xludf.DUMMYFUNCTION("""COMPUTED_VALUE"""),"Gg. Kutilang Dalam No. 61")</f>
        <v>Gg. Kutilang Dalam No. 61</v>
      </c>
      <c r="N769" s="16"/>
      <c r="O769" s="16"/>
      <c r="P769" s="16"/>
      <c r="Q769" s="16"/>
      <c r="R769" s="19" t="str">
        <f>IFERROR(__xludf.DUMMYFUNCTION("""COMPUTED_VALUE"""),"KATOLIK")</f>
        <v>KATOLIK</v>
      </c>
      <c r="S769" s="16" t="str">
        <f>IFERROR(__xludf.DUMMYFUNCTION("""COMPUTED_VALUE"""),"WIRASWASTA")</f>
        <v>WIRASWASTA</v>
      </c>
      <c r="T769" s="35" t="str">
        <f>IFERROR(__xludf.DUMMYFUNCTION("""COMPUTED_VALUE"""),"ANKLE KESELEO")</f>
        <v>ANKLE KESELEO</v>
      </c>
      <c r="U769" s="16" t="str">
        <f>IFERROR(__xludf.DUMMYFUNCTION("""COMPUTED_VALUE"""),"BADMINTON/BAKING KUE")</f>
        <v>BADMINTON/BAKING KUE</v>
      </c>
      <c r="V769" s="11" t="str">
        <f>IFERROR(__xludf.DUMMYFUNCTION("""COMPUTED_VALUE"""),"08111375882")</f>
        <v>08111375882</v>
      </c>
      <c r="W769" s="15"/>
    </row>
    <row r="770" ht="22.5" customHeight="1">
      <c r="A770" s="8"/>
      <c r="B770" s="9">
        <f>IFERROR(__xludf.DUMMYFUNCTION("""COMPUTED_VALUE"""),45212.73286379629)</f>
        <v>45212.73286</v>
      </c>
      <c r="C770" s="9"/>
      <c r="D770" s="10">
        <f>IFERROR(__xludf.DUMMYFUNCTION("""COMPUTED_VALUE"""),45212.0)</f>
        <v>45212</v>
      </c>
      <c r="E770" s="10" t="str">
        <f>IFERROR(__xludf.DUMMYFUNCTION("""COMPUTED_VALUE"""),"10Okt")</f>
        <v>10Okt</v>
      </c>
      <c r="F770" s="10" t="str">
        <f>IFERROR(__xludf.DUMMYFUNCTION("""COMPUTED_VALUE"""),"2023")</f>
        <v>2023</v>
      </c>
      <c r="G770" s="16" t="str">
        <f>IFERROR(__xludf.DUMMYFUNCTION("""COMPUTED_VALUE"""),"KAMISAH")</f>
        <v>KAMISAH</v>
      </c>
      <c r="H770" s="17" t="str">
        <f>IFERROR(__xludf.DUMMYFUNCTION("""COMPUTED_VALUE"""),"K7823109983")</f>
        <v>K7823109983</v>
      </c>
      <c r="I770" s="17">
        <f>IFERROR(__xludf.DUMMYFUNCTION("""COMPUTED_VALUE"""),47.0)</f>
        <v>47</v>
      </c>
      <c r="J770" s="17" t="str">
        <f>IFERROR(__xludf.DUMMYFUNCTION("""COMPUTED_VALUE"""),"&gt; 44 tahun")</f>
        <v>&gt; 44 tahun</v>
      </c>
      <c r="K770" s="19">
        <f>IFERROR(__xludf.DUMMYFUNCTION("""COMPUTED_VALUE"""),28768.0)</f>
        <v>28768</v>
      </c>
      <c r="L770" s="19" t="str">
        <f>IFERROR(__xludf.DUMMYFUNCTION("""COMPUTED_VALUE"""),"PEREMPUAN")</f>
        <v>PEREMPUAN</v>
      </c>
      <c r="M770" s="16" t="str">
        <f>IFERROR(__xludf.DUMMYFUNCTION("""COMPUTED_VALUE"""),"JL. HUSEIN HAMZAH GG. HM. HUSEIN NO. 46")</f>
        <v>JL. HUSEIN HAMZAH GG. HM. HUSEIN NO. 46</v>
      </c>
      <c r="N770" s="16"/>
      <c r="O770" s="16"/>
      <c r="P770" s="16"/>
      <c r="Q770" s="16"/>
      <c r="R770" s="19" t="str">
        <f>IFERROR(__xludf.DUMMYFUNCTION("""COMPUTED_VALUE"""),"ISLAM")</f>
        <v>ISLAM</v>
      </c>
      <c r="S770" s="16" t="str">
        <f>IFERROR(__xludf.DUMMYFUNCTION("""COMPUTED_VALUE"""),"SWASTA")</f>
        <v>SWASTA</v>
      </c>
      <c r="T770" s="16" t="str">
        <f>IFERROR(__xludf.DUMMYFUNCTION("""COMPUTED_VALUE"""),"BAHU KANAN, LEHER")</f>
        <v>BAHU KANAN, LEHER</v>
      </c>
      <c r="U770" s="16" t="str">
        <f>IFERROR(__xludf.DUMMYFUNCTION("""COMPUTED_VALUE"""),"DUDUK LAMA")</f>
        <v>DUDUK LAMA</v>
      </c>
      <c r="V770" s="11" t="str">
        <f>IFERROR(__xludf.DUMMYFUNCTION("""COMPUTED_VALUE"""),"085787009983")</f>
        <v>085787009983</v>
      </c>
      <c r="W770" s="15"/>
    </row>
    <row r="771" ht="22.5" customHeight="1">
      <c r="A771" s="28"/>
      <c r="B771" s="9">
        <f>IFERROR(__xludf.DUMMYFUNCTION("""COMPUTED_VALUE"""),45210.84485738426)</f>
        <v>45210.84486</v>
      </c>
      <c r="C771" s="9"/>
      <c r="D771" s="10">
        <f>IFERROR(__xludf.DUMMYFUNCTION("""COMPUTED_VALUE"""),45212.0)</f>
        <v>45212</v>
      </c>
      <c r="E771" s="10" t="str">
        <f>IFERROR(__xludf.DUMMYFUNCTION("""COMPUTED_VALUE"""),"10Okt")</f>
        <v>10Okt</v>
      </c>
      <c r="F771" s="10" t="str">
        <f>IFERROR(__xludf.DUMMYFUNCTION("""COMPUTED_VALUE"""),"2023")</f>
        <v>2023</v>
      </c>
      <c r="G771" s="16" t="str">
        <f>IFERROR(__xludf.DUMMYFUNCTION("""COMPUTED_VALUE"""),"SILVANI ANTHONIA")</f>
        <v>SILVANI ANTHONIA</v>
      </c>
      <c r="H771" s="17" t="str">
        <f>IFERROR(__xludf.DUMMYFUNCTION("""COMPUTED_VALUE"""),"S9923102201")</f>
        <v>S9923102201</v>
      </c>
      <c r="I771" s="17">
        <f>IFERROR(__xludf.DUMMYFUNCTION("""COMPUTED_VALUE"""),26.0)</f>
        <v>26</v>
      </c>
      <c r="J771" s="17" t="str">
        <f>IFERROR(__xludf.DUMMYFUNCTION("""COMPUTED_VALUE"""),"25-34 tahun")</f>
        <v>25-34 tahun</v>
      </c>
      <c r="K771" s="19">
        <f>IFERROR(__xludf.DUMMYFUNCTION("""COMPUTED_VALUE"""),36485.0)</f>
        <v>36485</v>
      </c>
      <c r="L771" s="19" t="str">
        <f>IFERROR(__xludf.DUMMYFUNCTION("""COMPUTED_VALUE"""),"PEREMPUAN")</f>
        <v>PEREMPUAN</v>
      </c>
      <c r="M771" s="16" t="str">
        <f>IFERROR(__xludf.DUMMYFUNCTION("""COMPUTED_VALUE"""),"GG. KUTILANG DALAM NO. 61")</f>
        <v>GG. KUTILANG DALAM NO. 61</v>
      </c>
      <c r="N771" s="16"/>
      <c r="O771" s="16"/>
      <c r="P771" s="16"/>
      <c r="Q771" s="16"/>
      <c r="R771" s="19" t="str">
        <f>IFERROR(__xludf.DUMMYFUNCTION("""COMPUTED_VALUE"""),"KATOLIK")</f>
        <v>KATOLIK</v>
      </c>
      <c r="S771" s="16" t="str">
        <f>IFERROR(__xludf.DUMMYFUNCTION("""COMPUTED_VALUE"""),"WIRASWASTA")</f>
        <v>WIRASWASTA</v>
      </c>
      <c r="T771" s="36" t="str">
        <f>IFERROR(__xludf.DUMMYFUNCTION("""COMPUTED_VALUE"""),"POSTUR TUBUH TIDAK IDEAL (BUNGKUK)")</f>
        <v>POSTUR TUBUH TIDAK IDEAL (BUNGKUK)</v>
      </c>
      <c r="U771" s="36" t="str">
        <f>IFERROR(__xludf.DUMMYFUNCTION("""COMPUTED_VALUE"""),"BAKING KUE")</f>
        <v>BAKING KUE</v>
      </c>
      <c r="V771" s="11" t="str">
        <f>IFERROR(__xludf.DUMMYFUNCTION("""COMPUTED_VALUE"""),"08119132201")</f>
        <v>08119132201</v>
      </c>
      <c r="W771" s="15"/>
    </row>
    <row r="772" ht="22.5" customHeight="1">
      <c r="A772" s="8"/>
      <c r="B772" s="9">
        <f>IFERROR(__xludf.DUMMYFUNCTION("""COMPUTED_VALUE"""),45214.4942603588)</f>
        <v>45214.49426</v>
      </c>
      <c r="C772" s="9"/>
      <c r="D772" s="10">
        <f>IFERROR(__xludf.DUMMYFUNCTION("""COMPUTED_VALUE"""),45214.0)</f>
        <v>45214</v>
      </c>
      <c r="E772" s="10" t="str">
        <f>IFERROR(__xludf.DUMMYFUNCTION("""COMPUTED_VALUE"""),"10Okt")</f>
        <v>10Okt</v>
      </c>
      <c r="F772" s="10" t="str">
        <f>IFERROR(__xludf.DUMMYFUNCTION("""COMPUTED_VALUE"""),"2023")</f>
        <v>2023</v>
      </c>
      <c r="G772" s="16" t="str">
        <f>IFERROR(__xludf.DUMMYFUNCTION("""COMPUTED_VALUE"""),"ELINA")</f>
        <v>ELINA</v>
      </c>
      <c r="H772" s="17" t="str">
        <f>IFERROR(__xludf.DUMMYFUNCTION("""COMPUTED_VALUE"""),"E6323109681")</f>
        <v>E6323109681</v>
      </c>
      <c r="I772" s="17">
        <f>IFERROR(__xludf.DUMMYFUNCTION("""COMPUTED_VALUE"""),63.0)</f>
        <v>63</v>
      </c>
      <c r="J772" s="17" t="str">
        <f>IFERROR(__xludf.DUMMYFUNCTION("""COMPUTED_VALUE"""),"&gt; 44 tahun")</f>
        <v>&gt; 44 tahun</v>
      </c>
      <c r="K772" s="19">
        <f>IFERROR(__xludf.DUMMYFUNCTION("""COMPUTED_VALUE"""),23067.0)</f>
        <v>23067</v>
      </c>
      <c r="L772" s="19" t="str">
        <f>IFERROR(__xludf.DUMMYFUNCTION("""COMPUTED_VALUE"""),"PEREMPUAN")</f>
        <v>PEREMPUAN</v>
      </c>
      <c r="M772" s="16" t="str">
        <f>IFERROR(__xludf.DUMMYFUNCTION("""COMPUTED_VALUE"""),"Jalan alianyang aspol honggo pranoto")</f>
        <v>Jalan alianyang aspol honggo pranoto</v>
      </c>
      <c r="N772" s="16"/>
      <c r="O772" s="16"/>
      <c r="P772" s="16"/>
      <c r="Q772" s="16"/>
      <c r="R772" s="19" t="str">
        <f>IFERROR(__xludf.DUMMYFUNCTION("""COMPUTED_VALUE"""),"ISLAM")</f>
        <v>ISLAM</v>
      </c>
      <c r="S772" s="16" t="str">
        <f>IFERROR(__xludf.DUMMYFUNCTION("""COMPUTED_VALUE"""),"TNI/POLRI")</f>
        <v>TNI/POLRI</v>
      </c>
      <c r="T772" s="16" t="str">
        <f>IFERROR(__xludf.DUMMYFUNCTION("""COMPUTED_VALUE"""),"stroke")</f>
        <v>stroke</v>
      </c>
      <c r="U772" s="16" t="str">
        <f>IFERROR(__xludf.DUMMYFUNCTION("""COMPUTED_VALUE"""),"olahraga")</f>
        <v>olahraga</v>
      </c>
      <c r="V772" s="11" t="str">
        <f>IFERROR(__xludf.DUMMYFUNCTION("""COMPUTED_VALUE"""),"081256689681")</f>
        <v>081256689681</v>
      </c>
      <c r="W772" s="15"/>
    </row>
    <row r="773" ht="22.5" customHeight="1">
      <c r="A773" s="8"/>
      <c r="B773" s="9">
        <f>IFERROR(__xludf.DUMMYFUNCTION("""COMPUTED_VALUE"""),45214.59269696759)</f>
        <v>45214.5927</v>
      </c>
      <c r="C773" s="9"/>
      <c r="D773" s="10">
        <f>IFERROR(__xludf.DUMMYFUNCTION("""COMPUTED_VALUE"""),45214.0)</f>
        <v>45214</v>
      </c>
      <c r="E773" s="10" t="str">
        <f>IFERROR(__xludf.DUMMYFUNCTION("""COMPUTED_VALUE"""),"10Okt")</f>
        <v>10Okt</v>
      </c>
      <c r="F773" s="10" t="str">
        <f>IFERROR(__xludf.DUMMYFUNCTION("""COMPUTED_VALUE"""),"2023")</f>
        <v>2023</v>
      </c>
      <c r="G773" s="16" t="str">
        <f>IFERROR(__xludf.DUMMYFUNCTION("""COMPUTED_VALUE"""),"JUSTRI")</f>
        <v>JUSTRI</v>
      </c>
      <c r="H773" s="17" t="str">
        <f>IFERROR(__xludf.DUMMYFUNCTION("""COMPUTED_VALUE"""),"J7023106444")</f>
        <v>J7023106444</v>
      </c>
      <c r="I773" s="17">
        <f>IFERROR(__xludf.DUMMYFUNCTION("""COMPUTED_VALUE"""),55.0)</f>
        <v>55</v>
      </c>
      <c r="J773" s="17" t="str">
        <f>IFERROR(__xludf.DUMMYFUNCTION("""COMPUTED_VALUE"""),"&gt; 44 tahun")</f>
        <v>&gt; 44 tahun</v>
      </c>
      <c r="K773" s="19">
        <f>IFERROR(__xludf.DUMMYFUNCTION("""COMPUTED_VALUE"""),25799.0)</f>
        <v>25799</v>
      </c>
      <c r="L773" s="19" t="str">
        <f>IFERROR(__xludf.DUMMYFUNCTION("""COMPUTED_VALUE"""),"PEREMPUAN")</f>
        <v>PEREMPUAN</v>
      </c>
      <c r="M773" s="16" t="str">
        <f>IFERROR(__xludf.DUMMYFUNCTION("""COMPUTED_VALUE"""),"JALAN PERDAMAIAN, KOMPLEK SOJA BUDI UTAMA BHAKTI DD.2")</f>
        <v>JALAN PERDAMAIAN, KOMPLEK SOJA BUDI UTAMA BHAKTI DD.2</v>
      </c>
      <c r="N773" s="16"/>
      <c r="O773" s="16"/>
      <c r="P773" s="16"/>
      <c r="Q773" s="16"/>
      <c r="R773" s="19" t="str">
        <f>IFERROR(__xludf.DUMMYFUNCTION("""COMPUTED_VALUE"""),"ISLAM")</f>
        <v>ISLAM</v>
      </c>
      <c r="S773" s="16" t="str">
        <f>IFERROR(__xludf.DUMMYFUNCTION("""COMPUTED_VALUE"""),"RUMAH TANGGA")</f>
        <v>RUMAH TANGGA</v>
      </c>
      <c r="T773" s="16" t="str">
        <f>IFERROR(__xludf.DUMMYFUNCTION("""COMPUTED_VALUE"""),"BERJALAN TIDAK SEIMBANG, PIKUN, EMOSI TIDAK STABIL, KESULITAN MENGENDALIKAN MOTORIK")</f>
        <v>BERJALAN TIDAK SEIMBANG, PIKUN, EMOSI TIDAK STABIL, KESULITAN MENGENDALIKAN MOTORIK</v>
      </c>
      <c r="U773" s="36" t="str">
        <f>IFERROR(__xludf.DUMMYFUNCTION("""COMPUTED_VALUE"""),"MENDENGARKAN LAGU")</f>
        <v>MENDENGARKAN LAGU</v>
      </c>
      <c r="V773" s="11" t="str">
        <f>IFERROR(__xludf.DUMMYFUNCTION("""COMPUTED_VALUE"""),"08115646444")</f>
        <v>08115646444</v>
      </c>
      <c r="W773" s="15"/>
    </row>
    <row r="774" ht="22.5" customHeight="1">
      <c r="A774" s="8"/>
      <c r="B774" s="9">
        <f>IFERROR(__xludf.DUMMYFUNCTION("""COMPUTED_VALUE"""),45214.58492712963)</f>
        <v>45214.58493</v>
      </c>
      <c r="C774" s="9"/>
      <c r="D774" s="34">
        <f>IFERROR(__xludf.DUMMYFUNCTION("""COMPUTED_VALUE"""),45214.0)</f>
        <v>45214</v>
      </c>
      <c r="E774" s="34" t="str">
        <f>IFERROR(__xludf.DUMMYFUNCTION("""COMPUTED_VALUE"""),"10Okt")</f>
        <v>10Okt</v>
      </c>
      <c r="F774" s="34" t="str">
        <f>IFERROR(__xludf.DUMMYFUNCTION("""COMPUTED_VALUE"""),"2023")</f>
        <v>2023</v>
      </c>
      <c r="G774" s="35" t="str">
        <f>IFERROR(__xludf.DUMMYFUNCTION("""COMPUTED_VALUE"""),"FAISAL IQBAL ISMAIL DN")</f>
        <v>FAISAL IQBAL ISMAIL DN</v>
      </c>
      <c r="H774" s="17" t="str">
        <f>IFERROR(__xludf.DUMMYFUNCTION("""COMPUTED_VALUE"""),"F0523105855")</f>
        <v>F0523105855</v>
      </c>
      <c r="I774" s="17">
        <f>IFERROR(__xludf.DUMMYFUNCTION("""COMPUTED_VALUE"""),20.0)</f>
        <v>20</v>
      </c>
      <c r="J774" s="17" t="str">
        <f>IFERROR(__xludf.DUMMYFUNCTION("""COMPUTED_VALUE"""),"18-24 tahun")</f>
        <v>18-24 tahun</v>
      </c>
      <c r="K774" s="19">
        <f>IFERROR(__xludf.DUMMYFUNCTION("""COMPUTED_VALUE"""),38689.0)</f>
        <v>38689</v>
      </c>
      <c r="L774" s="19" t="str">
        <f>IFERROR(__xludf.DUMMYFUNCTION("""COMPUTED_VALUE"""),"LAKI-LAKI")</f>
        <v>LAKI-LAKI</v>
      </c>
      <c r="M774" s="35" t="str">
        <f>IFERROR(__xludf.DUMMYFUNCTION("""COMPUTED_VALUE"""),"Jalan danau Sentarum Komplek danau asri")</f>
        <v>Jalan danau Sentarum Komplek danau asri</v>
      </c>
      <c r="N774" s="35"/>
      <c r="O774" s="35"/>
      <c r="P774" s="35"/>
      <c r="Q774" s="16"/>
      <c r="R774" s="19" t="str">
        <f>IFERROR(__xludf.DUMMYFUNCTION("""COMPUTED_VALUE"""),"ISLAM")</f>
        <v>ISLAM</v>
      </c>
      <c r="S774" s="35" t="str">
        <f>IFERROR(__xludf.DUMMYFUNCTION("""COMPUTED_VALUE"""),"PELAJAR/MAHASISWA")</f>
        <v>PELAJAR/MAHASISWA</v>
      </c>
      <c r="T774" s="16" t="str">
        <f>IFERROR(__xludf.DUMMYFUNCTION("""COMPUTED_VALUE"""),"Sakit kaki di bagian")</f>
        <v>Sakit kaki di bagian</v>
      </c>
      <c r="U774" s="16" t="str">
        <f>IFERROR(__xludf.DUMMYFUNCTION("""COMPUTED_VALUE"""),"Main basket")</f>
        <v>Main basket</v>
      </c>
      <c r="V774" s="11" t="str">
        <f>IFERROR(__xludf.DUMMYFUNCTION("""COMPUTED_VALUE"""),"082152315855")</f>
        <v>082152315855</v>
      </c>
      <c r="W774" s="15"/>
    </row>
    <row r="775" ht="22.5" customHeight="1">
      <c r="A775" s="8"/>
      <c r="B775" s="9">
        <f>IFERROR(__xludf.DUMMYFUNCTION("""COMPUTED_VALUE"""),45214.78926967592)</f>
        <v>45214.78927</v>
      </c>
      <c r="C775" s="9"/>
      <c r="D775" s="10">
        <f>IFERROR(__xludf.DUMMYFUNCTION("""COMPUTED_VALUE"""),45214.0)</f>
        <v>45214</v>
      </c>
      <c r="E775" s="10" t="str">
        <f>IFERROR(__xludf.DUMMYFUNCTION("""COMPUTED_VALUE"""),"10Okt")</f>
        <v>10Okt</v>
      </c>
      <c r="F775" s="10" t="str">
        <f>IFERROR(__xludf.DUMMYFUNCTION("""COMPUTED_VALUE"""),"2023")</f>
        <v>2023</v>
      </c>
      <c r="G775" s="16" t="str">
        <f>IFERROR(__xludf.DUMMYFUNCTION("""COMPUTED_VALUE"""),"M FARRAZ WIRATAMA LUBIS")</f>
        <v>M FARRAZ WIRATAMA LUBIS</v>
      </c>
      <c r="H775" s="17" t="str">
        <f>IFERROR(__xludf.DUMMYFUNCTION("""COMPUTED_VALUE"""),"M9823104290")</f>
        <v>M9823104290</v>
      </c>
      <c r="I775" s="17">
        <f>IFERROR(__xludf.DUMMYFUNCTION("""COMPUTED_VALUE"""),27.0)</f>
        <v>27</v>
      </c>
      <c r="J775" s="17" t="str">
        <f>IFERROR(__xludf.DUMMYFUNCTION("""COMPUTED_VALUE"""),"25-34 tahun")</f>
        <v>25-34 tahun</v>
      </c>
      <c r="K775" s="19">
        <f>IFERROR(__xludf.DUMMYFUNCTION("""COMPUTED_VALUE"""),36146.0)</f>
        <v>36146</v>
      </c>
      <c r="L775" s="19" t="str">
        <f>IFERROR(__xludf.DUMMYFUNCTION("""COMPUTED_VALUE"""),"LAKI-LAKI")</f>
        <v>LAKI-LAKI</v>
      </c>
      <c r="M775" s="16" t="str">
        <f>IFERROR(__xludf.DUMMYFUNCTION("""COMPUTED_VALUE"""),"Jl Danau Sentarum Komp. Green Silva No.c1")</f>
        <v>Jl Danau Sentarum Komp. Green Silva No.c1</v>
      </c>
      <c r="N775" s="16"/>
      <c r="O775" s="16"/>
      <c r="P775" s="16"/>
      <c r="Q775" s="16"/>
      <c r="R775" s="19" t="str">
        <f>IFERROR(__xludf.DUMMYFUNCTION("""COMPUTED_VALUE"""),"ISLAM")</f>
        <v>ISLAM</v>
      </c>
      <c r="S775" s="16" t="str">
        <f>IFERROR(__xludf.DUMMYFUNCTION("""COMPUTED_VALUE"""),"SWASTA")</f>
        <v>SWASTA</v>
      </c>
      <c r="T775" s="16" t="str">
        <f>IFERROR(__xludf.DUMMYFUNCTION("""COMPUTED_VALUE"""),"kanan")</f>
        <v>kanan</v>
      </c>
      <c r="U775" s="16" t="str">
        <f>IFERROR(__xludf.DUMMYFUNCTION("""COMPUTED_VALUE"""),"basket")</f>
        <v>basket</v>
      </c>
      <c r="V775" s="11" t="str">
        <f>IFERROR(__xludf.DUMMYFUNCTION("""COMPUTED_VALUE"""),"081351164290")</f>
        <v>081351164290</v>
      </c>
      <c r="W775" s="15"/>
    </row>
    <row r="776" ht="22.5" customHeight="1">
      <c r="A776" s="8"/>
      <c r="B776" s="9">
        <f>IFERROR(__xludf.DUMMYFUNCTION("""COMPUTED_VALUE"""),45214.86318418982)</f>
        <v>45214.86318</v>
      </c>
      <c r="C776" s="9"/>
      <c r="D776" s="10">
        <f>IFERROR(__xludf.DUMMYFUNCTION("""COMPUTED_VALUE"""),45214.0)</f>
        <v>45214</v>
      </c>
      <c r="E776" s="10" t="str">
        <f>IFERROR(__xludf.DUMMYFUNCTION("""COMPUTED_VALUE"""),"10Okt")</f>
        <v>10Okt</v>
      </c>
      <c r="F776" s="10" t="str">
        <f>IFERROR(__xludf.DUMMYFUNCTION("""COMPUTED_VALUE"""),"2023")</f>
        <v>2023</v>
      </c>
      <c r="G776" s="16" t="str">
        <f>IFERROR(__xludf.DUMMYFUNCTION("""COMPUTED_VALUE"""),"AGUNG PRASEKTIA")</f>
        <v>AGUNG PRASEKTIA</v>
      </c>
      <c r="H776" s="17" t="str">
        <f>IFERROR(__xludf.DUMMYFUNCTION("""COMPUTED_VALUE"""),"A9923105194")</f>
        <v>A9923105194</v>
      </c>
      <c r="I776" s="17">
        <f>IFERROR(__xludf.DUMMYFUNCTION("""COMPUTED_VALUE"""),26.0)</f>
        <v>26</v>
      </c>
      <c r="J776" s="17" t="str">
        <f>IFERROR(__xludf.DUMMYFUNCTION("""COMPUTED_VALUE"""),"25-34 tahun")</f>
        <v>25-34 tahun</v>
      </c>
      <c r="K776" s="19">
        <f>IFERROR(__xludf.DUMMYFUNCTION("""COMPUTED_VALUE"""),36399.0)</f>
        <v>36399</v>
      </c>
      <c r="L776" s="19" t="str">
        <f>IFERROR(__xludf.DUMMYFUNCTION("""COMPUTED_VALUE"""),"LAKI-LAKI")</f>
        <v>LAKI-LAKI</v>
      </c>
      <c r="M776" s="16" t="str">
        <f>IFERROR(__xludf.DUMMYFUNCTION("""COMPUTED_VALUE"""),"Jl selat sumba 3 gang mantuka")</f>
        <v>Jl selat sumba 3 gang mantuka</v>
      </c>
      <c r="N776" s="16"/>
      <c r="O776" s="16"/>
      <c r="P776" s="16"/>
      <c r="Q776" s="16"/>
      <c r="R776" s="19" t="str">
        <f>IFERROR(__xludf.DUMMYFUNCTION("""COMPUTED_VALUE"""),"ISLAM")</f>
        <v>ISLAM</v>
      </c>
      <c r="S776" s="16" t="str">
        <f>IFERROR(__xludf.DUMMYFUNCTION("""COMPUTED_VALUE"""),"WIRASWASTA")</f>
        <v>WIRASWASTA</v>
      </c>
      <c r="T776" s="36" t="str">
        <f>IFERROR(__xludf.DUMMYFUNCTION("""COMPUTED_VALUE"""),"Ankle sprain")</f>
        <v>Ankle sprain</v>
      </c>
      <c r="U776" s="36" t="str">
        <f>IFERROR(__xludf.DUMMYFUNCTION("""COMPUTED_VALUE"""),"Basket")</f>
        <v>Basket</v>
      </c>
      <c r="V776" s="11" t="str">
        <f>IFERROR(__xludf.DUMMYFUNCTION("""COMPUTED_VALUE"""),"082159395194")</f>
        <v>082159395194</v>
      </c>
      <c r="W776" s="15"/>
    </row>
    <row r="777" ht="22.5" customHeight="1">
      <c r="A777" s="8"/>
      <c r="B777" s="9">
        <f>IFERROR(__xludf.DUMMYFUNCTION("""COMPUTED_VALUE"""),45215.3853937963)</f>
        <v>45215.38539</v>
      </c>
      <c r="C777" s="9"/>
      <c r="D777" s="10">
        <f>IFERROR(__xludf.DUMMYFUNCTION("""COMPUTED_VALUE"""),45214.0)</f>
        <v>45214</v>
      </c>
      <c r="E777" s="10" t="str">
        <f>IFERROR(__xludf.DUMMYFUNCTION("""COMPUTED_VALUE"""),"10Okt")</f>
        <v>10Okt</v>
      </c>
      <c r="F777" s="10" t="str">
        <f>IFERROR(__xludf.DUMMYFUNCTION("""COMPUTED_VALUE"""),"2023")</f>
        <v>2023</v>
      </c>
      <c r="G777" s="16" t="str">
        <f>IFERROR(__xludf.DUMMYFUNCTION("""COMPUTED_VALUE"""),"NICHOLAS RIVELINO")</f>
        <v>NICHOLAS RIVELINO</v>
      </c>
      <c r="H777" s="17" t="str">
        <f>IFERROR(__xludf.DUMMYFUNCTION("""COMPUTED_VALUE"""),"N0423100605")</f>
        <v>N0423100605</v>
      </c>
      <c r="I777" s="17">
        <f>IFERROR(__xludf.DUMMYFUNCTION("""COMPUTED_VALUE"""),21.0)</f>
        <v>21</v>
      </c>
      <c r="J777" s="17" t="str">
        <f>IFERROR(__xludf.DUMMYFUNCTION("""COMPUTED_VALUE"""),"18-24 tahun")</f>
        <v>18-24 tahun</v>
      </c>
      <c r="K777" s="19">
        <f>IFERROR(__xludf.DUMMYFUNCTION("""COMPUTED_VALUE"""),38211.0)</f>
        <v>38211</v>
      </c>
      <c r="L777" s="19" t="str">
        <f>IFERROR(__xludf.DUMMYFUNCTION("""COMPUTED_VALUE"""),"LAKI-LAKI")</f>
        <v>LAKI-LAKI</v>
      </c>
      <c r="M777" s="16" t="str">
        <f>IFERROR(__xludf.DUMMYFUNCTION("""COMPUTED_VALUE"""),"jalan re martadinata")</f>
        <v>jalan re martadinata</v>
      </c>
      <c r="N777" s="16"/>
      <c r="O777" s="16"/>
      <c r="P777" s="16"/>
      <c r="Q777" s="16"/>
      <c r="R777" s="19" t="str">
        <f>IFERROR(__xludf.DUMMYFUNCTION("""COMPUTED_VALUE"""),"PROTESTAN")</f>
        <v>PROTESTAN</v>
      </c>
      <c r="S777" s="16" t="str">
        <f>IFERROR(__xludf.DUMMYFUNCTION("""COMPUTED_VALUE"""),"PELAJAR/MAHASISWA")</f>
        <v>PELAJAR/MAHASISWA</v>
      </c>
      <c r="T777" s="16" t="str">
        <f>IFERROR(__xludf.DUMMYFUNCTION("""COMPUTED_VALUE"""),"dan pinggang")</f>
        <v>dan pinggang</v>
      </c>
      <c r="U777" s="16" t="str">
        <f>IFERROR(__xludf.DUMMYFUNCTION("""COMPUTED_VALUE"""),"berolahraga")</f>
        <v>berolahraga</v>
      </c>
      <c r="V777" s="11" t="str">
        <f>IFERROR(__xludf.DUMMYFUNCTION("""COMPUTED_VALUE"""),"082131070605")</f>
        <v>082131070605</v>
      </c>
      <c r="W777" s="15"/>
    </row>
    <row r="778" ht="22.5" customHeight="1">
      <c r="A778" s="8"/>
      <c r="B778" s="9">
        <f>IFERROR(__xludf.DUMMYFUNCTION("""COMPUTED_VALUE"""),45215.422340185185)</f>
        <v>45215.42234</v>
      </c>
      <c r="C778" s="9"/>
      <c r="D778" s="10">
        <f>IFERROR(__xludf.DUMMYFUNCTION("""COMPUTED_VALUE"""),45215.0)</f>
        <v>45215</v>
      </c>
      <c r="E778" s="10" t="str">
        <f>IFERROR(__xludf.DUMMYFUNCTION("""COMPUTED_VALUE"""),"10Okt")</f>
        <v>10Okt</v>
      </c>
      <c r="F778" s="10" t="str">
        <f>IFERROR(__xludf.DUMMYFUNCTION("""COMPUTED_VALUE"""),"2023")</f>
        <v>2023</v>
      </c>
      <c r="G778" s="16" t="str">
        <f>IFERROR(__xludf.DUMMYFUNCTION("""COMPUTED_VALUE"""),"MUHAMMAD NAFIS")</f>
        <v>MUHAMMAD NAFIS</v>
      </c>
      <c r="H778" s="17" t="str">
        <f>IFERROR(__xludf.DUMMYFUNCTION("""COMPUTED_VALUE"""),"M0423107811")</f>
        <v>M0423107811</v>
      </c>
      <c r="I778" s="17">
        <f>IFERROR(__xludf.DUMMYFUNCTION("""COMPUTED_VALUE"""),22.0)</f>
        <v>22</v>
      </c>
      <c r="J778" s="17" t="str">
        <f>IFERROR(__xludf.DUMMYFUNCTION("""COMPUTED_VALUE"""),"18-24 tahun")</f>
        <v>18-24 tahun</v>
      </c>
      <c r="K778" s="19">
        <f>IFERROR(__xludf.DUMMYFUNCTION("""COMPUTED_VALUE"""),38119.0)</f>
        <v>38119</v>
      </c>
      <c r="L778" s="19" t="str">
        <f>IFERROR(__xludf.DUMMYFUNCTION("""COMPUTED_VALUE"""),"LAKI-LAKI")</f>
        <v>LAKI-LAKI</v>
      </c>
      <c r="M778" s="16" t="str">
        <f>IFERROR(__xludf.DUMMYFUNCTION("""COMPUTED_VALUE"""),"Jl.Dr.Wahidin S. Gg. Sepakat 6 NO.E3")</f>
        <v>Jl.Dr.Wahidin S. Gg. Sepakat 6 NO.E3</v>
      </c>
      <c r="N778" s="16"/>
      <c r="O778" s="16"/>
      <c r="P778" s="16"/>
      <c r="Q778" s="16"/>
      <c r="R778" s="19" t="str">
        <f>IFERROR(__xludf.DUMMYFUNCTION("""COMPUTED_VALUE"""),"ISLAM")</f>
        <v>ISLAM</v>
      </c>
      <c r="S778" s="16" t="str">
        <f>IFERROR(__xludf.DUMMYFUNCTION("""COMPUTED_VALUE"""),"PELAJAR/MAHASISWA")</f>
        <v>PELAJAR/MAHASISWA</v>
      </c>
      <c r="T778" s="16" t="str">
        <f>IFERROR(__xludf.DUMMYFUNCTION("""COMPUTED_VALUE"""),"Cedera Ankle")</f>
        <v>Cedera Ankle</v>
      </c>
      <c r="U778" s="16" t="str">
        <f>IFERROR(__xludf.DUMMYFUNCTION("""COMPUTED_VALUE"""),"Kuliah, Dan Latihan Basket")</f>
        <v>Kuliah, Dan Latihan Basket</v>
      </c>
      <c r="V778" s="11" t="str">
        <f>IFERROR(__xludf.DUMMYFUNCTION("""COMPUTED_VALUE"""),"089694017811")</f>
        <v>089694017811</v>
      </c>
      <c r="W778" s="15"/>
    </row>
    <row r="779" ht="22.5" customHeight="1">
      <c r="A779" s="8"/>
      <c r="B779" s="9">
        <f>IFERROR(__xludf.DUMMYFUNCTION("""COMPUTED_VALUE"""),45215.795470625)</f>
        <v>45215.79547</v>
      </c>
      <c r="C779" s="9"/>
      <c r="D779" s="10">
        <f>IFERROR(__xludf.DUMMYFUNCTION("""COMPUTED_VALUE"""),45215.0)</f>
        <v>45215</v>
      </c>
      <c r="E779" s="10" t="str">
        <f>IFERROR(__xludf.DUMMYFUNCTION("""COMPUTED_VALUE"""),"10Okt")</f>
        <v>10Okt</v>
      </c>
      <c r="F779" s="10" t="str">
        <f>IFERROR(__xludf.DUMMYFUNCTION("""COMPUTED_VALUE"""),"2023")</f>
        <v>2023</v>
      </c>
      <c r="G779" s="16" t="str">
        <f>IFERROR(__xludf.DUMMYFUNCTION("""COMPUTED_VALUE"""),"M. AZDI YUSPRATAMA, S.STP")</f>
        <v>M. AZDI YUSPRATAMA, S.STP</v>
      </c>
      <c r="H779" s="17" t="str">
        <f>IFERROR(__xludf.DUMMYFUNCTION("""COMPUTED_VALUE"""),"M9523109955")</f>
        <v>M9523109955</v>
      </c>
      <c r="I779" s="17">
        <f>IFERROR(__xludf.DUMMYFUNCTION("""COMPUTED_VALUE"""),31.0)</f>
        <v>31</v>
      </c>
      <c r="J779" s="17" t="str">
        <f>IFERROR(__xludf.DUMMYFUNCTION("""COMPUTED_VALUE"""),"25-34 tahun")</f>
        <v>25-34 tahun</v>
      </c>
      <c r="K779" s="19">
        <f>IFERROR(__xludf.DUMMYFUNCTION("""COMPUTED_VALUE"""),34726.0)</f>
        <v>34726</v>
      </c>
      <c r="L779" s="19" t="str">
        <f>IFERROR(__xludf.DUMMYFUNCTION("""COMPUTED_VALUE"""),"LAKI-LAKI")</f>
        <v>LAKI-LAKI</v>
      </c>
      <c r="M779" s="16" t="str">
        <f>IFERROR(__xludf.DUMMYFUNCTION("""COMPUTED_VALUE"""),"Perumnas 2, Gang Matan IV, No.167")</f>
        <v>Perumnas 2, Gang Matan IV, No.167</v>
      </c>
      <c r="N779" s="16"/>
      <c r="O779" s="16"/>
      <c r="P779" s="16"/>
      <c r="Q779" s="16"/>
      <c r="R779" s="19" t="str">
        <f>IFERROR(__xludf.DUMMYFUNCTION("""COMPUTED_VALUE"""),"ISLAM")</f>
        <v>ISLAM</v>
      </c>
      <c r="S779" s="16" t="str">
        <f>IFERROR(__xludf.DUMMYFUNCTION("""COMPUTED_VALUE"""),"ASN")</f>
        <v>ASN</v>
      </c>
      <c r="T779" s="16" t="str">
        <f>IFERROR(__xludf.DUMMYFUNCTION("""COMPUTED_VALUE"""),"Terkilir")</f>
        <v>Terkilir</v>
      </c>
      <c r="U779" s="16" t="str">
        <f>IFERROR(__xludf.DUMMYFUNCTION("""COMPUTED_VALUE"""),"Bermain bola")</f>
        <v>Bermain bola</v>
      </c>
      <c r="V779" s="11" t="str">
        <f>IFERROR(__xludf.DUMMYFUNCTION("""COMPUTED_VALUE"""),"081277719955")</f>
        <v>081277719955</v>
      </c>
      <c r="W779" s="15"/>
    </row>
    <row r="780" ht="22.5" customHeight="1">
      <c r="A780" s="8"/>
      <c r="B780" s="9">
        <f>IFERROR(__xludf.DUMMYFUNCTION("""COMPUTED_VALUE"""),45216.39058585648)</f>
        <v>45216.39059</v>
      </c>
      <c r="C780" s="9"/>
      <c r="D780" s="10">
        <f>IFERROR(__xludf.DUMMYFUNCTION("""COMPUTED_VALUE"""),45215.0)</f>
        <v>45215</v>
      </c>
      <c r="E780" s="10" t="str">
        <f>IFERROR(__xludf.DUMMYFUNCTION("""COMPUTED_VALUE"""),"10Okt")</f>
        <v>10Okt</v>
      </c>
      <c r="F780" s="10" t="str">
        <f>IFERROR(__xludf.DUMMYFUNCTION("""COMPUTED_VALUE"""),"2023")</f>
        <v>2023</v>
      </c>
      <c r="G780" s="16" t="str">
        <f>IFERROR(__xludf.DUMMYFUNCTION("""COMPUTED_VALUE"""),"SONY ARDHIANSYAH")</f>
        <v>SONY ARDHIANSYAH</v>
      </c>
      <c r="H780" s="17" t="str">
        <f>IFERROR(__xludf.DUMMYFUNCTION("""COMPUTED_VALUE"""),"S7923101779")</f>
        <v>S7923101779</v>
      </c>
      <c r="I780" s="17">
        <f>IFERROR(__xludf.DUMMYFUNCTION("""COMPUTED_VALUE"""),46.0)</f>
        <v>46</v>
      </c>
      <c r="J780" s="17" t="str">
        <f>IFERROR(__xludf.DUMMYFUNCTION("""COMPUTED_VALUE"""),"&gt; 44 tahun")</f>
        <v>&gt; 44 tahun</v>
      </c>
      <c r="K780" s="19">
        <f>IFERROR(__xludf.DUMMYFUNCTION("""COMPUTED_VALUE"""),29048.0)</f>
        <v>29048</v>
      </c>
      <c r="L780" s="19" t="str">
        <f>IFERROR(__xludf.DUMMYFUNCTION("""COMPUTED_VALUE"""),"LAKI-LAKI")</f>
        <v>LAKI-LAKI</v>
      </c>
      <c r="M780" s="16" t="str">
        <f>IFERROR(__xludf.DUMMYFUNCTION("""COMPUTED_VALUE"""),"Desa Kapur")</f>
        <v>Desa Kapur</v>
      </c>
      <c r="N780" s="16"/>
      <c r="O780" s="16"/>
      <c r="P780" s="16"/>
      <c r="Q780" s="16"/>
      <c r="R780" s="19" t="str">
        <f>IFERROR(__xludf.DUMMYFUNCTION("""COMPUTED_VALUE"""),"ISLAM")</f>
        <v>ISLAM</v>
      </c>
      <c r="S780" s="16" t="str">
        <f>IFERROR(__xludf.DUMMYFUNCTION("""COMPUTED_VALUE"""),"SWASTA")</f>
        <v>SWASTA</v>
      </c>
      <c r="T780" s="16" t="str">
        <f>IFERROR(__xludf.DUMMYFUNCTION("""COMPUTED_VALUE"""),"Pinggang, belakanh , 3 jari kaki seperti kebas")</f>
        <v>Pinggang, belakanh , 3 jari kaki seperti kebas</v>
      </c>
      <c r="U780" s="16" t="str">
        <f>IFERROR(__xludf.DUMMYFUNCTION("""COMPUTED_VALUE"""),"Sepakbola")</f>
        <v>Sepakbola</v>
      </c>
      <c r="V780" s="11" t="str">
        <f>IFERROR(__xludf.DUMMYFUNCTION("""COMPUTED_VALUE"""),"082307111779")</f>
        <v>082307111779</v>
      </c>
      <c r="W780" s="15"/>
    </row>
    <row r="781" ht="22.5" customHeight="1">
      <c r="A781" s="8"/>
      <c r="B781" s="9">
        <f>IFERROR(__xludf.DUMMYFUNCTION("""COMPUTED_VALUE"""),45216.42792045139)</f>
        <v>45216.42792</v>
      </c>
      <c r="C781" s="9"/>
      <c r="D781" s="10">
        <f>IFERROR(__xludf.DUMMYFUNCTION("""COMPUTED_VALUE"""),45215.0)</f>
        <v>45215</v>
      </c>
      <c r="E781" s="10" t="str">
        <f>IFERROR(__xludf.DUMMYFUNCTION("""COMPUTED_VALUE"""),"10Okt")</f>
        <v>10Okt</v>
      </c>
      <c r="F781" s="10" t="str">
        <f>IFERROR(__xludf.DUMMYFUNCTION("""COMPUTED_VALUE"""),"2023")</f>
        <v>2023</v>
      </c>
      <c r="G781" s="16" t="str">
        <f>IFERROR(__xludf.DUMMYFUNCTION("""COMPUTED_VALUE"""),"ZULFIKAR RAHARJO")</f>
        <v>ZULFIKAR RAHARJO</v>
      </c>
      <c r="H781" s="17" t="str">
        <f>IFERROR(__xludf.DUMMYFUNCTION("""COMPUTED_VALUE"""),"Z9323104489")</f>
        <v>Z9323104489</v>
      </c>
      <c r="I781" s="17">
        <f>IFERROR(__xludf.DUMMYFUNCTION("""COMPUTED_VALUE"""),32.0)</f>
        <v>32</v>
      </c>
      <c r="J781" s="17" t="str">
        <f>IFERROR(__xludf.DUMMYFUNCTION("""COMPUTED_VALUE"""),"25-34 tahun")</f>
        <v>25-34 tahun</v>
      </c>
      <c r="K781" s="19">
        <f>IFERROR(__xludf.DUMMYFUNCTION("""COMPUTED_VALUE"""),34280.0)</f>
        <v>34280</v>
      </c>
      <c r="L781" s="19" t="str">
        <f>IFERROR(__xludf.DUMMYFUNCTION("""COMPUTED_VALUE"""),"LAKI-LAKI")</f>
        <v>LAKI-LAKI</v>
      </c>
      <c r="M781" s="16" t="str">
        <f>IFERROR(__xludf.DUMMYFUNCTION("""COMPUTED_VALUE"""),"Jl. Uray Bawadi Gg. Muhibah No.4")</f>
        <v>Jl. Uray Bawadi Gg. Muhibah No.4</v>
      </c>
      <c r="N781" s="16"/>
      <c r="O781" s="16"/>
      <c r="P781" s="16"/>
      <c r="Q781" s="16"/>
      <c r="R781" s="19" t="str">
        <f>IFERROR(__xludf.DUMMYFUNCTION("""COMPUTED_VALUE"""),"ISLAM")</f>
        <v>ISLAM</v>
      </c>
      <c r="S781" s="16" t="str">
        <f>IFERROR(__xludf.DUMMYFUNCTION("""COMPUTED_VALUE"""),"TIDAK ADA")</f>
        <v>TIDAK ADA</v>
      </c>
      <c r="T781" s="16" t="str">
        <f>IFERROR(__xludf.DUMMYFUNCTION("""COMPUTED_VALUE"""),"Hamstring")</f>
        <v>Hamstring</v>
      </c>
      <c r="U781" s="16" t="str">
        <f>IFERROR(__xludf.DUMMYFUNCTION("""COMPUTED_VALUE"""),"Bola futsal")</f>
        <v>Bola futsal</v>
      </c>
      <c r="V781" s="11" t="str">
        <f>IFERROR(__xludf.DUMMYFUNCTION("""COMPUTED_VALUE"""),"081327264489")</f>
        <v>081327264489</v>
      </c>
      <c r="W781" s="15"/>
    </row>
    <row r="782" ht="22.5" customHeight="1">
      <c r="A782" s="8"/>
      <c r="B782" s="9">
        <f>IFERROR(__xludf.DUMMYFUNCTION("""COMPUTED_VALUE"""),45216.59584439815)</f>
        <v>45216.59584</v>
      </c>
      <c r="C782" s="9"/>
      <c r="D782" s="10">
        <f>IFERROR(__xludf.DUMMYFUNCTION("""COMPUTED_VALUE"""),45216.0)</f>
        <v>45216</v>
      </c>
      <c r="E782" s="10" t="str">
        <f>IFERROR(__xludf.DUMMYFUNCTION("""COMPUTED_VALUE"""),"10Okt")</f>
        <v>10Okt</v>
      </c>
      <c r="F782" s="10" t="str">
        <f>IFERROR(__xludf.DUMMYFUNCTION("""COMPUTED_VALUE"""),"2023")</f>
        <v>2023</v>
      </c>
      <c r="G782" s="16" t="str">
        <f>IFERROR(__xludf.DUMMYFUNCTION("""COMPUTED_VALUE"""),"ENOLA GORETTY SIAHAAN")</f>
        <v>ENOLA GORETTY SIAHAAN</v>
      </c>
      <c r="H782" s="17" t="str">
        <f>IFERROR(__xludf.DUMMYFUNCTION("""COMPUTED_VALUE"""),"E9223105607")</f>
        <v>E9223105607</v>
      </c>
      <c r="I782" s="17">
        <f>IFERROR(__xludf.DUMMYFUNCTION("""COMPUTED_VALUE"""),33.0)</f>
        <v>33</v>
      </c>
      <c r="J782" s="17" t="str">
        <f>IFERROR(__xludf.DUMMYFUNCTION("""COMPUTED_VALUE"""),"25-34 tahun")</f>
        <v>25-34 tahun</v>
      </c>
      <c r="K782" s="19">
        <f>IFERROR(__xludf.DUMMYFUNCTION("""COMPUTED_VALUE"""),33884.0)</f>
        <v>33884</v>
      </c>
      <c r="L782" s="19" t="str">
        <f>IFERROR(__xludf.DUMMYFUNCTION("""COMPUTED_VALUE"""),"PEREMPUAN")</f>
        <v>PEREMPUAN</v>
      </c>
      <c r="M782" s="16" t="str">
        <f>IFERROR(__xludf.DUMMYFUNCTION("""COMPUTED_VALUE"""),"JLN TABRANI AHMAD KOMPLEK GRAHA BUMI KHATULISTIWA 3 BLOK D 14")</f>
        <v>JLN TABRANI AHMAD KOMPLEK GRAHA BUMI KHATULISTIWA 3 BLOK D 14</v>
      </c>
      <c r="N782" s="16"/>
      <c r="O782" s="16"/>
      <c r="P782" s="16"/>
      <c r="Q782" s="16"/>
      <c r="R782" s="19" t="str">
        <f>IFERROR(__xludf.DUMMYFUNCTION("""COMPUTED_VALUE"""),"PROTESTAN")</f>
        <v>PROTESTAN</v>
      </c>
      <c r="S782" s="16" t="str">
        <f>IFERROR(__xludf.DUMMYFUNCTION("""COMPUTED_VALUE"""),"SWASTA")</f>
        <v>SWASTA</v>
      </c>
      <c r="T782" s="16" t="str">
        <f>IFERROR(__xludf.DUMMYFUNCTION("""COMPUTED_VALUE"""),"NYERI PINGGANG")</f>
        <v>NYERI PINGGANG</v>
      </c>
      <c r="U782" s="16" t="str">
        <f>IFERROR(__xludf.DUMMYFUNCTION("""COMPUTED_VALUE"""),"BEKERJA ( BERKENDARA CUKUP JAUH, SERING BEKERJA DI RUANGAN NAMUN BEBERAPA KALI MELAKUKAN PENGECEKAN DI LAPANGAN)MEMBACA BUKU")</f>
        <v>BEKERJA ( BERKENDARA CUKUP JAUH, SERING BEKERJA DI RUANGAN NAMUN BEBERAPA KALI MELAKUKAN PENGECEKAN DI LAPANGAN)MEMBACA BUKU</v>
      </c>
      <c r="V782" s="11" t="str">
        <f>IFERROR(__xludf.DUMMYFUNCTION("""COMPUTED_VALUE"""),"085252075607")</f>
        <v>085252075607</v>
      </c>
      <c r="W782" s="15"/>
    </row>
    <row r="783" ht="22.5" customHeight="1">
      <c r="A783" s="8"/>
      <c r="B783" s="9">
        <f>IFERROR(__xludf.DUMMYFUNCTION("""COMPUTED_VALUE"""),45216.59981747685)</f>
        <v>45216.59982</v>
      </c>
      <c r="C783" s="9"/>
      <c r="D783" s="10">
        <f>IFERROR(__xludf.DUMMYFUNCTION("""COMPUTED_VALUE"""),45216.0)</f>
        <v>45216</v>
      </c>
      <c r="E783" s="10" t="str">
        <f>IFERROR(__xludf.DUMMYFUNCTION("""COMPUTED_VALUE"""),"10Okt")</f>
        <v>10Okt</v>
      </c>
      <c r="F783" s="10" t="str">
        <f>IFERROR(__xludf.DUMMYFUNCTION("""COMPUTED_VALUE"""),"2023")</f>
        <v>2023</v>
      </c>
      <c r="G783" s="16" t="str">
        <f>IFERROR(__xludf.DUMMYFUNCTION("""COMPUTED_VALUE"""),"HESTY SULISTYO WULANDARI")</f>
        <v>HESTY SULISTYO WULANDARI</v>
      </c>
      <c r="H783" s="17" t="str">
        <f>IFERROR(__xludf.DUMMYFUNCTION("""COMPUTED_VALUE"""),"H8523109306")</f>
        <v>H8523109306</v>
      </c>
      <c r="I783" s="17">
        <f>IFERROR(__xludf.DUMMYFUNCTION("""COMPUTED_VALUE"""),41.0)</f>
        <v>41</v>
      </c>
      <c r="J783" s="17" t="str">
        <f>IFERROR(__xludf.DUMMYFUNCTION("""COMPUTED_VALUE"""),"35-44 tahun")</f>
        <v>35-44 tahun</v>
      </c>
      <c r="K783" s="19">
        <f>IFERROR(__xludf.DUMMYFUNCTION("""COMPUTED_VALUE"""),31072.0)</f>
        <v>31072</v>
      </c>
      <c r="L783" s="19" t="str">
        <f>IFERROR(__xludf.DUMMYFUNCTION("""COMPUTED_VALUE"""),"PEREMPUAN")</f>
        <v>PEREMPUAN</v>
      </c>
      <c r="M783" s="16" t="str">
        <f>IFERROR(__xludf.DUMMYFUNCTION("""COMPUTED_VALUE"""),"JL.HM.SUWIGNYO GG KELUARGA NO.5")</f>
        <v>JL.HM.SUWIGNYO GG KELUARGA NO.5</v>
      </c>
      <c r="N783" s="16"/>
      <c r="O783" s="16"/>
      <c r="P783" s="16"/>
      <c r="Q783" s="16"/>
      <c r="R783" s="19" t="str">
        <f>IFERROR(__xludf.DUMMYFUNCTION("""COMPUTED_VALUE"""),"ISLAM")</f>
        <v>ISLAM</v>
      </c>
      <c r="S783" s="16" t="str">
        <f>IFERROR(__xludf.DUMMYFUNCTION("""COMPUTED_VALUE"""),"SWASTA")</f>
        <v>SWASTA</v>
      </c>
      <c r="T783" s="16" t="str">
        <f>IFERROR(__xludf.DUMMYFUNCTION("""COMPUTED_VALUE"""),"SYARAF KEJEPIT")</f>
        <v>SYARAF KEJEPIT</v>
      </c>
      <c r="U783" s="16" t="str">
        <f>IFERROR(__xludf.DUMMYFUNCTION("""COMPUTED_VALUE"""),"AEROBIC/BEKERJA")</f>
        <v>AEROBIC/BEKERJA</v>
      </c>
      <c r="V783" s="11" t="str">
        <f>IFERROR(__xludf.DUMMYFUNCTION("""COMPUTED_VALUE"""),"082148499306")</f>
        <v>082148499306</v>
      </c>
      <c r="W783" s="15"/>
    </row>
    <row r="784" ht="22.5" customHeight="1">
      <c r="A784" s="8"/>
      <c r="B784" s="9">
        <f>IFERROR(__xludf.DUMMYFUNCTION("""COMPUTED_VALUE"""),45216.651840590275)</f>
        <v>45216.65184</v>
      </c>
      <c r="C784" s="9"/>
      <c r="D784" s="10">
        <f>IFERROR(__xludf.DUMMYFUNCTION("""COMPUTED_VALUE"""),45216.0)</f>
        <v>45216</v>
      </c>
      <c r="E784" s="10" t="str">
        <f>IFERROR(__xludf.DUMMYFUNCTION("""COMPUTED_VALUE"""),"10Okt")</f>
        <v>10Okt</v>
      </c>
      <c r="F784" s="10" t="str">
        <f>IFERROR(__xludf.DUMMYFUNCTION("""COMPUTED_VALUE"""),"2023")</f>
        <v>2023</v>
      </c>
      <c r="G784" s="16" t="str">
        <f>IFERROR(__xludf.DUMMYFUNCTION("""COMPUTED_VALUE"""),"ALEX HANSENS")</f>
        <v>ALEX HANSENS</v>
      </c>
      <c r="H784" s="17" t="str">
        <f>IFERROR(__xludf.DUMMYFUNCTION("""COMPUTED_VALUE"""),"A0923105575")</f>
        <v>A0923105575</v>
      </c>
      <c r="I784" s="17">
        <f>IFERROR(__xludf.DUMMYFUNCTION("""COMPUTED_VALUE"""),17.0)</f>
        <v>17</v>
      </c>
      <c r="J784" s="17" t="str">
        <f>IFERROR(__xludf.DUMMYFUNCTION("""COMPUTED_VALUE"""),"&lt; 18 tahun")</f>
        <v>&lt; 18 tahun</v>
      </c>
      <c r="K784" s="19">
        <f>IFERROR(__xludf.DUMMYFUNCTION("""COMPUTED_VALUE"""),39866.0)</f>
        <v>39866</v>
      </c>
      <c r="L784" s="19" t="str">
        <f>IFERROR(__xludf.DUMMYFUNCTION("""COMPUTED_VALUE"""),"LAKI-LAKI")</f>
        <v>LAKI-LAKI</v>
      </c>
      <c r="M784" s="16" t="str">
        <f>IFERROR(__xludf.DUMMYFUNCTION("""COMPUTED_VALUE"""),"Jl. Sungai Raya Dalam, Gg. Dango 1, No. A5")</f>
        <v>Jl. Sungai Raya Dalam, Gg. Dango 1, No. A5</v>
      </c>
      <c r="N784" s="16"/>
      <c r="O784" s="16"/>
      <c r="P784" s="16"/>
      <c r="Q784" s="16"/>
      <c r="R784" s="19" t="str">
        <f>IFERROR(__xludf.DUMMYFUNCTION("""COMPUTED_VALUE"""),"BUDDHA")</f>
        <v>BUDDHA</v>
      </c>
      <c r="S784" s="16" t="str">
        <f>IFERROR(__xludf.DUMMYFUNCTION("""COMPUTED_VALUE"""),"PELAJAR/MAHASISWA")</f>
        <v>PELAJAR/MAHASISWA</v>
      </c>
      <c r="T784" s="16" t="str">
        <f>IFERROR(__xludf.DUMMYFUNCTION("""COMPUTED_VALUE"""),"Sakit di area")</f>
        <v>Sakit di area</v>
      </c>
      <c r="U784" s="16" t="str">
        <f>IFERROR(__xludf.DUMMYFUNCTION("""COMPUTED_VALUE"""),"Main basket dan sekolah")</f>
        <v>Main basket dan sekolah</v>
      </c>
      <c r="V784" s="11" t="str">
        <f>IFERROR(__xludf.DUMMYFUNCTION("""COMPUTED_VALUE"""),"082149915575")</f>
        <v>082149915575</v>
      </c>
      <c r="W784" s="15"/>
    </row>
    <row r="785" ht="22.5" customHeight="1">
      <c r="A785" s="8"/>
      <c r="B785" s="9">
        <f>IFERROR(__xludf.DUMMYFUNCTION("""COMPUTED_VALUE"""),45216.44225121528)</f>
        <v>45216.44225</v>
      </c>
      <c r="C785" s="9"/>
      <c r="D785" s="10">
        <f>IFERROR(__xludf.DUMMYFUNCTION("""COMPUTED_VALUE"""),45216.0)</f>
        <v>45216</v>
      </c>
      <c r="E785" s="10" t="str">
        <f>IFERROR(__xludf.DUMMYFUNCTION("""COMPUTED_VALUE"""),"10Okt")</f>
        <v>10Okt</v>
      </c>
      <c r="F785" s="10" t="str">
        <f>IFERROR(__xludf.DUMMYFUNCTION("""COMPUTED_VALUE"""),"2023")</f>
        <v>2023</v>
      </c>
      <c r="G785" s="16" t="str">
        <f>IFERROR(__xludf.DUMMYFUNCTION("""COMPUTED_VALUE"""),"ANGELA")</f>
        <v>ANGELA</v>
      </c>
      <c r="H785" s="17" t="str">
        <f>IFERROR(__xludf.DUMMYFUNCTION("""COMPUTED_VALUE"""),"A8723109568")</f>
        <v>A8723109568</v>
      </c>
      <c r="I785" s="17">
        <f>IFERROR(__xludf.DUMMYFUNCTION("""COMPUTED_VALUE"""),38.0)</f>
        <v>38</v>
      </c>
      <c r="J785" s="17" t="str">
        <f>IFERROR(__xludf.DUMMYFUNCTION("""COMPUTED_VALUE"""),"35-44 tahun")</f>
        <v>35-44 tahun</v>
      </c>
      <c r="K785" s="19">
        <f>IFERROR(__xludf.DUMMYFUNCTION("""COMPUTED_VALUE"""),32097.0)</f>
        <v>32097</v>
      </c>
      <c r="L785" s="19" t="str">
        <f>IFERROR(__xludf.DUMMYFUNCTION("""COMPUTED_VALUE"""),"PEREMPUAN")</f>
        <v>PEREMPUAN</v>
      </c>
      <c r="M785" s="16" t="str">
        <f>IFERROR(__xludf.DUMMYFUNCTION("""COMPUTED_VALUE"""),"Gg. Gajahmada 14 No. 26")</f>
        <v>Gg. Gajahmada 14 No. 26</v>
      </c>
      <c r="N785" s="16"/>
      <c r="O785" s="16"/>
      <c r="P785" s="16"/>
      <c r="Q785" s="16"/>
      <c r="R785" s="19" t="str">
        <f>IFERROR(__xludf.DUMMYFUNCTION("""COMPUTED_VALUE"""),"KATOLIK")</f>
        <v>KATOLIK</v>
      </c>
      <c r="S785" s="16" t="str">
        <f>IFERROR(__xludf.DUMMYFUNCTION("""COMPUTED_VALUE"""),"SWASTA")</f>
        <v>SWASTA</v>
      </c>
      <c r="T785" s="16" t="str">
        <f>IFERROR(__xludf.DUMMYFUNCTION("""COMPUTED_VALUE"""),"")</f>
        <v/>
      </c>
      <c r="U785" s="16" t="str">
        <f>IFERROR(__xludf.DUMMYFUNCTION("""COMPUTED_VALUE"""),"gym, running, badminton")</f>
        <v>gym, running, badminton</v>
      </c>
      <c r="V785" s="11" t="str">
        <f>IFERROR(__xludf.DUMMYFUNCTION("""COMPUTED_VALUE"""),"089694269568")</f>
        <v>089694269568</v>
      </c>
      <c r="W785" s="15"/>
    </row>
    <row r="786" ht="22.5" customHeight="1">
      <c r="A786" s="8"/>
      <c r="B786" s="9">
        <f>IFERROR(__xludf.DUMMYFUNCTION("""COMPUTED_VALUE"""),45218.388520520835)</f>
        <v>45218.38852</v>
      </c>
      <c r="C786" s="9"/>
      <c r="D786" s="10">
        <f>IFERROR(__xludf.DUMMYFUNCTION("""COMPUTED_VALUE"""),45216.0)</f>
        <v>45216</v>
      </c>
      <c r="E786" s="10" t="str">
        <f>IFERROR(__xludf.DUMMYFUNCTION("""COMPUTED_VALUE"""),"10Okt")</f>
        <v>10Okt</v>
      </c>
      <c r="F786" s="10" t="str">
        <f>IFERROR(__xludf.DUMMYFUNCTION("""COMPUTED_VALUE"""),"2023")</f>
        <v>2023</v>
      </c>
      <c r="G786" s="16" t="str">
        <f>IFERROR(__xludf.DUMMYFUNCTION("""COMPUTED_VALUE"""),"MUHAMMAD DZAKY RADITYA")</f>
        <v>MUHAMMAD DZAKY RADITYA</v>
      </c>
      <c r="H786" s="17" t="str">
        <f>IFERROR(__xludf.DUMMYFUNCTION("""COMPUTED_VALUE"""),"M0623100304")</f>
        <v>M0623100304</v>
      </c>
      <c r="I786" s="17">
        <f>IFERROR(__xludf.DUMMYFUNCTION("""COMPUTED_VALUE"""),20.0)</f>
        <v>20</v>
      </c>
      <c r="J786" s="17" t="str">
        <f>IFERROR(__xludf.DUMMYFUNCTION("""COMPUTED_VALUE"""),"18-24 tahun")</f>
        <v>18-24 tahun</v>
      </c>
      <c r="K786" s="19">
        <f>IFERROR(__xludf.DUMMYFUNCTION("""COMPUTED_VALUE"""),38778.0)</f>
        <v>38778</v>
      </c>
      <c r="L786" s="19" t="str">
        <f>IFERROR(__xludf.DUMMYFUNCTION("""COMPUTED_VALUE"""),"LAKI-LAKI")</f>
        <v>LAKI-LAKI</v>
      </c>
      <c r="M786" s="16" t="str">
        <f>IFERROR(__xludf.DUMMYFUNCTION("""COMPUTED_VALUE"""),"JL. Karya Bhakti Gg Karya Bhakti 2 No. 41")</f>
        <v>JL. Karya Bhakti Gg Karya Bhakti 2 No. 41</v>
      </c>
      <c r="N786" s="16"/>
      <c r="O786" s="16"/>
      <c r="P786" s="16"/>
      <c r="Q786" s="16"/>
      <c r="R786" s="19" t="str">
        <f>IFERROR(__xludf.DUMMYFUNCTION("""COMPUTED_VALUE"""),"ISLAM")</f>
        <v>ISLAM</v>
      </c>
      <c r="S786" s="16" t="str">
        <f>IFERROR(__xludf.DUMMYFUNCTION("""COMPUTED_VALUE"""),"PELAJAR/MAHASISWA")</f>
        <v>PELAJAR/MAHASISWA</v>
      </c>
      <c r="T786" s="16" t="str">
        <f>IFERROR(__xludf.DUMMYFUNCTION("""COMPUTED_VALUE"""),"cidera hamstring")</f>
        <v>cidera hamstring</v>
      </c>
      <c r="U786" s="16" t="str">
        <f>IFERROR(__xludf.DUMMYFUNCTION("""COMPUTED_VALUE"""),"futsal")</f>
        <v>futsal</v>
      </c>
      <c r="V786" s="11" t="str">
        <f>IFERROR(__xludf.DUMMYFUNCTION("""COMPUTED_VALUE"""),"088802390304")</f>
        <v>088802390304</v>
      </c>
      <c r="W786" s="15"/>
    </row>
    <row r="787" ht="22.5" customHeight="1">
      <c r="A787" s="8"/>
      <c r="B787" s="9">
        <f>IFERROR(__xludf.DUMMYFUNCTION("""COMPUTED_VALUE"""),45218.63881215278)</f>
        <v>45218.63881</v>
      </c>
      <c r="C787" s="9"/>
      <c r="D787" s="10">
        <f>IFERROR(__xludf.DUMMYFUNCTION("""COMPUTED_VALUE"""),45216.0)</f>
        <v>45216</v>
      </c>
      <c r="E787" s="10" t="str">
        <f>IFERROR(__xludf.DUMMYFUNCTION("""COMPUTED_VALUE"""),"10Okt")</f>
        <v>10Okt</v>
      </c>
      <c r="F787" s="10" t="str">
        <f>IFERROR(__xludf.DUMMYFUNCTION("""COMPUTED_VALUE"""),"2023")</f>
        <v>2023</v>
      </c>
      <c r="G787" s="16" t="str">
        <f>IFERROR(__xludf.DUMMYFUNCTION("""COMPUTED_VALUE"""),"GODAM KURNIA SAPUTRA")</f>
        <v>GODAM KURNIA SAPUTRA</v>
      </c>
      <c r="H787" s="17" t="str">
        <f>IFERROR(__xludf.DUMMYFUNCTION("""COMPUTED_VALUE"""),"G8723100802")</f>
        <v>G8723100802</v>
      </c>
      <c r="I787" s="17">
        <f>IFERROR(__xludf.DUMMYFUNCTION("""COMPUTED_VALUE"""),39.0)</f>
        <v>39</v>
      </c>
      <c r="J787" s="17" t="str">
        <f>IFERROR(__xludf.DUMMYFUNCTION("""COMPUTED_VALUE"""),"35-44 tahun")</f>
        <v>35-44 tahun</v>
      </c>
      <c r="K787" s="19">
        <f>IFERROR(__xludf.DUMMYFUNCTION("""COMPUTED_VALUE"""),31877.0)</f>
        <v>31877</v>
      </c>
      <c r="L787" s="19" t="str">
        <f>IFERROR(__xludf.DUMMYFUNCTION("""COMPUTED_VALUE"""),"LAKI-LAKI")</f>
        <v>LAKI-LAKI</v>
      </c>
      <c r="M787" s="16" t="str">
        <f>IFERROR(__xludf.DUMMYFUNCTION("""COMPUTED_VALUE"""),"Jalan m. Yamin Gang keluarga bersama no. 29")</f>
        <v>Jalan m. Yamin Gang keluarga bersama no. 29</v>
      </c>
      <c r="N787" s="16"/>
      <c r="O787" s="16"/>
      <c r="P787" s="16"/>
      <c r="Q787" s="16"/>
      <c r="R787" s="19" t="str">
        <f>IFERROR(__xludf.DUMMYFUNCTION("""COMPUTED_VALUE"""),"ISLAM")</f>
        <v>ISLAM</v>
      </c>
      <c r="S787" s="16" t="str">
        <f>IFERROR(__xludf.DUMMYFUNCTION("""COMPUTED_VALUE"""),"TNI/POLRI")</f>
        <v>TNI/POLRI</v>
      </c>
      <c r="T787" s="16" t="str">
        <f>IFERROR(__xludf.DUMMYFUNCTION("""COMPUTED_VALUE"""),"Sakit pinggang")</f>
        <v>Sakit pinggang</v>
      </c>
      <c r="U787" s="16" t="str">
        <f>IFERROR(__xludf.DUMMYFUNCTION("""COMPUTED_VALUE"""),"Sepakbola")</f>
        <v>Sepakbola</v>
      </c>
      <c r="V787" s="11" t="str">
        <f>IFERROR(__xludf.DUMMYFUNCTION("""COMPUTED_VALUE"""),"081352040802")</f>
        <v>081352040802</v>
      </c>
      <c r="W787" s="15"/>
    </row>
    <row r="788" ht="22.5" customHeight="1">
      <c r="A788" s="8"/>
      <c r="B788" s="9">
        <f>IFERROR(__xludf.DUMMYFUNCTION("""COMPUTED_VALUE"""),45220.64455505787)</f>
        <v>45220.64456</v>
      </c>
      <c r="C788" s="9"/>
      <c r="D788" s="10">
        <f>IFERROR(__xludf.DUMMYFUNCTION("""COMPUTED_VALUE"""),45217.0)</f>
        <v>45217</v>
      </c>
      <c r="E788" s="10" t="str">
        <f>IFERROR(__xludf.DUMMYFUNCTION("""COMPUTED_VALUE"""),"10Okt")</f>
        <v>10Okt</v>
      </c>
      <c r="F788" s="10" t="str">
        <f>IFERROR(__xludf.DUMMYFUNCTION("""COMPUTED_VALUE"""),"2023")</f>
        <v>2023</v>
      </c>
      <c r="G788" s="16" t="str">
        <f>IFERROR(__xludf.DUMMYFUNCTION("""COMPUTED_VALUE"""),"CATUR YULIYATI")</f>
        <v>CATUR YULIYATI</v>
      </c>
      <c r="H788" s="17" t="str">
        <f>IFERROR(__xludf.DUMMYFUNCTION("""COMPUTED_VALUE"""),"C7123101945")</f>
        <v>C7123101945</v>
      </c>
      <c r="I788" s="17">
        <f>IFERROR(__xludf.DUMMYFUNCTION("""COMPUTED_VALUE"""),54.0)</f>
        <v>54</v>
      </c>
      <c r="J788" s="17" t="str">
        <f>IFERROR(__xludf.DUMMYFUNCTION("""COMPUTED_VALUE"""),"&gt; 44 tahun")</f>
        <v>&gt; 44 tahun</v>
      </c>
      <c r="K788" s="19">
        <f>IFERROR(__xludf.DUMMYFUNCTION("""COMPUTED_VALUE"""),26137.0)</f>
        <v>26137</v>
      </c>
      <c r="L788" s="19" t="str">
        <f>IFERROR(__xludf.DUMMYFUNCTION("""COMPUTED_VALUE"""),"PEREMPUAN")</f>
        <v>PEREMPUAN</v>
      </c>
      <c r="M788" s="16" t="str">
        <f>IFERROR(__xludf.DUMMYFUNCTION("""COMPUTED_VALUE"""),"Jl Nirbaya GG.bersinar 16")</f>
        <v>Jl Nirbaya GG.bersinar 16</v>
      </c>
      <c r="N788" s="16"/>
      <c r="O788" s="16"/>
      <c r="P788" s="16"/>
      <c r="Q788" s="16"/>
      <c r="R788" s="19" t="str">
        <f>IFERROR(__xludf.DUMMYFUNCTION("""COMPUTED_VALUE"""),"ISLAM")</f>
        <v>ISLAM</v>
      </c>
      <c r="S788" s="16" t="str">
        <f>IFERROR(__xludf.DUMMYFUNCTION("""COMPUTED_VALUE"""),"DOSEN/GURU")</f>
        <v>DOSEN/GURU</v>
      </c>
      <c r="T788" s="16" t="str">
        <f>IFERROR(__xludf.DUMMYFUNCTION("""COMPUTED_VALUE"""),"Diantara jari jempol kaki dan sebelah nya ada benjolan yg sekarang terasa sakit bila banyak berjalan, awalnya dulu saya suka menahan sandal bila lagi berboncengan naik motor")</f>
        <v>Diantara jari jempol kaki dan sebelah nya ada benjolan yg sekarang terasa sakit bila banyak berjalan, awalnya dulu saya suka menahan sandal bila lagi berboncengan naik motor</v>
      </c>
      <c r="U788" s="16" t="str">
        <f>IFERROR(__xludf.DUMMYFUNCTION("""COMPUTED_VALUE"""),"Membaca")</f>
        <v>Membaca</v>
      </c>
      <c r="V788" s="11" t="str">
        <f>IFERROR(__xludf.DUMMYFUNCTION("""COMPUTED_VALUE"""),"081256231945")</f>
        <v>081256231945</v>
      </c>
      <c r="W788" s="15"/>
    </row>
    <row r="789" ht="22.5" customHeight="1">
      <c r="A789" s="8"/>
      <c r="B789" s="9">
        <f>IFERROR(__xludf.DUMMYFUNCTION("""COMPUTED_VALUE"""),45218.286284629634)</f>
        <v>45218.28628</v>
      </c>
      <c r="C789" s="9"/>
      <c r="D789" s="10">
        <f>IFERROR(__xludf.DUMMYFUNCTION("""COMPUTED_VALUE"""),45217.0)</f>
        <v>45217</v>
      </c>
      <c r="E789" s="10" t="str">
        <f>IFERROR(__xludf.DUMMYFUNCTION("""COMPUTED_VALUE"""),"10Okt")</f>
        <v>10Okt</v>
      </c>
      <c r="F789" s="10" t="str">
        <f>IFERROR(__xludf.DUMMYFUNCTION("""COMPUTED_VALUE"""),"2023")</f>
        <v>2023</v>
      </c>
      <c r="G789" s="16" t="str">
        <f>IFERROR(__xludf.DUMMYFUNCTION("""COMPUTED_VALUE"""),"RAYYANDRA GHUFRAN MARIOSHA")</f>
        <v>RAYYANDRA GHUFRAN MARIOSHA</v>
      </c>
      <c r="H789" s="17" t="str">
        <f>IFERROR(__xludf.DUMMYFUNCTION("""COMPUTED_VALUE"""),"R1523109990")</f>
        <v>R1523109990</v>
      </c>
      <c r="I789" s="17">
        <f>IFERROR(__xludf.DUMMYFUNCTION("""COMPUTED_VALUE"""),10.0)</f>
        <v>10</v>
      </c>
      <c r="J789" s="17" t="str">
        <f>IFERROR(__xludf.DUMMYFUNCTION("""COMPUTED_VALUE"""),"&lt; 18 tahun")</f>
        <v>&lt; 18 tahun</v>
      </c>
      <c r="K789" s="19">
        <f>IFERROR(__xludf.DUMMYFUNCTION("""COMPUTED_VALUE"""),42339.0)</f>
        <v>42339</v>
      </c>
      <c r="L789" s="19" t="str">
        <f>IFERROR(__xludf.DUMMYFUNCTION("""COMPUTED_VALUE"""),"LAKI-LAKI")</f>
        <v>LAKI-LAKI</v>
      </c>
      <c r="M789" s="16" t="str">
        <f>IFERROR(__xludf.DUMMYFUNCTION("""COMPUTED_VALUE"""),"JL P. NATAKUSUMA GG SILIWANGI 1 NO 18")</f>
        <v>JL P. NATAKUSUMA GG SILIWANGI 1 NO 18</v>
      </c>
      <c r="N789" s="16"/>
      <c r="O789" s="16"/>
      <c r="P789" s="16"/>
      <c r="Q789" s="16"/>
      <c r="R789" s="19" t="str">
        <f>IFERROR(__xludf.DUMMYFUNCTION("""COMPUTED_VALUE"""),"ISLAM")</f>
        <v>ISLAM</v>
      </c>
      <c r="S789" s="16" t="str">
        <f>IFERROR(__xludf.DUMMYFUNCTION("""COMPUTED_VALUE"""),"PELAJAR/MAHASISWA")</f>
        <v>PELAJAR/MAHASISWA</v>
      </c>
      <c r="T789" s="16" t="str">
        <f>IFERROR(__xludf.DUMMYFUNCTION("""COMPUTED_VALUE"""),"SAKIT ANGKEL KAKI/MATA KAKI KANAN")</f>
        <v>SAKIT ANGKEL KAKI/MATA KAKI KANAN</v>
      </c>
      <c r="U789" s="16" t="str">
        <f>IFERROR(__xludf.DUMMYFUNCTION("""COMPUTED_VALUE"""),"FUTSAL")</f>
        <v>FUTSAL</v>
      </c>
      <c r="V789" s="11" t="str">
        <f>IFERROR(__xludf.DUMMYFUNCTION("""COMPUTED_VALUE"""),"081256759990")</f>
        <v>081256759990</v>
      </c>
      <c r="W789" s="15"/>
    </row>
    <row r="790" ht="22.5" customHeight="1">
      <c r="A790" s="8"/>
      <c r="B790" s="9">
        <f>IFERROR(__xludf.DUMMYFUNCTION("""COMPUTED_VALUE"""),45220.78753074074)</f>
        <v>45220.78753</v>
      </c>
      <c r="C790" s="9"/>
      <c r="D790" s="10">
        <f>IFERROR(__xludf.DUMMYFUNCTION("""COMPUTED_VALUE"""),45218.0)</f>
        <v>45218</v>
      </c>
      <c r="E790" s="10" t="str">
        <f>IFERROR(__xludf.DUMMYFUNCTION("""COMPUTED_VALUE"""),"10Okt")</f>
        <v>10Okt</v>
      </c>
      <c r="F790" s="10" t="str">
        <f>IFERROR(__xludf.DUMMYFUNCTION("""COMPUTED_VALUE"""),"2023")</f>
        <v>2023</v>
      </c>
      <c r="G790" s="16" t="str">
        <f>IFERROR(__xludf.DUMMYFUNCTION("""COMPUTED_VALUE"""),"SARIAH")</f>
        <v>SARIAH</v>
      </c>
      <c r="H790" s="17" t="str">
        <f>IFERROR(__xludf.DUMMYFUNCTION("""COMPUTED_VALUE"""),"S7823100890")</f>
        <v>S7823100890</v>
      </c>
      <c r="I790" s="17">
        <f>IFERROR(__xludf.DUMMYFUNCTION("""COMPUTED_VALUE"""),47.0)</f>
        <v>47</v>
      </c>
      <c r="J790" s="17" t="str">
        <f>IFERROR(__xludf.DUMMYFUNCTION("""COMPUTED_VALUE"""),"&gt; 44 tahun")</f>
        <v>&gt; 44 tahun</v>
      </c>
      <c r="K790" s="19">
        <f>IFERROR(__xludf.DUMMYFUNCTION("""COMPUTED_VALUE"""),28798.0)</f>
        <v>28798</v>
      </c>
      <c r="L790" s="19" t="str">
        <f>IFERROR(__xludf.DUMMYFUNCTION("""COMPUTED_VALUE"""),"PEREMPUAN")</f>
        <v>PEREMPUAN</v>
      </c>
      <c r="M790" s="16" t="str">
        <f>IFERROR(__xludf.DUMMYFUNCTION("""COMPUTED_VALUE"""),"JL H JALI KUNCIRAN JAYA RT 2 RW 3 NO 62 KEL KUNCIRAN JAYA KEC PINANG KOTA TANGERANG")</f>
        <v>JL H JALI KUNCIRAN JAYA RT 2 RW 3 NO 62 KEL KUNCIRAN JAYA KEC PINANG KOTA TANGERANG</v>
      </c>
      <c r="N790" s="16" t="str">
        <f>IFERROR(__xludf.DUMMYFUNCTION("""COMPUTED_VALUE"""),"KUNCIRAN JAYA")</f>
        <v>KUNCIRAN JAYA</v>
      </c>
      <c r="O790" s="16" t="str">
        <f>IFERROR(__xludf.DUMMYFUNCTION("""COMPUTED_VALUE"""),"PINANG")</f>
        <v>PINANG</v>
      </c>
      <c r="P790" s="16" t="str">
        <f>IFERROR(__xludf.DUMMYFUNCTION("""COMPUTED_VALUE"""),"KOTA TANGERANG")</f>
        <v>KOTA TANGERANG</v>
      </c>
      <c r="Q790" s="16" t="str">
        <f>IFERROR(__xludf.DUMMYFUNCTION("""COMPUTED_VALUE"""),"BANTEN")</f>
        <v>BANTEN</v>
      </c>
      <c r="R790" s="19" t="str">
        <f>IFERROR(__xludf.DUMMYFUNCTION("""COMPUTED_VALUE"""),"ISLAM")</f>
        <v>ISLAM</v>
      </c>
      <c r="S790" s="16" t="str">
        <f>IFERROR(__xludf.DUMMYFUNCTION("""COMPUTED_VALUE"""),"IBU RUMAH TANGGA")</f>
        <v>IBU RUMAH TANGGA</v>
      </c>
      <c r="T790" s="16" t="str">
        <f>IFERROR(__xludf.DUMMYFUNCTION("""COMPUTED_VALUE"""),"tangan kanan sakit setelah main badminton")</f>
        <v>tangan kanan sakit setelah main badminton</v>
      </c>
      <c r="U790" s="16" t="str">
        <f>IFERROR(__xludf.DUMMYFUNCTION("""COMPUTED_VALUE"""),"masak")</f>
        <v>masak</v>
      </c>
      <c r="V790" s="11" t="str">
        <f>IFERROR(__xludf.DUMMYFUNCTION("""COMPUTED_VALUE"""),"085716580890")</f>
        <v>085716580890</v>
      </c>
      <c r="W790" s="15"/>
    </row>
    <row r="791" ht="22.5" customHeight="1">
      <c r="A791" s="8"/>
      <c r="B791" s="9">
        <f>IFERROR(__xludf.DUMMYFUNCTION("""COMPUTED_VALUE"""),45221.42658733796)</f>
        <v>45221.42659</v>
      </c>
      <c r="C791" s="9"/>
      <c r="D791" s="10">
        <f>IFERROR(__xludf.DUMMYFUNCTION("""COMPUTED_VALUE"""),45220.0)</f>
        <v>45220</v>
      </c>
      <c r="E791" s="10" t="str">
        <f>IFERROR(__xludf.DUMMYFUNCTION("""COMPUTED_VALUE"""),"10Okt")</f>
        <v>10Okt</v>
      </c>
      <c r="F791" s="10" t="str">
        <f>IFERROR(__xludf.DUMMYFUNCTION("""COMPUTED_VALUE"""),"2023")</f>
        <v>2023</v>
      </c>
      <c r="G791" s="16" t="str">
        <f>IFERROR(__xludf.DUMMYFUNCTION("""COMPUTED_VALUE"""),"FARIDAH")</f>
        <v>FARIDAH</v>
      </c>
      <c r="H791" s="17" t="str">
        <f>IFERROR(__xludf.DUMMYFUNCTION("""COMPUTED_VALUE"""),"F6523101819")</f>
        <v>F6523101819</v>
      </c>
      <c r="I791" s="17">
        <f>IFERROR(__xludf.DUMMYFUNCTION("""COMPUTED_VALUE"""),61.0)</f>
        <v>61</v>
      </c>
      <c r="J791" s="17" t="str">
        <f>IFERROR(__xludf.DUMMYFUNCTION("""COMPUTED_VALUE"""),"&gt; 44 tahun")</f>
        <v>&gt; 44 tahun</v>
      </c>
      <c r="K791" s="19">
        <f>IFERROR(__xludf.DUMMYFUNCTION("""COMPUTED_VALUE"""),23900.0)</f>
        <v>23900</v>
      </c>
      <c r="L791" s="19" t="str">
        <f>IFERROR(__xludf.DUMMYFUNCTION("""COMPUTED_VALUE"""),"PEREMPUAN")</f>
        <v>PEREMPUAN</v>
      </c>
      <c r="M791" s="16" t="str">
        <f>IFERROR(__xludf.DUMMYFUNCTION("""COMPUTED_VALUE"""),"JL. PGA KOMP. GREN SILVA 2")</f>
        <v>JL. PGA KOMP. GREN SILVA 2</v>
      </c>
      <c r="N791" s="16"/>
      <c r="O791" s="16"/>
      <c r="P791" s="16"/>
      <c r="Q791" s="16"/>
      <c r="R791" s="19" t="str">
        <f>IFERROR(__xludf.DUMMYFUNCTION("""COMPUTED_VALUE"""),"ISLAM")</f>
        <v>ISLAM</v>
      </c>
      <c r="S791" s="16" t="str">
        <f>IFERROR(__xludf.DUMMYFUNCTION("""COMPUTED_VALUE"""),"ASN")</f>
        <v>ASN</v>
      </c>
      <c r="T791" s="16" t="str">
        <f>IFERROR(__xludf.DUMMYFUNCTION("""COMPUTED_VALUE"""),"LEHER DAN JARI")</f>
        <v>LEHER DAN JARI</v>
      </c>
      <c r="U791" s="16" t="str">
        <f>IFERROR(__xludf.DUMMYFUNCTION("""COMPUTED_VALUE"""),"-")</f>
        <v>-</v>
      </c>
      <c r="V791" s="11" t="str">
        <f>IFERROR(__xludf.DUMMYFUNCTION("""COMPUTED_VALUE"""),"081717771819")</f>
        <v>081717771819</v>
      </c>
      <c r="W791" s="15"/>
    </row>
    <row r="792" ht="22.5" customHeight="1">
      <c r="A792" s="8"/>
      <c r="B792" s="9">
        <f>IFERROR(__xludf.DUMMYFUNCTION("""COMPUTED_VALUE"""),45217.23425497685)</f>
        <v>45217.23425</v>
      </c>
      <c r="C792" s="9"/>
      <c r="D792" s="10">
        <f>IFERROR(__xludf.DUMMYFUNCTION("""COMPUTED_VALUE"""),45221.0)</f>
        <v>45221</v>
      </c>
      <c r="E792" s="10" t="str">
        <f>IFERROR(__xludf.DUMMYFUNCTION("""COMPUTED_VALUE"""),"10Okt")</f>
        <v>10Okt</v>
      </c>
      <c r="F792" s="10" t="str">
        <f>IFERROR(__xludf.DUMMYFUNCTION("""COMPUTED_VALUE"""),"2023")</f>
        <v>2023</v>
      </c>
      <c r="G792" s="16" t="str">
        <f>IFERROR(__xludf.DUMMYFUNCTION("""COMPUTED_VALUE"""),"FELYCIA VALERIE GRACIA")</f>
        <v>FELYCIA VALERIE GRACIA</v>
      </c>
      <c r="H792" s="17" t="str">
        <f>IFERROR(__xludf.DUMMYFUNCTION("""COMPUTED_VALUE"""),"F1023105575")</f>
        <v>F1023105575</v>
      </c>
      <c r="I792" s="17">
        <f>IFERROR(__xludf.DUMMYFUNCTION("""COMPUTED_VALUE"""),16.0)</f>
        <v>16</v>
      </c>
      <c r="J792" s="17" t="str">
        <f>IFERROR(__xludf.DUMMYFUNCTION("""COMPUTED_VALUE"""),"&lt; 18 tahun")</f>
        <v>&lt; 18 tahun</v>
      </c>
      <c r="K792" s="19">
        <f>IFERROR(__xludf.DUMMYFUNCTION("""COMPUTED_VALUE"""),40223.0)</f>
        <v>40223</v>
      </c>
      <c r="L792" s="19" t="str">
        <f>IFERROR(__xludf.DUMMYFUNCTION("""COMPUTED_VALUE"""),"PEREMPUAN")</f>
        <v>PEREMPUAN</v>
      </c>
      <c r="M792" s="16" t="str">
        <f>IFERROR(__xludf.DUMMYFUNCTION("""COMPUTED_VALUE"""),"Jl. Sui Raya Dalam Gg. Dango 1 A5")</f>
        <v>Jl. Sui Raya Dalam Gg. Dango 1 A5</v>
      </c>
      <c r="N792" s="16"/>
      <c r="O792" s="16"/>
      <c r="P792" s="16"/>
      <c r="Q792" s="16"/>
      <c r="R792" s="19" t="str">
        <f>IFERROR(__xludf.DUMMYFUNCTION("""COMPUTED_VALUE"""),"BUDDHA")</f>
        <v>BUDDHA</v>
      </c>
      <c r="S792" s="16" t="str">
        <f>IFERROR(__xludf.DUMMYFUNCTION("""COMPUTED_VALUE"""),"PELAJAR/MAHASISWA")</f>
        <v>PELAJAR/MAHASISWA</v>
      </c>
      <c r="T792" s="16" t="str">
        <f>IFERROR(__xludf.DUMMYFUNCTION("""COMPUTED_VALUE"""),"Kaki kanan kecil dari pada kaki kiri")</f>
        <v>Kaki kanan kecil dari pada kaki kiri</v>
      </c>
      <c r="U792" s="16" t="str">
        <f>IFERROR(__xludf.DUMMYFUNCTION("""COMPUTED_VALUE"""),"Sekolah")</f>
        <v>Sekolah</v>
      </c>
      <c r="V792" s="11" t="str">
        <f>IFERROR(__xludf.DUMMYFUNCTION("""COMPUTED_VALUE"""),"082149915575")</f>
        <v>082149915575</v>
      </c>
      <c r="W792" s="15"/>
    </row>
    <row r="793" ht="22.5" customHeight="1">
      <c r="A793" s="8"/>
      <c r="B793" s="9">
        <f>IFERROR(__xludf.DUMMYFUNCTION("""COMPUTED_VALUE"""),45221.46009491898)</f>
        <v>45221.46009</v>
      </c>
      <c r="C793" s="9"/>
      <c r="D793" s="10">
        <f>IFERROR(__xludf.DUMMYFUNCTION("""COMPUTED_VALUE"""),45221.0)</f>
        <v>45221</v>
      </c>
      <c r="E793" s="10" t="str">
        <f>IFERROR(__xludf.DUMMYFUNCTION("""COMPUTED_VALUE"""),"10Okt")</f>
        <v>10Okt</v>
      </c>
      <c r="F793" s="10" t="str">
        <f>IFERROR(__xludf.DUMMYFUNCTION("""COMPUTED_VALUE"""),"2023")</f>
        <v>2023</v>
      </c>
      <c r="G793" s="16" t="str">
        <f>IFERROR(__xludf.DUMMYFUNCTION("""COMPUTED_VALUE"""),"JAMILAH")</f>
        <v>JAMILAH</v>
      </c>
      <c r="H793" s="17" t="str">
        <f>IFERROR(__xludf.DUMMYFUNCTION("""COMPUTED_VALUE"""),"J6623101538")</f>
        <v>J6623101538</v>
      </c>
      <c r="I793" s="17">
        <f>IFERROR(__xludf.DUMMYFUNCTION("""COMPUTED_VALUE"""),60.0)</f>
        <v>60</v>
      </c>
      <c r="J793" s="17" t="str">
        <f>IFERROR(__xludf.DUMMYFUNCTION("""COMPUTED_VALUE"""),"&gt; 44 tahun")</f>
        <v>&gt; 44 tahun</v>
      </c>
      <c r="K793" s="19">
        <f>IFERROR(__xludf.DUMMYFUNCTION("""COMPUTED_VALUE"""),24201.0)</f>
        <v>24201</v>
      </c>
      <c r="L793" s="19" t="str">
        <f>IFERROR(__xludf.DUMMYFUNCTION("""COMPUTED_VALUE"""),"PEREMPUAN")</f>
        <v>PEREMPUAN</v>
      </c>
      <c r="M793" s="16" t="str">
        <f>IFERROR(__xludf.DUMMYFUNCTION("""COMPUTED_VALUE"""),"JALAN DR SUTOMO KOMPLEK BATARA INDAH 4 BLOK A 8")</f>
        <v>JALAN DR SUTOMO KOMPLEK BATARA INDAH 4 BLOK A 8</v>
      </c>
      <c r="N793" s="16"/>
      <c r="O793" s="16"/>
      <c r="P793" s="16"/>
      <c r="Q793" s="16"/>
      <c r="R793" s="19" t="str">
        <f>IFERROR(__xludf.DUMMYFUNCTION("""COMPUTED_VALUE"""),"ISLAM")</f>
        <v>ISLAM</v>
      </c>
      <c r="S793" s="16" t="str">
        <f>IFERROR(__xludf.DUMMYFUNCTION("""COMPUTED_VALUE"""),"RUMAH TANGGA")</f>
        <v>RUMAH TANGGA</v>
      </c>
      <c r="T793" s="16" t="str">
        <f>IFERROR(__xludf.DUMMYFUNCTION("""COMPUTED_VALUE"""),"KAKI TAK BISA UNTUK BERDIRI DAN TANGAN TAKBISS UNTUK BERPEGANGAN KAKI DAN TANGAN SEBELAH KIRI")</f>
        <v>KAKI TAK BISA UNTUK BERDIRI DAN TANGAN TAKBISS UNTUK BERPEGANGAN KAKI DAN TANGAN SEBELAH KIRI</v>
      </c>
      <c r="U793" s="16" t="str">
        <f>IFERROR(__xludf.DUMMYFUNCTION("""COMPUTED_VALUE"""),"AKTIVITAS DI RUMAH SAJA")</f>
        <v>AKTIVITAS DI RUMAH SAJA</v>
      </c>
      <c r="V793" s="11" t="str">
        <f>IFERROR(__xludf.DUMMYFUNCTION("""COMPUTED_VALUE"""),"082252391538")</f>
        <v>082252391538</v>
      </c>
      <c r="W793" s="15"/>
    </row>
    <row r="794" ht="22.5" customHeight="1">
      <c r="A794" s="8"/>
      <c r="B794" s="9">
        <f>IFERROR(__xludf.DUMMYFUNCTION("""COMPUTED_VALUE"""),45221.8640078125)</f>
        <v>45221.86401</v>
      </c>
      <c r="C794" s="9"/>
      <c r="D794" s="10">
        <f>IFERROR(__xludf.DUMMYFUNCTION("""COMPUTED_VALUE"""),45221.0)</f>
        <v>45221</v>
      </c>
      <c r="E794" s="10" t="str">
        <f>IFERROR(__xludf.DUMMYFUNCTION("""COMPUTED_VALUE"""),"10Okt")</f>
        <v>10Okt</v>
      </c>
      <c r="F794" s="10" t="str">
        <f>IFERROR(__xludf.DUMMYFUNCTION("""COMPUTED_VALUE"""),"2023")</f>
        <v>2023</v>
      </c>
      <c r="G794" s="16" t="str">
        <f>IFERROR(__xludf.DUMMYFUNCTION("""COMPUTED_VALUE"""),"RAFFASYA FATHAR FAHREZA")</f>
        <v>RAFFASYA FATHAR FAHREZA</v>
      </c>
      <c r="H794" s="17" t="str">
        <f>IFERROR(__xludf.DUMMYFUNCTION("""COMPUTED_VALUE"""),"R1123103939")</f>
        <v>R1123103939</v>
      </c>
      <c r="I794" s="17">
        <f>IFERROR(__xludf.DUMMYFUNCTION("""COMPUTED_VALUE"""),15.0)</f>
        <v>15</v>
      </c>
      <c r="J794" s="17" t="str">
        <f>IFERROR(__xludf.DUMMYFUNCTION("""COMPUTED_VALUE"""),"&lt; 18 tahun")</f>
        <v>&lt; 18 tahun</v>
      </c>
      <c r="K794" s="19">
        <f>IFERROR(__xludf.DUMMYFUNCTION("""COMPUTED_VALUE"""),40637.0)</f>
        <v>40637</v>
      </c>
      <c r="L794" s="19" t="str">
        <f>IFERROR(__xludf.DUMMYFUNCTION("""COMPUTED_VALUE"""),"LAKI-LAKI")</f>
        <v>LAKI-LAKI</v>
      </c>
      <c r="M794" s="16" t="str">
        <f>IFERROR(__xludf.DUMMYFUNCTION("""COMPUTED_VALUE"""),"Jln adi sucipto KM 11,2 no 89")</f>
        <v>Jln adi sucipto KM 11,2 no 89</v>
      </c>
      <c r="N794" s="16"/>
      <c r="O794" s="16"/>
      <c r="P794" s="16"/>
      <c r="Q794" s="16"/>
      <c r="R794" s="19" t="str">
        <f>IFERROR(__xludf.DUMMYFUNCTION("""COMPUTED_VALUE"""),"ISLAM")</f>
        <v>ISLAM</v>
      </c>
      <c r="S794" s="16" t="str">
        <f>IFERROR(__xludf.DUMMYFUNCTION("""COMPUTED_VALUE"""),"PELAJAR/MAHASISWA")</f>
        <v>PELAJAR/MAHASISWA</v>
      </c>
      <c r="T794" s="16" t="str">
        <f>IFERROR(__xludf.DUMMYFUNCTION("""COMPUTED_VALUE"""),"Nggak seimbang")</f>
        <v>Nggak seimbang</v>
      </c>
      <c r="U794" s="16" t="str">
        <f>IFERROR(__xludf.DUMMYFUNCTION("""COMPUTED_VALUE"""),"Sekolah")</f>
        <v>Sekolah</v>
      </c>
      <c r="V794" s="11" t="str">
        <f>IFERROR(__xludf.DUMMYFUNCTION("""COMPUTED_VALUE"""),"082351773939")</f>
        <v>082351773939</v>
      </c>
      <c r="W794" s="15"/>
    </row>
    <row r="795" ht="22.5" customHeight="1">
      <c r="A795" s="8"/>
      <c r="B795" s="9">
        <f>IFERROR(__xludf.DUMMYFUNCTION("""COMPUTED_VALUE"""),45222.420846354165)</f>
        <v>45222.42085</v>
      </c>
      <c r="C795" s="9"/>
      <c r="D795" s="10">
        <f>IFERROR(__xludf.DUMMYFUNCTION("""COMPUTED_VALUE"""),45222.0)</f>
        <v>45222</v>
      </c>
      <c r="E795" s="10" t="str">
        <f>IFERROR(__xludf.DUMMYFUNCTION("""COMPUTED_VALUE"""),"10Okt")</f>
        <v>10Okt</v>
      </c>
      <c r="F795" s="10" t="str">
        <f>IFERROR(__xludf.DUMMYFUNCTION("""COMPUTED_VALUE"""),"2023")</f>
        <v>2023</v>
      </c>
      <c r="G795" s="16" t="str">
        <f>IFERROR(__xludf.DUMMYFUNCTION("""COMPUTED_VALUE"""),"RANDY SIMAMORA")</f>
        <v>RANDY SIMAMORA</v>
      </c>
      <c r="H795" s="17" t="str">
        <f>IFERROR(__xludf.DUMMYFUNCTION("""COMPUTED_VALUE"""),"R8523108889")</f>
        <v>R8523108889</v>
      </c>
      <c r="I795" s="17">
        <f>IFERROR(__xludf.DUMMYFUNCTION("""COMPUTED_VALUE"""),40.0)</f>
        <v>40</v>
      </c>
      <c r="J795" s="17" t="str">
        <f>IFERROR(__xludf.DUMMYFUNCTION("""COMPUTED_VALUE"""),"35-44 tahun")</f>
        <v>35-44 tahun</v>
      </c>
      <c r="K795" s="19">
        <f>IFERROR(__xludf.DUMMYFUNCTION("""COMPUTED_VALUE"""),31395.0)</f>
        <v>31395</v>
      </c>
      <c r="L795" s="16"/>
      <c r="M795" s="16" t="str">
        <f>IFERROR(__xludf.DUMMYFUNCTION("""COMPUTED_VALUE"""),"Purnama Agung 7 Blok D17")</f>
        <v>Purnama Agung 7 Blok D17</v>
      </c>
      <c r="N795" s="16"/>
      <c r="O795" s="16"/>
      <c r="P795" s="16"/>
      <c r="Q795" s="16"/>
      <c r="R795" s="19" t="str">
        <f>IFERROR(__xludf.DUMMYFUNCTION("""COMPUTED_VALUE"""),"ISLAM")</f>
        <v>ISLAM</v>
      </c>
      <c r="S795" s="16" t="str">
        <f>IFERROR(__xludf.DUMMYFUNCTION("""COMPUTED_VALUE"""),"ASN")</f>
        <v>ASN</v>
      </c>
      <c r="T795" s="16" t="str">
        <f>IFERROR(__xludf.DUMMYFUNCTION("""COMPUTED_VALUE"""),"Paha Bagian Dalam")</f>
        <v>Paha Bagian Dalam</v>
      </c>
      <c r="U795" s="16" t="str">
        <f>IFERROR(__xludf.DUMMYFUNCTION("""COMPUTED_VALUE"""),"Olah Raga")</f>
        <v>Olah Raga</v>
      </c>
      <c r="V795" s="11" t="str">
        <f>IFERROR(__xludf.DUMMYFUNCTION("""COMPUTED_VALUE"""),"085252428889")</f>
        <v>085252428889</v>
      </c>
      <c r="W795" s="15"/>
    </row>
    <row r="796" ht="22.5" customHeight="1">
      <c r="A796" s="8"/>
      <c r="B796" s="9">
        <f>IFERROR(__xludf.DUMMYFUNCTION("""COMPUTED_VALUE"""),45222.556385625)</f>
        <v>45222.55639</v>
      </c>
      <c r="C796" s="9"/>
      <c r="D796" s="10">
        <f>IFERROR(__xludf.DUMMYFUNCTION("""COMPUTED_VALUE"""),45222.0)</f>
        <v>45222</v>
      </c>
      <c r="E796" s="10" t="str">
        <f>IFERROR(__xludf.DUMMYFUNCTION("""COMPUTED_VALUE"""),"10Okt")</f>
        <v>10Okt</v>
      </c>
      <c r="F796" s="10" t="str">
        <f>IFERROR(__xludf.DUMMYFUNCTION("""COMPUTED_VALUE"""),"2023")</f>
        <v>2023</v>
      </c>
      <c r="G796" s="16" t="str">
        <f>IFERROR(__xludf.DUMMYFUNCTION("""COMPUTED_VALUE"""),"RAYMANDO SUPRIYADI")</f>
        <v>RAYMANDO SUPRIYADI</v>
      </c>
      <c r="H796" s="17" t="str">
        <f>IFERROR(__xludf.DUMMYFUNCTION("""COMPUTED_VALUE"""),"R9023107777")</f>
        <v>R9023107777</v>
      </c>
      <c r="I796" s="17">
        <f>IFERROR(__xludf.DUMMYFUNCTION("""COMPUTED_VALUE"""),35.0)</f>
        <v>35</v>
      </c>
      <c r="J796" s="17" t="str">
        <f>IFERROR(__xludf.DUMMYFUNCTION("""COMPUTED_VALUE"""),"35-44 tahun")</f>
        <v>35-44 tahun</v>
      </c>
      <c r="K796" s="19">
        <f>IFERROR(__xludf.DUMMYFUNCTION("""COMPUTED_VALUE"""),33122.0)</f>
        <v>33122</v>
      </c>
      <c r="L796" s="19" t="str">
        <f>IFERROR(__xludf.DUMMYFUNCTION("""COMPUTED_VALUE"""),"LAKI-LAKI")</f>
        <v>LAKI-LAKI</v>
      </c>
      <c r="M796" s="16" t="str">
        <f>IFERROR(__xludf.DUMMYFUNCTION("""COMPUTED_VALUE"""),"MANYAR PERMAI 6 BLOK U8 NO.8")</f>
        <v>MANYAR PERMAI 6 BLOK U8 NO.8</v>
      </c>
      <c r="N796" s="16"/>
      <c r="O796" s="16"/>
      <c r="P796" s="16"/>
      <c r="Q796" s="16"/>
      <c r="R796" s="19" t="str">
        <f>IFERROR(__xludf.DUMMYFUNCTION("""COMPUTED_VALUE"""),"PROTESTAN")</f>
        <v>PROTESTAN</v>
      </c>
      <c r="S796" s="16" t="str">
        <f>IFERROR(__xludf.DUMMYFUNCTION("""COMPUTED_VALUE"""),"WIRASWASTA")</f>
        <v>WIRASWASTA</v>
      </c>
      <c r="T796" s="16" t="str">
        <f>IFERROR(__xludf.DUMMYFUNCTION("""COMPUTED_VALUE"""),"PASCA OPERASI ACL")</f>
        <v>PASCA OPERASI ACL</v>
      </c>
      <c r="U796" s="16" t="str">
        <f>IFERROR(__xludf.DUMMYFUNCTION("""COMPUTED_VALUE"""),"BASKET, BADMINTON")</f>
        <v>BASKET, BADMINTON</v>
      </c>
      <c r="V796" s="11" t="str">
        <f>IFERROR(__xludf.DUMMYFUNCTION("""COMPUTED_VALUE"""),"082173227777")</f>
        <v>082173227777</v>
      </c>
      <c r="W796" s="15"/>
    </row>
    <row r="797" ht="22.5" customHeight="1">
      <c r="A797" s="8" t="str">
        <f>IFERROR(__xludf.DUMMYFUNCTION("""COMPUTED_VALUE"""),"deva ")</f>
        <v>deva </v>
      </c>
      <c r="B797" s="9">
        <f>IFERROR(__xludf.DUMMYFUNCTION("""COMPUTED_VALUE"""),45222.556385625)</f>
        <v>45222.55639</v>
      </c>
      <c r="C797" s="9"/>
      <c r="D797" s="10">
        <f>IFERROR(__xludf.DUMMYFUNCTION("""COMPUTED_VALUE"""),45222.0)</f>
        <v>45222</v>
      </c>
      <c r="E797" s="10" t="str">
        <f>IFERROR(__xludf.DUMMYFUNCTION("""COMPUTED_VALUE"""),"10Okt")</f>
        <v>10Okt</v>
      </c>
      <c r="F797" s="10" t="str">
        <f>IFERROR(__xludf.DUMMYFUNCTION("""COMPUTED_VALUE"""),"2023")</f>
        <v>2023</v>
      </c>
      <c r="G797" s="16" t="str">
        <f>IFERROR(__xludf.DUMMYFUNCTION("""COMPUTED_VALUE"""),"RAYMANDO SUPRIYADI")</f>
        <v>RAYMANDO SUPRIYADI</v>
      </c>
      <c r="H797" s="17" t="str">
        <f>IFERROR(__xludf.DUMMYFUNCTION("""COMPUTED_VALUE"""),"R9023107777")</f>
        <v>R9023107777</v>
      </c>
      <c r="I797" s="17">
        <f>IFERROR(__xludf.DUMMYFUNCTION("""COMPUTED_VALUE"""),35.0)</f>
        <v>35</v>
      </c>
      <c r="J797" s="17" t="str">
        <f>IFERROR(__xludf.DUMMYFUNCTION("""COMPUTED_VALUE"""),"35-44 tahun")</f>
        <v>35-44 tahun</v>
      </c>
      <c r="K797" s="19">
        <f>IFERROR(__xludf.DUMMYFUNCTION("""COMPUTED_VALUE"""),33122.0)</f>
        <v>33122</v>
      </c>
      <c r="L797" s="19" t="str">
        <f>IFERROR(__xludf.DUMMYFUNCTION("""COMPUTED_VALUE"""),"LAKI-LAKI")</f>
        <v>LAKI-LAKI</v>
      </c>
      <c r="M797" s="16" t="str">
        <f>IFERROR(__xludf.DUMMYFUNCTION("""COMPUTED_VALUE"""),"MANYAR PERMAI 6 BLOK U8 NO.8")</f>
        <v>MANYAR PERMAI 6 BLOK U8 NO.8</v>
      </c>
      <c r="N797" s="16"/>
      <c r="O797" s="16"/>
      <c r="P797" s="16"/>
      <c r="Q797" s="16"/>
      <c r="R797" s="19" t="str">
        <f>IFERROR(__xludf.DUMMYFUNCTION("""COMPUTED_VALUE"""),"PROTESTAN")</f>
        <v>PROTESTAN</v>
      </c>
      <c r="S797" s="16" t="str">
        <f>IFERROR(__xludf.DUMMYFUNCTION("""COMPUTED_VALUE"""),"WIRASWASTA")</f>
        <v>WIRASWASTA</v>
      </c>
      <c r="T797" s="16" t="str">
        <f>IFERROR(__xludf.DUMMYFUNCTION("""COMPUTED_VALUE"""),"PASCA OPERASI ACL")</f>
        <v>PASCA OPERASI ACL</v>
      </c>
      <c r="U797" s="16" t="str">
        <f>IFERROR(__xludf.DUMMYFUNCTION("""COMPUTED_VALUE"""),"BASKET, BADMINTON")</f>
        <v>BASKET, BADMINTON</v>
      </c>
      <c r="V797" s="11" t="str">
        <f>IFERROR(__xludf.DUMMYFUNCTION("""COMPUTED_VALUE"""),"082173227777")</f>
        <v>082173227777</v>
      </c>
      <c r="W797" s="15"/>
    </row>
    <row r="798" ht="22.5" customHeight="1">
      <c r="A798" s="8"/>
      <c r="B798" s="9">
        <f>IFERROR(__xludf.DUMMYFUNCTION("""COMPUTED_VALUE"""),45222.74088907408)</f>
        <v>45222.74089</v>
      </c>
      <c r="C798" s="9"/>
      <c r="D798" s="10">
        <f>IFERROR(__xludf.DUMMYFUNCTION("""COMPUTED_VALUE"""),45222.0)</f>
        <v>45222</v>
      </c>
      <c r="E798" s="10" t="str">
        <f>IFERROR(__xludf.DUMMYFUNCTION("""COMPUTED_VALUE"""),"10Okt")</f>
        <v>10Okt</v>
      </c>
      <c r="F798" s="10" t="str">
        <f>IFERROR(__xludf.DUMMYFUNCTION("""COMPUTED_VALUE"""),"2023")</f>
        <v>2023</v>
      </c>
      <c r="G798" s="16" t="str">
        <f>IFERROR(__xludf.DUMMYFUNCTION("""COMPUTED_VALUE"""),"M.NUR RAHIM")</f>
        <v>M.NUR RAHIM</v>
      </c>
      <c r="H798" s="17" t="str">
        <f>IFERROR(__xludf.DUMMYFUNCTION("""COMPUTED_VALUE"""),"M0023107288")</f>
        <v>M0023107288</v>
      </c>
      <c r="I798" s="17">
        <f>IFERROR(__xludf.DUMMYFUNCTION("""COMPUTED_VALUE"""),25.0)</f>
        <v>25</v>
      </c>
      <c r="J798" s="17" t="str">
        <f>IFERROR(__xludf.DUMMYFUNCTION("""COMPUTED_VALUE"""),"25-34 tahun")</f>
        <v>25-34 tahun</v>
      </c>
      <c r="K798" s="19">
        <f>IFERROR(__xludf.DUMMYFUNCTION("""COMPUTED_VALUE"""),36825.0)</f>
        <v>36825</v>
      </c>
      <c r="L798" s="19" t="str">
        <f>IFERROR(__xludf.DUMMYFUNCTION("""COMPUTED_VALUE"""),"LAKI-LAKI")</f>
        <v>LAKI-LAKI</v>
      </c>
      <c r="M798" s="16" t="str">
        <f>IFERROR(__xludf.DUMMYFUNCTION("""COMPUTED_VALUE"""),"Jl Ayani 2 KOMP DUTA BANDARA BLOK C1 No 1")</f>
        <v>Jl Ayani 2 KOMP DUTA BANDARA BLOK C1 No 1</v>
      </c>
      <c r="N798" s="16"/>
      <c r="O798" s="16"/>
      <c r="P798" s="16"/>
      <c r="Q798" s="16"/>
      <c r="R798" s="19" t="str">
        <f>IFERROR(__xludf.DUMMYFUNCTION("""COMPUTED_VALUE"""),"ISLAM")</f>
        <v>ISLAM</v>
      </c>
      <c r="S798" s="16" t="str">
        <f>IFERROR(__xludf.DUMMYFUNCTION("""COMPUTED_VALUE"""),"SWASTA")</f>
        <v>SWASTA</v>
      </c>
      <c r="T798" s="16" t="str">
        <f>IFERROR(__xludf.DUMMYFUNCTION("""COMPUTED_VALUE"""),"Syaraf terjepit di pinggang,dan kaki agak terasa panjang sebelah kiri")</f>
        <v>Syaraf terjepit di pinggang,dan kaki agak terasa panjang sebelah kiri</v>
      </c>
      <c r="U798" s="16" t="str">
        <f>IFERROR(__xludf.DUMMYFUNCTION("""COMPUTED_VALUE"""),"Badminton")</f>
        <v>Badminton</v>
      </c>
      <c r="V798" s="11" t="str">
        <f>IFERROR(__xludf.DUMMYFUNCTION("""COMPUTED_VALUE"""),"089643997288")</f>
        <v>089643997288</v>
      </c>
      <c r="W798" s="15"/>
    </row>
    <row r="799" ht="22.5" customHeight="1">
      <c r="A799" s="8"/>
      <c r="B799" s="9">
        <f>IFERROR(__xludf.DUMMYFUNCTION("""COMPUTED_VALUE"""),45222.8162083912)</f>
        <v>45222.81621</v>
      </c>
      <c r="C799" s="9"/>
      <c r="D799" s="10">
        <f>IFERROR(__xludf.DUMMYFUNCTION("""COMPUTED_VALUE"""),45222.0)</f>
        <v>45222</v>
      </c>
      <c r="E799" s="10" t="str">
        <f>IFERROR(__xludf.DUMMYFUNCTION("""COMPUTED_VALUE"""),"10Okt")</f>
        <v>10Okt</v>
      </c>
      <c r="F799" s="10" t="str">
        <f>IFERROR(__xludf.DUMMYFUNCTION("""COMPUTED_VALUE"""),"2023")</f>
        <v>2023</v>
      </c>
      <c r="G799" s="16" t="str">
        <f>IFERROR(__xludf.DUMMYFUNCTION("""COMPUTED_VALUE"""),"ADISTY LUTHFI VIRGIANDA, S.PT")</f>
        <v>ADISTY LUTHFI VIRGIANDA, S.PT</v>
      </c>
      <c r="H799" s="17" t="str">
        <f>IFERROR(__xludf.DUMMYFUNCTION("""COMPUTED_VALUE"""),"A8823100077")</f>
        <v>A8823100077</v>
      </c>
      <c r="I799" s="17">
        <f>IFERROR(__xludf.DUMMYFUNCTION("""COMPUTED_VALUE"""),37.0)</f>
        <v>37</v>
      </c>
      <c r="J799" s="17" t="str">
        <f>IFERROR(__xludf.DUMMYFUNCTION("""COMPUTED_VALUE"""),"35-44 tahun")</f>
        <v>35-44 tahun</v>
      </c>
      <c r="K799" s="19">
        <f>IFERROR(__xludf.DUMMYFUNCTION("""COMPUTED_VALUE"""),32342.0)</f>
        <v>32342</v>
      </c>
      <c r="L799" s="19" t="str">
        <f>IFERROR(__xludf.DUMMYFUNCTION("""COMPUTED_VALUE"""),"PEREMPUAN")</f>
        <v>PEREMPUAN</v>
      </c>
      <c r="M799" s="16" t="str">
        <f>IFERROR(__xludf.DUMMYFUNCTION("""COMPUTED_VALUE"""),"Jl Danau Sentarum Gg Wonosobo Komplek Wono Asri, Pontianak")</f>
        <v>Jl Danau Sentarum Gg Wonosobo Komplek Wono Asri, Pontianak</v>
      </c>
      <c r="N799" s="16"/>
      <c r="O799" s="16"/>
      <c r="P799" s="16"/>
      <c r="Q799" s="16"/>
      <c r="R799" s="19" t="str">
        <f>IFERROR(__xludf.DUMMYFUNCTION("""COMPUTED_VALUE"""),"ISLAM")</f>
        <v>ISLAM</v>
      </c>
      <c r="S799" s="16" t="str">
        <f>IFERROR(__xludf.DUMMYFUNCTION("""COMPUTED_VALUE"""),"ASN")</f>
        <v>ASN</v>
      </c>
      <c r="T799" s="16" t="str">
        <f>IFERROR(__xludf.DUMMYFUNCTION("""COMPUTED_VALUE"""),"Cidera otot / kaku otot hamstring pada kaki sebelah kanan")</f>
        <v>Cidera otot / kaku otot hamstring pada kaki sebelah kanan</v>
      </c>
      <c r="U799" s="16" t="str">
        <f>IFERROR(__xludf.DUMMYFUNCTION("""COMPUTED_VALUE"""),"Olahraga muaythai/boxing saat weekend, bulutangkis dan jogging dengan interval panjang. Perjalanan ke luar kota")</f>
        <v>Olahraga muaythai/boxing saat weekend, bulutangkis dan jogging dengan interval panjang. Perjalanan ke luar kota</v>
      </c>
      <c r="V799" s="11" t="str">
        <f>IFERROR(__xludf.DUMMYFUNCTION("""COMPUTED_VALUE"""),"085252520077")</f>
        <v>085252520077</v>
      </c>
      <c r="W799" s="15"/>
    </row>
    <row r="800" ht="22.5" customHeight="1">
      <c r="A800" s="8"/>
      <c r="B800" s="9">
        <f>IFERROR(__xludf.DUMMYFUNCTION("""COMPUTED_VALUE"""),45224.399179988424)</f>
        <v>45224.39918</v>
      </c>
      <c r="C800" s="9"/>
      <c r="D800" s="10">
        <f>IFERROR(__xludf.DUMMYFUNCTION("""COMPUTED_VALUE"""),45222.6598175463)</f>
        <v>45222.65982</v>
      </c>
      <c r="E800" s="10" t="str">
        <f>IFERROR(__xludf.DUMMYFUNCTION("""COMPUTED_VALUE"""),"10Okt")</f>
        <v>10Okt</v>
      </c>
      <c r="F800" s="10" t="str">
        <f>IFERROR(__xludf.DUMMYFUNCTION("""COMPUTED_VALUE"""),"2023")</f>
        <v>2023</v>
      </c>
      <c r="G800" s="16" t="str">
        <f>IFERROR(__xludf.DUMMYFUNCTION("""COMPUTED_VALUE"""),"STEVEN LIUS")</f>
        <v>STEVEN LIUS</v>
      </c>
      <c r="H800" s="17" t="str">
        <f>IFERROR(__xludf.DUMMYFUNCTION("""COMPUTED_VALUE"""),"S9823105529")</f>
        <v>S9823105529</v>
      </c>
      <c r="I800" s="17">
        <f>IFERROR(__xludf.DUMMYFUNCTION("""COMPUTED_VALUE"""),27.0)</f>
        <v>27</v>
      </c>
      <c r="J800" s="17" t="str">
        <f>IFERROR(__xludf.DUMMYFUNCTION("""COMPUTED_VALUE"""),"25-34 tahun")</f>
        <v>25-34 tahun</v>
      </c>
      <c r="K800" s="19">
        <f>IFERROR(__xludf.DUMMYFUNCTION("""COMPUTED_VALUE"""),35988.0)</f>
        <v>35988</v>
      </c>
      <c r="L800" s="19" t="str">
        <f>IFERROR(__xludf.DUMMYFUNCTION("""COMPUTED_VALUE"""),"LAKI-LAKI")</f>
        <v>LAKI-LAKI</v>
      </c>
      <c r="M800" s="16" t="str">
        <f>IFERROR(__xludf.DUMMYFUNCTION("""COMPUTED_VALUE"""),"Jl. Imam Bonjol Gg. H. Mursyid No. 10")</f>
        <v>Jl. Imam Bonjol Gg. H. Mursyid No. 10</v>
      </c>
      <c r="N800" s="16"/>
      <c r="O800" s="16"/>
      <c r="P800" s="16"/>
      <c r="Q800" s="16"/>
      <c r="R800" s="19" t="str">
        <f>IFERROR(__xludf.DUMMYFUNCTION("""COMPUTED_VALUE"""),"KATOLIK")</f>
        <v>KATOLIK</v>
      </c>
      <c r="S800" s="16" t="str">
        <f>IFERROR(__xludf.DUMMYFUNCTION("""COMPUTED_VALUE"""),"WIRASWASTA")</f>
        <v>WIRASWASTA</v>
      </c>
      <c r="T800" s="16" t="str">
        <f>IFERROR(__xludf.DUMMYFUNCTION("""COMPUTED_VALUE"""),"Lower back pain")</f>
        <v>Lower back pain</v>
      </c>
      <c r="U800" s="16" t="str">
        <f>IFERROR(__xludf.DUMMYFUNCTION("""COMPUTED_VALUE"""),"Gym")</f>
        <v>Gym</v>
      </c>
      <c r="V800" s="11" t="str">
        <f>IFERROR(__xludf.DUMMYFUNCTION("""COMPUTED_VALUE"""),"082255355529")</f>
        <v>082255355529</v>
      </c>
      <c r="W800" s="15"/>
    </row>
    <row r="801" ht="22.5" customHeight="1">
      <c r="A801" s="8"/>
      <c r="B801" s="9">
        <f>IFERROR(__xludf.DUMMYFUNCTION("""COMPUTED_VALUE"""),45223.60189994213)</f>
        <v>45223.6019</v>
      </c>
      <c r="C801" s="9"/>
      <c r="D801" s="10">
        <f>IFERROR(__xludf.DUMMYFUNCTION("""COMPUTED_VALUE"""),45223.0)</f>
        <v>45223</v>
      </c>
      <c r="E801" s="10" t="str">
        <f>IFERROR(__xludf.DUMMYFUNCTION("""COMPUTED_VALUE"""),"10Okt")</f>
        <v>10Okt</v>
      </c>
      <c r="F801" s="10" t="str">
        <f>IFERROR(__xludf.DUMMYFUNCTION("""COMPUTED_VALUE"""),"2023")</f>
        <v>2023</v>
      </c>
      <c r="G801" s="16" t="str">
        <f>IFERROR(__xludf.DUMMYFUNCTION("""COMPUTED_VALUE"""),"ABYAN ODHY DZAKWAN")</f>
        <v>ABYAN ODHY DZAKWAN</v>
      </c>
      <c r="H801" s="17" t="str">
        <f>IFERROR(__xludf.DUMMYFUNCTION("""COMPUTED_VALUE"""),"A9823102419")</f>
        <v>A9823102419</v>
      </c>
      <c r="I801" s="17">
        <f>IFERROR(__xludf.DUMMYFUNCTION("""COMPUTED_VALUE"""),27.0)</f>
        <v>27</v>
      </c>
      <c r="J801" s="17" t="str">
        <f>IFERROR(__xludf.DUMMYFUNCTION("""COMPUTED_VALUE"""),"25-34 tahun")</f>
        <v>25-34 tahun</v>
      </c>
      <c r="K801" s="19">
        <f>IFERROR(__xludf.DUMMYFUNCTION("""COMPUTED_VALUE"""),36004.0)</f>
        <v>36004</v>
      </c>
      <c r="L801" s="19" t="str">
        <f>IFERROR(__xludf.DUMMYFUNCTION("""COMPUTED_VALUE"""),"LAKI-LAKI")</f>
        <v>LAKI-LAKI</v>
      </c>
      <c r="M801" s="16" t="str">
        <f>IFERROR(__xludf.DUMMYFUNCTION("""COMPUTED_VALUE"""),"PERUMAHAN TAMAN ANGGREK NO D 8")</f>
        <v>PERUMAHAN TAMAN ANGGREK NO D 8</v>
      </c>
      <c r="N801" s="16"/>
      <c r="O801" s="16"/>
      <c r="P801" s="16"/>
      <c r="Q801" s="16"/>
      <c r="R801" s="19" t="str">
        <f>IFERROR(__xludf.DUMMYFUNCTION("""COMPUTED_VALUE"""),"ISLAM")</f>
        <v>ISLAM</v>
      </c>
      <c r="S801" s="16" t="str">
        <f>IFERROR(__xludf.DUMMYFUNCTION("""COMPUTED_VALUE"""),"SWASTA")</f>
        <v>SWASTA</v>
      </c>
      <c r="T801" s="16" t="str">
        <f>IFERROR(__xludf.DUMMYFUNCTION("""COMPUTED_VALUE"""),"kanan tidak nyaman")</f>
        <v>kanan tidak nyaman</v>
      </c>
      <c r="U801" s="16" t="str">
        <f>IFERROR(__xludf.DUMMYFUNCTION("""COMPUTED_VALUE"""),"Kerja dan main game")</f>
        <v>Kerja dan main game</v>
      </c>
      <c r="V801" s="11" t="str">
        <f>IFERROR(__xludf.DUMMYFUNCTION("""COMPUTED_VALUE"""),"085287422419")</f>
        <v>085287422419</v>
      </c>
      <c r="W801" s="15"/>
    </row>
    <row r="802" ht="22.5" customHeight="1">
      <c r="A802" s="8"/>
      <c r="B802" s="9">
        <f>IFERROR(__xludf.DUMMYFUNCTION("""COMPUTED_VALUE"""),45223.72208895833)</f>
        <v>45223.72209</v>
      </c>
      <c r="C802" s="9"/>
      <c r="D802" s="10">
        <f>IFERROR(__xludf.DUMMYFUNCTION("""COMPUTED_VALUE"""),45223.0)</f>
        <v>45223</v>
      </c>
      <c r="E802" s="10" t="str">
        <f>IFERROR(__xludf.DUMMYFUNCTION("""COMPUTED_VALUE"""),"10Okt")</f>
        <v>10Okt</v>
      </c>
      <c r="F802" s="10" t="str">
        <f>IFERROR(__xludf.DUMMYFUNCTION("""COMPUTED_VALUE"""),"2023")</f>
        <v>2023</v>
      </c>
      <c r="G802" s="16" t="str">
        <f>IFERROR(__xludf.DUMMYFUNCTION("""COMPUTED_VALUE"""),"RIZKI SEPTI ARINI")</f>
        <v>RIZKI SEPTI ARINI</v>
      </c>
      <c r="H802" s="17" t="str">
        <f>IFERROR(__xludf.DUMMYFUNCTION("""COMPUTED_VALUE"""),"R0123107121")</f>
        <v>R0123107121</v>
      </c>
      <c r="I802" s="17">
        <f>IFERROR(__xludf.DUMMYFUNCTION("""COMPUTED_VALUE"""),24.0)</f>
        <v>24</v>
      </c>
      <c r="J802" s="17" t="str">
        <f>IFERROR(__xludf.DUMMYFUNCTION("""COMPUTED_VALUE"""),"18-24 tahun")</f>
        <v>18-24 tahun</v>
      </c>
      <c r="K802" s="19">
        <f>IFERROR(__xludf.DUMMYFUNCTION("""COMPUTED_VALUE"""),37162.0)</f>
        <v>37162</v>
      </c>
      <c r="L802" s="19" t="str">
        <f>IFERROR(__xludf.DUMMYFUNCTION("""COMPUTED_VALUE"""),"PEREMPUAN")</f>
        <v>PEREMPUAN</v>
      </c>
      <c r="M802" s="16" t="str">
        <f>IFERROR(__xludf.DUMMYFUNCTION("""COMPUTED_VALUE"""),"JL. ILHAM KOMP. ILHAM PERMAI NO.A 12A")</f>
        <v>JL. ILHAM KOMP. ILHAM PERMAI NO.A 12A</v>
      </c>
      <c r="N802" s="16"/>
      <c r="O802" s="16"/>
      <c r="P802" s="16"/>
      <c r="Q802" s="16"/>
      <c r="R802" s="19" t="str">
        <f>IFERROR(__xludf.DUMMYFUNCTION("""COMPUTED_VALUE"""),"ISLAM")</f>
        <v>ISLAM</v>
      </c>
      <c r="S802" s="16" t="str">
        <f>IFERROR(__xludf.DUMMYFUNCTION("""COMPUTED_VALUE"""),"TIDAK ADA")</f>
        <v>TIDAK ADA</v>
      </c>
      <c r="T802" s="16" t="str">
        <f>IFERROR(__xludf.DUMMYFUNCTION("""COMPUTED_VALUE"""),"BULAN MARET LALU SAYA HABIS TABRAKAN TAPI SAKITNYA MASIH SUKA KAMBUH SAMPAI SEKARANG, AWALNYA CUMAN SAKIT DARI BAGIAN PINGGANG SAMPAI KE TELAPAK KAKI TAPI BARU-BARU INI NGILUNYA SAMPAI KE PUNDAK TAPI CUMAN BAGIAN SEBELAH KIRI AJA")</f>
        <v>BULAN MARET LALU SAYA HABIS TABRAKAN TAPI SAKITNYA MASIH SUKA KAMBUH SAMPAI SEKARANG, AWALNYA CUMAN SAKIT DARI BAGIAN PINGGANG SAMPAI KE TELAPAK KAKI TAPI BARU-BARU INI NGILUNYA SAMPAI KE PUNDAK TAPI CUMAN BAGIAN SEBELAH KIRI AJA</v>
      </c>
      <c r="U802" s="16" t="str">
        <f>IFERROR(__xludf.DUMMYFUNCTION("""COMPUTED_VALUE"""),"AKTIVITAS SEHARI-HARI BERESIN RUMAH")</f>
        <v>AKTIVITAS SEHARI-HARI BERESIN RUMAH</v>
      </c>
      <c r="V802" s="11" t="str">
        <f>IFERROR(__xludf.DUMMYFUNCTION("""COMPUTED_VALUE"""),"081352697121")</f>
        <v>081352697121</v>
      </c>
      <c r="W802" s="15"/>
    </row>
    <row r="803" ht="22.5" customHeight="1">
      <c r="A803" s="8"/>
      <c r="B803" s="9">
        <f>IFERROR(__xludf.DUMMYFUNCTION("""COMPUTED_VALUE"""),45224.81715105324)</f>
        <v>45224.81715</v>
      </c>
      <c r="C803" s="9"/>
      <c r="D803" s="10">
        <f>IFERROR(__xludf.DUMMYFUNCTION("""COMPUTED_VALUE"""),45223.0)</f>
        <v>45223</v>
      </c>
      <c r="E803" s="10" t="str">
        <f>IFERROR(__xludf.DUMMYFUNCTION("""COMPUTED_VALUE"""),"10Okt")</f>
        <v>10Okt</v>
      </c>
      <c r="F803" s="10" t="str">
        <f>IFERROR(__xludf.DUMMYFUNCTION("""COMPUTED_VALUE"""),"2023")</f>
        <v>2023</v>
      </c>
      <c r="G803" s="16" t="str">
        <f>IFERROR(__xludf.DUMMYFUNCTION("""COMPUTED_VALUE"""),"MARLINA")</f>
        <v>MARLINA</v>
      </c>
      <c r="H803" s="17" t="str">
        <f>IFERROR(__xludf.DUMMYFUNCTION("""COMPUTED_VALUE"""),"M7723103095")</f>
        <v>M7723103095</v>
      </c>
      <c r="I803" s="17">
        <f>IFERROR(__xludf.DUMMYFUNCTION("""COMPUTED_VALUE"""),48.0)</f>
        <v>48</v>
      </c>
      <c r="J803" s="17" t="str">
        <f>IFERROR(__xludf.DUMMYFUNCTION("""COMPUTED_VALUE"""),"&gt; 44 tahun")</f>
        <v>&gt; 44 tahun</v>
      </c>
      <c r="K803" s="19">
        <f>IFERROR(__xludf.DUMMYFUNCTION("""COMPUTED_VALUE"""),28403.0)</f>
        <v>28403</v>
      </c>
      <c r="L803" s="19" t="str">
        <f>IFERROR(__xludf.DUMMYFUNCTION("""COMPUTED_VALUE"""),"PEREMPUAN")</f>
        <v>PEREMPUAN</v>
      </c>
      <c r="M803" s="16" t="str">
        <f>IFERROR(__xludf.DUMMYFUNCTION("""COMPUTED_VALUE"""),"Ketapang- Siduk (Tanjung Baik Budi)")</f>
        <v>Ketapang- Siduk (Tanjung Baik Budi)</v>
      </c>
      <c r="N803" s="16"/>
      <c r="O803" s="16"/>
      <c r="P803" s="16"/>
      <c r="Q803" s="16"/>
      <c r="R803" s="19" t="str">
        <f>IFERROR(__xludf.DUMMYFUNCTION("""COMPUTED_VALUE"""),"ISLAM")</f>
        <v>ISLAM</v>
      </c>
      <c r="S803" s="16" t="str">
        <f>IFERROR(__xludf.DUMMYFUNCTION("""COMPUTED_VALUE"""),"RUMAH TANGGA")</f>
        <v>RUMAH TANGGA</v>
      </c>
      <c r="T803" s="16" t="str">
        <f>IFERROR(__xludf.DUMMYFUNCTION("""COMPUTED_VALUE"""),"Sering sakit bagian tangan dan pundak, kram")</f>
        <v>Sering sakit bagian tangan dan pundak, kram</v>
      </c>
      <c r="U803" s="16" t="str">
        <f>IFERROR(__xludf.DUMMYFUNCTION("""COMPUTED_VALUE"""),"Menjaga Cucu")</f>
        <v>Menjaga Cucu</v>
      </c>
      <c r="V803" s="11" t="str">
        <f>IFERROR(__xludf.DUMMYFUNCTION("""COMPUTED_VALUE"""),"081351213095")</f>
        <v>081351213095</v>
      </c>
      <c r="W803" s="15"/>
    </row>
    <row r="804" ht="22.5" customHeight="1">
      <c r="A804" s="38"/>
      <c r="B804" s="24">
        <f>IFERROR(__xludf.DUMMYFUNCTION("""COMPUTED_VALUE"""),45224.82762145833)</f>
        <v>45224.82762</v>
      </c>
      <c r="C804" s="24"/>
      <c r="D804" s="10">
        <f>IFERROR(__xludf.DUMMYFUNCTION("""COMPUTED_VALUE"""),45223.0)</f>
        <v>45223</v>
      </c>
      <c r="E804" s="10" t="str">
        <f>IFERROR(__xludf.DUMMYFUNCTION("""COMPUTED_VALUE"""),"10Okt")</f>
        <v>10Okt</v>
      </c>
      <c r="F804" s="10" t="str">
        <f>IFERROR(__xludf.DUMMYFUNCTION("""COMPUTED_VALUE"""),"2023")</f>
        <v>2023</v>
      </c>
      <c r="G804" s="16" t="str">
        <f>IFERROR(__xludf.DUMMYFUNCTION("""COMPUTED_VALUE"""),"RYAN DAVID JONATHAN")</f>
        <v>RYAN DAVID JONATHAN</v>
      </c>
      <c r="H804" s="17" t="str">
        <f>IFERROR(__xludf.DUMMYFUNCTION("""COMPUTED_VALUE"""),"R0923106038")</f>
        <v>R0923106038</v>
      </c>
      <c r="I804" s="17">
        <f>IFERROR(__xludf.DUMMYFUNCTION("""COMPUTED_VALUE"""),16.0)</f>
        <v>16</v>
      </c>
      <c r="J804" s="17" t="str">
        <f>IFERROR(__xludf.DUMMYFUNCTION("""COMPUTED_VALUE"""),"&lt; 18 tahun")</f>
        <v>&lt; 18 tahun</v>
      </c>
      <c r="K804" s="19">
        <f>IFERROR(__xludf.DUMMYFUNCTION("""COMPUTED_VALUE"""),40040.0)</f>
        <v>40040</v>
      </c>
      <c r="L804" s="19" t="str">
        <f>IFERROR(__xludf.DUMMYFUNCTION("""COMPUTED_VALUE"""),"LAKI-LAKI")</f>
        <v>LAKI-LAKI</v>
      </c>
      <c r="M804" s="16" t="str">
        <f>IFERROR(__xludf.DUMMYFUNCTION("""COMPUTED_VALUE"""),"Jl HRA Rahman Komp Jawi Permai A10 Pontianak")</f>
        <v>Jl HRA Rahman Komp Jawi Permai A10 Pontianak</v>
      </c>
      <c r="N804" s="16"/>
      <c r="O804" s="16"/>
      <c r="P804" s="16"/>
      <c r="Q804" s="16"/>
      <c r="R804" s="19" t="str">
        <f>IFERROR(__xludf.DUMMYFUNCTION("""COMPUTED_VALUE"""),"KATOLIK")</f>
        <v>KATOLIK</v>
      </c>
      <c r="S804" s="16" t="str">
        <f>IFERROR(__xludf.DUMMYFUNCTION("""COMPUTED_VALUE"""),"PELAJAR/MAHASISWA")</f>
        <v>PELAJAR/MAHASISWA</v>
      </c>
      <c r="T804" s="16" t="str">
        <f>IFERROR(__xludf.DUMMYFUNCTION("""COMPUTED_VALUE"""),"Sakit tulang ekor")</f>
        <v>Sakit tulang ekor</v>
      </c>
      <c r="U804" s="16" t="str">
        <f>IFERROR(__xludf.DUMMYFUNCTION("""COMPUTED_VALUE"""),"badminton")</f>
        <v>badminton</v>
      </c>
      <c r="V804" s="11" t="str">
        <f>IFERROR(__xludf.DUMMYFUNCTION("""COMPUTED_VALUE"""),"0895619236038")</f>
        <v>0895619236038</v>
      </c>
      <c r="W804" s="15"/>
    </row>
    <row r="805" ht="22.5" customHeight="1">
      <c r="A805" s="38"/>
      <c r="B805" s="24">
        <f>IFERROR(__xludf.DUMMYFUNCTION("""COMPUTED_VALUE"""),45224.888724282406)</f>
        <v>45224.88872</v>
      </c>
      <c r="C805" s="24"/>
      <c r="D805" s="10">
        <f>IFERROR(__xludf.DUMMYFUNCTION("""COMPUTED_VALUE"""),45224.0)</f>
        <v>45224</v>
      </c>
      <c r="E805" s="10" t="str">
        <f>IFERROR(__xludf.DUMMYFUNCTION("""COMPUTED_VALUE"""),"10Okt")</f>
        <v>10Okt</v>
      </c>
      <c r="F805" s="10" t="str">
        <f>IFERROR(__xludf.DUMMYFUNCTION("""COMPUTED_VALUE"""),"2023")</f>
        <v>2023</v>
      </c>
      <c r="G805" s="16" t="str">
        <f>IFERROR(__xludf.DUMMYFUNCTION("""COMPUTED_VALUE"""),"DEWI SANDRAWATI")</f>
        <v>DEWI SANDRAWATI</v>
      </c>
      <c r="H805" s="17" t="str">
        <f>IFERROR(__xludf.DUMMYFUNCTION("""COMPUTED_VALUE"""),"D7223107675")</f>
        <v>D7223107675</v>
      </c>
      <c r="I805" s="17">
        <f>IFERROR(__xludf.DUMMYFUNCTION("""COMPUTED_VALUE"""),53.0)</f>
        <v>53</v>
      </c>
      <c r="J805" s="17" t="str">
        <f>IFERROR(__xludf.DUMMYFUNCTION("""COMPUTED_VALUE"""),"&gt; 44 tahun")</f>
        <v>&gt; 44 tahun</v>
      </c>
      <c r="K805" s="19">
        <f>IFERROR(__xludf.DUMMYFUNCTION("""COMPUTED_VALUE"""),26644.0)</f>
        <v>26644</v>
      </c>
      <c r="L805" s="19" t="str">
        <f>IFERROR(__xludf.DUMMYFUNCTION("""COMPUTED_VALUE"""),"PEREMPUAN")</f>
        <v>PEREMPUAN</v>
      </c>
      <c r="M805" s="16" t="str">
        <f>IFERROR(__xludf.DUMMYFUNCTION("""COMPUTED_VALUE"""),"Jl Adisucipto km 7,3 no 10")</f>
        <v>Jl Adisucipto km 7,3 no 10</v>
      </c>
      <c r="N805" s="16"/>
      <c r="O805" s="16"/>
      <c r="P805" s="16"/>
      <c r="Q805" s="16"/>
      <c r="R805" s="19" t="str">
        <f>IFERROR(__xludf.DUMMYFUNCTION("""COMPUTED_VALUE"""),"KHONGHUCU")</f>
        <v>KHONGHUCU</v>
      </c>
      <c r="S805" s="16" t="str">
        <f>IFERROR(__xludf.DUMMYFUNCTION("""COMPUTED_VALUE"""),"SWASTA")</f>
        <v>SWASTA</v>
      </c>
      <c r="T805" s="16" t="str">
        <f>IFERROR(__xludf.DUMMYFUNCTION("""COMPUTED_VALUE"""),"Sakit")</f>
        <v>Sakit</v>
      </c>
      <c r="U805" s="16" t="str">
        <f>IFERROR(__xludf.DUMMYFUNCTION("""COMPUTED_VALUE"""),"Menyanyi")</f>
        <v>Menyanyi</v>
      </c>
      <c r="V805" s="11" t="str">
        <f>IFERROR(__xludf.DUMMYFUNCTION("""COMPUTED_VALUE"""),"08125607675")</f>
        <v>08125607675</v>
      </c>
      <c r="W805" s="15"/>
    </row>
    <row r="806" ht="22.5" customHeight="1">
      <c r="A806" s="8"/>
      <c r="B806" s="9">
        <f>IFERROR(__xludf.DUMMYFUNCTION("""COMPUTED_VALUE"""),45227.45957224537)</f>
        <v>45227.45957</v>
      </c>
      <c r="C806" s="9"/>
      <c r="D806" s="10">
        <f>IFERROR(__xludf.DUMMYFUNCTION("""COMPUTED_VALUE"""),45224.0)</f>
        <v>45224</v>
      </c>
      <c r="E806" s="10" t="str">
        <f>IFERROR(__xludf.DUMMYFUNCTION("""COMPUTED_VALUE"""),"10Okt")</f>
        <v>10Okt</v>
      </c>
      <c r="F806" s="10" t="str">
        <f>IFERROR(__xludf.DUMMYFUNCTION("""COMPUTED_VALUE"""),"2023")</f>
        <v>2023</v>
      </c>
      <c r="G806" s="16" t="str">
        <f>IFERROR(__xludf.DUMMYFUNCTION("""COMPUTED_VALUE"""),"RUSMAWATI")</f>
        <v>RUSMAWATI</v>
      </c>
      <c r="H806" s="17" t="str">
        <f>IFERROR(__xludf.DUMMYFUNCTION("""COMPUTED_VALUE"""),"R7923101309")</f>
        <v>R7923101309</v>
      </c>
      <c r="I806" s="17">
        <f>IFERROR(__xludf.DUMMYFUNCTION("""COMPUTED_VALUE"""),46.0)</f>
        <v>46</v>
      </c>
      <c r="J806" s="17" t="str">
        <f>IFERROR(__xludf.DUMMYFUNCTION("""COMPUTED_VALUE"""),"&gt; 44 tahun")</f>
        <v>&gt; 44 tahun</v>
      </c>
      <c r="K806" s="19">
        <f>IFERROR(__xludf.DUMMYFUNCTION("""COMPUTED_VALUE"""),29111.0)</f>
        <v>29111</v>
      </c>
      <c r="L806" s="19" t="str">
        <f>IFERROR(__xludf.DUMMYFUNCTION("""COMPUTED_VALUE"""),"PEREMPUAN")</f>
        <v>PEREMPUAN</v>
      </c>
      <c r="M806" s="16" t="str">
        <f>IFERROR(__xludf.DUMMYFUNCTION("""COMPUTED_VALUE"""),"Jln. Raya centex")</f>
        <v>Jln. Raya centex</v>
      </c>
      <c r="N806" s="16"/>
      <c r="O806" s="16"/>
      <c r="P806" s="16"/>
      <c r="Q806" s="16"/>
      <c r="R806" s="19" t="str">
        <f>IFERROR(__xludf.DUMMYFUNCTION("""COMPUTED_VALUE"""),"ISLAM")</f>
        <v>ISLAM</v>
      </c>
      <c r="S806" s="16" t="str">
        <f>IFERROR(__xludf.DUMMYFUNCTION("""COMPUTED_VALUE"""),"TIDAK ADA")</f>
        <v>TIDAK ADA</v>
      </c>
      <c r="T806" s="16" t="str">
        <f>IFERROR(__xludf.DUMMYFUNCTION("""COMPUTED_VALUE"""),"Keseleo")</f>
        <v>Keseleo</v>
      </c>
      <c r="U806" s="16" t="str">
        <f>IFERROR(__xludf.DUMMYFUNCTION("""COMPUTED_VALUE"""),"Olahraga")</f>
        <v>Olahraga</v>
      </c>
      <c r="V806" s="11" t="str">
        <f>IFERROR(__xludf.DUMMYFUNCTION("""COMPUTED_VALUE"""),"08119281309")</f>
        <v>08119281309</v>
      </c>
      <c r="W806" s="15"/>
    </row>
    <row r="807" ht="22.5" customHeight="1">
      <c r="A807" s="8"/>
      <c r="B807" s="9">
        <f>IFERROR(__xludf.DUMMYFUNCTION("""COMPUTED_VALUE"""),45227.46680790509)</f>
        <v>45227.46681</v>
      </c>
      <c r="C807" s="9"/>
      <c r="D807" s="10">
        <f>IFERROR(__xludf.DUMMYFUNCTION("""COMPUTED_VALUE"""),45225.0)</f>
        <v>45225</v>
      </c>
      <c r="E807" s="10" t="str">
        <f>IFERROR(__xludf.DUMMYFUNCTION("""COMPUTED_VALUE"""),"10Okt")</f>
        <v>10Okt</v>
      </c>
      <c r="F807" s="10" t="str">
        <f>IFERROR(__xludf.DUMMYFUNCTION("""COMPUTED_VALUE"""),"2023")</f>
        <v>2023</v>
      </c>
      <c r="G807" s="16" t="str">
        <f>IFERROR(__xludf.DUMMYFUNCTION("""COMPUTED_VALUE"""),"SUKMA WULANDARI")</f>
        <v>SUKMA WULANDARI</v>
      </c>
      <c r="H807" s="17" t="str">
        <f>IFERROR(__xludf.DUMMYFUNCTION("""COMPUTED_VALUE"""),"S9923101070")</f>
        <v>S9923101070</v>
      </c>
      <c r="I807" s="17">
        <f>IFERROR(__xludf.DUMMYFUNCTION("""COMPUTED_VALUE"""),26.0)</f>
        <v>26</v>
      </c>
      <c r="J807" s="17" t="str">
        <f>IFERROR(__xludf.DUMMYFUNCTION("""COMPUTED_VALUE"""),"25-34 tahun")</f>
        <v>25-34 tahun</v>
      </c>
      <c r="K807" s="19">
        <f>IFERROR(__xludf.DUMMYFUNCTION("""COMPUTED_VALUE"""),36482.0)</f>
        <v>36482</v>
      </c>
      <c r="L807" s="19" t="str">
        <f>IFERROR(__xludf.DUMMYFUNCTION("""COMPUTED_VALUE"""),"PEREMPUAN")</f>
        <v>PEREMPUAN</v>
      </c>
      <c r="M807" s="16" t="str">
        <f>IFERROR(__xludf.DUMMYFUNCTION("""COMPUTED_VALUE"""),"Hilir tengah 1 ngabang")</f>
        <v>Hilir tengah 1 ngabang</v>
      </c>
      <c r="N807" s="16"/>
      <c r="O807" s="16"/>
      <c r="P807" s="16"/>
      <c r="Q807" s="16"/>
      <c r="R807" s="19" t="str">
        <f>IFERROR(__xludf.DUMMYFUNCTION("""COMPUTED_VALUE"""),"ISLAM")</f>
        <v>ISLAM</v>
      </c>
      <c r="S807" s="16" t="str">
        <f>IFERROR(__xludf.DUMMYFUNCTION("""COMPUTED_VALUE"""),"SWASTA")</f>
        <v>SWASTA</v>
      </c>
      <c r="T807" s="16" t="str">
        <f>IFERROR(__xludf.DUMMYFUNCTION("""COMPUTED_VALUE"""),"Kaki sebelah kanan sakit pada saat dilipat/ jongkok/ ditekuk")</f>
        <v>Kaki sebelah kanan sakit pada saat dilipat/ jongkok/ ditekuk</v>
      </c>
      <c r="U807" s="16" t="str">
        <f>IFERROR(__xludf.DUMMYFUNCTION("""COMPUTED_VALUE"""),"Aktivitas bekerja lapangan")</f>
        <v>Aktivitas bekerja lapangan</v>
      </c>
      <c r="V807" s="11" t="str">
        <f>IFERROR(__xludf.DUMMYFUNCTION("""COMPUTED_VALUE"""),"089522121070")</f>
        <v>089522121070</v>
      </c>
      <c r="W807" s="15"/>
    </row>
    <row r="808" ht="22.5" customHeight="1">
      <c r="A808" s="8"/>
      <c r="B808" s="9">
        <f>IFERROR(__xludf.DUMMYFUNCTION("""COMPUTED_VALUE"""),45227.474159641206)</f>
        <v>45227.47416</v>
      </c>
      <c r="C808" s="9"/>
      <c r="D808" s="10">
        <f>IFERROR(__xludf.DUMMYFUNCTION("""COMPUTED_VALUE"""),45227.0)</f>
        <v>45227</v>
      </c>
      <c r="E808" s="10" t="str">
        <f>IFERROR(__xludf.DUMMYFUNCTION("""COMPUTED_VALUE"""),"10Okt")</f>
        <v>10Okt</v>
      </c>
      <c r="F808" s="10" t="str">
        <f>IFERROR(__xludf.DUMMYFUNCTION("""COMPUTED_VALUE"""),"2023")</f>
        <v>2023</v>
      </c>
      <c r="G808" s="16" t="str">
        <f>IFERROR(__xludf.DUMMYFUNCTION("""COMPUTED_VALUE"""),"IRHAM")</f>
        <v>IRHAM</v>
      </c>
      <c r="H808" s="17" t="str">
        <f>IFERROR(__xludf.DUMMYFUNCTION("""COMPUTED_VALUE"""),"I8923107921")</f>
        <v>I8923107921</v>
      </c>
      <c r="I808" s="17">
        <f>IFERROR(__xludf.DUMMYFUNCTION("""COMPUTED_VALUE"""),36.0)</f>
        <v>36</v>
      </c>
      <c r="J808" s="17" t="str">
        <f>IFERROR(__xludf.DUMMYFUNCTION("""COMPUTED_VALUE"""),"35-44 tahun")</f>
        <v>35-44 tahun</v>
      </c>
      <c r="K808" s="19">
        <f>IFERROR(__xludf.DUMMYFUNCTION("""COMPUTED_VALUE"""),32722.0)</f>
        <v>32722</v>
      </c>
      <c r="L808" s="19" t="str">
        <f>IFERROR(__xludf.DUMMYFUNCTION("""COMPUTED_VALUE"""),"LAKI-LAKI")</f>
        <v>LAKI-LAKI</v>
      </c>
      <c r="M808" s="16" t="str">
        <f>IFERROR(__xludf.DUMMYFUNCTION("""COMPUTED_VALUE"""),"Jl. Bina Jaya gg. Batas Damai No.36")</f>
        <v>Jl. Bina Jaya gg. Batas Damai No.36</v>
      </c>
      <c r="N808" s="16"/>
      <c r="O808" s="16"/>
      <c r="P808" s="16"/>
      <c r="Q808" s="16"/>
      <c r="R808" s="19" t="str">
        <f>IFERROR(__xludf.DUMMYFUNCTION("""COMPUTED_VALUE"""),"ISLAM")</f>
        <v>ISLAM</v>
      </c>
      <c r="S808" s="16" t="str">
        <f>IFERROR(__xludf.DUMMYFUNCTION("""COMPUTED_VALUE"""),"BUMD")</f>
        <v>BUMD</v>
      </c>
      <c r="T808" s="16" t="str">
        <f>IFERROR(__xludf.DUMMYFUNCTION("""COMPUTED_VALUE"""),"Sakit Pinggang, sakit dari pinggang sampai kaki (betis) sebelah kanan")</f>
        <v>Sakit Pinggang, sakit dari pinggang sampai kaki (betis) sebelah kanan</v>
      </c>
      <c r="U808" s="16" t="str">
        <f>IFERROR(__xludf.DUMMYFUNCTION("""COMPUTED_VALUE"""),"Banyak duduk")</f>
        <v>Banyak duduk</v>
      </c>
      <c r="V808" s="11" t="str">
        <f>IFERROR(__xludf.DUMMYFUNCTION("""COMPUTED_VALUE"""),"085750427921")</f>
        <v>085750427921</v>
      </c>
      <c r="W808" s="15"/>
    </row>
    <row r="809" ht="22.5" customHeight="1">
      <c r="A809" s="8"/>
      <c r="B809" s="9">
        <f>IFERROR(__xludf.DUMMYFUNCTION("""COMPUTED_VALUE"""),45227.48415658565)</f>
        <v>45227.48416</v>
      </c>
      <c r="C809" s="9"/>
      <c r="D809" s="10">
        <f>IFERROR(__xludf.DUMMYFUNCTION("""COMPUTED_VALUE"""),45227.0)</f>
        <v>45227</v>
      </c>
      <c r="E809" s="10" t="str">
        <f>IFERROR(__xludf.DUMMYFUNCTION("""COMPUTED_VALUE"""),"10Okt")</f>
        <v>10Okt</v>
      </c>
      <c r="F809" s="10" t="str">
        <f>IFERROR(__xludf.DUMMYFUNCTION("""COMPUTED_VALUE"""),"2023")</f>
        <v>2023</v>
      </c>
      <c r="G809" s="16" t="str">
        <f>IFERROR(__xludf.DUMMYFUNCTION("""COMPUTED_VALUE"""),"ABDUL HALIM")</f>
        <v>ABDUL HALIM</v>
      </c>
      <c r="H809" s="17" t="str">
        <f>IFERROR(__xludf.DUMMYFUNCTION("""COMPUTED_VALUE"""),"A7623103883")</f>
        <v>A7623103883</v>
      </c>
      <c r="I809" s="17">
        <f>IFERROR(__xludf.DUMMYFUNCTION("""COMPUTED_VALUE"""),50.0)</f>
        <v>50</v>
      </c>
      <c r="J809" s="17" t="str">
        <f>IFERROR(__xludf.DUMMYFUNCTION("""COMPUTED_VALUE"""),"&gt; 44 tahun")</f>
        <v>&gt; 44 tahun</v>
      </c>
      <c r="K809" s="19">
        <f>IFERROR(__xludf.DUMMYFUNCTION("""COMPUTED_VALUE"""),27802.0)</f>
        <v>27802</v>
      </c>
      <c r="L809" s="19" t="str">
        <f>IFERROR(__xludf.DUMMYFUNCTION("""COMPUTED_VALUE"""),"LAKI-LAKI")</f>
        <v>LAKI-LAKI</v>
      </c>
      <c r="M809" s="16" t="str">
        <f>IFERROR(__xludf.DUMMYFUNCTION("""COMPUTED_VALUE"""),"Jl. Purnama agung 7 blok H no. 11 pontianak")</f>
        <v>Jl. Purnama agung 7 blok H no. 11 pontianak</v>
      </c>
      <c r="N809" s="16"/>
      <c r="O809" s="16"/>
      <c r="P809" s="16"/>
      <c r="Q809" s="16"/>
      <c r="R809" s="19" t="str">
        <f>IFERROR(__xludf.DUMMYFUNCTION("""COMPUTED_VALUE"""),"ISLAM")</f>
        <v>ISLAM</v>
      </c>
      <c r="S809" s="16" t="str">
        <f>IFERROR(__xludf.DUMMYFUNCTION("""COMPUTED_VALUE"""),"SWASTA")</f>
        <v>SWASTA</v>
      </c>
      <c r="T809" s="16" t="str">
        <f>IFERROR(__xludf.DUMMYFUNCTION("""COMPUTED_VALUE"""),"Sakit pinggang dan siku kanan")</f>
        <v>Sakit pinggang dan siku kanan</v>
      </c>
      <c r="U809" s="16" t="str">
        <f>IFERROR(__xludf.DUMMYFUNCTION("""COMPUTED_VALUE"""),"Tidak ada")</f>
        <v>Tidak ada</v>
      </c>
      <c r="V809" s="11" t="str">
        <f>IFERROR(__xludf.DUMMYFUNCTION("""COMPUTED_VALUE"""),"081345413883")</f>
        <v>081345413883</v>
      </c>
      <c r="W809" s="15"/>
    </row>
    <row r="810" ht="22.5" customHeight="1">
      <c r="A810" s="8"/>
      <c r="B810" s="9">
        <f>IFERROR(__xludf.DUMMYFUNCTION("""COMPUTED_VALUE"""),45227.43123901621)</f>
        <v>45227.43124</v>
      </c>
      <c r="C810" s="9"/>
      <c r="D810" s="10">
        <f>IFERROR(__xludf.DUMMYFUNCTION("""COMPUTED_VALUE"""),45227.0)</f>
        <v>45227</v>
      </c>
      <c r="E810" s="10" t="str">
        <f>IFERROR(__xludf.DUMMYFUNCTION("""COMPUTED_VALUE"""),"10Okt")</f>
        <v>10Okt</v>
      </c>
      <c r="F810" s="10" t="str">
        <f>IFERROR(__xludf.DUMMYFUNCTION("""COMPUTED_VALUE"""),"2023")</f>
        <v>2023</v>
      </c>
      <c r="G810" s="16" t="str">
        <f>IFERROR(__xludf.DUMMYFUNCTION("""COMPUTED_VALUE"""),"I MADE ARY PRADANA")</f>
        <v>I MADE ARY PRADANA</v>
      </c>
      <c r="H810" s="17" t="str">
        <f>IFERROR(__xludf.DUMMYFUNCTION("""COMPUTED_VALUE"""),"I7523102721")</f>
        <v>I7523102721</v>
      </c>
      <c r="I810" s="17">
        <f>IFERROR(__xludf.DUMMYFUNCTION("""COMPUTED_VALUE"""),50.0)</f>
        <v>50</v>
      </c>
      <c r="J810" s="17" t="str">
        <f>IFERROR(__xludf.DUMMYFUNCTION("""COMPUTED_VALUE"""),"&gt; 44 tahun")</f>
        <v>&gt; 44 tahun</v>
      </c>
      <c r="K810" s="19">
        <f>IFERROR(__xludf.DUMMYFUNCTION("""COMPUTED_VALUE"""),27645.0)</f>
        <v>27645</v>
      </c>
      <c r="L810" s="19" t="str">
        <f>IFERROR(__xludf.DUMMYFUNCTION("""COMPUTED_VALUE"""),"LAKI-LAKI")</f>
        <v>LAKI-LAKI</v>
      </c>
      <c r="M810" s="16" t="str">
        <f>IFERROR(__xludf.DUMMYFUNCTION("""COMPUTED_VALUE"""),"BUKIT CIMANGGU CITY BLOK DD5/8 CLUSTER MOUNTAIN PARK")</f>
        <v>BUKIT CIMANGGU CITY BLOK DD5/8 CLUSTER MOUNTAIN PARK</v>
      </c>
      <c r="N810" s="16"/>
      <c r="O810" s="16"/>
      <c r="P810" s="16"/>
      <c r="Q810" s="16"/>
      <c r="R810" s="19" t="str">
        <f>IFERROR(__xludf.DUMMYFUNCTION("""COMPUTED_VALUE"""),"ISLAM")</f>
        <v>ISLAM</v>
      </c>
      <c r="S810" s="16" t="str">
        <f>IFERROR(__xludf.DUMMYFUNCTION("""COMPUTED_VALUE"""),"TNI/POLRI")</f>
        <v>TNI/POLRI</v>
      </c>
      <c r="T810" s="16" t="str">
        <f>IFERROR(__xludf.DUMMYFUNCTION("""COMPUTED_VALUE"""),"REFLEKSI OTOT")</f>
        <v>REFLEKSI OTOT</v>
      </c>
      <c r="U810" s="16" t="str">
        <f>IFERROR(__xludf.DUMMYFUNCTION("""COMPUTED_VALUE"""),"OLAHRAGA")</f>
        <v>OLAHRAGA</v>
      </c>
      <c r="V810" s="11" t="str">
        <f>IFERROR(__xludf.DUMMYFUNCTION("""COMPUTED_VALUE"""),"081296142721")</f>
        <v>081296142721</v>
      </c>
      <c r="W810" s="15"/>
    </row>
    <row r="811" ht="22.5" customHeight="1">
      <c r="A811" s="8"/>
      <c r="B811" s="9">
        <f>IFERROR(__xludf.DUMMYFUNCTION("""COMPUTED_VALUE"""),45222.6598175463)</f>
        <v>45222.65982</v>
      </c>
      <c r="C811" s="9"/>
      <c r="D811" s="10">
        <f>IFERROR(__xludf.DUMMYFUNCTION("""COMPUTED_VALUE"""),45227.0)</f>
        <v>45227</v>
      </c>
      <c r="E811" s="10" t="str">
        <f>IFERROR(__xludf.DUMMYFUNCTION("""COMPUTED_VALUE"""),"10Okt")</f>
        <v>10Okt</v>
      </c>
      <c r="F811" s="10" t="str">
        <f>IFERROR(__xludf.DUMMYFUNCTION("""COMPUTED_VALUE"""),"2023")</f>
        <v>2023</v>
      </c>
      <c r="G811" s="16" t="str">
        <f>IFERROR(__xludf.DUMMYFUNCTION("""COMPUTED_VALUE"""),"SUGIARTI")</f>
        <v>SUGIARTI</v>
      </c>
      <c r="H811" s="17" t="str">
        <f>IFERROR(__xludf.DUMMYFUNCTION("""COMPUTED_VALUE"""),"S2323103009")</f>
        <v>S2323103009</v>
      </c>
      <c r="I811" s="17">
        <f>IFERROR(__xludf.DUMMYFUNCTION("""COMPUTED_VALUE"""),2.0)</f>
        <v>2</v>
      </c>
      <c r="J811" s="17" t="str">
        <f>IFERROR(__xludf.DUMMYFUNCTION("""COMPUTED_VALUE"""),"&lt; 18 tahun")</f>
        <v>&lt; 18 tahun</v>
      </c>
      <c r="K811" s="19">
        <f>IFERROR(__xludf.DUMMYFUNCTION("""COMPUTED_VALUE"""),45227.0)</f>
        <v>45227</v>
      </c>
      <c r="L811" s="19" t="str">
        <f>IFERROR(__xludf.DUMMYFUNCTION("""COMPUTED_VALUE"""),"PEREMPUAN")</f>
        <v>PEREMPUAN</v>
      </c>
      <c r="M811" s="16" t="str">
        <f>IFERROR(__xludf.DUMMYFUNCTION("""COMPUTED_VALUE"""),"Jl.Hm.Suwignyo Gg. Sabar no B 15")</f>
        <v>Jl.Hm.Suwignyo Gg. Sabar no B 15</v>
      </c>
      <c r="N811" s="16"/>
      <c r="O811" s="16"/>
      <c r="P811" s="16"/>
      <c r="Q811" s="16"/>
      <c r="R811" s="19" t="str">
        <f>IFERROR(__xludf.DUMMYFUNCTION("""COMPUTED_VALUE"""),"ISLAM")</f>
        <v>ISLAM</v>
      </c>
      <c r="S811" s="16" t="str">
        <f>IFERROR(__xludf.DUMMYFUNCTION("""COMPUTED_VALUE"""),"RUMAH TANGGA")</f>
        <v>RUMAH TANGGA</v>
      </c>
      <c r="T811" s="16" t="str">
        <f>IFERROR(__xludf.DUMMYFUNCTION("""COMPUTED_VALUE"""),"Kesemutan daerah tangan sebelah kiri")</f>
        <v>Kesemutan daerah tangan sebelah kiri</v>
      </c>
      <c r="U811" s="16" t="str">
        <f>IFERROR(__xludf.DUMMYFUNCTION("""COMPUTED_VALUE"""),"kerja Rumah tangga")</f>
        <v>kerja Rumah tangga</v>
      </c>
      <c r="V811" s="11" t="str">
        <f>IFERROR(__xludf.DUMMYFUNCTION("""COMPUTED_VALUE"""),"081352653009")</f>
        <v>081352653009</v>
      </c>
      <c r="W811" s="15"/>
    </row>
    <row r="812" ht="22.5" customHeight="1">
      <c r="A812" s="8"/>
      <c r="B812" s="9">
        <f>IFERROR(__xludf.DUMMYFUNCTION("""COMPUTED_VALUE"""),45228.50567324074)</f>
        <v>45228.50567</v>
      </c>
      <c r="C812" s="9"/>
      <c r="D812" s="10">
        <f>IFERROR(__xludf.DUMMYFUNCTION("""COMPUTED_VALUE"""),45227.0)</f>
        <v>45227</v>
      </c>
      <c r="E812" s="10" t="str">
        <f>IFERROR(__xludf.DUMMYFUNCTION("""COMPUTED_VALUE"""),"10Okt")</f>
        <v>10Okt</v>
      </c>
      <c r="F812" s="10" t="str">
        <f>IFERROR(__xludf.DUMMYFUNCTION("""COMPUTED_VALUE"""),"2023")</f>
        <v>2023</v>
      </c>
      <c r="G812" s="16" t="str">
        <f>IFERROR(__xludf.DUMMYFUNCTION("""COMPUTED_VALUE"""),"SASNITA SARI")</f>
        <v>SASNITA SARI</v>
      </c>
      <c r="H812" s="17" t="str">
        <f>IFERROR(__xludf.DUMMYFUNCTION("""COMPUTED_VALUE"""),"S8223104082")</f>
        <v>S8223104082</v>
      </c>
      <c r="I812" s="17">
        <f>IFERROR(__xludf.DUMMYFUNCTION("""COMPUTED_VALUE"""),44.0)</f>
        <v>44</v>
      </c>
      <c r="J812" s="17" t="str">
        <f>IFERROR(__xludf.DUMMYFUNCTION("""COMPUTED_VALUE"""),"35-44 tahun")</f>
        <v>35-44 tahun</v>
      </c>
      <c r="K812" s="21">
        <f>IFERROR(__xludf.DUMMYFUNCTION("""COMPUTED_VALUE"""),30051.0)</f>
        <v>30051</v>
      </c>
      <c r="L812" s="21" t="str">
        <f>IFERROR(__xludf.DUMMYFUNCTION("""COMPUTED_VALUE"""),"PEREMPUAN")</f>
        <v>PEREMPUAN</v>
      </c>
      <c r="M812" s="36" t="str">
        <f>IFERROR(__xludf.DUMMYFUNCTION("""COMPUTED_VALUE"""),"Jalan Prof M Yamin Gg Kemuning Jalur 3 No. 53")</f>
        <v>Jalan Prof M Yamin Gg Kemuning Jalur 3 No. 53</v>
      </c>
      <c r="N812" s="36"/>
      <c r="O812" s="36"/>
      <c r="P812" s="36"/>
      <c r="Q812" s="36"/>
      <c r="R812" s="21" t="str">
        <f>IFERROR(__xludf.DUMMYFUNCTION("""COMPUTED_VALUE"""),"ISLAM")</f>
        <v>ISLAM</v>
      </c>
      <c r="S812" s="16" t="str">
        <f>IFERROR(__xludf.DUMMYFUNCTION("""COMPUTED_VALUE"""),"RUMAH TANGGA")</f>
        <v>RUMAH TANGGA</v>
      </c>
      <c r="T812" s="36" t="str">
        <f>IFERROR(__xludf.DUMMYFUNCTION("""COMPUTED_VALUE"""),"Rasa kebas pada jari dan nyeri pada tangan kanan")</f>
        <v>Rasa kebas pada jari dan nyeri pada tangan kanan</v>
      </c>
      <c r="U812" s="36" t="str">
        <f>IFERROR(__xludf.DUMMYFUNCTION("""COMPUTED_VALUE"""),"Rumah Tangga dan membuat roti")</f>
        <v>Rumah Tangga dan membuat roti</v>
      </c>
      <c r="V812" s="37" t="str">
        <f>IFERROR(__xludf.DUMMYFUNCTION("""COMPUTED_VALUE"""),"0816204082")</f>
        <v>0816204082</v>
      </c>
      <c r="W812" s="22"/>
    </row>
    <row r="813" ht="22.5" customHeight="1">
      <c r="A813" s="8"/>
      <c r="B813" s="9">
        <f>IFERROR(__xludf.DUMMYFUNCTION("""COMPUTED_VALUE"""),45228.7676134838)</f>
        <v>45228.76761</v>
      </c>
      <c r="C813" s="9"/>
      <c r="D813" s="10">
        <f>IFERROR(__xludf.DUMMYFUNCTION("""COMPUTED_VALUE"""),45228.7676134838)</f>
        <v>45228.76761</v>
      </c>
      <c r="E813" s="10" t="str">
        <f>IFERROR(__xludf.DUMMYFUNCTION("""COMPUTED_VALUE"""),"10Okt")</f>
        <v>10Okt</v>
      </c>
      <c r="F813" s="10" t="str">
        <f>IFERROR(__xludf.DUMMYFUNCTION("""COMPUTED_VALUE"""),"2023")</f>
        <v>2023</v>
      </c>
      <c r="G813" s="16" t="str">
        <f>IFERROR(__xludf.DUMMYFUNCTION("""COMPUTED_VALUE"""),"DIMAS ANUGRO WIDIASTRIYANTO")</f>
        <v>DIMAS ANUGRO WIDIASTRIYANTO</v>
      </c>
      <c r="H813" s="17" t="str">
        <f>IFERROR(__xludf.DUMMYFUNCTION("""COMPUTED_VALUE"""),"D7723103389")</f>
        <v>D7723103389</v>
      </c>
      <c r="I813" s="17">
        <f>IFERROR(__xludf.DUMMYFUNCTION("""COMPUTED_VALUE"""),48.0)</f>
        <v>48</v>
      </c>
      <c r="J813" s="17" t="str">
        <f>IFERROR(__xludf.DUMMYFUNCTION("""COMPUTED_VALUE"""),"&gt; 44 tahun")</f>
        <v>&gt; 44 tahun</v>
      </c>
      <c r="K813" s="19">
        <f>IFERROR(__xludf.DUMMYFUNCTION("""COMPUTED_VALUE"""),28452.0)</f>
        <v>28452</v>
      </c>
      <c r="L813" s="19" t="str">
        <f>IFERROR(__xludf.DUMMYFUNCTION("""COMPUTED_VALUE"""),"LAKI-LAKI")</f>
        <v>LAKI-LAKI</v>
      </c>
      <c r="M813" s="16" t="str">
        <f>IFERROR(__xludf.DUMMYFUNCTION("""COMPUTED_VALUE"""),"Jalan Prof M Yamin Gg Kemuning Jalur 3 No. 53")</f>
        <v>Jalan Prof M Yamin Gg Kemuning Jalur 3 No. 53</v>
      </c>
      <c r="N813" s="16"/>
      <c r="O813" s="16"/>
      <c r="P813" s="16"/>
      <c r="Q813" s="16"/>
      <c r="R813" s="19" t="str">
        <f>IFERROR(__xludf.DUMMYFUNCTION("""COMPUTED_VALUE"""),"ISLAM")</f>
        <v>ISLAM</v>
      </c>
      <c r="S813" s="16" t="str">
        <f>IFERROR(__xludf.DUMMYFUNCTION("""COMPUTED_VALUE"""),"SWASTA")</f>
        <v>SWASTA</v>
      </c>
      <c r="T813" s="16" t="str">
        <f>IFERROR(__xludf.DUMMYFUNCTION("""COMPUTED_VALUE"""),"Sakit pada bahu dan lengan kanan")</f>
        <v>Sakit pada bahu dan lengan kanan</v>
      </c>
      <c r="U813" s="16" t="str">
        <f>IFERROR(__xludf.DUMMYFUNCTION("""COMPUTED_VALUE"""),"Antar jemput anak, produksi dan distribusi roti")</f>
        <v>Antar jemput anak, produksi dan distribusi roti</v>
      </c>
      <c r="V813" s="11" t="str">
        <f>IFERROR(__xludf.DUMMYFUNCTION("""COMPUTED_VALUE"""),"0816223389")</f>
        <v>0816223389</v>
      </c>
      <c r="W813" s="15"/>
    </row>
    <row r="814" ht="22.5" customHeight="1">
      <c r="A814" s="8"/>
      <c r="B814" s="9">
        <f>IFERROR(__xludf.DUMMYFUNCTION("""COMPUTED_VALUE"""),45228.774879675926)</f>
        <v>45228.77488</v>
      </c>
      <c r="C814" s="9"/>
      <c r="D814" s="10">
        <f>IFERROR(__xludf.DUMMYFUNCTION("""COMPUTED_VALUE"""),45229.0)</f>
        <v>45229</v>
      </c>
      <c r="E814" s="10" t="str">
        <f>IFERROR(__xludf.DUMMYFUNCTION("""COMPUTED_VALUE"""),"10Okt")</f>
        <v>10Okt</v>
      </c>
      <c r="F814" s="10" t="str">
        <f>IFERROR(__xludf.DUMMYFUNCTION("""COMPUTED_VALUE"""),"2023")</f>
        <v>2023</v>
      </c>
      <c r="G814" s="16" t="str">
        <f>IFERROR(__xludf.DUMMYFUNCTION("""COMPUTED_VALUE"""),"LIE SUAN")</f>
        <v>LIE SUAN</v>
      </c>
      <c r="H814" s="17" t="str">
        <f>IFERROR(__xludf.DUMMYFUNCTION("""COMPUTED_VALUE"""),"L7723109066")</f>
        <v>L7723109066</v>
      </c>
      <c r="I814" s="17">
        <f>IFERROR(__xludf.DUMMYFUNCTION("""COMPUTED_VALUE"""),49.0)</f>
        <v>49</v>
      </c>
      <c r="J814" s="17" t="str">
        <f>IFERROR(__xludf.DUMMYFUNCTION("""COMPUTED_VALUE"""),"&gt; 44 tahun")</f>
        <v>&gt; 44 tahun</v>
      </c>
      <c r="K814" s="19" t="str">
        <f>IFERROR(__xludf.DUMMYFUNCTION("""COMPUTED_VALUE"""),"01/03/1977")</f>
        <v>01/03/1977</v>
      </c>
      <c r="L814" s="19" t="str">
        <f>IFERROR(__xludf.DUMMYFUNCTION("""COMPUTED_VALUE"""),"PEREMPUAN")</f>
        <v>PEREMPUAN</v>
      </c>
      <c r="M814" s="16" t="str">
        <f>IFERROR(__xludf.DUMMYFUNCTION("""COMPUTED_VALUE"""),"JL. PURNAMA KOMP. AGUNG 1 C12A")</f>
        <v>JL. PURNAMA KOMP. AGUNG 1 C12A</v>
      </c>
      <c r="N814" s="16" t="str">
        <f>IFERROR(__xludf.DUMMYFUNCTION("""COMPUTED_VALUE"""),"PARIT TOKAYA")</f>
        <v>PARIT TOKAYA</v>
      </c>
      <c r="O814" s="16" t="str">
        <f>IFERROR(__xludf.DUMMYFUNCTION("""COMPUTED_VALUE"""),"PONTIANAK SELATAN")</f>
        <v>PONTIANAK SELATAN</v>
      </c>
      <c r="P814" s="16" t="str">
        <f>IFERROR(__xludf.DUMMYFUNCTION("""COMPUTED_VALUE"""),"PONTIANAK")</f>
        <v>PONTIANAK</v>
      </c>
      <c r="Q814" s="16" t="str">
        <f>IFERROR(__xludf.DUMMYFUNCTION("""COMPUTED_VALUE"""),"KALBAR")</f>
        <v>KALBAR</v>
      </c>
      <c r="R814" s="19" t="str">
        <f>IFERROR(__xludf.DUMMYFUNCTION("""COMPUTED_VALUE"""),"BUDDHA")</f>
        <v>BUDDHA</v>
      </c>
      <c r="S814" s="16" t="str">
        <f>IFERROR(__xludf.DUMMYFUNCTION("""COMPUTED_VALUE"""),"KARYAWAN SWASTA")</f>
        <v>KARYAWAN SWASTA</v>
      </c>
      <c r="T814" s="16" t="str">
        <f>IFERROR(__xludf.DUMMYFUNCTION("""COMPUTED_VALUE"""),"SAKIT BETIS SAMPAI TULANG PINGGUL")</f>
        <v>SAKIT BETIS SAMPAI TULANG PINGGUL</v>
      </c>
      <c r="U814" s="16" t="str">
        <f>IFERROR(__xludf.DUMMYFUNCTION("""COMPUTED_VALUE"""),"SENAM LINE DANCE")</f>
        <v>SENAM LINE DANCE</v>
      </c>
      <c r="V814" s="11" t="str">
        <f>IFERROR(__xludf.DUMMYFUNCTION("""COMPUTED_VALUE"""),"08115799066")</f>
        <v>08115799066</v>
      </c>
      <c r="W814" s="15"/>
    </row>
    <row r="815" ht="22.5" customHeight="1">
      <c r="A815" s="8"/>
      <c r="B815" s="9">
        <f>IFERROR(__xludf.DUMMYFUNCTION("""COMPUTED_VALUE"""),45228.79792702546)</f>
        <v>45228.79793</v>
      </c>
      <c r="C815" s="9"/>
      <c r="D815" s="10">
        <f>IFERROR(__xludf.DUMMYFUNCTION("""COMPUTED_VALUE"""),45229.0)</f>
        <v>45229</v>
      </c>
      <c r="E815" s="10" t="str">
        <f>IFERROR(__xludf.DUMMYFUNCTION("""COMPUTED_VALUE"""),"10Okt")</f>
        <v>10Okt</v>
      </c>
      <c r="F815" s="10" t="str">
        <f>IFERROR(__xludf.DUMMYFUNCTION("""COMPUTED_VALUE"""),"2023")</f>
        <v>2023</v>
      </c>
      <c r="G815" s="16" t="str">
        <f>IFERROR(__xludf.DUMMYFUNCTION("""COMPUTED_VALUE"""),"SRI NURHAYATI")</f>
        <v>SRI NURHAYATI</v>
      </c>
      <c r="H815" s="17" t="str">
        <f>IFERROR(__xludf.DUMMYFUNCTION("""COMPUTED_VALUE"""),"S7123108545")</f>
        <v>S7123108545</v>
      </c>
      <c r="I815" s="17">
        <f>IFERROR(__xludf.DUMMYFUNCTION("""COMPUTED_VALUE"""),55.0)</f>
        <v>55</v>
      </c>
      <c r="J815" s="17" t="str">
        <f>IFERROR(__xludf.DUMMYFUNCTION("""COMPUTED_VALUE"""),"&gt; 44 tahun")</f>
        <v>&gt; 44 tahun</v>
      </c>
      <c r="K815" s="19">
        <f>IFERROR(__xludf.DUMMYFUNCTION("""COMPUTED_VALUE"""),25937.0)</f>
        <v>25937</v>
      </c>
      <c r="L815" s="19" t="str">
        <f>IFERROR(__xludf.DUMMYFUNCTION("""COMPUTED_VALUE"""),"PEREMPUAN")</f>
        <v>PEREMPUAN</v>
      </c>
      <c r="M815" s="16" t="str">
        <f>IFERROR(__xludf.DUMMYFUNCTION("""COMPUTED_VALUE"""),"Jl Untung Suropati no.c/6 pontianak")</f>
        <v>Jl Untung Suropati no.c/6 pontianak</v>
      </c>
      <c r="N815" s="16"/>
      <c r="O815" s="16"/>
      <c r="P815" s="16"/>
      <c r="Q815" s="16"/>
      <c r="R815" s="19" t="str">
        <f>IFERROR(__xludf.DUMMYFUNCTION("""COMPUTED_VALUE"""),"ISLAM")</f>
        <v>ISLAM</v>
      </c>
      <c r="S815" s="16" t="str">
        <f>IFERROR(__xludf.DUMMYFUNCTION("""COMPUTED_VALUE"""),"ASN")</f>
        <v>ASN</v>
      </c>
      <c r="T815" s="16" t="str">
        <f>IFERROR(__xludf.DUMMYFUNCTION("""COMPUTED_VALUE"""),"Tangan semutan dan baal , kaku. Pinggang, pundak, kaki sakit akibat jatuh.syaraf kecepit")</f>
        <v>Tangan semutan dan baal , kaku. Pinggang, pundak, kaki sakit akibat jatuh.syaraf kecepit</v>
      </c>
      <c r="U815" s="16" t="str">
        <f>IFERROR(__xludf.DUMMYFUNCTION("""COMPUTED_VALUE"""),"Kerja kantor")</f>
        <v>Kerja kantor</v>
      </c>
      <c r="V815" s="11" t="str">
        <f>IFERROR(__xludf.DUMMYFUNCTION("""COMPUTED_VALUE"""),"082148748545")</f>
        <v>082148748545</v>
      </c>
      <c r="W815" s="15"/>
    </row>
    <row r="816" ht="22.5" customHeight="1">
      <c r="A816" s="8"/>
      <c r="B816" s="9">
        <f>IFERROR(__xludf.DUMMYFUNCTION("""COMPUTED_VALUE"""),45228.815888136574)</f>
        <v>45228.81589</v>
      </c>
      <c r="C816" s="9"/>
      <c r="D816" s="10">
        <f>IFERROR(__xludf.DUMMYFUNCTION("""COMPUTED_VALUE"""),45229.0)</f>
        <v>45229</v>
      </c>
      <c r="E816" s="10" t="str">
        <f>IFERROR(__xludf.DUMMYFUNCTION("""COMPUTED_VALUE"""),"10Okt")</f>
        <v>10Okt</v>
      </c>
      <c r="F816" s="10" t="str">
        <f>IFERROR(__xludf.DUMMYFUNCTION("""COMPUTED_VALUE"""),"2023")</f>
        <v>2023</v>
      </c>
      <c r="G816" s="16" t="str">
        <f>IFERROR(__xludf.DUMMYFUNCTION("""COMPUTED_VALUE"""),"HAPIDZUL NURINADI")</f>
        <v>HAPIDZUL NURINADI</v>
      </c>
      <c r="H816" s="17" t="str">
        <f>IFERROR(__xludf.DUMMYFUNCTION("""COMPUTED_VALUE"""),"H9523105799")</f>
        <v>H9523105799</v>
      </c>
      <c r="I816" s="17">
        <f>IFERROR(__xludf.DUMMYFUNCTION("""COMPUTED_VALUE"""),31.0)</f>
        <v>31</v>
      </c>
      <c r="J816" s="17" t="str">
        <f>IFERROR(__xludf.DUMMYFUNCTION("""COMPUTED_VALUE"""),"25-34 tahun")</f>
        <v>25-34 tahun</v>
      </c>
      <c r="K816" s="19">
        <f>IFERROR(__xludf.DUMMYFUNCTION("""COMPUTED_VALUE"""),34800.0)</f>
        <v>34800</v>
      </c>
      <c r="L816" s="19" t="str">
        <f>IFERROR(__xludf.DUMMYFUNCTION("""COMPUTED_VALUE"""),"LAKI-LAKI")</f>
        <v>LAKI-LAKI</v>
      </c>
      <c r="M816" s="16" t="str">
        <f>IFERROR(__xludf.DUMMYFUNCTION("""COMPUTED_VALUE"""),"Jl. Adisucipto Gg. H M Saleh, Arang Limbung Kubu Raya")</f>
        <v>Jl. Adisucipto Gg. H M Saleh, Arang Limbung Kubu Raya</v>
      </c>
      <c r="N816" s="16"/>
      <c r="O816" s="16"/>
      <c r="P816" s="16"/>
      <c r="Q816" s="16"/>
      <c r="R816" s="19" t="str">
        <f>IFERROR(__xludf.DUMMYFUNCTION("""COMPUTED_VALUE"""),"ISLAM")</f>
        <v>ISLAM</v>
      </c>
      <c r="S816" s="16" t="str">
        <f>IFERROR(__xludf.DUMMYFUNCTION("""COMPUTED_VALUE"""),"SWASTA")</f>
        <v>SWASTA</v>
      </c>
      <c r="T816" s="16" t="str">
        <f>IFERROR(__xludf.DUMMYFUNCTION("""COMPUTED_VALUE"""),"Habis Operasi ACL ( Ingin bisa kembali bermain seperti sedia kala)")</f>
        <v>Habis Operasi ACL ( Ingin bisa kembali bermain seperti sedia kala)</v>
      </c>
      <c r="U816" s="16" t="str">
        <f>IFERROR(__xludf.DUMMYFUNCTION("""COMPUTED_VALUE"""),"Futsal &amp; Sepakbola")</f>
        <v>Futsal &amp; Sepakbola</v>
      </c>
      <c r="V816" s="11" t="str">
        <f>IFERROR(__xludf.DUMMYFUNCTION("""COMPUTED_VALUE"""),"085350505799")</f>
        <v>085350505799</v>
      </c>
      <c r="W816" s="15"/>
    </row>
    <row r="817" ht="22.5" customHeight="1">
      <c r="A817" s="8"/>
      <c r="B817" s="9">
        <f>IFERROR(__xludf.DUMMYFUNCTION("""COMPUTED_VALUE"""),45229.603799386576)</f>
        <v>45229.6038</v>
      </c>
      <c r="C817" s="9"/>
      <c r="D817" s="10">
        <f>IFERROR(__xludf.DUMMYFUNCTION("""COMPUTED_VALUE"""),45229.0)</f>
        <v>45229</v>
      </c>
      <c r="E817" s="10" t="str">
        <f>IFERROR(__xludf.DUMMYFUNCTION("""COMPUTED_VALUE"""),"10Okt")</f>
        <v>10Okt</v>
      </c>
      <c r="F817" s="10" t="str">
        <f>IFERROR(__xludf.DUMMYFUNCTION("""COMPUTED_VALUE"""),"2023")</f>
        <v>2023</v>
      </c>
      <c r="G817" s="16" t="str">
        <f>IFERROR(__xludf.DUMMYFUNCTION("""COMPUTED_VALUE"""),"FILYSIA FEBRIANTINE")</f>
        <v>FILYSIA FEBRIANTINE</v>
      </c>
      <c r="H817" s="17" t="str">
        <f>IFERROR(__xludf.DUMMYFUNCTION("""COMPUTED_VALUE"""),"F9623104060")</f>
        <v>F9623104060</v>
      </c>
      <c r="I817" s="17">
        <f>IFERROR(__xludf.DUMMYFUNCTION("""COMPUTED_VALUE"""),30.0)</f>
        <v>30</v>
      </c>
      <c r="J817" s="17" t="str">
        <f>IFERROR(__xludf.DUMMYFUNCTION("""COMPUTED_VALUE"""),"25-34 tahun")</f>
        <v>25-34 tahun</v>
      </c>
      <c r="K817" s="19">
        <f>IFERROR(__xludf.DUMMYFUNCTION("""COMPUTED_VALUE"""),35110.0)</f>
        <v>35110</v>
      </c>
      <c r="L817" s="19" t="str">
        <f>IFERROR(__xludf.DUMMYFUNCTION("""COMPUTED_VALUE"""),"PEREMPUAN")</f>
        <v>PEREMPUAN</v>
      </c>
      <c r="M817" s="16" t="str">
        <f>IFERROR(__xludf.DUMMYFUNCTION("""COMPUTED_VALUE"""),"JL PURNAMA KOMP PERMATA PURNAMA NO AA2, PARIT TOKAYA, PONTIANAK SELATAN, KOTA PONTIANAK")</f>
        <v>JL PURNAMA KOMP PERMATA PURNAMA NO AA2, PARIT TOKAYA, PONTIANAK SELATAN, KOTA PONTIANAK</v>
      </c>
      <c r="N817" s="16"/>
      <c r="O817" s="16"/>
      <c r="P817" s="16"/>
      <c r="Q817" s="16"/>
      <c r="R817" s="19" t="str">
        <f>IFERROR(__xludf.DUMMYFUNCTION("""COMPUTED_VALUE"""),"KATOLIK")</f>
        <v>KATOLIK</v>
      </c>
      <c r="S817" s="16" t="str">
        <f>IFERROR(__xludf.DUMMYFUNCTION("""COMPUTED_VALUE"""),"WIRASWASTA")</f>
        <v>WIRASWASTA</v>
      </c>
      <c r="T817" s="16" t="str">
        <f>IFERROR(__xludf.DUMMYFUNCTION("""COMPUTED_VALUE"""),"PERGELANGAN TANGAN KIRI SAKIT")</f>
        <v>PERGELANGAN TANGAN KIRI SAKIT</v>
      </c>
      <c r="U817" s="16" t="str">
        <f>IFERROR(__xludf.DUMMYFUNCTION("""COMPUTED_VALUE"""),"OLAHRAGA (GYM DAN MUAYTHAI)")</f>
        <v>OLAHRAGA (GYM DAN MUAYTHAI)</v>
      </c>
      <c r="V817" s="11" t="str">
        <f>IFERROR(__xludf.DUMMYFUNCTION("""COMPUTED_VALUE"""),"081258744060")</f>
        <v>081258744060</v>
      </c>
      <c r="W817" s="15"/>
    </row>
    <row r="818" ht="22.5" customHeight="1">
      <c r="A818" s="8"/>
      <c r="B818" s="9">
        <f>IFERROR(__xludf.DUMMYFUNCTION("""COMPUTED_VALUE"""),45229.69349237268)</f>
        <v>45229.69349</v>
      </c>
      <c r="C818" s="9"/>
      <c r="D818" s="10">
        <f>IFERROR(__xludf.DUMMYFUNCTION("""COMPUTED_VALUE"""),45229.0)</f>
        <v>45229</v>
      </c>
      <c r="E818" s="10" t="str">
        <f>IFERROR(__xludf.DUMMYFUNCTION("""COMPUTED_VALUE"""),"10Okt")</f>
        <v>10Okt</v>
      </c>
      <c r="F818" s="10" t="str">
        <f>IFERROR(__xludf.DUMMYFUNCTION("""COMPUTED_VALUE"""),"2023")</f>
        <v>2023</v>
      </c>
      <c r="G818" s="16" t="str">
        <f>IFERROR(__xludf.DUMMYFUNCTION("""COMPUTED_VALUE"""),"ANGELIA PRATIWI MASTIURLANI CHRISTINA SITORUS")</f>
        <v>ANGELIA PRATIWI MASTIURLANI CHRISTINA SITORUS</v>
      </c>
      <c r="H818" s="17" t="str">
        <f>IFERROR(__xludf.DUMMYFUNCTION("""COMPUTED_VALUE"""),"A9123108805")</f>
        <v>A9123108805</v>
      </c>
      <c r="I818" s="17">
        <f>IFERROR(__xludf.DUMMYFUNCTION("""COMPUTED_VALUE"""),35.0)</f>
        <v>35</v>
      </c>
      <c r="J818" s="17" t="str">
        <f>IFERROR(__xludf.DUMMYFUNCTION("""COMPUTED_VALUE"""),"35-44 tahun")</f>
        <v>35-44 tahun</v>
      </c>
      <c r="K818" s="19">
        <f>IFERROR(__xludf.DUMMYFUNCTION("""COMPUTED_VALUE"""),33316.0)</f>
        <v>33316</v>
      </c>
      <c r="L818" s="19" t="str">
        <f>IFERROR(__xludf.DUMMYFUNCTION("""COMPUTED_VALUE"""),"PEREMPUAN")</f>
        <v>PEREMPUAN</v>
      </c>
      <c r="M818" s="16" t="str">
        <f>IFERROR(__xludf.DUMMYFUNCTION("""COMPUTED_VALUE"""),"JlL. PURNAMA AGUNG 7 NO. M2")</f>
        <v>JlL. PURNAMA AGUNG 7 NO. M2</v>
      </c>
      <c r="N818" s="16"/>
      <c r="O818" s="16"/>
      <c r="P818" s="16"/>
      <c r="Q818" s="16"/>
      <c r="R818" s="19" t="str">
        <f>IFERROR(__xludf.DUMMYFUNCTION("""COMPUTED_VALUE"""),"PROTESTAN")</f>
        <v>PROTESTAN</v>
      </c>
      <c r="S818" s="16" t="str">
        <f>IFERROR(__xludf.DUMMYFUNCTION("""COMPUTED_VALUE"""),"SWASTA")</f>
        <v>SWASTA</v>
      </c>
      <c r="T818" s="16" t="str">
        <f>IFERROR(__xludf.DUMMYFUNCTION("""COMPUTED_VALUE"""),"Semutan kaki kiri dan tangan kiri, setelah jatuh")</f>
        <v>Semutan kaki kiri dan tangan kiri, setelah jatuh</v>
      </c>
      <c r="U818" s="16" t="str">
        <f>IFERROR(__xludf.DUMMYFUNCTION("""COMPUTED_VALUE"""),"Mengajar")</f>
        <v>Mengajar</v>
      </c>
      <c r="V818" s="11" t="str">
        <f>IFERROR(__xludf.DUMMYFUNCTION("""COMPUTED_VALUE"""),"08981398805")</f>
        <v>08981398805</v>
      </c>
      <c r="W818" s="15"/>
    </row>
    <row r="819" ht="22.5" customHeight="1">
      <c r="A819" s="8"/>
      <c r="B819" s="9">
        <f>IFERROR(__xludf.DUMMYFUNCTION("""COMPUTED_VALUE"""),45228.665208101855)</f>
        <v>45228.66521</v>
      </c>
      <c r="C819" s="9"/>
      <c r="D819" s="10">
        <f>IFERROR(__xludf.DUMMYFUNCTION("""COMPUTED_VALUE"""),45229.0)</f>
        <v>45229</v>
      </c>
      <c r="E819" s="10" t="str">
        <f>IFERROR(__xludf.DUMMYFUNCTION("""COMPUTED_VALUE"""),"10Okt")</f>
        <v>10Okt</v>
      </c>
      <c r="F819" s="10" t="str">
        <f>IFERROR(__xludf.DUMMYFUNCTION("""COMPUTED_VALUE"""),"2023")</f>
        <v>2023</v>
      </c>
      <c r="G819" s="16" t="str">
        <f>IFERROR(__xludf.DUMMYFUNCTION("""COMPUTED_VALUE"""),"RINALDI")</f>
        <v>RINALDI</v>
      </c>
      <c r="H819" s="17" t="str">
        <f>IFERROR(__xludf.DUMMYFUNCTION("""COMPUTED_VALUE"""),"R0223102860")</f>
        <v>R0223102860</v>
      </c>
      <c r="I819" s="17">
        <f>IFERROR(__xludf.DUMMYFUNCTION("""COMPUTED_VALUE"""),23.0)</f>
        <v>23</v>
      </c>
      <c r="J819" s="17" t="str">
        <f>IFERROR(__xludf.DUMMYFUNCTION("""COMPUTED_VALUE"""),"18-24 tahun")</f>
        <v>18-24 tahun</v>
      </c>
      <c r="K819" s="21">
        <f>IFERROR(__xludf.DUMMYFUNCTION("""COMPUTED_VALUE"""),37501.0)</f>
        <v>37501</v>
      </c>
      <c r="L819" s="21" t="str">
        <f>IFERROR(__xludf.DUMMYFUNCTION("""COMPUTED_VALUE"""),"LAKI-LAKI")</f>
        <v>LAKI-LAKI</v>
      </c>
      <c r="M819" s="36" t="str">
        <f>IFERROR(__xludf.DUMMYFUNCTION("""COMPUTED_VALUE"""),"jln gaya baru gg orde baru2")</f>
        <v>jln gaya baru gg orde baru2</v>
      </c>
      <c r="N819" s="36"/>
      <c r="O819" s="36"/>
      <c r="P819" s="36"/>
      <c r="Q819" s="36"/>
      <c r="R819" s="21" t="str">
        <f>IFERROR(__xludf.DUMMYFUNCTION("""COMPUTED_VALUE"""),"ISLAM")</f>
        <v>ISLAM</v>
      </c>
      <c r="S819" s="16" t="str">
        <f>IFERROR(__xludf.DUMMYFUNCTION("""COMPUTED_VALUE"""),"SWASTA")</f>
        <v>SWASTA</v>
      </c>
      <c r="T819" s="36" t="str">
        <f>IFERROR(__xludf.DUMMYFUNCTION("""COMPUTED_VALUE"""),"ACL")</f>
        <v>ACL</v>
      </c>
      <c r="U819" s="36" t="str">
        <f>IFERROR(__xludf.DUMMYFUNCTION("""COMPUTED_VALUE"""),"futsal")</f>
        <v>futsal</v>
      </c>
      <c r="V819" s="37" t="str">
        <f>IFERROR(__xludf.DUMMYFUNCTION("""COMPUTED_VALUE"""),"0882021202860")</f>
        <v>0882021202860</v>
      </c>
      <c r="W819" s="22"/>
    </row>
    <row r="820" ht="22.5" customHeight="1">
      <c r="A820" s="8"/>
      <c r="B820" s="9">
        <f>IFERROR(__xludf.DUMMYFUNCTION("""COMPUTED_VALUE"""),45229.41357365741)</f>
        <v>45229.41357</v>
      </c>
      <c r="C820" s="9"/>
      <c r="D820" s="34">
        <f>IFERROR(__xludf.DUMMYFUNCTION("""COMPUTED_VALUE"""),45229.0)</f>
        <v>45229</v>
      </c>
      <c r="E820" s="34" t="str">
        <f>IFERROR(__xludf.DUMMYFUNCTION("""COMPUTED_VALUE"""),"10Okt")</f>
        <v>10Okt</v>
      </c>
      <c r="F820" s="34" t="str">
        <f>IFERROR(__xludf.DUMMYFUNCTION("""COMPUTED_VALUE"""),"2023")</f>
        <v>2023</v>
      </c>
      <c r="G820" s="35" t="str">
        <f>IFERROR(__xludf.DUMMYFUNCTION("""COMPUTED_VALUE"""),"SARI NURHADI")</f>
        <v>SARI NURHADI</v>
      </c>
      <c r="H820" s="17" t="str">
        <f>IFERROR(__xludf.DUMMYFUNCTION("""COMPUTED_VALUE"""),"S8823102299")</f>
        <v>S8823102299</v>
      </c>
      <c r="I820" s="17">
        <f>IFERROR(__xludf.DUMMYFUNCTION("""COMPUTED_VALUE"""),38.0)</f>
        <v>38</v>
      </c>
      <c r="J820" s="17" t="str">
        <f>IFERROR(__xludf.DUMMYFUNCTION("""COMPUTED_VALUE"""),"35-44 tahun")</f>
        <v>35-44 tahun</v>
      </c>
      <c r="K820" s="19">
        <f>IFERROR(__xludf.DUMMYFUNCTION("""COMPUTED_VALUE"""),32183.0)</f>
        <v>32183</v>
      </c>
      <c r="L820" s="19" t="str">
        <f>IFERROR(__xludf.DUMMYFUNCTION("""COMPUTED_VALUE"""),"PEREMPUAN")</f>
        <v>PEREMPUAN</v>
      </c>
      <c r="M820" s="36" t="str">
        <f>IFERROR(__xludf.DUMMYFUNCTION("""COMPUTED_VALUE"""),"Jl kemakmuran gg sepakat 2 no 1")</f>
        <v>Jl kemakmuran gg sepakat 2 no 1</v>
      </c>
      <c r="N820" s="35"/>
      <c r="O820" s="35"/>
      <c r="P820" s="35"/>
      <c r="Q820" s="16"/>
      <c r="R820" s="19" t="str">
        <f>IFERROR(__xludf.DUMMYFUNCTION("""COMPUTED_VALUE"""),"ISLAM")</f>
        <v>ISLAM</v>
      </c>
      <c r="S820" s="35" t="str">
        <f>IFERROR(__xludf.DUMMYFUNCTION("""COMPUTED_VALUE"""),"ASN")</f>
        <v>ASN</v>
      </c>
      <c r="T820" s="36" t="str">
        <f>IFERROR(__xludf.DUMMYFUNCTION("""COMPUTED_VALUE"""),"Tangan kanan kebas dan ngilu")</f>
        <v>Tangan kanan kebas dan ngilu</v>
      </c>
      <c r="U820" s="16" t="str">
        <f>IFERROR(__xludf.DUMMYFUNCTION("""COMPUTED_VALUE"""),"Bekerja kantoran")</f>
        <v>Bekerja kantoran</v>
      </c>
      <c r="V820" s="11" t="str">
        <f>IFERROR(__xludf.DUMMYFUNCTION("""COMPUTED_VALUE"""),"081255592299")</f>
        <v>081255592299</v>
      </c>
      <c r="W820" s="15"/>
    </row>
    <row r="821" ht="22.5" customHeight="1">
      <c r="A821" s="8"/>
      <c r="B821" s="9">
        <f>IFERROR(__xludf.DUMMYFUNCTION("""COMPUTED_VALUE"""),45230.404366250004)</f>
        <v>45230.40437</v>
      </c>
      <c r="C821" s="9"/>
      <c r="D821" s="10">
        <f>IFERROR(__xludf.DUMMYFUNCTION("""COMPUTED_VALUE"""),45229.0)</f>
        <v>45229</v>
      </c>
      <c r="E821" s="10" t="str">
        <f>IFERROR(__xludf.DUMMYFUNCTION("""COMPUTED_VALUE"""),"10Okt")</f>
        <v>10Okt</v>
      </c>
      <c r="F821" s="10" t="str">
        <f>IFERROR(__xludf.DUMMYFUNCTION("""COMPUTED_VALUE"""),"2023")</f>
        <v>2023</v>
      </c>
      <c r="G821" s="16" t="str">
        <f>IFERROR(__xludf.DUMMYFUNCTION("""COMPUTED_VALUE"""),"FAITH AYMAN SHIDDIQ")</f>
        <v>FAITH AYMAN SHIDDIQ</v>
      </c>
      <c r="H821" s="17" t="str">
        <f>IFERROR(__xludf.DUMMYFUNCTION("""COMPUTED_VALUE"""),"F1423102510")</f>
        <v>F1423102510</v>
      </c>
      <c r="I821" s="17">
        <f>IFERROR(__xludf.DUMMYFUNCTION("""COMPUTED_VALUE"""),12.0)</f>
        <v>12</v>
      </c>
      <c r="J821" s="17" t="str">
        <f>IFERROR(__xludf.DUMMYFUNCTION("""COMPUTED_VALUE"""),"&lt; 18 tahun")</f>
        <v>&lt; 18 tahun</v>
      </c>
      <c r="K821" s="19">
        <f>IFERROR(__xludf.DUMMYFUNCTION("""COMPUTED_VALUE"""),41747.0)</f>
        <v>41747</v>
      </c>
      <c r="L821" s="19" t="str">
        <f>IFERROR(__xludf.DUMMYFUNCTION("""COMPUTED_VALUE"""),"LAKI-LAKI")</f>
        <v>LAKI-LAKI</v>
      </c>
      <c r="M821" s="16" t="str">
        <f>IFERROR(__xludf.DUMMYFUNCTION("""COMPUTED_VALUE"""),"Ujung pandanv komp gemilang deluxe n0 12b")</f>
        <v>Ujung pandanv komp gemilang deluxe n0 12b</v>
      </c>
      <c r="N821" s="16"/>
      <c r="O821" s="16"/>
      <c r="P821" s="16"/>
      <c r="Q821" s="16"/>
      <c r="R821" s="19" t="str">
        <f>IFERROR(__xludf.DUMMYFUNCTION("""COMPUTED_VALUE"""),"ISLAM")</f>
        <v>ISLAM</v>
      </c>
      <c r="S821" s="16" t="str">
        <f>IFERROR(__xludf.DUMMYFUNCTION("""COMPUTED_VALUE"""),"PELAJAR/MAHASISWA")</f>
        <v>PELAJAR/MAHASISWA</v>
      </c>
      <c r="T821" s="16" t="str">
        <f>IFERROR(__xludf.DUMMYFUNCTION("""COMPUTED_VALUE"""),"Sakit pada otot kaki")</f>
        <v>Sakit pada otot kaki</v>
      </c>
      <c r="U821" s="16" t="str">
        <f>IFERROR(__xludf.DUMMYFUNCTION("""COMPUTED_VALUE"""),"Baca buku")</f>
        <v>Baca buku</v>
      </c>
      <c r="V821" s="11" t="str">
        <f>IFERROR(__xludf.DUMMYFUNCTION("""COMPUTED_VALUE"""),"085654212510")</f>
        <v>085654212510</v>
      </c>
      <c r="W821" s="15"/>
    </row>
    <row r="822" ht="22.5" customHeight="1">
      <c r="A822" s="8"/>
      <c r="B822" s="9">
        <f>IFERROR(__xludf.DUMMYFUNCTION("""COMPUTED_VALUE"""),45230.56374190972)</f>
        <v>45230.56374</v>
      </c>
      <c r="C822" s="9"/>
      <c r="D822" s="10">
        <f>IFERROR(__xludf.DUMMYFUNCTION("""COMPUTED_VALUE"""),45230.0)</f>
        <v>45230</v>
      </c>
      <c r="E822" s="10" t="str">
        <f>IFERROR(__xludf.DUMMYFUNCTION("""COMPUTED_VALUE"""),"10Okt")</f>
        <v>10Okt</v>
      </c>
      <c r="F822" s="10" t="str">
        <f>IFERROR(__xludf.DUMMYFUNCTION("""COMPUTED_VALUE"""),"2023")</f>
        <v>2023</v>
      </c>
      <c r="G822" s="16" t="str">
        <f>IFERROR(__xludf.DUMMYFUNCTION("""COMPUTED_VALUE"""),"LIM KHAU FENG")</f>
        <v>LIM KHAU FENG</v>
      </c>
      <c r="H822" s="17" t="str">
        <f>IFERROR(__xludf.DUMMYFUNCTION("""COMPUTED_VALUE"""),"L6023106135")</f>
        <v>L6023106135</v>
      </c>
      <c r="I822" s="17">
        <f>IFERROR(__xludf.DUMMYFUNCTION("""COMPUTED_VALUE"""),66.0)</f>
        <v>66</v>
      </c>
      <c r="J822" s="17" t="str">
        <f>IFERROR(__xludf.DUMMYFUNCTION("""COMPUTED_VALUE"""),"&gt; 44 tahun")</f>
        <v>&gt; 44 tahun</v>
      </c>
      <c r="K822" s="19">
        <f>IFERROR(__xludf.DUMMYFUNCTION("""COMPUTED_VALUE"""),22014.0)</f>
        <v>22014</v>
      </c>
      <c r="L822" s="19" t="str">
        <f>IFERROR(__xludf.DUMMYFUNCTION("""COMPUTED_VALUE"""),"PEREMPUAN")</f>
        <v>PEREMPUAN</v>
      </c>
      <c r="M822" s="16" t="str">
        <f>IFERROR(__xludf.DUMMYFUNCTION("""COMPUTED_VALUE"""),"Jl.KHW Hasyim Gg.setia")</f>
        <v>Jl.KHW Hasyim Gg.setia</v>
      </c>
      <c r="N822" s="16"/>
      <c r="O822" s="16"/>
      <c r="P822" s="16"/>
      <c r="Q822" s="16"/>
      <c r="R822" s="19" t="str">
        <f>IFERROR(__xludf.DUMMYFUNCTION("""COMPUTED_VALUE"""),"BUDDHA")</f>
        <v>BUDDHA</v>
      </c>
      <c r="S822" s="16" t="str">
        <f>IFERROR(__xludf.DUMMYFUNCTION("""COMPUTED_VALUE"""),"RUMAH TANGGA")</f>
        <v>RUMAH TANGGA</v>
      </c>
      <c r="T822" s="16" t="str">
        <f>IFERROR(__xludf.DUMMYFUNCTION("""COMPUTED_VALUE"""),"Spondylo listhesis")</f>
        <v>Spondylo listhesis</v>
      </c>
      <c r="U822" s="16" t="str">
        <f>IFERROR(__xludf.DUMMYFUNCTION("""COMPUTED_VALUE"""),"IRT")</f>
        <v>IRT</v>
      </c>
      <c r="V822" s="11" t="str">
        <f>IFERROR(__xludf.DUMMYFUNCTION("""COMPUTED_VALUE"""),"081348786135")</f>
        <v>081348786135</v>
      </c>
      <c r="W822" s="15"/>
    </row>
    <row r="823" ht="22.5" customHeight="1">
      <c r="A823" s="8"/>
      <c r="B823" s="9">
        <f>IFERROR(__xludf.DUMMYFUNCTION("""COMPUTED_VALUE"""),45230.574783599535)</f>
        <v>45230.57478</v>
      </c>
      <c r="C823" s="9"/>
      <c r="D823" s="10">
        <f>IFERROR(__xludf.DUMMYFUNCTION("""COMPUTED_VALUE"""),45230.0)</f>
        <v>45230</v>
      </c>
      <c r="E823" s="10" t="str">
        <f>IFERROR(__xludf.DUMMYFUNCTION("""COMPUTED_VALUE"""),"10Okt")</f>
        <v>10Okt</v>
      </c>
      <c r="F823" s="10" t="str">
        <f>IFERROR(__xludf.DUMMYFUNCTION("""COMPUTED_VALUE"""),"2023")</f>
        <v>2023</v>
      </c>
      <c r="G823" s="16" t="str">
        <f>IFERROR(__xludf.DUMMYFUNCTION("""COMPUTED_VALUE"""),"WENDHA HIMAWAN")</f>
        <v>WENDHA HIMAWAN</v>
      </c>
      <c r="H823" s="17" t="str">
        <f>IFERROR(__xludf.DUMMYFUNCTION("""COMPUTED_VALUE"""),"W9123103320")</f>
        <v>W9123103320</v>
      </c>
      <c r="I823" s="17">
        <f>IFERROR(__xludf.DUMMYFUNCTION("""COMPUTED_VALUE"""),34.0)</f>
        <v>34</v>
      </c>
      <c r="J823" s="17" t="str">
        <f>IFERROR(__xludf.DUMMYFUNCTION("""COMPUTED_VALUE"""),"25-34 tahun")</f>
        <v>25-34 tahun</v>
      </c>
      <c r="K823" s="19">
        <f>IFERROR(__xludf.DUMMYFUNCTION("""COMPUTED_VALUE"""),33454.0)</f>
        <v>33454</v>
      </c>
      <c r="L823" s="19" t="str">
        <f>IFERROR(__xludf.DUMMYFUNCTION("""COMPUTED_VALUE"""),"LAKI-LAKI")</f>
        <v>LAKI-LAKI</v>
      </c>
      <c r="M823" s="16" t="str">
        <f>IFERROR(__xludf.DUMMYFUNCTION("""COMPUTED_VALUE"""),"Jalan Sejarah Gg Sejarah No 4")</f>
        <v>Jalan Sejarah Gg Sejarah No 4</v>
      </c>
      <c r="N823" s="16"/>
      <c r="O823" s="16"/>
      <c r="P823" s="16"/>
      <c r="Q823" s="16"/>
      <c r="R823" s="19" t="str">
        <f>IFERROR(__xludf.DUMMYFUNCTION("""COMPUTED_VALUE"""),"ISLAM")</f>
        <v>ISLAM</v>
      </c>
      <c r="S823" s="16" t="str">
        <f>IFERROR(__xludf.DUMMYFUNCTION("""COMPUTED_VALUE"""),"SWASTA")</f>
        <v>SWASTA</v>
      </c>
      <c r="T823" s="16" t="str">
        <f>IFERROR(__xludf.DUMMYFUNCTION("""COMPUTED_VALUE"""),"Nyeri sekitar kaki kiri")</f>
        <v>Nyeri sekitar kaki kiri</v>
      </c>
      <c r="U823" s="16" t="str">
        <f>IFERROR(__xludf.DUMMYFUNCTION("""COMPUTED_VALUE"""),"Olahraga")</f>
        <v>Olahraga</v>
      </c>
      <c r="V823" s="11" t="str">
        <f>IFERROR(__xludf.DUMMYFUNCTION("""COMPUTED_VALUE"""),"08115633320")</f>
        <v>08115633320</v>
      </c>
      <c r="W823" s="15"/>
    </row>
    <row r="824" ht="22.5" customHeight="1">
      <c r="A824" s="28"/>
      <c r="B824" s="9">
        <f>IFERROR(__xludf.DUMMYFUNCTION("""COMPUTED_VALUE"""),45230.75673390046)</f>
        <v>45230.75673</v>
      </c>
      <c r="C824" s="9"/>
      <c r="D824" s="10">
        <f>IFERROR(__xludf.DUMMYFUNCTION("""COMPUTED_VALUE"""),45230.0)</f>
        <v>45230</v>
      </c>
      <c r="E824" s="10" t="str">
        <f>IFERROR(__xludf.DUMMYFUNCTION("""COMPUTED_VALUE"""),"10Okt")</f>
        <v>10Okt</v>
      </c>
      <c r="F824" s="10" t="str">
        <f>IFERROR(__xludf.DUMMYFUNCTION("""COMPUTED_VALUE"""),"2023")</f>
        <v>2023</v>
      </c>
      <c r="G824" s="16" t="str">
        <f>IFERROR(__xludf.DUMMYFUNCTION("""COMPUTED_VALUE"""),"NOVI HASRIANTI")</f>
        <v>NOVI HASRIANTI</v>
      </c>
      <c r="H824" s="17" t="str">
        <f>IFERROR(__xludf.DUMMYFUNCTION("""COMPUTED_VALUE"""),"N9723100737")</f>
        <v>N9723100737</v>
      </c>
      <c r="I824" s="17">
        <f>IFERROR(__xludf.DUMMYFUNCTION("""COMPUTED_VALUE"""),28.0)</f>
        <v>28</v>
      </c>
      <c r="J824" s="17" t="str">
        <f>IFERROR(__xludf.DUMMYFUNCTION("""COMPUTED_VALUE"""),"25-34 tahun")</f>
        <v>25-34 tahun</v>
      </c>
      <c r="K824" s="19">
        <f>IFERROR(__xludf.DUMMYFUNCTION("""COMPUTED_VALUE"""),35735.0)</f>
        <v>35735</v>
      </c>
      <c r="L824" s="19" t="str">
        <f>IFERROR(__xludf.DUMMYFUNCTION("""COMPUTED_VALUE"""),"PEREMPUAN")</f>
        <v>PEREMPUAN</v>
      </c>
      <c r="M824" s="16" t="str">
        <f>IFERROR(__xludf.DUMMYFUNCTION("""COMPUTED_VALUE"""),"Jl. Ujung Pandang 2 Komplek The Green Mansion no a1")</f>
        <v>Jl. Ujung Pandang 2 Komplek The Green Mansion no a1</v>
      </c>
      <c r="N824" s="16"/>
      <c r="O824" s="16"/>
      <c r="P824" s="16"/>
      <c r="Q824" s="16"/>
      <c r="R824" s="19" t="str">
        <f>IFERROR(__xludf.DUMMYFUNCTION("""COMPUTED_VALUE"""),"ISLAM")</f>
        <v>ISLAM</v>
      </c>
      <c r="S824" s="16" t="str">
        <f>IFERROR(__xludf.DUMMYFUNCTION("""COMPUTED_VALUE"""),"RUMAH TANGGA")</f>
        <v>RUMAH TANGGA</v>
      </c>
      <c r="T824" s="16" t="str">
        <f>IFERROR(__xludf.DUMMYFUNCTION("""COMPUTED_VALUE"""),"Nyeri dibagian kaki dibawah betis sebelah kiri")</f>
        <v>Nyeri dibagian kaki dibawah betis sebelah kiri</v>
      </c>
      <c r="U824" s="16" t="str">
        <f>IFERROR(__xludf.DUMMYFUNCTION("""COMPUTED_VALUE"""),"Pekerjaan rumah tangga")</f>
        <v>Pekerjaan rumah tangga</v>
      </c>
      <c r="V824" s="11" t="str">
        <f>IFERROR(__xludf.DUMMYFUNCTION("""COMPUTED_VALUE"""),"082234210737")</f>
        <v>082234210737</v>
      </c>
      <c r="W824" s="15"/>
    </row>
    <row r="825" ht="22.5" customHeight="1">
      <c r="A825" s="8"/>
      <c r="B825" s="9">
        <f>IFERROR(__xludf.DUMMYFUNCTION("""COMPUTED_VALUE"""),45230.77932695602)</f>
        <v>45230.77933</v>
      </c>
      <c r="C825" s="9"/>
      <c r="D825" s="10">
        <f>IFERROR(__xludf.DUMMYFUNCTION("""COMPUTED_VALUE"""),45230.0)</f>
        <v>45230</v>
      </c>
      <c r="E825" s="10" t="str">
        <f>IFERROR(__xludf.DUMMYFUNCTION("""COMPUTED_VALUE"""),"10Okt")</f>
        <v>10Okt</v>
      </c>
      <c r="F825" s="10" t="str">
        <f>IFERROR(__xludf.DUMMYFUNCTION("""COMPUTED_VALUE"""),"2023")</f>
        <v>2023</v>
      </c>
      <c r="G825" s="16" t="str">
        <f>IFERROR(__xludf.DUMMYFUNCTION("""COMPUTED_VALUE"""),"DIMAS NURUL RAMADHAN")</f>
        <v>DIMAS NURUL RAMADHAN</v>
      </c>
      <c r="H825" s="17" t="str">
        <f>IFERROR(__xludf.DUMMYFUNCTION("""COMPUTED_VALUE"""),"D9623102135")</f>
        <v>D9623102135</v>
      </c>
      <c r="I825" s="17">
        <f>IFERROR(__xludf.DUMMYFUNCTION("""COMPUTED_VALUE"""),30.0)</f>
        <v>30</v>
      </c>
      <c r="J825" s="17" t="str">
        <f>IFERROR(__xludf.DUMMYFUNCTION("""COMPUTED_VALUE"""),"25-34 tahun")</f>
        <v>25-34 tahun</v>
      </c>
      <c r="K825" s="19">
        <f>IFERROR(__xludf.DUMMYFUNCTION("""COMPUTED_VALUE"""),35092.0)</f>
        <v>35092</v>
      </c>
      <c r="L825" s="19" t="str">
        <f>IFERROR(__xludf.DUMMYFUNCTION("""COMPUTED_VALUE"""),"LAKI-LAKI")</f>
        <v>LAKI-LAKI</v>
      </c>
      <c r="M825" s="16" t="str">
        <f>IFERROR(__xludf.DUMMYFUNCTION("""COMPUTED_VALUE"""),"Jl. Purnama Komp. Dinasty Indah No C7")</f>
        <v>Jl. Purnama Komp. Dinasty Indah No C7</v>
      </c>
      <c r="N825" s="16"/>
      <c r="O825" s="16"/>
      <c r="P825" s="16"/>
      <c r="Q825" s="16"/>
      <c r="R825" s="19" t="str">
        <f>IFERROR(__xludf.DUMMYFUNCTION("""COMPUTED_VALUE"""),"ISLAM")</f>
        <v>ISLAM</v>
      </c>
      <c r="S825" s="16" t="str">
        <f>IFERROR(__xludf.DUMMYFUNCTION("""COMPUTED_VALUE"""),"SWASTA")</f>
        <v>SWASTA</v>
      </c>
      <c r="T825" s="16" t="str">
        <f>IFERROR(__xludf.DUMMYFUNCTION("""COMPUTED_VALUE"""),"Pinggang Kejetit")</f>
        <v>Pinggang Kejetit</v>
      </c>
      <c r="U825" s="16" t="str">
        <f>IFERROR(__xludf.DUMMYFUNCTION("""COMPUTED_VALUE"""),"Olahrga/Bekerja")</f>
        <v>Olahrga/Bekerja</v>
      </c>
      <c r="V825" s="11" t="str">
        <f>IFERROR(__xludf.DUMMYFUNCTION("""COMPUTED_VALUE"""),"082152182135")</f>
        <v>082152182135</v>
      </c>
      <c r="W825" s="15"/>
    </row>
    <row r="826" ht="22.5" customHeight="1">
      <c r="A826" s="28"/>
      <c r="B826" s="9">
        <f>IFERROR(__xludf.DUMMYFUNCTION("""COMPUTED_VALUE"""),45231.39272771991)</f>
        <v>45231.39273</v>
      </c>
      <c r="C826" s="9"/>
      <c r="D826" s="10">
        <f>IFERROR(__xludf.DUMMYFUNCTION("""COMPUTED_VALUE"""),45230.0)</f>
        <v>45230</v>
      </c>
      <c r="E826" s="10" t="str">
        <f>IFERROR(__xludf.DUMMYFUNCTION("""COMPUTED_VALUE"""),"10Okt")</f>
        <v>10Okt</v>
      </c>
      <c r="F826" s="10" t="str">
        <f>IFERROR(__xludf.DUMMYFUNCTION("""COMPUTED_VALUE"""),"2023")</f>
        <v>2023</v>
      </c>
      <c r="G826" s="16" t="str">
        <f>IFERROR(__xludf.DUMMYFUNCTION("""COMPUTED_VALUE"""),"EDY GUNAWAN")</f>
        <v>EDY GUNAWAN</v>
      </c>
      <c r="H826" s="17" t="str">
        <f>IFERROR(__xludf.DUMMYFUNCTION("""COMPUTED_VALUE"""),"E8823103438")</f>
        <v>E8823103438</v>
      </c>
      <c r="I826" s="17">
        <f>IFERROR(__xludf.DUMMYFUNCTION("""COMPUTED_VALUE"""),37.0)</f>
        <v>37</v>
      </c>
      <c r="J826" s="17" t="str">
        <f>IFERROR(__xludf.DUMMYFUNCTION("""COMPUTED_VALUE"""),"35-44 tahun")</f>
        <v>35-44 tahun</v>
      </c>
      <c r="K826" s="19">
        <f>IFERROR(__xludf.DUMMYFUNCTION("""COMPUTED_VALUE"""),32406.0)</f>
        <v>32406</v>
      </c>
      <c r="L826" s="19" t="str">
        <f>IFERROR(__xludf.DUMMYFUNCTION("""COMPUTED_VALUE"""),"LAKI-LAKI")</f>
        <v>LAKI-LAKI</v>
      </c>
      <c r="M826" s="16" t="str">
        <f>IFERROR(__xludf.DUMMYFUNCTION("""COMPUTED_VALUE"""),"gg merak 3")</f>
        <v>gg merak 3</v>
      </c>
      <c r="N826" s="16"/>
      <c r="O826" s="16"/>
      <c r="P826" s="16"/>
      <c r="Q826" s="16"/>
      <c r="R826" s="19" t="str">
        <f>IFERROR(__xludf.DUMMYFUNCTION("""COMPUTED_VALUE"""),"BUDDHA")</f>
        <v>BUDDHA</v>
      </c>
      <c r="S826" s="16" t="str">
        <f>IFERROR(__xludf.DUMMYFUNCTION("""COMPUTED_VALUE"""),"SWASTA")</f>
        <v>SWASTA</v>
      </c>
      <c r="T826" s="16" t="str">
        <f>IFERROR(__xludf.DUMMYFUNCTION("""COMPUTED_VALUE"""),"ngilu pada pergelangan tangan")</f>
        <v>ngilu pada pergelangan tangan</v>
      </c>
      <c r="U826" s="16" t="str">
        <f>IFERROR(__xludf.DUMMYFUNCTION("""COMPUTED_VALUE"""),"olahraga")</f>
        <v>olahraga</v>
      </c>
      <c r="V826" s="11" t="str">
        <f>IFERROR(__xludf.DUMMYFUNCTION("""COMPUTED_VALUE"""),"081253133438")</f>
        <v>081253133438</v>
      </c>
      <c r="W826" s="15"/>
    </row>
    <row r="827" ht="22.5" customHeight="1">
      <c r="A827" s="8"/>
      <c r="B827" s="9" t="str">
        <f>IFERROR(__xludf.DUMMYFUNCTION("""COMPUTED_VALUE"""),"29/10/2024 14:32:52")</f>
        <v>29/10/2024 14:32:52</v>
      </c>
      <c r="C827" s="9"/>
      <c r="D827" s="10">
        <f>IFERROR(__xludf.DUMMYFUNCTION("""COMPUTED_VALUE"""),45230.0)</f>
        <v>45230</v>
      </c>
      <c r="E827" s="10" t="str">
        <f>IFERROR(__xludf.DUMMYFUNCTION("""COMPUTED_VALUE"""),"10Okt")</f>
        <v>10Okt</v>
      </c>
      <c r="F827" s="10" t="str">
        <f>IFERROR(__xludf.DUMMYFUNCTION("""COMPUTED_VALUE"""),"2023")</f>
        <v>2023</v>
      </c>
      <c r="G827" s="16" t="str">
        <f>IFERROR(__xludf.DUMMYFUNCTION("""COMPUTED_VALUE"""),"NOVIKA WARNI")</f>
        <v>NOVIKA WARNI</v>
      </c>
      <c r="H827" s="17" t="str">
        <f>IFERROR(__xludf.DUMMYFUNCTION("""COMPUTED_VALUE"""),"N7323108188")</f>
        <v>N7323108188</v>
      </c>
      <c r="I827" s="17">
        <f>IFERROR(__xludf.DUMMYFUNCTION("""COMPUTED_VALUE"""),52.0)</f>
        <v>52</v>
      </c>
      <c r="J827" s="17" t="str">
        <f>IFERROR(__xludf.DUMMYFUNCTION("""COMPUTED_VALUE"""),"&gt; 44 tahun")</f>
        <v>&gt; 44 tahun</v>
      </c>
      <c r="K827" s="19">
        <f>IFERROR(__xludf.DUMMYFUNCTION("""COMPUTED_VALUE"""),26994.0)</f>
        <v>26994</v>
      </c>
      <c r="L827" s="19" t="str">
        <f>IFERROR(__xludf.DUMMYFUNCTION("""COMPUTED_VALUE"""),"PEREMPUAN")</f>
        <v>PEREMPUAN</v>
      </c>
      <c r="M827" s="16" t="str">
        <f>IFERROR(__xludf.DUMMYFUNCTION("""COMPUTED_VALUE"""),"Komplek purwosari agung A14 selayar kota baru")</f>
        <v>Komplek purwosari agung A14 selayar kota baru</v>
      </c>
      <c r="N827" s="16"/>
      <c r="O827" s="16"/>
      <c r="P827" s="16"/>
      <c r="Q827" s="16"/>
      <c r="R827" s="19" t="str">
        <f>IFERROR(__xludf.DUMMYFUNCTION("""COMPUTED_VALUE"""),"ISLAM")</f>
        <v>ISLAM</v>
      </c>
      <c r="S827" s="16" t="str">
        <f>IFERROR(__xludf.DUMMYFUNCTION("""COMPUTED_VALUE"""),"RUMAH TANGGA")</f>
        <v>RUMAH TANGGA</v>
      </c>
      <c r="T827" s="16" t="str">
        <f>IFERROR(__xludf.DUMMYFUNCTION("""COMPUTED_VALUE"""),"Nyeri kedua bahu dan menjalar sampai ke jari-jari sampai terasa kebas")</f>
        <v>Nyeri kedua bahu dan menjalar sampai ke jari-jari sampai terasa kebas</v>
      </c>
      <c r="U827" s="16" t="str">
        <f>IFERROR(__xludf.DUMMYFUNCTION("""COMPUTED_VALUE"""),"Ibu rumah tangga")</f>
        <v>Ibu rumah tangga</v>
      </c>
      <c r="V827" s="11" t="str">
        <f>IFERROR(__xludf.DUMMYFUNCTION("""COMPUTED_VALUE"""),"081288188188")</f>
        <v>081288188188</v>
      </c>
      <c r="W827" s="15"/>
    </row>
    <row r="828" ht="22.5" customHeight="1">
      <c r="A828" s="8"/>
      <c r="B828" s="9">
        <f>IFERROR(__xludf.DUMMYFUNCTION("""COMPUTED_VALUE"""),45231.39319989583)</f>
        <v>45231.3932</v>
      </c>
      <c r="C828" s="9"/>
      <c r="D828" s="10">
        <f>IFERROR(__xludf.DUMMYFUNCTION("""COMPUTED_VALUE"""),45230.0)</f>
        <v>45230</v>
      </c>
      <c r="E828" s="10" t="str">
        <f>IFERROR(__xludf.DUMMYFUNCTION("""COMPUTED_VALUE"""),"10Okt")</f>
        <v>10Okt</v>
      </c>
      <c r="F828" s="10" t="str">
        <f>IFERROR(__xludf.DUMMYFUNCTION("""COMPUTED_VALUE"""),"2023")</f>
        <v>2023</v>
      </c>
      <c r="G828" s="16" t="str">
        <f>IFERROR(__xludf.DUMMYFUNCTION("""COMPUTED_VALUE"""),"MIRAWATI")</f>
        <v>MIRAWATI</v>
      </c>
      <c r="H828" s="17" t="str">
        <f>IFERROR(__xludf.DUMMYFUNCTION("""COMPUTED_VALUE"""),"M7423108866")</f>
        <v>M7423108866</v>
      </c>
      <c r="I828" s="17">
        <f>IFERROR(__xludf.DUMMYFUNCTION("""COMPUTED_VALUE"""),51.0)</f>
        <v>51</v>
      </c>
      <c r="J828" s="17" t="str">
        <f>IFERROR(__xludf.DUMMYFUNCTION("""COMPUTED_VALUE"""),"&gt; 44 tahun")</f>
        <v>&gt; 44 tahun</v>
      </c>
      <c r="K828" s="19">
        <f>IFERROR(__xludf.DUMMYFUNCTION("""COMPUTED_VALUE"""),27345.0)</f>
        <v>27345</v>
      </c>
      <c r="L828" s="19" t="str">
        <f>IFERROR(__xludf.DUMMYFUNCTION("""COMPUTED_VALUE"""),"PEREMPUAN")</f>
        <v>PEREMPUAN</v>
      </c>
      <c r="M828" s="16" t="str">
        <f>IFERROR(__xludf.DUMMYFUNCTION("""COMPUTED_VALUE"""),"TAYAN")</f>
        <v>TAYAN</v>
      </c>
      <c r="N828" s="16"/>
      <c r="O828" s="16"/>
      <c r="P828" s="16"/>
      <c r="Q828" s="16"/>
      <c r="R828" s="19" t="str">
        <f>IFERROR(__xludf.DUMMYFUNCTION("""COMPUTED_VALUE"""),"ISLAM")</f>
        <v>ISLAM</v>
      </c>
      <c r="S828" s="16" t="str">
        <f>IFERROR(__xludf.DUMMYFUNCTION("""COMPUTED_VALUE"""),"RUMAH TANGGA")</f>
        <v>RUMAH TANGGA</v>
      </c>
      <c r="T828" s="16" t="str">
        <f>IFERROR(__xludf.DUMMYFUNCTION("""COMPUTED_VALUE"""),"HABIS JATUH")</f>
        <v>HABIS JATUH</v>
      </c>
      <c r="U828" s="16" t="str">
        <f>IFERROR(__xludf.DUMMYFUNCTION("""COMPUTED_VALUE"""),"MELAKUKAN PEKERJAAN RUMAH")</f>
        <v>MELAKUKAN PEKERJAAN RUMAH</v>
      </c>
      <c r="V828" s="11" t="str">
        <f>IFERROR(__xludf.DUMMYFUNCTION("""COMPUTED_VALUE"""),"082197888866")</f>
        <v>082197888866</v>
      </c>
      <c r="W828" s="15"/>
    </row>
    <row r="829" ht="22.5" customHeight="1">
      <c r="A829" s="8"/>
      <c r="B829" s="9">
        <f>IFERROR(__xludf.DUMMYFUNCTION("""COMPUTED_VALUE"""),45231.472115219905)</f>
        <v>45231.47212</v>
      </c>
      <c r="C829" s="9"/>
      <c r="D829" s="10">
        <f>IFERROR(__xludf.DUMMYFUNCTION("""COMPUTED_VALUE"""),45231.0)</f>
        <v>45231</v>
      </c>
      <c r="E829" s="10" t="str">
        <f>IFERROR(__xludf.DUMMYFUNCTION("""COMPUTED_VALUE"""),"11Nov")</f>
        <v>11Nov</v>
      </c>
      <c r="F829" s="10" t="str">
        <f>IFERROR(__xludf.DUMMYFUNCTION("""COMPUTED_VALUE"""),"2023")</f>
        <v>2023</v>
      </c>
      <c r="G829" s="16" t="str">
        <f>IFERROR(__xludf.DUMMYFUNCTION("""COMPUTED_VALUE"""),"SOBIRUN")</f>
        <v>SOBIRUN</v>
      </c>
      <c r="H829" s="17" t="str">
        <f>IFERROR(__xludf.DUMMYFUNCTION("""COMPUTED_VALUE"""),"S2323112271")</f>
        <v>S2323112271</v>
      </c>
      <c r="I829" s="17">
        <f>IFERROR(__xludf.DUMMYFUNCTION("""COMPUTED_VALUE"""),2.0)</f>
        <v>2</v>
      </c>
      <c r="J829" s="17" t="str">
        <f>IFERROR(__xludf.DUMMYFUNCTION("""COMPUTED_VALUE"""),"&lt; 18 tahun")</f>
        <v>&lt; 18 tahun</v>
      </c>
      <c r="K829" s="19">
        <f>IFERROR(__xludf.DUMMYFUNCTION("""COMPUTED_VALUE"""),45214.0)</f>
        <v>45214</v>
      </c>
      <c r="L829" s="19" t="str">
        <f>IFERROR(__xludf.DUMMYFUNCTION("""COMPUTED_VALUE"""),"LAKI-LAKI")</f>
        <v>LAKI-LAKI</v>
      </c>
      <c r="M829" s="16" t="str">
        <f>IFERROR(__xludf.DUMMYFUNCTION("""COMPUTED_VALUE"""),"Dusun Tanjung Periuk Kec Kembayan")</f>
        <v>Dusun Tanjung Periuk Kec Kembayan</v>
      </c>
      <c r="N829" s="16"/>
      <c r="O829" s="16"/>
      <c r="P829" s="16"/>
      <c r="Q829" s="16"/>
      <c r="R829" s="19" t="str">
        <f>IFERROR(__xludf.DUMMYFUNCTION("""COMPUTED_VALUE"""),"ISLAM")</f>
        <v>ISLAM</v>
      </c>
      <c r="S829" s="16" t="str">
        <f>IFERROR(__xludf.DUMMYFUNCTION("""COMPUTED_VALUE"""),"WIRASWASTA")</f>
        <v>WIRASWASTA</v>
      </c>
      <c r="T829" s="16" t="str">
        <f>IFERROR(__xludf.DUMMYFUNCTION("""COMPUTED_VALUE"""),"Habis operasi")</f>
        <v>Habis operasi</v>
      </c>
      <c r="U829" s="16" t="str">
        <f>IFERROR(__xludf.DUMMYFUNCTION("""COMPUTED_VALUE"""),"Olahraga")</f>
        <v>Olahraga</v>
      </c>
      <c r="V829" s="11" t="str">
        <f>IFERROR(__xludf.DUMMYFUNCTION("""COMPUTED_VALUE"""),"085828332271")</f>
        <v>085828332271</v>
      </c>
      <c r="W829" s="15"/>
    </row>
    <row r="830" ht="22.5" customHeight="1">
      <c r="A830" s="8"/>
      <c r="B830" s="9">
        <f>IFERROR(__xludf.DUMMYFUNCTION("""COMPUTED_VALUE"""),45232.4232321875)</f>
        <v>45232.42323</v>
      </c>
      <c r="C830" s="9"/>
      <c r="D830" s="10">
        <f>IFERROR(__xludf.DUMMYFUNCTION("""COMPUTED_VALUE"""),45231.0)</f>
        <v>45231</v>
      </c>
      <c r="E830" s="10" t="str">
        <f>IFERROR(__xludf.DUMMYFUNCTION("""COMPUTED_VALUE"""),"11Nov")</f>
        <v>11Nov</v>
      </c>
      <c r="F830" s="10" t="str">
        <f>IFERROR(__xludf.DUMMYFUNCTION("""COMPUTED_VALUE"""),"2023")</f>
        <v>2023</v>
      </c>
      <c r="G830" s="16" t="str">
        <f>IFERROR(__xludf.DUMMYFUNCTION("""COMPUTED_VALUE"""),"MARIA ROLENTA MANIK")</f>
        <v>MARIA ROLENTA MANIK</v>
      </c>
      <c r="H830" s="17" t="str">
        <f>IFERROR(__xludf.DUMMYFUNCTION("""COMPUTED_VALUE"""),"M9623113192")</f>
        <v>M9623113192</v>
      </c>
      <c r="I830" s="17">
        <f>IFERROR(__xludf.DUMMYFUNCTION("""COMPUTED_VALUE"""),30.0)</f>
        <v>30</v>
      </c>
      <c r="J830" s="17" t="str">
        <f>IFERROR(__xludf.DUMMYFUNCTION("""COMPUTED_VALUE"""),"25-34 tahun")</f>
        <v>25-34 tahun</v>
      </c>
      <c r="K830" s="19">
        <f>IFERROR(__xludf.DUMMYFUNCTION("""COMPUTED_VALUE"""),35126.0)</f>
        <v>35126</v>
      </c>
      <c r="L830" s="19" t="str">
        <f>IFERROR(__xludf.DUMMYFUNCTION("""COMPUTED_VALUE"""),"PEREMPUAN")</f>
        <v>PEREMPUAN</v>
      </c>
      <c r="M830" s="16" t="str">
        <f>IFERROR(__xludf.DUMMYFUNCTION("""COMPUTED_VALUE"""),"Jalan H.R. SOEBRANTAS, NATUNA")</f>
        <v>Jalan H.R. SOEBRANTAS, NATUNA</v>
      </c>
      <c r="N830" s="16"/>
      <c r="O830" s="16"/>
      <c r="P830" s="16"/>
      <c r="Q830" s="16"/>
      <c r="R830" s="19" t="str">
        <f>IFERROR(__xludf.DUMMYFUNCTION("""COMPUTED_VALUE"""),"PROTESTAN")</f>
        <v>PROTESTAN</v>
      </c>
      <c r="S830" s="16" t="str">
        <f>IFERROR(__xludf.DUMMYFUNCTION("""COMPUTED_VALUE"""),"ASN")</f>
        <v>ASN</v>
      </c>
      <c r="T830" s="16" t="str">
        <f>IFERROR(__xludf.DUMMYFUNCTION("""COMPUTED_VALUE"""),"Sakit di tangan, dan lemah gengaman")</f>
        <v>Sakit di tangan, dan lemah gengaman</v>
      </c>
      <c r="U830" s="16" t="str">
        <f>IFERROR(__xludf.DUMMYFUNCTION("""COMPUTED_VALUE"""),"Sepeda")</f>
        <v>Sepeda</v>
      </c>
      <c r="V830" s="11" t="str">
        <f>IFERROR(__xludf.DUMMYFUNCTION("""COMPUTED_VALUE"""),"081364153192")</f>
        <v>081364153192</v>
      </c>
      <c r="W830" s="15"/>
    </row>
    <row r="831" ht="22.5" customHeight="1">
      <c r="A831" s="8"/>
      <c r="B831" s="9">
        <f>IFERROR(__xludf.DUMMYFUNCTION("""COMPUTED_VALUE"""),45232.67968136574)</f>
        <v>45232.67968</v>
      </c>
      <c r="C831" s="9"/>
      <c r="D831" s="10">
        <f>IFERROR(__xludf.DUMMYFUNCTION("""COMPUTED_VALUE"""),45231.0)</f>
        <v>45231</v>
      </c>
      <c r="E831" s="10" t="str">
        <f>IFERROR(__xludf.DUMMYFUNCTION("""COMPUTED_VALUE"""),"11Nov")</f>
        <v>11Nov</v>
      </c>
      <c r="F831" s="10" t="str">
        <f>IFERROR(__xludf.DUMMYFUNCTION("""COMPUTED_VALUE"""),"2023")</f>
        <v>2023</v>
      </c>
      <c r="G831" s="16" t="str">
        <f>IFERROR(__xludf.DUMMYFUNCTION("""COMPUTED_VALUE"""),"MUHAMMAD REVANDRA")</f>
        <v>MUHAMMAD REVANDRA</v>
      </c>
      <c r="H831" s="17" t="str">
        <f>IFERROR(__xludf.DUMMYFUNCTION("""COMPUTED_VALUE"""),"M1223117264")</f>
        <v>M1223117264</v>
      </c>
      <c r="I831" s="17">
        <f>IFERROR(__xludf.DUMMYFUNCTION("""COMPUTED_VALUE"""),14.0)</f>
        <v>14</v>
      </c>
      <c r="J831" s="17" t="str">
        <f>IFERROR(__xludf.DUMMYFUNCTION("""COMPUTED_VALUE"""),"&lt; 18 tahun")</f>
        <v>&lt; 18 tahun</v>
      </c>
      <c r="K831" s="19">
        <f>IFERROR(__xludf.DUMMYFUNCTION("""COMPUTED_VALUE"""),40919.0)</f>
        <v>40919</v>
      </c>
      <c r="L831" s="19" t="str">
        <f>IFERROR(__xludf.DUMMYFUNCTION("""COMPUTED_VALUE"""),"LAKI-LAKI")</f>
        <v>LAKI-LAKI</v>
      </c>
      <c r="M831" s="16" t="str">
        <f>IFERROR(__xludf.DUMMYFUNCTION("""COMPUTED_VALUE"""),"Jl Cendana GG Cendana 9 no 15 B")</f>
        <v>Jl Cendana GG Cendana 9 no 15 B</v>
      </c>
      <c r="N831" s="16"/>
      <c r="O831" s="16"/>
      <c r="P831" s="16"/>
      <c r="Q831" s="16"/>
      <c r="R831" s="19" t="str">
        <f>IFERROR(__xludf.DUMMYFUNCTION("""COMPUTED_VALUE"""),"ISLAM")</f>
        <v>ISLAM</v>
      </c>
      <c r="S831" s="16" t="str">
        <f>IFERROR(__xludf.DUMMYFUNCTION("""COMPUTED_VALUE"""),"PELAJAR/MAHASISWA")</f>
        <v>PELAJAR/MAHASISWA</v>
      </c>
      <c r="T831" s="16" t="str">
        <f>IFERROR(__xludf.DUMMYFUNCTION("""COMPUTED_VALUE"""),"Cedera")</f>
        <v>Cedera</v>
      </c>
      <c r="U831" s="16" t="str">
        <f>IFERROR(__xludf.DUMMYFUNCTION("""COMPUTED_VALUE"""),"Basket")</f>
        <v>Basket</v>
      </c>
      <c r="V831" s="11" t="str">
        <f>IFERROR(__xludf.DUMMYFUNCTION("""COMPUTED_VALUE"""),"081253637264")</f>
        <v>081253637264</v>
      </c>
      <c r="W831" s="15"/>
    </row>
    <row r="832" ht="22.5" customHeight="1">
      <c r="A832" s="8"/>
      <c r="B832" s="9">
        <f>IFERROR(__xludf.DUMMYFUNCTION("""COMPUTED_VALUE"""),45232.68209482639)</f>
        <v>45232.68209</v>
      </c>
      <c r="C832" s="9"/>
      <c r="D832" s="10">
        <f>IFERROR(__xludf.DUMMYFUNCTION("""COMPUTED_VALUE"""),45232.0)</f>
        <v>45232</v>
      </c>
      <c r="E832" s="10" t="str">
        <f>IFERROR(__xludf.DUMMYFUNCTION("""COMPUTED_VALUE"""),"11Nov")</f>
        <v>11Nov</v>
      </c>
      <c r="F832" s="10" t="str">
        <f>IFERROR(__xludf.DUMMYFUNCTION("""COMPUTED_VALUE"""),"2023")</f>
        <v>2023</v>
      </c>
      <c r="G832" s="16" t="str">
        <f>IFERROR(__xludf.DUMMYFUNCTION("""COMPUTED_VALUE"""),"RIZKA FITRIANIATHUL HASANA")</f>
        <v>RIZKA FITRIANIATHUL HASANA</v>
      </c>
      <c r="H832" s="17" t="str">
        <f>IFERROR(__xludf.DUMMYFUNCTION("""COMPUTED_VALUE"""),"R9623118307")</f>
        <v>R9623118307</v>
      </c>
      <c r="I832" s="17">
        <f>IFERROR(__xludf.DUMMYFUNCTION("""COMPUTED_VALUE"""),30.0)</f>
        <v>30</v>
      </c>
      <c r="J832" s="17" t="str">
        <f>IFERROR(__xludf.DUMMYFUNCTION("""COMPUTED_VALUE"""),"25-34 tahun")</f>
        <v>25-34 tahun</v>
      </c>
      <c r="K832" s="19">
        <f>IFERROR(__xludf.DUMMYFUNCTION("""COMPUTED_VALUE"""),35109.0)</f>
        <v>35109</v>
      </c>
      <c r="L832" s="19" t="str">
        <f>IFERROR(__xludf.DUMMYFUNCTION("""COMPUTED_VALUE"""),"PEREMPUAN")</f>
        <v>PEREMPUAN</v>
      </c>
      <c r="M832" s="16" t="str">
        <f>IFERROR(__xludf.DUMMYFUNCTION("""COMPUTED_VALUE"""),"Jl suka mulya gg sukma 21 no 32")</f>
        <v>Jl suka mulya gg sukma 21 no 32</v>
      </c>
      <c r="N832" s="16"/>
      <c r="O832" s="16"/>
      <c r="P832" s="16"/>
      <c r="Q832" s="16"/>
      <c r="R832" s="19" t="str">
        <f>IFERROR(__xludf.DUMMYFUNCTION("""COMPUTED_VALUE"""),"ISLAM")</f>
        <v>ISLAM</v>
      </c>
      <c r="S832" s="16" t="str">
        <f>IFERROR(__xludf.DUMMYFUNCTION("""COMPUTED_VALUE"""),"ASN")</f>
        <v>ASN</v>
      </c>
      <c r="T832" s="16" t="str">
        <f>IFERROR(__xludf.DUMMYFUNCTION("""COMPUTED_VALUE"""),"Sakit pinggang")</f>
        <v>Sakit pinggang</v>
      </c>
      <c r="U832" s="16" t="str">
        <f>IFERROR(__xludf.DUMMYFUNCTION("""COMPUTED_VALUE"""),"Jalan")</f>
        <v>Jalan</v>
      </c>
      <c r="V832" s="11" t="str">
        <f>IFERROR(__xludf.DUMMYFUNCTION("""COMPUTED_VALUE"""),"08975748307")</f>
        <v>08975748307</v>
      </c>
      <c r="W832" s="15"/>
    </row>
    <row r="833" ht="22.5" customHeight="1">
      <c r="A833" s="8"/>
      <c r="B833" s="9">
        <f>IFERROR(__xludf.DUMMYFUNCTION("""COMPUTED_VALUE"""),45232.686172870366)</f>
        <v>45232.68617</v>
      </c>
      <c r="C833" s="9"/>
      <c r="D833" s="10">
        <f>IFERROR(__xludf.DUMMYFUNCTION("""COMPUTED_VALUE"""),45232.686172870366)</f>
        <v>45232.68617</v>
      </c>
      <c r="E833" s="10" t="str">
        <f>IFERROR(__xludf.DUMMYFUNCTION("""COMPUTED_VALUE"""),"11Nov")</f>
        <v>11Nov</v>
      </c>
      <c r="F833" s="10" t="str">
        <f>IFERROR(__xludf.DUMMYFUNCTION("""COMPUTED_VALUE"""),"2023")</f>
        <v>2023</v>
      </c>
      <c r="G833" s="16" t="str">
        <f>IFERROR(__xludf.DUMMYFUNCTION("""COMPUTED_VALUE"""),"SERGIO AKBAR DESINDRA")</f>
        <v>SERGIO AKBAR DESINDRA</v>
      </c>
      <c r="H833" s="17" t="str">
        <f>IFERROR(__xludf.DUMMYFUNCTION("""COMPUTED_VALUE"""),"S9723112800")</f>
        <v>S9723112800</v>
      </c>
      <c r="I833" s="17">
        <f>IFERROR(__xludf.DUMMYFUNCTION("""COMPUTED_VALUE"""),29.0)</f>
        <v>29</v>
      </c>
      <c r="J833" s="17" t="str">
        <f>IFERROR(__xludf.DUMMYFUNCTION("""COMPUTED_VALUE"""),"25-34 tahun")</f>
        <v>25-34 tahun</v>
      </c>
      <c r="K833" s="19">
        <f>IFERROR(__xludf.DUMMYFUNCTION("""COMPUTED_VALUE"""),35502.0)</f>
        <v>35502</v>
      </c>
      <c r="L833" s="19" t="str">
        <f>IFERROR(__xludf.DUMMYFUNCTION("""COMPUTED_VALUE"""),"LAKI-LAKI")</f>
        <v>LAKI-LAKI</v>
      </c>
      <c r="M833" s="16" t="str">
        <f>IFERROR(__xludf.DUMMYFUNCTION("""COMPUTED_VALUE"""),"Jl.Perdana Komplek Bali agung 2 No H22")</f>
        <v>Jl.Perdana Komplek Bali agung 2 No H22</v>
      </c>
      <c r="N833" s="16"/>
      <c r="O833" s="16"/>
      <c r="P833" s="16"/>
      <c r="Q833" s="16"/>
      <c r="R833" s="19" t="str">
        <f>IFERROR(__xludf.DUMMYFUNCTION("""COMPUTED_VALUE"""),"ISLAM")</f>
        <v>ISLAM</v>
      </c>
      <c r="S833" s="16" t="str">
        <f>IFERROR(__xludf.DUMMYFUNCTION("""COMPUTED_VALUE"""),"FREELANCE")</f>
        <v>FREELANCE</v>
      </c>
      <c r="T833" s="16" t="str">
        <f>IFERROR(__xludf.DUMMYFUNCTION("""COMPUTED_VALUE"""),"Punggung kaki")</f>
        <v>Punggung kaki</v>
      </c>
      <c r="U833" s="16" t="str">
        <f>IFERROR(__xludf.DUMMYFUNCTION("""COMPUTED_VALUE"""),"Futsal")</f>
        <v>Futsal</v>
      </c>
      <c r="V833" s="11" t="str">
        <f>IFERROR(__xludf.DUMMYFUNCTION("""COMPUTED_VALUE"""),"085752922800")</f>
        <v>085752922800</v>
      </c>
      <c r="W833" s="15"/>
    </row>
    <row r="834" ht="22.5" customHeight="1">
      <c r="A834" s="8"/>
      <c r="B834" s="9">
        <f>IFERROR(__xludf.DUMMYFUNCTION("""COMPUTED_VALUE"""),45234.4150415162)</f>
        <v>45234.41504</v>
      </c>
      <c r="C834" s="9"/>
      <c r="D834" s="10">
        <f>IFERROR(__xludf.DUMMYFUNCTION("""COMPUTED_VALUE"""),45234.0)</f>
        <v>45234</v>
      </c>
      <c r="E834" s="10" t="str">
        <f>IFERROR(__xludf.DUMMYFUNCTION("""COMPUTED_VALUE"""),"11Nov")</f>
        <v>11Nov</v>
      </c>
      <c r="F834" s="10" t="str">
        <f>IFERROR(__xludf.DUMMYFUNCTION("""COMPUTED_VALUE"""),"2023")</f>
        <v>2023</v>
      </c>
      <c r="G834" s="16" t="str">
        <f>IFERROR(__xludf.DUMMYFUNCTION("""COMPUTED_VALUE"""),"DHEA PUTRI HERDININGRUM")</f>
        <v>DHEA PUTRI HERDININGRUM</v>
      </c>
      <c r="H834" s="17" t="str">
        <f>IFERROR(__xludf.DUMMYFUNCTION("""COMPUTED_VALUE"""),"D9123110890")</f>
        <v>D9123110890</v>
      </c>
      <c r="I834" s="17">
        <f>IFERROR(__xludf.DUMMYFUNCTION("""COMPUTED_VALUE"""),34.0)</f>
        <v>34</v>
      </c>
      <c r="J834" s="17" t="str">
        <f>IFERROR(__xludf.DUMMYFUNCTION("""COMPUTED_VALUE"""),"25-34 tahun")</f>
        <v>25-34 tahun</v>
      </c>
      <c r="K834" s="19">
        <f>IFERROR(__xludf.DUMMYFUNCTION("""COMPUTED_VALUE"""),33574.0)</f>
        <v>33574</v>
      </c>
      <c r="L834" s="19" t="str">
        <f>IFERROR(__xludf.DUMMYFUNCTION("""COMPUTED_VALUE"""),"PEREMPUAN")</f>
        <v>PEREMPUAN</v>
      </c>
      <c r="M834" s="16" t="str">
        <f>IFERROR(__xludf.DUMMYFUNCTION("""COMPUTED_VALUE"""),"Jln dr. Wahidin komplek batara indah 1 blok cc 28")</f>
        <v>Jln dr. Wahidin komplek batara indah 1 blok cc 28</v>
      </c>
      <c r="N834" s="16"/>
      <c r="O834" s="16"/>
      <c r="P834" s="16"/>
      <c r="Q834" s="16"/>
      <c r="R834" s="19" t="str">
        <f>IFERROR(__xludf.DUMMYFUNCTION("""COMPUTED_VALUE"""),"ISLAM")</f>
        <v>ISLAM</v>
      </c>
      <c r="S834" s="16" t="str">
        <f>IFERROR(__xludf.DUMMYFUNCTION("""COMPUTED_VALUE"""),"ASN")</f>
        <v>ASN</v>
      </c>
      <c r="T834" s="16" t="str">
        <f>IFERROR(__xludf.DUMMYFUNCTION("""COMPUTED_VALUE"""),"Plantar facitiis")</f>
        <v>Plantar facitiis</v>
      </c>
      <c r="U834" s="16" t="str">
        <f>IFERROR(__xludf.DUMMYFUNCTION("""COMPUTED_VALUE"""),"Bekerja")</f>
        <v>Bekerja</v>
      </c>
      <c r="V834" s="11" t="str">
        <f>IFERROR(__xludf.DUMMYFUNCTION("""COMPUTED_VALUE"""),"081346410890")</f>
        <v>081346410890</v>
      </c>
      <c r="W834" s="15"/>
    </row>
    <row r="835" ht="22.5" customHeight="1">
      <c r="A835" s="8"/>
      <c r="B835" s="9">
        <f>IFERROR(__xludf.DUMMYFUNCTION("""COMPUTED_VALUE"""),45234.443555879625)</f>
        <v>45234.44356</v>
      </c>
      <c r="C835" s="9"/>
      <c r="D835" s="10">
        <f>IFERROR(__xludf.DUMMYFUNCTION("""COMPUTED_VALUE"""),45234.0)</f>
        <v>45234</v>
      </c>
      <c r="E835" s="10" t="str">
        <f>IFERROR(__xludf.DUMMYFUNCTION("""COMPUTED_VALUE"""),"11Nov")</f>
        <v>11Nov</v>
      </c>
      <c r="F835" s="10" t="str">
        <f>IFERROR(__xludf.DUMMYFUNCTION("""COMPUTED_VALUE"""),"2023")</f>
        <v>2023</v>
      </c>
      <c r="G835" s="16" t="str">
        <f>IFERROR(__xludf.DUMMYFUNCTION("""COMPUTED_VALUE"""),"ZUL KHAIRULLAH")</f>
        <v>ZUL KHAIRULLAH</v>
      </c>
      <c r="H835" s="17" t="str">
        <f>IFERROR(__xludf.DUMMYFUNCTION("""COMPUTED_VALUE"""),"Z9623110531")</f>
        <v>Z9623110531</v>
      </c>
      <c r="I835" s="17">
        <f>IFERROR(__xludf.DUMMYFUNCTION("""COMPUTED_VALUE"""),29.0)</f>
        <v>29</v>
      </c>
      <c r="J835" s="17" t="str">
        <f>IFERROR(__xludf.DUMMYFUNCTION("""COMPUTED_VALUE"""),"25-34 tahun")</f>
        <v>25-34 tahun</v>
      </c>
      <c r="K835" s="19">
        <f>IFERROR(__xludf.DUMMYFUNCTION("""COMPUTED_VALUE"""),35294.0)</f>
        <v>35294</v>
      </c>
      <c r="L835" s="19" t="str">
        <f>IFERROR(__xludf.DUMMYFUNCTION("""COMPUTED_VALUE"""),"LAKI-LAKI")</f>
        <v>LAKI-LAKI</v>
      </c>
      <c r="M835" s="16" t="str">
        <f>IFERROR(__xludf.DUMMYFUNCTION("""COMPUTED_VALUE"""),"Jalan parit haji muksin 2 no 15")</f>
        <v>Jalan parit haji muksin 2 no 15</v>
      </c>
      <c r="N835" s="16"/>
      <c r="O835" s="16"/>
      <c r="P835" s="16"/>
      <c r="Q835" s="16"/>
      <c r="R835" s="19" t="str">
        <f>IFERROR(__xludf.DUMMYFUNCTION("""COMPUTED_VALUE"""),"ISLAM")</f>
        <v>ISLAM</v>
      </c>
      <c r="S835" s="16" t="str">
        <f>IFERROR(__xludf.DUMMYFUNCTION("""COMPUTED_VALUE"""),"WIRASWASTA")</f>
        <v>WIRASWASTA</v>
      </c>
      <c r="T835" s="16" t="str">
        <f>IFERROR(__xludf.DUMMYFUNCTION("""COMPUTED_VALUE"""),"Tidak nyaman di daerah")</f>
        <v>Tidak nyaman di daerah</v>
      </c>
      <c r="U835" s="16" t="str">
        <f>IFERROR(__xludf.DUMMYFUNCTION("""COMPUTED_VALUE"""),"Bola dan futsal")</f>
        <v>Bola dan futsal</v>
      </c>
      <c r="V835" s="11" t="str">
        <f>IFERROR(__xludf.DUMMYFUNCTION("""COMPUTED_VALUE"""),"089655980531")</f>
        <v>089655980531</v>
      </c>
      <c r="W835" s="15"/>
    </row>
    <row r="836" ht="22.5" customHeight="1">
      <c r="A836" s="8"/>
      <c r="B836" s="9">
        <f>IFERROR(__xludf.DUMMYFUNCTION("""COMPUTED_VALUE"""),45234.56587486111)</f>
        <v>45234.56587</v>
      </c>
      <c r="C836" s="9"/>
      <c r="D836" s="10">
        <f>IFERROR(__xludf.DUMMYFUNCTION("""COMPUTED_VALUE"""),45235.0)</f>
        <v>45235</v>
      </c>
      <c r="E836" s="10" t="str">
        <f>IFERROR(__xludf.DUMMYFUNCTION("""COMPUTED_VALUE"""),"11Nov")</f>
        <v>11Nov</v>
      </c>
      <c r="F836" s="10" t="str">
        <f>IFERROR(__xludf.DUMMYFUNCTION("""COMPUTED_VALUE"""),"2023")</f>
        <v>2023</v>
      </c>
      <c r="G836" s="16" t="str">
        <f>IFERROR(__xludf.DUMMYFUNCTION("""COMPUTED_VALUE"""),"RENALDI SANDI")</f>
        <v>RENALDI SANDI</v>
      </c>
      <c r="H836" s="17" t="str">
        <f>IFERROR(__xludf.DUMMYFUNCTION("""COMPUTED_VALUE"""),"R9523117215")</f>
        <v>R9523117215</v>
      </c>
      <c r="I836" s="17">
        <f>IFERROR(__xludf.DUMMYFUNCTION("""COMPUTED_VALUE"""),31.0)</f>
        <v>31</v>
      </c>
      <c r="J836" s="17" t="str">
        <f>IFERROR(__xludf.DUMMYFUNCTION("""COMPUTED_VALUE"""),"25-34 tahun")</f>
        <v>25-34 tahun</v>
      </c>
      <c r="K836" s="19">
        <f>IFERROR(__xludf.DUMMYFUNCTION("""COMPUTED_VALUE"""),34732.0)</f>
        <v>34732</v>
      </c>
      <c r="L836" s="19" t="str">
        <f>IFERROR(__xludf.DUMMYFUNCTION("""COMPUTED_VALUE"""),"LAKI-LAKI")</f>
        <v>LAKI-LAKI</v>
      </c>
      <c r="M836" s="16" t="str">
        <f>IFERROR(__xludf.DUMMYFUNCTION("""COMPUTED_VALUE"""),"Desa kampung baru kecamatan kubu")</f>
        <v>Desa kampung baru kecamatan kubu</v>
      </c>
      <c r="N836" s="16"/>
      <c r="O836" s="16"/>
      <c r="P836" s="16"/>
      <c r="Q836" s="16"/>
      <c r="R836" s="19" t="str">
        <f>IFERROR(__xludf.DUMMYFUNCTION("""COMPUTED_VALUE"""),"KATOLIK")</f>
        <v>KATOLIK</v>
      </c>
      <c r="S836" s="16" t="str">
        <f>IFERROR(__xludf.DUMMYFUNCTION("""COMPUTED_VALUE"""),"SALES")</f>
        <v>SALES</v>
      </c>
      <c r="T836" s="16" t="str">
        <f>IFERROR(__xludf.DUMMYFUNCTION("""COMPUTED_VALUE"""),"Cidera engkel kaki")</f>
        <v>Cidera engkel kaki</v>
      </c>
      <c r="U836" s="16" t="str">
        <f>IFERROR(__xludf.DUMMYFUNCTION("""COMPUTED_VALUE"""),"Futsal")</f>
        <v>Futsal</v>
      </c>
      <c r="V836" s="11" t="str">
        <f>IFERROR(__xludf.DUMMYFUNCTION("""COMPUTED_VALUE"""),"081335437215")</f>
        <v>081335437215</v>
      </c>
      <c r="W836" s="15"/>
    </row>
    <row r="837" ht="22.5" customHeight="1">
      <c r="A837" s="8"/>
      <c r="B837" s="9">
        <f>IFERROR(__xludf.DUMMYFUNCTION("""COMPUTED_VALUE"""),45235.8169018287)</f>
        <v>45235.8169</v>
      </c>
      <c r="C837" s="9"/>
      <c r="D837" s="10">
        <f>IFERROR(__xludf.DUMMYFUNCTION("""COMPUTED_VALUE"""),45235.0)</f>
        <v>45235</v>
      </c>
      <c r="E837" s="10" t="str">
        <f>IFERROR(__xludf.DUMMYFUNCTION("""COMPUTED_VALUE"""),"11Nov")</f>
        <v>11Nov</v>
      </c>
      <c r="F837" s="10" t="str">
        <f>IFERROR(__xludf.DUMMYFUNCTION("""COMPUTED_VALUE"""),"2023")</f>
        <v>2023</v>
      </c>
      <c r="G837" s="16" t="str">
        <f>IFERROR(__xludf.DUMMYFUNCTION("""COMPUTED_VALUE"""),"RIZKY ODHIE SAPUTRA")</f>
        <v>RIZKY ODHIE SAPUTRA</v>
      </c>
      <c r="H837" s="17" t="str">
        <f>IFERROR(__xludf.DUMMYFUNCTION("""COMPUTED_VALUE"""),"R9523113310")</f>
        <v>R9523113310</v>
      </c>
      <c r="I837" s="17">
        <f>IFERROR(__xludf.DUMMYFUNCTION("""COMPUTED_VALUE"""),30.0)</f>
        <v>30</v>
      </c>
      <c r="J837" s="17" t="str">
        <f>IFERROR(__xludf.DUMMYFUNCTION("""COMPUTED_VALUE"""),"25-34 tahun")</f>
        <v>25-34 tahun</v>
      </c>
      <c r="K837" s="19">
        <f>IFERROR(__xludf.DUMMYFUNCTION("""COMPUTED_VALUE"""),34897.0)</f>
        <v>34897</v>
      </c>
      <c r="L837" s="19" t="str">
        <f>IFERROR(__xludf.DUMMYFUNCTION("""COMPUTED_VALUE"""),"LAKI-LAKI")</f>
        <v>LAKI-LAKI</v>
      </c>
      <c r="M837" s="16" t="str">
        <f>IFERROR(__xludf.DUMMYFUNCTION("""COMPUTED_VALUE"""),"JL. KOM YOS SUDARSO GG. RAMBUTAN")</f>
        <v>JL. KOM YOS SUDARSO GG. RAMBUTAN</v>
      </c>
      <c r="N837" s="16"/>
      <c r="O837" s="16"/>
      <c r="P837" s="16"/>
      <c r="Q837" s="16"/>
      <c r="R837" s="19" t="str">
        <f>IFERROR(__xludf.DUMMYFUNCTION("""COMPUTED_VALUE"""),"ISLAM")</f>
        <v>ISLAM</v>
      </c>
      <c r="S837" s="16" t="str">
        <f>IFERROR(__xludf.DUMMYFUNCTION("""COMPUTED_VALUE"""),"SWASTA")</f>
        <v>SWASTA</v>
      </c>
      <c r="T837" s="16" t="str">
        <f>IFERROR(__xludf.DUMMYFUNCTION("""COMPUTED_VALUE"""),"PERGELANGAN TANGAN SAKIT SUDAH BERBULAN BULAN TERJADI SAAT PUSH UP, TERASA SAKIT SAAT MAIN BADMINTON MUKUL BOLAH BACKHAND SEBELAH KIRI")</f>
        <v>PERGELANGAN TANGAN SAKIT SUDAH BERBULAN BULAN TERJADI SAAT PUSH UP, TERASA SAKIT SAAT MAIN BADMINTON MUKUL BOLAH BACKHAND SEBELAH KIRI</v>
      </c>
      <c r="U837" s="16" t="str">
        <f>IFERROR(__xludf.DUMMYFUNCTION("""COMPUTED_VALUE"""),"BADMINTON")</f>
        <v>BADMINTON</v>
      </c>
      <c r="V837" s="11" t="str">
        <f>IFERROR(__xludf.DUMMYFUNCTION("""COMPUTED_VALUE"""),"082255103310")</f>
        <v>082255103310</v>
      </c>
      <c r="W837" s="15"/>
    </row>
    <row r="838" ht="22.5" customHeight="1">
      <c r="A838" s="8"/>
      <c r="B838" s="9">
        <f>IFERROR(__xludf.DUMMYFUNCTION("""COMPUTED_VALUE"""),45234.60779054398)</f>
        <v>45234.60779</v>
      </c>
      <c r="C838" s="9"/>
      <c r="D838" s="10">
        <f>IFERROR(__xludf.DUMMYFUNCTION("""COMPUTED_VALUE"""),45235.0)</f>
        <v>45235</v>
      </c>
      <c r="E838" s="10" t="str">
        <f>IFERROR(__xludf.DUMMYFUNCTION("""COMPUTED_VALUE"""),"11Nov")</f>
        <v>11Nov</v>
      </c>
      <c r="F838" s="10" t="str">
        <f>IFERROR(__xludf.DUMMYFUNCTION("""COMPUTED_VALUE"""),"2023")</f>
        <v>2023</v>
      </c>
      <c r="G838" s="16" t="str">
        <f>IFERROR(__xludf.DUMMYFUNCTION("""COMPUTED_VALUE"""),"RIFUL AHYAR")</f>
        <v>RIFUL AHYAR</v>
      </c>
      <c r="H838" s="17" t="str">
        <f>IFERROR(__xludf.DUMMYFUNCTION("""COMPUTED_VALUE"""),"R6923118182")</f>
        <v>R6923118182</v>
      </c>
      <c r="I838" s="17">
        <f>IFERROR(__xludf.DUMMYFUNCTION("""COMPUTED_VALUE"""),57.0)</f>
        <v>57</v>
      </c>
      <c r="J838" s="17" t="str">
        <f>IFERROR(__xludf.DUMMYFUNCTION("""COMPUTED_VALUE"""),"&gt; 44 tahun")</f>
        <v>&gt; 44 tahun</v>
      </c>
      <c r="K838" s="19">
        <f>IFERROR(__xludf.DUMMYFUNCTION("""COMPUTED_VALUE"""),25256.0)</f>
        <v>25256</v>
      </c>
      <c r="L838" s="19" t="str">
        <f>IFERROR(__xludf.DUMMYFUNCTION("""COMPUTED_VALUE"""),"LAKI-LAKI")</f>
        <v>LAKI-LAKI</v>
      </c>
      <c r="M838" s="16" t="str">
        <f>IFERROR(__xludf.DUMMYFUNCTION("""COMPUTED_VALUE"""),"Jl.danau sentarum 76 otk")</f>
        <v>Jl.danau sentarum 76 otk</v>
      </c>
      <c r="N838" s="16"/>
      <c r="O838" s="16"/>
      <c r="P838" s="16"/>
      <c r="Q838" s="16"/>
      <c r="R838" s="19" t="str">
        <f>IFERROR(__xludf.DUMMYFUNCTION("""COMPUTED_VALUE"""),"ISLAM")</f>
        <v>ISLAM</v>
      </c>
      <c r="S838" s="16" t="str">
        <f>IFERROR(__xludf.DUMMYFUNCTION("""COMPUTED_VALUE"""),"SWASTA")</f>
        <v>SWASTA</v>
      </c>
      <c r="T838" s="16" t="str">
        <f>IFERROR(__xludf.DUMMYFUNCTION("""COMPUTED_VALUE"""),"Nyeri di tangan jempol sebelah kanan")</f>
        <v>Nyeri di tangan jempol sebelah kanan</v>
      </c>
      <c r="U838" s="16" t="str">
        <f>IFERROR(__xludf.DUMMYFUNCTION("""COMPUTED_VALUE"""),"Nanyi.")</f>
        <v>Nanyi.</v>
      </c>
      <c r="V838" s="11" t="str">
        <f>IFERROR(__xludf.DUMMYFUNCTION("""COMPUTED_VALUE"""),"081257118182")</f>
        <v>081257118182</v>
      </c>
      <c r="W838" s="15"/>
    </row>
    <row r="839" ht="22.5" customHeight="1">
      <c r="A839" s="8"/>
      <c r="B839" s="9">
        <f>IFERROR(__xludf.DUMMYFUNCTION("""COMPUTED_VALUE"""),45236.754241145834)</f>
        <v>45236.75424</v>
      </c>
      <c r="C839" s="9"/>
      <c r="D839" s="10">
        <f>IFERROR(__xludf.DUMMYFUNCTION("""COMPUTED_VALUE"""),45236.0)</f>
        <v>45236</v>
      </c>
      <c r="E839" s="10" t="str">
        <f>IFERROR(__xludf.DUMMYFUNCTION("""COMPUTED_VALUE"""),"11Nov")</f>
        <v>11Nov</v>
      </c>
      <c r="F839" s="10" t="str">
        <f>IFERROR(__xludf.DUMMYFUNCTION("""COMPUTED_VALUE"""),"2023")</f>
        <v>2023</v>
      </c>
      <c r="G839" s="16" t="str">
        <f>IFERROR(__xludf.DUMMYFUNCTION("""COMPUTED_VALUE"""),"VITO ANANTA MARCELINO OMPUSUNGGU")</f>
        <v>VITO ANANTA MARCELINO OMPUSUNGGU</v>
      </c>
      <c r="H839" s="17" t="str">
        <f>IFERROR(__xludf.DUMMYFUNCTION("""COMPUTED_VALUE"""),"V0423118700")</f>
        <v>V0423118700</v>
      </c>
      <c r="I839" s="17">
        <f>IFERROR(__xludf.DUMMYFUNCTION("""COMPUTED_VALUE"""),22.0)</f>
        <v>22</v>
      </c>
      <c r="J839" s="17" t="str">
        <f>IFERROR(__xludf.DUMMYFUNCTION("""COMPUTED_VALUE"""),"18-24 tahun")</f>
        <v>18-24 tahun</v>
      </c>
      <c r="K839" s="19">
        <f>IFERROR(__xludf.DUMMYFUNCTION("""COMPUTED_VALUE"""),38065.0)</f>
        <v>38065</v>
      </c>
      <c r="L839" s="19" t="str">
        <f>IFERROR(__xludf.DUMMYFUNCTION("""COMPUTED_VALUE"""),"LAKI-LAKI")</f>
        <v>LAKI-LAKI</v>
      </c>
      <c r="M839" s="16" t="str">
        <f>IFERROR(__xludf.DUMMYFUNCTION("""COMPUTED_VALUE"""),"Jalan Pulau Bunyu, Rt. 11, No. 12, Rw. 002, Kampung 1 Skip, Tarakan Tengah, Kota Tarakan, Kalimantan Utara.")</f>
        <v>Jalan Pulau Bunyu, Rt. 11, No. 12, Rw. 002, Kampung 1 Skip, Tarakan Tengah, Kota Tarakan, Kalimantan Utara.</v>
      </c>
      <c r="N839" s="16"/>
      <c r="O839" s="16"/>
      <c r="P839" s="16"/>
      <c r="Q839" s="16"/>
      <c r="R839" s="19" t="str">
        <f>IFERROR(__xludf.DUMMYFUNCTION("""COMPUTED_VALUE"""),"PROTESTAN")</f>
        <v>PROTESTAN</v>
      </c>
      <c r="S839" s="16" t="str">
        <f>IFERROR(__xludf.DUMMYFUNCTION("""COMPUTED_VALUE"""),"TIDAK ADA")</f>
        <v>TIDAK ADA</v>
      </c>
      <c r="T839" s="16" t="str">
        <f>IFERROR(__xludf.DUMMYFUNCTION("""COMPUTED_VALUE"""),"kaki x")</f>
        <v>kaki x</v>
      </c>
      <c r="U839" s="16" t="str">
        <f>IFERROR(__xludf.DUMMYFUNCTION("""COMPUTED_VALUE"""),"olahraga, latihan fisik, membaca.")</f>
        <v>olahraga, latihan fisik, membaca.</v>
      </c>
      <c r="V839" s="11" t="str">
        <f>IFERROR(__xludf.DUMMYFUNCTION("""COMPUTED_VALUE"""),"082251528700")</f>
        <v>082251528700</v>
      </c>
      <c r="W839" s="15"/>
    </row>
    <row r="840" ht="22.5" customHeight="1">
      <c r="A840" s="39"/>
      <c r="B840" s="9">
        <f>IFERROR(__xludf.DUMMYFUNCTION("""COMPUTED_VALUE"""),45236.82007365741)</f>
        <v>45236.82007</v>
      </c>
      <c r="C840" s="9"/>
      <c r="D840" s="10">
        <f>IFERROR(__xludf.DUMMYFUNCTION("""COMPUTED_VALUE"""),45236.0)</f>
        <v>45236</v>
      </c>
      <c r="E840" s="10" t="str">
        <f>IFERROR(__xludf.DUMMYFUNCTION("""COMPUTED_VALUE"""),"11Nov")</f>
        <v>11Nov</v>
      </c>
      <c r="F840" s="10" t="str">
        <f>IFERROR(__xludf.DUMMYFUNCTION("""COMPUTED_VALUE"""),"2023")</f>
        <v>2023</v>
      </c>
      <c r="G840" s="16" t="str">
        <f>IFERROR(__xludf.DUMMYFUNCTION("""COMPUTED_VALUE"""),"KEVIN THENEDI")</f>
        <v>KEVIN THENEDI</v>
      </c>
      <c r="H840" s="17" t="str">
        <f>IFERROR(__xludf.DUMMYFUNCTION("""COMPUTED_VALUE"""),"K9823115764")</f>
        <v>K9823115764</v>
      </c>
      <c r="I840" s="17">
        <f>IFERROR(__xludf.DUMMYFUNCTION("""COMPUTED_VALUE"""),27.0)</f>
        <v>27</v>
      </c>
      <c r="J840" s="17" t="str">
        <f>IFERROR(__xludf.DUMMYFUNCTION("""COMPUTED_VALUE"""),"25-34 tahun")</f>
        <v>25-34 tahun</v>
      </c>
      <c r="K840" s="19">
        <f>IFERROR(__xludf.DUMMYFUNCTION("""COMPUTED_VALUE"""),35993.0)</f>
        <v>35993</v>
      </c>
      <c r="L840" s="19" t="str">
        <f>IFERROR(__xludf.DUMMYFUNCTION("""COMPUTED_VALUE"""),"LAKI-LAKI")</f>
        <v>LAKI-LAKI</v>
      </c>
      <c r="M840" s="16" t="str">
        <f>IFERROR(__xludf.DUMMYFUNCTION("""COMPUTED_VALUE"""),"Dusun Tanjung Indah, Tanjung Niaga, Nanga Pinoh, Kab. Melawi, Kalimantan Barat")</f>
        <v>Dusun Tanjung Indah, Tanjung Niaga, Nanga Pinoh, Kab. Melawi, Kalimantan Barat</v>
      </c>
      <c r="N840" s="16"/>
      <c r="O840" s="16"/>
      <c r="P840" s="16"/>
      <c r="Q840" s="16"/>
      <c r="R840" s="19" t="str">
        <f>IFERROR(__xludf.DUMMYFUNCTION("""COMPUTED_VALUE"""),"PROTESTAN")</f>
        <v>PROTESTAN</v>
      </c>
      <c r="S840" s="16" t="str">
        <f>IFERROR(__xludf.DUMMYFUNCTION("""COMPUTED_VALUE"""),"DOKTER")</f>
        <v>DOKTER</v>
      </c>
      <c r="T840" s="16" t="str">
        <f>IFERROR(__xludf.DUMMYFUNCTION("""COMPUTED_VALUE"""),"Nyeri tumit")</f>
        <v>Nyeri tumit</v>
      </c>
      <c r="U840" s="16" t="str">
        <f>IFERROR(__xludf.DUMMYFUNCTION("""COMPUTED_VALUE"""),"Olahraga basket, bulutangkis/kerja")</f>
        <v>Olahraga basket, bulutangkis/kerja</v>
      </c>
      <c r="V840" s="11" t="str">
        <f>IFERROR(__xludf.DUMMYFUNCTION("""COMPUTED_VALUE"""),"081226005764")</f>
        <v>081226005764</v>
      </c>
      <c r="W840" s="15"/>
    </row>
    <row r="841" ht="22.5" customHeight="1">
      <c r="A841" s="8"/>
      <c r="B841" s="9">
        <f>IFERROR(__xludf.DUMMYFUNCTION("""COMPUTED_VALUE"""),45237.560006747684)</f>
        <v>45237.56001</v>
      </c>
      <c r="C841" s="9"/>
      <c r="D841" s="10">
        <f>IFERROR(__xludf.DUMMYFUNCTION("""COMPUTED_VALUE"""),45237.0)</f>
        <v>45237</v>
      </c>
      <c r="E841" s="10" t="str">
        <f>IFERROR(__xludf.DUMMYFUNCTION("""COMPUTED_VALUE"""),"11Nov")</f>
        <v>11Nov</v>
      </c>
      <c r="F841" s="10" t="str">
        <f>IFERROR(__xludf.DUMMYFUNCTION("""COMPUTED_VALUE"""),"2023")</f>
        <v>2023</v>
      </c>
      <c r="G841" s="16" t="str">
        <f>IFERROR(__xludf.DUMMYFUNCTION("""COMPUTED_VALUE"""),"RAHMI ALLITA")</f>
        <v>RAHMI ALLITA</v>
      </c>
      <c r="H841" s="17" t="str">
        <f>IFERROR(__xludf.DUMMYFUNCTION("""COMPUTED_VALUE"""),"R8723114422")</f>
        <v>R8723114422</v>
      </c>
      <c r="I841" s="17">
        <f>IFERROR(__xludf.DUMMYFUNCTION("""COMPUTED_VALUE"""),39.0)</f>
        <v>39</v>
      </c>
      <c r="J841" s="17" t="str">
        <f>IFERROR(__xludf.DUMMYFUNCTION("""COMPUTED_VALUE"""),"35-44 tahun")</f>
        <v>35-44 tahun</v>
      </c>
      <c r="K841" s="19">
        <f>IFERROR(__xludf.DUMMYFUNCTION("""COMPUTED_VALUE"""),31802.0)</f>
        <v>31802</v>
      </c>
      <c r="L841" s="19" t="str">
        <f>IFERROR(__xludf.DUMMYFUNCTION("""COMPUTED_VALUE"""),"PEREMPUAN")</f>
        <v>PEREMPUAN</v>
      </c>
      <c r="M841" s="16" t="str">
        <f>IFERROR(__xludf.DUMMYFUNCTION("""COMPUTED_VALUE"""),"Jl gusti sulung lelanang no h 61")</f>
        <v>Jl gusti sulung lelanang no h 61</v>
      </c>
      <c r="N841" s="16"/>
      <c r="O841" s="16"/>
      <c r="P841" s="16"/>
      <c r="Q841" s="16"/>
      <c r="R841" s="19" t="str">
        <f>IFERROR(__xludf.DUMMYFUNCTION("""COMPUTED_VALUE"""),"ISLAM")</f>
        <v>ISLAM</v>
      </c>
      <c r="S841" s="16" t="str">
        <f>IFERROR(__xludf.DUMMYFUNCTION("""COMPUTED_VALUE"""),"RUMAH TANGGA")</f>
        <v>RUMAH TANGGA</v>
      </c>
      <c r="T841" s="16" t="str">
        <f>IFERROR(__xludf.DUMMYFUNCTION("""COMPUTED_VALUE"""),"Betis sakit")</f>
        <v>Betis sakit</v>
      </c>
      <c r="U841" s="16" t="str">
        <f>IFERROR(__xludf.DUMMYFUNCTION("""COMPUTED_VALUE"""),"Lari")</f>
        <v>Lari</v>
      </c>
      <c r="V841" s="11" t="str">
        <f>IFERROR(__xludf.DUMMYFUNCTION("""COMPUTED_VALUE"""),"08126834422")</f>
        <v>08126834422</v>
      </c>
      <c r="W841" s="15"/>
    </row>
    <row r="842" ht="22.5" customHeight="1">
      <c r="A842" s="8"/>
      <c r="B842" s="9">
        <f>IFERROR(__xludf.DUMMYFUNCTION("""COMPUTED_VALUE"""),45237.42158533564)</f>
        <v>45237.42159</v>
      </c>
      <c r="C842" s="9"/>
      <c r="D842" s="10">
        <f>IFERROR(__xludf.DUMMYFUNCTION("""COMPUTED_VALUE"""),45237.0)</f>
        <v>45237</v>
      </c>
      <c r="E842" s="10" t="str">
        <f>IFERROR(__xludf.DUMMYFUNCTION("""COMPUTED_VALUE"""),"11Nov")</f>
        <v>11Nov</v>
      </c>
      <c r="F842" s="10" t="str">
        <f>IFERROR(__xludf.DUMMYFUNCTION("""COMPUTED_VALUE"""),"2023")</f>
        <v>2023</v>
      </c>
      <c r="G842" s="16" t="str">
        <f>IFERROR(__xludf.DUMMYFUNCTION("""COMPUTED_VALUE"""),"PRATIWI RAMELIA, ST")</f>
        <v>PRATIWI RAMELIA, ST</v>
      </c>
      <c r="H842" s="17" t="str">
        <f>IFERROR(__xludf.DUMMYFUNCTION("""COMPUTED_VALUE"""),"P9123115775")</f>
        <v>P9123115775</v>
      </c>
      <c r="I842" s="17">
        <f>IFERROR(__xludf.DUMMYFUNCTION("""COMPUTED_VALUE"""),34.0)</f>
        <v>34</v>
      </c>
      <c r="J842" s="17" t="str">
        <f>IFERROR(__xludf.DUMMYFUNCTION("""COMPUTED_VALUE"""),"25-34 tahun")</f>
        <v>25-34 tahun</v>
      </c>
      <c r="K842" s="19">
        <f>IFERROR(__xludf.DUMMYFUNCTION("""COMPUTED_VALUE"""),33484.0)</f>
        <v>33484</v>
      </c>
      <c r="L842" s="19" t="str">
        <f>IFERROR(__xludf.DUMMYFUNCTION("""COMPUTED_VALUE"""),"PEREMPUAN")</f>
        <v>PEREMPUAN</v>
      </c>
      <c r="M842" s="16" t="str">
        <f>IFERROR(__xludf.DUMMYFUNCTION("""COMPUTED_VALUE"""),"Komp. Berdikari Indah 2, No. D6")</f>
        <v>Komp. Berdikari Indah 2, No. D6</v>
      </c>
      <c r="N842" s="16"/>
      <c r="O842" s="16"/>
      <c r="P842" s="16"/>
      <c r="Q842" s="16"/>
      <c r="R842" s="19" t="str">
        <f>IFERROR(__xludf.DUMMYFUNCTION("""COMPUTED_VALUE"""),"ISLAM")</f>
        <v>ISLAM</v>
      </c>
      <c r="S842" s="16" t="str">
        <f>IFERROR(__xludf.DUMMYFUNCTION("""COMPUTED_VALUE"""),"SWASTA")</f>
        <v>SWASTA</v>
      </c>
      <c r="T842" s="16" t="str">
        <f>IFERROR(__xludf.DUMMYFUNCTION("""COMPUTED_VALUE"""),"Sakit Telapak Kaki")</f>
        <v>Sakit Telapak Kaki</v>
      </c>
      <c r="U842" s="16" t="str">
        <f>IFERROR(__xludf.DUMMYFUNCTION("""COMPUTED_VALUE"""),"Hobi Olahraga / Bekerja Kantor")</f>
        <v>Hobi Olahraga / Bekerja Kantor</v>
      </c>
      <c r="V842" s="11" t="str">
        <f>IFERROR(__xludf.DUMMYFUNCTION("""COMPUTED_VALUE"""),"089531735775")</f>
        <v>089531735775</v>
      </c>
      <c r="W842" s="15"/>
    </row>
    <row r="843" ht="22.5" customHeight="1">
      <c r="A843" s="8"/>
      <c r="B843" s="9">
        <f>IFERROR(__xludf.DUMMYFUNCTION("""COMPUTED_VALUE"""),45237.69708805556)</f>
        <v>45237.69709</v>
      </c>
      <c r="C843" s="9"/>
      <c r="D843" s="10">
        <f>IFERROR(__xludf.DUMMYFUNCTION("""COMPUTED_VALUE"""),45237.0)</f>
        <v>45237</v>
      </c>
      <c r="E843" s="10" t="str">
        <f>IFERROR(__xludf.DUMMYFUNCTION("""COMPUTED_VALUE"""),"11Nov")</f>
        <v>11Nov</v>
      </c>
      <c r="F843" s="10" t="str">
        <f>IFERROR(__xludf.DUMMYFUNCTION("""COMPUTED_VALUE"""),"2023")</f>
        <v>2023</v>
      </c>
      <c r="G843" s="16" t="str">
        <f>IFERROR(__xludf.DUMMYFUNCTION("""COMPUTED_VALUE"""),"ENGGA")</f>
        <v>ENGGA</v>
      </c>
      <c r="H843" s="17" t="str">
        <f>IFERROR(__xludf.DUMMYFUNCTION("""COMPUTED_VALUE"""),"E9323118922")</f>
        <v>E9323118922</v>
      </c>
      <c r="I843" s="17">
        <f>IFERROR(__xludf.DUMMYFUNCTION("""COMPUTED_VALUE"""),32.0)</f>
        <v>32</v>
      </c>
      <c r="J843" s="17" t="str">
        <f>IFERROR(__xludf.DUMMYFUNCTION("""COMPUTED_VALUE"""),"25-34 tahun")</f>
        <v>25-34 tahun</v>
      </c>
      <c r="K843" s="19">
        <f>IFERROR(__xludf.DUMMYFUNCTION("""COMPUTED_VALUE"""),34162.0)</f>
        <v>34162</v>
      </c>
      <c r="L843" s="19" t="str">
        <f>IFERROR(__xludf.DUMMYFUNCTION("""COMPUTED_VALUE"""),"LAKI-LAKI")</f>
        <v>LAKI-LAKI</v>
      </c>
      <c r="M843" s="16" t="str">
        <f>IFERROR(__xludf.DUMMYFUNCTION("""COMPUTED_VALUE"""),"DSN UPE, DS UPE.KEC.BONTI KAB. SANGGAU")</f>
        <v>DSN UPE, DS UPE.KEC.BONTI KAB. SANGGAU</v>
      </c>
      <c r="N843" s="16"/>
      <c r="O843" s="16"/>
      <c r="P843" s="16"/>
      <c r="Q843" s="16"/>
      <c r="R843" s="19" t="str">
        <f>IFERROR(__xludf.DUMMYFUNCTION("""COMPUTED_VALUE"""),"ISLAM")</f>
        <v>ISLAM</v>
      </c>
      <c r="S843" s="16" t="str">
        <f>IFERROR(__xludf.DUMMYFUNCTION("""COMPUTED_VALUE"""),"PERAWAT")</f>
        <v>PERAWAT</v>
      </c>
      <c r="T843" s="16" t="str">
        <f>IFERROR(__xludf.DUMMYFUNCTION("""COMPUTED_VALUE"""),"POST OP REKONSTRUKSI ACL")</f>
        <v>POST OP REKONSTRUKSI ACL</v>
      </c>
      <c r="U843" s="16" t="str">
        <f>IFERROR(__xludf.DUMMYFUNCTION("""COMPUTED_VALUE"""),"FUTSAL, SEPAK BOLA")</f>
        <v>FUTSAL, SEPAK BOLA</v>
      </c>
      <c r="V843" s="11" t="str">
        <f>IFERROR(__xludf.DUMMYFUNCTION("""COMPUTED_VALUE"""),"082245588922")</f>
        <v>082245588922</v>
      </c>
      <c r="W843" s="15"/>
    </row>
    <row r="844" ht="22.5" customHeight="1">
      <c r="A844" s="8"/>
      <c r="B844" s="9">
        <f>IFERROR(__xludf.DUMMYFUNCTION("""COMPUTED_VALUE"""),45238.47783216435)</f>
        <v>45238.47783</v>
      </c>
      <c r="C844" s="9"/>
      <c r="D844" s="10">
        <f>IFERROR(__xludf.DUMMYFUNCTION("""COMPUTED_VALUE"""),45237.0)</f>
        <v>45237</v>
      </c>
      <c r="E844" s="10" t="str">
        <f>IFERROR(__xludf.DUMMYFUNCTION("""COMPUTED_VALUE"""),"11Nov")</f>
        <v>11Nov</v>
      </c>
      <c r="F844" s="10" t="str">
        <f>IFERROR(__xludf.DUMMYFUNCTION("""COMPUTED_VALUE"""),"2023")</f>
        <v>2023</v>
      </c>
      <c r="G844" s="16" t="str">
        <f>IFERROR(__xludf.DUMMYFUNCTION("""COMPUTED_VALUE"""),"SAFINAH PATRIA")</f>
        <v>SAFINAH PATRIA</v>
      </c>
      <c r="H844" s="17" t="str">
        <f>IFERROR(__xludf.DUMMYFUNCTION("""COMPUTED_VALUE"""),"S9923113273")</f>
        <v>S9923113273</v>
      </c>
      <c r="I844" s="17">
        <f>IFERROR(__xludf.DUMMYFUNCTION("""COMPUTED_VALUE"""),27.0)</f>
        <v>27</v>
      </c>
      <c r="J844" s="17" t="str">
        <f>IFERROR(__xludf.DUMMYFUNCTION("""COMPUTED_VALUE"""),"25-34 tahun")</f>
        <v>25-34 tahun</v>
      </c>
      <c r="K844" s="19">
        <f>IFERROR(__xludf.DUMMYFUNCTION("""COMPUTED_VALUE"""),36209.0)</f>
        <v>36209</v>
      </c>
      <c r="L844" s="19" t="str">
        <f>IFERROR(__xludf.DUMMYFUNCTION("""COMPUTED_VALUE"""),"PEREMPUAN")</f>
        <v>PEREMPUAN</v>
      </c>
      <c r="M844" s="16" t="str">
        <f>IFERROR(__xludf.DUMMYFUNCTION("""COMPUTED_VALUE"""),"JL. SAMAN HUDI GANG AGATIS NO 80")</f>
        <v>JL. SAMAN HUDI GANG AGATIS NO 80</v>
      </c>
      <c r="N844" s="16"/>
      <c r="O844" s="16"/>
      <c r="P844" s="16"/>
      <c r="Q844" s="16"/>
      <c r="R844" s="19" t="str">
        <f>IFERROR(__xludf.DUMMYFUNCTION("""COMPUTED_VALUE"""),"ISLAM")</f>
        <v>ISLAM</v>
      </c>
      <c r="S844" s="16" t="str">
        <f>IFERROR(__xludf.DUMMYFUNCTION("""COMPUTED_VALUE"""),"SWASTA")</f>
        <v>SWASTA</v>
      </c>
      <c r="T844" s="16" t="str">
        <f>IFERROR(__xludf.DUMMYFUNCTION("""COMPUTED_VALUE"""),"BAHU / TANGAN KANAN CEDERA")</f>
        <v>BAHU / TANGAN KANAN CEDERA</v>
      </c>
      <c r="U844" s="16" t="str">
        <f>IFERROR(__xludf.DUMMYFUNCTION("""COMPUTED_VALUE"""),"BADMINTON")</f>
        <v>BADMINTON</v>
      </c>
      <c r="V844" s="11" t="str">
        <f>IFERROR(__xludf.DUMMYFUNCTION("""COMPUTED_VALUE"""),"089670423273")</f>
        <v>089670423273</v>
      </c>
      <c r="W844" s="15"/>
    </row>
    <row r="845" ht="22.5" customHeight="1">
      <c r="A845" s="8"/>
      <c r="B845" s="9">
        <f>IFERROR(__xludf.DUMMYFUNCTION("""COMPUTED_VALUE"""),45238.75884956018)</f>
        <v>45238.75885</v>
      </c>
      <c r="C845" s="9"/>
      <c r="D845" s="10">
        <f>IFERROR(__xludf.DUMMYFUNCTION("""COMPUTED_VALUE"""),45237.0)</f>
        <v>45237</v>
      </c>
      <c r="E845" s="10" t="str">
        <f>IFERROR(__xludf.DUMMYFUNCTION("""COMPUTED_VALUE"""),"11Nov")</f>
        <v>11Nov</v>
      </c>
      <c r="F845" s="10" t="str">
        <f>IFERROR(__xludf.DUMMYFUNCTION("""COMPUTED_VALUE"""),"2023")</f>
        <v>2023</v>
      </c>
      <c r="G845" s="16" t="str">
        <f>IFERROR(__xludf.DUMMYFUNCTION("""COMPUTED_VALUE"""),"RUDY BUTAR BUTAR")</f>
        <v>RUDY BUTAR BUTAR</v>
      </c>
      <c r="H845" s="17" t="str">
        <f>IFERROR(__xludf.DUMMYFUNCTION("""COMPUTED_VALUE"""),"R6823112030")</f>
        <v>R6823112030</v>
      </c>
      <c r="I845" s="17">
        <f>IFERROR(__xludf.DUMMYFUNCTION("""COMPUTED_VALUE"""),58.0)</f>
        <v>58</v>
      </c>
      <c r="J845" s="17" t="str">
        <f>IFERROR(__xludf.DUMMYFUNCTION("""COMPUTED_VALUE"""),"&gt; 44 tahun")</f>
        <v>&gt; 44 tahun</v>
      </c>
      <c r="K845" s="19">
        <f>IFERROR(__xludf.DUMMYFUNCTION("""COMPUTED_VALUE"""),24946.0)</f>
        <v>24946</v>
      </c>
      <c r="L845" s="19" t="str">
        <f>IFERROR(__xludf.DUMMYFUNCTION("""COMPUTED_VALUE"""),"LAKI-LAKI")</f>
        <v>LAKI-LAKI</v>
      </c>
      <c r="M845" s="16" t="str">
        <f>IFERROR(__xludf.DUMMYFUNCTION("""COMPUTED_VALUE"""),"Jl. Perdana Komp. Bali Agung 3 no. Q. 41")</f>
        <v>Jl. Perdana Komp. Bali Agung 3 no. Q. 41</v>
      </c>
      <c r="N845" s="16"/>
      <c r="O845" s="16"/>
      <c r="P845" s="16"/>
      <c r="Q845" s="16"/>
      <c r="R845" s="19" t="str">
        <f>IFERROR(__xludf.DUMMYFUNCTION("""COMPUTED_VALUE"""),"PROTESTAN")</f>
        <v>PROTESTAN</v>
      </c>
      <c r="S845" s="16" t="str">
        <f>IFERROR(__xludf.DUMMYFUNCTION("""COMPUTED_VALUE"""),"SWASTA")</f>
        <v>SWASTA</v>
      </c>
      <c r="T845" s="16" t="str">
        <f>IFERROR(__xludf.DUMMYFUNCTION("""COMPUTED_VALUE"""),"Nyeri di bokong sebelah kanan dan pinggang")</f>
        <v>Nyeri di bokong sebelah kanan dan pinggang</v>
      </c>
      <c r="U845" s="16" t="str">
        <f>IFERROR(__xludf.DUMMYFUNCTION("""COMPUTED_VALUE"""),"Sepeda, jalan kaki")</f>
        <v>Sepeda, jalan kaki</v>
      </c>
      <c r="V845" s="11" t="str">
        <f>IFERROR(__xludf.DUMMYFUNCTION("""COMPUTED_VALUE"""),"0811572030")</f>
        <v>0811572030</v>
      </c>
      <c r="W845" s="15"/>
    </row>
    <row r="846" ht="22.5" customHeight="1">
      <c r="A846" s="28"/>
      <c r="B846" s="9">
        <f>IFERROR(__xludf.DUMMYFUNCTION("""COMPUTED_VALUE"""),45239.40213967593)</f>
        <v>45239.40214</v>
      </c>
      <c r="C846" s="9"/>
      <c r="D846" s="10">
        <f>IFERROR(__xludf.DUMMYFUNCTION("""COMPUTED_VALUE"""),45237.0)</f>
        <v>45237</v>
      </c>
      <c r="E846" s="10" t="str">
        <f>IFERROR(__xludf.DUMMYFUNCTION("""COMPUTED_VALUE"""),"11Nov")</f>
        <v>11Nov</v>
      </c>
      <c r="F846" s="10" t="str">
        <f>IFERROR(__xludf.DUMMYFUNCTION("""COMPUTED_VALUE"""),"2023")</f>
        <v>2023</v>
      </c>
      <c r="G846" s="16" t="str">
        <f>IFERROR(__xludf.DUMMYFUNCTION("""COMPUTED_VALUE"""),"DEFRI ARDI NUGRAHA")</f>
        <v>DEFRI ARDI NUGRAHA</v>
      </c>
      <c r="H846" s="17" t="str">
        <f>IFERROR(__xludf.DUMMYFUNCTION("""COMPUTED_VALUE"""),"D8523110500")</f>
        <v>D8523110500</v>
      </c>
      <c r="I846" s="17">
        <f>IFERROR(__xludf.DUMMYFUNCTION("""COMPUTED_VALUE"""),41.0)</f>
        <v>41</v>
      </c>
      <c r="J846" s="17" t="str">
        <f>IFERROR(__xludf.DUMMYFUNCTION("""COMPUTED_VALUE"""),"35-44 tahun")</f>
        <v>35-44 tahun</v>
      </c>
      <c r="K846" s="19">
        <f>IFERROR(__xludf.DUMMYFUNCTION("""COMPUTED_VALUE"""),31048.0)</f>
        <v>31048</v>
      </c>
      <c r="L846" s="19" t="str">
        <f>IFERROR(__xludf.DUMMYFUNCTION("""COMPUTED_VALUE"""),"LAKI-LAKI")</f>
        <v>LAKI-LAKI</v>
      </c>
      <c r="M846" s="16" t="str">
        <f>IFERROR(__xludf.DUMMYFUNCTION("""COMPUTED_VALUE"""),"JL. PANG SEMANGAI")</f>
        <v>JL. PANG SEMANGAI</v>
      </c>
      <c r="N846" s="16"/>
      <c r="O846" s="16"/>
      <c r="P846" s="16"/>
      <c r="Q846" s="16"/>
      <c r="R846" s="19" t="str">
        <f>IFERROR(__xludf.DUMMYFUNCTION("""COMPUTED_VALUE"""),"ISLAM")</f>
        <v>ISLAM</v>
      </c>
      <c r="S846" s="16" t="str">
        <f>IFERROR(__xludf.DUMMYFUNCTION("""COMPUTED_VALUE"""),"WIRASWASTA")</f>
        <v>WIRASWASTA</v>
      </c>
      <c r="T846" s="16" t="str">
        <f>IFERROR(__xludf.DUMMYFUNCTION("""COMPUTED_VALUE"""),"BAHU")</f>
        <v>BAHU</v>
      </c>
      <c r="U846" s="16" t="str">
        <f>IFERROR(__xludf.DUMMYFUNCTION("""COMPUTED_VALUE"""),"MAIN GOLF")</f>
        <v>MAIN GOLF</v>
      </c>
      <c r="V846" s="11" t="str">
        <f>IFERROR(__xludf.DUMMYFUNCTION("""COMPUTED_VALUE"""),"081311100500")</f>
        <v>081311100500</v>
      </c>
      <c r="W846" s="15"/>
    </row>
    <row r="847" ht="22.5" customHeight="1">
      <c r="A847" s="8"/>
      <c r="B847" s="9">
        <f>IFERROR(__xludf.DUMMYFUNCTION("""COMPUTED_VALUE"""),45239.48843725694)</f>
        <v>45239.48844</v>
      </c>
      <c r="C847" s="9"/>
      <c r="D847" s="10">
        <f>IFERROR(__xludf.DUMMYFUNCTION("""COMPUTED_VALUE"""),45238.0)</f>
        <v>45238</v>
      </c>
      <c r="E847" s="10" t="str">
        <f>IFERROR(__xludf.DUMMYFUNCTION("""COMPUTED_VALUE"""),"11Nov")</f>
        <v>11Nov</v>
      </c>
      <c r="F847" s="10" t="str">
        <f>IFERROR(__xludf.DUMMYFUNCTION("""COMPUTED_VALUE"""),"2023")</f>
        <v>2023</v>
      </c>
      <c r="G847" s="16" t="str">
        <f>IFERROR(__xludf.DUMMYFUNCTION("""COMPUTED_VALUE"""),"MUHAMMAD ARBIANT GIVARI")</f>
        <v>MUHAMMAD ARBIANT GIVARI</v>
      </c>
      <c r="H847" s="17" t="str">
        <f>IFERROR(__xludf.DUMMYFUNCTION("""COMPUTED_VALUE"""),"M9723113695")</f>
        <v>M9723113695</v>
      </c>
      <c r="I847" s="17">
        <f>IFERROR(__xludf.DUMMYFUNCTION("""COMPUTED_VALUE"""),28.0)</f>
        <v>28</v>
      </c>
      <c r="J847" s="17" t="str">
        <f>IFERROR(__xludf.DUMMYFUNCTION("""COMPUTED_VALUE"""),"25-34 tahun")</f>
        <v>25-34 tahun</v>
      </c>
      <c r="K847" s="19">
        <f>IFERROR(__xludf.DUMMYFUNCTION("""COMPUTED_VALUE"""),35725.0)</f>
        <v>35725</v>
      </c>
      <c r="L847" s="19" t="str">
        <f>IFERROR(__xludf.DUMMYFUNCTION("""COMPUTED_VALUE"""),"LAKI-LAKI")</f>
        <v>LAKI-LAKI</v>
      </c>
      <c r="M847" s="16" t="str">
        <f>IFERROR(__xludf.DUMMYFUNCTION("""COMPUTED_VALUE"""),"Jl johan ideus pang semangai no.34")</f>
        <v>Jl johan ideus pang semangai no.34</v>
      </c>
      <c r="N847" s="16"/>
      <c r="O847" s="16"/>
      <c r="P847" s="16"/>
      <c r="Q847" s="16"/>
      <c r="R847" s="19" t="str">
        <f>IFERROR(__xludf.DUMMYFUNCTION("""COMPUTED_VALUE"""),"ISLAM")</f>
        <v>ISLAM</v>
      </c>
      <c r="S847" s="16" t="str">
        <f>IFERROR(__xludf.DUMMYFUNCTION("""COMPUTED_VALUE"""),"WIRASWASTA")</f>
        <v>WIRASWASTA</v>
      </c>
      <c r="T847" s="16" t="str">
        <f>IFERROR(__xludf.DUMMYFUNCTION("""COMPUTED_VALUE"""),"Kaki")</f>
        <v>Kaki</v>
      </c>
      <c r="U847" s="16" t="str">
        <f>IFERROR(__xludf.DUMMYFUNCTION("""COMPUTED_VALUE"""),"Kerja")</f>
        <v>Kerja</v>
      </c>
      <c r="V847" s="11" t="str">
        <f>IFERROR(__xludf.DUMMYFUNCTION("""COMPUTED_VALUE"""),"082150933695")</f>
        <v>082150933695</v>
      </c>
      <c r="W847" s="15"/>
    </row>
    <row r="848" ht="22.5" customHeight="1">
      <c r="A848" s="8"/>
      <c r="B848" s="9">
        <f>IFERROR(__xludf.DUMMYFUNCTION("""COMPUTED_VALUE"""),45239.554818425924)</f>
        <v>45239.55482</v>
      </c>
      <c r="C848" s="9"/>
      <c r="D848" s="10">
        <f>IFERROR(__xludf.DUMMYFUNCTION("""COMPUTED_VALUE"""),45239.0)</f>
        <v>45239</v>
      </c>
      <c r="E848" s="10" t="str">
        <f>IFERROR(__xludf.DUMMYFUNCTION("""COMPUTED_VALUE"""),"11Nov")</f>
        <v>11Nov</v>
      </c>
      <c r="F848" s="10" t="str">
        <f>IFERROR(__xludf.DUMMYFUNCTION("""COMPUTED_VALUE"""),"2023")</f>
        <v>2023</v>
      </c>
      <c r="G848" s="16" t="str">
        <f>IFERROR(__xludf.DUMMYFUNCTION("""COMPUTED_VALUE"""),"RENNY HANDAYANI")</f>
        <v>RENNY HANDAYANI</v>
      </c>
      <c r="H848" s="17" t="str">
        <f>IFERROR(__xludf.DUMMYFUNCTION("""COMPUTED_VALUE"""),"R8423116274")</f>
        <v>R8423116274</v>
      </c>
      <c r="I848" s="17">
        <f>IFERROR(__xludf.DUMMYFUNCTION("""COMPUTED_VALUE"""),42.0)</f>
        <v>42</v>
      </c>
      <c r="J848" s="17" t="str">
        <f>IFERROR(__xludf.DUMMYFUNCTION("""COMPUTED_VALUE"""),"35-44 tahun")</f>
        <v>35-44 tahun</v>
      </c>
      <c r="K848" s="19">
        <f>IFERROR(__xludf.DUMMYFUNCTION("""COMPUTED_VALUE"""),30804.0)</f>
        <v>30804</v>
      </c>
      <c r="L848" s="19" t="str">
        <f>IFERROR(__xludf.DUMMYFUNCTION("""COMPUTED_VALUE"""),"PEREMPUAN")</f>
        <v>PEREMPUAN</v>
      </c>
      <c r="M848" s="16" t="str">
        <f>IFERROR(__xludf.DUMMYFUNCTION("""COMPUTED_VALUE"""),"JL UJUNG PANDANG KOMP THE GREEN VIEW C7")</f>
        <v>JL UJUNG PANDANG KOMP THE GREEN VIEW C7</v>
      </c>
      <c r="N848" s="16"/>
      <c r="O848" s="16"/>
      <c r="P848" s="16"/>
      <c r="Q848" s="16"/>
      <c r="R848" s="19" t="str">
        <f>IFERROR(__xludf.DUMMYFUNCTION("""COMPUTED_VALUE"""),"ISLAM")</f>
        <v>ISLAM</v>
      </c>
      <c r="S848" s="16" t="str">
        <f>IFERROR(__xludf.DUMMYFUNCTION("""COMPUTED_VALUE"""),"RUMAH TANGGA")</f>
        <v>RUMAH TANGGA</v>
      </c>
      <c r="T848" s="16" t="str">
        <f>IFERROR(__xludf.DUMMYFUNCTION("""COMPUTED_VALUE"""),"KIRI")</f>
        <v>KIRI</v>
      </c>
      <c r="U848" s="16" t="str">
        <f>IFERROR(__xludf.DUMMYFUNCTION("""COMPUTED_VALUE"""),"-")</f>
        <v>-</v>
      </c>
      <c r="V848" s="11" t="str">
        <f>IFERROR(__xludf.DUMMYFUNCTION("""COMPUTED_VALUE"""),"081254136274")</f>
        <v>081254136274</v>
      </c>
      <c r="W848" s="15"/>
    </row>
    <row r="849" ht="22.5" customHeight="1">
      <c r="A849" s="8"/>
      <c r="B849" s="9">
        <f>IFERROR(__xludf.DUMMYFUNCTION("""COMPUTED_VALUE"""),45241.50193380787)</f>
        <v>45241.50193</v>
      </c>
      <c r="C849" s="9"/>
      <c r="D849" s="10">
        <f>IFERROR(__xludf.DUMMYFUNCTION("""COMPUTED_VALUE"""),45239.0)</f>
        <v>45239</v>
      </c>
      <c r="E849" s="10" t="str">
        <f>IFERROR(__xludf.DUMMYFUNCTION("""COMPUTED_VALUE"""),"11Nov")</f>
        <v>11Nov</v>
      </c>
      <c r="F849" s="10" t="str">
        <f>IFERROR(__xludf.DUMMYFUNCTION("""COMPUTED_VALUE"""),"2023")</f>
        <v>2023</v>
      </c>
      <c r="G849" s="16" t="str">
        <f>IFERROR(__xludf.DUMMYFUNCTION("""COMPUTED_VALUE"""),"MARIA YANITA ERVANI")</f>
        <v>MARIA YANITA ERVANI</v>
      </c>
      <c r="H849" s="17" t="str">
        <f>IFERROR(__xludf.DUMMYFUNCTION("""COMPUTED_VALUE"""),"M8423113367")</f>
        <v>M8423113367</v>
      </c>
      <c r="I849" s="17">
        <f>IFERROR(__xludf.DUMMYFUNCTION("""COMPUTED_VALUE"""),41.0)</f>
        <v>41</v>
      </c>
      <c r="J849" s="17" t="str">
        <f>IFERROR(__xludf.DUMMYFUNCTION("""COMPUTED_VALUE"""),"35-44 tahun")</f>
        <v>35-44 tahun</v>
      </c>
      <c r="K849" s="19">
        <f>IFERROR(__xludf.DUMMYFUNCTION("""COMPUTED_VALUE"""),30955.0)</f>
        <v>30955</v>
      </c>
      <c r="L849" s="19" t="str">
        <f>IFERROR(__xludf.DUMMYFUNCTION("""COMPUTED_VALUE"""),"PEREMPUAN")</f>
        <v>PEREMPUAN</v>
      </c>
      <c r="M849" s="16" t="str">
        <f>IFERROR(__xludf.DUMMYFUNCTION("""COMPUTED_VALUE"""),"Jl lembah murai no 4")</f>
        <v>Jl lembah murai no 4</v>
      </c>
      <c r="N849" s="16"/>
      <c r="O849" s="16"/>
      <c r="P849" s="16"/>
      <c r="Q849" s="16"/>
      <c r="R849" s="19" t="str">
        <f>IFERROR(__xludf.DUMMYFUNCTION("""COMPUTED_VALUE"""),"KATOLIK")</f>
        <v>KATOLIK</v>
      </c>
      <c r="S849" s="16" t="str">
        <f>IFERROR(__xludf.DUMMYFUNCTION("""COMPUTED_VALUE"""),"RUMAH TANGGA")</f>
        <v>RUMAH TANGGA</v>
      </c>
      <c r="T849" s="16" t="str">
        <f>IFERROR(__xludf.DUMMYFUNCTION("""COMPUTED_VALUE"""),"Kaku otot badan sebelah kanan")</f>
        <v>Kaku otot badan sebelah kanan</v>
      </c>
      <c r="U849" s="16" t="str">
        <f>IFERROR(__xludf.DUMMYFUNCTION("""COMPUTED_VALUE"""),"Pekerjaan rumah tangga, gym")</f>
        <v>Pekerjaan rumah tangga, gym</v>
      </c>
      <c r="V849" s="11" t="str">
        <f>IFERROR(__xludf.DUMMYFUNCTION("""COMPUTED_VALUE"""),"08111973367")</f>
        <v>08111973367</v>
      </c>
      <c r="W849" s="15"/>
    </row>
    <row r="850" ht="22.5" customHeight="1">
      <c r="A850" s="8"/>
      <c r="B850" s="9">
        <f>IFERROR(__xludf.DUMMYFUNCTION("""COMPUTED_VALUE"""),45241.86180722222)</f>
        <v>45241.86181</v>
      </c>
      <c r="C850" s="9"/>
      <c r="D850" s="10">
        <f>IFERROR(__xludf.DUMMYFUNCTION("""COMPUTED_VALUE"""),45239.0)</f>
        <v>45239</v>
      </c>
      <c r="E850" s="10" t="str">
        <f>IFERROR(__xludf.DUMMYFUNCTION("""COMPUTED_VALUE"""),"11Nov")</f>
        <v>11Nov</v>
      </c>
      <c r="F850" s="10" t="str">
        <f>IFERROR(__xludf.DUMMYFUNCTION("""COMPUTED_VALUE"""),"2023")</f>
        <v>2023</v>
      </c>
      <c r="G850" s="16" t="str">
        <f>IFERROR(__xludf.DUMMYFUNCTION("""COMPUTED_VALUE"""),"ANDRE")</f>
        <v>ANDRE</v>
      </c>
      <c r="H850" s="17" t="str">
        <f>IFERROR(__xludf.DUMMYFUNCTION("""COMPUTED_VALUE"""),"A7823119044")</f>
        <v>A7823119044</v>
      </c>
      <c r="I850" s="17">
        <f>IFERROR(__xludf.DUMMYFUNCTION("""COMPUTED_VALUE"""),48.0)</f>
        <v>48</v>
      </c>
      <c r="J850" s="17" t="str">
        <f>IFERROR(__xludf.DUMMYFUNCTION("""COMPUTED_VALUE"""),"&gt; 44 tahun")</f>
        <v>&gt; 44 tahun</v>
      </c>
      <c r="K850" s="19">
        <f>IFERROR(__xludf.DUMMYFUNCTION("""COMPUTED_VALUE"""),28506.0)</f>
        <v>28506</v>
      </c>
      <c r="L850" s="19" t="str">
        <f>IFERROR(__xludf.DUMMYFUNCTION("""COMPUTED_VALUE"""),"LAKI-LAKI")</f>
        <v>LAKI-LAKI</v>
      </c>
      <c r="M850" s="16" t="str">
        <f>IFERROR(__xludf.DUMMYFUNCTION("""COMPUTED_VALUE"""),"Gg m yunua no 25")</f>
        <v>Gg m yunua no 25</v>
      </c>
      <c r="N850" s="16"/>
      <c r="O850" s="16"/>
      <c r="P850" s="16"/>
      <c r="Q850" s="16"/>
      <c r="R850" s="19" t="str">
        <f>IFERROR(__xludf.DUMMYFUNCTION("""COMPUTED_VALUE"""),"PROTESTAN")</f>
        <v>PROTESTAN</v>
      </c>
      <c r="S850" s="16" t="str">
        <f>IFERROR(__xludf.DUMMYFUNCTION("""COMPUTED_VALUE"""),"BURUH")</f>
        <v>BURUH</v>
      </c>
      <c r="T850" s="16" t="str">
        <f>IFERROR(__xludf.DUMMYFUNCTION("""COMPUTED_VALUE"""),"Pinggang keseleo")</f>
        <v>Pinggang keseleo</v>
      </c>
      <c r="U850" s="16" t="str">
        <f>IFERROR(__xludf.DUMMYFUNCTION("""COMPUTED_VALUE"""),"Olahraga")</f>
        <v>Olahraga</v>
      </c>
      <c r="V850" s="11" t="str">
        <f>IFERROR(__xludf.DUMMYFUNCTION("""COMPUTED_VALUE"""),"081352449044")</f>
        <v>081352449044</v>
      </c>
      <c r="W850" s="15"/>
    </row>
    <row r="851" ht="22.5" customHeight="1">
      <c r="A851" s="8"/>
      <c r="B851" s="9">
        <f>IFERROR(__xludf.DUMMYFUNCTION("""COMPUTED_VALUE"""),45237.90959226852)</f>
        <v>45237.90959</v>
      </c>
      <c r="C851" s="9"/>
      <c r="D851" s="10">
        <f>IFERROR(__xludf.DUMMYFUNCTION("""COMPUTED_VALUE"""),45241.0)</f>
        <v>45241</v>
      </c>
      <c r="E851" s="10" t="str">
        <f>IFERROR(__xludf.DUMMYFUNCTION("""COMPUTED_VALUE"""),"11Nov")</f>
        <v>11Nov</v>
      </c>
      <c r="F851" s="10" t="str">
        <f>IFERROR(__xludf.DUMMYFUNCTION("""COMPUTED_VALUE"""),"2023")</f>
        <v>2023</v>
      </c>
      <c r="G851" s="16" t="str">
        <f>IFERROR(__xludf.DUMMYFUNCTION("""COMPUTED_VALUE"""),"TAUFAN ADRIANTO")</f>
        <v>TAUFAN ADRIANTO</v>
      </c>
      <c r="H851" s="17" t="str">
        <f>IFERROR(__xludf.DUMMYFUNCTION("""COMPUTED_VALUE"""),"T8523118188")</f>
        <v>T8523118188</v>
      </c>
      <c r="I851" s="17">
        <f>IFERROR(__xludf.DUMMYFUNCTION("""COMPUTED_VALUE"""),40.0)</f>
        <v>40</v>
      </c>
      <c r="J851" s="17" t="str">
        <f>IFERROR(__xludf.DUMMYFUNCTION("""COMPUTED_VALUE"""),"35-44 tahun")</f>
        <v>35-44 tahun</v>
      </c>
      <c r="K851" s="19">
        <f>IFERROR(__xludf.DUMMYFUNCTION("""COMPUTED_VALUE"""),31386.0)</f>
        <v>31386</v>
      </c>
      <c r="L851" s="19" t="str">
        <f>IFERROR(__xludf.DUMMYFUNCTION("""COMPUTED_VALUE"""),"LAKI-LAKI")</f>
        <v>LAKI-LAKI</v>
      </c>
      <c r="M851" s="16" t="str">
        <f>IFERROR(__xludf.DUMMYFUNCTION("""COMPUTED_VALUE"""),"Komplek purwosari agung noA14")</f>
        <v>Komplek purwosari agung noA14</v>
      </c>
      <c r="N851" s="16"/>
      <c r="O851" s="16"/>
      <c r="P851" s="16"/>
      <c r="Q851" s="16"/>
      <c r="R851" s="19" t="str">
        <f>IFERROR(__xludf.DUMMYFUNCTION("""COMPUTED_VALUE"""),"ISLAM")</f>
        <v>ISLAM</v>
      </c>
      <c r="S851" s="16" t="str">
        <f>IFERROR(__xludf.DUMMYFUNCTION("""COMPUTED_VALUE"""),"ASN")</f>
        <v>ASN</v>
      </c>
      <c r="T851" s="16" t="str">
        <f>IFERROR(__xludf.DUMMYFUNCTION("""COMPUTED_VALUE"""),"Sakit tengkuk jd sering sakit kepala, dan suka nyeri pegal bagian panggul belakang tp gatau bagian mana")</f>
        <v>Sakit tengkuk jd sering sakit kepala, dan suka nyeri pegal bagian panggul belakang tp gatau bagian mana</v>
      </c>
      <c r="U851" s="16" t="str">
        <f>IFERROR(__xludf.DUMMYFUNCTION("""COMPUTED_VALUE"""),"Bekerja")</f>
        <v>Bekerja</v>
      </c>
      <c r="V851" s="11" t="str">
        <f>IFERROR(__xludf.DUMMYFUNCTION("""COMPUTED_VALUE"""),"081288188188")</f>
        <v>081288188188</v>
      </c>
      <c r="W851" s="15"/>
    </row>
    <row r="852" ht="22.5" customHeight="1">
      <c r="A852" s="8"/>
      <c r="B852" s="9">
        <f>IFERROR(__xludf.DUMMYFUNCTION("""COMPUTED_VALUE"""),45242.6761124537)</f>
        <v>45242.67611</v>
      </c>
      <c r="C852" s="9"/>
      <c r="D852" s="10">
        <f>IFERROR(__xludf.DUMMYFUNCTION("""COMPUTED_VALUE"""),45241.0)</f>
        <v>45241</v>
      </c>
      <c r="E852" s="10" t="str">
        <f>IFERROR(__xludf.DUMMYFUNCTION("""COMPUTED_VALUE"""),"11Nov")</f>
        <v>11Nov</v>
      </c>
      <c r="F852" s="10" t="str">
        <f>IFERROR(__xludf.DUMMYFUNCTION("""COMPUTED_VALUE"""),"2023")</f>
        <v>2023</v>
      </c>
      <c r="G852" s="16" t="str">
        <f>IFERROR(__xludf.DUMMYFUNCTION("""COMPUTED_VALUE"""),"DEVA AFRIALDI")</f>
        <v>DEVA AFRIALDI</v>
      </c>
      <c r="H852" s="17" t="str">
        <f>IFERROR(__xludf.DUMMYFUNCTION("""COMPUTED_VALUE"""),"D8623115287")</f>
        <v>D8623115287</v>
      </c>
      <c r="I852" s="17">
        <f>IFERROR(__xludf.DUMMYFUNCTION("""COMPUTED_VALUE"""),40.0)</f>
        <v>40</v>
      </c>
      <c r="J852" s="17" t="str">
        <f>IFERROR(__xludf.DUMMYFUNCTION("""COMPUTED_VALUE"""),"35-44 tahun")</f>
        <v>35-44 tahun</v>
      </c>
      <c r="K852" s="19">
        <f>IFERROR(__xludf.DUMMYFUNCTION("""COMPUTED_VALUE"""),31503.0)</f>
        <v>31503</v>
      </c>
      <c r="L852" s="19" t="str">
        <f>IFERROR(__xludf.DUMMYFUNCTION("""COMPUTED_VALUE"""),"LAKI-LAKI")</f>
        <v>LAKI-LAKI</v>
      </c>
      <c r="M852" s="16" t="str">
        <f>IFERROR(__xludf.DUMMYFUNCTION("""COMPUTED_VALUE"""),"Jln gusti sulung lelanang no H 61")</f>
        <v>Jln gusti sulung lelanang no H 61</v>
      </c>
      <c r="N852" s="16"/>
      <c r="O852" s="16"/>
      <c r="P852" s="16"/>
      <c r="Q852" s="16"/>
      <c r="R852" s="19" t="str">
        <f>IFERROR(__xludf.DUMMYFUNCTION("""COMPUTED_VALUE"""),"ISLAM")</f>
        <v>ISLAM</v>
      </c>
      <c r="S852" s="16" t="str">
        <f>IFERROR(__xludf.DUMMYFUNCTION("""COMPUTED_VALUE"""),"TNI/POLRI")</f>
        <v>TNI/POLRI</v>
      </c>
      <c r="T852" s="16" t="str">
        <f>IFERROR(__xludf.DUMMYFUNCTION("""COMPUTED_VALUE"""),"Nyeri di bokong sebelah kanan dan pinggang")</f>
        <v>Nyeri di bokong sebelah kanan dan pinggang</v>
      </c>
      <c r="U852" s="16" t="str">
        <f>IFERROR(__xludf.DUMMYFUNCTION("""COMPUTED_VALUE"""),"Lari")</f>
        <v>Lari</v>
      </c>
      <c r="V852" s="11" t="str">
        <f>IFERROR(__xludf.DUMMYFUNCTION("""COMPUTED_VALUE"""),"082174385287")</f>
        <v>082174385287</v>
      </c>
      <c r="W852" s="15"/>
    </row>
    <row r="853" ht="22.5" customHeight="1">
      <c r="A853" s="8"/>
      <c r="B853" s="9">
        <f>IFERROR(__xludf.DUMMYFUNCTION("""COMPUTED_VALUE"""),45243.46998966435)</f>
        <v>45243.46999</v>
      </c>
      <c r="C853" s="9"/>
      <c r="D853" s="10">
        <f>IFERROR(__xludf.DUMMYFUNCTION("""COMPUTED_VALUE"""),45241.0)</f>
        <v>45241</v>
      </c>
      <c r="E853" s="10" t="str">
        <f>IFERROR(__xludf.DUMMYFUNCTION("""COMPUTED_VALUE"""),"11Nov")</f>
        <v>11Nov</v>
      </c>
      <c r="F853" s="10" t="str">
        <f>IFERROR(__xludf.DUMMYFUNCTION("""COMPUTED_VALUE"""),"2023")</f>
        <v>2023</v>
      </c>
      <c r="G853" s="16" t="str">
        <f>IFERROR(__xludf.DUMMYFUNCTION("""COMPUTED_VALUE"""),"WILDA JUNIRA")</f>
        <v>WILDA JUNIRA</v>
      </c>
      <c r="H853" s="17" t="str">
        <f>IFERROR(__xludf.DUMMYFUNCTION("""COMPUTED_VALUE"""),"W8923118989")</f>
        <v>W8923118989</v>
      </c>
      <c r="I853" s="17">
        <f>IFERROR(__xludf.DUMMYFUNCTION("""COMPUTED_VALUE"""),37.0)</f>
        <v>37</v>
      </c>
      <c r="J853" s="17" t="str">
        <f>IFERROR(__xludf.DUMMYFUNCTION("""COMPUTED_VALUE"""),"35-44 tahun")</f>
        <v>35-44 tahun</v>
      </c>
      <c r="K853" s="19">
        <f>IFERROR(__xludf.DUMMYFUNCTION("""COMPUTED_VALUE"""),32660.0)</f>
        <v>32660</v>
      </c>
      <c r="L853" s="19" t="str">
        <f>IFERROR(__xludf.DUMMYFUNCTION("""COMPUTED_VALUE"""),"PEREMPUAN")</f>
        <v>PEREMPUAN</v>
      </c>
      <c r="M853" s="16" t="str">
        <f>IFERROR(__xludf.DUMMYFUNCTION("""COMPUTED_VALUE"""),"Jalan nirbaya")</f>
        <v>Jalan nirbaya</v>
      </c>
      <c r="N853" s="16"/>
      <c r="O853" s="16"/>
      <c r="P853" s="16"/>
      <c r="Q853" s="16"/>
      <c r="R853" s="19" t="str">
        <f>IFERROR(__xludf.DUMMYFUNCTION("""COMPUTED_VALUE"""),"ISLAM")</f>
        <v>ISLAM</v>
      </c>
      <c r="S853" s="16" t="str">
        <f>IFERROR(__xludf.DUMMYFUNCTION("""COMPUTED_VALUE"""),"RUMAH TANGGA")</f>
        <v>RUMAH TANGGA</v>
      </c>
      <c r="T853" s="16" t="str">
        <f>IFERROR(__xludf.DUMMYFUNCTION("""COMPUTED_VALUE"""),"Sakit bagian leher")</f>
        <v>Sakit bagian leher</v>
      </c>
      <c r="U853" s="16" t="str">
        <f>IFERROR(__xludf.DUMMYFUNCTION("""COMPUTED_VALUE"""),"Olahraga")</f>
        <v>Olahraga</v>
      </c>
      <c r="V853" s="11" t="str">
        <f>IFERROR(__xludf.DUMMYFUNCTION("""COMPUTED_VALUE"""),"08115698989")</f>
        <v>08115698989</v>
      </c>
      <c r="W853" s="15"/>
    </row>
    <row r="854" ht="22.5" customHeight="1">
      <c r="A854" s="8"/>
      <c r="B854" s="9">
        <f>IFERROR(__xludf.DUMMYFUNCTION("""COMPUTED_VALUE"""),45244.42122138889)</f>
        <v>45244.42122</v>
      </c>
      <c r="C854" s="9"/>
      <c r="D854" s="10">
        <f>IFERROR(__xludf.DUMMYFUNCTION("""COMPUTED_VALUE"""),45241.0)</f>
        <v>45241</v>
      </c>
      <c r="E854" s="10" t="str">
        <f>IFERROR(__xludf.DUMMYFUNCTION("""COMPUTED_VALUE"""),"11Nov")</f>
        <v>11Nov</v>
      </c>
      <c r="F854" s="10" t="str">
        <f>IFERROR(__xludf.DUMMYFUNCTION("""COMPUTED_VALUE"""),"2023")</f>
        <v>2023</v>
      </c>
      <c r="G854" s="16" t="str">
        <f>IFERROR(__xludf.DUMMYFUNCTION("""COMPUTED_VALUE"""),"IBADURROHMAN")</f>
        <v>IBADURROHMAN</v>
      </c>
      <c r="H854" s="17" t="str">
        <f>IFERROR(__xludf.DUMMYFUNCTION("""COMPUTED_VALUE"""),"I1023119381")</f>
        <v>I1023119381</v>
      </c>
      <c r="I854" s="17">
        <f>IFERROR(__xludf.DUMMYFUNCTION("""COMPUTED_VALUE"""),15.0)</f>
        <v>15</v>
      </c>
      <c r="J854" s="17" t="str">
        <f>IFERROR(__xludf.DUMMYFUNCTION("""COMPUTED_VALUE"""),"&lt; 18 tahun")</f>
        <v>&lt; 18 tahun</v>
      </c>
      <c r="K854" s="19">
        <f>IFERROR(__xludf.DUMMYFUNCTION("""COMPUTED_VALUE"""),40529.0)</f>
        <v>40529</v>
      </c>
      <c r="L854" s="19" t="str">
        <f>IFERROR(__xludf.DUMMYFUNCTION("""COMPUTED_VALUE"""),"LAKI-LAKI")</f>
        <v>LAKI-LAKI</v>
      </c>
      <c r="M854" s="16" t="str">
        <f>IFERROR(__xludf.DUMMYFUNCTION("""COMPUTED_VALUE"""),"Jl. Sukaramai gg Al Barokah No 69 Dalam Kaum Sambas")</f>
        <v>Jl. Sukaramai gg Al Barokah No 69 Dalam Kaum Sambas</v>
      </c>
      <c r="N854" s="16"/>
      <c r="O854" s="16"/>
      <c r="P854" s="16"/>
      <c r="Q854" s="16"/>
      <c r="R854" s="19" t="str">
        <f>IFERROR(__xludf.DUMMYFUNCTION("""COMPUTED_VALUE"""),"ISLAM")</f>
        <v>ISLAM</v>
      </c>
      <c r="S854" s="16" t="str">
        <f>IFERROR(__xludf.DUMMYFUNCTION("""COMPUTED_VALUE"""),"PELAJAR/MAHASISWA")</f>
        <v>PELAJAR/MAHASISWA</v>
      </c>
      <c r="T854" s="16" t="str">
        <f>IFERROR(__xludf.DUMMYFUNCTION("""COMPUTED_VALUE"""),"nyeri ditangan")</f>
        <v>nyeri ditangan</v>
      </c>
      <c r="U854" s="16" t="str">
        <f>IFERROR(__xludf.DUMMYFUNCTION("""COMPUTED_VALUE"""),"olahraga")</f>
        <v>olahraga</v>
      </c>
      <c r="V854" s="11" t="str">
        <f>IFERROR(__xludf.DUMMYFUNCTION("""COMPUTED_VALUE"""),"081345499381")</f>
        <v>081345499381</v>
      </c>
      <c r="W854" s="15"/>
    </row>
    <row r="855" ht="22.5" customHeight="1">
      <c r="A855" s="8"/>
      <c r="B855" s="9">
        <f>IFERROR(__xludf.DUMMYFUNCTION("""COMPUTED_VALUE"""),45244.45247164352)</f>
        <v>45244.45247</v>
      </c>
      <c r="C855" s="9"/>
      <c r="D855" s="10">
        <f>IFERROR(__xludf.DUMMYFUNCTION("""COMPUTED_VALUE"""),45241.0)</f>
        <v>45241</v>
      </c>
      <c r="E855" s="10" t="str">
        <f>IFERROR(__xludf.DUMMYFUNCTION("""COMPUTED_VALUE"""),"11Nov")</f>
        <v>11Nov</v>
      </c>
      <c r="F855" s="10" t="str">
        <f>IFERROR(__xludf.DUMMYFUNCTION("""COMPUTED_VALUE"""),"2023")</f>
        <v>2023</v>
      </c>
      <c r="G855" s="16" t="str">
        <f>IFERROR(__xludf.DUMMYFUNCTION("""COMPUTED_VALUE"""),"NARINDA EKA WIDYASTUTI")</f>
        <v>NARINDA EKA WIDYASTUTI</v>
      </c>
      <c r="H855" s="17" t="str">
        <f>IFERROR(__xludf.DUMMYFUNCTION("""COMPUTED_VALUE"""),"N952311")</f>
        <v>N952311</v>
      </c>
      <c r="I855" s="17">
        <f>IFERROR(__xludf.DUMMYFUNCTION("""COMPUTED_VALUE"""),30.0)</f>
        <v>30</v>
      </c>
      <c r="J855" s="17" t="str">
        <f>IFERROR(__xludf.DUMMYFUNCTION("""COMPUTED_VALUE"""),"25-34 tahun")</f>
        <v>25-34 tahun</v>
      </c>
      <c r="K855" s="19">
        <f>IFERROR(__xludf.DUMMYFUNCTION("""COMPUTED_VALUE"""),34918.0)</f>
        <v>34918</v>
      </c>
      <c r="L855" s="19" t="str">
        <f>IFERROR(__xludf.DUMMYFUNCTION("""COMPUTED_VALUE"""),"PEREMPUAN")</f>
        <v>PEREMPUAN</v>
      </c>
      <c r="M855" s="16" t="str">
        <f>IFERROR(__xludf.DUMMYFUNCTION("""COMPUTED_VALUE"""),"Jl ujung pandang komplek golden berlian residence no b3")</f>
        <v>Jl ujung pandang komplek golden berlian residence no b3</v>
      </c>
      <c r="N855" s="16"/>
      <c r="O855" s="16"/>
      <c r="P855" s="16"/>
      <c r="Q855" s="16"/>
      <c r="R855" s="19" t="str">
        <f>IFERROR(__xludf.DUMMYFUNCTION("""COMPUTED_VALUE"""),"ISLAM")</f>
        <v>ISLAM</v>
      </c>
      <c r="S855" s="16" t="str">
        <f>IFERROR(__xludf.DUMMYFUNCTION("""COMPUTED_VALUE"""),"ASN")</f>
        <v>ASN</v>
      </c>
      <c r="T855" s="16" t="str">
        <f>IFERROR(__xludf.DUMMYFUNCTION("""COMPUTED_VALUE"""),"Sakit tangan")</f>
        <v>Sakit tangan</v>
      </c>
      <c r="U855" s="16" t="str">
        <f>IFERROR(__xludf.DUMMYFUNCTION("""COMPUTED_VALUE"""),"Menggendong anak, olahraga")</f>
        <v>Menggendong anak, olahraga</v>
      </c>
      <c r="V855" s="16"/>
      <c r="W855" s="15"/>
    </row>
    <row r="856" ht="22.5" customHeight="1">
      <c r="A856" s="8"/>
      <c r="B856" s="9">
        <f>IFERROR(__xludf.DUMMYFUNCTION("""COMPUTED_VALUE"""),45244.55410043981)</f>
        <v>45244.5541</v>
      </c>
      <c r="C856" s="9"/>
      <c r="D856" s="10">
        <f>IFERROR(__xludf.DUMMYFUNCTION("""COMPUTED_VALUE"""),45242.0)</f>
        <v>45242</v>
      </c>
      <c r="E856" s="10" t="str">
        <f>IFERROR(__xludf.DUMMYFUNCTION("""COMPUTED_VALUE"""),"11Nov")</f>
        <v>11Nov</v>
      </c>
      <c r="F856" s="10" t="str">
        <f>IFERROR(__xludf.DUMMYFUNCTION("""COMPUTED_VALUE"""),"2023")</f>
        <v>2023</v>
      </c>
      <c r="G856" s="16" t="str">
        <f>IFERROR(__xludf.DUMMYFUNCTION("""COMPUTED_VALUE"""),"RAKA PERMANA")</f>
        <v>RAKA PERMANA</v>
      </c>
      <c r="H856" s="17" t="str">
        <f>IFERROR(__xludf.DUMMYFUNCTION("""COMPUTED_VALUE"""),"R0523117055")</f>
        <v>R0523117055</v>
      </c>
      <c r="I856" s="17">
        <f>IFERROR(__xludf.DUMMYFUNCTION("""COMPUTED_VALUE"""),20.0)</f>
        <v>20</v>
      </c>
      <c r="J856" s="17" t="str">
        <f>IFERROR(__xludf.DUMMYFUNCTION("""COMPUTED_VALUE"""),"18-24 tahun")</f>
        <v>18-24 tahun</v>
      </c>
      <c r="K856" s="19">
        <f>IFERROR(__xludf.DUMMYFUNCTION("""COMPUTED_VALUE"""),38533.0)</f>
        <v>38533</v>
      </c>
      <c r="L856" s="19" t="str">
        <f>IFERROR(__xludf.DUMMYFUNCTION("""COMPUTED_VALUE"""),"LAKI-LAKI")</f>
        <v>LAKI-LAKI</v>
      </c>
      <c r="M856" s="16" t="str">
        <f>IFERROR(__xludf.DUMMYFUNCTION("""COMPUTED_VALUE"""),"Jl.Kh.wahid hasyim gg mutiara")</f>
        <v>Jl.Kh.wahid hasyim gg mutiara</v>
      </c>
      <c r="N856" s="16"/>
      <c r="O856" s="16"/>
      <c r="P856" s="16"/>
      <c r="Q856" s="16"/>
      <c r="R856" s="19" t="str">
        <f>IFERROR(__xludf.DUMMYFUNCTION("""COMPUTED_VALUE"""),"ISLAM")</f>
        <v>ISLAM</v>
      </c>
      <c r="S856" s="16" t="str">
        <f>IFERROR(__xludf.DUMMYFUNCTION("""COMPUTED_VALUE"""),"TIDAK ADA")</f>
        <v>TIDAK ADA</v>
      </c>
      <c r="T856" s="16" t="str">
        <f>IFERROR(__xludf.DUMMYFUNCTION("""COMPUTED_VALUE"""),"Angkel bengkak dan suka ngilu")</f>
        <v>Angkel bengkak dan suka ngilu</v>
      </c>
      <c r="U856" s="16" t="str">
        <f>IFERROR(__xludf.DUMMYFUNCTION("""COMPUTED_VALUE"""),"Futsal")</f>
        <v>Futsal</v>
      </c>
      <c r="V856" s="11" t="str">
        <f>IFERROR(__xludf.DUMMYFUNCTION("""COMPUTED_VALUE"""),"081345177055")</f>
        <v>081345177055</v>
      </c>
      <c r="W856" s="15"/>
    </row>
    <row r="857" ht="22.5" customHeight="1">
      <c r="A857" s="8"/>
      <c r="B857" s="9">
        <f>IFERROR(__xludf.DUMMYFUNCTION("""COMPUTED_VALUE"""),45238.512658356485)</f>
        <v>45238.51266</v>
      </c>
      <c r="C857" s="9"/>
      <c r="D857" s="10">
        <f>IFERROR(__xludf.DUMMYFUNCTION("""COMPUTED_VALUE"""),45243.0)</f>
        <v>45243</v>
      </c>
      <c r="E857" s="10" t="str">
        <f>IFERROR(__xludf.DUMMYFUNCTION("""COMPUTED_VALUE"""),"11Nov")</f>
        <v>11Nov</v>
      </c>
      <c r="F857" s="10" t="str">
        <f>IFERROR(__xludf.DUMMYFUNCTION("""COMPUTED_VALUE"""),"2023")</f>
        <v>2023</v>
      </c>
      <c r="G857" s="16" t="str">
        <f>IFERROR(__xludf.DUMMYFUNCTION("""COMPUTED_VALUE"""),"ADE KURNIAWAN")</f>
        <v>ADE KURNIAWAN</v>
      </c>
      <c r="H857" s="17" t="str">
        <f>IFERROR(__xludf.DUMMYFUNCTION("""COMPUTED_VALUE"""),"A9623111070")</f>
        <v>A9623111070</v>
      </c>
      <c r="I857" s="17">
        <f>IFERROR(__xludf.DUMMYFUNCTION("""COMPUTED_VALUE"""),29.0)</f>
        <v>29</v>
      </c>
      <c r="J857" s="17" t="str">
        <f>IFERROR(__xludf.DUMMYFUNCTION("""COMPUTED_VALUE"""),"25-34 tahun")</f>
        <v>25-34 tahun</v>
      </c>
      <c r="K857" s="19">
        <f>IFERROR(__xludf.DUMMYFUNCTION("""COMPUTED_VALUE"""),35340.0)</f>
        <v>35340</v>
      </c>
      <c r="L857" s="19" t="str">
        <f>IFERROR(__xludf.DUMMYFUNCTION("""COMPUTED_VALUE"""),"LAKI-LAKI")</f>
        <v>LAKI-LAKI</v>
      </c>
      <c r="M857" s="16" t="str">
        <f>IFERROR(__xludf.DUMMYFUNCTION("""COMPUTED_VALUE"""),"Jl. Tebu. GG taruna")</f>
        <v>Jl. Tebu. GG taruna</v>
      </c>
      <c r="N857" s="16"/>
      <c r="O857" s="16"/>
      <c r="P857" s="16"/>
      <c r="Q857" s="16"/>
      <c r="R857" s="19" t="str">
        <f>IFERROR(__xludf.DUMMYFUNCTION("""COMPUTED_VALUE"""),"ISLAM")</f>
        <v>ISLAM</v>
      </c>
      <c r="S857" s="16" t="str">
        <f>IFERROR(__xludf.DUMMYFUNCTION("""COMPUTED_VALUE"""),"SWASTA")</f>
        <v>SWASTA</v>
      </c>
      <c r="T857" s="16" t="str">
        <f>IFERROR(__xludf.DUMMYFUNCTION("""COMPUTED_VALUE"""),"Goyang ke samping ketika bekejar dan Kalo nendang sesuatu Begoyang.")</f>
        <v>Goyang ke samping ketika bekejar dan Kalo nendang sesuatu Begoyang.</v>
      </c>
      <c r="U857" s="16" t="str">
        <f>IFERROR(__xludf.DUMMYFUNCTION("""COMPUTED_VALUE"""),"Maen bola")</f>
        <v>Maen bola</v>
      </c>
      <c r="V857" s="11" t="str">
        <f>IFERROR(__xludf.DUMMYFUNCTION("""COMPUTED_VALUE"""),"082159981070")</f>
        <v>082159981070</v>
      </c>
      <c r="W857" s="15"/>
    </row>
    <row r="858" ht="22.5" customHeight="1">
      <c r="A858" s="8"/>
      <c r="B858" s="9">
        <f>IFERROR(__xludf.DUMMYFUNCTION("""COMPUTED_VALUE"""),45244.940202928236)</f>
        <v>45244.9402</v>
      </c>
      <c r="C858" s="9"/>
      <c r="D858" s="10">
        <f>IFERROR(__xludf.DUMMYFUNCTION("""COMPUTED_VALUE"""),45243.0)</f>
        <v>45243</v>
      </c>
      <c r="E858" s="10" t="str">
        <f>IFERROR(__xludf.DUMMYFUNCTION("""COMPUTED_VALUE"""),"11Nov")</f>
        <v>11Nov</v>
      </c>
      <c r="F858" s="10" t="str">
        <f>IFERROR(__xludf.DUMMYFUNCTION("""COMPUTED_VALUE"""),"2023")</f>
        <v>2023</v>
      </c>
      <c r="G858" s="16" t="str">
        <f>IFERROR(__xludf.DUMMYFUNCTION("""COMPUTED_VALUE"""),"TITIN SUMARNI")</f>
        <v>TITIN SUMARNI</v>
      </c>
      <c r="H858" s="17" t="str">
        <f>IFERROR(__xludf.DUMMYFUNCTION("""COMPUTED_VALUE"""),"T642311")</f>
        <v>T642311</v>
      </c>
      <c r="I858" s="17">
        <f>IFERROR(__xludf.DUMMYFUNCTION("""COMPUTED_VALUE"""),61.0)</f>
        <v>61</v>
      </c>
      <c r="J858" s="17" t="str">
        <f>IFERROR(__xludf.DUMMYFUNCTION("""COMPUTED_VALUE"""),"&gt; 44 tahun")</f>
        <v>&gt; 44 tahun</v>
      </c>
      <c r="K858" s="19">
        <f>IFERROR(__xludf.DUMMYFUNCTION("""COMPUTED_VALUE"""),23647.0)</f>
        <v>23647</v>
      </c>
      <c r="L858" s="19" t="str">
        <f>IFERROR(__xludf.DUMMYFUNCTION("""COMPUTED_VALUE"""),"PEREMPUAN")</f>
        <v>PEREMPUAN</v>
      </c>
      <c r="M858" s="16" t="str">
        <f>IFERROR(__xludf.DUMMYFUNCTION("""COMPUTED_VALUE"""),"JALAN IMAM BONJOL GG. KUSUMA WIJAYA NO. 102")</f>
        <v>JALAN IMAM BONJOL GG. KUSUMA WIJAYA NO. 102</v>
      </c>
      <c r="N858" s="16"/>
      <c r="O858" s="16"/>
      <c r="P858" s="16"/>
      <c r="Q858" s="16"/>
      <c r="R858" s="19" t="str">
        <f>IFERROR(__xludf.DUMMYFUNCTION("""COMPUTED_VALUE"""),"ISLAM")</f>
        <v>ISLAM</v>
      </c>
      <c r="S858" s="16" t="str">
        <f>IFERROR(__xludf.DUMMYFUNCTION("""COMPUTED_VALUE"""),"DOSEN/GURU")</f>
        <v>DOSEN/GURU</v>
      </c>
      <c r="T858" s="16" t="str">
        <f>IFERROR(__xludf.DUMMYFUNCTION("""COMPUTED_VALUE"""),"BANSIR LAUT")</f>
        <v>BANSIR LAUT</v>
      </c>
      <c r="U858" s="16" t="str">
        <f>IFERROR(__xludf.DUMMYFUNCTION("""COMPUTED_VALUE"""),"MENGAJAR, BERKEBUN")</f>
        <v>MENGAJAR, BERKEBUN</v>
      </c>
      <c r="V858" s="16"/>
      <c r="W858" s="15"/>
    </row>
    <row r="859" ht="22.5" customHeight="1">
      <c r="A859" s="8"/>
      <c r="B859" s="9">
        <f>IFERROR(__xludf.DUMMYFUNCTION("""COMPUTED_VALUE"""),45245.40657811343)</f>
        <v>45245.40658</v>
      </c>
      <c r="C859" s="9"/>
      <c r="D859" s="10">
        <f>IFERROR(__xludf.DUMMYFUNCTION("""COMPUTED_VALUE"""),45244.0)</f>
        <v>45244</v>
      </c>
      <c r="E859" s="10" t="str">
        <f>IFERROR(__xludf.DUMMYFUNCTION("""COMPUTED_VALUE"""),"11Nov")</f>
        <v>11Nov</v>
      </c>
      <c r="F859" s="10" t="str">
        <f>IFERROR(__xludf.DUMMYFUNCTION("""COMPUTED_VALUE"""),"2023")</f>
        <v>2023</v>
      </c>
      <c r="G859" s="16" t="str">
        <f>IFERROR(__xludf.DUMMYFUNCTION("""COMPUTED_VALUE"""),"DENNIS TANTIONO")</f>
        <v>DENNIS TANTIONO</v>
      </c>
      <c r="H859" s="17" t="str">
        <f>IFERROR(__xludf.DUMMYFUNCTION("""COMPUTED_VALUE"""),"D9523117337")</f>
        <v>D9523117337</v>
      </c>
      <c r="I859" s="17">
        <f>IFERROR(__xludf.DUMMYFUNCTION("""COMPUTED_VALUE"""),30.0)</f>
        <v>30</v>
      </c>
      <c r="J859" s="17" t="str">
        <f>IFERROR(__xludf.DUMMYFUNCTION("""COMPUTED_VALUE"""),"25-34 tahun")</f>
        <v>25-34 tahun</v>
      </c>
      <c r="K859" s="19">
        <f>IFERROR(__xludf.DUMMYFUNCTION("""COMPUTED_VALUE"""),35045.0)</f>
        <v>35045</v>
      </c>
      <c r="L859" s="19" t="str">
        <f>IFERROR(__xludf.DUMMYFUNCTION("""COMPUTED_VALUE"""),"LAKI-LAKI")</f>
        <v>LAKI-LAKI</v>
      </c>
      <c r="M859" s="16" t="str">
        <f>IFERROR(__xludf.DUMMYFUNCTION("""COMPUTED_VALUE"""),"Jalan parit haji husin 2 komplex alex griya permai 1 no D1-2")</f>
        <v>Jalan parit haji husin 2 komplex alex griya permai 1 no D1-2</v>
      </c>
      <c r="N859" s="16"/>
      <c r="O859" s="16"/>
      <c r="P859" s="16"/>
      <c r="Q859" s="16"/>
      <c r="R859" s="19" t="str">
        <f>IFERROR(__xludf.DUMMYFUNCTION("""COMPUTED_VALUE"""),"KATOLIK")</f>
        <v>KATOLIK</v>
      </c>
      <c r="S859" s="16" t="str">
        <f>IFERROR(__xludf.DUMMYFUNCTION("""COMPUTED_VALUE"""),"WIRASWASTA")</f>
        <v>WIRASWASTA</v>
      </c>
      <c r="T859" s="16" t="str">
        <f>IFERROR(__xludf.DUMMYFUNCTION("""COMPUTED_VALUE"""),"Nyeri &amp; kaku bahu leher upper back pasca bangun tidur , dan keseharian pegal nyeri di area tersebut . Mohon pengecekkan nya terima kasih banyak 🙏")</f>
        <v>Nyeri &amp; kaku bahu leher upper back pasca bangun tidur , dan keseharian pegal nyeri di area tersebut . Mohon pengecekkan nya terima kasih banyak 🙏</v>
      </c>
      <c r="U859" s="16" t="str">
        <f>IFERROR(__xludf.DUMMYFUNCTION("""COMPUTED_VALUE"""),"Buka toko sembako")</f>
        <v>Buka toko sembako</v>
      </c>
      <c r="V859" s="11" t="str">
        <f>IFERROR(__xludf.DUMMYFUNCTION("""COMPUTED_VALUE"""),"082153397337")</f>
        <v>082153397337</v>
      </c>
      <c r="W859" s="15"/>
    </row>
    <row r="860" ht="22.5" customHeight="1">
      <c r="A860" s="8"/>
      <c r="B860" s="9">
        <f>IFERROR(__xludf.DUMMYFUNCTION("""COMPUTED_VALUE"""),45245.425655520834)</f>
        <v>45245.42566</v>
      </c>
      <c r="C860" s="9"/>
      <c r="D860" s="10">
        <f>IFERROR(__xludf.DUMMYFUNCTION("""COMPUTED_VALUE"""),45244.0)</f>
        <v>45244</v>
      </c>
      <c r="E860" s="10" t="str">
        <f>IFERROR(__xludf.DUMMYFUNCTION("""COMPUTED_VALUE"""),"11Nov")</f>
        <v>11Nov</v>
      </c>
      <c r="F860" s="10" t="str">
        <f>IFERROR(__xludf.DUMMYFUNCTION("""COMPUTED_VALUE"""),"2023")</f>
        <v>2023</v>
      </c>
      <c r="G860" s="16" t="str">
        <f>IFERROR(__xludf.DUMMYFUNCTION("""COMPUTED_VALUE"""),"RISNA HASRILIANTI")</f>
        <v>RISNA HASRILIANTI</v>
      </c>
      <c r="H860" s="17" t="str">
        <f>IFERROR(__xludf.DUMMYFUNCTION("""COMPUTED_VALUE"""),"R8723115858")</f>
        <v>R8723115858</v>
      </c>
      <c r="I860" s="17">
        <f>IFERROR(__xludf.DUMMYFUNCTION("""COMPUTED_VALUE"""),38.0)</f>
        <v>38</v>
      </c>
      <c r="J860" s="17" t="str">
        <f>IFERROR(__xludf.DUMMYFUNCTION("""COMPUTED_VALUE"""),"35-44 tahun")</f>
        <v>35-44 tahun</v>
      </c>
      <c r="K860" s="19">
        <f>IFERROR(__xludf.DUMMYFUNCTION("""COMPUTED_VALUE"""),31995.0)</f>
        <v>31995</v>
      </c>
      <c r="L860" s="19" t="str">
        <f>IFERROR(__xludf.DUMMYFUNCTION("""COMPUTED_VALUE"""),"PEREMPUAN")</f>
        <v>PEREMPUAN</v>
      </c>
      <c r="M860" s="16" t="str">
        <f>IFERROR(__xludf.DUMMYFUNCTION("""COMPUTED_VALUE"""),"JALAN TANJUNGSARI NO 116")</f>
        <v>JALAN TANJUNGSARI NO 116</v>
      </c>
      <c r="N860" s="16"/>
      <c r="O860" s="16"/>
      <c r="P860" s="16"/>
      <c r="Q860" s="16"/>
      <c r="R860" s="19" t="str">
        <f>IFERROR(__xludf.DUMMYFUNCTION("""COMPUTED_VALUE"""),"ISLAM")</f>
        <v>ISLAM</v>
      </c>
      <c r="S860" s="16" t="str">
        <f>IFERROR(__xludf.DUMMYFUNCTION("""COMPUTED_VALUE"""),"BUMD")</f>
        <v>BUMD</v>
      </c>
      <c r="T860" s="16" t="str">
        <f>IFERROR(__xludf.DUMMYFUNCTION("""COMPUTED_VALUE"""),"NYERI DI PINGGANG")</f>
        <v>NYERI DI PINGGANG</v>
      </c>
      <c r="U860" s="16" t="str">
        <f>IFERROR(__xludf.DUMMYFUNCTION("""COMPUTED_VALUE"""),"KERJA YG INTENSITAS DUDUK NYA LAMA")</f>
        <v>KERJA YG INTENSITAS DUDUK NYA LAMA</v>
      </c>
      <c r="V860" s="11" t="str">
        <f>IFERROR(__xludf.DUMMYFUNCTION("""COMPUTED_VALUE"""),"085228005858")</f>
        <v>085228005858</v>
      </c>
      <c r="W860" s="15"/>
    </row>
    <row r="861" ht="22.5" customHeight="1">
      <c r="A861" s="8"/>
      <c r="B861" s="9">
        <f>IFERROR(__xludf.DUMMYFUNCTION("""COMPUTED_VALUE"""),45245.57008363426)</f>
        <v>45245.57008</v>
      </c>
      <c r="C861" s="9"/>
      <c r="D861" s="10">
        <f>IFERROR(__xludf.DUMMYFUNCTION("""COMPUTED_VALUE"""),45245.0)</f>
        <v>45245</v>
      </c>
      <c r="E861" s="10" t="str">
        <f>IFERROR(__xludf.DUMMYFUNCTION("""COMPUTED_VALUE"""),"11Nov")</f>
        <v>11Nov</v>
      </c>
      <c r="F861" s="10" t="str">
        <f>IFERROR(__xludf.DUMMYFUNCTION("""COMPUTED_VALUE"""),"2023")</f>
        <v>2023</v>
      </c>
      <c r="G861" s="16" t="str">
        <f>IFERROR(__xludf.DUMMYFUNCTION("""COMPUTED_VALUE"""),"SEIKA ISNAINI NF")</f>
        <v>SEIKA ISNAINI NF</v>
      </c>
      <c r="H861" s="17" t="str">
        <f>IFERROR(__xludf.DUMMYFUNCTION("""COMPUTED_VALUE"""),"S8723116999")</f>
        <v>S8723116999</v>
      </c>
      <c r="I861" s="17">
        <f>IFERROR(__xludf.DUMMYFUNCTION("""COMPUTED_VALUE"""),39.0)</f>
        <v>39</v>
      </c>
      <c r="J861" s="17" t="str">
        <f>IFERROR(__xludf.DUMMYFUNCTION("""COMPUTED_VALUE"""),"35-44 tahun")</f>
        <v>35-44 tahun</v>
      </c>
      <c r="K861" s="19">
        <f>IFERROR(__xludf.DUMMYFUNCTION("""COMPUTED_VALUE"""),31852.0)</f>
        <v>31852</v>
      </c>
      <c r="L861" s="19" t="str">
        <f>IFERROR(__xludf.DUMMYFUNCTION("""COMPUTED_VALUE"""),"PEREMPUAN")</f>
        <v>PEREMPUAN</v>
      </c>
      <c r="M861" s="16" t="str">
        <f>IFERROR(__xludf.DUMMYFUNCTION("""COMPUTED_VALUE"""),"Komplek Griya Husada B 49")</f>
        <v>Komplek Griya Husada B 49</v>
      </c>
      <c r="N861" s="16"/>
      <c r="O861" s="16"/>
      <c r="P861" s="16"/>
      <c r="Q861" s="16"/>
      <c r="R861" s="19" t="str">
        <f>IFERROR(__xludf.DUMMYFUNCTION("""COMPUTED_VALUE"""),"ISLAM")</f>
        <v>ISLAM</v>
      </c>
      <c r="S861" s="16" t="str">
        <f>IFERROR(__xludf.DUMMYFUNCTION("""COMPUTED_VALUE"""),"BUMD")</f>
        <v>BUMD</v>
      </c>
      <c r="T861" s="16" t="str">
        <f>IFERROR(__xludf.DUMMYFUNCTION("""COMPUTED_VALUE"""),"Sakit di belikat kanan")</f>
        <v>Sakit di belikat kanan</v>
      </c>
      <c r="U861" s="16" t="str">
        <f>IFERROR(__xludf.DUMMYFUNCTION("""COMPUTED_VALUE"""),"Masak")</f>
        <v>Masak</v>
      </c>
      <c r="V861" s="11" t="str">
        <f>IFERROR(__xludf.DUMMYFUNCTION("""COMPUTED_VALUE"""),"08115646999")</f>
        <v>08115646999</v>
      </c>
      <c r="W861" s="15"/>
    </row>
    <row r="862" ht="22.5" customHeight="1">
      <c r="A862" s="8"/>
      <c r="B862" s="9">
        <f>IFERROR(__xludf.DUMMYFUNCTION("""COMPUTED_VALUE"""),45245.73709918981)</f>
        <v>45245.7371</v>
      </c>
      <c r="C862" s="9"/>
      <c r="D862" s="10">
        <f>IFERROR(__xludf.DUMMYFUNCTION("""COMPUTED_VALUE"""),45245.0)</f>
        <v>45245</v>
      </c>
      <c r="E862" s="10" t="str">
        <f>IFERROR(__xludf.DUMMYFUNCTION("""COMPUTED_VALUE"""),"11Nov")</f>
        <v>11Nov</v>
      </c>
      <c r="F862" s="10" t="str">
        <f>IFERROR(__xludf.DUMMYFUNCTION("""COMPUTED_VALUE"""),"2023")</f>
        <v>2023</v>
      </c>
      <c r="G862" s="16" t="str">
        <f>IFERROR(__xludf.DUMMYFUNCTION("""COMPUTED_VALUE"""),"MUHAFIDZAN NAZMI RASYAD")</f>
        <v>MUHAFIDZAN NAZMI RASYAD</v>
      </c>
      <c r="H862" s="17" t="str">
        <f>IFERROR(__xludf.DUMMYFUNCTION("""COMPUTED_VALUE"""),"M1123117090")</f>
        <v>M1123117090</v>
      </c>
      <c r="I862" s="17">
        <f>IFERROR(__xludf.DUMMYFUNCTION("""COMPUTED_VALUE"""),15.0)</f>
        <v>15</v>
      </c>
      <c r="J862" s="17" t="str">
        <f>IFERROR(__xludf.DUMMYFUNCTION("""COMPUTED_VALUE"""),"&lt; 18 tahun")</f>
        <v>&lt; 18 tahun</v>
      </c>
      <c r="K862" s="19">
        <f>IFERROR(__xludf.DUMMYFUNCTION("""COMPUTED_VALUE"""),40620.0)</f>
        <v>40620</v>
      </c>
      <c r="L862" s="19" t="str">
        <f>IFERROR(__xludf.DUMMYFUNCTION("""COMPUTED_VALUE"""),"LAKI-LAKI")</f>
        <v>LAKI-LAKI</v>
      </c>
      <c r="M862" s="16" t="str">
        <f>IFERROR(__xludf.DUMMYFUNCTION("""COMPUTED_VALUE"""),"Jl. Adi sucipto gg. Wonodadi 1 no. 3")</f>
        <v>Jl. Adi sucipto gg. Wonodadi 1 no. 3</v>
      </c>
      <c r="N862" s="16"/>
      <c r="O862" s="16"/>
      <c r="P862" s="16"/>
      <c r="Q862" s="16"/>
      <c r="R862" s="19" t="str">
        <f>IFERROR(__xludf.DUMMYFUNCTION("""COMPUTED_VALUE"""),"ISLAM")</f>
        <v>ISLAM</v>
      </c>
      <c r="S862" s="16" t="str">
        <f>IFERROR(__xludf.DUMMYFUNCTION("""COMPUTED_VALUE"""),"PELAJAR/MAHASISWA")</f>
        <v>PELAJAR/MAHASISWA</v>
      </c>
      <c r="T862" s="16" t="str">
        <f>IFERROR(__xludf.DUMMYFUNCTION("""COMPUTED_VALUE"""),"Tangan terasa sakit bagian siku sebelah kanan")</f>
        <v>Tangan terasa sakit bagian siku sebelah kanan</v>
      </c>
      <c r="U862" s="16" t="str">
        <f>IFERROR(__xludf.DUMMYFUNCTION("""COMPUTED_VALUE"""),"Futsal")</f>
        <v>Futsal</v>
      </c>
      <c r="V862" s="11" t="str">
        <f>IFERROR(__xludf.DUMMYFUNCTION("""COMPUTED_VALUE"""),"081254507090")</f>
        <v>081254507090</v>
      </c>
      <c r="W862" s="15"/>
    </row>
    <row r="863" ht="22.5" customHeight="1">
      <c r="A863" s="8"/>
      <c r="B863" s="9">
        <f>IFERROR(__xludf.DUMMYFUNCTION("""COMPUTED_VALUE"""),45245.81970317129)</f>
        <v>45245.8197</v>
      </c>
      <c r="C863" s="9"/>
      <c r="D863" s="10">
        <f>IFERROR(__xludf.DUMMYFUNCTION("""COMPUTED_VALUE"""),45245.0)</f>
        <v>45245</v>
      </c>
      <c r="E863" s="10" t="str">
        <f>IFERROR(__xludf.DUMMYFUNCTION("""COMPUTED_VALUE"""),"11Nov")</f>
        <v>11Nov</v>
      </c>
      <c r="F863" s="10" t="str">
        <f>IFERROR(__xludf.DUMMYFUNCTION("""COMPUTED_VALUE"""),"2023")</f>
        <v>2023</v>
      </c>
      <c r="G863" s="16" t="str">
        <f>IFERROR(__xludf.DUMMYFUNCTION("""COMPUTED_VALUE"""),"RUMINA")</f>
        <v>RUMINA</v>
      </c>
      <c r="H863" s="17" t="str">
        <f>IFERROR(__xludf.DUMMYFUNCTION("""COMPUTED_VALUE"""),"R7023112881")</f>
        <v>R7023112881</v>
      </c>
      <c r="I863" s="17">
        <f>IFERROR(__xludf.DUMMYFUNCTION("""COMPUTED_VALUE"""),56.0)</f>
        <v>56</v>
      </c>
      <c r="J863" s="17" t="str">
        <f>IFERROR(__xludf.DUMMYFUNCTION("""COMPUTED_VALUE"""),"&gt; 44 tahun")</f>
        <v>&gt; 44 tahun</v>
      </c>
      <c r="K863" s="19">
        <f>IFERROR(__xludf.DUMMYFUNCTION("""COMPUTED_VALUE"""),25693.0)</f>
        <v>25693</v>
      </c>
      <c r="L863" s="19" t="str">
        <f>IFERROR(__xludf.DUMMYFUNCTION("""COMPUTED_VALUE"""),"PEREMPUAN")</f>
        <v>PEREMPUAN</v>
      </c>
      <c r="M863" s="16" t="str">
        <f>IFERROR(__xludf.DUMMYFUNCTION("""COMPUTED_VALUE"""),"Jl ampera komplek bali asri 1 no a6")</f>
        <v>Jl ampera komplek bali asri 1 no a6</v>
      </c>
      <c r="N863" s="16"/>
      <c r="O863" s="16"/>
      <c r="P863" s="16"/>
      <c r="Q863" s="16"/>
      <c r="R863" s="19" t="str">
        <f>IFERROR(__xludf.DUMMYFUNCTION("""COMPUTED_VALUE"""),"ISLAM")</f>
        <v>ISLAM</v>
      </c>
      <c r="S863" s="16" t="str">
        <f>IFERROR(__xludf.DUMMYFUNCTION("""COMPUTED_VALUE"""),"ASN")</f>
        <v>ASN</v>
      </c>
      <c r="T863" s="16" t="str">
        <f>IFERROR(__xludf.DUMMYFUNCTION("""COMPUTED_VALUE"""),"Sakit tangan")</f>
        <v>Sakit tangan</v>
      </c>
      <c r="U863" s="16" t="str">
        <f>IFERROR(__xludf.DUMMYFUNCTION("""COMPUTED_VALUE"""),"Mengajar")</f>
        <v>Mengajar</v>
      </c>
      <c r="V863" s="11" t="str">
        <f>IFERROR(__xludf.DUMMYFUNCTION("""COMPUTED_VALUE"""),"081357372881")</f>
        <v>081357372881</v>
      </c>
      <c r="W863" s="15"/>
    </row>
    <row r="864" ht="22.5" customHeight="1">
      <c r="A864" s="8"/>
      <c r="B864" s="9">
        <f>IFERROR(__xludf.DUMMYFUNCTION("""COMPUTED_VALUE"""),45246.592267175925)</f>
        <v>45246.59227</v>
      </c>
      <c r="C864" s="9"/>
      <c r="D864" s="10">
        <f>IFERROR(__xludf.DUMMYFUNCTION("""COMPUTED_VALUE"""),45246.0)</f>
        <v>45246</v>
      </c>
      <c r="E864" s="10" t="str">
        <f>IFERROR(__xludf.DUMMYFUNCTION("""COMPUTED_VALUE"""),"11Nov")</f>
        <v>11Nov</v>
      </c>
      <c r="F864" s="10" t="str">
        <f>IFERROR(__xludf.DUMMYFUNCTION("""COMPUTED_VALUE"""),"2023")</f>
        <v>2023</v>
      </c>
      <c r="G864" s="16" t="str">
        <f>IFERROR(__xludf.DUMMYFUNCTION("""COMPUTED_VALUE"""),"MUHAMAT JOKO")</f>
        <v>MUHAMAT JOKO</v>
      </c>
      <c r="H864" s="17" t="str">
        <f>IFERROR(__xludf.DUMMYFUNCTION("""COMPUTED_VALUE"""),"M8723111346")</f>
        <v>M8723111346</v>
      </c>
      <c r="I864" s="17">
        <f>IFERROR(__xludf.DUMMYFUNCTION("""COMPUTED_VALUE"""),38.0)</f>
        <v>38</v>
      </c>
      <c r="J864" s="17" t="str">
        <f>IFERROR(__xludf.DUMMYFUNCTION("""COMPUTED_VALUE"""),"35-44 tahun")</f>
        <v>35-44 tahun</v>
      </c>
      <c r="K864" s="19">
        <f>IFERROR(__xludf.DUMMYFUNCTION("""COMPUTED_VALUE"""),31996.0)</f>
        <v>31996</v>
      </c>
      <c r="L864" s="19" t="str">
        <f>IFERROR(__xludf.DUMMYFUNCTION("""COMPUTED_VALUE"""),"LAKI-LAKI")</f>
        <v>LAKI-LAKI</v>
      </c>
      <c r="M864" s="16" t="str">
        <f>IFERROR(__xludf.DUMMYFUNCTION("""COMPUTED_VALUE"""),"DUSUN BANGIK PRMAI.NA.JEMEMAH.BOYANTANJUNG.KAPUAS HULU")</f>
        <v>DUSUN BANGIK PRMAI.NA.JEMEMAH.BOYANTANJUNG.KAPUAS HULU</v>
      </c>
      <c r="N864" s="16"/>
      <c r="O864" s="16"/>
      <c r="P864" s="16"/>
      <c r="Q864" s="16"/>
      <c r="R864" s="19" t="str">
        <f>IFERROR(__xludf.DUMMYFUNCTION("""COMPUTED_VALUE"""),"ISLAM")</f>
        <v>ISLAM</v>
      </c>
      <c r="S864" s="16" t="str">
        <f>IFERROR(__xludf.DUMMYFUNCTION("""COMPUTED_VALUE"""),"PETANI")</f>
        <v>PETANI</v>
      </c>
      <c r="T864" s="16" t="str">
        <f>IFERROR(__xludf.DUMMYFUNCTION("""COMPUTED_VALUE"""),"SAKIT DI PINGANG SAMPAI TELAPAK KAKI")</f>
        <v>SAKIT DI PINGANG SAMPAI TELAPAK KAKI</v>
      </c>
      <c r="U864" s="16" t="str">
        <f>IFERROR(__xludf.DUMMYFUNCTION("""COMPUTED_VALUE"""),"PEKERJA BERAT(MIKUL KAYU)")</f>
        <v>PEKERJA BERAT(MIKUL KAYU)</v>
      </c>
      <c r="V864" s="11" t="str">
        <f>IFERROR(__xludf.DUMMYFUNCTION("""COMPUTED_VALUE"""),"082254071346")</f>
        <v>082254071346</v>
      </c>
      <c r="W864" s="15"/>
    </row>
    <row r="865" ht="22.5" customHeight="1">
      <c r="A865" s="8"/>
      <c r="B865" s="9">
        <f>IFERROR(__xludf.DUMMYFUNCTION("""COMPUTED_VALUE"""),45246.60674546297)</f>
        <v>45246.60675</v>
      </c>
      <c r="C865" s="9"/>
      <c r="D865" s="10">
        <f>IFERROR(__xludf.DUMMYFUNCTION("""COMPUTED_VALUE"""),45246.0)</f>
        <v>45246</v>
      </c>
      <c r="E865" s="10" t="str">
        <f>IFERROR(__xludf.DUMMYFUNCTION("""COMPUTED_VALUE"""),"11Nov")</f>
        <v>11Nov</v>
      </c>
      <c r="F865" s="10" t="str">
        <f>IFERROR(__xludf.DUMMYFUNCTION("""COMPUTED_VALUE"""),"2023")</f>
        <v>2023</v>
      </c>
      <c r="G865" s="16" t="str">
        <f>IFERROR(__xludf.DUMMYFUNCTION("""COMPUTED_VALUE"""),"SURIANI")</f>
        <v>SURIANI</v>
      </c>
      <c r="H865" s="17" t="str">
        <f>IFERROR(__xludf.DUMMYFUNCTION("""COMPUTED_VALUE"""),"S7023119044")</f>
        <v>S7023119044</v>
      </c>
      <c r="I865" s="17">
        <f>IFERROR(__xludf.DUMMYFUNCTION("""COMPUTED_VALUE"""),56.0)</f>
        <v>56</v>
      </c>
      <c r="J865" s="17" t="str">
        <f>IFERROR(__xludf.DUMMYFUNCTION("""COMPUTED_VALUE"""),"&gt; 44 tahun")</f>
        <v>&gt; 44 tahun</v>
      </c>
      <c r="K865" s="19">
        <f>IFERROR(__xludf.DUMMYFUNCTION("""COMPUTED_VALUE"""),25603.0)</f>
        <v>25603</v>
      </c>
      <c r="L865" s="19" t="str">
        <f>IFERROR(__xludf.DUMMYFUNCTION("""COMPUTED_VALUE"""),"PEREMPUAN")</f>
        <v>PEREMPUAN</v>
      </c>
      <c r="M865" s="16" t="str">
        <f>IFERROR(__xludf.DUMMYFUNCTION("""COMPUTED_VALUE"""),"Desa kapur")</f>
        <v>Desa kapur</v>
      </c>
      <c r="N865" s="16"/>
      <c r="O865" s="16"/>
      <c r="P865" s="16"/>
      <c r="Q865" s="16"/>
      <c r="R865" s="19" t="str">
        <f>IFERROR(__xludf.DUMMYFUNCTION("""COMPUTED_VALUE"""),"BUDDHA")</f>
        <v>BUDDHA</v>
      </c>
      <c r="S865" s="16" t="str">
        <f>IFERROR(__xludf.DUMMYFUNCTION("""COMPUTED_VALUE"""),"RUMAH TANGGA")</f>
        <v>RUMAH TANGGA</v>
      </c>
      <c r="T865" s="16" t="str">
        <f>IFERROR(__xludf.DUMMYFUNCTION("""COMPUTED_VALUE"""),"Sakit pinggang udh lama")</f>
        <v>Sakit pinggang udh lama</v>
      </c>
      <c r="U865" s="16" t="str">
        <f>IFERROR(__xludf.DUMMYFUNCTION("""COMPUTED_VALUE"""),"Masak")</f>
        <v>Masak</v>
      </c>
      <c r="V865" s="11" t="str">
        <f>IFERROR(__xludf.DUMMYFUNCTION("""COMPUTED_VALUE"""),"081352449044")</f>
        <v>081352449044</v>
      </c>
      <c r="W865" s="15"/>
    </row>
    <row r="866" ht="22.5" customHeight="1">
      <c r="A866" s="8"/>
      <c r="B866" s="9">
        <f>IFERROR(__xludf.DUMMYFUNCTION("""COMPUTED_VALUE"""),45246.77758923611)</f>
        <v>45246.77759</v>
      </c>
      <c r="C866" s="9"/>
      <c r="D866" s="10">
        <f>IFERROR(__xludf.DUMMYFUNCTION("""COMPUTED_VALUE"""),45248.0)</f>
        <v>45248</v>
      </c>
      <c r="E866" s="10" t="str">
        <f>IFERROR(__xludf.DUMMYFUNCTION("""COMPUTED_VALUE"""),"11Nov")</f>
        <v>11Nov</v>
      </c>
      <c r="F866" s="10" t="str">
        <f>IFERROR(__xludf.DUMMYFUNCTION("""COMPUTED_VALUE"""),"2023")</f>
        <v>2023</v>
      </c>
      <c r="G866" s="16" t="str">
        <f>IFERROR(__xludf.DUMMYFUNCTION("""COMPUTED_VALUE"""),"FARIZ HAQ FARUQI")</f>
        <v>FARIZ HAQ FARUQI</v>
      </c>
      <c r="H866" s="17" t="str">
        <f>IFERROR(__xludf.DUMMYFUNCTION("""COMPUTED_VALUE"""),"F9523113456")</f>
        <v>F9523113456</v>
      </c>
      <c r="I866" s="17">
        <f>IFERROR(__xludf.DUMMYFUNCTION("""COMPUTED_VALUE"""),30.0)</f>
        <v>30</v>
      </c>
      <c r="J866" s="17" t="str">
        <f>IFERROR(__xludf.DUMMYFUNCTION("""COMPUTED_VALUE"""),"25-34 tahun")</f>
        <v>25-34 tahun</v>
      </c>
      <c r="K866" s="19">
        <f>IFERROR(__xludf.DUMMYFUNCTION("""COMPUTED_VALUE"""),35009.0)</f>
        <v>35009</v>
      </c>
      <c r="L866" s="19" t="str">
        <f>IFERROR(__xludf.DUMMYFUNCTION("""COMPUTED_VALUE"""),"LAKI-LAKI")</f>
        <v>LAKI-LAKI</v>
      </c>
      <c r="M866" s="16" t="str">
        <f>IFERROR(__xludf.DUMMYFUNCTION("""COMPUTED_VALUE"""),"jl m nawawi hasan 3 no 398")</f>
        <v>jl m nawawi hasan 3 no 398</v>
      </c>
      <c r="N866" s="16"/>
      <c r="O866" s="16"/>
      <c r="P866" s="16"/>
      <c r="Q866" s="16"/>
      <c r="R866" s="19" t="str">
        <f>IFERROR(__xludf.DUMMYFUNCTION("""COMPUTED_VALUE"""),"ISLAM")</f>
        <v>ISLAM</v>
      </c>
      <c r="S866" s="16" t="str">
        <f>IFERROR(__xludf.DUMMYFUNCTION("""COMPUTED_VALUE"""),"APOTEKER")</f>
        <v>APOTEKER</v>
      </c>
      <c r="T866" s="16" t="str">
        <f>IFERROR(__xludf.DUMMYFUNCTION("""COMPUTED_VALUE"""),"ACL tear dan bengkak tulang")</f>
        <v>ACL tear dan bengkak tulang</v>
      </c>
      <c r="U866" s="16" t="str">
        <f>IFERROR(__xludf.DUMMYFUNCTION("""COMPUTED_VALUE"""),"kerja kantoran")</f>
        <v>kerja kantoran</v>
      </c>
      <c r="V866" s="11" t="str">
        <f>IFERROR(__xludf.DUMMYFUNCTION("""COMPUTED_VALUE"""),"081392603456")</f>
        <v>081392603456</v>
      </c>
      <c r="W866" s="15"/>
    </row>
    <row r="867" ht="22.5" customHeight="1">
      <c r="A867" s="8"/>
      <c r="B867" s="9">
        <f>IFERROR(__xludf.DUMMYFUNCTION("""COMPUTED_VALUE"""),45246.87319230324)</f>
        <v>45246.87319</v>
      </c>
      <c r="C867" s="9"/>
      <c r="D867" s="10">
        <f>IFERROR(__xludf.DUMMYFUNCTION("""COMPUTED_VALUE"""),45248.0)</f>
        <v>45248</v>
      </c>
      <c r="E867" s="10" t="str">
        <f>IFERROR(__xludf.DUMMYFUNCTION("""COMPUTED_VALUE"""),"11Nov")</f>
        <v>11Nov</v>
      </c>
      <c r="F867" s="10" t="str">
        <f>IFERROR(__xludf.DUMMYFUNCTION("""COMPUTED_VALUE"""),"2023")</f>
        <v>2023</v>
      </c>
      <c r="G867" s="16" t="str">
        <f>IFERROR(__xludf.DUMMYFUNCTION("""COMPUTED_VALUE"""),"LIA REILITHA, ST")</f>
        <v>LIA REILITHA, ST</v>
      </c>
      <c r="H867" s="17" t="str">
        <f>IFERROR(__xludf.DUMMYFUNCTION("""COMPUTED_VALUE"""),"L7923116797")</f>
        <v>L7923116797</v>
      </c>
      <c r="I867" s="17">
        <f>IFERROR(__xludf.DUMMYFUNCTION("""COMPUTED_VALUE"""),47.0)</f>
        <v>47</v>
      </c>
      <c r="J867" s="17" t="str">
        <f>IFERROR(__xludf.DUMMYFUNCTION("""COMPUTED_VALUE"""),"&gt; 44 tahun")</f>
        <v>&gt; 44 tahun</v>
      </c>
      <c r="K867" s="19">
        <f>IFERROR(__xludf.DUMMYFUNCTION("""COMPUTED_VALUE"""),28999.0)</f>
        <v>28999</v>
      </c>
      <c r="L867" s="19" t="str">
        <f>IFERROR(__xludf.DUMMYFUNCTION("""COMPUTED_VALUE"""),"PEREMPUAN")</f>
        <v>PEREMPUAN</v>
      </c>
      <c r="M867" s="16" t="str">
        <f>IFERROR(__xludf.DUMMYFUNCTION("""COMPUTED_VALUE"""),"Jl. Tebu komplk. Tebu mandala no.A4 pintianak")</f>
        <v>Jl. Tebu komplk. Tebu mandala no.A4 pintianak</v>
      </c>
      <c r="N867" s="16"/>
      <c r="O867" s="16"/>
      <c r="P867" s="16"/>
      <c r="Q867" s="16"/>
      <c r="R867" s="19" t="str">
        <f>IFERROR(__xludf.DUMMYFUNCTION("""COMPUTED_VALUE"""),"ISLAM")</f>
        <v>ISLAM</v>
      </c>
      <c r="S867" s="16" t="str">
        <f>IFERROR(__xludf.DUMMYFUNCTION("""COMPUTED_VALUE"""),"RUMAH TANGGA")</f>
        <v>RUMAH TANGGA</v>
      </c>
      <c r="T867" s="16" t="str">
        <f>IFERROR(__xludf.DUMMYFUNCTION("""COMPUTED_VALUE"""),"Sakit di belakang leher susah menoleh, seperti salah tidur udah diurut tp masih sakit")</f>
        <v>Sakit di belakang leher susah menoleh, seperti salah tidur udah diurut tp masih sakit</v>
      </c>
      <c r="U867" s="16" t="str">
        <f>IFERROR(__xludf.DUMMYFUNCTION("""COMPUTED_VALUE"""),"Masak")</f>
        <v>Masak</v>
      </c>
      <c r="V867" s="11" t="str">
        <f>IFERROR(__xludf.DUMMYFUNCTION("""COMPUTED_VALUE"""),"085245606797")</f>
        <v>085245606797</v>
      </c>
      <c r="W867" s="15"/>
    </row>
    <row r="868" ht="22.5" customHeight="1">
      <c r="A868" s="8"/>
      <c r="B868" s="9">
        <f>IFERROR(__xludf.DUMMYFUNCTION("""COMPUTED_VALUE"""),45248.43708278935)</f>
        <v>45248.43708</v>
      </c>
      <c r="C868" s="9"/>
      <c r="D868" s="10">
        <f>IFERROR(__xludf.DUMMYFUNCTION("""COMPUTED_VALUE"""),45248.0)</f>
        <v>45248</v>
      </c>
      <c r="E868" s="10" t="str">
        <f>IFERROR(__xludf.DUMMYFUNCTION("""COMPUTED_VALUE"""),"11Nov")</f>
        <v>11Nov</v>
      </c>
      <c r="F868" s="10" t="str">
        <f>IFERROR(__xludf.DUMMYFUNCTION("""COMPUTED_VALUE"""),"2023")</f>
        <v>2023</v>
      </c>
      <c r="G868" s="16" t="str">
        <f>IFERROR(__xludf.DUMMYFUNCTION("""COMPUTED_VALUE"""),"NUR LAILAWATI")</f>
        <v>NUR LAILAWATI</v>
      </c>
      <c r="H868" s="17" t="str">
        <f>IFERROR(__xludf.DUMMYFUNCTION("""COMPUTED_VALUE"""),"N6523119626")</f>
        <v>N6523119626</v>
      </c>
      <c r="I868" s="17">
        <f>IFERROR(__xludf.DUMMYFUNCTION("""COMPUTED_VALUE"""),61.0)</f>
        <v>61</v>
      </c>
      <c r="J868" s="17" t="str">
        <f>IFERROR(__xludf.DUMMYFUNCTION("""COMPUTED_VALUE"""),"&gt; 44 tahun")</f>
        <v>&gt; 44 tahun</v>
      </c>
      <c r="K868" s="19">
        <f>IFERROR(__xludf.DUMMYFUNCTION("""COMPUTED_VALUE"""),23873.0)</f>
        <v>23873</v>
      </c>
      <c r="L868" s="19" t="str">
        <f>IFERROR(__xludf.DUMMYFUNCTION("""COMPUTED_VALUE"""),"PEREMPUAN")</f>
        <v>PEREMPUAN</v>
      </c>
      <c r="M868" s="16" t="str">
        <f>IFERROR(__xludf.DUMMYFUNCTION("""COMPUTED_VALUE"""),"Jalan parit bugis komp, griya lestari no B 21 kubu raya")</f>
        <v>Jalan parit bugis komp, griya lestari no B 21 kubu raya</v>
      </c>
      <c r="N868" s="16"/>
      <c r="O868" s="16"/>
      <c r="P868" s="16"/>
      <c r="Q868" s="16"/>
      <c r="R868" s="19" t="str">
        <f>IFERROR(__xludf.DUMMYFUNCTION("""COMPUTED_VALUE"""),"ISLAM")</f>
        <v>ISLAM</v>
      </c>
      <c r="S868" s="16" t="str">
        <f>IFERROR(__xludf.DUMMYFUNCTION("""COMPUTED_VALUE"""),"TIDAK ADA")</f>
        <v>TIDAK ADA</v>
      </c>
      <c r="T868" s="16" t="str">
        <f>IFERROR(__xludf.DUMMYFUNCTION("""COMPUTED_VALUE"""),"Sakit pada sendi bagian kaki 11 ku")</f>
        <v>Sakit pada sendi bagian kaki 11 ku</v>
      </c>
      <c r="U868" s="16" t="str">
        <f>IFERROR(__xludf.DUMMYFUNCTION("""COMPUTED_VALUE"""),"Di rumah saja")</f>
        <v>Di rumah saja</v>
      </c>
      <c r="V868" s="11" t="str">
        <f>IFERROR(__xludf.DUMMYFUNCTION("""COMPUTED_VALUE"""),"0895518519626")</f>
        <v>0895518519626</v>
      </c>
      <c r="W868" s="15"/>
    </row>
    <row r="869" ht="22.5" customHeight="1">
      <c r="A869" s="8"/>
      <c r="B869" s="9">
        <f>IFERROR(__xludf.DUMMYFUNCTION("""COMPUTED_VALUE"""),45248.55190997686)</f>
        <v>45248.55191</v>
      </c>
      <c r="C869" s="9"/>
      <c r="D869" s="10">
        <f>IFERROR(__xludf.DUMMYFUNCTION("""COMPUTED_VALUE"""),45248.0)</f>
        <v>45248</v>
      </c>
      <c r="E869" s="10" t="str">
        <f>IFERROR(__xludf.DUMMYFUNCTION("""COMPUTED_VALUE"""),"11Nov")</f>
        <v>11Nov</v>
      </c>
      <c r="F869" s="10" t="str">
        <f>IFERROR(__xludf.DUMMYFUNCTION("""COMPUTED_VALUE"""),"2023")</f>
        <v>2023</v>
      </c>
      <c r="G869" s="16" t="str">
        <f>IFERROR(__xludf.DUMMYFUNCTION("""COMPUTED_VALUE"""),"JILI SAHARUI")</f>
        <v>JILI SAHARUI</v>
      </c>
      <c r="H869" s="17" t="str">
        <f>IFERROR(__xludf.DUMMYFUNCTION("""COMPUTED_VALUE"""),"J0523112642")</f>
        <v>J0523112642</v>
      </c>
      <c r="I869" s="17">
        <f>IFERROR(__xludf.DUMMYFUNCTION("""COMPUTED_VALUE"""),20.0)</f>
        <v>20</v>
      </c>
      <c r="J869" s="17" t="str">
        <f>IFERROR(__xludf.DUMMYFUNCTION("""COMPUTED_VALUE"""),"18-24 tahun")</f>
        <v>18-24 tahun</v>
      </c>
      <c r="K869" s="19">
        <f>IFERROR(__xludf.DUMMYFUNCTION("""COMPUTED_VALUE"""),38627.0)</f>
        <v>38627</v>
      </c>
      <c r="L869" s="19" t="str">
        <f>IFERROR(__xludf.DUMMYFUNCTION("""COMPUTED_VALUE"""),"LAKI-LAKI")</f>
        <v>LAKI-LAKI</v>
      </c>
      <c r="M869" s="16" t="str">
        <f>IFERROR(__xludf.DUMMYFUNCTION("""COMPUTED_VALUE"""),"Dusun sanggau kota kab. Bengkayang kec. Sanggau ledo")</f>
        <v>Dusun sanggau kota kab. Bengkayang kec. Sanggau ledo</v>
      </c>
      <c r="N869" s="16"/>
      <c r="O869" s="16"/>
      <c r="P869" s="16"/>
      <c r="Q869" s="16"/>
      <c r="R869" s="19" t="str">
        <f>IFERROR(__xludf.DUMMYFUNCTION("""COMPUTED_VALUE"""),"ISLAM")</f>
        <v>ISLAM</v>
      </c>
      <c r="S869" s="16" t="str">
        <f>IFERROR(__xludf.DUMMYFUNCTION("""COMPUTED_VALUE"""),"PELAJAR/MAHASISWA")</f>
        <v>PELAJAR/MAHASISWA</v>
      </c>
      <c r="T869" s="16" t="str">
        <f>IFERROR(__xludf.DUMMYFUNCTION("""COMPUTED_VALUE"""),"TULANG BELAKANG SEDIKIT BENGKOK")</f>
        <v>TULANG BELAKANG SEDIKIT BENGKOK</v>
      </c>
      <c r="U869" s="16" t="str">
        <f>IFERROR(__xludf.DUMMYFUNCTION("""COMPUTED_VALUE"""),"MAIN")</f>
        <v>MAIN</v>
      </c>
      <c r="V869" s="11" t="str">
        <f>IFERROR(__xludf.DUMMYFUNCTION("""COMPUTED_VALUE"""),"089693672642")</f>
        <v>089693672642</v>
      </c>
      <c r="W869" s="15"/>
    </row>
    <row r="870" ht="22.5" customHeight="1">
      <c r="A870" s="8"/>
      <c r="B870" s="9">
        <f>IFERROR(__xludf.DUMMYFUNCTION("""COMPUTED_VALUE"""),45248.57296460649)</f>
        <v>45248.57296</v>
      </c>
      <c r="C870" s="9"/>
      <c r="D870" s="10">
        <f>IFERROR(__xludf.DUMMYFUNCTION("""COMPUTED_VALUE"""),45248.0)</f>
        <v>45248</v>
      </c>
      <c r="E870" s="10" t="str">
        <f>IFERROR(__xludf.DUMMYFUNCTION("""COMPUTED_VALUE"""),"11Nov")</f>
        <v>11Nov</v>
      </c>
      <c r="F870" s="10" t="str">
        <f>IFERROR(__xludf.DUMMYFUNCTION("""COMPUTED_VALUE"""),"2023")</f>
        <v>2023</v>
      </c>
      <c r="G870" s="16" t="str">
        <f>IFERROR(__xludf.DUMMYFUNCTION("""COMPUTED_VALUE"""),"ZURIADI WIRA NEGARA")</f>
        <v>ZURIADI WIRA NEGARA</v>
      </c>
      <c r="H870" s="17" t="str">
        <f>IFERROR(__xludf.DUMMYFUNCTION("""COMPUTED_VALUE"""),"Z9323117167")</f>
        <v>Z9323117167</v>
      </c>
      <c r="I870" s="17">
        <f>IFERROR(__xludf.DUMMYFUNCTION("""COMPUTED_VALUE"""),32.0)</f>
        <v>32</v>
      </c>
      <c r="J870" s="17" t="str">
        <f>IFERROR(__xludf.DUMMYFUNCTION("""COMPUTED_VALUE"""),"25-34 tahun")</f>
        <v>25-34 tahun</v>
      </c>
      <c r="K870" s="19">
        <f>IFERROR(__xludf.DUMMYFUNCTION("""COMPUTED_VALUE"""),34278.0)</f>
        <v>34278</v>
      </c>
      <c r="L870" s="19" t="str">
        <f>IFERROR(__xludf.DUMMYFUNCTION("""COMPUTED_VALUE"""),"LAKI-LAKI")</f>
        <v>LAKI-LAKI</v>
      </c>
      <c r="M870" s="16" t="str">
        <f>IFERROR(__xludf.DUMMYFUNCTION("""COMPUTED_VALUE"""),"JL. PURNAMA KOMPLEK PURNAMA PERMAI 2 NO F4")</f>
        <v>JL. PURNAMA KOMPLEK PURNAMA PERMAI 2 NO F4</v>
      </c>
      <c r="N870" s="16"/>
      <c r="O870" s="16"/>
      <c r="P870" s="16"/>
      <c r="Q870" s="16"/>
      <c r="R870" s="19" t="str">
        <f>IFERROR(__xludf.DUMMYFUNCTION("""COMPUTED_VALUE"""),"ISLAM")</f>
        <v>ISLAM</v>
      </c>
      <c r="S870" s="16" t="str">
        <f>IFERROR(__xludf.DUMMYFUNCTION("""COMPUTED_VALUE"""),"ARSITEK")</f>
        <v>ARSITEK</v>
      </c>
      <c r="T870" s="16" t="str">
        <f>IFERROR(__xludf.DUMMYFUNCTION("""COMPUTED_VALUE"""),"SAKIT PINGGANG SAMPAI KE BETIS")</f>
        <v>SAKIT PINGGANG SAMPAI KE BETIS</v>
      </c>
      <c r="U870" s="16" t="str">
        <f>IFERROR(__xludf.DUMMYFUNCTION("""COMPUTED_VALUE"""),"VIDEO GAME")</f>
        <v>VIDEO GAME</v>
      </c>
      <c r="V870" s="11" t="str">
        <f>IFERROR(__xludf.DUMMYFUNCTION("""COMPUTED_VALUE"""),"087879647167")</f>
        <v>087879647167</v>
      </c>
      <c r="W870" s="15"/>
    </row>
    <row r="871" ht="22.5" customHeight="1">
      <c r="A871" s="8"/>
      <c r="B871" s="9">
        <f>IFERROR(__xludf.DUMMYFUNCTION("""COMPUTED_VALUE"""),45248.60822371527)</f>
        <v>45248.60822</v>
      </c>
      <c r="C871" s="9"/>
      <c r="D871" s="10">
        <f>IFERROR(__xludf.DUMMYFUNCTION("""COMPUTED_VALUE"""),45249.0)</f>
        <v>45249</v>
      </c>
      <c r="E871" s="10" t="str">
        <f>IFERROR(__xludf.DUMMYFUNCTION("""COMPUTED_VALUE"""),"11Nov")</f>
        <v>11Nov</v>
      </c>
      <c r="F871" s="10" t="str">
        <f>IFERROR(__xludf.DUMMYFUNCTION("""COMPUTED_VALUE"""),"2023")</f>
        <v>2023</v>
      </c>
      <c r="G871" s="16" t="str">
        <f>IFERROR(__xludf.DUMMYFUNCTION("""COMPUTED_VALUE"""),"BUDY SAPUTRA")</f>
        <v>BUDY SAPUTRA</v>
      </c>
      <c r="H871" s="17" t="str">
        <f>IFERROR(__xludf.DUMMYFUNCTION("""COMPUTED_VALUE"""),"B8523110973")</f>
        <v>B8523110973</v>
      </c>
      <c r="I871" s="17">
        <f>IFERROR(__xludf.DUMMYFUNCTION("""COMPUTED_VALUE"""),41.0)</f>
        <v>41</v>
      </c>
      <c r="J871" s="17" t="str">
        <f>IFERROR(__xludf.DUMMYFUNCTION("""COMPUTED_VALUE"""),"35-44 tahun")</f>
        <v>35-44 tahun</v>
      </c>
      <c r="K871" s="19">
        <f>IFERROR(__xludf.DUMMYFUNCTION("""COMPUTED_VALUE"""),31207.0)</f>
        <v>31207</v>
      </c>
      <c r="L871" s="19" t="str">
        <f>IFERROR(__xludf.DUMMYFUNCTION("""COMPUTED_VALUE"""),"LAKI-LAKI")</f>
        <v>LAKI-LAKI</v>
      </c>
      <c r="M871" s="16" t="str">
        <f>IFERROR(__xludf.DUMMYFUNCTION("""COMPUTED_VALUE"""),"Jl.Prof.M.Yamin Gg.Keluarga Bersama No.33")</f>
        <v>Jl.Prof.M.Yamin Gg.Keluarga Bersama No.33</v>
      </c>
      <c r="N871" s="16"/>
      <c r="O871" s="16"/>
      <c r="P871" s="16"/>
      <c r="Q871" s="16"/>
      <c r="R871" s="19" t="str">
        <f>IFERROR(__xludf.DUMMYFUNCTION("""COMPUTED_VALUE"""),"")</f>
        <v/>
      </c>
      <c r="S871" s="16" t="str">
        <f>IFERROR(__xludf.DUMMYFUNCTION("""COMPUTED_VALUE"""),"ASN")</f>
        <v>ASN</v>
      </c>
      <c r="T871" s="16" t="str">
        <f>IFERROR(__xludf.DUMMYFUNCTION("""COMPUTED_VALUE"""),"Cedera")</f>
        <v>Cedera</v>
      </c>
      <c r="U871" s="16" t="str">
        <f>IFERROR(__xludf.DUMMYFUNCTION("""COMPUTED_VALUE"""),"Lari")</f>
        <v>Lari</v>
      </c>
      <c r="V871" s="11" t="str">
        <f>IFERROR(__xludf.DUMMYFUNCTION("""COMPUTED_VALUE"""),"085245950973")</f>
        <v>085245950973</v>
      </c>
      <c r="W871" s="15"/>
    </row>
    <row r="872" ht="22.5" customHeight="1">
      <c r="A872" s="8"/>
      <c r="B872" s="9">
        <f>IFERROR(__xludf.DUMMYFUNCTION("""COMPUTED_VALUE"""),45248.64863732639)</f>
        <v>45248.64864</v>
      </c>
      <c r="C872" s="9"/>
      <c r="D872" s="10">
        <f>IFERROR(__xludf.DUMMYFUNCTION("""COMPUTED_VALUE"""),45249.0)</f>
        <v>45249</v>
      </c>
      <c r="E872" s="10" t="str">
        <f>IFERROR(__xludf.DUMMYFUNCTION("""COMPUTED_VALUE"""),"11Nov")</f>
        <v>11Nov</v>
      </c>
      <c r="F872" s="10" t="str">
        <f>IFERROR(__xludf.DUMMYFUNCTION("""COMPUTED_VALUE"""),"2023")</f>
        <v>2023</v>
      </c>
      <c r="G872" s="16" t="str">
        <f>IFERROR(__xludf.DUMMYFUNCTION("""COMPUTED_VALUE"""),"NUR IKHWAN PRATAMA")</f>
        <v>NUR IKHWAN PRATAMA</v>
      </c>
      <c r="H872" s="17" t="str">
        <f>IFERROR(__xludf.DUMMYFUNCTION("""COMPUTED_VALUE"""),"N8923115505")</f>
        <v>N8923115505</v>
      </c>
      <c r="I872" s="17">
        <f>IFERROR(__xludf.DUMMYFUNCTION("""COMPUTED_VALUE"""),36.0)</f>
        <v>36</v>
      </c>
      <c r="J872" s="17" t="str">
        <f>IFERROR(__xludf.DUMMYFUNCTION("""COMPUTED_VALUE"""),"35-44 tahun")</f>
        <v>35-44 tahun</v>
      </c>
      <c r="K872" s="19">
        <f>IFERROR(__xludf.DUMMYFUNCTION("""COMPUTED_VALUE"""),32833.0)</f>
        <v>32833</v>
      </c>
      <c r="L872" s="19" t="str">
        <f>IFERROR(__xludf.DUMMYFUNCTION("""COMPUTED_VALUE"""),"LAKI-LAKI")</f>
        <v>LAKI-LAKI</v>
      </c>
      <c r="M872" s="16" t="str">
        <f>IFERROR(__xludf.DUMMYFUNCTION("""COMPUTED_VALUE"""),"Jl. S. Parman No. 93 Sintang")</f>
        <v>Jl. S. Parman No. 93 Sintang</v>
      </c>
      <c r="N872" s="16"/>
      <c r="O872" s="16"/>
      <c r="P872" s="16"/>
      <c r="Q872" s="16"/>
      <c r="R872" s="19" t="str">
        <f>IFERROR(__xludf.DUMMYFUNCTION("""COMPUTED_VALUE"""),"ISLAM")</f>
        <v>ISLAM</v>
      </c>
      <c r="S872" s="16" t="str">
        <f>IFERROR(__xludf.DUMMYFUNCTION("""COMPUTED_VALUE"""),"TNI/POLRI")</f>
        <v>TNI/POLRI</v>
      </c>
      <c r="T872" s="16" t="str">
        <f>IFERROR(__xludf.DUMMYFUNCTION("""COMPUTED_VALUE"""),"Piriformis Syndrome")</f>
        <v>Piriformis Syndrome</v>
      </c>
      <c r="U872" s="16" t="str">
        <f>IFERROR(__xludf.DUMMYFUNCTION("""COMPUTED_VALUE"""),"Sepakbola/Futsal/Lari")</f>
        <v>Sepakbola/Futsal/Lari</v>
      </c>
      <c r="V872" s="11" t="str">
        <f>IFERROR(__xludf.DUMMYFUNCTION("""COMPUTED_VALUE"""),"082153505505")</f>
        <v>082153505505</v>
      </c>
      <c r="W872" s="15"/>
    </row>
    <row r="873" ht="22.5" customHeight="1">
      <c r="A873" s="8"/>
      <c r="B873" s="9">
        <f>IFERROR(__xludf.DUMMYFUNCTION("""COMPUTED_VALUE"""),45248.68967798611)</f>
        <v>45248.68968</v>
      </c>
      <c r="C873" s="9"/>
      <c r="D873" s="34">
        <f>IFERROR(__xludf.DUMMYFUNCTION("""COMPUTED_VALUE"""),45249.0)</f>
        <v>45249</v>
      </c>
      <c r="E873" s="34" t="str">
        <f>IFERROR(__xludf.DUMMYFUNCTION("""COMPUTED_VALUE"""),"11Nov")</f>
        <v>11Nov</v>
      </c>
      <c r="F873" s="34" t="str">
        <f>IFERROR(__xludf.DUMMYFUNCTION("""COMPUTED_VALUE"""),"2023")</f>
        <v>2023</v>
      </c>
      <c r="G873" s="35" t="str">
        <f>IFERROR(__xludf.DUMMYFUNCTION("""COMPUTED_VALUE"""),"YASINTA ANA")</f>
        <v>YASINTA ANA</v>
      </c>
      <c r="H873" s="17" t="str">
        <f>IFERROR(__xludf.DUMMYFUNCTION("""COMPUTED_VALUE"""),"Y9223116444")</f>
        <v>Y9223116444</v>
      </c>
      <c r="I873" s="17">
        <f>IFERROR(__xludf.DUMMYFUNCTION("""COMPUTED_VALUE"""),34.0)</f>
        <v>34</v>
      </c>
      <c r="J873" s="17" t="str">
        <f>IFERROR(__xludf.DUMMYFUNCTION("""COMPUTED_VALUE"""),"25-34 tahun")</f>
        <v>25-34 tahun</v>
      </c>
      <c r="K873" s="19">
        <f>IFERROR(__xludf.DUMMYFUNCTION("""COMPUTED_VALUE"""),33698.0)</f>
        <v>33698</v>
      </c>
      <c r="L873" s="19" t="str">
        <f>IFERROR(__xludf.DUMMYFUNCTION("""COMPUTED_VALUE"""),"PEREMPUAN")</f>
        <v>PEREMPUAN</v>
      </c>
      <c r="M873" s="16" t="str">
        <f>IFERROR(__xludf.DUMMYFUNCTION("""COMPUTED_VALUE"""),"Jalan perdamaian, Komplek Soja Budi Utama Bhakti, Nomor DD.2")</f>
        <v>Jalan perdamaian, Komplek Soja Budi Utama Bhakti, Nomor DD.2</v>
      </c>
      <c r="N873" s="35"/>
      <c r="O873" s="35"/>
      <c r="P873" s="35"/>
      <c r="Q873" s="16"/>
      <c r="R873" s="19" t="str">
        <f>IFERROR(__xludf.DUMMYFUNCTION("""COMPUTED_VALUE"""),"ISLAM")</f>
        <v>ISLAM</v>
      </c>
      <c r="S873" s="16" t="str">
        <f>IFERROR(__xludf.DUMMYFUNCTION("""COMPUTED_VALUE"""),"ASN")</f>
        <v>ASN</v>
      </c>
      <c r="T873" s="16" t="str">
        <f>IFERROR(__xludf.DUMMYFUNCTION("""COMPUTED_VALUE"""),"Sakit pinggang/ tulang belakang")</f>
        <v>Sakit pinggang/ tulang belakang</v>
      </c>
      <c r="U873" s="16" t="str">
        <f>IFERROR(__xludf.DUMMYFUNCTION("""COMPUTED_VALUE"""),"Mengajar dan main HP")</f>
        <v>Mengajar dan main HP</v>
      </c>
      <c r="V873" s="11" t="str">
        <f>IFERROR(__xludf.DUMMYFUNCTION("""COMPUTED_VALUE"""),"08115646444")</f>
        <v>08115646444</v>
      </c>
      <c r="W873" s="15"/>
    </row>
    <row r="874" ht="22.5" customHeight="1">
      <c r="A874" s="8"/>
      <c r="B874" s="9">
        <f>IFERROR(__xludf.DUMMYFUNCTION("""COMPUTED_VALUE"""),45248.703691111106)</f>
        <v>45248.70369</v>
      </c>
      <c r="C874" s="9"/>
      <c r="D874" s="10">
        <f>IFERROR(__xludf.DUMMYFUNCTION("""COMPUTED_VALUE"""),45250.0)</f>
        <v>45250</v>
      </c>
      <c r="E874" s="10" t="str">
        <f>IFERROR(__xludf.DUMMYFUNCTION("""COMPUTED_VALUE"""),"11Nov")</f>
        <v>11Nov</v>
      </c>
      <c r="F874" s="10" t="str">
        <f>IFERROR(__xludf.DUMMYFUNCTION("""COMPUTED_VALUE"""),"2023")</f>
        <v>2023</v>
      </c>
      <c r="G874" s="16" t="str">
        <f>IFERROR(__xludf.DUMMYFUNCTION("""COMPUTED_VALUE"""),"THE AILIE")</f>
        <v>THE AILIE</v>
      </c>
      <c r="H874" s="17" t="str">
        <f>IFERROR(__xludf.DUMMYFUNCTION("""COMPUTED_VALUE"""),"T7023113119")</f>
        <v>T7023113119</v>
      </c>
      <c r="I874" s="17">
        <f>IFERROR(__xludf.DUMMYFUNCTION("""COMPUTED_VALUE"""),55.0)</f>
        <v>55</v>
      </c>
      <c r="J874" s="17" t="str">
        <f>IFERROR(__xludf.DUMMYFUNCTION("""COMPUTED_VALUE"""),"&gt; 44 tahun")</f>
        <v>&gt; 44 tahun</v>
      </c>
      <c r="K874" s="19">
        <f>IFERROR(__xludf.DUMMYFUNCTION("""COMPUTED_VALUE"""),25745.0)</f>
        <v>25745</v>
      </c>
      <c r="L874" s="19" t="str">
        <f>IFERROR(__xludf.DUMMYFUNCTION("""COMPUTED_VALUE"""),"PEREMPUAN")</f>
        <v>PEREMPUAN</v>
      </c>
      <c r="M874" s="16" t="str">
        <f>IFERROR(__xludf.DUMMYFUNCTION("""COMPUTED_VALUE"""),"Jalan perdana komplek adi perdana")</f>
        <v>Jalan perdana komplek adi perdana</v>
      </c>
      <c r="N874" s="16"/>
      <c r="O874" s="16"/>
      <c r="P874" s="16"/>
      <c r="Q874" s="16"/>
      <c r="R874" s="19" t="str">
        <f>IFERROR(__xludf.DUMMYFUNCTION("""COMPUTED_VALUE"""),"KATOLIK")</f>
        <v>KATOLIK</v>
      </c>
      <c r="S874" s="16" t="str">
        <f>IFERROR(__xludf.DUMMYFUNCTION("""COMPUTED_VALUE"""),"RUMAH TANGGA")</f>
        <v>RUMAH TANGGA</v>
      </c>
      <c r="T874" s="16" t="str">
        <f>IFERROR(__xludf.DUMMYFUNCTION("""COMPUTED_VALUE"""),"Jatuh dari toilet dan ball n socket sebelah kiri nya injury")</f>
        <v>Jatuh dari toilet dan ball n socket sebelah kiri nya injury</v>
      </c>
      <c r="U874" s="16" t="str">
        <f>IFERROR(__xludf.DUMMYFUNCTION("""COMPUTED_VALUE"""),"Ibu rumah tangga")</f>
        <v>Ibu rumah tangga</v>
      </c>
      <c r="V874" s="11" t="str">
        <f>IFERROR(__xludf.DUMMYFUNCTION("""COMPUTED_VALUE"""),"081210553119")</f>
        <v>081210553119</v>
      </c>
      <c r="W874" s="15"/>
    </row>
    <row r="875" ht="22.5" customHeight="1">
      <c r="A875" s="8"/>
      <c r="B875" s="9">
        <f>IFERROR(__xludf.DUMMYFUNCTION("""COMPUTED_VALUE"""),45248.7541971875)</f>
        <v>45248.7542</v>
      </c>
      <c r="C875" s="9"/>
      <c r="D875" s="10">
        <f>IFERROR(__xludf.DUMMYFUNCTION("""COMPUTED_VALUE"""),45250.0)</f>
        <v>45250</v>
      </c>
      <c r="E875" s="10" t="str">
        <f>IFERROR(__xludf.DUMMYFUNCTION("""COMPUTED_VALUE"""),"11Nov")</f>
        <v>11Nov</v>
      </c>
      <c r="F875" s="10" t="str">
        <f>IFERROR(__xludf.DUMMYFUNCTION("""COMPUTED_VALUE"""),"2023")</f>
        <v>2023</v>
      </c>
      <c r="G875" s="16" t="str">
        <f>IFERROR(__xludf.DUMMYFUNCTION("""COMPUTED_VALUE"""),"NAZA BARA UTAMA PUTRA")</f>
        <v>NAZA BARA UTAMA PUTRA</v>
      </c>
      <c r="H875" s="17" t="str">
        <f>IFERROR(__xludf.DUMMYFUNCTION("""COMPUTED_VALUE"""),"N0523118186")</f>
        <v>N0523118186</v>
      </c>
      <c r="I875" s="17">
        <f>IFERROR(__xludf.DUMMYFUNCTION("""COMPUTED_VALUE"""),21.0)</f>
        <v>21</v>
      </c>
      <c r="J875" s="17" t="str">
        <f>IFERROR(__xludf.DUMMYFUNCTION("""COMPUTED_VALUE"""),"18-24 tahun")</f>
        <v>18-24 tahun</v>
      </c>
      <c r="K875" s="19">
        <f>IFERROR(__xludf.DUMMYFUNCTION("""COMPUTED_VALUE"""),38448.0)</f>
        <v>38448</v>
      </c>
      <c r="L875" s="19" t="str">
        <f>IFERROR(__xludf.DUMMYFUNCTION("""COMPUTED_VALUE"""),"LAKI-LAKI")</f>
        <v>LAKI-LAKI</v>
      </c>
      <c r="M875" s="16" t="str">
        <f>IFERROR(__xludf.DUMMYFUNCTION("""COMPUTED_VALUE"""),"JALAN TANJUNG RAYA 2 GG TAMAN SISWA")</f>
        <v>JALAN TANJUNG RAYA 2 GG TAMAN SISWA</v>
      </c>
      <c r="N875" s="16"/>
      <c r="O875" s="16"/>
      <c r="P875" s="16"/>
      <c r="Q875" s="16"/>
      <c r="R875" s="19" t="str">
        <f>IFERROR(__xludf.DUMMYFUNCTION("""COMPUTED_VALUE"""),"ISLAM")</f>
        <v>ISLAM</v>
      </c>
      <c r="S875" s="16" t="str">
        <f>IFERROR(__xludf.DUMMYFUNCTION("""COMPUTED_VALUE"""),"PELAJAR/MAHASISWA")</f>
        <v>PELAJAR/MAHASISWA</v>
      </c>
      <c r="T875" s="16" t="str">
        <f>IFERROR(__xludf.DUMMYFUNCTION("""COMPUTED_VALUE"""),"kaki X")</f>
        <v>kaki X</v>
      </c>
      <c r="U875" s="16" t="str">
        <f>IFERROR(__xludf.DUMMYFUNCTION("""COMPUTED_VALUE"""),"Futsal")</f>
        <v>Futsal</v>
      </c>
      <c r="V875" s="21" t="str">
        <f>IFERROR(__xludf.DUMMYFUNCTION("""COMPUTED_VALUE"""),"081250128186")</f>
        <v>081250128186</v>
      </c>
      <c r="W875" s="22"/>
    </row>
    <row r="876" ht="22.5" customHeight="1">
      <c r="A876" s="8"/>
      <c r="B876" s="9">
        <f>IFERROR(__xludf.DUMMYFUNCTION("""COMPUTED_VALUE"""),45249.39996766204)</f>
        <v>45249.39997</v>
      </c>
      <c r="C876" s="9"/>
      <c r="D876" s="10">
        <f>IFERROR(__xludf.DUMMYFUNCTION("""COMPUTED_VALUE"""),45250.0)</f>
        <v>45250</v>
      </c>
      <c r="E876" s="10" t="str">
        <f>IFERROR(__xludf.DUMMYFUNCTION("""COMPUTED_VALUE"""),"11Nov")</f>
        <v>11Nov</v>
      </c>
      <c r="F876" s="10" t="str">
        <f>IFERROR(__xludf.DUMMYFUNCTION("""COMPUTED_VALUE"""),"2023")</f>
        <v>2023</v>
      </c>
      <c r="G876" s="16" t="str">
        <f>IFERROR(__xludf.DUMMYFUNCTION("""COMPUTED_VALUE"""),"ZAKARIA")</f>
        <v>ZAKARIA</v>
      </c>
      <c r="H876" s="17" t="str">
        <f>IFERROR(__xludf.DUMMYFUNCTION("""COMPUTED_VALUE"""),"Z8623118686")</f>
        <v>Z8623118686</v>
      </c>
      <c r="I876" s="17">
        <f>IFERROR(__xludf.DUMMYFUNCTION("""COMPUTED_VALUE"""),39.0)</f>
        <v>39</v>
      </c>
      <c r="J876" s="17" t="str">
        <f>IFERROR(__xludf.DUMMYFUNCTION("""COMPUTED_VALUE"""),"35-44 tahun")</f>
        <v>35-44 tahun</v>
      </c>
      <c r="K876" s="19">
        <f>IFERROR(__xludf.DUMMYFUNCTION("""COMPUTED_VALUE"""),31704.0)</f>
        <v>31704</v>
      </c>
      <c r="L876" s="19" t="str">
        <f>IFERROR(__xludf.DUMMYFUNCTION("""COMPUTED_VALUE"""),"LAKI-LAKI")</f>
        <v>LAKI-LAKI</v>
      </c>
      <c r="M876" s="16" t="str">
        <f>IFERROR(__xludf.DUMMYFUNCTION("""COMPUTED_VALUE"""),"Jln parit h. Husin 1 no 9")</f>
        <v>Jln parit h. Husin 1 no 9</v>
      </c>
      <c r="N876" s="16"/>
      <c r="O876" s="16"/>
      <c r="P876" s="16"/>
      <c r="Q876" s="16"/>
      <c r="R876" s="19" t="str">
        <f>IFERROR(__xludf.DUMMYFUNCTION("""COMPUTED_VALUE"""),"ISLAM")</f>
        <v>ISLAM</v>
      </c>
      <c r="S876" s="16" t="str">
        <f>IFERROR(__xludf.DUMMYFUNCTION("""COMPUTED_VALUE"""),"TNI/POLRI")</f>
        <v>TNI/POLRI</v>
      </c>
      <c r="T876" s="16" t="str">
        <f>IFERROR(__xludf.DUMMYFUNCTION("""COMPUTED_VALUE"""),"Kesemutan pada bagian tangan sebalah kanan yang tidak berhenti kesemutan nya selama 2 minggu terakhir ini")</f>
        <v>Kesemutan pada bagian tangan sebalah kanan yang tidak berhenti kesemutan nya selama 2 minggu terakhir ini</v>
      </c>
      <c r="U876" s="16" t="str">
        <f>IFERROR(__xludf.DUMMYFUNCTION("""COMPUTED_VALUE"""),"Badminton")</f>
        <v>Badminton</v>
      </c>
      <c r="V876" s="11" t="str">
        <f>IFERROR(__xludf.DUMMYFUNCTION("""COMPUTED_VALUE"""),"082149928686")</f>
        <v>082149928686</v>
      </c>
      <c r="W876" s="15"/>
    </row>
    <row r="877" ht="22.5" customHeight="1">
      <c r="A877" s="8"/>
      <c r="B877" s="9">
        <f>IFERROR(__xludf.DUMMYFUNCTION("""COMPUTED_VALUE"""),45249.44989579861)</f>
        <v>45249.4499</v>
      </c>
      <c r="C877" s="9"/>
      <c r="D877" s="10">
        <f>IFERROR(__xludf.DUMMYFUNCTION("""COMPUTED_VALUE"""),45250.0)</f>
        <v>45250</v>
      </c>
      <c r="E877" s="10" t="str">
        <f>IFERROR(__xludf.DUMMYFUNCTION("""COMPUTED_VALUE"""),"11Nov")</f>
        <v>11Nov</v>
      </c>
      <c r="F877" s="10" t="str">
        <f>IFERROR(__xludf.DUMMYFUNCTION("""COMPUTED_VALUE"""),"2023")</f>
        <v>2023</v>
      </c>
      <c r="G877" s="16" t="str">
        <f>IFERROR(__xludf.DUMMYFUNCTION("""COMPUTED_VALUE"""),"BAMBANG DARWANTO")</f>
        <v>BAMBANG DARWANTO</v>
      </c>
      <c r="H877" s="17" t="str">
        <f>IFERROR(__xludf.DUMMYFUNCTION("""COMPUTED_VALUE"""),"B5923110123")</f>
        <v>B5923110123</v>
      </c>
      <c r="I877" s="17">
        <f>IFERROR(__xludf.DUMMYFUNCTION("""COMPUTED_VALUE"""),66.0)</f>
        <v>66</v>
      </c>
      <c r="J877" s="17" t="str">
        <f>IFERROR(__xludf.DUMMYFUNCTION("""COMPUTED_VALUE"""),"&gt; 44 tahun")</f>
        <v>&gt; 44 tahun</v>
      </c>
      <c r="K877" s="19">
        <f>IFERROR(__xludf.DUMMYFUNCTION("""COMPUTED_VALUE"""),21756.0)</f>
        <v>21756</v>
      </c>
      <c r="L877" s="19" t="str">
        <f>IFERROR(__xludf.DUMMYFUNCTION("""COMPUTED_VALUE"""),"LAKI-LAKI")</f>
        <v>LAKI-LAKI</v>
      </c>
      <c r="M877" s="16" t="str">
        <f>IFERROR(__xludf.DUMMYFUNCTION("""COMPUTED_VALUE"""),"JL DR SUTOMO GG MUHAMMADIYAH I NO.60")</f>
        <v>JL DR SUTOMO GG MUHAMMADIYAH I NO.60</v>
      </c>
      <c r="N877" s="16"/>
      <c r="O877" s="16"/>
      <c r="P877" s="16"/>
      <c r="Q877" s="16"/>
      <c r="R877" s="19" t="str">
        <f>IFERROR(__xludf.DUMMYFUNCTION("""COMPUTED_VALUE"""),"ISLAM")</f>
        <v>ISLAM</v>
      </c>
      <c r="S877" s="16" t="str">
        <f>IFERROR(__xludf.DUMMYFUNCTION("""COMPUTED_VALUE"""),"PENSIUN")</f>
        <v>PENSIUN</v>
      </c>
      <c r="T877" s="16" t="str">
        <f>IFERROR(__xludf.DUMMYFUNCTION("""COMPUTED_VALUE"""),"Bahu Sakit,Tulang Rusuk Sakit,Jari jempol sakit")</f>
        <v>Bahu Sakit,Tulang Rusuk Sakit,Jari jempol sakit</v>
      </c>
      <c r="U877" s="16" t="str">
        <f>IFERROR(__xludf.DUMMYFUNCTION("""COMPUTED_VALUE"""),"Jalan Pagi")</f>
        <v>Jalan Pagi</v>
      </c>
      <c r="V877" s="11" t="str">
        <f>IFERROR(__xludf.DUMMYFUNCTION("""COMPUTED_VALUE"""),"08115790123")</f>
        <v>08115790123</v>
      </c>
      <c r="W877" s="15"/>
    </row>
    <row r="878" ht="22.5" customHeight="1">
      <c r="A878" s="8"/>
      <c r="B878" s="9">
        <f>IFERROR(__xludf.DUMMYFUNCTION("""COMPUTED_VALUE"""),45249.72222834491)</f>
        <v>45249.72223</v>
      </c>
      <c r="C878" s="9"/>
      <c r="D878" s="10">
        <f>IFERROR(__xludf.DUMMYFUNCTION("""COMPUTED_VALUE"""),45250.0)</f>
        <v>45250</v>
      </c>
      <c r="E878" s="10" t="str">
        <f>IFERROR(__xludf.DUMMYFUNCTION("""COMPUTED_VALUE"""),"11Nov")</f>
        <v>11Nov</v>
      </c>
      <c r="F878" s="10" t="str">
        <f>IFERROR(__xludf.DUMMYFUNCTION("""COMPUTED_VALUE"""),"2023")</f>
        <v>2023</v>
      </c>
      <c r="G878" s="16" t="str">
        <f>IFERROR(__xludf.DUMMYFUNCTION("""COMPUTED_VALUE"""),"AIN HIDAYATI")</f>
        <v>AIN HIDAYATI</v>
      </c>
      <c r="H878" s="17" t="str">
        <f>IFERROR(__xludf.DUMMYFUNCTION("""COMPUTED_VALUE"""),"A0123116330")</f>
        <v>A0123116330</v>
      </c>
      <c r="I878" s="17">
        <f>IFERROR(__xludf.DUMMYFUNCTION("""COMPUTED_VALUE"""),24.0)</f>
        <v>24</v>
      </c>
      <c r="J878" s="17" t="str">
        <f>IFERROR(__xludf.DUMMYFUNCTION("""COMPUTED_VALUE"""),"18-24 tahun")</f>
        <v>18-24 tahun</v>
      </c>
      <c r="K878" s="19">
        <f>IFERROR(__xludf.DUMMYFUNCTION("""COMPUTED_VALUE"""),37254.0)</f>
        <v>37254</v>
      </c>
      <c r="L878" s="19" t="str">
        <f>IFERROR(__xludf.DUMMYFUNCTION("""COMPUTED_VALUE"""),"PEREMPUAN")</f>
        <v>PEREMPUAN</v>
      </c>
      <c r="M878" s="16" t="str">
        <f>IFERROR(__xludf.DUMMYFUNCTION("""COMPUTED_VALUE"""),"Wajok Hilir")</f>
        <v>Wajok Hilir</v>
      </c>
      <c r="N878" s="16"/>
      <c r="O878" s="16"/>
      <c r="P878" s="16"/>
      <c r="Q878" s="16"/>
      <c r="R878" s="19" t="str">
        <f>IFERROR(__xludf.DUMMYFUNCTION("""COMPUTED_VALUE"""),"ISLAM")</f>
        <v>ISLAM</v>
      </c>
      <c r="S878" s="16" t="str">
        <f>IFERROR(__xludf.DUMMYFUNCTION("""COMPUTED_VALUE"""),"PELAJAR/MAHASISWA")</f>
        <v>PELAJAR/MAHASISWA</v>
      </c>
      <c r="T878" s="16" t="str">
        <f>IFERROR(__xludf.DUMMYFUNCTION("""COMPUTED_VALUE"""),"Sakit kaki dan pinggang")</f>
        <v>Sakit kaki dan pinggang</v>
      </c>
      <c r="U878" s="16" t="str">
        <f>IFERROR(__xludf.DUMMYFUNCTION("""COMPUTED_VALUE"""),"Kuliah")</f>
        <v>Kuliah</v>
      </c>
      <c r="V878" s="11" t="str">
        <f>IFERROR(__xludf.DUMMYFUNCTION("""COMPUTED_VALUE"""),"089653786330")</f>
        <v>089653786330</v>
      </c>
      <c r="W878" s="15"/>
    </row>
    <row r="879" ht="22.5" customHeight="1">
      <c r="A879" s="8"/>
      <c r="B879" s="9">
        <f>IFERROR(__xludf.DUMMYFUNCTION("""COMPUTED_VALUE"""),45250.37493207176)</f>
        <v>45250.37493</v>
      </c>
      <c r="C879" s="9"/>
      <c r="D879" s="10">
        <f>IFERROR(__xludf.DUMMYFUNCTION("""COMPUTED_VALUE"""),45250.0)</f>
        <v>45250</v>
      </c>
      <c r="E879" s="10" t="str">
        <f>IFERROR(__xludf.DUMMYFUNCTION("""COMPUTED_VALUE"""),"11Nov")</f>
        <v>11Nov</v>
      </c>
      <c r="F879" s="10" t="str">
        <f>IFERROR(__xludf.DUMMYFUNCTION("""COMPUTED_VALUE"""),"2023")</f>
        <v>2023</v>
      </c>
      <c r="G879" s="16" t="str">
        <f>IFERROR(__xludf.DUMMYFUNCTION("""COMPUTED_VALUE"""),"BAMBANG WIBISONI")</f>
        <v>BAMBANG WIBISONI</v>
      </c>
      <c r="H879" s="17" t="str">
        <f>IFERROR(__xludf.DUMMYFUNCTION("""COMPUTED_VALUE"""),"B9123111378")</f>
        <v>B9123111378</v>
      </c>
      <c r="I879" s="17">
        <f>IFERROR(__xludf.DUMMYFUNCTION("""COMPUTED_VALUE"""),34.0)</f>
        <v>34</v>
      </c>
      <c r="J879" s="17" t="str">
        <f>IFERROR(__xludf.DUMMYFUNCTION("""COMPUTED_VALUE"""),"25-34 tahun")</f>
        <v>25-34 tahun</v>
      </c>
      <c r="K879" s="19">
        <f>IFERROR(__xludf.DUMMYFUNCTION("""COMPUTED_VALUE"""),33457.0)</f>
        <v>33457</v>
      </c>
      <c r="L879" s="19" t="str">
        <f>IFERROR(__xludf.DUMMYFUNCTION("""COMPUTED_VALUE"""),"LAKI-LAKI")</f>
        <v>LAKI-LAKI</v>
      </c>
      <c r="M879" s="16" t="str">
        <f>IFERROR(__xludf.DUMMYFUNCTION("""COMPUTED_VALUE"""),"Ds Kutoharjo Rt 5/4 Pati")</f>
        <v>Ds Kutoharjo Rt 5/4 Pati</v>
      </c>
      <c r="N879" s="16"/>
      <c r="O879" s="16"/>
      <c r="P879" s="16"/>
      <c r="Q879" s="16"/>
      <c r="R879" s="19" t="str">
        <f>IFERROR(__xludf.DUMMYFUNCTION("""COMPUTED_VALUE"""),"ISLAM")</f>
        <v>ISLAM</v>
      </c>
      <c r="S879" s="16" t="str">
        <f>IFERROR(__xludf.DUMMYFUNCTION("""COMPUTED_VALUE"""),"SWASTA")</f>
        <v>SWASTA</v>
      </c>
      <c r="T879" s="16" t="str">
        <f>IFERROR(__xludf.DUMMYFUNCTION("""COMPUTED_VALUE"""),"LBP")</f>
        <v>LBP</v>
      </c>
      <c r="U879" s="16" t="str">
        <f>IFERROR(__xludf.DUMMYFUNCTION("""COMPUTED_VALUE"""),"Lari n gym")</f>
        <v>Lari n gym</v>
      </c>
      <c r="V879" s="11" t="str">
        <f>IFERROR(__xludf.DUMMYFUNCTION("""COMPUTED_VALUE"""),"081323001378")</f>
        <v>081323001378</v>
      </c>
      <c r="W879" s="15"/>
    </row>
    <row r="880" ht="22.5" customHeight="1">
      <c r="A880" s="8"/>
      <c r="B880" s="9">
        <f>IFERROR(__xludf.DUMMYFUNCTION("""COMPUTED_VALUE"""),45250.43714863426)</f>
        <v>45250.43715</v>
      </c>
      <c r="C880" s="9"/>
      <c r="D880" s="10">
        <f>IFERROR(__xludf.DUMMYFUNCTION("""COMPUTED_VALUE"""),45250.0)</f>
        <v>45250</v>
      </c>
      <c r="E880" s="10" t="str">
        <f>IFERROR(__xludf.DUMMYFUNCTION("""COMPUTED_VALUE"""),"11Nov")</f>
        <v>11Nov</v>
      </c>
      <c r="F880" s="10" t="str">
        <f>IFERROR(__xludf.DUMMYFUNCTION("""COMPUTED_VALUE"""),"2023")</f>
        <v>2023</v>
      </c>
      <c r="G880" s="16" t="str">
        <f>IFERROR(__xludf.DUMMYFUNCTION("""COMPUTED_VALUE"""),"ANTON CHANDRA")</f>
        <v>ANTON CHANDRA</v>
      </c>
      <c r="H880" s="17" t="str">
        <f>IFERROR(__xludf.DUMMYFUNCTION("""COMPUTED_VALUE"""),"A8423112002")</f>
        <v>A8423112002</v>
      </c>
      <c r="I880" s="17">
        <f>IFERROR(__xludf.DUMMYFUNCTION("""COMPUTED_VALUE"""),42.0)</f>
        <v>42</v>
      </c>
      <c r="J880" s="17" t="str">
        <f>IFERROR(__xludf.DUMMYFUNCTION("""COMPUTED_VALUE"""),"35-44 tahun")</f>
        <v>35-44 tahun</v>
      </c>
      <c r="K880" s="19">
        <f>IFERROR(__xludf.DUMMYFUNCTION("""COMPUTED_VALUE"""),30800.0)</f>
        <v>30800</v>
      </c>
      <c r="L880" s="19" t="str">
        <f>IFERROR(__xludf.DUMMYFUNCTION("""COMPUTED_VALUE"""),"LAKI-LAKI")</f>
        <v>LAKI-LAKI</v>
      </c>
      <c r="M880" s="16" t="str">
        <f>IFERROR(__xludf.DUMMYFUNCTION("""COMPUTED_VALUE"""),"Jl. Tanjung Pura")</f>
        <v>Jl. Tanjung Pura</v>
      </c>
      <c r="N880" s="16"/>
      <c r="O880" s="16"/>
      <c r="P880" s="16"/>
      <c r="Q880" s="16"/>
      <c r="R880" s="19" t="str">
        <f>IFERROR(__xludf.DUMMYFUNCTION("""COMPUTED_VALUE"""),"KATOLIK")</f>
        <v>KATOLIK</v>
      </c>
      <c r="S880" s="16" t="str">
        <f>IFERROR(__xludf.DUMMYFUNCTION("""COMPUTED_VALUE"""),"WIRASWASTA")</f>
        <v>WIRASWASTA</v>
      </c>
      <c r="T880" s="16" t="str">
        <f>IFERROR(__xludf.DUMMYFUNCTION("""COMPUTED_VALUE"""),"Sakit bagian")</f>
        <v>Sakit bagian</v>
      </c>
      <c r="U880" s="16" t="str">
        <f>IFERROR(__xludf.DUMMYFUNCTION("""COMPUTED_VALUE"""),"Sepeda dan lari")</f>
        <v>Sepeda dan lari</v>
      </c>
      <c r="V880" s="11" t="str">
        <f>IFERROR(__xludf.DUMMYFUNCTION("""COMPUTED_VALUE"""),"085276672002")</f>
        <v>085276672002</v>
      </c>
      <c r="W880" s="15"/>
    </row>
    <row r="881" ht="22.5" customHeight="1">
      <c r="A881" s="8"/>
      <c r="B881" s="9">
        <f>IFERROR(__xludf.DUMMYFUNCTION("""COMPUTED_VALUE"""),45250.548351018515)</f>
        <v>45250.54835</v>
      </c>
      <c r="C881" s="9"/>
      <c r="D881" s="10">
        <f>IFERROR(__xludf.DUMMYFUNCTION("""COMPUTED_VALUE"""),45251.0)</f>
        <v>45251</v>
      </c>
      <c r="E881" s="10" t="str">
        <f>IFERROR(__xludf.DUMMYFUNCTION("""COMPUTED_VALUE"""),"11Nov")</f>
        <v>11Nov</v>
      </c>
      <c r="F881" s="10" t="str">
        <f>IFERROR(__xludf.DUMMYFUNCTION("""COMPUTED_VALUE"""),"2023")</f>
        <v>2023</v>
      </c>
      <c r="G881" s="16" t="str">
        <f>IFERROR(__xludf.DUMMYFUNCTION("""COMPUTED_VALUE"""),"EFENDI")</f>
        <v>EFENDI</v>
      </c>
      <c r="H881" s="17" t="str">
        <f>IFERROR(__xludf.DUMMYFUNCTION("""COMPUTED_VALUE"""),"E8923116555")</f>
        <v>E8923116555</v>
      </c>
      <c r="I881" s="17">
        <f>IFERROR(__xludf.DUMMYFUNCTION("""COMPUTED_VALUE"""),36.0)</f>
        <v>36</v>
      </c>
      <c r="J881" s="17" t="str">
        <f>IFERROR(__xludf.DUMMYFUNCTION("""COMPUTED_VALUE"""),"35-44 tahun")</f>
        <v>35-44 tahun</v>
      </c>
      <c r="K881" s="19">
        <f>IFERROR(__xludf.DUMMYFUNCTION("""COMPUTED_VALUE"""),32710.0)</f>
        <v>32710</v>
      </c>
      <c r="L881" s="19" t="str">
        <f>IFERROR(__xludf.DUMMYFUNCTION("""COMPUTED_VALUE"""),"LAKI-LAKI")</f>
        <v>LAKI-LAKI</v>
      </c>
      <c r="M881" s="16" t="str">
        <f>IFERROR(__xludf.DUMMYFUNCTION("""COMPUTED_VALUE"""),"Jalan tanjung raya 2 no 88")</f>
        <v>Jalan tanjung raya 2 no 88</v>
      </c>
      <c r="N881" s="16"/>
      <c r="O881" s="16"/>
      <c r="P881" s="16"/>
      <c r="Q881" s="16"/>
      <c r="R881" s="19" t="str">
        <f>IFERROR(__xludf.DUMMYFUNCTION("""COMPUTED_VALUE"""),"BUDDHA")</f>
        <v>BUDDHA</v>
      </c>
      <c r="S881" s="16" t="str">
        <f>IFERROR(__xludf.DUMMYFUNCTION("""COMPUTED_VALUE"""),"WIRASWASTA")</f>
        <v>WIRASWASTA</v>
      </c>
      <c r="T881" s="16" t="str">
        <f>IFERROR(__xludf.DUMMYFUNCTION("""COMPUTED_VALUE"""),"Bahu pegal dan nyeri")</f>
        <v>Bahu pegal dan nyeri</v>
      </c>
      <c r="U881" s="16" t="str">
        <f>IFERROR(__xludf.DUMMYFUNCTION("""COMPUTED_VALUE"""),"Fitness")</f>
        <v>Fitness</v>
      </c>
      <c r="V881" s="11" t="str">
        <f>IFERROR(__xludf.DUMMYFUNCTION("""COMPUTED_VALUE"""),"082250626555")</f>
        <v>082250626555</v>
      </c>
      <c r="W881" s="15"/>
    </row>
    <row r="882" ht="22.5" customHeight="1">
      <c r="A882" s="8"/>
      <c r="B882" s="9">
        <f>IFERROR(__xludf.DUMMYFUNCTION("""COMPUTED_VALUE"""),45250.55432658565)</f>
        <v>45250.55433</v>
      </c>
      <c r="C882" s="9"/>
      <c r="D882" s="10">
        <f>IFERROR(__xludf.DUMMYFUNCTION("""COMPUTED_VALUE"""),45251.0)</f>
        <v>45251</v>
      </c>
      <c r="E882" s="10" t="str">
        <f>IFERROR(__xludf.DUMMYFUNCTION("""COMPUTED_VALUE"""),"11Nov")</f>
        <v>11Nov</v>
      </c>
      <c r="F882" s="10" t="str">
        <f>IFERROR(__xludf.DUMMYFUNCTION("""COMPUTED_VALUE"""),"2023")</f>
        <v>2023</v>
      </c>
      <c r="G882" s="16" t="str">
        <f>IFERROR(__xludf.DUMMYFUNCTION("""COMPUTED_VALUE"""),"SRI SUBERTI")</f>
        <v>SRI SUBERTI</v>
      </c>
      <c r="H882" s="17" t="str">
        <f>IFERROR(__xludf.DUMMYFUNCTION("""COMPUTED_VALUE"""),"S5723119667")</f>
        <v>S5723119667</v>
      </c>
      <c r="I882" s="17">
        <f>IFERROR(__xludf.DUMMYFUNCTION("""COMPUTED_VALUE"""),68.0)</f>
        <v>68</v>
      </c>
      <c r="J882" s="17" t="str">
        <f>IFERROR(__xludf.DUMMYFUNCTION("""COMPUTED_VALUE"""),"&gt; 44 tahun")</f>
        <v>&gt; 44 tahun</v>
      </c>
      <c r="K882" s="19">
        <f>IFERROR(__xludf.DUMMYFUNCTION("""COMPUTED_VALUE"""),21149.0)</f>
        <v>21149</v>
      </c>
      <c r="L882" s="19" t="str">
        <f>IFERROR(__xludf.DUMMYFUNCTION("""COMPUTED_VALUE"""),"PEREMPUAN")</f>
        <v>PEREMPUAN</v>
      </c>
      <c r="M882" s="16" t="str">
        <f>IFERROR(__xludf.DUMMYFUNCTION("""COMPUTED_VALUE"""),"Jl Husein Hamzah Komplek Harvin Indah No A9")</f>
        <v>Jl Husein Hamzah Komplek Harvin Indah No A9</v>
      </c>
      <c r="N882" s="16"/>
      <c r="O882" s="16"/>
      <c r="P882" s="16"/>
      <c r="Q882" s="16"/>
      <c r="R882" s="19" t="str">
        <f>IFERROR(__xludf.DUMMYFUNCTION("""COMPUTED_VALUE"""),"ISLAM")</f>
        <v>ISLAM</v>
      </c>
      <c r="S882" s="16" t="str">
        <f>IFERROR(__xludf.DUMMYFUNCTION("""COMPUTED_VALUE"""),"ASN")</f>
        <v>ASN</v>
      </c>
      <c r="T882" s="16" t="str">
        <f>IFERROR(__xludf.DUMMYFUNCTION("""COMPUTED_VALUE"""),"Stroke")</f>
        <v>Stroke</v>
      </c>
      <c r="U882" s="16" t="str">
        <f>IFERROR(__xludf.DUMMYFUNCTION("""COMPUTED_VALUE"""),"Ibu Rumah Tangga")</f>
        <v>Ibu Rumah Tangga</v>
      </c>
      <c r="V882" s="11" t="str">
        <f>IFERROR(__xludf.DUMMYFUNCTION("""COMPUTED_VALUE"""),"081256869667")</f>
        <v>081256869667</v>
      </c>
      <c r="W882" s="15"/>
    </row>
    <row r="883" ht="22.5" customHeight="1">
      <c r="A883" s="8"/>
      <c r="B883" s="9">
        <f>IFERROR(__xludf.DUMMYFUNCTION("""COMPUTED_VALUE"""),45250.56391344908)</f>
        <v>45250.56391</v>
      </c>
      <c r="C883" s="9"/>
      <c r="D883" s="10">
        <f>IFERROR(__xludf.DUMMYFUNCTION("""COMPUTED_VALUE"""),45251.0)</f>
        <v>45251</v>
      </c>
      <c r="E883" s="10" t="str">
        <f>IFERROR(__xludf.DUMMYFUNCTION("""COMPUTED_VALUE"""),"11Nov")</f>
        <v>11Nov</v>
      </c>
      <c r="F883" s="10" t="str">
        <f>IFERROR(__xludf.DUMMYFUNCTION("""COMPUTED_VALUE"""),"2023")</f>
        <v>2023</v>
      </c>
      <c r="G883" s="16" t="str">
        <f>IFERROR(__xludf.DUMMYFUNCTION("""COMPUTED_VALUE"""),"HAMDAN RUSLAN LUBIS")</f>
        <v>HAMDAN RUSLAN LUBIS</v>
      </c>
      <c r="H883" s="17" t="str">
        <f>IFERROR(__xludf.DUMMYFUNCTION("""COMPUTED_VALUE"""),"H5123117008")</f>
        <v>H5123117008</v>
      </c>
      <c r="I883" s="17">
        <f>IFERROR(__xludf.DUMMYFUNCTION("""COMPUTED_VALUE"""),74.0)</f>
        <v>74</v>
      </c>
      <c r="J883" s="17" t="str">
        <f>IFERROR(__xludf.DUMMYFUNCTION("""COMPUTED_VALUE"""),"&gt; 44 tahun")</f>
        <v>&gt; 44 tahun</v>
      </c>
      <c r="K883" s="19">
        <f>IFERROR(__xludf.DUMMYFUNCTION("""COMPUTED_VALUE"""),18809.0)</f>
        <v>18809</v>
      </c>
      <c r="L883" s="19" t="str">
        <f>IFERROR(__xludf.DUMMYFUNCTION("""COMPUTED_VALUE"""),"LAKI-LAKI")</f>
        <v>LAKI-LAKI</v>
      </c>
      <c r="M883" s="16" t="str">
        <f>IFERROR(__xludf.DUMMYFUNCTION("""COMPUTED_VALUE"""),"Jl. P. H. Husin 1 GG Al Qadar no 4")</f>
        <v>Jl. P. H. Husin 1 GG Al Qadar no 4</v>
      </c>
      <c r="N883" s="16"/>
      <c r="O883" s="16"/>
      <c r="P883" s="16"/>
      <c r="Q883" s="16"/>
      <c r="R883" s="19" t="str">
        <f>IFERROR(__xludf.DUMMYFUNCTION("""COMPUTED_VALUE"""),"ISLAM")</f>
        <v>ISLAM</v>
      </c>
      <c r="S883" s="16" t="str">
        <f>IFERROR(__xludf.DUMMYFUNCTION("""COMPUTED_VALUE"""),"PENSIUN")</f>
        <v>PENSIUN</v>
      </c>
      <c r="T883" s="16" t="str">
        <f>IFERROR(__xludf.DUMMYFUNCTION("""COMPUTED_VALUE"""),"Nyeri di pinggang menyebar ke sekitarnya")</f>
        <v>Nyeri di pinggang menyebar ke sekitarnya</v>
      </c>
      <c r="U883" s="16" t="str">
        <f>IFERROR(__xludf.DUMMYFUNCTION("""COMPUTED_VALUE"""),"Berkebun")</f>
        <v>Berkebun</v>
      </c>
      <c r="V883" s="11" t="str">
        <f>IFERROR(__xludf.DUMMYFUNCTION("""COMPUTED_VALUE"""),"081223697008")</f>
        <v>081223697008</v>
      </c>
      <c r="W883" s="15"/>
    </row>
    <row r="884" ht="22.5" customHeight="1">
      <c r="A884" s="8"/>
      <c r="B884" s="9">
        <f>IFERROR(__xludf.DUMMYFUNCTION("""COMPUTED_VALUE"""),45250.6128402662)</f>
        <v>45250.61284</v>
      </c>
      <c r="C884" s="9"/>
      <c r="D884" s="10">
        <f>IFERROR(__xludf.DUMMYFUNCTION("""COMPUTED_VALUE"""),45251.0)</f>
        <v>45251</v>
      </c>
      <c r="E884" s="10" t="str">
        <f>IFERROR(__xludf.DUMMYFUNCTION("""COMPUTED_VALUE"""),"11Nov")</f>
        <v>11Nov</v>
      </c>
      <c r="F884" s="10" t="str">
        <f>IFERROR(__xludf.DUMMYFUNCTION("""COMPUTED_VALUE"""),"2023")</f>
        <v>2023</v>
      </c>
      <c r="G884" s="16" t="str">
        <f>IFERROR(__xludf.DUMMYFUNCTION("""COMPUTED_VALUE"""),"ELIVAS PAAI")</f>
        <v>ELIVAS PAAI</v>
      </c>
      <c r="H884" s="17" t="str">
        <f>IFERROR(__xludf.DUMMYFUNCTION("""COMPUTED_VALUE"""),"E8923115260")</f>
        <v>E8923115260</v>
      </c>
      <c r="I884" s="17">
        <f>IFERROR(__xludf.DUMMYFUNCTION("""COMPUTED_VALUE"""),37.0)</f>
        <v>37</v>
      </c>
      <c r="J884" s="17" t="str">
        <f>IFERROR(__xludf.DUMMYFUNCTION("""COMPUTED_VALUE"""),"35-44 tahun")</f>
        <v>35-44 tahun</v>
      </c>
      <c r="K884" s="19">
        <f>IFERROR(__xludf.DUMMYFUNCTION("""COMPUTED_VALUE"""),32645.0)</f>
        <v>32645</v>
      </c>
      <c r="L884" s="19" t="str">
        <f>IFERROR(__xludf.DUMMYFUNCTION("""COMPUTED_VALUE"""),"LAKI-LAKI")</f>
        <v>LAKI-LAKI</v>
      </c>
      <c r="M884" s="16" t="str">
        <f>IFERROR(__xludf.DUMMYFUNCTION("""COMPUTED_VALUE"""),"Jl. Ayani no 121 pontianak")</f>
        <v>Jl. Ayani no 121 pontianak</v>
      </c>
      <c r="N884" s="16"/>
      <c r="O884" s="16"/>
      <c r="P884" s="16"/>
      <c r="Q884" s="16"/>
      <c r="R884" s="19" t="str">
        <f>IFERROR(__xludf.DUMMYFUNCTION("""COMPUTED_VALUE"""),"LAINNYA")</f>
        <v>LAINNYA</v>
      </c>
      <c r="S884" s="16" t="str">
        <f>IFERROR(__xludf.DUMMYFUNCTION("""COMPUTED_VALUE"""),"TIDAK ADA")</f>
        <v>TIDAK ADA</v>
      </c>
      <c r="T884" s="16" t="str">
        <f>IFERROR(__xludf.DUMMYFUNCTION("""COMPUTED_VALUE"""),"Ibu jari sakit")</f>
        <v>Ibu jari sakit</v>
      </c>
      <c r="U884" s="16" t="str">
        <f>IFERROR(__xludf.DUMMYFUNCTION("""COMPUTED_VALUE"""),"Running")</f>
        <v>Running</v>
      </c>
      <c r="V884" s="11" t="str">
        <f>IFERROR(__xludf.DUMMYFUNCTION("""COMPUTED_VALUE"""),"085349625260")</f>
        <v>085349625260</v>
      </c>
      <c r="W884" s="15"/>
    </row>
    <row r="885" ht="22.5" customHeight="1">
      <c r="A885" s="8"/>
      <c r="B885" s="9">
        <f>IFERROR(__xludf.DUMMYFUNCTION("""COMPUTED_VALUE"""),45250.68475350694)</f>
        <v>45250.68475</v>
      </c>
      <c r="C885" s="9"/>
      <c r="D885" s="10">
        <f>IFERROR(__xludf.DUMMYFUNCTION("""COMPUTED_VALUE"""),45251.0)</f>
        <v>45251</v>
      </c>
      <c r="E885" s="10" t="str">
        <f>IFERROR(__xludf.DUMMYFUNCTION("""COMPUTED_VALUE"""),"11Nov")</f>
        <v>11Nov</v>
      </c>
      <c r="F885" s="10" t="str">
        <f>IFERROR(__xludf.DUMMYFUNCTION("""COMPUTED_VALUE"""),"2023")</f>
        <v>2023</v>
      </c>
      <c r="G885" s="16" t="str">
        <f>IFERROR(__xludf.DUMMYFUNCTION("""COMPUTED_VALUE"""),"YUSWARINI")</f>
        <v>YUSWARINI</v>
      </c>
      <c r="H885" s="17" t="str">
        <f>IFERROR(__xludf.DUMMYFUNCTION("""COMPUTED_VALUE"""),"Y7323110475")</f>
        <v>Y7323110475</v>
      </c>
      <c r="I885" s="17">
        <f>IFERROR(__xludf.DUMMYFUNCTION("""COMPUTED_VALUE"""),52.0)</f>
        <v>52</v>
      </c>
      <c r="J885" s="17" t="str">
        <f>IFERROR(__xludf.DUMMYFUNCTION("""COMPUTED_VALUE"""),"&gt; 44 tahun")</f>
        <v>&gt; 44 tahun</v>
      </c>
      <c r="K885" s="19">
        <f>IFERROR(__xludf.DUMMYFUNCTION("""COMPUTED_VALUE"""),26980.0)</f>
        <v>26980</v>
      </c>
      <c r="L885" s="19" t="str">
        <f>IFERROR(__xludf.DUMMYFUNCTION("""COMPUTED_VALUE"""),"PEREMPUAN")</f>
        <v>PEREMPUAN</v>
      </c>
      <c r="M885" s="16" t="str">
        <f>IFERROR(__xludf.DUMMYFUNCTION("""COMPUTED_VALUE"""),"Jalan H.Rais.A.Rahman Gang Gunung Palong 2 No.118f")</f>
        <v>Jalan H.Rais.A.Rahman Gang Gunung Palong 2 No.118f</v>
      </c>
      <c r="N885" s="16"/>
      <c r="O885" s="16"/>
      <c r="P885" s="16"/>
      <c r="Q885" s="16"/>
      <c r="R885" s="19" t="str">
        <f>IFERROR(__xludf.DUMMYFUNCTION("""COMPUTED_VALUE"""),"ISLAM")</f>
        <v>ISLAM</v>
      </c>
      <c r="S885" s="16" t="str">
        <f>IFERROR(__xludf.DUMMYFUNCTION("""COMPUTED_VALUE"""),"ASN")</f>
        <v>ASN</v>
      </c>
      <c r="T885" s="16" t="str">
        <f>IFERROR(__xludf.DUMMYFUNCTION("""COMPUTED_VALUE"""),"")</f>
        <v/>
      </c>
      <c r="U885" s="16" t="str">
        <f>IFERROR(__xludf.DUMMYFUNCTION("""COMPUTED_VALUE"""),"Ndk ada hobi yg khusus")</f>
        <v>Ndk ada hobi yg khusus</v>
      </c>
      <c r="V885" s="11" t="str">
        <f>IFERROR(__xludf.DUMMYFUNCTION("""COMPUTED_VALUE"""),"082352310475")</f>
        <v>082352310475</v>
      </c>
      <c r="W885" s="15"/>
    </row>
    <row r="886" ht="22.5" customHeight="1">
      <c r="A886" s="8"/>
      <c r="B886" s="9">
        <f>IFERROR(__xludf.DUMMYFUNCTION("""COMPUTED_VALUE"""),45251.44936844907)</f>
        <v>45251.44937</v>
      </c>
      <c r="C886" s="9"/>
      <c r="D886" s="10">
        <f>IFERROR(__xludf.DUMMYFUNCTION("""COMPUTED_VALUE"""),45251.0)</f>
        <v>45251</v>
      </c>
      <c r="E886" s="10" t="str">
        <f>IFERROR(__xludf.DUMMYFUNCTION("""COMPUTED_VALUE"""),"11Nov")</f>
        <v>11Nov</v>
      </c>
      <c r="F886" s="10" t="str">
        <f>IFERROR(__xludf.DUMMYFUNCTION("""COMPUTED_VALUE"""),"2023")</f>
        <v>2023</v>
      </c>
      <c r="G886" s="16" t="str">
        <f>IFERROR(__xludf.DUMMYFUNCTION("""COMPUTED_VALUE"""),"ANDRE RENALDI")</f>
        <v>ANDRE RENALDI</v>
      </c>
      <c r="H886" s="17" t="str">
        <f>IFERROR(__xludf.DUMMYFUNCTION("""COMPUTED_VALUE"""),"A0323114536")</f>
        <v>A0323114536</v>
      </c>
      <c r="I886" s="17">
        <f>IFERROR(__xludf.DUMMYFUNCTION("""COMPUTED_VALUE"""),22.0)</f>
        <v>22</v>
      </c>
      <c r="J886" s="17" t="str">
        <f>IFERROR(__xludf.DUMMYFUNCTION("""COMPUTED_VALUE"""),"18-24 tahun")</f>
        <v>18-24 tahun</v>
      </c>
      <c r="K886" s="19">
        <f>IFERROR(__xludf.DUMMYFUNCTION("""COMPUTED_VALUE"""),37870.0)</f>
        <v>37870</v>
      </c>
      <c r="L886" s="19" t="str">
        <f>IFERROR(__xludf.DUMMYFUNCTION("""COMPUTED_VALUE"""),"LAKI-LAKI")</f>
        <v>LAKI-LAKI</v>
      </c>
      <c r="M886" s="16" t="str">
        <f>IFERROR(__xludf.DUMMYFUNCTION("""COMPUTED_VALUE"""),"Jalan Dogom Siregar")</f>
        <v>Jalan Dogom Siregar</v>
      </c>
      <c r="N886" s="16"/>
      <c r="O886" s="16"/>
      <c r="P886" s="16"/>
      <c r="Q886" s="16"/>
      <c r="R886" s="19" t="str">
        <f>IFERROR(__xludf.DUMMYFUNCTION("""COMPUTED_VALUE"""),"KATOLIK")</f>
        <v>KATOLIK</v>
      </c>
      <c r="S886" s="16" t="str">
        <f>IFERROR(__xludf.DUMMYFUNCTION("""COMPUTED_VALUE"""),"PELAJAR/MAHASISWA")</f>
        <v>PELAJAR/MAHASISWA</v>
      </c>
      <c r="T886" s="16"/>
      <c r="U886" s="16" t="str">
        <f>IFERROR(__xludf.DUMMYFUNCTION("""COMPUTED_VALUE"""),"futsal")</f>
        <v>futsal</v>
      </c>
      <c r="V886" s="11" t="str">
        <f>IFERROR(__xludf.DUMMYFUNCTION("""COMPUTED_VALUE"""),"082124924536")</f>
        <v>082124924536</v>
      </c>
      <c r="W886" s="15"/>
    </row>
    <row r="887" ht="22.5" customHeight="1">
      <c r="A887" s="8"/>
      <c r="B887" s="9">
        <f>IFERROR(__xludf.DUMMYFUNCTION("""COMPUTED_VALUE"""),45251.45913502315)</f>
        <v>45251.45914</v>
      </c>
      <c r="C887" s="9"/>
      <c r="D887" s="10">
        <f>IFERROR(__xludf.DUMMYFUNCTION("""COMPUTED_VALUE"""),45251.0)</f>
        <v>45251</v>
      </c>
      <c r="E887" s="10" t="str">
        <f>IFERROR(__xludf.DUMMYFUNCTION("""COMPUTED_VALUE"""),"11Nov")</f>
        <v>11Nov</v>
      </c>
      <c r="F887" s="10" t="str">
        <f>IFERROR(__xludf.DUMMYFUNCTION("""COMPUTED_VALUE"""),"2023")</f>
        <v>2023</v>
      </c>
      <c r="G887" s="16" t="str">
        <f>IFERROR(__xludf.DUMMYFUNCTION("""COMPUTED_VALUE"""),"HANIFA AUDITA")</f>
        <v>HANIFA AUDITA</v>
      </c>
      <c r="H887" s="17" t="str">
        <f>IFERROR(__xludf.DUMMYFUNCTION("""COMPUTED_VALUE"""),"H9823113307")</f>
        <v>H9823113307</v>
      </c>
      <c r="I887" s="17">
        <f>IFERROR(__xludf.DUMMYFUNCTION("""COMPUTED_VALUE"""),27.0)</f>
        <v>27</v>
      </c>
      <c r="J887" s="17" t="str">
        <f>IFERROR(__xludf.DUMMYFUNCTION("""COMPUTED_VALUE"""),"25-34 tahun")</f>
        <v>25-34 tahun</v>
      </c>
      <c r="K887" s="19">
        <f>IFERROR(__xludf.DUMMYFUNCTION("""COMPUTED_VALUE"""),36009.0)</f>
        <v>36009</v>
      </c>
      <c r="L887" s="19" t="str">
        <f>IFERROR(__xludf.DUMMYFUNCTION("""COMPUTED_VALUE"""),"PEREMPUAN")</f>
        <v>PEREMPUAN</v>
      </c>
      <c r="M887" s="16" t="str">
        <f>IFERROR(__xludf.DUMMYFUNCTION("""COMPUTED_VALUE"""),"jl. sepakat 2 gg. padaherang no. 03")</f>
        <v>jl. sepakat 2 gg. padaherang no. 03</v>
      </c>
      <c r="N887" s="16"/>
      <c r="O887" s="16"/>
      <c r="P887" s="16"/>
      <c r="Q887" s="16"/>
      <c r="R887" s="19" t="str">
        <f>IFERROR(__xludf.DUMMYFUNCTION("""COMPUTED_VALUE"""),"ISLAM")</f>
        <v>ISLAM</v>
      </c>
      <c r="S887" s="16" t="str">
        <f>IFERROR(__xludf.DUMMYFUNCTION("""COMPUTED_VALUE"""),"WIRASWASTA")</f>
        <v>WIRASWASTA</v>
      </c>
      <c r="T887" s="16" t="str">
        <f>IFERROR(__xludf.DUMMYFUNCTION("""COMPUTED_VALUE"""),"kebas dan mati rasa")</f>
        <v>kebas dan mati rasa</v>
      </c>
      <c r="U887" s="16" t="str">
        <f>IFERROR(__xludf.DUMMYFUNCTION("""COMPUTED_VALUE"""),"nail art")</f>
        <v>nail art</v>
      </c>
      <c r="V887" s="11" t="str">
        <f>IFERROR(__xludf.DUMMYFUNCTION("""COMPUTED_VALUE"""),"085754313307")</f>
        <v>085754313307</v>
      </c>
      <c r="W887" s="15"/>
    </row>
    <row r="888" ht="22.5" customHeight="1">
      <c r="A888" s="8"/>
      <c r="B888" s="9">
        <f>IFERROR(__xludf.DUMMYFUNCTION("""COMPUTED_VALUE"""),45251.576589502314)</f>
        <v>45251.57659</v>
      </c>
      <c r="C888" s="9"/>
      <c r="D888" s="10">
        <f>IFERROR(__xludf.DUMMYFUNCTION("""COMPUTED_VALUE"""),45251.0)</f>
        <v>45251</v>
      </c>
      <c r="E888" s="10" t="str">
        <f>IFERROR(__xludf.DUMMYFUNCTION("""COMPUTED_VALUE"""),"11Nov")</f>
        <v>11Nov</v>
      </c>
      <c r="F888" s="10" t="str">
        <f>IFERROR(__xludf.DUMMYFUNCTION("""COMPUTED_VALUE"""),"2023")</f>
        <v>2023</v>
      </c>
      <c r="G888" s="16" t="str">
        <f>IFERROR(__xludf.DUMMYFUNCTION("""COMPUTED_VALUE"""),"EKA BAGUS TRI SETYAWAN")</f>
        <v>EKA BAGUS TRI SETYAWAN</v>
      </c>
      <c r="H888" s="17" t="str">
        <f>IFERROR(__xludf.DUMMYFUNCTION("""COMPUTED_VALUE"""),"E2323117575")</f>
        <v>E2323117575</v>
      </c>
      <c r="I888" s="17">
        <f>IFERROR(__xludf.DUMMYFUNCTION("""COMPUTED_VALUE"""),2.0)</f>
        <v>2</v>
      </c>
      <c r="J888" s="17" t="str">
        <f>IFERROR(__xludf.DUMMYFUNCTION("""COMPUTED_VALUE"""),"&lt; 18 tahun")</f>
        <v>&lt; 18 tahun</v>
      </c>
      <c r="K888" s="19">
        <f>IFERROR(__xludf.DUMMYFUNCTION("""COMPUTED_VALUE"""),45148.0)</f>
        <v>45148</v>
      </c>
      <c r="L888" s="19" t="str">
        <f>IFERROR(__xludf.DUMMYFUNCTION("""COMPUTED_VALUE"""),"LAKI-LAKI")</f>
        <v>LAKI-LAKI</v>
      </c>
      <c r="M888" s="16" t="str">
        <f>IFERROR(__xludf.DUMMYFUNCTION("""COMPUTED_VALUE"""),"Jalan putri candramidi no 21 A")</f>
        <v>Jalan putri candramidi no 21 A</v>
      </c>
      <c r="N888" s="16"/>
      <c r="O888" s="16"/>
      <c r="P888" s="16"/>
      <c r="Q888" s="16"/>
      <c r="R888" s="19" t="str">
        <f>IFERROR(__xludf.DUMMYFUNCTION("""COMPUTED_VALUE"""),"ISLAM")</f>
        <v>ISLAM</v>
      </c>
      <c r="S888" s="16" t="str">
        <f>IFERROR(__xludf.DUMMYFUNCTION("""COMPUTED_VALUE"""),"DOSEN/GURU")</f>
        <v>DOSEN/GURU</v>
      </c>
      <c r="T888" s="16" t="str">
        <f>IFERROR(__xludf.DUMMYFUNCTION("""COMPUTED_VALUE"""),"Sakit nyeri di kaki dan archiles")</f>
        <v>Sakit nyeri di kaki dan archiles</v>
      </c>
      <c r="U888" s="16" t="str">
        <f>IFERROR(__xludf.DUMMYFUNCTION("""COMPUTED_VALUE"""),"Bola basket")</f>
        <v>Bola basket</v>
      </c>
      <c r="V888" s="11" t="str">
        <f>IFERROR(__xludf.DUMMYFUNCTION("""COMPUTED_VALUE"""),"082254467575")</f>
        <v>082254467575</v>
      </c>
      <c r="W888" s="15"/>
    </row>
    <row r="889" ht="22.5" customHeight="1">
      <c r="A889" s="8"/>
      <c r="B889" s="9">
        <f>IFERROR(__xludf.DUMMYFUNCTION("""COMPUTED_VALUE"""),45251.653618703705)</f>
        <v>45251.65362</v>
      </c>
      <c r="C889" s="9"/>
      <c r="D889" s="10">
        <f>IFERROR(__xludf.DUMMYFUNCTION("""COMPUTED_VALUE"""),45251.0)</f>
        <v>45251</v>
      </c>
      <c r="E889" s="10" t="str">
        <f>IFERROR(__xludf.DUMMYFUNCTION("""COMPUTED_VALUE"""),"11Nov")</f>
        <v>11Nov</v>
      </c>
      <c r="F889" s="10" t="str">
        <f>IFERROR(__xludf.DUMMYFUNCTION("""COMPUTED_VALUE"""),"2023")</f>
        <v>2023</v>
      </c>
      <c r="G889" s="16" t="str">
        <f>IFERROR(__xludf.DUMMYFUNCTION("""COMPUTED_VALUE"""),"M. ADITYA DARMAWAN")</f>
        <v>M. ADITYA DARMAWAN</v>
      </c>
      <c r="H889" s="17" t="str">
        <f>IFERROR(__xludf.DUMMYFUNCTION("""COMPUTED_VALUE"""),"M9423113416")</f>
        <v>M9423113416</v>
      </c>
      <c r="I889" s="17">
        <f>IFERROR(__xludf.DUMMYFUNCTION("""COMPUTED_VALUE"""),31.0)</f>
        <v>31</v>
      </c>
      <c r="J889" s="17" t="str">
        <f>IFERROR(__xludf.DUMMYFUNCTION("""COMPUTED_VALUE"""),"25-34 tahun")</f>
        <v>25-34 tahun</v>
      </c>
      <c r="K889" s="19">
        <f>IFERROR(__xludf.DUMMYFUNCTION("""COMPUTED_VALUE"""),34611.0)</f>
        <v>34611</v>
      </c>
      <c r="L889" s="19" t="str">
        <f>IFERROR(__xludf.DUMMYFUNCTION("""COMPUTED_VALUE"""),"LAKI-LAKI")</f>
        <v>LAKI-LAKI</v>
      </c>
      <c r="M889" s="16" t="str">
        <f>IFERROR(__xludf.DUMMYFUNCTION("""COMPUTED_VALUE"""),"Jl Parit Haji Husin 2 Komplek Acisa Asri No 38")</f>
        <v>Jl Parit Haji Husin 2 Komplek Acisa Asri No 38</v>
      </c>
      <c r="N889" s="16"/>
      <c r="O889" s="16"/>
      <c r="P889" s="16"/>
      <c r="Q889" s="16"/>
      <c r="R889" s="19" t="str">
        <f>IFERROR(__xludf.DUMMYFUNCTION("""COMPUTED_VALUE"""),"ISLAM")</f>
        <v>ISLAM</v>
      </c>
      <c r="S889" s="16" t="str">
        <f>IFERROR(__xludf.DUMMYFUNCTION("""COMPUTED_VALUE"""),"SWASTA")</f>
        <v>SWASTA</v>
      </c>
      <c r="T889" s="16" t="str">
        <f>IFERROR(__xludf.DUMMYFUNCTION("""COMPUTED_VALUE"""),"Tendon Kaki")</f>
        <v>Tendon Kaki</v>
      </c>
      <c r="U889" s="16" t="str">
        <f>IFERROR(__xludf.DUMMYFUNCTION("""COMPUTED_VALUE"""),"Basket")</f>
        <v>Basket</v>
      </c>
      <c r="V889" s="11" t="str">
        <f>IFERROR(__xludf.DUMMYFUNCTION("""COMPUTED_VALUE"""),"082148643416")</f>
        <v>082148643416</v>
      </c>
      <c r="W889" s="15"/>
    </row>
    <row r="890" ht="22.5" customHeight="1">
      <c r="A890" s="8"/>
      <c r="B890" s="9">
        <f>IFERROR(__xludf.DUMMYFUNCTION("""COMPUTED_VALUE"""),45252.40300478009)</f>
        <v>45252.403</v>
      </c>
      <c r="C890" s="9"/>
      <c r="D890" s="10">
        <f>IFERROR(__xludf.DUMMYFUNCTION("""COMPUTED_VALUE"""),45251.0)</f>
        <v>45251</v>
      </c>
      <c r="E890" s="10" t="str">
        <f>IFERROR(__xludf.DUMMYFUNCTION("""COMPUTED_VALUE"""),"11Nov")</f>
        <v>11Nov</v>
      </c>
      <c r="F890" s="10" t="str">
        <f>IFERROR(__xludf.DUMMYFUNCTION("""COMPUTED_VALUE"""),"2023")</f>
        <v>2023</v>
      </c>
      <c r="G890" s="16" t="str">
        <f>IFERROR(__xludf.DUMMYFUNCTION("""COMPUTED_VALUE"""),"BARLIAN MARTIANA")</f>
        <v>BARLIAN MARTIANA</v>
      </c>
      <c r="H890" s="17" t="str">
        <f>IFERROR(__xludf.DUMMYFUNCTION("""COMPUTED_VALUE"""),"B7023119270")</f>
        <v>B7023119270</v>
      </c>
      <c r="I890" s="17">
        <f>IFERROR(__xludf.DUMMYFUNCTION("""COMPUTED_VALUE"""),56.0)</f>
        <v>56</v>
      </c>
      <c r="J890" s="17" t="str">
        <f>IFERROR(__xludf.DUMMYFUNCTION("""COMPUTED_VALUE"""),"&gt; 44 tahun")</f>
        <v>&gt; 44 tahun</v>
      </c>
      <c r="K890" s="19">
        <f>IFERROR(__xludf.DUMMYFUNCTION("""COMPUTED_VALUE"""),25650.0)</f>
        <v>25650</v>
      </c>
      <c r="L890" s="19" t="str">
        <f>IFERROR(__xludf.DUMMYFUNCTION("""COMPUTED_VALUE"""),"PEREMPUAN")</f>
        <v>PEREMPUAN</v>
      </c>
      <c r="M890" s="16" t="str">
        <f>IFERROR(__xludf.DUMMYFUNCTION("""COMPUTED_VALUE"""),"Jalan RE Martadinata Gg Pala 4 no 4")</f>
        <v>Jalan RE Martadinata Gg Pala 4 no 4</v>
      </c>
      <c r="N890" s="16"/>
      <c r="O890" s="16"/>
      <c r="P890" s="16"/>
      <c r="Q890" s="16"/>
      <c r="R890" s="19" t="str">
        <f>IFERROR(__xludf.DUMMYFUNCTION("""COMPUTED_VALUE"""),"ISLAM")</f>
        <v>ISLAM</v>
      </c>
      <c r="S890" s="16" t="str">
        <f>IFERROR(__xludf.DUMMYFUNCTION("""COMPUTED_VALUE"""),"SWASTA")</f>
        <v>SWASTA</v>
      </c>
      <c r="T890" s="16" t="str">
        <f>IFERROR(__xludf.DUMMYFUNCTION("""COMPUTED_VALUE"""),"Kaku lengan kanan")</f>
        <v>Kaku lengan kanan</v>
      </c>
      <c r="U890" s="16" t="str">
        <f>IFERROR(__xludf.DUMMYFUNCTION("""COMPUTED_VALUE"""),"Pekerjaan rumah tangga ,")</f>
        <v>Pekerjaan rumah tangga ,</v>
      </c>
      <c r="V890" s="11" t="str">
        <f>IFERROR(__xludf.DUMMYFUNCTION("""COMPUTED_VALUE"""),"085386269270")</f>
        <v>085386269270</v>
      </c>
      <c r="W890" s="15"/>
    </row>
    <row r="891" ht="22.5" customHeight="1">
      <c r="A891" s="8"/>
      <c r="B891" s="9">
        <f>IFERROR(__xludf.DUMMYFUNCTION("""COMPUTED_VALUE"""),45252.48402476852)</f>
        <v>45252.48402</v>
      </c>
      <c r="C891" s="9"/>
      <c r="D891" s="10">
        <f>IFERROR(__xludf.DUMMYFUNCTION("""COMPUTED_VALUE"""),45252.0)</f>
        <v>45252</v>
      </c>
      <c r="E891" s="10" t="str">
        <f>IFERROR(__xludf.DUMMYFUNCTION("""COMPUTED_VALUE"""),"11Nov")</f>
        <v>11Nov</v>
      </c>
      <c r="F891" s="10" t="str">
        <f>IFERROR(__xludf.DUMMYFUNCTION("""COMPUTED_VALUE"""),"2023")</f>
        <v>2023</v>
      </c>
      <c r="G891" s="16" t="str">
        <f>IFERROR(__xludf.DUMMYFUNCTION("""COMPUTED_VALUE"""),"SURYANTI DHARMAGO")</f>
        <v>SURYANTI DHARMAGO</v>
      </c>
      <c r="H891" s="17" t="str">
        <f>IFERROR(__xludf.DUMMYFUNCTION("""COMPUTED_VALUE"""),"S7223111819")</f>
        <v>S7223111819</v>
      </c>
      <c r="I891" s="17">
        <f>IFERROR(__xludf.DUMMYFUNCTION("""COMPUTED_VALUE"""),54.0)</f>
        <v>54</v>
      </c>
      <c r="J891" s="17" t="str">
        <f>IFERROR(__xludf.DUMMYFUNCTION("""COMPUTED_VALUE"""),"&gt; 44 tahun")</f>
        <v>&gt; 44 tahun</v>
      </c>
      <c r="K891" s="19">
        <f>IFERROR(__xludf.DUMMYFUNCTION("""COMPUTED_VALUE"""),26402.0)</f>
        <v>26402</v>
      </c>
      <c r="L891" s="19" t="str">
        <f>IFERROR(__xludf.DUMMYFUNCTION("""COMPUTED_VALUE"""),"PEREMPUAN")</f>
        <v>PEREMPUAN</v>
      </c>
      <c r="M891" s="16" t="str">
        <f>IFERROR(__xludf.DUMMYFUNCTION("""COMPUTED_VALUE"""),"GAJAH MADA 18 NO. 19")</f>
        <v>GAJAH MADA 18 NO. 19</v>
      </c>
      <c r="N891" s="16"/>
      <c r="O891" s="16"/>
      <c r="P891" s="16"/>
      <c r="Q891" s="16"/>
      <c r="R891" s="19" t="str">
        <f>IFERROR(__xludf.DUMMYFUNCTION("""COMPUTED_VALUE"""),"KATOLIK")</f>
        <v>KATOLIK</v>
      </c>
      <c r="S891" s="16" t="str">
        <f>IFERROR(__xludf.DUMMYFUNCTION("""COMPUTED_VALUE"""),"RUMAH TANGGA")</f>
        <v>RUMAH TANGGA</v>
      </c>
      <c r="T891" s="16" t="str">
        <f>IFERROR(__xludf.DUMMYFUNCTION("""COMPUTED_VALUE"""),"SAKIT PADA")</f>
        <v>SAKIT PADA</v>
      </c>
      <c r="U891" s="16" t="str">
        <f>IFERROR(__xludf.DUMMYFUNCTION("""COMPUTED_VALUE"""),"JALAN PAGI")</f>
        <v>JALAN PAGI</v>
      </c>
      <c r="V891" s="11" t="str">
        <f>IFERROR(__xludf.DUMMYFUNCTION("""COMPUTED_VALUE"""),"08115671819")</f>
        <v>08115671819</v>
      </c>
      <c r="W891" s="15"/>
    </row>
    <row r="892" ht="22.5" customHeight="1">
      <c r="A892" s="8"/>
      <c r="B892" s="9">
        <f>IFERROR(__xludf.DUMMYFUNCTION("""COMPUTED_VALUE"""),45252.50932943287)</f>
        <v>45252.50933</v>
      </c>
      <c r="C892" s="9"/>
      <c r="D892" s="10">
        <f>IFERROR(__xludf.DUMMYFUNCTION("""COMPUTED_VALUE"""),45252.0)</f>
        <v>45252</v>
      </c>
      <c r="E892" s="10" t="str">
        <f>IFERROR(__xludf.DUMMYFUNCTION("""COMPUTED_VALUE"""),"11Nov")</f>
        <v>11Nov</v>
      </c>
      <c r="F892" s="10" t="str">
        <f>IFERROR(__xludf.DUMMYFUNCTION("""COMPUTED_VALUE"""),"2023")</f>
        <v>2023</v>
      </c>
      <c r="G892" s="16" t="str">
        <f>IFERROR(__xludf.DUMMYFUNCTION("""COMPUTED_VALUE"""),"YOKI TRI PRASETYO")</f>
        <v>YOKI TRI PRASETYO</v>
      </c>
      <c r="H892" s="17" t="str">
        <f>IFERROR(__xludf.DUMMYFUNCTION("""COMPUTED_VALUE"""),"Y8823117404")</f>
        <v>Y8823117404</v>
      </c>
      <c r="I892" s="17">
        <f>IFERROR(__xludf.DUMMYFUNCTION("""COMPUTED_VALUE"""),37.0)</f>
        <v>37</v>
      </c>
      <c r="J892" s="17" t="str">
        <f>IFERROR(__xludf.DUMMYFUNCTION("""COMPUTED_VALUE"""),"35-44 tahun")</f>
        <v>35-44 tahun</v>
      </c>
      <c r="K892" s="19">
        <f>IFERROR(__xludf.DUMMYFUNCTION("""COMPUTED_VALUE"""),32438.0)</f>
        <v>32438</v>
      </c>
      <c r="L892" s="19" t="str">
        <f>IFERROR(__xludf.DUMMYFUNCTION("""COMPUTED_VALUE"""),"LAKI-LAKI")</f>
        <v>LAKI-LAKI</v>
      </c>
      <c r="M892" s="16" t="str">
        <f>IFERROR(__xludf.DUMMYFUNCTION("""COMPUTED_VALUE"""),"Jln.hm.suwignyo gang sidoharjo 2")</f>
        <v>Jln.hm.suwignyo gang sidoharjo 2</v>
      </c>
      <c r="N892" s="16"/>
      <c r="O892" s="16"/>
      <c r="P892" s="16"/>
      <c r="Q892" s="16"/>
      <c r="R892" s="19" t="str">
        <f>IFERROR(__xludf.DUMMYFUNCTION("""COMPUTED_VALUE"""),"ISLAM")</f>
        <v>ISLAM</v>
      </c>
      <c r="S892" s="16" t="str">
        <f>IFERROR(__xludf.DUMMYFUNCTION("""COMPUTED_VALUE"""),"SWASTA")</f>
        <v>SWASTA</v>
      </c>
      <c r="T892" s="16" t="str">
        <f>IFERROR(__xludf.DUMMYFUNCTION("""COMPUTED_VALUE"""),"Nyeri")</f>
        <v>Nyeri</v>
      </c>
      <c r="U892" s="16" t="str">
        <f>IFERROR(__xludf.DUMMYFUNCTION("""COMPUTED_VALUE"""),"Olahraga")</f>
        <v>Olahraga</v>
      </c>
      <c r="V892" s="11" t="str">
        <f>IFERROR(__xludf.DUMMYFUNCTION("""COMPUTED_VALUE"""),"089677567404")</f>
        <v>089677567404</v>
      </c>
      <c r="W892" s="15"/>
    </row>
    <row r="893" ht="22.5" customHeight="1">
      <c r="A893" s="8"/>
      <c r="B893" s="9">
        <f>IFERROR(__xludf.DUMMYFUNCTION("""COMPUTED_VALUE"""),45252.495925509254)</f>
        <v>45252.49593</v>
      </c>
      <c r="C893" s="9"/>
      <c r="D893" s="10">
        <f>IFERROR(__xludf.DUMMYFUNCTION("""COMPUTED_VALUE"""),45252.0)</f>
        <v>45252</v>
      </c>
      <c r="E893" s="10" t="str">
        <f>IFERROR(__xludf.DUMMYFUNCTION("""COMPUTED_VALUE"""),"11Nov")</f>
        <v>11Nov</v>
      </c>
      <c r="F893" s="10" t="str">
        <f>IFERROR(__xludf.DUMMYFUNCTION("""COMPUTED_VALUE"""),"2023")</f>
        <v>2023</v>
      </c>
      <c r="G893" s="16" t="str">
        <f>IFERROR(__xludf.DUMMYFUNCTION("""COMPUTED_VALUE"""),"DINI PRIHATINI")</f>
        <v>DINI PRIHATINI</v>
      </c>
      <c r="H893" s="17" t="str">
        <f>IFERROR(__xludf.DUMMYFUNCTION("""COMPUTED_VALUE"""),"D8923116913")</f>
        <v>D8923116913</v>
      </c>
      <c r="I893" s="17">
        <f>IFERROR(__xludf.DUMMYFUNCTION("""COMPUTED_VALUE"""),37.0)</f>
        <v>37</v>
      </c>
      <c r="J893" s="17" t="str">
        <f>IFERROR(__xludf.DUMMYFUNCTION("""COMPUTED_VALUE"""),"35-44 tahun")</f>
        <v>35-44 tahun</v>
      </c>
      <c r="K893" s="19">
        <f>IFERROR(__xludf.DUMMYFUNCTION("""COMPUTED_VALUE"""),32565.0)</f>
        <v>32565</v>
      </c>
      <c r="L893" s="19" t="str">
        <f>IFERROR(__xludf.DUMMYFUNCTION("""COMPUTED_VALUE"""),"PEREMPUAN")</f>
        <v>PEREMPUAN</v>
      </c>
      <c r="M893" s="16" t="str">
        <f>IFERROR(__xludf.DUMMYFUNCTION("""COMPUTED_VALUE"""),"Pal 6 komplek villa permata agung c7")</f>
        <v>Pal 6 komplek villa permata agung c7</v>
      </c>
      <c r="N893" s="16"/>
      <c r="O893" s="16"/>
      <c r="P893" s="16"/>
      <c r="Q893" s="16"/>
      <c r="R893" s="19" t="str">
        <f>IFERROR(__xludf.DUMMYFUNCTION("""COMPUTED_VALUE"""),"ISLAM")</f>
        <v>ISLAM</v>
      </c>
      <c r="S893" s="16" t="str">
        <f>IFERROR(__xludf.DUMMYFUNCTION("""COMPUTED_VALUE"""),"RUMAH TANGGA")</f>
        <v>RUMAH TANGGA</v>
      </c>
      <c r="T893" s="16" t="str">
        <f>IFERROR(__xludf.DUMMYFUNCTION("""COMPUTED_VALUE"""),"Sakit pinggang sampe")</f>
        <v>Sakit pinggang sampe</v>
      </c>
      <c r="U893" s="16" t="str">
        <f>IFERROR(__xludf.DUMMYFUNCTION("""COMPUTED_VALUE"""),"-")</f>
        <v>-</v>
      </c>
      <c r="V893" s="11" t="str">
        <f>IFERROR(__xludf.DUMMYFUNCTION("""COMPUTED_VALUE"""),"082138166913")</f>
        <v>082138166913</v>
      </c>
      <c r="W893" s="15"/>
    </row>
    <row r="894" ht="22.5" customHeight="1">
      <c r="A894" s="8"/>
      <c r="B894" s="9">
        <f>IFERROR(__xludf.DUMMYFUNCTION("""COMPUTED_VALUE"""),45252.575309189815)</f>
        <v>45252.57531</v>
      </c>
      <c r="C894" s="9"/>
      <c r="D894" s="10">
        <f>IFERROR(__xludf.DUMMYFUNCTION("""COMPUTED_VALUE"""),45252.0)</f>
        <v>45252</v>
      </c>
      <c r="E894" s="10" t="str">
        <f>IFERROR(__xludf.DUMMYFUNCTION("""COMPUTED_VALUE"""),"11Nov")</f>
        <v>11Nov</v>
      </c>
      <c r="F894" s="10" t="str">
        <f>IFERROR(__xludf.DUMMYFUNCTION("""COMPUTED_VALUE"""),"2023")</f>
        <v>2023</v>
      </c>
      <c r="G894" s="16" t="str">
        <f>IFERROR(__xludf.DUMMYFUNCTION("""COMPUTED_VALUE"""),"HASAN ULIM")</f>
        <v>HASAN ULIM</v>
      </c>
      <c r="H894" s="17" t="str">
        <f>IFERROR(__xludf.DUMMYFUNCTION("""COMPUTED_VALUE"""),"H4423118866")</f>
        <v>H4423118866</v>
      </c>
      <c r="I894" s="17">
        <f>IFERROR(__xludf.DUMMYFUNCTION("""COMPUTED_VALUE"""),82.0)</f>
        <v>82</v>
      </c>
      <c r="J894" s="17" t="str">
        <f>IFERROR(__xludf.DUMMYFUNCTION("""COMPUTED_VALUE"""),"&gt; 44 tahun")</f>
        <v>&gt; 44 tahun</v>
      </c>
      <c r="K894" s="19">
        <f>IFERROR(__xludf.DUMMYFUNCTION("""COMPUTED_VALUE"""),16120.0)</f>
        <v>16120</v>
      </c>
      <c r="L894" s="19" t="str">
        <f>IFERROR(__xludf.DUMMYFUNCTION("""COMPUTED_VALUE"""),"LAKI-LAKI")</f>
        <v>LAKI-LAKI</v>
      </c>
      <c r="M894" s="16" t="str">
        <f>IFERROR(__xludf.DUMMYFUNCTION("""COMPUTED_VALUE"""),"Jl serdam komp Nusa indah E1")</f>
        <v>Jl serdam komp Nusa indah E1</v>
      </c>
      <c r="N894" s="16"/>
      <c r="O894" s="16"/>
      <c r="P894" s="16"/>
      <c r="Q894" s="16"/>
      <c r="R894" s="19" t="str">
        <f>IFERROR(__xludf.DUMMYFUNCTION("""COMPUTED_VALUE"""),"BUDDHA")</f>
        <v>BUDDHA</v>
      </c>
      <c r="S894" s="16" t="str">
        <f>IFERROR(__xludf.DUMMYFUNCTION("""COMPUTED_VALUE"""),"SWASTA")</f>
        <v>SWASTA</v>
      </c>
      <c r="T894" s="16" t="str">
        <f>IFERROR(__xludf.DUMMYFUNCTION("""COMPUTED_VALUE"""),"Banyak dahak")</f>
        <v>Banyak dahak</v>
      </c>
      <c r="U894" s="16" t="str">
        <f>IFERROR(__xludf.DUMMYFUNCTION("""COMPUTED_VALUE"""),"nyanyi")</f>
        <v>nyanyi</v>
      </c>
      <c r="V894" s="11" t="str">
        <f>IFERROR(__xludf.DUMMYFUNCTION("""COMPUTED_VALUE"""),"081345448866")</f>
        <v>081345448866</v>
      </c>
      <c r="W894" s="15"/>
    </row>
    <row r="895" ht="22.5" customHeight="1">
      <c r="A895" s="8"/>
      <c r="B895" s="9">
        <f>IFERROR(__xludf.DUMMYFUNCTION("""COMPUTED_VALUE"""),45252.69867109954)</f>
        <v>45252.69867</v>
      </c>
      <c r="C895" s="9"/>
      <c r="D895" s="10">
        <f>IFERROR(__xludf.DUMMYFUNCTION("""COMPUTED_VALUE"""),45253.0)</f>
        <v>45253</v>
      </c>
      <c r="E895" s="10" t="str">
        <f>IFERROR(__xludf.DUMMYFUNCTION("""COMPUTED_VALUE"""),"11Nov")</f>
        <v>11Nov</v>
      </c>
      <c r="F895" s="10" t="str">
        <f>IFERROR(__xludf.DUMMYFUNCTION("""COMPUTED_VALUE"""),"2023")</f>
        <v>2023</v>
      </c>
      <c r="G895" s="16" t="str">
        <f>IFERROR(__xludf.DUMMYFUNCTION("""COMPUTED_VALUE"""),"ANDIKA PRATAMA PUTRA")</f>
        <v>ANDIKA PRATAMA PUTRA</v>
      </c>
      <c r="H895" s="17" t="str">
        <f>IFERROR(__xludf.DUMMYFUNCTION("""COMPUTED_VALUE"""),"A9623110171")</f>
        <v>A9623110171</v>
      </c>
      <c r="I895" s="17">
        <f>IFERROR(__xludf.DUMMYFUNCTION("""COMPUTED_VALUE"""),30.0)</f>
        <v>30</v>
      </c>
      <c r="J895" s="17" t="str">
        <f>IFERROR(__xludf.DUMMYFUNCTION("""COMPUTED_VALUE"""),"25-34 tahun")</f>
        <v>25-34 tahun</v>
      </c>
      <c r="K895" s="19">
        <f>IFERROR(__xludf.DUMMYFUNCTION("""COMPUTED_VALUE"""),35153.0)</f>
        <v>35153</v>
      </c>
      <c r="L895" s="19" t="str">
        <f>IFERROR(__xludf.DUMMYFUNCTION("""COMPUTED_VALUE"""),"LAKI-LAKI")</f>
        <v>LAKI-LAKI</v>
      </c>
      <c r="M895" s="16" t="str">
        <f>IFERROR(__xludf.DUMMYFUNCTION("""COMPUTED_VALUE"""),"Jl. Gusti situt mahmud gg rahmat rt 01 rw 012 siantan hulu, pontianak utara")</f>
        <v>Jl. Gusti situt mahmud gg rahmat rt 01 rw 012 siantan hulu, pontianak utara</v>
      </c>
      <c r="N895" s="16"/>
      <c r="O895" s="16"/>
      <c r="P895" s="16"/>
      <c r="Q895" s="16"/>
      <c r="R895" s="19" t="str">
        <f>IFERROR(__xludf.DUMMYFUNCTION("""COMPUTED_VALUE"""),"ISLAM")</f>
        <v>ISLAM</v>
      </c>
      <c r="S895" s="16" t="str">
        <f>IFERROR(__xludf.DUMMYFUNCTION("""COMPUTED_VALUE"""),"DOKTER")</f>
        <v>DOKTER</v>
      </c>
      <c r="T895" s="16" t="str">
        <f>IFERROR(__xludf.DUMMYFUNCTION("""COMPUTED_VALUE"""),"Acl rupture")</f>
        <v>Acl rupture</v>
      </c>
      <c r="U895" s="16" t="str">
        <f>IFERROR(__xludf.DUMMYFUNCTION("""COMPUTED_VALUE"""),"Futsal")</f>
        <v>Futsal</v>
      </c>
      <c r="V895" s="11" t="str">
        <f>IFERROR(__xludf.DUMMYFUNCTION("""COMPUTED_VALUE"""),"082137890171")</f>
        <v>082137890171</v>
      </c>
      <c r="W895" s="15"/>
    </row>
    <row r="896" ht="22.5" customHeight="1">
      <c r="A896" s="8"/>
      <c r="B896" s="9">
        <f>IFERROR(__xludf.DUMMYFUNCTION("""COMPUTED_VALUE"""),45253.673765659725)</f>
        <v>45253.67377</v>
      </c>
      <c r="C896" s="9"/>
      <c r="D896" s="10">
        <f>IFERROR(__xludf.DUMMYFUNCTION("""COMPUTED_VALUE"""),45253.0)</f>
        <v>45253</v>
      </c>
      <c r="E896" s="10" t="str">
        <f>IFERROR(__xludf.DUMMYFUNCTION("""COMPUTED_VALUE"""),"11Nov")</f>
        <v>11Nov</v>
      </c>
      <c r="F896" s="10" t="str">
        <f>IFERROR(__xludf.DUMMYFUNCTION("""COMPUTED_VALUE"""),"2023")</f>
        <v>2023</v>
      </c>
      <c r="G896" s="16" t="str">
        <f>IFERROR(__xludf.DUMMYFUNCTION("""COMPUTED_VALUE"""),"ENNI KARTINI")</f>
        <v>ENNI KARTINI</v>
      </c>
      <c r="H896" s="17" t="str">
        <f>IFERROR(__xludf.DUMMYFUNCTION("""COMPUTED_VALUE"""),"E7723113501")</f>
        <v>E7723113501</v>
      </c>
      <c r="I896" s="17">
        <f>IFERROR(__xludf.DUMMYFUNCTION("""COMPUTED_VALUE"""),49.0)</f>
        <v>49</v>
      </c>
      <c r="J896" s="17" t="str">
        <f>IFERROR(__xludf.DUMMYFUNCTION("""COMPUTED_VALUE"""),"&gt; 44 tahun")</f>
        <v>&gt; 44 tahun</v>
      </c>
      <c r="K896" s="19">
        <f>IFERROR(__xludf.DUMMYFUNCTION("""COMPUTED_VALUE"""),28219.0)</f>
        <v>28219</v>
      </c>
      <c r="L896" s="19" t="str">
        <f>IFERROR(__xludf.DUMMYFUNCTION("""COMPUTED_VALUE"""),"PEREMPUAN")</f>
        <v>PEREMPUAN</v>
      </c>
      <c r="M896" s="16" t="str">
        <f>IFERROR(__xludf.DUMMYFUNCTION("""COMPUTED_VALUE"""),"Jl husien hamzah gg thayibah no 21")</f>
        <v>Jl husien hamzah gg thayibah no 21</v>
      </c>
      <c r="N896" s="16"/>
      <c r="O896" s="16"/>
      <c r="P896" s="16"/>
      <c r="Q896" s="16"/>
      <c r="R896" s="19" t="str">
        <f>IFERROR(__xludf.DUMMYFUNCTION("""COMPUTED_VALUE"""),"ISLAM")</f>
        <v>ISLAM</v>
      </c>
      <c r="S896" s="16" t="str">
        <f>IFERROR(__xludf.DUMMYFUNCTION("""COMPUTED_VALUE"""),"RUMAH TANGGA")</f>
        <v>RUMAH TANGGA</v>
      </c>
      <c r="T896" s="16" t="str">
        <f>IFERROR(__xludf.DUMMYFUNCTION("""COMPUTED_VALUE"""),"kaki kiri")</f>
        <v>kaki kiri</v>
      </c>
      <c r="U896" s="16" t="str">
        <f>IFERROR(__xludf.DUMMYFUNCTION("""COMPUTED_VALUE"""),"Jalan pagi")</f>
        <v>Jalan pagi</v>
      </c>
      <c r="V896" s="11" t="str">
        <f>IFERROR(__xludf.DUMMYFUNCTION("""COMPUTED_VALUE"""),"081345203501")</f>
        <v>081345203501</v>
      </c>
      <c r="W896" s="15"/>
    </row>
    <row r="897" ht="22.5" customHeight="1">
      <c r="A897" s="8"/>
      <c r="B897" s="9">
        <f>IFERROR(__xludf.DUMMYFUNCTION("""COMPUTED_VALUE"""),45253.881164039354)</f>
        <v>45253.88116</v>
      </c>
      <c r="C897" s="9"/>
      <c r="D897" s="10">
        <f>IFERROR(__xludf.DUMMYFUNCTION("""COMPUTED_VALUE"""),45253.0)</f>
        <v>45253</v>
      </c>
      <c r="E897" s="10" t="str">
        <f>IFERROR(__xludf.DUMMYFUNCTION("""COMPUTED_VALUE"""),"11Nov")</f>
        <v>11Nov</v>
      </c>
      <c r="F897" s="10" t="str">
        <f>IFERROR(__xludf.DUMMYFUNCTION("""COMPUTED_VALUE"""),"2023")</f>
        <v>2023</v>
      </c>
      <c r="G897" s="16" t="str">
        <f>IFERROR(__xludf.DUMMYFUNCTION("""COMPUTED_VALUE"""),"FAISAL.SP")</f>
        <v>FAISAL.SP</v>
      </c>
      <c r="H897" s="17" t="str">
        <f>IFERROR(__xludf.DUMMYFUNCTION("""COMPUTED_VALUE"""),"F7323113501")</f>
        <v>F7323113501</v>
      </c>
      <c r="I897" s="17">
        <f>IFERROR(__xludf.DUMMYFUNCTION("""COMPUTED_VALUE"""),53.0)</f>
        <v>53</v>
      </c>
      <c r="J897" s="17" t="str">
        <f>IFERROR(__xludf.DUMMYFUNCTION("""COMPUTED_VALUE"""),"&gt; 44 tahun")</f>
        <v>&gt; 44 tahun</v>
      </c>
      <c r="K897" s="19">
        <f>IFERROR(__xludf.DUMMYFUNCTION("""COMPUTED_VALUE"""),26758.0)</f>
        <v>26758</v>
      </c>
      <c r="L897" s="19" t="str">
        <f>IFERROR(__xludf.DUMMYFUNCTION("""COMPUTED_VALUE"""),"LAKI-LAKI")</f>
        <v>LAKI-LAKI</v>
      </c>
      <c r="M897" s="16" t="str">
        <f>IFERROR(__xludf.DUMMYFUNCTION("""COMPUTED_VALUE"""),"Jl husin hamzah gg thayibah no 21")</f>
        <v>Jl husin hamzah gg thayibah no 21</v>
      </c>
      <c r="N897" s="16"/>
      <c r="O897" s="16"/>
      <c r="P897" s="16"/>
      <c r="Q897" s="16"/>
      <c r="R897" s="19" t="str">
        <f>IFERROR(__xludf.DUMMYFUNCTION("""COMPUTED_VALUE"""),"ISLAM")</f>
        <v>ISLAM</v>
      </c>
      <c r="S897" s="16" t="str">
        <f>IFERROR(__xludf.DUMMYFUNCTION("""COMPUTED_VALUE"""),"WIRASWASTA")</f>
        <v>WIRASWASTA</v>
      </c>
      <c r="T897" s="16" t="str">
        <f>IFERROR(__xludf.DUMMYFUNCTION("""COMPUTED_VALUE"""),"Gilu lengan kanan")</f>
        <v>Gilu lengan kanan</v>
      </c>
      <c r="U897" s="16" t="str">
        <f>IFERROR(__xludf.DUMMYFUNCTION("""COMPUTED_VALUE"""),"GYM")</f>
        <v>GYM</v>
      </c>
      <c r="V897" s="11" t="str">
        <f>IFERROR(__xludf.DUMMYFUNCTION("""COMPUTED_VALUE"""),"081345203501")</f>
        <v>081345203501</v>
      </c>
      <c r="W897" s="15"/>
    </row>
    <row r="898" ht="22.5" customHeight="1">
      <c r="A898" s="8"/>
      <c r="B898" s="9">
        <f>IFERROR(__xludf.DUMMYFUNCTION("""COMPUTED_VALUE"""),45255.44166349537)</f>
        <v>45255.44166</v>
      </c>
      <c r="C898" s="9"/>
      <c r="D898" s="10">
        <f>IFERROR(__xludf.DUMMYFUNCTION("""COMPUTED_VALUE"""),45255.0)</f>
        <v>45255</v>
      </c>
      <c r="E898" s="10" t="str">
        <f>IFERROR(__xludf.DUMMYFUNCTION("""COMPUTED_VALUE"""),"11Nov")</f>
        <v>11Nov</v>
      </c>
      <c r="F898" s="10" t="str">
        <f>IFERROR(__xludf.DUMMYFUNCTION("""COMPUTED_VALUE"""),"2023")</f>
        <v>2023</v>
      </c>
      <c r="G898" s="16" t="str">
        <f>IFERROR(__xludf.DUMMYFUNCTION("""COMPUTED_VALUE"""),"BOBY VALIANDRA")</f>
        <v>BOBY VALIANDRA</v>
      </c>
      <c r="H898" s="17" t="str">
        <f>IFERROR(__xludf.DUMMYFUNCTION("""COMPUTED_VALUE"""),"B8923118787")</f>
        <v>B8923118787</v>
      </c>
      <c r="I898" s="17">
        <f>IFERROR(__xludf.DUMMYFUNCTION("""COMPUTED_VALUE"""),36.0)</f>
        <v>36</v>
      </c>
      <c r="J898" s="17" t="str">
        <f>IFERROR(__xludf.DUMMYFUNCTION("""COMPUTED_VALUE"""),"35-44 tahun")</f>
        <v>35-44 tahun</v>
      </c>
      <c r="K898" s="19">
        <f>IFERROR(__xludf.DUMMYFUNCTION("""COMPUTED_VALUE"""),32720.0)</f>
        <v>32720</v>
      </c>
      <c r="L898" s="19" t="str">
        <f>IFERROR(__xludf.DUMMYFUNCTION("""COMPUTED_VALUE"""),"LAKI-LAKI")</f>
        <v>LAKI-LAKI</v>
      </c>
      <c r="M898" s="16" t="str">
        <f>IFERROR(__xludf.DUMMYFUNCTION("""COMPUTED_VALUE"""),"Jalan Ampera Komplek Pesona Ampera Blok B No 22")</f>
        <v>Jalan Ampera Komplek Pesona Ampera Blok B No 22</v>
      </c>
      <c r="N898" s="16"/>
      <c r="O898" s="16"/>
      <c r="P898" s="16"/>
      <c r="Q898" s="16"/>
      <c r="R898" s="19" t="str">
        <f>IFERROR(__xludf.DUMMYFUNCTION("""COMPUTED_VALUE"""),"ISLAM")</f>
        <v>ISLAM</v>
      </c>
      <c r="S898" s="16" t="str">
        <f>IFERROR(__xludf.DUMMYFUNCTION("""COMPUTED_VALUE"""),"ASN")</f>
        <v>ASN</v>
      </c>
      <c r="T898" s="16" t="str">
        <f>IFERROR(__xludf.DUMMYFUNCTION("""COMPUTED_VALUE"""),"Bila duduk lama bahu terik dan kaku")</f>
        <v>Bila duduk lama bahu terik dan kaku</v>
      </c>
      <c r="U898" s="16" t="str">
        <f>IFERROR(__xludf.DUMMYFUNCTION("""COMPUTED_VALUE"""),"Lari dan bola")</f>
        <v>Lari dan bola</v>
      </c>
      <c r="V898" s="11" t="str">
        <f>IFERROR(__xludf.DUMMYFUNCTION("""COMPUTED_VALUE"""),"08115788787")</f>
        <v>08115788787</v>
      </c>
      <c r="W898" s="15"/>
    </row>
    <row r="899" ht="22.5" customHeight="1">
      <c r="A899" s="8"/>
      <c r="B899" s="9">
        <f>IFERROR(__xludf.DUMMYFUNCTION("""COMPUTED_VALUE"""),45255.44400581019)</f>
        <v>45255.44401</v>
      </c>
      <c r="C899" s="9"/>
      <c r="D899" s="10">
        <f>IFERROR(__xludf.DUMMYFUNCTION("""COMPUTED_VALUE"""),45255.0)</f>
        <v>45255</v>
      </c>
      <c r="E899" s="10" t="str">
        <f>IFERROR(__xludf.DUMMYFUNCTION("""COMPUTED_VALUE"""),"11Nov")</f>
        <v>11Nov</v>
      </c>
      <c r="F899" s="10" t="str">
        <f>IFERROR(__xludf.DUMMYFUNCTION("""COMPUTED_VALUE"""),"2023")</f>
        <v>2023</v>
      </c>
      <c r="G899" s="16" t="str">
        <f>IFERROR(__xludf.DUMMYFUNCTION("""COMPUTED_VALUE"""),"SUPARMI")</f>
        <v>SUPARMI</v>
      </c>
      <c r="H899" s="17" t="str">
        <f>IFERROR(__xludf.DUMMYFUNCTION("""COMPUTED_VALUE"""),"S5723119635")</f>
        <v>S5723119635</v>
      </c>
      <c r="I899" s="17">
        <f>IFERROR(__xludf.DUMMYFUNCTION("""COMPUTED_VALUE"""),68.0)</f>
        <v>68</v>
      </c>
      <c r="J899" s="17" t="str">
        <f>IFERROR(__xludf.DUMMYFUNCTION("""COMPUTED_VALUE"""),"&gt; 44 tahun")</f>
        <v>&gt; 44 tahun</v>
      </c>
      <c r="K899" s="19">
        <f>IFERROR(__xludf.DUMMYFUNCTION("""COMPUTED_VALUE"""),21080.0)</f>
        <v>21080</v>
      </c>
      <c r="L899" s="19" t="str">
        <f>IFERROR(__xludf.DUMMYFUNCTION("""COMPUTED_VALUE"""),"PEREMPUAN")</f>
        <v>PEREMPUAN</v>
      </c>
      <c r="M899" s="16" t="str">
        <f>IFERROR(__xludf.DUMMYFUNCTION("""COMPUTED_VALUE"""),"Jl. Wonobaru gg. Wonodadi II no.6a")</f>
        <v>Jl. Wonobaru gg. Wonodadi II no.6a</v>
      </c>
      <c r="N899" s="16"/>
      <c r="O899" s="16"/>
      <c r="P899" s="16"/>
      <c r="Q899" s="16"/>
      <c r="R899" s="19" t="str">
        <f>IFERROR(__xludf.DUMMYFUNCTION("""COMPUTED_VALUE"""),"ISLAM")</f>
        <v>ISLAM</v>
      </c>
      <c r="S899" s="16" t="str">
        <f>IFERROR(__xludf.DUMMYFUNCTION("""COMPUTED_VALUE"""),"RUMAH TANGGA")</f>
        <v>RUMAH TANGGA</v>
      </c>
      <c r="T899" s="16" t="str">
        <f>IFERROR(__xludf.DUMMYFUNCTION("""COMPUTED_VALUE"""),"Sakit dari kaki sampai pinggang")</f>
        <v>Sakit dari kaki sampai pinggang</v>
      </c>
      <c r="U899" s="16" t="str">
        <f>IFERROR(__xludf.DUMMYFUNCTION("""COMPUTED_VALUE"""),"-")</f>
        <v>-</v>
      </c>
      <c r="V899" s="11" t="str">
        <f>IFERROR(__xludf.DUMMYFUNCTION("""COMPUTED_VALUE"""),"08125799635")</f>
        <v>08125799635</v>
      </c>
      <c r="W899" s="15"/>
    </row>
    <row r="900" ht="22.5" customHeight="1">
      <c r="A900" s="8"/>
      <c r="B900" s="9">
        <f>IFERROR(__xludf.DUMMYFUNCTION("""COMPUTED_VALUE"""),45255.478796655094)</f>
        <v>45255.4788</v>
      </c>
      <c r="C900" s="9"/>
      <c r="D900" s="10">
        <f>IFERROR(__xludf.DUMMYFUNCTION("""COMPUTED_VALUE"""),45255.0)</f>
        <v>45255</v>
      </c>
      <c r="E900" s="10" t="str">
        <f>IFERROR(__xludf.DUMMYFUNCTION("""COMPUTED_VALUE"""),"11Nov")</f>
        <v>11Nov</v>
      </c>
      <c r="F900" s="10" t="str">
        <f>IFERROR(__xludf.DUMMYFUNCTION("""COMPUTED_VALUE"""),"2023")</f>
        <v>2023</v>
      </c>
      <c r="G900" s="16" t="str">
        <f>IFERROR(__xludf.DUMMYFUNCTION("""COMPUTED_VALUE"""),"NISMARA ARSA ARYASATYA")</f>
        <v>NISMARA ARSA ARYASATYA</v>
      </c>
      <c r="H900" s="17" t="str">
        <f>IFERROR(__xludf.DUMMYFUNCTION("""COMPUTED_VALUE"""),"N1023114897")</f>
        <v>N1023114897</v>
      </c>
      <c r="I900" s="17">
        <f>IFERROR(__xludf.DUMMYFUNCTION("""COMPUTED_VALUE"""),16.0)</f>
        <v>16</v>
      </c>
      <c r="J900" s="17" t="str">
        <f>IFERROR(__xludf.DUMMYFUNCTION("""COMPUTED_VALUE"""),"&lt; 18 tahun")</f>
        <v>&lt; 18 tahun</v>
      </c>
      <c r="K900" s="19">
        <f>IFERROR(__xludf.DUMMYFUNCTION("""COMPUTED_VALUE"""),40224.0)</f>
        <v>40224</v>
      </c>
      <c r="L900" s="19" t="str">
        <f>IFERROR(__xludf.DUMMYFUNCTION("""COMPUTED_VALUE"""),"LAKI-LAKI")</f>
        <v>LAKI-LAKI</v>
      </c>
      <c r="M900" s="16" t="str">
        <f>IFERROR(__xludf.DUMMYFUNCTION("""COMPUTED_VALUE"""),"Jl. H. Rais A. Rahman Gg. Bukit Raya 3 no 65")</f>
        <v>Jl. H. Rais A. Rahman Gg. Bukit Raya 3 no 65</v>
      </c>
      <c r="N900" s="16"/>
      <c r="O900" s="16"/>
      <c r="P900" s="16"/>
      <c r="Q900" s="16"/>
      <c r="R900" s="19" t="str">
        <f>IFERROR(__xludf.DUMMYFUNCTION("""COMPUTED_VALUE"""),"ISLAM")</f>
        <v>ISLAM</v>
      </c>
      <c r="S900" s="16" t="str">
        <f>IFERROR(__xludf.DUMMYFUNCTION("""COMPUTED_VALUE"""),"PELAJAR/MAHASISWA")</f>
        <v>PELAJAR/MAHASISWA</v>
      </c>
      <c r="T900" s="16" t="str">
        <f>IFERROR(__xludf.DUMMYFUNCTION("""COMPUTED_VALUE"""),"Nyeri di otot paha saat menendang")</f>
        <v>Nyeri di otot paha saat menendang</v>
      </c>
      <c r="U900" s="16" t="str">
        <f>IFERROR(__xludf.DUMMYFUNCTION("""COMPUTED_VALUE"""),"Olahraga")</f>
        <v>Olahraga</v>
      </c>
      <c r="V900" s="11" t="str">
        <f>IFERROR(__xludf.DUMMYFUNCTION("""COMPUTED_VALUE"""),"081347554897")</f>
        <v>081347554897</v>
      </c>
      <c r="W900" s="15"/>
    </row>
    <row r="901" ht="22.5" customHeight="1">
      <c r="A901" s="8"/>
      <c r="B901" s="9">
        <f>IFERROR(__xludf.DUMMYFUNCTION("""COMPUTED_VALUE"""),45241.88969185185)</f>
        <v>45241.88969</v>
      </c>
      <c r="C901" s="9"/>
      <c r="D901" s="10">
        <f>IFERROR(__xludf.DUMMYFUNCTION("""COMPUTED_VALUE"""),45255.0)</f>
        <v>45255</v>
      </c>
      <c r="E901" s="10" t="str">
        <f>IFERROR(__xludf.DUMMYFUNCTION("""COMPUTED_VALUE"""),"11Nov")</f>
        <v>11Nov</v>
      </c>
      <c r="F901" s="10" t="str">
        <f>IFERROR(__xludf.DUMMYFUNCTION("""COMPUTED_VALUE"""),"2023")</f>
        <v>2023</v>
      </c>
      <c r="G901" s="16" t="str">
        <f>IFERROR(__xludf.DUMMYFUNCTION("""COMPUTED_VALUE"""),"GUSRANTA PRISCARDO PINEM")</f>
        <v>GUSRANTA PRISCARDO PINEM</v>
      </c>
      <c r="H901" s="17" t="str">
        <f>IFERROR(__xludf.DUMMYFUNCTION("""COMPUTED_VALUE"""),"G9023118711")</f>
        <v>G9023118711</v>
      </c>
      <c r="I901" s="17">
        <f>IFERROR(__xludf.DUMMYFUNCTION("""COMPUTED_VALUE"""),35.0)</f>
        <v>35</v>
      </c>
      <c r="J901" s="17" t="str">
        <f>IFERROR(__xludf.DUMMYFUNCTION("""COMPUTED_VALUE"""),"35-44 tahun")</f>
        <v>35-44 tahun</v>
      </c>
      <c r="K901" s="19">
        <f>IFERROR(__xludf.DUMMYFUNCTION("""COMPUTED_VALUE"""),33095.0)</f>
        <v>33095</v>
      </c>
      <c r="L901" s="19" t="str">
        <f>IFERROR(__xludf.DUMMYFUNCTION("""COMPUTED_VALUE"""),"LAKI-LAKI")</f>
        <v>LAKI-LAKI</v>
      </c>
      <c r="M901" s="16" t="str">
        <f>IFERROR(__xludf.DUMMYFUNCTION("""COMPUTED_VALUE"""),"Jalan bukit barisan no 38")</f>
        <v>Jalan bukit barisan no 38</v>
      </c>
      <c r="N901" s="16"/>
      <c r="O901" s="16"/>
      <c r="P901" s="16"/>
      <c r="Q901" s="16"/>
      <c r="R901" s="19" t="str">
        <f>IFERROR(__xludf.DUMMYFUNCTION("""COMPUTED_VALUE"""),"ISLAM")</f>
        <v>ISLAM</v>
      </c>
      <c r="S901" s="16" t="str">
        <f>IFERROR(__xludf.DUMMYFUNCTION("""COMPUTED_VALUE"""),"SWASTA")</f>
        <v>SWASTA</v>
      </c>
      <c r="T901" s="16" t="str">
        <f>IFERROR(__xludf.DUMMYFUNCTION("""COMPUTED_VALUE"""),"Kaki miring ke kanan")</f>
        <v>Kaki miring ke kanan</v>
      </c>
      <c r="U901" s="16" t="str">
        <f>IFERROR(__xludf.DUMMYFUNCTION("""COMPUTED_VALUE"""),"Pencak silat")</f>
        <v>Pencak silat</v>
      </c>
      <c r="V901" s="11" t="str">
        <f>IFERROR(__xludf.DUMMYFUNCTION("""COMPUTED_VALUE"""),"081257928711")</f>
        <v>081257928711</v>
      </c>
      <c r="W901" s="15"/>
    </row>
    <row r="902" ht="22.5" customHeight="1">
      <c r="A902" s="8"/>
      <c r="B902" s="9">
        <f>IFERROR(__xludf.DUMMYFUNCTION("""COMPUTED_VALUE"""),45255.729841168984)</f>
        <v>45255.72984</v>
      </c>
      <c r="C902" s="9"/>
      <c r="D902" s="10">
        <f>IFERROR(__xludf.DUMMYFUNCTION("""COMPUTED_VALUE"""),45255.0)</f>
        <v>45255</v>
      </c>
      <c r="E902" s="10" t="str">
        <f>IFERROR(__xludf.DUMMYFUNCTION("""COMPUTED_VALUE"""),"11Nov")</f>
        <v>11Nov</v>
      </c>
      <c r="F902" s="10" t="str">
        <f>IFERROR(__xludf.DUMMYFUNCTION("""COMPUTED_VALUE"""),"2023")</f>
        <v>2023</v>
      </c>
      <c r="G902" s="16" t="str">
        <f>IFERROR(__xludf.DUMMYFUNCTION("""COMPUTED_VALUE"""),"ROBBY EDITYA MANENDRA")</f>
        <v>ROBBY EDITYA MANENDRA</v>
      </c>
      <c r="H902" s="17" t="str">
        <f>IFERROR(__xludf.DUMMYFUNCTION("""COMPUTED_VALUE"""),"R8723119339")</f>
        <v>R8723119339</v>
      </c>
      <c r="I902" s="17">
        <f>IFERROR(__xludf.DUMMYFUNCTION("""COMPUTED_VALUE"""),38.0)</f>
        <v>38</v>
      </c>
      <c r="J902" s="17" t="str">
        <f>IFERROR(__xludf.DUMMYFUNCTION("""COMPUTED_VALUE"""),"35-44 tahun")</f>
        <v>35-44 tahun</v>
      </c>
      <c r="K902" s="19">
        <f>IFERROR(__xludf.DUMMYFUNCTION("""COMPUTED_VALUE"""),32061.0)</f>
        <v>32061</v>
      </c>
      <c r="L902" s="19" t="str">
        <f>IFERROR(__xludf.DUMMYFUNCTION("""COMPUTED_VALUE"""),"LAKI-LAKI")</f>
        <v>LAKI-LAKI</v>
      </c>
      <c r="M902" s="16" t="str">
        <f>IFERROR(__xludf.DUMMYFUNCTION("""COMPUTED_VALUE"""),"Jl. A Djelani No.19 Mempawah Timur, Kab. Mempawah")</f>
        <v>Jl. A Djelani No.19 Mempawah Timur, Kab. Mempawah</v>
      </c>
      <c r="N902" s="16"/>
      <c r="O902" s="16"/>
      <c r="P902" s="16"/>
      <c r="Q902" s="16"/>
      <c r="R902" s="19" t="str">
        <f>IFERROR(__xludf.DUMMYFUNCTION("""COMPUTED_VALUE"""),"ISLAM")</f>
        <v>ISLAM</v>
      </c>
      <c r="S902" s="16" t="str">
        <f>IFERROR(__xludf.DUMMYFUNCTION("""COMPUTED_VALUE"""),"PERBANKAN")</f>
        <v>PERBANKAN</v>
      </c>
      <c r="T902" s="16" t="str">
        <f>IFERROR(__xludf.DUMMYFUNCTION("""COMPUTED_VALUE"""),"Sering Nyeri")</f>
        <v>Sering Nyeri</v>
      </c>
      <c r="U902" s="16" t="str">
        <f>IFERROR(__xludf.DUMMYFUNCTION("""COMPUTED_VALUE"""),"Duduk Bermain Game")</f>
        <v>Duduk Bermain Game</v>
      </c>
      <c r="V902" s="11" t="str">
        <f>IFERROR(__xludf.DUMMYFUNCTION("""COMPUTED_VALUE"""),"085345439339")</f>
        <v>085345439339</v>
      </c>
      <c r="W902" s="15"/>
    </row>
    <row r="903" ht="22.5" customHeight="1">
      <c r="A903" s="8"/>
      <c r="B903" s="9">
        <f>IFERROR(__xludf.DUMMYFUNCTION("""COMPUTED_VALUE"""),45255.807822303235)</f>
        <v>45255.80782</v>
      </c>
      <c r="C903" s="9"/>
      <c r="D903" s="10">
        <f>IFERROR(__xludf.DUMMYFUNCTION("""COMPUTED_VALUE"""),45256.0)</f>
        <v>45256</v>
      </c>
      <c r="E903" s="10" t="str">
        <f>IFERROR(__xludf.DUMMYFUNCTION("""COMPUTED_VALUE"""),"11Nov")</f>
        <v>11Nov</v>
      </c>
      <c r="F903" s="10" t="str">
        <f>IFERROR(__xludf.DUMMYFUNCTION("""COMPUTED_VALUE"""),"2023")</f>
        <v>2023</v>
      </c>
      <c r="G903" s="16" t="str">
        <f>IFERROR(__xludf.DUMMYFUNCTION("""COMPUTED_VALUE"""),"ASPARIANSYAH")</f>
        <v>ASPARIANSYAH</v>
      </c>
      <c r="H903" s="17" t="str">
        <f>IFERROR(__xludf.DUMMYFUNCTION("""COMPUTED_VALUE"""),"A0323112163")</f>
        <v>A0323112163</v>
      </c>
      <c r="I903" s="17">
        <f>IFERROR(__xludf.DUMMYFUNCTION("""COMPUTED_VALUE"""),23.0)</f>
        <v>23</v>
      </c>
      <c r="J903" s="17" t="str">
        <f>IFERROR(__xludf.DUMMYFUNCTION("""COMPUTED_VALUE"""),"18-24 tahun")</f>
        <v>18-24 tahun</v>
      </c>
      <c r="K903" s="19">
        <f>IFERROR(__xludf.DUMMYFUNCTION("""COMPUTED_VALUE"""),37627.0)</f>
        <v>37627</v>
      </c>
      <c r="L903" s="19" t="str">
        <f>IFERROR(__xludf.DUMMYFUNCTION("""COMPUTED_VALUE"""),"LAKI-LAKI")</f>
        <v>LAKI-LAKI</v>
      </c>
      <c r="M903" s="16" t="str">
        <f>IFERROR(__xludf.DUMMYFUNCTION("""COMPUTED_VALUE"""),"DESA TANJUNG, KECAMATAN SEKADAU HILIR")</f>
        <v>DESA TANJUNG, KECAMATAN SEKADAU HILIR</v>
      </c>
      <c r="N903" s="16"/>
      <c r="O903" s="16"/>
      <c r="P903" s="16"/>
      <c r="Q903" s="16"/>
      <c r="R903" s="19" t="str">
        <f>IFERROR(__xludf.DUMMYFUNCTION("""COMPUTED_VALUE"""),"ISLAM")</f>
        <v>ISLAM</v>
      </c>
      <c r="S903" s="16" t="str">
        <f>IFERROR(__xludf.DUMMYFUNCTION("""COMPUTED_VALUE"""),"PELAJAR/MAHASISWA")</f>
        <v>PELAJAR/MAHASISWA</v>
      </c>
      <c r="T903" s="16" t="str">
        <f>IFERROR(__xludf.DUMMYFUNCTION("""COMPUTED_VALUE"""),"CEDERA ENGKEL")</f>
        <v>CEDERA ENGKEL</v>
      </c>
      <c r="U903" s="16" t="str">
        <f>IFERROR(__xludf.DUMMYFUNCTION("""COMPUTED_VALUE"""),"Voli dan kuliah")</f>
        <v>Voli dan kuliah</v>
      </c>
      <c r="V903" s="11" t="str">
        <f>IFERROR(__xludf.DUMMYFUNCTION("""COMPUTED_VALUE"""),"083152102163")</f>
        <v>083152102163</v>
      </c>
      <c r="W903" s="15"/>
    </row>
    <row r="904" ht="22.5" customHeight="1">
      <c r="A904" s="8"/>
      <c r="B904" s="9">
        <f>IFERROR(__xludf.DUMMYFUNCTION("""COMPUTED_VALUE"""),45255.44792244213)</f>
        <v>45255.44792</v>
      </c>
      <c r="C904" s="9"/>
      <c r="D904" s="10">
        <f>IFERROR(__xludf.DUMMYFUNCTION("""COMPUTED_VALUE"""),45257.0)</f>
        <v>45257</v>
      </c>
      <c r="E904" s="10" t="str">
        <f>IFERROR(__xludf.DUMMYFUNCTION("""COMPUTED_VALUE"""),"11Nov")</f>
        <v>11Nov</v>
      </c>
      <c r="F904" s="10" t="str">
        <f>IFERROR(__xludf.DUMMYFUNCTION("""COMPUTED_VALUE"""),"2023")</f>
        <v>2023</v>
      </c>
      <c r="G904" s="16" t="str">
        <f>IFERROR(__xludf.DUMMYFUNCTION("""COMPUTED_VALUE"""),"ANGGITAN HARYO WICAKSONO")</f>
        <v>ANGGITAN HARYO WICAKSONO</v>
      </c>
      <c r="H904" s="17" t="str">
        <f>IFERROR(__xludf.DUMMYFUNCTION("""COMPUTED_VALUE"""),"A9323119996")</f>
        <v>A9323119996</v>
      </c>
      <c r="I904" s="17">
        <f>IFERROR(__xludf.DUMMYFUNCTION("""COMPUTED_VALUE"""),32.0)</f>
        <v>32</v>
      </c>
      <c r="J904" s="17" t="str">
        <f>IFERROR(__xludf.DUMMYFUNCTION("""COMPUTED_VALUE"""),"25-34 tahun")</f>
        <v>25-34 tahun</v>
      </c>
      <c r="K904" s="19">
        <f>IFERROR(__xludf.DUMMYFUNCTION("""COMPUTED_VALUE"""),34208.0)</f>
        <v>34208</v>
      </c>
      <c r="L904" s="19" t="str">
        <f>IFERROR(__xludf.DUMMYFUNCTION("""COMPUTED_VALUE"""),"LAKI-LAKI")</f>
        <v>LAKI-LAKI</v>
      </c>
      <c r="M904" s="16" t="str">
        <f>IFERROR(__xludf.DUMMYFUNCTION("""COMPUTED_VALUE"""),"Jl. Prof. Dr. Hamka Gg. Nilam 6")</f>
        <v>Jl. Prof. Dr. Hamka Gg. Nilam 6</v>
      </c>
      <c r="N904" s="16"/>
      <c r="O904" s="16"/>
      <c r="P904" s="16"/>
      <c r="Q904" s="16"/>
      <c r="R904" s="19" t="str">
        <f>IFERROR(__xludf.DUMMYFUNCTION("""COMPUTED_VALUE"""),"ISLAM")</f>
        <v>ISLAM</v>
      </c>
      <c r="S904" s="16" t="str">
        <f>IFERROR(__xludf.DUMMYFUNCTION("""COMPUTED_VALUE"""),"SWASTA")</f>
        <v>SWASTA</v>
      </c>
      <c r="T904" s="16" t="str">
        <f>IFERROR(__xludf.DUMMYFUNCTION("""COMPUTED_VALUE"""),"Punggung kiri sakit")</f>
        <v>Punggung kiri sakit</v>
      </c>
      <c r="U904" s="16" t="str">
        <f>IFERROR(__xludf.DUMMYFUNCTION("""COMPUTED_VALUE"""),"-")</f>
        <v>-</v>
      </c>
      <c r="V904" s="11" t="str">
        <f>IFERROR(__xludf.DUMMYFUNCTION("""COMPUTED_VALUE"""),"082218509996")</f>
        <v>082218509996</v>
      </c>
      <c r="W904" s="15"/>
    </row>
    <row r="905" ht="22.5" customHeight="1">
      <c r="A905" s="8"/>
      <c r="B905" s="9">
        <f>IFERROR(__xludf.DUMMYFUNCTION("""COMPUTED_VALUE"""),45257.72135452546)</f>
        <v>45257.72135</v>
      </c>
      <c r="C905" s="9"/>
      <c r="D905" s="10">
        <f>IFERROR(__xludf.DUMMYFUNCTION("""COMPUTED_VALUE"""),45258.0)</f>
        <v>45258</v>
      </c>
      <c r="E905" s="10" t="str">
        <f>IFERROR(__xludf.DUMMYFUNCTION("""COMPUTED_VALUE"""),"11Nov")</f>
        <v>11Nov</v>
      </c>
      <c r="F905" s="10" t="str">
        <f>IFERROR(__xludf.DUMMYFUNCTION("""COMPUTED_VALUE"""),"2023")</f>
        <v>2023</v>
      </c>
      <c r="G905" s="16" t="str">
        <f>IFERROR(__xludf.DUMMYFUNCTION("""COMPUTED_VALUE"""),"MUHAMMAD FACHRI RIZKI DARMAWAN")</f>
        <v>MUHAMMAD FACHRI RIZKI DARMAWAN</v>
      </c>
      <c r="H905" s="17" t="str">
        <f>IFERROR(__xludf.DUMMYFUNCTION("""COMPUTED_VALUE"""),"M0123113499")</f>
        <v>M0123113499</v>
      </c>
      <c r="I905" s="17">
        <f>IFERROR(__xludf.DUMMYFUNCTION("""COMPUTED_VALUE"""),25.0)</f>
        <v>25</v>
      </c>
      <c r="J905" s="17" t="str">
        <f>IFERROR(__xludf.DUMMYFUNCTION("""COMPUTED_VALUE"""),"25-34 tahun")</f>
        <v>25-34 tahun</v>
      </c>
      <c r="K905" s="19">
        <f>IFERROR(__xludf.DUMMYFUNCTION("""COMPUTED_VALUE"""),36906.0)</f>
        <v>36906</v>
      </c>
      <c r="L905" s="19" t="str">
        <f>IFERROR(__xludf.DUMMYFUNCTION("""COMPUTED_VALUE"""),"LAKI-LAKI")</f>
        <v>LAKI-LAKI</v>
      </c>
      <c r="M905" s="16" t="str">
        <f>IFERROR(__xludf.DUMMYFUNCTION("""COMPUTED_VALUE"""),"JL. NIRBAYA GG. SUKADAMAI DALAM")</f>
        <v>JL. NIRBAYA GG. SUKADAMAI DALAM</v>
      </c>
      <c r="N905" s="16"/>
      <c r="O905" s="16"/>
      <c r="P905" s="16"/>
      <c r="Q905" s="16"/>
      <c r="R905" s="19" t="str">
        <f>IFERROR(__xludf.DUMMYFUNCTION("""COMPUTED_VALUE"""),"ISLAM")</f>
        <v>ISLAM</v>
      </c>
      <c r="S905" s="16" t="str">
        <f>IFERROR(__xludf.DUMMYFUNCTION("""COMPUTED_VALUE"""),"TIDAK ADA")</f>
        <v>TIDAK ADA</v>
      </c>
      <c r="T905" s="16" t="str">
        <f>IFERROR(__xludf.DUMMYFUNCTION("""COMPUTED_VALUE"""),"Cidera Meniscus")</f>
        <v>Cidera Meniscus</v>
      </c>
      <c r="U905" s="16" t="str">
        <f>IFERROR(__xludf.DUMMYFUNCTION("""COMPUTED_VALUE"""),"Atlet Taekwondo")</f>
        <v>Atlet Taekwondo</v>
      </c>
      <c r="V905" s="11" t="str">
        <f>IFERROR(__xludf.DUMMYFUNCTION("""COMPUTED_VALUE"""),"089632813499")</f>
        <v>089632813499</v>
      </c>
      <c r="W905" s="15"/>
    </row>
    <row r="906" ht="22.5" customHeight="1">
      <c r="A906" s="8"/>
      <c r="B906" s="9">
        <f>IFERROR(__xludf.DUMMYFUNCTION("""COMPUTED_VALUE"""),45258.67692599537)</f>
        <v>45258.67693</v>
      </c>
      <c r="C906" s="9"/>
      <c r="D906" s="10">
        <f>IFERROR(__xludf.DUMMYFUNCTION("""COMPUTED_VALUE"""),45258.0)</f>
        <v>45258</v>
      </c>
      <c r="E906" s="10" t="str">
        <f>IFERROR(__xludf.DUMMYFUNCTION("""COMPUTED_VALUE"""),"11Nov")</f>
        <v>11Nov</v>
      </c>
      <c r="F906" s="10" t="str">
        <f>IFERROR(__xludf.DUMMYFUNCTION("""COMPUTED_VALUE"""),"2023")</f>
        <v>2023</v>
      </c>
      <c r="G906" s="16" t="str">
        <f>IFERROR(__xludf.DUMMYFUNCTION("""COMPUTED_VALUE"""),"RAHMAT MADYO K.")</f>
        <v>RAHMAT MADYO K.</v>
      </c>
      <c r="H906" s="17" t="str">
        <f>IFERROR(__xludf.DUMMYFUNCTION("""COMPUTED_VALUE"""),"R9123112925")</f>
        <v>R9123112925</v>
      </c>
      <c r="I906" s="17">
        <f>IFERROR(__xludf.DUMMYFUNCTION("""COMPUTED_VALUE"""),35.0)</f>
        <v>35</v>
      </c>
      <c r="J906" s="17" t="str">
        <f>IFERROR(__xludf.DUMMYFUNCTION("""COMPUTED_VALUE"""),"35-44 tahun")</f>
        <v>35-44 tahun</v>
      </c>
      <c r="K906" s="19">
        <f>IFERROR(__xludf.DUMMYFUNCTION("""COMPUTED_VALUE"""),33337.0)</f>
        <v>33337</v>
      </c>
      <c r="L906" s="19" t="str">
        <f>IFERROR(__xludf.DUMMYFUNCTION("""COMPUTED_VALUE"""),"LAKI-LAKI")</f>
        <v>LAKI-LAKI</v>
      </c>
      <c r="M906" s="16" t="str">
        <f>IFERROR(__xludf.DUMMYFUNCTION("""COMPUTED_VALUE"""),"Jl MT haryono no.5")</f>
        <v>Jl MT haryono no.5</v>
      </c>
      <c r="N906" s="16"/>
      <c r="O906" s="16"/>
      <c r="P906" s="16"/>
      <c r="Q906" s="16"/>
      <c r="R906" s="19" t="str">
        <f>IFERROR(__xludf.DUMMYFUNCTION("""COMPUTED_VALUE"""),"ISLAM")</f>
        <v>ISLAM</v>
      </c>
      <c r="S906" s="16" t="str">
        <f>IFERROR(__xludf.DUMMYFUNCTION("""COMPUTED_VALUE"""),"TENAGA HONOR")</f>
        <v>TENAGA HONOR</v>
      </c>
      <c r="T906" s="16" t="str">
        <f>IFERROR(__xludf.DUMMYFUNCTION("""COMPUTED_VALUE"""),"Pinggang ketarik")</f>
        <v>Pinggang ketarik</v>
      </c>
      <c r="U906" s="16" t="str">
        <f>IFERROR(__xludf.DUMMYFUNCTION("""COMPUTED_VALUE"""),"Olahraga")</f>
        <v>Olahraga</v>
      </c>
      <c r="V906" s="11" t="str">
        <f>IFERROR(__xludf.DUMMYFUNCTION("""COMPUTED_VALUE"""),"08115732925")</f>
        <v>08115732925</v>
      </c>
      <c r="W906" s="15"/>
    </row>
    <row r="907" ht="22.5" customHeight="1">
      <c r="A907" s="8"/>
      <c r="B907" s="9">
        <f>IFERROR(__xludf.DUMMYFUNCTION("""COMPUTED_VALUE"""),45258.78902776621)</f>
        <v>45258.78903</v>
      </c>
      <c r="C907" s="9"/>
      <c r="D907" s="10">
        <f>IFERROR(__xludf.DUMMYFUNCTION("""COMPUTED_VALUE"""),45259.0)</f>
        <v>45259</v>
      </c>
      <c r="E907" s="10" t="str">
        <f>IFERROR(__xludf.DUMMYFUNCTION("""COMPUTED_VALUE"""),"11Nov")</f>
        <v>11Nov</v>
      </c>
      <c r="F907" s="10" t="str">
        <f>IFERROR(__xludf.DUMMYFUNCTION("""COMPUTED_VALUE"""),"2023")</f>
        <v>2023</v>
      </c>
      <c r="G907" s="16" t="str">
        <f>IFERROR(__xludf.DUMMYFUNCTION("""COMPUTED_VALUE"""),"MUHAMMAD YOGA FEBRIYANTO")</f>
        <v>MUHAMMAD YOGA FEBRIYANTO</v>
      </c>
      <c r="H907" s="17" t="str">
        <f>IFERROR(__xludf.DUMMYFUNCTION("""COMPUTED_VALUE"""),"M0023110903")</f>
        <v>M0023110903</v>
      </c>
      <c r="I907" s="17">
        <f>IFERROR(__xludf.DUMMYFUNCTION("""COMPUTED_VALUE"""),26.0)</f>
        <v>26</v>
      </c>
      <c r="J907" s="17" t="str">
        <f>IFERROR(__xludf.DUMMYFUNCTION("""COMPUTED_VALUE"""),"25-34 tahun")</f>
        <v>25-34 tahun</v>
      </c>
      <c r="K907" s="19">
        <f>IFERROR(__xludf.DUMMYFUNCTION("""COMPUTED_VALUE"""),36576.0)</f>
        <v>36576</v>
      </c>
      <c r="L907" s="19" t="str">
        <f>IFERROR(__xludf.DUMMYFUNCTION("""COMPUTED_VALUE"""),"LAKI-LAKI")</f>
        <v>LAKI-LAKI</v>
      </c>
      <c r="M907" s="16" t="str">
        <f>IFERROR(__xludf.DUMMYFUNCTION("""COMPUTED_VALUE"""),"Jln ujung pandang komp kelapa hijau no 27")</f>
        <v>Jln ujung pandang komp kelapa hijau no 27</v>
      </c>
      <c r="N907" s="16"/>
      <c r="O907" s="16"/>
      <c r="P907" s="16"/>
      <c r="Q907" s="16"/>
      <c r="R907" s="19" t="str">
        <f>IFERROR(__xludf.DUMMYFUNCTION("""COMPUTED_VALUE"""),"ISLAM")</f>
        <v>ISLAM</v>
      </c>
      <c r="S907" s="16" t="str">
        <f>IFERROR(__xludf.DUMMYFUNCTION("""COMPUTED_VALUE"""),"PELAJAR/MAHASISWA")</f>
        <v>PELAJAR/MAHASISWA</v>
      </c>
      <c r="T907" s="16" t="str">
        <f>IFERROR(__xludf.DUMMYFUNCTION("""COMPUTED_VALUE"""),"Sakit dibagian")</f>
        <v>Sakit dibagian</v>
      </c>
      <c r="U907" s="16" t="str">
        <f>IFERROR(__xludf.DUMMYFUNCTION("""COMPUTED_VALUE"""),"Futsal dan bola")</f>
        <v>Futsal dan bola</v>
      </c>
      <c r="V907" s="11" t="str">
        <f>IFERROR(__xludf.DUMMYFUNCTION("""COMPUTED_VALUE"""),"089629110903")</f>
        <v>089629110903</v>
      </c>
      <c r="W907" s="15"/>
    </row>
    <row r="908" ht="22.5" customHeight="1">
      <c r="A908" s="8"/>
      <c r="B908" s="9">
        <f>IFERROR(__xludf.DUMMYFUNCTION("""COMPUTED_VALUE"""),45259.51098752314)</f>
        <v>45259.51099</v>
      </c>
      <c r="C908" s="9"/>
      <c r="D908" s="10">
        <f>IFERROR(__xludf.DUMMYFUNCTION("""COMPUTED_VALUE"""),45259.0)</f>
        <v>45259</v>
      </c>
      <c r="E908" s="10" t="str">
        <f>IFERROR(__xludf.DUMMYFUNCTION("""COMPUTED_VALUE"""),"11Nov")</f>
        <v>11Nov</v>
      </c>
      <c r="F908" s="10" t="str">
        <f>IFERROR(__xludf.DUMMYFUNCTION("""COMPUTED_VALUE"""),"2023")</f>
        <v>2023</v>
      </c>
      <c r="G908" s="16" t="str">
        <f>IFERROR(__xludf.DUMMYFUNCTION("""COMPUTED_VALUE"""),"CARLOS")</f>
        <v>CARLOS</v>
      </c>
      <c r="H908" s="17" t="str">
        <f>IFERROR(__xludf.DUMMYFUNCTION("""COMPUTED_VALUE"""),"C9823119557")</f>
        <v>C9823119557</v>
      </c>
      <c r="I908" s="17">
        <f>IFERROR(__xludf.DUMMYFUNCTION("""COMPUTED_VALUE"""),28.0)</f>
        <v>28</v>
      </c>
      <c r="J908" s="17" t="str">
        <f>IFERROR(__xludf.DUMMYFUNCTION("""COMPUTED_VALUE"""),"25-34 tahun")</f>
        <v>25-34 tahun</v>
      </c>
      <c r="K908" s="19">
        <f>IFERROR(__xludf.DUMMYFUNCTION("""COMPUTED_VALUE"""),35859.0)</f>
        <v>35859</v>
      </c>
      <c r="L908" s="19" t="str">
        <f>IFERROR(__xludf.DUMMYFUNCTION("""COMPUTED_VALUE"""),"LAKI-LAKI")</f>
        <v>LAKI-LAKI</v>
      </c>
      <c r="M908" s="16" t="str">
        <f>IFERROR(__xludf.DUMMYFUNCTION("""COMPUTED_VALUE"""),"Jl. KomYos Sudarso Gg. Jarak no.68")</f>
        <v>Jl. KomYos Sudarso Gg. Jarak no.68</v>
      </c>
      <c r="N908" s="16"/>
      <c r="O908" s="16"/>
      <c r="P908" s="16"/>
      <c r="Q908" s="16"/>
      <c r="R908" s="19" t="str">
        <f>IFERROR(__xludf.DUMMYFUNCTION("""COMPUTED_VALUE"""),"PROTESTAN")</f>
        <v>PROTESTAN</v>
      </c>
      <c r="S908" s="16" t="str">
        <f>IFERROR(__xludf.DUMMYFUNCTION("""COMPUTED_VALUE"""),"WIRASWASTA")</f>
        <v>WIRASWASTA</v>
      </c>
      <c r="T908" s="16" t="str">
        <f>IFERROR(__xludf.DUMMYFUNCTION("""COMPUTED_VALUE"""),"Lower back")</f>
        <v>Lower back</v>
      </c>
      <c r="U908" s="16" t="str">
        <f>IFERROR(__xludf.DUMMYFUNCTION("""COMPUTED_VALUE"""),"Basket, Gym / Kerja duduk")</f>
        <v>Basket, Gym / Kerja duduk</v>
      </c>
      <c r="V908" s="11" t="str">
        <f>IFERROR(__xludf.DUMMYFUNCTION("""COMPUTED_VALUE"""),"085345249557")</f>
        <v>085345249557</v>
      </c>
      <c r="W908" s="15"/>
    </row>
    <row r="909" ht="22.5" customHeight="1">
      <c r="A909" s="8"/>
      <c r="B909" s="9">
        <f>IFERROR(__xludf.DUMMYFUNCTION("""COMPUTED_VALUE"""),45259.562397939815)</f>
        <v>45259.5624</v>
      </c>
      <c r="C909" s="9"/>
      <c r="D909" s="10">
        <f>IFERROR(__xludf.DUMMYFUNCTION("""COMPUTED_VALUE"""),45259.0)</f>
        <v>45259</v>
      </c>
      <c r="E909" s="10" t="str">
        <f>IFERROR(__xludf.DUMMYFUNCTION("""COMPUTED_VALUE"""),"11Nov")</f>
        <v>11Nov</v>
      </c>
      <c r="F909" s="10" t="str">
        <f>IFERROR(__xludf.DUMMYFUNCTION("""COMPUTED_VALUE"""),"2023")</f>
        <v>2023</v>
      </c>
      <c r="G909" s="16" t="str">
        <f>IFERROR(__xludf.DUMMYFUNCTION("""COMPUTED_VALUE"""),"YORDANIO IRAQI BASULE")</f>
        <v>YORDANIO IRAQI BASULE</v>
      </c>
      <c r="H909" s="17" t="str">
        <f>IFERROR(__xludf.DUMMYFUNCTION("""COMPUTED_VALUE"""),"Y0323114743")</f>
        <v>Y0323114743</v>
      </c>
      <c r="I909" s="17">
        <f>IFERROR(__xludf.DUMMYFUNCTION("""COMPUTED_VALUE"""),23.0)</f>
        <v>23</v>
      </c>
      <c r="J909" s="17" t="str">
        <f>IFERROR(__xludf.DUMMYFUNCTION("""COMPUTED_VALUE"""),"18-24 tahun")</f>
        <v>18-24 tahun</v>
      </c>
      <c r="K909" s="19">
        <f>IFERROR(__xludf.DUMMYFUNCTION("""COMPUTED_VALUE"""),37721.0)</f>
        <v>37721</v>
      </c>
      <c r="L909" s="19" t="str">
        <f>IFERROR(__xludf.DUMMYFUNCTION("""COMPUTED_VALUE"""),"LAKI-LAKI")</f>
        <v>LAKI-LAKI</v>
      </c>
      <c r="M909" s="16" t="str">
        <f>IFERROR(__xludf.DUMMYFUNCTION("""COMPUTED_VALUE"""),"JL Perdamaian komp alam damai indah 3 blok B no 9")</f>
        <v>JL Perdamaian komp alam damai indah 3 blok B no 9</v>
      </c>
      <c r="N909" s="16"/>
      <c r="O909" s="16"/>
      <c r="P909" s="16"/>
      <c r="Q909" s="16"/>
      <c r="R909" s="19" t="str">
        <f>IFERROR(__xludf.DUMMYFUNCTION("""COMPUTED_VALUE"""),"KATOLIK")</f>
        <v>KATOLIK</v>
      </c>
      <c r="S909" s="16" t="str">
        <f>IFERROR(__xludf.DUMMYFUNCTION("""COMPUTED_VALUE"""),"PELAJAR/MAHASISWA")</f>
        <v>PELAJAR/MAHASISWA</v>
      </c>
      <c r="T909" s="16" t="str">
        <f>IFERROR(__xludf.DUMMYFUNCTION("""COMPUTED_VALUE"""),"kalau duduk terlalu lama, sakit di daerah tengah bawah tulang ekor. Saat duduk dan kaki diluruskan, ngilu di bagian tengah bwah tulang ekor .")</f>
        <v>kalau duduk terlalu lama, sakit di daerah tengah bawah tulang ekor. Saat duduk dan kaki diluruskan, ngilu di bagian tengah bwah tulang ekor .</v>
      </c>
      <c r="U909" s="16" t="str">
        <f>IFERROR(__xludf.DUMMYFUNCTION("""COMPUTED_VALUE"""),"fitness dn kuliah")</f>
        <v>fitness dn kuliah</v>
      </c>
      <c r="V909" s="11" t="str">
        <f>IFERROR(__xludf.DUMMYFUNCTION("""COMPUTED_VALUE"""),"083141714743")</f>
        <v>083141714743</v>
      </c>
      <c r="W909" s="15"/>
    </row>
    <row r="910" ht="22.5" customHeight="1">
      <c r="A910" s="8"/>
      <c r="B910" s="9">
        <f>IFERROR(__xludf.DUMMYFUNCTION("""COMPUTED_VALUE"""),45259.763910381946)</f>
        <v>45259.76391</v>
      </c>
      <c r="C910" s="9"/>
      <c r="D910" s="10">
        <f>IFERROR(__xludf.DUMMYFUNCTION("""COMPUTED_VALUE"""),45259.0)</f>
        <v>45259</v>
      </c>
      <c r="E910" s="10" t="str">
        <f>IFERROR(__xludf.DUMMYFUNCTION("""COMPUTED_VALUE"""),"11Nov")</f>
        <v>11Nov</v>
      </c>
      <c r="F910" s="10" t="str">
        <f>IFERROR(__xludf.DUMMYFUNCTION("""COMPUTED_VALUE"""),"2023")</f>
        <v>2023</v>
      </c>
      <c r="G910" s="16" t="str">
        <f>IFERROR(__xludf.DUMMYFUNCTION("""COMPUTED_VALUE"""),"YULIANA 6610")</f>
        <v>YULIANA 6610</v>
      </c>
      <c r="H910" s="17" t="str">
        <f>IFERROR(__xludf.DUMMYFUNCTION("""COMPUTED_VALUE"""),"Y6623118270")</f>
        <v>Y6623118270</v>
      </c>
      <c r="I910" s="17">
        <f>IFERROR(__xludf.DUMMYFUNCTION("""COMPUTED_VALUE"""),59.0)</f>
        <v>59</v>
      </c>
      <c r="J910" s="17" t="str">
        <f>IFERROR(__xludf.DUMMYFUNCTION("""COMPUTED_VALUE"""),"&gt; 44 tahun")</f>
        <v>&gt; 44 tahun</v>
      </c>
      <c r="K910" s="19">
        <f>IFERROR(__xludf.DUMMYFUNCTION("""COMPUTED_VALUE"""),24390.0)</f>
        <v>24390</v>
      </c>
      <c r="L910" s="19" t="str">
        <f>IFERROR(__xludf.DUMMYFUNCTION("""COMPUTED_VALUE"""),"PEREMPUAN")</f>
        <v>PEREMPUAN</v>
      </c>
      <c r="M910" s="16" t="str">
        <f>IFERROR(__xludf.DUMMYFUNCTION("""COMPUTED_VALUE"""),"JL. NIRBAYA GG. SUKA DAMAI")</f>
        <v>JL. NIRBAYA GG. SUKA DAMAI</v>
      </c>
      <c r="N910" s="16"/>
      <c r="O910" s="16"/>
      <c r="P910" s="16"/>
      <c r="Q910" s="16"/>
      <c r="R910" s="19" t="str">
        <f>IFERROR(__xludf.DUMMYFUNCTION("""COMPUTED_VALUE"""),"ISLAM")</f>
        <v>ISLAM</v>
      </c>
      <c r="S910" s="16" t="str">
        <f>IFERROR(__xludf.DUMMYFUNCTION("""COMPUTED_VALUE"""),"RUMAH TANGGA")</f>
        <v>RUMAH TANGGA</v>
      </c>
      <c r="T910" s="16" t="str">
        <f>IFERROR(__xludf.DUMMYFUNCTION("""COMPUTED_VALUE"""),"PINGGANG DAN PUNGGUNG")</f>
        <v>PINGGANG DAN PUNGGUNG</v>
      </c>
      <c r="U910" s="16" t="str">
        <f>IFERROR(__xludf.DUMMYFUNCTION("""COMPUTED_VALUE"""),"MELAKUKAN PEKERJAAN RUMAH")</f>
        <v>MELAKUKAN PEKERJAAN RUMAH</v>
      </c>
      <c r="V910" s="11" t="str">
        <f>IFERROR(__xludf.DUMMYFUNCTION("""COMPUTED_VALUE"""),"089675728270")</f>
        <v>089675728270</v>
      </c>
      <c r="W910" s="15"/>
    </row>
    <row r="911" ht="22.5" customHeight="1">
      <c r="A911" s="8"/>
      <c r="B911" s="9">
        <f>IFERROR(__xludf.DUMMYFUNCTION("""COMPUTED_VALUE"""),45255.807822303235)</f>
        <v>45255.80782</v>
      </c>
      <c r="C911" s="9"/>
      <c r="D911" s="10">
        <f>IFERROR(__xludf.DUMMYFUNCTION("""COMPUTED_VALUE"""),45260.0)</f>
        <v>45260</v>
      </c>
      <c r="E911" s="10" t="str">
        <f>IFERROR(__xludf.DUMMYFUNCTION("""COMPUTED_VALUE"""),"11Nov")</f>
        <v>11Nov</v>
      </c>
      <c r="F911" s="10" t="str">
        <f>IFERROR(__xludf.DUMMYFUNCTION("""COMPUTED_VALUE"""),"2023")</f>
        <v>2023</v>
      </c>
      <c r="G911" s="16" t="str">
        <f>IFERROR(__xludf.DUMMYFUNCTION("""COMPUTED_VALUE"""),"NURJANAH 7406")</f>
        <v>NURJANAH 7406</v>
      </c>
      <c r="H911" s="17" t="str">
        <f>IFERROR(__xludf.DUMMYFUNCTION("""COMPUTED_VALUE"""),"N7423119502")</f>
        <v>N7423119502</v>
      </c>
      <c r="I911" s="17">
        <f>IFERROR(__xludf.DUMMYFUNCTION("""COMPUTED_VALUE"""),52.0)</f>
        <v>52</v>
      </c>
      <c r="J911" s="17" t="str">
        <f>IFERROR(__xludf.DUMMYFUNCTION("""COMPUTED_VALUE"""),"&gt; 44 tahun")</f>
        <v>&gt; 44 tahun</v>
      </c>
      <c r="K911" s="19">
        <f>IFERROR(__xludf.DUMMYFUNCTION("""COMPUTED_VALUE"""),27182.0)</f>
        <v>27182</v>
      </c>
      <c r="L911" s="19" t="str">
        <f>IFERROR(__xludf.DUMMYFUNCTION("""COMPUTED_VALUE"""),"PEREMPUAN")</f>
        <v>PEREMPUAN</v>
      </c>
      <c r="M911" s="16" t="str">
        <f>IFERROR(__xludf.DUMMYFUNCTION("""COMPUTED_VALUE"""),"Jl. TANJUNG RAYA 2, GG. BUNGA TANJUNG")</f>
        <v>Jl. TANJUNG RAYA 2, GG. BUNGA TANJUNG</v>
      </c>
      <c r="N911" s="16"/>
      <c r="O911" s="16"/>
      <c r="P911" s="16"/>
      <c r="Q911" s="16"/>
      <c r="R911" s="19" t="str">
        <f>IFERROR(__xludf.DUMMYFUNCTION("""COMPUTED_VALUE"""),"ISLAM")</f>
        <v>ISLAM</v>
      </c>
      <c r="S911" s="16" t="str">
        <f>IFERROR(__xludf.DUMMYFUNCTION("""COMPUTED_VALUE"""),"RUMAH TANGGA")</f>
        <v>RUMAH TANGGA</v>
      </c>
      <c r="T911" s="16" t="str">
        <f>IFERROR(__xludf.DUMMYFUNCTION("""COMPUTED_VALUE"""),"KAKI NGILU")</f>
        <v>KAKI NGILU</v>
      </c>
      <c r="U911" s="16" t="str">
        <f>IFERROR(__xludf.DUMMYFUNCTION("""COMPUTED_VALUE"""),"PEDANGANG")</f>
        <v>PEDANGANG</v>
      </c>
      <c r="V911" s="11" t="str">
        <f>IFERROR(__xludf.DUMMYFUNCTION("""COMPUTED_VALUE"""),"085828719502")</f>
        <v>085828719502</v>
      </c>
      <c r="W911" s="15"/>
    </row>
    <row r="912" ht="22.5" customHeight="1">
      <c r="A912" s="8"/>
      <c r="B912" s="9">
        <f>IFERROR(__xludf.DUMMYFUNCTION("""COMPUTED_VALUE"""),45260.718531875)</f>
        <v>45260.71853</v>
      </c>
      <c r="C912" s="9"/>
      <c r="D912" s="10">
        <f>IFERROR(__xludf.DUMMYFUNCTION("""COMPUTED_VALUE"""),45260.0)</f>
        <v>45260</v>
      </c>
      <c r="E912" s="10" t="str">
        <f>IFERROR(__xludf.DUMMYFUNCTION("""COMPUTED_VALUE"""),"11Nov")</f>
        <v>11Nov</v>
      </c>
      <c r="F912" s="10" t="str">
        <f>IFERROR(__xludf.DUMMYFUNCTION("""COMPUTED_VALUE"""),"2023")</f>
        <v>2023</v>
      </c>
      <c r="G912" s="16" t="str">
        <f>IFERROR(__xludf.DUMMYFUNCTION("""COMPUTED_VALUE"""),"YULIA")</f>
        <v>YULIA</v>
      </c>
      <c r="H912" s="17" t="str">
        <f>IFERROR(__xludf.DUMMYFUNCTION("""COMPUTED_VALUE"""),"Y9323114312")</f>
        <v>Y9323114312</v>
      </c>
      <c r="I912" s="17">
        <f>IFERROR(__xludf.DUMMYFUNCTION("""COMPUTED_VALUE"""),32.0)</f>
        <v>32</v>
      </c>
      <c r="J912" s="17" t="str">
        <f>IFERROR(__xludf.DUMMYFUNCTION("""COMPUTED_VALUE"""),"25-34 tahun")</f>
        <v>25-34 tahun</v>
      </c>
      <c r="K912" s="19">
        <f>IFERROR(__xludf.DUMMYFUNCTION("""COMPUTED_VALUE"""),34176.0)</f>
        <v>34176</v>
      </c>
      <c r="L912" s="19" t="str">
        <f>IFERROR(__xludf.DUMMYFUNCTION("""COMPUTED_VALUE"""),"PEREMPUAN")</f>
        <v>PEREMPUAN</v>
      </c>
      <c r="M912" s="16" t="str">
        <f>IFERROR(__xludf.DUMMYFUNCTION("""COMPUTED_VALUE"""),"jl..ujung pandang gg.cipaganti no.1")</f>
        <v>jl..ujung pandang gg.cipaganti no.1</v>
      </c>
      <c r="N912" s="16"/>
      <c r="O912" s="16"/>
      <c r="P912" s="16"/>
      <c r="Q912" s="16"/>
      <c r="R912" s="19" t="str">
        <f>IFERROR(__xludf.DUMMYFUNCTION("""COMPUTED_VALUE"""),"ISLAM")</f>
        <v>ISLAM</v>
      </c>
      <c r="S912" s="16" t="str">
        <f>IFERROR(__xludf.DUMMYFUNCTION("""COMPUTED_VALUE"""),"BIDAN")</f>
        <v>BIDAN</v>
      </c>
      <c r="T912" s="16" t="str">
        <f>IFERROR(__xludf.DUMMYFUNCTION("""COMPUTED_VALUE"""),"sakit dan nyeri bagian pergelangan tangan (seperti ada urat yang ketarik)")</f>
        <v>sakit dan nyeri bagian pergelangan tangan (seperti ada urat yang ketarik)</v>
      </c>
      <c r="U912" s="16" t="str">
        <f>IFERROR(__xludf.DUMMYFUNCTION("""COMPUTED_VALUE"""),"mengasuh anak")</f>
        <v>mengasuh anak</v>
      </c>
      <c r="V912" s="11" t="str">
        <f>IFERROR(__xludf.DUMMYFUNCTION("""COMPUTED_VALUE"""),"089604004312")</f>
        <v>089604004312</v>
      </c>
      <c r="W912" s="15"/>
    </row>
    <row r="913" ht="22.5" customHeight="1">
      <c r="A913" s="8"/>
      <c r="B913" s="9">
        <f>IFERROR(__xludf.DUMMYFUNCTION("""COMPUTED_VALUE"""),45258.40843398148)</f>
        <v>45258.40843</v>
      </c>
      <c r="C913" s="9"/>
      <c r="D913" s="10">
        <f>IFERROR(__xludf.DUMMYFUNCTION("""COMPUTED_VALUE"""),45260.0)</f>
        <v>45260</v>
      </c>
      <c r="E913" s="10" t="str">
        <f>IFERROR(__xludf.DUMMYFUNCTION("""COMPUTED_VALUE"""),"11Nov")</f>
        <v>11Nov</v>
      </c>
      <c r="F913" s="10" t="str">
        <f>IFERROR(__xludf.DUMMYFUNCTION("""COMPUTED_VALUE"""),"2023")</f>
        <v>2023</v>
      </c>
      <c r="G913" s="16" t="str">
        <f>IFERROR(__xludf.DUMMYFUNCTION("""COMPUTED_VALUE"""),"SITA PERMATASARI")</f>
        <v>SITA PERMATASARI</v>
      </c>
      <c r="H913" s="17" t="str">
        <f>IFERROR(__xludf.DUMMYFUNCTION("""COMPUTED_VALUE"""),"S9523111203")</f>
        <v>S9523111203</v>
      </c>
      <c r="I913" s="17">
        <f>IFERROR(__xludf.DUMMYFUNCTION("""COMPUTED_VALUE"""),30.0)</f>
        <v>30</v>
      </c>
      <c r="J913" s="17" t="str">
        <f>IFERROR(__xludf.DUMMYFUNCTION("""COMPUTED_VALUE"""),"25-34 tahun")</f>
        <v>25-34 tahun</v>
      </c>
      <c r="K913" s="19">
        <f>IFERROR(__xludf.DUMMYFUNCTION("""COMPUTED_VALUE"""),34913.0)</f>
        <v>34913</v>
      </c>
      <c r="L913" s="19" t="str">
        <f>IFERROR(__xludf.DUMMYFUNCTION("""COMPUTED_VALUE"""),"PEREMPUAN")</f>
        <v>PEREMPUAN</v>
      </c>
      <c r="M913" s="16" t="str">
        <f>IFERROR(__xludf.DUMMYFUNCTION("""COMPUTED_VALUE"""),"BTN Minasa Upa Blok N3. No.19")</f>
        <v>BTN Minasa Upa Blok N3. No.19</v>
      </c>
      <c r="N913" s="16"/>
      <c r="O913" s="16"/>
      <c r="P913" s="16"/>
      <c r="Q913" s="16"/>
      <c r="R913" s="19" t="str">
        <f>IFERROR(__xludf.DUMMYFUNCTION("""COMPUTED_VALUE"""),"ISLAM")</f>
        <v>ISLAM</v>
      </c>
      <c r="S913" s="16" t="str">
        <f>IFERROR(__xludf.DUMMYFUNCTION("""COMPUTED_VALUE"""),"SWASTA")</f>
        <v>SWASTA</v>
      </c>
      <c r="T913" s="16" t="str">
        <f>IFERROR(__xludf.DUMMYFUNCTION("""COMPUTED_VALUE"""),"Nyeri pinggul belakang")</f>
        <v>Nyeri pinggul belakang</v>
      </c>
      <c r="U913" s="16" t="str">
        <f>IFERROR(__xludf.DUMMYFUNCTION("""COMPUTED_VALUE"""),"Aktivitas umum (tidak berolahraga)")</f>
        <v>Aktivitas umum (tidak berolahraga)</v>
      </c>
      <c r="V913" s="11" t="str">
        <f>IFERROR(__xludf.DUMMYFUNCTION("""COMPUTED_VALUE"""),"087824201203")</f>
        <v>087824201203</v>
      </c>
      <c r="W913" s="15"/>
    </row>
    <row r="914" ht="22.5" customHeight="1">
      <c r="A914" s="8"/>
      <c r="B914" s="9">
        <f>IFERROR(__xludf.DUMMYFUNCTION("""COMPUTED_VALUE"""),45262.651599351855)</f>
        <v>45262.6516</v>
      </c>
      <c r="C914" s="9"/>
      <c r="D914" s="10">
        <f>IFERROR(__xludf.DUMMYFUNCTION("""COMPUTED_VALUE"""),45262.0)</f>
        <v>45262</v>
      </c>
      <c r="E914" s="10" t="str">
        <f>IFERROR(__xludf.DUMMYFUNCTION("""COMPUTED_VALUE"""),"12Des")</f>
        <v>12Des</v>
      </c>
      <c r="F914" s="10" t="str">
        <f>IFERROR(__xludf.DUMMYFUNCTION("""COMPUTED_VALUE"""),"2023")</f>
        <v>2023</v>
      </c>
      <c r="G914" s="16" t="str">
        <f>IFERROR(__xludf.DUMMYFUNCTION("""COMPUTED_VALUE"""),"MUHAMMAD RAMADHANI")</f>
        <v>MUHAMMAD RAMADHANI</v>
      </c>
      <c r="H914" s="17" t="str">
        <f>IFERROR(__xludf.DUMMYFUNCTION("""COMPUTED_VALUE"""),"M0423127272")</f>
        <v>M0423127272</v>
      </c>
      <c r="I914" s="17">
        <f>IFERROR(__xludf.DUMMYFUNCTION("""COMPUTED_VALUE"""),21.0)</f>
        <v>21</v>
      </c>
      <c r="J914" s="17" t="str">
        <f>IFERROR(__xludf.DUMMYFUNCTION("""COMPUTED_VALUE"""),"18-24 tahun")</f>
        <v>18-24 tahun</v>
      </c>
      <c r="K914" s="19">
        <f>IFERROR(__xludf.DUMMYFUNCTION("""COMPUTED_VALUE"""),38283.0)</f>
        <v>38283</v>
      </c>
      <c r="L914" s="19" t="str">
        <f>IFERROR(__xludf.DUMMYFUNCTION("""COMPUTED_VALUE"""),"LAKI-LAKI")</f>
        <v>LAKI-LAKI</v>
      </c>
      <c r="M914" s="16" t="str">
        <f>IFERROR(__xludf.DUMMYFUNCTION("""COMPUTED_VALUE"""),"Jl. A Yani")</f>
        <v>Jl. A Yani</v>
      </c>
      <c r="N914" s="16"/>
      <c r="O914" s="16"/>
      <c r="P914" s="16"/>
      <c r="Q914" s="16"/>
      <c r="R914" s="19" t="str">
        <f>IFERROR(__xludf.DUMMYFUNCTION("""COMPUTED_VALUE"""),"ISLAM")</f>
        <v>ISLAM</v>
      </c>
      <c r="S914" s="16" t="str">
        <f>IFERROR(__xludf.DUMMYFUNCTION("""COMPUTED_VALUE"""),"PELAJAR/MAHASISWA")</f>
        <v>PELAJAR/MAHASISWA</v>
      </c>
      <c r="T914" s="16" t="str">
        <f>IFERROR(__xludf.DUMMYFUNCTION("""COMPUTED_VALUE"""),"cedera kanan")</f>
        <v>cedera kanan</v>
      </c>
      <c r="U914" s="16" t="str">
        <f>IFERROR(__xludf.DUMMYFUNCTION("""COMPUTED_VALUE"""),"Futsal")</f>
        <v>Futsal</v>
      </c>
      <c r="V914" s="11" t="str">
        <f>IFERROR(__xludf.DUMMYFUNCTION("""COMPUTED_VALUE"""),"0895711627272")</f>
        <v>0895711627272</v>
      </c>
      <c r="W914" s="15"/>
    </row>
    <row r="915" ht="22.5" customHeight="1">
      <c r="A915" s="8"/>
      <c r="B915" s="9">
        <f>IFERROR(__xludf.DUMMYFUNCTION("""COMPUTED_VALUE"""),45262.669785624996)</f>
        <v>45262.66979</v>
      </c>
      <c r="C915" s="9"/>
      <c r="D915" s="10">
        <f>IFERROR(__xludf.DUMMYFUNCTION("""COMPUTED_VALUE"""),45262.0)</f>
        <v>45262</v>
      </c>
      <c r="E915" s="10" t="str">
        <f>IFERROR(__xludf.DUMMYFUNCTION("""COMPUTED_VALUE"""),"12Des")</f>
        <v>12Des</v>
      </c>
      <c r="F915" s="10" t="str">
        <f>IFERROR(__xludf.DUMMYFUNCTION("""COMPUTED_VALUE"""),"2023")</f>
        <v>2023</v>
      </c>
      <c r="G915" s="16" t="str">
        <f>IFERROR(__xludf.DUMMYFUNCTION("""COMPUTED_VALUE"""),"GIAN RAVEL")</f>
        <v>GIAN RAVEL</v>
      </c>
      <c r="H915" s="17" t="str">
        <f>IFERROR(__xludf.DUMMYFUNCTION("""COMPUTED_VALUE"""),"G0423123967")</f>
        <v>G0423123967</v>
      </c>
      <c r="I915" s="17">
        <f>IFERROR(__xludf.DUMMYFUNCTION("""COMPUTED_VALUE"""),21.0)</f>
        <v>21</v>
      </c>
      <c r="J915" s="17" t="str">
        <f>IFERROR(__xludf.DUMMYFUNCTION("""COMPUTED_VALUE"""),"18-24 tahun")</f>
        <v>18-24 tahun</v>
      </c>
      <c r="K915" s="19">
        <f>IFERROR(__xludf.DUMMYFUNCTION("""COMPUTED_VALUE"""),38201.0)</f>
        <v>38201</v>
      </c>
      <c r="L915" s="19" t="str">
        <f>IFERROR(__xludf.DUMMYFUNCTION("""COMPUTED_VALUE"""),"LAKI-LAKI")</f>
        <v>LAKI-LAKI</v>
      </c>
      <c r="M915" s="16" t="str">
        <f>IFERROR(__xludf.DUMMYFUNCTION("""COMPUTED_VALUE"""),"Natuna")</f>
        <v>Natuna</v>
      </c>
      <c r="N915" s="16"/>
      <c r="O915" s="16"/>
      <c r="P915" s="16"/>
      <c r="Q915" s="16"/>
      <c r="R915" s="19" t="str">
        <f>IFERROR(__xludf.DUMMYFUNCTION("""COMPUTED_VALUE"""),"ISLAM")</f>
        <v>ISLAM</v>
      </c>
      <c r="S915" s="16" t="str">
        <f>IFERROR(__xludf.DUMMYFUNCTION("""COMPUTED_VALUE"""),"PELAJAR/MAHASISWA")</f>
        <v>PELAJAR/MAHASISWA</v>
      </c>
      <c r="T915" s="16" t="str">
        <f>IFERROR(__xludf.DUMMYFUNCTION("""COMPUTED_VALUE"""),"Sakit bagian")</f>
        <v>Sakit bagian</v>
      </c>
      <c r="U915" s="16" t="str">
        <f>IFERROR(__xludf.DUMMYFUNCTION("""COMPUTED_VALUE"""),"Sepak bola")</f>
        <v>Sepak bola</v>
      </c>
      <c r="V915" s="11" t="str">
        <f>IFERROR(__xludf.DUMMYFUNCTION("""COMPUTED_VALUE"""),"082256423967")</f>
        <v>082256423967</v>
      </c>
      <c r="W915" s="15"/>
    </row>
    <row r="916" ht="22.5" customHeight="1">
      <c r="A916" s="8"/>
      <c r="B916" s="9">
        <f>IFERROR(__xludf.DUMMYFUNCTION("""COMPUTED_VALUE"""),45264.45002626158)</f>
        <v>45264.45003</v>
      </c>
      <c r="C916" s="9"/>
      <c r="D916" s="10">
        <f>IFERROR(__xludf.DUMMYFUNCTION("""COMPUTED_VALUE"""),45262.0)</f>
        <v>45262</v>
      </c>
      <c r="E916" s="10" t="str">
        <f>IFERROR(__xludf.DUMMYFUNCTION("""COMPUTED_VALUE"""),"12Des")</f>
        <v>12Des</v>
      </c>
      <c r="F916" s="10" t="str">
        <f>IFERROR(__xludf.DUMMYFUNCTION("""COMPUTED_VALUE"""),"2023")</f>
        <v>2023</v>
      </c>
      <c r="G916" s="16" t="str">
        <f>IFERROR(__xludf.DUMMYFUNCTION("""COMPUTED_VALUE"""),"MARDINNA MARISTA")</f>
        <v>MARDINNA MARISTA</v>
      </c>
      <c r="H916" s="17" t="str">
        <f>IFERROR(__xludf.DUMMYFUNCTION("""COMPUTED_VALUE"""),"M8623120882")</f>
        <v>M8623120882</v>
      </c>
      <c r="I916" s="17">
        <f>IFERROR(__xludf.DUMMYFUNCTION("""COMPUTED_VALUE"""),40.0)</f>
        <v>40</v>
      </c>
      <c r="J916" s="17" t="str">
        <f>IFERROR(__xludf.DUMMYFUNCTION("""COMPUTED_VALUE"""),"35-44 tahun")</f>
        <v>35-44 tahun</v>
      </c>
      <c r="K916" s="19">
        <f>IFERROR(__xludf.DUMMYFUNCTION("""COMPUTED_VALUE"""),31485.0)</f>
        <v>31485</v>
      </c>
      <c r="L916" s="19" t="str">
        <f>IFERROR(__xludf.DUMMYFUNCTION("""COMPUTED_VALUE"""),"PEREMPUAN")</f>
        <v>PEREMPUAN</v>
      </c>
      <c r="M916" s="16" t="str">
        <f>IFERROR(__xludf.DUMMYFUNCTION("""COMPUTED_VALUE"""),"JALAN JENDERAL SUDIRMAN KABUPATEN SANGGAU")</f>
        <v>JALAN JENDERAL SUDIRMAN KABUPATEN SANGGAU</v>
      </c>
      <c r="N916" s="16"/>
      <c r="O916" s="16"/>
      <c r="P916" s="16"/>
      <c r="Q916" s="16"/>
      <c r="R916" s="19" t="str">
        <f>IFERROR(__xludf.DUMMYFUNCTION("""COMPUTED_VALUE"""),"ISLAM")</f>
        <v>ISLAM</v>
      </c>
      <c r="S916" s="16" t="str">
        <f>IFERROR(__xludf.DUMMYFUNCTION("""COMPUTED_VALUE"""),"ASN")</f>
        <v>ASN</v>
      </c>
      <c r="T916" s="16" t="str">
        <f>IFERROR(__xludf.DUMMYFUNCTION("""COMPUTED_VALUE"""),"PLANTAR FASCHITIS")</f>
        <v>PLANTAR FASCHITIS</v>
      </c>
      <c r="U916" s="16" t="str">
        <f>IFERROR(__xludf.DUMMYFUNCTION("""COMPUTED_VALUE"""),"OLAHRAGA")</f>
        <v>OLAHRAGA</v>
      </c>
      <c r="V916" s="11" t="str">
        <f>IFERROR(__xludf.DUMMYFUNCTION("""COMPUTED_VALUE"""),"085245310882")</f>
        <v>085245310882</v>
      </c>
      <c r="W916" s="15"/>
    </row>
    <row r="917" ht="22.5" customHeight="1">
      <c r="A917" s="8"/>
      <c r="B917" s="9">
        <f>IFERROR(__xludf.DUMMYFUNCTION("""COMPUTED_VALUE"""),45264.4930484838)</f>
        <v>45264.49305</v>
      </c>
      <c r="C917" s="9"/>
      <c r="D917" s="10">
        <f>IFERROR(__xludf.DUMMYFUNCTION("""COMPUTED_VALUE"""),45264.0)</f>
        <v>45264</v>
      </c>
      <c r="E917" s="10" t="str">
        <f>IFERROR(__xludf.DUMMYFUNCTION("""COMPUTED_VALUE"""),"12Des")</f>
        <v>12Des</v>
      </c>
      <c r="F917" s="10" t="str">
        <f>IFERROR(__xludf.DUMMYFUNCTION("""COMPUTED_VALUE"""),"2023")</f>
        <v>2023</v>
      </c>
      <c r="G917" s="16" t="str">
        <f>IFERROR(__xludf.DUMMYFUNCTION("""COMPUTED_VALUE"""),"HASBI MALIK IANNUZZY")</f>
        <v>HASBI MALIK IANNUZZY</v>
      </c>
      <c r="H917" s="17" t="str">
        <f>IFERROR(__xludf.DUMMYFUNCTION("""COMPUTED_VALUE"""),"H0023129046")</f>
        <v>H0023129046</v>
      </c>
      <c r="I917" s="17">
        <f>IFERROR(__xludf.DUMMYFUNCTION("""COMPUTED_VALUE"""),26.0)</f>
        <v>26</v>
      </c>
      <c r="J917" s="17" t="str">
        <f>IFERROR(__xludf.DUMMYFUNCTION("""COMPUTED_VALUE"""),"25-34 tahun")</f>
        <v>25-34 tahun</v>
      </c>
      <c r="K917" s="19">
        <f>IFERROR(__xludf.DUMMYFUNCTION("""COMPUTED_VALUE"""),36607.0)</f>
        <v>36607</v>
      </c>
      <c r="L917" s="19" t="str">
        <f>IFERROR(__xludf.DUMMYFUNCTION("""COMPUTED_VALUE"""),"LAKI-LAKI")</f>
        <v>LAKI-LAKI</v>
      </c>
      <c r="M917" s="16" t="str">
        <f>IFERROR(__xludf.DUMMYFUNCTION("""COMPUTED_VALUE"""),"Jl. Kesehatan Gg. Amanah")</f>
        <v>Jl. Kesehatan Gg. Amanah</v>
      </c>
      <c r="N917" s="16"/>
      <c r="O917" s="16"/>
      <c r="P917" s="16"/>
      <c r="Q917" s="16"/>
      <c r="R917" s="19" t="str">
        <f>IFERROR(__xludf.DUMMYFUNCTION("""COMPUTED_VALUE"""),"ISLAM")</f>
        <v>ISLAM</v>
      </c>
      <c r="S917" s="16" t="str">
        <f>IFERROR(__xludf.DUMMYFUNCTION("""COMPUTED_VALUE"""),"PELAJAR/MAHASISWA")</f>
        <v>PELAJAR/MAHASISWA</v>
      </c>
      <c r="T917" s="16" t="str">
        <f>IFERROR(__xludf.DUMMYFUNCTION("""COMPUTED_VALUE"""),"Cedera Angkle")</f>
        <v>Cedera Angkle</v>
      </c>
      <c r="U917" s="16" t="str">
        <f>IFERROR(__xludf.DUMMYFUNCTION("""COMPUTED_VALUE"""),"Futsal")</f>
        <v>Futsal</v>
      </c>
      <c r="V917" s="11" t="str">
        <f>IFERROR(__xludf.DUMMYFUNCTION("""COMPUTED_VALUE"""),"081770459046")</f>
        <v>081770459046</v>
      </c>
      <c r="W917" s="15"/>
    </row>
    <row r="918" ht="22.5" customHeight="1">
      <c r="A918" s="8"/>
      <c r="B918" s="9">
        <f>IFERROR(__xludf.DUMMYFUNCTION("""COMPUTED_VALUE"""),45264.51214746528)</f>
        <v>45264.51215</v>
      </c>
      <c r="C918" s="9"/>
      <c r="D918" s="10">
        <f>IFERROR(__xludf.DUMMYFUNCTION("""COMPUTED_VALUE"""),45264.0)</f>
        <v>45264</v>
      </c>
      <c r="E918" s="10" t="str">
        <f>IFERROR(__xludf.DUMMYFUNCTION("""COMPUTED_VALUE"""),"12Des")</f>
        <v>12Des</v>
      </c>
      <c r="F918" s="10" t="str">
        <f>IFERROR(__xludf.DUMMYFUNCTION("""COMPUTED_VALUE"""),"2023")</f>
        <v>2023</v>
      </c>
      <c r="G918" s="16" t="str">
        <f>IFERROR(__xludf.DUMMYFUNCTION("""COMPUTED_VALUE"""),"PERIWANTO")</f>
        <v>PERIWANTO</v>
      </c>
      <c r="H918" s="17" t="str">
        <f>IFERROR(__xludf.DUMMYFUNCTION("""COMPUTED_VALUE"""),"P8023121123")</f>
        <v>P8023121123</v>
      </c>
      <c r="I918" s="17">
        <f>IFERROR(__xludf.DUMMYFUNCTION("""COMPUTED_VALUE"""),45.0)</f>
        <v>45</v>
      </c>
      <c r="J918" s="17" t="str">
        <f>IFERROR(__xludf.DUMMYFUNCTION("""COMPUTED_VALUE"""),"&gt; 44 tahun")</f>
        <v>&gt; 44 tahun</v>
      </c>
      <c r="K918" s="19">
        <f>IFERROR(__xludf.DUMMYFUNCTION("""COMPUTED_VALUE"""),29512.0)</f>
        <v>29512</v>
      </c>
      <c r="L918" s="19" t="str">
        <f>IFERROR(__xludf.DUMMYFUNCTION("""COMPUTED_VALUE"""),"LAKI-LAKI")</f>
        <v>LAKI-LAKI</v>
      </c>
      <c r="M918" s="16" t="str">
        <f>IFERROR(__xludf.DUMMYFUNCTION("""COMPUTED_VALUE"""),"Jalan suprapto 2 no 49")</f>
        <v>Jalan suprapto 2 no 49</v>
      </c>
      <c r="N918" s="16"/>
      <c r="O918" s="16"/>
      <c r="P918" s="16"/>
      <c r="Q918" s="16"/>
      <c r="R918" s="19" t="str">
        <f>IFERROR(__xludf.DUMMYFUNCTION("""COMPUTED_VALUE"""),"BUDDHA")</f>
        <v>BUDDHA</v>
      </c>
      <c r="S918" s="16" t="str">
        <f>IFERROR(__xludf.DUMMYFUNCTION("""COMPUTED_VALUE"""),"WIRASWASTA")</f>
        <v>WIRASWASTA</v>
      </c>
      <c r="T918" s="16" t="str">
        <f>IFERROR(__xludf.DUMMYFUNCTION("""COMPUTED_VALUE"""),"Sakit pinggang")</f>
        <v>Sakit pinggang</v>
      </c>
      <c r="U918" s="16" t="str">
        <f>IFERROR(__xludf.DUMMYFUNCTION("""COMPUTED_VALUE"""),"Gym")</f>
        <v>Gym</v>
      </c>
      <c r="V918" s="11" t="str">
        <f>IFERROR(__xludf.DUMMYFUNCTION("""COMPUTED_VALUE"""),"081256321123")</f>
        <v>081256321123</v>
      </c>
      <c r="W918" s="15"/>
    </row>
    <row r="919" ht="22.5" customHeight="1">
      <c r="A919" s="8"/>
      <c r="B919" s="9">
        <f>IFERROR(__xludf.DUMMYFUNCTION("""COMPUTED_VALUE"""),45264.588274699076)</f>
        <v>45264.58827</v>
      </c>
      <c r="C919" s="9"/>
      <c r="D919" s="10">
        <f>IFERROR(__xludf.DUMMYFUNCTION("""COMPUTED_VALUE"""),45264.0)</f>
        <v>45264</v>
      </c>
      <c r="E919" s="10" t="str">
        <f>IFERROR(__xludf.DUMMYFUNCTION("""COMPUTED_VALUE"""),"12Des")</f>
        <v>12Des</v>
      </c>
      <c r="F919" s="10" t="str">
        <f>IFERROR(__xludf.DUMMYFUNCTION("""COMPUTED_VALUE"""),"2023")</f>
        <v>2023</v>
      </c>
      <c r="G919" s="16" t="str">
        <f>IFERROR(__xludf.DUMMYFUNCTION("""COMPUTED_VALUE"""),"ARIEF HAQQUL BASIR")</f>
        <v>ARIEF HAQQUL BASIR</v>
      </c>
      <c r="H919" s="17" t="str">
        <f>IFERROR(__xludf.DUMMYFUNCTION("""COMPUTED_VALUE"""),"A9623123679")</f>
        <v>A9623123679</v>
      </c>
      <c r="I919" s="17">
        <f>IFERROR(__xludf.DUMMYFUNCTION("""COMPUTED_VALUE"""),30.0)</f>
        <v>30</v>
      </c>
      <c r="J919" s="17" t="str">
        <f>IFERROR(__xludf.DUMMYFUNCTION("""COMPUTED_VALUE"""),"25-34 tahun")</f>
        <v>25-34 tahun</v>
      </c>
      <c r="K919" s="19">
        <f>IFERROR(__xludf.DUMMYFUNCTION("""COMPUTED_VALUE"""),35137.0)</f>
        <v>35137</v>
      </c>
      <c r="L919" s="19" t="str">
        <f>IFERROR(__xludf.DUMMYFUNCTION("""COMPUTED_VALUE"""),"LAKI-LAKI")</f>
        <v>LAKI-LAKI</v>
      </c>
      <c r="M919" s="16" t="str">
        <f>IFERROR(__xludf.DUMMYFUNCTION("""COMPUTED_VALUE"""),"Jl. Karna Sosial Nomer 34")</f>
        <v>Jl. Karna Sosial Nomer 34</v>
      </c>
      <c r="N919" s="16"/>
      <c r="O919" s="16"/>
      <c r="P919" s="16"/>
      <c r="Q919" s="16"/>
      <c r="R919" s="19" t="str">
        <f>IFERROR(__xludf.DUMMYFUNCTION("""COMPUTED_VALUE"""),"ISLAM")</f>
        <v>ISLAM</v>
      </c>
      <c r="S919" s="16" t="str">
        <f>IFERROR(__xludf.DUMMYFUNCTION("""COMPUTED_VALUE"""),"DOSEN/GURU")</f>
        <v>DOSEN/GURU</v>
      </c>
      <c r="T919" s="16" t="str">
        <f>IFERROR(__xludf.DUMMYFUNCTION("""COMPUTED_VALUE"""),"Bahu Kanan selalu sakit kalo main volly dan badminton saat melakukan smash kuat")</f>
        <v>Bahu Kanan selalu sakit kalo main volly dan badminton saat melakukan smash kuat</v>
      </c>
      <c r="U919" s="16" t="str">
        <f>IFERROR(__xludf.DUMMYFUNCTION("""COMPUTED_VALUE"""),"Main Volly")</f>
        <v>Main Volly</v>
      </c>
      <c r="V919" s="11" t="str">
        <f>IFERROR(__xludf.DUMMYFUNCTION("""COMPUTED_VALUE"""),"089515873679")</f>
        <v>089515873679</v>
      </c>
      <c r="W919" s="15"/>
    </row>
    <row r="920" ht="22.5" customHeight="1">
      <c r="A920" s="8"/>
      <c r="B920" s="9">
        <f>IFERROR(__xludf.DUMMYFUNCTION("""COMPUTED_VALUE"""),45264.63378724537)</f>
        <v>45264.63379</v>
      </c>
      <c r="C920" s="9"/>
      <c r="D920" s="34">
        <f>IFERROR(__xludf.DUMMYFUNCTION("""COMPUTED_VALUE"""),45265.0)</f>
        <v>45265</v>
      </c>
      <c r="E920" s="34" t="str">
        <f>IFERROR(__xludf.DUMMYFUNCTION("""COMPUTED_VALUE"""),"12Des")</f>
        <v>12Des</v>
      </c>
      <c r="F920" s="34" t="str">
        <f>IFERROR(__xludf.DUMMYFUNCTION("""COMPUTED_VALUE"""),"2023")</f>
        <v>2023</v>
      </c>
      <c r="G920" s="35" t="str">
        <f>IFERROR(__xludf.DUMMYFUNCTION("""COMPUTED_VALUE"""),"WIDYA NINGSIEH")</f>
        <v>WIDYA NINGSIEH</v>
      </c>
      <c r="H920" s="17" t="str">
        <f>IFERROR(__xludf.DUMMYFUNCTION("""COMPUTED_VALUE"""),"W9723128404")</f>
        <v>W9723128404</v>
      </c>
      <c r="I920" s="17">
        <f>IFERROR(__xludf.DUMMYFUNCTION("""COMPUTED_VALUE"""),29.0)</f>
        <v>29</v>
      </c>
      <c r="J920" s="17" t="str">
        <f>IFERROR(__xludf.DUMMYFUNCTION("""COMPUTED_VALUE"""),"25-34 tahun")</f>
        <v>25-34 tahun</v>
      </c>
      <c r="K920" s="19">
        <f>IFERROR(__xludf.DUMMYFUNCTION("""COMPUTED_VALUE"""),35444.0)</f>
        <v>35444</v>
      </c>
      <c r="L920" s="19" t="str">
        <f>IFERROR(__xludf.DUMMYFUNCTION("""COMPUTED_VALUE"""),"PEREMPUAN")</f>
        <v>PEREMPUAN</v>
      </c>
      <c r="M920" s="36" t="str">
        <f>IFERROR(__xludf.DUMMYFUNCTION("""COMPUTED_VALUE"""),"Jalan imam bonjol gang tanjung djambu no 17")</f>
        <v>Jalan imam bonjol gang tanjung djambu no 17</v>
      </c>
      <c r="N920" s="16"/>
      <c r="O920" s="16"/>
      <c r="P920" s="16"/>
      <c r="Q920" s="16"/>
      <c r="R920" s="19" t="str">
        <f>IFERROR(__xludf.DUMMYFUNCTION("""COMPUTED_VALUE"""),"BUDDHA")</f>
        <v>BUDDHA</v>
      </c>
      <c r="S920" s="16" t="str">
        <f>IFERROR(__xludf.DUMMYFUNCTION("""COMPUTED_VALUE"""),"SWASTA")</f>
        <v>SWASTA</v>
      </c>
      <c r="T920" s="16" t="str">
        <f>IFERROR(__xludf.DUMMYFUNCTION("""COMPUTED_VALUE"""),"Keluhan tulang belakang, setiap duduk lebih condong ke arah kiri jadi merasa sedikit miring, setiap tidur juga punggung kadang gak nyaman")</f>
        <v>Keluhan tulang belakang, setiap duduk lebih condong ke arah kiri jadi merasa sedikit miring, setiap tidur juga punggung kadang gak nyaman</v>
      </c>
      <c r="U920" s="16" t="str">
        <f>IFERROR(__xludf.DUMMYFUNCTION("""COMPUTED_VALUE"""),"Baca Novel")</f>
        <v>Baca Novel</v>
      </c>
      <c r="V920" s="11" t="str">
        <f>IFERROR(__xludf.DUMMYFUNCTION("""COMPUTED_VALUE"""),"081371408404")</f>
        <v>081371408404</v>
      </c>
      <c r="W920" s="15"/>
    </row>
    <row r="921" ht="22.5" customHeight="1">
      <c r="A921" s="8"/>
      <c r="B921" s="9">
        <f>IFERROR(__xludf.DUMMYFUNCTION("""COMPUTED_VALUE"""),45264.80393349537)</f>
        <v>45264.80393</v>
      </c>
      <c r="C921" s="9"/>
      <c r="D921" s="10">
        <f>IFERROR(__xludf.DUMMYFUNCTION("""COMPUTED_VALUE"""),45265.0)</f>
        <v>45265</v>
      </c>
      <c r="E921" s="10" t="str">
        <f>IFERROR(__xludf.DUMMYFUNCTION("""COMPUTED_VALUE"""),"12Des")</f>
        <v>12Des</v>
      </c>
      <c r="F921" s="10" t="str">
        <f>IFERROR(__xludf.DUMMYFUNCTION("""COMPUTED_VALUE"""),"2023")</f>
        <v>2023</v>
      </c>
      <c r="G921" s="16" t="str">
        <f>IFERROR(__xludf.DUMMYFUNCTION("""COMPUTED_VALUE"""),"AGNES SISKA BAHARI")</f>
        <v>AGNES SISKA BAHARI</v>
      </c>
      <c r="H921" s="17" t="str">
        <f>IFERROR(__xludf.DUMMYFUNCTION("""COMPUTED_VALUE"""),"A9823121631")</f>
        <v>A9823121631</v>
      </c>
      <c r="I921" s="17">
        <f>IFERROR(__xludf.DUMMYFUNCTION("""COMPUTED_VALUE"""),27.0)</f>
        <v>27</v>
      </c>
      <c r="J921" s="17" t="str">
        <f>IFERROR(__xludf.DUMMYFUNCTION("""COMPUTED_VALUE"""),"25-34 tahun")</f>
        <v>25-34 tahun</v>
      </c>
      <c r="K921" s="19">
        <f>IFERROR(__xludf.DUMMYFUNCTION("""COMPUTED_VALUE"""),36037.0)</f>
        <v>36037</v>
      </c>
      <c r="L921" s="19" t="str">
        <f>IFERROR(__xludf.DUMMYFUNCTION("""COMPUTED_VALUE"""),"PEREMPUAN")</f>
        <v>PEREMPUAN</v>
      </c>
      <c r="M921" s="16" t="str">
        <f>IFERROR(__xludf.DUMMYFUNCTION("""COMPUTED_VALUE"""),"Jalan Purnama Agung 7 Blok F.7")</f>
        <v>Jalan Purnama Agung 7 Blok F.7</v>
      </c>
      <c r="N921" s="16"/>
      <c r="O921" s="16"/>
      <c r="P921" s="16"/>
      <c r="Q921" s="16"/>
      <c r="R921" s="19" t="str">
        <f>IFERROR(__xludf.DUMMYFUNCTION("""COMPUTED_VALUE"""),"ISLAM")</f>
        <v>ISLAM</v>
      </c>
      <c r="S921" s="16" t="str">
        <f>IFERROR(__xludf.DUMMYFUNCTION("""COMPUTED_VALUE"""),"SWASTA")</f>
        <v>SWASTA</v>
      </c>
      <c r="T921" s="16" t="str">
        <f>IFERROR(__xludf.DUMMYFUNCTION("""COMPUTED_VALUE"""),"badan pegal, tangan kebas")</f>
        <v>badan pegal, tangan kebas</v>
      </c>
      <c r="U921" s="16" t="str">
        <f>IFERROR(__xludf.DUMMYFUNCTION("""COMPUTED_VALUE"""),"bekerja kantoran, duduk berjam jam")</f>
        <v>bekerja kantoran, duduk berjam jam</v>
      </c>
      <c r="V921" s="11" t="str">
        <f>IFERROR(__xludf.DUMMYFUNCTION("""COMPUTED_VALUE"""),"085156461631")</f>
        <v>085156461631</v>
      </c>
      <c r="W921" s="15"/>
    </row>
    <row r="922" ht="22.5" customHeight="1">
      <c r="A922" s="8"/>
      <c r="B922" s="9">
        <f>IFERROR(__xludf.DUMMYFUNCTION("""COMPUTED_VALUE"""),45264.80654547454)</f>
        <v>45264.80655</v>
      </c>
      <c r="C922" s="9"/>
      <c r="D922" s="10">
        <f>IFERROR(__xludf.DUMMYFUNCTION("""COMPUTED_VALUE"""),45265.0)</f>
        <v>45265</v>
      </c>
      <c r="E922" s="10" t="str">
        <f>IFERROR(__xludf.DUMMYFUNCTION("""COMPUTED_VALUE"""),"12Des")</f>
        <v>12Des</v>
      </c>
      <c r="F922" s="10" t="str">
        <f>IFERROR(__xludf.DUMMYFUNCTION("""COMPUTED_VALUE"""),"2023")</f>
        <v>2023</v>
      </c>
      <c r="G922" s="16" t="str">
        <f>IFERROR(__xludf.DUMMYFUNCTION("""COMPUTED_VALUE"""),"FATHUTONI")</f>
        <v>FATHUTONI</v>
      </c>
      <c r="H922" s="17" t="str">
        <f>IFERROR(__xludf.DUMMYFUNCTION("""COMPUTED_VALUE"""),"F9623125415")</f>
        <v>F9623125415</v>
      </c>
      <c r="I922" s="17">
        <f>IFERROR(__xludf.DUMMYFUNCTION("""COMPUTED_VALUE"""),29.0)</f>
        <v>29</v>
      </c>
      <c r="J922" s="17" t="str">
        <f>IFERROR(__xludf.DUMMYFUNCTION("""COMPUTED_VALUE"""),"25-34 tahun")</f>
        <v>25-34 tahun</v>
      </c>
      <c r="K922" s="19">
        <f>IFERROR(__xludf.DUMMYFUNCTION("""COMPUTED_VALUE"""),35403.0)</f>
        <v>35403</v>
      </c>
      <c r="L922" s="19" t="str">
        <f>IFERROR(__xludf.DUMMYFUNCTION("""COMPUTED_VALUE"""),"LAKI-LAKI")</f>
        <v>LAKI-LAKI</v>
      </c>
      <c r="M922" s="16" t="str">
        <f>IFERROR(__xludf.DUMMYFUNCTION("""COMPUTED_VALUE"""),"DUSUN GURAP JAYA DESA SUKA MULIA KECAMATAN SINGKUP KABUPATEN KETAPANG KALIMANTAN BARAT")</f>
        <v>DUSUN GURAP JAYA DESA SUKA MULIA KECAMATAN SINGKUP KABUPATEN KETAPANG KALIMANTAN BARAT</v>
      </c>
      <c r="N922" s="16"/>
      <c r="O922" s="16"/>
      <c r="P922" s="16"/>
      <c r="Q922" s="16"/>
      <c r="R922" s="19" t="str">
        <f>IFERROR(__xludf.DUMMYFUNCTION("""COMPUTED_VALUE"""),"ISLAM")</f>
        <v>ISLAM</v>
      </c>
      <c r="S922" s="16" t="str">
        <f>IFERROR(__xludf.DUMMYFUNCTION("""COMPUTED_VALUE"""),"PETANI")</f>
        <v>PETANI</v>
      </c>
      <c r="T922" s="16" t="str">
        <f>IFERROR(__xludf.DUMMYFUNCTION("""COMPUTED_VALUE"""),"SAKIT BAHU KARNA SEBELUMNYA MENGALAMI DISLOKASI BAHU DIAGNOSA DOKTER TENDINOSIS SUPRASPINATUS DAN SUBSCAPULA")</f>
        <v>SAKIT BAHU KARNA SEBELUMNYA MENGALAMI DISLOKASI BAHU DIAGNOSA DOKTER TENDINOSIS SUPRASPINATUS DAN SUBSCAPULA</v>
      </c>
      <c r="U922" s="16" t="str">
        <f>IFERROR(__xludf.DUMMYFUNCTION("""COMPUTED_VALUE"""),"Bertani")</f>
        <v>Bertani</v>
      </c>
      <c r="V922" s="11" t="str">
        <f>IFERROR(__xludf.DUMMYFUNCTION("""COMPUTED_VALUE"""),"082160565415")</f>
        <v>082160565415</v>
      </c>
      <c r="W922" s="15"/>
    </row>
    <row r="923" ht="22.5" customHeight="1">
      <c r="A923" s="8"/>
      <c r="B923" s="9">
        <f>IFERROR(__xludf.DUMMYFUNCTION("""COMPUTED_VALUE"""),45265.46141089121)</f>
        <v>45265.46141</v>
      </c>
      <c r="C923" s="9"/>
      <c r="D923" s="10">
        <f>IFERROR(__xludf.DUMMYFUNCTION("""COMPUTED_VALUE"""),45265.0)</f>
        <v>45265</v>
      </c>
      <c r="E923" s="10" t="str">
        <f>IFERROR(__xludf.DUMMYFUNCTION("""COMPUTED_VALUE"""),"12Des")</f>
        <v>12Des</v>
      </c>
      <c r="F923" s="10" t="str">
        <f>IFERROR(__xludf.DUMMYFUNCTION("""COMPUTED_VALUE"""),"2023")</f>
        <v>2023</v>
      </c>
      <c r="G923" s="16" t="str">
        <f>IFERROR(__xludf.DUMMYFUNCTION("""COMPUTED_VALUE"""),"ANI MUANI")</f>
        <v>ANI MUANI</v>
      </c>
      <c r="H923" s="17" t="str">
        <f>IFERROR(__xludf.DUMMYFUNCTION("""COMPUTED_VALUE"""),"A5123128957")</f>
        <v>A5123128957</v>
      </c>
      <c r="I923" s="17">
        <f>IFERROR(__xludf.DUMMYFUNCTION("""COMPUTED_VALUE"""),74.0)</f>
        <v>74</v>
      </c>
      <c r="J923" s="17" t="str">
        <f>IFERROR(__xludf.DUMMYFUNCTION("""COMPUTED_VALUE"""),"&gt; 44 tahun")</f>
        <v>&gt; 44 tahun</v>
      </c>
      <c r="K923" s="19">
        <f>IFERROR(__xludf.DUMMYFUNCTION("""COMPUTED_VALUE"""),18987.0)</f>
        <v>18987</v>
      </c>
      <c r="L923" s="19" t="str">
        <f>IFERROR(__xludf.DUMMYFUNCTION("""COMPUTED_VALUE"""),"PEREMPUAN")</f>
        <v>PEREMPUAN</v>
      </c>
      <c r="M923" s="16" t="str">
        <f>IFERROR(__xludf.DUMMYFUNCTION("""COMPUTED_VALUE"""),"Jl. Merdeka gg. Belibis no 8 pontianak")</f>
        <v>Jl. Merdeka gg. Belibis no 8 pontianak</v>
      </c>
      <c r="N923" s="16"/>
      <c r="O923" s="16"/>
      <c r="P923" s="16"/>
      <c r="Q923" s="16"/>
      <c r="R923" s="19" t="str">
        <f>IFERROR(__xludf.DUMMYFUNCTION("""COMPUTED_VALUE"""),"ISLAM")</f>
        <v>ISLAM</v>
      </c>
      <c r="S923" s="16" t="str">
        <f>IFERROR(__xludf.DUMMYFUNCTION("""COMPUTED_VALUE"""),"PENSIUN")</f>
        <v>PENSIUN</v>
      </c>
      <c r="T923" s="16" t="str">
        <f>IFERROR(__xludf.DUMMYFUNCTION("""COMPUTED_VALUE"""),"Nyeri dibagian punggung dan pinggang")</f>
        <v>Nyeri dibagian punggung dan pinggang</v>
      </c>
      <c r="U923" s="16" t="str">
        <f>IFERROR(__xludf.DUMMYFUNCTION("""COMPUTED_VALUE"""),"Menulis dan membaca")</f>
        <v>Menulis dan membaca</v>
      </c>
      <c r="V923" s="11" t="str">
        <f>IFERROR(__xludf.DUMMYFUNCTION("""COMPUTED_VALUE"""),"08974718957")</f>
        <v>08974718957</v>
      </c>
      <c r="W923" s="15"/>
    </row>
    <row r="924" ht="22.5" customHeight="1">
      <c r="A924" s="8"/>
      <c r="B924" s="9">
        <f>IFERROR(__xludf.DUMMYFUNCTION("""COMPUTED_VALUE"""),45265.59197587963)</f>
        <v>45265.59198</v>
      </c>
      <c r="C924" s="9"/>
      <c r="D924" s="10">
        <f>IFERROR(__xludf.DUMMYFUNCTION("""COMPUTED_VALUE"""),45265.0)</f>
        <v>45265</v>
      </c>
      <c r="E924" s="10" t="str">
        <f>IFERROR(__xludf.DUMMYFUNCTION("""COMPUTED_VALUE"""),"12Des")</f>
        <v>12Des</v>
      </c>
      <c r="F924" s="10" t="str">
        <f>IFERROR(__xludf.DUMMYFUNCTION("""COMPUTED_VALUE"""),"2023")</f>
        <v>2023</v>
      </c>
      <c r="G924" s="16" t="str">
        <f>IFERROR(__xludf.DUMMYFUNCTION("""COMPUTED_VALUE"""),"MARIUS WEISANG")</f>
        <v>MARIUS WEISANG</v>
      </c>
      <c r="H924" s="17" t="str">
        <f>IFERROR(__xludf.DUMMYFUNCTION("""COMPUTED_VALUE"""),"M9923129597")</f>
        <v>M9923129597</v>
      </c>
      <c r="I924" s="17">
        <f>IFERROR(__xludf.DUMMYFUNCTION("""COMPUTED_VALUE"""),26.0)</f>
        <v>26</v>
      </c>
      <c r="J924" s="17" t="str">
        <f>IFERROR(__xludf.DUMMYFUNCTION("""COMPUTED_VALUE"""),"25-34 tahun")</f>
        <v>25-34 tahun</v>
      </c>
      <c r="K924" s="19">
        <f>IFERROR(__xludf.DUMMYFUNCTION("""COMPUTED_VALUE"""),36399.0)</f>
        <v>36399</v>
      </c>
      <c r="L924" s="19" t="str">
        <f>IFERROR(__xludf.DUMMYFUNCTION("""COMPUTED_VALUE"""),"LAKI-LAKI")</f>
        <v>LAKI-LAKI</v>
      </c>
      <c r="M924" s="16" t="str">
        <f>IFERROR(__xludf.DUMMYFUNCTION("""COMPUTED_VALUE"""),"Jl.mahakam no.51")</f>
        <v>Jl.mahakam no.51</v>
      </c>
      <c r="N924" s="16"/>
      <c r="O924" s="16"/>
      <c r="P924" s="16"/>
      <c r="Q924" s="16"/>
      <c r="R924" s="19" t="str">
        <f>IFERROR(__xludf.DUMMYFUNCTION("""COMPUTED_VALUE"""),"KATOLIK")</f>
        <v>KATOLIK</v>
      </c>
      <c r="S924" s="16" t="str">
        <f>IFERROR(__xludf.DUMMYFUNCTION("""COMPUTED_VALUE"""),"SWASTA")</f>
        <v>SWASTA</v>
      </c>
      <c r="T924" s="16" t="str">
        <f>IFERROR(__xludf.DUMMYFUNCTION("""COMPUTED_VALUE"""),"Sakit bagian kaki kiri")</f>
        <v>Sakit bagian kaki kiri</v>
      </c>
      <c r="U924" s="16" t="str">
        <f>IFERROR(__xludf.DUMMYFUNCTION("""COMPUTED_VALUE"""),"Badminton")</f>
        <v>Badminton</v>
      </c>
      <c r="V924" s="11" t="str">
        <f>IFERROR(__xludf.DUMMYFUNCTION("""COMPUTED_VALUE"""),"085753759597")</f>
        <v>085753759597</v>
      </c>
      <c r="W924" s="15"/>
    </row>
    <row r="925" ht="22.5" customHeight="1">
      <c r="A925" s="8"/>
      <c r="B925" s="9">
        <f>IFERROR(__xludf.DUMMYFUNCTION("""COMPUTED_VALUE"""),45265.631124120366)</f>
        <v>45265.63112</v>
      </c>
      <c r="C925" s="9"/>
      <c r="D925" s="10">
        <f>IFERROR(__xludf.DUMMYFUNCTION("""COMPUTED_VALUE"""),45266.0)</f>
        <v>45266</v>
      </c>
      <c r="E925" s="10" t="str">
        <f>IFERROR(__xludf.DUMMYFUNCTION("""COMPUTED_VALUE"""),"12Des")</f>
        <v>12Des</v>
      </c>
      <c r="F925" s="10" t="str">
        <f>IFERROR(__xludf.DUMMYFUNCTION("""COMPUTED_VALUE"""),"2023")</f>
        <v>2023</v>
      </c>
      <c r="G925" s="16" t="str">
        <f>IFERROR(__xludf.DUMMYFUNCTION("""COMPUTED_VALUE"""),"AQIL HAIRUL WAFA")</f>
        <v>AQIL HAIRUL WAFA</v>
      </c>
      <c r="H925" s="17" t="str">
        <f>IFERROR(__xludf.DUMMYFUNCTION("""COMPUTED_VALUE"""),"A9923121945")</f>
        <v>A9923121945</v>
      </c>
      <c r="I925" s="17">
        <f>IFERROR(__xludf.DUMMYFUNCTION("""COMPUTED_VALUE"""),26.0)</f>
        <v>26</v>
      </c>
      <c r="J925" s="17" t="str">
        <f>IFERROR(__xludf.DUMMYFUNCTION("""COMPUTED_VALUE"""),"25-34 tahun")</f>
        <v>25-34 tahun</v>
      </c>
      <c r="K925" s="19">
        <f>IFERROR(__xludf.DUMMYFUNCTION("""COMPUTED_VALUE"""),36333.0)</f>
        <v>36333</v>
      </c>
      <c r="L925" s="19" t="str">
        <f>IFERROR(__xludf.DUMMYFUNCTION("""COMPUTED_VALUE"""),"LAKI-LAKI")</f>
        <v>LAKI-LAKI</v>
      </c>
      <c r="M925" s="16" t="str">
        <f>IFERROR(__xludf.DUMMYFUNCTION("""COMPUTED_VALUE"""),"jalan putri dara hitam gg pelita no 07")</f>
        <v>jalan putri dara hitam gg pelita no 07</v>
      </c>
      <c r="N925" s="16"/>
      <c r="O925" s="16"/>
      <c r="P925" s="16"/>
      <c r="Q925" s="16"/>
      <c r="R925" s="19" t="str">
        <f>IFERROR(__xludf.DUMMYFUNCTION("""COMPUTED_VALUE"""),"ISLAM")</f>
        <v>ISLAM</v>
      </c>
      <c r="S925" s="16" t="str">
        <f>IFERROR(__xludf.DUMMYFUNCTION("""COMPUTED_VALUE"""),"SWASTA")</f>
        <v>SWASTA</v>
      </c>
      <c r="T925" s="16" t="str">
        <f>IFERROR(__xludf.DUMMYFUNCTION("""COMPUTED_VALUE"""),"Dislok di bahu kanan")</f>
        <v>Dislok di bahu kanan</v>
      </c>
      <c r="U925" s="16" t="str">
        <f>IFERROR(__xludf.DUMMYFUNCTION("""COMPUTED_VALUE"""),"olahraga")</f>
        <v>olahraga</v>
      </c>
      <c r="V925" s="11" t="str">
        <f>IFERROR(__xludf.DUMMYFUNCTION("""COMPUTED_VALUE"""),"0895364531945")</f>
        <v>0895364531945</v>
      </c>
      <c r="W925" s="15"/>
    </row>
    <row r="926" ht="22.5" customHeight="1">
      <c r="A926" s="8"/>
      <c r="B926" s="9">
        <f>IFERROR(__xludf.DUMMYFUNCTION("""COMPUTED_VALUE"""),45266.44710708334)</f>
        <v>45266.44711</v>
      </c>
      <c r="C926" s="9"/>
      <c r="D926" s="10">
        <f>IFERROR(__xludf.DUMMYFUNCTION("""COMPUTED_VALUE"""),45266.0)</f>
        <v>45266</v>
      </c>
      <c r="E926" s="10" t="str">
        <f>IFERROR(__xludf.DUMMYFUNCTION("""COMPUTED_VALUE"""),"12Des")</f>
        <v>12Des</v>
      </c>
      <c r="F926" s="10" t="str">
        <f>IFERROR(__xludf.DUMMYFUNCTION("""COMPUTED_VALUE"""),"2023")</f>
        <v>2023</v>
      </c>
      <c r="G926" s="16" t="str">
        <f>IFERROR(__xludf.DUMMYFUNCTION("""COMPUTED_VALUE"""),"MUHAMMAD IQBAL YURAYAMA")</f>
        <v>MUHAMMAD IQBAL YURAYAMA</v>
      </c>
      <c r="H926" s="17" t="str">
        <f>IFERROR(__xludf.DUMMYFUNCTION("""COMPUTED_VALUE"""),"M9923125209")</f>
        <v>M9923125209</v>
      </c>
      <c r="I926" s="17">
        <f>IFERROR(__xludf.DUMMYFUNCTION("""COMPUTED_VALUE"""),26.0)</f>
        <v>26</v>
      </c>
      <c r="J926" s="17" t="str">
        <f>IFERROR(__xludf.DUMMYFUNCTION("""COMPUTED_VALUE"""),"25-34 tahun")</f>
        <v>25-34 tahun</v>
      </c>
      <c r="K926" s="19">
        <f>IFERROR(__xludf.DUMMYFUNCTION("""COMPUTED_VALUE"""),36328.0)</f>
        <v>36328</v>
      </c>
      <c r="L926" s="19" t="str">
        <f>IFERROR(__xludf.DUMMYFUNCTION("""COMPUTED_VALUE"""),"LAKI-LAKI")</f>
        <v>LAKI-LAKI</v>
      </c>
      <c r="M926" s="16" t="str">
        <f>IFERROR(__xludf.DUMMYFUNCTION("""COMPUTED_VALUE"""),"Jl karya komp ari karya indah 2 no a.8")</f>
        <v>Jl karya komp ari karya indah 2 no a.8</v>
      </c>
      <c r="N926" s="16"/>
      <c r="O926" s="16"/>
      <c r="P926" s="16"/>
      <c r="Q926" s="16"/>
      <c r="R926" s="19" t="str">
        <f>IFERROR(__xludf.DUMMYFUNCTION("""COMPUTED_VALUE"""),"ISLAM")</f>
        <v>ISLAM</v>
      </c>
      <c r="S926" s="16" t="str">
        <f>IFERROR(__xludf.DUMMYFUNCTION("""COMPUTED_VALUE"""),"PELAJAR/MAHASISWA")</f>
        <v>PELAJAR/MAHASISWA</v>
      </c>
      <c r="T926" s="16" t="str">
        <f>IFERROR(__xludf.DUMMYFUNCTION("""COMPUTED_VALUE"""),"Leher berbunyi saat menoleh")</f>
        <v>Leher berbunyi saat menoleh</v>
      </c>
      <c r="U926" s="16" t="str">
        <f>IFERROR(__xludf.DUMMYFUNCTION("""COMPUTED_VALUE"""),"Bekerja, kuliah")</f>
        <v>Bekerja, kuliah</v>
      </c>
      <c r="V926" s="11" t="str">
        <f>IFERROR(__xludf.DUMMYFUNCTION("""COMPUTED_VALUE"""),"089677085209")</f>
        <v>089677085209</v>
      </c>
      <c r="W926" s="15"/>
    </row>
    <row r="927" ht="22.5" customHeight="1">
      <c r="A927" s="8"/>
      <c r="B927" s="9">
        <f>IFERROR(__xludf.DUMMYFUNCTION("""COMPUTED_VALUE"""),45267.43171975695)</f>
        <v>45267.43172</v>
      </c>
      <c r="C927" s="9"/>
      <c r="D927" s="10">
        <f>IFERROR(__xludf.DUMMYFUNCTION("""COMPUTED_VALUE"""),45267.0)</f>
        <v>45267</v>
      </c>
      <c r="E927" s="10" t="str">
        <f>IFERROR(__xludf.DUMMYFUNCTION("""COMPUTED_VALUE"""),"12Des")</f>
        <v>12Des</v>
      </c>
      <c r="F927" s="10" t="str">
        <f>IFERROR(__xludf.DUMMYFUNCTION("""COMPUTED_VALUE"""),"2023")</f>
        <v>2023</v>
      </c>
      <c r="G927" s="16" t="str">
        <f>IFERROR(__xludf.DUMMYFUNCTION("""COMPUTED_VALUE"""),"HENDRA SANTOSO")</f>
        <v>HENDRA SANTOSO</v>
      </c>
      <c r="H927" s="17" t="str">
        <f>IFERROR(__xludf.DUMMYFUNCTION("""COMPUTED_VALUE"""),"H9223126709")</f>
        <v>H9223126709</v>
      </c>
      <c r="I927" s="17">
        <f>IFERROR(__xludf.DUMMYFUNCTION("""COMPUTED_VALUE"""),33.0)</f>
        <v>33</v>
      </c>
      <c r="J927" s="17" t="str">
        <f>IFERROR(__xludf.DUMMYFUNCTION("""COMPUTED_VALUE"""),"25-34 tahun")</f>
        <v>25-34 tahun</v>
      </c>
      <c r="K927" s="19">
        <f>IFERROR(__xludf.DUMMYFUNCTION("""COMPUTED_VALUE"""),33802.0)</f>
        <v>33802</v>
      </c>
      <c r="L927" s="19" t="str">
        <f>IFERROR(__xludf.DUMMYFUNCTION("""COMPUTED_VALUE"""),"LAKI-LAKI")</f>
        <v>LAKI-LAKI</v>
      </c>
      <c r="M927" s="16" t="str">
        <f>IFERROR(__xludf.DUMMYFUNCTION("""COMPUTED_VALUE"""),"Jl.Paris 2 komplek Golden Paris No A.3A")</f>
        <v>Jl.Paris 2 komplek Golden Paris No A.3A</v>
      </c>
      <c r="N927" s="16"/>
      <c r="O927" s="16"/>
      <c r="P927" s="16"/>
      <c r="Q927" s="16"/>
      <c r="R927" s="19" t="str">
        <f>IFERROR(__xludf.DUMMYFUNCTION("""COMPUTED_VALUE"""),"KATOLIK")</f>
        <v>KATOLIK</v>
      </c>
      <c r="S927" s="16" t="str">
        <f>IFERROR(__xludf.DUMMYFUNCTION("""COMPUTED_VALUE"""),"WIRASWASTA")</f>
        <v>WIRASWASTA</v>
      </c>
      <c r="T927" s="16" t="str">
        <f>IFERROR(__xludf.DUMMYFUNCTION("""COMPUTED_VALUE"""),"Sakit pada tumit")</f>
        <v>Sakit pada tumit</v>
      </c>
      <c r="U927" s="16" t="str">
        <f>IFERROR(__xludf.DUMMYFUNCTION("""COMPUTED_VALUE"""),"Kerja")</f>
        <v>Kerja</v>
      </c>
      <c r="V927" s="11" t="str">
        <f>IFERROR(__xludf.DUMMYFUNCTION("""COMPUTED_VALUE"""),"081319506709")</f>
        <v>081319506709</v>
      </c>
      <c r="W927" s="15"/>
    </row>
    <row r="928" ht="22.5" customHeight="1">
      <c r="A928" s="8"/>
      <c r="B928" s="9">
        <f>IFERROR(__xludf.DUMMYFUNCTION("""COMPUTED_VALUE"""),45268.6893175)</f>
        <v>45268.68932</v>
      </c>
      <c r="C928" s="9"/>
      <c r="D928" s="10">
        <f>IFERROR(__xludf.DUMMYFUNCTION("""COMPUTED_VALUE"""),45267.0)</f>
        <v>45267</v>
      </c>
      <c r="E928" s="10" t="str">
        <f>IFERROR(__xludf.DUMMYFUNCTION("""COMPUTED_VALUE"""),"12Des")</f>
        <v>12Des</v>
      </c>
      <c r="F928" s="10" t="str">
        <f>IFERROR(__xludf.DUMMYFUNCTION("""COMPUTED_VALUE"""),"2023")</f>
        <v>2023</v>
      </c>
      <c r="G928" s="16" t="str">
        <f>IFERROR(__xludf.DUMMYFUNCTION("""COMPUTED_VALUE"""),"HELMI NOVIANSYAH")</f>
        <v>HELMI NOVIANSYAH</v>
      </c>
      <c r="H928" s="17" t="str">
        <f>IFERROR(__xludf.DUMMYFUNCTION("""COMPUTED_VALUE"""),"H8223121823")</f>
        <v>H8223121823</v>
      </c>
      <c r="I928" s="17">
        <f>IFERROR(__xludf.DUMMYFUNCTION("""COMPUTED_VALUE"""),43.0)</f>
        <v>43</v>
      </c>
      <c r="J928" s="17" t="str">
        <f>IFERROR(__xludf.DUMMYFUNCTION("""COMPUTED_VALUE"""),"35-44 tahun")</f>
        <v>35-44 tahun</v>
      </c>
      <c r="K928" s="19">
        <f>IFERROR(__xludf.DUMMYFUNCTION("""COMPUTED_VALUE"""),30272.0)</f>
        <v>30272</v>
      </c>
      <c r="L928" s="19" t="str">
        <f>IFERROR(__xludf.DUMMYFUNCTION("""COMPUTED_VALUE"""),"LAKI-LAKI")</f>
        <v>LAKI-LAKI</v>
      </c>
      <c r="M928" s="16" t="str">
        <f>IFERROR(__xludf.DUMMYFUNCTION("""COMPUTED_VALUE"""),"Jl husin Hamzah komp. Harmoni indah no. 24")</f>
        <v>Jl husin Hamzah komp. Harmoni indah no. 24</v>
      </c>
      <c r="N928" s="16"/>
      <c r="O928" s="16"/>
      <c r="P928" s="16"/>
      <c r="Q928" s="16"/>
      <c r="R928" s="19" t="str">
        <f>IFERROR(__xludf.DUMMYFUNCTION("""COMPUTED_VALUE"""),"ISLAM")</f>
        <v>ISLAM</v>
      </c>
      <c r="S928" s="16" t="str">
        <f>IFERROR(__xludf.DUMMYFUNCTION("""COMPUTED_VALUE"""),"ASN")</f>
        <v>ASN</v>
      </c>
      <c r="T928" s="16" t="str">
        <f>IFERROR(__xludf.DUMMYFUNCTION("""COMPUTED_VALUE"""),"Sakit pergelangan tangan")</f>
        <v>Sakit pergelangan tangan</v>
      </c>
      <c r="U928" s="16" t="str">
        <f>IFERROR(__xludf.DUMMYFUNCTION("""COMPUTED_VALUE"""),"Kerja")</f>
        <v>Kerja</v>
      </c>
      <c r="V928" s="11" t="str">
        <f>IFERROR(__xludf.DUMMYFUNCTION("""COMPUTED_VALUE"""),"08981331823")</f>
        <v>08981331823</v>
      </c>
      <c r="W928" s="15"/>
    </row>
    <row r="929" ht="22.5" customHeight="1">
      <c r="A929" s="8"/>
      <c r="B929" s="9">
        <f>IFERROR(__xludf.DUMMYFUNCTION("""COMPUTED_VALUE"""),45269.40447545139)</f>
        <v>45269.40448</v>
      </c>
      <c r="C929" s="9"/>
      <c r="D929" s="10">
        <f>IFERROR(__xludf.DUMMYFUNCTION("""COMPUTED_VALUE"""),45269.0)</f>
        <v>45269</v>
      </c>
      <c r="E929" s="10" t="str">
        <f>IFERROR(__xludf.DUMMYFUNCTION("""COMPUTED_VALUE"""),"12Des")</f>
        <v>12Des</v>
      </c>
      <c r="F929" s="10" t="str">
        <f>IFERROR(__xludf.DUMMYFUNCTION("""COMPUTED_VALUE"""),"2023")</f>
        <v>2023</v>
      </c>
      <c r="G929" s="16" t="str">
        <f>IFERROR(__xludf.DUMMYFUNCTION("""COMPUTED_VALUE"""),"KUI HUANG")</f>
        <v>KUI HUANG</v>
      </c>
      <c r="H929" s="17" t="str">
        <f>IFERROR(__xludf.DUMMYFUNCTION("""COMPUTED_VALUE"""),"K7723128784")</f>
        <v>K7723128784</v>
      </c>
      <c r="I929" s="17">
        <f>IFERROR(__xludf.DUMMYFUNCTION("""COMPUTED_VALUE"""),48.0)</f>
        <v>48</v>
      </c>
      <c r="J929" s="17" t="str">
        <f>IFERROR(__xludf.DUMMYFUNCTION("""COMPUTED_VALUE"""),"&gt; 44 tahun")</f>
        <v>&gt; 44 tahun</v>
      </c>
      <c r="K929" s="19">
        <f>IFERROR(__xludf.DUMMYFUNCTION("""COMPUTED_VALUE"""),28303.0)</f>
        <v>28303</v>
      </c>
      <c r="L929" s="19" t="str">
        <f>IFERROR(__xludf.DUMMYFUNCTION("""COMPUTED_VALUE"""),"PEREMPUAN")</f>
        <v>PEREMPUAN</v>
      </c>
      <c r="M929" s="16" t="str">
        <f>IFERROR(__xludf.DUMMYFUNCTION("""COMPUTED_VALUE"""),"JL. HUEIN HAMZAH PAL 5")</f>
        <v>JL. HUEIN HAMZAH PAL 5</v>
      </c>
      <c r="N929" s="16"/>
      <c r="O929" s="16"/>
      <c r="P929" s="16"/>
      <c r="Q929" s="16"/>
      <c r="R929" s="19" t="str">
        <f>IFERROR(__xludf.DUMMYFUNCTION("""COMPUTED_VALUE"""),"BUDDHA")</f>
        <v>BUDDHA</v>
      </c>
      <c r="S929" s="16" t="str">
        <f>IFERROR(__xludf.DUMMYFUNCTION("""COMPUTED_VALUE"""),"")</f>
        <v/>
      </c>
      <c r="T929" s="16" t="str">
        <f>IFERROR(__xludf.DUMMYFUNCTION("""COMPUTED_VALUE"""),"PUNGGUNG ATAS - BELIKAT (PUNDAK)")</f>
        <v>PUNGGUNG ATAS - BELIKAT (PUNDAK)</v>
      </c>
      <c r="U929" s="16" t="str">
        <f>IFERROR(__xludf.DUMMYFUNCTION("""COMPUTED_VALUE"""),"")</f>
        <v/>
      </c>
      <c r="V929" s="11" t="str">
        <f>IFERROR(__xludf.DUMMYFUNCTION("""COMPUTED_VALUE"""),"081351028784")</f>
        <v>081351028784</v>
      </c>
      <c r="W929" s="15"/>
    </row>
    <row r="930" ht="22.5" customHeight="1">
      <c r="A930" s="8"/>
      <c r="B930" s="9">
        <f>IFERROR(__xludf.DUMMYFUNCTION("""COMPUTED_VALUE"""),45269.4188491088)</f>
        <v>45269.41885</v>
      </c>
      <c r="C930" s="9"/>
      <c r="D930" s="10">
        <f>IFERROR(__xludf.DUMMYFUNCTION("""COMPUTED_VALUE"""),45269.0)</f>
        <v>45269</v>
      </c>
      <c r="E930" s="10" t="str">
        <f>IFERROR(__xludf.DUMMYFUNCTION("""COMPUTED_VALUE"""),"12Des")</f>
        <v>12Des</v>
      </c>
      <c r="F930" s="10" t="str">
        <f>IFERROR(__xludf.DUMMYFUNCTION("""COMPUTED_VALUE"""),"2023")</f>
        <v>2023</v>
      </c>
      <c r="G930" s="16" t="str">
        <f>IFERROR(__xludf.DUMMYFUNCTION("""COMPUTED_VALUE"""),"NETTY SORTARIAMA SINAGA")</f>
        <v>NETTY SORTARIAMA SINAGA</v>
      </c>
      <c r="H930" s="17" t="str">
        <f>IFERROR(__xludf.DUMMYFUNCTION("""COMPUTED_VALUE"""),"N7923128940")</f>
        <v>N7923128940</v>
      </c>
      <c r="I930" s="17">
        <f>IFERROR(__xludf.DUMMYFUNCTION("""COMPUTED_VALUE"""),47.0)</f>
        <v>47</v>
      </c>
      <c r="J930" s="17" t="str">
        <f>IFERROR(__xludf.DUMMYFUNCTION("""COMPUTED_VALUE"""),"&gt; 44 tahun")</f>
        <v>&gt; 44 tahun</v>
      </c>
      <c r="K930" s="19">
        <f>IFERROR(__xludf.DUMMYFUNCTION("""COMPUTED_VALUE"""),28930.0)</f>
        <v>28930</v>
      </c>
      <c r="L930" s="19" t="str">
        <f>IFERROR(__xludf.DUMMYFUNCTION("""COMPUTED_VALUE"""),"PEREMPUAN")</f>
        <v>PEREMPUAN</v>
      </c>
      <c r="M930" s="16" t="str">
        <f>IFERROR(__xludf.DUMMYFUNCTION("""COMPUTED_VALUE"""),"jl Gusti Ibrahim Syafiudin Terusan Mempawah")</f>
        <v>jl Gusti Ibrahim Syafiudin Terusan Mempawah</v>
      </c>
      <c r="N930" s="16"/>
      <c r="O930" s="16"/>
      <c r="P930" s="16"/>
      <c r="Q930" s="16"/>
      <c r="R930" s="19" t="str">
        <f>IFERROR(__xludf.DUMMYFUNCTION("""COMPUTED_VALUE"""),"PROTESTAN")</f>
        <v>PROTESTAN</v>
      </c>
      <c r="S930" s="16" t="str">
        <f>IFERROR(__xludf.DUMMYFUNCTION("""COMPUTED_VALUE"""),"SWASTA")</f>
        <v>SWASTA</v>
      </c>
      <c r="T930" s="16" t="str">
        <f>IFERROR(__xludf.DUMMYFUNCTION("""COMPUTED_VALUE"""),"nyeri di bahu dan punggung")</f>
        <v>nyeri di bahu dan punggung</v>
      </c>
      <c r="U930" s="16" t="str">
        <f>IFERROR(__xludf.DUMMYFUNCTION("""COMPUTED_VALUE"""),"pekerjaan di balik meja dengan laptop")</f>
        <v>pekerjaan di balik meja dengan laptop</v>
      </c>
      <c r="V930" s="11" t="str">
        <f>IFERROR(__xludf.DUMMYFUNCTION("""COMPUTED_VALUE"""),"082354318940")</f>
        <v>082354318940</v>
      </c>
      <c r="W930" s="15"/>
    </row>
    <row r="931" ht="22.5" customHeight="1">
      <c r="A931" s="8"/>
      <c r="B931" s="9">
        <f>IFERROR(__xludf.DUMMYFUNCTION("""COMPUTED_VALUE"""),45269.458719201386)</f>
        <v>45269.45872</v>
      </c>
      <c r="C931" s="9"/>
      <c r="D931" s="10">
        <f>IFERROR(__xludf.DUMMYFUNCTION("""COMPUTED_VALUE"""),45269.0)</f>
        <v>45269</v>
      </c>
      <c r="E931" s="10" t="str">
        <f>IFERROR(__xludf.DUMMYFUNCTION("""COMPUTED_VALUE"""),"12Des")</f>
        <v>12Des</v>
      </c>
      <c r="F931" s="10" t="str">
        <f>IFERROR(__xludf.DUMMYFUNCTION("""COMPUTED_VALUE"""),"2023")</f>
        <v>2023</v>
      </c>
      <c r="G931" s="16" t="str">
        <f>IFERROR(__xludf.DUMMYFUNCTION("""COMPUTED_VALUE"""),"CINDY PATRIA")</f>
        <v>CINDY PATRIA</v>
      </c>
      <c r="H931" s="17" t="str">
        <f>IFERROR(__xludf.DUMMYFUNCTION("""COMPUTED_VALUE"""),"C9623123321")</f>
        <v>C9623123321</v>
      </c>
      <c r="I931" s="17">
        <f>IFERROR(__xludf.DUMMYFUNCTION("""COMPUTED_VALUE"""),29.0)</f>
        <v>29</v>
      </c>
      <c r="J931" s="17" t="str">
        <f>IFERROR(__xludf.DUMMYFUNCTION("""COMPUTED_VALUE"""),"25-34 tahun")</f>
        <v>25-34 tahun</v>
      </c>
      <c r="K931" s="19">
        <f>IFERROR(__xludf.DUMMYFUNCTION("""COMPUTED_VALUE"""),35328.0)</f>
        <v>35328</v>
      </c>
      <c r="L931" s="19" t="str">
        <f>IFERROR(__xludf.DUMMYFUNCTION("""COMPUTED_VALUE"""),"PEREMPUAN")</f>
        <v>PEREMPUAN</v>
      </c>
      <c r="M931" s="16" t="str">
        <f>IFERROR(__xludf.DUMMYFUNCTION("""COMPUTED_VALUE"""),"Kotabaru")</f>
        <v>Kotabaru</v>
      </c>
      <c r="N931" s="16"/>
      <c r="O931" s="16"/>
      <c r="P931" s="16"/>
      <c r="Q931" s="16"/>
      <c r="R931" s="19" t="str">
        <f>IFERROR(__xludf.DUMMYFUNCTION("""COMPUTED_VALUE"""),"KATOLIK")</f>
        <v>KATOLIK</v>
      </c>
      <c r="S931" s="16" t="str">
        <f>IFERROR(__xludf.DUMMYFUNCTION("""COMPUTED_VALUE"""),"SWASTA")</f>
        <v>SWASTA</v>
      </c>
      <c r="T931" s="16" t="str">
        <f>IFERROR(__xludf.DUMMYFUNCTION("""COMPUTED_VALUE"""),"Kaki bagian kanan bermasalah")</f>
        <v>Kaki bagian kanan bermasalah</v>
      </c>
      <c r="U931" s="16" t="str">
        <f>IFERROR(__xludf.DUMMYFUNCTION("""COMPUTED_VALUE"""),"Sepeda balap")</f>
        <v>Sepeda balap</v>
      </c>
      <c r="V931" s="11" t="str">
        <f>IFERROR(__xludf.DUMMYFUNCTION("""COMPUTED_VALUE"""),"082234563321")</f>
        <v>082234563321</v>
      </c>
      <c r="W931" s="15"/>
    </row>
    <row r="932" ht="22.5" customHeight="1">
      <c r="A932" s="8"/>
      <c r="B932" s="9">
        <f>IFERROR(__xludf.DUMMYFUNCTION("""COMPUTED_VALUE"""),45269.783952025464)</f>
        <v>45269.78395</v>
      </c>
      <c r="C932" s="9"/>
      <c r="D932" s="10">
        <f>IFERROR(__xludf.DUMMYFUNCTION("""COMPUTED_VALUE"""),45269.0)</f>
        <v>45269</v>
      </c>
      <c r="E932" s="10" t="str">
        <f>IFERROR(__xludf.DUMMYFUNCTION("""COMPUTED_VALUE"""),"12Des")</f>
        <v>12Des</v>
      </c>
      <c r="F932" s="10" t="str">
        <f>IFERROR(__xludf.DUMMYFUNCTION("""COMPUTED_VALUE"""),"2023")</f>
        <v>2023</v>
      </c>
      <c r="G932" s="16" t="str">
        <f>IFERROR(__xludf.DUMMYFUNCTION("""COMPUTED_VALUE"""),"FENY FEBRIANI")</f>
        <v>FENY FEBRIANI</v>
      </c>
      <c r="H932" s="17" t="str">
        <f>IFERROR(__xludf.DUMMYFUNCTION("""COMPUTED_VALUE"""),"F8623128719")</f>
        <v>F8623128719</v>
      </c>
      <c r="I932" s="17">
        <f>IFERROR(__xludf.DUMMYFUNCTION("""COMPUTED_VALUE"""),40.0)</f>
        <v>40</v>
      </c>
      <c r="J932" s="17" t="str">
        <f>IFERROR(__xludf.DUMMYFUNCTION("""COMPUTED_VALUE"""),"35-44 tahun")</f>
        <v>35-44 tahun</v>
      </c>
      <c r="K932" s="19">
        <f>IFERROR(__xludf.DUMMYFUNCTION("""COMPUTED_VALUE"""),31454.0)</f>
        <v>31454</v>
      </c>
      <c r="L932" s="19" t="str">
        <f>IFERROR(__xludf.DUMMYFUNCTION("""COMPUTED_VALUE"""),"PEREMPUAN")</f>
        <v>PEREMPUAN</v>
      </c>
      <c r="M932" s="16" t="str">
        <f>IFERROR(__xludf.DUMMYFUNCTION("""COMPUTED_VALUE"""),"Jln Wonoyoso 1 GG Empat No 21 a")</f>
        <v>Jln Wonoyoso 1 GG Empat No 21 a</v>
      </c>
      <c r="N932" s="16"/>
      <c r="O932" s="16"/>
      <c r="P932" s="16"/>
      <c r="Q932" s="16"/>
      <c r="R932" s="19" t="str">
        <f>IFERROR(__xludf.DUMMYFUNCTION("""COMPUTED_VALUE"""),"ISLAM")</f>
        <v>ISLAM</v>
      </c>
      <c r="S932" s="16" t="str">
        <f>IFERROR(__xludf.DUMMYFUNCTION("""COMPUTED_VALUE"""),"ASN")</f>
        <v>ASN</v>
      </c>
      <c r="T932" s="16" t="str">
        <f>IFERROR(__xludf.DUMMYFUNCTION("""COMPUTED_VALUE"""),"Sakit di bokong")</f>
        <v>Sakit di bokong</v>
      </c>
      <c r="U932" s="16" t="str">
        <f>IFERROR(__xludf.DUMMYFUNCTION("""COMPUTED_VALUE"""),"Jalan²")</f>
        <v>Jalan²</v>
      </c>
      <c r="V932" s="11" t="str">
        <f>IFERROR(__xludf.DUMMYFUNCTION("""COMPUTED_VALUE"""),"08125698719")</f>
        <v>08125698719</v>
      </c>
      <c r="W932" s="15"/>
    </row>
    <row r="933" ht="22.5" customHeight="1">
      <c r="A933" s="8"/>
      <c r="B933" s="9">
        <f>IFERROR(__xludf.DUMMYFUNCTION("""COMPUTED_VALUE"""),45269.79772003472)</f>
        <v>45269.79772</v>
      </c>
      <c r="C933" s="9"/>
      <c r="D933" s="10">
        <f>IFERROR(__xludf.DUMMYFUNCTION("""COMPUTED_VALUE"""),45269.0)</f>
        <v>45269</v>
      </c>
      <c r="E933" s="10" t="str">
        <f>IFERROR(__xludf.DUMMYFUNCTION("""COMPUTED_VALUE"""),"12Des")</f>
        <v>12Des</v>
      </c>
      <c r="F933" s="10" t="str">
        <f>IFERROR(__xludf.DUMMYFUNCTION("""COMPUTED_VALUE"""),"2023")</f>
        <v>2023</v>
      </c>
      <c r="G933" s="16" t="str">
        <f>IFERROR(__xludf.DUMMYFUNCTION("""COMPUTED_VALUE"""),"PUTRI DEAR NOVRANDA")</f>
        <v>PUTRI DEAR NOVRANDA</v>
      </c>
      <c r="H933" s="17" t="str">
        <f>IFERROR(__xludf.DUMMYFUNCTION("""COMPUTED_VALUE"""),"P9323122390")</f>
        <v>P9323122390</v>
      </c>
      <c r="I933" s="17">
        <f>IFERROR(__xludf.DUMMYFUNCTION("""COMPUTED_VALUE"""),32.0)</f>
        <v>32</v>
      </c>
      <c r="J933" s="17" t="str">
        <f>IFERROR(__xludf.DUMMYFUNCTION("""COMPUTED_VALUE"""),"25-34 tahun")</f>
        <v>25-34 tahun</v>
      </c>
      <c r="K933" s="19">
        <f>IFERROR(__xludf.DUMMYFUNCTION("""COMPUTED_VALUE"""),34286.0)</f>
        <v>34286</v>
      </c>
      <c r="L933" s="19" t="str">
        <f>IFERROR(__xludf.DUMMYFUNCTION("""COMPUTED_VALUE"""),"PEREMPUAN")</f>
        <v>PEREMPUAN</v>
      </c>
      <c r="M933" s="16" t="str">
        <f>IFERROR(__xludf.DUMMYFUNCTION("""COMPUTED_VALUE"""),"Komplek graha ampera permai no A14")</f>
        <v>Komplek graha ampera permai no A14</v>
      </c>
      <c r="N933" s="16"/>
      <c r="O933" s="16"/>
      <c r="P933" s="16"/>
      <c r="Q933" s="16"/>
      <c r="R933" s="19" t="str">
        <f>IFERROR(__xludf.DUMMYFUNCTION("""COMPUTED_VALUE"""),"ISLAM")</f>
        <v>ISLAM</v>
      </c>
      <c r="S933" s="16" t="str">
        <f>IFERROR(__xludf.DUMMYFUNCTION("""COMPUTED_VALUE"""),"SWASTA")</f>
        <v>SWASTA</v>
      </c>
      <c r="T933" s="16" t="str">
        <f>IFERROR(__xludf.DUMMYFUNCTION("""COMPUTED_VALUE"""),"Sakit dipaha bagian kiri")</f>
        <v>Sakit dipaha bagian kiri</v>
      </c>
      <c r="U933" s="16" t="str">
        <f>IFERROR(__xludf.DUMMYFUNCTION("""COMPUTED_VALUE"""),"Lari")</f>
        <v>Lari</v>
      </c>
      <c r="V933" s="11" t="str">
        <f>IFERROR(__xludf.DUMMYFUNCTION("""COMPUTED_VALUE"""),"085246012390")</f>
        <v>085246012390</v>
      </c>
      <c r="W933" s="15"/>
    </row>
    <row r="934" ht="22.5" customHeight="1">
      <c r="A934" s="8"/>
      <c r="B934" s="9">
        <f>IFERROR(__xludf.DUMMYFUNCTION("""COMPUTED_VALUE"""),45269.62599208333)</f>
        <v>45269.62599</v>
      </c>
      <c r="C934" s="9"/>
      <c r="D934" s="10">
        <f>IFERROR(__xludf.DUMMYFUNCTION("""COMPUTED_VALUE"""),45269.0)</f>
        <v>45269</v>
      </c>
      <c r="E934" s="10" t="str">
        <f>IFERROR(__xludf.DUMMYFUNCTION("""COMPUTED_VALUE"""),"12Des")</f>
        <v>12Des</v>
      </c>
      <c r="F934" s="10" t="str">
        <f>IFERROR(__xludf.DUMMYFUNCTION("""COMPUTED_VALUE"""),"2023")</f>
        <v>2023</v>
      </c>
      <c r="G934" s="16" t="str">
        <f>IFERROR(__xludf.DUMMYFUNCTION("""COMPUTED_VALUE"""),"RIDWANSYAH")</f>
        <v>RIDWANSYAH</v>
      </c>
      <c r="H934" s="17" t="str">
        <f>IFERROR(__xludf.DUMMYFUNCTION("""COMPUTED_VALUE"""),"R9023125191")</f>
        <v>R9023125191</v>
      </c>
      <c r="I934" s="17">
        <f>IFERROR(__xludf.DUMMYFUNCTION("""COMPUTED_VALUE"""),35.0)</f>
        <v>35</v>
      </c>
      <c r="J934" s="17" t="str">
        <f>IFERROR(__xludf.DUMMYFUNCTION("""COMPUTED_VALUE"""),"35-44 tahun")</f>
        <v>35-44 tahun</v>
      </c>
      <c r="K934" s="19">
        <f>IFERROR(__xludf.DUMMYFUNCTION("""COMPUTED_VALUE"""),33064.0)</f>
        <v>33064</v>
      </c>
      <c r="L934" s="19" t="str">
        <f>IFERROR(__xludf.DUMMYFUNCTION("""COMPUTED_VALUE"""),"LAKI-LAKI")</f>
        <v>LAKI-LAKI</v>
      </c>
      <c r="M934" s="16" t="str">
        <f>IFERROR(__xludf.DUMMYFUNCTION("""COMPUTED_VALUE"""),"Jalan ampera komplek graha ampera permai blok A 14")</f>
        <v>Jalan ampera komplek graha ampera permai blok A 14</v>
      </c>
      <c r="N934" s="16"/>
      <c r="O934" s="16"/>
      <c r="P934" s="16"/>
      <c r="Q934" s="16"/>
      <c r="R934" s="19" t="str">
        <f>IFERROR(__xludf.DUMMYFUNCTION("""COMPUTED_VALUE"""),"ISLAM")</f>
        <v>ISLAM</v>
      </c>
      <c r="S934" s="16" t="str">
        <f>IFERROR(__xludf.DUMMYFUNCTION("""COMPUTED_VALUE"""),"SWASTA")</f>
        <v>SWASTA</v>
      </c>
      <c r="T934" s="16" t="str">
        <f>IFERROR(__xludf.DUMMYFUNCTION("""COMPUTED_VALUE"""),"Kaki sakit")</f>
        <v>Kaki sakit</v>
      </c>
      <c r="U934" s="16" t="str">
        <f>IFERROR(__xludf.DUMMYFUNCTION("""COMPUTED_VALUE"""),"Olah raga")</f>
        <v>Olah raga</v>
      </c>
      <c r="V934" s="11" t="str">
        <f>IFERROR(__xludf.DUMMYFUNCTION("""COMPUTED_VALUE"""),"081350035191")</f>
        <v>081350035191</v>
      </c>
      <c r="W934" s="15"/>
    </row>
    <row r="935" ht="22.5" customHeight="1">
      <c r="A935" s="8"/>
      <c r="B935" s="9">
        <f>IFERROR(__xludf.DUMMYFUNCTION("""COMPUTED_VALUE"""),45270.619227083334)</f>
        <v>45270.61923</v>
      </c>
      <c r="C935" s="9"/>
      <c r="D935" s="10">
        <f>IFERROR(__xludf.DUMMYFUNCTION("""COMPUTED_VALUE"""),45269.0)</f>
        <v>45269</v>
      </c>
      <c r="E935" s="10" t="str">
        <f>IFERROR(__xludf.DUMMYFUNCTION("""COMPUTED_VALUE"""),"12Des")</f>
        <v>12Des</v>
      </c>
      <c r="F935" s="10" t="str">
        <f>IFERROR(__xludf.DUMMYFUNCTION("""COMPUTED_VALUE"""),"2023")</f>
        <v>2023</v>
      </c>
      <c r="G935" s="16" t="str">
        <f>IFERROR(__xludf.DUMMYFUNCTION("""COMPUTED_VALUE"""),"SOFIATY")</f>
        <v>SOFIATY</v>
      </c>
      <c r="H935" s="17" t="str">
        <f>IFERROR(__xludf.DUMMYFUNCTION("""COMPUTED_VALUE"""),"S5223124128")</f>
        <v>S5223124128</v>
      </c>
      <c r="I935" s="17">
        <f>IFERROR(__xludf.DUMMYFUNCTION("""COMPUTED_VALUE"""),74.0)</f>
        <v>74</v>
      </c>
      <c r="J935" s="17" t="str">
        <f>IFERROR(__xludf.DUMMYFUNCTION("""COMPUTED_VALUE"""),"&gt; 44 tahun")</f>
        <v>&gt; 44 tahun</v>
      </c>
      <c r="K935" s="19">
        <f>IFERROR(__xludf.DUMMYFUNCTION("""COMPUTED_VALUE"""),19053.0)</f>
        <v>19053</v>
      </c>
      <c r="L935" s="19" t="str">
        <f>IFERROR(__xludf.DUMMYFUNCTION("""COMPUTED_VALUE"""),"PEREMPUAN")</f>
        <v>PEREMPUAN</v>
      </c>
      <c r="M935" s="16" t="str">
        <f>IFERROR(__xludf.DUMMYFUNCTION("""COMPUTED_VALUE"""),"Jalan Tebu, komplek Perumnas 1, Gang Larat No 15, Pontianak")</f>
        <v>Jalan Tebu, komplek Perumnas 1, Gang Larat No 15, Pontianak</v>
      </c>
      <c r="N935" s="16"/>
      <c r="O935" s="16"/>
      <c r="P935" s="16"/>
      <c r="Q935" s="16"/>
      <c r="R935" s="19" t="str">
        <f>IFERROR(__xludf.DUMMYFUNCTION("""COMPUTED_VALUE"""),"ISLAM")</f>
        <v>ISLAM</v>
      </c>
      <c r="S935" s="16" t="str">
        <f>IFERROR(__xludf.DUMMYFUNCTION("""COMPUTED_VALUE"""),"RUMAH TANGGA")</f>
        <v>RUMAH TANGGA</v>
      </c>
      <c r="T935" s="16" t="str">
        <f>IFERROR(__xludf.DUMMYFUNCTION("""COMPUTED_VALUE"""),"Sakit di tempurung kaki")</f>
        <v>Sakit di tempurung kaki</v>
      </c>
      <c r="U935" s="16" t="str">
        <f>IFERROR(__xludf.DUMMYFUNCTION("""COMPUTED_VALUE"""),"Olah raga")</f>
        <v>Olah raga</v>
      </c>
      <c r="V935" s="11" t="str">
        <f>IFERROR(__xludf.DUMMYFUNCTION("""COMPUTED_VALUE"""),"081351964128")</f>
        <v>081351964128</v>
      </c>
      <c r="W935" s="15"/>
    </row>
    <row r="936" ht="22.5" customHeight="1">
      <c r="A936" s="8"/>
      <c r="B936" s="9">
        <f>IFERROR(__xludf.DUMMYFUNCTION("""COMPUTED_VALUE"""),45270.83559371528)</f>
        <v>45270.83559</v>
      </c>
      <c r="C936" s="9"/>
      <c r="D936" s="10">
        <f>IFERROR(__xludf.DUMMYFUNCTION("""COMPUTED_VALUE"""),45270.0)</f>
        <v>45270</v>
      </c>
      <c r="E936" s="10" t="str">
        <f>IFERROR(__xludf.DUMMYFUNCTION("""COMPUTED_VALUE"""),"12Des")</f>
        <v>12Des</v>
      </c>
      <c r="F936" s="10" t="str">
        <f>IFERROR(__xludf.DUMMYFUNCTION("""COMPUTED_VALUE"""),"2023")</f>
        <v>2023</v>
      </c>
      <c r="G936" s="16" t="str">
        <f>IFERROR(__xludf.DUMMYFUNCTION("""COMPUTED_VALUE"""),"EMBUN LESTARI")</f>
        <v>EMBUN LESTARI</v>
      </c>
      <c r="H936" s="17" t="str">
        <f>IFERROR(__xludf.DUMMYFUNCTION("""COMPUTED_VALUE"""),"E6523124805")</f>
        <v>E6523124805</v>
      </c>
      <c r="I936" s="17">
        <f>IFERROR(__xludf.DUMMYFUNCTION("""COMPUTED_VALUE"""),61.0)</f>
        <v>61</v>
      </c>
      <c r="J936" s="17" t="str">
        <f>IFERROR(__xludf.DUMMYFUNCTION("""COMPUTED_VALUE"""),"&gt; 44 tahun")</f>
        <v>&gt; 44 tahun</v>
      </c>
      <c r="K936" s="19">
        <f>IFERROR(__xludf.DUMMYFUNCTION("""COMPUTED_VALUE"""),23841.0)</f>
        <v>23841</v>
      </c>
      <c r="L936" s="19" t="str">
        <f>IFERROR(__xludf.DUMMYFUNCTION("""COMPUTED_VALUE"""),"PEREMPUAN")</f>
        <v>PEREMPUAN</v>
      </c>
      <c r="M936" s="16" t="str">
        <f>IFERROR(__xludf.DUMMYFUNCTION("""COMPUTED_VALUE"""),"JL NAWAWI HASAN II GG KUBU I NO 28")</f>
        <v>JL NAWAWI HASAN II GG KUBU I NO 28</v>
      </c>
      <c r="N936" s="16"/>
      <c r="O936" s="16"/>
      <c r="P936" s="16"/>
      <c r="Q936" s="16"/>
      <c r="R936" s="19" t="str">
        <f>IFERROR(__xludf.DUMMYFUNCTION("""COMPUTED_VALUE"""),"ISLAM")</f>
        <v>ISLAM</v>
      </c>
      <c r="S936" s="16" t="str">
        <f>IFERROR(__xludf.DUMMYFUNCTION("""COMPUTED_VALUE"""),"RUMAH TANGGA")</f>
        <v>RUMAH TANGGA</v>
      </c>
      <c r="T936" s="16" t="str">
        <f>IFERROR(__xludf.DUMMYFUNCTION("""COMPUTED_VALUE"""),"")</f>
        <v/>
      </c>
      <c r="U936" s="16" t="str">
        <f>IFERROR(__xludf.DUMMYFUNCTION("""COMPUTED_VALUE"""),"Melayani pelanggan di warung")</f>
        <v>Melayani pelanggan di warung</v>
      </c>
      <c r="V936" s="11" t="str">
        <f>IFERROR(__xludf.DUMMYFUNCTION("""COMPUTED_VALUE"""),"082150234805")</f>
        <v>082150234805</v>
      </c>
      <c r="W936" s="15"/>
    </row>
    <row r="937" ht="22.5" customHeight="1">
      <c r="A937" s="8"/>
      <c r="B937" s="9">
        <f>IFERROR(__xludf.DUMMYFUNCTION("""COMPUTED_VALUE"""),45271.40678428241)</f>
        <v>45271.40678</v>
      </c>
      <c r="C937" s="9"/>
      <c r="D937" s="10">
        <f>IFERROR(__xludf.DUMMYFUNCTION("""COMPUTED_VALUE"""),45270.0)</f>
        <v>45270</v>
      </c>
      <c r="E937" s="10" t="str">
        <f>IFERROR(__xludf.DUMMYFUNCTION("""COMPUTED_VALUE"""),"12Des")</f>
        <v>12Des</v>
      </c>
      <c r="F937" s="10" t="str">
        <f>IFERROR(__xludf.DUMMYFUNCTION("""COMPUTED_VALUE"""),"2023")</f>
        <v>2023</v>
      </c>
      <c r="G937" s="16" t="str">
        <f>IFERROR(__xludf.DUMMYFUNCTION("""COMPUTED_VALUE"""),"HJ. RUKMINI")</f>
        <v>HJ. RUKMINI</v>
      </c>
      <c r="H937" s="17" t="str">
        <f>IFERROR(__xludf.DUMMYFUNCTION("""COMPUTED_VALUE"""),"H5323129392")</f>
        <v>H5323129392</v>
      </c>
      <c r="I937" s="17">
        <f>IFERROR(__xludf.DUMMYFUNCTION("""COMPUTED_VALUE"""),72.0)</f>
        <v>72</v>
      </c>
      <c r="J937" s="17" t="str">
        <f>IFERROR(__xludf.DUMMYFUNCTION("""COMPUTED_VALUE"""),"&gt; 44 tahun")</f>
        <v>&gt; 44 tahun</v>
      </c>
      <c r="K937" s="19">
        <f>IFERROR(__xludf.DUMMYFUNCTION("""COMPUTED_VALUE"""),19585.0)</f>
        <v>19585</v>
      </c>
      <c r="L937" s="19" t="str">
        <f>IFERROR(__xludf.DUMMYFUNCTION("""COMPUTED_VALUE"""),"PEREMPUAN")</f>
        <v>PEREMPUAN</v>
      </c>
      <c r="M937" s="16" t="str">
        <f>IFERROR(__xludf.DUMMYFUNCTION("""COMPUTED_VALUE"""),"Jl. Karet Komp. Permata Usaha No. A24")</f>
        <v>Jl. Karet Komp. Permata Usaha No. A24</v>
      </c>
      <c r="N937" s="16"/>
      <c r="O937" s="16"/>
      <c r="P937" s="16"/>
      <c r="Q937" s="16"/>
      <c r="R937" s="19" t="str">
        <f>IFERROR(__xludf.DUMMYFUNCTION("""COMPUTED_VALUE"""),"ISLAM")</f>
        <v>ISLAM</v>
      </c>
      <c r="S937" s="16" t="str">
        <f>IFERROR(__xludf.DUMMYFUNCTION("""COMPUTED_VALUE"""),"RUMAH TANGGA")</f>
        <v>RUMAH TANGGA</v>
      </c>
      <c r="T937" s="16" t="str">
        <f>IFERROR(__xludf.DUMMYFUNCTION("""COMPUTED_VALUE"""),"Stroke")</f>
        <v>Stroke</v>
      </c>
      <c r="U937" s="16" t="str">
        <f>IFERROR(__xludf.DUMMYFUNCTION("""COMPUTED_VALUE"""),"Merawat tanaman")</f>
        <v>Merawat tanaman</v>
      </c>
      <c r="V937" s="11" t="str">
        <f>IFERROR(__xludf.DUMMYFUNCTION("""COMPUTED_VALUE"""),"082148059392")</f>
        <v>082148059392</v>
      </c>
      <c r="W937" s="15"/>
    </row>
    <row r="938" ht="22.5" customHeight="1">
      <c r="A938" s="8"/>
      <c r="B938" s="9">
        <f>IFERROR(__xludf.DUMMYFUNCTION("""COMPUTED_VALUE"""),45271.513810902776)</f>
        <v>45271.51381</v>
      </c>
      <c r="C938" s="9"/>
      <c r="D938" s="10">
        <f>IFERROR(__xludf.DUMMYFUNCTION("""COMPUTED_VALUE"""),45271.0)</f>
        <v>45271</v>
      </c>
      <c r="E938" s="10" t="str">
        <f>IFERROR(__xludf.DUMMYFUNCTION("""COMPUTED_VALUE"""),"12Des")</f>
        <v>12Des</v>
      </c>
      <c r="F938" s="10" t="str">
        <f>IFERROR(__xludf.DUMMYFUNCTION("""COMPUTED_VALUE"""),"2023")</f>
        <v>2023</v>
      </c>
      <c r="G938" s="16" t="str">
        <f>IFERROR(__xludf.DUMMYFUNCTION("""COMPUTED_VALUE"""),"HIKMAH NURZAMAN")</f>
        <v>HIKMAH NURZAMAN</v>
      </c>
      <c r="H938" s="17" t="str">
        <f>IFERROR(__xludf.DUMMYFUNCTION("""COMPUTED_VALUE"""),"H9423120075")</f>
        <v>H9423120075</v>
      </c>
      <c r="I938" s="17">
        <f>IFERROR(__xludf.DUMMYFUNCTION("""COMPUTED_VALUE"""),31.0)</f>
        <v>31</v>
      </c>
      <c r="J938" s="17" t="str">
        <f>IFERROR(__xludf.DUMMYFUNCTION("""COMPUTED_VALUE"""),"25-34 tahun")</f>
        <v>25-34 tahun</v>
      </c>
      <c r="K938" s="19">
        <f>IFERROR(__xludf.DUMMYFUNCTION("""COMPUTED_VALUE"""),34677.0)</f>
        <v>34677</v>
      </c>
      <c r="L938" s="19" t="str">
        <f>IFERROR(__xludf.DUMMYFUNCTION("""COMPUTED_VALUE"""),"LAKI-LAKI")</f>
        <v>LAKI-LAKI</v>
      </c>
      <c r="M938" s="16" t="str">
        <f>IFERROR(__xludf.DUMMYFUNCTION("""COMPUTED_VALUE"""),"JLN. Paris 2 komplek acisa permai")</f>
        <v>JLN. Paris 2 komplek acisa permai</v>
      </c>
      <c r="N938" s="16"/>
      <c r="O938" s="16"/>
      <c r="P938" s="16"/>
      <c r="Q938" s="16"/>
      <c r="R938" s="19" t="str">
        <f>IFERROR(__xludf.DUMMYFUNCTION("""COMPUTED_VALUE"""),"ISLAM")</f>
        <v>ISLAM</v>
      </c>
      <c r="S938" s="16" t="str">
        <f>IFERROR(__xludf.DUMMYFUNCTION("""COMPUTED_VALUE"""),"SWASTA")</f>
        <v>SWASTA</v>
      </c>
      <c r="T938" s="16" t="str">
        <f>IFERROR(__xludf.DUMMYFUNCTION("""COMPUTED_VALUE"""),"Sakit pinggang")</f>
        <v>Sakit pinggang</v>
      </c>
      <c r="U938" s="16" t="str">
        <f>IFERROR(__xludf.DUMMYFUNCTION("""COMPUTED_VALUE"""),"Lari, gym")</f>
        <v>Lari, gym</v>
      </c>
      <c r="V938" s="11" t="str">
        <f>IFERROR(__xludf.DUMMYFUNCTION("""COMPUTED_VALUE"""),"089601180075")</f>
        <v>089601180075</v>
      </c>
      <c r="W938" s="15"/>
    </row>
    <row r="939" ht="22.5" customHeight="1">
      <c r="A939" s="8"/>
      <c r="B939" s="9">
        <f>IFERROR(__xludf.DUMMYFUNCTION("""COMPUTED_VALUE"""),45271.64398420139)</f>
        <v>45271.64398</v>
      </c>
      <c r="C939" s="9"/>
      <c r="D939" s="10">
        <f>IFERROR(__xludf.DUMMYFUNCTION("""COMPUTED_VALUE"""),45271.0)</f>
        <v>45271</v>
      </c>
      <c r="E939" s="10" t="str">
        <f>IFERROR(__xludf.DUMMYFUNCTION("""COMPUTED_VALUE"""),"12Des")</f>
        <v>12Des</v>
      </c>
      <c r="F939" s="10" t="str">
        <f>IFERROR(__xludf.DUMMYFUNCTION("""COMPUTED_VALUE"""),"2023")</f>
        <v>2023</v>
      </c>
      <c r="G939" s="16" t="str">
        <f>IFERROR(__xludf.DUMMYFUNCTION("""COMPUTED_VALUE"""),"JOSHUA LIM")</f>
        <v>JOSHUA LIM</v>
      </c>
      <c r="H939" s="17" t="str">
        <f>IFERROR(__xludf.DUMMYFUNCTION("""COMPUTED_VALUE"""),"J1023124979")</f>
        <v>J1023124979</v>
      </c>
      <c r="I939" s="17">
        <f>IFERROR(__xludf.DUMMYFUNCTION("""COMPUTED_VALUE"""),16.0)</f>
        <v>16</v>
      </c>
      <c r="J939" s="17" t="str">
        <f>IFERROR(__xludf.DUMMYFUNCTION("""COMPUTED_VALUE"""),"&lt; 18 tahun")</f>
        <v>&lt; 18 tahun</v>
      </c>
      <c r="K939" s="19">
        <f>IFERROR(__xludf.DUMMYFUNCTION("""COMPUTED_VALUE"""),40191.0)</f>
        <v>40191</v>
      </c>
      <c r="L939" s="19" t="str">
        <f>IFERROR(__xludf.DUMMYFUNCTION("""COMPUTED_VALUE"""),"LAKI-LAKI")</f>
        <v>LAKI-LAKI</v>
      </c>
      <c r="M939" s="16" t="str">
        <f>IFERROR(__xludf.DUMMYFUNCTION("""COMPUTED_VALUE"""),"Warkop Sariwangi, Jl. Tanjung Pura")</f>
        <v>Warkop Sariwangi, Jl. Tanjung Pura</v>
      </c>
      <c r="N939" s="16"/>
      <c r="O939" s="16"/>
      <c r="P939" s="16"/>
      <c r="Q939" s="16"/>
      <c r="R939" s="19" t="str">
        <f>IFERROR(__xludf.DUMMYFUNCTION("""COMPUTED_VALUE"""),"PROTESTAN")</f>
        <v>PROTESTAN</v>
      </c>
      <c r="S939" s="16" t="str">
        <f>IFERROR(__xludf.DUMMYFUNCTION("""COMPUTED_VALUE"""),"PELAJAR/MAHASISWA")</f>
        <v>PELAJAR/MAHASISWA</v>
      </c>
      <c r="T939" s="16" t="str">
        <f>IFERROR(__xludf.DUMMYFUNCTION("""COMPUTED_VALUE"""),"Ankle")</f>
        <v>Ankle</v>
      </c>
      <c r="U939" s="16" t="str">
        <f>IFERROR(__xludf.DUMMYFUNCTION("""COMPUTED_VALUE"""),"Futsal dan Sepak bola")</f>
        <v>Futsal dan Sepak bola</v>
      </c>
      <c r="V939" s="11" t="str">
        <f>IFERROR(__xludf.DUMMYFUNCTION("""COMPUTED_VALUE"""),"082159834979")</f>
        <v>082159834979</v>
      </c>
      <c r="W939" s="15"/>
    </row>
    <row r="940" ht="22.5" customHeight="1">
      <c r="A940" s="8"/>
      <c r="B940" s="9">
        <f>IFERROR(__xludf.DUMMYFUNCTION("""COMPUTED_VALUE"""),45271.609074328706)</f>
        <v>45271.60907</v>
      </c>
      <c r="C940" s="9"/>
      <c r="D940" s="10">
        <f>IFERROR(__xludf.DUMMYFUNCTION("""COMPUTED_VALUE"""),45271.0)</f>
        <v>45271</v>
      </c>
      <c r="E940" s="10" t="str">
        <f>IFERROR(__xludf.DUMMYFUNCTION("""COMPUTED_VALUE"""),"12Des")</f>
        <v>12Des</v>
      </c>
      <c r="F940" s="10" t="str">
        <f>IFERROR(__xludf.DUMMYFUNCTION("""COMPUTED_VALUE"""),"2023")</f>
        <v>2023</v>
      </c>
      <c r="G940" s="16" t="str">
        <f>IFERROR(__xludf.DUMMYFUNCTION("""COMPUTED_VALUE"""),"A. RUKIP")</f>
        <v>A. RUKIP</v>
      </c>
      <c r="H940" s="17" t="str">
        <f>IFERROR(__xludf.DUMMYFUNCTION("""COMPUTED_VALUE"""),"A6823125782")</f>
        <v>A6823125782</v>
      </c>
      <c r="I940" s="17">
        <f>IFERROR(__xludf.DUMMYFUNCTION("""COMPUTED_VALUE"""),57.0)</f>
        <v>57</v>
      </c>
      <c r="J940" s="17" t="str">
        <f>IFERROR(__xludf.DUMMYFUNCTION("""COMPUTED_VALUE"""),"&gt; 44 tahun")</f>
        <v>&gt; 44 tahun</v>
      </c>
      <c r="K940" s="19">
        <f>IFERROR(__xludf.DUMMYFUNCTION("""COMPUTED_VALUE"""),25065.0)</f>
        <v>25065</v>
      </c>
      <c r="L940" s="19" t="str">
        <f>IFERROR(__xludf.DUMMYFUNCTION("""COMPUTED_VALUE"""),"LAKI-LAKI")</f>
        <v>LAKI-LAKI</v>
      </c>
      <c r="M940" s="16" t="str">
        <f>IFERROR(__xludf.DUMMYFUNCTION("""COMPUTED_VALUE"""),"Swakarya 2")</f>
        <v>Swakarya 2</v>
      </c>
      <c r="N940" s="16"/>
      <c r="O940" s="16"/>
      <c r="P940" s="16"/>
      <c r="Q940" s="16"/>
      <c r="R940" s="19" t="str">
        <f>IFERROR(__xludf.DUMMYFUNCTION("""COMPUTED_VALUE"""),"ISLAM")</f>
        <v>ISLAM</v>
      </c>
      <c r="S940" s="16" t="str">
        <f>IFERROR(__xludf.DUMMYFUNCTION("""COMPUTED_VALUE"""),"ASN")</f>
        <v>ASN</v>
      </c>
      <c r="T940" s="16" t="str">
        <f>IFERROR(__xludf.DUMMYFUNCTION("""COMPUTED_VALUE"""),"Nyeri pinggang")</f>
        <v>Nyeri pinggang</v>
      </c>
      <c r="U940" s="16" t="str">
        <f>IFERROR(__xludf.DUMMYFUNCTION("""COMPUTED_VALUE"""),"Tenis")</f>
        <v>Tenis</v>
      </c>
      <c r="V940" s="11" t="str">
        <f>IFERROR(__xludf.DUMMYFUNCTION("""COMPUTED_VALUE"""),"081256985782")</f>
        <v>081256985782</v>
      </c>
      <c r="W940" s="15"/>
    </row>
    <row r="941" ht="22.5" customHeight="1">
      <c r="A941" s="8"/>
      <c r="B941" s="9">
        <f>IFERROR(__xludf.DUMMYFUNCTION("""COMPUTED_VALUE"""),45271.91077185185)</f>
        <v>45271.91077</v>
      </c>
      <c r="C941" s="9"/>
      <c r="D941" s="10">
        <f>IFERROR(__xludf.DUMMYFUNCTION("""COMPUTED_VALUE"""),45271.0)</f>
        <v>45271</v>
      </c>
      <c r="E941" s="10" t="str">
        <f>IFERROR(__xludf.DUMMYFUNCTION("""COMPUTED_VALUE"""),"12Des")</f>
        <v>12Des</v>
      </c>
      <c r="F941" s="10" t="str">
        <f>IFERROR(__xludf.DUMMYFUNCTION("""COMPUTED_VALUE"""),"2023")</f>
        <v>2023</v>
      </c>
      <c r="G941" s="16" t="str">
        <f>IFERROR(__xludf.DUMMYFUNCTION("""COMPUTED_VALUE"""),"TRI HASTUTI")</f>
        <v>TRI HASTUTI</v>
      </c>
      <c r="H941" s="17" t="str">
        <f>IFERROR(__xludf.DUMMYFUNCTION("""COMPUTED_VALUE"""),"T7223120125")</f>
        <v>T7223120125</v>
      </c>
      <c r="I941" s="17">
        <f>IFERROR(__xludf.DUMMYFUNCTION("""COMPUTED_VALUE"""),53.0)</f>
        <v>53</v>
      </c>
      <c r="J941" s="17" t="str">
        <f>IFERROR(__xludf.DUMMYFUNCTION("""COMPUTED_VALUE"""),"&gt; 44 tahun")</f>
        <v>&gt; 44 tahun</v>
      </c>
      <c r="K941" s="19">
        <f>IFERROR(__xludf.DUMMYFUNCTION("""COMPUTED_VALUE"""),26548.0)</f>
        <v>26548</v>
      </c>
      <c r="L941" s="19" t="str">
        <f>IFERROR(__xludf.DUMMYFUNCTION("""COMPUTED_VALUE"""),"PEREMPUAN")</f>
        <v>PEREMPUAN</v>
      </c>
      <c r="M941" s="16" t="str">
        <f>IFERROR(__xludf.DUMMYFUNCTION("""COMPUTED_VALUE"""),"Jl. Ampera Gg Putri Bungsu Komp Sriwijaya Lestari D3. Sei Bangkong, Pontanak Kota")</f>
        <v>Jl. Ampera Gg Putri Bungsu Komp Sriwijaya Lestari D3. Sei Bangkong, Pontanak Kota</v>
      </c>
      <c r="N941" s="16"/>
      <c r="O941" s="16"/>
      <c r="P941" s="16"/>
      <c r="Q941" s="16"/>
      <c r="R941" s="19" t="str">
        <f>IFERROR(__xludf.DUMMYFUNCTION("""COMPUTED_VALUE"""),"ISLAM")</f>
        <v>ISLAM</v>
      </c>
      <c r="S941" s="16" t="str">
        <f>IFERROR(__xludf.DUMMYFUNCTION("""COMPUTED_VALUE"""),"RUMAH TANGGA")</f>
        <v>RUMAH TANGGA</v>
      </c>
      <c r="T941" s="16" t="str">
        <f>IFERROR(__xludf.DUMMYFUNCTION("""COMPUTED_VALUE"""),"Nyeri di daerah pinggang")</f>
        <v>Nyeri di daerah pinggang</v>
      </c>
      <c r="U941" s="16" t="str">
        <f>IFERROR(__xludf.DUMMYFUNCTION("""COMPUTED_VALUE"""),"Ibu Rumah Tangga")</f>
        <v>Ibu Rumah Tangga</v>
      </c>
      <c r="V941" s="11" t="str">
        <f>IFERROR(__xludf.DUMMYFUNCTION("""COMPUTED_VALUE"""),"081345020125")</f>
        <v>081345020125</v>
      </c>
      <c r="W941" s="15"/>
    </row>
    <row r="942" ht="22.5" customHeight="1">
      <c r="A942" s="8"/>
      <c r="B942" s="9">
        <f>IFERROR(__xludf.DUMMYFUNCTION("""COMPUTED_VALUE"""),45269.81974548611)</f>
        <v>45269.81975</v>
      </c>
      <c r="C942" s="9"/>
      <c r="D942" s="10">
        <f>IFERROR(__xludf.DUMMYFUNCTION("""COMPUTED_VALUE"""),45271.0)</f>
        <v>45271</v>
      </c>
      <c r="E942" s="10" t="str">
        <f>IFERROR(__xludf.DUMMYFUNCTION("""COMPUTED_VALUE"""),"12Des")</f>
        <v>12Des</v>
      </c>
      <c r="F942" s="10" t="str">
        <f>IFERROR(__xludf.DUMMYFUNCTION("""COMPUTED_VALUE"""),"2023")</f>
        <v>2023</v>
      </c>
      <c r="G942" s="16" t="str">
        <f>IFERROR(__xludf.DUMMYFUNCTION("""COMPUTED_VALUE"""),"RIKZA FAHDEPI")</f>
        <v>RIKZA FAHDEPI</v>
      </c>
      <c r="H942" s="17" t="str">
        <f>IFERROR(__xludf.DUMMYFUNCTION("""COMPUTED_VALUE"""),"R8423120008")</f>
        <v>R8423120008</v>
      </c>
      <c r="I942" s="17">
        <f>IFERROR(__xludf.DUMMYFUNCTION("""COMPUTED_VALUE"""),42.0)</f>
        <v>42</v>
      </c>
      <c r="J942" s="17" t="str">
        <f>IFERROR(__xludf.DUMMYFUNCTION("""COMPUTED_VALUE"""),"35-44 tahun")</f>
        <v>35-44 tahun</v>
      </c>
      <c r="K942" s="19">
        <f>IFERROR(__xludf.DUMMYFUNCTION("""COMPUTED_VALUE"""),30732.0)</f>
        <v>30732</v>
      </c>
      <c r="L942" s="19" t="str">
        <f>IFERROR(__xludf.DUMMYFUNCTION("""COMPUTED_VALUE"""),"LAKI-LAKI")</f>
        <v>LAKI-LAKI</v>
      </c>
      <c r="M942" s="16" t="str">
        <f>IFERROR(__xludf.DUMMYFUNCTION("""COMPUTED_VALUE"""),"Jalan untung suropatino c9")</f>
        <v>Jalan untung suropatino c9</v>
      </c>
      <c r="N942" s="16"/>
      <c r="O942" s="16"/>
      <c r="P942" s="16"/>
      <c r="Q942" s="16"/>
      <c r="R942" s="19" t="str">
        <f>IFERROR(__xludf.DUMMYFUNCTION("""COMPUTED_VALUE"""),"BUDDHA")</f>
        <v>BUDDHA</v>
      </c>
      <c r="S942" s="16" t="str">
        <f>IFERROR(__xludf.DUMMYFUNCTION("""COMPUTED_VALUE"""),"SWASTA")</f>
        <v>SWASTA</v>
      </c>
      <c r="T942" s="16" t="str">
        <f>IFERROR(__xludf.DUMMYFUNCTION("""COMPUTED_VALUE"""),"Sering sakit punggung belakang , mulai dari leher sampai ke punggung")</f>
        <v>Sering sakit punggung belakang , mulai dari leher sampai ke punggung</v>
      </c>
      <c r="U942" s="16" t="str">
        <f>IFERROR(__xludf.DUMMYFUNCTION("""COMPUTED_VALUE"""),"Pekerja lapangan, sering jalan kaki")</f>
        <v>Pekerja lapangan, sering jalan kaki</v>
      </c>
      <c r="V942" s="11" t="str">
        <f>IFERROR(__xludf.DUMMYFUNCTION("""COMPUTED_VALUE"""),"085787610008")</f>
        <v>085787610008</v>
      </c>
      <c r="W942" s="15"/>
    </row>
    <row r="943" ht="22.5" customHeight="1">
      <c r="A943" s="8"/>
      <c r="B943" s="9">
        <f>IFERROR(__xludf.DUMMYFUNCTION("""COMPUTED_VALUE"""),45273.41118722223)</f>
        <v>45273.41119</v>
      </c>
      <c r="C943" s="9"/>
      <c r="D943" s="10">
        <f>IFERROR(__xludf.DUMMYFUNCTION("""COMPUTED_VALUE"""),45271.0)</f>
        <v>45271</v>
      </c>
      <c r="E943" s="10" t="str">
        <f>IFERROR(__xludf.DUMMYFUNCTION("""COMPUTED_VALUE"""),"12Des")</f>
        <v>12Des</v>
      </c>
      <c r="F943" s="10" t="str">
        <f>IFERROR(__xludf.DUMMYFUNCTION("""COMPUTED_VALUE"""),"2023")</f>
        <v>2023</v>
      </c>
      <c r="G943" s="16" t="str">
        <f>IFERROR(__xludf.DUMMYFUNCTION("""COMPUTED_VALUE"""),"RIZAL KURNIADI")</f>
        <v>RIZAL KURNIADI</v>
      </c>
      <c r="H943" s="17" t="str">
        <f>IFERROR(__xludf.DUMMYFUNCTION("""COMPUTED_VALUE"""),"R0223120902")</f>
        <v>R0223120902</v>
      </c>
      <c r="I943" s="17">
        <f>IFERROR(__xludf.DUMMYFUNCTION("""COMPUTED_VALUE"""),23.0)</f>
        <v>23</v>
      </c>
      <c r="J943" s="17" t="str">
        <f>IFERROR(__xludf.DUMMYFUNCTION("""COMPUTED_VALUE"""),"18-24 tahun")</f>
        <v>18-24 tahun</v>
      </c>
      <c r="K943" s="19">
        <f>IFERROR(__xludf.DUMMYFUNCTION("""COMPUTED_VALUE"""),37538.0)</f>
        <v>37538</v>
      </c>
      <c r="L943" s="19" t="str">
        <f>IFERROR(__xludf.DUMMYFUNCTION("""COMPUTED_VALUE"""),"LAKI-LAKI")</f>
        <v>LAKI-LAKI</v>
      </c>
      <c r="M943" s="16" t="str">
        <f>IFERROR(__xludf.DUMMYFUNCTION("""COMPUTED_VALUE"""),"Dusun Urau Tekaban Kab. Melawi")</f>
        <v>Dusun Urau Tekaban Kab. Melawi</v>
      </c>
      <c r="N943" s="16"/>
      <c r="O943" s="16"/>
      <c r="P943" s="16"/>
      <c r="Q943" s="16"/>
      <c r="R943" s="19" t="str">
        <f>IFERROR(__xludf.DUMMYFUNCTION("""COMPUTED_VALUE"""),"ISLAM")</f>
        <v>ISLAM</v>
      </c>
      <c r="S943" s="16" t="str">
        <f>IFERROR(__xludf.DUMMYFUNCTION("""COMPUTED_VALUE"""),"PELAJAR/MAHASISWA")</f>
        <v>PELAJAR/MAHASISWA</v>
      </c>
      <c r="T943" s="16" t="str">
        <f>IFERROR(__xludf.DUMMYFUNCTION("""COMPUTED_VALUE"""),"Cindera ( kanan)")</f>
        <v>Cindera ( kanan)</v>
      </c>
      <c r="U943" s="16" t="str">
        <f>IFERROR(__xludf.DUMMYFUNCTION("""COMPUTED_VALUE"""),"Bola-Futsal_ Kuliah")</f>
        <v>Bola-Futsal_ Kuliah</v>
      </c>
      <c r="V943" s="11" t="str">
        <f>IFERROR(__xludf.DUMMYFUNCTION("""COMPUTED_VALUE"""),"0895321240902")</f>
        <v>0895321240902</v>
      </c>
      <c r="W943" s="15"/>
    </row>
    <row r="944" ht="22.5" customHeight="1">
      <c r="A944" s="8"/>
      <c r="B944" s="9">
        <f>IFERROR(__xludf.DUMMYFUNCTION("""COMPUTED_VALUE"""),45273.44485946759)</f>
        <v>45273.44486</v>
      </c>
      <c r="C944" s="9"/>
      <c r="D944" s="10">
        <f>IFERROR(__xludf.DUMMYFUNCTION("""COMPUTED_VALUE"""),45272.0)</f>
        <v>45272</v>
      </c>
      <c r="E944" s="10" t="str">
        <f>IFERROR(__xludf.DUMMYFUNCTION("""COMPUTED_VALUE"""),"12Des")</f>
        <v>12Des</v>
      </c>
      <c r="F944" s="10" t="str">
        <f>IFERROR(__xludf.DUMMYFUNCTION("""COMPUTED_VALUE"""),"2023")</f>
        <v>2023</v>
      </c>
      <c r="G944" s="16" t="str">
        <f>IFERROR(__xludf.DUMMYFUNCTION("""COMPUTED_VALUE"""),"ARYUN RIFQI BAIQUNI")</f>
        <v>ARYUN RIFQI BAIQUNI</v>
      </c>
      <c r="H944" s="17" t="str">
        <f>IFERROR(__xludf.DUMMYFUNCTION("""COMPUTED_VALUE"""),"A9223127522")</f>
        <v>A9223127522</v>
      </c>
      <c r="I944" s="17">
        <f>IFERROR(__xludf.DUMMYFUNCTION("""COMPUTED_VALUE"""),34.0)</f>
        <v>34</v>
      </c>
      <c r="J944" s="17" t="str">
        <f>IFERROR(__xludf.DUMMYFUNCTION("""COMPUTED_VALUE"""),"25-34 tahun")</f>
        <v>25-34 tahun</v>
      </c>
      <c r="K944" s="19">
        <f>IFERROR(__xludf.DUMMYFUNCTION("""COMPUTED_VALUE"""),33765.0)</f>
        <v>33765</v>
      </c>
      <c r="L944" s="19" t="str">
        <f>IFERROR(__xludf.DUMMYFUNCTION("""COMPUTED_VALUE"""),"LAKI-LAKI")</f>
        <v>LAKI-LAKI</v>
      </c>
      <c r="M944" s="16" t="str">
        <f>IFERROR(__xludf.DUMMYFUNCTION("""COMPUTED_VALUE"""),"Perumahan Depok Maharaja Blok O-2 No. 23")</f>
        <v>Perumahan Depok Maharaja Blok O-2 No. 23</v>
      </c>
      <c r="N944" s="16"/>
      <c r="O944" s="16"/>
      <c r="P944" s="16"/>
      <c r="Q944" s="16"/>
      <c r="R944" s="19" t="str">
        <f>IFERROR(__xludf.DUMMYFUNCTION("""COMPUTED_VALUE"""),"ISLAM")</f>
        <v>ISLAM</v>
      </c>
      <c r="S944" s="16" t="str">
        <f>IFERROR(__xludf.DUMMYFUNCTION("""COMPUTED_VALUE"""),"BUMN")</f>
        <v>BUMN</v>
      </c>
      <c r="T944" s="16" t="str">
        <f>IFERROR(__xludf.DUMMYFUNCTION("""COMPUTED_VALUE"""),"Nyeri di bagian kaki kiri, mulai dari pinggul kiri sampai angkle kiri")</f>
        <v>Nyeri di bagian kaki kiri, mulai dari pinggul kiri sampai angkle kiri</v>
      </c>
      <c r="U944" s="16" t="str">
        <f>IFERROR(__xludf.DUMMYFUNCTION("""COMPUTED_VALUE"""),"HIIT Cardio, Joging, Bersepeda")</f>
        <v>HIIT Cardio, Joging, Bersepeda</v>
      </c>
      <c r="V944" s="11" t="str">
        <f>IFERROR(__xludf.DUMMYFUNCTION("""COMPUTED_VALUE"""),"0811577522")</f>
        <v>0811577522</v>
      </c>
      <c r="W944" s="15"/>
    </row>
    <row r="945" ht="22.5" customHeight="1">
      <c r="A945" s="8"/>
      <c r="B945" s="9">
        <f>IFERROR(__xludf.DUMMYFUNCTION("""COMPUTED_VALUE"""),45274.399054594905)</f>
        <v>45274.39905</v>
      </c>
      <c r="C945" s="9"/>
      <c r="D945" s="10">
        <f>IFERROR(__xludf.DUMMYFUNCTION("""COMPUTED_VALUE"""),45273.0)</f>
        <v>45273</v>
      </c>
      <c r="E945" s="10" t="str">
        <f>IFERROR(__xludf.DUMMYFUNCTION("""COMPUTED_VALUE"""),"12Des")</f>
        <v>12Des</v>
      </c>
      <c r="F945" s="10" t="str">
        <f>IFERROR(__xludf.DUMMYFUNCTION("""COMPUTED_VALUE"""),"2023")</f>
        <v>2023</v>
      </c>
      <c r="G945" s="16" t="str">
        <f>IFERROR(__xludf.DUMMYFUNCTION("""COMPUTED_VALUE"""),"RAJIDIN")</f>
        <v>RAJIDIN</v>
      </c>
      <c r="H945" s="17" t="str">
        <f>IFERROR(__xludf.DUMMYFUNCTION("""COMPUTED_VALUE"""),"R8723125757")</f>
        <v>R8723125757</v>
      </c>
      <c r="I945" s="17">
        <f>IFERROR(__xludf.DUMMYFUNCTION("""COMPUTED_VALUE"""),39.0)</f>
        <v>39</v>
      </c>
      <c r="J945" s="17" t="str">
        <f>IFERROR(__xludf.DUMMYFUNCTION("""COMPUTED_VALUE"""),"35-44 tahun")</f>
        <v>35-44 tahun</v>
      </c>
      <c r="K945" s="19">
        <f>IFERROR(__xludf.DUMMYFUNCTION("""COMPUTED_VALUE"""),31807.0)</f>
        <v>31807</v>
      </c>
      <c r="L945" s="19" t="str">
        <f>IFERROR(__xludf.DUMMYFUNCTION("""COMPUTED_VALUE"""),"LAKI-LAKI")</f>
        <v>LAKI-LAKI</v>
      </c>
      <c r="M945" s="16" t="str">
        <f>IFERROR(__xludf.DUMMYFUNCTION("""COMPUTED_VALUE"""),"Sungai kakap")</f>
        <v>Sungai kakap</v>
      </c>
      <c r="N945" s="16"/>
      <c r="O945" s="16"/>
      <c r="P945" s="16"/>
      <c r="Q945" s="16"/>
      <c r="R945" s="19" t="str">
        <f>IFERROR(__xludf.DUMMYFUNCTION("""COMPUTED_VALUE"""),"ISLAM")</f>
        <v>ISLAM</v>
      </c>
      <c r="S945" s="16" t="str">
        <f>IFERROR(__xludf.DUMMYFUNCTION("""COMPUTED_VALUE"""),"SWASTA")</f>
        <v>SWASTA</v>
      </c>
      <c r="T945" s="16" t="str">
        <f>IFERROR(__xludf.DUMMYFUNCTION("""COMPUTED_VALUE"""),"Cidera")</f>
        <v>Cidera</v>
      </c>
      <c r="U945" s="16" t="str">
        <f>IFERROR(__xludf.DUMMYFUNCTION("""COMPUTED_VALUE"""),"Olahraga")</f>
        <v>Olahraga</v>
      </c>
      <c r="V945" s="11" t="str">
        <f>IFERROR(__xludf.DUMMYFUNCTION("""COMPUTED_VALUE"""),"081313475757")</f>
        <v>081313475757</v>
      </c>
      <c r="W945" s="15"/>
    </row>
    <row r="946" ht="22.5" customHeight="1">
      <c r="A946" s="8"/>
      <c r="B946" s="9">
        <f>IFERROR(__xludf.DUMMYFUNCTION("""COMPUTED_VALUE"""),45274.45441283565)</f>
        <v>45274.45441</v>
      </c>
      <c r="C946" s="9"/>
      <c r="D946" s="10">
        <f>IFERROR(__xludf.DUMMYFUNCTION("""COMPUTED_VALUE"""),45274.0)</f>
        <v>45274</v>
      </c>
      <c r="E946" s="10" t="str">
        <f>IFERROR(__xludf.DUMMYFUNCTION("""COMPUTED_VALUE"""),"12Des")</f>
        <v>12Des</v>
      </c>
      <c r="F946" s="10" t="str">
        <f>IFERROR(__xludf.DUMMYFUNCTION("""COMPUTED_VALUE"""),"2023")</f>
        <v>2023</v>
      </c>
      <c r="G946" s="16" t="str">
        <f>IFERROR(__xludf.DUMMYFUNCTION("""COMPUTED_VALUE"""),"BUDI HARIANSYAH")</f>
        <v>BUDI HARIANSYAH</v>
      </c>
      <c r="H946" s="17" t="str">
        <f>IFERROR(__xludf.DUMMYFUNCTION("""COMPUTED_VALUE"""),"B0623125223")</f>
        <v>B0623125223</v>
      </c>
      <c r="I946" s="17">
        <f>IFERROR(__xludf.DUMMYFUNCTION("""COMPUTED_VALUE"""),19.0)</f>
        <v>19</v>
      </c>
      <c r="J946" s="17" t="str">
        <f>IFERROR(__xludf.DUMMYFUNCTION("""COMPUTED_VALUE"""),"18-24 tahun")</f>
        <v>18-24 tahun</v>
      </c>
      <c r="K946" s="19">
        <f>IFERROR(__xludf.DUMMYFUNCTION("""COMPUTED_VALUE"""),38969.0)</f>
        <v>38969</v>
      </c>
      <c r="L946" s="19" t="str">
        <f>IFERROR(__xludf.DUMMYFUNCTION("""COMPUTED_VALUE"""),"LAKI-LAKI")</f>
        <v>LAKI-LAKI</v>
      </c>
      <c r="M946" s="16" t="str">
        <f>IFERROR(__xludf.DUMMYFUNCTION("""COMPUTED_VALUE"""),"Jln.panca bhakti")</f>
        <v>Jln.panca bhakti</v>
      </c>
      <c r="N946" s="16"/>
      <c r="O946" s="16"/>
      <c r="P946" s="16"/>
      <c r="Q946" s="16"/>
      <c r="R946" s="19" t="str">
        <f>IFERROR(__xludf.DUMMYFUNCTION("""COMPUTED_VALUE"""),"ISLAM")</f>
        <v>ISLAM</v>
      </c>
      <c r="S946" s="16" t="str">
        <f>IFERROR(__xludf.DUMMYFUNCTION("""COMPUTED_VALUE"""),"PELAJAR/MAHASISWA")</f>
        <v>PELAJAR/MAHASISWA</v>
      </c>
      <c r="T946" s="16" t="str">
        <f>IFERROR(__xludf.DUMMYFUNCTION("""COMPUTED_VALUE"""),"Lutu")</f>
        <v>Lutu</v>
      </c>
      <c r="U946" s="16" t="str">
        <f>IFERROR(__xludf.DUMMYFUNCTION("""COMPUTED_VALUE"""),"Futsal")</f>
        <v>Futsal</v>
      </c>
      <c r="V946" s="11" t="str">
        <f>IFERROR(__xludf.DUMMYFUNCTION("""COMPUTED_VALUE"""),"085822065223")</f>
        <v>085822065223</v>
      </c>
      <c r="W946" s="15"/>
    </row>
    <row r="947" ht="22.5" customHeight="1">
      <c r="A947" s="8"/>
      <c r="B947" s="9">
        <f>IFERROR(__xludf.DUMMYFUNCTION("""COMPUTED_VALUE"""),45276.387995439814)</f>
        <v>45276.388</v>
      </c>
      <c r="C947" s="9"/>
      <c r="D947" s="10">
        <f>IFERROR(__xludf.DUMMYFUNCTION("""COMPUTED_VALUE"""),45274.0)</f>
        <v>45274</v>
      </c>
      <c r="E947" s="10" t="str">
        <f>IFERROR(__xludf.DUMMYFUNCTION("""COMPUTED_VALUE"""),"12Des")</f>
        <v>12Des</v>
      </c>
      <c r="F947" s="10" t="str">
        <f>IFERROR(__xludf.DUMMYFUNCTION("""COMPUTED_VALUE"""),"2023")</f>
        <v>2023</v>
      </c>
      <c r="G947" s="16" t="str">
        <f>IFERROR(__xludf.DUMMYFUNCTION("""COMPUTED_VALUE"""),"DIMAS IRSANDO PUTRA")</f>
        <v>DIMAS IRSANDO PUTRA</v>
      </c>
      <c r="H947" s="17" t="str">
        <f>IFERROR(__xludf.DUMMYFUNCTION("""COMPUTED_VALUE"""),"D9323120351")</f>
        <v>D9323120351</v>
      </c>
      <c r="I947" s="17">
        <f>IFERROR(__xludf.DUMMYFUNCTION("""COMPUTED_VALUE"""),33.0)</f>
        <v>33</v>
      </c>
      <c r="J947" s="17" t="str">
        <f>IFERROR(__xludf.DUMMYFUNCTION("""COMPUTED_VALUE"""),"25-34 tahun")</f>
        <v>25-34 tahun</v>
      </c>
      <c r="K947" s="19">
        <f>IFERROR(__xludf.DUMMYFUNCTION("""COMPUTED_VALUE"""),34103.0)</f>
        <v>34103</v>
      </c>
      <c r="L947" s="19" t="str">
        <f>IFERROR(__xludf.DUMMYFUNCTION("""COMPUTED_VALUE"""),"LAKI-LAKI")</f>
        <v>LAKI-LAKI</v>
      </c>
      <c r="M947" s="16" t="str">
        <f>IFERROR(__xludf.DUMMYFUNCTION("""COMPUTED_VALUE"""),"Dusun mulyorejo")</f>
        <v>Dusun mulyorejo</v>
      </c>
      <c r="N947" s="16"/>
      <c r="O947" s="16"/>
      <c r="P947" s="16"/>
      <c r="Q947" s="16"/>
      <c r="R947" s="19" t="str">
        <f>IFERROR(__xludf.DUMMYFUNCTION("""COMPUTED_VALUE"""),"ISLAM")</f>
        <v>ISLAM</v>
      </c>
      <c r="S947" s="16" t="str">
        <f>IFERROR(__xludf.DUMMYFUNCTION("""COMPUTED_VALUE"""),"BUMN")</f>
        <v>BUMN</v>
      </c>
      <c r="T947" s="16" t="str">
        <f>IFERROR(__xludf.DUMMYFUNCTION("""COMPUTED_VALUE"""),"Sakit pada")</f>
        <v>Sakit pada</v>
      </c>
      <c r="U947" s="16" t="str">
        <f>IFERROR(__xludf.DUMMYFUNCTION("""COMPUTED_VALUE"""),"Jalan kaki")</f>
        <v>Jalan kaki</v>
      </c>
      <c r="V947" s="11" t="str">
        <f>IFERROR(__xludf.DUMMYFUNCTION("""COMPUTED_VALUE"""),"087844820351")</f>
        <v>087844820351</v>
      </c>
      <c r="W947" s="15"/>
    </row>
    <row r="948" ht="22.5" customHeight="1">
      <c r="A948" s="8"/>
      <c r="B948" s="9">
        <f>IFERROR(__xludf.DUMMYFUNCTION("""COMPUTED_VALUE"""),45276.394860671295)</f>
        <v>45276.39486</v>
      </c>
      <c r="C948" s="9"/>
      <c r="D948" s="10">
        <f>IFERROR(__xludf.DUMMYFUNCTION("""COMPUTED_VALUE"""),45276.0)</f>
        <v>45276</v>
      </c>
      <c r="E948" s="10" t="str">
        <f>IFERROR(__xludf.DUMMYFUNCTION("""COMPUTED_VALUE"""),"12Des")</f>
        <v>12Des</v>
      </c>
      <c r="F948" s="10" t="str">
        <f>IFERROR(__xludf.DUMMYFUNCTION("""COMPUTED_VALUE"""),"2023")</f>
        <v>2023</v>
      </c>
      <c r="G948" s="16" t="str">
        <f>IFERROR(__xludf.DUMMYFUNCTION("""COMPUTED_VALUE"""),"AKHMAD JOKO TETUKO")</f>
        <v>AKHMAD JOKO TETUKO</v>
      </c>
      <c r="H948" s="17" t="str">
        <f>IFERROR(__xludf.DUMMYFUNCTION("""COMPUTED_VALUE"""),"A8523129790")</f>
        <v>A8523129790</v>
      </c>
      <c r="I948" s="17">
        <f>IFERROR(__xludf.DUMMYFUNCTION("""COMPUTED_VALUE"""),40.0)</f>
        <v>40</v>
      </c>
      <c r="J948" s="17" t="str">
        <f>IFERROR(__xludf.DUMMYFUNCTION("""COMPUTED_VALUE"""),"35-44 tahun")</f>
        <v>35-44 tahun</v>
      </c>
      <c r="K948" s="19">
        <f>IFERROR(__xludf.DUMMYFUNCTION("""COMPUTED_VALUE"""),31341.0)</f>
        <v>31341</v>
      </c>
      <c r="L948" s="19" t="str">
        <f>IFERROR(__xludf.DUMMYFUNCTION("""COMPUTED_VALUE"""),"LAKI-LAKI")</f>
        <v>LAKI-LAKI</v>
      </c>
      <c r="M948" s="16" t="str">
        <f>IFERROR(__xludf.DUMMYFUNCTION("""COMPUTED_VALUE"""),"Jl. Prof. M. Yamin, Gg. Morodadi No. 25, RT. 003/RW.041, Kel. Sungai Bangkong, Kec. Pontianak Kota, Kota Pontianak")</f>
        <v>Jl. Prof. M. Yamin, Gg. Morodadi No. 25, RT. 003/RW.041, Kel. Sungai Bangkong, Kec. Pontianak Kota, Kota Pontianak</v>
      </c>
      <c r="N948" s="16"/>
      <c r="O948" s="16"/>
      <c r="P948" s="16"/>
      <c r="Q948" s="16"/>
      <c r="R948" s="19" t="str">
        <f>IFERROR(__xludf.DUMMYFUNCTION("""COMPUTED_VALUE"""),"ISLAM")</f>
        <v>ISLAM</v>
      </c>
      <c r="S948" s="16" t="str">
        <f>IFERROR(__xludf.DUMMYFUNCTION("""COMPUTED_VALUE"""),"ASN")</f>
        <v>ASN</v>
      </c>
      <c r="T948" s="16" t="str">
        <f>IFERROR(__xludf.DUMMYFUNCTION("""COMPUTED_VALUE"""),"Cedera")</f>
        <v>Cedera</v>
      </c>
      <c r="U948" s="16" t="str">
        <f>IFERROR(__xludf.DUMMYFUNCTION("""COMPUTED_VALUE"""),"Sepakbola, Futsal")</f>
        <v>Sepakbola, Futsal</v>
      </c>
      <c r="V948" s="11" t="str">
        <f>IFERROR(__xludf.DUMMYFUNCTION("""COMPUTED_VALUE"""),"085252229790")</f>
        <v>085252229790</v>
      </c>
      <c r="W948" s="15"/>
    </row>
    <row r="949" ht="22.5" customHeight="1">
      <c r="A949" s="8"/>
      <c r="B949" s="9">
        <f>IFERROR(__xludf.DUMMYFUNCTION("""COMPUTED_VALUE"""),45276.40096182871)</f>
        <v>45276.40096</v>
      </c>
      <c r="C949" s="9"/>
      <c r="D949" s="10">
        <f>IFERROR(__xludf.DUMMYFUNCTION("""COMPUTED_VALUE"""),45276.0)</f>
        <v>45276</v>
      </c>
      <c r="E949" s="10" t="str">
        <f>IFERROR(__xludf.DUMMYFUNCTION("""COMPUTED_VALUE"""),"12Des")</f>
        <v>12Des</v>
      </c>
      <c r="F949" s="10" t="str">
        <f>IFERROR(__xludf.DUMMYFUNCTION("""COMPUTED_VALUE"""),"2023")</f>
        <v>2023</v>
      </c>
      <c r="G949" s="16" t="str">
        <f>IFERROR(__xludf.DUMMYFUNCTION("""COMPUTED_VALUE"""),"DARA APRILA YUSLYANI")</f>
        <v>DARA APRILA YUSLYANI</v>
      </c>
      <c r="H949" s="17" t="str">
        <f>IFERROR(__xludf.DUMMYFUNCTION("""COMPUTED_VALUE"""),"D9523123678")</f>
        <v>D9523123678</v>
      </c>
      <c r="I949" s="17">
        <f>IFERROR(__xludf.DUMMYFUNCTION("""COMPUTED_VALUE"""),31.0)</f>
        <v>31</v>
      </c>
      <c r="J949" s="17" t="str">
        <f>IFERROR(__xludf.DUMMYFUNCTION("""COMPUTED_VALUE"""),"25-34 tahun")</f>
        <v>25-34 tahun</v>
      </c>
      <c r="K949" s="19">
        <f>IFERROR(__xludf.DUMMYFUNCTION("""COMPUTED_VALUE"""),34803.0)</f>
        <v>34803</v>
      </c>
      <c r="L949" s="19" t="str">
        <f>IFERROR(__xludf.DUMMYFUNCTION("""COMPUTED_VALUE"""),"PEREMPUAN")</f>
        <v>PEREMPUAN</v>
      </c>
      <c r="M949" s="16" t="str">
        <f>IFERROR(__xludf.DUMMYFUNCTION("""COMPUTED_VALUE"""),"Jln alianyang aspol honggo pranoto")</f>
        <v>Jln alianyang aspol honggo pranoto</v>
      </c>
      <c r="N949" s="16"/>
      <c r="O949" s="16"/>
      <c r="P949" s="16"/>
      <c r="Q949" s="16"/>
      <c r="R949" s="19" t="str">
        <f>IFERROR(__xludf.DUMMYFUNCTION("""COMPUTED_VALUE"""),"ISLAM")</f>
        <v>ISLAM</v>
      </c>
      <c r="S949" s="16" t="str">
        <f>IFERROR(__xludf.DUMMYFUNCTION("""COMPUTED_VALUE"""),"SWASTA")</f>
        <v>SWASTA</v>
      </c>
      <c r="T949" s="16" t="str">
        <f>IFERROR(__xludf.DUMMYFUNCTION("""COMPUTED_VALUE"""),"Sakit pinggang")</f>
        <v>Sakit pinggang</v>
      </c>
      <c r="U949" s="16" t="str">
        <f>IFERROR(__xludf.DUMMYFUNCTION("""COMPUTED_VALUE"""),"Olahraga")</f>
        <v>Olahraga</v>
      </c>
      <c r="V949" s="11" t="str">
        <f>IFERROR(__xludf.DUMMYFUNCTION("""COMPUTED_VALUE"""),"082255353678")</f>
        <v>082255353678</v>
      </c>
      <c r="W949" s="15"/>
    </row>
    <row r="950" ht="22.5" customHeight="1">
      <c r="A950" s="8"/>
      <c r="B950" s="9">
        <f>IFERROR(__xludf.DUMMYFUNCTION("""COMPUTED_VALUE"""),45276.55362049768)</f>
        <v>45276.55362</v>
      </c>
      <c r="C950" s="9"/>
      <c r="D950" s="10">
        <f>IFERROR(__xludf.DUMMYFUNCTION("""COMPUTED_VALUE"""),45276.0)</f>
        <v>45276</v>
      </c>
      <c r="E950" s="10" t="str">
        <f>IFERROR(__xludf.DUMMYFUNCTION("""COMPUTED_VALUE"""),"12Des")</f>
        <v>12Des</v>
      </c>
      <c r="F950" s="10" t="str">
        <f>IFERROR(__xludf.DUMMYFUNCTION("""COMPUTED_VALUE"""),"2023")</f>
        <v>2023</v>
      </c>
      <c r="G950" s="16" t="str">
        <f>IFERROR(__xludf.DUMMYFUNCTION("""COMPUTED_VALUE"""),"WELSI NINDYA SARI")</f>
        <v>WELSI NINDYA SARI</v>
      </c>
      <c r="H950" s="17" t="str">
        <f>IFERROR(__xludf.DUMMYFUNCTION("""COMPUTED_VALUE"""),"W8523128786")</f>
        <v>W8523128786</v>
      </c>
      <c r="I950" s="17">
        <f>IFERROR(__xludf.DUMMYFUNCTION("""COMPUTED_VALUE"""),41.0)</f>
        <v>41</v>
      </c>
      <c r="J950" s="17" t="str">
        <f>IFERROR(__xludf.DUMMYFUNCTION("""COMPUTED_VALUE"""),"35-44 tahun")</f>
        <v>35-44 tahun</v>
      </c>
      <c r="K950" s="19">
        <f>IFERROR(__xludf.DUMMYFUNCTION("""COMPUTED_VALUE"""),31063.0)</f>
        <v>31063</v>
      </c>
      <c r="L950" s="19" t="str">
        <f>IFERROR(__xludf.DUMMYFUNCTION("""COMPUTED_VALUE"""),"PEREMPUAN")</f>
        <v>PEREMPUAN</v>
      </c>
      <c r="M950" s="16" t="str">
        <f>IFERROR(__xludf.DUMMYFUNCTION("""COMPUTED_VALUE"""),"Jl. Prof. M. Yamin, Gg. Morodadi No. 25 Pontianak")</f>
        <v>Jl. Prof. M. Yamin, Gg. Morodadi No. 25 Pontianak</v>
      </c>
      <c r="N950" s="16"/>
      <c r="O950" s="16"/>
      <c r="P950" s="16"/>
      <c r="Q950" s="16"/>
      <c r="R950" s="19" t="str">
        <f>IFERROR(__xludf.DUMMYFUNCTION("""COMPUTED_VALUE"""),"ISLAM")</f>
        <v>ISLAM</v>
      </c>
      <c r="S950" s="16" t="str">
        <f>IFERROR(__xludf.DUMMYFUNCTION("""COMPUTED_VALUE"""),"ASN")</f>
        <v>ASN</v>
      </c>
      <c r="T950" s="16" t="str">
        <f>IFERROR(__xludf.DUMMYFUNCTION("""COMPUTED_VALUE"""),"Engkel Kaki pernah keseleo, masih ada sakit")</f>
        <v>Engkel Kaki pernah keseleo, masih ada sakit</v>
      </c>
      <c r="U950" s="16" t="str">
        <f>IFERROR(__xludf.DUMMYFUNCTION("""COMPUTED_VALUE"""),"Voli")</f>
        <v>Voli</v>
      </c>
      <c r="V950" s="11" t="str">
        <f>IFERROR(__xludf.DUMMYFUNCTION("""COMPUTED_VALUE"""),"081325508786")</f>
        <v>081325508786</v>
      </c>
      <c r="W950" s="15"/>
    </row>
    <row r="951" ht="22.5" customHeight="1">
      <c r="A951" s="8"/>
      <c r="B951" s="9">
        <f>IFERROR(__xludf.DUMMYFUNCTION("""COMPUTED_VALUE"""),45276.66920689815)</f>
        <v>45276.66921</v>
      </c>
      <c r="C951" s="9"/>
      <c r="D951" s="10">
        <f>IFERROR(__xludf.DUMMYFUNCTION("""COMPUTED_VALUE"""),45276.0)</f>
        <v>45276</v>
      </c>
      <c r="E951" s="10" t="str">
        <f>IFERROR(__xludf.DUMMYFUNCTION("""COMPUTED_VALUE"""),"12Des")</f>
        <v>12Des</v>
      </c>
      <c r="F951" s="10" t="str">
        <f>IFERROR(__xludf.DUMMYFUNCTION("""COMPUTED_VALUE"""),"2023")</f>
        <v>2023</v>
      </c>
      <c r="G951" s="16" t="str">
        <f>IFERROR(__xludf.DUMMYFUNCTION("""COMPUTED_VALUE"""),"RICO RUSNANTO")</f>
        <v>RICO RUSNANTO</v>
      </c>
      <c r="H951" s="17" t="str">
        <f>IFERROR(__xludf.DUMMYFUNCTION("""COMPUTED_VALUE"""),"R0223124035")</f>
        <v>R0223124035</v>
      </c>
      <c r="I951" s="17">
        <f>IFERROR(__xludf.DUMMYFUNCTION("""COMPUTED_VALUE"""),24.0)</f>
        <v>24</v>
      </c>
      <c r="J951" s="17" t="str">
        <f>IFERROR(__xludf.DUMMYFUNCTION("""COMPUTED_VALUE"""),"18-24 tahun")</f>
        <v>18-24 tahun</v>
      </c>
      <c r="K951" s="19">
        <f>IFERROR(__xludf.DUMMYFUNCTION("""COMPUTED_VALUE"""),37265.0)</f>
        <v>37265</v>
      </c>
      <c r="L951" s="19" t="str">
        <f>IFERROR(__xludf.DUMMYFUNCTION("""COMPUTED_VALUE"""),"LAKI-LAKI")</f>
        <v>LAKI-LAKI</v>
      </c>
      <c r="M951" s="16" t="str">
        <f>IFERROR(__xludf.DUMMYFUNCTION("""COMPUTED_VALUE"""),"Kp batu berian")</f>
        <v>Kp batu berian</v>
      </c>
      <c r="N951" s="16"/>
      <c r="O951" s="16"/>
      <c r="P951" s="16"/>
      <c r="Q951" s="16"/>
      <c r="R951" s="19" t="str">
        <f>IFERROR(__xludf.DUMMYFUNCTION("""COMPUTED_VALUE"""),"ISLAM")</f>
        <v>ISLAM</v>
      </c>
      <c r="S951" s="16" t="str">
        <f>IFERROR(__xludf.DUMMYFUNCTION("""COMPUTED_VALUE"""),"PELAJAR/MAHASISWA")</f>
        <v>PELAJAR/MAHASISWA</v>
      </c>
      <c r="T951" s="16" t="str">
        <f>IFERROR(__xludf.DUMMYFUNCTION("""COMPUTED_VALUE"""),"Benerin kaki O")</f>
        <v>Benerin kaki O</v>
      </c>
      <c r="U951" s="16" t="str">
        <f>IFERROR(__xludf.DUMMYFUNCTION("""COMPUTED_VALUE"""),"Sepakbola")</f>
        <v>Sepakbola</v>
      </c>
      <c r="V951" s="11" t="str">
        <f>IFERROR(__xludf.DUMMYFUNCTION("""COMPUTED_VALUE"""),"081256074035")</f>
        <v>081256074035</v>
      </c>
      <c r="W951" s="15"/>
    </row>
    <row r="952" ht="22.5" customHeight="1">
      <c r="A952" s="8"/>
      <c r="B952" s="9">
        <f>IFERROR(__xludf.DUMMYFUNCTION("""COMPUTED_VALUE"""),45276.763703668985)</f>
        <v>45276.7637</v>
      </c>
      <c r="C952" s="9"/>
      <c r="D952" s="10">
        <f>IFERROR(__xludf.DUMMYFUNCTION("""COMPUTED_VALUE"""),45276.0)</f>
        <v>45276</v>
      </c>
      <c r="E952" s="10" t="str">
        <f>IFERROR(__xludf.DUMMYFUNCTION("""COMPUTED_VALUE"""),"12Des")</f>
        <v>12Des</v>
      </c>
      <c r="F952" s="10" t="str">
        <f>IFERROR(__xludf.DUMMYFUNCTION("""COMPUTED_VALUE"""),"2023")</f>
        <v>2023</v>
      </c>
      <c r="G952" s="16" t="str">
        <f>IFERROR(__xludf.DUMMYFUNCTION("""COMPUTED_VALUE"""),"ESTA BRONI PRABOWO")</f>
        <v>ESTA BRONI PRABOWO</v>
      </c>
      <c r="H952" s="17" t="str">
        <f>IFERROR(__xludf.DUMMYFUNCTION("""COMPUTED_VALUE"""),"E9223125131")</f>
        <v>E9223125131</v>
      </c>
      <c r="I952" s="17">
        <f>IFERROR(__xludf.DUMMYFUNCTION("""COMPUTED_VALUE"""),34.0)</f>
        <v>34</v>
      </c>
      <c r="J952" s="17" t="str">
        <f>IFERROR(__xludf.DUMMYFUNCTION("""COMPUTED_VALUE"""),"25-34 tahun")</f>
        <v>25-34 tahun</v>
      </c>
      <c r="K952" s="19">
        <f>IFERROR(__xludf.DUMMYFUNCTION("""COMPUTED_VALUE"""),33695.0)</f>
        <v>33695</v>
      </c>
      <c r="L952" s="19" t="str">
        <f>IFERROR(__xludf.DUMMYFUNCTION("""COMPUTED_VALUE"""),"LAKI-LAKI")</f>
        <v>LAKI-LAKI</v>
      </c>
      <c r="M952" s="16" t="str">
        <f>IFERROR(__xludf.DUMMYFUNCTION("""COMPUTED_VALUE"""),"Jalan kaya komplek karya alam sejahtera blok A13")</f>
        <v>Jalan kaya komplek karya alam sejahtera blok A13</v>
      </c>
      <c r="N952" s="16"/>
      <c r="O952" s="16"/>
      <c r="P952" s="16"/>
      <c r="Q952" s="16"/>
      <c r="R952" s="19" t="str">
        <f>IFERROR(__xludf.DUMMYFUNCTION("""COMPUTED_VALUE"""),"ISLAM")</f>
        <v>ISLAM</v>
      </c>
      <c r="S952" s="16" t="str">
        <f>IFERROR(__xludf.DUMMYFUNCTION("""COMPUTED_VALUE"""),"TNI/POLRI")</f>
        <v>TNI/POLRI</v>
      </c>
      <c r="T952" s="16" t="str">
        <f>IFERROR(__xludf.DUMMYFUNCTION("""COMPUTED_VALUE"""),"belum lurus maksimal")</f>
        <v>belum lurus maksimal</v>
      </c>
      <c r="U952" s="16" t="str">
        <f>IFERROR(__xludf.DUMMYFUNCTION("""COMPUTED_VALUE"""),"Lari")</f>
        <v>Lari</v>
      </c>
      <c r="V952" s="11" t="str">
        <f>IFERROR(__xludf.DUMMYFUNCTION("""COMPUTED_VALUE"""),"082148555131")</f>
        <v>082148555131</v>
      </c>
      <c r="W952" s="15"/>
    </row>
    <row r="953" ht="22.5" customHeight="1">
      <c r="A953" s="8"/>
      <c r="B953" s="9">
        <f>IFERROR(__xludf.DUMMYFUNCTION("""COMPUTED_VALUE"""),45276.81573869213)</f>
        <v>45276.81574</v>
      </c>
      <c r="C953" s="9"/>
      <c r="D953" s="10">
        <f>IFERROR(__xludf.DUMMYFUNCTION("""COMPUTED_VALUE"""),45276.0)</f>
        <v>45276</v>
      </c>
      <c r="E953" s="10" t="str">
        <f>IFERROR(__xludf.DUMMYFUNCTION("""COMPUTED_VALUE"""),"12Des")</f>
        <v>12Des</v>
      </c>
      <c r="F953" s="10" t="str">
        <f>IFERROR(__xludf.DUMMYFUNCTION("""COMPUTED_VALUE"""),"2023")</f>
        <v>2023</v>
      </c>
      <c r="G953" s="16" t="str">
        <f>IFERROR(__xludf.DUMMYFUNCTION("""COMPUTED_VALUE"""),"DAMASUS EKODIMUS")</f>
        <v>DAMASUS EKODIMUS</v>
      </c>
      <c r="H953" s="17" t="str">
        <f>IFERROR(__xludf.DUMMYFUNCTION("""COMPUTED_VALUE"""),"D8423121991")</f>
        <v>D8423121991</v>
      </c>
      <c r="I953" s="17">
        <f>IFERROR(__xludf.DUMMYFUNCTION("""COMPUTED_VALUE"""),41.0)</f>
        <v>41</v>
      </c>
      <c r="J953" s="17" t="str">
        <f>IFERROR(__xludf.DUMMYFUNCTION("""COMPUTED_VALUE"""),"35-44 tahun")</f>
        <v>35-44 tahun</v>
      </c>
      <c r="K953" s="19">
        <f>IFERROR(__xludf.DUMMYFUNCTION("""COMPUTED_VALUE"""),30998.0)</f>
        <v>30998</v>
      </c>
      <c r="L953" s="19" t="str">
        <f>IFERROR(__xludf.DUMMYFUNCTION("""COMPUTED_VALUE"""),"LAKI-LAKI")</f>
        <v>LAKI-LAKI</v>
      </c>
      <c r="M953" s="16" t="str">
        <f>IFERROR(__xludf.DUMMYFUNCTION("""COMPUTED_VALUE"""),"Jl. Parit H. Husin 2 Komplek Pemda Jalur 2 No. 13")</f>
        <v>Jl. Parit H. Husin 2 Komplek Pemda Jalur 2 No. 13</v>
      </c>
      <c r="N953" s="16"/>
      <c r="O953" s="16"/>
      <c r="P953" s="16"/>
      <c r="Q953" s="16"/>
      <c r="R953" s="19" t="str">
        <f>IFERROR(__xludf.DUMMYFUNCTION("""COMPUTED_VALUE"""),"ISLAM")</f>
        <v>ISLAM</v>
      </c>
      <c r="S953" s="16" t="str">
        <f>IFERROR(__xludf.DUMMYFUNCTION("""COMPUTED_VALUE"""),"ASN")</f>
        <v>ASN</v>
      </c>
      <c r="T953" s="16" t="str">
        <f>IFERROR(__xludf.DUMMYFUNCTION("""COMPUTED_VALUE"""),"Nyeri di bokong bila duduk bersila di permukaan keras (lantai, dsb)")</f>
        <v>Nyeri di bokong bila duduk bersila di permukaan keras (lantai, dsb)</v>
      </c>
      <c r="U953" s="16" t="str">
        <f>IFERROR(__xludf.DUMMYFUNCTION("""COMPUTED_VALUE"""),"Bersepeda, bekerja di depan komputer.")</f>
        <v>Bersepeda, bekerja di depan komputer.</v>
      </c>
      <c r="V953" s="11" t="str">
        <f>IFERROR(__xludf.DUMMYFUNCTION("""COMPUTED_VALUE"""),"082148061991")</f>
        <v>082148061991</v>
      </c>
      <c r="W953" s="15"/>
    </row>
    <row r="954" ht="22.5" customHeight="1">
      <c r="A954" s="8"/>
      <c r="B954" s="9">
        <f>IFERROR(__xludf.DUMMYFUNCTION("""COMPUTED_VALUE"""),45277.42269119213)</f>
        <v>45277.42269</v>
      </c>
      <c r="C954" s="9"/>
      <c r="D954" s="10">
        <f>IFERROR(__xludf.DUMMYFUNCTION("""COMPUTED_VALUE"""),45277.0)</f>
        <v>45277</v>
      </c>
      <c r="E954" s="10" t="str">
        <f>IFERROR(__xludf.DUMMYFUNCTION("""COMPUTED_VALUE"""),"12Des")</f>
        <v>12Des</v>
      </c>
      <c r="F954" s="10" t="str">
        <f>IFERROR(__xludf.DUMMYFUNCTION("""COMPUTED_VALUE"""),"2023")</f>
        <v>2023</v>
      </c>
      <c r="G954" s="16" t="str">
        <f>IFERROR(__xludf.DUMMYFUNCTION("""COMPUTED_VALUE"""),"RAFLY KURNIAWAN")</f>
        <v>RAFLY KURNIAWAN</v>
      </c>
      <c r="H954" s="17" t="str">
        <f>IFERROR(__xludf.DUMMYFUNCTION("""COMPUTED_VALUE"""),"R9923120023")</f>
        <v>R9923120023</v>
      </c>
      <c r="I954" s="17">
        <f>IFERROR(__xludf.DUMMYFUNCTION("""COMPUTED_VALUE"""),26.0)</f>
        <v>26</v>
      </c>
      <c r="J954" s="17" t="str">
        <f>IFERROR(__xludf.DUMMYFUNCTION("""COMPUTED_VALUE"""),"25-34 tahun")</f>
        <v>25-34 tahun</v>
      </c>
      <c r="K954" s="19">
        <f>IFERROR(__xludf.DUMMYFUNCTION("""COMPUTED_VALUE"""),36348.0)</f>
        <v>36348</v>
      </c>
      <c r="L954" s="19" t="str">
        <f>IFERROR(__xludf.DUMMYFUNCTION("""COMPUTED_VALUE"""),"LAKI-LAKI")</f>
        <v>LAKI-LAKI</v>
      </c>
      <c r="M954" s="16" t="str">
        <f>IFERROR(__xludf.DUMMYFUNCTION("""COMPUTED_VALUE"""),"Gg. Teluk Pakedai No.02")</f>
        <v>Gg. Teluk Pakedai No.02</v>
      </c>
      <c r="N954" s="16"/>
      <c r="O954" s="16"/>
      <c r="P954" s="16"/>
      <c r="Q954" s="16"/>
      <c r="R954" s="19" t="str">
        <f>IFERROR(__xludf.DUMMYFUNCTION("""COMPUTED_VALUE"""),"ISLAM")</f>
        <v>ISLAM</v>
      </c>
      <c r="S954" s="16" t="str">
        <f>IFERROR(__xludf.DUMMYFUNCTION("""COMPUTED_VALUE"""),"SWASTA")</f>
        <v>SWASTA</v>
      </c>
      <c r="T954" s="16" t="str">
        <f>IFERROR(__xludf.DUMMYFUNCTION("""COMPUTED_VALUE"""),"Nyeri sendi jempol kaki")</f>
        <v>Nyeri sendi jempol kaki</v>
      </c>
      <c r="U954" s="16" t="str">
        <f>IFERROR(__xludf.DUMMYFUNCTION("""COMPUTED_VALUE"""),"Futsal dan gym")</f>
        <v>Futsal dan gym</v>
      </c>
      <c r="V954" s="11" t="str">
        <f>IFERROR(__xludf.DUMMYFUNCTION("""COMPUTED_VALUE"""),"089515040023")</f>
        <v>089515040023</v>
      </c>
      <c r="W954" s="15"/>
    </row>
    <row r="955" ht="22.5" customHeight="1">
      <c r="A955" s="8"/>
      <c r="B955" s="9">
        <f>IFERROR(__xludf.DUMMYFUNCTION("""COMPUTED_VALUE"""),45277.48596337963)</f>
        <v>45277.48596</v>
      </c>
      <c r="C955" s="9"/>
      <c r="D955" s="10">
        <f>IFERROR(__xludf.DUMMYFUNCTION("""COMPUTED_VALUE"""),45277.0)</f>
        <v>45277</v>
      </c>
      <c r="E955" s="10" t="str">
        <f>IFERROR(__xludf.DUMMYFUNCTION("""COMPUTED_VALUE"""),"12Des")</f>
        <v>12Des</v>
      </c>
      <c r="F955" s="10" t="str">
        <f>IFERROR(__xludf.DUMMYFUNCTION("""COMPUTED_VALUE"""),"2023")</f>
        <v>2023</v>
      </c>
      <c r="G955" s="16" t="str">
        <f>IFERROR(__xludf.DUMMYFUNCTION("""COMPUTED_VALUE"""),"NARIAH HATIMAH")</f>
        <v>NARIAH HATIMAH</v>
      </c>
      <c r="H955" s="17" t="str">
        <f>IFERROR(__xludf.DUMMYFUNCTION("""COMPUTED_VALUE"""),"N0423127623")</f>
        <v>N0423127623</v>
      </c>
      <c r="I955" s="17">
        <f>IFERROR(__xludf.DUMMYFUNCTION("""COMPUTED_VALUE"""),21.0)</f>
        <v>21</v>
      </c>
      <c r="J955" s="17" t="str">
        <f>IFERROR(__xludf.DUMMYFUNCTION("""COMPUTED_VALUE"""),"18-24 tahun")</f>
        <v>18-24 tahun</v>
      </c>
      <c r="K955" s="19">
        <f>IFERROR(__xludf.DUMMYFUNCTION("""COMPUTED_VALUE"""),38342.0)</f>
        <v>38342</v>
      </c>
      <c r="L955" s="19" t="str">
        <f>IFERROR(__xludf.DUMMYFUNCTION("""COMPUTED_VALUE"""),"PEREMPUAN")</f>
        <v>PEREMPUAN</v>
      </c>
      <c r="M955" s="16" t="str">
        <f>IFERROR(__xludf.DUMMYFUNCTION("""COMPUTED_VALUE"""),"Nanga pinoh")</f>
        <v>Nanga pinoh</v>
      </c>
      <c r="N955" s="16"/>
      <c r="O955" s="16"/>
      <c r="P955" s="16"/>
      <c r="Q955" s="16"/>
      <c r="R955" s="19" t="str">
        <f>IFERROR(__xludf.DUMMYFUNCTION("""COMPUTED_VALUE"""),"ISLAM")</f>
        <v>ISLAM</v>
      </c>
      <c r="S955" s="16" t="str">
        <f>IFERROR(__xludf.DUMMYFUNCTION("""COMPUTED_VALUE"""),"PELAJAR/MAHASISWA")</f>
        <v>PELAJAR/MAHASISWA</v>
      </c>
      <c r="T955" s="16" t="str">
        <f>IFERROR(__xludf.DUMMYFUNCTION("""COMPUTED_VALUE"""),"sakit di tekuk,bawa napak agak nyut nyutan")</f>
        <v>sakit di tekuk,bawa napak agak nyut nyutan</v>
      </c>
      <c r="U955" s="16" t="str">
        <f>IFERROR(__xludf.DUMMYFUNCTION("""COMPUTED_VALUE"""),"Volly,latihan volly")</f>
        <v>Volly,latihan volly</v>
      </c>
      <c r="V955" s="11" t="str">
        <f>IFERROR(__xludf.DUMMYFUNCTION("""COMPUTED_VALUE"""),"085845287623")</f>
        <v>085845287623</v>
      </c>
      <c r="W955" s="15"/>
    </row>
    <row r="956" ht="22.5" customHeight="1">
      <c r="A956" s="8"/>
      <c r="B956" s="9">
        <f>IFERROR(__xludf.DUMMYFUNCTION("""COMPUTED_VALUE"""),45277.6227081713)</f>
        <v>45277.62271</v>
      </c>
      <c r="C956" s="9"/>
      <c r="D956" s="10">
        <f>IFERROR(__xludf.DUMMYFUNCTION("""COMPUTED_VALUE"""),45277.0)</f>
        <v>45277</v>
      </c>
      <c r="E956" s="10" t="str">
        <f>IFERROR(__xludf.DUMMYFUNCTION("""COMPUTED_VALUE"""),"12Des")</f>
        <v>12Des</v>
      </c>
      <c r="F956" s="10" t="str">
        <f>IFERROR(__xludf.DUMMYFUNCTION("""COMPUTED_VALUE"""),"2023")</f>
        <v>2023</v>
      </c>
      <c r="G956" s="16" t="str">
        <f>IFERROR(__xludf.DUMMYFUNCTION("""COMPUTED_VALUE"""),"WIRNANDA GIFARY")</f>
        <v>WIRNANDA GIFARY</v>
      </c>
      <c r="H956" s="17" t="str">
        <f>IFERROR(__xludf.DUMMYFUNCTION("""COMPUTED_VALUE"""),"W0023128487")</f>
        <v>W0023128487</v>
      </c>
      <c r="I956" s="17">
        <f>IFERROR(__xludf.DUMMYFUNCTION("""COMPUTED_VALUE"""),25.0)</f>
        <v>25</v>
      </c>
      <c r="J956" s="17" t="str">
        <f>IFERROR(__xludf.DUMMYFUNCTION("""COMPUTED_VALUE"""),"25-34 tahun")</f>
        <v>25-34 tahun</v>
      </c>
      <c r="K956" s="19">
        <f>IFERROR(__xludf.DUMMYFUNCTION("""COMPUTED_VALUE"""),36756.0)</f>
        <v>36756</v>
      </c>
      <c r="L956" s="19" t="str">
        <f>IFERROR(__xludf.DUMMYFUNCTION("""COMPUTED_VALUE"""),"LAKI-LAKI")</f>
        <v>LAKI-LAKI</v>
      </c>
      <c r="M956" s="16" t="str">
        <f>IFERROR(__xludf.DUMMYFUNCTION("""COMPUTED_VALUE"""),"JL. TABRANI AHMAD KOMP. MANDAU PERMAI K11")</f>
        <v>JL. TABRANI AHMAD KOMP. MANDAU PERMAI K11</v>
      </c>
      <c r="N956" s="16"/>
      <c r="O956" s="16"/>
      <c r="P956" s="16"/>
      <c r="Q956" s="16"/>
      <c r="R956" s="19" t="str">
        <f>IFERROR(__xludf.DUMMYFUNCTION("""COMPUTED_VALUE"""),"ISLAM")</f>
        <v>ISLAM</v>
      </c>
      <c r="S956" s="16" t="str">
        <f>IFERROR(__xludf.DUMMYFUNCTION("""COMPUTED_VALUE"""),"PELAJAR/MAHASISWA")</f>
        <v>PELAJAR/MAHASISWA</v>
      </c>
      <c r="T956" s="16" t="str">
        <f>IFERROR(__xludf.DUMMYFUNCTION("""COMPUTED_VALUE"""),"NYERI PADA DAN PEMBENGKAKAN, KAKI TIDAK LURUS SIMETRIS")</f>
        <v>NYERI PADA DAN PEMBENGKAKAN, KAKI TIDAK LURUS SIMETRIS</v>
      </c>
      <c r="U956" s="16" t="str">
        <f>IFERROR(__xludf.DUMMYFUNCTION("""COMPUTED_VALUE"""),"KULIAH")</f>
        <v>KULIAH</v>
      </c>
      <c r="V956" s="11" t="str">
        <f>IFERROR(__xludf.DUMMYFUNCTION("""COMPUTED_VALUE"""),"087715658487")</f>
        <v>087715658487</v>
      </c>
      <c r="W956" s="15"/>
    </row>
    <row r="957" ht="22.5" customHeight="1">
      <c r="A957" s="8"/>
      <c r="B957" s="9">
        <f>IFERROR(__xludf.DUMMYFUNCTION("""COMPUTED_VALUE"""),45277.76155203704)</f>
        <v>45277.76155</v>
      </c>
      <c r="C957" s="9"/>
      <c r="D957" s="10">
        <f>IFERROR(__xludf.DUMMYFUNCTION("""COMPUTED_VALUE"""),45277.0)</f>
        <v>45277</v>
      </c>
      <c r="E957" s="10" t="str">
        <f>IFERROR(__xludf.DUMMYFUNCTION("""COMPUTED_VALUE"""),"12Des")</f>
        <v>12Des</v>
      </c>
      <c r="F957" s="10" t="str">
        <f>IFERROR(__xludf.DUMMYFUNCTION("""COMPUTED_VALUE"""),"2023")</f>
        <v>2023</v>
      </c>
      <c r="G957" s="16" t="str">
        <f>IFERROR(__xludf.DUMMYFUNCTION("""COMPUTED_VALUE"""),"MUHAMMAD SUCLA AL AQSHA RAMADHAN")</f>
        <v>MUHAMMAD SUCLA AL AQSHA RAMADHAN</v>
      </c>
      <c r="H957" s="17" t="str">
        <f>IFERROR(__xludf.DUMMYFUNCTION("""COMPUTED_VALUE"""),"M1423126668")</f>
        <v>M1423126668</v>
      </c>
      <c r="I957" s="17">
        <f>IFERROR(__xludf.DUMMYFUNCTION("""COMPUTED_VALUE"""),11.0)</f>
        <v>11</v>
      </c>
      <c r="J957" s="17" t="str">
        <f>IFERROR(__xludf.DUMMYFUNCTION("""COMPUTED_VALUE"""),"&lt; 18 tahun")</f>
        <v>&lt; 18 tahun</v>
      </c>
      <c r="K957" s="19">
        <f>IFERROR(__xludf.DUMMYFUNCTION("""COMPUTED_VALUE"""),41846.0)</f>
        <v>41846</v>
      </c>
      <c r="L957" s="19" t="str">
        <f>IFERROR(__xludf.DUMMYFUNCTION("""COMPUTED_VALUE"""),"LAKI-LAKI")</f>
        <v>LAKI-LAKI</v>
      </c>
      <c r="M957" s="16" t="str">
        <f>IFERROR(__xludf.DUMMYFUNCTION("""COMPUTED_VALUE"""),"Jl. Husein Hamzah No 39 A Pal Lima")</f>
        <v>Jl. Husein Hamzah No 39 A Pal Lima</v>
      </c>
      <c r="N957" s="16"/>
      <c r="O957" s="16"/>
      <c r="P957" s="16"/>
      <c r="Q957" s="16"/>
      <c r="R957" s="19" t="str">
        <f>IFERROR(__xludf.DUMMYFUNCTION("""COMPUTED_VALUE"""),"ISLAM")</f>
        <v>ISLAM</v>
      </c>
      <c r="S957" s="16" t="str">
        <f>IFERROR(__xludf.DUMMYFUNCTION("""COMPUTED_VALUE"""),"PELAJAR/MAHASISWA")</f>
        <v>PELAJAR/MAHASISWA</v>
      </c>
      <c r="T957" s="16" t="str">
        <f>IFERROR(__xludf.DUMMYFUNCTION("""COMPUTED_VALUE"""),"Otot Paha")</f>
        <v>Otot Paha</v>
      </c>
      <c r="U957" s="16" t="str">
        <f>IFERROR(__xludf.DUMMYFUNCTION("""COMPUTED_VALUE"""),"Olahraga")</f>
        <v>Olahraga</v>
      </c>
      <c r="V957" s="11" t="str">
        <f>IFERROR(__xludf.DUMMYFUNCTION("""COMPUTED_VALUE"""),"085245916668")</f>
        <v>085245916668</v>
      </c>
      <c r="W957" s="15"/>
    </row>
    <row r="958" ht="22.5" customHeight="1">
      <c r="A958" s="8"/>
      <c r="B958" s="9"/>
      <c r="C958" s="9"/>
      <c r="D958" s="10">
        <f>IFERROR(__xludf.DUMMYFUNCTION("""COMPUTED_VALUE"""),45278.0)</f>
        <v>45278</v>
      </c>
      <c r="E958" s="10" t="str">
        <f>IFERROR(__xludf.DUMMYFUNCTION("""COMPUTED_VALUE"""),"12Des")</f>
        <v>12Des</v>
      </c>
      <c r="F958" s="10" t="str">
        <f>IFERROR(__xludf.DUMMYFUNCTION("""COMPUTED_VALUE"""),"2023")</f>
        <v>2023</v>
      </c>
      <c r="G958" s="16" t="str">
        <f>IFERROR(__xludf.DUMMYFUNCTION("""COMPUTED_VALUE"""),"MULYANSYAH")</f>
        <v>MULYANSYAH</v>
      </c>
      <c r="H958" s="17" t="str">
        <f>IFERROR(__xludf.DUMMYFUNCTION("""COMPUTED_VALUE"""),"M6523120099")</f>
        <v>M6523120099</v>
      </c>
      <c r="I958" s="17">
        <f>IFERROR(__xludf.DUMMYFUNCTION("""COMPUTED_VALUE"""),60.0)</f>
        <v>60</v>
      </c>
      <c r="J958" s="17" t="str">
        <f>IFERROR(__xludf.DUMMYFUNCTION("""COMPUTED_VALUE"""),"&gt; 44 tahun")</f>
        <v>&gt; 44 tahun</v>
      </c>
      <c r="K958" s="19">
        <f>IFERROR(__xludf.DUMMYFUNCTION("""COMPUTED_VALUE"""),24004.0)</f>
        <v>24004</v>
      </c>
      <c r="L958" s="19" t="str">
        <f>IFERROR(__xludf.DUMMYFUNCTION("""COMPUTED_VALUE"""),"LAKI-LAKI")</f>
        <v>LAKI-LAKI</v>
      </c>
      <c r="M958" s="16" t="str">
        <f>IFERROR(__xludf.DUMMYFUNCTION("""COMPUTED_VALUE"""),"Jalan Ampera Gang Hidayah No. 1")</f>
        <v>Jalan Ampera Gang Hidayah No. 1</v>
      </c>
      <c r="N958" s="16"/>
      <c r="O958" s="16"/>
      <c r="P958" s="16"/>
      <c r="Q958" s="16"/>
      <c r="R958" s="19" t="str">
        <f>IFERROR(__xludf.DUMMYFUNCTION("""COMPUTED_VALUE"""),"ISLAM")</f>
        <v>ISLAM</v>
      </c>
      <c r="S958" s="16" t="str">
        <f>IFERROR(__xludf.DUMMYFUNCTION("""COMPUTED_VALUE"""),"SWASTA")</f>
        <v>SWASTA</v>
      </c>
      <c r="T958" s="16" t="str">
        <f>IFERROR(__xludf.DUMMYFUNCTION("""COMPUTED_VALUE"""),"Jari pada jempol tidak bisa diluruskan dan sakit")</f>
        <v>Jari pada jempol tidak bisa diluruskan dan sakit</v>
      </c>
      <c r="U958" s="16" t="str">
        <f>IFERROR(__xludf.DUMMYFUNCTION("""COMPUTED_VALUE"""),"-")</f>
        <v>-</v>
      </c>
      <c r="V958" s="11" t="str">
        <f>IFERROR(__xludf.DUMMYFUNCTION("""COMPUTED_VALUE"""),"085822570099")</f>
        <v>085822570099</v>
      </c>
      <c r="W958" s="15"/>
    </row>
    <row r="959" ht="22.5" customHeight="1">
      <c r="A959" s="8"/>
      <c r="B959" s="9">
        <f>IFERROR(__xludf.DUMMYFUNCTION("""COMPUTED_VALUE"""),45278.52290232639)</f>
        <v>45278.5229</v>
      </c>
      <c r="C959" s="9"/>
      <c r="D959" s="10">
        <f>IFERROR(__xludf.DUMMYFUNCTION("""COMPUTED_VALUE"""),45278.0)</f>
        <v>45278</v>
      </c>
      <c r="E959" s="10" t="str">
        <f>IFERROR(__xludf.DUMMYFUNCTION("""COMPUTED_VALUE"""),"12Des")</f>
        <v>12Des</v>
      </c>
      <c r="F959" s="10" t="str">
        <f>IFERROR(__xludf.DUMMYFUNCTION("""COMPUTED_VALUE"""),"2023")</f>
        <v>2023</v>
      </c>
      <c r="G959" s="16" t="str">
        <f>IFERROR(__xludf.DUMMYFUNCTION("""COMPUTED_VALUE"""),"RIZAL BAHRIL HUDA")</f>
        <v>RIZAL BAHRIL HUDA</v>
      </c>
      <c r="H959" s="17" t="str">
        <f>IFERROR(__xludf.DUMMYFUNCTION("""COMPUTED_VALUE"""),"R9123121333")</f>
        <v>R9123121333</v>
      </c>
      <c r="I959" s="17">
        <f>IFERROR(__xludf.DUMMYFUNCTION("""COMPUTED_VALUE"""),35.0)</f>
        <v>35</v>
      </c>
      <c r="J959" s="17" t="str">
        <f>IFERROR(__xludf.DUMMYFUNCTION("""COMPUTED_VALUE"""),"35-44 tahun")</f>
        <v>35-44 tahun</v>
      </c>
      <c r="K959" s="19">
        <f>IFERROR(__xludf.DUMMYFUNCTION("""COMPUTED_VALUE"""),33394.0)</f>
        <v>33394</v>
      </c>
      <c r="L959" s="19" t="str">
        <f>IFERROR(__xludf.DUMMYFUNCTION("""COMPUTED_VALUE"""),"LAKI-LAKI")</f>
        <v>LAKI-LAKI</v>
      </c>
      <c r="M959" s="16" t="str">
        <f>IFERROR(__xludf.DUMMYFUNCTION("""COMPUTED_VALUE"""),"JL. WONOBARU GG. MADYOSARI 1 NO. 17")</f>
        <v>JL. WONOBARU GG. MADYOSARI 1 NO. 17</v>
      </c>
      <c r="N959" s="16"/>
      <c r="O959" s="16"/>
      <c r="P959" s="16"/>
      <c r="Q959" s="16"/>
      <c r="R959" s="19" t="str">
        <f>IFERROR(__xludf.DUMMYFUNCTION("""COMPUTED_VALUE"""),"ISLAM")</f>
        <v>ISLAM</v>
      </c>
      <c r="S959" s="16" t="str">
        <f>IFERROR(__xludf.DUMMYFUNCTION("""COMPUTED_VALUE"""),"SWASTA")</f>
        <v>SWASTA</v>
      </c>
      <c r="T959" s="16" t="str">
        <f>IFERROR(__xludf.DUMMYFUNCTION("""COMPUTED_VALUE"""),"SAKIT PADA SHOULDER/PUNDAK KIRI")</f>
        <v>SAKIT PADA SHOULDER/PUNDAK KIRI</v>
      </c>
      <c r="U959" s="16" t="str">
        <f>IFERROR(__xludf.DUMMYFUNCTION("""COMPUTED_VALUE"""),"OLAHRAGA, FUTSAL, SEPAKBOLA, BADMINTON")</f>
        <v>OLAHRAGA, FUTSAL, SEPAKBOLA, BADMINTON</v>
      </c>
      <c r="V959" s="11" t="str">
        <f>IFERROR(__xludf.DUMMYFUNCTION("""COMPUTED_VALUE"""),"085956151333")</f>
        <v>085956151333</v>
      </c>
      <c r="W959" s="15"/>
    </row>
    <row r="960" ht="22.5" customHeight="1">
      <c r="A960" s="8"/>
      <c r="B960" s="9">
        <f>IFERROR(__xludf.DUMMYFUNCTION("""COMPUTED_VALUE"""),45278.57550997685)</f>
        <v>45278.57551</v>
      </c>
      <c r="C960" s="9"/>
      <c r="D960" s="10">
        <f>IFERROR(__xludf.DUMMYFUNCTION("""COMPUTED_VALUE"""),45278.0)</f>
        <v>45278</v>
      </c>
      <c r="E960" s="10" t="str">
        <f>IFERROR(__xludf.DUMMYFUNCTION("""COMPUTED_VALUE"""),"12Des")</f>
        <v>12Des</v>
      </c>
      <c r="F960" s="10" t="str">
        <f>IFERROR(__xludf.DUMMYFUNCTION("""COMPUTED_VALUE"""),"2023")</f>
        <v>2023</v>
      </c>
      <c r="G960" s="16" t="str">
        <f>IFERROR(__xludf.DUMMYFUNCTION("""COMPUTED_VALUE"""),"PETRUS")</f>
        <v>PETRUS</v>
      </c>
      <c r="H960" s="17" t="str">
        <f>IFERROR(__xludf.DUMMYFUNCTION("""COMPUTED_VALUE"""),"P0123123241")</f>
        <v>P0123123241</v>
      </c>
      <c r="I960" s="17">
        <f>IFERROR(__xludf.DUMMYFUNCTION("""COMPUTED_VALUE"""),24.0)</f>
        <v>24</v>
      </c>
      <c r="J960" s="17" t="str">
        <f>IFERROR(__xludf.DUMMYFUNCTION("""COMPUTED_VALUE"""),"18-24 tahun")</f>
        <v>18-24 tahun</v>
      </c>
      <c r="K960" s="19">
        <f>IFERROR(__xludf.DUMMYFUNCTION("""COMPUTED_VALUE"""),37156.0)</f>
        <v>37156</v>
      </c>
      <c r="L960" s="19" t="str">
        <f>IFERROR(__xludf.DUMMYFUNCTION("""COMPUTED_VALUE"""),"LAKI-LAKI")</f>
        <v>LAKI-LAKI</v>
      </c>
      <c r="M960" s="16" t="str">
        <f>IFERROR(__xludf.DUMMYFUNCTION("""COMPUTED_VALUE"""),"Komp Ari Karya Indah 2 No A.18")</f>
        <v>Komp Ari Karya Indah 2 No A.18</v>
      </c>
      <c r="N960" s="16"/>
      <c r="O960" s="16"/>
      <c r="P960" s="16"/>
      <c r="Q960" s="16"/>
      <c r="R960" s="19" t="str">
        <f>IFERROR(__xludf.DUMMYFUNCTION("""COMPUTED_VALUE"""),"PROTESTAN")</f>
        <v>PROTESTAN</v>
      </c>
      <c r="S960" s="16" t="str">
        <f>IFERROR(__xludf.DUMMYFUNCTION("""COMPUTED_VALUE"""),"TNI/POLRI")</f>
        <v>TNI/POLRI</v>
      </c>
      <c r="T960" s="16" t="str">
        <f>IFERROR(__xludf.DUMMYFUNCTION("""COMPUTED_VALUE"""),"Ankle")</f>
        <v>Ankle</v>
      </c>
      <c r="U960" s="16" t="str">
        <f>IFERROR(__xludf.DUMMYFUNCTION("""COMPUTED_VALUE"""),"Basket")</f>
        <v>Basket</v>
      </c>
      <c r="V960" s="21" t="str">
        <f>IFERROR(__xludf.DUMMYFUNCTION("""COMPUTED_VALUE"""),"089693673241")</f>
        <v>089693673241</v>
      </c>
      <c r="W960" s="22"/>
    </row>
    <row r="961" ht="22.5" customHeight="1">
      <c r="A961" s="8"/>
      <c r="B961" s="9">
        <f>IFERROR(__xludf.DUMMYFUNCTION("""COMPUTED_VALUE"""),45278.70772104167)</f>
        <v>45278.70772</v>
      </c>
      <c r="C961" s="9"/>
      <c r="D961" s="10">
        <f>IFERROR(__xludf.DUMMYFUNCTION("""COMPUTED_VALUE"""),45278.0)</f>
        <v>45278</v>
      </c>
      <c r="E961" s="10" t="str">
        <f>IFERROR(__xludf.DUMMYFUNCTION("""COMPUTED_VALUE"""),"12Des")</f>
        <v>12Des</v>
      </c>
      <c r="F961" s="10" t="str">
        <f>IFERROR(__xludf.DUMMYFUNCTION("""COMPUTED_VALUE"""),"2023")</f>
        <v>2023</v>
      </c>
      <c r="G961" s="16" t="str">
        <f>IFERROR(__xludf.DUMMYFUNCTION("""COMPUTED_VALUE"""),"PATMAWATI 7611")</f>
        <v>PATMAWATI 7611</v>
      </c>
      <c r="H961" s="17" t="str">
        <f>IFERROR(__xludf.DUMMYFUNCTION("""COMPUTED_VALUE"""),"P7623126323")</f>
        <v>P7623126323</v>
      </c>
      <c r="I961" s="17">
        <f>IFERROR(__xludf.DUMMYFUNCTION("""COMPUTED_VALUE"""),49.0)</f>
        <v>49</v>
      </c>
      <c r="J961" s="17" t="str">
        <f>IFERROR(__xludf.DUMMYFUNCTION("""COMPUTED_VALUE"""),"&gt; 44 tahun")</f>
        <v>&gt; 44 tahun</v>
      </c>
      <c r="K961" s="19">
        <f>IFERROR(__xludf.DUMMYFUNCTION("""COMPUTED_VALUE"""),28085.0)</f>
        <v>28085</v>
      </c>
      <c r="L961" s="19" t="str">
        <f>IFERROR(__xludf.DUMMYFUNCTION("""COMPUTED_VALUE"""),"PEREMPUAN")</f>
        <v>PEREMPUAN</v>
      </c>
      <c r="M961" s="16" t="str">
        <f>IFERROR(__xludf.DUMMYFUNCTION("""COMPUTED_VALUE"""),"Jl.sawo jalur 4 no 7")</f>
        <v>Jl.sawo jalur 4 no 7</v>
      </c>
      <c r="N961" s="16"/>
      <c r="O961" s="16"/>
      <c r="P961" s="16"/>
      <c r="Q961" s="16"/>
      <c r="R961" s="19" t="str">
        <f>IFERROR(__xludf.DUMMYFUNCTION("""COMPUTED_VALUE"""),"ISLAM")</f>
        <v>ISLAM</v>
      </c>
      <c r="S961" s="16" t="str">
        <f>IFERROR(__xludf.DUMMYFUNCTION("""COMPUTED_VALUE"""),"SWASTA")</f>
        <v>SWASTA</v>
      </c>
      <c r="T961" s="16" t="str">
        <f>IFERROR(__xludf.DUMMYFUNCTION("""COMPUTED_VALUE"""),"Sakit belikat..dan jari² tangan terasa kaku dan nyeri terutama malam hari")</f>
        <v>Sakit belikat..dan jari² tangan terasa kaku dan nyeri terutama malam hari</v>
      </c>
      <c r="U961" s="16" t="str">
        <f>IFERROR(__xludf.DUMMYFUNCTION("""COMPUTED_VALUE"""),"Bekerja .lebih banyak dengan duduk")</f>
        <v>Bekerja .lebih banyak dengan duduk</v>
      </c>
      <c r="V961" s="11" t="str">
        <f>IFERROR(__xludf.DUMMYFUNCTION("""COMPUTED_VALUE"""),"085248836323")</f>
        <v>085248836323</v>
      </c>
      <c r="W961" s="15"/>
    </row>
    <row r="962" ht="22.5" customHeight="1">
      <c r="A962" s="8"/>
      <c r="B962" s="9">
        <f>IFERROR(__xludf.DUMMYFUNCTION("""COMPUTED_VALUE"""),45278.784380868055)</f>
        <v>45278.78438</v>
      </c>
      <c r="C962" s="9"/>
      <c r="D962" s="10">
        <f>IFERROR(__xludf.DUMMYFUNCTION("""COMPUTED_VALUE"""),45278.0)</f>
        <v>45278</v>
      </c>
      <c r="E962" s="10" t="str">
        <f>IFERROR(__xludf.DUMMYFUNCTION("""COMPUTED_VALUE"""),"12Des")</f>
        <v>12Des</v>
      </c>
      <c r="F962" s="10" t="str">
        <f>IFERROR(__xludf.DUMMYFUNCTION("""COMPUTED_VALUE"""),"2023")</f>
        <v>2023</v>
      </c>
      <c r="G962" s="16" t="str">
        <f>IFERROR(__xludf.DUMMYFUNCTION("""COMPUTED_VALUE"""),"YUDHA SUTANTO")</f>
        <v>YUDHA SUTANTO</v>
      </c>
      <c r="H962" s="17" t="str">
        <f>IFERROR(__xludf.DUMMYFUNCTION("""COMPUTED_VALUE"""),"Y8723124569")</f>
        <v>Y8723124569</v>
      </c>
      <c r="I962" s="17">
        <f>IFERROR(__xludf.DUMMYFUNCTION("""COMPUTED_VALUE"""),39.0)</f>
        <v>39</v>
      </c>
      <c r="J962" s="17" t="str">
        <f>IFERROR(__xludf.DUMMYFUNCTION("""COMPUTED_VALUE"""),"35-44 tahun")</f>
        <v>35-44 tahun</v>
      </c>
      <c r="K962" s="19">
        <f>IFERROR(__xludf.DUMMYFUNCTION("""COMPUTED_VALUE"""),31876.0)</f>
        <v>31876</v>
      </c>
      <c r="L962" s="19" t="str">
        <f>IFERROR(__xludf.DUMMYFUNCTION("""COMPUTED_VALUE"""),"LAKI-LAKI")</f>
        <v>LAKI-LAKI</v>
      </c>
      <c r="M962" s="16" t="str">
        <f>IFERROR(__xludf.DUMMYFUNCTION("""COMPUTED_VALUE"""),"Jln. H Rais ARahman. GG bukit seribu no. 15 pontianak")</f>
        <v>Jln. H Rais ARahman. GG bukit seribu no. 15 pontianak</v>
      </c>
      <c r="N962" s="16"/>
      <c r="O962" s="16"/>
      <c r="P962" s="16"/>
      <c r="Q962" s="16"/>
      <c r="R962" s="19" t="str">
        <f>IFERROR(__xludf.DUMMYFUNCTION("""COMPUTED_VALUE"""),"ISLAM")</f>
        <v>ISLAM</v>
      </c>
      <c r="S962" s="16" t="str">
        <f>IFERROR(__xludf.DUMMYFUNCTION("""COMPUTED_VALUE"""),"BUMN")</f>
        <v>BUMN</v>
      </c>
      <c r="T962" s="16" t="str">
        <f>IFERROR(__xludf.DUMMYFUNCTION("""COMPUTED_VALUE"""),"Sakit telapak kaki dan pinggang")</f>
        <v>Sakit telapak kaki dan pinggang</v>
      </c>
      <c r="U962" s="16" t="str">
        <f>IFERROR(__xludf.DUMMYFUNCTION("""COMPUTED_VALUE"""),"Bekerja kantor")</f>
        <v>Bekerja kantor</v>
      </c>
      <c r="V962" s="11" t="str">
        <f>IFERROR(__xludf.DUMMYFUNCTION("""COMPUTED_VALUE"""),"081253244569")</f>
        <v>081253244569</v>
      </c>
      <c r="W962" s="15"/>
    </row>
    <row r="963" ht="22.5" customHeight="1">
      <c r="A963" s="8"/>
      <c r="B963" s="9">
        <f>IFERROR(__xludf.DUMMYFUNCTION("""COMPUTED_VALUE"""),45279.480136909726)</f>
        <v>45279.48014</v>
      </c>
      <c r="C963" s="9"/>
      <c r="D963" s="10">
        <f>IFERROR(__xludf.DUMMYFUNCTION("""COMPUTED_VALUE"""),45279.0)</f>
        <v>45279</v>
      </c>
      <c r="E963" s="10" t="str">
        <f>IFERROR(__xludf.DUMMYFUNCTION("""COMPUTED_VALUE"""),"12Des")</f>
        <v>12Des</v>
      </c>
      <c r="F963" s="10" t="str">
        <f>IFERROR(__xludf.DUMMYFUNCTION("""COMPUTED_VALUE"""),"2023")</f>
        <v>2023</v>
      </c>
      <c r="G963" s="16" t="str">
        <f>IFERROR(__xludf.DUMMYFUNCTION("""COMPUTED_VALUE"""),"SYARIF ISKANDAR ALKADRI")</f>
        <v>SYARIF ISKANDAR ALKADRI</v>
      </c>
      <c r="H963" s="17" t="str">
        <f>IFERROR(__xludf.DUMMYFUNCTION("""COMPUTED_VALUE"""),"S7723128949")</f>
        <v>S7723128949</v>
      </c>
      <c r="I963" s="17">
        <f>IFERROR(__xludf.DUMMYFUNCTION("""COMPUTED_VALUE"""),48.0)</f>
        <v>48</v>
      </c>
      <c r="J963" s="17" t="str">
        <f>IFERROR(__xludf.DUMMYFUNCTION("""COMPUTED_VALUE"""),"&gt; 44 tahun")</f>
        <v>&gt; 44 tahun</v>
      </c>
      <c r="K963" s="19">
        <f>IFERROR(__xludf.DUMMYFUNCTION("""COMPUTED_VALUE"""),28360.0)</f>
        <v>28360</v>
      </c>
      <c r="L963" s="19" t="str">
        <f>IFERROR(__xludf.DUMMYFUNCTION("""COMPUTED_VALUE"""),"LAKI-LAKI")</f>
        <v>LAKI-LAKI</v>
      </c>
      <c r="M963" s="16" t="str">
        <f>IFERROR(__xludf.DUMMYFUNCTION("""COMPUTED_VALUE"""),"Jl Sawo Jalur IV No 7")</f>
        <v>Jl Sawo Jalur IV No 7</v>
      </c>
      <c r="N963" s="16"/>
      <c r="O963" s="16"/>
      <c r="P963" s="16"/>
      <c r="Q963" s="16"/>
      <c r="R963" s="19" t="str">
        <f>IFERROR(__xludf.DUMMYFUNCTION("""COMPUTED_VALUE"""),"ISLAM")</f>
        <v>ISLAM</v>
      </c>
      <c r="S963" s="16" t="str">
        <f>IFERROR(__xludf.DUMMYFUNCTION("""COMPUTED_VALUE"""),"SWASTA")</f>
        <v>SWASTA</v>
      </c>
      <c r="T963" s="16" t="str">
        <f>IFERROR(__xludf.DUMMYFUNCTION("""COMPUTED_VALUE"""),"Ngilu bagian dalam sebelah kanan")</f>
        <v>Ngilu bagian dalam sebelah kanan</v>
      </c>
      <c r="U963" s="16" t="str">
        <f>IFERROR(__xludf.DUMMYFUNCTION("""COMPUTED_VALUE"""),"Kerja")</f>
        <v>Kerja</v>
      </c>
      <c r="V963" s="11" t="str">
        <f>IFERROR(__xludf.DUMMYFUNCTION("""COMPUTED_VALUE"""),"085251038949")</f>
        <v>085251038949</v>
      </c>
      <c r="W963" s="15"/>
    </row>
    <row r="964" ht="22.5" customHeight="1">
      <c r="A964" s="8"/>
      <c r="B964" s="9">
        <f>IFERROR(__xludf.DUMMYFUNCTION("""COMPUTED_VALUE"""),45279.63576266204)</f>
        <v>45279.63576</v>
      </c>
      <c r="C964" s="9"/>
      <c r="D964" s="10">
        <f>IFERROR(__xludf.DUMMYFUNCTION("""COMPUTED_VALUE"""),45279.0)</f>
        <v>45279</v>
      </c>
      <c r="E964" s="10" t="str">
        <f>IFERROR(__xludf.DUMMYFUNCTION("""COMPUTED_VALUE"""),"12Des")</f>
        <v>12Des</v>
      </c>
      <c r="F964" s="10" t="str">
        <f>IFERROR(__xludf.DUMMYFUNCTION("""COMPUTED_VALUE"""),"2023")</f>
        <v>2023</v>
      </c>
      <c r="G964" s="16" t="str">
        <f>IFERROR(__xludf.DUMMYFUNCTION("""COMPUTED_VALUE"""),"PUHENDY JOHAR")</f>
        <v>PUHENDY JOHAR</v>
      </c>
      <c r="H964" s="17" t="str">
        <f>IFERROR(__xludf.DUMMYFUNCTION("""COMPUTED_VALUE"""),"P9423123600")</f>
        <v>P9423123600</v>
      </c>
      <c r="I964" s="17">
        <f>IFERROR(__xludf.DUMMYFUNCTION("""COMPUTED_VALUE"""),32.0)</f>
        <v>32</v>
      </c>
      <c r="J964" s="17" t="str">
        <f>IFERROR(__xludf.DUMMYFUNCTION("""COMPUTED_VALUE"""),"25-34 tahun")</f>
        <v>25-34 tahun</v>
      </c>
      <c r="K964" s="19">
        <f>IFERROR(__xludf.DUMMYFUNCTION("""COMPUTED_VALUE"""),34431.0)</f>
        <v>34431</v>
      </c>
      <c r="L964" s="19" t="str">
        <f>IFERROR(__xludf.DUMMYFUNCTION("""COMPUTED_VALUE"""),"LAKI-LAKI")</f>
        <v>LAKI-LAKI</v>
      </c>
      <c r="M964" s="16" t="str">
        <f>IFERROR(__xludf.DUMMYFUNCTION("""COMPUTED_VALUE"""),"Jalan iman bonjol gg rawa indah no 1")</f>
        <v>Jalan iman bonjol gg rawa indah no 1</v>
      </c>
      <c r="N964" s="16"/>
      <c r="O964" s="16"/>
      <c r="P964" s="16"/>
      <c r="Q964" s="16"/>
      <c r="R964" s="19" t="str">
        <f>IFERROR(__xludf.DUMMYFUNCTION("""COMPUTED_VALUE"""),"BUDDHA")</f>
        <v>BUDDHA</v>
      </c>
      <c r="S964" s="16" t="str">
        <f>IFERROR(__xludf.DUMMYFUNCTION("""COMPUTED_VALUE"""),"SWASTA")</f>
        <v>SWASTA</v>
      </c>
      <c r="T964" s="16" t="str">
        <f>IFERROR(__xludf.DUMMYFUNCTION("""COMPUTED_VALUE"""),"Kaki kiri ada yang nyut2 terus dan sudah lama (setahun) tidak sakit hanya nyut2")</f>
        <v>Kaki kiri ada yang nyut2 terus dan sudah lama (setahun) tidak sakit hanya nyut2</v>
      </c>
      <c r="U964" s="16" t="str">
        <f>IFERROR(__xludf.DUMMYFUNCTION("""COMPUTED_VALUE"""),"Badminton")</f>
        <v>Badminton</v>
      </c>
      <c r="V964" s="11" t="str">
        <f>IFERROR(__xludf.DUMMYFUNCTION("""COMPUTED_VALUE"""),"0811563600")</f>
        <v>0811563600</v>
      </c>
      <c r="W964" s="15"/>
    </row>
    <row r="965" ht="22.5" customHeight="1">
      <c r="A965" s="8"/>
      <c r="B965" s="9">
        <f>IFERROR(__xludf.DUMMYFUNCTION("""COMPUTED_VALUE"""),45280.4462165625)</f>
        <v>45280.44622</v>
      </c>
      <c r="C965" s="9"/>
      <c r="D965" s="10">
        <f>IFERROR(__xludf.DUMMYFUNCTION("""COMPUTED_VALUE"""),45279.0)</f>
        <v>45279</v>
      </c>
      <c r="E965" s="10" t="str">
        <f>IFERROR(__xludf.DUMMYFUNCTION("""COMPUTED_VALUE"""),"12Des")</f>
        <v>12Des</v>
      </c>
      <c r="F965" s="10" t="str">
        <f>IFERROR(__xludf.DUMMYFUNCTION("""COMPUTED_VALUE"""),"2023")</f>
        <v>2023</v>
      </c>
      <c r="G965" s="16" t="str">
        <f>IFERROR(__xludf.DUMMYFUNCTION("""COMPUTED_VALUE"""),"MULVI M. YAZID NAUFALI")</f>
        <v>MULVI M. YAZID NAUFALI</v>
      </c>
      <c r="H965" s="17" t="str">
        <f>IFERROR(__xludf.DUMMYFUNCTION("""COMPUTED_VALUE"""),"M0623127441")</f>
        <v>M0623127441</v>
      </c>
      <c r="I965" s="17">
        <f>IFERROR(__xludf.DUMMYFUNCTION("""COMPUTED_VALUE"""),19.0)</f>
        <v>19</v>
      </c>
      <c r="J965" s="17" t="str">
        <f>IFERROR(__xludf.DUMMYFUNCTION("""COMPUTED_VALUE"""),"18-24 tahun")</f>
        <v>18-24 tahun</v>
      </c>
      <c r="K965" s="19">
        <f>IFERROR(__xludf.DUMMYFUNCTION("""COMPUTED_VALUE"""),39066.0)</f>
        <v>39066</v>
      </c>
      <c r="L965" s="19" t="str">
        <f>IFERROR(__xludf.DUMMYFUNCTION("""COMPUTED_VALUE"""),"LAKI-LAKI")</f>
        <v>LAKI-LAKI</v>
      </c>
      <c r="M965" s="16" t="str">
        <f>IFERROR(__xludf.DUMMYFUNCTION("""COMPUTED_VALUE"""),"Jalan Husein Hamzah Gang Palmasari 1. No. 99. Pontianak")</f>
        <v>Jalan Husein Hamzah Gang Palmasari 1. No. 99. Pontianak</v>
      </c>
      <c r="N965" s="16"/>
      <c r="O965" s="16"/>
      <c r="P965" s="16"/>
      <c r="Q965" s="16"/>
      <c r="R965" s="19" t="str">
        <f>IFERROR(__xludf.DUMMYFUNCTION("""COMPUTED_VALUE"""),"ISLAM")</f>
        <v>ISLAM</v>
      </c>
      <c r="S965" s="16" t="str">
        <f>IFERROR(__xludf.DUMMYFUNCTION("""COMPUTED_VALUE"""),"PELAJAR/MAHASISWA")</f>
        <v>PELAJAR/MAHASISWA</v>
      </c>
      <c r="T965" s="16" t="str">
        <f>IFERROR(__xludf.DUMMYFUNCTION("""COMPUTED_VALUE"""),"Jari kelingking bengkok")</f>
        <v>Jari kelingking bengkok</v>
      </c>
      <c r="U965" s="16" t="str">
        <f>IFERROR(__xludf.DUMMYFUNCTION("""COMPUTED_VALUE"""),"Futsal dan basket")</f>
        <v>Futsal dan basket</v>
      </c>
      <c r="V965" s="11" t="str">
        <f>IFERROR(__xludf.DUMMYFUNCTION("""COMPUTED_VALUE"""),"081352027441")</f>
        <v>081352027441</v>
      </c>
      <c r="W965" s="15"/>
    </row>
    <row r="966" ht="22.5" customHeight="1">
      <c r="A966" s="8"/>
      <c r="B966" s="9">
        <f>IFERROR(__xludf.DUMMYFUNCTION("""COMPUTED_VALUE"""),45280.4517292824)</f>
        <v>45280.45173</v>
      </c>
      <c r="C966" s="9"/>
      <c r="D966" s="10">
        <f>IFERROR(__xludf.DUMMYFUNCTION("""COMPUTED_VALUE"""),45280.0)</f>
        <v>45280</v>
      </c>
      <c r="E966" s="10" t="str">
        <f>IFERROR(__xludf.DUMMYFUNCTION("""COMPUTED_VALUE"""),"12Des")</f>
        <v>12Des</v>
      </c>
      <c r="F966" s="10" t="str">
        <f>IFERROR(__xludf.DUMMYFUNCTION("""COMPUTED_VALUE"""),"2023")</f>
        <v>2023</v>
      </c>
      <c r="G966" s="16" t="str">
        <f>IFERROR(__xludf.DUMMYFUNCTION("""COMPUTED_VALUE"""),"TAMMAMIL AZZAM")</f>
        <v>TAMMAMIL AZZAM</v>
      </c>
      <c r="H966" s="17" t="str">
        <f>IFERROR(__xludf.DUMMYFUNCTION("""COMPUTED_VALUE"""),"T1223126303")</f>
        <v>T1223126303</v>
      </c>
      <c r="I966" s="17">
        <f>IFERROR(__xludf.DUMMYFUNCTION("""COMPUTED_VALUE"""),14.0)</f>
        <v>14</v>
      </c>
      <c r="J966" s="17" t="str">
        <f>IFERROR(__xludf.DUMMYFUNCTION("""COMPUTED_VALUE"""),"&lt; 18 tahun")</f>
        <v>&lt; 18 tahun</v>
      </c>
      <c r="K966" s="19">
        <f>IFERROR(__xludf.DUMMYFUNCTION("""COMPUTED_VALUE"""),40968.0)</f>
        <v>40968</v>
      </c>
      <c r="L966" s="19" t="str">
        <f>IFERROR(__xludf.DUMMYFUNCTION("""COMPUTED_VALUE"""),"LAKI-LAKI")</f>
        <v>LAKI-LAKI</v>
      </c>
      <c r="M966" s="16" t="str">
        <f>IFERROR(__xludf.DUMMYFUNCTION("""COMPUTED_VALUE"""),"Jalan. Parit hajj husin 2 komp paris asri no 21")</f>
        <v>Jalan. Parit hajj husin 2 komp paris asri no 21</v>
      </c>
      <c r="N966" s="16"/>
      <c r="O966" s="16"/>
      <c r="P966" s="16"/>
      <c r="Q966" s="16"/>
      <c r="R966" s="19" t="str">
        <f>IFERROR(__xludf.DUMMYFUNCTION("""COMPUTED_VALUE"""),"ISLAM")</f>
        <v>ISLAM</v>
      </c>
      <c r="S966" s="16" t="str">
        <f>IFERROR(__xludf.DUMMYFUNCTION("""COMPUTED_VALUE"""),"PELAJAR/MAHASISWA")</f>
        <v>PELAJAR/MAHASISWA</v>
      </c>
      <c r="T966" s="16" t="str">
        <f>IFERROR(__xludf.DUMMYFUNCTION("""COMPUTED_VALUE"""),"Bangka belitung daray")</f>
        <v>Bangka belitung daray</v>
      </c>
      <c r="U966" s="16" t="str">
        <f>IFERROR(__xludf.DUMMYFUNCTION("""COMPUTED_VALUE"""),"Atlet badminton")</f>
        <v>Atlet badminton</v>
      </c>
      <c r="V966" s="11" t="str">
        <f>IFERROR(__xludf.DUMMYFUNCTION("""COMPUTED_VALUE"""),"081387786303")</f>
        <v>081387786303</v>
      </c>
      <c r="W966" s="15"/>
    </row>
    <row r="967" ht="22.5" customHeight="1">
      <c r="A967" s="8"/>
      <c r="B967" s="9">
        <f>IFERROR(__xludf.DUMMYFUNCTION("""COMPUTED_VALUE"""),45283.48028420139)</f>
        <v>45283.48028</v>
      </c>
      <c r="C967" s="9"/>
      <c r="D967" s="10">
        <f>IFERROR(__xludf.DUMMYFUNCTION("""COMPUTED_VALUE"""),45280.0)</f>
        <v>45280</v>
      </c>
      <c r="E967" s="10" t="str">
        <f>IFERROR(__xludf.DUMMYFUNCTION("""COMPUTED_VALUE"""),"12Des")</f>
        <v>12Des</v>
      </c>
      <c r="F967" s="10" t="str">
        <f>IFERROR(__xludf.DUMMYFUNCTION("""COMPUTED_VALUE"""),"2023")</f>
        <v>2023</v>
      </c>
      <c r="G967" s="16" t="str">
        <f>IFERROR(__xludf.DUMMYFUNCTION("""COMPUTED_VALUE"""),"PUJI KURNIAWAN")</f>
        <v>PUJI KURNIAWAN</v>
      </c>
      <c r="H967" s="17" t="str">
        <f>IFERROR(__xludf.DUMMYFUNCTION("""COMPUTED_VALUE"""),"P8623128878")</f>
        <v>P8623128878</v>
      </c>
      <c r="I967" s="17">
        <f>IFERROR(__xludf.DUMMYFUNCTION("""COMPUTED_VALUE"""),39.0)</f>
        <v>39</v>
      </c>
      <c r="J967" s="17" t="str">
        <f>IFERROR(__xludf.DUMMYFUNCTION("""COMPUTED_VALUE"""),"35-44 tahun")</f>
        <v>35-44 tahun</v>
      </c>
      <c r="K967" s="19">
        <f>IFERROR(__xludf.DUMMYFUNCTION("""COMPUTED_VALUE"""),31753.0)</f>
        <v>31753</v>
      </c>
      <c r="L967" s="19" t="str">
        <f>IFERROR(__xludf.DUMMYFUNCTION("""COMPUTED_VALUE"""),"LAKI-LAKI")</f>
        <v>LAKI-LAKI</v>
      </c>
      <c r="M967" s="16" t="str">
        <f>IFERROR(__xludf.DUMMYFUNCTION("""COMPUTED_VALUE"""),"Komplek mandau permai blok B16")</f>
        <v>Komplek mandau permai blok B16</v>
      </c>
      <c r="N967" s="16"/>
      <c r="O967" s="16"/>
      <c r="P967" s="16"/>
      <c r="Q967" s="16"/>
      <c r="R967" s="19" t="str">
        <f>IFERROR(__xludf.DUMMYFUNCTION("""COMPUTED_VALUE"""),"ISLAM")</f>
        <v>ISLAM</v>
      </c>
      <c r="S967" s="16" t="str">
        <f>IFERROR(__xludf.DUMMYFUNCTION("""COMPUTED_VALUE"""),"WIRASWASTA")</f>
        <v>WIRASWASTA</v>
      </c>
      <c r="T967" s="16"/>
      <c r="U967" s="16" t="str">
        <f>IFERROR(__xludf.DUMMYFUNCTION("""COMPUTED_VALUE"""),"Ngopi")</f>
        <v>Ngopi</v>
      </c>
      <c r="V967" s="11" t="str">
        <f>IFERROR(__xludf.DUMMYFUNCTION("""COMPUTED_VALUE"""),"081257758878")</f>
        <v>081257758878</v>
      </c>
      <c r="W967" s="15"/>
    </row>
    <row r="968" ht="22.5" customHeight="1">
      <c r="A968" s="8"/>
      <c r="B968" s="9">
        <f>IFERROR(__xludf.DUMMYFUNCTION("""COMPUTED_VALUE"""),45284.71600384259)</f>
        <v>45284.716</v>
      </c>
      <c r="C968" s="9"/>
      <c r="D968" s="34">
        <f>IFERROR(__xludf.DUMMYFUNCTION("""COMPUTED_VALUE"""),45283.0)</f>
        <v>45283</v>
      </c>
      <c r="E968" s="34" t="str">
        <f>IFERROR(__xludf.DUMMYFUNCTION("""COMPUTED_VALUE"""),"12Des")</f>
        <v>12Des</v>
      </c>
      <c r="F968" s="34" t="str">
        <f>IFERROR(__xludf.DUMMYFUNCTION("""COMPUTED_VALUE"""),"2023")</f>
        <v>2023</v>
      </c>
      <c r="G968" s="35" t="str">
        <f>IFERROR(__xludf.DUMMYFUNCTION("""COMPUTED_VALUE"""),"JULIAR FANTARA")</f>
        <v>JULIAR FANTARA</v>
      </c>
      <c r="H968" s="17" t="str">
        <f>IFERROR(__xludf.DUMMYFUNCTION("""COMPUTED_VALUE"""),"J9323122443")</f>
        <v>J9323122443</v>
      </c>
      <c r="I968" s="17">
        <f>IFERROR(__xludf.DUMMYFUNCTION("""COMPUTED_VALUE"""),32.0)</f>
        <v>32</v>
      </c>
      <c r="J968" s="17" t="str">
        <f>IFERROR(__xludf.DUMMYFUNCTION("""COMPUTED_VALUE"""),"25-34 tahun")</f>
        <v>25-34 tahun</v>
      </c>
      <c r="K968" s="19">
        <f>IFERROR(__xludf.DUMMYFUNCTION("""COMPUTED_VALUE"""),34168.0)</f>
        <v>34168</v>
      </c>
      <c r="L968" s="19" t="str">
        <f>IFERROR(__xludf.DUMMYFUNCTION("""COMPUTED_VALUE"""),"LAKI-LAKI")</f>
        <v>LAKI-LAKI</v>
      </c>
      <c r="M968" s="35" t="str">
        <f>IFERROR(__xludf.DUMMYFUNCTION("""COMPUTED_VALUE"""),"Dusun pemuda tungkul")</f>
        <v>Dusun pemuda tungkul</v>
      </c>
      <c r="N968" s="35"/>
      <c r="O968" s="35"/>
      <c r="P968" s="16"/>
      <c r="Q968" s="16"/>
      <c r="R968" s="19" t="str">
        <f>IFERROR(__xludf.DUMMYFUNCTION("""COMPUTED_VALUE"""),"ISLAM")</f>
        <v>ISLAM</v>
      </c>
      <c r="S968" s="16" t="str">
        <f>IFERROR(__xludf.DUMMYFUNCTION("""COMPUTED_VALUE"""),"BUMD")</f>
        <v>BUMD</v>
      </c>
      <c r="T968" s="16" t="str">
        <f>IFERROR(__xludf.DUMMYFUNCTION("""COMPUTED_VALUE"""),"Pinggang dan leher bagian belakang")</f>
        <v>Pinggang dan leher bagian belakang</v>
      </c>
      <c r="U968" s="16" t="str">
        <f>IFERROR(__xludf.DUMMYFUNCTION("""COMPUTED_VALUE"""),"Kerja")</f>
        <v>Kerja</v>
      </c>
      <c r="V968" s="11" t="str">
        <f>IFERROR(__xludf.DUMMYFUNCTION("""COMPUTED_VALUE"""),"082252232443")</f>
        <v>082252232443</v>
      </c>
      <c r="W968" s="15"/>
    </row>
    <row r="969" ht="22.5" customHeight="1">
      <c r="A969" s="8"/>
      <c r="B969" s="9">
        <f>IFERROR(__xludf.DUMMYFUNCTION("""COMPUTED_VALUE"""),45284.716891504635)</f>
        <v>45284.71689</v>
      </c>
      <c r="C969" s="9"/>
      <c r="D969" s="10">
        <f>IFERROR(__xludf.DUMMYFUNCTION("""COMPUTED_VALUE"""),45283.0)</f>
        <v>45283</v>
      </c>
      <c r="E969" s="10" t="str">
        <f>IFERROR(__xludf.DUMMYFUNCTION("""COMPUTED_VALUE"""),"12Des")</f>
        <v>12Des</v>
      </c>
      <c r="F969" s="10" t="str">
        <f>IFERROR(__xludf.DUMMYFUNCTION("""COMPUTED_VALUE"""),"2023")</f>
        <v>2023</v>
      </c>
      <c r="G969" s="16" t="str">
        <f>IFERROR(__xludf.DUMMYFUNCTION("""COMPUTED_VALUE"""),"INTAN DAVITRI")</f>
        <v>INTAN DAVITRI</v>
      </c>
      <c r="H969" s="17" t="str">
        <f>IFERROR(__xludf.DUMMYFUNCTION("""COMPUTED_VALUE"""),"I9623128441")</f>
        <v>I9623128441</v>
      </c>
      <c r="I969" s="17">
        <f>IFERROR(__xludf.DUMMYFUNCTION("""COMPUTED_VALUE"""),29.0)</f>
        <v>29</v>
      </c>
      <c r="J969" s="17" t="str">
        <f>IFERROR(__xludf.DUMMYFUNCTION("""COMPUTED_VALUE"""),"25-34 tahun")</f>
        <v>25-34 tahun</v>
      </c>
      <c r="K969" s="19">
        <f>IFERROR(__xludf.DUMMYFUNCTION("""COMPUTED_VALUE"""),35392.0)</f>
        <v>35392</v>
      </c>
      <c r="L969" s="19" t="str">
        <f>IFERROR(__xludf.DUMMYFUNCTION("""COMPUTED_VALUE"""),"PEREMPUAN")</f>
        <v>PEREMPUAN</v>
      </c>
      <c r="M969" s="16" t="str">
        <f>IFERROR(__xludf.DUMMYFUNCTION("""COMPUTED_VALUE"""),"Jl. Ampera Komp Bali Asri 1 D 18")</f>
        <v>Jl. Ampera Komp Bali Asri 1 D 18</v>
      </c>
      <c r="N969" s="16" t="str">
        <f>IFERROR(__xludf.DUMMYFUNCTION("""COMPUTED_VALUE"""),"KEL. SUNGAI BANGKONG")</f>
        <v>KEL. SUNGAI BANGKONG</v>
      </c>
      <c r="O969" s="16" t="str">
        <f>IFERROR(__xludf.DUMMYFUNCTION("""COMPUTED_VALUE"""),"KEC. PONTIANAK KOTA")</f>
        <v>KEC. PONTIANAK KOTA</v>
      </c>
      <c r="P969" s="16" t="str">
        <f>IFERROR(__xludf.DUMMYFUNCTION("""COMPUTED_VALUE"""),"KOTA PONTIANAK")</f>
        <v>KOTA PONTIANAK</v>
      </c>
      <c r="Q969" s="16" t="str">
        <f>IFERROR(__xludf.DUMMYFUNCTION("""COMPUTED_VALUE"""),"KALIMANTAN BARAT")</f>
        <v>KALIMANTAN BARAT</v>
      </c>
      <c r="R969" s="19" t="str">
        <f>IFERROR(__xludf.DUMMYFUNCTION("""COMPUTED_VALUE"""),"ISLAM")</f>
        <v>ISLAM</v>
      </c>
      <c r="S969" s="16" t="str">
        <f>IFERROR(__xludf.DUMMYFUNCTION("""COMPUTED_VALUE"""),"WIRASWASTA")</f>
        <v>WIRASWASTA</v>
      </c>
      <c r="T969" s="16" t="str">
        <f>IFERROR(__xludf.DUMMYFUNCTION("""COMPUTED_VALUE"""),"Sakit pinggang sebelah kanan")</f>
        <v>Sakit pinggang sebelah kanan</v>
      </c>
      <c r="U969" s="16" t="str">
        <f>IFERROR(__xludf.DUMMYFUNCTION("""COMPUTED_VALUE"""),"Bikin kue")</f>
        <v>Bikin kue</v>
      </c>
      <c r="V969" s="11" t="str">
        <f>IFERROR(__xludf.DUMMYFUNCTION("""COMPUTED_VALUE"""),"087778688441")</f>
        <v>087778688441</v>
      </c>
      <c r="W969" s="15"/>
    </row>
    <row r="970" ht="22.5" customHeight="1">
      <c r="A970" s="8"/>
      <c r="B970" s="9">
        <f>IFERROR(__xludf.DUMMYFUNCTION("""COMPUTED_VALUE"""),45284.71874869213)</f>
        <v>45284.71875</v>
      </c>
      <c r="C970" s="9"/>
      <c r="D970" s="10">
        <f>IFERROR(__xludf.DUMMYFUNCTION("""COMPUTED_VALUE"""),45283.0)</f>
        <v>45283</v>
      </c>
      <c r="E970" s="10" t="str">
        <f>IFERROR(__xludf.DUMMYFUNCTION("""COMPUTED_VALUE"""),"12Des")</f>
        <v>12Des</v>
      </c>
      <c r="F970" s="10" t="str">
        <f>IFERROR(__xludf.DUMMYFUNCTION("""COMPUTED_VALUE"""),"2023")</f>
        <v>2023</v>
      </c>
      <c r="G970" s="16" t="str">
        <f>IFERROR(__xludf.DUMMYFUNCTION("""COMPUTED_VALUE"""),"HILMI AKBAR ABQARY")</f>
        <v>HILMI AKBAR ABQARY</v>
      </c>
      <c r="H970" s="17" t="str">
        <f>IFERROR(__xludf.DUMMYFUNCTION("""COMPUTED_VALUE"""),"H1123121655")</f>
        <v>H1123121655</v>
      </c>
      <c r="I970" s="17">
        <f>IFERROR(__xludf.DUMMYFUNCTION("""COMPUTED_VALUE"""),15.0)</f>
        <v>15</v>
      </c>
      <c r="J970" s="17" t="str">
        <f>IFERROR(__xludf.DUMMYFUNCTION("""COMPUTED_VALUE"""),"&lt; 18 tahun")</f>
        <v>&lt; 18 tahun</v>
      </c>
      <c r="K970" s="19">
        <f>IFERROR(__xludf.DUMMYFUNCTION("""COMPUTED_VALUE"""),40635.0)</f>
        <v>40635</v>
      </c>
      <c r="L970" s="19" t="str">
        <f>IFERROR(__xludf.DUMMYFUNCTION("""COMPUTED_VALUE"""),"LAKI-LAKI")</f>
        <v>LAKI-LAKI</v>
      </c>
      <c r="M970" s="16" t="str">
        <f>IFERROR(__xludf.DUMMYFUNCTION("""COMPUTED_VALUE"""),"Jl. Dr ismail no. 30")</f>
        <v>Jl. Dr ismail no. 30</v>
      </c>
      <c r="N970" s="16" t="str">
        <f>IFERROR(__xludf.DUMMYFUNCTION("""COMPUTED_VALUE"""),"KEL. AKCAYA")</f>
        <v>KEL. AKCAYA</v>
      </c>
      <c r="O970" s="16" t="str">
        <f>IFERROR(__xludf.DUMMYFUNCTION("""COMPUTED_VALUE"""),"KEC. PONTIANAK SELATAN")</f>
        <v>KEC. PONTIANAK SELATAN</v>
      </c>
      <c r="P970" s="16" t="str">
        <f>IFERROR(__xludf.DUMMYFUNCTION("""COMPUTED_VALUE"""),"KOTA PONTIANAK")</f>
        <v>KOTA PONTIANAK</v>
      </c>
      <c r="Q970" s="16" t="str">
        <f>IFERROR(__xludf.DUMMYFUNCTION("""COMPUTED_VALUE"""),"KALIMANTAN BARAT")</f>
        <v>KALIMANTAN BARAT</v>
      </c>
      <c r="R970" s="19" t="str">
        <f>IFERROR(__xludf.DUMMYFUNCTION("""COMPUTED_VALUE"""),"ISLAM")</f>
        <v>ISLAM</v>
      </c>
      <c r="S970" s="16" t="str">
        <f>IFERROR(__xludf.DUMMYFUNCTION("""COMPUTED_VALUE"""),"PELAJAR/MAHASISWA")</f>
        <v>PELAJAR/MAHASISWA</v>
      </c>
      <c r="T970" s="16" t="str">
        <f>IFERROR(__xludf.DUMMYFUNCTION("""COMPUTED_VALUE"""),"Flat foot")</f>
        <v>Flat foot</v>
      </c>
      <c r="U970" s="16" t="str">
        <f>IFERROR(__xludf.DUMMYFUNCTION("""COMPUTED_VALUE"""),"Membaca")</f>
        <v>Membaca</v>
      </c>
      <c r="V970" s="11" t="str">
        <f>IFERROR(__xludf.DUMMYFUNCTION("""COMPUTED_VALUE"""),"085245561655")</f>
        <v>085245561655</v>
      </c>
      <c r="W970" s="15"/>
    </row>
    <row r="971" ht="22.5" customHeight="1">
      <c r="A971" s="8"/>
      <c r="B971" s="9">
        <f>IFERROR(__xludf.DUMMYFUNCTION("""COMPUTED_VALUE"""),45284.7207240162)</f>
        <v>45284.72072</v>
      </c>
      <c r="C971" s="9"/>
      <c r="D971" s="10">
        <f>IFERROR(__xludf.DUMMYFUNCTION("""COMPUTED_VALUE"""),45283.0)</f>
        <v>45283</v>
      </c>
      <c r="E971" s="10" t="str">
        <f>IFERROR(__xludf.DUMMYFUNCTION("""COMPUTED_VALUE"""),"12Des")</f>
        <v>12Des</v>
      </c>
      <c r="F971" s="10" t="str">
        <f>IFERROR(__xludf.DUMMYFUNCTION("""COMPUTED_VALUE"""),"2023")</f>
        <v>2023</v>
      </c>
      <c r="G971" s="16" t="str">
        <f>IFERROR(__xludf.DUMMYFUNCTION("""COMPUTED_VALUE"""),"EDY SUTRISNO")</f>
        <v>EDY SUTRISNO</v>
      </c>
      <c r="H971" s="17" t="str">
        <f>IFERROR(__xludf.DUMMYFUNCTION("""COMPUTED_VALUE"""),"E7523128332")</f>
        <v>E7523128332</v>
      </c>
      <c r="I971" s="17">
        <f>IFERROR(__xludf.DUMMYFUNCTION("""COMPUTED_VALUE"""),51.0)</f>
        <v>51</v>
      </c>
      <c r="J971" s="17" t="str">
        <f>IFERROR(__xludf.DUMMYFUNCTION("""COMPUTED_VALUE"""),"&gt; 44 tahun")</f>
        <v>&gt; 44 tahun</v>
      </c>
      <c r="K971" s="19">
        <f>IFERROR(__xludf.DUMMYFUNCTION("""COMPUTED_VALUE"""),27419.0)</f>
        <v>27419</v>
      </c>
      <c r="L971" s="19" t="str">
        <f>IFERROR(__xludf.DUMMYFUNCTION("""COMPUTED_VALUE"""),"LAKI-LAKI")</f>
        <v>LAKI-LAKI</v>
      </c>
      <c r="M971" s="16" t="str">
        <f>IFERROR(__xludf.DUMMYFUNCTION("""COMPUTED_VALUE"""),"JL. PANGLIMA AIM NO. 118")</f>
        <v>JL. PANGLIMA AIM NO. 118</v>
      </c>
      <c r="N971" s="16" t="str">
        <f>IFERROR(__xludf.DUMMYFUNCTION("""COMPUTED_VALUE"""),"KEL. DALAM BUGIS")</f>
        <v>KEL. DALAM BUGIS</v>
      </c>
      <c r="O971" s="16" t="str">
        <f>IFERROR(__xludf.DUMMYFUNCTION("""COMPUTED_VALUE"""),"KEC. PONTIANAK TIMUR")</f>
        <v>KEC. PONTIANAK TIMUR</v>
      </c>
      <c r="P971" s="16" t="str">
        <f>IFERROR(__xludf.DUMMYFUNCTION("""COMPUTED_VALUE"""),"KOTA PONTIANAK")</f>
        <v>KOTA PONTIANAK</v>
      </c>
      <c r="Q971" s="16" t="str">
        <f>IFERROR(__xludf.DUMMYFUNCTION("""COMPUTED_VALUE"""),"KALIMANTAN BARAT")</f>
        <v>KALIMANTAN BARAT</v>
      </c>
      <c r="R971" s="19" t="str">
        <f>IFERROR(__xludf.DUMMYFUNCTION("""COMPUTED_VALUE"""),"KATOLIK")</f>
        <v>KATOLIK</v>
      </c>
      <c r="S971" s="16" t="str">
        <f>IFERROR(__xludf.DUMMYFUNCTION("""COMPUTED_VALUE"""),"SWASTA")</f>
        <v>SWASTA</v>
      </c>
      <c r="T971" s="16" t="str">
        <f>IFERROR(__xludf.DUMMYFUNCTION("""COMPUTED_VALUE"""),"KAKI")</f>
        <v>KAKI</v>
      </c>
      <c r="U971" s="16" t="str">
        <f>IFERROR(__xludf.DUMMYFUNCTION("""COMPUTED_VALUE"""),"SEPEDA")</f>
        <v>SEPEDA</v>
      </c>
      <c r="V971" s="11" t="str">
        <f>IFERROR(__xludf.DUMMYFUNCTION("""COMPUTED_VALUE"""),"081234568332")</f>
        <v>081234568332</v>
      </c>
      <c r="W971" s="15"/>
    </row>
    <row r="972" ht="22.5" customHeight="1">
      <c r="A972" s="8"/>
      <c r="B972" s="9">
        <f>IFERROR(__xludf.DUMMYFUNCTION("""COMPUTED_VALUE"""),45284.73571300926)</f>
        <v>45284.73571</v>
      </c>
      <c r="C972" s="9"/>
      <c r="D972" s="10">
        <f>IFERROR(__xludf.DUMMYFUNCTION("""COMPUTED_VALUE"""),45284.0)</f>
        <v>45284</v>
      </c>
      <c r="E972" s="10" t="str">
        <f>IFERROR(__xludf.DUMMYFUNCTION("""COMPUTED_VALUE"""),"12Des")</f>
        <v>12Des</v>
      </c>
      <c r="F972" s="10" t="str">
        <f>IFERROR(__xludf.DUMMYFUNCTION("""COMPUTED_VALUE"""),"2023")</f>
        <v>2023</v>
      </c>
      <c r="G972" s="16" t="str">
        <f>IFERROR(__xludf.DUMMYFUNCTION("""COMPUTED_VALUE"""),"MICHAEL CHRISTIAN YORDAN SITORUS")</f>
        <v>MICHAEL CHRISTIAN YORDAN SITORUS</v>
      </c>
      <c r="H972" s="17" t="str">
        <f>IFERROR(__xludf.DUMMYFUNCTION("""COMPUTED_VALUE"""),"M0123128475")</f>
        <v>M0123128475</v>
      </c>
      <c r="I972" s="17">
        <f>IFERROR(__xludf.DUMMYFUNCTION("""COMPUTED_VALUE"""),24.0)</f>
        <v>24</v>
      </c>
      <c r="J972" s="17" t="str">
        <f>IFERROR(__xludf.DUMMYFUNCTION("""COMPUTED_VALUE"""),"18-24 tahun")</f>
        <v>18-24 tahun</v>
      </c>
      <c r="K972" s="19">
        <f>IFERROR(__xludf.DUMMYFUNCTION("""COMPUTED_VALUE"""),37210.0)</f>
        <v>37210</v>
      </c>
      <c r="L972" s="19" t="str">
        <f>IFERROR(__xludf.DUMMYFUNCTION("""COMPUTED_VALUE"""),"LAKI-LAKI")</f>
        <v>LAKI-LAKI</v>
      </c>
      <c r="M972" s="16" t="str">
        <f>IFERROR(__xludf.DUMMYFUNCTION("""COMPUTED_VALUE"""),"Purnama Agung 7 C-10")</f>
        <v>Purnama Agung 7 C-10</v>
      </c>
      <c r="N972" s="16" t="str">
        <f>IFERROR(__xludf.DUMMYFUNCTION("""COMPUTED_VALUE"""),"KEL. PARIT TOKAYA")</f>
        <v>KEL. PARIT TOKAYA</v>
      </c>
      <c r="O972" s="16" t="str">
        <f>IFERROR(__xludf.DUMMYFUNCTION("""COMPUTED_VALUE"""),"KEC. PONTIANAK SELATAN")</f>
        <v>KEC. PONTIANAK SELATAN</v>
      </c>
      <c r="P972" s="16" t="str">
        <f>IFERROR(__xludf.DUMMYFUNCTION("""COMPUTED_VALUE"""),"KOTA PONTIANAK")</f>
        <v>KOTA PONTIANAK</v>
      </c>
      <c r="Q972" s="16" t="str">
        <f>IFERROR(__xludf.DUMMYFUNCTION("""COMPUTED_VALUE"""),"KALIMANTAN BARAT")</f>
        <v>KALIMANTAN BARAT</v>
      </c>
      <c r="R972" s="19" t="str">
        <f>IFERROR(__xludf.DUMMYFUNCTION("""COMPUTED_VALUE"""),"PROTESTAN")</f>
        <v>PROTESTAN</v>
      </c>
      <c r="S972" s="16" t="str">
        <f>IFERROR(__xludf.DUMMYFUNCTION("""COMPUTED_VALUE"""),"PELAJAR/MAHASISWA")</f>
        <v>PELAJAR/MAHASISWA</v>
      </c>
      <c r="T972" s="16" t="str">
        <f>IFERROR(__xludf.DUMMYFUNCTION("""COMPUTED_VALUE"""),"Sakit pada bagian bawah kanan pinggang, kemungkinan akibat tertarik saat bermain basket")</f>
        <v>Sakit pada bagian bawah kanan pinggang, kemungkinan akibat tertarik saat bermain basket</v>
      </c>
      <c r="U972" s="16" t="str">
        <f>IFERROR(__xludf.DUMMYFUNCTION("""COMPUTED_VALUE"""),"Dulu basket, kuliah")</f>
        <v>Dulu basket, kuliah</v>
      </c>
      <c r="V972" s="11" t="str">
        <f>IFERROR(__xludf.DUMMYFUNCTION("""COMPUTED_VALUE"""),"081353358475")</f>
        <v>081353358475</v>
      </c>
      <c r="W972" s="15"/>
    </row>
    <row r="973" ht="22.5" customHeight="1">
      <c r="A973" s="8"/>
      <c r="B973" s="9">
        <f>IFERROR(__xludf.DUMMYFUNCTION("""COMPUTED_VALUE"""),45283.64707651621)</f>
        <v>45283.64708</v>
      </c>
      <c r="C973" s="9"/>
      <c r="D973" s="10">
        <f>IFERROR(__xludf.DUMMYFUNCTION("""COMPUTED_VALUE"""),45284.0)</f>
        <v>45284</v>
      </c>
      <c r="E973" s="10" t="str">
        <f>IFERROR(__xludf.DUMMYFUNCTION("""COMPUTED_VALUE"""),"12Des")</f>
        <v>12Des</v>
      </c>
      <c r="F973" s="10" t="str">
        <f>IFERROR(__xludf.DUMMYFUNCTION("""COMPUTED_VALUE"""),"2023")</f>
        <v>2023</v>
      </c>
      <c r="G973" s="16" t="str">
        <f>IFERROR(__xludf.DUMMYFUNCTION("""COMPUTED_VALUE"""),"MIRZA AMINUDIN")</f>
        <v>MIRZA AMINUDIN</v>
      </c>
      <c r="H973" s="17" t="str">
        <f>IFERROR(__xludf.DUMMYFUNCTION("""COMPUTED_VALUE"""),"M9723126343")</f>
        <v>M9723126343</v>
      </c>
      <c r="I973" s="17">
        <f>IFERROR(__xludf.DUMMYFUNCTION("""COMPUTED_VALUE"""),28.0)</f>
        <v>28</v>
      </c>
      <c r="J973" s="17" t="str">
        <f>IFERROR(__xludf.DUMMYFUNCTION("""COMPUTED_VALUE"""),"25-34 tahun")</f>
        <v>25-34 tahun</v>
      </c>
      <c r="K973" s="19">
        <f>IFERROR(__xludf.DUMMYFUNCTION("""COMPUTED_VALUE"""),35601.0)</f>
        <v>35601</v>
      </c>
      <c r="L973" s="19" t="str">
        <f>IFERROR(__xludf.DUMMYFUNCTION("""COMPUTED_VALUE"""),"LAKI-LAKI")</f>
        <v>LAKI-LAKI</v>
      </c>
      <c r="M973" s="16" t="str">
        <f>IFERROR(__xludf.DUMMYFUNCTION("""COMPUTED_VALUE"""),"Vila Mutiara Bogor Blok G14 no 8")</f>
        <v>Vila Mutiara Bogor Blok G14 no 8</v>
      </c>
      <c r="N973" s="16" t="str">
        <f>IFERROR(__xludf.DUMMYFUNCTION("""COMPUTED_VALUE"""),"KEL. MEKAR WANGI")</f>
        <v>KEL. MEKAR WANGI</v>
      </c>
      <c r="O973" s="16" t="str">
        <f>IFERROR(__xludf.DUMMYFUNCTION("""COMPUTED_VALUE"""),"KEC. TANAH SAREAL")</f>
        <v>KEC. TANAH SAREAL</v>
      </c>
      <c r="P973" s="16" t="str">
        <f>IFERROR(__xludf.DUMMYFUNCTION("""COMPUTED_VALUE"""),"KOTA BOGOR")</f>
        <v>KOTA BOGOR</v>
      </c>
      <c r="Q973" s="16" t="str">
        <f>IFERROR(__xludf.DUMMYFUNCTION("""COMPUTED_VALUE"""),"JAWA BARAT")</f>
        <v>JAWA BARAT</v>
      </c>
      <c r="R973" s="19" t="str">
        <f>IFERROR(__xludf.DUMMYFUNCTION("""COMPUTED_VALUE"""),"ISLAM")</f>
        <v>ISLAM</v>
      </c>
      <c r="S973" s="16" t="str">
        <f>IFERROR(__xludf.DUMMYFUNCTION("""COMPUTED_VALUE"""),"SWASTA")</f>
        <v>SWASTA</v>
      </c>
      <c r="T973" s="16"/>
      <c r="U973" s="16" t="str">
        <f>IFERROR(__xludf.DUMMYFUNCTION("""COMPUTED_VALUE"""),"Futsal")</f>
        <v>Futsal</v>
      </c>
      <c r="V973" s="11" t="str">
        <f>IFERROR(__xludf.DUMMYFUNCTION("""COMPUTED_VALUE"""),"085710506343")</f>
        <v>085710506343</v>
      </c>
      <c r="W973" s="15"/>
    </row>
    <row r="974" ht="22.5" customHeight="1">
      <c r="A974" s="8"/>
      <c r="B974" s="9">
        <f>IFERROR(__xludf.DUMMYFUNCTION("""COMPUTED_VALUE"""),45283.86663049769)</f>
        <v>45283.86663</v>
      </c>
      <c r="C974" s="9"/>
      <c r="D974" s="10">
        <f>IFERROR(__xludf.DUMMYFUNCTION("""COMPUTED_VALUE"""),45286.0)</f>
        <v>45286</v>
      </c>
      <c r="E974" s="10" t="str">
        <f>IFERROR(__xludf.DUMMYFUNCTION("""COMPUTED_VALUE"""),"12Des")</f>
        <v>12Des</v>
      </c>
      <c r="F974" s="10" t="str">
        <f>IFERROR(__xludf.DUMMYFUNCTION("""COMPUTED_VALUE"""),"2023")</f>
        <v>2023</v>
      </c>
      <c r="G974" s="16" t="str">
        <f>IFERROR(__xludf.DUMMYFUNCTION("""COMPUTED_VALUE"""),"KEVIN ANTONIO")</f>
        <v>KEVIN ANTONIO</v>
      </c>
      <c r="H974" s="17" t="str">
        <f>IFERROR(__xludf.DUMMYFUNCTION("""COMPUTED_VALUE"""),"K9923127029")</f>
        <v>K9923127029</v>
      </c>
      <c r="I974" s="17">
        <f>IFERROR(__xludf.DUMMYFUNCTION("""COMPUTED_VALUE"""),26.0)</f>
        <v>26</v>
      </c>
      <c r="J974" s="17" t="str">
        <f>IFERROR(__xludf.DUMMYFUNCTION("""COMPUTED_VALUE"""),"25-34 tahun")</f>
        <v>25-34 tahun</v>
      </c>
      <c r="K974" s="19">
        <f>IFERROR(__xludf.DUMMYFUNCTION("""COMPUTED_VALUE"""),36345.0)</f>
        <v>36345</v>
      </c>
      <c r="L974" s="19" t="str">
        <f>IFERROR(__xludf.DUMMYFUNCTION("""COMPUTED_VALUE"""),"LAKI-LAKI")</f>
        <v>LAKI-LAKI</v>
      </c>
      <c r="M974" s="16" t="str">
        <f>IFERROR(__xludf.DUMMYFUNCTION("""COMPUTED_VALUE"""),"Jl. Adisucipto, GG Cempaka Putih")</f>
        <v>Jl. Adisucipto, GG Cempaka Putih</v>
      </c>
      <c r="N974" s="16" t="str">
        <f>IFERROR(__xludf.DUMMYFUNCTION("""COMPUTED_VALUE"""),"KEL. PARIT BARU")</f>
        <v>KEL. PARIT BARU</v>
      </c>
      <c r="O974" s="16" t="str">
        <f>IFERROR(__xludf.DUMMYFUNCTION("""COMPUTED_VALUE"""),"KEC. SUNGAI RAYA")</f>
        <v>KEC. SUNGAI RAYA</v>
      </c>
      <c r="P974" s="16" t="str">
        <f>IFERROR(__xludf.DUMMYFUNCTION("""COMPUTED_VALUE"""),"KAB. KUBU RAYA")</f>
        <v>KAB. KUBU RAYA</v>
      </c>
      <c r="Q974" s="16" t="str">
        <f>IFERROR(__xludf.DUMMYFUNCTION("""COMPUTED_VALUE"""),"KALIMANTAN BARAT")</f>
        <v>KALIMANTAN BARAT</v>
      </c>
      <c r="R974" s="19" t="str">
        <f>IFERROR(__xludf.DUMMYFUNCTION("""COMPUTED_VALUE"""),"ISLAM")</f>
        <v>ISLAM</v>
      </c>
      <c r="S974" s="16" t="str">
        <f>IFERROR(__xludf.DUMMYFUNCTION("""COMPUTED_VALUE"""),"SWASTA")</f>
        <v>SWASTA</v>
      </c>
      <c r="T974" s="16" t="str">
        <f>IFERROR(__xludf.DUMMYFUNCTION("""COMPUTED_VALUE"""),"Kaki sebelah kiri tidak dapat ditekuk terlalu lama")</f>
        <v>Kaki sebelah kiri tidak dapat ditekuk terlalu lama</v>
      </c>
      <c r="U974" s="16" t="str">
        <f>IFERROR(__xludf.DUMMYFUNCTION("""COMPUTED_VALUE"""),"Olahraga Lari")</f>
        <v>Olahraga Lari</v>
      </c>
      <c r="V974" s="11" t="str">
        <f>IFERROR(__xludf.DUMMYFUNCTION("""COMPUTED_VALUE"""),"081253047029")</f>
        <v>081253047029</v>
      </c>
      <c r="W974" s="15"/>
    </row>
    <row r="975" ht="22.5" customHeight="1">
      <c r="A975" s="8"/>
      <c r="B975" s="9">
        <f>IFERROR(__xludf.DUMMYFUNCTION("""COMPUTED_VALUE"""),45284.429543252314)</f>
        <v>45284.42954</v>
      </c>
      <c r="C975" s="9"/>
      <c r="D975" s="10">
        <f>IFERROR(__xludf.DUMMYFUNCTION("""COMPUTED_VALUE"""),45287.0)</f>
        <v>45287</v>
      </c>
      <c r="E975" s="10" t="str">
        <f>IFERROR(__xludf.DUMMYFUNCTION("""COMPUTED_VALUE"""),"12Des")</f>
        <v>12Des</v>
      </c>
      <c r="F975" s="10" t="str">
        <f>IFERROR(__xludf.DUMMYFUNCTION("""COMPUTED_VALUE"""),"2023")</f>
        <v>2023</v>
      </c>
      <c r="G975" s="16" t="str">
        <f>IFERROR(__xludf.DUMMYFUNCTION("""COMPUTED_VALUE"""),"YOGA SYAMSUDIN")</f>
        <v>YOGA SYAMSUDIN</v>
      </c>
      <c r="H975" s="17" t="str">
        <f>IFERROR(__xludf.DUMMYFUNCTION("""COMPUTED_VALUE"""),"Y7923123208")</f>
        <v>Y7923123208</v>
      </c>
      <c r="I975" s="17">
        <f>IFERROR(__xludf.DUMMYFUNCTION("""COMPUTED_VALUE"""),46.0)</f>
        <v>46</v>
      </c>
      <c r="J975" s="17" t="str">
        <f>IFERROR(__xludf.DUMMYFUNCTION("""COMPUTED_VALUE"""),"&gt; 44 tahun")</f>
        <v>&gt; 44 tahun</v>
      </c>
      <c r="K975" s="19">
        <f>IFERROR(__xludf.DUMMYFUNCTION("""COMPUTED_VALUE"""),29213.0)</f>
        <v>29213</v>
      </c>
      <c r="L975" s="19" t="str">
        <f>IFERROR(__xludf.DUMMYFUNCTION("""COMPUTED_VALUE"""),"LAKI-LAKI")</f>
        <v>LAKI-LAKI</v>
      </c>
      <c r="M975" s="16" t="str">
        <f>IFERROR(__xludf.DUMMYFUNCTION("""COMPUTED_VALUE"""),"JLN SUPRAPTO V NO 2")</f>
        <v>JLN SUPRAPTO V NO 2</v>
      </c>
      <c r="N975" s="16" t="str">
        <f>IFERROR(__xludf.DUMMYFUNCTION("""COMPUTED_VALUE"""),"KEL. BENUA MELAYU DARAT")</f>
        <v>KEL. BENUA MELAYU DARAT</v>
      </c>
      <c r="O975" s="16" t="str">
        <f>IFERROR(__xludf.DUMMYFUNCTION("""COMPUTED_VALUE"""),"KEC. PONTIANAK SELATAN")</f>
        <v>KEC. PONTIANAK SELATAN</v>
      </c>
      <c r="P975" s="16" t="str">
        <f>IFERROR(__xludf.DUMMYFUNCTION("""COMPUTED_VALUE"""),"KOTA PONTIANAK")</f>
        <v>KOTA PONTIANAK</v>
      </c>
      <c r="Q975" s="16" t="str">
        <f>IFERROR(__xludf.DUMMYFUNCTION("""COMPUTED_VALUE"""),"KALIMANTAN BARAT")</f>
        <v>KALIMANTAN BARAT</v>
      </c>
      <c r="R975" s="19" t="str">
        <f>IFERROR(__xludf.DUMMYFUNCTION("""COMPUTED_VALUE"""),"KATOLIK")</f>
        <v>KATOLIK</v>
      </c>
      <c r="S975" s="16" t="str">
        <f>IFERROR(__xludf.DUMMYFUNCTION("""COMPUTED_VALUE"""),"WIRASWASTA")</f>
        <v>WIRASWASTA</v>
      </c>
      <c r="T975" s="16" t="str">
        <f>IFERROR(__xludf.DUMMYFUNCTION("""COMPUTED_VALUE"""),"CIDERA BAHU")</f>
        <v>CIDERA BAHU</v>
      </c>
      <c r="U975" s="16" t="str">
        <f>IFERROR(__xludf.DUMMYFUNCTION("""COMPUTED_VALUE"""),"OLAHRAGA")</f>
        <v>OLAHRAGA</v>
      </c>
      <c r="V975" s="11" t="str">
        <f>IFERROR(__xludf.DUMMYFUNCTION("""COMPUTED_VALUE"""),"08125643208")</f>
        <v>08125643208</v>
      </c>
      <c r="W975" s="15"/>
    </row>
    <row r="976" ht="22.5" customHeight="1">
      <c r="A976" s="8"/>
      <c r="B976" s="9">
        <f>IFERROR(__xludf.DUMMYFUNCTION("""COMPUTED_VALUE"""),45284.48609583333)</f>
        <v>45284.4861</v>
      </c>
      <c r="C976" s="9"/>
      <c r="D976" s="10">
        <f>IFERROR(__xludf.DUMMYFUNCTION("""COMPUTED_VALUE"""),45287.0)</f>
        <v>45287</v>
      </c>
      <c r="E976" s="10" t="str">
        <f>IFERROR(__xludf.DUMMYFUNCTION("""COMPUTED_VALUE"""),"12Des")</f>
        <v>12Des</v>
      </c>
      <c r="F976" s="10" t="str">
        <f>IFERROR(__xludf.DUMMYFUNCTION("""COMPUTED_VALUE"""),"2023")</f>
        <v>2023</v>
      </c>
      <c r="G976" s="16" t="str">
        <f>IFERROR(__xludf.DUMMYFUNCTION("""COMPUTED_VALUE"""),"BARI ABIYU ATHAILLAH")</f>
        <v>BARI ABIYU ATHAILLAH</v>
      </c>
      <c r="H976" s="17" t="str">
        <f>IFERROR(__xludf.DUMMYFUNCTION("""COMPUTED_VALUE"""),"B1223123307")</f>
        <v>B1223123307</v>
      </c>
      <c r="I976" s="17">
        <f>IFERROR(__xludf.DUMMYFUNCTION("""COMPUTED_VALUE"""),14.0)</f>
        <v>14</v>
      </c>
      <c r="J976" s="17" t="str">
        <f>IFERROR(__xludf.DUMMYFUNCTION("""COMPUTED_VALUE"""),"&lt; 18 tahun")</f>
        <v>&lt; 18 tahun</v>
      </c>
      <c r="K976" s="19">
        <f>IFERROR(__xludf.DUMMYFUNCTION("""COMPUTED_VALUE"""),41056.0)</f>
        <v>41056</v>
      </c>
      <c r="L976" s="19" t="str">
        <f>IFERROR(__xludf.DUMMYFUNCTION("""COMPUTED_VALUE"""),"LAKI-LAKI")</f>
        <v>LAKI-LAKI</v>
      </c>
      <c r="M976" s="16" t="str">
        <f>IFERROR(__xludf.DUMMYFUNCTION("""COMPUTED_VALUE"""),"Jalan Sawo Jalur 2 no.8")</f>
        <v>Jalan Sawo Jalur 2 no.8</v>
      </c>
      <c r="N976" s="16" t="str">
        <f>IFERROR(__xludf.DUMMYFUNCTION("""COMPUTED_VALUE"""),"KEL. SUNGAI JAWI LUAR")</f>
        <v>KEL. SUNGAI JAWI LUAR</v>
      </c>
      <c r="O976" s="16" t="str">
        <f>IFERROR(__xludf.DUMMYFUNCTION("""COMPUTED_VALUE"""),"KEC. PONTIANAK BARAT")</f>
        <v>KEC. PONTIANAK BARAT</v>
      </c>
      <c r="P976" s="16" t="str">
        <f>IFERROR(__xludf.DUMMYFUNCTION("""COMPUTED_VALUE"""),"KOTA PONTIANAK")</f>
        <v>KOTA PONTIANAK</v>
      </c>
      <c r="Q976" s="16" t="str">
        <f>IFERROR(__xludf.DUMMYFUNCTION("""COMPUTED_VALUE"""),"KALIMANTAN BARAT")</f>
        <v>KALIMANTAN BARAT</v>
      </c>
      <c r="R976" s="19" t="str">
        <f>IFERROR(__xludf.DUMMYFUNCTION("""COMPUTED_VALUE"""),"ISLAM")</f>
        <v>ISLAM</v>
      </c>
      <c r="S976" s="16" t="str">
        <f>IFERROR(__xludf.DUMMYFUNCTION("""COMPUTED_VALUE"""),"TIDAK ADA")</f>
        <v>TIDAK ADA</v>
      </c>
      <c r="T976" s="16" t="str">
        <f>IFERROR(__xludf.DUMMYFUNCTION("""COMPUTED_VALUE"""),"berjalan agak beda, sering nyeri betis apabila banyak beraktifitas")</f>
        <v>berjalan agak beda, sering nyeri betis apabila banyak beraktifitas</v>
      </c>
      <c r="U976" s="16" t="str">
        <f>IFERROR(__xludf.DUMMYFUNCTION("""COMPUTED_VALUE"""),"bermain sepakbola")</f>
        <v>bermain sepakbola</v>
      </c>
      <c r="V976" s="11" t="str">
        <f>IFERROR(__xludf.DUMMYFUNCTION("""COMPUTED_VALUE"""),"08125733307")</f>
        <v>08125733307</v>
      </c>
      <c r="W976" s="15"/>
    </row>
    <row r="977" ht="22.5" customHeight="1">
      <c r="A977" s="8"/>
      <c r="B977" s="9">
        <f>IFERROR(__xludf.DUMMYFUNCTION("""COMPUTED_VALUE"""),45284.57219693287)</f>
        <v>45284.5722</v>
      </c>
      <c r="C977" s="9"/>
      <c r="D977" s="10">
        <f>IFERROR(__xludf.DUMMYFUNCTION("""COMPUTED_VALUE"""),45287.0)</f>
        <v>45287</v>
      </c>
      <c r="E977" s="10" t="str">
        <f>IFERROR(__xludf.DUMMYFUNCTION("""COMPUTED_VALUE"""),"12Des")</f>
        <v>12Des</v>
      </c>
      <c r="F977" s="10" t="str">
        <f>IFERROR(__xludf.DUMMYFUNCTION("""COMPUTED_VALUE"""),"2023")</f>
        <v>2023</v>
      </c>
      <c r="G977" s="16" t="str">
        <f>IFERROR(__xludf.DUMMYFUNCTION("""COMPUTED_VALUE"""),"WANG LIANG TJHENG")</f>
        <v>WANG LIANG TJHENG</v>
      </c>
      <c r="H977" s="17" t="str">
        <f>IFERROR(__xludf.DUMMYFUNCTION("""COMPUTED_VALUE"""),"W542312")</f>
        <v>W542312</v>
      </c>
      <c r="I977" s="17">
        <f>IFERROR(__xludf.DUMMYFUNCTION("""COMPUTED_VALUE"""),71.0)</f>
        <v>71</v>
      </c>
      <c r="J977" s="17" t="str">
        <f>IFERROR(__xludf.DUMMYFUNCTION("""COMPUTED_VALUE"""),"&gt; 44 tahun")</f>
        <v>&gt; 44 tahun</v>
      </c>
      <c r="K977" s="19">
        <f>IFERROR(__xludf.DUMMYFUNCTION("""COMPUTED_VALUE"""),20085.0)</f>
        <v>20085</v>
      </c>
      <c r="L977" s="19" t="str">
        <f>IFERROR(__xludf.DUMMYFUNCTION("""COMPUTED_VALUE"""),"LAKI-LAKI")</f>
        <v>LAKI-LAKI</v>
      </c>
      <c r="M977" s="16" t="str">
        <f>IFERROR(__xludf.DUMMYFUNCTION("""COMPUTED_VALUE"""),"Jalan Tanjung Pura Gang Baiduri 1 nomor 17A")</f>
        <v>Jalan Tanjung Pura Gang Baiduri 1 nomor 17A</v>
      </c>
      <c r="N977" s="16" t="str">
        <f>IFERROR(__xludf.DUMMYFUNCTION("""COMPUTED_VALUE"""),"KEL. BENUA MELAYU DARAT")</f>
        <v>KEL. BENUA MELAYU DARAT</v>
      </c>
      <c r="O977" s="16" t="str">
        <f>IFERROR(__xludf.DUMMYFUNCTION("""COMPUTED_VALUE"""),"KEC. PONTIANAK SELATAN")</f>
        <v>KEC. PONTIANAK SELATAN</v>
      </c>
      <c r="P977" s="16" t="str">
        <f>IFERROR(__xludf.DUMMYFUNCTION("""COMPUTED_VALUE"""),"KOTA PONTIANAK")</f>
        <v>KOTA PONTIANAK</v>
      </c>
      <c r="Q977" s="16" t="str">
        <f>IFERROR(__xludf.DUMMYFUNCTION("""COMPUTED_VALUE"""),"KALIMANTAN BARAT")</f>
        <v>KALIMANTAN BARAT</v>
      </c>
      <c r="R977" s="19" t="str">
        <f>IFERROR(__xludf.DUMMYFUNCTION("""COMPUTED_VALUE"""),"BUDDHA")</f>
        <v>BUDDHA</v>
      </c>
      <c r="S977" s="16" t="str">
        <f>IFERROR(__xludf.DUMMYFUNCTION("""COMPUTED_VALUE"""),"WIRASWASTA")</f>
        <v>WIRASWASTA</v>
      </c>
      <c r="T977" s="16" t="str">
        <f>IFERROR(__xludf.DUMMYFUNCTION("""COMPUTED_VALUE"""),"Saraf kejepit")</f>
        <v>Saraf kejepit</v>
      </c>
      <c r="U977" s="16" t="str">
        <f>IFERROR(__xludf.DUMMYFUNCTION("""COMPUTED_VALUE"""),"Jalan pagi")</f>
        <v>Jalan pagi</v>
      </c>
      <c r="V977" s="11" t="str">
        <f>IFERROR(__xludf.DUMMYFUNCTION("""COMPUTED_VALUE"""),"")</f>
        <v/>
      </c>
      <c r="W977" s="15"/>
    </row>
    <row r="978" ht="22.5" customHeight="1">
      <c r="A978" s="8"/>
      <c r="B978" s="9">
        <f>IFERROR(__xludf.DUMMYFUNCTION("""COMPUTED_VALUE"""),45284.57337895833)</f>
        <v>45284.57338</v>
      </c>
      <c r="C978" s="9"/>
      <c r="D978" s="10">
        <f>IFERROR(__xludf.DUMMYFUNCTION("""COMPUTED_VALUE"""),45287.0)</f>
        <v>45287</v>
      </c>
      <c r="E978" s="10" t="str">
        <f>IFERROR(__xludf.DUMMYFUNCTION("""COMPUTED_VALUE"""),"12Des")</f>
        <v>12Des</v>
      </c>
      <c r="F978" s="10" t="str">
        <f>IFERROR(__xludf.DUMMYFUNCTION("""COMPUTED_VALUE"""),"2023")</f>
        <v>2023</v>
      </c>
      <c r="G978" s="16" t="str">
        <f>IFERROR(__xludf.DUMMYFUNCTION("""COMPUTED_VALUE"""),"SUPRIADI")</f>
        <v>SUPRIADI</v>
      </c>
      <c r="H978" s="17" t="str">
        <f>IFERROR(__xludf.DUMMYFUNCTION("""COMPUTED_VALUE"""),"S6923122877")</f>
        <v>S6923122877</v>
      </c>
      <c r="I978" s="17">
        <f>IFERROR(__xludf.DUMMYFUNCTION("""COMPUTED_VALUE"""),56.0)</f>
        <v>56</v>
      </c>
      <c r="J978" s="17" t="str">
        <f>IFERROR(__xludf.DUMMYFUNCTION("""COMPUTED_VALUE"""),"&gt; 44 tahun")</f>
        <v>&gt; 44 tahun</v>
      </c>
      <c r="K978" s="19">
        <f>IFERROR(__xludf.DUMMYFUNCTION("""COMPUTED_VALUE"""),25506.0)</f>
        <v>25506</v>
      </c>
      <c r="L978" s="19" t="str">
        <f>IFERROR(__xludf.DUMMYFUNCTION("""COMPUTED_VALUE"""),"LAKI-LAKI")</f>
        <v>LAKI-LAKI</v>
      </c>
      <c r="M978" s="16" t="str">
        <f>IFERROR(__xludf.DUMMYFUNCTION("""COMPUTED_VALUE"""),"Desa Gudang Hulu Selimbau Kapuas Hulu")</f>
        <v>Desa Gudang Hulu Selimbau Kapuas Hulu</v>
      </c>
      <c r="N978" s="16" t="str">
        <f>IFERROR(__xludf.DUMMYFUNCTION("""COMPUTED_VALUE"""),"DS. GUDANG HULU")</f>
        <v>DS. GUDANG HULU</v>
      </c>
      <c r="O978" s="16" t="str">
        <f>IFERROR(__xludf.DUMMYFUNCTION("""COMPUTED_VALUE"""),"KEC. SELIMBAU")</f>
        <v>KEC. SELIMBAU</v>
      </c>
      <c r="P978" s="16" t="str">
        <f>IFERROR(__xludf.DUMMYFUNCTION("""COMPUTED_VALUE"""),"KAB. KAPUAS HULU")</f>
        <v>KAB. KAPUAS HULU</v>
      </c>
      <c r="Q978" s="16" t="str">
        <f>IFERROR(__xludf.DUMMYFUNCTION("""COMPUTED_VALUE"""),"KALIMANTAN BARAT")</f>
        <v>KALIMANTAN BARAT</v>
      </c>
      <c r="R978" s="19" t="str">
        <f>IFERROR(__xludf.DUMMYFUNCTION("""COMPUTED_VALUE"""),"ISLAM")</f>
        <v>ISLAM</v>
      </c>
      <c r="S978" s="16" t="str">
        <f>IFERROR(__xludf.DUMMYFUNCTION("""COMPUTED_VALUE"""),"DOSEN/GURU")</f>
        <v>DOSEN/GURU</v>
      </c>
      <c r="T978" s="16" t="str">
        <f>IFERROR(__xludf.DUMMYFUNCTION("""COMPUTED_VALUE"""),"Sakit bahu")</f>
        <v>Sakit bahu</v>
      </c>
      <c r="U978" s="16" t="str">
        <f>IFERROR(__xludf.DUMMYFUNCTION("""COMPUTED_VALUE"""),"Main tenis meja")</f>
        <v>Main tenis meja</v>
      </c>
      <c r="V978" s="11" t="str">
        <f>IFERROR(__xludf.DUMMYFUNCTION("""COMPUTED_VALUE"""),"085750882877")</f>
        <v>085750882877</v>
      </c>
      <c r="W978" s="15"/>
    </row>
    <row r="979" ht="22.5" customHeight="1">
      <c r="A979" s="8"/>
      <c r="B979" s="9">
        <f>IFERROR(__xludf.DUMMYFUNCTION("""COMPUTED_VALUE"""),45284.57489695602)</f>
        <v>45284.5749</v>
      </c>
      <c r="C979" s="9"/>
      <c r="D979" s="10">
        <f>IFERROR(__xludf.DUMMYFUNCTION("""COMPUTED_VALUE"""),45287.0)</f>
        <v>45287</v>
      </c>
      <c r="E979" s="10" t="str">
        <f>IFERROR(__xludf.DUMMYFUNCTION("""COMPUTED_VALUE"""),"12Des")</f>
        <v>12Des</v>
      </c>
      <c r="F979" s="10" t="str">
        <f>IFERROR(__xludf.DUMMYFUNCTION("""COMPUTED_VALUE"""),"2023")</f>
        <v>2023</v>
      </c>
      <c r="G979" s="16" t="str">
        <f>IFERROR(__xludf.DUMMYFUNCTION("""COMPUTED_VALUE"""),"YUSDI RAHMAT")</f>
        <v>YUSDI RAHMAT</v>
      </c>
      <c r="H979" s="17" t="str">
        <f>IFERROR(__xludf.DUMMYFUNCTION("""COMPUTED_VALUE"""),"Y9123122338")</f>
        <v>Y9123122338</v>
      </c>
      <c r="I979" s="17">
        <f>IFERROR(__xludf.DUMMYFUNCTION("""COMPUTED_VALUE"""),35.0)</f>
        <v>35</v>
      </c>
      <c r="J979" s="17" t="str">
        <f>IFERROR(__xludf.DUMMYFUNCTION("""COMPUTED_VALUE"""),"35-44 tahun")</f>
        <v>35-44 tahun</v>
      </c>
      <c r="K979" s="19">
        <f>IFERROR(__xludf.DUMMYFUNCTION("""COMPUTED_VALUE"""),33336.0)</f>
        <v>33336</v>
      </c>
      <c r="L979" s="19" t="str">
        <f>IFERROR(__xludf.DUMMYFUNCTION("""COMPUTED_VALUE"""),"LAKI-LAKI")</f>
        <v>LAKI-LAKI</v>
      </c>
      <c r="M979" s="16" t="str">
        <f>IFERROR(__xludf.DUMMYFUNCTION("""COMPUTED_VALUE"""),"Kp air peluntan. Natuna")</f>
        <v>Kp air peluntan. Natuna</v>
      </c>
      <c r="N979" s="16" t="str">
        <f>IFERROR(__xludf.DUMMYFUNCTION("""COMPUTED_VALUE"""),"KEL. SERASAN")</f>
        <v>KEL. SERASAN</v>
      </c>
      <c r="O979" s="16" t="str">
        <f>IFERROR(__xludf.DUMMYFUNCTION("""COMPUTED_VALUE"""),"KEC. SERASAN TIM")</f>
        <v>KEC. SERASAN TIM</v>
      </c>
      <c r="P979" s="16" t="str">
        <f>IFERROR(__xludf.DUMMYFUNCTION("""COMPUTED_VALUE"""),"KAB. NATUNA")</f>
        <v>KAB. NATUNA</v>
      </c>
      <c r="Q979" s="16" t="str">
        <f>IFERROR(__xludf.DUMMYFUNCTION("""COMPUTED_VALUE"""),"KEPULAUAN RIAU")</f>
        <v>KEPULAUAN RIAU</v>
      </c>
      <c r="R979" s="19" t="str">
        <f>IFERROR(__xludf.DUMMYFUNCTION("""COMPUTED_VALUE"""),"ISLAM")</f>
        <v>ISLAM</v>
      </c>
      <c r="S979" s="16" t="str">
        <f>IFERROR(__xludf.DUMMYFUNCTION("""COMPUTED_VALUE"""),"ASN")</f>
        <v>ASN</v>
      </c>
      <c r="T979" s="16" t="str">
        <f>IFERROR(__xludf.DUMMYFUNCTION("""COMPUTED_VALUE"""),"Sakit")</f>
        <v>Sakit</v>
      </c>
      <c r="U979" s="16" t="str">
        <f>IFERROR(__xludf.DUMMYFUNCTION("""COMPUTED_VALUE"""),"Voli")</f>
        <v>Voli</v>
      </c>
      <c r="V979" s="11" t="str">
        <f>IFERROR(__xludf.DUMMYFUNCTION("""COMPUTED_VALUE"""),"082268462338")</f>
        <v>082268462338</v>
      </c>
      <c r="W979" s="15"/>
    </row>
    <row r="980" ht="22.5" customHeight="1">
      <c r="A980" s="8"/>
      <c r="B980" s="9">
        <f>IFERROR(__xludf.DUMMYFUNCTION("""COMPUTED_VALUE"""),45284.749398368054)</f>
        <v>45284.7494</v>
      </c>
      <c r="C980" s="9"/>
      <c r="D980" s="10">
        <f>IFERROR(__xludf.DUMMYFUNCTION("""COMPUTED_VALUE"""),45288.0)</f>
        <v>45288</v>
      </c>
      <c r="E980" s="10" t="str">
        <f>IFERROR(__xludf.DUMMYFUNCTION("""COMPUTED_VALUE"""),"12Des")</f>
        <v>12Des</v>
      </c>
      <c r="F980" s="10" t="str">
        <f>IFERROR(__xludf.DUMMYFUNCTION("""COMPUTED_VALUE"""),"2023")</f>
        <v>2023</v>
      </c>
      <c r="G980" s="16" t="str">
        <f>IFERROR(__xludf.DUMMYFUNCTION("""COMPUTED_VALUE"""),"UPY FERDIANY")</f>
        <v>UPY FERDIANY</v>
      </c>
      <c r="H980" s="17" t="str">
        <f>IFERROR(__xludf.DUMMYFUNCTION("""COMPUTED_VALUE"""),"U8223123189")</f>
        <v>U8223123189</v>
      </c>
      <c r="I980" s="17">
        <f>IFERROR(__xludf.DUMMYFUNCTION("""COMPUTED_VALUE"""),44.0)</f>
        <v>44</v>
      </c>
      <c r="J980" s="17" t="str">
        <f>IFERROR(__xludf.DUMMYFUNCTION("""COMPUTED_VALUE"""),"35-44 tahun")</f>
        <v>35-44 tahun</v>
      </c>
      <c r="K980" s="19">
        <f>IFERROR(__xludf.DUMMYFUNCTION("""COMPUTED_VALUE"""),30011.0)</f>
        <v>30011</v>
      </c>
      <c r="L980" s="19" t="str">
        <f>IFERROR(__xludf.DUMMYFUNCTION("""COMPUTED_VALUE"""),"PEREMPUAN")</f>
        <v>PEREMPUAN</v>
      </c>
      <c r="M980" s="16" t="str">
        <f>IFERROR(__xludf.DUMMYFUNCTION("""COMPUTED_VALUE"""),"Jl dr wahidin gang adiaksa RT 01/ RW 035 sui Jawi Pontianak kota Pontianak Kalimantan Barat")</f>
        <v>Jl dr wahidin gang adiaksa RT 01/ RW 035 sui Jawi Pontianak kota Pontianak Kalimantan Barat</v>
      </c>
      <c r="N980" s="16" t="str">
        <f>IFERROR(__xludf.DUMMYFUNCTION("""COMPUTED_VALUE"""),"KEL. SUNGAI JAWI")</f>
        <v>KEL. SUNGAI JAWI</v>
      </c>
      <c r="O980" s="16" t="str">
        <f>IFERROR(__xludf.DUMMYFUNCTION("""COMPUTED_VALUE"""),"KEC. PONTIANAK KOTA")</f>
        <v>KEC. PONTIANAK KOTA</v>
      </c>
      <c r="P980" s="16" t="str">
        <f>IFERROR(__xludf.DUMMYFUNCTION("""COMPUTED_VALUE"""),"KOTA PONTIANAK")</f>
        <v>KOTA PONTIANAK</v>
      </c>
      <c r="Q980" s="16" t="str">
        <f>IFERROR(__xludf.DUMMYFUNCTION("""COMPUTED_VALUE"""),"KALIMANTAN BARAT")</f>
        <v>KALIMANTAN BARAT</v>
      </c>
      <c r="R980" s="19" t="str">
        <f>IFERROR(__xludf.DUMMYFUNCTION("""COMPUTED_VALUE"""),"ISLAM")</f>
        <v>ISLAM</v>
      </c>
      <c r="S980" s="16" t="str">
        <f>IFERROR(__xludf.DUMMYFUNCTION("""COMPUTED_VALUE"""),"DOSEN/GURU")</f>
        <v>DOSEN/GURU</v>
      </c>
      <c r="T980" s="16" t="str">
        <f>IFERROR(__xludf.DUMMYFUNCTION("""COMPUTED_VALUE"""),"kanan bengkak")</f>
        <v>kanan bengkak</v>
      </c>
      <c r="U980" s="16" t="str">
        <f>IFERROR(__xludf.DUMMYFUNCTION("""COMPUTED_VALUE"""),"Membaca")</f>
        <v>Membaca</v>
      </c>
      <c r="V980" s="11" t="str">
        <f>IFERROR(__xludf.DUMMYFUNCTION("""COMPUTED_VALUE"""),"085893433189")</f>
        <v>085893433189</v>
      </c>
      <c r="W980" s="15"/>
    </row>
    <row r="981" ht="22.5" customHeight="1">
      <c r="A981" s="8"/>
      <c r="B981" s="9">
        <f>IFERROR(__xludf.DUMMYFUNCTION("""COMPUTED_VALUE"""),45284.75604228009)</f>
        <v>45284.75604</v>
      </c>
      <c r="C981" s="9"/>
      <c r="D981" s="10">
        <f>IFERROR(__xludf.DUMMYFUNCTION("""COMPUTED_VALUE"""),45288.0)</f>
        <v>45288</v>
      </c>
      <c r="E981" s="10" t="str">
        <f>IFERROR(__xludf.DUMMYFUNCTION("""COMPUTED_VALUE"""),"12Des")</f>
        <v>12Des</v>
      </c>
      <c r="F981" s="10" t="str">
        <f>IFERROR(__xludf.DUMMYFUNCTION("""COMPUTED_VALUE"""),"2023")</f>
        <v>2023</v>
      </c>
      <c r="G981" s="16" t="str">
        <f>IFERROR(__xludf.DUMMYFUNCTION("""COMPUTED_VALUE"""),"SYF TALHA")</f>
        <v>SYF TALHA</v>
      </c>
      <c r="H981" s="17" t="str">
        <f>IFERROR(__xludf.DUMMYFUNCTION("""COMPUTED_VALUE"""),"S4723129251")</f>
        <v>S4723129251</v>
      </c>
      <c r="I981" s="17">
        <f>IFERROR(__xludf.DUMMYFUNCTION("""COMPUTED_VALUE"""),1980.0)</f>
        <v>1980</v>
      </c>
      <c r="J981" s="17" t="str">
        <f>IFERROR(__xludf.DUMMYFUNCTION("""COMPUTED_VALUE"""),"&gt; 44 tahun")</f>
        <v>&gt; 44 tahun</v>
      </c>
      <c r="K981" s="19">
        <f>IFERROR(__xludf.DUMMYFUNCTION("""COMPUTED_VALUE"""),-676776.0)</f>
        <v>-676776</v>
      </c>
      <c r="L981" s="19" t="str">
        <f>IFERROR(__xludf.DUMMYFUNCTION("""COMPUTED_VALUE"""),"PEREMPUAN")</f>
        <v>PEREMPUAN</v>
      </c>
      <c r="M981" s="16" t="str">
        <f>IFERROR(__xludf.DUMMYFUNCTION("""COMPUTED_VALUE"""),"JL.K.H.WAHID HASYIM NO 61")</f>
        <v>JL.K.H.WAHID HASYIM NO 61</v>
      </c>
      <c r="N981" s="16" t="str">
        <f>IFERROR(__xludf.DUMMYFUNCTION("""COMPUTED_VALUE"""),"KEL. SUNGAI BANGKONG")</f>
        <v>KEL. SUNGAI BANGKONG</v>
      </c>
      <c r="O981" s="16" t="str">
        <f>IFERROR(__xludf.DUMMYFUNCTION("""COMPUTED_VALUE"""),"KEC. PONTIANAK KOTA")</f>
        <v>KEC. PONTIANAK KOTA</v>
      </c>
      <c r="P981" s="16" t="str">
        <f>IFERROR(__xludf.DUMMYFUNCTION("""COMPUTED_VALUE"""),"KOTA PONTIANAK")</f>
        <v>KOTA PONTIANAK</v>
      </c>
      <c r="Q981" s="16" t="str">
        <f>IFERROR(__xludf.DUMMYFUNCTION("""COMPUTED_VALUE"""),"KALIMANTAN BARAT")</f>
        <v>KALIMANTAN BARAT</v>
      </c>
      <c r="R981" s="19" t="str">
        <f>IFERROR(__xludf.DUMMYFUNCTION("""COMPUTED_VALUE"""),"ISLAM")</f>
        <v>ISLAM</v>
      </c>
      <c r="S981" s="16" t="str">
        <f>IFERROR(__xludf.DUMMYFUNCTION("""COMPUTED_VALUE"""),"RUMAH TANGGA")</f>
        <v>RUMAH TANGGA</v>
      </c>
      <c r="T981" s="16" t="str">
        <f>IFERROR(__xludf.DUMMYFUNCTION("""COMPUTED_VALUE"""),"Nyeri Pasca Operasi")</f>
        <v>Nyeri Pasca Operasi</v>
      </c>
      <c r="U981" s="16" t="str">
        <f>IFERROR(__xludf.DUMMYFUNCTION("""COMPUTED_VALUE"""),"Rumah tangga")</f>
        <v>Rumah tangga</v>
      </c>
      <c r="V981" s="11" t="str">
        <f>IFERROR(__xludf.DUMMYFUNCTION("""COMPUTED_VALUE"""),"081258129251")</f>
        <v>081258129251</v>
      </c>
      <c r="W981" s="15"/>
    </row>
    <row r="982" ht="22.5" customHeight="1">
      <c r="A982" s="8"/>
      <c r="B982" s="9">
        <f>IFERROR(__xludf.DUMMYFUNCTION("""COMPUTED_VALUE"""),45286.49496804398)</f>
        <v>45286.49497</v>
      </c>
      <c r="C982" s="9"/>
      <c r="D982" s="10">
        <f>IFERROR(__xludf.DUMMYFUNCTION("""COMPUTED_VALUE"""),45293.0)</f>
        <v>45293</v>
      </c>
      <c r="E982" s="10" t="str">
        <f>IFERROR(__xludf.DUMMYFUNCTION("""COMPUTED_VALUE"""),"01Jan")</f>
        <v>01Jan</v>
      </c>
      <c r="F982" s="10" t="str">
        <f>IFERROR(__xludf.DUMMYFUNCTION("""COMPUTED_VALUE"""),"2024")</f>
        <v>2024</v>
      </c>
      <c r="G982" s="16" t="str">
        <f>IFERROR(__xludf.DUMMYFUNCTION("""COMPUTED_VALUE"""),"MUNADHIROH")</f>
        <v>MUNADHIROH</v>
      </c>
      <c r="H982" s="17" t="str">
        <f>IFERROR(__xludf.DUMMYFUNCTION("""COMPUTED_VALUE"""),"M6524013863")</f>
        <v>M6524013863</v>
      </c>
      <c r="I982" s="17">
        <f>IFERROR(__xludf.DUMMYFUNCTION("""COMPUTED_VALUE"""),60.0)</f>
        <v>60</v>
      </c>
      <c r="J982" s="17" t="str">
        <f>IFERROR(__xludf.DUMMYFUNCTION("""COMPUTED_VALUE"""),"&gt; 44 tahun")</f>
        <v>&gt; 44 tahun</v>
      </c>
      <c r="K982" s="19">
        <f>IFERROR(__xludf.DUMMYFUNCTION("""COMPUTED_VALUE"""),24009.0)</f>
        <v>24009</v>
      </c>
      <c r="L982" s="19" t="str">
        <f>IFERROR(__xludf.DUMMYFUNCTION("""COMPUTED_VALUE"""),"PEREMPUAN")</f>
        <v>PEREMPUAN</v>
      </c>
      <c r="M982" s="16" t="str">
        <f>IFERROR(__xludf.DUMMYFUNCTION("""COMPUTED_VALUE"""),"JL. HUSEIN HAMZAH GG. PALMASARI 3 NO. 4")</f>
        <v>JL. HUSEIN HAMZAH GG. PALMASARI 3 NO. 4</v>
      </c>
      <c r="N982" s="16" t="str">
        <f>IFERROR(__xludf.DUMMYFUNCTION("""COMPUTED_VALUE"""),"KEL. PAL LIMA")</f>
        <v>KEL. PAL LIMA</v>
      </c>
      <c r="O982" s="16" t="str">
        <f>IFERROR(__xludf.DUMMYFUNCTION("""COMPUTED_VALUE"""),"KEC. PONTIANAK BARAT")</f>
        <v>KEC. PONTIANAK BARAT</v>
      </c>
      <c r="P982" s="16" t="str">
        <f>IFERROR(__xludf.DUMMYFUNCTION("""COMPUTED_VALUE"""),"KOTA PONTIANAK")</f>
        <v>KOTA PONTIANAK</v>
      </c>
      <c r="Q982" s="16" t="str">
        <f>IFERROR(__xludf.DUMMYFUNCTION("""COMPUTED_VALUE"""),"KALIMANTAN BARAT")</f>
        <v>KALIMANTAN BARAT</v>
      </c>
      <c r="R982" s="19" t="str">
        <f>IFERROR(__xludf.DUMMYFUNCTION("""COMPUTED_VALUE"""),"ISLAM")</f>
        <v>ISLAM</v>
      </c>
      <c r="S982" s="16" t="str">
        <f>IFERROR(__xludf.DUMMYFUNCTION("""COMPUTED_VALUE"""),"RUMAH TANGGA")</f>
        <v>RUMAH TANGGA</v>
      </c>
      <c r="T982" s="16" t="str">
        <f>IFERROR(__xludf.DUMMYFUNCTION("""COMPUTED_VALUE"""),"Nyeri dari pinggang, bokong sampai kaki sebelah kiri")</f>
        <v>Nyeri dari pinggang, bokong sampai kaki sebelah kiri</v>
      </c>
      <c r="U982" s="16" t="str">
        <f>IFERROR(__xludf.DUMMYFUNCTION("""COMPUTED_VALUE"""),"MEMASAK")</f>
        <v>MEMASAK</v>
      </c>
      <c r="V982" s="11" t="str">
        <f>IFERROR(__xludf.DUMMYFUNCTION("""COMPUTED_VALUE"""),"081250763863")</f>
        <v>081250763863</v>
      </c>
      <c r="W982" s="15"/>
    </row>
    <row r="983" ht="22.5" customHeight="1">
      <c r="A983" s="8"/>
      <c r="B983" s="9">
        <f>IFERROR(__xludf.DUMMYFUNCTION("""COMPUTED_VALUE"""),45286.64849431713)</f>
        <v>45286.64849</v>
      </c>
      <c r="C983" s="9"/>
      <c r="D983" s="10">
        <f>IFERROR(__xludf.DUMMYFUNCTION("""COMPUTED_VALUE"""),45293.0)</f>
        <v>45293</v>
      </c>
      <c r="E983" s="10" t="str">
        <f>IFERROR(__xludf.DUMMYFUNCTION("""COMPUTED_VALUE"""),"01Jan")</f>
        <v>01Jan</v>
      </c>
      <c r="F983" s="10" t="str">
        <f>IFERROR(__xludf.DUMMYFUNCTION("""COMPUTED_VALUE"""),"2024")</f>
        <v>2024</v>
      </c>
      <c r="G983" s="16" t="str">
        <f>IFERROR(__xludf.DUMMYFUNCTION("""COMPUTED_VALUE"""),"ROBI HANDIKA")</f>
        <v>ROBI HANDIKA</v>
      </c>
      <c r="H983" s="17" t="str">
        <f>IFERROR(__xludf.DUMMYFUNCTION("""COMPUTED_VALUE"""),"R9524014165")</f>
        <v>R9524014165</v>
      </c>
      <c r="I983" s="17">
        <f>IFERROR(__xludf.DUMMYFUNCTION("""COMPUTED_VALUE"""),31.0)</f>
        <v>31</v>
      </c>
      <c r="J983" s="17" t="str">
        <f>IFERROR(__xludf.DUMMYFUNCTION("""COMPUTED_VALUE"""),"25-34 tahun")</f>
        <v>25-34 tahun</v>
      </c>
      <c r="K983" s="19">
        <f>IFERROR(__xludf.DUMMYFUNCTION("""COMPUTED_VALUE"""),34745.0)</f>
        <v>34745</v>
      </c>
      <c r="L983" s="19" t="str">
        <f>IFERROR(__xludf.DUMMYFUNCTION("""COMPUTED_VALUE"""),"LAKI-LAKI")</f>
        <v>LAKI-LAKI</v>
      </c>
      <c r="M983" s="16" t="str">
        <f>IFERROR(__xludf.DUMMYFUNCTION("""COMPUTED_VALUE"""),"JL. CANDRAMIDI")</f>
        <v>JL. CANDRAMIDI</v>
      </c>
      <c r="N983" s="16" t="str">
        <f>IFERROR(__xludf.DUMMYFUNCTION("""COMPUTED_VALUE"""),"KEL. TENGAH")</f>
        <v>KEL. TENGAH</v>
      </c>
      <c r="O983" s="16" t="str">
        <f>IFERROR(__xludf.DUMMYFUNCTION("""COMPUTED_VALUE"""),"KEC. MEMPAWAH HILIR")</f>
        <v>KEC. MEMPAWAH HILIR</v>
      </c>
      <c r="P983" s="16" t="str">
        <f>IFERROR(__xludf.DUMMYFUNCTION("""COMPUTED_VALUE"""),"KAB. MEMPAWAH")</f>
        <v>KAB. MEMPAWAH</v>
      </c>
      <c r="Q983" s="16" t="str">
        <f>IFERROR(__xludf.DUMMYFUNCTION("""COMPUTED_VALUE"""),"KALIMANTAN BARAT")</f>
        <v>KALIMANTAN BARAT</v>
      </c>
      <c r="R983" s="19" t="str">
        <f>IFERROR(__xludf.DUMMYFUNCTION("""COMPUTED_VALUE"""),"ISLAM")</f>
        <v>ISLAM</v>
      </c>
      <c r="S983" s="16" t="str">
        <f>IFERROR(__xludf.DUMMYFUNCTION("""COMPUTED_VALUE"""),"BURUH")</f>
        <v>BURUH</v>
      </c>
      <c r="T983" s="16" t="str">
        <f>IFERROR(__xludf.DUMMYFUNCTION("""COMPUTED_VALUE"""),"Cidra otot di bawah perut")</f>
        <v>Cidra otot di bawah perut</v>
      </c>
      <c r="U983" s="16" t="str">
        <f>IFERROR(__xludf.DUMMYFUNCTION("""COMPUTED_VALUE"""),"Main bola")</f>
        <v>Main bola</v>
      </c>
      <c r="V983" s="11" t="str">
        <f>IFERROR(__xludf.DUMMYFUNCTION("""COMPUTED_VALUE"""),"0895346734165")</f>
        <v>0895346734165</v>
      </c>
      <c r="W983" s="15"/>
    </row>
    <row r="984" ht="22.5" customHeight="1">
      <c r="A984" s="8"/>
      <c r="B984" s="9">
        <f>IFERROR(__xludf.DUMMYFUNCTION("""COMPUTED_VALUE"""),45287.47560329861)</f>
        <v>45287.4756</v>
      </c>
      <c r="C984" s="9"/>
      <c r="D984" s="10">
        <f>IFERROR(__xludf.DUMMYFUNCTION("""COMPUTED_VALUE"""),45294.0)</f>
        <v>45294</v>
      </c>
      <c r="E984" s="10" t="str">
        <f>IFERROR(__xludf.DUMMYFUNCTION("""COMPUTED_VALUE"""),"01Jan")</f>
        <v>01Jan</v>
      </c>
      <c r="F984" s="10" t="str">
        <f>IFERROR(__xludf.DUMMYFUNCTION("""COMPUTED_VALUE"""),"2024")</f>
        <v>2024</v>
      </c>
      <c r="G984" s="16" t="str">
        <f>IFERROR(__xludf.DUMMYFUNCTION("""COMPUTED_VALUE"""),"MUHAMMAD SYAFRUDDIN")</f>
        <v>MUHAMMAD SYAFRUDDIN</v>
      </c>
      <c r="H984" s="17" t="str">
        <f>IFERROR(__xludf.DUMMYFUNCTION("""COMPUTED_VALUE"""),"M9024014808")</f>
        <v>M9024014808</v>
      </c>
      <c r="I984" s="17">
        <f>IFERROR(__xludf.DUMMYFUNCTION("""COMPUTED_VALUE"""),35.0)</f>
        <v>35</v>
      </c>
      <c r="J984" s="17" t="str">
        <f>IFERROR(__xludf.DUMMYFUNCTION("""COMPUTED_VALUE"""),"35-44 tahun")</f>
        <v>35-44 tahun</v>
      </c>
      <c r="K984" s="19">
        <f>IFERROR(__xludf.DUMMYFUNCTION("""COMPUTED_VALUE"""),33061.0)</f>
        <v>33061</v>
      </c>
      <c r="L984" s="19" t="str">
        <f>IFERROR(__xludf.DUMMYFUNCTION("""COMPUTED_VALUE"""),"LAKI-LAKI")</f>
        <v>LAKI-LAKI</v>
      </c>
      <c r="M984" s="16" t="str">
        <f>IFERROR(__xludf.DUMMYFUNCTION("""COMPUTED_VALUE"""),"KOMP. SERDAM ASRI NO D2")</f>
        <v>KOMP. SERDAM ASRI NO D2</v>
      </c>
      <c r="N984" s="16" t="str">
        <f>IFERROR(__xludf.DUMMYFUNCTION("""COMPUTED_VALUE"""),"KEL. SUNGAI RAYA")</f>
        <v>KEL. SUNGAI RAYA</v>
      </c>
      <c r="O984" s="16" t="str">
        <f>IFERROR(__xludf.DUMMYFUNCTION("""COMPUTED_VALUE"""),"KEC. SUNGAI RAYA")</f>
        <v>KEC. SUNGAI RAYA</v>
      </c>
      <c r="P984" s="16" t="str">
        <f>IFERROR(__xludf.DUMMYFUNCTION("""COMPUTED_VALUE"""),"KAB. KUBU RAYA")</f>
        <v>KAB. KUBU RAYA</v>
      </c>
      <c r="Q984" s="16" t="str">
        <f>IFERROR(__xludf.DUMMYFUNCTION("""COMPUTED_VALUE"""),"KALIMANTAN BARAT")</f>
        <v>KALIMANTAN BARAT</v>
      </c>
      <c r="R984" s="19" t="str">
        <f>IFERROR(__xludf.DUMMYFUNCTION("""COMPUTED_VALUE"""),"ISLAM")</f>
        <v>ISLAM</v>
      </c>
      <c r="S984" s="16" t="str">
        <f>IFERROR(__xludf.DUMMYFUNCTION("""COMPUTED_VALUE"""),"SWASTA")</f>
        <v>SWASTA</v>
      </c>
      <c r="T984" s="16" t="str">
        <f>IFERROR(__xludf.DUMMYFUNCTION("""COMPUTED_VALUE"""),"kiri")</f>
        <v>kiri</v>
      </c>
      <c r="U984" s="16" t="str">
        <f>IFERROR(__xludf.DUMMYFUNCTION("""COMPUTED_VALUE"""),"Kerja dan football")</f>
        <v>Kerja dan football</v>
      </c>
      <c r="V984" s="11" t="str">
        <f>IFERROR(__xludf.DUMMYFUNCTION("""COMPUTED_VALUE"""),"082133264808")</f>
        <v>082133264808</v>
      </c>
      <c r="W984" s="15"/>
    </row>
    <row r="985" ht="22.5" customHeight="1">
      <c r="A985" s="8"/>
      <c r="B985" s="9">
        <f>IFERROR(__xludf.DUMMYFUNCTION("""COMPUTED_VALUE"""),45287.38808694444)</f>
        <v>45287.38809</v>
      </c>
      <c r="C985" s="9"/>
      <c r="D985" s="10">
        <f>IFERROR(__xludf.DUMMYFUNCTION("""COMPUTED_VALUE"""),45294.0)</f>
        <v>45294</v>
      </c>
      <c r="E985" s="10" t="str">
        <f>IFERROR(__xludf.DUMMYFUNCTION("""COMPUTED_VALUE"""),"01Jan")</f>
        <v>01Jan</v>
      </c>
      <c r="F985" s="10" t="str">
        <f>IFERROR(__xludf.DUMMYFUNCTION("""COMPUTED_VALUE"""),"2024")</f>
        <v>2024</v>
      </c>
      <c r="G985" s="16" t="str">
        <f>IFERROR(__xludf.DUMMYFUNCTION("""COMPUTED_VALUE"""),"GUSTI ABDU RAHMAN")</f>
        <v>GUSTI ABDU RAHMAN</v>
      </c>
      <c r="H985" s="17" t="str">
        <f>IFERROR(__xludf.DUMMYFUNCTION("""COMPUTED_VALUE"""),"G9024018667")</f>
        <v>G9024018667</v>
      </c>
      <c r="I985" s="17">
        <f>IFERROR(__xludf.DUMMYFUNCTION("""COMPUTED_VALUE"""),36.0)</f>
        <v>36</v>
      </c>
      <c r="J985" s="17" t="str">
        <f>IFERROR(__xludf.DUMMYFUNCTION("""COMPUTED_VALUE"""),"35-44 tahun")</f>
        <v>35-44 tahun</v>
      </c>
      <c r="K985" s="19">
        <f>IFERROR(__xludf.DUMMYFUNCTION("""COMPUTED_VALUE"""),33038.0)</f>
        <v>33038</v>
      </c>
      <c r="L985" s="19" t="str">
        <f>IFERROR(__xludf.DUMMYFUNCTION("""COMPUTED_VALUE"""),"LAKI-LAKI")</f>
        <v>LAKI-LAKI</v>
      </c>
      <c r="M985" s="16" t="str">
        <f>IFERROR(__xludf.DUMMYFUNCTION("""COMPUTED_VALUE"""),"JL. NIRBAYA")</f>
        <v>JL. NIRBAYA</v>
      </c>
      <c r="N985" s="16" t="str">
        <f>IFERROR(__xludf.DUMMYFUNCTION("""COMPUTED_VALUE"""),"KEL. KOTA BARU")</f>
        <v>KEL. KOTA BARU</v>
      </c>
      <c r="O985" s="16" t="str">
        <f>IFERROR(__xludf.DUMMYFUNCTION("""COMPUTED_VALUE"""),"KEC. PONTIANAK SELATAN")</f>
        <v>KEC. PONTIANAK SELATAN</v>
      </c>
      <c r="P985" s="16" t="str">
        <f>IFERROR(__xludf.DUMMYFUNCTION("""COMPUTED_VALUE"""),"KOTA PONTIANAK")</f>
        <v>KOTA PONTIANAK</v>
      </c>
      <c r="Q985" s="16" t="str">
        <f>IFERROR(__xludf.DUMMYFUNCTION("""COMPUTED_VALUE"""),"KALIMANTAN BARAT")</f>
        <v>KALIMANTAN BARAT</v>
      </c>
      <c r="R985" s="19" t="str">
        <f>IFERROR(__xludf.DUMMYFUNCTION("""COMPUTED_VALUE"""),"ISLAM")</f>
        <v>ISLAM</v>
      </c>
      <c r="S985" s="16" t="str">
        <f>IFERROR(__xludf.DUMMYFUNCTION("""COMPUTED_VALUE"""),"WIRASWASTA")</f>
        <v>WIRASWASTA</v>
      </c>
      <c r="T985" s="16" t="str">
        <f>IFERROR(__xludf.DUMMYFUNCTION("""COMPUTED_VALUE"""),"Nyeri pergelangan tangan")</f>
        <v>Nyeri pergelangan tangan</v>
      </c>
      <c r="U985" s="16" t="str">
        <f>IFERROR(__xludf.DUMMYFUNCTION("""COMPUTED_VALUE"""),"Olahraga")</f>
        <v>Olahraga</v>
      </c>
      <c r="V985" s="11" t="str">
        <f>IFERROR(__xludf.DUMMYFUNCTION("""COMPUTED_VALUE"""),"082150598667")</f>
        <v>082150598667</v>
      </c>
      <c r="W985" s="15"/>
    </row>
    <row r="986" ht="22.5" customHeight="1">
      <c r="A986" s="8"/>
      <c r="B986" s="9">
        <f>IFERROR(__xludf.DUMMYFUNCTION("""COMPUTED_VALUE"""),45287.5849969213)</f>
        <v>45287.585</v>
      </c>
      <c r="C986" s="9"/>
      <c r="D986" s="10">
        <f>IFERROR(__xludf.DUMMYFUNCTION("""COMPUTED_VALUE"""),45294.0)</f>
        <v>45294</v>
      </c>
      <c r="E986" s="10" t="str">
        <f>IFERROR(__xludf.DUMMYFUNCTION("""COMPUTED_VALUE"""),"01Jan")</f>
        <v>01Jan</v>
      </c>
      <c r="F986" s="10" t="str">
        <f>IFERROR(__xludf.DUMMYFUNCTION("""COMPUTED_VALUE"""),"2024")</f>
        <v>2024</v>
      </c>
      <c r="G986" s="16" t="str">
        <f>IFERROR(__xludf.DUMMYFUNCTION("""COMPUTED_VALUE"""),"SUROSO")</f>
        <v>SUROSO</v>
      </c>
      <c r="H986" s="17" t="str">
        <f>IFERROR(__xludf.DUMMYFUNCTION("""COMPUTED_VALUE"""),"S5824014899")</f>
        <v>S5824014899</v>
      </c>
      <c r="I986" s="17">
        <f>IFERROR(__xludf.DUMMYFUNCTION("""COMPUTED_VALUE"""),67.0)</f>
        <v>67</v>
      </c>
      <c r="J986" s="17" t="str">
        <f>IFERROR(__xludf.DUMMYFUNCTION("""COMPUTED_VALUE"""),"&gt; 44 tahun")</f>
        <v>&gt; 44 tahun</v>
      </c>
      <c r="K986" s="19">
        <f>IFERROR(__xludf.DUMMYFUNCTION("""COMPUTED_VALUE"""),21528.0)</f>
        <v>21528</v>
      </c>
      <c r="L986" s="19" t="str">
        <f>IFERROR(__xludf.DUMMYFUNCTION("""COMPUTED_VALUE"""),"LAKI-LAKI")</f>
        <v>LAKI-LAKI</v>
      </c>
      <c r="M986" s="16" t="str">
        <f>IFERROR(__xludf.DUMMYFUNCTION("""COMPUTED_VALUE"""),"JL. P. NATAKUSUMA GG. SILIWANGI")</f>
        <v>JL. P. NATAKUSUMA GG. SILIWANGI</v>
      </c>
      <c r="N986" s="16" t="str">
        <f>IFERROR(__xludf.DUMMYFUNCTION("""COMPUTED_VALUE"""),"KEL. SUNGAI BANGKONG")</f>
        <v>KEL. SUNGAI BANGKONG</v>
      </c>
      <c r="O986" s="16" t="str">
        <f>IFERROR(__xludf.DUMMYFUNCTION("""COMPUTED_VALUE"""),"KEC. PONTIANAK KOTA")</f>
        <v>KEC. PONTIANAK KOTA</v>
      </c>
      <c r="P986" s="16" t="str">
        <f>IFERROR(__xludf.DUMMYFUNCTION("""COMPUTED_VALUE"""),"KOTA PONTIANAK")</f>
        <v>KOTA PONTIANAK</v>
      </c>
      <c r="Q986" s="16" t="str">
        <f>IFERROR(__xludf.DUMMYFUNCTION("""COMPUTED_VALUE"""),"KALIMANTAN BARAT")</f>
        <v>KALIMANTAN BARAT</v>
      </c>
      <c r="R986" s="19" t="str">
        <f>IFERROR(__xludf.DUMMYFUNCTION("""COMPUTED_VALUE"""),"ISLAM")</f>
        <v>ISLAM</v>
      </c>
      <c r="S986" s="16" t="str">
        <f>IFERROR(__xludf.DUMMYFUNCTION("""COMPUTED_VALUE"""),"ASN")</f>
        <v>ASN</v>
      </c>
      <c r="T986" s="16" t="str">
        <f>IFERROR(__xludf.DUMMYFUNCTION("""COMPUTED_VALUE"""),"Keluhan pada pinggang")</f>
        <v>Keluhan pada pinggang</v>
      </c>
      <c r="U986" s="16" t="str">
        <f>IFERROR(__xludf.DUMMYFUNCTION("""COMPUTED_VALUE"""),"Bersepeda")</f>
        <v>Bersepeda</v>
      </c>
      <c r="V986" s="11" t="str">
        <f>IFERROR(__xludf.DUMMYFUNCTION("""COMPUTED_VALUE"""),"085778994899")</f>
        <v>085778994899</v>
      </c>
      <c r="W986" s="15"/>
    </row>
    <row r="987" ht="22.5" customHeight="1">
      <c r="A987" s="8"/>
      <c r="B987" s="9">
        <f>IFERROR(__xludf.DUMMYFUNCTION("""COMPUTED_VALUE"""),45287.54923578704)</f>
        <v>45287.54924</v>
      </c>
      <c r="C987" s="9"/>
      <c r="D987" s="10">
        <f>IFERROR(__xludf.DUMMYFUNCTION("""COMPUTED_VALUE"""),45294.0)</f>
        <v>45294</v>
      </c>
      <c r="E987" s="10" t="str">
        <f>IFERROR(__xludf.DUMMYFUNCTION("""COMPUTED_VALUE"""),"01Jan")</f>
        <v>01Jan</v>
      </c>
      <c r="F987" s="10" t="str">
        <f>IFERROR(__xludf.DUMMYFUNCTION("""COMPUTED_VALUE"""),"2024")</f>
        <v>2024</v>
      </c>
      <c r="G987" s="16" t="str">
        <f>IFERROR(__xludf.DUMMYFUNCTION("""COMPUTED_VALUE"""),"SYARIFAH RESSA HAJRIYANTIKA")</f>
        <v>SYARIFAH RESSA HAJRIYANTIKA</v>
      </c>
      <c r="H987" s="17" t="str">
        <f>IFERROR(__xludf.DUMMYFUNCTION("""COMPUTED_VALUE"""),"S8724010837")</f>
        <v>S8724010837</v>
      </c>
      <c r="I987" s="17">
        <f>IFERROR(__xludf.DUMMYFUNCTION("""COMPUTED_VALUE"""),38.0)</f>
        <v>38</v>
      </c>
      <c r="J987" s="17" t="str">
        <f>IFERROR(__xludf.DUMMYFUNCTION("""COMPUTED_VALUE"""),"35-44 tahun")</f>
        <v>35-44 tahun</v>
      </c>
      <c r="K987" s="19">
        <f>IFERROR(__xludf.DUMMYFUNCTION("""COMPUTED_VALUE"""),31991.0)</f>
        <v>31991</v>
      </c>
      <c r="L987" s="19" t="str">
        <f>IFERROR(__xludf.DUMMYFUNCTION("""COMPUTED_VALUE"""),"PEREMPUAN")</f>
        <v>PEREMPUAN</v>
      </c>
      <c r="M987" s="16" t="str">
        <f>IFERROR(__xludf.DUMMYFUNCTION("""COMPUTED_VALUE"""),"JL. TANJUNG RAYA 1 NO 21 A")</f>
        <v>JL. TANJUNG RAYA 1 NO 21 A</v>
      </c>
      <c r="N987" s="16" t="str">
        <f>IFERROR(__xludf.DUMMYFUNCTION("""COMPUTED_VALUE"""),"KEL. TAMBELAN SAMPIT")</f>
        <v>KEL. TAMBELAN SAMPIT</v>
      </c>
      <c r="O987" s="16" t="str">
        <f>IFERROR(__xludf.DUMMYFUNCTION("""COMPUTED_VALUE"""),"KEC. PONTIANAK TIMUR")</f>
        <v>KEC. PONTIANAK TIMUR</v>
      </c>
      <c r="P987" s="16" t="str">
        <f>IFERROR(__xludf.DUMMYFUNCTION("""COMPUTED_VALUE"""),"KOTA PONTIANAK")</f>
        <v>KOTA PONTIANAK</v>
      </c>
      <c r="Q987" s="16" t="str">
        <f>IFERROR(__xludf.DUMMYFUNCTION("""COMPUTED_VALUE"""),"KALIMANTAN BARAT")</f>
        <v>KALIMANTAN BARAT</v>
      </c>
      <c r="R987" s="19" t="str">
        <f>IFERROR(__xludf.DUMMYFUNCTION("""COMPUTED_VALUE"""),"ISLAM")</f>
        <v>ISLAM</v>
      </c>
      <c r="S987" s="16" t="str">
        <f>IFERROR(__xludf.DUMMYFUNCTION("""COMPUTED_VALUE"""),"BUMN")</f>
        <v>BUMN</v>
      </c>
      <c r="T987" s="16" t="str">
        <f>IFERROR(__xludf.DUMMYFUNCTION("""COMPUTED_VALUE"""),"Sakit bahu")</f>
        <v>Sakit bahu</v>
      </c>
      <c r="U987" s="16" t="str">
        <f>IFERROR(__xludf.DUMMYFUNCTION("""COMPUTED_VALUE"""),"Kerjaan dilapangan bawa motor tiap hari dan di depan komputer")</f>
        <v>Kerjaan dilapangan bawa motor tiap hari dan di depan komputer</v>
      </c>
      <c r="V987" s="11" t="str">
        <f>IFERROR(__xludf.DUMMYFUNCTION("""COMPUTED_VALUE"""),"085849950837")</f>
        <v>085849950837</v>
      </c>
      <c r="W987" s="15"/>
    </row>
    <row r="988" ht="22.5" customHeight="1">
      <c r="A988" s="8"/>
      <c r="B988" s="9">
        <f>IFERROR(__xludf.DUMMYFUNCTION("""COMPUTED_VALUE"""),45287.586142326385)</f>
        <v>45287.58614</v>
      </c>
      <c r="C988" s="9"/>
      <c r="D988" s="10">
        <f>IFERROR(__xludf.DUMMYFUNCTION("""COMPUTED_VALUE"""),45294.0)</f>
        <v>45294</v>
      </c>
      <c r="E988" s="10" t="str">
        <f>IFERROR(__xludf.DUMMYFUNCTION("""COMPUTED_VALUE"""),"01Jan")</f>
        <v>01Jan</v>
      </c>
      <c r="F988" s="10" t="str">
        <f>IFERROR(__xludf.DUMMYFUNCTION("""COMPUTED_VALUE"""),"2024")</f>
        <v>2024</v>
      </c>
      <c r="G988" s="16" t="str">
        <f>IFERROR(__xludf.DUMMYFUNCTION("""COMPUTED_VALUE"""),"RIDHO ASTRIANTO")</f>
        <v>RIDHO ASTRIANTO</v>
      </c>
      <c r="H988" s="17" t="str">
        <f>IFERROR(__xludf.DUMMYFUNCTION("""COMPUTED_VALUE"""),"R9024017000")</f>
        <v>R9024017000</v>
      </c>
      <c r="I988" s="17">
        <f>IFERROR(__xludf.DUMMYFUNCTION("""COMPUTED_VALUE"""),35.0)</f>
        <v>35</v>
      </c>
      <c r="J988" s="17" t="str">
        <f>IFERROR(__xludf.DUMMYFUNCTION("""COMPUTED_VALUE"""),"35-44 tahun")</f>
        <v>35-44 tahun</v>
      </c>
      <c r="K988" s="19">
        <f>IFERROR(__xludf.DUMMYFUNCTION("""COMPUTED_VALUE"""),33222.0)</f>
        <v>33222</v>
      </c>
      <c r="L988" s="19" t="str">
        <f>IFERROR(__xludf.DUMMYFUNCTION("""COMPUTED_VALUE"""),"LAKI-LAKI")</f>
        <v>LAKI-LAKI</v>
      </c>
      <c r="M988" s="16" t="str">
        <f>IFERROR(__xludf.DUMMYFUNCTION("""COMPUTED_VALUE"""),"JL PARIT BUGIS, GG PERSADA")</f>
        <v>JL PARIT BUGIS, GG PERSADA</v>
      </c>
      <c r="N988" s="16" t="str">
        <f>IFERROR(__xludf.DUMMYFUNCTION("""COMPUTED_VALUE"""),"DS. ARANG LIMBUNG")</f>
        <v>DS. ARANG LIMBUNG</v>
      </c>
      <c r="O988" s="16" t="str">
        <f>IFERROR(__xludf.DUMMYFUNCTION("""COMPUTED_VALUE"""),"KEC. SUNGAI RAYA")</f>
        <v>KEC. SUNGAI RAYA</v>
      </c>
      <c r="P988" s="16" t="str">
        <f>IFERROR(__xludf.DUMMYFUNCTION("""COMPUTED_VALUE"""),"KAB. KUBU RAYA")</f>
        <v>KAB. KUBU RAYA</v>
      </c>
      <c r="Q988" s="16" t="str">
        <f>IFERROR(__xludf.DUMMYFUNCTION("""COMPUTED_VALUE"""),"KALIMANTAN BARAT")</f>
        <v>KALIMANTAN BARAT</v>
      </c>
      <c r="R988" s="19" t="str">
        <f>IFERROR(__xludf.DUMMYFUNCTION("""COMPUTED_VALUE"""),"ISLAM")</f>
        <v>ISLAM</v>
      </c>
      <c r="S988" s="16" t="str">
        <f>IFERROR(__xludf.DUMMYFUNCTION("""COMPUTED_VALUE"""),"WIRASWASTA")</f>
        <v>WIRASWASTA</v>
      </c>
      <c r="T988" s="16" t="str">
        <f>IFERROR(__xludf.DUMMYFUNCTION("""COMPUTED_VALUE"""),"Cedera engkel")</f>
        <v>Cedera engkel</v>
      </c>
      <c r="U988" s="16" t="str">
        <f>IFERROR(__xludf.DUMMYFUNCTION("""COMPUTED_VALUE"""),"Futsal")</f>
        <v>Futsal</v>
      </c>
      <c r="V988" s="11" t="str">
        <f>IFERROR(__xludf.DUMMYFUNCTION("""COMPUTED_VALUE"""),"087788527000")</f>
        <v>087788527000</v>
      </c>
      <c r="W988" s="15"/>
    </row>
    <row r="989" ht="22.5" customHeight="1">
      <c r="A989" s="8"/>
      <c r="B989" s="9">
        <f>IFERROR(__xludf.DUMMYFUNCTION("""COMPUTED_VALUE"""),45293.40162379629)</f>
        <v>45293.40162</v>
      </c>
      <c r="C989" s="9"/>
      <c r="D989" s="10">
        <f>IFERROR(__xludf.DUMMYFUNCTION("""COMPUTED_VALUE"""),45295.0)</f>
        <v>45295</v>
      </c>
      <c r="E989" s="10" t="str">
        <f>IFERROR(__xludf.DUMMYFUNCTION("""COMPUTED_VALUE"""),"01Jan")</f>
        <v>01Jan</v>
      </c>
      <c r="F989" s="10" t="str">
        <f>IFERROR(__xludf.DUMMYFUNCTION("""COMPUTED_VALUE"""),"2024")</f>
        <v>2024</v>
      </c>
      <c r="G989" s="16" t="str">
        <f>IFERROR(__xludf.DUMMYFUNCTION("""COMPUTED_VALUE"""),"DICKY HARJUNA PURWACARAKA")</f>
        <v>DICKY HARJUNA PURWACARAKA</v>
      </c>
      <c r="H989" s="17" t="str">
        <f>IFERROR(__xludf.DUMMYFUNCTION("""COMPUTED_VALUE"""),"D9324012682")</f>
        <v>D9324012682</v>
      </c>
      <c r="I989" s="17">
        <f>IFERROR(__xludf.DUMMYFUNCTION("""COMPUTED_VALUE"""),32.0)</f>
        <v>32</v>
      </c>
      <c r="J989" s="17" t="str">
        <f>IFERROR(__xludf.DUMMYFUNCTION("""COMPUTED_VALUE"""),"25-34 tahun")</f>
        <v>25-34 tahun</v>
      </c>
      <c r="K989" s="19">
        <f>IFERROR(__xludf.DUMMYFUNCTION("""COMPUTED_VALUE"""),34209.0)</f>
        <v>34209</v>
      </c>
      <c r="L989" s="19" t="str">
        <f>IFERROR(__xludf.DUMMYFUNCTION("""COMPUTED_VALUE"""),"LAKI-LAKI")</f>
        <v>LAKI-LAKI</v>
      </c>
      <c r="M989" s="16" t="str">
        <f>IFERROR(__xludf.DUMMYFUNCTION("""COMPUTED_VALUE"""),"JL. SUNGAI DURIAN GG.KARYA 1")</f>
        <v>JL. SUNGAI DURIAN GG.KARYA 1</v>
      </c>
      <c r="N989" s="16" t="str">
        <f>IFERROR(__xludf.DUMMYFUNCTION("""COMPUTED_VALUE"""),"DS. LIMBUNG")</f>
        <v>DS. LIMBUNG</v>
      </c>
      <c r="O989" s="16" t="str">
        <f>IFERROR(__xludf.DUMMYFUNCTION("""COMPUTED_VALUE"""),"KEC. SUNGAI RAYA")</f>
        <v>KEC. SUNGAI RAYA</v>
      </c>
      <c r="P989" s="16" t="str">
        <f>IFERROR(__xludf.DUMMYFUNCTION("""COMPUTED_VALUE"""),"KAB. KUBU RAYA")</f>
        <v>KAB. KUBU RAYA</v>
      </c>
      <c r="Q989" s="16" t="str">
        <f>IFERROR(__xludf.DUMMYFUNCTION("""COMPUTED_VALUE"""),"KALIMANTAN BARAT")</f>
        <v>KALIMANTAN BARAT</v>
      </c>
      <c r="R989" s="19" t="str">
        <f>IFERROR(__xludf.DUMMYFUNCTION("""COMPUTED_VALUE"""),"ISLAM")</f>
        <v>ISLAM</v>
      </c>
      <c r="S989" s="16" t="str">
        <f>IFERROR(__xludf.DUMMYFUNCTION("""COMPUTED_VALUE"""),"SWASTA")</f>
        <v>SWASTA</v>
      </c>
      <c r="T989" s="16" t="str">
        <f>IFERROR(__xludf.DUMMYFUNCTION("""COMPUTED_VALUE"""),"nyeri di bokong")</f>
        <v>nyeri di bokong</v>
      </c>
      <c r="U989" s="16" t="str">
        <f>IFERROR(__xludf.DUMMYFUNCTION("""COMPUTED_VALUE"""),"gym")</f>
        <v>gym</v>
      </c>
      <c r="V989" s="11" t="str">
        <f>IFERROR(__xludf.DUMMYFUNCTION("""COMPUTED_VALUE"""),"085388302682")</f>
        <v>085388302682</v>
      </c>
      <c r="W989" s="15"/>
    </row>
    <row r="990" ht="22.5" customHeight="1">
      <c r="A990" s="8"/>
      <c r="B990" s="9">
        <f>IFERROR(__xludf.DUMMYFUNCTION("""COMPUTED_VALUE"""),45293.66714939815)</f>
        <v>45293.66715</v>
      </c>
      <c r="C990" s="9"/>
      <c r="D990" s="10">
        <f>IFERROR(__xludf.DUMMYFUNCTION("""COMPUTED_VALUE"""),45295.0)</f>
        <v>45295</v>
      </c>
      <c r="E990" s="10" t="str">
        <f>IFERROR(__xludf.DUMMYFUNCTION("""COMPUTED_VALUE"""),"01Jan")</f>
        <v>01Jan</v>
      </c>
      <c r="F990" s="10" t="str">
        <f>IFERROR(__xludf.DUMMYFUNCTION("""COMPUTED_VALUE"""),"2024")</f>
        <v>2024</v>
      </c>
      <c r="G990" s="16" t="str">
        <f>IFERROR(__xludf.DUMMYFUNCTION("""COMPUTED_VALUE"""),"RIO ARWANDA")</f>
        <v>RIO ARWANDA</v>
      </c>
      <c r="H990" s="17" t="str">
        <f>IFERROR(__xludf.DUMMYFUNCTION("""COMPUTED_VALUE"""),"R9524017564")</f>
        <v>R9524017564</v>
      </c>
      <c r="I990" s="17">
        <f>IFERROR(__xludf.DUMMYFUNCTION("""COMPUTED_VALUE"""),30.0)</f>
        <v>30</v>
      </c>
      <c r="J990" s="17" t="str">
        <f>IFERROR(__xludf.DUMMYFUNCTION("""COMPUTED_VALUE"""),"25-34 tahun")</f>
        <v>25-34 tahun</v>
      </c>
      <c r="K990" s="19">
        <f>IFERROR(__xludf.DUMMYFUNCTION("""COMPUTED_VALUE"""),35044.0)</f>
        <v>35044</v>
      </c>
      <c r="L990" s="19" t="str">
        <f>IFERROR(__xludf.DUMMYFUNCTION("""COMPUTED_VALUE"""),"LAKI-LAKI")</f>
        <v>LAKI-LAKI</v>
      </c>
      <c r="M990" s="16" t="str">
        <f>IFERROR(__xludf.DUMMYFUNCTION("""COMPUTED_VALUE"""),"JL. HUJAN MAS NO. 15")</f>
        <v>JL. HUJAN MAS NO. 15</v>
      </c>
      <c r="N990" s="16" t="str">
        <f>IFERROR(__xludf.DUMMYFUNCTION("""COMPUTED_VALUE"""),"DS. KAWAT")</f>
        <v>DS. KAWAT</v>
      </c>
      <c r="O990" s="16" t="str">
        <f>IFERROR(__xludf.DUMMYFUNCTION("""COMPUTED_VALUE"""),"KEC. TAYAN HILIR")</f>
        <v>KEC. TAYAN HILIR</v>
      </c>
      <c r="P990" s="16" t="str">
        <f>IFERROR(__xludf.DUMMYFUNCTION("""COMPUTED_VALUE"""),"KAB. SANGGAU")</f>
        <v>KAB. SANGGAU</v>
      </c>
      <c r="Q990" s="16" t="str">
        <f>IFERROR(__xludf.DUMMYFUNCTION("""COMPUTED_VALUE"""),"KALIMANTAN BARAT")</f>
        <v>KALIMANTAN BARAT</v>
      </c>
      <c r="R990" s="19" t="str">
        <f>IFERROR(__xludf.DUMMYFUNCTION("""COMPUTED_VALUE"""),"ISLAM")</f>
        <v>ISLAM</v>
      </c>
      <c r="S990" s="16" t="str">
        <f>IFERROR(__xludf.DUMMYFUNCTION("""COMPUTED_VALUE"""),"WIRASWASTA")</f>
        <v>WIRASWASTA</v>
      </c>
      <c r="T990" s="16" t="str">
        <f>IFERROR(__xludf.DUMMYFUNCTION("""COMPUTED_VALUE"""),"nyeri pinggul kaki bagian kanan")</f>
        <v>nyeri pinggul kaki bagian kanan</v>
      </c>
      <c r="U990" s="16" t="str">
        <f>IFERROR(__xludf.DUMMYFUNCTION("""COMPUTED_VALUE"""),"traveling")</f>
        <v>traveling</v>
      </c>
      <c r="V990" s="11" t="str">
        <f>IFERROR(__xludf.DUMMYFUNCTION("""COMPUTED_VALUE"""),"082199627564")</f>
        <v>082199627564</v>
      </c>
      <c r="W990" s="15"/>
    </row>
    <row r="991" ht="22.5" customHeight="1">
      <c r="A991" s="8"/>
      <c r="B991" s="9">
        <f>IFERROR(__xludf.DUMMYFUNCTION("""COMPUTED_VALUE"""),45293.47428052084)</f>
        <v>45293.47428</v>
      </c>
      <c r="C991" s="9"/>
      <c r="D991" s="10">
        <f>IFERROR(__xludf.DUMMYFUNCTION("""COMPUTED_VALUE"""),45295.0)</f>
        <v>45295</v>
      </c>
      <c r="E991" s="10" t="str">
        <f>IFERROR(__xludf.DUMMYFUNCTION("""COMPUTED_VALUE"""),"01Jan")</f>
        <v>01Jan</v>
      </c>
      <c r="F991" s="10" t="str">
        <f>IFERROR(__xludf.DUMMYFUNCTION("""COMPUTED_VALUE"""),"2024")</f>
        <v>2024</v>
      </c>
      <c r="G991" s="16" t="str">
        <f>IFERROR(__xludf.DUMMYFUNCTION("""COMPUTED_VALUE"""),"EDI KURNIAWAN")</f>
        <v>EDI KURNIAWAN</v>
      </c>
      <c r="H991" s="17" t="str">
        <f>IFERROR(__xludf.DUMMYFUNCTION("""COMPUTED_VALUE"""),"E8624013040")</f>
        <v>E8624013040</v>
      </c>
      <c r="I991" s="17">
        <f>IFERROR(__xludf.DUMMYFUNCTION("""COMPUTED_VALUE"""),39.0)</f>
        <v>39</v>
      </c>
      <c r="J991" s="17" t="str">
        <f>IFERROR(__xludf.DUMMYFUNCTION("""COMPUTED_VALUE"""),"35-44 tahun")</f>
        <v>35-44 tahun</v>
      </c>
      <c r="K991" s="19">
        <f>IFERROR(__xludf.DUMMYFUNCTION("""COMPUTED_VALUE"""),31737.0)</f>
        <v>31737</v>
      </c>
      <c r="L991" s="19" t="str">
        <f>IFERROR(__xludf.DUMMYFUNCTION("""COMPUTED_VALUE"""),"LAKI-LAKI")</f>
        <v>LAKI-LAKI</v>
      </c>
      <c r="M991" s="16" t="str">
        <f>IFERROR(__xludf.DUMMYFUNCTION("""COMPUTED_VALUE"""),"JL. PROF. DR. M. YAMIN")</f>
        <v>JL. PROF. DR. M. YAMIN</v>
      </c>
      <c r="N991" s="16" t="str">
        <f>IFERROR(__xludf.DUMMYFUNCTION("""COMPUTED_VALUE"""),"KEL. SUNGAI BANGKONG")</f>
        <v>KEL. SUNGAI BANGKONG</v>
      </c>
      <c r="O991" s="16" t="str">
        <f>IFERROR(__xludf.DUMMYFUNCTION("""COMPUTED_VALUE"""),"KEC. PONTIANAK KOTA")</f>
        <v>KEC. PONTIANAK KOTA</v>
      </c>
      <c r="P991" s="16" t="str">
        <f>IFERROR(__xludf.DUMMYFUNCTION("""COMPUTED_VALUE"""),"KOTA PONTIANAK")</f>
        <v>KOTA PONTIANAK</v>
      </c>
      <c r="Q991" s="16" t="str">
        <f>IFERROR(__xludf.DUMMYFUNCTION("""COMPUTED_VALUE"""),"KALIMANTAN BARAT")</f>
        <v>KALIMANTAN BARAT</v>
      </c>
      <c r="R991" s="19" t="str">
        <f>IFERROR(__xludf.DUMMYFUNCTION("""COMPUTED_VALUE"""),"ISLAM")</f>
        <v>ISLAM</v>
      </c>
      <c r="S991" s="16" t="str">
        <f>IFERROR(__xludf.DUMMYFUNCTION("""COMPUTED_VALUE"""),"WIRASWASTA")</f>
        <v>WIRASWASTA</v>
      </c>
      <c r="T991" s="16" t="str">
        <f>IFERROR(__xludf.DUMMYFUNCTION("""COMPUTED_VALUE"""),"SAKIT DARI PINGGANG HINGGA KE TELAPAK KAKI. AWALNYA HANYA KAKI SEBELAH KANAN, SKRG DUA2NYA TERASA SAKIT. SULIT BERGERAK SAAT BANGUN TIDUR.")</f>
        <v>SAKIT DARI PINGGANG HINGGA KE TELAPAK KAKI. AWALNYA HANYA KAKI SEBELAH KANAN, SKRG DUA2NYA TERASA SAKIT. SULIT BERGERAK SAAT BANGUN TIDUR.</v>
      </c>
      <c r="U991" s="16" t="str">
        <f>IFERROR(__xludf.DUMMYFUNCTION("""COMPUTED_VALUE"""),"BELANJA KE PASAR, MENGANGKAT BELANJAAN BERAT. BERJUALAN, BUKA RUMAH MAKAN. OLAHRAGA.")</f>
        <v>BELANJA KE PASAR, MENGANGKAT BELANJAAN BERAT. BERJUALAN, BUKA RUMAH MAKAN. OLAHRAGA.</v>
      </c>
      <c r="V991" s="11" t="str">
        <f>IFERROR(__xludf.DUMMYFUNCTION("""COMPUTED_VALUE"""),"085387203040")</f>
        <v>085387203040</v>
      </c>
      <c r="W991" s="15"/>
    </row>
    <row r="992" ht="22.5" customHeight="1">
      <c r="A992" s="8"/>
      <c r="B992" s="9">
        <f>IFERROR(__xludf.DUMMYFUNCTION("""COMPUTED_VALUE"""),45293.82681989583)</f>
        <v>45293.82682</v>
      </c>
      <c r="C992" s="9"/>
      <c r="D992" s="10">
        <f>IFERROR(__xludf.DUMMYFUNCTION("""COMPUTED_VALUE"""),45295.0)</f>
        <v>45295</v>
      </c>
      <c r="E992" s="10" t="str">
        <f>IFERROR(__xludf.DUMMYFUNCTION("""COMPUTED_VALUE"""),"01Jan")</f>
        <v>01Jan</v>
      </c>
      <c r="F992" s="10" t="str">
        <f>IFERROR(__xludf.DUMMYFUNCTION("""COMPUTED_VALUE"""),"2024")</f>
        <v>2024</v>
      </c>
      <c r="G992" s="16" t="str">
        <f>IFERROR(__xludf.DUMMYFUNCTION("""COMPUTED_VALUE"""),"ISKANDAR ZULKARNAIN")</f>
        <v>ISKANDAR ZULKARNAIN</v>
      </c>
      <c r="H992" s="17" t="str">
        <f>IFERROR(__xludf.DUMMYFUNCTION("""COMPUTED_VALUE"""),"I8224019798")</f>
        <v>I8224019798</v>
      </c>
      <c r="I992" s="17">
        <f>IFERROR(__xludf.DUMMYFUNCTION("""COMPUTED_VALUE"""),43.0)</f>
        <v>43</v>
      </c>
      <c r="J992" s="17" t="str">
        <f>IFERROR(__xludf.DUMMYFUNCTION("""COMPUTED_VALUE"""),"35-44 tahun")</f>
        <v>35-44 tahun</v>
      </c>
      <c r="K992" s="19">
        <f>IFERROR(__xludf.DUMMYFUNCTION("""COMPUTED_VALUE"""),30181.0)</f>
        <v>30181</v>
      </c>
      <c r="L992" s="19" t="str">
        <f>IFERROR(__xludf.DUMMYFUNCTION("""COMPUTED_VALUE"""),"LAKI-LAKI")</f>
        <v>LAKI-LAKI</v>
      </c>
      <c r="M992" s="16" t="str">
        <f>IFERROR(__xludf.DUMMYFUNCTION("""COMPUTED_VALUE"""),"JL UJUNG PANDANG GG PELANGI")</f>
        <v>JL UJUNG PANDANG GG PELANGI</v>
      </c>
      <c r="N992" s="16" t="str">
        <f>IFERROR(__xludf.DUMMYFUNCTION("""COMPUTED_VALUE"""),"KEL. SUNGAI JAWI")</f>
        <v>KEL. SUNGAI JAWI</v>
      </c>
      <c r="O992" s="16" t="str">
        <f>IFERROR(__xludf.DUMMYFUNCTION("""COMPUTED_VALUE"""),"KEC. PONTIANAK KOTA")</f>
        <v>KEC. PONTIANAK KOTA</v>
      </c>
      <c r="P992" s="16" t="str">
        <f>IFERROR(__xludf.DUMMYFUNCTION("""COMPUTED_VALUE"""),"KOTA PONTIANAK")</f>
        <v>KOTA PONTIANAK</v>
      </c>
      <c r="Q992" s="16" t="str">
        <f>IFERROR(__xludf.DUMMYFUNCTION("""COMPUTED_VALUE"""),"KALIMANTAN BARAT")</f>
        <v>KALIMANTAN BARAT</v>
      </c>
      <c r="R992" s="19" t="str">
        <f>IFERROR(__xludf.DUMMYFUNCTION("""COMPUTED_VALUE"""),"ISLAM")</f>
        <v>ISLAM</v>
      </c>
      <c r="S992" s="16" t="str">
        <f>IFERROR(__xludf.DUMMYFUNCTION("""COMPUTED_VALUE"""),"SWASTA")</f>
        <v>SWASTA</v>
      </c>
      <c r="T992" s="16" t="str">
        <f>IFERROR(__xludf.DUMMYFUNCTION("""COMPUTED_VALUE"""),"Sakit belakang")</f>
        <v>Sakit belakang</v>
      </c>
      <c r="U992" s="16" t="str">
        <f>IFERROR(__xludf.DUMMYFUNCTION("""COMPUTED_VALUE"""),"Pekerjaan diruangan depan komputer")</f>
        <v>Pekerjaan diruangan depan komputer</v>
      </c>
      <c r="V992" s="11" t="str">
        <f>IFERROR(__xludf.DUMMYFUNCTION("""COMPUTED_VALUE"""),"081257089798")</f>
        <v>081257089798</v>
      </c>
      <c r="W992" s="15"/>
    </row>
    <row r="993" ht="22.5" customHeight="1">
      <c r="A993" s="8"/>
      <c r="B993" s="9">
        <f>IFERROR(__xludf.DUMMYFUNCTION("""COMPUTED_VALUE"""),45294.4903234838)</f>
        <v>45294.49032</v>
      </c>
      <c r="C993" s="9"/>
      <c r="D993" s="10">
        <f>IFERROR(__xludf.DUMMYFUNCTION("""COMPUTED_VALUE"""),45297.0)</f>
        <v>45297</v>
      </c>
      <c r="E993" s="10" t="str">
        <f>IFERROR(__xludf.DUMMYFUNCTION("""COMPUTED_VALUE"""),"01Jan")</f>
        <v>01Jan</v>
      </c>
      <c r="F993" s="10" t="str">
        <f>IFERROR(__xludf.DUMMYFUNCTION("""COMPUTED_VALUE"""),"2024")</f>
        <v>2024</v>
      </c>
      <c r="G993" s="16" t="str">
        <f>IFERROR(__xludf.DUMMYFUNCTION("""COMPUTED_VALUE"""),"SANDY LEO")</f>
        <v>SANDY LEO</v>
      </c>
      <c r="H993" s="17" t="str">
        <f>IFERROR(__xludf.DUMMYFUNCTION("""COMPUTED_VALUE"""),"S9424015075")</f>
        <v>S9424015075</v>
      </c>
      <c r="I993" s="17">
        <f>IFERROR(__xludf.DUMMYFUNCTION("""COMPUTED_VALUE"""),32.0)</f>
        <v>32</v>
      </c>
      <c r="J993" s="17" t="str">
        <f>IFERROR(__xludf.DUMMYFUNCTION("""COMPUTED_VALUE"""),"25-34 tahun")</f>
        <v>25-34 tahun</v>
      </c>
      <c r="K993" s="19">
        <f>IFERROR(__xludf.DUMMYFUNCTION("""COMPUTED_VALUE"""),34344.0)</f>
        <v>34344</v>
      </c>
      <c r="L993" s="19" t="str">
        <f>IFERROR(__xludf.DUMMYFUNCTION("""COMPUTED_VALUE"""),"LAKI-LAKI")</f>
        <v>LAKI-LAKI</v>
      </c>
      <c r="M993" s="16" t="str">
        <f>IFERROR(__xludf.DUMMYFUNCTION("""COMPUTED_VALUE"""),"KOMP. NILAKANDI B28/4")</f>
        <v>KOMP. NILAKANDI B28/4</v>
      </c>
      <c r="N993" s="16" t="str">
        <f>IFERROR(__xludf.DUMMYFUNCTION("""COMPUTED_VALUE"""),"KEL. JURANGMANGU BARAT")</f>
        <v>KEL. JURANGMANGU BARAT</v>
      </c>
      <c r="O993" s="16" t="str">
        <f>IFERROR(__xludf.DUMMYFUNCTION("""COMPUTED_VALUE"""),"KEC. PONDOK AREN")</f>
        <v>KEC. PONDOK AREN</v>
      </c>
      <c r="P993" s="16" t="str">
        <f>IFERROR(__xludf.DUMMYFUNCTION("""COMPUTED_VALUE"""),"KOTA TANGGERANG SELATAN")</f>
        <v>KOTA TANGGERANG SELATAN</v>
      </c>
      <c r="Q993" s="16" t="str">
        <f>IFERROR(__xludf.DUMMYFUNCTION("""COMPUTED_VALUE"""),"BANTEN")</f>
        <v>BANTEN</v>
      </c>
      <c r="R993" s="19" t="str">
        <f>IFERROR(__xludf.DUMMYFUNCTION("""COMPUTED_VALUE"""),"BUDDHA")</f>
        <v>BUDDHA</v>
      </c>
      <c r="S993" s="16" t="str">
        <f>IFERROR(__xludf.DUMMYFUNCTION("""COMPUTED_VALUE"""),"SWASTA")</f>
        <v>SWASTA</v>
      </c>
      <c r="T993" s="16" t="str">
        <f>IFERROR(__xludf.DUMMYFUNCTION("""COMPUTED_VALUE"""),"Post op ACL meniscus 7 bulan")</f>
        <v>Post op ACL meniscus 7 bulan</v>
      </c>
      <c r="U993" s="16" t="str">
        <f>IFERROR(__xludf.DUMMYFUNCTION("""COMPUTED_VALUE"""),"Futsal, sepak bola")</f>
        <v>Futsal, sepak bola</v>
      </c>
      <c r="V993" s="11" t="str">
        <f>IFERROR(__xludf.DUMMYFUNCTION("""COMPUTED_VALUE"""),"085216225075")</f>
        <v>085216225075</v>
      </c>
      <c r="W993" s="15"/>
    </row>
    <row r="994" ht="22.5" customHeight="1">
      <c r="A994" s="8"/>
      <c r="B994" s="9">
        <f>IFERROR(__xludf.DUMMYFUNCTION("""COMPUTED_VALUE"""),45294.56180590278)</f>
        <v>45294.56181</v>
      </c>
      <c r="C994" s="9"/>
      <c r="D994" s="10">
        <f>IFERROR(__xludf.DUMMYFUNCTION("""COMPUTED_VALUE"""),45297.0)</f>
        <v>45297</v>
      </c>
      <c r="E994" s="10" t="str">
        <f>IFERROR(__xludf.DUMMYFUNCTION("""COMPUTED_VALUE"""),"01Jan")</f>
        <v>01Jan</v>
      </c>
      <c r="F994" s="10" t="str">
        <f>IFERROR(__xludf.DUMMYFUNCTION("""COMPUTED_VALUE"""),"2024")</f>
        <v>2024</v>
      </c>
      <c r="G994" s="16" t="str">
        <f>IFERROR(__xludf.DUMMYFUNCTION("""COMPUTED_VALUE"""),"LO JUNARDI, SE")</f>
        <v>LO JUNARDI, SE</v>
      </c>
      <c r="H994" s="17" t="str">
        <f>IFERROR(__xludf.DUMMYFUNCTION("""COMPUTED_VALUE"""),"L7224019250")</f>
        <v>L7224019250</v>
      </c>
      <c r="I994" s="17">
        <f>IFERROR(__xludf.DUMMYFUNCTION("""COMPUTED_VALUE"""),54.0)</f>
        <v>54</v>
      </c>
      <c r="J994" s="17" t="str">
        <f>IFERROR(__xludf.DUMMYFUNCTION("""COMPUTED_VALUE"""),"&gt; 44 tahun")</f>
        <v>&gt; 44 tahun</v>
      </c>
      <c r="K994" s="19">
        <f>IFERROR(__xludf.DUMMYFUNCTION("""COMPUTED_VALUE"""),26366.0)</f>
        <v>26366</v>
      </c>
      <c r="L994" s="19" t="str">
        <f>IFERROR(__xludf.DUMMYFUNCTION("""COMPUTED_VALUE"""),"LAKI-LAKI")</f>
        <v>LAKI-LAKI</v>
      </c>
      <c r="M994" s="16" t="str">
        <f>IFERROR(__xludf.DUMMYFUNCTION("""COMPUTED_VALUE"""),"JL MERANTI 78 PONTIANAK")</f>
        <v>JL MERANTI 78 PONTIANAK</v>
      </c>
      <c r="N994" s="16" t="str">
        <f>IFERROR(__xludf.DUMMYFUNCTION("""COMPUTED_VALUE"""),"KEL. DARAT SEKIP")</f>
        <v>KEL. DARAT SEKIP</v>
      </c>
      <c r="O994" s="16" t="str">
        <f>IFERROR(__xludf.DUMMYFUNCTION("""COMPUTED_VALUE"""),"KEC. PONTIANAK KOTA")</f>
        <v>KEC. PONTIANAK KOTA</v>
      </c>
      <c r="P994" s="16" t="str">
        <f>IFERROR(__xludf.DUMMYFUNCTION("""COMPUTED_VALUE"""),"KOTA PONTIANAK")</f>
        <v>KOTA PONTIANAK</v>
      </c>
      <c r="Q994" s="16" t="str">
        <f>IFERROR(__xludf.DUMMYFUNCTION("""COMPUTED_VALUE"""),"KALIMANTAN BARAT")</f>
        <v>KALIMANTAN BARAT</v>
      </c>
      <c r="R994" s="19" t="str">
        <f>IFERROR(__xludf.DUMMYFUNCTION("""COMPUTED_VALUE"""),"BUDDHA")</f>
        <v>BUDDHA</v>
      </c>
      <c r="S994" s="16" t="str">
        <f>IFERROR(__xludf.DUMMYFUNCTION("""COMPUTED_VALUE"""),"WIRASWASTA")</f>
        <v>WIRASWASTA</v>
      </c>
      <c r="T994" s="16" t="str">
        <f>IFERROR(__xludf.DUMMYFUNCTION("""COMPUTED_VALUE"""),"BAHU KANAN NYERI")</f>
        <v>BAHU KANAN NYERI</v>
      </c>
      <c r="U994" s="16" t="str">
        <f>IFERROR(__xludf.DUMMYFUNCTION("""COMPUTED_VALUE"""),"kantoran")</f>
        <v>kantoran</v>
      </c>
      <c r="V994" s="11" t="str">
        <f>IFERROR(__xludf.DUMMYFUNCTION("""COMPUTED_VALUE"""),"081345629250")</f>
        <v>081345629250</v>
      </c>
      <c r="W994" s="15"/>
    </row>
    <row r="995" ht="22.5" customHeight="1">
      <c r="A995" s="8"/>
      <c r="B995" s="9">
        <f>IFERROR(__xludf.DUMMYFUNCTION("""COMPUTED_VALUE"""),45294.65155552083)</f>
        <v>45294.65156</v>
      </c>
      <c r="C995" s="9"/>
      <c r="D995" s="10">
        <f>IFERROR(__xludf.DUMMYFUNCTION("""COMPUTED_VALUE"""),45297.0)</f>
        <v>45297</v>
      </c>
      <c r="E995" s="10" t="str">
        <f>IFERROR(__xludf.DUMMYFUNCTION("""COMPUTED_VALUE"""),"01Jan")</f>
        <v>01Jan</v>
      </c>
      <c r="F995" s="10" t="str">
        <f>IFERROR(__xludf.DUMMYFUNCTION("""COMPUTED_VALUE"""),"2024")</f>
        <v>2024</v>
      </c>
      <c r="G995" s="16" t="str">
        <f>IFERROR(__xludf.DUMMYFUNCTION("""COMPUTED_VALUE"""),"M. DAKRIM")</f>
        <v>M. DAKRIM</v>
      </c>
      <c r="H995" s="17" t="str">
        <f>IFERROR(__xludf.DUMMYFUNCTION("""COMPUTED_VALUE"""),"M5624016073")</f>
        <v>M5624016073</v>
      </c>
      <c r="I995" s="17">
        <f>IFERROR(__xludf.DUMMYFUNCTION("""COMPUTED_VALUE"""),70.0)</f>
        <v>70</v>
      </c>
      <c r="J995" s="17" t="str">
        <f>IFERROR(__xludf.DUMMYFUNCTION("""COMPUTED_VALUE"""),"&gt; 44 tahun")</f>
        <v>&gt; 44 tahun</v>
      </c>
      <c r="K995" s="19">
        <f>IFERROR(__xludf.DUMMYFUNCTION("""COMPUTED_VALUE"""),20455.0)</f>
        <v>20455</v>
      </c>
      <c r="L995" s="19" t="str">
        <f>IFERROR(__xludf.DUMMYFUNCTION("""COMPUTED_VALUE"""),"LAKI-LAKI")</f>
        <v>LAKI-LAKI</v>
      </c>
      <c r="M995" s="16" t="str">
        <f>IFERROR(__xludf.DUMMYFUNCTION("""COMPUTED_VALUE"""),"JL. DR. WAHIDIN GG. SEPAKAT 4 NO.6")</f>
        <v>JL. DR. WAHIDIN GG. SEPAKAT 4 NO.6</v>
      </c>
      <c r="N995" s="16" t="str">
        <f>IFERROR(__xludf.DUMMYFUNCTION("""COMPUTED_VALUE"""),"KEL. SUNGAI JAWI")</f>
        <v>KEL. SUNGAI JAWI</v>
      </c>
      <c r="O995" s="16" t="str">
        <f>IFERROR(__xludf.DUMMYFUNCTION("""COMPUTED_VALUE"""),"KEC. PONTIANAK KOTA")</f>
        <v>KEC. PONTIANAK KOTA</v>
      </c>
      <c r="P995" s="16" t="str">
        <f>IFERROR(__xludf.DUMMYFUNCTION("""COMPUTED_VALUE"""),"KOTA PONTIANAK")</f>
        <v>KOTA PONTIANAK</v>
      </c>
      <c r="Q995" s="16" t="str">
        <f>IFERROR(__xludf.DUMMYFUNCTION("""COMPUTED_VALUE"""),"KALIMANTAN BARAT")</f>
        <v>KALIMANTAN BARAT</v>
      </c>
      <c r="R995" s="19" t="str">
        <f>IFERROR(__xludf.DUMMYFUNCTION("""COMPUTED_VALUE"""),"ISLAM")</f>
        <v>ISLAM</v>
      </c>
      <c r="S995" s="16" t="str">
        <f>IFERROR(__xludf.DUMMYFUNCTION("""COMPUTED_VALUE"""),"PENSIUN")</f>
        <v>PENSIUN</v>
      </c>
      <c r="T995" s="16" t="str">
        <f>IFERROR(__xludf.DUMMYFUNCTION("""COMPUTED_VALUE"""),"Struk sebelah kiri")</f>
        <v>Struk sebelah kiri</v>
      </c>
      <c r="U995" s="16" t="str">
        <f>IFERROR(__xludf.DUMMYFUNCTION("""COMPUTED_VALUE"""),"tidak ada")</f>
        <v>tidak ada</v>
      </c>
      <c r="V995" s="11" t="str">
        <f>IFERROR(__xludf.DUMMYFUNCTION("""COMPUTED_VALUE"""),"081345216073")</f>
        <v>081345216073</v>
      </c>
      <c r="W995" s="15"/>
    </row>
    <row r="996" ht="22.5" customHeight="1">
      <c r="A996" s="8"/>
      <c r="B996" s="9">
        <f>IFERROR(__xludf.DUMMYFUNCTION("""COMPUTED_VALUE"""),45293.54436623842)</f>
        <v>45293.54437</v>
      </c>
      <c r="C996" s="9"/>
      <c r="D996" s="10">
        <f>IFERROR(__xludf.DUMMYFUNCTION("""COMPUTED_VALUE"""),45297.0)</f>
        <v>45297</v>
      </c>
      <c r="E996" s="10" t="str">
        <f>IFERROR(__xludf.DUMMYFUNCTION("""COMPUTED_VALUE"""),"01Jan")</f>
        <v>01Jan</v>
      </c>
      <c r="F996" s="10" t="str">
        <f>IFERROR(__xludf.DUMMYFUNCTION("""COMPUTED_VALUE"""),"2024")</f>
        <v>2024</v>
      </c>
      <c r="G996" s="16" t="str">
        <f>IFERROR(__xludf.DUMMYFUNCTION("""COMPUTED_VALUE"""),"RASMAWATI")</f>
        <v>RASMAWATI</v>
      </c>
      <c r="H996" s="17" t="str">
        <f>IFERROR(__xludf.DUMMYFUNCTION("""COMPUTED_VALUE"""),"R6124016073")</f>
        <v>R6124016073</v>
      </c>
      <c r="I996" s="17">
        <f>IFERROR(__xludf.DUMMYFUNCTION("""COMPUTED_VALUE"""),64.0)</f>
        <v>64</v>
      </c>
      <c r="J996" s="17" t="str">
        <f>IFERROR(__xludf.DUMMYFUNCTION("""COMPUTED_VALUE"""),"&gt; 44 tahun")</f>
        <v>&gt; 44 tahun</v>
      </c>
      <c r="K996" s="19">
        <f>IFERROR(__xludf.DUMMYFUNCTION("""COMPUTED_VALUE"""),22478.0)</f>
        <v>22478</v>
      </c>
      <c r="L996" s="19" t="str">
        <f>IFERROR(__xludf.DUMMYFUNCTION("""COMPUTED_VALUE"""),"PEREMPUAN")</f>
        <v>PEREMPUAN</v>
      </c>
      <c r="M996" s="16" t="str">
        <f>IFERROR(__xludf.DUMMYFUNCTION("""COMPUTED_VALUE"""),"JL. DR. WAHIDIN GG. SEPAKAT 4 NO.6")</f>
        <v>JL. DR. WAHIDIN GG. SEPAKAT 4 NO.6</v>
      </c>
      <c r="N996" s="16" t="str">
        <f>IFERROR(__xludf.DUMMYFUNCTION("""COMPUTED_VALUE"""),"KEL. SUNGAI JAWI")</f>
        <v>KEL. SUNGAI JAWI</v>
      </c>
      <c r="O996" s="16" t="str">
        <f>IFERROR(__xludf.DUMMYFUNCTION("""COMPUTED_VALUE"""),"KEC. PONTIANAK KOTA")</f>
        <v>KEC. PONTIANAK KOTA</v>
      </c>
      <c r="P996" s="16" t="str">
        <f>IFERROR(__xludf.DUMMYFUNCTION("""COMPUTED_VALUE"""),"KOTA PONTIANAK")</f>
        <v>KOTA PONTIANAK</v>
      </c>
      <c r="Q996" s="16" t="str">
        <f>IFERROR(__xludf.DUMMYFUNCTION("""COMPUTED_VALUE"""),"KALIMANTAN BARAT")</f>
        <v>KALIMANTAN BARAT</v>
      </c>
      <c r="R996" s="19" t="str">
        <f>IFERROR(__xludf.DUMMYFUNCTION("""COMPUTED_VALUE"""),"ISLAM")</f>
        <v>ISLAM</v>
      </c>
      <c r="S996" s="16" t="str">
        <f>IFERROR(__xludf.DUMMYFUNCTION("""COMPUTED_VALUE"""),"PENSIUN")</f>
        <v>PENSIUN</v>
      </c>
      <c r="T996" s="16" t="str">
        <f>IFERROR(__xludf.DUMMYFUNCTION("""COMPUTED_VALUE"""),"sakit pada punggung hingga ke pinggul, sakit kalau duduk")</f>
        <v>sakit pada punggung hingga ke pinggul, sakit kalau duduk</v>
      </c>
      <c r="U996" s="16" t="str">
        <f>IFERROR(__xludf.DUMMYFUNCTION("""COMPUTED_VALUE"""),"Rumah tangga")</f>
        <v>Rumah tangga</v>
      </c>
      <c r="V996" s="11" t="str">
        <f>IFERROR(__xludf.DUMMYFUNCTION("""COMPUTED_VALUE"""),"081345216073")</f>
        <v>081345216073</v>
      </c>
      <c r="W996" s="15"/>
    </row>
    <row r="997" ht="22.5" customHeight="1">
      <c r="A997" s="8"/>
      <c r="B997" s="9">
        <f>IFERROR(__xludf.DUMMYFUNCTION("""COMPUTED_VALUE"""),45295.58483548611)</f>
        <v>45295.58484</v>
      </c>
      <c r="C997" s="9"/>
      <c r="D997" s="10">
        <f>IFERROR(__xludf.DUMMYFUNCTION("""COMPUTED_VALUE"""),45297.0)</f>
        <v>45297</v>
      </c>
      <c r="E997" s="10" t="str">
        <f>IFERROR(__xludf.DUMMYFUNCTION("""COMPUTED_VALUE"""),"01Jan")</f>
        <v>01Jan</v>
      </c>
      <c r="F997" s="10" t="str">
        <f>IFERROR(__xludf.DUMMYFUNCTION("""COMPUTED_VALUE"""),"2024")</f>
        <v>2024</v>
      </c>
      <c r="G997" s="16" t="str">
        <f>IFERROR(__xludf.DUMMYFUNCTION("""COMPUTED_VALUE"""),"ALIFAH AMALIA")</f>
        <v>ALIFAH AMALIA</v>
      </c>
      <c r="H997" s="17" t="str">
        <f>IFERROR(__xludf.DUMMYFUNCTION("""COMPUTED_VALUE"""),"A9924010767")</f>
        <v>A9924010767</v>
      </c>
      <c r="I997" s="17">
        <f>IFERROR(__xludf.DUMMYFUNCTION("""COMPUTED_VALUE"""),27.0)</f>
        <v>27</v>
      </c>
      <c r="J997" s="17" t="str">
        <f>IFERROR(__xludf.DUMMYFUNCTION("""COMPUTED_VALUE"""),"25-34 tahun")</f>
        <v>25-34 tahun</v>
      </c>
      <c r="K997" s="19">
        <f>IFERROR(__xludf.DUMMYFUNCTION("""COMPUTED_VALUE"""),36224.0)</f>
        <v>36224</v>
      </c>
      <c r="L997" s="19" t="str">
        <f>IFERROR(__xludf.DUMMYFUNCTION("""COMPUTED_VALUE"""),"PEREMPUAN")</f>
        <v>PEREMPUAN</v>
      </c>
      <c r="M997" s="16" t="str">
        <f>IFERROR(__xludf.DUMMYFUNCTION("""COMPUTED_VALUE"""),"JL. DR. SUTOMO KOMPLEK BATARA INDAH 4 B23")</f>
        <v>JL. DR. SUTOMO KOMPLEK BATARA INDAH 4 B23</v>
      </c>
      <c r="N997" s="16" t="str">
        <f>IFERROR(__xludf.DUMMYFUNCTION("""COMPUTED_VALUE"""),"KEL. SUNGAI BANGKONG")</f>
        <v>KEL. SUNGAI BANGKONG</v>
      </c>
      <c r="O997" s="16" t="str">
        <f>IFERROR(__xludf.DUMMYFUNCTION("""COMPUTED_VALUE"""),"KEC. PONTIANAK KOTA")</f>
        <v>KEC. PONTIANAK KOTA</v>
      </c>
      <c r="P997" s="16" t="str">
        <f>IFERROR(__xludf.DUMMYFUNCTION("""COMPUTED_VALUE"""),"KOTA PONTIANAK")</f>
        <v>KOTA PONTIANAK</v>
      </c>
      <c r="Q997" s="16" t="str">
        <f>IFERROR(__xludf.DUMMYFUNCTION("""COMPUTED_VALUE"""),"KALIMANTAN BARAT")</f>
        <v>KALIMANTAN BARAT</v>
      </c>
      <c r="R997" s="19" t="str">
        <f>IFERROR(__xludf.DUMMYFUNCTION("""COMPUTED_VALUE"""),"KHONGHUCU")</f>
        <v>KHONGHUCU</v>
      </c>
      <c r="S997" s="16" t="str">
        <f>IFERROR(__xludf.DUMMYFUNCTION("""COMPUTED_VALUE"""),"SWASTA")</f>
        <v>SWASTA</v>
      </c>
      <c r="T997" s="16" t="str">
        <f>IFERROR(__xludf.DUMMYFUNCTION("""COMPUTED_VALUE"""),"endurance lemah")</f>
        <v>endurance lemah</v>
      </c>
      <c r="U997" s="16" t="str">
        <f>IFERROR(__xludf.DUMMYFUNCTION("""COMPUTED_VALUE"""),"kantor")</f>
        <v>kantor</v>
      </c>
      <c r="V997" s="11" t="str">
        <f>IFERROR(__xludf.DUMMYFUNCTION("""COMPUTED_VALUE"""),"085822580767")</f>
        <v>085822580767</v>
      </c>
      <c r="W997" s="15"/>
    </row>
    <row r="998" ht="22.5" customHeight="1">
      <c r="A998" s="8"/>
      <c r="B998" s="9">
        <f>IFERROR(__xludf.DUMMYFUNCTION("""COMPUTED_VALUE"""),45293.84896091435)</f>
        <v>45293.84896</v>
      </c>
      <c r="C998" s="9"/>
      <c r="D998" s="10">
        <f>IFERROR(__xludf.DUMMYFUNCTION("""COMPUTED_VALUE"""),45298.0)</f>
        <v>45298</v>
      </c>
      <c r="E998" s="10" t="str">
        <f>IFERROR(__xludf.DUMMYFUNCTION("""COMPUTED_VALUE"""),"01Jan")</f>
        <v>01Jan</v>
      </c>
      <c r="F998" s="10" t="str">
        <f>IFERROR(__xludf.DUMMYFUNCTION("""COMPUTED_VALUE"""),"2024")</f>
        <v>2024</v>
      </c>
      <c r="G998" s="16" t="str">
        <f>IFERROR(__xludf.DUMMYFUNCTION("""COMPUTED_VALUE"""),"SAIF RAAFIIN ISFAHAN")</f>
        <v>SAIF RAAFIIN ISFAHAN</v>
      </c>
      <c r="H998" s="17" t="str">
        <f>IFERROR(__xludf.DUMMYFUNCTION("""COMPUTED_VALUE"""),"S0324019056")</f>
        <v>S0324019056</v>
      </c>
      <c r="I998" s="17">
        <f>IFERROR(__xludf.DUMMYFUNCTION("""COMPUTED_VALUE"""),23.0)</f>
        <v>23</v>
      </c>
      <c r="J998" s="17" t="str">
        <f>IFERROR(__xludf.DUMMYFUNCTION("""COMPUTED_VALUE"""),"18-24 tahun")</f>
        <v>18-24 tahun</v>
      </c>
      <c r="K998" s="19">
        <f>IFERROR(__xludf.DUMMYFUNCTION("""COMPUTED_VALUE"""),37711.0)</f>
        <v>37711</v>
      </c>
      <c r="L998" s="19" t="str">
        <f>IFERROR(__xludf.DUMMYFUNCTION("""COMPUTED_VALUE"""),"LAKI-LAKI")</f>
        <v>LAKI-LAKI</v>
      </c>
      <c r="M998" s="16" t="str">
        <f>IFERROR(__xludf.DUMMYFUNCTION("""COMPUTED_VALUE"""),"JL. DANAU SENTARUM KOMPLEK BANK DUTA NO 2B")</f>
        <v>JL. DANAU SENTARUM KOMPLEK BANK DUTA NO 2B</v>
      </c>
      <c r="N998" s="16" t="str">
        <f>IFERROR(__xludf.DUMMYFUNCTION("""COMPUTED_VALUE"""),"KEL. SUNGAI BANGKONG")</f>
        <v>KEL. SUNGAI BANGKONG</v>
      </c>
      <c r="O998" s="16" t="str">
        <f>IFERROR(__xludf.DUMMYFUNCTION("""COMPUTED_VALUE"""),"KEC. PONTIANAK KOTA")</f>
        <v>KEC. PONTIANAK KOTA</v>
      </c>
      <c r="P998" s="16" t="str">
        <f>IFERROR(__xludf.DUMMYFUNCTION("""COMPUTED_VALUE"""),"KOTA PONTIANAK")</f>
        <v>KOTA PONTIANAK</v>
      </c>
      <c r="Q998" s="16" t="str">
        <f>IFERROR(__xludf.DUMMYFUNCTION("""COMPUTED_VALUE"""),"KALIMANTAN BARAT")</f>
        <v>KALIMANTAN BARAT</v>
      </c>
      <c r="R998" s="19" t="str">
        <f>IFERROR(__xludf.DUMMYFUNCTION("""COMPUTED_VALUE"""),"ISLAM")</f>
        <v>ISLAM</v>
      </c>
      <c r="S998" s="16" t="str">
        <f>IFERROR(__xludf.DUMMYFUNCTION("""COMPUTED_VALUE"""),"PELAJAR/MAHASISWA")</f>
        <v>PELAJAR/MAHASISWA</v>
      </c>
      <c r="T998" s="16" t="str">
        <f>IFERROR(__xludf.DUMMYFUNCTION("""COMPUTED_VALUE"""),"Memar dan bengkak")</f>
        <v>Memar dan bengkak</v>
      </c>
      <c r="U998" s="16" t="str">
        <f>IFERROR(__xludf.DUMMYFUNCTION("""COMPUTED_VALUE"""),"Ngegym")</f>
        <v>Ngegym</v>
      </c>
      <c r="V998" s="11" t="str">
        <f>IFERROR(__xludf.DUMMYFUNCTION("""COMPUTED_VALUE"""),"081345159056")</f>
        <v>081345159056</v>
      </c>
      <c r="W998" s="15"/>
    </row>
    <row r="999" ht="22.5" customHeight="1">
      <c r="A999" s="8"/>
      <c r="B999" s="9">
        <f>IFERROR(__xludf.DUMMYFUNCTION("""COMPUTED_VALUE"""),45295.84160893518)</f>
        <v>45295.84161</v>
      </c>
      <c r="C999" s="9"/>
      <c r="D999" s="10">
        <f>IFERROR(__xludf.DUMMYFUNCTION("""COMPUTED_VALUE"""),45298.0)</f>
        <v>45298</v>
      </c>
      <c r="E999" s="10" t="str">
        <f>IFERROR(__xludf.DUMMYFUNCTION("""COMPUTED_VALUE"""),"01Jan")</f>
        <v>01Jan</v>
      </c>
      <c r="F999" s="10" t="str">
        <f>IFERROR(__xludf.DUMMYFUNCTION("""COMPUTED_VALUE"""),"2024")</f>
        <v>2024</v>
      </c>
      <c r="G999" s="16" t="str">
        <f>IFERROR(__xludf.DUMMYFUNCTION("""COMPUTED_VALUE"""),"HUSNAINI")</f>
        <v>HUSNAINI</v>
      </c>
      <c r="H999" s="17" t="str">
        <f>IFERROR(__xludf.DUMMYFUNCTION("""COMPUTED_VALUE"""),"H6324013094")</f>
        <v>H6324013094</v>
      </c>
      <c r="I999" s="17">
        <f>IFERROR(__xludf.DUMMYFUNCTION("""COMPUTED_VALUE"""),62.0)</f>
        <v>62</v>
      </c>
      <c r="J999" s="17" t="str">
        <f>IFERROR(__xludf.DUMMYFUNCTION("""COMPUTED_VALUE"""),"&gt; 44 tahun")</f>
        <v>&gt; 44 tahun</v>
      </c>
      <c r="K999" s="19">
        <f>IFERROR(__xludf.DUMMYFUNCTION("""COMPUTED_VALUE"""),23271.0)</f>
        <v>23271</v>
      </c>
      <c r="L999" s="19" t="str">
        <f>IFERROR(__xludf.DUMMYFUNCTION("""COMPUTED_VALUE"""),"LAKI-LAKI")</f>
        <v>LAKI-LAKI</v>
      </c>
      <c r="M999" s="16" t="str">
        <f>IFERROR(__xludf.DUMMYFUNCTION("""COMPUTED_VALUE"""),"JL KARET KOMPLEK SURYA KENCANA 1 BLOK H NO 22")</f>
        <v>JL KARET KOMPLEK SURYA KENCANA 1 BLOK H NO 22</v>
      </c>
      <c r="N999" s="16" t="str">
        <f>IFERROR(__xludf.DUMMYFUNCTION("""COMPUTED_VALUE"""),"KEL. SUNGAI BELIUNG")</f>
        <v>KEL. SUNGAI BELIUNG</v>
      </c>
      <c r="O999" s="16" t="str">
        <f>IFERROR(__xludf.DUMMYFUNCTION("""COMPUTED_VALUE"""),"KEC. PONTIANAK BARAT")</f>
        <v>KEC. PONTIANAK BARAT</v>
      </c>
      <c r="P999" s="16" t="str">
        <f>IFERROR(__xludf.DUMMYFUNCTION("""COMPUTED_VALUE"""),"KOTA PONTIANAK")</f>
        <v>KOTA PONTIANAK</v>
      </c>
      <c r="Q999" s="16" t="str">
        <f>IFERROR(__xludf.DUMMYFUNCTION("""COMPUTED_VALUE"""),"KALIMANTAN BARAT")</f>
        <v>KALIMANTAN BARAT</v>
      </c>
      <c r="R999" s="19" t="str">
        <f>IFERROR(__xludf.DUMMYFUNCTION("""COMPUTED_VALUE"""),"ISLAM")</f>
        <v>ISLAM</v>
      </c>
      <c r="S999" s="16" t="str">
        <f>IFERROR(__xludf.DUMMYFUNCTION("""COMPUTED_VALUE"""),"WIRASWASTA")</f>
        <v>WIRASWASTA</v>
      </c>
      <c r="T999" s="16" t="str">
        <f>IFERROR(__xludf.DUMMYFUNCTION("""COMPUTED_VALUE"""),"belpalsy")</f>
        <v>belpalsy</v>
      </c>
      <c r="U999" s="16" t="str">
        <f>IFERROR(__xludf.DUMMYFUNCTION("""COMPUTED_VALUE"""),"bekerja")</f>
        <v>bekerja</v>
      </c>
      <c r="V999" s="11" t="str">
        <f>IFERROR(__xludf.DUMMYFUNCTION("""COMPUTED_VALUE"""),"081936143094")</f>
        <v>081936143094</v>
      </c>
      <c r="W999" s="15"/>
    </row>
    <row r="1000" ht="22.5" customHeight="1">
      <c r="A1000" s="8"/>
      <c r="B1000" s="9">
        <f>IFERROR(__xludf.DUMMYFUNCTION("""COMPUTED_VALUE"""),45295.765503518516)</f>
        <v>45295.7655</v>
      </c>
      <c r="C1000" s="9"/>
      <c r="D1000" s="10">
        <f>IFERROR(__xludf.DUMMYFUNCTION("""COMPUTED_VALUE"""),45299.0)</f>
        <v>45299</v>
      </c>
      <c r="E1000" s="10" t="str">
        <f>IFERROR(__xludf.DUMMYFUNCTION("""COMPUTED_VALUE"""),"01Jan")</f>
        <v>01Jan</v>
      </c>
      <c r="F1000" s="10" t="str">
        <f>IFERROR(__xludf.DUMMYFUNCTION("""COMPUTED_VALUE"""),"2024")</f>
        <v>2024</v>
      </c>
      <c r="G1000" s="16" t="str">
        <f>IFERROR(__xludf.DUMMYFUNCTION("""COMPUTED_VALUE"""),"ROSALINA")</f>
        <v>ROSALINA</v>
      </c>
      <c r="H1000" s="17" t="str">
        <f>IFERROR(__xludf.DUMMYFUNCTION("""COMPUTED_VALUE"""),"R6124013789")</f>
        <v>R6124013789</v>
      </c>
      <c r="I1000" s="17">
        <f>IFERROR(__xludf.DUMMYFUNCTION("""COMPUTED_VALUE"""),65.0)</f>
        <v>65</v>
      </c>
      <c r="J1000" s="17" t="str">
        <f>IFERROR(__xludf.DUMMYFUNCTION("""COMPUTED_VALUE"""),"&gt; 44 tahun")</f>
        <v>&gt; 44 tahun</v>
      </c>
      <c r="K1000" s="19">
        <f>IFERROR(__xludf.DUMMYFUNCTION("""COMPUTED_VALUE"""),22422.0)</f>
        <v>22422</v>
      </c>
      <c r="L1000" s="19" t="str">
        <f>IFERROR(__xludf.DUMMYFUNCTION("""COMPUTED_VALUE"""),"PEREMPUAN")</f>
        <v>PEREMPUAN</v>
      </c>
      <c r="M1000" s="16" t="str">
        <f>IFERROR(__xludf.DUMMYFUNCTION("""COMPUTED_VALUE"""),"DUSUN BENGKAWE RT/RW 001")</f>
        <v>DUSUN BENGKAWE RT/RW 001</v>
      </c>
      <c r="N1000" s="16" t="str">
        <f>IFERROR(__xludf.DUMMYFUNCTION("""COMPUTED_VALUE"""),"DS. BENGKAWE")</f>
        <v>DS. BENGKAWE</v>
      </c>
      <c r="O1000" s="16" t="str">
        <f>IFERROR(__xludf.DUMMYFUNCTION("""COMPUTED_VALUE"""),"KEC. MENJALIN")</f>
        <v>KEC. MENJALIN</v>
      </c>
      <c r="P1000" s="16" t="str">
        <f>IFERROR(__xludf.DUMMYFUNCTION("""COMPUTED_VALUE"""),"KAB. LANDAK")</f>
        <v>KAB. LANDAK</v>
      </c>
      <c r="Q1000" s="16" t="str">
        <f>IFERROR(__xludf.DUMMYFUNCTION("""COMPUTED_VALUE"""),"KALIMANTAN BARAT")</f>
        <v>KALIMANTAN BARAT</v>
      </c>
      <c r="R1000" s="19" t="str">
        <f>IFERROR(__xludf.DUMMYFUNCTION("""COMPUTED_VALUE"""),"ISLAM")</f>
        <v>ISLAM</v>
      </c>
      <c r="S1000" s="16" t="str">
        <f>IFERROR(__xludf.DUMMYFUNCTION("""COMPUTED_VALUE"""),"PENSIUN")</f>
        <v>PENSIUN</v>
      </c>
      <c r="T1000" s="16" t="str">
        <f>IFERROR(__xludf.DUMMYFUNCTION("""COMPUTED_VALUE"""),"SYARAF KEJEPIT")</f>
        <v>SYARAF KEJEPIT</v>
      </c>
      <c r="U1000" s="16" t="str">
        <f>IFERROR(__xludf.DUMMYFUNCTION("""COMPUTED_VALUE"""),"PEKERJAAN RUMAH TANGGA")</f>
        <v>PEKERJAAN RUMAH TANGGA</v>
      </c>
      <c r="V1000" s="11" t="str">
        <f>IFERROR(__xludf.DUMMYFUNCTION("""COMPUTED_VALUE"""),"085252533789")</f>
        <v>085252533789</v>
      </c>
      <c r="W1000" s="15"/>
    </row>
    <row r="1001" ht="22.5" customHeight="1">
      <c r="A1001" s="8"/>
      <c r="B1001" s="9">
        <f>IFERROR(__xludf.DUMMYFUNCTION("""COMPUTED_VALUE"""),45294.71690493055)</f>
        <v>45294.7169</v>
      </c>
      <c r="C1001" s="9"/>
      <c r="D1001" s="10">
        <f>IFERROR(__xludf.DUMMYFUNCTION("""COMPUTED_VALUE"""),45299.0)</f>
        <v>45299</v>
      </c>
      <c r="E1001" s="10" t="str">
        <f>IFERROR(__xludf.DUMMYFUNCTION("""COMPUTED_VALUE"""),"01Jan")</f>
        <v>01Jan</v>
      </c>
      <c r="F1001" s="10" t="str">
        <f>IFERROR(__xludf.DUMMYFUNCTION("""COMPUTED_VALUE"""),"2024")</f>
        <v>2024</v>
      </c>
      <c r="G1001" s="16" t="str">
        <f>IFERROR(__xludf.DUMMYFUNCTION("""COMPUTED_VALUE"""),"MERY SILVIA")</f>
        <v>MERY SILVIA</v>
      </c>
      <c r="H1001" s="17" t="str">
        <f>IFERROR(__xludf.DUMMYFUNCTION("""COMPUTED_VALUE"""),"M9224015787")</f>
        <v>M9224015787</v>
      </c>
      <c r="I1001" s="17">
        <f>IFERROR(__xludf.DUMMYFUNCTION("""COMPUTED_VALUE"""),34.0)</f>
        <v>34</v>
      </c>
      <c r="J1001" s="17" t="str">
        <f>IFERROR(__xludf.DUMMYFUNCTION("""COMPUTED_VALUE"""),"25-34 tahun")</f>
        <v>25-34 tahun</v>
      </c>
      <c r="K1001" s="19">
        <f>IFERROR(__xludf.DUMMYFUNCTION("""COMPUTED_VALUE"""),33696.0)</f>
        <v>33696</v>
      </c>
      <c r="L1001" s="19" t="str">
        <f>IFERROR(__xludf.DUMMYFUNCTION("""COMPUTED_VALUE"""),"PEREMPUAN")</f>
        <v>PEREMPUAN</v>
      </c>
      <c r="M1001" s="16" t="str">
        <f>IFERROR(__xludf.DUMMYFUNCTION("""COMPUTED_VALUE"""),"JL. KS TUBUN GG FLAMBOYAN NO.41")</f>
        <v>JL. KS TUBUN GG FLAMBOYAN NO.41</v>
      </c>
      <c r="N1001" s="16" t="str">
        <f>IFERROR(__xludf.DUMMYFUNCTION("""COMPUTED_VALUE"""),"KEL. BENUA MELAYU DARAT")</f>
        <v>KEL. BENUA MELAYU DARAT</v>
      </c>
      <c r="O1001" s="16" t="str">
        <f>IFERROR(__xludf.DUMMYFUNCTION("""COMPUTED_VALUE"""),"KEC. PONTIANAK SELATAN")</f>
        <v>KEC. PONTIANAK SELATAN</v>
      </c>
      <c r="P1001" s="16" t="str">
        <f>IFERROR(__xludf.DUMMYFUNCTION("""COMPUTED_VALUE"""),"KOTA PONTIANAK")</f>
        <v>KOTA PONTIANAK</v>
      </c>
      <c r="Q1001" s="16" t="str">
        <f>IFERROR(__xludf.DUMMYFUNCTION("""COMPUTED_VALUE"""),"KALIMANTAN BARAT")</f>
        <v>KALIMANTAN BARAT</v>
      </c>
      <c r="R1001" s="19" t="str">
        <f>IFERROR(__xludf.DUMMYFUNCTION("""COMPUTED_VALUE"""),"KATOLIK")</f>
        <v>KATOLIK</v>
      </c>
      <c r="S1001" s="16" t="str">
        <f>IFERROR(__xludf.DUMMYFUNCTION("""COMPUTED_VALUE"""),"RUMAH TANGGA")</f>
        <v>RUMAH TANGGA</v>
      </c>
      <c r="T1001" s="16" t="str">
        <f>IFERROR(__xludf.DUMMYFUNCTION("""COMPUTED_VALUE"""),"Saraf kejepit")</f>
        <v>Saraf kejepit</v>
      </c>
      <c r="U1001" s="16" t="str">
        <f>IFERROR(__xludf.DUMMYFUNCTION("""COMPUTED_VALUE"""),"Mengurus anak")</f>
        <v>Mengurus anak</v>
      </c>
      <c r="V1001" s="11" t="str">
        <f>IFERROR(__xludf.DUMMYFUNCTION("""COMPUTED_VALUE"""),"0811565787")</f>
        <v>0811565787</v>
      </c>
      <c r="W1001" s="15"/>
    </row>
    <row r="1002" ht="22.5" customHeight="1">
      <c r="A1002" s="8"/>
      <c r="B1002" s="9">
        <f>IFERROR(__xludf.DUMMYFUNCTION("""COMPUTED_VALUE"""),45297.52049704861)</f>
        <v>45297.5205</v>
      </c>
      <c r="C1002" s="9"/>
      <c r="D1002" s="10">
        <f>IFERROR(__xludf.DUMMYFUNCTION("""COMPUTED_VALUE"""),45299.0)</f>
        <v>45299</v>
      </c>
      <c r="E1002" s="10" t="str">
        <f>IFERROR(__xludf.DUMMYFUNCTION("""COMPUTED_VALUE"""),"01Jan")</f>
        <v>01Jan</v>
      </c>
      <c r="F1002" s="10" t="str">
        <f>IFERROR(__xludf.DUMMYFUNCTION("""COMPUTED_VALUE"""),"2024")</f>
        <v>2024</v>
      </c>
      <c r="G1002" s="16" t="str">
        <f>IFERROR(__xludf.DUMMYFUNCTION("""COMPUTED_VALUE"""),"EKO SUDARTO")</f>
        <v>EKO SUDARTO</v>
      </c>
      <c r="H1002" s="17" t="str">
        <f>IFERROR(__xludf.DUMMYFUNCTION("""COMPUTED_VALUE"""),"E7424018000")</f>
        <v>E7424018000</v>
      </c>
      <c r="I1002" s="17">
        <f>IFERROR(__xludf.DUMMYFUNCTION("""COMPUTED_VALUE"""),52.0)</f>
        <v>52</v>
      </c>
      <c r="J1002" s="17" t="str">
        <f>IFERROR(__xludf.DUMMYFUNCTION("""COMPUTED_VALUE"""),"&gt; 44 tahun")</f>
        <v>&gt; 44 tahun</v>
      </c>
      <c r="K1002" s="19">
        <f>IFERROR(__xludf.DUMMYFUNCTION("""COMPUTED_VALUE"""),27102.0)</f>
        <v>27102</v>
      </c>
      <c r="L1002" s="19" t="str">
        <f>IFERROR(__xludf.DUMMYFUNCTION("""COMPUTED_VALUE"""),"LAKI-LAKI")</f>
        <v>LAKI-LAKI</v>
      </c>
      <c r="M1002" s="16" t="str">
        <f>IFERROR(__xludf.DUMMYFUNCTION("""COMPUTED_VALUE"""),"JL SENAYAN NO. 21 BALIKPAPAN")</f>
        <v>JL SENAYAN NO. 21 BALIKPAPAN</v>
      </c>
      <c r="N1002" s="16" t="str">
        <f>IFERROR(__xludf.DUMMYFUNCTION("""COMPUTED_VALUE"""),"KEL. KARANG REJO")</f>
        <v>KEL. KARANG REJO</v>
      </c>
      <c r="O1002" s="16" t="str">
        <f>IFERROR(__xludf.DUMMYFUNCTION("""COMPUTED_VALUE"""),"KEC. BALIKPAPAN TENGAH")</f>
        <v>KEC. BALIKPAPAN TENGAH</v>
      </c>
      <c r="P1002" s="16" t="str">
        <f>IFERROR(__xludf.DUMMYFUNCTION("""COMPUTED_VALUE"""),"KOTA BALIKPAPAN")</f>
        <v>KOTA BALIKPAPAN</v>
      </c>
      <c r="Q1002" s="16" t="str">
        <f>IFERROR(__xludf.DUMMYFUNCTION("""COMPUTED_VALUE"""),"KALIMANTAN TIMUR")</f>
        <v>KALIMANTAN TIMUR</v>
      </c>
      <c r="R1002" s="19" t="str">
        <f>IFERROR(__xludf.DUMMYFUNCTION("""COMPUTED_VALUE"""),"ISLAM")</f>
        <v>ISLAM</v>
      </c>
      <c r="S1002" s="16" t="str">
        <f>IFERROR(__xludf.DUMMYFUNCTION("""COMPUTED_VALUE"""),"BUMN")</f>
        <v>BUMN</v>
      </c>
      <c r="T1002" s="16" t="str">
        <f>IFERROR(__xludf.DUMMYFUNCTION("""COMPUTED_VALUE"""),"Nyeri bahu kanan")</f>
        <v>Nyeri bahu kanan</v>
      </c>
      <c r="U1002" s="16" t="str">
        <f>IFERROR(__xludf.DUMMYFUNCTION("""COMPUTED_VALUE"""),"Olah raga lari n golf")</f>
        <v>Olah raga lari n golf</v>
      </c>
      <c r="V1002" s="11" t="str">
        <f>IFERROR(__xludf.DUMMYFUNCTION("""COMPUTED_VALUE"""),"081350338000")</f>
        <v>081350338000</v>
      </c>
      <c r="W1002" s="15"/>
    </row>
    <row r="1003" ht="22.5" customHeight="1">
      <c r="A1003" s="8"/>
      <c r="B1003" s="9">
        <f>IFERROR(__xludf.DUMMYFUNCTION("""COMPUTED_VALUE"""),45297.52335091435)</f>
        <v>45297.52335</v>
      </c>
      <c r="C1003" s="9"/>
      <c r="D1003" s="10">
        <f>IFERROR(__xludf.DUMMYFUNCTION("""COMPUTED_VALUE"""),45300.0)</f>
        <v>45300</v>
      </c>
      <c r="E1003" s="10" t="str">
        <f>IFERROR(__xludf.DUMMYFUNCTION("""COMPUTED_VALUE"""),"01Jan")</f>
        <v>01Jan</v>
      </c>
      <c r="F1003" s="10" t="str">
        <f>IFERROR(__xludf.DUMMYFUNCTION("""COMPUTED_VALUE"""),"2024")</f>
        <v>2024</v>
      </c>
      <c r="G1003" s="16" t="str">
        <f>IFERROR(__xludf.DUMMYFUNCTION("""COMPUTED_VALUE"""),"ROSANNA ANGGRAINI")</f>
        <v>ROSANNA ANGGRAINI</v>
      </c>
      <c r="H1003" s="17" t="str">
        <f>IFERROR(__xludf.DUMMYFUNCTION("""COMPUTED_VALUE"""),"R8624019909")</f>
        <v>R8624019909</v>
      </c>
      <c r="I1003" s="17">
        <f>IFERROR(__xludf.DUMMYFUNCTION("""COMPUTED_VALUE"""),39.0)</f>
        <v>39</v>
      </c>
      <c r="J1003" s="17" t="str">
        <f>IFERROR(__xludf.DUMMYFUNCTION("""COMPUTED_VALUE"""),"35-44 tahun")</f>
        <v>35-44 tahun</v>
      </c>
      <c r="K1003" s="19">
        <f>IFERROR(__xludf.DUMMYFUNCTION("""COMPUTED_VALUE"""),31596.0)</f>
        <v>31596</v>
      </c>
      <c r="L1003" s="19" t="str">
        <f>IFERROR(__xludf.DUMMYFUNCTION("""COMPUTED_VALUE"""),"PEREMPUAN")</f>
        <v>PEREMPUAN</v>
      </c>
      <c r="M1003" s="16" t="str">
        <f>IFERROR(__xludf.DUMMYFUNCTION("""COMPUTED_VALUE"""),"JALAN PURNAMA KOMPLEK PURNAMA PERMAI 1 BLOK C NOMOR 9")</f>
        <v>JALAN PURNAMA KOMPLEK PURNAMA PERMAI 1 BLOK C NOMOR 9</v>
      </c>
      <c r="N1003" s="16" t="str">
        <f>IFERROR(__xludf.DUMMYFUNCTION("""COMPUTED_VALUE"""),"KEL. PARIT TOKAYA")</f>
        <v>KEL. PARIT TOKAYA</v>
      </c>
      <c r="O1003" s="16" t="str">
        <f>IFERROR(__xludf.DUMMYFUNCTION("""COMPUTED_VALUE"""),"KEC. PONTIANAK SELATAN")</f>
        <v>KEC. PONTIANAK SELATAN</v>
      </c>
      <c r="P1003" s="16" t="str">
        <f>IFERROR(__xludf.DUMMYFUNCTION("""COMPUTED_VALUE"""),"KOTA PONTIANAK")</f>
        <v>KOTA PONTIANAK</v>
      </c>
      <c r="Q1003" s="16" t="str">
        <f>IFERROR(__xludf.DUMMYFUNCTION("""COMPUTED_VALUE"""),"KALIMANTAN BARAT")</f>
        <v>KALIMANTAN BARAT</v>
      </c>
      <c r="R1003" s="19" t="str">
        <f>IFERROR(__xludf.DUMMYFUNCTION("""COMPUTED_VALUE"""),"ISLAM")</f>
        <v>ISLAM</v>
      </c>
      <c r="S1003" s="16" t="str">
        <f>IFERROR(__xludf.DUMMYFUNCTION("""COMPUTED_VALUE"""),"RUMAH TANGGA")</f>
        <v>RUMAH TANGGA</v>
      </c>
      <c r="T1003" s="16" t="str">
        <f>IFERROR(__xludf.DUMMYFUNCTION("""COMPUTED_VALUE"""),"CEDERA LOWER BACK")</f>
        <v>CEDERA LOWER BACK</v>
      </c>
      <c r="U1003" s="16" t="str">
        <f>IFERROR(__xludf.DUMMYFUNCTION("""COMPUTED_VALUE"""),"OLAHRAGA")</f>
        <v>OLAHRAGA</v>
      </c>
      <c r="V1003" s="11" t="str">
        <f>IFERROR(__xludf.DUMMYFUNCTION("""COMPUTED_VALUE"""),"08991399909")</f>
        <v>08991399909</v>
      </c>
      <c r="W1003" s="15"/>
    </row>
    <row r="1004" ht="22.5" customHeight="1">
      <c r="A1004" s="8"/>
      <c r="B1004" s="9">
        <f>IFERROR(__xludf.DUMMYFUNCTION("""COMPUTED_VALUE"""),45297.65039840278)</f>
        <v>45297.6504</v>
      </c>
      <c r="C1004" s="9"/>
      <c r="D1004" s="10">
        <f>IFERROR(__xludf.DUMMYFUNCTION("""COMPUTED_VALUE"""),45300.0)</f>
        <v>45300</v>
      </c>
      <c r="E1004" s="10" t="str">
        <f>IFERROR(__xludf.DUMMYFUNCTION("""COMPUTED_VALUE"""),"01Jan")</f>
        <v>01Jan</v>
      </c>
      <c r="F1004" s="10" t="str">
        <f>IFERROR(__xludf.DUMMYFUNCTION("""COMPUTED_VALUE"""),"2024")</f>
        <v>2024</v>
      </c>
      <c r="G1004" s="16" t="str">
        <f>IFERROR(__xludf.DUMMYFUNCTION("""COMPUTED_VALUE"""),"NICHOLAS BILI SAPUTRA")</f>
        <v>NICHOLAS BILI SAPUTRA</v>
      </c>
      <c r="H1004" s="17" t="str">
        <f>IFERROR(__xludf.DUMMYFUNCTION("""COMPUTED_VALUE"""),"N0024011081")</f>
        <v>N0024011081</v>
      </c>
      <c r="I1004" s="17">
        <f>IFERROR(__xludf.DUMMYFUNCTION("""COMPUTED_VALUE"""),26.0)</f>
        <v>26</v>
      </c>
      <c r="J1004" s="17" t="str">
        <f>IFERROR(__xludf.DUMMYFUNCTION("""COMPUTED_VALUE"""),"25-34 tahun")</f>
        <v>25-34 tahun</v>
      </c>
      <c r="K1004" s="19">
        <f>IFERROR(__xludf.DUMMYFUNCTION("""COMPUTED_VALUE"""),36692.0)</f>
        <v>36692</v>
      </c>
      <c r="L1004" s="19" t="str">
        <f>IFERROR(__xludf.DUMMYFUNCTION("""COMPUTED_VALUE"""),"LAKI-LAKI")</f>
        <v>LAKI-LAKI</v>
      </c>
      <c r="M1004" s="16" t="str">
        <f>IFERROR(__xludf.DUMMYFUNCTION("""COMPUTED_VALUE"""),"Jl IMAMBONJOL GG PENITINBARU NO 2A")</f>
        <v>Jl IMAMBONJOL GG PENITINBARU NO 2A</v>
      </c>
      <c r="N1004" s="16" t="str">
        <f>IFERROR(__xludf.DUMMYFUNCTION("""COMPUTED_VALUE"""),"KEL. BENUA MELAYU LAUT")</f>
        <v>KEL. BENUA MELAYU LAUT</v>
      </c>
      <c r="O1004" s="16" t="str">
        <f>IFERROR(__xludf.DUMMYFUNCTION("""COMPUTED_VALUE"""),"KEC. PONTIANAK SELATAN")</f>
        <v>KEC. PONTIANAK SELATAN</v>
      </c>
      <c r="P1004" s="16" t="str">
        <f>IFERROR(__xludf.DUMMYFUNCTION("""COMPUTED_VALUE"""),"KOTA PONTIANAK")</f>
        <v>KOTA PONTIANAK</v>
      </c>
      <c r="Q1004" s="16" t="str">
        <f>IFERROR(__xludf.DUMMYFUNCTION("""COMPUTED_VALUE"""),"KALIMANTAN BARAT")</f>
        <v>KALIMANTAN BARAT</v>
      </c>
      <c r="R1004" s="19" t="str">
        <f>IFERROR(__xludf.DUMMYFUNCTION("""COMPUTED_VALUE"""),"BUDDHA")</f>
        <v>BUDDHA</v>
      </c>
      <c r="S1004" s="16" t="str">
        <f>IFERROR(__xludf.DUMMYFUNCTION("""COMPUTED_VALUE"""),"SWASTA")</f>
        <v>SWASTA</v>
      </c>
      <c r="T1004" s="16" t="str">
        <f>IFERROR(__xludf.DUMMYFUNCTION("""COMPUTED_VALUE"""),"Dislokasi Bahu")</f>
        <v>Dislokasi Bahu</v>
      </c>
      <c r="U1004" s="16" t="str">
        <f>IFERROR(__xludf.DUMMYFUNCTION("""COMPUTED_VALUE"""),"Main futsal , basket")</f>
        <v>Main futsal , basket</v>
      </c>
      <c r="V1004" s="11" t="str">
        <f>IFERROR(__xludf.DUMMYFUNCTION("""COMPUTED_VALUE"""),"0895379891081")</f>
        <v>0895379891081</v>
      </c>
      <c r="W1004" s="15"/>
    </row>
    <row r="1005" ht="22.5" customHeight="1">
      <c r="A1005" s="8"/>
      <c r="B1005" s="9">
        <f>IFERROR(__xludf.DUMMYFUNCTION("""COMPUTED_VALUE"""),45297.69884626157)</f>
        <v>45297.69885</v>
      </c>
      <c r="C1005" s="9"/>
      <c r="D1005" s="10">
        <f>IFERROR(__xludf.DUMMYFUNCTION("""COMPUTED_VALUE"""),45300.0)</f>
        <v>45300</v>
      </c>
      <c r="E1005" s="10" t="str">
        <f>IFERROR(__xludf.DUMMYFUNCTION("""COMPUTED_VALUE"""),"01Jan")</f>
        <v>01Jan</v>
      </c>
      <c r="F1005" s="10" t="str">
        <f>IFERROR(__xludf.DUMMYFUNCTION("""COMPUTED_VALUE"""),"2024")</f>
        <v>2024</v>
      </c>
      <c r="G1005" s="16" t="str">
        <f>IFERROR(__xludf.DUMMYFUNCTION("""COMPUTED_VALUE"""),"ANDRIANTI")</f>
        <v>ANDRIANTI</v>
      </c>
      <c r="H1005" s="17" t="str">
        <f>IFERROR(__xludf.DUMMYFUNCTION("""COMPUTED_VALUE"""),"A5924015630")</f>
        <v>A5924015630</v>
      </c>
      <c r="I1005" s="17">
        <f>IFERROR(__xludf.DUMMYFUNCTION("""COMPUTED_VALUE"""),67.0)</f>
        <v>67</v>
      </c>
      <c r="J1005" s="17" t="str">
        <f>IFERROR(__xludf.DUMMYFUNCTION("""COMPUTED_VALUE"""),"&gt; 44 tahun")</f>
        <v>&gt; 44 tahun</v>
      </c>
      <c r="K1005" s="19">
        <f>IFERROR(__xludf.DUMMYFUNCTION("""COMPUTED_VALUE"""),21556.0)</f>
        <v>21556</v>
      </c>
      <c r="L1005" s="19" t="str">
        <f>IFERROR(__xludf.DUMMYFUNCTION("""COMPUTED_VALUE"""),"PEREMPUAN")</f>
        <v>PEREMPUAN</v>
      </c>
      <c r="M1005" s="16" t="str">
        <f>IFERROR(__xludf.DUMMYFUNCTION("""COMPUTED_VALUE"""),"JL. TEBU GG. LESTARI NO. 31")</f>
        <v>JL. TEBU GG. LESTARI NO. 31</v>
      </c>
      <c r="N1005" s="16" t="str">
        <f>IFERROR(__xludf.DUMMYFUNCTION("""COMPUTED_VALUE"""),"KEL. SUNGAI BELIUNG")</f>
        <v>KEL. SUNGAI BELIUNG</v>
      </c>
      <c r="O1005" s="16" t="str">
        <f>IFERROR(__xludf.DUMMYFUNCTION("""COMPUTED_VALUE"""),"KEC. PONTIANAK BARAT")</f>
        <v>KEC. PONTIANAK BARAT</v>
      </c>
      <c r="P1005" s="16" t="str">
        <f>IFERROR(__xludf.DUMMYFUNCTION("""COMPUTED_VALUE"""),"KOTA PONTIANAK")</f>
        <v>KOTA PONTIANAK</v>
      </c>
      <c r="Q1005" s="16" t="str">
        <f>IFERROR(__xludf.DUMMYFUNCTION("""COMPUTED_VALUE"""),"KALIMANTAN BARAT")</f>
        <v>KALIMANTAN BARAT</v>
      </c>
      <c r="R1005" s="19" t="str">
        <f>IFERROR(__xludf.DUMMYFUNCTION("""COMPUTED_VALUE"""),"ISLAM")</f>
        <v>ISLAM</v>
      </c>
      <c r="S1005" s="16" t="str">
        <f>IFERROR(__xludf.DUMMYFUNCTION("""COMPUTED_VALUE"""),"PENSIUN")</f>
        <v>PENSIUN</v>
      </c>
      <c r="T1005" s="16" t="str">
        <f>IFERROR(__xludf.DUMMYFUNCTION("""COMPUTED_VALUE"""),"BAHU SAMPAI TANGAN")</f>
        <v>BAHU SAMPAI TANGAN</v>
      </c>
      <c r="U1005" s="16" t="str">
        <f>IFERROR(__xludf.DUMMYFUNCTION("""COMPUTED_VALUE"""),"PEKERJAAN RUMAH")</f>
        <v>PEKERJAAN RUMAH</v>
      </c>
      <c r="V1005" s="11" t="str">
        <f>IFERROR(__xludf.DUMMYFUNCTION("""COMPUTED_VALUE"""),"08125625630")</f>
        <v>08125625630</v>
      </c>
      <c r="W1005" s="15"/>
    </row>
    <row r="1006" ht="22.5" customHeight="1">
      <c r="A1006" s="8"/>
      <c r="B1006" s="9">
        <f>IFERROR(__xludf.DUMMYFUNCTION("""COMPUTED_VALUE"""),45298.711091226854)</f>
        <v>45298.71109</v>
      </c>
      <c r="C1006" s="9"/>
      <c r="D1006" s="10">
        <f>IFERROR(__xludf.DUMMYFUNCTION("""COMPUTED_VALUE"""),45300.0)</f>
        <v>45300</v>
      </c>
      <c r="E1006" s="10" t="str">
        <f>IFERROR(__xludf.DUMMYFUNCTION("""COMPUTED_VALUE"""),"01Jan")</f>
        <v>01Jan</v>
      </c>
      <c r="F1006" s="10" t="str">
        <f>IFERROR(__xludf.DUMMYFUNCTION("""COMPUTED_VALUE"""),"2024")</f>
        <v>2024</v>
      </c>
      <c r="G1006" s="16" t="str">
        <f>IFERROR(__xludf.DUMMYFUNCTION("""COMPUTED_VALUE"""),"IKA MEIRIA DIAN SARASWATI")</f>
        <v>IKA MEIRIA DIAN SARASWATI</v>
      </c>
      <c r="H1006" s="17" t="str">
        <f>IFERROR(__xludf.DUMMYFUNCTION("""COMPUTED_VALUE"""),"I9024012210")</f>
        <v>I9024012210</v>
      </c>
      <c r="I1006" s="17">
        <f>IFERROR(__xludf.DUMMYFUNCTION("""COMPUTED_VALUE"""),36.0)</f>
        <v>36</v>
      </c>
      <c r="J1006" s="17" t="str">
        <f>IFERROR(__xludf.DUMMYFUNCTION("""COMPUTED_VALUE"""),"35-44 tahun")</f>
        <v>35-44 tahun</v>
      </c>
      <c r="K1006" s="19">
        <f>IFERROR(__xludf.DUMMYFUNCTION("""COMPUTED_VALUE"""),33006.0)</f>
        <v>33006</v>
      </c>
      <c r="L1006" s="19" t="str">
        <f>IFERROR(__xludf.DUMMYFUNCTION("""COMPUTED_VALUE"""),"PEREMPUAN")</f>
        <v>PEREMPUAN</v>
      </c>
      <c r="M1006" s="16" t="str">
        <f>IFERROR(__xludf.DUMMYFUNCTION("""COMPUTED_VALUE"""),"Jl. TANJUNG RAYA II PERUM. DELIMA MAS NO. E6")</f>
        <v>Jl. TANJUNG RAYA II PERUM. DELIMA MAS NO. E6</v>
      </c>
      <c r="N1006" s="16" t="str">
        <f>IFERROR(__xludf.DUMMYFUNCTION("""COMPUTED_VALUE"""),"KEL. SAIGON")</f>
        <v>KEL. SAIGON</v>
      </c>
      <c r="O1006" s="16" t="str">
        <f>IFERROR(__xludf.DUMMYFUNCTION("""COMPUTED_VALUE"""),"KEC. PONTIANAK TIMUR")</f>
        <v>KEC. PONTIANAK TIMUR</v>
      </c>
      <c r="P1006" s="16" t="str">
        <f>IFERROR(__xludf.DUMMYFUNCTION("""COMPUTED_VALUE"""),"KOTA PONTIANAK")</f>
        <v>KOTA PONTIANAK</v>
      </c>
      <c r="Q1006" s="16" t="str">
        <f>IFERROR(__xludf.DUMMYFUNCTION("""COMPUTED_VALUE"""),"KALIMANTAN BARAT")</f>
        <v>KALIMANTAN BARAT</v>
      </c>
      <c r="R1006" s="19" t="str">
        <f>IFERROR(__xludf.DUMMYFUNCTION("""COMPUTED_VALUE"""),"ISLAM")</f>
        <v>ISLAM</v>
      </c>
      <c r="S1006" s="16" t="str">
        <f>IFERROR(__xludf.DUMMYFUNCTION("""COMPUTED_VALUE"""),"ASN")</f>
        <v>ASN</v>
      </c>
      <c r="T1006" s="16" t="str">
        <f>IFERROR(__xludf.DUMMYFUNCTION("""COMPUTED_VALUE"""),"ANGKLE SPRAIN")</f>
        <v>ANGKLE SPRAIN</v>
      </c>
      <c r="U1006" s="16" t="str">
        <f>IFERROR(__xludf.DUMMYFUNCTION("""COMPUTED_VALUE"""),"KERJA")</f>
        <v>KERJA</v>
      </c>
      <c r="V1006" s="11" t="str">
        <f>IFERROR(__xludf.DUMMYFUNCTION("""COMPUTED_VALUE"""),"081351942210")</f>
        <v>081351942210</v>
      </c>
      <c r="W1006" s="15"/>
    </row>
    <row r="1007" ht="22.5" customHeight="1">
      <c r="A1007" s="8"/>
      <c r="B1007" s="9">
        <f>IFERROR(__xludf.DUMMYFUNCTION("""COMPUTED_VALUE"""),45299.406702858796)</f>
        <v>45299.4067</v>
      </c>
      <c r="C1007" s="9"/>
      <c r="D1007" s="10">
        <f>IFERROR(__xludf.DUMMYFUNCTION("""COMPUTED_VALUE"""),45301.0)</f>
        <v>45301</v>
      </c>
      <c r="E1007" s="10" t="str">
        <f>IFERROR(__xludf.DUMMYFUNCTION("""COMPUTED_VALUE"""),"01Jan")</f>
        <v>01Jan</v>
      </c>
      <c r="F1007" s="10" t="str">
        <f>IFERROR(__xludf.DUMMYFUNCTION("""COMPUTED_VALUE"""),"2024")</f>
        <v>2024</v>
      </c>
      <c r="G1007" s="16" t="str">
        <f>IFERROR(__xludf.DUMMYFUNCTION("""COMPUTED_VALUE"""),"CANDRA HENDI")</f>
        <v>CANDRA HENDI</v>
      </c>
      <c r="H1007" s="17" t="str">
        <f>IFERROR(__xludf.DUMMYFUNCTION("""COMPUTED_VALUE"""),"C9324018879")</f>
        <v>C9324018879</v>
      </c>
      <c r="I1007" s="17">
        <f>IFERROR(__xludf.DUMMYFUNCTION("""COMPUTED_VALUE"""),32.0)</f>
        <v>32</v>
      </c>
      <c r="J1007" s="17" t="str">
        <f>IFERROR(__xludf.DUMMYFUNCTION("""COMPUTED_VALUE"""),"25-34 tahun")</f>
        <v>25-34 tahun</v>
      </c>
      <c r="K1007" s="19">
        <f>IFERROR(__xludf.DUMMYFUNCTION("""COMPUTED_VALUE"""),34305.0)</f>
        <v>34305</v>
      </c>
      <c r="L1007" s="19" t="str">
        <f>IFERROR(__xludf.DUMMYFUNCTION("""COMPUTED_VALUE"""),"LAKI-LAKI")</f>
        <v>LAKI-LAKI</v>
      </c>
      <c r="M1007" s="16" t="str">
        <f>IFERROR(__xludf.DUMMYFUNCTION("""COMPUTED_VALUE"""),"JL. DR WAHIDIN S KOMP MITRA RAYA LESTARI")</f>
        <v>JL. DR WAHIDIN S KOMP MITRA RAYA LESTARI</v>
      </c>
      <c r="N1007" s="16" t="str">
        <f>IFERROR(__xludf.DUMMYFUNCTION("""COMPUTED_VALUE"""),"KEL. SUNGAI JAWI")</f>
        <v>KEL. SUNGAI JAWI</v>
      </c>
      <c r="O1007" s="16" t="str">
        <f>IFERROR(__xludf.DUMMYFUNCTION("""COMPUTED_VALUE"""),"KEC. PONTIANAK KOTA")</f>
        <v>KEC. PONTIANAK KOTA</v>
      </c>
      <c r="P1007" s="16" t="str">
        <f>IFERROR(__xludf.DUMMYFUNCTION("""COMPUTED_VALUE"""),"KOTA PONTIANAK")</f>
        <v>KOTA PONTIANAK</v>
      </c>
      <c r="Q1007" s="16" t="str">
        <f>IFERROR(__xludf.DUMMYFUNCTION("""COMPUTED_VALUE"""),"KALIMANTAN BARAT")</f>
        <v>KALIMANTAN BARAT</v>
      </c>
      <c r="R1007" s="19" t="str">
        <f>IFERROR(__xludf.DUMMYFUNCTION("""COMPUTED_VALUE"""),"BUDDHA")</f>
        <v>BUDDHA</v>
      </c>
      <c r="S1007" s="16" t="str">
        <f>IFERROR(__xludf.DUMMYFUNCTION("""COMPUTED_VALUE"""),"WIRASWASTA")</f>
        <v>WIRASWASTA</v>
      </c>
      <c r="T1007" s="16" t="str">
        <f>IFERROR(__xludf.DUMMYFUNCTION("""COMPUTED_VALUE"""),"SAKIT KAKI KANAN")</f>
        <v>SAKIT KAKI KANAN</v>
      </c>
      <c r="U1007" s="16" t="str">
        <f>IFERROR(__xludf.DUMMYFUNCTION("""COMPUTED_VALUE"""),"SEPEDA, JOGGING, BERENANG")</f>
        <v>SEPEDA, JOGGING, BERENANG</v>
      </c>
      <c r="V1007" s="11" t="str">
        <f>IFERROR(__xludf.DUMMYFUNCTION("""COMPUTED_VALUE"""),"087818298879")</f>
        <v>087818298879</v>
      </c>
      <c r="W1007" s="15"/>
    </row>
    <row r="1008" ht="22.5" customHeight="1">
      <c r="A1008" s="8"/>
      <c r="B1008" s="9">
        <f>IFERROR(__xludf.DUMMYFUNCTION("""COMPUTED_VALUE"""),45298.81295542824)</f>
        <v>45298.81296</v>
      </c>
      <c r="C1008" s="9"/>
      <c r="D1008" s="10">
        <f>IFERROR(__xludf.DUMMYFUNCTION("""COMPUTED_VALUE"""),45301.0)</f>
        <v>45301</v>
      </c>
      <c r="E1008" s="10" t="str">
        <f>IFERROR(__xludf.DUMMYFUNCTION("""COMPUTED_VALUE"""),"01Jan")</f>
        <v>01Jan</v>
      </c>
      <c r="F1008" s="10" t="str">
        <f>IFERROR(__xludf.DUMMYFUNCTION("""COMPUTED_VALUE"""),"2024")</f>
        <v>2024</v>
      </c>
      <c r="G1008" s="16" t="str">
        <f>IFERROR(__xludf.DUMMYFUNCTION("""COMPUTED_VALUE"""),"NELLY OCTAVIANI")</f>
        <v>NELLY OCTAVIANI</v>
      </c>
      <c r="H1008" s="17" t="str">
        <f>IFERROR(__xludf.DUMMYFUNCTION("""COMPUTED_VALUE"""),"N9224011710")</f>
        <v>N9224011710</v>
      </c>
      <c r="I1008" s="17">
        <f>IFERROR(__xludf.DUMMYFUNCTION("""COMPUTED_VALUE"""),33.0)</f>
        <v>33</v>
      </c>
      <c r="J1008" s="17" t="str">
        <f>IFERROR(__xludf.DUMMYFUNCTION("""COMPUTED_VALUE"""),"25-34 tahun")</f>
        <v>25-34 tahun</v>
      </c>
      <c r="K1008" s="19">
        <f>IFERROR(__xludf.DUMMYFUNCTION("""COMPUTED_VALUE"""),33894.0)</f>
        <v>33894</v>
      </c>
      <c r="L1008" s="19" t="str">
        <f>IFERROR(__xludf.DUMMYFUNCTION("""COMPUTED_VALUE"""),"PEREMPUAN")</f>
        <v>PEREMPUAN</v>
      </c>
      <c r="M1008" s="16" t="str">
        <f>IFERROR(__xludf.DUMMYFUNCTION("""COMPUTED_VALUE"""),"JL. PARIS 2 GG. ALHUDA NO 1")</f>
        <v>JL. PARIS 2 GG. ALHUDA NO 1</v>
      </c>
      <c r="N1008" s="16" t="str">
        <f>IFERROR(__xludf.DUMMYFUNCTION("""COMPUTED_VALUE"""),"KEL. BANGKA BELITUNG DARAT")</f>
        <v>KEL. BANGKA BELITUNG DARAT</v>
      </c>
      <c r="O1008" s="16" t="str">
        <f>IFERROR(__xludf.DUMMYFUNCTION("""COMPUTED_VALUE"""),"KEC. PONTIANAK TENGGARA")</f>
        <v>KEC. PONTIANAK TENGGARA</v>
      </c>
      <c r="P1008" s="16" t="str">
        <f>IFERROR(__xludf.DUMMYFUNCTION("""COMPUTED_VALUE"""),"KOTA PONTIANAK")</f>
        <v>KOTA PONTIANAK</v>
      </c>
      <c r="Q1008" s="16" t="str">
        <f>IFERROR(__xludf.DUMMYFUNCTION("""COMPUTED_VALUE"""),"KALIMANTAN BARAT")</f>
        <v>KALIMANTAN BARAT</v>
      </c>
      <c r="R1008" s="19" t="str">
        <f>IFERROR(__xludf.DUMMYFUNCTION("""COMPUTED_VALUE"""),"ISLAM")</f>
        <v>ISLAM</v>
      </c>
      <c r="S1008" s="16" t="str">
        <f>IFERROR(__xludf.DUMMYFUNCTION("""COMPUTED_VALUE"""),"WIRASWASTA")</f>
        <v>WIRASWASTA</v>
      </c>
      <c r="T1008" s="16" t="str">
        <f>IFERROR(__xludf.DUMMYFUNCTION("""COMPUTED_VALUE"""),"Sakit kaki kiri")</f>
        <v>Sakit kaki kiri</v>
      </c>
      <c r="U1008" s="16" t="str">
        <f>IFERROR(__xludf.DUMMYFUNCTION("""COMPUTED_VALUE"""),"IRT, MENJAHIT")</f>
        <v>IRT, MENJAHIT</v>
      </c>
      <c r="V1008" s="11" t="str">
        <f>IFERROR(__xludf.DUMMYFUNCTION("""COMPUTED_VALUE"""),"0811561710")</f>
        <v>0811561710</v>
      </c>
      <c r="W1008" s="15"/>
    </row>
    <row r="1009" ht="22.5" customHeight="1">
      <c r="A1009" s="8"/>
      <c r="B1009" s="9">
        <f>IFERROR(__xludf.DUMMYFUNCTION("""COMPUTED_VALUE"""),45299.613504270834)</f>
        <v>45299.6135</v>
      </c>
      <c r="C1009" s="9"/>
      <c r="D1009" s="10">
        <f>IFERROR(__xludf.DUMMYFUNCTION("""COMPUTED_VALUE"""),45301.0)</f>
        <v>45301</v>
      </c>
      <c r="E1009" s="10" t="str">
        <f>IFERROR(__xludf.DUMMYFUNCTION("""COMPUTED_VALUE"""),"01Jan")</f>
        <v>01Jan</v>
      </c>
      <c r="F1009" s="10" t="str">
        <f>IFERROR(__xludf.DUMMYFUNCTION("""COMPUTED_VALUE"""),"2024")</f>
        <v>2024</v>
      </c>
      <c r="G1009" s="16" t="str">
        <f>IFERROR(__xludf.DUMMYFUNCTION("""COMPUTED_VALUE"""),"DESWANTO")</f>
        <v>DESWANTO</v>
      </c>
      <c r="H1009" s="17" t="str">
        <f>IFERROR(__xludf.DUMMYFUNCTION("""COMPUTED_VALUE"""),"D9024014866")</f>
        <v>D9024014866</v>
      </c>
      <c r="I1009" s="17">
        <f>IFERROR(__xludf.DUMMYFUNCTION("""COMPUTED_VALUE"""),35.0)</f>
        <v>35</v>
      </c>
      <c r="J1009" s="17" t="str">
        <f>IFERROR(__xludf.DUMMYFUNCTION("""COMPUTED_VALUE"""),"35-44 tahun")</f>
        <v>35-44 tahun</v>
      </c>
      <c r="K1009" s="19">
        <f>IFERROR(__xludf.DUMMYFUNCTION("""COMPUTED_VALUE"""),33207.0)</f>
        <v>33207</v>
      </c>
      <c r="L1009" s="19" t="str">
        <f>IFERROR(__xludf.DUMMYFUNCTION("""COMPUTED_VALUE"""),"LAKI-LAKI")</f>
        <v>LAKI-LAKI</v>
      </c>
      <c r="M1009" s="16" t="str">
        <f>IFERROR(__xludf.DUMMYFUNCTION("""COMPUTED_VALUE"""),"KUMPAI BESAR")</f>
        <v>KUMPAI BESAR</v>
      </c>
      <c r="N1009" s="16" t="str">
        <f>IFERROR(__xludf.DUMMYFUNCTION("""COMPUTED_VALUE"""),"DS. SUNGAI AMBANGAH")</f>
        <v>DS. SUNGAI AMBANGAH</v>
      </c>
      <c r="O1009" s="16" t="str">
        <f>IFERROR(__xludf.DUMMYFUNCTION("""COMPUTED_VALUE"""),"KEC. SUNGAI RAYA")</f>
        <v>KEC. SUNGAI RAYA</v>
      </c>
      <c r="P1009" s="16" t="str">
        <f>IFERROR(__xludf.DUMMYFUNCTION("""COMPUTED_VALUE"""),"KAB. KUBU RAYA")</f>
        <v>KAB. KUBU RAYA</v>
      </c>
      <c r="Q1009" s="16" t="str">
        <f>IFERROR(__xludf.DUMMYFUNCTION("""COMPUTED_VALUE"""),"KALIMANTAN BARAT")</f>
        <v>KALIMANTAN BARAT</v>
      </c>
      <c r="R1009" s="19" t="str">
        <f>IFERROR(__xludf.DUMMYFUNCTION("""COMPUTED_VALUE"""),"KHONGHUCU")</f>
        <v>KHONGHUCU</v>
      </c>
      <c r="S1009" s="16" t="str">
        <f>IFERROR(__xludf.DUMMYFUNCTION("""COMPUTED_VALUE"""),"SWASTA")</f>
        <v>SWASTA</v>
      </c>
      <c r="T1009" s="16" t="str">
        <f>IFERROR(__xludf.DUMMYFUNCTION("""COMPUTED_VALUE"""),"Pinggang")</f>
        <v>Pinggang</v>
      </c>
      <c r="U1009" s="16" t="str">
        <f>IFERROR(__xludf.DUMMYFUNCTION("""COMPUTED_VALUE"""),"Main futsal")</f>
        <v>Main futsal</v>
      </c>
      <c r="V1009" s="11" t="str">
        <f>IFERROR(__xludf.DUMMYFUNCTION("""COMPUTED_VALUE"""),"082125374866")</f>
        <v>082125374866</v>
      </c>
      <c r="W1009" s="15"/>
    </row>
    <row r="1010" ht="22.5" customHeight="1">
      <c r="A1010" s="8"/>
      <c r="B1010" s="9">
        <f>IFERROR(__xludf.DUMMYFUNCTION("""COMPUTED_VALUE"""),45300.39214621528)</f>
        <v>45300.39215</v>
      </c>
      <c r="C1010" s="9"/>
      <c r="D1010" s="10">
        <f>IFERROR(__xludf.DUMMYFUNCTION("""COMPUTED_VALUE"""),45304.0)</f>
        <v>45304</v>
      </c>
      <c r="E1010" s="10" t="str">
        <f>IFERROR(__xludf.DUMMYFUNCTION("""COMPUTED_VALUE"""),"01Jan")</f>
        <v>01Jan</v>
      </c>
      <c r="F1010" s="10" t="str">
        <f>IFERROR(__xludf.DUMMYFUNCTION("""COMPUTED_VALUE"""),"2024")</f>
        <v>2024</v>
      </c>
      <c r="G1010" s="16" t="str">
        <f>IFERROR(__xludf.DUMMYFUNCTION("""COMPUTED_VALUE"""),"HENG KOK KWANG")</f>
        <v>HENG KOK KWANG</v>
      </c>
      <c r="H1010" s="17" t="str">
        <f>IFERROR(__xludf.DUMMYFUNCTION("""COMPUTED_VALUE"""),"H5724012044")</f>
        <v>H5724012044</v>
      </c>
      <c r="I1010" s="17">
        <f>IFERROR(__xludf.DUMMYFUNCTION("""COMPUTED_VALUE"""),69.0)</f>
        <v>69</v>
      </c>
      <c r="J1010" s="17" t="str">
        <f>IFERROR(__xludf.DUMMYFUNCTION("""COMPUTED_VALUE"""),"&gt; 44 tahun")</f>
        <v>&gt; 44 tahun</v>
      </c>
      <c r="K1010" s="19">
        <f>IFERROR(__xludf.DUMMYFUNCTION("""COMPUTED_VALUE"""),20951.0)</f>
        <v>20951</v>
      </c>
      <c r="L1010" s="19" t="str">
        <f>IFERROR(__xludf.DUMMYFUNCTION("""COMPUTED_VALUE"""),"LAKI-LAKI")</f>
        <v>LAKI-LAKI</v>
      </c>
      <c r="M1010" s="16" t="str">
        <f>IFERROR(__xludf.DUMMYFUNCTION("""COMPUTED_VALUE"""),"JL. TRUNOJOYO NO 21 D")</f>
        <v>JL. TRUNOJOYO NO 21 D</v>
      </c>
      <c r="N1010" s="16" t="str">
        <f>IFERROR(__xludf.DUMMYFUNCTION("""COMPUTED_VALUE"""),"KEL. BENUA MELAYU DARAT")</f>
        <v>KEL. BENUA MELAYU DARAT</v>
      </c>
      <c r="O1010" s="16" t="str">
        <f>IFERROR(__xludf.DUMMYFUNCTION("""COMPUTED_VALUE"""),"KEC. PONTIANAK SELATAN")</f>
        <v>KEC. PONTIANAK SELATAN</v>
      </c>
      <c r="P1010" s="16" t="str">
        <f>IFERROR(__xludf.DUMMYFUNCTION("""COMPUTED_VALUE"""),"KOTA PONTIANAK")</f>
        <v>KOTA PONTIANAK</v>
      </c>
      <c r="Q1010" s="16" t="str">
        <f>IFERROR(__xludf.DUMMYFUNCTION("""COMPUTED_VALUE"""),"KALIMANTAN BARAT")</f>
        <v>KALIMANTAN BARAT</v>
      </c>
      <c r="R1010" s="19" t="str">
        <f>IFERROR(__xludf.DUMMYFUNCTION("""COMPUTED_VALUE"""),"KHONGHUCU")</f>
        <v>KHONGHUCU</v>
      </c>
      <c r="S1010" s="16" t="str">
        <f>IFERROR(__xludf.DUMMYFUNCTION("""COMPUTED_VALUE"""),"WIRASWASTA")</f>
        <v>WIRASWASTA</v>
      </c>
      <c r="T1010" s="16" t="str">
        <f>IFERROR(__xludf.DUMMYFUNCTION("""COMPUTED_VALUE"""),"saya jalan pagi, terus kanan bagian belakangnya (ke arah paha atas) tiba2 tertarik.. Setelah itu sakit dan kesulitan berjalan")</f>
        <v>saya jalan pagi, terus kanan bagian belakangnya (ke arah paha atas) tiba2 tertarik.. Setelah itu sakit dan kesulitan berjalan</v>
      </c>
      <c r="U1010" s="16" t="str">
        <f>IFERROR(__xludf.DUMMYFUNCTION("""COMPUTED_VALUE"""),"Jogging pagi")</f>
        <v>Jogging pagi</v>
      </c>
      <c r="V1010" s="11" t="str">
        <f>IFERROR(__xludf.DUMMYFUNCTION("""COMPUTED_VALUE"""),"081299002044")</f>
        <v>081299002044</v>
      </c>
      <c r="W1010" s="15"/>
    </row>
    <row r="1011" ht="22.5" customHeight="1">
      <c r="A1011" s="8"/>
      <c r="B1011" s="9">
        <f>IFERROR(__xludf.DUMMYFUNCTION("""COMPUTED_VALUE"""),45300.54326694444)</f>
        <v>45300.54327</v>
      </c>
      <c r="C1011" s="9"/>
      <c r="D1011" s="10">
        <f>IFERROR(__xludf.DUMMYFUNCTION("""COMPUTED_VALUE"""),45304.0)</f>
        <v>45304</v>
      </c>
      <c r="E1011" s="10" t="str">
        <f>IFERROR(__xludf.DUMMYFUNCTION("""COMPUTED_VALUE"""),"01Jan")</f>
        <v>01Jan</v>
      </c>
      <c r="F1011" s="10" t="str">
        <f>IFERROR(__xludf.DUMMYFUNCTION("""COMPUTED_VALUE"""),"2024")</f>
        <v>2024</v>
      </c>
      <c r="G1011" s="16" t="str">
        <f>IFERROR(__xludf.DUMMYFUNCTION("""COMPUTED_VALUE"""),"ERWIN HARTONO")</f>
        <v>ERWIN HARTONO</v>
      </c>
      <c r="H1011" s="17" t="str">
        <f>IFERROR(__xludf.DUMMYFUNCTION("""COMPUTED_VALUE"""),"E9024018357")</f>
        <v>E9024018357</v>
      </c>
      <c r="I1011" s="17">
        <f>IFERROR(__xludf.DUMMYFUNCTION("""COMPUTED_VALUE"""),36.0)</f>
        <v>36</v>
      </c>
      <c r="J1011" s="17" t="str">
        <f>IFERROR(__xludf.DUMMYFUNCTION("""COMPUTED_VALUE"""),"35-44 tahun")</f>
        <v>35-44 tahun</v>
      </c>
      <c r="K1011" s="19">
        <f>IFERROR(__xludf.DUMMYFUNCTION("""COMPUTED_VALUE"""),32962.0)</f>
        <v>32962</v>
      </c>
      <c r="L1011" s="19" t="str">
        <f>IFERROR(__xludf.DUMMYFUNCTION("""COMPUTED_VALUE"""),"LAKI-LAKI")</f>
        <v>LAKI-LAKI</v>
      </c>
      <c r="M1011" s="16" t="str">
        <f>IFERROR(__xludf.DUMMYFUNCTION("""COMPUTED_VALUE"""),"JL PUTRI CANDRAMIDI GG SUKADAMAI NO 17B")</f>
        <v>JL PUTRI CANDRAMIDI GG SUKADAMAI NO 17B</v>
      </c>
      <c r="N1011" s="16" t="str">
        <f>IFERROR(__xludf.DUMMYFUNCTION("""COMPUTED_VALUE"""),"KEL. DARAT SEKIP")</f>
        <v>KEL. DARAT SEKIP</v>
      </c>
      <c r="O1011" s="16" t="str">
        <f>IFERROR(__xludf.DUMMYFUNCTION("""COMPUTED_VALUE"""),"KEC. PONTIANAK KOTA")</f>
        <v>KEC. PONTIANAK KOTA</v>
      </c>
      <c r="P1011" s="16" t="str">
        <f>IFERROR(__xludf.DUMMYFUNCTION("""COMPUTED_VALUE"""),"KOTA PONTIANAK")</f>
        <v>KOTA PONTIANAK</v>
      </c>
      <c r="Q1011" s="16" t="str">
        <f>IFERROR(__xludf.DUMMYFUNCTION("""COMPUTED_VALUE"""),"KALIMANTAN BARAT")</f>
        <v>KALIMANTAN BARAT</v>
      </c>
      <c r="R1011" s="19" t="str">
        <f>IFERROR(__xludf.DUMMYFUNCTION("""COMPUTED_VALUE"""),"KATOLIK")</f>
        <v>KATOLIK</v>
      </c>
      <c r="S1011" s="16" t="str">
        <f>IFERROR(__xludf.DUMMYFUNCTION("""COMPUTED_VALUE"""),"WIRASWASTA")</f>
        <v>WIRASWASTA</v>
      </c>
      <c r="T1011" s="16" t="str">
        <f>IFERROR(__xludf.DUMMYFUNCTION("""COMPUTED_VALUE"""),"Otot di belakang sakit")</f>
        <v>Otot di belakang sakit</v>
      </c>
      <c r="U1011" s="16" t="str">
        <f>IFERROR(__xludf.DUMMYFUNCTION("""COMPUTED_VALUE"""),"Sepakbola dan badminton")</f>
        <v>Sepakbola dan badminton</v>
      </c>
      <c r="V1011" s="11" t="str">
        <f>IFERROR(__xludf.DUMMYFUNCTION("""COMPUTED_VALUE"""),"081318608357")</f>
        <v>081318608357</v>
      </c>
      <c r="W1011" s="15"/>
    </row>
    <row r="1012" ht="22.5" customHeight="1">
      <c r="A1012" s="8"/>
      <c r="B1012" s="9">
        <f>IFERROR(__xludf.DUMMYFUNCTION("""COMPUTED_VALUE"""),45300.56244996528)</f>
        <v>45300.56245</v>
      </c>
      <c r="C1012" s="9"/>
      <c r="D1012" s="10">
        <f>IFERROR(__xludf.DUMMYFUNCTION("""COMPUTED_VALUE"""),45305.0)</f>
        <v>45305</v>
      </c>
      <c r="E1012" s="10" t="str">
        <f>IFERROR(__xludf.DUMMYFUNCTION("""COMPUTED_VALUE"""),"01Jan")</f>
        <v>01Jan</v>
      </c>
      <c r="F1012" s="10" t="str">
        <f>IFERROR(__xludf.DUMMYFUNCTION("""COMPUTED_VALUE"""),"2024")</f>
        <v>2024</v>
      </c>
      <c r="G1012" s="16" t="str">
        <f>IFERROR(__xludf.DUMMYFUNCTION("""COMPUTED_VALUE"""),"ADITYA PUTRA ADISHA")</f>
        <v>ADITYA PUTRA ADISHA</v>
      </c>
      <c r="H1012" s="17" t="str">
        <f>IFERROR(__xludf.DUMMYFUNCTION("""COMPUTED_VALUE"""),"A0324018077")</f>
        <v>A0324018077</v>
      </c>
      <c r="I1012" s="17">
        <f>IFERROR(__xludf.DUMMYFUNCTION("""COMPUTED_VALUE"""),22.0)</f>
        <v>22</v>
      </c>
      <c r="J1012" s="17" t="str">
        <f>IFERROR(__xludf.DUMMYFUNCTION("""COMPUTED_VALUE"""),"18-24 tahun")</f>
        <v>18-24 tahun</v>
      </c>
      <c r="K1012" s="19">
        <f>IFERROR(__xludf.DUMMYFUNCTION("""COMPUTED_VALUE"""),37812.0)</f>
        <v>37812</v>
      </c>
      <c r="L1012" s="19" t="str">
        <f>IFERROR(__xludf.DUMMYFUNCTION("""COMPUTED_VALUE"""),"LAKI-LAKI")</f>
        <v>LAKI-LAKI</v>
      </c>
      <c r="M1012" s="16" t="str">
        <f>IFERROR(__xludf.DUMMYFUNCTION("""COMPUTED_VALUE"""),"JL. DANAU SENTARUM KOMP. DANAU ASRI NO. B-6")</f>
        <v>JL. DANAU SENTARUM KOMP. DANAU ASRI NO. B-6</v>
      </c>
      <c r="N1012" s="16" t="str">
        <f>IFERROR(__xludf.DUMMYFUNCTION("""COMPUTED_VALUE"""),"KEL. SUNGAI BANGKONG")</f>
        <v>KEL. SUNGAI BANGKONG</v>
      </c>
      <c r="O1012" s="16" t="str">
        <f>IFERROR(__xludf.DUMMYFUNCTION("""COMPUTED_VALUE"""),"KEC. PONTIANAK KOTA")</f>
        <v>KEC. PONTIANAK KOTA</v>
      </c>
      <c r="P1012" s="16" t="str">
        <f>IFERROR(__xludf.DUMMYFUNCTION("""COMPUTED_VALUE"""),"KOTA PONTIANAK")</f>
        <v>KOTA PONTIANAK</v>
      </c>
      <c r="Q1012" s="16" t="str">
        <f>IFERROR(__xludf.DUMMYFUNCTION("""COMPUTED_VALUE"""),"KALIMANTAN BARAT")</f>
        <v>KALIMANTAN BARAT</v>
      </c>
      <c r="R1012" s="19" t="str">
        <f>IFERROR(__xludf.DUMMYFUNCTION("""COMPUTED_VALUE"""),"ISLAM")</f>
        <v>ISLAM</v>
      </c>
      <c r="S1012" s="16" t="str">
        <f>IFERROR(__xludf.DUMMYFUNCTION("""COMPUTED_VALUE"""),"PELAJAR/MAHASISWA")</f>
        <v>PELAJAR/MAHASISWA</v>
      </c>
      <c r="T1012" s="16" t="str">
        <f>IFERROR(__xludf.DUMMYFUNCTION("""COMPUTED_VALUE"""),"Sakit di sekitar telapak kaki, Plantar Fasciitis.")</f>
        <v>Sakit di sekitar telapak kaki, Plantar Fasciitis.</v>
      </c>
      <c r="U1012" s="16" t="str">
        <f>IFERROR(__xludf.DUMMYFUNCTION("""COMPUTED_VALUE"""),"Gym")</f>
        <v>Gym</v>
      </c>
      <c r="V1012" s="11" t="str">
        <f>IFERROR(__xludf.DUMMYFUNCTION("""COMPUTED_VALUE"""),"085346958077")</f>
        <v>085346958077</v>
      </c>
      <c r="W1012" s="15"/>
    </row>
    <row r="1013" ht="22.5" customHeight="1">
      <c r="A1013" s="8"/>
      <c r="B1013" s="9">
        <f>IFERROR(__xludf.DUMMYFUNCTION("""COMPUTED_VALUE"""),45300.675167002315)</f>
        <v>45300.67517</v>
      </c>
      <c r="C1013" s="9"/>
      <c r="D1013" s="10">
        <f>IFERROR(__xludf.DUMMYFUNCTION("""COMPUTED_VALUE"""),45305.0)</f>
        <v>45305</v>
      </c>
      <c r="E1013" s="10" t="str">
        <f>IFERROR(__xludf.DUMMYFUNCTION("""COMPUTED_VALUE"""),"01Jan")</f>
        <v>01Jan</v>
      </c>
      <c r="F1013" s="10" t="str">
        <f>IFERROR(__xludf.DUMMYFUNCTION("""COMPUTED_VALUE"""),"2024")</f>
        <v>2024</v>
      </c>
      <c r="G1013" s="16" t="str">
        <f>IFERROR(__xludf.DUMMYFUNCTION("""COMPUTED_VALUE"""),"MUHAMMAD IQFI DZULFIJAR")</f>
        <v>MUHAMMAD IQFI DZULFIJAR</v>
      </c>
      <c r="H1013" s="17" t="str">
        <f>IFERROR(__xludf.DUMMYFUNCTION("""COMPUTED_VALUE"""),"M0024014578")</f>
        <v>M0024014578</v>
      </c>
      <c r="I1013" s="17">
        <f>IFERROR(__xludf.DUMMYFUNCTION("""COMPUTED_VALUE"""),26.0)</f>
        <v>26</v>
      </c>
      <c r="J1013" s="17" t="str">
        <f>IFERROR(__xludf.DUMMYFUNCTION("""COMPUTED_VALUE"""),"25-34 tahun")</f>
        <v>25-34 tahun</v>
      </c>
      <c r="K1013" s="19">
        <f>IFERROR(__xludf.DUMMYFUNCTION("""COMPUTED_VALUE"""),36644.0)</f>
        <v>36644</v>
      </c>
      <c r="L1013" s="19" t="str">
        <f>IFERROR(__xludf.DUMMYFUNCTION("""COMPUTED_VALUE"""),"LAKI-LAKI")</f>
        <v>LAKI-LAKI</v>
      </c>
      <c r="M1013" s="16" t="str">
        <f>IFERROR(__xludf.DUMMYFUNCTION("""COMPUTED_VALUE"""),"GG.NIRBAYA 2 NO.11A")</f>
        <v>GG.NIRBAYA 2 NO.11A</v>
      </c>
      <c r="N1013" s="16" t="str">
        <f>IFERROR(__xludf.DUMMYFUNCTION("""COMPUTED_VALUE"""),"KEL. KOTA BARU")</f>
        <v>KEL. KOTA BARU</v>
      </c>
      <c r="O1013" s="16" t="str">
        <f>IFERROR(__xludf.DUMMYFUNCTION("""COMPUTED_VALUE"""),"KEC. PONTIANAK SELATAN")</f>
        <v>KEC. PONTIANAK SELATAN</v>
      </c>
      <c r="P1013" s="16" t="str">
        <f>IFERROR(__xludf.DUMMYFUNCTION("""COMPUTED_VALUE"""),"KOTA PONTIANAK")</f>
        <v>KOTA PONTIANAK</v>
      </c>
      <c r="Q1013" s="16" t="str">
        <f>IFERROR(__xludf.DUMMYFUNCTION("""COMPUTED_VALUE"""),"KALIMANTAN BARAT")</f>
        <v>KALIMANTAN BARAT</v>
      </c>
      <c r="R1013" s="19" t="str">
        <f>IFERROR(__xludf.DUMMYFUNCTION("""COMPUTED_VALUE"""),"ISLAM")</f>
        <v>ISLAM</v>
      </c>
      <c r="S1013" s="16" t="str">
        <f>IFERROR(__xludf.DUMMYFUNCTION("""COMPUTED_VALUE"""),"TIDAK ADA")</f>
        <v>TIDAK ADA</v>
      </c>
      <c r="T1013" s="16" t="str">
        <f>IFERROR(__xludf.DUMMYFUNCTION("""COMPUTED_VALUE"""),"Cidera")</f>
        <v>Cidera</v>
      </c>
      <c r="U1013" s="16" t="str">
        <f>IFERROR(__xludf.DUMMYFUNCTION("""COMPUTED_VALUE"""),"Futsal")</f>
        <v>Futsal</v>
      </c>
      <c r="V1013" s="11" t="str">
        <f>IFERROR(__xludf.DUMMYFUNCTION("""COMPUTED_VALUE"""),"082397004578")</f>
        <v>082397004578</v>
      </c>
      <c r="W1013" s="15"/>
    </row>
    <row r="1014" ht="22.5" customHeight="1">
      <c r="A1014" s="8"/>
      <c r="B1014" s="9">
        <f>IFERROR(__xludf.DUMMYFUNCTION("""COMPUTED_VALUE"""),45288.562271296294)</f>
        <v>45288.56227</v>
      </c>
      <c r="C1014" s="9"/>
      <c r="D1014" s="10">
        <f>IFERROR(__xludf.DUMMYFUNCTION("""COMPUTED_VALUE"""),45305.0)</f>
        <v>45305</v>
      </c>
      <c r="E1014" s="10" t="str">
        <f>IFERROR(__xludf.DUMMYFUNCTION("""COMPUTED_VALUE"""),"01Jan")</f>
        <v>01Jan</v>
      </c>
      <c r="F1014" s="10" t="str">
        <f>IFERROR(__xludf.DUMMYFUNCTION("""COMPUTED_VALUE"""),"2024")</f>
        <v>2024</v>
      </c>
      <c r="G1014" s="16" t="str">
        <f>IFERROR(__xludf.DUMMYFUNCTION("""COMPUTED_VALUE"""),"AZIZAH")</f>
        <v>AZIZAH</v>
      </c>
      <c r="H1014" s="17" t="str">
        <f>IFERROR(__xludf.DUMMYFUNCTION("""COMPUTED_VALUE"""),"A8124016000")</f>
        <v>A8124016000</v>
      </c>
      <c r="I1014" s="17">
        <f>IFERROR(__xludf.DUMMYFUNCTION("""COMPUTED_VALUE"""),44.0)</f>
        <v>44</v>
      </c>
      <c r="J1014" s="17" t="str">
        <f>IFERROR(__xludf.DUMMYFUNCTION("""COMPUTED_VALUE"""),"35-44 tahun")</f>
        <v>35-44 tahun</v>
      </c>
      <c r="K1014" s="19">
        <f>IFERROR(__xludf.DUMMYFUNCTION("""COMPUTED_VALUE"""),29883.0)</f>
        <v>29883</v>
      </c>
      <c r="L1014" s="19" t="str">
        <f>IFERROR(__xludf.DUMMYFUNCTION("""COMPUTED_VALUE"""),"PEREMPUAN")</f>
        <v>PEREMPUAN</v>
      </c>
      <c r="M1014" s="16" t="str">
        <f>IFERROR(__xludf.DUMMYFUNCTION("""COMPUTED_VALUE"""),"JL. IMAM BONJOL GG RAMADHAN")</f>
        <v>JL. IMAM BONJOL GG RAMADHAN</v>
      </c>
      <c r="N1014" s="16" t="str">
        <f>IFERROR(__xludf.DUMMYFUNCTION("""COMPUTED_VALUE"""),"KEL. BANSIR LAUT")</f>
        <v>KEL. BANSIR LAUT</v>
      </c>
      <c r="O1014" s="16" t="str">
        <f>IFERROR(__xludf.DUMMYFUNCTION("""COMPUTED_VALUE"""),"KEC. PONTIANAK TENGGARA")</f>
        <v>KEC. PONTIANAK TENGGARA</v>
      </c>
      <c r="P1014" s="16" t="str">
        <f>IFERROR(__xludf.DUMMYFUNCTION("""COMPUTED_VALUE"""),"KOTA PONTIANAK")</f>
        <v>KOTA PONTIANAK</v>
      </c>
      <c r="Q1014" s="16" t="str">
        <f>IFERROR(__xludf.DUMMYFUNCTION("""COMPUTED_VALUE"""),"KALIMANTAN BARAT")</f>
        <v>KALIMANTAN BARAT</v>
      </c>
      <c r="R1014" s="19" t="str">
        <f>IFERROR(__xludf.DUMMYFUNCTION("""COMPUTED_VALUE"""),"ISLAM")</f>
        <v>ISLAM</v>
      </c>
      <c r="S1014" s="16" t="str">
        <f>IFERROR(__xludf.DUMMYFUNCTION("""COMPUTED_VALUE"""),"RUMAH TANGGA")</f>
        <v>RUMAH TANGGA</v>
      </c>
      <c r="T1014" s="16" t="str">
        <f>IFERROR(__xludf.DUMMYFUNCTION("""COMPUTED_VALUE"""),"Kaki kiri sakit saat diluruskan")</f>
        <v>Kaki kiri sakit saat diluruskan</v>
      </c>
      <c r="U1014" s="16" t="str">
        <f>IFERROR(__xludf.DUMMYFUNCTION("""COMPUTED_VALUE"""),"Memasak")</f>
        <v>Memasak</v>
      </c>
      <c r="V1014" s="11" t="str">
        <f>IFERROR(__xludf.DUMMYFUNCTION("""COMPUTED_VALUE"""),"081345916000")</f>
        <v>081345916000</v>
      </c>
      <c r="W1014" s="15"/>
    </row>
    <row r="1015" ht="22.5" customHeight="1">
      <c r="A1015" s="8"/>
      <c r="B1015" s="9">
        <f>IFERROR(__xludf.DUMMYFUNCTION("""COMPUTED_VALUE"""),45301.44083535879)</f>
        <v>45301.44084</v>
      </c>
      <c r="C1015" s="9"/>
      <c r="D1015" s="10">
        <f>IFERROR(__xludf.DUMMYFUNCTION("""COMPUTED_VALUE"""),45305.0)</f>
        <v>45305</v>
      </c>
      <c r="E1015" s="10" t="str">
        <f>IFERROR(__xludf.DUMMYFUNCTION("""COMPUTED_VALUE"""),"01Jan")</f>
        <v>01Jan</v>
      </c>
      <c r="F1015" s="10" t="str">
        <f>IFERROR(__xludf.DUMMYFUNCTION("""COMPUTED_VALUE"""),"2024")</f>
        <v>2024</v>
      </c>
      <c r="G1015" s="16" t="str">
        <f>IFERROR(__xludf.DUMMYFUNCTION("""COMPUTED_VALUE"""),"ALTA ALDIANUS")</f>
        <v>ALTA ALDIANUS</v>
      </c>
      <c r="H1015" s="17" t="str">
        <f>IFERROR(__xludf.DUMMYFUNCTION("""COMPUTED_VALUE"""),"A0224019231")</f>
        <v>A0224019231</v>
      </c>
      <c r="I1015" s="17">
        <f>IFERROR(__xludf.DUMMYFUNCTION("""COMPUTED_VALUE"""),24.0)</f>
        <v>24</v>
      </c>
      <c r="J1015" s="17" t="str">
        <f>IFERROR(__xludf.DUMMYFUNCTION("""COMPUTED_VALUE"""),"18-24 tahun")</f>
        <v>18-24 tahun</v>
      </c>
      <c r="K1015" s="19">
        <f>IFERROR(__xludf.DUMMYFUNCTION("""COMPUTED_VALUE"""),37318.0)</f>
        <v>37318</v>
      </c>
      <c r="L1015" s="19" t="str">
        <f>IFERROR(__xludf.DUMMYFUNCTION("""COMPUTED_VALUE"""),"LAKI-LAKI")</f>
        <v>LAKI-LAKI</v>
      </c>
      <c r="M1015" s="16" t="str">
        <f>IFERROR(__xludf.DUMMYFUNCTION("""COMPUTED_VALUE"""),"DUSUN BATU BUIL")</f>
        <v>DUSUN BATU BUIL</v>
      </c>
      <c r="N1015" s="16" t="str">
        <f>IFERROR(__xludf.DUMMYFUNCTION("""COMPUTED_VALUE"""),"KEL. BATU BUIL")</f>
        <v>KEL. BATU BUIL</v>
      </c>
      <c r="O1015" s="16" t="str">
        <f>IFERROR(__xludf.DUMMYFUNCTION("""COMPUTED_VALUE"""),"KEC. BELIMBING")</f>
        <v>KEC. BELIMBING</v>
      </c>
      <c r="P1015" s="16" t="str">
        <f>IFERROR(__xludf.DUMMYFUNCTION("""COMPUTED_VALUE"""),"KAB. MELAWI")</f>
        <v>KAB. MELAWI</v>
      </c>
      <c r="Q1015" s="16" t="str">
        <f>IFERROR(__xludf.DUMMYFUNCTION("""COMPUTED_VALUE"""),"KALIMANTAN BARAT")</f>
        <v>KALIMANTAN BARAT</v>
      </c>
      <c r="R1015" s="19" t="str">
        <f>IFERROR(__xludf.DUMMYFUNCTION("""COMPUTED_VALUE"""),"PROTESTAN")</f>
        <v>PROTESTAN</v>
      </c>
      <c r="S1015" s="16" t="str">
        <f>IFERROR(__xludf.DUMMYFUNCTION("""COMPUTED_VALUE"""),"SWASTA")</f>
        <v>SWASTA</v>
      </c>
      <c r="T1015" s="16" t="str">
        <f>IFERROR(__xludf.DUMMYFUNCTION("""COMPUTED_VALUE"""),"Cedera angkel/jempol kaki")</f>
        <v>Cedera angkel/jempol kaki</v>
      </c>
      <c r="U1015" s="16" t="str">
        <f>IFERROR(__xludf.DUMMYFUNCTION("""COMPUTED_VALUE"""),"Sepakbola")</f>
        <v>Sepakbola</v>
      </c>
      <c r="V1015" s="11" t="str">
        <f>IFERROR(__xludf.DUMMYFUNCTION("""COMPUTED_VALUE"""),"085245779231")</f>
        <v>085245779231</v>
      </c>
      <c r="W1015" s="15"/>
    </row>
    <row r="1016" ht="22.5" customHeight="1">
      <c r="A1016" s="8"/>
      <c r="B1016" s="9">
        <f>IFERROR(__xludf.DUMMYFUNCTION("""COMPUTED_VALUE"""),45297.563008530095)</f>
        <v>45297.56301</v>
      </c>
      <c r="C1016" s="9"/>
      <c r="D1016" s="10">
        <f>IFERROR(__xludf.DUMMYFUNCTION("""COMPUTED_VALUE"""),45306.0)</f>
        <v>45306</v>
      </c>
      <c r="E1016" s="10" t="str">
        <f>IFERROR(__xludf.DUMMYFUNCTION("""COMPUTED_VALUE"""),"01Jan")</f>
        <v>01Jan</v>
      </c>
      <c r="F1016" s="10" t="str">
        <f>IFERROR(__xludf.DUMMYFUNCTION("""COMPUTED_VALUE"""),"2024")</f>
        <v>2024</v>
      </c>
      <c r="G1016" s="16" t="str">
        <f>IFERROR(__xludf.DUMMYFUNCTION("""COMPUTED_VALUE"""),"MARIA MAISA ANJELA")</f>
        <v>MARIA MAISA ANJELA</v>
      </c>
      <c r="H1016" s="17" t="str">
        <f>IFERROR(__xludf.DUMMYFUNCTION("""COMPUTED_VALUE"""),"M0324015120")</f>
        <v>M0324015120</v>
      </c>
      <c r="I1016" s="17">
        <f>IFERROR(__xludf.DUMMYFUNCTION("""COMPUTED_VALUE"""),23.0)</f>
        <v>23</v>
      </c>
      <c r="J1016" s="17" t="str">
        <f>IFERROR(__xludf.DUMMYFUNCTION("""COMPUTED_VALUE"""),"18-24 tahun")</f>
        <v>18-24 tahun</v>
      </c>
      <c r="K1016" s="19">
        <f>IFERROR(__xludf.DUMMYFUNCTION("""COMPUTED_VALUE"""),37771.0)</f>
        <v>37771</v>
      </c>
      <c r="L1016" s="19" t="str">
        <f>IFERROR(__xludf.DUMMYFUNCTION("""COMPUTED_VALUE"""),"PEREMPUAN")</f>
        <v>PEREMPUAN</v>
      </c>
      <c r="M1016" s="16" t="str">
        <f>IFERROR(__xludf.DUMMYFUNCTION("""COMPUTED_VALUE"""),"SEI KEROSIK")</f>
        <v>SEI KEROSIK</v>
      </c>
      <c r="N1016" s="16" t="str">
        <f>IFERROR(__xludf.DUMMYFUNCTION("""COMPUTED_VALUE"""),"DS. TANAP")</f>
        <v>DS. TANAP</v>
      </c>
      <c r="O1016" s="16" t="str">
        <f>IFERROR(__xludf.DUMMYFUNCTION("""COMPUTED_VALUE"""),"KEC. KEMBAYAN")</f>
        <v>KEC. KEMBAYAN</v>
      </c>
      <c r="P1016" s="16" t="str">
        <f>IFERROR(__xludf.DUMMYFUNCTION("""COMPUTED_VALUE"""),"KAB. SANGGAU")</f>
        <v>KAB. SANGGAU</v>
      </c>
      <c r="Q1016" s="16" t="str">
        <f>IFERROR(__xludf.DUMMYFUNCTION("""COMPUTED_VALUE"""),"KALIMANTAN BARAT")</f>
        <v>KALIMANTAN BARAT</v>
      </c>
      <c r="R1016" s="19" t="str">
        <f>IFERROR(__xludf.DUMMYFUNCTION("""COMPUTED_VALUE"""),"KATOLIK")</f>
        <v>KATOLIK</v>
      </c>
      <c r="S1016" s="16" t="str">
        <f>IFERROR(__xludf.DUMMYFUNCTION("""COMPUTED_VALUE"""),"PELAJAR/MAHASISWA")</f>
        <v>PELAJAR/MAHASISWA</v>
      </c>
      <c r="T1016" s="16" t="str">
        <f>IFERROR(__xludf.DUMMYFUNCTION("""COMPUTED_VALUE"""),"Scoliosis")</f>
        <v>Scoliosis</v>
      </c>
      <c r="U1016" s="16" t="str">
        <f>IFERROR(__xludf.DUMMYFUNCTION("""COMPUTED_VALUE"""),"Full kuliah")</f>
        <v>Full kuliah</v>
      </c>
      <c r="V1016" s="11" t="str">
        <f>IFERROR(__xludf.DUMMYFUNCTION("""COMPUTED_VALUE"""),"081347175120")</f>
        <v>081347175120</v>
      </c>
      <c r="W1016" s="15"/>
    </row>
    <row r="1017" ht="22.5" customHeight="1">
      <c r="A1017" s="8"/>
      <c r="B1017" s="9">
        <f>IFERROR(__xludf.DUMMYFUNCTION("""COMPUTED_VALUE"""),45301.58860564815)</f>
        <v>45301.58861</v>
      </c>
      <c r="C1017" s="9"/>
      <c r="D1017" s="10">
        <f>IFERROR(__xludf.DUMMYFUNCTION("""COMPUTED_VALUE"""),45306.0)</f>
        <v>45306</v>
      </c>
      <c r="E1017" s="10" t="str">
        <f>IFERROR(__xludf.DUMMYFUNCTION("""COMPUTED_VALUE"""),"01Jan")</f>
        <v>01Jan</v>
      </c>
      <c r="F1017" s="10" t="str">
        <f>IFERROR(__xludf.DUMMYFUNCTION("""COMPUTED_VALUE"""),"2024")</f>
        <v>2024</v>
      </c>
      <c r="G1017" s="16" t="str">
        <f>IFERROR(__xludf.DUMMYFUNCTION("""COMPUTED_VALUE"""),"ELFARDA AHLAN SY'AR ADHABY")</f>
        <v>ELFARDA AHLAN SY'AR ADHABY</v>
      </c>
      <c r="H1017" s="17" t="str">
        <f>IFERROR(__xludf.DUMMYFUNCTION("""COMPUTED_VALUE"""),"E0324013662")</f>
        <v>E0324013662</v>
      </c>
      <c r="I1017" s="17">
        <f>IFERROR(__xludf.DUMMYFUNCTION("""COMPUTED_VALUE"""),23.0)</f>
        <v>23</v>
      </c>
      <c r="J1017" s="17" t="str">
        <f>IFERROR(__xludf.DUMMYFUNCTION("""COMPUTED_VALUE"""),"18-24 tahun")</f>
        <v>18-24 tahun</v>
      </c>
      <c r="K1017" s="19">
        <f>IFERROR(__xludf.DUMMYFUNCTION("""COMPUTED_VALUE"""),37665.0)</f>
        <v>37665</v>
      </c>
      <c r="L1017" s="19" t="str">
        <f>IFERROR(__xludf.DUMMYFUNCTION("""COMPUTED_VALUE"""),"LAKI-LAKI")</f>
        <v>LAKI-LAKI</v>
      </c>
      <c r="M1017" s="16" t="str">
        <f>IFERROR(__xludf.DUMMYFUNCTION("""COMPUTED_VALUE"""),"JALAN ILHAM KOMPEK ILHAM PERMAI BLOK. A NO.8")</f>
        <v>JALAN ILHAM KOMPEK ILHAM PERMAI BLOK. A NO.8</v>
      </c>
      <c r="N1017" s="16" t="str">
        <f>IFERROR(__xludf.DUMMYFUNCTION("""COMPUTED_VALUE"""),"KEL. SUNGAI BANGKONG")</f>
        <v>KEL. SUNGAI BANGKONG</v>
      </c>
      <c r="O1017" s="16" t="str">
        <f>IFERROR(__xludf.DUMMYFUNCTION("""COMPUTED_VALUE"""),"KEC. PONTIANAK KOTA")</f>
        <v>KEC. PONTIANAK KOTA</v>
      </c>
      <c r="P1017" s="16" t="str">
        <f>IFERROR(__xludf.DUMMYFUNCTION("""COMPUTED_VALUE"""),"KOTA PONTIANAK")</f>
        <v>KOTA PONTIANAK</v>
      </c>
      <c r="Q1017" s="16" t="str">
        <f>IFERROR(__xludf.DUMMYFUNCTION("""COMPUTED_VALUE"""),"KALIMANTAN BARAT")</f>
        <v>KALIMANTAN BARAT</v>
      </c>
      <c r="R1017" s="19" t="str">
        <f>IFERROR(__xludf.DUMMYFUNCTION("""COMPUTED_VALUE"""),"ISLAM")</f>
        <v>ISLAM</v>
      </c>
      <c r="S1017" s="16" t="str">
        <f>IFERROR(__xludf.DUMMYFUNCTION("""COMPUTED_VALUE"""),"TNI/POLRI")</f>
        <v>TNI/POLRI</v>
      </c>
      <c r="T1017" s="16" t="str">
        <f>IFERROR(__xludf.DUMMYFUNCTION("""COMPUTED_VALUE"""),"nyeri pinggang")</f>
        <v>nyeri pinggang</v>
      </c>
      <c r="U1017" s="16" t="str">
        <f>IFERROR(__xludf.DUMMYFUNCTION("""COMPUTED_VALUE"""),"futsal")</f>
        <v>futsal</v>
      </c>
      <c r="V1017" s="11" t="str">
        <f>IFERROR(__xludf.DUMMYFUNCTION("""COMPUTED_VALUE"""),"085388403662")</f>
        <v>085388403662</v>
      </c>
      <c r="W1017" s="15"/>
    </row>
    <row r="1018" ht="22.5" customHeight="1">
      <c r="A1018" s="8"/>
      <c r="B1018" s="9">
        <f>IFERROR(__xludf.DUMMYFUNCTION("""COMPUTED_VALUE"""),45304.48564699074)</f>
        <v>45304.48565</v>
      </c>
      <c r="C1018" s="9"/>
      <c r="D1018" s="10">
        <f>IFERROR(__xludf.DUMMYFUNCTION("""COMPUTED_VALUE"""),45306.0)</f>
        <v>45306</v>
      </c>
      <c r="E1018" s="10" t="str">
        <f>IFERROR(__xludf.DUMMYFUNCTION("""COMPUTED_VALUE"""),"01Jan")</f>
        <v>01Jan</v>
      </c>
      <c r="F1018" s="10" t="str">
        <f>IFERROR(__xludf.DUMMYFUNCTION("""COMPUTED_VALUE"""),"2024")</f>
        <v>2024</v>
      </c>
      <c r="G1018" s="16" t="str">
        <f>IFERROR(__xludf.DUMMYFUNCTION("""COMPUTED_VALUE"""),"ZARMAN")</f>
        <v>ZARMAN</v>
      </c>
      <c r="H1018" s="17" t="str">
        <f>IFERROR(__xludf.DUMMYFUNCTION("""COMPUTED_VALUE"""),"Z7024010115")</f>
        <v>Z7024010115</v>
      </c>
      <c r="I1018" s="17">
        <f>IFERROR(__xludf.DUMMYFUNCTION("""COMPUTED_VALUE"""),56.0)</f>
        <v>56</v>
      </c>
      <c r="J1018" s="17" t="str">
        <f>IFERROR(__xludf.DUMMYFUNCTION("""COMPUTED_VALUE"""),"&gt; 44 tahun")</f>
        <v>&gt; 44 tahun</v>
      </c>
      <c r="K1018" s="19">
        <f>IFERROR(__xludf.DUMMYFUNCTION("""COMPUTED_VALUE"""),25600.0)</f>
        <v>25600</v>
      </c>
      <c r="L1018" s="19" t="str">
        <f>IFERROR(__xludf.DUMMYFUNCTION("""COMPUTED_VALUE"""),"LAKI-LAKI")</f>
        <v>LAKI-LAKI</v>
      </c>
      <c r="M1018" s="16" t="str">
        <f>IFERROR(__xludf.DUMMYFUNCTION("""COMPUTED_VALUE"""),"KEMBAYAN")</f>
        <v>KEMBAYAN</v>
      </c>
      <c r="N1018" s="16" t="str">
        <f>IFERROR(__xludf.DUMMYFUNCTION("""COMPUTED_VALUE"""),"DS. KEMBAYAN")</f>
        <v>DS. KEMBAYAN</v>
      </c>
      <c r="O1018" s="16" t="str">
        <f>IFERROR(__xludf.DUMMYFUNCTION("""COMPUTED_VALUE"""),"KEC. KEMBAYAN")</f>
        <v>KEC. KEMBAYAN</v>
      </c>
      <c r="P1018" s="16" t="str">
        <f>IFERROR(__xludf.DUMMYFUNCTION("""COMPUTED_VALUE"""),"KAB. SANGGAU")</f>
        <v>KAB. SANGGAU</v>
      </c>
      <c r="Q1018" s="16" t="str">
        <f>IFERROR(__xludf.DUMMYFUNCTION("""COMPUTED_VALUE"""),"KALIMANTAN BARAT")</f>
        <v>KALIMANTAN BARAT</v>
      </c>
      <c r="R1018" s="19" t="str">
        <f>IFERROR(__xludf.DUMMYFUNCTION("""COMPUTED_VALUE"""),"ISLAM")</f>
        <v>ISLAM</v>
      </c>
      <c r="S1018" s="16" t="str">
        <f>IFERROR(__xludf.DUMMYFUNCTION("""COMPUTED_VALUE"""),"SWASTA")</f>
        <v>SWASTA</v>
      </c>
      <c r="T1018" s="16" t="str">
        <f>IFERROR(__xludf.DUMMYFUNCTION("""COMPUTED_VALUE"""),"Pinggang")</f>
        <v>Pinggang</v>
      </c>
      <c r="U1018" s="16" t="str">
        <f>IFERROR(__xludf.DUMMYFUNCTION("""COMPUTED_VALUE"""),"Kerja")</f>
        <v>Kerja</v>
      </c>
      <c r="V1018" s="11" t="str">
        <f>IFERROR(__xludf.DUMMYFUNCTION("""COMPUTED_VALUE"""),"082137290115")</f>
        <v>082137290115</v>
      </c>
      <c r="W1018" s="15"/>
    </row>
    <row r="1019" ht="22.5" customHeight="1">
      <c r="A1019" s="8"/>
      <c r="B1019" s="9">
        <f>IFERROR(__xludf.DUMMYFUNCTION("""COMPUTED_VALUE"""),45304.5120193287)</f>
        <v>45304.51202</v>
      </c>
      <c r="C1019" s="9"/>
      <c r="D1019" s="10">
        <f>IFERROR(__xludf.DUMMYFUNCTION("""COMPUTED_VALUE"""),45307.0)</f>
        <v>45307</v>
      </c>
      <c r="E1019" s="10" t="str">
        <f>IFERROR(__xludf.DUMMYFUNCTION("""COMPUTED_VALUE"""),"01Jan")</f>
        <v>01Jan</v>
      </c>
      <c r="F1019" s="10" t="str">
        <f>IFERROR(__xludf.DUMMYFUNCTION("""COMPUTED_VALUE"""),"2024")</f>
        <v>2024</v>
      </c>
      <c r="G1019" s="16" t="str">
        <f>IFERROR(__xludf.DUMMYFUNCTION("""COMPUTED_VALUE"""),"NASRANI BARU")</f>
        <v>NASRANI BARU</v>
      </c>
      <c r="H1019" s="17" t="str">
        <f>IFERROR(__xludf.DUMMYFUNCTION("""COMPUTED_VALUE"""),"N8724012132")</f>
        <v>N8724012132</v>
      </c>
      <c r="I1019" s="17">
        <f>IFERROR(__xludf.DUMMYFUNCTION("""COMPUTED_VALUE"""),38.0)</f>
        <v>38</v>
      </c>
      <c r="J1019" s="17" t="str">
        <f>IFERROR(__xludf.DUMMYFUNCTION("""COMPUTED_VALUE"""),"35-44 tahun")</f>
        <v>35-44 tahun</v>
      </c>
      <c r="K1019" s="19">
        <f>IFERROR(__xludf.DUMMYFUNCTION("""COMPUTED_VALUE"""),32104.0)</f>
        <v>32104</v>
      </c>
      <c r="L1019" s="19" t="str">
        <f>IFERROR(__xludf.DUMMYFUNCTION("""COMPUTED_VALUE"""),"PEREMPUAN")</f>
        <v>PEREMPUAN</v>
      </c>
      <c r="M1019" s="16" t="str">
        <f>IFERROR(__xludf.DUMMYFUNCTION("""COMPUTED_VALUE"""),"JLN DANAU SENTARUM GG WONOSOBO PERUMAHAN ANUGERAH INDAH 3 BLOK C 23")</f>
        <v>JLN DANAU SENTARUM GG WONOSOBO PERUMAHAN ANUGERAH INDAH 3 BLOK C 23</v>
      </c>
      <c r="N1019" s="16" t="str">
        <f>IFERROR(__xludf.DUMMYFUNCTION("""COMPUTED_VALUE"""),"KEL. SUNGAI BANGKONG")</f>
        <v>KEL. SUNGAI BANGKONG</v>
      </c>
      <c r="O1019" s="16" t="str">
        <f>IFERROR(__xludf.DUMMYFUNCTION("""COMPUTED_VALUE"""),"KEC. PONTIANAK KOTA")</f>
        <v>KEC. PONTIANAK KOTA</v>
      </c>
      <c r="P1019" s="16" t="str">
        <f>IFERROR(__xludf.DUMMYFUNCTION("""COMPUTED_VALUE"""),"KOTA PONTIANAK")</f>
        <v>KOTA PONTIANAK</v>
      </c>
      <c r="Q1019" s="16" t="str">
        <f>IFERROR(__xludf.DUMMYFUNCTION("""COMPUTED_VALUE"""),"KALIMANTAN BARAT")</f>
        <v>KALIMANTAN BARAT</v>
      </c>
      <c r="R1019" s="19" t="str">
        <f>IFERROR(__xludf.DUMMYFUNCTION("""COMPUTED_VALUE"""),"BUDDHA")</f>
        <v>BUDDHA</v>
      </c>
      <c r="S1019" s="16" t="str">
        <f>IFERROR(__xludf.DUMMYFUNCTION("""COMPUTED_VALUE"""),"RUMAH TANGGA")</f>
        <v>RUMAH TANGGA</v>
      </c>
      <c r="T1019" s="16" t="str">
        <f>IFERROR(__xludf.DUMMYFUNCTION("""COMPUTED_VALUE"""),"Sakit")</f>
        <v>Sakit</v>
      </c>
      <c r="U1019" s="16" t="str">
        <f>IFERROR(__xludf.DUMMYFUNCTION("""COMPUTED_VALUE"""),"Memasak")</f>
        <v>Memasak</v>
      </c>
      <c r="V1019" s="11" t="str">
        <f>IFERROR(__xludf.DUMMYFUNCTION("""COMPUTED_VALUE"""),"082351462132")</f>
        <v>082351462132</v>
      </c>
      <c r="W1019" s="15"/>
    </row>
    <row r="1020" ht="22.5" customHeight="1">
      <c r="A1020" s="8"/>
      <c r="B1020" s="9">
        <f>IFERROR(__xludf.DUMMYFUNCTION("""COMPUTED_VALUE"""),45304.53446810185)</f>
        <v>45304.53447</v>
      </c>
      <c r="C1020" s="9"/>
      <c r="D1020" s="10">
        <f>IFERROR(__xludf.DUMMYFUNCTION("""COMPUTED_VALUE"""),45307.0)</f>
        <v>45307</v>
      </c>
      <c r="E1020" s="10" t="str">
        <f>IFERROR(__xludf.DUMMYFUNCTION("""COMPUTED_VALUE"""),"01Jan")</f>
        <v>01Jan</v>
      </c>
      <c r="F1020" s="10" t="str">
        <f>IFERROR(__xludf.DUMMYFUNCTION("""COMPUTED_VALUE"""),"2024")</f>
        <v>2024</v>
      </c>
      <c r="G1020" s="16" t="str">
        <f>IFERROR(__xludf.DUMMYFUNCTION("""COMPUTED_VALUE"""),"INDRA GUNAWAN")</f>
        <v>INDRA GUNAWAN</v>
      </c>
      <c r="H1020" s="17" t="str">
        <f>IFERROR(__xludf.DUMMYFUNCTION("""COMPUTED_VALUE"""),"I9324012385")</f>
        <v>I9324012385</v>
      </c>
      <c r="I1020" s="17">
        <f>IFERROR(__xludf.DUMMYFUNCTION("""COMPUTED_VALUE"""),32.0)</f>
        <v>32</v>
      </c>
      <c r="J1020" s="17" t="str">
        <f>IFERROR(__xludf.DUMMYFUNCTION("""COMPUTED_VALUE"""),"25-34 tahun")</f>
        <v>25-34 tahun</v>
      </c>
      <c r="K1020" s="19">
        <f>IFERROR(__xludf.DUMMYFUNCTION("""COMPUTED_VALUE"""),34296.0)</f>
        <v>34296</v>
      </c>
      <c r="L1020" s="19" t="str">
        <f>IFERROR(__xludf.DUMMYFUNCTION("""COMPUTED_VALUE"""),"LAKI-LAKI")</f>
        <v>LAKI-LAKI</v>
      </c>
      <c r="M1020" s="16" t="str">
        <f>IFERROR(__xludf.DUMMYFUNCTION("""COMPUTED_VALUE"""),"DUSUN KERAMAT L")</f>
        <v>DUSUN KERAMAT L</v>
      </c>
      <c r="N1020" s="16" t="str">
        <f>IFERROR(__xludf.DUMMYFUNCTION("""COMPUTED_VALUE"""),"DS. KUALA DUA")</f>
        <v>DS. KUALA DUA</v>
      </c>
      <c r="O1020" s="16" t="str">
        <f>IFERROR(__xludf.DUMMYFUNCTION("""COMPUTED_VALUE"""),"KEC. SUNGAI RAYA")</f>
        <v>KEC. SUNGAI RAYA</v>
      </c>
      <c r="P1020" s="16" t="str">
        <f>IFERROR(__xludf.DUMMYFUNCTION("""COMPUTED_VALUE"""),"KAB. KUBU RAYA")</f>
        <v>KAB. KUBU RAYA</v>
      </c>
      <c r="Q1020" s="16" t="str">
        <f>IFERROR(__xludf.DUMMYFUNCTION("""COMPUTED_VALUE"""),"KALIMANTAN BARAT")</f>
        <v>KALIMANTAN BARAT</v>
      </c>
      <c r="R1020" s="19" t="str">
        <f>IFERROR(__xludf.DUMMYFUNCTION("""COMPUTED_VALUE"""),"ISLAM")</f>
        <v>ISLAM</v>
      </c>
      <c r="S1020" s="16" t="str">
        <f>IFERROR(__xludf.DUMMYFUNCTION("""COMPUTED_VALUE"""),"BURUH")</f>
        <v>BURUH</v>
      </c>
      <c r="T1020" s="16" t="str">
        <f>IFERROR(__xludf.DUMMYFUNCTION("""COMPUTED_VALUE"""),"Sakit pinggang &amp; punggung atas")</f>
        <v>Sakit pinggang &amp; punggung atas</v>
      </c>
      <c r="U1020" s="16" t="str">
        <f>IFERROR(__xludf.DUMMYFUNCTION("""COMPUTED_VALUE"""),"Badminton tpi sdh off lama krna sakit pinggang. Sehari² kseringan bermotor krna dagang")</f>
        <v>Badminton tpi sdh off lama krna sakit pinggang. Sehari² kseringan bermotor krna dagang</v>
      </c>
      <c r="V1020" s="11" t="str">
        <f>IFERROR(__xludf.DUMMYFUNCTION("""COMPUTED_VALUE"""),"085245382385")</f>
        <v>085245382385</v>
      </c>
      <c r="W1020" s="15"/>
    </row>
    <row r="1021" ht="22.5" customHeight="1">
      <c r="A1021" s="8"/>
      <c r="B1021" s="9">
        <f>IFERROR(__xludf.DUMMYFUNCTION("""COMPUTED_VALUE"""),45304.576738749995)</f>
        <v>45304.57674</v>
      </c>
      <c r="C1021" s="9"/>
      <c r="D1021" s="10">
        <f>IFERROR(__xludf.DUMMYFUNCTION("""COMPUTED_VALUE"""),45307.0)</f>
        <v>45307</v>
      </c>
      <c r="E1021" s="10" t="str">
        <f>IFERROR(__xludf.DUMMYFUNCTION("""COMPUTED_VALUE"""),"01Jan")</f>
        <v>01Jan</v>
      </c>
      <c r="F1021" s="10" t="str">
        <f>IFERROR(__xludf.DUMMYFUNCTION("""COMPUTED_VALUE"""),"2024")</f>
        <v>2024</v>
      </c>
      <c r="G1021" s="16" t="str">
        <f>IFERROR(__xludf.DUMMYFUNCTION("""COMPUTED_VALUE"""),"MOI LIN")</f>
        <v>MOI LIN</v>
      </c>
      <c r="H1021" s="17" t="str">
        <f>IFERROR(__xludf.DUMMYFUNCTION("""COMPUTED_VALUE"""),"M5024013966")</f>
        <v>M5024013966</v>
      </c>
      <c r="I1021" s="17">
        <f>IFERROR(__xludf.DUMMYFUNCTION("""COMPUTED_VALUE"""),75.0)</f>
        <v>75</v>
      </c>
      <c r="J1021" s="17" t="str">
        <f>IFERROR(__xludf.DUMMYFUNCTION("""COMPUTED_VALUE"""),"&gt; 44 tahun")</f>
        <v>&gt; 44 tahun</v>
      </c>
      <c r="K1021" s="19">
        <f>IFERROR(__xludf.DUMMYFUNCTION("""COMPUTED_VALUE"""),18601.0)</f>
        <v>18601</v>
      </c>
      <c r="L1021" s="19" t="str">
        <f>IFERROR(__xludf.DUMMYFUNCTION("""COMPUTED_VALUE"""),"PEREMPUAN")</f>
        <v>PEREMPUAN</v>
      </c>
      <c r="M1021" s="16" t="str">
        <f>IFERROR(__xludf.DUMMYFUNCTION("""COMPUTED_VALUE"""),"GG.WONODADI 3 DALAM NO.11 A")</f>
        <v>GG.WONODADI 3 DALAM NO.11 A</v>
      </c>
      <c r="N1021" s="16" t="str">
        <f>IFERROR(__xludf.DUMMYFUNCTION("""COMPUTED_VALUE"""),"KEL. KOTA BARU")</f>
        <v>KEL. KOTA BARU</v>
      </c>
      <c r="O1021" s="16" t="str">
        <f>IFERROR(__xludf.DUMMYFUNCTION("""COMPUTED_VALUE"""),"KEC. PONTIANAK SELATAN")</f>
        <v>KEC. PONTIANAK SELATAN</v>
      </c>
      <c r="P1021" s="16" t="str">
        <f>IFERROR(__xludf.DUMMYFUNCTION("""COMPUTED_VALUE"""),"KOTA PONTIANAK")</f>
        <v>KOTA PONTIANAK</v>
      </c>
      <c r="Q1021" s="16" t="str">
        <f>IFERROR(__xludf.DUMMYFUNCTION("""COMPUTED_VALUE"""),"KALIMANTAN BARAT")</f>
        <v>KALIMANTAN BARAT</v>
      </c>
      <c r="R1021" s="19" t="str">
        <f>IFERROR(__xludf.DUMMYFUNCTION("""COMPUTED_VALUE"""),"BUDDHA")</f>
        <v>BUDDHA</v>
      </c>
      <c r="S1021" s="16" t="str">
        <f>IFERROR(__xludf.DUMMYFUNCTION("""COMPUTED_VALUE"""),"RUMAH TANGGA")</f>
        <v>RUMAH TANGGA</v>
      </c>
      <c r="T1021" s="16" t="str">
        <f>IFERROR(__xludf.DUMMYFUNCTION("""COMPUTED_VALUE"""),"SAKIT TULANG PINGGANG")</f>
        <v>SAKIT TULANG PINGGANG</v>
      </c>
      <c r="U1021" s="16" t="str">
        <f>IFERROR(__xludf.DUMMYFUNCTION("""COMPUTED_VALUE"""),"NONTON")</f>
        <v>NONTON</v>
      </c>
      <c r="V1021" s="11" t="str">
        <f>IFERROR(__xludf.DUMMYFUNCTION("""COMPUTED_VALUE"""),"082152183966")</f>
        <v>082152183966</v>
      </c>
      <c r="W1021" s="15"/>
    </row>
    <row r="1022" ht="22.5" customHeight="1">
      <c r="A1022" s="8"/>
      <c r="B1022" s="9">
        <f>IFERROR(__xludf.DUMMYFUNCTION("""COMPUTED_VALUE"""),45304.59610163195)</f>
        <v>45304.5961</v>
      </c>
      <c r="C1022" s="9"/>
      <c r="D1022" s="10">
        <f>IFERROR(__xludf.DUMMYFUNCTION("""COMPUTED_VALUE"""),45308.0)</f>
        <v>45308</v>
      </c>
      <c r="E1022" s="10" t="str">
        <f>IFERROR(__xludf.DUMMYFUNCTION("""COMPUTED_VALUE"""),"01Jan")</f>
        <v>01Jan</v>
      </c>
      <c r="F1022" s="10" t="str">
        <f>IFERROR(__xludf.DUMMYFUNCTION("""COMPUTED_VALUE"""),"2024")</f>
        <v>2024</v>
      </c>
      <c r="G1022" s="16" t="str">
        <f>IFERROR(__xludf.DUMMYFUNCTION("""COMPUTED_VALUE"""),"HENDRIK RAJALI")</f>
        <v>HENDRIK RAJALI</v>
      </c>
      <c r="H1022" s="17" t="str">
        <f>IFERROR(__xludf.DUMMYFUNCTION("""COMPUTED_VALUE"""),"H8124010055")</f>
        <v>H8124010055</v>
      </c>
      <c r="I1022" s="17">
        <f>IFERROR(__xludf.DUMMYFUNCTION("""COMPUTED_VALUE"""),45.0)</f>
        <v>45</v>
      </c>
      <c r="J1022" s="17" t="str">
        <f>IFERROR(__xludf.DUMMYFUNCTION("""COMPUTED_VALUE"""),"&gt; 44 tahun")</f>
        <v>&gt; 44 tahun</v>
      </c>
      <c r="K1022" s="19">
        <f>IFERROR(__xludf.DUMMYFUNCTION("""COMPUTED_VALUE"""),29638.0)</f>
        <v>29638</v>
      </c>
      <c r="L1022" s="19" t="str">
        <f>IFERROR(__xludf.DUMMYFUNCTION("""COMPUTED_VALUE"""),"LAKI-LAKI")</f>
        <v>LAKI-LAKI</v>
      </c>
      <c r="M1022" s="16" t="str">
        <f>IFERROR(__xludf.DUMMYFUNCTION("""COMPUTED_VALUE"""),"JALAN NUSA INDAH BARU B 7")</f>
        <v>JALAN NUSA INDAH BARU B 7</v>
      </c>
      <c r="N1022" s="16" t="str">
        <f>IFERROR(__xludf.DUMMYFUNCTION("""COMPUTED_VALUE"""),"KEL. DARAT SEKIP")</f>
        <v>KEL. DARAT SEKIP</v>
      </c>
      <c r="O1022" s="16" t="str">
        <f>IFERROR(__xludf.DUMMYFUNCTION("""COMPUTED_VALUE"""),"KEC. PONTIANAK KOTA")</f>
        <v>KEC. PONTIANAK KOTA</v>
      </c>
      <c r="P1022" s="16" t="str">
        <f>IFERROR(__xludf.DUMMYFUNCTION("""COMPUTED_VALUE"""),"KOTA PONTIANAK")</f>
        <v>KOTA PONTIANAK</v>
      </c>
      <c r="Q1022" s="16" t="str">
        <f>IFERROR(__xludf.DUMMYFUNCTION("""COMPUTED_VALUE"""),"KALIMANTAN BARAT")</f>
        <v>KALIMANTAN BARAT</v>
      </c>
      <c r="R1022" s="19" t="str">
        <f>IFERROR(__xludf.DUMMYFUNCTION("""COMPUTED_VALUE"""),"BUDDHA")</f>
        <v>BUDDHA</v>
      </c>
      <c r="S1022" s="16" t="str">
        <f>IFERROR(__xludf.DUMMYFUNCTION("""COMPUTED_VALUE"""),"SWASTA")</f>
        <v>SWASTA</v>
      </c>
      <c r="T1022" s="16" t="str">
        <f>IFERROR(__xludf.DUMMYFUNCTION("""COMPUTED_VALUE"""),"Nyeri dan bengkak di")</f>
        <v>Nyeri dan bengkak di</v>
      </c>
      <c r="U1022" s="16" t="str">
        <f>IFERROR(__xludf.DUMMYFUNCTION("""COMPUTED_VALUE"""),"Lari")</f>
        <v>Lari</v>
      </c>
      <c r="V1022" s="11" t="str">
        <f>IFERROR(__xludf.DUMMYFUNCTION("""COMPUTED_VALUE"""),"08125730055")</f>
        <v>08125730055</v>
      </c>
      <c r="W1022" s="15"/>
    </row>
    <row r="1023" ht="22.5" customHeight="1">
      <c r="A1023" s="8"/>
      <c r="B1023" s="9">
        <f>IFERROR(__xludf.DUMMYFUNCTION("""COMPUTED_VALUE"""),45304.74209112268)</f>
        <v>45304.74209</v>
      </c>
      <c r="C1023" s="9"/>
      <c r="D1023" s="10">
        <f>IFERROR(__xludf.DUMMYFUNCTION("""COMPUTED_VALUE"""),45308.0)</f>
        <v>45308</v>
      </c>
      <c r="E1023" s="10" t="str">
        <f>IFERROR(__xludf.DUMMYFUNCTION("""COMPUTED_VALUE"""),"01Jan")</f>
        <v>01Jan</v>
      </c>
      <c r="F1023" s="10" t="str">
        <f>IFERROR(__xludf.DUMMYFUNCTION("""COMPUTED_VALUE"""),"2024")</f>
        <v>2024</v>
      </c>
      <c r="G1023" s="16" t="str">
        <f>IFERROR(__xludf.DUMMYFUNCTION("""COMPUTED_VALUE"""),"TOGU MANULLANG")</f>
        <v>TOGU MANULLANG</v>
      </c>
      <c r="H1023" s="17" t="str">
        <f>IFERROR(__xludf.DUMMYFUNCTION("""COMPUTED_VALUE"""),"T6524016811")</f>
        <v>T6524016811</v>
      </c>
      <c r="I1023" s="17">
        <f>IFERROR(__xludf.DUMMYFUNCTION("""COMPUTED_VALUE"""),60.0)</f>
        <v>60</v>
      </c>
      <c r="J1023" s="17" t="str">
        <f>IFERROR(__xludf.DUMMYFUNCTION("""COMPUTED_VALUE"""),"&gt; 44 tahun")</f>
        <v>&gt; 44 tahun</v>
      </c>
      <c r="K1023" s="19">
        <f>IFERROR(__xludf.DUMMYFUNCTION("""COMPUTED_VALUE"""),23992.0)</f>
        <v>23992</v>
      </c>
      <c r="L1023" s="19" t="str">
        <f>IFERROR(__xludf.DUMMYFUNCTION("""COMPUTED_VALUE"""),"LAKI-LAKI")</f>
        <v>LAKI-LAKI</v>
      </c>
      <c r="M1023" s="16" t="str">
        <f>IFERROR(__xludf.DUMMYFUNCTION("""COMPUTED_VALUE"""),"JALAN SULTAN ABDURRAHMAN GANG TONGIE NO. 39 A")</f>
        <v>JALAN SULTAN ABDURRAHMAN GANG TONGIE NO. 39 A</v>
      </c>
      <c r="N1023" s="16" t="str">
        <f>IFERROR(__xludf.DUMMYFUNCTION("""COMPUTED_VALUE"""),"KEL. SUNGAI BANGKONG")</f>
        <v>KEL. SUNGAI BANGKONG</v>
      </c>
      <c r="O1023" s="16" t="str">
        <f>IFERROR(__xludf.DUMMYFUNCTION("""COMPUTED_VALUE"""),"KEC. PONTIANAK KOTA")</f>
        <v>KEC. PONTIANAK KOTA</v>
      </c>
      <c r="P1023" s="16" t="str">
        <f>IFERROR(__xludf.DUMMYFUNCTION("""COMPUTED_VALUE"""),"KOTA PONTIANAK")</f>
        <v>KOTA PONTIANAK</v>
      </c>
      <c r="Q1023" s="16" t="str">
        <f>IFERROR(__xludf.DUMMYFUNCTION("""COMPUTED_VALUE"""),"KALIMANTAN BARAT")</f>
        <v>KALIMANTAN BARAT</v>
      </c>
      <c r="R1023" s="19" t="str">
        <f>IFERROR(__xludf.DUMMYFUNCTION("""COMPUTED_VALUE"""),"PROTESTAN")</f>
        <v>PROTESTAN</v>
      </c>
      <c r="S1023" s="16" t="str">
        <f>IFERROR(__xludf.DUMMYFUNCTION("""COMPUTED_VALUE"""),"PENSIUN")</f>
        <v>PENSIUN</v>
      </c>
      <c r="T1023" s="16" t="str">
        <f>IFERROR(__xludf.DUMMYFUNCTION("""COMPUTED_VALUE"""),"Cidera otot / cidera olah raga")</f>
        <v>Cidera otot / cidera olah raga</v>
      </c>
      <c r="U1023" s="16" t="str">
        <f>IFERROR(__xludf.DUMMYFUNCTION("""COMPUTED_VALUE"""),"Olah raga")</f>
        <v>Olah raga</v>
      </c>
      <c r="V1023" s="11" t="str">
        <f>IFERROR(__xludf.DUMMYFUNCTION("""COMPUTED_VALUE"""),"0811576811")</f>
        <v>0811576811</v>
      </c>
      <c r="W1023" s="15"/>
    </row>
    <row r="1024" ht="22.5" customHeight="1">
      <c r="A1024" s="8"/>
      <c r="B1024" s="9">
        <f>IFERROR(__xludf.DUMMYFUNCTION("""COMPUTED_VALUE"""),45304.766499722224)</f>
        <v>45304.7665</v>
      </c>
      <c r="C1024" s="9"/>
      <c r="D1024" s="10">
        <f>IFERROR(__xludf.DUMMYFUNCTION("""COMPUTED_VALUE"""),45308.0)</f>
        <v>45308</v>
      </c>
      <c r="E1024" s="10" t="str">
        <f>IFERROR(__xludf.DUMMYFUNCTION("""COMPUTED_VALUE"""),"01Jan")</f>
        <v>01Jan</v>
      </c>
      <c r="F1024" s="10" t="str">
        <f>IFERROR(__xludf.DUMMYFUNCTION("""COMPUTED_VALUE"""),"2024")</f>
        <v>2024</v>
      </c>
      <c r="G1024" s="16" t="str">
        <f>IFERROR(__xludf.DUMMYFUNCTION("""COMPUTED_VALUE"""),"SRI LUTFIANDA SARI")</f>
        <v>SRI LUTFIANDA SARI</v>
      </c>
      <c r="H1024" s="17" t="str">
        <f>IFERROR(__xludf.DUMMYFUNCTION("""COMPUTED_VALUE"""),"S0324014076")</f>
        <v>S0324014076</v>
      </c>
      <c r="I1024" s="17">
        <f>IFERROR(__xludf.DUMMYFUNCTION("""COMPUTED_VALUE"""),22.0)</f>
        <v>22</v>
      </c>
      <c r="J1024" s="17" t="str">
        <f>IFERROR(__xludf.DUMMYFUNCTION("""COMPUTED_VALUE"""),"18-24 tahun")</f>
        <v>18-24 tahun</v>
      </c>
      <c r="K1024" s="19">
        <f>IFERROR(__xludf.DUMMYFUNCTION("""COMPUTED_VALUE"""),37975.0)</f>
        <v>37975</v>
      </c>
      <c r="L1024" s="19" t="str">
        <f>IFERROR(__xludf.DUMMYFUNCTION("""COMPUTED_VALUE"""),"PEREMPUAN")</f>
        <v>PEREMPUAN</v>
      </c>
      <c r="M1024" s="16" t="str">
        <f>IFERROR(__xludf.DUMMYFUNCTION("""COMPUTED_VALUE"""),"JL MANUNGGAL X")</f>
        <v>JL MANUNGGAL X</v>
      </c>
      <c r="N1024" s="16" t="str">
        <f>IFERROR(__xludf.DUMMYFUNCTION("""COMPUTED_VALUE"""),"KEL. WAJOK HILIR")</f>
        <v>KEL. WAJOK HILIR</v>
      </c>
      <c r="O1024" s="16" t="str">
        <f>IFERROR(__xludf.DUMMYFUNCTION("""COMPUTED_VALUE"""),"KEC. JUNGKAT")</f>
        <v>KEC. JUNGKAT</v>
      </c>
      <c r="P1024" s="16" t="str">
        <f>IFERROR(__xludf.DUMMYFUNCTION("""COMPUTED_VALUE"""),"KAB. MEMPAWAH")</f>
        <v>KAB. MEMPAWAH</v>
      </c>
      <c r="Q1024" s="16" t="str">
        <f>IFERROR(__xludf.DUMMYFUNCTION("""COMPUTED_VALUE"""),"KALIMANTAN BARAT")</f>
        <v>KALIMANTAN BARAT</v>
      </c>
      <c r="R1024" s="19" t="str">
        <f>IFERROR(__xludf.DUMMYFUNCTION("""COMPUTED_VALUE"""),"ISLAM")</f>
        <v>ISLAM</v>
      </c>
      <c r="S1024" s="16" t="str">
        <f>IFERROR(__xludf.DUMMYFUNCTION("""COMPUTED_VALUE"""),"TIDAK ADA")</f>
        <v>TIDAK ADA</v>
      </c>
      <c r="T1024" s="16" t="str">
        <f>IFERROR(__xludf.DUMMYFUNCTION("""COMPUTED_VALUE"""),"Skoliosis")</f>
        <v>Skoliosis</v>
      </c>
      <c r="U1024" s="16" t="str">
        <f>IFERROR(__xludf.DUMMYFUNCTION("""COMPUTED_VALUE"""),"Lari")</f>
        <v>Lari</v>
      </c>
      <c r="V1024" s="11" t="str">
        <f>IFERROR(__xludf.DUMMYFUNCTION("""COMPUTED_VALUE"""),"089519594076")</f>
        <v>089519594076</v>
      </c>
      <c r="W1024" s="15"/>
    </row>
    <row r="1025" ht="22.5" customHeight="1">
      <c r="A1025" s="8"/>
      <c r="B1025" s="9">
        <f>IFERROR(__xludf.DUMMYFUNCTION("""COMPUTED_VALUE"""),45304.92072097222)</f>
        <v>45304.92072</v>
      </c>
      <c r="C1025" s="9"/>
      <c r="D1025" s="10">
        <f>IFERROR(__xludf.DUMMYFUNCTION("""COMPUTED_VALUE"""),45312.0)</f>
        <v>45312</v>
      </c>
      <c r="E1025" s="10" t="str">
        <f>IFERROR(__xludf.DUMMYFUNCTION("""COMPUTED_VALUE"""),"01Jan")</f>
        <v>01Jan</v>
      </c>
      <c r="F1025" s="10" t="str">
        <f>IFERROR(__xludf.DUMMYFUNCTION("""COMPUTED_VALUE"""),"2024")</f>
        <v>2024</v>
      </c>
      <c r="G1025" s="16" t="str">
        <f>IFERROR(__xludf.DUMMYFUNCTION("""COMPUTED_VALUE"""),"NG SIAUW NGO")</f>
        <v>NG SIAUW NGO</v>
      </c>
      <c r="H1025" s="17" t="str">
        <f>IFERROR(__xludf.DUMMYFUNCTION("""COMPUTED_VALUE"""),"N5624018879")</f>
        <v>N5624018879</v>
      </c>
      <c r="I1025" s="17">
        <f>IFERROR(__xludf.DUMMYFUNCTION("""COMPUTED_VALUE"""),69.0)</f>
        <v>69</v>
      </c>
      <c r="J1025" s="17" t="str">
        <f>IFERROR(__xludf.DUMMYFUNCTION("""COMPUTED_VALUE"""),"&gt; 44 tahun")</f>
        <v>&gt; 44 tahun</v>
      </c>
      <c r="K1025" s="19">
        <f>IFERROR(__xludf.DUMMYFUNCTION("""COMPUTED_VALUE"""),20645.0)</f>
        <v>20645</v>
      </c>
      <c r="L1025" s="19" t="str">
        <f>IFERROR(__xludf.DUMMYFUNCTION("""COMPUTED_VALUE"""),"PEREMPUAN")</f>
        <v>PEREMPUAN</v>
      </c>
      <c r="M1025" s="16" t="str">
        <f>IFERROR(__xludf.DUMMYFUNCTION("""COMPUTED_VALUE"""),"JL DR WAHIDIN KOMP MITRA RAYA LESTARI V")</f>
        <v>JL DR WAHIDIN KOMP MITRA RAYA LESTARI V</v>
      </c>
      <c r="N1025" s="16" t="str">
        <f>IFERROR(__xludf.DUMMYFUNCTION("""COMPUTED_VALUE"""),"KEL. SUNGAI JAWI")</f>
        <v>KEL. SUNGAI JAWI</v>
      </c>
      <c r="O1025" s="16" t="str">
        <f>IFERROR(__xludf.DUMMYFUNCTION("""COMPUTED_VALUE"""),"KEC. PONTIANAK KOTA")</f>
        <v>KEC. PONTIANAK KOTA</v>
      </c>
      <c r="P1025" s="16" t="str">
        <f>IFERROR(__xludf.DUMMYFUNCTION("""COMPUTED_VALUE"""),"KOTA PONTIANAK")</f>
        <v>KOTA PONTIANAK</v>
      </c>
      <c r="Q1025" s="16" t="str">
        <f>IFERROR(__xludf.DUMMYFUNCTION("""COMPUTED_VALUE"""),"KALIMANTAN BARAT")</f>
        <v>KALIMANTAN BARAT</v>
      </c>
      <c r="R1025" s="19" t="str">
        <f>IFERROR(__xludf.DUMMYFUNCTION("""COMPUTED_VALUE"""),"BUDDHA")</f>
        <v>BUDDHA</v>
      </c>
      <c r="S1025" s="16" t="str">
        <f>IFERROR(__xludf.DUMMYFUNCTION("""COMPUTED_VALUE"""),"RUMAH TANGGA")</f>
        <v>RUMAH TANGGA</v>
      </c>
      <c r="T1025" s="16" t="str">
        <f>IFERROR(__xludf.DUMMYFUNCTION("""COMPUTED_VALUE"""),"Kaki tak bisa jalan jauh")</f>
        <v>Kaki tak bisa jalan jauh</v>
      </c>
      <c r="U1025" s="16" t="str">
        <f>IFERROR(__xludf.DUMMYFUNCTION("""COMPUTED_VALUE"""),"Memasak")</f>
        <v>Memasak</v>
      </c>
      <c r="V1025" s="11" t="str">
        <f>IFERROR(__xludf.DUMMYFUNCTION("""COMPUTED_VALUE"""),"087818298879")</f>
        <v>087818298879</v>
      </c>
      <c r="W1025" s="15"/>
    </row>
    <row r="1026" ht="22.5" customHeight="1">
      <c r="A1026" s="8"/>
      <c r="B1026" s="9">
        <f>IFERROR(__xludf.DUMMYFUNCTION("""COMPUTED_VALUE"""),45305.48027862269)</f>
        <v>45305.48028</v>
      </c>
      <c r="C1026" s="9"/>
      <c r="D1026" s="10">
        <f>IFERROR(__xludf.DUMMYFUNCTION("""COMPUTED_VALUE"""),45312.0)</f>
        <v>45312</v>
      </c>
      <c r="E1026" s="10" t="str">
        <f>IFERROR(__xludf.DUMMYFUNCTION("""COMPUTED_VALUE"""),"01Jan")</f>
        <v>01Jan</v>
      </c>
      <c r="F1026" s="10" t="str">
        <f>IFERROR(__xludf.DUMMYFUNCTION("""COMPUTED_VALUE"""),"2024")</f>
        <v>2024</v>
      </c>
      <c r="G1026" s="16" t="str">
        <f>IFERROR(__xludf.DUMMYFUNCTION("""COMPUTED_VALUE"""),"DAMHUDI")</f>
        <v>DAMHUDI</v>
      </c>
      <c r="H1026" s="17" t="str">
        <f>IFERROR(__xludf.DUMMYFUNCTION("""COMPUTED_VALUE"""),"D7624010890")</f>
        <v>D7624010890</v>
      </c>
      <c r="I1026" s="17">
        <f>IFERROR(__xludf.DUMMYFUNCTION("""COMPUTED_VALUE"""),50.0)</f>
        <v>50</v>
      </c>
      <c r="J1026" s="17" t="str">
        <f>IFERROR(__xludf.DUMMYFUNCTION("""COMPUTED_VALUE"""),"&gt; 44 tahun")</f>
        <v>&gt; 44 tahun</v>
      </c>
      <c r="K1026" s="19">
        <f>IFERROR(__xludf.DUMMYFUNCTION("""COMPUTED_VALUE"""),27895.0)</f>
        <v>27895</v>
      </c>
      <c r="L1026" s="19" t="str">
        <f>IFERROR(__xludf.DUMMYFUNCTION("""COMPUTED_VALUE"""),"LAKI-LAKI")</f>
        <v>LAKI-LAKI</v>
      </c>
      <c r="M1026" s="16" t="str">
        <f>IFERROR(__xludf.DUMMYFUNCTION("""COMPUTED_VALUE"""),"KUNCIRAN JAYA RT 2 RW 3 KEL KUNCIRAN JAYA PINANG KOTA TANGERANG")</f>
        <v>KUNCIRAN JAYA RT 2 RW 3 KEL KUNCIRAN JAYA PINANG KOTA TANGERANG</v>
      </c>
      <c r="N1026" s="16" t="str">
        <f>IFERROR(__xludf.DUMMYFUNCTION("""COMPUTED_VALUE"""),"KEL. KUNCIRAN JAYA")</f>
        <v>KEL. KUNCIRAN JAYA</v>
      </c>
      <c r="O1026" s="16" t="str">
        <f>IFERROR(__xludf.DUMMYFUNCTION("""COMPUTED_VALUE"""),"KEC. PINANG")</f>
        <v>KEC. PINANG</v>
      </c>
      <c r="P1026" s="16" t="str">
        <f>IFERROR(__xludf.DUMMYFUNCTION("""COMPUTED_VALUE"""),"KOTA TANGGERANG")</f>
        <v>KOTA TANGGERANG</v>
      </c>
      <c r="Q1026" s="16" t="str">
        <f>IFERROR(__xludf.DUMMYFUNCTION("""COMPUTED_VALUE"""),"BANTEN")</f>
        <v>BANTEN</v>
      </c>
      <c r="R1026" s="19" t="str">
        <f>IFERROR(__xludf.DUMMYFUNCTION("""COMPUTED_VALUE"""),"ISLAM")</f>
        <v>ISLAM</v>
      </c>
      <c r="S1026" s="16" t="str">
        <f>IFERROR(__xludf.DUMMYFUNCTION("""COMPUTED_VALUE"""),"ASN")</f>
        <v>ASN</v>
      </c>
      <c r="T1026" s="16" t="str">
        <f>IFERROR(__xludf.DUMMYFUNCTION("""COMPUTED_VALUE"""),"pinggang belakang nyeri")</f>
        <v>pinggang belakang nyeri</v>
      </c>
      <c r="U1026" s="16" t="str">
        <f>IFERROR(__xludf.DUMMYFUNCTION("""COMPUTED_VALUE"""),"main sudoku")</f>
        <v>main sudoku</v>
      </c>
      <c r="V1026" s="11" t="str">
        <f>IFERROR(__xludf.DUMMYFUNCTION("""COMPUTED_VALUE"""),"085716580890")</f>
        <v>085716580890</v>
      </c>
      <c r="W1026" s="15"/>
    </row>
    <row r="1027" ht="22.5" customHeight="1">
      <c r="A1027" s="8"/>
      <c r="B1027" s="9">
        <f>IFERROR(__xludf.DUMMYFUNCTION("""COMPUTED_VALUE"""),45306.458800925924)</f>
        <v>45306.4588</v>
      </c>
      <c r="C1027" s="9"/>
      <c r="D1027" s="10">
        <f>IFERROR(__xludf.DUMMYFUNCTION("""COMPUTED_VALUE"""),45312.0)</f>
        <v>45312</v>
      </c>
      <c r="E1027" s="10" t="str">
        <f>IFERROR(__xludf.DUMMYFUNCTION("""COMPUTED_VALUE"""),"01Jan")</f>
        <v>01Jan</v>
      </c>
      <c r="F1027" s="10" t="str">
        <f>IFERROR(__xludf.DUMMYFUNCTION("""COMPUTED_VALUE"""),"2024")</f>
        <v>2024</v>
      </c>
      <c r="G1027" s="16" t="str">
        <f>IFERROR(__xludf.DUMMYFUNCTION("""COMPUTED_VALUE"""),"MAULIDINI ULMULHAIR")</f>
        <v>MAULIDINI ULMULHAIR</v>
      </c>
      <c r="H1027" s="17" t="str">
        <f>IFERROR(__xludf.DUMMYFUNCTION("""COMPUTED_VALUE"""),"M9024010700")</f>
        <v>M9024010700</v>
      </c>
      <c r="I1027" s="17">
        <f>IFERROR(__xludf.DUMMYFUNCTION("""COMPUTED_VALUE"""),35.0)</f>
        <v>35</v>
      </c>
      <c r="J1027" s="17" t="str">
        <f>IFERROR(__xludf.DUMMYFUNCTION("""COMPUTED_VALUE"""),"35-44 tahun")</f>
        <v>35-44 tahun</v>
      </c>
      <c r="K1027" s="19">
        <f>IFERROR(__xludf.DUMMYFUNCTION("""COMPUTED_VALUE"""),33161.0)</f>
        <v>33161</v>
      </c>
      <c r="L1027" s="19" t="str">
        <f>IFERROR(__xludf.DUMMYFUNCTION("""COMPUTED_VALUE"""),"PEREMPUAN")</f>
        <v>PEREMPUAN</v>
      </c>
      <c r="M1027" s="16" t="str">
        <f>IFERROR(__xludf.DUMMYFUNCTION("""COMPUTED_VALUE"""),"DUSUN FAJAR KARYA")</f>
        <v>DUSUN FAJAR KARYA</v>
      </c>
      <c r="N1027" s="16" t="str">
        <f>IFERROR(__xludf.DUMMYFUNCTION("""COMPUTED_VALUE"""),"KEL. KUBU RAYA")</f>
        <v>KEL. KUBU RAYA</v>
      </c>
      <c r="O1027" s="16" t="str">
        <f>IFERROR(__xludf.DUMMYFUNCTION("""COMPUTED_VALUE"""),"KEC. KUBU RAYA")</f>
        <v>KEC. KUBU RAYA</v>
      </c>
      <c r="P1027" s="16" t="str">
        <f>IFERROR(__xludf.DUMMYFUNCTION("""COMPUTED_VALUE"""),"KAB. KUBU RAYA")</f>
        <v>KAB. KUBU RAYA</v>
      </c>
      <c r="Q1027" s="16" t="str">
        <f>IFERROR(__xludf.DUMMYFUNCTION("""COMPUTED_VALUE"""),"KALIMANTAN BARAT")</f>
        <v>KALIMANTAN BARAT</v>
      </c>
      <c r="R1027" s="19" t="str">
        <f>IFERROR(__xludf.DUMMYFUNCTION("""COMPUTED_VALUE"""),"ISLAM")</f>
        <v>ISLAM</v>
      </c>
      <c r="S1027" s="16" t="str">
        <f>IFERROR(__xludf.DUMMYFUNCTION("""COMPUTED_VALUE"""),"RUMAH TANGGA")</f>
        <v>RUMAH TANGGA</v>
      </c>
      <c r="T1027" s="16" t="str">
        <f>IFERROR(__xludf.DUMMYFUNCTION("""COMPUTED_VALUE"""),"Nyeri di bagian betis")</f>
        <v>Nyeri di bagian betis</v>
      </c>
      <c r="U1027" s="16" t="str">
        <f>IFERROR(__xludf.DUMMYFUNCTION("""COMPUTED_VALUE"""),"Olahraga")</f>
        <v>Olahraga</v>
      </c>
      <c r="V1027" s="11" t="str">
        <f>IFERROR(__xludf.DUMMYFUNCTION("""COMPUTED_VALUE"""),"085247830700")</f>
        <v>085247830700</v>
      </c>
      <c r="W1027" s="15"/>
    </row>
    <row r="1028" ht="22.5" customHeight="1">
      <c r="A1028" s="8"/>
      <c r="B1028" s="9">
        <f>IFERROR(__xludf.DUMMYFUNCTION("""COMPUTED_VALUE"""),45306.47847640046)</f>
        <v>45306.47848</v>
      </c>
      <c r="C1028" s="9"/>
      <c r="D1028" s="10">
        <f>IFERROR(__xludf.DUMMYFUNCTION("""COMPUTED_VALUE"""),45312.0)</f>
        <v>45312</v>
      </c>
      <c r="E1028" s="10" t="str">
        <f>IFERROR(__xludf.DUMMYFUNCTION("""COMPUTED_VALUE"""),"01Jan")</f>
        <v>01Jan</v>
      </c>
      <c r="F1028" s="10" t="str">
        <f>IFERROR(__xludf.DUMMYFUNCTION("""COMPUTED_VALUE"""),"2024")</f>
        <v>2024</v>
      </c>
      <c r="G1028" s="16" t="str">
        <f>IFERROR(__xludf.DUMMYFUNCTION("""COMPUTED_VALUE"""),"SAMEER ZAYED ELWAFA")</f>
        <v>SAMEER ZAYED ELWAFA</v>
      </c>
      <c r="H1028" s="17" t="str">
        <f>IFERROR(__xludf.DUMMYFUNCTION("""COMPUTED_VALUE"""),"S1224016919")</f>
        <v>S1224016919</v>
      </c>
      <c r="I1028" s="17">
        <f>IFERROR(__xludf.DUMMYFUNCTION("""COMPUTED_VALUE"""),14.0)</f>
        <v>14</v>
      </c>
      <c r="J1028" s="17" t="str">
        <f>IFERROR(__xludf.DUMMYFUNCTION("""COMPUTED_VALUE"""),"&lt; 18 tahun")</f>
        <v>&lt; 18 tahun</v>
      </c>
      <c r="K1028" s="19">
        <f>IFERROR(__xludf.DUMMYFUNCTION("""COMPUTED_VALUE"""),40994.0)</f>
        <v>40994</v>
      </c>
      <c r="L1028" s="19" t="str">
        <f>IFERROR(__xludf.DUMMYFUNCTION("""COMPUTED_VALUE"""),"LAKI-LAKI")</f>
        <v>LAKI-LAKI</v>
      </c>
      <c r="M1028" s="16" t="str">
        <f>IFERROR(__xludf.DUMMYFUNCTION("""COMPUTED_VALUE"""),"JALAN HM SUWIGNYO KOMP CITRA INDAH 1 NO A 12")</f>
        <v>JALAN HM SUWIGNYO KOMP CITRA INDAH 1 NO A 12</v>
      </c>
      <c r="N1028" s="16" t="str">
        <f>IFERROR(__xludf.DUMMYFUNCTION("""COMPUTED_VALUE"""),"KEL. SUNGAI JAWI")</f>
        <v>KEL. SUNGAI JAWI</v>
      </c>
      <c r="O1028" s="16" t="str">
        <f>IFERROR(__xludf.DUMMYFUNCTION("""COMPUTED_VALUE"""),"KEC. PONTIANAK KOTA")</f>
        <v>KEC. PONTIANAK KOTA</v>
      </c>
      <c r="P1028" s="16" t="str">
        <f>IFERROR(__xludf.DUMMYFUNCTION("""COMPUTED_VALUE"""),"KOTA PONTIANAK")</f>
        <v>KOTA PONTIANAK</v>
      </c>
      <c r="Q1028" s="16" t="str">
        <f>IFERROR(__xludf.DUMMYFUNCTION("""COMPUTED_VALUE"""),"KALIMANTAN BARAT")</f>
        <v>KALIMANTAN BARAT</v>
      </c>
      <c r="R1028" s="19" t="str">
        <f>IFERROR(__xludf.DUMMYFUNCTION("""COMPUTED_VALUE"""),"ISLAM")</f>
        <v>ISLAM</v>
      </c>
      <c r="S1028" s="16" t="str">
        <f>IFERROR(__xludf.DUMMYFUNCTION("""COMPUTED_VALUE"""),"PELAJAR/MAHASISWA")</f>
        <v>PELAJAR/MAHASISWA</v>
      </c>
      <c r="T1028" s="16" t="str">
        <f>IFERROR(__xludf.DUMMYFUNCTION("""COMPUTED_VALUE"""),"Cedera oto")</f>
        <v>Cedera oto</v>
      </c>
      <c r="U1028" s="16" t="str">
        <f>IFERROR(__xludf.DUMMYFUNCTION("""COMPUTED_VALUE"""),"Futsal")</f>
        <v>Futsal</v>
      </c>
      <c r="V1028" s="11" t="str">
        <f>IFERROR(__xludf.DUMMYFUNCTION("""COMPUTED_VALUE"""),"085787146919")</f>
        <v>085787146919</v>
      </c>
      <c r="W1028" s="15"/>
    </row>
    <row r="1029" ht="22.5" customHeight="1">
      <c r="A1029" s="8"/>
      <c r="B1029" s="9">
        <f>IFERROR(__xludf.DUMMYFUNCTION("""COMPUTED_VALUE"""),45305.40430034722)</f>
        <v>45305.4043</v>
      </c>
      <c r="C1029" s="9"/>
      <c r="D1029" s="10">
        <f>IFERROR(__xludf.DUMMYFUNCTION("""COMPUTED_VALUE"""),45312.0)</f>
        <v>45312</v>
      </c>
      <c r="E1029" s="10" t="str">
        <f>IFERROR(__xludf.DUMMYFUNCTION("""COMPUTED_VALUE"""),"01Jan")</f>
        <v>01Jan</v>
      </c>
      <c r="F1029" s="10" t="str">
        <f>IFERROR(__xludf.DUMMYFUNCTION("""COMPUTED_VALUE"""),"2024")</f>
        <v>2024</v>
      </c>
      <c r="G1029" s="16" t="str">
        <f>IFERROR(__xludf.DUMMYFUNCTION("""COMPUTED_VALUE"""),"ALEXANDER")</f>
        <v>ALEXANDER</v>
      </c>
      <c r="H1029" s="17" t="str">
        <f>IFERROR(__xludf.DUMMYFUNCTION("""COMPUTED_VALUE"""),"A8824016270")</f>
        <v>A8824016270</v>
      </c>
      <c r="I1029" s="17">
        <f>IFERROR(__xludf.DUMMYFUNCTION("""COMPUTED_VALUE"""),38.0)</f>
        <v>38</v>
      </c>
      <c r="J1029" s="17" t="str">
        <f>IFERROR(__xludf.DUMMYFUNCTION("""COMPUTED_VALUE"""),"35-44 tahun")</f>
        <v>35-44 tahun</v>
      </c>
      <c r="K1029" s="19">
        <f>IFERROR(__xludf.DUMMYFUNCTION("""COMPUTED_VALUE"""),32249.0)</f>
        <v>32249</v>
      </c>
      <c r="L1029" s="19" t="str">
        <f>IFERROR(__xludf.DUMMYFUNCTION("""COMPUTED_VALUE"""),"LAKI-LAKI")</f>
        <v>LAKI-LAKI</v>
      </c>
      <c r="M1029" s="16" t="str">
        <f>IFERROR(__xludf.DUMMYFUNCTION("""COMPUTED_VALUE"""),"PALEM RAYA B. 23")</f>
        <v>PALEM RAYA B. 23</v>
      </c>
      <c r="N1029" s="16" t="str">
        <f>IFERROR(__xludf.DUMMYFUNCTION("""COMPUTED_VALUE"""),"KEL. KUBU RAYA")</f>
        <v>KEL. KUBU RAYA</v>
      </c>
      <c r="O1029" s="16" t="str">
        <f>IFERROR(__xludf.DUMMYFUNCTION("""COMPUTED_VALUE"""),"KEC. KUBU RAYA")</f>
        <v>KEC. KUBU RAYA</v>
      </c>
      <c r="P1029" s="16" t="str">
        <f>IFERROR(__xludf.DUMMYFUNCTION("""COMPUTED_VALUE"""),"KAB. KUBU RAYA")</f>
        <v>KAB. KUBU RAYA</v>
      </c>
      <c r="Q1029" s="16" t="str">
        <f>IFERROR(__xludf.DUMMYFUNCTION("""COMPUTED_VALUE"""),"KALIMANTAN BARAT")</f>
        <v>KALIMANTAN BARAT</v>
      </c>
      <c r="R1029" s="19" t="str">
        <f>IFERROR(__xludf.DUMMYFUNCTION("""COMPUTED_VALUE"""),"PROTESTAN")</f>
        <v>PROTESTAN</v>
      </c>
      <c r="S1029" s="16" t="str">
        <f>IFERROR(__xludf.DUMMYFUNCTION("""COMPUTED_VALUE"""),"SWASTA")</f>
        <v>SWASTA</v>
      </c>
      <c r="T1029" s="16" t="str">
        <f>IFERROR(__xludf.DUMMYFUNCTION("""COMPUTED_VALUE"""),"Bahu sakit")</f>
        <v>Bahu sakit</v>
      </c>
      <c r="U1029" s="16" t="str">
        <f>IFERROR(__xludf.DUMMYFUNCTION("""COMPUTED_VALUE"""),"Tennis dikit , gym dikit")</f>
        <v>Tennis dikit , gym dikit</v>
      </c>
      <c r="V1029" s="11" t="str">
        <f>IFERROR(__xludf.DUMMYFUNCTION("""COMPUTED_VALUE"""),"082155496270")</f>
        <v>082155496270</v>
      </c>
      <c r="W1029" s="15"/>
    </row>
    <row r="1030" ht="22.5" customHeight="1">
      <c r="A1030" s="8"/>
      <c r="B1030" s="9">
        <f>IFERROR(__xludf.DUMMYFUNCTION("""COMPUTED_VALUE"""),45306.66384850694)</f>
        <v>45306.66385</v>
      </c>
      <c r="C1030" s="9"/>
      <c r="D1030" s="10">
        <f>IFERROR(__xludf.DUMMYFUNCTION("""COMPUTED_VALUE"""),45312.0)</f>
        <v>45312</v>
      </c>
      <c r="E1030" s="10" t="str">
        <f>IFERROR(__xludf.DUMMYFUNCTION("""COMPUTED_VALUE"""),"01Jan")</f>
        <v>01Jan</v>
      </c>
      <c r="F1030" s="10" t="str">
        <f>IFERROR(__xludf.DUMMYFUNCTION("""COMPUTED_VALUE"""),"2024")</f>
        <v>2024</v>
      </c>
      <c r="G1030" s="16" t="str">
        <f>IFERROR(__xludf.DUMMYFUNCTION("""COMPUTED_VALUE"""),"MURNIAH")</f>
        <v>MURNIAH</v>
      </c>
      <c r="H1030" s="17" t="str">
        <f>IFERROR(__xludf.DUMMYFUNCTION("""COMPUTED_VALUE"""),"M7424015453")</f>
        <v>M7424015453</v>
      </c>
      <c r="I1030" s="17">
        <f>IFERROR(__xludf.DUMMYFUNCTION("""COMPUTED_VALUE"""),51.0)</f>
        <v>51</v>
      </c>
      <c r="J1030" s="17" t="str">
        <f>IFERROR(__xludf.DUMMYFUNCTION("""COMPUTED_VALUE"""),"&gt; 44 tahun")</f>
        <v>&gt; 44 tahun</v>
      </c>
      <c r="K1030" s="19">
        <f>IFERROR(__xludf.DUMMYFUNCTION("""COMPUTED_VALUE"""),27339.0)</f>
        <v>27339</v>
      </c>
      <c r="L1030" s="19" t="str">
        <f>IFERROR(__xludf.DUMMYFUNCTION("""COMPUTED_VALUE"""),"PEREMPUAN")</f>
        <v>PEREMPUAN</v>
      </c>
      <c r="M1030" s="16" t="str">
        <f>IFERROR(__xludf.DUMMYFUNCTION("""COMPUTED_VALUE"""),"JL. ABDURRAHMAN SALEH GG. TUNAS BHAKTI")</f>
        <v>JL. ABDURRAHMAN SALEH GG. TUNAS BHAKTI</v>
      </c>
      <c r="N1030" s="16" t="str">
        <f>IFERROR(__xludf.DUMMYFUNCTION("""COMPUTED_VALUE"""),"KEL. BANGKA BELITUNG LAUT")</f>
        <v>KEL. BANGKA BELITUNG LAUT</v>
      </c>
      <c r="O1030" s="16" t="str">
        <f>IFERROR(__xludf.DUMMYFUNCTION("""COMPUTED_VALUE"""),"KEC. PONTIANAK TENGGARA")</f>
        <v>KEC. PONTIANAK TENGGARA</v>
      </c>
      <c r="P1030" s="16" t="str">
        <f>IFERROR(__xludf.DUMMYFUNCTION("""COMPUTED_VALUE"""),"KOTA PONTIANAK")</f>
        <v>KOTA PONTIANAK</v>
      </c>
      <c r="Q1030" s="16" t="str">
        <f>IFERROR(__xludf.DUMMYFUNCTION("""COMPUTED_VALUE"""),"KALIMANTAN BARAT")</f>
        <v>KALIMANTAN BARAT</v>
      </c>
      <c r="R1030" s="19" t="str">
        <f>IFERROR(__xludf.DUMMYFUNCTION("""COMPUTED_VALUE"""),"ISLAM")</f>
        <v>ISLAM</v>
      </c>
      <c r="S1030" s="16" t="str">
        <f>IFERROR(__xludf.DUMMYFUNCTION("""COMPUTED_VALUE"""),"RUMAH TANGGA")</f>
        <v>RUMAH TANGGA</v>
      </c>
      <c r="T1030" s="16" t="str">
        <f>IFERROR(__xludf.DUMMYFUNCTION("""COMPUTED_VALUE"""),"Pinggang sebelah kanan nyeri, kaki menjadi lemah")</f>
        <v>Pinggang sebelah kanan nyeri, kaki menjadi lemah</v>
      </c>
      <c r="U1030" s="16" t="str">
        <f>IFERROR(__xludf.DUMMYFUNCTION("""COMPUTED_VALUE"""),"Mengurus rumah tangga")</f>
        <v>Mengurus rumah tangga</v>
      </c>
      <c r="V1030" s="11" t="str">
        <f>IFERROR(__xludf.DUMMYFUNCTION("""COMPUTED_VALUE"""),"0895329665453")</f>
        <v>0895329665453</v>
      </c>
      <c r="W1030" s="15"/>
    </row>
    <row r="1031" ht="22.5" customHeight="1">
      <c r="A1031" s="8"/>
      <c r="B1031" s="9">
        <f>IFERROR(__xludf.DUMMYFUNCTION("""COMPUTED_VALUE"""),45307.38951350695)</f>
        <v>45307.38951</v>
      </c>
      <c r="C1031" s="9"/>
      <c r="D1031" s="10">
        <f>IFERROR(__xludf.DUMMYFUNCTION("""COMPUTED_VALUE"""),45312.0)</f>
        <v>45312</v>
      </c>
      <c r="E1031" s="10" t="str">
        <f>IFERROR(__xludf.DUMMYFUNCTION("""COMPUTED_VALUE"""),"01Jan")</f>
        <v>01Jan</v>
      </c>
      <c r="F1031" s="10" t="str">
        <f>IFERROR(__xludf.DUMMYFUNCTION("""COMPUTED_VALUE"""),"2024")</f>
        <v>2024</v>
      </c>
      <c r="G1031" s="16" t="str">
        <f>IFERROR(__xludf.DUMMYFUNCTION("""COMPUTED_VALUE"""),"MARHIBA")</f>
        <v>MARHIBA</v>
      </c>
      <c r="H1031" s="17" t="str">
        <f>IFERROR(__xludf.DUMMYFUNCTION("""COMPUTED_VALUE"""),"M7324013456")</f>
        <v>M7324013456</v>
      </c>
      <c r="I1031" s="17">
        <f>IFERROR(__xludf.DUMMYFUNCTION("""COMPUTED_VALUE"""),52.0)</f>
        <v>52</v>
      </c>
      <c r="J1031" s="17" t="str">
        <f>IFERROR(__xludf.DUMMYFUNCTION("""COMPUTED_VALUE"""),"&gt; 44 tahun")</f>
        <v>&gt; 44 tahun</v>
      </c>
      <c r="K1031" s="19">
        <f>IFERROR(__xludf.DUMMYFUNCTION("""COMPUTED_VALUE"""),26901.0)</f>
        <v>26901</v>
      </c>
      <c r="L1031" s="19" t="str">
        <f>IFERROR(__xludf.DUMMYFUNCTION("""COMPUTED_VALUE"""),"LAKI-LAKI")</f>
        <v>LAKI-LAKI</v>
      </c>
      <c r="M1031" s="16" t="str">
        <f>IFERROR(__xludf.DUMMYFUNCTION("""COMPUTED_VALUE"""),"JL DANAU SENTARUM KOMPLEK DANAU ASRI B21 PONTIANAK")</f>
        <v>JL DANAU SENTARUM KOMPLEK DANAU ASRI B21 PONTIANAK</v>
      </c>
      <c r="N1031" s="16" t="str">
        <f>IFERROR(__xludf.DUMMYFUNCTION("""COMPUTED_VALUE"""),"KEL. SUNGAI BANGKONG")</f>
        <v>KEL. SUNGAI BANGKONG</v>
      </c>
      <c r="O1031" s="16" t="str">
        <f>IFERROR(__xludf.DUMMYFUNCTION("""COMPUTED_VALUE"""),"KEC. PONTIANAK KOTA")</f>
        <v>KEC. PONTIANAK KOTA</v>
      </c>
      <c r="P1031" s="16" t="str">
        <f>IFERROR(__xludf.DUMMYFUNCTION("""COMPUTED_VALUE"""),"KOTA PONTIANAK")</f>
        <v>KOTA PONTIANAK</v>
      </c>
      <c r="Q1031" s="16" t="str">
        <f>IFERROR(__xludf.DUMMYFUNCTION("""COMPUTED_VALUE"""),"KALIMANTAN BARAT")</f>
        <v>KALIMANTAN BARAT</v>
      </c>
      <c r="R1031" s="19" t="str">
        <f>IFERROR(__xludf.DUMMYFUNCTION("""COMPUTED_VALUE"""),"ISLAM")</f>
        <v>ISLAM</v>
      </c>
      <c r="S1031" s="16" t="str">
        <f>IFERROR(__xludf.DUMMYFUNCTION("""COMPUTED_VALUE"""),"TNI/POLRI")</f>
        <v>TNI/POLRI</v>
      </c>
      <c r="T1031" s="16" t="str">
        <f>IFERROR(__xludf.DUMMYFUNCTION("""COMPUTED_VALUE"""),"Sakit di pergelangan kaki sebelah kanan")</f>
        <v>Sakit di pergelangan kaki sebelah kanan</v>
      </c>
      <c r="U1031" s="16" t="str">
        <f>IFERROR(__xludf.DUMMYFUNCTION("""COMPUTED_VALUE"""),"Renang")</f>
        <v>Renang</v>
      </c>
      <c r="V1031" s="11" t="str">
        <f>IFERROR(__xludf.DUMMYFUNCTION("""COMPUTED_VALUE"""),"082159363456")</f>
        <v>082159363456</v>
      </c>
      <c r="W1031" s="15"/>
    </row>
    <row r="1032" ht="22.5" customHeight="1">
      <c r="A1032" s="8"/>
      <c r="B1032" s="9">
        <f>IFERROR(__xludf.DUMMYFUNCTION("""COMPUTED_VALUE"""),45307.54079428241)</f>
        <v>45307.54079</v>
      </c>
      <c r="C1032" s="9"/>
      <c r="D1032" s="34">
        <f>IFERROR(__xludf.DUMMYFUNCTION("""COMPUTED_VALUE"""),45312.0)</f>
        <v>45312</v>
      </c>
      <c r="E1032" s="34" t="str">
        <f>IFERROR(__xludf.DUMMYFUNCTION("""COMPUTED_VALUE"""),"01Jan")</f>
        <v>01Jan</v>
      </c>
      <c r="F1032" s="34" t="str">
        <f>IFERROR(__xludf.DUMMYFUNCTION("""COMPUTED_VALUE"""),"2024")</f>
        <v>2024</v>
      </c>
      <c r="G1032" s="35" t="str">
        <f>IFERROR(__xludf.DUMMYFUNCTION("""COMPUTED_VALUE"""),"RAFI’AH 5308")</f>
        <v>RAFI’AH 5308</v>
      </c>
      <c r="H1032" s="17" t="str">
        <f>IFERROR(__xludf.DUMMYFUNCTION("""COMPUTED_VALUE"""),"R5324010987")</f>
        <v>R5324010987</v>
      </c>
      <c r="I1032" s="17">
        <f>IFERROR(__xludf.DUMMYFUNCTION("""COMPUTED_VALUE"""),72.0)</f>
        <v>72</v>
      </c>
      <c r="J1032" s="17" t="str">
        <f>IFERROR(__xludf.DUMMYFUNCTION("""COMPUTED_VALUE"""),"&gt; 44 tahun")</f>
        <v>&gt; 44 tahun</v>
      </c>
      <c r="K1032" s="19">
        <f>IFERROR(__xludf.DUMMYFUNCTION("""COMPUTED_VALUE"""),19586.0)</f>
        <v>19586</v>
      </c>
      <c r="L1032" s="19" t="str">
        <f>IFERROR(__xludf.DUMMYFUNCTION("""COMPUTED_VALUE"""),"PEREMPUAN")</f>
        <v>PEREMPUAN</v>
      </c>
      <c r="M1032" s="35" t="str">
        <f>IFERROR(__xludf.DUMMYFUNCTION("""COMPUTED_VALUE"""),"JL. PROF. DR. M. YAMIN GG DARUL FALAH DALAM NO. 57")</f>
        <v>JL. PROF. DR. M. YAMIN GG DARUL FALAH DALAM NO. 57</v>
      </c>
      <c r="N1032" s="16" t="str">
        <f>IFERROR(__xludf.DUMMYFUNCTION("""COMPUTED_VALUE"""),"KEL. SUNGAI BANGKONG")</f>
        <v>KEL. SUNGAI BANGKONG</v>
      </c>
      <c r="O1032" s="16" t="str">
        <f>IFERROR(__xludf.DUMMYFUNCTION("""COMPUTED_VALUE"""),"KEC. PONTIANAK KOTA")</f>
        <v>KEC. PONTIANAK KOTA</v>
      </c>
      <c r="P1032" s="16" t="str">
        <f>IFERROR(__xludf.DUMMYFUNCTION("""COMPUTED_VALUE"""),"KOTA PONTIANAK")</f>
        <v>KOTA PONTIANAK</v>
      </c>
      <c r="Q1032" s="35" t="str">
        <f>IFERROR(__xludf.DUMMYFUNCTION("""COMPUTED_VALUE"""),"KALIMANTAN BARAT")</f>
        <v>KALIMANTAN BARAT</v>
      </c>
      <c r="R1032" s="19" t="str">
        <f>IFERROR(__xludf.DUMMYFUNCTION("""COMPUTED_VALUE"""),"ISLAM")</f>
        <v>ISLAM</v>
      </c>
      <c r="S1032" s="16" t="str">
        <f>IFERROR(__xludf.DUMMYFUNCTION("""COMPUTED_VALUE"""),"RUMAH TANGGA")</f>
        <v>RUMAH TANGGA</v>
      </c>
      <c r="T1032" s="16" t="str">
        <f>IFERROR(__xludf.DUMMYFUNCTION("""COMPUTED_VALUE"""),"Nyeri karena reumatik")</f>
        <v>Nyeri karena reumatik</v>
      </c>
      <c r="U1032" s="16" t="str">
        <f>IFERROR(__xludf.DUMMYFUNCTION("""COMPUTED_VALUE"""),"Mengurus rumah tangga")</f>
        <v>Mengurus rumah tangga</v>
      </c>
      <c r="V1032" s="11" t="str">
        <f>IFERROR(__xludf.DUMMYFUNCTION("""COMPUTED_VALUE"""),"081349490987")</f>
        <v>081349490987</v>
      </c>
      <c r="W1032" s="15"/>
    </row>
    <row r="1033" ht="22.5" customHeight="1">
      <c r="A1033" s="8"/>
      <c r="B1033" s="9">
        <f>IFERROR(__xludf.DUMMYFUNCTION("""COMPUTED_VALUE"""),45307.66979895833)</f>
        <v>45307.6698</v>
      </c>
      <c r="C1033" s="9"/>
      <c r="D1033" s="10">
        <f>IFERROR(__xludf.DUMMYFUNCTION("""COMPUTED_VALUE"""),45312.0)</f>
        <v>45312</v>
      </c>
      <c r="E1033" s="10" t="str">
        <f>IFERROR(__xludf.DUMMYFUNCTION("""COMPUTED_VALUE"""),"01Jan")</f>
        <v>01Jan</v>
      </c>
      <c r="F1033" s="10" t="str">
        <f>IFERROR(__xludf.DUMMYFUNCTION("""COMPUTED_VALUE"""),"2024")</f>
        <v>2024</v>
      </c>
      <c r="G1033" s="16" t="str">
        <f>IFERROR(__xludf.DUMMYFUNCTION("""COMPUTED_VALUE"""),"ULNI ZULFIKAR")</f>
        <v>ULNI ZULFIKAR</v>
      </c>
      <c r="H1033" s="17" t="str">
        <f>IFERROR(__xludf.DUMMYFUNCTION("""COMPUTED_VALUE"""),"U9324010139")</f>
        <v>U9324010139</v>
      </c>
      <c r="I1033" s="17">
        <f>IFERROR(__xludf.DUMMYFUNCTION("""COMPUTED_VALUE"""),32.0)</f>
        <v>32</v>
      </c>
      <c r="J1033" s="17" t="str">
        <f>IFERROR(__xludf.DUMMYFUNCTION("""COMPUTED_VALUE"""),"25-34 tahun")</f>
        <v>25-34 tahun</v>
      </c>
      <c r="K1033" s="19">
        <f>IFERROR(__xludf.DUMMYFUNCTION("""COMPUTED_VALUE"""),34294.0)</f>
        <v>34294</v>
      </c>
      <c r="L1033" s="19" t="str">
        <f>IFERROR(__xludf.DUMMYFUNCTION("""COMPUTED_VALUE"""),"LAKI-LAKI")</f>
        <v>LAKI-LAKI</v>
      </c>
      <c r="M1033" s="16" t="str">
        <f>IFERROR(__xludf.DUMMYFUNCTION("""COMPUTED_VALUE"""),"JL PARIT HAJI HUSEIN II GG WISATA 17B")</f>
        <v>JL PARIT HAJI HUSEIN II GG WISATA 17B</v>
      </c>
      <c r="N1033" s="16" t="str">
        <f>IFERROR(__xludf.DUMMYFUNCTION("""COMPUTED_VALUE"""),"KEL. BANGKA BELITUNG DARAT")</f>
        <v>KEL. BANGKA BELITUNG DARAT</v>
      </c>
      <c r="O1033" s="16" t="str">
        <f>IFERROR(__xludf.DUMMYFUNCTION("""COMPUTED_VALUE"""),"KEC. PONTIANAK TENGGARA")</f>
        <v>KEC. PONTIANAK TENGGARA</v>
      </c>
      <c r="P1033" s="16" t="str">
        <f>IFERROR(__xludf.DUMMYFUNCTION("""COMPUTED_VALUE"""),"KOTA PONTIANAK")</f>
        <v>KOTA PONTIANAK</v>
      </c>
      <c r="Q1033" s="16" t="str">
        <f>IFERROR(__xludf.DUMMYFUNCTION("""COMPUTED_VALUE"""),"KALIMANTAN BARAT")</f>
        <v>KALIMANTAN BARAT</v>
      </c>
      <c r="R1033" s="19" t="str">
        <f>IFERROR(__xludf.DUMMYFUNCTION("""COMPUTED_VALUE"""),"ISLAM")</f>
        <v>ISLAM</v>
      </c>
      <c r="S1033" s="16" t="str">
        <f>IFERROR(__xludf.DUMMYFUNCTION("""COMPUTED_VALUE"""),"WIRASWASTA")</f>
        <v>WIRASWASTA</v>
      </c>
      <c r="T1033" s="16" t="str">
        <f>IFERROR(__xludf.DUMMYFUNCTION("""COMPUTED_VALUE"""),"Kaki keseleo")</f>
        <v>Kaki keseleo</v>
      </c>
      <c r="U1033" s="16" t="str">
        <f>IFERROR(__xludf.DUMMYFUNCTION("""COMPUTED_VALUE"""),"Olahraga")</f>
        <v>Olahraga</v>
      </c>
      <c r="V1033" s="11" t="str">
        <f>IFERROR(__xludf.DUMMYFUNCTION("""COMPUTED_VALUE"""),"082154720139")</f>
        <v>082154720139</v>
      </c>
      <c r="W1033" s="15"/>
    </row>
    <row r="1034" ht="22.5" customHeight="1">
      <c r="A1034" s="8"/>
      <c r="B1034" s="9">
        <f>IFERROR(__xludf.DUMMYFUNCTION("""COMPUTED_VALUE"""),45307.838368310186)</f>
        <v>45307.83837</v>
      </c>
      <c r="C1034" s="9"/>
      <c r="D1034" s="10">
        <f>IFERROR(__xludf.DUMMYFUNCTION("""COMPUTED_VALUE"""),45313.0)</f>
        <v>45313</v>
      </c>
      <c r="E1034" s="10" t="str">
        <f>IFERROR(__xludf.DUMMYFUNCTION("""COMPUTED_VALUE"""),"01Jan")</f>
        <v>01Jan</v>
      </c>
      <c r="F1034" s="10" t="str">
        <f>IFERROR(__xludf.DUMMYFUNCTION("""COMPUTED_VALUE"""),"2024")</f>
        <v>2024</v>
      </c>
      <c r="G1034" s="16" t="str">
        <f>IFERROR(__xludf.DUMMYFUNCTION("""COMPUTED_VALUE"""),"MUTIA BETANIA")</f>
        <v>MUTIA BETANIA</v>
      </c>
      <c r="H1034" s="17" t="str">
        <f>IFERROR(__xludf.DUMMYFUNCTION("""COMPUTED_VALUE"""),"M8124018889")</f>
        <v>M8124018889</v>
      </c>
      <c r="I1034" s="17">
        <f>IFERROR(__xludf.DUMMYFUNCTION("""COMPUTED_VALUE"""),44.0)</f>
        <v>44</v>
      </c>
      <c r="J1034" s="17" t="str">
        <f>IFERROR(__xludf.DUMMYFUNCTION("""COMPUTED_VALUE"""),"35-44 tahun")</f>
        <v>35-44 tahun</v>
      </c>
      <c r="K1034" s="19">
        <f>IFERROR(__xludf.DUMMYFUNCTION("""COMPUTED_VALUE"""),29935.0)</f>
        <v>29935</v>
      </c>
      <c r="L1034" s="19" t="str">
        <f>IFERROR(__xludf.DUMMYFUNCTION("""COMPUTED_VALUE"""),"PEREMPUAN")</f>
        <v>PEREMPUAN</v>
      </c>
      <c r="M1034" s="16" t="str">
        <f>IFERROR(__xludf.DUMMYFUNCTION("""COMPUTED_VALUE"""),"JL DANAU SENTARUM KOMPLEK DANAU ASRI B21")</f>
        <v>JL DANAU SENTARUM KOMPLEK DANAU ASRI B21</v>
      </c>
      <c r="N1034" s="16" t="str">
        <f>IFERROR(__xludf.DUMMYFUNCTION("""COMPUTED_VALUE"""),"KEL. SUNGAI BANGKONG")</f>
        <v>KEL. SUNGAI BANGKONG</v>
      </c>
      <c r="O1034" s="16" t="str">
        <f>IFERROR(__xludf.DUMMYFUNCTION("""COMPUTED_VALUE"""),"KEC. PONTIANAK KOTA")</f>
        <v>KEC. PONTIANAK KOTA</v>
      </c>
      <c r="P1034" s="16" t="str">
        <f>IFERROR(__xludf.DUMMYFUNCTION("""COMPUTED_VALUE"""),"KOTA PONTIANAK")</f>
        <v>KOTA PONTIANAK</v>
      </c>
      <c r="Q1034" s="16" t="str">
        <f>IFERROR(__xludf.DUMMYFUNCTION("""COMPUTED_VALUE"""),"KALIMANTAN BARAT")</f>
        <v>KALIMANTAN BARAT</v>
      </c>
      <c r="R1034" s="19" t="str">
        <f>IFERROR(__xludf.DUMMYFUNCTION("""COMPUTED_VALUE"""),"ISLAM")</f>
        <v>ISLAM</v>
      </c>
      <c r="S1034" s="16" t="str">
        <f>IFERROR(__xludf.DUMMYFUNCTION("""COMPUTED_VALUE"""),"TNI/POLRI")</f>
        <v>TNI/POLRI</v>
      </c>
      <c r="T1034" s="16" t="str">
        <f>IFERROR(__xludf.DUMMYFUNCTION("""COMPUTED_VALUE"""),"Sakit telapak kaki, tulang kering, tulang belakang dan pinggang")</f>
        <v>Sakit telapak kaki, tulang kering, tulang belakang dan pinggang</v>
      </c>
      <c r="U1034" s="16" t="str">
        <f>IFERROR(__xludf.DUMMYFUNCTION("""COMPUTED_VALUE"""),"jogging")</f>
        <v>jogging</v>
      </c>
      <c r="V1034" s="11" t="str">
        <f>IFERROR(__xludf.DUMMYFUNCTION("""COMPUTED_VALUE"""),"085349698889")</f>
        <v>085349698889</v>
      </c>
      <c r="W1034" s="15"/>
    </row>
    <row r="1035" ht="22.5" customHeight="1">
      <c r="A1035" s="8"/>
      <c r="B1035" s="9">
        <f>IFERROR(__xludf.DUMMYFUNCTION("""COMPUTED_VALUE"""),45308.55885168981)</f>
        <v>45308.55885</v>
      </c>
      <c r="C1035" s="9"/>
      <c r="D1035" s="10">
        <f>IFERROR(__xludf.DUMMYFUNCTION("""COMPUTED_VALUE"""),45313.0)</f>
        <v>45313</v>
      </c>
      <c r="E1035" s="10" t="str">
        <f>IFERROR(__xludf.DUMMYFUNCTION("""COMPUTED_VALUE"""),"01Jan")</f>
        <v>01Jan</v>
      </c>
      <c r="F1035" s="10" t="str">
        <f>IFERROR(__xludf.DUMMYFUNCTION("""COMPUTED_VALUE"""),"2024")</f>
        <v>2024</v>
      </c>
      <c r="G1035" s="16" t="str">
        <f>IFERROR(__xludf.DUMMYFUNCTION("""COMPUTED_VALUE"""),"ENDY PERMANA")</f>
        <v>ENDY PERMANA</v>
      </c>
      <c r="H1035" s="17" t="str">
        <f>IFERROR(__xludf.DUMMYFUNCTION("""COMPUTED_VALUE"""),"E8224012536")</f>
        <v>E8224012536</v>
      </c>
      <c r="I1035" s="17">
        <f>IFERROR(__xludf.DUMMYFUNCTION("""COMPUTED_VALUE"""),44.0)</f>
        <v>44</v>
      </c>
      <c r="J1035" s="17" t="str">
        <f>IFERROR(__xludf.DUMMYFUNCTION("""COMPUTED_VALUE"""),"35-44 tahun")</f>
        <v>35-44 tahun</v>
      </c>
      <c r="K1035" s="19">
        <f>IFERROR(__xludf.DUMMYFUNCTION("""COMPUTED_VALUE"""),30001.0)</f>
        <v>30001</v>
      </c>
      <c r="L1035" s="19" t="str">
        <f>IFERROR(__xludf.DUMMYFUNCTION("""COMPUTED_VALUE"""),"LAKI-LAKI")</f>
        <v>LAKI-LAKI</v>
      </c>
      <c r="M1035" s="16" t="str">
        <f>IFERROR(__xludf.DUMMYFUNCTION("""COMPUTED_VALUE"""),"JL.SOSOK RAYA 2 NO. 25")</f>
        <v>JL.SOSOK RAYA 2 NO. 25</v>
      </c>
      <c r="N1035" s="16" t="str">
        <f>IFERROR(__xludf.DUMMYFUNCTION("""COMPUTED_VALUE"""),"DS. SOSOK")</f>
        <v>DS. SOSOK</v>
      </c>
      <c r="O1035" s="16" t="str">
        <f>IFERROR(__xludf.DUMMYFUNCTION("""COMPUTED_VALUE"""),"KEC. TAYAN HULU")</f>
        <v>KEC. TAYAN HULU</v>
      </c>
      <c r="P1035" s="16" t="str">
        <f>IFERROR(__xludf.DUMMYFUNCTION("""COMPUTED_VALUE"""),"KAB. SANGGAU")</f>
        <v>KAB. SANGGAU</v>
      </c>
      <c r="Q1035" s="16" t="str">
        <f>IFERROR(__xludf.DUMMYFUNCTION("""COMPUTED_VALUE"""),"KALIMANTAN BARAT")</f>
        <v>KALIMANTAN BARAT</v>
      </c>
      <c r="R1035" s="19" t="str">
        <f>IFERROR(__xludf.DUMMYFUNCTION("""COMPUTED_VALUE"""),"ISLAM")</f>
        <v>ISLAM</v>
      </c>
      <c r="S1035" s="16" t="str">
        <f>IFERROR(__xludf.DUMMYFUNCTION("""COMPUTED_VALUE"""),"SWASTA")</f>
        <v>SWASTA</v>
      </c>
      <c r="T1035" s="16" t="str">
        <f>IFERROR(__xludf.DUMMYFUNCTION("""COMPUTED_VALUE"""),"Nyeri otot bahu")</f>
        <v>Nyeri otot bahu</v>
      </c>
      <c r="U1035" s="16" t="str">
        <f>IFERROR(__xludf.DUMMYFUNCTION("""COMPUTED_VALUE"""),"Warung nasi")</f>
        <v>Warung nasi</v>
      </c>
      <c r="V1035" s="11" t="str">
        <f>IFERROR(__xludf.DUMMYFUNCTION("""COMPUTED_VALUE"""),"081375542536")</f>
        <v>081375542536</v>
      </c>
      <c r="W1035" s="15"/>
    </row>
    <row r="1036" ht="22.5" customHeight="1">
      <c r="A1036" s="8"/>
      <c r="B1036" s="9">
        <f>IFERROR(__xludf.DUMMYFUNCTION("""COMPUTED_VALUE"""),45308.692960555556)</f>
        <v>45308.69296</v>
      </c>
      <c r="C1036" s="9"/>
      <c r="D1036" s="10">
        <f>IFERROR(__xludf.DUMMYFUNCTION("""COMPUTED_VALUE"""),45313.0)</f>
        <v>45313</v>
      </c>
      <c r="E1036" s="10" t="str">
        <f>IFERROR(__xludf.DUMMYFUNCTION("""COMPUTED_VALUE"""),"01Jan")</f>
        <v>01Jan</v>
      </c>
      <c r="F1036" s="10" t="str">
        <f>IFERROR(__xludf.DUMMYFUNCTION("""COMPUTED_VALUE"""),"2024")</f>
        <v>2024</v>
      </c>
      <c r="G1036" s="16" t="str">
        <f>IFERROR(__xludf.DUMMYFUNCTION("""COMPUTED_VALUE"""),"ADI SIDARTA")</f>
        <v>ADI SIDARTA</v>
      </c>
      <c r="H1036" s="17" t="str">
        <f>IFERROR(__xludf.DUMMYFUNCTION("""COMPUTED_VALUE"""),"A7824014678")</f>
        <v>A7824014678</v>
      </c>
      <c r="I1036" s="17">
        <f>IFERROR(__xludf.DUMMYFUNCTION("""COMPUTED_VALUE"""),47.0)</f>
        <v>47</v>
      </c>
      <c r="J1036" s="17" t="str">
        <f>IFERROR(__xludf.DUMMYFUNCTION("""COMPUTED_VALUE"""),"&gt; 44 tahun")</f>
        <v>&gt; 44 tahun</v>
      </c>
      <c r="K1036" s="19">
        <f>IFERROR(__xludf.DUMMYFUNCTION("""COMPUTED_VALUE"""),28830.0)</f>
        <v>28830</v>
      </c>
      <c r="L1036" s="19" t="str">
        <f>IFERROR(__xludf.DUMMYFUNCTION("""COMPUTED_VALUE"""),"LAKI-LAKI")</f>
        <v>LAKI-LAKI</v>
      </c>
      <c r="M1036" s="16" t="str">
        <f>IFERROR(__xludf.DUMMYFUNCTION("""COMPUTED_VALUE"""),"JL.SOSOK RAYA 2 NO. 25")</f>
        <v>JL.SOSOK RAYA 2 NO. 25</v>
      </c>
      <c r="N1036" s="16" t="str">
        <f>IFERROR(__xludf.DUMMYFUNCTION("""COMPUTED_VALUE"""),"DS. SOSOK")</f>
        <v>DS. SOSOK</v>
      </c>
      <c r="O1036" s="16" t="str">
        <f>IFERROR(__xludf.DUMMYFUNCTION("""COMPUTED_VALUE"""),"KEC. TAYAN HULU")</f>
        <v>KEC. TAYAN HULU</v>
      </c>
      <c r="P1036" s="16" t="str">
        <f>IFERROR(__xludf.DUMMYFUNCTION("""COMPUTED_VALUE"""),"KAB. SANGGAU")</f>
        <v>KAB. SANGGAU</v>
      </c>
      <c r="Q1036" s="16" t="str">
        <f>IFERROR(__xludf.DUMMYFUNCTION("""COMPUTED_VALUE"""),"KALIMANTAN BARAT")</f>
        <v>KALIMANTAN BARAT</v>
      </c>
      <c r="R1036" s="19" t="str">
        <f>IFERROR(__xludf.DUMMYFUNCTION("""COMPUTED_VALUE"""),"ISLAM")</f>
        <v>ISLAM</v>
      </c>
      <c r="S1036" s="16" t="str">
        <f>IFERROR(__xludf.DUMMYFUNCTION("""COMPUTED_VALUE"""),"WIRASWASTA")</f>
        <v>WIRASWASTA</v>
      </c>
      <c r="T1036" s="16" t="str">
        <f>IFERROR(__xludf.DUMMYFUNCTION("""COMPUTED_VALUE"""),"Nyeri bagian bahu tangan kiri dan leher")</f>
        <v>Nyeri bagian bahu tangan kiri dan leher</v>
      </c>
      <c r="U1036" s="16" t="str">
        <f>IFERROR(__xludf.DUMMYFUNCTION("""COMPUTED_VALUE"""),"Jualan nasi")</f>
        <v>Jualan nasi</v>
      </c>
      <c r="V1036" s="11" t="str">
        <f>IFERROR(__xludf.DUMMYFUNCTION("""COMPUTED_VALUE"""),"081257004678")</f>
        <v>081257004678</v>
      </c>
      <c r="W1036" s="15"/>
    </row>
    <row r="1037" ht="22.5" customHeight="1">
      <c r="A1037" s="8"/>
      <c r="B1037" s="9">
        <f>IFERROR(__xludf.DUMMYFUNCTION("""COMPUTED_VALUE"""),45309.655074016206)</f>
        <v>45309.65507</v>
      </c>
      <c r="C1037" s="9"/>
      <c r="D1037" s="10">
        <f>IFERROR(__xludf.DUMMYFUNCTION("""COMPUTED_VALUE"""),45313.0)</f>
        <v>45313</v>
      </c>
      <c r="E1037" s="10" t="str">
        <f>IFERROR(__xludf.DUMMYFUNCTION("""COMPUTED_VALUE"""),"01Jan")</f>
        <v>01Jan</v>
      </c>
      <c r="F1037" s="10" t="str">
        <f>IFERROR(__xludf.DUMMYFUNCTION("""COMPUTED_VALUE"""),"2024")</f>
        <v>2024</v>
      </c>
      <c r="G1037" s="16" t="str">
        <f>IFERROR(__xludf.DUMMYFUNCTION("""COMPUTED_VALUE"""),"M. RIYAN ZIKRI")</f>
        <v>M. RIYAN ZIKRI</v>
      </c>
      <c r="H1037" s="17" t="str">
        <f>IFERROR(__xludf.DUMMYFUNCTION("""COMPUTED_VALUE"""),"M9224018718")</f>
        <v>M9224018718</v>
      </c>
      <c r="I1037" s="17">
        <f>IFERROR(__xludf.DUMMYFUNCTION("""COMPUTED_VALUE"""),33.0)</f>
        <v>33</v>
      </c>
      <c r="J1037" s="17" t="str">
        <f>IFERROR(__xludf.DUMMYFUNCTION("""COMPUTED_VALUE"""),"25-34 tahun")</f>
        <v>25-34 tahun</v>
      </c>
      <c r="K1037" s="19">
        <f>IFERROR(__xludf.DUMMYFUNCTION("""COMPUTED_VALUE"""),33838.0)</f>
        <v>33838</v>
      </c>
      <c r="L1037" s="19" t="str">
        <f>IFERROR(__xludf.DUMMYFUNCTION("""COMPUTED_VALUE"""),"LAKI-LAKI")</f>
        <v>LAKI-LAKI</v>
      </c>
      <c r="M1037" s="16" t="str">
        <f>IFERROR(__xludf.DUMMYFUNCTION("""COMPUTED_VALUE"""),"JL. DANAU SENTARUM KOMP KEHUTANAN NO.11")</f>
        <v>JL. DANAU SENTARUM KOMP KEHUTANAN NO.11</v>
      </c>
      <c r="N1037" s="16" t="str">
        <f>IFERROR(__xludf.DUMMYFUNCTION("""COMPUTED_VALUE"""),"KEL. SUNGAI BANGKONG")</f>
        <v>KEL. SUNGAI BANGKONG</v>
      </c>
      <c r="O1037" s="16" t="str">
        <f>IFERROR(__xludf.DUMMYFUNCTION("""COMPUTED_VALUE"""),"KEC. PONTIANAK KOTA")</f>
        <v>KEC. PONTIANAK KOTA</v>
      </c>
      <c r="P1037" s="16" t="str">
        <f>IFERROR(__xludf.DUMMYFUNCTION("""COMPUTED_VALUE"""),"KOTA PONTIANAK")</f>
        <v>KOTA PONTIANAK</v>
      </c>
      <c r="Q1037" s="16" t="str">
        <f>IFERROR(__xludf.DUMMYFUNCTION("""COMPUTED_VALUE"""),"KALIMANTAN BARAT")</f>
        <v>KALIMANTAN BARAT</v>
      </c>
      <c r="R1037" s="19" t="str">
        <f>IFERROR(__xludf.DUMMYFUNCTION("""COMPUTED_VALUE"""),"ISLAM")</f>
        <v>ISLAM</v>
      </c>
      <c r="S1037" s="16" t="str">
        <f>IFERROR(__xludf.DUMMYFUNCTION("""COMPUTED_VALUE"""),"BUMD")</f>
        <v>BUMD</v>
      </c>
      <c r="T1037" s="16" t="str">
        <f>IFERROR(__xludf.DUMMYFUNCTION("""COMPUTED_VALUE"""),"NYERI DI BAGIAN PINGGANG")</f>
        <v>NYERI DI BAGIAN PINGGANG</v>
      </c>
      <c r="U1037" s="16" t="str">
        <f>IFERROR(__xludf.DUMMYFUNCTION("""COMPUTED_VALUE"""),"Kerja, Futsal")</f>
        <v>Kerja, Futsal</v>
      </c>
      <c r="V1037" s="11" t="str">
        <f>IFERROR(__xludf.DUMMYFUNCTION("""COMPUTED_VALUE"""),"085750408718")</f>
        <v>085750408718</v>
      </c>
      <c r="W1037" s="15"/>
    </row>
    <row r="1038" ht="22.5" customHeight="1">
      <c r="A1038" s="8"/>
      <c r="B1038" s="9">
        <f>IFERROR(__xludf.DUMMYFUNCTION("""COMPUTED_VALUE"""),45311.55731408564)</f>
        <v>45311.55731</v>
      </c>
      <c r="C1038" s="9"/>
      <c r="D1038" s="10">
        <f>IFERROR(__xludf.DUMMYFUNCTION("""COMPUTED_VALUE"""),45313.0)</f>
        <v>45313</v>
      </c>
      <c r="E1038" s="10" t="str">
        <f>IFERROR(__xludf.DUMMYFUNCTION("""COMPUTED_VALUE"""),"01Jan")</f>
        <v>01Jan</v>
      </c>
      <c r="F1038" s="10" t="str">
        <f>IFERROR(__xludf.DUMMYFUNCTION("""COMPUTED_VALUE"""),"2024")</f>
        <v>2024</v>
      </c>
      <c r="G1038" s="16" t="str">
        <f>IFERROR(__xludf.DUMMYFUNCTION("""COMPUTED_VALUE"""),"JANSEN KURNIAWAN")</f>
        <v>JANSEN KURNIAWAN</v>
      </c>
      <c r="H1038" s="17" t="str">
        <f>IFERROR(__xludf.DUMMYFUNCTION("""COMPUTED_VALUE"""),"J9324010808")</f>
        <v>J9324010808</v>
      </c>
      <c r="I1038" s="17">
        <f>IFERROR(__xludf.DUMMYFUNCTION("""COMPUTED_VALUE"""),32.0)</f>
        <v>32</v>
      </c>
      <c r="J1038" s="17" t="str">
        <f>IFERROR(__xludf.DUMMYFUNCTION("""COMPUTED_VALUE"""),"25-34 tahun")</f>
        <v>25-34 tahun</v>
      </c>
      <c r="K1038" s="19">
        <f>IFERROR(__xludf.DUMMYFUNCTION("""COMPUTED_VALUE"""),34163.0)</f>
        <v>34163</v>
      </c>
      <c r="L1038" s="19" t="str">
        <f>IFERROR(__xludf.DUMMYFUNCTION("""COMPUTED_VALUE"""),"LAKI-LAKI")</f>
        <v>LAKI-LAKI</v>
      </c>
      <c r="M1038" s="16" t="str">
        <f>IFERROR(__xludf.DUMMYFUNCTION("""COMPUTED_VALUE"""),"JL DI PONEGORO NO 107")</f>
        <v>JL DI PONEGORO NO 107</v>
      </c>
      <c r="N1038" s="16" t="str">
        <f>IFERROR(__xludf.DUMMYFUNCTION("""COMPUTED_VALUE"""),"KEL. DARAT SEKIP")</f>
        <v>KEL. DARAT SEKIP</v>
      </c>
      <c r="O1038" s="16" t="str">
        <f>IFERROR(__xludf.DUMMYFUNCTION("""COMPUTED_VALUE"""),"KEC. PONTIANAK KOTA")</f>
        <v>KEC. PONTIANAK KOTA</v>
      </c>
      <c r="P1038" s="16" t="str">
        <f>IFERROR(__xludf.DUMMYFUNCTION("""COMPUTED_VALUE"""),"KOTA PONTIANAK")</f>
        <v>KOTA PONTIANAK</v>
      </c>
      <c r="Q1038" s="16" t="str">
        <f>IFERROR(__xludf.DUMMYFUNCTION("""COMPUTED_VALUE"""),"KALIMANTAN BARAT")</f>
        <v>KALIMANTAN BARAT</v>
      </c>
      <c r="R1038" s="19" t="str">
        <f>IFERROR(__xludf.DUMMYFUNCTION("""COMPUTED_VALUE"""),"PROTESTAN")</f>
        <v>PROTESTAN</v>
      </c>
      <c r="S1038" s="16" t="str">
        <f>IFERROR(__xludf.DUMMYFUNCTION("""COMPUTED_VALUE"""),"SWASTA")</f>
        <v>SWASTA</v>
      </c>
      <c r="T1038" s="16" t="str">
        <f>IFERROR(__xludf.DUMMYFUNCTION("""COMPUTED_VALUE"""),"Sakit dibagian")</f>
        <v>Sakit dibagian</v>
      </c>
      <c r="U1038" s="16" t="str">
        <f>IFERROR(__xludf.DUMMYFUNCTION("""COMPUTED_VALUE"""),"Badminton")</f>
        <v>Badminton</v>
      </c>
      <c r="V1038" s="11" t="str">
        <f>IFERROR(__xludf.DUMMYFUNCTION("""COMPUTED_VALUE"""),"081253350808")</f>
        <v>081253350808</v>
      </c>
      <c r="W1038" s="15"/>
    </row>
    <row r="1039" ht="22.5" customHeight="1">
      <c r="A1039" s="8"/>
      <c r="B1039" s="9">
        <f>IFERROR(__xludf.DUMMYFUNCTION("""COMPUTED_VALUE"""),45311.87972087963)</f>
        <v>45311.87972</v>
      </c>
      <c r="C1039" s="9"/>
      <c r="D1039" s="10">
        <f>IFERROR(__xludf.DUMMYFUNCTION("""COMPUTED_VALUE"""),45314.0)</f>
        <v>45314</v>
      </c>
      <c r="E1039" s="10" t="str">
        <f>IFERROR(__xludf.DUMMYFUNCTION("""COMPUTED_VALUE"""),"01Jan")</f>
        <v>01Jan</v>
      </c>
      <c r="F1039" s="10" t="str">
        <f>IFERROR(__xludf.DUMMYFUNCTION("""COMPUTED_VALUE"""),"2024")</f>
        <v>2024</v>
      </c>
      <c r="G1039" s="16" t="str">
        <f>IFERROR(__xludf.DUMMYFUNCTION("""COMPUTED_VALUE"""),"YUNI PUSPITA SARI")</f>
        <v>YUNI PUSPITA SARI</v>
      </c>
      <c r="H1039" s="17" t="str">
        <f>IFERROR(__xludf.DUMMYFUNCTION("""COMPUTED_VALUE"""),"Y8824015179")</f>
        <v>Y8824015179</v>
      </c>
      <c r="I1039" s="17">
        <f>IFERROR(__xludf.DUMMYFUNCTION("""COMPUTED_VALUE"""),38.0)</f>
        <v>38</v>
      </c>
      <c r="J1039" s="17" t="str">
        <f>IFERROR(__xludf.DUMMYFUNCTION("""COMPUTED_VALUE"""),"35-44 tahun")</f>
        <v>35-44 tahun</v>
      </c>
      <c r="K1039" s="19">
        <f>IFERROR(__xludf.DUMMYFUNCTION("""COMPUTED_VALUE"""),32167.0)</f>
        <v>32167</v>
      </c>
      <c r="L1039" s="19" t="str">
        <f>IFERROR(__xludf.DUMMYFUNCTION("""COMPUTED_VALUE"""),"PEREMPUAN")</f>
        <v>PEREMPUAN</v>
      </c>
      <c r="M1039" s="16" t="str">
        <f>IFERROR(__xludf.DUMMYFUNCTION("""COMPUTED_VALUE"""),"JL. SEPAKAT 2 KOMPL. VILLA SEPAKAT NO. 4-D")</f>
        <v>JL. SEPAKAT 2 KOMPL. VILLA SEPAKAT NO. 4-D</v>
      </c>
      <c r="N1039" s="16" t="str">
        <f>IFERROR(__xludf.DUMMYFUNCTION("""COMPUTED_VALUE"""),"KEL. BANSIR DARAT")</f>
        <v>KEL. BANSIR DARAT</v>
      </c>
      <c r="O1039" s="16" t="str">
        <f>IFERROR(__xludf.DUMMYFUNCTION("""COMPUTED_VALUE"""),"KEC. PONTIANAK TENGGARA")</f>
        <v>KEC. PONTIANAK TENGGARA</v>
      </c>
      <c r="P1039" s="16" t="str">
        <f>IFERROR(__xludf.DUMMYFUNCTION("""COMPUTED_VALUE"""),"KOTA PONTIANAK")</f>
        <v>KOTA PONTIANAK</v>
      </c>
      <c r="Q1039" s="16" t="str">
        <f>IFERROR(__xludf.DUMMYFUNCTION("""COMPUTED_VALUE"""),"KALIMANTAN BARAT")</f>
        <v>KALIMANTAN BARAT</v>
      </c>
      <c r="R1039" s="19" t="str">
        <f>IFERROR(__xludf.DUMMYFUNCTION("""COMPUTED_VALUE"""),"ISLAM")</f>
        <v>ISLAM</v>
      </c>
      <c r="S1039" s="16" t="str">
        <f>IFERROR(__xludf.DUMMYFUNCTION("""COMPUTED_VALUE"""),"RUMAH TANGGA")</f>
        <v>RUMAH TANGGA</v>
      </c>
      <c r="T1039" s="16" t="str">
        <f>IFERROR(__xludf.DUMMYFUNCTION("""COMPUTED_VALUE"""),"Sakit Pinggang dan Tangan")</f>
        <v>Sakit Pinggang dan Tangan</v>
      </c>
      <c r="U1039" s="16" t="str">
        <f>IFERROR(__xludf.DUMMYFUNCTION("""COMPUTED_VALUE"""),"Kemas Rumah")</f>
        <v>Kemas Rumah</v>
      </c>
      <c r="V1039" s="11" t="str">
        <f>IFERROR(__xludf.DUMMYFUNCTION("""COMPUTED_VALUE"""),"0811575179")</f>
        <v>0811575179</v>
      </c>
      <c r="W1039" s="15"/>
    </row>
    <row r="1040" ht="22.5" customHeight="1">
      <c r="A1040" s="8"/>
      <c r="B1040" s="9">
        <f>IFERROR(__xludf.DUMMYFUNCTION("""COMPUTED_VALUE"""),45312.49578516204)</f>
        <v>45312.49579</v>
      </c>
      <c r="C1040" s="9"/>
      <c r="D1040" s="10">
        <f>IFERROR(__xludf.DUMMYFUNCTION("""COMPUTED_VALUE"""),45314.0)</f>
        <v>45314</v>
      </c>
      <c r="E1040" s="10" t="str">
        <f>IFERROR(__xludf.DUMMYFUNCTION("""COMPUTED_VALUE"""),"01Jan")</f>
        <v>01Jan</v>
      </c>
      <c r="F1040" s="10" t="str">
        <f>IFERROR(__xludf.DUMMYFUNCTION("""COMPUTED_VALUE"""),"2024")</f>
        <v>2024</v>
      </c>
      <c r="G1040" s="16" t="str">
        <f>IFERROR(__xludf.DUMMYFUNCTION("""COMPUTED_VALUE"""),"MAKAYLA INDRA KRISNA")</f>
        <v>MAKAYLA INDRA KRISNA</v>
      </c>
      <c r="H1040" s="17" t="str">
        <f>IFERROR(__xludf.DUMMYFUNCTION("""COMPUTED_VALUE"""),"M1224015934")</f>
        <v>M1224015934</v>
      </c>
      <c r="I1040" s="17">
        <f>IFERROR(__xludf.DUMMYFUNCTION("""COMPUTED_VALUE"""),13.0)</f>
        <v>13</v>
      </c>
      <c r="J1040" s="17" t="str">
        <f>IFERROR(__xludf.DUMMYFUNCTION("""COMPUTED_VALUE"""),"&lt; 18 tahun")</f>
        <v>&lt; 18 tahun</v>
      </c>
      <c r="K1040" s="19">
        <f>IFERROR(__xludf.DUMMYFUNCTION("""COMPUTED_VALUE"""),41082.0)</f>
        <v>41082</v>
      </c>
      <c r="L1040" s="19" t="str">
        <f>IFERROR(__xludf.DUMMYFUNCTION("""COMPUTED_VALUE"""),"PEREMPUAN")</f>
        <v>PEREMPUAN</v>
      </c>
      <c r="M1040" s="16" t="str">
        <f>IFERROR(__xludf.DUMMYFUNCTION("""COMPUTED_VALUE"""),"JL. S. PARMAN NO 18B")</f>
        <v>JL. S. PARMAN NO 18B</v>
      </c>
      <c r="N1040" s="16" t="str">
        <f>IFERROR(__xludf.DUMMYFUNCTION("""COMPUTED_VALUE"""),"KEL. BENUA MELAYU DARAT")</f>
        <v>KEL. BENUA MELAYU DARAT</v>
      </c>
      <c r="O1040" s="16" t="str">
        <f>IFERROR(__xludf.DUMMYFUNCTION("""COMPUTED_VALUE"""),"KEC. PONTIANAK SELATAN")</f>
        <v>KEC. PONTIANAK SELATAN</v>
      </c>
      <c r="P1040" s="16" t="str">
        <f>IFERROR(__xludf.DUMMYFUNCTION("""COMPUTED_VALUE"""),"KOTA PONTIANAK")</f>
        <v>KOTA PONTIANAK</v>
      </c>
      <c r="Q1040" s="16" t="str">
        <f>IFERROR(__xludf.DUMMYFUNCTION("""COMPUTED_VALUE"""),"KALIMANTAN BARAT")</f>
        <v>KALIMANTAN BARAT</v>
      </c>
      <c r="R1040" s="19" t="str">
        <f>IFERROR(__xludf.DUMMYFUNCTION("""COMPUTED_VALUE"""),"ISLAM")</f>
        <v>ISLAM</v>
      </c>
      <c r="S1040" s="16" t="str">
        <f>IFERROR(__xludf.DUMMYFUNCTION("""COMPUTED_VALUE"""),"PELAJAR/MAHASISWA")</f>
        <v>PELAJAR/MAHASISWA</v>
      </c>
      <c r="T1040" s="16" t="str">
        <f>IFERROR(__xludf.DUMMYFUNCTION("""COMPUTED_VALUE"""),"SAKIT BAGIAN PANTAT")</f>
        <v>SAKIT BAGIAN PANTAT</v>
      </c>
      <c r="U1040" s="16" t="str">
        <f>IFERROR(__xludf.DUMMYFUNCTION("""COMPUTED_VALUE"""),"JALAN KAKI")</f>
        <v>JALAN KAKI</v>
      </c>
      <c r="V1040" s="11" t="str">
        <f>IFERROR(__xludf.DUMMYFUNCTION("""COMPUTED_VALUE"""),"081549005934")</f>
        <v>081549005934</v>
      </c>
      <c r="W1040" s="15"/>
    </row>
    <row r="1041" ht="22.5" customHeight="1">
      <c r="A1041" s="8"/>
      <c r="B1041" s="9">
        <f>IFERROR(__xludf.DUMMYFUNCTION("""COMPUTED_VALUE"""),45312.71388512732)</f>
        <v>45312.71389</v>
      </c>
      <c r="C1041" s="9"/>
      <c r="D1041" s="10">
        <f>IFERROR(__xludf.DUMMYFUNCTION("""COMPUTED_VALUE"""),45314.0)</f>
        <v>45314</v>
      </c>
      <c r="E1041" s="10" t="str">
        <f>IFERROR(__xludf.DUMMYFUNCTION("""COMPUTED_VALUE"""),"01Jan")</f>
        <v>01Jan</v>
      </c>
      <c r="F1041" s="10" t="str">
        <f>IFERROR(__xludf.DUMMYFUNCTION("""COMPUTED_VALUE"""),"2024")</f>
        <v>2024</v>
      </c>
      <c r="G1041" s="16" t="str">
        <f>IFERROR(__xludf.DUMMYFUNCTION("""COMPUTED_VALUE"""),"DEDE MARTIN KURNIAWAN")</f>
        <v>DEDE MARTIN KURNIAWAN</v>
      </c>
      <c r="H1041" s="17" t="str">
        <f>IFERROR(__xludf.DUMMYFUNCTION("""COMPUTED_VALUE"""),"D7924015040")</f>
        <v>D7924015040</v>
      </c>
      <c r="I1041" s="17">
        <f>IFERROR(__xludf.DUMMYFUNCTION("""COMPUTED_VALUE"""),47.0)</f>
        <v>47</v>
      </c>
      <c r="J1041" s="17" t="str">
        <f>IFERROR(__xludf.DUMMYFUNCTION("""COMPUTED_VALUE"""),"&gt; 44 tahun")</f>
        <v>&gt; 44 tahun</v>
      </c>
      <c r="K1041" s="19">
        <f>IFERROR(__xludf.DUMMYFUNCTION("""COMPUTED_VALUE"""),28917.0)</f>
        <v>28917</v>
      </c>
      <c r="L1041" s="19" t="str">
        <f>IFERROR(__xludf.DUMMYFUNCTION("""COMPUTED_VALUE"""),"LAKI-LAKI")</f>
        <v>LAKI-LAKI</v>
      </c>
      <c r="M1041" s="16" t="str">
        <f>IFERROR(__xludf.DUMMYFUNCTION("""COMPUTED_VALUE"""),"JL. DR. WAHIDIN GG.SEPAKAT 8 NO.A8")</f>
        <v>JL. DR. WAHIDIN GG.SEPAKAT 8 NO.A8</v>
      </c>
      <c r="N1041" s="16" t="str">
        <f>IFERROR(__xludf.DUMMYFUNCTION("""COMPUTED_VALUE"""),"KEL. SUNGAI JAWI")</f>
        <v>KEL. SUNGAI JAWI</v>
      </c>
      <c r="O1041" s="16" t="str">
        <f>IFERROR(__xludf.DUMMYFUNCTION("""COMPUTED_VALUE"""),"KEC. PONTIANAK KOTA")</f>
        <v>KEC. PONTIANAK KOTA</v>
      </c>
      <c r="P1041" s="16" t="str">
        <f>IFERROR(__xludf.DUMMYFUNCTION("""COMPUTED_VALUE"""),"KOTA PONTIANAK")</f>
        <v>KOTA PONTIANAK</v>
      </c>
      <c r="Q1041" s="16" t="str">
        <f>IFERROR(__xludf.DUMMYFUNCTION("""COMPUTED_VALUE"""),"KALIMANTAN BARAT")</f>
        <v>KALIMANTAN BARAT</v>
      </c>
      <c r="R1041" s="19" t="str">
        <f>IFERROR(__xludf.DUMMYFUNCTION("""COMPUTED_VALUE"""),"ISLAM")</f>
        <v>ISLAM</v>
      </c>
      <c r="S1041" s="16" t="str">
        <f>IFERROR(__xludf.DUMMYFUNCTION("""COMPUTED_VALUE"""),"ASN")</f>
        <v>ASN</v>
      </c>
      <c r="T1041" s="16" t="str">
        <f>IFERROR(__xludf.DUMMYFUNCTION("""COMPUTED_VALUE"""),"Tegang dileher belakang")</f>
        <v>Tegang dileher belakang</v>
      </c>
      <c r="U1041" s="16" t="str">
        <f>IFERROR(__xludf.DUMMYFUNCTION("""COMPUTED_VALUE"""),"Kerja, Silat &amp; futsal")</f>
        <v>Kerja, Silat &amp; futsal</v>
      </c>
      <c r="V1041" s="11" t="str">
        <f>IFERROR(__xludf.DUMMYFUNCTION("""COMPUTED_VALUE"""),"081345765040")</f>
        <v>081345765040</v>
      </c>
      <c r="W1041" s="15"/>
    </row>
    <row r="1042" ht="22.5" customHeight="1">
      <c r="A1042" s="8"/>
      <c r="B1042" s="9">
        <f>IFERROR(__xludf.DUMMYFUNCTION("""COMPUTED_VALUE"""),45308.91520974537)</f>
        <v>45308.91521</v>
      </c>
      <c r="C1042" s="9"/>
      <c r="D1042" s="10">
        <f>IFERROR(__xludf.DUMMYFUNCTION("""COMPUTED_VALUE"""),45314.0)</f>
        <v>45314</v>
      </c>
      <c r="E1042" s="10" t="str">
        <f>IFERROR(__xludf.DUMMYFUNCTION("""COMPUTED_VALUE"""),"01Jan")</f>
        <v>01Jan</v>
      </c>
      <c r="F1042" s="10" t="str">
        <f>IFERROR(__xludf.DUMMYFUNCTION("""COMPUTED_VALUE"""),"2024")</f>
        <v>2024</v>
      </c>
      <c r="G1042" s="16" t="str">
        <f>IFERROR(__xludf.DUMMYFUNCTION("""COMPUTED_VALUE"""),"SUMARNO SAPUTRA")</f>
        <v>SUMARNO SAPUTRA</v>
      </c>
      <c r="H1042" s="17" t="str">
        <f>IFERROR(__xludf.DUMMYFUNCTION("""COMPUTED_VALUE"""),"S9724012637")</f>
        <v>S9724012637</v>
      </c>
      <c r="I1042" s="17">
        <f>IFERROR(__xludf.DUMMYFUNCTION("""COMPUTED_VALUE"""),29.0)</f>
        <v>29</v>
      </c>
      <c r="J1042" s="17" t="str">
        <f>IFERROR(__xludf.DUMMYFUNCTION("""COMPUTED_VALUE"""),"25-34 tahun")</f>
        <v>25-34 tahun</v>
      </c>
      <c r="K1042" s="19">
        <f>IFERROR(__xludf.DUMMYFUNCTION("""COMPUTED_VALUE"""),35569.0)</f>
        <v>35569</v>
      </c>
      <c r="L1042" s="19" t="str">
        <f>IFERROR(__xludf.DUMMYFUNCTION("""COMPUTED_VALUE"""),"LAKI-LAKI")</f>
        <v>LAKI-LAKI</v>
      </c>
      <c r="M1042" s="16" t="str">
        <f>IFERROR(__xludf.DUMMYFUNCTION("""COMPUTED_VALUE"""),"JL WONOYOSI GG 5 NO. 2")</f>
        <v>JL WONOYOSI GG 5 NO. 2</v>
      </c>
      <c r="N1042" s="16" t="str">
        <f>IFERROR(__xludf.DUMMYFUNCTION("""COMPUTED_VALUE"""),"KEL. AKCAYA")</f>
        <v>KEL. AKCAYA</v>
      </c>
      <c r="O1042" s="16" t="str">
        <f>IFERROR(__xludf.DUMMYFUNCTION("""COMPUTED_VALUE"""),"KEC. PONTIANAK SELATAN")</f>
        <v>KEC. PONTIANAK SELATAN</v>
      </c>
      <c r="P1042" s="16" t="str">
        <f>IFERROR(__xludf.DUMMYFUNCTION("""COMPUTED_VALUE"""),"KOTA PONTIANAK")</f>
        <v>KOTA PONTIANAK</v>
      </c>
      <c r="Q1042" s="16" t="str">
        <f>IFERROR(__xludf.DUMMYFUNCTION("""COMPUTED_VALUE"""),"KALIMANTAN BARAT")</f>
        <v>KALIMANTAN BARAT</v>
      </c>
      <c r="R1042" s="19" t="str">
        <f>IFERROR(__xludf.DUMMYFUNCTION("""COMPUTED_VALUE"""),"ISLAM")</f>
        <v>ISLAM</v>
      </c>
      <c r="S1042" s="16" t="str">
        <f>IFERROR(__xludf.DUMMYFUNCTION("""COMPUTED_VALUE"""),"BUMN")</f>
        <v>BUMN</v>
      </c>
      <c r="T1042" s="16" t="str">
        <f>IFERROR(__xludf.DUMMYFUNCTION("""COMPUTED_VALUE"""),"Nyeri pada")</f>
        <v>Nyeri pada</v>
      </c>
      <c r="U1042" s="16" t="str">
        <f>IFERROR(__xludf.DUMMYFUNCTION("""COMPUTED_VALUE"""),"Jalan atau joging")</f>
        <v>Jalan atau joging</v>
      </c>
      <c r="V1042" s="11" t="str">
        <f>IFERROR(__xludf.DUMMYFUNCTION("""COMPUTED_VALUE"""),"089517322637")</f>
        <v>089517322637</v>
      </c>
      <c r="W1042" s="15"/>
    </row>
    <row r="1043" ht="22.5" customHeight="1">
      <c r="A1043" s="8"/>
      <c r="B1043" s="9">
        <f>IFERROR(__xludf.DUMMYFUNCTION("""COMPUTED_VALUE"""),45312.76566936343)</f>
        <v>45312.76567</v>
      </c>
      <c r="C1043" s="9"/>
      <c r="D1043" s="10">
        <f>IFERROR(__xludf.DUMMYFUNCTION("""COMPUTED_VALUE"""),45314.0)</f>
        <v>45314</v>
      </c>
      <c r="E1043" s="10" t="str">
        <f>IFERROR(__xludf.DUMMYFUNCTION("""COMPUTED_VALUE"""),"01Jan")</f>
        <v>01Jan</v>
      </c>
      <c r="F1043" s="10" t="str">
        <f>IFERROR(__xludf.DUMMYFUNCTION("""COMPUTED_VALUE"""),"2024")</f>
        <v>2024</v>
      </c>
      <c r="G1043" s="16" t="str">
        <f>IFERROR(__xludf.DUMMYFUNCTION("""COMPUTED_VALUE"""),"DINDA LESTARI")</f>
        <v>DINDA LESTARI</v>
      </c>
      <c r="H1043" s="17" t="str">
        <f>IFERROR(__xludf.DUMMYFUNCTION("""COMPUTED_VALUE"""),"D9724012638")</f>
        <v>D9724012638</v>
      </c>
      <c r="I1043" s="17">
        <f>IFERROR(__xludf.DUMMYFUNCTION("""COMPUTED_VALUE"""),29.0)</f>
        <v>29</v>
      </c>
      <c r="J1043" s="17" t="str">
        <f>IFERROR(__xludf.DUMMYFUNCTION("""COMPUTED_VALUE"""),"25-34 tahun")</f>
        <v>25-34 tahun</v>
      </c>
      <c r="K1043" s="19">
        <f>IFERROR(__xludf.DUMMYFUNCTION("""COMPUTED_VALUE"""),35493.0)</f>
        <v>35493</v>
      </c>
      <c r="L1043" s="19" t="str">
        <f>IFERROR(__xludf.DUMMYFUNCTION("""COMPUTED_VALUE"""),"PEREMPUAN")</f>
        <v>PEREMPUAN</v>
      </c>
      <c r="M1043" s="16" t="str">
        <f>IFERROR(__xludf.DUMMYFUNCTION("""COMPUTED_VALUE"""),"JL SUNGAI RAYA DALAM KOMP TAMAN SUI RAYA B39")</f>
        <v>JL SUNGAI RAYA DALAM KOMP TAMAN SUI RAYA B39</v>
      </c>
      <c r="N1043" s="16" t="str">
        <f>IFERROR(__xludf.DUMMYFUNCTION("""COMPUTED_VALUE"""),"KEL. SUNGAI RAYA DALAM")</f>
        <v>KEL. SUNGAI RAYA DALAM</v>
      </c>
      <c r="O1043" s="16" t="str">
        <f>IFERROR(__xludf.DUMMYFUNCTION("""COMPUTED_VALUE"""),"KEC. SUNGAI RAYA")</f>
        <v>KEC. SUNGAI RAYA</v>
      </c>
      <c r="P1043" s="16" t="str">
        <f>IFERROR(__xludf.DUMMYFUNCTION("""COMPUTED_VALUE"""),"KAB. KUBU RAYA")</f>
        <v>KAB. KUBU RAYA</v>
      </c>
      <c r="Q1043" s="16" t="str">
        <f>IFERROR(__xludf.DUMMYFUNCTION("""COMPUTED_VALUE"""),"KALIMANTAN BARAT")</f>
        <v>KALIMANTAN BARAT</v>
      </c>
      <c r="R1043" s="19" t="str">
        <f>IFERROR(__xludf.DUMMYFUNCTION("""COMPUTED_VALUE"""),"ISLAM")</f>
        <v>ISLAM</v>
      </c>
      <c r="S1043" s="16" t="str">
        <f>IFERROR(__xludf.DUMMYFUNCTION("""COMPUTED_VALUE"""),"SWASTA")</f>
        <v>SWASTA</v>
      </c>
      <c r="T1043" s="16" t="str">
        <f>IFERROR(__xludf.DUMMYFUNCTION("""COMPUTED_VALUE"""),"Tangan suka kesemutan")</f>
        <v>Tangan suka kesemutan</v>
      </c>
      <c r="U1043" s="16" t="str">
        <f>IFERROR(__xludf.DUMMYFUNCTION("""COMPUTED_VALUE"""),"Kerja kantoran")</f>
        <v>Kerja kantoran</v>
      </c>
      <c r="V1043" s="11" t="str">
        <f>IFERROR(__xludf.DUMMYFUNCTION("""COMPUTED_VALUE"""),"082148662638")</f>
        <v>082148662638</v>
      </c>
      <c r="W1043" s="15"/>
    </row>
    <row r="1044" ht="22.5" customHeight="1">
      <c r="A1044" s="8"/>
      <c r="B1044" s="9">
        <f>IFERROR(__xludf.DUMMYFUNCTION("""COMPUTED_VALUE"""),45312.81437439815)</f>
        <v>45312.81437</v>
      </c>
      <c r="C1044" s="9"/>
      <c r="D1044" s="10">
        <f>IFERROR(__xludf.DUMMYFUNCTION("""COMPUTED_VALUE"""),45314.0)</f>
        <v>45314</v>
      </c>
      <c r="E1044" s="10" t="str">
        <f>IFERROR(__xludf.DUMMYFUNCTION("""COMPUTED_VALUE"""),"01Jan")</f>
        <v>01Jan</v>
      </c>
      <c r="F1044" s="10" t="str">
        <f>IFERROR(__xludf.DUMMYFUNCTION("""COMPUTED_VALUE"""),"2024")</f>
        <v>2024</v>
      </c>
      <c r="G1044" s="16" t="str">
        <f>IFERROR(__xludf.DUMMYFUNCTION("""COMPUTED_VALUE"""),"MATIAS DEDE ANDRIAWAN")</f>
        <v>MATIAS DEDE ANDRIAWAN</v>
      </c>
      <c r="H1044" s="17" t="str">
        <f>IFERROR(__xludf.DUMMYFUNCTION("""COMPUTED_VALUE"""),"M0524012015")</f>
        <v>M0524012015</v>
      </c>
      <c r="I1044" s="17">
        <f>IFERROR(__xludf.DUMMYFUNCTION("""COMPUTED_VALUE"""),21.0)</f>
        <v>21</v>
      </c>
      <c r="J1044" s="17" t="str">
        <f>IFERROR(__xludf.DUMMYFUNCTION("""COMPUTED_VALUE"""),"18-24 tahun")</f>
        <v>18-24 tahun</v>
      </c>
      <c r="K1044" s="19">
        <f>IFERROR(__xludf.DUMMYFUNCTION("""COMPUTED_VALUE"""),38497.0)</f>
        <v>38497</v>
      </c>
      <c r="L1044" s="19" t="str">
        <f>IFERROR(__xludf.DUMMYFUNCTION("""COMPUTED_VALUE"""),"LAKI-LAKI")</f>
        <v>LAKI-LAKI</v>
      </c>
      <c r="M1044" s="16" t="str">
        <f>IFERROR(__xludf.DUMMYFUNCTION("""COMPUTED_VALUE"""),"PANGGUNG")</f>
        <v>PANGGUNG</v>
      </c>
      <c r="N1044" s="16" t="str">
        <f>IFERROR(__xludf.DUMMYFUNCTION("""COMPUTED_VALUE"""),"DS. BELIMBING")</f>
        <v>DS. BELIMBING</v>
      </c>
      <c r="O1044" s="16" t="str">
        <f>IFERROR(__xludf.DUMMYFUNCTION("""COMPUTED_VALUE"""),"KEC. SILAT HULU")</f>
        <v>KEC. SILAT HULU</v>
      </c>
      <c r="P1044" s="16" t="str">
        <f>IFERROR(__xludf.DUMMYFUNCTION("""COMPUTED_VALUE"""),"KAB. KAPUAS HULU")</f>
        <v>KAB. KAPUAS HULU</v>
      </c>
      <c r="Q1044" s="16" t="str">
        <f>IFERROR(__xludf.DUMMYFUNCTION("""COMPUTED_VALUE"""),"KALIMANTAN BARAT")</f>
        <v>KALIMANTAN BARAT</v>
      </c>
      <c r="R1044" s="19" t="str">
        <f>IFERROR(__xludf.DUMMYFUNCTION("""COMPUTED_VALUE"""),"KATOLIK")</f>
        <v>KATOLIK</v>
      </c>
      <c r="S1044" s="16" t="str">
        <f>IFERROR(__xludf.DUMMYFUNCTION("""COMPUTED_VALUE"""),"PELAJAR/MAHASISWA")</f>
        <v>PELAJAR/MAHASISWA</v>
      </c>
      <c r="T1044" s="16" t="str">
        <f>IFERROR(__xludf.DUMMYFUNCTION("""COMPUTED_VALUE"""),"KAKI BENTUK X 10CM")</f>
        <v>KAKI BENTUK X 10CM</v>
      </c>
      <c r="U1044" s="16" t="str">
        <f>IFERROR(__xludf.DUMMYFUNCTION("""COMPUTED_VALUE"""),"OLAHRAGA")</f>
        <v>OLAHRAGA</v>
      </c>
      <c r="V1044" s="11" t="str">
        <f>IFERROR(__xludf.DUMMYFUNCTION("""COMPUTED_VALUE"""),"085347932015")</f>
        <v>085347932015</v>
      </c>
      <c r="W1044" s="15"/>
    </row>
    <row r="1045" ht="22.5" customHeight="1">
      <c r="A1045" s="8"/>
      <c r="B1045" s="9">
        <f>IFERROR(__xludf.DUMMYFUNCTION("""COMPUTED_VALUE"""),45312.8161652662)</f>
        <v>45312.81617</v>
      </c>
      <c r="C1045" s="9"/>
      <c r="D1045" s="10">
        <f>IFERROR(__xludf.DUMMYFUNCTION("""COMPUTED_VALUE"""),45314.0)</f>
        <v>45314</v>
      </c>
      <c r="E1045" s="10" t="str">
        <f>IFERROR(__xludf.DUMMYFUNCTION("""COMPUTED_VALUE"""),"01Jan")</f>
        <v>01Jan</v>
      </c>
      <c r="F1045" s="10" t="str">
        <f>IFERROR(__xludf.DUMMYFUNCTION("""COMPUTED_VALUE"""),"2024")</f>
        <v>2024</v>
      </c>
      <c r="G1045" s="16" t="str">
        <f>IFERROR(__xludf.DUMMYFUNCTION("""COMPUTED_VALUE"""),"HABIBI QURRATA A""YUNI")</f>
        <v>HABIBI QURRATA A"YUNI</v>
      </c>
      <c r="H1045" s="17" t="str">
        <f>IFERROR(__xludf.DUMMYFUNCTION("""COMPUTED_VALUE"""),"H9424018987")</f>
        <v>H9424018987</v>
      </c>
      <c r="I1045" s="17">
        <f>IFERROR(__xludf.DUMMYFUNCTION("""COMPUTED_VALUE"""),32.0)</f>
        <v>32</v>
      </c>
      <c r="J1045" s="17" t="str">
        <f>IFERROR(__xludf.DUMMYFUNCTION("""COMPUTED_VALUE"""),"25-34 tahun")</f>
        <v>25-34 tahun</v>
      </c>
      <c r="K1045" s="19">
        <f>IFERROR(__xludf.DUMMYFUNCTION("""COMPUTED_VALUE"""),34494.0)</f>
        <v>34494</v>
      </c>
      <c r="L1045" s="19" t="str">
        <f>IFERROR(__xludf.DUMMYFUNCTION("""COMPUTED_VALUE"""),"LAKI-LAKI")</f>
        <v>LAKI-LAKI</v>
      </c>
      <c r="M1045" s="16" t="str">
        <f>IFERROR(__xludf.DUMMYFUNCTION("""COMPUTED_VALUE"""),"JL TABRANI AHMAD, KOMP MANDAU PERMAI J11")</f>
        <v>JL TABRANI AHMAD, KOMP MANDAU PERMAI J11</v>
      </c>
      <c r="N1045" s="16" t="str">
        <f>IFERROR(__xludf.DUMMYFUNCTION("""COMPUTED_VALUE"""),"KEL. SUNGAI JAWI DALAM")</f>
        <v>KEL. SUNGAI JAWI DALAM</v>
      </c>
      <c r="O1045" s="16" t="str">
        <f>IFERROR(__xludf.DUMMYFUNCTION("""COMPUTED_VALUE"""),"KEC. PONTIANAK KOTA")</f>
        <v>KEC. PONTIANAK KOTA</v>
      </c>
      <c r="P1045" s="16" t="str">
        <f>IFERROR(__xludf.DUMMYFUNCTION("""COMPUTED_VALUE"""),"KOTA PONTIANAK")</f>
        <v>KOTA PONTIANAK</v>
      </c>
      <c r="Q1045" s="16" t="str">
        <f>IFERROR(__xludf.DUMMYFUNCTION("""COMPUTED_VALUE"""),"KALIMANTAN BARAT")</f>
        <v>KALIMANTAN BARAT</v>
      </c>
      <c r="R1045" s="19" t="str">
        <f>IFERROR(__xludf.DUMMYFUNCTION("""COMPUTED_VALUE"""),"ISLAM")</f>
        <v>ISLAM</v>
      </c>
      <c r="S1045" s="16" t="str">
        <f>IFERROR(__xludf.DUMMYFUNCTION("""COMPUTED_VALUE"""),"SWASTA")</f>
        <v>SWASTA</v>
      </c>
      <c r="T1045" s="16" t="str">
        <f>IFERROR(__xludf.DUMMYFUNCTION("""COMPUTED_VALUE"""),"Rasa sakit dikaki hingga tulang ekor dan sering kesemutan")</f>
        <v>Rasa sakit dikaki hingga tulang ekor dan sering kesemutan</v>
      </c>
      <c r="U1045" s="16" t="str">
        <f>IFERROR(__xludf.DUMMYFUNCTION("""COMPUTED_VALUE"""),"Bekerja")</f>
        <v>Bekerja</v>
      </c>
      <c r="V1045" s="11" t="str">
        <f>IFERROR(__xludf.DUMMYFUNCTION("""COMPUTED_VALUE"""),"081345148987")</f>
        <v>081345148987</v>
      </c>
      <c r="W1045" s="15"/>
    </row>
    <row r="1046" ht="22.5" customHeight="1">
      <c r="A1046" s="8"/>
      <c r="B1046" s="9">
        <f>IFERROR(__xludf.DUMMYFUNCTION("""COMPUTED_VALUE"""),45313.47187195602)</f>
        <v>45313.47187</v>
      </c>
      <c r="C1046" s="9"/>
      <c r="D1046" s="10">
        <f>IFERROR(__xludf.DUMMYFUNCTION("""COMPUTED_VALUE"""),45315.0)</f>
        <v>45315</v>
      </c>
      <c r="E1046" s="10" t="str">
        <f>IFERROR(__xludf.DUMMYFUNCTION("""COMPUTED_VALUE"""),"01Jan")</f>
        <v>01Jan</v>
      </c>
      <c r="F1046" s="10" t="str">
        <f>IFERROR(__xludf.DUMMYFUNCTION("""COMPUTED_VALUE"""),"2024")</f>
        <v>2024</v>
      </c>
      <c r="G1046" s="16" t="str">
        <f>IFERROR(__xludf.DUMMYFUNCTION("""COMPUTED_VALUE"""),"DESY RASTIKA SARI")</f>
        <v>DESY RASTIKA SARI</v>
      </c>
      <c r="H1046" s="17" t="str">
        <f>IFERROR(__xludf.DUMMYFUNCTION("""COMPUTED_VALUE"""),"D9224015876")</f>
        <v>D9224015876</v>
      </c>
      <c r="I1046" s="17">
        <f>IFERROR(__xludf.DUMMYFUNCTION("""COMPUTED_VALUE"""),33.0)</f>
        <v>33</v>
      </c>
      <c r="J1046" s="17" t="str">
        <f>IFERROR(__xludf.DUMMYFUNCTION("""COMPUTED_VALUE"""),"25-34 tahun")</f>
        <v>25-34 tahun</v>
      </c>
      <c r="K1046" s="19">
        <f>IFERROR(__xludf.DUMMYFUNCTION("""COMPUTED_VALUE"""),33959.0)</f>
        <v>33959</v>
      </c>
      <c r="L1046" s="19" t="str">
        <f>IFERROR(__xludf.DUMMYFUNCTION("""COMPUTED_VALUE"""),"PEREMPUAN")</f>
        <v>PEREMPUAN</v>
      </c>
      <c r="M1046" s="16" t="str">
        <f>IFERROR(__xludf.DUMMYFUNCTION("""COMPUTED_VALUE"""),"KOMP. MEKAR SARI 3B NO 12")</f>
        <v>KOMP. MEKAR SARI 3B NO 12</v>
      </c>
      <c r="N1046" s="16" t="str">
        <f>IFERROR(__xludf.DUMMYFUNCTION("""COMPUTED_VALUE"""),"DS. KAPUR")</f>
        <v>DS. KAPUR</v>
      </c>
      <c r="O1046" s="16" t="str">
        <f>IFERROR(__xludf.DUMMYFUNCTION("""COMPUTED_VALUE"""),"KEC. SUNGAI RAYA")</f>
        <v>KEC. SUNGAI RAYA</v>
      </c>
      <c r="P1046" s="16" t="str">
        <f>IFERROR(__xludf.DUMMYFUNCTION("""COMPUTED_VALUE"""),"KAB. KUBU RAYA")</f>
        <v>KAB. KUBU RAYA</v>
      </c>
      <c r="Q1046" s="16" t="str">
        <f>IFERROR(__xludf.DUMMYFUNCTION("""COMPUTED_VALUE"""),"KALIMANTAN BARAT")</f>
        <v>KALIMANTAN BARAT</v>
      </c>
      <c r="R1046" s="19" t="str">
        <f>IFERROR(__xludf.DUMMYFUNCTION("""COMPUTED_VALUE"""),"ISLAM")</f>
        <v>ISLAM</v>
      </c>
      <c r="S1046" s="16" t="str">
        <f>IFERROR(__xludf.DUMMYFUNCTION("""COMPUTED_VALUE"""),"WIRASWASTA")</f>
        <v>WIRASWASTA</v>
      </c>
      <c r="T1046" s="16" t="str">
        <f>IFERROR(__xludf.DUMMYFUNCTION("""COMPUTED_VALUE"""),"Pundak belakang dan leher sakit krna salah posisi tidur")</f>
        <v>Pundak belakang dan leher sakit krna salah posisi tidur</v>
      </c>
      <c r="U1046" s="16" t="str">
        <f>IFERROR(__xludf.DUMMYFUNCTION("""COMPUTED_VALUE"""),"Makan")</f>
        <v>Makan</v>
      </c>
      <c r="V1046" s="11" t="str">
        <f>IFERROR(__xludf.DUMMYFUNCTION("""COMPUTED_VALUE"""),"089503355876")</f>
        <v>089503355876</v>
      </c>
      <c r="W1046" s="15"/>
    </row>
    <row r="1047" ht="22.5" customHeight="1">
      <c r="A1047" s="8"/>
      <c r="B1047" s="9">
        <f>IFERROR(__xludf.DUMMYFUNCTION("""COMPUTED_VALUE"""),45313.599598472225)</f>
        <v>45313.5996</v>
      </c>
      <c r="C1047" s="9"/>
      <c r="D1047" s="10">
        <f>IFERROR(__xludf.DUMMYFUNCTION("""COMPUTED_VALUE"""),45316.0)</f>
        <v>45316</v>
      </c>
      <c r="E1047" s="10" t="str">
        <f>IFERROR(__xludf.DUMMYFUNCTION("""COMPUTED_VALUE"""),"01Jan")</f>
        <v>01Jan</v>
      </c>
      <c r="F1047" s="10" t="str">
        <f>IFERROR(__xludf.DUMMYFUNCTION("""COMPUTED_VALUE"""),"2024")</f>
        <v>2024</v>
      </c>
      <c r="G1047" s="16" t="str">
        <f>IFERROR(__xludf.DUMMYFUNCTION("""COMPUTED_VALUE"""),"MUHAMMAD RAFFARIZA ARISANDHIE")</f>
        <v>MUHAMMAD RAFFARIZA ARISANDHIE</v>
      </c>
      <c r="H1047" s="17" t="str">
        <f>IFERROR(__xludf.DUMMYFUNCTION("""COMPUTED_VALUE"""),"M0624011325")</f>
        <v>M0624011325</v>
      </c>
      <c r="I1047" s="17">
        <f>IFERROR(__xludf.DUMMYFUNCTION("""COMPUTED_VALUE"""),20.0)</f>
        <v>20</v>
      </c>
      <c r="J1047" s="17" t="str">
        <f>IFERROR(__xludf.DUMMYFUNCTION("""COMPUTED_VALUE"""),"18-24 tahun")</f>
        <v>18-24 tahun</v>
      </c>
      <c r="K1047" s="19">
        <f>IFERROR(__xludf.DUMMYFUNCTION("""COMPUTED_VALUE"""),38815.0)</f>
        <v>38815</v>
      </c>
      <c r="L1047" s="19" t="str">
        <f>IFERROR(__xludf.DUMMYFUNCTION("""COMPUTED_VALUE"""),"LAKI-LAKI")</f>
        <v>LAKI-LAKI</v>
      </c>
      <c r="M1047" s="16" t="str">
        <f>IFERROR(__xludf.DUMMYFUNCTION("""COMPUTED_VALUE"""),"JL. AMPERA GG. BABUSSALAM")</f>
        <v>JL. AMPERA GG. BABUSSALAM</v>
      </c>
      <c r="N1047" s="16" t="str">
        <f>IFERROR(__xludf.DUMMYFUNCTION("""COMPUTED_VALUE"""),"KEL. SUNGAI JAWI")</f>
        <v>KEL. SUNGAI JAWI</v>
      </c>
      <c r="O1047" s="16" t="str">
        <f>IFERROR(__xludf.DUMMYFUNCTION("""COMPUTED_VALUE"""),"KEC. PONTIANAK KOTA")</f>
        <v>KEC. PONTIANAK KOTA</v>
      </c>
      <c r="P1047" s="16" t="str">
        <f>IFERROR(__xludf.DUMMYFUNCTION("""COMPUTED_VALUE"""),"KOTA PONTIANAK")</f>
        <v>KOTA PONTIANAK</v>
      </c>
      <c r="Q1047" s="16" t="str">
        <f>IFERROR(__xludf.DUMMYFUNCTION("""COMPUTED_VALUE"""),"KALIMANTAN BARAT")</f>
        <v>KALIMANTAN BARAT</v>
      </c>
      <c r="R1047" s="19" t="str">
        <f>IFERROR(__xludf.DUMMYFUNCTION("""COMPUTED_VALUE"""),"ISLAM")</f>
        <v>ISLAM</v>
      </c>
      <c r="S1047" s="16" t="str">
        <f>IFERROR(__xludf.DUMMYFUNCTION("""COMPUTED_VALUE"""),"PELAJAR/MAHASISWA")</f>
        <v>PELAJAR/MAHASISWA</v>
      </c>
      <c r="T1047" s="16" t="str">
        <f>IFERROR(__xludf.DUMMYFUNCTION("""COMPUTED_VALUE"""),"Sakit dibagian kaki kanan")</f>
        <v>Sakit dibagian kaki kanan</v>
      </c>
      <c r="U1047" s="16" t="str">
        <f>IFERROR(__xludf.DUMMYFUNCTION("""COMPUTED_VALUE"""),"Olahraga lari, basket, dan latihan fisik")</f>
        <v>Olahraga lari, basket, dan latihan fisik</v>
      </c>
      <c r="V1047" s="11" t="str">
        <f>IFERROR(__xludf.DUMMYFUNCTION("""COMPUTED_VALUE"""),"085249141325")</f>
        <v>085249141325</v>
      </c>
      <c r="W1047" s="15"/>
    </row>
    <row r="1048" ht="22.5" customHeight="1">
      <c r="A1048" s="8"/>
      <c r="B1048" s="9">
        <f>IFERROR(__xludf.DUMMYFUNCTION("""COMPUTED_VALUE"""),45217.23425497685)</f>
        <v>45217.23425</v>
      </c>
      <c r="C1048" s="9"/>
      <c r="D1048" s="10">
        <f>IFERROR(__xludf.DUMMYFUNCTION("""COMPUTED_VALUE"""),45318.0)</f>
        <v>45318</v>
      </c>
      <c r="E1048" s="10" t="str">
        <f>IFERROR(__xludf.DUMMYFUNCTION("""COMPUTED_VALUE"""),"01Jan")</f>
        <v>01Jan</v>
      </c>
      <c r="F1048" s="10" t="str">
        <f>IFERROR(__xludf.DUMMYFUNCTION("""COMPUTED_VALUE"""),"2024")</f>
        <v>2024</v>
      </c>
      <c r="G1048" s="16" t="str">
        <f>IFERROR(__xludf.DUMMYFUNCTION("""COMPUTED_VALUE"""),"SAGITA MIRANDA")</f>
        <v>SAGITA MIRANDA</v>
      </c>
      <c r="H1048" s="17" t="str">
        <f>IFERROR(__xludf.DUMMYFUNCTION("""COMPUTED_VALUE"""),"S0724017707")</f>
        <v>S0724017707</v>
      </c>
      <c r="I1048" s="17">
        <f>IFERROR(__xludf.DUMMYFUNCTION("""COMPUTED_VALUE"""),18.0)</f>
        <v>18</v>
      </c>
      <c r="J1048" s="17" t="str">
        <f>IFERROR(__xludf.DUMMYFUNCTION("""COMPUTED_VALUE"""),"&lt; 18 tahun")</f>
        <v>&lt; 18 tahun</v>
      </c>
      <c r="K1048" s="19">
        <f>IFERROR(__xludf.DUMMYFUNCTION("""COMPUTED_VALUE"""),39266.0)</f>
        <v>39266</v>
      </c>
      <c r="L1048" s="19" t="str">
        <f>IFERROR(__xludf.DUMMYFUNCTION("""COMPUTED_VALUE"""),"PEREMPUAN")</f>
        <v>PEREMPUAN</v>
      </c>
      <c r="M1048" s="16" t="str">
        <f>IFERROR(__xludf.DUMMYFUNCTION("""COMPUTED_VALUE"""),"JLN. K.Y.SUDARSO ASRAMA HAYAM WURUK BLOK A7")</f>
        <v>JLN. K.Y.SUDARSO ASRAMA HAYAM WURUK BLOK A7</v>
      </c>
      <c r="N1048" s="16" t="str">
        <f>IFERROR(__xludf.DUMMYFUNCTION("""COMPUTED_VALUE"""),"KEL. SUNGAI JAWI LUAR")</f>
        <v>KEL. SUNGAI JAWI LUAR</v>
      </c>
      <c r="O1048" s="16" t="str">
        <f>IFERROR(__xludf.DUMMYFUNCTION("""COMPUTED_VALUE"""),"KEC. PONTIANAK BARAT")</f>
        <v>KEC. PONTIANAK BARAT</v>
      </c>
      <c r="P1048" s="16" t="str">
        <f>IFERROR(__xludf.DUMMYFUNCTION("""COMPUTED_VALUE"""),"KOTA PONTIANAK")</f>
        <v>KOTA PONTIANAK</v>
      </c>
      <c r="Q1048" s="16" t="str">
        <f>IFERROR(__xludf.DUMMYFUNCTION("""COMPUTED_VALUE"""),"KALIMANTAN BARAT")</f>
        <v>KALIMANTAN BARAT</v>
      </c>
      <c r="R1048" s="19" t="str">
        <f>IFERROR(__xludf.DUMMYFUNCTION("""COMPUTED_VALUE"""),"ISLAM")</f>
        <v>ISLAM</v>
      </c>
      <c r="S1048" s="16" t="str">
        <f>IFERROR(__xludf.DUMMYFUNCTION("""COMPUTED_VALUE"""),"PELAJAR/MAHASISWA")</f>
        <v>PELAJAR/MAHASISWA</v>
      </c>
      <c r="T1048" s="16" t="str">
        <f>IFERROR(__xludf.DUMMYFUNCTION("""COMPUTED_VALUE"""),"Sakit dibagian pinggang")</f>
        <v>Sakit dibagian pinggang</v>
      </c>
      <c r="U1048" s="16" t="str">
        <f>IFERROR(__xludf.DUMMYFUNCTION("""COMPUTED_VALUE"""),"Taekwondo")</f>
        <v>Taekwondo</v>
      </c>
      <c r="V1048" s="11" t="str">
        <f>IFERROR(__xludf.DUMMYFUNCTION("""COMPUTED_VALUE"""),"089693247707")</f>
        <v>089693247707</v>
      </c>
      <c r="W1048" s="15"/>
    </row>
    <row r="1049" ht="22.5" customHeight="1">
      <c r="A1049" s="8"/>
      <c r="B1049" s="9">
        <f>IFERROR(__xludf.DUMMYFUNCTION("""COMPUTED_VALUE"""),45314.49278408565)</f>
        <v>45314.49278</v>
      </c>
      <c r="C1049" s="9"/>
      <c r="D1049" s="10">
        <f>IFERROR(__xludf.DUMMYFUNCTION("""COMPUTED_VALUE"""),45318.0)</f>
        <v>45318</v>
      </c>
      <c r="E1049" s="10" t="str">
        <f>IFERROR(__xludf.DUMMYFUNCTION("""COMPUTED_VALUE"""),"01Jan")</f>
        <v>01Jan</v>
      </c>
      <c r="F1049" s="10" t="str">
        <f>IFERROR(__xludf.DUMMYFUNCTION("""COMPUTED_VALUE"""),"2024")</f>
        <v>2024</v>
      </c>
      <c r="G1049" s="16" t="str">
        <f>IFERROR(__xludf.DUMMYFUNCTION("""COMPUTED_VALUE"""),"SILVY ANGELIA")</f>
        <v>SILVY ANGELIA</v>
      </c>
      <c r="H1049" s="17" t="str">
        <f>IFERROR(__xludf.DUMMYFUNCTION("""COMPUTED_VALUE"""),"S0324017373")</f>
        <v>S0324017373</v>
      </c>
      <c r="I1049" s="17">
        <f>IFERROR(__xludf.DUMMYFUNCTION("""COMPUTED_VALUE"""),22.0)</f>
        <v>22</v>
      </c>
      <c r="J1049" s="17" t="str">
        <f>IFERROR(__xludf.DUMMYFUNCTION("""COMPUTED_VALUE"""),"18-24 tahun")</f>
        <v>18-24 tahun</v>
      </c>
      <c r="K1049" s="19">
        <f>IFERROR(__xludf.DUMMYFUNCTION("""COMPUTED_VALUE"""),37933.0)</f>
        <v>37933</v>
      </c>
      <c r="L1049" s="19" t="str">
        <f>IFERROR(__xludf.DUMMYFUNCTION("""COMPUTED_VALUE"""),"PEREMPUAN")</f>
        <v>PEREMPUAN</v>
      </c>
      <c r="M1049" s="16" t="str">
        <f>IFERROR(__xludf.DUMMYFUNCTION("""COMPUTED_VALUE"""),"JL SIAGA NO119")</f>
        <v>JL SIAGA NO119</v>
      </c>
      <c r="N1049" s="16" t="str">
        <f>IFERROR(__xludf.DUMMYFUNCTION("""COMPUTED_VALUE"""),"KEL. SUNGAI RAYA")</f>
        <v>KEL. SUNGAI RAYA</v>
      </c>
      <c r="O1049" s="16" t="str">
        <f>IFERROR(__xludf.DUMMYFUNCTION("""COMPUTED_VALUE"""),"KEC. SUNGAI RAYA")</f>
        <v>KEC. SUNGAI RAYA</v>
      </c>
      <c r="P1049" s="16" t="str">
        <f>IFERROR(__xludf.DUMMYFUNCTION("""COMPUTED_VALUE"""),"KOTA PONTIANAK")</f>
        <v>KOTA PONTIANAK</v>
      </c>
      <c r="Q1049" s="16" t="str">
        <f>IFERROR(__xludf.DUMMYFUNCTION("""COMPUTED_VALUE"""),"KALIMANTAN BARAT")</f>
        <v>KALIMANTAN BARAT</v>
      </c>
      <c r="R1049" s="19" t="str">
        <f>IFERROR(__xludf.DUMMYFUNCTION("""COMPUTED_VALUE"""),"BUDDHA")</f>
        <v>BUDDHA</v>
      </c>
      <c r="S1049" s="16" t="str">
        <f>IFERROR(__xludf.DUMMYFUNCTION("""COMPUTED_VALUE"""),"PELAJAR/MAHASISWA")</f>
        <v>PELAJAR/MAHASISWA</v>
      </c>
      <c r="T1049" s="16" t="str">
        <f>IFERROR(__xludf.DUMMYFUNCTION("""COMPUTED_VALUE"""),"setelah operasi , tangan belum bisa menekuk sempurna")</f>
        <v>setelah operasi , tangan belum bisa menekuk sempurna</v>
      </c>
      <c r="U1049" s="16" t="str">
        <f>IFERROR(__xludf.DUMMYFUNCTION("""COMPUTED_VALUE"""),"memasak")</f>
        <v>memasak</v>
      </c>
      <c r="V1049" s="11" t="str">
        <f>IFERROR(__xludf.DUMMYFUNCTION("""COMPUTED_VALUE"""),"089616827373")</f>
        <v>089616827373</v>
      </c>
      <c r="W1049" s="15"/>
    </row>
    <row r="1050" ht="22.5" customHeight="1">
      <c r="A1050" s="8"/>
      <c r="B1050" s="9">
        <f>IFERROR(__xludf.DUMMYFUNCTION("""COMPUTED_VALUE"""),45314.557457476854)</f>
        <v>45314.55746</v>
      </c>
      <c r="C1050" s="9"/>
      <c r="D1050" s="10">
        <f>IFERROR(__xludf.DUMMYFUNCTION("""COMPUTED_VALUE"""),45318.0)</f>
        <v>45318</v>
      </c>
      <c r="E1050" s="10" t="str">
        <f>IFERROR(__xludf.DUMMYFUNCTION("""COMPUTED_VALUE"""),"01Jan")</f>
        <v>01Jan</v>
      </c>
      <c r="F1050" s="10" t="str">
        <f>IFERROR(__xludf.DUMMYFUNCTION("""COMPUTED_VALUE"""),"2024")</f>
        <v>2024</v>
      </c>
      <c r="G1050" s="16" t="str">
        <f>IFERROR(__xludf.DUMMYFUNCTION("""COMPUTED_VALUE"""),"AYA FITRIA QOLBI")</f>
        <v>AYA FITRIA QOLBI</v>
      </c>
      <c r="H1050" s="17" t="str">
        <f>IFERROR(__xludf.DUMMYFUNCTION("""COMPUTED_VALUE"""),"A0124015658")</f>
        <v>A0124015658</v>
      </c>
      <c r="I1050" s="17">
        <f>IFERROR(__xludf.DUMMYFUNCTION("""COMPUTED_VALUE"""),25.0)</f>
        <v>25</v>
      </c>
      <c r="J1050" s="17" t="str">
        <f>IFERROR(__xludf.DUMMYFUNCTION("""COMPUTED_VALUE"""),"25-34 tahun")</f>
        <v>25-34 tahun</v>
      </c>
      <c r="K1050" s="19">
        <f>IFERROR(__xludf.DUMMYFUNCTION("""COMPUTED_VALUE"""),36960.0)</f>
        <v>36960</v>
      </c>
      <c r="L1050" s="19" t="str">
        <f>IFERROR(__xludf.DUMMYFUNCTION("""COMPUTED_VALUE"""),"PEREMPUAN")</f>
        <v>PEREMPUAN</v>
      </c>
      <c r="M1050" s="16" t="str">
        <f>IFERROR(__xludf.DUMMYFUNCTION("""COMPUTED_VALUE"""),"JL PROF M YAMIN GG USAHA BARU 1 NO 12 A")</f>
        <v>JL PROF M YAMIN GG USAHA BARU 1 NO 12 A</v>
      </c>
      <c r="N1050" s="16" t="str">
        <f>IFERROR(__xludf.DUMMYFUNCTION("""COMPUTED_VALUE"""),"KEL. SUNGAI BANGKONG")</f>
        <v>KEL. SUNGAI BANGKONG</v>
      </c>
      <c r="O1050" s="16" t="str">
        <f>IFERROR(__xludf.DUMMYFUNCTION("""COMPUTED_VALUE"""),"KEC. PONTIANAK KOTA")</f>
        <v>KEC. PONTIANAK KOTA</v>
      </c>
      <c r="P1050" s="16" t="str">
        <f>IFERROR(__xludf.DUMMYFUNCTION("""COMPUTED_VALUE"""),"KOTA PONTIANAK")</f>
        <v>KOTA PONTIANAK</v>
      </c>
      <c r="Q1050" s="16" t="str">
        <f>IFERROR(__xludf.DUMMYFUNCTION("""COMPUTED_VALUE"""),"KALIMANTAN BARAT")</f>
        <v>KALIMANTAN BARAT</v>
      </c>
      <c r="R1050" s="19" t="str">
        <f>IFERROR(__xludf.DUMMYFUNCTION("""COMPUTED_VALUE"""),"ISLAM")</f>
        <v>ISLAM</v>
      </c>
      <c r="S1050" s="16" t="str">
        <f>IFERROR(__xludf.DUMMYFUNCTION("""COMPUTED_VALUE"""),"PELAJAR/MAHASISWA")</f>
        <v>PELAJAR/MAHASISWA</v>
      </c>
      <c r="T1050" s="16" t="str">
        <f>IFERROR(__xludf.DUMMYFUNCTION("""COMPUTED_VALUE"""),"Periksa engkel kaki kiri")</f>
        <v>Periksa engkel kaki kiri</v>
      </c>
      <c r="U1050" s="16" t="str">
        <f>IFERROR(__xludf.DUMMYFUNCTION("""COMPUTED_VALUE"""),"Aktivitas di rumah")</f>
        <v>Aktivitas di rumah</v>
      </c>
      <c r="V1050" s="11" t="str">
        <f>IFERROR(__xludf.DUMMYFUNCTION("""COMPUTED_VALUE"""),"089618705658")</f>
        <v>089618705658</v>
      </c>
      <c r="W1050" s="15"/>
    </row>
    <row r="1051" ht="22.5" customHeight="1">
      <c r="A1051" s="8"/>
      <c r="B1051" s="9">
        <f>IFERROR(__xludf.DUMMYFUNCTION("""COMPUTED_VALUE"""),45314.55046517361)</f>
        <v>45314.55047</v>
      </c>
      <c r="C1051" s="9"/>
      <c r="D1051" s="10">
        <f>IFERROR(__xludf.DUMMYFUNCTION("""COMPUTED_VALUE"""),45318.0)</f>
        <v>45318</v>
      </c>
      <c r="E1051" s="10" t="str">
        <f>IFERROR(__xludf.DUMMYFUNCTION("""COMPUTED_VALUE"""),"01Jan")</f>
        <v>01Jan</v>
      </c>
      <c r="F1051" s="10" t="str">
        <f>IFERROR(__xludf.DUMMYFUNCTION("""COMPUTED_VALUE"""),"2024")</f>
        <v>2024</v>
      </c>
      <c r="G1051" s="16" t="str">
        <f>IFERROR(__xludf.DUMMYFUNCTION("""COMPUTED_VALUE"""),"PRAYOGA PANGESTU")</f>
        <v>PRAYOGA PANGESTU</v>
      </c>
      <c r="H1051" s="17" t="str">
        <f>IFERROR(__xludf.DUMMYFUNCTION("""COMPUTED_VALUE"""),"P0624019484")</f>
        <v>P0624019484</v>
      </c>
      <c r="I1051" s="17">
        <f>IFERROR(__xludf.DUMMYFUNCTION("""COMPUTED_VALUE"""),20.0)</f>
        <v>20</v>
      </c>
      <c r="J1051" s="17" t="str">
        <f>IFERROR(__xludf.DUMMYFUNCTION("""COMPUTED_VALUE"""),"18-24 tahun")</f>
        <v>18-24 tahun</v>
      </c>
      <c r="K1051" s="19">
        <f>IFERROR(__xludf.DUMMYFUNCTION("""COMPUTED_VALUE"""),38794.0)</f>
        <v>38794</v>
      </c>
      <c r="L1051" s="19" t="str">
        <f>IFERROR(__xludf.DUMMYFUNCTION("""COMPUTED_VALUE"""),"LAKI-LAKI")</f>
        <v>LAKI-LAKI</v>
      </c>
      <c r="M1051" s="16" t="str">
        <f>IFERROR(__xludf.DUMMYFUNCTION("""COMPUTED_VALUE"""),"PAWAN MAS 2 BLOK E6")</f>
        <v>PAWAN MAS 2 BLOK E6</v>
      </c>
      <c r="N1051" s="16" t="str">
        <f>IFERROR(__xludf.DUMMYFUNCTION("""COMPUTED_VALUE"""),"DS. PARIT BARU")</f>
        <v>DS. PARIT BARU</v>
      </c>
      <c r="O1051" s="16" t="str">
        <f>IFERROR(__xludf.DUMMYFUNCTION("""COMPUTED_VALUE"""),"KEC. SUNGAI RAYA")</f>
        <v>KEC. SUNGAI RAYA</v>
      </c>
      <c r="P1051" s="16" t="str">
        <f>IFERROR(__xludf.DUMMYFUNCTION("""COMPUTED_VALUE"""),"KAB. KUBU RAYA")</f>
        <v>KAB. KUBU RAYA</v>
      </c>
      <c r="Q1051" s="16" t="str">
        <f>IFERROR(__xludf.DUMMYFUNCTION("""COMPUTED_VALUE"""),"KALIMANTAN BARAT")</f>
        <v>KALIMANTAN BARAT</v>
      </c>
      <c r="R1051" s="19" t="str">
        <f>IFERROR(__xludf.DUMMYFUNCTION("""COMPUTED_VALUE"""),"ISLAM")</f>
        <v>ISLAM</v>
      </c>
      <c r="S1051" s="16" t="str">
        <f>IFERROR(__xludf.DUMMYFUNCTION("""COMPUTED_VALUE"""),"PELAJAR/MAHASISWA")</f>
        <v>PELAJAR/MAHASISWA</v>
      </c>
      <c r="T1051" s="16" t="str">
        <f>IFERROR(__xludf.DUMMYFUNCTION("""COMPUTED_VALUE"""),"kaki kiri pes planus")</f>
        <v>kaki kiri pes planus</v>
      </c>
      <c r="U1051" s="16" t="str">
        <f>IFERROR(__xludf.DUMMYFUNCTION("""COMPUTED_VALUE"""),"jogging")</f>
        <v>jogging</v>
      </c>
      <c r="V1051" s="11" t="str">
        <f>IFERROR(__xludf.DUMMYFUNCTION("""COMPUTED_VALUE"""),"089520189484")</f>
        <v>089520189484</v>
      </c>
      <c r="W1051" s="15"/>
    </row>
    <row r="1052" ht="22.5" customHeight="1">
      <c r="A1052" s="8"/>
      <c r="B1052" s="9">
        <f>IFERROR(__xludf.DUMMYFUNCTION("""COMPUTED_VALUE"""),45315.56397552083)</f>
        <v>45315.56398</v>
      </c>
      <c r="C1052" s="9"/>
      <c r="D1052" s="10">
        <f>IFERROR(__xludf.DUMMYFUNCTION("""COMPUTED_VALUE"""),45319.0)</f>
        <v>45319</v>
      </c>
      <c r="E1052" s="10" t="str">
        <f>IFERROR(__xludf.DUMMYFUNCTION("""COMPUTED_VALUE"""),"01Jan")</f>
        <v>01Jan</v>
      </c>
      <c r="F1052" s="10" t="str">
        <f>IFERROR(__xludf.DUMMYFUNCTION("""COMPUTED_VALUE"""),"2024")</f>
        <v>2024</v>
      </c>
      <c r="G1052" s="16" t="str">
        <f>IFERROR(__xludf.DUMMYFUNCTION("""COMPUTED_VALUE"""),"CRISTIANO PARGAS")</f>
        <v>CRISTIANO PARGAS</v>
      </c>
      <c r="H1052" s="17" t="str">
        <f>IFERROR(__xludf.DUMMYFUNCTION("""COMPUTED_VALUE"""),"C0624015060")</f>
        <v>C0624015060</v>
      </c>
      <c r="I1052" s="17">
        <f>IFERROR(__xludf.DUMMYFUNCTION("""COMPUTED_VALUE"""),19.0)</f>
        <v>19</v>
      </c>
      <c r="J1052" s="17" t="str">
        <f>IFERROR(__xludf.DUMMYFUNCTION("""COMPUTED_VALUE"""),"18-24 tahun")</f>
        <v>18-24 tahun</v>
      </c>
      <c r="K1052" s="19">
        <f>IFERROR(__xludf.DUMMYFUNCTION("""COMPUTED_VALUE"""),38928.0)</f>
        <v>38928</v>
      </c>
      <c r="L1052" s="19" t="str">
        <f>IFERROR(__xludf.DUMMYFUNCTION("""COMPUTED_VALUE"""),"LAKI-LAKI")</f>
        <v>LAKI-LAKI</v>
      </c>
      <c r="M1052" s="16" t="str">
        <f>IFERROR(__xludf.DUMMYFUNCTION("""COMPUTED_VALUE"""),"ENTIKONG")</f>
        <v>ENTIKONG</v>
      </c>
      <c r="N1052" s="16" t="str">
        <f>IFERROR(__xludf.DUMMYFUNCTION("""COMPUTED_VALUE"""),"DSN. ENTIKONG")</f>
        <v>DSN. ENTIKONG</v>
      </c>
      <c r="O1052" s="16" t="str">
        <f>IFERROR(__xludf.DUMMYFUNCTION("""COMPUTED_VALUE"""),"KEC. ENTIKONG")</f>
        <v>KEC. ENTIKONG</v>
      </c>
      <c r="P1052" s="16" t="str">
        <f>IFERROR(__xludf.DUMMYFUNCTION("""COMPUTED_VALUE"""),"KOTA PONTIANAK")</f>
        <v>KOTA PONTIANAK</v>
      </c>
      <c r="Q1052" s="16" t="str">
        <f>IFERROR(__xludf.DUMMYFUNCTION("""COMPUTED_VALUE"""),"KALIMANTAN BARAT")</f>
        <v>KALIMANTAN BARAT</v>
      </c>
      <c r="R1052" s="19" t="str">
        <f>IFERROR(__xludf.DUMMYFUNCTION("""COMPUTED_VALUE"""),"KATOLIK")</f>
        <v>KATOLIK</v>
      </c>
      <c r="S1052" s="16" t="str">
        <f>IFERROR(__xludf.DUMMYFUNCTION("""COMPUTED_VALUE"""),"PELAJAR/MAHASISWA")</f>
        <v>PELAJAR/MAHASISWA</v>
      </c>
      <c r="T1052" s="16" t="str">
        <f>IFERROR(__xludf.DUMMYFUNCTION("""COMPUTED_VALUE"""),"kiri Nyeri kalau sedang beraktivitas")</f>
        <v>kiri Nyeri kalau sedang beraktivitas</v>
      </c>
      <c r="U1052" s="16" t="str">
        <f>IFERROR(__xludf.DUMMYFUNCTION("""COMPUTED_VALUE"""),"Lari")</f>
        <v>Lari</v>
      </c>
      <c r="V1052" s="11" t="str">
        <f>IFERROR(__xludf.DUMMYFUNCTION("""COMPUTED_VALUE"""),"085753075060")</f>
        <v>085753075060</v>
      </c>
      <c r="W1052" s="15"/>
    </row>
    <row r="1053" ht="22.5" customHeight="1">
      <c r="A1053" s="8"/>
      <c r="B1053" s="9">
        <f>IFERROR(__xludf.DUMMYFUNCTION("""COMPUTED_VALUE"""),45315.579971354164)</f>
        <v>45315.57997</v>
      </c>
      <c r="C1053" s="9"/>
      <c r="D1053" s="10">
        <f>IFERROR(__xludf.DUMMYFUNCTION("""COMPUTED_VALUE"""),45319.0)</f>
        <v>45319</v>
      </c>
      <c r="E1053" s="10" t="str">
        <f>IFERROR(__xludf.DUMMYFUNCTION("""COMPUTED_VALUE"""),"01Jan")</f>
        <v>01Jan</v>
      </c>
      <c r="F1053" s="10" t="str">
        <f>IFERROR(__xludf.DUMMYFUNCTION("""COMPUTED_VALUE"""),"2024")</f>
        <v>2024</v>
      </c>
      <c r="G1053" s="16" t="str">
        <f>IFERROR(__xludf.DUMMYFUNCTION("""COMPUTED_VALUE"""),"AYU DJULIANTI")</f>
        <v>AYU DJULIANTI</v>
      </c>
      <c r="H1053" s="17" t="str">
        <f>IFERROR(__xludf.DUMMYFUNCTION("""COMPUTED_VALUE"""),"A9524016101")</f>
        <v>A9524016101</v>
      </c>
      <c r="I1053" s="17">
        <f>IFERROR(__xludf.DUMMYFUNCTION("""COMPUTED_VALUE"""),30.0)</f>
        <v>30</v>
      </c>
      <c r="J1053" s="17" t="str">
        <f>IFERROR(__xludf.DUMMYFUNCTION("""COMPUTED_VALUE"""),"25-34 tahun")</f>
        <v>25-34 tahun</v>
      </c>
      <c r="K1053" s="19">
        <f>IFERROR(__xludf.DUMMYFUNCTION("""COMPUTED_VALUE"""),34897.0)</f>
        <v>34897</v>
      </c>
      <c r="L1053" s="19" t="str">
        <f>IFERROR(__xludf.DUMMYFUNCTION("""COMPUTED_VALUE"""),"PEREMPUAN")</f>
        <v>PEREMPUAN</v>
      </c>
      <c r="M1053" s="16" t="str">
        <f>IFERROR(__xludf.DUMMYFUNCTION("""COMPUTED_VALUE"""),"JL DARA NANDONG VILLA RIA INDAH BLOK RUKO NO 3B")</f>
        <v>JL DARA NANDONG VILLA RIA INDAH BLOK RUKO NO 3B</v>
      </c>
      <c r="N1053" s="16" t="str">
        <f>IFERROR(__xludf.DUMMYFUNCTION("""COMPUTED_VALUE"""),"KEL. TANJUNG HULU")</f>
        <v>KEL. TANJUNG HULU</v>
      </c>
      <c r="O1053" s="16" t="str">
        <f>IFERROR(__xludf.DUMMYFUNCTION("""COMPUTED_VALUE"""),"KEC. PONTIANAK TIMUR")</f>
        <v>KEC. PONTIANAK TIMUR</v>
      </c>
      <c r="P1053" s="16" t="str">
        <f>IFERROR(__xludf.DUMMYFUNCTION("""COMPUTED_VALUE"""),"KOTA PONTIANAK")</f>
        <v>KOTA PONTIANAK</v>
      </c>
      <c r="Q1053" s="16" t="str">
        <f>IFERROR(__xludf.DUMMYFUNCTION("""COMPUTED_VALUE"""),"KALIMANTAN BARAT")</f>
        <v>KALIMANTAN BARAT</v>
      </c>
      <c r="R1053" s="19" t="str">
        <f>IFERROR(__xludf.DUMMYFUNCTION("""COMPUTED_VALUE"""),"ISLAM")</f>
        <v>ISLAM</v>
      </c>
      <c r="S1053" s="16" t="str">
        <f>IFERROR(__xludf.DUMMYFUNCTION("""COMPUTED_VALUE"""),"SWASTA")</f>
        <v>SWASTA</v>
      </c>
      <c r="T1053" s="16" t="str">
        <f>IFERROR(__xludf.DUMMYFUNCTION("""COMPUTED_VALUE"""),"Cidera bahu")</f>
        <v>Cidera bahu</v>
      </c>
      <c r="U1053" s="16" t="str">
        <f>IFERROR(__xludf.DUMMYFUNCTION("""COMPUTED_VALUE"""),"Kerja dipelayanan")</f>
        <v>Kerja dipelayanan</v>
      </c>
      <c r="V1053" s="11" t="str">
        <f>IFERROR(__xludf.DUMMYFUNCTION("""COMPUTED_VALUE"""),"089694106101")</f>
        <v>089694106101</v>
      </c>
      <c r="W1053" s="15"/>
    </row>
    <row r="1054" ht="22.5" customHeight="1">
      <c r="A1054" s="8"/>
      <c r="B1054" s="9">
        <f>IFERROR(__xludf.DUMMYFUNCTION("""COMPUTED_VALUE"""),45315.57523511574)</f>
        <v>45315.57524</v>
      </c>
      <c r="C1054" s="9"/>
      <c r="D1054" s="10">
        <f>IFERROR(__xludf.DUMMYFUNCTION("""COMPUTED_VALUE"""),45319.0)</f>
        <v>45319</v>
      </c>
      <c r="E1054" s="10" t="str">
        <f>IFERROR(__xludf.DUMMYFUNCTION("""COMPUTED_VALUE"""),"01Jan")</f>
        <v>01Jan</v>
      </c>
      <c r="F1054" s="10" t="str">
        <f>IFERROR(__xludf.DUMMYFUNCTION("""COMPUTED_VALUE"""),"2024")</f>
        <v>2024</v>
      </c>
      <c r="G1054" s="16" t="str">
        <f>IFERROR(__xludf.DUMMYFUNCTION("""COMPUTED_VALUE"""),"OZZY GUARDIOLA FITTIFALDY")</f>
        <v>OZZY GUARDIOLA FITTIFALDY</v>
      </c>
      <c r="H1054" s="17" t="str">
        <f>IFERROR(__xludf.DUMMYFUNCTION("""COMPUTED_VALUE"""),"O9424013019")</f>
        <v>O9424013019</v>
      </c>
      <c r="I1054" s="17">
        <f>IFERROR(__xludf.DUMMYFUNCTION("""COMPUTED_VALUE"""),31.0)</f>
        <v>31</v>
      </c>
      <c r="J1054" s="17" t="str">
        <f>IFERROR(__xludf.DUMMYFUNCTION("""COMPUTED_VALUE"""),"25-34 tahun")</f>
        <v>25-34 tahun</v>
      </c>
      <c r="K1054" s="19">
        <f>IFERROR(__xludf.DUMMYFUNCTION("""COMPUTED_VALUE"""),34554.0)</f>
        <v>34554</v>
      </c>
      <c r="L1054" s="19" t="str">
        <f>IFERROR(__xludf.DUMMYFUNCTION("""COMPUTED_VALUE"""),"LAKI-LAKI")</f>
        <v>LAKI-LAKI</v>
      </c>
      <c r="M1054" s="16" t="str">
        <f>IFERROR(__xludf.DUMMYFUNCTION("""COMPUTED_VALUE"""),"JALAN PARIT H HUSIN 1 GG PALASARI")</f>
        <v>JALAN PARIT H HUSIN 1 GG PALASARI</v>
      </c>
      <c r="N1054" s="16" t="str">
        <f>IFERROR(__xludf.DUMMYFUNCTION("""COMPUTED_VALUE"""),"KEL. BANGKA BELITUNG LAUT")</f>
        <v>KEL. BANGKA BELITUNG LAUT</v>
      </c>
      <c r="O1054" s="16" t="str">
        <f>IFERROR(__xludf.DUMMYFUNCTION("""COMPUTED_VALUE"""),"KEC. PONTIANAK TENGGARA")</f>
        <v>KEC. PONTIANAK TENGGARA</v>
      </c>
      <c r="P1054" s="16" t="str">
        <f>IFERROR(__xludf.DUMMYFUNCTION("""COMPUTED_VALUE"""),"KOTA PONTIANAK")</f>
        <v>KOTA PONTIANAK</v>
      </c>
      <c r="Q1054" s="16" t="str">
        <f>IFERROR(__xludf.DUMMYFUNCTION("""COMPUTED_VALUE"""),"KALIMANTAN BARAT")</f>
        <v>KALIMANTAN BARAT</v>
      </c>
      <c r="R1054" s="19" t="str">
        <f>IFERROR(__xludf.DUMMYFUNCTION("""COMPUTED_VALUE"""),"ISLAM")</f>
        <v>ISLAM</v>
      </c>
      <c r="S1054" s="16" t="str">
        <f>IFERROR(__xludf.DUMMYFUNCTION("""COMPUTED_VALUE"""),"BUMD")</f>
        <v>BUMD</v>
      </c>
      <c r="T1054" s="16" t="str">
        <f>IFERROR(__xludf.DUMMYFUNCTION("""COMPUTED_VALUE"""),"Ketarik sehabis long run")</f>
        <v>Ketarik sehabis long run</v>
      </c>
      <c r="U1054" s="16" t="str">
        <f>IFERROR(__xludf.DUMMYFUNCTION("""COMPUTED_VALUE"""),"Lari")</f>
        <v>Lari</v>
      </c>
      <c r="V1054" s="11" t="str">
        <f>IFERROR(__xludf.DUMMYFUNCTION("""COMPUTED_VALUE"""),"0895615283019")</f>
        <v>0895615283019</v>
      </c>
      <c r="W1054" s="15"/>
    </row>
    <row r="1055" ht="22.5" customHeight="1">
      <c r="A1055" s="8"/>
      <c r="B1055" s="9">
        <f>IFERROR(__xludf.DUMMYFUNCTION("""COMPUTED_VALUE"""),45314.84838041667)</f>
        <v>45314.84838</v>
      </c>
      <c r="C1055" s="9"/>
      <c r="D1055" s="10">
        <f>IFERROR(__xludf.DUMMYFUNCTION("""COMPUTED_VALUE"""),45319.0)</f>
        <v>45319</v>
      </c>
      <c r="E1055" s="10" t="str">
        <f>IFERROR(__xludf.DUMMYFUNCTION("""COMPUTED_VALUE"""),"01Jan")</f>
        <v>01Jan</v>
      </c>
      <c r="F1055" s="10" t="str">
        <f>IFERROR(__xludf.DUMMYFUNCTION("""COMPUTED_VALUE"""),"2024")</f>
        <v>2024</v>
      </c>
      <c r="G1055" s="16" t="str">
        <f>IFERROR(__xludf.DUMMYFUNCTION("""COMPUTED_VALUE"""),"RONALD FIRDAUS PANDAWA")</f>
        <v>RONALD FIRDAUS PANDAWA</v>
      </c>
      <c r="H1055" s="17" t="str">
        <f>IFERROR(__xludf.DUMMYFUNCTION("""COMPUTED_VALUE"""),"R0024012819")</f>
        <v>R0024012819</v>
      </c>
      <c r="I1055" s="17">
        <f>IFERROR(__xludf.DUMMYFUNCTION("""COMPUTED_VALUE"""),26.0)</f>
        <v>26</v>
      </c>
      <c r="J1055" s="17" t="str">
        <f>IFERROR(__xludf.DUMMYFUNCTION("""COMPUTED_VALUE"""),"25-34 tahun")</f>
        <v>25-34 tahun</v>
      </c>
      <c r="K1055" s="19">
        <f>IFERROR(__xludf.DUMMYFUNCTION("""COMPUTED_VALUE"""),36572.0)</f>
        <v>36572</v>
      </c>
      <c r="L1055" s="19" t="str">
        <f>IFERROR(__xludf.DUMMYFUNCTION("""COMPUTED_VALUE"""),"LAKI-LAKI")</f>
        <v>LAKI-LAKI</v>
      </c>
      <c r="M1055" s="16" t="str">
        <f>IFERROR(__xludf.DUMMYFUNCTION("""COMPUTED_VALUE"""),"PULOGEBANG")</f>
        <v>PULOGEBANG</v>
      </c>
      <c r="N1055" s="16" t="str">
        <f>IFERROR(__xludf.DUMMYFUNCTION("""COMPUTED_VALUE"""),"KEL. PULOGEBANG")</f>
        <v>KEL. PULOGEBANG</v>
      </c>
      <c r="O1055" s="16" t="str">
        <f>IFERROR(__xludf.DUMMYFUNCTION("""COMPUTED_VALUE"""),"KEC. PULOGEBANG")</f>
        <v>KEC. PULOGEBANG</v>
      </c>
      <c r="P1055" s="16" t="str">
        <f>IFERROR(__xludf.DUMMYFUNCTION("""COMPUTED_VALUE"""),"KOTA JAKARTA")</f>
        <v>KOTA JAKARTA</v>
      </c>
      <c r="Q1055" s="16" t="str">
        <f>IFERROR(__xludf.DUMMYFUNCTION("""COMPUTED_VALUE"""),"KALIMANTAN BARAT")</f>
        <v>KALIMANTAN BARAT</v>
      </c>
      <c r="R1055" s="19" t="str">
        <f>IFERROR(__xludf.DUMMYFUNCTION("""COMPUTED_VALUE"""),"ISLAM")</f>
        <v>ISLAM</v>
      </c>
      <c r="S1055" s="16" t="str">
        <f>IFERROR(__xludf.DUMMYFUNCTION("""COMPUTED_VALUE"""),"WIRASWASTA")</f>
        <v>WIRASWASTA</v>
      </c>
      <c r="T1055" s="16"/>
      <c r="U1055" s="16" t="str">
        <f>IFERROR(__xludf.DUMMYFUNCTION("""COMPUTED_VALUE"""),"BASKET")</f>
        <v>BASKET</v>
      </c>
      <c r="V1055" s="11" t="str">
        <f>IFERROR(__xludf.DUMMYFUNCTION("""COMPUTED_VALUE"""),"087870792819")</f>
        <v>087870792819</v>
      </c>
      <c r="W1055" s="15"/>
    </row>
    <row r="1056" ht="22.5" customHeight="1">
      <c r="A1056" s="8"/>
      <c r="B1056" s="9">
        <f>IFERROR(__xludf.DUMMYFUNCTION("""COMPUTED_VALUE"""),45315.63308434028)</f>
        <v>45315.63308</v>
      </c>
      <c r="C1056" s="9"/>
      <c r="D1056" s="10">
        <f>IFERROR(__xludf.DUMMYFUNCTION("""COMPUTED_VALUE"""),45319.0)</f>
        <v>45319</v>
      </c>
      <c r="E1056" s="10" t="str">
        <f>IFERROR(__xludf.DUMMYFUNCTION("""COMPUTED_VALUE"""),"01Jan")</f>
        <v>01Jan</v>
      </c>
      <c r="F1056" s="10" t="str">
        <f>IFERROR(__xludf.DUMMYFUNCTION("""COMPUTED_VALUE"""),"2024")</f>
        <v>2024</v>
      </c>
      <c r="G1056" s="16" t="str">
        <f>IFERROR(__xludf.DUMMYFUNCTION("""COMPUTED_VALUE"""),"WALIDAWATI")</f>
        <v>WALIDAWATI</v>
      </c>
      <c r="H1056" s="17" t="str">
        <f>IFERROR(__xludf.DUMMYFUNCTION("""COMPUTED_VALUE"""),"W7324016038")</f>
        <v>W7324016038</v>
      </c>
      <c r="I1056" s="17">
        <f>IFERROR(__xludf.DUMMYFUNCTION("""COMPUTED_VALUE"""),52.0)</f>
        <v>52</v>
      </c>
      <c r="J1056" s="17" t="str">
        <f>IFERROR(__xludf.DUMMYFUNCTION("""COMPUTED_VALUE"""),"&gt; 44 tahun")</f>
        <v>&gt; 44 tahun</v>
      </c>
      <c r="K1056" s="19">
        <f>IFERROR(__xludf.DUMMYFUNCTION("""COMPUTED_VALUE"""),26921.0)</f>
        <v>26921</v>
      </c>
      <c r="L1056" s="19" t="str">
        <f>IFERROR(__xludf.DUMMYFUNCTION("""COMPUTED_VALUE"""),"PEREMPUAN")</f>
        <v>PEREMPUAN</v>
      </c>
      <c r="M1056" s="16" t="str">
        <f>IFERROR(__xludf.DUMMYFUNCTION("""COMPUTED_VALUE"""),"JL PARIT TENGAH GG. MELATI 1 NO. 2")</f>
        <v>JL PARIT TENGAH GG. MELATI 1 NO. 2</v>
      </c>
      <c r="N1056" s="16" t="str">
        <f>IFERROR(__xludf.DUMMYFUNCTION("""COMPUTED_VALUE"""),"KEL. SUNGAI BELIUNG")</f>
        <v>KEL. SUNGAI BELIUNG</v>
      </c>
      <c r="O1056" s="16" t="str">
        <f>IFERROR(__xludf.DUMMYFUNCTION("""COMPUTED_VALUE"""),"KEC. PONTIANAK BARAT")</f>
        <v>KEC. PONTIANAK BARAT</v>
      </c>
      <c r="P1056" s="16" t="str">
        <f>IFERROR(__xludf.DUMMYFUNCTION("""COMPUTED_VALUE"""),"KOTA PONTIANAK")</f>
        <v>KOTA PONTIANAK</v>
      </c>
      <c r="Q1056" s="16" t="str">
        <f>IFERROR(__xludf.DUMMYFUNCTION("""COMPUTED_VALUE"""),"KALIMANTAN BARAT")</f>
        <v>KALIMANTAN BARAT</v>
      </c>
      <c r="R1056" s="19" t="str">
        <f>IFERROR(__xludf.DUMMYFUNCTION("""COMPUTED_VALUE"""),"ISLAM")</f>
        <v>ISLAM</v>
      </c>
      <c r="S1056" s="16" t="str">
        <f>IFERROR(__xludf.DUMMYFUNCTION("""COMPUTED_VALUE"""),"RUMAH TANGGA")</f>
        <v>RUMAH TANGGA</v>
      </c>
      <c r="T1056" s="16" t="str">
        <f>IFERROR(__xludf.DUMMYFUNCTION("""COMPUTED_VALUE"""),"lemah pada tangan dan kaki")</f>
        <v>lemah pada tangan dan kaki</v>
      </c>
      <c r="U1056" s="16" t="str">
        <f>IFERROR(__xludf.DUMMYFUNCTION("""COMPUTED_VALUE"""),"mengajar")</f>
        <v>mengajar</v>
      </c>
      <c r="V1056" s="11" t="str">
        <f>IFERROR(__xludf.DUMMYFUNCTION("""COMPUTED_VALUE"""),"08973756038")</f>
        <v>08973756038</v>
      </c>
      <c r="W1056" s="15"/>
    </row>
    <row r="1057" ht="22.5" customHeight="1">
      <c r="A1057" s="8"/>
      <c r="B1057" s="9">
        <f>IFERROR(__xludf.DUMMYFUNCTION("""COMPUTED_VALUE"""),45316.65828311343)</f>
        <v>45316.65828</v>
      </c>
      <c r="C1057" s="9"/>
      <c r="D1057" s="10">
        <f>IFERROR(__xludf.DUMMYFUNCTION("""COMPUTED_VALUE"""),45320.0)</f>
        <v>45320</v>
      </c>
      <c r="E1057" s="10" t="str">
        <f>IFERROR(__xludf.DUMMYFUNCTION("""COMPUTED_VALUE"""),"01Jan")</f>
        <v>01Jan</v>
      </c>
      <c r="F1057" s="10" t="str">
        <f>IFERROR(__xludf.DUMMYFUNCTION("""COMPUTED_VALUE"""),"2024")</f>
        <v>2024</v>
      </c>
      <c r="G1057" s="16" t="str">
        <f>IFERROR(__xludf.DUMMYFUNCTION("""COMPUTED_VALUE"""),"IRIS FIRMAN")</f>
        <v>IRIS FIRMAN</v>
      </c>
      <c r="H1057" s="17" t="str">
        <f>IFERROR(__xludf.DUMMYFUNCTION("""COMPUTED_VALUE"""),"I8924014474")</f>
        <v>I8924014474</v>
      </c>
      <c r="I1057" s="17">
        <f>IFERROR(__xludf.DUMMYFUNCTION("""COMPUTED_VALUE"""),36.0)</f>
        <v>36</v>
      </c>
      <c r="J1057" s="17" t="str">
        <f>IFERROR(__xludf.DUMMYFUNCTION("""COMPUTED_VALUE"""),"35-44 tahun")</f>
        <v>35-44 tahun</v>
      </c>
      <c r="K1057" s="19">
        <f>IFERROR(__xludf.DUMMYFUNCTION("""COMPUTED_VALUE"""),32832.0)</f>
        <v>32832</v>
      </c>
      <c r="L1057" s="19" t="str">
        <f>IFERROR(__xludf.DUMMYFUNCTION("""COMPUTED_VALUE"""),"LAKI-LAKI")</f>
        <v>LAKI-LAKI</v>
      </c>
      <c r="M1057" s="16" t="str">
        <f>IFERROR(__xludf.DUMMYFUNCTION("""COMPUTED_VALUE"""),"JL DANAU SENTARUM KOMP GREEN SILVA 2 B4")</f>
        <v>JL DANAU SENTARUM KOMP GREEN SILVA 2 B4</v>
      </c>
      <c r="N1057" s="16" t="str">
        <f>IFERROR(__xludf.DUMMYFUNCTION("""COMPUTED_VALUE"""),"KEL. SUNGAI BANGKONG")</f>
        <v>KEL. SUNGAI BANGKONG</v>
      </c>
      <c r="O1057" s="16" t="str">
        <f>IFERROR(__xludf.DUMMYFUNCTION("""COMPUTED_VALUE"""),"KEC. PONTIANAK SELATAN")</f>
        <v>KEC. PONTIANAK SELATAN</v>
      </c>
      <c r="P1057" s="16" t="str">
        <f>IFERROR(__xludf.DUMMYFUNCTION("""COMPUTED_VALUE"""),"KOTA PONTIANAK")</f>
        <v>KOTA PONTIANAK</v>
      </c>
      <c r="Q1057" s="16" t="str">
        <f>IFERROR(__xludf.DUMMYFUNCTION("""COMPUTED_VALUE"""),"KALIMANTAN BARAT")</f>
        <v>KALIMANTAN BARAT</v>
      </c>
      <c r="R1057" s="19" t="str">
        <f>IFERROR(__xludf.DUMMYFUNCTION("""COMPUTED_VALUE"""),"ISLAM")</f>
        <v>ISLAM</v>
      </c>
      <c r="S1057" s="16" t="str">
        <f>IFERROR(__xludf.DUMMYFUNCTION("""COMPUTED_VALUE"""),"SWASTA")</f>
        <v>SWASTA</v>
      </c>
      <c r="T1057" s="16" t="str">
        <f>IFERROR(__xludf.DUMMYFUNCTION("""COMPUTED_VALUE"""),"KIRI KANAN SERING TIBA TIBA HILANG TENAGA")</f>
        <v>KIRI KANAN SERING TIBA TIBA HILANG TENAGA</v>
      </c>
      <c r="U1057" s="16" t="str">
        <f>IFERROR(__xludf.DUMMYFUNCTION("""COMPUTED_VALUE"""),"BADMINTON")</f>
        <v>BADMINTON</v>
      </c>
      <c r="V1057" s="11" t="str">
        <f>IFERROR(__xludf.DUMMYFUNCTION("""COMPUTED_VALUE"""),"081256264474")</f>
        <v>081256264474</v>
      </c>
      <c r="W1057" s="15"/>
    </row>
    <row r="1058" ht="22.5" customHeight="1">
      <c r="A1058" s="8"/>
      <c r="B1058" s="9">
        <f>IFERROR(__xludf.DUMMYFUNCTION("""COMPUTED_VALUE"""),45316.811094652774)</f>
        <v>45316.81109</v>
      </c>
      <c r="C1058" s="9"/>
      <c r="D1058" s="10">
        <f>IFERROR(__xludf.DUMMYFUNCTION("""COMPUTED_VALUE"""),45320.0)</f>
        <v>45320</v>
      </c>
      <c r="E1058" s="10" t="str">
        <f>IFERROR(__xludf.DUMMYFUNCTION("""COMPUTED_VALUE"""),"01Jan")</f>
        <v>01Jan</v>
      </c>
      <c r="F1058" s="10" t="str">
        <f>IFERROR(__xludf.DUMMYFUNCTION("""COMPUTED_VALUE"""),"2024")</f>
        <v>2024</v>
      </c>
      <c r="G1058" s="16" t="str">
        <f>IFERROR(__xludf.DUMMYFUNCTION("""COMPUTED_VALUE"""),"CINDY PRASTIKA")</f>
        <v>CINDY PRASTIKA</v>
      </c>
      <c r="H1058" s="17" t="str">
        <f>IFERROR(__xludf.DUMMYFUNCTION("""COMPUTED_VALUE"""),"C9424013317")</f>
        <v>C9424013317</v>
      </c>
      <c r="I1058" s="17">
        <f>IFERROR(__xludf.DUMMYFUNCTION("""COMPUTED_VALUE"""),31.0)</f>
        <v>31</v>
      </c>
      <c r="J1058" s="17" t="str">
        <f>IFERROR(__xludf.DUMMYFUNCTION("""COMPUTED_VALUE"""),"25-34 tahun")</f>
        <v>25-34 tahun</v>
      </c>
      <c r="K1058" s="19">
        <f>IFERROR(__xludf.DUMMYFUNCTION("""COMPUTED_VALUE"""),34655.0)</f>
        <v>34655</v>
      </c>
      <c r="L1058" s="19" t="str">
        <f>IFERROR(__xludf.DUMMYFUNCTION("""COMPUTED_VALUE"""),"PEREMPUAN")</f>
        <v>PEREMPUAN</v>
      </c>
      <c r="M1058" s="16" t="str">
        <f>IFERROR(__xludf.DUMMYFUNCTION("""COMPUTED_VALUE"""),"JL. PESANTREN GG. MELATI A-11")</f>
        <v>JL. PESANTREN GG. MELATI A-11</v>
      </c>
      <c r="N1058" s="16" t="str">
        <f>IFERROR(__xludf.DUMMYFUNCTION("""COMPUTED_VALUE"""),"KEL. BUKIT TIMAH")</f>
        <v>KEL. BUKIT TIMAH</v>
      </c>
      <c r="O1058" s="16" t="str">
        <f>IFERROR(__xludf.DUMMYFUNCTION("""COMPUTED_VALUE"""),"KEC. DUMAI SELATAN")</f>
        <v>KEC. DUMAI SELATAN</v>
      </c>
      <c r="P1058" s="16" t="str">
        <f>IFERROR(__xludf.DUMMYFUNCTION("""COMPUTED_VALUE"""),"KOTA DUMAI")</f>
        <v>KOTA DUMAI</v>
      </c>
      <c r="Q1058" s="16" t="str">
        <f>IFERROR(__xludf.DUMMYFUNCTION("""COMPUTED_VALUE"""),"KALIMANTAN BARAT")</f>
        <v>KALIMANTAN BARAT</v>
      </c>
      <c r="R1058" s="19" t="str">
        <f>IFERROR(__xludf.DUMMYFUNCTION("""COMPUTED_VALUE"""),"ISLAM")</f>
        <v>ISLAM</v>
      </c>
      <c r="S1058" s="16" t="str">
        <f>IFERROR(__xludf.DUMMYFUNCTION("""COMPUTED_VALUE"""),"ASN")</f>
        <v>ASN</v>
      </c>
      <c r="T1058" s="16" t="str">
        <f>IFERROR(__xludf.DUMMYFUNCTION("""COMPUTED_VALUE"""),"Ankle keseleo saat olahraga")</f>
        <v>Ankle keseleo saat olahraga</v>
      </c>
      <c r="U1058" s="16" t="str">
        <f>IFERROR(__xludf.DUMMYFUNCTION("""COMPUTED_VALUE"""),"Olahraga")</f>
        <v>Olahraga</v>
      </c>
      <c r="V1058" s="11" t="str">
        <f>IFERROR(__xludf.DUMMYFUNCTION("""COMPUTED_VALUE"""),"081992803317")</f>
        <v>081992803317</v>
      </c>
      <c r="W1058" s="15"/>
    </row>
    <row r="1059" ht="22.5" customHeight="1">
      <c r="A1059" s="8"/>
      <c r="B1059" s="9">
        <f>IFERROR(__xludf.DUMMYFUNCTION("""COMPUTED_VALUE"""),45316.86679403935)</f>
        <v>45316.86679</v>
      </c>
      <c r="C1059" s="9"/>
      <c r="D1059" s="10">
        <f>IFERROR(__xludf.DUMMYFUNCTION("""COMPUTED_VALUE"""),45320.0)</f>
        <v>45320</v>
      </c>
      <c r="E1059" s="10" t="str">
        <f>IFERROR(__xludf.DUMMYFUNCTION("""COMPUTED_VALUE"""),"01Jan")</f>
        <v>01Jan</v>
      </c>
      <c r="F1059" s="10" t="str">
        <f>IFERROR(__xludf.DUMMYFUNCTION("""COMPUTED_VALUE"""),"2024")</f>
        <v>2024</v>
      </c>
      <c r="G1059" s="16" t="str">
        <f>IFERROR(__xludf.DUMMYFUNCTION("""COMPUTED_VALUE"""),"JONATHAN GANDHI CHANDRA")</f>
        <v>JONATHAN GANDHI CHANDRA</v>
      </c>
      <c r="H1059" s="17" t="str">
        <f>IFERROR(__xludf.DUMMYFUNCTION("""COMPUTED_VALUE"""),"J9924018284")</f>
        <v>J9924018284</v>
      </c>
      <c r="I1059" s="17">
        <f>IFERROR(__xludf.DUMMYFUNCTION("""COMPUTED_VALUE"""),27.0)</f>
        <v>27</v>
      </c>
      <c r="J1059" s="17" t="str">
        <f>IFERROR(__xludf.DUMMYFUNCTION("""COMPUTED_VALUE"""),"25-34 tahun")</f>
        <v>25-34 tahun</v>
      </c>
      <c r="K1059" s="19">
        <f>IFERROR(__xludf.DUMMYFUNCTION("""COMPUTED_VALUE"""),36169.0)</f>
        <v>36169</v>
      </c>
      <c r="L1059" s="19" t="str">
        <f>IFERROR(__xludf.DUMMYFUNCTION("""COMPUTED_VALUE"""),"LAKI-LAKI")</f>
        <v>LAKI-LAKI</v>
      </c>
      <c r="M1059" s="16" t="str">
        <f>IFERROR(__xludf.DUMMYFUNCTION("""COMPUTED_VALUE"""),"JL. M. SOHOR GG. SEDERHANA NO. 24")</f>
        <v>JL. M. SOHOR GG. SEDERHANA NO. 24</v>
      </c>
      <c r="N1059" s="16" t="str">
        <f>IFERROR(__xludf.DUMMYFUNCTION("""COMPUTED_VALUE"""),"KEL. AKCAYA")</f>
        <v>KEL. AKCAYA</v>
      </c>
      <c r="O1059" s="16" t="str">
        <f>IFERROR(__xludf.DUMMYFUNCTION("""COMPUTED_VALUE"""),"KEC. PONTIANAK SELATAN")</f>
        <v>KEC. PONTIANAK SELATAN</v>
      </c>
      <c r="P1059" s="16" t="str">
        <f>IFERROR(__xludf.DUMMYFUNCTION("""COMPUTED_VALUE"""),"KOTA PONTIANAK")</f>
        <v>KOTA PONTIANAK</v>
      </c>
      <c r="Q1059" s="16" t="str">
        <f>IFERROR(__xludf.DUMMYFUNCTION("""COMPUTED_VALUE"""),"KALIMANTAN BARAT")</f>
        <v>KALIMANTAN BARAT</v>
      </c>
      <c r="R1059" s="19" t="str">
        <f>IFERROR(__xludf.DUMMYFUNCTION("""COMPUTED_VALUE"""),"PROTESTAN")</f>
        <v>PROTESTAN</v>
      </c>
      <c r="S1059" s="16" t="str">
        <f>IFERROR(__xludf.DUMMYFUNCTION("""COMPUTED_VALUE"""),"SWASTA")</f>
        <v>SWASTA</v>
      </c>
      <c r="T1059" s="16" t="str">
        <f>IFERROR(__xludf.DUMMYFUNCTION("""COMPUTED_VALUE"""),"nyeri dan pergelangan kaki")</f>
        <v>nyeri dan pergelangan kaki</v>
      </c>
      <c r="U1059" s="16" t="str">
        <f>IFERROR(__xludf.DUMMYFUNCTION("""COMPUTED_VALUE"""),"Kerja sebagai pengawas lapangan")</f>
        <v>Kerja sebagai pengawas lapangan</v>
      </c>
      <c r="V1059" s="11" t="str">
        <f>IFERROR(__xludf.DUMMYFUNCTION("""COMPUTED_VALUE"""),"082154948284")</f>
        <v>082154948284</v>
      </c>
      <c r="W1059" s="15"/>
    </row>
    <row r="1060" ht="22.5" customHeight="1">
      <c r="A1060" s="8"/>
      <c r="B1060" s="9">
        <f>IFERROR(__xludf.DUMMYFUNCTION("""COMPUTED_VALUE"""),45318.49333909722)</f>
        <v>45318.49334</v>
      </c>
      <c r="C1060" s="9"/>
      <c r="D1060" s="10">
        <f>IFERROR(__xludf.DUMMYFUNCTION("""COMPUTED_VALUE"""),45321.0)</f>
        <v>45321</v>
      </c>
      <c r="E1060" s="10" t="str">
        <f>IFERROR(__xludf.DUMMYFUNCTION("""COMPUTED_VALUE"""),"01Jan")</f>
        <v>01Jan</v>
      </c>
      <c r="F1060" s="10" t="str">
        <f>IFERROR(__xludf.DUMMYFUNCTION("""COMPUTED_VALUE"""),"2024")</f>
        <v>2024</v>
      </c>
      <c r="G1060" s="16" t="str">
        <f>IFERROR(__xludf.DUMMYFUNCTION("""COMPUTED_VALUE"""),"HOLY KRESTEAST PAGANE LOWA")</f>
        <v>HOLY KRESTEAST PAGANE LOWA</v>
      </c>
      <c r="H1060" s="17" t="str">
        <f>IFERROR(__xludf.DUMMYFUNCTION("""COMPUTED_VALUE"""),"H0624011791")</f>
        <v>H0624011791</v>
      </c>
      <c r="I1060" s="17">
        <f>IFERROR(__xludf.DUMMYFUNCTION("""COMPUTED_VALUE"""),19.0)</f>
        <v>19</v>
      </c>
      <c r="J1060" s="17" t="str">
        <f>IFERROR(__xludf.DUMMYFUNCTION("""COMPUTED_VALUE"""),"18-24 tahun")</f>
        <v>18-24 tahun</v>
      </c>
      <c r="K1060" s="19">
        <f>IFERROR(__xludf.DUMMYFUNCTION("""COMPUTED_VALUE"""),39029.0)</f>
        <v>39029</v>
      </c>
      <c r="L1060" s="19" t="str">
        <f>IFERROR(__xludf.DUMMYFUNCTION("""COMPUTED_VALUE"""),"LAKI-LAKI")</f>
        <v>LAKI-LAKI</v>
      </c>
      <c r="M1060" s="16" t="str">
        <f>IFERROR(__xludf.DUMMYFUNCTION("""COMPUTED_VALUE"""),"JALAN TEBU,KOMPLEK MITRA UTAMA 3")</f>
        <v>JALAN TEBU,KOMPLEK MITRA UTAMA 3</v>
      </c>
      <c r="N1060" s="16" t="str">
        <f>IFERROR(__xludf.DUMMYFUNCTION("""COMPUTED_VALUE"""),"KEL. BUMI SEMBALO")</f>
        <v>KEL. BUMI SEMBALO</v>
      </c>
      <c r="O1060" s="16" t="str">
        <f>IFERROR(__xludf.DUMMYFUNCTION("""COMPUTED_VALUE"""),"KEC. BUMI SEMBALO")</f>
        <v>KEC. BUMI SEMBALO</v>
      </c>
      <c r="P1060" s="16" t="str">
        <f>IFERROR(__xludf.DUMMYFUNCTION("""COMPUTED_VALUE"""),"KAB. BENGKAYANG")</f>
        <v>KAB. BENGKAYANG</v>
      </c>
      <c r="Q1060" s="16" t="str">
        <f>IFERROR(__xludf.DUMMYFUNCTION("""COMPUTED_VALUE"""),"KALIMANTAN BARAT")</f>
        <v>KALIMANTAN BARAT</v>
      </c>
      <c r="R1060" s="19" t="str">
        <f>IFERROR(__xludf.DUMMYFUNCTION("""COMPUTED_VALUE"""),"KATOLIK")</f>
        <v>KATOLIK</v>
      </c>
      <c r="S1060" s="16" t="str">
        <f>IFERROR(__xludf.DUMMYFUNCTION("""COMPUTED_VALUE"""),"PELAJAR/MAHASISWA")</f>
        <v>PELAJAR/MAHASISWA</v>
      </c>
      <c r="T1060" s="16" t="str">
        <f>IFERROR(__xludf.DUMMYFUNCTION("""COMPUTED_VALUE"""),"kiri terasa nusuk ketika lari")</f>
        <v>kiri terasa nusuk ketika lari</v>
      </c>
      <c r="U1060" s="16" t="str">
        <f>IFERROR(__xludf.DUMMYFUNCTION("""COMPUTED_VALUE"""),"lari")</f>
        <v>lari</v>
      </c>
      <c r="V1060" s="11" t="str">
        <f>IFERROR(__xludf.DUMMYFUNCTION("""COMPUTED_VALUE"""),"081347181791")</f>
        <v>081347181791</v>
      </c>
      <c r="W1060" s="15"/>
    </row>
    <row r="1061" ht="22.5" customHeight="1">
      <c r="A1061" s="8"/>
      <c r="B1061" s="9">
        <f>IFERROR(__xludf.DUMMYFUNCTION("""COMPUTED_VALUE"""),45318.64140849537)</f>
        <v>45318.64141</v>
      </c>
      <c r="C1061" s="9"/>
      <c r="D1061" s="10">
        <f>IFERROR(__xludf.DUMMYFUNCTION("""COMPUTED_VALUE"""),45321.0)</f>
        <v>45321</v>
      </c>
      <c r="E1061" s="10" t="str">
        <f>IFERROR(__xludf.DUMMYFUNCTION("""COMPUTED_VALUE"""),"01Jan")</f>
        <v>01Jan</v>
      </c>
      <c r="F1061" s="10" t="str">
        <f>IFERROR(__xludf.DUMMYFUNCTION("""COMPUTED_VALUE"""),"2024")</f>
        <v>2024</v>
      </c>
      <c r="G1061" s="16" t="str">
        <f>IFERROR(__xludf.DUMMYFUNCTION("""COMPUTED_VALUE"""),"JIBRIEL TAQY ERFITTOV")</f>
        <v>JIBRIEL TAQY ERFITTOV</v>
      </c>
      <c r="H1061" s="17" t="str">
        <f>IFERROR(__xludf.DUMMYFUNCTION("""COMPUTED_VALUE"""),"J0324012685")</f>
        <v>J0324012685</v>
      </c>
      <c r="I1061" s="17">
        <f>IFERROR(__xludf.DUMMYFUNCTION("""COMPUTED_VALUE"""),23.0)</f>
        <v>23</v>
      </c>
      <c r="J1061" s="17" t="str">
        <f>IFERROR(__xludf.DUMMYFUNCTION("""COMPUTED_VALUE"""),"18-24 tahun")</f>
        <v>18-24 tahun</v>
      </c>
      <c r="K1061" s="19">
        <f>IFERROR(__xludf.DUMMYFUNCTION("""COMPUTED_VALUE"""),37649.0)</f>
        <v>37649</v>
      </c>
      <c r="L1061" s="19" t="str">
        <f>IFERROR(__xludf.DUMMYFUNCTION("""COMPUTED_VALUE"""),"LAKI-LAKI")</f>
        <v>LAKI-LAKI</v>
      </c>
      <c r="M1061" s="16" t="str">
        <f>IFERROR(__xludf.DUMMYFUNCTION("""COMPUTED_VALUE"""),"JL. PURNAMA AGUNG VII KOMP. PURNAMA AGUNG ZIRA B6")</f>
        <v>JL. PURNAMA AGUNG VII KOMP. PURNAMA AGUNG ZIRA B6</v>
      </c>
      <c r="N1061" s="16" t="str">
        <f>IFERROR(__xludf.DUMMYFUNCTION("""COMPUTED_VALUE"""),"KEL. PARIT TOKAYA")</f>
        <v>KEL. PARIT TOKAYA</v>
      </c>
      <c r="O1061" s="16" t="str">
        <f>IFERROR(__xludf.DUMMYFUNCTION("""COMPUTED_VALUE"""),"KEC. PONTIANAK SELATAN")</f>
        <v>KEC. PONTIANAK SELATAN</v>
      </c>
      <c r="P1061" s="16" t="str">
        <f>IFERROR(__xludf.DUMMYFUNCTION("""COMPUTED_VALUE"""),"KOTA PONTIANAK")</f>
        <v>KOTA PONTIANAK</v>
      </c>
      <c r="Q1061" s="16" t="str">
        <f>IFERROR(__xludf.DUMMYFUNCTION("""COMPUTED_VALUE"""),"KALIMANTAN BARAT")</f>
        <v>KALIMANTAN BARAT</v>
      </c>
      <c r="R1061" s="19" t="str">
        <f>IFERROR(__xludf.DUMMYFUNCTION("""COMPUTED_VALUE"""),"ISLAM")</f>
        <v>ISLAM</v>
      </c>
      <c r="S1061" s="16" t="str">
        <f>IFERROR(__xludf.DUMMYFUNCTION("""COMPUTED_VALUE"""),"PELAJAR/MAHASISWA")</f>
        <v>PELAJAR/MAHASISWA</v>
      </c>
      <c r="T1061" s="16" t="str">
        <f>IFERROR(__xludf.DUMMYFUNCTION("""COMPUTED_VALUE"""),"Fisioterapi lanjutan")</f>
        <v>Fisioterapi lanjutan</v>
      </c>
      <c r="U1061" s="16" t="str">
        <f>IFERROR(__xludf.DUMMYFUNCTION("""COMPUTED_VALUE"""),"Main game")</f>
        <v>Main game</v>
      </c>
      <c r="V1061" s="11" t="str">
        <f>IFERROR(__xludf.DUMMYFUNCTION("""COMPUTED_VALUE"""),"082148042685")</f>
        <v>082148042685</v>
      </c>
      <c r="W1061" s="15"/>
    </row>
    <row r="1062" ht="22.5" customHeight="1">
      <c r="A1062" s="38"/>
      <c r="B1062" s="24">
        <f>IFERROR(__xludf.DUMMYFUNCTION("""COMPUTED_VALUE"""),45319.4935227199)</f>
        <v>45319.49352</v>
      </c>
      <c r="C1062" s="24"/>
      <c r="D1062" s="10">
        <f>IFERROR(__xludf.DUMMYFUNCTION("""COMPUTED_VALUE"""),45321.864117233796)</f>
        <v>45321.86412</v>
      </c>
      <c r="E1062" s="10" t="str">
        <f>IFERROR(__xludf.DUMMYFUNCTION("""COMPUTED_VALUE"""),"01Jan")</f>
        <v>01Jan</v>
      </c>
      <c r="F1062" s="10" t="str">
        <f>IFERROR(__xludf.DUMMYFUNCTION("""COMPUTED_VALUE"""),"2024")</f>
        <v>2024</v>
      </c>
      <c r="G1062" s="16" t="str">
        <f>IFERROR(__xludf.DUMMYFUNCTION("""COMPUTED_VALUE"""),"ANI RONIAH")</f>
        <v>ANI RONIAH</v>
      </c>
      <c r="H1062" s="17" t="str">
        <f>IFERROR(__xludf.DUMMYFUNCTION("""COMPUTED_VALUE"""),"A5124019123")</f>
        <v>A5124019123</v>
      </c>
      <c r="I1062" s="17">
        <f>IFERROR(__xludf.DUMMYFUNCTION("""COMPUTED_VALUE"""),75.0)</f>
        <v>75</v>
      </c>
      <c r="J1062" s="17" t="str">
        <f>IFERROR(__xludf.DUMMYFUNCTION("""COMPUTED_VALUE"""),"&gt; 44 tahun")</f>
        <v>&gt; 44 tahun</v>
      </c>
      <c r="K1062" s="19">
        <f>IFERROR(__xludf.DUMMYFUNCTION("""COMPUTED_VALUE"""),18778.0)</f>
        <v>18778</v>
      </c>
      <c r="L1062" s="19" t="str">
        <f>IFERROR(__xludf.DUMMYFUNCTION("""COMPUTED_VALUE"""),"PEREMPUAN")</f>
        <v>PEREMPUAN</v>
      </c>
      <c r="M1062" s="16" t="str">
        <f>IFERROR(__xludf.DUMMYFUNCTION("""COMPUTED_VALUE"""),"JL PROF M YAMIN GG SEDERHANA NO 23")</f>
        <v>JL PROF M YAMIN GG SEDERHANA NO 23</v>
      </c>
      <c r="N1062" s="16" t="str">
        <f>IFERROR(__xludf.DUMMYFUNCTION("""COMPUTED_VALUE"""),"KEL. SUNGAI BANGKONG")</f>
        <v>KEL. SUNGAI BANGKONG</v>
      </c>
      <c r="O1062" s="16" t="str">
        <f>IFERROR(__xludf.DUMMYFUNCTION("""COMPUTED_VALUE"""),"KEC. PONTIANAK KOTA")</f>
        <v>KEC. PONTIANAK KOTA</v>
      </c>
      <c r="P1062" s="16" t="str">
        <f>IFERROR(__xludf.DUMMYFUNCTION("""COMPUTED_VALUE"""),"KOTA PONTIANAK")</f>
        <v>KOTA PONTIANAK</v>
      </c>
      <c r="Q1062" s="16" t="str">
        <f>IFERROR(__xludf.DUMMYFUNCTION("""COMPUTED_VALUE"""),"KALIMANTAN BARAT")</f>
        <v>KALIMANTAN BARAT</v>
      </c>
      <c r="R1062" s="19" t="str">
        <f>IFERROR(__xludf.DUMMYFUNCTION("""COMPUTED_VALUE"""),"ISLAM")</f>
        <v>ISLAM</v>
      </c>
      <c r="S1062" s="16" t="str">
        <f>IFERROR(__xludf.DUMMYFUNCTION("""COMPUTED_VALUE"""),"PENSIUN")</f>
        <v>PENSIUN</v>
      </c>
      <c r="T1062" s="16" t="str">
        <f>IFERROR(__xludf.DUMMYFUNCTION("""COMPUTED_VALUE"""),"Sakit di tulang ekor")</f>
        <v>Sakit di tulang ekor</v>
      </c>
      <c r="U1062" s="16" t="str">
        <f>IFERROR(__xludf.DUMMYFUNCTION("""COMPUTED_VALUE"""),"Nonton")</f>
        <v>Nonton</v>
      </c>
      <c r="V1062" s="11" t="str">
        <f>IFERROR(__xludf.DUMMYFUNCTION("""COMPUTED_VALUE"""),"081250139123")</f>
        <v>081250139123</v>
      </c>
      <c r="W1062" s="15"/>
    </row>
    <row r="1063" ht="22.5" customHeight="1">
      <c r="A1063" s="40"/>
      <c r="B1063" s="9">
        <f>IFERROR(__xludf.DUMMYFUNCTION("""COMPUTED_VALUE"""),45319.526021655096)</f>
        <v>45319.52602</v>
      </c>
      <c r="C1063" s="9"/>
      <c r="D1063" s="10">
        <f>IFERROR(__xludf.DUMMYFUNCTION("""COMPUTED_VALUE"""),45322.0)</f>
        <v>45322</v>
      </c>
      <c r="E1063" s="10" t="str">
        <f>IFERROR(__xludf.DUMMYFUNCTION("""COMPUTED_VALUE"""),"01Jan")</f>
        <v>01Jan</v>
      </c>
      <c r="F1063" s="10" t="str">
        <f>IFERROR(__xludf.DUMMYFUNCTION("""COMPUTED_VALUE"""),"2024")</f>
        <v>2024</v>
      </c>
      <c r="G1063" s="16" t="str">
        <f>IFERROR(__xludf.DUMMYFUNCTION("""COMPUTED_VALUE"""),"SUGENG JULIANTO")</f>
        <v>SUGENG JULIANTO</v>
      </c>
      <c r="H1063" s="17" t="str">
        <f>IFERROR(__xludf.DUMMYFUNCTION("""COMPUTED_VALUE"""),"S8624010802")</f>
        <v>S8624010802</v>
      </c>
      <c r="I1063" s="17">
        <f>IFERROR(__xludf.DUMMYFUNCTION("""COMPUTED_VALUE"""),39.0)</f>
        <v>39</v>
      </c>
      <c r="J1063" s="17" t="str">
        <f>IFERROR(__xludf.DUMMYFUNCTION("""COMPUTED_VALUE"""),"35-44 tahun")</f>
        <v>35-44 tahun</v>
      </c>
      <c r="K1063" s="19">
        <f>IFERROR(__xludf.DUMMYFUNCTION("""COMPUTED_VALUE"""),31594.0)</f>
        <v>31594</v>
      </c>
      <c r="L1063" s="19" t="str">
        <f>IFERROR(__xludf.DUMMYFUNCTION("""COMPUTED_VALUE"""),"LAKI-LAKI")</f>
        <v>LAKI-LAKI</v>
      </c>
      <c r="M1063" s="16" t="str">
        <f>IFERROR(__xludf.DUMMYFUNCTION("""COMPUTED_VALUE"""),"JL. PEMDA, KOMP. ARWANA INDAH 1, NOMOR A11")</f>
        <v>JL. PEMDA, KOMP. ARWANA INDAH 1, NOMOR A11</v>
      </c>
      <c r="N1063" s="16" t="str">
        <f>IFERROR(__xludf.DUMMYFUNCTION("""COMPUTED_VALUE"""),"KEL. PARIT MAYOR")</f>
        <v>KEL. PARIT MAYOR</v>
      </c>
      <c r="O1063" s="16" t="str">
        <f>IFERROR(__xludf.DUMMYFUNCTION("""COMPUTED_VALUE"""),"KEC. PONTIANAK TIMUR")</f>
        <v>KEC. PONTIANAK TIMUR</v>
      </c>
      <c r="P1063" s="16" t="str">
        <f>IFERROR(__xludf.DUMMYFUNCTION("""COMPUTED_VALUE"""),"KOTA PONTIANAK")</f>
        <v>KOTA PONTIANAK</v>
      </c>
      <c r="Q1063" s="16" t="str">
        <f>IFERROR(__xludf.DUMMYFUNCTION("""COMPUTED_VALUE"""),"KALIMANTAN BARAT")</f>
        <v>KALIMANTAN BARAT</v>
      </c>
      <c r="R1063" s="19" t="str">
        <f>IFERROR(__xludf.DUMMYFUNCTION("""COMPUTED_VALUE"""),"ISLAM")</f>
        <v>ISLAM</v>
      </c>
      <c r="S1063" s="16" t="str">
        <f>IFERROR(__xludf.DUMMYFUNCTION("""COMPUTED_VALUE"""),"SWASTA")</f>
        <v>SWASTA</v>
      </c>
      <c r="T1063" s="16" t="str">
        <f>IFERROR(__xludf.DUMMYFUNCTION("""COMPUTED_VALUE"""),"SAKIT DI KAKI SEBELAH KANAN")</f>
        <v>SAKIT DI KAKI SEBELAH KANAN</v>
      </c>
      <c r="U1063" s="16" t="str">
        <f>IFERROR(__xludf.DUMMYFUNCTION("""COMPUTED_VALUE"""),"OLAH RAGA/KERJA")</f>
        <v>OLAH RAGA/KERJA</v>
      </c>
      <c r="V1063" s="11" t="str">
        <f>IFERROR(__xludf.DUMMYFUNCTION("""COMPUTED_VALUE"""),"082157300802")</f>
        <v>082157300802</v>
      </c>
      <c r="W1063" s="15"/>
    </row>
    <row r="1064" ht="22.5" customHeight="1">
      <c r="A1064" s="40"/>
      <c r="B1064" s="9">
        <f>IFERROR(__xludf.DUMMYFUNCTION("""COMPUTED_VALUE"""),45319.58338957176)</f>
        <v>45319.58339</v>
      </c>
      <c r="C1064" s="9"/>
      <c r="D1064" s="10">
        <f>IFERROR(__xludf.DUMMYFUNCTION("""COMPUTED_VALUE"""),45322.0)</f>
        <v>45322</v>
      </c>
      <c r="E1064" s="10" t="str">
        <f>IFERROR(__xludf.DUMMYFUNCTION("""COMPUTED_VALUE"""),"01Jan")</f>
        <v>01Jan</v>
      </c>
      <c r="F1064" s="10" t="str">
        <f>IFERROR(__xludf.DUMMYFUNCTION("""COMPUTED_VALUE"""),"2024")</f>
        <v>2024</v>
      </c>
      <c r="G1064" s="16" t="str">
        <f>IFERROR(__xludf.DUMMYFUNCTION("""COMPUTED_VALUE"""),"ZUWERTI")</f>
        <v>ZUWERTI</v>
      </c>
      <c r="H1064" s="17" t="str">
        <f>IFERROR(__xludf.DUMMYFUNCTION("""COMPUTED_VALUE"""),"Z6224019942")</f>
        <v>Z6224019942</v>
      </c>
      <c r="I1064" s="17">
        <f>IFERROR(__xludf.DUMMYFUNCTION("""COMPUTED_VALUE"""),63.0)</f>
        <v>63</v>
      </c>
      <c r="J1064" s="17" t="str">
        <f>IFERROR(__xludf.DUMMYFUNCTION("""COMPUTED_VALUE"""),"&gt; 44 tahun")</f>
        <v>&gt; 44 tahun</v>
      </c>
      <c r="K1064" s="19">
        <f>IFERROR(__xludf.DUMMYFUNCTION("""COMPUTED_VALUE"""),22863.0)</f>
        <v>22863</v>
      </c>
      <c r="L1064" s="19" t="str">
        <f>IFERROR(__xludf.DUMMYFUNCTION("""COMPUTED_VALUE"""),"PEREMPUAN")</f>
        <v>PEREMPUAN</v>
      </c>
      <c r="M1064" s="16" t="str">
        <f>IFERROR(__xludf.DUMMYFUNCTION("""COMPUTED_VALUE"""),"JL. SILAT BARU KAV. 15 KOMPLEK UNTAN")</f>
        <v>JL. SILAT BARU KAV. 15 KOMPLEK UNTAN</v>
      </c>
      <c r="N1064" s="16" t="str">
        <f>IFERROR(__xludf.DUMMYFUNCTION("""COMPUTED_VALUE"""),"KEL. BANSIR LAUT")</f>
        <v>KEL. BANSIR LAUT</v>
      </c>
      <c r="O1064" s="16" t="str">
        <f>IFERROR(__xludf.DUMMYFUNCTION("""COMPUTED_VALUE"""),"KEC. PONTIANAK TENGGARA")</f>
        <v>KEC. PONTIANAK TENGGARA</v>
      </c>
      <c r="P1064" s="16" t="str">
        <f>IFERROR(__xludf.DUMMYFUNCTION("""COMPUTED_VALUE"""),"KOTA PONTIANAK")</f>
        <v>KOTA PONTIANAK</v>
      </c>
      <c r="Q1064" s="16" t="str">
        <f>IFERROR(__xludf.DUMMYFUNCTION("""COMPUTED_VALUE"""),"KALIMANTAN BARAT")</f>
        <v>KALIMANTAN BARAT</v>
      </c>
      <c r="R1064" s="19" t="str">
        <f>IFERROR(__xludf.DUMMYFUNCTION("""COMPUTED_VALUE"""),"ISLAM")</f>
        <v>ISLAM</v>
      </c>
      <c r="S1064" s="16" t="str">
        <f>IFERROR(__xludf.DUMMYFUNCTION("""COMPUTED_VALUE"""),"RUMAH TANGGA")</f>
        <v>RUMAH TANGGA</v>
      </c>
      <c r="T1064" s="16" t="str">
        <f>IFERROR(__xludf.DUMMYFUNCTION("""COMPUTED_VALUE"""),"Nyeri Menjalar dari Pangkal Paha Sampai Mata Kaki sehingga membuat sakit pada saat berjalan")</f>
        <v>Nyeri Menjalar dari Pangkal Paha Sampai Mata Kaki sehingga membuat sakit pada saat berjalan</v>
      </c>
      <c r="U1064" s="16" t="str">
        <f>IFERROR(__xludf.DUMMYFUNCTION("""COMPUTED_VALUE"""),"Memasak")</f>
        <v>Memasak</v>
      </c>
      <c r="V1064" s="11" t="str">
        <f>IFERROR(__xludf.DUMMYFUNCTION("""COMPUTED_VALUE"""),"082158049942")</f>
        <v>082158049942</v>
      </c>
      <c r="W1064" s="15"/>
    </row>
    <row r="1065" ht="22.5" customHeight="1">
      <c r="A1065" s="40"/>
      <c r="B1065" s="9">
        <f>IFERROR(__xludf.DUMMYFUNCTION("""COMPUTED_VALUE"""),45319.59646914352)</f>
        <v>45319.59647</v>
      </c>
      <c r="C1065" s="9"/>
      <c r="D1065" s="10">
        <f>IFERROR(__xludf.DUMMYFUNCTION("""COMPUTED_VALUE"""),45322.0)</f>
        <v>45322</v>
      </c>
      <c r="E1065" s="10" t="str">
        <f>IFERROR(__xludf.DUMMYFUNCTION("""COMPUTED_VALUE"""),"01Jan")</f>
        <v>01Jan</v>
      </c>
      <c r="F1065" s="10" t="str">
        <f>IFERROR(__xludf.DUMMYFUNCTION("""COMPUTED_VALUE"""),"2024")</f>
        <v>2024</v>
      </c>
      <c r="G1065" s="16" t="str">
        <f>IFERROR(__xludf.DUMMYFUNCTION("""COMPUTED_VALUE"""),"ANGGER SYAFELA PUTRA")</f>
        <v>ANGGER SYAFELA PUTRA</v>
      </c>
      <c r="H1065" s="17" t="str">
        <f>IFERROR(__xludf.DUMMYFUNCTION("""COMPUTED_VALUE"""),"A0024015518")</f>
        <v>A0024015518</v>
      </c>
      <c r="I1065" s="17">
        <f>IFERROR(__xludf.DUMMYFUNCTION("""COMPUTED_VALUE"""),25.0)</f>
        <v>25</v>
      </c>
      <c r="J1065" s="17" t="str">
        <f>IFERROR(__xludf.DUMMYFUNCTION("""COMPUTED_VALUE"""),"25-34 tahun")</f>
        <v>25-34 tahun</v>
      </c>
      <c r="K1065" s="19">
        <f>IFERROR(__xludf.DUMMYFUNCTION("""COMPUTED_VALUE"""),36792.0)</f>
        <v>36792</v>
      </c>
      <c r="L1065" s="19" t="str">
        <f>IFERROR(__xludf.DUMMYFUNCTION("""COMPUTED_VALUE"""),"LAKI-LAKI")</f>
        <v>LAKI-LAKI</v>
      </c>
      <c r="M1065" s="16" t="str">
        <f>IFERROR(__xludf.DUMMYFUNCTION("""COMPUTED_VALUE"""),"JL.KARET KOMPLEK PATRAI PERMAI NO C22")</f>
        <v>JL.KARET KOMPLEK PATRAI PERMAI NO C22</v>
      </c>
      <c r="N1065" s="16" t="str">
        <f>IFERROR(__xludf.DUMMYFUNCTION("""COMPUTED_VALUE"""),"KEL. SUNGAI BELIUNG")</f>
        <v>KEL. SUNGAI BELIUNG</v>
      </c>
      <c r="O1065" s="16" t="str">
        <f>IFERROR(__xludf.DUMMYFUNCTION("""COMPUTED_VALUE"""),"KEC. PONTIANAK KOTA")</f>
        <v>KEC. PONTIANAK KOTA</v>
      </c>
      <c r="P1065" s="16" t="str">
        <f>IFERROR(__xludf.DUMMYFUNCTION("""COMPUTED_VALUE"""),"KOTA PONTIANAK")</f>
        <v>KOTA PONTIANAK</v>
      </c>
      <c r="Q1065" s="16" t="str">
        <f>IFERROR(__xludf.DUMMYFUNCTION("""COMPUTED_VALUE"""),"KALIMANTAN BARAT")</f>
        <v>KALIMANTAN BARAT</v>
      </c>
      <c r="R1065" s="19" t="str">
        <f>IFERROR(__xludf.DUMMYFUNCTION("""COMPUTED_VALUE"""),"ISLAM")</f>
        <v>ISLAM</v>
      </c>
      <c r="S1065" s="16" t="str">
        <f>IFERROR(__xludf.DUMMYFUNCTION("""COMPUTED_VALUE"""),"SWASTA")</f>
        <v>SWASTA</v>
      </c>
      <c r="T1065" s="16" t="str">
        <f>IFERROR(__xludf.DUMMYFUNCTION("""COMPUTED_VALUE"""),"Cidera")</f>
        <v>Cidera</v>
      </c>
      <c r="U1065" s="16" t="str">
        <f>IFERROR(__xludf.DUMMYFUNCTION("""COMPUTED_VALUE"""),"Normal")</f>
        <v>Normal</v>
      </c>
      <c r="V1065" s="11" t="str">
        <f>IFERROR(__xludf.DUMMYFUNCTION("""COMPUTED_VALUE"""),"0895701785518")</f>
        <v>0895701785518</v>
      </c>
      <c r="W1065" s="15"/>
    </row>
    <row r="1066" ht="22.5" customHeight="1">
      <c r="A1066" s="38"/>
      <c r="B1066" s="24">
        <f>IFERROR(__xludf.DUMMYFUNCTION("""COMPUTED_VALUE"""),45319.75178298611)</f>
        <v>45319.75178</v>
      </c>
      <c r="C1066" s="24"/>
      <c r="D1066" s="10">
        <f>IFERROR(__xludf.DUMMYFUNCTION("""COMPUTED_VALUE"""),45322.0)</f>
        <v>45322</v>
      </c>
      <c r="E1066" s="10" t="str">
        <f>IFERROR(__xludf.DUMMYFUNCTION("""COMPUTED_VALUE"""),"01Jan")</f>
        <v>01Jan</v>
      </c>
      <c r="F1066" s="10" t="str">
        <f>IFERROR(__xludf.DUMMYFUNCTION("""COMPUTED_VALUE"""),"2024")</f>
        <v>2024</v>
      </c>
      <c r="G1066" s="16" t="str">
        <f>IFERROR(__xludf.DUMMYFUNCTION("""COMPUTED_VALUE"""),"EVI SUKMAWATI")</f>
        <v>EVI SUKMAWATI</v>
      </c>
      <c r="H1066" s="17" t="str">
        <f>IFERROR(__xludf.DUMMYFUNCTION("""COMPUTED_VALUE"""),"E2424012844")</f>
        <v>E2424012844</v>
      </c>
      <c r="I1066" s="17">
        <f>IFERROR(__xludf.DUMMYFUNCTION("""COMPUTED_VALUE"""),2.0)</f>
        <v>2</v>
      </c>
      <c r="J1066" s="17" t="str">
        <f>IFERROR(__xludf.DUMMYFUNCTION("""COMPUTED_VALUE"""),"&lt; 18 tahun")</f>
        <v>&lt; 18 tahun</v>
      </c>
      <c r="K1066" s="19">
        <f>IFERROR(__xludf.DUMMYFUNCTION("""COMPUTED_VALUE"""),45322.0)</f>
        <v>45322</v>
      </c>
      <c r="L1066" s="19" t="str">
        <f>IFERROR(__xludf.DUMMYFUNCTION("""COMPUTED_VALUE"""),"PEREMPUAN")</f>
        <v>PEREMPUAN</v>
      </c>
      <c r="M1066" s="16" t="str">
        <f>IFERROR(__xludf.DUMMYFUNCTION("""COMPUTED_VALUE"""),"GG.SEDERHANA")</f>
        <v>GG.SEDERHANA</v>
      </c>
      <c r="N1066" s="16" t="str">
        <f>IFERROR(__xludf.DUMMYFUNCTION("""COMPUTED_VALUE"""),"KEL. SUNGAI BANGKONG")</f>
        <v>KEL. SUNGAI BANGKONG</v>
      </c>
      <c r="O1066" s="16" t="str">
        <f>IFERROR(__xludf.DUMMYFUNCTION("""COMPUTED_VALUE"""),"KEC. PONTIANAK KOTA")</f>
        <v>KEC. PONTIANAK KOTA</v>
      </c>
      <c r="P1066" s="16" t="str">
        <f>IFERROR(__xludf.DUMMYFUNCTION("""COMPUTED_VALUE"""),"KOTA PONTIANAK")</f>
        <v>KOTA PONTIANAK</v>
      </c>
      <c r="Q1066" s="16" t="str">
        <f>IFERROR(__xludf.DUMMYFUNCTION("""COMPUTED_VALUE"""),"KALIMANTAN BARAT")</f>
        <v>KALIMANTAN BARAT</v>
      </c>
      <c r="R1066" s="19" t="str">
        <f>IFERROR(__xludf.DUMMYFUNCTION("""COMPUTED_VALUE"""),"ISLAM")</f>
        <v>ISLAM</v>
      </c>
      <c r="S1066" s="16" t="str">
        <f>IFERROR(__xludf.DUMMYFUNCTION("""COMPUTED_VALUE"""),"PELAJAR/MAHASISWA")</f>
        <v>PELAJAR/MAHASISWA</v>
      </c>
      <c r="T1066" s="16" t="str">
        <f>IFERROR(__xludf.DUMMYFUNCTION("""COMPUTED_VALUE"""),"Cidera")</f>
        <v>Cidera</v>
      </c>
      <c r="U1066" s="16" t="str">
        <f>IFERROR(__xludf.DUMMYFUNCTION("""COMPUTED_VALUE"""),"Volly")</f>
        <v>Volly</v>
      </c>
      <c r="V1066" s="11" t="str">
        <f>IFERROR(__xludf.DUMMYFUNCTION("""COMPUTED_VALUE"""),"083153742844")</f>
        <v>083153742844</v>
      </c>
      <c r="W1066" s="15"/>
    </row>
    <row r="1067" ht="22.5" customHeight="1">
      <c r="A1067" s="38"/>
      <c r="B1067" s="24">
        <f>IFERROR(__xludf.DUMMYFUNCTION("""COMPUTED_VALUE"""),45319.771093483796)</f>
        <v>45319.77109</v>
      </c>
      <c r="C1067" s="24"/>
      <c r="D1067" s="10">
        <f>IFERROR(__xludf.DUMMYFUNCTION("""COMPUTED_VALUE"""),45323.0)</f>
        <v>45323</v>
      </c>
      <c r="E1067" s="10" t="str">
        <f>IFERROR(__xludf.DUMMYFUNCTION("""COMPUTED_VALUE"""),"02Feb")</f>
        <v>02Feb</v>
      </c>
      <c r="F1067" s="10" t="str">
        <f>IFERROR(__xludf.DUMMYFUNCTION("""COMPUTED_VALUE"""),"2024")</f>
        <v>2024</v>
      </c>
      <c r="G1067" s="16" t="str">
        <f>IFERROR(__xludf.DUMMYFUNCTION("""COMPUTED_VALUE"""),"RAYNA HESTI NURAINI")</f>
        <v>RAYNA HESTI NURAINI</v>
      </c>
      <c r="H1067" s="17" t="str">
        <f>IFERROR(__xludf.DUMMYFUNCTION("""COMPUTED_VALUE"""),"R9024021894")</f>
        <v>R9024021894</v>
      </c>
      <c r="I1067" s="17">
        <f>IFERROR(__xludf.DUMMYFUNCTION("""COMPUTED_VALUE"""),35.0)</f>
        <v>35</v>
      </c>
      <c r="J1067" s="17" t="str">
        <f>IFERROR(__xludf.DUMMYFUNCTION("""COMPUTED_VALUE"""),"35-44 tahun")</f>
        <v>35-44 tahun</v>
      </c>
      <c r="K1067" s="19">
        <f>IFERROR(__xludf.DUMMYFUNCTION("""COMPUTED_VALUE"""),33084.0)</f>
        <v>33084</v>
      </c>
      <c r="L1067" s="19" t="str">
        <f>IFERROR(__xludf.DUMMYFUNCTION("""COMPUTED_VALUE"""),"PEREMPUAN")</f>
        <v>PEREMPUAN</v>
      </c>
      <c r="M1067" s="16" t="str">
        <f>IFERROR(__xludf.DUMMYFUNCTION("""COMPUTED_VALUE"""),"JALAN DANAU SENTARUM KOMP BANK DUTA NO. 2 B")</f>
        <v>JALAN DANAU SENTARUM KOMP BANK DUTA NO. 2 B</v>
      </c>
      <c r="N1067" s="16" t="str">
        <f>IFERROR(__xludf.DUMMYFUNCTION("""COMPUTED_VALUE"""),"KEL. SUNGAI BANGKONG")</f>
        <v>KEL. SUNGAI BANGKONG</v>
      </c>
      <c r="O1067" s="16" t="str">
        <f>IFERROR(__xludf.DUMMYFUNCTION("""COMPUTED_VALUE"""),"KEC. PONTIANAK KOTA")</f>
        <v>KEC. PONTIANAK KOTA</v>
      </c>
      <c r="P1067" s="16" t="str">
        <f>IFERROR(__xludf.DUMMYFUNCTION("""COMPUTED_VALUE"""),"KOTA PONTIANAK")</f>
        <v>KOTA PONTIANAK</v>
      </c>
      <c r="Q1067" s="16" t="str">
        <f>IFERROR(__xludf.DUMMYFUNCTION("""COMPUTED_VALUE"""),"KALIMANTAN BARAT")</f>
        <v>KALIMANTAN BARAT</v>
      </c>
      <c r="R1067" s="19" t="str">
        <f>IFERROR(__xludf.DUMMYFUNCTION("""COMPUTED_VALUE"""),"ISLAM")</f>
        <v>ISLAM</v>
      </c>
      <c r="S1067" s="16" t="str">
        <f>IFERROR(__xludf.DUMMYFUNCTION("""COMPUTED_VALUE"""),"BUMD")</f>
        <v>BUMD</v>
      </c>
      <c r="T1067" s="16" t="str">
        <f>IFERROR(__xludf.DUMMYFUNCTION("""COMPUTED_VALUE"""),"Sakit jatuh")</f>
        <v>Sakit jatuh</v>
      </c>
      <c r="U1067" s="16" t="str">
        <f>IFERROR(__xludf.DUMMYFUNCTION("""COMPUTED_VALUE"""),"Membaca, Browsing")</f>
        <v>Membaca, Browsing</v>
      </c>
      <c r="V1067" s="11" t="str">
        <f>IFERROR(__xludf.DUMMYFUNCTION("""COMPUTED_VALUE"""),"081254911894")</f>
        <v>081254911894</v>
      </c>
      <c r="W1067" s="15"/>
    </row>
    <row r="1068" ht="22.5" customHeight="1">
      <c r="A1068" s="40"/>
      <c r="B1068" s="9">
        <f>IFERROR(__xludf.DUMMYFUNCTION("""COMPUTED_VALUE"""),45320.54155314815)</f>
        <v>45320.54155</v>
      </c>
      <c r="C1068" s="9"/>
      <c r="D1068" s="10">
        <f>IFERROR(__xludf.DUMMYFUNCTION("""COMPUTED_VALUE"""),45323.0)</f>
        <v>45323</v>
      </c>
      <c r="E1068" s="10" t="str">
        <f>IFERROR(__xludf.DUMMYFUNCTION("""COMPUTED_VALUE"""),"02Feb")</f>
        <v>02Feb</v>
      </c>
      <c r="F1068" s="10" t="str">
        <f>IFERROR(__xludf.DUMMYFUNCTION("""COMPUTED_VALUE"""),"2024")</f>
        <v>2024</v>
      </c>
      <c r="G1068" s="16" t="str">
        <f>IFERROR(__xludf.DUMMYFUNCTION("""COMPUTED_VALUE"""),"SUHARDI 6906")</f>
        <v>SUHARDI 6906</v>
      </c>
      <c r="H1068" s="17" t="str">
        <f>IFERROR(__xludf.DUMMYFUNCTION("""COMPUTED_VALUE"""),"S6924026185")</f>
        <v>S6924026185</v>
      </c>
      <c r="I1068" s="17">
        <f>IFERROR(__xludf.DUMMYFUNCTION("""COMPUTED_VALUE"""),57.0)</f>
        <v>57</v>
      </c>
      <c r="J1068" s="17" t="str">
        <f>IFERROR(__xludf.DUMMYFUNCTION("""COMPUTED_VALUE"""),"&gt; 44 tahun")</f>
        <v>&gt; 44 tahun</v>
      </c>
      <c r="K1068" s="19">
        <f>IFERROR(__xludf.DUMMYFUNCTION("""COMPUTED_VALUE"""),25360.0)</f>
        <v>25360</v>
      </c>
      <c r="L1068" s="19" t="str">
        <f>IFERROR(__xludf.DUMMYFUNCTION("""COMPUTED_VALUE"""),"LAKI-LAKI")</f>
        <v>LAKI-LAKI</v>
      </c>
      <c r="M1068" s="16" t="str">
        <f>IFERROR(__xludf.DUMMYFUNCTION("""COMPUTED_VALUE"""),"JL PROF M YAMIN GG SUTRA")</f>
        <v>JL PROF M YAMIN GG SUTRA</v>
      </c>
      <c r="N1068" s="16" t="str">
        <f>IFERROR(__xludf.DUMMYFUNCTION("""COMPUTED_VALUE"""),"KEL. SUNGAI BANGKONG")</f>
        <v>KEL. SUNGAI BANGKONG</v>
      </c>
      <c r="O1068" s="16" t="str">
        <f>IFERROR(__xludf.DUMMYFUNCTION("""COMPUTED_VALUE"""),"KEC. PONTIANAK KOTA")</f>
        <v>KEC. PONTIANAK KOTA</v>
      </c>
      <c r="P1068" s="16" t="str">
        <f>IFERROR(__xludf.DUMMYFUNCTION("""COMPUTED_VALUE"""),"KOTA PONTIANAK")</f>
        <v>KOTA PONTIANAK</v>
      </c>
      <c r="Q1068" s="16" t="str">
        <f>IFERROR(__xludf.DUMMYFUNCTION("""COMPUTED_VALUE"""),"KALIMANTAN BARAT")</f>
        <v>KALIMANTAN BARAT</v>
      </c>
      <c r="R1068" s="19" t="str">
        <f>IFERROR(__xludf.DUMMYFUNCTION("""COMPUTED_VALUE"""),"ISLAM")</f>
        <v>ISLAM</v>
      </c>
      <c r="S1068" s="16" t="str">
        <f>IFERROR(__xludf.DUMMYFUNCTION("""COMPUTED_VALUE"""),"SWASTA")</f>
        <v>SWASTA</v>
      </c>
      <c r="T1068" s="16" t="str">
        <f>IFERROR(__xludf.DUMMYFUNCTION("""COMPUTED_VALUE"""),"Nyeri pinggang menjalar k kaki kiri")</f>
        <v>Nyeri pinggang menjalar k kaki kiri</v>
      </c>
      <c r="U1068" s="16" t="str">
        <f>IFERROR(__xludf.DUMMYFUNCTION("""COMPUTED_VALUE"""),"Mekanik mesin kapal")</f>
        <v>Mekanik mesin kapal</v>
      </c>
      <c r="V1068" s="11" t="str">
        <f>IFERROR(__xludf.DUMMYFUNCTION("""COMPUTED_VALUE"""),"0895346596185")</f>
        <v>0895346596185</v>
      </c>
      <c r="W1068" s="15"/>
    </row>
    <row r="1069" ht="22.5" customHeight="1">
      <c r="A1069" s="40"/>
      <c r="B1069" s="9">
        <f>IFERROR(__xludf.DUMMYFUNCTION("""COMPUTED_VALUE"""),45318.577436921296)</f>
        <v>45318.57744</v>
      </c>
      <c r="C1069" s="9"/>
      <c r="D1069" s="10">
        <f>IFERROR(__xludf.DUMMYFUNCTION("""COMPUTED_VALUE"""),45323.0)</f>
        <v>45323</v>
      </c>
      <c r="E1069" s="10" t="str">
        <f>IFERROR(__xludf.DUMMYFUNCTION("""COMPUTED_VALUE"""),"02Feb")</f>
        <v>02Feb</v>
      </c>
      <c r="F1069" s="10" t="str">
        <f>IFERROR(__xludf.DUMMYFUNCTION("""COMPUTED_VALUE"""),"2024")</f>
        <v>2024</v>
      </c>
      <c r="G1069" s="16" t="str">
        <f>IFERROR(__xludf.DUMMYFUNCTION("""COMPUTED_VALUE"""),"SUHARDI 8606")</f>
        <v>SUHARDI 8606</v>
      </c>
      <c r="H1069" s="17" t="str">
        <f>IFERROR(__xludf.DUMMYFUNCTION("""COMPUTED_VALUE"""),"S8624028256")</f>
        <v>S8624028256</v>
      </c>
      <c r="I1069" s="17">
        <f>IFERROR(__xludf.DUMMYFUNCTION("""COMPUTED_VALUE"""),40.0)</f>
        <v>40</v>
      </c>
      <c r="J1069" s="17" t="str">
        <f>IFERROR(__xludf.DUMMYFUNCTION("""COMPUTED_VALUE"""),"35-44 tahun")</f>
        <v>35-44 tahun</v>
      </c>
      <c r="K1069" s="19">
        <f>IFERROR(__xludf.DUMMYFUNCTION("""COMPUTED_VALUE"""),31581.0)</f>
        <v>31581</v>
      </c>
      <c r="L1069" s="19" t="str">
        <f>IFERROR(__xludf.DUMMYFUNCTION("""COMPUTED_VALUE"""),"LAKI-LAKI")</f>
        <v>LAKI-LAKI</v>
      </c>
      <c r="M1069" s="16" t="str">
        <f>IFERROR(__xludf.DUMMYFUNCTION("""COMPUTED_VALUE"""),"Jalan desa kapur komp. Green kapur village")</f>
        <v>Jalan desa kapur komp. Green kapur village</v>
      </c>
      <c r="N1069" s="16" t="str">
        <f>IFERROR(__xludf.DUMMYFUNCTION("""COMPUTED_VALUE"""),"DS. MEKAR BARU")</f>
        <v>DS. MEKAR BARU</v>
      </c>
      <c r="O1069" s="16" t="str">
        <f>IFERROR(__xludf.DUMMYFUNCTION("""COMPUTED_VALUE"""),"KEC. SUNGAI RAYA")</f>
        <v>KEC. SUNGAI RAYA</v>
      </c>
      <c r="P1069" s="16" t="str">
        <f>IFERROR(__xludf.DUMMYFUNCTION("""COMPUTED_VALUE"""),"KAB. KUBU RAYA")</f>
        <v>KAB. KUBU RAYA</v>
      </c>
      <c r="Q1069" s="16" t="str">
        <f>IFERROR(__xludf.DUMMYFUNCTION("""COMPUTED_VALUE"""),"KALIMANTAN BARAT")</f>
        <v>KALIMANTAN BARAT</v>
      </c>
      <c r="R1069" s="19" t="str">
        <f>IFERROR(__xludf.DUMMYFUNCTION("""COMPUTED_VALUE"""),"ISLAM")</f>
        <v>ISLAM</v>
      </c>
      <c r="S1069" s="16" t="str">
        <f>IFERROR(__xludf.DUMMYFUNCTION("""COMPUTED_VALUE"""),"DOSEN/GURU")</f>
        <v>DOSEN/GURU</v>
      </c>
      <c r="T1069" s="16" t="str">
        <f>IFERROR(__xludf.DUMMYFUNCTION("""COMPUTED_VALUE"""),"Nyeri")</f>
        <v>Nyeri</v>
      </c>
      <c r="U1069" s="16" t="str">
        <f>IFERROR(__xludf.DUMMYFUNCTION("""COMPUTED_VALUE"""),"Olah raga")</f>
        <v>Olah raga</v>
      </c>
      <c r="V1069" s="11" t="str">
        <f>IFERROR(__xludf.DUMMYFUNCTION("""COMPUTED_VALUE"""),"089693228256")</f>
        <v>089693228256</v>
      </c>
      <c r="W1069" s="15"/>
    </row>
    <row r="1070" ht="22.5" customHeight="1">
      <c r="A1070" s="40"/>
      <c r="B1070" s="9">
        <f>IFERROR(__xludf.DUMMYFUNCTION("""COMPUTED_VALUE"""),45320.670931342596)</f>
        <v>45320.67093</v>
      </c>
      <c r="C1070" s="9"/>
      <c r="D1070" s="10">
        <f>IFERROR(__xludf.DUMMYFUNCTION("""COMPUTED_VALUE"""),45325.0)</f>
        <v>45325</v>
      </c>
      <c r="E1070" s="10" t="str">
        <f>IFERROR(__xludf.DUMMYFUNCTION("""COMPUTED_VALUE"""),"02Feb")</f>
        <v>02Feb</v>
      </c>
      <c r="F1070" s="10" t="str">
        <f>IFERROR(__xludf.DUMMYFUNCTION("""COMPUTED_VALUE"""),"2024")</f>
        <v>2024</v>
      </c>
      <c r="G1070" s="16" t="str">
        <f>IFERROR(__xludf.DUMMYFUNCTION("""COMPUTED_VALUE"""),"GERRY")</f>
        <v>GERRY</v>
      </c>
      <c r="H1070" s="17" t="str">
        <f>IFERROR(__xludf.DUMMYFUNCTION("""COMPUTED_VALUE"""),"G8624020821")</f>
        <v>G8624020821</v>
      </c>
      <c r="I1070" s="17">
        <f>IFERROR(__xludf.DUMMYFUNCTION("""COMPUTED_VALUE"""),39.0)</f>
        <v>39</v>
      </c>
      <c r="J1070" s="17" t="str">
        <f>IFERROR(__xludf.DUMMYFUNCTION("""COMPUTED_VALUE"""),"35-44 tahun")</f>
        <v>35-44 tahun</v>
      </c>
      <c r="K1070" s="19">
        <f>IFERROR(__xludf.DUMMYFUNCTION("""COMPUTED_VALUE"""),31601.0)</f>
        <v>31601</v>
      </c>
      <c r="L1070" s="19" t="str">
        <f>IFERROR(__xludf.DUMMYFUNCTION("""COMPUTED_VALUE"""),"LAKI-LAKI")</f>
        <v>LAKI-LAKI</v>
      </c>
      <c r="M1070" s="16" t="str">
        <f>IFERROR(__xludf.DUMMYFUNCTION("""COMPUTED_VALUE"""),"JL. GUSTI HAMZAH")</f>
        <v>JL. GUSTI HAMZAH</v>
      </c>
      <c r="N1070" s="16" t="str">
        <f>IFERROR(__xludf.DUMMYFUNCTION("""COMPUTED_VALUE"""),"KEL. SUNGAI JAWI")</f>
        <v>KEL. SUNGAI JAWI</v>
      </c>
      <c r="O1070" s="16" t="str">
        <f>IFERROR(__xludf.DUMMYFUNCTION("""COMPUTED_VALUE"""),"KEC. PONTIANAK KOTA")</f>
        <v>KEC. PONTIANAK KOTA</v>
      </c>
      <c r="P1070" s="16" t="str">
        <f>IFERROR(__xludf.DUMMYFUNCTION("""COMPUTED_VALUE"""),"KOTA PONTIANAK")</f>
        <v>KOTA PONTIANAK</v>
      </c>
      <c r="Q1070" s="16" t="str">
        <f>IFERROR(__xludf.DUMMYFUNCTION("""COMPUTED_VALUE"""),"KALIMANTAN BARAT")</f>
        <v>KALIMANTAN BARAT</v>
      </c>
      <c r="R1070" s="19" t="str">
        <f>IFERROR(__xludf.DUMMYFUNCTION("""COMPUTED_VALUE"""),"ISLAM")</f>
        <v>ISLAM</v>
      </c>
      <c r="S1070" s="16" t="str">
        <f>IFERROR(__xludf.DUMMYFUNCTION("""COMPUTED_VALUE"""),"SWASTA")</f>
        <v>SWASTA</v>
      </c>
      <c r="T1070" s="16" t="str">
        <f>IFERROR(__xludf.DUMMYFUNCTION("""COMPUTED_VALUE"""),"Paha bagian dalam tertarik")</f>
        <v>Paha bagian dalam tertarik</v>
      </c>
      <c r="U1070" s="16" t="str">
        <f>IFERROR(__xludf.DUMMYFUNCTION("""COMPUTED_VALUE"""),"Running")</f>
        <v>Running</v>
      </c>
      <c r="V1070" s="11" t="str">
        <f>IFERROR(__xludf.DUMMYFUNCTION("""COMPUTED_VALUE"""),"085641230821")</f>
        <v>085641230821</v>
      </c>
      <c r="W1070" s="15"/>
    </row>
    <row r="1071" ht="22.5" customHeight="1">
      <c r="A1071" s="40"/>
      <c r="B1071" s="9">
        <f>IFERROR(__xludf.DUMMYFUNCTION("""COMPUTED_VALUE"""),45321.80557484954)</f>
        <v>45321.80557</v>
      </c>
      <c r="C1071" s="9"/>
      <c r="D1071" s="10">
        <f>IFERROR(__xludf.DUMMYFUNCTION("""COMPUTED_VALUE"""),45325.0)</f>
        <v>45325</v>
      </c>
      <c r="E1071" s="10" t="str">
        <f>IFERROR(__xludf.DUMMYFUNCTION("""COMPUTED_VALUE"""),"02Feb")</f>
        <v>02Feb</v>
      </c>
      <c r="F1071" s="10" t="str">
        <f>IFERROR(__xludf.DUMMYFUNCTION("""COMPUTED_VALUE"""),"2024")</f>
        <v>2024</v>
      </c>
      <c r="G1071" s="16" t="str">
        <f>IFERROR(__xludf.DUMMYFUNCTION("""COMPUTED_VALUE"""),"ALFAREL KEANU RADITYA")</f>
        <v>ALFAREL KEANU RADITYA</v>
      </c>
      <c r="H1071" s="17" t="str">
        <f>IFERROR(__xludf.DUMMYFUNCTION("""COMPUTED_VALUE"""),"A1524027000")</f>
        <v>A1524027000</v>
      </c>
      <c r="I1071" s="17">
        <f>IFERROR(__xludf.DUMMYFUNCTION("""COMPUTED_VALUE"""),10.0)</f>
        <v>10</v>
      </c>
      <c r="J1071" s="17" t="str">
        <f>IFERROR(__xludf.DUMMYFUNCTION("""COMPUTED_VALUE"""),"&lt; 18 tahun")</f>
        <v>&lt; 18 tahun</v>
      </c>
      <c r="K1071" s="19">
        <f>IFERROR(__xludf.DUMMYFUNCTION("""COMPUTED_VALUE"""),42340.0)</f>
        <v>42340</v>
      </c>
      <c r="L1071" s="19" t="str">
        <f>IFERROR(__xludf.DUMMYFUNCTION("""COMPUTED_VALUE"""),"LAKI-LAKI")</f>
        <v>LAKI-LAKI</v>
      </c>
      <c r="M1071" s="16" t="str">
        <f>IFERROR(__xludf.DUMMYFUNCTION("""COMPUTED_VALUE"""),"JL. SEJAHTERA 1 NO B. 30")</f>
        <v>JL. SEJAHTERA 1 NO B. 30</v>
      </c>
      <c r="N1071" s="16" t="str">
        <f>IFERROR(__xludf.DUMMYFUNCTION("""COMPUTED_VALUE"""),"KEL. BANGKA BELITUNG DARAT")</f>
        <v>KEL. BANGKA BELITUNG DARAT</v>
      </c>
      <c r="O1071" s="16" t="str">
        <f>IFERROR(__xludf.DUMMYFUNCTION("""COMPUTED_VALUE"""),"KEC. PONTIANAK TENGGARA")</f>
        <v>KEC. PONTIANAK TENGGARA</v>
      </c>
      <c r="P1071" s="16" t="str">
        <f>IFERROR(__xludf.DUMMYFUNCTION("""COMPUTED_VALUE"""),"KOTA PONTIANAK")</f>
        <v>KOTA PONTIANAK</v>
      </c>
      <c r="Q1071" s="16" t="str">
        <f>IFERROR(__xludf.DUMMYFUNCTION("""COMPUTED_VALUE"""),"KALIMANTAN BARAT")</f>
        <v>KALIMANTAN BARAT</v>
      </c>
      <c r="R1071" s="19" t="str">
        <f>IFERROR(__xludf.DUMMYFUNCTION("""COMPUTED_VALUE"""),"ISLAM")</f>
        <v>ISLAM</v>
      </c>
      <c r="S1071" s="16" t="str">
        <f>IFERROR(__xludf.DUMMYFUNCTION("""COMPUTED_VALUE"""),"PELAJAR/MAHASISWA")</f>
        <v>PELAJAR/MAHASISWA</v>
      </c>
      <c r="T1071" s="16" t="str">
        <f>IFERROR(__xludf.DUMMYFUNCTION("""COMPUTED_VALUE"""),"Cedera Kiri")</f>
        <v>Cedera Kiri</v>
      </c>
      <c r="U1071" s="16" t="str">
        <f>IFERROR(__xludf.DUMMYFUNCTION("""COMPUTED_VALUE"""),"Bermain")</f>
        <v>Bermain</v>
      </c>
      <c r="V1071" s="11" t="str">
        <f>IFERROR(__xludf.DUMMYFUNCTION("""COMPUTED_VALUE"""),"087788527000")</f>
        <v>087788527000</v>
      </c>
      <c r="W1071" s="15"/>
    </row>
    <row r="1072" ht="22.5" customHeight="1">
      <c r="A1072" s="40"/>
      <c r="B1072" s="9">
        <f>IFERROR(__xludf.DUMMYFUNCTION("""COMPUTED_VALUE"""),45321.82999482639)</f>
        <v>45321.82999</v>
      </c>
      <c r="C1072" s="9"/>
      <c r="D1072" s="10">
        <f>IFERROR(__xludf.DUMMYFUNCTION("""COMPUTED_VALUE"""),45325.0)</f>
        <v>45325</v>
      </c>
      <c r="E1072" s="10" t="str">
        <f>IFERROR(__xludf.DUMMYFUNCTION("""COMPUTED_VALUE"""),"02Feb")</f>
        <v>02Feb</v>
      </c>
      <c r="F1072" s="10" t="str">
        <f>IFERROR(__xludf.DUMMYFUNCTION("""COMPUTED_VALUE"""),"2024")</f>
        <v>2024</v>
      </c>
      <c r="G1072" s="16" t="str">
        <f>IFERROR(__xludf.DUMMYFUNCTION("""COMPUTED_VALUE"""),"REZKI MAULISA")</f>
        <v>REZKI MAULISA</v>
      </c>
      <c r="H1072" s="17" t="str">
        <f>IFERROR(__xludf.DUMMYFUNCTION("""COMPUTED_VALUE"""),"R9724021830")</f>
        <v>R9724021830</v>
      </c>
      <c r="I1072" s="17">
        <f>IFERROR(__xludf.DUMMYFUNCTION("""COMPUTED_VALUE"""),28.0)</f>
        <v>28</v>
      </c>
      <c r="J1072" s="17" t="str">
        <f>IFERROR(__xludf.DUMMYFUNCTION("""COMPUTED_VALUE"""),"25-34 tahun")</f>
        <v>25-34 tahun</v>
      </c>
      <c r="K1072" s="19">
        <f>IFERROR(__xludf.DUMMYFUNCTION("""COMPUTED_VALUE"""),35641.0)</f>
        <v>35641</v>
      </c>
      <c r="L1072" s="19" t="str">
        <f>IFERROR(__xludf.DUMMYFUNCTION("""COMPUTED_VALUE"""),"PEREMPUAN")</f>
        <v>PEREMPUAN</v>
      </c>
      <c r="M1072" s="16" t="str">
        <f>IFERROR(__xludf.DUMMYFUNCTION("""COMPUTED_VALUE"""),"JLN. DANAU SENTARUM NO. 88 G")</f>
        <v>JLN. DANAU SENTARUM NO. 88 G</v>
      </c>
      <c r="N1072" s="16" t="str">
        <f>IFERROR(__xludf.DUMMYFUNCTION("""COMPUTED_VALUE"""),"KEL. SUNGAI BANGKONG")</f>
        <v>KEL. SUNGAI BANGKONG</v>
      </c>
      <c r="O1072" s="16" t="str">
        <f>IFERROR(__xludf.DUMMYFUNCTION("""COMPUTED_VALUE"""),"KEC. PONTIANAK KOTA")</f>
        <v>KEC. PONTIANAK KOTA</v>
      </c>
      <c r="P1072" s="16" t="str">
        <f>IFERROR(__xludf.DUMMYFUNCTION("""COMPUTED_VALUE"""),"KOTA PONTIANAK")</f>
        <v>KOTA PONTIANAK</v>
      </c>
      <c r="Q1072" s="16" t="str">
        <f>IFERROR(__xludf.DUMMYFUNCTION("""COMPUTED_VALUE"""),"KALIMANTAN BARAT")</f>
        <v>KALIMANTAN BARAT</v>
      </c>
      <c r="R1072" s="19" t="str">
        <f>IFERROR(__xludf.DUMMYFUNCTION("""COMPUTED_VALUE"""),"ISLAM")</f>
        <v>ISLAM</v>
      </c>
      <c r="S1072" s="16" t="str">
        <f>IFERROR(__xludf.DUMMYFUNCTION("""COMPUTED_VALUE"""),"RUMAH TANGGA")</f>
        <v>RUMAH TANGGA</v>
      </c>
      <c r="T1072" s="16" t="str">
        <f>IFERROR(__xludf.DUMMYFUNCTION("""COMPUTED_VALUE"""),"Cidera Punggung bawah belakang")</f>
        <v>Cidera Punggung bawah belakang</v>
      </c>
      <c r="U1072" s="16" t="str">
        <f>IFERROR(__xludf.DUMMYFUNCTION("""COMPUTED_VALUE"""),"Jalan jalan")</f>
        <v>Jalan jalan</v>
      </c>
      <c r="V1072" s="11" t="str">
        <f>IFERROR(__xludf.DUMMYFUNCTION("""COMPUTED_VALUE"""),"081219111830")</f>
        <v>081219111830</v>
      </c>
      <c r="W1072" s="15"/>
    </row>
    <row r="1073" ht="22.5" customHeight="1">
      <c r="A1073" s="40"/>
      <c r="B1073" s="9">
        <f>IFERROR(__xludf.DUMMYFUNCTION("""COMPUTED_VALUE"""),45321.864117233796)</f>
        <v>45321.86412</v>
      </c>
      <c r="C1073" s="9"/>
      <c r="D1073" s="10">
        <f>IFERROR(__xludf.DUMMYFUNCTION("""COMPUTED_VALUE"""),45326.0)</f>
        <v>45326</v>
      </c>
      <c r="E1073" s="10" t="str">
        <f>IFERROR(__xludf.DUMMYFUNCTION("""COMPUTED_VALUE"""),"02Feb")</f>
        <v>02Feb</v>
      </c>
      <c r="F1073" s="10" t="str">
        <f>IFERROR(__xludf.DUMMYFUNCTION("""COMPUTED_VALUE"""),"2024")</f>
        <v>2024</v>
      </c>
      <c r="G1073" s="16" t="str">
        <f>IFERROR(__xludf.DUMMYFUNCTION("""COMPUTED_VALUE"""),"MARYANI")</f>
        <v>MARYANI</v>
      </c>
      <c r="H1073" s="17" t="str">
        <f>IFERROR(__xludf.DUMMYFUNCTION("""COMPUTED_VALUE"""),"M6624026372")</f>
        <v>M6624026372</v>
      </c>
      <c r="I1073" s="17">
        <f>IFERROR(__xludf.DUMMYFUNCTION("""COMPUTED_VALUE"""),60.0)</f>
        <v>60</v>
      </c>
      <c r="J1073" s="17" t="str">
        <f>IFERROR(__xludf.DUMMYFUNCTION("""COMPUTED_VALUE"""),"&gt; 44 tahun")</f>
        <v>&gt; 44 tahun</v>
      </c>
      <c r="K1073" s="19">
        <f>IFERROR(__xludf.DUMMYFUNCTION("""COMPUTED_VALUE"""),24231.0)</f>
        <v>24231</v>
      </c>
      <c r="L1073" s="19" t="str">
        <f>IFERROR(__xludf.DUMMYFUNCTION("""COMPUTED_VALUE"""),"PEREMPUAN")</f>
        <v>PEREMPUAN</v>
      </c>
      <c r="M1073" s="16" t="str">
        <f>IFERROR(__xludf.DUMMYFUNCTION("""COMPUTED_VALUE"""),"Jl KARYA KOMP ARI KARYA INDAH I NO 28B")</f>
        <v>Jl KARYA KOMP ARI KARYA INDAH I NO 28B</v>
      </c>
      <c r="N1073" s="16" t="str">
        <f>IFERROR(__xludf.DUMMYFUNCTION("""COMPUTED_VALUE"""),"KEL. PAL IX")</f>
        <v>KEL. PAL IX</v>
      </c>
      <c r="O1073" s="16" t="str">
        <f>IFERROR(__xludf.DUMMYFUNCTION("""COMPUTED_VALUE"""),"KEC. SUNGAI KAKAP")</f>
        <v>KEC. SUNGAI KAKAP</v>
      </c>
      <c r="P1073" s="16" t="str">
        <f>IFERROR(__xludf.DUMMYFUNCTION("""COMPUTED_VALUE"""),"KAB. KUBU RAYA")</f>
        <v>KAB. KUBU RAYA</v>
      </c>
      <c r="Q1073" s="16" t="str">
        <f>IFERROR(__xludf.DUMMYFUNCTION("""COMPUTED_VALUE"""),"KALIMANTAN BARAT")</f>
        <v>KALIMANTAN BARAT</v>
      </c>
      <c r="R1073" s="19" t="str">
        <f>IFERROR(__xludf.DUMMYFUNCTION("""COMPUTED_VALUE"""),"ISLAM")</f>
        <v>ISLAM</v>
      </c>
      <c r="S1073" s="16" t="str">
        <f>IFERROR(__xludf.DUMMYFUNCTION("""COMPUTED_VALUE"""),"RUMAH TANGGA")</f>
        <v>RUMAH TANGGA</v>
      </c>
      <c r="T1073" s="16" t="str">
        <f>IFERROR(__xludf.DUMMYFUNCTION("""COMPUTED_VALUE"""),"CIDERA KAKI KIRI. KALAU JALAN SAKIT")</f>
        <v>CIDERA KAKI KIRI. KALAU JALAN SAKIT</v>
      </c>
      <c r="U1073" s="16" t="str">
        <f>IFERROR(__xludf.DUMMYFUNCTION("""COMPUTED_VALUE"""),"MASAK")</f>
        <v>MASAK</v>
      </c>
      <c r="V1073" s="11" t="str">
        <f>IFERROR(__xludf.DUMMYFUNCTION("""COMPUTED_VALUE"""),"085389716372")</f>
        <v>085389716372</v>
      </c>
      <c r="W1073" s="15"/>
    </row>
    <row r="1074" ht="22.5" customHeight="1">
      <c r="A1074" s="40"/>
      <c r="B1074" s="9">
        <f>IFERROR(__xludf.DUMMYFUNCTION("""COMPUTED_VALUE"""),45322.42157984954)</f>
        <v>45322.42158</v>
      </c>
      <c r="C1074" s="9"/>
      <c r="D1074" s="10">
        <f>IFERROR(__xludf.DUMMYFUNCTION("""COMPUTED_VALUE"""),45326.0)</f>
        <v>45326</v>
      </c>
      <c r="E1074" s="10" t="str">
        <f>IFERROR(__xludf.DUMMYFUNCTION("""COMPUTED_VALUE"""),"02Feb")</f>
        <v>02Feb</v>
      </c>
      <c r="F1074" s="10" t="str">
        <f>IFERROR(__xludf.DUMMYFUNCTION("""COMPUTED_VALUE"""),"2024")</f>
        <v>2024</v>
      </c>
      <c r="G1074" s="16" t="str">
        <f>IFERROR(__xludf.DUMMYFUNCTION("""COMPUTED_VALUE"""),"MUHAMMAD AGUS SYAHRANI")</f>
        <v>MUHAMMAD AGUS SYAHRANI</v>
      </c>
      <c r="H1074" s="17" t="str">
        <f>IFERROR(__xludf.DUMMYFUNCTION("""COMPUTED_VALUE"""),"M9524024408")</f>
        <v>M9524024408</v>
      </c>
      <c r="I1074" s="17">
        <f>IFERROR(__xludf.DUMMYFUNCTION("""COMPUTED_VALUE"""),30.0)</f>
        <v>30</v>
      </c>
      <c r="J1074" s="17" t="str">
        <f>IFERROR(__xludf.DUMMYFUNCTION("""COMPUTED_VALUE"""),"25-34 tahun")</f>
        <v>25-34 tahun</v>
      </c>
      <c r="K1074" s="19">
        <f>IFERROR(__xludf.DUMMYFUNCTION("""COMPUTED_VALUE"""),34929.0)</f>
        <v>34929</v>
      </c>
      <c r="L1074" s="19" t="str">
        <f>IFERROR(__xludf.DUMMYFUNCTION("""COMPUTED_VALUE"""),"LAKI-LAKI")</f>
        <v>LAKI-LAKI</v>
      </c>
      <c r="M1074" s="16" t="str">
        <f>IFERROR(__xludf.DUMMYFUNCTION("""COMPUTED_VALUE"""),"JL. ALOEVERA KOMP PARIS CALLISTE E1")</f>
        <v>JL. ALOEVERA KOMP PARIS CALLISTE E1</v>
      </c>
      <c r="N1074" s="16" t="str">
        <f>IFERROR(__xludf.DUMMYFUNCTION("""COMPUTED_VALUE"""),"KEL. BANSIR LAUT")</f>
        <v>KEL. BANSIR LAUT</v>
      </c>
      <c r="O1074" s="16" t="str">
        <f>IFERROR(__xludf.DUMMYFUNCTION("""COMPUTED_VALUE"""),"KEC. PONTIANAK TENGGARA")</f>
        <v>KEC. PONTIANAK TENGGARA</v>
      </c>
      <c r="P1074" s="16" t="str">
        <f>IFERROR(__xludf.DUMMYFUNCTION("""COMPUTED_VALUE"""),"KOTA PONTIANAK")</f>
        <v>KOTA PONTIANAK</v>
      </c>
      <c r="Q1074" s="16" t="str">
        <f>IFERROR(__xludf.DUMMYFUNCTION("""COMPUTED_VALUE"""),"KALIMANTAN BARAT")</f>
        <v>KALIMANTAN BARAT</v>
      </c>
      <c r="R1074" s="19" t="str">
        <f>IFERROR(__xludf.DUMMYFUNCTION("""COMPUTED_VALUE"""),"ISLAM")</f>
        <v>ISLAM</v>
      </c>
      <c r="S1074" s="16" t="str">
        <f>IFERROR(__xludf.DUMMYFUNCTION("""COMPUTED_VALUE"""),"SWASTA")</f>
        <v>SWASTA</v>
      </c>
      <c r="T1074" s="16" t="str">
        <f>IFERROR(__xludf.DUMMYFUNCTION("""COMPUTED_VALUE"""),"Nyeri area belakang dan pinggang")</f>
        <v>Nyeri area belakang dan pinggang</v>
      </c>
      <c r="U1074" s="16" t="str">
        <f>IFERROR(__xludf.DUMMYFUNCTION("""COMPUTED_VALUE"""),"Hobby olahraga lari")</f>
        <v>Hobby olahraga lari</v>
      </c>
      <c r="V1074" s="11" t="str">
        <f>IFERROR(__xludf.DUMMYFUNCTION("""COMPUTED_VALUE"""),"081257994408")</f>
        <v>081257994408</v>
      </c>
      <c r="W1074" s="15"/>
    </row>
    <row r="1075" ht="22.5" customHeight="1">
      <c r="A1075" s="40"/>
      <c r="B1075" s="9">
        <f>IFERROR(__xludf.DUMMYFUNCTION("""COMPUTED_VALUE"""),45322.748190706014)</f>
        <v>45322.74819</v>
      </c>
      <c r="C1075" s="9"/>
      <c r="D1075" s="10">
        <f>IFERROR(__xludf.DUMMYFUNCTION("""COMPUTED_VALUE"""),45326.0)</f>
        <v>45326</v>
      </c>
      <c r="E1075" s="10" t="str">
        <f>IFERROR(__xludf.DUMMYFUNCTION("""COMPUTED_VALUE"""),"02Feb")</f>
        <v>02Feb</v>
      </c>
      <c r="F1075" s="10" t="str">
        <f>IFERROR(__xludf.DUMMYFUNCTION("""COMPUTED_VALUE"""),"2024")</f>
        <v>2024</v>
      </c>
      <c r="G1075" s="16" t="str">
        <f>IFERROR(__xludf.DUMMYFUNCTION("""COMPUTED_VALUE"""),"SUPIRMAN")</f>
        <v>SUPIRMAN</v>
      </c>
      <c r="H1075" s="17" t="str">
        <f>IFERROR(__xludf.DUMMYFUNCTION("""COMPUTED_VALUE"""),"S7324028417")</f>
        <v>S7324028417</v>
      </c>
      <c r="I1075" s="17">
        <f>IFERROR(__xludf.DUMMYFUNCTION("""COMPUTED_VALUE"""),53.0)</f>
        <v>53</v>
      </c>
      <c r="J1075" s="17" t="str">
        <f>IFERROR(__xludf.DUMMYFUNCTION("""COMPUTED_VALUE"""),"&gt; 44 tahun")</f>
        <v>&gt; 44 tahun</v>
      </c>
      <c r="K1075" s="21">
        <f>IFERROR(__xludf.DUMMYFUNCTION("""COMPUTED_VALUE"""),26714.0)</f>
        <v>26714</v>
      </c>
      <c r="L1075" s="21" t="str">
        <f>IFERROR(__xludf.DUMMYFUNCTION("""COMPUTED_VALUE"""),"LAKI-LAKI")</f>
        <v>LAKI-LAKI</v>
      </c>
      <c r="M1075" s="16" t="str">
        <f>IFERROR(__xludf.DUMMYFUNCTION("""COMPUTED_VALUE"""),"JL.HUSEIN HAMZAH GG HASANAH NO7")</f>
        <v>JL.HUSEIN HAMZAH GG HASANAH NO7</v>
      </c>
      <c r="N1075" s="16" t="str">
        <f>IFERROR(__xludf.DUMMYFUNCTION("""COMPUTED_VALUE"""),"KEL. SUNGAI JAWI")</f>
        <v>KEL. SUNGAI JAWI</v>
      </c>
      <c r="O1075" s="16" t="str">
        <f>IFERROR(__xludf.DUMMYFUNCTION("""COMPUTED_VALUE"""),"KEC. PONTIANAK BARAT")</f>
        <v>KEC. PONTIANAK BARAT</v>
      </c>
      <c r="P1075" s="16" t="str">
        <f>IFERROR(__xludf.DUMMYFUNCTION("""COMPUTED_VALUE"""),"KOTA PONTIANAK")</f>
        <v>KOTA PONTIANAK</v>
      </c>
      <c r="Q1075" s="16" t="str">
        <f>IFERROR(__xludf.DUMMYFUNCTION("""COMPUTED_VALUE"""),"KALIMANTAN BARAT")</f>
        <v>KALIMANTAN BARAT</v>
      </c>
      <c r="R1075" s="21" t="str">
        <f>IFERROR(__xludf.DUMMYFUNCTION("""COMPUTED_VALUE"""),"ISLAM")</f>
        <v>ISLAM</v>
      </c>
      <c r="S1075" s="16" t="str">
        <f>IFERROR(__xludf.DUMMYFUNCTION("""COMPUTED_VALUE"""),"SWASTA")</f>
        <v>SWASTA</v>
      </c>
      <c r="T1075" s="36" t="str">
        <f>IFERROR(__xludf.DUMMYFUNCTION("""COMPUTED_VALUE"""),"Saraf kejepit")</f>
        <v>Saraf kejepit</v>
      </c>
      <c r="U1075" s="36" t="str">
        <f>IFERROR(__xludf.DUMMYFUNCTION("""COMPUTED_VALUE"""),"Kantor")</f>
        <v>Kantor</v>
      </c>
      <c r="V1075" s="37" t="str">
        <f>IFERROR(__xludf.DUMMYFUNCTION("""COMPUTED_VALUE"""),"081256978417")</f>
        <v>081256978417</v>
      </c>
      <c r="W1075" s="22"/>
    </row>
    <row r="1076" ht="22.5" customHeight="1">
      <c r="A1076" s="40"/>
      <c r="B1076" s="9">
        <f>IFERROR(__xludf.DUMMYFUNCTION("""COMPUTED_VALUE"""),45322.76275466435)</f>
        <v>45322.76275</v>
      </c>
      <c r="C1076" s="9"/>
      <c r="D1076" s="10">
        <f>IFERROR(__xludf.DUMMYFUNCTION("""COMPUTED_VALUE"""),45326.0)</f>
        <v>45326</v>
      </c>
      <c r="E1076" s="10" t="str">
        <f>IFERROR(__xludf.DUMMYFUNCTION("""COMPUTED_VALUE"""),"02Feb")</f>
        <v>02Feb</v>
      </c>
      <c r="F1076" s="10" t="str">
        <f>IFERROR(__xludf.DUMMYFUNCTION("""COMPUTED_VALUE"""),"2024")</f>
        <v>2024</v>
      </c>
      <c r="G1076" s="16" t="str">
        <f>IFERROR(__xludf.DUMMYFUNCTION("""COMPUTED_VALUE"""),"WAFI FEYZADIANSYAH")</f>
        <v>WAFI FEYZADIANSYAH</v>
      </c>
      <c r="H1076" s="17" t="str">
        <f>IFERROR(__xludf.DUMMYFUNCTION("""COMPUTED_VALUE"""),"W1124029684")</f>
        <v>W1124029684</v>
      </c>
      <c r="I1076" s="17">
        <f>IFERROR(__xludf.DUMMYFUNCTION("""COMPUTED_VALUE"""),15.0)</f>
        <v>15</v>
      </c>
      <c r="J1076" s="17" t="str">
        <f>IFERROR(__xludf.DUMMYFUNCTION("""COMPUTED_VALUE"""),"&lt; 18 tahun")</f>
        <v>&lt; 18 tahun</v>
      </c>
      <c r="K1076" s="19">
        <f>IFERROR(__xludf.DUMMYFUNCTION("""COMPUTED_VALUE"""),40586.0)</f>
        <v>40586</v>
      </c>
      <c r="L1076" s="19" t="str">
        <f>IFERROR(__xludf.DUMMYFUNCTION("""COMPUTED_VALUE"""),"LAKI-LAKI")</f>
        <v>LAKI-LAKI</v>
      </c>
      <c r="M1076" s="16" t="str">
        <f>IFERROR(__xludf.DUMMYFUNCTION("""COMPUTED_VALUE"""),"JL. IMAM BONJOL GG. H. ALI NO. 12 AA")</f>
        <v>JL. IMAM BONJOL GG. H. ALI NO. 12 AA</v>
      </c>
      <c r="N1076" s="16" t="str">
        <f>IFERROR(__xludf.DUMMYFUNCTION("""COMPUTED_VALUE"""),"KEL. BANSIR LAUT")</f>
        <v>KEL. BANSIR LAUT</v>
      </c>
      <c r="O1076" s="16" t="str">
        <f>IFERROR(__xludf.DUMMYFUNCTION("""COMPUTED_VALUE"""),"KEC. PONTIANAK TENGGARA")</f>
        <v>KEC. PONTIANAK TENGGARA</v>
      </c>
      <c r="P1076" s="16" t="str">
        <f>IFERROR(__xludf.DUMMYFUNCTION("""COMPUTED_VALUE"""),"KOTA PONTIANAK")</f>
        <v>KOTA PONTIANAK</v>
      </c>
      <c r="Q1076" s="16" t="str">
        <f>IFERROR(__xludf.DUMMYFUNCTION("""COMPUTED_VALUE"""),"KALIMANTAN BARAT")</f>
        <v>KALIMANTAN BARAT</v>
      </c>
      <c r="R1076" s="19" t="str">
        <f>IFERROR(__xludf.DUMMYFUNCTION("""COMPUTED_VALUE"""),"ISLAM")</f>
        <v>ISLAM</v>
      </c>
      <c r="S1076" s="16" t="str">
        <f>IFERROR(__xludf.DUMMYFUNCTION("""COMPUTED_VALUE"""),"PELAJAR/MAHASISWA")</f>
        <v>PELAJAR/MAHASISWA</v>
      </c>
      <c r="T1076" s="16" t="str">
        <f>IFERROR(__xludf.DUMMYFUNCTION("""COMPUTED_VALUE"""),"Pergelangan Tangan Keseleo")</f>
        <v>Pergelangan Tangan Keseleo</v>
      </c>
      <c r="U1076" s="16" t="str">
        <f>IFERROR(__xludf.DUMMYFUNCTION("""COMPUTED_VALUE"""),"Futsal")</f>
        <v>Futsal</v>
      </c>
      <c r="V1076" s="11" t="str">
        <f>IFERROR(__xludf.DUMMYFUNCTION("""COMPUTED_VALUE"""),"085248049684")</f>
        <v>085248049684</v>
      </c>
      <c r="W1076" s="15"/>
    </row>
    <row r="1077" ht="22.5" customHeight="1">
      <c r="A1077" s="40"/>
      <c r="B1077" s="9">
        <f>IFERROR(__xludf.DUMMYFUNCTION("""COMPUTED_VALUE"""),45322.80192302083)</f>
        <v>45322.80192</v>
      </c>
      <c r="C1077" s="9"/>
      <c r="D1077" s="10">
        <f>IFERROR(__xludf.DUMMYFUNCTION("""COMPUTED_VALUE"""),45326.0)</f>
        <v>45326</v>
      </c>
      <c r="E1077" s="10" t="str">
        <f>IFERROR(__xludf.DUMMYFUNCTION("""COMPUTED_VALUE"""),"02Feb")</f>
        <v>02Feb</v>
      </c>
      <c r="F1077" s="10" t="str">
        <f>IFERROR(__xludf.DUMMYFUNCTION("""COMPUTED_VALUE"""),"2024")</f>
        <v>2024</v>
      </c>
      <c r="G1077" s="16" t="str">
        <f>IFERROR(__xludf.DUMMYFUNCTION("""COMPUTED_VALUE"""),"YASUMI")</f>
        <v>YASUMI</v>
      </c>
      <c r="H1077" s="17" t="str">
        <f>IFERROR(__xludf.DUMMYFUNCTION("""COMPUTED_VALUE"""),"Y5924027475")</f>
        <v>Y5924027475</v>
      </c>
      <c r="I1077" s="17">
        <f>IFERROR(__xludf.DUMMYFUNCTION("""COMPUTED_VALUE"""),66.0)</f>
        <v>66</v>
      </c>
      <c r="J1077" s="17" t="str">
        <f>IFERROR(__xludf.DUMMYFUNCTION("""COMPUTED_VALUE"""),"&gt; 44 tahun")</f>
        <v>&gt; 44 tahun</v>
      </c>
      <c r="K1077" s="19">
        <f>IFERROR(__xludf.DUMMYFUNCTION("""COMPUTED_VALUE"""),21893.0)</f>
        <v>21893</v>
      </c>
      <c r="L1077" s="19" t="str">
        <f>IFERROR(__xludf.DUMMYFUNCTION("""COMPUTED_VALUE"""),"PEREMPUAN")</f>
        <v>PEREMPUAN</v>
      </c>
      <c r="M1077" s="16" t="str">
        <f>IFERROR(__xludf.DUMMYFUNCTION("""COMPUTED_VALUE"""),"JL. SOEKARNO HATTA KOMPLEK ADI GRIYA PRATAMA NO AA 10, KUBU RAYA")</f>
        <v>JL. SOEKARNO HATTA KOMPLEK ADI GRIYA PRATAMA NO AA 10, KUBU RAYA</v>
      </c>
      <c r="N1077" s="16" t="str">
        <f>IFERROR(__xludf.DUMMYFUNCTION("""COMPUTED_VALUE"""),"DS. TELUK KAPUAS")</f>
        <v>DS. TELUK KAPUAS</v>
      </c>
      <c r="O1077" s="16" t="str">
        <f>IFERROR(__xludf.DUMMYFUNCTION("""COMPUTED_VALUE"""),"KEC. SUNGAI RAYA")</f>
        <v>KEC. SUNGAI RAYA</v>
      </c>
      <c r="P1077" s="16" t="str">
        <f>IFERROR(__xludf.DUMMYFUNCTION("""COMPUTED_VALUE"""),"KAB. KUBU RAYA")</f>
        <v>KAB. KUBU RAYA</v>
      </c>
      <c r="Q1077" s="16" t="str">
        <f>IFERROR(__xludf.DUMMYFUNCTION("""COMPUTED_VALUE"""),"KALIMANTAN BARAT")</f>
        <v>KALIMANTAN BARAT</v>
      </c>
      <c r="R1077" s="19" t="str">
        <f>IFERROR(__xludf.DUMMYFUNCTION("""COMPUTED_VALUE"""),"ISLAM")</f>
        <v>ISLAM</v>
      </c>
      <c r="S1077" s="16" t="str">
        <f>IFERROR(__xludf.DUMMYFUNCTION("""COMPUTED_VALUE"""),"PENSIUN")</f>
        <v>PENSIUN</v>
      </c>
      <c r="T1077" s="16" t="str">
        <f>IFERROR(__xludf.DUMMYFUNCTION("""COMPUTED_VALUE"""),"Struk ringan")</f>
        <v>Struk ringan</v>
      </c>
      <c r="U1077" s="16" t="str">
        <f>IFERROR(__xludf.DUMMYFUNCTION("""COMPUTED_VALUE"""),"ibu rumah tangga")</f>
        <v>ibu rumah tangga</v>
      </c>
      <c r="V1077" s="11" t="str">
        <f>IFERROR(__xludf.DUMMYFUNCTION("""COMPUTED_VALUE"""),"081522607475")</f>
        <v>081522607475</v>
      </c>
      <c r="W1077" s="15"/>
    </row>
    <row r="1078" ht="22.5" customHeight="1">
      <c r="A1078" s="40"/>
      <c r="B1078" s="9">
        <f>IFERROR(__xludf.DUMMYFUNCTION("""COMPUTED_VALUE"""),45322.86215084491)</f>
        <v>45322.86215</v>
      </c>
      <c r="C1078" s="9"/>
      <c r="D1078" s="10">
        <f>IFERROR(__xludf.DUMMYFUNCTION("""COMPUTED_VALUE"""),45327.0)</f>
        <v>45327</v>
      </c>
      <c r="E1078" s="10" t="str">
        <f>IFERROR(__xludf.DUMMYFUNCTION("""COMPUTED_VALUE"""),"02Feb")</f>
        <v>02Feb</v>
      </c>
      <c r="F1078" s="10" t="str">
        <f>IFERROR(__xludf.DUMMYFUNCTION("""COMPUTED_VALUE"""),"2024")</f>
        <v>2024</v>
      </c>
      <c r="G1078" s="16" t="str">
        <f>IFERROR(__xludf.DUMMYFUNCTION("""COMPUTED_VALUE"""),"IRFAN SURYADI")</f>
        <v>IRFAN SURYADI</v>
      </c>
      <c r="H1078" s="17" t="str">
        <f>IFERROR(__xludf.DUMMYFUNCTION("""COMPUTED_VALUE"""),"I0224029098")</f>
        <v>I0224029098</v>
      </c>
      <c r="I1078" s="17">
        <f>IFERROR(__xludf.DUMMYFUNCTION("""COMPUTED_VALUE"""),24.0)</f>
        <v>24</v>
      </c>
      <c r="J1078" s="17" t="str">
        <f>IFERROR(__xludf.DUMMYFUNCTION("""COMPUTED_VALUE"""),"18-24 tahun")</f>
        <v>18-24 tahun</v>
      </c>
      <c r="K1078" s="19">
        <f>IFERROR(__xludf.DUMMYFUNCTION("""COMPUTED_VALUE"""),37303.0)</f>
        <v>37303</v>
      </c>
      <c r="L1078" s="19" t="str">
        <f>IFERROR(__xludf.DUMMYFUNCTION("""COMPUTED_VALUE"""),"LAKI-LAKI")</f>
        <v>LAKI-LAKI</v>
      </c>
      <c r="M1078" s="16" t="str">
        <f>IFERROR(__xludf.DUMMYFUNCTION("""COMPUTED_VALUE"""),"PULAU PANJANG")</f>
        <v>PULAU PANJANG</v>
      </c>
      <c r="N1078" s="16" t="str">
        <f>IFERROR(__xludf.DUMMYFUNCTION("""COMPUTED_VALUE"""),"KEL. PULAU PANJANG")</f>
        <v>KEL. PULAU PANJANG</v>
      </c>
      <c r="O1078" s="16" t="str">
        <f>IFERROR(__xludf.DUMMYFUNCTION("""COMPUTED_VALUE"""),"KEC. PULAU PANJANG")</f>
        <v>KEC. PULAU PANJANG</v>
      </c>
      <c r="P1078" s="16" t="str">
        <f>IFERROR(__xludf.DUMMYFUNCTION("""COMPUTED_VALUE"""),"KAB. NATUNA")</f>
        <v>KAB. NATUNA</v>
      </c>
      <c r="Q1078" s="16" t="str">
        <f>IFERROR(__xludf.DUMMYFUNCTION("""COMPUTED_VALUE"""),"KEPULAUAN RIAU")</f>
        <v>KEPULAUAN RIAU</v>
      </c>
      <c r="R1078" s="19" t="str">
        <f>IFERROR(__xludf.DUMMYFUNCTION("""COMPUTED_VALUE"""),"ISLAM")</f>
        <v>ISLAM</v>
      </c>
      <c r="S1078" s="16" t="str">
        <f>IFERROR(__xludf.DUMMYFUNCTION("""COMPUTED_VALUE"""),"PELAJAR/MAHASISWA")</f>
        <v>PELAJAR/MAHASISWA</v>
      </c>
      <c r="T1078" s="16" t="str">
        <f>IFERROR(__xludf.DUMMYFUNCTION("""COMPUTED_VALUE"""),"CEDERA")</f>
        <v>CEDERA</v>
      </c>
      <c r="U1078" s="16" t="str">
        <f>IFERROR(__xludf.DUMMYFUNCTION("""COMPUTED_VALUE"""),"SEPAK BOLA")</f>
        <v>SEPAK BOLA</v>
      </c>
      <c r="V1078" s="11" t="str">
        <f>IFERROR(__xludf.DUMMYFUNCTION("""COMPUTED_VALUE"""),"082268869098")</f>
        <v>082268869098</v>
      </c>
      <c r="W1078" s="15"/>
    </row>
    <row r="1079" ht="22.5" customHeight="1">
      <c r="A1079" s="40"/>
      <c r="B1079" s="9">
        <f>IFERROR(__xludf.DUMMYFUNCTION("""COMPUTED_VALUE"""),45323.74794108796)</f>
        <v>45323.74794</v>
      </c>
      <c r="C1079" s="9"/>
      <c r="D1079" s="10">
        <f>IFERROR(__xludf.DUMMYFUNCTION("""COMPUTED_VALUE"""),45327.0)</f>
        <v>45327</v>
      </c>
      <c r="E1079" s="10" t="str">
        <f>IFERROR(__xludf.DUMMYFUNCTION("""COMPUTED_VALUE"""),"02Feb")</f>
        <v>02Feb</v>
      </c>
      <c r="F1079" s="10" t="str">
        <f>IFERROR(__xludf.DUMMYFUNCTION("""COMPUTED_VALUE"""),"2024")</f>
        <v>2024</v>
      </c>
      <c r="G1079" s="16" t="str">
        <f>IFERROR(__xludf.DUMMYFUNCTION("""COMPUTED_VALUE"""),"TRI INDRIANSTUTY")</f>
        <v>TRI INDRIANSTUTY</v>
      </c>
      <c r="H1079" s="17" t="str">
        <f>IFERROR(__xludf.DUMMYFUNCTION("""COMPUTED_VALUE"""),"T7124029581")</f>
        <v>T7124029581</v>
      </c>
      <c r="I1079" s="17">
        <f>IFERROR(__xludf.DUMMYFUNCTION("""COMPUTED_VALUE"""),55.0)</f>
        <v>55</v>
      </c>
      <c r="J1079" s="17" t="str">
        <f>IFERROR(__xludf.DUMMYFUNCTION("""COMPUTED_VALUE"""),"&gt; 44 tahun")</f>
        <v>&gt; 44 tahun</v>
      </c>
      <c r="K1079" s="21">
        <f>IFERROR(__xludf.DUMMYFUNCTION("""COMPUTED_VALUE"""),25944.0)</f>
        <v>25944</v>
      </c>
      <c r="L1079" s="21" t="str">
        <f>IFERROR(__xludf.DUMMYFUNCTION("""COMPUTED_VALUE"""),"PEREMPUAN")</f>
        <v>PEREMPUAN</v>
      </c>
      <c r="M1079" s="16" t="str">
        <f>IFERROR(__xludf.DUMMYFUNCTION("""COMPUTED_VALUE"""),"JL. PARIS 2 KOMP. BALI MAS 2 N0. 8 B")</f>
        <v>JL. PARIS 2 KOMP. BALI MAS 2 N0. 8 B</v>
      </c>
      <c r="N1079" s="16" t="str">
        <f>IFERROR(__xludf.DUMMYFUNCTION("""COMPUTED_VALUE"""),"KEL. BANSIR DARAT")</f>
        <v>KEL. BANSIR DARAT</v>
      </c>
      <c r="O1079" s="16" t="str">
        <f>IFERROR(__xludf.DUMMYFUNCTION("""COMPUTED_VALUE"""),"KEC. PONTIANAK TENGGARA")</f>
        <v>KEC. PONTIANAK TENGGARA</v>
      </c>
      <c r="P1079" s="16" t="str">
        <f>IFERROR(__xludf.DUMMYFUNCTION("""COMPUTED_VALUE"""),"KOTA PONTIANAK")</f>
        <v>KOTA PONTIANAK</v>
      </c>
      <c r="Q1079" s="16" t="str">
        <f>IFERROR(__xludf.DUMMYFUNCTION("""COMPUTED_VALUE"""),"KALIMANTAN BARAT")</f>
        <v>KALIMANTAN BARAT</v>
      </c>
      <c r="R1079" s="21" t="str">
        <f>IFERROR(__xludf.DUMMYFUNCTION("""COMPUTED_VALUE"""),"ISLAM")</f>
        <v>ISLAM</v>
      </c>
      <c r="S1079" s="16" t="str">
        <f>IFERROR(__xludf.DUMMYFUNCTION("""COMPUTED_VALUE"""),"ASN")</f>
        <v>ASN</v>
      </c>
      <c r="T1079" s="16"/>
      <c r="U1079" s="36" t="str">
        <f>IFERROR(__xludf.DUMMYFUNCTION("""COMPUTED_VALUE"""),"DUDUK")</f>
        <v>DUDUK</v>
      </c>
      <c r="V1079" s="37" t="str">
        <f>IFERROR(__xludf.DUMMYFUNCTION("""COMPUTED_VALUE"""),"081256669581")</f>
        <v>081256669581</v>
      </c>
      <c r="W1079" s="22"/>
    </row>
    <row r="1080" ht="22.5" customHeight="1">
      <c r="A1080" s="40"/>
      <c r="B1080" s="9">
        <f>IFERROR(__xludf.DUMMYFUNCTION("""COMPUTED_VALUE"""),45323.81871050926)</f>
        <v>45323.81871</v>
      </c>
      <c r="C1080" s="9"/>
      <c r="D1080" s="10">
        <f>IFERROR(__xludf.DUMMYFUNCTION("""COMPUTED_VALUE"""),45328.0)</f>
        <v>45328</v>
      </c>
      <c r="E1080" s="10" t="str">
        <f>IFERROR(__xludf.DUMMYFUNCTION("""COMPUTED_VALUE"""),"02Feb")</f>
        <v>02Feb</v>
      </c>
      <c r="F1080" s="10" t="str">
        <f>IFERROR(__xludf.DUMMYFUNCTION("""COMPUTED_VALUE"""),"2024")</f>
        <v>2024</v>
      </c>
      <c r="G1080" s="16" t="str">
        <f>IFERROR(__xludf.DUMMYFUNCTION("""COMPUTED_VALUE"""),"FREDY ADRIYANSA")</f>
        <v>FREDY ADRIYANSA</v>
      </c>
      <c r="H1080" s="17" t="str">
        <f>IFERROR(__xludf.DUMMYFUNCTION("""COMPUTED_VALUE"""),"F9224024001")</f>
        <v>F9224024001</v>
      </c>
      <c r="I1080" s="17">
        <f>IFERROR(__xludf.DUMMYFUNCTION("""COMPUTED_VALUE"""),34.0)</f>
        <v>34</v>
      </c>
      <c r="J1080" s="17" t="str">
        <f>IFERROR(__xludf.DUMMYFUNCTION("""COMPUTED_VALUE"""),"25-34 tahun")</f>
        <v>25-34 tahun</v>
      </c>
      <c r="K1080" s="21">
        <f>IFERROR(__xludf.DUMMYFUNCTION("""COMPUTED_VALUE"""),33705.0)</f>
        <v>33705</v>
      </c>
      <c r="L1080" s="21" t="str">
        <f>IFERROR(__xludf.DUMMYFUNCTION("""COMPUTED_VALUE"""),"LAKI-LAKI")</f>
        <v>LAKI-LAKI</v>
      </c>
      <c r="M1080" s="16" t="str">
        <f>IFERROR(__xludf.DUMMYFUNCTION("""COMPUTED_VALUE"""),"JALAN TANJUNG RAYA 2 KOMPLEK PESONA PARMA BLOK B2")</f>
        <v>JALAN TANJUNG RAYA 2 KOMPLEK PESONA PARMA BLOK B2</v>
      </c>
      <c r="N1080" s="16" t="str">
        <f>IFERROR(__xludf.DUMMYFUNCTION("""COMPUTED_VALUE"""),"KEL. PARIT MAYOR")</f>
        <v>KEL. PARIT MAYOR</v>
      </c>
      <c r="O1080" s="16" t="str">
        <f>IFERROR(__xludf.DUMMYFUNCTION("""COMPUTED_VALUE"""),"KEC. PONTIANAK TIMUR")</f>
        <v>KEC. PONTIANAK TIMUR</v>
      </c>
      <c r="P1080" s="16" t="str">
        <f>IFERROR(__xludf.DUMMYFUNCTION("""COMPUTED_VALUE"""),"KOTA PONTIANAK")</f>
        <v>KOTA PONTIANAK</v>
      </c>
      <c r="Q1080" s="16" t="str">
        <f>IFERROR(__xludf.DUMMYFUNCTION("""COMPUTED_VALUE"""),"KALIMANTAN BARAT")</f>
        <v>KALIMANTAN BARAT</v>
      </c>
      <c r="R1080" s="21" t="str">
        <f>IFERROR(__xludf.DUMMYFUNCTION("""COMPUTED_VALUE"""),"ISLAM")</f>
        <v>ISLAM</v>
      </c>
      <c r="S1080" s="16" t="str">
        <f>IFERROR(__xludf.DUMMYFUNCTION("""COMPUTED_VALUE"""),"TNI/POLRI")</f>
        <v>TNI/POLRI</v>
      </c>
      <c r="T1080" s="36" t="str">
        <f>IFERROR(__xludf.DUMMYFUNCTION("""COMPUTED_VALUE"""),"Kaki")</f>
        <v>Kaki</v>
      </c>
      <c r="U1080" s="36" t="str">
        <f>IFERROR(__xludf.DUMMYFUNCTION("""COMPUTED_VALUE"""),"Gym joging")</f>
        <v>Gym joging</v>
      </c>
      <c r="V1080" s="37" t="str">
        <f>IFERROR(__xludf.DUMMYFUNCTION("""COMPUTED_VALUE"""),"081214044001")</f>
        <v>081214044001</v>
      </c>
      <c r="W1080" s="22"/>
    </row>
    <row r="1081" ht="22.5" customHeight="1">
      <c r="A1081" s="40"/>
      <c r="B1081" s="9">
        <f>IFERROR(__xludf.DUMMYFUNCTION("""COMPUTED_VALUE"""),45325.48110877315)</f>
        <v>45325.48111</v>
      </c>
      <c r="C1081" s="9"/>
      <c r="D1081" s="10">
        <f>IFERROR(__xludf.DUMMYFUNCTION("""COMPUTED_VALUE"""),45328.0)</f>
        <v>45328</v>
      </c>
      <c r="E1081" s="10" t="str">
        <f>IFERROR(__xludf.DUMMYFUNCTION("""COMPUTED_VALUE"""),"02Feb")</f>
        <v>02Feb</v>
      </c>
      <c r="F1081" s="10" t="str">
        <f>IFERROR(__xludf.DUMMYFUNCTION("""COMPUTED_VALUE"""),"2024")</f>
        <v>2024</v>
      </c>
      <c r="G1081" s="16" t="str">
        <f>IFERROR(__xludf.DUMMYFUNCTION("""COMPUTED_VALUE"""),"RUDY")</f>
        <v>RUDY</v>
      </c>
      <c r="H1081" s="17" t="str">
        <f>IFERROR(__xludf.DUMMYFUNCTION("""COMPUTED_VALUE"""),"R8624025558")</f>
        <v>R8624025558</v>
      </c>
      <c r="I1081" s="17">
        <f>IFERROR(__xludf.DUMMYFUNCTION("""COMPUTED_VALUE"""),39.0)</f>
        <v>39</v>
      </c>
      <c r="J1081" s="17" t="str">
        <f>IFERROR(__xludf.DUMMYFUNCTION("""COMPUTED_VALUE"""),"35-44 tahun")</f>
        <v>35-44 tahun</v>
      </c>
      <c r="K1081" s="19">
        <f>IFERROR(__xludf.DUMMYFUNCTION("""COMPUTED_VALUE"""),31594.0)</f>
        <v>31594</v>
      </c>
      <c r="L1081" s="19" t="str">
        <f>IFERROR(__xludf.DUMMYFUNCTION("""COMPUTED_VALUE"""),"LAKI-LAKI")</f>
        <v>LAKI-LAKI</v>
      </c>
      <c r="M1081" s="16" t="str">
        <f>IFERROR(__xludf.DUMMYFUNCTION("""COMPUTED_VALUE"""),"JALAN. PURNAMA")</f>
        <v>JALAN. PURNAMA</v>
      </c>
      <c r="N1081" s="16" t="str">
        <f>IFERROR(__xludf.DUMMYFUNCTION("""COMPUTED_VALUE"""),"KEL. AKCAYA")</f>
        <v>KEL. AKCAYA</v>
      </c>
      <c r="O1081" s="16" t="str">
        <f>IFERROR(__xludf.DUMMYFUNCTION("""COMPUTED_VALUE"""),"KEC. PONTIANAK SELATAN")</f>
        <v>KEC. PONTIANAK SELATAN</v>
      </c>
      <c r="P1081" s="16" t="str">
        <f>IFERROR(__xludf.DUMMYFUNCTION("""COMPUTED_VALUE"""),"KOTA PONTIANAK")</f>
        <v>KOTA PONTIANAK</v>
      </c>
      <c r="Q1081" s="16" t="str">
        <f>IFERROR(__xludf.DUMMYFUNCTION("""COMPUTED_VALUE"""),"KALIMANTAN BARAT")</f>
        <v>KALIMANTAN BARAT</v>
      </c>
      <c r="R1081" s="19" t="str">
        <f>IFERROR(__xludf.DUMMYFUNCTION("""COMPUTED_VALUE"""),"KATOLIK")</f>
        <v>KATOLIK</v>
      </c>
      <c r="S1081" s="16" t="str">
        <f>IFERROR(__xludf.DUMMYFUNCTION("""COMPUTED_VALUE"""),"WIRASWASTA")</f>
        <v>WIRASWASTA</v>
      </c>
      <c r="T1081" s="16" t="str">
        <f>IFERROR(__xludf.DUMMYFUNCTION("""COMPUTED_VALUE"""),"nyeri di bagian paha kanan kadang sampai ke pinggang")</f>
        <v>nyeri di bagian paha kanan kadang sampai ke pinggang</v>
      </c>
      <c r="U1081" s="16"/>
      <c r="V1081" s="11" t="str">
        <f>IFERROR(__xludf.DUMMYFUNCTION("""COMPUTED_VALUE"""),"089694115558")</f>
        <v>089694115558</v>
      </c>
      <c r="W1081" s="15"/>
    </row>
    <row r="1082" ht="22.5" customHeight="1">
      <c r="A1082" s="40"/>
      <c r="B1082" s="9">
        <f>IFERROR(__xludf.DUMMYFUNCTION("""COMPUTED_VALUE"""),45325.49513725695)</f>
        <v>45325.49514</v>
      </c>
      <c r="C1082" s="9"/>
      <c r="D1082" s="10">
        <f>IFERROR(__xludf.DUMMYFUNCTION("""COMPUTED_VALUE"""),45329.0)</f>
        <v>45329</v>
      </c>
      <c r="E1082" s="10" t="str">
        <f>IFERROR(__xludf.DUMMYFUNCTION("""COMPUTED_VALUE"""),"02Feb")</f>
        <v>02Feb</v>
      </c>
      <c r="F1082" s="10" t="str">
        <f>IFERROR(__xludf.DUMMYFUNCTION("""COMPUTED_VALUE"""),"2024")</f>
        <v>2024</v>
      </c>
      <c r="G1082" s="16" t="str">
        <f>IFERROR(__xludf.DUMMYFUNCTION("""COMPUTED_VALUE"""),"HARRY SALISTIWA")</f>
        <v>HARRY SALISTIWA</v>
      </c>
      <c r="H1082" s="17" t="str">
        <f>IFERROR(__xludf.DUMMYFUNCTION("""COMPUTED_VALUE"""),"H9024023660")</f>
        <v>H9024023660</v>
      </c>
      <c r="I1082" s="17">
        <f>IFERROR(__xludf.DUMMYFUNCTION("""COMPUTED_VALUE"""),36.0)</f>
        <v>36</v>
      </c>
      <c r="J1082" s="17" t="str">
        <f>IFERROR(__xludf.DUMMYFUNCTION("""COMPUTED_VALUE"""),"35-44 tahun")</f>
        <v>35-44 tahun</v>
      </c>
      <c r="K1082" s="19">
        <f>IFERROR(__xludf.DUMMYFUNCTION("""COMPUTED_VALUE"""),33007.0)</f>
        <v>33007</v>
      </c>
      <c r="L1082" s="19" t="str">
        <f>IFERROR(__xludf.DUMMYFUNCTION("""COMPUTED_VALUE"""),"LAKI-LAKI")</f>
        <v>LAKI-LAKI</v>
      </c>
      <c r="M1082" s="16" t="str">
        <f>IFERROR(__xludf.DUMMYFUNCTION("""COMPUTED_VALUE"""),"JL PARIT H. HUSIN 2 KOMP PARIS ROYAL RESIDENCE NO 1")</f>
        <v>JL PARIT H. HUSIN 2 KOMP PARIS ROYAL RESIDENCE NO 1</v>
      </c>
      <c r="N1082" s="16" t="str">
        <f>IFERROR(__xludf.DUMMYFUNCTION("""COMPUTED_VALUE"""),"KEL. BANGKA BELITUNG DARAT")</f>
        <v>KEL. BANGKA BELITUNG DARAT</v>
      </c>
      <c r="O1082" s="16" t="str">
        <f>IFERROR(__xludf.DUMMYFUNCTION("""COMPUTED_VALUE"""),"KEC. PONTIANAK TENGGARA")</f>
        <v>KEC. PONTIANAK TENGGARA</v>
      </c>
      <c r="P1082" s="16" t="str">
        <f>IFERROR(__xludf.DUMMYFUNCTION("""COMPUTED_VALUE"""),"KOTA PONTIANAK")</f>
        <v>KOTA PONTIANAK</v>
      </c>
      <c r="Q1082" s="16" t="str">
        <f>IFERROR(__xludf.DUMMYFUNCTION("""COMPUTED_VALUE"""),"KALIMANTAN BARAT")</f>
        <v>KALIMANTAN BARAT</v>
      </c>
      <c r="R1082" s="19" t="str">
        <f>IFERROR(__xludf.DUMMYFUNCTION("""COMPUTED_VALUE"""),"ISLAM")</f>
        <v>ISLAM</v>
      </c>
      <c r="S1082" s="16" t="str">
        <f>IFERROR(__xludf.DUMMYFUNCTION("""COMPUTED_VALUE"""),"SWASTA")</f>
        <v>SWASTA</v>
      </c>
      <c r="T1082" s="16" t="str">
        <f>IFERROR(__xludf.DUMMYFUNCTION("""COMPUTED_VALUE"""),"NYERI DI PUNGGUNG")</f>
        <v>NYERI DI PUNGGUNG</v>
      </c>
      <c r="U1082" s="16" t="str">
        <f>IFERROR(__xludf.DUMMYFUNCTION("""COMPUTED_VALUE"""),"DUDUK DIDEPAN LAPTOP")</f>
        <v>DUDUK DIDEPAN LAPTOP</v>
      </c>
      <c r="V1082" s="11" t="str">
        <f>IFERROR(__xludf.DUMMYFUNCTION("""COMPUTED_VALUE"""),"082199633660")</f>
        <v>082199633660</v>
      </c>
      <c r="W1082" s="15"/>
    </row>
    <row r="1083" ht="22.5" customHeight="1">
      <c r="A1083" s="40"/>
      <c r="B1083" s="9">
        <f>IFERROR(__xludf.DUMMYFUNCTION("""COMPUTED_VALUE"""),45325.50225135416)</f>
        <v>45325.50225</v>
      </c>
      <c r="C1083" s="9"/>
      <c r="D1083" s="10">
        <f>IFERROR(__xludf.DUMMYFUNCTION("""COMPUTED_VALUE"""),45329.0)</f>
        <v>45329</v>
      </c>
      <c r="E1083" s="10" t="str">
        <f>IFERROR(__xludf.DUMMYFUNCTION("""COMPUTED_VALUE"""),"02Feb")</f>
        <v>02Feb</v>
      </c>
      <c r="F1083" s="10" t="str">
        <f>IFERROR(__xludf.DUMMYFUNCTION("""COMPUTED_VALUE"""),"2024")</f>
        <v>2024</v>
      </c>
      <c r="G1083" s="16" t="str">
        <f>IFERROR(__xludf.DUMMYFUNCTION("""COMPUTED_VALUE"""),"ARIFIN 63")</f>
        <v>ARIFIN 63</v>
      </c>
      <c r="H1083" s="17" t="str">
        <f>IFERROR(__xludf.DUMMYFUNCTION("""COMPUTED_VALUE"""),"A6324024210")</f>
        <v>A6324024210</v>
      </c>
      <c r="I1083" s="17">
        <f>IFERROR(__xludf.DUMMYFUNCTION("""COMPUTED_VALUE"""),63.0)</f>
        <v>63</v>
      </c>
      <c r="J1083" s="17" t="str">
        <f>IFERROR(__xludf.DUMMYFUNCTION("""COMPUTED_VALUE"""),"&gt; 44 tahun")</f>
        <v>&gt; 44 tahun</v>
      </c>
      <c r="K1083" s="19">
        <f>IFERROR(__xludf.DUMMYFUNCTION("""COMPUTED_VALUE"""),23142.0)</f>
        <v>23142</v>
      </c>
      <c r="L1083" s="19" t="str">
        <f>IFERROR(__xludf.DUMMYFUNCTION("""COMPUTED_VALUE"""),"LAKI-LAKI")</f>
        <v>LAKI-LAKI</v>
      </c>
      <c r="M1083" s="35" t="str">
        <f>IFERROR(__xludf.DUMMYFUNCTION("""COMPUTED_VALUE"""),"GG. SWAKARYA 3 NO. 88")</f>
        <v>GG. SWAKARYA 3 NO. 88</v>
      </c>
      <c r="N1083" s="16" t="str">
        <f>IFERROR(__xludf.DUMMYFUNCTION("""COMPUTED_VALUE"""),"KEL. KOTA BARU")</f>
        <v>KEL. KOTA BARU</v>
      </c>
      <c r="O1083" s="16" t="str">
        <f>IFERROR(__xludf.DUMMYFUNCTION("""COMPUTED_VALUE"""),"KEC. PONTIANAK SELATAN")</f>
        <v>KEC. PONTIANAK SELATAN</v>
      </c>
      <c r="P1083" s="16" t="str">
        <f>IFERROR(__xludf.DUMMYFUNCTION("""COMPUTED_VALUE"""),"KOTA PONTIANAK")</f>
        <v>KOTA PONTIANAK</v>
      </c>
      <c r="Q1083" s="16" t="str">
        <f>IFERROR(__xludf.DUMMYFUNCTION("""COMPUTED_VALUE"""),"KALIMANTAN BARAT")</f>
        <v>KALIMANTAN BARAT</v>
      </c>
      <c r="R1083" s="19" t="str">
        <f>IFERROR(__xludf.DUMMYFUNCTION("""COMPUTED_VALUE"""),"ISLAM")</f>
        <v>ISLAM</v>
      </c>
      <c r="S1083" s="16" t="str">
        <f>IFERROR(__xludf.DUMMYFUNCTION("""COMPUTED_VALUE"""),"TIDAK ADA")</f>
        <v>TIDAK ADA</v>
      </c>
      <c r="T1083" s="16" t="str">
        <f>IFERROR(__xludf.DUMMYFUNCTION("""COMPUTED_VALUE"""),"STROKE")</f>
        <v>STROKE</v>
      </c>
      <c r="U1083" s="16" t="str">
        <f>IFERROR(__xludf.DUMMYFUNCTION("""COMPUTED_VALUE"""),"DI RUMAH")</f>
        <v>DI RUMAH</v>
      </c>
      <c r="V1083" s="11" t="str">
        <f>IFERROR(__xludf.DUMMYFUNCTION("""COMPUTED_VALUE"""),"085247774210")</f>
        <v>085247774210</v>
      </c>
      <c r="W1083" s="15"/>
    </row>
    <row r="1084" ht="22.5" customHeight="1">
      <c r="A1084" s="40"/>
      <c r="B1084" s="9">
        <f>IFERROR(__xludf.DUMMYFUNCTION("""COMPUTED_VALUE"""),45325.816443958334)</f>
        <v>45325.81644</v>
      </c>
      <c r="C1084" s="9"/>
      <c r="D1084" s="10">
        <f>IFERROR(__xludf.DUMMYFUNCTION("""COMPUTED_VALUE"""),45329.0)</f>
        <v>45329</v>
      </c>
      <c r="E1084" s="10" t="str">
        <f>IFERROR(__xludf.DUMMYFUNCTION("""COMPUTED_VALUE"""),"02Feb")</f>
        <v>02Feb</v>
      </c>
      <c r="F1084" s="10" t="str">
        <f>IFERROR(__xludf.DUMMYFUNCTION("""COMPUTED_VALUE"""),"2024")</f>
        <v>2024</v>
      </c>
      <c r="G1084" s="35" t="str">
        <f>IFERROR(__xludf.DUMMYFUNCTION("""COMPUTED_VALUE"""),"SASQIA MAYESTIKA ROVYANTRI")</f>
        <v>SASQIA MAYESTIKA ROVYANTRI</v>
      </c>
      <c r="H1084" s="17" t="str">
        <f>IFERROR(__xludf.DUMMYFUNCTION("""COMPUTED_VALUE"""),"S9824025273")</f>
        <v>S9824025273</v>
      </c>
      <c r="I1084" s="17">
        <f>IFERROR(__xludf.DUMMYFUNCTION("""COMPUTED_VALUE"""),27.0)</f>
        <v>27</v>
      </c>
      <c r="J1084" s="17" t="str">
        <f>IFERROR(__xludf.DUMMYFUNCTION("""COMPUTED_VALUE"""),"25-34 tahun")</f>
        <v>25-34 tahun</v>
      </c>
      <c r="K1084" s="19">
        <f>IFERROR(__xludf.DUMMYFUNCTION("""COMPUTED_VALUE"""),36062.0)</f>
        <v>36062</v>
      </c>
      <c r="L1084" s="19" t="str">
        <f>IFERROR(__xludf.DUMMYFUNCTION("""COMPUTED_VALUE"""),"PEREMPUAN")</f>
        <v>PEREMPUAN</v>
      </c>
      <c r="M1084" s="35" t="str">
        <f>IFERROR(__xludf.DUMMYFUNCTION("""COMPUTED_VALUE"""),"KOMP. PURNAMA G-10")</f>
        <v>KOMP. PURNAMA G-10</v>
      </c>
      <c r="N1084" s="16" t="str">
        <f>IFERROR(__xludf.DUMMYFUNCTION("""COMPUTED_VALUE"""),"KEL. PARIT TOKAYA")</f>
        <v>KEL. PARIT TOKAYA</v>
      </c>
      <c r="O1084" s="16" t="str">
        <f>IFERROR(__xludf.DUMMYFUNCTION("""COMPUTED_VALUE"""),"KEC. PONTIANAK SELATAN")</f>
        <v>KEC. PONTIANAK SELATAN</v>
      </c>
      <c r="P1084" s="16" t="str">
        <f>IFERROR(__xludf.DUMMYFUNCTION("""COMPUTED_VALUE"""),"KOTA PONTIANAK")</f>
        <v>KOTA PONTIANAK</v>
      </c>
      <c r="Q1084" s="16" t="str">
        <f>IFERROR(__xludf.DUMMYFUNCTION("""COMPUTED_VALUE"""),"KALIMANTAN BARAT")</f>
        <v>KALIMANTAN BARAT</v>
      </c>
      <c r="R1084" s="19" t="str">
        <f>IFERROR(__xludf.DUMMYFUNCTION("""COMPUTED_VALUE"""),"ISLAM")</f>
        <v>ISLAM</v>
      </c>
      <c r="S1084" s="16" t="str">
        <f>IFERROR(__xludf.DUMMYFUNCTION("""COMPUTED_VALUE"""),"SWASTA")</f>
        <v>SWASTA</v>
      </c>
      <c r="T1084" s="16" t="str">
        <f>IFERROR(__xludf.DUMMYFUNCTION("""COMPUTED_VALUE"""),"Nyeri di bagian punggung belakang dikarenakan salah gerak")</f>
        <v>Nyeri di bagian punggung belakang dikarenakan salah gerak</v>
      </c>
      <c r="U1084" s="16" t="str">
        <f>IFERROR(__xludf.DUMMYFUNCTION("""COMPUTED_VALUE"""),"Mengoreksi berkas")</f>
        <v>Mengoreksi berkas</v>
      </c>
      <c r="V1084" s="11" t="str">
        <f>IFERROR(__xludf.DUMMYFUNCTION("""COMPUTED_VALUE"""),"083875095273")</f>
        <v>083875095273</v>
      </c>
      <c r="W1084" s="15"/>
    </row>
    <row r="1085" ht="22.5" customHeight="1">
      <c r="A1085" s="40"/>
      <c r="B1085" s="9">
        <f>IFERROR(__xludf.DUMMYFUNCTION("""COMPUTED_VALUE"""),45326.434544918986)</f>
        <v>45326.43454</v>
      </c>
      <c r="C1085" s="9"/>
      <c r="D1085" s="10">
        <f>IFERROR(__xludf.DUMMYFUNCTION("""COMPUTED_VALUE"""),45333.0)</f>
        <v>45333</v>
      </c>
      <c r="E1085" s="10" t="str">
        <f>IFERROR(__xludf.DUMMYFUNCTION("""COMPUTED_VALUE"""),"02Feb")</f>
        <v>02Feb</v>
      </c>
      <c r="F1085" s="10" t="str">
        <f>IFERROR(__xludf.DUMMYFUNCTION("""COMPUTED_VALUE"""),"2024")</f>
        <v>2024</v>
      </c>
      <c r="G1085" s="16" t="str">
        <f>IFERROR(__xludf.DUMMYFUNCTION("""COMPUTED_VALUE"""),"SUMIJAN")</f>
        <v>SUMIJAN</v>
      </c>
      <c r="H1085" s="17" t="str">
        <f>IFERROR(__xludf.DUMMYFUNCTION("""COMPUTED_VALUE"""),"S6724023691")</f>
        <v>S6724023691</v>
      </c>
      <c r="I1085" s="17">
        <f>IFERROR(__xludf.DUMMYFUNCTION("""COMPUTED_VALUE"""),58.0)</f>
        <v>58</v>
      </c>
      <c r="J1085" s="17" t="str">
        <f>IFERROR(__xludf.DUMMYFUNCTION("""COMPUTED_VALUE"""),"&gt; 44 tahun")</f>
        <v>&gt; 44 tahun</v>
      </c>
      <c r="K1085" s="19">
        <f>IFERROR(__xludf.DUMMYFUNCTION("""COMPUTED_VALUE"""),24680.0)</f>
        <v>24680</v>
      </c>
      <c r="L1085" s="19" t="str">
        <f>IFERROR(__xludf.DUMMYFUNCTION("""COMPUTED_VALUE"""),"LAKI-LAKI")</f>
        <v>LAKI-LAKI</v>
      </c>
      <c r="M1085" s="16" t="str">
        <f>IFERROR(__xludf.DUMMYFUNCTION("""COMPUTED_VALUE"""),"JALAN ADISUCIPTO GG PERMATA HIJAU DALAM RT 005 RW 004")</f>
        <v>JALAN ADISUCIPTO GG PERMATA HIJAU DALAM RT 005 RW 004</v>
      </c>
      <c r="N1085" s="16" t="str">
        <f>IFERROR(__xludf.DUMMYFUNCTION("""COMPUTED_VALUE"""),"DS. TELUK KAPUAS")</f>
        <v>DS. TELUK KAPUAS</v>
      </c>
      <c r="O1085" s="16" t="str">
        <f>IFERROR(__xludf.DUMMYFUNCTION("""COMPUTED_VALUE"""),"KEC. SUNGAI RAYA")</f>
        <v>KEC. SUNGAI RAYA</v>
      </c>
      <c r="P1085" s="16" t="str">
        <f>IFERROR(__xludf.DUMMYFUNCTION("""COMPUTED_VALUE"""),"KAB. KUBU RAYA")</f>
        <v>KAB. KUBU RAYA</v>
      </c>
      <c r="Q1085" s="16" t="str">
        <f>IFERROR(__xludf.DUMMYFUNCTION("""COMPUTED_VALUE"""),"KALIMANTAN BARAT")</f>
        <v>KALIMANTAN BARAT</v>
      </c>
      <c r="R1085" s="19" t="str">
        <f>IFERROR(__xludf.DUMMYFUNCTION("""COMPUTED_VALUE"""),"ISLAM")</f>
        <v>ISLAM</v>
      </c>
      <c r="S1085" s="16" t="str">
        <f>IFERROR(__xludf.DUMMYFUNCTION("""COMPUTED_VALUE"""),"PENSIUN")</f>
        <v>PENSIUN</v>
      </c>
      <c r="T1085" s="16" t="str">
        <f>IFERROR(__xludf.DUMMYFUNCTION("""COMPUTED_VALUE"""),"KALAU BERDIRI BAGIAN BELAKANG PINGGANG SAMPAI KE BELAKANG NYERI")</f>
        <v>KALAU BERDIRI BAGIAN BELAKANG PINGGANG SAMPAI KE BELAKANG NYERI</v>
      </c>
      <c r="U1085" s="16" t="str">
        <f>IFERROR(__xludf.DUMMYFUNCTION("""COMPUTED_VALUE"""),"TENIS,")</f>
        <v>TENIS,</v>
      </c>
      <c r="V1085" s="11" t="str">
        <f>IFERROR(__xludf.DUMMYFUNCTION("""COMPUTED_VALUE"""),"087803113691")</f>
        <v>087803113691</v>
      </c>
      <c r="W1085" s="15"/>
    </row>
    <row r="1086" ht="22.5" customHeight="1">
      <c r="A1086" s="40"/>
      <c r="B1086" s="9">
        <f>IFERROR(__xludf.DUMMYFUNCTION("""COMPUTED_VALUE"""),45326.782743240736)</f>
        <v>45326.78274</v>
      </c>
      <c r="C1086" s="9"/>
      <c r="D1086" s="10">
        <f>IFERROR(__xludf.DUMMYFUNCTION("""COMPUTED_VALUE"""),45333.0)</f>
        <v>45333</v>
      </c>
      <c r="E1086" s="10" t="str">
        <f>IFERROR(__xludf.DUMMYFUNCTION("""COMPUTED_VALUE"""),"02Feb")</f>
        <v>02Feb</v>
      </c>
      <c r="F1086" s="10" t="str">
        <f>IFERROR(__xludf.DUMMYFUNCTION("""COMPUTED_VALUE"""),"2024")</f>
        <v>2024</v>
      </c>
      <c r="G1086" s="35" t="str">
        <f>IFERROR(__xludf.DUMMYFUNCTION("""COMPUTED_VALUE"""),"MUHAMMAD ADIB MUBARAK")</f>
        <v>MUHAMMAD ADIB MUBARAK</v>
      </c>
      <c r="H1086" s="17" t="str">
        <f>IFERROR(__xludf.DUMMYFUNCTION("""COMPUTED_VALUE"""),"M0124020466")</f>
        <v>M0124020466</v>
      </c>
      <c r="I1086" s="17">
        <f>IFERROR(__xludf.DUMMYFUNCTION("""COMPUTED_VALUE"""),25.0)</f>
        <v>25</v>
      </c>
      <c r="J1086" s="17" t="str">
        <f>IFERROR(__xludf.DUMMYFUNCTION("""COMPUTED_VALUE"""),"25-34 tahun")</f>
        <v>25-34 tahun</v>
      </c>
      <c r="K1086" s="19">
        <f>IFERROR(__xludf.DUMMYFUNCTION("""COMPUTED_VALUE"""),36965.0)</f>
        <v>36965</v>
      </c>
      <c r="L1086" s="19" t="str">
        <f>IFERROR(__xludf.DUMMYFUNCTION("""COMPUTED_VALUE"""),"LAKI-LAKI")</f>
        <v>LAKI-LAKI</v>
      </c>
      <c r="M1086" s="35" t="str">
        <f>IFERROR(__xludf.DUMMYFUNCTION("""COMPUTED_VALUE"""),"JL. TEKAM KOMP GRIYA PRATAMA BLOK J-02")</f>
        <v>JL. TEKAM KOMP GRIYA PRATAMA BLOK J-02</v>
      </c>
      <c r="N1086" s="16" t="str">
        <f>IFERROR(__xludf.DUMMYFUNCTION("""COMPUTED_VALUE"""),"KEL. SAIGON")</f>
        <v>KEL. SAIGON</v>
      </c>
      <c r="O1086" s="16" t="str">
        <f>IFERROR(__xludf.DUMMYFUNCTION("""COMPUTED_VALUE"""),"KEC. PONTIANAK TIMUR")</f>
        <v>KEC. PONTIANAK TIMUR</v>
      </c>
      <c r="P1086" s="16" t="str">
        <f>IFERROR(__xludf.DUMMYFUNCTION("""COMPUTED_VALUE"""),"KOTA PONTIANAK")</f>
        <v>KOTA PONTIANAK</v>
      </c>
      <c r="Q1086" s="16" t="str">
        <f>IFERROR(__xludf.DUMMYFUNCTION("""COMPUTED_VALUE"""),"KALIMANTAN BARAT")</f>
        <v>KALIMANTAN BARAT</v>
      </c>
      <c r="R1086" s="19" t="str">
        <f>IFERROR(__xludf.DUMMYFUNCTION("""COMPUTED_VALUE"""),"ISLAM")</f>
        <v>ISLAM</v>
      </c>
      <c r="S1086" s="16" t="str">
        <f>IFERROR(__xludf.DUMMYFUNCTION("""COMPUTED_VALUE"""),"PELAJAR/MAHASISWA")</f>
        <v>PELAJAR/MAHASISWA</v>
      </c>
      <c r="T1086" s="16" t="str">
        <f>IFERROR(__xludf.DUMMYFUNCTION("""COMPUTED_VALUE"""),"Acl + Meniscus")</f>
        <v>Acl + Meniscus</v>
      </c>
      <c r="U1086" s="16" t="str">
        <f>IFERROR(__xludf.DUMMYFUNCTION("""COMPUTED_VALUE"""),"Olahraga")</f>
        <v>Olahraga</v>
      </c>
      <c r="V1086" s="11" t="str">
        <f>IFERROR(__xludf.DUMMYFUNCTION("""COMPUTED_VALUE"""),"08986080466")</f>
        <v>08986080466</v>
      </c>
      <c r="W1086" s="15"/>
    </row>
    <row r="1087" ht="22.5" customHeight="1">
      <c r="A1087" s="40"/>
      <c r="B1087" s="9">
        <f>IFERROR(__xludf.DUMMYFUNCTION("""COMPUTED_VALUE"""),45326.75158113426)</f>
        <v>45326.75158</v>
      </c>
      <c r="C1087" s="9"/>
      <c r="D1087" s="10">
        <f>IFERROR(__xludf.DUMMYFUNCTION("""COMPUTED_VALUE"""),45333.0)</f>
        <v>45333</v>
      </c>
      <c r="E1087" s="10" t="str">
        <f>IFERROR(__xludf.DUMMYFUNCTION("""COMPUTED_VALUE"""),"02Feb")</f>
        <v>02Feb</v>
      </c>
      <c r="F1087" s="10" t="str">
        <f>IFERROR(__xludf.DUMMYFUNCTION("""COMPUTED_VALUE"""),"2024")</f>
        <v>2024</v>
      </c>
      <c r="G1087" s="35" t="str">
        <f>IFERROR(__xludf.DUMMYFUNCTION("""COMPUTED_VALUE"""),"NANANG ANDRIYAS")</f>
        <v>NANANG ANDRIYAS</v>
      </c>
      <c r="H1087" s="17" t="str">
        <f>IFERROR(__xludf.DUMMYFUNCTION("""COMPUTED_VALUE"""),"N2424024160")</f>
        <v>N2424024160</v>
      </c>
      <c r="I1087" s="17">
        <f>IFERROR(__xludf.DUMMYFUNCTION("""COMPUTED_VALUE"""),2.0)</f>
        <v>2</v>
      </c>
      <c r="J1087" s="17" t="str">
        <f>IFERROR(__xludf.DUMMYFUNCTION("""COMPUTED_VALUE"""),"&lt; 18 tahun")</f>
        <v>&lt; 18 tahun</v>
      </c>
      <c r="K1087" s="19">
        <f>IFERROR(__xludf.DUMMYFUNCTION("""COMPUTED_VALUE"""),45329.0)</f>
        <v>45329</v>
      </c>
      <c r="L1087" s="19" t="str">
        <f>IFERROR(__xludf.DUMMYFUNCTION("""COMPUTED_VALUE"""),"LAKI-LAKI")</f>
        <v>LAKI-LAKI</v>
      </c>
      <c r="M1087" s="35" t="str">
        <f>IFERROR(__xludf.DUMMYFUNCTION("""COMPUTED_VALUE"""),"LEDO, KABUPATEN BENGKAYANG")</f>
        <v>LEDO, KABUPATEN BENGKAYANG</v>
      </c>
      <c r="N1087" s="16" t="str">
        <f>IFERROR(__xludf.DUMMYFUNCTION("""COMPUTED_VALUE"""),"KEL. TANJUNG LEDO")</f>
        <v>KEL. TANJUNG LEDO</v>
      </c>
      <c r="O1087" s="16" t="str">
        <f>IFERROR(__xludf.DUMMYFUNCTION("""COMPUTED_VALUE"""),"KEC. LEDO")</f>
        <v>KEC. LEDO</v>
      </c>
      <c r="P1087" s="16" t="str">
        <f>IFERROR(__xludf.DUMMYFUNCTION("""COMPUTED_VALUE"""),"KAB. BENGKAYANG")</f>
        <v>KAB. BENGKAYANG</v>
      </c>
      <c r="Q1087" s="16" t="str">
        <f>IFERROR(__xludf.DUMMYFUNCTION("""COMPUTED_VALUE"""),"KALIMANTAN BARAT")</f>
        <v>KALIMANTAN BARAT</v>
      </c>
      <c r="R1087" s="19" t="str">
        <f>IFERROR(__xludf.DUMMYFUNCTION("""COMPUTED_VALUE"""),"ISLAM")</f>
        <v>ISLAM</v>
      </c>
      <c r="S1087" s="16" t="str">
        <f>IFERROR(__xludf.DUMMYFUNCTION("""COMPUTED_VALUE"""),"PELAJAR/MAHASISWA")</f>
        <v>PELAJAR/MAHASISWA</v>
      </c>
      <c r="T1087" s="16" t="str">
        <f>IFERROR(__xludf.DUMMYFUNCTION("""COMPUTED_VALUE"""),"SAKIT DI")</f>
        <v>SAKIT DI</v>
      </c>
      <c r="U1087" s="16" t="str">
        <f>IFERROR(__xludf.DUMMYFUNCTION("""COMPUTED_VALUE"""),"FUTSAL")</f>
        <v>FUTSAL</v>
      </c>
      <c r="V1087" s="11" t="str">
        <f>IFERROR(__xludf.DUMMYFUNCTION("""COMPUTED_VALUE"""),"089693444160")</f>
        <v>089693444160</v>
      </c>
      <c r="W1087" s="15"/>
    </row>
    <row r="1088" ht="22.5" customHeight="1">
      <c r="A1088" s="40"/>
      <c r="B1088" s="9">
        <f>IFERROR(__xludf.DUMMYFUNCTION("""COMPUTED_VALUE"""),45327.47616200232)</f>
        <v>45327.47616</v>
      </c>
      <c r="C1088" s="9"/>
      <c r="D1088" s="10">
        <f>IFERROR(__xludf.DUMMYFUNCTION("""COMPUTED_VALUE"""),45333.0)</f>
        <v>45333</v>
      </c>
      <c r="E1088" s="10" t="str">
        <f>IFERROR(__xludf.DUMMYFUNCTION("""COMPUTED_VALUE"""),"02Feb")</f>
        <v>02Feb</v>
      </c>
      <c r="F1088" s="10" t="str">
        <f>IFERROR(__xludf.DUMMYFUNCTION("""COMPUTED_VALUE"""),"2024")</f>
        <v>2024</v>
      </c>
      <c r="G1088" s="35" t="str">
        <f>IFERROR(__xludf.DUMMYFUNCTION("""COMPUTED_VALUE"""),"SEPTIANTO NURCAHYA ADITYA")</f>
        <v>SEPTIANTO NURCAHYA ADITYA</v>
      </c>
      <c r="H1088" s="17" t="str">
        <f>IFERROR(__xludf.DUMMYFUNCTION("""COMPUTED_VALUE"""),"S8824021988")</f>
        <v>S8824021988</v>
      </c>
      <c r="I1088" s="17">
        <f>IFERROR(__xludf.DUMMYFUNCTION("""COMPUTED_VALUE"""),37.0)</f>
        <v>37</v>
      </c>
      <c r="J1088" s="17" t="str">
        <f>IFERROR(__xludf.DUMMYFUNCTION("""COMPUTED_VALUE"""),"35-44 tahun")</f>
        <v>35-44 tahun</v>
      </c>
      <c r="K1088" s="19">
        <f>IFERROR(__xludf.DUMMYFUNCTION("""COMPUTED_VALUE"""),32387.0)</f>
        <v>32387</v>
      </c>
      <c r="L1088" s="19" t="str">
        <f>IFERROR(__xludf.DUMMYFUNCTION("""COMPUTED_VALUE"""),"LAKI-LAKI")</f>
        <v>LAKI-LAKI</v>
      </c>
      <c r="M1088" s="35" t="str">
        <f>IFERROR(__xludf.DUMMYFUNCTION("""COMPUTED_VALUE"""),"JL. KOPO NO. 349")</f>
        <v>JL. KOPO NO. 349</v>
      </c>
      <c r="N1088" s="16" t="str">
        <f>IFERROR(__xludf.DUMMYFUNCTION("""COMPUTED_VALUE"""),"KEL. KEBONLEGA")</f>
        <v>KEL. KEBONLEGA</v>
      </c>
      <c r="O1088" s="16" t="str">
        <f>IFERROR(__xludf.DUMMYFUNCTION("""COMPUTED_VALUE"""),"KEC. BOJONGLOA KIDUL")</f>
        <v>KEC. BOJONGLOA KIDUL</v>
      </c>
      <c r="P1088" s="16" t="str">
        <f>IFERROR(__xludf.DUMMYFUNCTION("""COMPUTED_VALUE"""),"KOTA BANDUNG")</f>
        <v>KOTA BANDUNG</v>
      </c>
      <c r="Q1088" s="16" t="str">
        <f>IFERROR(__xludf.DUMMYFUNCTION("""COMPUTED_VALUE"""),"JAWA BARAT")</f>
        <v>JAWA BARAT</v>
      </c>
      <c r="R1088" s="19" t="str">
        <f>IFERROR(__xludf.DUMMYFUNCTION("""COMPUTED_VALUE"""),"ISLAM")</f>
        <v>ISLAM</v>
      </c>
      <c r="S1088" s="16" t="str">
        <f>IFERROR(__xludf.DUMMYFUNCTION("""COMPUTED_VALUE"""),"BUMN")</f>
        <v>BUMN</v>
      </c>
      <c r="T1088" s="16" t="str">
        <f>IFERROR(__xludf.DUMMYFUNCTION("""COMPUTED_VALUE"""),"Angkle")</f>
        <v>Angkle</v>
      </c>
      <c r="U1088" s="16" t="str">
        <f>IFERROR(__xludf.DUMMYFUNCTION("""COMPUTED_VALUE"""),"Sepakbola")</f>
        <v>Sepakbola</v>
      </c>
      <c r="V1088" s="11" t="str">
        <f>IFERROR(__xludf.DUMMYFUNCTION("""COMPUTED_VALUE"""),"085793141988")</f>
        <v>085793141988</v>
      </c>
      <c r="W1088" s="15"/>
    </row>
    <row r="1089" ht="22.5" customHeight="1">
      <c r="A1089" s="40"/>
      <c r="B1089" s="9">
        <f>IFERROR(__xludf.DUMMYFUNCTION("""COMPUTED_VALUE"""),45327.51255868055)</f>
        <v>45327.51256</v>
      </c>
      <c r="C1089" s="9"/>
      <c r="D1089" s="10">
        <f>IFERROR(__xludf.DUMMYFUNCTION("""COMPUTED_VALUE"""),45333.0)</f>
        <v>45333</v>
      </c>
      <c r="E1089" s="10" t="str">
        <f>IFERROR(__xludf.DUMMYFUNCTION("""COMPUTED_VALUE"""),"02Feb")</f>
        <v>02Feb</v>
      </c>
      <c r="F1089" s="10" t="str">
        <f>IFERROR(__xludf.DUMMYFUNCTION("""COMPUTED_VALUE"""),"2024")</f>
        <v>2024</v>
      </c>
      <c r="G1089" s="35" t="str">
        <f>IFERROR(__xludf.DUMMYFUNCTION("""COMPUTED_VALUE"""),"RIKI FABIAN")</f>
        <v>RIKI FABIAN</v>
      </c>
      <c r="H1089" s="17" t="str">
        <f>IFERROR(__xludf.DUMMYFUNCTION("""COMPUTED_VALUE"""),"R8424020226")</f>
        <v>R8424020226</v>
      </c>
      <c r="I1089" s="17">
        <f>IFERROR(__xludf.DUMMYFUNCTION("""COMPUTED_VALUE"""),42.0)</f>
        <v>42</v>
      </c>
      <c r="J1089" s="17" t="str">
        <f>IFERROR(__xludf.DUMMYFUNCTION("""COMPUTED_VALUE"""),"35-44 tahun")</f>
        <v>35-44 tahun</v>
      </c>
      <c r="K1089" s="19">
        <f>IFERROR(__xludf.DUMMYFUNCTION("""COMPUTED_VALUE"""),30738.0)</f>
        <v>30738</v>
      </c>
      <c r="L1089" s="19" t="str">
        <f>IFERROR(__xludf.DUMMYFUNCTION("""COMPUTED_VALUE"""),"LAKI-LAKI")</f>
        <v>LAKI-LAKI</v>
      </c>
      <c r="M1089" s="35" t="str">
        <f>IFERROR(__xludf.DUMMYFUNCTION("""COMPUTED_VALUE"""),"JL UNTUNG SUROPATI NO D28")</f>
        <v>JL UNTUNG SUROPATI NO D28</v>
      </c>
      <c r="N1089" s="16" t="str">
        <f>IFERROR(__xludf.DUMMYFUNCTION("""COMPUTED_VALUE"""),"KEL. BENUA MELAYU DARAT")</f>
        <v>KEL. BENUA MELAYU DARAT</v>
      </c>
      <c r="O1089" s="16" t="str">
        <f>IFERROR(__xludf.DUMMYFUNCTION("""COMPUTED_VALUE"""),"KEC. PONTIANAK SELATAN")</f>
        <v>KEC. PONTIANAK SELATAN</v>
      </c>
      <c r="P1089" s="16" t="str">
        <f>IFERROR(__xludf.DUMMYFUNCTION("""COMPUTED_VALUE"""),"KOTA PONTIANAK")</f>
        <v>KOTA PONTIANAK</v>
      </c>
      <c r="Q1089" s="16" t="str">
        <f>IFERROR(__xludf.DUMMYFUNCTION("""COMPUTED_VALUE"""),"KALIMANTAN BARAT")</f>
        <v>KALIMANTAN BARAT</v>
      </c>
      <c r="R1089" s="19" t="str">
        <f>IFERROR(__xludf.DUMMYFUNCTION("""COMPUTED_VALUE"""),"ISLAM")</f>
        <v>ISLAM</v>
      </c>
      <c r="S1089" s="16" t="str">
        <f>IFERROR(__xludf.DUMMYFUNCTION("""COMPUTED_VALUE"""),"ASN")</f>
        <v>ASN</v>
      </c>
      <c r="T1089" s="16" t="str">
        <f>IFERROR(__xludf.DUMMYFUNCTION("""COMPUTED_VALUE"""),"Tangan keseleo")</f>
        <v>Tangan keseleo</v>
      </c>
      <c r="U1089" s="16" t="str">
        <f>IFERROR(__xludf.DUMMYFUNCTION("""COMPUTED_VALUE"""),"Bekerja")</f>
        <v>Bekerja</v>
      </c>
      <c r="V1089" s="11" t="str">
        <f>IFERROR(__xludf.DUMMYFUNCTION("""COMPUTED_VALUE"""),"082150300226")</f>
        <v>082150300226</v>
      </c>
      <c r="W1089" s="15"/>
    </row>
    <row r="1090" ht="22.5" customHeight="1">
      <c r="A1090" s="40"/>
      <c r="B1090" s="9">
        <f>IFERROR(__xludf.DUMMYFUNCTION("""COMPUTED_VALUE"""),45328.412683125)</f>
        <v>45328.41268</v>
      </c>
      <c r="C1090" s="9"/>
      <c r="D1090" s="10">
        <f>IFERROR(__xludf.DUMMYFUNCTION("""COMPUTED_VALUE"""),45334.0)</f>
        <v>45334</v>
      </c>
      <c r="E1090" s="10" t="str">
        <f>IFERROR(__xludf.DUMMYFUNCTION("""COMPUTED_VALUE"""),"02Feb")</f>
        <v>02Feb</v>
      </c>
      <c r="F1090" s="10" t="str">
        <f>IFERROR(__xludf.DUMMYFUNCTION("""COMPUTED_VALUE"""),"2024")</f>
        <v>2024</v>
      </c>
      <c r="G1090" s="35" t="str">
        <f>IFERROR(__xludf.DUMMYFUNCTION("""COMPUTED_VALUE"""),"MASNAH")</f>
        <v>MASNAH</v>
      </c>
      <c r="H1090" s="17" t="str">
        <f>IFERROR(__xludf.DUMMYFUNCTION("""COMPUTED_VALUE"""),"M6124022484")</f>
        <v>M6124022484</v>
      </c>
      <c r="I1090" s="17">
        <f>IFERROR(__xludf.DUMMYFUNCTION("""COMPUTED_VALUE"""),65.0)</f>
        <v>65</v>
      </c>
      <c r="J1090" s="17" t="str">
        <f>IFERROR(__xludf.DUMMYFUNCTION("""COMPUTED_VALUE"""),"&gt; 44 tahun")</f>
        <v>&gt; 44 tahun</v>
      </c>
      <c r="K1090" s="19">
        <f>IFERROR(__xludf.DUMMYFUNCTION("""COMPUTED_VALUE"""),22386.0)</f>
        <v>22386</v>
      </c>
      <c r="L1090" s="19" t="str">
        <f>IFERROR(__xludf.DUMMYFUNCTION("""COMPUTED_VALUE"""),"PEREMPUAN")</f>
        <v>PEREMPUAN</v>
      </c>
      <c r="M1090" s="35" t="str">
        <f>IFERROR(__xludf.DUMMYFUNCTION("""COMPUTED_VALUE"""),"JL KESEHATAN GG KESEHATAN DALAM NO 7")</f>
        <v>JL KESEHATAN GG KESEHATAN DALAM NO 7</v>
      </c>
      <c r="N1090" s="16" t="str">
        <f>IFERROR(__xludf.DUMMYFUNCTION("""COMPUTED_VALUE"""),"KEL. KOTA BARU")</f>
        <v>KEL. KOTA BARU</v>
      </c>
      <c r="O1090" s="16" t="str">
        <f>IFERROR(__xludf.DUMMYFUNCTION("""COMPUTED_VALUE"""),"KEC. PONTIANAK SELATAN")</f>
        <v>KEC. PONTIANAK SELATAN</v>
      </c>
      <c r="P1090" s="16" t="str">
        <f>IFERROR(__xludf.DUMMYFUNCTION("""COMPUTED_VALUE"""),"KOTA PONTIANAK")</f>
        <v>KOTA PONTIANAK</v>
      </c>
      <c r="Q1090" s="16" t="str">
        <f>IFERROR(__xludf.DUMMYFUNCTION("""COMPUTED_VALUE"""),"KALIMANTAN BARAT")</f>
        <v>KALIMANTAN BARAT</v>
      </c>
      <c r="R1090" s="19" t="str">
        <f>IFERROR(__xludf.DUMMYFUNCTION("""COMPUTED_VALUE"""),"ISLAM")</f>
        <v>ISLAM</v>
      </c>
      <c r="S1090" s="16" t="str">
        <f>IFERROR(__xludf.DUMMYFUNCTION("""COMPUTED_VALUE"""),"RUMAH TANGGA")</f>
        <v>RUMAH TANGGA</v>
      </c>
      <c r="T1090" s="16" t="str">
        <f>IFERROR(__xludf.DUMMYFUNCTION("""COMPUTED_VALUE"""),"Nyeri lengan bagian kanan")</f>
        <v>Nyeri lengan bagian kanan</v>
      </c>
      <c r="U1090" s="16" t="str">
        <f>IFERROR(__xludf.DUMMYFUNCTION("""COMPUTED_VALUE"""),"Jalan-jalan")</f>
        <v>Jalan-jalan</v>
      </c>
      <c r="V1090" s="11" t="str">
        <f>IFERROR(__xludf.DUMMYFUNCTION("""COMPUTED_VALUE"""),"085393652484")</f>
        <v>085393652484</v>
      </c>
      <c r="W1090" s="15"/>
    </row>
    <row r="1091" ht="22.5" customHeight="1">
      <c r="A1091" s="40"/>
      <c r="B1091" s="9">
        <f>IFERROR(__xludf.DUMMYFUNCTION("""COMPUTED_VALUE"""),45328.58688913194)</f>
        <v>45328.58689</v>
      </c>
      <c r="C1091" s="9"/>
      <c r="D1091" s="10">
        <f>IFERROR(__xludf.DUMMYFUNCTION("""COMPUTED_VALUE"""),45334.0)</f>
        <v>45334</v>
      </c>
      <c r="E1091" s="10" t="str">
        <f>IFERROR(__xludf.DUMMYFUNCTION("""COMPUTED_VALUE"""),"02Feb")</f>
        <v>02Feb</v>
      </c>
      <c r="F1091" s="10" t="str">
        <f>IFERROR(__xludf.DUMMYFUNCTION("""COMPUTED_VALUE"""),"2024")</f>
        <v>2024</v>
      </c>
      <c r="G1091" s="35" t="str">
        <f>IFERROR(__xludf.DUMMYFUNCTION("""COMPUTED_VALUE"""),"HUDA RABBANI")</f>
        <v>HUDA RABBANI</v>
      </c>
      <c r="H1091" s="17" t="str">
        <f>IFERROR(__xludf.DUMMYFUNCTION("""COMPUTED_VALUE"""),"H0024020248")</f>
        <v>H0024020248</v>
      </c>
      <c r="I1091" s="17">
        <f>IFERROR(__xludf.DUMMYFUNCTION("""COMPUTED_VALUE"""),26.0)</f>
        <v>26</v>
      </c>
      <c r="J1091" s="17" t="str">
        <f>IFERROR(__xludf.DUMMYFUNCTION("""COMPUTED_VALUE"""),"25-34 tahun")</f>
        <v>25-34 tahun</v>
      </c>
      <c r="K1091" s="19">
        <f>IFERROR(__xludf.DUMMYFUNCTION("""COMPUTED_VALUE"""),36564.0)</f>
        <v>36564</v>
      </c>
      <c r="L1091" s="19" t="str">
        <f>IFERROR(__xludf.DUMMYFUNCTION("""COMPUTED_VALUE"""),"LAKI-LAKI")</f>
        <v>LAKI-LAKI</v>
      </c>
      <c r="M1091" s="35" t="str">
        <f>IFERROR(__xludf.DUMMYFUNCTION("""COMPUTED_VALUE"""),"JL.PANGERAN NATAKUSUMA NO.161")</f>
        <v>JL.PANGERAN NATAKUSUMA NO.161</v>
      </c>
      <c r="N1091" s="16" t="str">
        <f>IFERROR(__xludf.DUMMYFUNCTION("""COMPUTED_VALUE"""),"KEL. SUNGAI BANGKONG")</f>
        <v>KEL. SUNGAI BANGKONG</v>
      </c>
      <c r="O1091" s="16" t="str">
        <f>IFERROR(__xludf.DUMMYFUNCTION("""COMPUTED_VALUE"""),"KEC. PONTIANAK KOTA")</f>
        <v>KEC. PONTIANAK KOTA</v>
      </c>
      <c r="P1091" s="16" t="str">
        <f>IFERROR(__xludf.DUMMYFUNCTION("""COMPUTED_VALUE"""),"KOTA PONTIANAK")</f>
        <v>KOTA PONTIANAK</v>
      </c>
      <c r="Q1091" s="16" t="str">
        <f>IFERROR(__xludf.DUMMYFUNCTION("""COMPUTED_VALUE"""),"KALIMANTAN BARAT")</f>
        <v>KALIMANTAN BARAT</v>
      </c>
      <c r="R1091" s="19" t="str">
        <f>IFERROR(__xludf.DUMMYFUNCTION("""COMPUTED_VALUE"""),"ISLAM")</f>
        <v>ISLAM</v>
      </c>
      <c r="S1091" s="16" t="str">
        <f>IFERROR(__xludf.DUMMYFUNCTION("""COMPUTED_VALUE"""),"SWASTA")</f>
        <v>SWASTA</v>
      </c>
      <c r="T1091" s="16" t="str">
        <f>IFERROR(__xludf.DUMMYFUNCTION("""COMPUTED_VALUE"""),"Sakit tulang ekor dan tulang belakanh")</f>
        <v>Sakit tulang ekor dan tulang belakanh</v>
      </c>
      <c r="U1091" s="16" t="str">
        <f>IFERROR(__xludf.DUMMYFUNCTION("""COMPUTED_VALUE"""),"Aktivitas sehari-hari duduk karena ngadap laptop")</f>
        <v>Aktivitas sehari-hari duduk karena ngadap laptop</v>
      </c>
      <c r="V1091" s="11" t="str">
        <f>IFERROR(__xludf.DUMMYFUNCTION("""COMPUTED_VALUE"""),"08973400248")</f>
        <v>08973400248</v>
      </c>
      <c r="W1091" s="15"/>
    </row>
    <row r="1092" ht="22.5" customHeight="1">
      <c r="A1092" s="40"/>
      <c r="B1092" s="9">
        <f>IFERROR(__xludf.DUMMYFUNCTION("""COMPUTED_VALUE"""),45329.371340972226)</f>
        <v>45329.37134</v>
      </c>
      <c r="C1092" s="9"/>
      <c r="D1092" s="10">
        <f>IFERROR(__xludf.DUMMYFUNCTION("""COMPUTED_VALUE"""),45334.0)</f>
        <v>45334</v>
      </c>
      <c r="E1092" s="10" t="str">
        <f>IFERROR(__xludf.DUMMYFUNCTION("""COMPUTED_VALUE"""),"02Feb")</f>
        <v>02Feb</v>
      </c>
      <c r="F1092" s="10" t="str">
        <f>IFERROR(__xludf.DUMMYFUNCTION("""COMPUTED_VALUE"""),"2024")</f>
        <v>2024</v>
      </c>
      <c r="G1092" s="35" t="str">
        <f>IFERROR(__xludf.DUMMYFUNCTION("""COMPUTED_VALUE"""),"ALICE SUPIT")</f>
        <v>ALICE SUPIT</v>
      </c>
      <c r="H1092" s="17" t="str">
        <f>IFERROR(__xludf.DUMMYFUNCTION("""COMPUTED_VALUE"""),"A8524027190")</f>
        <v>A8524027190</v>
      </c>
      <c r="I1092" s="17">
        <f>IFERROR(__xludf.DUMMYFUNCTION("""COMPUTED_VALUE"""),40.0)</f>
        <v>40</v>
      </c>
      <c r="J1092" s="17" t="str">
        <f>IFERROR(__xludf.DUMMYFUNCTION("""COMPUTED_VALUE"""),"35-44 tahun")</f>
        <v>35-44 tahun</v>
      </c>
      <c r="K1092" s="19">
        <f>IFERROR(__xludf.DUMMYFUNCTION("""COMPUTED_VALUE"""),31332.0)</f>
        <v>31332</v>
      </c>
      <c r="L1092" s="19" t="str">
        <f>IFERROR(__xludf.DUMMYFUNCTION("""COMPUTED_VALUE"""),"PEREMPUAN")</f>
        <v>PEREMPUAN</v>
      </c>
      <c r="M1092" s="35" t="str">
        <f>IFERROR(__xludf.DUMMYFUNCTION("""COMPUTED_VALUE"""),"KOMP VILLA CERIA LESTARI")</f>
        <v>KOMP VILLA CERIA LESTARI</v>
      </c>
      <c r="N1092" s="16" t="str">
        <f>IFERROR(__xludf.DUMMYFUNCTION("""COMPUTED_VALUE"""),"KEL. SUNGAI RAYA")</f>
        <v>KEL. SUNGAI RAYA</v>
      </c>
      <c r="O1092" s="16" t="str">
        <f>IFERROR(__xludf.DUMMYFUNCTION("""COMPUTED_VALUE"""),"KEC. SUNGAI RAYA")</f>
        <v>KEC. SUNGAI RAYA</v>
      </c>
      <c r="P1092" s="16" t="str">
        <f>IFERROR(__xludf.DUMMYFUNCTION("""COMPUTED_VALUE"""),"KAB. KUBU RAYA")</f>
        <v>KAB. KUBU RAYA</v>
      </c>
      <c r="Q1092" s="16" t="str">
        <f>IFERROR(__xludf.DUMMYFUNCTION("""COMPUTED_VALUE"""),"KALIMANTAN BARAT")</f>
        <v>KALIMANTAN BARAT</v>
      </c>
      <c r="R1092" s="19" t="str">
        <f>IFERROR(__xludf.DUMMYFUNCTION("""COMPUTED_VALUE"""),"KATOLIK")</f>
        <v>KATOLIK</v>
      </c>
      <c r="S1092" s="16" t="str">
        <f>IFERROR(__xludf.DUMMYFUNCTION("""COMPUTED_VALUE"""),"DOKTER")</f>
        <v>DOKTER</v>
      </c>
      <c r="T1092" s="16" t="str">
        <f>IFERROR(__xludf.DUMMYFUNCTION("""COMPUTED_VALUE"""),"Nyeri paha dan betis")</f>
        <v>Nyeri paha dan betis</v>
      </c>
      <c r="U1092" s="16" t="str">
        <f>IFERROR(__xludf.DUMMYFUNCTION("""COMPUTED_VALUE"""),"Bekerja, Workout")</f>
        <v>Bekerja, Workout</v>
      </c>
      <c r="V1092" s="11" t="str">
        <f>IFERROR(__xludf.DUMMYFUNCTION("""COMPUTED_VALUE"""),"081355697190")</f>
        <v>081355697190</v>
      </c>
      <c r="W1092" s="15"/>
    </row>
    <row r="1093" ht="22.5" customHeight="1">
      <c r="A1093" s="40"/>
      <c r="B1093" s="9">
        <f>IFERROR(__xludf.DUMMYFUNCTION("""COMPUTED_VALUE"""),45329.401738472225)</f>
        <v>45329.40174</v>
      </c>
      <c r="C1093" s="9"/>
      <c r="D1093" s="10">
        <f>IFERROR(__xludf.DUMMYFUNCTION("""COMPUTED_VALUE"""),45334.0)</f>
        <v>45334</v>
      </c>
      <c r="E1093" s="10" t="str">
        <f>IFERROR(__xludf.DUMMYFUNCTION("""COMPUTED_VALUE"""),"02Feb")</f>
        <v>02Feb</v>
      </c>
      <c r="F1093" s="10" t="str">
        <f>IFERROR(__xludf.DUMMYFUNCTION("""COMPUTED_VALUE"""),"2024")</f>
        <v>2024</v>
      </c>
      <c r="G1093" s="35" t="str">
        <f>IFERROR(__xludf.DUMMYFUNCTION("""COMPUTED_VALUE"""),"SYAHRUL A")</f>
        <v>SYAHRUL A</v>
      </c>
      <c r="H1093" s="17" t="str">
        <f>IFERROR(__xludf.DUMMYFUNCTION("""COMPUTED_VALUE"""),"S9824027698")</f>
        <v>S9824027698</v>
      </c>
      <c r="I1093" s="17">
        <f>IFERROR(__xludf.DUMMYFUNCTION("""COMPUTED_VALUE"""),28.0)</f>
        <v>28</v>
      </c>
      <c r="J1093" s="17" t="str">
        <f>IFERROR(__xludf.DUMMYFUNCTION("""COMPUTED_VALUE"""),"25-34 tahun")</f>
        <v>25-34 tahun</v>
      </c>
      <c r="K1093" s="19">
        <f>IFERROR(__xludf.DUMMYFUNCTION("""COMPUTED_VALUE"""),35941.0)</f>
        <v>35941</v>
      </c>
      <c r="L1093" s="19" t="str">
        <f>IFERROR(__xludf.DUMMYFUNCTION("""COMPUTED_VALUE"""),"LAKI-LAKI")</f>
        <v>LAKI-LAKI</v>
      </c>
      <c r="M1093" s="35" t="str">
        <f>IFERROR(__xludf.DUMMYFUNCTION("""COMPUTED_VALUE"""),"MUKTIHARJO 02/03 MARGOREJO PATI")</f>
        <v>MUKTIHARJO 02/03 MARGOREJO PATI</v>
      </c>
      <c r="N1093" s="16" t="str">
        <f>IFERROR(__xludf.DUMMYFUNCTION("""COMPUTED_VALUE"""),"KEL. MUKTIHARJO")</f>
        <v>KEL. MUKTIHARJO</v>
      </c>
      <c r="O1093" s="16" t="str">
        <f>IFERROR(__xludf.DUMMYFUNCTION("""COMPUTED_VALUE"""),"KEC. MARGOREJO")</f>
        <v>KEC. MARGOREJO</v>
      </c>
      <c r="P1093" s="16" t="str">
        <f>IFERROR(__xludf.DUMMYFUNCTION("""COMPUTED_VALUE"""),"KAB. PATI")</f>
        <v>KAB. PATI</v>
      </c>
      <c r="Q1093" s="16" t="str">
        <f>IFERROR(__xludf.DUMMYFUNCTION("""COMPUTED_VALUE"""),"JAWA TENGAH")</f>
        <v>JAWA TENGAH</v>
      </c>
      <c r="R1093" s="19" t="str">
        <f>IFERROR(__xludf.DUMMYFUNCTION("""COMPUTED_VALUE"""),"ISLAM")</f>
        <v>ISLAM</v>
      </c>
      <c r="S1093" s="16" t="str">
        <f>IFERROR(__xludf.DUMMYFUNCTION("""COMPUTED_VALUE"""),"SWASTA")</f>
        <v>SWASTA</v>
      </c>
      <c r="T1093" s="16" t="str">
        <f>IFERROR(__xludf.DUMMYFUNCTION("""COMPUTED_VALUE"""),"sakit punggung karena otot tertarik,")</f>
        <v>sakit punggung karena otot tertarik,</v>
      </c>
      <c r="U1093" s="16" t="str">
        <f>IFERROR(__xludf.DUMMYFUNCTION("""COMPUTED_VALUE"""),"aktivitas lebih sering duduk")</f>
        <v>aktivitas lebih sering duduk</v>
      </c>
      <c r="V1093" s="11" t="str">
        <f>IFERROR(__xludf.DUMMYFUNCTION("""COMPUTED_VALUE"""),"081332097698")</f>
        <v>081332097698</v>
      </c>
      <c r="W1093" s="15"/>
    </row>
    <row r="1094" ht="22.5" customHeight="1">
      <c r="A1094" s="40"/>
      <c r="B1094" s="9">
        <f>IFERROR(__xludf.DUMMYFUNCTION("""COMPUTED_VALUE"""),45329.410750324074)</f>
        <v>45329.41075</v>
      </c>
      <c r="C1094" s="9"/>
      <c r="D1094" s="34">
        <f>IFERROR(__xludf.DUMMYFUNCTION("""COMPUTED_VALUE"""),45335.0)</f>
        <v>45335</v>
      </c>
      <c r="E1094" s="34" t="str">
        <f>IFERROR(__xludf.DUMMYFUNCTION("""COMPUTED_VALUE"""),"02Feb")</f>
        <v>02Feb</v>
      </c>
      <c r="F1094" s="34" t="str">
        <f>IFERROR(__xludf.DUMMYFUNCTION("""COMPUTED_VALUE"""),"2024")</f>
        <v>2024</v>
      </c>
      <c r="G1094" s="35" t="str">
        <f>IFERROR(__xludf.DUMMYFUNCTION("""COMPUTED_VALUE"""),"MOCHAMMAD HARRY FEBRIANDONO")</f>
        <v>MOCHAMMAD HARRY FEBRIANDONO</v>
      </c>
      <c r="H1094" s="17" t="str">
        <f>IFERROR(__xludf.DUMMYFUNCTION("""COMPUTED_VALUE"""),"M8624026952")</f>
        <v>M8624026952</v>
      </c>
      <c r="I1094" s="17">
        <f>IFERROR(__xludf.DUMMYFUNCTION("""COMPUTED_VALUE"""),40.0)</f>
        <v>40</v>
      </c>
      <c r="J1094" s="17" t="str">
        <f>IFERROR(__xludf.DUMMYFUNCTION("""COMPUTED_VALUE"""),"35-44 tahun")</f>
        <v>35-44 tahun</v>
      </c>
      <c r="K1094" s="19">
        <f>IFERROR(__xludf.DUMMYFUNCTION("""COMPUTED_VALUE"""),31459.0)</f>
        <v>31459</v>
      </c>
      <c r="L1094" s="19" t="str">
        <f>IFERROR(__xludf.DUMMYFUNCTION("""COMPUTED_VALUE"""),"LAKI-LAKI")</f>
        <v>LAKI-LAKI</v>
      </c>
      <c r="M1094" s="36" t="str">
        <f>IFERROR(__xludf.DUMMYFUNCTION("""COMPUTED_VALUE"""),"JL DR WAHIDIN S. GG SEPAKAT 2C NO. 2")</f>
        <v>JL DR WAHIDIN S. GG SEPAKAT 2C NO. 2</v>
      </c>
      <c r="N1094" s="16" t="str">
        <f>IFERROR(__xludf.DUMMYFUNCTION("""COMPUTED_VALUE"""),"KEL. SUNGAI JAWI")</f>
        <v>KEL. SUNGAI JAWI</v>
      </c>
      <c r="O1094" s="16" t="str">
        <f>IFERROR(__xludf.DUMMYFUNCTION("""COMPUTED_VALUE"""),"KEC. PONTIANAK KOTA")</f>
        <v>KEC. PONTIANAK KOTA</v>
      </c>
      <c r="P1094" s="16" t="str">
        <f>IFERROR(__xludf.DUMMYFUNCTION("""COMPUTED_VALUE"""),"KOTA PONTIANAK")</f>
        <v>KOTA PONTIANAK</v>
      </c>
      <c r="Q1094" s="16" t="str">
        <f>IFERROR(__xludf.DUMMYFUNCTION("""COMPUTED_VALUE"""),"KALIMANTAN BARAT")</f>
        <v>KALIMANTAN BARAT</v>
      </c>
      <c r="R1094" s="19" t="str">
        <f>IFERROR(__xludf.DUMMYFUNCTION("""COMPUTED_VALUE"""),"ISLAM")</f>
        <v>ISLAM</v>
      </c>
      <c r="S1094" s="16" t="str">
        <f>IFERROR(__xludf.DUMMYFUNCTION("""COMPUTED_VALUE"""),"SWASTA")</f>
        <v>SWASTA</v>
      </c>
      <c r="T1094" s="36" t="str">
        <f>IFERROR(__xludf.DUMMYFUNCTION("""COMPUTED_VALUE"""),"Pergelangan tangan kanan nyeri")</f>
        <v>Pergelangan tangan kanan nyeri</v>
      </c>
      <c r="U1094" s="16" t="str">
        <f>IFERROR(__xludf.DUMMYFUNCTION("""COMPUTED_VALUE"""),"tenis")</f>
        <v>tenis</v>
      </c>
      <c r="V1094" s="11" t="str">
        <f>IFERROR(__xludf.DUMMYFUNCTION("""COMPUTED_VALUE"""),"0811576952")</f>
        <v>0811576952</v>
      </c>
      <c r="W1094" s="15"/>
    </row>
    <row r="1095" ht="22.5" customHeight="1">
      <c r="A1095" s="40"/>
      <c r="B1095" s="9">
        <f>IFERROR(__xludf.DUMMYFUNCTION("""COMPUTED_VALUE"""),45329.74824016204)</f>
        <v>45329.74824</v>
      </c>
      <c r="C1095" s="9"/>
      <c r="D1095" s="10">
        <f>IFERROR(__xludf.DUMMYFUNCTION("""COMPUTED_VALUE"""),45337.0)</f>
        <v>45337</v>
      </c>
      <c r="E1095" s="10" t="str">
        <f>IFERROR(__xludf.DUMMYFUNCTION("""COMPUTED_VALUE"""),"02Feb")</f>
        <v>02Feb</v>
      </c>
      <c r="F1095" s="10" t="str">
        <f>IFERROR(__xludf.DUMMYFUNCTION("""COMPUTED_VALUE"""),"2024")</f>
        <v>2024</v>
      </c>
      <c r="G1095" s="16" t="str">
        <f>IFERROR(__xludf.DUMMYFUNCTION("""COMPUTED_VALUE"""),"YOHANI")</f>
        <v>YOHANI</v>
      </c>
      <c r="H1095" s="17" t="str">
        <f>IFERROR(__xludf.DUMMYFUNCTION("""COMPUTED_VALUE"""),"Y6024024398")</f>
        <v>Y6024024398</v>
      </c>
      <c r="I1095" s="17">
        <f>IFERROR(__xludf.DUMMYFUNCTION("""COMPUTED_VALUE"""),66.0)</f>
        <v>66</v>
      </c>
      <c r="J1095" s="17" t="str">
        <f>IFERROR(__xludf.DUMMYFUNCTION("""COMPUTED_VALUE"""),"&gt; 44 tahun")</f>
        <v>&gt; 44 tahun</v>
      </c>
      <c r="K1095" s="19">
        <f>IFERROR(__xludf.DUMMYFUNCTION("""COMPUTED_VALUE"""),22041.0)</f>
        <v>22041</v>
      </c>
      <c r="L1095" s="19" t="str">
        <f>IFERROR(__xludf.DUMMYFUNCTION("""COMPUTED_VALUE"""),"PEREMPUAN")</f>
        <v>PEREMPUAN</v>
      </c>
      <c r="M1095" s="35" t="str">
        <f>IFERROR(__xludf.DUMMYFUNCTION("""COMPUTED_VALUE"""),"JL. PRAMUKA KOMP. GRAHA 09/10")</f>
        <v>JL. PRAMUKA KOMP. GRAHA 09/10</v>
      </c>
      <c r="N1095" s="16" t="str">
        <f>IFERROR(__xludf.DUMMYFUNCTION("""COMPUTED_VALUE"""),"KEL. SUNGAI RENGAS")</f>
        <v>KEL. SUNGAI RENGAS</v>
      </c>
      <c r="O1095" s="16" t="str">
        <f>IFERROR(__xludf.DUMMYFUNCTION("""COMPUTED_VALUE"""),"KEC. SUNGAI KAKAP")</f>
        <v>KEC. SUNGAI KAKAP</v>
      </c>
      <c r="P1095" s="16" t="str">
        <f>IFERROR(__xludf.DUMMYFUNCTION("""COMPUTED_VALUE"""),"KAB. KUBU RAYA")</f>
        <v>KAB. KUBU RAYA</v>
      </c>
      <c r="Q1095" s="16" t="str">
        <f>IFERROR(__xludf.DUMMYFUNCTION("""COMPUTED_VALUE"""),"KALIMANTAN BARAT")</f>
        <v>KALIMANTAN BARAT</v>
      </c>
      <c r="R1095" s="19" t="str">
        <f>IFERROR(__xludf.DUMMYFUNCTION("""COMPUTED_VALUE"""),"LAINNYA")</f>
        <v>LAINNYA</v>
      </c>
      <c r="S1095" s="16" t="str">
        <f>IFERROR(__xludf.DUMMYFUNCTION("""COMPUTED_VALUE"""),"PENSIUN")</f>
        <v>PENSIUN</v>
      </c>
      <c r="T1095" s="16" t="str">
        <f>IFERROR(__xludf.DUMMYFUNCTION("""COMPUTED_VALUE"""),"BAHU")</f>
        <v>BAHU</v>
      </c>
      <c r="U1095" s="16" t="str">
        <f>IFERROR(__xludf.DUMMYFUNCTION("""COMPUTED_VALUE"""),"MELAKUKAN PEKERJAAN RUMAH")</f>
        <v>MELAKUKAN PEKERJAAN RUMAH</v>
      </c>
      <c r="V1095" s="11" t="str">
        <f>IFERROR(__xludf.DUMMYFUNCTION("""COMPUTED_VALUE"""),"085845154398")</f>
        <v>085845154398</v>
      </c>
      <c r="W1095" s="15"/>
    </row>
    <row r="1096" ht="22.5" customHeight="1">
      <c r="A1096" s="40"/>
      <c r="B1096" s="9">
        <f>IFERROR(__xludf.DUMMYFUNCTION("""COMPUTED_VALUE"""),45333.26599234954)</f>
        <v>45333.26599</v>
      </c>
      <c r="C1096" s="9"/>
      <c r="D1096" s="10">
        <f>IFERROR(__xludf.DUMMYFUNCTION("""COMPUTED_VALUE"""),45339.0)</f>
        <v>45339</v>
      </c>
      <c r="E1096" s="10" t="str">
        <f>IFERROR(__xludf.DUMMYFUNCTION("""COMPUTED_VALUE"""),"02Feb")</f>
        <v>02Feb</v>
      </c>
      <c r="F1096" s="10" t="str">
        <f>IFERROR(__xludf.DUMMYFUNCTION("""COMPUTED_VALUE"""),"2024")</f>
        <v>2024</v>
      </c>
      <c r="G1096" s="16" t="str">
        <f>IFERROR(__xludf.DUMMYFUNCTION("""COMPUTED_VALUE"""),"HAFIDZ IRMAN FAHREZA")</f>
        <v>HAFIDZ IRMAN FAHREZA</v>
      </c>
      <c r="H1096" s="17" t="str">
        <f>IFERROR(__xludf.DUMMYFUNCTION("""COMPUTED_VALUE"""),"H0324027815")</f>
        <v>H0324027815</v>
      </c>
      <c r="I1096" s="17">
        <f>IFERROR(__xludf.DUMMYFUNCTION("""COMPUTED_VALUE"""),23.0)</f>
        <v>23</v>
      </c>
      <c r="J1096" s="17" t="str">
        <f>IFERROR(__xludf.DUMMYFUNCTION("""COMPUTED_VALUE"""),"18-24 tahun")</f>
        <v>18-24 tahun</v>
      </c>
      <c r="K1096" s="19">
        <f>IFERROR(__xludf.DUMMYFUNCTION("""COMPUTED_VALUE"""),37727.0)</f>
        <v>37727</v>
      </c>
      <c r="L1096" s="19" t="str">
        <f>IFERROR(__xludf.DUMMYFUNCTION("""COMPUTED_VALUE"""),"LAKI-LAKI")</f>
        <v>LAKI-LAKI</v>
      </c>
      <c r="M1096" s="35" t="str">
        <f>IFERROR(__xludf.DUMMYFUNCTION("""COMPUTED_VALUE"""),"NANGA SERAWAI")</f>
        <v>NANGA SERAWAI</v>
      </c>
      <c r="N1096" s="16" t="str">
        <f>IFERROR(__xludf.DUMMYFUNCTION("""COMPUTED_VALUE"""),"DS. SINAR KONDOTU")</f>
        <v>DS. SINAR KONDOTU</v>
      </c>
      <c r="O1096" s="16" t="str">
        <f>IFERROR(__xludf.DUMMYFUNCTION("""COMPUTED_VALUE"""),"KEC. SERAWAI")</f>
        <v>KEC. SERAWAI</v>
      </c>
      <c r="P1096" s="16" t="str">
        <f>IFERROR(__xludf.DUMMYFUNCTION("""COMPUTED_VALUE"""),"KAB. SINTANG")</f>
        <v>KAB. SINTANG</v>
      </c>
      <c r="Q1096" s="16" t="str">
        <f>IFERROR(__xludf.DUMMYFUNCTION("""COMPUTED_VALUE"""),"KALIMANTAN BARAT")</f>
        <v>KALIMANTAN BARAT</v>
      </c>
      <c r="R1096" s="19" t="str">
        <f>IFERROR(__xludf.DUMMYFUNCTION("""COMPUTED_VALUE"""),"ISLAM")</f>
        <v>ISLAM</v>
      </c>
      <c r="S1096" s="16" t="str">
        <f>IFERROR(__xludf.DUMMYFUNCTION("""COMPUTED_VALUE"""),"SWASTA")</f>
        <v>SWASTA</v>
      </c>
      <c r="T1096" s="16" t="str">
        <f>IFERROR(__xludf.DUMMYFUNCTION("""COMPUTED_VALUE"""),"angkle sebelah kanan pas main futsal salah tumpuan waktu itu cuma penanganan dirumah kompres air es")</f>
        <v>angkle sebelah kanan pas main futsal salah tumpuan waktu itu cuma penanganan dirumah kompres air es</v>
      </c>
      <c r="U1096" s="16" t="str">
        <f>IFERROR(__xludf.DUMMYFUNCTION("""COMPUTED_VALUE"""),"futsal")</f>
        <v>futsal</v>
      </c>
      <c r="V1096" s="11" t="str">
        <f>IFERROR(__xludf.DUMMYFUNCTION("""COMPUTED_VALUE"""),"081549657815")</f>
        <v>081549657815</v>
      </c>
      <c r="W1096" s="15"/>
    </row>
    <row r="1097" ht="22.5" customHeight="1">
      <c r="A1097" s="40"/>
      <c r="B1097" s="9">
        <f>IFERROR(__xludf.DUMMYFUNCTION("""COMPUTED_VALUE"""),45333.45239777778)</f>
        <v>45333.4524</v>
      </c>
      <c r="C1097" s="9"/>
      <c r="D1097" s="10">
        <f>IFERROR(__xludf.DUMMYFUNCTION("""COMPUTED_VALUE"""),45339.0)</f>
        <v>45339</v>
      </c>
      <c r="E1097" s="10" t="str">
        <f>IFERROR(__xludf.DUMMYFUNCTION("""COMPUTED_VALUE"""),"02Feb")</f>
        <v>02Feb</v>
      </c>
      <c r="F1097" s="10" t="str">
        <f>IFERROR(__xludf.DUMMYFUNCTION("""COMPUTED_VALUE"""),"2024")</f>
        <v>2024</v>
      </c>
      <c r="G1097" s="16" t="str">
        <f>IFERROR(__xludf.DUMMYFUNCTION("""COMPUTED_VALUE"""),"SALMIAH")</f>
        <v>SALMIAH</v>
      </c>
      <c r="H1097" s="17" t="str">
        <f>IFERROR(__xludf.DUMMYFUNCTION("""COMPUTED_VALUE"""),"S8524020115")</f>
        <v>S8524020115</v>
      </c>
      <c r="I1097" s="17">
        <f>IFERROR(__xludf.DUMMYFUNCTION("""COMPUTED_VALUE"""),41.0)</f>
        <v>41</v>
      </c>
      <c r="J1097" s="17" t="str">
        <f>IFERROR(__xludf.DUMMYFUNCTION("""COMPUTED_VALUE"""),"35-44 tahun")</f>
        <v>35-44 tahun</v>
      </c>
      <c r="K1097" s="19">
        <f>IFERROR(__xludf.DUMMYFUNCTION("""COMPUTED_VALUE"""),31190.0)</f>
        <v>31190</v>
      </c>
      <c r="L1097" s="19" t="str">
        <f>IFERROR(__xludf.DUMMYFUNCTION("""COMPUTED_VALUE"""),"PEREMPUAN")</f>
        <v>PEREMPUAN</v>
      </c>
      <c r="M1097" s="35" t="str">
        <f>IFERROR(__xludf.DUMMYFUNCTION("""COMPUTED_VALUE"""),"SUI NENAS")</f>
        <v>SUI NENAS</v>
      </c>
      <c r="N1097" s="16" t="str">
        <f>IFERROR(__xludf.DUMMYFUNCTION("""COMPUTED_VALUE"""),"DS. PUNGGUR KECIL")</f>
        <v>DS. PUNGGUR KECIL</v>
      </c>
      <c r="O1097" s="16" t="str">
        <f>IFERROR(__xludf.DUMMYFUNCTION("""COMPUTED_VALUE"""),"KEC. SUNGAI KAKAP")</f>
        <v>KEC. SUNGAI KAKAP</v>
      </c>
      <c r="P1097" s="16" t="str">
        <f>IFERROR(__xludf.DUMMYFUNCTION("""COMPUTED_VALUE"""),"KAB. KUBU RAYA")</f>
        <v>KAB. KUBU RAYA</v>
      </c>
      <c r="Q1097" s="16" t="str">
        <f>IFERROR(__xludf.DUMMYFUNCTION("""COMPUTED_VALUE"""),"KALIMANTAN BARAT")</f>
        <v>KALIMANTAN BARAT</v>
      </c>
      <c r="R1097" s="19" t="str">
        <f>IFERROR(__xludf.DUMMYFUNCTION("""COMPUTED_VALUE"""),"ISLAM")</f>
        <v>ISLAM</v>
      </c>
      <c r="S1097" s="16" t="str">
        <f>IFERROR(__xludf.DUMMYFUNCTION("""COMPUTED_VALUE"""),"RUMAH TANGGA")</f>
        <v>RUMAH TANGGA</v>
      </c>
      <c r="T1097" s="16" t="str">
        <f>IFERROR(__xludf.DUMMYFUNCTION("""COMPUTED_VALUE"""),"Bell’s Palsy")</f>
        <v>Bell’s Palsy</v>
      </c>
      <c r="U1097" s="16" t="str">
        <f>IFERROR(__xludf.DUMMYFUNCTION("""COMPUTED_VALUE"""),"Ibu rumah tangga")</f>
        <v>Ibu rumah tangga</v>
      </c>
      <c r="V1097" s="11" t="str">
        <f>IFERROR(__xludf.DUMMYFUNCTION("""COMPUTED_VALUE"""),"85388460115")</f>
        <v>85388460115</v>
      </c>
      <c r="W1097" s="15"/>
    </row>
    <row r="1098" ht="22.5" customHeight="1">
      <c r="A1098" s="40"/>
      <c r="B1098" s="9">
        <f>IFERROR(__xludf.DUMMYFUNCTION("""COMPUTED_VALUE"""),45333.46723546296)</f>
        <v>45333.46724</v>
      </c>
      <c r="C1098" s="9"/>
      <c r="D1098" s="10">
        <f>IFERROR(__xludf.DUMMYFUNCTION("""COMPUTED_VALUE"""),45340.0)</f>
        <v>45340</v>
      </c>
      <c r="E1098" s="10" t="str">
        <f>IFERROR(__xludf.DUMMYFUNCTION("""COMPUTED_VALUE"""),"02Feb")</f>
        <v>02Feb</v>
      </c>
      <c r="F1098" s="10" t="str">
        <f>IFERROR(__xludf.DUMMYFUNCTION("""COMPUTED_VALUE"""),"2024")</f>
        <v>2024</v>
      </c>
      <c r="G1098" s="16" t="str">
        <f>IFERROR(__xludf.DUMMYFUNCTION("""COMPUTED_VALUE"""),"MINCE SILALAHI")</f>
        <v>MINCE SILALAHI</v>
      </c>
      <c r="H1098" s="17" t="str">
        <f>IFERROR(__xludf.DUMMYFUNCTION("""COMPUTED_VALUE"""),"M5824025375")</f>
        <v>M5824025375</v>
      </c>
      <c r="I1098" s="17">
        <f>IFERROR(__xludf.DUMMYFUNCTION("""COMPUTED_VALUE"""),67.0)</f>
        <v>67</v>
      </c>
      <c r="J1098" s="17" t="str">
        <f>IFERROR(__xludf.DUMMYFUNCTION("""COMPUTED_VALUE"""),"&gt; 44 tahun")</f>
        <v>&gt; 44 tahun</v>
      </c>
      <c r="K1098" s="19">
        <f>IFERROR(__xludf.DUMMYFUNCTION("""COMPUTED_VALUE"""),21461.0)</f>
        <v>21461</v>
      </c>
      <c r="L1098" s="19" t="str">
        <f>IFERROR(__xludf.DUMMYFUNCTION("""COMPUTED_VALUE"""),"PEREMPUAN")</f>
        <v>PEREMPUAN</v>
      </c>
      <c r="M1098" s="35" t="str">
        <f>IFERROR(__xludf.DUMMYFUNCTION("""COMPUTED_VALUE"""),"JL SELASIH NO 1")</f>
        <v>JL SELASIH NO 1</v>
      </c>
      <c r="N1098" s="16" t="str">
        <f>IFERROR(__xludf.DUMMYFUNCTION("""COMPUTED_VALUE"""),"KEL. BANSIR DARAT")</f>
        <v>KEL. BANSIR DARAT</v>
      </c>
      <c r="O1098" s="16" t="str">
        <f>IFERROR(__xludf.DUMMYFUNCTION("""COMPUTED_VALUE"""),"KEC. PONTIANAK TENGGARA")</f>
        <v>KEC. PONTIANAK TENGGARA</v>
      </c>
      <c r="P1098" s="16" t="str">
        <f>IFERROR(__xludf.DUMMYFUNCTION("""COMPUTED_VALUE"""),"KOTA PONTIANAK")</f>
        <v>KOTA PONTIANAK</v>
      </c>
      <c r="Q1098" s="16" t="str">
        <f>IFERROR(__xludf.DUMMYFUNCTION("""COMPUTED_VALUE"""),"KALIMANTAN BARAT")</f>
        <v>KALIMANTAN BARAT</v>
      </c>
      <c r="R1098" s="19" t="str">
        <f>IFERROR(__xludf.DUMMYFUNCTION("""COMPUTED_VALUE"""),"PROTESTAN")</f>
        <v>PROTESTAN</v>
      </c>
      <c r="S1098" s="16" t="str">
        <f>IFERROR(__xludf.DUMMYFUNCTION("""COMPUTED_VALUE"""),"PENSIUN")</f>
        <v>PENSIUN</v>
      </c>
      <c r="T1098" s="16" t="str">
        <f>IFERROR(__xludf.DUMMYFUNCTION("""COMPUTED_VALUE"""),"Saraf terjepit di pinggang")</f>
        <v>Saraf terjepit di pinggang</v>
      </c>
      <c r="U1098" s="16" t="str">
        <f>IFERROR(__xludf.DUMMYFUNCTION("""COMPUTED_VALUE"""),"Olah raga")</f>
        <v>Olah raga</v>
      </c>
      <c r="V1098" s="11" t="str">
        <f>IFERROR(__xludf.DUMMYFUNCTION("""COMPUTED_VALUE"""),"08125755375")</f>
        <v>08125755375</v>
      </c>
      <c r="W1098" s="15"/>
    </row>
    <row r="1099" ht="22.5" customHeight="1">
      <c r="A1099" s="40"/>
      <c r="B1099" s="9">
        <f>IFERROR(__xludf.DUMMYFUNCTION("""COMPUTED_VALUE"""),45333.54605858796)</f>
        <v>45333.54606</v>
      </c>
      <c r="C1099" s="9"/>
      <c r="D1099" s="10">
        <f>IFERROR(__xludf.DUMMYFUNCTION("""COMPUTED_VALUE"""),45341.0)</f>
        <v>45341</v>
      </c>
      <c r="E1099" s="10" t="str">
        <f>IFERROR(__xludf.DUMMYFUNCTION("""COMPUTED_VALUE"""),"02Feb")</f>
        <v>02Feb</v>
      </c>
      <c r="F1099" s="10" t="str">
        <f>IFERROR(__xludf.DUMMYFUNCTION("""COMPUTED_VALUE"""),"2024")</f>
        <v>2024</v>
      </c>
      <c r="G1099" s="16" t="str">
        <f>IFERROR(__xludf.DUMMYFUNCTION("""COMPUTED_VALUE"""),"CHRISTINE PHUANTINUS")</f>
        <v>CHRISTINE PHUANTINUS</v>
      </c>
      <c r="H1099" s="17" t="str">
        <f>IFERROR(__xludf.DUMMYFUNCTION("""COMPUTED_VALUE"""),"C9624028605")</f>
        <v>C9624028605</v>
      </c>
      <c r="I1099" s="17">
        <f>IFERROR(__xludf.DUMMYFUNCTION("""COMPUTED_VALUE"""),29.0)</f>
        <v>29</v>
      </c>
      <c r="J1099" s="17" t="str">
        <f>IFERROR(__xludf.DUMMYFUNCTION("""COMPUTED_VALUE"""),"25-34 tahun")</f>
        <v>25-34 tahun</v>
      </c>
      <c r="K1099" s="19">
        <f>IFERROR(__xludf.DUMMYFUNCTION("""COMPUTED_VALUE"""),35242.0)</f>
        <v>35242</v>
      </c>
      <c r="L1099" s="19" t="str">
        <f>IFERROR(__xludf.DUMMYFUNCTION("""COMPUTED_VALUE"""),"PEREMPUAN")</f>
        <v>PEREMPUAN</v>
      </c>
      <c r="M1099" s="35" t="str">
        <f>IFERROR(__xludf.DUMMYFUNCTION("""COMPUTED_VALUE"""),"JL URAY BAWADI GG TRIA 1 NO 1D")</f>
        <v>JL URAY BAWADI GG TRIA 1 NO 1D</v>
      </c>
      <c r="N1099" s="16" t="str">
        <f>IFERROR(__xludf.DUMMYFUNCTION("""COMPUTED_VALUE"""),"KEL. SUNGAI BANGKONG")</f>
        <v>KEL. SUNGAI BANGKONG</v>
      </c>
      <c r="O1099" s="16" t="str">
        <f>IFERROR(__xludf.DUMMYFUNCTION("""COMPUTED_VALUE"""),"KEC. PONTIANAK KOTA")</f>
        <v>KEC. PONTIANAK KOTA</v>
      </c>
      <c r="P1099" s="16" t="str">
        <f>IFERROR(__xludf.DUMMYFUNCTION("""COMPUTED_VALUE"""),"KOTA PONTIANAK")</f>
        <v>KOTA PONTIANAK</v>
      </c>
      <c r="Q1099" s="16" t="str">
        <f>IFERROR(__xludf.DUMMYFUNCTION("""COMPUTED_VALUE"""),"KALIMANTAN BARAT")</f>
        <v>KALIMANTAN BARAT</v>
      </c>
      <c r="R1099" s="19" t="str">
        <f>IFERROR(__xludf.DUMMYFUNCTION("""COMPUTED_VALUE"""),"KATOLIK")</f>
        <v>KATOLIK</v>
      </c>
      <c r="S1099" s="16" t="str">
        <f>IFERROR(__xludf.DUMMYFUNCTION("""COMPUTED_VALUE"""),"RUMAH TANGGA")</f>
        <v>RUMAH TANGGA</v>
      </c>
      <c r="T1099" s="16" t="str">
        <f>IFERROR(__xludf.DUMMYFUNCTION("""COMPUTED_VALUE"""),"Sakit tulang punggung")</f>
        <v>Sakit tulang punggung</v>
      </c>
      <c r="U1099" s="16" t="str">
        <f>IFERROR(__xludf.DUMMYFUNCTION("""COMPUTED_VALUE"""),"Urus anak")</f>
        <v>Urus anak</v>
      </c>
      <c r="V1099" s="11" t="str">
        <f>IFERROR(__xludf.DUMMYFUNCTION("""COMPUTED_VALUE"""),"082154718605")</f>
        <v>082154718605</v>
      </c>
      <c r="W1099" s="15"/>
    </row>
    <row r="1100" ht="22.5" customHeight="1">
      <c r="A1100" s="40"/>
      <c r="B1100" s="9">
        <f>IFERROR(__xludf.DUMMYFUNCTION("""COMPUTED_VALUE"""),45333.57566472222)</f>
        <v>45333.57566</v>
      </c>
      <c r="C1100" s="9"/>
      <c r="D1100" s="10">
        <f>IFERROR(__xludf.DUMMYFUNCTION("""COMPUTED_VALUE"""),45341.0)</f>
        <v>45341</v>
      </c>
      <c r="E1100" s="10" t="str">
        <f>IFERROR(__xludf.DUMMYFUNCTION("""COMPUTED_VALUE"""),"02Feb")</f>
        <v>02Feb</v>
      </c>
      <c r="F1100" s="10" t="str">
        <f>IFERROR(__xludf.DUMMYFUNCTION("""COMPUTED_VALUE"""),"2024")</f>
        <v>2024</v>
      </c>
      <c r="G1100" s="16" t="str">
        <f>IFERROR(__xludf.DUMMYFUNCTION("""COMPUTED_VALUE"""),"HARIS MUNANDAR")</f>
        <v>HARIS MUNANDAR</v>
      </c>
      <c r="H1100" s="17" t="str">
        <f>IFERROR(__xludf.DUMMYFUNCTION("""COMPUTED_VALUE"""),"H8924023768")</f>
        <v>H8924023768</v>
      </c>
      <c r="I1100" s="17">
        <f>IFERROR(__xludf.DUMMYFUNCTION("""COMPUTED_VALUE"""),36.0)</f>
        <v>36</v>
      </c>
      <c r="J1100" s="17" t="str">
        <f>IFERROR(__xludf.DUMMYFUNCTION("""COMPUTED_VALUE"""),"35-44 tahun")</f>
        <v>35-44 tahun</v>
      </c>
      <c r="K1100" s="19">
        <f>IFERROR(__xludf.DUMMYFUNCTION("""COMPUTED_VALUE"""),32867.0)</f>
        <v>32867</v>
      </c>
      <c r="L1100" s="19" t="str">
        <f>IFERROR(__xludf.DUMMYFUNCTION("""COMPUTED_VALUE"""),"LAKI-LAKI")</f>
        <v>LAKI-LAKI</v>
      </c>
      <c r="M1100" s="35" t="str">
        <f>IFERROR(__xludf.DUMMYFUNCTION("""COMPUTED_VALUE"""),"JL ADISUCIPTO")</f>
        <v>JL ADISUCIPTO</v>
      </c>
      <c r="N1100" s="16" t="str">
        <f>IFERROR(__xludf.DUMMYFUNCTION("""COMPUTED_VALUE"""),"DS. ARANG LIMBUNG")</f>
        <v>DS. ARANG LIMBUNG</v>
      </c>
      <c r="O1100" s="16" t="str">
        <f>IFERROR(__xludf.DUMMYFUNCTION("""COMPUTED_VALUE"""),"KEC. SUNGAI RAYA")</f>
        <v>KEC. SUNGAI RAYA</v>
      </c>
      <c r="P1100" s="16" t="str">
        <f>IFERROR(__xludf.DUMMYFUNCTION("""COMPUTED_VALUE"""),"KAB. KUBU RAYA")</f>
        <v>KAB. KUBU RAYA</v>
      </c>
      <c r="Q1100" s="16" t="str">
        <f>IFERROR(__xludf.DUMMYFUNCTION("""COMPUTED_VALUE"""),"KALIMANTAN BARAT")</f>
        <v>KALIMANTAN BARAT</v>
      </c>
      <c r="R1100" s="19" t="str">
        <f>IFERROR(__xludf.DUMMYFUNCTION("""COMPUTED_VALUE"""),"ISLAM")</f>
        <v>ISLAM</v>
      </c>
      <c r="S1100" s="16" t="str">
        <f>IFERROR(__xludf.DUMMYFUNCTION("""COMPUTED_VALUE"""),"SWASTA")</f>
        <v>SWASTA</v>
      </c>
      <c r="T1100" s="16" t="str">
        <f>IFERROR(__xludf.DUMMYFUNCTION("""COMPUTED_VALUE"""),"Sakit dibagian bahu dan lengan atas")</f>
        <v>Sakit dibagian bahu dan lengan atas</v>
      </c>
      <c r="U1100" s="16" t="str">
        <f>IFERROR(__xludf.DUMMYFUNCTION("""COMPUTED_VALUE"""),"Badminton dan kerja")</f>
        <v>Badminton dan kerja</v>
      </c>
      <c r="V1100" s="11" t="str">
        <f>IFERROR(__xludf.DUMMYFUNCTION("""COMPUTED_VALUE"""),"089531733768")</f>
        <v>089531733768</v>
      </c>
      <c r="W1100" s="15"/>
    </row>
    <row r="1101" ht="22.5" customHeight="1">
      <c r="A1101" s="40"/>
      <c r="B1101" s="9">
        <f>IFERROR(__xludf.DUMMYFUNCTION("""COMPUTED_VALUE"""),45333.74012837963)</f>
        <v>45333.74013</v>
      </c>
      <c r="C1101" s="9"/>
      <c r="D1101" s="10">
        <f>IFERROR(__xludf.DUMMYFUNCTION("""COMPUTED_VALUE"""),45341.0)</f>
        <v>45341</v>
      </c>
      <c r="E1101" s="10" t="str">
        <f>IFERROR(__xludf.DUMMYFUNCTION("""COMPUTED_VALUE"""),"02Feb")</f>
        <v>02Feb</v>
      </c>
      <c r="F1101" s="10" t="str">
        <f>IFERROR(__xludf.DUMMYFUNCTION("""COMPUTED_VALUE"""),"2024")</f>
        <v>2024</v>
      </c>
      <c r="G1101" s="16" t="str">
        <f>IFERROR(__xludf.DUMMYFUNCTION("""COMPUTED_VALUE"""),"SUMA EMIL HABIBIE")</f>
        <v>SUMA EMIL HABIBIE</v>
      </c>
      <c r="H1101" s="17" t="str">
        <f>IFERROR(__xludf.DUMMYFUNCTION("""COMPUTED_VALUE"""),"S9824025681")</f>
        <v>S9824025681</v>
      </c>
      <c r="I1101" s="17">
        <f>IFERROR(__xludf.DUMMYFUNCTION("""COMPUTED_VALUE"""),28.0)</f>
        <v>28</v>
      </c>
      <c r="J1101" s="17" t="str">
        <f>IFERROR(__xludf.DUMMYFUNCTION("""COMPUTED_VALUE"""),"25-34 tahun")</f>
        <v>25-34 tahun</v>
      </c>
      <c r="K1101" s="19">
        <f>IFERROR(__xludf.DUMMYFUNCTION("""COMPUTED_VALUE"""),35878.0)</f>
        <v>35878</v>
      </c>
      <c r="L1101" s="19" t="str">
        <f>IFERROR(__xludf.DUMMYFUNCTION("""COMPUTED_VALUE"""),"LAKI-LAKI")</f>
        <v>LAKI-LAKI</v>
      </c>
      <c r="M1101" s="35" t="str">
        <f>IFERROR(__xludf.DUMMYFUNCTION("""COMPUTED_VALUE"""),"DUSUN TENANG SUNGAI KUNYIT")</f>
        <v>DUSUN TENANG SUNGAI KUNYIT</v>
      </c>
      <c r="N1101" s="16" t="str">
        <f>IFERROR(__xludf.DUMMYFUNCTION("""COMPUTED_VALUE"""),"KEL. SUNGAI KUNYIT LAUT")</f>
        <v>KEL. SUNGAI KUNYIT LAUT</v>
      </c>
      <c r="O1101" s="16" t="str">
        <f>IFERROR(__xludf.DUMMYFUNCTION("""COMPUTED_VALUE"""),"KEC. SUNGAI KUNYIT")</f>
        <v>KEC. SUNGAI KUNYIT</v>
      </c>
      <c r="P1101" s="16" t="str">
        <f>IFERROR(__xludf.DUMMYFUNCTION("""COMPUTED_VALUE"""),"KAB. MEMPAWAH")</f>
        <v>KAB. MEMPAWAH</v>
      </c>
      <c r="Q1101" s="16" t="str">
        <f>IFERROR(__xludf.DUMMYFUNCTION("""COMPUTED_VALUE"""),"KALIMANTAN BARAT")</f>
        <v>KALIMANTAN BARAT</v>
      </c>
      <c r="R1101" s="19" t="str">
        <f>IFERROR(__xludf.DUMMYFUNCTION("""COMPUTED_VALUE"""),"ISLAM")</f>
        <v>ISLAM</v>
      </c>
      <c r="S1101" s="16" t="str">
        <f>IFERROR(__xludf.DUMMYFUNCTION("""COMPUTED_VALUE"""),"SWASTA")</f>
        <v>SWASTA</v>
      </c>
      <c r="T1101" s="16" t="str">
        <f>IFERROR(__xludf.DUMMYFUNCTION("""COMPUTED_VALUE"""),"Ankle")</f>
        <v>Ankle</v>
      </c>
      <c r="U1101" s="16" t="str">
        <f>IFERROR(__xludf.DUMMYFUNCTION("""COMPUTED_VALUE"""),"Olahraga")</f>
        <v>Olahraga</v>
      </c>
      <c r="V1101" s="11" t="str">
        <f>IFERROR(__xludf.DUMMYFUNCTION("""COMPUTED_VALUE"""),"081254875681")</f>
        <v>081254875681</v>
      </c>
      <c r="W1101" s="15"/>
    </row>
    <row r="1102" ht="22.5" customHeight="1">
      <c r="A1102" s="40"/>
      <c r="B1102" s="9">
        <f>IFERROR(__xludf.DUMMYFUNCTION("""COMPUTED_VALUE"""),45334.3913135301)</f>
        <v>45334.39131</v>
      </c>
      <c r="C1102" s="9"/>
      <c r="D1102" s="10">
        <f>IFERROR(__xludf.DUMMYFUNCTION("""COMPUTED_VALUE"""),45341.0)</f>
        <v>45341</v>
      </c>
      <c r="E1102" s="10" t="str">
        <f>IFERROR(__xludf.DUMMYFUNCTION("""COMPUTED_VALUE"""),"02Feb")</f>
        <v>02Feb</v>
      </c>
      <c r="F1102" s="10" t="str">
        <f>IFERROR(__xludf.DUMMYFUNCTION("""COMPUTED_VALUE"""),"2024")</f>
        <v>2024</v>
      </c>
      <c r="G1102" s="16" t="str">
        <f>IFERROR(__xludf.DUMMYFUNCTION("""COMPUTED_VALUE"""),"DIDI WINARNO")</f>
        <v>DIDI WINARNO</v>
      </c>
      <c r="H1102" s="17" t="str">
        <f>IFERROR(__xludf.DUMMYFUNCTION("""COMPUTED_VALUE"""),"D6324022945")</f>
        <v>D6324022945</v>
      </c>
      <c r="I1102" s="17">
        <f>IFERROR(__xludf.DUMMYFUNCTION("""COMPUTED_VALUE"""),63.0)</f>
        <v>63</v>
      </c>
      <c r="J1102" s="17" t="str">
        <f>IFERROR(__xludf.DUMMYFUNCTION("""COMPUTED_VALUE"""),"&gt; 44 tahun")</f>
        <v>&gt; 44 tahun</v>
      </c>
      <c r="K1102" s="19">
        <f>IFERROR(__xludf.DUMMYFUNCTION("""COMPUTED_VALUE"""),23163.0)</f>
        <v>23163</v>
      </c>
      <c r="L1102" s="19" t="str">
        <f>IFERROR(__xludf.DUMMYFUNCTION("""COMPUTED_VALUE"""),"LAKI-LAKI")</f>
        <v>LAKI-LAKI</v>
      </c>
      <c r="M1102" s="35" t="str">
        <f>IFERROR(__xludf.DUMMYFUNCTION("""COMPUTED_VALUE"""),"JL. DR. WAHIDIN GG. SEPAKAT 2 C")</f>
        <v>JL. DR. WAHIDIN GG. SEPAKAT 2 C</v>
      </c>
      <c r="N1102" s="16" t="str">
        <f>IFERROR(__xludf.DUMMYFUNCTION("""COMPUTED_VALUE"""),"KEL. AKCAYA")</f>
        <v>KEL. AKCAYA</v>
      </c>
      <c r="O1102" s="16" t="str">
        <f>IFERROR(__xludf.DUMMYFUNCTION("""COMPUTED_VALUE"""),"KEC. PONTIANAK KOTA")</f>
        <v>KEC. PONTIANAK KOTA</v>
      </c>
      <c r="P1102" s="16" t="str">
        <f>IFERROR(__xludf.DUMMYFUNCTION("""COMPUTED_VALUE"""),"KOTA PONTIANAK")</f>
        <v>KOTA PONTIANAK</v>
      </c>
      <c r="Q1102" s="16" t="str">
        <f>IFERROR(__xludf.DUMMYFUNCTION("""COMPUTED_VALUE"""),"KALIMANTAN BARAT")</f>
        <v>KALIMANTAN BARAT</v>
      </c>
      <c r="R1102" s="19" t="str">
        <f>IFERROR(__xludf.DUMMYFUNCTION("""COMPUTED_VALUE"""),"ISLAM")</f>
        <v>ISLAM</v>
      </c>
      <c r="S1102" s="16" t="str">
        <f>IFERROR(__xludf.DUMMYFUNCTION("""COMPUTED_VALUE"""),"PENSIUN")</f>
        <v>PENSIUN</v>
      </c>
      <c r="T1102" s="16" t="str">
        <f>IFERROR(__xludf.DUMMYFUNCTION("""COMPUTED_VALUE"""),"PINGGANG SAMPAI KAKI")</f>
        <v>PINGGANG SAMPAI KAKI</v>
      </c>
      <c r="U1102" s="16" t="str">
        <f>IFERROR(__xludf.DUMMYFUNCTION("""COMPUTED_VALUE"""),"BERKEBUN")</f>
        <v>BERKEBUN</v>
      </c>
      <c r="V1102" s="11" t="str">
        <f>IFERROR(__xludf.DUMMYFUNCTION("""COMPUTED_VALUE"""),"085754552945")</f>
        <v>085754552945</v>
      </c>
      <c r="W1102" s="15"/>
    </row>
    <row r="1103" ht="22.5" customHeight="1">
      <c r="A1103" s="40"/>
      <c r="B1103" s="9">
        <f>IFERROR(__xludf.DUMMYFUNCTION("""COMPUTED_VALUE"""),45334.485470694446)</f>
        <v>45334.48547</v>
      </c>
      <c r="C1103" s="9"/>
      <c r="D1103" s="10">
        <f>IFERROR(__xludf.DUMMYFUNCTION("""COMPUTED_VALUE"""),45341.0)</f>
        <v>45341</v>
      </c>
      <c r="E1103" s="10" t="str">
        <f>IFERROR(__xludf.DUMMYFUNCTION("""COMPUTED_VALUE"""),"02Feb")</f>
        <v>02Feb</v>
      </c>
      <c r="F1103" s="10" t="str">
        <f>IFERROR(__xludf.DUMMYFUNCTION("""COMPUTED_VALUE"""),"2024")</f>
        <v>2024</v>
      </c>
      <c r="G1103" s="16" t="str">
        <f>IFERROR(__xludf.DUMMYFUNCTION("""COMPUTED_VALUE"""),"WITA TAKARI")</f>
        <v>WITA TAKARI</v>
      </c>
      <c r="H1103" s="17" t="str">
        <f>IFERROR(__xludf.DUMMYFUNCTION("""COMPUTED_VALUE"""),"W6524021052")</f>
        <v>W6524021052</v>
      </c>
      <c r="I1103" s="17">
        <f>IFERROR(__xludf.DUMMYFUNCTION("""COMPUTED_VALUE"""),60.0)</f>
        <v>60</v>
      </c>
      <c r="J1103" s="17" t="str">
        <f>IFERROR(__xludf.DUMMYFUNCTION("""COMPUTED_VALUE"""),"&gt; 44 tahun")</f>
        <v>&gt; 44 tahun</v>
      </c>
      <c r="K1103" s="19">
        <f>IFERROR(__xludf.DUMMYFUNCTION("""COMPUTED_VALUE"""),23985.0)</f>
        <v>23985</v>
      </c>
      <c r="L1103" s="19" t="str">
        <f>IFERROR(__xludf.DUMMYFUNCTION("""COMPUTED_VALUE"""),"PEREMPUAN")</f>
        <v>PEREMPUAN</v>
      </c>
      <c r="M1103" s="35" t="str">
        <f>IFERROR(__xludf.DUMMYFUNCTION("""COMPUTED_VALUE"""),"URAY BAWADI GG MUHIBAH NO4")</f>
        <v>URAY BAWADI GG MUHIBAH NO4</v>
      </c>
      <c r="N1103" s="16" t="str">
        <f>IFERROR(__xludf.DUMMYFUNCTION("""COMPUTED_VALUE"""),"KEL. SUNGAI BANGKONG")</f>
        <v>KEL. SUNGAI BANGKONG</v>
      </c>
      <c r="O1103" s="16" t="str">
        <f>IFERROR(__xludf.DUMMYFUNCTION("""COMPUTED_VALUE"""),"KEC. PONTIANAK KOTA")</f>
        <v>KEC. PONTIANAK KOTA</v>
      </c>
      <c r="P1103" s="16" t="str">
        <f>IFERROR(__xludf.DUMMYFUNCTION("""COMPUTED_VALUE"""),"KOTA PONTIANAK")</f>
        <v>KOTA PONTIANAK</v>
      </c>
      <c r="Q1103" s="16" t="str">
        <f>IFERROR(__xludf.DUMMYFUNCTION("""COMPUTED_VALUE"""),"KALIMANTAN BARAT")</f>
        <v>KALIMANTAN BARAT</v>
      </c>
      <c r="R1103" s="19" t="str">
        <f>IFERROR(__xludf.DUMMYFUNCTION("""COMPUTED_VALUE"""),"ISLAM")</f>
        <v>ISLAM</v>
      </c>
      <c r="S1103" s="16" t="str">
        <f>IFERROR(__xludf.DUMMYFUNCTION("""COMPUTED_VALUE"""),"PENSIUN")</f>
        <v>PENSIUN</v>
      </c>
      <c r="T1103" s="16" t="str">
        <f>IFERROR(__xludf.DUMMYFUNCTION("""COMPUTED_VALUE"""),"Pinggang nyeri")</f>
        <v>Pinggang nyeri</v>
      </c>
      <c r="U1103" s="16" t="str">
        <f>IFERROR(__xludf.DUMMYFUNCTION("""COMPUTED_VALUE"""),"Ibu rumahbtangga")</f>
        <v>Ibu rumahbtangga</v>
      </c>
      <c r="V1103" s="11" t="str">
        <f>IFERROR(__xludf.DUMMYFUNCTION("""COMPUTED_VALUE"""),"081257071052")</f>
        <v>081257071052</v>
      </c>
      <c r="W1103" s="15"/>
    </row>
    <row r="1104" ht="22.5" customHeight="1">
      <c r="A1104" s="40"/>
      <c r="B1104" s="9">
        <f>IFERROR(__xludf.DUMMYFUNCTION("""COMPUTED_VALUE"""),45334.63042152778)</f>
        <v>45334.63042</v>
      </c>
      <c r="C1104" s="9"/>
      <c r="D1104" s="10">
        <f>IFERROR(__xludf.DUMMYFUNCTION("""COMPUTED_VALUE"""),45341.0)</f>
        <v>45341</v>
      </c>
      <c r="E1104" s="10" t="str">
        <f>IFERROR(__xludf.DUMMYFUNCTION("""COMPUTED_VALUE"""),"02Feb")</f>
        <v>02Feb</v>
      </c>
      <c r="F1104" s="10" t="str">
        <f>IFERROR(__xludf.DUMMYFUNCTION("""COMPUTED_VALUE"""),"2024")</f>
        <v>2024</v>
      </c>
      <c r="G1104" s="16" t="str">
        <f>IFERROR(__xludf.DUMMYFUNCTION("""COMPUTED_VALUE"""),"M HARDADI")</f>
        <v>M HARDADI</v>
      </c>
      <c r="H1104" s="17" t="str">
        <f>IFERROR(__xludf.DUMMYFUNCTION("""COMPUTED_VALUE"""),"M9424026155")</f>
        <v>M9424026155</v>
      </c>
      <c r="I1104" s="17">
        <f>IFERROR(__xludf.DUMMYFUNCTION("""COMPUTED_VALUE"""),31.0)</f>
        <v>31</v>
      </c>
      <c r="J1104" s="17" t="str">
        <f>IFERROR(__xludf.DUMMYFUNCTION("""COMPUTED_VALUE"""),"25-34 tahun")</f>
        <v>25-34 tahun</v>
      </c>
      <c r="K1104" s="19">
        <f>IFERROR(__xludf.DUMMYFUNCTION("""COMPUTED_VALUE"""),34678.0)</f>
        <v>34678</v>
      </c>
      <c r="L1104" s="19" t="str">
        <f>IFERROR(__xludf.DUMMYFUNCTION("""COMPUTED_VALUE"""),"LAKI-LAKI")</f>
        <v>LAKI-LAKI</v>
      </c>
      <c r="M1104" s="35" t="str">
        <f>IFERROR(__xludf.DUMMYFUNCTION("""COMPUTED_VALUE"""),"JALAN PADAT KARYA")</f>
        <v>JALAN PADAT KARYA</v>
      </c>
      <c r="N1104" s="16" t="str">
        <f>IFERROR(__xludf.DUMMYFUNCTION("""COMPUTED_VALUE"""),"KEL. BANSIR DARAT")</f>
        <v>KEL. BANSIR DARAT</v>
      </c>
      <c r="O1104" s="16" t="str">
        <f>IFERROR(__xludf.DUMMYFUNCTION("""COMPUTED_VALUE"""),"KEC. PONTIANAK TENGGARA")</f>
        <v>KEC. PONTIANAK TENGGARA</v>
      </c>
      <c r="P1104" s="16" t="str">
        <f>IFERROR(__xludf.DUMMYFUNCTION("""COMPUTED_VALUE"""),"KOTA PONTIANAK")</f>
        <v>KOTA PONTIANAK</v>
      </c>
      <c r="Q1104" s="16" t="str">
        <f>IFERROR(__xludf.DUMMYFUNCTION("""COMPUTED_VALUE"""),"KALIMANTAN BARAT")</f>
        <v>KALIMANTAN BARAT</v>
      </c>
      <c r="R1104" s="19" t="str">
        <f>IFERROR(__xludf.DUMMYFUNCTION("""COMPUTED_VALUE"""),"ISLAM")</f>
        <v>ISLAM</v>
      </c>
      <c r="S1104" s="16" t="str">
        <f>IFERROR(__xludf.DUMMYFUNCTION("""COMPUTED_VALUE"""),"SWASTA")</f>
        <v>SWASTA</v>
      </c>
      <c r="T1104" s="16" t="str">
        <f>IFERROR(__xludf.DUMMYFUNCTION("""COMPUTED_VALUE"""),"Engkel , hamstring dan pinggang")</f>
        <v>Engkel , hamstring dan pinggang</v>
      </c>
      <c r="U1104" s="16" t="str">
        <f>IFERROR(__xludf.DUMMYFUNCTION("""COMPUTED_VALUE"""),"Futsal")</f>
        <v>Futsal</v>
      </c>
      <c r="V1104" s="11" t="str">
        <f>IFERROR(__xludf.DUMMYFUNCTION("""COMPUTED_VALUE"""),"089693666155")</f>
        <v>089693666155</v>
      </c>
      <c r="W1104" s="15"/>
    </row>
    <row r="1105" ht="22.5" customHeight="1">
      <c r="A1105" s="40"/>
      <c r="B1105" s="9">
        <f>IFERROR(__xludf.DUMMYFUNCTION("""COMPUTED_VALUE"""),45335.60433826389)</f>
        <v>45335.60434</v>
      </c>
      <c r="C1105" s="9"/>
      <c r="D1105" s="10">
        <f>IFERROR(__xludf.DUMMYFUNCTION("""COMPUTED_VALUE"""),45342.0)</f>
        <v>45342</v>
      </c>
      <c r="E1105" s="10" t="str">
        <f>IFERROR(__xludf.DUMMYFUNCTION("""COMPUTED_VALUE"""),"02Feb")</f>
        <v>02Feb</v>
      </c>
      <c r="F1105" s="10" t="str">
        <f>IFERROR(__xludf.DUMMYFUNCTION("""COMPUTED_VALUE"""),"2024")</f>
        <v>2024</v>
      </c>
      <c r="G1105" s="16" t="str">
        <f>IFERROR(__xludf.DUMMYFUNCTION("""COMPUTED_VALUE"""),"JANTI JONO")</f>
        <v>JANTI JONO</v>
      </c>
      <c r="H1105" s="17" t="str">
        <f>IFERROR(__xludf.DUMMYFUNCTION("""COMPUTED_VALUE"""),"J6924024545")</f>
        <v>J6924024545</v>
      </c>
      <c r="I1105" s="17">
        <f>IFERROR(__xludf.DUMMYFUNCTION("""COMPUTED_VALUE"""),56.0)</f>
        <v>56</v>
      </c>
      <c r="J1105" s="17" t="str">
        <f>IFERROR(__xludf.DUMMYFUNCTION("""COMPUTED_VALUE"""),"&gt; 44 tahun")</f>
        <v>&gt; 44 tahun</v>
      </c>
      <c r="K1105" s="19">
        <f>IFERROR(__xludf.DUMMYFUNCTION("""COMPUTED_VALUE"""),25393.0)</f>
        <v>25393</v>
      </c>
      <c r="L1105" s="19" t="str">
        <f>IFERROR(__xludf.DUMMYFUNCTION("""COMPUTED_VALUE"""),"PEREMPUAN")</f>
        <v>PEREMPUAN</v>
      </c>
      <c r="M1105" s="35" t="str">
        <f>IFERROR(__xludf.DUMMYFUNCTION("""COMPUTED_VALUE"""),"JL.KARYA BARU KOMPLEK PONDOK PELANGI BLOK D2 NO 10")</f>
        <v>JL.KARYA BARU KOMPLEK PONDOK PELANGI BLOK D2 NO 10</v>
      </c>
      <c r="N1105" s="16" t="str">
        <f>IFERROR(__xludf.DUMMYFUNCTION("""COMPUTED_VALUE"""),"KEL. PARIT TOKAYA")</f>
        <v>KEL. PARIT TOKAYA</v>
      </c>
      <c r="O1105" s="16" t="str">
        <f>IFERROR(__xludf.DUMMYFUNCTION("""COMPUTED_VALUE"""),"KEC. PONTIANAK SELATAN")</f>
        <v>KEC. PONTIANAK SELATAN</v>
      </c>
      <c r="P1105" s="16" t="str">
        <f>IFERROR(__xludf.DUMMYFUNCTION("""COMPUTED_VALUE"""),"KOTA PONTIANAK")</f>
        <v>KOTA PONTIANAK</v>
      </c>
      <c r="Q1105" s="16" t="str">
        <f>IFERROR(__xludf.DUMMYFUNCTION("""COMPUTED_VALUE"""),"KALIMANTAN BARAT")</f>
        <v>KALIMANTAN BARAT</v>
      </c>
      <c r="R1105" s="19" t="str">
        <f>IFERROR(__xludf.DUMMYFUNCTION("""COMPUTED_VALUE"""),"KATOLIK")</f>
        <v>KATOLIK</v>
      </c>
      <c r="S1105" s="16" t="str">
        <f>IFERROR(__xludf.DUMMYFUNCTION("""COMPUTED_VALUE"""),"SWASTA")</f>
        <v>SWASTA</v>
      </c>
      <c r="T1105" s="16" t="str">
        <f>IFERROR(__xludf.DUMMYFUNCTION("""COMPUTED_VALUE"""),"Lengan sblah kanan sakit")</f>
        <v>Lengan sblah kanan sakit</v>
      </c>
      <c r="U1105" s="16" t="str">
        <f>IFERROR(__xludf.DUMMYFUNCTION("""COMPUTED_VALUE"""),"Jalan pagi")</f>
        <v>Jalan pagi</v>
      </c>
      <c r="V1105" s="11" t="str">
        <f>IFERROR(__xludf.DUMMYFUNCTION("""COMPUTED_VALUE"""),"0811574545")</f>
        <v>0811574545</v>
      </c>
      <c r="W1105" s="15"/>
    </row>
    <row r="1106" ht="22.5" customHeight="1">
      <c r="A1106" s="40"/>
      <c r="B1106" s="9">
        <f>IFERROR(__xludf.DUMMYFUNCTION("""COMPUTED_VALUE"""),45337.60027476852)</f>
        <v>45337.60027</v>
      </c>
      <c r="C1106" s="9"/>
      <c r="D1106" s="10">
        <f>IFERROR(__xludf.DUMMYFUNCTION("""COMPUTED_VALUE"""),45342.0)</f>
        <v>45342</v>
      </c>
      <c r="E1106" s="10" t="str">
        <f>IFERROR(__xludf.DUMMYFUNCTION("""COMPUTED_VALUE"""),"02Feb")</f>
        <v>02Feb</v>
      </c>
      <c r="F1106" s="10" t="str">
        <f>IFERROR(__xludf.DUMMYFUNCTION("""COMPUTED_VALUE"""),"2024")</f>
        <v>2024</v>
      </c>
      <c r="G1106" s="16" t="str">
        <f>IFERROR(__xludf.DUMMYFUNCTION("""COMPUTED_VALUE"""),"ASTUTI6512")</f>
        <v>ASTUTI6512</v>
      </c>
      <c r="H1106" s="17" t="str">
        <f>IFERROR(__xludf.DUMMYFUNCTION("""COMPUTED_VALUE"""),"A6524029278")</f>
        <v>A6524029278</v>
      </c>
      <c r="I1106" s="17">
        <f>IFERROR(__xludf.DUMMYFUNCTION("""COMPUTED_VALUE"""),60.0)</f>
        <v>60</v>
      </c>
      <c r="J1106" s="17" t="str">
        <f>IFERROR(__xludf.DUMMYFUNCTION("""COMPUTED_VALUE"""),"&gt; 44 tahun")</f>
        <v>&gt; 44 tahun</v>
      </c>
      <c r="K1106" s="19">
        <f>IFERROR(__xludf.DUMMYFUNCTION("""COMPUTED_VALUE"""),24098.0)</f>
        <v>24098</v>
      </c>
      <c r="L1106" s="19" t="str">
        <f>IFERROR(__xludf.DUMMYFUNCTION("""COMPUTED_VALUE"""),"PEREMPUAN")</f>
        <v>PEREMPUAN</v>
      </c>
      <c r="M1106" s="35" t="str">
        <f>IFERROR(__xludf.DUMMYFUNCTION("""COMPUTED_VALUE"""),"JALAN KARYA, KOMPLEK KATNIS ROYAL AMPERA")</f>
        <v>JALAN KARYA, KOMPLEK KATNIS ROYAL AMPERA</v>
      </c>
      <c r="N1106" s="16" t="str">
        <f>IFERROR(__xludf.DUMMYFUNCTION("""COMPUTED_VALUE"""),"KEL. PAL IX")</f>
        <v>KEL. PAL IX</v>
      </c>
      <c r="O1106" s="16" t="str">
        <f>IFERROR(__xludf.DUMMYFUNCTION("""COMPUTED_VALUE"""),"KEC. SUNGAI KAKAP")</f>
        <v>KEC. SUNGAI KAKAP</v>
      </c>
      <c r="P1106" s="16" t="str">
        <f>IFERROR(__xludf.DUMMYFUNCTION("""COMPUTED_VALUE"""),"KAB. KUBU RAYA")</f>
        <v>KAB. KUBU RAYA</v>
      </c>
      <c r="Q1106" s="16" t="str">
        <f>IFERROR(__xludf.DUMMYFUNCTION("""COMPUTED_VALUE"""),"KALIMANTAN BARAT")</f>
        <v>KALIMANTAN BARAT</v>
      </c>
      <c r="R1106" s="19" t="str">
        <f>IFERROR(__xludf.DUMMYFUNCTION("""COMPUTED_VALUE"""),"ISLAM")</f>
        <v>ISLAM</v>
      </c>
      <c r="S1106" s="16" t="str">
        <f>IFERROR(__xludf.DUMMYFUNCTION("""COMPUTED_VALUE"""),"RUMAH TANGGA")</f>
        <v>RUMAH TANGGA</v>
      </c>
      <c r="T1106" s="16" t="str">
        <f>IFERROR(__xludf.DUMMYFUNCTION("""COMPUTED_VALUE"""),"sendi kaki nyeri")</f>
        <v>sendi kaki nyeri</v>
      </c>
      <c r="U1106" s="16" t="str">
        <f>IFERROR(__xludf.DUMMYFUNCTION("""COMPUTED_VALUE"""),"aktivitas ibu rumah tangga")</f>
        <v>aktivitas ibu rumah tangga</v>
      </c>
      <c r="V1106" s="11" t="str">
        <f>IFERROR(__xludf.DUMMYFUNCTION("""COMPUTED_VALUE"""),"082213409278")</f>
        <v>082213409278</v>
      </c>
      <c r="W1106" s="15"/>
    </row>
    <row r="1107" ht="22.5" customHeight="1">
      <c r="A1107" s="40"/>
      <c r="B1107" s="9">
        <f>IFERROR(__xludf.DUMMYFUNCTION("""COMPUTED_VALUE"""),45338.74802053241)</f>
        <v>45338.74802</v>
      </c>
      <c r="C1107" s="9"/>
      <c r="D1107" s="10">
        <f>IFERROR(__xludf.DUMMYFUNCTION("""COMPUTED_VALUE"""),45342.0)</f>
        <v>45342</v>
      </c>
      <c r="E1107" s="10" t="str">
        <f>IFERROR(__xludf.DUMMYFUNCTION("""COMPUTED_VALUE"""),"02Feb")</f>
        <v>02Feb</v>
      </c>
      <c r="F1107" s="10" t="str">
        <f>IFERROR(__xludf.DUMMYFUNCTION("""COMPUTED_VALUE"""),"2024")</f>
        <v>2024</v>
      </c>
      <c r="G1107" s="16" t="str">
        <f>IFERROR(__xludf.DUMMYFUNCTION("""COMPUTED_VALUE"""),"MATIUS PATASIK")</f>
        <v>MATIUS PATASIK</v>
      </c>
      <c r="H1107" s="17" t="str">
        <f>IFERROR(__xludf.DUMMYFUNCTION("""COMPUTED_VALUE"""),"M4924025669")</f>
        <v>M4924025669</v>
      </c>
      <c r="I1107" s="17">
        <f>IFERROR(__xludf.DUMMYFUNCTION("""COMPUTED_VALUE"""),76.0)</f>
        <v>76</v>
      </c>
      <c r="J1107" s="17" t="str">
        <f>IFERROR(__xludf.DUMMYFUNCTION("""COMPUTED_VALUE"""),"&gt; 44 tahun")</f>
        <v>&gt; 44 tahun</v>
      </c>
      <c r="K1107" s="19">
        <f>IFERROR(__xludf.DUMMYFUNCTION("""COMPUTED_VALUE"""),18183.0)</f>
        <v>18183</v>
      </c>
      <c r="L1107" s="19" t="str">
        <f>IFERROR(__xludf.DUMMYFUNCTION("""COMPUTED_VALUE"""),"LAKI-LAKI")</f>
        <v>LAKI-LAKI</v>
      </c>
      <c r="M1107" s="35" t="str">
        <f>IFERROR(__xludf.DUMMYFUNCTION("""COMPUTED_VALUE"""),"JL. MARTADINATA GG. PAKIS C2 NO.11")</f>
        <v>JL. MARTADINATA GG. PAKIS C2 NO.11</v>
      </c>
      <c r="N1107" s="16" t="str">
        <f>IFERROR(__xludf.DUMMYFUNCTION("""COMPUTED_VALUE"""),"KEL. SUNGAI JAWI LUAR")</f>
        <v>KEL. SUNGAI JAWI LUAR</v>
      </c>
      <c r="O1107" s="16" t="str">
        <f>IFERROR(__xludf.DUMMYFUNCTION("""COMPUTED_VALUE"""),"KEC. PONTIANAK BARAT")</f>
        <v>KEC. PONTIANAK BARAT</v>
      </c>
      <c r="P1107" s="16" t="str">
        <f>IFERROR(__xludf.DUMMYFUNCTION("""COMPUTED_VALUE"""),"KOTA PONTIANAK")</f>
        <v>KOTA PONTIANAK</v>
      </c>
      <c r="Q1107" s="16" t="str">
        <f>IFERROR(__xludf.DUMMYFUNCTION("""COMPUTED_VALUE"""),"KALIMANTAN BARAT")</f>
        <v>KALIMANTAN BARAT</v>
      </c>
      <c r="R1107" s="19" t="str">
        <f>IFERROR(__xludf.DUMMYFUNCTION("""COMPUTED_VALUE"""),"PROTESTAN")</f>
        <v>PROTESTAN</v>
      </c>
      <c r="S1107" s="16" t="str">
        <f>IFERROR(__xludf.DUMMYFUNCTION("""COMPUTED_VALUE"""),"PENSIUN")</f>
        <v>PENSIUN</v>
      </c>
      <c r="T1107" s="16" t="str">
        <f>IFERROR(__xludf.DUMMYFUNCTION("""COMPUTED_VALUE"""),"Nyeri di bagian perut")</f>
        <v>Nyeri di bagian perut</v>
      </c>
      <c r="U1107" s="16" t="str">
        <f>IFERROR(__xludf.DUMMYFUNCTION("""COMPUTED_VALUE"""),"Di rumah aja")</f>
        <v>Di rumah aja</v>
      </c>
      <c r="V1107" s="11" t="str">
        <f>IFERROR(__xludf.DUMMYFUNCTION("""COMPUTED_VALUE"""),"089518515669")</f>
        <v>089518515669</v>
      </c>
      <c r="W1107" s="15"/>
    </row>
    <row r="1108" ht="22.5" customHeight="1">
      <c r="A1108" s="40"/>
      <c r="B1108" s="9">
        <f>IFERROR(__xludf.DUMMYFUNCTION("""COMPUTED_VALUE"""),45339.59360959491)</f>
        <v>45339.59361</v>
      </c>
      <c r="C1108" s="9"/>
      <c r="D1108" s="10">
        <f>IFERROR(__xludf.DUMMYFUNCTION("""COMPUTED_VALUE"""),45342.0)</f>
        <v>45342</v>
      </c>
      <c r="E1108" s="10" t="str">
        <f>IFERROR(__xludf.DUMMYFUNCTION("""COMPUTED_VALUE"""),"02Feb")</f>
        <v>02Feb</v>
      </c>
      <c r="F1108" s="10" t="str">
        <f>IFERROR(__xludf.DUMMYFUNCTION("""COMPUTED_VALUE"""),"2024")</f>
        <v>2024</v>
      </c>
      <c r="G1108" s="16" t="str">
        <f>IFERROR(__xludf.DUMMYFUNCTION("""COMPUTED_VALUE"""),"ASTUTI6406")</f>
        <v>ASTUTI6406</v>
      </c>
      <c r="H1108" s="17" t="str">
        <f>IFERROR(__xludf.DUMMYFUNCTION("""COMPUTED_VALUE"""),"A6424022761")</f>
        <v>A6424022761</v>
      </c>
      <c r="I1108" s="17">
        <f>IFERROR(__xludf.DUMMYFUNCTION("""COMPUTED_VALUE"""),62.0)</f>
        <v>62</v>
      </c>
      <c r="J1108" s="17" t="str">
        <f>IFERROR(__xludf.DUMMYFUNCTION("""COMPUTED_VALUE"""),"&gt; 44 tahun")</f>
        <v>&gt; 44 tahun</v>
      </c>
      <c r="K1108" s="19">
        <f>IFERROR(__xludf.DUMMYFUNCTION("""COMPUTED_VALUE"""),23537.0)</f>
        <v>23537</v>
      </c>
      <c r="L1108" s="19" t="str">
        <f>IFERROR(__xludf.DUMMYFUNCTION("""COMPUTED_VALUE"""),"PEREMPUAN")</f>
        <v>PEREMPUAN</v>
      </c>
      <c r="M1108" s="35" t="str">
        <f>IFERROR(__xludf.DUMMYFUNCTION("""COMPUTED_VALUE"""),"KOMP. PONDOK AGUNG PERMAI J 10")</f>
        <v>KOMP. PONDOK AGUNG PERMAI J 10</v>
      </c>
      <c r="N1108" s="16" t="str">
        <f>IFERROR(__xludf.DUMMYFUNCTION("""COMPUTED_VALUE"""),"KEL. PARIT TOKAYA")</f>
        <v>KEL. PARIT TOKAYA</v>
      </c>
      <c r="O1108" s="16" t="str">
        <f>IFERROR(__xludf.DUMMYFUNCTION("""COMPUTED_VALUE"""),"KEC. PONTIANAK SELATAN")</f>
        <v>KEC. PONTIANAK SELATAN</v>
      </c>
      <c r="P1108" s="16" t="str">
        <f>IFERROR(__xludf.DUMMYFUNCTION("""COMPUTED_VALUE"""),"KOTA PONTIANAK")</f>
        <v>KOTA PONTIANAK</v>
      </c>
      <c r="Q1108" s="16" t="str">
        <f>IFERROR(__xludf.DUMMYFUNCTION("""COMPUTED_VALUE"""),"KALIMANTAN BARAT")</f>
        <v>KALIMANTAN BARAT</v>
      </c>
      <c r="R1108" s="19" t="str">
        <f>IFERROR(__xludf.DUMMYFUNCTION("""COMPUTED_VALUE"""),"KATOLIK")</f>
        <v>KATOLIK</v>
      </c>
      <c r="S1108" s="16" t="str">
        <f>IFERROR(__xludf.DUMMYFUNCTION("""COMPUTED_VALUE"""),"RUMAH TANGGA")</f>
        <v>RUMAH TANGGA</v>
      </c>
      <c r="T1108" s="16" t="str">
        <f>IFERROR(__xludf.DUMMYFUNCTION("""COMPUTED_VALUE"""),"PINGGANG,")</f>
        <v>PINGGANG,</v>
      </c>
      <c r="U1108" s="16" t="str">
        <f>IFERROR(__xludf.DUMMYFUNCTION("""COMPUTED_VALUE"""),"PEKERJAAN RUMAH")</f>
        <v>PEKERJAAN RUMAH</v>
      </c>
      <c r="V1108" s="11" t="str">
        <f>IFERROR(__xludf.DUMMYFUNCTION("""COMPUTED_VALUE"""),"08115672761")</f>
        <v>08115672761</v>
      </c>
      <c r="W1108" s="15"/>
    </row>
    <row r="1109" ht="22.5" customHeight="1">
      <c r="A1109" s="40"/>
      <c r="B1109" s="9">
        <f>IFERROR(__xludf.DUMMYFUNCTION("""COMPUTED_VALUE"""),45340.640551122684)</f>
        <v>45340.64055</v>
      </c>
      <c r="C1109" s="9"/>
      <c r="D1109" s="34">
        <f>IFERROR(__xludf.DUMMYFUNCTION("""COMPUTED_VALUE"""),45342.0)</f>
        <v>45342</v>
      </c>
      <c r="E1109" s="34" t="str">
        <f>IFERROR(__xludf.DUMMYFUNCTION("""COMPUTED_VALUE"""),"02Feb")</f>
        <v>02Feb</v>
      </c>
      <c r="F1109" s="34" t="str">
        <f>IFERROR(__xludf.DUMMYFUNCTION("""COMPUTED_VALUE"""),"2024")</f>
        <v>2024</v>
      </c>
      <c r="G1109" s="35" t="str">
        <f>IFERROR(__xludf.DUMMYFUNCTION("""COMPUTED_VALUE"""),"THE KOK SUN")</f>
        <v>THE KOK SUN</v>
      </c>
      <c r="H1109" s="17" t="str">
        <f>IFERROR(__xludf.DUMMYFUNCTION("""COMPUTED_VALUE"""),"T6124022761")</f>
        <v>T6124022761</v>
      </c>
      <c r="I1109" s="17">
        <f>IFERROR(__xludf.DUMMYFUNCTION("""COMPUTED_VALUE"""),64.0)</f>
        <v>64</v>
      </c>
      <c r="J1109" s="17" t="str">
        <f>IFERROR(__xludf.DUMMYFUNCTION("""COMPUTED_VALUE"""),"&gt; 44 tahun")</f>
        <v>&gt; 44 tahun</v>
      </c>
      <c r="K1109" s="19">
        <f>IFERROR(__xludf.DUMMYFUNCTION("""COMPUTED_VALUE"""),22464.0)</f>
        <v>22464</v>
      </c>
      <c r="L1109" s="19" t="str">
        <f>IFERROR(__xludf.DUMMYFUNCTION("""COMPUTED_VALUE"""),"LAKI-LAKI")</f>
        <v>LAKI-LAKI</v>
      </c>
      <c r="M1109" s="16" t="str">
        <f>IFERROR(__xludf.DUMMYFUNCTION("""COMPUTED_VALUE"""),"KOMP. PONDOK AGUNG PERMAI J10")</f>
        <v>KOMP. PONDOK AGUNG PERMAI J10</v>
      </c>
      <c r="N1109" s="16" t="str">
        <f>IFERROR(__xludf.DUMMYFUNCTION("""COMPUTED_VALUE"""),"KEL. PARIT TOKAYA")</f>
        <v>KEL. PARIT TOKAYA</v>
      </c>
      <c r="O1109" s="16" t="str">
        <f>IFERROR(__xludf.DUMMYFUNCTION("""COMPUTED_VALUE"""),"KEC. PONTIANAK SELATAN")</f>
        <v>KEC. PONTIANAK SELATAN</v>
      </c>
      <c r="P1109" s="16" t="str">
        <f>IFERROR(__xludf.DUMMYFUNCTION("""COMPUTED_VALUE"""),"KOTA PONTIANAK")</f>
        <v>KOTA PONTIANAK</v>
      </c>
      <c r="Q1109" s="16" t="str">
        <f>IFERROR(__xludf.DUMMYFUNCTION("""COMPUTED_VALUE"""),"KALIMANTAN BARAT")</f>
        <v>KALIMANTAN BARAT</v>
      </c>
      <c r="R1109" s="19" t="str">
        <f>IFERROR(__xludf.DUMMYFUNCTION("""COMPUTED_VALUE"""),"KATOLIK")</f>
        <v>KATOLIK</v>
      </c>
      <c r="S1109" s="16" t="str">
        <f>IFERROR(__xludf.DUMMYFUNCTION("""COMPUTED_VALUE"""),"PENSIUN")</f>
        <v>PENSIUN</v>
      </c>
      <c r="T1109" s="16" t="str">
        <f>IFERROR(__xludf.DUMMYFUNCTION("""COMPUTED_VALUE"""),"PINGGANG")</f>
        <v>PINGGANG</v>
      </c>
      <c r="U1109" s="16" t="str">
        <f>IFERROR(__xludf.DUMMYFUNCTION("""COMPUTED_VALUE"""),"DI RUMAH SAJA")</f>
        <v>DI RUMAH SAJA</v>
      </c>
      <c r="V1109" s="11" t="str">
        <f>IFERROR(__xludf.DUMMYFUNCTION("""COMPUTED_VALUE"""),"08115672761")</f>
        <v>08115672761</v>
      </c>
      <c r="W1109" s="15"/>
    </row>
    <row r="1110" ht="22.5" customHeight="1">
      <c r="A1110" s="40"/>
      <c r="B1110" s="9">
        <f>IFERROR(__xludf.DUMMYFUNCTION("""COMPUTED_VALUE"""),45340.72833791666)</f>
        <v>45340.72834</v>
      </c>
      <c r="C1110" s="9"/>
      <c r="D1110" s="10">
        <f>IFERROR(__xludf.DUMMYFUNCTION("""COMPUTED_VALUE"""),45343.0)</f>
        <v>45343</v>
      </c>
      <c r="E1110" s="10" t="str">
        <f>IFERROR(__xludf.DUMMYFUNCTION("""COMPUTED_VALUE"""),"02Feb")</f>
        <v>02Feb</v>
      </c>
      <c r="F1110" s="10" t="str">
        <f>IFERROR(__xludf.DUMMYFUNCTION("""COMPUTED_VALUE"""),"2024")</f>
        <v>2024</v>
      </c>
      <c r="G1110" s="16" t="str">
        <f>IFERROR(__xludf.DUMMYFUNCTION("""COMPUTED_VALUE"""),"DIAZ DIRGANTARA")</f>
        <v>DIAZ DIRGANTARA</v>
      </c>
      <c r="H1110" s="17" t="str">
        <f>IFERROR(__xludf.DUMMYFUNCTION("""COMPUTED_VALUE"""),"D9424029094")</f>
        <v>D9424029094</v>
      </c>
      <c r="I1110" s="17">
        <f>IFERROR(__xludf.DUMMYFUNCTION("""COMPUTED_VALUE"""),32.0)</f>
        <v>32</v>
      </c>
      <c r="J1110" s="17" t="str">
        <f>IFERROR(__xludf.DUMMYFUNCTION("""COMPUTED_VALUE"""),"25-34 tahun")</f>
        <v>25-34 tahun</v>
      </c>
      <c r="K1110" s="19">
        <f>IFERROR(__xludf.DUMMYFUNCTION("""COMPUTED_VALUE"""),34403.0)</f>
        <v>34403</v>
      </c>
      <c r="L1110" s="19" t="str">
        <f>IFERROR(__xludf.DUMMYFUNCTION("""COMPUTED_VALUE"""),"LAKI-LAKI")</f>
        <v>LAKI-LAKI</v>
      </c>
      <c r="M1110" s="16" t="str">
        <f>IFERROR(__xludf.DUMMYFUNCTION("""COMPUTED_VALUE"""),"JL KOM YOS SUDARSO GG SAGA NO 17 A")</f>
        <v>JL KOM YOS SUDARSO GG SAGA NO 17 A</v>
      </c>
      <c r="N1110" s="16" t="str">
        <f>IFERROR(__xludf.DUMMYFUNCTION("""COMPUTED_VALUE"""),"KEL. SUNGAI JAWI LUAR")</f>
        <v>KEL. SUNGAI JAWI LUAR</v>
      </c>
      <c r="O1110" s="16" t="str">
        <f>IFERROR(__xludf.DUMMYFUNCTION("""COMPUTED_VALUE"""),"KEC. PONTIANAK BARAT")</f>
        <v>KEC. PONTIANAK BARAT</v>
      </c>
      <c r="P1110" s="16" t="str">
        <f>IFERROR(__xludf.DUMMYFUNCTION("""COMPUTED_VALUE"""),"KOTA PONTIANAK")</f>
        <v>KOTA PONTIANAK</v>
      </c>
      <c r="Q1110" s="16" t="str">
        <f>IFERROR(__xludf.DUMMYFUNCTION("""COMPUTED_VALUE"""),"KALIMANTAN BARAT")</f>
        <v>KALIMANTAN BARAT</v>
      </c>
      <c r="R1110" s="19" t="str">
        <f>IFERROR(__xludf.DUMMYFUNCTION("""COMPUTED_VALUE"""),"ISLAM")</f>
        <v>ISLAM</v>
      </c>
      <c r="S1110" s="16" t="str">
        <f>IFERROR(__xludf.DUMMYFUNCTION("""COMPUTED_VALUE"""),"SWASTA")</f>
        <v>SWASTA</v>
      </c>
      <c r="T1110" s="16" t="str">
        <f>IFERROR(__xludf.DUMMYFUNCTION("""COMPUTED_VALUE"""),"Cidera engkel")</f>
        <v>Cidera engkel</v>
      </c>
      <c r="U1110" s="16" t="str">
        <f>IFERROR(__xludf.DUMMYFUNCTION("""COMPUTED_VALUE"""),"Kerja")</f>
        <v>Kerja</v>
      </c>
      <c r="V1110" s="11" t="str">
        <f>IFERROR(__xludf.DUMMYFUNCTION("""COMPUTED_VALUE"""),"082150099094")</f>
        <v>082150099094</v>
      </c>
      <c r="W1110" s="15"/>
    </row>
    <row r="1111" ht="22.5" customHeight="1">
      <c r="A1111" s="40"/>
      <c r="B1111" s="9">
        <f>IFERROR(__xludf.DUMMYFUNCTION("""COMPUTED_VALUE"""),45341.39741460649)</f>
        <v>45341.39741</v>
      </c>
      <c r="C1111" s="9"/>
      <c r="D1111" s="10">
        <f>IFERROR(__xludf.DUMMYFUNCTION("""COMPUTED_VALUE"""),45343.0)</f>
        <v>45343</v>
      </c>
      <c r="E1111" s="10" t="str">
        <f>IFERROR(__xludf.DUMMYFUNCTION("""COMPUTED_VALUE"""),"02Feb")</f>
        <v>02Feb</v>
      </c>
      <c r="F1111" s="10" t="str">
        <f>IFERROR(__xludf.DUMMYFUNCTION("""COMPUTED_VALUE"""),"2024")</f>
        <v>2024</v>
      </c>
      <c r="G1111" s="16" t="str">
        <f>IFERROR(__xludf.DUMMYFUNCTION("""COMPUTED_VALUE"""),"EKA BUDI PRASOJO")</f>
        <v>EKA BUDI PRASOJO</v>
      </c>
      <c r="H1111" s="17" t="str">
        <f>IFERROR(__xludf.DUMMYFUNCTION("""COMPUTED_VALUE"""),"E8524025888")</f>
        <v>E8524025888</v>
      </c>
      <c r="I1111" s="17">
        <f>IFERROR(__xludf.DUMMYFUNCTION("""COMPUTED_VALUE"""),41.0)</f>
        <v>41</v>
      </c>
      <c r="J1111" s="17" t="str">
        <f>IFERROR(__xludf.DUMMYFUNCTION("""COMPUTED_VALUE"""),"35-44 tahun")</f>
        <v>35-44 tahun</v>
      </c>
      <c r="K1111" s="19">
        <f>IFERROR(__xludf.DUMMYFUNCTION("""COMPUTED_VALUE"""),31193.0)</f>
        <v>31193</v>
      </c>
      <c r="L1111" s="19" t="str">
        <f>IFERROR(__xludf.DUMMYFUNCTION("""COMPUTED_VALUE"""),"LAKI-LAKI")</f>
        <v>LAKI-LAKI</v>
      </c>
      <c r="M1111" s="16" t="str">
        <f>IFERROR(__xludf.DUMMYFUNCTION("""COMPUTED_VALUE"""),"JL. KARYA BARU 2 NO. 35")</f>
        <v>JL. KARYA BARU 2 NO. 35</v>
      </c>
      <c r="N1111" s="16" t="str">
        <f>IFERROR(__xludf.DUMMYFUNCTION("""COMPUTED_VALUE"""),"KEL. PARIT TOKAYA")</f>
        <v>KEL. PARIT TOKAYA</v>
      </c>
      <c r="O1111" s="16" t="str">
        <f>IFERROR(__xludf.DUMMYFUNCTION("""COMPUTED_VALUE"""),"KEC. PONTIANAK SELATAN")</f>
        <v>KEC. PONTIANAK SELATAN</v>
      </c>
      <c r="P1111" s="16" t="str">
        <f>IFERROR(__xludf.DUMMYFUNCTION("""COMPUTED_VALUE"""),"KOTA PONTIANAK")</f>
        <v>KOTA PONTIANAK</v>
      </c>
      <c r="Q1111" s="16" t="str">
        <f>IFERROR(__xludf.DUMMYFUNCTION("""COMPUTED_VALUE"""),"KALIMANTAN BARAT")</f>
        <v>KALIMANTAN BARAT</v>
      </c>
      <c r="R1111" s="19" t="str">
        <f>IFERROR(__xludf.DUMMYFUNCTION("""COMPUTED_VALUE"""),"ISLAM")</f>
        <v>ISLAM</v>
      </c>
      <c r="S1111" s="16" t="str">
        <f>IFERROR(__xludf.DUMMYFUNCTION("""COMPUTED_VALUE"""),"WIRASWASTA")</f>
        <v>WIRASWASTA</v>
      </c>
      <c r="T1111" s="16" t="str">
        <f>IFERROR(__xludf.DUMMYFUNCTION("""COMPUTED_VALUE"""),"Jari Manis Tangan Kanan Kaku &amp; Sulit Digerakkan")</f>
        <v>Jari Manis Tangan Kanan Kaku &amp; Sulit Digerakkan</v>
      </c>
      <c r="U1111" s="16" t="str">
        <f>IFERROR(__xludf.DUMMYFUNCTION("""COMPUTED_VALUE"""),"Musik")</f>
        <v>Musik</v>
      </c>
      <c r="V1111" s="11" t="str">
        <f>IFERROR(__xludf.DUMMYFUNCTION("""COMPUTED_VALUE"""),"081649275888")</f>
        <v>081649275888</v>
      </c>
      <c r="W1111" s="15"/>
    </row>
    <row r="1112" ht="22.5" customHeight="1">
      <c r="A1112" s="40"/>
      <c r="B1112" s="9">
        <f>IFERROR(__xludf.DUMMYFUNCTION("""COMPUTED_VALUE"""),45341.44533104167)</f>
        <v>45341.44533</v>
      </c>
      <c r="C1112" s="9"/>
      <c r="D1112" s="10">
        <f>IFERROR(__xludf.DUMMYFUNCTION("""COMPUTED_VALUE"""),45344.0)</f>
        <v>45344</v>
      </c>
      <c r="E1112" s="10" t="str">
        <f>IFERROR(__xludf.DUMMYFUNCTION("""COMPUTED_VALUE"""),"02Feb")</f>
        <v>02Feb</v>
      </c>
      <c r="F1112" s="10" t="str">
        <f>IFERROR(__xludf.DUMMYFUNCTION("""COMPUTED_VALUE"""),"2024")</f>
        <v>2024</v>
      </c>
      <c r="G1112" s="16" t="str">
        <f>IFERROR(__xludf.DUMMYFUNCTION("""COMPUTED_VALUE"""),"KEVIN")</f>
        <v>KEVIN</v>
      </c>
      <c r="H1112" s="17" t="str">
        <f>IFERROR(__xludf.DUMMYFUNCTION("""COMPUTED_VALUE"""),"K9724022877")</f>
        <v>K9724022877</v>
      </c>
      <c r="I1112" s="17">
        <f>IFERROR(__xludf.DUMMYFUNCTION("""COMPUTED_VALUE"""),29.0)</f>
        <v>29</v>
      </c>
      <c r="J1112" s="17" t="str">
        <f>IFERROR(__xludf.DUMMYFUNCTION("""COMPUTED_VALUE"""),"25-34 tahun")</f>
        <v>25-34 tahun</v>
      </c>
      <c r="K1112" s="19">
        <f>IFERROR(__xludf.DUMMYFUNCTION("""COMPUTED_VALUE"""),35466.0)</f>
        <v>35466</v>
      </c>
      <c r="L1112" s="19" t="str">
        <f>IFERROR(__xludf.DUMMYFUNCTION("""COMPUTED_VALUE"""),"LAKI-LAKI")</f>
        <v>LAKI-LAKI</v>
      </c>
      <c r="M1112" s="16" t="str">
        <f>IFERROR(__xludf.DUMMYFUNCTION("""COMPUTED_VALUE"""),"TANJUNG RAYA 2 KOMP CENDANA PERMAI 1 NO DD8")</f>
        <v>TANJUNG RAYA 2 KOMP CENDANA PERMAI 1 NO DD8</v>
      </c>
      <c r="N1112" s="16" t="str">
        <f>IFERROR(__xludf.DUMMYFUNCTION("""COMPUTED_VALUE"""),"KEL. SAIGON")</f>
        <v>KEL. SAIGON</v>
      </c>
      <c r="O1112" s="16" t="str">
        <f>IFERROR(__xludf.DUMMYFUNCTION("""COMPUTED_VALUE"""),"KEC. PONTIANAK TIMUR")</f>
        <v>KEC. PONTIANAK TIMUR</v>
      </c>
      <c r="P1112" s="16" t="str">
        <f>IFERROR(__xludf.DUMMYFUNCTION("""COMPUTED_VALUE"""),"KOTA PONTIANAK")</f>
        <v>KOTA PONTIANAK</v>
      </c>
      <c r="Q1112" s="16" t="str">
        <f>IFERROR(__xludf.DUMMYFUNCTION("""COMPUTED_VALUE"""),"KALIMANTAN BARAT")</f>
        <v>KALIMANTAN BARAT</v>
      </c>
      <c r="R1112" s="19" t="str">
        <f>IFERROR(__xludf.DUMMYFUNCTION("""COMPUTED_VALUE"""),"KATOLIK")</f>
        <v>KATOLIK</v>
      </c>
      <c r="S1112" s="16" t="str">
        <f>IFERROR(__xludf.DUMMYFUNCTION("""COMPUTED_VALUE"""),"SWASTA")</f>
        <v>SWASTA</v>
      </c>
      <c r="T1112" s="16" t="str">
        <f>IFERROR(__xludf.DUMMYFUNCTION("""COMPUTED_VALUE"""),"HAMSTRING")</f>
        <v>HAMSTRING</v>
      </c>
      <c r="U1112" s="16" t="str">
        <f>IFERROR(__xludf.DUMMYFUNCTION("""COMPUTED_VALUE"""),"BADMINTON")</f>
        <v>BADMINTON</v>
      </c>
      <c r="V1112" s="11" t="str">
        <f>IFERROR(__xludf.DUMMYFUNCTION("""COMPUTED_VALUE"""),"082151142877")</f>
        <v>082151142877</v>
      </c>
      <c r="W1112" s="15"/>
    </row>
    <row r="1113" ht="22.5" customHeight="1">
      <c r="A1113" s="40"/>
      <c r="B1113" s="9">
        <f>IFERROR(__xludf.DUMMYFUNCTION("""COMPUTED_VALUE"""),45341.4537059838)</f>
        <v>45341.45371</v>
      </c>
      <c r="C1113" s="9"/>
      <c r="D1113" s="10">
        <f>IFERROR(__xludf.DUMMYFUNCTION("""COMPUTED_VALUE"""),45344.0)</f>
        <v>45344</v>
      </c>
      <c r="E1113" s="10" t="str">
        <f>IFERROR(__xludf.DUMMYFUNCTION("""COMPUTED_VALUE"""),"02Feb")</f>
        <v>02Feb</v>
      </c>
      <c r="F1113" s="10" t="str">
        <f>IFERROR(__xludf.DUMMYFUNCTION("""COMPUTED_VALUE"""),"2024")</f>
        <v>2024</v>
      </c>
      <c r="G1113" s="16" t="str">
        <f>IFERROR(__xludf.DUMMYFUNCTION("""COMPUTED_VALUE"""),"NAJWA.OKTAFANI")</f>
        <v>NAJWA.OKTAFANI</v>
      </c>
      <c r="H1113" s="17" t="str">
        <f>IFERROR(__xludf.DUMMYFUNCTION("""COMPUTED_VALUE"""),"N0924028156")</f>
        <v>N0924028156</v>
      </c>
      <c r="I1113" s="17">
        <f>IFERROR(__xludf.DUMMYFUNCTION("""COMPUTED_VALUE"""),16.0)</f>
        <v>16</v>
      </c>
      <c r="J1113" s="17" t="str">
        <f>IFERROR(__xludf.DUMMYFUNCTION("""COMPUTED_VALUE"""),"&lt; 18 tahun")</f>
        <v>&lt; 18 tahun</v>
      </c>
      <c r="K1113" s="19">
        <f>IFERROR(__xludf.DUMMYFUNCTION("""COMPUTED_VALUE"""),40102.0)</f>
        <v>40102</v>
      </c>
      <c r="L1113" s="19" t="str">
        <f>IFERROR(__xludf.DUMMYFUNCTION("""COMPUTED_VALUE"""),"PEREMPUAN")</f>
        <v>PEREMPUAN</v>
      </c>
      <c r="M1113" s="16" t="str">
        <f>IFERROR(__xludf.DUMMYFUNCTION("""COMPUTED_VALUE"""),"JL. PROF. M. YAMIN GG. SAMBE NO. 3")</f>
        <v>JL. PROF. M. YAMIN GG. SAMBE NO. 3</v>
      </c>
      <c r="N1113" s="16" t="str">
        <f>IFERROR(__xludf.DUMMYFUNCTION("""COMPUTED_VALUE"""),"KEL. SUNGAI BANGKONG")</f>
        <v>KEL. SUNGAI BANGKONG</v>
      </c>
      <c r="O1113" s="16" t="str">
        <f>IFERROR(__xludf.DUMMYFUNCTION("""COMPUTED_VALUE"""),"KEC. PONTIANAK KOTA")</f>
        <v>KEC. PONTIANAK KOTA</v>
      </c>
      <c r="P1113" s="16" t="str">
        <f>IFERROR(__xludf.DUMMYFUNCTION("""COMPUTED_VALUE"""),"KOTA PONTIANAK")</f>
        <v>KOTA PONTIANAK</v>
      </c>
      <c r="Q1113" s="16" t="str">
        <f>IFERROR(__xludf.DUMMYFUNCTION("""COMPUTED_VALUE"""),"KALIMANTAN BARAT")</f>
        <v>KALIMANTAN BARAT</v>
      </c>
      <c r="R1113" s="19" t="str">
        <f>IFERROR(__xludf.DUMMYFUNCTION("""COMPUTED_VALUE"""),"ISLAM")</f>
        <v>ISLAM</v>
      </c>
      <c r="S1113" s="16" t="str">
        <f>IFERROR(__xludf.DUMMYFUNCTION("""COMPUTED_VALUE"""),"PELAJAR/MAHASISWA")</f>
        <v>PELAJAR/MAHASISWA</v>
      </c>
      <c r="T1113" s="16" t="str">
        <f>IFERROR(__xludf.DUMMYFUNCTION("""COMPUTED_VALUE"""),"Sakit di bagian pangkal paha")</f>
        <v>Sakit di bagian pangkal paha</v>
      </c>
      <c r="U1113" s="16" t="str">
        <f>IFERROR(__xludf.DUMMYFUNCTION("""COMPUTED_VALUE"""),"Sekolah")</f>
        <v>Sekolah</v>
      </c>
      <c r="V1113" s="11" t="str">
        <f>IFERROR(__xludf.DUMMYFUNCTION("""COMPUTED_VALUE"""),"082213448156")</f>
        <v>082213448156</v>
      </c>
      <c r="W1113" s="15"/>
    </row>
    <row r="1114" ht="22.5" customHeight="1">
      <c r="A1114" s="40"/>
      <c r="B1114" s="9">
        <f>IFERROR(__xludf.DUMMYFUNCTION("""COMPUTED_VALUE"""),45341.51202880787)</f>
        <v>45341.51203</v>
      </c>
      <c r="C1114" s="9"/>
      <c r="D1114" s="10">
        <f>IFERROR(__xludf.DUMMYFUNCTION("""COMPUTED_VALUE"""),45344.0)</f>
        <v>45344</v>
      </c>
      <c r="E1114" s="10" t="str">
        <f>IFERROR(__xludf.DUMMYFUNCTION("""COMPUTED_VALUE"""),"02Feb")</f>
        <v>02Feb</v>
      </c>
      <c r="F1114" s="10" t="str">
        <f>IFERROR(__xludf.DUMMYFUNCTION("""COMPUTED_VALUE"""),"2024")</f>
        <v>2024</v>
      </c>
      <c r="G1114" s="16" t="str">
        <f>IFERROR(__xludf.DUMMYFUNCTION("""COMPUTED_VALUE"""),"HJ. ASTUTI")</f>
        <v>HJ. ASTUTI</v>
      </c>
      <c r="H1114" s="17" t="str">
        <f>IFERROR(__xludf.DUMMYFUNCTION("""COMPUTED_VALUE"""),"H6324028312")</f>
        <v>H6324028312</v>
      </c>
      <c r="I1114" s="17">
        <f>IFERROR(__xludf.DUMMYFUNCTION("""COMPUTED_VALUE"""),62.0)</f>
        <v>62</v>
      </c>
      <c r="J1114" s="17" t="str">
        <f>IFERROR(__xludf.DUMMYFUNCTION("""COMPUTED_VALUE"""),"&gt; 44 tahun")</f>
        <v>&gt; 44 tahun</v>
      </c>
      <c r="K1114" s="19">
        <f>IFERROR(__xludf.DUMMYFUNCTION("""COMPUTED_VALUE"""),23357.0)</f>
        <v>23357</v>
      </c>
      <c r="L1114" s="19" t="str">
        <f>IFERROR(__xludf.DUMMYFUNCTION("""COMPUTED_VALUE"""),"PEREMPUAN")</f>
        <v>PEREMPUAN</v>
      </c>
      <c r="M1114" s="16" t="str">
        <f>IFERROR(__xludf.DUMMYFUNCTION("""COMPUTED_VALUE"""),"BTN TELUK MULUS GG. PERINTIS BLOK O.17")</f>
        <v>BTN TELUK MULUS GG. PERINTIS BLOK O.17</v>
      </c>
      <c r="N1114" s="16" t="str">
        <f>IFERROR(__xludf.DUMMYFUNCTION("""COMPUTED_VALUE"""),"DS. TELUK KAPUAS")</f>
        <v>DS. TELUK KAPUAS</v>
      </c>
      <c r="O1114" s="16" t="str">
        <f>IFERROR(__xludf.DUMMYFUNCTION("""COMPUTED_VALUE"""),"KEC. SUNGAI RAYA")</f>
        <v>KEC. SUNGAI RAYA</v>
      </c>
      <c r="P1114" s="35" t="str">
        <f>IFERROR(__xludf.DUMMYFUNCTION("""COMPUTED_VALUE"""),"KOTA PONTIANAK")</f>
        <v>KOTA PONTIANAK</v>
      </c>
      <c r="Q1114" s="16" t="str">
        <f>IFERROR(__xludf.DUMMYFUNCTION("""COMPUTED_VALUE"""),"KALIMANTAN BARAT")</f>
        <v>KALIMANTAN BARAT</v>
      </c>
      <c r="R1114" s="19" t="str">
        <f>IFERROR(__xludf.DUMMYFUNCTION("""COMPUTED_VALUE"""),"ISLAM")</f>
        <v>ISLAM</v>
      </c>
      <c r="S1114" s="16" t="str">
        <f>IFERROR(__xludf.DUMMYFUNCTION("""COMPUTED_VALUE"""),"PENSIUN")</f>
        <v>PENSIUN</v>
      </c>
      <c r="T1114" s="16" t="str">
        <f>IFERROR(__xludf.DUMMYFUNCTION("""COMPUTED_VALUE"""),"BISA BERJALAN, TP BELUM SEMPURNA")</f>
        <v>BISA BERJALAN, TP BELUM SEMPURNA</v>
      </c>
      <c r="U1114" s="16" t="str">
        <f>IFERROR(__xludf.DUMMYFUNCTION("""COMPUTED_VALUE"""),"RUMAH TANGGA")</f>
        <v>RUMAH TANGGA</v>
      </c>
      <c r="V1114" s="11" t="str">
        <f>IFERROR(__xludf.DUMMYFUNCTION("""COMPUTED_VALUE"""),"082159458312")</f>
        <v>082159458312</v>
      </c>
      <c r="W1114" s="15"/>
    </row>
    <row r="1115" ht="22.5" customHeight="1">
      <c r="A1115" s="40"/>
      <c r="B1115" s="9">
        <f>IFERROR(__xludf.DUMMYFUNCTION("""COMPUTED_VALUE"""),45341.53012614584)</f>
        <v>45341.53013</v>
      </c>
      <c r="C1115" s="9"/>
      <c r="D1115" s="10">
        <f>IFERROR(__xludf.DUMMYFUNCTION("""COMPUTED_VALUE"""),45344.0)</f>
        <v>45344</v>
      </c>
      <c r="E1115" s="10" t="str">
        <f>IFERROR(__xludf.DUMMYFUNCTION("""COMPUTED_VALUE"""),"02Feb")</f>
        <v>02Feb</v>
      </c>
      <c r="F1115" s="10" t="str">
        <f>IFERROR(__xludf.DUMMYFUNCTION("""COMPUTED_VALUE"""),"2024")</f>
        <v>2024</v>
      </c>
      <c r="G1115" s="16" t="str">
        <f>IFERROR(__xludf.DUMMYFUNCTION("""COMPUTED_VALUE"""),"RIDHO KURNIAWAN")</f>
        <v>RIDHO KURNIAWAN</v>
      </c>
      <c r="H1115" s="17" t="str">
        <f>IFERROR(__xludf.DUMMYFUNCTION("""COMPUTED_VALUE"""),"R9024026663")</f>
        <v>R9024026663</v>
      </c>
      <c r="I1115" s="17">
        <f>IFERROR(__xludf.DUMMYFUNCTION("""COMPUTED_VALUE"""),35.0)</f>
        <v>35</v>
      </c>
      <c r="J1115" s="17" t="str">
        <f>IFERROR(__xludf.DUMMYFUNCTION("""COMPUTED_VALUE"""),"35-44 tahun")</f>
        <v>35-44 tahun</v>
      </c>
      <c r="K1115" s="19">
        <f>IFERROR(__xludf.DUMMYFUNCTION("""COMPUTED_VALUE"""),33101.0)</f>
        <v>33101</v>
      </c>
      <c r="L1115" s="19" t="str">
        <f>IFERROR(__xludf.DUMMYFUNCTION("""COMPUTED_VALUE"""),"LAKI-LAKI")</f>
        <v>LAKI-LAKI</v>
      </c>
      <c r="M1115" s="16" t="str">
        <f>IFERROR(__xludf.DUMMYFUNCTION("""COMPUTED_VALUE"""),"JL AR SALEH 1A NO 12")</f>
        <v>JL AR SALEH 1A NO 12</v>
      </c>
      <c r="N1115" s="16" t="str">
        <f>IFERROR(__xludf.DUMMYFUNCTION("""COMPUTED_VALUE"""),"KEL. BANGKA BELITUNG LAUT")</f>
        <v>KEL. BANGKA BELITUNG LAUT</v>
      </c>
      <c r="O1115" s="16" t="str">
        <f>IFERROR(__xludf.DUMMYFUNCTION("""COMPUTED_VALUE"""),"KEC. PONTIANAK TENGGARA")</f>
        <v>KEC. PONTIANAK TENGGARA</v>
      </c>
      <c r="P1115" s="16" t="str">
        <f>IFERROR(__xludf.DUMMYFUNCTION("""COMPUTED_VALUE"""),"KOTA PONTIANAK")</f>
        <v>KOTA PONTIANAK</v>
      </c>
      <c r="Q1115" s="16" t="str">
        <f>IFERROR(__xludf.DUMMYFUNCTION("""COMPUTED_VALUE"""),"KALIMANTAN BARAT")</f>
        <v>KALIMANTAN BARAT</v>
      </c>
      <c r="R1115" s="19" t="str">
        <f>IFERROR(__xludf.DUMMYFUNCTION("""COMPUTED_VALUE"""),"ISLAM")</f>
        <v>ISLAM</v>
      </c>
      <c r="S1115" s="16" t="str">
        <f>IFERROR(__xludf.DUMMYFUNCTION("""COMPUTED_VALUE"""),"ARSITEK")</f>
        <v>ARSITEK</v>
      </c>
      <c r="T1115" s="16" t="str">
        <f>IFERROR(__xludf.DUMMYFUNCTION("""COMPUTED_VALUE"""),"Terkilir")</f>
        <v>Terkilir</v>
      </c>
      <c r="U1115" s="16" t="str">
        <f>IFERROR(__xludf.DUMMYFUNCTION("""COMPUTED_VALUE"""),"Jogging")</f>
        <v>Jogging</v>
      </c>
      <c r="V1115" s="11" t="str">
        <f>IFERROR(__xludf.DUMMYFUNCTION("""COMPUTED_VALUE"""),"08115666663")</f>
        <v>08115666663</v>
      </c>
      <c r="W1115" s="15"/>
    </row>
    <row r="1116" ht="22.5" customHeight="1">
      <c r="A1116" s="40"/>
      <c r="B1116" s="9">
        <f>IFERROR(__xludf.DUMMYFUNCTION("""COMPUTED_VALUE"""),45342.413357303245)</f>
        <v>45342.41336</v>
      </c>
      <c r="C1116" s="9"/>
      <c r="D1116" s="10">
        <f>IFERROR(__xludf.DUMMYFUNCTION("""COMPUTED_VALUE"""),45344.0)</f>
        <v>45344</v>
      </c>
      <c r="E1116" s="10" t="str">
        <f>IFERROR(__xludf.DUMMYFUNCTION("""COMPUTED_VALUE"""),"02Feb")</f>
        <v>02Feb</v>
      </c>
      <c r="F1116" s="10" t="str">
        <f>IFERROR(__xludf.DUMMYFUNCTION("""COMPUTED_VALUE"""),"2024")</f>
        <v>2024</v>
      </c>
      <c r="G1116" s="16" t="str">
        <f>IFERROR(__xludf.DUMMYFUNCTION("""COMPUTED_VALUE"""),"SHELVI MAYASARI")</f>
        <v>SHELVI MAYASARI</v>
      </c>
      <c r="H1116" s="17" t="str">
        <f>IFERROR(__xludf.DUMMYFUNCTION("""COMPUTED_VALUE"""),"S8624021808")</f>
        <v>S8624021808</v>
      </c>
      <c r="I1116" s="17">
        <f>IFERROR(__xludf.DUMMYFUNCTION("""COMPUTED_VALUE"""),40.0)</f>
        <v>40</v>
      </c>
      <c r="J1116" s="17" t="str">
        <f>IFERROR(__xludf.DUMMYFUNCTION("""COMPUTED_VALUE"""),"35-44 tahun")</f>
        <v>35-44 tahun</v>
      </c>
      <c r="K1116" s="19">
        <f>IFERROR(__xludf.DUMMYFUNCTION("""COMPUTED_VALUE"""),31420.0)</f>
        <v>31420</v>
      </c>
      <c r="L1116" s="19" t="str">
        <f>IFERROR(__xludf.DUMMYFUNCTION("""COMPUTED_VALUE"""),"PEREMPUAN")</f>
        <v>PEREMPUAN</v>
      </c>
      <c r="M1116" s="35" t="str">
        <f>IFERROR(__xludf.DUMMYFUNCTION("""COMPUTED_VALUE"""),"JL. KOMYOS SUDARSO GG NENAS NO 22")</f>
        <v>JL. KOMYOS SUDARSO GG NENAS NO 22</v>
      </c>
      <c r="N1116" s="16" t="str">
        <f>IFERROR(__xludf.DUMMYFUNCTION("""COMPUTED_VALUE"""),"KEL. SUNGAI JAWI LUAR")</f>
        <v>KEL. SUNGAI JAWI LUAR</v>
      </c>
      <c r="O1116" s="16" t="str">
        <f>IFERROR(__xludf.DUMMYFUNCTION("""COMPUTED_VALUE"""),"KEC. PONTIANAK BARAT")</f>
        <v>KEC. PONTIANAK BARAT</v>
      </c>
      <c r="P1116" s="16" t="str">
        <f>IFERROR(__xludf.DUMMYFUNCTION("""COMPUTED_VALUE"""),"KOTA PONTIANAK")</f>
        <v>KOTA PONTIANAK</v>
      </c>
      <c r="Q1116" s="16" t="str">
        <f>IFERROR(__xludf.DUMMYFUNCTION("""COMPUTED_VALUE"""),"KALIMANTAN BARAT")</f>
        <v>KALIMANTAN BARAT</v>
      </c>
      <c r="R1116" s="19" t="str">
        <f>IFERROR(__xludf.DUMMYFUNCTION("""COMPUTED_VALUE"""),"ISLAM")</f>
        <v>ISLAM</v>
      </c>
      <c r="S1116" s="16" t="str">
        <f>IFERROR(__xludf.DUMMYFUNCTION("""COMPUTED_VALUE"""),"RUMAH TANGGA")</f>
        <v>RUMAH TANGGA</v>
      </c>
      <c r="T1116" s="16" t="str">
        <f>IFERROR(__xludf.DUMMYFUNCTION("""COMPUTED_VALUE"""),"Nyeri sendi kaki")</f>
        <v>Nyeri sendi kaki</v>
      </c>
      <c r="U1116" s="16" t="str">
        <f>IFERROR(__xludf.DUMMYFUNCTION("""COMPUTED_VALUE"""),"Ngantar anak sekolah")</f>
        <v>Ngantar anak sekolah</v>
      </c>
      <c r="V1116" s="11" t="str">
        <f>IFERROR(__xludf.DUMMYFUNCTION("""COMPUTED_VALUE"""),"085750591808")</f>
        <v>085750591808</v>
      </c>
      <c r="W1116" s="15"/>
    </row>
    <row r="1117" ht="22.5" customHeight="1">
      <c r="A1117" s="40"/>
      <c r="B1117" s="9">
        <f>IFERROR(__xludf.DUMMYFUNCTION("""COMPUTED_VALUE"""),45342.47359849537)</f>
        <v>45342.4736</v>
      </c>
      <c r="C1117" s="9"/>
      <c r="D1117" s="10">
        <f>IFERROR(__xludf.DUMMYFUNCTION("""COMPUTED_VALUE"""),45344.0)</f>
        <v>45344</v>
      </c>
      <c r="E1117" s="10" t="str">
        <f>IFERROR(__xludf.DUMMYFUNCTION("""COMPUTED_VALUE"""),"02Feb")</f>
        <v>02Feb</v>
      </c>
      <c r="F1117" s="10" t="str">
        <f>IFERROR(__xludf.DUMMYFUNCTION("""COMPUTED_VALUE"""),"2024")</f>
        <v>2024</v>
      </c>
      <c r="G1117" s="16" t="str">
        <f>IFERROR(__xludf.DUMMYFUNCTION("""COMPUTED_VALUE"""),"MUHAMMAD FIRMAN SAPUTRA")</f>
        <v>MUHAMMAD FIRMAN SAPUTRA</v>
      </c>
      <c r="H1117" s="17" t="str">
        <f>IFERROR(__xludf.DUMMYFUNCTION("""COMPUTED_VALUE"""),"M0524020310")</f>
        <v>M0524020310</v>
      </c>
      <c r="I1117" s="17">
        <f>IFERROR(__xludf.DUMMYFUNCTION("""COMPUTED_VALUE"""),20.0)</f>
        <v>20</v>
      </c>
      <c r="J1117" s="17" t="str">
        <f>IFERROR(__xludf.DUMMYFUNCTION("""COMPUTED_VALUE"""),"18-24 tahun")</f>
        <v>18-24 tahun</v>
      </c>
      <c r="K1117" s="19">
        <f>IFERROR(__xludf.DUMMYFUNCTION("""COMPUTED_VALUE"""),38616.0)</f>
        <v>38616</v>
      </c>
      <c r="L1117" s="19" t="str">
        <f>IFERROR(__xludf.DUMMYFUNCTION("""COMPUTED_VALUE"""),"LAKI-LAKI")</f>
        <v>LAKI-LAKI</v>
      </c>
      <c r="M1117" s="16" t="str">
        <f>IFERROR(__xludf.DUMMYFUNCTION("""COMPUTED_VALUE"""),"JALAN. AMPERA NO.1")</f>
        <v>JALAN. AMPERA NO.1</v>
      </c>
      <c r="N1117" s="16" t="str">
        <f>IFERROR(__xludf.DUMMYFUNCTION("""COMPUTED_VALUE"""),"KEL. SUNGAI JAWI")</f>
        <v>KEL. SUNGAI JAWI</v>
      </c>
      <c r="O1117" s="16" t="str">
        <f>IFERROR(__xludf.DUMMYFUNCTION("""COMPUTED_VALUE"""),"KEC. PONTIANAK KOTA")</f>
        <v>KEC. PONTIANAK KOTA</v>
      </c>
      <c r="P1117" s="16" t="str">
        <f>IFERROR(__xludf.DUMMYFUNCTION("""COMPUTED_VALUE"""),"KOTA PONTIANAK")</f>
        <v>KOTA PONTIANAK</v>
      </c>
      <c r="Q1117" s="16" t="str">
        <f>IFERROR(__xludf.DUMMYFUNCTION("""COMPUTED_VALUE"""),"KALIMANTAN BARAT")</f>
        <v>KALIMANTAN BARAT</v>
      </c>
      <c r="R1117" s="19" t="str">
        <f>IFERROR(__xludf.DUMMYFUNCTION("""COMPUTED_VALUE"""),"ISLAM")</f>
        <v>ISLAM</v>
      </c>
      <c r="S1117" s="16" t="str">
        <f>IFERROR(__xludf.DUMMYFUNCTION("""COMPUTED_VALUE"""),"PELAJAR/MAHASISWA")</f>
        <v>PELAJAR/MAHASISWA</v>
      </c>
      <c r="T1117" s="16" t="str">
        <f>IFERROR(__xludf.DUMMYFUNCTION("""COMPUTED_VALUE"""),"NYERI/NGILU")</f>
        <v>NYERI/NGILU</v>
      </c>
      <c r="U1117" s="16" t="str">
        <f>IFERROR(__xludf.DUMMYFUNCTION("""COMPUTED_VALUE"""),"FUTSAL")</f>
        <v>FUTSAL</v>
      </c>
      <c r="V1117" s="11" t="str">
        <f>IFERROR(__xludf.DUMMYFUNCTION("""COMPUTED_VALUE"""),"089519750310")</f>
        <v>089519750310</v>
      </c>
      <c r="W1117" s="15"/>
    </row>
    <row r="1118" ht="22.5" customHeight="1">
      <c r="A1118" s="40"/>
      <c r="B1118" s="9">
        <f>IFERROR(__xludf.DUMMYFUNCTION("""COMPUTED_VALUE"""),45342.477459120375)</f>
        <v>45342.47746</v>
      </c>
      <c r="C1118" s="9"/>
      <c r="D1118" s="10">
        <f>IFERROR(__xludf.DUMMYFUNCTION("""COMPUTED_VALUE"""),45344.0)</f>
        <v>45344</v>
      </c>
      <c r="E1118" s="10" t="str">
        <f>IFERROR(__xludf.DUMMYFUNCTION("""COMPUTED_VALUE"""),"02Feb")</f>
        <v>02Feb</v>
      </c>
      <c r="F1118" s="10" t="str">
        <f>IFERROR(__xludf.DUMMYFUNCTION("""COMPUTED_VALUE"""),"2024")</f>
        <v>2024</v>
      </c>
      <c r="G1118" s="16" t="str">
        <f>IFERROR(__xludf.DUMMYFUNCTION("""COMPUTED_VALUE"""),"DINI HAITI ZULFANY")</f>
        <v>DINI HAITI ZULFANY</v>
      </c>
      <c r="H1118" s="17" t="str">
        <f>IFERROR(__xludf.DUMMYFUNCTION("""COMPUTED_VALUE"""),"D8724020001")</f>
        <v>D8724020001</v>
      </c>
      <c r="I1118" s="17">
        <f>IFERROR(__xludf.DUMMYFUNCTION("""COMPUTED_VALUE"""),38.0)</f>
        <v>38</v>
      </c>
      <c r="J1118" s="17" t="str">
        <f>IFERROR(__xludf.DUMMYFUNCTION("""COMPUTED_VALUE"""),"35-44 tahun")</f>
        <v>35-44 tahun</v>
      </c>
      <c r="K1118" s="19">
        <f>IFERROR(__xludf.DUMMYFUNCTION("""COMPUTED_VALUE"""),31980.0)</f>
        <v>31980</v>
      </c>
      <c r="L1118" s="19" t="str">
        <f>IFERROR(__xludf.DUMMYFUNCTION("""COMPUTED_VALUE"""),"PEREMPUAN")</f>
        <v>PEREMPUAN</v>
      </c>
      <c r="M1118" s="35" t="str">
        <f>IFERROR(__xludf.DUMMYFUNCTION("""COMPUTED_VALUE"""),"JALAN KOMYOS SUDARSO GANG TEBU BARU NO. 4")</f>
        <v>JALAN KOMYOS SUDARSO GANG TEBU BARU NO. 4</v>
      </c>
      <c r="N1118" s="16" t="str">
        <f>IFERROR(__xludf.DUMMYFUNCTION("""COMPUTED_VALUE"""),"KEL. SUNGAI JAWI")</f>
        <v>KEL. SUNGAI JAWI</v>
      </c>
      <c r="O1118" s="16" t="str">
        <f>IFERROR(__xludf.DUMMYFUNCTION("""COMPUTED_VALUE"""),"KEC. PONTIANAK BARAT")</f>
        <v>KEC. PONTIANAK BARAT</v>
      </c>
      <c r="P1118" s="16" t="str">
        <f>IFERROR(__xludf.DUMMYFUNCTION("""COMPUTED_VALUE"""),"KOTA PONTIANAK")</f>
        <v>KOTA PONTIANAK</v>
      </c>
      <c r="Q1118" s="16" t="str">
        <f>IFERROR(__xludf.DUMMYFUNCTION("""COMPUTED_VALUE"""),"KALIMANTAN BARAT")</f>
        <v>KALIMANTAN BARAT</v>
      </c>
      <c r="R1118" s="19" t="str">
        <f>IFERROR(__xludf.DUMMYFUNCTION("""COMPUTED_VALUE"""),"ISLAM")</f>
        <v>ISLAM</v>
      </c>
      <c r="S1118" s="16" t="str">
        <f>IFERROR(__xludf.DUMMYFUNCTION("""COMPUTED_VALUE"""),"DOSEN/GURU")</f>
        <v>DOSEN/GURU</v>
      </c>
      <c r="T1118" s="16" t="str">
        <f>IFERROR(__xludf.DUMMYFUNCTION("""COMPUTED_VALUE"""),"Kaki keseleo")</f>
        <v>Kaki keseleo</v>
      </c>
      <c r="U1118" s="16" t="str">
        <f>IFERROR(__xludf.DUMMYFUNCTION("""COMPUTED_VALUE"""),"Mengajar")</f>
        <v>Mengajar</v>
      </c>
      <c r="V1118" s="11" t="str">
        <f>IFERROR(__xludf.DUMMYFUNCTION("""COMPUTED_VALUE"""),"085750690001")</f>
        <v>085750690001</v>
      </c>
      <c r="W1118" s="15"/>
    </row>
    <row r="1119" ht="22.5" customHeight="1">
      <c r="A1119" s="40"/>
      <c r="B1119" s="9">
        <f>IFERROR(__xludf.DUMMYFUNCTION("""COMPUTED_VALUE"""),45342.48756195602)</f>
        <v>45342.48756</v>
      </c>
      <c r="C1119" s="9"/>
      <c r="D1119" s="10">
        <f>IFERROR(__xludf.DUMMYFUNCTION("""COMPUTED_VALUE"""),45346.0)</f>
        <v>45346</v>
      </c>
      <c r="E1119" s="10" t="str">
        <f>IFERROR(__xludf.DUMMYFUNCTION("""COMPUTED_VALUE"""),"02Feb")</f>
        <v>02Feb</v>
      </c>
      <c r="F1119" s="10" t="str">
        <f>IFERROR(__xludf.DUMMYFUNCTION("""COMPUTED_VALUE"""),"2024")</f>
        <v>2024</v>
      </c>
      <c r="G1119" s="16" t="str">
        <f>IFERROR(__xludf.DUMMYFUNCTION("""COMPUTED_VALUE"""),"MULYADI")</f>
        <v>MULYADI</v>
      </c>
      <c r="H1119" s="17" t="str">
        <f>IFERROR(__xludf.DUMMYFUNCTION("""COMPUTED_VALUE"""),"M8324024745")</f>
        <v>M8324024745</v>
      </c>
      <c r="I1119" s="17">
        <f>IFERROR(__xludf.DUMMYFUNCTION("""COMPUTED_VALUE"""),42.0)</f>
        <v>42</v>
      </c>
      <c r="J1119" s="17" t="str">
        <f>IFERROR(__xludf.DUMMYFUNCTION("""COMPUTED_VALUE"""),"35-44 tahun")</f>
        <v>35-44 tahun</v>
      </c>
      <c r="K1119" s="19">
        <f>IFERROR(__xludf.DUMMYFUNCTION("""COMPUTED_VALUE"""),30623.0)</f>
        <v>30623</v>
      </c>
      <c r="L1119" s="19" t="str">
        <f>IFERROR(__xludf.DUMMYFUNCTION("""COMPUTED_VALUE"""),"LAKI-LAKI")</f>
        <v>LAKI-LAKI</v>
      </c>
      <c r="M1119" s="16" t="str">
        <f>IFERROR(__xludf.DUMMYFUNCTION("""COMPUTED_VALUE"""),"JL MERDEKA GG PARKIT 535")</f>
        <v>JL MERDEKA GG PARKIT 535</v>
      </c>
      <c r="N1119" s="16" t="str">
        <f>IFERROR(__xludf.DUMMYFUNCTION("""COMPUTED_VALUE"""),"KEL. TENGAH")</f>
        <v>KEL. TENGAH</v>
      </c>
      <c r="O1119" s="16" t="str">
        <f>IFERROR(__xludf.DUMMYFUNCTION("""COMPUTED_VALUE"""),"KEC. PONTIANAK KOTA")</f>
        <v>KEC. PONTIANAK KOTA</v>
      </c>
      <c r="P1119" s="16" t="str">
        <f>IFERROR(__xludf.DUMMYFUNCTION("""COMPUTED_VALUE"""),"KOTA PONTIANAK")</f>
        <v>KOTA PONTIANAK</v>
      </c>
      <c r="Q1119" s="16" t="str">
        <f>IFERROR(__xludf.DUMMYFUNCTION("""COMPUTED_VALUE"""),"KALIMANTAN BARAT")</f>
        <v>KALIMANTAN BARAT</v>
      </c>
      <c r="R1119" s="19" t="str">
        <f>IFERROR(__xludf.DUMMYFUNCTION("""COMPUTED_VALUE"""),"BUDDHA")</f>
        <v>BUDDHA</v>
      </c>
      <c r="S1119" s="16" t="str">
        <f>IFERROR(__xludf.DUMMYFUNCTION("""COMPUTED_VALUE"""),"SALES")</f>
        <v>SALES</v>
      </c>
      <c r="T1119" s="16" t="str">
        <f>IFERROR(__xludf.DUMMYFUNCTION("""COMPUTED_VALUE"""),"pergelangan tangan kaku dan sakit")</f>
        <v>pergelangan tangan kaku dan sakit</v>
      </c>
      <c r="U1119" s="16" t="str">
        <f>IFERROR(__xludf.DUMMYFUNCTION("""COMPUTED_VALUE"""),"pekerjaan menggunakan alat2 teknik")</f>
        <v>pekerjaan menggunakan alat2 teknik</v>
      </c>
      <c r="V1119" s="11" t="str">
        <f>IFERROR(__xludf.DUMMYFUNCTION("""COMPUTED_VALUE"""),"08159134745")</f>
        <v>08159134745</v>
      </c>
      <c r="W1119" s="15"/>
    </row>
    <row r="1120" ht="22.5" customHeight="1">
      <c r="A1120" s="8"/>
      <c r="B1120" s="9">
        <f>IFERROR(__xludf.DUMMYFUNCTION("""COMPUTED_VALUE"""),45342.61440868056)</f>
        <v>45342.61441</v>
      </c>
      <c r="C1120" s="9"/>
      <c r="D1120" s="10">
        <f>IFERROR(__xludf.DUMMYFUNCTION("""COMPUTED_VALUE"""),45346.0)</f>
        <v>45346</v>
      </c>
      <c r="E1120" s="10" t="str">
        <f>IFERROR(__xludf.DUMMYFUNCTION("""COMPUTED_VALUE"""),"02Feb")</f>
        <v>02Feb</v>
      </c>
      <c r="F1120" s="10" t="str">
        <f>IFERROR(__xludf.DUMMYFUNCTION("""COMPUTED_VALUE"""),"2024")</f>
        <v>2024</v>
      </c>
      <c r="G1120" s="16" t="str">
        <f>IFERROR(__xludf.DUMMYFUNCTION("""COMPUTED_VALUE"""),"MU'IN")</f>
        <v>MU'IN</v>
      </c>
      <c r="H1120" s="17" t="str">
        <f>IFERROR(__xludf.DUMMYFUNCTION("""COMPUTED_VALUE"""),"M7324025544")</f>
        <v>M7324025544</v>
      </c>
      <c r="I1120" s="17">
        <f>IFERROR(__xludf.DUMMYFUNCTION("""COMPUTED_VALUE"""),52.0)</f>
        <v>52</v>
      </c>
      <c r="J1120" s="17" t="str">
        <f>IFERROR(__xludf.DUMMYFUNCTION("""COMPUTED_VALUE"""),"&gt; 44 tahun")</f>
        <v>&gt; 44 tahun</v>
      </c>
      <c r="K1120" s="19">
        <f>IFERROR(__xludf.DUMMYFUNCTION("""COMPUTED_VALUE"""),26885.0)</f>
        <v>26885</v>
      </c>
      <c r="L1120" s="19" t="str">
        <f>IFERROR(__xludf.DUMMYFUNCTION("""COMPUTED_VALUE"""),"LAKI-LAKI")</f>
        <v>LAKI-LAKI</v>
      </c>
      <c r="M1120" s="16" t="str">
        <f>IFERROR(__xludf.DUMMYFUNCTION("""COMPUTED_VALUE"""),"DUSUN TURBA ( SUNGAI ASAM )")</f>
        <v>DUSUN TURBA ( SUNGAI ASAM )</v>
      </c>
      <c r="N1120" s="16" t="str">
        <f>IFERROR(__xludf.DUMMYFUNCTION("""COMPUTED_VALUE"""),"DSN. TURBA")</f>
        <v>DSN. TURBA</v>
      </c>
      <c r="O1120" s="16" t="str">
        <f>IFERROR(__xludf.DUMMYFUNCTION("""COMPUTED_VALUE"""),"KEC. SUNGAI RAYA")</f>
        <v>KEC. SUNGAI RAYA</v>
      </c>
      <c r="P1120" s="16" t="str">
        <f>IFERROR(__xludf.DUMMYFUNCTION("""COMPUTED_VALUE"""),"KAB.TEBANG KACANG")</f>
        <v>KAB.TEBANG KACANG</v>
      </c>
      <c r="Q1120" s="16" t="str">
        <f>IFERROR(__xludf.DUMMYFUNCTION("""COMPUTED_VALUE"""),"KALIMANTAN BARAT")</f>
        <v>KALIMANTAN BARAT</v>
      </c>
      <c r="R1120" s="19" t="str">
        <f>IFERROR(__xludf.DUMMYFUNCTION("""COMPUTED_VALUE"""),"ISLAM")</f>
        <v>ISLAM</v>
      </c>
      <c r="S1120" s="16" t="str">
        <f>IFERROR(__xludf.DUMMYFUNCTION("""COMPUTED_VALUE"""),"SWASTA")</f>
        <v>SWASTA</v>
      </c>
      <c r="T1120" s="16" t="str">
        <f>IFERROR(__xludf.DUMMYFUNCTION("""COMPUTED_VALUE"""),"kaki lemah")</f>
        <v>kaki lemah</v>
      </c>
      <c r="U1120" s="16" t="str">
        <f>IFERROR(__xludf.DUMMYFUNCTION("""COMPUTED_VALUE"""),"Jalan - jalan")</f>
        <v>Jalan - jalan</v>
      </c>
      <c r="V1120" s="11" t="str">
        <f>IFERROR(__xludf.DUMMYFUNCTION("""COMPUTED_VALUE"""),"085391155544")</f>
        <v>085391155544</v>
      </c>
      <c r="W1120" s="15"/>
    </row>
    <row r="1121" ht="22.5" customHeight="1">
      <c r="A1121" s="40"/>
      <c r="B1121" s="9">
        <f>IFERROR(__xludf.DUMMYFUNCTION("""COMPUTED_VALUE"""),45343.685383923614)</f>
        <v>45343.68538</v>
      </c>
      <c r="C1121" s="9"/>
      <c r="D1121" s="10">
        <f>IFERROR(__xludf.DUMMYFUNCTION("""COMPUTED_VALUE"""),45346.0)</f>
        <v>45346</v>
      </c>
      <c r="E1121" s="10" t="str">
        <f>IFERROR(__xludf.DUMMYFUNCTION("""COMPUTED_VALUE"""),"02Feb")</f>
        <v>02Feb</v>
      </c>
      <c r="F1121" s="10" t="str">
        <f>IFERROR(__xludf.DUMMYFUNCTION("""COMPUTED_VALUE"""),"2024")</f>
        <v>2024</v>
      </c>
      <c r="G1121" s="16" t="str">
        <f>IFERROR(__xludf.DUMMYFUNCTION("""COMPUTED_VALUE"""),"EVI BARONA WATI")</f>
        <v>EVI BARONA WATI</v>
      </c>
      <c r="H1121" s="17" t="str">
        <f>IFERROR(__xludf.DUMMYFUNCTION("""COMPUTED_VALUE"""),"E7524026604")</f>
        <v>E7524026604</v>
      </c>
      <c r="I1121" s="17">
        <f>IFERROR(__xludf.DUMMYFUNCTION("""COMPUTED_VALUE"""),50.0)</f>
        <v>50</v>
      </c>
      <c r="J1121" s="17" t="str">
        <f>IFERROR(__xludf.DUMMYFUNCTION("""COMPUTED_VALUE"""),"&gt; 44 tahun")</f>
        <v>&gt; 44 tahun</v>
      </c>
      <c r="K1121" s="19">
        <f>IFERROR(__xludf.DUMMYFUNCTION("""COMPUTED_VALUE"""),27703.0)</f>
        <v>27703</v>
      </c>
      <c r="L1121" s="19" t="str">
        <f>IFERROR(__xludf.DUMMYFUNCTION("""COMPUTED_VALUE"""),"PEREMPUAN")</f>
        <v>PEREMPUAN</v>
      </c>
      <c r="M1121" s="36" t="str">
        <f>IFERROR(__xludf.DUMMYFUNCTION("""COMPUTED_VALUE"""),"JALAN PARIS 2 GANG KARYA 6 NO. 2 A")</f>
        <v>JALAN PARIS 2 GANG KARYA 6 NO. 2 A</v>
      </c>
      <c r="N1121" s="16" t="str">
        <f>IFERROR(__xludf.DUMMYFUNCTION("""COMPUTED_VALUE"""),"KEL. PONTIANAK TENGGARA")</f>
        <v>KEL. PONTIANAK TENGGARA</v>
      </c>
      <c r="O1121" s="16" t="str">
        <f>IFERROR(__xludf.DUMMYFUNCTION("""COMPUTED_VALUE"""),"KEC. PONTIANAK TENGGARA")</f>
        <v>KEC. PONTIANAK TENGGARA</v>
      </c>
      <c r="P1121" s="16" t="str">
        <f>IFERROR(__xludf.DUMMYFUNCTION("""COMPUTED_VALUE"""),"KOTA PONTIANAK")</f>
        <v>KOTA PONTIANAK</v>
      </c>
      <c r="Q1121" s="16" t="str">
        <f>IFERROR(__xludf.DUMMYFUNCTION("""COMPUTED_VALUE"""),"KALIMANTAN BARAT")</f>
        <v>KALIMANTAN BARAT</v>
      </c>
      <c r="R1121" s="19" t="str">
        <f>IFERROR(__xludf.DUMMYFUNCTION("""COMPUTED_VALUE"""),"ISLAM")</f>
        <v>ISLAM</v>
      </c>
      <c r="S1121" s="16" t="str">
        <f>IFERROR(__xludf.DUMMYFUNCTION("""COMPUTED_VALUE"""),"RUMAH TANGGA")</f>
        <v>RUMAH TANGGA</v>
      </c>
      <c r="T1121" s="16" t="str">
        <f>IFERROR(__xludf.DUMMYFUNCTION("""COMPUTED_VALUE"""),"Kaki terasa ketatik")</f>
        <v>Kaki terasa ketatik</v>
      </c>
      <c r="U1121" s="16" t="str">
        <f>IFERROR(__xludf.DUMMYFUNCTION("""COMPUTED_VALUE"""),"Irt")</f>
        <v>Irt</v>
      </c>
      <c r="V1121" s="11" t="str">
        <f>IFERROR(__xludf.DUMMYFUNCTION("""COMPUTED_VALUE"""),"081549286604")</f>
        <v>081549286604</v>
      </c>
      <c r="W1121" s="15"/>
    </row>
    <row r="1122" ht="22.5" customHeight="1">
      <c r="A1122" s="40"/>
      <c r="B1122" s="9">
        <f>IFERROR(__xludf.DUMMYFUNCTION("""COMPUTED_VALUE"""),45343.81415547454)</f>
        <v>45343.81416</v>
      </c>
      <c r="C1122" s="9"/>
      <c r="D1122" s="10">
        <f>IFERROR(__xludf.DUMMYFUNCTION("""COMPUTED_VALUE"""),45346.0)</f>
        <v>45346</v>
      </c>
      <c r="E1122" s="10" t="str">
        <f>IFERROR(__xludf.DUMMYFUNCTION("""COMPUTED_VALUE"""),"02Feb")</f>
        <v>02Feb</v>
      </c>
      <c r="F1122" s="10" t="str">
        <f>IFERROR(__xludf.DUMMYFUNCTION("""COMPUTED_VALUE"""),"2024")</f>
        <v>2024</v>
      </c>
      <c r="G1122" s="16" t="str">
        <f>IFERROR(__xludf.DUMMYFUNCTION("""COMPUTED_VALUE"""),"GALUH KUSUMA DHEWY")</f>
        <v>GALUH KUSUMA DHEWY</v>
      </c>
      <c r="H1122" s="17" t="str">
        <f>IFERROR(__xludf.DUMMYFUNCTION("""COMPUTED_VALUE"""),"G9424026161")</f>
        <v>G9424026161</v>
      </c>
      <c r="I1122" s="17">
        <f>IFERROR(__xludf.DUMMYFUNCTION("""COMPUTED_VALUE"""),31.0)</f>
        <v>31</v>
      </c>
      <c r="J1122" s="17" t="str">
        <f>IFERROR(__xludf.DUMMYFUNCTION("""COMPUTED_VALUE"""),"25-34 tahun")</f>
        <v>25-34 tahun</v>
      </c>
      <c r="K1122" s="19">
        <f>IFERROR(__xludf.DUMMYFUNCTION("""COMPUTED_VALUE"""),34512.0)</f>
        <v>34512</v>
      </c>
      <c r="L1122" s="19" t="str">
        <f>IFERROR(__xludf.DUMMYFUNCTION("""COMPUTED_VALUE"""),"PEREMPUAN")</f>
        <v>PEREMPUAN</v>
      </c>
      <c r="M1122" s="16" t="str">
        <f>IFERROR(__xludf.DUMMYFUNCTION("""COMPUTED_VALUE"""),"JL. TENTARA PELAJAR")</f>
        <v>JL. TENTARA PELAJAR</v>
      </c>
      <c r="N1122" s="16" t="str">
        <f>IFERROR(__xludf.DUMMYFUNCTION("""COMPUTED_VALUE"""),"DS. KEPEK")</f>
        <v>DS. KEPEK</v>
      </c>
      <c r="O1122" s="16" t="str">
        <f>IFERROR(__xludf.DUMMYFUNCTION("""COMPUTED_VALUE"""),"KEC. WONOSARI")</f>
        <v>KEC. WONOSARI</v>
      </c>
      <c r="P1122" s="16" t="str">
        <f>IFERROR(__xludf.DUMMYFUNCTION("""COMPUTED_VALUE"""),"KAB. GUNUNG KIDUL")</f>
        <v>KAB. GUNUNG KIDUL</v>
      </c>
      <c r="Q1122" s="16" t="str">
        <f>IFERROR(__xludf.DUMMYFUNCTION("""COMPUTED_VALUE"""),"DIY")</f>
        <v>DIY</v>
      </c>
      <c r="R1122" s="19" t="str">
        <f>IFERROR(__xludf.DUMMYFUNCTION("""COMPUTED_VALUE"""),"PROTESTAN")</f>
        <v>PROTESTAN</v>
      </c>
      <c r="S1122" s="16" t="str">
        <f>IFERROR(__xludf.DUMMYFUNCTION("""COMPUTED_VALUE"""),"DOKTER")</f>
        <v>DOKTER</v>
      </c>
      <c r="T1122" s="16" t="str">
        <f>IFERROR(__xludf.DUMMYFUNCTION("""COMPUTED_VALUE"""),"Nyeri")</f>
        <v>Nyeri</v>
      </c>
      <c r="U1122" s="16" t="str">
        <f>IFERROR(__xludf.DUMMYFUNCTION("""COMPUTED_VALUE"""),"Gym, lari")</f>
        <v>Gym, lari</v>
      </c>
      <c r="V1122" s="11" t="str">
        <f>IFERROR(__xludf.DUMMYFUNCTION("""COMPUTED_VALUE"""),"081228946161")</f>
        <v>081228946161</v>
      </c>
      <c r="W1122" s="15"/>
    </row>
    <row r="1123" ht="22.5" customHeight="1">
      <c r="A1123" s="40"/>
      <c r="B1123" s="9">
        <f>IFERROR(__xludf.DUMMYFUNCTION("""COMPUTED_VALUE"""),45343.8630440625)</f>
        <v>45343.86304</v>
      </c>
      <c r="C1123" s="9"/>
      <c r="D1123" s="10">
        <f>IFERROR(__xludf.DUMMYFUNCTION("""COMPUTED_VALUE"""),45346.0)</f>
        <v>45346</v>
      </c>
      <c r="E1123" s="10" t="str">
        <f>IFERROR(__xludf.DUMMYFUNCTION("""COMPUTED_VALUE"""),"02Feb")</f>
        <v>02Feb</v>
      </c>
      <c r="F1123" s="10" t="str">
        <f>IFERROR(__xludf.DUMMYFUNCTION("""COMPUTED_VALUE"""),"2024")</f>
        <v>2024</v>
      </c>
      <c r="G1123" s="16" t="str">
        <f>IFERROR(__xludf.DUMMYFUNCTION("""COMPUTED_VALUE"""),"H SUWANDI M NOOR")</f>
        <v>H SUWANDI M NOOR</v>
      </c>
      <c r="H1123" s="17" t="str">
        <f>IFERROR(__xludf.DUMMYFUNCTION("""COMPUTED_VALUE"""),"H6124024288")</f>
        <v>H6124024288</v>
      </c>
      <c r="I1123" s="17">
        <f>IFERROR(__xludf.DUMMYFUNCTION("""COMPUTED_VALUE"""),64.0)</f>
        <v>64</v>
      </c>
      <c r="J1123" s="17" t="str">
        <f>IFERROR(__xludf.DUMMYFUNCTION("""COMPUTED_VALUE"""),"&gt; 44 tahun")</f>
        <v>&gt; 44 tahun</v>
      </c>
      <c r="K1123" s="19">
        <f>IFERROR(__xludf.DUMMYFUNCTION("""COMPUTED_VALUE"""),22517.0)</f>
        <v>22517</v>
      </c>
      <c r="L1123" s="19" t="str">
        <f>IFERROR(__xludf.DUMMYFUNCTION("""COMPUTED_VALUE"""),"LAKI-LAKI")</f>
        <v>LAKI-LAKI</v>
      </c>
      <c r="M1123" s="16" t="str">
        <f>IFERROR(__xludf.DUMMYFUNCTION("""COMPUTED_VALUE"""),"JL M YAMIN GG SEKADIM")</f>
        <v>JL M YAMIN GG SEKADIM</v>
      </c>
      <c r="N1123" s="16" t="str">
        <f>IFERROR(__xludf.DUMMYFUNCTION("""COMPUTED_VALUE"""),"KEL. KOTA BARU")</f>
        <v>KEL. KOTA BARU</v>
      </c>
      <c r="O1123" s="16" t="str">
        <f>IFERROR(__xludf.DUMMYFUNCTION("""COMPUTED_VALUE"""),"KEC. PONTIANAK SELATAN")</f>
        <v>KEC. PONTIANAK SELATAN</v>
      </c>
      <c r="P1123" s="16" t="str">
        <f>IFERROR(__xludf.DUMMYFUNCTION("""COMPUTED_VALUE"""),"KOTA PONTIANAK")</f>
        <v>KOTA PONTIANAK</v>
      </c>
      <c r="Q1123" s="16" t="str">
        <f>IFERROR(__xludf.DUMMYFUNCTION("""COMPUTED_VALUE"""),"KALIMANTAN BARAT")</f>
        <v>KALIMANTAN BARAT</v>
      </c>
      <c r="R1123" s="19" t="str">
        <f>IFERROR(__xludf.DUMMYFUNCTION("""COMPUTED_VALUE"""),"ISLAM")</f>
        <v>ISLAM</v>
      </c>
      <c r="S1123" s="16" t="str">
        <f>IFERROR(__xludf.DUMMYFUNCTION("""COMPUTED_VALUE"""),"PENSIUN")</f>
        <v>PENSIUN</v>
      </c>
      <c r="T1123" s="16" t="str">
        <f>IFERROR(__xludf.DUMMYFUNCTION("""COMPUTED_VALUE"""),"Stroke")</f>
        <v>Stroke</v>
      </c>
      <c r="U1123" s="16" t="str">
        <f>IFERROR(__xludf.DUMMYFUNCTION("""COMPUTED_VALUE"""),"Jalan")</f>
        <v>Jalan</v>
      </c>
      <c r="V1123" s="11" t="str">
        <f>IFERROR(__xludf.DUMMYFUNCTION("""COMPUTED_VALUE"""),"081559884288")</f>
        <v>081559884288</v>
      </c>
      <c r="W1123" s="15"/>
    </row>
    <row r="1124" ht="22.5" customHeight="1">
      <c r="A1124" s="40"/>
      <c r="B1124" s="9">
        <f>IFERROR(__xludf.DUMMYFUNCTION("""COMPUTED_VALUE"""),45344.32610494213)</f>
        <v>45344.3261</v>
      </c>
      <c r="C1124" s="9"/>
      <c r="D1124" s="10">
        <f>IFERROR(__xludf.DUMMYFUNCTION("""COMPUTED_VALUE"""),45346.0)</f>
        <v>45346</v>
      </c>
      <c r="E1124" s="10" t="str">
        <f>IFERROR(__xludf.DUMMYFUNCTION("""COMPUTED_VALUE"""),"02Feb")</f>
        <v>02Feb</v>
      </c>
      <c r="F1124" s="10" t="str">
        <f>IFERROR(__xludf.DUMMYFUNCTION("""COMPUTED_VALUE"""),"2024")</f>
        <v>2024</v>
      </c>
      <c r="G1124" s="16" t="str">
        <f>IFERROR(__xludf.DUMMYFUNCTION("""COMPUTED_VALUE"""),"BARTOLOMEUS")</f>
        <v>BARTOLOMEUS</v>
      </c>
      <c r="H1124" s="17" t="str">
        <f>IFERROR(__xludf.DUMMYFUNCTION("""COMPUTED_VALUE"""),"B8924022946")</f>
        <v>B8924022946</v>
      </c>
      <c r="I1124" s="17">
        <f>IFERROR(__xludf.DUMMYFUNCTION("""COMPUTED_VALUE"""),36.0)</f>
        <v>36</v>
      </c>
      <c r="J1124" s="17" t="str">
        <f>IFERROR(__xludf.DUMMYFUNCTION("""COMPUTED_VALUE"""),"35-44 tahun")</f>
        <v>35-44 tahun</v>
      </c>
      <c r="K1124" s="19">
        <f>IFERROR(__xludf.DUMMYFUNCTION("""COMPUTED_VALUE"""),32748.0)</f>
        <v>32748</v>
      </c>
      <c r="L1124" s="19" t="str">
        <f>IFERROR(__xludf.DUMMYFUNCTION("""COMPUTED_VALUE"""),"LAKI-LAKI")</f>
        <v>LAKI-LAKI</v>
      </c>
      <c r="M1124" s="16" t="str">
        <f>IFERROR(__xludf.DUMMYFUNCTION("""COMPUTED_VALUE"""),"JL PRASETYA")</f>
        <v>JL PRASETYA</v>
      </c>
      <c r="N1124" s="16" t="str">
        <f>IFERROR(__xludf.DUMMYFUNCTION("""COMPUTED_VALUE"""),"KEL. SUNGAI RAYA DALAM")</f>
        <v>KEL. SUNGAI RAYA DALAM</v>
      </c>
      <c r="O1124" s="16" t="str">
        <f>IFERROR(__xludf.DUMMYFUNCTION("""COMPUTED_VALUE"""),"KEC. SUNGAI RAYA")</f>
        <v>KEC. SUNGAI RAYA</v>
      </c>
      <c r="P1124" s="16" t="str">
        <f>IFERROR(__xludf.DUMMYFUNCTION("""COMPUTED_VALUE"""),"KAB. KUBU RAYA")</f>
        <v>KAB. KUBU RAYA</v>
      </c>
      <c r="Q1124" s="16" t="str">
        <f>IFERROR(__xludf.DUMMYFUNCTION("""COMPUTED_VALUE"""),"KALIMANTAN BARAT")</f>
        <v>KALIMANTAN BARAT</v>
      </c>
      <c r="R1124" s="19" t="str">
        <f>IFERROR(__xludf.DUMMYFUNCTION("""COMPUTED_VALUE"""),"KATOLIK")</f>
        <v>KATOLIK</v>
      </c>
      <c r="S1124" s="16" t="str">
        <f>IFERROR(__xludf.DUMMYFUNCTION("""COMPUTED_VALUE"""),"SWASTA")</f>
        <v>SWASTA</v>
      </c>
      <c r="T1124" s="16" t="str">
        <f>IFERROR(__xludf.DUMMYFUNCTION("""COMPUTED_VALUE"""),"nyeri habis futsal")</f>
        <v>nyeri habis futsal</v>
      </c>
      <c r="U1124" s="16" t="str">
        <f>IFERROR(__xludf.DUMMYFUNCTION("""COMPUTED_VALUE"""),"Futsal")</f>
        <v>Futsal</v>
      </c>
      <c r="V1124" s="11" t="str">
        <f>IFERROR(__xludf.DUMMYFUNCTION("""COMPUTED_VALUE"""),"081257272946")</f>
        <v>081257272946</v>
      </c>
      <c r="W1124" s="15"/>
    </row>
    <row r="1125" ht="22.5" customHeight="1">
      <c r="A1125" s="40"/>
      <c r="B1125" s="9">
        <f>IFERROR(__xludf.DUMMYFUNCTION("""COMPUTED_VALUE"""),45344.40447771991)</f>
        <v>45344.40448</v>
      </c>
      <c r="C1125" s="9"/>
      <c r="D1125" s="10">
        <f>IFERROR(__xludf.DUMMYFUNCTION("""COMPUTED_VALUE"""),45347.0)</f>
        <v>45347</v>
      </c>
      <c r="E1125" s="10" t="str">
        <f>IFERROR(__xludf.DUMMYFUNCTION("""COMPUTED_VALUE"""),"02Feb")</f>
        <v>02Feb</v>
      </c>
      <c r="F1125" s="10" t="str">
        <f>IFERROR(__xludf.DUMMYFUNCTION("""COMPUTED_VALUE"""),"2024")</f>
        <v>2024</v>
      </c>
      <c r="G1125" s="35" t="str">
        <f>IFERROR(__xludf.DUMMYFUNCTION("""COMPUTED_VALUE"""),"REZA NUGRAHA")</f>
        <v>REZA NUGRAHA</v>
      </c>
      <c r="H1125" s="17" t="str">
        <f>IFERROR(__xludf.DUMMYFUNCTION("""COMPUTED_VALUE"""),"R8924023579")</f>
        <v>R8924023579</v>
      </c>
      <c r="I1125" s="17">
        <f>IFERROR(__xludf.DUMMYFUNCTION("""COMPUTED_VALUE"""),36.0)</f>
        <v>36</v>
      </c>
      <c r="J1125" s="17" t="str">
        <f>IFERROR(__xludf.DUMMYFUNCTION("""COMPUTED_VALUE"""),"35-44 tahun")</f>
        <v>35-44 tahun</v>
      </c>
      <c r="K1125" s="19">
        <f>IFERROR(__xludf.DUMMYFUNCTION("""COMPUTED_VALUE"""),32727.0)</f>
        <v>32727</v>
      </c>
      <c r="L1125" s="19" t="str">
        <f>IFERROR(__xludf.DUMMYFUNCTION("""COMPUTED_VALUE"""),"LAKI-LAKI")</f>
        <v>LAKI-LAKI</v>
      </c>
      <c r="M1125" s="16" t="str">
        <f>IFERROR(__xludf.DUMMYFUNCTION("""COMPUTED_VALUE"""),"JL. HM SUWIGNYO GG. KEMAKMURAN NO. 4A")</f>
        <v>JL. HM SUWIGNYO GG. KEMAKMURAN NO. 4A</v>
      </c>
      <c r="N1125" s="16" t="str">
        <f>IFERROR(__xludf.DUMMYFUNCTION("""COMPUTED_VALUE"""),"KEL. SUNGAI BANGKONG")</f>
        <v>KEL. SUNGAI BANGKONG</v>
      </c>
      <c r="O1125" s="16" t="str">
        <f>IFERROR(__xludf.DUMMYFUNCTION("""COMPUTED_VALUE"""),"KEC. PONTIANAK KOTA")</f>
        <v>KEC. PONTIANAK KOTA</v>
      </c>
      <c r="P1125" s="16" t="str">
        <f>IFERROR(__xludf.DUMMYFUNCTION("""COMPUTED_VALUE"""),"KOTA PONTIANAK")</f>
        <v>KOTA PONTIANAK</v>
      </c>
      <c r="Q1125" s="16" t="str">
        <f>IFERROR(__xludf.DUMMYFUNCTION("""COMPUTED_VALUE"""),"KALIMANTAN BARAT")</f>
        <v>KALIMANTAN BARAT</v>
      </c>
      <c r="R1125" s="19" t="str">
        <f>IFERROR(__xludf.DUMMYFUNCTION("""COMPUTED_VALUE"""),"ISLAM")</f>
        <v>ISLAM</v>
      </c>
      <c r="S1125" s="16" t="str">
        <f>IFERROR(__xludf.DUMMYFUNCTION("""COMPUTED_VALUE"""),"ASN")</f>
        <v>ASN</v>
      </c>
      <c r="T1125" s="16" t="str">
        <f>IFERROR(__xludf.DUMMYFUNCTION("""COMPUTED_VALUE"""),"kiri tidak bisa menekuk maksimal")</f>
        <v>kiri tidak bisa menekuk maksimal</v>
      </c>
      <c r="U1125" s="16" t="str">
        <f>IFERROR(__xludf.DUMMYFUNCTION("""COMPUTED_VALUE"""),"Kantoran; OR: badminton, renang, cross training")</f>
        <v>Kantoran; OR: badminton, renang, cross training</v>
      </c>
      <c r="V1125" s="11" t="str">
        <f>IFERROR(__xludf.DUMMYFUNCTION("""COMPUTED_VALUE"""),"082154253579")</f>
        <v>082154253579</v>
      </c>
      <c r="W1125" s="15"/>
    </row>
    <row r="1126" ht="22.5" customHeight="1">
      <c r="A1126" s="40"/>
      <c r="B1126" s="9">
        <f>IFERROR(__xludf.DUMMYFUNCTION("""COMPUTED_VALUE"""),45344.53679370371)</f>
        <v>45344.53679</v>
      </c>
      <c r="C1126" s="9"/>
      <c r="D1126" s="10">
        <f>IFERROR(__xludf.DUMMYFUNCTION("""COMPUTED_VALUE"""),45347.0)</f>
        <v>45347</v>
      </c>
      <c r="E1126" s="10" t="str">
        <f>IFERROR(__xludf.DUMMYFUNCTION("""COMPUTED_VALUE"""),"02Feb")</f>
        <v>02Feb</v>
      </c>
      <c r="F1126" s="10" t="str">
        <f>IFERROR(__xludf.DUMMYFUNCTION("""COMPUTED_VALUE"""),"2024")</f>
        <v>2024</v>
      </c>
      <c r="G1126" s="35" t="str">
        <f>IFERROR(__xludf.DUMMYFUNCTION("""COMPUTED_VALUE"""),"ANDHANIKA EVANUS APRI YAHYA")</f>
        <v>ANDHANIKA EVANUS APRI YAHYA</v>
      </c>
      <c r="H1126" s="17" t="str">
        <f>IFERROR(__xludf.DUMMYFUNCTION("""COMPUTED_VALUE"""),"A0124026708")</f>
        <v>A0124026708</v>
      </c>
      <c r="I1126" s="17">
        <f>IFERROR(__xludf.DUMMYFUNCTION("""COMPUTED_VALUE"""),25.0)</f>
        <v>25</v>
      </c>
      <c r="J1126" s="17" t="str">
        <f>IFERROR(__xludf.DUMMYFUNCTION("""COMPUTED_VALUE"""),"25-34 tahun")</f>
        <v>25-34 tahun</v>
      </c>
      <c r="K1126" s="19">
        <f>IFERROR(__xludf.DUMMYFUNCTION("""COMPUTED_VALUE"""),37000.0)</f>
        <v>37000</v>
      </c>
      <c r="L1126" s="19" t="str">
        <f>IFERROR(__xludf.DUMMYFUNCTION("""COMPUTED_VALUE"""),"LAKI-LAKI")</f>
        <v>LAKI-LAKI</v>
      </c>
      <c r="M1126" s="16" t="str">
        <f>IFERROR(__xludf.DUMMYFUNCTION("""COMPUTED_VALUE"""),"JALAN KESEHATAN GANG SINAR USAHA DALAM NO 27B")</f>
        <v>JALAN KESEHATAN GANG SINAR USAHA DALAM NO 27B</v>
      </c>
      <c r="N1126" s="16" t="str">
        <f>IFERROR(__xludf.DUMMYFUNCTION("""COMPUTED_VALUE"""),"KEL. KOTA BARU")</f>
        <v>KEL. KOTA BARU</v>
      </c>
      <c r="O1126" s="16" t="str">
        <f>IFERROR(__xludf.DUMMYFUNCTION("""COMPUTED_VALUE"""),"KEC. PONTIANAK SELATAN")</f>
        <v>KEC. PONTIANAK SELATAN</v>
      </c>
      <c r="P1126" s="16" t="str">
        <f>IFERROR(__xludf.DUMMYFUNCTION("""COMPUTED_VALUE"""),"KOTA PONTIANAK")</f>
        <v>KOTA PONTIANAK</v>
      </c>
      <c r="Q1126" s="16" t="str">
        <f>IFERROR(__xludf.DUMMYFUNCTION("""COMPUTED_VALUE"""),"KALIMANTAN BARAT")</f>
        <v>KALIMANTAN BARAT</v>
      </c>
      <c r="R1126" s="19" t="str">
        <f>IFERROR(__xludf.DUMMYFUNCTION("""COMPUTED_VALUE"""),"PROTESTAN")</f>
        <v>PROTESTAN</v>
      </c>
      <c r="S1126" s="16" t="str">
        <f>IFERROR(__xludf.DUMMYFUNCTION("""COMPUTED_VALUE"""),"DOSEN/GURU")</f>
        <v>DOSEN/GURU</v>
      </c>
      <c r="T1126" s="16" t="str">
        <f>IFERROR(__xludf.DUMMYFUNCTION("""COMPUTED_VALUE"""),"Sakit pada kaki di bagian kanan")</f>
        <v>Sakit pada kaki di bagian kanan</v>
      </c>
      <c r="U1126" s="16" t="str">
        <f>IFERROR(__xludf.DUMMYFUNCTION("""COMPUTED_VALUE"""),"Olahraga")</f>
        <v>Olahraga</v>
      </c>
      <c r="V1126" s="11" t="str">
        <f>IFERROR(__xludf.DUMMYFUNCTION("""COMPUTED_VALUE"""),"082253146708")</f>
        <v>082253146708</v>
      </c>
      <c r="W1126" s="15"/>
    </row>
    <row r="1127" ht="22.5" customHeight="1">
      <c r="A1127" s="40"/>
      <c r="B1127" s="9">
        <f>IFERROR(__xludf.DUMMYFUNCTION("""COMPUTED_VALUE"""),45344.53944309028)</f>
        <v>45344.53944</v>
      </c>
      <c r="C1127" s="9"/>
      <c r="D1127" s="10">
        <f>IFERROR(__xludf.DUMMYFUNCTION("""COMPUTED_VALUE"""),45348.0)</f>
        <v>45348</v>
      </c>
      <c r="E1127" s="10" t="str">
        <f>IFERROR(__xludf.DUMMYFUNCTION("""COMPUTED_VALUE"""),"02Feb")</f>
        <v>02Feb</v>
      </c>
      <c r="F1127" s="10" t="str">
        <f>IFERROR(__xludf.DUMMYFUNCTION("""COMPUTED_VALUE"""),"2024")</f>
        <v>2024</v>
      </c>
      <c r="G1127" s="35" t="str">
        <f>IFERROR(__xludf.DUMMYFUNCTION("""COMPUTED_VALUE"""),"TRI HENDRI")</f>
        <v>TRI HENDRI</v>
      </c>
      <c r="H1127" s="17" t="str">
        <f>IFERROR(__xludf.DUMMYFUNCTION("""COMPUTED_VALUE"""),"T0024029074")</f>
        <v>T0024029074</v>
      </c>
      <c r="I1127" s="17">
        <f>IFERROR(__xludf.DUMMYFUNCTION("""COMPUTED_VALUE"""),25.0)</f>
        <v>25</v>
      </c>
      <c r="J1127" s="17" t="str">
        <f>IFERROR(__xludf.DUMMYFUNCTION("""COMPUTED_VALUE"""),"25-34 tahun")</f>
        <v>25-34 tahun</v>
      </c>
      <c r="K1127" s="19">
        <f>IFERROR(__xludf.DUMMYFUNCTION("""COMPUTED_VALUE"""),36867.0)</f>
        <v>36867</v>
      </c>
      <c r="L1127" s="19" t="str">
        <f>IFERROR(__xludf.DUMMYFUNCTION("""COMPUTED_VALUE"""),"LAKI-LAKI")</f>
        <v>LAKI-LAKI</v>
      </c>
      <c r="M1127" s="16" t="str">
        <f>IFERROR(__xludf.DUMMYFUNCTION("""COMPUTED_VALUE"""),"JL DEMANG AKUB")</f>
        <v>JL DEMANG AKUB</v>
      </c>
      <c r="N1127" s="16" t="str">
        <f>IFERROR(__xludf.DUMMYFUNCTION("""COMPUTED_VALUE"""),"KEL. SUNGAI RASAU")</f>
        <v>KEL. SUNGAI RASAU</v>
      </c>
      <c r="O1127" s="16" t="str">
        <f>IFERROR(__xludf.DUMMYFUNCTION("""COMPUTED_VALUE"""),"KEC. SINGKAWANG UTARA")</f>
        <v>KEC. SINGKAWANG UTARA</v>
      </c>
      <c r="P1127" s="16" t="str">
        <f>IFERROR(__xludf.DUMMYFUNCTION("""COMPUTED_VALUE"""),"KOTA SINGKAWANG")</f>
        <v>KOTA SINGKAWANG</v>
      </c>
      <c r="Q1127" s="16" t="str">
        <f>IFERROR(__xludf.DUMMYFUNCTION("""COMPUTED_VALUE"""),"KALIMANTAN BARAT")</f>
        <v>KALIMANTAN BARAT</v>
      </c>
      <c r="R1127" s="19" t="str">
        <f>IFERROR(__xludf.DUMMYFUNCTION("""COMPUTED_VALUE"""),"ISLAM")</f>
        <v>ISLAM</v>
      </c>
      <c r="S1127" s="16" t="str">
        <f>IFERROR(__xludf.DUMMYFUNCTION("""COMPUTED_VALUE"""),"PELAJAR/MAHASISWA")</f>
        <v>PELAJAR/MAHASISWA</v>
      </c>
      <c r="T1127" s="16" t="str">
        <f>IFERROR(__xludf.DUMMYFUNCTION("""COMPUTED_VALUE"""),"CEDERA")</f>
        <v>CEDERA</v>
      </c>
      <c r="U1127" s="16" t="str">
        <f>IFERROR(__xludf.DUMMYFUNCTION("""COMPUTED_VALUE"""),"SEPAK BOLA")</f>
        <v>SEPAK BOLA</v>
      </c>
      <c r="V1127" s="11" t="str">
        <f>IFERROR(__xludf.DUMMYFUNCTION("""COMPUTED_VALUE"""),"083151569074")</f>
        <v>083151569074</v>
      </c>
      <c r="W1127" s="15"/>
    </row>
    <row r="1128" ht="22.5" customHeight="1">
      <c r="A1128" s="40"/>
      <c r="B1128" s="9">
        <f>IFERROR(__xludf.DUMMYFUNCTION("""COMPUTED_VALUE"""),45344.539641828705)</f>
        <v>45344.53964</v>
      </c>
      <c r="C1128" s="9"/>
      <c r="D1128" s="10">
        <f>IFERROR(__xludf.DUMMYFUNCTION("""COMPUTED_VALUE"""),45349.0)</f>
        <v>45349</v>
      </c>
      <c r="E1128" s="10" t="str">
        <f>IFERROR(__xludf.DUMMYFUNCTION("""COMPUTED_VALUE"""),"02Feb")</f>
        <v>02Feb</v>
      </c>
      <c r="F1128" s="10" t="str">
        <f>IFERROR(__xludf.DUMMYFUNCTION("""COMPUTED_VALUE"""),"2024")</f>
        <v>2024</v>
      </c>
      <c r="G1128" s="35" t="str">
        <f>IFERROR(__xludf.DUMMYFUNCTION("""COMPUTED_VALUE"""),"ANDRI TRIYADI")</f>
        <v>ANDRI TRIYADI</v>
      </c>
      <c r="H1128" s="17" t="str">
        <f>IFERROR(__xludf.DUMMYFUNCTION("""COMPUTED_VALUE"""),"A0524027812")</f>
        <v>A0524027812</v>
      </c>
      <c r="I1128" s="17">
        <f>IFERROR(__xludf.DUMMYFUNCTION("""COMPUTED_VALUE"""),21.0)</f>
        <v>21</v>
      </c>
      <c r="J1128" s="17" t="str">
        <f>IFERROR(__xludf.DUMMYFUNCTION("""COMPUTED_VALUE"""),"18-24 tahun")</f>
        <v>18-24 tahun</v>
      </c>
      <c r="K1128" s="19">
        <f>IFERROR(__xludf.DUMMYFUNCTION("""COMPUTED_VALUE"""),38428.0)</f>
        <v>38428</v>
      </c>
      <c r="L1128" s="19" t="str">
        <f>IFERROR(__xludf.DUMMYFUNCTION("""COMPUTED_VALUE"""),"LAKI-LAKI")</f>
        <v>LAKI-LAKI</v>
      </c>
      <c r="M1128" s="16" t="str">
        <f>IFERROR(__xludf.DUMMYFUNCTION("""COMPUTED_VALUE"""),"TANJUNG RAYA 2,JL.SAMI SUMPING")</f>
        <v>TANJUNG RAYA 2,JL.SAMI SUMPING</v>
      </c>
      <c r="N1128" s="16" t="str">
        <f>IFERROR(__xludf.DUMMYFUNCTION("""COMPUTED_VALUE"""),"KEL. SAIGON")</f>
        <v>KEL. SAIGON</v>
      </c>
      <c r="O1128" s="16" t="str">
        <f>IFERROR(__xludf.DUMMYFUNCTION("""COMPUTED_VALUE"""),"KEC. PONTIANAK TIMUR")</f>
        <v>KEC. PONTIANAK TIMUR</v>
      </c>
      <c r="P1128" s="16" t="str">
        <f>IFERROR(__xludf.DUMMYFUNCTION("""COMPUTED_VALUE"""),"KOTA PONTIANAK")</f>
        <v>KOTA PONTIANAK</v>
      </c>
      <c r="Q1128" s="16" t="str">
        <f>IFERROR(__xludf.DUMMYFUNCTION("""COMPUTED_VALUE"""),"KALIMANTAN BARAT")</f>
        <v>KALIMANTAN BARAT</v>
      </c>
      <c r="R1128" s="19" t="str">
        <f>IFERROR(__xludf.DUMMYFUNCTION("""COMPUTED_VALUE"""),"ISLAM")</f>
        <v>ISLAM</v>
      </c>
      <c r="S1128" s="16" t="str">
        <f>IFERROR(__xludf.DUMMYFUNCTION("""COMPUTED_VALUE"""),"PELAJAR/MAHASISWA")</f>
        <v>PELAJAR/MAHASISWA</v>
      </c>
      <c r="T1128" s="16" t="str">
        <f>IFERROR(__xludf.DUMMYFUNCTION("""COMPUTED_VALUE"""),"Sakit kaki")</f>
        <v>Sakit kaki</v>
      </c>
      <c r="U1128" s="16" t="str">
        <f>IFERROR(__xludf.DUMMYFUNCTION("""COMPUTED_VALUE"""),"Lari")</f>
        <v>Lari</v>
      </c>
      <c r="V1128" s="11" t="str">
        <f>IFERROR(__xludf.DUMMYFUNCTION("""COMPUTED_VALUE"""),"089693937812")</f>
        <v>089693937812</v>
      </c>
      <c r="W1128" s="15"/>
    </row>
    <row r="1129" ht="22.5" customHeight="1">
      <c r="A1129" s="40"/>
      <c r="B1129" s="9">
        <f>IFERROR(__xludf.DUMMYFUNCTION("""COMPUTED_VALUE"""),45344.67955148148)</f>
        <v>45344.67955</v>
      </c>
      <c r="C1129" s="9"/>
      <c r="D1129" s="10">
        <f>IFERROR(__xludf.DUMMYFUNCTION("""COMPUTED_VALUE"""),45349.0)</f>
        <v>45349</v>
      </c>
      <c r="E1129" s="10" t="str">
        <f>IFERROR(__xludf.DUMMYFUNCTION("""COMPUTED_VALUE"""),"02Feb")</f>
        <v>02Feb</v>
      </c>
      <c r="F1129" s="10" t="str">
        <f>IFERROR(__xludf.DUMMYFUNCTION("""COMPUTED_VALUE"""),"2024")</f>
        <v>2024</v>
      </c>
      <c r="G1129" s="35" t="str">
        <f>IFERROR(__xludf.DUMMYFUNCTION("""COMPUTED_VALUE"""),"JEREMY RICHARD OSCARIAN DOO")</f>
        <v>JEREMY RICHARD OSCARIAN DOO</v>
      </c>
      <c r="H1129" s="17" t="str">
        <f>IFERROR(__xludf.DUMMYFUNCTION("""COMPUTED_VALUE"""),"J0724020818")</f>
        <v>J0724020818</v>
      </c>
      <c r="I1129" s="17">
        <f>IFERROR(__xludf.DUMMYFUNCTION("""COMPUTED_VALUE"""),19.0)</f>
        <v>19</v>
      </c>
      <c r="J1129" s="17" t="str">
        <f>IFERROR(__xludf.DUMMYFUNCTION("""COMPUTED_VALUE"""),"18-24 tahun")</f>
        <v>18-24 tahun</v>
      </c>
      <c r="K1129" s="19">
        <f>IFERROR(__xludf.DUMMYFUNCTION("""COMPUTED_VALUE"""),39184.0)</f>
        <v>39184</v>
      </c>
      <c r="L1129" s="19" t="str">
        <f>IFERROR(__xludf.DUMMYFUNCTION("""COMPUTED_VALUE"""),"LAKI-LAKI")</f>
        <v>LAKI-LAKI</v>
      </c>
      <c r="M1129" s="16" t="str">
        <f>IFERROR(__xludf.DUMMYFUNCTION("""COMPUTED_VALUE"""),"JLN.R.E.MARTADINATA, GG.BUNCIS, NO.16")</f>
        <v>JLN.R.E.MARTADINATA, GG.BUNCIS, NO.16</v>
      </c>
      <c r="N1129" s="16" t="str">
        <f>IFERROR(__xludf.DUMMYFUNCTION("""COMPUTED_VALUE"""),"KEL. SUNGAI JAWI LUAR")</f>
        <v>KEL. SUNGAI JAWI LUAR</v>
      </c>
      <c r="O1129" s="16" t="str">
        <f>IFERROR(__xludf.DUMMYFUNCTION("""COMPUTED_VALUE"""),"KEC. PONTIANAK BARAT")</f>
        <v>KEC. PONTIANAK BARAT</v>
      </c>
      <c r="P1129" s="16" t="str">
        <f>IFERROR(__xludf.DUMMYFUNCTION("""COMPUTED_VALUE"""),"KOTA PONTIANAK")</f>
        <v>KOTA PONTIANAK</v>
      </c>
      <c r="Q1129" s="16" t="str">
        <f>IFERROR(__xludf.DUMMYFUNCTION("""COMPUTED_VALUE"""),"KALIMANTAN BARAT")</f>
        <v>KALIMANTAN BARAT</v>
      </c>
      <c r="R1129" s="19" t="str">
        <f>IFERROR(__xludf.DUMMYFUNCTION("""COMPUTED_VALUE"""),"PROTESTAN")</f>
        <v>PROTESTAN</v>
      </c>
      <c r="S1129" s="16" t="str">
        <f>IFERROR(__xludf.DUMMYFUNCTION("""COMPUTED_VALUE"""),"PELAJAR/MAHASISWA")</f>
        <v>PELAJAR/MAHASISWA</v>
      </c>
      <c r="T1129" s="16" t="str">
        <f>IFERROR(__xludf.DUMMYFUNCTION("""COMPUTED_VALUE"""),"Sakit di pergelangan kaki")</f>
        <v>Sakit di pergelangan kaki</v>
      </c>
      <c r="U1129" s="16" t="str">
        <f>IFERROR(__xludf.DUMMYFUNCTION("""COMPUTED_VALUE"""),"Hobi: Futsal. Aktivitas sehari-hari: sekolah, gym")</f>
        <v>Hobi: Futsal. Aktivitas sehari-hari: sekolah, gym</v>
      </c>
      <c r="V1129" s="11" t="str">
        <f>IFERROR(__xludf.DUMMYFUNCTION("""COMPUTED_VALUE"""),"081256600818")</f>
        <v>081256600818</v>
      </c>
      <c r="W1129" s="15"/>
    </row>
    <row r="1130" ht="22.5" customHeight="1">
      <c r="A1130" s="40"/>
      <c r="B1130" s="9">
        <f>IFERROR(__xludf.DUMMYFUNCTION("""COMPUTED_VALUE"""),45346.36743871528)</f>
        <v>45346.36744</v>
      </c>
      <c r="C1130" s="9"/>
      <c r="D1130" s="10">
        <f>IFERROR(__xludf.DUMMYFUNCTION("""COMPUTED_VALUE"""),45349.0)</f>
        <v>45349</v>
      </c>
      <c r="E1130" s="10" t="str">
        <f>IFERROR(__xludf.DUMMYFUNCTION("""COMPUTED_VALUE"""),"02Feb")</f>
        <v>02Feb</v>
      </c>
      <c r="F1130" s="10" t="str">
        <f>IFERROR(__xludf.DUMMYFUNCTION("""COMPUTED_VALUE"""),"2024")</f>
        <v>2024</v>
      </c>
      <c r="G1130" s="16" t="str">
        <f>IFERROR(__xludf.DUMMYFUNCTION("""COMPUTED_VALUE"""),"ADE SHANDRIE ARDIANSYAH")</f>
        <v>ADE SHANDRIE ARDIANSYAH</v>
      </c>
      <c r="H1130" s="17" t="str">
        <f>IFERROR(__xludf.DUMMYFUNCTION("""COMPUTED_VALUE"""),"A9824023305")</f>
        <v>A9824023305</v>
      </c>
      <c r="I1130" s="17">
        <f>IFERROR(__xludf.DUMMYFUNCTION("""COMPUTED_VALUE"""),27.0)</f>
        <v>27</v>
      </c>
      <c r="J1130" s="17" t="str">
        <f>IFERROR(__xludf.DUMMYFUNCTION("""COMPUTED_VALUE"""),"25-34 tahun")</f>
        <v>25-34 tahun</v>
      </c>
      <c r="K1130" s="19">
        <f>IFERROR(__xludf.DUMMYFUNCTION("""COMPUTED_VALUE"""),36003.0)</f>
        <v>36003</v>
      </c>
      <c r="L1130" s="19" t="str">
        <f>IFERROR(__xludf.DUMMYFUNCTION("""COMPUTED_VALUE"""),"LAKI-LAKI")</f>
        <v>LAKI-LAKI</v>
      </c>
      <c r="M1130" s="16" t="str">
        <f>IFERROR(__xludf.DUMMYFUNCTION("""COMPUTED_VALUE"""),"JL.NIRBAYA GG.SUKA DAMAI NO.2A")</f>
        <v>JL.NIRBAYA GG.SUKA DAMAI NO.2A</v>
      </c>
      <c r="N1130" s="16" t="str">
        <f>IFERROR(__xludf.DUMMYFUNCTION("""COMPUTED_VALUE"""),"KEL. KOTA BARU")</f>
        <v>KEL. KOTA BARU</v>
      </c>
      <c r="O1130" s="16" t="str">
        <f>IFERROR(__xludf.DUMMYFUNCTION("""COMPUTED_VALUE"""),"KEC. PONTIANAK SELATAN")</f>
        <v>KEC. PONTIANAK SELATAN</v>
      </c>
      <c r="P1130" s="16" t="str">
        <f>IFERROR(__xludf.DUMMYFUNCTION("""COMPUTED_VALUE"""),"KOTA PONTIANAK")</f>
        <v>KOTA PONTIANAK</v>
      </c>
      <c r="Q1130" s="16" t="str">
        <f>IFERROR(__xludf.DUMMYFUNCTION("""COMPUTED_VALUE"""),"KALIMANTAN BARAT")</f>
        <v>KALIMANTAN BARAT</v>
      </c>
      <c r="R1130" s="19" t="str">
        <f>IFERROR(__xludf.DUMMYFUNCTION("""COMPUTED_VALUE"""),"ISLAM")</f>
        <v>ISLAM</v>
      </c>
      <c r="S1130" s="16" t="str">
        <f>IFERROR(__xludf.DUMMYFUNCTION("""COMPUTED_VALUE"""),"TENAGA HONOR")</f>
        <v>TENAGA HONOR</v>
      </c>
      <c r="T1130" s="16" t="str">
        <f>IFERROR(__xludf.DUMMYFUNCTION("""COMPUTED_VALUE"""),"Sakit di bagian pinggang belakng")</f>
        <v>Sakit di bagian pinggang belakng</v>
      </c>
      <c r="U1130" s="16" t="str">
        <f>IFERROR(__xludf.DUMMYFUNCTION("""COMPUTED_VALUE"""),"Mengemudi")</f>
        <v>Mengemudi</v>
      </c>
      <c r="V1130" s="11" t="str">
        <f>IFERROR(__xludf.DUMMYFUNCTION("""COMPUTED_VALUE"""),"089687723305")</f>
        <v>089687723305</v>
      </c>
      <c r="W1130" s="15"/>
    </row>
    <row r="1131" ht="22.5" customHeight="1">
      <c r="A1131" s="40"/>
      <c r="B1131" s="9">
        <f>IFERROR(__xludf.DUMMYFUNCTION("""COMPUTED_VALUE"""),45346.42018622685)</f>
        <v>45346.42019</v>
      </c>
      <c r="C1131" s="9"/>
      <c r="D1131" s="10">
        <f>IFERROR(__xludf.DUMMYFUNCTION("""COMPUTED_VALUE"""),45349.0)</f>
        <v>45349</v>
      </c>
      <c r="E1131" s="10" t="str">
        <f>IFERROR(__xludf.DUMMYFUNCTION("""COMPUTED_VALUE"""),"02Feb")</f>
        <v>02Feb</v>
      </c>
      <c r="F1131" s="10" t="str">
        <f>IFERROR(__xludf.DUMMYFUNCTION("""COMPUTED_VALUE"""),"2024")</f>
        <v>2024</v>
      </c>
      <c r="G1131" s="35" t="str">
        <f>IFERROR(__xludf.DUMMYFUNCTION("""COMPUTED_VALUE"""),"TRI SATYA PATRIARINI")</f>
        <v>TRI SATYA PATRIARINI</v>
      </c>
      <c r="H1131" s="17" t="str">
        <f>IFERROR(__xludf.DUMMYFUNCTION("""COMPUTED_VALUE"""),"T6524029549")</f>
        <v>T6524029549</v>
      </c>
      <c r="I1131" s="17">
        <f>IFERROR(__xludf.DUMMYFUNCTION("""COMPUTED_VALUE"""),60.0)</f>
        <v>60</v>
      </c>
      <c r="J1131" s="17" t="str">
        <f>IFERROR(__xludf.DUMMYFUNCTION("""COMPUTED_VALUE"""),"&gt; 44 tahun")</f>
        <v>&gt; 44 tahun</v>
      </c>
      <c r="K1131" s="19">
        <f>IFERROR(__xludf.DUMMYFUNCTION("""COMPUTED_VALUE"""),24106.0)</f>
        <v>24106</v>
      </c>
      <c r="L1131" s="19" t="str">
        <f>IFERROR(__xludf.DUMMYFUNCTION("""COMPUTED_VALUE"""),"PEREMPUAN")</f>
        <v>PEREMPUAN</v>
      </c>
      <c r="M1131" s="16" t="str">
        <f>IFERROR(__xludf.DUMMYFUNCTION("""COMPUTED_VALUE"""),"DESA RAJABJALAN P.CHINATA GANG 57 NGABANG")</f>
        <v>DESA RAJABJALAN P.CHINATA GANG 57 NGABANG</v>
      </c>
      <c r="N1131" s="16" t="str">
        <f>IFERROR(__xludf.DUMMYFUNCTION("""COMPUTED_VALUE"""),"DS. RAJA")</f>
        <v>DS. RAJA</v>
      </c>
      <c r="O1131" s="16" t="str">
        <f>IFERROR(__xludf.DUMMYFUNCTION("""COMPUTED_VALUE"""),"KEC. NGABANG")</f>
        <v>KEC. NGABANG</v>
      </c>
      <c r="P1131" s="16" t="str">
        <f>IFERROR(__xludf.DUMMYFUNCTION("""COMPUTED_VALUE"""),"KAB. LANDAK")</f>
        <v>KAB. LANDAK</v>
      </c>
      <c r="Q1131" s="16" t="str">
        <f>IFERROR(__xludf.DUMMYFUNCTION("""COMPUTED_VALUE"""),"KALIMANTAN BARAT")</f>
        <v>KALIMANTAN BARAT</v>
      </c>
      <c r="R1131" s="19" t="str">
        <f>IFERROR(__xludf.DUMMYFUNCTION("""COMPUTED_VALUE"""),"ISLAM")</f>
        <v>ISLAM</v>
      </c>
      <c r="S1131" s="16" t="str">
        <f>IFERROR(__xludf.DUMMYFUNCTION("""COMPUTED_VALUE"""),"RUMAH TANGGA")</f>
        <v>RUMAH TANGGA</v>
      </c>
      <c r="T1131" s="16" t="str">
        <f>IFERROR(__xludf.DUMMYFUNCTION("""COMPUTED_VALUE"""),"Vertigo,diabet,hipertensi")</f>
        <v>Vertigo,diabet,hipertensi</v>
      </c>
      <c r="U1131" s="16" t="str">
        <f>IFERROR(__xludf.DUMMYFUNCTION("""COMPUTED_VALUE"""),"Masak")</f>
        <v>Masak</v>
      </c>
      <c r="V1131" s="11" t="str">
        <f>IFERROR(__xludf.DUMMYFUNCTION("""COMPUTED_VALUE"""),"081352469549")</f>
        <v>081352469549</v>
      </c>
      <c r="W1131" s="15"/>
    </row>
    <row r="1132" ht="22.5" customHeight="1">
      <c r="A1132" s="40"/>
      <c r="B1132" s="9">
        <f>IFERROR(__xludf.DUMMYFUNCTION("""COMPUTED_VALUE"""),45346.44812667824)</f>
        <v>45346.44813</v>
      </c>
      <c r="C1132" s="9"/>
      <c r="D1132" s="10">
        <f>IFERROR(__xludf.DUMMYFUNCTION("""COMPUTED_VALUE"""),45349.0)</f>
        <v>45349</v>
      </c>
      <c r="E1132" s="10" t="str">
        <f>IFERROR(__xludf.DUMMYFUNCTION("""COMPUTED_VALUE"""),"02Feb")</f>
        <v>02Feb</v>
      </c>
      <c r="F1132" s="10" t="str">
        <f>IFERROR(__xludf.DUMMYFUNCTION("""COMPUTED_VALUE"""),"2024")</f>
        <v>2024</v>
      </c>
      <c r="G1132" s="35" t="str">
        <f>IFERROR(__xludf.DUMMYFUNCTION("""COMPUTED_VALUE"""),"ADAM ZACHRY IMAN ZULKARNAIN")</f>
        <v>ADAM ZACHRY IMAN ZULKARNAIN</v>
      </c>
      <c r="H1132" s="17" t="str">
        <f>IFERROR(__xludf.DUMMYFUNCTION("""COMPUTED_VALUE"""),"A0724020119")</f>
        <v>A0724020119</v>
      </c>
      <c r="I1132" s="17">
        <f>IFERROR(__xludf.DUMMYFUNCTION("""COMPUTED_VALUE"""),18.0)</f>
        <v>18</v>
      </c>
      <c r="J1132" s="17" t="str">
        <f>IFERROR(__xludf.DUMMYFUNCTION("""COMPUTED_VALUE"""),"&lt; 18 tahun")</f>
        <v>&lt; 18 tahun</v>
      </c>
      <c r="K1132" s="19">
        <f>IFERROR(__xludf.DUMMYFUNCTION("""COMPUTED_VALUE"""),39370.0)</f>
        <v>39370</v>
      </c>
      <c r="L1132" s="19" t="str">
        <f>IFERROR(__xludf.DUMMYFUNCTION("""COMPUTED_VALUE"""),"LAKI-LAKI")</f>
        <v>LAKI-LAKI</v>
      </c>
      <c r="M1132" s="16" t="str">
        <f>IFERROR(__xludf.DUMMYFUNCTION("""COMPUTED_VALUE"""),"JALAN KOM.YOS SUDARSO, GG GANDAPURA 1 A NO 32")</f>
        <v>JALAN KOM.YOS SUDARSO, GG GANDAPURA 1 A NO 32</v>
      </c>
      <c r="N1132" s="16" t="str">
        <f>IFERROR(__xludf.DUMMYFUNCTION("""COMPUTED_VALUE"""),"KEL. SUNGAI BELIUNG")</f>
        <v>KEL. SUNGAI BELIUNG</v>
      </c>
      <c r="O1132" s="16" t="str">
        <f>IFERROR(__xludf.DUMMYFUNCTION("""COMPUTED_VALUE"""),"KEC. PONTIANAK BARAT")</f>
        <v>KEC. PONTIANAK BARAT</v>
      </c>
      <c r="P1132" s="16" t="str">
        <f>IFERROR(__xludf.DUMMYFUNCTION("""COMPUTED_VALUE"""),"KOTA PONTIANAK")</f>
        <v>KOTA PONTIANAK</v>
      </c>
      <c r="Q1132" s="16" t="str">
        <f>IFERROR(__xludf.DUMMYFUNCTION("""COMPUTED_VALUE"""),"KALIMANTAN BARAT")</f>
        <v>KALIMANTAN BARAT</v>
      </c>
      <c r="R1132" s="19" t="str">
        <f>IFERROR(__xludf.DUMMYFUNCTION("""COMPUTED_VALUE"""),"ISLAM")</f>
        <v>ISLAM</v>
      </c>
      <c r="S1132" s="16" t="str">
        <f>IFERROR(__xludf.DUMMYFUNCTION("""COMPUTED_VALUE"""),"PELAJAR/MAHASISWA")</f>
        <v>PELAJAR/MAHASISWA</v>
      </c>
      <c r="T1132" s="16" t="str">
        <f>IFERROR(__xludf.DUMMYFUNCTION("""COMPUTED_VALUE"""),"Tidak bs membuka mulut terlalu lebar")</f>
        <v>Tidak bs membuka mulut terlalu lebar</v>
      </c>
      <c r="U1132" s="16" t="str">
        <f>IFERROR(__xludf.DUMMYFUNCTION("""COMPUTED_VALUE"""),"Futsal")</f>
        <v>Futsal</v>
      </c>
      <c r="V1132" s="11" t="str">
        <f>IFERROR(__xludf.DUMMYFUNCTION("""COMPUTED_VALUE"""),"081255410119")</f>
        <v>081255410119</v>
      </c>
      <c r="W1132" s="15"/>
    </row>
    <row r="1133" ht="22.5" customHeight="1">
      <c r="A1133" s="40"/>
      <c r="B1133" s="9">
        <f>IFERROR(__xludf.DUMMYFUNCTION("""COMPUTED_VALUE"""),45346.79686918981)</f>
        <v>45346.79687</v>
      </c>
      <c r="C1133" s="9"/>
      <c r="D1133" s="10">
        <f>IFERROR(__xludf.DUMMYFUNCTION("""COMPUTED_VALUE"""),45349.74385976852)</f>
        <v>45349.74386</v>
      </c>
      <c r="E1133" s="10" t="str">
        <f>IFERROR(__xludf.DUMMYFUNCTION("""COMPUTED_VALUE"""),"02Feb")</f>
        <v>02Feb</v>
      </c>
      <c r="F1133" s="10" t="str">
        <f>IFERROR(__xludf.DUMMYFUNCTION("""COMPUTED_VALUE"""),"2024")</f>
        <v>2024</v>
      </c>
      <c r="G1133" s="35" t="str">
        <f>IFERROR(__xludf.DUMMYFUNCTION("""COMPUTED_VALUE"""),"ENDANG ISNANINGSIH")</f>
        <v>ENDANG ISNANINGSIH</v>
      </c>
      <c r="H1133" s="17" t="str">
        <f>IFERROR(__xludf.DUMMYFUNCTION("""COMPUTED_VALUE"""),"E6124021162")</f>
        <v>E6124021162</v>
      </c>
      <c r="I1133" s="17">
        <f>IFERROR(__xludf.DUMMYFUNCTION("""COMPUTED_VALUE"""),65.0)</f>
        <v>65</v>
      </c>
      <c r="J1133" s="17" t="str">
        <f>IFERROR(__xludf.DUMMYFUNCTION("""COMPUTED_VALUE"""),"&gt; 44 tahun")</f>
        <v>&gt; 44 tahun</v>
      </c>
      <c r="K1133" s="19">
        <f>IFERROR(__xludf.DUMMYFUNCTION("""COMPUTED_VALUE"""),22360.0)</f>
        <v>22360</v>
      </c>
      <c r="L1133" s="19" t="str">
        <f>IFERROR(__xludf.DUMMYFUNCTION("""COMPUTED_VALUE"""),"PEREMPUAN")</f>
        <v>PEREMPUAN</v>
      </c>
      <c r="M1133" s="16" t="str">
        <f>IFERROR(__xludf.DUMMYFUNCTION("""COMPUTED_VALUE"""),"JALAN DANAU SENTARUM KOMP.BANK DUTA NO.2B")</f>
        <v>JALAN DANAU SENTARUM KOMP.BANK DUTA NO.2B</v>
      </c>
      <c r="N1133" s="16" t="str">
        <f>IFERROR(__xludf.DUMMYFUNCTION("""COMPUTED_VALUE"""),"KEL. SUNGAI BANGKONG")</f>
        <v>KEL. SUNGAI BANGKONG</v>
      </c>
      <c r="O1133" s="16" t="str">
        <f>IFERROR(__xludf.DUMMYFUNCTION("""COMPUTED_VALUE"""),"KEC. PONTIANAK KOTA")</f>
        <v>KEC. PONTIANAK KOTA</v>
      </c>
      <c r="P1133" s="16" t="str">
        <f>IFERROR(__xludf.DUMMYFUNCTION("""COMPUTED_VALUE"""),"KOTA PONTIANAK")</f>
        <v>KOTA PONTIANAK</v>
      </c>
      <c r="Q1133" s="16" t="str">
        <f>IFERROR(__xludf.DUMMYFUNCTION("""COMPUTED_VALUE"""),"KALIMANTAN BARAT")</f>
        <v>KALIMANTAN BARAT</v>
      </c>
      <c r="R1133" s="19" t="str">
        <f>IFERROR(__xludf.DUMMYFUNCTION("""COMPUTED_VALUE"""),"ISLAM")</f>
        <v>ISLAM</v>
      </c>
      <c r="S1133" s="16" t="str">
        <f>IFERROR(__xludf.DUMMYFUNCTION("""COMPUTED_VALUE"""),"PENSIUN")</f>
        <v>PENSIUN</v>
      </c>
      <c r="T1133" s="16" t="str">
        <f>IFERROR(__xludf.DUMMYFUNCTION("""COMPUTED_VALUE"""),"Kaki kram lada paha sebelah kanan")</f>
        <v>Kaki kram lada paha sebelah kanan</v>
      </c>
      <c r="U1133" s="16" t="str">
        <f>IFERROR(__xludf.DUMMYFUNCTION("""COMPUTED_VALUE"""),"Ibu rumah tangga")</f>
        <v>Ibu rumah tangga</v>
      </c>
      <c r="V1133" s="11" t="str">
        <f>IFERROR(__xludf.DUMMYFUNCTION("""COMPUTED_VALUE"""),"081256841162")</f>
        <v>081256841162</v>
      </c>
      <c r="W1133" s="15"/>
    </row>
    <row r="1134" ht="22.5" customHeight="1">
      <c r="A1134" s="40"/>
      <c r="B1134" s="9">
        <f>IFERROR(__xludf.DUMMYFUNCTION("""COMPUTED_VALUE"""),45346.801564733796)</f>
        <v>45346.80156</v>
      </c>
      <c r="C1134" s="9"/>
      <c r="D1134" s="10">
        <f>IFERROR(__xludf.DUMMYFUNCTION("""COMPUTED_VALUE"""),45350.0)</f>
        <v>45350</v>
      </c>
      <c r="E1134" s="10" t="str">
        <f>IFERROR(__xludf.DUMMYFUNCTION("""COMPUTED_VALUE"""),"02Feb")</f>
        <v>02Feb</v>
      </c>
      <c r="F1134" s="10" t="str">
        <f>IFERROR(__xludf.DUMMYFUNCTION("""COMPUTED_VALUE"""),"2024")</f>
        <v>2024</v>
      </c>
      <c r="G1134" s="16" t="str">
        <f>IFERROR(__xludf.DUMMYFUNCTION("""COMPUTED_VALUE"""),"ALVIN LAWARDI")</f>
        <v>ALVIN LAWARDI</v>
      </c>
      <c r="H1134" s="17" t="str">
        <f>IFERROR(__xludf.DUMMYFUNCTION("""COMPUTED_VALUE"""),"A9724028829")</f>
        <v>A9724028829</v>
      </c>
      <c r="I1134" s="17">
        <f>IFERROR(__xludf.DUMMYFUNCTION("""COMPUTED_VALUE"""),28.0)</f>
        <v>28</v>
      </c>
      <c r="J1134" s="17" t="str">
        <f>IFERROR(__xludf.DUMMYFUNCTION("""COMPUTED_VALUE"""),"25-34 tahun")</f>
        <v>25-34 tahun</v>
      </c>
      <c r="K1134" s="19">
        <f>IFERROR(__xludf.DUMMYFUNCTION("""COMPUTED_VALUE"""),35758.0)</f>
        <v>35758</v>
      </c>
      <c r="L1134" s="19" t="str">
        <f>IFERROR(__xludf.DUMMYFUNCTION("""COMPUTED_VALUE"""),"LAKI-LAKI")</f>
        <v>LAKI-LAKI</v>
      </c>
      <c r="M1134" s="16" t="str">
        <f>IFERROR(__xludf.DUMMYFUNCTION("""COMPUTED_VALUE"""),"JL KOM YOS SUDARSO NO 95")</f>
        <v>JL KOM YOS SUDARSO NO 95</v>
      </c>
      <c r="N1134" s="16" t="str">
        <f>IFERROR(__xludf.DUMMYFUNCTION("""COMPUTED_VALUE"""),"KEL. SUNGAI JAWI")</f>
        <v>KEL. SUNGAI JAWI</v>
      </c>
      <c r="O1134" s="16" t="str">
        <f>IFERROR(__xludf.DUMMYFUNCTION("""COMPUTED_VALUE"""),"KEC. PONTIANAK BARAT")</f>
        <v>KEC. PONTIANAK BARAT</v>
      </c>
      <c r="P1134" s="16" t="str">
        <f>IFERROR(__xludf.DUMMYFUNCTION("""COMPUTED_VALUE"""),"KOTA PONTIANAK")</f>
        <v>KOTA PONTIANAK</v>
      </c>
      <c r="Q1134" s="16" t="str">
        <f>IFERROR(__xludf.DUMMYFUNCTION("""COMPUTED_VALUE"""),"KALIMANTAN BARAT")</f>
        <v>KALIMANTAN BARAT</v>
      </c>
      <c r="R1134" s="19" t="str">
        <f>IFERROR(__xludf.DUMMYFUNCTION("""COMPUTED_VALUE"""),"LAINNYA")</f>
        <v>LAINNYA</v>
      </c>
      <c r="S1134" s="16" t="str">
        <f>IFERROR(__xludf.DUMMYFUNCTION("""COMPUTED_VALUE"""),"FREELANCE")</f>
        <v>FREELANCE</v>
      </c>
      <c r="T1134" s="16" t="str">
        <f>IFERROR(__xludf.DUMMYFUNCTION("""COMPUTED_VALUE"""),"sakit pada jari kaki sudah 1 bulan")</f>
        <v>sakit pada jari kaki sudah 1 bulan</v>
      </c>
      <c r="U1134" s="16" t="str">
        <f>IFERROR(__xludf.DUMMYFUNCTION("""COMPUTED_VALUE"""),"main mini soccer seminggu sekali")</f>
        <v>main mini soccer seminggu sekali</v>
      </c>
      <c r="V1134" s="11" t="str">
        <f>IFERROR(__xludf.DUMMYFUNCTION("""COMPUTED_VALUE"""),"081352958829")</f>
        <v>081352958829</v>
      </c>
      <c r="W1134" s="15"/>
    </row>
    <row r="1135" ht="22.5" customHeight="1">
      <c r="A1135" s="40"/>
      <c r="B1135" s="9">
        <f>IFERROR(__xludf.DUMMYFUNCTION("""COMPUTED_VALUE"""),45347.55055238426)</f>
        <v>45347.55055</v>
      </c>
      <c r="C1135" s="9"/>
      <c r="D1135" s="10">
        <f>IFERROR(__xludf.DUMMYFUNCTION("""COMPUTED_VALUE"""),45351.0)</f>
        <v>45351</v>
      </c>
      <c r="E1135" s="10" t="str">
        <f>IFERROR(__xludf.DUMMYFUNCTION("""COMPUTED_VALUE"""),"02Feb")</f>
        <v>02Feb</v>
      </c>
      <c r="F1135" s="10" t="str">
        <f>IFERROR(__xludf.DUMMYFUNCTION("""COMPUTED_VALUE"""),"2024")</f>
        <v>2024</v>
      </c>
      <c r="G1135" s="16" t="str">
        <f>IFERROR(__xludf.DUMMYFUNCTION("""COMPUTED_VALUE"""),"ERIC ARIYANTO")</f>
        <v>ERIC ARIYANTO</v>
      </c>
      <c r="H1135" s="17" t="str">
        <f>IFERROR(__xludf.DUMMYFUNCTION("""COMPUTED_VALUE"""),"E9124020914")</f>
        <v>E9124020914</v>
      </c>
      <c r="I1135" s="17">
        <f>IFERROR(__xludf.DUMMYFUNCTION("""COMPUTED_VALUE"""),34.0)</f>
        <v>34</v>
      </c>
      <c r="J1135" s="17" t="str">
        <f>IFERROR(__xludf.DUMMYFUNCTION("""COMPUTED_VALUE"""),"25-34 tahun")</f>
        <v>25-34 tahun</v>
      </c>
      <c r="K1135" s="19">
        <f>IFERROR(__xludf.DUMMYFUNCTION("""COMPUTED_VALUE"""),33485.0)</f>
        <v>33485</v>
      </c>
      <c r="L1135" s="19" t="str">
        <f>IFERROR(__xludf.DUMMYFUNCTION("""COMPUTED_VALUE"""),"LAKI-LAKI")</f>
        <v>LAKI-LAKI</v>
      </c>
      <c r="M1135" s="16" t="str">
        <f>IFERROR(__xludf.DUMMYFUNCTION("""COMPUTED_VALUE"""),"KOMPLEK PONDOK INDAH RIYADI NO A1, JL NIPAH KUNING DALAM GG PASU PASU")</f>
        <v>KOMPLEK PONDOK INDAH RIYADI NO A1, JL NIPAH KUNING DALAM GG PASU PASU</v>
      </c>
      <c r="N1135" s="16" t="str">
        <f>IFERROR(__xludf.DUMMYFUNCTION("""COMPUTED_VALUE"""),"KEL. SUNGAI BELIUNG")</f>
        <v>KEL. SUNGAI BELIUNG</v>
      </c>
      <c r="O1135" s="16" t="str">
        <f>IFERROR(__xludf.DUMMYFUNCTION("""COMPUTED_VALUE"""),"KEC. PONTIANAK BARAT")</f>
        <v>KEC. PONTIANAK BARAT</v>
      </c>
      <c r="P1135" s="16" t="str">
        <f>IFERROR(__xludf.DUMMYFUNCTION("""COMPUTED_VALUE"""),"KOTA PONTIANAK")</f>
        <v>KOTA PONTIANAK</v>
      </c>
      <c r="Q1135" s="16" t="str">
        <f>IFERROR(__xludf.DUMMYFUNCTION("""COMPUTED_VALUE"""),"KALIMANTAN BARAT")</f>
        <v>KALIMANTAN BARAT</v>
      </c>
      <c r="R1135" s="19" t="str">
        <f>IFERROR(__xludf.DUMMYFUNCTION("""COMPUTED_VALUE"""),"ISLAM")</f>
        <v>ISLAM</v>
      </c>
      <c r="S1135" s="16" t="str">
        <f>IFERROR(__xludf.DUMMYFUNCTION("""COMPUTED_VALUE"""),"SWASTA")</f>
        <v>SWASTA</v>
      </c>
      <c r="T1135" s="16" t="str">
        <f>IFERROR(__xludf.DUMMYFUNCTION("""COMPUTED_VALUE"""),"Cedera sekitar mata kaki karena terkilir saat main badminton jumat lalu (sudah 1 minggu lebih). Bengkak sudah berkurang tapi sedikit terasa nyeri")</f>
        <v>Cedera sekitar mata kaki karena terkilir saat main badminton jumat lalu (sudah 1 minggu lebih). Bengkak sudah berkurang tapi sedikit terasa nyeri</v>
      </c>
      <c r="U1135" s="16" t="str">
        <f>IFERROR(__xludf.DUMMYFUNCTION("""COMPUTED_VALUE"""),"Kerja depan komputer, Badminton seminggu sekali")</f>
        <v>Kerja depan komputer, Badminton seminggu sekali</v>
      </c>
      <c r="V1135" s="11" t="str">
        <f>IFERROR(__xludf.DUMMYFUNCTION("""COMPUTED_VALUE"""),"082288880914")</f>
        <v>082288880914</v>
      </c>
      <c r="W1135" s="15"/>
    </row>
    <row r="1136" ht="22.5" customHeight="1">
      <c r="A1136" s="40"/>
      <c r="B1136" s="9">
        <f>IFERROR(__xludf.DUMMYFUNCTION("""COMPUTED_VALUE"""),45347.56261717592)</f>
        <v>45347.56262</v>
      </c>
      <c r="C1136" s="9"/>
      <c r="D1136" s="10">
        <f>IFERROR(__xludf.DUMMYFUNCTION("""COMPUTED_VALUE"""),45351.0)</f>
        <v>45351</v>
      </c>
      <c r="E1136" s="10" t="str">
        <f>IFERROR(__xludf.DUMMYFUNCTION("""COMPUTED_VALUE"""),"02Feb")</f>
        <v>02Feb</v>
      </c>
      <c r="F1136" s="10" t="str">
        <f>IFERROR(__xludf.DUMMYFUNCTION("""COMPUTED_VALUE"""),"2024")</f>
        <v>2024</v>
      </c>
      <c r="G1136" s="16" t="str">
        <f>IFERROR(__xludf.DUMMYFUNCTION("""COMPUTED_VALUE"""),"KONG LIE NA")</f>
        <v>KONG LIE NA</v>
      </c>
      <c r="H1136" s="17" t="str">
        <f>IFERROR(__xludf.DUMMYFUNCTION("""COMPUTED_VALUE"""),"K7624022399")</f>
        <v>K7624022399</v>
      </c>
      <c r="I1136" s="17">
        <f>IFERROR(__xludf.DUMMYFUNCTION("""COMPUTED_VALUE"""),49.0)</f>
        <v>49</v>
      </c>
      <c r="J1136" s="17" t="str">
        <f>IFERROR(__xludf.DUMMYFUNCTION("""COMPUTED_VALUE"""),"&gt; 44 tahun")</f>
        <v>&gt; 44 tahun</v>
      </c>
      <c r="K1136" s="19">
        <f>IFERROR(__xludf.DUMMYFUNCTION("""COMPUTED_VALUE"""),28120.0)</f>
        <v>28120</v>
      </c>
      <c r="L1136" s="19" t="str">
        <f>IFERROR(__xludf.DUMMYFUNCTION("""COMPUTED_VALUE"""),"PEREMPUAN")</f>
        <v>PEREMPUAN</v>
      </c>
      <c r="M1136" s="16" t="str">
        <f>IFERROR(__xludf.DUMMYFUNCTION("""COMPUTED_VALUE"""),"JL NURUL HUDA KOMP GREEN NESTI 2")</f>
        <v>JL NURUL HUDA KOMP GREEN NESTI 2</v>
      </c>
      <c r="N1136" s="16" t="str">
        <f>IFERROR(__xludf.DUMMYFUNCTION("""COMPUTED_VALUE"""),"DS. KAPUR")</f>
        <v>DS. KAPUR</v>
      </c>
      <c r="O1136" s="16" t="str">
        <f>IFERROR(__xludf.DUMMYFUNCTION("""COMPUTED_VALUE"""),"KEC. SUNGAI RAYA")</f>
        <v>KEC. SUNGAI RAYA</v>
      </c>
      <c r="P1136" s="16" t="str">
        <f>IFERROR(__xludf.DUMMYFUNCTION("""COMPUTED_VALUE"""),"KAB. KUBU RAYA")</f>
        <v>KAB. KUBU RAYA</v>
      </c>
      <c r="Q1136" s="16" t="str">
        <f>IFERROR(__xludf.DUMMYFUNCTION("""COMPUTED_VALUE"""),"KALIMANTAN BARAT")</f>
        <v>KALIMANTAN BARAT</v>
      </c>
      <c r="R1136" s="19" t="str">
        <f>IFERROR(__xludf.DUMMYFUNCTION("""COMPUTED_VALUE"""),"PROTESTAN")</f>
        <v>PROTESTAN</v>
      </c>
      <c r="S1136" s="16" t="str">
        <f>IFERROR(__xludf.DUMMYFUNCTION("""COMPUTED_VALUE"""),"WIRASWASTA")</f>
        <v>WIRASWASTA</v>
      </c>
      <c r="T1136" s="16" t="str">
        <f>IFERROR(__xludf.DUMMYFUNCTION("""COMPUTED_VALUE"""),"Sakit daerH pinggang, sama paha sampai ke bawah")</f>
        <v>Sakit daerH pinggang, sama paha sampai ke bawah</v>
      </c>
      <c r="U1136" s="16" t="str">
        <f>IFERROR(__xludf.DUMMYFUNCTION("""COMPUTED_VALUE"""),"Suka nonton")</f>
        <v>Suka nonton</v>
      </c>
      <c r="V1136" s="11" t="str">
        <f>IFERROR(__xludf.DUMMYFUNCTION("""COMPUTED_VALUE"""),"082149352399")</f>
        <v>082149352399</v>
      </c>
      <c r="W1136" s="15"/>
    </row>
    <row r="1137" ht="22.5" customHeight="1">
      <c r="A1137" s="40"/>
      <c r="B1137" s="9">
        <f>IFERROR(__xludf.DUMMYFUNCTION("""COMPUTED_VALUE"""),45347.713825416664)</f>
        <v>45347.71383</v>
      </c>
      <c r="C1137" s="9"/>
      <c r="D1137" s="10">
        <f>IFERROR(__xludf.DUMMYFUNCTION("""COMPUTED_VALUE"""),45353.0)</f>
        <v>45353</v>
      </c>
      <c r="E1137" s="10" t="str">
        <f>IFERROR(__xludf.DUMMYFUNCTION("""COMPUTED_VALUE"""),"03Mar")</f>
        <v>03Mar</v>
      </c>
      <c r="F1137" s="10" t="str">
        <f>IFERROR(__xludf.DUMMYFUNCTION("""COMPUTED_VALUE"""),"2024")</f>
        <v>2024</v>
      </c>
      <c r="G1137" s="16" t="str">
        <f>IFERROR(__xludf.DUMMYFUNCTION("""COMPUTED_VALUE"""),"EKA WULANDARI")</f>
        <v>EKA WULANDARI</v>
      </c>
      <c r="H1137" s="17" t="str">
        <f>IFERROR(__xludf.DUMMYFUNCTION("""COMPUTED_VALUE"""),"E8224030821")</f>
        <v>E8224030821</v>
      </c>
      <c r="I1137" s="17">
        <f>IFERROR(__xludf.DUMMYFUNCTION("""COMPUTED_VALUE"""),44.0)</f>
        <v>44</v>
      </c>
      <c r="J1137" s="17" t="str">
        <f>IFERROR(__xludf.DUMMYFUNCTION("""COMPUTED_VALUE"""),"35-44 tahun")</f>
        <v>35-44 tahun</v>
      </c>
      <c r="K1137" s="19">
        <f>IFERROR(__xludf.DUMMYFUNCTION("""COMPUTED_VALUE"""),30061.0)</f>
        <v>30061</v>
      </c>
      <c r="L1137" s="19" t="str">
        <f>IFERROR(__xludf.DUMMYFUNCTION("""COMPUTED_VALUE"""),"PEREMPUAN")</f>
        <v>PEREMPUAN</v>
      </c>
      <c r="M1137" s="35" t="str">
        <f>IFERROR(__xludf.DUMMYFUNCTION("""COMPUTED_VALUE"""),"JL. APEL GG. CENGKEH NO 16")</f>
        <v>JL. APEL GG. CENGKEH NO 16</v>
      </c>
      <c r="N1137" s="16" t="str">
        <f>IFERROR(__xludf.DUMMYFUNCTION("""COMPUTED_VALUE"""),"KEL. SUNGAI JAWI LUAR")</f>
        <v>KEL. SUNGAI JAWI LUAR</v>
      </c>
      <c r="O1137" s="16" t="str">
        <f>IFERROR(__xludf.DUMMYFUNCTION("""COMPUTED_VALUE"""),"KEC. PONTIANAK BARAT")</f>
        <v>KEC. PONTIANAK BARAT</v>
      </c>
      <c r="P1137" s="16" t="str">
        <f>IFERROR(__xludf.DUMMYFUNCTION("""COMPUTED_VALUE"""),"KOTA PONTIANAK")</f>
        <v>KOTA PONTIANAK</v>
      </c>
      <c r="Q1137" s="16" t="str">
        <f>IFERROR(__xludf.DUMMYFUNCTION("""COMPUTED_VALUE"""),"KALIMANTAN BARAT")</f>
        <v>KALIMANTAN BARAT</v>
      </c>
      <c r="R1137" s="19" t="str">
        <f>IFERROR(__xludf.DUMMYFUNCTION("""COMPUTED_VALUE"""),"ISLAM")</f>
        <v>ISLAM</v>
      </c>
      <c r="S1137" s="16" t="str">
        <f>IFERROR(__xludf.DUMMYFUNCTION("""COMPUTED_VALUE"""),"ASN")</f>
        <v>ASN</v>
      </c>
      <c r="T1137" s="16" t="str">
        <f>IFERROR(__xludf.DUMMYFUNCTION("""COMPUTED_VALUE"""),"Nyeri di lengan atas sebelah kana")</f>
        <v>Nyeri di lengan atas sebelah kana</v>
      </c>
      <c r="U1137" s="16" t="str">
        <f>IFERROR(__xludf.DUMMYFUNCTION("""COMPUTED_VALUE"""),"Tenis")</f>
        <v>Tenis</v>
      </c>
      <c r="V1137" s="11" t="str">
        <f>IFERROR(__xludf.DUMMYFUNCTION("""COMPUTED_VALUE"""),"082149620821")</f>
        <v>082149620821</v>
      </c>
      <c r="W1137" s="15"/>
    </row>
    <row r="1138" ht="22.5" customHeight="1">
      <c r="A1138" s="40"/>
      <c r="B1138" s="9">
        <f>IFERROR(__xludf.DUMMYFUNCTION("""COMPUTED_VALUE"""),45348.622043125)</f>
        <v>45348.62204</v>
      </c>
      <c r="C1138" s="9"/>
      <c r="D1138" s="10">
        <f>IFERROR(__xludf.DUMMYFUNCTION("""COMPUTED_VALUE"""),45353.0)</f>
        <v>45353</v>
      </c>
      <c r="E1138" s="10" t="str">
        <f>IFERROR(__xludf.DUMMYFUNCTION("""COMPUTED_VALUE"""),"03Mar")</f>
        <v>03Mar</v>
      </c>
      <c r="F1138" s="10" t="str">
        <f>IFERROR(__xludf.DUMMYFUNCTION("""COMPUTED_VALUE"""),"2024")</f>
        <v>2024</v>
      </c>
      <c r="G1138" s="16" t="str">
        <f>IFERROR(__xludf.DUMMYFUNCTION("""COMPUTED_VALUE"""),"FIRMAN KETAPANG")</f>
        <v>FIRMAN KETAPANG</v>
      </c>
      <c r="H1138" s="17" t="str">
        <f>IFERROR(__xludf.DUMMYFUNCTION("""COMPUTED_VALUE"""),"F8524038644")</f>
        <v>F8524038644</v>
      </c>
      <c r="I1138" s="17">
        <f>IFERROR(__xludf.DUMMYFUNCTION("""COMPUTED_VALUE"""),41.0)</f>
        <v>41</v>
      </c>
      <c r="J1138" s="17" t="str">
        <f>IFERROR(__xludf.DUMMYFUNCTION("""COMPUTED_VALUE"""),"35-44 tahun")</f>
        <v>35-44 tahun</v>
      </c>
      <c r="K1138" s="19">
        <f>IFERROR(__xludf.DUMMYFUNCTION("""COMPUTED_VALUE"""),31147.0)</f>
        <v>31147</v>
      </c>
      <c r="L1138" s="19" t="str">
        <f>IFERROR(__xludf.DUMMYFUNCTION("""COMPUTED_VALUE"""),"LAKI-LAKI")</f>
        <v>LAKI-LAKI</v>
      </c>
      <c r="M1138" s="16" t="str">
        <f>IFERROR(__xludf.DUMMYFUNCTION("""COMPUTED_VALUE"""),"KETAPANG")</f>
        <v>KETAPANG</v>
      </c>
      <c r="N1138" s="16" t="str">
        <f>IFERROR(__xludf.DUMMYFUNCTION("""COMPUTED_VALUE"""),"DS. MEKAR UTAMA")</f>
        <v>DS. MEKAR UTAMA</v>
      </c>
      <c r="O1138" s="16" t="str">
        <f>IFERROR(__xludf.DUMMYFUNCTION("""COMPUTED_VALUE"""),"KEC. KENDAWANGAN")</f>
        <v>KEC. KENDAWANGAN</v>
      </c>
      <c r="P1138" s="16" t="str">
        <f>IFERROR(__xludf.DUMMYFUNCTION("""COMPUTED_VALUE"""),"KAB. KETAPANG")</f>
        <v>KAB. KETAPANG</v>
      </c>
      <c r="Q1138" s="16" t="str">
        <f>IFERROR(__xludf.DUMMYFUNCTION("""COMPUTED_VALUE"""),"KALIMANTAN BARAT")</f>
        <v>KALIMANTAN BARAT</v>
      </c>
      <c r="R1138" s="19" t="str">
        <f>IFERROR(__xludf.DUMMYFUNCTION("""COMPUTED_VALUE"""),"ISLAM")</f>
        <v>ISLAM</v>
      </c>
      <c r="S1138" s="16" t="str">
        <f>IFERROR(__xludf.DUMMYFUNCTION("""COMPUTED_VALUE"""),"TNI/POLRI")</f>
        <v>TNI/POLRI</v>
      </c>
      <c r="T1138" s="16" t="str">
        <f>IFERROR(__xludf.DUMMYFUNCTION("""COMPUTED_VALUE"""),"Sakit")</f>
        <v>Sakit</v>
      </c>
      <c r="U1138" s="16" t="str">
        <f>IFERROR(__xludf.DUMMYFUNCTION("""COMPUTED_VALUE"""),"Olahraga")</f>
        <v>Olahraga</v>
      </c>
      <c r="V1138" s="11" t="str">
        <f>IFERROR(__xludf.DUMMYFUNCTION("""COMPUTED_VALUE"""),"0811568644")</f>
        <v>0811568644</v>
      </c>
      <c r="W1138" s="15"/>
    </row>
    <row r="1139" ht="22.5" customHeight="1">
      <c r="A1139" s="40"/>
      <c r="B1139" s="9">
        <f>IFERROR(__xludf.DUMMYFUNCTION("""COMPUTED_VALUE"""),45348.62534762731)</f>
        <v>45348.62535</v>
      </c>
      <c r="C1139" s="9"/>
      <c r="D1139" s="10">
        <f>IFERROR(__xludf.DUMMYFUNCTION("""COMPUTED_VALUE"""),45354.0)</f>
        <v>45354</v>
      </c>
      <c r="E1139" s="10" t="str">
        <f>IFERROR(__xludf.DUMMYFUNCTION("""COMPUTED_VALUE"""),"03Mar")</f>
        <v>03Mar</v>
      </c>
      <c r="F1139" s="10" t="str">
        <f>IFERROR(__xludf.DUMMYFUNCTION("""COMPUTED_VALUE"""),"2024")</f>
        <v>2024</v>
      </c>
      <c r="G1139" s="16" t="str">
        <f>IFERROR(__xludf.DUMMYFUNCTION("""COMPUTED_VALUE"""),"NOVIANTO LINATA")</f>
        <v>NOVIANTO LINATA</v>
      </c>
      <c r="H1139" s="17" t="str">
        <f>IFERROR(__xludf.DUMMYFUNCTION("""COMPUTED_VALUE"""),"N8724037888")</f>
        <v>N8724037888</v>
      </c>
      <c r="I1139" s="17">
        <f>IFERROR(__xludf.DUMMYFUNCTION("""COMPUTED_VALUE"""),38.0)</f>
        <v>38</v>
      </c>
      <c r="J1139" s="17" t="str">
        <f>IFERROR(__xludf.DUMMYFUNCTION("""COMPUTED_VALUE"""),"35-44 tahun")</f>
        <v>35-44 tahun</v>
      </c>
      <c r="K1139" s="19">
        <f>IFERROR(__xludf.DUMMYFUNCTION("""COMPUTED_VALUE"""),32088.0)</f>
        <v>32088</v>
      </c>
      <c r="L1139" s="19" t="str">
        <f>IFERROR(__xludf.DUMMYFUNCTION("""COMPUTED_VALUE"""),"LAKI-LAKI")</f>
        <v>LAKI-LAKI</v>
      </c>
      <c r="M1139" s="16" t="str">
        <f>IFERROR(__xludf.DUMMYFUNCTION("""COMPUTED_VALUE"""),"JL. GUSTI SULUNG LELANANG RUKO PONTIANAK MAL AA35-36")</f>
        <v>JL. GUSTI SULUNG LELANANG RUKO PONTIANAK MAL AA35-36</v>
      </c>
      <c r="N1139" s="16" t="str">
        <f>IFERROR(__xludf.DUMMYFUNCTION("""COMPUTED_VALUE"""),"KEL. DARAT SEKIP")</f>
        <v>KEL. DARAT SEKIP</v>
      </c>
      <c r="O1139" s="16" t="str">
        <f>IFERROR(__xludf.DUMMYFUNCTION("""COMPUTED_VALUE"""),"KEC. PONTIANAK KOTA")</f>
        <v>KEC. PONTIANAK KOTA</v>
      </c>
      <c r="P1139" s="16" t="str">
        <f>IFERROR(__xludf.DUMMYFUNCTION("""COMPUTED_VALUE"""),"KOTA PONTIANAK")</f>
        <v>KOTA PONTIANAK</v>
      </c>
      <c r="Q1139" s="16" t="str">
        <f>IFERROR(__xludf.DUMMYFUNCTION("""COMPUTED_VALUE"""),"KALIMANTAN BARAT")</f>
        <v>KALIMANTAN BARAT</v>
      </c>
      <c r="R1139" s="19" t="str">
        <f>IFERROR(__xludf.DUMMYFUNCTION("""COMPUTED_VALUE"""),"BUDDHA")</f>
        <v>BUDDHA</v>
      </c>
      <c r="S1139" s="16" t="str">
        <f>IFERROR(__xludf.DUMMYFUNCTION("""COMPUTED_VALUE"""),"WIRASWASTA")</f>
        <v>WIRASWASTA</v>
      </c>
      <c r="T1139" s="16" t="str">
        <f>IFERROR(__xludf.DUMMYFUNCTION("""COMPUTED_VALUE"""),"Sakit sebelah kiri saat berlari")</f>
        <v>Sakit sebelah kiri saat berlari</v>
      </c>
      <c r="U1139" s="16" t="str">
        <f>IFERROR(__xludf.DUMMYFUNCTION("""COMPUTED_VALUE"""),"Hobi : bola, sepeda, running / aktivitas angkat bebasn di rumah")</f>
        <v>Hobi : bola, sepeda, running / aktivitas angkat bebasn di rumah</v>
      </c>
      <c r="V1139" s="11" t="str">
        <f>IFERROR(__xludf.DUMMYFUNCTION("""COMPUTED_VALUE"""),"087887387888")</f>
        <v>087887387888</v>
      </c>
      <c r="W1139" s="15"/>
    </row>
    <row r="1140" ht="22.5" customHeight="1">
      <c r="A1140" s="8"/>
      <c r="B1140" s="9">
        <f>IFERROR(__xludf.DUMMYFUNCTION("""COMPUTED_VALUE"""),45348.8273255324)</f>
        <v>45348.82733</v>
      </c>
      <c r="C1140" s="9"/>
      <c r="D1140" s="10">
        <f>IFERROR(__xludf.DUMMYFUNCTION("""COMPUTED_VALUE"""),45354.0)</f>
        <v>45354</v>
      </c>
      <c r="E1140" s="10" t="str">
        <f>IFERROR(__xludf.DUMMYFUNCTION("""COMPUTED_VALUE"""),"03Mar")</f>
        <v>03Mar</v>
      </c>
      <c r="F1140" s="10" t="str">
        <f>IFERROR(__xludf.DUMMYFUNCTION("""COMPUTED_VALUE"""),"2024")</f>
        <v>2024</v>
      </c>
      <c r="G1140" s="16" t="str">
        <f>IFERROR(__xludf.DUMMYFUNCTION("""COMPUTED_VALUE"""),"NERRY SUGIANA")</f>
        <v>NERRY SUGIANA</v>
      </c>
      <c r="H1140" s="17" t="str">
        <f>IFERROR(__xludf.DUMMYFUNCTION("""COMPUTED_VALUE"""),"N6824035120")</f>
        <v>N6824035120</v>
      </c>
      <c r="I1140" s="17">
        <f>IFERROR(__xludf.DUMMYFUNCTION("""COMPUTED_VALUE"""),58.0)</f>
        <v>58</v>
      </c>
      <c r="J1140" s="17" t="str">
        <f>IFERROR(__xludf.DUMMYFUNCTION("""COMPUTED_VALUE"""),"&gt; 44 tahun")</f>
        <v>&gt; 44 tahun</v>
      </c>
      <c r="K1140" s="19">
        <f>IFERROR(__xludf.DUMMYFUNCTION("""COMPUTED_VALUE"""),24948.0)</f>
        <v>24948</v>
      </c>
      <c r="L1140" s="19" t="str">
        <f>IFERROR(__xludf.DUMMYFUNCTION("""COMPUTED_VALUE"""),"PEREMPUAN")</f>
        <v>PEREMPUAN</v>
      </c>
      <c r="M1140" s="16" t="str">
        <f>IFERROR(__xludf.DUMMYFUNCTION("""COMPUTED_VALUE"""),"JL PERDAMAIAN KOMP ARI KARYA INDAH")</f>
        <v>JL PERDAMAIAN KOMP ARI KARYA INDAH</v>
      </c>
      <c r="N1140" s="16" t="str">
        <f>IFERROR(__xludf.DUMMYFUNCTION("""COMPUTED_VALUE"""),"KEL. PAL IX")</f>
        <v>KEL. PAL IX</v>
      </c>
      <c r="O1140" s="16" t="str">
        <f>IFERROR(__xludf.DUMMYFUNCTION("""COMPUTED_VALUE"""),"KEC. SUNGAI KAKAP")</f>
        <v>KEC. SUNGAI KAKAP</v>
      </c>
      <c r="P1140" s="16" t="str">
        <f>IFERROR(__xludf.DUMMYFUNCTION("""COMPUTED_VALUE"""),"KAB. KUBU RAYA")</f>
        <v>KAB. KUBU RAYA</v>
      </c>
      <c r="Q1140" s="16" t="str">
        <f>IFERROR(__xludf.DUMMYFUNCTION("""COMPUTED_VALUE"""),"KALIMANTAN BARAT")</f>
        <v>KALIMANTAN BARAT</v>
      </c>
      <c r="R1140" s="19" t="str">
        <f>IFERROR(__xludf.DUMMYFUNCTION("""COMPUTED_VALUE"""),"ISLAM")</f>
        <v>ISLAM</v>
      </c>
      <c r="S1140" s="16" t="str">
        <f>IFERROR(__xludf.DUMMYFUNCTION("""COMPUTED_VALUE"""),"RUMAH TANGGA")</f>
        <v>RUMAH TANGGA</v>
      </c>
      <c r="T1140" s="16" t="str">
        <f>IFERROR(__xludf.DUMMYFUNCTION("""COMPUTED_VALUE"""),"SAKIT DI PERSENDIAN KAKI,TANGAN,LEHER")</f>
        <v>SAKIT DI PERSENDIAN KAKI,TANGAN,LEHER</v>
      </c>
      <c r="U1140" s="16" t="str">
        <f>IFERROR(__xludf.DUMMYFUNCTION("""COMPUTED_VALUE"""),"MEMASAK")</f>
        <v>MEMASAK</v>
      </c>
      <c r="V1140" s="11" t="str">
        <f>IFERROR(__xludf.DUMMYFUNCTION("""COMPUTED_VALUE"""),"089655755120")</f>
        <v>089655755120</v>
      </c>
      <c r="W1140" s="15"/>
    </row>
    <row r="1141" ht="22.5" customHeight="1">
      <c r="A1141" s="8"/>
      <c r="B1141" s="9">
        <f>IFERROR(__xludf.DUMMYFUNCTION("""COMPUTED_VALUE"""),45349.68411091436)</f>
        <v>45349.68411</v>
      </c>
      <c r="C1141" s="9"/>
      <c r="D1141" s="10">
        <f>IFERROR(__xludf.DUMMYFUNCTION("""COMPUTED_VALUE"""),45354.0)</f>
        <v>45354</v>
      </c>
      <c r="E1141" s="10" t="str">
        <f>IFERROR(__xludf.DUMMYFUNCTION("""COMPUTED_VALUE"""),"03Mar")</f>
        <v>03Mar</v>
      </c>
      <c r="F1141" s="10" t="str">
        <f>IFERROR(__xludf.DUMMYFUNCTION("""COMPUTED_VALUE"""),"2024")</f>
        <v>2024</v>
      </c>
      <c r="G1141" s="16" t="str">
        <f>IFERROR(__xludf.DUMMYFUNCTION("""COMPUTED_VALUE"""),"NAZHWA FEBBY HERIANTO")</f>
        <v>NAZHWA FEBBY HERIANTO</v>
      </c>
      <c r="H1141" s="17" t="str">
        <f>IFERROR(__xludf.DUMMYFUNCTION("""COMPUTED_VALUE"""),"N0524034200")</f>
        <v>N0524034200</v>
      </c>
      <c r="I1141" s="17">
        <f>IFERROR(__xludf.DUMMYFUNCTION("""COMPUTED_VALUE"""),21.0)</f>
        <v>21</v>
      </c>
      <c r="J1141" s="17" t="str">
        <f>IFERROR(__xludf.DUMMYFUNCTION("""COMPUTED_VALUE"""),"18-24 tahun")</f>
        <v>18-24 tahun</v>
      </c>
      <c r="K1141" s="19">
        <f>IFERROR(__xludf.DUMMYFUNCTION("""COMPUTED_VALUE"""),38393.0)</f>
        <v>38393</v>
      </c>
      <c r="L1141" s="19" t="str">
        <f>IFERROR(__xludf.DUMMYFUNCTION("""COMPUTED_VALUE"""),"PEREMPUAN")</f>
        <v>PEREMPUAN</v>
      </c>
      <c r="M1141" s="16" t="str">
        <f>IFERROR(__xludf.DUMMYFUNCTION("""COMPUTED_VALUE"""),"JL. M. SOHOR GG. SEDERHANA")</f>
        <v>JL. M. SOHOR GG. SEDERHANA</v>
      </c>
      <c r="N1141" s="16" t="str">
        <f>IFERROR(__xludf.DUMMYFUNCTION("""COMPUTED_VALUE"""),"KEL. AKCAYA")</f>
        <v>KEL. AKCAYA</v>
      </c>
      <c r="O1141" s="16" t="str">
        <f>IFERROR(__xludf.DUMMYFUNCTION("""COMPUTED_VALUE"""),"KEC. PONTIANAK SELATAN")</f>
        <v>KEC. PONTIANAK SELATAN</v>
      </c>
      <c r="P1141" s="16" t="str">
        <f>IFERROR(__xludf.DUMMYFUNCTION("""COMPUTED_VALUE"""),"KOTA PONTIANAK")</f>
        <v>KOTA PONTIANAK</v>
      </c>
      <c r="Q1141" s="16" t="str">
        <f>IFERROR(__xludf.DUMMYFUNCTION("""COMPUTED_VALUE"""),"KALIMANTAN BARAT")</f>
        <v>KALIMANTAN BARAT</v>
      </c>
      <c r="R1141" s="19" t="str">
        <f>IFERROR(__xludf.DUMMYFUNCTION("""COMPUTED_VALUE"""),"ISLAM")</f>
        <v>ISLAM</v>
      </c>
      <c r="S1141" s="16" t="str">
        <f>IFERROR(__xludf.DUMMYFUNCTION("""COMPUTED_VALUE"""),"PELAJAR/MAHASISWA")</f>
        <v>PELAJAR/MAHASISWA</v>
      </c>
      <c r="T1141" s="16" t="str">
        <f>IFERROR(__xludf.DUMMYFUNCTION("""COMPUTED_VALUE"""),"kaki x")</f>
        <v>kaki x</v>
      </c>
      <c r="U1141" s="16" t="str">
        <f>IFERROR(__xludf.DUMMYFUNCTION("""COMPUTED_VALUE"""),"jogging")</f>
        <v>jogging</v>
      </c>
      <c r="V1141" s="11" t="str">
        <f>IFERROR(__xludf.DUMMYFUNCTION("""COMPUTED_VALUE"""),"081248854200")</f>
        <v>081248854200</v>
      </c>
      <c r="W1141" s="15"/>
    </row>
    <row r="1142" ht="22.5" customHeight="1">
      <c r="A1142" s="8"/>
      <c r="B1142" s="9">
        <f>IFERROR(__xludf.DUMMYFUNCTION("""COMPUTED_VALUE"""),45349.74385976852)</f>
        <v>45349.74386</v>
      </c>
      <c r="C1142" s="9"/>
      <c r="D1142" s="10">
        <f>IFERROR(__xludf.DUMMYFUNCTION("""COMPUTED_VALUE"""),45354.0)</f>
        <v>45354</v>
      </c>
      <c r="E1142" s="10" t="str">
        <f>IFERROR(__xludf.DUMMYFUNCTION("""COMPUTED_VALUE"""),"03Mar")</f>
        <v>03Mar</v>
      </c>
      <c r="F1142" s="10" t="str">
        <f>IFERROR(__xludf.DUMMYFUNCTION("""COMPUTED_VALUE"""),"2024")</f>
        <v>2024</v>
      </c>
      <c r="G1142" s="16" t="str">
        <f>IFERROR(__xludf.DUMMYFUNCTION("""COMPUTED_VALUE"""),"UMI SAPARIAH")</f>
        <v>UMI SAPARIAH</v>
      </c>
      <c r="H1142" s="17" t="str">
        <f>IFERROR(__xludf.DUMMYFUNCTION("""COMPUTED_VALUE"""),"U6824034194")</f>
        <v>U6824034194</v>
      </c>
      <c r="I1142" s="17">
        <f>IFERROR(__xludf.DUMMYFUNCTION("""COMPUTED_VALUE"""),58.0)</f>
        <v>58</v>
      </c>
      <c r="J1142" s="17" t="str">
        <f>IFERROR(__xludf.DUMMYFUNCTION("""COMPUTED_VALUE"""),"&gt; 44 tahun")</f>
        <v>&gt; 44 tahun</v>
      </c>
      <c r="K1142" s="19">
        <f>IFERROR(__xludf.DUMMYFUNCTION("""COMPUTED_VALUE"""),24959.0)</f>
        <v>24959</v>
      </c>
      <c r="L1142" s="19" t="str">
        <f>IFERROR(__xludf.DUMMYFUNCTION("""COMPUTED_VALUE"""),"PEREMPUAN")</f>
        <v>PEREMPUAN</v>
      </c>
      <c r="M1142" s="35" t="str">
        <f>IFERROR(__xludf.DUMMYFUNCTION("""COMPUTED_VALUE"""),"JL. KARNA SOSIAL GG. PURWOSARI V NO. 9")</f>
        <v>JL. KARNA SOSIAL GG. PURWOSARI V NO. 9</v>
      </c>
      <c r="N1142" s="16" t="str">
        <f>IFERROR(__xludf.DUMMYFUNCTION("""COMPUTED_VALUE"""),"KEL. AKCAYA")</f>
        <v>KEL. AKCAYA</v>
      </c>
      <c r="O1142" s="16" t="str">
        <f>IFERROR(__xludf.DUMMYFUNCTION("""COMPUTED_VALUE"""),"KEC. PONTIANAK SELATAN")</f>
        <v>KEC. PONTIANAK SELATAN</v>
      </c>
      <c r="P1142" s="16" t="str">
        <f>IFERROR(__xludf.DUMMYFUNCTION("""COMPUTED_VALUE"""),"KOTA PONTIANAK")</f>
        <v>KOTA PONTIANAK</v>
      </c>
      <c r="Q1142" s="16" t="str">
        <f>IFERROR(__xludf.DUMMYFUNCTION("""COMPUTED_VALUE"""),"KALIMANTAN BARAT")</f>
        <v>KALIMANTAN BARAT</v>
      </c>
      <c r="R1142" s="19" t="str">
        <f>IFERROR(__xludf.DUMMYFUNCTION("""COMPUTED_VALUE"""),"ISLAM")</f>
        <v>ISLAM</v>
      </c>
      <c r="S1142" s="16" t="str">
        <f>IFERROR(__xludf.DUMMYFUNCTION("""COMPUTED_VALUE"""),"RUMAH TANGGA")</f>
        <v>RUMAH TANGGA</v>
      </c>
      <c r="T1142" s="16" t="str">
        <f>IFERROR(__xludf.DUMMYFUNCTION("""COMPUTED_VALUE"""),"Lemah badan sebelah kiri, pelo, gampang tersedak")</f>
        <v>Lemah badan sebelah kiri, pelo, gampang tersedak</v>
      </c>
      <c r="U1142" s="16" t="str">
        <f>IFERROR(__xludf.DUMMYFUNCTION("""COMPUTED_VALUE"""),"Menjahit, memasak, bercocok tanam")</f>
        <v>Menjahit, memasak, bercocok tanam</v>
      </c>
      <c r="V1142" s="11" t="str">
        <f>IFERROR(__xludf.DUMMYFUNCTION("""COMPUTED_VALUE"""),"081545514194")</f>
        <v>081545514194</v>
      </c>
      <c r="W1142" s="15"/>
    </row>
    <row r="1143" ht="22.5" customHeight="1">
      <c r="A1143" s="8"/>
      <c r="B1143" s="9">
        <f>IFERROR(__xludf.DUMMYFUNCTION("""COMPUTED_VALUE"""),45349.81983075231)</f>
        <v>45349.81983</v>
      </c>
      <c r="C1143" s="9"/>
      <c r="D1143" s="10">
        <f>IFERROR(__xludf.DUMMYFUNCTION("""COMPUTED_VALUE"""),45354.0)</f>
        <v>45354</v>
      </c>
      <c r="E1143" s="10" t="str">
        <f>IFERROR(__xludf.DUMMYFUNCTION("""COMPUTED_VALUE"""),"03Mar")</f>
        <v>03Mar</v>
      </c>
      <c r="F1143" s="10" t="str">
        <f>IFERROR(__xludf.DUMMYFUNCTION("""COMPUTED_VALUE"""),"2024")</f>
        <v>2024</v>
      </c>
      <c r="G1143" s="16" t="str">
        <f>IFERROR(__xludf.DUMMYFUNCTION("""COMPUTED_VALUE"""),"RASIAH")</f>
        <v>RASIAH</v>
      </c>
      <c r="H1143" s="17" t="str">
        <f>IFERROR(__xludf.DUMMYFUNCTION("""COMPUTED_VALUE"""),"R5524035225")</f>
        <v>R5524035225</v>
      </c>
      <c r="I1143" s="17">
        <f>IFERROR(__xludf.DUMMYFUNCTION("""COMPUTED_VALUE"""),70.0)</f>
        <v>70</v>
      </c>
      <c r="J1143" s="17" t="str">
        <f>IFERROR(__xludf.DUMMYFUNCTION("""COMPUTED_VALUE"""),"&gt; 44 tahun")</f>
        <v>&gt; 44 tahun</v>
      </c>
      <c r="K1143" s="19">
        <f>IFERROR(__xludf.DUMMYFUNCTION("""COMPUTED_VALUE"""),20390.0)</f>
        <v>20390</v>
      </c>
      <c r="L1143" s="19" t="str">
        <f>IFERROR(__xludf.DUMMYFUNCTION("""COMPUTED_VALUE"""),"PEREMPUAN")</f>
        <v>PEREMPUAN</v>
      </c>
      <c r="M1143" s="35" t="str">
        <f>IFERROR(__xludf.DUMMYFUNCTION("""COMPUTED_VALUE"""),"JALAN NIRBAYA NO 03")</f>
        <v>JALAN NIRBAYA NO 03</v>
      </c>
      <c r="N1143" s="16" t="str">
        <f>IFERROR(__xludf.DUMMYFUNCTION("""COMPUTED_VALUE"""),"KEL. KOTA BARU")</f>
        <v>KEL. KOTA BARU</v>
      </c>
      <c r="O1143" s="16" t="str">
        <f>IFERROR(__xludf.DUMMYFUNCTION("""COMPUTED_VALUE"""),"KEC. PONTIANAK SELATAN")</f>
        <v>KEC. PONTIANAK SELATAN</v>
      </c>
      <c r="P1143" s="16" t="str">
        <f>IFERROR(__xludf.DUMMYFUNCTION("""COMPUTED_VALUE"""),"KOTA PONTIANAK")</f>
        <v>KOTA PONTIANAK</v>
      </c>
      <c r="Q1143" s="16" t="str">
        <f>IFERROR(__xludf.DUMMYFUNCTION("""COMPUTED_VALUE"""),"KALIMANTAN BARAT")</f>
        <v>KALIMANTAN BARAT</v>
      </c>
      <c r="R1143" s="19" t="str">
        <f>IFERROR(__xludf.DUMMYFUNCTION("""COMPUTED_VALUE"""),"ISLAM")</f>
        <v>ISLAM</v>
      </c>
      <c r="S1143" s="16" t="str">
        <f>IFERROR(__xludf.DUMMYFUNCTION("""COMPUTED_VALUE"""),"RUMAH TANGGA")</f>
        <v>RUMAH TANGGA</v>
      </c>
      <c r="T1143" s="16" t="str">
        <f>IFERROR(__xludf.DUMMYFUNCTION("""COMPUTED_VALUE"""),"Sakit tulang belakang")</f>
        <v>Sakit tulang belakang</v>
      </c>
      <c r="U1143" s="16" t="str">
        <f>IFERROR(__xludf.DUMMYFUNCTION("""COMPUTED_VALUE"""),"Pekerjaan rumah")</f>
        <v>Pekerjaan rumah</v>
      </c>
      <c r="V1143" s="11" t="str">
        <f>IFERROR(__xludf.DUMMYFUNCTION("""COMPUTED_VALUE"""),"089652755225")</f>
        <v>089652755225</v>
      </c>
      <c r="W1143" s="15"/>
    </row>
    <row r="1144" ht="22.5" customHeight="1">
      <c r="A1144" s="8"/>
      <c r="B1144" s="9">
        <f>IFERROR(__xludf.DUMMYFUNCTION("""COMPUTED_VALUE"""),45349.89127951389)</f>
        <v>45349.89128</v>
      </c>
      <c r="C1144" s="9"/>
      <c r="D1144" s="10">
        <f>IFERROR(__xludf.DUMMYFUNCTION("""COMPUTED_VALUE"""),45355.0)</f>
        <v>45355</v>
      </c>
      <c r="E1144" s="10" t="str">
        <f>IFERROR(__xludf.DUMMYFUNCTION("""COMPUTED_VALUE"""),"03Mar")</f>
        <v>03Mar</v>
      </c>
      <c r="F1144" s="10" t="str">
        <f>IFERROR(__xludf.DUMMYFUNCTION("""COMPUTED_VALUE"""),"2024")</f>
        <v>2024</v>
      </c>
      <c r="G1144" s="16" t="str">
        <f>IFERROR(__xludf.DUMMYFUNCTION("""COMPUTED_VALUE"""),"KENNETH CARMEN")</f>
        <v>KENNETH CARMEN</v>
      </c>
      <c r="H1144" s="17" t="str">
        <f>IFERROR(__xludf.DUMMYFUNCTION("""COMPUTED_VALUE"""),"K9924034069")</f>
        <v>K9924034069</v>
      </c>
      <c r="I1144" s="17">
        <f>IFERROR(__xludf.DUMMYFUNCTION("""COMPUTED_VALUE"""),26.0)</f>
        <v>26</v>
      </c>
      <c r="J1144" s="17" t="str">
        <f>IFERROR(__xludf.DUMMYFUNCTION("""COMPUTED_VALUE"""),"25-34 tahun")</f>
        <v>25-34 tahun</v>
      </c>
      <c r="K1144" s="19">
        <f>IFERROR(__xludf.DUMMYFUNCTION("""COMPUTED_VALUE"""),36424.0)</f>
        <v>36424</v>
      </c>
      <c r="L1144" s="19" t="str">
        <f>IFERROR(__xludf.DUMMYFUNCTION("""COMPUTED_VALUE"""),"LAKI-LAKI")</f>
        <v>LAKI-LAKI</v>
      </c>
      <c r="M1144" s="35" t="str">
        <f>IFERROR(__xludf.DUMMYFUNCTION("""COMPUTED_VALUE"""),"JALAN PURNAMA KOMP PURNAMA SEMPURNA")</f>
        <v>JALAN PURNAMA KOMP PURNAMA SEMPURNA</v>
      </c>
      <c r="N1144" s="16" t="str">
        <f>IFERROR(__xludf.DUMMYFUNCTION("""COMPUTED_VALUE"""),"KEL. AKCAYA")</f>
        <v>KEL. AKCAYA</v>
      </c>
      <c r="O1144" s="16" t="str">
        <f>IFERROR(__xludf.DUMMYFUNCTION("""COMPUTED_VALUE"""),"KEC. PONTIANAK SELATAN")</f>
        <v>KEC. PONTIANAK SELATAN</v>
      </c>
      <c r="P1144" s="16" t="str">
        <f>IFERROR(__xludf.DUMMYFUNCTION("""COMPUTED_VALUE"""),"KOTA PONTIANAK")</f>
        <v>KOTA PONTIANAK</v>
      </c>
      <c r="Q1144" s="16" t="str">
        <f>IFERROR(__xludf.DUMMYFUNCTION("""COMPUTED_VALUE"""),"KALIMANTAN BARAT")</f>
        <v>KALIMANTAN BARAT</v>
      </c>
      <c r="R1144" s="19" t="str">
        <f>IFERROR(__xludf.DUMMYFUNCTION("""COMPUTED_VALUE"""),"KATOLIK")</f>
        <v>KATOLIK</v>
      </c>
      <c r="S1144" s="16" t="str">
        <f>IFERROR(__xludf.DUMMYFUNCTION("""COMPUTED_VALUE"""),"WIRASWASTA")</f>
        <v>WIRASWASTA</v>
      </c>
      <c r="T1144" s="16" t="str">
        <f>IFERROR(__xludf.DUMMYFUNCTION("""COMPUTED_VALUE"""),"Dislokasi Bahu")</f>
        <v>Dislokasi Bahu</v>
      </c>
      <c r="U1144" s="16" t="str">
        <f>IFERROR(__xludf.DUMMYFUNCTION("""COMPUTED_VALUE"""),"gym")</f>
        <v>gym</v>
      </c>
      <c r="V1144" s="11" t="str">
        <f>IFERROR(__xludf.DUMMYFUNCTION("""COMPUTED_VALUE"""),"082154704069")</f>
        <v>082154704069</v>
      </c>
      <c r="W1144" s="15"/>
    </row>
    <row r="1145" ht="22.5" customHeight="1">
      <c r="A1145" s="8"/>
      <c r="B1145" s="9">
        <f>IFERROR(__xludf.DUMMYFUNCTION("""COMPUTED_VALUE"""),45350.45294679399)</f>
        <v>45350.45295</v>
      </c>
      <c r="C1145" s="9"/>
      <c r="D1145" s="10">
        <f>IFERROR(__xludf.DUMMYFUNCTION("""COMPUTED_VALUE"""),45355.0)</f>
        <v>45355</v>
      </c>
      <c r="E1145" s="10" t="str">
        <f>IFERROR(__xludf.DUMMYFUNCTION("""COMPUTED_VALUE"""),"03Mar")</f>
        <v>03Mar</v>
      </c>
      <c r="F1145" s="10" t="str">
        <f>IFERROR(__xludf.DUMMYFUNCTION("""COMPUTED_VALUE"""),"2024")</f>
        <v>2024</v>
      </c>
      <c r="G1145" s="16" t="str">
        <f>IFERROR(__xludf.DUMMYFUNCTION("""COMPUTED_VALUE"""),"ERNAWATI LEHER")</f>
        <v>ERNAWATI LEHER</v>
      </c>
      <c r="H1145" s="17" t="str">
        <f>IFERROR(__xludf.DUMMYFUNCTION("""COMPUTED_VALUE"""),"E9424039040")</f>
        <v>E9424039040</v>
      </c>
      <c r="I1145" s="17">
        <f>IFERROR(__xludf.DUMMYFUNCTION("""COMPUTED_VALUE"""),32.0)</f>
        <v>32</v>
      </c>
      <c r="J1145" s="17" t="str">
        <f>IFERROR(__xludf.DUMMYFUNCTION("""COMPUTED_VALUE"""),"25-34 tahun")</f>
        <v>25-34 tahun</v>
      </c>
      <c r="K1145" s="19">
        <f>IFERROR(__xludf.DUMMYFUNCTION("""COMPUTED_VALUE"""),34454.0)</f>
        <v>34454</v>
      </c>
      <c r="L1145" s="19" t="str">
        <f>IFERROR(__xludf.DUMMYFUNCTION("""COMPUTED_VALUE"""),"PEREMPUAN")</f>
        <v>PEREMPUAN</v>
      </c>
      <c r="M1145" s="35" t="str">
        <f>IFERROR(__xludf.DUMMYFUNCTION("""COMPUTED_VALUE"""),"JL. HRA.RAHMAN GANG NUSA")</f>
        <v>JL. HRA.RAHMAN GANG NUSA</v>
      </c>
      <c r="N1145" s="16" t="str">
        <f>IFERROR(__xludf.DUMMYFUNCTION("""COMPUTED_VALUE"""),"KEL. SUNGAI JAWI")</f>
        <v>KEL. SUNGAI JAWI</v>
      </c>
      <c r="O1145" s="16" t="str">
        <f>IFERROR(__xludf.DUMMYFUNCTION("""COMPUTED_VALUE"""),"KEC. PONTIANAK BARAT")</f>
        <v>KEC. PONTIANAK BARAT</v>
      </c>
      <c r="P1145" s="16" t="str">
        <f>IFERROR(__xludf.DUMMYFUNCTION("""COMPUTED_VALUE"""),"KOTA PONTIANAK")</f>
        <v>KOTA PONTIANAK</v>
      </c>
      <c r="Q1145" s="16" t="str">
        <f>IFERROR(__xludf.DUMMYFUNCTION("""COMPUTED_VALUE"""),"KALIMANTAN BARAT")</f>
        <v>KALIMANTAN BARAT</v>
      </c>
      <c r="R1145" s="19" t="str">
        <f>IFERROR(__xludf.DUMMYFUNCTION("""COMPUTED_VALUE"""),"BUDDHA")</f>
        <v>BUDDHA</v>
      </c>
      <c r="S1145" s="16" t="str">
        <f>IFERROR(__xludf.DUMMYFUNCTION("""COMPUTED_VALUE"""),"SWASTA")</f>
        <v>SWASTA</v>
      </c>
      <c r="T1145" s="16" t="str">
        <f>IFERROR(__xludf.DUMMYFUNCTION("""COMPUTED_VALUE"""),"Salah tidur, leher sakit tidak bisa ke kanan")</f>
        <v>Salah tidur, leher sakit tidak bisa ke kanan</v>
      </c>
      <c r="U1145" s="16" t="str">
        <f>IFERROR(__xludf.DUMMYFUNCTION("""COMPUTED_VALUE"""),"Tidak ada")</f>
        <v>Tidak ada</v>
      </c>
      <c r="V1145" s="11" t="str">
        <f>IFERROR(__xludf.DUMMYFUNCTION("""COMPUTED_VALUE"""),"085849009040")</f>
        <v>085849009040</v>
      </c>
      <c r="W1145" s="15"/>
    </row>
    <row r="1146" ht="22.5" customHeight="1">
      <c r="A1146" s="8"/>
      <c r="B1146" s="9">
        <f>IFERROR(__xludf.DUMMYFUNCTION("""COMPUTED_VALUE"""),45350.53566581018)</f>
        <v>45350.53567</v>
      </c>
      <c r="C1146" s="9"/>
      <c r="D1146" s="10">
        <f>IFERROR(__xludf.DUMMYFUNCTION("""COMPUTED_VALUE"""),45356.0)</f>
        <v>45356</v>
      </c>
      <c r="E1146" s="10" t="str">
        <f>IFERROR(__xludf.DUMMYFUNCTION("""COMPUTED_VALUE"""),"03Mar")</f>
        <v>03Mar</v>
      </c>
      <c r="F1146" s="10" t="str">
        <f>IFERROR(__xludf.DUMMYFUNCTION("""COMPUTED_VALUE"""),"2024")</f>
        <v>2024</v>
      </c>
      <c r="G1146" s="16" t="str">
        <f>IFERROR(__xludf.DUMMYFUNCTION("""COMPUTED_VALUE"""),"IRINE PUTRI ARFIANY")</f>
        <v>IRINE PUTRI ARFIANY</v>
      </c>
      <c r="H1146" s="17" t="str">
        <f>IFERROR(__xludf.DUMMYFUNCTION("""COMPUTED_VALUE"""),"I9324039638")</f>
        <v>I9324039638</v>
      </c>
      <c r="I1146" s="17">
        <f>IFERROR(__xludf.DUMMYFUNCTION("""COMPUTED_VALUE"""),32.0)</f>
        <v>32</v>
      </c>
      <c r="J1146" s="17" t="str">
        <f>IFERROR(__xludf.DUMMYFUNCTION("""COMPUTED_VALUE"""),"25-34 tahun")</f>
        <v>25-34 tahun</v>
      </c>
      <c r="K1146" s="19">
        <f>IFERROR(__xludf.DUMMYFUNCTION("""COMPUTED_VALUE"""),34253.0)</f>
        <v>34253</v>
      </c>
      <c r="L1146" s="19" t="str">
        <f>IFERROR(__xludf.DUMMYFUNCTION("""COMPUTED_VALUE"""),"PEREMPUAN")</f>
        <v>PEREMPUAN</v>
      </c>
      <c r="M1146" s="35" t="str">
        <f>IFERROR(__xludf.DUMMYFUNCTION("""COMPUTED_VALUE"""),"JLN YA M SABRAN KOMPLEK VILLA ELEKTRIK PERMAI BLOK DII/23")</f>
        <v>JLN YA M SABRAN KOMPLEK VILLA ELEKTRIK PERMAI BLOK DII/23</v>
      </c>
      <c r="N1146" s="16" t="str">
        <f>IFERROR(__xludf.DUMMYFUNCTION("""COMPUTED_VALUE"""),"KEL. TANJUNG HULU")</f>
        <v>KEL. TANJUNG HULU</v>
      </c>
      <c r="O1146" s="16" t="str">
        <f>IFERROR(__xludf.DUMMYFUNCTION("""COMPUTED_VALUE"""),"KEC. PONTIANAK TIMUR")</f>
        <v>KEC. PONTIANAK TIMUR</v>
      </c>
      <c r="P1146" s="16" t="str">
        <f>IFERROR(__xludf.DUMMYFUNCTION("""COMPUTED_VALUE"""),"KOTA PONTIANAK")</f>
        <v>KOTA PONTIANAK</v>
      </c>
      <c r="Q1146" s="16" t="str">
        <f>IFERROR(__xludf.DUMMYFUNCTION("""COMPUTED_VALUE"""),"KALIMANTAN BARAT")</f>
        <v>KALIMANTAN BARAT</v>
      </c>
      <c r="R1146" s="19" t="str">
        <f>IFERROR(__xludf.DUMMYFUNCTION("""COMPUTED_VALUE"""),"ISLAM")</f>
        <v>ISLAM</v>
      </c>
      <c r="S1146" s="16" t="str">
        <f>IFERROR(__xludf.DUMMYFUNCTION("""COMPUTED_VALUE"""),"RUMAH TANGGA")</f>
        <v>RUMAH TANGGA</v>
      </c>
      <c r="T1146" s="16" t="str">
        <f>IFERROR(__xludf.DUMMYFUNCTION("""COMPUTED_VALUE"""),"Otot kaki tegang")</f>
        <v>Otot kaki tegang</v>
      </c>
      <c r="U1146" s="16" t="str">
        <f>IFERROR(__xludf.DUMMYFUNCTION("""COMPUTED_VALUE"""),"-")</f>
        <v>-</v>
      </c>
      <c r="V1146" s="11" t="str">
        <f>IFERROR(__xludf.DUMMYFUNCTION("""COMPUTED_VALUE"""),"081348629638")</f>
        <v>081348629638</v>
      </c>
      <c r="W1146" s="15"/>
    </row>
    <row r="1147" ht="22.5" customHeight="1">
      <c r="A1147" s="8"/>
      <c r="B1147" s="9">
        <f>IFERROR(__xludf.DUMMYFUNCTION("""COMPUTED_VALUE"""),45350.81184993056)</f>
        <v>45350.81185</v>
      </c>
      <c r="C1147" s="9"/>
      <c r="D1147" s="10">
        <f>IFERROR(__xludf.DUMMYFUNCTION("""COMPUTED_VALUE"""),45356.0)</f>
        <v>45356</v>
      </c>
      <c r="E1147" s="10" t="str">
        <f>IFERROR(__xludf.DUMMYFUNCTION("""COMPUTED_VALUE"""),"03Mar")</f>
        <v>03Mar</v>
      </c>
      <c r="F1147" s="10" t="str">
        <f>IFERROR(__xludf.DUMMYFUNCTION("""COMPUTED_VALUE"""),"2024")</f>
        <v>2024</v>
      </c>
      <c r="G1147" s="16" t="str">
        <f>IFERROR(__xludf.DUMMYFUNCTION("""COMPUTED_VALUE"""),"YANE TRISTIANTI")</f>
        <v>YANE TRISTIANTI</v>
      </c>
      <c r="H1147" s="17" t="str">
        <f>IFERROR(__xludf.DUMMYFUNCTION("""COMPUTED_VALUE"""),"Y7724037898")</f>
        <v>Y7724037898</v>
      </c>
      <c r="I1147" s="17">
        <f>IFERROR(__xludf.DUMMYFUNCTION("""COMPUTED_VALUE"""),49.0)</f>
        <v>49</v>
      </c>
      <c r="J1147" s="17" t="str">
        <f>IFERROR(__xludf.DUMMYFUNCTION("""COMPUTED_VALUE"""),"&gt; 44 tahun")</f>
        <v>&gt; 44 tahun</v>
      </c>
      <c r="K1147" s="19">
        <f>IFERROR(__xludf.DUMMYFUNCTION("""COMPUTED_VALUE"""),28141.0)</f>
        <v>28141</v>
      </c>
      <c r="L1147" s="19" t="str">
        <f>IFERROR(__xludf.DUMMYFUNCTION("""COMPUTED_VALUE"""),"PEREMPUAN")</f>
        <v>PEREMPUAN</v>
      </c>
      <c r="M1147" s="35" t="str">
        <f>IFERROR(__xludf.DUMMYFUNCTION("""COMPUTED_VALUE"""),"JL.DR. WAHIDIN S. NO.9 RT.002 RW.028 PONTIANAK KOTA")</f>
        <v>JL.DR. WAHIDIN S. NO.9 RT.002 RW.028 PONTIANAK KOTA</v>
      </c>
      <c r="N1147" s="16" t="str">
        <f>IFERROR(__xludf.DUMMYFUNCTION("""COMPUTED_VALUE"""),"KEL. SUNGAI JAWI")</f>
        <v>KEL. SUNGAI JAWI</v>
      </c>
      <c r="O1147" s="16" t="str">
        <f>IFERROR(__xludf.DUMMYFUNCTION("""COMPUTED_VALUE"""),"KEC. PONTIANAK KOTA")</f>
        <v>KEC. PONTIANAK KOTA</v>
      </c>
      <c r="P1147" s="16" t="str">
        <f>IFERROR(__xludf.DUMMYFUNCTION("""COMPUTED_VALUE"""),"KOTA PONTIANAK")</f>
        <v>KOTA PONTIANAK</v>
      </c>
      <c r="Q1147" s="16" t="str">
        <f>IFERROR(__xludf.DUMMYFUNCTION("""COMPUTED_VALUE"""),"KALIMANTAN BARAT")</f>
        <v>KALIMANTAN BARAT</v>
      </c>
      <c r="R1147" s="19" t="str">
        <f>IFERROR(__xludf.DUMMYFUNCTION("""COMPUTED_VALUE"""),"ISLAM")</f>
        <v>ISLAM</v>
      </c>
      <c r="S1147" s="16" t="str">
        <f>IFERROR(__xludf.DUMMYFUNCTION("""COMPUTED_VALUE"""),"RUMAH TANGGA")</f>
        <v>RUMAH TANGGA</v>
      </c>
      <c r="T1147" s="16" t="str">
        <f>IFERROR(__xludf.DUMMYFUNCTION("""COMPUTED_VALUE"""),"Nyeri dan bengkak otot paha (di atas dengkul)")</f>
        <v>Nyeri dan bengkak otot paha (di atas dengkul)</v>
      </c>
      <c r="U1147" s="16" t="str">
        <f>IFERROR(__xludf.DUMMYFUNCTION("""COMPUTED_VALUE"""),"Ibu rumah tangga")</f>
        <v>Ibu rumah tangga</v>
      </c>
      <c r="V1147" s="11" t="str">
        <f>IFERROR(__xludf.DUMMYFUNCTION("""COMPUTED_VALUE"""),"085753067898")</f>
        <v>085753067898</v>
      </c>
      <c r="W1147" s="15"/>
    </row>
    <row r="1148" ht="22.5" customHeight="1">
      <c r="A1148" s="8"/>
      <c r="B1148" s="9">
        <f>IFERROR(__xludf.DUMMYFUNCTION("""COMPUTED_VALUE"""),45350.813100046296)</f>
        <v>45350.8131</v>
      </c>
      <c r="C1148" s="9"/>
      <c r="D1148" s="34">
        <f>IFERROR(__xludf.DUMMYFUNCTION("""COMPUTED_VALUE"""),45356.63215748842)</f>
        <v>45356.63216</v>
      </c>
      <c r="E1148" s="34" t="str">
        <f>IFERROR(__xludf.DUMMYFUNCTION("""COMPUTED_VALUE"""),"03Mar")</f>
        <v>03Mar</v>
      </c>
      <c r="F1148" s="34" t="str">
        <f>IFERROR(__xludf.DUMMYFUNCTION("""COMPUTED_VALUE"""),"2024")</f>
        <v>2024</v>
      </c>
      <c r="G1148" s="35" t="str">
        <f>IFERROR(__xludf.DUMMYFUNCTION("""COMPUTED_VALUE"""),"PRISTANTO NUGROHO SARLINTON")</f>
        <v>PRISTANTO NUGROHO SARLINTON</v>
      </c>
      <c r="H1148" s="17" t="str">
        <f>IFERROR(__xludf.DUMMYFUNCTION("""COMPUTED_VALUE"""),"P9024032828")</f>
        <v>P9024032828</v>
      </c>
      <c r="I1148" s="17">
        <f>IFERROR(__xludf.DUMMYFUNCTION("""COMPUTED_VALUE"""),36.0)</f>
        <v>36</v>
      </c>
      <c r="J1148" s="17" t="str">
        <f>IFERROR(__xludf.DUMMYFUNCTION("""COMPUTED_VALUE"""),"35-44 tahun")</f>
        <v>35-44 tahun</v>
      </c>
      <c r="K1148" s="19">
        <f>IFERROR(__xludf.DUMMYFUNCTION("""COMPUTED_VALUE"""),32912.0)</f>
        <v>32912</v>
      </c>
      <c r="L1148" s="19" t="str">
        <f>IFERROR(__xludf.DUMMYFUNCTION("""COMPUTED_VALUE"""),"LAKI-LAKI")</f>
        <v>LAKI-LAKI</v>
      </c>
      <c r="M1148" s="35" t="str">
        <f>IFERROR(__xludf.DUMMYFUNCTION("""COMPUTED_VALUE"""),"JALAN ADISUCIPTO KM 13,5 GANG BUNGA NO 7")</f>
        <v>JALAN ADISUCIPTO KM 13,5 GANG BUNGA NO 7</v>
      </c>
      <c r="N1148" s="16" t="str">
        <f>IFERROR(__xludf.DUMMYFUNCTION("""COMPUTED_VALUE"""),"DS. ARANG LIMBUNG")</f>
        <v>DS. ARANG LIMBUNG</v>
      </c>
      <c r="O1148" s="16" t="str">
        <f>IFERROR(__xludf.DUMMYFUNCTION("""COMPUTED_VALUE"""),"KEC. SUNGAI RAYA")</f>
        <v>KEC. SUNGAI RAYA</v>
      </c>
      <c r="P1148" s="16" t="str">
        <f>IFERROR(__xludf.DUMMYFUNCTION("""COMPUTED_VALUE"""),"KAB. KUBU RAYA")</f>
        <v>KAB. KUBU RAYA</v>
      </c>
      <c r="Q1148" s="16" t="str">
        <f>IFERROR(__xludf.DUMMYFUNCTION("""COMPUTED_VALUE"""),"KALIMANTAN BARAT")</f>
        <v>KALIMANTAN BARAT</v>
      </c>
      <c r="R1148" s="19" t="str">
        <f>IFERROR(__xludf.DUMMYFUNCTION("""COMPUTED_VALUE"""),"ISLAM")</f>
        <v>ISLAM</v>
      </c>
      <c r="S1148" s="16" t="str">
        <f>IFERROR(__xludf.DUMMYFUNCTION("""COMPUTED_VALUE"""),"SWASTA")</f>
        <v>SWASTA</v>
      </c>
      <c r="T1148" s="16" t="str">
        <f>IFERROR(__xludf.DUMMYFUNCTION("""COMPUTED_VALUE"""),"Ligamen lulut kiri")</f>
        <v>Ligamen lulut kiri</v>
      </c>
      <c r="U1148" s="16" t="str">
        <f>IFERROR(__xludf.DUMMYFUNCTION("""COMPUTED_VALUE"""),"Ngopi")</f>
        <v>Ngopi</v>
      </c>
      <c r="V1148" s="11" t="str">
        <f>IFERROR(__xludf.DUMMYFUNCTION("""COMPUTED_VALUE"""),"08115712828")</f>
        <v>08115712828</v>
      </c>
      <c r="W1148" s="15"/>
    </row>
    <row r="1149" ht="22.5" customHeight="1">
      <c r="A1149" s="8"/>
      <c r="B1149" s="9">
        <f>IFERROR(__xludf.DUMMYFUNCTION("""COMPUTED_VALUE"""),45353.41981924769)</f>
        <v>45353.41982</v>
      </c>
      <c r="C1149" s="9"/>
      <c r="D1149" s="10">
        <f>IFERROR(__xludf.DUMMYFUNCTION("""COMPUTED_VALUE"""),45357.0)</f>
        <v>45357</v>
      </c>
      <c r="E1149" s="10" t="str">
        <f>IFERROR(__xludf.DUMMYFUNCTION("""COMPUTED_VALUE"""),"03Mar")</f>
        <v>03Mar</v>
      </c>
      <c r="F1149" s="10" t="str">
        <f>IFERROR(__xludf.DUMMYFUNCTION("""COMPUTED_VALUE"""),"2024")</f>
        <v>2024</v>
      </c>
      <c r="G1149" s="16" t="str">
        <f>IFERROR(__xludf.DUMMYFUNCTION("""COMPUTED_VALUE"""),"KHELLY CLOUDIA HAN")</f>
        <v>KHELLY CLOUDIA HAN</v>
      </c>
      <c r="H1149" s="17" t="str">
        <f>IFERROR(__xludf.DUMMYFUNCTION("""COMPUTED_VALUE"""),"K0524031005")</f>
        <v>K0524031005</v>
      </c>
      <c r="I1149" s="17">
        <f>IFERROR(__xludf.DUMMYFUNCTION("""COMPUTED_VALUE"""),20.0)</f>
        <v>20</v>
      </c>
      <c r="J1149" s="17" t="str">
        <f>IFERROR(__xludf.DUMMYFUNCTION("""COMPUTED_VALUE"""),"18-24 tahun")</f>
        <v>18-24 tahun</v>
      </c>
      <c r="K1149" s="19">
        <f>IFERROR(__xludf.DUMMYFUNCTION("""COMPUTED_VALUE"""),38602.0)</f>
        <v>38602</v>
      </c>
      <c r="L1149" s="19" t="str">
        <f>IFERROR(__xludf.DUMMYFUNCTION("""COMPUTED_VALUE"""),"PEREMPUAN")</f>
        <v>PEREMPUAN</v>
      </c>
      <c r="M1149" s="35" t="str">
        <f>IFERROR(__xludf.DUMMYFUNCTION("""COMPUTED_VALUE"""),"JL KEBANGKITAN NASIONAL NO 2")</f>
        <v>JL KEBANGKITAN NASIONAL NO 2</v>
      </c>
      <c r="N1149" s="16" t="str">
        <f>IFERROR(__xludf.DUMMYFUNCTION("""COMPUTED_VALUE"""),"KEL. SIANTAN HULU")</f>
        <v>KEL. SIANTAN HULU</v>
      </c>
      <c r="O1149" s="16" t="str">
        <f>IFERROR(__xludf.DUMMYFUNCTION("""COMPUTED_VALUE"""),"KEC. PONTIANAK UTARA")</f>
        <v>KEC. PONTIANAK UTARA</v>
      </c>
      <c r="P1149" s="16" t="str">
        <f>IFERROR(__xludf.DUMMYFUNCTION("""COMPUTED_VALUE"""),"KOTA PONTIANAK")</f>
        <v>KOTA PONTIANAK</v>
      </c>
      <c r="Q1149" s="16" t="str">
        <f>IFERROR(__xludf.DUMMYFUNCTION("""COMPUTED_VALUE"""),"KALIMANTAN BARAT")</f>
        <v>KALIMANTAN BARAT</v>
      </c>
      <c r="R1149" s="19" t="str">
        <f>IFERROR(__xludf.DUMMYFUNCTION("""COMPUTED_VALUE"""),"PROTESTAN")</f>
        <v>PROTESTAN</v>
      </c>
      <c r="S1149" s="16" t="str">
        <f>IFERROR(__xludf.DUMMYFUNCTION("""COMPUTED_VALUE"""),"PELAJAR/MAHASISWA")</f>
        <v>PELAJAR/MAHASISWA</v>
      </c>
      <c r="T1149" s="16" t="str">
        <f>IFERROR(__xludf.DUMMYFUNCTION("""COMPUTED_VALUE"""),"Postur tubuh agak bungkuk")</f>
        <v>Postur tubuh agak bungkuk</v>
      </c>
      <c r="U1149" s="16" t="str">
        <f>IFERROR(__xludf.DUMMYFUNCTION("""COMPUTED_VALUE"""),"Menari/ kuliah")</f>
        <v>Menari/ kuliah</v>
      </c>
      <c r="V1149" s="11" t="str">
        <f>IFERROR(__xludf.DUMMYFUNCTION("""COMPUTED_VALUE"""),"081315871005")</f>
        <v>081315871005</v>
      </c>
      <c r="W1149" s="15"/>
    </row>
    <row r="1150" ht="22.5" customHeight="1">
      <c r="A1150" s="8"/>
      <c r="B1150" s="9">
        <f>IFERROR(__xludf.DUMMYFUNCTION("""COMPUTED_VALUE"""),45353.524279907404)</f>
        <v>45353.52428</v>
      </c>
      <c r="C1150" s="9"/>
      <c r="D1150" s="10">
        <f>IFERROR(__xludf.DUMMYFUNCTION("""COMPUTED_VALUE"""),45357.0)</f>
        <v>45357</v>
      </c>
      <c r="E1150" s="10" t="str">
        <f>IFERROR(__xludf.DUMMYFUNCTION("""COMPUTED_VALUE"""),"03Mar")</f>
        <v>03Mar</v>
      </c>
      <c r="F1150" s="10" t="str">
        <f>IFERROR(__xludf.DUMMYFUNCTION("""COMPUTED_VALUE"""),"2024")</f>
        <v>2024</v>
      </c>
      <c r="G1150" s="16" t="str">
        <f>IFERROR(__xludf.DUMMYFUNCTION("""COMPUTED_VALUE"""),"AHMADI IRIANSYAH")</f>
        <v>AHMADI IRIANSYAH</v>
      </c>
      <c r="H1150" s="17" t="str">
        <f>IFERROR(__xludf.DUMMYFUNCTION("""COMPUTED_VALUE"""),"A6024033325")</f>
        <v>A6024033325</v>
      </c>
      <c r="I1150" s="17">
        <f>IFERROR(__xludf.DUMMYFUNCTION("""COMPUTED_VALUE"""),66.0)</f>
        <v>66</v>
      </c>
      <c r="J1150" s="17" t="str">
        <f>IFERROR(__xludf.DUMMYFUNCTION("""COMPUTED_VALUE"""),"&gt; 44 tahun")</f>
        <v>&gt; 44 tahun</v>
      </c>
      <c r="K1150" s="19">
        <f>IFERROR(__xludf.DUMMYFUNCTION("""COMPUTED_VALUE"""),22050.0)</f>
        <v>22050</v>
      </c>
      <c r="L1150" s="19" t="str">
        <f>IFERROR(__xludf.DUMMYFUNCTION("""COMPUTED_VALUE"""),"LAKI-LAKI")</f>
        <v>LAKI-LAKI</v>
      </c>
      <c r="M1150" s="35" t="str">
        <f>IFERROR(__xludf.DUMMYFUNCTION("""COMPUTED_VALUE"""),"JL KHATULISITWA GG TELUK BETUNG 3 NO 19")</f>
        <v>JL KHATULISITWA GG TELUK BETUNG 3 NO 19</v>
      </c>
      <c r="N1150" s="16" t="str">
        <f>IFERROR(__xludf.DUMMYFUNCTION("""COMPUTED_VALUE"""),"KEL. SIANTAN HILIR")</f>
        <v>KEL. SIANTAN HILIR</v>
      </c>
      <c r="O1150" s="16" t="str">
        <f>IFERROR(__xludf.DUMMYFUNCTION("""COMPUTED_VALUE"""),"KEC. PONTIANAK UTARA")</f>
        <v>KEC. PONTIANAK UTARA</v>
      </c>
      <c r="P1150" s="16" t="str">
        <f>IFERROR(__xludf.DUMMYFUNCTION("""COMPUTED_VALUE"""),"KOTA PONTIANAK")</f>
        <v>KOTA PONTIANAK</v>
      </c>
      <c r="Q1150" s="16" t="str">
        <f>IFERROR(__xludf.DUMMYFUNCTION("""COMPUTED_VALUE"""),"KALIMANTAN BARAT")</f>
        <v>KALIMANTAN BARAT</v>
      </c>
      <c r="R1150" s="19" t="str">
        <f>IFERROR(__xludf.DUMMYFUNCTION("""COMPUTED_VALUE"""),"ISLAM")</f>
        <v>ISLAM</v>
      </c>
      <c r="S1150" s="16" t="str">
        <f>IFERROR(__xludf.DUMMYFUNCTION("""COMPUTED_VALUE"""),"PENSIUN")</f>
        <v>PENSIUN</v>
      </c>
      <c r="T1150" s="16" t="str">
        <f>IFERROR(__xludf.DUMMYFUNCTION("""COMPUTED_VALUE"""),"Sendi")</f>
        <v>Sendi</v>
      </c>
      <c r="U1150" s="16" t="str">
        <f>IFERROR(__xludf.DUMMYFUNCTION("""COMPUTED_VALUE"""),"-")</f>
        <v>-</v>
      </c>
      <c r="V1150" s="11" t="str">
        <f>IFERROR(__xludf.DUMMYFUNCTION("""COMPUTED_VALUE"""),"085245083325")</f>
        <v>085245083325</v>
      </c>
      <c r="W1150" s="15"/>
    </row>
    <row r="1151" ht="22.5" customHeight="1">
      <c r="A1151" s="8"/>
      <c r="B1151" s="9">
        <f>IFERROR(__xludf.DUMMYFUNCTION("""COMPUTED_VALUE"""),45353.52906793982)</f>
        <v>45353.52907</v>
      </c>
      <c r="C1151" s="9"/>
      <c r="D1151" s="10">
        <f>IFERROR(__xludf.DUMMYFUNCTION("""COMPUTED_VALUE"""),45357.0)</f>
        <v>45357</v>
      </c>
      <c r="E1151" s="10" t="str">
        <f>IFERROR(__xludf.DUMMYFUNCTION("""COMPUTED_VALUE"""),"03Mar")</f>
        <v>03Mar</v>
      </c>
      <c r="F1151" s="10" t="str">
        <f>IFERROR(__xludf.DUMMYFUNCTION("""COMPUTED_VALUE"""),"2024")</f>
        <v>2024</v>
      </c>
      <c r="G1151" s="16" t="str">
        <f>IFERROR(__xludf.DUMMYFUNCTION("""COMPUTED_VALUE"""),"REZA DERMAWAN")</f>
        <v>REZA DERMAWAN</v>
      </c>
      <c r="H1151" s="17" t="str">
        <f>IFERROR(__xludf.DUMMYFUNCTION("""COMPUTED_VALUE"""),"R9724036916")</f>
        <v>R9724036916</v>
      </c>
      <c r="I1151" s="17">
        <f>IFERROR(__xludf.DUMMYFUNCTION("""COMPUTED_VALUE"""),28.0)</f>
        <v>28</v>
      </c>
      <c r="J1151" s="17" t="str">
        <f>IFERROR(__xludf.DUMMYFUNCTION("""COMPUTED_VALUE"""),"25-34 tahun")</f>
        <v>25-34 tahun</v>
      </c>
      <c r="K1151" s="19">
        <f>IFERROR(__xludf.DUMMYFUNCTION("""COMPUTED_VALUE"""),35677.0)</f>
        <v>35677</v>
      </c>
      <c r="L1151" s="19" t="str">
        <f>IFERROR(__xludf.DUMMYFUNCTION("""COMPUTED_VALUE"""),"LAKI-LAKI")</f>
        <v>LAKI-LAKI</v>
      </c>
      <c r="M1151" s="35" t="str">
        <f>IFERROR(__xludf.DUMMYFUNCTION("""COMPUTED_VALUE"""),"JALAN KARER . GG KARET INDAH , NO.5")</f>
        <v>JALAN KARER . GG KARET INDAH , NO.5</v>
      </c>
      <c r="N1151" s="16" t="str">
        <f>IFERROR(__xludf.DUMMYFUNCTION("""COMPUTED_VALUE"""),"KEL. SUNGAI BELIUNG")</f>
        <v>KEL. SUNGAI BELIUNG</v>
      </c>
      <c r="O1151" s="16" t="str">
        <f>IFERROR(__xludf.DUMMYFUNCTION("""COMPUTED_VALUE"""),"KEC. PONTIANAK BARAT")</f>
        <v>KEC. PONTIANAK BARAT</v>
      </c>
      <c r="P1151" s="16" t="str">
        <f>IFERROR(__xludf.DUMMYFUNCTION("""COMPUTED_VALUE"""),"KOTA PONTIANAK")</f>
        <v>KOTA PONTIANAK</v>
      </c>
      <c r="Q1151" s="16" t="str">
        <f>IFERROR(__xludf.DUMMYFUNCTION("""COMPUTED_VALUE"""),"KALIMANTAN BARAT")</f>
        <v>KALIMANTAN BARAT</v>
      </c>
      <c r="R1151" s="19" t="str">
        <f>IFERROR(__xludf.DUMMYFUNCTION("""COMPUTED_VALUE"""),"ISLAM")</f>
        <v>ISLAM</v>
      </c>
      <c r="S1151" s="16" t="str">
        <f>IFERROR(__xludf.DUMMYFUNCTION("""COMPUTED_VALUE"""),"SWASTA")</f>
        <v>SWASTA</v>
      </c>
      <c r="T1151" s="16" t="str">
        <f>IFERROR(__xludf.DUMMYFUNCTION("""COMPUTED_VALUE"""),"Engsel kaki tergelincir")</f>
        <v>Engsel kaki tergelincir</v>
      </c>
      <c r="U1151" s="16" t="str">
        <f>IFERROR(__xludf.DUMMYFUNCTION("""COMPUTED_VALUE"""),"Tenis dan sepak bola")</f>
        <v>Tenis dan sepak bola</v>
      </c>
      <c r="V1151" s="11" t="str">
        <f>IFERROR(__xludf.DUMMYFUNCTION("""COMPUTED_VALUE"""),"08989606916")</f>
        <v>08989606916</v>
      </c>
      <c r="W1151" s="15"/>
    </row>
    <row r="1152" ht="22.5" customHeight="1">
      <c r="A1152" s="8"/>
      <c r="B1152" s="9">
        <f>IFERROR(__xludf.DUMMYFUNCTION("""COMPUTED_VALUE"""),45353.7468837037)</f>
        <v>45353.74688</v>
      </c>
      <c r="C1152" s="9"/>
      <c r="D1152" s="34">
        <f>IFERROR(__xludf.DUMMYFUNCTION("""COMPUTED_VALUE"""),45357.0)</f>
        <v>45357</v>
      </c>
      <c r="E1152" s="34" t="str">
        <f>IFERROR(__xludf.DUMMYFUNCTION("""COMPUTED_VALUE"""),"03Mar")</f>
        <v>03Mar</v>
      </c>
      <c r="F1152" s="34" t="str">
        <f>IFERROR(__xludf.DUMMYFUNCTION("""COMPUTED_VALUE"""),"2024")</f>
        <v>2024</v>
      </c>
      <c r="G1152" s="16" t="str">
        <f>IFERROR(__xludf.DUMMYFUNCTION("""COMPUTED_VALUE"""),"ALEXANDER ERICK")</f>
        <v>ALEXANDER ERICK</v>
      </c>
      <c r="H1152" s="17" t="str">
        <f>IFERROR(__xludf.DUMMYFUNCTION("""COMPUTED_VALUE"""),"A8824038829")</f>
        <v>A8824038829</v>
      </c>
      <c r="I1152" s="17">
        <f>IFERROR(__xludf.DUMMYFUNCTION("""COMPUTED_VALUE"""),37.0)</f>
        <v>37</v>
      </c>
      <c r="J1152" s="17" t="str">
        <f>IFERROR(__xludf.DUMMYFUNCTION("""COMPUTED_VALUE"""),"35-44 tahun")</f>
        <v>35-44 tahun</v>
      </c>
      <c r="K1152" s="19">
        <f>IFERROR(__xludf.DUMMYFUNCTION("""COMPUTED_VALUE"""),32504.0)</f>
        <v>32504</v>
      </c>
      <c r="L1152" s="19" t="str">
        <f>IFERROR(__xludf.DUMMYFUNCTION("""COMPUTED_VALUE"""),"LAKI-LAKI")</f>
        <v>LAKI-LAKI</v>
      </c>
      <c r="M1152" s="16" t="str">
        <f>IFERROR(__xludf.DUMMYFUNCTION("""COMPUTED_VALUE"""),"JLN YAM SABRAN")</f>
        <v>JLN YAM SABRAN</v>
      </c>
      <c r="N1152" s="16" t="str">
        <f>IFERROR(__xludf.DUMMYFUNCTION("""COMPUTED_VALUE"""),"KEL. TANJUNG HULU")</f>
        <v>KEL. TANJUNG HULU</v>
      </c>
      <c r="O1152" s="16" t="str">
        <f>IFERROR(__xludf.DUMMYFUNCTION("""COMPUTED_VALUE"""),"KEC. PONTIANAK TIMUR")</f>
        <v>KEC. PONTIANAK TIMUR</v>
      </c>
      <c r="P1152" s="16" t="str">
        <f>IFERROR(__xludf.DUMMYFUNCTION("""COMPUTED_VALUE"""),"KOTA PONTIANAK")</f>
        <v>KOTA PONTIANAK</v>
      </c>
      <c r="Q1152" s="16" t="str">
        <f>IFERROR(__xludf.DUMMYFUNCTION("""COMPUTED_VALUE"""),"KALIMANTAN BARAT")</f>
        <v>KALIMANTAN BARAT</v>
      </c>
      <c r="R1152" s="19" t="str">
        <f>IFERROR(__xludf.DUMMYFUNCTION("""COMPUTED_VALUE"""),"LAINNYA")</f>
        <v>LAINNYA</v>
      </c>
      <c r="S1152" s="16" t="str">
        <f>IFERROR(__xludf.DUMMYFUNCTION("""COMPUTED_VALUE"""),"WIRASWASTA")</f>
        <v>WIRASWASTA</v>
      </c>
      <c r="T1152" s="16" t="str">
        <f>IFERROR(__xludf.DUMMYFUNCTION("""COMPUTED_VALUE"""),"Ankle")</f>
        <v>Ankle</v>
      </c>
      <c r="U1152" s="16" t="str">
        <f>IFERROR(__xludf.DUMMYFUNCTION("""COMPUTED_VALUE"""),"Sepak bola")</f>
        <v>Sepak bola</v>
      </c>
      <c r="V1152" s="11" t="str">
        <f>IFERROR(__xludf.DUMMYFUNCTION("""COMPUTED_VALUE"""),"081288088829")</f>
        <v>081288088829</v>
      </c>
      <c r="W1152" s="15"/>
    </row>
    <row r="1153" ht="22.5" customHeight="1">
      <c r="A1153" s="8"/>
      <c r="B1153" s="9">
        <f>IFERROR(__xludf.DUMMYFUNCTION("""COMPUTED_VALUE"""),45353.657725474535)</f>
        <v>45353.65773</v>
      </c>
      <c r="C1153" s="9"/>
      <c r="D1153" s="10">
        <f>IFERROR(__xludf.DUMMYFUNCTION("""COMPUTED_VALUE"""),45357.0)</f>
        <v>45357</v>
      </c>
      <c r="E1153" s="10" t="str">
        <f>IFERROR(__xludf.DUMMYFUNCTION("""COMPUTED_VALUE"""),"03Mar")</f>
        <v>03Mar</v>
      </c>
      <c r="F1153" s="10" t="str">
        <f>IFERROR(__xludf.DUMMYFUNCTION("""COMPUTED_VALUE"""),"2024")</f>
        <v>2024</v>
      </c>
      <c r="G1153" s="16" t="str">
        <f>IFERROR(__xludf.DUMMYFUNCTION("""COMPUTED_VALUE"""),"ADWAN HARTONO")</f>
        <v>ADWAN HARTONO</v>
      </c>
      <c r="H1153" s="17" t="str">
        <f>IFERROR(__xludf.DUMMYFUNCTION("""COMPUTED_VALUE"""),"A6824039810")</f>
        <v>A6824039810</v>
      </c>
      <c r="I1153" s="17">
        <f>IFERROR(__xludf.DUMMYFUNCTION("""COMPUTED_VALUE"""),57.0)</f>
        <v>57</v>
      </c>
      <c r="J1153" s="17" t="str">
        <f>IFERROR(__xludf.DUMMYFUNCTION("""COMPUTED_VALUE"""),"&gt; 44 tahun")</f>
        <v>&gt; 44 tahun</v>
      </c>
      <c r="K1153" s="19">
        <f>IFERROR(__xludf.DUMMYFUNCTION("""COMPUTED_VALUE"""),25187.0)</f>
        <v>25187</v>
      </c>
      <c r="L1153" s="19" t="str">
        <f>IFERROR(__xludf.DUMMYFUNCTION("""COMPUTED_VALUE"""),"LAKI-LAKI")</f>
        <v>LAKI-LAKI</v>
      </c>
      <c r="M1153" s="35" t="str">
        <f>IFERROR(__xludf.DUMMYFUNCTION("""COMPUTED_VALUE"""),"JL. P. NATAKUSUMA GANG RENCANA NO 10")</f>
        <v>JL. P. NATAKUSUMA GANG RENCANA NO 10</v>
      </c>
      <c r="N1153" s="16" t="str">
        <f>IFERROR(__xludf.DUMMYFUNCTION("""COMPUTED_VALUE"""),"KEL. SUNGAI BANGKONG")</f>
        <v>KEL. SUNGAI BANGKONG</v>
      </c>
      <c r="O1153" s="16" t="str">
        <f>IFERROR(__xludf.DUMMYFUNCTION("""COMPUTED_VALUE"""),"KEC. PONTIANAK KOTA")</f>
        <v>KEC. PONTIANAK KOTA</v>
      </c>
      <c r="P1153" s="16" t="str">
        <f>IFERROR(__xludf.DUMMYFUNCTION("""COMPUTED_VALUE"""),"KOTA PONTIANAK")</f>
        <v>KOTA PONTIANAK</v>
      </c>
      <c r="Q1153" s="16" t="str">
        <f>IFERROR(__xludf.DUMMYFUNCTION("""COMPUTED_VALUE"""),"KALIMANTAN BARAT")</f>
        <v>KALIMANTAN BARAT</v>
      </c>
      <c r="R1153" s="19" t="str">
        <f>IFERROR(__xludf.DUMMYFUNCTION("""COMPUTED_VALUE"""),"ISLAM")</f>
        <v>ISLAM</v>
      </c>
      <c r="S1153" s="16" t="str">
        <f>IFERROR(__xludf.DUMMYFUNCTION("""COMPUTED_VALUE"""),"ASN")</f>
        <v>ASN</v>
      </c>
      <c r="T1153" s="16" t="str">
        <f>IFERROR(__xludf.DUMMYFUNCTION("""COMPUTED_VALUE"""),"Nyeri pada bahu sebelah kiri")</f>
        <v>Nyeri pada bahu sebelah kiri</v>
      </c>
      <c r="U1153" s="16" t="str">
        <f>IFERROR(__xludf.DUMMYFUNCTION("""COMPUTED_VALUE"""),"Olah Raga (Jln Kaki)")</f>
        <v>Olah Raga (Jln Kaki)</v>
      </c>
      <c r="V1153" s="11" t="str">
        <f>IFERROR(__xludf.DUMMYFUNCTION("""COMPUTED_VALUE"""),"085753869810")</f>
        <v>085753869810</v>
      </c>
      <c r="W1153" s="15"/>
    </row>
    <row r="1154" ht="22.5" customHeight="1">
      <c r="A1154" s="8"/>
      <c r="B1154" s="9">
        <f>IFERROR(__xludf.DUMMYFUNCTION("""COMPUTED_VALUE"""),45354.411780243056)</f>
        <v>45354.41178</v>
      </c>
      <c r="C1154" s="9"/>
      <c r="D1154" s="34">
        <f>IFERROR(__xludf.DUMMYFUNCTION("""COMPUTED_VALUE"""),45357.0)</f>
        <v>45357</v>
      </c>
      <c r="E1154" s="34" t="str">
        <f>IFERROR(__xludf.DUMMYFUNCTION("""COMPUTED_VALUE"""),"03Mar")</f>
        <v>03Mar</v>
      </c>
      <c r="F1154" s="34" t="str">
        <f>IFERROR(__xludf.DUMMYFUNCTION("""COMPUTED_VALUE"""),"2024")</f>
        <v>2024</v>
      </c>
      <c r="G1154" s="16" t="str">
        <f>IFERROR(__xludf.DUMMYFUNCTION("""COMPUTED_VALUE"""),"GESIT PUJI LARASATI")</f>
        <v>GESIT PUJI LARASATI</v>
      </c>
      <c r="H1154" s="17" t="str">
        <f>IFERROR(__xludf.DUMMYFUNCTION("""COMPUTED_VALUE"""),"G0424038938")</f>
        <v>G0424038938</v>
      </c>
      <c r="I1154" s="17">
        <f>IFERROR(__xludf.DUMMYFUNCTION("""COMPUTED_VALUE"""),21.0)</f>
        <v>21</v>
      </c>
      <c r="J1154" s="17" t="str">
        <f>IFERROR(__xludf.DUMMYFUNCTION("""COMPUTED_VALUE"""),"18-24 tahun")</f>
        <v>18-24 tahun</v>
      </c>
      <c r="K1154" s="19">
        <f>IFERROR(__xludf.DUMMYFUNCTION("""COMPUTED_VALUE"""),38282.0)</f>
        <v>38282</v>
      </c>
      <c r="L1154" s="19" t="str">
        <f>IFERROR(__xludf.DUMMYFUNCTION("""COMPUTED_VALUE"""),"PEREMPUAN")</f>
        <v>PEREMPUAN</v>
      </c>
      <c r="M1154" s="16" t="str">
        <f>IFERROR(__xludf.DUMMYFUNCTION("""COMPUTED_VALUE"""),"JLN.SINTANG- NG PINOH")</f>
        <v>JLN.SINTANG- NG PINOH</v>
      </c>
      <c r="N1154" s="16" t="str">
        <f>IFERROR(__xludf.DUMMYFUNCTION("""COMPUTED_VALUE"""),"DS. SUNGAI UKOI")</f>
        <v>DS. SUNGAI UKOI</v>
      </c>
      <c r="O1154" s="16" t="str">
        <f>IFERROR(__xludf.DUMMYFUNCTION("""COMPUTED_VALUE"""),"KEC. SUNGAI TEBELIAN")</f>
        <v>KEC. SUNGAI TEBELIAN</v>
      </c>
      <c r="P1154" s="16" t="str">
        <f>IFERROR(__xludf.DUMMYFUNCTION("""COMPUTED_VALUE"""),"KAB. SINTANG")</f>
        <v>KAB. SINTANG</v>
      </c>
      <c r="Q1154" s="16" t="str">
        <f>IFERROR(__xludf.DUMMYFUNCTION("""COMPUTED_VALUE"""),"KALIMANTAN BARAT")</f>
        <v>KALIMANTAN BARAT</v>
      </c>
      <c r="R1154" s="19" t="str">
        <f>IFERROR(__xludf.DUMMYFUNCTION("""COMPUTED_VALUE"""),"ISLAM")</f>
        <v>ISLAM</v>
      </c>
      <c r="S1154" s="16" t="str">
        <f>IFERROR(__xludf.DUMMYFUNCTION("""COMPUTED_VALUE"""),"PELAJAR/MAHASISWA")</f>
        <v>PELAJAR/MAHASISWA</v>
      </c>
      <c r="T1154" s="16" t="str">
        <f>IFERROR(__xludf.DUMMYFUNCTION("""COMPUTED_VALUE"""),"Scoliesis akibat cedera dalam berolahraga")</f>
        <v>Scoliesis akibat cedera dalam berolahraga</v>
      </c>
      <c r="U1154" s="16" t="str">
        <f>IFERROR(__xludf.DUMMYFUNCTION("""COMPUTED_VALUE"""),"Olahraga ( gym lari binsik)")</f>
        <v>Olahraga ( gym lari binsik)</v>
      </c>
      <c r="V1154" s="11" t="str">
        <f>IFERROR(__xludf.DUMMYFUNCTION("""COMPUTED_VALUE"""),"081251898938")</f>
        <v>081251898938</v>
      </c>
      <c r="W1154" s="15"/>
    </row>
    <row r="1155" ht="22.5" customHeight="1">
      <c r="A1155" s="8"/>
      <c r="B1155" s="9">
        <f>IFERROR(__xludf.DUMMYFUNCTION("""COMPUTED_VALUE"""),45355.385897824075)</f>
        <v>45355.3859</v>
      </c>
      <c r="C1155" s="9"/>
      <c r="D1155" s="34">
        <f>IFERROR(__xludf.DUMMYFUNCTION("""COMPUTED_VALUE"""),45357.0)</f>
        <v>45357</v>
      </c>
      <c r="E1155" s="34" t="str">
        <f>IFERROR(__xludf.DUMMYFUNCTION("""COMPUTED_VALUE"""),"03Mar")</f>
        <v>03Mar</v>
      </c>
      <c r="F1155" s="34" t="str">
        <f>IFERROR(__xludf.DUMMYFUNCTION("""COMPUTED_VALUE"""),"2024")</f>
        <v>2024</v>
      </c>
      <c r="G1155" s="16" t="str">
        <f>IFERROR(__xludf.DUMMYFUNCTION("""COMPUTED_VALUE"""),"LANA LEVIA YURIANI PUTRI")</f>
        <v>LANA LEVIA YURIANI PUTRI</v>
      </c>
      <c r="H1155" s="17" t="str">
        <f>IFERROR(__xludf.DUMMYFUNCTION("""COMPUTED_VALUE"""),"L9624035040")</f>
        <v>L9624035040</v>
      </c>
      <c r="I1155" s="17">
        <f>IFERROR(__xludf.DUMMYFUNCTION("""COMPUTED_VALUE"""),30.0)</f>
        <v>30</v>
      </c>
      <c r="J1155" s="17" t="str">
        <f>IFERROR(__xludf.DUMMYFUNCTION("""COMPUTED_VALUE"""),"25-34 tahun")</f>
        <v>25-34 tahun</v>
      </c>
      <c r="K1155" s="19">
        <f>IFERROR(__xludf.DUMMYFUNCTION("""COMPUTED_VALUE"""),35136.0)</f>
        <v>35136</v>
      </c>
      <c r="L1155" s="19" t="str">
        <f>IFERROR(__xludf.DUMMYFUNCTION("""COMPUTED_VALUE"""),"PEREMPUAN")</f>
        <v>PEREMPUAN</v>
      </c>
      <c r="M1155" s="35" t="str">
        <f>IFERROR(__xludf.DUMMYFUNCTION("""COMPUTED_VALUE"""),"JALAN PERDANA")</f>
        <v>JALAN PERDANA</v>
      </c>
      <c r="N1155" s="16" t="str">
        <f>IFERROR(__xludf.DUMMYFUNCTION("""COMPUTED_VALUE"""),"KEL. AKCAYA")</f>
        <v>KEL. AKCAYA</v>
      </c>
      <c r="O1155" s="16" t="str">
        <f>IFERROR(__xludf.DUMMYFUNCTION("""COMPUTED_VALUE"""),"KEC. PONTIANAK TENGGARA")</f>
        <v>KEC. PONTIANAK TENGGARA</v>
      </c>
      <c r="P1155" s="16" t="str">
        <f>IFERROR(__xludf.DUMMYFUNCTION("""COMPUTED_VALUE"""),"KOTA PONTIANAK")</f>
        <v>KOTA PONTIANAK</v>
      </c>
      <c r="Q1155" s="16" t="str">
        <f>IFERROR(__xludf.DUMMYFUNCTION("""COMPUTED_VALUE"""),"KALIMANTAN BARAT")</f>
        <v>KALIMANTAN BARAT</v>
      </c>
      <c r="R1155" s="19" t="str">
        <f>IFERROR(__xludf.DUMMYFUNCTION("""COMPUTED_VALUE"""),"ISLAM")</f>
        <v>ISLAM</v>
      </c>
      <c r="S1155" s="16" t="str">
        <f>IFERROR(__xludf.DUMMYFUNCTION("""COMPUTED_VALUE"""),"RUMAH TANGGA")</f>
        <v>RUMAH TANGGA</v>
      </c>
      <c r="T1155" s="16" t="str">
        <f>IFERROR(__xludf.DUMMYFUNCTION("""COMPUTED_VALUE"""),"IRT")</f>
        <v>IRT</v>
      </c>
      <c r="U1155" s="16" t="str">
        <f>IFERROR(__xludf.DUMMYFUNCTION("""COMPUTED_VALUE"""),"IRT")</f>
        <v>IRT</v>
      </c>
      <c r="V1155" s="11" t="str">
        <f>IFERROR(__xludf.DUMMYFUNCTION("""COMPUTED_VALUE"""),"082325945040")</f>
        <v>082325945040</v>
      </c>
      <c r="W1155" s="15"/>
    </row>
    <row r="1156" ht="22.5" customHeight="1">
      <c r="A1156" s="8"/>
      <c r="B1156" s="9">
        <f>IFERROR(__xludf.DUMMYFUNCTION("""COMPUTED_VALUE"""),45355.487063506946)</f>
        <v>45355.48706</v>
      </c>
      <c r="C1156" s="9"/>
      <c r="D1156" s="34">
        <f>IFERROR(__xludf.DUMMYFUNCTION("""COMPUTED_VALUE"""),45358.0)</f>
        <v>45358</v>
      </c>
      <c r="E1156" s="34" t="str">
        <f>IFERROR(__xludf.DUMMYFUNCTION("""COMPUTED_VALUE"""),"03Mar")</f>
        <v>03Mar</v>
      </c>
      <c r="F1156" s="34" t="str">
        <f>IFERROR(__xludf.DUMMYFUNCTION("""COMPUTED_VALUE"""),"2024")</f>
        <v>2024</v>
      </c>
      <c r="G1156" s="16" t="str">
        <f>IFERROR(__xludf.DUMMYFUNCTION("""COMPUTED_VALUE"""),"LUKAS PALAUN HERNANDIO PESSY")</f>
        <v>LUKAS PALAUN HERNANDIO PESSY</v>
      </c>
      <c r="H1156" s="17" t="str">
        <f>IFERROR(__xludf.DUMMYFUNCTION("""COMPUTED_VALUE"""),"L9624031708")</f>
        <v>L9624031708</v>
      </c>
      <c r="I1156" s="17">
        <f>IFERROR(__xludf.DUMMYFUNCTION("""COMPUTED_VALUE"""),29.0)</f>
        <v>29</v>
      </c>
      <c r="J1156" s="17" t="str">
        <f>IFERROR(__xludf.DUMMYFUNCTION("""COMPUTED_VALUE"""),"25-34 tahun")</f>
        <v>25-34 tahun</v>
      </c>
      <c r="K1156" s="19">
        <f>IFERROR(__xludf.DUMMYFUNCTION("""COMPUTED_VALUE"""),35269.0)</f>
        <v>35269</v>
      </c>
      <c r="L1156" s="19" t="str">
        <f>IFERROR(__xludf.DUMMYFUNCTION("""COMPUTED_VALUE"""),"LAKI-LAKI")</f>
        <v>LAKI-LAKI</v>
      </c>
      <c r="M1156" s="35" t="str">
        <f>IFERROR(__xludf.DUMMYFUNCTION("""COMPUTED_VALUE"""),"JALAN A.R SALEH GG. AMALIA SAGITAN NO A.5")</f>
        <v>JALAN A.R SALEH GG. AMALIA SAGITAN NO A.5</v>
      </c>
      <c r="N1156" s="16" t="str">
        <f>IFERROR(__xludf.DUMMYFUNCTION("""COMPUTED_VALUE"""),"KEL. BANGKA BELITUNG LAUT")</f>
        <v>KEL. BANGKA BELITUNG LAUT</v>
      </c>
      <c r="O1156" s="16" t="str">
        <f>IFERROR(__xludf.DUMMYFUNCTION("""COMPUTED_VALUE"""),"KEC. PONTIANAK TENGGARA")</f>
        <v>KEC. PONTIANAK TENGGARA</v>
      </c>
      <c r="P1156" s="16" t="str">
        <f>IFERROR(__xludf.DUMMYFUNCTION("""COMPUTED_VALUE"""),"KOTA PONTIANAK")</f>
        <v>KOTA PONTIANAK</v>
      </c>
      <c r="Q1156" s="16" t="str">
        <f>IFERROR(__xludf.DUMMYFUNCTION("""COMPUTED_VALUE"""),"KALIMANTAN BARAT")</f>
        <v>KALIMANTAN BARAT</v>
      </c>
      <c r="R1156" s="19" t="str">
        <f>IFERROR(__xludf.DUMMYFUNCTION("""COMPUTED_VALUE"""),"KATOLIK")</f>
        <v>KATOLIK</v>
      </c>
      <c r="S1156" s="16" t="str">
        <f>IFERROR(__xludf.DUMMYFUNCTION("""COMPUTED_VALUE"""),"PELAJAR/MAHASISWA")</f>
        <v>PELAJAR/MAHASISWA</v>
      </c>
      <c r="T1156" s="16" t="str">
        <f>IFERROR(__xludf.DUMMYFUNCTION("""COMPUTED_VALUE"""),"Pinggang Terasa Nyeri")</f>
        <v>Pinggang Terasa Nyeri</v>
      </c>
      <c r="U1156" s="16" t="str">
        <f>IFERROR(__xludf.DUMMYFUNCTION("""COMPUTED_VALUE"""),"Main Bola dan Futsal")</f>
        <v>Main Bola dan Futsal</v>
      </c>
      <c r="V1156" s="11" t="str">
        <f>IFERROR(__xludf.DUMMYFUNCTION("""COMPUTED_VALUE"""),"081349301708")</f>
        <v>081349301708</v>
      </c>
      <c r="W1156" s="15"/>
    </row>
    <row r="1157" ht="22.5" customHeight="1">
      <c r="A1157" s="8"/>
      <c r="B1157" s="9">
        <f>IFERROR(__xludf.DUMMYFUNCTION("""COMPUTED_VALUE"""),45355.56652011574)</f>
        <v>45355.56652</v>
      </c>
      <c r="C1157" s="9"/>
      <c r="D1157" s="34">
        <f>IFERROR(__xludf.DUMMYFUNCTION("""COMPUTED_VALUE"""),45358.0)</f>
        <v>45358</v>
      </c>
      <c r="E1157" s="34" t="str">
        <f>IFERROR(__xludf.DUMMYFUNCTION("""COMPUTED_VALUE"""),"03Mar")</f>
        <v>03Mar</v>
      </c>
      <c r="F1157" s="34" t="str">
        <f>IFERROR(__xludf.DUMMYFUNCTION("""COMPUTED_VALUE"""),"2024")</f>
        <v>2024</v>
      </c>
      <c r="G1157" s="16" t="str">
        <f>IFERROR(__xludf.DUMMYFUNCTION("""COMPUTED_VALUE"""),"ROSALIA LOVILIA")</f>
        <v>ROSALIA LOVILIA</v>
      </c>
      <c r="H1157" s="17" t="str">
        <f>IFERROR(__xludf.DUMMYFUNCTION("""COMPUTED_VALUE"""),"R8224032208")</f>
        <v>R8224032208</v>
      </c>
      <c r="I1157" s="17">
        <f>IFERROR(__xludf.DUMMYFUNCTION("""COMPUTED_VALUE"""),44.0)</f>
        <v>44</v>
      </c>
      <c r="J1157" s="17" t="str">
        <f>IFERROR(__xludf.DUMMYFUNCTION("""COMPUTED_VALUE"""),"35-44 tahun")</f>
        <v>35-44 tahun</v>
      </c>
      <c r="K1157" s="19">
        <f>IFERROR(__xludf.DUMMYFUNCTION("""COMPUTED_VALUE"""),30068.0)</f>
        <v>30068</v>
      </c>
      <c r="L1157" s="19" t="str">
        <f>IFERROR(__xludf.DUMMYFUNCTION("""COMPUTED_VALUE"""),"PEREMPUAN")</f>
        <v>PEREMPUAN</v>
      </c>
      <c r="M1157" s="35" t="str">
        <f>IFERROR(__xludf.DUMMYFUNCTION("""COMPUTED_VALUE"""),"JL. TABRANI AHMAD KOMPLEK GRIYA TAMAN ANGGREK 3 NO A 17")</f>
        <v>JL. TABRANI AHMAD KOMPLEK GRIYA TAMAN ANGGREK 3 NO A 17</v>
      </c>
      <c r="N1157" s="16" t="str">
        <f>IFERROR(__xludf.DUMMYFUNCTION("""COMPUTED_VALUE"""),"KEL. SUNGAI JAWI DALAM")</f>
        <v>KEL. SUNGAI JAWI DALAM</v>
      </c>
      <c r="O1157" s="16" t="str">
        <f>IFERROR(__xludf.DUMMYFUNCTION("""COMPUTED_VALUE"""),"KEC. PONTIANAK BARAT")</f>
        <v>KEC. PONTIANAK BARAT</v>
      </c>
      <c r="P1157" s="16" t="str">
        <f>IFERROR(__xludf.DUMMYFUNCTION("""COMPUTED_VALUE"""),"KOTA PONTIANAK")</f>
        <v>KOTA PONTIANAK</v>
      </c>
      <c r="Q1157" s="16" t="str">
        <f>IFERROR(__xludf.DUMMYFUNCTION("""COMPUTED_VALUE"""),"KALIMANTAN BARAT")</f>
        <v>KALIMANTAN BARAT</v>
      </c>
      <c r="R1157" s="19" t="str">
        <f>IFERROR(__xludf.DUMMYFUNCTION("""COMPUTED_VALUE"""),"ISLAM")</f>
        <v>ISLAM</v>
      </c>
      <c r="S1157" s="16" t="str">
        <f>IFERROR(__xludf.DUMMYFUNCTION("""COMPUTED_VALUE"""),"ASN")</f>
        <v>ASN</v>
      </c>
      <c r="T1157" s="16" t="str">
        <f>IFERROR(__xludf.DUMMYFUNCTION("""COMPUTED_VALUE"""),"Pegal pada daerah serviks, bahu, belikat, lengan atas, pantat dan pangkal paha. Pernah tidak bisa bergerak pada daerah leher 2 kali, tangan 1 kali dan kali 1 kali. Kram pada tengkuk, dan bahu saat bangun tidur, semuyan pada telapak tangan saat bangun tidu"&amp;"r")</f>
        <v>Pegal pada daerah serviks, bahu, belikat, lengan atas, pantat dan pangkal paha. Pernah tidak bisa bergerak pada daerah leher 2 kali, tangan 1 kali dan kali 1 kali. Kram pada tengkuk, dan bahu saat bangun tidur, semuyan pada telapak tangan saat bangun tidur</v>
      </c>
      <c r="U1157" s="16" t="str">
        <f>IFERROR(__xludf.DUMMYFUNCTION("""COMPUTED_VALUE"""),"Ntn")</f>
        <v>Ntn</v>
      </c>
      <c r="V1157" s="11" t="str">
        <f>IFERROR(__xludf.DUMMYFUNCTION("""COMPUTED_VALUE"""),"082155282208")</f>
        <v>082155282208</v>
      </c>
      <c r="W1157" s="15"/>
    </row>
    <row r="1158" ht="22.5" customHeight="1">
      <c r="A1158" s="28"/>
      <c r="B1158" s="9">
        <f>IFERROR(__xludf.DUMMYFUNCTION("""COMPUTED_VALUE"""),45355.54793380787)</f>
        <v>45355.54793</v>
      </c>
      <c r="C1158" s="9"/>
      <c r="D1158" s="34">
        <f>IFERROR(__xludf.DUMMYFUNCTION("""COMPUTED_VALUE"""),45358.0)</f>
        <v>45358</v>
      </c>
      <c r="E1158" s="34" t="str">
        <f>IFERROR(__xludf.DUMMYFUNCTION("""COMPUTED_VALUE"""),"03Mar")</f>
        <v>03Mar</v>
      </c>
      <c r="F1158" s="34" t="str">
        <f>IFERROR(__xludf.DUMMYFUNCTION("""COMPUTED_VALUE"""),"2024")</f>
        <v>2024</v>
      </c>
      <c r="G1158" s="16" t="str">
        <f>IFERROR(__xludf.DUMMYFUNCTION("""COMPUTED_VALUE"""),"RAJA AQSHA P ANKLE")</f>
        <v>RAJA AQSHA P ANKLE</v>
      </c>
      <c r="H1158" s="17" t="str">
        <f>IFERROR(__xludf.DUMMYFUNCTION("""COMPUTED_VALUE"""),"R1024035743")</f>
        <v>R1024035743</v>
      </c>
      <c r="I1158" s="17">
        <f>IFERROR(__xludf.DUMMYFUNCTION("""COMPUTED_VALUE"""),16.0)</f>
        <v>16</v>
      </c>
      <c r="J1158" s="17" t="str">
        <f>IFERROR(__xludf.DUMMYFUNCTION("""COMPUTED_VALUE"""),"&lt; 18 tahun")</f>
        <v>&lt; 18 tahun</v>
      </c>
      <c r="K1158" s="19">
        <f>IFERROR(__xludf.DUMMYFUNCTION("""COMPUTED_VALUE"""),40301.0)</f>
        <v>40301</v>
      </c>
      <c r="L1158" s="19" t="str">
        <f>IFERROR(__xludf.DUMMYFUNCTION("""COMPUTED_VALUE"""),"LAKI-LAKI")</f>
        <v>LAKI-LAKI</v>
      </c>
      <c r="M1158" s="35" t="str">
        <f>IFERROR(__xludf.DUMMYFUNCTION("""COMPUTED_VALUE"""),"JL SWADISI NO 3B")</f>
        <v>JL SWADISI NO 3B</v>
      </c>
      <c r="N1158" s="16" t="str">
        <f>IFERROR(__xludf.DUMMYFUNCTION("""COMPUTED_VALUE"""),"KEL. SAIGON")</f>
        <v>KEL. SAIGON</v>
      </c>
      <c r="O1158" s="16" t="str">
        <f>IFERROR(__xludf.DUMMYFUNCTION("""COMPUTED_VALUE"""),"KEC. PONTIANAK TIMUR")</f>
        <v>KEC. PONTIANAK TIMUR</v>
      </c>
      <c r="P1158" s="16" t="str">
        <f>IFERROR(__xludf.DUMMYFUNCTION("""COMPUTED_VALUE"""),"KOTA PONTIANAK")</f>
        <v>KOTA PONTIANAK</v>
      </c>
      <c r="Q1158" s="16" t="str">
        <f>IFERROR(__xludf.DUMMYFUNCTION("""COMPUTED_VALUE"""),"KALIMANTAN BARAT")</f>
        <v>KALIMANTAN BARAT</v>
      </c>
      <c r="R1158" s="19" t="str">
        <f>IFERROR(__xludf.DUMMYFUNCTION("""COMPUTED_VALUE"""),"ISLAM")</f>
        <v>ISLAM</v>
      </c>
      <c r="S1158" s="16" t="str">
        <f>IFERROR(__xludf.DUMMYFUNCTION("""COMPUTED_VALUE"""),"PELAJAR/MAHASISWA")</f>
        <v>PELAJAR/MAHASISWA</v>
      </c>
      <c r="T1158" s="16"/>
      <c r="U1158" s="16" t="str">
        <f>IFERROR(__xludf.DUMMYFUNCTION("""COMPUTED_VALUE"""),"-")</f>
        <v>-</v>
      </c>
      <c r="V1158" s="11" t="str">
        <f>IFERROR(__xludf.DUMMYFUNCTION("""COMPUTED_VALUE"""),"081257185743")</f>
        <v>081257185743</v>
      </c>
      <c r="W1158" s="15"/>
    </row>
    <row r="1159" ht="22.5" customHeight="1">
      <c r="A1159" s="8"/>
      <c r="B1159" s="9">
        <f>IFERROR(__xludf.DUMMYFUNCTION("""COMPUTED_VALUE"""),45356.41905207176)</f>
        <v>45356.41905</v>
      </c>
      <c r="C1159" s="9"/>
      <c r="D1159" s="34">
        <f>IFERROR(__xludf.DUMMYFUNCTION("""COMPUTED_VALUE"""),45360.0)</f>
        <v>45360</v>
      </c>
      <c r="E1159" s="34" t="str">
        <f>IFERROR(__xludf.DUMMYFUNCTION("""COMPUTED_VALUE"""),"03Mar")</f>
        <v>03Mar</v>
      </c>
      <c r="F1159" s="34" t="str">
        <f>IFERROR(__xludf.DUMMYFUNCTION("""COMPUTED_VALUE"""),"2024")</f>
        <v>2024</v>
      </c>
      <c r="G1159" s="16" t="str">
        <f>IFERROR(__xludf.DUMMYFUNCTION("""COMPUTED_VALUE"""),"BAYU MARTIN ARSYAD")</f>
        <v>BAYU MARTIN ARSYAD</v>
      </c>
      <c r="H1159" s="17" t="str">
        <f>IFERROR(__xludf.DUMMYFUNCTION("""COMPUTED_VALUE"""),"B8424031303")</f>
        <v>B8424031303</v>
      </c>
      <c r="I1159" s="17">
        <f>IFERROR(__xludf.DUMMYFUNCTION("""COMPUTED_VALUE"""),42.0)</f>
        <v>42</v>
      </c>
      <c r="J1159" s="17" t="str">
        <f>IFERROR(__xludf.DUMMYFUNCTION("""COMPUTED_VALUE"""),"35-44 tahun")</f>
        <v>35-44 tahun</v>
      </c>
      <c r="K1159" s="19">
        <f>IFERROR(__xludf.DUMMYFUNCTION("""COMPUTED_VALUE"""),30754.0)</f>
        <v>30754</v>
      </c>
      <c r="L1159" s="19" t="str">
        <f>IFERROR(__xludf.DUMMYFUNCTION("""COMPUTED_VALUE"""),"LAKI-LAKI")</f>
        <v>LAKI-LAKI</v>
      </c>
      <c r="M1159" s="35" t="str">
        <f>IFERROR(__xludf.DUMMYFUNCTION("""COMPUTED_VALUE"""),"JL.A.YANI GG.ARSYAD SUTIN NO.25")</f>
        <v>JL.A.YANI GG.ARSYAD SUTIN NO.25</v>
      </c>
      <c r="N1159" s="16" t="str">
        <f>IFERROR(__xludf.DUMMYFUNCTION("""COMPUTED_VALUE"""),"KEL. PASIRAN")</f>
        <v>KEL. PASIRAN</v>
      </c>
      <c r="O1159" s="16" t="str">
        <f>IFERROR(__xludf.DUMMYFUNCTION("""COMPUTED_VALUE"""),"KEC. SINGKAWANG BARAT")</f>
        <v>KEC. SINGKAWANG BARAT</v>
      </c>
      <c r="P1159" s="16" t="str">
        <f>IFERROR(__xludf.DUMMYFUNCTION("""COMPUTED_VALUE"""),"KAB. SINGKAWANG")</f>
        <v>KAB. SINGKAWANG</v>
      </c>
      <c r="Q1159" s="16" t="str">
        <f>IFERROR(__xludf.DUMMYFUNCTION("""COMPUTED_VALUE"""),"KALIMANTAN BARAT")</f>
        <v>KALIMANTAN BARAT</v>
      </c>
      <c r="R1159" s="19" t="str">
        <f>IFERROR(__xludf.DUMMYFUNCTION("""COMPUTED_VALUE"""),"ISLAM")</f>
        <v>ISLAM</v>
      </c>
      <c r="S1159" s="16" t="str">
        <f>IFERROR(__xludf.DUMMYFUNCTION("""COMPUTED_VALUE"""),"SWASTA")</f>
        <v>SWASTA</v>
      </c>
      <c r="T1159" s="16" t="str">
        <f>IFERROR(__xludf.DUMMYFUNCTION("""COMPUTED_VALUE"""),"Sakit di tulang rusuk")</f>
        <v>Sakit di tulang rusuk</v>
      </c>
      <c r="U1159" s="16" t="str">
        <f>IFERROR(__xludf.DUMMYFUNCTION("""COMPUTED_VALUE"""),"Nyupir")</f>
        <v>Nyupir</v>
      </c>
      <c r="V1159" s="11" t="str">
        <f>IFERROR(__xludf.DUMMYFUNCTION("""COMPUTED_VALUE"""),"08115751303")</f>
        <v>08115751303</v>
      </c>
      <c r="W1159" s="15"/>
    </row>
    <row r="1160" ht="22.5" customHeight="1">
      <c r="A1160" s="8"/>
      <c r="B1160" s="9">
        <f>IFERROR(__xludf.DUMMYFUNCTION("""COMPUTED_VALUE"""),45356.45662542824)</f>
        <v>45356.45663</v>
      </c>
      <c r="C1160" s="9"/>
      <c r="D1160" s="34">
        <f>IFERROR(__xludf.DUMMYFUNCTION("""COMPUTED_VALUE"""),45360.0)</f>
        <v>45360</v>
      </c>
      <c r="E1160" s="34" t="str">
        <f>IFERROR(__xludf.DUMMYFUNCTION("""COMPUTED_VALUE"""),"03Mar")</f>
        <v>03Mar</v>
      </c>
      <c r="F1160" s="34" t="str">
        <f>IFERROR(__xludf.DUMMYFUNCTION("""COMPUTED_VALUE"""),"2024")</f>
        <v>2024</v>
      </c>
      <c r="G1160" s="16" t="str">
        <f>IFERROR(__xludf.DUMMYFUNCTION("""COMPUTED_VALUE"""),"JENSEN")</f>
        <v>JENSEN</v>
      </c>
      <c r="H1160" s="17" t="str">
        <f>IFERROR(__xludf.DUMMYFUNCTION("""COMPUTED_VALUE"""),"J0924037008")</f>
        <v>J0924037008</v>
      </c>
      <c r="I1160" s="17">
        <f>IFERROR(__xludf.DUMMYFUNCTION("""COMPUTED_VALUE"""),16.0)</f>
        <v>16</v>
      </c>
      <c r="J1160" s="17" t="str">
        <f>IFERROR(__xludf.DUMMYFUNCTION("""COMPUTED_VALUE"""),"&lt; 18 tahun")</f>
        <v>&lt; 18 tahun</v>
      </c>
      <c r="K1160" s="19">
        <f>IFERROR(__xludf.DUMMYFUNCTION("""COMPUTED_VALUE"""),39983.0)</f>
        <v>39983</v>
      </c>
      <c r="L1160" s="19" t="str">
        <f>IFERROR(__xludf.DUMMYFUNCTION("""COMPUTED_VALUE"""),"LAKI-LAKI")</f>
        <v>LAKI-LAKI</v>
      </c>
      <c r="M1160" s="35" t="str">
        <f>IFERROR(__xludf.DUMMYFUNCTION("""COMPUTED_VALUE"""),"JLN HM SUWIGNYO NO 6A 6B")</f>
        <v>JLN HM SUWIGNYO NO 6A 6B</v>
      </c>
      <c r="N1160" s="16" t="str">
        <f>IFERROR(__xludf.DUMMYFUNCTION("""COMPUTED_VALUE"""),"KEL. SUNGAI JAWI")</f>
        <v>KEL. SUNGAI JAWI</v>
      </c>
      <c r="O1160" s="16" t="str">
        <f>IFERROR(__xludf.DUMMYFUNCTION("""COMPUTED_VALUE"""),"KEC. PONTIANAK BARAT")</f>
        <v>KEC. PONTIANAK BARAT</v>
      </c>
      <c r="P1160" s="16" t="str">
        <f>IFERROR(__xludf.DUMMYFUNCTION("""COMPUTED_VALUE"""),"KOTA PONTIANAK")</f>
        <v>KOTA PONTIANAK</v>
      </c>
      <c r="Q1160" s="16" t="str">
        <f>IFERROR(__xludf.DUMMYFUNCTION("""COMPUTED_VALUE"""),"KALIMANTAN BARAT")</f>
        <v>KALIMANTAN BARAT</v>
      </c>
      <c r="R1160" s="19" t="str">
        <f>IFERROR(__xludf.DUMMYFUNCTION("""COMPUTED_VALUE"""),"ISLAM")</f>
        <v>ISLAM</v>
      </c>
      <c r="S1160" s="16" t="str">
        <f>IFERROR(__xludf.DUMMYFUNCTION("""COMPUTED_VALUE"""),"PELAJAR/MAHASISWA")</f>
        <v>PELAJAR/MAHASISWA</v>
      </c>
      <c r="T1160" s="16" t="str">
        <f>IFERROR(__xludf.DUMMYFUNCTION("""COMPUTED_VALUE"""),"sui jawi")</f>
        <v>sui jawi</v>
      </c>
      <c r="U1160" s="16" t="str">
        <f>IFERROR(__xludf.DUMMYFUNCTION("""COMPUTED_VALUE"""),"renang")</f>
        <v>renang</v>
      </c>
      <c r="V1160" s="11" t="str">
        <f>IFERROR(__xludf.DUMMYFUNCTION("""COMPUTED_VALUE"""),"081346287008")</f>
        <v>081346287008</v>
      </c>
      <c r="W1160" s="15"/>
    </row>
    <row r="1161" ht="22.5" customHeight="1">
      <c r="A1161" s="8"/>
      <c r="B1161" s="9">
        <f>IFERROR(__xludf.DUMMYFUNCTION("""COMPUTED_VALUE"""),45356.62505084491)</f>
        <v>45356.62505</v>
      </c>
      <c r="C1161" s="9"/>
      <c r="D1161" s="34">
        <f>IFERROR(__xludf.DUMMYFUNCTION("""COMPUTED_VALUE"""),45360.0)</f>
        <v>45360</v>
      </c>
      <c r="E1161" s="34" t="str">
        <f>IFERROR(__xludf.DUMMYFUNCTION("""COMPUTED_VALUE"""),"03Mar")</f>
        <v>03Mar</v>
      </c>
      <c r="F1161" s="34" t="str">
        <f>IFERROR(__xludf.DUMMYFUNCTION("""COMPUTED_VALUE"""),"2024")</f>
        <v>2024</v>
      </c>
      <c r="G1161" s="16" t="str">
        <f>IFERROR(__xludf.DUMMYFUNCTION("""COMPUTED_VALUE"""),"LIU SAN KHIM ALS SUFIANTO")</f>
        <v>LIU SAN KHIM ALS SUFIANTO</v>
      </c>
      <c r="H1161" s="17" t="str">
        <f>IFERROR(__xludf.DUMMYFUNCTION("""COMPUTED_VALUE"""),"L6324031128")</f>
        <v>L6324031128</v>
      </c>
      <c r="I1161" s="17">
        <f>IFERROR(__xludf.DUMMYFUNCTION("""COMPUTED_VALUE"""),62.0)</f>
        <v>62</v>
      </c>
      <c r="J1161" s="17" t="str">
        <f>IFERROR(__xludf.DUMMYFUNCTION("""COMPUTED_VALUE"""),"&gt; 44 tahun")</f>
        <v>&gt; 44 tahun</v>
      </c>
      <c r="K1161" s="19">
        <f>IFERROR(__xludf.DUMMYFUNCTION("""COMPUTED_VALUE"""),23261.0)</f>
        <v>23261</v>
      </c>
      <c r="L1161" s="19" t="str">
        <f>IFERROR(__xludf.DUMMYFUNCTION("""COMPUTED_VALUE"""),"LAKI-LAKI")</f>
        <v>LAKI-LAKI</v>
      </c>
      <c r="M1161" s="35" t="str">
        <f>IFERROR(__xludf.DUMMYFUNCTION("""COMPUTED_VALUE"""),"JL. MARTADINATA GG GUNUNG GEDE NO.5")</f>
        <v>JL. MARTADINATA GG GUNUNG GEDE NO.5</v>
      </c>
      <c r="N1161" s="16" t="str">
        <f>IFERROR(__xludf.DUMMYFUNCTION("""COMPUTED_VALUE"""),"KEL. SUNGAI JAWI DALAM")</f>
        <v>KEL. SUNGAI JAWI DALAM</v>
      </c>
      <c r="O1161" s="16" t="str">
        <f>IFERROR(__xludf.DUMMYFUNCTION("""COMPUTED_VALUE"""),"KEC. PONTIANAK BARAT")</f>
        <v>KEC. PONTIANAK BARAT</v>
      </c>
      <c r="P1161" s="16" t="str">
        <f>IFERROR(__xludf.DUMMYFUNCTION("""COMPUTED_VALUE"""),"KOTA PONTIANAK")</f>
        <v>KOTA PONTIANAK</v>
      </c>
      <c r="Q1161" s="16" t="str">
        <f>IFERROR(__xludf.DUMMYFUNCTION("""COMPUTED_VALUE"""),"KALIMANTAN BARAT")</f>
        <v>KALIMANTAN BARAT</v>
      </c>
      <c r="R1161" s="19" t="str">
        <f>IFERROR(__xludf.DUMMYFUNCTION("""COMPUTED_VALUE"""),"BUDDHA")</f>
        <v>BUDDHA</v>
      </c>
      <c r="S1161" s="16" t="str">
        <f>IFERROR(__xludf.DUMMYFUNCTION("""COMPUTED_VALUE"""),"WIRASWASTA")</f>
        <v>WIRASWASTA</v>
      </c>
      <c r="T1161" s="16" t="str">
        <f>IFERROR(__xludf.DUMMYFUNCTION("""COMPUTED_VALUE"""),"Sebelah Kiri sakit sampai bawah paha Dan ujung kaki")</f>
        <v>Sebelah Kiri sakit sampai bawah paha Dan ujung kaki</v>
      </c>
      <c r="U1161" s="16" t="str">
        <f>IFERROR(__xludf.DUMMYFUNCTION("""COMPUTED_VALUE"""),"Jaga warung")</f>
        <v>Jaga warung</v>
      </c>
      <c r="V1161" s="11" t="str">
        <f>IFERROR(__xludf.DUMMYFUNCTION("""COMPUTED_VALUE"""),"081345231128")</f>
        <v>081345231128</v>
      </c>
      <c r="W1161" s="15"/>
    </row>
    <row r="1162" ht="22.5" customHeight="1">
      <c r="A1162" s="8"/>
      <c r="B1162" s="9">
        <f>IFERROR(__xludf.DUMMYFUNCTION("""COMPUTED_VALUE"""),45356.63215748842)</f>
        <v>45356.63216</v>
      </c>
      <c r="C1162" s="9"/>
      <c r="D1162" s="34">
        <f>IFERROR(__xludf.DUMMYFUNCTION("""COMPUTED_VALUE"""),45360.0)</f>
        <v>45360</v>
      </c>
      <c r="E1162" s="34" t="str">
        <f>IFERROR(__xludf.DUMMYFUNCTION("""COMPUTED_VALUE"""),"03Mar")</f>
        <v>03Mar</v>
      </c>
      <c r="F1162" s="34" t="str">
        <f>IFERROR(__xludf.DUMMYFUNCTION("""COMPUTED_VALUE"""),"2024")</f>
        <v>2024</v>
      </c>
      <c r="G1162" s="16" t="str">
        <f>IFERROR(__xludf.DUMMYFUNCTION("""COMPUTED_VALUE"""),"MIRA LESTINA")</f>
        <v>MIRA LESTINA</v>
      </c>
      <c r="H1162" s="17" t="str">
        <f>IFERROR(__xludf.DUMMYFUNCTION("""COMPUTED_VALUE"""),"M6624035095")</f>
        <v>M6624035095</v>
      </c>
      <c r="I1162" s="17">
        <f>IFERROR(__xludf.DUMMYFUNCTION("""COMPUTED_VALUE"""),59.0)</f>
        <v>59</v>
      </c>
      <c r="J1162" s="17" t="str">
        <f>IFERROR(__xludf.DUMMYFUNCTION("""COMPUTED_VALUE"""),"&gt; 44 tahun")</f>
        <v>&gt; 44 tahun</v>
      </c>
      <c r="K1162" s="19">
        <f>IFERROR(__xludf.DUMMYFUNCTION("""COMPUTED_VALUE"""),24302.0)</f>
        <v>24302</v>
      </c>
      <c r="L1162" s="19" t="str">
        <f>IFERROR(__xludf.DUMMYFUNCTION("""COMPUTED_VALUE"""),"PEREMPUAN")</f>
        <v>PEREMPUAN</v>
      </c>
      <c r="M1162" s="35" t="str">
        <f>IFERROR(__xludf.DUMMYFUNCTION("""COMPUTED_VALUE"""),"JL HRA RAHMAN GG MURIA NO 12 RT 004 RW 002")</f>
        <v>JL HRA RAHMAN GG MURIA NO 12 RT 004 RW 002</v>
      </c>
      <c r="N1162" s="16" t="str">
        <f>IFERROR(__xludf.DUMMYFUNCTION("""COMPUTED_VALUE"""),"KEL. SUNGAI JAWI DALAM")</f>
        <v>KEL. SUNGAI JAWI DALAM</v>
      </c>
      <c r="O1162" s="16" t="str">
        <f>IFERROR(__xludf.DUMMYFUNCTION("""COMPUTED_VALUE"""),"KEC. PONTIANAK BARAT")</f>
        <v>KEC. PONTIANAK BARAT</v>
      </c>
      <c r="P1162" s="16" t="str">
        <f>IFERROR(__xludf.DUMMYFUNCTION("""COMPUTED_VALUE"""),"KOTA PONTIANAK")</f>
        <v>KOTA PONTIANAK</v>
      </c>
      <c r="Q1162" s="16" t="str">
        <f>IFERROR(__xludf.DUMMYFUNCTION("""COMPUTED_VALUE"""),"KALIMANTAN BARAT")</f>
        <v>KALIMANTAN BARAT</v>
      </c>
      <c r="R1162" s="19" t="str">
        <f>IFERROR(__xludf.DUMMYFUNCTION("""COMPUTED_VALUE"""),"ISLAM")</f>
        <v>ISLAM</v>
      </c>
      <c r="S1162" s="16" t="str">
        <f>IFERROR(__xludf.DUMMYFUNCTION("""COMPUTED_VALUE"""),"ASN")</f>
        <v>ASN</v>
      </c>
      <c r="T1162" s="16" t="str">
        <f>IFERROR(__xludf.DUMMYFUNCTION("""COMPUTED_VALUE"""),"Sakit hingga ke pinggang")</f>
        <v>Sakit hingga ke pinggang</v>
      </c>
      <c r="U1162" s="16" t="str">
        <f>IFERROR(__xludf.DUMMYFUNCTION("""COMPUTED_VALUE"""),"Mengajar")</f>
        <v>Mengajar</v>
      </c>
      <c r="V1162" s="11" t="str">
        <f>IFERROR(__xludf.DUMMYFUNCTION("""COMPUTED_VALUE"""),"081345545095")</f>
        <v>081345545095</v>
      </c>
      <c r="W1162" s="15"/>
    </row>
    <row r="1163" ht="22.5" customHeight="1">
      <c r="A1163" s="8"/>
      <c r="B1163" s="9">
        <f>IFERROR(__xludf.DUMMYFUNCTION("""COMPUTED_VALUE"""),45356.71654854166)</f>
        <v>45356.71655</v>
      </c>
      <c r="C1163" s="9"/>
      <c r="D1163" s="34">
        <f>IFERROR(__xludf.DUMMYFUNCTION("""COMPUTED_VALUE"""),45361.0)</f>
        <v>45361</v>
      </c>
      <c r="E1163" s="34" t="str">
        <f>IFERROR(__xludf.DUMMYFUNCTION("""COMPUTED_VALUE"""),"03Mar")</f>
        <v>03Mar</v>
      </c>
      <c r="F1163" s="34" t="str">
        <f>IFERROR(__xludf.DUMMYFUNCTION("""COMPUTED_VALUE"""),"2024")</f>
        <v>2024</v>
      </c>
      <c r="G1163" s="16" t="str">
        <f>IFERROR(__xludf.DUMMYFUNCTION("""COMPUTED_VALUE"""),"RAFIF WAHYU HABIBULLAH")</f>
        <v>RAFIF WAHYU HABIBULLAH</v>
      </c>
      <c r="H1163" s="17" t="str">
        <f>IFERROR(__xludf.DUMMYFUNCTION("""COMPUTED_VALUE"""),"R0524034905")</f>
        <v>R0524034905</v>
      </c>
      <c r="I1163" s="17">
        <f>IFERROR(__xludf.DUMMYFUNCTION("""COMPUTED_VALUE"""),20.0)</f>
        <v>20</v>
      </c>
      <c r="J1163" s="17" t="str">
        <f>IFERROR(__xludf.DUMMYFUNCTION("""COMPUTED_VALUE"""),"18-24 tahun")</f>
        <v>18-24 tahun</v>
      </c>
      <c r="K1163" s="19">
        <f>IFERROR(__xludf.DUMMYFUNCTION("""COMPUTED_VALUE"""),38591.0)</f>
        <v>38591</v>
      </c>
      <c r="L1163" s="19" t="str">
        <f>IFERROR(__xludf.DUMMYFUNCTION("""COMPUTED_VALUE"""),"LAKI-LAKI")</f>
        <v>LAKI-LAKI</v>
      </c>
      <c r="M1163" s="35" t="str">
        <f>IFERROR(__xludf.DUMMYFUNCTION("""COMPUTED_VALUE"""),"ALAMAT SINTANG: JALAN DARA JUANTI RT 11 RW 04 KKU. ALAMAT KUBU RAYA: JALAN RAYA KAKAP, KOMPLEK FAJAR KENCANA 9 NOMOR B 11")</f>
        <v>ALAMAT SINTANG: JALAN DARA JUANTI RT 11 RW 04 KKU. ALAMAT KUBU RAYA: JALAN RAYA KAKAP, KOMPLEK FAJAR KENCANA 9 NOMOR B 11</v>
      </c>
      <c r="N1163" s="16" t="str">
        <f>IFERROR(__xludf.DUMMYFUNCTION("""COMPUTED_VALUE"""),"KEL. KAPUAS KIRI HULU")</f>
        <v>KEL. KAPUAS KIRI HULU</v>
      </c>
      <c r="O1163" s="16" t="str">
        <f>IFERROR(__xludf.DUMMYFUNCTION("""COMPUTED_VALUE"""),"KEC. SINTANG")</f>
        <v>KEC. SINTANG</v>
      </c>
      <c r="P1163" s="16" t="str">
        <f>IFERROR(__xludf.DUMMYFUNCTION("""COMPUTED_VALUE"""),"KAB. SINTANG")</f>
        <v>KAB. SINTANG</v>
      </c>
      <c r="Q1163" s="16" t="str">
        <f>IFERROR(__xludf.DUMMYFUNCTION("""COMPUTED_VALUE"""),"KALIMANTAN BARAT")</f>
        <v>KALIMANTAN BARAT</v>
      </c>
      <c r="R1163" s="19" t="str">
        <f>IFERROR(__xludf.DUMMYFUNCTION("""COMPUTED_VALUE"""),"ISLAM")</f>
        <v>ISLAM</v>
      </c>
      <c r="S1163" s="16" t="str">
        <f>IFERROR(__xludf.DUMMYFUNCTION("""COMPUTED_VALUE"""),"PELAJAR/MAHASISWA")</f>
        <v>PELAJAR/MAHASISWA</v>
      </c>
      <c r="T1163" s="16" t="str">
        <f>IFERROR(__xludf.DUMMYFUNCTION("""COMPUTED_VALUE"""),"Kaki X - 5")</f>
        <v>Kaki X - 5</v>
      </c>
      <c r="U1163" s="16" t="str">
        <f>IFERROR(__xludf.DUMMYFUNCTION("""COMPUTED_VALUE"""),"Kuliah, main basket dan olah raga lain kadang 2")</f>
        <v>Kuliah, main basket dan olah raga lain kadang 2</v>
      </c>
      <c r="V1163" s="11" t="str">
        <f>IFERROR(__xludf.DUMMYFUNCTION("""COMPUTED_VALUE"""),"082155494905")</f>
        <v>082155494905</v>
      </c>
      <c r="W1163" s="15"/>
    </row>
    <row r="1164" ht="22.5" customHeight="1">
      <c r="A1164" s="8"/>
      <c r="B1164" s="9">
        <f>IFERROR(__xludf.DUMMYFUNCTION("""COMPUTED_VALUE"""),45356.83365460648)</f>
        <v>45356.83365</v>
      </c>
      <c r="C1164" s="9"/>
      <c r="D1164" s="34">
        <f>IFERROR(__xludf.DUMMYFUNCTION("""COMPUTED_VALUE"""),45361.0)</f>
        <v>45361</v>
      </c>
      <c r="E1164" s="34" t="str">
        <f>IFERROR(__xludf.DUMMYFUNCTION("""COMPUTED_VALUE"""),"03Mar")</f>
        <v>03Mar</v>
      </c>
      <c r="F1164" s="34" t="str">
        <f>IFERROR(__xludf.DUMMYFUNCTION("""COMPUTED_VALUE"""),"2024")</f>
        <v>2024</v>
      </c>
      <c r="G1164" s="16" t="str">
        <f>IFERROR(__xludf.DUMMYFUNCTION("""COMPUTED_VALUE"""),"BERN WIDJATAMMA")</f>
        <v>BERN WIDJATAMMA</v>
      </c>
      <c r="H1164" s="17" t="str">
        <f>IFERROR(__xludf.DUMMYFUNCTION("""COMPUTED_VALUE"""),"B1524031912")</f>
        <v>B1524031912</v>
      </c>
      <c r="I1164" s="17">
        <f>IFERROR(__xludf.DUMMYFUNCTION("""COMPUTED_VALUE"""),10.0)</f>
        <v>10</v>
      </c>
      <c r="J1164" s="17" t="str">
        <f>IFERROR(__xludf.DUMMYFUNCTION("""COMPUTED_VALUE"""),"&lt; 18 tahun")</f>
        <v>&lt; 18 tahun</v>
      </c>
      <c r="K1164" s="19">
        <f>IFERROR(__xludf.DUMMYFUNCTION("""COMPUTED_VALUE"""),42295.0)</f>
        <v>42295</v>
      </c>
      <c r="L1164" s="19" t="str">
        <f>IFERROR(__xludf.DUMMYFUNCTION("""COMPUTED_VALUE"""),"LAKI-LAKI")</f>
        <v>LAKI-LAKI</v>
      </c>
      <c r="M1164" s="35" t="str">
        <f>IFERROR(__xludf.DUMMYFUNCTION("""COMPUTED_VALUE"""),"JL GUNUNG SAHARI NO 50")</f>
        <v>JL GUNUNG SAHARI NO 50</v>
      </c>
      <c r="N1164" s="16" t="str">
        <f>IFERROR(__xludf.DUMMYFUNCTION("""COMPUTED_VALUE"""),"KEL. SUNGAI JAWI DALAM")</f>
        <v>KEL. SUNGAI JAWI DALAM</v>
      </c>
      <c r="O1164" s="16" t="str">
        <f>IFERROR(__xludf.DUMMYFUNCTION("""COMPUTED_VALUE"""),"KEC. PONTIANAK BARAT")</f>
        <v>KEC. PONTIANAK BARAT</v>
      </c>
      <c r="P1164" s="16" t="str">
        <f>IFERROR(__xludf.DUMMYFUNCTION("""COMPUTED_VALUE"""),"KOTA PONTIANAK")</f>
        <v>KOTA PONTIANAK</v>
      </c>
      <c r="Q1164" s="16" t="str">
        <f>IFERROR(__xludf.DUMMYFUNCTION("""COMPUTED_VALUE"""),"KALIMANTAN BARAT")</f>
        <v>KALIMANTAN BARAT</v>
      </c>
      <c r="R1164" s="19" t="str">
        <f>IFERROR(__xludf.DUMMYFUNCTION("""COMPUTED_VALUE"""),"KHONGHUCU")</f>
        <v>KHONGHUCU</v>
      </c>
      <c r="S1164" s="16" t="str">
        <f>IFERROR(__xludf.DUMMYFUNCTION("""COMPUTED_VALUE"""),"PELAJAR/MAHASISWA")</f>
        <v>PELAJAR/MAHASISWA</v>
      </c>
      <c r="T1164" s="16" t="str">
        <f>IFERROR(__xludf.DUMMYFUNCTION("""COMPUTED_VALUE"""),"Telapak kaki terasa pegal saat memijak sudah 1 tahun lebih")</f>
        <v>Telapak kaki terasa pegal saat memijak sudah 1 tahun lebih</v>
      </c>
      <c r="U1164" s="16" t="str">
        <f>IFERROR(__xludf.DUMMYFUNCTION("""COMPUTED_VALUE"""),"Berlari, melompat, berenang")</f>
        <v>Berlari, melompat, berenang</v>
      </c>
      <c r="V1164" s="11" t="str">
        <f>IFERROR(__xludf.DUMMYFUNCTION("""COMPUTED_VALUE"""),"087819131912")</f>
        <v>087819131912</v>
      </c>
      <c r="W1164" s="15"/>
    </row>
    <row r="1165" ht="22.5" customHeight="1">
      <c r="A1165" s="8"/>
      <c r="B1165" s="9">
        <f>IFERROR(__xludf.DUMMYFUNCTION("""COMPUTED_VALUE"""),45357.52485405093)</f>
        <v>45357.52485</v>
      </c>
      <c r="C1165" s="9"/>
      <c r="D1165" s="34">
        <f>IFERROR(__xludf.DUMMYFUNCTION("""COMPUTED_VALUE"""),45361.0)</f>
        <v>45361</v>
      </c>
      <c r="E1165" s="34" t="str">
        <f>IFERROR(__xludf.DUMMYFUNCTION("""COMPUTED_VALUE"""),"03Mar")</f>
        <v>03Mar</v>
      </c>
      <c r="F1165" s="34" t="str">
        <f>IFERROR(__xludf.DUMMYFUNCTION("""COMPUTED_VALUE"""),"2024")</f>
        <v>2024</v>
      </c>
      <c r="G1165" s="35" t="str">
        <f>IFERROR(__xludf.DUMMYFUNCTION("""COMPUTED_VALUE"""),"MUHAMMAD IQBAL NOVIANSYAH")</f>
        <v>MUHAMMAD IQBAL NOVIANSYAH</v>
      </c>
      <c r="H1165" s="17" t="str">
        <f>IFERROR(__xludf.DUMMYFUNCTION("""COMPUTED_VALUE"""),"M2424031093")</f>
        <v>M2424031093</v>
      </c>
      <c r="I1165" s="17">
        <f>IFERROR(__xludf.DUMMYFUNCTION("""COMPUTED_VALUE"""),2.0)</f>
        <v>2</v>
      </c>
      <c r="J1165" s="17" t="str">
        <f>IFERROR(__xludf.DUMMYFUNCTION("""COMPUTED_VALUE"""),"&lt; 18 tahun")</f>
        <v>&lt; 18 tahun</v>
      </c>
      <c r="K1165" s="19">
        <f>IFERROR(__xludf.DUMMYFUNCTION("""COMPUTED_VALUE"""),45361.0)</f>
        <v>45361</v>
      </c>
      <c r="L1165" s="19" t="str">
        <f>IFERROR(__xludf.DUMMYFUNCTION("""COMPUTED_VALUE"""),"LAKI-LAKI")</f>
        <v>LAKI-LAKI</v>
      </c>
      <c r="M1165" s="35" t="str">
        <f>IFERROR(__xludf.DUMMYFUNCTION("""COMPUTED_VALUE"""),"PURNAMA AGUNG 2 KOMPLEK SDN 12 NO. 3")</f>
        <v>PURNAMA AGUNG 2 KOMPLEK SDN 12 NO. 3</v>
      </c>
      <c r="N1165" s="16" t="str">
        <f>IFERROR(__xludf.DUMMYFUNCTION("""COMPUTED_VALUE"""),"KEL. KOTA BARU")</f>
        <v>KEL. KOTA BARU</v>
      </c>
      <c r="O1165" s="16" t="str">
        <f>IFERROR(__xludf.DUMMYFUNCTION("""COMPUTED_VALUE"""),"KEC. PONTIANAK SELATAN")</f>
        <v>KEC. PONTIANAK SELATAN</v>
      </c>
      <c r="P1165" s="16" t="str">
        <f>IFERROR(__xludf.DUMMYFUNCTION("""COMPUTED_VALUE"""),"KOTA PONTIANAK")</f>
        <v>KOTA PONTIANAK</v>
      </c>
      <c r="Q1165" s="16" t="str">
        <f>IFERROR(__xludf.DUMMYFUNCTION("""COMPUTED_VALUE"""),"KALIMANTAN BARAT")</f>
        <v>KALIMANTAN BARAT</v>
      </c>
      <c r="R1165" s="19" t="str">
        <f>IFERROR(__xludf.DUMMYFUNCTION("""COMPUTED_VALUE"""),"ISLAM")</f>
        <v>ISLAM</v>
      </c>
      <c r="S1165" s="35" t="str">
        <f>IFERROR(__xludf.DUMMYFUNCTION("""COMPUTED_VALUE"""),"DOSEN/GURU")</f>
        <v>DOSEN/GURU</v>
      </c>
      <c r="T1165" s="16" t="str">
        <f>IFERROR(__xludf.DUMMYFUNCTION("""COMPUTED_VALUE"""),"SAKIT NYERI LEHER SEBELAH KIRI")</f>
        <v>SAKIT NYERI LEHER SEBELAH KIRI</v>
      </c>
      <c r="U1165" s="16" t="str">
        <f>IFERROR(__xludf.DUMMYFUNCTION("""COMPUTED_VALUE"""),"MENGAJAR")</f>
        <v>MENGAJAR</v>
      </c>
      <c r="V1165" s="11" t="str">
        <f>IFERROR(__xludf.DUMMYFUNCTION("""COMPUTED_VALUE"""),"089694101093")</f>
        <v>089694101093</v>
      </c>
      <c r="W1165" s="15"/>
    </row>
    <row r="1166" ht="22.5" customHeight="1">
      <c r="A1166" s="8"/>
      <c r="B1166" s="9">
        <f>IFERROR(__xludf.DUMMYFUNCTION("""COMPUTED_VALUE"""),45357.53833542824)</f>
        <v>45357.53834</v>
      </c>
      <c r="C1166" s="9"/>
      <c r="D1166" s="34">
        <f>IFERROR(__xludf.DUMMYFUNCTION("""COMPUTED_VALUE"""),45363.0)</f>
        <v>45363</v>
      </c>
      <c r="E1166" s="34" t="str">
        <f>IFERROR(__xludf.DUMMYFUNCTION("""COMPUTED_VALUE"""),"03Mar")</f>
        <v>03Mar</v>
      </c>
      <c r="F1166" s="34" t="str">
        <f>IFERROR(__xludf.DUMMYFUNCTION("""COMPUTED_VALUE"""),"2024")</f>
        <v>2024</v>
      </c>
      <c r="G1166" s="35" t="str">
        <f>IFERROR(__xludf.DUMMYFUNCTION("""COMPUTED_VALUE"""),"ERICSON CHANDRA JAP")</f>
        <v>ERICSON CHANDRA JAP</v>
      </c>
      <c r="H1166" s="17" t="str">
        <f>IFERROR(__xludf.DUMMYFUNCTION("""COMPUTED_VALUE"""),"E0024032808")</f>
        <v>E0024032808</v>
      </c>
      <c r="I1166" s="17">
        <f>IFERROR(__xludf.DUMMYFUNCTION("""COMPUTED_VALUE"""),25.0)</f>
        <v>25</v>
      </c>
      <c r="J1166" s="17" t="str">
        <f>IFERROR(__xludf.DUMMYFUNCTION("""COMPUTED_VALUE"""),"25-34 tahun")</f>
        <v>25-34 tahun</v>
      </c>
      <c r="K1166" s="19">
        <f>IFERROR(__xludf.DUMMYFUNCTION("""COMPUTED_VALUE"""),36766.0)</f>
        <v>36766</v>
      </c>
      <c r="L1166" s="19" t="str">
        <f>IFERROR(__xludf.DUMMYFUNCTION("""COMPUTED_VALUE"""),"LAKI-LAKI")</f>
        <v>LAKI-LAKI</v>
      </c>
      <c r="M1166" s="35" t="str">
        <f>IFERROR(__xludf.DUMMYFUNCTION("""COMPUTED_VALUE"""),"JL. IMAM BONJOL GG. TANJUNG SARI NO.6)Z")</f>
        <v>JL. IMAM BONJOL GG. TANJUNG SARI NO.6)Z</v>
      </c>
      <c r="N1166" s="16" t="str">
        <f>IFERROR(__xludf.DUMMYFUNCTION("""COMPUTED_VALUE"""),"KEL. BANSIR LAUT")</f>
        <v>KEL. BANSIR LAUT</v>
      </c>
      <c r="O1166" s="16" t="str">
        <f>IFERROR(__xludf.DUMMYFUNCTION("""COMPUTED_VALUE"""),"KEC. PONTIANAK TENGGARA")</f>
        <v>KEC. PONTIANAK TENGGARA</v>
      </c>
      <c r="P1166" s="16" t="str">
        <f>IFERROR(__xludf.DUMMYFUNCTION("""COMPUTED_VALUE"""),"KOTA PONTIANAK")</f>
        <v>KOTA PONTIANAK</v>
      </c>
      <c r="Q1166" s="16" t="str">
        <f>IFERROR(__xludf.DUMMYFUNCTION("""COMPUTED_VALUE"""),"KALIMANTAN BARAT")</f>
        <v>KALIMANTAN BARAT</v>
      </c>
      <c r="R1166" s="19" t="str">
        <f>IFERROR(__xludf.DUMMYFUNCTION("""COMPUTED_VALUE"""),"KATOLIK")</f>
        <v>KATOLIK</v>
      </c>
      <c r="S1166" s="35" t="str">
        <f>IFERROR(__xludf.DUMMYFUNCTION("""COMPUTED_VALUE"""),"SWASTA")</f>
        <v>SWASTA</v>
      </c>
      <c r="T1166" s="16" t="str">
        <f>IFERROR(__xludf.DUMMYFUNCTION("""COMPUTED_VALUE"""),"Nyeri di selangkangan paha dan")</f>
        <v>Nyeri di selangkangan paha dan</v>
      </c>
      <c r="U1166" s="16" t="str">
        <f>IFERROR(__xludf.DUMMYFUNCTION("""COMPUTED_VALUE"""),"Lari")</f>
        <v>Lari</v>
      </c>
      <c r="V1166" s="11" t="str">
        <f>IFERROR(__xludf.DUMMYFUNCTION("""COMPUTED_VALUE"""),"081388892808")</f>
        <v>081388892808</v>
      </c>
      <c r="W1166" s="15"/>
    </row>
    <row r="1167" ht="22.5" customHeight="1">
      <c r="A1167" s="8"/>
      <c r="B1167" s="9">
        <f>IFERROR(__xludf.DUMMYFUNCTION("""COMPUTED_VALUE"""),45357.57610091435)</f>
        <v>45357.5761</v>
      </c>
      <c r="C1167" s="9"/>
      <c r="D1167" s="34">
        <f>IFERROR(__xludf.DUMMYFUNCTION("""COMPUTED_VALUE"""),45363.0)</f>
        <v>45363</v>
      </c>
      <c r="E1167" s="34" t="str">
        <f>IFERROR(__xludf.DUMMYFUNCTION("""COMPUTED_VALUE"""),"03Mar")</f>
        <v>03Mar</v>
      </c>
      <c r="F1167" s="34" t="str">
        <f>IFERROR(__xludf.DUMMYFUNCTION("""COMPUTED_VALUE"""),"2024")</f>
        <v>2024</v>
      </c>
      <c r="G1167" s="35" t="str">
        <f>IFERROR(__xludf.DUMMYFUNCTION("""COMPUTED_VALUE"""),"OLGA MAROLINA SIMANUNGKALIT")</f>
        <v>OLGA MAROLINA SIMANUNGKALIT</v>
      </c>
      <c r="H1167" s="17" t="str">
        <f>IFERROR(__xludf.DUMMYFUNCTION("""COMPUTED_VALUE"""),"O9424030947")</f>
        <v>O9424030947</v>
      </c>
      <c r="I1167" s="17">
        <f>IFERROR(__xludf.DUMMYFUNCTION("""COMPUTED_VALUE"""),31.0)</f>
        <v>31</v>
      </c>
      <c r="J1167" s="17" t="str">
        <f>IFERROR(__xludf.DUMMYFUNCTION("""COMPUTED_VALUE"""),"25-34 tahun")</f>
        <v>25-34 tahun</v>
      </c>
      <c r="K1167" s="19">
        <f>IFERROR(__xludf.DUMMYFUNCTION("""COMPUTED_VALUE"""),34532.0)</f>
        <v>34532</v>
      </c>
      <c r="L1167" s="19" t="str">
        <f>IFERROR(__xludf.DUMMYFUNCTION("""COMPUTED_VALUE"""),"PEREMPUAN")</f>
        <v>PEREMPUAN</v>
      </c>
      <c r="M1167" s="35" t="str">
        <f>IFERROR(__xludf.DUMMYFUNCTION("""COMPUTED_VALUE"""),"JL HASIM ASHARI NO 22")</f>
        <v>JL HASIM ASHARI NO 22</v>
      </c>
      <c r="N1167" s="16" t="str">
        <f>IFERROR(__xludf.DUMMYFUNCTION("""COMPUTED_VALUE"""),"KEL. TANJUNG HULU")</f>
        <v>KEL. TANJUNG HULU</v>
      </c>
      <c r="O1167" s="16" t="str">
        <f>IFERROR(__xludf.DUMMYFUNCTION("""COMPUTED_VALUE"""),"KEC. PONTIANAK TIMUR")</f>
        <v>KEC. PONTIANAK TIMUR</v>
      </c>
      <c r="P1167" s="16" t="str">
        <f>IFERROR(__xludf.DUMMYFUNCTION("""COMPUTED_VALUE"""),"KOTA PONTIANAK")</f>
        <v>KOTA PONTIANAK</v>
      </c>
      <c r="Q1167" s="16" t="str">
        <f>IFERROR(__xludf.DUMMYFUNCTION("""COMPUTED_VALUE"""),"KALIMANTAN BARAT")</f>
        <v>KALIMANTAN BARAT</v>
      </c>
      <c r="R1167" s="19" t="str">
        <f>IFERROR(__xludf.DUMMYFUNCTION("""COMPUTED_VALUE"""),"PROTESTAN")</f>
        <v>PROTESTAN</v>
      </c>
      <c r="S1167" s="16" t="str">
        <f>IFERROR(__xludf.DUMMYFUNCTION("""COMPUTED_VALUE"""),"SWASTA")</f>
        <v>SWASTA</v>
      </c>
      <c r="T1167" s="16" t="str">
        <f>IFERROR(__xludf.DUMMYFUNCTION("""COMPUTED_VALUE"""),"Kebas tangan dan kaki")</f>
        <v>Kebas tangan dan kaki</v>
      </c>
      <c r="U1167" s="16" t="str">
        <f>IFERROR(__xludf.DUMMYFUNCTION("""COMPUTED_VALUE"""),"Memasak")</f>
        <v>Memasak</v>
      </c>
      <c r="V1167" s="11" t="str">
        <f>IFERROR(__xludf.DUMMYFUNCTION("""COMPUTED_VALUE"""),"082111800947")</f>
        <v>082111800947</v>
      </c>
      <c r="W1167" s="15"/>
    </row>
    <row r="1168" ht="22.5" customHeight="1">
      <c r="A1168" s="8"/>
      <c r="B1168" s="9">
        <f>IFERROR(__xludf.DUMMYFUNCTION("""COMPUTED_VALUE"""),45357.94250451389)</f>
        <v>45357.9425</v>
      </c>
      <c r="C1168" s="9"/>
      <c r="D1168" s="34">
        <f>IFERROR(__xludf.DUMMYFUNCTION("""COMPUTED_VALUE"""),45363.0)</f>
        <v>45363</v>
      </c>
      <c r="E1168" s="34" t="str">
        <f>IFERROR(__xludf.DUMMYFUNCTION("""COMPUTED_VALUE"""),"03Mar")</f>
        <v>03Mar</v>
      </c>
      <c r="F1168" s="34" t="str">
        <f>IFERROR(__xludf.DUMMYFUNCTION("""COMPUTED_VALUE"""),"2024")</f>
        <v>2024</v>
      </c>
      <c r="G1168" s="35" t="str">
        <f>IFERROR(__xludf.DUMMYFUNCTION("""COMPUTED_VALUE"""),"FINA VIDYA ALIFA")</f>
        <v>FINA VIDYA ALIFA</v>
      </c>
      <c r="H1168" s="17" t="str">
        <f>IFERROR(__xludf.DUMMYFUNCTION("""COMPUTED_VALUE"""),"F8424032728")</f>
        <v>F8424032728</v>
      </c>
      <c r="I1168" s="17">
        <f>IFERROR(__xludf.DUMMYFUNCTION("""COMPUTED_VALUE"""),41.0)</f>
        <v>41</v>
      </c>
      <c r="J1168" s="17" t="str">
        <f>IFERROR(__xludf.DUMMYFUNCTION("""COMPUTED_VALUE"""),"35-44 tahun")</f>
        <v>35-44 tahun</v>
      </c>
      <c r="K1168" s="19">
        <f>IFERROR(__xludf.DUMMYFUNCTION("""COMPUTED_VALUE"""),30890.0)</f>
        <v>30890</v>
      </c>
      <c r="L1168" s="19" t="str">
        <f>IFERROR(__xludf.DUMMYFUNCTION("""COMPUTED_VALUE"""),"PEREMPUAN")</f>
        <v>PEREMPUAN</v>
      </c>
      <c r="M1168" s="35" t="str">
        <f>IFERROR(__xludf.DUMMYFUNCTION("""COMPUTED_VALUE"""),"JL. DR. WAHIDIN S KOMP. BATARA INDAH 1 BLOK EE 4")</f>
        <v>JL. DR. WAHIDIN S KOMP. BATARA INDAH 1 BLOK EE 4</v>
      </c>
      <c r="N1168" s="16" t="str">
        <f>IFERROR(__xludf.DUMMYFUNCTION("""COMPUTED_VALUE"""),"KEL. SUNGAI JAWI")</f>
        <v>KEL. SUNGAI JAWI</v>
      </c>
      <c r="O1168" s="16" t="str">
        <f>IFERROR(__xludf.DUMMYFUNCTION("""COMPUTED_VALUE"""),"KEC. PONTIANAK KOTA")</f>
        <v>KEC. PONTIANAK KOTA</v>
      </c>
      <c r="P1168" s="16" t="str">
        <f>IFERROR(__xludf.DUMMYFUNCTION("""COMPUTED_VALUE"""),"KOTA PONTIANAK")</f>
        <v>KOTA PONTIANAK</v>
      </c>
      <c r="Q1168" s="16" t="str">
        <f>IFERROR(__xludf.DUMMYFUNCTION("""COMPUTED_VALUE"""),"KALIMANTAN BARAT")</f>
        <v>KALIMANTAN BARAT</v>
      </c>
      <c r="R1168" s="19" t="str">
        <f>IFERROR(__xludf.DUMMYFUNCTION("""COMPUTED_VALUE"""),"ISLAM")</f>
        <v>ISLAM</v>
      </c>
      <c r="S1168" s="16" t="str">
        <f>IFERROR(__xludf.DUMMYFUNCTION("""COMPUTED_VALUE"""),"WIRASWASTA")</f>
        <v>WIRASWASTA</v>
      </c>
      <c r="T1168" s="16" t="str">
        <f>IFERROR(__xludf.DUMMYFUNCTION("""COMPUTED_VALUE"""),"TANGAN KIRI BAGUAN ENGSEL BAHU NYERI")</f>
        <v>TANGAN KIRI BAGUAN ENGSEL BAHU NYERI</v>
      </c>
      <c r="U1168" s="16" t="str">
        <f>IFERROR(__xludf.DUMMYFUNCTION("""COMPUTED_VALUE"""),"AKTIVITAS NGURUS BAYI")</f>
        <v>AKTIVITAS NGURUS BAYI</v>
      </c>
      <c r="V1168" s="11" t="str">
        <f>IFERROR(__xludf.DUMMYFUNCTION("""COMPUTED_VALUE"""),"081256262728")</f>
        <v>081256262728</v>
      </c>
      <c r="W1168" s="15"/>
    </row>
    <row r="1169" ht="22.5" customHeight="1">
      <c r="A1169" s="8"/>
      <c r="B1169" s="9">
        <f>IFERROR(__xludf.DUMMYFUNCTION("""COMPUTED_VALUE"""),45011.1373540162)</f>
        <v>45011.13735</v>
      </c>
      <c r="C1169" s="9"/>
      <c r="D1169" s="34">
        <f>IFERROR(__xludf.DUMMYFUNCTION("""COMPUTED_VALUE"""),45364.0)</f>
        <v>45364</v>
      </c>
      <c r="E1169" s="34" t="str">
        <f>IFERROR(__xludf.DUMMYFUNCTION("""COMPUTED_VALUE"""),"03Mar")</f>
        <v>03Mar</v>
      </c>
      <c r="F1169" s="34" t="str">
        <f>IFERROR(__xludf.DUMMYFUNCTION("""COMPUTED_VALUE"""),"2024")</f>
        <v>2024</v>
      </c>
      <c r="G1169" s="35" t="str">
        <f>IFERROR(__xludf.DUMMYFUNCTION("""COMPUTED_VALUE"""),"TEZA JOPLIN PAELONGAN")</f>
        <v>TEZA JOPLIN PAELONGAN</v>
      </c>
      <c r="H1169" s="17" t="str">
        <f>IFERROR(__xludf.DUMMYFUNCTION("""COMPUTED_VALUE"""),"T9724032757")</f>
        <v>T9724032757</v>
      </c>
      <c r="I1169" s="17">
        <f>IFERROR(__xludf.DUMMYFUNCTION("""COMPUTED_VALUE"""),29.0)</f>
        <v>29</v>
      </c>
      <c r="J1169" s="17" t="str">
        <f>IFERROR(__xludf.DUMMYFUNCTION("""COMPUTED_VALUE"""),"25-34 tahun")</f>
        <v>25-34 tahun</v>
      </c>
      <c r="K1169" s="19">
        <f>IFERROR(__xludf.DUMMYFUNCTION("""COMPUTED_VALUE"""),35436.0)</f>
        <v>35436</v>
      </c>
      <c r="L1169" s="19" t="str">
        <f>IFERROR(__xludf.DUMMYFUNCTION("""COMPUTED_VALUE"""),"LAKI-LAKI")</f>
        <v>LAKI-LAKI</v>
      </c>
      <c r="M1169" s="35" t="str">
        <f>IFERROR(__xludf.DUMMYFUNCTION("""COMPUTED_VALUE"""),"PARIS 2, ALEX GRIYA 1 NO D9")</f>
        <v>PARIS 2, ALEX GRIYA 1 NO D9</v>
      </c>
      <c r="N1169" s="16" t="str">
        <f>IFERROR(__xludf.DUMMYFUNCTION("""COMPUTED_VALUE"""),"KEL. BANGKA BELITUNG DARAT")</f>
        <v>KEL. BANGKA BELITUNG DARAT</v>
      </c>
      <c r="O1169" s="16" t="str">
        <f>IFERROR(__xludf.DUMMYFUNCTION("""COMPUTED_VALUE"""),"KEC. PONTIANAK TENGGARA")</f>
        <v>KEC. PONTIANAK TENGGARA</v>
      </c>
      <c r="P1169" s="16" t="str">
        <f>IFERROR(__xludf.DUMMYFUNCTION("""COMPUTED_VALUE"""),"KOTA PONTIANAK")</f>
        <v>KOTA PONTIANAK</v>
      </c>
      <c r="Q1169" s="16" t="str">
        <f>IFERROR(__xludf.DUMMYFUNCTION("""COMPUTED_VALUE"""),"KALIMANTAN BARAT")</f>
        <v>KALIMANTAN BARAT</v>
      </c>
      <c r="R1169" s="19" t="str">
        <f>IFERROR(__xludf.DUMMYFUNCTION("""COMPUTED_VALUE"""),"PROTESTAN")</f>
        <v>PROTESTAN</v>
      </c>
      <c r="S1169" s="16" t="str">
        <f>IFERROR(__xludf.DUMMYFUNCTION("""COMPUTED_VALUE"""),"SWASTA")</f>
        <v>SWASTA</v>
      </c>
      <c r="T1169" s="16" t="str">
        <f>IFERROR(__xludf.DUMMYFUNCTION("""COMPUTED_VALUE"""),"kiri")</f>
        <v>kiri</v>
      </c>
      <c r="U1169" s="16" t="str">
        <f>IFERROR(__xludf.DUMMYFUNCTION("""COMPUTED_VALUE"""),"bola")</f>
        <v>bola</v>
      </c>
      <c r="V1169" s="11" t="str">
        <f>IFERROR(__xludf.DUMMYFUNCTION("""COMPUTED_VALUE"""),"081230272757")</f>
        <v>081230272757</v>
      </c>
      <c r="W1169" s="15"/>
    </row>
    <row r="1170" ht="22.5" customHeight="1">
      <c r="A1170" s="8"/>
      <c r="B1170" s="9">
        <f>IFERROR(__xludf.DUMMYFUNCTION("""COMPUTED_VALUE"""),45358.87514359954)</f>
        <v>45358.87514</v>
      </c>
      <c r="C1170" s="9"/>
      <c r="D1170" s="34">
        <f>IFERROR(__xludf.DUMMYFUNCTION("""COMPUTED_VALUE"""),45364.0)</f>
        <v>45364</v>
      </c>
      <c r="E1170" s="34" t="str">
        <f>IFERROR(__xludf.DUMMYFUNCTION("""COMPUTED_VALUE"""),"03Mar")</f>
        <v>03Mar</v>
      </c>
      <c r="F1170" s="34" t="str">
        <f>IFERROR(__xludf.DUMMYFUNCTION("""COMPUTED_VALUE"""),"2024")</f>
        <v>2024</v>
      </c>
      <c r="G1170" s="35" t="str">
        <f>IFERROR(__xludf.DUMMYFUNCTION("""COMPUTED_VALUE"""),"KEVIN SETIA BUDI SINAGA")</f>
        <v>KEVIN SETIA BUDI SINAGA</v>
      </c>
      <c r="H1170" s="17" t="str">
        <f>IFERROR(__xludf.DUMMYFUNCTION("""COMPUTED_VALUE"""),"K0524033156")</f>
        <v>K0524033156</v>
      </c>
      <c r="I1170" s="17">
        <f>IFERROR(__xludf.DUMMYFUNCTION("""COMPUTED_VALUE"""),20.0)</f>
        <v>20</v>
      </c>
      <c r="J1170" s="17" t="str">
        <f>IFERROR(__xludf.DUMMYFUNCTION("""COMPUTED_VALUE"""),"18-24 tahun")</f>
        <v>18-24 tahun</v>
      </c>
      <c r="K1170" s="19">
        <f>IFERROR(__xludf.DUMMYFUNCTION("""COMPUTED_VALUE"""),38581.0)</f>
        <v>38581</v>
      </c>
      <c r="L1170" s="19" t="str">
        <f>IFERROR(__xludf.DUMMYFUNCTION("""COMPUTED_VALUE"""),"LAKI-LAKI")</f>
        <v>LAKI-LAKI</v>
      </c>
      <c r="M1170" s="35" t="str">
        <f>IFERROR(__xludf.DUMMYFUNCTION("""COMPUTED_VALUE"""),"JL PATTIMURA, DUSUN SANGKAU MULYA")</f>
        <v>JL PATTIMURA, DUSUN SANGKAU MULYA</v>
      </c>
      <c r="N1170" s="16" t="str">
        <f>IFERROR(__xludf.DUMMYFUNCTION("""COMPUTED_VALUE"""),"DSN. SANGKAU MULYA")</f>
        <v>DSN. SANGKAU MULYA</v>
      </c>
      <c r="O1170" s="16" t="str">
        <f>IFERROR(__xludf.DUMMYFUNCTION("""COMPUTED_VALUE"""),"KEC. JANGKANG")</f>
        <v>KEC. JANGKANG</v>
      </c>
      <c r="P1170" s="16" t="str">
        <f>IFERROR(__xludf.DUMMYFUNCTION("""COMPUTED_VALUE"""),"KAB. SANGGAU")</f>
        <v>KAB. SANGGAU</v>
      </c>
      <c r="Q1170" s="16" t="str">
        <f>IFERROR(__xludf.DUMMYFUNCTION("""COMPUTED_VALUE"""),"KALIMANTAN BARAT")</f>
        <v>KALIMANTAN BARAT</v>
      </c>
      <c r="R1170" s="19" t="str">
        <f>IFERROR(__xludf.DUMMYFUNCTION("""COMPUTED_VALUE"""),"KATOLIK")</f>
        <v>KATOLIK</v>
      </c>
      <c r="S1170" s="16" t="str">
        <f>IFERROR(__xludf.DUMMYFUNCTION("""COMPUTED_VALUE"""),"PELAJAR/MAHASISWA")</f>
        <v>PELAJAR/MAHASISWA</v>
      </c>
      <c r="T1170" s="16" t="str">
        <f>IFERROR(__xludf.DUMMYFUNCTION("""COMPUTED_VALUE"""),"Kaki x")</f>
        <v>Kaki x</v>
      </c>
      <c r="U1170" s="16" t="str">
        <f>IFERROR(__xludf.DUMMYFUNCTION("""COMPUTED_VALUE"""),"Sepak bola")</f>
        <v>Sepak bola</v>
      </c>
      <c r="V1170" s="11" t="str">
        <f>IFERROR(__xludf.DUMMYFUNCTION("""COMPUTED_VALUE"""),"081295163156")</f>
        <v>081295163156</v>
      </c>
      <c r="W1170" s="15"/>
    </row>
    <row r="1171" ht="22.5" customHeight="1">
      <c r="A1171" s="8"/>
      <c r="B1171" s="9">
        <f>IFERROR(__xludf.DUMMYFUNCTION("""COMPUTED_VALUE"""),45359.810657071765)</f>
        <v>45359.81066</v>
      </c>
      <c r="C1171" s="9"/>
      <c r="D1171" s="34">
        <f>IFERROR(__xludf.DUMMYFUNCTION("""COMPUTED_VALUE"""),45364.0)</f>
        <v>45364</v>
      </c>
      <c r="E1171" s="34" t="str">
        <f>IFERROR(__xludf.DUMMYFUNCTION("""COMPUTED_VALUE"""),"03Mar")</f>
        <v>03Mar</v>
      </c>
      <c r="F1171" s="34" t="str">
        <f>IFERROR(__xludf.DUMMYFUNCTION("""COMPUTED_VALUE"""),"2024")</f>
        <v>2024</v>
      </c>
      <c r="G1171" s="35" t="str">
        <f>IFERROR(__xludf.DUMMYFUNCTION("""COMPUTED_VALUE"""),"RIO SAPUTRA")</f>
        <v>RIO SAPUTRA</v>
      </c>
      <c r="H1171" s="17" t="str">
        <f>IFERROR(__xludf.DUMMYFUNCTION("""COMPUTED_VALUE"""),"R8824039853")</f>
        <v>R8824039853</v>
      </c>
      <c r="I1171" s="17">
        <f>IFERROR(__xludf.DUMMYFUNCTION("""COMPUTED_VALUE"""),38.0)</f>
        <v>38</v>
      </c>
      <c r="J1171" s="17" t="str">
        <f>IFERROR(__xludf.DUMMYFUNCTION("""COMPUTED_VALUE"""),"35-44 tahun")</f>
        <v>35-44 tahun</v>
      </c>
      <c r="K1171" s="19">
        <f>IFERROR(__xludf.DUMMYFUNCTION("""COMPUTED_VALUE"""),32222.0)</f>
        <v>32222</v>
      </c>
      <c r="L1171" s="19" t="str">
        <f>IFERROR(__xludf.DUMMYFUNCTION("""COMPUTED_VALUE"""),"LAKI-LAKI")</f>
        <v>LAKI-LAKI</v>
      </c>
      <c r="M1171" s="35" t="str">
        <f>IFERROR(__xludf.DUMMYFUNCTION("""COMPUTED_VALUE"""),"JALAN PADAT KARYA KOMPLEK GRANDVIEW")</f>
        <v>JALAN PADAT KARYA KOMPLEK GRANDVIEW</v>
      </c>
      <c r="N1171" s="16" t="str">
        <f>IFERROR(__xludf.DUMMYFUNCTION("""COMPUTED_VALUE"""),"KEL. BANSIR DARAT")</f>
        <v>KEL. BANSIR DARAT</v>
      </c>
      <c r="O1171" s="16" t="str">
        <f>IFERROR(__xludf.DUMMYFUNCTION("""COMPUTED_VALUE"""),"KEC. PONTIANAK TENGGARA")</f>
        <v>KEC. PONTIANAK TENGGARA</v>
      </c>
      <c r="P1171" s="16" t="str">
        <f>IFERROR(__xludf.DUMMYFUNCTION("""COMPUTED_VALUE"""),"KOTA PONTIANAK")</f>
        <v>KOTA PONTIANAK</v>
      </c>
      <c r="Q1171" s="16" t="str">
        <f>IFERROR(__xludf.DUMMYFUNCTION("""COMPUTED_VALUE"""),"KALIMANTAN BARAT")</f>
        <v>KALIMANTAN BARAT</v>
      </c>
      <c r="R1171" s="19" t="str">
        <f>IFERROR(__xludf.DUMMYFUNCTION("""COMPUTED_VALUE"""),"ISLAM")</f>
        <v>ISLAM</v>
      </c>
      <c r="S1171" s="16" t="str">
        <f>IFERROR(__xludf.DUMMYFUNCTION("""COMPUTED_VALUE"""),"BUMD")</f>
        <v>BUMD</v>
      </c>
      <c r="T1171" s="16" t="str">
        <f>IFERROR(__xludf.DUMMYFUNCTION("""COMPUTED_VALUE"""),"Engkel kaki kanan bengkak")</f>
        <v>Engkel kaki kanan bengkak</v>
      </c>
      <c r="U1171" s="16" t="str">
        <f>IFERROR(__xludf.DUMMYFUNCTION("""COMPUTED_VALUE"""),"Olahraga")</f>
        <v>Olahraga</v>
      </c>
      <c r="V1171" s="11" t="str">
        <f>IFERROR(__xludf.DUMMYFUNCTION("""COMPUTED_VALUE"""),"085386929853")</f>
        <v>085386929853</v>
      </c>
      <c r="W1171" s="15"/>
    </row>
    <row r="1172" ht="22.5" customHeight="1">
      <c r="A1172" s="8"/>
      <c r="B1172" s="9">
        <f>IFERROR(__xludf.DUMMYFUNCTION("""COMPUTED_VALUE"""),45360.50816037037)</f>
        <v>45360.50816</v>
      </c>
      <c r="C1172" s="9"/>
      <c r="D1172" s="34">
        <f>IFERROR(__xludf.DUMMYFUNCTION("""COMPUTED_VALUE"""),45364.0)</f>
        <v>45364</v>
      </c>
      <c r="E1172" s="34" t="str">
        <f>IFERROR(__xludf.DUMMYFUNCTION("""COMPUTED_VALUE"""),"03Mar")</f>
        <v>03Mar</v>
      </c>
      <c r="F1172" s="34" t="str">
        <f>IFERROR(__xludf.DUMMYFUNCTION("""COMPUTED_VALUE"""),"2024")</f>
        <v>2024</v>
      </c>
      <c r="G1172" s="35" t="str">
        <f>IFERROR(__xludf.DUMMYFUNCTION("""COMPUTED_VALUE"""),"DIANA MEITA MAYANG SARI")</f>
        <v>DIANA MEITA MAYANG SARI</v>
      </c>
      <c r="H1172" s="17" t="str">
        <f>IFERROR(__xludf.DUMMYFUNCTION("""COMPUTED_VALUE"""),"D9124031196")</f>
        <v>D9124031196</v>
      </c>
      <c r="I1172" s="17">
        <f>IFERROR(__xludf.DUMMYFUNCTION("""COMPUTED_VALUE"""),35.0)</f>
        <v>35</v>
      </c>
      <c r="J1172" s="17" t="str">
        <f>IFERROR(__xludf.DUMMYFUNCTION("""COMPUTED_VALUE"""),"35-44 tahun")</f>
        <v>35-44 tahun</v>
      </c>
      <c r="K1172" s="19">
        <f>IFERROR(__xludf.DUMMYFUNCTION("""COMPUTED_VALUE"""),33383.0)</f>
        <v>33383</v>
      </c>
      <c r="L1172" s="19" t="str">
        <f>IFERROR(__xludf.DUMMYFUNCTION("""COMPUTED_VALUE"""),"PEREMPUAN")</f>
        <v>PEREMPUAN</v>
      </c>
      <c r="M1172" s="35" t="str">
        <f>IFERROR(__xludf.DUMMYFUNCTION("""COMPUTED_VALUE"""),"JALAN RASAU JAYA KOMPLEK ARINI RESIDEN 4 NO. A3")</f>
        <v>JALAN RASAU JAYA KOMPLEK ARINI RESIDEN 4 NO. A3</v>
      </c>
      <c r="N1172" s="16" t="str">
        <f>IFERROR(__xludf.DUMMYFUNCTION("""COMPUTED_VALUE"""),"KEL. RASAU JAYA")</f>
        <v>KEL. RASAU JAYA</v>
      </c>
      <c r="O1172" s="16" t="str">
        <f>IFERROR(__xludf.DUMMYFUNCTION("""COMPUTED_VALUE"""),"KEC. SUNGAI RAYA")</f>
        <v>KEC. SUNGAI RAYA</v>
      </c>
      <c r="P1172" s="16" t="str">
        <f>IFERROR(__xludf.DUMMYFUNCTION("""COMPUTED_VALUE"""),"KAB. KUBU RAYA")</f>
        <v>KAB. KUBU RAYA</v>
      </c>
      <c r="Q1172" s="16" t="str">
        <f>IFERROR(__xludf.DUMMYFUNCTION("""COMPUTED_VALUE"""),"KALIMANTAN BARAT")</f>
        <v>KALIMANTAN BARAT</v>
      </c>
      <c r="R1172" s="19" t="str">
        <f>IFERROR(__xludf.DUMMYFUNCTION("""COMPUTED_VALUE"""),"ISLAM")</f>
        <v>ISLAM</v>
      </c>
      <c r="S1172" s="16" t="str">
        <f>IFERROR(__xludf.DUMMYFUNCTION("""COMPUTED_VALUE"""),"BUMD")</f>
        <v>BUMD</v>
      </c>
      <c r="T1172" s="16" t="str">
        <f>IFERROR(__xludf.DUMMYFUNCTION("""COMPUTED_VALUE"""),"Sakit pinggang")</f>
        <v>Sakit pinggang</v>
      </c>
      <c r="U1172" s="16" t="str">
        <f>IFERROR(__xludf.DUMMYFUNCTION("""COMPUTED_VALUE"""),"Bekerja")</f>
        <v>Bekerja</v>
      </c>
      <c r="V1172" s="11" t="str">
        <f>IFERROR(__xludf.DUMMYFUNCTION("""COMPUTED_VALUE"""),"089602911196")</f>
        <v>089602911196</v>
      </c>
      <c r="W1172" s="15"/>
    </row>
    <row r="1173" ht="22.5" customHeight="1">
      <c r="A1173" s="8"/>
      <c r="B1173" s="9">
        <f>IFERROR(__xludf.DUMMYFUNCTION("""COMPUTED_VALUE"""),45360.61388430555)</f>
        <v>45360.61388</v>
      </c>
      <c r="C1173" s="9"/>
      <c r="D1173" s="34">
        <f>IFERROR(__xludf.DUMMYFUNCTION("""COMPUTED_VALUE"""),45364.0)</f>
        <v>45364</v>
      </c>
      <c r="E1173" s="34" t="str">
        <f>IFERROR(__xludf.DUMMYFUNCTION("""COMPUTED_VALUE"""),"03Mar")</f>
        <v>03Mar</v>
      </c>
      <c r="F1173" s="34" t="str">
        <f>IFERROR(__xludf.DUMMYFUNCTION("""COMPUTED_VALUE"""),"2024")</f>
        <v>2024</v>
      </c>
      <c r="G1173" s="35" t="str">
        <f>IFERROR(__xludf.DUMMYFUNCTION("""COMPUTED_VALUE"""),"NAWAF RASYAD BASALIM")</f>
        <v>NAWAF RASYAD BASALIM</v>
      </c>
      <c r="H1173" s="17" t="str">
        <f>IFERROR(__xludf.DUMMYFUNCTION("""COMPUTED_VALUE"""),"N0924035151")</f>
        <v>N0924035151</v>
      </c>
      <c r="I1173" s="17">
        <f>IFERROR(__xludf.DUMMYFUNCTION("""COMPUTED_VALUE"""),16.0)</f>
        <v>16</v>
      </c>
      <c r="J1173" s="17" t="str">
        <f>IFERROR(__xludf.DUMMYFUNCTION("""COMPUTED_VALUE"""),"&lt; 18 tahun")</f>
        <v>&lt; 18 tahun</v>
      </c>
      <c r="K1173" s="19">
        <f>IFERROR(__xludf.DUMMYFUNCTION("""COMPUTED_VALUE"""),40034.0)</f>
        <v>40034</v>
      </c>
      <c r="L1173" s="19" t="str">
        <f>IFERROR(__xludf.DUMMYFUNCTION("""COMPUTED_VALUE"""),"LAKI-LAKI")</f>
        <v>LAKI-LAKI</v>
      </c>
      <c r="M1173" s="35" t="str">
        <f>IFERROR(__xludf.DUMMYFUNCTION("""COMPUTED_VALUE"""),"JL. HM SUWIGNYO KOMPLEKS CITRA INDAH 1 BLOK D NO 15")</f>
        <v>JL. HM SUWIGNYO KOMPLEKS CITRA INDAH 1 BLOK D NO 15</v>
      </c>
      <c r="N1173" s="16" t="str">
        <f>IFERROR(__xludf.DUMMYFUNCTION("""COMPUTED_VALUE"""),"KEL. SUNGAI BANGKONG")</f>
        <v>KEL. SUNGAI BANGKONG</v>
      </c>
      <c r="O1173" s="16" t="str">
        <f>IFERROR(__xludf.DUMMYFUNCTION("""COMPUTED_VALUE"""),"KEC. PONTIANAK KOTA")</f>
        <v>KEC. PONTIANAK KOTA</v>
      </c>
      <c r="P1173" s="16" t="str">
        <f>IFERROR(__xludf.DUMMYFUNCTION("""COMPUTED_VALUE"""),"KOTA PONTIANAK")</f>
        <v>KOTA PONTIANAK</v>
      </c>
      <c r="Q1173" s="16" t="str">
        <f>IFERROR(__xludf.DUMMYFUNCTION("""COMPUTED_VALUE"""),"KALIMANTAN BARAT")</f>
        <v>KALIMANTAN BARAT</v>
      </c>
      <c r="R1173" s="19" t="str">
        <f>IFERROR(__xludf.DUMMYFUNCTION("""COMPUTED_VALUE"""),"ISLAM")</f>
        <v>ISLAM</v>
      </c>
      <c r="S1173" s="16" t="str">
        <f>IFERROR(__xludf.DUMMYFUNCTION("""COMPUTED_VALUE"""),"PELAJAR/MAHASISWA")</f>
        <v>PELAJAR/MAHASISWA</v>
      </c>
      <c r="T1173" s="16" t="str">
        <f>IFERROR(__xludf.DUMMYFUNCTION("""COMPUTED_VALUE"""),"Sakit disebelah kanan")</f>
        <v>Sakit disebelah kanan</v>
      </c>
      <c r="U1173" s="16" t="str">
        <f>IFERROR(__xludf.DUMMYFUNCTION("""COMPUTED_VALUE"""),"Futsal")</f>
        <v>Futsal</v>
      </c>
      <c r="V1173" s="11" t="str">
        <f>IFERROR(__xludf.DUMMYFUNCTION("""COMPUTED_VALUE"""),"085750705151")</f>
        <v>085750705151</v>
      </c>
      <c r="W1173" s="15"/>
    </row>
    <row r="1174" ht="22.5" customHeight="1">
      <c r="A1174" s="8"/>
      <c r="B1174" s="9">
        <f>IFERROR(__xludf.DUMMYFUNCTION("""COMPUTED_VALUE"""),45360.62282903935)</f>
        <v>45360.62283</v>
      </c>
      <c r="C1174" s="9"/>
      <c r="D1174" s="34">
        <f>IFERROR(__xludf.DUMMYFUNCTION("""COMPUTED_VALUE"""),45365.0)</f>
        <v>45365</v>
      </c>
      <c r="E1174" s="34" t="str">
        <f>IFERROR(__xludf.DUMMYFUNCTION("""COMPUTED_VALUE"""),"03Mar")</f>
        <v>03Mar</v>
      </c>
      <c r="F1174" s="34" t="str">
        <f>IFERROR(__xludf.DUMMYFUNCTION("""COMPUTED_VALUE"""),"2024")</f>
        <v>2024</v>
      </c>
      <c r="G1174" s="35" t="str">
        <f>IFERROR(__xludf.DUMMYFUNCTION("""COMPUTED_VALUE"""),"YUDHA PRABASKARA")</f>
        <v>YUDHA PRABASKARA</v>
      </c>
      <c r="H1174" s="17" t="str">
        <f>IFERROR(__xludf.DUMMYFUNCTION("""COMPUTED_VALUE"""),"Y0424034973")</f>
        <v>Y0424034973</v>
      </c>
      <c r="I1174" s="17">
        <f>IFERROR(__xludf.DUMMYFUNCTION("""COMPUTED_VALUE"""),21.0)</f>
        <v>21</v>
      </c>
      <c r="J1174" s="17" t="str">
        <f>IFERROR(__xludf.DUMMYFUNCTION("""COMPUTED_VALUE"""),"18-24 tahun")</f>
        <v>18-24 tahun</v>
      </c>
      <c r="K1174" s="19">
        <f>IFERROR(__xludf.DUMMYFUNCTION("""COMPUTED_VALUE"""),38240.0)</f>
        <v>38240</v>
      </c>
      <c r="L1174" s="19" t="str">
        <f>IFERROR(__xludf.DUMMYFUNCTION("""COMPUTED_VALUE"""),"LAKI-LAKI")</f>
        <v>LAKI-LAKI</v>
      </c>
      <c r="M1174" s="35" t="str">
        <f>IFERROR(__xludf.DUMMYFUNCTION("""COMPUTED_VALUE"""),"JL KARYA KOMP VILLA PERMATA ASRI BLOK F.8")</f>
        <v>JL KARYA KOMP VILLA PERMATA ASRI BLOK F.8</v>
      </c>
      <c r="N1174" s="16" t="str">
        <f>IFERROR(__xludf.DUMMYFUNCTION("""COMPUTED_VALUE"""),"KEL. PAL IX")</f>
        <v>KEL. PAL IX</v>
      </c>
      <c r="O1174" s="16" t="str">
        <f>IFERROR(__xludf.DUMMYFUNCTION("""COMPUTED_VALUE"""),"KEC. SUNGAI KAKAP")</f>
        <v>KEC. SUNGAI KAKAP</v>
      </c>
      <c r="P1174" s="16" t="str">
        <f>IFERROR(__xludf.DUMMYFUNCTION("""COMPUTED_VALUE"""),"KAB. KUBU RAYA")</f>
        <v>KAB. KUBU RAYA</v>
      </c>
      <c r="Q1174" s="16" t="str">
        <f>IFERROR(__xludf.DUMMYFUNCTION("""COMPUTED_VALUE"""),"KALIMANTAN BARAT")</f>
        <v>KALIMANTAN BARAT</v>
      </c>
      <c r="R1174" s="19" t="str">
        <f>IFERROR(__xludf.DUMMYFUNCTION("""COMPUTED_VALUE"""),"ISLAM")</f>
        <v>ISLAM</v>
      </c>
      <c r="S1174" s="16" t="str">
        <f>IFERROR(__xludf.DUMMYFUNCTION("""COMPUTED_VALUE"""),"PELAJAR/MAHASISWA")</f>
        <v>PELAJAR/MAHASISWA</v>
      </c>
      <c r="T1174" s="16" t="str">
        <f>IFERROR(__xludf.DUMMYFUNCTION("""COMPUTED_VALUE"""),"Sakit bagian")</f>
        <v>Sakit bagian</v>
      </c>
      <c r="U1174" s="16" t="str">
        <f>IFERROR(__xludf.DUMMYFUNCTION("""COMPUTED_VALUE"""),"Taekwondo dan bola")</f>
        <v>Taekwondo dan bola</v>
      </c>
      <c r="V1174" s="11" t="str">
        <f>IFERROR(__xludf.DUMMYFUNCTION("""COMPUTED_VALUE"""),"082148424973")</f>
        <v>082148424973</v>
      </c>
      <c r="W1174" s="15"/>
    </row>
    <row r="1175" ht="22.5" customHeight="1">
      <c r="A1175" s="8"/>
      <c r="B1175" s="9">
        <f>IFERROR(__xludf.DUMMYFUNCTION("""COMPUTED_VALUE"""),45360.81649597222)</f>
        <v>45360.8165</v>
      </c>
      <c r="C1175" s="9"/>
      <c r="D1175" s="10">
        <f>IFERROR(__xludf.DUMMYFUNCTION("""COMPUTED_VALUE"""),45365.0)</f>
        <v>45365</v>
      </c>
      <c r="E1175" s="10" t="str">
        <f>IFERROR(__xludf.DUMMYFUNCTION("""COMPUTED_VALUE"""),"03Mar")</f>
        <v>03Mar</v>
      </c>
      <c r="F1175" s="10" t="str">
        <f>IFERROR(__xludf.DUMMYFUNCTION("""COMPUTED_VALUE"""),"2024")</f>
        <v>2024</v>
      </c>
      <c r="G1175" s="35" t="str">
        <f>IFERROR(__xludf.DUMMYFUNCTION("""COMPUTED_VALUE"""),"FERRY HERMAWAN SUSANTO")</f>
        <v>FERRY HERMAWAN SUSANTO</v>
      </c>
      <c r="H1175" s="17" t="str">
        <f>IFERROR(__xludf.DUMMYFUNCTION("""COMPUTED_VALUE"""),"F9024039100")</f>
        <v>F9024039100</v>
      </c>
      <c r="I1175" s="17">
        <f>IFERROR(__xludf.DUMMYFUNCTION("""COMPUTED_VALUE"""),35.0)</f>
        <v>35</v>
      </c>
      <c r="J1175" s="17" t="str">
        <f>IFERROR(__xludf.DUMMYFUNCTION("""COMPUTED_VALUE"""),"35-44 tahun")</f>
        <v>35-44 tahun</v>
      </c>
      <c r="K1175" s="19">
        <f>IFERROR(__xludf.DUMMYFUNCTION("""COMPUTED_VALUE"""),33140.0)</f>
        <v>33140</v>
      </c>
      <c r="L1175" s="19" t="str">
        <f>IFERROR(__xludf.DUMMYFUNCTION("""COMPUTED_VALUE"""),"LAKI-LAKI")</f>
        <v>LAKI-LAKI</v>
      </c>
      <c r="M1175" s="35" t="str">
        <f>IFERROR(__xludf.DUMMYFUNCTION("""COMPUTED_VALUE"""),"JLN MH THAMRIN NO P19 KOMPLEK UNTAN PONTIANAK")</f>
        <v>JLN MH THAMRIN NO P19 KOMPLEK UNTAN PONTIANAK</v>
      </c>
      <c r="N1175" s="16" t="str">
        <f>IFERROR(__xludf.DUMMYFUNCTION("""COMPUTED_VALUE"""),"KEL. BANSIR LAUT")</f>
        <v>KEL. BANSIR LAUT</v>
      </c>
      <c r="O1175" s="16" t="str">
        <f>IFERROR(__xludf.DUMMYFUNCTION("""COMPUTED_VALUE"""),"KEC. PONTIANAK TENGGARA")</f>
        <v>KEC. PONTIANAK TENGGARA</v>
      </c>
      <c r="P1175" s="16" t="str">
        <f>IFERROR(__xludf.DUMMYFUNCTION("""COMPUTED_VALUE"""),"KOTA PONTIANAK")</f>
        <v>KOTA PONTIANAK</v>
      </c>
      <c r="Q1175" s="16" t="str">
        <f>IFERROR(__xludf.DUMMYFUNCTION("""COMPUTED_VALUE"""),"KALIMANTAN BARAT")</f>
        <v>KALIMANTAN BARAT</v>
      </c>
      <c r="R1175" s="19" t="str">
        <f>IFERROR(__xludf.DUMMYFUNCTION("""COMPUTED_VALUE"""),"ISLAM")</f>
        <v>ISLAM</v>
      </c>
      <c r="S1175" s="16" t="str">
        <f>IFERROR(__xludf.DUMMYFUNCTION("""COMPUTED_VALUE"""),"DOSEN/GURU")</f>
        <v>DOSEN/GURU</v>
      </c>
      <c r="T1175" s="16" t="str">
        <f>IFERROR(__xludf.DUMMYFUNCTION("""COMPUTED_VALUE"""),"Nyeri di pangkal paha belakang, bawah bokong *maaf, sedang sakit leher")</f>
        <v>Nyeri di pangkal paha belakang, bawah bokong *maaf, sedang sakit leher</v>
      </c>
      <c r="U1175" s="16" t="str">
        <f>IFERROR(__xludf.DUMMYFUNCTION("""COMPUTED_VALUE"""),"Mengajar")</f>
        <v>Mengajar</v>
      </c>
      <c r="V1175" s="11" t="str">
        <f>IFERROR(__xludf.DUMMYFUNCTION("""COMPUTED_VALUE"""),"085245719100")</f>
        <v>085245719100</v>
      </c>
      <c r="W1175" s="15"/>
    </row>
    <row r="1176" ht="22.5" customHeight="1">
      <c r="A1176" s="8"/>
      <c r="B1176" s="9">
        <f>IFERROR(__xludf.DUMMYFUNCTION("""COMPUTED_VALUE"""),45361.46973641204)</f>
        <v>45361.46974</v>
      </c>
      <c r="C1176" s="9"/>
      <c r="D1176" s="34">
        <f>IFERROR(__xludf.DUMMYFUNCTION("""COMPUTED_VALUE"""),45365.0)</f>
        <v>45365</v>
      </c>
      <c r="E1176" s="34" t="str">
        <f>IFERROR(__xludf.DUMMYFUNCTION("""COMPUTED_VALUE"""),"03Mar")</f>
        <v>03Mar</v>
      </c>
      <c r="F1176" s="34" t="str">
        <f>IFERROR(__xludf.DUMMYFUNCTION("""COMPUTED_VALUE"""),"2024")</f>
        <v>2024</v>
      </c>
      <c r="G1176" s="35" t="str">
        <f>IFERROR(__xludf.DUMMYFUNCTION("""COMPUTED_VALUE"""),"VICKY TJAHYADI")</f>
        <v>VICKY TJAHYADI</v>
      </c>
      <c r="H1176" s="17" t="str">
        <f>IFERROR(__xludf.DUMMYFUNCTION("""COMPUTED_VALUE"""),"V8824032966")</f>
        <v>V8824032966</v>
      </c>
      <c r="I1176" s="17">
        <f>IFERROR(__xludf.DUMMYFUNCTION("""COMPUTED_VALUE"""),38.0)</f>
        <v>38</v>
      </c>
      <c r="J1176" s="17" t="str">
        <f>IFERROR(__xludf.DUMMYFUNCTION("""COMPUTED_VALUE"""),"35-44 tahun")</f>
        <v>35-44 tahun</v>
      </c>
      <c r="K1176" s="19">
        <f>IFERROR(__xludf.DUMMYFUNCTION("""COMPUTED_VALUE"""),32258.0)</f>
        <v>32258</v>
      </c>
      <c r="L1176" s="19" t="str">
        <f>IFERROR(__xludf.DUMMYFUNCTION("""COMPUTED_VALUE"""),"LAKI-LAKI")</f>
        <v>LAKI-LAKI</v>
      </c>
      <c r="M1176" s="35" t="str">
        <f>IFERROR(__xludf.DUMMYFUNCTION("""COMPUTED_VALUE"""),"JLN. K. H. A. DAHLAN NO 29A")</f>
        <v>JLN. K. H. A. DAHLAN NO 29A</v>
      </c>
      <c r="N1176" s="16" t="str">
        <f>IFERROR(__xludf.DUMMYFUNCTION("""COMPUTED_VALUE"""),"KEL. DARAT SEKIP")</f>
        <v>KEL. DARAT SEKIP</v>
      </c>
      <c r="O1176" s="16" t="str">
        <f>IFERROR(__xludf.DUMMYFUNCTION("""COMPUTED_VALUE"""),"KEC. PONTIANAK KOTA")</f>
        <v>KEC. PONTIANAK KOTA</v>
      </c>
      <c r="P1176" s="16" t="str">
        <f>IFERROR(__xludf.DUMMYFUNCTION("""COMPUTED_VALUE"""),"KOTA PONTIANAK")</f>
        <v>KOTA PONTIANAK</v>
      </c>
      <c r="Q1176" s="16" t="str">
        <f>IFERROR(__xludf.DUMMYFUNCTION("""COMPUTED_VALUE"""),"KALIMANTAN BARAT")</f>
        <v>KALIMANTAN BARAT</v>
      </c>
      <c r="R1176" s="19" t="str">
        <f>IFERROR(__xludf.DUMMYFUNCTION("""COMPUTED_VALUE"""),"KATOLIK")</f>
        <v>KATOLIK</v>
      </c>
      <c r="S1176" s="35" t="str">
        <f>IFERROR(__xludf.DUMMYFUNCTION("""COMPUTED_VALUE"""),"WIRASWASTA")</f>
        <v>WIRASWASTA</v>
      </c>
      <c r="T1176" s="16" t="str">
        <f>IFERROR(__xludf.DUMMYFUNCTION("""COMPUTED_VALUE"""),"Sakit pada pergelangan kaki, Engkel, dan telapak kaki kiri, dan lengan kiri.")</f>
        <v>Sakit pada pergelangan kaki, Engkel, dan telapak kaki kiri, dan lengan kiri.</v>
      </c>
      <c r="U1176" s="16" t="str">
        <f>IFERROR(__xludf.DUMMYFUNCTION("""COMPUTED_VALUE"""),"Badminton")</f>
        <v>Badminton</v>
      </c>
      <c r="V1176" s="11" t="str">
        <f>IFERROR(__xludf.DUMMYFUNCTION("""COMPUTED_VALUE"""),"081258222966")</f>
        <v>081258222966</v>
      </c>
      <c r="W1176" s="15"/>
    </row>
    <row r="1177" ht="22.5" customHeight="1">
      <c r="A1177" s="8"/>
      <c r="B1177" s="9">
        <f>IFERROR(__xludf.DUMMYFUNCTION("""COMPUTED_VALUE"""),45362.78246018519)</f>
        <v>45362.78246</v>
      </c>
      <c r="C1177" s="9"/>
      <c r="D1177" s="34">
        <f>IFERROR(__xludf.DUMMYFUNCTION("""COMPUTED_VALUE"""),45366.0)</f>
        <v>45366</v>
      </c>
      <c r="E1177" s="34" t="str">
        <f>IFERROR(__xludf.DUMMYFUNCTION("""COMPUTED_VALUE"""),"03Mar")</f>
        <v>03Mar</v>
      </c>
      <c r="F1177" s="34" t="str">
        <f>IFERROR(__xludf.DUMMYFUNCTION("""COMPUTED_VALUE"""),"2024")</f>
        <v>2024</v>
      </c>
      <c r="G1177" s="35" t="str">
        <f>IFERROR(__xludf.DUMMYFUNCTION("""COMPUTED_VALUE"""),"SALSABILLA DEVA")</f>
        <v>SALSABILLA DEVA</v>
      </c>
      <c r="H1177" s="17" t="str">
        <f>IFERROR(__xludf.DUMMYFUNCTION("""COMPUTED_VALUE"""),"S0024030915")</f>
        <v>S0024030915</v>
      </c>
      <c r="I1177" s="17">
        <f>IFERROR(__xludf.DUMMYFUNCTION("""COMPUTED_VALUE"""),25.0)</f>
        <v>25</v>
      </c>
      <c r="J1177" s="17" t="str">
        <f>IFERROR(__xludf.DUMMYFUNCTION("""COMPUTED_VALUE"""),"25-34 tahun")</f>
        <v>25-34 tahun</v>
      </c>
      <c r="K1177" s="19">
        <f>IFERROR(__xludf.DUMMYFUNCTION("""COMPUTED_VALUE"""),36805.0)</f>
        <v>36805</v>
      </c>
      <c r="L1177" s="19" t="str">
        <f>IFERROR(__xludf.DUMMYFUNCTION("""COMPUTED_VALUE"""),"PEREMPUAN")</f>
        <v>PEREMPUAN</v>
      </c>
      <c r="M1177" s="36" t="str">
        <f>IFERROR(__xludf.DUMMYFUNCTION("""COMPUTED_VALUE"""),"JL PUTRI CANDRAMIDI GG EKA JAYA NO 36")</f>
        <v>JL PUTRI CANDRAMIDI GG EKA JAYA NO 36</v>
      </c>
      <c r="N1177" s="16" t="str">
        <f>IFERROR(__xludf.DUMMYFUNCTION("""COMPUTED_VALUE"""),"KEL. SUNGAI BANGKONG")</f>
        <v>KEL. SUNGAI BANGKONG</v>
      </c>
      <c r="O1177" s="16" t="str">
        <f>IFERROR(__xludf.DUMMYFUNCTION("""COMPUTED_VALUE"""),"KEC. PONTIANAK KOTA")</f>
        <v>KEC. PONTIANAK KOTA</v>
      </c>
      <c r="P1177" s="16" t="str">
        <f>IFERROR(__xludf.DUMMYFUNCTION("""COMPUTED_VALUE"""),"KOTA PONTIANAK")</f>
        <v>KOTA PONTIANAK</v>
      </c>
      <c r="Q1177" s="16" t="str">
        <f>IFERROR(__xludf.DUMMYFUNCTION("""COMPUTED_VALUE"""),"KALIMANTAN BARAT")</f>
        <v>KALIMANTAN BARAT</v>
      </c>
      <c r="R1177" s="19" t="str">
        <f>IFERROR(__xludf.DUMMYFUNCTION("""COMPUTED_VALUE"""),"ISLAM")</f>
        <v>ISLAM</v>
      </c>
      <c r="S1177" s="16" t="str">
        <f>IFERROR(__xludf.DUMMYFUNCTION("""COMPUTED_VALUE"""),"PELAJAR/MAHASISWA")</f>
        <v>PELAJAR/MAHASISWA</v>
      </c>
      <c r="T1177" s="36" t="str">
        <f>IFERROR(__xludf.DUMMYFUNCTION("""COMPUTED_VALUE"""),"PINGGANG")</f>
        <v>PINGGANG</v>
      </c>
      <c r="U1177" s="16" t="str">
        <f>IFERROR(__xludf.DUMMYFUNCTION("""COMPUTED_VALUE"""),"-")</f>
        <v>-</v>
      </c>
      <c r="V1177" s="11" t="str">
        <f>IFERROR(__xludf.DUMMYFUNCTION("""COMPUTED_VALUE"""),"089696820915")</f>
        <v>089696820915</v>
      </c>
      <c r="W1177" s="15"/>
    </row>
    <row r="1178" ht="22.5" customHeight="1">
      <c r="A1178" s="28"/>
      <c r="B1178" s="9">
        <f>IFERROR(__xludf.DUMMYFUNCTION("""COMPUTED_VALUE"""),45363.4366572338)</f>
        <v>45363.43666</v>
      </c>
      <c r="C1178" s="9"/>
      <c r="D1178" s="34">
        <f>IFERROR(__xludf.DUMMYFUNCTION("""COMPUTED_VALUE"""),45366.0)</f>
        <v>45366</v>
      </c>
      <c r="E1178" s="34" t="str">
        <f>IFERROR(__xludf.DUMMYFUNCTION("""COMPUTED_VALUE"""),"03Mar")</f>
        <v>03Mar</v>
      </c>
      <c r="F1178" s="34" t="str">
        <f>IFERROR(__xludf.DUMMYFUNCTION("""COMPUTED_VALUE"""),"2024")</f>
        <v>2024</v>
      </c>
      <c r="G1178" s="35" t="str">
        <f>IFERROR(__xludf.DUMMYFUNCTION("""COMPUTED_VALUE"""),"UTIN AINUN KASMIRI")</f>
        <v>UTIN AINUN KASMIRI</v>
      </c>
      <c r="H1178" s="17" t="str">
        <f>IFERROR(__xludf.DUMMYFUNCTION("""COMPUTED_VALUE"""),"U9824037587")</f>
        <v>U9824037587</v>
      </c>
      <c r="I1178" s="17">
        <f>IFERROR(__xludf.DUMMYFUNCTION("""COMPUTED_VALUE"""),27.0)</f>
        <v>27</v>
      </c>
      <c r="J1178" s="17" t="str">
        <f>IFERROR(__xludf.DUMMYFUNCTION("""COMPUTED_VALUE"""),"25-34 tahun")</f>
        <v>25-34 tahun</v>
      </c>
      <c r="K1178" s="19">
        <f>IFERROR(__xludf.DUMMYFUNCTION("""COMPUTED_VALUE"""),36022.0)</f>
        <v>36022</v>
      </c>
      <c r="L1178" s="19" t="str">
        <f>IFERROR(__xludf.DUMMYFUNCTION("""COMPUTED_VALUE"""),"PEREMPUAN")</f>
        <v>PEREMPUAN</v>
      </c>
      <c r="M1178" s="35" t="str">
        <f>IFERROR(__xludf.DUMMYFUNCTION("""COMPUTED_VALUE"""),"DUSUN MEKAR JAYA")</f>
        <v>DUSUN MEKAR JAYA</v>
      </c>
      <c r="N1178" s="16" t="str">
        <f>IFERROR(__xludf.DUMMYFUNCTION("""COMPUTED_VALUE"""),"DS. PERIAGAN")</f>
        <v>DS. PERIAGAN</v>
      </c>
      <c r="O1178" s="16" t="str">
        <f>IFERROR(__xludf.DUMMYFUNCTION("""COMPUTED_VALUE"""),"KEC. JELAI HULU")</f>
        <v>KEC. JELAI HULU</v>
      </c>
      <c r="P1178" s="16" t="str">
        <f>IFERROR(__xludf.DUMMYFUNCTION("""COMPUTED_VALUE"""),"KAB. KETAPANG")</f>
        <v>KAB. KETAPANG</v>
      </c>
      <c r="Q1178" s="16" t="str">
        <f>IFERROR(__xludf.DUMMYFUNCTION("""COMPUTED_VALUE"""),"KALIMANTAN BARAT")</f>
        <v>KALIMANTAN BARAT</v>
      </c>
      <c r="R1178" s="19" t="str">
        <f>IFERROR(__xludf.DUMMYFUNCTION("""COMPUTED_VALUE"""),"ISLAM")</f>
        <v>ISLAM</v>
      </c>
      <c r="S1178" s="35" t="str">
        <f>IFERROR(__xludf.DUMMYFUNCTION("""COMPUTED_VALUE"""),"DOSEN/GURU")</f>
        <v>DOSEN/GURU</v>
      </c>
      <c r="T1178" s="16" t="str">
        <f>IFERROR(__xludf.DUMMYFUNCTION("""COMPUTED_VALUE"""),"SAKIT PINGGANG")</f>
        <v>SAKIT PINGGANG</v>
      </c>
      <c r="U1178" s="16" t="str">
        <f>IFERROR(__xludf.DUMMYFUNCTION("""COMPUTED_VALUE"""),"REBAHAN")</f>
        <v>REBAHAN</v>
      </c>
      <c r="V1178" s="11" t="str">
        <f>IFERROR(__xludf.DUMMYFUNCTION("""COMPUTED_VALUE"""),"089617097587")</f>
        <v>089617097587</v>
      </c>
      <c r="W1178" s="15"/>
    </row>
    <row r="1179" ht="22.5" customHeight="1">
      <c r="A1179" s="8"/>
      <c r="B1179" s="9">
        <f>IFERROR(__xludf.DUMMYFUNCTION("""COMPUTED_VALUE"""),45363.55321884259)</f>
        <v>45363.55322</v>
      </c>
      <c r="C1179" s="9"/>
      <c r="D1179" s="34">
        <f>IFERROR(__xludf.DUMMYFUNCTION("""COMPUTED_VALUE"""),45367.0)</f>
        <v>45367</v>
      </c>
      <c r="E1179" s="34" t="str">
        <f>IFERROR(__xludf.DUMMYFUNCTION("""COMPUTED_VALUE"""),"03Mar")</f>
        <v>03Mar</v>
      </c>
      <c r="F1179" s="34" t="str">
        <f>IFERROR(__xludf.DUMMYFUNCTION("""COMPUTED_VALUE"""),"2024")</f>
        <v>2024</v>
      </c>
      <c r="G1179" s="35" t="str">
        <f>IFERROR(__xludf.DUMMYFUNCTION("""COMPUTED_VALUE"""),"PRESTIAN RINDHO SAPUTRA")</f>
        <v>PRESTIAN RINDHO SAPUTRA</v>
      </c>
      <c r="H1179" s="17" t="str">
        <f>IFERROR(__xludf.DUMMYFUNCTION("""COMPUTED_VALUE"""),"P8824034466")</f>
        <v>P8824034466</v>
      </c>
      <c r="I1179" s="17">
        <f>IFERROR(__xludf.DUMMYFUNCTION("""COMPUTED_VALUE"""),37.0)</f>
        <v>37</v>
      </c>
      <c r="J1179" s="17" t="str">
        <f>IFERROR(__xludf.DUMMYFUNCTION("""COMPUTED_VALUE"""),"35-44 tahun")</f>
        <v>35-44 tahun</v>
      </c>
      <c r="K1179" s="19">
        <f>IFERROR(__xludf.DUMMYFUNCTION("""COMPUTED_VALUE"""),32486.0)</f>
        <v>32486</v>
      </c>
      <c r="L1179" s="19" t="str">
        <f>IFERROR(__xludf.DUMMYFUNCTION("""COMPUTED_VALUE"""),"LAKI-LAKI")</f>
        <v>LAKI-LAKI</v>
      </c>
      <c r="M1179" s="35" t="str">
        <f>IFERROR(__xludf.DUMMYFUNCTION("""COMPUTED_VALUE"""),"JL. MARGODADIREJO 2 GG. AL QODRI NO.4A")</f>
        <v>JL. MARGODADIREJO 2 GG. AL QODRI NO.4A</v>
      </c>
      <c r="N1179" s="16" t="str">
        <f>IFERROR(__xludf.DUMMYFUNCTION("""COMPUTED_VALUE"""),"KEL. SUNGAI JAWI")</f>
        <v>KEL. SUNGAI JAWI</v>
      </c>
      <c r="O1179" s="16" t="str">
        <f>IFERROR(__xludf.DUMMYFUNCTION("""COMPUTED_VALUE"""),"KEC. PONTIANAK KOTA")</f>
        <v>KEC. PONTIANAK KOTA</v>
      </c>
      <c r="P1179" s="16" t="str">
        <f>IFERROR(__xludf.DUMMYFUNCTION("""COMPUTED_VALUE"""),"KOTA PONTIANAK")</f>
        <v>KOTA PONTIANAK</v>
      </c>
      <c r="Q1179" s="16" t="str">
        <f>IFERROR(__xludf.DUMMYFUNCTION("""COMPUTED_VALUE"""),"KALIMANTAN BARAT")</f>
        <v>KALIMANTAN BARAT</v>
      </c>
      <c r="R1179" s="19" t="str">
        <f>IFERROR(__xludf.DUMMYFUNCTION("""COMPUTED_VALUE"""),"ISLAM")</f>
        <v>ISLAM</v>
      </c>
      <c r="S1179" s="35" t="str">
        <f>IFERROR(__xludf.DUMMYFUNCTION("""COMPUTED_VALUE"""),"BUMN")</f>
        <v>BUMN</v>
      </c>
      <c r="T1179" s="16" t="str">
        <f>IFERROR(__xludf.DUMMYFUNCTION("""COMPUTED_VALUE"""),"Tendon kaki kiri bengkak")</f>
        <v>Tendon kaki kiri bengkak</v>
      </c>
      <c r="U1179" s="16" t="str">
        <f>IFERROR(__xludf.DUMMYFUNCTION("""COMPUTED_VALUE"""),"Jalan kaki")</f>
        <v>Jalan kaki</v>
      </c>
      <c r="V1179" s="11" t="str">
        <f>IFERROR(__xludf.DUMMYFUNCTION("""COMPUTED_VALUE"""),"081321734466")</f>
        <v>081321734466</v>
      </c>
      <c r="W1179" s="15"/>
    </row>
    <row r="1180" ht="22.5" customHeight="1">
      <c r="A1180" s="8"/>
      <c r="B1180" s="9">
        <f>IFERROR(__xludf.DUMMYFUNCTION("""COMPUTED_VALUE"""),45363.69020383102)</f>
        <v>45363.6902</v>
      </c>
      <c r="C1180" s="9"/>
      <c r="D1180" s="34">
        <f>IFERROR(__xludf.DUMMYFUNCTION("""COMPUTED_VALUE"""),45367.0)</f>
        <v>45367</v>
      </c>
      <c r="E1180" s="34" t="str">
        <f>IFERROR(__xludf.DUMMYFUNCTION("""COMPUTED_VALUE"""),"03Mar")</f>
        <v>03Mar</v>
      </c>
      <c r="F1180" s="34" t="str">
        <f>IFERROR(__xludf.DUMMYFUNCTION("""COMPUTED_VALUE"""),"2024")</f>
        <v>2024</v>
      </c>
      <c r="G1180" s="35" t="str">
        <f>IFERROR(__xludf.DUMMYFUNCTION("""COMPUTED_VALUE"""),"DIAH ISLAMIATI")</f>
        <v>DIAH ISLAMIATI</v>
      </c>
      <c r="H1180" s="17" t="str">
        <f>IFERROR(__xludf.DUMMYFUNCTION("""COMPUTED_VALUE"""),"D9724031790")</f>
        <v>D9724031790</v>
      </c>
      <c r="I1180" s="17">
        <f>IFERROR(__xludf.DUMMYFUNCTION("""COMPUTED_VALUE"""),29.0)</f>
        <v>29</v>
      </c>
      <c r="J1180" s="17" t="str">
        <f>IFERROR(__xludf.DUMMYFUNCTION("""COMPUTED_VALUE"""),"25-34 tahun")</f>
        <v>25-34 tahun</v>
      </c>
      <c r="K1180" s="19">
        <f>IFERROR(__xludf.DUMMYFUNCTION("""COMPUTED_VALUE"""),35463.0)</f>
        <v>35463</v>
      </c>
      <c r="L1180" s="19" t="str">
        <f>IFERROR(__xludf.DUMMYFUNCTION("""COMPUTED_VALUE"""),"PEREMPUAN")</f>
        <v>PEREMPUAN</v>
      </c>
      <c r="M1180" s="35" t="str">
        <f>IFERROR(__xludf.DUMMYFUNCTION("""COMPUTED_VALUE"""),"SANTREN RT 4 RW 02 KLUMPIT GEBOG KUDUS")</f>
        <v>SANTREN RT 4 RW 02 KLUMPIT GEBOG KUDUS</v>
      </c>
      <c r="N1180" s="16" t="str">
        <f>IFERROR(__xludf.DUMMYFUNCTION("""COMPUTED_VALUE"""),"DS. KLUMPIT")</f>
        <v>DS. KLUMPIT</v>
      </c>
      <c r="O1180" s="16" t="str">
        <f>IFERROR(__xludf.DUMMYFUNCTION("""COMPUTED_VALUE"""),"KEC. GEBOG")</f>
        <v>KEC. GEBOG</v>
      </c>
      <c r="P1180" s="16" t="str">
        <f>IFERROR(__xludf.DUMMYFUNCTION("""COMPUTED_VALUE"""),"KOTA KUDUS")</f>
        <v>KOTA KUDUS</v>
      </c>
      <c r="Q1180" s="16" t="str">
        <f>IFERROR(__xludf.DUMMYFUNCTION("""COMPUTED_VALUE"""),"JAWA BARAT")</f>
        <v>JAWA BARAT</v>
      </c>
      <c r="R1180" s="19" t="str">
        <f>IFERROR(__xludf.DUMMYFUNCTION("""COMPUTED_VALUE"""),"ISLAM")</f>
        <v>ISLAM</v>
      </c>
      <c r="S1180" s="35" t="str">
        <f>IFERROR(__xludf.DUMMYFUNCTION("""COMPUTED_VALUE"""),"RUMAH TANGGA")</f>
        <v>RUMAH TANGGA</v>
      </c>
      <c r="T1180" s="16" t="str">
        <f>IFERROR(__xludf.DUMMYFUNCTION("""COMPUTED_VALUE"""),"Pasca operasi tangan")</f>
        <v>Pasca operasi tangan</v>
      </c>
      <c r="U1180" s="16" t="str">
        <f>IFERROR(__xludf.DUMMYFUNCTION("""COMPUTED_VALUE"""),"Membaca")</f>
        <v>Membaca</v>
      </c>
      <c r="V1180" s="11" t="str">
        <f>IFERROR(__xludf.DUMMYFUNCTION("""COMPUTED_VALUE"""),"082242701790")</f>
        <v>082242701790</v>
      </c>
      <c r="W1180" s="15"/>
    </row>
    <row r="1181" ht="22.5" customHeight="1">
      <c r="A1181" s="8"/>
      <c r="B1181" s="9">
        <f>IFERROR(__xludf.DUMMYFUNCTION("""COMPUTED_VALUE"""),45364.37744231481)</f>
        <v>45364.37744</v>
      </c>
      <c r="C1181" s="9"/>
      <c r="D1181" s="34">
        <f>IFERROR(__xludf.DUMMYFUNCTION("""COMPUTED_VALUE"""),45367.0)</f>
        <v>45367</v>
      </c>
      <c r="E1181" s="34" t="str">
        <f>IFERROR(__xludf.DUMMYFUNCTION("""COMPUTED_VALUE"""),"03Mar")</f>
        <v>03Mar</v>
      </c>
      <c r="F1181" s="34" t="str">
        <f>IFERROR(__xludf.DUMMYFUNCTION("""COMPUTED_VALUE"""),"2024")</f>
        <v>2024</v>
      </c>
      <c r="G1181" s="35" t="str">
        <f>IFERROR(__xludf.DUMMYFUNCTION("""COMPUTED_VALUE"""),"GREGERIUS SATRIO")</f>
        <v>GREGERIUS SATRIO</v>
      </c>
      <c r="H1181" s="17" t="str">
        <f>IFERROR(__xludf.DUMMYFUNCTION("""COMPUTED_VALUE"""),"G0524033881")</f>
        <v>G0524033881</v>
      </c>
      <c r="I1181" s="17">
        <f>IFERROR(__xludf.DUMMYFUNCTION("""COMPUTED_VALUE"""),20.0)</f>
        <v>20</v>
      </c>
      <c r="J1181" s="17" t="str">
        <f>IFERROR(__xludf.DUMMYFUNCTION("""COMPUTED_VALUE"""),"18-24 tahun")</f>
        <v>18-24 tahun</v>
      </c>
      <c r="K1181" s="19">
        <f>IFERROR(__xludf.DUMMYFUNCTION("""COMPUTED_VALUE"""),38695.0)</f>
        <v>38695</v>
      </c>
      <c r="L1181" s="19" t="str">
        <f>IFERROR(__xludf.DUMMYFUNCTION("""COMPUTED_VALUE"""),"LAKI-LAKI")</f>
        <v>LAKI-LAKI</v>
      </c>
      <c r="M1181" s="35" t="str">
        <f>IFERROR(__xludf.DUMMYFUNCTION("""COMPUTED_VALUE"""),"SAMBAS")</f>
        <v>SAMBAS</v>
      </c>
      <c r="N1181" s="16" t="str">
        <f>IFERROR(__xludf.DUMMYFUNCTION("""COMPUTED_VALUE"""),"KEL. BALAI GEMURUH")</f>
        <v>KEL. BALAI GEMURUH</v>
      </c>
      <c r="O1181" s="16" t="str">
        <f>IFERROR(__xludf.DUMMYFUNCTION("""COMPUTED_VALUE"""),"KEC. SUBAH")</f>
        <v>KEC. SUBAH</v>
      </c>
      <c r="P1181" s="16" t="str">
        <f>IFERROR(__xludf.DUMMYFUNCTION("""COMPUTED_VALUE"""),"KAB. SAMBAS")</f>
        <v>KAB. SAMBAS</v>
      </c>
      <c r="Q1181" s="16" t="str">
        <f>IFERROR(__xludf.DUMMYFUNCTION("""COMPUTED_VALUE"""),"KALIMANTAN BARAT")</f>
        <v>KALIMANTAN BARAT</v>
      </c>
      <c r="R1181" s="19" t="str">
        <f>IFERROR(__xludf.DUMMYFUNCTION("""COMPUTED_VALUE"""),"KATOLIK")</f>
        <v>KATOLIK</v>
      </c>
      <c r="S1181" s="16" t="str">
        <f>IFERROR(__xludf.DUMMYFUNCTION("""COMPUTED_VALUE"""),"PELAJAR/MAHASISWA")</f>
        <v>PELAJAR/MAHASISWA</v>
      </c>
      <c r="T1181" s="16" t="str">
        <f>IFERROR(__xludf.DUMMYFUNCTION("""COMPUTED_VALUE"""),"Kaki X")</f>
        <v>Kaki X</v>
      </c>
      <c r="U1181" s="16" t="str">
        <f>IFERROR(__xludf.DUMMYFUNCTION("""COMPUTED_VALUE"""),"Olahraga")</f>
        <v>Olahraga</v>
      </c>
      <c r="V1181" s="11" t="str">
        <f>IFERROR(__xludf.DUMMYFUNCTION("""COMPUTED_VALUE"""),"085796013881")</f>
        <v>085796013881</v>
      </c>
      <c r="W1181" s="15"/>
    </row>
    <row r="1182" ht="22.5" customHeight="1">
      <c r="A1182" s="8"/>
      <c r="B1182" s="9">
        <f>IFERROR(__xludf.DUMMYFUNCTION("""COMPUTED_VALUE"""),45363.8599966551)</f>
        <v>45363.86</v>
      </c>
      <c r="C1182" s="9"/>
      <c r="D1182" s="34">
        <f>IFERROR(__xludf.DUMMYFUNCTION("""COMPUTED_VALUE"""),45368.0)</f>
        <v>45368</v>
      </c>
      <c r="E1182" s="34" t="str">
        <f>IFERROR(__xludf.DUMMYFUNCTION("""COMPUTED_VALUE"""),"03Mar")</f>
        <v>03Mar</v>
      </c>
      <c r="F1182" s="34" t="str">
        <f>IFERROR(__xludf.DUMMYFUNCTION("""COMPUTED_VALUE"""),"2024")</f>
        <v>2024</v>
      </c>
      <c r="G1182" s="35" t="str">
        <f>IFERROR(__xludf.DUMMYFUNCTION("""COMPUTED_VALUE"""),"NIRWANI")</f>
        <v>NIRWANI</v>
      </c>
      <c r="H1182" s="17" t="str">
        <f>IFERROR(__xludf.DUMMYFUNCTION("""COMPUTED_VALUE"""),"N6524033730")</f>
        <v>N6524033730</v>
      </c>
      <c r="I1182" s="17">
        <f>IFERROR(__xludf.DUMMYFUNCTION("""COMPUTED_VALUE"""),60.0)</f>
        <v>60</v>
      </c>
      <c r="J1182" s="17" t="str">
        <f>IFERROR(__xludf.DUMMYFUNCTION("""COMPUTED_VALUE"""),"&gt; 44 tahun")</f>
        <v>&gt; 44 tahun</v>
      </c>
      <c r="K1182" s="19">
        <f>IFERROR(__xludf.DUMMYFUNCTION("""COMPUTED_VALUE"""),23920.0)</f>
        <v>23920</v>
      </c>
      <c r="L1182" s="19" t="str">
        <f>IFERROR(__xludf.DUMMYFUNCTION("""COMPUTED_VALUE"""),"PEREMPUAN")</f>
        <v>PEREMPUAN</v>
      </c>
      <c r="M1182" s="35" t="str">
        <f>IFERROR(__xludf.DUMMYFUNCTION("""COMPUTED_VALUE"""),"JL ARTERI SUPADIO GG WONODADI 1")</f>
        <v>JL ARTERI SUPADIO GG WONODADI 1</v>
      </c>
      <c r="N1182" s="16" t="str">
        <f>IFERROR(__xludf.DUMMYFUNCTION("""COMPUTED_VALUE"""),"DS. ARANG LIMBUNG")</f>
        <v>DS. ARANG LIMBUNG</v>
      </c>
      <c r="O1182" s="16" t="str">
        <f>IFERROR(__xludf.DUMMYFUNCTION("""COMPUTED_VALUE"""),"KEC. SUNGAI RAYA")</f>
        <v>KEC. SUNGAI RAYA</v>
      </c>
      <c r="P1182" s="16" t="str">
        <f>IFERROR(__xludf.DUMMYFUNCTION("""COMPUTED_VALUE"""),"KAB. KUBU RAYA")</f>
        <v>KAB. KUBU RAYA</v>
      </c>
      <c r="Q1182" s="16" t="str">
        <f>IFERROR(__xludf.DUMMYFUNCTION("""COMPUTED_VALUE"""),"KALIMANTAN BARAT")</f>
        <v>KALIMANTAN BARAT</v>
      </c>
      <c r="R1182" s="19" t="str">
        <f>IFERROR(__xludf.DUMMYFUNCTION("""COMPUTED_VALUE"""),"ISLAM")</f>
        <v>ISLAM</v>
      </c>
      <c r="S1182" s="35" t="str">
        <f>IFERROR(__xludf.DUMMYFUNCTION("""COMPUTED_VALUE"""),"ASN")</f>
        <v>ASN</v>
      </c>
      <c r="T1182" s="16" t="str">
        <f>IFERROR(__xludf.DUMMYFUNCTION("""COMPUTED_VALUE"""),"Pinggang")</f>
        <v>Pinggang</v>
      </c>
      <c r="U1182" s="16" t="str">
        <f>IFERROR(__xludf.DUMMYFUNCTION("""COMPUTED_VALUE"""),"Tidak ada")</f>
        <v>Tidak ada</v>
      </c>
      <c r="V1182" s="11" t="str">
        <f>IFERROR(__xludf.DUMMYFUNCTION("""COMPUTED_VALUE"""),"081223233730")</f>
        <v>081223233730</v>
      </c>
      <c r="W1182" s="15"/>
    </row>
    <row r="1183" ht="22.5" customHeight="1">
      <c r="A1183" s="8"/>
      <c r="B1183" s="9">
        <f>IFERROR(__xludf.DUMMYFUNCTION("""COMPUTED_VALUE"""),45364.459357824075)</f>
        <v>45364.45936</v>
      </c>
      <c r="C1183" s="9"/>
      <c r="D1183" s="34">
        <f>IFERROR(__xludf.DUMMYFUNCTION("""COMPUTED_VALUE"""),45368.0)</f>
        <v>45368</v>
      </c>
      <c r="E1183" s="34" t="str">
        <f>IFERROR(__xludf.DUMMYFUNCTION("""COMPUTED_VALUE"""),"03Mar")</f>
        <v>03Mar</v>
      </c>
      <c r="F1183" s="34" t="str">
        <f>IFERROR(__xludf.DUMMYFUNCTION("""COMPUTED_VALUE"""),"2024")</f>
        <v>2024</v>
      </c>
      <c r="G1183" s="35" t="str">
        <f>IFERROR(__xludf.DUMMYFUNCTION("""COMPUTED_VALUE"""),"JOHRI")</f>
        <v>JOHRI</v>
      </c>
      <c r="H1183" s="17" t="str">
        <f>IFERROR(__xludf.DUMMYFUNCTION("""COMPUTED_VALUE"""),"J7724036644")</f>
        <v>J7724036644</v>
      </c>
      <c r="I1183" s="17">
        <f>IFERROR(__xludf.DUMMYFUNCTION("""COMPUTED_VALUE"""),48.0)</f>
        <v>48</v>
      </c>
      <c r="J1183" s="17" t="str">
        <f>IFERROR(__xludf.DUMMYFUNCTION("""COMPUTED_VALUE"""),"&gt; 44 tahun")</f>
        <v>&gt; 44 tahun</v>
      </c>
      <c r="K1183" s="19">
        <f>IFERROR(__xludf.DUMMYFUNCTION("""COMPUTED_VALUE"""),28432.0)</f>
        <v>28432</v>
      </c>
      <c r="L1183" s="19" t="str">
        <f>IFERROR(__xludf.DUMMYFUNCTION("""COMPUTED_VALUE"""),"LAKI-LAKI")</f>
        <v>LAKI-LAKI</v>
      </c>
      <c r="M1183" s="35" t="str">
        <f>IFERROR(__xludf.DUMMYFUNCTION("""COMPUTED_VALUE"""),"JL. M. YAMIN GG. ATLAS NO. 9. A")</f>
        <v>JL. M. YAMIN GG. ATLAS NO. 9. A</v>
      </c>
      <c r="N1183" s="16" t="str">
        <f>IFERROR(__xludf.DUMMYFUNCTION("""COMPUTED_VALUE"""),"KEL. KOTA BARU")</f>
        <v>KEL. KOTA BARU</v>
      </c>
      <c r="O1183" s="16" t="str">
        <f>IFERROR(__xludf.DUMMYFUNCTION("""COMPUTED_VALUE"""),"KEC. PONTIANAK SELATAN")</f>
        <v>KEC. PONTIANAK SELATAN</v>
      </c>
      <c r="P1183" s="16" t="str">
        <f>IFERROR(__xludf.DUMMYFUNCTION("""COMPUTED_VALUE"""),"KOTA PONTIANAK")</f>
        <v>KOTA PONTIANAK</v>
      </c>
      <c r="Q1183" s="16" t="str">
        <f>IFERROR(__xludf.DUMMYFUNCTION("""COMPUTED_VALUE"""),"KALIMANTAN BARAT")</f>
        <v>KALIMANTAN BARAT</v>
      </c>
      <c r="R1183" s="19" t="str">
        <f>IFERROR(__xludf.DUMMYFUNCTION("""COMPUTED_VALUE"""),"ISLAM")</f>
        <v>ISLAM</v>
      </c>
      <c r="S1183" s="16" t="str">
        <f>IFERROR(__xludf.DUMMYFUNCTION("""COMPUTED_VALUE"""),"TNI/POLRI")</f>
        <v>TNI/POLRI</v>
      </c>
      <c r="T1183" s="16" t="str">
        <f>IFERROR(__xludf.DUMMYFUNCTION("""COMPUTED_VALUE"""),"NYERI LENGAN SEBELAH KIRI")</f>
        <v>NYERI LENGAN SEBELAH KIRI</v>
      </c>
      <c r="U1183" s="16" t="str">
        <f>IFERROR(__xludf.DUMMYFUNCTION("""COMPUTED_VALUE"""),"JOGING")</f>
        <v>JOGING</v>
      </c>
      <c r="V1183" s="11" t="str">
        <f>IFERROR(__xludf.DUMMYFUNCTION("""COMPUTED_VALUE"""),"081345066644")</f>
        <v>081345066644</v>
      </c>
      <c r="W1183" s="15"/>
    </row>
    <row r="1184" ht="22.5" customHeight="1">
      <c r="A1184" s="8"/>
      <c r="B1184" s="9">
        <f>IFERROR(__xludf.DUMMYFUNCTION("""COMPUTED_VALUE"""),45364.56940866898)</f>
        <v>45364.56941</v>
      </c>
      <c r="C1184" s="9"/>
      <c r="D1184" s="34">
        <f>IFERROR(__xludf.DUMMYFUNCTION("""COMPUTED_VALUE"""),45369.0)</f>
        <v>45369</v>
      </c>
      <c r="E1184" s="34" t="str">
        <f>IFERROR(__xludf.DUMMYFUNCTION("""COMPUTED_VALUE"""),"03Mar")</f>
        <v>03Mar</v>
      </c>
      <c r="F1184" s="34" t="str">
        <f>IFERROR(__xludf.DUMMYFUNCTION("""COMPUTED_VALUE"""),"2024")</f>
        <v>2024</v>
      </c>
      <c r="G1184" s="35" t="str">
        <f>IFERROR(__xludf.DUMMYFUNCTION("""COMPUTED_VALUE"""),"DEKI DEVIANDI")</f>
        <v>DEKI DEVIANDI</v>
      </c>
      <c r="H1184" s="17" t="str">
        <f>IFERROR(__xludf.DUMMYFUNCTION("""COMPUTED_VALUE"""),"D8924032283")</f>
        <v>D8924032283</v>
      </c>
      <c r="I1184" s="17">
        <f>IFERROR(__xludf.DUMMYFUNCTION("""COMPUTED_VALUE"""),36.0)</f>
        <v>36</v>
      </c>
      <c r="J1184" s="17" t="str">
        <f>IFERROR(__xludf.DUMMYFUNCTION("""COMPUTED_VALUE"""),"35-44 tahun")</f>
        <v>35-44 tahun</v>
      </c>
      <c r="K1184" s="19">
        <f>IFERROR(__xludf.DUMMYFUNCTION("""COMPUTED_VALUE"""),32870.0)</f>
        <v>32870</v>
      </c>
      <c r="L1184" s="19" t="str">
        <f>IFERROR(__xludf.DUMMYFUNCTION("""COMPUTED_VALUE"""),"LAKI-LAKI")</f>
        <v>LAKI-LAKI</v>
      </c>
      <c r="M1184" s="35" t="str">
        <f>IFERROR(__xludf.DUMMYFUNCTION("""COMPUTED_VALUE"""),"JL DR WAHIDIN S NO 01")</f>
        <v>JL DR WAHIDIN S NO 01</v>
      </c>
      <c r="N1184" s="16" t="str">
        <f>IFERROR(__xludf.DUMMYFUNCTION("""COMPUTED_VALUE"""),"KEL. AKCAYA")</f>
        <v>KEL. AKCAYA</v>
      </c>
      <c r="O1184" s="16" t="str">
        <f>IFERROR(__xludf.DUMMYFUNCTION("""COMPUTED_VALUE"""),"KEC. PONTIANAK SELATAN")</f>
        <v>KEC. PONTIANAK SELATAN</v>
      </c>
      <c r="P1184" s="16" t="str">
        <f>IFERROR(__xludf.DUMMYFUNCTION("""COMPUTED_VALUE"""),"KOTA PONTIANAK")</f>
        <v>KOTA PONTIANAK</v>
      </c>
      <c r="Q1184" s="16" t="str">
        <f>IFERROR(__xludf.DUMMYFUNCTION("""COMPUTED_VALUE"""),"KALIMANTAN BARAT")</f>
        <v>KALIMANTAN BARAT</v>
      </c>
      <c r="R1184" s="19" t="str">
        <f>IFERROR(__xludf.DUMMYFUNCTION("""COMPUTED_VALUE"""),"BUDDHA")</f>
        <v>BUDDHA</v>
      </c>
      <c r="S1184" s="16" t="str">
        <f>IFERROR(__xludf.DUMMYFUNCTION("""COMPUTED_VALUE"""),"WIRASWASTA")</f>
        <v>WIRASWASTA</v>
      </c>
      <c r="T1184" s="16" t="str">
        <f>IFERROR(__xludf.DUMMYFUNCTION("""COMPUTED_VALUE"""),"Fascia latta")</f>
        <v>Fascia latta</v>
      </c>
      <c r="U1184" s="16" t="str">
        <f>IFERROR(__xludf.DUMMYFUNCTION("""COMPUTED_VALUE"""),"Olahraga")</f>
        <v>Olahraga</v>
      </c>
      <c r="V1184" s="11" t="str">
        <f>IFERROR(__xludf.DUMMYFUNCTION("""COMPUTED_VALUE"""),"081345622283")</f>
        <v>081345622283</v>
      </c>
      <c r="W1184" s="15"/>
    </row>
    <row r="1185" ht="22.5" customHeight="1">
      <c r="A1185" s="8"/>
      <c r="B1185" s="9">
        <f>IFERROR(__xludf.DUMMYFUNCTION("""COMPUTED_VALUE"""),45365.51177077546)</f>
        <v>45365.51177</v>
      </c>
      <c r="C1185" s="9"/>
      <c r="D1185" s="34">
        <f>IFERROR(__xludf.DUMMYFUNCTION("""COMPUTED_VALUE"""),45369.0)</f>
        <v>45369</v>
      </c>
      <c r="E1185" s="34" t="str">
        <f>IFERROR(__xludf.DUMMYFUNCTION("""COMPUTED_VALUE"""),"03Mar")</f>
        <v>03Mar</v>
      </c>
      <c r="F1185" s="34" t="str">
        <f>IFERROR(__xludf.DUMMYFUNCTION("""COMPUTED_VALUE"""),"2024")</f>
        <v>2024</v>
      </c>
      <c r="G1185" s="35" t="str">
        <f>IFERROR(__xludf.DUMMYFUNCTION("""COMPUTED_VALUE"""),"MINI PURWANTI")</f>
        <v>MINI PURWANTI</v>
      </c>
      <c r="H1185" s="17" t="str">
        <f>IFERROR(__xludf.DUMMYFUNCTION("""COMPUTED_VALUE"""),"M7424030650")</f>
        <v>M7424030650</v>
      </c>
      <c r="I1185" s="17">
        <f>IFERROR(__xludf.DUMMYFUNCTION("""COMPUTED_VALUE"""),51.0)</f>
        <v>51</v>
      </c>
      <c r="J1185" s="17" t="str">
        <f>IFERROR(__xludf.DUMMYFUNCTION("""COMPUTED_VALUE"""),"&gt; 44 tahun")</f>
        <v>&gt; 44 tahun</v>
      </c>
      <c r="K1185" s="19">
        <f>IFERROR(__xludf.DUMMYFUNCTION("""COMPUTED_VALUE"""),27264.0)</f>
        <v>27264</v>
      </c>
      <c r="L1185" s="19" t="str">
        <f>IFERROR(__xludf.DUMMYFUNCTION("""COMPUTED_VALUE"""),"PEREMPUAN")</f>
        <v>PEREMPUAN</v>
      </c>
      <c r="M1185" s="35" t="str">
        <f>IFERROR(__xludf.DUMMYFUNCTION("""COMPUTED_VALUE"""),"JLN SUI RENGAS GG A YANI JALUR 4")</f>
        <v>JLN SUI RENGAS GG A YANI JALUR 4</v>
      </c>
      <c r="N1185" s="16" t="str">
        <f>IFERROR(__xludf.DUMMYFUNCTION("""COMPUTED_VALUE"""),"KEL. SUNGAI JAWI LUAR")</f>
        <v>KEL. SUNGAI JAWI LUAR</v>
      </c>
      <c r="O1185" s="16" t="str">
        <f>IFERROR(__xludf.DUMMYFUNCTION("""COMPUTED_VALUE"""),"KEC. PONTIANAK BARAT")</f>
        <v>KEC. PONTIANAK BARAT</v>
      </c>
      <c r="P1185" s="16" t="str">
        <f>IFERROR(__xludf.DUMMYFUNCTION("""COMPUTED_VALUE"""),"KOTA PONTIANAK")</f>
        <v>KOTA PONTIANAK</v>
      </c>
      <c r="Q1185" s="16" t="str">
        <f>IFERROR(__xludf.DUMMYFUNCTION("""COMPUTED_VALUE"""),"KALIMANTAN BARAT")</f>
        <v>KALIMANTAN BARAT</v>
      </c>
      <c r="R1185" s="19" t="str">
        <f>IFERROR(__xludf.DUMMYFUNCTION("""COMPUTED_VALUE"""),"ISLAM")</f>
        <v>ISLAM</v>
      </c>
      <c r="S1185" s="16" t="str">
        <f>IFERROR(__xludf.DUMMYFUNCTION("""COMPUTED_VALUE"""),"RUMAH TANGGA")</f>
        <v>RUMAH TANGGA</v>
      </c>
      <c r="T1185" s="16" t="str">
        <f>IFERROR(__xludf.DUMMYFUNCTION("""COMPUTED_VALUE"""),"Sui Jawi luar")</f>
        <v>Sui Jawi luar</v>
      </c>
      <c r="U1185" s="16" t="str">
        <f>IFERROR(__xludf.DUMMYFUNCTION("""COMPUTED_VALUE"""),"Olahraga")</f>
        <v>Olahraga</v>
      </c>
      <c r="V1185" s="11" t="str">
        <f>IFERROR(__xludf.DUMMYFUNCTION("""COMPUTED_VALUE"""),"089516270650")</f>
        <v>089516270650</v>
      </c>
      <c r="W1185" s="15"/>
    </row>
    <row r="1186" ht="22.5" customHeight="1">
      <c r="A1186" s="8"/>
      <c r="B1186" s="9">
        <f>IFERROR(__xludf.DUMMYFUNCTION("""COMPUTED_VALUE"""),45365.52742712963)</f>
        <v>45365.52743</v>
      </c>
      <c r="C1186" s="9"/>
      <c r="D1186" s="34">
        <f>IFERROR(__xludf.DUMMYFUNCTION("""COMPUTED_VALUE"""),45369.0)</f>
        <v>45369</v>
      </c>
      <c r="E1186" s="34" t="str">
        <f>IFERROR(__xludf.DUMMYFUNCTION("""COMPUTED_VALUE"""),"03Mar")</f>
        <v>03Mar</v>
      </c>
      <c r="F1186" s="34" t="str">
        <f>IFERROR(__xludf.DUMMYFUNCTION("""COMPUTED_VALUE"""),"2024")</f>
        <v>2024</v>
      </c>
      <c r="G1186" s="35" t="str">
        <f>IFERROR(__xludf.DUMMYFUNCTION("""COMPUTED_VALUE"""),"AGNES VERONIKA")</f>
        <v>AGNES VERONIKA</v>
      </c>
      <c r="H1186" s="17" t="str">
        <f>IFERROR(__xludf.DUMMYFUNCTION("""COMPUTED_VALUE"""),"A9224038209")</f>
        <v>A9224038209</v>
      </c>
      <c r="I1186" s="17">
        <f>IFERROR(__xludf.DUMMYFUNCTION("""COMPUTED_VALUE"""),33.0)</f>
        <v>33</v>
      </c>
      <c r="J1186" s="17" t="str">
        <f>IFERROR(__xludf.DUMMYFUNCTION("""COMPUTED_VALUE"""),"25-34 tahun")</f>
        <v>25-34 tahun</v>
      </c>
      <c r="K1186" s="19">
        <f>IFERROR(__xludf.DUMMYFUNCTION("""COMPUTED_VALUE"""),33863.0)</f>
        <v>33863</v>
      </c>
      <c r="L1186" s="19" t="str">
        <f>IFERROR(__xludf.DUMMYFUNCTION("""COMPUTED_VALUE"""),"PEREMPUAN")</f>
        <v>PEREMPUAN</v>
      </c>
      <c r="M1186" s="35" t="str">
        <f>IFERROR(__xludf.DUMMYFUNCTION("""COMPUTED_VALUE"""),"JL KH AHMAD DAHLAN GG MARGOSARI NO 20")</f>
        <v>JL KH AHMAD DAHLAN GG MARGOSARI NO 20</v>
      </c>
      <c r="N1186" s="16" t="str">
        <f>IFERROR(__xludf.DUMMYFUNCTION("""COMPUTED_VALUE"""),"KEL. SUNGAI BANGKONG")</f>
        <v>KEL. SUNGAI BANGKONG</v>
      </c>
      <c r="O1186" s="16" t="str">
        <f>IFERROR(__xludf.DUMMYFUNCTION("""COMPUTED_VALUE"""),"KEC. PONTIANAK KOTA")</f>
        <v>KEC. PONTIANAK KOTA</v>
      </c>
      <c r="P1186" s="16" t="str">
        <f>IFERROR(__xludf.DUMMYFUNCTION("""COMPUTED_VALUE"""),"KOTA PONTIANAK")</f>
        <v>KOTA PONTIANAK</v>
      </c>
      <c r="Q1186" s="16" t="str">
        <f>IFERROR(__xludf.DUMMYFUNCTION("""COMPUTED_VALUE"""),"KALIMANTAN BARAT")</f>
        <v>KALIMANTAN BARAT</v>
      </c>
      <c r="R1186" s="19" t="str">
        <f>IFERROR(__xludf.DUMMYFUNCTION("""COMPUTED_VALUE"""),"KATOLIK")</f>
        <v>KATOLIK</v>
      </c>
      <c r="S1186" s="16" t="str">
        <f>IFERROR(__xludf.DUMMYFUNCTION("""COMPUTED_VALUE"""),"SWASTA")</f>
        <v>SWASTA</v>
      </c>
      <c r="T1186" s="16" t="str">
        <f>IFERROR(__xludf.DUMMYFUNCTION("""COMPUTED_VALUE"""),"Kaki kiri sakit, bahu dan punggung kiri sakit, leher agak bungkuk")</f>
        <v>Kaki kiri sakit, bahu dan punggung kiri sakit, leher agak bungkuk</v>
      </c>
      <c r="U1186" s="16" t="str">
        <f>IFERROR(__xludf.DUMMYFUNCTION("""COMPUTED_VALUE"""),"Olahraga, kerja, dan mengurus anak")</f>
        <v>Olahraga, kerja, dan mengurus anak</v>
      </c>
      <c r="V1186" s="11" t="str">
        <f>IFERROR(__xludf.DUMMYFUNCTION("""COMPUTED_VALUE"""),"085795728209")</f>
        <v>085795728209</v>
      </c>
      <c r="W1186" s="15"/>
    </row>
    <row r="1187" ht="22.5" customHeight="1">
      <c r="A1187" s="8"/>
      <c r="B1187" s="9">
        <f>IFERROR(__xludf.DUMMYFUNCTION("""COMPUTED_VALUE"""),45365.536290752316)</f>
        <v>45365.53629</v>
      </c>
      <c r="C1187" s="9"/>
      <c r="D1187" s="34">
        <f>IFERROR(__xludf.DUMMYFUNCTION("""COMPUTED_VALUE"""),45369.0)</f>
        <v>45369</v>
      </c>
      <c r="E1187" s="34" t="str">
        <f>IFERROR(__xludf.DUMMYFUNCTION("""COMPUTED_VALUE"""),"03Mar")</f>
        <v>03Mar</v>
      </c>
      <c r="F1187" s="34" t="str">
        <f>IFERROR(__xludf.DUMMYFUNCTION("""COMPUTED_VALUE"""),"2024")</f>
        <v>2024</v>
      </c>
      <c r="G1187" s="35" t="str">
        <f>IFERROR(__xludf.DUMMYFUNCTION("""COMPUTED_VALUE"""),"ELY")</f>
        <v>ELY</v>
      </c>
      <c r="H1187" s="17" t="str">
        <f>IFERROR(__xludf.DUMMYFUNCTION("""COMPUTED_VALUE"""),"E7324031888")</f>
        <v>E7324031888</v>
      </c>
      <c r="I1187" s="17">
        <f>IFERROR(__xludf.DUMMYFUNCTION("""COMPUTED_VALUE"""),52.0)</f>
        <v>52</v>
      </c>
      <c r="J1187" s="17" t="str">
        <f>IFERROR(__xludf.DUMMYFUNCTION("""COMPUTED_VALUE"""),"&gt; 44 tahun")</f>
        <v>&gt; 44 tahun</v>
      </c>
      <c r="K1187" s="19">
        <f>IFERROR(__xludf.DUMMYFUNCTION("""COMPUTED_VALUE"""),27004.0)</f>
        <v>27004</v>
      </c>
      <c r="L1187" s="19" t="str">
        <f>IFERROR(__xludf.DUMMYFUNCTION("""COMPUTED_VALUE"""),"PEREMPUAN")</f>
        <v>PEREMPUAN</v>
      </c>
      <c r="M1187" s="35" t="str">
        <f>IFERROR(__xludf.DUMMYFUNCTION("""COMPUTED_VALUE"""),"JL PUTRI CANDRAMIDI NO 34")</f>
        <v>JL PUTRI CANDRAMIDI NO 34</v>
      </c>
      <c r="N1187" s="16" t="str">
        <f>IFERROR(__xludf.DUMMYFUNCTION("""COMPUTED_VALUE"""),"KEL. SUNGAI BANGKONG")</f>
        <v>KEL. SUNGAI BANGKONG</v>
      </c>
      <c r="O1187" s="16" t="str">
        <f>IFERROR(__xludf.DUMMYFUNCTION("""COMPUTED_VALUE"""),"KEC. PONTIANAK KOTA")</f>
        <v>KEC. PONTIANAK KOTA</v>
      </c>
      <c r="P1187" s="16" t="str">
        <f>IFERROR(__xludf.DUMMYFUNCTION("""COMPUTED_VALUE"""),"KOTA PONTIANAK")</f>
        <v>KOTA PONTIANAK</v>
      </c>
      <c r="Q1187" s="16" t="str">
        <f>IFERROR(__xludf.DUMMYFUNCTION("""COMPUTED_VALUE"""),"KALIMANTAN BARAT")</f>
        <v>KALIMANTAN BARAT</v>
      </c>
      <c r="R1187" s="19" t="str">
        <f>IFERROR(__xludf.DUMMYFUNCTION("""COMPUTED_VALUE"""),"KHONGHUCU")</f>
        <v>KHONGHUCU</v>
      </c>
      <c r="S1187" s="16" t="str">
        <f>IFERROR(__xludf.DUMMYFUNCTION("""COMPUTED_VALUE"""),"RUMAH TANGGA")</f>
        <v>RUMAH TANGGA</v>
      </c>
      <c r="T1187" s="16" t="str">
        <f>IFERROR(__xludf.DUMMYFUNCTION("""COMPUTED_VALUE"""),"Pinggul sakit")</f>
        <v>Pinggul sakit</v>
      </c>
      <c r="U1187" s="16" t="str">
        <f>IFERROR(__xludf.DUMMYFUNCTION("""COMPUTED_VALUE"""),"Yoga, line dance, aerobik")</f>
        <v>Yoga, line dance, aerobik</v>
      </c>
      <c r="V1187" s="11" t="str">
        <f>IFERROR(__xludf.DUMMYFUNCTION("""COMPUTED_VALUE"""),"081352101888")</f>
        <v>081352101888</v>
      </c>
      <c r="W1187" s="15"/>
    </row>
    <row r="1188" ht="22.5" customHeight="1">
      <c r="A1188" s="8"/>
      <c r="B1188" s="9">
        <f>IFERROR(__xludf.DUMMYFUNCTION("""COMPUTED_VALUE"""),45365.593264027775)</f>
        <v>45365.59326</v>
      </c>
      <c r="C1188" s="9"/>
      <c r="D1188" s="34">
        <f>IFERROR(__xludf.DUMMYFUNCTION("""COMPUTED_VALUE"""),45369.0)</f>
        <v>45369</v>
      </c>
      <c r="E1188" s="34" t="str">
        <f>IFERROR(__xludf.DUMMYFUNCTION("""COMPUTED_VALUE"""),"03Mar")</f>
        <v>03Mar</v>
      </c>
      <c r="F1188" s="34" t="str">
        <f>IFERROR(__xludf.DUMMYFUNCTION("""COMPUTED_VALUE"""),"2024")</f>
        <v>2024</v>
      </c>
      <c r="G1188" s="35" t="str">
        <f>IFERROR(__xludf.DUMMYFUNCTION("""COMPUTED_VALUE"""),"USWATUN HASANAH")</f>
        <v>USWATUN HASANAH</v>
      </c>
      <c r="H1188" s="17" t="str">
        <f>IFERROR(__xludf.DUMMYFUNCTION("""COMPUTED_VALUE"""),"U9024039944")</f>
        <v>U9024039944</v>
      </c>
      <c r="I1188" s="17">
        <f>IFERROR(__xludf.DUMMYFUNCTION("""COMPUTED_VALUE"""),36.0)</f>
        <v>36</v>
      </c>
      <c r="J1188" s="17" t="str">
        <f>IFERROR(__xludf.DUMMYFUNCTION("""COMPUTED_VALUE"""),"35-44 tahun")</f>
        <v>35-44 tahun</v>
      </c>
      <c r="K1188" s="19">
        <f>IFERROR(__xludf.DUMMYFUNCTION("""COMPUTED_VALUE"""),33028.0)</f>
        <v>33028</v>
      </c>
      <c r="L1188" s="19" t="str">
        <f>IFERROR(__xludf.DUMMYFUNCTION("""COMPUTED_VALUE"""),"PEREMPUAN")</f>
        <v>PEREMPUAN</v>
      </c>
      <c r="M1188" s="35" t="str">
        <f>IFERROR(__xludf.DUMMYFUNCTION("""COMPUTED_VALUE"""),"JL.H.M SUWIGNYO KOMPLEK CITRA INDAH 1 NO.B1")</f>
        <v>JL.H.M SUWIGNYO KOMPLEK CITRA INDAH 1 NO.B1</v>
      </c>
      <c r="N1188" s="16" t="str">
        <f>IFERROR(__xludf.DUMMYFUNCTION("""COMPUTED_VALUE"""),"KEL. SUNGAI JAWI")</f>
        <v>KEL. SUNGAI JAWI</v>
      </c>
      <c r="O1188" s="16" t="str">
        <f>IFERROR(__xludf.DUMMYFUNCTION("""COMPUTED_VALUE"""),"KEC. PONTIANAK KOTA")</f>
        <v>KEC. PONTIANAK KOTA</v>
      </c>
      <c r="P1188" s="16" t="str">
        <f>IFERROR(__xludf.DUMMYFUNCTION("""COMPUTED_VALUE"""),"KOTA PONTIANAK")</f>
        <v>KOTA PONTIANAK</v>
      </c>
      <c r="Q1188" s="16" t="str">
        <f>IFERROR(__xludf.DUMMYFUNCTION("""COMPUTED_VALUE"""),"KALIMANTAN BARAT")</f>
        <v>KALIMANTAN BARAT</v>
      </c>
      <c r="R1188" s="19" t="str">
        <f>IFERROR(__xludf.DUMMYFUNCTION("""COMPUTED_VALUE"""),"ISLAM")</f>
        <v>ISLAM</v>
      </c>
      <c r="S1188" s="16" t="str">
        <f>IFERROR(__xludf.DUMMYFUNCTION("""COMPUTED_VALUE"""),"RUMAH TANGGA")</f>
        <v>RUMAH TANGGA</v>
      </c>
      <c r="T1188" s="16" t="str">
        <f>IFERROR(__xludf.DUMMYFUNCTION("""COMPUTED_VALUE"""),"SAKIT PADA BAGIAN PINGGANG DAN MENJALAR SAMPAI KAKI TERASA KESEMUTAN DAN SEPERTI KESETRUM MULAI TERASA SEJAK AWAL TAHUN INI TAPI YANG PALING SAKIT PADA BULAN INI")</f>
        <v>SAKIT PADA BAGIAN PINGGANG DAN MENJALAR SAMPAI KAKI TERASA KESEMUTAN DAN SEPERTI KESETRUM MULAI TERASA SEJAK AWAL TAHUN INI TAPI YANG PALING SAKIT PADA BULAN INI</v>
      </c>
      <c r="U1188" s="16" t="str">
        <f>IFERROR(__xludf.DUMMYFUNCTION("""COMPUTED_VALUE"""),"MENGURUS RT")</f>
        <v>MENGURUS RT</v>
      </c>
      <c r="V1188" s="11" t="str">
        <f>IFERROR(__xludf.DUMMYFUNCTION("""COMPUTED_VALUE"""),"085228489944")</f>
        <v>085228489944</v>
      </c>
      <c r="W1188" s="15"/>
    </row>
    <row r="1189" ht="22.5" customHeight="1">
      <c r="A1189" s="8"/>
      <c r="B1189" s="9">
        <f>IFERROR(__xludf.DUMMYFUNCTION("""COMPUTED_VALUE"""),45365.60450497685)</f>
        <v>45365.6045</v>
      </c>
      <c r="C1189" s="9"/>
      <c r="D1189" s="34">
        <f>IFERROR(__xludf.DUMMYFUNCTION("""COMPUTED_VALUE"""),45370.0)</f>
        <v>45370</v>
      </c>
      <c r="E1189" s="34" t="str">
        <f>IFERROR(__xludf.DUMMYFUNCTION("""COMPUTED_VALUE"""),"03Mar")</f>
        <v>03Mar</v>
      </c>
      <c r="F1189" s="34" t="str">
        <f>IFERROR(__xludf.DUMMYFUNCTION("""COMPUTED_VALUE"""),"2024")</f>
        <v>2024</v>
      </c>
      <c r="G1189" s="35" t="str">
        <f>IFERROR(__xludf.DUMMYFUNCTION("""COMPUTED_VALUE"""),"A. HAMID")</f>
        <v>A. HAMID</v>
      </c>
      <c r="H1189" s="17" t="str">
        <f>IFERROR(__xludf.DUMMYFUNCTION("""COMPUTED_VALUE"""),"A6224036204")</f>
        <v>A6224036204</v>
      </c>
      <c r="I1189" s="17">
        <f>IFERROR(__xludf.DUMMYFUNCTION("""COMPUTED_VALUE"""),63.0)</f>
        <v>63</v>
      </c>
      <c r="J1189" s="17" t="str">
        <f>IFERROR(__xludf.DUMMYFUNCTION("""COMPUTED_VALUE"""),"&gt; 44 tahun")</f>
        <v>&gt; 44 tahun</v>
      </c>
      <c r="K1189" s="19">
        <f>IFERROR(__xludf.DUMMYFUNCTION("""COMPUTED_VALUE"""),22863.0)</f>
        <v>22863</v>
      </c>
      <c r="L1189" s="19" t="str">
        <f>IFERROR(__xludf.DUMMYFUNCTION("""COMPUTED_VALUE"""),"LAKI-LAKI")</f>
        <v>LAKI-LAKI</v>
      </c>
      <c r="M1189" s="35" t="str">
        <f>IFERROR(__xludf.DUMMYFUNCTION("""COMPUTED_VALUE"""),"JL. KESEHATAN GG. SUMBER AGUNG 2")</f>
        <v>JL. KESEHATAN GG. SUMBER AGUNG 2</v>
      </c>
      <c r="N1189" s="16" t="str">
        <f>IFERROR(__xludf.DUMMYFUNCTION("""COMPUTED_VALUE"""),"KEL. KOTA BARU")</f>
        <v>KEL. KOTA BARU</v>
      </c>
      <c r="O1189" s="16" t="str">
        <f>IFERROR(__xludf.DUMMYFUNCTION("""COMPUTED_VALUE"""),"KEC. PONTIANAK SELATAN")</f>
        <v>KEC. PONTIANAK SELATAN</v>
      </c>
      <c r="P1189" s="16" t="str">
        <f>IFERROR(__xludf.DUMMYFUNCTION("""COMPUTED_VALUE"""),"KOTA PONTIANAK")</f>
        <v>KOTA PONTIANAK</v>
      </c>
      <c r="Q1189" s="16" t="str">
        <f>IFERROR(__xludf.DUMMYFUNCTION("""COMPUTED_VALUE"""),"KALIMANTAN BARAT")</f>
        <v>KALIMANTAN BARAT</v>
      </c>
      <c r="R1189" s="19" t="str">
        <f>IFERROR(__xludf.DUMMYFUNCTION("""COMPUTED_VALUE"""),"ISLAM")</f>
        <v>ISLAM</v>
      </c>
      <c r="S1189" s="16" t="str">
        <f>IFERROR(__xludf.DUMMYFUNCTION("""COMPUTED_VALUE"""),"SWASTA")</f>
        <v>SWASTA</v>
      </c>
      <c r="T1189" s="16" t="str">
        <f>IFERROR(__xludf.DUMMYFUNCTION("""COMPUTED_VALUE"""),"Sakit kaki")</f>
        <v>Sakit kaki</v>
      </c>
      <c r="U1189" s="16" t="str">
        <f>IFERROR(__xludf.DUMMYFUNCTION("""COMPUTED_VALUE"""),"Bertukang")</f>
        <v>Bertukang</v>
      </c>
      <c r="V1189" s="11" t="str">
        <f>IFERROR(__xludf.DUMMYFUNCTION("""COMPUTED_VALUE"""),"087818106204")</f>
        <v>087818106204</v>
      </c>
      <c r="W1189" s="15"/>
    </row>
    <row r="1190" ht="22.5" customHeight="1">
      <c r="A1190" s="8"/>
      <c r="B1190" s="9">
        <f>IFERROR(__xludf.DUMMYFUNCTION("""COMPUTED_VALUE"""),45365.79732730324)</f>
        <v>45365.79733</v>
      </c>
      <c r="C1190" s="9"/>
      <c r="D1190" s="34">
        <f>IFERROR(__xludf.DUMMYFUNCTION("""COMPUTED_VALUE"""),45370.0)</f>
        <v>45370</v>
      </c>
      <c r="E1190" s="34" t="str">
        <f>IFERROR(__xludf.DUMMYFUNCTION("""COMPUTED_VALUE"""),"03Mar")</f>
        <v>03Mar</v>
      </c>
      <c r="F1190" s="34" t="str">
        <f>IFERROR(__xludf.DUMMYFUNCTION("""COMPUTED_VALUE"""),"2024")</f>
        <v>2024</v>
      </c>
      <c r="G1190" s="35" t="str">
        <f>IFERROR(__xludf.DUMMYFUNCTION("""COMPUTED_VALUE"""),"RAIHELFIRSTKEIN FINSAE")</f>
        <v>RAIHELFIRSTKEIN FINSAE</v>
      </c>
      <c r="H1190" s="17" t="str">
        <f>IFERROR(__xludf.DUMMYFUNCTION("""COMPUTED_VALUE"""),"R0624034271")</f>
        <v>R0624034271</v>
      </c>
      <c r="I1190" s="17">
        <f>IFERROR(__xludf.DUMMYFUNCTION("""COMPUTED_VALUE"""),20.0)</f>
        <v>20</v>
      </c>
      <c r="J1190" s="17" t="str">
        <f>IFERROR(__xludf.DUMMYFUNCTION("""COMPUTED_VALUE"""),"18-24 tahun")</f>
        <v>18-24 tahun</v>
      </c>
      <c r="K1190" s="19">
        <f>IFERROR(__xludf.DUMMYFUNCTION("""COMPUTED_VALUE"""),38752.0)</f>
        <v>38752</v>
      </c>
      <c r="L1190" s="19" t="str">
        <f>IFERROR(__xludf.DUMMYFUNCTION("""COMPUTED_VALUE"""),"LAKI-LAKI")</f>
        <v>LAKI-LAKI</v>
      </c>
      <c r="M1190" s="35" t="str">
        <f>IFERROR(__xludf.DUMMYFUNCTION("""COMPUTED_VALUE"""),"GG MARHABAN DSN MEKAR SARI 2")</f>
        <v>GG MARHABAN DSN MEKAR SARI 2</v>
      </c>
      <c r="N1190" s="16" t="str">
        <f>IFERROR(__xludf.DUMMYFUNCTION("""COMPUTED_VALUE"""),"DS. PAAL")</f>
        <v>DS. PAAL</v>
      </c>
      <c r="O1190" s="16" t="str">
        <f>IFERROR(__xludf.DUMMYFUNCTION("""COMPUTED_VALUE"""),"KEC. NANGA PINOH")</f>
        <v>KEC. NANGA PINOH</v>
      </c>
      <c r="P1190" s="16" t="str">
        <f>IFERROR(__xludf.DUMMYFUNCTION("""COMPUTED_VALUE"""),"KAB. MELAWI")</f>
        <v>KAB. MELAWI</v>
      </c>
      <c r="Q1190" s="16" t="str">
        <f>IFERROR(__xludf.DUMMYFUNCTION("""COMPUTED_VALUE"""),"KALIMANTAN BARAT")</f>
        <v>KALIMANTAN BARAT</v>
      </c>
      <c r="R1190" s="19" t="str">
        <f>IFERROR(__xludf.DUMMYFUNCTION("""COMPUTED_VALUE"""),"PROTESTAN")</f>
        <v>PROTESTAN</v>
      </c>
      <c r="S1190" s="16" t="str">
        <f>IFERROR(__xludf.DUMMYFUNCTION("""COMPUTED_VALUE"""),"PELAJAR/MAHASISWA")</f>
        <v>PELAJAR/MAHASISWA</v>
      </c>
      <c r="T1190" s="16" t="str">
        <f>IFERROR(__xludf.DUMMYFUNCTION("""COMPUTED_VALUE"""),"KAKI X")</f>
        <v>KAKI X</v>
      </c>
      <c r="U1190" s="16" t="str">
        <f>IFERROR(__xludf.DUMMYFUNCTION("""COMPUTED_VALUE"""),"Olahraga")</f>
        <v>Olahraga</v>
      </c>
      <c r="V1190" s="11" t="str">
        <f>IFERROR(__xludf.DUMMYFUNCTION("""COMPUTED_VALUE"""),"082151264271")</f>
        <v>082151264271</v>
      </c>
      <c r="W1190" s="15"/>
    </row>
    <row r="1191" ht="22.5" customHeight="1">
      <c r="A1191" s="8"/>
      <c r="B1191" s="9">
        <f>IFERROR(__xludf.DUMMYFUNCTION("""COMPUTED_VALUE"""),45361.417523888886)</f>
        <v>45361.41752</v>
      </c>
      <c r="C1191" s="9"/>
      <c r="D1191" s="10">
        <f>IFERROR(__xludf.DUMMYFUNCTION("""COMPUTED_VALUE"""),45371.0)</f>
        <v>45371</v>
      </c>
      <c r="E1191" s="10" t="str">
        <f>IFERROR(__xludf.DUMMYFUNCTION("""COMPUTED_VALUE"""),"03Mar")</f>
        <v>03Mar</v>
      </c>
      <c r="F1191" s="10" t="str">
        <f>IFERROR(__xludf.DUMMYFUNCTION("""COMPUTED_VALUE"""),"2024")</f>
        <v>2024</v>
      </c>
      <c r="G1191" s="35" t="str">
        <f>IFERROR(__xludf.DUMMYFUNCTION("""COMPUTED_VALUE"""),"YOKA MIRANI")</f>
        <v>YOKA MIRANI</v>
      </c>
      <c r="H1191" s="17" t="str">
        <f>IFERROR(__xludf.DUMMYFUNCTION("""COMPUTED_VALUE"""),"Y9424036638")</f>
        <v>Y9424036638</v>
      </c>
      <c r="I1191" s="17">
        <f>IFERROR(__xludf.DUMMYFUNCTION("""COMPUTED_VALUE"""),32.0)</f>
        <v>32</v>
      </c>
      <c r="J1191" s="17" t="str">
        <f>IFERROR(__xludf.DUMMYFUNCTION("""COMPUTED_VALUE"""),"25-34 tahun")</f>
        <v>25-34 tahun</v>
      </c>
      <c r="K1191" s="19">
        <f>IFERROR(__xludf.DUMMYFUNCTION("""COMPUTED_VALUE"""),34490.0)</f>
        <v>34490</v>
      </c>
      <c r="L1191" s="19" t="str">
        <f>IFERROR(__xludf.DUMMYFUNCTION("""COMPUTED_VALUE"""),"PEREMPUAN")</f>
        <v>PEREMPUAN</v>
      </c>
      <c r="M1191" s="35" t="str">
        <f>IFERROR(__xludf.DUMMYFUNCTION("""COMPUTED_VALUE"""),"JL.WONOYOSO GANG 1")</f>
        <v>JL.WONOYOSO GANG 1</v>
      </c>
      <c r="N1191" s="16" t="str">
        <f>IFERROR(__xludf.DUMMYFUNCTION("""COMPUTED_VALUE"""),"KEL. AKCAYA")</f>
        <v>KEL. AKCAYA</v>
      </c>
      <c r="O1191" s="16" t="str">
        <f>IFERROR(__xludf.DUMMYFUNCTION("""COMPUTED_VALUE"""),"KEC. PONTIANAK SELATAN")</f>
        <v>KEC. PONTIANAK SELATAN</v>
      </c>
      <c r="P1191" s="16" t="str">
        <f>IFERROR(__xludf.DUMMYFUNCTION("""COMPUTED_VALUE"""),"KOTA PONTIANAK")</f>
        <v>KOTA PONTIANAK</v>
      </c>
      <c r="Q1191" s="16" t="str">
        <f>IFERROR(__xludf.DUMMYFUNCTION("""COMPUTED_VALUE"""),"KALIMANTAN BARAT")</f>
        <v>KALIMANTAN BARAT</v>
      </c>
      <c r="R1191" s="19" t="str">
        <f>IFERROR(__xludf.DUMMYFUNCTION("""COMPUTED_VALUE"""),"ISLAM")</f>
        <v>ISLAM</v>
      </c>
      <c r="S1191" s="35" t="str">
        <f>IFERROR(__xludf.DUMMYFUNCTION("""COMPUTED_VALUE"""),"ASN")</f>
        <v>ASN</v>
      </c>
      <c r="T1191" s="16" t="str">
        <f>IFERROR(__xludf.DUMMYFUNCTION("""COMPUTED_VALUE"""),"PINGGANG TERASA KAKU, PEGAL DAN PANAS")</f>
        <v>PINGGANG TERASA KAKU, PEGAL DAN PANAS</v>
      </c>
      <c r="U1191" s="16" t="str">
        <f>IFERROR(__xludf.DUMMYFUNCTION("""COMPUTED_VALUE"""),"BEKERJA")</f>
        <v>BEKERJA</v>
      </c>
      <c r="V1191" s="11" t="str">
        <f>IFERROR(__xludf.DUMMYFUNCTION("""COMPUTED_VALUE"""),"0895422366638")</f>
        <v>0895422366638</v>
      </c>
      <c r="W1191" s="15"/>
    </row>
    <row r="1192" ht="22.5" customHeight="1">
      <c r="A1192" s="8"/>
      <c r="B1192" s="9">
        <f>IFERROR(__xludf.DUMMYFUNCTION("""COMPUTED_VALUE"""),45366.73675847222)</f>
        <v>45366.73676</v>
      </c>
      <c r="C1192" s="9"/>
      <c r="D1192" s="34">
        <f>IFERROR(__xludf.DUMMYFUNCTION("""COMPUTED_VALUE"""),45371.0)</f>
        <v>45371</v>
      </c>
      <c r="E1192" s="34" t="str">
        <f>IFERROR(__xludf.DUMMYFUNCTION("""COMPUTED_VALUE"""),"03Mar")</f>
        <v>03Mar</v>
      </c>
      <c r="F1192" s="34" t="str">
        <f>IFERROR(__xludf.DUMMYFUNCTION("""COMPUTED_VALUE"""),"2024")</f>
        <v>2024</v>
      </c>
      <c r="G1192" s="35" t="str">
        <f>IFERROR(__xludf.DUMMYFUNCTION("""COMPUTED_VALUE"""),"FAHRI ANANDA PUTRA")</f>
        <v>FAHRI ANANDA PUTRA</v>
      </c>
      <c r="H1192" s="17" t="str">
        <f>IFERROR(__xludf.DUMMYFUNCTION("""COMPUTED_VALUE"""),"F1124032482")</f>
        <v>F1124032482</v>
      </c>
      <c r="I1192" s="17">
        <f>IFERROR(__xludf.DUMMYFUNCTION("""COMPUTED_VALUE"""),14.0)</f>
        <v>14</v>
      </c>
      <c r="J1192" s="17" t="str">
        <f>IFERROR(__xludf.DUMMYFUNCTION("""COMPUTED_VALUE"""),"&lt; 18 tahun")</f>
        <v>&lt; 18 tahun</v>
      </c>
      <c r="K1192" s="19">
        <f>IFERROR(__xludf.DUMMYFUNCTION("""COMPUTED_VALUE"""),40812.0)</f>
        <v>40812</v>
      </c>
      <c r="L1192" s="19" t="str">
        <f>IFERROR(__xludf.DUMMYFUNCTION("""COMPUTED_VALUE"""),"LAKI-LAKI")</f>
        <v>LAKI-LAKI</v>
      </c>
      <c r="M1192" s="35" t="str">
        <f>IFERROR(__xludf.DUMMYFUNCTION("""COMPUTED_VALUE"""),"JL RE MARTADINATA GANG KELADI NO 16")</f>
        <v>JL RE MARTADINATA GANG KELADI NO 16</v>
      </c>
      <c r="N1192" s="16" t="str">
        <f>IFERROR(__xludf.DUMMYFUNCTION("""COMPUTED_VALUE"""),"KEL. SUNGAI JAWI LUAR")</f>
        <v>KEL. SUNGAI JAWI LUAR</v>
      </c>
      <c r="O1192" s="16" t="str">
        <f>IFERROR(__xludf.DUMMYFUNCTION("""COMPUTED_VALUE"""),"KEC. PONTIANAK BARAT")</f>
        <v>KEC. PONTIANAK BARAT</v>
      </c>
      <c r="P1192" s="16" t="str">
        <f>IFERROR(__xludf.DUMMYFUNCTION("""COMPUTED_VALUE"""),"KOTA PONTIANAK")</f>
        <v>KOTA PONTIANAK</v>
      </c>
      <c r="Q1192" s="16" t="str">
        <f>IFERROR(__xludf.DUMMYFUNCTION("""COMPUTED_VALUE"""),"KALIMANTAN BARAT")</f>
        <v>KALIMANTAN BARAT</v>
      </c>
      <c r="R1192" s="19" t="str">
        <f>IFERROR(__xludf.DUMMYFUNCTION("""COMPUTED_VALUE"""),"ISLAM")</f>
        <v>ISLAM</v>
      </c>
      <c r="S1192" s="16" t="str">
        <f>IFERROR(__xludf.DUMMYFUNCTION("""COMPUTED_VALUE"""),"PELAJAR/MAHASISWA")</f>
        <v>PELAJAR/MAHASISWA</v>
      </c>
      <c r="T1192" s="16" t="str">
        <f>IFERROR(__xludf.DUMMYFUNCTION("""COMPUTED_VALUE"""),"Terapi pasca operasi pemasangan Gips")</f>
        <v>Terapi pasca operasi pemasangan Gips</v>
      </c>
      <c r="U1192" s="16" t="str">
        <f>IFERROR(__xludf.DUMMYFUNCTION("""COMPUTED_VALUE"""),"Futsal")</f>
        <v>Futsal</v>
      </c>
      <c r="V1192" s="11" t="str">
        <f>IFERROR(__xludf.DUMMYFUNCTION("""COMPUTED_VALUE"""),"081347412482")</f>
        <v>081347412482</v>
      </c>
      <c r="W1192" s="15"/>
    </row>
    <row r="1193" ht="22.5" customHeight="1">
      <c r="A1193" s="8"/>
      <c r="B1193" s="9">
        <f>IFERROR(__xludf.DUMMYFUNCTION("""COMPUTED_VALUE"""),45367.885009826394)</f>
        <v>45367.88501</v>
      </c>
      <c r="C1193" s="9"/>
      <c r="D1193" s="34">
        <f>IFERROR(__xludf.DUMMYFUNCTION("""COMPUTED_VALUE"""),45371.0)</f>
        <v>45371</v>
      </c>
      <c r="E1193" s="34" t="str">
        <f>IFERROR(__xludf.DUMMYFUNCTION("""COMPUTED_VALUE"""),"03Mar")</f>
        <v>03Mar</v>
      </c>
      <c r="F1193" s="34" t="str">
        <f>IFERROR(__xludf.DUMMYFUNCTION("""COMPUTED_VALUE"""),"2024")</f>
        <v>2024</v>
      </c>
      <c r="G1193" s="35" t="str">
        <f>IFERROR(__xludf.DUMMYFUNCTION("""COMPUTED_VALUE"""),"ULLY FAKHRUNI")</f>
        <v>ULLY FAKHRUNI</v>
      </c>
      <c r="H1193" s="17" t="str">
        <f>IFERROR(__xludf.DUMMYFUNCTION("""COMPUTED_VALUE"""),"U9324035809")</f>
        <v>U9324035809</v>
      </c>
      <c r="I1193" s="17">
        <f>IFERROR(__xludf.DUMMYFUNCTION("""COMPUTED_VALUE"""),32.0)</f>
        <v>32</v>
      </c>
      <c r="J1193" s="17" t="str">
        <f>IFERROR(__xludf.DUMMYFUNCTION("""COMPUTED_VALUE"""),"25-34 tahun")</f>
        <v>25-34 tahun</v>
      </c>
      <c r="K1193" s="19">
        <f>IFERROR(__xludf.DUMMYFUNCTION("""COMPUTED_VALUE"""),34157.0)</f>
        <v>34157</v>
      </c>
      <c r="L1193" s="19" t="str">
        <f>IFERROR(__xludf.DUMMYFUNCTION("""COMPUTED_VALUE"""),"PEREMPUAN")</f>
        <v>PEREMPUAN</v>
      </c>
      <c r="M1193" s="35" t="str">
        <f>IFERROR(__xludf.DUMMYFUNCTION("""COMPUTED_VALUE"""),"GG WONOYOSO 3 NO. 79")</f>
        <v>GG WONOYOSO 3 NO. 79</v>
      </c>
      <c r="N1193" s="16" t="str">
        <f>IFERROR(__xludf.DUMMYFUNCTION("""COMPUTED_VALUE"""),"KEL. AKCAYA")</f>
        <v>KEL. AKCAYA</v>
      </c>
      <c r="O1193" s="16" t="str">
        <f>IFERROR(__xludf.DUMMYFUNCTION("""COMPUTED_VALUE"""),"KEC. PONTIANAK SELATAN")</f>
        <v>KEC. PONTIANAK SELATAN</v>
      </c>
      <c r="P1193" s="16" t="str">
        <f>IFERROR(__xludf.DUMMYFUNCTION("""COMPUTED_VALUE"""),"KOTA PONTIANAK")</f>
        <v>KOTA PONTIANAK</v>
      </c>
      <c r="Q1193" s="16" t="str">
        <f>IFERROR(__xludf.DUMMYFUNCTION("""COMPUTED_VALUE"""),"KALIMANTAN BARAT")</f>
        <v>KALIMANTAN BARAT</v>
      </c>
      <c r="R1193" s="19" t="str">
        <f>IFERROR(__xludf.DUMMYFUNCTION("""COMPUTED_VALUE"""),"ISLAM")</f>
        <v>ISLAM</v>
      </c>
      <c r="S1193" s="35" t="str">
        <f>IFERROR(__xludf.DUMMYFUNCTION("""COMPUTED_VALUE"""),"RUMAH TANGGA")</f>
        <v>RUMAH TANGGA</v>
      </c>
      <c r="T1193" s="16" t="str">
        <f>IFERROR(__xludf.DUMMYFUNCTION("""COMPUTED_VALUE"""),"Sakit pinggang belakang")</f>
        <v>Sakit pinggang belakang</v>
      </c>
      <c r="U1193" s="16" t="str">
        <f>IFERROR(__xludf.DUMMYFUNCTION("""COMPUTED_VALUE"""),"Ngurus anak")</f>
        <v>Ngurus anak</v>
      </c>
      <c r="V1193" s="11" t="str">
        <f>IFERROR(__xludf.DUMMYFUNCTION("""COMPUTED_VALUE"""),"081351515809")</f>
        <v>081351515809</v>
      </c>
      <c r="W1193" s="15"/>
    </row>
    <row r="1194" ht="22.5" customHeight="1">
      <c r="A1194" s="8"/>
      <c r="B1194" s="9">
        <f>IFERROR(__xludf.DUMMYFUNCTION("""COMPUTED_VALUE"""),45367.898891805555)</f>
        <v>45367.89889</v>
      </c>
      <c r="C1194" s="9"/>
      <c r="D1194" s="34">
        <f>IFERROR(__xludf.DUMMYFUNCTION("""COMPUTED_VALUE"""),45371.0)</f>
        <v>45371</v>
      </c>
      <c r="E1194" s="34" t="str">
        <f>IFERROR(__xludf.DUMMYFUNCTION("""COMPUTED_VALUE"""),"03Mar")</f>
        <v>03Mar</v>
      </c>
      <c r="F1194" s="34" t="str">
        <f>IFERROR(__xludf.DUMMYFUNCTION("""COMPUTED_VALUE"""),"2024")</f>
        <v>2024</v>
      </c>
      <c r="G1194" s="35" t="str">
        <f>IFERROR(__xludf.DUMMYFUNCTION("""COMPUTED_VALUE"""),"YOGI EGA SAPUTRA")</f>
        <v>YOGI EGA SAPUTRA</v>
      </c>
      <c r="H1194" s="17" t="str">
        <f>IFERROR(__xludf.DUMMYFUNCTION("""COMPUTED_VALUE"""),"Y9724037446")</f>
        <v>Y9724037446</v>
      </c>
      <c r="I1194" s="17">
        <f>IFERROR(__xludf.DUMMYFUNCTION("""COMPUTED_VALUE"""),29.0)</f>
        <v>29</v>
      </c>
      <c r="J1194" s="17" t="str">
        <f>IFERROR(__xludf.DUMMYFUNCTION("""COMPUTED_VALUE"""),"25-34 tahun")</f>
        <v>25-34 tahun</v>
      </c>
      <c r="K1194" s="19">
        <f>IFERROR(__xludf.DUMMYFUNCTION("""COMPUTED_VALUE"""),35552.0)</f>
        <v>35552</v>
      </c>
      <c r="L1194" s="19" t="str">
        <f>IFERROR(__xludf.DUMMYFUNCTION("""COMPUTED_VALUE"""),"LAKI-LAKI")</f>
        <v>LAKI-LAKI</v>
      </c>
      <c r="M1194" s="35" t="str">
        <f>IFERROR(__xludf.DUMMYFUNCTION("""COMPUTED_VALUE"""),"JL. H. R. A RAHMAN , GG. WASPADA 2 , NO. 35")</f>
        <v>JL. H. R. A RAHMAN , GG. WASPADA 2 , NO. 35</v>
      </c>
      <c r="N1194" s="16" t="str">
        <f>IFERROR(__xludf.DUMMYFUNCTION("""COMPUTED_VALUE"""),"KEL. SUNGAI JAWI")</f>
        <v>KEL. SUNGAI JAWI</v>
      </c>
      <c r="O1194" s="16" t="str">
        <f>IFERROR(__xludf.DUMMYFUNCTION("""COMPUTED_VALUE"""),"KEC. PONTIANAK KOTA")</f>
        <v>KEC. PONTIANAK KOTA</v>
      </c>
      <c r="P1194" s="16" t="str">
        <f>IFERROR(__xludf.DUMMYFUNCTION("""COMPUTED_VALUE"""),"KOTA PONTIANAK")</f>
        <v>KOTA PONTIANAK</v>
      </c>
      <c r="Q1194" s="16" t="str">
        <f>IFERROR(__xludf.DUMMYFUNCTION("""COMPUTED_VALUE"""),"KALIMANTAN BARAT")</f>
        <v>KALIMANTAN BARAT</v>
      </c>
      <c r="R1194" s="19" t="str">
        <f>IFERROR(__xludf.DUMMYFUNCTION("""COMPUTED_VALUE"""),"ISLAM")</f>
        <v>ISLAM</v>
      </c>
      <c r="S1194" s="35" t="str">
        <f>IFERROR(__xludf.DUMMYFUNCTION("""COMPUTED_VALUE"""),"FREELANCE")</f>
        <v>FREELANCE</v>
      </c>
      <c r="T1194" s="16" t="str">
        <f>IFERROR(__xludf.DUMMYFUNCTION("""COMPUTED_VALUE"""),"Sakit di dada")</f>
        <v>Sakit di dada</v>
      </c>
      <c r="U1194" s="16" t="str">
        <f>IFERROR(__xludf.DUMMYFUNCTION("""COMPUTED_VALUE"""),"sepak bola / duduk mengerjakan pekerjaan")</f>
        <v>sepak bola / duduk mengerjakan pekerjaan</v>
      </c>
      <c r="V1194" s="11" t="str">
        <f>IFERROR(__xludf.DUMMYFUNCTION("""COMPUTED_VALUE"""),"0895339457446")</f>
        <v>0895339457446</v>
      </c>
      <c r="W1194" s="15"/>
    </row>
    <row r="1195" ht="22.5" customHeight="1">
      <c r="A1195" s="8"/>
      <c r="B1195" s="9">
        <f>IFERROR(__xludf.DUMMYFUNCTION("""COMPUTED_VALUE"""),45368.86509760417)</f>
        <v>45368.8651</v>
      </c>
      <c r="C1195" s="9"/>
      <c r="D1195" s="34">
        <f>IFERROR(__xludf.DUMMYFUNCTION("""COMPUTED_VALUE"""),45372.0)</f>
        <v>45372</v>
      </c>
      <c r="E1195" s="34" t="str">
        <f>IFERROR(__xludf.DUMMYFUNCTION("""COMPUTED_VALUE"""),"03Mar")</f>
        <v>03Mar</v>
      </c>
      <c r="F1195" s="34" t="str">
        <f>IFERROR(__xludf.DUMMYFUNCTION("""COMPUTED_VALUE"""),"2024")</f>
        <v>2024</v>
      </c>
      <c r="G1195" s="35" t="str">
        <f>IFERROR(__xludf.DUMMYFUNCTION("""COMPUTED_VALUE"""),"FORGENSIUS YOGI")</f>
        <v>FORGENSIUS YOGI</v>
      </c>
      <c r="H1195" s="17" t="str">
        <f>IFERROR(__xludf.DUMMYFUNCTION("""COMPUTED_VALUE"""),"F0724032482")</f>
        <v>F0724032482</v>
      </c>
      <c r="I1195" s="17">
        <f>IFERROR(__xludf.DUMMYFUNCTION("""COMPUTED_VALUE"""),19.0)</f>
        <v>19</v>
      </c>
      <c r="J1195" s="17" t="str">
        <f>IFERROR(__xludf.DUMMYFUNCTION("""COMPUTED_VALUE"""),"18-24 tahun")</f>
        <v>18-24 tahun</v>
      </c>
      <c r="K1195" s="19">
        <f>IFERROR(__xludf.DUMMYFUNCTION("""COMPUTED_VALUE"""),39135.0)</f>
        <v>39135</v>
      </c>
      <c r="L1195" s="19" t="str">
        <f>IFERROR(__xludf.DUMMYFUNCTION("""COMPUTED_VALUE"""),"LAKI-LAKI")</f>
        <v>LAKI-LAKI</v>
      </c>
      <c r="M1195" s="35" t="str">
        <f>IFERROR(__xludf.DUMMYFUNCTION("""COMPUTED_VALUE"""),"DUSUN NGEDANG")</f>
        <v>DUSUN NGEDANG</v>
      </c>
      <c r="N1195" s="16" t="str">
        <f>IFERROR(__xludf.DUMMYFUNCTION("""COMPUTED_VALUE"""),"DS. TEBEDAK")</f>
        <v>DS. TEBEDAK</v>
      </c>
      <c r="O1195" s="16" t="str">
        <f>IFERROR(__xludf.DUMMYFUNCTION("""COMPUTED_VALUE"""),"KEC. NGABANG")</f>
        <v>KEC. NGABANG</v>
      </c>
      <c r="P1195" s="16" t="str">
        <f>IFERROR(__xludf.DUMMYFUNCTION("""COMPUTED_VALUE"""),"KAB. LANDAK")</f>
        <v>KAB. LANDAK</v>
      </c>
      <c r="Q1195" s="16" t="str">
        <f>IFERROR(__xludf.DUMMYFUNCTION("""COMPUTED_VALUE"""),"KALIMANTAN BARAT")</f>
        <v>KALIMANTAN BARAT</v>
      </c>
      <c r="R1195" s="19" t="str">
        <f>IFERROR(__xludf.DUMMYFUNCTION("""COMPUTED_VALUE"""),"KATOLIK")</f>
        <v>KATOLIK</v>
      </c>
      <c r="S1195" s="35" t="str">
        <f>IFERROR(__xludf.DUMMYFUNCTION("""COMPUTED_VALUE"""),"PELAJAR/MAHASISWA")</f>
        <v>PELAJAR/MAHASISWA</v>
      </c>
      <c r="T1195" s="16" t="str">
        <f>IFERROR(__xludf.DUMMYFUNCTION("""COMPUTED_VALUE"""),"SAKIT URAT BAGIAN BELAKANG SEBELAH KIRI TANGAN")</f>
        <v>SAKIT URAT BAGIAN BELAKANG SEBELAH KIRI TANGAN</v>
      </c>
      <c r="U1195" s="16" t="str">
        <f>IFERROR(__xludf.DUMMYFUNCTION("""COMPUTED_VALUE"""),"OLAHRAGA")</f>
        <v>OLAHRAGA</v>
      </c>
      <c r="V1195" s="11" t="str">
        <f>IFERROR(__xludf.DUMMYFUNCTION("""COMPUTED_VALUE"""),"085820822482")</f>
        <v>085820822482</v>
      </c>
      <c r="W1195" s="15"/>
    </row>
    <row r="1196" ht="22.5" customHeight="1">
      <c r="A1196" s="8"/>
      <c r="B1196" s="9">
        <f>IFERROR(__xludf.DUMMYFUNCTION("""COMPUTED_VALUE"""),45369.42650377315)</f>
        <v>45369.4265</v>
      </c>
      <c r="C1196" s="9"/>
      <c r="D1196" s="34">
        <f>IFERROR(__xludf.DUMMYFUNCTION("""COMPUTED_VALUE"""),45372.0)</f>
        <v>45372</v>
      </c>
      <c r="E1196" s="34" t="str">
        <f>IFERROR(__xludf.DUMMYFUNCTION("""COMPUTED_VALUE"""),"03Mar")</f>
        <v>03Mar</v>
      </c>
      <c r="F1196" s="34" t="str">
        <f>IFERROR(__xludf.DUMMYFUNCTION("""COMPUTED_VALUE"""),"2024")</f>
        <v>2024</v>
      </c>
      <c r="G1196" s="35" t="str">
        <f>IFERROR(__xludf.DUMMYFUNCTION("""COMPUTED_VALUE"""),"DAUHAH YUSUF")</f>
        <v>DAUHAH YUSUF</v>
      </c>
      <c r="H1196" s="17" t="str">
        <f>IFERROR(__xludf.DUMMYFUNCTION("""COMPUTED_VALUE"""),"D5424034604")</f>
        <v>D5424034604</v>
      </c>
      <c r="I1196" s="17">
        <f>IFERROR(__xludf.DUMMYFUNCTION("""COMPUTED_VALUE"""),71.0)</f>
        <v>71</v>
      </c>
      <c r="J1196" s="17" t="str">
        <f>IFERROR(__xludf.DUMMYFUNCTION("""COMPUTED_VALUE"""),"&gt; 44 tahun")</f>
        <v>&gt; 44 tahun</v>
      </c>
      <c r="K1196" s="19">
        <f>IFERROR(__xludf.DUMMYFUNCTION("""COMPUTED_VALUE"""),20089.0)</f>
        <v>20089</v>
      </c>
      <c r="L1196" s="19" t="str">
        <f>IFERROR(__xludf.DUMMYFUNCTION("""COMPUTED_VALUE"""),"PEREMPUAN")</f>
        <v>PEREMPUAN</v>
      </c>
      <c r="M1196" s="35" t="str">
        <f>IFERROR(__xludf.DUMMYFUNCTION("""COMPUTED_VALUE"""),"JLN. NAWAWI HASAN NO.545 PERUMNAS 2 JERUJU")</f>
        <v>JLN. NAWAWI HASAN NO.545 PERUMNAS 2 JERUJU</v>
      </c>
      <c r="N1196" s="16" t="str">
        <f>IFERROR(__xludf.DUMMYFUNCTION("""COMPUTED_VALUE"""),"KEL. SUNGAI BELIUNG")</f>
        <v>KEL. SUNGAI BELIUNG</v>
      </c>
      <c r="O1196" s="16" t="str">
        <f>IFERROR(__xludf.DUMMYFUNCTION("""COMPUTED_VALUE"""),"KEC. PONTIANAK BARAT")</f>
        <v>KEC. PONTIANAK BARAT</v>
      </c>
      <c r="P1196" s="16" t="str">
        <f>IFERROR(__xludf.DUMMYFUNCTION("""COMPUTED_VALUE"""),"KOTA PONTIANAK")</f>
        <v>KOTA PONTIANAK</v>
      </c>
      <c r="Q1196" s="16" t="str">
        <f>IFERROR(__xludf.DUMMYFUNCTION("""COMPUTED_VALUE"""),"KALIMANTAN BARAT")</f>
        <v>KALIMANTAN BARAT</v>
      </c>
      <c r="R1196" s="19" t="str">
        <f>IFERROR(__xludf.DUMMYFUNCTION("""COMPUTED_VALUE"""),"ISLAM")</f>
        <v>ISLAM</v>
      </c>
      <c r="S1196" s="16" t="str">
        <f>IFERROR(__xludf.DUMMYFUNCTION("""COMPUTED_VALUE"""),"RUMAH TANGGA")</f>
        <v>RUMAH TANGGA</v>
      </c>
      <c r="T1196" s="16" t="str">
        <f>IFERROR(__xludf.DUMMYFUNCTION("""COMPUTED_VALUE"""),"Sakit nyeri di paha dan kaki")</f>
        <v>Sakit nyeri di paha dan kaki</v>
      </c>
      <c r="U1196" s="16" t="str">
        <f>IFERROR(__xludf.DUMMYFUNCTION("""COMPUTED_VALUE"""),"Membaca Alquran, Memasak dll")</f>
        <v>Membaca Alquran, Memasak dll</v>
      </c>
      <c r="V1196" s="11" t="str">
        <f>IFERROR(__xludf.DUMMYFUNCTION("""COMPUTED_VALUE"""),"085794884604")</f>
        <v>085794884604</v>
      </c>
      <c r="W1196" s="15"/>
    </row>
    <row r="1197" ht="22.5" customHeight="1">
      <c r="A1197" s="8"/>
      <c r="B1197" s="9">
        <f>IFERROR(__xludf.DUMMYFUNCTION("""COMPUTED_VALUE"""),45368.89224313658)</f>
        <v>45368.89224</v>
      </c>
      <c r="C1197" s="9"/>
      <c r="D1197" s="34">
        <f>IFERROR(__xludf.DUMMYFUNCTION("""COMPUTED_VALUE"""),45373.0)</f>
        <v>45373</v>
      </c>
      <c r="E1197" s="34" t="str">
        <f>IFERROR(__xludf.DUMMYFUNCTION("""COMPUTED_VALUE"""),"03Mar")</f>
        <v>03Mar</v>
      </c>
      <c r="F1197" s="34" t="str">
        <f>IFERROR(__xludf.DUMMYFUNCTION("""COMPUTED_VALUE"""),"2024")</f>
        <v>2024</v>
      </c>
      <c r="G1197" s="35" t="str">
        <f>IFERROR(__xludf.DUMMYFUNCTION("""COMPUTED_VALUE"""),"NELLY IRIANTI")</f>
        <v>NELLY IRIANTI</v>
      </c>
      <c r="H1197" s="17" t="str">
        <f>IFERROR(__xludf.DUMMYFUNCTION("""COMPUTED_VALUE"""),"N6224030202")</f>
        <v>N6224030202</v>
      </c>
      <c r="I1197" s="17">
        <f>IFERROR(__xludf.DUMMYFUNCTION("""COMPUTED_VALUE"""),64.0)</f>
        <v>64</v>
      </c>
      <c r="J1197" s="17" t="str">
        <f>IFERROR(__xludf.DUMMYFUNCTION("""COMPUTED_VALUE"""),"&gt; 44 tahun")</f>
        <v>&gt; 44 tahun</v>
      </c>
      <c r="K1197" s="19">
        <f>IFERROR(__xludf.DUMMYFUNCTION("""COMPUTED_VALUE"""),22662.0)</f>
        <v>22662</v>
      </c>
      <c r="L1197" s="19" t="str">
        <f>IFERROR(__xludf.DUMMYFUNCTION("""COMPUTED_VALUE"""),"PEREMPUAN")</f>
        <v>PEREMPUAN</v>
      </c>
      <c r="M1197" s="35" t="str">
        <f>IFERROR(__xludf.DUMMYFUNCTION("""COMPUTED_VALUE"""),"JL. UJUNG PANDANG KOMPLEK GEMILANGGRENNLAND NO. A10")</f>
        <v>JL. UJUNG PANDANG KOMPLEK GEMILANGGRENNLAND NO. A10</v>
      </c>
      <c r="N1197" s="16" t="str">
        <f>IFERROR(__xludf.DUMMYFUNCTION("""COMPUTED_VALUE"""),"KEL. SUNGAI JAWI")</f>
        <v>KEL. SUNGAI JAWI</v>
      </c>
      <c r="O1197" s="16" t="str">
        <f>IFERROR(__xludf.DUMMYFUNCTION("""COMPUTED_VALUE"""),"KEC. PONTIANAK KOTA")</f>
        <v>KEC. PONTIANAK KOTA</v>
      </c>
      <c r="P1197" s="16" t="str">
        <f>IFERROR(__xludf.DUMMYFUNCTION("""COMPUTED_VALUE"""),"KOTA PONTIANAK")</f>
        <v>KOTA PONTIANAK</v>
      </c>
      <c r="Q1197" s="16" t="str">
        <f>IFERROR(__xludf.DUMMYFUNCTION("""COMPUTED_VALUE"""),"KALIMANTAN BARAT")</f>
        <v>KALIMANTAN BARAT</v>
      </c>
      <c r="R1197" s="19" t="str">
        <f>IFERROR(__xludf.DUMMYFUNCTION("""COMPUTED_VALUE"""),"ISLAM")</f>
        <v>ISLAM</v>
      </c>
      <c r="S1197" s="16" t="str">
        <f>IFERROR(__xludf.DUMMYFUNCTION("""COMPUTED_VALUE"""),"PENSIUN")</f>
        <v>PENSIUN</v>
      </c>
      <c r="T1197" s="16" t="str">
        <f>IFERROR(__xludf.DUMMYFUNCTION("""COMPUTED_VALUE"""),"TANGAN CIDERA / JATUH")</f>
        <v>TANGAN CIDERA / JATUH</v>
      </c>
      <c r="U1197" s="16" t="str">
        <f>IFERROR(__xludf.DUMMYFUNCTION("""COMPUTED_VALUE"""),"TRAVELING")</f>
        <v>TRAVELING</v>
      </c>
      <c r="V1197" s="11" t="str">
        <f>IFERROR(__xludf.DUMMYFUNCTION("""COMPUTED_VALUE"""),"085391080202")</f>
        <v>085391080202</v>
      </c>
      <c r="W1197" s="15"/>
    </row>
    <row r="1198" ht="22.5" customHeight="1">
      <c r="A1198" s="8"/>
      <c r="B1198" s="9">
        <f>IFERROR(__xludf.DUMMYFUNCTION("""COMPUTED_VALUE"""),45369.40528537037)</f>
        <v>45369.40529</v>
      </c>
      <c r="C1198" s="9"/>
      <c r="D1198" s="34">
        <f>IFERROR(__xludf.DUMMYFUNCTION("""COMPUTED_VALUE"""),45374.0)</f>
        <v>45374</v>
      </c>
      <c r="E1198" s="34" t="str">
        <f>IFERROR(__xludf.DUMMYFUNCTION("""COMPUTED_VALUE"""),"03Mar")</f>
        <v>03Mar</v>
      </c>
      <c r="F1198" s="34" t="str">
        <f>IFERROR(__xludf.DUMMYFUNCTION("""COMPUTED_VALUE"""),"2024")</f>
        <v>2024</v>
      </c>
      <c r="G1198" s="16" t="str">
        <f>IFERROR(__xludf.DUMMYFUNCTION("""COMPUTED_VALUE"""),"HERLINA")</f>
        <v>HERLINA</v>
      </c>
      <c r="H1198" s="17" t="str">
        <f>IFERROR(__xludf.DUMMYFUNCTION("""COMPUTED_VALUE"""),"H6624039139")</f>
        <v>H6624039139</v>
      </c>
      <c r="I1198" s="17">
        <f>IFERROR(__xludf.DUMMYFUNCTION("""COMPUTED_VALUE"""),59.0)</f>
        <v>59</v>
      </c>
      <c r="J1198" s="17" t="str">
        <f>IFERROR(__xludf.DUMMYFUNCTION("""COMPUTED_VALUE"""),"&gt; 44 tahun")</f>
        <v>&gt; 44 tahun</v>
      </c>
      <c r="K1198" s="19">
        <f>IFERROR(__xludf.DUMMYFUNCTION("""COMPUTED_VALUE"""),24323.0)</f>
        <v>24323</v>
      </c>
      <c r="L1198" s="19" t="str">
        <f>IFERROR(__xludf.DUMMYFUNCTION("""COMPUTED_VALUE"""),"PEREMPUAN")</f>
        <v>PEREMPUAN</v>
      </c>
      <c r="M1198" s="16" t="str">
        <f>IFERROR(__xludf.DUMMYFUNCTION("""COMPUTED_VALUE"""),"JL. TABRANI AHMAD, KOMP. GBK 3 BLOK C NO. 10")</f>
        <v>JL. TABRANI AHMAD, KOMP. GBK 3 BLOK C NO. 10</v>
      </c>
      <c r="N1198" s="16" t="str">
        <f>IFERROR(__xludf.DUMMYFUNCTION("""COMPUTED_VALUE"""),"KEL. SUNGAI JAWI DALAM")</f>
        <v>KEL. SUNGAI JAWI DALAM</v>
      </c>
      <c r="O1198" s="16" t="str">
        <f>IFERROR(__xludf.DUMMYFUNCTION("""COMPUTED_VALUE"""),"KEC. PONTIANAK BARAT")</f>
        <v>KEC. PONTIANAK BARAT</v>
      </c>
      <c r="P1198" s="16" t="str">
        <f>IFERROR(__xludf.DUMMYFUNCTION("""COMPUTED_VALUE"""),"KOTA PONTIANAK")</f>
        <v>KOTA PONTIANAK</v>
      </c>
      <c r="Q1198" s="16" t="str">
        <f>IFERROR(__xludf.DUMMYFUNCTION("""COMPUTED_VALUE"""),"KALIMANTAN BARAT")</f>
        <v>KALIMANTAN BARAT</v>
      </c>
      <c r="R1198" s="19" t="str">
        <f>IFERROR(__xludf.DUMMYFUNCTION("""COMPUTED_VALUE"""),"ISLAM")</f>
        <v>ISLAM</v>
      </c>
      <c r="S1198" s="16" t="str">
        <f>IFERROR(__xludf.DUMMYFUNCTION("""COMPUTED_VALUE"""),"WIRASWASTA")</f>
        <v>WIRASWASTA</v>
      </c>
      <c r="T1198" s="16" t="str">
        <f>IFERROR(__xludf.DUMMYFUNCTION("""COMPUTED_VALUE"""),"Stroke")</f>
        <v>Stroke</v>
      </c>
      <c r="U1198" s="16" t="str">
        <f>IFERROR(__xludf.DUMMYFUNCTION("""COMPUTED_VALUE"""),"Jalan jalan")</f>
        <v>Jalan jalan</v>
      </c>
      <c r="V1198" s="11" t="str">
        <f>IFERROR(__xludf.DUMMYFUNCTION("""COMPUTED_VALUE"""),"08998499139")</f>
        <v>08998499139</v>
      </c>
      <c r="W1198" s="15"/>
    </row>
    <row r="1199" ht="22.5" customHeight="1">
      <c r="A1199" s="8"/>
      <c r="B1199" s="9">
        <f>IFERROR(__xludf.DUMMYFUNCTION("""COMPUTED_VALUE"""),45369.59902494213)</f>
        <v>45369.59902</v>
      </c>
      <c r="C1199" s="9"/>
      <c r="D1199" s="34">
        <f>IFERROR(__xludf.DUMMYFUNCTION("""COMPUTED_VALUE"""),45374.0)</f>
        <v>45374</v>
      </c>
      <c r="E1199" s="34" t="str">
        <f>IFERROR(__xludf.DUMMYFUNCTION("""COMPUTED_VALUE"""),"03Mar")</f>
        <v>03Mar</v>
      </c>
      <c r="F1199" s="34" t="str">
        <f>IFERROR(__xludf.DUMMYFUNCTION("""COMPUTED_VALUE"""),"2024")</f>
        <v>2024</v>
      </c>
      <c r="G1199" s="35" t="str">
        <f>IFERROR(__xludf.DUMMYFUNCTION("""COMPUTED_VALUE"""),"UTIN RIA UNTANIA HIKMAH")</f>
        <v>UTIN RIA UNTANIA HIKMAH</v>
      </c>
      <c r="H1199" s="17" t="str">
        <f>IFERROR(__xludf.DUMMYFUNCTION("""COMPUTED_VALUE"""),"U9124033500")</f>
        <v>U9124033500</v>
      </c>
      <c r="I1199" s="17">
        <f>IFERROR(__xludf.DUMMYFUNCTION("""COMPUTED_VALUE"""),34.0)</f>
        <v>34</v>
      </c>
      <c r="J1199" s="17" t="str">
        <f>IFERROR(__xludf.DUMMYFUNCTION("""COMPUTED_VALUE"""),"25-34 tahun")</f>
        <v>25-34 tahun</v>
      </c>
      <c r="K1199" s="19">
        <f>IFERROR(__xludf.DUMMYFUNCTION("""COMPUTED_VALUE"""),33576.0)</f>
        <v>33576</v>
      </c>
      <c r="L1199" s="19" t="str">
        <f>IFERROR(__xludf.DUMMYFUNCTION("""COMPUTED_VALUE"""),"PEREMPUAN")</f>
        <v>PEREMPUAN</v>
      </c>
      <c r="M1199" s="35" t="str">
        <f>IFERROR(__xludf.DUMMYFUNCTION("""COMPUTED_VALUE"""),"JL.HM SUWIGNYO, GG. WAJO NO.36")</f>
        <v>JL.HM SUWIGNYO, GG. WAJO NO.36</v>
      </c>
      <c r="N1199" s="16" t="str">
        <f>IFERROR(__xludf.DUMMYFUNCTION("""COMPUTED_VALUE"""),"KEL. SUNGAI JAWI")</f>
        <v>KEL. SUNGAI JAWI</v>
      </c>
      <c r="O1199" s="16" t="str">
        <f>IFERROR(__xludf.DUMMYFUNCTION("""COMPUTED_VALUE"""),"KEC. PONTIANAK KOTA")</f>
        <v>KEC. PONTIANAK KOTA</v>
      </c>
      <c r="P1199" s="16" t="str">
        <f>IFERROR(__xludf.DUMMYFUNCTION("""COMPUTED_VALUE"""),"KOTA PONTIANAK")</f>
        <v>KOTA PONTIANAK</v>
      </c>
      <c r="Q1199" s="16" t="str">
        <f>IFERROR(__xludf.DUMMYFUNCTION("""COMPUTED_VALUE"""),"KALIMANTAN BARAT")</f>
        <v>KALIMANTAN BARAT</v>
      </c>
      <c r="R1199" s="19" t="str">
        <f>IFERROR(__xludf.DUMMYFUNCTION("""COMPUTED_VALUE"""),"ISLAM")</f>
        <v>ISLAM</v>
      </c>
      <c r="S1199" s="16" t="str">
        <f>IFERROR(__xludf.DUMMYFUNCTION("""COMPUTED_VALUE"""),"RUMAH TANGGA")</f>
        <v>RUMAH TANGGA</v>
      </c>
      <c r="T1199" s="16" t="str">
        <f>IFERROR(__xludf.DUMMYFUNCTION("""COMPUTED_VALUE"""),"Sakit pada pinggang")</f>
        <v>Sakit pada pinggang</v>
      </c>
      <c r="U1199" s="16" t="str">
        <f>IFERROR(__xludf.DUMMYFUNCTION("""COMPUTED_VALUE"""),"Olahraga")</f>
        <v>Olahraga</v>
      </c>
      <c r="V1199" s="11" t="str">
        <f>IFERROR(__xludf.DUMMYFUNCTION("""COMPUTED_VALUE"""),"081345143500")</f>
        <v>081345143500</v>
      </c>
      <c r="W1199" s="15"/>
    </row>
    <row r="1200" ht="22.5" customHeight="1">
      <c r="A1200" s="8"/>
      <c r="B1200" s="9">
        <f>IFERROR(__xludf.DUMMYFUNCTION("""COMPUTED_VALUE"""),45370.41669265046)</f>
        <v>45370.41669</v>
      </c>
      <c r="C1200" s="9"/>
      <c r="D1200" s="34">
        <f>IFERROR(__xludf.DUMMYFUNCTION("""COMPUTED_VALUE"""),45375.0)</f>
        <v>45375</v>
      </c>
      <c r="E1200" s="34" t="str">
        <f>IFERROR(__xludf.DUMMYFUNCTION("""COMPUTED_VALUE"""),"03Mar")</f>
        <v>03Mar</v>
      </c>
      <c r="F1200" s="34" t="str">
        <f>IFERROR(__xludf.DUMMYFUNCTION("""COMPUTED_VALUE"""),"2024")</f>
        <v>2024</v>
      </c>
      <c r="G1200" s="35" t="str">
        <f>IFERROR(__xludf.DUMMYFUNCTION("""COMPUTED_VALUE"""),"ABDUL RAHIM 7107")</f>
        <v>ABDUL RAHIM 7107</v>
      </c>
      <c r="H1200" s="17" t="str">
        <f>IFERROR(__xludf.DUMMYFUNCTION("""COMPUTED_VALUE"""),"A7124036901")</f>
        <v>A7124036901</v>
      </c>
      <c r="I1200" s="17">
        <f>IFERROR(__xludf.DUMMYFUNCTION("""COMPUTED_VALUE"""),54.0)</f>
        <v>54</v>
      </c>
      <c r="J1200" s="17" t="str">
        <f>IFERROR(__xludf.DUMMYFUNCTION("""COMPUTED_VALUE"""),"&gt; 44 tahun")</f>
        <v>&gt; 44 tahun</v>
      </c>
      <c r="K1200" s="19">
        <f>IFERROR(__xludf.DUMMYFUNCTION("""COMPUTED_VALUE"""),26119.0)</f>
        <v>26119</v>
      </c>
      <c r="L1200" s="19" t="str">
        <f>IFERROR(__xludf.DUMMYFUNCTION("""COMPUTED_VALUE"""),"LAKI-LAKI")</f>
        <v>LAKI-LAKI</v>
      </c>
      <c r="M1200" s="35" t="str">
        <f>IFERROR(__xludf.DUMMYFUNCTION("""COMPUTED_VALUE"""),"JL.MIGANG RT/RW.014/08")</f>
        <v>JL.MIGANG RT/RW.014/08</v>
      </c>
      <c r="N1200" s="16" t="str">
        <f>IFERROR(__xludf.DUMMYFUNCTION("""COMPUTED_VALUE"""),"KEL. BUMI EMAS")</f>
        <v>KEL. BUMI EMAS</v>
      </c>
      <c r="O1200" s="16" t="str">
        <f>IFERROR(__xludf.DUMMYFUNCTION("""COMPUTED_VALUE"""),"KEC. BENGKAYANG")</f>
        <v>KEC. BENGKAYANG</v>
      </c>
      <c r="P1200" s="16" t="str">
        <f>IFERROR(__xludf.DUMMYFUNCTION("""COMPUTED_VALUE"""),"KAB. BENGKAYANG")</f>
        <v>KAB. BENGKAYANG</v>
      </c>
      <c r="Q1200" s="16" t="str">
        <f>IFERROR(__xludf.DUMMYFUNCTION("""COMPUTED_VALUE"""),"KALIMANTAN BARAT")</f>
        <v>KALIMANTAN BARAT</v>
      </c>
      <c r="R1200" s="19" t="str">
        <f>IFERROR(__xludf.DUMMYFUNCTION("""COMPUTED_VALUE"""),"ISLAM")</f>
        <v>ISLAM</v>
      </c>
      <c r="S1200" s="16" t="str">
        <f>IFERROR(__xludf.DUMMYFUNCTION("""COMPUTED_VALUE"""),"BUMD")</f>
        <v>BUMD</v>
      </c>
      <c r="T1200" s="16" t="str">
        <f>IFERROR(__xludf.DUMMYFUNCTION("""COMPUTED_VALUE"""),"Sakit lengan kiri")</f>
        <v>Sakit lengan kiri</v>
      </c>
      <c r="U1200" s="16" t="str">
        <f>IFERROR(__xludf.DUMMYFUNCTION("""COMPUTED_VALUE"""),"Sepak bola/futsal")</f>
        <v>Sepak bola/futsal</v>
      </c>
      <c r="V1200" s="11" t="str">
        <f>IFERROR(__xludf.DUMMYFUNCTION("""COMPUTED_VALUE"""),"081256266901")</f>
        <v>081256266901</v>
      </c>
      <c r="W1200" s="15"/>
    </row>
    <row r="1201" ht="22.5" customHeight="1">
      <c r="A1201" s="8"/>
      <c r="B1201" s="9">
        <f>IFERROR(__xludf.DUMMYFUNCTION("""COMPUTED_VALUE"""),45370.49705515047)</f>
        <v>45370.49706</v>
      </c>
      <c r="C1201" s="9"/>
      <c r="D1201" s="34">
        <f>IFERROR(__xludf.DUMMYFUNCTION("""COMPUTED_VALUE"""),45375.0)</f>
        <v>45375</v>
      </c>
      <c r="E1201" s="34" t="str">
        <f>IFERROR(__xludf.DUMMYFUNCTION("""COMPUTED_VALUE"""),"03Mar")</f>
        <v>03Mar</v>
      </c>
      <c r="F1201" s="34" t="str">
        <f>IFERROR(__xludf.DUMMYFUNCTION("""COMPUTED_VALUE"""),"2024")</f>
        <v>2024</v>
      </c>
      <c r="G1201" s="35" t="str">
        <f>IFERROR(__xludf.DUMMYFUNCTION("""COMPUTED_VALUE"""),"DEVI NOVIANI")</f>
        <v>DEVI NOVIANI</v>
      </c>
      <c r="H1201" s="17" t="str">
        <f>IFERROR(__xludf.DUMMYFUNCTION("""COMPUTED_VALUE"""),"D8824033636")</f>
        <v>D8824033636</v>
      </c>
      <c r="I1201" s="17">
        <f>IFERROR(__xludf.DUMMYFUNCTION("""COMPUTED_VALUE"""),37.0)</f>
        <v>37</v>
      </c>
      <c r="J1201" s="17" t="str">
        <f>IFERROR(__xludf.DUMMYFUNCTION("""COMPUTED_VALUE"""),"35-44 tahun")</f>
        <v>35-44 tahun</v>
      </c>
      <c r="K1201" s="19">
        <f>IFERROR(__xludf.DUMMYFUNCTION("""COMPUTED_VALUE"""),32476.0)</f>
        <v>32476</v>
      </c>
      <c r="L1201" s="21" t="str">
        <f>IFERROR(__xludf.DUMMYFUNCTION("""COMPUTED_VALUE"""),"PEREMPUAN")</f>
        <v>PEREMPUAN</v>
      </c>
      <c r="M1201" s="35" t="str">
        <f>IFERROR(__xludf.DUMMYFUNCTION("""COMPUTED_VALUE"""),"SINTANG")</f>
        <v>SINTANG</v>
      </c>
      <c r="N1201" s="16" t="str">
        <f>IFERROR(__xludf.DUMMYFUNCTION("""COMPUTED_VALUE"""),"KEL. SINTANG")</f>
        <v>KEL. SINTANG</v>
      </c>
      <c r="O1201" s="16" t="str">
        <f>IFERROR(__xludf.DUMMYFUNCTION("""COMPUTED_VALUE"""),"KEC. SINTANG")</f>
        <v>KEC. SINTANG</v>
      </c>
      <c r="P1201" s="16" t="str">
        <f>IFERROR(__xludf.DUMMYFUNCTION("""COMPUTED_VALUE"""),"KAB. SINTANG")</f>
        <v>KAB. SINTANG</v>
      </c>
      <c r="Q1201" s="16" t="str">
        <f>IFERROR(__xludf.DUMMYFUNCTION("""COMPUTED_VALUE"""),"KALIMANTAN BARAT")</f>
        <v>KALIMANTAN BARAT</v>
      </c>
      <c r="R1201" s="21" t="str">
        <f>IFERROR(__xludf.DUMMYFUNCTION("""COMPUTED_VALUE"""),"BUDDHA")</f>
        <v>BUDDHA</v>
      </c>
      <c r="S1201" s="16" t="str">
        <f>IFERROR(__xludf.DUMMYFUNCTION("""COMPUTED_VALUE"""),"RUMAH TANGGA")</f>
        <v>RUMAH TANGGA</v>
      </c>
      <c r="T1201" s="16" t="str">
        <f>IFERROR(__xludf.DUMMYFUNCTION("""COMPUTED_VALUE"""),"Leher pundak belikat")</f>
        <v>Leher pundak belikat</v>
      </c>
      <c r="U1201" s="16" t="str">
        <f>IFERROR(__xludf.DUMMYFUNCTION("""COMPUTED_VALUE"""),"Irt")</f>
        <v>Irt</v>
      </c>
      <c r="V1201" s="14" t="str">
        <f>IFERROR(__xludf.DUMMYFUNCTION("""COMPUTED_VALUE"""),"082153573636")</f>
        <v>082153573636</v>
      </c>
      <c r="W1201" s="15"/>
    </row>
    <row r="1202" ht="22.5" customHeight="1">
      <c r="A1202" s="8"/>
      <c r="B1202" s="9">
        <f>IFERROR(__xludf.DUMMYFUNCTION("""COMPUTED_VALUE"""),45369.54617310185)</f>
        <v>45369.54617</v>
      </c>
      <c r="C1202" s="9"/>
      <c r="D1202" s="34">
        <f>IFERROR(__xludf.DUMMYFUNCTION("""COMPUTED_VALUE"""),45376.0)</f>
        <v>45376</v>
      </c>
      <c r="E1202" s="34" t="str">
        <f>IFERROR(__xludf.DUMMYFUNCTION("""COMPUTED_VALUE"""),"03Mar")</f>
        <v>03Mar</v>
      </c>
      <c r="F1202" s="34" t="str">
        <f>IFERROR(__xludf.DUMMYFUNCTION("""COMPUTED_VALUE"""),"2024")</f>
        <v>2024</v>
      </c>
      <c r="G1202" s="35" t="str">
        <f>IFERROR(__xludf.DUMMYFUNCTION("""COMPUTED_VALUE"""),"HJ SUGIMAN")</f>
        <v>HJ SUGIMAN</v>
      </c>
      <c r="H1202" s="17" t="str">
        <f>IFERROR(__xludf.DUMMYFUNCTION("""COMPUTED_VALUE"""),"H6524035632")</f>
        <v>H6524035632</v>
      </c>
      <c r="I1202" s="17">
        <f>IFERROR(__xludf.DUMMYFUNCTION("""COMPUTED_VALUE"""),61.0)</f>
        <v>61</v>
      </c>
      <c r="J1202" s="17" t="str">
        <f>IFERROR(__xludf.DUMMYFUNCTION("""COMPUTED_VALUE"""),"&gt; 44 tahun")</f>
        <v>&gt; 44 tahun</v>
      </c>
      <c r="K1202" s="19">
        <f>IFERROR(__xludf.DUMMYFUNCTION("""COMPUTED_VALUE"""),23743.0)</f>
        <v>23743</v>
      </c>
      <c r="L1202" s="19" t="str">
        <f>IFERROR(__xludf.DUMMYFUNCTION("""COMPUTED_VALUE"""),"PEREMPUAN")</f>
        <v>PEREMPUAN</v>
      </c>
      <c r="M1202" s="35" t="str">
        <f>IFERROR(__xludf.DUMMYFUNCTION("""COMPUTED_VALUE"""),"JL RAYA KAKAP")</f>
        <v>JL RAYA KAKAP</v>
      </c>
      <c r="N1202" s="16" t="str">
        <f>IFERROR(__xludf.DUMMYFUNCTION("""COMPUTED_VALUE"""),"KEL. PAL IX")</f>
        <v>KEL. PAL IX</v>
      </c>
      <c r="O1202" s="16" t="str">
        <f>IFERROR(__xludf.DUMMYFUNCTION("""COMPUTED_VALUE"""),"KEC. KAKAP")</f>
        <v>KEC. KAKAP</v>
      </c>
      <c r="P1202" s="16" t="str">
        <f>IFERROR(__xludf.DUMMYFUNCTION("""COMPUTED_VALUE"""),"KAB. KUBU RAYA")</f>
        <v>KAB. KUBU RAYA</v>
      </c>
      <c r="Q1202" s="16" t="str">
        <f>IFERROR(__xludf.DUMMYFUNCTION("""COMPUTED_VALUE"""),"KALIMANTAN BARAT")</f>
        <v>KALIMANTAN BARAT</v>
      </c>
      <c r="R1202" s="19" t="str">
        <f>IFERROR(__xludf.DUMMYFUNCTION("""COMPUTED_VALUE"""),"ISLAM")</f>
        <v>ISLAM</v>
      </c>
      <c r="S1202" s="35" t="str">
        <f>IFERROR(__xludf.DUMMYFUNCTION("""COMPUTED_VALUE"""),"RUMAH TANGGA")</f>
        <v>RUMAH TANGGA</v>
      </c>
      <c r="T1202" s="16" t="str">
        <f>IFERROR(__xludf.DUMMYFUNCTION("""COMPUTED_VALUE"""),"Pinggang")</f>
        <v>Pinggang</v>
      </c>
      <c r="U1202" s="16" t="str">
        <f>IFERROR(__xludf.DUMMYFUNCTION("""COMPUTED_VALUE"""),"Irt")</f>
        <v>Irt</v>
      </c>
      <c r="V1202" s="11" t="str">
        <f>IFERROR(__xludf.DUMMYFUNCTION("""COMPUTED_VALUE"""),"08993905632")</f>
        <v>08993905632</v>
      </c>
      <c r="W1202" s="15"/>
    </row>
    <row r="1203" ht="22.5" customHeight="1">
      <c r="A1203" s="8"/>
      <c r="B1203" s="9">
        <f>IFERROR(__xludf.DUMMYFUNCTION("""COMPUTED_VALUE"""),45370.732566562496)</f>
        <v>45370.73257</v>
      </c>
      <c r="C1203" s="9"/>
      <c r="D1203" s="34">
        <f>IFERROR(__xludf.DUMMYFUNCTION("""COMPUTED_VALUE"""),45376.0)</f>
        <v>45376</v>
      </c>
      <c r="E1203" s="34" t="str">
        <f>IFERROR(__xludf.DUMMYFUNCTION("""COMPUTED_VALUE"""),"03Mar")</f>
        <v>03Mar</v>
      </c>
      <c r="F1203" s="34" t="str">
        <f>IFERROR(__xludf.DUMMYFUNCTION("""COMPUTED_VALUE"""),"2024")</f>
        <v>2024</v>
      </c>
      <c r="G1203" s="35" t="str">
        <f>IFERROR(__xludf.DUMMYFUNCTION("""COMPUTED_VALUE"""),"ARDYKA ANGGRIAWAN")</f>
        <v>ARDYKA ANGGRIAWAN</v>
      </c>
      <c r="H1203" s="17" t="str">
        <f>IFERROR(__xludf.DUMMYFUNCTION("""COMPUTED_VALUE"""),"A8724030600")</f>
        <v>A8724030600</v>
      </c>
      <c r="I1203" s="17">
        <f>IFERROR(__xludf.DUMMYFUNCTION("""COMPUTED_VALUE"""),38.0)</f>
        <v>38</v>
      </c>
      <c r="J1203" s="17" t="str">
        <f>IFERROR(__xludf.DUMMYFUNCTION("""COMPUTED_VALUE"""),"35-44 tahun")</f>
        <v>35-44 tahun</v>
      </c>
      <c r="K1203" s="19">
        <f>IFERROR(__xludf.DUMMYFUNCTION("""COMPUTED_VALUE"""),32135.0)</f>
        <v>32135</v>
      </c>
      <c r="L1203" s="19" t="str">
        <f>IFERROR(__xludf.DUMMYFUNCTION("""COMPUTED_VALUE"""),"LAKI-LAKI")</f>
        <v>LAKI-LAKI</v>
      </c>
      <c r="M1203" s="35" t="str">
        <f>IFERROR(__xludf.DUMMYFUNCTION("""COMPUTED_VALUE"""),"LETJEN SOEPRAPTO 6")</f>
        <v>LETJEN SOEPRAPTO 6</v>
      </c>
      <c r="N1203" s="16" t="str">
        <f>IFERROR(__xludf.DUMMYFUNCTION("""COMPUTED_VALUE"""),"KEL. BENUA MELAYU DARAT")</f>
        <v>KEL. BENUA MELAYU DARAT</v>
      </c>
      <c r="O1203" s="16" t="str">
        <f>IFERROR(__xludf.DUMMYFUNCTION("""COMPUTED_VALUE"""),"KEC. PONTIANAK SELATAN")</f>
        <v>KEC. PONTIANAK SELATAN</v>
      </c>
      <c r="P1203" s="16" t="str">
        <f>IFERROR(__xludf.DUMMYFUNCTION("""COMPUTED_VALUE"""),"KOTA PONTIANAK")</f>
        <v>KOTA PONTIANAK</v>
      </c>
      <c r="Q1203" s="16" t="str">
        <f>IFERROR(__xludf.DUMMYFUNCTION("""COMPUTED_VALUE"""),"KALIMANTAN BARAT")</f>
        <v>KALIMANTAN BARAT</v>
      </c>
      <c r="R1203" s="19" t="str">
        <f>IFERROR(__xludf.DUMMYFUNCTION("""COMPUTED_VALUE"""),"KATOLIK")</f>
        <v>KATOLIK</v>
      </c>
      <c r="S1203" s="16" t="str">
        <f>IFERROR(__xludf.DUMMYFUNCTION("""COMPUTED_VALUE"""),"SWASTA")</f>
        <v>SWASTA</v>
      </c>
      <c r="T1203" s="16"/>
      <c r="U1203" s="16" t="str">
        <f>IFERROR(__xludf.DUMMYFUNCTION("""COMPUTED_VALUE"""),"Tenis")</f>
        <v>Tenis</v>
      </c>
      <c r="V1203" s="11" t="str">
        <f>IFERROR(__xludf.DUMMYFUNCTION("""COMPUTED_VALUE"""),"087885720600")</f>
        <v>087885720600</v>
      </c>
      <c r="W1203" s="15"/>
    </row>
    <row r="1204" ht="22.5" customHeight="1">
      <c r="A1204" s="8"/>
      <c r="B1204" s="9">
        <f>IFERROR(__xludf.DUMMYFUNCTION("""COMPUTED_VALUE"""),45371.43862508102)</f>
        <v>45371.43863</v>
      </c>
      <c r="C1204" s="9"/>
      <c r="D1204" s="34">
        <f>IFERROR(__xludf.DUMMYFUNCTION("""COMPUTED_VALUE"""),45378.0)</f>
        <v>45378</v>
      </c>
      <c r="E1204" s="34" t="str">
        <f>IFERROR(__xludf.DUMMYFUNCTION("""COMPUTED_VALUE"""),"03Mar")</f>
        <v>03Mar</v>
      </c>
      <c r="F1204" s="34" t="str">
        <f>IFERROR(__xludf.DUMMYFUNCTION("""COMPUTED_VALUE"""),"2024")</f>
        <v>2024</v>
      </c>
      <c r="G1204" s="35" t="str">
        <f>IFERROR(__xludf.DUMMYFUNCTION("""COMPUTED_VALUE"""),"R. WENNY AGUSTRINI, A. MD")</f>
        <v>R. WENNY AGUSTRINI, A. MD</v>
      </c>
      <c r="H1204" s="17" t="str">
        <f>IFERROR(__xludf.DUMMYFUNCTION("""COMPUTED_VALUE"""),"R7824033631")</f>
        <v>R7824033631</v>
      </c>
      <c r="I1204" s="17">
        <f>IFERROR(__xludf.DUMMYFUNCTION("""COMPUTED_VALUE"""),47.0)</f>
        <v>47</v>
      </c>
      <c r="J1204" s="17" t="str">
        <f>IFERROR(__xludf.DUMMYFUNCTION("""COMPUTED_VALUE"""),"&gt; 44 tahun")</f>
        <v>&gt; 44 tahun</v>
      </c>
      <c r="K1204" s="19">
        <f>IFERROR(__xludf.DUMMYFUNCTION("""COMPUTED_VALUE"""),28705.0)</f>
        <v>28705</v>
      </c>
      <c r="L1204" s="19" t="str">
        <f>IFERROR(__xludf.DUMMYFUNCTION("""COMPUTED_VALUE"""),"PEREMPUAN")</f>
        <v>PEREMPUAN</v>
      </c>
      <c r="M1204" s="35" t="str">
        <f>IFERROR(__xludf.DUMMYFUNCTION("""COMPUTED_VALUE"""),"JL. DR. WAHIDIN SEPAKAT 8 GG. KEMBANG SEPAKAT NO. A8")</f>
        <v>JL. DR. WAHIDIN SEPAKAT 8 GG. KEMBANG SEPAKAT NO. A8</v>
      </c>
      <c r="N1204" s="16" t="str">
        <f>IFERROR(__xludf.DUMMYFUNCTION("""COMPUTED_VALUE"""),"KEL. SUNGAI JAWI")</f>
        <v>KEL. SUNGAI JAWI</v>
      </c>
      <c r="O1204" s="16" t="str">
        <f>IFERROR(__xludf.DUMMYFUNCTION("""COMPUTED_VALUE"""),"KEC. PONTIANAK KOTA")</f>
        <v>KEC. PONTIANAK KOTA</v>
      </c>
      <c r="P1204" s="16" t="str">
        <f>IFERROR(__xludf.DUMMYFUNCTION("""COMPUTED_VALUE"""),"KOTA PONTIANAK")</f>
        <v>KOTA PONTIANAK</v>
      </c>
      <c r="Q1204" s="16" t="str">
        <f>IFERROR(__xludf.DUMMYFUNCTION("""COMPUTED_VALUE"""),"KALIMANTAN BARAT")</f>
        <v>KALIMANTAN BARAT</v>
      </c>
      <c r="R1204" s="19" t="str">
        <f>IFERROR(__xludf.DUMMYFUNCTION("""COMPUTED_VALUE"""),"ISLAM")</f>
        <v>ISLAM</v>
      </c>
      <c r="S1204" s="16" t="str">
        <f>IFERROR(__xludf.DUMMYFUNCTION("""COMPUTED_VALUE"""),"RUMAH TANGGA")</f>
        <v>RUMAH TANGGA</v>
      </c>
      <c r="T1204" s="16" t="str">
        <f>IFERROR(__xludf.DUMMYFUNCTION("""COMPUTED_VALUE"""),"Sakit di pinggang kiri sampai ke belakang jd susah gerak dan susah nafas")</f>
        <v>Sakit di pinggang kiri sampai ke belakang jd susah gerak dan susah nafas</v>
      </c>
      <c r="U1204" s="16" t="str">
        <f>IFERROR(__xludf.DUMMYFUNCTION("""COMPUTED_VALUE"""),"Aktivitas ibu rumah tangga biasa ngurus rumah")</f>
        <v>Aktivitas ibu rumah tangga biasa ngurus rumah</v>
      </c>
      <c r="V1204" s="11" t="str">
        <f>IFERROR(__xludf.DUMMYFUNCTION("""COMPUTED_VALUE"""),"089620523631")</f>
        <v>089620523631</v>
      </c>
      <c r="W1204" s="15"/>
    </row>
    <row r="1205" ht="22.5" customHeight="1">
      <c r="A1205" s="8"/>
      <c r="B1205" s="9">
        <f>IFERROR(__xludf.DUMMYFUNCTION("""COMPUTED_VALUE"""),45371.469848622684)</f>
        <v>45371.46985</v>
      </c>
      <c r="C1205" s="9"/>
      <c r="D1205" s="34">
        <f>IFERROR(__xludf.DUMMYFUNCTION("""COMPUTED_VALUE"""),45378.0)</f>
        <v>45378</v>
      </c>
      <c r="E1205" s="34" t="str">
        <f>IFERROR(__xludf.DUMMYFUNCTION("""COMPUTED_VALUE"""),"03Mar")</f>
        <v>03Mar</v>
      </c>
      <c r="F1205" s="34" t="str">
        <f>IFERROR(__xludf.DUMMYFUNCTION("""COMPUTED_VALUE"""),"2024")</f>
        <v>2024</v>
      </c>
      <c r="G1205" s="35" t="str">
        <f>IFERROR(__xludf.DUMMYFUNCTION("""COMPUTED_VALUE"""),"MUHAMMAD ILYAS")</f>
        <v>MUHAMMAD ILYAS</v>
      </c>
      <c r="H1205" s="17" t="str">
        <f>IFERROR(__xludf.DUMMYFUNCTION("""COMPUTED_VALUE"""),"M8324037016")</f>
        <v>M8324037016</v>
      </c>
      <c r="I1205" s="17">
        <f>IFERROR(__xludf.DUMMYFUNCTION("""COMPUTED_VALUE"""),43.0)</f>
        <v>43</v>
      </c>
      <c r="J1205" s="17" t="str">
        <f>IFERROR(__xludf.DUMMYFUNCTION("""COMPUTED_VALUE"""),"35-44 tahun")</f>
        <v>35-44 tahun</v>
      </c>
      <c r="K1205" s="19">
        <f>IFERROR(__xludf.DUMMYFUNCTION("""COMPUTED_VALUE"""),30477.0)</f>
        <v>30477</v>
      </c>
      <c r="L1205" s="19" t="str">
        <f>IFERROR(__xludf.DUMMYFUNCTION("""COMPUTED_VALUE"""),"LAKI-LAKI")</f>
        <v>LAKI-LAKI</v>
      </c>
      <c r="M1205" s="35" t="str">
        <f>IFERROR(__xludf.DUMMYFUNCTION("""COMPUTED_VALUE"""),"JL KESEHATAN GG SUMBER AGUNG A NO 2 A")</f>
        <v>JL KESEHATAN GG SUMBER AGUNG A NO 2 A</v>
      </c>
      <c r="N1205" s="16" t="str">
        <f>IFERROR(__xludf.DUMMYFUNCTION("""COMPUTED_VALUE"""),"KEL. KOTA BARU")</f>
        <v>KEL. KOTA BARU</v>
      </c>
      <c r="O1205" s="16" t="str">
        <f>IFERROR(__xludf.DUMMYFUNCTION("""COMPUTED_VALUE"""),"KEC. PONTIANAK SELATAN")</f>
        <v>KEC. PONTIANAK SELATAN</v>
      </c>
      <c r="P1205" s="16" t="str">
        <f>IFERROR(__xludf.DUMMYFUNCTION("""COMPUTED_VALUE"""),"KOTA PONTIANAK")</f>
        <v>KOTA PONTIANAK</v>
      </c>
      <c r="Q1205" s="16" t="str">
        <f>IFERROR(__xludf.DUMMYFUNCTION("""COMPUTED_VALUE"""),"KALIMANTAN BARAT")</f>
        <v>KALIMANTAN BARAT</v>
      </c>
      <c r="R1205" s="19" t="str">
        <f>IFERROR(__xludf.DUMMYFUNCTION("""COMPUTED_VALUE"""),"ISLAM")</f>
        <v>ISLAM</v>
      </c>
      <c r="S1205" s="16" t="str">
        <f>IFERROR(__xludf.DUMMYFUNCTION("""COMPUTED_VALUE"""),"TNI/POLRI")</f>
        <v>TNI/POLRI</v>
      </c>
      <c r="T1205" s="16" t="str">
        <f>IFERROR(__xludf.DUMMYFUNCTION("""COMPUTED_VALUE"""),"SAKIT PINGGANG")</f>
        <v>SAKIT PINGGANG</v>
      </c>
      <c r="U1205" s="16" t="str">
        <f>IFERROR(__xludf.DUMMYFUNCTION("""COMPUTED_VALUE"""),"JALAN JALAN")</f>
        <v>JALAN JALAN</v>
      </c>
      <c r="V1205" s="11" t="str">
        <f>IFERROR(__xludf.DUMMYFUNCTION("""COMPUTED_VALUE"""),"081649077016")</f>
        <v>081649077016</v>
      </c>
      <c r="W1205" s="15"/>
    </row>
    <row r="1206" ht="22.5" customHeight="1">
      <c r="A1206" s="8"/>
      <c r="B1206" s="9">
        <f>IFERROR(__xludf.DUMMYFUNCTION("""COMPUTED_VALUE"""),45371.51944704861)</f>
        <v>45371.51945</v>
      </c>
      <c r="C1206" s="9"/>
      <c r="D1206" s="34">
        <f>IFERROR(__xludf.DUMMYFUNCTION("""COMPUTED_VALUE"""),45379.0)</f>
        <v>45379</v>
      </c>
      <c r="E1206" s="34" t="str">
        <f>IFERROR(__xludf.DUMMYFUNCTION("""COMPUTED_VALUE"""),"03Mar")</f>
        <v>03Mar</v>
      </c>
      <c r="F1206" s="34" t="str">
        <f>IFERROR(__xludf.DUMMYFUNCTION("""COMPUTED_VALUE"""),"2024")</f>
        <v>2024</v>
      </c>
      <c r="G1206" s="35" t="str">
        <f>IFERROR(__xludf.DUMMYFUNCTION("""COMPUTED_VALUE"""),"ARBIAN OCTORA")</f>
        <v>ARBIAN OCTORA</v>
      </c>
      <c r="H1206" s="17" t="str">
        <f>IFERROR(__xludf.DUMMYFUNCTION("""COMPUTED_VALUE"""),"A8024031990")</f>
        <v>A8024031990</v>
      </c>
      <c r="I1206" s="17">
        <f>IFERROR(__xludf.DUMMYFUNCTION("""COMPUTED_VALUE"""),45.0)</f>
        <v>45</v>
      </c>
      <c r="J1206" s="17" t="str">
        <f>IFERROR(__xludf.DUMMYFUNCTION("""COMPUTED_VALUE"""),"&gt; 44 tahun")</f>
        <v>&gt; 44 tahun</v>
      </c>
      <c r="K1206" s="19">
        <f>IFERROR(__xludf.DUMMYFUNCTION("""COMPUTED_VALUE"""),29508.0)</f>
        <v>29508</v>
      </c>
      <c r="L1206" s="19" t="str">
        <f>IFERROR(__xludf.DUMMYFUNCTION("""COMPUTED_VALUE"""),"LAKI-LAKI")</f>
        <v>LAKI-LAKI</v>
      </c>
      <c r="M1206" s="35" t="str">
        <f>IFERROR(__xludf.DUMMYFUNCTION("""COMPUTED_VALUE"""),"JALAN P H HUSIN II GG. WISUDA NO 2")</f>
        <v>JALAN P H HUSIN II GG. WISUDA NO 2</v>
      </c>
      <c r="N1206" s="16" t="str">
        <f>IFERROR(__xludf.DUMMYFUNCTION("""COMPUTED_VALUE"""),"KEL. BANGKA BELITUNG DARAT")</f>
        <v>KEL. BANGKA BELITUNG DARAT</v>
      </c>
      <c r="O1206" s="16" t="str">
        <f>IFERROR(__xludf.DUMMYFUNCTION("""COMPUTED_VALUE"""),"KEC. PONTIANAK TENGGARA")</f>
        <v>KEC. PONTIANAK TENGGARA</v>
      </c>
      <c r="P1206" s="16" t="str">
        <f>IFERROR(__xludf.DUMMYFUNCTION("""COMPUTED_VALUE"""),"KOTA PONTIANAK")</f>
        <v>KOTA PONTIANAK</v>
      </c>
      <c r="Q1206" s="16" t="str">
        <f>IFERROR(__xludf.DUMMYFUNCTION("""COMPUTED_VALUE"""),"KALIMANTAN BARAT")</f>
        <v>KALIMANTAN BARAT</v>
      </c>
      <c r="R1206" s="19" t="str">
        <f>IFERROR(__xludf.DUMMYFUNCTION("""COMPUTED_VALUE"""),"ISLAM")</f>
        <v>ISLAM</v>
      </c>
      <c r="S1206" s="16" t="str">
        <f>IFERROR(__xludf.DUMMYFUNCTION("""COMPUTED_VALUE"""),"SWASTA")</f>
        <v>SWASTA</v>
      </c>
      <c r="T1206" s="16" t="str">
        <f>IFERROR(__xludf.DUMMYFUNCTION("""COMPUTED_VALUE"""),"Nyeri dipantat akibat jatuh")</f>
        <v>Nyeri dipantat akibat jatuh</v>
      </c>
      <c r="U1206" s="16" t="str">
        <f>IFERROR(__xludf.DUMMYFUNCTION("""COMPUTED_VALUE"""),"sepeda")</f>
        <v>sepeda</v>
      </c>
      <c r="V1206" s="11" t="str">
        <f>IFERROR(__xludf.DUMMYFUNCTION("""COMPUTED_VALUE"""),"0811571990")</f>
        <v>0811571990</v>
      </c>
      <c r="W1206" s="15"/>
    </row>
    <row r="1207" ht="22.5" customHeight="1">
      <c r="A1207" s="8"/>
      <c r="B1207" s="9">
        <f>IFERROR(__xludf.DUMMYFUNCTION("""COMPUTED_VALUE"""),45372.59709829861)</f>
        <v>45372.5971</v>
      </c>
      <c r="C1207" s="9"/>
      <c r="D1207" s="34">
        <f>IFERROR(__xludf.DUMMYFUNCTION("""COMPUTED_VALUE"""),45379.0)</f>
        <v>45379</v>
      </c>
      <c r="E1207" s="34" t="str">
        <f>IFERROR(__xludf.DUMMYFUNCTION("""COMPUTED_VALUE"""),"03Mar")</f>
        <v>03Mar</v>
      </c>
      <c r="F1207" s="34" t="str">
        <f>IFERROR(__xludf.DUMMYFUNCTION("""COMPUTED_VALUE"""),"2024")</f>
        <v>2024</v>
      </c>
      <c r="G1207" s="35" t="str">
        <f>IFERROR(__xludf.DUMMYFUNCTION("""COMPUTED_VALUE"""),"REHAN KHAIDIR RIZKY")</f>
        <v>REHAN KHAIDIR RIZKY</v>
      </c>
      <c r="H1207" s="17" t="str">
        <f>IFERROR(__xludf.DUMMYFUNCTION("""COMPUTED_VALUE"""),"R0624035637")</f>
        <v>R0624035637</v>
      </c>
      <c r="I1207" s="17">
        <f>IFERROR(__xludf.DUMMYFUNCTION("""COMPUTED_VALUE"""),20.0)</f>
        <v>20</v>
      </c>
      <c r="J1207" s="17" t="str">
        <f>IFERROR(__xludf.DUMMYFUNCTION("""COMPUTED_VALUE"""),"18-24 tahun")</f>
        <v>18-24 tahun</v>
      </c>
      <c r="K1207" s="19">
        <f>IFERROR(__xludf.DUMMYFUNCTION("""COMPUTED_VALUE"""),38882.0)</f>
        <v>38882</v>
      </c>
      <c r="L1207" s="19" t="str">
        <f>IFERROR(__xludf.DUMMYFUNCTION("""COMPUTED_VALUE"""),"LAKI-LAKI")</f>
        <v>LAKI-LAKI</v>
      </c>
      <c r="M1207" s="35" t="str">
        <f>IFERROR(__xludf.DUMMYFUNCTION("""COMPUTED_VALUE"""),"JL.DR SUTOMO GG SADAR NO 100")</f>
        <v>JL.DR SUTOMO GG SADAR NO 100</v>
      </c>
      <c r="N1207" s="16" t="str">
        <f>IFERROR(__xludf.DUMMYFUNCTION("""COMPUTED_VALUE"""),"KEL. SUNGAI BANGKONG")</f>
        <v>KEL. SUNGAI BANGKONG</v>
      </c>
      <c r="O1207" s="16" t="str">
        <f>IFERROR(__xludf.DUMMYFUNCTION("""COMPUTED_VALUE"""),"KEC. PONTIANAK KOTA")</f>
        <v>KEC. PONTIANAK KOTA</v>
      </c>
      <c r="P1207" s="16" t="str">
        <f>IFERROR(__xludf.DUMMYFUNCTION("""COMPUTED_VALUE"""),"KOTA PONTIANAK")</f>
        <v>KOTA PONTIANAK</v>
      </c>
      <c r="Q1207" s="16" t="str">
        <f>IFERROR(__xludf.DUMMYFUNCTION("""COMPUTED_VALUE"""),"KALIMANTAN BARAT")</f>
        <v>KALIMANTAN BARAT</v>
      </c>
      <c r="R1207" s="19" t="str">
        <f>IFERROR(__xludf.DUMMYFUNCTION("""COMPUTED_VALUE"""),"ISLAM")</f>
        <v>ISLAM</v>
      </c>
      <c r="S1207" s="16" t="str">
        <f>IFERROR(__xludf.DUMMYFUNCTION("""COMPUTED_VALUE"""),"PELAJAR/MAHASISWA")</f>
        <v>PELAJAR/MAHASISWA</v>
      </c>
      <c r="T1207" s="16" t="str">
        <f>IFERROR(__xludf.DUMMYFUNCTION("""COMPUTED_VALUE"""),"Perbaiki postur badan")</f>
        <v>Perbaiki postur badan</v>
      </c>
      <c r="U1207" s="16" t="str">
        <f>IFERROR(__xludf.DUMMYFUNCTION("""COMPUTED_VALUE"""),"Olahraga gym")</f>
        <v>Olahraga gym</v>
      </c>
      <c r="V1207" s="11" t="str">
        <f>IFERROR(__xludf.DUMMYFUNCTION("""COMPUTED_VALUE"""),"085651055637")</f>
        <v>085651055637</v>
      </c>
      <c r="W1207" s="15"/>
    </row>
    <row r="1208" ht="22.5" customHeight="1">
      <c r="A1208" s="8"/>
      <c r="B1208" s="9">
        <f>IFERROR(__xludf.DUMMYFUNCTION("""COMPUTED_VALUE"""),45373.35365996527)</f>
        <v>45373.35366</v>
      </c>
      <c r="C1208" s="9"/>
      <c r="D1208" s="34">
        <f>IFERROR(__xludf.DUMMYFUNCTION("""COMPUTED_VALUE"""),45379.0)</f>
        <v>45379</v>
      </c>
      <c r="E1208" s="34" t="str">
        <f>IFERROR(__xludf.DUMMYFUNCTION("""COMPUTED_VALUE"""),"03Mar")</f>
        <v>03Mar</v>
      </c>
      <c r="F1208" s="34" t="str">
        <f>IFERROR(__xludf.DUMMYFUNCTION("""COMPUTED_VALUE"""),"2024")</f>
        <v>2024</v>
      </c>
      <c r="G1208" s="35" t="str">
        <f>IFERROR(__xludf.DUMMYFUNCTION("""COMPUTED_VALUE"""),"MUHAMMAD AIRA BILNADZRI")</f>
        <v>MUHAMMAD AIRA BILNADZRI</v>
      </c>
      <c r="H1208" s="17" t="str">
        <f>IFERROR(__xludf.DUMMYFUNCTION("""COMPUTED_VALUE"""),"M0224030387")</f>
        <v>M0224030387</v>
      </c>
      <c r="I1208" s="17">
        <f>IFERROR(__xludf.DUMMYFUNCTION("""COMPUTED_VALUE"""),23.0)</f>
        <v>23</v>
      </c>
      <c r="J1208" s="17" t="str">
        <f>IFERROR(__xludf.DUMMYFUNCTION("""COMPUTED_VALUE"""),"18-24 tahun")</f>
        <v>18-24 tahun</v>
      </c>
      <c r="K1208" s="19">
        <f>IFERROR(__xludf.DUMMYFUNCTION("""COMPUTED_VALUE"""),37595.0)</f>
        <v>37595</v>
      </c>
      <c r="L1208" s="19" t="str">
        <f>IFERROR(__xludf.DUMMYFUNCTION("""COMPUTED_VALUE"""),"LAKI-LAKI")</f>
        <v>LAKI-LAKI</v>
      </c>
      <c r="M1208" s="16" t="str">
        <f>IFERROR(__xludf.DUMMYFUNCTION("""COMPUTED_VALUE"""),"JL PELITA 1 PUNGGUR KECIL")</f>
        <v>JL PELITA 1 PUNGGUR KECIL</v>
      </c>
      <c r="N1208" s="16" t="str">
        <f>IFERROR(__xludf.DUMMYFUNCTION("""COMPUTED_VALUE"""),"DS. PUNGGUR")</f>
        <v>DS. PUNGGUR</v>
      </c>
      <c r="O1208" s="16" t="str">
        <f>IFERROR(__xludf.DUMMYFUNCTION("""COMPUTED_VALUE"""),"KEC. SUNGAI KAKAP")</f>
        <v>KEC. SUNGAI KAKAP</v>
      </c>
      <c r="P1208" s="16" t="str">
        <f>IFERROR(__xludf.DUMMYFUNCTION("""COMPUTED_VALUE"""),"KAB. KUBU RAYA")</f>
        <v>KAB. KUBU RAYA</v>
      </c>
      <c r="Q1208" s="16" t="str">
        <f>IFERROR(__xludf.DUMMYFUNCTION("""COMPUTED_VALUE"""),"KALIMANTAN BARAT")</f>
        <v>KALIMANTAN BARAT</v>
      </c>
      <c r="R1208" s="19" t="str">
        <f>IFERROR(__xludf.DUMMYFUNCTION("""COMPUTED_VALUE"""),"ISLAM")</f>
        <v>ISLAM</v>
      </c>
      <c r="S1208" s="16" t="str">
        <f>IFERROR(__xludf.DUMMYFUNCTION("""COMPUTED_VALUE"""),"WIRASWASTA")</f>
        <v>WIRASWASTA</v>
      </c>
      <c r="T1208" s="16" t="str">
        <f>IFERROR(__xludf.DUMMYFUNCTION("""COMPUTED_VALUE"""),"Cidera")</f>
        <v>Cidera</v>
      </c>
      <c r="U1208" s="16" t="str">
        <f>IFERROR(__xludf.DUMMYFUNCTION("""COMPUTED_VALUE"""),"Futsal")</f>
        <v>Futsal</v>
      </c>
      <c r="V1208" s="11" t="str">
        <f>IFERROR(__xludf.DUMMYFUNCTION("""COMPUTED_VALUE"""),"081528910387")</f>
        <v>081528910387</v>
      </c>
      <c r="W1208" s="15"/>
    </row>
    <row r="1209" ht="22.5" customHeight="1">
      <c r="A1209" s="8"/>
      <c r="B1209" s="9">
        <f>IFERROR(__xludf.DUMMYFUNCTION("""COMPUTED_VALUE"""),45374.84388693287)</f>
        <v>45374.84389</v>
      </c>
      <c r="C1209" s="9"/>
      <c r="D1209" s="34">
        <f>IFERROR(__xludf.DUMMYFUNCTION("""COMPUTED_VALUE"""),45381.0)</f>
        <v>45381</v>
      </c>
      <c r="E1209" s="34" t="str">
        <f>IFERROR(__xludf.DUMMYFUNCTION("""COMPUTED_VALUE"""),"03Mar")</f>
        <v>03Mar</v>
      </c>
      <c r="F1209" s="34" t="str">
        <f>IFERROR(__xludf.DUMMYFUNCTION("""COMPUTED_VALUE"""),"2024")</f>
        <v>2024</v>
      </c>
      <c r="G1209" s="35" t="str">
        <f>IFERROR(__xludf.DUMMYFUNCTION("""COMPUTED_VALUE"""),"LIE JAN KHIM")</f>
        <v>LIE JAN KHIM</v>
      </c>
      <c r="H1209" s="17" t="str">
        <f>IFERROR(__xludf.DUMMYFUNCTION("""COMPUTED_VALUE"""),"L8324032555")</f>
        <v>L8324032555</v>
      </c>
      <c r="I1209" s="17">
        <f>IFERROR(__xludf.DUMMYFUNCTION("""COMPUTED_VALUE"""),43.0)</f>
        <v>43</v>
      </c>
      <c r="J1209" s="17" t="str">
        <f>IFERROR(__xludf.DUMMYFUNCTION("""COMPUTED_VALUE"""),"35-44 tahun")</f>
        <v>35-44 tahun</v>
      </c>
      <c r="K1209" s="19">
        <f>IFERROR(__xludf.DUMMYFUNCTION("""COMPUTED_VALUE"""),30457.0)</f>
        <v>30457</v>
      </c>
      <c r="L1209" s="19" t="str">
        <f>IFERROR(__xludf.DUMMYFUNCTION("""COMPUTED_VALUE"""),"PEREMPUAN")</f>
        <v>PEREMPUAN</v>
      </c>
      <c r="M1209" s="35" t="str">
        <f>IFERROR(__xludf.DUMMYFUNCTION("""COMPUTED_VALUE"""),"DUSUN BERINGIN")</f>
        <v>DUSUN BERINGIN</v>
      </c>
      <c r="N1209" s="16" t="str">
        <f>IFERROR(__xludf.DUMMYFUNCTION("""COMPUTED_VALUE"""),"KEL. KALIMAS")</f>
        <v>KEL. KALIMAS</v>
      </c>
      <c r="O1209" s="16" t="str">
        <f>IFERROR(__xludf.DUMMYFUNCTION("""COMPUTED_VALUE"""),"KEC. SUNGAI KAKAP")</f>
        <v>KEC. SUNGAI KAKAP</v>
      </c>
      <c r="P1209" s="16" t="str">
        <f>IFERROR(__xludf.DUMMYFUNCTION("""COMPUTED_VALUE"""),"KAB. KUBU RAYA")</f>
        <v>KAB. KUBU RAYA</v>
      </c>
      <c r="Q1209" s="16" t="str">
        <f>IFERROR(__xludf.DUMMYFUNCTION("""COMPUTED_VALUE"""),"KALIMANTAN BARAT")</f>
        <v>KALIMANTAN BARAT</v>
      </c>
      <c r="R1209" s="19" t="str">
        <f>IFERROR(__xludf.DUMMYFUNCTION("""COMPUTED_VALUE"""),"BUDDHA")</f>
        <v>BUDDHA</v>
      </c>
      <c r="S1209" s="16" t="str">
        <f>IFERROR(__xludf.DUMMYFUNCTION("""COMPUTED_VALUE"""),"RUMAH TANGGA")</f>
        <v>RUMAH TANGGA</v>
      </c>
      <c r="T1209" s="16" t="str">
        <f>IFERROR(__xludf.DUMMYFUNCTION("""COMPUTED_VALUE"""),"kaki terasa sakit, panas, nyeri, berat kalau dibawa jalan, kata dokter saraf kejepit")</f>
        <v>kaki terasa sakit, panas, nyeri, berat kalau dibawa jalan, kata dokter saraf kejepit</v>
      </c>
      <c r="U1209" s="16" t="str">
        <f>IFERROR(__xludf.DUMMYFUNCTION("""COMPUTED_VALUE"""),"kerjaan rumah tangga")</f>
        <v>kerjaan rumah tangga</v>
      </c>
      <c r="V1209" s="11" t="str">
        <f>IFERROR(__xludf.DUMMYFUNCTION("""COMPUTED_VALUE"""),"082122622555")</f>
        <v>082122622555</v>
      </c>
      <c r="W1209" s="15"/>
    </row>
    <row r="1210" ht="22.5" customHeight="1">
      <c r="A1210" s="8"/>
      <c r="B1210" s="9">
        <f>IFERROR(__xludf.DUMMYFUNCTION("""COMPUTED_VALUE"""),45374.75923039352)</f>
        <v>45374.75923</v>
      </c>
      <c r="C1210" s="9"/>
      <c r="D1210" s="34">
        <f>IFERROR(__xludf.DUMMYFUNCTION("""COMPUTED_VALUE"""),45381.0)</f>
        <v>45381</v>
      </c>
      <c r="E1210" s="34" t="str">
        <f>IFERROR(__xludf.DUMMYFUNCTION("""COMPUTED_VALUE"""),"03Mar")</f>
        <v>03Mar</v>
      </c>
      <c r="F1210" s="34" t="str">
        <f>IFERROR(__xludf.DUMMYFUNCTION("""COMPUTED_VALUE"""),"2024")</f>
        <v>2024</v>
      </c>
      <c r="G1210" s="35" t="str">
        <f>IFERROR(__xludf.DUMMYFUNCTION("""COMPUTED_VALUE"""),"MICHAEL 0109")</f>
        <v>MICHAEL 0109</v>
      </c>
      <c r="H1210" s="17" t="str">
        <f>IFERROR(__xludf.DUMMYFUNCTION("""COMPUTED_VALUE"""),"M0124030509")</f>
        <v>M0124030509</v>
      </c>
      <c r="I1210" s="17">
        <f>IFERROR(__xludf.DUMMYFUNCTION("""COMPUTED_VALUE"""),24.0)</f>
        <v>24</v>
      </c>
      <c r="J1210" s="17" t="str">
        <f>IFERROR(__xludf.DUMMYFUNCTION("""COMPUTED_VALUE"""),"18-24 tahun")</f>
        <v>18-24 tahun</v>
      </c>
      <c r="K1210" s="19">
        <f>IFERROR(__xludf.DUMMYFUNCTION("""COMPUTED_VALUE"""),37163.0)</f>
        <v>37163</v>
      </c>
      <c r="L1210" s="19" t="str">
        <f>IFERROR(__xludf.DUMMYFUNCTION("""COMPUTED_VALUE"""),"LAKI-LAKI")</f>
        <v>LAKI-LAKI</v>
      </c>
      <c r="M1210" s="35" t="str">
        <f>IFERROR(__xludf.DUMMYFUNCTION("""COMPUTED_VALUE"""),"JALAN TANI MAKMUR")</f>
        <v>JALAN TANI MAKMUR</v>
      </c>
      <c r="N1210" s="16" t="str">
        <f>IFERROR(__xludf.DUMMYFUNCTION("""COMPUTED_VALUE"""),"KEL. KOTA BARU")</f>
        <v>KEL. KOTA BARU</v>
      </c>
      <c r="O1210" s="16" t="str">
        <f>IFERROR(__xludf.DUMMYFUNCTION("""COMPUTED_VALUE"""),"KEC. PONTIANAK SELATAN")</f>
        <v>KEC. PONTIANAK SELATAN</v>
      </c>
      <c r="P1210" s="16" t="str">
        <f>IFERROR(__xludf.DUMMYFUNCTION("""COMPUTED_VALUE"""),"KOTA PONTIANAK")</f>
        <v>KOTA PONTIANAK</v>
      </c>
      <c r="Q1210" s="16" t="str">
        <f>IFERROR(__xludf.DUMMYFUNCTION("""COMPUTED_VALUE"""),"KALIMANTAN BARAT")</f>
        <v>KALIMANTAN BARAT</v>
      </c>
      <c r="R1210" s="19" t="str">
        <f>IFERROR(__xludf.DUMMYFUNCTION("""COMPUTED_VALUE"""),"BUDDHA")</f>
        <v>BUDDHA</v>
      </c>
      <c r="S1210" s="16" t="str">
        <f>IFERROR(__xludf.DUMMYFUNCTION("""COMPUTED_VALUE"""),"PELAJAR/MAHASISWA")</f>
        <v>PELAJAR/MAHASISWA</v>
      </c>
      <c r="T1210" s="16" t="str">
        <f>IFERROR(__xludf.DUMMYFUNCTION("""COMPUTED_VALUE"""),"Nyeri leher, punggung bagian bawah, pinggang dan paha")</f>
        <v>Nyeri leher, punggung bagian bawah, pinggang dan paha</v>
      </c>
      <c r="U1210" s="16" t="str">
        <f>IFERROR(__xludf.DUMMYFUNCTION("""COMPUTED_VALUE"""),"Kuliah")</f>
        <v>Kuliah</v>
      </c>
      <c r="V1210" s="11" t="str">
        <f>IFERROR(__xludf.DUMMYFUNCTION("""COMPUTED_VALUE"""),"0895373120509")</f>
        <v>0895373120509</v>
      </c>
      <c r="W1210" s="15"/>
    </row>
    <row r="1211" ht="22.5" customHeight="1">
      <c r="A1211" s="8"/>
      <c r="B1211" s="9">
        <f>IFERROR(__xludf.DUMMYFUNCTION("""COMPUTED_VALUE"""),45375.39552230324)</f>
        <v>45375.39552</v>
      </c>
      <c r="C1211" s="9"/>
      <c r="D1211" s="34">
        <f>IFERROR(__xludf.DUMMYFUNCTION("""COMPUTED_VALUE"""),45381.0)</f>
        <v>45381</v>
      </c>
      <c r="E1211" s="34" t="str">
        <f>IFERROR(__xludf.DUMMYFUNCTION("""COMPUTED_VALUE"""),"03Mar")</f>
        <v>03Mar</v>
      </c>
      <c r="F1211" s="34" t="str">
        <f>IFERROR(__xludf.DUMMYFUNCTION("""COMPUTED_VALUE"""),"2024")</f>
        <v>2024</v>
      </c>
      <c r="G1211" s="35" t="str">
        <f>IFERROR(__xludf.DUMMYFUNCTION("""COMPUTED_VALUE"""),"MAISUNAH")</f>
        <v>MAISUNAH</v>
      </c>
      <c r="H1211" s="17" t="str">
        <f>IFERROR(__xludf.DUMMYFUNCTION("""COMPUTED_VALUE"""),"M9324038120")</f>
        <v>M9324038120</v>
      </c>
      <c r="I1211" s="17">
        <f>IFERROR(__xludf.DUMMYFUNCTION("""COMPUTED_VALUE"""),33.0)</f>
        <v>33</v>
      </c>
      <c r="J1211" s="17" t="str">
        <f>IFERROR(__xludf.DUMMYFUNCTION("""COMPUTED_VALUE"""),"25-34 tahun")</f>
        <v>25-34 tahun</v>
      </c>
      <c r="K1211" s="19">
        <f>IFERROR(__xludf.DUMMYFUNCTION("""COMPUTED_VALUE"""),34099.0)</f>
        <v>34099</v>
      </c>
      <c r="L1211" s="19" t="str">
        <f>IFERROR(__xludf.DUMMYFUNCTION("""COMPUTED_VALUE"""),"PEREMPUAN")</f>
        <v>PEREMPUAN</v>
      </c>
      <c r="M1211" s="35" t="str">
        <f>IFERROR(__xludf.DUMMYFUNCTION("""COMPUTED_VALUE"""),"JL. PROF. M. YAMIN . GG. RAWAMANGUN DALAM")</f>
        <v>JL. PROF. M. YAMIN . GG. RAWAMANGUN DALAM</v>
      </c>
      <c r="N1211" s="16" t="str">
        <f>IFERROR(__xludf.DUMMYFUNCTION("""COMPUTED_VALUE"""),"KEL. SUNGAI BANGKONG")</f>
        <v>KEL. SUNGAI BANGKONG</v>
      </c>
      <c r="O1211" s="16" t="str">
        <f>IFERROR(__xludf.DUMMYFUNCTION("""COMPUTED_VALUE"""),"KEC. PONTIANAK KOTA")</f>
        <v>KEC. PONTIANAK KOTA</v>
      </c>
      <c r="P1211" s="16" t="str">
        <f>IFERROR(__xludf.DUMMYFUNCTION("""COMPUTED_VALUE"""),"KOTA PONTIANAK")</f>
        <v>KOTA PONTIANAK</v>
      </c>
      <c r="Q1211" s="16" t="str">
        <f>IFERROR(__xludf.DUMMYFUNCTION("""COMPUTED_VALUE"""),"KALIMANTAN BARAT")</f>
        <v>KALIMANTAN BARAT</v>
      </c>
      <c r="R1211" s="19" t="str">
        <f>IFERROR(__xludf.DUMMYFUNCTION("""COMPUTED_VALUE"""),"ISLAM")</f>
        <v>ISLAM</v>
      </c>
      <c r="S1211" s="16" t="str">
        <f>IFERROR(__xludf.DUMMYFUNCTION("""COMPUTED_VALUE"""),"PERAWAT")</f>
        <v>PERAWAT</v>
      </c>
      <c r="T1211" s="16" t="str">
        <f>IFERROR(__xludf.DUMMYFUNCTION("""COMPUTED_VALUE"""),"Bunyi dan sakit di persendian bahu")</f>
        <v>Bunyi dan sakit di persendian bahu</v>
      </c>
      <c r="U1211" s="16" t="str">
        <f>IFERROR(__xludf.DUMMYFUNCTION("""COMPUTED_VALUE"""),"Ibu rumah tangga")</f>
        <v>Ibu rumah tangga</v>
      </c>
      <c r="V1211" s="11" t="str">
        <f>IFERROR(__xludf.DUMMYFUNCTION("""COMPUTED_VALUE"""),"085777438120")</f>
        <v>085777438120</v>
      </c>
      <c r="W1211" s="15"/>
    </row>
    <row r="1212" ht="22.5" customHeight="1">
      <c r="A1212" s="8"/>
      <c r="B1212" s="9">
        <f>IFERROR(__xludf.DUMMYFUNCTION("""COMPUTED_VALUE"""),45376.49753417824)</f>
        <v>45376.49753</v>
      </c>
      <c r="C1212" s="9"/>
      <c r="D1212" s="34">
        <f>IFERROR(__xludf.DUMMYFUNCTION("""COMPUTED_VALUE"""),45381.0)</f>
        <v>45381</v>
      </c>
      <c r="E1212" s="34" t="str">
        <f>IFERROR(__xludf.DUMMYFUNCTION("""COMPUTED_VALUE"""),"03Mar")</f>
        <v>03Mar</v>
      </c>
      <c r="F1212" s="34" t="str">
        <f>IFERROR(__xludf.DUMMYFUNCTION("""COMPUTED_VALUE"""),"2024")</f>
        <v>2024</v>
      </c>
      <c r="G1212" s="35" t="str">
        <f>IFERROR(__xludf.DUMMYFUNCTION("""COMPUTED_VALUE"""),"SITI ROHAMA")</f>
        <v>SITI ROHAMA</v>
      </c>
      <c r="H1212" s="17" t="str">
        <f>IFERROR(__xludf.DUMMYFUNCTION("""COMPUTED_VALUE"""),"S7524035777")</f>
        <v>S7524035777</v>
      </c>
      <c r="I1212" s="17">
        <f>IFERROR(__xludf.DUMMYFUNCTION("""COMPUTED_VALUE"""),50.0)</f>
        <v>50</v>
      </c>
      <c r="J1212" s="17" t="str">
        <f>IFERROR(__xludf.DUMMYFUNCTION("""COMPUTED_VALUE"""),"&gt; 44 tahun")</f>
        <v>&gt; 44 tahun</v>
      </c>
      <c r="K1212" s="19">
        <f>IFERROR(__xludf.DUMMYFUNCTION("""COMPUTED_VALUE"""),27594.0)</f>
        <v>27594</v>
      </c>
      <c r="L1212" s="19" t="str">
        <f>IFERROR(__xludf.DUMMYFUNCTION("""COMPUTED_VALUE"""),"PEREMPUAN")</f>
        <v>PEREMPUAN</v>
      </c>
      <c r="M1212" s="35" t="str">
        <f>IFERROR(__xludf.DUMMYFUNCTION("""COMPUTED_VALUE"""),"JL PARIS2 GG MITRA NO 43")</f>
        <v>JL PARIS2 GG MITRA NO 43</v>
      </c>
      <c r="N1212" s="16" t="str">
        <f>IFERROR(__xludf.DUMMYFUNCTION("""COMPUTED_VALUE"""),"KEL. BANGKA BELITUNG DARAT")</f>
        <v>KEL. BANGKA BELITUNG DARAT</v>
      </c>
      <c r="O1212" s="16" t="str">
        <f>IFERROR(__xludf.DUMMYFUNCTION("""COMPUTED_VALUE"""),"KEC. PONTIANAK TENGGARA")</f>
        <v>KEC. PONTIANAK TENGGARA</v>
      </c>
      <c r="P1212" s="16" t="str">
        <f>IFERROR(__xludf.DUMMYFUNCTION("""COMPUTED_VALUE"""),"KOTA PONTIANAK")</f>
        <v>KOTA PONTIANAK</v>
      </c>
      <c r="Q1212" s="16" t="str">
        <f>IFERROR(__xludf.DUMMYFUNCTION("""COMPUTED_VALUE"""),"KALIMANTAN BARAT")</f>
        <v>KALIMANTAN BARAT</v>
      </c>
      <c r="R1212" s="19" t="str">
        <f>IFERROR(__xludf.DUMMYFUNCTION("""COMPUTED_VALUE"""),"ISLAM")</f>
        <v>ISLAM</v>
      </c>
      <c r="S1212" s="16" t="str">
        <f>IFERROR(__xludf.DUMMYFUNCTION("""COMPUTED_VALUE"""),"RUMAH TANGGA")</f>
        <v>RUMAH TANGGA</v>
      </c>
      <c r="T1212" s="16" t="str">
        <f>IFERROR(__xludf.DUMMYFUNCTION("""COMPUTED_VALUE"""),"Di bawah sama pundak, sakit")</f>
        <v>Di bawah sama pundak, sakit</v>
      </c>
      <c r="U1212" s="16" t="str">
        <f>IFERROR(__xludf.DUMMYFUNCTION("""COMPUTED_VALUE"""),"Berkebun, mengurus pekerjaan rumah")</f>
        <v>Berkebun, mengurus pekerjaan rumah</v>
      </c>
      <c r="V1212" s="11" t="str">
        <f>IFERROR(__xludf.DUMMYFUNCTION("""COMPUTED_VALUE"""),"081345155777")</f>
        <v>081345155777</v>
      </c>
      <c r="W1212" s="15"/>
    </row>
    <row r="1213" ht="22.5" customHeight="1">
      <c r="A1213" s="8"/>
      <c r="B1213" s="9">
        <f>IFERROR(__xludf.DUMMYFUNCTION("""COMPUTED_VALUE"""),45378.42798079861)</f>
        <v>45378.42798</v>
      </c>
      <c r="C1213" s="9"/>
      <c r="D1213" s="34">
        <f>IFERROR(__xludf.DUMMYFUNCTION("""COMPUTED_VALUE"""),45381.0)</f>
        <v>45381</v>
      </c>
      <c r="E1213" s="34" t="str">
        <f>IFERROR(__xludf.DUMMYFUNCTION("""COMPUTED_VALUE"""),"03Mar")</f>
        <v>03Mar</v>
      </c>
      <c r="F1213" s="34" t="str">
        <f>IFERROR(__xludf.DUMMYFUNCTION("""COMPUTED_VALUE"""),"2024")</f>
        <v>2024</v>
      </c>
      <c r="G1213" s="35" t="str">
        <f>IFERROR(__xludf.DUMMYFUNCTION("""COMPUTED_VALUE"""),"JUNIANSYAH")</f>
        <v>JUNIANSYAH</v>
      </c>
      <c r="H1213" s="17" t="str">
        <f>IFERROR(__xludf.DUMMYFUNCTION("""COMPUTED_VALUE"""),"J9824032203")</f>
        <v>J9824032203</v>
      </c>
      <c r="I1213" s="17">
        <f>IFERROR(__xludf.DUMMYFUNCTION("""COMPUTED_VALUE"""),28.0)</f>
        <v>28</v>
      </c>
      <c r="J1213" s="17" t="str">
        <f>IFERROR(__xludf.DUMMYFUNCTION("""COMPUTED_VALUE"""),"25-34 tahun")</f>
        <v>25-34 tahun</v>
      </c>
      <c r="K1213" s="19">
        <f>IFERROR(__xludf.DUMMYFUNCTION("""COMPUTED_VALUE"""),35958.0)</f>
        <v>35958</v>
      </c>
      <c r="L1213" s="19" t="str">
        <f>IFERROR(__xludf.DUMMYFUNCTION("""COMPUTED_VALUE"""),"LAKI-LAKI")</f>
        <v>LAKI-LAKI</v>
      </c>
      <c r="M1213" s="35" t="str">
        <f>IFERROR(__xludf.DUMMYFUNCTION("""COMPUTED_VALUE"""),"SUNGAIKUNYIT KUALA MANDOR B")</f>
        <v>SUNGAIKUNYIT KUALA MANDOR B</v>
      </c>
      <c r="N1213" s="16" t="str">
        <f>IFERROR(__xludf.DUMMYFUNCTION("""COMPUTED_VALUE"""),"DS. KUALA MANDOR B")</f>
        <v>DS. KUALA MANDOR B</v>
      </c>
      <c r="O1213" s="16" t="str">
        <f>IFERROR(__xludf.DUMMYFUNCTION("""COMPUTED_VALUE"""),"KEC. KUALA MANDOR B")</f>
        <v>KEC. KUALA MANDOR B</v>
      </c>
      <c r="P1213" s="16" t="str">
        <f>IFERROR(__xludf.DUMMYFUNCTION("""COMPUTED_VALUE"""),"KOTA PONTIANAK")</f>
        <v>KOTA PONTIANAK</v>
      </c>
      <c r="Q1213" s="16" t="str">
        <f>IFERROR(__xludf.DUMMYFUNCTION("""COMPUTED_VALUE"""),"KALIMANTAN BARAT")</f>
        <v>KALIMANTAN BARAT</v>
      </c>
      <c r="R1213" s="19" t="str">
        <f>IFERROR(__xludf.DUMMYFUNCTION("""COMPUTED_VALUE"""),"ISLAM")</f>
        <v>ISLAM</v>
      </c>
      <c r="S1213" s="16" t="str">
        <f>IFERROR(__xludf.DUMMYFUNCTION("""COMPUTED_VALUE"""),"ATLET")</f>
        <v>ATLET</v>
      </c>
      <c r="T1213" s="16" t="str">
        <f>IFERROR(__xludf.DUMMYFUNCTION("""COMPUTED_VALUE"""),"kiri")</f>
        <v>kiri</v>
      </c>
      <c r="U1213" s="16" t="str">
        <f>IFERROR(__xludf.DUMMYFUNCTION("""COMPUTED_VALUE"""),"Futsal")</f>
        <v>Futsal</v>
      </c>
      <c r="V1213" s="11" t="str">
        <f>IFERROR(__xludf.DUMMYFUNCTION("""COMPUTED_VALUE"""),"085388472203")</f>
        <v>085388472203</v>
      </c>
      <c r="W1213" s="15"/>
    </row>
    <row r="1214" ht="22.5" customHeight="1">
      <c r="A1214" s="8"/>
      <c r="B1214" s="9">
        <f>IFERROR(__xludf.DUMMYFUNCTION("""COMPUTED_VALUE"""),45378.89313859954)</f>
        <v>45378.89314</v>
      </c>
      <c r="C1214" s="9"/>
      <c r="D1214" s="34">
        <f>IFERROR(__xludf.DUMMYFUNCTION("""COMPUTED_VALUE"""),45381.0)</f>
        <v>45381</v>
      </c>
      <c r="E1214" s="34" t="str">
        <f>IFERROR(__xludf.DUMMYFUNCTION("""COMPUTED_VALUE"""),"03Mar")</f>
        <v>03Mar</v>
      </c>
      <c r="F1214" s="34" t="str">
        <f>IFERROR(__xludf.DUMMYFUNCTION("""COMPUTED_VALUE"""),"2024")</f>
        <v>2024</v>
      </c>
      <c r="G1214" s="16" t="str">
        <f>IFERROR(__xludf.DUMMYFUNCTION("""COMPUTED_VALUE"""),"TISYA YUNISAFIRA LUBIS")</f>
        <v>TISYA YUNISAFIRA LUBIS</v>
      </c>
      <c r="H1214" s="17" t="str">
        <f>IFERROR(__xludf.DUMMYFUNCTION("""COMPUTED_VALUE"""),"T9824039027")</f>
        <v>T9824039027</v>
      </c>
      <c r="I1214" s="17">
        <f>IFERROR(__xludf.DUMMYFUNCTION("""COMPUTED_VALUE"""),27.0)</f>
        <v>27</v>
      </c>
      <c r="J1214" s="17" t="str">
        <f>IFERROR(__xludf.DUMMYFUNCTION("""COMPUTED_VALUE"""),"25-34 tahun")</f>
        <v>25-34 tahun</v>
      </c>
      <c r="K1214" s="19">
        <f>IFERROR(__xludf.DUMMYFUNCTION("""COMPUTED_VALUE"""),35963.0)</f>
        <v>35963</v>
      </c>
      <c r="L1214" s="19" t="str">
        <f>IFERROR(__xludf.DUMMYFUNCTION("""COMPUTED_VALUE"""),"PEREMPUAN")</f>
        <v>PEREMPUAN</v>
      </c>
      <c r="M1214" s="35" t="str">
        <f>IFERROR(__xludf.DUMMYFUNCTION("""COMPUTED_VALUE"""),"JALAN P H HUSIN 2 KOMP FAJAR PERMAI NO 7 A")</f>
        <v>JALAN P H HUSIN 2 KOMP FAJAR PERMAI NO 7 A</v>
      </c>
      <c r="N1214" s="16" t="str">
        <f>IFERROR(__xludf.DUMMYFUNCTION("""COMPUTED_VALUE"""),"KEL. BANSIR DARAT")</f>
        <v>KEL. BANSIR DARAT</v>
      </c>
      <c r="O1214" s="16" t="str">
        <f>IFERROR(__xludf.DUMMYFUNCTION("""COMPUTED_VALUE"""),"KEC. PONTIANAK TENGGARA")</f>
        <v>KEC. PONTIANAK TENGGARA</v>
      </c>
      <c r="P1214" s="16" t="str">
        <f>IFERROR(__xludf.DUMMYFUNCTION("""COMPUTED_VALUE"""),"KOTA PONTIANAK")</f>
        <v>KOTA PONTIANAK</v>
      </c>
      <c r="Q1214" s="16" t="str">
        <f>IFERROR(__xludf.DUMMYFUNCTION("""COMPUTED_VALUE"""),"KALIMANTAN BARAT")</f>
        <v>KALIMANTAN BARAT</v>
      </c>
      <c r="R1214" s="19" t="str">
        <f>IFERROR(__xludf.DUMMYFUNCTION("""COMPUTED_VALUE"""),"ISLAM")</f>
        <v>ISLAM</v>
      </c>
      <c r="S1214" s="16" t="str">
        <f>IFERROR(__xludf.DUMMYFUNCTION("""COMPUTED_VALUE"""),"BUMD")</f>
        <v>BUMD</v>
      </c>
      <c r="T1214" s="16"/>
      <c r="U1214" s="16" t="str">
        <f>IFERROR(__xludf.DUMMYFUNCTION("""COMPUTED_VALUE"""),"olahraga")</f>
        <v>olahraga</v>
      </c>
      <c r="V1214" s="11" t="str">
        <f>IFERROR(__xludf.DUMMYFUNCTION("""COMPUTED_VALUE"""),"081254869027")</f>
        <v>081254869027</v>
      </c>
      <c r="W1214" s="15"/>
    </row>
    <row r="1215" ht="22.5" customHeight="1">
      <c r="A1215" s="8"/>
      <c r="B1215" s="9">
        <f>IFERROR(__xludf.DUMMYFUNCTION("""COMPUTED_VALUE"""),45378.90950730324)</f>
        <v>45378.90951</v>
      </c>
      <c r="C1215" s="9"/>
      <c r="D1215" s="34">
        <f>IFERROR(__xludf.DUMMYFUNCTION("""COMPUTED_VALUE"""),45383.0)</f>
        <v>45383</v>
      </c>
      <c r="E1215" s="34" t="str">
        <f>IFERROR(__xludf.DUMMYFUNCTION("""COMPUTED_VALUE"""),"04Apr")</f>
        <v>04Apr</v>
      </c>
      <c r="F1215" s="34" t="str">
        <f>IFERROR(__xludf.DUMMYFUNCTION("""COMPUTED_VALUE"""),"2024")</f>
        <v>2024</v>
      </c>
      <c r="G1215" s="35" t="str">
        <f>IFERROR(__xludf.DUMMYFUNCTION("""COMPUTED_VALUE"""),"TANIA ANDIKA PUTRI")</f>
        <v>TANIA ANDIKA PUTRI</v>
      </c>
      <c r="H1215" s="17" t="str">
        <f>IFERROR(__xludf.DUMMYFUNCTION("""COMPUTED_VALUE"""),"T8024046639")</f>
        <v>T8024046639</v>
      </c>
      <c r="I1215" s="17">
        <f>IFERROR(__xludf.DUMMYFUNCTION("""COMPUTED_VALUE"""),46.0)</f>
        <v>46</v>
      </c>
      <c r="J1215" s="17" t="str">
        <f>IFERROR(__xludf.DUMMYFUNCTION("""COMPUTED_VALUE"""),"&gt; 44 tahun")</f>
        <v>&gt; 44 tahun</v>
      </c>
      <c r="K1215" s="19">
        <f>IFERROR(__xludf.DUMMYFUNCTION("""COMPUTED_VALUE"""),29283.0)</f>
        <v>29283</v>
      </c>
      <c r="L1215" s="19" t="str">
        <f>IFERROR(__xludf.DUMMYFUNCTION("""COMPUTED_VALUE"""),"PEREMPUAN")</f>
        <v>PEREMPUAN</v>
      </c>
      <c r="M1215" s="35" t="str">
        <f>IFERROR(__xludf.DUMMYFUNCTION("""COMPUTED_VALUE"""),"JLN.KESEHATAN")</f>
        <v>JLN.KESEHATAN</v>
      </c>
      <c r="N1215" s="16" t="str">
        <f>IFERROR(__xludf.DUMMYFUNCTION("""COMPUTED_VALUE"""),"KEL. PARIT TOKAYA")</f>
        <v>KEL. PARIT TOKAYA</v>
      </c>
      <c r="O1215" s="16" t="str">
        <f>IFERROR(__xludf.DUMMYFUNCTION("""COMPUTED_VALUE"""),"KEC. PONTIANAK SELATAN")</f>
        <v>KEC. PONTIANAK SELATAN</v>
      </c>
      <c r="P1215" s="16" t="str">
        <f>IFERROR(__xludf.DUMMYFUNCTION("""COMPUTED_VALUE"""),"KOTA PONTIANAK")</f>
        <v>KOTA PONTIANAK</v>
      </c>
      <c r="Q1215" s="16" t="str">
        <f>IFERROR(__xludf.DUMMYFUNCTION("""COMPUTED_VALUE"""),"KALIMANTAN BARAT")</f>
        <v>KALIMANTAN BARAT</v>
      </c>
      <c r="R1215" s="19" t="str">
        <f>IFERROR(__xludf.DUMMYFUNCTION("""COMPUTED_VALUE"""),"ISLAM")</f>
        <v>ISLAM</v>
      </c>
      <c r="S1215" s="16" t="str">
        <f>IFERROR(__xludf.DUMMYFUNCTION("""COMPUTED_VALUE"""),"ATLET")</f>
        <v>ATLET</v>
      </c>
      <c r="T1215" s="16" t="str">
        <f>IFERROR(__xludf.DUMMYFUNCTION("""COMPUTED_VALUE"""),"Parit tokaya")</f>
        <v>Parit tokaya</v>
      </c>
      <c r="U1215" s="16" t="str">
        <f>IFERROR(__xludf.DUMMYFUNCTION("""COMPUTED_VALUE"""),"Ngeltih taemwondo")</f>
        <v>Ngeltih taemwondo</v>
      </c>
      <c r="V1215" s="11" t="str">
        <f>IFERROR(__xludf.DUMMYFUNCTION("""COMPUTED_VALUE"""),"0895422366639")</f>
        <v>0895422366639</v>
      </c>
      <c r="W1215" s="15"/>
    </row>
    <row r="1216" ht="22.5" customHeight="1">
      <c r="A1216" s="8"/>
      <c r="B1216" s="9">
        <f>IFERROR(__xludf.DUMMYFUNCTION("""COMPUTED_VALUE"""),45379.4540206713)</f>
        <v>45379.45402</v>
      </c>
      <c r="C1216" s="9"/>
      <c r="D1216" s="34">
        <f>IFERROR(__xludf.DUMMYFUNCTION("""COMPUTED_VALUE"""),45383.0)</f>
        <v>45383</v>
      </c>
      <c r="E1216" s="34" t="str">
        <f>IFERROR(__xludf.DUMMYFUNCTION("""COMPUTED_VALUE"""),"04Apr")</f>
        <v>04Apr</v>
      </c>
      <c r="F1216" s="34" t="str">
        <f>IFERROR(__xludf.DUMMYFUNCTION("""COMPUTED_VALUE"""),"2024")</f>
        <v>2024</v>
      </c>
      <c r="G1216" s="35" t="str">
        <f>IFERROR(__xludf.DUMMYFUNCTION("""COMPUTED_VALUE"""),"KHAIRUL IMAN")</f>
        <v>KHAIRUL IMAN</v>
      </c>
      <c r="H1216" s="17" t="str">
        <f>IFERROR(__xludf.DUMMYFUNCTION("""COMPUTED_VALUE"""),"K2424046307")</f>
        <v>K2424046307</v>
      </c>
      <c r="I1216" s="17">
        <f>IFERROR(__xludf.DUMMYFUNCTION("""COMPUTED_VALUE"""),2.0)</f>
        <v>2</v>
      </c>
      <c r="J1216" s="17" t="str">
        <f>IFERROR(__xludf.DUMMYFUNCTION("""COMPUTED_VALUE"""),"&lt; 18 tahun")</f>
        <v>&lt; 18 tahun</v>
      </c>
      <c r="K1216" s="19">
        <f>IFERROR(__xludf.DUMMYFUNCTION("""COMPUTED_VALUE"""),45383.0)</f>
        <v>45383</v>
      </c>
      <c r="L1216" s="19" t="str">
        <f>IFERROR(__xludf.DUMMYFUNCTION("""COMPUTED_VALUE"""),"LAKI-LAKI")</f>
        <v>LAKI-LAKI</v>
      </c>
      <c r="M1216" s="35" t="str">
        <f>IFERROR(__xludf.DUMMYFUNCTION("""COMPUTED_VALUE"""),"JL.TANJUNG RAYA 1 NO 2")</f>
        <v>JL.TANJUNG RAYA 1 NO 2</v>
      </c>
      <c r="N1216" s="16" t="str">
        <f>IFERROR(__xludf.DUMMYFUNCTION("""COMPUTED_VALUE"""),"KEL. TAMBELAN SAMPIT")</f>
        <v>KEL. TAMBELAN SAMPIT</v>
      </c>
      <c r="O1216" s="16" t="str">
        <f>IFERROR(__xludf.DUMMYFUNCTION("""COMPUTED_VALUE"""),"KEC. PONTIANAK TIMUR")</f>
        <v>KEC. PONTIANAK TIMUR</v>
      </c>
      <c r="P1216" s="16" t="str">
        <f>IFERROR(__xludf.DUMMYFUNCTION("""COMPUTED_VALUE"""),"KOTA PONTIANAK")</f>
        <v>KOTA PONTIANAK</v>
      </c>
      <c r="Q1216" s="16" t="str">
        <f>IFERROR(__xludf.DUMMYFUNCTION("""COMPUTED_VALUE"""),"KALIMANTAN BARAT")</f>
        <v>KALIMANTAN BARAT</v>
      </c>
      <c r="R1216" s="19" t="str">
        <f>IFERROR(__xludf.DUMMYFUNCTION("""COMPUTED_VALUE"""),"ISLAM")</f>
        <v>ISLAM</v>
      </c>
      <c r="S1216" s="16" t="str">
        <f>IFERROR(__xludf.DUMMYFUNCTION("""COMPUTED_VALUE"""),"SWASTA")</f>
        <v>SWASTA</v>
      </c>
      <c r="T1216" s="16" t="str">
        <f>IFERROR(__xludf.DUMMYFUNCTION("""COMPUTED_VALUE"""),"Pergelangan tangan terkilir")</f>
        <v>Pergelangan tangan terkilir</v>
      </c>
      <c r="U1216" s="16" t="str">
        <f>IFERROR(__xludf.DUMMYFUNCTION("""COMPUTED_VALUE"""),"Otomotiv")</f>
        <v>Otomotiv</v>
      </c>
      <c r="V1216" s="11" t="str">
        <f>IFERROR(__xludf.DUMMYFUNCTION("""COMPUTED_VALUE"""),"089693346307")</f>
        <v>089693346307</v>
      </c>
      <c r="W1216" s="15"/>
    </row>
    <row r="1217" ht="22.5" customHeight="1">
      <c r="A1217" s="8"/>
      <c r="B1217" s="9">
        <f>IFERROR(__xludf.DUMMYFUNCTION("""COMPUTED_VALUE"""),45379.55171587963)</f>
        <v>45379.55172</v>
      </c>
      <c r="C1217" s="9"/>
      <c r="D1217" s="34">
        <f>IFERROR(__xludf.DUMMYFUNCTION("""COMPUTED_VALUE"""),45383.0)</f>
        <v>45383</v>
      </c>
      <c r="E1217" s="34" t="str">
        <f>IFERROR(__xludf.DUMMYFUNCTION("""COMPUTED_VALUE"""),"04Apr")</f>
        <v>04Apr</v>
      </c>
      <c r="F1217" s="34" t="str">
        <f>IFERROR(__xludf.DUMMYFUNCTION("""COMPUTED_VALUE"""),"2024")</f>
        <v>2024</v>
      </c>
      <c r="G1217" s="35" t="str">
        <f>IFERROR(__xludf.DUMMYFUNCTION("""COMPUTED_VALUE"""),"ZUMASHADY")</f>
        <v>ZUMASHADY</v>
      </c>
      <c r="H1217" s="17" t="str">
        <f>IFERROR(__xludf.DUMMYFUNCTION("""COMPUTED_VALUE"""),"Z5524041510")</f>
        <v>Z5524041510</v>
      </c>
      <c r="I1217" s="17">
        <f>IFERROR(__xludf.DUMMYFUNCTION("""COMPUTED_VALUE"""),70.0)</f>
        <v>70</v>
      </c>
      <c r="J1217" s="17" t="str">
        <f>IFERROR(__xludf.DUMMYFUNCTION("""COMPUTED_VALUE"""),"&gt; 44 tahun")</f>
        <v>&gt; 44 tahun</v>
      </c>
      <c r="K1217" s="19">
        <f>IFERROR(__xludf.DUMMYFUNCTION("""COMPUTED_VALUE"""),20381.0)</f>
        <v>20381</v>
      </c>
      <c r="L1217" s="19" t="str">
        <f>IFERROR(__xludf.DUMMYFUNCTION("""COMPUTED_VALUE"""),"LAKI-LAKI")</f>
        <v>LAKI-LAKI</v>
      </c>
      <c r="M1217" s="35" t="str">
        <f>IFERROR(__xludf.DUMMYFUNCTION("""COMPUTED_VALUE"""),"JL. H. R. A. RAHMAN GG. BUKIT")</f>
        <v>JL. H. R. A. RAHMAN GG. BUKIT</v>
      </c>
      <c r="N1217" s="16" t="str">
        <f>IFERROR(__xludf.DUMMYFUNCTION("""COMPUTED_VALUE"""),"KEL. SUNGAI JAWI")</f>
        <v>KEL. SUNGAI JAWI</v>
      </c>
      <c r="O1217" s="16" t="str">
        <f>IFERROR(__xludf.DUMMYFUNCTION("""COMPUTED_VALUE"""),"KEC. PONTIANAK KOTA")</f>
        <v>KEC. PONTIANAK KOTA</v>
      </c>
      <c r="P1217" s="35" t="str">
        <f>IFERROR(__xludf.DUMMYFUNCTION("""COMPUTED_VALUE"""),"KOTA PONTIANAK")</f>
        <v>KOTA PONTIANAK</v>
      </c>
      <c r="Q1217" s="16" t="str">
        <f>IFERROR(__xludf.DUMMYFUNCTION("""COMPUTED_VALUE"""),"KALIMANTAN BARAT")</f>
        <v>KALIMANTAN BARAT</v>
      </c>
      <c r="R1217" s="19" t="str">
        <f>IFERROR(__xludf.DUMMYFUNCTION("""COMPUTED_VALUE"""),"ISLAM")</f>
        <v>ISLAM</v>
      </c>
      <c r="S1217" s="16" t="str">
        <f>IFERROR(__xludf.DUMMYFUNCTION("""COMPUTED_VALUE"""),"PENSIUN")</f>
        <v>PENSIUN</v>
      </c>
      <c r="T1217" s="16" t="str">
        <f>IFERROR(__xludf.DUMMYFUNCTION("""COMPUTED_VALUE"""),"KIRI")</f>
        <v>KIRI</v>
      </c>
      <c r="U1217" s="16" t="str">
        <f>IFERROR(__xludf.DUMMYFUNCTION("""COMPUTED_VALUE"""),"DIRUMAH AJA")</f>
        <v>DIRUMAH AJA</v>
      </c>
      <c r="V1217" s="11" t="str">
        <f>IFERROR(__xludf.DUMMYFUNCTION("""COMPUTED_VALUE"""),"081240551510")</f>
        <v>081240551510</v>
      </c>
      <c r="W1217" s="15"/>
    </row>
    <row r="1218" ht="22.5" customHeight="1">
      <c r="A1218" s="8"/>
      <c r="B1218" s="9">
        <f>IFERROR(__xludf.DUMMYFUNCTION("""COMPUTED_VALUE"""),45379.552822048616)</f>
        <v>45379.55282</v>
      </c>
      <c r="C1218" s="9"/>
      <c r="D1218" s="34">
        <f>IFERROR(__xludf.DUMMYFUNCTION("""COMPUTED_VALUE"""),45383.0)</f>
        <v>45383</v>
      </c>
      <c r="E1218" s="34" t="str">
        <f>IFERROR(__xludf.DUMMYFUNCTION("""COMPUTED_VALUE"""),"04Apr")</f>
        <v>04Apr</v>
      </c>
      <c r="F1218" s="34" t="str">
        <f>IFERROR(__xludf.DUMMYFUNCTION("""COMPUTED_VALUE"""),"2024")</f>
        <v>2024</v>
      </c>
      <c r="G1218" s="16" t="str">
        <f>IFERROR(__xludf.DUMMYFUNCTION("""COMPUTED_VALUE"""),"TAUFIQURACHMAN A")</f>
        <v>TAUFIQURACHMAN A</v>
      </c>
      <c r="H1218" s="17" t="str">
        <f>IFERROR(__xludf.DUMMYFUNCTION("""COMPUTED_VALUE"""),"T9724045003")</f>
        <v>T9724045003</v>
      </c>
      <c r="I1218" s="17">
        <f>IFERROR(__xludf.DUMMYFUNCTION("""COMPUTED_VALUE"""),29.0)</f>
        <v>29</v>
      </c>
      <c r="J1218" s="17" t="str">
        <f>IFERROR(__xludf.DUMMYFUNCTION("""COMPUTED_VALUE"""),"25-34 tahun")</f>
        <v>25-34 tahun</v>
      </c>
      <c r="K1218" s="19">
        <f>IFERROR(__xludf.DUMMYFUNCTION("""COMPUTED_VALUE"""),35486.0)</f>
        <v>35486</v>
      </c>
      <c r="L1218" s="19" t="str">
        <f>IFERROR(__xludf.DUMMYFUNCTION("""COMPUTED_VALUE"""),"LAKI-LAKI")</f>
        <v>LAKI-LAKI</v>
      </c>
      <c r="M1218" s="35" t="str">
        <f>IFERROR(__xludf.DUMMYFUNCTION("""COMPUTED_VALUE"""),"JL. IMAM BONJOL KOMP PHB")</f>
        <v>JL. IMAM BONJOL KOMP PHB</v>
      </c>
      <c r="N1218" s="16" t="str">
        <f>IFERROR(__xludf.DUMMYFUNCTION("""COMPUTED_VALUE"""),"KEL. BANSIR LAUT")</f>
        <v>KEL. BANSIR LAUT</v>
      </c>
      <c r="O1218" s="16" t="str">
        <f>IFERROR(__xludf.DUMMYFUNCTION("""COMPUTED_VALUE"""),"KEC. PONTIANAK TENGGARA")</f>
        <v>KEC. PONTIANAK TENGGARA</v>
      </c>
      <c r="P1218" s="16" t="str">
        <f>IFERROR(__xludf.DUMMYFUNCTION("""COMPUTED_VALUE"""),"KOTA PONTIANAK")</f>
        <v>KOTA PONTIANAK</v>
      </c>
      <c r="Q1218" s="16" t="str">
        <f>IFERROR(__xludf.DUMMYFUNCTION("""COMPUTED_VALUE"""),"KALIMANTAN BARAT")</f>
        <v>KALIMANTAN BARAT</v>
      </c>
      <c r="R1218" s="19" t="str">
        <f>IFERROR(__xludf.DUMMYFUNCTION("""COMPUTED_VALUE"""),"ISLAM")</f>
        <v>ISLAM</v>
      </c>
      <c r="S1218" s="16" t="str">
        <f>IFERROR(__xludf.DUMMYFUNCTION("""COMPUTED_VALUE"""),"PELAJAR/MAHASISWA")</f>
        <v>PELAJAR/MAHASISWA</v>
      </c>
      <c r="T1218" s="16" t="str">
        <f>IFERROR(__xludf.DUMMYFUNCTION("""COMPUTED_VALUE"""),"kiri bengkak dan sakit dibagian dalam")</f>
        <v>kiri bengkak dan sakit dibagian dalam</v>
      </c>
      <c r="U1218" s="16" t="str">
        <f>IFERROR(__xludf.DUMMYFUNCTION("""COMPUTED_VALUE"""),"Sepakbola")</f>
        <v>Sepakbola</v>
      </c>
      <c r="V1218" s="11" t="str">
        <f>IFERROR(__xludf.DUMMYFUNCTION("""COMPUTED_VALUE"""),"081220145003")</f>
        <v>081220145003</v>
      </c>
      <c r="W1218" s="15"/>
    </row>
    <row r="1219" ht="22.5" customHeight="1">
      <c r="A1219" s="8"/>
      <c r="B1219" s="9">
        <f>IFERROR(__xludf.DUMMYFUNCTION("""COMPUTED_VALUE"""),45379.61516739584)</f>
        <v>45379.61517</v>
      </c>
      <c r="C1219" s="9"/>
      <c r="D1219" s="34">
        <f>IFERROR(__xludf.DUMMYFUNCTION("""COMPUTED_VALUE"""),45383.0)</f>
        <v>45383</v>
      </c>
      <c r="E1219" s="34" t="str">
        <f>IFERROR(__xludf.DUMMYFUNCTION("""COMPUTED_VALUE"""),"04Apr")</f>
        <v>04Apr</v>
      </c>
      <c r="F1219" s="34" t="str">
        <f>IFERROR(__xludf.DUMMYFUNCTION("""COMPUTED_VALUE"""),"2024")</f>
        <v>2024</v>
      </c>
      <c r="G1219" s="35" t="str">
        <f>IFERROR(__xludf.DUMMYFUNCTION("""COMPUTED_VALUE"""),"MUHAMMAD IQBAL HARIRI")</f>
        <v>MUHAMMAD IQBAL HARIRI</v>
      </c>
      <c r="H1219" s="17" t="str">
        <f>IFERROR(__xludf.DUMMYFUNCTION("""COMPUTED_VALUE"""),"M9724046001")</f>
        <v>M9724046001</v>
      </c>
      <c r="I1219" s="17">
        <f>IFERROR(__xludf.DUMMYFUNCTION("""COMPUTED_VALUE"""),28.0)</f>
        <v>28</v>
      </c>
      <c r="J1219" s="17" t="str">
        <f>IFERROR(__xludf.DUMMYFUNCTION("""COMPUTED_VALUE"""),"25-34 tahun")</f>
        <v>25-34 tahun</v>
      </c>
      <c r="K1219" s="19">
        <f>IFERROR(__xludf.DUMMYFUNCTION("""COMPUTED_VALUE"""),35737.0)</f>
        <v>35737</v>
      </c>
      <c r="L1219" s="19" t="str">
        <f>IFERROR(__xludf.DUMMYFUNCTION("""COMPUTED_VALUE"""),"LAKI-LAKI")</f>
        <v>LAKI-LAKI</v>
      </c>
      <c r="M1219" s="35" t="str">
        <f>IFERROR(__xludf.DUMMYFUNCTION("""COMPUTED_VALUE"""),"JALAN PARIT HAJI HASAN GANG AMIN")</f>
        <v>JALAN PARIT HAJI HASAN GANG AMIN</v>
      </c>
      <c r="N1219" s="16" t="str">
        <f>IFERROR(__xludf.DUMMYFUNCTION("""COMPUTED_VALUE"""),"KEL. JUNGKAT")</f>
        <v>KEL. JUNGKAT</v>
      </c>
      <c r="O1219" s="16" t="str">
        <f>IFERROR(__xludf.DUMMYFUNCTION("""COMPUTED_VALUE"""),"KEC. SIANTAN")</f>
        <v>KEC. SIANTAN</v>
      </c>
      <c r="P1219" s="16" t="str">
        <f>IFERROR(__xludf.DUMMYFUNCTION("""COMPUTED_VALUE"""),"KAB. MEMPAWAH")</f>
        <v>KAB. MEMPAWAH</v>
      </c>
      <c r="Q1219" s="16" t="str">
        <f>IFERROR(__xludf.DUMMYFUNCTION("""COMPUTED_VALUE"""),"KALIMANTAN BARAT")</f>
        <v>KALIMANTAN BARAT</v>
      </c>
      <c r="R1219" s="19" t="str">
        <f>IFERROR(__xludf.DUMMYFUNCTION("""COMPUTED_VALUE"""),"ISLAM")</f>
        <v>ISLAM</v>
      </c>
      <c r="S1219" s="16" t="str">
        <f>IFERROR(__xludf.DUMMYFUNCTION("""COMPUTED_VALUE"""),"BUMN")</f>
        <v>BUMN</v>
      </c>
      <c r="T1219" s="16" t="str">
        <f>IFERROR(__xludf.DUMMYFUNCTION("""COMPUTED_VALUE"""),"Nyeri")</f>
        <v>Nyeri</v>
      </c>
      <c r="U1219" s="16" t="str">
        <f>IFERROR(__xludf.DUMMYFUNCTION("""COMPUTED_VALUE"""),"Olahraga")</f>
        <v>Olahraga</v>
      </c>
      <c r="V1219" s="11" t="str">
        <f>IFERROR(__xludf.DUMMYFUNCTION("""COMPUTED_VALUE"""),"081258826001")</f>
        <v>081258826001</v>
      </c>
      <c r="W1219" s="15"/>
    </row>
    <row r="1220" ht="22.5" customHeight="1">
      <c r="A1220" s="8"/>
      <c r="B1220" s="9">
        <f>IFERROR(__xludf.DUMMYFUNCTION("""COMPUTED_VALUE"""),45379.65088269676)</f>
        <v>45379.65088</v>
      </c>
      <c r="C1220" s="9"/>
      <c r="D1220" s="10">
        <f>IFERROR(__xludf.DUMMYFUNCTION("""COMPUTED_VALUE"""),45383.0)</f>
        <v>45383</v>
      </c>
      <c r="E1220" s="10" t="str">
        <f>IFERROR(__xludf.DUMMYFUNCTION("""COMPUTED_VALUE"""),"04Apr")</f>
        <v>04Apr</v>
      </c>
      <c r="F1220" s="10" t="str">
        <f>IFERROR(__xludf.DUMMYFUNCTION("""COMPUTED_VALUE"""),"2024")</f>
        <v>2024</v>
      </c>
      <c r="G1220" s="16" t="str">
        <f>IFERROR(__xludf.DUMMYFUNCTION("""COMPUTED_VALUE"""),"HESTY MARHAENDRIYANA")</f>
        <v>HESTY MARHAENDRIYANA</v>
      </c>
      <c r="H1220" s="17" t="str">
        <f>IFERROR(__xludf.DUMMYFUNCTION("""COMPUTED_VALUE"""),"H64240408")</f>
        <v>H64240408</v>
      </c>
      <c r="I1220" s="17">
        <f>IFERROR(__xludf.DUMMYFUNCTION("""COMPUTED_VALUE"""),62.0)</f>
        <v>62</v>
      </c>
      <c r="J1220" s="17" t="str">
        <f>IFERROR(__xludf.DUMMYFUNCTION("""COMPUTED_VALUE"""),"&gt; 44 tahun")</f>
        <v>&gt; 44 tahun</v>
      </c>
      <c r="K1220" s="19">
        <f>IFERROR(__xludf.DUMMYFUNCTION("""COMPUTED_VALUE"""),23440.0)</f>
        <v>23440</v>
      </c>
      <c r="L1220" s="19" t="str">
        <f>IFERROR(__xludf.DUMMYFUNCTION("""COMPUTED_VALUE"""),"PEREMPUAN")</f>
        <v>PEREMPUAN</v>
      </c>
      <c r="M1220" s="16" t="str">
        <f>IFERROR(__xludf.DUMMYFUNCTION("""COMPUTED_VALUE"""),"JL. DR. WAHIDIN KOMP. BATARA INDAH 1 GG. AL HIKMAH 2")</f>
        <v>JL. DR. WAHIDIN KOMP. BATARA INDAH 1 GG. AL HIKMAH 2</v>
      </c>
      <c r="N1220" s="16" t="str">
        <f>IFERROR(__xludf.DUMMYFUNCTION("""COMPUTED_VALUE"""),"KEL. SUNGAI JAWI")</f>
        <v>KEL. SUNGAI JAWI</v>
      </c>
      <c r="O1220" s="16" t="str">
        <f>IFERROR(__xludf.DUMMYFUNCTION("""COMPUTED_VALUE"""),"KEC. PONTIANAK KOTA")</f>
        <v>KEC. PONTIANAK KOTA</v>
      </c>
      <c r="P1220" s="16" t="str">
        <f>IFERROR(__xludf.DUMMYFUNCTION("""COMPUTED_VALUE"""),"KOTA PONTIANAK")</f>
        <v>KOTA PONTIANAK</v>
      </c>
      <c r="Q1220" s="16" t="str">
        <f>IFERROR(__xludf.DUMMYFUNCTION("""COMPUTED_VALUE"""),"KALIMANTAN BARAT")</f>
        <v>KALIMANTAN BARAT</v>
      </c>
      <c r="R1220" s="19" t="str">
        <f>IFERROR(__xludf.DUMMYFUNCTION("""COMPUTED_VALUE"""),"ISLAM")</f>
        <v>ISLAM</v>
      </c>
      <c r="S1220" s="16" t="str">
        <f>IFERROR(__xludf.DUMMYFUNCTION("""COMPUTED_VALUE"""),"PENSIUN")</f>
        <v>PENSIUN</v>
      </c>
      <c r="T1220" s="16" t="str">
        <f>IFERROR(__xludf.DUMMYFUNCTION("""COMPUTED_VALUE"""),"PINGGANG")</f>
        <v>PINGGANG</v>
      </c>
      <c r="U1220" s="16" t="str">
        <f>IFERROR(__xludf.DUMMYFUNCTION("""COMPUTED_VALUE"""),"MELAKUKAN PEKERJAAN RUMAH")</f>
        <v>MELAKUKAN PEKERJAAN RUMAH</v>
      </c>
      <c r="V1220" s="11" t="str">
        <f>IFERROR(__xludf.DUMMYFUNCTION("""COMPUTED_VALUE"""),"08")</f>
        <v>08</v>
      </c>
      <c r="W1220" s="15"/>
    </row>
    <row r="1221" ht="22.5" customHeight="1">
      <c r="A1221" s="8"/>
      <c r="B1221" s="9">
        <f>IFERROR(__xludf.DUMMYFUNCTION("""COMPUTED_VALUE"""),45380.67976958334)</f>
        <v>45380.67977</v>
      </c>
      <c r="C1221" s="9"/>
      <c r="D1221" s="34">
        <f>IFERROR(__xludf.DUMMYFUNCTION("""COMPUTED_VALUE"""),45384.0)</f>
        <v>45384</v>
      </c>
      <c r="E1221" s="34" t="str">
        <f>IFERROR(__xludf.DUMMYFUNCTION("""COMPUTED_VALUE"""),"04Apr")</f>
        <v>04Apr</v>
      </c>
      <c r="F1221" s="34" t="str">
        <f>IFERROR(__xludf.DUMMYFUNCTION("""COMPUTED_VALUE"""),"2024")</f>
        <v>2024</v>
      </c>
      <c r="G1221" s="35" t="str">
        <f>IFERROR(__xludf.DUMMYFUNCTION("""COMPUTED_VALUE"""),"SIGIT PRASETYO")</f>
        <v>SIGIT PRASETYO</v>
      </c>
      <c r="H1221" s="17" t="str">
        <f>IFERROR(__xludf.DUMMYFUNCTION("""COMPUTED_VALUE"""),"S2424044089")</f>
        <v>S2424044089</v>
      </c>
      <c r="I1221" s="17">
        <f>IFERROR(__xludf.DUMMYFUNCTION("""COMPUTED_VALUE"""),2.0)</f>
        <v>2</v>
      </c>
      <c r="J1221" s="17" t="str">
        <f>IFERROR(__xludf.DUMMYFUNCTION("""COMPUTED_VALUE"""),"&lt; 18 tahun")</f>
        <v>&lt; 18 tahun</v>
      </c>
      <c r="K1221" s="19">
        <f>IFERROR(__xludf.DUMMYFUNCTION("""COMPUTED_VALUE"""),45384.0)</f>
        <v>45384</v>
      </c>
      <c r="L1221" s="19" t="str">
        <f>IFERROR(__xludf.DUMMYFUNCTION("""COMPUTED_VALUE"""),"LAKI-LAKI")</f>
        <v>LAKI-LAKI</v>
      </c>
      <c r="M1221" s="35" t="str">
        <f>IFERROR(__xludf.DUMMYFUNCTION("""COMPUTED_VALUE"""),"KOMP.PIL A. 10 NO.12")</f>
        <v>KOMP.PIL A. 10 NO.12</v>
      </c>
      <c r="N1221" s="16" t="str">
        <f>IFERROR(__xludf.DUMMYFUNCTION("""COMPUTED_VALUE"""),"DS. PARIT BARU")</f>
        <v>DS. PARIT BARU</v>
      </c>
      <c r="O1221" s="16" t="str">
        <f>IFERROR(__xludf.DUMMYFUNCTION("""COMPUTED_VALUE"""),"KEC. SUNGAI RAYA")</f>
        <v>KEC. SUNGAI RAYA</v>
      </c>
      <c r="P1221" s="16" t="str">
        <f>IFERROR(__xludf.DUMMYFUNCTION("""COMPUTED_VALUE"""),"KAB. KUBU RAYA")</f>
        <v>KAB. KUBU RAYA</v>
      </c>
      <c r="Q1221" s="16" t="str">
        <f>IFERROR(__xludf.DUMMYFUNCTION("""COMPUTED_VALUE"""),"KALIMANTAN BARAT")</f>
        <v>KALIMANTAN BARAT</v>
      </c>
      <c r="R1221" s="19" t="str">
        <f>IFERROR(__xludf.DUMMYFUNCTION("""COMPUTED_VALUE"""),"ISLAM")</f>
        <v>ISLAM</v>
      </c>
      <c r="S1221" s="16" t="str">
        <f>IFERROR(__xludf.DUMMYFUNCTION("""COMPUTED_VALUE"""),"PELAJAR/MAHASISWA")</f>
        <v>PELAJAR/MAHASISWA</v>
      </c>
      <c r="T1221" s="16" t="str">
        <f>IFERROR(__xludf.DUMMYFUNCTION("""COMPUTED_VALUE"""),"kaki X 3cm")</f>
        <v>kaki X 3cm</v>
      </c>
      <c r="U1221" s="16" t="str">
        <f>IFERROR(__xludf.DUMMYFUNCTION("""COMPUTED_VALUE"""),"bermain bola/futsal")</f>
        <v>bermain bola/futsal</v>
      </c>
      <c r="V1221" s="11" t="str">
        <f>IFERROR(__xludf.DUMMYFUNCTION("""COMPUTED_VALUE"""),"087810194089")</f>
        <v>087810194089</v>
      </c>
      <c r="W1221" s="15"/>
    </row>
    <row r="1222" ht="22.5" customHeight="1">
      <c r="A1222" s="8"/>
      <c r="B1222" s="9">
        <f>IFERROR(__xludf.DUMMYFUNCTION("""COMPUTED_VALUE"""),45380.6819575463)</f>
        <v>45380.68196</v>
      </c>
      <c r="C1222" s="9"/>
      <c r="D1222" s="34">
        <f>IFERROR(__xludf.DUMMYFUNCTION("""COMPUTED_VALUE"""),45384.0)</f>
        <v>45384</v>
      </c>
      <c r="E1222" s="34" t="str">
        <f>IFERROR(__xludf.DUMMYFUNCTION("""COMPUTED_VALUE"""),"04Apr")</f>
        <v>04Apr</v>
      </c>
      <c r="F1222" s="34" t="str">
        <f>IFERROR(__xludf.DUMMYFUNCTION("""COMPUTED_VALUE"""),"2024")</f>
        <v>2024</v>
      </c>
      <c r="G1222" s="35" t="str">
        <f>IFERROR(__xludf.DUMMYFUNCTION("""COMPUTED_VALUE"""),"HARI YUDA")</f>
        <v>HARI YUDA</v>
      </c>
      <c r="H1222" s="17" t="str">
        <f>IFERROR(__xludf.DUMMYFUNCTION("""COMPUTED_VALUE"""),"H0424046629")</f>
        <v>H0424046629</v>
      </c>
      <c r="I1222" s="17">
        <f>IFERROR(__xludf.DUMMYFUNCTION("""COMPUTED_VALUE"""),21.0)</f>
        <v>21</v>
      </c>
      <c r="J1222" s="17" t="str">
        <f>IFERROR(__xludf.DUMMYFUNCTION("""COMPUTED_VALUE"""),"18-24 tahun")</f>
        <v>18-24 tahun</v>
      </c>
      <c r="K1222" s="19">
        <f>IFERROR(__xludf.DUMMYFUNCTION("""COMPUTED_VALUE"""),38222.0)</f>
        <v>38222</v>
      </c>
      <c r="L1222" s="19" t="str">
        <f>IFERROR(__xludf.DUMMYFUNCTION("""COMPUTED_VALUE"""),"LAKI-LAKI")</f>
        <v>LAKI-LAKI</v>
      </c>
      <c r="M1222" s="35" t="str">
        <f>IFERROR(__xludf.DUMMYFUNCTION("""COMPUTED_VALUE"""),"SUNGAI DUNGUN")</f>
        <v>SUNGAI DUNGUN</v>
      </c>
      <c r="N1222" s="16" t="str">
        <f>IFERROR(__xludf.DUMMYFUNCTION("""COMPUTED_VALUE"""),"DS. SABARAN")</f>
        <v>DS. SABARAN</v>
      </c>
      <c r="O1222" s="16" t="str">
        <f>IFERROR(__xludf.DUMMYFUNCTION("""COMPUTED_VALUE"""),"KEC. JAWAI SELATAN")</f>
        <v>KEC. JAWAI SELATAN</v>
      </c>
      <c r="P1222" s="16" t="str">
        <f>IFERROR(__xludf.DUMMYFUNCTION("""COMPUTED_VALUE"""),"KAB. SAMBAS")</f>
        <v>KAB. SAMBAS</v>
      </c>
      <c r="Q1222" s="16" t="str">
        <f>IFERROR(__xludf.DUMMYFUNCTION("""COMPUTED_VALUE"""),"KALIMANTAN BARAT")</f>
        <v>KALIMANTAN BARAT</v>
      </c>
      <c r="R1222" s="19" t="str">
        <f>IFERROR(__xludf.DUMMYFUNCTION("""COMPUTED_VALUE"""),"ISLAM")</f>
        <v>ISLAM</v>
      </c>
      <c r="S1222" s="16" t="str">
        <f>IFERROR(__xludf.DUMMYFUNCTION("""COMPUTED_VALUE"""),"PELAJAR/MAHASISWA")</f>
        <v>PELAJAR/MAHASISWA</v>
      </c>
      <c r="T1222" s="16" t="str">
        <f>IFERROR(__xludf.DUMMYFUNCTION("""COMPUTED_VALUE"""),"TULANG BELAKANG")</f>
        <v>TULANG BELAKANG</v>
      </c>
      <c r="U1222" s="16" t="str">
        <f>IFERROR(__xludf.DUMMYFUNCTION("""COMPUTED_VALUE"""),"MANCING")</f>
        <v>MANCING</v>
      </c>
      <c r="V1222" s="11" t="str">
        <f>IFERROR(__xludf.DUMMYFUNCTION("""COMPUTED_VALUE"""),"082252386629")</f>
        <v>082252386629</v>
      </c>
      <c r="W1222" s="15"/>
    </row>
    <row r="1223" ht="22.5" customHeight="1">
      <c r="A1223" s="8"/>
      <c r="B1223" s="9">
        <f>IFERROR(__xludf.DUMMYFUNCTION("""COMPUTED_VALUE"""),45380.95497244213)</f>
        <v>45380.95497</v>
      </c>
      <c r="C1223" s="9"/>
      <c r="D1223" s="34">
        <f>IFERROR(__xludf.DUMMYFUNCTION("""COMPUTED_VALUE"""),45385.0)</f>
        <v>45385</v>
      </c>
      <c r="E1223" s="34" t="str">
        <f>IFERROR(__xludf.DUMMYFUNCTION("""COMPUTED_VALUE"""),"04Apr")</f>
        <v>04Apr</v>
      </c>
      <c r="F1223" s="34" t="str">
        <f>IFERROR(__xludf.DUMMYFUNCTION("""COMPUTED_VALUE"""),"2024")</f>
        <v>2024</v>
      </c>
      <c r="G1223" s="35" t="str">
        <f>IFERROR(__xludf.DUMMYFUNCTION("""COMPUTED_VALUE"""),"ZAMIR FATURRAHMAN")</f>
        <v>ZAMIR FATURRAHMAN</v>
      </c>
      <c r="H1223" s="17" t="str">
        <f>IFERROR(__xludf.DUMMYFUNCTION("""COMPUTED_VALUE"""),"Z1124042066")</f>
        <v>Z1124042066</v>
      </c>
      <c r="I1223" s="17">
        <f>IFERROR(__xludf.DUMMYFUNCTION("""COMPUTED_VALUE"""),15.0)</f>
        <v>15</v>
      </c>
      <c r="J1223" s="17" t="str">
        <f>IFERROR(__xludf.DUMMYFUNCTION("""COMPUTED_VALUE"""),"&lt; 18 tahun")</f>
        <v>&lt; 18 tahun</v>
      </c>
      <c r="K1223" s="19">
        <f>IFERROR(__xludf.DUMMYFUNCTION("""COMPUTED_VALUE"""),40653.0)</f>
        <v>40653</v>
      </c>
      <c r="L1223" s="19" t="str">
        <f>IFERROR(__xludf.DUMMYFUNCTION("""COMPUTED_VALUE"""),"LAKI-LAKI")</f>
        <v>LAKI-LAKI</v>
      </c>
      <c r="M1223" s="35" t="str">
        <f>IFERROR(__xludf.DUMMYFUNCTION("""COMPUTED_VALUE"""),"JL. DANAU SENTARUM KOMPLEK DANAU ASRI A 13")</f>
        <v>JL. DANAU SENTARUM KOMPLEK DANAU ASRI A 13</v>
      </c>
      <c r="N1223" s="16" t="str">
        <f>IFERROR(__xludf.DUMMYFUNCTION("""COMPUTED_VALUE"""),"KEL. SUNGAI BANGKONG")</f>
        <v>KEL. SUNGAI BANGKONG</v>
      </c>
      <c r="O1223" s="16" t="str">
        <f>IFERROR(__xludf.DUMMYFUNCTION("""COMPUTED_VALUE"""),"KEC. PONTIANAK KOTA")</f>
        <v>KEC. PONTIANAK KOTA</v>
      </c>
      <c r="P1223" s="16" t="str">
        <f>IFERROR(__xludf.DUMMYFUNCTION("""COMPUTED_VALUE"""),"KOTA PONTIANAK")</f>
        <v>KOTA PONTIANAK</v>
      </c>
      <c r="Q1223" s="35" t="str">
        <f>IFERROR(__xludf.DUMMYFUNCTION("""COMPUTED_VALUE"""),"KALIMANTAN BARAT")</f>
        <v>KALIMANTAN BARAT</v>
      </c>
      <c r="R1223" s="19" t="str">
        <f>IFERROR(__xludf.DUMMYFUNCTION("""COMPUTED_VALUE"""),"ISLAM")</f>
        <v>ISLAM</v>
      </c>
      <c r="S1223" s="16" t="str">
        <f>IFERROR(__xludf.DUMMYFUNCTION("""COMPUTED_VALUE"""),"PELAJAR/MAHASISWA")</f>
        <v>PELAJAR/MAHASISWA</v>
      </c>
      <c r="T1223" s="16" t="str">
        <f>IFERROR(__xludf.DUMMYFUNCTION("""COMPUTED_VALUE"""),"Pasang pen tulang kecil betis kiri")</f>
        <v>Pasang pen tulang kecil betis kiri</v>
      </c>
      <c r="U1223" s="16" t="str">
        <f>IFERROR(__xludf.DUMMYFUNCTION("""COMPUTED_VALUE"""),"Futsal")</f>
        <v>Futsal</v>
      </c>
      <c r="V1223" s="11" t="str">
        <f>IFERROR(__xludf.DUMMYFUNCTION("""COMPUTED_VALUE"""),"081352202066")</f>
        <v>081352202066</v>
      </c>
      <c r="W1223" s="15"/>
    </row>
    <row r="1224" ht="22.5" customHeight="1">
      <c r="A1224" s="8"/>
      <c r="B1224" s="9">
        <f>IFERROR(__xludf.DUMMYFUNCTION("""COMPUTED_VALUE"""),45381.624695266204)</f>
        <v>45381.6247</v>
      </c>
      <c r="C1224" s="9"/>
      <c r="D1224" s="34">
        <f>IFERROR(__xludf.DUMMYFUNCTION("""COMPUTED_VALUE"""),45386.0)</f>
        <v>45386</v>
      </c>
      <c r="E1224" s="34" t="str">
        <f>IFERROR(__xludf.DUMMYFUNCTION("""COMPUTED_VALUE"""),"04Apr")</f>
        <v>04Apr</v>
      </c>
      <c r="F1224" s="34" t="str">
        <f>IFERROR(__xludf.DUMMYFUNCTION("""COMPUTED_VALUE"""),"2024")</f>
        <v>2024</v>
      </c>
      <c r="G1224" s="35" t="str">
        <f>IFERROR(__xludf.DUMMYFUNCTION("""COMPUTED_VALUE"""),"AGUNG YUDANTO")</f>
        <v>AGUNG YUDANTO</v>
      </c>
      <c r="H1224" s="17" t="str">
        <f>IFERROR(__xludf.DUMMYFUNCTION("""COMPUTED_VALUE"""),"A9024045543")</f>
        <v>A9024045543</v>
      </c>
      <c r="I1224" s="17">
        <f>IFERROR(__xludf.DUMMYFUNCTION("""COMPUTED_VALUE"""),36.0)</f>
        <v>36</v>
      </c>
      <c r="J1224" s="17" t="str">
        <f>IFERROR(__xludf.DUMMYFUNCTION("""COMPUTED_VALUE"""),"35-44 tahun")</f>
        <v>35-44 tahun</v>
      </c>
      <c r="K1224" s="19">
        <f>IFERROR(__xludf.DUMMYFUNCTION("""COMPUTED_VALUE"""),32914.0)</f>
        <v>32914</v>
      </c>
      <c r="L1224" s="19" t="str">
        <f>IFERROR(__xludf.DUMMYFUNCTION("""COMPUTED_VALUE"""),"LAKI-LAKI")</f>
        <v>LAKI-LAKI</v>
      </c>
      <c r="M1224" s="35" t="str">
        <f>IFERROR(__xludf.DUMMYFUNCTION("""COMPUTED_VALUE"""),"PERUM 1")</f>
        <v>PERUM 1</v>
      </c>
      <c r="N1224" s="16" t="str">
        <f>IFERROR(__xludf.DUMMYFUNCTION("""COMPUTED_VALUE"""),"KEL. SUNGAI JAWI LUAR")</f>
        <v>KEL. SUNGAI JAWI LUAR</v>
      </c>
      <c r="O1224" s="16" t="str">
        <f>IFERROR(__xludf.DUMMYFUNCTION("""COMPUTED_VALUE"""),"KEC. PONTIANAK BARAT")</f>
        <v>KEC. PONTIANAK BARAT</v>
      </c>
      <c r="P1224" s="16" t="str">
        <f>IFERROR(__xludf.DUMMYFUNCTION("""COMPUTED_VALUE"""),"KOTA PONTIANAK")</f>
        <v>KOTA PONTIANAK</v>
      </c>
      <c r="Q1224" s="16" t="str">
        <f>IFERROR(__xludf.DUMMYFUNCTION("""COMPUTED_VALUE"""),"KALIMANTAN BARAT")</f>
        <v>KALIMANTAN BARAT</v>
      </c>
      <c r="R1224" s="19" t="str">
        <f>IFERROR(__xludf.DUMMYFUNCTION("""COMPUTED_VALUE"""),"ISLAM")</f>
        <v>ISLAM</v>
      </c>
      <c r="S1224" s="16" t="str">
        <f>IFERROR(__xludf.DUMMYFUNCTION("""COMPUTED_VALUE"""),"ASN")</f>
        <v>ASN</v>
      </c>
      <c r="T1224" s="16" t="str">
        <f>IFERROR(__xludf.DUMMYFUNCTION("""COMPUTED_VALUE"""),"nyeri")</f>
        <v>nyeri</v>
      </c>
      <c r="U1224" s="16" t="str">
        <f>IFERROR(__xludf.DUMMYFUNCTION("""COMPUTED_VALUE"""),"kerja")</f>
        <v>kerja</v>
      </c>
      <c r="V1224" s="11" t="str">
        <f>IFERROR(__xludf.DUMMYFUNCTION("""COMPUTED_VALUE"""),"082245545543")</f>
        <v>082245545543</v>
      </c>
      <c r="W1224" s="15"/>
    </row>
    <row r="1225" ht="22.5" customHeight="1">
      <c r="A1225" s="8"/>
      <c r="B1225" s="9">
        <f>IFERROR(__xludf.DUMMYFUNCTION("""COMPUTED_VALUE"""),45381.014574050925)</f>
        <v>45381.01457</v>
      </c>
      <c r="C1225" s="9"/>
      <c r="D1225" s="34">
        <f>IFERROR(__xludf.DUMMYFUNCTION("""COMPUTED_VALUE"""),45386.0)</f>
        <v>45386</v>
      </c>
      <c r="E1225" s="34" t="str">
        <f>IFERROR(__xludf.DUMMYFUNCTION("""COMPUTED_VALUE"""),"04Apr")</f>
        <v>04Apr</v>
      </c>
      <c r="F1225" s="34" t="str">
        <f>IFERROR(__xludf.DUMMYFUNCTION("""COMPUTED_VALUE"""),"2024")</f>
        <v>2024</v>
      </c>
      <c r="G1225" s="35" t="str">
        <f>IFERROR(__xludf.DUMMYFUNCTION("""COMPUTED_VALUE"""),"MARTINA N YANSENS")</f>
        <v>MARTINA N YANSENS</v>
      </c>
      <c r="H1225" s="17" t="str">
        <f>IFERROR(__xludf.DUMMYFUNCTION("""COMPUTED_VALUE"""),"M8224040432")</f>
        <v>M8224040432</v>
      </c>
      <c r="I1225" s="17">
        <f>IFERROR(__xludf.DUMMYFUNCTION("""COMPUTED_VALUE"""),44.0)</f>
        <v>44</v>
      </c>
      <c r="J1225" s="17" t="str">
        <f>IFERROR(__xludf.DUMMYFUNCTION("""COMPUTED_VALUE"""),"35-44 tahun")</f>
        <v>35-44 tahun</v>
      </c>
      <c r="K1225" s="19">
        <f>IFERROR(__xludf.DUMMYFUNCTION("""COMPUTED_VALUE"""),30064.0)</f>
        <v>30064</v>
      </c>
      <c r="L1225" s="19" t="str">
        <f>IFERROR(__xludf.DUMMYFUNCTION("""COMPUTED_VALUE"""),"PEREMPUAN")</f>
        <v>PEREMPUAN</v>
      </c>
      <c r="M1225" s="35" t="str">
        <f>IFERROR(__xludf.DUMMYFUNCTION("""COMPUTED_VALUE"""),"JL RE MARTADINATA GG BUNCIS NO 10")</f>
        <v>JL RE MARTADINATA GG BUNCIS NO 10</v>
      </c>
      <c r="N1225" s="16" t="str">
        <f>IFERROR(__xludf.DUMMYFUNCTION("""COMPUTED_VALUE"""),"KEL. SUNGAI JAWI LUAR")</f>
        <v>KEL. SUNGAI JAWI LUAR</v>
      </c>
      <c r="O1225" s="16" t="str">
        <f>IFERROR(__xludf.DUMMYFUNCTION("""COMPUTED_VALUE"""),"KEC. PONTIANAK BARAT")</f>
        <v>KEC. PONTIANAK BARAT</v>
      </c>
      <c r="P1225" s="16" t="str">
        <f>IFERROR(__xludf.DUMMYFUNCTION("""COMPUTED_VALUE"""),"KOTA PONTIANAK")</f>
        <v>KOTA PONTIANAK</v>
      </c>
      <c r="Q1225" s="16" t="str">
        <f>IFERROR(__xludf.DUMMYFUNCTION("""COMPUTED_VALUE"""),"KALIMANTAN BARAT")</f>
        <v>KALIMANTAN BARAT</v>
      </c>
      <c r="R1225" s="19" t="str">
        <f>IFERROR(__xludf.DUMMYFUNCTION("""COMPUTED_VALUE"""),"PROTESTAN")</f>
        <v>PROTESTAN</v>
      </c>
      <c r="S1225" s="16" t="str">
        <f>IFERROR(__xludf.DUMMYFUNCTION("""COMPUTED_VALUE"""),"WIRASWASTA")</f>
        <v>WIRASWASTA</v>
      </c>
      <c r="T1225" s="16" t="str">
        <f>IFERROR(__xludf.DUMMYFUNCTION("""COMPUTED_VALUE"""),"Bengkak di")</f>
        <v>Bengkak di</v>
      </c>
      <c r="U1225" s="16" t="str">
        <f>IFERROR(__xludf.DUMMYFUNCTION("""COMPUTED_VALUE"""),"Tennis")</f>
        <v>Tennis</v>
      </c>
      <c r="V1225" s="11" t="str">
        <f>IFERROR(__xludf.DUMMYFUNCTION("""COMPUTED_VALUE"""),"082298000432")</f>
        <v>082298000432</v>
      </c>
      <c r="W1225" s="15"/>
    </row>
    <row r="1226" ht="22.5" customHeight="1">
      <c r="A1226" s="8"/>
      <c r="B1226" s="9">
        <f>IFERROR(__xludf.DUMMYFUNCTION("""COMPUTED_VALUE"""),45381.738382407406)</f>
        <v>45381.73838</v>
      </c>
      <c r="C1226" s="9"/>
      <c r="D1226" s="34">
        <f>IFERROR(__xludf.DUMMYFUNCTION("""COMPUTED_VALUE"""),45386.0)</f>
        <v>45386</v>
      </c>
      <c r="E1226" s="34" t="str">
        <f>IFERROR(__xludf.DUMMYFUNCTION("""COMPUTED_VALUE"""),"04Apr")</f>
        <v>04Apr</v>
      </c>
      <c r="F1226" s="34" t="str">
        <f>IFERROR(__xludf.DUMMYFUNCTION("""COMPUTED_VALUE"""),"2024")</f>
        <v>2024</v>
      </c>
      <c r="G1226" s="35" t="str">
        <f>IFERROR(__xludf.DUMMYFUNCTION("""COMPUTED_VALUE"""),"SAAD")</f>
        <v>SAAD</v>
      </c>
      <c r="H1226" s="17" t="str">
        <f>IFERROR(__xludf.DUMMYFUNCTION("""COMPUTED_VALUE"""),"S7924047787")</f>
        <v>S7924047787</v>
      </c>
      <c r="I1226" s="17">
        <f>IFERROR(__xludf.DUMMYFUNCTION("""COMPUTED_VALUE"""),46.0)</f>
        <v>46</v>
      </c>
      <c r="J1226" s="17" t="str">
        <f>IFERROR(__xludf.DUMMYFUNCTION("""COMPUTED_VALUE"""),"&gt; 44 tahun")</f>
        <v>&gt; 44 tahun</v>
      </c>
      <c r="K1226" s="19">
        <f>IFERROR(__xludf.DUMMYFUNCTION("""COMPUTED_VALUE"""),29071.0)</f>
        <v>29071</v>
      </c>
      <c r="L1226" s="19" t="str">
        <f>IFERROR(__xludf.DUMMYFUNCTION("""COMPUTED_VALUE"""),"LAKI-LAKI")</f>
        <v>LAKI-LAKI</v>
      </c>
      <c r="M1226" s="35" t="str">
        <f>IFERROR(__xludf.DUMMYFUNCTION("""COMPUTED_VALUE"""),"JL SEPAKAT 2 KOMPLEK GRAND SEPAKAT RESIDENCE NO B24")</f>
        <v>JL SEPAKAT 2 KOMPLEK GRAND SEPAKAT RESIDENCE NO B24</v>
      </c>
      <c r="N1226" s="16" t="str">
        <f>IFERROR(__xludf.DUMMYFUNCTION("""COMPUTED_VALUE"""),"KEL. BANSIR DARAT")</f>
        <v>KEL. BANSIR DARAT</v>
      </c>
      <c r="O1226" s="16" t="str">
        <f>IFERROR(__xludf.DUMMYFUNCTION("""COMPUTED_VALUE"""),"KEC. PONTIANAK TENGGARA")</f>
        <v>KEC. PONTIANAK TENGGARA</v>
      </c>
      <c r="P1226" s="16" t="str">
        <f>IFERROR(__xludf.DUMMYFUNCTION("""COMPUTED_VALUE"""),"KOTA PONTIANAK")</f>
        <v>KOTA PONTIANAK</v>
      </c>
      <c r="Q1226" s="16" t="str">
        <f>IFERROR(__xludf.DUMMYFUNCTION("""COMPUTED_VALUE"""),"KALIMANTAN BARAT")</f>
        <v>KALIMANTAN BARAT</v>
      </c>
      <c r="R1226" s="19" t="str">
        <f>IFERROR(__xludf.DUMMYFUNCTION("""COMPUTED_VALUE"""),"ISLAM")</f>
        <v>ISLAM</v>
      </c>
      <c r="S1226" s="16" t="str">
        <f>IFERROR(__xludf.DUMMYFUNCTION("""COMPUTED_VALUE"""),"ASN")</f>
        <v>ASN</v>
      </c>
      <c r="T1226" s="16" t="str">
        <f>IFERROR(__xludf.DUMMYFUNCTION("""COMPUTED_VALUE"""),"Nyeri sebelah kiri")</f>
        <v>Nyeri sebelah kiri</v>
      </c>
      <c r="U1226" s="16" t="str">
        <f>IFERROR(__xludf.DUMMYFUNCTION("""COMPUTED_VALUE"""),"Membaca")</f>
        <v>Membaca</v>
      </c>
      <c r="V1226" s="11" t="str">
        <f>IFERROR(__xludf.DUMMYFUNCTION("""COMPUTED_VALUE"""),"085820977787")</f>
        <v>085820977787</v>
      </c>
      <c r="W1226" s="15"/>
    </row>
    <row r="1227" ht="22.5" customHeight="1">
      <c r="A1227" s="8"/>
      <c r="B1227" s="9">
        <f>IFERROR(__xludf.DUMMYFUNCTION("""COMPUTED_VALUE"""),45381.97370530093)</f>
        <v>45381.97371</v>
      </c>
      <c r="C1227" s="9"/>
      <c r="D1227" s="34">
        <f>IFERROR(__xludf.DUMMYFUNCTION("""COMPUTED_VALUE"""),45387.0)</f>
        <v>45387</v>
      </c>
      <c r="E1227" s="34" t="str">
        <f>IFERROR(__xludf.DUMMYFUNCTION("""COMPUTED_VALUE"""),"04Apr")</f>
        <v>04Apr</v>
      </c>
      <c r="F1227" s="34" t="str">
        <f>IFERROR(__xludf.DUMMYFUNCTION("""COMPUTED_VALUE"""),"2024")</f>
        <v>2024</v>
      </c>
      <c r="G1227" s="35" t="str">
        <f>IFERROR(__xludf.DUMMYFUNCTION("""COMPUTED_VALUE"""),"FAIRUS NADHIR AMRULLAH")</f>
        <v>FAIRUS NADHIR AMRULLAH</v>
      </c>
      <c r="H1227" s="17" t="str">
        <f>IFERROR(__xludf.DUMMYFUNCTION("""COMPUTED_VALUE"""),"F1224043252")</f>
        <v>F1224043252</v>
      </c>
      <c r="I1227" s="17">
        <f>IFERROR(__xludf.DUMMYFUNCTION("""COMPUTED_VALUE"""),14.0)</f>
        <v>14</v>
      </c>
      <c r="J1227" s="17" t="str">
        <f>IFERROR(__xludf.DUMMYFUNCTION("""COMPUTED_VALUE"""),"&lt; 18 tahun")</f>
        <v>&lt; 18 tahun</v>
      </c>
      <c r="K1227" s="19">
        <f>IFERROR(__xludf.DUMMYFUNCTION("""COMPUTED_VALUE"""),40965.0)</f>
        <v>40965</v>
      </c>
      <c r="L1227" s="19" t="str">
        <f>IFERROR(__xludf.DUMMYFUNCTION("""COMPUTED_VALUE"""),"LAKI-LAKI")</f>
        <v>LAKI-LAKI</v>
      </c>
      <c r="M1227" s="35" t="str">
        <f>IFERROR(__xludf.DUMMYFUNCTION("""COMPUTED_VALUE"""),"JL AMPERA KOMPLEK PERMATA AMPERA BLOK F.10")</f>
        <v>JL AMPERA KOMPLEK PERMATA AMPERA BLOK F.10</v>
      </c>
      <c r="N1227" s="16" t="str">
        <f>IFERROR(__xludf.DUMMYFUNCTION("""COMPUTED_VALUE"""),"KEL. SUNGAI JAWI")</f>
        <v>KEL. SUNGAI JAWI</v>
      </c>
      <c r="O1227" s="16" t="str">
        <f>IFERROR(__xludf.DUMMYFUNCTION("""COMPUTED_VALUE"""),"KEC. PONTIANAK KOTA")</f>
        <v>KEC. PONTIANAK KOTA</v>
      </c>
      <c r="P1227" s="16" t="str">
        <f>IFERROR(__xludf.DUMMYFUNCTION("""COMPUTED_VALUE"""),"KOTA PONTIANAK")</f>
        <v>KOTA PONTIANAK</v>
      </c>
      <c r="Q1227" s="16" t="str">
        <f>IFERROR(__xludf.DUMMYFUNCTION("""COMPUTED_VALUE"""),"KALIMANTAN BARAT")</f>
        <v>KALIMANTAN BARAT</v>
      </c>
      <c r="R1227" s="19" t="str">
        <f>IFERROR(__xludf.DUMMYFUNCTION("""COMPUTED_VALUE"""),"ISLAM")</f>
        <v>ISLAM</v>
      </c>
      <c r="S1227" s="16" t="str">
        <f>IFERROR(__xludf.DUMMYFUNCTION("""COMPUTED_VALUE"""),"PELAJAR/MAHASISWA")</f>
        <v>PELAJAR/MAHASISWA</v>
      </c>
      <c r="T1227" s="16" t="str">
        <f>IFERROR(__xludf.DUMMYFUNCTION("""COMPUTED_VALUE"""),"Kaku tangan setelah buka gip")</f>
        <v>Kaku tangan setelah buka gip</v>
      </c>
      <c r="U1227" s="16" t="str">
        <f>IFERROR(__xludf.DUMMYFUNCTION("""COMPUTED_VALUE"""),"Main bola")</f>
        <v>Main bola</v>
      </c>
      <c r="V1227" s="11" t="str">
        <f>IFERROR(__xludf.DUMMYFUNCTION("""COMPUTED_VALUE"""),"082158413252")</f>
        <v>082158413252</v>
      </c>
      <c r="W1227" s="15"/>
    </row>
    <row r="1228" ht="22.5" customHeight="1">
      <c r="A1228" s="8"/>
      <c r="B1228" s="9">
        <f>IFERROR(__xludf.DUMMYFUNCTION("""COMPUTED_VALUE"""),45383.583999375)</f>
        <v>45383.584</v>
      </c>
      <c r="C1228" s="9"/>
      <c r="D1228" s="34">
        <f>IFERROR(__xludf.DUMMYFUNCTION("""COMPUTED_VALUE"""),45388.0)</f>
        <v>45388</v>
      </c>
      <c r="E1228" s="34" t="str">
        <f>IFERROR(__xludf.DUMMYFUNCTION("""COMPUTED_VALUE"""),"04Apr")</f>
        <v>04Apr</v>
      </c>
      <c r="F1228" s="34" t="str">
        <f>IFERROR(__xludf.DUMMYFUNCTION("""COMPUTED_VALUE"""),"2024")</f>
        <v>2024</v>
      </c>
      <c r="G1228" s="35" t="str">
        <f>IFERROR(__xludf.DUMMYFUNCTION("""COMPUTED_VALUE"""),"ENDANG VERI KOLAGA")</f>
        <v>ENDANG VERI KOLAGA</v>
      </c>
      <c r="H1228" s="17" t="str">
        <f>IFERROR(__xludf.DUMMYFUNCTION("""COMPUTED_VALUE"""),"E6524049197")</f>
        <v>E6524049197</v>
      </c>
      <c r="I1228" s="17">
        <f>IFERROR(__xludf.DUMMYFUNCTION("""COMPUTED_VALUE"""),60.0)</f>
        <v>60</v>
      </c>
      <c r="J1228" s="17" t="str">
        <f>IFERROR(__xludf.DUMMYFUNCTION("""COMPUTED_VALUE"""),"&gt; 44 tahun")</f>
        <v>&gt; 44 tahun</v>
      </c>
      <c r="K1228" s="19">
        <f>IFERROR(__xludf.DUMMYFUNCTION("""COMPUTED_VALUE"""),24098.0)</f>
        <v>24098</v>
      </c>
      <c r="L1228" s="19" t="str">
        <f>IFERROR(__xludf.DUMMYFUNCTION("""COMPUTED_VALUE"""),"PEREMPUAN")</f>
        <v>PEREMPUAN</v>
      </c>
      <c r="M1228" s="35" t="str">
        <f>IFERROR(__xludf.DUMMYFUNCTION("""COMPUTED_VALUE"""),"JL.BUDI UTOMO PURNAJAYA I NO. 18")</f>
        <v>JL.BUDI UTOMO PURNAJAYA I NO. 18</v>
      </c>
      <c r="N1228" s="16" t="str">
        <f>IFERROR(__xludf.DUMMYFUNCTION("""COMPUTED_VALUE"""),"KEL. SIANTAN HILIR")</f>
        <v>KEL. SIANTAN HILIR</v>
      </c>
      <c r="O1228" s="16" t="str">
        <f>IFERROR(__xludf.DUMMYFUNCTION("""COMPUTED_VALUE"""),"KEC. PONTIANAK UTARA")</f>
        <v>KEC. PONTIANAK UTARA</v>
      </c>
      <c r="P1228" s="16" t="str">
        <f>IFERROR(__xludf.DUMMYFUNCTION("""COMPUTED_VALUE"""),"KOTA PONTIANAK")</f>
        <v>KOTA PONTIANAK</v>
      </c>
      <c r="Q1228" s="16" t="str">
        <f>IFERROR(__xludf.DUMMYFUNCTION("""COMPUTED_VALUE"""),"KALIMANTAN BARAT")</f>
        <v>KALIMANTAN BARAT</v>
      </c>
      <c r="R1228" s="19" t="str">
        <f>IFERROR(__xludf.DUMMYFUNCTION("""COMPUTED_VALUE"""),"ISLAM")</f>
        <v>ISLAM</v>
      </c>
      <c r="S1228" s="16" t="str">
        <f>IFERROR(__xludf.DUMMYFUNCTION("""COMPUTED_VALUE"""),"ASN")</f>
        <v>ASN</v>
      </c>
      <c r="T1228" s="16" t="str">
        <f>IFERROR(__xludf.DUMMYFUNCTION("""COMPUTED_VALUE"""),"Pengapuran di")</f>
        <v>Pengapuran di</v>
      </c>
      <c r="U1228" s="16" t="str">
        <f>IFERROR(__xludf.DUMMYFUNCTION("""COMPUTED_VALUE"""),"Masak")</f>
        <v>Masak</v>
      </c>
      <c r="V1228" s="11" t="str">
        <f>IFERROR(__xludf.DUMMYFUNCTION("""COMPUTED_VALUE"""),"082154799197")</f>
        <v>082154799197</v>
      </c>
      <c r="W1228" s="15"/>
    </row>
    <row r="1229" ht="22.5" customHeight="1">
      <c r="A1229" s="8"/>
      <c r="B1229" s="9">
        <f>IFERROR(__xludf.DUMMYFUNCTION("""COMPUTED_VALUE"""),45383.5989290625)</f>
        <v>45383.59893</v>
      </c>
      <c r="C1229" s="9"/>
      <c r="D1229" s="34">
        <f>IFERROR(__xludf.DUMMYFUNCTION("""COMPUTED_VALUE"""),45388.0)</f>
        <v>45388</v>
      </c>
      <c r="E1229" s="34" t="str">
        <f>IFERROR(__xludf.DUMMYFUNCTION("""COMPUTED_VALUE"""),"04Apr")</f>
        <v>04Apr</v>
      </c>
      <c r="F1229" s="34" t="str">
        <f>IFERROR(__xludf.DUMMYFUNCTION("""COMPUTED_VALUE"""),"2024")</f>
        <v>2024</v>
      </c>
      <c r="G1229" s="35" t="str">
        <f>IFERROR(__xludf.DUMMYFUNCTION("""COMPUTED_VALUE"""),"FAKRUL ILMI")</f>
        <v>FAKRUL ILMI</v>
      </c>
      <c r="H1229" s="17" t="str">
        <f>IFERROR(__xludf.DUMMYFUNCTION("""COMPUTED_VALUE"""),"F9224043355")</f>
        <v>F9224043355</v>
      </c>
      <c r="I1229" s="17">
        <f>IFERROR(__xludf.DUMMYFUNCTION("""COMPUTED_VALUE"""),33.0)</f>
        <v>33</v>
      </c>
      <c r="J1229" s="17" t="str">
        <f>IFERROR(__xludf.DUMMYFUNCTION("""COMPUTED_VALUE"""),"25-34 tahun")</f>
        <v>25-34 tahun</v>
      </c>
      <c r="K1229" s="19">
        <f>IFERROR(__xludf.DUMMYFUNCTION("""COMPUTED_VALUE"""),33847.0)</f>
        <v>33847</v>
      </c>
      <c r="L1229" s="19" t="str">
        <f>IFERROR(__xludf.DUMMYFUNCTION("""COMPUTED_VALUE"""),"LAKI-LAKI")</f>
        <v>LAKI-LAKI</v>
      </c>
      <c r="M1229" s="35" t="str">
        <f>IFERROR(__xludf.DUMMYFUNCTION("""COMPUTED_VALUE"""),"JL. IMAM BONJOL GANG BANSIR 1 NO 4A")</f>
        <v>JL. IMAM BONJOL GANG BANSIR 1 NO 4A</v>
      </c>
      <c r="N1229" s="16" t="str">
        <f>IFERROR(__xludf.DUMMYFUNCTION("""COMPUTED_VALUE"""),"KEL. BANSIR LAUT")</f>
        <v>KEL. BANSIR LAUT</v>
      </c>
      <c r="O1229" s="16" t="str">
        <f>IFERROR(__xludf.DUMMYFUNCTION("""COMPUTED_VALUE"""),"KEC. PONTIANAK TENGGARA")</f>
        <v>KEC. PONTIANAK TENGGARA</v>
      </c>
      <c r="P1229" s="16" t="str">
        <f>IFERROR(__xludf.DUMMYFUNCTION("""COMPUTED_VALUE"""),"KOTA PONTIANAK")</f>
        <v>KOTA PONTIANAK</v>
      </c>
      <c r="Q1229" s="16" t="str">
        <f>IFERROR(__xludf.DUMMYFUNCTION("""COMPUTED_VALUE"""),"KALIMANTAN BARAT")</f>
        <v>KALIMANTAN BARAT</v>
      </c>
      <c r="R1229" s="19" t="str">
        <f>IFERROR(__xludf.DUMMYFUNCTION("""COMPUTED_VALUE"""),"ISLAM")</f>
        <v>ISLAM</v>
      </c>
      <c r="S1229" s="16" t="str">
        <f>IFERROR(__xludf.DUMMYFUNCTION("""COMPUTED_VALUE"""),"WIRASWASTA")</f>
        <v>WIRASWASTA</v>
      </c>
      <c r="T1229" s="16" t="str">
        <f>IFERROR(__xludf.DUMMYFUNCTION("""COMPUTED_VALUE"""),"")</f>
        <v/>
      </c>
      <c r="U1229" s="16" t="str">
        <f>IFERROR(__xludf.DUMMYFUNCTION("""COMPUTED_VALUE"""),"Bola Basket")</f>
        <v>Bola Basket</v>
      </c>
      <c r="V1229" s="11" t="str">
        <f>IFERROR(__xludf.DUMMYFUNCTION("""COMPUTED_VALUE"""),"082148483355")</f>
        <v>082148483355</v>
      </c>
      <c r="W1229" s="15"/>
    </row>
    <row r="1230" ht="22.5" customHeight="1">
      <c r="A1230" s="8"/>
      <c r="B1230" s="9">
        <f>IFERROR(__xludf.DUMMYFUNCTION("""COMPUTED_VALUE"""),45383.666896145834)</f>
        <v>45383.6669</v>
      </c>
      <c r="C1230" s="9"/>
      <c r="D1230" s="34">
        <f>IFERROR(__xludf.DUMMYFUNCTION("""COMPUTED_VALUE"""),45388.0)</f>
        <v>45388</v>
      </c>
      <c r="E1230" s="34" t="str">
        <f>IFERROR(__xludf.DUMMYFUNCTION("""COMPUTED_VALUE"""),"04Apr")</f>
        <v>04Apr</v>
      </c>
      <c r="F1230" s="34" t="str">
        <f>IFERROR(__xludf.DUMMYFUNCTION("""COMPUTED_VALUE"""),"2024")</f>
        <v>2024</v>
      </c>
      <c r="G1230" s="35" t="str">
        <f>IFERROR(__xludf.DUMMYFUNCTION("""COMPUTED_VALUE"""),"BOBBY FERI SETIAWAN")</f>
        <v>BOBBY FERI SETIAWAN</v>
      </c>
      <c r="H1230" s="17" t="str">
        <f>IFERROR(__xludf.DUMMYFUNCTION("""COMPUTED_VALUE"""),"B9724047081")</f>
        <v>B9724047081</v>
      </c>
      <c r="I1230" s="17">
        <f>IFERROR(__xludf.DUMMYFUNCTION("""COMPUTED_VALUE"""),29.0)</f>
        <v>29</v>
      </c>
      <c r="J1230" s="17" t="str">
        <f>IFERROR(__xludf.DUMMYFUNCTION("""COMPUTED_VALUE"""),"25-34 tahun")</f>
        <v>25-34 tahun</v>
      </c>
      <c r="K1230" s="19">
        <f>IFERROR(__xludf.DUMMYFUNCTION("""COMPUTED_VALUE"""),35515.0)</f>
        <v>35515</v>
      </c>
      <c r="L1230" s="19" t="str">
        <f>IFERROR(__xludf.DUMMYFUNCTION("""COMPUTED_VALUE"""),"LAKI-LAKI")</f>
        <v>LAKI-LAKI</v>
      </c>
      <c r="M1230" s="35" t="str">
        <f>IFERROR(__xludf.DUMMYFUNCTION("""COMPUTED_VALUE"""),"JL. KARYA BAKTI GG. KARYA BAKTI 3 NO.17")</f>
        <v>JL. KARYA BAKTI GG. KARYA BAKTI 3 NO.17</v>
      </c>
      <c r="N1230" s="16" t="str">
        <f>IFERROR(__xludf.DUMMYFUNCTION("""COMPUTED_VALUE"""),"KEL. AKCAYA")</f>
        <v>KEL. AKCAYA</v>
      </c>
      <c r="O1230" s="16" t="str">
        <f>IFERROR(__xludf.DUMMYFUNCTION("""COMPUTED_VALUE"""),"KEC. PONTIANAK SELATAN")</f>
        <v>KEC. PONTIANAK SELATAN</v>
      </c>
      <c r="P1230" s="16" t="str">
        <f>IFERROR(__xludf.DUMMYFUNCTION("""COMPUTED_VALUE"""),"KOTA PONTIANAK")</f>
        <v>KOTA PONTIANAK</v>
      </c>
      <c r="Q1230" s="16" t="str">
        <f>IFERROR(__xludf.DUMMYFUNCTION("""COMPUTED_VALUE"""),"KALIMANTAN BARAT")</f>
        <v>KALIMANTAN BARAT</v>
      </c>
      <c r="R1230" s="19" t="str">
        <f>IFERROR(__xludf.DUMMYFUNCTION("""COMPUTED_VALUE"""),"ISLAM")</f>
        <v>ISLAM</v>
      </c>
      <c r="S1230" s="16" t="str">
        <f>IFERROR(__xludf.DUMMYFUNCTION("""COMPUTED_VALUE"""),"BUMN")</f>
        <v>BUMN</v>
      </c>
      <c r="T1230" s="16" t="str">
        <f>IFERROR(__xludf.DUMMYFUNCTION("""COMPUTED_VALUE"""),"Angkle bengkak di kaki")</f>
        <v>Angkle bengkak di kaki</v>
      </c>
      <c r="U1230" s="16" t="str">
        <f>IFERROR(__xludf.DUMMYFUNCTION("""COMPUTED_VALUE"""),"Olahraga")</f>
        <v>Olahraga</v>
      </c>
      <c r="V1230" s="11" t="str">
        <f>IFERROR(__xludf.DUMMYFUNCTION("""COMPUTED_VALUE"""),"089664477081")</f>
        <v>089664477081</v>
      </c>
      <c r="W1230" s="15"/>
    </row>
    <row r="1231" ht="22.5" customHeight="1">
      <c r="A1231" s="8"/>
      <c r="B1231" s="9">
        <f>IFERROR(__xludf.DUMMYFUNCTION("""COMPUTED_VALUE"""),45383.78302939815)</f>
        <v>45383.78303</v>
      </c>
      <c r="C1231" s="9"/>
      <c r="D1231" s="34">
        <f>IFERROR(__xludf.DUMMYFUNCTION("""COMPUTED_VALUE"""),45389.0)</f>
        <v>45389</v>
      </c>
      <c r="E1231" s="34" t="str">
        <f>IFERROR(__xludf.DUMMYFUNCTION("""COMPUTED_VALUE"""),"04Apr")</f>
        <v>04Apr</v>
      </c>
      <c r="F1231" s="34" t="str">
        <f>IFERROR(__xludf.DUMMYFUNCTION("""COMPUTED_VALUE"""),"2024")</f>
        <v>2024</v>
      </c>
      <c r="G1231" s="35" t="str">
        <f>IFERROR(__xludf.DUMMYFUNCTION("""COMPUTED_VALUE"""),"TEOFILUS HAGIE, S.I.P")</f>
        <v>TEOFILUS HAGIE, S.I.P</v>
      </c>
      <c r="H1231" s="17" t="str">
        <f>IFERROR(__xludf.DUMMYFUNCTION("""COMPUTED_VALUE"""),"T9724048662")</f>
        <v>T9724048662</v>
      </c>
      <c r="I1231" s="17">
        <f>IFERROR(__xludf.DUMMYFUNCTION("""COMPUTED_VALUE"""),29.0)</f>
        <v>29</v>
      </c>
      <c r="J1231" s="17" t="str">
        <f>IFERROR(__xludf.DUMMYFUNCTION("""COMPUTED_VALUE"""),"25-34 tahun")</f>
        <v>25-34 tahun</v>
      </c>
      <c r="K1231" s="19">
        <f>IFERROR(__xludf.DUMMYFUNCTION("""COMPUTED_VALUE"""),35438.0)</f>
        <v>35438</v>
      </c>
      <c r="L1231" s="19" t="str">
        <f>IFERROR(__xludf.DUMMYFUNCTION("""COMPUTED_VALUE"""),"LAKI-LAKI")</f>
        <v>LAKI-LAKI</v>
      </c>
      <c r="M1231" s="35" t="str">
        <f>IFERROR(__xludf.DUMMYFUNCTION("""COMPUTED_VALUE"""),"DUSUN LAPE, DESA LAPE, RT/RT 004/000 KABUPATEN SANGGAU")</f>
        <v>DUSUN LAPE, DESA LAPE, RT/RT 004/000 KABUPATEN SANGGAU</v>
      </c>
      <c r="N1231" s="16" t="str">
        <f>IFERROR(__xludf.DUMMYFUNCTION("""COMPUTED_VALUE"""),"DS. LAPE")</f>
        <v>DS. LAPE</v>
      </c>
      <c r="O1231" s="16" t="str">
        <f>IFERROR(__xludf.DUMMYFUNCTION("""COMPUTED_VALUE"""),"KEC. KAPUAS")</f>
        <v>KEC. KAPUAS</v>
      </c>
      <c r="P1231" s="16" t="str">
        <f>IFERROR(__xludf.DUMMYFUNCTION("""COMPUTED_VALUE"""),"KAB. SANGGAU")</f>
        <v>KAB. SANGGAU</v>
      </c>
      <c r="Q1231" s="16" t="str">
        <f>IFERROR(__xludf.DUMMYFUNCTION("""COMPUTED_VALUE"""),"KALIMANTAN BARAT")</f>
        <v>KALIMANTAN BARAT</v>
      </c>
      <c r="R1231" s="19" t="str">
        <f>IFERROR(__xludf.DUMMYFUNCTION("""COMPUTED_VALUE"""),"KATOLIK")</f>
        <v>KATOLIK</v>
      </c>
      <c r="S1231" s="16" t="str">
        <f>IFERROR(__xludf.DUMMYFUNCTION("""COMPUTED_VALUE"""),"ASN")</f>
        <v>ASN</v>
      </c>
      <c r="T1231" s="16" t="str">
        <f>IFERROR(__xludf.DUMMYFUNCTION("""COMPUTED_VALUE"""),"NYERI PADA PADA SAAT BERAKTIVITAS")</f>
        <v>NYERI PADA PADA SAAT BERAKTIVITAS</v>
      </c>
      <c r="U1231" s="16" t="str">
        <f>IFERROR(__xludf.DUMMYFUNCTION("""COMPUTED_VALUE"""),"OLAHRAGA")</f>
        <v>OLAHRAGA</v>
      </c>
      <c r="V1231" s="11" t="str">
        <f>IFERROR(__xludf.DUMMYFUNCTION("""COMPUTED_VALUE"""),"085787178662")</f>
        <v>085787178662</v>
      </c>
      <c r="W1231" s="15"/>
    </row>
    <row r="1232" ht="22.5" customHeight="1">
      <c r="A1232" s="8"/>
      <c r="B1232" s="9">
        <f>IFERROR(__xludf.DUMMYFUNCTION("""COMPUTED_VALUE"""),45384.415420590274)</f>
        <v>45384.41542</v>
      </c>
      <c r="C1232" s="9"/>
      <c r="D1232" s="34">
        <f>IFERROR(__xludf.DUMMYFUNCTION("""COMPUTED_VALUE"""),45389.0)</f>
        <v>45389</v>
      </c>
      <c r="E1232" s="34" t="str">
        <f>IFERROR(__xludf.DUMMYFUNCTION("""COMPUTED_VALUE"""),"04Apr")</f>
        <v>04Apr</v>
      </c>
      <c r="F1232" s="34" t="str">
        <f>IFERROR(__xludf.DUMMYFUNCTION("""COMPUTED_VALUE"""),"2024")</f>
        <v>2024</v>
      </c>
      <c r="G1232" s="35" t="str">
        <f>IFERROR(__xludf.DUMMYFUNCTION("""COMPUTED_VALUE"""),"KIANG SE")</f>
        <v>KIANG SE</v>
      </c>
      <c r="H1232" s="17" t="str">
        <f>IFERROR(__xludf.DUMMYFUNCTION("""COMPUTED_VALUE"""),"K6524047777")</f>
        <v>K6524047777</v>
      </c>
      <c r="I1232" s="17">
        <f>IFERROR(__xludf.DUMMYFUNCTION("""COMPUTED_VALUE"""),61.0)</f>
        <v>61</v>
      </c>
      <c r="J1232" s="17" t="str">
        <f>IFERROR(__xludf.DUMMYFUNCTION("""COMPUTED_VALUE"""),"&gt; 44 tahun")</f>
        <v>&gt; 44 tahun</v>
      </c>
      <c r="K1232" s="19">
        <f>IFERROR(__xludf.DUMMYFUNCTION("""COMPUTED_VALUE"""),23750.0)</f>
        <v>23750</v>
      </c>
      <c r="L1232" s="19" t="str">
        <f>IFERROR(__xludf.DUMMYFUNCTION("""COMPUTED_VALUE"""),"LAKI-LAKI")</f>
        <v>LAKI-LAKI</v>
      </c>
      <c r="M1232" s="35" t="str">
        <f>IFERROR(__xludf.DUMMYFUNCTION("""COMPUTED_VALUE"""),"JL PENJARA")</f>
        <v>JL PENJARA</v>
      </c>
      <c r="N1232" s="16" t="str">
        <f>IFERROR(__xludf.DUMMYFUNCTION("""COMPUTED_VALUE"""),"KEL. SUNGAI BANGKONG")</f>
        <v>KEL. SUNGAI BANGKONG</v>
      </c>
      <c r="O1232" s="16" t="str">
        <f>IFERROR(__xludf.DUMMYFUNCTION("""COMPUTED_VALUE"""),"KEC. PONTIANAK KOTA")</f>
        <v>KEC. PONTIANAK KOTA</v>
      </c>
      <c r="P1232" s="16" t="str">
        <f>IFERROR(__xludf.DUMMYFUNCTION("""COMPUTED_VALUE"""),"KOTA PONTIANAK")</f>
        <v>KOTA PONTIANAK</v>
      </c>
      <c r="Q1232" s="16" t="str">
        <f>IFERROR(__xludf.DUMMYFUNCTION("""COMPUTED_VALUE"""),"KALIMANTAN BARAT")</f>
        <v>KALIMANTAN BARAT</v>
      </c>
      <c r="R1232" s="19" t="str">
        <f>IFERROR(__xludf.DUMMYFUNCTION("""COMPUTED_VALUE"""),"BUDDHA")</f>
        <v>BUDDHA</v>
      </c>
      <c r="S1232" s="16" t="str">
        <f>IFERROR(__xludf.DUMMYFUNCTION("""COMPUTED_VALUE"""),"SWASTA")</f>
        <v>SWASTA</v>
      </c>
      <c r="T1232" s="16" t="str">
        <f>IFERROR(__xludf.DUMMYFUNCTION("""COMPUTED_VALUE"""),"Nyeri")</f>
        <v>Nyeri</v>
      </c>
      <c r="U1232" s="16" t="str">
        <f>IFERROR(__xludf.DUMMYFUNCTION("""COMPUTED_VALUE"""),"OLAHRAGA")</f>
        <v>OLAHRAGA</v>
      </c>
      <c r="V1232" s="11" t="str">
        <f>IFERROR(__xludf.DUMMYFUNCTION("""COMPUTED_VALUE"""),"081352627777")</f>
        <v>081352627777</v>
      </c>
      <c r="W1232" s="15"/>
    </row>
    <row r="1233" ht="22.5" customHeight="1">
      <c r="A1233" s="8"/>
      <c r="B1233" s="9">
        <f>IFERROR(__xludf.DUMMYFUNCTION("""COMPUTED_VALUE"""),45385.58477405093)</f>
        <v>45385.58477</v>
      </c>
      <c r="C1233" s="9"/>
      <c r="D1233" s="34">
        <f>IFERROR(__xludf.DUMMYFUNCTION("""COMPUTED_VALUE"""),45389.0)</f>
        <v>45389</v>
      </c>
      <c r="E1233" s="34" t="str">
        <f>IFERROR(__xludf.DUMMYFUNCTION("""COMPUTED_VALUE"""),"04Apr")</f>
        <v>04Apr</v>
      </c>
      <c r="F1233" s="34" t="str">
        <f>IFERROR(__xludf.DUMMYFUNCTION("""COMPUTED_VALUE"""),"2024")</f>
        <v>2024</v>
      </c>
      <c r="G1233" s="35" t="str">
        <f>IFERROR(__xludf.DUMMYFUNCTION("""COMPUTED_VALUE"""),"OKTAVIANUS ANDRI")</f>
        <v>OKTAVIANUS ANDRI</v>
      </c>
      <c r="H1233" s="17" t="str">
        <f>IFERROR(__xludf.DUMMYFUNCTION("""COMPUTED_VALUE"""),"O9124042069")</f>
        <v>O9124042069</v>
      </c>
      <c r="I1233" s="17">
        <f>IFERROR(__xludf.DUMMYFUNCTION("""COMPUTED_VALUE"""),34.0)</f>
        <v>34</v>
      </c>
      <c r="J1233" s="17" t="str">
        <f>IFERROR(__xludf.DUMMYFUNCTION("""COMPUTED_VALUE"""),"25-34 tahun")</f>
        <v>25-34 tahun</v>
      </c>
      <c r="K1233" s="19">
        <f>IFERROR(__xludf.DUMMYFUNCTION("""COMPUTED_VALUE"""),33532.0)</f>
        <v>33532</v>
      </c>
      <c r="L1233" s="19" t="str">
        <f>IFERROR(__xludf.DUMMYFUNCTION("""COMPUTED_VALUE"""),"LAKI-LAKI")</f>
        <v>LAKI-LAKI</v>
      </c>
      <c r="M1233" s="35" t="str">
        <f>IFERROR(__xludf.DUMMYFUNCTION("""COMPUTED_VALUE"""),"JLN. PANCASILA V NO. 12")</f>
        <v>JLN. PANCASILA V NO. 12</v>
      </c>
      <c r="N1233" s="16" t="str">
        <f>IFERROR(__xludf.DUMMYFUNCTION("""COMPUTED_VALUE"""),"KEL. SUNGAI BANGKONG")</f>
        <v>KEL. SUNGAI BANGKONG</v>
      </c>
      <c r="O1233" s="16" t="str">
        <f>IFERROR(__xludf.DUMMYFUNCTION("""COMPUTED_VALUE"""),"KEC. PONTIANAK KOTA")</f>
        <v>KEC. PONTIANAK KOTA</v>
      </c>
      <c r="P1233" s="16" t="str">
        <f>IFERROR(__xludf.DUMMYFUNCTION("""COMPUTED_VALUE"""),"KOTA PONTIANAK")</f>
        <v>KOTA PONTIANAK</v>
      </c>
      <c r="Q1233" s="16" t="str">
        <f>IFERROR(__xludf.DUMMYFUNCTION("""COMPUTED_VALUE"""),"KALIMANTAN BARAT")</f>
        <v>KALIMANTAN BARAT</v>
      </c>
      <c r="R1233" s="19" t="str">
        <f>IFERROR(__xludf.DUMMYFUNCTION("""COMPUTED_VALUE"""),"KATOLIK")</f>
        <v>KATOLIK</v>
      </c>
      <c r="S1233" s="16" t="str">
        <f>IFERROR(__xludf.DUMMYFUNCTION("""COMPUTED_VALUE"""),"SWASTA")</f>
        <v>SWASTA</v>
      </c>
      <c r="T1233" s="16" t="str">
        <f>IFERROR(__xludf.DUMMYFUNCTION("""COMPUTED_VALUE"""),"NYERI PADA")</f>
        <v>NYERI PADA</v>
      </c>
      <c r="U1233" s="16" t="str">
        <f>IFERROR(__xludf.DUMMYFUNCTION("""COMPUTED_VALUE"""),"OLAHRAGA DAN BERMUSIK")</f>
        <v>OLAHRAGA DAN BERMUSIK</v>
      </c>
      <c r="V1233" s="11" t="str">
        <f>IFERROR(__xludf.DUMMYFUNCTION("""COMPUTED_VALUE"""),"082254552069")</f>
        <v>082254552069</v>
      </c>
      <c r="W1233" s="15"/>
    </row>
    <row r="1234" ht="22.5" customHeight="1">
      <c r="A1234" s="8"/>
      <c r="B1234" s="9">
        <f>IFERROR(__xludf.DUMMYFUNCTION("""COMPUTED_VALUE"""),45385.65604128472)</f>
        <v>45385.65604</v>
      </c>
      <c r="C1234" s="9"/>
      <c r="D1234" s="34">
        <f>IFERROR(__xludf.DUMMYFUNCTION("""COMPUTED_VALUE"""),45397.0)</f>
        <v>45397</v>
      </c>
      <c r="E1234" s="34" t="str">
        <f>IFERROR(__xludf.DUMMYFUNCTION("""COMPUTED_VALUE"""),"04Apr")</f>
        <v>04Apr</v>
      </c>
      <c r="F1234" s="34" t="str">
        <f>IFERROR(__xludf.DUMMYFUNCTION("""COMPUTED_VALUE"""),"2024")</f>
        <v>2024</v>
      </c>
      <c r="G1234" s="35" t="str">
        <f>IFERROR(__xludf.DUMMYFUNCTION("""COMPUTED_VALUE"""),"EVY MAHARANI")</f>
        <v>EVY MAHARANI</v>
      </c>
      <c r="H1234" s="17" t="str">
        <f>IFERROR(__xludf.DUMMYFUNCTION("""COMPUTED_VALUE"""),"E8324049827")</f>
        <v>E8324049827</v>
      </c>
      <c r="I1234" s="17">
        <f>IFERROR(__xludf.DUMMYFUNCTION("""COMPUTED_VALUE"""),43.0)</f>
        <v>43</v>
      </c>
      <c r="J1234" s="17" t="str">
        <f>IFERROR(__xludf.DUMMYFUNCTION("""COMPUTED_VALUE"""),"35-44 tahun")</f>
        <v>35-44 tahun</v>
      </c>
      <c r="K1234" s="19">
        <f>IFERROR(__xludf.DUMMYFUNCTION("""COMPUTED_VALUE"""),30409.0)</f>
        <v>30409</v>
      </c>
      <c r="L1234" s="19" t="str">
        <f>IFERROR(__xludf.DUMMYFUNCTION("""COMPUTED_VALUE"""),"PEREMPUAN")</f>
        <v>PEREMPUAN</v>
      </c>
      <c r="M1234" s="35" t="str">
        <f>IFERROR(__xludf.DUMMYFUNCTION("""COMPUTED_VALUE"""),"JL.AMPERA.KOMP FAHROES")</f>
        <v>JL.AMPERA.KOMP FAHROES</v>
      </c>
      <c r="N1234" s="16" t="str">
        <f>IFERROR(__xludf.DUMMYFUNCTION("""COMPUTED_VALUE"""),"KEL. SUNGAI JAWI")</f>
        <v>KEL. SUNGAI JAWI</v>
      </c>
      <c r="O1234" s="16" t="str">
        <f>IFERROR(__xludf.DUMMYFUNCTION("""COMPUTED_VALUE"""),"KEC. PONTIANAK KOTA")</f>
        <v>KEC. PONTIANAK KOTA</v>
      </c>
      <c r="P1234" s="16" t="str">
        <f>IFERROR(__xludf.DUMMYFUNCTION("""COMPUTED_VALUE"""),"KOTA PONTIANAK")</f>
        <v>KOTA PONTIANAK</v>
      </c>
      <c r="Q1234" s="16" t="str">
        <f>IFERROR(__xludf.DUMMYFUNCTION("""COMPUTED_VALUE"""),"KALIMANTAN BARAT")</f>
        <v>KALIMANTAN BARAT</v>
      </c>
      <c r="R1234" s="19" t="str">
        <f>IFERROR(__xludf.DUMMYFUNCTION("""COMPUTED_VALUE"""),"ISLAM")</f>
        <v>ISLAM</v>
      </c>
      <c r="S1234" s="16" t="str">
        <f>IFERROR(__xludf.DUMMYFUNCTION("""COMPUTED_VALUE"""),"DOSEN/GURU")</f>
        <v>DOSEN/GURU</v>
      </c>
      <c r="T1234" s="16" t="str">
        <f>IFERROR(__xludf.DUMMYFUNCTION("""COMPUTED_VALUE"""),"Nyeri bokong sebelag kiri")</f>
        <v>Nyeri bokong sebelag kiri</v>
      </c>
      <c r="U1234" s="16" t="str">
        <f>IFERROR(__xludf.DUMMYFUNCTION("""COMPUTED_VALUE"""),"Drmh saja")</f>
        <v>Drmh saja</v>
      </c>
      <c r="V1234" s="11" t="str">
        <f>IFERROR(__xludf.DUMMYFUNCTION("""COMPUTED_VALUE"""),"082255989827")</f>
        <v>082255989827</v>
      </c>
      <c r="W1234" s="15"/>
    </row>
    <row r="1235" ht="22.5" customHeight="1">
      <c r="A1235" s="8"/>
      <c r="B1235" s="9">
        <f>IFERROR(__xludf.DUMMYFUNCTION("""COMPUTED_VALUE"""),45385.70292753472)</f>
        <v>45385.70293</v>
      </c>
      <c r="C1235" s="9"/>
      <c r="D1235" s="34">
        <f>IFERROR(__xludf.DUMMYFUNCTION("""COMPUTED_VALUE"""),45397.0)</f>
        <v>45397</v>
      </c>
      <c r="E1235" s="34" t="str">
        <f>IFERROR(__xludf.DUMMYFUNCTION("""COMPUTED_VALUE"""),"04Apr")</f>
        <v>04Apr</v>
      </c>
      <c r="F1235" s="34" t="str">
        <f>IFERROR(__xludf.DUMMYFUNCTION("""COMPUTED_VALUE"""),"2024")</f>
        <v>2024</v>
      </c>
      <c r="G1235" s="35" t="str">
        <f>IFERROR(__xludf.DUMMYFUNCTION("""COMPUTED_VALUE"""),"SANDY SAPUTRA")</f>
        <v>SANDY SAPUTRA</v>
      </c>
      <c r="H1235" s="17" t="str">
        <f>IFERROR(__xludf.DUMMYFUNCTION("""COMPUTED_VALUE"""),"S8924045678")</f>
        <v>S8924045678</v>
      </c>
      <c r="I1235" s="17">
        <f>IFERROR(__xludf.DUMMYFUNCTION("""COMPUTED_VALUE"""),36.0)</f>
        <v>36</v>
      </c>
      <c r="J1235" s="17" t="str">
        <f>IFERROR(__xludf.DUMMYFUNCTION("""COMPUTED_VALUE"""),"35-44 tahun")</f>
        <v>35-44 tahun</v>
      </c>
      <c r="K1235" s="19">
        <f>IFERROR(__xludf.DUMMYFUNCTION("""COMPUTED_VALUE"""),32801.0)</f>
        <v>32801</v>
      </c>
      <c r="L1235" s="19" t="str">
        <f>IFERROR(__xludf.DUMMYFUNCTION("""COMPUTED_VALUE"""),"LAKI-LAKI")</f>
        <v>LAKI-LAKI</v>
      </c>
      <c r="M1235" s="35" t="str">
        <f>IFERROR(__xludf.DUMMYFUNCTION("""COMPUTED_VALUE"""),"JLN.PURNAMA GG.MENTARI NO.C6")</f>
        <v>JLN.PURNAMA GG.MENTARI NO.C6</v>
      </c>
      <c r="N1235" s="16" t="str">
        <f>IFERROR(__xludf.DUMMYFUNCTION("""COMPUTED_VALUE"""),"KEL. AKCAYA")</f>
        <v>KEL. AKCAYA</v>
      </c>
      <c r="O1235" s="16" t="str">
        <f>IFERROR(__xludf.DUMMYFUNCTION("""COMPUTED_VALUE"""),"KEC. PONTIANAK SELATAN")</f>
        <v>KEC. PONTIANAK SELATAN</v>
      </c>
      <c r="P1235" s="16" t="str">
        <f>IFERROR(__xludf.DUMMYFUNCTION("""COMPUTED_VALUE"""),"KOTA PONTIANAK")</f>
        <v>KOTA PONTIANAK</v>
      </c>
      <c r="Q1235" s="16" t="str">
        <f>IFERROR(__xludf.DUMMYFUNCTION("""COMPUTED_VALUE"""),"KALIMANTAN BARAT")</f>
        <v>KALIMANTAN BARAT</v>
      </c>
      <c r="R1235" s="19" t="str">
        <f>IFERROR(__xludf.DUMMYFUNCTION("""COMPUTED_VALUE"""),"PROTESTAN")</f>
        <v>PROTESTAN</v>
      </c>
      <c r="S1235" s="16" t="str">
        <f>IFERROR(__xludf.DUMMYFUNCTION("""COMPUTED_VALUE"""),"SWASTA")</f>
        <v>SWASTA</v>
      </c>
      <c r="T1235" s="16" t="str">
        <f>IFERROR(__xludf.DUMMYFUNCTION("""COMPUTED_VALUE"""),"Tumit kiri dan kanan")</f>
        <v>Tumit kiri dan kanan</v>
      </c>
      <c r="U1235" s="16" t="str">
        <f>IFERROR(__xludf.DUMMYFUNCTION("""COMPUTED_VALUE"""),"Sepak bola")</f>
        <v>Sepak bola</v>
      </c>
      <c r="V1235" s="11" t="str">
        <f>IFERROR(__xludf.DUMMYFUNCTION("""COMPUTED_VALUE"""),"085245415678")</f>
        <v>085245415678</v>
      </c>
      <c r="W1235" s="15"/>
    </row>
    <row r="1236" ht="22.5" customHeight="1">
      <c r="A1236" s="8"/>
      <c r="B1236" s="9">
        <f>IFERROR(__xludf.DUMMYFUNCTION("""COMPUTED_VALUE"""),45385.8526937037)</f>
        <v>45385.85269</v>
      </c>
      <c r="C1236" s="9"/>
      <c r="D1236" s="34">
        <f>IFERROR(__xludf.DUMMYFUNCTION("""COMPUTED_VALUE"""),45397.0)</f>
        <v>45397</v>
      </c>
      <c r="E1236" s="34" t="str">
        <f>IFERROR(__xludf.DUMMYFUNCTION("""COMPUTED_VALUE"""),"04Apr")</f>
        <v>04Apr</v>
      </c>
      <c r="F1236" s="34" t="str">
        <f>IFERROR(__xludf.DUMMYFUNCTION("""COMPUTED_VALUE"""),"2024")</f>
        <v>2024</v>
      </c>
      <c r="G1236" s="35" t="str">
        <f>IFERROR(__xludf.DUMMYFUNCTION("""COMPUTED_VALUE"""),"BENY RIANO DARMANSYAH")</f>
        <v>BENY RIANO DARMANSYAH</v>
      </c>
      <c r="H1236" s="17" t="str">
        <f>IFERROR(__xludf.DUMMYFUNCTION("""COMPUTED_VALUE"""),"B6924043490")</f>
        <v>B6924043490</v>
      </c>
      <c r="I1236" s="17">
        <f>IFERROR(__xludf.DUMMYFUNCTION("""COMPUTED_VALUE"""),57.0)</f>
        <v>57</v>
      </c>
      <c r="J1236" s="17" t="str">
        <f>IFERROR(__xludf.DUMMYFUNCTION("""COMPUTED_VALUE"""),"&gt; 44 tahun")</f>
        <v>&gt; 44 tahun</v>
      </c>
      <c r="K1236" s="19">
        <f>IFERROR(__xludf.DUMMYFUNCTION("""COMPUTED_VALUE"""),25213.0)</f>
        <v>25213</v>
      </c>
      <c r="L1236" s="19" t="str">
        <f>IFERROR(__xludf.DUMMYFUNCTION("""COMPUTED_VALUE"""),"LAKI-LAKI")</f>
        <v>LAKI-LAKI</v>
      </c>
      <c r="M1236" s="35" t="str">
        <f>IFERROR(__xludf.DUMMYFUNCTION("""COMPUTED_VALUE"""),"JL TRUNOJOYO NO 2C")</f>
        <v>JL TRUNOJOYO NO 2C</v>
      </c>
      <c r="N1236" s="16" t="str">
        <f>IFERROR(__xludf.DUMMYFUNCTION("""COMPUTED_VALUE"""),"KEL. BENUA MELAYU DARAT")</f>
        <v>KEL. BENUA MELAYU DARAT</v>
      </c>
      <c r="O1236" s="16" t="str">
        <f>IFERROR(__xludf.DUMMYFUNCTION("""COMPUTED_VALUE"""),"KEC. PONTIANAK SELATAN")</f>
        <v>KEC. PONTIANAK SELATAN</v>
      </c>
      <c r="P1236" s="16" t="str">
        <f>IFERROR(__xludf.DUMMYFUNCTION("""COMPUTED_VALUE"""),"KOTA PONTIANAK")</f>
        <v>KOTA PONTIANAK</v>
      </c>
      <c r="Q1236" s="16" t="str">
        <f>IFERROR(__xludf.DUMMYFUNCTION("""COMPUTED_VALUE"""),"KALIMANTAN BARAT")</f>
        <v>KALIMANTAN BARAT</v>
      </c>
      <c r="R1236" s="19" t="str">
        <f>IFERROR(__xludf.DUMMYFUNCTION("""COMPUTED_VALUE"""),"ISLAM")</f>
        <v>ISLAM</v>
      </c>
      <c r="S1236" s="16" t="str">
        <f>IFERROR(__xludf.DUMMYFUNCTION("""COMPUTED_VALUE"""),"WIRASWASTA")</f>
        <v>WIRASWASTA</v>
      </c>
      <c r="T1236" s="16" t="str">
        <f>IFERROR(__xludf.DUMMYFUNCTION("""COMPUTED_VALUE"""),"Susah bicara,susah nelan dan tangan lemah")</f>
        <v>Susah bicara,susah nelan dan tangan lemah</v>
      </c>
      <c r="U1236" s="16" t="str">
        <f>IFERROR(__xludf.DUMMYFUNCTION("""COMPUTED_VALUE"""),"Membaca")</f>
        <v>Membaca</v>
      </c>
      <c r="V1236" s="11" t="str">
        <f>IFERROR(__xludf.DUMMYFUNCTION("""COMPUTED_VALUE"""),"081352333490")</f>
        <v>081352333490</v>
      </c>
      <c r="W1236" s="15"/>
    </row>
    <row r="1237" ht="22.5" customHeight="1">
      <c r="A1237" s="8"/>
      <c r="B1237" s="9">
        <f>IFERROR(__xludf.DUMMYFUNCTION("""COMPUTED_VALUE"""),45386.69160482639)</f>
        <v>45386.6916</v>
      </c>
      <c r="C1237" s="9"/>
      <c r="D1237" s="34">
        <f>IFERROR(__xludf.DUMMYFUNCTION("""COMPUTED_VALUE"""),45397.0)</f>
        <v>45397</v>
      </c>
      <c r="E1237" s="34" t="str">
        <f>IFERROR(__xludf.DUMMYFUNCTION("""COMPUTED_VALUE"""),"04Apr")</f>
        <v>04Apr</v>
      </c>
      <c r="F1237" s="34" t="str">
        <f>IFERROR(__xludf.DUMMYFUNCTION("""COMPUTED_VALUE"""),"2024")</f>
        <v>2024</v>
      </c>
      <c r="G1237" s="35" t="str">
        <f>IFERROR(__xludf.DUMMYFUNCTION("""COMPUTED_VALUE"""),"EN RUMAJAR")</f>
        <v>EN RUMAJAR</v>
      </c>
      <c r="H1237" s="17" t="str">
        <f>IFERROR(__xludf.DUMMYFUNCTION("""COMPUTED_VALUE"""),"E8724046722")</f>
        <v>E8724046722</v>
      </c>
      <c r="I1237" s="17">
        <f>IFERROR(__xludf.DUMMYFUNCTION("""COMPUTED_VALUE"""),38.0)</f>
        <v>38</v>
      </c>
      <c r="J1237" s="17" t="str">
        <f>IFERROR(__xludf.DUMMYFUNCTION("""COMPUTED_VALUE"""),"35-44 tahun")</f>
        <v>35-44 tahun</v>
      </c>
      <c r="K1237" s="19">
        <f>IFERROR(__xludf.DUMMYFUNCTION("""COMPUTED_VALUE"""),32088.0)</f>
        <v>32088</v>
      </c>
      <c r="L1237" s="19" t="str">
        <f>IFERROR(__xludf.DUMMYFUNCTION("""COMPUTED_VALUE"""),"LAKI-LAKI")</f>
        <v>LAKI-LAKI</v>
      </c>
      <c r="M1237" s="35" t="str">
        <f>IFERROR(__xludf.DUMMYFUNCTION("""COMPUTED_VALUE"""),"JL ALIANYANG GG RAHAYU NO 20")</f>
        <v>JL ALIANYANG GG RAHAYU NO 20</v>
      </c>
      <c r="N1237" s="16" t="str">
        <f>IFERROR(__xludf.DUMMYFUNCTION("""COMPUTED_VALUE"""),"KEL. SUNGAI BANGKONG")</f>
        <v>KEL. SUNGAI BANGKONG</v>
      </c>
      <c r="O1237" s="16" t="str">
        <f>IFERROR(__xludf.DUMMYFUNCTION("""COMPUTED_VALUE"""),"KEC. PONTIANAK KOTA")</f>
        <v>KEC. PONTIANAK KOTA</v>
      </c>
      <c r="P1237" s="16" t="str">
        <f>IFERROR(__xludf.DUMMYFUNCTION("""COMPUTED_VALUE"""),"KOTA PONTIANAK")</f>
        <v>KOTA PONTIANAK</v>
      </c>
      <c r="Q1237" s="16" t="str">
        <f>IFERROR(__xludf.DUMMYFUNCTION("""COMPUTED_VALUE"""),"KALIMANTAN BARAT")</f>
        <v>KALIMANTAN BARAT</v>
      </c>
      <c r="R1237" s="19" t="str">
        <f>IFERROR(__xludf.DUMMYFUNCTION("""COMPUTED_VALUE"""),"KATOLIK")</f>
        <v>KATOLIK</v>
      </c>
      <c r="S1237" s="16" t="str">
        <f>IFERROR(__xludf.DUMMYFUNCTION("""COMPUTED_VALUE"""),"WIRASWASTA")</f>
        <v>WIRASWASTA</v>
      </c>
      <c r="T1237" s="16" t="str">
        <f>IFERROR(__xludf.DUMMYFUNCTION("""COMPUTED_VALUE"""),"NYERI PINGGANG")</f>
        <v>NYERI PINGGANG</v>
      </c>
      <c r="U1237" s="16" t="str">
        <f>IFERROR(__xludf.DUMMYFUNCTION("""COMPUTED_VALUE"""),"MEMANCING")</f>
        <v>MEMANCING</v>
      </c>
      <c r="V1237" s="11" t="str">
        <f>IFERROR(__xludf.DUMMYFUNCTION("""COMPUTED_VALUE"""),"085347256722")</f>
        <v>085347256722</v>
      </c>
      <c r="W1237" s="15"/>
    </row>
    <row r="1238" ht="22.5" customHeight="1">
      <c r="A1238" s="8"/>
      <c r="B1238" s="9">
        <f>IFERROR(__xludf.DUMMYFUNCTION("""COMPUTED_VALUE"""),45386.700145891205)</f>
        <v>45386.70015</v>
      </c>
      <c r="C1238" s="9"/>
      <c r="D1238" s="34">
        <f>IFERROR(__xludf.DUMMYFUNCTION("""COMPUTED_VALUE"""),45397.0)</f>
        <v>45397</v>
      </c>
      <c r="E1238" s="34" t="str">
        <f>IFERROR(__xludf.DUMMYFUNCTION("""COMPUTED_VALUE"""),"04Apr")</f>
        <v>04Apr</v>
      </c>
      <c r="F1238" s="34" t="str">
        <f>IFERROR(__xludf.DUMMYFUNCTION("""COMPUTED_VALUE"""),"2024")</f>
        <v>2024</v>
      </c>
      <c r="G1238" s="35" t="str">
        <f>IFERROR(__xludf.DUMMYFUNCTION("""COMPUTED_VALUE"""),"SRI RAHAYU")</f>
        <v>SRI RAHAYU</v>
      </c>
      <c r="H1238" s="17" t="str">
        <f>IFERROR(__xludf.DUMMYFUNCTION("""COMPUTED_VALUE"""),"S7024043490")</f>
        <v>S7024043490</v>
      </c>
      <c r="I1238" s="17">
        <f>IFERROR(__xludf.DUMMYFUNCTION("""COMPUTED_VALUE"""),55.0)</f>
        <v>55</v>
      </c>
      <c r="J1238" s="17" t="str">
        <f>IFERROR(__xludf.DUMMYFUNCTION("""COMPUTED_VALUE"""),"&gt; 44 tahun")</f>
        <v>&gt; 44 tahun</v>
      </c>
      <c r="K1238" s="19">
        <f>IFERROR(__xludf.DUMMYFUNCTION("""COMPUTED_VALUE"""),25852.0)</f>
        <v>25852</v>
      </c>
      <c r="L1238" s="19" t="str">
        <f>IFERROR(__xludf.DUMMYFUNCTION("""COMPUTED_VALUE"""),"PEREMPUAN")</f>
        <v>PEREMPUAN</v>
      </c>
      <c r="M1238" s="35" t="str">
        <f>IFERROR(__xludf.DUMMYFUNCTION("""COMPUTED_VALUE"""),"JL TRUNOJOYO 2C")</f>
        <v>JL TRUNOJOYO 2C</v>
      </c>
      <c r="N1238" s="16" t="str">
        <f>IFERROR(__xludf.DUMMYFUNCTION("""COMPUTED_VALUE"""),"KEL. BENUA MELAYU DARAT")</f>
        <v>KEL. BENUA MELAYU DARAT</v>
      </c>
      <c r="O1238" s="16" t="str">
        <f>IFERROR(__xludf.DUMMYFUNCTION("""COMPUTED_VALUE"""),"KEC. PONTIANAK SELATAN")</f>
        <v>KEC. PONTIANAK SELATAN</v>
      </c>
      <c r="P1238" s="16" t="str">
        <f>IFERROR(__xludf.DUMMYFUNCTION("""COMPUTED_VALUE"""),"KOTA PONTIANAK")</f>
        <v>KOTA PONTIANAK</v>
      </c>
      <c r="Q1238" s="16" t="str">
        <f>IFERROR(__xludf.DUMMYFUNCTION("""COMPUTED_VALUE"""),"KALIMANTAN BARAT")</f>
        <v>KALIMANTAN BARAT</v>
      </c>
      <c r="R1238" s="19" t="str">
        <f>IFERROR(__xludf.DUMMYFUNCTION("""COMPUTED_VALUE"""),"ISLAM")</f>
        <v>ISLAM</v>
      </c>
      <c r="S1238" s="16" t="str">
        <f>IFERROR(__xludf.DUMMYFUNCTION("""COMPUTED_VALUE"""),"WIRASWASTA")</f>
        <v>WIRASWASTA</v>
      </c>
      <c r="T1238" s="16" t="str">
        <f>IFERROR(__xludf.DUMMYFUNCTION("""COMPUTED_VALUE"""),"Jari jari tangan kaku")</f>
        <v>Jari jari tangan kaku</v>
      </c>
      <c r="U1238" s="16" t="str">
        <f>IFERROR(__xludf.DUMMYFUNCTION("""COMPUTED_VALUE"""),"Dengarin musik")</f>
        <v>Dengarin musik</v>
      </c>
      <c r="V1238" s="11" t="str">
        <f>IFERROR(__xludf.DUMMYFUNCTION("""COMPUTED_VALUE"""),"081352333490")</f>
        <v>081352333490</v>
      </c>
      <c r="W1238" s="15"/>
    </row>
    <row r="1239" ht="22.5" customHeight="1">
      <c r="A1239" s="8"/>
      <c r="B1239" s="9">
        <f>IFERROR(__xludf.DUMMYFUNCTION("""COMPUTED_VALUE"""),45387.57719636574)</f>
        <v>45387.5772</v>
      </c>
      <c r="C1239" s="9"/>
      <c r="D1239" s="34">
        <f>IFERROR(__xludf.DUMMYFUNCTION("""COMPUTED_VALUE"""),45397.0)</f>
        <v>45397</v>
      </c>
      <c r="E1239" s="34" t="str">
        <f>IFERROR(__xludf.DUMMYFUNCTION("""COMPUTED_VALUE"""),"04Apr")</f>
        <v>04Apr</v>
      </c>
      <c r="F1239" s="34" t="str">
        <f>IFERROR(__xludf.DUMMYFUNCTION("""COMPUTED_VALUE"""),"2024")</f>
        <v>2024</v>
      </c>
      <c r="G1239" s="35" t="str">
        <f>IFERROR(__xludf.DUMMYFUNCTION("""COMPUTED_VALUE"""),"CICI PUTRIANINGSIH")</f>
        <v>CICI PUTRIANINGSIH</v>
      </c>
      <c r="H1239" s="17" t="str">
        <f>IFERROR(__xludf.DUMMYFUNCTION("""COMPUTED_VALUE"""),"C9424041594")</f>
        <v>C9424041594</v>
      </c>
      <c r="I1239" s="17">
        <f>IFERROR(__xludf.DUMMYFUNCTION("""COMPUTED_VALUE"""),32.0)</f>
        <v>32</v>
      </c>
      <c r="J1239" s="17" t="str">
        <f>IFERROR(__xludf.DUMMYFUNCTION("""COMPUTED_VALUE"""),"25-34 tahun")</f>
        <v>25-34 tahun</v>
      </c>
      <c r="K1239" s="19">
        <f>IFERROR(__xludf.DUMMYFUNCTION("""COMPUTED_VALUE"""),34425.0)</f>
        <v>34425</v>
      </c>
      <c r="L1239" s="19" t="str">
        <f>IFERROR(__xludf.DUMMYFUNCTION("""COMPUTED_VALUE"""),"PEREMPUAN")</f>
        <v>PEREMPUAN</v>
      </c>
      <c r="M1239" s="35" t="str">
        <f>IFERROR(__xludf.DUMMYFUNCTION("""COMPUTED_VALUE"""),"JL. DANAU SENTARUM KOMP. SENTARUM PERMAI NO 12")</f>
        <v>JL. DANAU SENTARUM KOMP. SENTARUM PERMAI NO 12</v>
      </c>
      <c r="N1239" s="16" t="str">
        <f>IFERROR(__xludf.DUMMYFUNCTION("""COMPUTED_VALUE"""),"KEL. SUNGAI BANGKONG")</f>
        <v>KEL. SUNGAI BANGKONG</v>
      </c>
      <c r="O1239" s="16" t="str">
        <f>IFERROR(__xludf.DUMMYFUNCTION("""COMPUTED_VALUE"""),"KEC. PONTIANAK KOTA")</f>
        <v>KEC. PONTIANAK KOTA</v>
      </c>
      <c r="P1239" s="16" t="str">
        <f>IFERROR(__xludf.DUMMYFUNCTION("""COMPUTED_VALUE"""),"KOTA PONTIANAK")</f>
        <v>KOTA PONTIANAK</v>
      </c>
      <c r="Q1239" s="16" t="str">
        <f>IFERROR(__xludf.DUMMYFUNCTION("""COMPUTED_VALUE"""),"KALIMANTAN BARAT")</f>
        <v>KALIMANTAN BARAT</v>
      </c>
      <c r="R1239" s="19" t="str">
        <f>IFERROR(__xludf.DUMMYFUNCTION("""COMPUTED_VALUE"""),"ISLAM")</f>
        <v>ISLAM</v>
      </c>
      <c r="S1239" s="16" t="str">
        <f>IFERROR(__xludf.DUMMYFUNCTION("""COMPUTED_VALUE"""),"SWASTA")</f>
        <v>SWASTA</v>
      </c>
      <c r="T1239" s="16" t="str">
        <f>IFERROR(__xludf.DUMMYFUNCTION("""COMPUTED_VALUE"""),"lokasi enkle")</f>
        <v>lokasi enkle</v>
      </c>
      <c r="U1239" s="16" t="str">
        <f>IFERROR(__xludf.DUMMYFUNCTION("""COMPUTED_VALUE"""),"kerja")</f>
        <v>kerja</v>
      </c>
      <c r="V1239" s="11" t="str">
        <f>IFERROR(__xludf.DUMMYFUNCTION("""COMPUTED_VALUE"""),"089613891594")</f>
        <v>089613891594</v>
      </c>
      <c r="W1239" s="15"/>
    </row>
    <row r="1240" ht="22.5" customHeight="1">
      <c r="A1240" s="8"/>
      <c r="B1240" s="9">
        <f>IFERROR(__xludf.DUMMYFUNCTION("""COMPUTED_VALUE"""),45388.37835337963)</f>
        <v>45388.37835</v>
      </c>
      <c r="C1240" s="9"/>
      <c r="D1240" s="34">
        <f>IFERROR(__xludf.DUMMYFUNCTION("""COMPUTED_VALUE"""),45397.0)</f>
        <v>45397</v>
      </c>
      <c r="E1240" s="34" t="str">
        <f>IFERROR(__xludf.DUMMYFUNCTION("""COMPUTED_VALUE"""),"04Apr")</f>
        <v>04Apr</v>
      </c>
      <c r="F1240" s="34" t="str">
        <f>IFERROR(__xludf.DUMMYFUNCTION("""COMPUTED_VALUE"""),"2024")</f>
        <v>2024</v>
      </c>
      <c r="G1240" s="35" t="str">
        <f>IFERROR(__xludf.DUMMYFUNCTION("""COMPUTED_VALUE"""),"RAHMAN FITRIADI")</f>
        <v>RAHMAN FITRIADI</v>
      </c>
      <c r="H1240" s="17" t="str">
        <f>IFERROR(__xludf.DUMMYFUNCTION("""COMPUTED_VALUE"""),"R8624047770")</f>
        <v>R8624047770</v>
      </c>
      <c r="I1240" s="17">
        <f>IFERROR(__xludf.DUMMYFUNCTION("""COMPUTED_VALUE"""),40.0)</f>
        <v>40</v>
      </c>
      <c r="J1240" s="17" t="str">
        <f>IFERROR(__xludf.DUMMYFUNCTION("""COMPUTED_VALUE"""),"35-44 tahun")</f>
        <v>35-44 tahun</v>
      </c>
      <c r="K1240" s="19">
        <f>IFERROR(__xludf.DUMMYFUNCTION("""COMPUTED_VALUE"""),31547.0)</f>
        <v>31547</v>
      </c>
      <c r="L1240" s="19" t="str">
        <f>IFERROR(__xludf.DUMMYFUNCTION("""COMPUTED_VALUE"""),"LAKI-LAKI")</f>
        <v>LAKI-LAKI</v>
      </c>
      <c r="M1240" s="35" t="str">
        <f>IFERROR(__xludf.DUMMYFUNCTION("""COMPUTED_VALUE"""),"JALAN SUKA MULYA GG SUKMA 24 NO 10")</f>
        <v>JALAN SUKA MULYA GG SUKMA 24 NO 10</v>
      </c>
      <c r="N1240" s="16" t="str">
        <f>IFERROR(__xludf.DUMMYFUNCTION("""COMPUTED_VALUE"""),"KEL. SUNGAI JAWI")</f>
        <v>KEL. SUNGAI JAWI</v>
      </c>
      <c r="O1240" s="16" t="str">
        <f>IFERROR(__xludf.DUMMYFUNCTION("""COMPUTED_VALUE"""),"KEC. PONTIANAK KOTA")</f>
        <v>KEC. PONTIANAK KOTA</v>
      </c>
      <c r="P1240" s="16" t="str">
        <f>IFERROR(__xludf.DUMMYFUNCTION("""COMPUTED_VALUE"""),"KOTA PONTIANAK")</f>
        <v>KOTA PONTIANAK</v>
      </c>
      <c r="Q1240" s="16" t="str">
        <f>IFERROR(__xludf.DUMMYFUNCTION("""COMPUTED_VALUE"""),"KALIMANTAN BARAT")</f>
        <v>KALIMANTAN BARAT</v>
      </c>
      <c r="R1240" s="19" t="str">
        <f>IFERROR(__xludf.DUMMYFUNCTION("""COMPUTED_VALUE"""),"ISLAM")</f>
        <v>ISLAM</v>
      </c>
      <c r="S1240" s="16" t="str">
        <f>IFERROR(__xludf.DUMMYFUNCTION("""COMPUTED_VALUE"""),"SWASTA")</f>
        <v>SWASTA</v>
      </c>
      <c r="T1240" s="16" t="str">
        <f>IFERROR(__xludf.DUMMYFUNCTION("""COMPUTED_VALUE"""),"Nafas kurang stabil kalau kecapean")</f>
        <v>Nafas kurang stabil kalau kecapean</v>
      </c>
      <c r="U1240" s="16" t="str">
        <f>IFERROR(__xludf.DUMMYFUNCTION("""COMPUTED_VALUE"""),"Sepak bola")</f>
        <v>Sepak bola</v>
      </c>
      <c r="V1240" s="11" t="str">
        <f>IFERROR(__xludf.DUMMYFUNCTION("""COMPUTED_VALUE"""),"08115717770")</f>
        <v>08115717770</v>
      </c>
      <c r="W1240" s="15"/>
    </row>
    <row r="1241" ht="22.5" customHeight="1">
      <c r="A1241" s="8"/>
      <c r="B1241" s="9">
        <f>IFERROR(__xludf.DUMMYFUNCTION("""COMPUTED_VALUE"""),45388.669569652775)</f>
        <v>45388.66957</v>
      </c>
      <c r="C1241" s="9"/>
      <c r="D1241" s="34">
        <f>IFERROR(__xludf.DUMMYFUNCTION("""COMPUTED_VALUE"""),45398.0)</f>
        <v>45398</v>
      </c>
      <c r="E1241" s="34" t="str">
        <f>IFERROR(__xludf.DUMMYFUNCTION("""COMPUTED_VALUE"""),"04Apr")</f>
        <v>04Apr</v>
      </c>
      <c r="F1241" s="34" t="str">
        <f>IFERROR(__xludf.DUMMYFUNCTION("""COMPUTED_VALUE"""),"2024")</f>
        <v>2024</v>
      </c>
      <c r="G1241" s="35" t="str">
        <f>IFERROR(__xludf.DUMMYFUNCTION("""COMPUTED_VALUE"""),"ARYANSYAH")</f>
        <v>ARYANSYAH</v>
      </c>
      <c r="H1241" s="17" t="str">
        <f>IFERROR(__xludf.DUMMYFUNCTION("""COMPUTED_VALUE"""),"A8624042824")</f>
        <v>A8624042824</v>
      </c>
      <c r="I1241" s="17">
        <f>IFERROR(__xludf.DUMMYFUNCTION("""COMPUTED_VALUE"""),40.0)</f>
        <v>40</v>
      </c>
      <c r="J1241" s="17" t="str">
        <f>IFERROR(__xludf.DUMMYFUNCTION("""COMPUTED_VALUE"""),"35-44 tahun")</f>
        <v>35-44 tahun</v>
      </c>
      <c r="K1241" s="19">
        <f>IFERROR(__xludf.DUMMYFUNCTION("""COMPUTED_VALUE"""),31531.0)</f>
        <v>31531</v>
      </c>
      <c r="L1241" s="19" t="str">
        <f>IFERROR(__xludf.DUMMYFUNCTION("""COMPUTED_VALUE"""),"LAKI-LAKI")</f>
        <v>LAKI-LAKI</v>
      </c>
      <c r="M1241" s="35" t="str">
        <f>IFERROR(__xludf.DUMMYFUNCTION("""COMPUTED_VALUE"""),"GG REMAJA 2")</f>
        <v>GG REMAJA 2</v>
      </c>
      <c r="N1241" s="16" t="str">
        <f>IFERROR(__xludf.DUMMYFUNCTION("""COMPUTED_VALUE"""),"KEL. SUNGAI JAWI")</f>
        <v>KEL. SUNGAI JAWI</v>
      </c>
      <c r="O1241" s="16" t="str">
        <f>IFERROR(__xludf.DUMMYFUNCTION("""COMPUTED_VALUE"""),"KEC. PONTIANAK KOTA")</f>
        <v>KEC. PONTIANAK KOTA</v>
      </c>
      <c r="P1241" s="16" t="str">
        <f>IFERROR(__xludf.DUMMYFUNCTION("""COMPUTED_VALUE"""),"KOTA PONTIANAK")</f>
        <v>KOTA PONTIANAK</v>
      </c>
      <c r="Q1241" s="16" t="str">
        <f>IFERROR(__xludf.DUMMYFUNCTION("""COMPUTED_VALUE"""),"KALIMANTAN BARAT")</f>
        <v>KALIMANTAN BARAT</v>
      </c>
      <c r="R1241" s="19" t="str">
        <f>IFERROR(__xludf.DUMMYFUNCTION("""COMPUTED_VALUE"""),"ISLAM")</f>
        <v>ISLAM</v>
      </c>
      <c r="S1241" s="16" t="str">
        <f>IFERROR(__xludf.DUMMYFUNCTION("""COMPUTED_VALUE"""),"ASN")</f>
        <v>ASN</v>
      </c>
      <c r="T1241" s="16" t="str">
        <f>IFERROR(__xludf.DUMMYFUNCTION("""COMPUTED_VALUE"""),"Sakit pinggang")</f>
        <v>Sakit pinggang</v>
      </c>
      <c r="U1241" s="16" t="str">
        <f>IFERROR(__xludf.DUMMYFUNCTION("""COMPUTED_VALUE"""),"Main gamr")</f>
        <v>Main gamr</v>
      </c>
      <c r="V1241" s="11" t="str">
        <f>IFERROR(__xludf.DUMMYFUNCTION("""COMPUTED_VALUE"""),"085347262824")</f>
        <v>085347262824</v>
      </c>
      <c r="W1241" s="15"/>
    </row>
    <row r="1242" ht="22.5" customHeight="1">
      <c r="A1242" s="8"/>
      <c r="B1242" s="9">
        <f>IFERROR(__xludf.DUMMYFUNCTION("""COMPUTED_VALUE"""),45388.719996562504)</f>
        <v>45388.72</v>
      </c>
      <c r="C1242" s="9"/>
      <c r="D1242" s="34">
        <f>IFERROR(__xludf.DUMMYFUNCTION("""COMPUTED_VALUE"""),45398.0)</f>
        <v>45398</v>
      </c>
      <c r="E1242" s="34" t="str">
        <f>IFERROR(__xludf.DUMMYFUNCTION("""COMPUTED_VALUE"""),"04Apr")</f>
        <v>04Apr</v>
      </c>
      <c r="F1242" s="34" t="str">
        <f>IFERROR(__xludf.DUMMYFUNCTION("""COMPUTED_VALUE"""),"2024")</f>
        <v>2024</v>
      </c>
      <c r="G1242" s="35" t="str">
        <f>IFERROR(__xludf.DUMMYFUNCTION("""COMPUTED_VALUE"""),"AULIA RAMADANTI")</f>
        <v>AULIA RAMADANTI</v>
      </c>
      <c r="H1242" s="17" t="str">
        <f>IFERROR(__xludf.DUMMYFUNCTION("""COMPUTED_VALUE"""),"A0324041182")</f>
        <v>A0324041182</v>
      </c>
      <c r="I1242" s="17">
        <f>IFERROR(__xludf.DUMMYFUNCTION("""COMPUTED_VALUE"""),22.0)</f>
        <v>22</v>
      </c>
      <c r="J1242" s="17" t="str">
        <f>IFERROR(__xludf.DUMMYFUNCTION("""COMPUTED_VALUE"""),"18-24 tahun")</f>
        <v>18-24 tahun</v>
      </c>
      <c r="K1242" s="19">
        <f>IFERROR(__xludf.DUMMYFUNCTION("""COMPUTED_VALUE"""),37932.0)</f>
        <v>37932</v>
      </c>
      <c r="L1242" s="19" t="str">
        <f>IFERROR(__xludf.DUMMYFUNCTION("""COMPUTED_VALUE"""),"PEREMPUAN")</f>
        <v>PEREMPUAN</v>
      </c>
      <c r="M1242" s="35" t="str">
        <f>IFERROR(__xludf.DUMMYFUNCTION("""COMPUTED_VALUE"""),"DUSUN BALAI KARANGAN II")</f>
        <v>DUSUN BALAI KARANGAN II</v>
      </c>
      <c r="N1242" s="16" t="str">
        <f>IFERROR(__xludf.DUMMYFUNCTION("""COMPUTED_VALUE"""),"KEL. BALAI KARANGAN")</f>
        <v>KEL. BALAI KARANGAN</v>
      </c>
      <c r="O1242" s="16" t="str">
        <f>IFERROR(__xludf.DUMMYFUNCTION("""COMPUTED_VALUE"""),"KEC. SEKAYAM")</f>
        <v>KEC. SEKAYAM</v>
      </c>
      <c r="P1242" s="16" t="str">
        <f>IFERROR(__xludf.DUMMYFUNCTION("""COMPUTED_VALUE"""),"KAB. SANGGAU")</f>
        <v>KAB. SANGGAU</v>
      </c>
      <c r="Q1242" s="16" t="str">
        <f>IFERROR(__xludf.DUMMYFUNCTION("""COMPUTED_VALUE"""),"KALIMANTAN BARAT")</f>
        <v>KALIMANTAN BARAT</v>
      </c>
      <c r="R1242" s="19" t="str">
        <f>IFERROR(__xludf.DUMMYFUNCTION("""COMPUTED_VALUE"""),"ISLAM")</f>
        <v>ISLAM</v>
      </c>
      <c r="S1242" s="16" t="str">
        <f>IFERROR(__xludf.DUMMYFUNCTION("""COMPUTED_VALUE"""),"PELAJAR/MAHASISWA")</f>
        <v>PELAJAR/MAHASISWA</v>
      </c>
      <c r="T1242" s="16" t="str">
        <f>IFERROR(__xludf.DUMMYFUNCTION("""COMPUTED_VALUE"""),"Sakit dibagian leher belakang, punggung dan pinggul")</f>
        <v>Sakit dibagian leher belakang, punggung dan pinggul</v>
      </c>
      <c r="U1242" s="16" t="str">
        <f>IFERROR(__xludf.DUMMYFUNCTION("""COMPUTED_VALUE"""),"Ngonten")</f>
        <v>Ngonten</v>
      </c>
      <c r="V1242" s="11" t="str">
        <f>IFERROR(__xludf.DUMMYFUNCTION("""COMPUTED_VALUE"""),"0885395051182")</f>
        <v>0885395051182</v>
      </c>
      <c r="W1242" s="15"/>
    </row>
    <row r="1243" ht="22.5" customHeight="1">
      <c r="A1243" s="8"/>
      <c r="B1243" s="9">
        <f>IFERROR(__xludf.DUMMYFUNCTION("""COMPUTED_VALUE"""),45389.396098321755)</f>
        <v>45389.3961</v>
      </c>
      <c r="C1243" s="9"/>
      <c r="D1243" s="34">
        <f>IFERROR(__xludf.DUMMYFUNCTION("""COMPUTED_VALUE"""),45398.0)</f>
        <v>45398</v>
      </c>
      <c r="E1243" s="34" t="str">
        <f>IFERROR(__xludf.DUMMYFUNCTION("""COMPUTED_VALUE"""),"04Apr")</f>
        <v>04Apr</v>
      </c>
      <c r="F1243" s="34" t="str">
        <f>IFERROR(__xludf.DUMMYFUNCTION("""COMPUTED_VALUE"""),"2024")</f>
        <v>2024</v>
      </c>
      <c r="G1243" s="35" t="str">
        <f>IFERROR(__xludf.DUMMYFUNCTION("""COMPUTED_VALUE"""),"DHEO")</f>
        <v>DHEO</v>
      </c>
      <c r="H1243" s="17" t="str">
        <f>IFERROR(__xludf.DUMMYFUNCTION("""COMPUTED_VALUE"""),"D0324046764")</f>
        <v>D0324046764</v>
      </c>
      <c r="I1243" s="17">
        <f>IFERROR(__xludf.DUMMYFUNCTION("""COMPUTED_VALUE"""),22.0)</f>
        <v>22</v>
      </c>
      <c r="J1243" s="17" t="str">
        <f>IFERROR(__xludf.DUMMYFUNCTION("""COMPUTED_VALUE"""),"18-24 tahun")</f>
        <v>18-24 tahun</v>
      </c>
      <c r="K1243" s="19">
        <f>IFERROR(__xludf.DUMMYFUNCTION("""COMPUTED_VALUE"""),37823.0)</f>
        <v>37823</v>
      </c>
      <c r="L1243" s="19" t="str">
        <f>IFERROR(__xludf.DUMMYFUNCTION("""COMPUTED_VALUE"""),"LAKI-LAKI")</f>
        <v>LAKI-LAKI</v>
      </c>
      <c r="M1243" s="35" t="str">
        <f>IFERROR(__xludf.DUMMYFUNCTION("""COMPUTED_VALUE"""),"JL. TRANS KALIMANTAN")</f>
        <v>JL. TRANS KALIMANTAN</v>
      </c>
      <c r="N1243" s="16" t="str">
        <f>IFERROR(__xludf.DUMMYFUNCTION("""COMPUTED_VALUE"""),"DS. LINGGA")</f>
        <v>DS. LINGGA</v>
      </c>
      <c r="O1243" s="16" t="str">
        <f>IFERROR(__xludf.DUMMYFUNCTION("""COMPUTED_VALUE"""),"KEC. SUNGAI AMBAWANG")</f>
        <v>KEC. SUNGAI AMBAWANG</v>
      </c>
      <c r="P1243" s="16" t="str">
        <f>IFERROR(__xludf.DUMMYFUNCTION("""COMPUTED_VALUE"""),"KAB. KUBU RAYA")</f>
        <v>KAB. KUBU RAYA</v>
      </c>
      <c r="Q1243" s="16" t="str">
        <f>IFERROR(__xludf.DUMMYFUNCTION("""COMPUTED_VALUE"""),"KALIMANTAN BARAT")</f>
        <v>KALIMANTAN BARAT</v>
      </c>
      <c r="R1243" s="19" t="str">
        <f>IFERROR(__xludf.DUMMYFUNCTION("""COMPUTED_VALUE"""),"PROTESTAN")</f>
        <v>PROTESTAN</v>
      </c>
      <c r="S1243" s="16" t="str">
        <f>IFERROR(__xludf.DUMMYFUNCTION("""COMPUTED_VALUE"""),"SWASTA")</f>
        <v>SWASTA</v>
      </c>
      <c r="T1243" s="16" t="str">
        <f>IFERROR(__xludf.DUMMYFUNCTION("""COMPUTED_VALUE"""),"Engkel kaki")</f>
        <v>Engkel kaki</v>
      </c>
      <c r="U1243" s="16" t="str">
        <f>IFERROR(__xludf.DUMMYFUNCTION("""COMPUTED_VALUE"""),"Badminton")</f>
        <v>Badminton</v>
      </c>
      <c r="V1243" s="11" t="str">
        <f>IFERROR(__xludf.DUMMYFUNCTION("""COMPUTED_VALUE"""),"082255946764")</f>
        <v>082255946764</v>
      </c>
      <c r="W1243" s="15"/>
    </row>
    <row r="1244" ht="22.5" customHeight="1">
      <c r="A1244" s="8"/>
      <c r="B1244" s="9">
        <f>IFERROR(__xludf.DUMMYFUNCTION("""COMPUTED_VALUE"""),45397.42065310186)</f>
        <v>45397.42065</v>
      </c>
      <c r="C1244" s="9"/>
      <c r="D1244" s="34">
        <f>IFERROR(__xludf.DUMMYFUNCTION("""COMPUTED_VALUE"""),45398.0)</f>
        <v>45398</v>
      </c>
      <c r="E1244" s="34" t="str">
        <f>IFERROR(__xludf.DUMMYFUNCTION("""COMPUTED_VALUE"""),"04Apr")</f>
        <v>04Apr</v>
      </c>
      <c r="F1244" s="34" t="str">
        <f>IFERROR(__xludf.DUMMYFUNCTION("""COMPUTED_VALUE"""),"2024")</f>
        <v>2024</v>
      </c>
      <c r="G1244" s="35" t="str">
        <f>IFERROR(__xludf.DUMMYFUNCTION("""COMPUTED_VALUE"""),"DIAH PITALOKA")</f>
        <v>DIAH PITALOKA</v>
      </c>
      <c r="H1244" s="17" t="str">
        <f>IFERROR(__xludf.DUMMYFUNCTION("""COMPUTED_VALUE"""),"D8424041114")</f>
        <v>D8424041114</v>
      </c>
      <c r="I1244" s="17">
        <f>IFERROR(__xludf.DUMMYFUNCTION("""COMPUTED_VALUE"""),41.0)</f>
        <v>41</v>
      </c>
      <c r="J1244" s="17" t="str">
        <f>IFERROR(__xludf.DUMMYFUNCTION("""COMPUTED_VALUE"""),"35-44 tahun")</f>
        <v>35-44 tahun</v>
      </c>
      <c r="K1244" s="19">
        <f>IFERROR(__xludf.DUMMYFUNCTION("""COMPUTED_VALUE"""),30919.0)</f>
        <v>30919</v>
      </c>
      <c r="L1244" s="19" t="str">
        <f>IFERROR(__xludf.DUMMYFUNCTION("""COMPUTED_VALUE"""),"PEREMPUAN")</f>
        <v>PEREMPUAN</v>
      </c>
      <c r="M1244" s="35" t="str">
        <f>IFERROR(__xludf.DUMMYFUNCTION("""COMPUTED_VALUE"""),"JL.DR SUTOMO GANG RAWASARI 3 NO G 3")</f>
        <v>JL.DR SUTOMO GANG RAWASARI 3 NO G 3</v>
      </c>
      <c r="N1244" s="16" t="str">
        <f>IFERROR(__xludf.DUMMYFUNCTION("""COMPUTED_VALUE"""),"KEL. SUNGAI BANGKONG")</f>
        <v>KEL. SUNGAI BANGKONG</v>
      </c>
      <c r="O1244" s="16" t="str">
        <f>IFERROR(__xludf.DUMMYFUNCTION("""COMPUTED_VALUE"""),"KEC. PONTIANAK KOTA")</f>
        <v>KEC. PONTIANAK KOTA</v>
      </c>
      <c r="P1244" s="16" t="str">
        <f>IFERROR(__xludf.DUMMYFUNCTION("""COMPUTED_VALUE"""),"KOTA PONTIANAK")</f>
        <v>KOTA PONTIANAK</v>
      </c>
      <c r="Q1244" s="16" t="str">
        <f>IFERROR(__xludf.DUMMYFUNCTION("""COMPUTED_VALUE"""),"KALIMANTAN BARAT")</f>
        <v>KALIMANTAN BARAT</v>
      </c>
      <c r="R1244" s="19" t="str">
        <f>IFERROR(__xludf.DUMMYFUNCTION("""COMPUTED_VALUE"""),"ISLAM")</f>
        <v>ISLAM</v>
      </c>
      <c r="S1244" s="16" t="str">
        <f>IFERROR(__xludf.DUMMYFUNCTION("""COMPUTED_VALUE"""),"ASN")</f>
        <v>ASN</v>
      </c>
      <c r="T1244" s="16" t="str">
        <f>IFERROR(__xludf.DUMMYFUNCTION("""COMPUTED_VALUE"""),"Nyeri bahu sebelah kiri")</f>
        <v>Nyeri bahu sebelah kiri</v>
      </c>
      <c r="U1244" s="16" t="str">
        <f>IFERROR(__xludf.DUMMYFUNCTION("""COMPUTED_VALUE"""),"Jogging")</f>
        <v>Jogging</v>
      </c>
      <c r="V1244" s="11" t="str">
        <f>IFERROR(__xludf.DUMMYFUNCTION("""COMPUTED_VALUE"""),"08126421114")</f>
        <v>08126421114</v>
      </c>
      <c r="W1244" s="15"/>
    </row>
    <row r="1245" ht="22.5" customHeight="1">
      <c r="A1245" s="8"/>
      <c r="B1245" s="9">
        <f>IFERROR(__xludf.DUMMYFUNCTION("""COMPUTED_VALUE"""),45397.436615451385)</f>
        <v>45397.43662</v>
      </c>
      <c r="C1245" s="9"/>
      <c r="D1245" s="34">
        <f>IFERROR(__xludf.DUMMYFUNCTION("""COMPUTED_VALUE"""),45398.0)</f>
        <v>45398</v>
      </c>
      <c r="E1245" s="34" t="str">
        <f>IFERROR(__xludf.DUMMYFUNCTION("""COMPUTED_VALUE"""),"04Apr")</f>
        <v>04Apr</v>
      </c>
      <c r="F1245" s="34" t="str">
        <f>IFERROR(__xludf.DUMMYFUNCTION("""COMPUTED_VALUE"""),"2024")</f>
        <v>2024</v>
      </c>
      <c r="G1245" s="35" t="str">
        <f>IFERROR(__xludf.DUMMYFUNCTION("""COMPUTED_VALUE"""),"ERRY RUSTIANSYAH")</f>
        <v>ERRY RUSTIANSYAH</v>
      </c>
      <c r="H1245" s="17" t="str">
        <f>IFERROR(__xludf.DUMMYFUNCTION("""COMPUTED_VALUE"""),"E8424049865")</f>
        <v>E8424049865</v>
      </c>
      <c r="I1245" s="17">
        <f>IFERROR(__xludf.DUMMYFUNCTION("""COMPUTED_VALUE"""),41.0)</f>
        <v>41</v>
      </c>
      <c r="J1245" s="17" t="str">
        <f>IFERROR(__xludf.DUMMYFUNCTION("""COMPUTED_VALUE"""),"35-44 tahun")</f>
        <v>35-44 tahun</v>
      </c>
      <c r="K1245" s="19">
        <f>IFERROR(__xludf.DUMMYFUNCTION("""COMPUTED_VALUE"""),30979.0)</f>
        <v>30979</v>
      </c>
      <c r="L1245" s="19" t="str">
        <f>IFERROR(__xludf.DUMMYFUNCTION("""COMPUTED_VALUE"""),"LAKI-LAKI")</f>
        <v>LAKI-LAKI</v>
      </c>
      <c r="M1245" s="35" t="str">
        <f>IFERROR(__xludf.DUMMYFUNCTION("""COMPUTED_VALUE"""),"JL DR SUTOMO GG. RAWASARI 3 NO -G3")</f>
        <v>JL DR SUTOMO GG. RAWASARI 3 NO -G3</v>
      </c>
      <c r="N1245" s="16" t="str">
        <f>IFERROR(__xludf.DUMMYFUNCTION("""COMPUTED_VALUE"""),"KEL. SUNGAI BANGKONG")</f>
        <v>KEL. SUNGAI BANGKONG</v>
      </c>
      <c r="O1245" s="16" t="str">
        <f>IFERROR(__xludf.DUMMYFUNCTION("""COMPUTED_VALUE"""),"KEC. PONTIANAK KOTA")</f>
        <v>KEC. PONTIANAK KOTA</v>
      </c>
      <c r="P1245" s="16" t="str">
        <f>IFERROR(__xludf.DUMMYFUNCTION("""COMPUTED_VALUE"""),"KOTA PONTIANAK")</f>
        <v>KOTA PONTIANAK</v>
      </c>
      <c r="Q1245" s="16" t="str">
        <f>IFERROR(__xludf.DUMMYFUNCTION("""COMPUTED_VALUE"""),"KALIMANTAN BARAT")</f>
        <v>KALIMANTAN BARAT</v>
      </c>
      <c r="R1245" s="19" t="str">
        <f>IFERROR(__xludf.DUMMYFUNCTION("""COMPUTED_VALUE"""),"ISLAM")</f>
        <v>ISLAM</v>
      </c>
      <c r="S1245" s="16" t="str">
        <f>IFERROR(__xludf.DUMMYFUNCTION("""COMPUTED_VALUE"""),"SWASTA")</f>
        <v>SWASTA</v>
      </c>
      <c r="T1245" s="16" t="str">
        <f>IFERROR(__xludf.DUMMYFUNCTION("""COMPUTED_VALUE"""),"Nyeri pinggang")</f>
        <v>Nyeri pinggang</v>
      </c>
      <c r="U1245" s="16" t="str">
        <f>IFERROR(__xludf.DUMMYFUNCTION("""COMPUTED_VALUE"""),"Kantoran")</f>
        <v>Kantoran</v>
      </c>
      <c r="V1245" s="11" t="str">
        <f>IFERROR(__xludf.DUMMYFUNCTION("""COMPUTED_VALUE"""),"082149379865")</f>
        <v>082149379865</v>
      </c>
      <c r="W1245" s="15"/>
    </row>
    <row r="1246" ht="22.5" customHeight="1">
      <c r="A1246" s="8"/>
      <c r="B1246" s="9">
        <f>IFERROR(__xludf.DUMMYFUNCTION("""COMPUTED_VALUE"""),45396.709313680556)</f>
        <v>45396.70931</v>
      </c>
      <c r="C1246" s="9"/>
      <c r="D1246" s="34">
        <f>IFERROR(__xludf.DUMMYFUNCTION("""COMPUTED_VALUE"""),45398.0)</f>
        <v>45398</v>
      </c>
      <c r="E1246" s="34" t="str">
        <f>IFERROR(__xludf.DUMMYFUNCTION("""COMPUTED_VALUE"""),"04Apr")</f>
        <v>04Apr</v>
      </c>
      <c r="F1246" s="34" t="str">
        <f>IFERROR(__xludf.DUMMYFUNCTION("""COMPUTED_VALUE"""),"2024")</f>
        <v>2024</v>
      </c>
      <c r="G1246" s="35" t="str">
        <f>IFERROR(__xludf.DUMMYFUNCTION("""COMPUTED_VALUE"""),"TIENO HALIM")</f>
        <v>TIENO HALIM</v>
      </c>
      <c r="H1246" s="17" t="str">
        <f>IFERROR(__xludf.DUMMYFUNCTION("""COMPUTED_VALUE"""),"T8424049108")</f>
        <v>T8424049108</v>
      </c>
      <c r="I1246" s="17">
        <f>IFERROR(__xludf.DUMMYFUNCTION("""COMPUTED_VALUE"""),41.0)</f>
        <v>41</v>
      </c>
      <c r="J1246" s="17" t="str">
        <f>IFERROR(__xludf.DUMMYFUNCTION("""COMPUTED_VALUE"""),"35-44 tahun")</f>
        <v>35-44 tahun</v>
      </c>
      <c r="K1246" s="19">
        <f>IFERROR(__xludf.DUMMYFUNCTION("""COMPUTED_VALUE"""),30873.0)</f>
        <v>30873</v>
      </c>
      <c r="L1246" s="19" t="str">
        <f>IFERROR(__xludf.DUMMYFUNCTION("""COMPUTED_VALUE"""),"LAKI-LAKI")</f>
        <v>LAKI-LAKI</v>
      </c>
      <c r="M1246" s="35" t="str">
        <f>IFERROR(__xludf.DUMMYFUNCTION("""COMPUTED_VALUE"""),"JL TANJUNG PURA GG. DELI ACEH 1 NO. 27")</f>
        <v>JL TANJUNG PURA GG. DELI ACEH 1 NO. 27</v>
      </c>
      <c r="N1246" s="16" t="str">
        <f>IFERROR(__xludf.DUMMYFUNCTION("""COMPUTED_VALUE"""),"KEL. BENUA MELAYU DARAT")</f>
        <v>KEL. BENUA MELAYU DARAT</v>
      </c>
      <c r="O1246" s="16" t="str">
        <f>IFERROR(__xludf.DUMMYFUNCTION("""COMPUTED_VALUE"""),"KEC. PONTIANAK SELATAN")</f>
        <v>KEC. PONTIANAK SELATAN</v>
      </c>
      <c r="P1246" s="16" t="str">
        <f>IFERROR(__xludf.DUMMYFUNCTION("""COMPUTED_VALUE"""),"KOTA PONTIANAK")</f>
        <v>KOTA PONTIANAK</v>
      </c>
      <c r="Q1246" s="16" t="str">
        <f>IFERROR(__xludf.DUMMYFUNCTION("""COMPUTED_VALUE"""),"KALIMANTAN BARAT")</f>
        <v>KALIMANTAN BARAT</v>
      </c>
      <c r="R1246" s="19" t="str">
        <f>IFERROR(__xludf.DUMMYFUNCTION("""COMPUTED_VALUE"""),"KHONGHUCU")</f>
        <v>KHONGHUCU</v>
      </c>
      <c r="S1246" s="16" t="str">
        <f>IFERROR(__xludf.DUMMYFUNCTION("""COMPUTED_VALUE"""),"SALES")</f>
        <v>SALES</v>
      </c>
      <c r="T1246" s="16" t="str">
        <f>IFERROR(__xludf.DUMMYFUNCTION("""COMPUTED_VALUE"""),"Tumit kaki kiri sakit saat jalan dan saat baru bangun tidur")</f>
        <v>Tumit kaki kiri sakit saat jalan dan saat baru bangun tidur</v>
      </c>
      <c r="U1246" s="16" t="str">
        <f>IFERROR(__xludf.DUMMYFUNCTION("""COMPUTED_VALUE"""),"Jalan, gym, joging kadang, aktivitas kantor dan rumah")</f>
        <v>Jalan, gym, joging kadang, aktivitas kantor dan rumah</v>
      </c>
      <c r="V1246" s="11" t="str">
        <f>IFERROR(__xludf.DUMMYFUNCTION("""COMPUTED_VALUE"""),"081345309108")</f>
        <v>081345309108</v>
      </c>
      <c r="W1246" s="15"/>
    </row>
    <row r="1247" ht="22.5" customHeight="1">
      <c r="A1247" s="8"/>
      <c r="B1247" s="9">
        <f>IFERROR(__xludf.DUMMYFUNCTION("""COMPUTED_VALUE"""),45396.67139015046)</f>
        <v>45396.67139</v>
      </c>
      <c r="C1247" s="9"/>
      <c r="D1247" s="34">
        <f>IFERROR(__xludf.DUMMYFUNCTION("""COMPUTED_VALUE"""),45399.0)</f>
        <v>45399</v>
      </c>
      <c r="E1247" s="34" t="str">
        <f>IFERROR(__xludf.DUMMYFUNCTION("""COMPUTED_VALUE"""),"04Apr")</f>
        <v>04Apr</v>
      </c>
      <c r="F1247" s="34" t="str">
        <f>IFERROR(__xludf.DUMMYFUNCTION("""COMPUTED_VALUE"""),"2024")</f>
        <v>2024</v>
      </c>
      <c r="G1247" s="35" t="str">
        <f>IFERROR(__xludf.DUMMYFUNCTION("""COMPUTED_VALUE"""),"HARTINI NELLY")</f>
        <v>HARTINI NELLY</v>
      </c>
      <c r="H1247" s="17" t="str">
        <f>IFERROR(__xludf.DUMMYFUNCTION("""COMPUTED_VALUE"""),"H9124041991")</f>
        <v>H9124041991</v>
      </c>
      <c r="I1247" s="17">
        <f>IFERROR(__xludf.DUMMYFUNCTION("""COMPUTED_VALUE"""),35.0)</f>
        <v>35</v>
      </c>
      <c r="J1247" s="17" t="str">
        <f>IFERROR(__xludf.DUMMYFUNCTION("""COMPUTED_VALUE"""),"35-44 tahun")</f>
        <v>35-44 tahun</v>
      </c>
      <c r="K1247" s="19">
        <f>IFERROR(__xludf.DUMMYFUNCTION("""COMPUTED_VALUE"""),33299.0)</f>
        <v>33299</v>
      </c>
      <c r="L1247" s="19" t="str">
        <f>IFERROR(__xludf.DUMMYFUNCTION("""COMPUTED_VALUE"""),"PEREMPUAN")</f>
        <v>PEREMPUAN</v>
      </c>
      <c r="M1247" s="35" t="str">
        <f>IFERROR(__xludf.DUMMYFUNCTION("""COMPUTED_VALUE"""),"JL.DR.SUTOMO GG.MUHAMMADIYAH I NO.60")</f>
        <v>JL.DR.SUTOMO GG.MUHAMMADIYAH I NO.60</v>
      </c>
      <c r="N1247" s="16" t="str">
        <f>IFERROR(__xludf.DUMMYFUNCTION("""COMPUTED_VALUE"""),"KEL. SUNGAI BANGKONG")</f>
        <v>KEL. SUNGAI BANGKONG</v>
      </c>
      <c r="O1247" s="16" t="str">
        <f>IFERROR(__xludf.DUMMYFUNCTION("""COMPUTED_VALUE"""),"KEC. PONTIANAK KOTA")</f>
        <v>KEC. PONTIANAK KOTA</v>
      </c>
      <c r="P1247" s="16" t="str">
        <f>IFERROR(__xludf.DUMMYFUNCTION("""COMPUTED_VALUE"""),"KOTA PONTIANAK")</f>
        <v>KOTA PONTIANAK</v>
      </c>
      <c r="Q1247" s="16" t="str">
        <f>IFERROR(__xludf.DUMMYFUNCTION("""COMPUTED_VALUE"""),"KALIMANTAN BARAT")</f>
        <v>KALIMANTAN BARAT</v>
      </c>
      <c r="R1247" s="19" t="str">
        <f>IFERROR(__xludf.DUMMYFUNCTION("""COMPUTED_VALUE"""),"ISLAM")</f>
        <v>ISLAM</v>
      </c>
      <c r="S1247" s="16" t="str">
        <f>IFERROR(__xludf.DUMMYFUNCTION("""COMPUTED_VALUE"""),"RUMAH TANGGA")</f>
        <v>RUMAH TANGGA</v>
      </c>
      <c r="T1247" s="16" t="str">
        <f>IFERROR(__xludf.DUMMYFUNCTION("""COMPUTED_VALUE"""),"Sakit d pangkal paha kiri sampai susah utk berjalan")</f>
        <v>Sakit d pangkal paha kiri sampai susah utk berjalan</v>
      </c>
      <c r="U1247" s="16" t="str">
        <f>IFERROR(__xludf.DUMMYFUNCTION("""COMPUTED_VALUE"""),"Mengurus rumah tangga")</f>
        <v>Mengurus rumah tangga</v>
      </c>
      <c r="V1247" s="11" t="str">
        <f>IFERROR(__xludf.DUMMYFUNCTION("""COMPUTED_VALUE"""),"082346071991")</f>
        <v>082346071991</v>
      </c>
      <c r="W1247" s="15"/>
    </row>
    <row r="1248" ht="22.5" customHeight="1">
      <c r="A1248" s="8"/>
      <c r="B1248" s="9">
        <f>IFERROR(__xludf.DUMMYFUNCTION("""COMPUTED_VALUE"""),45397.569093391205)</f>
        <v>45397.56909</v>
      </c>
      <c r="C1248" s="9"/>
      <c r="D1248" s="34">
        <f>IFERROR(__xludf.DUMMYFUNCTION("""COMPUTED_VALUE"""),45399.0)</f>
        <v>45399</v>
      </c>
      <c r="E1248" s="34" t="str">
        <f>IFERROR(__xludf.DUMMYFUNCTION("""COMPUTED_VALUE"""),"04Apr")</f>
        <v>04Apr</v>
      </c>
      <c r="F1248" s="34" t="str">
        <f>IFERROR(__xludf.DUMMYFUNCTION("""COMPUTED_VALUE"""),"2024")</f>
        <v>2024</v>
      </c>
      <c r="G1248" s="35" t="str">
        <f>IFERROR(__xludf.DUMMYFUNCTION("""COMPUTED_VALUE"""),"MUHAMMAD HENDRO LAKSONO")</f>
        <v>MUHAMMAD HENDRO LAKSONO</v>
      </c>
      <c r="H1248" s="17" t="str">
        <f>IFERROR(__xludf.DUMMYFUNCTION("""COMPUTED_VALUE"""),"M0324040156")</f>
        <v>M0324040156</v>
      </c>
      <c r="I1248" s="17">
        <f>IFERROR(__xludf.DUMMYFUNCTION("""COMPUTED_VALUE"""),22.0)</f>
        <v>22</v>
      </c>
      <c r="J1248" s="17" t="str">
        <f>IFERROR(__xludf.DUMMYFUNCTION("""COMPUTED_VALUE"""),"18-24 tahun")</f>
        <v>18-24 tahun</v>
      </c>
      <c r="K1248" s="19">
        <f>IFERROR(__xludf.DUMMYFUNCTION("""COMPUTED_VALUE"""),37946.0)</f>
        <v>37946</v>
      </c>
      <c r="L1248" s="19" t="str">
        <f>IFERROR(__xludf.DUMMYFUNCTION("""COMPUTED_VALUE"""),"LAKI-LAKI")</f>
        <v>LAKI-LAKI</v>
      </c>
      <c r="M1248" s="35" t="str">
        <f>IFERROR(__xludf.DUMMYFUNCTION("""COMPUTED_VALUE"""),"JL. WONOBARU GG MADYOSARI 1 DALAM")</f>
        <v>JL. WONOBARU GG MADYOSARI 1 DALAM</v>
      </c>
      <c r="N1248" s="16" t="str">
        <f>IFERROR(__xludf.DUMMYFUNCTION("""COMPUTED_VALUE"""),"KEL. AKCAYA")</f>
        <v>KEL. AKCAYA</v>
      </c>
      <c r="O1248" s="16" t="str">
        <f>IFERROR(__xludf.DUMMYFUNCTION("""COMPUTED_VALUE"""),"KEC. PONTIANAK SELATAN")</f>
        <v>KEC. PONTIANAK SELATAN</v>
      </c>
      <c r="P1248" s="16" t="str">
        <f>IFERROR(__xludf.DUMMYFUNCTION("""COMPUTED_VALUE"""),"KOTA PONTIANAK")</f>
        <v>KOTA PONTIANAK</v>
      </c>
      <c r="Q1248" s="16" t="str">
        <f>IFERROR(__xludf.DUMMYFUNCTION("""COMPUTED_VALUE"""),"KALIMANTAN BARAT")</f>
        <v>KALIMANTAN BARAT</v>
      </c>
      <c r="R1248" s="19" t="str">
        <f>IFERROR(__xludf.DUMMYFUNCTION("""COMPUTED_VALUE"""),"ISLAM")</f>
        <v>ISLAM</v>
      </c>
      <c r="S1248" s="16" t="str">
        <f>IFERROR(__xludf.DUMMYFUNCTION("""COMPUTED_VALUE"""),"PELAJAR/MAHASISWA")</f>
        <v>PELAJAR/MAHASISWA</v>
      </c>
      <c r="T1248" s="16" t="str">
        <f>IFERROR(__xludf.DUMMYFUNCTION("""COMPUTED_VALUE"""),"KAKI X 8CM")</f>
        <v>KAKI X 8CM</v>
      </c>
      <c r="U1248" s="16" t="str">
        <f>IFERROR(__xludf.DUMMYFUNCTION("""COMPUTED_VALUE"""),"JOGGING,FUTSAL,VOLLEY,BASKET")</f>
        <v>JOGGING,FUTSAL,VOLLEY,BASKET</v>
      </c>
      <c r="V1248" s="11" t="str">
        <f>IFERROR(__xludf.DUMMYFUNCTION("""COMPUTED_VALUE"""),"089514440156")</f>
        <v>089514440156</v>
      </c>
      <c r="W1248" s="15"/>
    </row>
    <row r="1249" ht="22.5" customHeight="1">
      <c r="A1249" s="8"/>
      <c r="B1249" s="9">
        <f>IFERROR(__xludf.DUMMYFUNCTION("""COMPUTED_VALUE"""),45397.578341608794)</f>
        <v>45397.57834</v>
      </c>
      <c r="C1249" s="9"/>
      <c r="D1249" s="34">
        <f>IFERROR(__xludf.DUMMYFUNCTION("""COMPUTED_VALUE"""),45400.0)</f>
        <v>45400</v>
      </c>
      <c r="E1249" s="34" t="str">
        <f>IFERROR(__xludf.DUMMYFUNCTION("""COMPUTED_VALUE"""),"04Apr")</f>
        <v>04Apr</v>
      </c>
      <c r="F1249" s="34" t="str">
        <f>IFERROR(__xludf.DUMMYFUNCTION("""COMPUTED_VALUE"""),"2024")</f>
        <v>2024</v>
      </c>
      <c r="G1249" s="35" t="str">
        <f>IFERROR(__xludf.DUMMYFUNCTION("""COMPUTED_VALUE"""),"MAYU FENTAMI")</f>
        <v>MAYU FENTAMI</v>
      </c>
      <c r="H1249" s="17" t="str">
        <f>IFERROR(__xludf.DUMMYFUNCTION("""COMPUTED_VALUE"""),"M8724040771")</f>
        <v>M8724040771</v>
      </c>
      <c r="I1249" s="17">
        <f>IFERROR(__xludf.DUMMYFUNCTION("""COMPUTED_VALUE"""),39.0)</f>
        <v>39</v>
      </c>
      <c r="J1249" s="17" t="str">
        <f>IFERROR(__xludf.DUMMYFUNCTION("""COMPUTED_VALUE"""),"35-44 tahun")</f>
        <v>35-44 tahun</v>
      </c>
      <c r="K1249" s="19">
        <f>IFERROR(__xludf.DUMMYFUNCTION("""COMPUTED_VALUE"""),31945.0)</f>
        <v>31945</v>
      </c>
      <c r="L1249" s="19" t="str">
        <f>IFERROR(__xludf.DUMMYFUNCTION("""COMPUTED_VALUE"""),"PEREMPUAN")</f>
        <v>PEREMPUAN</v>
      </c>
      <c r="M1249" s="35" t="str">
        <f>IFERROR(__xludf.DUMMYFUNCTION("""COMPUTED_VALUE"""),"JL. KALIMANTAN, GG. A. LATIF")</f>
        <v>JL. KALIMANTAN, GG. A. LATIF</v>
      </c>
      <c r="N1249" s="16" t="str">
        <f>IFERROR(__xludf.DUMMYFUNCTION("""COMPUTED_VALUE"""),"KEL. KEDAMIN HILIR")</f>
        <v>KEL. KEDAMIN HILIR</v>
      </c>
      <c r="O1249" s="16" t="str">
        <f>IFERROR(__xludf.DUMMYFUNCTION("""COMPUTED_VALUE"""),"KEC. PUTUSSIBAU SELATAN")</f>
        <v>KEC. PUTUSSIBAU SELATAN</v>
      </c>
      <c r="P1249" s="16" t="str">
        <f>IFERROR(__xludf.DUMMYFUNCTION("""COMPUTED_VALUE"""),"KAB. KAPUAS HULU")</f>
        <v>KAB. KAPUAS HULU</v>
      </c>
      <c r="Q1249" s="16" t="str">
        <f>IFERROR(__xludf.DUMMYFUNCTION("""COMPUTED_VALUE"""),"KALIMANTAN BARAT")</f>
        <v>KALIMANTAN BARAT</v>
      </c>
      <c r="R1249" s="19" t="str">
        <f>IFERROR(__xludf.DUMMYFUNCTION("""COMPUTED_VALUE"""),"ISLAM")</f>
        <v>ISLAM</v>
      </c>
      <c r="S1249" s="16" t="str">
        <f>IFERROR(__xludf.DUMMYFUNCTION("""COMPUTED_VALUE"""),"SWASTA")</f>
        <v>SWASTA</v>
      </c>
      <c r="T1249" s="16" t="str">
        <f>IFERROR(__xludf.DUMMYFUNCTION("""COMPUTED_VALUE"""),"Nyeri pasca olah raga berat sejak 2022, dan berlanjut sampai sekarang dengan obesitas")</f>
        <v>Nyeri pasca olah raga berat sejak 2022, dan berlanjut sampai sekarang dengan obesitas</v>
      </c>
      <c r="U1249" s="16" t="str">
        <f>IFERROR(__xludf.DUMMYFUNCTION("""COMPUTED_VALUE"""),"Crafter/ pekerja di depan komputer")</f>
        <v>Crafter/ pekerja di depan komputer</v>
      </c>
      <c r="V1249" s="11" t="str">
        <f>IFERROR(__xludf.DUMMYFUNCTION("""COMPUTED_VALUE"""),"081257400771")</f>
        <v>081257400771</v>
      </c>
      <c r="W1249" s="15"/>
    </row>
    <row r="1250" ht="22.5" customHeight="1">
      <c r="A1250" s="8"/>
      <c r="B1250" s="9">
        <f>IFERROR(__xludf.DUMMYFUNCTION("""COMPUTED_VALUE"""),45397.60705814815)</f>
        <v>45397.60706</v>
      </c>
      <c r="C1250" s="9"/>
      <c r="D1250" s="34">
        <f>IFERROR(__xludf.DUMMYFUNCTION("""COMPUTED_VALUE"""),45400.0)</f>
        <v>45400</v>
      </c>
      <c r="E1250" s="34" t="str">
        <f>IFERROR(__xludf.DUMMYFUNCTION("""COMPUTED_VALUE"""),"04Apr")</f>
        <v>04Apr</v>
      </c>
      <c r="F1250" s="34" t="str">
        <f>IFERROR(__xludf.DUMMYFUNCTION("""COMPUTED_VALUE"""),"2024")</f>
        <v>2024</v>
      </c>
      <c r="G1250" s="35" t="str">
        <f>IFERROR(__xludf.DUMMYFUNCTION("""COMPUTED_VALUE"""),"DIAN EDI SARWONO")</f>
        <v>DIAN EDI SARWONO</v>
      </c>
      <c r="H1250" s="17" t="str">
        <f>IFERROR(__xludf.DUMMYFUNCTION("""COMPUTED_VALUE"""),"D8424048863")</f>
        <v>D8424048863</v>
      </c>
      <c r="I1250" s="17">
        <f>IFERROR(__xludf.DUMMYFUNCTION("""COMPUTED_VALUE"""),41.0)</f>
        <v>41</v>
      </c>
      <c r="J1250" s="17" t="str">
        <f>IFERROR(__xludf.DUMMYFUNCTION("""COMPUTED_VALUE"""),"35-44 tahun")</f>
        <v>35-44 tahun</v>
      </c>
      <c r="K1250" s="19">
        <f>IFERROR(__xludf.DUMMYFUNCTION("""COMPUTED_VALUE"""),31035.0)</f>
        <v>31035</v>
      </c>
      <c r="L1250" s="19" t="str">
        <f>IFERROR(__xludf.DUMMYFUNCTION("""COMPUTED_VALUE"""),"LAKI-LAKI")</f>
        <v>LAKI-LAKI</v>
      </c>
      <c r="M1250" s="35" t="str">
        <f>IFERROR(__xludf.DUMMYFUNCTION("""COMPUTED_VALUE"""),"JL SOEKARNO HATTA KOMP DUTA BANDARA BLOK B3 NO.3")</f>
        <v>JL SOEKARNO HATTA KOMP DUTA BANDARA BLOK B3 NO.3</v>
      </c>
      <c r="N1250" s="16" t="str">
        <f>IFERROR(__xludf.DUMMYFUNCTION("""COMPUTED_VALUE"""),"DS. PARIT BARU")</f>
        <v>DS. PARIT BARU</v>
      </c>
      <c r="O1250" s="16" t="str">
        <f>IFERROR(__xludf.DUMMYFUNCTION("""COMPUTED_VALUE"""),"KEC. SUNGAI RAYA")</f>
        <v>KEC. SUNGAI RAYA</v>
      </c>
      <c r="P1250" s="16" t="str">
        <f>IFERROR(__xludf.DUMMYFUNCTION("""COMPUTED_VALUE"""),"KAB. KUBU RAYA")</f>
        <v>KAB. KUBU RAYA</v>
      </c>
      <c r="Q1250" s="16" t="str">
        <f>IFERROR(__xludf.DUMMYFUNCTION("""COMPUTED_VALUE"""),"KALIMANTAN BARAT")</f>
        <v>KALIMANTAN BARAT</v>
      </c>
      <c r="R1250" s="19" t="str">
        <f>IFERROR(__xludf.DUMMYFUNCTION("""COMPUTED_VALUE"""),"ISLAM")</f>
        <v>ISLAM</v>
      </c>
      <c r="S1250" s="16" t="str">
        <f>IFERROR(__xludf.DUMMYFUNCTION("""COMPUTED_VALUE"""),"TNI/POLRI")</f>
        <v>TNI/POLRI</v>
      </c>
      <c r="T1250" s="16" t="str">
        <f>IFERROR(__xludf.DUMMYFUNCTION("""COMPUTED_VALUE"""),"Rasa sebal di bekas luka operasi pasang pen, gerak jempol kaki blm optimal")</f>
        <v>Rasa sebal di bekas luka operasi pasang pen, gerak jempol kaki blm optimal</v>
      </c>
      <c r="U1250" s="16" t="str">
        <f>IFERROR(__xludf.DUMMYFUNCTION("""COMPUTED_VALUE"""),"Nongkrong nyantai")</f>
        <v>Nongkrong nyantai</v>
      </c>
      <c r="V1250" s="11" t="str">
        <f>IFERROR(__xludf.DUMMYFUNCTION("""COMPUTED_VALUE"""),"085251638863")</f>
        <v>085251638863</v>
      </c>
      <c r="W1250" s="15"/>
    </row>
    <row r="1251" ht="22.5" customHeight="1">
      <c r="A1251" s="8"/>
      <c r="B1251" s="9">
        <f>IFERROR(__xludf.DUMMYFUNCTION("""COMPUTED_VALUE"""),45397.74453563658)</f>
        <v>45397.74454</v>
      </c>
      <c r="C1251" s="9"/>
      <c r="D1251" s="34">
        <f>IFERROR(__xludf.DUMMYFUNCTION("""COMPUTED_VALUE"""),45400.0)</f>
        <v>45400</v>
      </c>
      <c r="E1251" s="34" t="str">
        <f>IFERROR(__xludf.DUMMYFUNCTION("""COMPUTED_VALUE"""),"04Apr")</f>
        <v>04Apr</v>
      </c>
      <c r="F1251" s="34" t="str">
        <f>IFERROR(__xludf.DUMMYFUNCTION("""COMPUTED_VALUE"""),"2024")</f>
        <v>2024</v>
      </c>
      <c r="G1251" s="35" t="str">
        <f>IFERROR(__xludf.DUMMYFUNCTION("""COMPUTED_VALUE"""),"REZA FACHRUDIN")</f>
        <v>REZA FACHRUDIN</v>
      </c>
      <c r="H1251" s="17" t="str">
        <f>IFERROR(__xludf.DUMMYFUNCTION("""COMPUTED_VALUE"""),"R8524041666")</f>
        <v>R8524041666</v>
      </c>
      <c r="I1251" s="17">
        <f>IFERROR(__xludf.DUMMYFUNCTION("""COMPUTED_VALUE"""),41.0)</f>
        <v>41</v>
      </c>
      <c r="J1251" s="17" t="str">
        <f>IFERROR(__xludf.DUMMYFUNCTION("""COMPUTED_VALUE"""),"35-44 tahun")</f>
        <v>35-44 tahun</v>
      </c>
      <c r="K1251" s="19">
        <f>IFERROR(__xludf.DUMMYFUNCTION("""COMPUTED_VALUE"""),31111.0)</f>
        <v>31111</v>
      </c>
      <c r="L1251" s="19" t="str">
        <f>IFERROR(__xludf.DUMMYFUNCTION("""COMPUTED_VALUE"""),"LAKI-LAKI")</f>
        <v>LAKI-LAKI</v>
      </c>
      <c r="M1251" s="35" t="str">
        <f>IFERROR(__xludf.DUMMYFUNCTION("""COMPUTED_VALUE"""),"JL PURNAMA")</f>
        <v>JL PURNAMA</v>
      </c>
      <c r="N1251" s="16" t="str">
        <f>IFERROR(__xludf.DUMMYFUNCTION("""COMPUTED_VALUE"""),"KEL. PARIT TOKAYA")</f>
        <v>KEL. PARIT TOKAYA</v>
      </c>
      <c r="O1251" s="16" t="str">
        <f>IFERROR(__xludf.DUMMYFUNCTION("""COMPUTED_VALUE"""),"KEC. PONTIANAK SELATAN")</f>
        <v>KEC. PONTIANAK SELATAN</v>
      </c>
      <c r="P1251" s="16" t="str">
        <f>IFERROR(__xludf.DUMMYFUNCTION("""COMPUTED_VALUE"""),"KOTA PONTIANAK")</f>
        <v>KOTA PONTIANAK</v>
      </c>
      <c r="Q1251" s="16" t="str">
        <f>IFERROR(__xludf.DUMMYFUNCTION("""COMPUTED_VALUE"""),"KALIMANTAN BARAT")</f>
        <v>KALIMANTAN BARAT</v>
      </c>
      <c r="R1251" s="19" t="str">
        <f>IFERROR(__xludf.DUMMYFUNCTION("""COMPUTED_VALUE"""),"ISLAM")</f>
        <v>ISLAM</v>
      </c>
      <c r="S1251" s="16" t="str">
        <f>IFERROR(__xludf.DUMMYFUNCTION("""COMPUTED_VALUE"""),"SWASTA")</f>
        <v>SWASTA</v>
      </c>
      <c r="T1251" s="16" t="str">
        <f>IFERROR(__xludf.DUMMYFUNCTION("""COMPUTED_VALUE"""),"CEDERA SUSAH MENEKUK KAKI")</f>
        <v>CEDERA SUSAH MENEKUK KAKI</v>
      </c>
      <c r="U1251" s="16" t="str">
        <f>IFERROR(__xludf.DUMMYFUNCTION("""COMPUTED_VALUE"""),"OLAHRAGA")</f>
        <v>OLAHRAGA</v>
      </c>
      <c r="V1251" s="11" t="str">
        <f>IFERROR(__xludf.DUMMYFUNCTION("""COMPUTED_VALUE"""),"087810061666")</f>
        <v>087810061666</v>
      </c>
      <c r="W1251" s="15"/>
    </row>
    <row r="1252" ht="22.5" customHeight="1">
      <c r="A1252" s="8"/>
      <c r="B1252" s="9">
        <f>IFERROR(__xludf.DUMMYFUNCTION("""COMPUTED_VALUE"""),45398.42406424768)</f>
        <v>45398.42406</v>
      </c>
      <c r="C1252" s="9"/>
      <c r="D1252" s="34">
        <f>IFERROR(__xludf.DUMMYFUNCTION("""COMPUTED_VALUE"""),45402.0)</f>
        <v>45402</v>
      </c>
      <c r="E1252" s="34" t="str">
        <f>IFERROR(__xludf.DUMMYFUNCTION("""COMPUTED_VALUE"""),"04Apr")</f>
        <v>04Apr</v>
      </c>
      <c r="F1252" s="34" t="str">
        <f>IFERROR(__xludf.DUMMYFUNCTION("""COMPUTED_VALUE"""),"2024")</f>
        <v>2024</v>
      </c>
      <c r="G1252" s="35" t="str">
        <f>IFERROR(__xludf.DUMMYFUNCTION("""COMPUTED_VALUE"""),"NUR HASANAH")</f>
        <v>NUR HASANAH</v>
      </c>
      <c r="H1252" s="17" t="str">
        <f>IFERROR(__xludf.DUMMYFUNCTION("""COMPUTED_VALUE"""),"N9424049331")</f>
        <v>N9424049331</v>
      </c>
      <c r="I1252" s="17">
        <f>IFERROR(__xludf.DUMMYFUNCTION("""COMPUTED_VALUE"""),32.0)</f>
        <v>32</v>
      </c>
      <c r="J1252" s="17" t="str">
        <f>IFERROR(__xludf.DUMMYFUNCTION("""COMPUTED_VALUE"""),"25-34 tahun")</f>
        <v>25-34 tahun</v>
      </c>
      <c r="K1252" s="19">
        <f>IFERROR(__xludf.DUMMYFUNCTION("""COMPUTED_VALUE"""),34388.0)</f>
        <v>34388</v>
      </c>
      <c r="L1252" s="19" t="str">
        <f>IFERROR(__xludf.DUMMYFUNCTION("""COMPUTED_VALUE"""),"PEREMPUAN")</f>
        <v>PEREMPUAN</v>
      </c>
      <c r="M1252" s="35" t="str">
        <f>IFERROR(__xludf.DUMMYFUNCTION("""COMPUTED_VALUE"""),"DUSUN PURWODADI, RASAU JAYA 1")</f>
        <v>DUSUN PURWODADI, RASAU JAYA 1</v>
      </c>
      <c r="N1252" s="16" t="str">
        <f>IFERROR(__xludf.DUMMYFUNCTION("""COMPUTED_VALUE"""),"DS. RASAU JAYA SATU")</f>
        <v>DS. RASAU JAYA SATU</v>
      </c>
      <c r="O1252" s="16" t="str">
        <f>IFERROR(__xludf.DUMMYFUNCTION("""COMPUTED_VALUE"""),"KEC. RASAU JAYA")</f>
        <v>KEC. RASAU JAYA</v>
      </c>
      <c r="P1252" s="35" t="str">
        <f>IFERROR(__xludf.DUMMYFUNCTION("""COMPUTED_VALUE"""),"KAB. KUBU RAYA")</f>
        <v>KAB. KUBU RAYA</v>
      </c>
      <c r="Q1252" s="16" t="str">
        <f>IFERROR(__xludf.DUMMYFUNCTION("""COMPUTED_VALUE"""),"KALIMANTAN BARAT")</f>
        <v>KALIMANTAN BARAT</v>
      </c>
      <c r="R1252" s="19" t="str">
        <f>IFERROR(__xludf.DUMMYFUNCTION("""COMPUTED_VALUE"""),"ISLAM")</f>
        <v>ISLAM</v>
      </c>
      <c r="S1252" s="16" t="str">
        <f>IFERROR(__xludf.DUMMYFUNCTION("""COMPUTED_VALUE"""),"RUMAH TANGGA")</f>
        <v>RUMAH TANGGA</v>
      </c>
      <c r="T1252" s="16" t="str">
        <f>IFERROR(__xludf.DUMMYFUNCTION("""COMPUTED_VALUE"""),"Awal mula sakit pinggang karena jongkok habis cuci piring banyak, sudah 5 hari ini sakitnya malah menjalar ke, untuk berjalan atau berdiri kaki yg kiri terasa sakit..")</f>
        <v>Awal mula sakit pinggang karena jongkok habis cuci piring banyak, sudah 5 hari ini sakitnya malah menjalar ke, untuk berjalan atau berdiri kaki yg kiri terasa sakit..</v>
      </c>
      <c r="U1252" s="16" t="str">
        <f>IFERROR(__xludf.DUMMYFUNCTION("""COMPUTED_VALUE"""),"Pekerjaan rumah tangga")</f>
        <v>Pekerjaan rumah tangga</v>
      </c>
      <c r="V1252" s="11" t="str">
        <f>IFERROR(__xludf.DUMMYFUNCTION("""COMPUTED_VALUE"""),"085345009331")</f>
        <v>085345009331</v>
      </c>
      <c r="W1252" s="15"/>
    </row>
    <row r="1253" ht="22.5" customHeight="1">
      <c r="A1253" s="8"/>
      <c r="B1253" s="9">
        <f>IFERROR(__xludf.DUMMYFUNCTION("""COMPUTED_VALUE"""),45397.913275)</f>
        <v>45397.91328</v>
      </c>
      <c r="C1253" s="9"/>
      <c r="D1253" s="34">
        <f>IFERROR(__xludf.DUMMYFUNCTION("""COMPUTED_VALUE"""),45402.0)</f>
        <v>45402</v>
      </c>
      <c r="E1253" s="34" t="str">
        <f>IFERROR(__xludf.DUMMYFUNCTION("""COMPUTED_VALUE"""),"04Apr")</f>
        <v>04Apr</v>
      </c>
      <c r="F1253" s="34" t="str">
        <f>IFERROR(__xludf.DUMMYFUNCTION("""COMPUTED_VALUE"""),"2024")</f>
        <v>2024</v>
      </c>
      <c r="G1253" s="35" t="str">
        <f>IFERROR(__xludf.DUMMYFUNCTION("""COMPUTED_VALUE"""),"ERNANDO WIRANATA LINGGA")</f>
        <v>ERNANDO WIRANATA LINGGA</v>
      </c>
      <c r="H1253" s="17" t="str">
        <f>IFERROR(__xludf.DUMMYFUNCTION("""COMPUTED_VALUE"""),"E8824041645")</f>
        <v>E8824041645</v>
      </c>
      <c r="I1253" s="17">
        <f>IFERROR(__xludf.DUMMYFUNCTION("""COMPUTED_VALUE"""),37.0)</f>
        <v>37</v>
      </c>
      <c r="J1253" s="17" t="str">
        <f>IFERROR(__xludf.DUMMYFUNCTION("""COMPUTED_VALUE"""),"35-44 tahun")</f>
        <v>35-44 tahun</v>
      </c>
      <c r="K1253" s="19">
        <f>IFERROR(__xludf.DUMMYFUNCTION("""COMPUTED_VALUE"""),32505.0)</f>
        <v>32505</v>
      </c>
      <c r="L1253" s="19" t="str">
        <f>IFERROR(__xludf.DUMMYFUNCTION("""COMPUTED_VALUE"""),"LAKI-LAKI")</f>
        <v>LAKI-LAKI</v>
      </c>
      <c r="M1253" s="35" t="str">
        <f>IFERROR(__xludf.DUMMYFUNCTION("""COMPUTED_VALUE"""),"JALAN KOMYOS SUDARSO NO 89")</f>
        <v>JALAN KOMYOS SUDARSO NO 89</v>
      </c>
      <c r="N1253" s="16" t="str">
        <f>IFERROR(__xludf.DUMMYFUNCTION("""COMPUTED_VALUE"""),"KEL. SUNGAI JAWI LUAR")</f>
        <v>KEL. SUNGAI JAWI LUAR</v>
      </c>
      <c r="O1253" s="16" t="str">
        <f>IFERROR(__xludf.DUMMYFUNCTION("""COMPUTED_VALUE"""),"KEC. PONTIANAK BARAT")</f>
        <v>KEC. PONTIANAK BARAT</v>
      </c>
      <c r="P1253" s="16" t="str">
        <f>IFERROR(__xludf.DUMMYFUNCTION("""COMPUTED_VALUE"""),"KOTA PONTIANAK")</f>
        <v>KOTA PONTIANAK</v>
      </c>
      <c r="Q1253" s="16" t="str">
        <f>IFERROR(__xludf.DUMMYFUNCTION("""COMPUTED_VALUE"""),"KALIMANTAN BARAT")</f>
        <v>KALIMANTAN BARAT</v>
      </c>
      <c r="R1253" s="19" t="str">
        <f>IFERROR(__xludf.DUMMYFUNCTION("""COMPUTED_VALUE"""),"KATOLIK")</f>
        <v>KATOLIK</v>
      </c>
      <c r="S1253" s="16" t="str">
        <f>IFERROR(__xludf.DUMMYFUNCTION("""COMPUTED_VALUE"""),"PELAJAR/MAHASISWA")</f>
        <v>PELAJAR/MAHASISWA</v>
      </c>
      <c r="T1253" s="16" t="str">
        <f>IFERROR(__xludf.DUMMYFUNCTION("""COMPUTED_VALUE"""),"CEDERA BETIS")</f>
        <v>CEDERA BETIS</v>
      </c>
      <c r="U1253" s="16" t="str">
        <f>IFERROR(__xludf.DUMMYFUNCTION("""COMPUTED_VALUE"""),"OLAHRAGA")</f>
        <v>OLAHRAGA</v>
      </c>
      <c r="V1253" s="11" t="str">
        <f>IFERROR(__xludf.DUMMYFUNCTION("""COMPUTED_VALUE"""),"081351951645")</f>
        <v>081351951645</v>
      </c>
      <c r="W1253" s="15"/>
    </row>
    <row r="1254" ht="22.5" customHeight="1">
      <c r="A1254" s="8"/>
      <c r="B1254" s="9">
        <f>IFERROR(__xludf.DUMMYFUNCTION("""COMPUTED_VALUE"""),45398.38726458333)</f>
        <v>45398.38726</v>
      </c>
      <c r="C1254" s="9"/>
      <c r="D1254" s="34">
        <f>IFERROR(__xludf.DUMMYFUNCTION("""COMPUTED_VALUE"""),45402.0)</f>
        <v>45402</v>
      </c>
      <c r="E1254" s="34" t="str">
        <f>IFERROR(__xludf.DUMMYFUNCTION("""COMPUTED_VALUE"""),"04Apr")</f>
        <v>04Apr</v>
      </c>
      <c r="F1254" s="34" t="str">
        <f>IFERROR(__xludf.DUMMYFUNCTION("""COMPUTED_VALUE"""),"2024")</f>
        <v>2024</v>
      </c>
      <c r="G1254" s="35" t="str">
        <f>IFERROR(__xludf.DUMMYFUNCTION("""COMPUTED_VALUE"""),"JEFRI PRIHADI")</f>
        <v>JEFRI PRIHADI</v>
      </c>
      <c r="H1254" s="17" t="str">
        <f>IFERROR(__xludf.DUMMYFUNCTION("""COMPUTED_VALUE"""),"J9124049686")</f>
        <v>J9124049686</v>
      </c>
      <c r="I1254" s="17">
        <f>IFERROR(__xludf.DUMMYFUNCTION("""COMPUTED_VALUE"""),35.0)</f>
        <v>35</v>
      </c>
      <c r="J1254" s="17" t="str">
        <f>IFERROR(__xludf.DUMMYFUNCTION("""COMPUTED_VALUE"""),"35-44 tahun")</f>
        <v>35-44 tahun</v>
      </c>
      <c r="K1254" s="19">
        <f>IFERROR(__xludf.DUMMYFUNCTION("""COMPUTED_VALUE"""),33292.0)</f>
        <v>33292</v>
      </c>
      <c r="L1254" s="19" t="str">
        <f>IFERROR(__xludf.DUMMYFUNCTION("""COMPUTED_VALUE"""),"LAKI-LAKI")</f>
        <v>LAKI-LAKI</v>
      </c>
      <c r="M1254" s="35" t="str">
        <f>IFERROR(__xludf.DUMMYFUNCTION("""COMPUTED_VALUE"""),"JL. LAGALIGO LR.2 NO. 48")</f>
        <v>JL. LAGALIGO LR.2 NO. 48</v>
      </c>
      <c r="N1254" s="16" t="str">
        <f>IFERROR(__xludf.DUMMYFUNCTION("""COMPUTED_VALUE"""),"KEL. PAJALESANG")</f>
        <v>KEL. PAJALESANG</v>
      </c>
      <c r="O1254" s="16" t="str">
        <f>IFERROR(__xludf.DUMMYFUNCTION("""COMPUTED_VALUE"""),"KEC. WARA")</f>
        <v>KEC. WARA</v>
      </c>
      <c r="P1254" s="16" t="str">
        <f>IFERROR(__xludf.DUMMYFUNCTION("""COMPUTED_VALUE"""),"KAB. PALOPO")</f>
        <v>KAB. PALOPO</v>
      </c>
      <c r="Q1254" s="16" t="str">
        <f>IFERROR(__xludf.DUMMYFUNCTION("""COMPUTED_VALUE"""),"SULAWESI SELATAN")</f>
        <v>SULAWESI SELATAN</v>
      </c>
      <c r="R1254" s="19" t="str">
        <f>IFERROR(__xludf.DUMMYFUNCTION("""COMPUTED_VALUE"""),"PROTESTAN")</f>
        <v>PROTESTAN</v>
      </c>
      <c r="S1254" s="16" t="str">
        <f>IFERROR(__xludf.DUMMYFUNCTION("""COMPUTED_VALUE"""),"BUMN")</f>
        <v>BUMN</v>
      </c>
      <c r="T1254" s="16" t="str">
        <f>IFERROR(__xludf.DUMMYFUNCTION("""COMPUTED_VALUE"""),"NGILU")</f>
        <v>NGILU</v>
      </c>
      <c r="U1254" s="16" t="str">
        <f>IFERROR(__xludf.DUMMYFUNCTION("""COMPUTED_VALUE"""),"SEPAKBOLA")</f>
        <v>SEPAKBOLA</v>
      </c>
      <c r="V1254" s="11" t="str">
        <f>IFERROR(__xludf.DUMMYFUNCTION("""COMPUTED_VALUE"""),"085298999686")</f>
        <v>085298999686</v>
      </c>
      <c r="W1254" s="15"/>
    </row>
    <row r="1255" ht="22.5" customHeight="1">
      <c r="A1255" s="8"/>
      <c r="B1255" s="9">
        <f>IFERROR(__xludf.DUMMYFUNCTION("""COMPUTED_VALUE"""),45398.73238256945)</f>
        <v>45398.73238</v>
      </c>
      <c r="C1255" s="9"/>
      <c r="D1255" s="34">
        <f>IFERROR(__xludf.DUMMYFUNCTION("""COMPUTED_VALUE"""),45402.0)</f>
        <v>45402</v>
      </c>
      <c r="E1255" s="34" t="str">
        <f>IFERROR(__xludf.DUMMYFUNCTION("""COMPUTED_VALUE"""),"04Apr")</f>
        <v>04Apr</v>
      </c>
      <c r="F1255" s="34" t="str">
        <f>IFERROR(__xludf.DUMMYFUNCTION("""COMPUTED_VALUE"""),"2024")</f>
        <v>2024</v>
      </c>
      <c r="G1255" s="35" t="str">
        <f>IFERROR(__xludf.DUMMYFUNCTION("""COMPUTED_VALUE"""),"ADIL HAFIDZ NURFAJRI")</f>
        <v>ADIL HAFIDZ NURFAJRI</v>
      </c>
      <c r="H1255" s="17" t="str">
        <f>IFERROR(__xludf.DUMMYFUNCTION("""COMPUTED_VALUE"""),"A9424045500")</f>
        <v>A9424045500</v>
      </c>
      <c r="I1255" s="17">
        <f>IFERROR(__xludf.DUMMYFUNCTION("""COMPUTED_VALUE"""),32.0)</f>
        <v>32</v>
      </c>
      <c r="J1255" s="17" t="str">
        <f>IFERROR(__xludf.DUMMYFUNCTION("""COMPUTED_VALUE"""),"25-34 tahun")</f>
        <v>25-34 tahun</v>
      </c>
      <c r="K1255" s="19">
        <f>IFERROR(__xludf.DUMMYFUNCTION("""COMPUTED_VALUE"""),34444.0)</f>
        <v>34444</v>
      </c>
      <c r="L1255" s="19" t="str">
        <f>IFERROR(__xludf.DUMMYFUNCTION("""COMPUTED_VALUE"""),"LAKI-LAKI")</f>
        <v>LAKI-LAKI</v>
      </c>
      <c r="M1255" s="35" t="str">
        <f>IFERROR(__xludf.DUMMYFUNCTION("""COMPUTED_VALUE"""),"PERUMNAS III GG BAKAU DALAM NO 81")</f>
        <v>PERUMNAS III GG BAKAU DALAM NO 81</v>
      </c>
      <c r="N1255" s="16" t="str">
        <f>IFERROR(__xludf.DUMMYFUNCTION("""COMPUTED_VALUE"""),"KEL. TANJUNG HULU")</f>
        <v>KEL. TANJUNG HULU</v>
      </c>
      <c r="O1255" s="16" t="str">
        <f>IFERROR(__xludf.DUMMYFUNCTION("""COMPUTED_VALUE"""),"KEC. PONTIANAK TIMUR")</f>
        <v>KEC. PONTIANAK TIMUR</v>
      </c>
      <c r="P1255" s="16" t="str">
        <f>IFERROR(__xludf.DUMMYFUNCTION("""COMPUTED_VALUE"""),"KOTA PONTIANAK")</f>
        <v>KOTA PONTIANAK</v>
      </c>
      <c r="Q1255" s="16" t="str">
        <f>IFERROR(__xludf.DUMMYFUNCTION("""COMPUTED_VALUE"""),"KALIMANTAN BARAT")</f>
        <v>KALIMANTAN BARAT</v>
      </c>
      <c r="R1255" s="19" t="str">
        <f>IFERROR(__xludf.DUMMYFUNCTION("""COMPUTED_VALUE"""),"ISLAM")</f>
        <v>ISLAM</v>
      </c>
      <c r="S1255" s="16" t="str">
        <f>IFERROR(__xludf.DUMMYFUNCTION("""COMPUTED_VALUE"""),"PELAJAR/MAHASISWA")</f>
        <v>PELAJAR/MAHASISWA</v>
      </c>
      <c r="T1255" s="16" t="str">
        <f>IFERROR(__xludf.DUMMYFUNCTION("""COMPUTED_VALUE"""),"KAKI KANAN DAN JARI MANIS KIRI KESELEO. BAHU SEBELAH KANAN ADA GERAKAN YANG TIDAK LELUASA")</f>
        <v>KAKI KANAN DAN JARI MANIS KIRI KESELEO. BAHU SEBELAH KANAN ADA GERAKAN YANG TIDAK LELUASA</v>
      </c>
      <c r="U1255" s="16" t="str">
        <f>IFERROR(__xludf.DUMMYFUNCTION("""COMPUTED_VALUE"""),"KULIAH, KERJA DAN OLAH RAGA")</f>
        <v>KULIAH, KERJA DAN OLAH RAGA</v>
      </c>
      <c r="V1255" s="11" t="str">
        <f>IFERROR(__xludf.DUMMYFUNCTION("""COMPUTED_VALUE"""),"081294025500")</f>
        <v>081294025500</v>
      </c>
      <c r="W1255" s="15"/>
    </row>
    <row r="1256" ht="22.5" customHeight="1">
      <c r="A1256" s="8"/>
      <c r="B1256" s="9">
        <f>IFERROR(__xludf.DUMMYFUNCTION("""COMPUTED_VALUE"""),45398.7349469676)</f>
        <v>45398.73495</v>
      </c>
      <c r="C1256" s="9"/>
      <c r="D1256" s="34">
        <f>IFERROR(__xludf.DUMMYFUNCTION("""COMPUTED_VALUE"""),45402.0)</f>
        <v>45402</v>
      </c>
      <c r="E1256" s="34" t="str">
        <f>IFERROR(__xludf.DUMMYFUNCTION("""COMPUTED_VALUE"""),"04Apr")</f>
        <v>04Apr</v>
      </c>
      <c r="F1256" s="34" t="str">
        <f>IFERROR(__xludf.DUMMYFUNCTION("""COMPUTED_VALUE"""),"2024")</f>
        <v>2024</v>
      </c>
      <c r="G1256" s="35" t="str">
        <f>IFERROR(__xludf.DUMMYFUNCTION("""COMPUTED_VALUE"""),"LUKAS RAGU")</f>
        <v>LUKAS RAGU</v>
      </c>
      <c r="H1256" s="17" t="str">
        <f>IFERROR(__xludf.DUMMYFUNCTION("""COMPUTED_VALUE"""),"L7224047449")</f>
        <v>L7224047449</v>
      </c>
      <c r="I1256" s="17">
        <f>IFERROR(__xludf.DUMMYFUNCTION("""COMPUTED_VALUE"""),54.0)</f>
        <v>54</v>
      </c>
      <c r="J1256" s="17" t="str">
        <f>IFERROR(__xludf.DUMMYFUNCTION("""COMPUTED_VALUE"""),"&gt; 44 tahun")</f>
        <v>&gt; 44 tahun</v>
      </c>
      <c r="K1256" s="19">
        <f>IFERROR(__xludf.DUMMYFUNCTION("""COMPUTED_VALUE"""),26424.0)</f>
        <v>26424</v>
      </c>
      <c r="L1256" s="19" t="str">
        <f>IFERROR(__xludf.DUMMYFUNCTION("""COMPUTED_VALUE"""),"LAKI-LAKI")</f>
        <v>LAKI-LAKI</v>
      </c>
      <c r="M1256" s="35" t="str">
        <f>IFERROR(__xludf.DUMMYFUNCTION("""COMPUTED_VALUE"""),"DUSUN JANANGRAN , DESA ENTABUK , KEC BELITANG HILIR")</f>
        <v>DUSUN JANANGRAN , DESA ENTABUK , KEC BELITANG HILIR</v>
      </c>
      <c r="N1256" s="16" t="str">
        <f>IFERROR(__xludf.DUMMYFUNCTION("""COMPUTED_VALUE"""),"KEL. BELITANG HILIR")</f>
        <v>KEL. BELITANG HILIR</v>
      </c>
      <c r="O1256" s="16" t="str">
        <f>IFERROR(__xludf.DUMMYFUNCTION("""COMPUTED_VALUE"""),"KEC. SEKADAU HILIR")</f>
        <v>KEC. SEKADAU HILIR</v>
      </c>
      <c r="P1256" s="16" t="str">
        <f>IFERROR(__xludf.DUMMYFUNCTION("""COMPUTED_VALUE"""),"KOTA PONTIANAK")</f>
        <v>KOTA PONTIANAK</v>
      </c>
      <c r="Q1256" s="16" t="str">
        <f>IFERROR(__xludf.DUMMYFUNCTION("""COMPUTED_VALUE"""),"KALIMANTAN BARAT")</f>
        <v>KALIMANTAN BARAT</v>
      </c>
      <c r="R1256" s="19" t="str">
        <f>IFERROR(__xludf.DUMMYFUNCTION("""COMPUTED_VALUE"""),"KATOLIK")</f>
        <v>KATOLIK</v>
      </c>
      <c r="S1256" s="16" t="str">
        <f>IFERROR(__xludf.DUMMYFUNCTION("""COMPUTED_VALUE"""),"SWASTA")</f>
        <v>SWASTA</v>
      </c>
      <c r="T1256" s="16" t="str">
        <f>IFERROR(__xludf.DUMMYFUNCTION("""COMPUTED_VALUE"""),"Stroke sebelah kiri")</f>
        <v>Stroke sebelah kiri</v>
      </c>
      <c r="U1256" s="16" t="str">
        <f>IFERROR(__xludf.DUMMYFUNCTION("""COMPUTED_VALUE"""),"Badminton")</f>
        <v>Badminton</v>
      </c>
      <c r="V1256" s="11" t="str">
        <f>IFERROR(__xludf.DUMMYFUNCTION("""COMPUTED_VALUE"""),"082132447449")</f>
        <v>082132447449</v>
      </c>
      <c r="W1256" s="15"/>
    </row>
    <row r="1257" ht="22.5" customHeight="1">
      <c r="A1257" s="8"/>
      <c r="B1257" s="9">
        <f>IFERROR(__xludf.DUMMYFUNCTION("""COMPUTED_VALUE"""),45398.780721724535)</f>
        <v>45398.78072</v>
      </c>
      <c r="C1257" s="9"/>
      <c r="D1257" s="34">
        <f>IFERROR(__xludf.DUMMYFUNCTION("""COMPUTED_VALUE"""),45402.0)</f>
        <v>45402</v>
      </c>
      <c r="E1257" s="34" t="str">
        <f>IFERROR(__xludf.DUMMYFUNCTION("""COMPUTED_VALUE"""),"04Apr")</f>
        <v>04Apr</v>
      </c>
      <c r="F1257" s="34" t="str">
        <f>IFERROR(__xludf.DUMMYFUNCTION("""COMPUTED_VALUE"""),"2024")</f>
        <v>2024</v>
      </c>
      <c r="G1257" s="35" t="str">
        <f>IFERROR(__xludf.DUMMYFUNCTION("""COMPUTED_VALUE"""),"NURBAYU SAPUTRA")</f>
        <v>NURBAYU SAPUTRA</v>
      </c>
      <c r="H1257" s="17" t="str">
        <f>IFERROR(__xludf.DUMMYFUNCTION("""COMPUTED_VALUE"""),"N8624042332")</f>
        <v>N8624042332</v>
      </c>
      <c r="I1257" s="17">
        <f>IFERROR(__xludf.DUMMYFUNCTION("""COMPUTED_VALUE"""),39.0)</f>
        <v>39</v>
      </c>
      <c r="J1257" s="17" t="str">
        <f>IFERROR(__xludf.DUMMYFUNCTION("""COMPUTED_VALUE"""),"35-44 tahun")</f>
        <v>35-44 tahun</v>
      </c>
      <c r="K1257" s="19">
        <f>IFERROR(__xludf.DUMMYFUNCTION("""COMPUTED_VALUE"""),31692.0)</f>
        <v>31692</v>
      </c>
      <c r="L1257" s="19" t="str">
        <f>IFERROR(__xludf.DUMMYFUNCTION("""COMPUTED_VALUE"""),"LAKI-LAKI")</f>
        <v>LAKI-LAKI</v>
      </c>
      <c r="M1257" s="35" t="str">
        <f>IFERROR(__xludf.DUMMYFUNCTION("""COMPUTED_VALUE"""),"JL. KARET, KOMPLEK PERSADA ASRI BLOK B NO.C16")</f>
        <v>JL. KARET, KOMPLEK PERSADA ASRI BLOK B NO.C16</v>
      </c>
      <c r="N1257" s="16" t="str">
        <f>IFERROR(__xludf.DUMMYFUNCTION("""COMPUTED_VALUE"""),"KEL. SUNGAI BELIUNG")</f>
        <v>KEL. SUNGAI BELIUNG</v>
      </c>
      <c r="O1257" s="16" t="str">
        <f>IFERROR(__xludf.DUMMYFUNCTION("""COMPUTED_VALUE"""),"KEC. PONTIANAK BARAT")</f>
        <v>KEC. PONTIANAK BARAT</v>
      </c>
      <c r="P1257" s="16" t="str">
        <f>IFERROR(__xludf.DUMMYFUNCTION("""COMPUTED_VALUE"""),"KOTA PONTIANAK")</f>
        <v>KOTA PONTIANAK</v>
      </c>
      <c r="Q1257" s="16" t="str">
        <f>IFERROR(__xludf.DUMMYFUNCTION("""COMPUTED_VALUE"""),"KALIMANTAN BARAT")</f>
        <v>KALIMANTAN BARAT</v>
      </c>
      <c r="R1257" s="19" t="str">
        <f>IFERROR(__xludf.DUMMYFUNCTION("""COMPUTED_VALUE"""),"ISLAM")</f>
        <v>ISLAM</v>
      </c>
      <c r="S1257" s="16" t="str">
        <f>IFERROR(__xludf.DUMMYFUNCTION("""COMPUTED_VALUE"""),"SWASTA")</f>
        <v>SWASTA</v>
      </c>
      <c r="T1257" s="16" t="str">
        <f>IFERROR(__xludf.DUMMYFUNCTION("""COMPUTED_VALUE"""),"Nyeri otot")</f>
        <v>Nyeri otot</v>
      </c>
      <c r="U1257" s="16" t="str">
        <f>IFERROR(__xludf.DUMMYFUNCTION("""COMPUTED_VALUE"""),"Futsal")</f>
        <v>Futsal</v>
      </c>
      <c r="V1257" s="11" t="str">
        <f>IFERROR(__xludf.DUMMYFUNCTION("""COMPUTED_VALUE"""),"081315862332")</f>
        <v>081315862332</v>
      </c>
      <c r="W1257" s="15"/>
    </row>
    <row r="1258" ht="22.5" customHeight="1">
      <c r="A1258" s="8"/>
      <c r="B1258" s="9">
        <f>IFERROR(__xludf.DUMMYFUNCTION("""COMPUTED_VALUE"""),45399.52683829861)</f>
        <v>45399.52684</v>
      </c>
      <c r="C1258" s="9"/>
      <c r="D1258" s="34">
        <f>IFERROR(__xludf.DUMMYFUNCTION("""COMPUTED_VALUE"""),45403.0)</f>
        <v>45403</v>
      </c>
      <c r="E1258" s="34" t="str">
        <f>IFERROR(__xludf.DUMMYFUNCTION("""COMPUTED_VALUE"""),"04Apr")</f>
        <v>04Apr</v>
      </c>
      <c r="F1258" s="34" t="str">
        <f>IFERROR(__xludf.DUMMYFUNCTION("""COMPUTED_VALUE"""),"2024")</f>
        <v>2024</v>
      </c>
      <c r="G1258" s="35" t="str">
        <f>IFERROR(__xludf.DUMMYFUNCTION("""COMPUTED_VALUE"""),"GIRY XAVIRA PUTRI")</f>
        <v>GIRY XAVIRA PUTRI</v>
      </c>
      <c r="H1258" s="17" t="str">
        <f>IFERROR(__xludf.DUMMYFUNCTION("""COMPUTED_VALUE"""),"G9924046563")</f>
        <v>G9924046563</v>
      </c>
      <c r="I1258" s="17">
        <f>IFERROR(__xludf.DUMMYFUNCTION("""COMPUTED_VALUE"""),27.0)</f>
        <v>27</v>
      </c>
      <c r="J1258" s="17" t="str">
        <f>IFERROR(__xludf.DUMMYFUNCTION("""COMPUTED_VALUE"""),"25-34 tahun")</f>
        <v>25-34 tahun</v>
      </c>
      <c r="K1258" s="19">
        <f>IFERROR(__xludf.DUMMYFUNCTION("""COMPUTED_VALUE"""),36226.0)</f>
        <v>36226</v>
      </c>
      <c r="L1258" s="19" t="str">
        <f>IFERROR(__xludf.DUMMYFUNCTION("""COMPUTED_VALUE"""),"PEREMPUAN")</f>
        <v>PEREMPUAN</v>
      </c>
      <c r="M1258" s="35" t="str">
        <f>IFERROR(__xludf.DUMMYFUNCTION("""COMPUTED_VALUE"""),"JL MERDEKA GG MURAI NO 25")</f>
        <v>JL MERDEKA GG MURAI NO 25</v>
      </c>
      <c r="N1258" s="16" t="str">
        <f>IFERROR(__xludf.DUMMYFUNCTION("""COMPUTED_VALUE"""),"KEL. MARIANA")</f>
        <v>KEL. MARIANA</v>
      </c>
      <c r="O1258" s="16" t="str">
        <f>IFERROR(__xludf.DUMMYFUNCTION("""COMPUTED_VALUE"""),"KEC. PONTIANAK KOTA")</f>
        <v>KEC. PONTIANAK KOTA</v>
      </c>
      <c r="P1258" s="16" t="str">
        <f>IFERROR(__xludf.DUMMYFUNCTION("""COMPUTED_VALUE"""),"KOTA PONTIANAK")</f>
        <v>KOTA PONTIANAK</v>
      </c>
      <c r="Q1258" s="16" t="str">
        <f>IFERROR(__xludf.DUMMYFUNCTION("""COMPUTED_VALUE"""),"KALIMANTAN BARAT")</f>
        <v>KALIMANTAN BARAT</v>
      </c>
      <c r="R1258" s="19" t="str">
        <f>IFERROR(__xludf.DUMMYFUNCTION("""COMPUTED_VALUE"""),"ISLAM")</f>
        <v>ISLAM</v>
      </c>
      <c r="S1258" s="16" t="str">
        <f>IFERROR(__xludf.DUMMYFUNCTION("""COMPUTED_VALUE"""),"BUMN")</f>
        <v>BUMN</v>
      </c>
      <c r="T1258" s="16" t="str">
        <f>IFERROR(__xludf.DUMMYFUNCTION("""COMPUTED_VALUE"""),"Nyeri bahu , lengan kiri, dan leher")</f>
        <v>Nyeri bahu , lengan kiri, dan leher</v>
      </c>
      <c r="U1258" s="16" t="str">
        <f>IFERROR(__xludf.DUMMYFUNCTION("""COMPUTED_VALUE"""),"Kerja")</f>
        <v>Kerja</v>
      </c>
      <c r="V1258" s="11" t="str">
        <f>IFERROR(__xludf.DUMMYFUNCTION("""COMPUTED_VALUE"""),"081393996563")</f>
        <v>081393996563</v>
      </c>
      <c r="W1258" s="15"/>
    </row>
    <row r="1259" ht="22.5" customHeight="1">
      <c r="A1259" s="8"/>
      <c r="B1259" s="9">
        <f>IFERROR(__xludf.DUMMYFUNCTION("""COMPUTED_VALUE"""),45399.41941148148)</f>
        <v>45399.41941</v>
      </c>
      <c r="C1259" s="9"/>
      <c r="D1259" s="34">
        <f>IFERROR(__xludf.DUMMYFUNCTION("""COMPUTED_VALUE"""),45403.0)</f>
        <v>45403</v>
      </c>
      <c r="E1259" s="34" t="str">
        <f>IFERROR(__xludf.DUMMYFUNCTION("""COMPUTED_VALUE"""),"04Apr")</f>
        <v>04Apr</v>
      </c>
      <c r="F1259" s="34" t="str">
        <f>IFERROR(__xludf.DUMMYFUNCTION("""COMPUTED_VALUE"""),"2024")</f>
        <v>2024</v>
      </c>
      <c r="G1259" s="35" t="str">
        <f>IFERROR(__xludf.DUMMYFUNCTION("""COMPUTED_VALUE"""),"LINDA SAFITRI")</f>
        <v>LINDA SAFITRI</v>
      </c>
      <c r="H1259" s="17" t="str">
        <f>IFERROR(__xludf.DUMMYFUNCTION("""COMPUTED_VALUE"""),"L9024043637")</f>
        <v>L9024043637</v>
      </c>
      <c r="I1259" s="17">
        <f>IFERROR(__xludf.DUMMYFUNCTION("""COMPUTED_VALUE"""),35.0)</f>
        <v>35</v>
      </c>
      <c r="J1259" s="17" t="str">
        <f>IFERROR(__xludf.DUMMYFUNCTION("""COMPUTED_VALUE"""),"35-44 tahun")</f>
        <v>35-44 tahun</v>
      </c>
      <c r="K1259" s="19">
        <f>IFERROR(__xludf.DUMMYFUNCTION("""COMPUTED_VALUE"""),33109.0)</f>
        <v>33109</v>
      </c>
      <c r="L1259" s="19" t="str">
        <f>IFERROR(__xludf.DUMMYFUNCTION("""COMPUTED_VALUE"""),"PEREMPUAN")</f>
        <v>PEREMPUAN</v>
      </c>
      <c r="M1259" s="35" t="str">
        <f>IFERROR(__xludf.DUMMYFUNCTION("""COMPUTED_VALUE"""),"JALAN DANAU SENTARUM KOMPLEK ARI KARYA INDAH 3 NOMOR B25")</f>
        <v>JALAN DANAU SENTARUM KOMPLEK ARI KARYA INDAH 3 NOMOR B25</v>
      </c>
      <c r="N1259" s="16" t="str">
        <f>IFERROR(__xludf.DUMMYFUNCTION("""COMPUTED_VALUE"""),"KEL. AKCAYA")</f>
        <v>KEL. AKCAYA</v>
      </c>
      <c r="O1259" s="16" t="str">
        <f>IFERROR(__xludf.DUMMYFUNCTION("""COMPUTED_VALUE"""),"KEC. PONTIANAK KOTA")</f>
        <v>KEC. PONTIANAK KOTA</v>
      </c>
      <c r="P1259" s="16" t="str">
        <f>IFERROR(__xludf.DUMMYFUNCTION("""COMPUTED_VALUE"""),"KOTA PONTIANAK")</f>
        <v>KOTA PONTIANAK</v>
      </c>
      <c r="Q1259" s="16" t="str">
        <f>IFERROR(__xludf.DUMMYFUNCTION("""COMPUTED_VALUE"""),"KALIMANTAN BARAT")</f>
        <v>KALIMANTAN BARAT</v>
      </c>
      <c r="R1259" s="19" t="str">
        <f>IFERROR(__xludf.DUMMYFUNCTION("""COMPUTED_VALUE"""),"ISLAM")</f>
        <v>ISLAM</v>
      </c>
      <c r="S1259" s="16" t="str">
        <f>IFERROR(__xludf.DUMMYFUNCTION("""COMPUTED_VALUE"""),"SWASTA")</f>
        <v>SWASTA</v>
      </c>
      <c r="T1259" s="16" t="str">
        <f>IFERROR(__xludf.DUMMYFUNCTION("""COMPUTED_VALUE"""),"Nyeri dari bwh pinggang ke belakanh hingga tulang bokong dan paha belakang kadang kesemutan")</f>
        <v>Nyeri dari bwh pinggang ke belakanh hingga tulang bokong dan paha belakang kadang kesemutan</v>
      </c>
      <c r="U1259" s="16" t="str">
        <f>IFERROR(__xludf.DUMMYFUNCTION("""COMPUTED_VALUE"""),"Biasa saja selain kerja hanya pekerjaan rumah biasa")</f>
        <v>Biasa saja selain kerja hanya pekerjaan rumah biasa</v>
      </c>
      <c r="V1259" s="11" t="str">
        <f>IFERROR(__xludf.DUMMYFUNCTION("""COMPUTED_VALUE"""),"081249353637")</f>
        <v>081249353637</v>
      </c>
      <c r="W1259" s="15"/>
    </row>
    <row r="1260" ht="22.5" customHeight="1">
      <c r="A1260" s="8"/>
      <c r="B1260" s="9">
        <f>IFERROR(__xludf.DUMMYFUNCTION("""COMPUTED_VALUE"""),45400.389957453706)</f>
        <v>45400.38996</v>
      </c>
      <c r="C1260" s="9"/>
      <c r="D1260" s="34">
        <f>IFERROR(__xludf.DUMMYFUNCTION("""COMPUTED_VALUE"""),45403.0)</f>
        <v>45403</v>
      </c>
      <c r="E1260" s="34" t="str">
        <f>IFERROR(__xludf.DUMMYFUNCTION("""COMPUTED_VALUE"""),"04Apr")</f>
        <v>04Apr</v>
      </c>
      <c r="F1260" s="34" t="str">
        <f>IFERROR(__xludf.DUMMYFUNCTION("""COMPUTED_VALUE"""),"2024")</f>
        <v>2024</v>
      </c>
      <c r="G1260" s="35" t="str">
        <f>IFERROR(__xludf.DUMMYFUNCTION("""COMPUTED_VALUE"""),"WITRI")</f>
        <v>WITRI</v>
      </c>
      <c r="H1260" s="17" t="str">
        <f>IFERROR(__xludf.DUMMYFUNCTION("""COMPUTED_VALUE"""),"W9524046041")</f>
        <v>W9524046041</v>
      </c>
      <c r="I1260" s="17">
        <f>IFERROR(__xludf.DUMMYFUNCTION("""COMPUTED_VALUE"""),31.0)</f>
        <v>31</v>
      </c>
      <c r="J1260" s="17" t="str">
        <f>IFERROR(__xludf.DUMMYFUNCTION("""COMPUTED_VALUE"""),"25-34 tahun")</f>
        <v>25-34 tahun</v>
      </c>
      <c r="K1260" s="19">
        <f>IFERROR(__xludf.DUMMYFUNCTION("""COMPUTED_VALUE"""),34700.0)</f>
        <v>34700</v>
      </c>
      <c r="L1260" s="19" t="str">
        <f>IFERROR(__xludf.DUMMYFUNCTION("""COMPUTED_VALUE"""),"PEREMPUAN")</f>
        <v>PEREMPUAN</v>
      </c>
      <c r="M1260" s="35" t="str">
        <f>IFERROR(__xludf.DUMMYFUNCTION("""COMPUTED_VALUE"""),"JL. HUSEIN HAMZAH GG. HASANAH NO.43")</f>
        <v>JL. HUSEIN HAMZAH GG. HASANAH NO.43</v>
      </c>
      <c r="N1260" s="16" t="str">
        <f>IFERROR(__xludf.DUMMYFUNCTION("""COMPUTED_VALUE"""),"KEL. SUNGAI JAWI DALAM")</f>
        <v>KEL. SUNGAI JAWI DALAM</v>
      </c>
      <c r="O1260" s="16" t="str">
        <f>IFERROR(__xludf.DUMMYFUNCTION("""COMPUTED_VALUE"""),"KEC. PONTIANAK BARAT")</f>
        <v>KEC. PONTIANAK BARAT</v>
      </c>
      <c r="P1260" s="16" t="str">
        <f>IFERROR(__xludf.DUMMYFUNCTION("""COMPUTED_VALUE"""),"KOTA PONTIANAK")</f>
        <v>KOTA PONTIANAK</v>
      </c>
      <c r="Q1260" s="16" t="str">
        <f>IFERROR(__xludf.DUMMYFUNCTION("""COMPUTED_VALUE"""),"KALIMANTAN BARAT")</f>
        <v>KALIMANTAN BARAT</v>
      </c>
      <c r="R1260" s="19" t="str">
        <f>IFERROR(__xludf.DUMMYFUNCTION("""COMPUTED_VALUE"""),"ISLAM")</f>
        <v>ISLAM</v>
      </c>
      <c r="S1260" s="16" t="str">
        <f>IFERROR(__xludf.DUMMYFUNCTION("""COMPUTED_VALUE"""),"ASN")</f>
        <v>ASN</v>
      </c>
      <c r="T1260" s="16" t="str">
        <f>IFERROR(__xludf.DUMMYFUNCTION("""COMPUTED_VALUE"""),"Sakit di area tulang belakang")</f>
        <v>Sakit di area tulang belakang</v>
      </c>
      <c r="U1260" s="16" t="str">
        <f>IFERROR(__xludf.DUMMYFUNCTION("""COMPUTED_VALUE"""),"Kerja dan mengurus anak balita")</f>
        <v>Kerja dan mengurus anak balita</v>
      </c>
      <c r="V1260" s="11" t="str">
        <f>IFERROR(__xludf.DUMMYFUNCTION("""COMPUTED_VALUE"""),"081262056041")</f>
        <v>081262056041</v>
      </c>
      <c r="W1260" s="15"/>
    </row>
    <row r="1261" ht="22.5" customHeight="1">
      <c r="A1261" s="8"/>
      <c r="B1261" s="9">
        <f>IFERROR(__xludf.DUMMYFUNCTION("""COMPUTED_VALUE"""),45400.449630138886)</f>
        <v>45400.44963</v>
      </c>
      <c r="C1261" s="9"/>
      <c r="D1261" s="34">
        <f>IFERROR(__xludf.DUMMYFUNCTION("""COMPUTED_VALUE"""),45403.0)</f>
        <v>45403</v>
      </c>
      <c r="E1261" s="34" t="str">
        <f>IFERROR(__xludf.DUMMYFUNCTION("""COMPUTED_VALUE"""),"04Apr")</f>
        <v>04Apr</v>
      </c>
      <c r="F1261" s="34" t="str">
        <f>IFERROR(__xludf.DUMMYFUNCTION("""COMPUTED_VALUE"""),"2024")</f>
        <v>2024</v>
      </c>
      <c r="G1261" s="35" t="str">
        <f>IFERROR(__xludf.DUMMYFUNCTION("""COMPUTED_VALUE"""),"RAFIZ KAMILI ALKADRIE")</f>
        <v>RAFIZ KAMILI ALKADRIE</v>
      </c>
      <c r="H1261" s="17" t="str">
        <f>IFERROR(__xludf.DUMMYFUNCTION("""COMPUTED_VALUE"""),"R0124040528")</f>
        <v>R0124040528</v>
      </c>
      <c r="I1261" s="17">
        <f>IFERROR(__xludf.DUMMYFUNCTION("""COMPUTED_VALUE"""),25.0)</f>
        <v>25</v>
      </c>
      <c r="J1261" s="17" t="str">
        <f>IFERROR(__xludf.DUMMYFUNCTION("""COMPUTED_VALUE"""),"25-34 tahun")</f>
        <v>25-34 tahun</v>
      </c>
      <c r="K1261" s="19">
        <f>IFERROR(__xludf.DUMMYFUNCTION("""COMPUTED_VALUE"""),37007.0)</f>
        <v>37007</v>
      </c>
      <c r="L1261" s="19" t="str">
        <f>IFERROR(__xludf.DUMMYFUNCTION("""COMPUTED_VALUE"""),"LAKI-LAKI")</f>
        <v>LAKI-LAKI</v>
      </c>
      <c r="M1261" s="35" t="str">
        <f>IFERROR(__xludf.DUMMYFUNCTION("""COMPUTED_VALUE"""),"JALAN TABRANI AHMAD GANG SETARA NOMOR 23")</f>
        <v>JALAN TABRANI AHMAD GANG SETARA NOMOR 23</v>
      </c>
      <c r="N1261" s="16" t="str">
        <f>IFERROR(__xludf.DUMMYFUNCTION("""COMPUTED_VALUE"""),"KEL. SUNGAI JAWI DALAM")</f>
        <v>KEL. SUNGAI JAWI DALAM</v>
      </c>
      <c r="O1261" s="16" t="str">
        <f>IFERROR(__xludf.DUMMYFUNCTION("""COMPUTED_VALUE"""),"KEC. PONTIANAK BARAT")</f>
        <v>KEC. PONTIANAK BARAT</v>
      </c>
      <c r="P1261" s="16" t="str">
        <f>IFERROR(__xludf.DUMMYFUNCTION("""COMPUTED_VALUE"""),"KOTA PONTIANAK")</f>
        <v>KOTA PONTIANAK</v>
      </c>
      <c r="Q1261" s="16" t="str">
        <f>IFERROR(__xludf.DUMMYFUNCTION("""COMPUTED_VALUE"""),"KALIMANTAN BARAT")</f>
        <v>KALIMANTAN BARAT</v>
      </c>
      <c r="R1261" s="19" t="str">
        <f>IFERROR(__xludf.DUMMYFUNCTION("""COMPUTED_VALUE"""),"ISLAM")</f>
        <v>ISLAM</v>
      </c>
      <c r="S1261" s="16" t="str">
        <f>IFERROR(__xludf.DUMMYFUNCTION("""COMPUTED_VALUE"""),"ASN")</f>
        <v>ASN</v>
      </c>
      <c r="T1261" s="16" t="str">
        <f>IFERROR(__xludf.DUMMYFUNCTION("""COMPUTED_VALUE"""),"sakit")</f>
        <v>sakit</v>
      </c>
      <c r="U1261" s="16" t="str">
        <f>IFERROR(__xludf.DUMMYFUNCTION("""COMPUTED_VALUE"""),"Basket dan Kerja")</f>
        <v>Basket dan Kerja</v>
      </c>
      <c r="V1261" s="11" t="str">
        <f>IFERROR(__xludf.DUMMYFUNCTION("""COMPUTED_VALUE"""),"081250150528")</f>
        <v>081250150528</v>
      </c>
      <c r="W1261" s="15"/>
    </row>
    <row r="1262" ht="22.5" customHeight="1">
      <c r="A1262" s="8"/>
      <c r="B1262" s="9">
        <f>IFERROR(__xludf.DUMMYFUNCTION("""COMPUTED_VALUE"""),45401.66632121528)</f>
        <v>45401.66632</v>
      </c>
      <c r="C1262" s="9"/>
      <c r="D1262" s="34">
        <f>IFERROR(__xludf.DUMMYFUNCTION("""COMPUTED_VALUE"""),45403.0)</f>
        <v>45403</v>
      </c>
      <c r="E1262" s="34" t="str">
        <f>IFERROR(__xludf.DUMMYFUNCTION("""COMPUTED_VALUE"""),"04Apr")</f>
        <v>04Apr</v>
      </c>
      <c r="F1262" s="34" t="str">
        <f>IFERROR(__xludf.DUMMYFUNCTION("""COMPUTED_VALUE"""),"2024")</f>
        <v>2024</v>
      </c>
      <c r="G1262" s="35" t="str">
        <f>IFERROR(__xludf.DUMMYFUNCTION("""COMPUTED_VALUE"""),"RAIHANAH SYAFIIQAH ULYANI")</f>
        <v>RAIHANAH SYAFIIQAH ULYANI</v>
      </c>
      <c r="H1262" s="17" t="str">
        <f>IFERROR(__xludf.DUMMYFUNCTION("""COMPUTED_VALUE"""),"R1224042496")</f>
        <v>R1224042496</v>
      </c>
      <c r="I1262" s="17">
        <f>IFERROR(__xludf.DUMMYFUNCTION("""COMPUTED_VALUE"""),13.0)</f>
        <v>13</v>
      </c>
      <c r="J1262" s="17" t="str">
        <f>IFERROR(__xludf.DUMMYFUNCTION("""COMPUTED_VALUE"""),"&lt; 18 tahun")</f>
        <v>&lt; 18 tahun</v>
      </c>
      <c r="K1262" s="19">
        <f>IFERROR(__xludf.DUMMYFUNCTION("""COMPUTED_VALUE"""),41107.0)</f>
        <v>41107</v>
      </c>
      <c r="L1262" s="19" t="str">
        <f>IFERROR(__xludf.DUMMYFUNCTION("""COMPUTED_VALUE"""),"PEREMPUAN")</f>
        <v>PEREMPUAN</v>
      </c>
      <c r="M1262" s="35" t="str">
        <f>IFERROR(__xludf.DUMMYFUNCTION("""COMPUTED_VALUE"""),"JL P NATAKUSUMA GG RAJAWALI NO 49")</f>
        <v>JL P NATAKUSUMA GG RAJAWALI NO 49</v>
      </c>
      <c r="N1262" s="16" t="str">
        <f>IFERROR(__xludf.DUMMYFUNCTION("""COMPUTED_VALUE"""),"KEL. SUNGAI BANGKONG")</f>
        <v>KEL. SUNGAI BANGKONG</v>
      </c>
      <c r="O1262" s="16" t="str">
        <f>IFERROR(__xludf.DUMMYFUNCTION("""COMPUTED_VALUE"""),"KEC. PONTIANAK KOTA")</f>
        <v>KEC. PONTIANAK KOTA</v>
      </c>
      <c r="P1262" s="16" t="str">
        <f>IFERROR(__xludf.DUMMYFUNCTION("""COMPUTED_VALUE"""),"KOTA PONTIANAK")</f>
        <v>KOTA PONTIANAK</v>
      </c>
      <c r="Q1262" s="16" t="str">
        <f>IFERROR(__xludf.DUMMYFUNCTION("""COMPUTED_VALUE"""),"KALIMANTAN BARAT")</f>
        <v>KALIMANTAN BARAT</v>
      </c>
      <c r="R1262" s="19" t="str">
        <f>IFERROR(__xludf.DUMMYFUNCTION("""COMPUTED_VALUE"""),"ISLAM")</f>
        <v>ISLAM</v>
      </c>
      <c r="S1262" s="16" t="str">
        <f>IFERROR(__xludf.DUMMYFUNCTION("""COMPUTED_VALUE"""),"PELAJAR/MAHASISWA")</f>
        <v>PELAJAR/MAHASISWA</v>
      </c>
      <c r="T1262" s="16" t="str">
        <f>IFERROR(__xludf.DUMMYFUNCTION("""COMPUTED_VALUE"""),"Nyeri pasca tersungkur")</f>
        <v>Nyeri pasca tersungkur</v>
      </c>
      <c r="U1262" s="16" t="str">
        <f>IFERROR(__xludf.DUMMYFUNCTION("""COMPUTED_VALUE"""),"Olah raga basket")</f>
        <v>Olah raga basket</v>
      </c>
      <c r="V1262" s="11" t="str">
        <f>IFERROR(__xludf.DUMMYFUNCTION("""COMPUTED_VALUE"""),"08125432496")</f>
        <v>08125432496</v>
      </c>
      <c r="W1262" s="15"/>
    </row>
    <row r="1263" ht="22.5" customHeight="1">
      <c r="A1263" s="8"/>
      <c r="B1263" s="9">
        <f>IFERROR(__xludf.DUMMYFUNCTION("""COMPUTED_VALUE"""),45402.404039699075)</f>
        <v>45402.40404</v>
      </c>
      <c r="C1263" s="9"/>
      <c r="D1263" s="34">
        <f>IFERROR(__xludf.DUMMYFUNCTION("""COMPUTED_VALUE"""),45403.0)</f>
        <v>45403</v>
      </c>
      <c r="E1263" s="34" t="str">
        <f>IFERROR(__xludf.DUMMYFUNCTION("""COMPUTED_VALUE"""),"04Apr")</f>
        <v>04Apr</v>
      </c>
      <c r="F1263" s="34" t="str">
        <f>IFERROR(__xludf.DUMMYFUNCTION("""COMPUTED_VALUE"""),"2024")</f>
        <v>2024</v>
      </c>
      <c r="G1263" s="35" t="str">
        <f>IFERROR(__xludf.DUMMYFUNCTION("""COMPUTED_VALUE"""),"MIKAIL ZOVIC ROMADHADN")</f>
        <v>MIKAIL ZOVIC ROMADHADN</v>
      </c>
      <c r="H1263" s="17" t="str">
        <f>IFERROR(__xludf.DUMMYFUNCTION("""COMPUTED_VALUE"""),"M2024042777")</f>
        <v>M2024042777</v>
      </c>
      <c r="I1263" s="17">
        <f>IFERROR(__xludf.DUMMYFUNCTION("""COMPUTED_VALUE"""),5.0)</f>
        <v>5</v>
      </c>
      <c r="J1263" s="17" t="str">
        <f>IFERROR(__xludf.DUMMYFUNCTION("""COMPUTED_VALUE"""),"&lt; 18 tahun")</f>
        <v>&lt; 18 tahun</v>
      </c>
      <c r="K1263" s="19">
        <f>IFERROR(__xludf.DUMMYFUNCTION("""COMPUTED_VALUE"""),44100.0)</f>
        <v>44100</v>
      </c>
      <c r="L1263" s="19" t="str">
        <f>IFERROR(__xludf.DUMMYFUNCTION("""COMPUTED_VALUE"""),"LAKI-LAKI")</f>
        <v>LAKI-LAKI</v>
      </c>
      <c r="M1263" s="35" t="str">
        <f>IFERROR(__xludf.DUMMYFUNCTION("""COMPUTED_VALUE"""),"JALAN ILHAM GANG SUKARELA NO 5A")</f>
        <v>JALAN ILHAM GANG SUKARELA NO 5A</v>
      </c>
      <c r="N1263" s="16" t="str">
        <f>IFERROR(__xludf.DUMMYFUNCTION("""COMPUTED_VALUE"""),"KEL. SUNGAI BANGKONG")</f>
        <v>KEL. SUNGAI BANGKONG</v>
      </c>
      <c r="O1263" s="16" t="str">
        <f>IFERROR(__xludf.DUMMYFUNCTION("""COMPUTED_VALUE"""),"KEC. PONTIANAK KOTA")</f>
        <v>KEC. PONTIANAK KOTA</v>
      </c>
      <c r="P1263" s="16" t="str">
        <f>IFERROR(__xludf.DUMMYFUNCTION("""COMPUTED_VALUE"""),"KOTA PONTIANAK")</f>
        <v>KOTA PONTIANAK</v>
      </c>
      <c r="Q1263" s="16" t="str">
        <f>IFERROR(__xludf.DUMMYFUNCTION("""COMPUTED_VALUE"""),"KALIMANTAN BARAT")</f>
        <v>KALIMANTAN BARAT</v>
      </c>
      <c r="R1263" s="19" t="str">
        <f>IFERROR(__xludf.DUMMYFUNCTION("""COMPUTED_VALUE"""),"ISLAM")</f>
        <v>ISLAM</v>
      </c>
      <c r="S1263" s="35" t="str">
        <f>IFERROR(__xludf.DUMMYFUNCTION("""COMPUTED_VALUE"""),"TIDAK ADA")</f>
        <v>TIDAK ADA</v>
      </c>
      <c r="T1263" s="16" t="str">
        <f>IFERROR(__xludf.DUMMYFUNCTION("""COMPUTED_VALUE"""),"Tangan terbentur/terkilir")</f>
        <v>Tangan terbentur/terkilir</v>
      </c>
      <c r="U1263" s="16" t="str">
        <f>IFERROR(__xludf.DUMMYFUNCTION("""COMPUTED_VALUE"""),"Main")</f>
        <v>Main</v>
      </c>
      <c r="V1263" s="11" t="str">
        <f>IFERROR(__xludf.DUMMYFUNCTION("""COMPUTED_VALUE"""),"08176592777")</f>
        <v>08176592777</v>
      </c>
      <c r="W1263" s="15"/>
    </row>
    <row r="1264" ht="22.5" customHeight="1">
      <c r="A1264" s="8"/>
      <c r="B1264" s="9">
        <f>IFERROR(__xludf.DUMMYFUNCTION("""COMPUTED_VALUE"""),45402.46166017361)</f>
        <v>45402.46166</v>
      </c>
      <c r="C1264" s="9"/>
      <c r="D1264" s="34">
        <f>IFERROR(__xludf.DUMMYFUNCTION("""COMPUTED_VALUE"""),45403.0)</f>
        <v>45403</v>
      </c>
      <c r="E1264" s="34" t="str">
        <f>IFERROR(__xludf.DUMMYFUNCTION("""COMPUTED_VALUE"""),"04Apr")</f>
        <v>04Apr</v>
      </c>
      <c r="F1264" s="34" t="str">
        <f>IFERROR(__xludf.DUMMYFUNCTION("""COMPUTED_VALUE"""),"2024")</f>
        <v>2024</v>
      </c>
      <c r="G1264" s="35" t="str">
        <f>IFERROR(__xludf.DUMMYFUNCTION("""COMPUTED_VALUE"""),"TUTI ERAWATI")</f>
        <v>TUTI ERAWATI</v>
      </c>
      <c r="H1264" s="17" t="str">
        <f>IFERROR(__xludf.DUMMYFUNCTION("""COMPUTED_VALUE"""),"T8724049963")</f>
        <v>T8724049963</v>
      </c>
      <c r="I1264" s="17">
        <f>IFERROR(__xludf.DUMMYFUNCTION("""COMPUTED_VALUE"""),38.0)</f>
        <v>38</v>
      </c>
      <c r="J1264" s="17" t="str">
        <f>IFERROR(__xludf.DUMMYFUNCTION("""COMPUTED_VALUE"""),"35-44 tahun")</f>
        <v>35-44 tahun</v>
      </c>
      <c r="K1264" s="19">
        <f>IFERROR(__xludf.DUMMYFUNCTION("""COMPUTED_VALUE"""),31968.0)</f>
        <v>31968</v>
      </c>
      <c r="L1264" s="19" t="str">
        <f>IFERROR(__xludf.DUMMYFUNCTION("""COMPUTED_VALUE"""),"PEREMPUAN")</f>
        <v>PEREMPUAN</v>
      </c>
      <c r="M1264" s="35" t="str">
        <f>IFERROR(__xludf.DUMMYFUNCTION("""COMPUTED_VALUE"""),"JALAN M. YAMIN GG. KELUARGA BERSAMA NI. 29")</f>
        <v>JALAN M. YAMIN GG. KELUARGA BERSAMA NI. 29</v>
      </c>
      <c r="N1264" s="16" t="str">
        <f>IFERROR(__xludf.DUMMYFUNCTION("""COMPUTED_VALUE"""),"KEL. KOTA BARU")</f>
        <v>KEL. KOTA BARU</v>
      </c>
      <c r="O1264" s="16" t="str">
        <f>IFERROR(__xludf.DUMMYFUNCTION("""COMPUTED_VALUE"""),"KEC. PONTIANAK SELATAN")</f>
        <v>KEC. PONTIANAK SELATAN</v>
      </c>
      <c r="P1264" s="16" t="str">
        <f>IFERROR(__xludf.DUMMYFUNCTION("""COMPUTED_VALUE"""),"KOTA PONTIANAK")</f>
        <v>KOTA PONTIANAK</v>
      </c>
      <c r="Q1264" s="16" t="str">
        <f>IFERROR(__xludf.DUMMYFUNCTION("""COMPUTED_VALUE"""),"KALIMANTAN BARAT")</f>
        <v>KALIMANTAN BARAT</v>
      </c>
      <c r="R1264" s="19" t="str">
        <f>IFERROR(__xludf.DUMMYFUNCTION("""COMPUTED_VALUE"""),"ISLAM")</f>
        <v>ISLAM</v>
      </c>
      <c r="S1264" s="16" t="str">
        <f>IFERROR(__xludf.DUMMYFUNCTION("""COMPUTED_VALUE"""),"SWASTA")</f>
        <v>SWASTA</v>
      </c>
      <c r="T1264" s="16" t="str">
        <f>IFERROR(__xludf.DUMMYFUNCTION("""COMPUTED_VALUE"""),"Nyeri sendi pada")</f>
        <v>Nyeri sendi pada</v>
      </c>
      <c r="U1264" s="16" t="str">
        <f>IFERROR(__xludf.DUMMYFUNCTION("""COMPUTED_VALUE"""),"Bekerja")</f>
        <v>Bekerja</v>
      </c>
      <c r="V1264" s="11" t="str">
        <f>IFERROR(__xludf.DUMMYFUNCTION("""COMPUTED_VALUE"""),"082149849963")</f>
        <v>082149849963</v>
      </c>
      <c r="W1264" s="15"/>
    </row>
    <row r="1265" ht="22.5" customHeight="1">
      <c r="A1265" s="8"/>
      <c r="B1265" s="9">
        <f>IFERROR(__xludf.DUMMYFUNCTION("""COMPUTED_VALUE"""),45402.463101932866)</f>
        <v>45402.4631</v>
      </c>
      <c r="C1265" s="9"/>
      <c r="D1265" s="34">
        <f>IFERROR(__xludf.DUMMYFUNCTION("""COMPUTED_VALUE"""),45404.0)</f>
        <v>45404</v>
      </c>
      <c r="E1265" s="34" t="str">
        <f>IFERROR(__xludf.DUMMYFUNCTION("""COMPUTED_VALUE"""),"04Apr")</f>
        <v>04Apr</v>
      </c>
      <c r="F1265" s="34" t="str">
        <f>IFERROR(__xludf.DUMMYFUNCTION("""COMPUTED_VALUE"""),"2024")</f>
        <v>2024</v>
      </c>
      <c r="G1265" s="35" t="str">
        <f>IFERROR(__xludf.DUMMYFUNCTION("""COMPUTED_VALUE"""),"PURNI RAHMATTULLAH")</f>
        <v>PURNI RAHMATTULLAH</v>
      </c>
      <c r="H1265" s="17" t="str">
        <f>IFERROR(__xludf.DUMMYFUNCTION("""COMPUTED_VALUE"""),"P7524040300")</f>
        <v>P7524040300</v>
      </c>
      <c r="I1265" s="17">
        <f>IFERROR(__xludf.DUMMYFUNCTION("""COMPUTED_VALUE"""),50.0)</f>
        <v>50</v>
      </c>
      <c r="J1265" s="17" t="str">
        <f>IFERROR(__xludf.DUMMYFUNCTION("""COMPUTED_VALUE"""),"&gt; 44 tahun")</f>
        <v>&gt; 44 tahun</v>
      </c>
      <c r="K1265" s="19">
        <f>IFERROR(__xludf.DUMMYFUNCTION("""COMPUTED_VALUE"""),27645.0)</f>
        <v>27645</v>
      </c>
      <c r="L1265" s="19" t="str">
        <f>IFERROR(__xludf.DUMMYFUNCTION("""COMPUTED_VALUE"""),"LAKI-LAKI")</f>
        <v>LAKI-LAKI</v>
      </c>
      <c r="M1265" s="35" t="str">
        <f>IFERROR(__xludf.DUMMYFUNCTION("""COMPUTED_VALUE"""),"JLN RAYA KAKAP")</f>
        <v>JLN RAYA KAKAP</v>
      </c>
      <c r="N1265" s="16" t="str">
        <f>IFERROR(__xludf.DUMMYFUNCTION("""COMPUTED_VALUE"""),"KEL. PAL IX")</f>
        <v>KEL. PAL IX</v>
      </c>
      <c r="O1265" s="16" t="str">
        <f>IFERROR(__xludf.DUMMYFUNCTION("""COMPUTED_VALUE"""),"KEC. SUNGAI KAKAP")</f>
        <v>KEC. SUNGAI KAKAP</v>
      </c>
      <c r="P1265" s="16" t="str">
        <f>IFERROR(__xludf.DUMMYFUNCTION("""COMPUTED_VALUE"""),"KAB. KUBU RAYA")</f>
        <v>KAB. KUBU RAYA</v>
      </c>
      <c r="Q1265" s="16" t="str">
        <f>IFERROR(__xludf.DUMMYFUNCTION("""COMPUTED_VALUE"""),"KALIMANTAN BARAT")</f>
        <v>KALIMANTAN BARAT</v>
      </c>
      <c r="R1265" s="19" t="str">
        <f>IFERROR(__xludf.DUMMYFUNCTION("""COMPUTED_VALUE"""),"ISLAM")</f>
        <v>ISLAM</v>
      </c>
      <c r="S1265" s="16" t="str">
        <f>IFERROR(__xludf.DUMMYFUNCTION("""COMPUTED_VALUE"""),"SWASTA")</f>
        <v>SWASTA</v>
      </c>
      <c r="T1265" s="16" t="str">
        <f>IFERROR(__xludf.DUMMYFUNCTION("""COMPUTED_VALUE"""),"Saraf kejepit dan sakit pinggang")</f>
        <v>Saraf kejepit dan sakit pinggang</v>
      </c>
      <c r="U1265" s="16" t="str">
        <f>IFERROR(__xludf.DUMMYFUNCTION("""COMPUTED_VALUE"""),"Bekerja")</f>
        <v>Bekerja</v>
      </c>
      <c r="V1265" s="11" t="str">
        <f>IFERROR(__xludf.DUMMYFUNCTION("""COMPUTED_VALUE"""),"089604090300")</f>
        <v>089604090300</v>
      </c>
      <c r="W1265" s="15"/>
    </row>
    <row r="1266" ht="22.5" customHeight="1">
      <c r="A1266" s="8"/>
      <c r="B1266" s="9">
        <f>IFERROR(__xludf.DUMMYFUNCTION("""COMPUTED_VALUE"""),45402.533216412034)</f>
        <v>45402.53322</v>
      </c>
      <c r="C1266" s="9"/>
      <c r="D1266" s="34">
        <f>IFERROR(__xludf.DUMMYFUNCTION("""COMPUTED_VALUE"""),45404.0)</f>
        <v>45404</v>
      </c>
      <c r="E1266" s="34" t="str">
        <f>IFERROR(__xludf.DUMMYFUNCTION("""COMPUTED_VALUE"""),"04Apr")</f>
        <v>04Apr</v>
      </c>
      <c r="F1266" s="34" t="str">
        <f>IFERROR(__xludf.DUMMYFUNCTION("""COMPUTED_VALUE"""),"2024")</f>
        <v>2024</v>
      </c>
      <c r="G1266" s="35" t="str">
        <f>IFERROR(__xludf.DUMMYFUNCTION("""COMPUTED_VALUE"""),"SUKATI")</f>
        <v>SUKATI</v>
      </c>
      <c r="H1266" s="17" t="str">
        <f>IFERROR(__xludf.DUMMYFUNCTION("""COMPUTED_VALUE"""),"S4424041838")</f>
        <v>S4424041838</v>
      </c>
      <c r="I1266" s="17">
        <f>IFERROR(__xludf.DUMMYFUNCTION("""COMPUTED_VALUE"""),82.0)</f>
        <v>82</v>
      </c>
      <c r="J1266" s="17" t="str">
        <f>IFERROR(__xludf.DUMMYFUNCTION("""COMPUTED_VALUE"""),"&gt; 44 tahun")</f>
        <v>&gt; 44 tahun</v>
      </c>
      <c r="K1266" s="19">
        <f>IFERROR(__xludf.DUMMYFUNCTION("""COMPUTED_VALUE"""),16176.0)</f>
        <v>16176</v>
      </c>
      <c r="L1266" s="19" t="str">
        <f>IFERROR(__xludf.DUMMYFUNCTION("""COMPUTED_VALUE"""),"PEREMPUAN")</f>
        <v>PEREMPUAN</v>
      </c>
      <c r="M1266" s="35" t="str">
        <f>IFERROR(__xludf.DUMMYFUNCTION("""COMPUTED_VALUE"""),"KOMPLEK BALI AGUNG 1 NO 11 A")</f>
        <v>KOMPLEK BALI AGUNG 1 NO 11 A</v>
      </c>
      <c r="N1266" s="16" t="str">
        <f>IFERROR(__xludf.DUMMYFUNCTION("""COMPUTED_VALUE"""),"KEL. PARIT TOKAYA")</f>
        <v>KEL. PARIT TOKAYA</v>
      </c>
      <c r="O1266" s="16" t="str">
        <f>IFERROR(__xludf.DUMMYFUNCTION("""COMPUTED_VALUE"""),"KEC. PONTIANAK SELATAN")</f>
        <v>KEC. PONTIANAK SELATAN</v>
      </c>
      <c r="P1266" s="16" t="str">
        <f>IFERROR(__xludf.DUMMYFUNCTION("""COMPUTED_VALUE"""),"KOTA PONTIANAK")</f>
        <v>KOTA PONTIANAK</v>
      </c>
      <c r="Q1266" s="16" t="str">
        <f>IFERROR(__xludf.DUMMYFUNCTION("""COMPUTED_VALUE"""),"KALIMANTAN BARAT")</f>
        <v>KALIMANTAN BARAT</v>
      </c>
      <c r="R1266" s="19" t="str">
        <f>IFERROR(__xludf.DUMMYFUNCTION("""COMPUTED_VALUE"""),"PROTESTAN")</f>
        <v>PROTESTAN</v>
      </c>
      <c r="S1266" s="16" t="str">
        <f>IFERROR(__xludf.DUMMYFUNCTION("""COMPUTED_VALUE"""),"RUMAH TANGGA")</f>
        <v>RUMAH TANGGA</v>
      </c>
      <c r="T1266" s="16" t="str">
        <f>IFERROR(__xludf.DUMMYFUNCTION("""COMPUTED_VALUE"""),"Kaki sebelah kiri bengkok")</f>
        <v>Kaki sebelah kiri bengkok</v>
      </c>
      <c r="U1266" s="16" t="str">
        <f>IFERROR(__xludf.DUMMYFUNCTION("""COMPUTED_VALUE"""),"Membaca")</f>
        <v>Membaca</v>
      </c>
      <c r="V1266" s="11" t="str">
        <f>IFERROR(__xludf.DUMMYFUNCTION("""COMPUTED_VALUE"""),"0895387521838")</f>
        <v>0895387521838</v>
      </c>
      <c r="W1266" s="15"/>
    </row>
    <row r="1267" ht="22.5" customHeight="1">
      <c r="A1267" s="8"/>
      <c r="B1267" s="9">
        <f>IFERROR(__xludf.DUMMYFUNCTION("""COMPUTED_VALUE"""),45402.63347407407)</f>
        <v>45402.63347</v>
      </c>
      <c r="C1267" s="9"/>
      <c r="D1267" s="34">
        <f>IFERROR(__xludf.DUMMYFUNCTION("""COMPUTED_VALUE"""),45405.0)</f>
        <v>45405</v>
      </c>
      <c r="E1267" s="34" t="str">
        <f>IFERROR(__xludf.DUMMYFUNCTION("""COMPUTED_VALUE"""),"04Apr")</f>
        <v>04Apr</v>
      </c>
      <c r="F1267" s="34" t="str">
        <f>IFERROR(__xludf.DUMMYFUNCTION("""COMPUTED_VALUE"""),"2024")</f>
        <v>2024</v>
      </c>
      <c r="G1267" s="35" t="str">
        <f>IFERROR(__xludf.DUMMYFUNCTION("""COMPUTED_VALUE"""),"ARAM")</f>
        <v>ARAM</v>
      </c>
      <c r="H1267" s="17" t="str">
        <f>IFERROR(__xludf.DUMMYFUNCTION("""COMPUTED_VALUE"""),"A6924042802")</f>
        <v>A6924042802</v>
      </c>
      <c r="I1267" s="17">
        <f>IFERROR(__xludf.DUMMYFUNCTION("""COMPUTED_VALUE"""),57.0)</f>
        <v>57</v>
      </c>
      <c r="J1267" s="17" t="str">
        <f>IFERROR(__xludf.DUMMYFUNCTION("""COMPUTED_VALUE"""),"&gt; 44 tahun")</f>
        <v>&gt; 44 tahun</v>
      </c>
      <c r="K1267" s="19">
        <f>IFERROR(__xludf.DUMMYFUNCTION("""COMPUTED_VALUE"""),25326.0)</f>
        <v>25326</v>
      </c>
      <c r="L1267" s="19" t="str">
        <f>IFERROR(__xludf.DUMMYFUNCTION("""COMPUTED_VALUE"""),"LAKI-LAKI")</f>
        <v>LAKI-LAKI</v>
      </c>
      <c r="M1267" s="35" t="str">
        <f>IFERROR(__xludf.DUMMYFUNCTION("""COMPUTED_VALUE"""),"RT/RW 007/004, DS. PENTEK, KEC. SADANIANG")</f>
        <v>RT/RW 007/004, DS. PENTEK, KEC. SADANIANG</v>
      </c>
      <c r="N1267" s="16" t="str">
        <f>IFERROR(__xludf.DUMMYFUNCTION("""COMPUTED_VALUE"""),"DS. PENTEK")</f>
        <v>DS. PENTEK</v>
      </c>
      <c r="O1267" s="16" t="str">
        <f>IFERROR(__xludf.DUMMYFUNCTION("""COMPUTED_VALUE"""),"KEC. SADANIANG")</f>
        <v>KEC. SADANIANG</v>
      </c>
      <c r="P1267" s="16" t="str">
        <f>IFERROR(__xludf.DUMMYFUNCTION("""COMPUTED_VALUE"""),"KAB. MEMPAWAH")</f>
        <v>KAB. MEMPAWAH</v>
      </c>
      <c r="Q1267" s="16" t="str">
        <f>IFERROR(__xludf.DUMMYFUNCTION("""COMPUTED_VALUE"""),"KALIMANTAN BARAT")</f>
        <v>KALIMANTAN BARAT</v>
      </c>
      <c r="R1267" s="19" t="str">
        <f>IFERROR(__xludf.DUMMYFUNCTION("""COMPUTED_VALUE"""),"PROTESTAN")</f>
        <v>PROTESTAN</v>
      </c>
      <c r="S1267" s="16" t="str">
        <f>IFERROR(__xludf.DUMMYFUNCTION("""COMPUTED_VALUE"""),"DOSEN/GURU")</f>
        <v>DOSEN/GURU</v>
      </c>
      <c r="T1267" s="16" t="str">
        <f>IFERROR(__xludf.DUMMYFUNCTION("""COMPUTED_VALUE"""),"Sakit kepala dan bahu kiri kanan sampai di telinga")</f>
        <v>Sakit kepala dan bahu kiri kanan sampai di telinga</v>
      </c>
      <c r="U1267" s="16" t="str">
        <f>IFERROR(__xludf.DUMMYFUNCTION("""COMPUTED_VALUE"""),"Mengajar, mengendarai motor dg jarak yang cukup jauh")</f>
        <v>Mengajar, mengendarai motor dg jarak yang cukup jauh</v>
      </c>
      <c r="V1267" s="11" t="str">
        <f>IFERROR(__xludf.DUMMYFUNCTION("""COMPUTED_VALUE"""),"081351282802")</f>
        <v>081351282802</v>
      </c>
      <c r="W1267" s="15"/>
    </row>
    <row r="1268" ht="22.5" customHeight="1">
      <c r="A1268" s="8"/>
      <c r="B1268" s="9">
        <f>IFERROR(__xludf.DUMMYFUNCTION("""COMPUTED_VALUE"""),45402.72618366899)</f>
        <v>45402.72618</v>
      </c>
      <c r="C1268" s="9"/>
      <c r="D1268" s="34">
        <f>IFERROR(__xludf.DUMMYFUNCTION("""COMPUTED_VALUE"""),45405.0)</f>
        <v>45405</v>
      </c>
      <c r="E1268" s="34" t="str">
        <f>IFERROR(__xludf.DUMMYFUNCTION("""COMPUTED_VALUE"""),"04Apr")</f>
        <v>04Apr</v>
      </c>
      <c r="F1268" s="34" t="str">
        <f>IFERROR(__xludf.DUMMYFUNCTION("""COMPUTED_VALUE"""),"2024")</f>
        <v>2024</v>
      </c>
      <c r="G1268" s="35" t="str">
        <f>IFERROR(__xludf.DUMMYFUNCTION("""COMPUTED_VALUE"""),"MUHAMMAD HABIBI AL KAYYISI")</f>
        <v>MUHAMMAD HABIBI AL KAYYISI</v>
      </c>
      <c r="H1268" s="17" t="str">
        <f>IFERROR(__xludf.DUMMYFUNCTION("""COMPUTED_VALUE"""),"M0624043218")</f>
        <v>M0624043218</v>
      </c>
      <c r="I1268" s="17">
        <f>IFERROR(__xludf.DUMMYFUNCTION("""COMPUTED_VALUE"""),19.0)</f>
        <v>19</v>
      </c>
      <c r="J1268" s="17" t="str">
        <f>IFERROR(__xludf.DUMMYFUNCTION("""COMPUTED_VALUE"""),"18-24 tahun")</f>
        <v>18-24 tahun</v>
      </c>
      <c r="K1268" s="19">
        <f>IFERROR(__xludf.DUMMYFUNCTION("""COMPUTED_VALUE"""),38951.0)</f>
        <v>38951</v>
      </c>
      <c r="L1268" s="19" t="str">
        <f>IFERROR(__xludf.DUMMYFUNCTION("""COMPUTED_VALUE"""),"LAKI-LAKI")</f>
        <v>LAKI-LAKI</v>
      </c>
      <c r="M1268" s="35" t="str">
        <f>IFERROR(__xludf.DUMMYFUNCTION("""COMPUTED_VALUE"""),"DUSUN DANGKAN PERMAI GG FAMILY 1")</f>
        <v>DUSUN DANGKAN PERMAI GG FAMILY 1</v>
      </c>
      <c r="N1268" s="16" t="str">
        <f>IFERROR(__xludf.DUMMYFUNCTION("""COMPUTED_VALUE"""),"KEL. TANJUNG LAY")</f>
        <v>KEL. TANJUNG LAY</v>
      </c>
      <c r="O1268" s="16" t="str">
        <f>IFERROR(__xludf.DUMMYFUNCTION("""COMPUTED_VALUE"""),"KEC. NANGA PINOH")</f>
        <v>KEC. NANGA PINOH</v>
      </c>
      <c r="P1268" s="16" t="str">
        <f>IFERROR(__xludf.DUMMYFUNCTION("""COMPUTED_VALUE"""),"KAB. MELAWI")</f>
        <v>KAB. MELAWI</v>
      </c>
      <c r="Q1268" s="16" t="str">
        <f>IFERROR(__xludf.DUMMYFUNCTION("""COMPUTED_VALUE"""),"KALIMANTAN BARAT")</f>
        <v>KALIMANTAN BARAT</v>
      </c>
      <c r="R1268" s="19" t="str">
        <f>IFERROR(__xludf.DUMMYFUNCTION("""COMPUTED_VALUE"""),"ISLAM")</f>
        <v>ISLAM</v>
      </c>
      <c r="S1268" s="16" t="str">
        <f>IFERROR(__xludf.DUMMYFUNCTION("""COMPUTED_VALUE"""),"PELAJAR/MAHASISWA")</f>
        <v>PELAJAR/MAHASISWA</v>
      </c>
      <c r="T1268" s="16" t="str">
        <f>IFERROR(__xludf.DUMMYFUNCTION("""COMPUTED_VALUE"""),"SKOLIOSIS RINGAN")</f>
        <v>SKOLIOSIS RINGAN</v>
      </c>
      <c r="U1268" s="16" t="str">
        <f>IFERROR(__xludf.DUMMYFUNCTION("""COMPUTED_VALUE"""),"OLAHRAGA")</f>
        <v>OLAHRAGA</v>
      </c>
      <c r="V1268" s="11" t="str">
        <f>IFERROR(__xludf.DUMMYFUNCTION("""COMPUTED_VALUE"""),"082213523218")</f>
        <v>082213523218</v>
      </c>
      <c r="W1268" s="15"/>
    </row>
    <row r="1269" ht="22.5" customHeight="1">
      <c r="A1269" s="8"/>
      <c r="B1269" s="9">
        <f>IFERROR(__xludf.DUMMYFUNCTION("""COMPUTED_VALUE"""),45403.32058946759)</f>
        <v>45403.32059</v>
      </c>
      <c r="C1269" s="9"/>
      <c r="D1269" s="34">
        <f>IFERROR(__xludf.DUMMYFUNCTION("""COMPUTED_VALUE"""),45405.0)</f>
        <v>45405</v>
      </c>
      <c r="E1269" s="34" t="str">
        <f>IFERROR(__xludf.DUMMYFUNCTION("""COMPUTED_VALUE"""),"04Apr")</f>
        <v>04Apr</v>
      </c>
      <c r="F1269" s="34" t="str">
        <f>IFERROR(__xludf.DUMMYFUNCTION("""COMPUTED_VALUE"""),"2024")</f>
        <v>2024</v>
      </c>
      <c r="G1269" s="35" t="str">
        <f>IFERROR(__xludf.DUMMYFUNCTION("""COMPUTED_VALUE"""),"LISNA WARDATI")</f>
        <v>LISNA WARDATI</v>
      </c>
      <c r="H1269" s="17" t="str">
        <f>IFERROR(__xludf.DUMMYFUNCTION("""COMPUTED_VALUE"""),"L6524043399")</f>
        <v>L6524043399</v>
      </c>
      <c r="I1269" s="17">
        <f>IFERROR(__xludf.DUMMYFUNCTION("""COMPUTED_VALUE"""),60.0)</f>
        <v>60</v>
      </c>
      <c r="J1269" s="17" t="str">
        <f>IFERROR(__xludf.DUMMYFUNCTION("""COMPUTED_VALUE"""),"&gt; 44 tahun")</f>
        <v>&gt; 44 tahun</v>
      </c>
      <c r="K1269" s="19">
        <f>IFERROR(__xludf.DUMMYFUNCTION("""COMPUTED_VALUE"""),23986.0)</f>
        <v>23986</v>
      </c>
      <c r="L1269" s="19" t="str">
        <f>IFERROR(__xludf.DUMMYFUNCTION("""COMPUTED_VALUE"""),"PEREMPUAN")</f>
        <v>PEREMPUAN</v>
      </c>
      <c r="M1269" s="35" t="str">
        <f>IFERROR(__xludf.DUMMYFUNCTION("""COMPUTED_VALUE"""),"JL. PROF DR HAMKA GG NILAM 6 NO 4 PONTIANAK")</f>
        <v>JL. PROF DR HAMKA GG NILAM 6 NO 4 PONTIANAK</v>
      </c>
      <c r="N1269" s="16" t="str">
        <f>IFERROR(__xludf.DUMMYFUNCTION("""COMPUTED_VALUE"""),"KEL. SUNGAI JAWI")</f>
        <v>KEL. SUNGAI JAWI</v>
      </c>
      <c r="O1269" s="16" t="str">
        <f>IFERROR(__xludf.DUMMYFUNCTION("""COMPUTED_VALUE"""),"KEC. PONTIANAK KOTA")</f>
        <v>KEC. PONTIANAK KOTA</v>
      </c>
      <c r="P1269" s="16" t="str">
        <f>IFERROR(__xludf.DUMMYFUNCTION("""COMPUTED_VALUE"""),"KOTA PONTIANAK")</f>
        <v>KOTA PONTIANAK</v>
      </c>
      <c r="Q1269" s="16" t="str">
        <f>IFERROR(__xludf.DUMMYFUNCTION("""COMPUTED_VALUE"""),"KALIMANTAN BARAT")</f>
        <v>KALIMANTAN BARAT</v>
      </c>
      <c r="R1269" s="19" t="str">
        <f>IFERROR(__xludf.DUMMYFUNCTION("""COMPUTED_VALUE"""),"ISLAM")</f>
        <v>ISLAM</v>
      </c>
      <c r="S1269" s="16" t="str">
        <f>IFERROR(__xludf.DUMMYFUNCTION("""COMPUTED_VALUE"""),"RUMAH TANGGA")</f>
        <v>RUMAH TANGGA</v>
      </c>
      <c r="T1269" s="16" t="str">
        <f>IFERROR(__xludf.DUMMYFUNCTION("""COMPUTED_VALUE"""),"Sakit dibagian")</f>
        <v>Sakit dibagian</v>
      </c>
      <c r="U1269" s="16" t="str">
        <f>IFERROR(__xludf.DUMMYFUNCTION("""COMPUTED_VALUE"""),"Olahraga")</f>
        <v>Olahraga</v>
      </c>
      <c r="V1269" s="11" t="str">
        <f>IFERROR(__xludf.DUMMYFUNCTION("""COMPUTED_VALUE"""),"085348833399")</f>
        <v>085348833399</v>
      </c>
      <c r="W1269" s="15"/>
    </row>
    <row r="1270" ht="22.5" customHeight="1">
      <c r="A1270" s="8"/>
      <c r="B1270" s="9">
        <f>IFERROR(__xludf.DUMMYFUNCTION("""COMPUTED_VALUE"""),45406.62626157407)</f>
        <v>45406.62626</v>
      </c>
      <c r="C1270" s="9"/>
      <c r="D1270" s="34">
        <f>IFERROR(__xludf.DUMMYFUNCTION("""COMPUTED_VALUE"""),45405.0)</f>
        <v>45405</v>
      </c>
      <c r="E1270" s="34" t="str">
        <f>IFERROR(__xludf.DUMMYFUNCTION("""COMPUTED_VALUE"""),"04Apr")</f>
        <v>04Apr</v>
      </c>
      <c r="F1270" s="34" t="str">
        <f>IFERROR(__xludf.DUMMYFUNCTION("""COMPUTED_VALUE"""),"2024")</f>
        <v>2024</v>
      </c>
      <c r="G1270" s="35" t="str">
        <f>IFERROR(__xludf.DUMMYFUNCTION("""COMPUTED_VALUE"""),"NOVIANDRA")</f>
        <v>NOVIANDRA</v>
      </c>
      <c r="H1270" s="17" t="str">
        <f>IFERROR(__xludf.DUMMYFUNCTION("""COMPUTED_VALUE"""),"N9324048307")</f>
        <v>N9324048307</v>
      </c>
      <c r="I1270" s="17">
        <f>IFERROR(__xludf.DUMMYFUNCTION("""COMPUTED_VALUE"""),32.0)</f>
        <v>32</v>
      </c>
      <c r="J1270" s="17" t="str">
        <f>IFERROR(__xludf.DUMMYFUNCTION("""COMPUTED_VALUE"""),"25-34 tahun")</f>
        <v>25-34 tahun</v>
      </c>
      <c r="K1270" s="19">
        <f>IFERROR(__xludf.DUMMYFUNCTION("""COMPUTED_VALUE"""),34290.0)</f>
        <v>34290</v>
      </c>
      <c r="L1270" s="19" t="str">
        <f>IFERROR(__xludf.DUMMYFUNCTION("""COMPUTED_VALUE"""),"LAKI-LAKI")</f>
        <v>LAKI-LAKI</v>
      </c>
      <c r="M1270" s="35" t="str">
        <f>IFERROR(__xludf.DUMMYFUNCTION("""COMPUTED_VALUE"""),"JLN HM SUWIGNYO")</f>
        <v>JLN HM SUWIGNYO</v>
      </c>
      <c r="N1270" s="16" t="str">
        <f>IFERROR(__xludf.DUMMYFUNCTION("""COMPUTED_VALUE"""),"KEL. SUNGAI JAWI")</f>
        <v>KEL. SUNGAI JAWI</v>
      </c>
      <c r="O1270" s="16" t="str">
        <f>IFERROR(__xludf.DUMMYFUNCTION("""COMPUTED_VALUE"""),"KEC. PONTIANAK KOTA")</f>
        <v>KEC. PONTIANAK KOTA</v>
      </c>
      <c r="P1270" s="16" t="str">
        <f>IFERROR(__xludf.DUMMYFUNCTION("""COMPUTED_VALUE"""),"KOTA PONTIANAK")</f>
        <v>KOTA PONTIANAK</v>
      </c>
      <c r="Q1270" s="16" t="str">
        <f>IFERROR(__xludf.DUMMYFUNCTION("""COMPUTED_VALUE"""),"KALIMANTAN BARAT")</f>
        <v>KALIMANTAN BARAT</v>
      </c>
      <c r="R1270" s="19" t="str">
        <f>IFERROR(__xludf.DUMMYFUNCTION("""COMPUTED_VALUE"""),"ISLAM")</f>
        <v>ISLAM</v>
      </c>
      <c r="S1270" s="16" t="str">
        <f>IFERROR(__xludf.DUMMYFUNCTION("""COMPUTED_VALUE"""),"BUMD")</f>
        <v>BUMD</v>
      </c>
      <c r="T1270" s="16" t="str">
        <f>IFERROR(__xludf.DUMMYFUNCTION("""COMPUTED_VALUE"""),"Ksleo")</f>
        <v>Ksleo</v>
      </c>
      <c r="U1270" s="16" t="str">
        <f>IFERROR(__xludf.DUMMYFUNCTION("""COMPUTED_VALUE"""),"Bola")</f>
        <v>Bola</v>
      </c>
      <c r="V1270" s="11" t="str">
        <f>IFERROR(__xludf.DUMMYFUNCTION("""COMPUTED_VALUE"""),"085347678307")</f>
        <v>085347678307</v>
      </c>
      <c r="W1270" s="15"/>
    </row>
    <row r="1271" ht="22.5" customHeight="1">
      <c r="A1271" s="8"/>
      <c r="B1271" s="9">
        <f>IFERROR(__xludf.DUMMYFUNCTION("""COMPUTED_VALUE"""),45403.42310627315)</f>
        <v>45403.42311</v>
      </c>
      <c r="C1271" s="9"/>
      <c r="D1271" s="34">
        <f>IFERROR(__xludf.DUMMYFUNCTION("""COMPUTED_VALUE"""),45405.0)</f>
        <v>45405</v>
      </c>
      <c r="E1271" s="34" t="str">
        <f>IFERROR(__xludf.DUMMYFUNCTION("""COMPUTED_VALUE"""),"04Apr")</f>
        <v>04Apr</v>
      </c>
      <c r="F1271" s="34" t="str">
        <f>IFERROR(__xludf.DUMMYFUNCTION("""COMPUTED_VALUE"""),"2024")</f>
        <v>2024</v>
      </c>
      <c r="G1271" s="35" t="str">
        <f>IFERROR(__xludf.DUMMYFUNCTION("""COMPUTED_VALUE"""),"DANDI")</f>
        <v>DANDI</v>
      </c>
      <c r="H1271" s="17" t="str">
        <f>IFERROR(__xludf.DUMMYFUNCTION("""COMPUTED_VALUE"""),"D0324046730")</f>
        <v>D0324046730</v>
      </c>
      <c r="I1271" s="17">
        <f>IFERROR(__xludf.DUMMYFUNCTION("""COMPUTED_VALUE"""),23.0)</f>
        <v>23</v>
      </c>
      <c r="J1271" s="17" t="str">
        <f>IFERROR(__xludf.DUMMYFUNCTION("""COMPUTED_VALUE"""),"18-24 tahun")</f>
        <v>18-24 tahun</v>
      </c>
      <c r="K1271" s="19">
        <f>IFERROR(__xludf.DUMMYFUNCTION("""COMPUTED_VALUE"""),37786.0)</f>
        <v>37786</v>
      </c>
      <c r="L1271" s="19" t="str">
        <f>IFERROR(__xludf.DUMMYFUNCTION("""COMPUTED_VALUE"""),"LAKI-LAKI")</f>
        <v>LAKI-LAKI</v>
      </c>
      <c r="M1271" s="35" t="str">
        <f>IFERROR(__xludf.DUMMYFUNCTION("""COMPUTED_VALUE"""),"JALAN TERATAI")</f>
        <v>JALAN TERATAI</v>
      </c>
      <c r="N1271" s="16" t="str">
        <f>IFERROR(__xludf.DUMMYFUNCTION("""COMPUTED_VALUE"""),"DS. TITI BARU")</f>
        <v>DS. TITI BARU</v>
      </c>
      <c r="O1271" s="16" t="str">
        <f>IFERROR(__xludf.DUMMYFUNCTION("""COMPUTED_VALUE"""),"KEC. TUMBANG TITI")</f>
        <v>KEC. TUMBANG TITI</v>
      </c>
      <c r="P1271" s="16" t="str">
        <f>IFERROR(__xludf.DUMMYFUNCTION("""COMPUTED_VALUE"""),"KAB. KETAPANG")</f>
        <v>KAB. KETAPANG</v>
      </c>
      <c r="Q1271" s="16" t="str">
        <f>IFERROR(__xludf.DUMMYFUNCTION("""COMPUTED_VALUE"""),"KALIMANTAN BARAT")</f>
        <v>KALIMANTAN BARAT</v>
      </c>
      <c r="R1271" s="19" t="str">
        <f>IFERROR(__xludf.DUMMYFUNCTION("""COMPUTED_VALUE"""),"ISLAM")</f>
        <v>ISLAM</v>
      </c>
      <c r="S1271" s="16" t="str">
        <f>IFERROR(__xludf.DUMMYFUNCTION("""COMPUTED_VALUE"""),"PELAJAR/MAHASISWA")</f>
        <v>PELAJAR/MAHASISWA</v>
      </c>
      <c r="T1271" s="16" t="str">
        <f>IFERROR(__xludf.DUMMYFUNCTION("""COMPUTED_VALUE"""),"Sakit di")</f>
        <v>Sakit di</v>
      </c>
      <c r="U1271" s="16" t="str">
        <f>IFERROR(__xludf.DUMMYFUNCTION("""COMPUTED_VALUE"""),"Bola kaki")</f>
        <v>Bola kaki</v>
      </c>
      <c r="V1271" s="11" t="str">
        <f>IFERROR(__xludf.DUMMYFUNCTION("""COMPUTED_VALUE"""),"082159616730")</f>
        <v>082159616730</v>
      </c>
      <c r="W1271" s="15"/>
    </row>
    <row r="1272" ht="22.5" customHeight="1">
      <c r="A1272" s="8"/>
      <c r="B1272" s="9">
        <f>IFERROR(__xludf.DUMMYFUNCTION("""COMPUTED_VALUE"""),45403.5770612037)</f>
        <v>45403.57706</v>
      </c>
      <c r="C1272" s="9"/>
      <c r="D1272" s="34">
        <f>IFERROR(__xludf.DUMMYFUNCTION("""COMPUTED_VALUE"""),45406.0)</f>
        <v>45406</v>
      </c>
      <c r="E1272" s="34" t="str">
        <f>IFERROR(__xludf.DUMMYFUNCTION("""COMPUTED_VALUE"""),"04Apr")</f>
        <v>04Apr</v>
      </c>
      <c r="F1272" s="34" t="str">
        <f>IFERROR(__xludf.DUMMYFUNCTION("""COMPUTED_VALUE"""),"2024")</f>
        <v>2024</v>
      </c>
      <c r="G1272" s="35" t="str">
        <f>IFERROR(__xludf.DUMMYFUNCTION("""COMPUTED_VALUE"""),"TOMMY TEGUH SAPUTRA")</f>
        <v>TOMMY TEGUH SAPUTRA</v>
      </c>
      <c r="H1272" s="17" t="str">
        <f>IFERROR(__xludf.DUMMYFUNCTION("""COMPUTED_VALUE"""),"T9024045516")</f>
        <v>T9024045516</v>
      </c>
      <c r="I1272" s="17">
        <f>IFERROR(__xludf.DUMMYFUNCTION("""COMPUTED_VALUE"""),36.0)</f>
        <v>36</v>
      </c>
      <c r="J1272" s="17" t="str">
        <f>IFERROR(__xludf.DUMMYFUNCTION("""COMPUTED_VALUE"""),"35-44 tahun")</f>
        <v>35-44 tahun</v>
      </c>
      <c r="K1272" s="19">
        <f>IFERROR(__xludf.DUMMYFUNCTION("""COMPUTED_VALUE"""),32933.0)</f>
        <v>32933</v>
      </c>
      <c r="L1272" s="19" t="str">
        <f>IFERROR(__xludf.DUMMYFUNCTION("""COMPUTED_VALUE"""),"LAKI-LAKI")</f>
        <v>LAKI-LAKI</v>
      </c>
      <c r="M1272" s="35" t="str">
        <f>IFERROR(__xludf.DUMMYFUNCTION("""COMPUTED_VALUE"""),"JL. DANAU SENTARUM GANG PERSATUAN NO 1")</f>
        <v>JL. DANAU SENTARUM GANG PERSATUAN NO 1</v>
      </c>
      <c r="N1272" s="16" t="str">
        <f>IFERROR(__xludf.DUMMYFUNCTION("""COMPUTED_VALUE"""),"KEL. SUNGAI BANGKONG")</f>
        <v>KEL. SUNGAI BANGKONG</v>
      </c>
      <c r="O1272" s="16" t="str">
        <f>IFERROR(__xludf.DUMMYFUNCTION("""COMPUTED_VALUE"""),"KEC. PONTIANAK KOTA")</f>
        <v>KEC. PONTIANAK KOTA</v>
      </c>
      <c r="P1272" s="16" t="str">
        <f>IFERROR(__xludf.DUMMYFUNCTION("""COMPUTED_VALUE"""),"KOTA PONTIANAK")</f>
        <v>KOTA PONTIANAK</v>
      </c>
      <c r="Q1272" s="16" t="str">
        <f>IFERROR(__xludf.DUMMYFUNCTION("""COMPUTED_VALUE"""),"KALIMANTAN BARAT")</f>
        <v>KALIMANTAN BARAT</v>
      </c>
      <c r="R1272" s="19" t="str">
        <f>IFERROR(__xludf.DUMMYFUNCTION("""COMPUTED_VALUE"""),"ISLAM")</f>
        <v>ISLAM</v>
      </c>
      <c r="S1272" s="16" t="str">
        <f>IFERROR(__xludf.DUMMYFUNCTION("""COMPUTED_VALUE"""),"BUMD")</f>
        <v>BUMD</v>
      </c>
      <c r="T1272" s="16" t="str">
        <f>IFERROR(__xludf.DUMMYFUNCTION("""COMPUTED_VALUE"""),"MATA KAKI KIRI")</f>
        <v>MATA KAKI KIRI</v>
      </c>
      <c r="U1272" s="16" t="str">
        <f>IFERROR(__xludf.DUMMYFUNCTION("""COMPUTED_VALUE"""),"-")</f>
        <v>-</v>
      </c>
      <c r="V1272" s="11" t="str">
        <f>IFERROR(__xludf.DUMMYFUNCTION("""COMPUTED_VALUE"""),"81255615516")</f>
        <v>81255615516</v>
      </c>
      <c r="W1272" s="15"/>
    </row>
    <row r="1273" ht="22.5" customHeight="1">
      <c r="A1273" s="8"/>
      <c r="B1273" s="9">
        <f>IFERROR(__xludf.DUMMYFUNCTION("""COMPUTED_VALUE"""),45403.598146122684)</f>
        <v>45403.59815</v>
      </c>
      <c r="C1273" s="9"/>
      <c r="D1273" s="34">
        <f>IFERROR(__xludf.DUMMYFUNCTION("""COMPUTED_VALUE"""),45406.0)</f>
        <v>45406</v>
      </c>
      <c r="E1273" s="34" t="str">
        <f>IFERROR(__xludf.DUMMYFUNCTION("""COMPUTED_VALUE"""),"04Apr")</f>
        <v>04Apr</v>
      </c>
      <c r="F1273" s="34" t="str">
        <f>IFERROR(__xludf.DUMMYFUNCTION("""COMPUTED_VALUE"""),"2024")</f>
        <v>2024</v>
      </c>
      <c r="G1273" s="35" t="str">
        <f>IFERROR(__xludf.DUMMYFUNCTION("""COMPUTED_VALUE"""),"PUTRI RESTU AWALIYAH")</f>
        <v>PUTRI RESTU AWALIYAH</v>
      </c>
      <c r="H1273" s="17" t="str">
        <f>IFERROR(__xludf.DUMMYFUNCTION("""COMPUTED_VALUE"""),"P9824042265")</f>
        <v>P9824042265</v>
      </c>
      <c r="I1273" s="17">
        <f>IFERROR(__xludf.DUMMYFUNCTION("""COMPUTED_VALUE"""),28.0)</f>
        <v>28</v>
      </c>
      <c r="J1273" s="17" t="str">
        <f>IFERROR(__xludf.DUMMYFUNCTION("""COMPUTED_VALUE"""),"25-34 tahun")</f>
        <v>25-34 tahun</v>
      </c>
      <c r="K1273" s="19">
        <f>IFERROR(__xludf.DUMMYFUNCTION("""COMPUTED_VALUE"""),35929.0)</f>
        <v>35929</v>
      </c>
      <c r="L1273" s="19" t="str">
        <f>IFERROR(__xludf.DUMMYFUNCTION("""COMPUTED_VALUE"""),"PEREMPUAN")</f>
        <v>PEREMPUAN</v>
      </c>
      <c r="M1273" s="35" t="str">
        <f>IFERROR(__xludf.DUMMYFUNCTION("""COMPUTED_VALUE"""),"JALAN KARET KOMP PERSADA ASRI")</f>
        <v>JALAN KARET KOMP PERSADA ASRI</v>
      </c>
      <c r="N1273" s="16" t="str">
        <f>IFERROR(__xludf.DUMMYFUNCTION("""COMPUTED_VALUE"""),"KEL. SUNGAI BELIUNG")</f>
        <v>KEL. SUNGAI BELIUNG</v>
      </c>
      <c r="O1273" s="16" t="str">
        <f>IFERROR(__xludf.DUMMYFUNCTION("""COMPUTED_VALUE"""),"KEC. PONTIANAK BARAT")</f>
        <v>KEC. PONTIANAK BARAT</v>
      </c>
      <c r="P1273" s="16" t="str">
        <f>IFERROR(__xludf.DUMMYFUNCTION("""COMPUTED_VALUE"""),"KOTA PONTIANAK")</f>
        <v>KOTA PONTIANAK</v>
      </c>
      <c r="Q1273" s="16" t="str">
        <f>IFERROR(__xludf.DUMMYFUNCTION("""COMPUTED_VALUE"""),"KALIMANTAN BARAT")</f>
        <v>KALIMANTAN BARAT</v>
      </c>
      <c r="R1273" s="19" t="str">
        <f>IFERROR(__xludf.DUMMYFUNCTION("""COMPUTED_VALUE"""),"ISLAM")</f>
        <v>ISLAM</v>
      </c>
      <c r="S1273" s="16" t="str">
        <f>IFERROR(__xludf.DUMMYFUNCTION("""COMPUTED_VALUE"""),"SWASTA")</f>
        <v>SWASTA</v>
      </c>
      <c r="T1273" s="16" t="str">
        <f>IFERROR(__xludf.DUMMYFUNCTION("""COMPUTED_VALUE"""),"Sakit di bagian belakang tubuh dari punggung hingga ke pinggang")</f>
        <v>Sakit di bagian belakang tubuh dari punggung hingga ke pinggang</v>
      </c>
      <c r="U1273" s="16" t="str">
        <f>IFERROR(__xludf.DUMMYFUNCTION("""COMPUTED_VALUE"""),"Bekerja di kitchen sebuah caffe")</f>
        <v>Bekerja di kitchen sebuah caffe</v>
      </c>
      <c r="V1273" s="11" t="str">
        <f>IFERROR(__xludf.DUMMYFUNCTION("""COMPUTED_VALUE"""),"083140682265")</f>
        <v>083140682265</v>
      </c>
      <c r="W1273" s="15"/>
    </row>
    <row r="1274" ht="22.5" customHeight="1">
      <c r="A1274" s="8"/>
      <c r="B1274" s="9">
        <f>IFERROR(__xludf.DUMMYFUNCTION("""COMPUTED_VALUE"""),45403.67149872685)</f>
        <v>45403.6715</v>
      </c>
      <c r="C1274" s="9"/>
      <c r="D1274" s="34">
        <f>IFERROR(__xludf.DUMMYFUNCTION("""COMPUTED_VALUE"""),45407.0)</f>
        <v>45407</v>
      </c>
      <c r="E1274" s="34" t="str">
        <f>IFERROR(__xludf.DUMMYFUNCTION("""COMPUTED_VALUE"""),"04Apr")</f>
        <v>04Apr</v>
      </c>
      <c r="F1274" s="34" t="str">
        <f>IFERROR(__xludf.DUMMYFUNCTION("""COMPUTED_VALUE"""),"2024")</f>
        <v>2024</v>
      </c>
      <c r="G1274" s="35" t="str">
        <f>IFERROR(__xludf.DUMMYFUNCTION("""COMPUTED_VALUE"""),"ARION TIO PANDAPOTAN SIMATUPANG")</f>
        <v>ARION TIO PANDAPOTAN SIMATUPANG</v>
      </c>
      <c r="H1274" s="17" t="str">
        <f>IFERROR(__xludf.DUMMYFUNCTION("""COMPUTED_VALUE"""),"A9824044310")</f>
        <v>A9824044310</v>
      </c>
      <c r="I1274" s="17">
        <f>IFERROR(__xludf.DUMMYFUNCTION("""COMPUTED_VALUE"""),28.0)</f>
        <v>28</v>
      </c>
      <c r="J1274" s="17" t="str">
        <f>IFERROR(__xludf.DUMMYFUNCTION("""COMPUTED_VALUE"""),"25-34 tahun")</f>
        <v>25-34 tahun</v>
      </c>
      <c r="K1274" s="19">
        <f>IFERROR(__xludf.DUMMYFUNCTION("""COMPUTED_VALUE"""),35861.0)</f>
        <v>35861</v>
      </c>
      <c r="L1274" s="19" t="str">
        <f>IFERROR(__xludf.DUMMYFUNCTION("""COMPUTED_VALUE"""),"LAKI-LAKI")</f>
        <v>LAKI-LAKI</v>
      </c>
      <c r="M1274" s="35" t="str">
        <f>IFERROR(__xludf.DUMMYFUNCTION("""COMPUTED_VALUE"""),"JALAN KARNA SOSIAL NO.8A")</f>
        <v>JALAN KARNA SOSIAL NO.8A</v>
      </c>
      <c r="N1274" s="16" t="str">
        <f>IFERROR(__xludf.DUMMYFUNCTION("""COMPUTED_VALUE"""),"KEL. AKCAYA")</f>
        <v>KEL. AKCAYA</v>
      </c>
      <c r="O1274" s="16" t="str">
        <f>IFERROR(__xludf.DUMMYFUNCTION("""COMPUTED_VALUE"""),"KEC. PONTIANAK SELATAN")</f>
        <v>KEC. PONTIANAK SELATAN</v>
      </c>
      <c r="P1274" s="16" t="str">
        <f>IFERROR(__xludf.DUMMYFUNCTION("""COMPUTED_VALUE"""),"KOTA PONTIANAK")</f>
        <v>KOTA PONTIANAK</v>
      </c>
      <c r="Q1274" s="16" t="str">
        <f>IFERROR(__xludf.DUMMYFUNCTION("""COMPUTED_VALUE"""),"KALIMANTAN BARAT")</f>
        <v>KALIMANTAN BARAT</v>
      </c>
      <c r="R1274" s="19" t="str">
        <f>IFERROR(__xludf.DUMMYFUNCTION("""COMPUTED_VALUE"""),"PROTESTAN")</f>
        <v>PROTESTAN</v>
      </c>
      <c r="S1274" s="16" t="str">
        <f>IFERROR(__xludf.DUMMYFUNCTION("""COMPUTED_VALUE"""),"SWASTA")</f>
        <v>SWASTA</v>
      </c>
      <c r="T1274" s="16" t="str">
        <f>IFERROR(__xludf.DUMMYFUNCTION("""COMPUTED_VALUE"""),"HNP Kambuh")</f>
        <v>HNP Kambuh</v>
      </c>
      <c r="U1274" s="16" t="str">
        <f>IFERROR(__xludf.DUMMYFUNCTION("""COMPUTED_VALUE"""),"Kerja dan main basket")</f>
        <v>Kerja dan main basket</v>
      </c>
      <c r="V1274" s="11" t="str">
        <f>IFERROR(__xludf.DUMMYFUNCTION("""COMPUTED_VALUE"""),"082157964310")</f>
        <v>082157964310</v>
      </c>
      <c r="W1274" s="15"/>
    </row>
    <row r="1275" ht="22.5" customHeight="1">
      <c r="A1275" s="8"/>
      <c r="B1275" s="9">
        <f>IFERROR(__xludf.DUMMYFUNCTION("""COMPUTED_VALUE"""),45404.418015393516)</f>
        <v>45404.41802</v>
      </c>
      <c r="C1275" s="9"/>
      <c r="D1275" s="34">
        <f>IFERROR(__xludf.DUMMYFUNCTION("""COMPUTED_VALUE"""),45407.0)</f>
        <v>45407</v>
      </c>
      <c r="E1275" s="34" t="str">
        <f>IFERROR(__xludf.DUMMYFUNCTION("""COMPUTED_VALUE"""),"04Apr")</f>
        <v>04Apr</v>
      </c>
      <c r="F1275" s="34" t="str">
        <f>IFERROR(__xludf.DUMMYFUNCTION("""COMPUTED_VALUE"""),"2024")</f>
        <v>2024</v>
      </c>
      <c r="G1275" s="35" t="str">
        <f>IFERROR(__xludf.DUMMYFUNCTION("""COMPUTED_VALUE"""),"EDDY HANAFI")</f>
        <v>EDDY HANAFI</v>
      </c>
      <c r="H1275" s="17" t="str">
        <f>IFERROR(__xludf.DUMMYFUNCTION("""COMPUTED_VALUE"""),"E4924043235")</f>
        <v>E4924043235</v>
      </c>
      <c r="I1275" s="17">
        <f>IFERROR(__xludf.DUMMYFUNCTION("""COMPUTED_VALUE"""),76.0)</f>
        <v>76</v>
      </c>
      <c r="J1275" s="17" t="str">
        <f>IFERROR(__xludf.DUMMYFUNCTION("""COMPUTED_VALUE"""),"&gt; 44 tahun")</f>
        <v>&gt; 44 tahun</v>
      </c>
      <c r="K1275" s="19">
        <f>IFERROR(__xludf.DUMMYFUNCTION("""COMPUTED_VALUE"""),18144.0)</f>
        <v>18144</v>
      </c>
      <c r="L1275" s="19" t="str">
        <f>IFERROR(__xludf.DUMMYFUNCTION("""COMPUTED_VALUE"""),"LAKI-LAKI")</f>
        <v>LAKI-LAKI</v>
      </c>
      <c r="M1275" s="35" t="str">
        <f>IFERROR(__xludf.DUMMYFUNCTION("""COMPUTED_VALUE"""),"JL TANJUNG PURA.GG DELI ACEH NO 30")</f>
        <v>JL TANJUNG PURA.GG DELI ACEH NO 30</v>
      </c>
      <c r="N1275" s="16" t="str">
        <f>IFERROR(__xludf.DUMMYFUNCTION("""COMPUTED_VALUE"""),"KEL. BENUA MELAYU DARAT")</f>
        <v>KEL. BENUA MELAYU DARAT</v>
      </c>
      <c r="O1275" s="16" t="str">
        <f>IFERROR(__xludf.DUMMYFUNCTION("""COMPUTED_VALUE"""),"KEC. PONTIANAK SELATAN")</f>
        <v>KEC. PONTIANAK SELATAN</v>
      </c>
      <c r="P1275" s="16" t="str">
        <f>IFERROR(__xludf.DUMMYFUNCTION("""COMPUTED_VALUE"""),"KOTA PONTIANAK")</f>
        <v>KOTA PONTIANAK</v>
      </c>
      <c r="Q1275" s="16" t="str">
        <f>IFERROR(__xludf.DUMMYFUNCTION("""COMPUTED_VALUE"""),"KALIMANTAN BARAT")</f>
        <v>KALIMANTAN BARAT</v>
      </c>
      <c r="R1275" s="19" t="str">
        <f>IFERROR(__xludf.DUMMYFUNCTION("""COMPUTED_VALUE"""),"KATOLIK")</f>
        <v>KATOLIK</v>
      </c>
      <c r="S1275" s="16" t="str">
        <f>IFERROR(__xludf.DUMMYFUNCTION("""COMPUTED_VALUE"""),"PENSIUN")</f>
        <v>PENSIUN</v>
      </c>
      <c r="T1275" s="16" t="str">
        <f>IFERROR(__xludf.DUMMYFUNCTION("""COMPUTED_VALUE"""),"sakit")</f>
        <v>sakit</v>
      </c>
      <c r="U1275" s="16" t="str">
        <f>IFERROR(__xludf.DUMMYFUNCTION("""COMPUTED_VALUE"""),"Berenang")</f>
        <v>Berenang</v>
      </c>
      <c r="V1275" s="11" t="str">
        <f>IFERROR(__xludf.DUMMYFUNCTION("""COMPUTED_VALUE"""),"0895331693235")</f>
        <v>0895331693235</v>
      </c>
      <c r="W1275" s="15"/>
    </row>
    <row r="1276" ht="22.5" customHeight="1">
      <c r="A1276" s="8"/>
      <c r="B1276" s="9">
        <f>IFERROR(__xludf.DUMMYFUNCTION("""COMPUTED_VALUE"""),45404.700595497685)</f>
        <v>45404.7006</v>
      </c>
      <c r="C1276" s="9"/>
      <c r="D1276" s="34">
        <f>IFERROR(__xludf.DUMMYFUNCTION("""COMPUTED_VALUE"""),45409.0)</f>
        <v>45409</v>
      </c>
      <c r="E1276" s="34" t="str">
        <f>IFERROR(__xludf.DUMMYFUNCTION("""COMPUTED_VALUE"""),"04Apr")</f>
        <v>04Apr</v>
      </c>
      <c r="F1276" s="34" t="str">
        <f>IFERROR(__xludf.DUMMYFUNCTION("""COMPUTED_VALUE"""),"2024")</f>
        <v>2024</v>
      </c>
      <c r="G1276" s="35" t="str">
        <f>IFERROR(__xludf.DUMMYFUNCTION("""COMPUTED_VALUE"""),"YULI YANTI")</f>
        <v>YULI YANTI</v>
      </c>
      <c r="H1276" s="17" t="str">
        <f>IFERROR(__xludf.DUMMYFUNCTION("""COMPUTED_VALUE"""),"Y7424047557")</f>
        <v>Y7424047557</v>
      </c>
      <c r="I1276" s="17">
        <f>IFERROR(__xludf.DUMMYFUNCTION("""COMPUTED_VALUE"""),51.0)</f>
        <v>51</v>
      </c>
      <c r="J1276" s="17" t="str">
        <f>IFERROR(__xludf.DUMMYFUNCTION("""COMPUTED_VALUE"""),"&gt; 44 tahun")</f>
        <v>&gt; 44 tahun</v>
      </c>
      <c r="K1276" s="19">
        <f>IFERROR(__xludf.DUMMYFUNCTION("""COMPUTED_VALUE"""),27214.0)</f>
        <v>27214</v>
      </c>
      <c r="L1276" s="19" t="str">
        <f>IFERROR(__xludf.DUMMYFUNCTION("""COMPUTED_VALUE"""),"PEREMPUAN")</f>
        <v>PEREMPUAN</v>
      </c>
      <c r="M1276" s="35" t="str">
        <f>IFERROR(__xludf.DUMMYFUNCTION("""COMPUTED_VALUE"""),"JL. BENUANG DALAM NO.170 RT 05/RW 09")</f>
        <v>JL. BENUANG DALAM NO.170 RT 05/RW 09</v>
      </c>
      <c r="N1276" s="16" t="str">
        <f>IFERROR(__xludf.DUMMYFUNCTION("""COMPUTED_VALUE"""),"KEL. TANJUNG HULU")</f>
        <v>KEL. TANJUNG HULU</v>
      </c>
      <c r="O1276" s="16" t="str">
        <f>IFERROR(__xludf.DUMMYFUNCTION("""COMPUTED_VALUE"""),"KEC. PONTIANAK TIMUR")</f>
        <v>KEC. PONTIANAK TIMUR</v>
      </c>
      <c r="P1276" s="16" t="str">
        <f>IFERROR(__xludf.DUMMYFUNCTION("""COMPUTED_VALUE"""),"KOTA PONTIANAK")</f>
        <v>KOTA PONTIANAK</v>
      </c>
      <c r="Q1276" s="16" t="str">
        <f>IFERROR(__xludf.DUMMYFUNCTION("""COMPUTED_VALUE"""),"KALIMANTAN BARAT")</f>
        <v>KALIMANTAN BARAT</v>
      </c>
      <c r="R1276" s="19" t="str">
        <f>IFERROR(__xludf.DUMMYFUNCTION("""COMPUTED_VALUE"""),"ISLAM")</f>
        <v>ISLAM</v>
      </c>
      <c r="S1276" s="16" t="str">
        <f>IFERROR(__xludf.DUMMYFUNCTION("""COMPUTED_VALUE"""),"TIDAK ADA")</f>
        <v>TIDAK ADA</v>
      </c>
      <c r="T1276" s="16" t="str">
        <f>IFERROR(__xludf.DUMMYFUNCTION("""COMPUTED_VALUE"""),"Tangan kiri tidak bisa diangkat maksimal")</f>
        <v>Tangan kiri tidak bisa diangkat maksimal</v>
      </c>
      <c r="U1276" s="16" t="str">
        <f>IFERROR(__xludf.DUMMYFUNCTION("""COMPUTED_VALUE"""),"IBU RUMAH TANGGA")</f>
        <v>IBU RUMAH TANGGA</v>
      </c>
      <c r="V1276" s="11" t="str">
        <f>IFERROR(__xludf.DUMMYFUNCTION("""COMPUTED_VALUE"""),"089613007557")</f>
        <v>089613007557</v>
      </c>
      <c r="W1276" s="15"/>
    </row>
    <row r="1277" ht="22.5" customHeight="1">
      <c r="A1277" s="8"/>
      <c r="B1277" s="9">
        <f>IFERROR(__xludf.DUMMYFUNCTION("""COMPUTED_VALUE"""),45405.4462721412)</f>
        <v>45405.44627</v>
      </c>
      <c r="C1277" s="9"/>
      <c r="D1277" s="34">
        <f>IFERROR(__xludf.DUMMYFUNCTION("""COMPUTED_VALUE"""),45409.0)</f>
        <v>45409</v>
      </c>
      <c r="E1277" s="34" t="str">
        <f>IFERROR(__xludf.DUMMYFUNCTION("""COMPUTED_VALUE"""),"04Apr")</f>
        <v>04Apr</v>
      </c>
      <c r="F1277" s="34" t="str">
        <f>IFERROR(__xludf.DUMMYFUNCTION("""COMPUTED_VALUE"""),"2024")</f>
        <v>2024</v>
      </c>
      <c r="G1277" s="35" t="str">
        <f>IFERROR(__xludf.DUMMYFUNCTION("""COMPUTED_VALUE"""),"ERIK LINGGA")</f>
        <v>ERIK LINGGA</v>
      </c>
      <c r="H1277" s="17" t="str">
        <f>IFERROR(__xludf.DUMMYFUNCTION("""COMPUTED_VALUE"""),"E8224048300")</f>
        <v>E8224048300</v>
      </c>
      <c r="I1277" s="17">
        <f>IFERROR(__xludf.DUMMYFUNCTION("""COMPUTED_VALUE"""),44.0)</f>
        <v>44</v>
      </c>
      <c r="J1277" s="17" t="str">
        <f>IFERROR(__xludf.DUMMYFUNCTION("""COMPUTED_VALUE"""),"35-44 tahun")</f>
        <v>35-44 tahun</v>
      </c>
      <c r="K1277" s="19">
        <f>IFERROR(__xludf.DUMMYFUNCTION("""COMPUTED_VALUE"""),30026.0)</f>
        <v>30026</v>
      </c>
      <c r="L1277" s="19" t="str">
        <f>IFERROR(__xludf.DUMMYFUNCTION("""COMPUTED_VALUE"""),"LAKI-LAKI")</f>
        <v>LAKI-LAKI</v>
      </c>
      <c r="M1277" s="35" t="str">
        <f>IFERROR(__xludf.DUMMYFUNCTION("""COMPUTED_VALUE"""),"JL TANJUNG RAYA II")</f>
        <v>JL TANJUNG RAYA II</v>
      </c>
      <c r="N1277" s="16" t="str">
        <f>IFERROR(__xludf.DUMMYFUNCTION("""COMPUTED_VALUE"""),"KEL. SAIGON")</f>
        <v>KEL. SAIGON</v>
      </c>
      <c r="O1277" s="16" t="str">
        <f>IFERROR(__xludf.DUMMYFUNCTION("""COMPUTED_VALUE"""),"KEC. PONTIANAK TIMUR")</f>
        <v>KEC. PONTIANAK TIMUR</v>
      </c>
      <c r="P1277" s="16" t="str">
        <f>IFERROR(__xludf.DUMMYFUNCTION("""COMPUTED_VALUE"""),"KOTA PONTIANAK")</f>
        <v>KOTA PONTIANAK</v>
      </c>
      <c r="Q1277" s="16" t="str">
        <f>IFERROR(__xludf.DUMMYFUNCTION("""COMPUTED_VALUE"""),"KALIMANTAN BARAT")</f>
        <v>KALIMANTAN BARAT</v>
      </c>
      <c r="R1277" s="19" t="str">
        <f>IFERROR(__xludf.DUMMYFUNCTION("""COMPUTED_VALUE"""),"KATOLIK")</f>
        <v>KATOLIK</v>
      </c>
      <c r="S1277" s="16" t="str">
        <f>IFERROR(__xludf.DUMMYFUNCTION("""COMPUTED_VALUE"""),"SWASTA")</f>
        <v>SWASTA</v>
      </c>
      <c r="T1277" s="16" t="str">
        <f>IFERROR(__xludf.DUMMYFUNCTION("""COMPUTED_VALUE"""),"otot kaki kiri tegang")</f>
        <v>otot kaki kiri tegang</v>
      </c>
      <c r="U1277" s="16" t="str">
        <f>IFERROR(__xludf.DUMMYFUNCTION("""COMPUTED_VALUE"""),"jogging")</f>
        <v>jogging</v>
      </c>
      <c r="V1277" s="11" t="str">
        <f>IFERROR(__xludf.DUMMYFUNCTION("""COMPUTED_VALUE"""),"082354968300")</f>
        <v>082354968300</v>
      </c>
      <c r="W1277" s="15"/>
    </row>
    <row r="1278" ht="22.5" customHeight="1">
      <c r="A1278" s="8"/>
      <c r="B1278" s="9">
        <f>IFERROR(__xludf.DUMMYFUNCTION("""COMPUTED_VALUE"""),45405.42020818287)</f>
        <v>45405.42021</v>
      </c>
      <c r="C1278" s="9"/>
      <c r="D1278" s="34">
        <f>IFERROR(__xludf.DUMMYFUNCTION("""COMPUTED_VALUE"""),45409.0)</f>
        <v>45409</v>
      </c>
      <c r="E1278" s="34" t="str">
        <f>IFERROR(__xludf.DUMMYFUNCTION("""COMPUTED_VALUE"""),"04Apr")</f>
        <v>04Apr</v>
      </c>
      <c r="F1278" s="34" t="str">
        <f>IFERROR(__xludf.DUMMYFUNCTION("""COMPUTED_VALUE"""),"2024")</f>
        <v>2024</v>
      </c>
      <c r="G1278" s="35" t="str">
        <f>IFERROR(__xludf.DUMMYFUNCTION("""COMPUTED_VALUE"""),"EDY PERDANA")</f>
        <v>EDY PERDANA</v>
      </c>
      <c r="H1278" s="17" t="str">
        <f>IFERROR(__xludf.DUMMYFUNCTION("""COMPUTED_VALUE"""),"E8124045507")</f>
        <v>E8124045507</v>
      </c>
      <c r="I1278" s="17">
        <f>IFERROR(__xludf.DUMMYFUNCTION("""COMPUTED_VALUE"""),44.0)</f>
        <v>44</v>
      </c>
      <c r="J1278" s="17" t="str">
        <f>IFERROR(__xludf.DUMMYFUNCTION("""COMPUTED_VALUE"""),"35-44 tahun")</f>
        <v>35-44 tahun</v>
      </c>
      <c r="K1278" s="19">
        <f>IFERROR(__xludf.DUMMYFUNCTION("""COMPUTED_VALUE"""),29879.0)</f>
        <v>29879</v>
      </c>
      <c r="L1278" s="19" t="str">
        <f>IFERROR(__xludf.DUMMYFUNCTION("""COMPUTED_VALUE"""),"LAKI-LAKI")</f>
        <v>LAKI-LAKI</v>
      </c>
      <c r="M1278" s="35" t="str">
        <f>IFERROR(__xludf.DUMMYFUNCTION("""COMPUTED_VALUE"""),"JL. TANJUNGPURA GG. SUEZ NO 102")</f>
        <v>JL. TANJUNGPURA GG. SUEZ NO 102</v>
      </c>
      <c r="N1278" s="16" t="str">
        <f>IFERROR(__xludf.DUMMYFUNCTION("""COMPUTED_VALUE"""),"KEL. BENUA MELAYU DARAT")</f>
        <v>KEL. BENUA MELAYU DARAT</v>
      </c>
      <c r="O1278" s="16" t="str">
        <f>IFERROR(__xludf.DUMMYFUNCTION("""COMPUTED_VALUE"""),"KEC. PONTIANAK SELATAN")</f>
        <v>KEC. PONTIANAK SELATAN</v>
      </c>
      <c r="P1278" s="16" t="str">
        <f>IFERROR(__xludf.DUMMYFUNCTION("""COMPUTED_VALUE"""),"KOTA PONTIANAK")</f>
        <v>KOTA PONTIANAK</v>
      </c>
      <c r="Q1278" s="16" t="str">
        <f>IFERROR(__xludf.DUMMYFUNCTION("""COMPUTED_VALUE"""),"KALIMANTAN BARAT")</f>
        <v>KALIMANTAN BARAT</v>
      </c>
      <c r="R1278" s="19" t="str">
        <f>IFERROR(__xludf.DUMMYFUNCTION("""COMPUTED_VALUE"""),"PROTESTAN")</f>
        <v>PROTESTAN</v>
      </c>
      <c r="S1278" s="16" t="str">
        <f>IFERROR(__xludf.DUMMYFUNCTION("""COMPUTED_VALUE"""),"SWASTA")</f>
        <v>SWASTA</v>
      </c>
      <c r="T1278" s="16" t="str">
        <f>IFERROR(__xludf.DUMMYFUNCTION("""COMPUTED_VALUE"""),"Pasca operasi ACL dan meniscus")</f>
        <v>Pasca operasi ACL dan meniscus</v>
      </c>
      <c r="U1278" s="16" t="str">
        <f>IFERROR(__xludf.DUMMYFUNCTION("""COMPUTED_VALUE"""),"Lari, kerja di lapangan (salesman)")</f>
        <v>Lari, kerja di lapangan (salesman)</v>
      </c>
      <c r="V1278" s="11" t="str">
        <f>IFERROR(__xludf.DUMMYFUNCTION("""COMPUTED_VALUE"""),"081256525507")</f>
        <v>081256525507</v>
      </c>
      <c r="W1278" s="15"/>
    </row>
    <row r="1279" ht="22.5" customHeight="1">
      <c r="A1279" s="8"/>
      <c r="B1279" s="9">
        <f>IFERROR(__xludf.DUMMYFUNCTION("""COMPUTED_VALUE"""),45405.444071805556)</f>
        <v>45405.44407</v>
      </c>
      <c r="C1279" s="9"/>
      <c r="D1279" s="34">
        <f>IFERROR(__xludf.DUMMYFUNCTION("""COMPUTED_VALUE"""),45409.0)</f>
        <v>45409</v>
      </c>
      <c r="E1279" s="34" t="str">
        <f>IFERROR(__xludf.DUMMYFUNCTION("""COMPUTED_VALUE"""),"04Apr")</f>
        <v>04Apr</v>
      </c>
      <c r="F1279" s="34" t="str">
        <f>IFERROR(__xludf.DUMMYFUNCTION("""COMPUTED_VALUE"""),"2024")</f>
        <v>2024</v>
      </c>
      <c r="G1279" s="35" t="str">
        <f>IFERROR(__xludf.DUMMYFUNCTION("""COMPUTED_VALUE"""),"SILVIA DESRI")</f>
        <v>SILVIA DESRI</v>
      </c>
      <c r="H1279" s="17" t="str">
        <f>IFERROR(__xludf.DUMMYFUNCTION("""COMPUTED_VALUE"""),"S8024042496")</f>
        <v>S8024042496</v>
      </c>
      <c r="I1279" s="17">
        <f>IFERROR(__xludf.DUMMYFUNCTION("""COMPUTED_VALUE"""),45.0)</f>
        <v>45</v>
      </c>
      <c r="J1279" s="17" t="str">
        <f>IFERROR(__xludf.DUMMYFUNCTION("""COMPUTED_VALUE"""),"&gt; 44 tahun")</f>
        <v>&gt; 44 tahun</v>
      </c>
      <c r="K1279" s="19">
        <f>IFERROR(__xludf.DUMMYFUNCTION("""COMPUTED_VALUE"""),29570.0)</f>
        <v>29570</v>
      </c>
      <c r="L1279" s="19" t="str">
        <f>IFERROR(__xludf.DUMMYFUNCTION("""COMPUTED_VALUE"""),"PEREMPUAN")</f>
        <v>PEREMPUAN</v>
      </c>
      <c r="M1279" s="35" t="str">
        <f>IFERROR(__xludf.DUMMYFUNCTION("""COMPUTED_VALUE"""),"JL P NATAKUSUMA GG RAJAWALI NO 49")</f>
        <v>JL P NATAKUSUMA GG RAJAWALI NO 49</v>
      </c>
      <c r="N1279" s="16" t="str">
        <f>IFERROR(__xludf.DUMMYFUNCTION("""COMPUTED_VALUE"""),"KEL. SUNGAI BANGKONG")</f>
        <v>KEL. SUNGAI BANGKONG</v>
      </c>
      <c r="O1279" s="16" t="str">
        <f>IFERROR(__xludf.DUMMYFUNCTION("""COMPUTED_VALUE"""),"KEC. PONTIANAK KOTA")</f>
        <v>KEC. PONTIANAK KOTA</v>
      </c>
      <c r="P1279" s="16" t="str">
        <f>IFERROR(__xludf.DUMMYFUNCTION("""COMPUTED_VALUE"""),"KOTA PONTIANAK")</f>
        <v>KOTA PONTIANAK</v>
      </c>
      <c r="Q1279" s="16" t="str">
        <f>IFERROR(__xludf.DUMMYFUNCTION("""COMPUTED_VALUE"""),"KALIMANTAN BARAT")</f>
        <v>KALIMANTAN BARAT</v>
      </c>
      <c r="R1279" s="19" t="str">
        <f>IFERROR(__xludf.DUMMYFUNCTION("""COMPUTED_VALUE"""),"ISLAM")</f>
        <v>ISLAM</v>
      </c>
      <c r="S1279" s="16" t="str">
        <f>IFERROR(__xludf.DUMMYFUNCTION("""COMPUTED_VALUE"""),"BUMN")</f>
        <v>BUMN</v>
      </c>
      <c r="T1279" s="16" t="str">
        <f>IFERROR(__xludf.DUMMYFUNCTION("""COMPUTED_VALUE"""),"Periksa postur tubuh")</f>
        <v>Periksa postur tubuh</v>
      </c>
      <c r="U1279" s="16" t="str">
        <f>IFERROR(__xludf.DUMMYFUNCTION("""COMPUTED_VALUE"""),"Kerja duduk waktu lama")</f>
        <v>Kerja duduk waktu lama</v>
      </c>
      <c r="V1279" s="11" t="str">
        <f>IFERROR(__xludf.DUMMYFUNCTION("""COMPUTED_VALUE"""),"08125432496")</f>
        <v>08125432496</v>
      </c>
      <c r="W1279" s="15"/>
    </row>
    <row r="1280" ht="22.5" customHeight="1">
      <c r="A1280" s="8"/>
      <c r="B1280" s="9">
        <f>IFERROR(__xludf.DUMMYFUNCTION("""COMPUTED_VALUE"""),45406.48271780093)</f>
        <v>45406.48272</v>
      </c>
      <c r="C1280" s="9"/>
      <c r="D1280" s="34">
        <f>IFERROR(__xludf.DUMMYFUNCTION("""COMPUTED_VALUE"""),45409.0)</f>
        <v>45409</v>
      </c>
      <c r="E1280" s="34" t="str">
        <f>IFERROR(__xludf.DUMMYFUNCTION("""COMPUTED_VALUE"""),"04Apr")</f>
        <v>04Apr</v>
      </c>
      <c r="F1280" s="34" t="str">
        <f>IFERROR(__xludf.DUMMYFUNCTION("""COMPUTED_VALUE"""),"2024")</f>
        <v>2024</v>
      </c>
      <c r="G1280" s="16" t="str">
        <f>IFERROR(__xludf.DUMMYFUNCTION("""COMPUTED_VALUE"""),"EKA PURWATI")</f>
        <v>EKA PURWATI</v>
      </c>
      <c r="H1280" s="17" t="str">
        <f>IFERROR(__xludf.DUMMYFUNCTION("""COMPUTED_VALUE"""),"E8024049995")</f>
        <v>E8024049995</v>
      </c>
      <c r="I1280" s="17">
        <f>IFERROR(__xludf.DUMMYFUNCTION("""COMPUTED_VALUE"""),45.0)</f>
        <v>45</v>
      </c>
      <c r="J1280" s="17" t="str">
        <f>IFERROR(__xludf.DUMMYFUNCTION("""COMPUTED_VALUE"""),"&gt; 44 tahun")</f>
        <v>&gt; 44 tahun</v>
      </c>
      <c r="K1280" s="19">
        <f>IFERROR(__xludf.DUMMYFUNCTION("""COMPUTED_VALUE"""),29441.0)</f>
        <v>29441</v>
      </c>
      <c r="L1280" s="19" t="str">
        <f>IFERROR(__xludf.DUMMYFUNCTION("""COMPUTED_VALUE"""),"PEREMPUAN")</f>
        <v>PEREMPUAN</v>
      </c>
      <c r="M1280" s="35" t="str">
        <f>IFERROR(__xludf.DUMMYFUNCTION("""COMPUTED_VALUE"""),"JALAN EKA JAYA NO 29")</f>
        <v>JALAN EKA JAYA NO 29</v>
      </c>
      <c r="N1280" s="16" t="str">
        <f>IFERROR(__xludf.DUMMYFUNCTION("""COMPUTED_VALUE"""),"KEL. KOTA BARU")</f>
        <v>KEL. KOTA BARU</v>
      </c>
      <c r="O1280" s="16" t="str">
        <f>IFERROR(__xludf.DUMMYFUNCTION("""COMPUTED_VALUE"""),"KEC. PONTIANAK SELATAN")</f>
        <v>KEC. PONTIANAK SELATAN</v>
      </c>
      <c r="P1280" s="16" t="str">
        <f>IFERROR(__xludf.DUMMYFUNCTION("""COMPUTED_VALUE"""),"KOTA PONTIANAK")</f>
        <v>KOTA PONTIANAK</v>
      </c>
      <c r="Q1280" s="16" t="str">
        <f>IFERROR(__xludf.DUMMYFUNCTION("""COMPUTED_VALUE"""),"KALIMANTAN BARAT")</f>
        <v>KALIMANTAN BARAT</v>
      </c>
      <c r="R1280" s="19" t="str">
        <f>IFERROR(__xludf.DUMMYFUNCTION("""COMPUTED_VALUE"""),"ISLAM")</f>
        <v>ISLAM</v>
      </c>
      <c r="S1280" s="16" t="str">
        <f>IFERROR(__xludf.DUMMYFUNCTION("""COMPUTED_VALUE"""),"RUMAH TANGGA")</f>
        <v>RUMAH TANGGA</v>
      </c>
      <c r="T1280" s="16" t="str">
        <f>IFERROR(__xludf.DUMMYFUNCTION("""COMPUTED_VALUE"""),"PINGGUL")</f>
        <v>PINGGUL</v>
      </c>
      <c r="U1280" s="16" t="str">
        <f>IFERROR(__xludf.DUMMYFUNCTION("""COMPUTED_VALUE"""),"IBU RUMAH TANGGA")</f>
        <v>IBU RUMAH TANGGA</v>
      </c>
      <c r="V1280" s="11" t="str">
        <f>IFERROR(__xludf.DUMMYFUNCTION("""COMPUTED_VALUE"""),"085245099995")</f>
        <v>085245099995</v>
      </c>
      <c r="W1280" s="15"/>
    </row>
    <row r="1281" ht="22.5" customHeight="1">
      <c r="A1281" s="8"/>
      <c r="B1281" s="9">
        <f>IFERROR(__xludf.DUMMYFUNCTION("""COMPUTED_VALUE"""),45407.44897481482)</f>
        <v>45407.44897</v>
      </c>
      <c r="C1281" s="9"/>
      <c r="D1281" s="34">
        <f>IFERROR(__xludf.DUMMYFUNCTION("""COMPUTED_VALUE"""),45409.0)</f>
        <v>45409</v>
      </c>
      <c r="E1281" s="34" t="str">
        <f>IFERROR(__xludf.DUMMYFUNCTION("""COMPUTED_VALUE"""),"04Apr")</f>
        <v>04Apr</v>
      </c>
      <c r="F1281" s="34" t="str">
        <f>IFERROR(__xludf.DUMMYFUNCTION("""COMPUTED_VALUE"""),"2024")</f>
        <v>2024</v>
      </c>
      <c r="G1281" s="35" t="str">
        <f>IFERROR(__xludf.DUMMYFUNCTION("""COMPUTED_VALUE"""),"ANDRIYANI")</f>
        <v>ANDRIYANI</v>
      </c>
      <c r="H1281" s="17" t="str">
        <f>IFERROR(__xludf.DUMMYFUNCTION("""COMPUTED_VALUE"""),"A9624048555")</f>
        <v>A9624048555</v>
      </c>
      <c r="I1281" s="17">
        <f>IFERROR(__xludf.DUMMYFUNCTION("""COMPUTED_VALUE"""),29.0)</f>
        <v>29</v>
      </c>
      <c r="J1281" s="17" t="str">
        <f>IFERROR(__xludf.DUMMYFUNCTION("""COMPUTED_VALUE"""),"25-34 tahun")</f>
        <v>25-34 tahun</v>
      </c>
      <c r="K1281" s="19">
        <f>IFERROR(__xludf.DUMMYFUNCTION("""COMPUTED_VALUE"""),35298.0)</f>
        <v>35298</v>
      </c>
      <c r="L1281" s="19" t="str">
        <f>IFERROR(__xludf.DUMMYFUNCTION("""COMPUTED_VALUE"""),"PEREMPUAN")</f>
        <v>PEREMPUAN</v>
      </c>
      <c r="M1281" s="35" t="str">
        <f>IFERROR(__xludf.DUMMYFUNCTION("""COMPUTED_VALUE"""),"KOMP BALI LESTARI NO K2")</f>
        <v>KOMP BALI LESTARI NO K2</v>
      </c>
      <c r="N1281" s="16" t="str">
        <f>IFERROR(__xludf.DUMMYFUNCTION("""COMPUTED_VALUE"""),"KEL. SAIGON")</f>
        <v>KEL. SAIGON</v>
      </c>
      <c r="O1281" s="16" t="str">
        <f>IFERROR(__xludf.DUMMYFUNCTION("""COMPUTED_VALUE"""),"KEC. PONTIANAK TIMUR")</f>
        <v>KEC. PONTIANAK TIMUR</v>
      </c>
      <c r="P1281" s="16" t="str">
        <f>IFERROR(__xludf.DUMMYFUNCTION("""COMPUTED_VALUE"""),"KOTA PONTIANAK")</f>
        <v>KOTA PONTIANAK</v>
      </c>
      <c r="Q1281" s="16" t="str">
        <f>IFERROR(__xludf.DUMMYFUNCTION("""COMPUTED_VALUE"""),"KALIMANTAN BARAT")</f>
        <v>KALIMANTAN BARAT</v>
      </c>
      <c r="R1281" s="19" t="str">
        <f>IFERROR(__xludf.DUMMYFUNCTION("""COMPUTED_VALUE"""),"ISLAM")</f>
        <v>ISLAM</v>
      </c>
      <c r="S1281" s="16" t="str">
        <f>IFERROR(__xludf.DUMMYFUNCTION("""COMPUTED_VALUE"""),"SWASTA")</f>
        <v>SWASTA</v>
      </c>
      <c r="T1281" s="16" t="str">
        <f>IFERROR(__xludf.DUMMYFUNCTION("""COMPUTED_VALUE"""),"Kaki sakit")</f>
        <v>Kaki sakit</v>
      </c>
      <c r="U1281" s="16" t="str">
        <f>IFERROR(__xludf.DUMMYFUNCTION("""COMPUTED_VALUE"""),"Makan")</f>
        <v>Makan</v>
      </c>
      <c r="V1281" s="11" t="str">
        <f>IFERROR(__xludf.DUMMYFUNCTION("""COMPUTED_VALUE"""),"085856288555")</f>
        <v>085856288555</v>
      </c>
      <c r="W1281" s="15"/>
    </row>
    <row r="1282" ht="22.5" customHeight="1">
      <c r="A1282" s="8"/>
      <c r="B1282" s="9">
        <f>IFERROR(__xludf.DUMMYFUNCTION("""COMPUTED_VALUE"""),45403.41664297454)</f>
        <v>45403.41664</v>
      </c>
      <c r="C1282" s="9"/>
      <c r="D1282" s="34">
        <f>IFERROR(__xludf.DUMMYFUNCTION("""COMPUTED_VALUE"""),45410.0)</f>
        <v>45410</v>
      </c>
      <c r="E1282" s="34" t="str">
        <f>IFERROR(__xludf.DUMMYFUNCTION("""COMPUTED_VALUE"""),"04Apr")</f>
        <v>04Apr</v>
      </c>
      <c r="F1282" s="34" t="str">
        <f>IFERROR(__xludf.DUMMYFUNCTION("""COMPUTED_VALUE"""),"2024")</f>
        <v>2024</v>
      </c>
      <c r="G1282" s="35" t="str">
        <f>IFERROR(__xludf.DUMMYFUNCTION("""COMPUTED_VALUE"""),"ZULIANSYAH MAULUDIN")</f>
        <v>ZULIANSYAH MAULUDIN</v>
      </c>
      <c r="H1282" s="17" t="str">
        <f>IFERROR(__xludf.DUMMYFUNCTION("""COMPUTED_VALUE"""),"Z9724047029")</f>
        <v>Z9724047029</v>
      </c>
      <c r="I1282" s="17">
        <f>IFERROR(__xludf.DUMMYFUNCTION("""COMPUTED_VALUE"""),28.0)</f>
        <v>28</v>
      </c>
      <c r="J1282" s="17" t="str">
        <f>IFERROR(__xludf.DUMMYFUNCTION("""COMPUTED_VALUE"""),"25-34 tahun")</f>
        <v>25-34 tahun</v>
      </c>
      <c r="K1282" s="19">
        <f>IFERROR(__xludf.DUMMYFUNCTION("""COMPUTED_VALUE"""),35638.0)</f>
        <v>35638</v>
      </c>
      <c r="L1282" s="19" t="str">
        <f>IFERROR(__xludf.DUMMYFUNCTION("""COMPUTED_VALUE"""),"LAKI-LAKI")</f>
        <v>LAKI-LAKI</v>
      </c>
      <c r="M1282" s="35" t="str">
        <f>IFERROR(__xludf.DUMMYFUNCTION("""COMPUTED_VALUE"""),"JALAN BANGUN SARI GANG MELATI NOMOR 33")</f>
        <v>JALAN BANGUN SARI GANG MELATI NOMOR 33</v>
      </c>
      <c r="N1282" s="16" t="str">
        <f>IFERROR(__xludf.DUMMYFUNCTION("""COMPUTED_VALUE"""),"DS. SEBALO")</f>
        <v>DS. SEBALO</v>
      </c>
      <c r="O1282" s="16" t="str">
        <f>IFERROR(__xludf.DUMMYFUNCTION("""COMPUTED_VALUE"""),"KEC. BENGKAYANG")</f>
        <v>KEC. BENGKAYANG</v>
      </c>
      <c r="P1282" s="16" t="str">
        <f>IFERROR(__xludf.DUMMYFUNCTION("""COMPUTED_VALUE"""),"KAB. BENGKAYANG")</f>
        <v>KAB. BENGKAYANG</v>
      </c>
      <c r="Q1282" s="16" t="str">
        <f>IFERROR(__xludf.DUMMYFUNCTION("""COMPUTED_VALUE"""),"KALIMANTAN BARAT")</f>
        <v>KALIMANTAN BARAT</v>
      </c>
      <c r="R1282" s="19" t="str">
        <f>IFERROR(__xludf.DUMMYFUNCTION("""COMPUTED_VALUE"""),"ISLAM")</f>
        <v>ISLAM</v>
      </c>
      <c r="S1282" s="16" t="str">
        <f>IFERROR(__xludf.DUMMYFUNCTION("""COMPUTED_VALUE"""),"ASN")</f>
        <v>ASN</v>
      </c>
      <c r="T1282" s="16" t="str">
        <f>IFERROR(__xludf.DUMMYFUNCTION("""COMPUTED_VALUE"""),"Sakit dan kaku disekitar akibat benturan kecelakaan motor")</f>
        <v>Sakit dan kaku disekitar akibat benturan kecelakaan motor</v>
      </c>
      <c r="U1282" s="16" t="str">
        <f>IFERROR(__xludf.DUMMYFUNCTION("""COMPUTED_VALUE"""),"Berburu")</f>
        <v>Berburu</v>
      </c>
      <c r="V1282" s="11" t="str">
        <f>IFERROR(__xludf.DUMMYFUNCTION("""COMPUTED_VALUE"""),"08978327029")</f>
        <v>08978327029</v>
      </c>
      <c r="W1282" s="15"/>
    </row>
    <row r="1283" ht="22.5" customHeight="1">
      <c r="A1283" s="8"/>
      <c r="B1283" s="9">
        <f>IFERROR(__xludf.DUMMYFUNCTION("""COMPUTED_VALUE"""),45407.59083804398)</f>
        <v>45407.59084</v>
      </c>
      <c r="C1283" s="9"/>
      <c r="D1283" s="34">
        <f>IFERROR(__xludf.DUMMYFUNCTION("""COMPUTED_VALUE"""),45410.0)</f>
        <v>45410</v>
      </c>
      <c r="E1283" s="34" t="str">
        <f>IFERROR(__xludf.DUMMYFUNCTION("""COMPUTED_VALUE"""),"04Apr")</f>
        <v>04Apr</v>
      </c>
      <c r="F1283" s="34" t="str">
        <f>IFERROR(__xludf.DUMMYFUNCTION("""COMPUTED_VALUE"""),"2024")</f>
        <v>2024</v>
      </c>
      <c r="G1283" s="35" t="str">
        <f>IFERROR(__xludf.DUMMYFUNCTION("""COMPUTED_VALUE"""),"M TOHA SUSILO UTOMO")</f>
        <v>M TOHA SUSILO UTOMO</v>
      </c>
      <c r="H1283" s="17" t="str">
        <f>IFERROR(__xludf.DUMMYFUNCTION("""COMPUTED_VALUE"""),"M7624048000")</f>
        <v>M7624048000</v>
      </c>
      <c r="I1283" s="17">
        <f>IFERROR(__xludf.DUMMYFUNCTION("""COMPUTED_VALUE"""),49.0)</f>
        <v>49</v>
      </c>
      <c r="J1283" s="17" t="str">
        <f>IFERROR(__xludf.DUMMYFUNCTION("""COMPUTED_VALUE"""),"&gt; 44 tahun")</f>
        <v>&gt; 44 tahun</v>
      </c>
      <c r="K1283" s="19">
        <f>IFERROR(__xludf.DUMMYFUNCTION("""COMPUTED_VALUE"""),28043.0)</f>
        <v>28043</v>
      </c>
      <c r="L1283" s="19" t="str">
        <f>IFERROR(__xludf.DUMMYFUNCTION("""COMPUTED_VALUE"""),"LAKI-LAKI")</f>
        <v>LAKI-LAKI</v>
      </c>
      <c r="M1283" s="35" t="str">
        <f>IFERROR(__xludf.DUMMYFUNCTION("""COMPUTED_VALUE"""),"JL PGA GG KEMUNING JALUR 2 NO 27")</f>
        <v>JL PGA GG KEMUNING JALUR 2 NO 27</v>
      </c>
      <c r="N1283" s="16" t="str">
        <f>IFERROR(__xludf.DUMMYFUNCTION("""COMPUTED_VALUE"""),"KEL. SUNGAI BANGKONG")</f>
        <v>KEL. SUNGAI BANGKONG</v>
      </c>
      <c r="O1283" s="16" t="str">
        <f>IFERROR(__xludf.DUMMYFUNCTION("""COMPUTED_VALUE"""),"KEC. PONTIANAK KOTA")</f>
        <v>KEC. PONTIANAK KOTA</v>
      </c>
      <c r="P1283" s="16" t="str">
        <f>IFERROR(__xludf.DUMMYFUNCTION("""COMPUTED_VALUE"""),"KOTA PONTIANAK")</f>
        <v>KOTA PONTIANAK</v>
      </c>
      <c r="Q1283" s="16" t="str">
        <f>IFERROR(__xludf.DUMMYFUNCTION("""COMPUTED_VALUE"""),"KALIMANTAN BARAT")</f>
        <v>KALIMANTAN BARAT</v>
      </c>
      <c r="R1283" s="19" t="str">
        <f>IFERROR(__xludf.DUMMYFUNCTION("""COMPUTED_VALUE"""),"ISLAM")</f>
        <v>ISLAM</v>
      </c>
      <c r="S1283" s="16" t="str">
        <f>IFERROR(__xludf.DUMMYFUNCTION("""COMPUTED_VALUE"""),"ASN")</f>
        <v>ASN</v>
      </c>
      <c r="T1283" s="16" t="str">
        <f>IFERROR(__xludf.DUMMYFUNCTION("""COMPUTED_VALUE"""),"Sakit Pinggang")</f>
        <v>Sakit Pinggang</v>
      </c>
      <c r="U1283" s="16" t="str">
        <f>IFERROR(__xludf.DUMMYFUNCTION("""COMPUTED_VALUE"""),"Joging")</f>
        <v>Joging</v>
      </c>
      <c r="V1283" s="11" t="str">
        <f>IFERROR(__xludf.DUMMYFUNCTION("""COMPUTED_VALUE"""),"085749348000")</f>
        <v>085749348000</v>
      </c>
      <c r="W1283" s="15"/>
    </row>
    <row r="1284" ht="22.5" customHeight="1">
      <c r="A1284" s="8"/>
      <c r="B1284" s="9">
        <f>IFERROR(__xludf.DUMMYFUNCTION("""COMPUTED_VALUE"""),45407.59967435185)</f>
        <v>45407.59967</v>
      </c>
      <c r="C1284" s="9"/>
      <c r="D1284" s="34">
        <f>IFERROR(__xludf.DUMMYFUNCTION("""COMPUTED_VALUE"""),45410.0)</f>
        <v>45410</v>
      </c>
      <c r="E1284" s="34" t="str">
        <f>IFERROR(__xludf.DUMMYFUNCTION("""COMPUTED_VALUE"""),"04Apr")</f>
        <v>04Apr</v>
      </c>
      <c r="F1284" s="34" t="str">
        <f>IFERROR(__xludf.DUMMYFUNCTION("""COMPUTED_VALUE"""),"2024")</f>
        <v>2024</v>
      </c>
      <c r="G1284" s="35" t="str">
        <f>IFERROR(__xludf.DUMMYFUNCTION("""COMPUTED_VALUE"""),"FELIX LIANDO")</f>
        <v>FELIX LIANDO</v>
      </c>
      <c r="H1284" s="17" t="str">
        <f>IFERROR(__xludf.DUMMYFUNCTION("""COMPUTED_VALUE"""),"F0324045452")</f>
        <v>F0324045452</v>
      </c>
      <c r="I1284" s="17">
        <f>IFERROR(__xludf.DUMMYFUNCTION("""COMPUTED_VALUE"""),22.0)</f>
        <v>22</v>
      </c>
      <c r="J1284" s="17" t="str">
        <f>IFERROR(__xludf.DUMMYFUNCTION("""COMPUTED_VALUE"""),"18-24 tahun")</f>
        <v>18-24 tahun</v>
      </c>
      <c r="K1284" s="19">
        <f>IFERROR(__xludf.DUMMYFUNCTION("""COMPUTED_VALUE"""),37915.0)</f>
        <v>37915</v>
      </c>
      <c r="L1284" s="19" t="str">
        <f>IFERROR(__xludf.DUMMYFUNCTION("""COMPUTED_VALUE"""),"LAKI-LAKI")</f>
        <v>LAKI-LAKI</v>
      </c>
      <c r="M1284" s="35" t="str">
        <f>IFERROR(__xludf.DUMMYFUNCTION("""COMPUTED_VALUE"""),"JL. GEREJA")</f>
        <v>JL. GEREJA</v>
      </c>
      <c r="N1284" s="16" t="str">
        <f>IFERROR(__xludf.DUMMYFUNCTION("""COMPUTED_VALUE"""),"KEL. PENJAJAP")</f>
        <v>KEL. PENJAJAP</v>
      </c>
      <c r="O1284" s="16" t="str">
        <f>IFERROR(__xludf.DUMMYFUNCTION("""COMPUTED_VALUE"""),"KEC. PEMANGKAT")</f>
        <v>KEC. PEMANGKAT</v>
      </c>
      <c r="P1284" s="16" t="str">
        <f>IFERROR(__xludf.DUMMYFUNCTION("""COMPUTED_VALUE"""),"KAB. SAMBAS")</f>
        <v>KAB. SAMBAS</v>
      </c>
      <c r="Q1284" s="16" t="str">
        <f>IFERROR(__xludf.DUMMYFUNCTION("""COMPUTED_VALUE"""),"KALIMANTAN BARAT")</f>
        <v>KALIMANTAN BARAT</v>
      </c>
      <c r="R1284" s="19" t="str">
        <f>IFERROR(__xludf.DUMMYFUNCTION("""COMPUTED_VALUE"""),"KATOLIK")</f>
        <v>KATOLIK</v>
      </c>
      <c r="S1284" s="16" t="str">
        <f>IFERROR(__xludf.DUMMYFUNCTION("""COMPUTED_VALUE"""),"PELAJAR/MAHASISWA")</f>
        <v>PELAJAR/MAHASISWA</v>
      </c>
      <c r="T1284" s="16" t="str">
        <f>IFERROR(__xludf.DUMMYFUNCTION("""COMPUTED_VALUE"""),"Ankle Sprain")</f>
        <v>Ankle Sprain</v>
      </c>
      <c r="U1284" s="16" t="str">
        <f>IFERROR(__xludf.DUMMYFUNCTION("""COMPUTED_VALUE"""),"Badminton")</f>
        <v>Badminton</v>
      </c>
      <c r="V1284" s="11" t="str">
        <f>IFERROR(__xludf.DUMMYFUNCTION("""COMPUTED_VALUE"""),"085347235452")</f>
        <v>085347235452</v>
      </c>
      <c r="W1284" s="15"/>
    </row>
    <row r="1285" ht="22.5" customHeight="1">
      <c r="A1285" s="8"/>
      <c r="B1285" s="9">
        <f>IFERROR(__xludf.DUMMYFUNCTION("""COMPUTED_VALUE"""),45407.70273174769)</f>
        <v>45407.70273</v>
      </c>
      <c r="C1285" s="9"/>
      <c r="D1285" s="34">
        <f>IFERROR(__xludf.DUMMYFUNCTION("""COMPUTED_VALUE"""),45410.0)</f>
        <v>45410</v>
      </c>
      <c r="E1285" s="34" t="str">
        <f>IFERROR(__xludf.DUMMYFUNCTION("""COMPUTED_VALUE"""),"04Apr")</f>
        <v>04Apr</v>
      </c>
      <c r="F1285" s="34" t="str">
        <f>IFERROR(__xludf.DUMMYFUNCTION("""COMPUTED_VALUE"""),"2024")</f>
        <v>2024</v>
      </c>
      <c r="G1285" s="35" t="str">
        <f>IFERROR(__xludf.DUMMYFUNCTION("""COMPUTED_VALUE"""),"NOVIRA LATARISSA")</f>
        <v>NOVIRA LATARISSA</v>
      </c>
      <c r="H1285" s="17" t="str">
        <f>IFERROR(__xludf.DUMMYFUNCTION("""COMPUTED_VALUE"""),"N9024045176")</f>
        <v>N9024045176</v>
      </c>
      <c r="I1285" s="17">
        <f>IFERROR(__xludf.DUMMYFUNCTION("""COMPUTED_VALUE"""),35.0)</f>
        <v>35</v>
      </c>
      <c r="J1285" s="17" t="str">
        <f>IFERROR(__xludf.DUMMYFUNCTION("""COMPUTED_VALUE"""),"35-44 tahun")</f>
        <v>35-44 tahun</v>
      </c>
      <c r="K1285" s="19">
        <f>IFERROR(__xludf.DUMMYFUNCTION("""COMPUTED_VALUE"""),33179.0)</f>
        <v>33179</v>
      </c>
      <c r="L1285" s="19" t="str">
        <f>IFERROR(__xludf.DUMMYFUNCTION("""COMPUTED_VALUE"""),"PEREMPUAN")</f>
        <v>PEREMPUAN</v>
      </c>
      <c r="M1285" s="35" t="str">
        <f>IFERROR(__xludf.DUMMYFUNCTION("""COMPUTED_VALUE"""),"JALAN PEMBANGUNAN")</f>
        <v>JALAN PEMBANGUNAN</v>
      </c>
      <c r="N1285" s="16" t="str">
        <f>IFERROR(__xludf.DUMMYFUNCTION("""COMPUTED_VALUE"""),"DS. KAWAT")</f>
        <v>DS. KAWAT</v>
      </c>
      <c r="O1285" s="16" t="str">
        <f>IFERROR(__xludf.DUMMYFUNCTION("""COMPUTED_VALUE"""),"KEC. TAYAN HILIR")</f>
        <v>KEC. TAYAN HILIR</v>
      </c>
      <c r="P1285" s="16" t="str">
        <f>IFERROR(__xludf.DUMMYFUNCTION("""COMPUTED_VALUE"""),"KAB. SANGGAU")</f>
        <v>KAB. SANGGAU</v>
      </c>
      <c r="Q1285" s="16" t="str">
        <f>IFERROR(__xludf.DUMMYFUNCTION("""COMPUTED_VALUE"""),"KALIMANTAN BARAT")</f>
        <v>KALIMANTAN BARAT</v>
      </c>
      <c r="R1285" s="19" t="str">
        <f>IFERROR(__xludf.DUMMYFUNCTION("""COMPUTED_VALUE"""),"ISLAM")</f>
        <v>ISLAM</v>
      </c>
      <c r="S1285" s="16" t="str">
        <f>IFERROR(__xludf.DUMMYFUNCTION("""COMPUTED_VALUE"""),"RUMAH TANGGA")</f>
        <v>RUMAH TANGGA</v>
      </c>
      <c r="T1285" s="16" t="str">
        <f>IFERROR(__xludf.DUMMYFUNCTION("""COMPUTED_VALUE"""),"Sakit sebelah badan")</f>
        <v>Sakit sebelah badan</v>
      </c>
      <c r="U1285" s="16" t="str">
        <f>IFERROR(__xludf.DUMMYFUNCTION("""COMPUTED_VALUE"""),"Drmh saja")</f>
        <v>Drmh saja</v>
      </c>
      <c r="V1285" s="11" t="str">
        <f>IFERROR(__xludf.DUMMYFUNCTION("""COMPUTED_VALUE"""),"081522805176")</f>
        <v>081522805176</v>
      </c>
      <c r="W1285" s="15"/>
    </row>
    <row r="1286" ht="22.5" customHeight="1">
      <c r="A1286" s="8"/>
      <c r="B1286" s="9">
        <f>IFERROR(__xludf.DUMMYFUNCTION("""COMPUTED_VALUE"""),45407.848171481484)</f>
        <v>45407.84817</v>
      </c>
      <c r="C1286" s="9"/>
      <c r="D1286" s="34">
        <f>IFERROR(__xludf.DUMMYFUNCTION("""COMPUTED_VALUE"""),45411.0)</f>
        <v>45411</v>
      </c>
      <c r="E1286" s="34" t="str">
        <f>IFERROR(__xludf.DUMMYFUNCTION("""COMPUTED_VALUE"""),"04Apr")</f>
        <v>04Apr</v>
      </c>
      <c r="F1286" s="34" t="str">
        <f>IFERROR(__xludf.DUMMYFUNCTION("""COMPUTED_VALUE"""),"2024")</f>
        <v>2024</v>
      </c>
      <c r="G1286" s="35" t="str">
        <f>IFERROR(__xludf.DUMMYFUNCTION("""COMPUTED_VALUE"""),"MAULIDATUN NI'MAH")</f>
        <v>MAULIDATUN NI'MAH</v>
      </c>
      <c r="H1286" s="17" t="str">
        <f>IFERROR(__xludf.DUMMYFUNCTION("""COMPUTED_VALUE"""),"M8624049783")</f>
        <v>M8624049783</v>
      </c>
      <c r="I1286" s="17">
        <f>IFERROR(__xludf.DUMMYFUNCTION("""COMPUTED_VALUE"""),39.0)</f>
        <v>39</v>
      </c>
      <c r="J1286" s="17" t="str">
        <f>IFERROR(__xludf.DUMMYFUNCTION("""COMPUTED_VALUE"""),"35-44 tahun")</f>
        <v>35-44 tahun</v>
      </c>
      <c r="K1286" s="19">
        <f>IFERROR(__xludf.DUMMYFUNCTION("""COMPUTED_VALUE"""),31768.0)</f>
        <v>31768</v>
      </c>
      <c r="L1286" s="19" t="str">
        <f>IFERROR(__xludf.DUMMYFUNCTION("""COMPUTED_VALUE"""),"PEREMPUAN")</f>
        <v>PEREMPUAN</v>
      </c>
      <c r="M1286" s="35" t="str">
        <f>IFERROR(__xludf.DUMMYFUNCTION("""COMPUTED_VALUE"""),"JL. M. YAMIN GG. USAHA BERSAMA 1 NO 39")</f>
        <v>JL. M. YAMIN GG. USAHA BERSAMA 1 NO 39</v>
      </c>
      <c r="N1286" s="16" t="str">
        <f>IFERROR(__xludf.DUMMYFUNCTION("""COMPUTED_VALUE"""),"KEL. KOTA BARU")</f>
        <v>KEL. KOTA BARU</v>
      </c>
      <c r="O1286" s="16" t="str">
        <f>IFERROR(__xludf.DUMMYFUNCTION("""COMPUTED_VALUE"""),"KEC. PONTIANAK SELATAN")</f>
        <v>KEC. PONTIANAK SELATAN</v>
      </c>
      <c r="P1286" s="35" t="str">
        <f>IFERROR(__xludf.DUMMYFUNCTION("""COMPUTED_VALUE"""),"KOTA PONTIANAK")</f>
        <v>KOTA PONTIANAK</v>
      </c>
      <c r="Q1286" s="16" t="str">
        <f>IFERROR(__xludf.DUMMYFUNCTION("""COMPUTED_VALUE"""),"KALIMANTAN BARAT")</f>
        <v>KALIMANTAN BARAT</v>
      </c>
      <c r="R1286" s="19" t="str">
        <f>IFERROR(__xludf.DUMMYFUNCTION("""COMPUTED_VALUE"""),"ISLAM")</f>
        <v>ISLAM</v>
      </c>
      <c r="S1286" s="16" t="str">
        <f>IFERROR(__xludf.DUMMYFUNCTION("""COMPUTED_VALUE"""),"RUMAH TANGGA")</f>
        <v>RUMAH TANGGA</v>
      </c>
      <c r="T1286" s="16" t="str">
        <f>IFERROR(__xludf.DUMMYFUNCTION("""COMPUTED_VALUE"""),"Sakit pada")</f>
        <v>Sakit pada</v>
      </c>
      <c r="U1286" s="16" t="str">
        <f>IFERROR(__xludf.DUMMYFUNCTION("""COMPUTED_VALUE"""),"Guru dan IRT")</f>
        <v>Guru dan IRT</v>
      </c>
      <c r="V1286" s="11" t="str">
        <f>IFERROR(__xludf.DUMMYFUNCTION("""COMPUTED_VALUE"""),"085842269783")</f>
        <v>085842269783</v>
      </c>
      <c r="W1286" s="15"/>
    </row>
    <row r="1287" ht="22.5" customHeight="1">
      <c r="A1287" s="8"/>
      <c r="B1287" s="9">
        <f>IFERROR(__xludf.DUMMYFUNCTION("""COMPUTED_VALUE"""),45409.37077414352)</f>
        <v>45409.37077</v>
      </c>
      <c r="C1287" s="9"/>
      <c r="D1287" s="34">
        <f>IFERROR(__xludf.DUMMYFUNCTION("""COMPUTED_VALUE"""),45411.0)</f>
        <v>45411</v>
      </c>
      <c r="E1287" s="34" t="str">
        <f>IFERROR(__xludf.DUMMYFUNCTION("""COMPUTED_VALUE"""),"04Apr")</f>
        <v>04Apr</v>
      </c>
      <c r="F1287" s="34" t="str">
        <f>IFERROR(__xludf.DUMMYFUNCTION("""COMPUTED_VALUE"""),"2024")</f>
        <v>2024</v>
      </c>
      <c r="G1287" s="16" t="str">
        <f>IFERROR(__xludf.DUMMYFUNCTION("""COMPUTED_VALUE"""),"BUJANG DARWIS")</f>
        <v>BUJANG DARWIS</v>
      </c>
      <c r="H1287" s="17" t="str">
        <f>IFERROR(__xludf.DUMMYFUNCTION("""COMPUTED_VALUE"""),"B0524040352")</f>
        <v>B0524040352</v>
      </c>
      <c r="I1287" s="17">
        <f>IFERROR(__xludf.DUMMYFUNCTION("""COMPUTED_VALUE"""),21.0)</f>
        <v>21</v>
      </c>
      <c r="J1287" s="17" t="str">
        <f>IFERROR(__xludf.DUMMYFUNCTION("""COMPUTED_VALUE"""),"18-24 tahun")</f>
        <v>18-24 tahun</v>
      </c>
      <c r="K1287" s="19">
        <f>IFERROR(__xludf.DUMMYFUNCTION("""COMPUTED_VALUE"""),38500.0)</f>
        <v>38500</v>
      </c>
      <c r="L1287" s="19" t="str">
        <f>IFERROR(__xludf.DUMMYFUNCTION("""COMPUTED_VALUE"""),"LAKI-LAKI")</f>
        <v>LAKI-LAKI</v>
      </c>
      <c r="M1287" s="35" t="str">
        <f>IFERROR(__xludf.DUMMYFUNCTION("""COMPUTED_VALUE"""),"JL. P. HIDAYAT")</f>
        <v>JL. P. HIDAYAT</v>
      </c>
      <c r="N1287" s="16" t="str">
        <f>IFERROR(__xludf.DUMMYFUNCTION("""COMPUTED_VALUE"""),"DS. BARU")</f>
        <v>DS. BARU</v>
      </c>
      <c r="O1287" s="16" t="str">
        <f>IFERROR(__xludf.DUMMYFUNCTION("""COMPUTED_VALUE"""),"KEC. BENUA KAYONG")</f>
        <v>KEC. BENUA KAYONG</v>
      </c>
      <c r="P1287" s="16" t="str">
        <f>IFERROR(__xludf.DUMMYFUNCTION("""COMPUTED_VALUE"""),"KAB. KETAPANG")</f>
        <v>KAB. KETAPANG</v>
      </c>
      <c r="Q1287" s="16" t="str">
        <f>IFERROR(__xludf.DUMMYFUNCTION("""COMPUTED_VALUE"""),"KALIMANTAN BARAT")</f>
        <v>KALIMANTAN BARAT</v>
      </c>
      <c r="R1287" s="19" t="str">
        <f>IFERROR(__xludf.DUMMYFUNCTION("""COMPUTED_VALUE"""),"ISLAM")</f>
        <v>ISLAM</v>
      </c>
      <c r="S1287" s="16" t="str">
        <f>IFERROR(__xludf.DUMMYFUNCTION("""COMPUTED_VALUE"""),"PELAJAR/MAHASISWA")</f>
        <v>PELAJAR/MAHASISWA</v>
      </c>
      <c r="T1287" s="16" t="str">
        <f>IFERROR(__xludf.DUMMYFUNCTION("""COMPUTED_VALUE"""),"KAKI X")</f>
        <v>KAKI X</v>
      </c>
      <c r="U1287" s="16" t="str">
        <f>IFERROR(__xludf.DUMMYFUNCTION("""COMPUTED_VALUE"""),"OLAHRAGA")</f>
        <v>OLAHRAGA</v>
      </c>
      <c r="V1287" s="11" t="str">
        <f>IFERROR(__xludf.DUMMYFUNCTION("""COMPUTED_VALUE"""),"089526880352")</f>
        <v>089526880352</v>
      </c>
      <c r="W1287" s="15"/>
    </row>
    <row r="1288" ht="22.5" customHeight="1">
      <c r="A1288" s="8"/>
      <c r="B1288" s="9">
        <f>IFERROR(__xludf.DUMMYFUNCTION("""COMPUTED_VALUE"""),45409.37604125)</f>
        <v>45409.37604</v>
      </c>
      <c r="C1288" s="9"/>
      <c r="D1288" s="34">
        <f>IFERROR(__xludf.DUMMYFUNCTION("""COMPUTED_VALUE"""),45412.0)</f>
        <v>45412</v>
      </c>
      <c r="E1288" s="34" t="str">
        <f>IFERROR(__xludf.DUMMYFUNCTION("""COMPUTED_VALUE"""),"04Apr")</f>
        <v>04Apr</v>
      </c>
      <c r="F1288" s="34" t="str">
        <f>IFERROR(__xludf.DUMMYFUNCTION("""COMPUTED_VALUE"""),"2024")</f>
        <v>2024</v>
      </c>
      <c r="G1288" s="16" t="str">
        <f>IFERROR(__xludf.DUMMYFUNCTION("""COMPUTED_VALUE"""),"KUSILO WIBOWO")</f>
        <v>KUSILO WIBOWO</v>
      </c>
      <c r="H1288" s="17" t="str">
        <f>IFERROR(__xludf.DUMMYFUNCTION("""COMPUTED_VALUE"""),"K6324041880")</f>
        <v>K6324041880</v>
      </c>
      <c r="I1288" s="17">
        <f>IFERROR(__xludf.DUMMYFUNCTION("""COMPUTED_VALUE"""),62.0)</f>
        <v>62</v>
      </c>
      <c r="J1288" s="17" t="str">
        <f>IFERROR(__xludf.DUMMYFUNCTION("""COMPUTED_VALUE"""),"&gt; 44 tahun")</f>
        <v>&gt; 44 tahun</v>
      </c>
      <c r="K1288" s="19">
        <f>IFERROR(__xludf.DUMMYFUNCTION("""COMPUTED_VALUE"""),23188.0)</f>
        <v>23188</v>
      </c>
      <c r="L1288" s="19" t="str">
        <f>IFERROR(__xludf.DUMMYFUNCTION("""COMPUTED_VALUE"""),"LAKI-LAKI")</f>
        <v>LAKI-LAKI</v>
      </c>
      <c r="M1288" s="35" t="str">
        <f>IFERROR(__xludf.DUMMYFUNCTION("""COMPUTED_VALUE"""),"JL TEBU KOMP. TEBU RAYA ASRI NO 4.B")</f>
        <v>JL TEBU KOMP. TEBU RAYA ASRI NO 4.B</v>
      </c>
      <c r="N1288" s="16" t="str">
        <f>IFERROR(__xludf.DUMMYFUNCTION("""COMPUTED_VALUE"""),"KEL. SUNGAI BELIUNG")</f>
        <v>KEL. SUNGAI BELIUNG</v>
      </c>
      <c r="O1288" s="16" t="str">
        <f>IFERROR(__xludf.DUMMYFUNCTION("""COMPUTED_VALUE"""),"KEC. PONTIANAK BARAT")</f>
        <v>KEC. PONTIANAK BARAT</v>
      </c>
      <c r="P1288" s="16" t="str">
        <f>IFERROR(__xludf.DUMMYFUNCTION("""COMPUTED_VALUE"""),"KOTA PONTIANAK")</f>
        <v>KOTA PONTIANAK</v>
      </c>
      <c r="Q1288" s="16" t="str">
        <f>IFERROR(__xludf.DUMMYFUNCTION("""COMPUTED_VALUE"""),"KALIMANTAN BARAT")</f>
        <v>KALIMANTAN BARAT</v>
      </c>
      <c r="R1288" s="19" t="str">
        <f>IFERROR(__xludf.DUMMYFUNCTION("""COMPUTED_VALUE"""),"ISLAM")</f>
        <v>ISLAM</v>
      </c>
      <c r="S1288" s="16" t="str">
        <f>IFERROR(__xludf.DUMMYFUNCTION("""COMPUTED_VALUE"""),"PENSIUN")</f>
        <v>PENSIUN</v>
      </c>
      <c r="T1288" s="16" t="str">
        <f>IFERROR(__xludf.DUMMYFUNCTION("""COMPUTED_VALUE"""),"Nyeri pinggul kanan sampai kaki, nyeri memberat jika di bawa aktivitas berjalan")</f>
        <v>Nyeri pinggul kanan sampai kaki, nyeri memberat jika di bawa aktivitas berjalan</v>
      </c>
      <c r="U1288" s="16" t="str">
        <f>IFERROR(__xludf.DUMMYFUNCTION("""COMPUTED_VALUE"""),"-")</f>
        <v>-</v>
      </c>
      <c r="V1288" s="11" t="str">
        <f>IFERROR(__xludf.DUMMYFUNCTION("""COMPUTED_VALUE"""),"089656541880")</f>
        <v>089656541880</v>
      </c>
      <c r="W1288" s="15"/>
    </row>
    <row r="1289" ht="22.5" customHeight="1">
      <c r="A1289" s="8"/>
      <c r="B1289" s="9">
        <f>IFERROR(__xludf.DUMMYFUNCTION("""COMPUTED_VALUE"""),45409.56496819445)</f>
        <v>45409.56497</v>
      </c>
      <c r="C1289" s="9"/>
      <c r="D1289" s="34">
        <f>IFERROR(__xludf.DUMMYFUNCTION("""COMPUTED_VALUE"""),45412.0)</f>
        <v>45412</v>
      </c>
      <c r="E1289" s="34" t="str">
        <f>IFERROR(__xludf.DUMMYFUNCTION("""COMPUTED_VALUE"""),"04Apr")</f>
        <v>04Apr</v>
      </c>
      <c r="F1289" s="34" t="str">
        <f>IFERROR(__xludf.DUMMYFUNCTION("""COMPUTED_VALUE"""),"2024")</f>
        <v>2024</v>
      </c>
      <c r="G1289" s="16" t="str">
        <f>IFERROR(__xludf.DUMMYFUNCTION("""COMPUTED_VALUE"""),"YONGKI DUARTA")</f>
        <v>YONGKI DUARTA</v>
      </c>
      <c r="H1289" s="17" t="str">
        <f>IFERROR(__xludf.DUMMYFUNCTION("""COMPUTED_VALUE"""),"Y0624049684")</f>
        <v>Y0624049684</v>
      </c>
      <c r="I1289" s="17">
        <f>IFERROR(__xludf.DUMMYFUNCTION("""COMPUTED_VALUE"""),19.0)</f>
        <v>19</v>
      </c>
      <c r="J1289" s="17" t="str">
        <f>IFERROR(__xludf.DUMMYFUNCTION("""COMPUTED_VALUE"""),"18-24 tahun")</f>
        <v>18-24 tahun</v>
      </c>
      <c r="K1289" s="19">
        <f>IFERROR(__xludf.DUMMYFUNCTION("""COMPUTED_VALUE"""),38978.0)</f>
        <v>38978</v>
      </c>
      <c r="L1289" s="19" t="str">
        <f>IFERROR(__xludf.DUMMYFUNCTION("""COMPUTED_VALUE"""),"LAKI-LAKI")</f>
        <v>LAKI-LAKI</v>
      </c>
      <c r="M1289" s="35" t="str">
        <f>IFERROR(__xludf.DUMMYFUNCTION("""COMPUTED_VALUE"""),"AUR KUNING")</f>
        <v>AUR KUNING</v>
      </c>
      <c r="N1289" s="16" t="str">
        <f>IFERROR(__xludf.DUMMYFUNCTION("""COMPUTED_VALUE"""),"DS. RIAM BUNUT")</f>
        <v>DS. RIAM BUNUT</v>
      </c>
      <c r="O1289" s="16" t="str">
        <f>IFERROR(__xludf.DUMMYFUNCTION("""COMPUTED_VALUE"""),"KEC. SUNGAI LAUR")</f>
        <v>KEC. SUNGAI LAUR</v>
      </c>
      <c r="P1289" s="16" t="str">
        <f>IFERROR(__xludf.DUMMYFUNCTION("""COMPUTED_VALUE"""),"KAB. KETAPANG")</f>
        <v>KAB. KETAPANG</v>
      </c>
      <c r="Q1289" s="16" t="str">
        <f>IFERROR(__xludf.DUMMYFUNCTION("""COMPUTED_VALUE"""),"KALIMANTAN BARAT")</f>
        <v>KALIMANTAN BARAT</v>
      </c>
      <c r="R1289" s="19" t="str">
        <f>IFERROR(__xludf.DUMMYFUNCTION("""COMPUTED_VALUE"""),"KATOLIK")</f>
        <v>KATOLIK</v>
      </c>
      <c r="S1289" s="16" t="str">
        <f>IFERROR(__xludf.DUMMYFUNCTION("""COMPUTED_VALUE"""),"PELAJAR/MAHASISWA")</f>
        <v>PELAJAR/MAHASISWA</v>
      </c>
      <c r="T1289" s="16" t="str">
        <f>IFERROR(__xludf.DUMMYFUNCTION("""COMPUTED_VALUE"""),"Pundak kanan dislocation")</f>
        <v>Pundak kanan dislocation</v>
      </c>
      <c r="U1289" s="16" t="str">
        <f>IFERROR(__xludf.DUMMYFUNCTION("""COMPUTED_VALUE"""),"Bermain Game, Berenang dan Olahraga Lainnya")</f>
        <v>Bermain Game, Berenang dan Olahraga Lainnya</v>
      </c>
      <c r="V1289" s="11" t="str">
        <f>IFERROR(__xludf.DUMMYFUNCTION("""COMPUTED_VALUE"""),"081349699684")</f>
        <v>081349699684</v>
      </c>
      <c r="W1289" s="15"/>
    </row>
    <row r="1290" ht="22.5" customHeight="1">
      <c r="A1290" s="8"/>
      <c r="B1290" s="9">
        <f>IFERROR(__xludf.DUMMYFUNCTION("""COMPUTED_VALUE"""),45409.68592957176)</f>
        <v>45409.68593</v>
      </c>
      <c r="C1290" s="9"/>
      <c r="D1290" s="34">
        <f>IFERROR(__xludf.DUMMYFUNCTION("""COMPUTED_VALUE"""),45412.0)</f>
        <v>45412</v>
      </c>
      <c r="E1290" s="34" t="str">
        <f>IFERROR(__xludf.DUMMYFUNCTION("""COMPUTED_VALUE"""),"04Apr")</f>
        <v>04Apr</v>
      </c>
      <c r="F1290" s="34" t="str">
        <f>IFERROR(__xludf.DUMMYFUNCTION("""COMPUTED_VALUE"""),"2024")</f>
        <v>2024</v>
      </c>
      <c r="G1290" s="16" t="str">
        <f>IFERROR(__xludf.DUMMYFUNCTION("""COMPUTED_VALUE"""),"HERMANUS")</f>
        <v>HERMANUS</v>
      </c>
      <c r="H1290" s="17" t="str">
        <f>IFERROR(__xludf.DUMMYFUNCTION("""COMPUTED_VALUE"""),"H7324049684")</f>
        <v>H7324049684</v>
      </c>
      <c r="I1290" s="17">
        <f>IFERROR(__xludf.DUMMYFUNCTION("""COMPUTED_VALUE"""),53.0)</f>
        <v>53</v>
      </c>
      <c r="J1290" s="17" t="str">
        <f>IFERROR(__xludf.DUMMYFUNCTION("""COMPUTED_VALUE"""),"&gt; 44 tahun")</f>
        <v>&gt; 44 tahun</v>
      </c>
      <c r="K1290" s="19">
        <f>IFERROR(__xludf.DUMMYFUNCTION("""COMPUTED_VALUE"""),26768.0)</f>
        <v>26768</v>
      </c>
      <c r="L1290" s="19" t="str">
        <f>IFERROR(__xludf.DUMMYFUNCTION("""COMPUTED_VALUE"""),"LAKI-LAKI")</f>
        <v>LAKI-LAKI</v>
      </c>
      <c r="M1290" s="35" t="str">
        <f>IFERROR(__xludf.DUMMYFUNCTION("""COMPUTED_VALUE"""),"AUR KUNING")</f>
        <v>AUR KUNING</v>
      </c>
      <c r="N1290" s="16" t="str">
        <f>IFERROR(__xludf.DUMMYFUNCTION("""COMPUTED_VALUE"""),"DS. RIAM BUNUT")</f>
        <v>DS. RIAM BUNUT</v>
      </c>
      <c r="O1290" s="16" t="str">
        <f>IFERROR(__xludf.DUMMYFUNCTION("""COMPUTED_VALUE"""),"KEC. SUNGAI LAUR")</f>
        <v>KEC. SUNGAI LAUR</v>
      </c>
      <c r="P1290" s="16" t="str">
        <f>IFERROR(__xludf.DUMMYFUNCTION("""COMPUTED_VALUE"""),"KAB. KETAPANG")</f>
        <v>KAB. KETAPANG</v>
      </c>
      <c r="Q1290" s="16" t="str">
        <f>IFERROR(__xludf.DUMMYFUNCTION("""COMPUTED_VALUE"""),"KALIMANTAN BARAT")</f>
        <v>KALIMANTAN BARAT</v>
      </c>
      <c r="R1290" s="19" t="str">
        <f>IFERROR(__xludf.DUMMYFUNCTION("""COMPUTED_VALUE"""),"KATOLIK")</f>
        <v>KATOLIK</v>
      </c>
      <c r="S1290" s="16" t="str">
        <f>IFERROR(__xludf.DUMMYFUNCTION("""COMPUTED_VALUE"""),"SWASTA")</f>
        <v>SWASTA</v>
      </c>
      <c r="T1290" s="16" t="str">
        <f>IFERROR(__xludf.DUMMYFUNCTION("""COMPUTED_VALUE"""),"Pinggang sakit")</f>
        <v>Pinggang sakit</v>
      </c>
      <c r="U1290" s="16" t="str">
        <f>IFERROR(__xludf.DUMMYFUNCTION("""COMPUTED_VALUE"""),"Makan")</f>
        <v>Makan</v>
      </c>
      <c r="V1290" s="11" t="str">
        <f>IFERROR(__xludf.DUMMYFUNCTION("""COMPUTED_VALUE"""),"081349699684")</f>
        <v>081349699684</v>
      </c>
      <c r="W1290" s="15"/>
    </row>
    <row r="1291" ht="22.5" customHeight="1">
      <c r="A1291" s="8"/>
      <c r="B1291" s="9">
        <f>IFERROR(__xludf.DUMMYFUNCTION("""COMPUTED_VALUE"""),45407.45569688657)</f>
        <v>45407.4557</v>
      </c>
      <c r="C1291" s="9"/>
      <c r="D1291" s="34">
        <f>IFERROR(__xludf.DUMMYFUNCTION("""COMPUTED_VALUE"""),45412.0)</f>
        <v>45412</v>
      </c>
      <c r="E1291" s="34" t="str">
        <f>IFERROR(__xludf.DUMMYFUNCTION("""COMPUTED_VALUE"""),"04Apr")</f>
        <v>04Apr</v>
      </c>
      <c r="F1291" s="34" t="str">
        <f>IFERROR(__xludf.DUMMYFUNCTION("""COMPUTED_VALUE"""),"2024")</f>
        <v>2024</v>
      </c>
      <c r="G1291" s="16" t="str">
        <f>IFERROR(__xludf.DUMMYFUNCTION("""COMPUTED_VALUE"""),"KATISIA")</f>
        <v>KATISIA</v>
      </c>
      <c r="H1291" s="17" t="str">
        <f>IFERROR(__xludf.DUMMYFUNCTION("""COMPUTED_VALUE"""),"K7524049684")</f>
        <v>K7524049684</v>
      </c>
      <c r="I1291" s="17">
        <f>IFERROR(__xludf.DUMMYFUNCTION("""COMPUTED_VALUE"""),51.0)</f>
        <v>51</v>
      </c>
      <c r="J1291" s="17" t="str">
        <f>IFERROR(__xludf.DUMMYFUNCTION("""COMPUTED_VALUE"""),"&gt; 44 tahun")</f>
        <v>&gt; 44 tahun</v>
      </c>
      <c r="K1291" s="19">
        <f>IFERROR(__xludf.DUMMYFUNCTION("""COMPUTED_VALUE"""),27566.0)</f>
        <v>27566</v>
      </c>
      <c r="L1291" s="19" t="str">
        <f>IFERROR(__xludf.DUMMYFUNCTION("""COMPUTED_VALUE"""),"PEREMPUAN")</f>
        <v>PEREMPUAN</v>
      </c>
      <c r="M1291" s="35" t="str">
        <f>IFERROR(__xludf.DUMMYFUNCTION("""COMPUTED_VALUE"""),"AUR KUNING")</f>
        <v>AUR KUNING</v>
      </c>
      <c r="N1291" s="16" t="str">
        <f>IFERROR(__xludf.DUMMYFUNCTION("""COMPUTED_VALUE"""),"DS. RIAM BUNUT")</f>
        <v>DS. RIAM BUNUT</v>
      </c>
      <c r="O1291" s="16" t="str">
        <f>IFERROR(__xludf.DUMMYFUNCTION("""COMPUTED_VALUE"""),"KEC. SUNGAI LAUR")</f>
        <v>KEC. SUNGAI LAUR</v>
      </c>
      <c r="P1291" s="16" t="str">
        <f>IFERROR(__xludf.DUMMYFUNCTION("""COMPUTED_VALUE"""),"KAB. KETAPANG")</f>
        <v>KAB. KETAPANG</v>
      </c>
      <c r="Q1291" s="16" t="str">
        <f>IFERROR(__xludf.DUMMYFUNCTION("""COMPUTED_VALUE"""),"KALIMANTAN BARAT")</f>
        <v>KALIMANTAN BARAT</v>
      </c>
      <c r="R1291" s="19" t="str">
        <f>IFERROR(__xludf.DUMMYFUNCTION("""COMPUTED_VALUE"""),"KHONGHUCU")</f>
        <v>KHONGHUCU</v>
      </c>
      <c r="S1291" s="16" t="str">
        <f>IFERROR(__xludf.DUMMYFUNCTION("""COMPUTED_VALUE"""),"RUMAH TANGGA")</f>
        <v>RUMAH TANGGA</v>
      </c>
      <c r="T1291" s="16" t="str">
        <f>IFERROR(__xludf.DUMMYFUNCTION("""COMPUTED_VALUE"""),"Pinggang sebelah kanan")</f>
        <v>Pinggang sebelah kanan</v>
      </c>
      <c r="U1291" s="16" t="str">
        <f>IFERROR(__xludf.DUMMYFUNCTION("""COMPUTED_VALUE"""),"Bersih Bersih")</f>
        <v>Bersih Bersih</v>
      </c>
      <c r="V1291" s="11" t="str">
        <f>IFERROR(__xludf.DUMMYFUNCTION("""COMPUTED_VALUE"""),"081349699684")</f>
        <v>081349699684</v>
      </c>
      <c r="W1291" s="15"/>
    </row>
    <row r="1292" ht="22.5" customHeight="1">
      <c r="A1292" s="8"/>
      <c r="B1292" s="9">
        <f>IFERROR(__xludf.DUMMYFUNCTION("""COMPUTED_VALUE"""),45410.40113738426)</f>
        <v>45410.40114</v>
      </c>
      <c r="C1292" s="9"/>
      <c r="D1292" s="34">
        <f>IFERROR(__xludf.DUMMYFUNCTION("""COMPUTED_VALUE"""),45412.0)</f>
        <v>45412</v>
      </c>
      <c r="E1292" s="34" t="str">
        <f>IFERROR(__xludf.DUMMYFUNCTION("""COMPUTED_VALUE"""),"04Apr")</f>
        <v>04Apr</v>
      </c>
      <c r="F1292" s="34" t="str">
        <f>IFERROR(__xludf.DUMMYFUNCTION("""COMPUTED_VALUE"""),"2024")</f>
        <v>2024</v>
      </c>
      <c r="G1292" s="35" t="str">
        <f>IFERROR(__xludf.DUMMYFUNCTION("""COMPUTED_VALUE"""),"PUTRI PRATIWI UTAMI")</f>
        <v>PUTRI PRATIWI UTAMI</v>
      </c>
      <c r="H1292" s="17" t="str">
        <f>IFERROR(__xludf.DUMMYFUNCTION("""COMPUTED_VALUE"""),"P9524042449")</f>
        <v>P9524042449</v>
      </c>
      <c r="I1292" s="17">
        <f>IFERROR(__xludf.DUMMYFUNCTION("""COMPUTED_VALUE"""),30.0)</f>
        <v>30</v>
      </c>
      <c r="J1292" s="17" t="str">
        <f>IFERROR(__xludf.DUMMYFUNCTION("""COMPUTED_VALUE"""),"25-34 tahun")</f>
        <v>25-34 tahun</v>
      </c>
      <c r="K1292" s="19">
        <f>IFERROR(__xludf.DUMMYFUNCTION("""COMPUTED_VALUE"""),34982.0)</f>
        <v>34982</v>
      </c>
      <c r="L1292" s="19" t="str">
        <f>IFERROR(__xludf.DUMMYFUNCTION("""COMPUTED_VALUE"""),"PEREMPUAN")</f>
        <v>PEREMPUAN</v>
      </c>
      <c r="M1292" s="35" t="str">
        <f>IFERROR(__xludf.DUMMYFUNCTION("""COMPUTED_VALUE"""),"JL DR WAHIDIN KOMP BATARA INDAH 1 BLOK Q")</f>
        <v>JL DR WAHIDIN KOMP BATARA INDAH 1 BLOK Q</v>
      </c>
      <c r="N1292" s="16" t="str">
        <f>IFERROR(__xludf.DUMMYFUNCTION("""COMPUTED_VALUE"""),"KEL. SUNGAI JAWI")</f>
        <v>KEL. SUNGAI JAWI</v>
      </c>
      <c r="O1292" s="16" t="str">
        <f>IFERROR(__xludf.DUMMYFUNCTION("""COMPUTED_VALUE"""),"KEC. PONTIANAK KOTA")</f>
        <v>KEC. PONTIANAK KOTA</v>
      </c>
      <c r="P1292" s="16" t="str">
        <f>IFERROR(__xludf.DUMMYFUNCTION("""COMPUTED_VALUE"""),"KOTA PONTIANAK")</f>
        <v>KOTA PONTIANAK</v>
      </c>
      <c r="Q1292" s="16" t="str">
        <f>IFERROR(__xludf.DUMMYFUNCTION("""COMPUTED_VALUE"""),"KALIMANTAN BARAT")</f>
        <v>KALIMANTAN BARAT</v>
      </c>
      <c r="R1292" s="19" t="str">
        <f>IFERROR(__xludf.DUMMYFUNCTION("""COMPUTED_VALUE"""),"ISLAM")</f>
        <v>ISLAM</v>
      </c>
      <c r="S1292" s="16" t="str">
        <f>IFERROR(__xludf.DUMMYFUNCTION("""COMPUTED_VALUE"""),"TIDAK ADA")</f>
        <v>TIDAK ADA</v>
      </c>
      <c r="T1292" s="16" t="str">
        <f>IFERROR(__xludf.DUMMYFUNCTION("""COMPUTED_VALUE"""),"sering terasa sakit")</f>
        <v>sering terasa sakit</v>
      </c>
      <c r="U1292" s="16" t="str">
        <f>IFERROR(__xludf.DUMMYFUNCTION("""COMPUTED_VALUE"""),"-")</f>
        <v>-</v>
      </c>
      <c r="V1292" s="11" t="str">
        <f>IFERROR(__xludf.DUMMYFUNCTION("""COMPUTED_VALUE"""),"081256952449")</f>
        <v>081256952449</v>
      </c>
      <c r="W1292" s="15"/>
    </row>
    <row r="1293" ht="22.5" customHeight="1">
      <c r="A1293" s="8"/>
      <c r="B1293" s="9">
        <f>IFERROR(__xludf.DUMMYFUNCTION("""COMPUTED_VALUE"""),45410.441591469906)</f>
        <v>45410.44159</v>
      </c>
      <c r="C1293" s="9"/>
      <c r="D1293" s="34">
        <f>IFERROR(__xludf.DUMMYFUNCTION("""COMPUTED_VALUE"""),45412.0)</f>
        <v>45412</v>
      </c>
      <c r="E1293" s="34" t="str">
        <f>IFERROR(__xludf.DUMMYFUNCTION("""COMPUTED_VALUE"""),"04Apr")</f>
        <v>04Apr</v>
      </c>
      <c r="F1293" s="34" t="str">
        <f>IFERROR(__xludf.DUMMYFUNCTION("""COMPUTED_VALUE"""),"2024")</f>
        <v>2024</v>
      </c>
      <c r="G1293" s="16" t="str">
        <f>IFERROR(__xludf.DUMMYFUNCTION("""COMPUTED_VALUE"""),"MUHAMMAD RIFKY ARDANTO")</f>
        <v>MUHAMMAD RIFKY ARDANTO</v>
      </c>
      <c r="H1293" s="17" t="str">
        <f>IFERROR(__xludf.DUMMYFUNCTION("""COMPUTED_VALUE"""),"M0424041828")</f>
        <v>M0424041828</v>
      </c>
      <c r="I1293" s="17">
        <f>IFERROR(__xludf.DUMMYFUNCTION("""COMPUTED_VALUE"""),21.0)</f>
        <v>21</v>
      </c>
      <c r="J1293" s="17" t="str">
        <f>IFERROR(__xludf.DUMMYFUNCTION("""COMPUTED_VALUE"""),"18-24 tahun")</f>
        <v>18-24 tahun</v>
      </c>
      <c r="K1293" s="19">
        <f>IFERROR(__xludf.DUMMYFUNCTION("""COMPUTED_VALUE"""),38300.0)</f>
        <v>38300</v>
      </c>
      <c r="L1293" s="19" t="str">
        <f>IFERROR(__xludf.DUMMYFUNCTION("""COMPUTED_VALUE"""),"LAKI-LAKI")</f>
        <v>LAKI-LAKI</v>
      </c>
      <c r="M1293" s="35" t="str">
        <f>IFERROR(__xludf.DUMMYFUNCTION("""COMPUTED_VALUE"""),"JLN SUBARKAH NO.7")</f>
        <v>JLN SUBARKAH NO.7</v>
      </c>
      <c r="N1293" s="16" t="str">
        <f>IFERROR(__xludf.DUMMYFUNCTION("""COMPUTED_VALUE"""),"KEL. AKCAYA")</f>
        <v>KEL. AKCAYA</v>
      </c>
      <c r="O1293" s="16" t="str">
        <f>IFERROR(__xludf.DUMMYFUNCTION("""COMPUTED_VALUE"""),"KEC. PONTIANAK SELATAN")</f>
        <v>KEC. PONTIANAK SELATAN</v>
      </c>
      <c r="P1293" s="16" t="str">
        <f>IFERROR(__xludf.DUMMYFUNCTION("""COMPUTED_VALUE"""),"KOTA PONTIANAK")</f>
        <v>KOTA PONTIANAK</v>
      </c>
      <c r="Q1293" s="16" t="str">
        <f>IFERROR(__xludf.DUMMYFUNCTION("""COMPUTED_VALUE"""),"KALIMANTAN BARAT")</f>
        <v>KALIMANTAN BARAT</v>
      </c>
      <c r="R1293" s="19" t="str">
        <f>IFERROR(__xludf.DUMMYFUNCTION("""COMPUTED_VALUE"""),"ISLAM")</f>
        <v>ISLAM</v>
      </c>
      <c r="S1293" s="16" t="str">
        <f>IFERROR(__xludf.DUMMYFUNCTION("""COMPUTED_VALUE"""),"PELAJAR/MAHASISWA")</f>
        <v>PELAJAR/MAHASISWA</v>
      </c>
      <c r="T1293" s="16" t="str">
        <f>IFERROR(__xludf.DUMMYFUNCTION("""COMPUTED_VALUE"""),"KAKI X")</f>
        <v>KAKI X</v>
      </c>
      <c r="U1293" s="16" t="str">
        <f>IFERROR(__xludf.DUMMYFUNCTION("""COMPUTED_VALUE"""),"LARI")</f>
        <v>LARI</v>
      </c>
      <c r="V1293" s="11" t="str">
        <f>IFERROR(__xludf.DUMMYFUNCTION("""COMPUTED_VALUE"""),"08112821828")</f>
        <v>08112821828</v>
      </c>
      <c r="W1293" s="15"/>
    </row>
    <row r="1294" ht="22.5" customHeight="1">
      <c r="A1294" s="8"/>
      <c r="B1294" s="9">
        <f>IFERROR(__xludf.DUMMYFUNCTION("""COMPUTED_VALUE"""),45410.64093645834)</f>
        <v>45410.64094</v>
      </c>
      <c r="C1294" s="9"/>
      <c r="D1294" s="34">
        <f>IFERROR(__xludf.DUMMYFUNCTION("""COMPUTED_VALUE"""),45412.0)</f>
        <v>45412</v>
      </c>
      <c r="E1294" s="34" t="str">
        <f>IFERROR(__xludf.DUMMYFUNCTION("""COMPUTED_VALUE"""),"04Apr")</f>
        <v>04Apr</v>
      </c>
      <c r="F1294" s="34" t="str">
        <f>IFERROR(__xludf.DUMMYFUNCTION("""COMPUTED_VALUE"""),"2024")</f>
        <v>2024</v>
      </c>
      <c r="G1294" s="16" t="str">
        <f>IFERROR(__xludf.DUMMYFUNCTION("""COMPUTED_VALUE"""),"ANGGUN RACHMAWATI")</f>
        <v>ANGGUN RACHMAWATI</v>
      </c>
      <c r="H1294" s="17" t="str">
        <f>IFERROR(__xludf.DUMMYFUNCTION("""COMPUTED_VALUE"""),"A9124047242")</f>
        <v>A9124047242</v>
      </c>
      <c r="I1294" s="17">
        <f>IFERROR(__xludf.DUMMYFUNCTION("""COMPUTED_VALUE"""),34.0)</f>
        <v>34</v>
      </c>
      <c r="J1294" s="17" t="str">
        <f>IFERROR(__xludf.DUMMYFUNCTION("""COMPUTED_VALUE"""),"25-34 tahun")</f>
        <v>25-34 tahun</v>
      </c>
      <c r="K1294" s="19">
        <f>IFERROR(__xludf.DUMMYFUNCTION("""COMPUTED_VALUE"""),33425.0)</f>
        <v>33425</v>
      </c>
      <c r="L1294" s="19" t="str">
        <f>IFERROR(__xludf.DUMMYFUNCTION("""COMPUTED_VALUE"""),"PEREMPUAN")</f>
        <v>PEREMPUAN</v>
      </c>
      <c r="M1294" s="35" t="str">
        <f>IFERROR(__xludf.DUMMYFUNCTION("""COMPUTED_VALUE"""),"JLN MERANTI GG MERANTI 15 NO 14")</f>
        <v>JLN MERANTI GG MERANTI 15 NO 14</v>
      </c>
      <c r="N1294" s="16" t="str">
        <f>IFERROR(__xludf.DUMMYFUNCTION("""COMPUTED_VALUE"""),"KEL. DARAT SEKIP")</f>
        <v>KEL. DARAT SEKIP</v>
      </c>
      <c r="O1294" s="16" t="str">
        <f>IFERROR(__xludf.DUMMYFUNCTION("""COMPUTED_VALUE"""),"KEC. PONTIANAK KOTA")</f>
        <v>KEC. PONTIANAK KOTA</v>
      </c>
      <c r="P1294" s="16" t="str">
        <f>IFERROR(__xludf.DUMMYFUNCTION("""COMPUTED_VALUE"""),"KOTA PONTIANAK")</f>
        <v>KOTA PONTIANAK</v>
      </c>
      <c r="Q1294" s="16" t="str">
        <f>IFERROR(__xludf.DUMMYFUNCTION("""COMPUTED_VALUE"""),"KALIMANTAN BARAT")</f>
        <v>KALIMANTAN BARAT</v>
      </c>
      <c r="R1294" s="19" t="str">
        <f>IFERROR(__xludf.DUMMYFUNCTION("""COMPUTED_VALUE"""),"ISLAM")</f>
        <v>ISLAM</v>
      </c>
      <c r="S1294" s="16" t="str">
        <f>IFERROR(__xludf.DUMMYFUNCTION("""COMPUTED_VALUE"""),"ARSITEK")</f>
        <v>ARSITEK</v>
      </c>
      <c r="T1294" s="16" t="str">
        <f>IFERROR(__xludf.DUMMYFUNCTION("""COMPUTED_VALUE"""),"Kaki terkilir karena jatuh dari tangga")</f>
        <v>Kaki terkilir karena jatuh dari tangga</v>
      </c>
      <c r="U1294" s="16" t="str">
        <f>IFERROR(__xludf.DUMMYFUNCTION("""COMPUTED_VALUE"""),"Hobi main tennis / Aktivitas Kerja")</f>
        <v>Hobi main tennis / Aktivitas Kerja</v>
      </c>
      <c r="V1294" s="11" t="str">
        <f>IFERROR(__xludf.DUMMYFUNCTION("""COMPUTED_VALUE"""),"082154267242")</f>
        <v>082154267242</v>
      </c>
      <c r="W1294" s="15"/>
    </row>
    <row r="1295" ht="22.5" customHeight="1">
      <c r="A1295" s="8"/>
      <c r="B1295" s="9">
        <f>IFERROR(__xludf.DUMMYFUNCTION("""COMPUTED_VALUE"""),45405.90407472222)</f>
        <v>45405.90407</v>
      </c>
      <c r="C1295" s="9"/>
      <c r="D1295" s="34">
        <f>IFERROR(__xludf.DUMMYFUNCTION("""COMPUTED_VALUE"""),45412.0)</f>
        <v>45412</v>
      </c>
      <c r="E1295" s="34" t="str">
        <f>IFERROR(__xludf.DUMMYFUNCTION("""COMPUTED_VALUE"""),"04Apr")</f>
        <v>04Apr</v>
      </c>
      <c r="F1295" s="34" t="str">
        <f>IFERROR(__xludf.DUMMYFUNCTION("""COMPUTED_VALUE"""),"2024")</f>
        <v>2024</v>
      </c>
      <c r="G1295" s="16" t="str">
        <f>IFERROR(__xludf.DUMMYFUNCTION("""COMPUTED_VALUE"""),"REZA PRASTYA")</f>
        <v>REZA PRASTYA</v>
      </c>
      <c r="H1295" s="17" t="str">
        <f>IFERROR(__xludf.DUMMYFUNCTION("""COMPUTED_VALUE"""),"R9224047774")</f>
        <v>R9224047774</v>
      </c>
      <c r="I1295" s="17">
        <f>IFERROR(__xludf.DUMMYFUNCTION("""COMPUTED_VALUE"""),33.0)</f>
        <v>33</v>
      </c>
      <c r="J1295" s="17" t="str">
        <f>IFERROR(__xludf.DUMMYFUNCTION("""COMPUTED_VALUE"""),"25-34 tahun")</f>
        <v>25-34 tahun</v>
      </c>
      <c r="K1295" s="19">
        <f>IFERROR(__xludf.DUMMYFUNCTION("""COMPUTED_VALUE"""),33778.0)</f>
        <v>33778</v>
      </c>
      <c r="L1295" s="19" t="str">
        <f>IFERROR(__xludf.DUMMYFUNCTION("""COMPUTED_VALUE"""),"LAKI-LAKI")</f>
        <v>LAKI-LAKI</v>
      </c>
      <c r="M1295" s="35" t="str">
        <f>IFERROR(__xludf.DUMMYFUNCTION("""COMPUTED_VALUE"""),"JL. TEBU, KOMP. MITRA UTAMA 3 NO. A27")</f>
        <v>JL. TEBU, KOMP. MITRA UTAMA 3 NO. A27</v>
      </c>
      <c r="N1295" s="16" t="str">
        <f>IFERROR(__xludf.DUMMYFUNCTION("""COMPUTED_VALUE"""),"KEL. SUNGAI BELIUNG")</f>
        <v>KEL. SUNGAI BELIUNG</v>
      </c>
      <c r="O1295" s="16" t="str">
        <f>IFERROR(__xludf.DUMMYFUNCTION("""COMPUTED_VALUE"""),"KEC. PONTIANAK BARAT")</f>
        <v>KEC. PONTIANAK BARAT</v>
      </c>
      <c r="P1295" s="16" t="str">
        <f>IFERROR(__xludf.DUMMYFUNCTION("""COMPUTED_VALUE"""),"KOTA PONTIANAK")</f>
        <v>KOTA PONTIANAK</v>
      </c>
      <c r="Q1295" s="16" t="str">
        <f>IFERROR(__xludf.DUMMYFUNCTION("""COMPUTED_VALUE"""),"KALIMANTAN BARAT")</f>
        <v>KALIMANTAN BARAT</v>
      </c>
      <c r="R1295" s="19" t="str">
        <f>IFERROR(__xludf.DUMMYFUNCTION("""COMPUTED_VALUE"""),"ISLAM")</f>
        <v>ISLAM</v>
      </c>
      <c r="S1295" s="16" t="str">
        <f>IFERROR(__xludf.DUMMYFUNCTION("""COMPUTED_VALUE"""),"SWASTA")</f>
        <v>SWASTA</v>
      </c>
      <c r="T1295" s="16" t="str">
        <f>IFERROR(__xludf.DUMMYFUNCTION("""COMPUTED_VALUE"""),"ACL")</f>
        <v>ACL</v>
      </c>
      <c r="U1295" s="16" t="str">
        <f>IFERROR(__xludf.DUMMYFUNCTION("""COMPUTED_VALUE"""),"Olahraga")</f>
        <v>Olahraga</v>
      </c>
      <c r="V1295" s="11" t="str">
        <f>IFERROR(__xludf.DUMMYFUNCTION("""COMPUTED_VALUE"""),"0811577774")</f>
        <v>0811577774</v>
      </c>
      <c r="W1295" s="15"/>
    </row>
    <row r="1296" ht="22.5" customHeight="1">
      <c r="A1296" s="8"/>
      <c r="B1296" s="9">
        <f>IFERROR(__xludf.DUMMYFUNCTION("""COMPUTED_VALUE"""),45411.391859386575)</f>
        <v>45411.39186</v>
      </c>
      <c r="C1296" s="9"/>
      <c r="D1296" s="34">
        <f>IFERROR(__xludf.DUMMYFUNCTION("""COMPUTED_VALUE"""),45414.0)</f>
        <v>45414</v>
      </c>
      <c r="E1296" s="34" t="str">
        <f>IFERROR(__xludf.DUMMYFUNCTION("""COMPUTED_VALUE"""),"05Mei")</f>
        <v>05Mei</v>
      </c>
      <c r="F1296" s="34" t="str">
        <f>IFERROR(__xludf.DUMMYFUNCTION("""COMPUTED_VALUE"""),"2024")</f>
        <v>2024</v>
      </c>
      <c r="G1296" s="16" t="str">
        <f>IFERROR(__xludf.DUMMYFUNCTION("""COMPUTED_VALUE"""),"MICHAEL 0103")</f>
        <v>MICHAEL 0103</v>
      </c>
      <c r="H1296" s="17" t="str">
        <f>IFERROR(__xludf.DUMMYFUNCTION("""COMPUTED_VALUE"""),"M0124055324")</f>
        <v>M0124055324</v>
      </c>
      <c r="I1296" s="17">
        <f>IFERROR(__xludf.DUMMYFUNCTION("""COMPUTED_VALUE"""),25.0)</f>
        <v>25</v>
      </c>
      <c r="J1296" s="17" t="str">
        <f>IFERROR(__xludf.DUMMYFUNCTION("""COMPUTED_VALUE"""),"25-34 tahun")</f>
        <v>25-34 tahun</v>
      </c>
      <c r="K1296" s="19">
        <f>IFERROR(__xludf.DUMMYFUNCTION("""COMPUTED_VALUE"""),36972.0)</f>
        <v>36972</v>
      </c>
      <c r="L1296" s="19" t="str">
        <f>IFERROR(__xludf.DUMMYFUNCTION("""COMPUTED_VALUE"""),"LAKI-LAKI")</f>
        <v>LAKI-LAKI</v>
      </c>
      <c r="M1296" s="35" t="str">
        <f>IFERROR(__xludf.DUMMYFUNCTION("""COMPUTED_VALUE"""),"JALAN GAJAH MADA 10 NO 48")</f>
        <v>JALAN GAJAH MADA 10 NO 48</v>
      </c>
      <c r="N1296" s="16" t="str">
        <f>IFERROR(__xludf.DUMMYFUNCTION("""COMPUTED_VALUE"""),"KEL. BENUA MELAYU DARAT")</f>
        <v>KEL. BENUA MELAYU DARAT</v>
      </c>
      <c r="O1296" s="16" t="str">
        <f>IFERROR(__xludf.DUMMYFUNCTION("""COMPUTED_VALUE"""),"KEC. PONTIANAK SELATAN")</f>
        <v>KEC. PONTIANAK SELATAN</v>
      </c>
      <c r="P1296" s="16" t="str">
        <f>IFERROR(__xludf.DUMMYFUNCTION("""COMPUTED_VALUE"""),"KOTA PONTIANAK")</f>
        <v>KOTA PONTIANAK</v>
      </c>
      <c r="Q1296" s="16" t="str">
        <f>IFERROR(__xludf.DUMMYFUNCTION("""COMPUTED_VALUE"""),"KALIMANTAN BARAT")</f>
        <v>KALIMANTAN BARAT</v>
      </c>
      <c r="R1296" s="19" t="str">
        <f>IFERROR(__xludf.DUMMYFUNCTION("""COMPUTED_VALUE"""),"LAINNYA")</f>
        <v>LAINNYA</v>
      </c>
      <c r="S1296" s="16" t="str">
        <f>IFERROR(__xludf.DUMMYFUNCTION("""COMPUTED_VALUE"""),"SWASTA")</f>
        <v>SWASTA</v>
      </c>
      <c r="T1296" s="16" t="str">
        <f>IFERROR(__xludf.DUMMYFUNCTION("""COMPUTED_VALUE"""),"nyeri pada bagian")</f>
        <v>nyeri pada bagian</v>
      </c>
      <c r="U1296" s="16" t="str">
        <f>IFERROR(__xludf.DUMMYFUNCTION("""COMPUTED_VALUE"""),"Kerja")</f>
        <v>Kerja</v>
      </c>
      <c r="V1296" s="11" t="str">
        <f>IFERROR(__xludf.DUMMYFUNCTION("""COMPUTED_VALUE"""),"081241435324")</f>
        <v>081241435324</v>
      </c>
      <c r="W1296" s="15"/>
    </row>
    <row r="1297" ht="22.5" customHeight="1">
      <c r="A1297" s="8"/>
      <c r="B1297" s="9">
        <f>IFERROR(__xludf.DUMMYFUNCTION("""COMPUTED_VALUE"""),45411.54195584491)</f>
        <v>45411.54196</v>
      </c>
      <c r="C1297" s="9"/>
      <c r="D1297" s="34">
        <f>IFERROR(__xludf.DUMMYFUNCTION("""COMPUTED_VALUE"""),45414.0)</f>
        <v>45414</v>
      </c>
      <c r="E1297" s="34" t="str">
        <f>IFERROR(__xludf.DUMMYFUNCTION("""COMPUTED_VALUE"""),"05Mei")</f>
        <v>05Mei</v>
      </c>
      <c r="F1297" s="34" t="str">
        <f>IFERROR(__xludf.DUMMYFUNCTION("""COMPUTED_VALUE"""),"2024")</f>
        <v>2024</v>
      </c>
      <c r="G1297" s="16" t="str">
        <f>IFERROR(__xludf.DUMMYFUNCTION("""COMPUTED_VALUE"""),"ZULFAHMI EKI FINALDA")</f>
        <v>ZULFAHMI EKI FINALDA</v>
      </c>
      <c r="H1297" s="17" t="str">
        <f>IFERROR(__xludf.DUMMYFUNCTION("""COMPUTED_VALUE"""),"Z9524058455")</f>
        <v>Z9524058455</v>
      </c>
      <c r="I1297" s="17">
        <f>IFERROR(__xludf.DUMMYFUNCTION("""COMPUTED_VALUE"""),31.0)</f>
        <v>31</v>
      </c>
      <c r="J1297" s="17" t="str">
        <f>IFERROR(__xludf.DUMMYFUNCTION("""COMPUTED_VALUE"""),"25-34 tahun")</f>
        <v>25-34 tahun</v>
      </c>
      <c r="K1297" s="19">
        <f>IFERROR(__xludf.DUMMYFUNCTION("""COMPUTED_VALUE"""),34766.0)</f>
        <v>34766</v>
      </c>
      <c r="L1297" s="19" t="str">
        <f>IFERROR(__xludf.DUMMYFUNCTION("""COMPUTED_VALUE"""),"LAKI-LAKI")</f>
        <v>LAKI-LAKI</v>
      </c>
      <c r="M1297" s="35" t="str">
        <f>IFERROR(__xludf.DUMMYFUNCTION("""COMPUTED_VALUE"""),"JL. DRS. HAMZAH II")</f>
        <v>JL. DRS. HAMZAH II</v>
      </c>
      <c r="N1297" s="16" t="str">
        <f>IFERROR(__xludf.DUMMYFUNCTION("""COMPUTED_VALUE"""),"DS. TELUK PAKEDAI HULU")</f>
        <v>DS. TELUK PAKEDAI HULU</v>
      </c>
      <c r="O1297" s="16" t="str">
        <f>IFERROR(__xludf.DUMMYFUNCTION("""COMPUTED_VALUE"""),"KEC. TELUK PAKEDAI")</f>
        <v>KEC. TELUK PAKEDAI</v>
      </c>
      <c r="P1297" s="16" t="str">
        <f>IFERROR(__xludf.DUMMYFUNCTION("""COMPUTED_VALUE"""),"KAB. KUBU RAYA")</f>
        <v>KAB. KUBU RAYA</v>
      </c>
      <c r="Q1297" s="16" t="str">
        <f>IFERROR(__xludf.DUMMYFUNCTION("""COMPUTED_VALUE"""),"KALIMANTAN BARAT")</f>
        <v>KALIMANTAN BARAT</v>
      </c>
      <c r="R1297" s="19" t="str">
        <f>IFERROR(__xludf.DUMMYFUNCTION("""COMPUTED_VALUE"""),"ISLAM")</f>
        <v>ISLAM</v>
      </c>
      <c r="S1297" s="16" t="str">
        <f>IFERROR(__xludf.DUMMYFUNCTION("""COMPUTED_VALUE"""),"WIRASWASTA")</f>
        <v>WIRASWASTA</v>
      </c>
      <c r="T1297" s="16" t="str">
        <f>IFERROR(__xludf.DUMMYFUNCTION("""COMPUTED_VALUE"""),"Selisih")</f>
        <v>Selisih</v>
      </c>
      <c r="U1297" s="16" t="str">
        <f>IFERROR(__xludf.DUMMYFUNCTION("""COMPUTED_VALUE"""),"Olahraga")</f>
        <v>Olahraga</v>
      </c>
      <c r="V1297" s="11" t="str">
        <f>IFERROR(__xludf.DUMMYFUNCTION("""COMPUTED_VALUE"""),"08980008455")</f>
        <v>08980008455</v>
      </c>
      <c r="W1297" s="15"/>
    </row>
    <row r="1298" ht="22.5" customHeight="1">
      <c r="A1298" s="8"/>
      <c r="B1298" s="9">
        <f>IFERROR(__xludf.DUMMYFUNCTION("""COMPUTED_VALUE"""),45411.68134947917)</f>
        <v>45411.68135</v>
      </c>
      <c r="C1298" s="9"/>
      <c r="D1298" s="34">
        <f>IFERROR(__xludf.DUMMYFUNCTION("""COMPUTED_VALUE"""),45415.0)</f>
        <v>45415</v>
      </c>
      <c r="E1298" s="34" t="str">
        <f>IFERROR(__xludf.DUMMYFUNCTION("""COMPUTED_VALUE"""),"05Mei")</f>
        <v>05Mei</v>
      </c>
      <c r="F1298" s="34" t="str">
        <f>IFERROR(__xludf.DUMMYFUNCTION("""COMPUTED_VALUE"""),"2024")</f>
        <v>2024</v>
      </c>
      <c r="G1298" s="16" t="str">
        <f>IFERROR(__xludf.DUMMYFUNCTION("""COMPUTED_VALUE"""),"MAULANA OKTAVIAN PRADANA")</f>
        <v>MAULANA OKTAVIAN PRADANA</v>
      </c>
      <c r="H1298" s="17" t="str">
        <f>IFERROR(__xludf.DUMMYFUNCTION("""COMPUTED_VALUE"""),"M9024054025")</f>
        <v>M9024054025</v>
      </c>
      <c r="I1298" s="17">
        <f>IFERROR(__xludf.DUMMYFUNCTION("""COMPUTED_VALUE"""),35.0)</f>
        <v>35</v>
      </c>
      <c r="J1298" s="17" t="str">
        <f>IFERROR(__xludf.DUMMYFUNCTION("""COMPUTED_VALUE"""),"35-44 tahun")</f>
        <v>35-44 tahun</v>
      </c>
      <c r="K1298" s="19">
        <f>IFERROR(__xludf.DUMMYFUNCTION("""COMPUTED_VALUE"""),33162.0)</f>
        <v>33162</v>
      </c>
      <c r="L1298" s="19" t="str">
        <f>IFERROR(__xludf.DUMMYFUNCTION("""COMPUTED_VALUE"""),"LAKI-LAKI")</f>
        <v>LAKI-LAKI</v>
      </c>
      <c r="M1298" s="35" t="str">
        <f>IFERROR(__xludf.DUMMYFUNCTION("""COMPUTED_VALUE"""),"JALAN TABRANI ACHMAD KOMP MANDAU PERMAI BLOK J NO 14")</f>
        <v>JALAN TABRANI ACHMAD KOMP MANDAU PERMAI BLOK J NO 14</v>
      </c>
      <c r="N1298" s="16" t="str">
        <f>IFERROR(__xludf.DUMMYFUNCTION("""COMPUTED_VALUE"""),"KEL. SUNGAI JAWI DALAM")</f>
        <v>KEL. SUNGAI JAWI DALAM</v>
      </c>
      <c r="O1298" s="16" t="str">
        <f>IFERROR(__xludf.DUMMYFUNCTION("""COMPUTED_VALUE"""),"KEC. PONTIANAK BARAT")</f>
        <v>KEC. PONTIANAK BARAT</v>
      </c>
      <c r="P1298" s="16" t="str">
        <f>IFERROR(__xludf.DUMMYFUNCTION("""COMPUTED_VALUE"""),"KOTA PONTIANAK")</f>
        <v>KOTA PONTIANAK</v>
      </c>
      <c r="Q1298" s="16" t="str">
        <f>IFERROR(__xludf.DUMMYFUNCTION("""COMPUTED_VALUE"""),"KALIMANTAN BARAT")</f>
        <v>KALIMANTAN BARAT</v>
      </c>
      <c r="R1298" s="19" t="str">
        <f>IFERROR(__xludf.DUMMYFUNCTION("""COMPUTED_VALUE"""),"ISLAM")</f>
        <v>ISLAM</v>
      </c>
      <c r="S1298" s="16" t="str">
        <f>IFERROR(__xludf.DUMMYFUNCTION("""COMPUTED_VALUE"""),"ASN")</f>
        <v>ASN</v>
      </c>
      <c r="T1298" s="16" t="str">
        <f>IFERROR(__xludf.DUMMYFUNCTION("""COMPUTED_VALUE"""),"Cidera dan sakit punggung")</f>
        <v>Cidera dan sakit punggung</v>
      </c>
      <c r="U1298" s="16" t="str">
        <f>IFERROR(__xludf.DUMMYFUNCTION("""COMPUTED_VALUE"""),"Lari, Sepeda, Bola, Badminton, Voli, Tenis Meja")</f>
        <v>Lari, Sepeda, Bola, Badminton, Voli, Tenis Meja</v>
      </c>
      <c r="V1298" s="11" t="str">
        <f>IFERROR(__xludf.DUMMYFUNCTION("""COMPUTED_VALUE"""),"085245884025")</f>
        <v>085245884025</v>
      </c>
      <c r="W1298" s="15"/>
    </row>
    <row r="1299" ht="22.5" customHeight="1">
      <c r="A1299" s="8"/>
      <c r="B1299" s="9">
        <f>IFERROR(__xludf.DUMMYFUNCTION("""COMPUTED_VALUE"""),45411.68327164352)</f>
        <v>45411.68327</v>
      </c>
      <c r="C1299" s="9"/>
      <c r="D1299" s="34">
        <f>IFERROR(__xludf.DUMMYFUNCTION("""COMPUTED_VALUE"""),45415.0)</f>
        <v>45415</v>
      </c>
      <c r="E1299" s="34" t="str">
        <f>IFERROR(__xludf.DUMMYFUNCTION("""COMPUTED_VALUE"""),"05Mei")</f>
        <v>05Mei</v>
      </c>
      <c r="F1299" s="34" t="str">
        <f>IFERROR(__xludf.DUMMYFUNCTION("""COMPUTED_VALUE"""),"2024")</f>
        <v>2024</v>
      </c>
      <c r="G1299" s="35" t="str">
        <f>IFERROR(__xludf.DUMMYFUNCTION("""COMPUTED_VALUE"""),"JOKO SLAMET PRIYANTO")</f>
        <v>JOKO SLAMET PRIYANTO</v>
      </c>
      <c r="H1299" s="17" t="str">
        <f>IFERROR(__xludf.DUMMYFUNCTION("""COMPUTED_VALUE"""),"J9024059211")</f>
        <v>J9024059211</v>
      </c>
      <c r="I1299" s="17">
        <f>IFERROR(__xludf.DUMMYFUNCTION("""COMPUTED_VALUE"""),36.0)</f>
        <v>36</v>
      </c>
      <c r="J1299" s="17" t="str">
        <f>IFERROR(__xludf.DUMMYFUNCTION("""COMPUTED_VALUE"""),"35-44 tahun")</f>
        <v>35-44 tahun</v>
      </c>
      <c r="K1299" s="19">
        <f>IFERROR(__xludf.DUMMYFUNCTION("""COMPUTED_VALUE"""),32908.0)</f>
        <v>32908</v>
      </c>
      <c r="L1299" s="19" t="str">
        <f>IFERROR(__xludf.DUMMYFUNCTION("""COMPUTED_VALUE"""),"LAKI-LAKI")</f>
        <v>LAKI-LAKI</v>
      </c>
      <c r="M1299" s="35" t="str">
        <f>IFERROR(__xludf.DUMMYFUNCTION("""COMPUTED_VALUE"""),"DUSUN SIDOMULYO RT002 RW015")</f>
        <v>DUSUN SIDOMULYO RT002 RW015</v>
      </c>
      <c r="N1299" s="16" t="str">
        <f>IFERROR(__xludf.DUMMYFUNCTION("""COMPUTED_VALUE"""),"DS. LIMBUNG")</f>
        <v>DS. LIMBUNG</v>
      </c>
      <c r="O1299" s="16" t="str">
        <f>IFERROR(__xludf.DUMMYFUNCTION("""COMPUTED_VALUE"""),"KEC. SUNGAI RAYA")</f>
        <v>KEC. SUNGAI RAYA</v>
      </c>
      <c r="P1299" s="16" t="str">
        <f>IFERROR(__xludf.DUMMYFUNCTION("""COMPUTED_VALUE"""),"KAB. KUBU RAYA")</f>
        <v>KAB. KUBU RAYA</v>
      </c>
      <c r="Q1299" s="16" t="str">
        <f>IFERROR(__xludf.DUMMYFUNCTION("""COMPUTED_VALUE"""),"KALIMANTAN BARAT")</f>
        <v>KALIMANTAN BARAT</v>
      </c>
      <c r="R1299" s="19" t="str">
        <f>IFERROR(__xludf.DUMMYFUNCTION("""COMPUTED_VALUE"""),"ISLAM")</f>
        <v>ISLAM</v>
      </c>
      <c r="S1299" s="16" t="str">
        <f>IFERROR(__xludf.DUMMYFUNCTION("""COMPUTED_VALUE"""),"SWASTA")</f>
        <v>SWASTA</v>
      </c>
      <c r="T1299" s="16" t="str">
        <f>IFERROR(__xludf.DUMMYFUNCTION("""COMPUTED_VALUE"""),"SAKIT PINGGANG")</f>
        <v>SAKIT PINGGANG</v>
      </c>
      <c r="U1299" s="16" t="str">
        <f>IFERROR(__xludf.DUMMYFUNCTION("""COMPUTED_VALUE"""),"TENIS MEJA")</f>
        <v>TENIS MEJA</v>
      </c>
      <c r="V1299" s="11" t="str">
        <f>IFERROR(__xludf.DUMMYFUNCTION("""COMPUTED_VALUE"""),"085753239211")</f>
        <v>085753239211</v>
      </c>
      <c r="W1299" s="15"/>
    </row>
    <row r="1300" ht="22.5" customHeight="1">
      <c r="A1300" s="8"/>
      <c r="B1300" s="9">
        <f>IFERROR(__xludf.DUMMYFUNCTION("""COMPUTED_VALUE"""),45411.711198125)</f>
        <v>45411.7112</v>
      </c>
      <c r="C1300" s="9"/>
      <c r="D1300" s="34">
        <f>IFERROR(__xludf.DUMMYFUNCTION("""COMPUTED_VALUE"""),45415.0)</f>
        <v>45415</v>
      </c>
      <c r="E1300" s="34" t="str">
        <f>IFERROR(__xludf.DUMMYFUNCTION("""COMPUTED_VALUE"""),"05Mei")</f>
        <v>05Mei</v>
      </c>
      <c r="F1300" s="34" t="str">
        <f>IFERROR(__xludf.DUMMYFUNCTION("""COMPUTED_VALUE"""),"2024")</f>
        <v>2024</v>
      </c>
      <c r="G1300" s="35" t="str">
        <f>IFERROR(__xludf.DUMMYFUNCTION("""COMPUTED_VALUE"""),"BATISTUTA YUSLYADI")</f>
        <v>BATISTUTA YUSLYADI</v>
      </c>
      <c r="H1300" s="17" t="str">
        <f>IFERROR(__xludf.DUMMYFUNCTION("""COMPUTED_VALUE"""),"B9924053678")</f>
        <v>B9924053678</v>
      </c>
      <c r="I1300" s="17">
        <f>IFERROR(__xludf.DUMMYFUNCTION("""COMPUTED_VALUE"""),27.0)</f>
        <v>27</v>
      </c>
      <c r="J1300" s="17" t="str">
        <f>IFERROR(__xludf.DUMMYFUNCTION("""COMPUTED_VALUE"""),"25-34 tahun")</f>
        <v>25-34 tahun</v>
      </c>
      <c r="K1300" s="19">
        <f>IFERROR(__xludf.DUMMYFUNCTION("""COMPUTED_VALUE"""),36304.0)</f>
        <v>36304</v>
      </c>
      <c r="L1300" s="19" t="str">
        <f>IFERROR(__xludf.DUMMYFUNCTION("""COMPUTED_VALUE"""),"LAKI-LAKI")</f>
        <v>LAKI-LAKI</v>
      </c>
      <c r="M1300" s="35" t="str">
        <f>IFERROR(__xludf.DUMMYFUNCTION("""COMPUTED_VALUE"""),"ASPOL HONGGO PRANOTO GG BRATA 1")</f>
        <v>ASPOL HONGGO PRANOTO GG BRATA 1</v>
      </c>
      <c r="N1300" s="16" t="str">
        <f>IFERROR(__xludf.DUMMYFUNCTION("""COMPUTED_VALUE"""),"KEL. SUNGAI BANGKONG")</f>
        <v>KEL. SUNGAI BANGKONG</v>
      </c>
      <c r="O1300" s="16" t="str">
        <f>IFERROR(__xludf.DUMMYFUNCTION("""COMPUTED_VALUE"""),"KEC. PONTIANAK KOTA")</f>
        <v>KEC. PONTIANAK KOTA</v>
      </c>
      <c r="P1300" s="16" t="str">
        <f>IFERROR(__xludf.DUMMYFUNCTION("""COMPUTED_VALUE"""),"KOTA PONTIANAK")</f>
        <v>KOTA PONTIANAK</v>
      </c>
      <c r="Q1300" s="16" t="str">
        <f>IFERROR(__xludf.DUMMYFUNCTION("""COMPUTED_VALUE"""),"KALIMANTAN BARAT")</f>
        <v>KALIMANTAN BARAT</v>
      </c>
      <c r="R1300" s="19" t="str">
        <f>IFERROR(__xludf.DUMMYFUNCTION("""COMPUTED_VALUE"""),"ISLAM")</f>
        <v>ISLAM</v>
      </c>
      <c r="S1300" s="16" t="str">
        <f>IFERROR(__xludf.DUMMYFUNCTION("""COMPUTED_VALUE"""),"PELAJAR/MAHASISWA")</f>
        <v>PELAJAR/MAHASISWA</v>
      </c>
      <c r="T1300" s="16" t="str">
        <f>IFERROR(__xludf.DUMMYFUNCTION("""COMPUTED_VALUE"""),"Cidera")</f>
        <v>Cidera</v>
      </c>
      <c r="U1300" s="16" t="str">
        <f>IFERROR(__xludf.DUMMYFUNCTION("""COMPUTED_VALUE"""),"Olahraga")</f>
        <v>Olahraga</v>
      </c>
      <c r="V1300" s="11" t="str">
        <f>IFERROR(__xludf.DUMMYFUNCTION("""COMPUTED_VALUE"""),"082255353678")</f>
        <v>082255353678</v>
      </c>
      <c r="W1300" s="15"/>
    </row>
    <row r="1301" ht="22.5" customHeight="1">
      <c r="A1301" s="8"/>
      <c r="B1301" s="9">
        <f>IFERROR(__xludf.DUMMYFUNCTION("""COMPUTED_VALUE"""),45411.76698201388)</f>
        <v>45411.76698</v>
      </c>
      <c r="C1301" s="9"/>
      <c r="D1301" s="34">
        <f>IFERROR(__xludf.DUMMYFUNCTION("""COMPUTED_VALUE"""),45416.0)</f>
        <v>45416</v>
      </c>
      <c r="E1301" s="34" t="str">
        <f>IFERROR(__xludf.DUMMYFUNCTION("""COMPUTED_VALUE"""),"05Mei")</f>
        <v>05Mei</v>
      </c>
      <c r="F1301" s="34" t="str">
        <f>IFERROR(__xludf.DUMMYFUNCTION("""COMPUTED_VALUE"""),"2024")</f>
        <v>2024</v>
      </c>
      <c r="G1301" s="16" t="str">
        <f>IFERROR(__xludf.DUMMYFUNCTION("""COMPUTED_VALUE"""),"STEPHAN SUSANTO")</f>
        <v>STEPHAN SUSANTO</v>
      </c>
      <c r="H1301" s="17" t="str">
        <f>IFERROR(__xludf.DUMMYFUNCTION("""COMPUTED_VALUE"""),"S9224059787")</f>
        <v>S9224059787</v>
      </c>
      <c r="I1301" s="17">
        <f>IFERROR(__xludf.DUMMYFUNCTION("""COMPUTED_VALUE"""),33.0)</f>
        <v>33</v>
      </c>
      <c r="J1301" s="17" t="str">
        <f>IFERROR(__xludf.DUMMYFUNCTION("""COMPUTED_VALUE"""),"25-34 tahun")</f>
        <v>25-34 tahun</v>
      </c>
      <c r="K1301" s="19">
        <f>IFERROR(__xludf.DUMMYFUNCTION("""COMPUTED_VALUE"""),33867.0)</f>
        <v>33867</v>
      </c>
      <c r="L1301" s="19" t="str">
        <f>IFERROR(__xludf.DUMMYFUNCTION("""COMPUTED_VALUE"""),"LAKI-LAKI")</f>
        <v>LAKI-LAKI</v>
      </c>
      <c r="M1301" s="35" t="str">
        <f>IFERROR(__xludf.DUMMYFUNCTION("""COMPUTED_VALUE"""),"JLN PURNAMA KOMP PURNAMA AGUNG 2 NO H1")</f>
        <v>JLN PURNAMA KOMP PURNAMA AGUNG 2 NO H1</v>
      </c>
      <c r="N1301" s="16" t="str">
        <f>IFERROR(__xludf.DUMMYFUNCTION("""COMPUTED_VALUE"""),"KEL. PARIT TOKAYA")</f>
        <v>KEL. PARIT TOKAYA</v>
      </c>
      <c r="O1301" s="16" t="str">
        <f>IFERROR(__xludf.DUMMYFUNCTION("""COMPUTED_VALUE"""),"KEC. PONTIANAK SELATAN")</f>
        <v>KEC. PONTIANAK SELATAN</v>
      </c>
      <c r="P1301" s="16" t="str">
        <f>IFERROR(__xludf.DUMMYFUNCTION("""COMPUTED_VALUE"""),"KOTA PONTIANAK")</f>
        <v>KOTA PONTIANAK</v>
      </c>
      <c r="Q1301" s="16" t="str">
        <f>IFERROR(__xludf.DUMMYFUNCTION("""COMPUTED_VALUE"""),"KALIMANTAN BARAT")</f>
        <v>KALIMANTAN BARAT</v>
      </c>
      <c r="R1301" s="19" t="str">
        <f>IFERROR(__xludf.DUMMYFUNCTION("""COMPUTED_VALUE"""),"KATOLIK")</f>
        <v>KATOLIK</v>
      </c>
      <c r="S1301" s="16" t="str">
        <f>IFERROR(__xludf.DUMMYFUNCTION("""COMPUTED_VALUE"""),"SWASTA")</f>
        <v>SWASTA</v>
      </c>
      <c r="T1301" s="16" t="str">
        <f>IFERROR(__xludf.DUMMYFUNCTION("""COMPUTED_VALUE"""),"PERGELANGAN TANGAN SAKIT")</f>
        <v>PERGELANGAN TANGAN SAKIT</v>
      </c>
      <c r="U1301" s="16" t="str">
        <f>IFERROR(__xludf.DUMMYFUNCTION("""COMPUTED_VALUE"""),"BADMINTON")</f>
        <v>BADMINTON</v>
      </c>
      <c r="V1301" s="11" t="str">
        <f>IFERROR(__xludf.DUMMYFUNCTION("""COMPUTED_VALUE"""),"08115789787")</f>
        <v>08115789787</v>
      </c>
      <c r="W1301" s="15"/>
    </row>
    <row r="1302" ht="22.5" customHeight="1">
      <c r="A1302" s="8"/>
      <c r="B1302" s="9">
        <f>IFERROR(__xludf.DUMMYFUNCTION("""COMPUTED_VALUE"""),45411.68760034722)</f>
        <v>45411.6876</v>
      </c>
      <c r="C1302" s="9"/>
      <c r="D1302" s="34">
        <f>IFERROR(__xludf.DUMMYFUNCTION("""COMPUTED_VALUE"""),45416.0)</f>
        <v>45416</v>
      </c>
      <c r="E1302" s="34" t="str">
        <f>IFERROR(__xludf.DUMMYFUNCTION("""COMPUTED_VALUE"""),"05Mei")</f>
        <v>05Mei</v>
      </c>
      <c r="F1302" s="34" t="str">
        <f>IFERROR(__xludf.DUMMYFUNCTION("""COMPUTED_VALUE"""),"2024")</f>
        <v>2024</v>
      </c>
      <c r="G1302" s="35" t="str">
        <f>IFERROR(__xludf.DUMMYFUNCTION("""COMPUTED_VALUE"""),"ALBERTUS WENDY")</f>
        <v>ALBERTUS WENDY</v>
      </c>
      <c r="H1302" s="17" t="str">
        <f>IFERROR(__xludf.DUMMYFUNCTION("""COMPUTED_VALUE"""),"A042405\")</f>
        <v>A042405\</v>
      </c>
      <c r="I1302" s="17">
        <f>IFERROR(__xludf.DUMMYFUNCTION("""COMPUTED_VALUE"""),21.0)</f>
        <v>21</v>
      </c>
      <c r="J1302" s="17" t="str">
        <f>IFERROR(__xludf.DUMMYFUNCTION("""COMPUTED_VALUE"""),"18-24 tahun")</f>
        <v>18-24 tahun</v>
      </c>
      <c r="K1302" s="19">
        <f>IFERROR(__xludf.DUMMYFUNCTION("""COMPUTED_VALUE"""),38306.0)</f>
        <v>38306</v>
      </c>
      <c r="L1302" s="19" t="str">
        <f>IFERROR(__xludf.DUMMYFUNCTION("""COMPUTED_VALUE"""),"LAKI-LAKI")</f>
        <v>LAKI-LAKI</v>
      </c>
      <c r="M1302" s="35" t="str">
        <f>IFERROR(__xludf.DUMMYFUNCTION("""COMPUTED_VALUE"""),"BATU LAUT")</f>
        <v>BATU LAUT</v>
      </c>
      <c r="N1302" s="16" t="str">
        <f>IFERROR(__xludf.DUMMYFUNCTION("""COMPUTED_VALUE"""),"DS. KUALA ROSAN")</f>
        <v>DS. KUALA ROSAN</v>
      </c>
      <c r="O1302" s="16" t="str">
        <f>IFERROR(__xludf.DUMMYFUNCTION("""COMPUTED_VALUE"""),"KEC. MELIAU")</f>
        <v>KEC. MELIAU</v>
      </c>
      <c r="P1302" s="16" t="str">
        <f>IFERROR(__xludf.DUMMYFUNCTION("""COMPUTED_VALUE"""),"KAB. SANGGAU")</f>
        <v>KAB. SANGGAU</v>
      </c>
      <c r="Q1302" s="16" t="str">
        <f>IFERROR(__xludf.DUMMYFUNCTION("""COMPUTED_VALUE"""),"KALIMANTAN BARAT")</f>
        <v>KALIMANTAN BARAT</v>
      </c>
      <c r="R1302" s="19" t="str">
        <f>IFERROR(__xludf.DUMMYFUNCTION("""COMPUTED_VALUE"""),"KATOLIK")</f>
        <v>KATOLIK</v>
      </c>
      <c r="S1302" s="16" t="str">
        <f>IFERROR(__xludf.DUMMYFUNCTION("""COMPUTED_VALUE"""),"PELAJAR/MAHASISWA")</f>
        <v>PELAJAR/MAHASISWA</v>
      </c>
      <c r="T1302" s="16" t="str">
        <f>IFERROR(__xludf.DUMMYFUNCTION("""COMPUTED_VALUE"""),"Sakit")</f>
        <v>Sakit</v>
      </c>
      <c r="U1302" s="16" t="str">
        <f>IFERROR(__xludf.DUMMYFUNCTION("""COMPUTED_VALUE"""),"Sepak bola")</f>
        <v>Sepak bola</v>
      </c>
      <c r="V1302" s="11" t="str">
        <f>IFERROR(__xludf.DUMMYFUNCTION("""COMPUTED_VALUE"""),"\")</f>
        <v>\</v>
      </c>
      <c r="W1302" s="15"/>
    </row>
    <row r="1303" ht="22.5" customHeight="1">
      <c r="A1303" s="8"/>
      <c r="B1303" s="9">
        <f>IFERROR(__xludf.DUMMYFUNCTION("""COMPUTED_VALUE"""),45412.479504664356)</f>
        <v>45412.4795</v>
      </c>
      <c r="C1303" s="9"/>
      <c r="D1303" s="34">
        <f>IFERROR(__xludf.DUMMYFUNCTION("""COMPUTED_VALUE"""),45416.0)</f>
        <v>45416</v>
      </c>
      <c r="E1303" s="34" t="str">
        <f>IFERROR(__xludf.DUMMYFUNCTION("""COMPUTED_VALUE"""),"05Mei")</f>
        <v>05Mei</v>
      </c>
      <c r="F1303" s="34" t="str">
        <f>IFERROR(__xludf.DUMMYFUNCTION("""COMPUTED_VALUE"""),"2024")</f>
        <v>2024</v>
      </c>
      <c r="G1303" s="35" t="str">
        <f>IFERROR(__xludf.DUMMYFUNCTION("""COMPUTED_VALUE"""),"EKO NUGROHO PUTRANTONO")</f>
        <v>EKO NUGROHO PUTRANTONO</v>
      </c>
      <c r="H1303" s="17" t="str">
        <f>IFERROR(__xludf.DUMMYFUNCTION("""COMPUTED_VALUE"""),"E9424050360")</f>
        <v>E9424050360</v>
      </c>
      <c r="I1303" s="17">
        <f>IFERROR(__xludf.DUMMYFUNCTION("""COMPUTED_VALUE"""),31.0)</f>
        <v>31</v>
      </c>
      <c r="J1303" s="17" t="str">
        <f>IFERROR(__xludf.DUMMYFUNCTION("""COMPUTED_VALUE"""),"25-34 tahun")</f>
        <v>25-34 tahun</v>
      </c>
      <c r="K1303" s="19">
        <f>IFERROR(__xludf.DUMMYFUNCTION("""COMPUTED_VALUE"""),34639.0)</f>
        <v>34639</v>
      </c>
      <c r="L1303" s="19" t="str">
        <f>IFERROR(__xludf.DUMMYFUNCTION("""COMPUTED_VALUE"""),"LAKI-LAKI")</f>
        <v>LAKI-LAKI</v>
      </c>
      <c r="M1303" s="35" t="str">
        <f>IFERROR(__xludf.DUMMYFUNCTION("""COMPUTED_VALUE"""),"JL. SEI RAYA DALAM. KOMP. PONDOK AGUNG UTAMA G6")</f>
        <v>JL. SEI RAYA DALAM. KOMP. PONDOK AGUNG UTAMA G6</v>
      </c>
      <c r="N1303" s="16" t="str">
        <f>IFERROR(__xludf.DUMMYFUNCTION("""COMPUTED_VALUE"""),"KEL. BANGKA BELITUNG DARAT")</f>
        <v>KEL. BANGKA BELITUNG DARAT</v>
      </c>
      <c r="O1303" s="16" t="str">
        <f>IFERROR(__xludf.DUMMYFUNCTION("""COMPUTED_VALUE"""),"KEC. PONTIANAK TENGGARA")</f>
        <v>KEC. PONTIANAK TENGGARA</v>
      </c>
      <c r="P1303" s="16" t="str">
        <f>IFERROR(__xludf.DUMMYFUNCTION("""COMPUTED_VALUE"""),"KOTA PONTIANAK")</f>
        <v>KOTA PONTIANAK</v>
      </c>
      <c r="Q1303" s="16" t="str">
        <f>IFERROR(__xludf.DUMMYFUNCTION("""COMPUTED_VALUE"""),"KALIMANTAN BARAT")</f>
        <v>KALIMANTAN BARAT</v>
      </c>
      <c r="R1303" s="19" t="str">
        <f>IFERROR(__xludf.DUMMYFUNCTION("""COMPUTED_VALUE"""),"ISLAM")</f>
        <v>ISLAM</v>
      </c>
      <c r="S1303" s="16" t="str">
        <f>IFERROR(__xludf.DUMMYFUNCTION("""COMPUTED_VALUE"""),"SWASTA")</f>
        <v>SWASTA</v>
      </c>
      <c r="T1303" s="16" t="str">
        <f>IFERROR(__xludf.DUMMYFUNCTION("""COMPUTED_VALUE"""),"Memar+bengkak di kaki dan tangan")</f>
        <v>Memar+bengkak di kaki dan tangan</v>
      </c>
      <c r="U1303" s="16" t="str">
        <f>IFERROR(__xludf.DUMMYFUNCTION("""COMPUTED_VALUE"""),"Kerja")</f>
        <v>Kerja</v>
      </c>
      <c r="V1303" s="11" t="str">
        <f>IFERROR(__xludf.DUMMYFUNCTION("""COMPUTED_VALUE"""),"082151080360")</f>
        <v>082151080360</v>
      </c>
      <c r="W1303" s="15"/>
    </row>
    <row r="1304" ht="22.5" customHeight="1">
      <c r="A1304" s="8"/>
      <c r="B1304" s="9">
        <f>IFERROR(__xludf.DUMMYFUNCTION("""COMPUTED_VALUE"""),45412.57973011574)</f>
        <v>45412.57973</v>
      </c>
      <c r="C1304" s="9"/>
      <c r="D1304" s="34">
        <f>IFERROR(__xludf.DUMMYFUNCTION("""COMPUTED_VALUE"""),45416.0)</f>
        <v>45416</v>
      </c>
      <c r="E1304" s="34" t="str">
        <f>IFERROR(__xludf.DUMMYFUNCTION("""COMPUTED_VALUE"""),"05Mei")</f>
        <v>05Mei</v>
      </c>
      <c r="F1304" s="34" t="str">
        <f>IFERROR(__xludf.DUMMYFUNCTION("""COMPUTED_VALUE"""),"2024")</f>
        <v>2024</v>
      </c>
      <c r="G1304" s="35" t="str">
        <f>IFERROR(__xludf.DUMMYFUNCTION("""COMPUTED_VALUE"""),"ACHIEN")</f>
        <v>ACHIEN</v>
      </c>
      <c r="H1304" s="17" t="str">
        <f>IFERROR(__xludf.DUMMYFUNCTION("""COMPUTED_VALUE"""),"A5724054530")</f>
        <v>A5724054530</v>
      </c>
      <c r="I1304" s="17">
        <f>IFERROR(__xludf.DUMMYFUNCTION("""COMPUTED_VALUE"""),68.0)</f>
        <v>68</v>
      </c>
      <c r="J1304" s="17" t="str">
        <f>IFERROR(__xludf.DUMMYFUNCTION("""COMPUTED_VALUE"""),"&gt; 44 tahun")</f>
        <v>&gt; 44 tahun</v>
      </c>
      <c r="K1304" s="19">
        <f>IFERROR(__xludf.DUMMYFUNCTION("""COMPUTED_VALUE"""),21136.0)</f>
        <v>21136</v>
      </c>
      <c r="L1304" s="19" t="str">
        <f>IFERROR(__xludf.DUMMYFUNCTION("""COMPUTED_VALUE"""),"PEREMPUAN")</f>
        <v>PEREMPUAN</v>
      </c>
      <c r="M1304" s="35" t="str">
        <f>IFERROR(__xludf.DUMMYFUNCTION("""COMPUTED_VALUE"""),"DUSUN DEKAN SARI")</f>
        <v>DUSUN DEKAN SARI</v>
      </c>
      <c r="N1304" s="16" t="str">
        <f>IFERROR(__xludf.DUMMYFUNCTION("""COMPUTED_VALUE"""),"DS. KUALA BUAYAN")</f>
        <v>DS. KUALA BUAYAN</v>
      </c>
      <c r="O1304" s="16" t="str">
        <f>IFERROR(__xludf.DUMMYFUNCTION("""COMPUTED_VALUE"""),"KEC. MELIAU")</f>
        <v>KEC. MELIAU</v>
      </c>
      <c r="P1304" s="16" t="str">
        <f>IFERROR(__xludf.DUMMYFUNCTION("""COMPUTED_VALUE"""),"KAB. SANGGAU")</f>
        <v>KAB. SANGGAU</v>
      </c>
      <c r="Q1304" s="16" t="str">
        <f>IFERROR(__xludf.DUMMYFUNCTION("""COMPUTED_VALUE"""),"KALIMANTAN BARAT")</f>
        <v>KALIMANTAN BARAT</v>
      </c>
      <c r="R1304" s="19" t="str">
        <f>IFERROR(__xludf.DUMMYFUNCTION("""COMPUTED_VALUE"""),"PROTESTAN")</f>
        <v>PROTESTAN</v>
      </c>
      <c r="S1304" s="16" t="str">
        <f>IFERROR(__xludf.DUMMYFUNCTION("""COMPUTED_VALUE"""),"RUMAH TANGGA")</f>
        <v>RUMAH TANGGA</v>
      </c>
      <c r="T1304" s="16" t="str">
        <f>IFERROR(__xludf.DUMMYFUNCTION("""COMPUTED_VALUE"""),"Gejala stroke")</f>
        <v>Gejala stroke</v>
      </c>
      <c r="U1304" s="16" t="str">
        <f>IFERROR(__xludf.DUMMYFUNCTION("""COMPUTED_VALUE"""),"Tiduran")</f>
        <v>Tiduran</v>
      </c>
      <c r="V1304" s="11" t="str">
        <f>IFERROR(__xludf.DUMMYFUNCTION("""COMPUTED_VALUE"""),"082250374530")</f>
        <v>082250374530</v>
      </c>
      <c r="W1304" s="15"/>
    </row>
    <row r="1305" ht="22.5" customHeight="1">
      <c r="A1305" s="8"/>
      <c r="B1305" s="9">
        <f>IFERROR(__xludf.DUMMYFUNCTION("""COMPUTED_VALUE"""),45412.67292510417)</f>
        <v>45412.67293</v>
      </c>
      <c r="C1305" s="9"/>
      <c r="D1305" s="34">
        <f>IFERROR(__xludf.DUMMYFUNCTION("""COMPUTED_VALUE"""),45416.0)</f>
        <v>45416</v>
      </c>
      <c r="E1305" s="34" t="str">
        <f>IFERROR(__xludf.DUMMYFUNCTION("""COMPUTED_VALUE"""),"05Mei")</f>
        <v>05Mei</v>
      </c>
      <c r="F1305" s="34" t="str">
        <f>IFERROR(__xludf.DUMMYFUNCTION("""COMPUTED_VALUE"""),"2024")</f>
        <v>2024</v>
      </c>
      <c r="G1305" s="35" t="str">
        <f>IFERROR(__xludf.DUMMYFUNCTION("""COMPUTED_VALUE"""),"MUHAMMAD VARELL BINTANG SUMAHARJA")</f>
        <v>MUHAMMAD VARELL BINTANG SUMAHARJA</v>
      </c>
      <c r="H1305" s="17" t="str">
        <f>IFERROR(__xludf.DUMMYFUNCTION("""COMPUTED_VALUE"""),"M0624050774")</f>
        <v>M0624050774</v>
      </c>
      <c r="I1305" s="17">
        <f>IFERROR(__xludf.DUMMYFUNCTION("""COMPUTED_VALUE"""),20.0)</f>
        <v>20</v>
      </c>
      <c r="J1305" s="17" t="str">
        <f>IFERROR(__xludf.DUMMYFUNCTION("""COMPUTED_VALUE"""),"18-24 tahun")</f>
        <v>18-24 tahun</v>
      </c>
      <c r="K1305" s="19">
        <f>IFERROR(__xludf.DUMMYFUNCTION("""COMPUTED_VALUE"""),38736.0)</f>
        <v>38736</v>
      </c>
      <c r="L1305" s="19" t="str">
        <f>IFERROR(__xludf.DUMMYFUNCTION("""COMPUTED_VALUE"""),"LAKI-LAKI")</f>
        <v>LAKI-LAKI</v>
      </c>
      <c r="M1305" s="35" t="str">
        <f>IFERROR(__xludf.DUMMYFUNCTION("""COMPUTED_VALUE"""),"JL. SEI RAYA DALAM KOMP. VILLA PERMATA INDAH A.22")</f>
        <v>JL. SEI RAYA DALAM KOMP. VILLA PERMATA INDAH A.22</v>
      </c>
      <c r="N1305" s="16" t="str">
        <f>IFERROR(__xludf.DUMMYFUNCTION("""COMPUTED_VALUE"""),"KEL. BANGKA BELITUNG DARAT")</f>
        <v>KEL. BANGKA BELITUNG DARAT</v>
      </c>
      <c r="O1305" s="16" t="str">
        <f>IFERROR(__xludf.DUMMYFUNCTION("""COMPUTED_VALUE"""),"KEC. PONTIANAK TENGGARA")</f>
        <v>KEC. PONTIANAK TENGGARA</v>
      </c>
      <c r="P1305" s="16" t="str">
        <f>IFERROR(__xludf.DUMMYFUNCTION("""COMPUTED_VALUE"""),"KOTA PONTIANAK")</f>
        <v>KOTA PONTIANAK</v>
      </c>
      <c r="Q1305" s="16" t="str">
        <f>IFERROR(__xludf.DUMMYFUNCTION("""COMPUTED_VALUE"""),"KALIMANTAN BARAT")</f>
        <v>KALIMANTAN BARAT</v>
      </c>
      <c r="R1305" s="19" t="str">
        <f>IFERROR(__xludf.DUMMYFUNCTION("""COMPUTED_VALUE"""),"ISLAM")</f>
        <v>ISLAM</v>
      </c>
      <c r="S1305" s="16" t="str">
        <f>IFERROR(__xludf.DUMMYFUNCTION("""COMPUTED_VALUE"""),"PELAJAR/MAHASISWA")</f>
        <v>PELAJAR/MAHASISWA</v>
      </c>
      <c r="T1305" s="16" t="str">
        <f>IFERROR(__xludf.DUMMYFUNCTION("""COMPUTED_VALUE"""),"Varell 18 Tahun Keluhan: sakit dikaki setelah latihan lari, dari bawah betis sampai paha")</f>
        <v>Varell 18 Tahun Keluhan: sakit dikaki setelah latihan lari, dari bawah betis sampai paha</v>
      </c>
      <c r="U1305" s="16" t="str">
        <f>IFERROR(__xludf.DUMMYFUNCTION("""COMPUTED_VALUE"""),"Latihan Lari dan olahraga penguatan")</f>
        <v>Latihan Lari dan olahraga penguatan</v>
      </c>
      <c r="V1305" s="11" t="str">
        <f>IFERROR(__xludf.DUMMYFUNCTION("""COMPUTED_VALUE"""),"081248740774")</f>
        <v>081248740774</v>
      </c>
      <c r="W1305" s="15"/>
    </row>
    <row r="1306" ht="22.5" customHeight="1">
      <c r="A1306" s="8"/>
      <c r="B1306" s="9">
        <f>IFERROR(__xludf.DUMMYFUNCTION("""COMPUTED_VALUE"""),45412.65121347222)</f>
        <v>45412.65121</v>
      </c>
      <c r="C1306" s="9"/>
      <c r="D1306" s="34">
        <f>IFERROR(__xludf.DUMMYFUNCTION("""COMPUTED_VALUE"""),45416.0)</f>
        <v>45416</v>
      </c>
      <c r="E1306" s="34" t="str">
        <f>IFERROR(__xludf.DUMMYFUNCTION("""COMPUTED_VALUE"""),"05Mei")</f>
        <v>05Mei</v>
      </c>
      <c r="F1306" s="34" t="str">
        <f>IFERROR(__xludf.DUMMYFUNCTION("""COMPUTED_VALUE"""),"2024")</f>
        <v>2024</v>
      </c>
      <c r="G1306" s="35" t="str">
        <f>IFERROR(__xludf.DUMMYFUNCTION("""COMPUTED_VALUE"""),"IDA SUHARNI")</f>
        <v>IDA SUHARNI</v>
      </c>
      <c r="H1306" s="17" t="str">
        <f>IFERROR(__xludf.DUMMYFUNCTION("""COMPUTED_VALUE"""),"I6524056344")</f>
        <v>I6524056344</v>
      </c>
      <c r="I1306" s="17">
        <f>IFERROR(__xludf.DUMMYFUNCTION("""COMPUTED_VALUE"""),60.0)</f>
        <v>60</v>
      </c>
      <c r="J1306" s="17" t="str">
        <f>IFERROR(__xludf.DUMMYFUNCTION("""COMPUTED_VALUE"""),"&gt; 44 tahun")</f>
        <v>&gt; 44 tahun</v>
      </c>
      <c r="K1306" s="19">
        <f>IFERROR(__xludf.DUMMYFUNCTION("""COMPUTED_VALUE"""),24102.0)</f>
        <v>24102</v>
      </c>
      <c r="L1306" s="19" t="str">
        <f>IFERROR(__xludf.DUMMYFUNCTION("""COMPUTED_VALUE"""),"PEREMPUAN")</f>
        <v>PEREMPUAN</v>
      </c>
      <c r="M1306" s="35" t="str">
        <f>IFERROR(__xludf.DUMMYFUNCTION("""COMPUTED_VALUE"""),"JL SUNGAI RAYA DALAM KOMP. TANJUNGPURA PERMAI NO D25")</f>
        <v>JL SUNGAI RAYA DALAM KOMP. TANJUNGPURA PERMAI NO D25</v>
      </c>
      <c r="N1306" s="16" t="str">
        <f>IFERROR(__xludf.DUMMYFUNCTION("""COMPUTED_VALUE"""),"KEL. SUNGAI RAYA DALAM")</f>
        <v>KEL. SUNGAI RAYA DALAM</v>
      </c>
      <c r="O1306" s="16" t="str">
        <f>IFERROR(__xludf.DUMMYFUNCTION("""COMPUTED_VALUE"""),"KEC. SUNGAI RAYA")</f>
        <v>KEC. SUNGAI RAYA</v>
      </c>
      <c r="P1306" s="16" t="str">
        <f>IFERROR(__xludf.DUMMYFUNCTION("""COMPUTED_VALUE"""),"KAB. KUBU RAYA")</f>
        <v>KAB. KUBU RAYA</v>
      </c>
      <c r="Q1306" s="16" t="str">
        <f>IFERROR(__xludf.DUMMYFUNCTION("""COMPUTED_VALUE"""),"KALIMANTAN BARAT")</f>
        <v>KALIMANTAN BARAT</v>
      </c>
      <c r="R1306" s="19" t="str">
        <f>IFERROR(__xludf.DUMMYFUNCTION("""COMPUTED_VALUE"""),"ISLAM")</f>
        <v>ISLAM</v>
      </c>
      <c r="S1306" s="16" t="str">
        <f>IFERROR(__xludf.DUMMYFUNCTION("""COMPUTED_VALUE"""),"RUMAH TANGGA")</f>
        <v>RUMAH TANGGA</v>
      </c>
      <c r="T1306" s="16" t="str">
        <f>IFERROR(__xludf.DUMMYFUNCTION("""COMPUTED_VALUE"""),"Jakan tidak lancar krna struk ringan")</f>
        <v>Jakan tidak lancar krna struk ringan</v>
      </c>
      <c r="U1306" s="16" t="str">
        <f>IFERROR(__xludf.DUMMYFUNCTION("""COMPUTED_VALUE"""),"-")</f>
        <v>-</v>
      </c>
      <c r="V1306" s="11" t="str">
        <f>IFERROR(__xludf.DUMMYFUNCTION("""COMPUTED_VALUE"""),"089693216344")</f>
        <v>089693216344</v>
      </c>
      <c r="W1306" s="15"/>
    </row>
    <row r="1307" ht="22.5" customHeight="1">
      <c r="A1307" s="8"/>
      <c r="B1307" s="9">
        <f>IFERROR(__xludf.DUMMYFUNCTION("""COMPUTED_VALUE"""),45412.73334607639)</f>
        <v>45412.73335</v>
      </c>
      <c r="C1307" s="9"/>
      <c r="D1307" s="34">
        <f>IFERROR(__xludf.DUMMYFUNCTION("""COMPUTED_VALUE"""),45417.0)</f>
        <v>45417</v>
      </c>
      <c r="E1307" s="34" t="str">
        <f>IFERROR(__xludf.DUMMYFUNCTION("""COMPUTED_VALUE"""),"05Mei")</f>
        <v>05Mei</v>
      </c>
      <c r="F1307" s="34" t="str">
        <f>IFERROR(__xludf.DUMMYFUNCTION("""COMPUTED_VALUE"""),"2024")</f>
        <v>2024</v>
      </c>
      <c r="G1307" s="35" t="str">
        <f>IFERROR(__xludf.DUMMYFUNCTION("""COMPUTED_VALUE"""),"KENNY ADITYA PRATAMA")</f>
        <v>KENNY ADITYA PRATAMA</v>
      </c>
      <c r="H1307" s="17" t="str">
        <f>IFERROR(__xludf.DUMMYFUNCTION("""COMPUTED_VALUE"""),"K9524054054")</f>
        <v>K9524054054</v>
      </c>
      <c r="I1307" s="17">
        <f>IFERROR(__xludf.DUMMYFUNCTION("""COMPUTED_VALUE"""),30.0)</f>
        <v>30</v>
      </c>
      <c r="J1307" s="17" t="str">
        <f>IFERROR(__xludf.DUMMYFUNCTION("""COMPUTED_VALUE"""),"25-34 tahun")</f>
        <v>25-34 tahun</v>
      </c>
      <c r="K1307" s="19">
        <f>IFERROR(__xludf.DUMMYFUNCTION("""COMPUTED_VALUE"""),34971.0)</f>
        <v>34971</v>
      </c>
      <c r="L1307" s="19" t="str">
        <f>IFERROR(__xludf.DUMMYFUNCTION("""COMPUTED_VALUE"""),"LAKI-LAKI")</f>
        <v>LAKI-LAKI</v>
      </c>
      <c r="M1307" s="35" t="str">
        <f>IFERROR(__xludf.DUMMYFUNCTION("""COMPUTED_VALUE"""),"JL KH AHMAD DAHLAN GG MARGOSARI NO 19")</f>
        <v>JL KH AHMAD DAHLAN GG MARGOSARI NO 19</v>
      </c>
      <c r="N1307" s="16" t="str">
        <f>IFERROR(__xludf.DUMMYFUNCTION("""COMPUTED_VALUE"""),"KEL. SUNGAI BANGKONG")</f>
        <v>KEL. SUNGAI BANGKONG</v>
      </c>
      <c r="O1307" s="16" t="str">
        <f>IFERROR(__xludf.DUMMYFUNCTION("""COMPUTED_VALUE"""),"KEC. PONTIANAK KOTA")</f>
        <v>KEC. PONTIANAK KOTA</v>
      </c>
      <c r="P1307" s="16" t="str">
        <f>IFERROR(__xludf.DUMMYFUNCTION("""COMPUTED_VALUE"""),"KOTA PONTIANAK")</f>
        <v>KOTA PONTIANAK</v>
      </c>
      <c r="Q1307" s="16" t="str">
        <f>IFERROR(__xludf.DUMMYFUNCTION("""COMPUTED_VALUE"""),"KALIMANTAN BARAT")</f>
        <v>KALIMANTAN BARAT</v>
      </c>
      <c r="R1307" s="19" t="str">
        <f>IFERROR(__xludf.DUMMYFUNCTION("""COMPUTED_VALUE"""),"ISLAM")</f>
        <v>ISLAM</v>
      </c>
      <c r="S1307" s="16" t="str">
        <f>IFERROR(__xludf.DUMMYFUNCTION("""COMPUTED_VALUE"""),"WIRASWASTA")</f>
        <v>WIRASWASTA</v>
      </c>
      <c r="T1307" s="16" t="str">
        <f>IFERROR(__xludf.DUMMYFUNCTION("""COMPUTED_VALUE"""),"Sakit pinggang")</f>
        <v>Sakit pinggang</v>
      </c>
      <c r="U1307" s="16" t="str">
        <f>IFERROR(__xludf.DUMMYFUNCTION("""COMPUTED_VALUE"""),"Kerja lapangan")</f>
        <v>Kerja lapangan</v>
      </c>
      <c r="V1307" s="11" t="str">
        <f>IFERROR(__xludf.DUMMYFUNCTION("""COMPUTED_VALUE"""),"085787104054")</f>
        <v>085787104054</v>
      </c>
      <c r="W1307" s="15"/>
    </row>
    <row r="1308" ht="22.5" customHeight="1">
      <c r="A1308" s="8"/>
      <c r="B1308" s="9">
        <f>IFERROR(__xludf.DUMMYFUNCTION("""COMPUTED_VALUE"""),45413.50609934027)</f>
        <v>45413.5061</v>
      </c>
      <c r="C1308" s="9"/>
      <c r="D1308" s="34">
        <f>IFERROR(__xludf.DUMMYFUNCTION("""COMPUTED_VALUE"""),45417.0)</f>
        <v>45417</v>
      </c>
      <c r="E1308" s="34" t="str">
        <f>IFERROR(__xludf.DUMMYFUNCTION("""COMPUTED_VALUE"""),"05Mei")</f>
        <v>05Mei</v>
      </c>
      <c r="F1308" s="34" t="str">
        <f>IFERROR(__xludf.DUMMYFUNCTION("""COMPUTED_VALUE"""),"2024")</f>
        <v>2024</v>
      </c>
      <c r="G1308" s="35" t="str">
        <f>IFERROR(__xludf.DUMMYFUNCTION("""COMPUTED_VALUE"""),"GITA RAHAYU")</f>
        <v>GITA RAHAYU</v>
      </c>
      <c r="H1308" s="17" t="str">
        <f>IFERROR(__xludf.DUMMYFUNCTION("""COMPUTED_VALUE"""),"G9224053884")</f>
        <v>G9224053884</v>
      </c>
      <c r="I1308" s="17">
        <f>IFERROR(__xludf.DUMMYFUNCTION("""COMPUTED_VALUE"""),34.0)</f>
        <v>34</v>
      </c>
      <c r="J1308" s="17" t="str">
        <f>IFERROR(__xludf.DUMMYFUNCTION("""COMPUTED_VALUE"""),"25-34 tahun")</f>
        <v>25-34 tahun</v>
      </c>
      <c r="K1308" s="19">
        <f>IFERROR(__xludf.DUMMYFUNCTION("""COMPUTED_VALUE"""),33605.0)</f>
        <v>33605</v>
      </c>
      <c r="L1308" s="19" t="str">
        <f>IFERROR(__xludf.DUMMYFUNCTION("""COMPUTED_VALUE"""),"PEREMPUAN")</f>
        <v>PEREMPUAN</v>
      </c>
      <c r="M1308" s="35" t="str">
        <f>IFERROR(__xludf.DUMMYFUNCTION("""COMPUTED_VALUE"""),"JL BATAS PANDANG GANG GAHARU")</f>
        <v>JL BATAS PANDANG GANG GAHARU</v>
      </c>
      <c r="N1308" s="16" t="str">
        <f>IFERROR(__xludf.DUMMYFUNCTION("""COMPUTED_VALUE"""),"KEL. SUNGAI JAWI")</f>
        <v>KEL. SUNGAI JAWI</v>
      </c>
      <c r="O1308" s="16" t="str">
        <f>IFERROR(__xludf.DUMMYFUNCTION("""COMPUTED_VALUE"""),"KEC. PONTIANAK KOTA")</f>
        <v>KEC. PONTIANAK KOTA</v>
      </c>
      <c r="P1308" s="35" t="str">
        <f>IFERROR(__xludf.DUMMYFUNCTION("""COMPUTED_VALUE"""),"KOTA PONTIANAK")</f>
        <v>KOTA PONTIANAK</v>
      </c>
      <c r="Q1308" s="16" t="str">
        <f>IFERROR(__xludf.DUMMYFUNCTION("""COMPUTED_VALUE"""),"KALIMANTAN BARAT")</f>
        <v>KALIMANTAN BARAT</v>
      </c>
      <c r="R1308" s="19" t="str">
        <f>IFERROR(__xludf.DUMMYFUNCTION("""COMPUTED_VALUE"""),"ISLAM")</f>
        <v>ISLAM</v>
      </c>
      <c r="S1308" s="16" t="str">
        <f>IFERROR(__xludf.DUMMYFUNCTION("""COMPUTED_VALUE"""),"BUMD")</f>
        <v>BUMD</v>
      </c>
      <c r="T1308" s="16" t="str">
        <f>IFERROR(__xludf.DUMMYFUNCTION("""COMPUTED_VALUE"""),"Sakit bagian punggung habis gendong anak")</f>
        <v>Sakit bagian punggung habis gendong anak</v>
      </c>
      <c r="U1308" s="16" t="str">
        <f>IFERROR(__xludf.DUMMYFUNCTION("""COMPUTED_VALUE"""),"Tidak ada")</f>
        <v>Tidak ada</v>
      </c>
      <c r="V1308" s="11" t="str">
        <f>IFERROR(__xludf.DUMMYFUNCTION("""COMPUTED_VALUE"""),"081347403884")</f>
        <v>081347403884</v>
      </c>
      <c r="W1308" s="15"/>
    </row>
    <row r="1309" ht="22.5" customHeight="1">
      <c r="A1309" s="8"/>
      <c r="B1309" s="9">
        <f>IFERROR(__xludf.DUMMYFUNCTION("""COMPUTED_VALUE"""),45414.41466722223)</f>
        <v>45414.41467</v>
      </c>
      <c r="C1309" s="9"/>
      <c r="D1309" s="34">
        <f>IFERROR(__xludf.DUMMYFUNCTION("""COMPUTED_VALUE"""),45417.0)</f>
        <v>45417</v>
      </c>
      <c r="E1309" s="34" t="str">
        <f>IFERROR(__xludf.DUMMYFUNCTION("""COMPUTED_VALUE"""),"05Mei")</f>
        <v>05Mei</v>
      </c>
      <c r="F1309" s="34" t="str">
        <f>IFERROR(__xludf.DUMMYFUNCTION("""COMPUTED_VALUE"""),"2024")</f>
        <v>2024</v>
      </c>
      <c r="G1309" s="35" t="str">
        <f>IFERROR(__xludf.DUMMYFUNCTION("""COMPUTED_VALUE"""),"NOVIYANTO")</f>
        <v>NOVIYANTO</v>
      </c>
      <c r="H1309" s="17" t="str">
        <f>IFERROR(__xludf.DUMMYFUNCTION("""COMPUTED_VALUE"""),"N0124050522")</f>
        <v>N0124050522</v>
      </c>
      <c r="I1309" s="17">
        <f>IFERROR(__xludf.DUMMYFUNCTION("""COMPUTED_VALUE"""),24.0)</f>
        <v>24</v>
      </c>
      <c r="J1309" s="17" t="str">
        <f>IFERROR(__xludf.DUMMYFUNCTION("""COMPUTED_VALUE"""),"18-24 tahun")</f>
        <v>18-24 tahun</v>
      </c>
      <c r="K1309" s="19">
        <f>IFERROR(__xludf.DUMMYFUNCTION("""COMPUTED_VALUE"""),37205.0)</f>
        <v>37205</v>
      </c>
      <c r="L1309" s="19" t="str">
        <f>IFERROR(__xludf.DUMMYFUNCTION("""COMPUTED_VALUE"""),"LAKI-LAKI")</f>
        <v>LAKI-LAKI</v>
      </c>
      <c r="M1309" s="35" t="str">
        <f>IFERROR(__xludf.DUMMYFUNCTION("""COMPUTED_VALUE"""),"JL. TANJUNG RAYA 2, KOMP. VILLA JAYA LESTARI NO B4")</f>
        <v>JL. TANJUNG RAYA 2, KOMP. VILLA JAYA LESTARI NO B4</v>
      </c>
      <c r="N1309" s="16" t="str">
        <f>IFERROR(__xludf.DUMMYFUNCTION("""COMPUTED_VALUE"""),"KEL. SAIGON")</f>
        <v>KEL. SAIGON</v>
      </c>
      <c r="O1309" s="16" t="str">
        <f>IFERROR(__xludf.DUMMYFUNCTION("""COMPUTED_VALUE"""),"KEC. PONTIANAK TIMUR")</f>
        <v>KEC. PONTIANAK TIMUR</v>
      </c>
      <c r="P1309" s="16" t="str">
        <f>IFERROR(__xludf.DUMMYFUNCTION("""COMPUTED_VALUE"""),"KOTA PONTIANAK")</f>
        <v>KOTA PONTIANAK</v>
      </c>
      <c r="Q1309" s="16" t="str">
        <f>IFERROR(__xludf.DUMMYFUNCTION("""COMPUTED_VALUE"""),"KALIMANTAN BARAT")</f>
        <v>KALIMANTAN BARAT</v>
      </c>
      <c r="R1309" s="19" t="str">
        <f>IFERROR(__xludf.DUMMYFUNCTION("""COMPUTED_VALUE"""),"ISLAM")</f>
        <v>ISLAM</v>
      </c>
      <c r="S1309" s="16" t="str">
        <f>IFERROR(__xludf.DUMMYFUNCTION("""COMPUTED_VALUE"""),"PELAJAR/MAHASISWA")</f>
        <v>PELAJAR/MAHASISWA</v>
      </c>
      <c r="T1309" s="16" t="str">
        <f>IFERROR(__xludf.DUMMYFUNCTION("""COMPUTED_VALUE"""),"leher tegang")</f>
        <v>leher tegang</v>
      </c>
      <c r="U1309" s="16" t="str">
        <f>IFERROR(__xludf.DUMMYFUNCTION("""COMPUTED_VALUE"""),"Tidak ada")</f>
        <v>Tidak ada</v>
      </c>
      <c r="V1309" s="11" t="str">
        <f>IFERROR(__xludf.DUMMYFUNCTION("""COMPUTED_VALUE"""),"082255850522")</f>
        <v>082255850522</v>
      </c>
      <c r="W1309" s="15"/>
    </row>
    <row r="1310" ht="22.5" customHeight="1">
      <c r="A1310" s="28"/>
      <c r="B1310" s="9">
        <f>IFERROR(__xludf.DUMMYFUNCTION("""COMPUTED_VALUE"""),45414.42502731481)</f>
        <v>45414.42503</v>
      </c>
      <c r="C1310" s="9"/>
      <c r="D1310" s="34">
        <f>IFERROR(__xludf.DUMMYFUNCTION("""COMPUTED_VALUE"""),45417.0)</f>
        <v>45417</v>
      </c>
      <c r="E1310" s="34" t="str">
        <f>IFERROR(__xludf.DUMMYFUNCTION("""COMPUTED_VALUE"""),"05Mei")</f>
        <v>05Mei</v>
      </c>
      <c r="F1310" s="34" t="str">
        <f>IFERROR(__xludf.DUMMYFUNCTION("""COMPUTED_VALUE"""),"2024")</f>
        <v>2024</v>
      </c>
      <c r="G1310" s="35" t="str">
        <f>IFERROR(__xludf.DUMMYFUNCTION("""COMPUTED_VALUE"""),"FEBIANTO")</f>
        <v>FEBIANTO</v>
      </c>
      <c r="H1310" s="17" t="str">
        <f>IFERROR(__xludf.DUMMYFUNCTION("""COMPUTED_VALUE"""),"F9124059886")</f>
        <v>F9124059886</v>
      </c>
      <c r="I1310" s="17">
        <f>IFERROR(__xludf.DUMMYFUNCTION("""COMPUTED_VALUE"""),35.0)</f>
        <v>35</v>
      </c>
      <c r="J1310" s="17" t="str">
        <f>IFERROR(__xludf.DUMMYFUNCTION("""COMPUTED_VALUE"""),"35-44 tahun")</f>
        <v>35-44 tahun</v>
      </c>
      <c r="K1310" s="19">
        <f>IFERROR(__xludf.DUMMYFUNCTION("""COMPUTED_VALUE"""),33282.0)</f>
        <v>33282</v>
      </c>
      <c r="L1310" s="19" t="str">
        <f>IFERROR(__xludf.DUMMYFUNCTION("""COMPUTED_VALUE"""),"LAKI-LAKI")</f>
        <v>LAKI-LAKI</v>
      </c>
      <c r="M1310" s="35" t="str">
        <f>IFERROR(__xludf.DUMMYFUNCTION("""COMPUTED_VALUE"""),"JALAN TANJUNG RAYA I")</f>
        <v>JALAN TANJUNG RAYA I</v>
      </c>
      <c r="N1310" s="16" t="str">
        <f>IFERROR(__xludf.DUMMYFUNCTION("""COMPUTED_VALUE"""),"KEL. SAIGON")</f>
        <v>KEL. SAIGON</v>
      </c>
      <c r="O1310" s="16" t="str">
        <f>IFERROR(__xludf.DUMMYFUNCTION("""COMPUTED_VALUE"""),"KEC. PONTIANAK TIMUR")</f>
        <v>KEC. PONTIANAK TIMUR</v>
      </c>
      <c r="P1310" s="16" t="str">
        <f>IFERROR(__xludf.DUMMYFUNCTION("""COMPUTED_VALUE"""),"KOTA PONTIANAK")</f>
        <v>KOTA PONTIANAK</v>
      </c>
      <c r="Q1310" s="16" t="str">
        <f>IFERROR(__xludf.DUMMYFUNCTION("""COMPUTED_VALUE"""),"KALIMANTAN BARAT")</f>
        <v>KALIMANTAN BARAT</v>
      </c>
      <c r="R1310" s="19" t="str">
        <f>IFERROR(__xludf.DUMMYFUNCTION("""COMPUTED_VALUE"""),"BUDDHA")</f>
        <v>BUDDHA</v>
      </c>
      <c r="S1310" s="16" t="str">
        <f>IFERROR(__xludf.DUMMYFUNCTION("""COMPUTED_VALUE"""),"SWASTA")</f>
        <v>SWASTA</v>
      </c>
      <c r="T1310" s="16" t="str">
        <f>IFERROR(__xludf.DUMMYFUNCTION("""COMPUTED_VALUE"""),"PINGGANG")</f>
        <v>PINGGANG</v>
      </c>
      <c r="U1310" s="16" t="str">
        <f>IFERROR(__xludf.DUMMYFUNCTION("""COMPUTED_VALUE"""),"KERJA")</f>
        <v>KERJA</v>
      </c>
      <c r="V1310" s="11" t="str">
        <f>IFERROR(__xludf.DUMMYFUNCTION("""COMPUTED_VALUE"""),"087728579886")</f>
        <v>087728579886</v>
      </c>
      <c r="W1310" s="15"/>
    </row>
    <row r="1311" ht="22.5" customHeight="1">
      <c r="A1311" s="8"/>
      <c r="B1311" s="9">
        <f>IFERROR(__xludf.DUMMYFUNCTION("""COMPUTED_VALUE"""),45378.89313859954)</f>
        <v>45378.89314</v>
      </c>
      <c r="C1311" s="9"/>
      <c r="D1311" s="34">
        <f>IFERROR(__xludf.DUMMYFUNCTION("""COMPUTED_VALUE"""),45418.0)</f>
        <v>45418</v>
      </c>
      <c r="E1311" s="34" t="str">
        <f>IFERROR(__xludf.DUMMYFUNCTION("""COMPUTED_VALUE"""),"05Mei")</f>
        <v>05Mei</v>
      </c>
      <c r="F1311" s="34" t="str">
        <f>IFERROR(__xludf.DUMMYFUNCTION("""COMPUTED_VALUE"""),"2024")</f>
        <v>2024</v>
      </c>
      <c r="G1311" s="35" t="str">
        <f>IFERROR(__xludf.DUMMYFUNCTION("""COMPUTED_VALUE"""),"ELLY")</f>
        <v>ELLY</v>
      </c>
      <c r="H1311" s="17" t="str">
        <f>IFERROR(__xludf.DUMMYFUNCTION("""COMPUTED_VALUE"""),"E8924055253")</f>
        <v>E8924055253</v>
      </c>
      <c r="I1311" s="17">
        <f>IFERROR(__xludf.DUMMYFUNCTION("""COMPUTED_VALUE"""),37.0)</f>
        <v>37</v>
      </c>
      <c r="J1311" s="17" t="str">
        <f>IFERROR(__xludf.DUMMYFUNCTION("""COMPUTED_VALUE"""),"35-44 tahun")</f>
        <v>35-44 tahun</v>
      </c>
      <c r="K1311" s="19">
        <f>IFERROR(__xludf.DUMMYFUNCTION("""COMPUTED_VALUE"""),32526.0)</f>
        <v>32526</v>
      </c>
      <c r="L1311" s="19" t="str">
        <f>IFERROR(__xludf.DUMMYFUNCTION("""COMPUTED_VALUE"""),"PEREMPUAN")</f>
        <v>PEREMPUAN</v>
      </c>
      <c r="M1311" s="35" t="str">
        <f>IFERROR(__xludf.DUMMYFUNCTION("""COMPUTED_VALUE"""),"JALAN PANCASILA V NO 14")</f>
        <v>JALAN PANCASILA V NO 14</v>
      </c>
      <c r="N1311" s="16" t="str">
        <f>IFERROR(__xludf.DUMMYFUNCTION("""COMPUTED_VALUE"""),"KEL. SUNGAI JAWI")</f>
        <v>KEL. SUNGAI JAWI</v>
      </c>
      <c r="O1311" s="16" t="str">
        <f>IFERROR(__xludf.DUMMYFUNCTION("""COMPUTED_VALUE"""),"KEC. PONTIANAK KOTA")</f>
        <v>KEC. PONTIANAK KOTA</v>
      </c>
      <c r="P1311" s="16" t="str">
        <f>IFERROR(__xludf.DUMMYFUNCTION("""COMPUTED_VALUE"""),"KOTA PONTIANAK")</f>
        <v>KOTA PONTIANAK</v>
      </c>
      <c r="Q1311" s="16" t="str">
        <f>IFERROR(__xludf.DUMMYFUNCTION("""COMPUTED_VALUE"""),"KALIMANTAN BARAT")</f>
        <v>KALIMANTAN BARAT</v>
      </c>
      <c r="R1311" s="19" t="str">
        <f>IFERROR(__xludf.DUMMYFUNCTION("""COMPUTED_VALUE"""),"LAINNYA")</f>
        <v>LAINNYA</v>
      </c>
      <c r="S1311" s="16" t="str">
        <f>IFERROR(__xludf.DUMMYFUNCTION("""COMPUTED_VALUE"""),"RUMAH TANGGA")</f>
        <v>RUMAH TANGGA</v>
      </c>
      <c r="T1311" s="16" t="str">
        <f>IFERROR(__xludf.DUMMYFUNCTION("""COMPUTED_VALUE"""),"Kaki sakit")</f>
        <v>Kaki sakit</v>
      </c>
      <c r="U1311" s="16" t="str">
        <f>IFERROR(__xludf.DUMMYFUNCTION("""COMPUTED_VALUE"""),"Senam")</f>
        <v>Senam</v>
      </c>
      <c r="V1311" s="11" t="str">
        <f>IFERROR(__xludf.DUMMYFUNCTION("""COMPUTED_VALUE"""),"082195435253")</f>
        <v>082195435253</v>
      </c>
      <c r="W1311" s="15"/>
    </row>
    <row r="1312" ht="22.5" customHeight="1">
      <c r="A1312" s="8"/>
      <c r="B1312" s="9">
        <f>IFERROR(__xludf.DUMMYFUNCTION("""COMPUTED_VALUE"""),45414.44851488426)</f>
        <v>45414.44851</v>
      </c>
      <c r="C1312" s="9"/>
      <c r="D1312" s="34">
        <f>IFERROR(__xludf.DUMMYFUNCTION("""COMPUTED_VALUE"""),45418.0)</f>
        <v>45418</v>
      </c>
      <c r="E1312" s="34" t="str">
        <f>IFERROR(__xludf.DUMMYFUNCTION("""COMPUTED_VALUE"""),"05Mei")</f>
        <v>05Mei</v>
      </c>
      <c r="F1312" s="34" t="str">
        <f>IFERROR(__xludf.DUMMYFUNCTION("""COMPUTED_VALUE"""),"2024")</f>
        <v>2024</v>
      </c>
      <c r="G1312" s="35" t="str">
        <f>IFERROR(__xludf.DUMMYFUNCTION("""COMPUTED_VALUE"""),"DESSY")</f>
        <v>DESSY</v>
      </c>
      <c r="H1312" s="17" t="str">
        <f>IFERROR(__xludf.DUMMYFUNCTION("""COMPUTED_VALUE"""),"D8724050975")</f>
        <v>D8724050975</v>
      </c>
      <c r="I1312" s="17">
        <f>IFERROR(__xludf.DUMMYFUNCTION("""COMPUTED_VALUE"""),39.0)</f>
        <v>39</v>
      </c>
      <c r="J1312" s="17" t="str">
        <f>IFERROR(__xludf.DUMMYFUNCTION("""COMPUTED_VALUE"""),"35-44 tahun")</f>
        <v>35-44 tahun</v>
      </c>
      <c r="K1312" s="19">
        <f>IFERROR(__xludf.DUMMYFUNCTION("""COMPUTED_VALUE"""),31805.0)</f>
        <v>31805</v>
      </c>
      <c r="L1312" s="19" t="str">
        <f>IFERROR(__xludf.DUMMYFUNCTION("""COMPUTED_VALUE"""),"PEREMPUAN")</f>
        <v>PEREMPUAN</v>
      </c>
      <c r="M1312" s="35" t="str">
        <f>IFERROR(__xludf.DUMMYFUNCTION("""COMPUTED_VALUE"""),"JL. APEL")</f>
        <v>JL. APEL</v>
      </c>
      <c r="N1312" s="16" t="str">
        <f>IFERROR(__xludf.DUMMYFUNCTION("""COMPUTED_VALUE"""),"KEL. SUNGAI JAWI DALAM")</f>
        <v>KEL. SUNGAI JAWI DALAM</v>
      </c>
      <c r="O1312" s="16" t="str">
        <f>IFERROR(__xludf.DUMMYFUNCTION("""COMPUTED_VALUE"""),"KEC. PONTIANAK BARAT")</f>
        <v>KEC. PONTIANAK BARAT</v>
      </c>
      <c r="P1312" s="16" t="str">
        <f>IFERROR(__xludf.DUMMYFUNCTION("""COMPUTED_VALUE"""),"KOTA PONTIANAK")</f>
        <v>KOTA PONTIANAK</v>
      </c>
      <c r="Q1312" s="16" t="str">
        <f>IFERROR(__xludf.DUMMYFUNCTION("""COMPUTED_VALUE"""),"KALIMANTAN BARAT")</f>
        <v>KALIMANTAN BARAT</v>
      </c>
      <c r="R1312" s="19" t="str">
        <f>IFERROR(__xludf.DUMMYFUNCTION("""COMPUTED_VALUE"""),"KATOLIK")</f>
        <v>KATOLIK</v>
      </c>
      <c r="S1312" s="16" t="str">
        <f>IFERROR(__xludf.DUMMYFUNCTION("""COMPUTED_VALUE"""),"SWASTA")</f>
        <v>SWASTA</v>
      </c>
      <c r="T1312" s="16" t="str">
        <f>IFERROR(__xludf.DUMMYFUNCTION("""COMPUTED_VALUE"""),"Nyeri di tangan")</f>
        <v>Nyeri di tangan</v>
      </c>
      <c r="U1312" s="16" t="str">
        <f>IFERROR(__xludf.DUMMYFUNCTION("""COMPUTED_VALUE"""),"Gym")</f>
        <v>Gym</v>
      </c>
      <c r="V1312" s="11" t="str">
        <f>IFERROR(__xludf.DUMMYFUNCTION("""COMPUTED_VALUE"""),"082157020975")</f>
        <v>082157020975</v>
      </c>
      <c r="W1312" s="15"/>
    </row>
    <row r="1313" ht="22.5" customHeight="1">
      <c r="A1313" s="8"/>
      <c r="B1313" s="9">
        <f>IFERROR(__xludf.DUMMYFUNCTION("""COMPUTED_VALUE"""),45414.578153009264)</f>
        <v>45414.57815</v>
      </c>
      <c r="C1313" s="9"/>
      <c r="D1313" s="34">
        <f>IFERROR(__xludf.DUMMYFUNCTION("""COMPUTED_VALUE"""),45418.0)</f>
        <v>45418</v>
      </c>
      <c r="E1313" s="34" t="str">
        <f>IFERROR(__xludf.DUMMYFUNCTION("""COMPUTED_VALUE"""),"05Mei")</f>
        <v>05Mei</v>
      </c>
      <c r="F1313" s="34" t="str">
        <f>IFERROR(__xludf.DUMMYFUNCTION("""COMPUTED_VALUE"""),"2024")</f>
        <v>2024</v>
      </c>
      <c r="G1313" s="35" t="str">
        <f>IFERROR(__xludf.DUMMYFUNCTION("""COMPUTED_VALUE"""),"DESY YUNIATI")</f>
        <v>DESY YUNIATI</v>
      </c>
      <c r="H1313" s="17" t="str">
        <f>IFERROR(__xludf.DUMMYFUNCTION("""COMPUTED_VALUE"""),"D9024054652")</f>
        <v>D9024054652</v>
      </c>
      <c r="I1313" s="17">
        <f>IFERROR(__xludf.DUMMYFUNCTION("""COMPUTED_VALUE"""),36.0)</f>
        <v>36</v>
      </c>
      <c r="J1313" s="17" t="str">
        <f>IFERROR(__xludf.DUMMYFUNCTION("""COMPUTED_VALUE"""),"35-44 tahun")</f>
        <v>35-44 tahun</v>
      </c>
      <c r="K1313" s="19">
        <f>IFERROR(__xludf.DUMMYFUNCTION("""COMPUTED_VALUE"""),33042.0)</f>
        <v>33042</v>
      </c>
      <c r="L1313" s="19" t="str">
        <f>IFERROR(__xludf.DUMMYFUNCTION("""COMPUTED_VALUE"""),"PEREMPUAN")</f>
        <v>PEREMPUAN</v>
      </c>
      <c r="M1313" s="35" t="str">
        <f>IFERROR(__xludf.DUMMYFUNCTION("""COMPUTED_VALUE"""),"JL.ARTERI SUPADIO PERUMAHAN 288 NO.B6")</f>
        <v>JL.ARTERI SUPADIO PERUMAHAN 288 NO.B6</v>
      </c>
      <c r="N1313" s="16" t="str">
        <f>IFERROR(__xludf.DUMMYFUNCTION("""COMPUTED_VALUE"""),"KEL. SUNGAI RAYA")</f>
        <v>KEL. SUNGAI RAYA</v>
      </c>
      <c r="O1313" s="16" t="str">
        <f>IFERROR(__xludf.DUMMYFUNCTION("""COMPUTED_VALUE"""),"KEC. SUNGAI RAYA")</f>
        <v>KEC. SUNGAI RAYA</v>
      </c>
      <c r="P1313" s="16" t="str">
        <f>IFERROR(__xludf.DUMMYFUNCTION("""COMPUTED_VALUE"""),"KAB. KUBU RAYA")</f>
        <v>KAB. KUBU RAYA</v>
      </c>
      <c r="Q1313" s="16" t="str">
        <f>IFERROR(__xludf.DUMMYFUNCTION("""COMPUTED_VALUE"""),"KALIMANTAN BARAT")</f>
        <v>KALIMANTAN BARAT</v>
      </c>
      <c r="R1313" s="19" t="str">
        <f>IFERROR(__xludf.DUMMYFUNCTION("""COMPUTED_VALUE"""),"BUDDHA")</f>
        <v>BUDDHA</v>
      </c>
      <c r="S1313" s="16" t="str">
        <f>IFERROR(__xludf.DUMMYFUNCTION("""COMPUTED_VALUE"""),"RUMAH TANGGA")</f>
        <v>RUMAH TANGGA</v>
      </c>
      <c r="T1313" s="16" t="str">
        <f>IFERROR(__xludf.DUMMYFUNCTION("""COMPUTED_VALUE"""),"Pinggang")</f>
        <v>Pinggang</v>
      </c>
      <c r="U1313" s="16" t="str">
        <f>IFERROR(__xludf.DUMMYFUNCTION("""COMPUTED_VALUE"""),"Zumba")</f>
        <v>Zumba</v>
      </c>
      <c r="V1313" s="11" t="str">
        <f>IFERROR(__xludf.DUMMYFUNCTION("""COMPUTED_VALUE"""),"082155764652")</f>
        <v>082155764652</v>
      </c>
      <c r="W1313" s="15"/>
    </row>
    <row r="1314" ht="22.5" customHeight="1">
      <c r="A1314" s="8"/>
      <c r="B1314" s="9">
        <f>IFERROR(__xludf.DUMMYFUNCTION("""COMPUTED_VALUE"""),45415.554434826394)</f>
        <v>45415.55443</v>
      </c>
      <c r="C1314" s="9"/>
      <c r="D1314" s="34">
        <f>IFERROR(__xludf.DUMMYFUNCTION("""COMPUTED_VALUE"""),45419.0)</f>
        <v>45419</v>
      </c>
      <c r="E1314" s="34" t="str">
        <f>IFERROR(__xludf.DUMMYFUNCTION("""COMPUTED_VALUE"""),"05Mei")</f>
        <v>05Mei</v>
      </c>
      <c r="F1314" s="34" t="str">
        <f>IFERROR(__xludf.DUMMYFUNCTION("""COMPUTED_VALUE"""),"2024")</f>
        <v>2024</v>
      </c>
      <c r="G1314" s="35" t="str">
        <f>IFERROR(__xludf.DUMMYFUNCTION("""COMPUTED_VALUE"""),"RIYAN FITRA")</f>
        <v>RIYAN FITRA</v>
      </c>
      <c r="H1314" s="17" t="str">
        <f>IFERROR(__xludf.DUMMYFUNCTION("""COMPUTED_VALUE"""),"R0024056479")</f>
        <v>R0024056479</v>
      </c>
      <c r="I1314" s="17">
        <f>IFERROR(__xludf.DUMMYFUNCTION("""COMPUTED_VALUE"""),26.0)</f>
        <v>26</v>
      </c>
      <c r="J1314" s="17" t="str">
        <f>IFERROR(__xludf.DUMMYFUNCTION("""COMPUTED_VALUE"""),"25-34 tahun")</f>
        <v>25-34 tahun</v>
      </c>
      <c r="K1314" s="19">
        <f>IFERROR(__xludf.DUMMYFUNCTION("""COMPUTED_VALUE"""),36596.0)</f>
        <v>36596</v>
      </c>
      <c r="L1314" s="19" t="str">
        <f>IFERROR(__xludf.DUMMYFUNCTION("""COMPUTED_VALUE"""),"LAKI-LAKI")</f>
        <v>LAKI-LAKI</v>
      </c>
      <c r="M1314" s="35" t="str">
        <f>IFERROR(__xludf.DUMMYFUNCTION("""COMPUTED_VALUE"""),"JALAN KESEHATAN NO 4")</f>
        <v>JALAN KESEHATAN NO 4</v>
      </c>
      <c r="N1314" s="16" t="str">
        <f>IFERROR(__xludf.DUMMYFUNCTION("""COMPUTED_VALUE"""),"KEL. KOTA BARU")</f>
        <v>KEL. KOTA BARU</v>
      </c>
      <c r="O1314" s="16" t="str">
        <f>IFERROR(__xludf.DUMMYFUNCTION("""COMPUTED_VALUE"""),"KEC. PONTIANAK SELATAN")</f>
        <v>KEC. PONTIANAK SELATAN</v>
      </c>
      <c r="P1314" s="16" t="str">
        <f>IFERROR(__xludf.DUMMYFUNCTION("""COMPUTED_VALUE"""),"KOTA PONTIANAK")</f>
        <v>KOTA PONTIANAK</v>
      </c>
      <c r="Q1314" s="16" t="str">
        <f>IFERROR(__xludf.DUMMYFUNCTION("""COMPUTED_VALUE"""),"KALIMANTAN BARAT")</f>
        <v>KALIMANTAN BARAT</v>
      </c>
      <c r="R1314" s="19" t="str">
        <f>IFERROR(__xludf.DUMMYFUNCTION("""COMPUTED_VALUE"""),"ISLAM")</f>
        <v>ISLAM</v>
      </c>
      <c r="S1314" s="16" t="str">
        <f>IFERROR(__xludf.DUMMYFUNCTION("""COMPUTED_VALUE"""),"SWASTA")</f>
        <v>SWASTA</v>
      </c>
      <c r="T1314" s="16" t="str">
        <f>IFERROR(__xludf.DUMMYFUNCTION("""COMPUTED_VALUE"""),"Bengkak di pergelangan tangan")</f>
        <v>Bengkak di pergelangan tangan</v>
      </c>
      <c r="U1314" s="16" t="str">
        <f>IFERROR(__xludf.DUMMYFUNCTION("""COMPUTED_VALUE"""),"Olahraga")</f>
        <v>Olahraga</v>
      </c>
      <c r="V1314" s="11" t="str">
        <f>IFERROR(__xludf.DUMMYFUNCTION("""COMPUTED_VALUE"""),"082123506479")</f>
        <v>082123506479</v>
      </c>
      <c r="W1314" s="15"/>
    </row>
    <row r="1315" ht="22.5" customHeight="1">
      <c r="A1315" s="8"/>
      <c r="B1315" s="9">
        <f>IFERROR(__xludf.DUMMYFUNCTION("""COMPUTED_VALUE"""),45415.71526700231)</f>
        <v>45415.71527</v>
      </c>
      <c r="C1315" s="9"/>
      <c r="D1315" s="34">
        <f>IFERROR(__xludf.DUMMYFUNCTION("""COMPUTED_VALUE"""),45419.0)</f>
        <v>45419</v>
      </c>
      <c r="E1315" s="34" t="str">
        <f>IFERROR(__xludf.DUMMYFUNCTION("""COMPUTED_VALUE"""),"05Mei")</f>
        <v>05Mei</v>
      </c>
      <c r="F1315" s="34" t="str">
        <f>IFERROR(__xludf.DUMMYFUNCTION("""COMPUTED_VALUE"""),"2024")</f>
        <v>2024</v>
      </c>
      <c r="G1315" s="35" t="str">
        <f>IFERROR(__xludf.DUMMYFUNCTION("""COMPUTED_VALUE"""),"BAMBANG RIO AGRIAWAN")</f>
        <v>BAMBANG RIO AGRIAWAN</v>
      </c>
      <c r="H1315" s="17" t="str">
        <f>IFERROR(__xludf.DUMMYFUNCTION("""COMPUTED_VALUE"""),"B9124050605")</f>
        <v>B9124050605</v>
      </c>
      <c r="I1315" s="17">
        <f>IFERROR(__xludf.DUMMYFUNCTION("""COMPUTED_VALUE"""),35.0)</f>
        <v>35</v>
      </c>
      <c r="J1315" s="17" t="str">
        <f>IFERROR(__xludf.DUMMYFUNCTION("""COMPUTED_VALUE"""),"35-44 tahun")</f>
        <v>35-44 tahun</v>
      </c>
      <c r="K1315" s="19">
        <f>IFERROR(__xludf.DUMMYFUNCTION("""COMPUTED_VALUE"""),33367.0)</f>
        <v>33367</v>
      </c>
      <c r="L1315" s="19" t="str">
        <f>IFERROR(__xludf.DUMMYFUNCTION("""COMPUTED_VALUE"""),"LAKI-LAKI")</f>
        <v>LAKI-LAKI</v>
      </c>
      <c r="M1315" s="35" t="str">
        <f>IFERROR(__xludf.DUMMYFUNCTION("""COMPUTED_VALUE"""),"JL AR SALEH GG AR SALEH 8 NO 24")</f>
        <v>JL AR SALEH GG AR SALEH 8 NO 24</v>
      </c>
      <c r="N1315" s="16" t="str">
        <f>IFERROR(__xludf.DUMMYFUNCTION("""COMPUTED_VALUE"""),"KEL. BANGKA BELITUNG LAUT")</f>
        <v>KEL. BANGKA BELITUNG LAUT</v>
      </c>
      <c r="O1315" s="16" t="str">
        <f>IFERROR(__xludf.DUMMYFUNCTION("""COMPUTED_VALUE"""),"KEC. PONTIANAK SELATAN")</f>
        <v>KEC. PONTIANAK SELATAN</v>
      </c>
      <c r="P1315" s="16" t="str">
        <f>IFERROR(__xludf.DUMMYFUNCTION("""COMPUTED_VALUE"""),"KOTA PONTIANAK")</f>
        <v>KOTA PONTIANAK</v>
      </c>
      <c r="Q1315" s="16" t="str">
        <f>IFERROR(__xludf.DUMMYFUNCTION("""COMPUTED_VALUE"""),"KALIMANTAN BARAT")</f>
        <v>KALIMANTAN BARAT</v>
      </c>
      <c r="R1315" s="19" t="str">
        <f>IFERROR(__xludf.DUMMYFUNCTION("""COMPUTED_VALUE"""),"ISLAM")</f>
        <v>ISLAM</v>
      </c>
      <c r="S1315" s="16" t="str">
        <f>IFERROR(__xludf.DUMMYFUNCTION("""COMPUTED_VALUE"""),"SWASTA")</f>
        <v>SWASTA</v>
      </c>
      <c r="T1315" s="16" t="str">
        <f>IFERROR(__xludf.DUMMYFUNCTION("""COMPUTED_VALUE"""),"Dengkul ngilu setelah main bola")</f>
        <v>Dengkul ngilu setelah main bola</v>
      </c>
      <c r="U1315" s="16" t="str">
        <f>IFERROR(__xludf.DUMMYFUNCTION("""COMPUTED_VALUE"""),"Sepak Bola")</f>
        <v>Sepak Bola</v>
      </c>
      <c r="V1315" s="11" t="str">
        <f>IFERROR(__xludf.DUMMYFUNCTION("""COMPUTED_VALUE"""),"081214000605")</f>
        <v>081214000605</v>
      </c>
      <c r="W1315" s="15"/>
    </row>
    <row r="1316" ht="22.5" customHeight="1">
      <c r="A1316" s="8"/>
      <c r="B1316" s="9">
        <f>IFERROR(__xludf.DUMMYFUNCTION("""COMPUTED_VALUE"""),45415.73364106481)</f>
        <v>45415.73364</v>
      </c>
      <c r="C1316" s="9"/>
      <c r="D1316" s="34">
        <f>IFERROR(__xludf.DUMMYFUNCTION("""COMPUTED_VALUE"""),45419.0)</f>
        <v>45419</v>
      </c>
      <c r="E1316" s="34" t="str">
        <f>IFERROR(__xludf.DUMMYFUNCTION("""COMPUTED_VALUE"""),"05Mei")</f>
        <v>05Mei</v>
      </c>
      <c r="F1316" s="34" t="str">
        <f>IFERROR(__xludf.DUMMYFUNCTION("""COMPUTED_VALUE"""),"2024")</f>
        <v>2024</v>
      </c>
      <c r="G1316" s="35" t="str">
        <f>IFERROR(__xludf.DUMMYFUNCTION("""COMPUTED_VALUE"""),"EDWARD YANUAR SUSANTO")</f>
        <v>EDWARD YANUAR SUSANTO</v>
      </c>
      <c r="H1316" s="17" t="str">
        <f>IFERROR(__xludf.DUMMYFUNCTION("""COMPUTED_VALUE"""),"E8924059039")</f>
        <v>E8924059039</v>
      </c>
      <c r="I1316" s="17">
        <f>IFERROR(__xludf.DUMMYFUNCTION("""COMPUTED_VALUE"""),37.0)</f>
        <v>37</v>
      </c>
      <c r="J1316" s="17" t="str">
        <f>IFERROR(__xludf.DUMMYFUNCTION("""COMPUTED_VALUE"""),"35-44 tahun")</f>
        <v>35-44 tahun</v>
      </c>
      <c r="K1316" s="19">
        <f>IFERROR(__xludf.DUMMYFUNCTION("""COMPUTED_VALUE"""),32517.0)</f>
        <v>32517</v>
      </c>
      <c r="L1316" s="19" t="str">
        <f>IFERROR(__xludf.DUMMYFUNCTION("""COMPUTED_VALUE"""),"LAKI-LAKI")</f>
        <v>LAKI-LAKI</v>
      </c>
      <c r="M1316" s="35" t="str">
        <f>IFERROR(__xludf.DUMMYFUNCTION("""COMPUTED_VALUE"""),"JLN KUTILANG NO 78 WARU")</f>
        <v>JLN KUTILANG NO 78 WARU</v>
      </c>
      <c r="N1316" s="16" t="str">
        <f>IFERROR(__xludf.DUMMYFUNCTION("""COMPUTED_VALUE"""),"DS. KEPUH KIRIMAN")</f>
        <v>DS. KEPUH KIRIMAN</v>
      </c>
      <c r="O1316" s="16" t="str">
        <f>IFERROR(__xludf.DUMMYFUNCTION("""COMPUTED_VALUE"""),"KEC. WARU")</f>
        <v>KEC. WARU</v>
      </c>
      <c r="P1316" s="16" t="str">
        <f>IFERROR(__xludf.DUMMYFUNCTION("""COMPUTED_VALUE"""),"KOTA SIDOARJO")</f>
        <v>KOTA SIDOARJO</v>
      </c>
      <c r="Q1316" s="16" t="str">
        <f>IFERROR(__xludf.DUMMYFUNCTION("""COMPUTED_VALUE"""),"JAWA TIMUR")</f>
        <v>JAWA TIMUR</v>
      </c>
      <c r="R1316" s="19" t="str">
        <f>IFERROR(__xludf.DUMMYFUNCTION("""COMPUTED_VALUE"""),"KATOLIK")</f>
        <v>KATOLIK</v>
      </c>
      <c r="S1316" s="16" t="str">
        <f>IFERROR(__xludf.DUMMYFUNCTION("""COMPUTED_VALUE"""),"SWASTA")</f>
        <v>SWASTA</v>
      </c>
      <c r="T1316" s="16" t="str">
        <f>IFERROR(__xludf.DUMMYFUNCTION("""COMPUTED_VALUE"""),"Engkel terkilir")</f>
        <v>Engkel terkilir</v>
      </c>
      <c r="U1316" s="16" t="str">
        <f>IFERROR(__xludf.DUMMYFUNCTION("""COMPUTED_VALUE"""),"Bekerja kantoran")</f>
        <v>Bekerja kantoran</v>
      </c>
      <c r="V1316" s="11" t="str">
        <f>IFERROR(__xludf.DUMMYFUNCTION("""COMPUTED_VALUE"""),"081250509039")</f>
        <v>081250509039</v>
      </c>
      <c r="W1316" s="15"/>
    </row>
    <row r="1317" ht="22.5" customHeight="1">
      <c r="A1317" s="8"/>
      <c r="B1317" s="9">
        <f>IFERROR(__xludf.DUMMYFUNCTION("""COMPUTED_VALUE"""),45414.857606307865)</f>
        <v>45414.85761</v>
      </c>
      <c r="C1317" s="9"/>
      <c r="D1317" s="34">
        <f>IFERROR(__xludf.DUMMYFUNCTION("""COMPUTED_VALUE"""),45420.0)</f>
        <v>45420</v>
      </c>
      <c r="E1317" s="34" t="str">
        <f>IFERROR(__xludf.DUMMYFUNCTION("""COMPUTED_VALUE"""),"05Mei")</f>
        <v>05Mei</v>
      </c>
      <c r="F1317" s="34" t="str">
        <f>IFERROR(__xludf.DUMMYFUNCTION("""COMPUTED_VALUE"""),"2024")</f>
        <v>2024</v>
      </c>
      <c r="G1317" s="35" t="str">
        <f>IFERROR(__xludf.DUMMYFUNCTION("""COMPUTED_VALUE"""),"DONATILA KARENIA IGNALISTA")</f>
        <v>DONATILA KARENIA IGNALISTA</v>
      </c>
      <c r="H1317" s="17" t="str">
        <f>IFERROR(__xludf.DUMMYFUNCTION("""COMPUTED_VALUE"""),"D0524056876")</f>
        <v>D0524056876</v>
      </c>
      <c r="I1317" s="17">
        <f>IFERROR(__xludf.DUMMYFUNCTION("""COMPUTED_VALUE"""),21.0)</f>
        <v>21</v>
      </c>
      <c r="J1317" s="17" t="str">
        <f>IFERROR(__xludf.DUMMYFUNCTION("""COMPUTED_VALUE"""),"18-24 tahun")</f>
        <v>18-24 tahun</v>
      </c>
      <c r="K1317" s="19">
        <f>IFERROR(__xludf.DUMMYFUNCTION("""COMPUTED_VALUE"""),38508.0)</f>
        <v>38508</v>
      </c>
      <c r="L1317" s="19" t="str">
        <f>IFERROR(__xludf.DUMMYFUNCTION("""COMPUTED_VALUE"""),"PEREMPUAN")</f>
        <v>PEREMPUAN</v>
      </c>
      <c r="M1317" s="35" t="str">
        <f>IFERROR(__xludf.DUMMYFUNCTION("""COMPUTED_VALUE"""),"JALAN LINTAS SELATAN")</f>
        <v>JALAN LINTAS SELATAN</v>
      </c>
      <c r="N1317" s="16" t="str">
        <f>IFERROR(__xludf.DUMMYFUNCTION("""COMPUTED_VALUE"""),"KEL. KEDAMIN DARAT")</f>
        <v>KEL. KEDAMIN DARAT</v>
      </c>
      <c r="O1317" s="35" t="str">
        <f>IFERROR(__xludf.DUMMYFUNCTION("""COMPUTED_VALUE"""),"KEC. PUTUSSIBAU SELATAN")</f>
        <v>KEC. PUTUSSIBAU SELATAN</v>
      </c>
      <c r="P1317" s="16" t="str">
        <f>IFERROR(__xludf.DUMMYFUNCTION("""COMPUTED_VALUE"""),"KAB. KAPUAS HULU")</f>
        <v>KAB. KAPUAS HULU</v>
      </c>
      <c r="Q1317" s="16" t="str">
        <f>IFERROR(__xludf.DUMMYFUNCTION("""COMPUTED_VALUE"""),"KALIMANTAN BARAT")</f>
        <v>KALIMANTAN BARAT</v>
      </c>
      <c r="R1317" s="19" t="str">
        <f>IFERROR(__xludf.DUMMYFUNCTION("""COMPUTED_VALUE"""),"KATOLIK")</f>
        <v>KATOLIK</v>
      </c>
      <c r="S1317" s="16" t="str">
        <f>IFERROR(__xludf.DUMMYFUNCTION("""COMPUTED_VALUE"""),"PELAJAR/MAHASISWA")</f>
        <v>PELAJAR/MAHASISWA</v>
      </c>
      <c r="T1317" s="16" t="str">
        <f>IFERROR(__xludf.DUMMYFUNCTION("""COMPUTED_VALUE"""),"sakit bagian punggung sampai pinggang")</f>
        <v>sakit bagian punggung sampai pinggang</v>
      </c>
      <c r="U1317" s="16" t="str">
        <f>IFERROR(__xludf.DUMMYFUNCTION("""COMPUTED_VALUE"""),"tidak ada")</f>
        <v>tidak ada</v>
      </c>
      <c r="V1317" s="11" t="str">
        <f>IFERROR(__xludf.DUMMYFUNCTION("""COMPUTED_VALUE"""),"085845186876")</f>
        <v>085845186876</v>
      </c>
      <c r="W1317" s="15"/>
    </row>
    <row r="1318" ht="22.5" customHeight="1">
      <c r="A1318" s="8"/>
      <c r="B1318" s="9">
        <f>IFERROR(__xludf.DUMMYFUNCTION("""COMPUTED_VALUE"""),45417.491102685184)</f>
        <v>45417.4911</v>
      </c>
      <c r="C1318" s="9"/>
      <c r="D1318" s="34">
        <f>IFERROR(__xludf.DUMMYFUNCTION("""COMPUTED_VALUE"""),45420.0)</f>
        <v>45420</v>
      </c>
      <c r="E1318" s="34" t="str">
        <f>IFERROR(__xludf.DUMMYFUNCTION("""COMPUTED_VALUE"""),"05Mei")</f>
        <v>05Mei</v>
      </c>
      <c r="F1318" s="34" t="str">
        <f>IFERROR(__xludf.DUMMYFUNCTION("""COMPUTED_VALUE"""),"2024")</f>
        <v>2024</v>
      </c>
      <c r="G1318" s="35" t="str">
        <f>IFERROR(__xludf.DUMMYFUNCTION("""COMPUTED_VALUE"""),"RAHMAT FARIZ RAMADHAN")</f>
        <v>RAHMAT FARIZ RAMADHAN</v>
      </c>
      <c r="H1318" s="17" t="str">
        <f>IFERROR(__xludf.DUMMYFUNCTION("""COMPUTED_VALUE"""),"R0524056851")</f>
        <v>R0524056851</v>
      </c>
      <c r="I1318" s="17">
        <f>IFERROR(__xludf.DUMMYFUNCTION("""COMPUTED_VALUE"""),20.0)</f>
        <v>20</v>
      </c>
      <c r="J1318" s="17" t="str">
        <f>IFERROR(__xludf.DUMMYFUNCTION("""COMPUTED_VALUE"""),"18-24 tahun")</f>
        <v>18-24 tahun</v>
      </c>
      <c r="K1318" s="19">
        <f>IFERROR(__xludf.DUMMYFUNCTION("""COMPUTED_VALUE"""),38650.0)</f>
        <v>38650</v>
      </c>
      <c r="L1318" s="19" t="str">
        <f>IFERROR(__xludf.DUMMYFUNCTION("""COMPUTED_VALUE"""),"LAKI-LAKI")</f>
        <v>LAKI-LAKI</v>
      </c>
      <c r="M1318" s="35" t="str">
        <f>IFERROR(__xludf.DUMMYFUNCTION("""COMPUTED_VALUE"""),"JLN. HALMAHERA II NO.29")</f>
        <v>JLN. HALMAHERA II NO.29</v>
      </c>
      <c r="N1318" s="16" t="str">
        <f>IFERROR(__xludf.DUMMYFUNCTION("""COMPUTED_VALUE"""),"KEL. AKCAYA")</f>
        <v>KEL. AKCAYA</v>
      </c>
      <c r="O1318" s="16" t="str">
        <f>IFERROR(__xludf.DUMMYFUNCTION("""COMPUTED_VALUE"""),"KEC. PONTIANAK SELATAN")</f>
        <v>KEC. PONTIANAK SELATAN</v>
      </c>
      <c r="P1318" s="16" t="str">
        <f>IFERROR(__xludf.DUMMYFUNCTION("""COMPUTED_VALUE"""),"KOTA PONTIANAK")</f>
        <v>KOTA PONTIANAK</v>
      </c>
      <c r="Q1318" s="16" t="str">
        <f>IFERROR(__xludf.DUMMYFUNCTION("""COMPUTED_VALUE"""),"KALIMANTAN BARAT")</f>
        <v>KALIMANTAN BARAT</v>
      </c>
      <c r="R1318" s="19" t="str">
        <f>IFERROR(__xludf.DUMMYFUNCTION("""COMPUTED_VALUE"""),"ISLAM")</f>
        <v>ISLAM</v>
      </c>
      <c r="S1318" s="16" t="str">
        <f>IFERROR(__xludf.DUMMYFUNCTION("""COMPUTED_VALUE"""),"PELAJAR/MAHASISWA")</f>
        <v>PELAJAR/MAHASISWA</v>
      </c>
      <c r="T1318" s="16" t="str">
        <f>IFERROR(__xludf.DUMMYFUNCTION("""COMPUTED_VALUE"""),"SAKIT PADA TUMIT KAKI KANAN")</f>
        <v>SAKIT PADA TUMIT KAKI KANAN</v>
      </c>
      <c r="U1318" s="16" t="str">
        <f>IFERROR(__xludf.DUMMYFUNCTION("""COMPUTED_VALUE"""),"FUTSAL")</f>
        <v>FUTSAL</v>
      </c>
      <c r="V1318" s="11" t="str">
        <f>IFERROR(__xludf.DUMMYFUNCTION("""COMPUTED_VALUE"""),"089676606851")</f>
        <v>089676606851</v>
      </c>
      <c r="W1318" s="15"/>
    </row>
    <row r="1319" ht="22.5" customHeight="1">
      <c r="A1319" s="8"/>
      <c r="B1319" s="9">
        <f>IFERROR(__xludf.DUMMYFUNCTION("""COMPUTED_VALUE"""),45417.538813287036)</f>
        <v>45417.53881</v>
      </c>
      <c r="C1319" s="9"/>
      <c r="D1319" s="34">
        <f>IFERROR(__xludf.DUMMYFUNCTION("""COMPUTED_VALUE"""),45420.0)</f>
        <v>45420</v>
      </c>
      <c r="E1319" s="34" t="str">
        <f>IFERROR(__xludf.DUMMYFUNCTION("""COMPUTED_VALUE"""),"05Mei")</f>
        <v>05Mei</v>
      </c>
      <c r="F1319" s="34" t="str">
        <f>IFERROR(__xludf.DUMMYFUNCTION("""COMPUTED_VALUE"""),"2024")</f>
        <v>2024</v>
      </c>
      <c r="G1319" s="35" t="str">
        <f>IFERROR(__xludf.DUMMYFUNCTION("""COMPUTED_VALUE"""),"SITI ATIKA AZZAHRA")</f>
        <v>SITI ATIKA AZZAHRA</v>
      </c>
      <c r="H1319" s="17" t="str">
        <f>IFERROR(__xludf.DUMMYFUNCTION("""COMPUTED_VALUE"""),"S0024053054")</f>
        <v>S0024053054</v>
      </c>
      <c r="I1319" s="17">
        <f>IFERROR(__xludf.DUMMYFUNCTION("""COMPUTED_VALUE"""),25.0)</f>
        <v>25</v>
      </c>
      <c r="J1319" s="17" t="str">
        <f>IFERROR(__xludf.DUMMYFUNCTION("""COMPUTED_VALUE"""),"25-34 tahun")</f>
        <v>25-34 tahun</v>
      </c>
      <c r="K1319" s="19">
        <f>IFERROR(__xludf.DUMMYFUNCTION("""COMPUTED_VALUE"""),36780.0)</f>
        <v>36780</v>
      </c>
      <c r="L1319" s="19" t="str">
        <f>IFERROR(__xludf.DUMMYFUNCTION("""COMPUTED_VALUE"""),"PEREMPUAN")</f>
        <v>PEREMPUAN</v>
      </c>
      <c r="M1319" s="35" t="str">
        <f>IFERROR(__xludf.DUMMYFUNCTION("""COMPUTED_VALUE"""),"JL APEL GG APEL DALAM NO 9")</f>
        <v>JL APEL GG APEL DALAM NO 9</v>
      </c>
      <c r="N1319" s="16" t="str">
        <f>IFERROR(__xludf.DUMMYFUNCTION("""COMPUTED_VALUE"""),"KEL. SUNGAI JAWI LUAR")</f>
        <v>KEL. SUNGAI JAWI LUAR</v>
      </c>
      <c r="O1319" s="16" t="str">
        <f>IFERROR(__xludf.DUMMYFUNCTION("""COMPUTED_VALUE"""),"KEC. PONTIANAK BARAT")</f>
        <v>KEC. PONTIANAK BARAT</v>
      </c>
      <c r="P1319" s="16" t="str">
        <f>IFERROR(__xludf.DUMMYFUNCTION("""COMPUTED_VALUE"""),"KOTA PONTIANAK")</f>
        <v>KOTA PONTIANAK</v>
      </c>
      <c r="Q1319" s="16" t="str">
        <f>IFERROR(__xludf.DUMMYFUNCTION("""COMPUTED_VALUE"""),"KALIMANTAN BARAT")</f>
        <v>KALIMANTAN BARAT</v>
      </c>
      <c r="R1319" s="19" t="str">
        <f>IFERROR(__xludf.DUMMYFUNCTION("""COMPUTED_VALUE"""),"ISLAM")</f>
        <v>ISLAM</v>
      </c>
      <c r="S1319" s="16" t="str">
        <f>IFERROR(__xludf.DUMMYFUNCTION("""COMPUTED_VALUE"""),"BUMN")</f>
        <v>BUMN</v>
      </c>
      <c r="T1319" s="16" t="str">
        <f>IFERROR(__xludf.DUMMYFUNCTION("""COMPUTED_VALUE"""),"keluhan sy habis cabut gigi impaksi, masih terasa kebas dan sensasi kesetrum area bibir kiri bawah dan dagu. sudah konsul ke dokter bedahnya dibilng sudah kena syaraf. sudah pernah di resepkan obat namun tidak ada perubahan")</f>
        <v>keluhan sy habis cabut gigi impaksi, masih terasa kebas dan sensasi kesetrum area bibir kiri bawah dan dagu. sudah konsul ke dokter bedahnya dibilng sudah kena syaraf. sudah pernah di resepkan obat namun tidak ada perubahan</v>
      </c>
      <c r="U1319" s="16" t="str">
        <f>IFERROR(__xludf.DUMMYFUNCTION("""COMPUTED_VALUE"""),"-")</f>
        <v>-</v>
      </c>
      <c r="V1319" s="11" t="str">
        <f>IFERROR(__xludf.DUMMYFUNCTION("""COMPUTED_VALUE"""),"085821453054")</f>
        <v>085821453054</v>
      </c>
      <c r="W1319" s="15"/>
    </row>
    <row r="1320" ht="22.5" customHeight="1">
      <c r="A1320" s="8"/>
      <c r="B1320" s="9">
        <f>IFERROR(__xludf.DUMMYFUNCTION("""COMPUTED_VALUE"""),45417.700005)</f>
        <v>45417.70001</v>
      </c>
      <c r="C1320" s="9"/>
      <c r="D1320" s="34">
        <f>IFERROR(__xludf.DUMMYFUNCTION("""COMPUTED_VALUE"""),45422.0)</f>
        <v>45422</v>
      </c>
      <c r="E1320" s="34" t="str">
        <f>IFERROR(__xludf.DUMMYFUNCTION("""COMPUTED_VALUE"""),"05Mei")</f>
        <v>05Mei</v>
      </c>
      <c r="F1320" s="34" t="str">
        <f>IFERROR(__xludf.DUMMYFUNCTION("""COMPUTED_VALUE"""),"2024")</f>
        <v>2024</v>
      </c>
      <c r="G1320" s="16" t="str">
        <f>IFERROR(__xludf.DUMMYFUNCTION("""COMPUTED_VALUE"""),"URAY ARYA FAVIAN JIWANI")</f>
        <v>URAY ARYA FAVIAN JIWANI</v>
      </c>
      <c r="H1320" s="17" t="str">
        <f>IFERROR(__xludf.DUMMYFUNCTION("""COMPUTED_VALUE"""),"U0224056408")</f>
        <v>U0224056408</v>
      </c>
      <c r="I1320" s="17">
        <f>IFERROR(__xludf.DUMMYFUNCTION("""COMPUTED_VALUE"""),23.0)</f>
        <v>23</v>
      </c>
      <c r="J1320" s="17" t="str">
        <f>IFERROR(__xludf.DUMMYFUNCTION("""COMPUTED_VALUE"""),"18-24 tahun")</f>
        <v>18-24 tahun</v>
      </c>
      <c r="K1320" s="19">
        <f>IFERROR(__xludf.DUMMYFUNCTION("""COMPUTED_VALUE"""),37602.0)</f>
        <v>37602</v>
      </c>
      <c r="L1320" s="19" t="str">
        <f>IFERROR(__xludf.DUMMYFUNCTION("""COMPUTED_VALUE"""),"LAKI-LAKI")</f>
        <v>LAKI-LAKI</v>
      </c>
      <c r="M1320" s="16" t="str">
        <f>IFERROR(__xludf.DUMMYFUNCTION("""COMPUTED_VALUE"""),"JLN. DR. WAHIDIN S NO. 2")</f>
        <v>JLN. DR. WAHIDIN S NO. 2</v>
      </c>
      <c r="N1320" s="16" t="str">
        <f>IFERROR(__xludf.DUMMYFUNCTION("""COMPUTED_VALUE"""),"KEL. SUNGAI JAWI")</f>
        <v>KEL. SUNGAI JAWI</v>
      </c>
      <c r="O1320" s="16" t="str">
        <f>IFERROR(__xludf.DUMMYFUNCTION("""COMPUTED_VALUE"""),"KEC. PONTIANAK KOTA")</f>
        <v>KEC. PONTIANAK KOTA</v>
      </c>
      <c r="P1320" s="16" t="str">
        <f>IFERROR(__xludf.DUMMYFUNCTION("""COMPUTED_VALUE"""),"KOTA PONTIANAK")</f>
        <v>KOTA PONTIANAK</v>
      </c>
      <c r="Q1320" s="16" t="str">
        <f>IFERROR(__xludf.DUMMYFUNCTION("""COMPUTED_VALUE"""),"KALIMANTAN BARAT")</f>
        <v>KALIMANTAN BARAT</v>
      </c>
      <c r="R1320" s="19" t="str">
        <f>IFERROR(__xludf.DUMMYFUNCTION("""COMPUTED_VALUE"""),"ISLAM")</f>
        <v>ISLAM</v>
      </c>
      <c r="S1320" s="16" t="str">
        <f>IFERROR(__xludf.DUMMYFUNCTION("""COMPUTED_VALUE"""),"PELAJAR/MAHASISWA")</f>
        <v>PELAJAR/MAHASISWA</v>
      </c>
      <c r="T1320" s="16" t="str">
        <f>IFERROR(__xludf.DUMMYFUNCTION("""COMPUTED_VALUE"""),"SAYA MERASA NYERI DI KAKI SEBELAH KIRI SAYA, TERUTAMA DI BAGIAN DEKAT MATA KAKI DAN PERGELANGAN KAKINYA. SAYA JUGA SEMPAT BEBERAPA KALI KRAM DI DAERAH PINGGANG KIRI SAYA")</f>
        <v>SAYA MERASA NYERI DI KAKI SEBELAH KIRI SAYA, TERUTAMA DI BAGIAN DEKAT MATA KAKI DAN PERGELANGAN KAKINYA. SAYA JUGA SEMPAT BEBERAPA KALI KRAM DI DAERAH PINGGANG KIRI SAYA</v>
      </c>
      <c r="U1320" s="16" t="str">
        <f>IFERROR(__xludf.DUMMYFUNCTION("""COMPUTED_VALUE"""),"BELAKANGAN INI SERING DUDUK DI DEPAN KOMPUTER KARENA MENGERJAKAN TUGAS KULIAH.")</f>
        <v>BELAKANGAN INI SERING DUDUK DI DEPAN KOMPUTER KARENA MENGERJAKAN TUGAS KULIAH.</v>
      </c>
      <c r="V1320" s="11" t="str">
        <f>IFERROR(__xludf.DUMMYFUNCTION("""COMPUTED_VALUE"""),"085386796408")</f>
        <v>085386796408</v>
      </c>
      <c r="W1320" s="15"/>
    </row>
    <row r="1321" ht="22.5" customHeight="1">
      <c r="A1321" s="8"/>
      <c r="B1321" s="9">
        <f>IFERROR(__xludf.DUMMYFUNCTION("""COMPUTED_VALUE"""),45418.48205706019)</f>
        <v>45418.48206</v>
      </c>
      <c r="C1321" s="9"/>
      <c r="D1321" s="34">
        <f>IFERROR(__xludf.DUMMYFUNCTION("""COMPUTED_VALUE"""),45422.0)</f>
        <v>45422</v>
      </c>
      <c r="E1321" s="34" t="str">
        <f>IFERROR(__xludf.DUMMYFUNCTION("""COMPUTED_VALUE"""),"05Mei")</f>
        <v>05Mei</v>
      </c>
      <c r="F1321" s="34" t="str">
        <f>IFERROR(__xludf.DUMMYFUNCTION("""COMPUTED_VALUE"""),"2024")</f>
        <v>2024</v>
      </c>
      <c r="G1321" s="35" t="str">
        <f>IFERROR(__xludf.DUMMYFUNCTION("""COMPUTED_VALUE"""),"HANDY YOSUA THOMAS")</f>
        <v>HANDY YOSUA THOMAS</v>
      </c>
      <c r="H1321" s="17" t="str">
        <f>IFERROR(__xludf.DUMMYFUNCTION("""COMPUTED_VALUE"""),"H9224057775")</f>
        <v>H9224057775</v>
      </c>
      <c r="I1321" s="17">
        <f>IFERROR(__xludf.DUMMYFUNCTION("""COMPUTED_VALUE"""),34.0)</f>
        <v>34</v>
      </c>
      <c r="J1321" s="17" t="str">
        <f>IFERROR(__xludf.DUMMYFUNCTION("""COMPUTED_VALUE"""),"25-34 tahun")</f>
        <v>25-34 tahun</v>
      </c>
      <c r="K1321" s="19">
        <f>IFERROR(__xludf.DUMMYFUNCTION("""COMPUTED_VALUE"""),33635.0)</f>
        <v>33635</v>
      </c>
      <c r="L1321" s="19" t="str">
        <f>IFERROR(__xludf.DUMMYFUNCTION("""COMPUTED_VALUE"""),"LAKI-LAKI")</f>
        <v>LAKI-LAKI</v>
      </c>
      <c r="M1321" s="35" t="str">
        <f>IFERROR(__xludf.DUMMYFUNCTION("""COMPUTED_VALUE"""),"JL TANJUNGPURA NO 61A")</f>
        <v>JL TANJUNGPURA NO 61A</v>
      </c>
      <c r="N1321" s="16" t="str">
        <f>IFERROR(__xludf.DUMMYFUNCTION("""COMPUTED_VALUE"""),"KEL. BENUA MELAYU DARAT")</f>
        <v>KEL. BENUA MELAYU DARAT</v>
      </c>
      <c r="O1321" s="16" t="str">
        <f>IFERROR(__xludf.DUMMYFUNCTION("""COMPUTED_VALUE"""),"KEC. PONTIANAK SELATAN")</f>
        <v>KEC. PONTIANAK SELATAN</v>
      </c>
      <c r="P1321" s="16" t="str">
        <f>IFERROR(__xludf.DUMMYFUNCTION("""COMPUTED_VALUE"""),"KOTA PONTIANAK")</f>
        <v>KOTA PONTIANAK</v>
      </c>
      <c r="Q1321" s="16" t="str">
        <f>IFERROR(__xludf.DUMMYFUNCTION("""COMPUTED_VALUE"""),"KALIMANTAN BARAT")</f>
        <v>KALIMANTAN BARAT</v>
      </c>
      <c r="R1321" s="19" t="str">
        <f>IFERROR(__xludf.DUMMYFUNCTION("""COMPUTED_VALUE"""),"PROTESTAN")</f>
        <v>PROTESTAN</v>
      </c>
      <c r="S1321" s="16" t="str">
        <f>IFERROR(__xludf.DUMMYFUNCTION("""COMPUTED_VALUE"""),"WIRASWASTA")</f>
        <v>WIRASWASTA</v>
      </c>
      <c r="T1321" s="16" t="str">
        <f>IFERROR(__xludf.DUMMYFUNCTION("""COMPUTED_VALUE"""),"Mau meningkatkan explosive")</f>
        <v>Mau meningkatkan explosive</v>
      </c>
      <c r="U1321" s="16" t="str">
        <f>IFERROR(__xludf.DUMMYFUNCTION("""COMPUTED_VALUE"""),"Badminton dan gym")</f>
        <v>Badminton dan gym</v>
      </c>
      <c r="V1321" s="11" t="str">
        <f>IFERROR(__xludf.DUMMYFUNCTION("""COMPUTED_VALUE"""),"082255337775")</f>
        <v>082255337775</v>
      </c>
      <c r="W1321" s="15"/>
    </row>
    <row r="1322" ht="22.5" customHeight="1">
      <c r="A1322" s="8"/>
      <c r="B1322" s="9">
        <f>IFERROR(__xludf.DUMMYFUNCTION("""COMPUTED_VALUE"""),45418.485967939814)</f>
        <v>45418.48597</v>
      </c>
      <c r="C1322" s="9"/>
      <c r="D1322" s="34">
        <f>IFERROR(__xludf.DUMMYFUNCTION("""COMPUTED_VALUE"""),45423.0)</f>
        <v>45423</v>
      </c>
      <c r="E1322" s="34" t="str">
        <f>IFERROR(__xludf.DUMMYFUNCTION("""COMPUTED_VALUE"""),"05Mei")</f>
        <v>05Mei</v>
      </c>
      <c r="F1322" s="34" t="str">
        <f>IFERROR(__xludf.DUMMYFUNCTION("""COMPUTED_VALUE"""),"2024")</f>
        <v>2024</v>
      </c>
      <c r="G1322" s="35" t="str">
        <f>IFERROR(__xludf.DUMMYFUNCTION("""COMPUTED_VALUE"""),"ANINDA NABILA WIDMAN P.")</f>
        <v>ANINDA NABILA WIDMAN P.</v>
      </c>
      <c r="H1322" s="17" t="str">
        <f>IFERROR(__xludf.DUMMYFUNCTION("""COMPUTED_VALUE"""),"A0224053501")</f>
        <v>A0224053501</v>
      </c>
      <c r="I1322" s="17">
        <f>IFERROR(__xludf.DUMMYFUNCTION("""COMPUTED_VALUE"""),24.0)</f>
        <v>24</v>
      </c>
      <c r="J1322" s="17" t="str">
        <f>IFERROR(__xludf.DUMMYFUNCTION("""COMPUTED_VALUE"""),"18-24 tahun")</f>
        <v>18-24 tahun</v>
      </c>
      <c r="K1322" s="19">
        <f>IFERROR(__xludf.DUMMYFUNCTION("""COMPUTED_VALUE"""),37301.0)</f>
        <v>37301</v>
      </c>
      <c r="L1322" s="19" t="str">
        <f>IFERROR(__xludf.DUMMYFUNCTION("""COMPUTED_VALUE"""),"PEREMPUAN")</f>
        <v>PEREMPUAN</v>
      </c>
      <c r="M1322" s="35" t="str">
        <f>IFERROR(__xludf.DUMMYFUNCTION("""COMPUTED_VALUE"""),"JL. H.M SUWIGNYO GG. SUDIHARJO 1 NO 27B")</f>
        <v>JL. H.M SUWIGNYO GG. SUDIHARJO 1 NO 27B</v>
      </c>
      <c r="N1322" s="16" t="str">
        <f>IFERROR(__xludf.DUMMYFUNCTION("""COMPUTED_VALUE"""),"KEL. SUNGAI JAWI")</f>
        <v>KEL. SUNGAI JAWI</v>
      </c>
      <c r="O1322" s="16" t="str">
        <f>IFERROR(__xludf.DUMMYFUNCTION("""COMPUTED_VALUE"""),"KEC. PONTIANAK KOTA")</f>
        <v>KEC. PONTIANAK KOTA</v>
      </c>
      <c r="P1322" s="16" t="str">
        <f>IFERROR(__xludf.DUMMYFUNCTION("""COMPUTED_VALUE"""),"KOTA PONTIANAK")</f>
        <v>KOTA PONTIANAK</v>
      </c>
      <c r="Q1322" s="16" t="str">
        <f>IFERROR(__xludf.DUMMYFUNCTION("""COMPUTED_VALUE"""),"KALIMANTAN BARAT")</f>
        <v>KALIMANTAN BARAT</v>
      </c>
      <c r="R1322" s="19" t="str">
        <f>IFERROR(__xludf.DUMMYFUNCTION("""COMPUTED_VALUE"""),"ISLAM")</f>
        <v>ISLAM</v>
      </c>
      <c r="S1322" s="16" t="str">
        <f>IFERROR(__xludf.DUMMYFUNCTION("""COMPUTED_VALUE"""),"SWASTA")</f>
        <v>SWASTA</v>
      </c>
      <c r="T1322" s="16" t="str">
        <f>IFERROR(__xludf.DUMMYFUNCTION("""COMPUTED_VALUE"""),"Sakit")</f>
        <v>Sakit</v>
      </c>
      <c r="U1322" s="16" t="str">
        <f>IFERROR(__xludf.DUMMYFUNCTION("""COMPUTED_VALUE"""),"Lari Maraton")</f>
        <v>Lari Maraton</v>
      </c>
      <c r="V1322" s="11" t="str">
        <f>IFERROR(__xludf.DUMMYFUNCTION("""COMPUTED_VALUE"""),"085750263501")</f>
        <v>085750263501</v>
      </c>
      <c r="W1322" s="15"/>
    </row>
    <row r="1323" ht="22.5" customHeight="1">
      <c r="A1323" s="8"/>
      <c r="B1323" s="9">
        <f>IFERROR(__xludf.DUMMYFUNCTION("""COMPUTED_VALUE"""),45418.82859462963)</f>
        <v>45418.82859</v>
      </c>
      <c r="C1323" s="9"/>
      <c r="D1323" s="34">
        <f>IFERROR(__xludf.DUMMYFUNCTION("""COMPUTED_VALUE"""),45423.0)</f>
        <v>45423</v>
      </c>
      <c r="E1323" s="34" t="str">
        <f>IFERROR(__xludf.DUMMYFUNCTION("""COMPUTED_VALUE"""),"05Mei")</f>
        <v>05Mei</v>
      </c>
      <c r="F1323" s="34" t="str">
        <f>IFERROR(__xludf.DUMMYFUNCTION("""COMPUTED_VALUE"""),"2024")</f>
        <v>2024</v>
      </c>
      <c r="G1323" s="16" t="str">
        <f>IFERROR(__xludf.DUMMYFUNCTION("""COMPUTED_VALUE"""),"ANGGI PERWITASARI")</f>
        <v>ANGGI PERWITASARI</v>
      </c>
      <c r="H1323" s="17" t="str">
        <f>IFERROR(__xludf.DUMMYFUNCTION("""COMPUTED_VALUE"""),"A8924059959")</f>
        <v>A8924059959</v>
      </c>
      <c r="I1323" s="17">
        <f>IFERROR(__xludf.DUMMYFUNCTION("""COMPUTED_VALUE"""),36.0)</f>
        <v>36</v>
      </c>
      <c r="J1323" s="17" t="str">
        <f>IFERROR(__xludf.DUMMYFUNCTION("""COMPUTED_VALUE"""),"35-44 tahun")</f>
        <v>35-44 tahun</v>
      </c>
      <c r="K1323" s="19">
        <f>IFERROR(__xludf.DUMMYFUNCTION("""COMPUTED_VALUE"""),32739.0)</f>
        <v>32739</v>
      </c>
      <c r="L1323" s="19" t="str">
        <f>IFERROR(__xludf.DUMMYFUNCTION("""COMPUTED_VALUE"""),"PEREMPUAN")</f>
        <v>PEREMPUAN</v>
      </c>
      <c r="M1323" s="35" t="str">
        <f>IFERROR(__xludf.DUMMYFUNCTION("""COMPUTED_VALUE"""),"JL GUSTI HAMZAH GG HIDAYAH NO 7")</f>
        <v>JL GUSTI HAMZAH GG HIDAYAH NO 7</v>
      </c>
      <c r="N1323" s="16" t="str">
        <f>IFERROR(__xludf.DUMMYFUNCTION("""COMPUTED_VALUE"""),"KEL. SUNGAI JAWI")</f>
        <v>KEL. SUNGAI JAWI</v>
      </c>
      <c r="O1323" s="16" t="str">
        <f>IFERROR(__xludf.DUMMYFUNCTION("""COMPUTED_VALUE"""),"KEC. PONTIANAK KOTA")</f>
        <v>KEC. PONTIANAK KOTA</v>
      </c>
      <c r="P1323" s="16" t="str">
        <f>IFERROR(__xludf.DUMMYFUNCTION("""COMPUTED_VALUE"""),"KOTA PONTIANAK")</f>
        <v>KOTA PONTIANAK</v>
      </c>
      <c r="Q1323" s="16" t="str">
        <f>IFERROR(__xludf.DUMMYFUNCTION("""COMPUTED_VALUE"""),"KALIMANTAN BARAT")</f>
        <v>KALIMANTAN BARAT</v>
      </c>
      <c r="R1323" s="19" t="str">
        <f>IFERROR(__xludf.DUMMYFUNCTION("""COMPUTED_VALUE"""),"ISLAM")</f>
        <v>ISLAM</v>
      </c>
      <c r="S1323" s="16" t="str">
        <f>IFERROR(__xludf.DUMMYFUNCTION("""COMPUTED_VALUE"""),"ASN")</f>
        <v>ASN</v>
      </c>
      <c r="T1323" s="16" t="str">
        <f>IFERROR(__xludf.DUMMYFUNCTION("""COMPUTED_VALUE"""),"Dislokasi rahang")</f>
        <v>Dislokasi rahang</v>
      </c>
      <c r="U1323" s="16" t="str">
        <f>IFERROR(__xludf.DUMMYFUNCTION("""COMPUTED_VALUE"""),"Bekerja")</f>
        <v>Bekerja</v>
      </c>
      <c r="V1323" s="11" t="str">
        <f>IFERROR(__xludf.DUMMYFUNCTION("""COMPUTED_VALUE"""),"082358159959")</f>
        <v>082358159959</v>
      </c>
      <c r="W1323" s="15"/>
    </row>
    <row r="1324" ht="22.5" customHeight="1">
      <c r="A1324" s="8"/>
      <c r="B1324" s="9">
        <f>IFERROR(__xludf.DUMMYFUNCTION("""COMPUTED_VALUE"""),45419.540095868055)</f>
        <v>45419.5401</v>
      </c>
      <c r="C1324" s="9"/>
      <c r="D1324" s="34">
        <f>IFERROR(__xludf.DUMMYFUNCTION("""COMPUTED_VALUE"""),45423.0)</f>
        <v>45423</v>
      </c>
      <c r="E1324" s="34" t="str">
        <f>IFERROR(__xludf.DUMMYFUNCTION("""COMPUTED_VALUE"""),"05Mei")</f>
        <v>05Mei</v>
      </c>
      <c r="F1324" s="34" t="str">
        <f>IFERROR(__xludf.DUMMYFUNCTION("""COMPUTED_VALUE"""),"2024")</f>
        <v>2024</v>
      </c>
      <c r="G1324" s="16" t="str">
        <f>IFERROR(__xludf.DUMMYFUNCTION("""COMPUTED_VALUE"""),"UTIN NUR ALIA")</f>
        <v>UTIN NUR ALIA</v>
      </c>
      <c r="H1324" s="17" t="str">
        <f>IFERROR(__xludf.DUMMYFUNCTION("""COMPUTED_VALUE"""),"U9624055631")</f>
        <v>U9624055631</v>
      </c>
      <c r="I1324" s="17">
        <f>IFERROR(__xludf.DUMMYFUNCTION("""COMPUTED_VALUE"""),29.0)</f>
        <v>29</v>
      </c>
      <c r="J1324" s="17" t="str">
        <f>IFERROR(__xludf.DUMMYFUNCTION("""COMPUTED_VALUE"""),"25-34 tahun")</f>
        <v>25-34 tahun</v>
      </c>
      <c r="K1324" s="19">
        <f>IFERROR(__xludf.DUMMYFUNCTION("""COMPUTED_VALUE"""),35417.0)</f>
        <v>35417</v>
      </c>
      <c r="L1324" s="19" t="str">
        <f>IFERROR(__xludf.DUMMYFUNCTION("""COMPUTED_VALUE"""),"PEREMPUAN")</f>
        <v>PEREMPUAN</v>
      </c>
      <c r="M1324" s="35" t="str">
        <f>IFERROR(__xludf.DUMMYFUNCTION("""COMPUTED_VALUE"""),"JL SUMATERA GG MEKAR")</f>
        <v>JL SUMATERA GG MEKAR</v>
      </c>
      <c r="N1324" s="16" t="str">
        <f>IFERROR(__xludf.DUMMYFUNCTION("""COMPUTED_VALUE"""),"KEL. AKCAYA")</f>
        <v>KEL. AKCAYA</v>
      </c>
      <c r="O1324" s="16" t="str">
        <f>IFERROR(__xludf.DUMMYFUNCTION("""COMPUTED_VALUE"""),"KEC. PONTIANAK SELATAN")</f>
        <v>KEC. PONTIANAK SELATAN</v>
      </c>
      <c r="P1324" s="16" t="str">
        <f>IFERROR(__xludf.DUMMYFUNCTION("""COMPUTED_VALUE"""),"KOTA PONTIANAK")</f>
        <v>KOTA PONTIANAK</v>
      </c>
      <c r="Q1324" s="16" t="str">
        <f>IFERROR(__xludf.DUMMYFUNCTION("""COMPUTED_VALUE"""),"KALIMANTAN BARAT")</f>
        <v>KALIMANTAN BARAT</v>
      </c>
      <c r="R1324" s="19" t="str">
        <f>IFERROR(__xludf.DUMMYFUNCTION("""COMPUTED_VALUE"""),"ISLAM")</f>
        <v>ISLAM</v>
      </c>
      <c r="S1324" s="16" t="str">
        <f>IFERROR(__xludf.DUMMYFUNCTION("""COMPUTED_VALUE"""),"SWASTA")</f>
        <v>SWASTA</v>
      </c>
      <c r="T1324" s="16" t="str">
        <f>IFERROR(__xludf.DUMMYFUNCTION("""COMPUTED_VALUE"""),"Sakit bagian leher dan bahu")</f>
        <v>Sakit bagian leher dan bahu</v>
      </c>
      <c r="U1324" s="16" t="str">
        <f>IFERROR(__xludf.DUMMYFUNCTION("""COMPUTED_VALUE"""),"Olah raga")</f>
        <v>Olah raga</v>
      </c>
      <c r="V1324" s="11" t="str">
        <f>IFERROR(__xludf.DUMMYFUNCTION("""COMPUTED_VALUE"""),"081221895631")</f>
        <v>081221895631</v>
      </c>
      <c r="W1324" s="15"/>
    </row>
    <row r="1325" ht="22.5" customHeight="1">
      <c r="A1325" s="8"/>
      <c r="B1325" s="9">
        <f>IFERROR(__xludf.DUMMYFUNCTION("""COMPUTED_VALUE"""),45419.56008111111)</f>
        <v>45419.56008</v>
      </c>
      <c r="C1325" s="9"/>
      <c r="D1325" s="34">
        <f>IFERROR(__xludf.DUMMYFUNCTION("""COMPUTED_VALUE"""),45423.0)</f>
        <v>45423</v>
      </c>
      <c r="E1325" s="34" t="str">
        <f>IFERROR(__xludf.DUMMYFUNCTION("""COMPUTED_VALUE"""),"05Mei")</f>
        <v>05Mei</v>
      </c>
      <c r="F1325" s="34" t="str">
        <f>IFERROR(__xludf.DUMMYFUNCTION("""COMPUTED_VALUE"""),"2024")</f>
        <v>2024</v>
      </c>
      <c r="G1325" s="35" t="str">
        <f>IFERROR(__xludf.DUMMYFUNCTION("""COMPUTED_VALUE"""),"MUHAMMAD RIZKY ASLAMSYAH")</f>
        <v>MUHAMMAD RIZKY ASLAMSYAH</v>
      </c>
      <c r="H1325" s="17" t="str">
        <f>IFERROR(__xludf.DUMMYFUNCTION("""COMPUTED_VALUE"""),"M9324050815")</f>
        <v>M9324050815</v>
      </c>
      <c r="I1325" s="17">
        <f>IFERROR(__xludf.DUMMYFUNCTION("""COMPUTED_VALUE"""),32.0)</f>
        <v>32</v>
      </c>
      <c r="J1325" s="17" t="str">
        <f>IFERROR(__xludf.DUMMYFUNCTION("""COMPUTED_VALUE"""),"25-34 tahun")</f>
        <v>25-34 tahun</v>
      </c>
      <c r="K1325" s="19">
        <f>IFERROR(__xludf.DUMMYFUNCTION("""COMPUTED_VALUE"""),34183.0)</f>
        <v>34183</v>
      </c>
      <c r="L1325" s="19" t="str">
        <f>IFERROR(__xludf.DUMMYFUNCTION("""COMPUTED_VALUE"""),"LAKI-LAKI")</f>
        <v>LAKI-LAKI</v>
      </c>
      <c r="M1325" s="35" t="str">
        <f>IFERROR(__xludf.DUMMYFUNCTION("""COMPUTED_VALUE"""),"JL. H. MURNI GG. KEDONDONG")</f>
        <v>JL. H. MURNI GG. KEDONDONG</v>
      </c>
      <c r="N1325" s="16" t="str">
        <f>IFERROR(__xludf.DUMMYFUNCTION("""COMPUTED_VALUE"""),"KEL. TENGAH")</f>
        <v>KEL. TENGAH</v>
      </c>
      <c r="O1325" s="16" t="str">
        <f>IFERROR(__xludf.DUMMYFUNCTION("""COMPUTED_VALUE"""),"KEC. DELTA PAWAN")</f>
        <v>KEC. DELTA PAWAN</v>
      </c>
      <c r="P1325" s="16" t="str">
        <f>IFERROR(__xludf.DUMMYFUNCTION("""COMPUTED_VALUE"""),"KOTA PONTIANAK")</f>
        <v>KOTA PONTIANAK</v>
      </c>
      <c r="Q1325" s="16" t="str">
        <f>IFERROR(__xludf.DUMMYFUNCTION("""COMPUTED_VALUE"""),"KALIMANTAN BARAT")</f>
        <v>KALIMANTAN BARAT</v>
      </c>
      <c r="R1325" s="19" t="str">
        <f>IFERROR(__xludf.DUMMYFUNCTION("""COMPUTED_VALUE"""),"ISLAM")</f>
        <v>ISLAM</v>
      </c>
      <c r="S1325" s="16" t="str">
        <f>IFERROR(__xludf.DUMMYFUNCTION("""COMPUTED_VALUE"""),"TNI/POLRI")</f>
        <v>TNI/POLRI</v>
      </c>
      <c r="T1325" s="16" t="str">
        <f>IFERROR(__xludf.DUMMYFUNCTION("""COMPUTED_VALUE"""),"Sakit pada tulang kering kaki kiri")</f>
        <v>Sakit pada tulang kering kaki kiri</v>
      </c>
      <c r="U1325" s="16" t="str">
        <f>IFERROR(__xludf.DUMMYFUNCTION("""COMPUTED_VALUE"""),"Berlari, bola dan sepeda")</f>
        <v>Berlari, bola dan sepeda</v>
      </c>
      <c r="V1325" s="11" t="str">
        <f>IFERROR(__xludf.DUMMYFUNCTION("""COMPUTED_VALUE"""),"087817500815")</f>
        <v>087817500815</v>
      </c>
      <c r="W1325" s="15"/>
    </row>
    <row r="1326" ht="22.5" customHeight="1">
      <c r="A1326" s="8"/>
      <c r="B1326" s="9">
        <f>IFERROR(__xludf.DUMMYFUNCTION("""COMPUTED_VALUE"""),45416.63881896991)</f>
        <v>45416.63882</v>
      </c>
      <c r="C1326" s="9"/>
      <c r="D1326" s="34">
        <f>IFERROR(__xludf.DUMMYFUNCTION("""COMPUTED_VALUE"""),45423.0)</f>
        <v>45423</v>
      </c>
      <c r="E1326" s="34" t="str">
        <f>IFERROR(__xludf.DUMMYFUNCTION("""COMPUTED_VALUE"""),"05Mei")</f>
        <v>05Mei</v>
      </c>
      <c r="F1326" s="34" t="str">
        <f>IFERROR(__xludf.DUMMYFUNCTION("""COMPUTED_VALUE"""),"2024")</f>
        <v>2024</v>
      </c>
      <c r="G1326" s="35" t="str">
        <f>IFERROR(__xludf.DUMMYFUNCTION("""COMPUTED_VALUE"""),"SYARIF MAULANA")</f>
        <v>SYARIF MAULANA</v>
      </c>
      <c r="H1326" s="17" t="str">
        <f>IFERROR(__xludf.DUMMYFUNCTION("""COMPUTED_VALUE"""),"S0224056365")</f>
        <v>S0224056365</v>
      </c>
      <c r="I1326" s="17">
        <f>IFERROR(__xludf.DUMMYFUNCTION("""COMPUTED_VALUE"""),24.0)</f>
        <v>24</v>
      </c>
      <c r="J1326" s="17" t="str">
        <f>IFERROR(__xludf.DUMMYFUNCTION("""COMPUTED_VALUE"""),"18-24 tahun")</f>
        <v>18-24 tahun</v>
      </c>
      <c r="K1326" s="19">
        <f>IFERROR(__xludf.DUMMYFUNCTION("""COMPUTED_VALUE"""),37271.0)</f>
        <v>37271</v>
      </c>
      <c r="L1326" s="19" t="str">
        <f>IFERROR(__xludf.DUMMYFUNCTION("""COMPUTED_VALUE"""),"LAKI-LAKI")</f>
        <v>LAKI-LAKI</v>
      </c>
      <c r="M1326" s="35" t="str">
        <f>IFERROR(__xludf.DUMMYFUNCTION("""COMPUTED_VALUE"""),"KOMP.KRATON")</f>
        <v>KOMP.KRATON</v>
      </c>
      <c r="N1326" s="16" t="str">
        <f>IFERROR(__xludf.DUMMYFUNCTION("""COMPUTED_VALUE"""),"KEL. DALAM BUGIS")</f>
        <v>KEL. DALAM BUGIS</v>
      </c>
      <c r="O1326" s="16" t="str">
        <f>IFERROR(__xludf.DUMMYFUNCTION("""COMPUTED_VALUE"""),"KEC. PONTIANAK TIMUR")</f>
        <v>KEC. PONTIANAK TIMUR</v>
      </c>
      <c r="P1326" s="16" t="str">
        <f>IFERROR(__xludf.DUMMYFUNCTION("""COMPUTED_VALUE"""),"KOTA PONTIANAK")</f>
        <v>KOTA PONTIANAK</v>
      </c>
      <c r="Q1326" s="16" t="str">
        <f>IFERROR(__xludf.DUMMYFUNCTION("""COMPUTED_VALUE"""),"KALIMANTAN BARAT")</f>
        <v>KALIMANTAN BARAT</v>
      </c>
      <c r="R1326" s="19" t="str">
        <f>IFERROR(__xludf.DUMMYFUNCTION("""COMPUTED_VALUE"""),"ISLAM")</f>
        <v>ISLAM</v>
      </c>
      <c r="S1326" s="16" t="str">
        <f>IFERROR(__xludf.DUMMYFUNCTION("""COMPUTED_VALUE"""),"PELAJAR/MAHASISWA")</f>
        <v>PELAJAR/MAHASISWA</v>
      </c>
      <c r="T1326" s="16" t="str">
        <f>IFERROR(__xludf.DUMMYFUNCTION("""COMPUTED_VALUE"""),"Belakang sering nyeri kalau kaki di tekuk")</f>
        <v>Belakang sering nyeri kalau kaki di tekuk</v>
      </c>
      <c r="U1326" s="16" t="str">
        <f>IFERROR(__xludf.DUMMYFUNCTION("""COMPUTED_VALUE"""),"Futsal dan bola")</f>
        <v>Futsal dan bola</v>
      </c>
      <c r="V1326" s="11" t="str">
        <f>IFERROR(__xludf.DUMMYFUNCTION("""COMPUTED_VALUE"""),"088708316365")</f>
        <v>088708316365</v>
      </c>
      <c r="W1326" s="15"/>
    </row>
    <row r="1327" ht="22.5" customHeight="1">
      <c r="A1327" s="8"/>
      <c r="B1327" s="9">
        <f>IFERROR(__xludf.DUMMYFUNCTION("""COMPUTED_VALUE"""),45419.614666828704)</f>
        <v>45419.61467</v>
      </c>
      <c r="C1327" s="9"/>
      <c r="D1327" s="34">
        <f>IFERROR(__xludf.DUMMYFUNCTION("""COMPUTED_VALUE"""),45423.0)</f>
        <v>45423</v>
      </c>
      <c r="E1327" s="34" t="str">
        <f>IFERROR(__xludf.DUMMYFUNCTION("""COMPUTED_VALUE"""),"05Mei")</f>
        <v>05Mei</v>
      </c>
      <c r="F1327" s="34" t="str">
        <f>IFERROR(__xludf.DUMMYFUNCTION("""COMPUTED_VALUE"""),"2024")</f>
        <v>2024</v>
      </c>
      <c r="G1327" s="35" t="str">
        <f>IFERROR(__xludf.DUMMYFUNCTION("""COMPUTED_VALUE"""),"LIM LIE FONG")</f>
        <v>LIM LIE FONG</v>
      </c>
      <c r="H1327" s="17" t="str">
        <f>IFERROR(__xludf.DUMMYFUNCTION("""COMPUTED_VALUE"""),"L6224053235")</f>
        <v>L6224053235</v>
      </c>
      <c r="I1327" s="17">
        <f>IFERROR(__xludf.DUMMYFUNCTION("""COMPUTED_VALUE"""),64.0)</f>
        <v>64</v>
      </c>
      <c r="J1327" s="17" t="str">
        <f>IFERROR(__xludf.DUMMYFUNCTION("""COMPUTED_VALUE"""),"&gt; 44 tahun")</f>
        <v>&gt; 44 tahun</v>
      </c>
      <c r="K1327" s="19">
        <f>IFERROR(__xludf.DUMMYFUNCTION("""COMPUTED_VALUE"""),22717.0)</f>
        <v>22717</v>
      </c>
      <c r="L1327" s="19" t="str">
        <f>IFERROR(__xludf.DUMMYFUNCTION("""COMPUTED_VALUE"""),"PEREMPUAN")</f>
        <v>PEREMPUAN</v>
      </c>
      <c r="M1327" s="35" t="str">
        <f>IFERROR(__xludf.DUMMYFUNCTION("""COMPUTED_VALUE"""),"JL.TANJUNGPURA.GG :DELI ACEH NO 30")</f>
        <v>JL.TANJUNGPURA.GG :DELI ACEH NO 30</v>
      </c>
      <c r="N1327" s="16" t="str">
        <f>IFERROR(__xludf.DUMMYFUNCTION("""COMPUTED_VALUE"""),"KEL. BENUA MELAYU DARAT")</f>
        <v>KEL. BENUA MELAYU DARAT</v>
      </c>
      <c r="O1327" s="16" t="str">
        <f>IFERROR(__xludf.DUMMYFUNCTION("""COMPUTED_VALUE"""),"KEC. PONTIANAK SELATAN")</f>
        <v>KEC. PONTIANAK SELATAN</v>
      </c>
      <c r="P1327" s="16" t="str">
        <f>IFERROR(__xludf.DUMMYFUNCTION("""COMPUTED_VALUE"""),"KOTA PONTIANAK")</f>
        <v>KOTA PONTIANAK</v>
      </c>
      <c r="Q1327" s="16" t="str">
        <f>IFERROR(__xludf.DUMMYFUNCTION("""COMPUTED_VALUE"""),"KALIMANTAN BARAT")</f>
        <v>KALIMANTAN BARAT</v>
      </c>
      <c r="R1327" s="19" t="str">
        <f>IFERROR(__xludf.DUMMYFUNCTION("""COMPUTED_VALUE"""),"KATOLIK")</f>
        <v>KATOLIK</v>
      </c>
      <c r="S1327" s="16" t="str">
        <f>IFERROR(__xludf.DUMMYFUNCTION("""COMPUTED_VALUE"""),"RUMAH TANGGA")</f>
        <v>RUMAH TANGGA</v>
      </c>
      <c r="T1327" s="16" t="str">
        <f>IFERROR(__xludf.DUMMYFUNCTION("""COMPUTED_VALUE"""),"tulang belakang bermasalah")</f>
        <v>tulang belakang bermasalah</v>
      </c>
      <c r="U1327" s="16" t="str">
        <f>IFERROR(__xludf.DUMMYFUNCTION("""COMPUTED_VALUE"""),"Berenang")</f>
        <v>Berenang</v>
      </c>
      <c r="V1327" s="11" t="str">
        <f>IFERROR(__xludf.DUMMYFUNCTION("""COMPUTED_VALUE"""),"0895331693235")</f>
        <v>0895331693235</v>
      </c>
      <c r="W1327" s="15"/>
    </row>
    <row r="1328" ht="22.5" customHeight="1">
      <c r="A1328" s="8"/>
      <c r="B1328" s="9">
        <f>IFERROR(__xludf.DUMMYFUNCTION("""COMPUTED_VALUE"""),45419.61532275463)</f>
        <v>45419.61532</v>
      </c>
      <c r="C1328" s="9"/>
      <c r="D1328" s="34">
        <f>IFERROR(__xludf.DUMMYFUNCTION("""COMPUTED_VALUE"""),45424.0)</f>
        <v>45424</v>
      </c>
      <c r="E1328" s="34" t="str">
        <f>IFERROR(__xludf.DUMMYFUNCTION("""COMPUTED_VALUE"""),"05Mei")</f>
        <v>05Mei</v>
      </c>
      <c r="F1328" s="34" t="str">
        <f>IFERROR(__xludf.DUMMYFUNCTION("""COMPUTED_VALUE"""),"2024")</f>
        <v>2024</v>
      </c>
      <c r="G1328" s="16" t="str">
        <f>IFERROR(__xludf.DUMMYFUNCTION("""COMPUTED_VALUE"""),"AGUS ARIANSYAH")</f>
        <v>AGUS ARIANSYAH</v>
      </c>
      <c r="H1328" s="17" t="str">
        <f>IFERROR(__xludf.DUMMYFUNCTION("""COMPUTED_VALUE"""),"A0524052429")</f>
        <v>A0524052429</v>
      </c>
      <c r="I1328" s="17">
        <f>IFERROR(__xludf.DUMMYFUNCTION("""COMPUTED_VALUE"""),20.0)</f>
        <v>20</v>
      </c>
      <c r="J1328" s="17" t="str">
        <f>IFERROR(__xludf.DUMMYFUNCTION("""COMPUTED_VALUE"""),"18-24 tahun")</f>
        <v>18-24 tahun</v>
      </c>
      <c r="K1328" s="19">
        <f>IFERROR(__xludf.DUMMYFUNCTION("""COMPUTED_VALUE"""),38568.0)</f>
        <v>38568</v>
      </c>
      <c r="L1328" s="19" t="str">
        <f>IFERROR(__xludf.DUMMYFUNCTION("""COMPUTED_VALUE"""),"LAKI-LAKI")</f>
        <v>LAKI-LAKI</v>
      </c>
      <c r="M1328" s="35" t="str">
        <f>IFERROR(__xludf.DUMMYFUNCTION("""COMPUTED_VALUE"""),"DSN MELAMUT")</f>
        <v>DSN MELAMUT</v>
      </c>
      <c r="N1328" s="16" t="str">
        <f>IFERROR(__xludf.DUMMYFUNCTION("""COMPUTED_VALUE"""),"DS. MELAMUT BERSATU")</f>
        <v>DS. MELAMUT BERSATU</v>
      </c>
      <c r="O1328" s="16" t="str">
        <f>IFERROR(__xludf.DUMMYFUNCTION("""COMPUTED_VALUE"""),"KEC. PINOH UTARA")</f>
        <v>KEC. PINOH UTARA</v>
      </c>
      <c r="P1328" s="16" t="str">
        <f>IFERROR(__xludf.DUMMYFUNCTION("""COMPUTED_VALUE"""),"KAB. MELAWI")</f>
        <v>KAB. MELAWI</v>
      </c>
      <c r="Q1328" s="16" t="str">
        <f>IFERROR(__xludf.DUMMYFUNCTION("""COMPUTED_VALUE"""),"KALIMANTAN BARAT")</f>
        <v>KALIMANTAN BARAT</v>
      </c>
      <c r="R1328" s="19" t="str">
        <f>IFERROR(__xludf.DUMMYFUNCTION("""COMPUTED_VALUE"""),"ISLAM")</f>
        <v>ISLAM</v>
      </c>
      <c r="S1328" s="16" t="str">
        <f>IFERROR(__xludf.DUMMYFUNCTION("""COMPUTED_VALUE"""),"PELAJAR/MAHASISWA")</f>
        <v>PELAJAR/MAHASISWA</v>
      </c>
      <c r="T1328" s="16" t="str">
        <f>IFERROR(__xludf.DUMMYFUNCTION("""COMPUTED_VALUE"""),"TULANG BELAKANG BENGKOK/BONGKOK UDANG")</f>
        <v>TULANG BELAKANG BENGKOK/BONGKOK UDANG</v>
      </c>
      <c r="U1328" s="16" t="str">
        <f>IFERROR(__xludf.DUMMYFUNCTION("""COMPUTED_VALUE"""),"VOLLY")</f>
        <v>VOLLY</v>
      </c>
      <c r="V1328" s="11" t="str">
        <f>IFERROR(__xludf.DUMMYFUNCTION("""COMPUTED_VALUE"""),"081349582429")</f>
        <v>081349582429</v>
      </c>
      <c r="W1328" s="15"/>
    </row>
    <row r="1329" ht="22.5" customHeight="1">
      <c r="A1329" s="8"/>
      <c r="B1329" s="9">
        <f>IFERROR(__xludf.DUMMYFUNCTION("""COMPUTED_VALUE"""),45419.69356753472)</f>
        <v>45419.69357</v>
      </c>
      <c r="C1329" s="9"/>
      <c r="D1329" s="34">
        <f>IFERROR(__xludf.DUMMYFUNCTION("""COMPUTED_VALUE"""),45424.0)</f>
        <v>45424</v>
      </c>
      <c r="E1329" s="34" t="str">
        <f>IFERROR(__xludf.DUMMYFUNCTION("""COMPUTED_VALUE"""),"05Mei")</f>
        <v>05Mei</v>
      </c>
      <c r="F1329" s="34" t="str">
        <f>IFERROR(__xludf.DUMMYFUNCTION("""COMPUTED_VALUE"""),"2024")</f>
        <v>2024</v>
      </c>
      <c r="G1329" s="35" t="str">
        <f>IFERROR(__xludf.DUMMYFUNCTION("""COMPUTED_VALUE"""),"ADE FERDINAN")</f>
        <v>ADE FERDINAN</v>
      </c>
      <c r="H1329" s="17" t="str">
        <f>IFERROR(__xludf.DUMMYFUNCTION("""COMPUTED_VALUE"""),"A8124059026")</f>
        <v>A8124059026</v>
      </c>
      <c r="I1329" s="17">
        <f>IFERROR(__xludf.DUMMYFUNCTION("""COMPUTED_VALUE"""),44.0)</f>
        <v>44</v>
      </c>
      <c r="J1329" s="17" t="str">
        <f>IFERROR(__xludf.DUMMYFUNCTION("""COMPUTED_VALUE"""),"35-44 tahun")</f>
        <v>35-44 tahun</v>
      </c>
      <c r="K1329" s="19">
        <f>IFERROR(__xludf.DUMMYFUNCTION("""COMPUTED_VALUE"""),29805.0)</f>
        <v>29805</v>
      </c>
      <c r="L1329" s="19" t="str">
        <f>IFERROR(__xludf.DUMMYFUNCTION("""COMPUTED_VALUE"""),"LAKI-LAKI")</f>
        <v>LAKI-LAKI</v>
      </c>
      <c r="M1329" s="35" t="str">
        <f>IFERROR(__xludf.DUMMYFUNCTION("""COMPUTED_VALUE"""),"JL.YAM SABRAN 72")</f>
        <v>JL.YAM SABRAN 72</v>
      </c>
      <c r="N1329" s="16" t="str">
        <f>IFERROR(__xludf.DUMMYFUNCTION("""COMPUTED_VALUE"""),"KEL. SUNGAI BELIUNG")</f>
        <v>KEL. SUNGAI BELIUNG</v>
      </c>
      <c r="O1329" s="16" t="str">
        <f>IFERROR(__xludf.DUMMYFUNCTION("""COMPUTED_VALUE"""),"KEC. PONTIANAK BARAT")</f>
        <v>KEC. PONTIANAK BARAT</v>
      </c>
      <c r="P1329" s="16" t="str">
        <f>IFERROR(__xludf.DUMMYFUNCTION("""COMPUTED_VALUE"""),"KOTA PONTIANAK")</f>
        <v>KOTA PONTIANAK</v>
      </c>
      <c r="Q1329" s="16" t="str">
        <f>IFERROR(__xludf.DUMMYFUNCTION("""COMPUTED_VALUE"""),"KALIMANTAN BARAT")</f>
        <v>KALIMANTAN BARAT</v>
      </c>
      <c r="R1329" s="19" t="str">
        <f>IFERROR(__xludf.DUMMYFUNCTION("""COMPUTED_VALUE"""),"ISLAM")</f>
        <v>ISLAM</v>
      </c>
      <c r="S1329" s="16" t="str">
        <f>IFERROR(__xludf.DUMMYFUNCTION("""COMPUTED_VALUE"""),"SWASTA")</f>
        <v>SWASTA</v>
      </c>
      <c r="T1329" s="16" t="str">
        <f>IFERROR(__xludf.DUMMYFUNCTION("""COMPUTED_VALUE"""),"Nyeri dibelakang , sakit kalau berjalan &amp; diluruskan")</f>
        <v>Nyeri dibelakang , sakit kalau berjalan &amp; diluruskan</v>
      </c>
      <c r="U1329" s="16" t="str">
        <f>IFERROR(__xludf.DUMMYFUNCTION("""COMPUTED_VALUE"""),"-")</f>
        <v>-</v>
      </c>
      <c r="V1329" s="11" t="str">
        <f>IFERROR(__xludf.DUMMYFUNCTION("""COMPUTED_VALUE"""),"081352609026")</f>
        <v>081352609026</v>
      </c>
      <c r="W1329" s="15"/>
    </row>
    <row r="1330" ht="22.5" customHeight="1">
      <c r="A1330" s="8"/>
      <c r="B1330" s="9">
        <f>IFERROR(__xludf.DUMMYFUNCTION("""COMPUTED_VALUE"""),45419.89163900463)</f>
        <v>45419.89164</v>
      </c>
      <c r="C1330" s="9"/>
      <c r="D1330" s="34">
        <f>IFERROR(__xludf.DUMMYFUNCTION("""COMPUTED_VALUE"""),45424.0)</f>
        <v>45424</v>
      </c>
      <c r="E1330" s="34" t="str">
        <f>IFERROR(__xludf.DUMMYFUNCTION("""COMPUTED_VALUE"""),"05Mei")</f>
        <v>05Mei</v>
      </c>
      <c r="F1330" s="34" t="str">
        <f>IFERROR(__xludf.DUMMYFUNCTION("""COMPUTED_VALUE"""),"2024")</f>
        <v>2024</v>
      </c>
      <c r="G1330" s="35" t="str">
        <f>IFERROR(__xludf.DUMMYFUNCTION("""COMPUTED_VALUE"""),"NYEMAS SHAINAH")</f>
        <v>NYEMAS SHAINAH</v>
      </c>
      <c r="H1330" s="17" t="str">
        <f>IFERROR(__xludf.DUMMYFUNCTION("""COMPUTED_VALUE"""),"N6124050003")</f>
        <v>N6124050003</v>
      </c>
      <c r="I1330" s="17">
        <f>IFERROR(__xludf.DUMMYFUNCTION("""COMPUTED_VALUE"""),65.0)</f>
        <v>65</v>
      </c>
      <c r="J1330" s="17" t="str">
        <f>IFERROR(__xludf.DUMMYFUNCTION("""COMPUTED_VALUE"""),"&gt; 44 tahun")</f>
        <v>&gt; 44 tahun</v>
      </c>
      <c r="K1330" s="19">
        <f>IFERROR(__xludf.DUMMYFUNCTION("""COMPUTED_VALUE"""),22344.0)</f>
        <v>22344</v>
      </c>
      <c r="L1330" s="19" t="str">
        <f>IFERROR(__xludf.DUMMYFUNCTION("""COMPUTED_VALUE"""),"PEREMPUAN")</f>
        <v>PEREMPUAN</v>
      </c>
      <c r="M1330" s="35" t="str">
        <f>IFERROR(__xludf.DUMMYFUNCTION("""COMPUTED_VALUE"""),"JL SWADAYA GANG SWADAYA RESIDENT")</f>
        <v>JL SWADAYA GANG SWADAYA RESIDENT</v>
      </c>
      <c r="N1330" s="16" t="str">
        <f>IFERROR(__xludf.DUMMYFUNCTION("""COMPUTED_VALUE"""),"KEL. PAL IX")</f>
        <v>KEL. PAL IX</v>
      </c>
      <c r="O1330" s="16" t="str">
        <f>IFERROR(__xludf.DUMMYFUNCTION("""COMPUTED_VALUE"""),"KEC. SUNGAI KAKAP")</f>
        <v>KEC. SUNGAI KAKAP</v>
      </c>
      <c r="P1330" s="16" t="str">
        <f>IFERROR(__xludf.DUMMYFUNCTION("""COMPUTED_VALUE"""),"KAB. KUBU RAYA")</f>
        <v>KAB. KUBU RAYA</v>
      </c>
      <c r="Q1330" s="16" t="str">
        <f>IFERROR(__xludf.DUMMYFUNCTION("""COMPUTED_VALUE"""),"KALIMANTAN BARAT")</f>
        <v>KALIMANTAN BARAT</v>
      </c>
      <c r="R1330" s="19" t="str">
        <f>IFERROR(__xludf.DUMMYFUNCTION("""COMPUTED_VALUE"""),"ISLAM")</f>
        <v>ISLAM</v>
      </c>
      <c r="S1330" s="16" t="str">
        <f>IFERROR(__xludf.DUMMYFUNCTION("""COMPUTED_VALUE"""),"PENSIUN")</f>
        <v>PENSIUN</v>
      </c>
      <c r="T1330" s="16" t="str">
        <f>IFERROR(__xludf.DUMMYFUNCTION("""COMPUTED_VALUE"""),"Keram kebas bagian badan sebelah kiri, kaki ngilu kanan dan kiri")</f>
        <v>Keram kebas bagian badan sebelah kiri, kaki ngilu kanan dan kiri</v>
      </c>
      <c r="U1330" s="16" t="str">
        <f>IFERROR(__xludf.DUMMYFUNCTION("""COMPUTED_VALUE"""),"Dirumah saja")</f>
        <v>Dirumah saja</v>
      </c>
      <c r="V1330" s="11" t="str">
        <f>IFERROR(__xludf.DUMMYFUNCTION("""COMPUTED_VALUE"""),"08980300003")</f>
        <v>08980300003</v>
      </c>
      <c r="W1330" s="15"/>
    </row>
    <row r="1331" ht="22.5" customHeight="1">
      <c r="A1331" s="8"/>
      <c r="B1331" s="9">
        <f>IFERROR(__xludf.DUMMYFUNCTION("""COMPUTED_VALUE"""),45420.45237414352)</f>
        <v>45420.45237</v>
      </c>
      <c r="C1331" s="9"/>
      <c r="D1331" s="10">
        <f>IFERROR(__xludf.DUMMYFUNCTION("""COMPUTED_VALUE"""),45424.0)</f>
        <v>45424</v>
      </c>
      <c r="E1331" s="10" t="str">
        <f>IFERROR(__xludf.DUMMYFUNCTION("""COMPUTED_VALUE"""),"05Mei")</f>
        <v>05Mei</v>
      </c>
      <c r="F1331" s="10" t="str">
        <f>IFERROR(__xludf.DUMMYFUNCTION("""COMPUTED_VALUE"""),"2024")</f>
        <v>2024</v>
      </c>
      <c r="G1331" s="35" t="str">
        <f>IFERROR(__xludf.DUMMYFUNCTION("""COMPUTED_VALUE"""),"NANI YUSNANINGSIH")</f>
        <v>NANI YUSNANINGSIH</v>
      </c>
      <c r="H1331" s="17" t="str">
        <f>IFERROR(__xludf.DUMMYFUNCTION("""COMPUTED_VALUE"""),"N7124057969")</f>
        <v>N7124057969</v>
      </c>
      <c r="I1331" s="17">
        <f>IFERROR(__xludf.DUMMYFUNCTION("""COMPUTED_VALUE"""),55.0)</f>
        <v>55</v>
      </c>
      <c r="J1331" s="17" t="str">
        <f>IFERROR(__xludf.DUMMYFUNCTION("""COMPUTED_VALUE"""),"&gt; 44 tahun")</f>
        <v>&gt; 44 tahun</v>
      </c>
      <c r="K1331" s="19">
        <f>IFERROR(__xludf.DUMMYFUNCTION("""COMPUTED_VALUE"""),25936.0)</f>
        <v>25936</v>
      </c>
      <c r="L1331" s="19" t="str">
        <f>IFERROR(__xludf.DUMMYFUNCTION("""COMPUTED_VALUE"""),"PEREMPUAN")</f>
        <v>PEREMPUAN</v>
      </c>
      <c r="M1331" s="35" t="str">
        <f>IFERROR(__xludf.DUMMYFUNCTION("""COMPUTED_VALUE"""),"JL. SUKA MULYA, GG. SUKMA 21 NO.10")</f>
        <v>JL. SUKA MULYA, GG. SUKMA 21 NO.10</v>
      </c>
      <c r="N1331" s="16" t="str">
        <f>IFERROR(__xludf.DUMMYFUNCTION("""COMPUTED_VALUE"""),"KEL. SUNGAI JAWI")</f>
        <v>KEL. SUNGAI JAWI</v>
      </c>
      <c r="O1331" s="16" t="str">
        <f>IFERROR(__xludf.DUMMYFUNCTION("""COMPUTED_VALUE"""),"KEC. PONTIANAK KOTA")</f>
        <v>KEC. PONTIANAK KOTA</v>
      </c>
      <c r="P1331" s="16" t="str">
        <f>IFERROR(__xludf.DUMMYFUNCTION("""COMPUTED_VALUE"""),"KOTA PONTIANAK")</f>
        <v>KOTA PONTIANAK</v>
      </c>
      <c r="Q1331" s="16" t="str">
        <f>IFERROR(__xludf.DUMMYFUNCTION("""COMPUTED_VALUE"""),"KALIMANTAN BARAT")</f>
        <v>KALIMANTAN BARAT</v>
      </c>
      <c r="R1331" s="19" t="str">
        <f>IFERROR(__xludf.DUMMYFUNCTION("""COMPUTED_VALUE"""),"ISLAM")</f>
        <v>ISLAM</v>
      </c>
      <c r="S1331" s="16" t="str">
        <f>IFERROR(__xludf.DUMMYFUNCTION("""COMPUTED_VALUE"""),"RUMAH TANGGA")</f>
        <v>RUMAH TANGGA</v>
      </c>
      <c r="T1331" s="16" t="str">
        <f>IFERROR(__xludf.DUMMYFUNCTION("""COMPUTED_VALUE"""),"Sakit kaki")</f>
        <v>Sakit kaki</v>
      </c>
      <c r="U1331" s="16" t="str">
        <f>IFERROR(__xludf.DUMMYFUNCTION("""COMPUTED_VALUE"""),"Menonton")</f>
        <v>Menonton</v>
      </c>
      <c r="V1331" s="11" t="str">
        <f>IFERROR(__xludf.DUMMYFUNCTION("""COMPUTED_VALUE"""),"081218837969")</f>
        <v>081218837969</v>
      </c>
      <c r="W1331" s="15"/>
    </row>
    <row r="1332" ht="22.5" customHeight="1">
      <c r="A1332" s="8"/>
      <c r="B1332" s="9">
        <f>IFERROR(__xludf.DUMMYFUNCTION("""COMPUTED_VALUE"""),45419.863967337966)</f>
        <v>45419.86397</v>
      </c>
      <c r="C1332" s="9"/>
      <c r="D1332" s="34">
        <f>IFERROR(__xludf.DUMMYFUNCTION("""COMPUTED_VALUE"""),45424.0)</f>
        <v>45424</v>
      </c>
      <c r="E1332" s="34" t="str">
        <f>IFERROR(__xludf.DUMMYFUNCTION("""COMPUTED_VALUE"""),"05Mei")</f>
        <v>05Mei</v>
      </c>
      <c r="F1332" s="34" t="str">
        <f>IFERROR(__xludf.DUMMYFUNCTION("""COMPUTED_VALUE"""),"2024")</f>
        <v>2024</v>
      </c>
      <c r="G1332" s="35" t="str">
        <f>IFERROR(__xludf.DUMMYFUNCTION("""COMPUTED_VALUE"""),"MUSLIMAH")</f>
        <v>MUSLIMAH</v>
      </c>
      <c r="H1332" s="17" t="str">
        <f>IFERROR(__xludf.DUMMYFUNCTION("""COMPUTED_VALUE"""),"M4824050181")</f>
        <v>M4824050181</v>
      </c>
      <c r="I1332" s="17">
        <f>IFERROR(__xludf.DUMMYFUNCTION("""COMPUTED_VALUE"""),77.0)</f>
        <v>77</v>
      </c>
      <c r="J1332" s="17" t="str">
        <f>IFERROR(__xludf.DUMMYFUNCTION("""COMPUTED_VALUE"""),"&gt; 44 tahun")</f>
        <v>&gt; 44 tahun</v>
      </c>
      <c r="K1332" s="19">
        <f>IFERROR(__xludf.DUMMYFUNCTION("""COMPUTED_VALUE"""),17816.0)</f>
        <v>17816</v>
      </c>
      <c r="L1332" s="19" t="str">
        <f>IFERROR(__xludf.DUMMYFUNCTION("""COMPUTED_VALUE"""),"PEREMPUAN")</f>
        <v>PEREMPUAN</v>
      </c>
      <c r="M1332" s="35" t="str">
        <f>IFERROR(__xludf.DUMMYFUNCTION("""COMPUTED_VALUE"""),"JLN GUSTIHAMZAH GG PANCASILA 4")</f>
        <v>JLN GUSTIHAMZAH GG PANCASILA 4</v>
      </c>
      <c r="N1332" s="16" t="str">
        <f>IFERROR(__xludf.DUMMYFUNCTION("""COMPUTED_VALUE"""),"KEL. SUNGAI BANGKONG")</f>
        <v>KEL. SUNGAI BANGKONG</v>
      </c>
      <c r="O1332" s="16" t="str">
        <f>IFERROR(__xludf.DUMMYFUNCTION("""COMPUTED_VALUE"""),"KEC. PONTIANAK KOTA")</f>
        <v>KEC. PONTIANAK KOTA</v>
      </c>
      <c r="P1332" s="16" t="str">
        <f>IFERROR(__xludf.DUMMYFUNCTION("""COMPUTED_VALUE"""),"KOTA PONTIANAK")</f>
        <v>KOTA PONTIANAK</v>
      </c>
      <c r="Q1332" s="16" t="str">
        <f>IFERROR(__xludf.DUMMYFUNCTION("""COMPUTED_VALUE"""),"KALIMANTAN BARAT")</f>
        <v>KALIMANTAN BARAT</v>
      </c>
      <c r="R1332" s="19" t="str">
        <f>IFERROR(__xludf.DUMMYFUNCTION("""COMPUTED_VALUE"""),"ISLAM")</f>
        <v>ISLAM</v>
      </c>
      <c r="S1332" s="16" t="str">
        <f>IFERROR(__xludf.DUMMYFUNCTION("""COMPUTED_VALUE"""),"RUMAH TANGGA")</f>
        <v>RUMAH TANGGA</v>
      </c>
      <c r="T1332" s="16" t="str">
        <f>IFERROR(__xludf.DUMMYFUNCTION("""COMPUTED_VALUE"""),"Nyeri di kaki")</f>
        <v>Nyeri di kaki</v>
      </c>
      <c r="U1332" s="16" t="str">
        <f>IFERROR(__xludf.DUMMYFUNCTION("""COMPUTED_VALUE"""),"Nyiram bunga")</f>
        <v>Nyiram bunga</v>
      </c>
      <c r="V1332" s="11" t="str">
        <f>IFERROR(__xludf.DUMMYFUNCTION("""COMPUTED_VALUE"""),"089601080181")</f>
        <v>089601080181</v>
      </c>
      <c r="W1332" s="15"/>
    </row>
    <row r="1333" ht="22.5" customHeight="1">
      <c r="A1333" s="8"/>
      <c r="B1333" s="9">
        <f>IFERROR(__xludf.DUMMYFUNCTION("""COMPUTED_VALUE"""),45420.63625423611)</f>
        <v>45420.63625</v>
      </c>
      <c r="C1333" s="9"/>
      <c r="D1333" s="34">
        <f>IFERROR(__xludf.DUMMYFUNCTION("""COMPUTED_VALUE"""),45424.0)</f>
        <v>45424</v>
      </c>
      <c r="E1333" s="34" t="str">
        <f>IFERROR(__xludf.DUMMYFUNCTION("""COMPUTED_VALUE"""),"05Mei")</f>
        <v>05Mei</v>
      </c>
      <c r="F1333" s="34" t="str">
        <f>IFERROR(__xludf.DUMMYFUNCTION("""COMPUTED_VALUE"""),"2024")</f>
        <v>2024</v>
      </c>
      <c r="G1333" s="35" t="str">
        <f>IFERROR(__xludf.DUMMYFUNCTION("""COMPUTED_VALUE"""),"NURUL IZZA")</f>
        <v>NURUL IZZA</v>
      </c>
      <c r="H1333" s="17" t="str">
        <f>IFERROR(__xludf.DUMMYFUNCTION("""COMPUTED_VALUE"""),"N0224054540")</f>
        <v>N0224054540</v>
      </c>
      <c r="I1333" s="17">
        <f>IFERROR(__xludf.DUMMYFUNCTION("""COMPUTED_VALUE"""),23.0)</f>
        <v>23</v>
      </c>
      <c r="J1333" s="17" t="str">
        <f>IFERROR(__xludf.DUMMYFUNCTION("""COMPUTED_VALUE"""),"18-24 tahun")</f>
        <v>18-24 tahun</v>
      </c>
      <c r="K1333" s="19">
        <f>IFERROR(__xludf.DUMMYFUNCTION("""COMPUTED_VALUE"""),37454.0)</f>
        <v>37454</v>
      </c>
      <c r="L1333" s="19" t="str">
        <f>IFERROR(__xludf.DUMMYFUNCTION("""COMPUTED_VALUE"""),"PEREMPUAN")</f>
        <v>PEREMPUAN</v>
      </c>
      <c r="M1333" s="35" t="str">
        <f>IFERROR(__xludf.DUMMYFUNCTION("""COMPUTED_VALUE"""),"JLN DR WAHIDIN KOMP BATARA INDAH 1 GG SEJATI 1")</f>
        <v>JLN DR WAHIDIN KOMP BATARA INDAH 1 GG SEJATI 1</v>
      </c>
      <c r="N1333" s="16" t="str">
        <f>IFERROR(__xludf.DUMMYFUNCTION("""COMPUTED_VALUE"""),"KEL. SUNGAI JAWI")</f>
        <v>KEL. SUNGAI JAWI</v>
      </c>
      <c r="O1333" s="16" t="str">
        <f>IFERROR(__xludf.DUMMYFUNCTION("""COMPUTED_VALUE"""),"KEC. PONTIANAK KOTA")</f>
        <v>KEC. PONTIANAK KOTA</v>
      </c>
      <c r="P1333" s="16" t="str">
        <f>IFERROR(__xludf.DUMMYFUNCTION("""COMPUTED_VALUE"""),"KOTA PONTIANAK")</f>
        <v>KOTA PONTIANAK</v>
      </c>
      <c r="Q1333" s="16" t="str">
        <f>IFERROR(__xludf.DUMMYFUNCTION("""COMPUTED_VALUE"""),"KALIMANTAN BARAT")</f>
        <v>KALIMANTAN BARAT</v>
      </c>
      <c r="R1333" s="19" t="str">
        <f>IFERROR(__xludf.DUMMYFUNCTION("""COMPUTED_VALUE"""),"ISLAM")</f>
        <v>ISLAM</v>
      </c>
      <c r="S1333" s="16" t="str">
        <f>IFERROR(__xludf.DUMMYFUNCTION("""COMPUTED_VALUE"""),"TIDAK ADA")</f>
        <v>TIDAK ADA</v>
      </c>
      <c r="T1333" s="16" t="str">
        <f>IFERROR(__xludf.DUMMYFUNCTION("""COMPUTED_VALUE"""),"Belspalsy")</f>
        <v>Belspalsy</v>
      </c>
      <c r="U1333" s="16" t="str">
        <f>IFERROR(__xludf.DUMMYFUNCTION("""COMPUTED_VALUE"""),"-")</f>
        <v>-</v>
      </c>
      <c r="V1333" s="11" t="str">
        <f>IFERROR(__xludf.DUMMYFUNCTION("""COMPUTED_VALUE"""),"085741924540")</f>
        <v>085741924540</v>
      </c>
      <c r="W1333" s="15"/>
    </row>
    <row r="1334" ht="22.5" customHeight="1">
      <c r="A1334" s="8"/>
      <c r="B1334" s="9">
        <f>IFERROR(__xludf.DUMMYFUNCTION("""COMPUTED_VALUE"""),45420.80582148148)</f>
        <v>45420.80582</v>
      </c>
      <c r="C1334" s="9"/>
      <c r="D1334" s="34">
        <f>IFERROR(__xludf.DUMMYFUNCTION("""COMPUTED_VALUE"""),45424.0)</f>
        <v>45424</v>
      </c>
      <c r="E1334" s="34" t="str">
        <f>IFERROR(__xludf.DUMMYFUNCTION("""COMPUTED_VALUE"""),"05Mei")</f>
        <v>05Mei</v>
      </c>
      <c r="F1334" s="34" t="str">
        <f>IFERROR(__xludf.DUMMYFUNCTION("""COMPUTED_VALUE"""),"2024")</f>
        <v>2024</v>
      </c>
      <c r="G1334" s="35" t="str">
        <f>IFERROR(__xludf.DUMMYFUNCTION("""COMPUTED_VALUE"""),"FAUZIAH")</f>
        <v>FAUZIAH</v>
      </c>
      <c r="H1334" s="17" t="str">
        <f>IFERROR(__xludf.DUMMYFUNCTION("""COMPUTED_VALUE"""),"F7424054053")</f>
        <v>F7424054053</v>
      </c>
      <c r="I1334" s="17">
        <f>IFERROR(__xludf.DUMMYFUNCTION("""COMPUTED_VALUE"""),52.0)</f>
        <v>52</v>
      </c>
      <c r="J1334" s="17" t="str">
        <f>IFERROR(__xludf.DUMMYFUNCTION("""COMPUTED_VALUE"""),"&gt; 44 tahun")</f>
        <v>&gt; 44 tahun</v>
      </c>
      <c r="K1334" s="19">
        <f>IFERROR(__xludf.DUMMYFUNCTION("""COMPUTED_VALUE"""),27030.0)</f>
        <v>27030</v>
      </c>
      <c r="L1334" s="19" t="str">
        <f>IFERROR(__xludf.DUMMYFUNCTION("""COMPUTED_VALUE"""),"PEREMPUAN")</f>
        <v>PEREMPUAN</v>
      </c>
      <c r="M1334" s="35" t="str">
        <f>IFERROR(__xludf.DUMMYFUNCTION("""COMPUTED_VALUE"""),"JALAN BINAJAYA DAMAI 4 NO 13")</f>
        <v>JALAN BINAJAYA DAMAI 4 NO 13</v>
      </c>
      <c r="N1334" s="16" t="str">
        <f>IFERROR(__xludf.DUMMYFUNCTION("""COMPUTED_VALUE"""),"KEL. KOTA BARU")</f>
        <v>KEL. KOTA BARU</v>
      </c>
      <c r="O1334" s="16" t="str">
        <f>IFERROR(__xludf.DUMMYFUNCTION("""COMPUTED_VALUE"""),"KEC. PONTIANAK SELATAN")</f>
        <v>KEC. PONTIANAK SELATAN</v>
      </c>
      <c r="P1334" s="16" t="str">
        <f>IFERROR(__xludf.DUMMYFUNCTION("""COMPUTED_VALUE"""),"KOTA PONTIANAK")</f>
        <v>KOTA PONTIANAK</v>
      </c>
      <c r="Q1334" s="16" t="str">
        <f>IFERROR(__xludf.DUMMYFUNCTION("""COMPUTED_VALUE"""),"KALIMANTAN BARAT")</f>
        <v>KALIMANTAN BARAT</v>
      </c>
      <c r="R1334" s="19" t="str">
        <f>IFERROR(__xludf.DUMMYFUNCTION("""COMPUTED_VALUE"""),"ISLAM")</f>
        <v>ISLAM</v>
      </c>
      <c r="S1334" s="16" t="str">
        <f>IFERROR(__xludf.DUMMYFUNCTION("""COMPUTED_VALUE"""),"RUMAH TANGGA")</f>
        <v>RUMAH TANGGA</v>
      </c>
      <c r="T1334" s="16" t="str">
        <f>IFERROR(__xludf.DUMMYFUNCTION("""COMPUTED_VALUE"""),"BADAN BELAKANG")</f>
        <v>BADAN BELAKANG</v>
      </c>
      <c r="U1334" s="16" t="str">
        <f>IFERROR(__xludf.DUMMYFUNCTION("""COMPUTED_VALUE"""),"RUMAH TANGGA")</f>
        <v>RUMAH TANGGA</v>
      </c>
      <c r="V1334" s="11" t="str">
        <f>IFERROR(__xludf.DUMMYFUNCTION("""COMPUTED_VALUE"""),"081522654053")</f>
        <v>081522654053</v>
      </c>
      <c r="W1334" s="15"/>
    </row>
    <row r="1335" ht="22.5" customHeight="1">
      <c r="A1335" s="8"/>
      <c r="B1335" s="9">
        <f>IFERROR(__xludf.DUMMYFUNCTION("""COMPUTED_VALUE"""),45421.52505545139)</f>
        <v>45421.52506</v>
      </c>
      <c r="C1335" s="9"/>
      <c r="D1335" s="34">
        <f>IFERROR(__xludf.DUMMYFUNCTION("""COMPUTED_VALUE"""),45425.0)</f>
        <v>45425</v>
      </c>
      <c r="E1335" s="34" t="str">
        <f>IFERROR(__xludf.DUMMYFUNCTION("""COMPUTED_VALUE"""),"05Mei")</f>
        <v>05Mei</v>
      </c>
      <c r="F1335" s="34" t="str">
        <f>IFERROR(__xludf.DUMMYFUNCTION("""COMPUTED_VALUE"""),"2024")</f>
        <v>2024</v>
      </c>
      <c r="G1335" s="35" t="str">
        <f>IFERROR(__xludf.DUMMYFUNCTION("""COMPUTED_VALUE"""),"FIRTA RAHAYU")</f>
        <v>FIRTA RAHAYU</v>
      </c>
      <c r="H1335" s="17" t="str">
        <f>IFERROR(__xludf.DUMMYFUNCTION("""COMPUTED_VALUE"""),"F8924053335")</f>
        <v>F8924053335</v>
      </c>
      <c r="I1335" s="17">
        <f>IFERROR(__xludf.DUMMYFUNCTION("""COMPUTED_VALUE"""),37.0)</f>
        <v>37</v>
      </c>
      <c r="J1335" s="17" t="str">
        <f>IFERROR(__xludf.DUMMYFUNCTION("""COMPUTED_VALUE"""),"35-44 tahun")</f>
        <v>35-44 tahun</v>
      </c>
      <c r="K1335" s="19">
        <f>IFERROR(__xludf.DUMMYFUNCTION("""COMPUTED_VALUE"""),32549.0)</f>
        <v>32549</v>
      </c>
      <c r="L1335" s="19" t="str">
        <f>IFERROR(__xludf.DUMMYFUNCTION("""COMPUTED_VALUE"""),"PEREMPUAN")</f>
        <v>PEREMPUAN</v>
      </c>
      <c r="M1335" s="35" t="str">
        <f>IFERROR(__xludf.DUMMYFUNCTION("""COMPUTED_VALUE"""),"JL. RAMBUTAN F NO.3")</f>
        <v>JL. RAMBUTAN F NO.3</v>
      </c>
      <c r="N1335" s="16" t="str">
        <f>IFERROR(__xludf.DUMMYFUNCTION("""COMPUTED_VALUE"""),"KEL. SUNGAI JAWI LUAR")</f>
        <v>KEL. SUNGAI JAWI LUAR</v>
      </c>
      <c r="O1335" s="16" t="str">
        <f>IFERROR(__xludf.DUMMYFUNCTION("""COMPUTED_VALUE"""),"KEC. PANCORAN")</f>
        <v>KEC. PANCORAN</v>
      </c>
      <c r="P1335" s="16" t="str">
        <f>IFERROR(__xludf.DUMMYFUNCTION("""COMPUTED_VALUE"""),"KOTA JAKARTA SELATAN")</f>
        <v>KOTA JAKARTA SELATAN</v>
      </c>
      <c r="Q1335" s="16" t="str">
        <f>IFERROR(__xludf.DUMMYFUNCTION("""COMPUTED_VALUE"""),"DKI JAKARTA")</f>
        <v>DKI JAKARTA</v>
      </c>
      <c r="R1335" s="19" t="str">
        <f>IFERROR(__xludf.DUMMYFUNCTION("""COMPUTED_VALUE"""),"ISLAM")</f>
        <v>ISLAM</v>
      </c>
      <c r="S1335" s="16" t="str">
        <f>IFERROR(__xludf.DUMMYFUNCTION("""COMPUTED_VALUE"""),"SWASTA")</f>
        <v>SWASTA</v>
      </c>
      <c r="T1335" s="16" t="str">
        <f>IFERROR(__xludf.DUMMYFUNCTION("""COMPUTED_VALUE"""),"NYERI PINGGUL SAMPAI KAKI")</f>
        <v>NYERI PINGGUL SAMPAI KAKI</v>
      </c>
      <c r="U1335" s="16" t="str">
        <f>IFERROR(__xludf.DUMMYFUNCTION("""COMPUTED_VALUE"""),"JALAN SANTAI")</f>
        <v>JALAN SANTAI</v>
      </c>
      <c r="V1335" s="11" t="str">
        <f>IFERROR(__xludf.DUMMYFUNCTION("""COMPUTED_VALUE"""),"081514443335")</f>
        <v>081514443335</v>
      </c>
      <c r="W1335" s="15"/>
    </row>
    <row r="1336" ht="22.5" customHeight="1">
      <c r="A1336" s="8"/>
      <c r="B1336" s="9">
        <f>IFERROR(__xludf.DUMMYFUNCTION("""COMPUTED_VALUE"""),45422.38221519676)</f>
        <v>45422.38222</v>
      </c>
      <c r="C1336" s="9"/>
      <c r="D1336" s="34">
        <f>IFERROR(__xludf.DUMMYFUNCTION("""COMPUTED_VALUE"""),45426.0)</f>
        <v>45426</v>
      </c>
      <c r="E1336" s="34" t="str">
        <f>IFERROR(__xludf.DUMMYFUNCTION("""COMPUTED_VALUE"""),"05Mei")</f>
        <v>05Mei</v>
      </c>
      <c r="F1336" s="34" t="str">
        <f>IFERROR(__xludf.DUMMYFUNCTION("""COMPUTED_VALUE"""),"2024")</f>
        <v>2024</v>
      </c>
      <c r="G1336" s="35" t="str">
        <f>IFERROR(__xludf.DUMMYFUNCTION("""COMPUTED_VALUE"""),"DADAN FANDIYANA")</f>
        <v>DADAN FANDIYANA</v>
      </c>
      <c r="H1336" s="17" t="str">
        <f>IFERROR(__xludf.DUMMYFUNCTION("""COMPUTED_VALUE"""),"D8724059947")</f>
        <v>D8724059947</v>
      </c>
      <c r="I1336" s="17">
        <f>IFERROR(__xludf.DUMMYFUNCTION("""COMPUTED_VALUE"""),39.0)</f>
        <v>39</v>
      </c>
      <c r="J1336" s="17" t="str">
        <f>IFERROR(__xludf.DUMMYFUNCTION("""COMPUTED_VALUE"""),"35-44 tahun")</f>
        <v>35-44 tahun</v>
      </c>
      <c r="K1336" s="19">
        <f>IFERROR(__xludf.DUMMYFUNCTION("""COMPUTED_VALUE"""),31931.0)</f>
        <v>31931</v>
      </c>
      <c r="L1336" s="19" t="str">
        <f>IFERROR(__xludf.DUMMYFUNCTION("""COMPUTED_VALUE"""),"LAKI-LAKI")</f>
        <v>LAKI-LAKI</v>
      </c>
      <c r="M1336" s="35" t="str">
        <f>IFERROR(__xludf.DUMMYFUNCTION("""COMPUTED_VALUE"""),"JALAN DANA")</f>
        <v>JALAN DANA</v>
      </c>
      <c r="N1336" s="16" t="str">
        <f>IFERROR(__xludf.DUMMYFUNCTION("""COMPUTED_VALUE"""),"KEL. KOTA BARU")</f>
        <v>KEL. KOTA BARU</v>
      </c>
      <c r="O1336" s="16" t="str">
        <f>IFERROR(__xludf.DUMMYFUNCTION("""COMPUTED_VALUE"""),"KEC. PONTIANAK KOTA")</f>
        <v>KEC. PONTIANAK KOTA</v>
      </c>
      <c r="P1336" s="16" t="str">
        <f>IFERROR(__xludf.DUMMYFUNCTION("""COMPUTED_VALUE"""),"KOTA PONTIANAK")</f>
        <v>KOTA PONTIANAK</v>
      </c>
      <c r="Q1336" s="16" t="str">
        <f>IFERROR(__xludf.DUMMYFUNCTION("""COMPUTED_VALUE"""),"KALIMANTAN BARAT")</f>
        <v>KALIMANTAN BARAT</v>
      </c>
      <c r="R1336" s="19" t="str">
        <f>IFERROR(__xludf.DUMMYFUNCTION("""COMPUTED_VALUE"""),"ISLAM")</f>
        <v>ISLAM</v>
      </c>
      <c r="S1336" s="16" t="str">
        <f>IFERROR(__xludf.DUMMYFUNCTION("""COMPUTED_VALUE"""),"TNI/POLRI")</f>
        <v>TNI/POLRI</v>
      </c>
      <c r="T1336" s="16" t="str">
        <f>IFERROR(__xludf.DUMMYFUNCTION("""COMPUTED_VALUE"""),"Pinggang")</f>
        <v>Pinggang</v>
      </c>
      <c r="U1336" s="16" t="str">
        <f>IFERROR(__xludf.DUMMYFUNCTION("""COMPUTED_VALUE"""),"Joging")</f>
        <v>Joging</v>
      </c>
      <c r="V1336" s="11" t="str">
        <f>IFERROR(__xludf.DUMMYFUNCTION("""COMPUTED_VALUE"""),"085245909947")</f>
        <v>085245909947</v>
      </c>
      <c r="W1336" s="15"/>
    </row>
    <row r="1337" ht="22.5" customHeight="1">
      <c r="A1337" s="8"/>
      <c r="B1337" s="9">
        <f>IFERROR(__xludf.DUMMYFUNCTION("""COMPUTED_VALUE"""),45422.4784134838)</f>
        <v>45422.47841</v>
      </c>
      <c r="C1337" s="9"/>
      <c r="D1337" s="34">
        <f>IFERROR(__xludf.DUMMYFUNCTION("""COMPUTED_VALUE"""),45426.0)</f>
        <v>45426</v>
      </c>
      <c r="E1337" s="34" t="str">
        <f>IFERROR(__xludf.DUMMYFUNCTION("""COMPUTED_VALUE"""),"05Mei")</f>
        <v>05Mei</v>
      </c>
      <c r="F1337" s="34" t="str">
        <f>IFERROR(__xludf.DUMMYFUNCTION("""COMPUTED_VALUE"""),"2024")</f>
        <v>2024</v>
      </c>
      <c r="G1337" s="35" t="str">
        <f>IFERROR(__xludf.DUMMYFUNCTION("""COMPUTED_VALUE"""),"BUDI CANDRAWIRA")</f>
        <v>BUDI CANDRAWIRA</v>
      </c>
      <c r="H1337" s="17" t="str">
        <f>IFERROR(__xludf.DUMMYFUNCTION("""COMPUTED_VALUE"""),"B8724052707")</f>
        <v>B8724052707</v>
      </c>
      <c r="I1337" s="17">
        <f>IFERROR(__xludf.DUMMYFUNCTION("""COMPUTED_VALUE"""),39.0)</f>
        <v>39</v>
      </c>
      <c r="J1337" s="17" t="str">
        <f>IFERROR(__xludf.DUMMYFUNCTION("""COMPUTED_VALUE"""),"35-44 tahun")</f>
        <v>35-44 tahun</v>
      </c>
      <c r="K1337" s="19">
        <f>IFERROR(__xludf.DUMMYFUNCTION("""COMPUTED_VALUE"""),31881.0)</f>
        <v>31881</v>
      </c>
      <c r="L1337" s="19" t="str">
        <f>IFERROR(__xludf.DUMMYFUNCTION("""COMPUTED_VALUE"""),"LAKI-LAKI")</f>
        <v>LAKI-LAKI</v>
      </c>
      <c r="M1337" s="35" t="str">
        <f>IFERROR(__xludf.DUMMYFUNCTION("""COMPUTED_VALUE"""),"JALAN MERANTI GANG MERANTI 7 NO.19A")</f>
        <v>JALAN MERANTI GANG MERANTI 7 NO.19A</v>
      </c>
      <c r="N1337" s="16" t="str">
        <f>IFERROR(__xludf.DUMMYFUNCTION("""COMPUTED_VALUE"""),"KEL. DARAT SEKIP")</f>
        <v>KEL. DARAT SEKIP</v>
      </c>
      <c r="O1337" s="16" t="str">
        <f>IFERROR(__xludf.DUMMYFUNCTION("""COMPUTED_VALUE"""),"KEC. PONTIANAK KOTA")</f>
        <v>KEC. PONTIANAK KOTA</v>
      </c>
      <c r="P1337" s="16" t="str">
        <f>IFERROR(__xludf.DUMMYFUNCTION("""COMPUTED_VALUE"""),"KOTA PONTIANAK")</f>
        <v>KOTA PONTIANAK</v>
      </c>
      <c r="Q1337" s="16" t="str">
        <f>IFERROR(__xludf.DUMMYFUNCTION("""COMPUTED_VALUE"""),"KALIMANTAN BARAT")</f>
        <v>KALIMANTAN BARAT</v>
      </c>
      <c r="R1337" s="19" t="str">
        <f>IFERROR(__xludf.DUMMYFUNCTION("""COMPUTED_VALUE"""),"PROTESTAN")</f>
        <v>PROTESTAN</v>
      </c>
      <c r="S1337" s="16" t="str">
        <f>IFERROR(__xludf.DUMMYFUNCTION("""COMPUTED_VALUE"""),"WIRASWASTA")</f>
        <v>WIRASWASTA</v>
      </c>
      <c r="T1337" s="16" t="str">
        <f>IFERROR(__xludf.DUMMYFUNCTION("""COMPUTED_VALUE"""),"NYERI DI SESEKALI SAAT BERJALAN")</f>
        <v>NYERI DI SESEKALI SAAT BERJALAN</v>
      </c>
      <c r="U1337" s="16" t="str">
        <f>IFERROR(__xludf.DUMMYFUNCTION("""COMPUTED_VALUE"""),"SEPAKBOLA")</f>
        <v>SEPAKBOLA</v>
      </c>
      <c r="V1337" s="11" t="str">
        <f>IFERROR(__xludf.DUMMYFUNCTION("""COMPUTED_VALUE"""),"08125622707")</f>
        <v>08125622707</v>
      </c>
      <c r="W1337" s="15"/>
    </row>
    <row r="1338" ht="22.5" customHeight="1">
      <c r="A1338" s="8"/>
      <c r="B1338" s="9">
        <f>IFERROR(__xludf.DUMMYFUNCTION("""COMPUTED_VALUE"""),45422.524709930556)</f>
        <v>45422.52471</v>
      </c>
      <c r="C1338" s="9"/>
      <c r="D1338" s="34">
        <f>IFERROR(__xludf.DUMMYFUNCTION("""COMPUTED_VALUE"""),45426.0)</f>
        <v>45426</v>
      </c>
      <c r="E1338" s="34" t="str">
        <f>IFERROR(__xludf.DUMMYFUNCTION("""COMPUTED_VALUE"""),"05Mei")</f>
        <v>05Mei</v>
      </c>
      <c r="F1338" s="34" t="str">
        <f>IFERROR(__xludf.DUMMYFUNCTION("""COMPUTED_VALUE"""),"2024")</f>
        <v>2024</v>
      </c>
      <c r="G1338" s="16" t="str">
        <f>IFERROR(__xludf.DUMMYFUNCTION("""COMPUTED_VALUE"""),"ENI SETYAWATI")</f>
        <v>ENI SETYAWATI</v>
      </c>
      <c r="H1338" s="17" t="str">
        <f>IFERROR(__xludf.DUMMYFUNCTION("""COMPUTED_VALUE"""),"E8324053960")</f>
        <v>E8324053960</v>
      </c>
      <c r="I1338" s="17">
        <f>IFERROR(__xludf.DUMMYFUNCTION("""COMPUTED_VALUE"""),42.0)</f>
        <v>42</v>
      </c>
      <c r="J1338" s="17" t="str">
        <f>IFERROR(__xludf.DUMMYFUNCTION("""COMPUTED_VALUE"""),"35-44 tahun")</f>
        <v>35-44 tahun</v>
      </c>
      <c r="K1338" s="19">
        <f>IFERROR(__xludf.DUMMYFUNCTION("""COMPUTED_VALUE"""),30549.0)</f>
        <v>30549</v>
      </c>
      <c r="L1338" s="19" t="str">
        <f>IFERROR(__xludf.DUMMYFUNCTION("""COMPUTED_VALUE"""),"PEREMPUAN")</f>
        <v>PEREMPUAN</v>
      </c>
      <c r="M1338" s="35" t="str">
        <f>IFERROR(__xludf.DUMMYFUNCTION("""COMPUTED_VALUE"""),"JLN. PROF.M.YAMIN GG KURNIA JAYA 1 NMR 05")</f>
        <v>JLN. PROF.M.YAMIN GG KURNIA JAYA 1 NMR 05</v>
      </c>
      <c r="N1338" s="16" t="str">
        <f>IFERROR(__xludf.DUMMYFUNCTION("""COMPUTED_VALUE"""),"KEL. KOTA BARU")</f>
        <v>KEL. KOTA BARU</v>
      </c>
      <c r="O1338" s="16" t="str">
        <f>IFERROR(__xludf.DUMMYFUNCTION("""COMPUTED_VALUE"""),"KEC. PONTIANAK SELATAN")</f>
        <v>KEC. PONTIANAK SELATAN</v>
      </c>
      <c r="P1338" s="16" t="str">
        <f>IFERROR(__xludf.DUMMYFUNCTION("""COMPUTED_VALUE"""),"KOTA PONTIANAK")</f>
        <v>KOTA PONTIANAK</v>
      </c>
      <c r="Q1338" s="16" t="str">
        <f>IFERROR(__xludf.DUMMYFUNCTION("""COMPUTED_VALUE"""),"KALIMANTAN BARAT")</f>
        <v>KALIMANTAN BARAT</v>
      </c>
      <c r="R1338" s="19" t="str">
        <f>IFERROR(__xludf.DUMMYFUNCTION("""COMPUTED_VALUE"""),"ISLAM")</f>
        <v>ISLAM</v>
      </c>
      <c r="S1338" s="35" t="str">
        <f>IFERROR(__xludf.DUMMYFUNCTION("""COMPUTED_VALUE"""),"SWASTA")</f>
        <v>SWASTA</v>
      </c>
      <c r="T1338" s="16" t="str">
        <f>IFERROR(__xludf.DUMMYFUNCTION("""COMPUTED_VALUE"""),"Sakit telapak kaki dan tangn")</f>
        <v>Sakit telapak kaki dan tangn</v>
      </c>
      <c r="U1338" s="16" t="str">
        <f>IFERROR(__xludf.DUMMYFUNCTION("""COMPUTED_VALUE"""),"Masak/pekerja.irt,olahraga")</f>
        <v>Masak/pekerja.irt,olahraga</v>
      </c>
      <c r="V1338" s="11" t="str">
        <f>IFERROR(__xludf.DUMMYFUNCTION("""COMPUTED_VALUE"""),"085961573960")</f>
        <v>085961573960</v>
      </c>
      <c r="W1338" s="15"/>
    </row>
    <row r="1339" ht="22.5" customHeight="1">
      <c r="A1339" s="8"/>
      <c r="B1339" s="9">
        <f>IFERROR(__xludf.DUMMYFUNCTION("""COMPUTED_VALUE"""),45423.414853622686)</f>
        <v>45423.41485</v>
      </c>
      <c r="C1339" s="9"/>
      <c r="D1339" s="34">
        <f>IFERROR(__xludf.DUMMYFUNCTION("""COMPUTED_VALUE"""),45427.0)</f>
        <v>45427</v>
      </c>
      <c r="E1339" s="34" t="str">
        <f>IFERROR(__xludf.DUMMYFUNCTION("""COMPUTED_VALUE"""),"05Mei")</f>
        <v>05Mei</v>
      </c>
      <c r="F1339" s="34" t="str">
        <f>IFERROR(__xludf.DUMMYFUNCTION("""COMPUTED_VALUE"""),"2024")</f>
        <v>2024</v>
      </c>
      <c r="G1339" s="35" t="str">
        <f>IFERROR(__xludf.DUMMYFUNCTION("""COMPUTED_VALUE"""),"ARAY DUADUAL HAMIJAYA")</f>
        <v>ARAY DUADUAL HAMIJAYA</v>
      </c>
      <c r="H1339" s="17" t="str">
        <f>IFERROR(__xludf.DUMMYFUNCTION("""COMPUTED_VALUE"""),"A0124056622")</f>
        <v>A0124056622</v>
      </c>
      <c r="I1339" s="17">
        <f>IFERROR(__xludf.DUMMYFUNCTION("""COMPUTED_VALUE"""),25.0)</f>
        <v>25</v>
      </c>
      <c r="J1339" s="17" t="str">
        <f>IFERROR(__xludf.DUMMYFUNCTION("""COMPUTED_VALUE"""),"25-34 tahun")</f>
        <v>25-34 tahun</v>
      </c>
      <c r="K1339" s="19">
        <f>IFERROR(__xludf.DUMMYFUNCTION("""COMPUTED_VALUE"""),36913.0)</f>
        <v>36913</v>
      </c>
      <c r="L1339" s="19" t="str">
        <f>IFERROR(__xludf.DUMMYFUNCTION("""COMPUTED_VALUE"""),"LAKI-LAKI")</f>
        <v>LAKI-LAKI</v>
      </c>
      <c r="M1339" s="35" t="str">
        <f>IFERROR(__xludf.DUMMYFUNCTION("""COMPUTED_VALUE"""),"JL TABRANI AHMAD GG GUNUNG RINJANI")</f>
        <v>JL TABRANI AHMAD GG GUNUNG RINJANI</v>
      </c>
      <c r="N1339" s="16" t="str">
        <f>IFERROR(__xludf.DUMMYFUNCTION("""COMPUTED_VALUE"""),"KEL. SUNGAI JAWI DALAM")</f>
        <v>KEL. SUNGAI JAWI DALAM</v>
      </c>
      <c r="O1339" s="16" t="str">
        <f>IFERROR(__xludf.DUMMYFUNCTION("""COMPUTED_VALUE"""),"KEC. PONTIANAK BARAT")</f>
        <v>KEC. PONTIANAK BARAT</v>
      </c>
      <c r="P1339" s="16" t="str">
        <f>IFERROR(__xludf.DUMMYFUNCTION("""COMPUTED_VALUE"""),"KOTA PONTIANAK")</f>
        <v>KOTA PONTIANAK</v>
      </c>
      <c r="Q1339" s="16" t="str">
        <f>IFERROR(__xludf.DUMMYFUNCTION("""COMPUTED_VALUE"""),"KALIMANTAN BARAT")</f>
        <v>KALIMANTAN BARAT</v>
      </c>
      <c r="R1339" s="19" t="str">
        <f>IFERROR(__xludf.DUMMYFUNCTION("""COMPUTED_VALUE"""),"ISLAM")</f>
        <v>ISLAM</v>
      </c>
      <c r="S1339" s="16" t="str">
        <f>IFERROR(__xludf.DUMMYFUNCTION("""COMPUTED_VALUE"""),"WIRASWASTA")</f>
        <v>WIRASWASTA</v>
      </c>
      <c r="T1339" s="16" t="str">
        <f>IFERROR(__xludf.DUMMYFUNCTION("""COMPUTED_VALUE"""),"Otot ketarik dibagian paha belakang")</f>
        <v>Otot ketarik dibagian paha belakang</v>
      </c>
      <c r="U1339" s="16" t="str">
        <f>IFERROR(__xludf.DUMMYFUNCTION("""COMPUTED_VALUE"""),"Taekwondo")</f>
        <v>Taekwondo</v>
      </c>
      <c r="V1339" s="11" t="str">
        <f>IFERROR(__xludf.DUMMYFUNCTION("""COMPUTED_VALUE"""),"089525916622")</f>
        <v>089525916622</v>
      </c>
      <c r="W1339" s="15"/>
    </row>
    <row r="1340" ht="22.5" customHeight="1">
      <c r="A1340" s="8"/>
      <c r="B1340" s="9">
        <f>IFERROR(__xludf.DUMMYFUNCTION("""COMPUTED_VALUE"""),45423.49073253472)</f>
        <v>45423.49073</v>
      </c>
      <c r="C1340" s="9"/>
      <c r="D1340" s="34">
        <f>IFERROR(__xludf.DUMMYFUNCTION("""COMPUTED_VALUE"""),45427.0)</f>
        <v>45427</v>
      </c>
      <c r="E1340" s="34" t="str">
        <f>IFERROR(__xludf.DUMMYFUNCTION("""COMPUTED_VALUE"""),"05Mei")</f>
        <v>05Mei</v>
      </c>
      <c r="F1340" s="34" t="str">
        <f>IFERROR(__xludf.DUMMYFUNCTION("""COMPUTED_VALUE"""),"2024")</f>
        <v>2024</v>
      </c>
      <c r="G1340" s="16" t="str">
        <f>IFERROR(__xludf.DUMMYFUNCTION("""COMPUTED_VALUE"""),"NURBAJATI")</f>
        <v>NURBAJATI</v>
      </c>
      <c r="H1340" s="17" t="str">
        <f>IFERROR(__xludf.DUMMYFUNCTION("""COMPUTED_VALUE"""),"N6224053383")</f>
        <v>N6224053383</v>
      </c>
      <c r="I1340" s="17">
        <f>IFERROR(__xludf.DUMMYFUNCTION("""COMPUTED_VALUE"""),64.0)</f>
        <v>64</v>
      </c>
      <c r="J1340" s="17" t="str">
        <f>IFERROR(__xludf.DUMMYFUNCTION("""COMPUTED_VALUE"""),"&gt; 44 tahun")</f>
        <v>&gt; 44 tahun</v>
      </c>
      <c r="K1340" s="19">
        <f>IFERROR(__xludf.DUMMYFUNCTION("""COMPUTED_VALUE"""),22768.0)</f>
        <v>22768</v>
      </c>
      <c r="L1340" s="19" t="str">
        <f>IFERROR(__xludf.DUMMYFUNCTION("""COMPUTED_VALUE"""),"PEREMPUAN")</f>
        <v>PEREMPUAN</v>
      </c>
      <c r="M1340" s="35" t="str">
        <f>IFERROR(__xludf.DUMMYFUNCTION("""COMPUTED_VALUE"""),"JL. DR SETIA BUDI NO. 60")</f>
        <v>JL. DR SETIA BUDI NO. 60</v>
      </c>
      <c r="N1340" s="16" t="str">
        <f>IFERROR(__xludf.DUMMYFUNCTION("""COMPUTED_VALUE"""),"KEL. BENUA MELAYU DARAT")</f>
        <v>KEL. BENUA MELAYU DARAT</v>
      </c>
      <c r="O1340" s="16" t="str">
        <f>IFERROR(__xludf.DUMMYFUNCTION("""COMPUTED_VALUE"""),"KEC. PONTIANAK SELATAN")</f>
        <v>KEC. PONTIANAK SELATAN</v>
      </c>
      <c r="P1340" s="16" t="str">
        <f>IFERROR(__xludf.DUMMYFUNCTION("""COMPUTED_VALUE"""),"KOTA PONTIANAK")</f>
        <v>KOTA PONTIANAK</v>
      </c>
      <c r="Q1340" s="16" t="str">
        <f>IFERROR(__xludf.DUMMYFUNCTION("""COMPUTED_VALUE"""),"KALIMANTAN BARAT")</f>
        <v>KALIMANTAN BARAT</v>
      </c>
      <c r="R1340" s="19" t="str">
        <f>IFERROR(__xludf.DUMMYFUNCTION("""COMPUTED_VALUE"""),"KATOLIK")</f>
        <v>KATOLIK</v>
      </c>
      <c r="S1340" s="16" t="str">
        <f>IFERROR(__xludf.DUMMYFUNCTION("""COMPUTED_VALUE"""),"PENSIUN")</f>
        <v>PENSIUN</v>
      </c>
      <c r="T1340" s="16" t="str">
        <f>IFERROR(__xludf.DUMMYFUNCTION("""COMPUTED_VALUE"""),"STROKE SUSAH JALAN")</f>
        <v>STROKE SUSAH JALAN</v>
      </c>
      <c r="U1340" s="16" t="str">
        <f>IFERROR(__xludf.DUMMYFUNCTION("""COMPUTED_VALUE"""),"NONTON TV")</f>
        <v>NONTON TV</v>
      </c>
      <c r="V1340" s="11" t="str">
        <f>IFERROR(__xludf.DUMMYFUNCTION("""COMPUTED_VALUE"""),"081345303383")</f>
        <v>081345303383</v>
      </c>
      <c r="W1340" s="15"/>
    </row>
    <row r="1341" ht="22.5" customHeight="1">
      <c r="A1341" s="8"/>
      <c r="B1341" s="9">
        <f>IFERROR(__xludf.DUMMYFUNCTION("""COMPUTED_VALUE"""),45423.50881936343)</f>
        <v>45423.50882</v>
      </c>
      <c r="C1341" s="9"/>
      <c r="D1341" s="34">
        <f>IFERROR(__xludf.DUMMYFUNCTION("""COMPUTED_VALUE"""),45427.0)</f>
        <v>45427</v>
      </c>
      <c r="E1341" s="34" t="str">
        <f>IFERROR(__xludf.DUMMYFUNCTION("""COMPUTED_VALUE"""),"05Mei")</f>
        <v>05Mei</v>
      </c>
      <c r="F1341" s="34" t="str">
        <f>IFERROR(__xludf.DUMMYFUNCTION("""COMPUTED_VALUE"""),"2024")</f>
        <v>2024</v>
      </c>
      <c r="G1341" s="35" t="str">
        <f>IFERROR(__xludf.DUMMYFUNCTION("""COMPUTED_VALUE"""),"MAS LASTIAN LA RIFATI")</f>
        <v>MAS LASTIAN LA RIFATI</v>
      </c>
      <c r="H1341" s="17" t="str">
        <f>IFERROR(__xludf.DUMMYFUNCTION("""COMPUTED_VALUE"""),"M9024057798")</f>
        <v>M9024057798</v>
      </c>
      <c r="I1341" s="17">
        <f>IFERROR(__xludf.DUMMYFUNCTION("""COMPUTED_VALUE"""),35.0)</f>
        <v>35</v>
      </c>
      <c r="J1341" s="17" t="str">
        <f>IFERROR(__xludf.DUMMYFUNCTION("""COMPUTED_VALUE"""),"35-44 tahun")</f>
        <v>35-44 tahun</v>
      </c>
      <c r="K1341" s="19">
        <f>IFERROR(__xludf.DUMMYFUNCTION("""COMPUTED_VALUE"""),33052.0)</f>
        <v>33052</v>
      </c>
      <c r="L1341" s="19" t="str">
        <f>IFERROR(__xludf.DUMMYFUNCTION("""COMPUTED_VALUE"""),"LAKI-LAKI")</f>
        <v>LAKI-LAKI</v>
      </c>
      <c r="M1341" s="35" t="str">
        <f>IFERROR(__xludf.DUMMYFUNCTION("""COMPUTED_VALUE"""),"JALAN KOM YOS SUDARSO GANG SADPRAJA JALUR 6 NO 33")</f>
        <v>JALAN KOM YOS SUDARSO GANG SADPRAJA JALUR 6 NO 33</v>
      </c>
      <c r="N1341" s="16" t="str">
        <f>IFERROR(__xludf.DUMMYFUNCTION("""COMPUTED_VALUE"""),"KEL. SUNGAI BELIUNG")</f>
        <v>KEL. SUNGAI BELIUNG</v>
      </c>
      <c r="O1341" s="16" t="str">
        <f>IFERROR(__xludf.DUMMYFUNCTION("""COMPUTED_VALUE"""),"KEC. PONTIANAK BARAT")</f>
        <v>KEC. PONTIANAK BARAT</v>
      </c>
      <c r="P1341" s="16" t="str">
        <f>IFERROR(__xludf.DUMMYFUNCTION("""COMPUTED_VALUE"""),"KOTA PONTIANAK")</f>
        <v>KOTA PONTIANAK</v>
      </c>
      <c r="Q1341" s="16" t="str">
        <f>IFERROR(__xludf.DUMMYFUNCTION("""COMPUTED_VALUE"""),"KALIMANTAN BARAT")</f>
        <v>KALIMANTAN BARAT</v>
      </c>
      <c r="R1341" s="19" t="str">
        <f>IFERROR(__xludf.DUMMYFUNCTION("""COMPUTED_VALUE"""),"ISLAM")</f>
        <v>ISLAM</v>
      </c>
      <c r="S1341" s="35" t="str">
        <f>IFERROR(__xludf.DUMMYFUNCTION("""COMPUTED_VALUE"""),"SWASTA")</f>
        <v>SWASTA</v>
      </c>
      <c r="T1341" s="16" t="str">
        <f>IFERROR(__xludf.DUMMYFUNCTION("""COMPUTED_VALUE"""),"Engel")</f>
        <v>Engel</v>
      </c>
      <c r="U1341" s="16" t="str">
        <f>IFERROR(__xludf.DUMMYFUNCTION("""COMPUTED_VALUE"""),"Lari ,sepak bola")</f>
        <v>Lari ,sepak bola</v>
      </c>
      <c r="V1341" s="11" t="str">
        <f>IFERROR(__xludf.DUMMYFUNCTION("""COMPUTED_VALUE"""),"085778097798")</f>
        <v>085778097798</v>
      </c>
      <c r="W1341" s="15"/>
    </row>
    <row r="1342" ht="22.5" customHeight="1">
      <c r="A1342" s="8"/>
      <c r="B1342" s="9">
        <f>IFERROR(__xludf.DUMMYFUNCTION("""COMPUTED_VALUE"""),45423.84077488426)</f>
        <v>45423.84077</v>
      </c>
      <c r="C1342" s="9"/>
      <c r="D1342" s="34">
        <f>IFERROR(__xludf.DUMMYFUNCTION("""COMPUTED_VALUE"""),45428.0)</f>
        <v>45428</v>
      </c>
      <c r="E1342" s="34" t="str">
        <f>IFERROR(__xludf.DUMMYFUNCTION("""COMPUTED_VALUE"""),"05Mei")</f>
        <v>05Mei</v>
      </c>
      <c r="F1342" s="34" t="str">
        <f>IFERROR(__xludf.DUMMYFUNCTION("""COMPUTED_VALUE"""),"2024")</f>
        <v>2024</v>
      </c>
      <c r="G1342" s="35" t="str">
        <f>IFERROR(__xludf.DUMMYFUNCTION("""COMPUTED_VALUE"""),"MUHSON NURROCHMAT S")</f>
        <v>MUHSON NURROCHMAT S</v>
      </c>
      <c r="H1342" s="17" t="str">
        <f>IFERROR(__xludf.DUMMYFUNCTION("""COMPUTED_VALUE"""),"M7324056255")</f>
        <v>M7324056255</v>
      </c>
      <c r="I1342" s="17">
        <f>IFERROR(__xludf.DUMMYFUNCTION("""COMPUTED_VALUE"""),52.0)</f>
        <v>52</v>
      </c>
      <c r="J1342" s="17" t="str">
        <f>IFERROR(__xludf.DUMMYFUNCTION("""COMPUTED_VALUE"""),"&gt; 44 tahun")</f>
        <v>&gt; 44 tahun</v>
      </c>
      <c r="K1342" s="19">
        <f>IFERROR(__xludf.DUMMYFUNCTION("""COMPUTED_VALUE"""),26974.0)</f>
        <v>26974</v>
      </c>
      <c r="L1342" s="19" t="str">
        <f>IFERROR(__xludf.DUMMYFUNCTION("""COMPUTED_VALUE"""),"LAKI-LAKI")</f>
        <v>LAKI-LAKI</v>
      </c>
      <c r="M1342" s="35" t="str">
        <f>IFERROR(__xludf.DUMMYFUNCTION("""COMPUTED_VALUE"""),"JL. MENOREH RAYA NO. 96 SEMARANG")</f>
        <v>JL. MENOREH RAYA NO. 96 SEMARANG</v>
      </c>
      <c r="N1342" s="16" t="str">
        <f>IFERROR(__xludf.DUMMYFUNCTION("""COMPUTED_VALUE"""),"KEL. SAMPANGAN")</f>
        <v>KEL. SAMPANGAN</v>
      </c>
      <c r="O1342" s="16" t="str">
        <f>IFERROR(__xludf.DUMMYFUNCTION("""COMPUTED_VALUE"""),"KEC. GAJAH MUNGKUR")</f>
        <v>KEC. GAJAH MUNGKUR</v>
      </c>
      <c r="P1342" s="16" t="str">
        <f>IFERROR(__xludf.DUMMYFUNCTION("""COMPUTED_VALUE"""),"KOTA SEMARANG")</f>
        <v>KOTA SEMARANG</v>
      </c>
      <c r="Q1342" s="16" t="str">
        <f>IFERROR(__xludf.DUMMYFUNCTION("""COMPUTED_VALUE"""),"KALIMANTAN BARAT")</f>
        <v>KALIMANTAN BARAT</v>
      </c>
      <c r="R1342" s="19" t="str">
        <f>IFERROR(__xludf.DUMMYFUNCTION("""COMPUTED_VALUE"""),"ISLAM")</f>
        <v>ISLAM</v>
      </c>
      <c r="S1342" s="16" t="str">
        <f>IFERROR(__xludf.DUMMYFUNCTION("""COMPUTED_VALUE"""),"SWASTA")</f>
        <v>SWASTA</v>
      </c>
      <c r="T1342" s="16" t="str">
        <f>IFERROR(__xludf.DUMMYFUNCTION("""COMPUTED_VALUE"""),"terasa linu, nyeri dan pegal di pangkal lengan kiri")</f>
        <v>terasa linu, nyeri dan pegal di pangkal lengan kiri</v>
      </c>
      <c r="U1342" s="16" t="str">
        <f>IFERROR(__xludf.DUMMYFUNCTION("""COMPUTED_VALUE"""),"kerja kantor")</f>
        <v>kerja kantor</v>
      </c>
      <c r="V1342" s="11" t="str">
        <f>IFERROR(__xludf.DUMMYFUNCTION("""COMPUTED_VALUE"""),"081347196255")</f>
        <v>081347196255</v>
      </c>
      <c r="W1342" s="15"/>
    </row>
    <row r="1343" ht="22.5" customHeight="1">
      <c r="A1343" s="8"/>
      <c r="B1343" s="9">
        <f>IFERROR(__xludf.DUMMYFUNCTION("""COMPUTED_VALUE"""),45424.432663125)</f>
        <v>45424.43266</v>
      </c>
      <c r="C1343" s="9"/>
      <c r="D1343" s="34">
        <f>IFERROR(__xludf.DUMMYFUNCTION("""COMPUTED_VALUE"""),45429.0)</f>
        <v>45429</v>
      </c>
      <c r="E1343" s="34" t="str">
        <f>IFERROR(__xludf.DUMMYFUNCTION("""COMPUTED_VALUE"""),"05Mei")</f>
        <v>05Mei</v>
      </c>
      <c r="F1343" s="34" t="str">
        <f>IFERROR(__xludf.DUMMYFUNCTION("""COMPUTED_VALUE"""),"2024")</f>
        <v>2024</v>
      </c>
      <c r="G1343" s="35" t="str">
        <f>IFERROR(__xludf.DUMMYFUNCTION("""COMPUTED_VALUE"""),"SEPTIAN JOKO PUJIANTO")</f>
        <v>SEPTIAN JOKO PUJIANTO</v>
      </c>
      <c r="H1343" s="17" t="str">
        <f>IFERROR(__xludf.DUMMYFUNCTION("""COMPUTED_VALUE"""),"S9624051445")</f>
        <v>S9624051445</v>
      </c>
      <c r="I1343" s="17">
        <f>IFERROR(__xludf.DUMMYFUNCTION("""COMPUTED_VALUE"""),29.0)</f>
        <v>29</v>
      </c>
      <c r="J1343" s="17" t="str">
        <f>IFERROR(__xludf.DUMMYFUNCTION("""COMPUTED_VALUE"""),"25-34 tahun")</f>
        <v>25-34 tahun</v>
      </c>
      <c r="K1343" s="19">
        <f>IFERROR(__xludf.DUMMYFUNCTION("""COMPUTED_VALUE"""),35317.0)</f>
        <v>35317</v>
      </c>
      <c r="L1343" s="19" t="str">
        <f>IFERROR(__xludf.DUMMYFUNCTION("""COMPUTED_VALUE"""),"LAKI-LAKI")</f>
        <v>LAKI-LAKI</v>
      </c>
      <c r="M1343" s="35" t="str">
        <f>IFERROR(__xludf.DUMMYFUNCTION("""COMPUTED_VALUE"""),"JL. KARNA SOSIAL GG. PURWOSARI NO. 17")</f>
        <v>JL. KARNA SOSIAL GG. PURWOSARI NO. 17</v>
      </c>
      <c r="N1343" s="16" t="str">
        <f>IFERROR(__xludf.DUMMYFUNCTION("""COMPUTED_VALUE"""),"KEL. AKCAYA")</f>
        <v>KEL. AKCAYA</v>
      </c>
      <c r="O1343" s="16" t="str">
        <f>IFERROR(__xludf.DUMMYFUNCTION("""COMPUTED_VALUE"""),"KEC. PONTIANAK SELATAN")</f>
        <v>KEC. PONTIANAK SELATAN</v>
      </c>
      <c r="P1343" s="35" t="str">
        <f>IFERROR(__xludf.DUMMYFUNCTION("""COMPUTED_VALUE"""),"KOTA PONTIANAK")</f>
        <v>KOTA PONTIANAK</v>
      </c>
      <c r="Q1343" s="16" t="str">
        <f>IFERROR(__xludf.DUMMYFUNCTION("""COMPUTED_VALUE"""),"KALIMANTAN BARAT")</f>
        <v>KALIMANTAN BARAT</v>
      </c>
      <c r="R1343" s="19" t="str">
        <f>IFERROR(__xludf.DUMMYFUNCTION("""COMPUTED_VALUE"""),"ISLAM")</f>
        <v>ISLAM</v>
      </c>
      <c r="S1343" s="16" t="str">
        <f>IFERROR(__xludf.DUMMYFUNCTION("""COMPUTED_VALUE"""),"SWASTA")</f>
        <v>SWASTA</v>
      </c>
      <c r="T1343" s="16" t="str">
        <f>IFERROR(__xludf.DUMMYFUNCTION("""COMPUTED_VALUE"""),"Ngilu di sebelah kiri, dan agak nyeri + kaku ketika dibawa lari")</f>
        <v>Ngilu di sebelah kiri, dan agak nyeri + kaku ketika dibawa lari</v>
      </c>
      <c r="U1343" s="16" t="str">
        <f>IFERROR(__xludf.DUMMYFUNCTION("""COMPUTED_VALUE"""),"Kerja, ngurus jualan, running, sepak bola")</f>
        <v>Kerja, ngurus jualan, running, sepak bola</v>
      </c>
      <c r="V1343" s="11" t="str">
        <f>IFERROR(__xludf.DUMMYFUNCTION("""COMPUTED_VALUE"""),"087782341445")</f>
        <v>087782341445</v>
      </c>
      <c r="W1343" s="15"/>
    </row>
    <row r="1344" ht="22.5" customHeight="1">
      <c r="A1344" s="8"/>
      <c r="B1344" s="9">
        <f>IFERROR(__xludf.DUMMYFUNCTION("""COMPUTED_VALUE"""),45424.44291370371)</f>
        <v>45424.44291</v>
      </c>
      <c r="C1344" s="9"/>
      <c r="D1344" s="34">
        <f>IFERROR(__xludf.DUMMYFUNCTION("""COMPUTED_VALUE"""),45429.0)</f>
        <v>45429</v>
      </c>
      <c r="E1344" s="34" t="str">
        <f>IFERROR(__xludf.DUMMYFUNCTION("""COMPUTED_VALUE"""),"05Mei")</f>
        <v>05Mei</v>
      </c>
      <c r="F1344" s="34" t="str">
        <f>IFERROR(__xludf.DUMMYFUNCTION("""COMPUTED_VALUE"""),"2024")</f>
        <v>2024</v>
      </c>
      <c r="G1344" s="35" t="str">
        <f>IFERROR(__xludf.DUMMYFUNCTION("""COMPUTED_VALUE"""),"PRATAMA ARIE PHERDOAN")</f>
        <v>PRATAMA ARIE PHERDOAN</v>
      </c>
      <c r="H1344" s="17" t="str">
        <f>IFERROR(__xludf.DUMMYFUNCTION("""COMPUTED_VALUE"""),"P0224056714")</f>
        <v>P0224056714</v>
      </c>
      <c r="I1344" s="17">
        <f>IFERROR(__xludf.DUMMYFUNCTION("""COMPUTED_VALUE"""),24.0)</f>
        <v>24</v>
      </c>
      <c r="J1344" s="17" t="str">
        <f>IFERROR(__xludf.DUMMYFUNCTION("""COMPUTED_VALUE"""),"18-24 tahun")</f>
        <v>18-24 tahun</v>
      </c>
      <c r="K1344" s="19">
        <f>IFERROR(__xludf.DUMMYFUNCTION("""COMPUTED_VALUE"""),37342.0)</f>
        <v>37342</v>
      </c>
      <c r="L1344" s="19" t="str">
        <f>IFERROR(__xludf.DUMMYFUNCTION("""COMPUTED_VALUE"""),"LAKI-LAKI")</f>
        <v>LAKI-LAKI</v>
      </c>
      <c r="M1344" s="35" t="str">
        <f>IFERROR(__xludf.DUMMYFUNCTION("""COMPUTED_VALUE"""),"JALAN SULENCO NO 07 RT 025 RW 14")</f>
        <v>JALAN SULENCO NO 07 RT 025 RW 14</v>
      </c>
      <c r="N1344" s="16" t="str">
        <f>IFERROR(__xludf.DUMMYFUNCTION("""COMPUTED_VALUE"""),"KEL. BUMI EMAS")</f>
        <v>KEL. BUMI EMAS</v>
      </c>
      <c r="O1344" s="16" t="str">
        <f>IFERROR(__xludf.DUMMYFUNCTION("""COMPUTED_VALUE"""),"KEC. BENGKAYANG")</f>
        <v>KEC. BENGKAYANG</v>
      </c>
      <c r="P1344" s="16" t="str">
        <f>IFERROR(__xludf.DUMMYFUNCTION("""COMPUTED_VALUE"""),"KAB. BENGKAYANG")</f>
        <v>KAB. BENGKAYANG</v>
      </c>
      <c r="Q1344" s="16" t="str">
        <f>IFERROR(__xludf.DUMMYFUNCTION("""COMPUTED_VALUE"""),"KALIMANTAN BARAT")</f>
        <v>KALIMANTAN BARAT</v>
      </c>
      <c r="R1344" s="19" t="str">
        <f>IFERROR(__xludf.DUMMYFUNCTION("""COMPUTED_VALUE"""),"KATOLIK")</f>
        <v>KATOLIK</v>
      </c>
      <c r="S1344" s="16" t="str">
        <f>IFERROR(__xludf.DUMMYFUNCTION("""COMPUTED_VALUE"""),"TNI/POLRI")</f>
        <v>TNI/POLRI</v>
      </c>
      <c r="T1344" s="16" t="str">
        <f>IFERROR(__xludf.DUMMYFUNCTION("""COMPUTED_VALUE"""),"Engkel")</f>
        <v>Engkel</v>
      </c>
      <c r="U1344" s="16" t="str">
        <f>IFERROR(__xludf.DUMMYFUNCTION("""COMPUTED_VALUE"""),"Futsal")</f>
        <v>Futsal</v>
      </c>
      <c r="V1344" s="11" t="str">
        <f>IFERROR(__xludf.DUMMYFUNCTION("""COMPUTED_VALUE"""),"082190466714")</f>
        <v>082190466714</v>
      </c>
      <c r="W1344" s="15"/>
    </row>
    <row r="1345" ht="22.5" customHeight="1">
      <c r="A1345" s="8"/>
      <c r="B1345" s="9">
        <f>IFERROR(__xludf.DUMMYFUNCTION("""COMPUTED_VALUE"""),45424.62693878472)</f>
        <v>45424.62694</v>
      </c>
      <c r="C1345" s="9"/>
      <c r="D1345" s="34">
        <f>IFERROR(__xludf.DUMMYFUNCTION("""COMPUTED_VALUE"""),45430.0)</f>
        <v>45430</v>
      </c>
      <c r="E1345" s="34" t="str">
        <f>IFERROR(__xludf.DUMMYFUNCTION("""COMPUTED_VALUE"""),"05Mei")</f>
        <v>05Mei</v>
      </c>
      <c r="F1345" s="34" t="str">
        <f>IFERROR(__xludf.DUMMYFUNCTION("""COMPUTED_VALUE"""),"2024")</f>
        <v>2024</v>
      </c>
      <c r="G1345" s="35" t="str">
        <f>IFERROR(__xludf.DUMMYFUNCTION("""COMPUTED_VALUE"""),"RYAN MAULANA")</f>
        <v>RYAN MAULANA</v>
      </c>
      <c r="H1345" s="17" t="str">
        <f>IFERROR(__xludf.DUMMYFUNCTION("""COMPUTED_VALUE"""),"R0524059574")</f>
        <v>R0524059574</v>
      </c>
      <c r="I1345" s="17">
        <f>IFERROR(__xludf.DUMMYFUNCTION("""COMPUTED_VALUE"""),21.0)</f>
        <v>21</v>
      </c>
      <c r="J1345" s="17" t="str">
        <f>IFERROR(__xludf.DUMMYFUNCTION("""COMPUTED_VALUE"""),"18-24 tahun")</f>
        <v>18-24 tahun</v>
      </c>
      <c r="K1345" s="19">
        <f>IFERROR(__xludf.DUMMYFUNCTION("""COMPUTED_VALUE"""),38437.0)</f>
        <v>38437</v>
      </c>
      <c r="L1345" s="19" t="str">
        <f>IFERROR(__xludf.DUMMYFUNCTION("""COMPUTED_VALUE"""),"LAKI-LAKI")</f>
        <v>LAKI-LAKI</v>
      </c>
      <c r="M1345" s="35" t="str">
        <f>IFERROR(__xludf.DUMMYFUNCTION("""COMPUTED_VALUE"""),"DUSUN SABUNG SETANGGA RT. 01,RW.01")</f>
        <v>DUSUN SABUNG SETANGGA RT. 01,RW.01</v>
      </c>
      <c r="N1345" s="16" t="str">
        <f>IFERROR(__xludf.DUMMYFUNCTION("""COMPUTED_VALUE"""),"DS. SABUNG SETANGGA")</f>
        <v>DS. SABUNG SETANGGA</v>
      </c>
      <c r="O1345" s="16" t="str">
        <f>IFERROR(__xludf.DUMMYFUNCTION("""COMPUTED_VALUE"""),"KEC. SUBAH")</f>
        <v>KEC. SUBAH</v>
      </c>
      <c r="P1345" s="16" t="str">
        <f>IFERROR(__xludf.DUMMYFUNCTION("""COMPUTED_VALUE"""),"KAB. SAMBAS")</f>
        <v>KAB. SAMBAS</v>
      </c>
      <c r="Q1345" s="16" t="str">
        <f>IFERROR(__xludf.DUMMYFUNCTION("""COMPUTED_VALUE"""),"KALIMANTAN BARAT")</f>
        <v>KALIMANTAN BARAT</v>
      </c>
      <c r="R1345" s="19" t="str">
        <f>IFERROR(__xludf.DUMMYFUNCTION("""COMPUTED_VALUE"""),"ISLAM")</f>
        <v>ISLAM</v>
      </c>
      <c r="S1345" s="16" t="str">
        <f>IFERROR(__xludf.DUMMYFUNCTION("""COMPUTED_VALUE"""),"PELAJAR/MAHASISWA")</f>
        <v>PELAJAR/MAHASISWA</v>
      </c>
      <c r="T1345" s="16" t="str">
        <f>IFERROR(__xludf.DUMMYFUNCTION("""COMPUTED_VALUE"""),"Bagian tulang")</f>
        <v>Bagian tulang</v>
      </c>
      <c r="U1345" s="16" t="str">
        <f>IFERROR(__xludf.DUMMYFUNCTION("""COMPUTED_VALUE"""),"Mancing")</f>
        <v>Mancing</v>
      </c>
      <c r="V1345" s="11" t="str">
        <f>IFERROR(__xludf.DUMMYFUNCTION("""COMPUTED_VALUE"""),"082351449574")</f>
        <v>082351449574</v>
      </c>
      <c r="W1345" s="15"/>
    </row>
    <row r="1346" ht="22.5" customHeight="1">
      <c r="A1346" s="8"/>
      <c r="B1346" s="9">
        <f>IFERROR(__xludf.DUMMYFUNCTION("""COMPUTED_VALUE"""),45425.385570370374)</f>
        <v>45425.38557</v>
      </c>
      <c r="C1346" s="9"/>
      <c r="D1346" s="34">
        <f>IFERROR(__xludf.DUMMYFUNCTION("""COMPUTED_VALUE"""),45430.0)</f>
        <v>45430</v>
      </c>
      <c r="E1346" s="34" t="str">
        <f>IFERROR(__xludf.DUMMYFUNCTION("""COMPUTED_VALUE"""),"05Mei")</f>
        <v>05Mei</v>
      </c>
      <c r="F1346" s="34" t="str">
        <f>IFERROR(__xludf.DUMMYFUNCTION("""COMPUTED_VALUE"""),"2024")</f>
        <v>2024</v>
      </c>
      <c r="G1346" s="35" t="str">
        <f>IFERROR(__xludf.DUMMYFUNCTION("""COMPUTED_VALUE"""),"RENDY FEBRIAN")</f>
        <v>RENDY FEBRIAN</v>
      </c>
      <c r="H1346" s="17" t="str">
        <f>IFERROR(__xludf.DUMMYFUNCTION("""COMPUTED_VALUE"""),"R8924052182")</f>
        <v>R8924052182</v>
      </c>
      <c r="I1346" s="17">
        <f>IFERROR(__xludf.DUMMYFUNCTION("""COMPUTED_VALUE"""),37.0)</f>
        <v>37</v>
      </c>
      <c r="J1346" s="17" t="str">
        <f>IFERROR(__xludf.DUMMYFUNCTION("""COMPUTED_VALUE"""),"35-44 tahun")</f>
        <v>35-44 tahun</v>
      </c>
      <c r="K1346" s="19">
        <f>IFERROR(__xludf.DUMMYFUNCTION("""COMPUTED_VALUE"""),32554.0)</f>
        <v>32554</v>
      </c>
      <c r="L1346" s="19" t="str">
        <f>IFERROR(__xludf.DUMMYFUNCTION("""COMPUTED_VALUE"""),"LAKI-LAKI")</f>
        <v>LAKI-LAKI</v>
      </c>
      <c r="M1346" s="35" t="str">
        <f>IFERROR(__xludf.DUMMYFUNCTION("""COMPUTED_VALUE"""),"JL.P.NATAKUSUMA GG.RAJAWALI NO.11A")</f>
        <v>JL.P.NATAKUSUMA GG.RAJAWALI NO.11A</v>
      </c>
      <c r="N1346" s="16" t="str">
        <f>IFERROR(__xludf.DUMMYFUNCTION("""COMPUTED_VALUE"""),"KEL. SUNGAI BANGKONG")</f>
        <v>KEL. SUNGAI BANGKONG</v>
      </c>
      <c r="O1346" s="16" t="str">
        <f>IFERROR(__xludf.DUMMYFUNCTION("""COMPUTED_VALUE"""),"KEC. PONTIANAK KOTA")</f>
        <v>KEC. PONTIANAK KOTA</v>
      </c>
      <c r="P1346" s="16" t="str">
        <f>IFERROR(__xludf.DUMMYFUNCTION("""COMPUTED_VALUE"""),"KOTA PONTIANAK")</f>
        <v>KOTA PONTIANAK</v>
      </c>
      <c r="Q1346" s="16" t="str">
        <f>IFERROR(__xludf.DUMMYFUNCTION("""COMPUTED_VALUE"""),"KALIMANTAN BARAT")</f>
        <v>KALIMANTAN BARAT</v>
      </c>
      <c r="R1346" s="19" t="str">
        <f>IFERROR(__xludf.DUMMYFUNCTION("""COMPUTED_VALUE"""),"ISLAM")</f>
        <v>ISLAM</v>
      </c>
      <c r="S1346" s="16" t="str">
        <f>IFERROR(__xludf.DUMMYFUNCTION("""COMPUTED_VALUE"""),"SWASTA")</f>
        <v>SWASTA</v>
      </c>
      <c r="T1346" s="16" t="str">
        <f>IFERROR(__xludf.DUMMYFUNCTION("""COMPUTED_VALUE"""),"Tulang kering terkilir, betis bengkak")</f>
        <v>Tulang kering terkilir, betis bengkak</v>
      </c>
      <c r="U1346" s="16" t="str">
        <f>IFERROR(__xludf.DUMMYFUNCTION("""COMPUTED_VALUE"""),"Lari,sepak bola dan gym")</f>
        <v>Lari,sepak bola dan gym</v>
      </c>
      <c r="V1346" s="11" t="str">
        <f>IFERROR(__xludf.DUMMYFUNCTION("""COMPUTED_VALUE"""),"082157012182")</f>
        <v>082157012182</v>
      </c>
      <c r="W1346" s="15"/>
    </row>
    <row r="1347" ht="22.5" customHeight="1">
      <c r="A1347" s="8"/>
      <c r="B1347" s="9">
        <f>IFERROR(__xludf.DUMMYFUNCTION("""COMPUTED_VALUE"""),45426.44254741898)</f>
        <v>45426.44255</v>
      </c>
      <c r="C1347" s="9"/>
      <c r="D1347" s="34">
        <f>IFERROR(__xludf.DUMMYFUNCTION("""COMPUTED_VALUE"""),45430.0)</f>
        <v>45430</v>
      </c>
      <c r="E1347" s="34" t="str">
        <f>IFERROR(__xludf.DUMMYFUNCTION("""COMPUTED_VALUE"""),"05Mei")</f>
        <v>05Mei</v>
      </c>
      <c r="F1347" s="34" t="str">
        <f>IFERROR(__xludf.DUMMYFUNCTION("""COMPUTED_VALUE"""),"2024")</f>
        <v>2024</v>
      </c>
      <c r="G1347" s="35" t="str">
        <f>IFERROR(__xludf.DUMMYFUNCTION("""COMPUTED_VALUE"""),"VINSENSIUS MALETA")</f>
        <v>VINSENSIUS MALETA</v>
      </c>
      <c r="H1347" s="17" t="str">
        <f>IFERROR(__xludf.DUMMYFUNCTION("""COMPUTED_VALUE"""),"V5724056503")</f>
        <v>V5724056503</v>
      </c>
      <c r="I1347" s="17">
        <f>IFERROR(__xludf.DUMMYFUNCTION("""COMPUTED_VALUE"""),68.0)</f>
        <v>68</v>
      </c>
      <c r="J1347" s="17" t="str">
        <f>IFERROR(__xludf.DUMMYFUNCTION("""COMPUTED_VALUE"""),"&gt; 44 tahun")</f>
        <v>&gt; 44 tahun</v>
      </c>
      <c r="K1347" s="19">
        <f>IFERROR(__xludf.DUMMYFUNCTION("""COMPUTED_VALUE"""),21005.0)</f>
        <v>21005</v>
      </c>
      <c r="L1347" s="19" t="str">
        <f>IFERROR(__xludf.DUMMYFUNCTION("""COMPUTED_VALUE"""),"LAKI-LAKI")</f>
        <v>LAKI-LAKI</v>
      </c>
      <c r="M1347" s="35" t="str">
        <f>IFERROR(__xludf.DUMMYFUNCTION("""COMPUTED_VALUE"""),"DUSUN AUR SAMPUK")</f>
        <v>DUSUN AUR SAMPUK</v>
      </c>
      <c r="N1347" s="16" t="str">
        <f>IFERROR(__xludf.DUMMYFUNCTION("""COMPUTED_VALUE"""),"DS. AUR SAMPUK")</f>
        <v>DS. AUR SAMPUK</v>
      </c>
      <c r="O1347" s="16" t="str">
        <f>IFERROR(__xludf.DUMMYFUNCTION("""COMPUTED_VALUE"""),"KEC. SENGAH TEMILA")</f>
        <v>KEC. SENGAH TEMILA</v>
      </c>
      <c r="P1347" s="16" t="str">
        <f>IFERROR(__xludf.DUMMYFUNCTION("""COMPUTED_VALUE"""),"KAB. LANDAK")</f>
        <v>KAB. LANDAK</v>
      </c>
      <c r="Q1347" s="16" t="str">
        <f>IFERROR(__xludf.DUMMYFUNCTION("""COMPUTED_VALUE"""),"KALIMANTAN BARAT")</f>
        <v>KALIMANTAN BARAT</v>
      </c>
      <c r="R1347" s="19" t="str">
        <f>IFERROR(__xludf.DUMMYFUNCTION("""COMPUTED_VALUE"""),"KATOLIK")</f>
        <v>KATOLIK</v>
      </c>
      <c r="S1347" s="16" t="str">
        <f>IFERROR(__xludf.DUMMYFUNCTION("""COMPUTED_VALUE"""),"PENSIUN")</f>
        <v>PENSIUN</v>
      </c>
      <c r="T1347" s="16" t="str">
        <f>IFERROR(__xludf.DUMMYFUNCTION("""COMPUTED_VALUE"""),"Kaki sedikit lemah")</f>
        <v>Kaki sedikit lemah</v>
      </c>
      <c r="U1347" s="16" t="str">
        <f>IFERROR(__xludf.DUMMYFUNCTION("""COMPUTED_VALUE"""),"Memimpin Ibadah / Pelayan Umat")</f>
        <v>Memimpin Ibadah / Pelayan Umat</v>
      </c>
      <c r="V1347" s="11" t="str">
        <f>IFERROR(__xludf.DUMMYFUNCTION("""COMPUTED_VALUE"""),"082117706503")</f>
        <v>082117706503</v>
      </c>
      <c r="W1347" s="15"/>
    </row>
    <row r="1348" ht="22.5" customHeight="1">
      <c r="A1348" s="8"/>
      <c r="B1348" s="9">
        <f>IFERROR(__xludf.DUMMYFUNCTION("""COMPUTED_VALUE"""),45423.6001940625)</f>
        <v>45423.60019</v>
      </c>
      <c r="C1348" s="9"/>
      <c r="D1348" s="34">
        <f>IFERROR(__xludf.DUMMYFUNCTION("""COMPUTED_VALUE"""),45431.0)</f>
        <v>45431</v>
      </c>
      <c r="E1348" s="34" t="str">
        <f>IFERROR(__xludf.DUMMYFUNCTION("""COMPUTED_VALUE"""),"05Mei")</f>
        <v>05Mei</v>
      </c>
      <c r="F1348" s="34" t="str">
        <f>IFERROR(__xludf.DUMMYFUNCTION("""COMPUTED_VALUE"""),"2024")</f>
        <v>2024</v>
      </c>
      <c r="G1348" s="16" t="str">
        <f>IFERROR(__xludf.DUMMYFUNCTION("""COMPUTED_VALUE"""),"MUHAMMAD RANDA")</f>
        <v>MUHAMMAD RANDA</v>
      </c>
      <c r="H1348" s="17" t="str">
        <f>IFERROR(__xludf.DUMMYFUNCTION("""COMPUTED_VALUE"""),"M8724054827")</f>
        <v>M8724054827</v>
      </c>
      <c r="I1348" s="17">
        <f>IFERROR(__xludf.DUMMYFUNCTION("""COMPUTED_VALUE"""),39.0)</f>
        <v>39</v>
      </c>
      <c r="J1348" s="17" t="str">
        <f>IFERROR(__xludf.DUMMYFUNCTION("""COMPUTED_VALUE"""),"35-44 tahun")</f>
        <v>35-44 tahun</v>
      </c>
      <c r="K1348" s="19">
        <f>IFERROR(__xludf.DUMMYFUNCTION("""COMPUTED_VALUE"""),31823.0)</f>
        <v>31823</v>
      </c>
      <c r="L1348" s="19" t="str">
        <f>IFERROR(__xludf.DUMMYFUNCTION("""COMPUTED_VALUE"""),"LAKI-LAKI")</f>
        <v>LAKI-LAKI</v>
      </c>
      <c r="M1348" s="35" t="str">
        <f>IFERROR(__xludf.DUMMYFUNCTION("""COMPUTED_VALUE"""),"JALAN JENDRAL URIP GG.KEMUNING NO 22")</f>
        <v>JALAN JENDRAL URIP GG.KEMUNING NO 22</v>
      </c>
      <c r="N1348" s="16" t="str">
        <f>IFERROR(__xludf.DUMMYFUNCTION("""COMPUTED_VALUE"""),"KEL. TENGAH")</f>
        <v>KEL. TENGAH</v>
      </c>
      <c r="O1348" s="16" t="str">
        <f>IFERROR(__xludf.DUMMYFUNCTION("""COMPUTED_VALUE"""),"KEC. PONTIANAK KOTA")</f>
        <v>KEC. PONTIANAK KOTA</v>
      </c>
      <c r="P1348" s="16" t="str">
        <f>IFERROR(__xludf.DUMMYFUNCTION("""COMPUTED_VALUE"""),"KOTA PONTIANAK")</f>
        <v>KOTA PONTIANAK</v>
      </c>
      <c r="Q1348" s="16" t="str">
        <f>IFERROR(__xludf.DUMMYFUNCTION("""COMPUTED_VALUE"""),"KALIMANTAN BARAT")</f>
        <v>KALIMANTAN BARAT</v>
      </c>
      <c r="R1348" s="19" t="str">
        <f>IFERROR(__xludf.DUMMYFUNCTION("""COMPUTED_VALUE"""),"ISLAM")</f>
        <v>ISLAM</v>
      </c>
      <c r="S1348" s="16" t="str">
        <f>IFERROR(__xludf.DUMMYFUNCTION("""COMPUTED_VALUE"""),"TNI/POLRI")</f>
        <v>TNI/POLRI</v>
      </c>
      <c r="T1348" s="16" t="str">
        <f>IFERROR(__xludf.DUMMYFUNCTION("""COMPUTED_VALUE"""),"Cidera")</f>
        <v>Cidera</v>
      </c>
      <c r="U1348" s="16" t="str">
        <f>IFERROR(__xludf.DUMMYFUNCTION("""COMPUTED_VALUE"""),"Sepak bola")</f>
        <v>Sepak bola</v>
      </c>
      <c r="V1348" s="11" t="str">
        <f>IFERROR(__xludf.DUMMYFUNCTION("""COMPUTED_VALUE"""),"081257184827")</f>
        <v>081257184827</v>
      </c>
      <c r="W1348" s="15"/>
    </row>
    <row r="1349" ht="22.5" customHeight="1">
      <c r="A1349" s="8"/>
      <c r="B1349" s="9">
        <f>IFERROR(__xludf.DUMMYFUNCTION("""COMPUTED_VALUE"""),45426.469783368055)</f>
        <v>45426.46978</v>
      </c>
      <c r="C1349" s="9"/>
      <c r="D1349" s="34">
        <f>IFERROR(__xludf.DUMMYFUNCTION("""COMPUTED_VALUE"""),45432.0)</f>
        <v>45432</v>
      </c>
      <c r="E1349" s="34" t="str">
        <f>IFERROR(__xludf.DUMMYFUNCTION("""COMPUTED_VALUE"""),"05Mei")</f>
        <v>05Mei</v>
      </c>
      <c r="F1349" s="34" t="str">
        <f>IFERROR(__xludf.DUMMYFUNCTION("""COMPUTED_VALUE"""),"2024")</f>
        <v>2024</v>
      </c>
      <c r="G1349" s="16" t="str">
        <f>IFERROR(__xludf.DUMMYFUNCTION("""COMPUTED_VALUE"""),"TJHIA DJUN TJHIN")</f>
        <v>TJHIA DJUN TJHIN</v>
      </c>
      <c r="H1349" s="17" t="str">
        <f>IFERROR(__xludf.DUMMYFUNCTION("""COMPUTED_VALUE"""),"T4524055128")</f>
        <v>T4524055128</v>
      </c>
      <c r="I1349" s="17">
        <f>IFERROR(__xludf.DUMMYFUNCTION("""COMPUTED_VALUE"""),81.0)</f>
        <v>81</v>
      </c>
      <c r="J1349" s="17" t="str">
        <f>IFERROR(__xludf.DUMMYFUNCTION("""COMPUTED_VALUE"""),"&gt; 44 tahun")</f>
        <v>&gt; 44 tahun</v>
      </c>
      <c r="K1349" s="19">
        <f>IFERROR(__xludf.DUMMYFUNCTION("""COMPUTED_VALUE"""),16440.0)</f>
        <v>16440</v>
      </c>
      <c r="L1349" s="19" t="str">
        <f>IFERROR(__xludf.DUMMYFUNCTION("""COMPUTED_VALUE"""),"PEREMPUAN")</f>
        <v>PEREMPUAN</v>
      </c>
      <c r="M1349" s="35" t="str">
        <f>IFERROR(__xludf.DUMMYFUNCTION("""COMPUTED_VALUE"""),"KELAPA NIAS XI PE 4/12A")</f>
        <v>KELAPA NIAS XI PE 4/12A</v>
      </c>
      <c r="N1349" s="16" t="str">
        <f>IFERROR(__xludf.DUMMYFUNCTION("""COMPUTED_VALUE"""),"KEL. PEGANGSAAN DUA")</f>
        <v>KEL. PEGANGSAAN DUA</v>
      </c>
      <c r="O1349" s="16" t="str">
        <f>IFERROR(__xludf.DUMMYFUNCTION("""COMPUTED_VALUE"""),"KEC. KELAPA GADING")</f>
        <v>KEC. KELAPA GADING</v>
      </c>
      <c r="P1349" s="16" t="str">
        <f>IFERROR(__xludf.DUMMYFUNCTION("""COMPUTED_VALUE"""),"KOTA JAKARTA UTARA")</f>
        <v>KOTA JAKARTA UTARA</v>
      </c>
      <c r="Q1349" s="16" t="str">
        <f>IFERROR(__xludf.DUMMYFUNCTION("""COMPUTED_VALUE"""),"DKI JAKARTA")</f>
        <v>DKI JAKARTA</v>
      </c>
      <c r="R1349" s="19" t="str">
        <f>IFERROR(__xludf.DUMMYFUNCTION("""COMPUTED_VALUE"""),"PROTESTAN")</f>
        <v>PROTESTAN</v>
      </c>
      <c r="S1349" s="16" t="str">
        <f>IFERROR(__xludf.DUMMYFUNCTION("""COMPUTED_VALUE"""),"RUMAH TANGGA")</f>
        <v>RUMAH TANGGA</v>
      </c>
      <c r="T1349" s="16" t="str">
        <f>IFERROR(__xludf.DUMMYFUNCTION("""COMPUTED_VALUE"""),"Sakit bagian pinggang bawah/pinggul, susah bangun dari tempat tidur")</f>
        <v>Sakit bagian pinggang bawah/pinggul, susah bangun dari tempat tidur</v>
      </c>
      <c r="U1349" s="16" t="str">
        <f>IFERROR(__xludf.DUMMYFUNCTION("""COMPUTED_VALUE"""),"Senam pagi manula")</f>
        <v>Senam pagi manula</v>
      </c>
      <c r="V1349" s="11" t="str">
        <f>IFERROR(__xludf.DUMMYFUNCTION("""COMPUTED_VALUE"""),"087878225128")</f>
        <v>087878225128</v>
      </c>
      <c r="W1349" s="15"/>
    </row>
    <row r="1350" ht="22.5" customHeight="1">
      <c r="A1350" s="8"/>
      <c r="B1350" s="9">
        <f>IFERROR(__xludf.DUMMYFUNCTION("""COMPUTED_VALUE"""),45426.53974591436)</f>
        <v>45426.53975</v>
      </c>
      <c r="C1350" s="9"/>
      <c r="D1350" s="34">
        <f>IFERROR(__xludf.DUMMYFUNCTION("""COMPUTED_VALUE"""),45432.0)</f>
        <v>45432</v>
      </c>
      <c r="E1350" s="34" t="str">
        <f>IFERROR(__xludf.DUMMYFUNCTION("""COMPUTED_VALUE"""),"05Mei")</f>
        <v>05Mei</v>
      </c>
      <c r="F1350" s="34" t="str">
        <f>IFERROR(__xludf.DUMMYFUNCTION("""COMPUTED_VALUE"""),"2024")</f>
        <v>2024</v>
      </c>
      <c r="G1350" s="16" t="str">
        <f>IFERROR(__xludf.DUMMYFUNCTION("""COMPUTED_VALUE"""),"SARTINAWATI")</f>
        <v>SARTINAWATI</v>
      </c>
      <c r="H1350" s="17" t="str">
        <f>IFERROR(__xludf.DUMMYFUNCTION("""COMPUTED_VALUE"""),"S7724054274")</f>
        <v>S7724054274</v>
      </c>
      <c r="I1350" s="17">
        <f>IFERROR(__xludf.DUMMYFUNCTION("""COMPUTED_VALUE"""),48.0)</f>
        <v>48</v>
      </c>
      <c r="J1350" s="17" t="str">
        <f>IFERROR(__xludf.DUMMYFUNCTION("""COMPUTED_VALUE"""),"&gt; 44 tahun")</f>
        <v>&gt; 44 tahun</v>
      </c>
      <c r="K1350" s="19">
        <f>IFERROR(__xludf.DUMMYFUNCTION("""COMPUTED_VALUE"""),28314.0)</f>
        <v>28314</v>
      </c>
      <c r="L1350" s="19" t="str">
        <f>IFERROR(__xludf.DUMMYFUNCTION("""COMPUTED_VALUE"""),"PEREMPUAN")</f>
        <v>PEREMPUAN</v>
      </c>
      <c r="M1350" s="35" t="str">
        <f>IFERROR(__xludf.DUMMYFUNCTION("""COMPUTED_VALUE"""),"JL.PARIT DEMANG NO0 9")</f>
        <v>JL.PARIT DEMANG NO0 9</v>
      </c>
      <c r="N1350" s="16" t="str">
        <f>IFERROR(__xludf.DUMMYFUNCTION("""COMPUTED_VALUE"""),"KEL. PARIT TOKAYA")</f>
        <v>KEL. PARIT TOKAYA</v>
      </c>
      <c r="O1350" s="16" t="str">
        <f>IFERROR(__xludf.DUMMYFUNCTION("""COMPUTED_VALUE"""),"KEC. PONTIANAK SELATAN")</f>
        <v>KEC. PONTIANAK SELATAN</v>
      </c>
      <c r="P1350" s="35" t="str">
        <f>IFERROR(__xludf.DUMMYFUNCTION("""COMPUTED_VALUE"""),"KOTA PONTIANAK")</f>
        <v>KOTA PONTIANAK</v>
      </c>
      <c r="Q1350" s="16" t="str">
        <f>IFERROR(__xludf.DUMMYFUNCTION("""COMPUTED_VALUE"""),"KALIMANTAN BARAT")</f>
        <v>KALIMANTAN BARAT</v>
      </c>
      <c r="R1350" s="19" t="str">
        <f>IFERROR(__xludf.DUMMYFUNCTION("""COMPUTED_VALUE"""),"ISLAM")</f>
        <v>ISLAM</v>
      </c>
      <c r="S1350" s="16" t="str">
        <f>IFERROR(__xludf.DUMMYFUNCTION("""COMPUTED_VALUE"""),"RUMAH TANGGA")</f>
        <v>RUMAH TANGGA</v>
      </c>
      <c r="T1350" s="16" t="str">
        <f>IFERROR(__xludf.DUMMYFUNCTION("""COMPUTED_VALUE"""),"Cidera habis jatuh kepeleset bagian paha cidera ridak bisa jalan sering keram nyeri")</f>
        <v>Cidera habis jatuh kepeleset bagian paha cidera ridak bisa jalan sering keram nyeri</v>
      </c>
      <c r="U1350" s="16" t="str">
        <f>IFERROR(__xludf.DUMMYFUNCTION("""COMPUTED_VALUE"""),"Ibu rumah tangga")</f>
        <v>Ibu rumah tangga</v>
      </c>
      <c r="V1350" s="11" t="str">
        <f>IFERROR(__xludf.DUMMYFUNCTION("""COMPUTED_VALUE"""),"0895630144274")</f>
        <v>0895630144274</v>
      </c>
      <c r="W1350" s="15"/>
    </row>
    <row r="1351" ht="22.5" customHeight="1">
      <c r="A1351" s="8"/>
      <c r="B1351" s="9">
        <f>IFERROR(__xludf.DUMMYFUNCTION("""COMPUTED_VALUE"""),45427.44550023148)</f>
        <v>45427.4455</v>
      </c>
      <c r="C1351" s="9"/>
      <c r="D1351" s="34">
        <f>IFERROR(__xludf.DUMMYFUNCTION("""COMPUTED_VALUE"""),45432.0)</f>
        <v>45432</v>
      </c>
      <c r="E1351" s="34" t="str">
        <f>IFERROR(__xludf.DUMMYFUNCTION("""COMPUTED_VALUE"""),"05Mei")</f>
        <v>05Mei</v>
      </c>
      <c r="F1351" s="34" t="str">
        <f>IFERROR(__xludf.DUMMYFUNCTION("""COMPUTED_VALUE"""),"2024")</f>
        <v>2024</v>
      </c>
      <c r="G1351" s="35" t="str">
        <f>IFERROR(__xludf.DUMMYFUNCTION("""COMPUTED_VALUE"""),"BENI SETIYANTO")</f>
        <v>BENI SETIYANTO</v>
      </c>
      <c r="H1351" s="17" t="str">
        <f>IFERROR(__xludf.DUMMYFUNCTION("""COMPUTED_VALUE"""),"B9124051354")</f>
        <v>B9124051354</v>
      </c>
      <c r="I1351" s="17">
        <f>IFERROR(__xludf.DUMMYFUNCTION("""COMPUTED_VALUE"""),34.0)</f>
        <v>34</v>
      </c>
      <c r="J1351" s="17" t="str">
        <f>IFERROR(__xludf.DUMMYFUNCTION("""COMPUTED_VALUE"""),"25-34 tahun")</f>
        <v>25-34 tahun</v>
      </c>
      <c r="K1351" s="19">
        <f>IFERROR(__xludf.DUMMYFUNCTION("""COMPUTED_VALUE"""),33512.0)</f>
        <v>33512</v>
      </c>
      <c r="L1351" s="19" t="str">
        <f>IFERROR(__xludf.DUMMYFUNCTION("""COMPUTED_VALUE"""),"LAKI-LAKI")</f>
        <v>LAKI-LAKI</v>
      </c>
      <c r="M1351" s="35" t="str">
        <f>IFERROR(__xludf.DUMMYFUNCTION("""COMPUTED_VALUE"""),"JL. KARNA SOSIAL, GG. PURWOSARI 5, NO. 8")</f>
        <v>JL. KARNA SOSIAL, GG. PURWOSARI 5, NO. 8</v>
      </c>
      <c r="N1351" s="16" t="str">
        <f>IFERROR(__xludf.DUMMYFUNCTION("""COMPUTED_VALUE"""),"KEL. AKCAYA")</f>
        <v>KEL. AKCAYA</v>
      </c>
      <c r="O1351" s="16" t="str">
        <f>IFERROR(__xludf.DUMMYFUNCTION("""COMPUTED_VALUE"""),"KEC. PONTIANAK SELATAN")</f>
        <v>KEC. PONTIANAK SELATAN</v>
      </c>
      <c r="P1351" s="16" t="str">
        <f>IFERROR(__xludf.DUMMYFUNCTION("""COMPUTED_VALUE"""),"KOTA PONTIANAK")</f>
        <v>KOTA PONTIANAK</v>
      </c>
      <c r="Q1351" s="16" t="str">
        <f>IFERROR(__xludf.DUMMYFUNCTION("""COMPUTED_VALUE"""),"KALIMANTAN BARAT")</f>
        <v>KALIMANTAN BARAT</v>
      </c>
      <c r="R1351" s="19" t="str">
        <f>IFERROR(__xludf.DUMMYFUNCTION("""COMPUTED_VALUE"""),"ISLAM")</f>
        <v>ISLAM</v>
      </c>
      <c r="S1351" s="35" t="str">
        <f>IFERROR(__xludf.DUMMYFUNCTION("""COMPUTED_VALUE"""),"SWASTA")</f>
        <v>SWASTA</v>
      </c>
      <c r="T1351" s="16" t="str">
        <f>IFERROR(__xludf.DUMMYFUNCTION("""COMPUTED_VALUE"""),"Angkle kaki kanan sakit ketika berjalan")</f>
        <v>Angkle kaki kanan sakit ketika berjalan</v>
      </c>
      <c r="U1351" s="16" t="str">
        <f>IFERROR(__xludf.DUMMYFUNCTION("""COMPUTED_VALUE"""),"Jogging, futsal")</f>
        <v>Jogging, futsal</v>
      </c>
      <c r="V1351" s="11" t="str">
        <f>IFERROR(__xludf.DUMMYFUNCTION("""COMPUTED_VALUE"""),"082299001354")</f>
        <v>082299001354</v>
      </c>
      <c r="W1351" s="15"/>
    </row>
    <row r="1352" ht="22.5" customHeight="1">
      <c r="A1352" s="8"/>
      <c r="B1352" s="9">
        <f>IFERROR(__xludf.DUMMYFUNCTION("""COMPUTED_VALUE"""),45427.54655936343)</f>
        <v>45427.54656</v>
      </c>
      <c r="C1352" s="9"/>
      <c r="D1352" s="34">
        <f>IFERROR(__xludf.DUMMYFUNCTION("""COMPUTED_VALUE"""),45432.0)</f>
        <v>45432</v>
      </c>
      <c r="E1352" s="34" t="str">
        <f>IFERROR(__xludf.DUMMYFUNCTION("""COMPUTED_VALUE"""),"05Mei")</f>
        <v>05Mei</v>
      </c>
      <c r="F1352" s="34" t="str">
        <f>IFERROR(__xludf.DUMMYFUNCTION("""COMPUTED_VALUE"""),"2024")</f>
        <v>2024</v>
      </c>
      <c r="G1352" s="16" t="str">
        <f>IFERROR(__xludf.DUMMYFUNCTION("""COMPUTED_VALUE"""),"AGUS PURNOMO")</f>
        <v>AGUS PURNOMO</v>
      </c>
      <c r="H1352" s="17" t="str">
        <f>IFERROR(__xludf.DUMMYFUNCTION("""COMPUTED_VALUE"""),"A6624052879")</f>
        <v>A6624052879</v>
      </c>
      <c r="I1352" s="17">
        <f>IFERROR(__xludf.DUMMYFUNCTION("""COMPUTED_VALUE"""),59.0)</f>
        <v>59</v>
      </c>
      <c r="J1352" s="17" t="str">
        <f>IFERROR(__xludf.DUMMYFUNCTION("""COMPUTED_VALUE"""),"&gt; 44 tahun")</f>
        <v>&gt; 44 tahun</v>
      </c>
      <c r="K1352" s="19">
        <f>IFERROR(__xludf.DUMMYFUNCTION("""COMPUTED_VALUE"""),24368.0)</f>
        <v>24368</v>
      </c>
      <c r="L1352" s="19" t="str">
        <f>IFERROR(__xludf.DUMMYFUNCTION("""COMPUTED_VALUE"""),"LAKI-LAKI")</f>
        <v>LAKI-LAKI</v>
      </c>
      <c r="M1352" s="35" t="str">
        <f>IFERROR(__xludf.DUMMYFUNCTION("""COMPUTED_VALUE"""),"JL. W. R. SUPRATMAN GG. WARU 5 NO. 7")</f>
        <v>JL. W. R. SUPRATMAN GG. WARU 5 NO. 7</v>
      </c>
      <c r="N1352" s="16" t="str">
        <f>IFERROR(__xludf.DUMMYFUNCTION("""COMPUTED_VALUE"""),"KEL. BENUA MELAYU DARAT")</f>
        <v>KEL. BENUA MELAYU DARAT</v>
      </c>
      <c r="O1352" s="16" t="str">
        <f>IFERROR(__xludf.DUMMYFUNCTION("""COMPUTED_VALUE"""),"KEC. PONTIANAK SELATAN")</f>
        <v>KEC. PONTIANAK SELATAN</v>
      </c>
      <c r="P1352" s="16" t="str">
        <f>IFERROR(__xludf.DUMMYFUNCTION("""COMPUTED_VALUE"""),"KOTA PONTIANAK")</f>
        <v>KOTA PONTIANAK</v>
      </c>
      <c r="Q1352" s="16" t="str">
        <f>IFERROR(__xludf.DUMMYFUNCTION("""COMPUTED_VALUE"""),"KALIMANTAN BARAT")</f>
        <v>KALIMANTAN BARAT</v>
      </c>
      <c r="R1352" s="19" t="str">
        <f>IFERROR(__xludf.DUMMYFUNCTION("""COMPUTED_VALUE"""),"PROTESTAN")</f>
        <v>PROTESTAN</v>
      </c>
      <c r="S1352" s="16" t="str">
        <f>IFERROR(__xludf.DUMMYFUNCTION("""COMPUTED_VALUE"""),"PENDETA")</f>
        <v>PENDETA</v>
      </c>
      <c r="T1352" s="16" t="str">
        <f>IFERROR(__xludf.DUMMYFUNCTION("""COMPUTED_VALUE"""),"Nyeri di kaki sebelah kiri")</f>
        <v>Nyeri di kaki sebelah kiri</v>
      </c>
      <c r="U1352" s="16" t="str">
        <f>IFERROR(__xludf.DUMMYFUNCTION("""COMPUTED_VALUE"""),"Baca n nonton")</f>
        <v>Baca n nonton</v>
      </c>
      <c r="V1352" s="11" t="str">
        <f>IFERROR(__xludf.DUMMYFUNCTION("""COMPUTED_VALUE"""),"081345792879")</f>
        <v>081345792879</v>
      </c>
      <c r="W1352" s="15"/>
    </row>
    <row r="1353" ht="22.5" customHeight="1">
      <c r="A1353" s="8"/>
      <c r="B1353" s="9">
        <f>IFERROR(__xludf.DUMMYFUNCTION("""COMPUTED_VALUE"""),45427.65932475694)</f>
        <v>45427.65932</v>
      </c>
      <c r="C1353" s="9"/>
      <c r="D1353" s="34">
        <f>IFERROR(__xludf.DUMMYFUNCTION("""COMPUTED_VALUE"""),45432.0)</f>
        <v>45432</v>
      </c>
      <c r="E1353" s="34" t="str">
        <f>IFERROR(__xludf.DUMMYFUNCTION("""COMPUTED_VALUE"""),"05Mei")</f>
        <v>05Mei</v>
      </c>
      <c r="F1353" s="34" t="str">
        <f>IFERROR(__xludf.DUMMYFUNCTION("""COMPUTED_VALUE"""),"2024")</f>
        <v>2024</v>
      </c>
      <c r="G1353" s="16" t="str">
        <f>IFERROR(__xludf.DUMMYFUNCTION("""COMPUTED_VALUE"""),"M. FACHROZI AKBAR")</f>
        <v>M. FACHROZI AKBAR</v>
      </c>
      <c r="H1353" s="17" t="str">
        <f>IFERROR(__xludf.DUMMYFUNCTION("""COMPUTED_VALUE"""),"M0024058791")</f>
        <v>M0024058791</v>
      </c>
      <c r="I1353" s="17">
        <f>IFERROR(__xludf.DUMMYFUNCTION("""COMPUTED_VALUE"""),26.0)</f>
        <v>26</v>
      </c>
      <c r="J1353" s="17" t="str">
        <f>IFERROR(__xludf.DUMMYFUNCTION("""COMPUTED_VALUE"""),"25-34 tahun")</f>
        <v>25-34 tahun</v>
      </c>
      <c r="K1353" s="19">
        <f>IFERROR(__xludf.DUMMYFUNCTION("""COMPUTED_VALUE"""),36626.0)</f>
        <v>36626</v>
      </c>
      <c r="L1353" s="19" t="str">
        <f>IFERROR(__xludf.DUMMYFUNCTION("""COMPUTED_VALUE"""),"LAKI-LAKI")</f>
        <v>LAKI-LAKI</v>
      </c>
      <c r="M1353" s="35" t="str">
        <f>IFERROR(__xludf.DUMMYFUNCTION("""COMPUTED_VALUE"""),"JL. H. RAIS A. RAHMAN GG. SENTOSA NO.43")</f>
        <v>JL. H. RAIS A. RAHMAN GG. SENTOSA NO.43</v>
      </c>
      <c r="N1353" s="16" t="str">
        <f>IFERROR(__xludf.DUMMYFUNCTION("""COMPUTED_VALUE"""),"KEL. SUNGAI JAWI DALAM")</f>
        <v>KEL. SUNGAI JAWI DALAM</v>
      </c>
      <c r="O1353" s="16" t="str">
        <f>IFERROR(__xludf.DUMMYFUNCTION("""COMPUTED_VALUE"""),"KEC. PONTIANAK BARAT")</f>
        <v>KEC. PONTIANAK BARAT</v>
      </c>
      <c r="P1353" s="16" t="str">
        <f>IFERROR(__xludf.DUMMYFUNCTION("""COMPUTED_VALUE"""),"KOTA PONTIANAK")</f>
        <v>KOTA PONTIANAK</v>
      </c>
      <c r="Q1353" s="16" t="str">
        <f>IFERROR(__xludf.DUMMYFUNCTION("""COMPUTED_VALUE"""),"KALIMANTAN BARAT")</f>
        <v>KALIMANTAN BARAT</v>
      </c>
      <c r="R1353" s="19" t="str">
        <f>IFERROR(__xludf.DUMMYFUNCTION("""COMPUTED_VALUE"""),"ISLAM")</f>
        <v>ISLAM</v>
      </c>
      <c r="S1353" s="16" t="str">
        <f>IFERROR(__xludf.DUMMYFUNCTION("""COMPUTED_VALUE"""),"TNI/POLRI")</f>
        <v>TNI/POLRI</v>
      </c>
      <c r="T1353" s="16" t="str">
        <f>IFERROR(__xludf.DUMMYFUNCTION("""COMPUTED_VALUE"""),"ngilu kalau ditekuk")</f>
        <v>ngilu kalau ditekuk</v>
      </c>
      <c r="U1353" s="16" t="str">
        <f>IFERROR(__xludf.DUMMYFUNCTION("""COMPUTED_VALUE"""),"Basket")</f>
        <v>Basket</v>
      </c>
      <c r="V1353" s="11" t="str">
        <f>IFERROR(__xludf.DUMMYFUNCTION("""COMPUTED_VALUE"""),"081253418791")</f>
        <v>081253418791</v>
      </c>
      <c r="W1353" s="15"/>
    </row>
    <row r="1354" ht="22.5" customHeight="1">
      <c r="A1354" s="8"/>
      <c r="B1354" s="9">
        <f>IFERROR(__xludf.DUMMYFUNCTION("""COMPUTED_VALUE"""),45427.69354798611)</f>
        <v>45427.69355</v>
      </c>
      <c r="C1354" s="9"/>
      <c r="D1354" s="34">
        <f>IFERROR(__xludf.DUMMYFUNCTION("""COMPUTED_VALUE"""),45432.455370474534)</f>
        <v>45432.45537</v>
      </c>
      <c r="E1354" s="34" t="str">
        <f>IFERROR(__xludf.DUMMYFUNCTION("""COMPUTED_VALUE"""),"05Mei")</f>
        <v>05Mei</v>
      </c>
      <c r="F1354" s="34" t="str">
        <f>IFERROR(__xludf.DUMMYFUNCTION("""COMPUTED_VALUE"""),"2024")</f>
        <v>2024</v>
      </c>
      <c r="G1354" s="16" t="str">
        <f>IFERROR(__xludf.DUMMYFUNCTION("""COMPUTED_VALUE"""),"LUSIA ASIAT")</f>
        <v>LUSIA ASIAT</v>
      </c>
      <c r="H1354" s="17" t="str">
        <f>IFERROR(__xludf.DUMMYFUNCTION("""COMPUTED_VALUE"""),"L2424051496")</f>
        <v>L2424051496</v>
      </c>
      <c r="I1354" s="17">
        <f>IFERROR(__xludf.DUMMYFUNCTION("""COMPUTED_VALUE"""),1.0)</f>
        <v>1</v>
      </c>
      <c r="J1354" s="17" t="str">
        <f>IFERROR(__xludf.DUMMYFUNCTION("""COMPUTED_VALUE"""),"&lt; 18 tahun")</f>
        <v>&lt; 18 tahun</v>
      </c>
      <c r="K1354" s="19">
        <f>IFERROR(__xludf.DUMMYFUNCTION("""COMPUTED_VALUE"""),45588.0)</f>
        <v>45588</v>
      </c>
      <c r="L1354" s="19" t="str">
        <f>IFERROR(__xludf.DUMMYFUNCTION("""COMPUTED_VALUE"""),"PEREMPUAN")</f>
        <v>PEREMPUAN</v>
      </c>
      <c r="M1354" s="35" t="str">
        <f>IFERROR(__xludf.DUMMYFUNCTION("""COMPUTED_VALUE"""),"SEJIRAM")</f>
        <v>SEJIRAM</v>
      </c>
      <c r="N1354" s="16" t="str">
        <f>IFERROR(__xludf.DUMMYFUNCTION("""COMPUTED_VALUE"""),"DS. TAJAU MADA")</f>
        <v>DS. TAJAU MADA</v>
      </c>
      <c r="O1354" s="16" t="str">
        <f>IFERROR(__xludf.DUMMYFUNCTION("""COMPUTED_VALUE"""),"KEC. SEBERUANG")</f>
        <v>KEC. SEBERUANG</v>
      </c>
      <c r="P1354" s="16" t="str">
        <f>IFERROR(__xludf.DUMMYFUNCTION("""COMPUTED_VALUE"""),"KAB. KAPUAS HULU")</f>
        <v>KAB. KAPUAS HULU</v>
      </c>
      <c r="Q1354" s="16" t="str">
        <f>IFERROR(__xludf.DUMMYFUNCTION("""COMPUTED_VALUE"""),"KALIMANTAN BARAT")</f>
        <v>KALIMANTAN BARAT</v>
      </c>
      <c r="R1354" s="19" t="str">
        <f>IFERROR(__xludf.DUMMYFUNCTION("""COMPUTED_VALUE"""),"KATOLIK")</f>
        <v>KATOLIK</v>
      </c>
      <c r="S1354" s="16" t="str">
        <f>IFERROR(__xludf.DUMMYFUNCTION("""COMPUTED_VALUE"""),"PETANI")</f>
        <v>PETANI</v>
      </c>
      <c r="T1354" s="16" t="str">
        <f>IFERROR(__xludf.DUMMYFUNCTION("""COMPUTED_VALUE"""),"-")</f>
        <v>-</v>
      </c>
      <c r="U1354" s="16" t="str">
        <f>IFERROR(__xludf.DUMMYFUNCTION("""COMPUTED_VALUE"""),"-")</f>
        <v>-</v>
      </c>
      <c r="V1354" s="11" t="str">
        <f>IFERROR(__xludf.DUMMYFUNCTION("""COMPUTED_VALUE"""),"085294741496")</f>
        <v>085294741496</v>
      </c>
      <c r="W1354" s="15"/>
    </row>
    <row r="1355" ht="22.5" customHeight="1">
      <c r="A1355" s="8"/>
      <c r="B1355" s="9">
        <f>IFERROR(__xludf.DUMMYFUNCTION("""COMPUTED_VALUE"""),45428.85175818287)</f>
        <v>45428.85176</v>
      </c>
      <c r="C1355" s="9"/>
      <c r="D1355" s="34">
        <f>IFERROR(__xludf.DUMMYFUNCTION("""COMPUTED_VALUE"""),45433.0)</f>
        <v>45433</v>
      </c>
      <c r="E1355" s="34" t="str">
        <f>IFERROR(__xludf.DUMMYFUNCTION("""COMPUTED_VALUE"""),"05Mei")</f>
        <v>05Mei</v>
      </c>
      <c r="F1355" s="34" t="str">
        <f>IFERROR(__xludf.DUMMYFUNCTION("""COMPUTED_VALUE"""),"2024")</f>
        <v>2024</v>
      </c>
      <c r="G1355" s="16" t="str">
        <f>IFERROR(__xludf.DUMMYFUNCTION("""COMPUTED_VALUE"""),"ALBERT TIRTO")</f>
        <v>ALBERT TIRTO</v>
      </c>
      <c r="H1355" s="17" t="str">
        <f>IFERROR(__xludf.DUMMYFUNCTION("""COMPUTED_VALUE"""),"A9624053321")</f>
        <v>A9624053321</v>
      </c>
      <c r="I1355" s="17">
        <f>IFERROR(__xludf.DUMMYFUNCTION("""COMPUTED_VALUE"""),29.0)</f>
        <v>29</v>
      </c>
      <c r="J1355" s="17" t="str">
        <f>IFERROR(__xludf.DUMMYFUNCTION("""COMPUTED_VALUE"""),"25-34 tahun")</f>
        <v>25-34 tahun</v>
      </c>
      <c r="K1355" s="19">
        <f>IFERROR(__xludf.DUMMYFUNCTION("""COMPUTED_VALUE"""),35386.0)</f>
        <v>35386</v>
      </c>
      <c r="L1355" s="19" t="str">
        <f>IFERROR(__xludf.DUMMYFUNCTION("""COMPUTED_VALUE"""),"LAKI-LAKI")</f>
        <v>LAKI-LAKI</v>
      </c>
      <c r="M1355" s="35" t="str">
        <f>IFERROR(__xludf.DUMMYFUNCTION("""COMPUTED_VALUE"""),"PURNAMA")</f>
        <v>PURNAMA</v>
      </c>
      <c r="N1355" s="16" t="str">
        <f>IFERROR(__xludf.DUMMYFUNCTION("""COMPUTED_VALUE"""),"KEL. AKCAYA")</f>
        <v>KEL. AKCAYA</v>
      </c>
      <c r="O1355" s="16" t="str">
        <f>IFERROR(__xludf.DUMMYFUNCTION("""COMPUTED_VALUE"""),"KEC. PARIT TOKAYA")</f>
        <v>KEC. PARIT TOKAYA</v>
      </c>
      <c r="P1355" s="16" t="str">
        <f>IFERROR(__xludf.DUMMYFUNCTION("""COMPUTED_VALUE"""),"KOTA PONTIANAK")</f>
        <v>KOTA PONTIANAK</v>
      </c>
      <c r="Q1355" s="16" t="str">
        <f>IFERROR(__xludf.DUMMYFUNCTION("""COMPUTED_VALUE"""),"KALIMANTAN BARAT")</f>
        <v>KALIMANTAN BARAT</v>
      </c>
      <c r="R1355" s="19" t="str">
        <f>IFERROR(__xludf.DUMMYFUNCTION("""COMPUTED_VALUE"""),"BUDDHA")</f>
        <v>BUDDHA</v>
      </c>
      <c r="S1355" s="16" t="str">
        <f>IFERROR(__xludf.DUMMYFUNCTION("""COMPUTED_VALUE"""),"SWASTA")</f>
        <v>SWASTA</v>
      </c>
      <c r="T1355" s="16" t="str">
        <f>IFERROR(__xludf.DUMMYFUNCTION("""COMPUTED_VALUE"""),"Sakit di bagian pergelangan tangan dan bahu")</f>
        <v>Sakit di bagian pergelangan tangan dan bahu</v>
      </c>
      <c r="U1355" s="16" t="str">
        <f>IFERROR(__xludf.DUMMYFUNCTION("""COMPUTED_VALUE"""),"Bersepeda")</f>
        <v>Bersepeda</v>
      </c>
      <c r="V1355" s="11" t="str">
        <f>IFERROR(__xludf.DUMMYFUNCTION("""COMPUTED_VALUE"""),"082234563321")</f>
        <v>082234563321</v>
      </c>
      <c r="W1355" s="15"/>
    </row>
    <row r="1356" ht="22.5" customHeight="1">
      <c r="A1356" s="8"/>
      <c r="B1356" s="9">
        <f>IFERROR(__xludf.DUMMYFUNCTION("""COMPUTED_VALUE"""),45426.65621642361)</f>
        <v>45426.65622</v>
      </c>
      <c r="C1356" s="9"/>
      <c r="D1356" s="34">
        <f>IFERROR(__xludf.DUMMYFUNCTION("""COMPUTED_VALUE"""),45433.0)</f>
        <v>45433</v>
      </c>
      <c r="E1356" s="34" t="str">
        <f>IFERROR(__xludf.DUMMYFUNCTION("""COMPUTED_VALUE"""),"05Mei")</f>
        <v>05Mei</v>
      </c>
      <c r="F1356" s="34" t="str">
        <f>IFERROR(__xludf.DUMMYFUNCTION("""COMPUTED_VALUE"""),"2024")</f>
        <v>2024</v>
      </c>
      <c r="G1356" s="16" t="str">
        <f>IFERROR(__xludf.DUMMYFUNCTION("""COMPUTED_VALUE"""),"SUKARNI 7004")</f>
        <v>SUKARNI 7004</v>
      </c>
      <c r="H1356" s="17" t="str">
        <f>IFERROR(__xludf.DUMMYFUNCTION("""COMPUTED_VALUE"""),"S7024056023")</f>
        <v>S7024056023</v>
      </c>
      <c r="I1356" s="17">
        <f>IFERROR(__xludf.DUMMYFUNCTION("""COMPUTED_VALUE"""),56.0)</f>
        <v>56</v>
      </c>
      <c r="J1356" s="17" t="str">
        <f>IFERROR(__xludf.DUMMYFUNCTION("""COMPUTED_VALUE"""),"&gt; 44 tahun")</f>
        <v>&gt; 44 tahun</v>
      </c>
      <c r="K1356" s="19">
        <f>IFERROR(__xludf.DUMMYFUNCTION("""COMPUTED_VALUE"""),25659.0)</f>
        <v>25659</v>
      </c>
      <c r="L1356" s="19" t="str">
        <f>IFERROR(__xludf.DUMMYFUNCTION("""COMPUTED_VALUE"""),"PEREMPUAN")</f>
        <v>PEREMPUAN</v>
      </c>
      <c r="M1356" s="16" t="str">
        <f>IFERROR(__xludf.DUMMYFUNCTION("""COMPUTED_VALUE"""),"JL. KARNA SOSIAL GG. PURWOSARI 5 NO 8")</f>
        <v>JL. KARNA SOSIAL GG. PURWOSARI 5 NO 8</v>
      </c>
      <c r="N1356" s="16" t="str">
        <f>IFERROR(__xludf.DUMMYFUNCTION("""COMPUTED_VALUE"""),"KEL. AKCAYA")</f>
        <v>KEL. AKCAYA</v>
      </c>
      <c r="O1356" s="16" t="str">
        <f>IFERROR(__xludf.DUMMYFUNCTION("""COMPUTED_VALUE"""),"KEC. PONTIANAK SELATAN")</f>
        <v>KEC. PONTIANAK SELATAN</v>
      </c>
      <c r="P1356" s="16" t="str">
        <f>IFERROR(__xludf.DUMMYFUNCTION("""COMPUTED_VALUE"""),"KOTA PONTIANAK")</f>
        <v>KOTA PONTIANAK</v>
      </c>
      <c r="Q1356" s="16" t="str">
        <f>IFERROR(__xludf.DUMMYFUNCTION("""COMPUTED_VALUE"""),"KALIMANTAN BARAT")</f>
        <v>KALIMANTAN BARAT</v>
      </c>
      <c r="R1356" s="19" t="str">
        <f>IFERROR(__xludf.DUMMYFUNCTION("""COMPUTED_VALUE"""),"ISLAM")</f>
        <v>ISLAM</v>
      </c>
      <c r="S1356" s="16" t="str">
        <f>IFERROR(__xludf.DUMMYFUNCTION("""COMPUTED_VALUE"""),"SWASTA")</f>
        <v>SWASTA</v>
      </c>
      <c r="T1356" s="16" t="str">
        <f>IFERROR(__xludf.DUMMYFUNCTION("""COMPUTED_VALUE"""),"Sakit pinggang")</f>
        <v>Sakit pinggang</v>
      </c>
      <c r="U1356" s="16" t="str">
        <f>IFERROR(__xludf.DUMMYFUNCTION("""COMPUTED_VALUE"""),"Jualan")</f>
        <v>Jualan</v>
      </c>
      <c r="V1356" s="11" t="str">
        <f>IFERROR(__xludf.DUMMYFUNCTION("""COMPUTED_VALUE"""),"085777146023")</f>
        <v>085777146023</v>
      </c>
      <c r="W1356" s="15"/>
    </row>
    <row r="1357" ht="22.5" customHeight="1">
      <c r="A1357" s="8"/>
      <c r="B1357" s="9">
        <f>IFERROR(__xludf.DUMMYFUNCTION("""COMPUTED_VALUE"""),45429.44906746528)</f>
        <v>45429.44907</v>
      </c>
      <c r="C1357" s="9"/>
      <c r="D1357" s="34">
        <f>IFERROR(__xludf.DUMMYFUNCTION("""COMPUTED_VALUE"""),45433.0)</f>
        <v>45433</v>
      </c>
      <c r="E1357" s="34" t="str">
        <f>IFERROR(__xludf.DUMMYFUNCTION("""COMPUTED_VALUE"""),"05Mei")</f>
        <v>05Mei</v>
      </c>
      <c r="F1357" s="34" t="str">
        <f>IFERROR(__xludf.DUMMYFUNCTION("""COMPUTED_VALUE"""),"2024")</f>
        <v>2024</v>
      </c>
      <c r="G1357" s="16" t="str">
        <f>IFERROR(__xludf.DUMMYFUNCTION("""COMPUTED_VALUE"""),"AHMAD ABDUL AZIZ")</f>
        <v>AHMAD ABDUL AZIZ</v>
      </c>
      <c r="H1357" s="17" t="str">
        <f>IFERROR(__xludf.DUMMYFUNCTION("""COMPUTED_VALUE"""),"A9424056548")</f>
        <v>A9424056548</v>
      </c>
      <c r="I1357" s="17">
        <f>IFERROR(__xludf.DUMMYFUNCTION("""COMPUTED_VALUE"""),31.0)</f>
        <v>31</v>
      </c>
      <c r="J1357" s="17" t="str">
        <f>IFERROR(__xludf.DUMMYFUNCTION("""COMPUTED_VALUE"""),"25-34 tahun")</f>
        <v>25-34 tahun</v>
      </c>
      <c r="K1357" s="19">
        <f>IFERROR(__xludf.DUMMYFUNCTION("""COMPUTED_VALUE"""),34631.0)</f>
        <v>34631</v>
      </c>
      <c r="L1357" s="19" t="str">
        <f>IFERROR(__xludf.DUMMYFUNCTION("""COMPUTED_VALUE"""),"LAKI-LAKI")</f>
        <v>LAKI-LAKI</v>
      </c>
      <c r="M1357" s="35" t="str">
        <f>IFERROR(__xludf.DUMMYFUNCTION("""COMPUTED_VALUE"""),"JL. PETANI, GG. GREEN SENTARUM, NO1A")</f>
        <v>JL. PETANI, GG. GREEN SENTARUM, NO1A</v>
      </c>
      <c r="N1357" s="16" t="str">
        <f>IFERROR(__xludf.DUMMYFUNCTION("""COMPUTED_VALUE"""),"KEL. SUNGAI JAWI")</f>
        <v>KEL. SUNGAI JAWI</v>
      </c>
      <c r="O1357" s="16" t="str">
        <f>IFERROR(__xludf.DUMMYFUNCTION("""COMPUTED_VALUE"""),"KEC. PONTIANAK KOTA")</f>
        <v>KEC. PONTIANAK KOTA</v>
      </c>
      <c r="P1357" s="35" t="str">
        <f>IFERROR(__xludf.DUMMYFUNCTION("""COMPUTED_VALUE"""),"KOTA PONTIANAK")</f>
        <v>KOTA PONTIANAK</v>
      </c>
      <c r="Q1357" s="16" t="str">
        <f>IFERROR(__xludf.DUMMYFUNCTION("""COMPUTED_VALUE"""),"KALIMANTAN BARAT")</f>
        <v>KALIMANTAN BARAT</v>
      </c>
      <c r="R1357" s="19" t="str">
        <f>IFERROR(__xludf.DUMMYFUNCTION("""COMPUTED_VALUE"""),"ISLAM")</f>
        <v>ISLAM</v>
      </c>
      <c r="S1357" s="16" t="str">
        <f>IFERROR(__xludf.DUMMYFUNCTION("""COMPUTED_VALUE"""),"SWASTA")</f>
        <v>SWASTA</v>
      </c>
      <c r="T1357" s="16" t="str">
        <f>IFERROR(__xludf.DUMMYFUNCTION("""COMPUTED_VALUE"""),"Sakit pinggang/saraf kejepit")</f>
        <v>Sakit pinggang/saraf kejepit</v>
      </c>
      <c r="U1357" s="16" t="str">
        <f>IFERROR(__xludf.DUMMYFUNCTION("""COMPUTED_VALUE"""),"Olahraga gym")</f>
        <v>Olahraga gym</v>
      </c>
      <c r="V1357" s="11" t="str">
        <f>IFERROR(__xludf.DUMMYFUNCTION("""COMPUTED_VALUE"""),"089689246548")</f>
        <v>089689246548</v>
      </c>
      <c r="W1357" s="15"/>
    </row>
    <row r="1358" ht="22.5" customHeight="1">
      <c r="A1358" s="8"/>
      <c r="B1358" s="9">
        <f>IFERROR(__xludf.DUMMYFUNCTION("""COMPUTED_VALUE"""),45429.47100173611)</f>
        <v>45429.471</v>
      </c>
      <c r="C1358" s="9"/>
      <c r="D1358" s="34">
        <f>IFERROR(__xludf.DUMMYFUNCTION("""COMPUTED_VALUE"""),45433.0)</f>
        <v>45433</v>
      </c>
      <c r="E1358" s="34" t="str">
        <f>IFERROR(__xludf.DUMMYFUNCTION("""COMPUTED_VALUE"""),"05Mei")</f>
        <v>05Mei</v>
      </c>
      <c r="F1358" s="34" t="str">
        <f>IFERROR(__xludf.DUMMYFUNCTION("""COMPUTED_VALUE"""),"2024")</f>
        <v>2024</v>
      </c>
      <c r="G1358" s="16" t="str">
        <f>IFERROR(__xludf.DUMMYFUNCTION("""COMPUTED_VALUE"""),"ASMIAH")</f>
        <v>ASMIAH</v>
      </c>
      <c r="H1358" s="17" t="str">
        <f>IFERROR(__xludf.DUMMYFUNCTION("""COMPUTED_VALUE"""),"A8024058129")</f>
        <v>A8024058129</v>
      </c>
      <c r="I1358" s="17">
        <f>IFERROR(__xludf.DUMMYFUNCTION("""COMPUTED_VALUE"""),46.0)</f>
        <v>46</v>
      </c>
      <c r="J1358" s="17" t="str">
        <f>IFERROR(__xludf.DUMMYFUNCTION("""COMPUTED_VALUE"""),"&gt; 44 tahun")</f>
        <v>&gt; 44 tahun</v>
      </c>
      <c r="K1358" s="19">
        <f>IFERROR(__xludf.DUMMYFUNCTION("""COMPUTED_VALUE"""),29256.0)</f>
        <v>29256</v>
      </c>
      <c r="L1358" s="19" t="str">
        <f>IFERROR(__xludf.DUMMYFUNCTION("""COMPUTED_VALUE"""),"PEREMPUAN")</f>
        <v>PEREMPUAN</v>
      </c>
      <c r="M1358" s="35" t="str">
        <f>IFERROR(__xludf.DUMMYFUNCTION("""COMPUTED_VALUE"""),"JLN PARIT H HUSIEN 2 KOMP ALEX GRIYA 2 NO A14")</f>
        <v>JLN PARIT H HUSIEN 2 KOMP ALEX GRIYA 2 NO A14</v>
      </c>
      <c r="N1358" s="16" t="str">
        <f>IFERROR(__xludf.DUMMYFUNCTION("""COMPUTED_VALUE"""),"KEL. BELITUNG DARAT")</f>
        <v>KEL. BELITUNG DARAT</v>
      </c>
      <c r="O1358" s="16" t="str">
        <f>IFERROR(__xludf.DUMMYFUNCTION("""COMPUTED_VALUE"""),"KEC. PONTIANAK TENGGARA")</f>
        <v>KEC. PONTIANAK TENGGARA</v>
      </c>
      <c r="P1358" s="16" t="str">
        <f>IFERROR(__xludf.DUMMYFUNCTION("""COMPUTED_VALUE"""),"KOTA PONTIANAK")</f>
        <v>KOTA PONTIANAK</v>
      </c>
      <c r="Q1358" s="16" t="str">
        <f>IFERROR(__xludf.DUMMYFUNCTION("""COMPUTED_VALUE"""),"KALIMANTAN BARAT")</f>
        <v>KALIMANTAN BARAT</v>
      </c>
      <c r="R1358" s="19" t="str">
        <f>IFERROR(__xludf.DUMMYFUNCTION("""COMPUTED_VALUE"""),"ISLAM")</f>
        <v>ISLAM</v>
      </c>
      <c r="S1358" s="16" t="str">
        <f>IFERROR(__xludf.DUMMYFUNCTION("""COMPUTED_VALUE"""),"RUMAH TANGGA")</f>
        <v>RUMAH TANGGA</v>
      </c>
      <c r="T1358" s="16"/>
      <c r="U1358" s="16" t="str">
        <f>IFERROR(__xludf.DUMMYFUNCTION("""COMPUTED_VALUE"""),"Rumah tangga")</f>
        <v>Rumah tangga</v>
      </c>
      <c r="V1358" s="11" t="str">
        <f>IFERROR(__xludf.DUMMYFUNCTION("""COMPUTED_VALUE"""),"081345428129")</f>
        <v>081345428129</v>
      </c>
      <c r="W1358" s="15"/>
    </row>
    <row r="1359" ht="22.5" customHeight="1">
      <c r="A1359" s="8"/>
      <c r="B1359" s="9">
        <f>IFERROR(__xludf.DUMMYFUNCTION("""COMPUTED_VALUE"""),45429.527845000004)</f>
        <v>45429.52785</v>
      </c>
      <c r="C1359" s="9"/>
      <c r="D1359" s="34">
        <f>IFERROR(__xludf.DUMMYFUNCTION("""COMPUTED_VALUE"""),45433.0)</f>
        <v>45433</v>
      </c>
      <c r="E1359" s="34" t="str">
        <f>IFERROR(__xludf.DUMMYFUNCTION("""COMPUTED_VALUE"""),"05Mei")</f>
        <v>05Mei</v>
      </c>
      <c r="F1359" s="34" t="str">
        <f>IFERROR(__xludf.DUMMYFUNCTION("""COMPUTED_VALUE"""),"2024")</f>
        <v>2024</v>
      </c>
      <c r="G1359" s="16" t="str">
        <f>IFERROR(__xludf.DUMMYFUNCTION("""COMPUTED_VALUE"""),"INDRA")</f>
        <v>INDRA</v>
      </c>
      <c r="H1359" s="17" t="str">
        <f>IFERROR(__xludf.DUMMYFUNCTION("""COMPUTED_VALUE"""),"I8424054474")</f>
        <v>I8424054474</v>
      </c>
      <c r="I1359" s="17">
        <f>IFERROR(__xludf.DUMMYFUNCTION("""COMPUTED_VALUE"""),42.0)</f>
        <v>42</v>
      </c>
      <c r="J1359" s="17" t="str">
        <f>IFERROR(__xludf.DUMMYFUNCTION("""COMPUTED_VALUE"""),"35-44 tahun")</f>
        <v>35-44 tahun</v>
      </c>
      <c r="K1359" s="19">
        <f>IFERROR(__xludf.DUMMYFUNCTION("""COMPUTED_VALUE"""),30798.0)</f>
        <v>30798</v>
      </c>
      <c r="L1359" s="19" t="str">
        <f>IFERROR(__xludf.DUMMYFUNCTION("""COMPUTED_VALUE"""),"LAKI-LAKI")</f>
        <v>LAKI-LAKI</v>
      </c>
      <c r="M1359" s="35" t="str">
        <f>IFERROR(__xludf.DUMMYFUNCTION("""COMPUTED_VALUE"""),"JL KEMAKMURAN NO 10A")</f>
        <v>JL KEMAKMURAN NO 10A</v>
      </c>
      <c r="N1359" s="16" t="str">
        <f>IFERROR(__xludf.DUMMYFUNCTION("""COMPUTED_VALUE"""),"KEL. SUNGAI JAWI")</f>
        <v>KEL. SUNGAI JAWI</v>
      </c>
      <c r="O1359" s="16" t="str">
        <f>IFERROR(__xludf.DUMMYFUNCTION("""COMPUTED_VALUE"""),"KEC. PONTIANAK KOTA")</f>
        <v>KEC. PONTIANAK KOTA</v>
      </c>
      <c r="P1359" s="16" t="str">
        <f>IFERROR(__xludf.DUMMYFUNCTION("""COMPUTED_VALUE"""),"KOTA PONTIANAK")</f>
        <v>KOTA PONTIANAK</v>
      </c>
      <c r="Q1359" s="16" t="str">
        <f>IFERROR(__xludf.DUMMYFUNCTION("""COMPUTED_VALUE"""),"KALIMANTAN BARAT")</f>
        <v>KALIMANTAN BARAT</v>
      </c>
      <c r="R1359" s="19" t="str">
        <f>IFERROR(__xludf.DUMMYFUNCTION("""COMPUTED_VALUE"""),"ISLAM")</f>
        <v>ISLAM</v>
      </c>
      <c r="S1359" s="16" t="str">
        <f>IFERROR(__xludf.DUMMYFUNCTION("""COMPUTED_VALUE"""),"ASN")</f>
        <v>ASN</v>
      </c>
      <c r="T1359" s="16" t="str">
        <f>IFERROR(__xludf.DUMMYFUNCTION("""COMPUTED_VALUE"""),"Sakit pada kedua")</f>
        <v>Sakit pada kedua</v>
      </c>
      <c r="U1359" s="16" t="str">
        <f>IFERROR(__xludf.DUMMYFUNCTION("""COMPUTED_VALUE"""),"Olahraga")</f>
        <v>Olahraga</v>
      </c>
      <c r="V1359" s="11" t="str">
        <f>IFERROR(__xludf.DUMMYFUNCTION("""COMPUTED_VALUE"""),"082256624474")</f>
        <v>082256624474</v>
      </c>
      <c r="W1359" s="15"/>
    </row>
    <row r="1360" ht="22.5" customHeight="1">
      <c r="A1360" s="8"/>
      <c r="B1360" s="9">
        <f>IFERROR(__xludf.DUMMYFUNCTION("""COMPUTED_VALUE"""),45428.76109337963)</f>
        <v>45428.76109</v>
      </c>
      <c r="C1360" s="9"/>
      <c r="D1360" s="34">
        <f>IFERROR(__xludf.DUMMYFUNCTION("""COMPUTED_VALUE"""),45434.0)</f>
        <v>45434</v>
      </c>
      <c r="E1360" s="34" t="str">
        <f>IFERROR(__xludf.DUMMYFUNCTION("""COMPUTED_VALUE"""),"05Mei")</f>
        <v>05Mei</v>
      </c>
      <c r="F1360" s="34" t="str">
        <f>IFERROR(__xludf.DUMMYFUNCTION("""COMPUTED_VALUE"""),"2024")</f>
        <v>2024</v>
      </c>
      <c r="G1360" s="16" t="str">
        <f>IFERROR(__xludf.DUMMYFUNCTION("""COMPUTED_VALUE"""),"MEINAR ANGGRAINI")</f>
        <v>MEINAR ANGGRAINI</v>
      </c>
      <c r="H1360" s="17" t="str">
        <f>IFERROR(__xludf.DUMMYFUNCTION("""COMPUTED_VALUE"""),"M6724057637")</f>
        <v>M6724057637</v>
      </c>
      <c r="I1360" s="17">
        <f>IFERROR(__xludf.DUMMYFUNCTION("""COMPUTED_VALUE"""),59.0)</f>
        <v>59</v>
      </c>
      <c r="J1360" s="17" t="str">
        <f>IFERROR(__xludf.DUMMYFUNCTION("""COMPUTED_VALUE"""),"&gt; 44 tahun")</f>
        <v>&gt; 44 tahun</v>
      </c>
      <c r="K1360" s="19">
        <f>IFERROR(__xludf.DUMMYFUNCTION("""COMPUTED_VALUE"""),24603.0)</f>
        <v>24603</v>
      </c>
      <c r="L1360" s="19" t="str">
        <f>IFERROR(__xludf.DUMMYFUNCTION("""COMPUTED_VALUE"""),"PEREMPUAN")</f>
        <v>PEREMPUAN</v>
      </c>
      <c r="M1360" s="35" t="str">
        <f>IFERROR(__xludf.DUMMYFUNCTION("""COMPUTED_VALUE"""),"JL. URAY BAWADI NO. 82A")</f>
        <v>JL. URAY BAWADI NO. 82A</v>
      </c>
      <c r="N1360" s="16" t="str">
        <f>IFERROR(__xludf.DUMMYFUNCTION("""COMPUTED_VALUE"""),"KEL. SUNGAI BANGKONG")</f>
        <v>KEL. SUNGAI BANGKONG</v>
      </c>
      <c r="O1360" s="16" t="str">
        <f>IFERROR(__xludf.DUMMYFUNCTION("""COMPUTED_VALUE"""),"KEC. PONTIANAK KOTA")</f>
        <v>KEC. PONTIANAK KOTA</v>
      </c>
      <c r="P1360" s="16" t="str">
        <f>IFERROR(__xludf.DUMMYFUNCTION("""COMPUTED_VALUE"""),"KOTA PONTIANAK")</f>
        <v>KOTA PONTIANAK</v>
      </c>
      <c r="Q1360" s="16" t="str">
        <f>IFERROR(__xludf.DUMMYFUNCTION("""COMPUTED_VALUE"""),"KALIMANTAN BARAT")</f>
        <v>KALIMANTAN BARAT</v>
      </c>
      <c r="R1360" s="19" t="str">
        <f>IFERROR(__xludf.DUMMYFUNCTION("""COMPUTED_VALUE"""),"ISLAM")</f>
        <v>ISLAM</v>
      </c>
      <c r="S1360" s="16" t="str">
        <f>IFERROR(__xludf.DUMMYFUNCTION("""COMPUTED_VALUE"""),"RUMAH TANGGA")</f>
        <v>RUMAH TANGGA</v>
      </c>
      <c r="T1360" s="16" t="str">
        <f>IFERROR(__xludf.DUMMYFUNCTION("""COMPUTED_VALUE"""),"Bagian bokong sampai ke betis sebelah kiri")</f>
        <v>Bagian bokong sampai ke betis sebelah kiri</v>
      </c>
      <c r="U1360" s="16" t="str">
        <f>IFERROR(__xludf.DUMMYFUNCTION("""COMPUTED_VALUE"""),"Joging")</f>
        <v>Joging</v>
      </c>
      <c r="V1360" s="11" t="str">
        <f>IFERROR(__xludf.DUMMYFUNCTION("""COMPUTED_VALUE"""),"081645487637")</f>
        <v>081645487637</v>
      </c>
      <c r="W1360" s="15"/>
    </row>
    <row r="1361" ht="22.5" customHeight="1">
      <c r="A1361" s="8"/>
      <c r="B1361" s="9">
        <f>IFERROR(__xludf.DUMMYFUNCTION("""COMPUTED_VALUE"""),45429.676123321755)</f>
        <v>45429.67612</v>
      </c>
      <c r="C1361" s="9"/>
      <c r="D1361" s="34">
        <f>IFERROR(__xludf.DUMMYFUNCTION("""COMPUTED_VALUE"""),45434.0)</f>
        <v>45434</v>
      </c>
      <c r="E1361" s="34" t="str">
        <f>IFERROR(__xludf.DUMMYFUNCTION("""COMPUTED_VALUE"""),"05Mei")</f>
        <v>05Mei</v>
      </c>
      <c r="F1361" s="34" t="str">
        <f>IFERROR(__xludf.DUMMYFUNCTION("""COMPUTED_VALUE"""),"2024")</f>
        <v>2024</v>
      </c>
      <c r="G1361" s="16" t="str">
        <f>IFERROR(__xludf.DUMMYFUNCTION("""COMPUTED_VALUE"""),"FAEYZA DIQTY NADA SYAFIA")</f>
        <v>FAEYZA DIQTY NADA SYAFIA</v>
      </c>
      <c r="H1361" s="17" t="str">
        <f>IFERROR(__xludf.DUMMYFUNCTION("""COMPUTED_VALUE"""),"F1324050775")</f>
        <v>F1324050775</v>
      </c>
      <c r="I1361" s="17">
        <f>IFERROR(__xludf.DUMMYFUNCTION("""COMPUTED_VALUE"""),12.0)</f>
        <v>12</v>
      </c>
      <c r="J1361" s="17" t="str">
        <f>IFERROR(__xludf.DUMMYFUNCTION("""COMPUTED_VALUE"""),"&lt; 18 tahun")</f>
        <v>&lt; 18 tahun</v>
      </c>
      <c r="K1361" s="19">
        <f>IFERROR(__xludf.DUMMYFUNCTION("""COMPUTED_VALUE"""),41516.0)</f>
        <v>41516</v>
      </c>
      <c r="L1361" s="19" t="str">
        <f>IFERROR(__xludf.DUMMYFUNCTION("""COMPUTED_VALUE"""),"PEREMPUAN")</f>
        <v>PEREMPUAN</v>
      </c>
      <c r="M1361" s="35" t="str">
        <f>IFERROR(__xludf.DUMMYFUNCTION("""COMPUTED_VALUE"""),"JALAN TABRANI AHMAD,GANG RUMPUT PERMAI NO.24")</f>
        <v>JALAN TABRANI AHMAD,GANG RUMPUT PERMAI NO.24</v>
      </c>
      <c r="N1361" s="16" t="str">
        <f>IFERROR(__xludf.DUMMYFUNCTION("""COMPUTED_VALUE"""),"KEL. SUNGAI JAWI DALAM")</f>
        <v>KEL. SUNGAI JAWI DALAM</v>
      </c>
      <c r="O1361" s="16" t="str">
        <f>IFERROR(__xludf.DUMMYFUNCTION("""COMPUTED_VALUE"""),"KEC. PONTIANAK BARAT")</f>
        <v>KEC. PONTIANAK BARAT</v>
      </c>
      <c r="P1361" s="16" t="str">
        <f>IFERROR(__xludf.DUMMYFUNCTION("""COMPUTED_VALUE"""),"KOTA PONTIANAK")</f>
        <v>KOTA PONTIANAK</v>
      </c>
      <c r="Q1361" s="16" t="str">
        <f>IFERROR(__xludf.DUMMYFUNCTION("""COMPUTED_VALUE"""),"KALIMANTAN BARAT")</f>
        <v>KALIMANTAN BARAT</v>
      </c>
      <c r="R1361" s="19" t="str">
        <f>IFERROR(__xludf.DUMMYFUNCTION("""COMPUTED_VALUE"""),"ISLAM")</f>
        <v>ISLAM</v>
      </c>
      <c r="S1361" s="16" t="str">
        <f>IFERROR(__xludf.DUMMYFUNCTION("""COMPUTED_VALUE"""),"PELAJAR/MAHASISWA")</f>
        <v>PELAJAR/MAHASISWA</v>
      </c>
      <c r="T1361" s="16" t="str">
        <f>IFERROR(__xludf.DUMMYFUNCTION("""COMPUTED_VALUE"""),"SAKIT BAGIAN")</f>
        <v>SAKIT BAGIAN</v>
      </c>
      <c r="U1361" s="16" t="str">
        <f>IFERROR(__xludf.DUMMYFUNCTION("""COMPUTED_VALUE"""),"RUTIN MENGIKUTI EKSKUL KARATE DAN ATLETIK")</f>
        <v>RUTIN MENGIKUTI EKSKUL KARATE DAN ATLETIK</v>
      </c>
      <c r="V1361" s="11" t="str">
        <f>IFERROR(__xludf.DUMMYFUNCTION("""COMPUTED_VALUE"""),"089514960775")</f>
        <v>089514960775</v>
      </c>
      <c r="W1361" s="15"/>
    </row>
    <row r="1362" ht="22.5" customHeight="1">
      <c r="A1362" s="8"/>
      <c r="B1362" s="9">
        <f>IFERROR(__xludf.DUMMYFUNCTION("""COMPUTED_VALUE"""),45430.41681851852)</f>
        <v>45430.41682</v>
      </c>
      <c r="C1362" s="9"/>
      <c r="D1362" s="34">
        <f>IFERROR(__xludf.DUMMYFUNCTION("""COMPUTED_VALUE"""),45434.0)</f>
        <v>45434</v>
      </c>
      <c r="E1362" s="34" t="str">
        <f>IFERROR(__xludf.DUMMYFUNCTION("""COMPUTED_VALUE"""),"05Mei")</f>
        <v>05Mei</v>
      </c>
      <c r="F1362" s="34" t="str">
        <f>IFERROR(__xludf.DUMMYFUNCTION("""COMPUTED_VALUE"""),"2024")</f>
        <v>2024</v>
      </c>
      <c r="G1362" s="16" t="str">
        <f>IFERROR(__xludf.DUMMYFUNCTION("""COMPUTED_VALUE"""),"HANDIKA")</f>
        <v>HANDIKA</v>
      </c>
      <c r="H1362" s="17" t="str">
        <f>IFERROR(__xludf.DUMMYFUNCTION("""COMPUTED_VALUE"""),"H9124051709")</f>
        <v>H9124051709</v>
      </c>
      <c r="I1362" s="17">
        <f>IFERROR(__xludf.DUMMYFUNCTION("""COMPUTED_VALUE"""),34.0)</f>
        <v>34</v>
      </c>
      <c r="J1362" s="17" t="str">
        <f>IFERROR(__xludf.DUMMYFUNCTION("""COMPUTED_VALUE"""),"25-34 tahun")</f>
        <v>25-34 tahun</v>
      </c>
      <c r="K1362" s="19">
        <f>IFERROR(__xludf.DUMMYFUNCTION("""COMPUTED_VALUE"""),33575.0)</f>
        <v>33575</v>
      </c>
      <c r="L1362" s="19" t="str">
        <f>IFERROR(__xludf.DUMMYFUNCTION("""COMPUTED_VALUE"""),"LAKI-LAKI")</f>
        <v>LAKI-LAKI</v>
      </c>
      <c r="M1362" s="35" t="str">
        <f>IFERROR(__xludf.DUMMYFUNCTION("""COMPUTED_VALUE"""),"JL PENJARA GANG HAJISALEH NO 21")</f>
        <v>JL PENJARA GANG HAJISALEH NO 21</v>
      </c>
      <c r="N1362" s="16" t="str">
        <f>IFERROR(__xludf.DUMMYFUNCTION("""COMPUTED_VALUE"""),"KEL. SUNGAI BANGKONG")</f>
        <v>KEL. SUNGAI BANGKONG</v>
      </c>
      <c r="O1362" s="16" t="str">
        <f>IFERROR(__xludf.DUMMYFUNCTION("""COMPUTED_VALUE"""),"KEC. PONTIANAK KOTA")</f>
        <v>KEC. PONTIANAK KOTA</v>
      </c>
      <c r="P1362" s="16" t="str">
        <f>IFERROR(__xludf.DUMMYFUNCTION("""COMPUTED_VALUE"""),"KOTA PONTIANAK")</f>
        <v>KOTA PONTIANAK</v>
      </c>
      <c r="Q1362" s="16" t="str">
        <f>IFERROR(__xludf.DUMMYFUNCTION("""COMPUTED_VALUE"""),"KALIMANTAN BARAT")</f>
        <v>KALIMANTAN BARAT</v>
      </c>
      <c r="R1362" s="19" t="str">
        <f>IFERROR(__xludf.DUMMYFUNCTION("""COMPUTED_VALUE"""),"KATOLIK")</f>
        <v>KATOLIK</v>
      </c>
      <c r="S1362" s="16" t="str">
        <f>IFERROR(__xludf.DUMMYFUNCTION("""COMPUTED_VALUE"""),"SWASTA")</f>
        <v>SWASTA</v>
      </c>
      <c r="T1362" s="16" t="str">
        <f>IFERROR(__xludf.DUMMYFUNCTION("""COMPUTED_VALUE"""),"Gastrocremius spain")</f>
        <v>Gastrocremius spain</v>
      </c>
      <c r="U1362" s="16" t="str">
        <f>IFERROR(__xludf.DUMMYFUNCTION("""COMPUTED_VALUE"""),"Jogging")</f>
        <v>Jogging</v>
      </c>
      <c r="V1362" s="11" t="str">
        <f>IFERROR(__xludf.DUMMYFUNCTION("""COMPUTED_VALUE"""),"+61439001709")</f>
        <v>+61439001709</v>
      </c>
      <c r="W1362" s="15"/>
    </row>
    <row r="1363" ht="22.5" customHeight="1">
      <c r="A1363" s="8"/>
      <c r="B1363" s="9">
        <f>IFERROR(__xludf.DUMMYFUNCTION("""COMPUTED_VALUE"""),45430.49527225694)</f>
        <v>45430.49527</v>
      </c>
      <c r="C1363" s="9"/>
      <c r="D1363" s="34">
        <f>IFERROR(__xludf.DUMMYFUNCTION("""COMPUTED_VALUE"""),45434.61912200232)</f>
        <v>45434.61912</v>
      </c>
      <c r="E1363" s="34" t="str">
        <f>IFERROR(__xludf.DUMMYFUNCTION("""COMPUTED_VALUE"""),"05Mei")</f>
        <v>05Mei</v>
      </c>
      <c r="F1363" s="34" t="str">
        <f>IFERROR(__xludf.DUMMYFUNCTION("""COMPUTED_VALUE"""),"2024")</f>
        <v>2024</v>
      </c>
      <c r="G1363" s="16" t="str">
        <f>IFERROR(__xludf.DUMMYFUNCTION("""COMPUTED_VALUE"""),"MUHAMMAD NABHIL DHOYFULLOH")</f>
        <v>MUHAMMAD NABHIL DHOYFULLOH</v>
      </c>
      <c r="H1363" s="17" t="str">
        <f>IFERROR(__xludf.DUMMYFUNCTION("""COMPUTED_VALUE"""),"M0524055808")</f>
        <v>M0524055808</v>
      </c>
      <c r="I1363" s="17">
        <f>IFERROR(__xludf.DUMMYFUNCTION("""COMPUTED_VALUE"""),20.0)</f>
        <v>20</v>
      </c>
      <c r="J1363" s="17" t="str">
        <f>IFERROR(__xludf.DUMMYFUNCTION("""COMPUTED_VALUE"""),"18-24 tahun")</f>
        <v>18-24 tahun</v>
      </c>
      <c r="K1363" s="19">
        <f>IFERROR(__xludf.DUMMYFUNCTION("""COMPUTED_VALUE"""),38711.0)</f>
        <v>38711</v>
      </c>
      <c r="L1363" s="19" t="str">
        <f>IFERROR(__xludf.DUMMYFUNCTION("""COMPUTED_VALUE"""),"LAKI-LAKI")</f>
        <v>LAKI-LAKI</v>
      </c>
      <c r="M1363" s="35" t="str">
        <f>IFERROR(__xludf.DUMMYFUNCTION("""COMPUTED_VALUE"""),"JL. MT. HARYONO BTN CIPTA MANDIRI 1 BLOK B 18")</f>
        <v>JL. MT. HARYONO BTN CIPTA MANDIRI 1 BLOK B 18</v>
      </c>
      <c r="N1363" s="16" t="str">
        <f>IFERROR(__xludf.DUMMYFUNCTION("""COMPUTED_VALUE"""),"KEL. SENGKUANG")</f>
        <v>KEL. SENGKUANG</v>
      </c>
      <c r="O1363" s="16" t="str">
        <f>IFERROR(__xludf.DUMMYFUNCTION("""COMPUTED_VALUE"""),"KEC. SINTANG")</f>
        <v>KEC. SINTANG</v>
      </c>
      <c r="P1363" s="16" t="str">
        <f>IFERROR(__xludf.DUMMYFUNCTION("""COMPUTED_VALUE"""),"KAB. SINTANG")</f>
        <v>KAB. SINTANG</v>
      </c>
      <c r="Q1363" s="16" t="str">
        <f>IFERROR(__xludf.DUMMYFUNCTION("""COMPUTED_VALUE"""),"KALIMANTAN BARAT")</f>
        <v>KALIMANTAN BARAT</v>
      </c>
      <c r="R1363" s="19" t="str">
        <f>IFERROR(__xludf.DUMMYFUNCTION("""COMPUTED_VALUE"""),"ISLAM")</f>
        <v>ISLAM</v>
      </c>
      <c r="S1363" s="16" t="str">
        <f>IFERROR(__xludf.DUMMYFUNCTION("""COMPUTED_VALUE"""),"PELAJAR/MAHASISWA")</f>
        <v>PELAJAR/MAHASISWA</v>
      </c>
      <c r="T1363" s="16" t="str">
        <f>IFERROR(__xludf.DUMMYFUNCTION("""COMPUTED_VALUE"""),"goyang")</f>
        <v>goyang</v>
      </c>
      <c r="U1363" s="16" t="str">
        <f>IFERROR(__xludf.DUMMYFUNCTION("""COMPUTED_VALUE"""),"futsal")</f>
        <v>futsal</v>
      </c>
      <c r="V1363" s="11" t="str">
        <f>IFERROR(__xludf.DUMMYFUNCTION("""COMPUTED_VALUE"""),"085751465808")</f>
        <v>085751465808</v>
      </c>
      <c r="W1363" s="15"/>
    </row>
    <row r="1364" ht="22.5" customHeight="1">
      <c r="A1364" s="8"/>
      <c r="B1364" s="9">
        <f>IFERROR(__xludf.DUMMYFUNCTION("""COMPUTED_VALUE"""),45431.40052436343)</f>
        <v>45431.40052</v>
      </c>
      <c r="C1364" s="9"/>
      <c r="D1364" s="34">
        <f>IFERROR(__xludf.DUMMYFUNCTION("""COMPUTED_VALUE"""),45437.0)</f>
        <v>45437</v>
      </c>
      <c r="E1364" s="34" t="str">
        <f>IFERROR(__xludf.DUMMYFUNCTION("""COMPUTED_VALUE"""),"05Mei")</f>
        <v>05Mei</v>
      </c>
      <c r="F1364" s="34" t="str">
        <f>IFERROR(__xludf.DUMMYFUNCTION("""COMPUTED_VALUE"""),"2024")</f>
        <v>2024</v>
      </c>
      <c r="G1364" s="16" t="str">
        <f>IFERROR(__xludf.DUMMYFUNCTION("""COMPUTED_VALUE"""),"ANNA DARLINA")</f>
        <v>ANNA DARLINA</v>
      </c>
      <c r="H1364" s="17" t="str">
        <f>IFERROR(__xludf.DUMMYFUNCTION("""COMPUTED_VALUE"""),"A6624051497")</f>
        <v>A6624051497</v>
      </c>
      <c r="I1364" s="17">
        <f>IFERROR(__xludf.DUMMYFUNCTION("""COMPUTED_VALUE"""),60.0)</f>
        <v>60</v>
      </c>
      <c r="J1364" s="17" t="str">
        <f>IFERROR(__xludf.DUMMYFUNCTION("""COMPUTED_VALUE"""),"&gt; 44 tahun")</f>
        <v>&gt; 44 tahun</v>
      </c>
      <c r="K1364" s="19">
        <f>IFERROR(__xludf.DUMMYFUNCTION("""COMPUTED_VALUE"""),24249.0)</f>
        <v>24249</v>
      </c>
      <c r="L1364" s="19" t="str">
        <f>IFERROR(__xludf.DUMMYFUNCTION("""COMPUTED_VALUE"""),"PEREMPUAN")</f>
        <v>PEREMPUAN</v>
      </c>
      <c r="M1364" s="35" t="str">
        <f>IFERROR(__xludf.DUMMYFUNCTION("""COMPUTED_VALUE"""),"JL.H.RAIS A RAHMAN NO.114")</f>
        <v>JL.H.RAIS A RAHMAN NO.114</v>
      </c>
      <c r="N1364" s="16" t="str">
        <f>IFERROR(__xludf.DUMMYFUNCTION("""COMPUTED_VALUE"""),"KEL. SUNGAI JAWI")</f>
        <v>KEL. SUNGAI JAWI</v>
      </c>
      <c r="O1364" s="16" t="str">
        <f>IFERROR(__xludf.DUMMYFUNCTION("""COMPUTED_VALUE"""),"KEC. PONTIANAK KOTA")</f>
        <v>KEC. PONTIANAK KOTA</v>
      </c>
      <c r="P1364" s="16" t="str">
        <f>IFERROR(__xludf.DUMMYFUNCTION("""COMPUTED_VALUE"""),"KOTA PONTIANAK")</f>
        <v>KOTA PONTIANAK</v>
      </c>
      <c r="Q1364" s="16" t="str">
        <f>IFERROR(__xludf.DUMMYFUNCTION("""COMPUTED_VALUE"""),"KALIMANTAN BARAT")</f>
        <v>KALIMANTAN BARAT</v>
      </c>
      <c r="R1364" s="19" t="str">
        <f>IFERROR(__xludf.DUMMYFUNCTION("""COMPUTED_VALUE"""),"ISLAM")</f>
        <v>ISLAM</v>
      </c>
      <c r="S1364" s="16" t="str">
        <f>IFERROR(__xludf.DUMMYFUNCTION("""COMPUTED_VALUE"""),"RUMAH TANGGA")</f>
        <v>RUMAH TANGGA</v>
      </c>
      <c r="T1364" s="16" t="str">
        <f>IFERROR(__xludf.DUMMYFUNCTION("""COMPUTED_VALUE"""),"sakit")</f>
        <v>sakit</v>
      </c>
      <c r="U1364" s="16" t="str">
        <f>IFERROR(__xludf.DUMMYFUNCTION("""COMPUTED_VALUE"""),"Baca buku,dengarin musik")</f>
        <v>Baca buku,dengarin musik</v>
      </c>
      <c r="V1364" s="11" t="str">
        <f>IFERROR(__xludf.DUMMYFUNCTION("""COMPUTED_VALUE"""),"085249951497")</f>
        <v>085249951497</v>
      </c>
      <c r="W1364" s="15"/>
    </row>
    <row r="1365" ht="22.5" customHeight="1">
      <c r="A1365" s="8"/>
      <c r="B1365" s="9">
        <f>IFERROR(__xludf.DUMMYFUNCTION("""COMPUTED_VALUE"""),45430.83564737269)</f>
        <v>45430.83565</v>
      </c>
      <c r="C1365" s="9"/>
      <c r="D1365" s="34">
        <f>IFERROR(__xludf.DUMMYFUNCTION("""COMPUTED_VALUE"""),45437.0)</f>
        <v>45437</v>
      </c>
      <c r="E1365" s="34" t="str">
        <f>IFERROR(__xludf.DUMMYFUNCTION("""COMPUTED_VALUE"""),"05Mei")</f>
        <v>05Mei</v>
      </c>
      <c r="F1365" s="34" t="str">
        <f>IFERROR(__xludf.DUMMYFUNCTION("""COMPUTED_VALUE"""),"2024")</f>
        <v>2024</v>
      </c>
      <c r="G1365" s="16" t="str">
        <f>IFERROR(__xludf.DUMMYFUNCTION("""COMPUTED_VALUE"""),"LOLITA SUKASA")</f>
        <v>LOLITA SUKASA</v>
      </c>
      <c r="H1365" s="17" t="str">
        <f>IFERROR(__xludf.DUMMYFUNCTION("""COMPUTED_VALUE"""),"L9424052601")</f>
        <v>L9424052601</v>
      </c>
      <c r="I1365" s="17">
        <f>IFERROR(__xludf.DUMMYFUNCTION("""COMPUTED_VALUE"""),31.0)</f>
        <v>31</v>
      </c>
      <c r="J1365" s="17" t="str">
        <f>IFERROR(__xludf.DUMMYFUNCTION("""COMPUTED_VALUE"""),"25-34 tahun")</f>
        <v>25-34 tahun</v>
      </c>
      <c r="K1365" s="19">
        <f>IFERROR(__xludf.DUMMYFUNCTION("""COMPUTED_VALUE"""),34540.0)</f>
        <v>34540</v>
      </c>
      <c r="L1365" s="19" t="str">
        <f>IFERROR(__xludf.DUMMYFUNCTION("""COMPUTED_VALUE"""),"PEREMPUAN")</f>
        <v>PEREMPUAN</v>
      </c>
      <c r="M1365" s="35" t="str">
        <f>IFERROR(__xludf.DUMMYFUNCTION("""COMPUTED_VALUE"""),"DUSUN PIASAK RT 16 RW 05")</f>
        <v>DUSUN PIASAK RT 16 RW 05</v>
      </c>
      <c r="N1365" s="16" t="str">
        <f>IFERROR(__xludf.DUMMYFUNCTION("""COMPUTED_VALUE"""),"DS. PEDALAMAN")</f>
        <v>DS. PEDALAMAN</v>
      </c>
      <c r="O1365" s="16" t="str">
        <f>IFERROR(__xludf.DUMMYFUNCTION("""COMPUTED_VALUE"""),"KEC. TAYAN HILIR")</f>
        <v>KEC. TAYAN HILIR</v>
      </c>
      <c r="P1365" s="16" t="str">
        <f>IFERROR(__xludf.DUMMYFUNCTION("""COMPUTED_VALUE"""),"KAB. SANGGAU")</f>
        <v>KAB. SANGGAU</v>
      </c>
      <c r="Q1365" s="16" t="str">
        <f>IFERROR(__xludf.DUMMYFUNCTION("""COMPUTED_VALUE"""),"KALIMANTAN BARAT")</f>
        <v>KALIMANTAN BARAT</v>
      </c>
      <c r="R1365" s="19" t="str">
        <f>IFERROR(__xludf.DUMMYFUNCTION("""COMPUTED_VALUE"""),"ISLAM")</f>
        <v>ISLAM</v>
      </c>
      <c r="S1365" s="16" t="str">
        <f>IFERROR(__xludf.DUMMYFUNCTION("""COMPUTED_VALUE"""),"RUMAH TANGGA")</f>
        <v>RUMAH TANGGA</v>
      </c>
      <c r="T1365" s="16" t="str">
        <f>IFERROR(__xludf.DUMMYFUNCTION("""COMPUTED_VALUE"""),"Sakit punggung")</f>
        <v>Sakit punggung</v>
      </c>
      <c r="U1365" s="16" t="str">
        <f>IFERROR(__xludf.DUMMYFUNCTION("""COMPUTED_VALUE"""),"Rebahan")</f>
        <v>Rebahan</v>
      </c>
      <c r="V1365" s="11" t="str">
        <f>IFERROR(__xludf.DUMMYFUNCTION("""COMPUTED_VALUE"""),"082125042601")</f>
        <v>082125042601</v>
      </c>
      <c r="W1365" s="15"/>
    </row>
    <row r="1366" ht="22.5" customHeight="1">
      <c r="A1366" s="8"/>
      <c r="B1366" s="9">
        <f>IFERROR(__xludf.DUMMYFUNCTION("""COMPUTED_VALUE"""),45431.80327793982)</f>
        <v>45431.80328</v>
      </c>
      <c r="C1366" s="9"/>
      <c r="D1366" s="34">
        <f>IFERROR(__xludf.DUMMYFUNCTION("""COMPUTED_VALUE"""),45437.0)</f>
        <v>45437</v>
      </c>
      <c r="E1366" s="34" t="str">
        <f>IFERROR(__xludf.DUMMYFUNCTION("""COMPUTED_VALUE"""),"05Mei")</f>
        <v>05Mei</v>
      </c>
      <c r="F1366" s="34" t="str">
        <f>IFERROR(__xludf.DUMMYFUNCTION("""COMPUTED_VALUE"""),"2024")</f>
        <v>2024</v>
      </c>
      <c r="G1366" s="16" t="str">
        <f>IFERROR(__xludf.DUMMYFUNCTION("""COMPUTED_VALUE"""),"SYAHRIAL EFANI SIREGAR")</f>
        <v>SYAHRIAL EFANI SIREGAR</v>
      </c>
      <c r="H1366" s="17" t="str">
        <f>IFERROR(__xludf.DUMMYFUNCTION("""COMPUTED_VALUE"""),"S8124057616")</f>
        <v>S8124057616</v>
      </c>
      <c r="I1366" s="17">
        <f>IFERROR(__xludf.DUMMYFUNCTION("""COMPUTED_VALUE"""),45.0)</f>
        <v>45</v>
      </c>
      <c r="J1366" s="17" t="str">
        <f>IFERROR(__xludf.DUMMYFUNCTION("""COMPUTED_VALUE"""),"&gt; 44 tahun")</f>
        <v>&gt; 44 tahun</v>
      </c>
      <c r="K1366" s="19">
        <f>IFERROR(__xludf.DUMMYFUNCTION("""COMPUTED_VALUE"""),29743.0)</f>
        <v>29743</v>
      </c>
      <c r="L1366" s="19" t="str">
        <f>IFERROR(__xludf.DUMMYFUNCTION("""COMPUTED_VALUE"""),"LAKI-LAKI")</f>
        <v>LAKI-LAKI</v>
      </c>
      <c r="M1366" s="35" t="str">
        <f>IFERROR(__xludf.DUMMYFUNCTION("""COMPUTED_VALUE"""),"JL PROF M YAMIN GG SWAKARYA 2 NO 89")</f>
        <v>JL PROF M YAMIN GG SWAKARYA 2 NO 89</v>
      </c>
      <c r="N1366" s="16" t="str">
        <f>IFERROR(__xludf.DUMMYFUNCTION("""COMPUTED_VALUE"""),"KEL. AKCAYA")</f>
        <v>KEL. AKCAYA</v>
      </c>
      <c r="O1366" s="16" t="str">
        <f>IFERROR(__xludf.DUMMYFUNCTION("""COMPUTED_VALUE"""),"KEC. KOTA BARU")</f>
        <v>KEC. KOTA BARU</v>
      </c>
      <c r="P1366" s="16" t="str">
        <f>IFERROR(__xludf.DUMMYFUNCTION("""COMPUTED_VALUE"""),"KOTA PONTIANAK")</f>
        <v>KOTA PONTIANAK</v>
      </c>
      <c r="Q1366" s="16" t="str">
        <f>IFERROR(__xludf.DUMMYFUNCTION("""COMPUTED_VALUE"""),"KALIMANTAN BARAT")</f>
        <v>KALIMANTAN BARAT</v>
      </c>
      <c r="R1366" s="19" t="str">
        <f>IFERROR(__xludf.DUMMYFUNCTION("""COMPUTED_VALUE"""),"ISLAM")</f>
        <v>ISLAM</v>
      </c>
      <c r="S1366" s="16" t="str">
        <f>IFERROR(__xludf.DUMMYFUNCTION("""COMPUTED_VALUE"""),"SWASTA")</f>
        <v>SWASTA</v>
      </c>
      <c r="T1366" s="16" t="str">
        <f>IFERROR(__xludf.DUMMYFUNCTION("""COMPUTED_VALUE"""),"Sakit leher, pegel n keram")</f>
        <v>Sakit leher, pegel n keram</v>
      </c>
      <c r="U1366" s="16" t="str">
        <f>IFERROR(__xludf.DUMMYFUNCTION("""COMPUTED_VALUE"""),"Menonton")</f>
        <v>Menonton</v>
      </c>
      <c r="V1366" s="11" t="str">
        <f>IFERROR(__xludf.DUMMYFUNCTION("""COMPUTED_VALUE"""),"08125687616")</f>
        <v>08125687616</v>
      </c>
      <c r="W1366" s="15"/>
    </row>
    <row r="1367" ht="22.5" customHeight="1">
      <c r="A1367" s="8"/>
      <c r="B1367" s="9">
        <f>IFERROR(__xludf.DUMMYFUNCTION("""COMPUTED_VALUE"""),45431.80521143519)</f>
        <v>45431.80521</v>
      </c>
      <c r="C1367" s="9"/>
      <c r="D1367" s="34">
        <f>IFERROR(__xludf.DUMMYFUNCTION("""COMPUTED_VALUE"""),45438.0)</f>
        <v>45438</v>
      </c>
      <c r="E1367" s="34" t="str">
        <f>IFERROR(__xludf.DUMMYFUNCTION("""COMPUTED_VALUE"""),"05Mei")</f>
        <v>05Mei</v>
      </c>
      <c r="F1367" s="34" t="str">
        <f>IFERROR(__xludf.DUMMYFUNCTION("""COMPUTED_VALUE"""),"2024")</f>
        <v>2024</v>
      </c>
      <c r="G1367" s="16" t="str">
        <f>IFERROR(__xludf.DUMMYFUNCTION("""COMPUTED_VALUE"""),"VINNY SUSANTI")</f>
        <v>VINNY SUSANTI</v>
      </c>
      <c r="H1367" s="17" t="str">
        <f>IFERROR(__xludf.DUMMYFUNCTION("""COMPUTED_VALUE"""),"V9124051709")</f>
        <v>V9124051709</v>
      </c>
      <c r="I1367" s="17">
        <f>IFERROR(__xludf.DUMMYFUNCTION("""COMPUTED_VALUE"""),35.0)</f>
        <v>35</v>
      </c>
      <c r="J1367" s="17" t="str">
        <f>IFERROR(__xludf.DUMMYFUNCTION("""COMPUTED_VALUE"""),"35-44 tahun")</f>
        <v>35-44 tahun</v>
      </c>
      <c r="K1367" s="19">
        <f>IFERROR(__xludf.DUMMYFUNCTION("""COMPUTED_VALUE"""),33240.0)</f>
        <v>33240</v>
      </c>
      <c r="L1367" s="19" t="str">
        <f>IFERROR(__xludf.DUMMYFUNCTION("""COMPUTED_VALUE"""),"PEREMPUAN")</f>
        <v>PEREMPUAN</v>
      </c>
      <c r="M1367" s="35" t="str">
        <f>IFERROR(__xludf.DUMMYFUNCTION("""COMPUTED_VALUE"""),"JLN PENJARA GANG HAJISALE NO 21")</f>
        <v>JLN PENJARA GANG HAJISALE NO 21</v>
      </c>
      <c r="N1367" s="16" t="str">
        <f>IFERROR(__xludf.DUMMYFUNCTION("""COMPUTED_VALUE"""),"KEL. SUNGAI BANGKONG")</f>
        <v>KEL. SUNGAI BANGKONG</v>
      </c>
      <c r="O1367" s="16" t="str">
        <f>IFERROR(__xludf.DUMMYFUNCTION("""COMPUTED_VALUE"""),"KEC. PONTIANAK KOTA")</f>
        <v>KEC. PONTIANAK KOTA</v>
      </c>
      <c r="P1367" s="16" t="str">
        <f>IFERROR(__xludf.DUMMYFUNCTION("""COMPUTED_VALUE"""),"KOTA PONTIANAK")</f>
        <v>KOTA PONTIANAK</v>
      </c>
      <c r="Q1367" s="16" t="str">
        <f>IFERROR(__xludf.DUMMYFUNCTION("""COMPUTED_VALUE"""),"KALIMANTAN BARAT")</f>
        <v>KALIMANTAN BARAT</v>
      </c>
      <c r="R1367" s="19" t="str">
        <f>IFERROR(__xludf.DUMMYFUNCTION("""COMPUTED_VALUE"""),"KATOLIK")</f>
        <v>KATOLIK</v>
      </c>
      <c r="S1367" s="16" t="str">
        <f>IFERROR(__xludf.DUMMYFUNCTION("""COMPUTED_VALUE"""),"SWASTA")</f>
        <v>SWASTA</v>
      </c>
      <c r="T1367" s="16" t="str">
        <f>IFERROR(__xludf.DUMMYFUNCTION("""COMPUTED_VALUE"""),"ITB sydnrome")</f>
        <v>ITB sydnrome</v>
      </c>
      <c r="U1367" s="16" t="str">
        <f>IFERROR(__xludf.DUMMYFUNCTION("""COMPUTED_VALUE"""),"Cardio")</f>
        <v>Cardio</v>
      </c>
      <c r="V1367" s="11" t="str">
        <f>IFERROR(__xludf.DUMMYFUNCTION("""COMPUTED_VALUE"""),"+61439001709")</f>
        <v>+61439001709</v>
      </c>
      <c r="W1367" s="15"/>
    </row>
    <row r="1368" ht="22.5" customHeight="1">
      <c r="A1368" s="8"/>
      <c r="B1368" s="9">
        <f>IFERROR(__xludf.DUMMYFUNCTION("""COMPUTED_VALUE"""),45431.82173902778)</f>
        <v>45431.82174</v>
      </c>
      <c r="C1368" s="9"/>
      <c r="D1368" s="34">
        <f>IFERROR(__xludf.DUMMYFUNCTION("""COMPUTED_VALUE"""),45438.0)</f>
        <v>45438</v>
      </c>
      <c r="E1368" s="34" t="str">
        <f>IFERROR(__xludf.DUMMYFUNCTION("""COMPUTED_VALUE"""),"05Mei")</f>
        <v>05Mei</v>
      </c>
      <c r="F1368" s="34" t="str">
        <f>IFERROR(__xludf.DUMMYFUNCTION("""COMPUTED_VALUE"""),"2024")</f>
        <v>2024</v>
      </c>
      <c r="G1368" s="35" t="str">
        <f>IFERROR(__xludf.DUMMYFUNCTION("""COMPUTED_VALUE"""),"ANDIKA WAHYU P")</f>
        <v>ANDIKA WAHYU P</v>
      </c>
      <c r="H1368" s="17" t="str">
        <f>IFERROR(__xludf.DUMMYFUNCTION("""COMPUTED_VALUE"""),"A9024050310")</f>
        <v>A9024050310</v>
      </c>
      <c r="I1368" s="17">
        <f>IFERROR(__xludf.DUMMYFUNCTION("""COMPUTED_VALUE"""),36.0)</f>
        <v>36</v>
      </c>
      <c r="J1368" s="17" t="str">
        <f>IFERROR(__xludf.DUMMYFUNCTION("""COMPUTED_VALUE"""),"35-44 tahun")</f>
        <v>35-44 tahun</v>
      </c>
      <c r="K1368" s="19">
        <f>IFERROR(__xludf.DUMMYFUNCTION("""COMPUTED_VALUE"""),32938.0)</f>
        <v>32938</v>
      </c>
      <c r="L1368" s="19" t="str">
        <f>IFERROR(__xludf.DUMMYFUNCTION("""COMPUTED_VALUE"""),"LAKI-LAKI")</f>
        <v>LAKI-LAKI</v>
      </c>
      <c r="M1368" s="35" t="str">
        <f>IFERROR(__xludf.DUMMYFUNCTION("""COMPUTED_VALUE"""),"KAMPUANG PILIANG")</f>
        <v>KAMPUANG PILIANG</v>
      </c>
      <c r="N1368" s="16" t="str">
        <f>IFERROR(__xludf.DUMMYFUNCTION("""COMPUTED_VALUE"""),"KEL. BATU KALANG")</f>
        <v>KEL. BATU KALANG</v>
      </c>
      <c r="O1368" s="16" t="str">
        <f>IFERROR(__xludf.DUMMYFUNCTION("""COMPUTED_VALUE"""),"KEC. PADANG SAGO")</f>
        <v>KEC. PADANG SAGO</v>
      </c>
      <c r="P1368" s="16" t="str">
        <f>IFERROR(__xludf.DUMMYFUNCTION("""COMPUTED_VALUE"""),"KOTA PADANG PARIAMAN")</f>
        <v>KOTA PADANG PARIAMAN</v>
      </c>
      <c r="Q1368" s="16" t="str">
        <f>IFERROR(__xludf.DUMMYFUNCTION("""COMPUTED_VALUE"""),"SUMATERA BARAT")</f>
        <v>SUMATERA BARAT</v>
      </c>
      <c r="R1368" s="19" t="str">
        <f>IFERROR(__xludf.DUMMYFUNCTION("""COMPUTED_VALUE"""),"ISLAM")</f>
        <v>ISLAM</v>
      </c>
      <c r="S1368" s="16" t="str">
        <f>IFERROR(__xludf.DUMMYFUNCTION("""COMPUTED_VALUE"""),"BUMN")</f>
        <v>BUMN</v>
      </c>
      <c r="T1368" s="16" t="str">
        <f>IFERROR(__xludf.DUMMYFUNCTION("""COMPUTED_VALUE"""),"gilu")</f>
        <v>gilu</v>
      </c>
      <c r="U1368" s="16" t="str">
        <f>IFERROR(__xludf.DUMMYFUNCTION("""COMPUTED_VALUE"""),"Mini soccer, running dan badminton")</f>
        <v>Mini soccer, running dan badminton</v>
      </c>
      <c r="V1368" s="11" t="str">
        <f>IFERROR(__xludf.DUMMYFUNCTION("""COMPUTED_VALUE"""),"08119790310")</f>
        <v>08119790310</v>
      </c>
      <c r="W1368" s="15"/>
    </row>
    <row r="1369" ht="22.5" customHeight="1">
      <c r="A1369" s="8"/>
      <c r="B1369" s="9">
        <f>IFERROR(__xludf.DUMMYFUNCTION("""COMPUTED_VALUE"""),45432.433109571764)</f>
        <v>45432.43311</v>
      </c>
      <c r="C1369" s="9"/>
      <c r="D1369" s="34">
        <f>IFERROR(__xludf.DUMMYFUNCTION("""COMPUTED_VALUE"""),45438.0)</f>
        <v>45438</v>
      </c>
      <c r="E1369" s="34" t="str">
        <f>IFERROR(__xludf.DUMMYFUNCTION("""COMPUTED_VALUE"""),"05Mei")</f>
        <v>05Mei</v>
      </c>
      <c r="F1369" s="34" t="str">
        <f>IFERROR(__xludf.DUMMYFUNCTION("""COMPUTED_VALUE"""),"2024")</f>
        <v>2024</v>
      </c>
      <c r="G1369" s="35" t="str">
        <f>IFERROR(__xludf.DUMMYFUNCTION("""COMPUTED_VALUE"""),"WILLY WONGSO TIO")</f>
        <v>WILLY WONGSO TIO</v>
      </c>
      <c r="H1369" s="17" t="str">
        <f>IFERROR(__xludf.DUMMYFUNCTION("""COMPUTED_VALUE"""),"W9624059928")</f>
        <v>W9624059928</v>
      </c>
      <c r="I1369" s="17">
        <f>IFERROR(__xludf.DUMMYFUNCTION("""COMPUTED_VALUE"""),30.0)</f>
        <v>30</v>
      </c>
      <c r="J1369" s="17" t="str">
        <f>IFERROR(__xludf.DUMMYFUNCTION("""COMPUTED_VALUE"""),"25-34 tahun")</f>
        <v>25-34 tahun</v>
      </c>
      <c r="K1369" s="19">
        <f>IFERROR(__xludf.DUMMYFUNCTION("""COMPUTED_VALUE"""),35121.0)</f>
        <v>35121</v>
      </c>
      <c r="L1369" s="19" t="str">
        <f>IFERROR(__xludf.DUMMYFUNCTION("""COMPUTED_VALUE"""),"LAKI-LAKI")</f>
        <v>LAKI-LAKI</v>
      </c>
      <c r="M1369" s="35" t="str">
        <f>IFERROR(__xludf.DUMMYFUNCTION("""COMPUTED_VALUE"""),"JALAN PERDANA KOMP BALI AGUNG 2 NO B7")</f>
        <v>JALAN PERDANA KOMP BALI AGUNG 2 NO B7</v>
      </c>
      <c r="N1369" s="16" t="str">
        <f>IFERROR(__xludf.DUMMYFUNCTION("""COMPUTED_VALUE"""),"KEL. PARIT TOKAYA")</f>
        <v>KEL. PARIT TOKAYA</v>
      </c>
      <c r="O1369" s="16" t="str">
        <f>IFERROR(__xludf.DUMMYFUNCTION("""COMPUTED_VALUE"""),"KEC. PONTIANAK SELATAN")</f>
        <v>KEC. PONTIANAK SELATAN</v>
      </c>
      <c r="P1369" s="16" t="str">
        <f>IFERROR(__xludf.DUMMYFUNCTION("""COMPUTED_VALUE"""),"KOTA PONTIANAK")</f>
        <v>KOTA PONTIANAK</v>
      </c>
      <c r="Q1369" s="16" t="str">
        <f>IFERROR(__xludf.DUMMYFUNCTION("""COMPUTED_VALUE"""),"KALIMANTAN BARAT")</f>
        <v>KALIMANTAN BARAT</v>
      </c>
      <c r="R1369" s="19" t="str">
        <f>IFERROR(__xludf.DUMMYFUNCTION("""COMPUTED_VALUE"""),"KATOLIK")</f>
        <v>KATOLIK</v>
      </c>
      <c r="S1369" s="16" t="str">
        <f>IFERROR(__xludf.DUMMYFUNCTION("""COMPUTED_VALUE"""),"SWASTA")</f>
        <v>SWASTA</v>
      </c>
      <c r="T1369" s="16" t="str">
        <f>IFERROR(__xludf.DUMMYFUNCTION("""COMPUTED_VALUE"""),"Berdiri dan jalan sebentar sakit belakang")</f>
        <v>Berdiri dan jalan sebentar sakit belakang</v>
      </c>
      <c r="U1369" s="16" t="str">
        <f>IFERROR(__xludf.DUMMYFUNCTION("""COMPUTED_VALUE"""),"Gym dan dulunya badminton tetapi sejak back seperti ini tidak bsa dilakukan lagi")</f>
        <v>Gym dan dulunya badminton tetapi sejak back seperti ini tidak bsa dilakukan lagi</v>
      </c>
      <c r="V1369" s="11" t="str">
        <f>IFERROR(__xludf.DUMMYFUNCTION("""COMPUTED_VALUE"""),"081346789928")</f>
        <v>081346789928</v>
      </c>
      <c r="W1369" s="15"/>
    </row>
    <row r="1370" ht="22.5" customHeight="1">
      <c r="A1370" s="8"/>
      <c r="B1370" s="9">
        <f>IFERROR(__xludf.DUMMYFUNCTION("""COMPUTED_VALUE"""),45432.455370474534)</f>
        <v>45432.45537</v>
      </c>
      <c r="C1370" s="9"/>
      <c r="D1370" s="34">
        <f>IFERROR(__xludf.DUMMYFUNCTION("""COMPUTED_VALUE"""),45438.0)</f>
        <v>45438</v>
      </c>
      <c r="E1370" s="34" t="str">
        <f>IFERROR(__xludf.DUMMYFUNCTION("""COMPUTED_VALUE"""),"05Mei")</f>
        <v>05Mei</v>
      </c>
      <c r="F1370" s="34" t="str">
        <f>IFERROR(__xludf.DUMMYFUNCTION("""COMPUTED_VALUE"""),"2024")</f>
        <v>2024</v>
      </c>
      <c r="G1370" s="16" t="str">
        <f>IFERROR(__xludf.DUMMYFUNCTION("""COMPUTED_VALUE"""),"MIFTAHUDIN RAMADHANI")</f>
        <v>MIFTAHUDIN RAMADHANI</v>
      </c>
      <c r="H1370" s="17" t="str">
        <f>IFERROR(__xludf.DUMMYFUNCTION("""COMPUTED_VALUE"""),"M8824056007")</f>
        <v>M8824056007</v>
      </c>
      <c r="I1370" s="17">
        <f>IFERROR(__xludf.DUMMYFUNCTION("""COMPUTED_VALUE"""),38.0)</f>
        <v>38</v>
      </c>
      <c r="J1370" s="17" t="str">
        <f>IFERROR(__xludf.DUMMYFUNCTION("""COMPUTED_VALUE"""),"35-44 tahun")</f>
        <v>35-44 tahun</v>
      </c>
      <c r="K1370" s="19">
        <f>IFERROR(__xludf.DUMMYFUNCTION("""COMPUTED_VALUE"""),32260.0)</f>
        <v>32260</v>
      </c>
      <c r="L1370" s="19" t="str">
        <f>IFERROR(__xludf.DUMMYFUNCTION("""COMPUTED_VALUE"""),"LAKI-LAKI")</f>
        <v>LAKI-LAKI</v>
      </c>
      <c r="M1370" s="35" t="str">
        <f>IFERROR(__xludf.DUMMYFUNCTION("""COMPUTED_VALUE"""),"JL PROF M YAMIN GG EKA DAYA NO 15")</f>
        <v>JL PROF M YAMIN GG EKA DAYA NO 15</v>
      </c>
      <c r="N1370" s="16" t="str">
        <f>IFERROR(__xludf.DUMMYFUNCTION("""COMPUTED_VALUE"""),"KEL. PARIT TOKAYA")</f>
        <v>KEL. PARIT TOKAYA</v>
      </c>
      <c r="O1370" s="16" t="str">
        <f>IFERROR(__xludf.DUMMYFUNCTION("""COMPUTED_VALUE"""),"KEC. PONTIANAK SELATAN")</f>
        <v>KEC. PONTIANAK SELATAN</v>
      </c>
      <c r="P1370" s="16" t="str">
        <f>IFERROR(__xludf.DUMMYFUNCTION("""COMPUTED_VALUE"""),"KOTA PONTIANAK")</f>
        <v>KOTA PONTIANAK</v>
      </c>
      <c r="Q1370" s="16" t="str">
        <f>IFERROR(__xludf.DUMMYFUNCTION("""COMPUTED_VALUE"""),"KALIMANTAN BARAT")</f>
        <v>KALIMANTAN BARAT</v>
      </c>
      <c r="R1370" s="19" t="str">
        <f>IFERROR(__xludf.DUMMYFUNCTION("""COMPUTED_VALUE"""),"ISLAM")</f>
        <v>ISLAM</v>
      </c>
      <c r="S1370" s="16" t="str">
        <f>IFERROR(__xludf.DUMMYFUNCTION("""COMPUTED_VALUE"""),"SWASTA")</f>
        <v>SWASTA</v>
      </c>
      <c r="T1370" s="16" t="str">
        <f>IFERROR(__xludf.DUMMYFUNCTION("""COMPUTED_VALUE"""),"Ngilu kaki dan tangan")</f>
        <v>Ngilu kaki dan tangan</v>
      </c>
      <c r="U1370" s="16" t="str">
        <f>IFERROR(__xludf.DUMMYFUNCTION("""COMPUTED_VALUE"""),"Motoran")</f>
        <v>Motoran</v>
      </c>
      <c r="V1370" s="11" t="str">
        <f>IFERROR(__xludf.DUMMYFUNCTION("""COMPUTED_VALUE"""),"08978206007")</f>
        <v>08978206007</v>
      </c>
      <c r="W1370" s="15"/>
    </row>
    <row r="1371" ht="22.5" customHeight="1">
      <c r="A1371" s="8"/>
      <c r="B1371" s="9">
        <f>IFERROR(__xludf.DUMMYFUNCTION("""COMPUTED_VALUE"""),45432.64071141204)</f>
        <v>45432.64071</v>
      </c>
      <c r="C1371" s="9"/>
      <c r="D1371" s="34">
        <f>IFERROR(__xludf.DUMMYFUNCTION("""COMPUTED_VALUE"""),45439.0)</f>
        <v>45439</v>
      </c>
      <c r="E1371" s="34" t="str">
        <f>IFERROR(__xludf.DUMMYFUNCTION("""COMPUTED_VALUE"""),"05Mei")</f>
        <v>05Mei</v>
      </c>
      <c r="F1371" s="34" t="str">
        <f>IFERROR(__xludf.DUMMYFUNCTION("""COMPUTED_VALUE"""),"2024")</f>
        <v>2024</v>
      </c>
      <c r="G1371" s="16" t="str">
        <f>IFERROR(__xludf.DUMMYFUNCTION("""COMPUTED_VALUE"""),"MIAU TIN")</f>
        <v>MIAU TIN</v>
      </c>
      <c r="H1371" s="17" t="str">
        <f>IFERROR(__xludf.DUMMYFUNCTION("""COMPUTED_VALUE"""),"M7424058221")</f>
        <v>M7424058221</v>
      </c>
      <c r="I1371" s="17">
        <f>IFERROR(__xludf.DUMMYFUNCTION("""COMPUTED_VALUE"""),51.0)</f>
        <v>51</v>
      </c>
      <c r="J1371" s="17" t="str">
        <f>IFERROR(__xludf.DUMMYFUNCTION("""COMPUTED_VALUE"""),"&gt; 44 tahun")</f>
        <v>&gt; 44 tahun</v>
      </c>
      <c r="K1371" s="19">
        <f>IFERROR(__xludf.DUMMYFUNCTION("""COMPUTED_VALUE"""),27238.0)</f>
        <v>27238</v>
      </c>
      <c r="L1371" s="19" t="str">
        <f>IFERROR(__xludf.DUMMYFUNCTION("""COMPUTED_VALUE"""),"PEREMPUAN")</f>
        <v>PEREMPUAN</v>
      </c>
      <c r="M1371" s="35" t="str">
        <f>IFERROR(__xludf.DUMMYFUNCTION("""COMPUTED_VALUE"""),"JL. ADISUCIPTO KOMP. BUMI INDAH PERMAI NO.03")</f>
        <v>JL. ADISUCIPTO KOMP. BUMI INDAH PERMAI NO.03</v>
      </c>
      <c r="N1371" s="16" t="str">
        <f>IFERROR(__xludf.DUMMYFUNCTION("""COMPUTED_VALUE"""),"DS. PARIT BARU")</f>
        <v>DS. PARIT BARU</v>
      </c>
      <c r="O1371" s="16" t="str">
        <f>IFERROR(__xludf.DUMMYFUNCTION("""COMPUTED_VALUE"""),"KEC. SUNGAI RAYA")</f>
        <v>KEC. SUNGAI RAYA</v>
      </c>
      <c r="P1371" s="16" t="str">
        <f>IFERROR(__xludf.DUMMYFUNCTION("""COMPUTED_VALUE"""),"KAB. KUBU RAYA")</f>
        <v>KAB. KUBU RAYA</v>
      </c>
      <c r="Q1371" s="16" t="str">
        <f>IFERROR(__xludf.DUMMYFUNCTION("""COMPUTED_VALUE"""),"KALIMANTAN BARAT")</f>
        <v>KALIMANTAN BARAT</v>
      </c>
      <c r="R1371" s="19" t="str">
        <f>IFERROR(__xludf.DUMMYFUNCTION("""COMPUTED_VALUE"""),"BUDDHA")</f>
        <v>BUDDHA</v>
      </c>
      <c r="S1371" s="16" t="str">
        <f>IFERROR(__xludf.DUMMYFUNCTION("""COMPUTED_VALUE"""),"RUMAH TANGGA")</f>
        <v>RUMAH TANGGA</v>
      </c>
      <c r="T1371" s="16" t="str">
        <f>IFERROR(__xludf.DUMMYFUNCTION("""COMPUTED_VALUE"""),"Sakit bahu,pinggang,pinggul sampai ke kaki ( sebelah kana ) sakit tulang ekor dan kaki kebas")</f>
        <v>Sakit bahu,pinggang,pinggul sampai ke kaki ( sebelah kana ) sakit tulang ekor dan kaki kebas</v>
      </c>
      <c r="U1371" s="16" t="str">
        <f>IFERROR(__xludf.DUMMYFUNCTION("""COMPUTED_VALUE"""),"Memasak")</f>
        <v>Memasak</v>
      </c>
      <c r="V1371" s="11" t="str">
        <f>IFERROR(__xludf.DUMMYFUNCTION("""COMPUTED_VALUE"""),"85248068221")</f>
        <v>85248068221</v>
      </c>
      <c r="W1371" s="15"/>
    </row>
    <row r="1372" ht="22.5" customHeight="1">
      <c r="A1372" s="8"/>
      <c r="B1372" s="9">
        <f>IFERROR(__xludf.DUMMYFUNCTION("""COMPUTED_VALUE"""),45432.38924953704)</f>
        <v>45432.38925</v>
      </c>
      <c r="C1372" s="9"/>
      <c r="D1372" s="34">
        <f>IFERROR(__xludf.DUMMYFUNCTION("""COMPUTED_VALUE"""),45439.0)</f>
        <v>45439</v>
      </c>
      <c r="E1372" s="34" t="str">
        <f>IFERROR(__xludf.DUMMYFUNCTION("""COMPUTED_VALUE"""),"05Mei")</f>
        <v>05Mei</v>
      </c>
      <c r="F1372" s="34" t="str">
        <f>IFERROR(__xludf.DUMMYFUNCTION("""COMPUTED_VALUE"""),"2024")</f>
        <v>2024</v>
      </c>
      <c r="G1372" s="16" t="str">
        <f>IFERROR(__xludf.DUMMYFUNCTION("""COMPUTED_VALUE"""),"YENI MARIANI")</f>
        <v>YENI MARIANI</v>
      </c>
      <c r="H1372" s="17" t="str">
        <f>IFERROR(__xludf.DUMMYFUNCTION("""COMPUTED_VALUE"""),"Y8824058157")</f>
        <v>Y8824058157</v>
      </c>
      <c r="I1372" s="17">
        <f>IFERROR(__xludf.DUMMYFUNCTION("""COMPUTED_VALUE"""),38.0)</f>
        <v>38</v>
      </c>
      <c r="J1372" s="17" t="str">
        <f>IFERROR(__xludf.DUMMYFUNCTION("""COMPUTED_VALUE"""),"35-44 tahun")</f>
        <v>35-44 tahun</v>
      </c>
      <c r="K1372" s="19">
        <f>IFERROR(__xludf.DUMMYFUNCTION("""COMPUTED_VALUE"""),32149.0)</f>
        <v>32149</v>
      </c>
      <c r="L1372" s="19" t="str">
        <f>IFERROR(__xludf.DUMMYFUNCTION("""COMPUTED_VALUE"""),"PEREMPUAN")</f>
        <v>PEREMPUAN</v>
      </c>
      <c r="M1372" s="35" t="str">
        <f>IFERROR(__xludf.DUMMYFUNCTION("""COMPUTED_VALUE"""),"JALAN ADI SUCIPTO GANG HAJI SALEH NOMOR 6")</f>
        <v>JALAN ADI SUCIPTO GANG HAJI SALEH NOMOR 6</v>
      </c>
      <c r="N1372" s="16" t="str">
        <f>IFERROR(__xludf.DUMMYFUNCTION("""COMPUTED_VALUE"""),"KEL. BANGKA BELITUNG LAUT")</f>
        <v>KEL. BANGKA BELITUNG LAUT</v>
      </c>
      <c r="O1372" s="16" t="str">
        <f>IFERROR(__xludf.DUMMYFUNCTION("""COMPUTED_VALUE"""),"KEC. PONTIANAK TENGGARA")</f>
        <v>KEC. PONTIANAK TENGGARA</v>
      </c>
      <c r="P1372" s="16" t="str">
        <f>IFERROR(__xludf.DUMMYFUNCTION("""COMPUTED_VALUE"""),"KOTA PONTIANAK")</f>
        <v>KOTA PONTIANAK</v>
      </c>
      <c r="Q1372" s="16" t="str">
        <f>IFERROR(__xludf.DUMMYFUNCTION("""COMPUTED_VALUE"""),"KALIMANTAN BARAT")</f>
        <v>KALIMANTAN BARAT</v>
      </c>
      <c r="R1372" s="19" t="str">
        <f>IFERROR(__xludf.DUMMYFUNCTION("""COMPUTED_VALUE"""),"ISLAM")</f>
        <v>ISLAM</v>
      </c>
      <c r="S1372" s="16" t="str">
        <f>IFERROR(__xludf.DUMMYFUNCTION("""COMPUTED_VALUE"""),"RUMAH TANGGA")</f>
        <v>RUMAH TANGGA</v>
      </c>
      <c r="T1372" s="16" t="str">
        <f>IFERROR(__xludf.DUMMYFUNCTION("""COMPUTED_VALUE"""),"Keseleo")</f>
        <v>Keseleo</v>
      </c>
      <c r="U1372" s="16" t="str">
        <f>IFERROR(__xludf.DUMMYFUNCTION("""COMPUTED_VALUE"""),"Jalan-jalan")</f>
        <v>Jalan-jalan</v>
      </c>
      <c r="V1372" s="11" t="str">
        <f>IFERROR(__xludf.DUMMYFUNCTION("""COMPUTED_VALUE"""),"087818368157")</f>
        <v>087818368157</v>
      </c>
      <c r="W1372" s="15"/>
    </row>
    <row r="1373" ht="22.5" customHeight="1">
      <c r="A1373" s="8"/>
      <c r="B1373" s="9">
        <f>IFERROR(__xludf.DUMMYFUNCTION("""COMPUTED_VALUE"""),45432.77022003473)</f>
        <v>45432.77022</v>
      </c>
      <c r="C1373" s="9"/>
      <c r="D1373" s="34">
        <f>IFERROR(__xludf.DUMMYFUNCTION("""COMPUTED_VALUE"""),45440.0)</f>
        <v>45440</v>
      </c>
      <c r="E1373" s="34" t="str">
        <f>IFERROR(__xludf.DUMMYFUNCTION("""COMPUTED_VALUE"""),"05Mei")</f>
        <v>05Mei</v>
      </c>
      <c r="F1373" s="34" t="str">
        <f>IFERROR(__xludf.DUMMYFUNCTION("""COMPUTED_VALUE"""),"2024")</f>
        <v>2024</v>
      </c>
      <c r="G1373" s="16" t="str">
        <f>IFERROR(__xludf.DUMMYFUNCTION("""COMPUTED_VALUE"""),"CIPTO PRIYONO")</f>
        <v>CIPTO PRIYONO</v>
      </c>
      <c r="H1373" s="17" t="str">
        <f>IFERROR(__xludf.DUMMYFUNCTION("""COMPUTED_VALUE"""),"C8324059169")</f>
        <v>C8324059169</v>
      </c>
      <c r="I1373" s="17">
        <f>IFERROR(__xludf.DUMMYFUNCTION("""COMPUTED_VALUE"""),43.0)</f>
        <v>43</v>
      </c>
      <c r="J1373" s="17" t="str">
        <f>IFERROR(__xludf.DUMMYFUNCTION("""COMPUTED_VALUE"""),"35-44 tahun")</f>
        <v>35-44 tahun</v>
      </c>
      <c r="K1373" s="19">
        <f>IFERROR(__xludf.DUMMYFUNCTION("""COMPUTED_VALUE"""),30467.0)</f>
        <v>30467</v>
      </c>
      <c r="L1373" s="19" t="str">
        <f>IFERROR(__xludf.DUMMYFUNCTION("""COMPUTED_VALUE"""),"LAKI-LAKI")</f>
        <v>LAKI-LAKI</v>
      </c>
      <c r="M1373" s="35" t="str">
        <f>IFERROR(__xludf.DUMMYFUNCTION("""COMPUTED_VALUE"""),"JL. M. YAMIN GG. USAHA BERSAMA 1 NO. 39")</f>
        <v>JL. M. YAMIN GG. USAHA BERSAMA 1 NO. 39</v>
      </c>
      <c r="N1373" s="16" t="str">
        <f>IFERROR(__xludf.DUMMYFUNCTION("""COMPUTED_VALUE"""),"KEL. KOTA BARU")</f>
        <v>KEL. KOTA BARU</v>
      </c>
      <c r="O1373" s="16" t="str">
        <f>IFERROR(__xludf.DUMMYFUNCTION("""COMPUTED_VALUE"""),"KEC. PONTIANAK SELATAN")</f>
        <v>KEC. PONTIANAK SELATAN</v>
      </c>
      <c r="P1373" s="16" t="str">
        <f>IFERROR(__xludf.DUMMYFUNCTION("""COMPUTED_VALUE"""),"KOTA PONTIANAK")</f>
        <v>KOTA PONTIANAK</v>
      </c>
      <c r="Q1373" s="16" t="str">
        <f>IFERROR(__xludf.DUMMYFUNCTION("""COMPUTED_VALUE"""),"KALIMANTAN BARAT")</f>
        <v>KALIMANTAN BARAT</v>
      </c>
      <c r="R1373" s="19" t="str">
        <f>IFERROR(__xludf.DUMMYFUNCTION("""COMPUTED_VALUE"""),"ISLAM")</f>
        <v>ISLAM</v>
      </c>
      <c r="S1373" s="16" t="str">
        <f>IFERROR(__xludf.DUMMYFUNCTION("""COMPUTED_VALUE"""),"ASN")</f>
        <v>ASN</v>
      </c>
      <c r="T1373" s="16" t="str">
        <f>IFERROR(__xludf.DUMMYFUNCTION("""COMPUTED_VALUE"""),"Nyeri pinggang belakang")</f>
        <v>Nyeri pinggang belakang</v>
      </c>
      <c r="U1373" s="16" t="str">
        <f>IFERROR(__xludf.DUMMYFUNCTION("""COMPUTED_VALUE"""),"Joging/ngator")</f>
        <v>Joging/ngator</v>
      </c>
      <c r="V1373" s="11" t="str">
        <f>IFERROR(__xludf.DUMMYFUNCTION("""COMPUTED_VALUE"""),"085640909169")</f>
        <v>085640909169</v>
      </c>
      <c r="W1373" s="15"/>
    </row>
    <row r="1374" ht="22.5" customHeight="1">
      <c r="A1374" s="8"/>
      <c r="B1374" s="9">
        <f>IFERROR(__xludf.DUMMYFUNCTION("""COMPUTED_VALUE"""),45432.85660666667)</f>
        <v>45432.85661</v>
      </c>
      <c r="C1374" s="9"/>
      <c r="D1374" s="34">
        <f>IFERROR(__xludf.DUMMYFUNCTION("""COMPUTED_VALUE"""),45440.0)</f>
        <v>45440</v>
      </c>
      <c r="E1374" s="34" t="str">
        <f>IFERROR(__xludf.DUMMYFUNCTION("""COMPUTED_VALUE"""),"05Mei")</f>
        <v>05Mei</v>
      </c>
      <c r="F1374" s="34" t="str">
        <f>IFERROR(__xludf.DUMMYFUNCTION("""COMPUTED_VALUE"""),"2024")</f>
        <v>2024</v>
      </c>
      <c r="G1374" s="16" t="str">
        <f>IFERROR(__xludf.DUMMYFUNCTION("""COMPUTED_VALUE"""),"BENNY LIM")</f>
        <v>BENNY LIM</v>
      </c>
      <c r="H1374" s="17" t="str">
        <f>IFERROR(__xludf.DUMMYFUNCTION("""COMPUTED_VALUE"""),"B9524053322")</f>
        <v>B9524053322</v>
      </c>
      <c r="I1374" s="17">
        <f>IFERROR(__xludf.DUMMYFUNCTION("""COMPUTED_VALUE"""),30.0)</f>
        <v>30</v>
      </c>
      <c r="J1374" s="17" t="str">
        <f>IFERROR(__xludf.DUMMYFUNCTION("""COMPUTED_VALUE"""),"25-34 tahun")</f>
        <v>25-34 tahun</v>
      </c>
      <c r="K1374" s="19">
        <f>IFERROR(__xludf.DUMMYFUNCTION("""COMPUTED_VALUE"""),35017.0)</f>
        <v>35017</v>
      </c>
      <c r="L1374" s="19" t="str">
        <f>IFERROR(__xludf.DUMMYFUNCTION("""COMPUTED_VALUE"""),"LAKI-LAKI")</f>
        <v>LAKI-LAKI</v>
      </c>
      <c r="M1374" s="35" t="str">
        <f>IFERROR(__xludf.DUMMYFUNCTION("""COMPUTED_VALUE"""),"JL.UJUNG PANDANG 1 , KOMP.GRIYA AMPERA NO.E4")</f>
        <v>JL.UJUNG PANDANG 1 , KOMP.GRIYA AMPERA NO.E4</v>
      </c>
      <c r="N1374" s="16" t="str">
        <f>IFERROR(__xludf.DUMMYFUNCTION("""COMPUTED_VALUE"""),"KEL. SUNGAI JAWI")</f>
        <v>KEL. SUNGAI JAWI</v>
      </c>
      <c r="O1374" s="16" t="str">
        <f>IFERROR(__xludf.DUMMYFUNCTION("""COMPUTED_VALUE"""),"KEC. PONTIANAK KOTA")</f>
        <v>KEC. PONTIANAK KOTA</v>
      </c>
      <c r="P1374" s="35" t="str">
        <f>IFERROR(__xludf.DUMMYFUNCTION("""COMPUTED_VALUE"""),"KOTA PONTIANAK")</f>
        <v>KOTA PONTIANAK</v>
      </c>
      <c r="Q1374" s="16" t="str">
        <f>IFERROR(__xludf.DUMMYFUNCTION("""COMPUTED_VALUE"""),"KALIMANTAN BARAT")</f>
        <v>KALIMANTAN BARAT</v>
      </c>
      <c r="R1374" s="19" t="str">
        <f>IFERROR(__xludf.DUMMYFUNCTION("""COMPUTED_VALUE"""),"PROTESTAN")</f>
        <v>PROTESTAN</v>
      </c>
      <c r="S1374" s="16" t="str">
        <f>IFERROR(__xludf.DUMMYFUNCTION("""COMPUTED_VALUE"""),"SWASTA")</f>
        <v>SWASTA</v>
      </c>
      <c r="T1374" s="16" t="str">
        <f>IFERROR(__xludf.DUMMYFUNCTION("""COMPUTED_VALUE"""),"Nyeri di bagian / paha")</f>
        <v>Nyeri di bagian / paha</v>
      </c>
      <c r="U1374" s="16" t="str">
        <f>IFERROR(__xludf.DUMMYFUNCTION("""COMPUTED_VALUE"""),"Minisoccer")</f>
        <v>Minisoccer</v>
      </c>
      <c r="V1374" s="11" t="str">
        <f>IFERROR(__xludf.DUMMYFUNCTION("""COMPUTED_VALUE"""),"08125123322")</f>
        <v>08125123322</v>
      </c>
      <c r="W1374" s="15"/>
    </row>
    <row r="1375" ht="22.5" customHeight="1">
      <c r="A1375" s="8"/>
      <c r="B1375" s="9">
        <f>IFERROR(__xludf.DUMMYFUNCTION("""COMPUTED_VALUE"""),45433.39698737269)</f>
        <v>45433.39699</v>
      </c>
      <c r="C1375" s="9"/>
      <c r="D1375" s="34">
        <f>IFERROR(__xludf.DUMMYFUNCTION("""COMPUTED_VALUE"""),45440.0)</f>
        <v>45440</v>
      </c>
      <c r="E1375" s="34" t="str">
        <f>IFERROR(__xludf.DUMMYFUNCTION("""COMPUTED_VALUE"""),"05Mei")</f>
        <v>05Mei</v>
      </c>
      <c r="F1375" s="34" t="str">
        <f>IFERROR(__xludf.DUMMYFUNCTION("""COMPUTED_VALUE"""),"2024")</f>
        <v>2024</v>
      </c>
      <c r="G1375" s="16" t="str">
        <f>IFERROR(__xludf.DUMMYFUNCTION("""COMPUTED_VALUE"""),"INDAH AYU YUDISTIRA")</f>
        <v>INDAH AYU YUDISTIRA</v>
      </c>
      <c r="H1375" s="17" t="str">
        <f>IFERROR(__xludf.DUMMYFUNCTION("""COMPUTED_VALUE"""),"I8524054704")</f>
        <v>I8524054704</v>
      </c>
      <c r="I1375" s="17">
        <f>IFERROR(__xludf.DUMMYFUNCTION("""COMPUTED_VALUE"""),41.0)</f>
        <v>41</v>
      </c>
      <c r="J1375" s="17" t="str">
        <f>IFERROR(__xludf.DUMMYFUNCTION("""COMPUTED_VALUE"""),"35-44 tahun")</f>
        <v>35-44 tahun</v>
      </c>
      <c r="K1375" s="19">
        <f>IFERROR(__xludf.DUMMYFUNCTION("""COMPUTED_VALUE"""),31079.0)</f>
        <v>31079</v>
      </c>
      <c r="L1375" s="19" t="str">
        <f>IFERROR(__xludf.DUMMYFUNCTION("""COMPUTED_VALUE"""),"PEREMPUAN")</f>
        <v>PEREMPUAN</v>
      </c>
      <c r="M1375" s="35" t="str">
        <f>IFERROR(__xludf.DUMMYFUNCTION("""COMPUTED_VALUE"""),"JL. KEMAKMURAN GG. KEMAKMURAN V NO. 17A")</f>
        <v>JL. KEMAKMURAN GG. KEMAKMURAN V NO. 17A</v>
      </c>
      <c r="N1375" s="16" t="str">
        <f>IFERROR(__xludf.DUMMYFUNCTION("""COMPUTED_VALUE"""),"KEL. SUNGAI JAWI")</f>
        <v>KEL. SUNGAI JAWI</v>
      </c>
      <c r="O1375" s="16" t="str">
        <f>IFERROR(__xludf.DUMMYFUNCTION("""COMPUTED_VALUE"""),"KEC. PONTIANAK KOTA")</f>
        <v>KEC. PONTIANAK KOTA</v>
      </c>
      <c r="P1375" s="16" t="str">
        <f>IFERROR(__xludf.DUMMYFUNCTION("""COMPUTED_VALUE"""),"KOTA PONTIANAK")</f>
        <v>KOTA PONTIANAK</v>
      </c>
      <c r="Q1375" s="16" t="str">
        <f>IFERROR(__xludf.DUMMYFUNCTION("""COMPUTED_VALUE"""),"KALIMANTAN BARAT")</f>
        <v>KALIMANTAN BARAT</v>
      </c>
      <c r="R1375" s="19" t="str">
        <f>IFERROR(__xludf.DUMMYFUNCTION("""COMPUTED_VALUE"""),"ISLAM")</f>
        <v>ISLAM</v>
      </c>
      <c r="S1375" s="16" t="str">
        <f>IFERROR(__xludf.DUMMYFUNCTION("""COMPUTED_VALUE"""),"ASN")</f>
        <v>ASN</v>
      </c>
      <c r="T1375" s="16" t="str">
        <f>IFERROR(__xludf.DUMMYFUNCTION("""COMPUTED_VALUE"""),"Frozen shoulder")</f>
        <v>Frozen shoulder</v>
      </c>
      <c r="U1375" s="16" t="str">
        <f>IFERROR(__xludf.DUMMYFUNCTION("""COMPUTED_VALUE"""),"Instructor olahraga")</f>
        <v>Instructor olahraga</v>
      </c>
      <c r="V1375" s="11" t="str">
        <f>IFERROR(__xludf.DUMMYFUNCTION("""COMPUTED_VALUE"""),"085245804704")</f>
        <v>085245804704</v>
      </c>
      <c r="W1375" s="15"/>
    </row>
    <row r="1376" ht="22.5" customHeight="1">
      <c r="A1376" s="8"/>
      <c r="B1376" s="9">
        <f>IFERROR(__xludf.DUMMYFUNCTION("""COMPUTED_VALUE"""),45433.55216849537)</f>
        <v>45433.55217</v>
      </c>
      <c r="C1376" s="9"/>
      <c r="D1376" s="34">
        <f>IFERROR(__xludf.DUMMYFUNCTION("""COMPUTED_VALUE"""),45440.0)</f>
        <v>45440</v>
      </c>
      <c r="E1376" s="34" t="str">
        <f>IFERROR(__xludf.DUMMYFUNCTION("""COMPUTED_VALUE"""),"05Mei")</f>
        <v>05Mei</v>
      </c>
      <c r="F1376" s="34" t="str">
        <f>IFERROR(__xludf.DUMMYFUNCTION("""COMPUTED_VALUE"""),"2024")</f>
        <v>2024</v>
      </c>
      <c r="G1376" s="16" t="str">
        <f>IFERROR(__xludf.DUMMYFUNCTION("""COMPUTED_VALUE"""),"AMELIA SUSANTI")</f>
        <v>AMELIA SUSANTI</v>
      </c>
      <c r="H1376" s="17" t="str">
        <f>IFERROR(__xludf.DUMMYFUNCTION("""COMPUTED_VALUE"""),"A9324055554")</f>
        <v>A9324055554</v>
      </c>
      <c r="I1376" s="17">
        <f>IFERROR(__xludf.DUMMYFUNCTION("""COMPUTED_VALUE"""),33.0)</f>
        <v>33</v>
      </c>
      <c r="J1376" s="17" t="str">
        <f>IFERROR(__xludf.DUMMYFUNCTION("""COMPUTED_VALUE"""),"25-34 tahun")</f>
        <v>25-34 tahun</v>
      </c>
      <c r="K1376" s="19">
        <f>IFERROR(__xludf.DUMMYFUNCTION("""COMPUTED_VALUE"""),34112.0)</f>
        <v>34112</v>
      </c>
      <c r="L1376" s="19" t="str">
        <f>IFERROR(__xludf.DUMMYFUNCTION("""COMPUTED_VALUE"""),"PEREMPUAN")</f>
        <v>PEREMPUAN</v>
      </c>
      <c r="M1376" s="35" t="str">
        <f>IFERROR(__xludf.DUMMYFUNCTION("""COMPUTED_VALUE"""),"JLN. TEBU, GG. NATUNA, NO.25")</f>
        <v>JLN. TEBU, GG. NATUNA, NO.25</v>
      </c>
      <c r="N1376" s="16" t="str">
        <f>IFERROR(__xludf.DUMMYFUNCTION("""COMPUTED_VALUE"""),"KEL. SUNGAI BELIUNG")</f>
        <v>KEL. SUNGAI BELIUNG</v>
      </c>
      <c r="O1376" s="16" t="str">
        <f>IFERROR(__xludf.DUMMYFUNCTION("""COMPUTED_VALUE"""),"KEC. PONTIANAK BARAT")</f>
        <v>KEC. PONTIANAK BARAT</v>
      </c>
      <c r="P1376" s="16" t="str">
        <f>IFERROR(__xludf.DUMMYFUNCTION("""COMPUTED_VALUE"""),"KOTA PONTIANAK")</f>
        <v>KOTA PONTIANAK</v>
      </c>
      <c r="Q1376" s="16" t="str">
        <f>IFERROR(__xludf.DUMMYFUNCTION("""COMPUTED_VALUE"""),"KALIMANTAN BARAT")</f>
        <v>KALIMANTAN BARAT</v>
      </c>
      <c r="R1376" s="19" t="str">
        <f>IFERROR(__xludf.DUMMYFUNCTION("""COMPUTED_VALUE"""),"ISLAM")</f>
        <v>ISLAM</v>
      </c>
      <c r="S1376" s="16" t="str">
        <f>IFERROR(__xludf.DUMMYFUNCTION("""COMPUTED_VALUE"""),"SWASTA")</f>
        <v>SWASTA</v>
      </c>
      <c r="T1376" s="16" t="str">
        <f>IFERROR(__xludf.DUMMYFUNCTION("""COMPUTED_VALUE"""),"Sakit di sendi kaki")</f>
        <v>Sakit di sendi kaki</v>
      </c>
      <c r="U1376" s="16" t="str">
        <f>IFERROR(__xludf.DUMMYFUNCTION("""COMPUTED_VALUE"""),"-")</f>
        <v>-</v>
      </c>
      <c r="V1376" s="11" t="str">
        <f>IFERROR(__xludf.DUMMYFUNCTION("""COMPUTED_VALUE"""),"081257455554")</f>
        <v>081257455554</v>
      </c>
      <c r="W1376" s="15"/>
    </row>
    <row r="1377" ht="22.5" customHeight="1">
      <c r="A1377" s="8"/>
      <c r="B1377" s="9">
        <f>IFERROR(__xludf.DUMMYFUNCTION("""COMPUTED_VALUE"""),45433.59007478009)</f>
        <v>45433.59007</v>
      </c>
      <c r="C1377" s="9"/>
      <c r="D1377" s="34">
        <f>IFERROR(__xludf.DUMMYFUNCTION("""COMPUTED_VALUE"""),45440.0)</f>
        <v>45440</v>
      </c>
      <c r="E1377" s="34" t="str">
        <f>IFERROR(__xludf.DUMMYFUNCTION("""COMPUTED_VALUE"""),"05Mei")</f>
        <v>05Mei</v>
      </c>
      <c r="F1377" s="34" t="str">
        <f>IFERROR(__xludf.DUMMYFUNCTION("""COMPUTED_VALUE"""),"2024")</f>
        <v>2024</v>
      </c>
      <c r="G1377" s="16" t="str">
        <f>IFERROR(__xludf.DUMMYFUNCTION("""COMPUTED_VALUE"""),"SYARIFAH AISYAH")</f>
        <v>SYARIFAH AISYAH</v>
      </c>
      <c r="H1377" s="17" t="str">
        <f>IFERROR(__xludf.DUMMYFUNCTION("""COMPUTED_VALUE"""),"S4524057449")</f>
        <v>S4524057449</v>
      </c>
      <c r="I1377" s="17">
        <f>IFERROR(__xludf.DUMMYFUNCTION("""COMPUTED_VALUE"""),81.0)</f>
        <v>81</v>
      </c>
      <c r="J1377" s="17" t="str">
        <f>IFERROR(__xludf.DUMMYFUNCTION("""COMPUTED_VALUE"""),"&gt; 44 tahun")</f>
        <v>&gt; 44 tahun</v>
      </c>
      <c r="K1377" s="19">
        <f>IFERROR(__xludf.DUMMYFUNCTION("""COMPUTED_VALUE"""),16600.0)</f>
        <v>16600</v>
      </c>
      <c r="L1377" s="19" t="str">
        <f>IFERROR(__xludf.DUMMYFUNCTION("""COMPUTED_VALUE"""),"PEREMPUAN")</f>
        <v>PEREMPUAN</v>
      </c>
      <c r="M1377" s="35" t="str">
        <f>IFERROR(__xludf.DUMMYFUNCTION("""COMPUTED_VALUE"""),"JL.RAYA KALIMAS DUSUN CEPAKA")</f>
        <v>JL.RAYA KALIMAS DUSUN CEPAKA</v>
      </c>
      <c r="N1377" s="16" t="str">
        <f>IFERROR(__xludf.DUMMYFUNCTION("""COMPUTED_VALUE"""),"KEL. KALIMAS")</f>
        <v>KEL. KALIMAS</v>
      </c>
      <c r="O1377" s="16" t="str">
        <f>IFERROR(__xludf.DUMMYFUNCTION("""COMPUTED_VALUE"""),"KEC. SUNGAI KAKAP")</f>
        <v>KEC. SUNGAI KAKAP</v>
      </c>
      <c r="P1377" s="16" t="str">
        <f>IFERROR(__xludf.DUMMYFUNCTION("""COMPUTED_VALUE"""),"KAB. KUBU RAYA")</f>
        <v>KAB. KUBU RAYA</v>
      </c>
      <c r="Q1377" s="16" t="str">
        <f>IFERROR(__xludf.DUMMYFUNCTION("""COMPUTED_VALUE"""),"KALIMANTAN BARAT")</f>
        <v>KALIMANTAN BARAT</v>
      </c>
      <c r="R1377" s="19" t="str">
        <f>IFERROR(__xludf.DUMMYFUNCTION("""COMPUTED_VALUE"""),"ISLAM")</f>
        <v>ISLAM</v>
      </c>
      <c r="S1377" s="16" t="str">
        <f>IFERROR(__xludf.DUMMYFUNCTION("""COMPUTED_VALUE"""),"RUMAH TANGGA")</f>
        <v>RUMAH TANGGA</v>
      </c>
      <c r="T1377" s="16" t="str">
        <f>IFERROR(__xludf.DUMMYFUNCTION("""COMPUTED_VALUE"""),"Sakit dibagian pinggang dan tak bisa jalan")</f>
        <v>Sakit dibagian pinggang dan tak bisa jalan</v>
      </c>
      <c r="U1377" s="16" t="str">
        <f>IFERROR(__xludf.DUMMYFUNCTION("""COMPUTED_VALUE"""),"Masak")</f>
        <v>Masak</v>
      </c>
      <c r="V1377" s="11" t="str">
        <f>IFERROR(__xludf.DUMMYFUNCTION("""COMPUTED_VALUE"""),"08980307449")</f>
        <v>08980307449</v>
      </c>
      <c r="W1377" s="15"/>
    </row>
    <row r="1378" ht="22.5" customHeight="1">
      <c r="A1378" s="8"/>
      <c r="B1378" s="9">
        <f>IFERROR(__xludf.DUMMYFUNCTION("""COMPUTED_VALUE"""),45433.78920594907)</f>
        <v>45433.78921</v>
      </c>
      <c r="C1378" s="9"/>
      <c r="D1378" s="34">
        <f>IFERROR(__xludf.DUMMYFUNCTION("""COMPUTED_VALUE"""),45440.0)</f>
        <v>45440</v>
      </c>
      <c r="E1378" s="34" t="str">
        <f>IFERROR(__xludf.DUMMYFUNCTION("""COMPUTED_VALUE"""),"05Mei")</f>
        <v>05Mei</v>
      </c>
      <c r="F1378" s="34" t="str">
        <f>IFERROR(__xludf.DUMMYFUNCTION("""COMPUTED_VALUE"""),"2024")</f>
        <v>2024</v>
      </c>
      <c r="G1378" s="16" t="str">
        <f>IFERROR(__xludf.DUMMYFUNCTION("""COMPUTED_VALUE"""),"HANGGA TAQWA REZA")</f>
        <v>HANGGA TAQWA REZA</v>
      </c>
      <c r="H1378" s="17" t="str">
        <f>IFERROR(__xludf.DUMMYFUNCTION("""COMPUTED_VALUE"""),"H8624050200")</f>
        <v>H8624050200</v>
      </c>
      <c r="I1378" s="17">
        <f>IFERROR(__xludf.DUMMYFUNCTION("""COMPUTED_VALUE"""),40.0)</f>
        <v>40</v>
      </c>
      <c r="J1378" s="17" t="str">
        <f>IFERROR(__xludf.DUMMYFUNCTION("""COMPUTED_VALUE"""),"35-44 tahun")</f>
        <v>35-44 tahun</v>
      </c>
      <c r="K1378" s="19">
        <f>IFERROR(__xludf.DUMMYFUNCTION("""COMPUTED_VALUE"""),31536.0)</f>
        <v>31536</v>
      </c>
      <c r="L1378" s="19" t="str">
        <f>IFERROR(__xludf.DUMMYFUNCTION("""COMPUTED_VALUE"""),"LAKI-LAKI")</f>
        <v>LAKI-LAKI</v>
      </c>
      <c r="M1378" s="35" t="str">
        <f>IFERROR(__xludf.DUMMYFUNCTION("""COMPUTED_VALUE"""),"KL. KARYA BARU GG. KARYA BARU 3 NO 19")</f>
        <v>KL. KARYA BARU GG. KARYA BARU 3 NO 19</v>
      </c>
      <c r="N1378" s="16" t="str">
        <f>IFERROR(__xludf.DUMMYFUNCTION("""COMPUTED_VALUE"""),"KEL. PARIT TOKAYA")</f>
        <v>KEL. PARIT TOKAYA</v>
      </c>
      <c r="O1378" s="16" t="str">
        <f>IFERROR(__xludf.DUMMYFUNCTION("""COMPUTED_VALUE"""),"KEC. PONTIANAK SELATAN")</f>
        <v>KEC. PONTIANAK SELATAN</v>
      </c>
      <c r="P1378" s="16" t="str">
        <f>IFERROR(__xludf.DUMMYFUNCTION("""COMPUTED_VALUE"""),"KOTA PONTIANAK")</f>
        <v>KOTA PONTIANAK</v>
      </c>
      <c r="Q1378" s="16" t="str">
        <f>IFERROR(__xludf.DUMMYFUNCTION("""COMPUTED_VALUE"""),"KALIMANTAN BARAT")</f>
        <v>KALIMANTAN BARAT</v>
      </c>
      <c r="R1378" s="19" t="str">
        <f>IFERROR(__xludf.DUMMYFUNCTION("""COMPUTED_VALUE"""),"ISLAM")</f>
        <v>ISLAM</v>
      </c>
      <c r="S1378" s="16" t="str">
        <f>IFERROR(__xludf.DUMMYFUNCTION("""COMPUTED_VALUE"""),"ASN")</f>
        <v>ASN</v>
      </c>
      <c r="T1378" s="16" t="str">
        <f>IFERROR(__xludf.DUMMYFUNCTION("""COMPUTED_VALUE"""),"cidera lengan dikarenakan bermain badminton terlalu berlebihan")</f>
        <v>cidera lengan dikarenakan bermain badminton terlalu berlebihan</v>
      </c>
      <c r="U1378" s="16" t="str">
        <f>IFERROR(__xludf.DUMMYFUNCTION("""COMPUTED_VALUE"""),"kerja kantoran")</f>
        <v>kerja kantoran</v>
      </c>
      <c r="V1378" s="11" t="str">
        <f>IFERROR(__xludf.DUMMYFUNCTION("""COMPUTED_VALUE"""),"085228400200")</f>
        <v>085228400200</v>
      </c>
      <c r="W1378" s="15"/>
    </row>
    <row r="1379" ht="22.5" customHeight="1">
      <c r="A1379" s="8"/>
      <c r="B1379" s="9">
        <f>IFERROR(__xludf.DUMMYFUNCTION("""COMPUTED_VALUE"""),45431.84392638889)</f>
        <v>45431.84393</v>
      </c>
      <c r="C1379" s="9"/>
      <c r="D1379" s="34">
        <f>IFERROR(__xludf.DUMMYFUNCTION("""COMPUTED_VALUE"""),45441.0)</f>
        <v>45441</v>
      </c>
      <c r="E1379" s="34" t="str">
        <f>IFERROR(__xludf.DUMMYFUNCTION("""COMPUTED_VALUE"""),"05Mei")</f>
        <v>05Mei</v>
      </c>
      <c r="F1379" s="34" t="str">
        <f>IFERROR(__xludf.DUMMYFUNCTION("""COMPUTED_VALUE"""),"2024")</f>
        <v>2024</v>
      </c>
      <c r="G1379" s="16" t="str">
        <f>IFERROR(__xludf.DUMMYFUNCTION("""COMPUTED_VALUE"""),"GILANG AHMAD YUDHASTAR")</f>
        <v>GILANG AHMAD YUDHASTAR</v>
      </c>
      <c r="H1379" s="17" t="str">
        <f>IFERROR(__xludf.DUMMYFUNCTION("""COMPUTED_VALUE"""),"G0924057746")</f>
        <v>G0924057746</v>
      </c>
      <c r="I1379" s="17">
        <f>IFERROR(__xludf.DUMMYFUNCTION("""COMPUTED_VALUE"""),17.0)</f>
        <v>17</v>
      </c>
      <c r="J1379" s="17" t="str">
        <f>IFERROR(__xludf.DUMMYFUNCTION("""COMPUTED_VALUE"""),"&lt; 18 tahun")</f>
        <v>&lt; 18 tahun</v>
      </c>
      <c r="K1379" s="19">
        <f>IFERROR(__xludf.DUMMYFUNCTION("""COMPUTED_VALUE"""),39916.0)</f>
        <v>39916</v>
      </c>
      <c r="L1379" s="19" t="str">
        <f>IFERROR(__xludf.DUMMYFUNCTION("""COMPUTED_VALUE"""),"LAKI-LAKI")</f>
        <v>LAKI-LAKI</v>
      </c>
      <c r="M1379" s="35" t="str">
        <f>IFERROR(__xludf.DUMMYFUNCTION("""COMPUTED_VALUE"""),"SUKAMULYA GG SUKMA 5 NO 12")</f>
        <v>SUKAMULYA GG SUKMA 5 NO 12</v>
      </c>
      <c r="N1379" s="16" t="str">
        <f>IFERROR(__xludf.DUMMYFUNCTION("""COMPUTED_VALUE"""),"KEL. SUNGAI JAWI")</f>
        <v>KEL. SUNGAI JAWI</v>
      </c>
      <c r="O1379" s="16" t="str">
        <f>IFERROR(__xludf.DUMMYFUNCTION("""COMPUTED_VALUE"""),"KEC. PONTIANAK KOTA")</f>
        <v>KEC. PONTIANAK KOTA</v>
      </c>
      <c r="P1379" s="16" t="str">
        <f>IFERROR(__xludf.DUMMYFUNCTION("""COMPUTED_VALUE"""),"KOTA PONTIANAK")</f>
        <v>KOTA PONTIANAK</v>
      </c>
      <c r="Q1379" s="16" t="str">
        <f>IFERROR(__xludf.DUMMYFUNCTION("""COMPUTED_VALUE"""),"KALIMANTAN BARAT")</f>
        <v>KALIMANTAN BARAT</v>
      </c>
      <c r="R1379" s="19" t="str">
        <f>IFERROR(__xludf.DUMMYFUNCTION("""COMPUTED_VALUE"""),"ISLAM")</f>
        <v>ISLAM</v>
      </c>
      <c r="S1379" s="16" t="str">
        <f>IFERROR(__xludf.DUMMYFUNCTION("""COMPUTED_VALUE"""),"PELAJAR/MAHASISWA")</f>
        <v>PELAJAR/MAHASISWA</v>
      </c>
      <c r="T1379" s="16" t="str">
        <f>IFERROR(__xludf.DUMMYFUNCTION("""COMPUTED_VALUE"""),"Asimtris")</f>
        <v>Asimtris</v>
      </c>
      <c r="U1379" s="16" t="str">
        <f>IFERROR(__xludf.DUMMYFUNCTION("""COMPUTED_VALUE"""),"Di rumah")</f>
        <v>Di rumah</v>
      </c>
      <c r="V1379" s="11" t="str">
        <f>IFERROR(__xludf.DUMMYFUNCTION("""COMPUTED_VALUE"""),"082157797746")</f>
        <v>082157797746</v>
      </c>
      <c r="W1379" s="15"/>
    </row>
    <row r="1380" ht="22.5" customHeight="1">
      <c r="A1380" s="8"/>
      <c r="B1380" s="9">
        <f>IFERROR(__xludf.DUMMYFUNCTION("""COMPUTED_VALUE"""),45431.84557152778)</f>
        <v>45431.84557</v>
      </c>
      <c r="C1380" s="9"/>
      <c r="D1380" s="34">
        <f>IFERROR(__xludf.DUMMYFUNCTION("""COMPUTED_VALUE"""),45441.0)</f>
        <v>45441</v>
      </c>
      <c r="E1380" s="34" t="str">
        <f>IFERROR(__xludf.DUMMYFUNCTION("""COMPUTED_VALUE"""),"05Mei")</f>
        <v>05Mei</v>
      </c>
      <c r="F1380" s="34" t="str">
        <f>IFERROR(__xludf.DUMMYFUNCTION("""COMPUTED_VALUE"""),"2024")</f>
        <v>2024</v>
      </c>
      <c r="G1380" s="16" t="str">
        <f>IFERROR(__xludf.DUMMYFUNCTION("""COMPUTED_VALUE"""),"RAFI ACHMAD JULIANNIZAR")</f>
        <v>RAFI ACHMAD JULIANNIZAR</v>
      </c>
      <c r="H1380" s="17" t="str">
        <f>IFERROR(__xludf.DUMMYFUNCTION("""COMPUTED_VALUE"""),"R0724054977")</f>
        <v>R0724054977</v>
      </c>
      <c r="I1380" s="17">
        <f>IFERROR(__xludf.DUMMYFUNCTION("""COMPUTED_VALUE"""),18.0)</f>
        <v>18</v>
      </c>
      <c r="J1380" s="17" t="str">
        <f>IFERROR(__xludf.DUMMYFUNCTION("""COMPUTED_VALUE"""),"&lt; 18 tahun")</f>
        <v>&lt; 18 tahun</v>
      </c>
      <c r="K1380" s="19">
        <f>IFERROR(__xludf.DUMMYFUNCTION("""COMPUTED_VALUE"""),39283.0)</f>
        <v>39283</v>
      </c>
      <c r="L1380" s="19" t="str">
        <f>IFERROR(__xludf.DUMMYFUNCTION("""COMPUTED_VALUE"""),"LAKI-LAKI")</f>
        <v>LAKI-LAKI</v>
      </c>
      <c r="M1380" s="35" t="str">
        <f>IFERROR(__xludf.DUMMYFUNCTION("""COMPUTED_VALUE"""),"JL. TABRANI AHMAD GG. SETARA NO. E6")</f>
        <v>JL. TABRANI AHMAD GG. SETARA NO. E6</v>
      </c>
      <c r="N1380" s="16" t="str">
        <f>IFERROR(__xludf.DUMMYFUNCTION("""COMPUTED_VALUE"""),"KEL. SUNGAI JAWI DALAM")</f>
        <v>KEL. SUNGAI JAWI DALAM</v>
      </c>
      <c r="O1380" s="16" t="str">
        <f>IFERROR(__xludf.DUMMYFUNCTION("""COMPUTED_VALUE"""),"KEC. PONTIANAK BARAT")</f>
        <v>KEC. PONTIANAK BARAT</v>
      </c>
      <c r="P1380" s="16" t="str">
        <f>IFERROR(__xludf.DUMMYFUNCTION("""COMPUTED_VALUE"""),"KOTA PONTIANAK")</f>
        <v>KOTA PONTIANAK</v>
      </c>
      <c r="Q1380" s="16" t="str">
        <f>IFERROR(__xludf.DUMMYFUNCTION("""COMPUTED_VALUE"""),"KALIMANTAN BARAT")</f>
        <v>KALIMANTAN BARAT</v>
      </c>
      <c r="R1380" s="19" t="str">
        <f>IFERROR(__xludf.DUMMYFUNCTION("""COMPUTED_VALUE"""),"ISLAM")</f>
        <v>ISLAM</v>
      </c>
      <c r="S1380" s="16" t="str">
        <f>IFERROR(__xludf.DUMMYFUNCTION("""COMPUTED_VALUE"""),"RUMAH TANGGA")</f>
        <v>RUMAH TANGGA</v>
      </c>
      <c r="T1380" s="16" t="str">
        <f>IFERROR(__xludf.DUMMYFUNCTION("""COMPUTED_VALUE"""),"Sakit di tit kaki sudah hampir 1 bulan")</f>
        <v>Sakit di tit kaki sudah hampir 1 bulan</v>
      </c>
      <c r="U1380" s="16" t="str">
        <f>IFERROR(__xludf.DUMMYFUNCTION("""COMPUTED_VALUE"""),"Olahraga taekwondo")</f>
        <v>Olahraga taekwondo</v>
      </c>
      <c r="V1380" s="11" t="str">
        <f>IFERROR(__xludf.DUMMYFUNCTION("""COMPUTED_VALUE"""),"085752124977")</f>
        <v>085752124977</v>
      </c>
      <c r="W1380" s="15"/>
    </row>
    <row r="1381" ht="22.5" customHeight="1">
      <c r="A1381" s="8"/>
      <c r="B1381" s="9">
        <f>IFERROR(__xludf.DUMMYFUNCTION("""COMPUTED_VALUE"""),45434.61912200232)</f>
        <v>45434.61912</v>
      </c>
      <c r="C1381" s="9"/>
      <c r="D1381" s="34">
        <f>IFERROR(__xludf.DUMMYFUNCTION("""COMPUTED_VALUE"""),45441.0)</f>
        <v>45441</v>
      </c>
      <c r="E1381" s="34" t="str">
        <f>IFERROR(__xludf.DUMMYFUNCTION("""COMPUTED_VALUE"""),"05Mei")</f>
        <v>05Mei</v>
      </c>
      <c r="F1381" s="34" t="str">
        <f>IFERROR(__xludf.DUMMYFUNCTION("""COMPUTED_VALUE"""),"2024")</f>
        <v>2024</v>
      </c>
      <c r="G1381" s="16" t="str">
        <f>IFERROR(__xludf.DUMMYFUNCTION("""COMPUTED_VALUE"""),"BOY SIANIPAR")</f>
        <v>BOY SIANIPAR</v>
      </c>
      <c r="H1381" s="17" t="str">
        <f>IFERROR(__xludf.DUMMYFUNCTION("""COMPUTED_VALUE"""),"B9524053190")</f>
        <v>B9524053190</v>
      </c>
      <c r="I1381" s="17">
        <f>IFERROR(__xludf.DUMMYFUNCTION("""COMPUTED_VALUE"""),30.0)</f>
        <v>30</v>
      </c>
      <c r="J1381" s="17" t="str">
        <f>IFERROR(__xludf.DUMMYFUNCTION("""COMPUTED_VALUE"""),"25-34 tahun")</f>
        <v>25-34 tahun</v>
      </c>
      <c r="K1381" s="19">
        <f>IFERROR(__xludf.DUMMYFUNCTION("""COMPUTED_VALUE"""),34885.0)</f>
        <v>34885</v>
      </c>
      <c r="L1381" s="19" t="str">
        <f>IFERROR(__xludf.DUMMYFUNCTION("""COMPUTED_VALUE"""),"LAKI-LAKI")</f>
        <v>LAKI-LAKI</v>
      </c>
      <c r="M1381" s="35" t="str">
        <f>IFERROR(__xludf.DUMMYFUNCTION("""COMPUTED_VALUE"""),"JLN TANJUNG PURA NO. 20")</f>
        <v>JLN TANJUNG PURA NO. 20</v>
      </c>
      <c r="N1381" s="16" t="str">
        <f>IFERROR(__xludf.DUMMYFUNCTION("""COMPUTED_VALUE"""),"KEL. BENUA MELAYU DARAT")</f>
        <v>KEL. BENUA MELAYU DARAT</v>
      </c>
      <c r="O1381" s="16" t="str">
        <f>IFERROR(__xludf.DUMMYFUNCTION("""COMPUTED_VALUE"""),"KEC. PONTIANAK SELATAN")</f>
        <v>KEC. PONTIANAK SELATAN</v>
      </c>
      <c r="P1381" s="16" t="str">
        <f>IFERROR(__xludf.DUMMYFUNCTION("""COMPUTED_VALUE"""),"KOTA PONTIANAK")</f>
        <v>KOTA PONTIANAK</v>
      </c>
      <c r="Q1381" s="16" t="str">
        <f>IFERROR(__xludf.DUMMYFUNCTION("""COMPUTED_VALUE"""),"KALIMANTAN BARAT")</f>
        <v>KALIMANTAN BARAT</v>
      </c>
      <c r="R1381" s="19" t="str">
        <f>IFERROR(__xludf.DUMMYFUNCTION("""COMPUTED_VALUE"""),"LAINNYA")</f>
        <v>LAINNYA</v>
      </c>
      <c r="S1381" s="16" t="str">
        <f>IFERROR(__xludf.DUMMYFUNCTION("""COMPUTED_VALUE"""),"TIDAK ADA")</f>
        <v>TIDAK ADA</v>
      </c>
      <c r="T1381" s="16" t="str">
        <f>IFERROR(__xludf.DUMMYFUNCTION("""COMPUTED_VALUE"""),"Forzen shoulder")</f>
        <v>Forzen shoulder</v>
      </c>
      <c r="U1381" s="16" t="str">
        <f>IFERROR(__xludf.DUMMYFUNCTION("""COMPUTED_VALUE"""),"Main mobile legend")</f>
        <v>Main mobile legend</v>
      </c>
      <c r="V1381" s="11" t="str">
        <f>IFERROR(__xludf.DUMMYFUNCTION("""COMPUTED_VALUE"""),"085654913190")</f>
        <v>085654913190</v>
      </c>
      <c r="W1381" s="15"/>
    </row>
    <row r="1382" ht="22.5" customHeight="1">
      <c r="A1382" s="8"/>
      <c r="B1382" s="9">
        <f>IFERROR(__xludf.DUMMYFUNCTION("""COMPUTED_VALUE"""),45434.87212354167)</f>
        <v>45434.87212</v>
      </c>
      <c r="C1382" s="9"/>
      <c r="D1382" s="34">
        <f>IFERROR(__xludf.DUMMYFUNCTION("""COMPUTED_VALUE"""),45442.0)</f>
        <v>45442</v>
      </c>
      <c r="E1382" s="34" t="str">
        <f>IFERROR(__xludf.DUMMYFUNCTION("""COMPUTED_VALUE"""),"05Mei")</f>
        <v>05Mei</v>
      </c>
      <c r="F1382" s="34" t="str">
        <f>IFERROR(__xludf.DUMMYFUNCTION("""COMPUTED_VALUE"""),"2024")</f>
        <v>2024</v>
      </c>
      <c r="G1382" s="16" t="str">
        <f>IFERROR(__xludf.DUMMYFUNCTION("""COMPUTED_VALUE"""),"KARNELA")</f>
        <v>KARNELA</v>
      </c>
      <c r="H1382" s="17" t="str">
        <f>IFERROR(__xludf.DUMMYFUNCTION("""COMPUTED_VALUE"""),"K8824050066")</f>
        <v>K8824050066</v>
      </c>
      <c r="I1382" s="17">
        <f>IFERROR(__xludf.DUMMYFUNCTION("""COMPUTED_VALUE"""),38.0)</f>
        <v>38</v>
      </c>
      <c r="J1382" s="17" t="str">
        <f>IFERROR(__xludf.DUMMYFUNCTION("""COMPUTED_VALUE"""),"35-44 tahun")</f>
        <v>35-44 tahun</v>
      </c>
      <c r="K1382" s="19">
        <f>IFERROR(__xludf.DUMMYFUNCTION("""COMPUTED_VALUE"""),32254.0)</f>
        <v>32254</v>
      </c>
      <c r="L1382" s="19" t="str">
        <f>IFERROR(__xludf.DUMMYFUNCTION("""COMPUTED_VALUE"""),"PEREMPUAN")</f>
        <v>PEREMPUAN</v>
      </c>
      <c r="M1382" s="35" t="str">
        <f>IFERROR(__xludf.DUMMYFUNCTION("""COMPUTED_VALUE"""),"JL KOM YOS SUDARSO GG SINGOSARI 6 NO 14")</f>
        <v>JL KOM YOS SUDARSO GG SINGOSARI 6 NO 14</v>
      </c>
      <c r="N1382" s="16" t="str">
        <f>IFERROR(__xludf.DUMMYFUNCTION("""COMPUTED_VALUE"""),"KEL. SUNGAI BELIUNG")</f>
        <v>KEL. SUNGAI BELIUNG</v>
      </c>
      <c r="O1382" s="16" t="str">
        <f>IFERROR(__xludf.DUMMYFUNCTION("""COMPUTED_VALUE"""),"KEC. PONTIANAK BARAT")</f>
        <v>KEC. PONTIANAK BARAT</v>
      </c>
      <c r="P1382" s="16" t="str">
        <f>IFERROR(__xludf.DUMMYFUNCTION("""COMPUTED_VALUE"""),"KOTA PONTIANAK")</f>
        <v>KOTA PONTIANAK</v>
      </c>
      <c r="Q1382" s="16" t="str">
        <f>IFERROR(__xludf.DUMMYFUNCTION("""COMPUTED_VALUE"""),"KALIMANTAN BARAT")</f>
        <v>KALIMANTAN BARAT</v>
      </c>
      <c r="R1382" s="19" t="str">
        <f>IFERROR(__xludf.DUMMYFUNCTION("""COMPUTED_VALUE"""),"ISLAM")</f>
        <v>ISLAM</v>
      </c>
      <c r="S1382" s="16" t="str">
        <f>IFERROR(__xludf.DUMMYFUNCTION("""COMPUTED_VALUE"""),"ASN")</f>
        <v>ASN</v>
      </c>
      <c r="T1382" s="16" t="str">
        <f>IFERROR(__xludf.DUMMYFUNCTION("""COMPUTED_VALUE"""),"Cedera krn badminton")</f>
        <v>Cedera krn badminton</v>
      </c>
      <c r="U1382" s="16" t="str">
        <f>IFERROR(__xludf.DUMMYFUNCTION("""COMPUTED_VALUE"""),"Lari dan badminton")</f>
        <v>Lari dan badminton</v>
      </c>
      <c r="V1382" s="11" t="str">
        <f>IFERROR(__xludf.DUMMYFUNCTION("""COMPUTED_VALUE"""),"081319180066")</f>
        <v>081319180066</v>
      </c>
      <c r="W1382" s="15"/>
    </row>
    <row r="1383" ht="22.5" customHeight="1">
      <c r="A1383" s="8"/>
      <c r="B1383" s="9">
        <f>IFERROR(__xludf.DUMMYFUNCTION("""COMPUTED_VALUE"""),45436.64654336806)</f>
        <v>45436.64654</v>
      </c>
      <c r="C1383" s="9"/>
      <c r="D1383" s="34">
        <f>IFERROR(__xludf.DUMMYFUNCTION("""COMPUTED_VALUE"""),45442.0)</f>
        <v>45442</v>
      </c>
      <c r="E1383" s="34" t="str">
        <f>IFERROR(__xludf.DUMMYFUNCTION("""COMPUTED_VALUE"""),"05Mei")</f>
        <v>05Mei</v>
      </c>
      <c r="F1383" s="34" t="str">
        <f>IFERROR(__xludf.DUMMYFUNCTION("""COMPUTED_VALUE"""),"2024")</f>
        <v>2024</v>
      </c>
      <c r="G1383" s="16" t="str">
        <f>IFERROR(__xludf.DUMMYFUNCTION("""COMPUTED_VALUE"""),"LIM SU PIN")</f>
        <v>LIM SU PIN</v>
      </c>
      <c r="H1383" s="17" t="str">
        <f>IFERROR(__xludf.DUMMYFUNCTION("""COMPUTED_VALUE"""),"L7524054495")</f>
        <v>L7524054495</v>
      </c>
      <c r="I1383" s="17">
        <f>IFERROR(__xludf.DUMMYFUNCTION("""COMPUTED_VALUE"""),50.0)</f>
        <v>50</v>
      </c>
      <c r="J1383" s="17" t="str">
        <f>IFERROR(__xludf.DUMMYFUNCTION("""COMPUTED_VALUE"""),"&gt; 44 tahun")</f>
        <v>&gt; 44 tahun</v>
      </c>
      <c r="K1383" s="19">
        <f>IFERROR(__xludf.DUMMYFUNCTION("""COMPUTED_VALUE"""),27679.0)</f>
        <v>27679</v>
      </c>
      <c r="L1383" s="19" t="str">
        <f>IFERROR(__xludf.DUMMYFUNCTION("""COMPUTED_VALUE"""),"PEREMPUAN")</f>
        <v>PEREMPUAN</v>
      </c>
      <c r="M1383" s="35" t="str">
        <f>IFERROR(__xludf.DUMMYFUNCTION("""COMPUTED_VALUE"""),"JL. ADE IRMA SURYANI NO. 12")</f>
        <v>JL. ADE IRMA SURYANI NO. 12</v>
      </c>
      <c r="N1383" s="16" t="str">
        <f>IFERROR(__xludf.DUMMYFUNCTION("""COMPUTED_VALUE"""),"KEL. BENUA MELAYU DARAT")</f>
        <v>KEL. BENUA MELAYU DARAT</v>
      </c>
      <c r="O1383" s="16" t="str">
        <f>IFERROR(__xludf.DUMMYFUNCTION("""COMPUTED_VALUE"""),"KEC. PONTIANAK SELATAN")</f>
        <v>KEC. PONTIANAK SELATAN</v>
      </c>
      <c r="P1383" s="16" t="str">
        <f>IFERROR(__xludf.DUMMYFUNCTION("""COMPUTED_VALUE"""),"KOTA PONTIANAK")</f>
        <v>KOTA PONTIANAK</v>
      </c>
      <c r="Q1383" s="16" t="str">
        <f>IFERROR(__xludf.DUMMYFUNCTION("""COMPUTED_VALUE"""),"KALIMANTAN BARAT")</f>
        <v>KALIMANTAN BARAT</v>
      </c>
      <c r="R1383" s="19" t="str">
        <f>IFERROR(__xludf.DUMMYFUNCTION("""COMPUTED_VALUE"""),"KATOLIK")</f>
        <v>KATOLIK</v>
      </c>
      <c r="S1383" s="16" t="str">
        <f>IFERROR(__xludf.DUMMYFUNCTION("""COMPUTED_VALUE"""),"RUMAH TANGGA")</f>
        <v>RUMAH TANGGA</v>
      </c>
      <c r="T1383" s="16" t="str">
        <f>IFERROR(__xludf.DUMMYFUNCTION("""COMPUTED_VALUE"""),"Saraf kejepit")</f>
        <v>Saraf kejepit</v>
      </c>
      <c r="U1383" s="16" t="str">
        <f>IFERROR(__xludf.DUMMYFUNCTION("""COMPUTED_VALUE"""),"Beres2")</f>
        <v>Beres2</v>
      </c>
      <c r="V1383" s="11" t="str">
        <f>IFERROR(__xludf.DUMMYFUNCTION("""COMPUTED_VALUE"""),"085892534495")</f>
        <v>085892534495</v>
      </c>
      <c r="W1383" s="15"/>
    </row>
    <row r="1384" ht="22.5" customHeight="1">
      <c r="A1384" s="8"/>
      <c r="B1384" s="9">
        <f>IFERROR(__xludf.DUMMYFUNCTION("""COMPUTED_VALUE"""),45437.37666459491)</f>
        <v>45437.37666</v>
      </c>
      <c r="C1384" s="9"/>
      <c r="D1384" s="34">
        <f>IFERROR(__xludf.DUMMYFUNCTION("""COMPUTED_VALUE"""),45443.0)</f>
        <v>45443</v>
      </c>
      <c r="E1384" s="34" t="str">
        <f>IFERROR(__xludf.DUMMYFUNCTION("""COMPUTED_VALUE"""),"05Mei")</f>
        <v>05Mei</v>
      </c>
      <c r="F1384" s="34" t="str">
        <f>IFERROR(__xludf.DUMMYFUNCTION("""COMPUTED_VALUE"""),"2024")</f>
        <v>2024</v>
      </c>
      <c r="G1384" s="16" t="str">
        <f>IFERROR(__xludf.DUMMYFUNCTION("""COMPUTED_VALUE"""),"RINDA ABDILLA")</f>
        <v>RINDA ABDILLA</v>
      </c>
      <c r="H1384" s="17" t="str">
        <f>IFERROR(__xludf.DUMMYFUNCTION("""COMPUTED_VALUE"""),"R9524056100")</f>
        <v>R9524056100</v>
      </c>
      <c r="I1384" s="17">
        <f>IFERROR(__xludf.DUMMYFUNCTION("""COMPUTED_VALUE"""),30.0)</f>
        <v>30</v>
      </c>
      <c r="J1384" s="17" t="str">
        <f>IFERROR(__xludf.DUMMYFUNCTION("""COMPUTED_VALUE"""),"25-34 tahun")</f>
        <v>25-34 tahun</v>
      </c>
      <c r="K1384" s="19">
        <f>IFERROR(__xludf.DUMMYFUNCTION("""COMPUTED_VALUE"""),34934.0)</f>
        <v>34934</v>
      </c>
      <c r="L1384" s="19" t="str">
        <f>IFERROR(__xludf.DUMMYFUNCTION("""COMPUTED_VALUE"""),"LAKI-LAKI")</f>
        <v>LAKI-LAKI</v>
      </c>
      <c r="M1384" s="35" t="str">
        <f>IFERROR(__xludf.DUMMYFUNCTION("""COMPUTED_VALUE"""),"JL.PEMBANGUNAN KOMP INDAHNYA ALAM")</f>
        <v>JL.PEMBANGUNAN KOMP INDAHNYA ALAM</v>
      </c>
      <c r="N1384" s="16" t="str">
        <f>IFERROR(__xludf.DUMMYFUNCTION("""COMPUTED_VALUE"""),"KEL. SUNGAI RENGAS")</f>
        <v>KEL. SUNGAI RENGAS</v>
      </c>
      <c r="O1384" s="16" t="str">
        <f>IFERROR(__xludf.DUMMYFUNCTION("""COMPUTED_VALUE"""),"KEC. SUNGAI KAKAP")</f>
        <v>KEC. SUNGAI KAKAP</v>
      </c>
      <c r="P1384" s="16" t="str">
        <f>IFERROR(__xludf.DUMMYFUNCTION("""COMPUTED_VALUE"""),"KAB. KUBU RAYA")</f>
        <v>KAB. KUBU RAYA</v>
      </c>
      <c r="Q1384" s="16" t="str">
        <f>IFERROR(__xludf.DUMMYFUNCTION("""COMPUTED_VALUE"""),"KALIMANTAN BARAT")</f>
        <v>KALIMANTAN BARAT</v>
      </c>
      <c r="R1384" s="19" t="str">
        <f>IFERROR(__xludf.DUMMYFUNCTION("""COMPUTED_VALUE"""),"ISLAM")</f>
        <v>ISLAM</v>
      </c>
      <c r="S1384" s="16" t="str">
        <f>IFERROR(__xludf.DUMMYFUNCTION("""COMPUTED_VALUE"""),"TIDAK ADA")</f>
        <v>TIDAK ADA</v>
      </c>
      <c r="T1384" s="16" t="str">
        <f>IFERROR(__xludf.DUMMYFUNCTION("""COMPUTED_VALUE"""),".")</f>
        <v>.</v>
      </c>
      <c r="U1384" s="16" t="str">
        <f>IFERROR(__xludf.DUMMYFUNCTION("""COMPUTED_VALUE"""),"Main bola")</f>
        <v>Main bola</v>
      </c>
      <c r="V1384" s="11" t="str">
        <f>IFERROR(__xludf.DUMMYFUNCTION("""COMPUTED_VALUE"""),"085750406100")</f>
        <v>085750406100</v>
      </c>
      <c r="W1384" s="15"/>
    </row>
    <row r="1385" ht="22.5" customHeight="1">
      <c r="A1385" s="8"/>
      <c r="B1385" s="9">
        <f>IFERROR(__xludf.DUMMYFUNCTION("""COMPUTED_VALUE"""),45437.66330623842)</f>
        <v>45437.66331</v>
      </c>
      <c r="C1385" s="9"/>
      <c r="D1385" s="34">
        <f>IFERROR(__xludf.DUMMYFUNCTION("""COMPUTED_VALUE"""),45445.0)</f>
        <v>45445</v>
      </c>
      <c r="E1385" s="34" t="str">
        <f>IFERROR(__xludf.DUMMYFUNCTION("""COMPUTED_VALUE"""),"06Jun")</f>
        <v>06Jun</v>
      </c>
      <c r="F1385" s="34" t="str">
        <f>IFERROR(__xludf.DUMMYFUNCTION("""COMPUTED_VALUE"""),"2024")</f>
        <v>2024</v>
      </c>
      <c r="G1385" s="16" t="str">
        <f>IFERROR(__xludf.DUMMYFUNCTION("""COMPUTED_VALUE"""),"MUHAMMAD FARHAN")</f>
        <v>MUHAMMAD FARHAN</v>
      </c>
      <c r="H1385" s="17" t="str">
        <f>IFERROR(__xludf.DUMMYFUNCTION("""COMPUTED_VALUE"""),"M0224065625")</f>
        <v>M0224065625</v>
      </c>
      <c r="I1385" s="17">
        <f>IFERROR(__xludf.DUMMYFUNCTION("""COMPUTED_VALUE"""),23.0)</f>
        <v>23</v>
      </c>
      <c r="J1385" s="17" t="str">
        <f>IFERROR(__xludf.DUMMYFUNCTION("""COMPUTED_VALUE"""),"18-24 tahun")</f>
        <v>18-24 tahun</v>
      </c>
      <c r="K1385" s="19">
        <f>IFERROR(__xludf.DUMMYFUNCTION("""COMPUTED_VALUE"""),37515.0)</f>
        <v>37515</v>
      </c>
      <c r="L1385" s="19" t="str">
        <f>IFERROR(__xludf.DUMMYFUNCTION("""COMPUTED_VALUE"""),"LAKI-LAKI")</f>
        <v>LAKI-LAKI</v>
      </c>
      <c r="M1385" s="35" t="str">
        <f>IFERROR(__xludf.DUMMYFUNCTION("""COMPUTED_VALUE"""),"JL URAI BAWADI GG RAHAYU NO 23B")</f>
        <v>JL URAI BAWADI GG RAHAYU NO 23B</v>
      </c>
      <c r="N1385" s="16" t="str">
        <f>IFERROR(__xludf.DUMMYFUNCTION("""COMPUTED_VALUE"""),"KEL. SUNGAI BANGKONG")</f>
        <v>KEL. SUNGAI BANGKONG</v>
      </c>
      <c r="O1385" s="16" t="str">
        <f>IFERROR(__xludf.DUMMYFUNCTION("""COMPUTED_VALUE"""),"KEC. PONTIANAK KOTA")</f>
        <v>KEC. PONTIANAK KOTA</v>
      </c>
      <c r="P1385" s="16" t="str">
        <f>IFERROR(__xludf.DUMMYFUNCTION("""COMPUTED_VALUE"""),"KOTA PONTIANAK")</f>
        <v>KOTA PONTIANAK</v>
      </c>
      <c r="Q1385" s="16" t="str">
        <f>IFERROR(__xludf.DUMMYFUNCTION("""COMPUTED_VALUE"""),"KALIMANTAN BARAT")</f>
        <v>KALIMANTAN BARAT</v>
      </c>
      <c r="R1385" s="19" t="str">
        <f>IFERROR(__xludf.DUMMYFUNCTION("""COMPUTED_VALUE"""),"ISLAM")</f>
        <v>ISLAM</v>
      </c>
      <c r="S1385" s="16" t="str">
        <f>IFERROR(__xludf.DUMMYFUNCTION("""COMPUTED_VALUE"""),"PELAJAR/MAHASISWA")</f>
        <v>PELAJAR/MAHASISWA</v>
      </c>
      <c r="T1385" s="16" t="str">
        <f>IFERROR(__xludf.DUMMYFUNCTION("""COMPUTED_VALUE"""),"Nyeri pada kaki sebelah kiri, sudah 1 minggu")</f>
        <v>Nyeri pada kaki sebelah kiri, sudah 1 minggu</v>
      </c>
      <c r="U1385" s="16" t="str">
        <f>IFERROR(__xludf.DUMMYFUNCTION("""COMPUTED_VALUE"""),"Jogging")</f>
        <v>Jogging</v>
      </c>
      <c r="V1385" s="11" t="str">
        <f>IFERROR(__xludf.DUMMYFUNCTION("""COMPUTED_VALUE"""),"081262055625")</f>
        <v>081262055625</v>
      </c>
      <c r="W1385" s="15"/>
    </row>
    <row r="1386" ht="22.5" customHeight="1">
      <c r="A1386" s="8"/>
      <c r="B1386" s="9">
        <f>IFERROR(__xludf.DUMMYFUNCTION("""COMPUTED_VALUE"""),45437.74503361111)</f>
        <v>45437.74503</v>
      </c>
      <c r="C1386" s="9"/>
      <c r="D1386" s="34">
        <f>IFERROR(__xludf.DUMMYFUNCTION("""COMPUTED_VALUE"""),45445.0)</f>
        <v>45445</v>
      </c>
      <c r="E1386" s="34" t="str">
        <f>IFERROR(__xludf.DUMMYFUNCTION("""COMPUTED_VALUE"""),"06Jun")</f>
        <v>06Jun</v>
      </c>
      <c r="F1386" s="34" t="str">
        <f>IFERROR(__xludf.DUMMYFUNCTION("""COMPUTED_VALUE"""),"2024")</f>
        <v>2024</v>
      </c>
      <c r="G1386" s="16" t="str">
        <f>IFERROR(__xludf.DUMMYFUNCTION("""COMPUTED_VALUE"""),"NURUL RAHMAH")</f>
        <v>NURUL RAHMAH</v>
      </c>
      <c r="H1386" s="17" t="str">
        <f>IFERROR(__xludf.DUMMYFUNCTION("""COMPUTED_VALUE"""),"N8624066594")</f>
        <v>N8624066594</v>
      </c>
      <c r="I1386" s="17">
        <f>IFERROR(__xludf.DUMMYFUNCTION("""COMPUTED_VALUE"""),40.0)</f>
        <v>40</v>
      </c>
      <c r="J1386" s="17" t="str">
        <f>IFERROR(__xludf.DUMMYFUNCTION("""COMPUTED_VALUE"""),"35-44 tahun")</f>
        <v>35-44 tahun</v>
      </c>
      <c r="K1386" s="19">
        <f>IFERROR(__xludf.DUMMYFUNCTION("""COMPUTED_VALUE"""),31450.0)</f>
        <v>31450</v>
      </c>
      <c r="L1386" s="19" t="str">
        <f>IFERROR(__xludf.DUMMYFUNCTION("""COMPUTED_VALUE"""),"PEREMPUAN")</f>
        <v>PEREMPUAN</v>
      </c>
      <c r="M1386" s="35" t="str">
        <f>IFERROR(__xludf.DUMMYFUNCTION("""COMPUTED_VALUE"""),"JL. HUSIN HAMZAH GG. HASANAH NO 5")</f>
        <v>JL. HUSIN HAMZAH GG. HASANAH NO 5</v>
      </c>
      <c r="N1386" s="16" t="str">
        <f>IFERROR(__xludf.DUMMYFUNCTION("""COMPUTED_VALUE"""),"KEL. SUNGAI JAWI DALAM")</f>
        <v>KEL. SUNGAI JAWI DALAM</v>
      </c>
      <c r="O1386" s="16" t="str">
        <f>IFERROR(__xludf.DUMMYFUNCTION("""COMPUTED_VALUE"""),"KEC. PONTIANAK BARAT")</f>
        <v>KEC. PONTIANAK BARAT</v>
      </c>
      <c r="P1386" s="16" t="str">
        <f>IFERROR(__xludf.DUMMYFUNCTION("""COMPUTED_VALUE"""),"KOTA PONTIANAK")</f>
        <v>KOTA PONTIANAK</v>
      </c>
      <c r="Q1386" s="16" t="str">
        <f>IFERROR(__xludf.DUMMYFUNCTION("""COMPUTED_VALUE"""),"KALIMANTAN BARAT")</f>
        <v>KALIMANTAN BARAT</v>
      </c>
      <c r="R1386" s="19" t="str">
        <f>IFERROR(__xludf.DUMMYFUNCTION("""COMPUTED_VALUE"""),"ISLAM")</f>
        <v>ISLAM</v>
      </c>
      <c r="S1386" s="16" t="str">
        <f>IFERROR(__xludf.DUMMYFUNCTION("""COMPUTED_VALUE"""),"WIRASWASTA")</f>
        <v>WIRASWASTA</v>
      </c>
      <c r="T1386" s="16" t="str">
        <f>IFERROR(__xludf.DUMMYFUNCTION("""COMPUTED_VALUE"""),"Kram dan kesemutan pada tangan kanan, sakit di bagian dada kiri, skg masih batuk berlendir dan pagi pagi pilek , pas hamil 7-8 bulan tensi naik 142-144, kondisi skg lagi hamil hpl di awal bulan juni 2024.")</f>
        <v>Kram dan kesemutan pada tangan kanan, sakit di bagian dada kiri, skg masih batuk berlendir dan pagi pagi pilek , pas hamil 7-8 bulan tensi naik 142-144, kondisi skg lagi hamil hpl di awal bulan juni 2024.</v>
      </c>
      <c r="U1386" s="16" t="str">
        <f>IFERROR(__xludf.DUMMYFUNCTION("""COMPUTED_VALUE"""),"Kerja, sjg lagi cuti dr tgl 9 mei")</f>
        <v>Kerja, sjg lagi cuti dr tgl 9 mei</v>
      </c>
      <c r="V1386" s="11" t="str">
        <f>IFERROR(__xludf.DUMMYFUNCTION("""COMPUTED_VALUE"""),"0895374726594")</f>
        <v>0895374726594</v>
      </c>
      <c r="W1386" s="15"/>
    </row>
    <row r="1387" ht="22.5" customHeight="1">
      <c r="A1387" s="28"/>
      <c r="B1387" s="9">
        <f>IFERROR(__xludf.DUMMYFUNCTION("""COMPUTED_VALUE"""),45438.40218409723)</f>
        <v>45438.40218</v>
      </c>
      <c r="C1387" s="9"/>
      <c r="D1387" s="34">
        <f>IFERROR(__xludf.DUMMYFUNCTION("""COMPUTED_VALUE"""),45446.0)</f>
        <v>45446</v>
      </c>
      <c r="E1387" s="34" t="str">
        <f>IFERROR(__xludf.DUMMYFUNCTION("""COMPUTED_VALUE"""),"06Jun")</f>
        <v>06Jun</v>
      </c>
      <c r="F1387" s="34" t="str">
        <f>IFERROR(__xludf.DUMMYFUNCTION("""COMPUTED_VALUE"""),"2024")</f>
        <v>2024</v>
      </c>
      <c r="G1387" s="35" t="str">
        <f>IFERROR(__xludf.DUMMYFUNCTION("""COMPUTED_VALUE"""),"ISMED")</f>
        <v>ISMED</v>
      </c>
      <c r="H1387" s="17" t="str">
        <f>IFERROR(__xludf.DUMMYFUNCTION("""COMPUTED_VALUE"""),"I7624067150")</f>
        <v>I7624067150</v>
      </c>
      <c r="I1387" s="17">
        <f>IFERROR(__xludf.DUMMYFUNCTION("""COMPUTED_VALUE"""),49.0)</f>
        <v>49</v>
      </c>
      <c r="J1387" s="17" t="str">
        <f>IFERROR(__xludf.DUMMYFUNCTION("""COMPUTED_VALUE"""),"&gt; 44 tahun")</f>
        <v>&gt; 44 tahun</v>
      </c>
      <c r="K1387" s="19">
        <f>IFERROR(__xludf.DUMMYFUNCTION("""COMPUTED_VALUE"""),28064.0)</f>
        <v>28064</v>
      </c>
      <c r="L1387" s="19" t="str">
        <f>IFERROR(__xludf.DUMMYFUNCTION("""COMPUTED_VALUE"""),"LAKI-LAKI")</f>
        <v>LAKI-LAKI</v>
      </c>
      <c r="M1387" s="35" t="str">
        <f>IFERROR(__xludf.DUMMYFUNCTION("""COMPUTED_VALUE"""),"JL. P NATAKUSUMA GG. KARANG ANYAR NO.103")</f>
        <v>JL. P NATAKUSUMA GG. KARANG ANYAR NO.103</v>
      </c>
      <c r="N1387" s="16" t="str">
        <f>IFERROR(__xludf.DUMMYFUNCTION("""COMPUTED_VALUE"""),"KEL. SUNGAI BANGKONG")</f>
        <v>KEL. SUNGAI BANGKONG</v>
      </c>
      <c r="O1387" s="16" t="str">
        <f>IFERROR(__xludf.DUMMYFUNCTION("""COMPUTED_VALUE"""),"KEC. PONTIANAK KOTA")</f>
        <v>KEC. PONTIANAK KOTA</v>
      </c>
      <c r="P1387" s="16" t="str">
        <f>IFERROR(__xludf.DUMMYFUNCTION("""COMPUTED_VALUE"""),"KOTA PONTIANAK")</f>
        <v>KOTA PONTIANAK</v>
      </c>
      <c r="Q1387" s="16" t="str">
        <f>IFERROR(__xludf.DUMMYFUNCTION("""COMPUTED_VALUE"""),"KALIMANTAN BARAT")</f>
        <v>KALIMANTAN BARAT</v>
      </c>
      <c r="R1387" s="19" t="str">
        <f>IFERROR(__xludf.DUMMYFUNCTION("""COMPUTED_VALUE"""),"ISLAM")</f>
        <v>ISLAM</v>
      </c>
      <c r="S1387" s="16" t="str">
        <f>IFERROR(__xludf.DUMMYFUNCTION("""COMPUTED_VALUE"""),"BUMN")</f>
        <v>BUMN</v>
      </c>
      <c r="T1387" s="16" t="str">
        <f>IFERROR(__xludf.DUMMYFUNCTION("""COMPUTED_VALUE"""),"NYERI DI PINGGANG DAN PUNGGUNG")</f>
        <v>NYERI DI PINGGANG DAN PUNGGUNG</v>
      </c>
      <c r="U1387" s="16" t="str">
        <f>IFERROR(__xludf.DUMMYFUNCTION("""COMPUTED_VALUE"""),"RUNNING")</f>
        <v>RUNNING</v>
      </c>
      <c r="V1387" s="11" t="str">
        <f>IFERROR(__xludf.DUMMYFUNCTION("""COMPUTED_VALUE"""),"08125707150")</f>
        <v>08125707150</v>
      </c>
      <c r="W1387" s="15"/>
    </row>
    <row r="1388" ht="22.5" customHeight="1">
      <c r="A1388" s="8"/>
      <c r="B1388" s="9">
        <f>IFERROR(__xludf.DUMMYFUNCTION("""COMPUTED_VALUE"""),45438.78968613426)</f>
        <v>45438.78969</v>
      </c>
      <c r="C1388" s="9"/>
      <c r="D1388" s="34">
        <f>IFERROR(__xludf.DUMMYFUNCTION("""COMPUTED_VALUE"""),45446.0)</f>
        <v>45446</v>
      </c>
      <c r="E1388" s="34" t="str">
        <f>IFERROR(__xludf.DUMMYFUNCTION("""COMPUTED_VALUE"""),"06Jun")</f>
        <v>06Jun</v>
      </c>
      <c r="F1388" s="34" t="str">
        <f>IFERROR(__xludf.DUMMYFUNCTION("""COMPUTED_VALUE"""),"2024")</f>
        <v>2024</v>
      </c>
      <c r="G1388" s="35" t="str">
        <f>IFERROR(__xludf.DUMMYFUNCTION("""COMPUTED_VALUE"""),"VONNY")</f>
        <v>VONNY</v>
      </c>
      <c r="H1388" s="17" t="str">
        <f>IFERROR(__xludf.DUMMYFUNCTION("""COMPUTED_VALUE"""),"V8724060900")</f>
        <v>V8724060900</v>
      </c>
      <c r="I1388" s="17">
        <f>IFERROR(__xludf.DUMMYFUNCTION("""COMPUTED_VALUE"""),39.0)</f>
        <v>39</v>
      </c>
      <c r="J1388" s="17" t="str">
        <f>IFERROR(__xludf.DUMMYFUNCTION("""COMPUTED_VALUE"""),"35-44 tahun")</f>
        <v>35-44 tahun</v>
      </c>
      <c r="K1388" s="19">
        <f>IFERROR(__xludf.DUMMYFUNCTION("""COMPUTED_VALUE"""),31930.0)</f>
        <v>31930</v>
      </c>
      <c r="L1388" s="19" t="str">
        <f>IFERROR(__xludf.DUMMYFUNCTION("""COMPUTED_VALUE"""),"PEREMPUAN")</f>
        <v>PEREMPUAN</v>
      </c>
      <c r="M1388" s="35" t="str">
        <f>IFERROR(__xludf.DUMMYFUNCTION("""COMPUTED_VALUE"""),"LETJEN SOEPRAPTO 6")</f>
        <v>LETJEN SOEPRAPTO 6</v>
      </c>
      <c r="N1388" s="16" t="str">
        <f>IFERROR(__xludf.DUMMYFUNCTION("""COMPUTED_VALUE"""),"KEL. BENUA MELAYU DARAT")</f>
        <v>KEL. BENUA MELAYU DARAT</v>
      </c>
      <c r="O1388" s="16" t="str">
        <f>IFERROR(__xludf.DUMMYFUNCTION("""COMPUTED_VALUE"""),"KEC. PONTIANAK SELATAN")</f>
        <v>KEC. PONTIANAK SELATAN</v>
      </c>
      <c r="P1388" s="16" t="str">
        <f>IFERROR(__xludf.DUMMYFUNCTION("""COMPUTED_VALUE"""),"KOTA PONTIANAK")</f>
        <v>KOTA PONTIANAK</v>
      </c>
      <c r="Q1388" s="16" t="str">
        <f>IFERROR(__xludf.DUMMYFUNCTION("""COMPUTED_VALUE"""),"KALIMANTAN BARAT")</f>
        <v>KALIMANTAN BARAT</v>
      </c>
      <c r="R1388" s="19" t="str">
        <f>IFERROR(__xludf.DUMMYFUNCTION("""COMPUTED_VALUE"""),"KATOLIK")</f>
        <v>KATOLIK</v>
      </c>
      <c r="S1388" s="16" t="str">
        <f>IFERROR(__xludf.DUMMYFUNCTION("""COMPUTED_VALUE"""),"RUMAH TANGGA")</f>
        <v>RUMAH TANGGA</v>
      </c>
      <c r="T1388" s="16" t="str">
        <f>IFERROR(__xludf.DUMMYFUNCTION("""COMPUTED_VALUE"""),"Pergelangan tangan ad ngilu")</f>
        <v>Pergelangan tangan ad ngilu</v>
      </c>
      <c r="U1388" s="16" t="str">
        <f>IFERROR(__xludf.DUMMYFUNCTION("""COMPUTED_VALUE"""),"Tennis")</f>
        <v>Tennis</v>
      </c>
      <c r="V1388" s="11" t="str">
        <f>IFERROR(__xludf.DUMMYFUNCTION("""COMPUTED_VALUE"""),"089696900900")</f>
        <v>089696900900</v>
      </c>
      <c r="W1388" s="15"/>
    </row>
    <row r="1389" ht="22.5" customHeight="1">
      <c r="A1389" s="8"/>
      <c r="B1389" s="9">
        <f>IFERROR(__xludf.DUMMYFUNCTION("""COMPUTED_VALUE"""),45438.87254611111)</f>
        <v>45438.87255</v>
      </c>
      <c r="C1389" s="9"/>
      <c r="D1389" s="34">
        <f>IFERROR(__xludf.DUMMYFUNCTION("""COMPUTED_VALUE"""),45446.0)</f>
        <v>45446</v>
      </c>
      <c r="E1389" s="34" t="str">
        <f>IFERROR(__xludf.DUMMYFUNCTION("""COMPUTED_VALUE"""),"06Jun")</f>
        <v>06Jun</v>
      </c>
      <c r="F1389" s="34" t="str">
        <f>IFERROR(__xludf.DUMMYFUNCTION("""COMPUTED_VALUE"""),"2024")</f>
        <v>2024</v>
      </c>
      <c r="G1389" s="35" t="str">
        <f>IFERROR(__xludf.DUMMYFUNCTION("""COMPUTED_VALUE"""),"NURHAYATI 57")</f>
        <v>NURHAYATI 57</v>
      </c>
      <c r="H1389" s="17" t="str">
        <f>IFERROR(__xludf.DUMMYFUNCTION("""COMPUTED_VALUE"""),"N6624068771")</f>
        <v>N6624068771</v>
      </c>
      <c r="I1389" s="17">
        <f>IFERROR(__xludf.DUMMYFUNCTION("""COMPUTED_VALUE"""),59.0)</f>
        <v>59</v>
      </c>
      <c r="J1389" s="17" t="str">
        <f>IFERROR(__xludf.DUMMYFUNCTION("""COMPUTED_VALUE"""),"&gt; 44 tahun")</f>
        <v>&gt; 44 tahun</v>
      </c>
      <c r="K1389" s="19">
        <f>IFERROR(__xludf.DUMMYFUNCTION("""COMPUTED_VALUE"""),24293.0)</f>
        <v>24293</v>
      </c>
      <c r="L1389" s="19" t="str">
        <f>IFERROR(__xludf.DUMMYFUNCTION("""COMPUTED_VALUE"""),"PEREMPUAN")</f>
        <v>PEREMPUAN</v>
      </c>
      <c r="M1389" s="35" t="str">
        <f>IFERROR(__xludf.DUMMYFUNCTION("""COMPUTED_VALUE"""),"JL.BAKRI")</f>
        <v>JL.BAKRI</v>
      </c>
      <c r="N1389" s="16" t="str">
        <f>IFERROR(__xludf.DUMMYFUNCTION("""COMPUTED_VALUE"""),"KEL. BANYORANG")</f>
        <v>KEL. BANYORANG</v>
      </c>
      <c r="O1389" s="16" t="str">
        <f>IFERROR(__xludf.DUMMYFUNCTION("""COMPUTED_VALUE"""),"KEC. TOMPOBULU")</f>
        <v>KEC. TOMPOBULU</v>
      </c>
      <c r="P1389" s="16" t="str">
        <f>IFERROR(__xludf.DUMMYFUNCTION("""COMPUTED_VALUE"""),"KAB. BANTAENG")</f>
        <v>KAB. BANTAENG</v>
      </c>
      <c r="Q1389" s="16" t="str">
        <f>IFERROR(__xludf.DUMMYFUNCTION("""COMPUTED_VALUE"""),"SULAWESI SELATAN")</f>
        <v>SULAWESI SELATAN</v>
      </c>
      <c r="R1389" s="19" t="str">
        <f>IFERROR(__xludf.DUMMYFUNCTION("""COMPUTED_VALUE"""),"ISLAM")</f>
        <v>ISLAM</v>
      </c>
      <c r="S1389" s="16" t="str">
        <f>IFERROR(__xludf.DUMMYFUNCTION("""COMPUTED_VALUE"""),"RUMAH TANGGA")</f>
        <v>RUMAH TANGGA</v>
      </c>
      <c r="T1389" s="16" t="str">
        <f>IFERROR(__xludf.DUMMYFUNCTION("""COMPUTED_VALUE"""),"SAKIT DIBAHU,PERNAH JATUH")</f>
        <v>SAKIT DIBAHU,PERNAH JATUH</v>
      </c>
      <c r="U1389" s="16" t="str">
        <f>IFERROR(__xludf.DUMMYFUNCTION("""COMPUTED_VALUE"""),"IBU RUMAH TANGGA")</f>
        <v>IBU RUMAH TANGGA</v>
      </c>
      <c r="V1389" s="11" t="str">
        <f>IFERROR(__xludf.DUMMYFUNCTION("""COMPUTED_VALUE"""),"0895702718771")</f>
        <v>0895702718771</v>
      </c>
      <c r="W1389" s="15"/>
    </row>
    <row r="1390" ht="22.5" customHeight="1">
      <c r="A1390" s="8"/>
      <c r="B1390" s="9">
        <f>IFERROR(__xludf.DUMMYFUNCTION("""COMPUTED_VALUE"""),45439.40115091435)</f>
        <v>45439.40115</v>
      </c>
      <c r="C1390" s="9"/>
      <c r="D1390" s="34">
        <f>IFERROR(__xludf.DUMMYFUNCTION("""COMPUTED_VALUE"""),45446.0)</f>
        <v>45446</v>
      </c>
      <c r="E1390" s="34" t="str">
        <f>IFERROR(__xludf.DUMMYFUNCTION("""COMPUTED_VALUE"""),"06Jun")</f>
        <v>06Jun</v>
      </c>
      <c r="F1390" s="34" t="str">
        <f>IFERROR(__xludf.DUMMYFUNCTION("""COMPUTED_VALUE"""),"2024")</f>
        <v>2024</v>
      </c>
      <c r="G1390" s="35" t="str">
        <f>IFERROR(__xludf.DUMMYFUNCTION("""COMPUTED_VALUE"""),"IMAM FADHIL AKBAR")</f>
        <v>IMAM FADHIL AKBAR</v>
      </c>
      <c r="H1390" s="17" t="str">
        <f>IFERROR(__xludf.DUMMYFUNCTION("""COMPUTED_VALUE"""),"I0624068921")</f>
        <v>I0624068921</v>
      </c>
      <c r="I1390" s="17">
        <f>IFERROR(__xludf.DUMMYFUNCTION("""COMPUTED_VALUE"""),20.0)</f>
        <v>20</v>
      </c>
      <c r="J1390" s="17" t="str">
        <f>IFERROR(__xludf.DUMMYFUNCTION("""COMPUTED_VALUE"""),"18-24 tahun")</f>
        <v>18-24 tahun</v>
      </c>
      <c r="K1390" s="19">
        <f>IFERROR(__xludf.DUMMYFUNCTION("""COMPUTED_VALUE"""),38727.0)</f>
        <v>38727</v>
      </c>
      <c r="L1390" s="19" t="str">
        <f>IFERROR(__xludf.DUMMYFUNCTION("""COMPUTED_VALUE"""),"LAKI-LAKI")</f>
        <v>LAKI-LAKI</v>
      </c>
      <c r="M1390" s="35" t="str">
        <f>IFERROR(__xludf.DUMMYFUNCTION("""COMPUTED_VALUE"""),"JL.ANGKASA PURA, RT 013/RW 005, KAB. KAPUAS HULU")</f>
        <v>JL.ANGKASA PURA, RT 013/RW 005, KAB. KAPUAS HULU</v>
      </c>
      <c r="N1390" s="16" t="str">
        <f>IFERROR(__xludf.DUMMYFUNCTION("""COMPUTED_VALUE"""),"KEL. KEDAMIN HULU")</f>
        <v>KEL. KEDAMIN HULU</v>
      </c>
      <c r="O1390" s="16" t="str">
        <f>IFERROR(__xludf.DUMMYFUNCTION("""COMPUTED_VALUE"""),"KEC. PUTUSSIBAU SELATAN")</f>
        <v>KEC. PUTUSSIBAU SELATAN</v>
      </c>
      <c r="P1390" s="16" t="str">
        <f>IFERROR(__xludf.DUMMYFUNCTION("""COMPUTED_VALUE"""),"KAB. KAPUAS HULU")</f>
        <v>KAB. KAPUAS HULU</v>
      </c>
      <c r="Q1390" s="16" t="str">
        <f>IFERROR(__xludf.DUMMYFUNCTION("""COMPUTED_VALUE"""),"KALIMANTAN BARAT")</f>
        <v>KALIMANTAN BARAT</v>
      </c>
      <c r="R1390" s="19" t="str">
        <f>IFERROR(__xludf.DUMMYFUNCTION("""COMPUTED_VALUE"""),"ISLAM")</f>
        <v>ISLAM</v>
      </c>
      <c r="S1390" s="16" t="str">
        <f>IFERROR(__xludf.DUMMYFUNCTION("""COMPUTED_VALUE"""),"TIDAK ADA")</f>
        <v>TIDAK ADA</v>
      </c>
      <c r="T1390" s="16" t="str">
        <f>IFERROR(__xludf.DUMMYFUNCTION("""COMPUTED_VALUE"""),"KAKI X")</f>
        <v>KAKI X</v>
      </c>
      <c r="U1390" s="16" t="str">
        <f>IFERROR(__xludf.DUMMYFUNCTION("""COMPUTED_VALUE"""),"futsal")</f>
        <v>futsal</v>
      </c>
      <c r="V1390" s="11" t="str">
        <f>IFERROR(__xludf.DUMMYFUNCTION("""COMPUTED_VALUE"""),"085822448921")</f>
        <v>085822448921</v>
      </c>
      <c r="W1390" s="15"/>
    </row>
    <row r="1391" ht="22.5" customHeight="1">
      <c r="A1391" s="8"/>
      <c r="B1391" s="9">
        <f>IFERROR(__xludf.DUMMYFUNCTION("""COMPUTED_VALUE"""),45438.46592324074)</f>
        <v>45438.46592</v>
      </c>
      <c r="C1391" s="9"/>
      <c r="D1391" s="34">
        <f>IFERROR(__xludf.DUMMYFUNCTION("""COMPUTED_VALUE"""),45446.0)</f>
        <v>45446</v>
      </c>
      <c r="E1391" s="34" t="str">
        <f>IFERROR(__xludf.DUMMYFUNCTION("""COMPUTED_VALUE"""),"06Jun")</f>
        <v>06Jun</v>
      </c>
      <c r="F1391" s="34" t="str">
        <f>IFERROR(__xludf.DUMMYFUNCTION("""COMPUTED_VALUE"""),"2024")</f>
        <v>2024</v>
      </c>
      <c r="G1391" s="35" t="str">
        <f>IFERROR(__xludf.DUMMYFUNCTION("""COMPUTED_VALUE"""),"ANGELINA LARASATI")</f>
        <v>ANGELINA LARASATI</v>
      </c>
      <c r="H1391" s="17" t="str">
        <f>IFERROR(__xludf.DUMMYFUNCTION("""COMPUTED_VALUE"""),"A9424067121")</f>
        <v>A9424067121</v>
      </c>
      <c r="I1391" s="17">
        <f>IFERROR(__xludf.DUMMYFUNCTION("""COMPUTED_VALUE"""),32.0)</f>
        <v>32</v>
      </c>
      <c r="J1391" s="17" t="str">
        <f>IFERROR(__xludf.DUMMYFUNCTION("""COMPUTED_VALUE"""),"25-34 tahun")</f>
        <v>25-34 tahun</v>
      </c>
      <c r="K1391" s="19">
        <f>IFERROR(__xludf.DUMMYFUNCTION("""COMPUTED_VALUE"""),34468.0)</f>
        <v>34468</v>
      </c>
      <c r="L1391" s="19" t="str">
        <f>IFERROR(__xludf.DUMMYFUNCTION("""COMPUTED_VALUE"""),"PEREMPUAN")</f>
        <v>PEREMPUAN</v>
      </c>
      <c r="M1391" s="35" t="str">
        <f>IFERROR(__xludf.DUMMYFUNCTION("""COMPUTED_VALUE"""),"JALAN PANGERAN NATAKUSUMA GG KARANGANYAR NO 16")</f>
        <v>JALAN PANGERAN NATAKUSUMA GG KARANGANYAR NO 16</v>
      </c>
      <c r="N1391" s="16" t="str">
        <f>IFERROR(__xludf.DUMMYFUNCTION("""COMPUTED_VALUE"""),"KEL. SUNGAI BANGKONG")</f>
        <v>KEL. SUNGAI BANGKONG</v>
      </c>
      <c r="O1391" s="16" t="str">
        <f>IFERROR(__xludf.DUMMYFUNCTION("""COMPUTED_VALUE"""),"KEC. PONTIANAK KOTA")</f>
        <v>KEC. PONTIANAK KOTA</v>
      </c>
      <c r="P1391" s="16" t="str">
        <f>IFERROR(__xludf.DUMMYFUNCTION("""COMPUTED_VALUE"""),"KOTA PONTIANAK")</f>
        <v>KOTA PONTIANAK</v>
      </c>
      <c r="Q1391" s="16" t="str">
        <f>IFERROR(__xludf.DUMMYFUNCTION("""COMPUTED_VALUE"""),"KALIMANTAN BARAT")</f>
        <v>KALIMANTAN BARAT</v>
      </c>
      <c r="R1391" s="19" t="str">
        <f>IFERROR(__xludf.DUMMYFUNCTION("""COMPUTED_VALUE"""),"ISLAM")</f>
        <v>ISLAM</v>
      </c>
      <c r="S1391" s="16" t="str">
        <f>IFERROR(__xludf.DUMMYFUNCTION("""COMPUTED_VALUE"""),"DOSEN/GURU")</f>
        <v>DOSEN/GURU</v>
      </c>
      <c r="T1391" s="16" t="str">
        <f>IFERROR(__xludf.DUMMYFUNCTION("""COMPUTED_VALUE"""),"Paha kiri sakit")</f>
        <v>Paha kiri sakit</v>
      </c>
      <c r="U1391" s="16" t="str">
        <f>IFERROR(__xludf.DUMMYFUNCTION("""COMPUTED_VALUE"""),"Ngajar")</f>
        <v>Ngajar</v>
      </c>
      <c r="V1391" s="11" t="str">
        <f>IFERROR(__xludf.DUMMYFUNCTION("""COMPUTED_VALUE"""),"082255197121")</f>
        <v>082255197121</v>
      </c>
      <c r="W1391" s="15"/>
    </row>
    <row r="1392" ht="22.5" customHeight="1">
      <c r="A1392" s="8"/>
      <c r="B1392" s="9">
        <f>IFERROR(__xludf.DUMMYFUNCTION("""COMPUTED_VALUE"""),45439.64546600694)</f>
        <v>45439.64547</v>
      </c>
      <c r="C1392" s="9"/>
      <c r="D1392" s="34">
        <f>IFERROR(__xludf.DUMMYFUNCTION("""COMPUTED_VALUE"""),45446.0)</f>
        <v>45446</v>
      </c>
      <c r="E1392" s="34" t="str">
        <f>IFERROR(__xludf.DUMMYFUNCTION("""COMPUTED_VALUE"""),"06Jun")</f>
        <v>06Jun</v>
      </c>
      <c r="F1392" s="34" t="str">
        <f>IFERROR(__xludf.DUMMYFUNCTION("""COMPUTED_VALUE"""),"2024")</f>
        <v>2024</v>
      </c>
      <c r="G1392" s="35" t="str">
        <f>IFERROR(__xludf.DUMMYFUNCTION("""COMPUTED_VALUE"""),"ROBERTO ANTONIUS GULTOM")</f>
        <v>ROBERTO ANTONIUS GULTOM</v>
      </c>
      <c r="H1392" s="17" t="str">
        <f>IFERROR(__xludf.DUMMYFUNCTION("""COMPUTED_VALUE"""),"R9524061985")</f>
        <v>R9524061985</v>
      </c>
      <c r="I1392" s="17">
        <f>IFERROR(__xludf.DUMMYFUNCTION("""COMPUTED_VALUE"""),30.0)</f>
        <v>30</v>
      </c>
      <c r="J1392" s="17" t="str">
        <f>IFERROR(__xludf.DUMMYFUNCTION("""COMPUTED_VALUE"""),"25-34 tahun")</f>
        <v>25-34 tahun</v>
      </c>
      <c r="K1392" s="19">
        <f>IFERROR(__xludf.DUMMYFUNCTION("""COMPUTED_VALUE"""),34970.0)</f>
        <v>34970</v>
      </c>
      <c r="L1392" s="19" t="str">
        <f>IFERROR(__xludf.DUMMYFUNCTION("""COMPUTED_VALUE"""),"LAKI-LAKI")</f>
        <v>LAKI-LAKI</v>
      </c>
      <c r="M1392" s="35" t="str">
        <f>IFERROR(__xludf.DUMMYFUNCTION("""COMPUTED_VALUE"""),"JL SAWO JALUR 2 NO.38")</f>
        <v>JL SAWO JALUR 2 NO.38</v>
      </c>
      <c r="N1392" s="16" t="str">
        <f>IFERROR(__xludf.DUMMYFUNCTION("""COMPUTED_VALUE"""),"KEL. SUNGAI JAWI LUAR")</f>
        <v>KEL. SUNGAI JAWI LUAR</v>
      </c>
      <c r="O1392" s="16" t="str">
        <f>IFERROR(__xludf.DUMMYFUNCTION("""COMPUTED_VALUE"""),"KEC. PONTIANAK BARAT")</f>
        <v>KEC. PONTIANAK BARAT</v>
      </c>
      <c r="P1392" s="16" t="str">
        <f>IFERROR(__xludf.DUMMYFUNCTION("""COMPUTED_VALUE"""),"KOTA PONTIANAK")</f>
        <v>KOTA PONTIANAK</v>
      </c>
      <c r="Q1392" s="16" t="str">
        <f>IFERROR(__xludf.DUMMYFUNCTION("""COMPUTED_VALUE"""),"KALIMANTAN BARAT")</f>
        <v>KALIMANTAN BARAT</v>
      </c>
      <c r="R1392" s="19" t="str">
        <f>IFERROR(__xludf.DUMMYFUNCTION("""COMPUTED_VALUE"""),"PROTESTAN")</f>
        <v>PROTESTAN</v>
      </c>
      <c r="S1392" s="16" t="str">
        <f>IFERROR(__xludf.DUMMYFUNCTION("""COMPUTED_VALUE"""),"SWASTA")</f>
        <v>SWASTA</v>
      </c>
      <c r="T1392" s="16" t="str">
        <f>IFERROR(__xludf.DUMMYFUNCTION("""COMPUTED_VALUE"""),"Sprain Ankle")</f>
        <v>Sprain Ankle</v>
      </c>
      <c r="U1392" s="16" t="str">
        <f>IFERROR(__xludf.DUMMYFUNCTION("""COMPUTED_VALUE"""),"Jogging")</f>
        <v>Jogging</v>
      </c>
      <c r="V1392" s="11" t="str">
        <f>IFERROR(__xludf.DUMMYFUNCTION("""COMPUTED_VALUE"""),"089689331985")</f>
        <v>089689331985</v>
      </c>
      <c r="W1392" s="15"/>
    </row>
    <row r="1393" ht="22.5" customHeight="1">
      <c r="A1393" s="8"/>
      <c r="B1393" s="9">
        <f>IFERROR(__xludf.DUMMYFUNCTION("""COMPUTED_VALUE"""),45440.394802083334)</f>
        <v>45440.3948</v>
      </c>
      <c r="C1393" s="9"/>
      <c r="D1393" s="34">
        <f>IFERROR(__xludf.DUMMYFUNCTION("""COMPUTED_VALUE"""),45446.862375729164)</f>
        <v>45446.86238</v>
      </c>
      <c r="E1393" s="34" t="str">
        <f>IFERROR(__xludf.DUMMYFUNCTION("""COMPUTED_VALUE"""),"06Jun")</f>
        <v>06Jun</v>
      </c>
      <c r="F1393" s="34" t="str">
        <f>IFERROR(__xludf.DUMMYFUNCTION("""COMPUTED_VALUE"""),"2024")</f>
        <v>2024</v>
      </c>
      <c r="G1393" s="35" t="str">
        <f>IFERROR(__xludf.DUMMYFUNCTION("""COMPUTED_VALUE"""),"GILAR LUKMANUDDIN MUSTIKA")</f>
        <v>GILAR LUKMANUDDIN MUSTIKA</v>
      </c>
      <c r="H1393" s="17" t="str">
        <f>IFERROR(__xludf.DUMMYFUNCTION("""COMPUTED_VALUE"""),"G8624062324")</f>
        <v>G8624062324</v>
      </c>
      <c r="I1393" s="17">
        <f>IFERROR(__xludf.DUMMYFUNCTION("""COMPUTED_VALUE"""),40.0)</f>
        <v>40</v>
      </c>
      <c r="J1393" s="17" t="str">
        <f>IFERROR(__xludf.DUMMYFUNCTION("""COMPUTED_VALUE"""),"35-44 tahun")</f>
        <v>35-44 tahun</v>
      </c>
      <c r="K1393" s="19">
        <f>IFERROR(__xludf.DUMMYFUNCTION("""COMPUTED_VALUE"""),31463.0)</f>
        <v>31463</v>
      </c>
      <c r="L1393" s="19" t="str">
        <f>IFERROR(__xludf.DUMMYFUNCTION("""COMPUTED_VALUE"""),"LAKI-LAKI")</f>
        <v>LAKI-LAKI</v>
      </c>
      <c r="M1393" s="35" t="str">
        <f>IFERROR(__xludf.DUMMYFUNCTION("""COMPUTED_VALUE"""),"KANDANG MENJANGAN")</f>
        <v>KANDANG MENJANGAN</v>
      </c>
      <c r="N1393" s="16" t="str">
        <f>IFERROR(__xludf.DUMMYFUNCTION("""COMPUTED_VALUE"""),"KEL. PUCANGAN")</f>
        <v>KEL. PUCANGAN</v>
      </c>
      <c r="O1393" s="16" t="str">
        <f>IFERROR(__xludf.DUMMYFUNCTION("""COMPUTED_VALUE"""),"KEC. KARTASURA")</f>
        <v>KEC. KARTASURA</v>
      </c>
      <c r="P1393" s="16" t="str">
        <f>IFERROR(__xludf.DUMMYFUNCTION("""COMPUTED_VALUE"""),"KOTA SUKOHARJO")</f>
        <v>KOTA SUKOHARJO</v>
      </c>
      <c r="Q1393" s="16" t="str">
        <f>IFERROR(__xludf.DUMMYFUNCTION("""COMPUTED_VALUE"""),"JAWA TENGAH")</f>
        <v>JAWA TENGAH</v>
      </c>
      <c r="R1393" s="19" t="str">
        <f>IFERROR(__xludf.DUMMYFUNCTION("""COMPUTED_VALUE"""),"ISLAM")</f>
        <v>ISLAM</v>
      </c>
      <c r="S1393" s="16" t="str">
        <f>IFERROR(__xludf.DUMMYFUNCTION("""COMPUTED_VALUE"""),"TNI/POLRI")</f>
        <v>TNI/POLRI</v>
      </c>
      <c r="T1393" s="16" t="str">
        <f>IFERROR(__xludf.DUMMYFUNCTION("""COMPUTED_VALUE"""),"Sakit belakang dan samping sebalah kanan")</f>
        <v>Sakit belakang dan samping sebalah kanan</v>
      </c>
      <c r="U1393" s="16" t="str">
        <f>IFERROR(__xludf.DUMMYFUNCTION("""COMPUTED_VALUE"""),"Olahraga")</f>
        <v>Olahraga</v>
      </c>
      <c r="V1393" s="11" t="str">
        <f>IFERROR(__xludf.DUMMYFUNCTION("""COMPUTED_VALUE"""),"082199162324")</f>
        <v>082199162324</v>
      </c>
      <c r="W1393" s="15"/>
    </row>
    <row r="1394" ht="22.5" customHeight="1">
      <c r="A1394" s="8"/>
      <c r="B1394" s="9">
        <f>IFERROR(__xludf.DUMMYFUNCTION("""COMPUTED_VALUE"""),45440.414899270836)</f>
        <v>45440.4149</v>
      </c>
      <c r="C1394" s="9"/>
      <c r="D1394" s="34">
        <f>IFERROR(__xludf.DUMMYFUNCTION("""COMPUTED_VALUE"""),45447.0)</f>
        <v>45447</v>
      </c>
      <c r="E1394" s="34" t="str">
        <f>IFERROR(__xludf.DUMMYFUNCTION("""COMPUTED_VALUE"""),"06Jun")</f>
        <v>06Jun</v>
      </c>
      <c r="F1394" s="34" t="str">
        <f>IFERROR(__xludf.DUMMYFUNCTION("""COMPUTED_VALUE"""),"2024")</f>
        <v>2024</v>
      </c>
      <c r="G1394" s="35" t="str">
        <f>IFERROR(__xludf.DUMMYFUNCTION("""COMPUTED_VALUE"""),"WIDODO")</f>
        <v>WIDODO</v>
      </c>
      <c r="H1394" s="17" t="str">
        <f>IFERROR(__xludf.DUMMYFUNCTION("""COMPUTED_VALUE"""),"W9624066949")</f>
        <v>W9624066949</v>
      </c>
      <c r="I1394" s="17">
        <f>IFERROR(__xludf.DUMMYFUNCTION("""COMPUTED_VALUE"""),29.0)</f>
        <v>29</v>
      </c>
      <c r="J1394" s="17" t="str">
        <f>IFERROR(__xludf.DUMMYFUNCTION("""COMPUTED_VALUE"""),"25-34 tahun")</f>
        <v>25-34 tahun</v>
      </c>
      <c r="K1394" s="19">
        <f>IFERROR(__xludf.DUMMYFUNCTION("""COMPUTED_VALUE"""),35247.0)</f>
        <v>35247</v>
      </c>
      <c r="L1394" s="19" t="str">
        <f>IFERROR(__xludf.DUMMYFUNCTION("""COMPUTED_VALUE"""),"LAKI-LAKI")</f>
        <v>LAKI-LAKI</v>
      </c>
      <c r="M1394" s="35" t="str">
        <f>IFERROR(__xludf.DUMMYFUNCTION("""COMPUTED_VALUE"""),"JALAN RAYA AMBARAWA DESA AMBARAWA")</f>
        <v>JALAN RAYA AMBARAWA DESA AMBARAWA</v>
      </c>
      <c r="N1394" s="16" t="str">
        <f>IFERROR(__xludf.DUMMYFUNCTION("""COMPUTED_VALUE"""),"DS. AMBARAWA")</f>
        <v>DS. AMBARAWA</v>
      </c>
      <c r="O1394" s="16" t="str">
        <f>IFERROR(__xludf.DUMMYFUNCTION("""COMPUTED_VALUE"""),"KEC. BATU AMPAR")</f>
        <v>KEC. BATU AMPAR</v>
      </c>
      <c r="P1394" s="16" t="str">
        <f>IFERROR(__xludf.DUMMYFUNCTION("""COMPUTED_VALUE"""),"KAB. KUBU RAYA")</f>
        <v>KAB. KUBU RAYA</v>
      </c>
      <c r="Q1394" s="16" t="str">
        <f>IFERROR(__xludf.DUMMYFUNCTION("""COMPUTED_VALUE"""),"KALIMANTAN BARAT")</f>
        <v>KALIMANTAN BARAT</v>
      </c>
      <c r="R1394" s="19" t="str">
        <f>IFERROR(__xludf.DUMMYFUNCTION("""COMPUTED_VALUE"""),"ISLAM")</f>
        <v>ISLAM</v>
      </c>
      <c r="S1394" s="16" t="str">
        <f>IFERROR(__xludf.DUMMYFUNCTION("""COMPUTED_VALUE"""),"TENAGA HONOR")</f>
        <v>TENAGA HONOR</v>
      </c>
      <c r="T1394" s="16" t="str">
        <f>IFERROR(__xludf.DUMMYFUNCTION("""COMPUTED_VALUE"""),"cidera bagian dalam")</f>
        <v>cidera bagian dalam</v>
      </c>
      <c r="U1394" s="16" t="str">
        <f>IFERROR(__xludf.DUMMYFUNCTION("""COMPUTED_VALUE"""),"sepak bola")</f>
        <v>sepak bola</v>
      </c>
      <c r="V1394" s="11" t="str">
        <f>IFERROR(__xludf.DUMMYFUNCTION("""COMPUTED_VALUE"""),"085750046949")</f>
        <v>085750046949</v>
      </c>
      <c r="W1394" s="15"/>
    </row>
    <row r="1395" ht="22.5" customHeight="1">
      <c r="A1395" s="8"/>
      <c r="B1395" s="9">
        <f>IFERROR(__xludf.DUMMYFUNCTION("""COMPUTED_VALUE"""),45441.589747465274)</f>
        <v>45441.58975</v>
      </c>
      <c r="C1395" s="9"/>
      <c r="D1395" s="34">
        <f>IFERROR(__xludf.DUMMYFUNCTION("""COMPUTED_VALUE"""),45447.0)</f>
        <v>45447</v>
      </c>
      <c r="E1395" s="34" t="str">
        <f>IFERROR(__xludf.DUMMYFUNCTION("""COMPUTED_VALUE"""),"06Jun")</f>
        <v>06Jun</v>
      </c>
      <c r="F1395" s="34" t="str">
        <f>IFERROR(__xludf.DUMMYFUNCTION("""COMPUTED_VALUE"""),"2024")</f>
        <v>2024</v>
      </c>
      <c r="G1395" s="35" t="str">
        <f>IFERROR(__xludf.DUMMYFUNCTION("""COMPUTED_VALUE"""),"GUSTI ADZAHARI ARDIMA")</f>
        <v>GUSTI ADZAHARI ARDIMA</v>
      </c>
      <c r="H1395" s="17" t="str">
        <f>IFERROR(__xludf.DUMMYFUNCTION("""COMPUTED_VALUE"""),"G0424068167")</f>
        <v>G0424068167</v>
      </c>
      <c r="I1395" s="17">
        <f>IFERROR(__xludf.DUMMYFUNCTION("""COMPUTED_VALUE"""),21.0)</f>
        <v>21</v>
      </c>
      <c r="J1395" s="17" t="str">
        <f>IFERROR(__xludf.DUMMYFUNCTION("""COMPUTED_VALUE"""),"18-24 tahun")</f>
        <v>18-24 tahun</v>
      </c>
      <c r="K1395" s="19">
        <f>IFERROR(__xludf.DUMMYFUNCTION("""COMPUTED_VALUE"""),38241.0)</f>
        <v>38241</v>
      </c>
      <c r="L1395" s="19" t="str">
        <f>IFERROR(__xludf.DUMMYFUNCTION("""COMPUTED_VALUE"""),"LAKI-LAKI")</f>
        <v>LAKI-LAKI</v>
      </c>
      <c r="M1395" s="35" t="str">
        <f>IFERROR(__xludf.DUMMYFUNCTION("""COMPUTED_VALUE"""),"JALAN MANGGA")</f>
        <v>JALAN MANGGA</v>
      </c>
      <c r="N1395" s="16" t="str">
        <f>IFERROR(__xludf.DUMMYFUNCTION("""COMPUTED_VALUE"""),"DS. MUNGGUK")</f>
        <v>DS. MUNGGUK</v>
      </c>
      <c r="O1395" s="16" t="str">
        <f>IFERROR(__xludf.DUMMYFUNCTION("""COMPUTED_VALUE"""),"KEC. SEKADAU HILIR")</f>
        <v>KEC. SEKADAU HILIR</v>
      </c>
      <c r="P1395" s="16" t="str">
        <f>IFERROR(__xludf.DUMMYFUNCTION("""COMPUTED_VALUE"""),"KAB. SEKADAU")</f>
        <v>KAB. SEKADAU</v>
      </c>
      <c r="Q1395" s="16" t="str">
        <f>IFERROR(__xludf.DUMMYFUNCTION("""COMPUTED_VALUE"""),"KALIMANTAN BARAT")</f>
        <v>KALIMANTAN BARAT</v>
      </c>
      <c r="R1395" s="19" t="str">
        <f>IFERROR(__xludf.DUMMYFUNCTION("""COMPUTED_VALUE"""),"ISLAM")</f>
        <v>ISLAM</v>
      </c>
      <c r="S1395" s="16" t="str">
        <f>IFERROR(__xludf.DUMMYFUNCTION("""COMPUTED_VALUE"""),"PELAJAR/MAHASISWA")</f>
        <v>PELAJAR/MAHASISWA</v>
      </c>
      <c r="T1395" s="16" t="str">
        <f>IFERROR(__xludf.DUMMYFUNCTION("""COMPUTED_VALUE"""),"Sakit di bagian")</f>
        <v>Sakit di bagian</v>
      </c>
      <c r="U1395" s="16" t="str">
        <f>IFERROR(__xludf.DUMMYFUNCTION("""COMPUTED_VALUE"""),"Olahraga")</f>
        <v>Olahraga</v>
      </c>
      <c r="V1395" s="11" t="str">
        <f>IFERROR(__xludf.DUMMYFUNCTION("""COMPUTED_VALUE"""),"0895397138167")</f>
        <v>0895397138167</v>
      </c>
      <c r="W1395" s="15"/>
    </row>
    <row r="1396" ht="22.5" customHeight="1">
      <c r="A1396" s="8"/>
      <c r="B1396" s="9" t="str">
        <f>IFERROR(__xludf.DUMMYFUNCTION("""COMPUTED_VALUE"""),"RAFFASYA TA")</f>
        <v>RAFFASYA TA</v>
      </c>
      <c r="C1396" s="9"/>
      <c r="D1396" s="34">
        <f>IFERROR(__xludf.DUMMYFUNCTION("""COMPUTED_VALUE"""),45447.0)</f>
        <v>45447</v>
      </c>
      <c r="E1396" s="34" t="str">
        <f>IFERROR(__xludf.DUMMYFUNCTION("""COMPUTED_VALUE"""),"06Jun")</f>
        <v>06Jun</v>
      </c>
      <c r="F1396" s="34" t="str">
        <f>IFERROR(__xludf.DUMMYFUNCTION("""COMPUTED_VALUE"""),"2024")</f>
        <v>2024</v>
      </c>
      <c r="G1396" s="35" t="str">
        <f>IFERROR(__xludf.DUMMYFUNCTION("""COMPUTED_VALUE"""),"MAS WARDANI")</f>
        <v>MAS WARDANI</v>
      </c>
      <c r="H1396" s="17" t="str">
        <f>IFERROR(__xludf.DUMMYFUNCTION("""COMPUTED_VALUE"""),"M5724067745")</f>
        <v>M5724067745</v>
      </c>
      <c r="I1396" s="17">
        <f>IFERROR(__xludf.DUMMYFUNCTION("""COMPUTED_VALUE"""),68.0)</f>
        <v>68</v>
      </c>
      <c r="J1396" s="17" t="str">
        <f>IFERROR(__xludf.DUMMYFUNCTION("""COMPUTED_VALUE"""),"&gt; 44 tahun")</f>
        <v>&gt; 44 tahun</v>
      </c>
      <c r="K1396" s="19">
        <f>IFERROR(__xludf.DUMMYFUNCTION("""COMPUTED_VALUE"""),21126.0)</f>
        <v>21126</v>
      </c>
      <c r="L1396" s="19" t="str">
        <f>IFERROR(__xludf.DUMMYFUNCTION("""COMPUTED_VALUE"""),"PEREMPUAN")</f>
        <v>PEREMPUAN</v>
      </c>
      <c r="M1396" s="35" t="str">
        <f>IFERROR(__xludf.DUMMYFUNCTION("""COMPUTED_VALUE"""),"JL.KARYA BAKTI NO 37")</f>
        <v>JL.KARYA BAKTI NO 37</v>
      </c>
      <c r="N1396" s="16" t="str">
        <f>IFERROR(__xludf.DUMMYFUNCTION("""COMPUTED_VALUE"""),"KEL. AKCAYA")</f>
        <v>KEL. AKCAYA</v>
      </c>
      <c r="O1396" s="16" t="str">
        <f>IFERROR(__xludf.DUMMYFUNCTION("""COMPUTED_VALUE"""),"KEC. PONTIANAK SELATAN")</f>
        <v>KEC. PONTIANAK SELATAN</v>
      </c>
      <c r="P1396" s="16" t="str">
        <f>IFERROR(__xludf.DUMMYFUNCTION("""COMPUTED_VALUE"""),"KOTA PONTIANAK")</f>
        <v>KOTA PONTIANAK</v>
      </c>
      <c r="Q1396" s="16" t="str">
        <f>IFERROR(__xludf.DUMMYFUNCTION("""COMPUTED_VALUE"""),"KALIMANTAN BARAT")</f>
        <v>KALIMANTAN BARAT</v>
      </c>
      <c r="R1396" s="19" t="str">
        <f>IFERROR(__xludf.DUMMYFUNCTION("""COMPUTED_VALUE"""),"ISLAM")</f>
        <v>ISLAM</v>
      </c>
      <c r="S1396" s="16" t="str">
        <f>IFERROR(__xludf.DUMMYFUNCTION("""COMPUTED_VALUE"""),"PENSIUN")</f>
        <v>PENSIUN</v>
      </c>
      <c r="T1396" s="16" t="str">
        <f>IFERROR(__xludf.DUMMYFUNCTION("""COMPUTED_VALUE"""),"Nyeri bokong kesemutan kaki")</f>
        <v>Nyeri bokong kesemutan kaki</v>
      </c>
      <c r="U1396" s="16" t="str">
        <f>IFERROR(__xludf.DUMMYFUNCTION("""COMPUTED_VALUE"""),"Masak")</f>
        <v>Masak</v>
      </c>
      <c r="V1396" s="11" t="str">
        <f>IFERROR(__xludf.DUMMYFUNCTION("""COMPUTED_VALUE"""),"082152977745")</f>
        <v>082152977745</v>
      </c>
      <c r="W1396" s="15"/>
    </row>
    <row r="1397" ht="22.5" customHeight="1">
      <c r="A1397" s="8"/>
      <c r="B1397" s="9">
        <f>IFERROR(__xludf.DUMMYFUNCTION("""COMPUTED_VALUE"""),45440.65984768519)</f>
        <v>45440.65985</v>
      </c>
      <c r="C1397" s="9"/>
      <c r="D1397" s="34">
        <f>IFERROR(__xludf.DUMMYFUNCTION("""COMPUTED_VALUE"""),45447.0)</f>
        <v>45447</v>
      </c>
      <c r="E1397" s="34" t="str">
        <f>IFERROR(__xludf.DUMMYFUNCTION("""COMPUTED_VALUE"""),"06Jun")</f>
        <v>06Jun</v>
      </c>
      <c r="F1397" s="34" t="str">
        <f>IFERROR(__xludf.DUMMYFUNCTION("""COMPUTED_VALUE"""),"2024")</f>
        <v>2024</v>
      </c>
      <c r="G1397" s="35" t="str">
        <f>IFERROR(__xludf.DUMMYFUNCTION("""COMPUTED_VALUE"""),"SUPANDI")</f>
        <v>SUPANDI</v>
      </c>
      <c r="H1397" s="17" t="str">
        <f>IFERROR(__xludf.DUMMYFUNCTION("""COMPUTED_VALUE"""),"S9624064338")</f>
        <v>S9624064338</v>
      </c>
      <c r="I1397" s="17">
        <f>IFERROR(__xludf.DUMMYFUNCTION("""COMPUTED_VALUE"""),29.0)</f>
        <v>29</v>
      </c>
      <c r="J1397" s="17" t="str">
        <f>IFERROR(__xludf.DUMMYFUNCTION("""COMPUTED_VALUE"""),"25-34 tahun")</f>
        <v>25-34 tahun</v>
      </c>
      <c r="K1397" s="19">
        <f>IFERROR(__xludf.DUMMYFUNCTION("""COMPUTED_VALUE"""),35249.0)</f>
        <v>35249</v>
      </c>
      <c r="L1397" s="19" t="str">
        <f>IFERROR(__xludf.DUMMYFUNCTION("""COMPUTED_VALUE"""),"LAKI-LAKI")</f>
        <v>LAKI-LAKI</v>
      </c>
      <c r="M1397" s="35" t="str">
        <f>IFERROR(__xludf.DUMMYFUNCTION("""COMPUTED_VALUE"""),"JL.KHATULISTIWA GG SAMUDRA")</f>
        <v>JL.KHATULISTIWA GG SAMUDRA</v>
      </c>
      <c r="N1397" s="16" t="str">
        <f>IFERROR(__xludf.DUMMYFUNCTION("""COMPUTED_VALUE"""),"KEL. SIANTAN HILIR")</f>
        <v>KEL. SIANTAN HILIR</v>
      </c>
      <c r="O1397" s="16" t="str">
        <f>IFERROR(__xludf.DUMMYFUNCTION("""COMPUTED_VALUE"""),"KEC. PONTIANAK UTARA")</f>
        <v>KEC. PONTIANAK UTARA</v>
      </c>
      <c r="P1397" s="16" t="str">
        <f>IFERROR(__xludf.DUMMYFUNCTION("""COMPUTED_VALUE"""),"KOTA PONTIANAK")</f>
        <v>KOTA PONTIANAK</v>
      </c>
      <c r="Q1397" s="16" t="str">
        <f>IFERROR(__xludf.DUMMYFUNCTION("""COMPUTED_VALUE"""),"KALIMANTAN BARAT")</f>
        <v>KALIMANTAN BARAT</v>
      </c>
      <c r="R1397" s="19" t="str">
        <f>IFERROR(__xludf.DUMMYFUNCTION("""COMPUTED_VALUE"""),"ISLAM")</f>
        <v>ISLAM</v>
      </c>
      <c r="S1397" s="16" t="str">
        <f>IFERROR(__xludf.DUMMYFUNCTION("""COMPUTED_VALUE"""),"SWASTA")</f>
        <v>SWASTA</v>
      </c>
      <c r="T1397" s="16" t="str">
        <f>IFERROR(__xludf.DUMMYFUNCTION("""COMPUTED_VALUE"""),"KESELEO")</f>
        <v>KESELEO</v>
      </c>
      <c r="U1397" s="16" t="str">
        <f>IFERROR(__xludf.DUMMYFUNCTION("""COMPUTED_VALUE"""),"MAIN BOLA DAN KERJA")</f>
        <v>MAIN BOLA DAN KERJA</v>
      </c>
      <c r="V1397" s="11" t="str">
        <f>IFERROR(__xludf.DUMMYFUNCTION("""COMPUTED_VALUE"""),"089694044338")</f>
        <v>089694044338</v>
      </c>
      <c r="W1397" s="15"/>
    </row>
    <row r="1398" ht="22.5" customHeight="1">
      <c r="A1398" s="28"/>
      <c r="B1398" s="9">
        <f>IFERROR(__xludf.DUMMYFUNCTION("""COMPUTED_VALUE"""),45440.66290540509)</f>
        <v>45440.66291</v>
      </c>
      <c r="C1398" s="9"/>
      <c r="D1398" s="10">
        <f>IFERROR(__xludf.DUMMYFUNCTION("""COMPUTED_VALUE"""),45447.0)</f>
        <v>45447</v>
      </c>
      <c r="E1398" s="10" t="str">
        <f>IFERROR(__xludf.DUMMYFUNCTION("""COMPUTED_VALUE"""),"06Jun")</f>
        <v>06Jun</v>
      </c>
      <c r="F1398" s="10" t="str">
        <f>IFERROR(__xludf.DUMMYFUNCTION("""COMPUTED_VALUE"""),"2024")</f>
        <v>2024</v>
      </c>
      <c r="G1398" s="35" t="str">
        <f>IFERROR(__xludf.DUMMYFUNCTION("""COMPUTED_VALUE"""),"ABU RIZA BAKRI AYATULLAH KHUMAINI")</f>
        <v>ABU RIZA BAKRI AYATULLAH KHUMAINI</v>
      </c>
      <c r="H1398" s="17" t="str">
        <f>IFERROR(__xludf.DUMMYFUNCTION("""COMPUTED_VALUE"""),"A9924066261")</f>
        <v>A9924066261</v>
      </c>
      <c r="I1398" s="17">
        <f>IFERROR(__xludf.DUMMYFUNCTION("""COMPUTED_VALUE"""),27.0)</f>
        <v>27</v>
      </c>
      <c r="J1398" s="17" t="str">
        <f>IFERROR(__xludf.DUMMYFUNCTION("""COMPUTED_VALUE"""),"25-34 tahun")</f>
        <v>25-34 tahun</v>
      </c>
      <c r="K1398" s="19">
        <f>IFERROR(__xludf.DUMMYFUNCTION("""COMPUTED_VALUE"""),36261.0)</f>
        <v>36261</v>
      </c>
      <c r="L1398" s="19" t="str">
        <f>IFERROR(__xludf.DUMMYFUNCTION("""COMPUTED_VALUE"""),"LAKI-LAKI")</f>
        <v>LAKI-LAKI</v>
      </c>
      <c r="M1398" s="35" t="str">
        <f>IFERROR(__xludf.DUMMYFUNCTION("""COMPUTED_VALUE"""),"DUSUN KERAMAT I")</f>
        <v>DUSUN KERAMAT I</v>
      </c>
      <c r="N1398" s="16" t="str">
        <f>IFERROR(__xludf.DUMMYFUNCTION("""COMPUTED_VALUE"""),"DS. KUALA DUA")</f>
        <v>DS. KUALA DUA</v>
      </c>
      <c r="O1398" s="16" t="str">
        <f>IFERROR(__xludf.DUMMYFUNCTION("""COMPUTED_VALUE"""),"KEC. SUNGAI RAYA")</f>
        <v>KEC. SUNGAI RAYA</v>
      </c>
      <c r="P1398" s="16" t="str">
        <f>IFERROR(__xludf.DUMMYFUNCTION("""COMPUTED_VALUE"""),"KAB. KUBU RAYA")</f>
        <v>KAB. KUBU RAYA</v>
      </c>
      <c r="Q1398" s="16" t="str">
        <f>IFERROR(__xludf.DUMMYFUNCTION("""COMPUTED_VALUE"""),"KALIMANTAN BARAT")</f>
        <v>KALIMANTAN BARAT</v>
      </c>
      <c r="R1398" s="19" t="str">
        <f>IFERROR(__xludf.DUMMYFUNCTION("""COMPUTED_VALUE"""),"ISLAM")</f>
        <v>ISLAM</v>
      </c>
      <c r="S1398" s="16" t="str">
        <f>IFERROR(__xludf.DUMMYFUNCTION("""COMPUTED_VALUE"""),"DOSEN/GURU")</f>
        <v>DOSEN/GURU</v>
      </c>
      <c r="T1398" s="16" t="str">
        <f>IFERROR(__xludf.DUMMYFUNCTION("""COMPUTED_VALUE"""),"Cidera pada kiri")</f>
        <v>Cidera pada kiri</v>
      </c>
      <c r="U1398" s="16" t="str">
        <f>IFERROR(__xludf.DUMMYFUNCTION("""COMPUTED_VALUE"""),"Olahraga sepakbola")</f>
        <v>Olahraga sepakbola</v>
      </c>
      <c r="V1398" s="11" t="str">
        <f>IFERROR(__xludf.DUMMYFUNCTION("""COMPUTED_VALUE"""),"089626866261")</f>
        <v>089626866261</v>
      </c>
      <c r="W1398" s="15"/>
    </row>
    <row r="1399" ht="22.5" customHeight="1">
      <c r="A1399" s="8"/>
      <c r="B1399" s="9">
        <f>IFERROR(__xludf.DUMMYFUNCTION("""COMPUTED_VALUE"""),45440.759733969906)</f>
        <v>45440.75973</v>
      </c>
      <c r="C1399" s="9"/>
      <c r="D1399" s="34">
        <f>IFERROR(__xludf.DUMMYFUNCTION("""COMPUTED_VALUE"""),45447.0)</f>
        <v>45447</v>
      </c>
      <c r="E1399" s="34" t="str">
        <f>IFERROR(__xludf.DUMMYFUNCTION("""COMPUTED_VALUE"""),"06Jun")</f>
        <v>06Jun</v>
      </c>
      <c r="F1399" s="34" t="str">
        <f>IFERROR(__xludf.DUMMYFUNCTION("""COMPUTED_VALUE"""),"2024")</f>
        <v>2024</v>
      </c>
      <c r="G1399" s="35" t="str">
        <f>IFERROR(__xludf.DUMMYFUNCTION("""COMPUTED_VALUE"""),"DEDE ADETIA")</f>
        <v>DEDE ADETIA</v>
      </c>
      <c r="H1399" s="17" t="str">
        <f>IFERROR(__xludf.DUMMYFUNCTION("""COMPUTED_VALUE"""),"D0024068247")</f>
        <v>D0024068247</v>
      </c>
      <c r="I1399" s="17">
        <f>IFERROR(__xludf.DUMMYFUNCTION("""COMPUTED_VALUE"""),25.0)</f>
        <v>25</v>
      </c>
      <c r="J1399" s="17" t="str">
        <f>IFERROR(__xludf.DUMMYFUNCTION("""COMPUTED_VALUE"""),"25-34 tahun")</f>
        <v>25-34 tahun</v>
      </c>
      <c r="K1399" s="19">
        <f>IFERROR(__xludf.DUMMYFUNCTION("""COMPUTED_VALUE"""),36784.0)</f>
        <v>36784</v>
      </c>
      <c r="L1399" s="19" t="str">
        <f>IFERROR(__xludf.DUMMYFUNCTION("""COMPUTED_VALUE"""),"LAKI-LAKI")</f>
        <v>LAKI-LAKI</v>
      </c>
      <c r="M1399" s="35" t="str">
        <f>IFERROR(__xludf.DUMMYFUNCTION("""COMPUTED_VALUE"""),"JL. BANDAR LAUT")</f>
        <v>JL. BANDAR LAUT</v>
      </c>
      <c r="N1399" s="16" t="str">
        <f>IFERROR(__xludf.DUMMYFUNCTION("""COMPUTED_VALUE"""),"DS. PESAGUAN KANAN")</f>
        <v>DS. PESAGUAN KANAN</v>
      </c>
      <c r="O1399" s="16" t="str">
        <f>IFERROR(__xludf.DUMMYFUNCTION("""COMPUTED_VALUE"""),"KEC. MATAN HILIR SELATAN")</f>
        <v>KEC. MATAN HILIR SELATAN</v>
      </c>
      <c r="P1399" s="16" t="str">
        <f>IFERROR(__xludf.DUMMYFUNCTION("""COMPUTED_VALUE"""),"KAB. KETAPANG")</f>
        <v>KAB. KETAPANG</v>
      </c>
      <c r="Q1399" s="16" t="str">
        <f>IFERROR(__xludf.DUMMYFUNCTION("""COMPUTED_VALUE"""),"KALIMANTAN BARAT")</f>
        <v>KALIMANTAN BARAT</v>
      </c>
      <c r="R1399" s="19" t="str">
        <f>IFERROR(__xludf.DUMMYFUNCTION("""COMPUTED_VALUE"""),"ISLAM")</f>
        <v>ISLAM</v>
      </c>
      <c r="S1399" s="16" t="str">
        <f>IFERROR(__xludf.DUMMYFUNCTION("""COMPUTED_VALUE"""),"TNI/POLRI")</f>
        <v>TNI/POLRI</v>
      </c>
      <c r="T1399" s="16" t="str">
        <f>IFERROR(__xludf.DUMMYFUNCTION("""COMPUTED_VALUE"""),"geser karena main bola")</f>
        <v>geser karena main bola</v>
      </c>
      <c r="U1399" s="16" t="str">
        <f>IFERROR(__xludf.DUMMYFUNCTION("""COMPUTED_VALUE"""),"Main bola kaki")</f>
        <v>Main bola kaki</v>
      </c>
      <c r="V1399" s="11" t="str">
        <f>IFERROR(__xludf.DUMMYFUNCTION("""COMPUTED_VALUE"""),"089521128247")</f>
        <v>089521128247</v>
      </c>
      <c r="W1399" s="15"/>
    </row>
    <row r="1400" ht="22.5" customHeight="1">
      <c r="A1400" s="8"/>
      <c r="B1400" s="9">
        <f>IFERROR(__xludf.DUMMYFUNCTION("""COMPUTED_VALUE"""),45440.830109375005)</f>
        <v>45440.83011</v>
      </c>
      <c r="C1400" s="9"/>
      <c r="D1400" s="34">
        <f>IFERROR(__xludf.DUMMYFUNCTION("""COMPUTED_VALUE"""),45448.0)</f>
        <v>45448</v>
      </c>
      <c r="E1400" s="34" t="str">
        <f>IFERROR(__xludf.DUMMYFUNCTION("""COMPUTED_VALUE"""),"06Jun")</f>
        <v>06Jun</v>
      </c>
      <c r="F1400" s="34" t="str">
        <f>IFERROR(__xludf.DUMMYFUNCTION("""COMPUTED_VALUE"""),"2024")</f>
        <v>2024</v>
      </c>
      <c r="G1400" s="35" t="str">
        <f>IFERROR(__xludf.DUMMYFUNCTION("""COMPUTED_VALUE"""),"DICKY KURNIAWAN")</f>
        <v>DICKY KURNIAWAN</v>
      </c>
      <c r="H1400" s="17" t="str">
        <f>IFERROR(__xludf.DUMMYFUNCTION("""COMPUTED_VALUE"""),"D9724069980")</f>
        <v>D9724069980</v>
      </c>
      <c r="I1400" s="17">
        <f>IFERROR(__xludf.DUMMYFUNCTION("""COMPUTED_VALUE"""),28.0)</f>
        <v>28</v>
      </c>
      <c r="J1400" s="17" t="str">
        <f>IFERROR(__xludf.DUMMYFUNCTION("""COMPUTED_VALUE"""),"25-34 tahun")</f>
        <v>25-34 tahun</v>
      </c>
      <c r="K1400" s="19">
        <f>IFERROR(__xludf.DUMMYFUNCTION("""COMPUTED_VALUE"""),35638.0)</f>
        <v>35638</v>
      </c>
      <c r="L1400" s="19" t="str">
        <f>IFERROR(__xludf.DUMMYFUNCTION("""COMPUTED_VALUE"""),"LAKI-LAKI")</f>
        <v>LAKI-LAKI</v>
      </c>
      <c r="M1400" s="35" t="str">
        <f>IFERROR(__xludf.DUMMYFUNCTION("""COMPUTED_VALUE"""),"JL. PROF M.YAMIN GG SINAR USAHA NO 23")</f>
        <v>JL. PROF M.YAMIN GG SINAR USAHA NO 23</v>
      </c>
      <c r="N1400" s="16" t="str">
        <f>IFERROR(__xludf.DUMMYFUNCTION("""COMPUTED_VALUE"""),"KEL. AKCAYA")</f>
        <v>KEL. AKCAYA</v>
      </c>
      <c r="O1400" s="16" t="str">
        <f>IFERROR(__xludf.DUMMYFUNCTION("""COMPUTED_VALUE"""),"KEC. PONTIANAK SELATAN")</f>
        <v>KEC. PONTIANAK SELATAN</v>
      </c>
      <c r="P1400" s="16" t="str">
        <f>IFERROR(__xludf.DUMMYFUNCTION("""COMPUTED_VALUE"""),"KOTA PONTIANAK")</f>
        <v>KOTA PONTIANAK</v>
      </c>
      <c r="Q1400" s="16" t="str">
        <f>IFERROR(__xludf.DUMMYFUNCTION("""COMPUTED_VALUE"""),"KALIMANTAN BARAT")</f>
        <v>KALIMANTAN BARAT</v>
      </c>
      <c r="R1400" s="19" t="str">
        <f>IFERROR(__xludf.DUMMYFUNCTION("""COMPUTED_VALUE"""),"ISLAM")</f>
        <v>ISLAM</v>
      </c>
      <c r="S1400" s="16" t="str">
        <f>IFERROR(__xludf.DUMMYFUNCTION("""COMPUTED_VALUE"""),"SWASTA")</f>
        <v>SWASTA</v>
      </c>
      <c r="T1400" s="16" t="str">
        <f>IFERROR(__xludf.DUMMYFUNCTION("""COMPUTED_VALUE"""),"Sakit pinggang")</f>
        <v>Sakit pinggang</v>
      </c>
      <c r="U1400" s="16" t="str">
        <f>IFERROR(__xludf.DUMMYFUNCTION("""COMPUTED_VALUE"""),"Futsal badminton sepeda")</f>
        <v>Futsal badminton sepeda</v>
      </c>
      <c r="V1400" s="11" t="str">
        <f>IFERROR(__xludf.DUMMYFUNCTION("""COMPUTED_VALUE"""),"082148949980")</f>
        <v>082148949980</v>
      </c>
      <c r="W1400" s="15"/>
    </row>
    <row r="1401" ht="22.5" customHeight="1">
      <c r="A1401" s="8"/>
      <c r="B1401" s="9">
        <f>IFERROR(__xludf.DUMMYFUNCTION("""COMPUTED_VALUE"""),45442.448066412035)</f>
        <v>45442.44807</v>
      </c>
      <c r="C1401" s="9"/>
      <c r="D1401" s="34">
        <f>IFERROR(__xludf.DUMMYFUNCTION("""COMPUTED_VALUE"""),45448.0)</f>
        <v>45448</v>
      </c>
      <c r="E1401" s="34" t="str">
        <f>IFERROR(__xludf.DUMMYFUNCTION("""COMPUTED_VALUE"""),"06Jun")</f>
        <v>06Jun</v>
      </c>
      <c r="F1401" s="34" t="str">
        <f>IFERROR(__xludf.DUMMYFUNCTION("""COMPUTED_VALUE"""),"2024")</f>
        <v>2024</v>
      </c>
      <c r="G1401" s="35" t="str">
        <f>IFERROR(__xludf.DUMMYFUNCTION("""COMPUTED_VALUE"""),"MELLY SHILFANI WULANDARI")</f>
        <v>MELLY SHILFANI WULANDARI</v>
      </c>
      <c r="H1401" s="17" t="str">
        <f>IFERROR(__xludf.DUMMYFUNCTION("""COMPUTED_VALUE"""),"M9224060256")</f>
        <v>M9224060256</v>
      </c>
      <c r="I1401" s="17">
        <f>IFERROR(__xludf.DUMMYFUNCTION("""COMPUTED_VALUE"""),34.0)</f>
        <v>34</v>
      </c>
      <c r="J1401" s="17" t="str">
        <f>IFERROR(__xludf.DUMMYFUNCTION("""COMPUTED_VALUE"""),"25-34 tahun")</f>
        <v>25-34 tahun</v>
      </c>
      <c r="K1401" s="19">
        <f>IFERROR(__xludf.DUMMYFUNCTION("""COMPUTED_VALUE"""),33728.0)</f>
        <v>33728</v>
      </c>
      <c r="L1401" s="19" t="str">
        <f>IFERROR(__xludf.DUMMYFUNCTION("""COMPUTED_VALUE"""),"PEREMPUAN")</f>
        <v>PEREMPUAN</v>
      </c>
      <c r="M1401" s="35" t="str">
        <f>IFERROR(__xludf.DUMMYFUNCTION("""COMPUTED_VALUE"""),"KOMP MITRA UTAMA 2 NO C3")</f>
        <v>KOMP MITRA UTAMA 2 NO C3</v>
      </c>
      <c r="N1401" s="16" t="str">
        <f>IFERROR(__xludf.DUMMYFUNCTION("""COMPUTED_VALUE"""),"KEL. PAL LIMA")</f>
        <v>KEL. PAL LIMA</v>
      </c>
      <c r="O1401" s="16" t="str">
        <f>IFERROR(__xludf.DUMMYFUNCTION("""COMPUTED_VALUE"""),"KEC. PONTIANAK BARAT")</f>
        <v>KEC. PONTIANAK BARAT</v>
      </c>
      <c r="P1401" s="16" t="str">
        <f>IFERROR(__xludf.DUMMYFUNCTION("""COMPUTED_VALUE"""),"KOTA PONTIANAK")</f>
        <v>KOTA PONTIANAK</v>
      </c>
      <c r="Q1401" s="16" t="str">
        <f>IFERROR(__xludf.DUMMYFUNCTION("""COMPUTED_VALUE"""),"KALIMANTAN BARAT")</f>
        <v>KALIMANTAN BARAT</v>
      </c>
      <c r="R1401" s="19" t="str">
        <f>IFERROR(__xludf.DUMMYFUNCTION("""COMPUTED_VALUE"""),"ISLAM")</f>
        <v>ISLAM</v>
      </c>
      <c r="S1401" s="16" t="str">
        <f>IFERROR(__xludf.DUMMYFUNCTION("""COMPUTED_VALUE"""),"SWASTA")</f>
        <v>SWASTA</v>
      </c>
      <c r="T1401" s="16" t="str">
        <f>IFERROR(__xludf.DUMMYFUNCTION("""COMPUTED_VALUE"""),"Nyeri dibelakang paha sampai belakang jd kalau bejalan tu sakit")</f>
        <v>Nyeri dibelakang paha sampai belakang jd kalau bejalan tu sakit</v>
      </c>
      <c r="U1401" s="16" t="str">
        <f>IFERROR(__xludf.DUMMYFUNCTION("""COMPUTED_VALUE"""),"Joging sore")</f>
        <v>Joging sore</v>
      </c>
      <c r="V1401" s="11" t="str">
        <f>IFERROR(__xludf.DUMMYFUNCTION("""COMPUTED_VALUE"""),"081214560256")</f>
        <v>081214560256</v>
      </c>
      <c r="W1401" s="15"/>
    </row>
    <row r="1402" ht="22.5" customHeight="1">
      <c r="A1402" s="8"/>
      <c r="B1402" s="9">
        <f>IFERROR(__xludf.DUMMYFUNCTION("""COMPUTED_VALUE"""),45444.62388855324)</f>
        <v>45444.62389</v>
      </c>
      <c r="C1402" s="9"/>
      <c r="D1402" s="34">
        <f>IFERROR(__xludf.DUMMYFUNCTION("""COMPUTED_VALUE"""),45448.0)</f>
        <v>45448</v>
      </c>
      <c r="E1402" s="34" t="str">
        <f>IFERROR(__xludf.DUMMYFUNCTION("""COMPUTED_VALUE"""),"06Jun")</f>
        <v>06Jun</v>
      </c>
      <c r="F1402" s="34" t="str">
        <f>IFERROR(__xludf.DUMMYFUNCTION("""COMPUTED_VALUE"""),"2024")</f>
        <v>2024</v>
      </c>
      <c r="G1402" s="35" t="str">
        <f>IFERROR(__xludf.DUMMYFUNCTION("""COMPUTED_VALUE"""),"GINNI VIATI SUPARNO")</f>
        <v>GINNI VIATI SUPARNO</v>
      </c>
      <c r="H1402" s="17" t="str">
        <f>IFERROR(__xludf.DUMMYFUNCTION("""COMPUTED_VALUE"""),"G7624065798")</f>
        <v>G7624065798</v>
      </c>
      <c r="I1402" s="17">
        <f>IFERROR(__xludf.DUMMYFUNCTION("""COMPUTED_VALUE"""),49.0)</f>
        <v>49</v>
      </c>
      <c r="J1402" s="17" t="str">
        <f>IFERROR(__xludf.DUMMYFUNCTION("""COMPUTED_VALUE"""),"&gt; 44 tahun")</f>
        <v>&gt; 44 tahun</v>
      </c>
      <c r="K1402" s="19">
        <f>IFERROR(__xludf.DUMMYFUNCTION("""COMPUTED_VALUE"""),28014.0)</f>
        <v>28014</v>
      </c>
      <c r="L1402" s="19" t="str">
        <f>IFERROR(__xludf.DUMMYFUNCTION("""COMPUTED_VALUE"""),"PEREMPUAN")</f>
        <v>PEREMPUAN</v>
      </c>
      <c r="M1402" s="35" t="str">
        <f>IFERROR(__xludf.DUMMYFUNCTION("""COMPUTED_VALUE"""),"JL. SENTARUM KOMP. GREEN SILVA A18")</f>
        <v>JL. SENTARUM KOMP. GREEN SILVA A18</v>
      </c>
      <c r="N1402" s="16" t="str">
        <f>IFERROR(__xludf.DUMMYFUNCTION("""COMPUTED_VALUE"""),"KEL. SUNGAI BANGKONG")</f>
        <v>KEL. SUNGAI BANGKONG</v>
      </c>
      <c r="O1402" s="16" t="str">
        <f>IFERROR(__xludf.DUMMYFUNCTION("""COMPUTED_VALUE"""),"KEC. PONTIANAK KOTA")</f>
        <v>KEC. PONTIANAK KOTA</v>
      </c>
      <c r="P1402" s="16" t="str">
        <f>IFERROR(__xludf.DUMMYFUNCTION("""COMPUTED_VALUE"""),"KOTA PONTIANAK")</f>
        <v>KOTA PONTIANAK</v>
      </c>
      <c r="Q1402" s="16" t="str">
        <f>IFERROR(__xludf.DUMMYFUNCTION("""COMPUTED_VALUE"""),"KALIMANTAN BARAT")</f>
        <v>KALIMANTAN BARAT</v>
      </c>
      <c r="R1402" s="19" t="str">
        <f>IFERROR(__xludf.DUMMYFUNCTION("""COMPUTED_VALUE"""),"ISLAM")</f>
        <v>ISLAM</v>
      </c>
      <c r="S1402" s="16" t="str">
        <f>IFERROR(__xludf.DUMMYFUNCTION("""COMPUTED_VALUE"""),"RUMAH TANGGA")</f>
        <v>RUMAH TANGGA</v>
      </c>
      <c r="T1402" s="16" t="str">
        <f>IFERROR(__xludf.DUMMYFUNCTION("""COMPUTED_VALUE"""),"Betis Ketarik")</f>
        <v>Betis Ketarik</v>
      </c>
      <c r="U1402" s="16" t="str">
        <f>IFERROR(__xludf.DUMMYFUNCTION("""COMPUTED_VALUE"""),"Pekerjaan rumah")</f>
        <v>Pekerjaan rumah</v>
      </c>
      <c r="V1402" s="11" t="str">
        <f>IFERROR(__xludf.DUMMYFUNCTION("""COMPUTED_VALUE"""),"082254665798")</f>
        <v>082254665798</v>
      </c>
      <c r="W1402" s="15"/>
    </row>
    <row r="1403" ht="22.5" customHeight="1">
      <c r="A1403" s="8"/>
      <c r="B1403" s="9">
        <f>IFERROR(__xludf.DUMMYFUNCTION("""COMPUTED_VALUE"""),45444.600234756945)</f>
        <v>45444.60023</v>
      </c>
      <c r="C1403" s="9"/>
      <c r="D1403" s="34">
        <f>IFERROR(__xludf.DUMMYFUNCTION("""COMPUTED_VALUE"""),45448.0)</f>
        <v>45448</v>
      </c>
      <c r="E1403" s="34" t="str">
        <f>IFERROR(__xludf.DUMMYFUNCTION("""COMPUTED_VALUE"""),"06Jun")</f>
        <v>06Jun</v>
      </c>
      <c r="F1403" s="34" t="str">
        <f>IFERROR(__xludf.DUMMYFUNCTION("""COMPUTED_VALUE"""),"2024")</f>
        <v>2024</v>
      </c>
      <c r="G1403" s="35" t="str">
        <f>IFERROR(__xludf.DUMMYFUNCTION("""COMPUTED_VALUE"""),"MAHENDRA UTOMO")</f>
        <v>MAHENDRA UTOMO</v>
      </c>
      <c r="H1403" s="17" t="str">
        <f>IFERROR(__xludf.DUMMYFUNCTION("""COMPUTED_VALUE"""),"M8824064848")</f>
        <v>M8824064848</v>
      </c>
      <c r="I1403" s="17">
        <f>IFERROR(__xludf.DUMMYFUNCTION("""COMPUTED_VALUE"""),37.0)</f>
        <v>37</v>
      </c>
      <c r="J1403" s="17" t="str">
        <f>IFERROR(__xludf.DUMMYFUNCTION("""COMPUTED_VALUE"""),"35-44 tahun")</f>
        <v>35-44 tahun</v>
      </c>
      <c r="K1403" s="19">
        <f>IFERROR(__xludf.DUMMYFUNCTION("""COMPUTED_VALUE"""),32452.0)</f>
        <v>32452</v>
      </c>
      <c r="L1403" s="19" t="str">
        <f>IFERROR(__xludf.DUMMYFUNCTION("""COMPUTED_VALUE"""),"LAKI-LAKI")</f>
        <v>LAKI-LAKI</v>
      </c>
      <c r="M1403" s="35" t="str">
        <f>IFERROR(__xludf.DUMMYFUNCTION("""COMPUTED_VALUE"""),"PURNAJAYA 1 NO 47")</f>
        <v>PURNAJAYA 1 NO 47</v>
      </c>
      <c r="N1403" s="16" t="str">
        <f>IFERROR(__xludf.DUMMYFUNCTION("""COMPUTED_VALUE"""),"KEL. SIANTAN")</f>
        <v>KEL. SIANTAN</v>
      </c>
      <c r="O1403" s="16" t="str">
        <f>IFERROR(__xludf.DUMMYFUNCTION("""COMPUTED_VALUE"""),"KEC. PONTIANAK UTARA")</f>
        <v>KEC. PONTIANAK UTARA</v>
      </c>
      <c r="P1403" s="16" t="str">
        <f>IFERROR(__xludf.DUMMYFUNCTION("""COMPUTED_VALUE"""),"KOTA PONTIANAK")</f>
        <v>KOTA PONTIANAK</v>
      </c>
      <c r="Q1403" s="16" t="str">
        <f>IFERROR(__xludf.DUMMYFUNCTION("""COMPUTED_VALUE"""),"KALIMANTAN BARAT")</f>
        <v>KALIMANTAN BARAT</v>
      </c>
      <c r="R1403" s="19" t="str">
        <f>IFERROR(__xludf.DUMMYFUNCTION("""COMPUTED_VALUE"""),"ISLAM")</f>
        <v>ISLAM</v>
      </c>
      <c r="S1403" s="16" t="str">
        <f>IFERROR(__xludf.DUMMYFUNCTION("""COMPUTED_VALUE"""),"WIRASWASTA")</f>
        <v>WIRASWASTA</v>
      </c>
      <c r="T1403" s="16" t="str">
        <f>IFERROR(__xludf.DUMMYFUNCTION("""COMPUTED_VALUE"""),"ROBEK BETIS")</f>
        <v>ROBEK BETIS</v>
      </c>
      <c r="U1403" s="16" t="str">
        <f>IFERROR(__xludf.DUMMYFUNCTION("""COMPUTED_VALUE"""),"BASKET")</f>
        <v>BASKET</v>
      </c>
      <c r="V1403" s="11" t="str">
        <f>IFERROR(__xludf.DUMMYFUNCTION("""COMPUTED_VALUE"""),"08115744848")</f>
        <v>08115744848</v>
      </c>
      <c r="W1403" s="15"/>
    </row>
    <row r="1404" ht="22.5" customHeight="1">
      <c r="A1404" s="8"/>
      <c r="B1404" s="9">
        <f>IFERROR(__xludf.DUMMYFUNCTION("""COMPUTED_VALUE"""),45445.50603803241)</f>
        <v>45445.50604</v>
      </c>
      <c r="C1404" s="9"/>
      <c r="D1404" s="34">
        <f>IFERROR(__xludf.DUMMYFUNCTION("""COMPUTED_VALUE"""),45448.0)</f>
        <v>45448</v>
      </c>
      <c r="E1404" s="34" t="str">
        <f>IFERROR(__xludf.DUMMYFUNCTION("""COMPUTED_VALUE"""),"06Jun")</f>
        <v>06Jun</v>
      </c>
      <c r="F1404" s="34" t="str">
        <f>IFERROR(__xludf.DUMMYFUNCTION("""COMPUTED_VALUE"""),"2024")</f>
        <v>2024</v>
      </c>
      <c r="G1404" s="35" t="str">
        <f>IFERROR(__xludf.DUMMYFUNCTION("""COMPUTED_VALUE"""),"RAFIF PRATAMA")</f>
        <v>RAFIF PRATAMA</v>
      </c>
      <c r="H1404" s="17" t="str">
        <f>IFERROR(__xludf.DUMMYFUNCTION("""COMPUTED_VALUE"""),"R9924061767")</f>
        <v>R9924061767</v>
      </c>
      <c r="I1404" s="17">
        <f>IFERROR(__xludf.DUMMYFUNCTION("""COMPUTED_VALUE"""),27.0)</f>
        <v>27</v>
      </c>
      <c r="J1404" s="17" t="str">
        <f>IFERROR(__xludf.DUMMYFUNCTION("""COMPUTED_VALUE"""),"25-34 tahun")</f>
        <v>25-34 tahun</v>
      </c>
      <c r="K1404" s="19">
        <f>IFERROR(__xludf.DUMMYFUNCTION("""COMPUTED_VALUE"""),36308.0)</f>
        <v>36308</v>
      </c>
      <c r="L1404" s="19" t="str">
        <f>IFERROR(__xludf.DUMMYFUNCTION("""COMPUTED_VALUE"""),"LAKI-LAKI")</f>
        <v>LAKI-LAKI</v>
      </c>
      <c r="M1404" s="35" t="str">
        <f>IFERROR(__xludf.DUMMYFUNCTION("""COMPUTED_VALUE"""),"JL. KH WAHID HASYIM NO.182")</f>
        <v>JL. KH WAHID HASYIM NO.182</v>
      </c>
      <c r="N1404" s="16" t="str">
        <f>IFERROR(__xludf.DUMMYFUNCTION("""COMPUTED_VALUE"""),"KEL. SUNGAI JAWI")</f>
        <v>KEL. SUNGAI JAWI</v>
      </c>
      <c r="O1404" s="16" t="str">
        <f>IFERROR(__xludf.DUMMYFUNCTION("""COMPUTED_VALUE"""),"KEC. PONTIANAK KOTA")</f>
        <v>KEC. PONTIANAK KOTA</v>
      </c>
      <c r="P1404" s="16" t="str">
        <f>IFERROR(__xludf.DUMMYFUNCTION("""COMPUTED_VALUE"""),"KOTA PONTIANAK")</f>
        <v>KOTA PONTIANAK</v>
      </c>
      <c r="Q1404" s="16" t="str">
        <f>IFERROR(__xludf.DUMMYFUNCTION("""COMPUTED_VALUE"""),"KALIMANTAN BARAT")</f>
        <v>KALIMANTAN BARAT</v>
      </c>
      <c r="R1404" s="19" t="str">
        <f>IFERROR(__xludf.DUMMYFUNCTION("""COMPUTED_VALUE"""),"ISLAM")</f>
        <v>ISLAM</v>
      </c>
      <c r="S1404" s="16" t="str">
        <f>IFERROR(__xludf.DUMMYFUNCTION("""COMPUTED_VALUE"""),"PELAJAR/MAHASISWA")</f>
        <v>PELAJAR/MAHASISWA</v>
      </c>
      <c r="T1404" s="16" t="str">
        <f>IFERROR(__xludf.DUMMYFUNCTION("""COMPUTED_VALUE"""),"sakit ankle kaki")</f>
        <v>sakit ankle kaki</v>
      </c>
      <c r="U1404" s="16" t="str">
        <f>IFERROR(__xludf.DUMMYFUNCTION("""COMPUTED_VALUE"""),"Futsal")</f>
        <v>Futsal</v>
      </c>
      <c r="V1404" s="11" t="str">
        <f>IFERROR(__xludf.DUMMYFUNCTION("""COMPUTED_VALUE"""),"08978381767")</f>
        <v>08978381767</v>
      </c>
      <c r="W1404" s="15"/>
    </row>
    <row r="1405" ht="22.5" customHeight="1">
      <c r="A1405" s="8"/>
      <c r="B1405" s="9">
        <f>IFERROR(__xludf.DUMMYFUNCTION("""COMPUTED_VALUE"""),45445.541121041664)</f>
        <v>45445.54112</v>
      </c>
      <c r="C1405" s="9"/>
      <c r="D1405" s="34">
        <f>IFERROR(__xludf.DUMMYFUNCTION("""COMPUTED_VALUE"""),45449.0)</f>
        <v>45449</v>
      </c>
      <c r="E1405" s="34" t="str">
        <f>IFERROR(__xludf.DUMMYFUNCTION("""COMPUTED_VALUE"""),"06Jun")</f>
        <v>06Jun</v>
      </c>
      <c r="F1405" s="34" t="str">
        <f>IFERROR(__xludf.DUMMYFUNCTION("""COMPUTED_VALUE"""),"2024")</f>
        <v>2024</v>
      </c>
      <c r="G1405" s="35" t="str">
        <f>IFERROR(__xludf.DUMMYFUNCTION("""COMPUTED_VALUE"""),"WAGIYANTO")</f>
        <v>WAGIYANTO</v>
      </c>
      <c r="H1405" s="17" t="str">
        <f>IFERROR(__xludf.DUMMYFUNCTION("""COMPUTED_VALUE"""),"W6524066023")</f>
        <v>W6524066023</v>
      </c>
      <c r="I1405" s="17">
        <f>IFERROR(__xludf.DUMMYFUNCTION("""COMPUTED_VALUE"""),60.0)</f>
        <v>60</v>
      </c>
      <c r="J1405" s="17" t="str">
        <f>IFERROR(__xludf.DUMMYFUNCTION("""COMPUTED_VALUE"""),"&gt; 44 tahun")</f>
        <v>&gt; 44 tahun</v>
      </c>
      <c r="K1405" s="19">
        <f>IFERROR(__xludf.DUMMYFUNCTION("""COMPUTED_VALUE"""),24025.0)</f>
        <v>24025</v>
      </c>
      <c r="L1405" s="19" t="str">
        <f>IFERROR(__xludf.DUMMYFUNCTION("""COMPUTED_VALUE"""),"LAKI-LAKI")</f>
        <v>LAKI-LAKI</v>
      </c>
      <c r="M1405" s="35" t="str">
        <f>IFERROR(__xludf.DUMMYFUNCTION("""COMPUTED_VALUE"""),"JL. KARNA SOSIAL GG. PURWOSARI 5 NO. I")</f>
        <v>JL. KARNA SOSIAL GG. PURWOSARI 5 NO. I</v>
      </c>
      <c r="N1405" s="16" t="str">
        <f>IFERROR(__xludf.DUMMYFUNCTION("""COMPUTED_VALUE"""),"KEL. AKCAYA")</f>
        <v>KEL. AKCAYA</v>
      </c>
      <c r="O1405" s="16" t="str">
        <f>IFERROR(__xludf.DUMMYFUNCTION("""COMPUTED_VALUE"""),"KEC. PONTIANAK SELATAN")</f>
        <v>KEC. PONTIANAK SELATAN</v>
      </c>
      <c r="P1405" s="16" t="str">
        <f>IFERROR(__xludf.DUMMYFUNCTION("""COMPUTED_VALUE"""),"KOTA PONTIANAK")</f>
        <v>KOTA PONTIANAK</v>
      </c>
      <c r="Q1405" s="16" t="str">
        <f>IFERROR(__xludf.DUMMYFUNCTION("""COMPUTED_VALUE"""),"KALIMANTAN BARAT")</f>
        <v>KALIMANTAN BARAT</v>
      </c>
      <c r="R1405" s="19" t="str">
        <f>IFERROR(__xludf.DUMMYFUNCTION("""COMPUTED_VALUE"""),"BUDDHA")</f>
        <v>BUDDHA</v>
      </c>
      <c r="S1405" s="16" t="str">
        <f>IFERROR(__xludf.DUMMYFUNCTION("""COMPUTED_VALUE"""),"SWASTA")</f>
        <v>SWASTA</v>
      </c>
      <c r="T1405" s="16" t="str">
        <f>IFERROR(__xludf.DUMMYFUNCTION("""COMPUTED_VALUE"""),"Stroke")</f>
        <v>Stroke</v>
      </c>
      <c r="U1405" s="16" t="str">
        <f>IFERROR(__xludf.DUMMYFUNCTION("""COMPUTED_VALUE"""),"Tidak ada")</f>
        <v>Tidak ada</v>
      </c>
      <c r="V1405" s="11" t="str">
        <f>IFERROR(__xludf.DUMMYFUNCTION("""COMPUTED_VALUE"""),"085777146023")</f>
        <v>085777146023</v>
      </c>
      <c r="W1405" s="15"/>
    </row>
    <row r="1406" ht="22.5" customHeight="1">
      <c r="A1406" s="8"/>
      <c r="B1406" s="9">
        <f>IFERROR(__xludf.DUMMYFUNCTION("""COMPUTED_VALUE"""),45446.40480375)</f>
        <v>45446.4048</v>
      </c>
      <c r="C1406" s="9"/>
      <c r="D1406" s="34">
        <f>IFERROR(__xludf.DUMMYFUNCTION("""COMPUTED_VALUE"""),45449.0)</f>
        <v>45449</v>
      </c>
      <c r="E1406" s="34" t="str">
        <f>IFERROR(__xludf.DUMMYFUNCTION("""COMPUTED_VALUE"""),"06Jun")</f>
        <v>06Jun</v>
      </c>
      <c r="F1406" s="34" t="str">
        <f>IFERROR(__xludf.DUMMYFUNCTION("""COMPUTED_VALUE"""),"2024")</f>
        <v>2024</v>
      </c>
      <c r="G1406" s="35" t="str">
        <f>IFERROR(__xludf.DUMMYFUNCTION("""COMPUTED_VALUE"""),"VIVI OKTAVIA")</f>
        <v>VIVI OKTAVIA</v>
      </c>
      <c r="H1406" s="17" t="str">
        <f>IFERROR(__xludf.DUMMYFUNCTION("""COMPUTED_VALUE"""),"V9024063482")</f>
        <v>V9024063482</v>
      </c>
      <c r="I1406" s="17">
        <f>IFERROR(__xludf.DUMMYFUNCTION("""COMPUTED_VALUE"""),35.0)</f>
        <v>35</v>
      </c>
      <c r="J1406" s="17" t="str">
        <f>IFERROR(__xludf.DUMMYFUNCTION("""COMPUTED_VALUE"""),"35-44 tahun")</f>
        <v>35-44 tahun</v>
      </c>
      <c r="K1406" s="19">
        <f>IFERROR(__xludf.DUMMYFUNCTION("""COMPUTED_VALUE"""),33168.0)</f>
        <v>33168</v>
      </c>
      <c r="L1406" s="19" t="str">
        <f>IFERROR(__xludf.DUMMYFUNCTION("""COMPUTED_VALUE"""),"PEREMPUAN")</f>
        <v>PEREMPUAN</v>
      </c>
      <c r="M1406" s="35" t="str">
        <f>IFERROR(__xludf.DUMMYFUNCTION("""COMPUTED_VALUE"""),"JALAN PURNAMA NO51A")</f>
        <v>JALAN PURNAMA NO51A</v>
      </c>
      <c r="N1406" s="16" t="str">
        <f>IFERROR(__xludf.DUMMYFUNCTION("""COMPUTED_VALUE"""),"KEL. AKCAYA")</f>
        <v>KEL. AKCAYA</v>
      </c>
      <c r="O1406" s="16" t="str">
        <f>IFERROR(__xludf.DUMMYFUNCTION("""COMPUTED_VALUE"""),"KEC. PONTIANAK SELATAN")</f>
        <v>KEC. PONTIANAK SELATAN</v>
      </c>
      <c r="P1406" s="16" t="str">
        <f>IFERROR(__xludf.DUMMYFUNCTION("""COMPUTED_VALUE"""),"KOTA PONTIANAK")</f>
        <v>KOTA PONTIANAK</v>
      </c>
      <c r="Q1406" s="16" t="str">
        <f>IFERROR(__xludf.DUMMYFUNCTION("""COMPUTED_VALUE"""),"KALIMANTAN BARAT")</f>
        <v>KALIMANTAN BARAT</v>
      </c>
      <c r="R1406" s="19" t="str">
        <f>IFERROR(__xludf.DUMMYFUNCTION("""COMPUTED_VALUE"""),"KHONGHUCU")</f>
        <v>KHONGHUCU</v>
      </c>
      <c r="S1406" s="16" t="str">
        <f>IFERROR(__xludf.DUMMYFUNCTION("""COMPUTED_VALUE"""),"WIRASWASTA")</f>
        <v>WIRASWASTA</v>
      </c>
      <c r="T1406" s="16" t="str">
        <f>IFERROR(__xludf.DUMMYFUNCTION("""COMPUTED_VALUE"""),"Joint paint di kaki dan pinggul")</f>
        <v>Joint paint di kaki dan pinggul</v>
      </c>
      <c r="U1406" s="16" t="str">
        <f>IFERROR(__xludf.DUMMYFUNCTION("""COMPUTED_VALUE"""),"Model")</f>
        <v>Model</v>
      </c>
      <c r="V1406" s="11" t="str">
        <f>IFERROR(__xludf.DUMMYFUNCTION("""COMPUTED_VALUE"""),"089524433482")</f>
        <v>089524433482</v>
      </c>
      <c r="W1406" s="15"/>
    </row>
    <row r="1407" ht="22.5" customHeight="1">
      <c r="A1407" s="8"/>
      <c r="B1407" s="9" t="str">
        <f>IFERROR(__xludf.DUMMYFUNCTION("""COMPUTED_VALUE"""),"02/06/2025 13:35:44")</f>
        <v>02/06/2025 13:35:44</v>
      </c>
      <c r="C1407" s="9"/>
      <c r="D1407" s="10">
        <f>IFERROR(__xludf.DUMMYFUNCTION("""COMPUTED_VALUE"""),45810.0)</f>
        <v>45810</v>
      </c>
      <c r="E1407" s="10" t="str">
        <f>IFERROR(__xludf.DUMMYFUNCTION("""COMPUTED_VALUE"""),"06Jun")</f>
        <v>06Jun</v>
      </c>
      <c r="F1407" s="10" t="str">
        <f>IFERROR(__xludf.DUMMYFUNCTION("""COMPUTED_VALUE"""),"2025")</f>
        <v>2025</v>
      </c>
      <c r="G1407" s="35" t="str">
        <f>IFERROR(__xludf.DUMMYFUNCTION("""COMPUTED_VALUE"""),"SRI HARYANTY")</f>
        <v>SRI HARYANTY</v>
      </c>
      <c r="H1407" s="17" t="str">
        <f>IFERROR(__xludf.DUMMYFUNCTION("""COMPUTED_VALUE"""),"S2525063599")</f>
        <v>S2525063599</v>
      </c>
      <c r="I1407" s="17">
        <f>IFERROR(__xludf.DUMMYFUNCTION("""COMPUTED_VALUE"""),1.0)</f>
        <v>1</v>
      </c>
      <c r="J1407" s="17" t="str">
        <f>IFERROR(__xludf.DUMMYFUNCTION("""COMPUTED_VALUE"""),"&lt; 18 tahun")</f>
        <v>&lt; 18 tahun</v>
      </c>
      <c r="K1407" s="19" t="str">
        <f>IFERROR(__xludf.DUMMYFUNCTION("""COMPUTED_VALUE"""),"01/03/2025")</f>
        <v>01/03/2025</v>
      </c>
      <c r="L1407" s="19" t="str">
        <f>IFERROR(__xludf.DUMMYFUNCTION("""COMPUTED_VALUE"""),"PEREMPUAN")</f>
        <v>PEREMPUAN</v>
      </c>
      <c r="M1407" s="35" t="str">
        <f>IFERROR(__xludf.DUMMYFUNCTION("""COMPUTED_VALUE"""),"JL KARET GG KARET KARYA NO D6")</f>
        <v>JL KARET GG KARET KARYA NO D6</v>
      </c>
      <c r="N1407" s="16" t="str">
        <f>IFERROR(__xludf.DUMMYFUNCTION("""COMPUTED_VALUE"""),"SUNGAI BELIUNG")</f>
        <v>SUNGAI BELIUNG</v>
      </c>
      <c r="O1407" s="16" t="str">
        <f>IFERROR(__xludf.DUMMYFUNCTION("""COMPUTED_VALUE"""),"PONTIANAK BARAT")</f>
        <v>PONTIANAK BARAT</v>
      </c>
      <c r="P1407" s="16" t="str">
        <f>IFERROR(__xludf.DUMMYFUNCTION("""COMPUTED_VALUE"""),"PONTIANAK")</f>
        <v>PONTIANAK</v>
      </c>
      <c r="Q1407" s="16" t="str">
        <f>IFERROR(__xludf.DUMMYFUNCTION("""COMPUTED_VALUE"""),"KALIMANTAN BARAT")</f>
        <v>KALIMANTAN BARAT</v>
      </c>
      <c r="R1407" s="19" t="str">
        <f>IFERROR(__xludf.DUMMYFUNCTION("""COMPUTED_VALUE"""),"ISLAM")</f>
        <v>ISLAM</v>
      </c>
      <c r="S1407" s="16" t="str">
        <f>IFERROR(__xludf.DUMMYFUNCTION("""COMPUTED_VALUE"""),"SWASTA")</f>
        <v>SWASTA</v>
      </c>
      <c r="T1407" s="16" t="str">
        <f>IFERROR(__xludf.DUMMYFUNCTION("""COMPUTED_VALUE"""),"SAKIT DI BAGIAN TULANG BELAKANG SAMPAI EKOR")</f>
        <v>SAKIT DI BAGIAN TULANG BELAKANG SAMPAI EKOR</v>
      </c>
      <c r="U1407" s="16" t="str">
        <f>IFERROR(__xludf.DUMMYFUNCTION("""COMPUTED_VALUE"""),"DUDUK TERLALU LAMA")</f>
        <v>DUDUK TERLALU LAMA</v>
      </c>
      <c r="V1407" s="11" t="str">
        <f>IFERROR(__xludf.DUMMYFUNCTION("""COMPUTED_VALUE"""),"085753583599")</f>
        <v>085753583599</v>
      </c>
      <c r="W1407" s="15"/>
    </row>
    <row r="1408" ht="22.5" customHeight="1">
      <c r="A1408" s="8"/>
      <c r="B1408" s="9">
        <f>IFERROR(__xludf.DUMMYFUNCTION("""COMPUTED_VALUE"""),45446.47478815972)</f>
        <v>45446.47479</v>
      </c>
      <c r="C1408" s="9"/>
      <c r="D1408" s="34">
        <f>IFERROR(__xludf.DUMMYFUNCTION("""COMPUTED_VALUE"""),45450.0)</f>
        <v>45450</v>
      </c>
      <c r="E1408" s="34" t="str">
        <f>IFERROR(__xludf.DUMMYFUNCTION("""COMPUTED_VALUE"""),"06Jun")</f>
        <v>06Jun</v>
      </c>
      <c r="F1408" s="34" t="str">
        <f>IFERROR(__xludf.DUMMYFUNCTION("""COMPUTED_VALUE"""),"2024")</f>
        <v>2024</v>
      </c>
      <c r="G1408" s="35" t="str">
        <f>IFERROR(__xludf.DUMMYFUNCTION("""COMPUTED_VALUE"""),"FACHRY RAYHAN YUDHA")</f>
        <v>FACHRY RAYHAN YUDHA</v>
      </c>
      <c r="H1408" s="17" t="str">
        <f>IFERROR(__xludf.DUMMYFUNCTION("""COMPUTED_VALUE"""),"F0524068726")</f>
        <v>F0524068726</v>
      </c>
      <c r="I1408" s="17">
        <f>IFERROR(__xludf.DUMMYFUNCTION("""COMPUTED_VALUE"""),20.0)</f>
        <v>20</v>
      </c>
      <c r="J1408" s="17" t="str">
        <f>IFERROR(__xludf.DUMMYFUNCTION("""COMPUTED_VALUE"""),"18-24 tahun")</f>
        <v>18-24 tahun</v>
      </c>
      <c r="K1408" s="19">
        <f>IFERROR(__xludf.DUMMYFUNCTION("""COMPUTED_VALUE"""),38712.0)</f>
        <v>38712</v>
      </c>
      <c r="L1408" s="19" t="str">
        <f>IFERROR(__xludf.DUMMYFUNCTION("""COMPUTED_VALUE"""),"LAKI-LAKI")</f>
        <v>LAKI-LAKI</v>
      </c>
      <c r="M1408" s="35" t="str">
        <f>IFERROR(__xludf.DUMMYFUNCTION("""COMPUTED_VALUE"""),"JL.ANGGREK GG SAWO")</f>
        <v>JL.ANGGREK GG SAWO</v>
      </c>
      <c r="N1408" s="16" t="str">
        <f>IFERROR(__xludf.DUMMYFUNCTION("""COMPUTED_VALUE"""),"DS. ILIR KOTA")</f>
        <v>DS. ILIR KOTA</v>
      </c>
      <c r="O1408" s="16" t="str">
        <f>IFERROR(__xludf.DUMMYFUNCTION("""COMPUTED_VALUE"""),"KEC. KAPUAS")</f>
        <v>KEC. KAPUAS</v>
      </c>
      <c r="P1408" s="16" t="str">
        <f>IFERROR(__xludf.DUMMYFUNCTION("""COMPUTED_VALUE"""),"KAB. SANGGAU")</f>
        <v>KAB. SANGGAU</v>
      </c>
      <c r="Q1408" s="16" t="str">
        <f>IFERROR(__xludf.DUMMYFUNCTION("""COMPUTED_VALUE"""),"KALIMANTAN BARAT")</f>
        <v>KALIMANTAN BARAT</v>
      </c>
      <c r="R1408" s="19" t="str">
        <f>IFERROR(__xludf.DUMMYFUNCTION("""COMPUTED_VALUE"""),"ISLAM")</f>
        <v>ISLAM</v>
      </c>
      <c r="S1408" s="16" t="str">
        <f>IFERROR(__xludf.DUMMYFUNCTION("""COMPUTED_VALUE"""),"PELAJAR/MAHASISWA")</f>
        <v>PELAJAR/MAHASISWA</v>
      </c>
      <c r="T1408" s="16" t="str">
        <f>IFERROR(__xludf.DUMMYFUNCTION("""COMPUTED_VALUE"""),"kaki X")</f>
        <v>kaki X</v>
      </c>
      <c r="U1408" s="16" t="str">
        <f>IFERROR(__xludf.DUMMYFUNCTION("""COMPUTED_VALUE"""),"Lari")</f>
        <v>Lari</v>
      </c>
      <c r="V1408" s="11" t="str">
        <f>IFERROR(__xludf.DUMMYFUNCTION("""COMPUTED_VALUE"""),"081522538726")</f>
        <v>081522538726</v>
      </c>
      <c r="W1408" s="15"/>
    </row>
    <row r="1409" ht="22.5" customHeight="1">
      <c r="A1409" s="8"/>
      <c r="B1409" s="9">
        <f>IFERROR(__xludf.DUMMYFUNCTION("""COMPUTED_VALUE"""),45444.5648059838)</f>
        <v>45444.56481</v>
      </c>
      <c r="C1409" s="9"/>
      <c r="D1409" s="34">
        <f>IFERROR(__xludf.DUMMYFUNCTION("""COMPUTED_VALUE"""),45450.0)</f>
        <v>45450</v>
      </c>
      <c r="E1409" s="34" t="str">
        <f>IFERROR(__xludf.DUMMYFUNCTION("""COMPUTED_VALUE"""),"06Jun")</f>
        <v>06Jun</v>
      </c>
      <c r="F1409" s="34" t="str">
        <f>IFERROR(__xludf.DUMMYFUNCTION("""COMPUTED_VALUE"""),"2024")</f>
        <v>2024</v>
      </c>
      <c r="G1409" s="35" t="str">
        <f>IFERROR(__xludf.DUMMYFUNCTION("""COMPUTED_VALUE"""),"IMAM SANTOSO")</f>
        <v>IMAM SANTOSO</v>
      </c>
      <c r="H1409" s="17" t="str">
        <f>IFERROR(__xludf.DUMMYFUNCTION("""COMPUTED_VALUE"""),"I8624063340")</f>
        <v>I8624063340</v>
      </c>
      <c r="I1409" s="17">
        <f>IFERROR(__xludf.DUMMYFUNCTION("""COMPUTED_VALUE"""),39.0)</f>
        <v>39</v>
      </c>
      <c r="J1409" s="17" t="str">
        <f>IFERROR(__xludf.DUMMYFUNCTION("""COMPUTED_VALUE"""),"35-44 tahun")</f>
        <v>35-44 tahun</v>
      </c>
      <c r="K1409" s="19">
        <f>IFERROR(__xludf.DUMMYFUNCTION("""COMPUTED_VALUE"""),31609.0)</f>
        <v>31609</v>
      </c>
      <c r="L1409" s="19" t="str">
        <f>IFERROR(__xludf.DUMMYFUNCTION("""COMPUTED_VALUE"""),"LAKI-LAKI")</f>
        <v>LAKI-LAKI</v>
      </c>
      <c r="M1409" s="35" t="str">
        <f>IFERROR(__xludf.DUMMYFUNCTION("""COMPUTED_VALUE"""),"JL HM SUWIGNYO GG SUDIHARJO 1 NO 6")</f>
        <v>JL HM SUWIGNYO GG SUDIHARJO 1 NO 6</v>
      </c>
      <c r="N1409" s="16" t="str">
        <f>IFERROR(__xludf.DUMMYFUNCTION("""COMPUTED_VALUE"""),"KEL. SUNGAI JAWI")</f>
        <v>KEL. SUNGAI JAWI</v>
      </c>
      <c r="O1409" s="16" t="str">
        <f>IFERROR(__xludf.DUMMYFUNCTION("""COMPUTED_VALUE"""),"KEC. PONTIANAK KOTA")</f>
        <v>KEC. PONTIANAK KOTA</v>
      </c>
      <c r="P1409" s="16" t="str">
        <f>IFERROR(__xludf.DUMMYFUNCTION("""COMPUTED_VALUE"""),"KOTA PONTIANAK")</f>
        <v>KOTA PONTIANAK</v>
      </c>
      <c r="Q1409" s="16" t="str">
        <f>IFERROR(__xludf.DUMMYFUNCTION("""COMPUTED_VALUE"""),"KALIMANTAN BARAT")</f>
        <v>KALIMANTAN BARAT</v>
      </c>
      <c r="R1409" s="19" t="str">
        <f>IFERROR(__xludf.DUMMYFUNCTION("""COMPUTED_VALUE"""),"ISLAM")</f>
        <v>ISLAM</v>
      </c>
      <c r="S1409" s="16" t="str">
        <f>IFERROR(__xludf.DUMMYFUNCTION("""COMPUTED_VALUE"""),"WIRASWASTA")</f>
        <v>WIRASWASTA</v>
      </c>
      <c r="T1409" s="16" t="str">
        <f>IFERROR(__xludf.DUMMYFUNCTION("""COMPUTED_VALUE"""),"Nyeri dibelakang kanan")</f>
        <v>Nyeri dibelakang kanan</v>
      </c>
      <c r="U1409" s="16" t="str">
        <f>IFERROR(__xludf.DUMMYFUNCTION("""COMPUTED_VALUE"""),"Kerja")</f>
        <v>Kerja</v>
      </c>
      <c r="V1409" s="11" t="str">
        <f>IFERROR(__xludf.DUMMYFUNCTION("""COMPUTED_VALUE"""),"085245333340")</f>
        <v>085245333340</v>
      </c>
      <c r="W1409" s="15"/>
    </row>
    <row r="1410" ht="22.5" customHeight="1">
      <c r="A1410" s="8"/>
      <c r="B1410" s="9">
        <f>IFERROR(__xludf.DUMMYFUNCTION("""COMPUTED_VALUE"""),45446.50705568287)</f>
        <v>45446.50706</v>
      </c>
      <c r="C1410" s="9"/>
      <c r="D1410" s="34">
        <f>IFERROR(__xludf.DUMMYFUNCTION("""COMPUTED_VALUE"""),45451.0)</f>
        <v>45451</v>
      </c>
      <c r="E1410" s="34" t="str">
        <f>IFERROR(__xludf.DUMMYFUNCTION("""COMPUTED_VALUE"""),"06Jun")</f>
        <v>06Jun</v>
      </c>
      <c r="F1410" s="34" t="str">
        <f>IFERROR(__xludf.DUMMYFUNCTION("""COMPUTED_VALUE"""),"2024")</f>
        <v>2024</v>
      </c>
      <c r="G1410" s="35" t="str">
        <f>IFERROR(__xludf.DUMMYFUNCTION("""COMPUTED_VALUE"""),"AHMAD FAUZI RAHMAN")</f>
        <v>AHMAD FAUZI RAHMAN</v>
      </c>
      <c r="H1410" s="17" t="str">
        <f>IFERROR(__xludf.DUMMYFUNCTION("""COMPUTED_VALUE"""),"A9624066147")</f>
        <v>A9624066147</v>
      </c>
      <c r="I1410" s="17">
        <f>IFERROR(__xludf.DUMMYFUNCTION("""COMPUTED_VALUE"""),30.0)</f>
        <v>30</v>
      </c>
      <c r="J1410" s="17" t="str">
        <f>IFERROR(__xludf.DUMMYFUNCTION("""COMPUTED_VALUE"""),"25-34 tahun")</f>
        <v>25-34 tahun</v>
      </c>
      <c r="K1410" s="19">
        <f>IFERROR(__xludf.DUMMYFUNCTION("""COMPUTED_VALUE"""),35125.0)</f>
        <v>35125</v>
      </c>
      <c r="L1410" s="19" t="str">
        <f>IFERROR(__xludf.DUMMYFUNCTION("""COMPUTED_VALUE"""),"LAKI-LAKI")</f>
        <v>LAKI-LAKI</v>
      </c>
      <c r="M1410" s="35" t="str">
        <f>IFERROR(__xludf.DUMMYFUNCTION("""COMPUTED_VALUE"""),"DSN SRIKUWE UTARA 002/007")</f>
        <v>DSN SRIKUWE UTARA 002/007</v>
      </c>
      <c r="N1410" s="16" t="str">
        <f>IFERROR(__xludf.DUMMYFUNCTION("""COMPUTED_VALUE"""),"DS. AMBARTAWANG")</f>
        <v>DS. AMBARTAWANG</v>
      </c>
      <c r="O1410" s="16" t="str">
        <f>IFERROR(__xludf.DUMMYFUNCTION("""COMPUTED_VALUE"""),"KEC. MUNGKID")</f>
        <v>KEC. MUNGKID</v>
      </c>
      <c r="P1410" s="16" t="str">
        <f>IFERROR(__xludf.DUMMYFUNCTION("""COMPUTED_VALUE"""),"KAB. MAGELANG")</f>
        <v>KAB. MAGELANG</v>
      </c>
      <c r="Q1410" s="16" t="str">
        <f>IFERROR(__xludf.DUMMYFUNCTION("""COMPUTED_VALUE"""),"JAWA TENGAH")</f>
        <v>JAWA TENGAH</v>
      </c>
      <c r="R1410" s="19" t="str">
        <f>IFERROR(__xludf.DUMMYFUNCTION("""COMPUTED_VALUE"""),"ISLAM")</f>
        <v>ISLAM</v>
      </c>
      <c r="S1410" s="16" t="str">
        <f>IFERROR(__xludf.DUMMYFUNCTION("""COMPUTED_VALUE"""),"ASN")</f>
        <v>ASN</v>
      </c>
      <c r="T1410" s="16" t="str">
        <f>IFERROR(__xludf.DUMMYFUNCTION("""COMPUTED_VALUE"""),"Nyeri")</f>
        <v>Nyeri</v>
      </c>
      <c r="U1410" s="16" t="str">
        <f>IFERROR(__xludf.DUMMYFUNCTION("""COMPUTED_VALUE"""),"Olahraga")</f>
        <v>Olahraga</v>
      </c>
      <c r="V1410" s="11" t="str">
        <f>IFERROR(__xludf.DUMMYFUNCTION("""COMPUTED_VALUE"""),"085643886147")</f>
        <v>085643886147</v>
      </c>
      <c r="W1410" s="15"/>
    </row>
    <row r="1411" ht="22.5" customHeight="1">
      <c r="A1411" s="8"/>
      <c r="B1411" s="9">
        <f>IFERROR(__xludf.DUMMYFUNCTION("""COMPUTED_VALUE"""),45446.71269043982)</f>
        <v>45446.71269</v>
      </c>
      <c r="C1411" s="9"/>
      <c r="D1411" s="34">
        <f>IFERROR(__xludf.DUMMYFUNCTION("""COMPUTED_VALUE"""),45451.0)</f>
        <v>45451</v>
      </c>
      <c r="E1411" s="34" t="str">
        <f>IFERROR(__xludf.DUMMYFUNCTION("""COMPUTED_VALUE"""),"06Jun")</f>
        <v>06Jun</v>
      </c>
      <c r="F1411" s="34" t="str">
        <f>IFERROR(__xludf.DUMMYFUNCTION("""COMPUTED_VALUE"""),"2024")</f>
        <v>2024</v>
      </c>
      <c r="G1411" s="35" t="str">
        <f>IFERROR(__xludf.DUMMYFUNCTION("""COMPUTED_VALUE"""),"RAJA SURYA")</f>
        <v>RAJA SURYA</v>
      </c>
      <c r="H1411" s="17" t="str">
        <f>IFERROR(__xludf.DUMMYFUNCTION("""COMPUTED_VALUE"""),"R7424069064")</f>
        <v>R7424069064</v>
      </c>
      <c r="I1411" s="17">
        <f>IFERROR(__xludf.DUMMYFUNCTION("""COMPUTED_VALUE"""),52.0)</f>
        <v>52</v>
      </c>
      <c r="J1411" s="17" t="str">
        <f>IFERROR(__xludf.DUMMYFUNCTION("""COMPUTED_VALUE"""),"&gt; 44 tahun")</f>
        <v>&gt; 44 tahun</v>
      </c>
      <c r="K1411" s="19">
        <f>IFERROR(__xludf.DUMMYFUNCTION("""COMPUTED_VALUE"""),27069.0)</f>
        <v>27069</v>
      </c>
      <c r="L1411" s="19" t="str">
        <f>IFERROR(__xludf.DUMMYFUNCTION("""COMPUTED_VALUE"""),"LAKI-LAKI")</f>
        <v>LAKI-LAKI</v>
      </c>
      <c r="M1411" s="35" t="str">
        <f>IFERROR(__xludf.DUMMYFUNCTION("""COMPUTED_VALUE"""),"JALAN KAPTEN M. DAUD NOMOR 7")</f>
        <v>JALAN KAPTEN M. DAUD NOMOR 7</v>
      </c>
      <c r="N1411" s="16" t="str">
        <f>IFERROR(__xludf.DUMMYFUNCTION("""COMPUTED_VALUE"""),"KEL. PAYO LEBAR")</f>
        <v>KEL. PAYO LEBAR</v>
      </c>
      <c r="O1411" s="16" t="str">
        <f>IFERROR(__xludf.DUMMYFUNCTION("""COMPUTED_VALUE"""),"KEC. JELUTUNG")</f>
        <v>KEC. JELUTUNG</v>
      </c>
      <c r="P1411" s="16" t="str">
        <f>IFERROR(__xludf.DUMMYFUNCTION("""COMPUTED_VALUE"""),"KOTA JAMBI")</f>
        <v>KOTA JAMBI</v>
      </c>
      <c r="Q1411" s="16" t="str">
        <f>IFERROR(__xludf.DUMMYFUNCTION("""COMPUTED_VALUE"""),"JAMBI")</f>
        <v>JAMBI</v>
      </c>
      <c r="R1411" s="19" t="str">
        <f>IFERROR(__xludf.DUMMYFUNCTION("""COMPUTED_VALUE"""),"ISLAM")</f>
        <v>ISLAM</v>
      </c>
      <c r="S1411" s="16" t="str">
        <f>IFERROR(__xludf.DUMMYFUNCTION("""COMPUTED_VALUE"""),"ASN")</f>
        <v>ASN</v>
      </c>
      <c r="T1411" s="16" t="str">
        <f>IFERROR(__xludf.DUMMYFUNCTION("""COMPUTED_VALUE"""),"CEDERA OTOT LEHER")</f>
        <v>CEDERA OTOT LEHER</v>
      </c>
      <c r="U1411" s="16" t="str">
        <f>IFERROR(__xludf.DUMMYFUNCTION("""COMPUTED_VALUE"""),"KE KANTOR")</f>
        <v>KE KANTOR</v>
      </c>
      <c r="V1411" s="11" t="str">
        <f>IFERROR(__xludf.DUMMYFUNCTION("""COMPUTED_VALUE"""),"081266009064")</f>
        <v>081266009064</v>
      </c>
      <c r="W1411" s="15"/>
    </row>
    <row r="1412" ht="22.5" customHeight="1">
      <c r="A1412" s="8"/>
      <c r="B1412" s="9">
        <f>IFERROR(__xludf.DUMMYFUNCTION("""COMPUTED_VALUE"""),45446.79395666667)</f>
        <v>45446.79396</v>
      </c>
      <c r="C1412" s="9"/>
      <c r="D1412" s="34">
        <f>IFERROR(__xludf.DUMMYFUNCTION("""COMPUTED_VALUE"""),45451.0)</f>
        <v>45451</v>
      </c>
      <c r="E1412" s="34" t="str">
        <f>IFERROR(__xludf.DUMMYFUNCTION("""COMPUTED_VALUE"""),"06Jun")</f>
        <v>06Jun</v>
      </c>
      <c r="F1412" s="34" t="str">
        <f>IFERROR(__xludf.DUMMYFUNCTION("""COMPUTED_VALUE"""),"2024")</f>
        <v>2024</v>
      </c>
      <c r="G1412" s="35" t="str">
        <f>IFERROR(__xludf.DUMMYFUNCTION("""COMPUTED_VALUE"""),"SUARDI AZIZ")</f>
        <v>SUARDI AZIZ</v>
      </c>
      <c r="H1412" s="17" t="str">
        <f>IFERROR(__xludf.DUMMYFUNCTION("""COMPUTED_VALUE"""),"S4824064177")</f>
        <v>S4824064177</v>
      </c>
      <c r="I1412" s="17">
        <f>IFERROR(__xludf.DUMMYFUNCTION("""COMPUTED_VALUE"""),77.0)</f>
        <v>77</v>
      </c>
      <c r="J1412" s="17" t="str">
        <f>IFERROR(__xludf.DUMMYFUNCTION("""COMPUTED_VALUE"""),"&gt; 44 tahun")</f>
        <v>&gt; 44 tahun</v>
      </c>
      <c r="K1412" s="19">
        <f>IFERROR(__xludf.DUMMYFUNCTION("""COMPUTED_VALUE"""),17725.0)</f>
        <v>17725</v>
      </c>
      <c r="L1412" s="19" t="str">
        <f>IFERROR(__xludf.DUMMYFUNCTION("""COMPUTED_VALUE"""),"LAKI-LAKI")</f>
        <v>LAKI-LAKI</v>
      </c>
      <c r="M1412" s="35" t="str">
        <f>IFERROR(__xludf.DUMMYFUNCTION("""COMPUTED_VALUE"""),"KOMP PEMDA JALUR 3 NO 54")</f>
        <v>KOMP PEMDA JALUR 3 NO 54</v>
      </c>
      <c r="N1412" s="16" t="str">
        <f>IFERROR(__xludf.DUMMYFUNCTION("""COMPUTED_VALUE"""),"KEL. SUNGAI JAWI LUAR")</f>
        <v>KEL. SUNGAI JAWI LUAR</v>
      </c>
      <c r="O1412" s="16" t="str">
        <f>IFERROR(__xludf.DUMMYFUNCTION("""COMPUTED_VALUE"""),"KEC. PONTIANAK BARAT")</f>
        <v>KEC. PONTIANAK BARAT</v>
      </c>
      <c r="P1412" s="16" t="str">
        <f>IFERROR(__xludf.DUMMYFUNCTION("""COMPUTED_VALUE"""),"KOTA PONTIANAK")</f>
        <v>KOTA PONTIANAK</v>
      </c>
      <c r="Q1412" s="16" t="str">
        <f>IFERROR(__xludf.DUMMYFUNCTION("""COMPUTED_VALUE"""),"KALIMANTAN BARAT")</f>
        <v>KALIMANTAN BARAT</v>
      </c>
      <c r="R1412" s="19" t="str">
        <f>IFERROR(__xludf.DUMMYFUNCTION("""COMPUTED_VALUE"""),"ISLAM")</f>
        <v>ISLAM</v>
      </c>
      <c r="S1412" s="16" t="str">
        <f>IFERROR(__xludf.DUMMYFUNCTION("""COMPUTED_VALUE"""),"PENSIUN")</f>
        <v>PENSIUN</v>
      </c>
      <c r="T1412" s="16" t="str">
        <f>IFERROR(__xludf.DUMMYFUNCTION("""COMPUTED_VALUE"""),"SAKIT KAKI DAN BELIKAT")</f>
        <v>SAKIT KAKI DAN BELIKAT</v>
      </c>
      <c r="U1412" s="16" t="str">
        <f>IFERROR(__xludf.DUMMYFUNCTION("""COMPUTED_VALUE"""),"_")</f>
        <v>_</v>
      </c>
      <c r="V1412" s="11" t="str">
        <f>IFERROR(__xludf.DUMMYFUNCTION("""COMPUTED_VALUE"""),"085248894177")</f>
        <v>085248894177</v>
      </c>
      <c r="W1412" s="15"/>
    </row>
    <row r="1413" ht="22.5" customHeight="1">
      <c r="A1413" s="41"/>
      <c r="B1413" s="9">
        <f>IFERROR(__xludf.DUMMYFUNCTION("""COMPUTED_VALUE"""),45447.46415929398)</f>
        <v>45447.46416</v>
      </c>
      <c r="C1413" s="16"/>
      <c r="D1413" s="34">
        <f>IFERROR(__xludf.DUMMYFUNCTION("""COMPUTED_VALUE"""),45451.0)</f>
        <v>45451</v>
      </c>
      <c r="E1413" s="34" t="str">
        <f>IFERROR(__xludf.DUMMYFUNCTION("""COMPUTED_VALUE"""),"06Jun")</f>
        <v>06Jun</v>
      </c>
      <c r="F1413" s="34" t="str">
        <f>IFERROR(__xludf.DUMMYFUNCTION("""COMPUTED_VALUE"""),"2024")</f>
        <v>2024</v>
      </c>
      <c r="G1413" s="35" t="str">
        <f>IFERROR(__xludf.DUMMYFUNCTION("""COMPUTED_VALUE"""),"EVY PHING")</f>
        <v>EVY PHING</v>
      </c>
      <c r="H1413" s="17" t="str">
        <f>IFERROR(__xludf.DUMMYFUNCTION("""COMPUTED_VALUE"""),"E8224063522")</f>
        <v>E8224063522</v>
      </c>
      <c r="I1413" s="17">
        <f>IFERROR(__xludf.DUMMYFUNCTION("""COMPUTED_VALUE"""),43.0)</f>
        <v>43</v>
      </c>
      <c r="J1413" s="17" t="str">
        <f>IFERROR(__xludf.DUMMYFUNCTION("""COMPUTED_VALUE"""),"35-44 tahun")</f>
        <v>35-44 tahun</v>
      </c>
      <c r="K1413" s="19">
        <f>IFERROR(__xludf.DUMMYFUNCTION("""COMPUTED_VALUE"""),30181.0)</f>
        <v>30181</v>
      </c>
      <c r="L1413" s="19" t="str">
        <f>IFERROR(__xludf.DUMMYFUNCTION("""COMPUTED_VALUE"""),"PEREMPUAN")</f>
        <v>PEREMPUAN</v>
      </c>
      <c r="M1413" s="35" t="str">
        <f>IFERROR(__xludf.DUMMYFUNCTION("""COMPUTED_VALUE"""),"JL TANJUNG PURA GG SUEZ NO 5")</f>
        <v>JL TANJUNG PURA GG SUEZ NO 5</v>
      </c>
      <c r="N1413" s="16" t="str">
        <f>IFERROR(__xludf.DUMMYFUNCTION("""COMPUTED_VALUE"""),"KEL. BENUA MELAYU DARAT")</f>
        <v>KEL. BENUA MELAYU DARAT</v>
      </c>
      <c r="O1413" s="16" t="str">
        <f>IFERROR(__xludf.DUMMYFUNCTION("""COMPUTED_VALUE"""),"KEC. PONTIANAK SELATAN")</f>
        <v>KEC. PONTIANAK SELATAN</v>
      </c>
      <c r="P1413" s="16" t="str">
        <f>IFERROR(__xludf.DUMMYFUNCTION("""COMPUTED_VALUE"""),"KOTA PONTIANAK")</f>
        <v>KOTA PONTIANAK</v>
      </c>
      <c r="Q1413" s="16" t="str">
        <f>IFERROR(__xludf.DUMMYFUNCTION("""COMPUTED_VALUE"""),"KALIMANTAN BARAT")</f>
        <v>KALIMANTAN BARAT</v>
      </c>
      <c r="R1413" s="19" t="str">
        <f>IFERROR(__xludf.DUMMYFUNCTION("""COMPUTED_VALUE"""),"KATOLIK")</f>
        <v>KATOLIK</v>
      </c>
      <c r="S1413" s="16" t="str">
        <f>IFERROR(__xludf.DUMMYFUNCTION("""COMPUTED_VALUE"""),"SWASTA")</f>
        <v>SWASTA</v>
      </c>
      <c r="T1413" s="16" t="str">
        <f>IFERROR(__xludf.DUMMYFUNCTION("""COMPUTED_VALUE"""),"Sakit kaki kiri paha")</f>
        <v>Sakit kaki kiri paha</v>
      </c>
      <c r="U1413" s="16" t="str">
        <f>IFERROR(__xludf.DUMMYFUNCTION("""COMPUTED_VALUE"""),"Senam")</f>
        <v>Senam</v>
      </c>
      <c r="V1413" s="11" t="str">
        <f>IFERROR(__xludf.DUMMYFUNCTION("""COMPUTED_VALUE"""),"08981393522")</f>
        <v>08981393522</v>
      </c>
      <c r="W1413" s="15"/>
    </row>
    <row r="1414" ht="22.5" customHeight="1">
      <c r="A1414" s="42"/>
      <c r="B1414" s="9">
        <f>IFERROR(__xludf.DUMMYFUNCTION("""COMPUTED_VALUE"""),45447.50784266204)</f>
        <v>45447.50784</v>
      </c>
      <c r="C1414" s="9"/>
      <c r="D1414" s="34">
        <f>IFERROR(__xludf.DUMMYFUNCTION("""COMPUTED_VALUE"""),45452.0)</f>
        <v>45452</v>
      </c>
      <c r="E1414" s="34" t="str">
        <f>IFERROR(__xludf.DUMMYFUNCTION("""COMPUTED_VALUE"""),"06Jun")</f>
        <v>06Jun</v>
      </c>
      <c r="F1414" s="34" t="str">
        <f>IFERROR(__xludf.DUMMYFUNCTION("""COMPUTED_VALUE"""),"2024")</f>
        <v>2024</v>
      </c>
      <c r="G1414" s="35" t="str">
        <f>IFERROR(__xludf.DUMMYFUNCTION("""COMPUTED_VALUE"""),"DHANA ARYANA")</f>
        <v>DHANA ARYANA</v>
      </c>
      <c r="H1414" s="17" t="str">
        <f>IFERROR(__xludf.DUMMYFUNCTION("""COMPUTED_VALUE"""),"D2424062713")</f>
        <v>D2424062713</v>
      </c>
      <c r="I1414" s="17">
        <f>IFERROR(__xludf.DUMMYFUNCTION("""COMPUTED_VALUE"""),2.0)</f>
        <v>2</v>
      </c>
      <c r="J1414" s="17" t="str">
        <f>IFERROR(__xludf.DUMMYFUNCTION("""COMPUTED_VALUE"""),"&lt; 18 tahun")</f>
        <v>&lt; 18 tahun</v>
      </c>
      <c r="K1414" s="19">
        <f>IFERROR(__xludf.DUMMYFUNCTION("""COMPUTED_VALUE"""),45452.0)</f>
        <v>45452</v>
      </c>
      <c r="L1414" s="19" t="str">
        <f>IFERROR(__xludf.DUMMYFUNCTION("""COMPUTED_VALUE"""),"LAKI-LAKI")</f>
        <v>LAKI-LAKI</v>
      </c>
      <c r="M1414" s="35" t="str">
        <f>IFERROR(__xludf.DUMMYFUNCTION("""COMPUTED_VALUE"""),"JL. DANAU SENTARUM KOMPLEK BANK DUTA NOMOR 1B")</f>
        <v>JL. DANAU SENTARUM KOMPLEK BANK DUTA NOMOR 1B</v>
      </c>
      <c r="N1414" s="16" t="str">
        <f>IFERROR(__xludf.DUMMYFUNCTION("""COMPUTED_VALUE"""),"KEL. SUNGAI BANGKONG")</f>
        <v>KEL. SUNGAI BANGKONG</v>
      </c>
      <c r="O1414" s="16" t="str">
        <f>IFERROR(__xludf.DUMMYFUNCTION("""COMPUTED_VALUE"""),"KEC. PONTIANAK KOTA")</f>
        <v>KEC. PONTIANAK KOTA</v>
      </c>
      <c r="P1414" s="16" t="str">
        <f>IFERROR(__xludf.DUMMYFUNCTION("""COMPUTED_VALUE"""),"KOTA PONTIANAK")</f>
        <v>KOTA PONTIANAK</v>
      </c>
      <c r="Q1414" s="16" t="str">
        <f>IFERROR(__xludf.DUMMYFUNCTION("""COMPUTED_VALUE"""),"KALIMANTAN BARAT")</f>
        <v>KALIMANTAN BARAT</v>
      </c>
      <c r="R1414" s="19" t="str">
        <f>IFERROR(__xludf.DUMMYFUNCTION("""COMPUTED_VALUE"""),"ISLAM")</f>
        <v>ISLAM</v>
      </c>
      <c r="S1414" s="16" t="str">
        <f>IFERROR(__xludf.DUMMYFUNCTION("""COMPUTED_VALUE"""),"ASN")</f>
        <v>ASN</v>
      </c>
      <c r="T1414" s="16" t="str">
        <f>IFERROR(__xludf.DUMMYFUNCTION("""COMPUTED_VALUE"""),"Sakit udah 4 bulan")</f>
        <v>Sakit udah 4 bulan</v>
      </c>
      <c r="U1414" s="16" t="str">
        <f>IFERROR(__xludf.DUMMYFUNCTION("""COMPUTED_VALUE"""),"Olahraga Basket, sepakbola")</f>
        <v>Olahraga Basket, sepakbola</v>
      </c>
      <c r="V1414" s="11" t="str">
        <f>IFERROR(__xludf.DUMMYFUNCTION("""COMPUTED_VALUE"""),"085295112713")</f>
        <v>085295112713</v>
      </c>
      <c r="W1414" s="15"/>
    </row>
    <row r="1415" ht="22.5" customHeight="1">
      <c r="A1415" s="42"/>
      <c r="B1415" s="9">
        <f>IFERROR(__xludf.DUMMYFUNCTION("""COMPUTED_VALUE"""),45447.50539585648)</f>
        <v>45447.5054</v>
      </c>
      <c r="C1415" s="9"/>
      <c r="D1415" s="34">
        <f>IFERROR(__xludf.DUMMYFUNCTION("""COMPUTED_VALUE"""),45452.0)</f>
        <v>45452</v>
      </c>
      <c r="E1415" s="34" t="str">
        <f>IFERROR(__xludf.DUMMYFUNCTION("""COMPUTED_VALUE"""),"06Jun")</f>
        <v>06Jun</v>
      </c>
      <c r="F1415" s="34" t="str">
        <f>IFERROR(__xludf.DUMMYFUNCTION("""COMPUTED_VALUE"""),"2024")</f>
        <v>2024</v>
      </c>
      <c r="G1415" s="35" t="str">
        <f>IFERROR(__xludf.DUMMYFUNCTION("""COMPUTED_VALUE"""),"HADI FAHRIZA")</f>
        <v>HADI FAHRIZA</v>
      </c>
      <c r="H1415" s="17" t="str">
        <f>IFERROR(__xludf.DUMMYFUNCTION("""COMPUTED_VALUE"""),"H9824068946")</f>
        <v>H9824068946</v>
      </c>
      <c r="I1415" s="17">
        <f>IFERROR(__xludf.DUMMYFUNCTION("""COMPUTED_VALUE"""),27.0)</f>
        <v>27</v>
      </c>
      <c r="J1415" s="17" t="str">
        <f>IFERROR(__xludf.DUMMYFUNCTION("""COMPUTED_VALUE"""),"25-34 tahun")</f>
        <v>25-34 tahun</v>
      </c>
      <c r="K1415" s="19">
        <f>IFERROR(__xludf.DUMMYFUNCTION("""COMPUTED_VALUE"""),36105.0)</f>
        <v>36105</v>
      </c>
      <c r="L1415" s="19" t="str">
        <f>IFERROR(__xludf.DUMMYFUNCTION("""COMPUTED_VALUE"""),"LAKI-LAKI")</f>
        <v>LAKI-LAKI</v>
      </c>
      <c r="M1415" s="16" t="str">
        <f>IFERROR(__xludf.DUMMYFUNCTION("""COMPUTED_VALUE"""),"JL. ARTERI SUPADIO")</f>
        <v>JL. ARTERI SUPADIO</v>
      </c>
      <c r="N1415" s="16" t="str">
        <f>IFERROR(__xludf.DUMMYFUNCTION("""COMPUTED_VALUE"""),"DS. LIMBUNG")</f>
        <v>DS. LIMBUNG</v>
      </c>
      <c r="O1415" s="16" t="str">
        <f>IFERROR(__xludf.DUMMYFUNCTION("""COMPUTED_VALUE"""),"KEC. SUNGAI RAYA")</f>
        <v>KEC. SUNGAI RAYA</v>
      </c>
      <c r="P1415" s="16" t="str">
        <f>IFERROR(__xludf.DUMMYFUNCTION("""COMPUTED_VALUE"""),"KAB. KUBU RAYA")</f>
        <v>KAB. KUBU RAYA</v>
      </c>
      <c r="Q1415" s="16" t="str">
        <f>IFERROR(__xludf.DUMMYFUNCTION("""COMPUTED_VALUE"""),"KALIMANTAN BARAT")</f>
        <v>KALIMANTAN BARAT</v>
      </c>
      <c r="R1415" s="19" t="str">
        <f>IFERROR(__xludf.DUMMYFUNCTION("""COMPUTED_VALUE"""),"ISLAM")</f>
        <v>ISLAM</v>
      </c>
      <c r="S1415" s="16" t="str">
        <f>IFERROR(__xludf.DUMMYFUNCTION("""COMPUTED_VALUE"""),"SWASTA")</f>
        <v>SWASTA</v>
      </c>
      <c r="T1415" s="16" t="str">
        <f>IFERROR(__xludf.DUMMYFUNCTION("""COMPUTED_VALUE"""),"Dada sedikit miring")</f>
        <v>Dada sedikit miring</v>
      </c>
      <c r="U1415" s="16" t="str">
        <f>IFERROR(__xludf.DUMMYFUNCTION("""COMPUTED_VALUE"""),"Kerja di depan Laptop")</f>
        <v>Kerja di depan Laptop</v>
      </c>
      <c r="V1415" s="11" t="str">
        <f>IFERROR(__xludf.DUMMYFUNCTION("""COMPUTED_VALUE"""),"085851608946")</f>
        <v>085851608946</v>
      </c>
      <c r="W1415" s="15"/>
    </row>
    <row r="1416" ht="22.5" customHeight="1">
      <c r="A1416" s="42"/>
      <c r="B1416" s="9">
        <f>IFERROR(__xludf.DUMMYFUNCTION("""COMPUTED_VALUE"""),45447.546688483795)</f>
        <v>45447.54669</v>
      </c>
      <c r="C1416" s="9"/>
      <c r="D1416" s="34">
        <f>IFERROR(__xludf.DUMMYFUNCTION("""COMPUTED_VALUE"""),45452.0)</f>
        <v>45452</v>
      </c>
      <c r="E1416" s="34" t="str">
        <f>IFERROR(__xludf.DUMMYFUNCTION("""COMPUTED_VALUE"""),"06Jun")</f>
        <v>06Jun</v>
      </c>
      <c r="F1416" s="34" t="str">
        <f>IFERROR(__xludf.DUMMYFUNCTION("""COMPUTED_VALUE"""),"2024")</f>
        <v>2024</v>
      </c>
      <c r="G1416" s="35" t="str">
        <f>IFERROR(__xludf.DUMMYFUNCTION("""COMPUTED_VALUE"""),"TOMMY ABDUL GHANI")</f>
        <v>TOMMY ABDUL GHANI</v>
      </c>
      <c r="H1416" s="17" t="str">
        <f>IFERROR(__xludf.DUMMYFUNCTION("""COMPUTED_VALUE"""),"T9424061583")</f>
        <v>T9424061583</v>
      </c>
      <c r="I1416" s="17">
        <f>IFERROR(__xludf.DUMMYFUNCTION("""COMPUTED_VALUE"""),31.0)</f>
        <v>31</v>
      </c>
      <c r="J1416" s="17" t="str">
        <f>IFERROR(__xludf.DUMMYFUNCTION("""COMPUTED_VALUE"""),"25-34 tahun")</f>
        <v>25-34 tahun</v>
      </c>
      <c r="K1416" s="19">
        <f>IFERROR(__xludf.DUMMYFUNCTION("""COMPUTED_VALUE"""),34669.0)</f>
        <v>34669</v>
      </c>
      <c r="L1416" s="19" t="str">
        <f>IFERROR(__xludf.DUMMYFUNCTION("""COMPUTED_VALUE"""),"LAKI-LAKI")</f>
        <v>LAKI-LAKI</v>
      </c>
      <c r="M1416" s="35" t="str">
        <f>IFERROR(__xludf.DUMMYFUNCTION("""COMPUTED_VALUE"""),"JL. PANGLIMA AIM, GG SILIWANGI NO 5")</f>
        <v>JL. PANGLIMA AIM, GG SILIWANGI NO 5</v>
      </c>
      <c r="N1416" s="16" t="str">
        <f>IFERROR(__xludf.DUMMYFUNCTION("""COMPUTED_VALUE"""),"KEL. TANJUNG HULU")</f>
        <v>KEL. TANJUNG HULU</v>
      </c>
      <c r="O1416" s="16" t="str">
        <f>IFERROR(__xludf.DUMMYFUNCTION("""COMPUTED_VALUE"""),"KEC. PONTIANAK TIMUR")</f>
        <v>KEC. PONTIANAK TIMUR</v>
      </c>
      <c r="P1416" s="16" t="str">
        <f>IFERROR(__xludf.DUMMYFUNCTION("""COMPUTED_VALUE"""),"KOTA PONTIANAK")</f>
        <v>KOTA PONTIANAK</v>
      </c>
      <c r="Q1416" s="16" t="str">
        <f>IFERROR(__xludf.DUMMYFUNCTION("""COMPUTED_VALUE"""),"KALIMANTAN BARAT")</f>
        <v>KALIMANTAN BARAT</v>
      </c>
      <c r="R1416" s="19" t="str">
        <f>IFERROR(__xludf.DUMMYFUNCTION("""COMPUTED_VALUE"""),"ISLAM")</f>
        <v>ISLAM</v>
      </c>
      <c r="S1416" s="16" t="str">
        <f>IFERROR(__xludf.DUMMYFUNCTION("""COMPUTED_VALUE"""),"SWASTA")</f>
        <v>SWASTA</v>
      </c>
      <c r="T1416" s="16" t="str">
        <f>IFERROR(__xludf.DUMMYFUNCTION("""COMPUTED_VALUE"""),"Nyeri paha bagian dalam")</f>
        <v>Nyeri paha bagian dalam</v>
      </c>
      <c r="U1416" s="16" t="str">
        <f>IFERROR(__xludf.DUMMYFUNCTION("""COMPUTED_VALUE"""),"-")</f>
        <v>-</v>
      </c>
      <c r="V1416" s="11" t="str">
        <f>IFERROR(__xludf.DUMMYFUNCTION("""COMPUTED_VALUE"""),"08152221583")</f>
        <v>08152221583</v>
      </c>
      <c r="W1416" s="15"/>
    </row>
    <row r="1417" ht="22.5" customHeight="1">
      <c r="A1417" s="42"/>
      <c r="B1417" s="9">
        <f>IFERROR(__xludf.DUMMYFUNCTION("""COMPUTED_VALUE"""),45447.49770136574)</f>
        <v>45447.4977</v>
      </c>
      <c r="C1417" s="9"/>
      <c r="D1417" s="34">
        <f>IFERROR(__xludf.DUMMYFUNCTION("""COMPUTED_VALUE"""),45452.0)</f>
        <v>45452</v>
      </c>
      <c r="E1417" s="34" t="str">
        <f>IFERROR(__xludf.DUMMYFUNCTION("""COMPUTED_VALUE"""),"06Jun")</f>
        <v>06Jun</v>
      </c>
      <c r="F1417" s="34" t="str">
        <f>IFERROR(__xludf.DUMMYFUNCTION("""COMPUTED_VALUE"""),"2024")</f>
        <v>2024</v>
      </c>
      <c r="G1417" s="35" t="str">
        <f>IFERROR(__xludf.DUMMYFUNCTION("""COMPUTED_VALUE"""),"WENNY SURIANTI")</f>
        <v>WENNY SURIANTI</v>
      </c>
      <c r="H1417" s="17" t="str">
        <f>IFERROR(__xludf.DUMMYFUNCTION("""COMPUTED_VALUE"""),"W7824065667")</f>
        <v>W7824065667</v>
      </c>
      <c r="I1417" s="17">
        <f>IFERROR(__xludf.DUMMYFUNCTION("""COMPUTED_VALUE"""),48.0)</f>
        <v>48</v>
      </c>
      <c r="J1417" s="17" t="str">
        <f>IFERROR(__xludf.DUMMYFUNCTION("""COMPUTED_VALUE"""),"&gt; 44 tahun")</f>
        <v>&gt; 44 tahun</v>
      </c>
      <c r="K1417" s="19">
        <f>IFERROR(__xludf.DUMMYFUNCTION("""COMPUTED_VALUE"""),28616.0)</f>
        <v>28616</v>
      </c>
      <c r="L1417" s="19" t="str">
        <f>IFERROR(__xludf.DUMMYFUNCTION("""COMPUTED_VALUE"""),"PEREMPUAN")</f>
        <v>PEREMPUAN</v>
      </c>
      <c r="M1417" s="35" t="str">
        <f>IFERROR(__xludf.DUMMYFUNCTION("""COMPUTED_VALUE"""),"JALAN RE.MARTADINATA KOMP.PEMDA JALUR 3")</f>
        <v>JALAN RE.MARTADINATA KOMP.PEMDA JALUR 3</v>
      </c>
      <c r="N1417" s="35" t="str">
        <f>IFERROR(__xludf.DUMMYFUNCTION("""COMPUTED_VALUE"""),"KEL. SUNGAI JAWI")</f>
        <v>KEL. SUNGAI JAWI</v>
      </c>
      <c r="O1417" s="35" t="str">
        <f>IFERROR(__xludf.DUMMYFUNCTION("""COMPUTED_VALUE"""),"KEC. PONTIANAK BARAT")</f>
        <v>KEC. PONTIANAK BARAT</v>
      </c>
      <c r="P1417" s="16" t="str">
        <f>IFERROR(__xludf.DUMMYFUNCTION("""COMPUTED_VALUE"""),"KOTA PONTIANAK")</f>
        <v>KOTA PONTIANAK</v>
      </c>
      <c r="Q1417" s="16" t="str">
        <f>IFERROR(__xludf.DUMMYFUNCTION("""COMPUTED_VALUE"""),"KALIMANTAN BARAT")</f>
        <v>KALIMANTAN BARAT</v>
      </c>
      <c r="R1417" s="19" t="str">
        <f>IFERROR(__xludf.DUMMYFUNCTION("""COMPUTED_VALUE"""),"ISLAM")</f>
        <v>ISLAM</v>
      </c>
      <c r="S1417" s="16" t="str">
        <f>IFERROR(__xludf.DUMMYFUNCTION("""COMPUTED_VALUE"""),"BUMN")</f>
        <v>BUMN</v>
      </c>
      <c r="T1417" s="16" t="str">
        <f>IFERROR(__xludf.DUMMYFUNCTION("""COMPUTED_VALUE"""),"Sei jawi luar")</f>
        <v>Sei jawi luar</v>
      </c>
      <c r="U1417" s="16" t="str">
        <f>IFERROR(__xludf.DUMMYFUNCTION("""COMPUTED_VALUE"""),"-")</f>
        <v>-</v>
      </c>
      <c r="V1417" s="11" t="str">
        <f>IFERROR(__xludf.DUMMYFUNCTION("""COMPUTED_VALUE"""),"08115785667")</f>
        <v>08115785667</v>
      </c>
      <c r="W1417" s="15"/>
    </row>
    <row r="1418" ht="22.5" customHeight="1">
      <c r="A1418" s="42"/>
      <c r="B1418" s="9">
        <f>IFERROR(__xludf.DUMMYFUNCTION("""COMPUTED_VALUE"""),45447.60772493055)</f>
        <v>45447.60772</v>
      </c>
      <c r="C1418" s="9"/>
      <c r="D1418" s="34">
        <f>IFERROR(__xludf.DUMMYFUNCTION("""COMPUTED_VALUE"""),45452.0)</f>
        <v>45452</v>
      </c>
      <c r="E1418" s="34" t="str">
        <f>IFERROR(__xludf.DUMMYFUNCTION("""COMPUTED_VALUE"""),"06Jun")</f>
        <v>06Jun</v>
      </c>
      <c r="F1418" s="34" t="str">
        <f>IFERROR(__xludf.DUMMYFUNCTION("""COMPUTED_VALUE"""),"2024")</f>
        <v>2024</v>
      </c>
      <c r="G1418" s="35" t="str">
        <f>IFERROR(__xludf.DUMMYFUNCTION("""COMPUTED_VALUE"""),"TITO RIYAN PUTRA")</f>
        <v>TITO RIYAN PUTRA</v>
      </c>
      <c r="H1418" s="17" t="str">
        <f>IFERROR(__xludf.DUMMYFUNCTION("""COMPUTED_VALUE"""),"T9624067315")</f>
        <v>T9624067315</v>
      </c>
      <c r="I1418" s="17">
        <f>IFERROR(__xludf.DUMMYFUNCTION("""COMPUTED_VALUE"""),29.0)</f>
        <v>29</v>
      </c>
      <c r="J1418" s="17" t="str">
        <f>IFERROR(__xludf.DUMMYFUNCTION("""COMPUTED_VALUE"""),"25-34 tahun")</f>
        <v>25-34 tahun</v>
      </c>
      <c r="K1418" s="19">
        <f>IFERROR(__xludf.DUMMYFUNCTION("""COMPUTED_VALUE"""),35346.0)</f>
        <v>35346</v>
      </c>
      <c r="L1418" s="19" t="str">
        <f>IFERROR(__xludf.DUMMYFUNCTION("""COMPUTED_VALUE"""),"LAKI-LAKI")</f>
        <v>LAKI-LAKI</v>
      </c>
      <c r="M1418" s="35" t="str">
        <f>IFERROR(__xludf.DUMMYFUNCTION("""COMPUTED_VALUE"""),"JL PARIT HAJI MUKSIN 2")</f>
        <v>JL PARIT HAJI MUKSIN 2</v>
      </c>
      <c r="N1418" s="16" t="str">
        <f>IFERROR(__xludf.DUMMYFUNCTION("""COMPUTED_VALUE"""),"KEL. SUNGAI RAYA")</f>
        <v>KEL. SUNGAI RAYA</v>
      </c>
      <c r="O1418" s="16" t="str">
        <f>IFERROR(__xludf.DUMMYFUNCTION("""COMPUTED_VALUE"""),"KEC. SUNGAI RAYA")</f>
        <v>KEC. SUNGAI RAYA</v>
      </c>
      <c r="P1418" s="16" t="str">
        <f>IFERROR(__xludf.DUMMYFUNCTION("""COMPUTED_VALUE"""),"KAB. KUBU RAYA")</f>
        <v>KAB. KUBU RAYA</v>
      </c>
      <c r="Q1418" s="16" t="str">
        <f>IFERROR(__xludf.DUMMYFUNCTION("""COMPUTED_VALUE"""),"KALIMANTAN BARAT")</f>
        <v>KALIMANTAN BARAT</v>
      </c>
      <c r="R1418" s="19" t="str">
        <f>IFERROR(__xludf.DUMMYFUNCTION("""COMPUTED_VALUE"""),"ISLAM")</f>
        <v>ISLAM</v>
      </c>
      <c r="S1418" s="16" t="str">
        <f>IFERROR(__xludf.DUMMYFUNCTION("""COMPUTED_VALUE"""),"SWASTA")</f>
        <v>SWASTA</v>
      </c>
      <c r="T1418" s="16" t="str">
        <f>IFERROR(__xludf.DUMMYFUNCTION("""COMPUTED_VALUE"""),"TFCC")</f>
        <v>TFCC</v>
      </c>
      <c r="U1418" s="16" t="str">
        <f>IFERROR(__xludf.DUMMYFUNCTION("""COMPUTED_VALUE"""),"Badminton")</f>
        <v>Badminton</v>
      </c>
      <c r="V1418" s="11" t="str">
        <f>IFERROR(__xludf.DUMMYFUNCTION("""COMPUTED_VALUE"""),"089658587315")</f>
        <v>089658587315</v>
      </c>
      <c r="W1418" s="15"/>
    </row>
    <row r="1419" ht="22.5" customHeight="1">
      <c r="A1419" s="8"/>
      <c r="B1419" s="9">
        <f>IFERROR(__xludf.DUMMYFUNCTION("""COMPUTED_VALUE"""),45447.64812489583)</f>
        <v>45447.64812</v>
      </c>
      <c r="C1419" s="9"/>
      <c r="D1419" s="34">
        <f>IFERROR(__xludf.DUMMYFUNCTION("""COMPUTED_VALUE"""),45452.0)</f>
        <v>45452</v>
      </c>
      <c r="E1419" s="34" t="str">
        <f>IFERROR(__xludf.DUMMYFUNCTION("""COMPUTED_VALUE"""),"06Jun")</f>
        <v>06Jun</v>
      </c>
      <c r="F1419" s="34" t="str">
        <f>IFERROR(__xludf.DUMMYFUNCTION("""COMPUTED_VALUE"""),"2024")</f>
        <v>2024</v>
      </c>
      <c r="G1419" s="35" t="str">
        <f>IFERROR(__xludf.DUMMYFUNCTION("""COMPUTED_VALUE"""),"JERRI VIANTO")</f>
        <v>JERRI VIANTO</v>
      </c>
      <c r="H1419" s="17" t="str">
        <f>IFERROR(__xludf.DUMMYFUNCTION("""COMPUTED_VALUE"""),"J0424063790")</f>
        <v>J0424063790</v>
      </c>
      <c r="I1419" s="17">
        <f>IFERROR(__xludf.DUMMYFUNCTION("""COMPUTED_VALUE"""),22.0)</f>
        <v>22</v>
      </c>
      <c r="J1419" s="17" t="str">
        <f>IFERROR(__xludf.DUMMYFUNCTION("""COMPUTED_VALUE"""),"18-24 tahun")</f>
        <v>18-24 tahun</v>
      </c>
      <c r="K1419" s="19">
        <f>IFERROR(__xludf.DUMMYFUNCTION("""COMPUTED_VALUE"""),38069.0)</f>
        <v>38069</v>
      </c>
      <c r="L1419" s="19" t="str">
        <f>IFERROR(__xludf.DUMMYFUNCTION("""COMPUTED_VALUE"""),"LAKI-LAKI")</f>
        <v>LAKI-LAKI</v>
      </c>
      <c r="M1419" s="35" t="str">
        <f>IFERROR(__xludf.DUMMYFUNCTION("""COMPUTED_VALUE"""),"DUSUN BARELAMAT")</f>
        <v>DUSUN BARELAMAT</v>
      </c>
      <c r="N1419" s="16" t="str">
        <f>IFERROR(__xludf.DUMMYFUNCTION("""COMPUTED_VALUE"""),"DS. LAMOLDA")</f>
        <v>DS. LAMOLDA</v>
      </c>
      <c r="O1419" s="16" t="str">
        <f>IFERROR(__xludf.DUMMYFUNCTION("""COMPUTED_VALUE"""),"KEC. LUMAR")</f>
        <v>KEC. LUMAR</v>
      </c>
      <c r="P1419" s="16" t="str">
        <f>IFERROR(__xludf.DUMMYFUNCTION("""COMPUTED_VALUE"""),"KAB. BENGKAYANG")</f>
        <v>KAB. BENGKAYANG</v>
      </c>
      <c r="Q1419" s="16" t="str">
        <f>IFERROR(__xludf.DUMMYFUNCTION("""COMPUTED_VALUE"""),"KALIMANTAN BARAT")</f>
        <v>KALIMANTAN BARAT</v>
      </c>
      <c r="R1419" s="19" t="str">
        <f>IFERROR(__xludf.DUMMYFUNCTION("""COMPUTED_VALUE"""),"KATOLIK")</f>
        <v>KATOLIK</v>
      </c>
      <c r="S1419" s="16" t="str">
        <f>IFERROR(__xludf.DUMMYFUNCTION("""COMPUTED_VALUE"""),"PELAJAR/MAHASISWA")</f>
        <v>PELAJAR/MAHASISWA</v>
      </c>
      <c r="T1419" s="16" t="str">
        <f>IFERROR(__xludf.DUMMYFUNCTION("""COMPUTED_VALUE"""),"Cidera")</f>
        <v>Cidera</v>
      </c>
      <c r="U1419" s="16" t="str">
        <f>IFERROR(__xludf.DUMMYFUNCTION("""COMPUTED_VALUE"""),"Kuliah, futsal")</f>
        <v>Kuliah, futsal</v>
      </c>
      <c r="V1419" s="11" t="str">
        <f>IFERROR(__xludf.DUMMYFUNCTION("""COMPUTED_VALUE"""),"081545683790")</f>
        <v>081545683790</v>
      </c>
      <c r="W1419" s="15"/>
    </row>
    <row r="1420" ht="22.5" customHeight="1">
      <c r="A1420" s="8"/>
      <c r="B1420" s="9">
        <f>IFERROR(__xludf.DUMMYFUNCTION("""COMPUTED_VALUE"""),45447.78159033565)</f>
        <v>45447.78159</v>
      </c>
      <c r="C1420" s="9"/>
      <c r="D1420" s="34">
        <f>IFERROR(__xludf.DUMMYFUNCTION("""COMPUTED_VALUE"""),45453.0)</f>
        <v>45453</v>
      </c>
      <c r="E1420" s="34" t="str">
        <f>IFERROR(__xludf.DUMMYFUNCTION("""COMPUTED_VALUE"""),"06Jun")</f>
        <v>06Jun</v>
      </c>
      <c r="F1420" s="34" t="str">
        <f>IFERROR(__xludf.DUMMYFUNCTION("""COMPUTED_VALUE"""),"2024")</f>
        <v>2024</v>
      </c>
      <c r="G1420" s="35" t="str">
        <f>IFERROR(__xludf.DUMMYFUNCTION("""COMPUTED_VALUE"""),"WULAN NURFADILLAH")</f>
        <v>WULAN NURFADILLAH</v>
      </c>
      <c r="H1420" s="17" t="str">
        <f>IFERROR(__xludf.DUMMYFUNCTION("""COMPUTED_VALUE"""),"W0124066662")</f>
        <v>W0124066662</v>
      </c>
      <c r="I1420" s="17">
        <f>IFERROR(__xludf.DUMMYFUNCTION("""COMPUTED_VALUE"""),25.0)</f>
        <v>25</v>
      </c>
      <c r="J1420" s="17" t="str">
        <f>IFERROR(__xludf.DUMMYFUNCTION("""COMPUTED_VALUE"""),"25-34 tahun")</f>
        <v>25-34 tahun</v>
      </c>
      <c r="K1420" s="19">
        <f>IFERROR(__xludf.DUMMYFUNCTION("""COMPUTED_VALUE"""),37043.0)</f>
        <v>37043</v>
      </c>
      <c r="L1420" s="19" t="str">
        <f>IFERROR(__xludf.DUMMYFUNCTION("""COMPUTED_VALUE"""),"PEREMPUAN")</f>
        <v>PEREMPUAN</v>
      </c>
      <c r="M1420" s="35" t="str">
        <f>IFERROR(__xludf.DUMMYFUNCTION("""COMPUTED_VALUE"""),"INDRAMAYU")</f>
        <v>INDRAMAYU</v>
      </c>
      <c r="N1420" s="16" t="str">
        <f>IFERROR(__xludf.DUMMYFUNCTION("""COMPUTED_VALUE"""),"KEL. KRIMUN")</f>
        <v>KEL. KRIMUN</v>
      </c>
      <c r="O1420" s="16" t="str">
        <f>IFERROR(__xludf.DUMMYFUNCTION("""COMPUTED_VALUE"""),"KEC. LOSARANG")</f>
        <v>KEC. LOSARANG</v>
      </c>
      <c r="P1420" s="16" t="str">
        <f>IFERROR(__xludf.DUMMYFUNCTION("""COMPUTED_VALUE"""),"KAB. INDRAMAYU")</f>
        <v>KAB. INDRAMAYU</v>
      </c>
      <c r="Q1420" s="16" t="str">
        <f>IFERROR(__xludf.DUMMYFUNCTION("""COMPUTED_VALUE"""),"JAWA BARAT")</f>
        <v>JAWA BARAT</v>
      </c>
      <c r="R1420" s="19" t="str">
        <f>IFERROR(__xludf.DUMMYFUNCTION("""COMPUTED_VALUE"""),"ISLAM")</f>
        <v>ISLAM</v>
      </c>
      <c r="S1420" s="16" t="str">
        <f>IFERROR(__xludf.DUMMYFUNCTION("""COMPUTED_VALUE"""),"SWASTA")</f>
        <v>SWASTA</v>
      </c>
      <c r="T1420" s="16" t="str">
        <f>IFERROR(__xludf.DUMMYFUNCTION("""COMPUTED_VALUE"""),"cidra engkel")</f>
        <v>cidra engkel</v>
      </c>
      <c r="U1420" s="16" t="str">
        <f>IFERROR(__xludf.DUMMYFUNCTION("""COMPUTED_VALUE"""),"membaca")</f>
        <v>membaca</v>
      </c>
      <c r="V1420" s="11" t="str">
        <f>IFERROR(__xludf.DUMMYFUNCTION("""COMPUTED_VALUE"""),"089668026662")</f>
        <v>089668026662</v>
      </c>
      <c r="W1420" s="15"/>
    </row>
    <row r="1421" ht="22.5" customHeight="1">
      <c r="A1421" s="8"/>
      <c r="B1421" s="9">
        <f>IFERROR(__xludf.DUMMYFUNCTION("""COMPUTED_VALUE"""),45447.8501342824)</f>
        <v>45447.85013</v>
      </c>
      <c r="C1421" s="9"/>
      <c r="D1421" s="34">
        <f>IFERROR(__xludf.DUMMYFUNCTION("""COMPUTED_VALUE"""),45453.50069515046)</f>
        <v>45453.5007</v>
      </c>
      <c r="E1421" s="34" t="str">
        <f>IFERROR(__xludf.DUMMYFUNCTION("""COMPUTED_VALUE"""),"06Jun")</f>
        <v>06Jun</v>
      </c>
      <c r="F1421" s="34" t="str">
        <f>IFERROR(__xludf.DUMMYFUNCTION("""COMPUTED_VALUE"""),"2024")</f>
        <v>2024</v>
      </c>
      <c r="G1421" s="35" t="str">
        <f>IFERROR(__xludf.DUMMYFUNCTION("""COMPUTED_VALUE"""),"ALDI PONDRA NOVRIZA")</f>
        <v>ALDI PONDRA NOVRIZA</v>
      </c>
      <c r="H1421" s="17" t="str">
        <f>IFERROR(__xludf.DUMMYFUNCTION("""COMPUTED_VALUE"""),"A0124065223")</f>
        <v>A0124065223</v>
      </c>
      <c r="I1421" s="17">
        <f>IFERROR(__xludf.DUMMYFUNCTION("""COMPUTED_VALUE"""),24.0)</f>
        <v>24</v>
      </c>
      <c r="J1421" s="17" t="str">
        <f>IFERROR(__xludf.DUMMYFUNCTION("""COMPUTED_VALUE"""),"18-24 tahun")</f>
        <v>18-24 tahun</v>
      </c>
      <c r="K1421" s="19">
        <f>IFERROR(__xludf.DUMMYFUNCTION("""COMPUTED_VALUE"""),37202.0)</f>
        <v>37202</v>
      </c>
      <c r="L1421" s="19" t="str">
        <f>IFERROR(__xludf.DUMMYFUNCTION("""COMPUTED_VALUE"""),"LAKI-LAKI")</f>
        <v>LAKI-LAKI</v>
      </c>
      <c r="M1421" s="35" t="str">
        <f>IFERROR(__xludf.DUMMYFUNCTION("""COMPUTED_VALUE"""),"JALAN. KARYA KOMPLEK. ARI KARYA INDAH 1 NO.6A")</f>
        <v>JALAN. KARYA KOMPLEK. ARI KARYA INDAH 1 NO.6A</v>
      </c>
      <c r="N1421" s="16" t="str">
        <f>IFERROR(__xludf.DUMMYFUNCTION("""COMPUTED_VALUE"""),"KEL. PAL IX")</f>
        <v>KEL. PAL IX</v>
      </c>
      <c r="O1421" s="16" t="str">
        <f>IFERROR(__xludf.DUMMYFUNCTION("""COMPUTED_VALUE"""),"KEC. SUNGAI KAKAP")</f>
        <v>KEC. SUNGAI KAKAP</v>
      </c>
      <c r="P1421" s="16" t="str">
        <f>IFERROR(__xludf.DUMMYFUNCTION("""COMPUTED_VALUE"""),"KAB. KUBU RAYA")</f>
        <v>KAB. KUBU RAYA</v>
      </c>
      <c r="Q1421" s="16" t="str">
        <f>IFERROR(__xludf.DUMMYFUNCTION("""COMPUTED_VALUE"""),"KALIMANTAN BARAT")</f>
        <v>KALIMANTAN BARAT</v>
      </c>
      <c r="R1421" s="19" t="str">
        <f>IFERROR(__xludf.DUMMYFUNCTION("""COMPUTED_VALUE"""),"ISLAM")</f>
        <v>ISLAM</v>
      </c>
      <c r="S1421" s="16" t="str">
        <f>IFERROR(__xludf.DUMMYFUNCTION("""COMPUTED_VALUE"""),"PELAJAR/MAHASISWA")</f>
        <v>PELAJAR/MAHASISWA</v>
      </c>
      <c r="T1421" s="16" t="str">
        <f>IFERROR(__xludf.DUMMYFUNCTION("""COMPUTED_VALUE"""),"Ankle Sprain")</f>
        <v>Ankle Sprain</v>
      </c>
      <c r="U1421" s="16" t="str">
        <f>IFERROR(__xludf.DUMMYFUNCTION("""COMPUTED_VALUE"""),"Olahraga")</f>
        <v>Olahraga</v>
      </c>
      <c r="V1421" s="11" t="str">
        <f>IFERROR(__xludf.DUMMYFUNCTION("""COMPUTED_VALUE"""),"089517935223")</f>
        <v>089517935223</v>
      </c>
      <c r="W1421" s="15"/>
    </row>
    <row r="1422" ht="22.5" customHeight="1">
      <c r="A1422" s="8"/>
      <c r="B1422" s="9">
        <f>IFERROR(__xludf.DUMMYFUNCTION("""COMPUTED_VALUE"""),45446.862375729164)</f>
        <v>45446.86238</v>
      </c>
      <c r="C1422" s="9"/>
      <c r="D1422" s="34">
        <f>IFERROR(__xludf.DUMMYFUNCTION("""COMPUTED_VALUE"""),45454.0)</f>
        <v>45454</v>
      </c>
      <c r="E1422" s="34" t="str">
        <f>IFERROR(__xludf.DUMMYFUNCTION("""COMPUTED_VALUE"""),"06Jun")</f>
        <v>06Jun</v>
      </c>
      <c r="F1422" s="34" t="str">
        <f>IFERROR(__xludf.DUMMYFUNCTION("""COMPUTED_VALUE"""),"2024")</f>
        <v>2024</v>
      </c>
      <c r="G1422" s="35" t="str">
        <f>IFERROR(__xludf.DUMMYFUNCTION("""COMPUTED_VALUE"""),"M. IMRON FATCHURROZI")</f>
        <v>M. IMRON FATCHURROZI</v>
      </c>
      <c r="H1422" s="17" t="str">
        <f>IFERROR(__xludf.DUMMYFUNCTION("""COMPUTED_VALUE"""),"M9524069037")</f>
        <v>M9524069037</v>
      </c>
      <c r="I1422" s="17">
        <f>IFERROR(__xludf.DUMMYFUNCTION("""COMPUTED_VALUE"""),31.0)</f>
        <v>31</v>
      </c>
      <c r="J1422" s="17" t="str">
        <f>IFERROR(__xludf.DUMMYFUNCTION("""COMPUTED_VALUE"""),"25-34 tahun")</f>
        <v>25-34 tahun</v>
      </c>
      <c r="K1422" s="19">
        <f>IFERROR(__xludf.DUMMYFUNCTION("""COMPUTED_VALUE"""),34764.0)</f>
        <v>34764</v>
      </c>
      <c r="L1422" s="19" t="str">
        <f>IFERROR(__xludf.DUMMYFUNCTION("""COMPUTED_VALUE"""),"LAKI-LAKI")</f>
        <v>LAKI-LAKI</v>
      </c>
      <c r="M1422" s="35" t="str">
        <f>IFERROR(__xludf.DUMMYFUNCTION("""COMPUTED_VALUE"""),"JL. PEMDA, KOMP. STAR BORNEO RESIDENCE 3")</f>
        <v>JL. PEMDA, KOMP. STAR BORNEO RESIDENCE 3</v>
      </c>
      <c r="N1422" s="16" t="str">
        <f>IFERROR(__xludf.DUMMYFUNCTION("""COMPUTED_VALUE"""),"KEL. PARIT MAYOR")</f>
        <v>KEL. PARIT MAYOR</v>
      </c>
      <c r="O1422" s="16" t="str">
        <f>IFERROR(__xludf.DUMMYFUNCTION("""COMPUTED_VALUE"""),"KEC. PONTIANAK TIMUR")</f>
        <v>KEC. PONTIANAK TIMUR</v>
      </c>
      <c r="P1422" s="16" t="str">
        <f>IFERROR(__xludf.DUMMYFUNCTION("""COMPUTED_VALUE"""),"KOTA PONTIANAK")</f>
        <v>KOTA PONTIANAK</v>
      </c>
      <c r="Q1422" s="16" t="str">
        <f>IFERROR(__xludf.DUMMYFUNCTION("""COMPUTED_VALUE"""),"KALIMANTAN BARAT")</f>
        <v>KALIMANTAN BARAT</v>
      </c>
      <c r="R1422" s="19" t="str">
        <f>IFERROR(__xludf.DUMMYFUNCTION("""COMPUTED_VALUE"""),"ISLAM")</f>
        <v>ISLAM</v>
      </c>
      <c r="S1422" s="16" t="str">
        <f>IFERROR(__xludf.DUMMYFUNCTION("""COMPUTED_VALUE"""),"ARTIST")</f>
        <v>ARTIST</v>
      </c>
      <c r="T1422" s="16" t="str">
        <f>IFERROR(__xludf.DUMMYFUNCTION("""COMPUTED_VALUE"""),"FROZEN SHOULDER, CIDERA BAHU")</f>
        <v>FROZEN SHOULDER, CIDERA BAHU</v>
      </c>
      <c r="U1422" s="16" t="str">
        <f>IFERROR(__xludf.DUMMYFUNCTION("""COMPUTED_VALUE"""),"FOTOGRAFER")</f>
        <v>FOTOGRAFER</v>
      </c>
      <c r="V1422" s="11" t="str">
        <f>IFERROR(__xludf.DUMMYFUNCTION("""COMPUTED_VALUE"""),"081258319037")</f>
        <v>081258319037</v>
      </c>
      <c r="W1422" s="15"/>
    </row>
    <row r="1423" ht="22.5" customHeight="1">
      <c r="A1423" s="8"/>
      <c r="B1423" s="9">
        <f>IFERROR(__xludf.DUMMYFUNCTION("""COMPUTED_VALUE"""),45448.44025863426)</f>
        <v>45448.44026</v>
      </c>
      <c r="C1423" s="9"/>
      <c r="D1423" s="34">
        <f>IFERROR(__xludf.DUMMYFUNCTION("""COMPUTED_VALUE"""),45454.0)</f>
        <v>45454</v>
      </c>
      <c r="E1423" s="34" t="str">
        <f>IFERROR(__xludf.DUMMYFUNCTION("""COMPUTED_VALUE"""),"06Jun")</f>
        <v>06Jun</v>
      </c>
      <c r="F1423" s="34" t="str">
        <f>IFERROR(__xludf.DUMMYFUNCTION("""COMPUTED_VALUE"""),"2024")</f>
        <v>2024</v>
      </c>
      <c r="G1423" s="35" t="str">
        <f>IFERROR(__xludf.DUMMYFUNCTION("""COMPUTED_VALUE"""),"UKI BASUKIQ")</f>
        <v>UKI BASUKIQ</v>
      </c>
      <c r="H1423" s="17" t="str">
        <f>IFERROR(__xludf.DUMMYFUNCTION("""COMPUTED_VALUE"""),"U6824061794")</f>
        <v>U6824061794</v>
      </c>
      <c r="I1423" s="17">
        <f>IFERROR(__xludf.DUMMYFUNCTION("""COMPUTED_VALUE"""),57.0)</f>
        <v>57</v>
      </c>
      <c r="J1423" s="17" t="str">
        <f>IFERROR(__xludf.DUMMYFUNCTION("""COMPUTED_VALUE"""),"&gt; 44 tahun")</f>
        <v>&gt; 44 tahun</v>
      </c>
      <c r="K1423" s="19">
        <f>IFERROR(__xludf.DUMMYFUNCTION("""COMPUTED_VALUE"""),25039.0)</f>
        <v>25039</v>
      </c>
      <c r="L1423" s="19" t="str">
        <f>IFERROR(__xludf.DUMMYFUNCTION("""COMPUTED_VALUE"""),"LAKI-LAKI")</f>
        <v>LAKI-LAKI</v>
      </c>
      <c r="M1423" s="35" t="str">
        <f>IFERROR(__xludf.DUMMYFUNCTION("""COMPUTED_VALUE"""),"JALAN HILIR TENGAH 1")</f>
        <v>JALAN HILIR TENGAH 1</v>
      </c>
      <c r="N1423" s="16" t="str">
        <f>IFERROR(__xludf.DUMMYFUNCTION("""COMPUTED_VALUE"""),"DS. HILIR TENGAH")</f>
        <v>DS. HILIR TENGAH</v>
      </c>
      <c r="O1423" s="16" t="str">
        <f>IFERROR(__xludf.DUMMYFUNCTION("""COMPUTED_VALUE"""),"KEC. NGABANG")</f>
        <v>KEC. NGABANG</v>
      </c>
      <c r="P1423" s="16" t="str">
        <f>IFERROR(__xludf.DUMMYFUNCTION("""COMPUTED_VALUE"""),"KAB. LANDAK")</f>
        <v>KAB. LANDAK</v>
      </c>
      <c r="Q1423" s="16" t="str">
        <f>IFERROR(__xludf.DUMMYFUNCTION("""COMPUTED_VALUE"""),"KALIMANTAN BARAT")</f>
        <v>KALIMANTAN BARAT</v>
      </c>
      <c r="R1423" s="19" t="str">
        <f>IFERROR(__xludf.DUMMYFUNCTION("""COMPUTED_VALUE"""),"ISLAM")</f>
        <v>ISLAM</v>
      </c>
      <c r="S1423" s="16" t="str">
        <f>IFERROR(__xludf.DUMMYFUNCTION("""COMPUTED_VALUE"""),"SWASTA")</f>
        <v>SWASTA</v>
      </c>
      <c r="T1423" s="16" t="str">
        <f>IFERROR(__xludf.DUMMYFUNCTION("""COMPUTED_VALUE"""),"bagian pinggul tulang bagian pantat sampe ke nyeri, ditakutkan syaraf kejepit")</f>
        <v>bagian pinggul tulang bagian pantat sampe ke nyeri, ditakutkan syaraf kejepit</v>
      </c>
      <c r="U1423" s="16" t="str">
        <f>IFERROR(__xludf.DUMMYFUNCTION("""COMPUTED_VALUE"""),"berjualan")</f>
        <v>berjualan</v>
      </c>
      <c r="V1423" s="11" t="str">
        <f>IFERROR(__xludf.DUMMYFUNCTION("""COMPUTED_VALUE"""),"082159331794")</f>
        <v>082159331794</v>
      </c>
      <c r="W1423" s="15"/>
    </row>
    <row r="1424" ht="22.5" customHeight="1">
      <c r="A1424" s="8"/>
      <c r="B1424" s="9">
        <f>IFERROR(__xludf.DUMMYFUNCTION("""COMPUTED_VALUE"""),45448.39013880787)</f>
        <v>45448.39014</v>
      </c>
      <c r="C1424" s="9"/>
      <c r="D1424" s="34">
        <f>IFERROR(__xludf.DUMMYFUNCTION("""COMPUTED_VALUE"""),45454.0)</f>
        <v>45454</v>
      </c>
      <c r="E1424" s="34" t="str">
        <f>IFERROR(__xludf.DUMMYFUNCTION("""COMPUTED_VALUE"""),"06Jun")</f>
        <v>06Jun</v>
      </c>
      <c r="F1424" s="34" t="str">
        <f>IFERROR(__xludf.DUMMYFUNCTION("""COMPUTED_VALUE"""),"2024")</f>
        <v>2024</v>
      </c>
      <c r="G1424" s="35" t="str">
        <f>IFERROR(__xludf.DUMMYFUNCTION("""COMPUTED_VALUE"""),"BERNADUS WINARDI")</f>
        <v>BERNADUS WINARDI</v>
      </c>
      <c r="H1424" s="17" t="str">
        <f>IFERROR(__xludf.DUMMYFUNCTION("""COMPUTED_VALUE"""),"B7124063424")</f>
        <v>B7124063424</v>
      </c>
      <c r="I1424" s="17">
        <f>IFERROR(__xludf.DUMMYFUNCTION("""COMPUTED_VALUE"""),55.0)</f>
        <v>55</v>
      </c>
      <c r="J1424" s="17" t="str">
        <f>IFERROR(__xludf.DUMMYFUNCTION("""COMPUTED_VALUE"""),"&gt; 44 tahun")</f>
        <v>&gt; 44 tahun</v>
      </c>
      <c r="K1424" s="19">
        <f>IFERROR(__xludf.DUMMYFUNCTION("""COMPUTED_VALUE"""),26105.0)</f>
        <v>26105</v>
      </c>
      <c r="L1424" s="19" t="str">
        <f>IFERROR(__xludf.DUMMYFUNCTION("""COMPUTED_VALUE"""),"LAKI-LAKI")</f>
        <v>LAKI-LAKI</v>
      </c>
      <c r="M1424" s="35" t="str">
        <f>IFERROR(__xludf.DUMMYFUNCTION("""COMPUTED_VALUE"""),"JL. ILHAM, GANG ILHAM 2, JALUR I NO. 89")</f>
        <v>JL. ILHAM, GANG ILHAM 2, JALUR I NO. 89</v>
      </c>
      <c r="N1424" s="16" t="str">
        <f>IFERROR(__xludf.DUMMYFUNCTION("""COMPUTED_VALUE"""),"KEL. SUNGAI BANGKONG")</f>
        <v>KEL. SUNGAI BANGKONG</v>
      </c>
      <c r="O1424" s="16" t="str">
        <f>IFERROR(__xludf.DUMMYFUNCTION("""COMPUTED_VALUE"""),"KEC. PONTIANAK KOTA")</f>
        <v>KEC. PONTIANAK KOTA</v>
      </c>
      <c r="P1424" s="16" t="str">
        <f>IFERROR(__xludf.DUMMYFUNCTION("""COMPUTED_VALUE"""),"KOTA PONTIANAK")</f>
        <v>KOTA PONTIANAK</v>
      </c>
      <c r="Q1424" s="16" t="str">
        <f>IFERROR(__xludf.DUMMYFUNCTION("""COMPUTED_VALUE"""),"KALIMANTAN BARAT")</f>
        <v>KALIMANTAN BARAT</v>
      </c>
      <c r="R1424" s="19" t="str">
        <f>IFERROR(__xludf.DUMMYFUNCTION("""COMPUTED_VALUE"""),"KATOLIK")</f>
        <v>KATOLIK</v>
      </c>
      <c r="S1424" s="16" t="str">
        <f>IFERROR(__xludf.DUMMYFUNCTION("""COMPUTED_VALUE"""),"WIRASWASTA")</f>
        <v>WIRASWASTA</v>
      </c>
      <c r="T1424" s="16" t="str">
        <f>IFERROR(__xludf.DUMMYFUNCTION("""COMPUTED_VALUE"""),"Sakit dari pangkal paha, bokong, paha, betis, telapak kaki sakit. Sulit berjalan.")</f>
        <v>Sakit dari pangkal paha, bokong, paha, betis, telapak kaki sakit. Sulit berjalan.</v>
      </c>
      <c r="U1424" s="16" t="str">
        <f>IFERROR(__xludf.DUMMYFUNCTION("""COMPUTED_VALUE"""),"Perantara jual beli")</f>
        <v>Perantara jual beli</v>
      </c>
      <c r="V1424" s="11" t="str">
        <f>IFERROR(__xludf.DUMMYFUNCTION("""COMPUTED_VALUE"""),"085657243424")</f>
        <v>085657243424</v>
      </c>
      <c r="W1424" s="15"/>
    </row>
    <row r="1425" ht="22.5" customHeight="1">
      <c r="A1425" s="8"/>
      <c r="B1425" s="9">
        <f>IFERROR(__xludf.DUMMYFUNCTION("""COMPUTED_VALUE"""),45447.95501532407)</f>
        <v>45447.95502</v>
      </c>
      <c r="C1425" s="9"/>
      <c r="D1425" s="34">
        <f>IFERROR(__xludf.DUMMYFUNCTION("""COMPUTED_VALUE"""),45455.0)</f>
        <v>45455</v>
      </c>
      <c r="E1425" s="34" t="str">
        <f>IFERROR(__xludf.DUMMYFUNCTION("""COMPUTED_VALUE"""),"06Jun")</f>
        <v>06Jun</v>
      </c>
      <c r="F1425" s="34" t="str">
        <f>IFERROR(__xludf.DUMMYFUNCTION("""COMPUTED_VALUE"""),"2024")</f>
        <v>2024</v>
      </c>
      <c r="G1425" s="35" t="str">
        <f>IFERROR(__xludf.DUMMYFUNCTION("""COMPUTED_VALUE"""),"SUHARDIANSYAH")</f>
        <v>SUHARDIANSYAH</v>
      </c>
      <c r="H1425" s="17" t="str">
        <f>IFERROR(__xludf.DUMMYFUNCTION("""COMPUTED_VALUE"""),"S9324065406")</f>
        <v>S9324065406</v>
      </c>
      <c r="I1425" s="17">
        <f>IFERROR(__xludf.DUMMYFUNCTION("""COMPUTED_VALUE"""),32.0)</f>
        <v>32</v>
      </c>
      <c r="J1425" s="17" t="str">
        <f>IFERROR(__xludf.DUMMYFUNCTION("""COMPUTED_VALUE"""),"25-34 tahun")</f>
        <v>25-34 tahun</v>
      </c>
      <c r="K1425" s="19">
        <f>IFERROR(__xludf.DUMMYFUNCTION("""COMPUTED_VALUE"""),34316.0)</f>
        <v>34316</v>
      </c>
      <c r="L1425" s="19" t="str">
        <f>IFERROR(__xludf.DUMMYFUNCTION("""COMPUTED_VALUE"""),"LAKI-LAKI")</f>
        <v>LAKI-LAKI</v>
      </c>
      <c r="M1425" s="35" t="str">
        <f>IFERROR(__xludf.DUMMYFUNCTION("""COMPUTED_VALUE"""),"JLN SELAT SUMBA GG BARU 3")</f>
        <v>JLN SELAT SUMBA GG BARU 3</v>
      </c>
      <c r="N1425" s="16" t="str">
        <f>IFERROR(__xludf.DUMMYFUNCTION("""COMPUTED_VALUE"""),"KEL. SIANTAN TENGAH")</f>
        <v>KEL. SIANTAN TENGAH</v>
      </c>
      <c r="O1425" s="16" t="str">
        <f>IFERROR(__xludf.DUMMYFUNCTION("""COMPUTED_VALUE"""),"KEC. PONTIANAK UTARA")</f>
        <v>KEC. PONTIANAK UTARA</v>
      </c>
      <c r="P1425" s="16" t="str">
        <f>IFERROR(__xludf.DUMMYFUNCTION("""COMPUTED_VALUE"""),"KOTA PONTIANAK")</f>
        <v>KOTA PONTIANAK</v>
      </c>
      <c r="Q1425" s="16" t="str">
        <f>IFERROR(__xludf.DUMMYFUNCTION("""COMPUTED_VALUE"""),"KALIMANTAN BARAT")</f>
        <v>KALIMANTAN BARAT</v>
      </c>
      <c r="R1425" s="19" t="str">
        <f>IFERROR(__xludf.DUMMYFUNCTION("""COMPUTED_VALUE"""),"ISLAM")</f>
        <v>ISLAM</v>
      </c>
      <c r="S1425" s="16" t="str">
        <f>IFERROR(__xludf.DUMMYFUNCTION("""COMPUTED_VALUE"""),"WIRASWASTA")</f>
        <v>WIRASWASTA</v>
      </c>
      <c r="T1425" s="16"/>
      <c r="U1425" s="16" t="str">
        <f>IFERROR(__xludf.DUMMYFUNCTION("""COMPUTED_VALUE"""),"Sepakbola")</f>
        <v>Sepakbola</v>
      </c>
      <c r="V1425" s="11" t="str">
        <f>IFERROR(__xludf.DUMMYFUNCTION("""COMPUTED_VALUE"""),"089677015406")</f>
        <v>089677015406</v>
      </c>
      <c r="W1425" s="15"/>
    </row>
    <row r="1426" ht="22.5" customHeight="1">
      <c r="A1426" s="8"/>
      <c r="B1426" s="9">
        <f>IFERROR(__xludf.DUMMYFUNCTION("""COMPUTED_VALUE"""),45449.528729791666)</f>
        <v>45449.52873</v>
      </c>
      <c r="C1426" s="9"/>
      <c r="D1426" s="34">
        <f>IFERROR(__xludf.DUMMYFUNCTION("""COMPUTED_VALUE"""),45455.0)</f>
        <v>45455</v>
      </c>
      <c r="E1426" s="34" t="str">
        <f>IFERROR(__xludf.DUMMYFUNCTION("""COMPUTED_VALUE"""),"06Jun")</f>
        <v>06Jun</v>
      </c>
      <c r="F1426" s="34" t="str">
        <f>IFERROR(__xludf.DUMMYFUNCTION("""COMPUTED_VALUE"""),"2024")</f>
        <v>2024</v>
      </c>
      <c r="G1426" s="35" t="str">
        <f>IFERROR(__xludf.DUMMYFUNCTION("""COMPUTED_VALUE"""),"TRI HARTANTO PAMUNGKAS")</f>
        <v>TRI HARTANTO PAMUNGKAS</v>
      </c>
      <c r="H1426" s="17" t="str">
        <f>IFERROR(__xludf.DUMMYFUNCTION("""COMPUTED_VALUE"""),"T9424068713")</f>
        <v>T9424068713</v>
      </c>
      <c r="I1426" s="17">
        <f>IFERROR(__xludf.DUMMYFUNCTION("""COMPUTED_VALUE"""),31.0)</f>
        <v>31</v>
      </c>
      <c r="J1426" s="17" t="str">
        <f>IFERROR(__xludf.DUMMYFUNCTION("""COMPUTED_VALUE"""),"25-34 tahun")</f>
        <v>25-34 tahun</v>
      </c>
      <c r="K1426" s="19">
        <f>IFERROR(__xludf.DUMMYFUNCTION("""COMPUTED_VALUE"""),34517.0)</f>
        <v>34517</v>
      </c>
      <c r="L1426" s="19" t="str">
        <f>IFERROR(__xludf.DUMMYFUNCTION("""COMPUTED_VALUE"""),"LAKI-LAKI")</f>
        <v>LAKI-LAKI</v>
      </c>
      <c r="M1426" s="35" t="str">
        <f>IFERROR(__xludf.DUMMYFUNCTION("""COMPUTED_VALUE"""),"JL. PGA, GG. KEMUNING, JALUR 1A, NO 5.")</f>
        <v>JL. PGA, GG. KEMUNING, JALUR 1A, NO 5.</v>
      </c>
      <c r="N1426" s="16" t="str">
        <f>IFERROR(__xludf.DUMMYFUNCTION("""COMPUTED_VALUE"""),"KEL. SUNGAI BANGKONG")</f>
        <v>KEL. SUNGAI BANGKONG</v>
      </c>
      <c r="O1426" s="16" t="str">
        <f>IFERROR(__xludf.DUMMYFUNCTION("""COMPUTED_VALUE"""),"KEC. PONTIANAK KOTA")</f>
        <v>KEC. PONTIANAK KOTA</v>
      </c>
      <c r="P1426" s="16" t="str">
        <f>IFERROR(__xludf.DUMMYFUNCTION("""COMPUTED_VALUE"""),"KOTA PONTIANAK")</f>
        <v>KOTA PONTIANAK</v>
      </c>
      <c r="Q1426" s="16" t="str">
        <f>IFERROR(__xludf.DUMMYFUNCTION("""COMPUTED_VALUE"""),"KALIMANTAN BARAT")</f>
        <v>KALIMANTAN BARAT</v>
      </c>
      <c r="R1426" s="19" t="str">
        <f>IFERROR(__xludf.DUMMYFUNCTION("""COMPUTED_VALUE"""),"ISLAM")</f>
        <v>ISLAM</v>
      </c>
      <c r="S1426" s="16" t="str">
        <f>IFERROR(__xludf.DUMMYFUNCTION("""COMPUTED_VALUE"""),"ASN")</f>
        <v>ASN</v>
      </c>
      <c r="T1426" s="16" t="str">
        <f>IFERROR(__xludf.DUMMYFUNCTION("""COMPUTED_VALUE"""),"kiri terasa nyeri ketika berjalan, ketika ditekuk juga nyeri")</f>
        <v>kiri terasa nyeri ketika berjalan, ketika ditekuk juga nyeri</v>
      </c>
      <c r="U1426" s="16" t="str">
        <f>IFERROR(__xludf.DUMMYFUNCTION("""COMPUTED_VALUE"""),"Running, futsal")</f>
        <v>Running, futsal</v>
      </c>
      <c r="V1426" s="11" t="str">
        <f>IFERROR(__xludf.DUMMYFUNCTION("""COMPUTED_VALUE"""),"085332088713")</f>
        <v>085332088713</v>
      </c>
      <c r="W1426" s="15"/>
    </row>
    <row r="1427" ht="22.5" customHeight="1">
      <c r="A1427" s="8"/>
      <c r="B1427" s="9">
        <f>IFERROR(__xludf.DUMMYFUNCTION("""COMPUTED_VALUE"""),45449.547561493055)</f>
        <v>45449.54756</v>
      </c>
      <c r="C1427" s="9"/>
      <c r="D1427" s="34">
        <f>IFERROR(__xludf.DUMMYFUNCTION("""COMPUTED_VALUE"""),45455.0)</f>
        <v>45455</v>
      </c>
      <c r="E1427" s="34" t="str">
        <f>IFERROR(__xludf.DUMMYFUNCTION("""COMPUTED_VALUE"""),"06Jun")</f>
        <v>06Jun</v>
      </c>
      <c r="F1427" s="34" t="str">
        <f>IFERROR(__xludf.DUMMYFUNCTION("""COMPUTED_VALUE"""),"2024")</f>
        <v>2024</v>
      </c>
      <c r="G1427" s="35" t="str">
        <f>IFERROR(__xludf.DUMMYFUNCTION("""COMPUTED_VALUE"""),"M KHORYADITYA RAHMAN")</f>
        <v>M KHORYADITYA RAHMAN</v>
      </c>
      <c r="H1427" s="17" t="str">
        <f>IFERROR(__xludf.DUMMYFUNCTION("""COMPUTED_VALUE"""),"M9124060454")</f>
        <v>M9124060454</v>
      </c>
      <c r="I1427" s="17">
        <f>IFERROR(__xludf.DUMMYFUNCTION("""COMPUTED_VALUE"""),34.0)</f>
        <v>34</v>
      </c>
      <c r="J1427" s="17" t="str">
        <f>IFERROR(__xludf.DUMMYFUNCTION("""COMPUTED_VALUE"""),"25-34 tahun")</f>
        <v>25-34 tahun</v>
      </c>
      <c r="K1427" s="19">
        <f>IFERROR(__xludf.DUMMYFUNCTION("""COMPUTED_VALUE"""),33497.0)</f>
        <v>33497</v>
      </c>
      <c r="L1427" s="19" t="str">
        <f>IFERROR(__xludf.DUMMYFUNCTION("""COMPUTED_VALUE"""),"LAKI-LAKI")</f>
        <v>LAKI-LAKI</v>
      </c>
      <c r="M1427" s="35" t="str">
        <f>IFERROR(__xludf.DUMMYFUNCTION("""COMPUTED_VALUE"""),"JALAN TANJUNG RAYA 2. GG M ARIEF NO B13")</f>
        <v>JALAN TANJUNG RAYA 2. GG M ARIEF NO B13</v>
      </c>
      <c r="N1427" s="16" t="str">
        <f>IFERROR(__xludf.DUMMYFUNCTION("""COMPUTED_VALUE"""),"KEL. BANJAR SERASAN")</f>
        <v>KEL. BANJAR SERASAN</v>
      </c>
      <c r="O1427" s="16" t="str">
        <f>IFERROR(__xludf.DUMMYFUNCTION("""COMPUTED_VALUE"""),"KEC. PONTIANAK TIMUR")</f>
        <v>KEC. PONTIANAK TIMUR</v>
      </c>
      <c r="P1427" s="16" t="str">
        <f>IFERROR(__xludf.DUMMYFUNCTION("""COMPUTED_VALUE"""),"KOTA PONTIANAK")</f>
        <v>KOTA PONTIANAK</v>
      </c>
      <c r="Q1427" s="16" t="str">
        <f>IFERROR(__xludf.DUMMYFUNCTION("""COMPUTED_VALUE"""),"KALIMANTAN BARAT")</f>
        <v>KALIMANTAN BARAT</v>
      </c>
      <c r="R1427" s="19" t="str">
        <f>IFERROR(__xludf.DUMMYFUNCTION("""COMPUTED_VALUE"""),"ISLAM")</f>
        <v>ISLAM</v>
      </c>
      <c r="S1427" s="16" t="str">
        <f>IFERROR(__xludf.DUMMYFUNCTION("""COMPUTED_VALUE"""),"SWASTA")</f>
        <v>SWASTA</v>
      </c>
      <c r="T1427" s="16" t="str">
        <f>IFERROR(__xludf.DUMMYFUNCTION("""COMPUTED_VALUE"""),"Sakit kaki kiri")</f>
        <v>Sakit kaki kiri</v>
      </c>
      <c r="U1427" s="16" t="str">
        <f>IFERROR(__xludf.DUMMYFUNCTION("""COMPUTED_VALUE"""),"Lari")</f>
        <v>Lari</v>
      </c>
      <c r="V1427" s="11" t="str">
        <f>IFERROR(__xludf.DUMMYFUNCTION("""COMPUTED_VALUE"""),"082154280454")</f>
        <v>082154280454</v>
      </c>
      <c r="W1427" s="15"/>
    </row>
    <row r="1428" ht="22.5" customHeight="1">
      <c r="A1428" s="8"/>
      <c r="B1428" s="9">
        <f>IFERROR(__xludf.DUMMYFUNCTION("""COMPUTED_VALUE"""),45449.554715879625)</f>
        <v>45449.55472</v>
      </c>
      <c r="C1428" s="9"/>
      <c r="D1428" s="34">
        <f>IFERROR(__xludf.DUMMYFUNCTION("""COMPUTED_VALUE"""),45456.0)</f>
        <v>45456</v>
      </c>
      <c r="E1428" s="34" t="str">
        <f>IFERROR(__xludf.DUMMYFUNCTION("""COMPUTED_VALUE"""),"06Jun")</f>
        <v>06Jun</v>
      </c>
      <c r="F1428" s="34" t="str">
        <f>IFERROR(__xludf.DUMMYFUNCTION("""COMPUTED_VALUE"""),"2024")</f>
        <v>2024</v>
      </c>
      <c r="G1428" s="35" t="str">
        <f>IFERROR(__xludf.DUMMYFUNCTION("""COMPUTED_VALUE"""),"KHERU SETIARNO")</f>
        <v>KHERU SETIARNO</v>
      </c>
      <c r="H1428" s="17" t="str">
        <f>IFERROR(__xludf.DUMMYFUNCTION("""COMPUTED_VALUE"""),"K9324069606")</f>
        <v>K9324069606</v>
      </c>
      <c r="I1428" s="17">
        <f>IFERROR(__xludf.DUMMYFUNCTION("""COMPUTED_VALUE"""),33.0)</f>
        <v>33</v>
      </c>
      <c r="J1428" s="17" t="str">
        <f>IFERROR(__xludf.DUMMYFUNCTION("""COMPUTED_VALUE"""),"25-34 tahun")</f>
        <v>25-34 tahun</v>
      </c>
      <c r="K1428" s="19">
        <f>IFERROR(__xludf.DUMMYFUNCTION("""COMPUTED_VALUE"""),34031.0)</f>
        <v>34031</v>
      </c>
      <c r="L1428" s="19" t="str">
        <f>IFERROR(__xludf.DUMMYFUNCTION("""COMPUTED_VALUE"""),"LAKI-LAKI")</f>
        <v>LAKI-LAKI</v>
      </c>
      <c r="M1428" s="35" t="str">
        <f>IFERROR(__xludf.DUMMYFUNCTION("""COMPUTED_VALUE"""),"DUSUN YUDHA PUTRA RT. 002 RW. 004")</f>
        <v>DUSUN YUDHA PUTRA RT. 002 RW. 004</v>
      </c>
      <c r="N1428" s="16" t="str">
        <f>IFERROR(__xludf.DUMMYFUNCTION("""COMPUTED_VALUE"""),"DSN. YUDHA PUTRA")</f>
        <v>DSN. YUDHA PUTRA</v>
      </c>
      <c r="O1428" s="16" t="str">
        <f>IFERROR(__xludf.DUMMYFUNCTION("""COMPUTED_VALUE"""),"KEC. PEMANGKAT")</f>
        <v>KEC. PEMANGKAT</v>
      </c>
      <c r="P1428" s="16" t="str">
        <f>IFERROR(__xludf.DUMMYFUNCTION("""COMPUTED_VALUE"""),"KAB. SAMBAS")</f>
        <v>KAB. SAMBAS</v>
      </c>
      <c r="Q1428" s="16" t="str">
        <f>IFERROR(__xludf.DUMMYFUNCTION("""COMPUTED_VALUE"""),"KALIMANTAN BARAT")</f>
        <v>KALIMANTAN BARAT</v>
      </c>
      <c r="R1428" s="19" t="str">
        <f>IFERROR(__xludf.DUMMYFUNCTION("""COMPUTED_VALUE"""),"ISLAM")</f>
        <v>ISLAM</v>
      </c>
      <c r="S1428" s="16" t="str">
        <f>IFERROR(__xludf.DUMMYFUNCTION("""COMPUTED_VALUE"""),"SWASTA")</f>
        <v>SWASTA</v>
      </c>
      <c r="T1428" s="16" t="str">
        <f>IFERROR(__xludf.DUMMYFUNCTION("""COMPUTED_VALUE"""),"Sakit Nyeri di Pinggang")</f>
        <v>Sakit Nyeri di Pinggang</v>
      </c>
      <c r="U1428" s="16" t="str">
        <f>IFERROR(__xludf.DUMMYFUNCTION("""COMPUTED_VALUE"""),"Kerja")</f>
        <v>Kerja</v>
      </c>
      <c r="V1428" s="11" t="str">
        <f>IFERROR(__xludf.DUMMYFUNCTION("""COMPUTED_VALUE"""),"085750109606")</f>
        <v>085750109606</v>
      </c>
      <c r="W1428" s="15"/>
    </row>
    <row r="1429" ht="22.5" customHeight="1">
      <c r="A1429" s="8"/>
      <c r="B1429" s="9">
        <f>IFERROR(__xludf.DUMMYFUNCTION("""COMPUTED_VALUE"""),45450.70506153935)</f>
        <v>45450.70506</v>
      </c>
      <c r="C1429" s="9"/>
      <c r="D1429" s="34">
        <f>IFERROR(__xludf.DUMMYFUNCTION("""COMPUTED_VALUE"""),45456.762095)</f>
        <v>45456.7621</v>
      </c>
      <c r="E1429" s="34" t="str">
        <f>IFERROR(__xludf.DUMMYFUNCTION("""COMPUTED_VALUE"""),"06Jun")</f>
        <v>06Jun</v>
      </c>
      <c r="F1429" s="34" t="str">
        <f>IFERROR(__xludf.DUMMYFUNCTION("""COMPUTED_VALUE"""),"2024")</f>
        <v>2024</v>
      </c>
      <c r="G1429" s="35" t="str">
        <f>IFERROR(__xludf.DUMMYFUNCTION("""COMPUTED_VALUE"""),"NANDA")</f>
        <v>NANDA</v>
      </c>
      <c r="H1429" s="17" t="str">
        <f>IFERROR(__xludf.DUMMYFUNCTION("""COMPUTED_VALUE"""),"N0324067881")</f>
        <v>N0324067881</v>
      </c>
      <c r="I1429" s="17">
        <f>IFERROR(__xludf.DUMMYFUNCTION("""COMPUTED_VALUE"""),22.0)</f>
        <v>22</v>
      </c>
      <c r="J1429" s="17" t="str">
        <f>IFERROR(__xludf.DUMMYFUNCTION("""COMPUTED_VALUE"""),"18-24 tahun")</f>
        <v>18-24 tahun</v>
      </c>
      <c r="K1429" s="19">
        <f>IFERROR(__xludf.DUMMYFUNCTION("""COMPUTED_VALUE"""),37798.0)</f>
        <v>37798</v>
      </c>
      <c r="L1429" s="19" t="str">
        <f>IFERROR(__xludf.DUMMYFUNCTION("""COMPUTED_VALUE"""),"LAKI-LAKI")</f>
        <v>LAKI-LAKI</v>
      </c>
      <c r="M1429" s="35" t="str">
        <f>IFERROR(__xludf.DUMMYFUNCTION("""COMPUTED_VALUE"""),"JL PANCA BHAKTI")</f>
        <v>JL PANCA BHAKTI</v>
      </c>
      <c r="N1429" s="16" t="str">
        <f>IFERROR(__xludf.DUMMYFUNCTION("""COMPUTED_VALUE"""),"KEL. BATULAYANG")</f>
        <v>KEL. BATULAYANG</v>
      </c>
      <c r="O1429" s="16" t="str">
        <f>IFERROR(__xludf.DUMMYFUNCTION("""COMPUTED_VALUE"""),"KEC. PONTIANAK UTARA")</f>
        <v>KEC. PONTIANAK UTARA</v>
      </c>
      <c r="P1429" s="16" t="str">
        <f>IFERROR(__xludf.DUMMYFUNCTION("""COMPUTED_VALUE"""),"KOTA PONTIANAK")</f>
        <v>KOTA PONTIANAK</v>
      </c>
      <c r="Q1429" s="16" t="str">
        <f>IFERROR(__xludf.DUMMYFUNCTION("""COMPUTED_VALUE"""),"KALIMANTAN BARAT")</f>
        <v>KALIMANTAN BARAT</v>
      </c>
      <c r="R1429" s="19" t="str">
        <f>IFERROR(__xludf.DUMMYFUNCTION("""COMPUTED_VALUE"""),"ISLAM")</f>
        <v>ISLAM</v>
      </c>
      <c r="S1429" s="35" t="str">
        <f>IFERROR(__xludf.DUMMYFUNCTION("""COMPUTED_VALUE"""),"TIDAK ADA")</f>
        <v>TIDAK ADA</v>
      </c>
      <c r="T1429" s="16" t="str">
        <f>IFERROR(__xludf.DUMMYFUNCTION("""COMPUTED_VALUE"""),"engekel kaki")</f>
        <v>engekel kaki</v>
      </c>
      <c r="U1429" s="16" t="str">
        <f>IFERROR(__xludf.DUMMYFUNCTION("""COMPUTED_VALUE"""),"futsal")</f>
        <v>futsal</v>
      </c>
      <c r="V1429" s="11" t="str">
        <f>IFERROR(__xludf.DUMMYFUNCTION("""COMPUTED_VALUE"""),"0895630127881")</f>
        <v>0895630127881</v>
      </c>
      <c r="W1429" s="15"/>
    </row>
    <row r="1430" ht="22.5" customHeight="1">
      <c r="A1430" s="8"/>
      <c r="B1430" s="9">
        <f>IFERROR(__xludf.DUMMYFUNCTION("""COMPUTED_VALUE"""),45450.74769905093)</f>
        <v>45450.7477</v>
      </c>
      <c r="C1430" s="9"/>
      <c r="D1430" s="34">
        <f>IFERROR(__xludf.DUMMYFUNCTION("""COMPUTED_VALUE"""),45457.0)</f>
        <v>45457</v>
      </c>
      <c r="E1430" s="34" t="str">
        <f>IFERROR(__xludf.DUMMYFUNCTION("""COMPUTED_VALUE"""),"06Jun")</f>
        <v>06Jun</v>
      </c>
      <c r="F1430" s="34" t="str">
        <f>IFERROR(__xludf.DUMMYFUNCTION("""COMPUTED_VALUE"""),"2024")</f>
        <v>2024</v>
      </c>
      <c r="G1430" s="35" t="str">
        <f>IFERROR(__xludf.DUMMYFUNCTION("""COMPUTED_VALUE"""),"BUNAIYAH")</f>
        <v>BUNAIYAH</v>
      </c>
      <c r="H1430" s="17" t="str">
        <f>IFERROR(__xludf.DUMMYFUNCTION("""COMPUTED_VALUE"""),"B5524067307")</f>
        <v>B5524067307</v>
      </c>
      <c r="I1430" s="17">
        <f>IFERROR(__xludf.DUMMYFUNCTION("""COMPUTED_VALUE"""),71.0)</f>
        <v>71</v>
      </c>
      <c r="J1430" s="17" t="str">
        <f>IFERROR(__xludf.DUMMYFUNCTION("""COMPUTED_VALUE"""),"&gt; 44 tahun")</f>
        <v>&gt; 44 tahun</v>
      </c>
      <c r="K1430" s="19">
        <f>IFERROR(__xludf.DUMMYFUNCTION("""COMPUTED_VALUE"""),20096.0)</f>
        <v>20096</v>
      </c>
      <c r="L1430" s="19" t="str">
        <f>IFERROR(__xludf.DUMMYFUNCTION("""COMPUTED_VALUE"""),"PEREMPUAN")</f>
        <v>PEREMPUAN</v>
      </c>
      <c r="M1430" s="35" t="str">
        <f>IFERROR(__xludf.DUMMYFUNCTION("""COMPUTED_VALUE"""),"KAMPUNG SANGGAU")</f>
        <v>KAMPUNG SANGGAU</v>
      </c>
      <c r="N1430" s="16" t="str">
        <f>IFERROR(__xludf.DUMMYFUNCTION("""COMPUTED_VALUE"""),"DS. SUNGAI ASAM")</f>
        <v>DS. SUNGAI ASAM</v>
      </c>
      <c r="O1430" s="16" t="str">
        <f>IFERROR(__xludf.DUMMYFUNCTION("""COMPUTED_VALUE"""),"KEC. SUNGAI RAYA")</f>
        <v>KEC. SUNGAI RAYA</v>
      </c>
      <c r="P1430" s="16" t="str">
        <f>IFERROR(__xludf.DUMMYFUNCTION("""COMPUTED_VALUE"""),"KAB. KUBU RAYA")</f>
        <v>KAB. KUBU RAYA</v>
      </c>
      <c r="Q1430" s="16" t="str">
        <f>IFERROR(__xludf.DUMMYFUNCTION("""COMPUTED_VALUE"""),"KALIMANTAN BARAT")</f>
        <v>KALIMANTAN BARAT</v>
      </c>
      <c r="R1430" s="19" t="str">
        <f>IFERROR(__xludf.DUMMYFUNCTION("""COMPUTED_VALUE"""),"ISLAM")</f>
        <v>ISLAM</v>
      </c>
      <c r="S1430" s="35" t="str">
        <f>IFERROR(__xludf.DUMMYFUNCTION("""COMPUTED_VALUE"""),"RUMAH TANGGA")</f>
        <v>RUMAH TANGGA</v>
      </c>
      <c r="T1430" s="16" t="str">
        <f>IFERROR(__xludf.DUMMYFUNCTION("""COMPUTED_VALUE"""),"Sebelah badan kiri, kepala sampai perut terasa berat")</f>
        <v>Sebelah badan kiri, kepala sampai perut terasa berat</v>
      </c>
      <c r="U1430" s="16" t="str">
        <f>IFERROR(__xludf.DUMMYFUNCTION("""COMPUTED_VALUE"""),"Masak")</f>
        <v>Masak</v>
      </c>
      <c r="V1430" s="11" t="str">
        <f>IFERROR(__xludf.DUMMYFUNCTION("""COMPUTED_VALUE"""),"081351907307")</f>
        <v>081351907307</v>
      </c>
      <c r="W1430" s="15"/>
    </row>
    <row r="1431" ht="22.5" customHeight="1">
      <c r="A1431" s="8"/>
      <c r="B1431" s="9">
        <f>IFERROR(__xludf.DUMMYFUNCTION("""COMPUTED_VALUE"""),45451.40673293981)</f>
        <v>45451.40673</v>
      </c>
      <c r="C1431" s="9"/>
      <c r="D1431" s="34">
        <f>IFERROR(__xludf.DUMMYFUNCTION("""COMPUTED_VALUE"""),45457.0)</f>
        <v>45457</v>
      </c>
      <c r="E1431" s="34" t="str">
        <f>IFERROR(__xludf.DUMMYFUNCTION("""COMPUTED_VALUE"""),"06Jun")</f>
        <v>06Jun</v>
      </c>
      <c r="F1431" s="34" t="str">
        <f>IFERROR(__xludf.DUMMYFUNCTION("""COMPUTED_VALUE"""),"2024")</f>
        <v>2024</v>
      </c>
      <c r="G1431" s="35" t="str">
        <f>IFERROR(__xludf.DUMMYFUNCTION("""COMPUTED_VALUE"""),"IGNATIUS SUTIKNO WARDOYO")</f>
        <v>IGNATIUS SUTIKNO WARDOYO</v>
      </c>
      <c r="H1431" s="17" t="str">
        <f>IFERROR(__xludf.DUMMYFUNCTION("""COMPUTED_VALUE"""),"I7724068586")</f>
        <v>I7724068586</v>
      </c>
      <c r="I1431" s="17">
        <f>IFERROR(__xludf.DUMMYFUNCTION("""COMPUTED_VALUE"""),48.0)</f>
        <v>48</v>
      </c>
      <c r="J1431" s="17" t="str">
        <f>IFERROR(__xludf.DUMMYFUNCTION("""COMPUTED_VALUE"""),"&gt; 44 tahun")</f>
        <v>&gt; 44 tahun</v>
      </c>
      <c r="K1431" s="19">
        <f>IFERROR(__xludf.DUMMYFUNCTION("""COMPUTED_VALUE"""),28392.0)</f>
        <v>28392</v>
      </c>
      <c r="L1431" s="19" t="str">
        <f>IFERROR(__xludf.DUMMYFUNCTION("""COMPUTED_VALUE"""),"LAKI-LAKI")</f>
        <v>LAKI-LAKI</v>
      </c>
      <c r="M1431" s="35" t="str">
        <f>IFERROR(__xludf.DUMMYFUNCTION("""COMPUTED_VALUE"""),"JLN RAYA KAKAP LAMA KOMP VILLA BAHARI 2 C 28. RT95RW 01")</f>
        <v>JLN RAYA KAKAP LAMA KOMP VILLA BAHARI 2 C 28. RT95RW 01</v>
      </c>
      <c r="N1431" s="16" t="str">
        <f>IFERROR(__xludf.DUMMYFUNCTION("""COMPUTED_VALUE"""),"KEL. PAL IX")</f>
        <v>KEL. PAL IX</v>
      </c>
      <c r="O1431" s="16" t="str">
        <f>IFERROR(__xludf.DUMMYFUNCTION("""COMPUTED_VALUE"""),"KEC. KAKAP")</f>
        <v>KEC. KAKAP</v>
      </c>
      <c r="P1431" s="16" t="str">
        <f>IFERROR(__xludf.DUMMYFUNCTION("""COMPUTED_VALUE"""),"KAB. KUBU RAYA")</f>
        <v>KAB. KUBU RAYA</v>
      </c>
      <c r="Q1431" s="16" t="str">
        <f>IFERROR(__xludf.DUMMYFUNCTION("""COMPUTED_VALUE"""),"KALIMANTAN BARAT")</f>
        <v>KALIMANTAN BARAT</v>
      </c>
      <c r="R1431" s="19" t="str">
        <f>IFERROR(__xludf.DUMMYFUNCTION("""COMPUTED_VALUE"""),"KATOLIK")</f>
        <v>KATOLIK</v>
      </c>
      <c r="S1431" s="35" t="str">
        <f>IFERROR(__xludf.DUMMYFUNCTION("""COMPUTED_VALUE"""),"SWASTA")</f>
        <v>SWASTA</v>
      </c>
      <c r="T1431" s="16" t="str">
        <f>IFERROR(__xludf.DUMMYFUNCTION("""COMPUTED_VALUE"""),"Terasa sakit dari leher sebelah kiri sampai belikat dan menjalar di lengan sampai jari tangan kiri")</f>
        <v>Terasa sakit dari leher sebelah kiri sampai belikat dan menjalar di lengan sampai jari tangan kiri</v>
      </c>
      <c r="U1431" s="16" t="str">
        <f>IFERROR(__xludf.DUMMYFUNCTION("""COMPUTED_VALUE"""),"Pekerja teknisi")</f>
        <v>Pekerja teknisi</v>
      </c>
      <c r="V1431" s="11" t="str">
        <f>IFERROR(__xludf.DUMMYFUNCTION("""COMPUTED_VALUE"""),"081521528586")</f>
        <v>081521528586</v>
      </c>
      <c r="W1431" s="15"/>
    </row>
    <row r="1432" ht="22.5" customHeight="1">
      <c r="A1432" s="8"/>
      <c r="B1432" s="9">
        <f>IFERROR(__xludf.DUMMYFUNCTION("""COMPUTED_VALUE"""),45451.43839354167)</f>
        <v>45451.43839</v>
      </c>
      <c r="C1432" s="9"/>
      <c r="D1432" s="34">
        <f>IFERROR(__xludf.DUMMYFUNCTION("""COMPUTED_VALUE"""),45458.0)</f>
        <v>45458</v>
      </c>
      <c r="E1432" s="34" t="str">
        <f>IFERROR(__xludf.DUMMYFUNCTION("""COMPUTED_VALUE"""),"06Jun")</f>
        <v>06Jun</v>
      </c>
      <c r="F1432" s="34" t="str">
        <f>IFERROR(__xludf.DUMMYFUNCTION("""COMPUTED_VALUE"""),"2024")</f>
        <v>2024</v>
      </c>
      <c r="G1432" s="35" t="str">
        <f>IFERROR(__xludf.DUMMYFUNCTION("""COMPUTED_VALUE"""),"RAJA AHMAD HUSAIN")</f>
        <v>RAJA AHMAD HUSAIN</v>
      </c>
      <c r="H1432" s="17" t="str">
        <f>IFERROR(__xludf.DUMMYFUNCTION("""COMPUTED_VALUE"""),"R0524069064")</f>
        <v>R0524069064</v>
      </c>
      <c r="I1432" s="17">
        <f>IFERROR(__xludf.DUMMYFUNCTION("""COMPUTED_VALUE"""),20.0)</f>
        <v>20</v>
      </c>
      <c r="J1432" s="17" t="str">
        <f>IFERROR(__xludf.DUMMYFUNCTION("""COMPUTED_VALUE"""),"18-24 tahun")</f>
        <v>18-24 tahun</v>
      </c>
      <c r="K1432" s="19">
        <f>IFERROR(__xludf.DUMMYFUNCTION("""COMPUTED_VALUE"""),38602.0)</f>
        <v>38602</v>
      </c>
      <c r="L1432" s="19" t="str">
        <f>IFERROR(__xludf.DUMMYFUNCTION("""COMPUTED_VALUE"""),"LAKI-LAKI")</f>
        <v>LAKI-LAKI</v>
      </c>
      <c r="M1432" s="35" t="str">
        <f>IFERROR(__xludf.DUMMYFUNCTION("""COMPUTED_VALUE"""),"JALAN KAPTEN M. DAUD NOMOR 7")</f>
        <v>JALAN KAPTEN M. DAUD NOMOR 7</v>
      </c>
      <c r="N1432" s="16" t="str">
        <f>IFERROR(__xludf.DUMMYFUNCTION("""COMPUTED_VALUE"""),"KEL. PAYO LEBAR")</f>
        <v>KEL. PAYO LEBAR</v>
      </c>
      <c r="O1432" s="16" t="str">
        <f>IFERROR(__xludf.DUMMYFUNCTION("""COMPUTED_VALUE"""),"KEC. JELUTUNG")</f>
        <v>KEC. JELUTUNG</v>
      </c>
      <c r="P1432" s="16" t="str">
        <f>IFERROR(__xludf.DUMMYFUNCTION("""COMPUTED_VALUE"""),"KOTA JAMBI")</f>
        <v>KOTA JAMBI</v>
      </c>
      <c r="Q1432" s="16" t="str">
        <f>IFERROR(__xludf.DUMMYFUNCTION("""COMPUTED_VALUE"""),"JAMBI")</f>
        <v>JAMBI</v>
      </c>
      <c r="R1432" s="19" t="str">
        <f>IFERROR(__xludf.DUMMYFUNCTION("""COMPUTED_VALUE"""),"ISLAM")</f>
        <v>ISLAM</v>
      </c>
      <c r="S1432" s="35" t="str">
        <f>IFERROR(__xludf.DUMMYFUNCTION("""COMPUTED_VALUE"""),"PELAJAR/MAHASISWA")</f>
        <v>PELAJAR/MAHASISWA</v>
      </c>
      <c r="T1432" s="16" t="str">
        <f>IFERROR(__xludf.DUMMYFUNCTION("""COMPUTED_VALUE"""),"POTUR TUBUH BUNGKUK")</f>
        <v>POTUR TUBUH BUNGKUK</v>
      </c>
      <c r="U1432" s="16" t="str">
        <f>IFERROR(__xludf.DUMMYFUNCTION("""COMPUTED_VALUE"""),"KE SEKOLAH")</f>
        <v>KE SEKOLAH</v>
      </c>
      <c r="V1432" s="11" t="str">
        <f>IFERROR(__xludf.DUMMYFUNCTION("""COMPUTED_VALUE"""),"081266009064")</f>
        <v>081266009064</v>
      </c>
      <c r="W1432" s="15"/>
    </row>
    <row r="1433" ht="22.5" customHeight="1">
      <c r="A1433" s="8"/>
      <c r="B1433" s="9">
        <f>IFERROR(__xludf.DUMMYFUNCTION("""COMPUTED_VALUE"""),45451.45285185185)</f>
        <v>45451.45285</v>
      </c>
      <c r="C1433" s="9"/>
      <c r="D1433" s="34">
        <f>IFERROR(__xludf.DUMMYFUNCTION("""COMPUTED_VALUE"""),45458.0)</f>
        <v>45458</v>
      </c>
      <c r="E1433" s="34" t="str">
        <f>IFERROR(__xludf.DUMMYFUNCTION("""COMPUTED_VALUE"""),"06Jun")</f>
        <v>06Jun</v>
      </c>
      <c r="F1433" s="34" t="str">
        <f>IFERROR(__xludf.DUMMYFUNCTION("""COMPUTED_VALUE"""),"2024")</f>
        <v>2024</v>
      </c>
      <c r="G1433" s="35" t="str">
        <f>IFERROR(__xludf.DUMMYFUNCTION("""COMPUTED_VALUE"""),"KURNIAWATI 6611")</f>
        <v>KURNIAWATI 6611</v>
      </c>
      <c r="H1433" s="17" t="str">
        <f>IFERROR(__xludf.DUMMYFUNCTION("""COMPUTED_VALUE"""),"K6624067283")</f>
        <v>K6624067283</v>
      </c>
      <c r="I1433" s="17">
        <f>IFERROR(__xludf.DUMMYFUNCTION("""COMPUTED_VALUE"""),59.0)</f>
        <v>59</v>
      </c>
      <c r="J1433" s="17" t="str">
        <f>IFERROR(__xludf.DUMMYFUNCTION("""COMPUTED_VALUE"""),"&gt; 44 tahun")</f>
        <v>&gt; 44 tahun</v>
      </c>
      <c r="K1433" s="19">
        <f>IFERROR(__xludf.DUMMYFUNCTION("""COMPUTED_VALUE"""),24428.0)</f>
        <v>24428</v>
      </c>
      <c r="L1433" s="19" t="str">
        <f>IFERROR(__xludf.DUMMYFUNCTION("""COMPUTED_VALUE"""),"PEREMPUAN")</f>
        <v>PEREMPUAN</v>
      </c>
      <c r="M1433" s="35" t="str">
        <f>IFERROR(__xludf.DUMMYFUNCTION("""COMPUTED_VALUE"""),"JL HRS RAHMAN GG SEKAWAN NO 18")</f>
        <v>JL HRS RAHMAN GG SEKAWAN NO 18</v>
      </c>
      <c r="N1433" s="16" t="str">
        <f>IFERROR(__xludf.DUMMYFUNCTION("""COMPUTED_VALUE"""),"KEL. SUNGAI JAWI DALAM")</f>
        <v>KEL. SUNGAI JAWI DALAM</v>
      </c>
      <c r="O1433" s="16" t="str">
        <f>IFERROR(__xludf.DUMMYFUNCTION("""COMPUTED_VALUE"""),"KEC. PONTIANAK BARAT")</f>
        <v>KEC. PONTIANAK BARAT</v>
      </c>
      <c r="P1433" s="16" t="str">
        <f>IFERROR(__xludf.DUMMYFUNCTION("""COMPUTED_VALUE"""),"KOTA PONTIANAK")</f>
        <v>KOTA PONTIANAK</v>
      </c>
      <c r="Q1433" s="16" t="str">
        <f>IFERROR(__xludf.DUMMYFUNCTION("""COMPUTED_VALUE"""),"KALIMANTAN BARAT")</f>
        <v>KALIMANTAN BARAT</v>
      </c>
      <c r="R1433" s="19" t="str">
        <f>IFERROR(__xludf.DUMMYFUNCTION("""COMPUTED_VALUE"""),"ISLAM")</f>
        <v>ISLAM</v>
      </c>
      <c r="S1433" s="16" t="str">
        <f>IFERROR(__xludf.DUMMYFUNCTION("""COMPUTED_VALUE"""),"SWASTA")</f>
        <v>SWASTA</v>
      </c>
      <c r="T1433" s="16" t="str">
        <f>IFERROR(__xludf.DUMMYFUNCTION("""COMPUTED_VALUE"""),"sakit di bagian lengan bagian atas")</f>
        <v>sakit di bagian lengan bagian atas</v>
      </c>
      <c r="U1433" s="16" t="str">
        <f>IFERROR(__xludf.DUMMYFUNCTION("""COMPUTED_VALUE"""),"MENGAJI")</f>
        <v>MENGAJI</v>
      </c>
      <c r="V1433" s="11" t="str">
        <f>IFERROR(__xludf.DUMMYFUNCTION("""COMPUTED_VALUE"""),"087818247283")</f>
        <v>087818247283</v>
      </c>
      <c r="W1433" s="15"/>
    </row>
    <row r="1434" ht="22.5" customHeight="1">
      <c r="A1434" s="8"/>
      <c r="B1434" s="9">
        <f>IFERROR(__xludf.DUMMYFUNCTION("""COMPUTED_VALUE"""),45451.49716673611)</f>
        <v>45451.49717</v>
      </c>
      <c r="C1434" s="9"/>
      <c r="D1434" s="34">
        <f>IFERROR(__xludf.DUMMYFUNCTION("""COMPUTED_VALUE"""),45458.70875726852)</f>
        <v>45458.70876</v>
      </c>
      <c r="E1434" s="34" t="str">
        <f>IFERROR(__xludf.DUMMYFUNCTION("""COMPUTED_VALUE"""),"06Jun")</f>
        <v>06Jun</v>
      </c>
      <c r="F1434" s="34" t="str">
        <f>IFERROR(__xludf.DUMMYFUNCTION("""COMPUTED_VALUE"""),"2024")</f>
        <v>2024</v>
      </c>
      <c r="G1434" s="35" t="str">
        <f>IFERROR(__xludf.DUMMYFUNCTION("""COMPUTED_VALUE"""),"ASHA RIDHAYANA")</f>
        <v>ASHA RIDHAYANA</v>
      </c>
      <c r="H1434" s="17" t="str">
        <f>IFERROR(__xludf.DUMMYFUNCTION("""COMPUTED_VALUE"""),"A1124060540")</f>
        <v>A1124060540</v>
      </c>
      <c r="I1434" s="17">
        <f>IFERROR(__xludf.DUMMYFUNCTION("""COMPUTED_VALUE"""),15.0)</f>
        <v>15</v>
      </c>
      <c r="J1434" s="17" t="str">
        <f>IFERROR(__xludf.DUMMYFUNCTION("""COMPUTED_VALUE"""),"&lt; 18 tahun")</f>
        <v>&lt; 18 tahun</v>
      </c>
      <c r="K1434" s="19">
        <f>IFERROR(__xludf.DUMMYFUNCTION("""COMPUTED_VALUE"""),40617.0)</f>
        <v>40617</v>
      </c>
      <c r="L1434" s="19" t="str">
        <f>IFERROR(__xludf.DUMMYFUNCTION("""COMPUTED_VALUE"""),"PEREMPUAN")</f>
        <v>PEREMPUAN</v>
      </c>
      <c r="M1434" s="35" t="str">
        <f>IFERROR(__xludf.DUMMYFUNCTION("""COMPUTED_VALUE"""),"JL. PROF. DR. M. YAMIN. NO. 89")</f>
        <v>JL. PROF. DR. M. YAMIN. NO. 89</v>
      </c>
      <c r="N1434" s="16" t="str">
        <f>IFERROR(__xludf.DUMMYFUNCTION("""COMPUTED_VALUE"""),"KEL. SUNGAI BANGKONG")</f>
        <v>KEL. SUNGAI BANGKONG</v>
      </c>
      <c r="O1434" s="16" t="str">
        <f>IFERROR(__xludf.DUMMYFUNCTION("""COMPUTED_VALUE"""),"KEC. PONTIANAK KOTA")</f>
        <v>KEC. PONTIANAK KOTA</v>
      </c>
      <c r="P1434" s="16" t="str">
        <f>IFERROR(__xludf.DUMMYFUNCTION("""COMPUTED_VALUE"""),"KOTA PONTIANAK")</f>
        <v>KOTA PONTIANAK</v>
      </c>
      <c r="Q1434" s="16" t="str">
        <f>IFERROR(__xludf.DUMMYFUNCTION("""COMPUTED_VALUE"""),"KALIMANTAN BARAT")</f>
        <v>KALIMANTAN BARAT</v>
      </c>
      <c r="R1434" s="19" t="str">
        <f>IFERROR(__xludf.DUMMYFUNCTION("""COMPUTED_VALUE"""),"ISLAM")</f>
        <v>ISLAM</v>
      </c>
      <c r="S1434" s="16" t="str">
        <f>IFERROR(__xludf.DUMMYFUNCTION("""COMPUTED_VALUE"""),"PELAJAR/MAHASISWA")</f>
        <v>PELAJAR/MAHASISWA</v>
      </c>
      <c r="T1434" s="16" t="str">
        <f>IFERROR(__xludf.DUMMYFUNCTION("""COMPUTED_VALUE"""),"PUNGGUNG, LEHER TERASA PEGAL")</f>
        <v>PUNGGUNG, LEHER TERASA PEGAL</v>
      </c>
      <c r="U1434" s="16" t="str">
        <f>IFERROR(__xludf.DUMMYFUNCTION("""COMPUTED_VALUE"""),"BELAJAR")</f>
        <v>BELAJAR</v>
      </c>
      <c r="V1434" s="11" t="str">
        <f>IFERROR(__xludf.DUMMYFUNCTION("""COMPUTED_VALUE"""),"085750180540")</f>
        <v>085750180540</v>
      </c>
      <c r="W1434" s="15"/>
    </row>
    <row r="1435" ht="22.5" customHeight="1">
      <c r="A1435" s="8"/>
      <c r="B1435" s="9">
        <f>IFERROR(__xludf.DUMMYFUNCTION("""COMPUTED_VALUE"""),45451.549209606485)</f>
        <v>45451.54921</v>
      </c>
      <c r="C1435" s="9"/>
      <c r="D1435" s="34">
        <f>IFERROR(__xludf.DUMMYFUNCTION("""COMPUTED_VALUE"""),45459.0)</f>
        <v>45459</v>
      </c>
      <c r="E1435" s="34" t="str">
        <f>IFERROR(__xludf.DUMMYFUNCTION("""COMPUTED_VALUE"""),"06Jun")</f>
        <v>06Jun</v>
      </c>
      <c r="F1435" s="34" t="str">
        <f>IFERROR(__xludf.DUMMYFUNCTION("""COMPUTED_VALUE"""),"2024")</f>
        <v>2024</v>
      </c>
      <c r="G1435" s="35" t="str">
        <f>IFERROR(__xludf.DUMMYFUNCTION("""COMPUTED_VALUE"""),"BOBBY ASHARI")</f>
        <v>BOBBY ASHARI</v>
      </c>
      <c r="H1435" s="17" t="str">
        <f>IFERROR(__xludf.DUMMYFUNCTION("""COMPUTED_VALUE"""),"B6924065020")</f>
        <v>B6924065020</v>
      </c>
      <c r="I1435" s="17">
        <f>IFERROR(__xludf.DUMMYFUNCTION("""COMPUTED_VALUE"""),56.0)</f>
        <v>56</v>
      </c>
      <c r="J1435" s="17" t="str">
        <f>IFERROR(__xludf.DUMMYFUNCTION("""COMPUTED_VALUE"""),"&gt; 44 tahun")</f>
        <v>&gt; 44 tahun</v>
      </c>
      <c r="K1435" s="19">
        <f>IFERROR(__xludf.DUMMYFUNCTION("""COMPUTED_VALUE"""),25481.0)</f>
        <v>25481</v>
      </c>
      <c r="L1435" s="19" t="str">
        <f>IFERROR(__xludf.DUMMYFUNCTION("""COMPUTED_VALUE"""),"LAKI-LAKI")</f>
        <v>LAKI-LAKI</v>
      </c>
      <c r="M1435" s="35" t="str">
        <f>IFERROR(__xludf.DUMMYFUNCTION("""COMPUTED_VALUE"""),"JL. PARIT H. HUSEIN 2 KOMPLEK MUTIARA GADING C3")</f>
        <v>JL. PARIT H. HUSEIN 2 KOMPLEK MUTIARA GADING C3</v>
      </c>
      <c r="N1435" s="16" t="str">
        <f>IFERROR(__xludf.DUMMYFUNCTION("""COMPUTED_VALUE"""),"KEL. BANGKA BELITUNG DARAT")</f>
        <v>KEL. BANGKA BELITUNG DARAT</v>
      </c>
      <c r="O1435" s="16" t="str">
        <f>IFERROR(__xludf.DUMMYFUNCTION("""COMPUTED_VALUE"""),"KEC. PONTIANAK TENGGARA")</f>
        <v>KEC. PONTIANAK TENGGARA</v>
      </c>
      <c r="P1435" s="35" t="str">
        <f>IFERROR(__xludf.DUMMYFUNCTION("""COMPUTED_VALUE"""),"KOTA PONTIANAK")</f>
        <v>KOTA PONTIANAK</v>
      </c>
      <c r="Q1435" s="16" t="str">
        <f>IFERROR(__xludf.DUMMYFUNCTION("""COMPUTED_VALUE"""),"KALIMANTAN BARAT")</f>
        <v>KALIMANTAN BARAT</v>
      </c>
      <c r="R1435" s="19" t="str">
        <f>IFERROR(__xludf.DUMMYFUNCTION("""COMPUTED_VALUE"""),"ISLAM")</f>
        <v>ISLAM</v>
      </c>
      <c r="S1435" s="16" t="str">
        <f>IFERROR(__xludf.DUMMYFUNCTION("""COMPUTED_VALUE"""),"WIRASWASTA")</f>
        <v>WIRASWASTA</v>
      </c>
      <c r="T1435" s="16" t="str">
        <f>IFERROR(__xludf.DUMMYFUNCTION("""COMPUTED_VALUE"""),"Stroke Ringan")</f>
        <v>Stroke Ringan</v>
      </c>
      <c r="U1435" s="16" t="str">
        <f>IFERROR(__xludf.DUMMYFUNCTION("""COMPUTED_VALUE"""),"-")</f>
        <v>-</v>
      </c>
      <c r="V1435" s="11" t="str">
        <f>IFERROR(__xludf.DUMMYFUNCTION("""COMPUTED_VALUE"""),"089693795020")</f>
        <v>089693795020</v>
      </c>
      <c r="W1435" s="15"/>
    </row>
    <row r="1436" ht="22.5" customHeight="1">
      <c r="A1436" s="8"/>
      <c r="B1436" s="9">
        <f>IFERROR(__xludf.DUMMYFUNCTION("""COMPUTED_VALUE"""),45451.67801283565)</f>
        <v>45451.67801</v>
      </c>
      <c r="C1436" s="9"/>
      <c r="D1436" s="34">
        <f>IFERROR(__xludf.DUMMYFUNCTION("""COMPUTED_VALUE"""),45459.0)</f>
        <v>45459</v>
      </c>
      <c r="E1436" s="34" t="str">
        <f>IFERROR(__xludf.DUMMYFUNCTION("""COMPUTED_VALUE"""),"06Jun")</f>
        <v>06Jun</v>
      </c>
      <c r="F1436" s="34" t="str">
        <f>IFERROR(__xludf.DUMMYFUNCTION("""COMPUTED_VALUE"""),"2024")</f>
        <v>2024</v>
      </c>
      <c r="G1436" s="35" t="str">
        <f>IFERROR(__xludf.DUMMYFUNCTION("""COMPUTED_VALUE"""),"HENDRI GUNAWAN0005")</f>
        <v>HENDRI GUNAWAN0005</v>
      </c>
      <c r="H1436" s="17" t="str">
        <f>IFERROR(__xludf.DUMMYFUNCTION("""COMPUTED_VALUE"""),"H0024065411")</f>
        <v>H0024065411</v>
      </c>
      <c r="I1436" s="17">
        <f>IFERROR(__xludf.DUMMYFUNCTION("""COMPUTED_VALUE"""),26.0)</f>
        <v>26</v>
      </c>
      <c r="J1436" s="17" t="str">
        <f>IFERROR(__xludf.DUMMYFUNCTION("""COMPUTED_VALUE"""),"25-34 tahun")</f>
        <v>25-34 tahun</v>
      </c>
      <c r="K1436" s="19">
        <f>IFERROR(__xludf.DUMMYFUNCTION("""COMPUTED_VALUE"""),36651.0)</f>
        <v>36651</v>
      </c>
      <c r="L1436" s="19" t="str">
        <f>IFERROR(__xludf.DUMMYFUNCTION("""COMPUTED_VALUE"""),"LAKI-LAKI")</f>
        <v>LAKI-LAKI</v>
      </c>
      <c r="M1436" s="35" t="str">
        <f>IFERROR(__xludf.DUMMYFUNCTION("""COMPUTED_VALUE"""),"DUSUN KARANG MAS")</f>
        <v>DUSUN KARANG MAS</v>
      </c>
      <c r="N1436" s="16" t="str">
        <f>IFERROR(__xludf.DUMMYFUNCTION("""COMPUTED_VALUE"""),"DS. SUNGAI MELAYU")</f>
        <v>DS. SUNGAI MELAYU</v>
      </c>
      <c r="O1436" s="16" t="str">
        <f>IFERROR(__xludf.DUMMYFUNCTION("""COMPUTED_VALUE"""),"KEC. SUNGAI MELAYU RAYAK")</f>
        <v>KEC. SUNGAI MELAYU RAYAK</v>
      </c>
      <c r="P1436" s="16" t="str">
        <f>IFERROR(__xludf.DUMMYFUNCTION("""COMPUTED_VALUE"""),"KAB. KETAPANG")</f>
        <v>KAB. KETAPANG</v>
      </c>
      <c r="Q1436" s="16" t="str">
        <f>IFERROR(__xludf.DUMMYFUNCTION("""COMPUTED_VALUE"""),"KALIMANTAN BARAT")</f>
        <v>KALIMANTAN BARAT</v>
      </c>
      <c r="R1436" s="19" t="str">
        <f>IFERROR(__xludf.DUMMYFUNCTION("""COMPUTED_VALUE"""),"BUDDHA")</f>
        <v>BUDDHA</v>
      </c>
      <c r="S1436" s="16" t="str">
        <f>IFERROR(__xludf.DUMMYFUNCTION("""COMPUTED_VALUE"""),"PELAJAR/MAHASISWA")</f>
        <v>PELAJAR/MAHASISWA</v>
      </c>
      <c r="T1436" s="16" t="str">
        <f>IFERROR(__xludf.DUMMYFUNCTION("""COMPUTED_VALUE"""),"Nyeri")</f>
        <v>Nyeri</v>
      </c>
      <c r="U1436" s="16" t="str">
        <f>IFERROR(__xludf.DUMMYFUNCTION("""COMPUTED_VALUE"""),"Badminton")</f>
        <v>Badminton</v>
      </c>
      <c r="V1436" s="11" t="str">
        <f>IFERROR(__xludf.DUMMYFUNCTION("""COMPUTED_VALUE"""),"85346385411")</f>
        <v>85346385411</v>
      </c>
      <c r="W1436" s="15"/>
    </row>
    <row r="1437" ht="22.5" customHeight="1">
      <c r="A1437" s="8"/>
      <c r="B1437" s="9">
        <f>IFERROR(__xludf.DUMMYFUNCTION("""COMPUTED_VALUE"""),45451.705860625)</f>
        <v>45451.70586</v>
      </c>
      <c r="C1437" s="9"/>
      <c r="D1437" s="34">
        <f>IFERROR(__xludf.DUMMYFUNCTION("""COMPUTED_VALUE"""),45459.0)</f>
        <v>45459</v>
      </c>
      <c r="E1437" s="34" t="str">
        <f>IFERROR(__xludf.DUMMYFUNCTION("""COMPUTED_VALUE"""),"06Jun")</f>
        <v>06Jun</v>
      </c>
      <c r="F1437" s="34" t="str">
        <f>IFERROR(__xludf.DUMMYFUNCTION("""COMPUTED_VALUE"""),"2024")</f>
        <v>2024</v>
      </c>
      <c r="G1437" s="35" t="str">
        <f>IFERROR(__xludf.DUMMYFUNCTION("""COMPUTED_VALUE"""),"ANGGELA ASTRI YANTI")</f>
        <v>ANGGELA ASTRI YANTI</v>
      </c>
      <c r="H1437" s="17" t="str">
        <f>IFERROR(__xludf.DUMMYFUNCTION("""COMPUTED_VALUE"""),"A0024061718")</f>
        <v>A0024061718</v>
      </c>
      <c r="I1437" s="17">
        <f>IFERROR(__xludf.DUMMYFUNCTION("""COMPUTED_VALUE"""),25.0)</f>
        <v>25</v>
      </c>
      <c r="J1437" s="17" t="str">
        <f>IFERROR(__xludf.DUMMYFUNCTION("""COMPUTED_VALUE"""),"25-34 tahun")</f>
        <v>25-34 tahun</v>
      </c>
      <c r="K1437" s="19">
        <f>IFERROR(__xludf.DUMMYFUNCTION("""COMPUTED_VALUE"""),36793.0)</f>
        <v>36793</v>
      </c>
      <c r="L1437" s="19" t="str">
        <f>IFERROR(__xludf.DUMMYFUNCTION("""COMPUTED_VALUE"""),"PEREMPUAN")</f>
        <v>PEREMPUAN</v>
      </c>
      <c r="M1437" s="35" t="str">
        <f>IFERROR(__xludf.DUMMYFUNCTION("""COMPUTED_VALUE"""),"KECAMATAN LEDO, KABUPATEN BENGKAYANG")</f>
        <v>KECAMATAN LEDO, KABUPATEN BENGKAYANG</v>
      </c>
      <c r="N1437" s="16" t="str">
        <f>IFERROR(__xludf.DUMMYFUNCTION("""COMPUTED_VALUE"""),"DS. LESABELA")</f>
        <v>DS. LESABELA</v>
      </c>
      <c r="O1437" s="16" t="str">
        <f>IFERROR(__xludf.DUMMYFUNCTION("""COMPUTED_VALUE"""),"KEC. LEDO")</f>
        <v>KEC. LEDO</v>
      </c>
      <c r="P1437" s="16" t="str">
        <f>IFERROR(__xludf.DUMMYFUNCTION("""COMPUTED_VALUE"""),"KAB. BENGKAYANG")</f>
        <v>KAB. BENGKAYANG</v>
      </c>
      <c r="Q1437" s="16" t="str">
        <f>IFERROR(__xludf.DUMMYFUNCTION("""COMPUTED_VALUE"""),"KALIMANTAN BARAT")</f>
        <v>KALIMANTAN BARAT</v>
      </c>
      <c r="R1437" s="19" t="str">
        <f>IFERROR(__xludf.DUMMYFUNCTION("""COMPUTED_VALUE"""),"KATOLIK")</f>
        <v>KATOLIK</v>
      </c>
      <c r="S1437" s="35" t="str">
        <f>IFERROR(__xludf.DUMMYFUNCTION("""COMPUTED_VALUE"""),"SWASTA")</f>
        <v>SWASTA</v>
      </c>
      <c r="T1437" s="16" t="str">
        <f>IFERROR(__xludf.DUMMYFUNCTION("""COMPUTED_VALUE"""),"Nyeri Di bagian bahu dan lengan tangan, Serta nyeri di bagian .")</f>
        <v>Nyeri Di bagian bahu dan lengan tangan, Serta nyeri di bagian .</v>
      </c>
      <c r="U1437" s="16" t="str">
        <f>IFERROR(__xludf.DUMMYFUNCTION("""COMPUTED_VALUE"""),"Tidak melakukan aktivitas berat, hnya Duduk.")</f>
        <v>Tidak melakukan aktivitas berat, hnya Duduk.</v>
      </c>
      <c r="V1437" s="11" t="str">
        <f>IFERROR(__xludf.DUMMYFUNCTION("""COMPUTED_VALUE"""),"081255151718")</f>
        <v>081255151718</v>
      </c>
      <c r="W1437" s="15"/>
    </row>
    <row r="1438" ht="22.5" customHeight="1">
      <c r="A1438" s="28"/>
      <c r="B1438" s="9">
        <f>IFERROR(__xludf.DUMMYFUNCTION("""COMPUTED_VALUE"""),45451.72109546296)</f>
        <v>45451.7211</v>
      </c>
      <c r="C1438" s="9"/>
      <c r="D1438" s="10">
        <f>IFERROR(__xludf.DUMMYFUNCTION("""COMPUTED_VALUE"""),45461.0)</f>
        <v>45461</v>
      </c>
      <c r="E1438" s="10" t="str">
        <f>IFERROR(__xludf.DUMMYFUNCTION("""COMPUTED_VALUE"""),"06Jun")</f>
        <v>06Jun</v>
      </c>
      <c r="F1438" s="10" t="str">
        <f>IFERROR(__xludf.DUMMYFUNCTION("""COMPUTED_VALUE"""),"2024")</f>
        <v>2024</v>
      </c>
      <c r="G1438" s="35" t="str">
        <f>IFERROR(__xludf.DUMMYFUNCTION("""COMPUTED_VALUE"""),"YANUAR IRVAN")</f>
        <v>YANUAR IRVAN</v>
      </c>
      <c r="H1438" s="17" t="str">
        <f>IFERROR(__xludf.DUMMYFUNCTION("""COMPUTED_VALUE"""),"Y8824069669")</f>
        <v>Y8824069669</v>
      </c>
      <c r="I1438" s="17">
        <f>IFERROR(__xludf.DUMMYFUNCTION("""COMPUTED_VALUE"""),38.0)</f>
        <v>38</v>
      </c>
      <c r="J1438" s="17" t="str">
        <f>IFERROR(__xludf.DUMMYFUNCTION("""COMPUTED_VALUE"""),"35-44 tahun")</f>
        <v>35-44 tahun</v>
      </c>
      <c r="K1438" s="19">
        <f>IFERROR(__xludf.DUMMYFUNCTION("""COMPUTED_VALUE"""),32152.0)</f>
        <v>32152</v>
      </c>
      <c r="L1438" s="19" t="str">
        <f>IFERROR(__xludf.DUMMYFUNCTION("""COMPUTED_VALUE"""),"LAKI-LAKI")</f>
        <v>LAKI-LAKI</v>
      </c>
      <c r="M1438" s="35" t="str">
        <f>IFERROR(__xludf.DUMMYFUNCTION("""COMPUTED_VALUE"""),"JL. TANJUNG RAYA II GG. ASSUHA NO.27B")</f>
        <v>JL. TANJUNG RAYA II GG. ASSUHA NO.27B</v>
      </c>
      <c r="N1438" s="16" t="str">
        <f>IFERROR(__xludf.DUMMYFUNCTION("""COMPUTED_VALUE"""),"KEL. SAIGON")</f>
        <v>KEL. SAIGON</v>
      </c>
      <c r="O1438" s="16" t="str">
        <f>IFERROR(__xludf.DUMMYFUNCTION("""COMPUTED_VALUE"""),"KEC. PONTIANAK TIMUR")</f>
        <v>KEC. PONTIANAK TIMUR</v>
      </c>
      <c r="P1438" s="16" t="str">
        <f>IFERROR(__xludf.DUMMYFUNCTION("""COMPUTED_VALUE"""),"KOTA PONTIANAK")</f>
        <v>KOTA PONTIANAK</v>
      </c>
      <c r="Q1438" s="35" t="str">
        <f>IFERROR(__xludf.DUMMYFUNCTION("""COMPUTED_VALUE"""),"KALIMANTAN BARAT")</f>
        <v>KALIMANTAN BARAT</v>
      </c>
      <c r="R1438" s="19" t="str">
        <f>IFERROR(__xludf.DUMMYFUNCTION("""COMPUTED_VALUE"""),"ISLAM")</f>
        <v>ISLAM</v>
      </c>
      <c r="S1438" s="16" t="str">
        <f>IFERROR(__xludf.DUMMYFUNCTION("""COMPUTED_VALUE"""),"SWASTA")</f>
        <v>SWASTA</v>
      </c>
      <c r="T1438" s="16" t="str">
        <f>IFERROR(__xludf.DUMMYFUNCTION("""COMPUTED_VALUE"""),"Cidera Tumit Kaki Kanan")</f>
        <v>Cidera Tumit Kaki Kanan</v>
      </c>
      <c r="U1438" s="16" t="str">
        <f>IFERROR(__xludf.DUMMYFUNCTION("""COMPUTED_VALUE"""),"Sepak Bola")</f>
        <v>Sepak Bola</v>
      </c>
      <c r="V1438" s="11" t="str">
        <f>IFERROR(__xludf.DUMMYFUNCTION("""COMPUTED_VALUE"""),"081256669669")</f>
        <v>081256669669</v>
      </c>
      <c r="W1438" s="15"/>
    </row>
    <row r="1439" ht="22.5" customHeight="1">
      <c r="A1439" s="8"/>
      <c r="B1439" s="9">
        <f>IFERROR(__xludf.DUMMYFUNCTION("""COMPUTED_VALUE"""),45452.7607853125)</f>
        <v>45452.76079</v>
      </c>
      <c r="C1439" s="9"/>
      <c r="D1439" s="34">
        <f>IFERROR(__xludf.DUMMYFUNCTION("""COMPUTED_VALUE"""),45461.0)</f>
        <v>45461</v>
      </c>
      <c r="E1439" s="34" t="str">
        <f>IFERROR(__xludf.DUMMYFUNCTION("""COMPUTED_VALUE"""),"06Jun")</f>
        <v>06Jun</v>
      </c>
      <c r="F1439" s="34" t="str">
        <f>IFERROR(__xludf.DUMMYFUNCTION("""COMPUTED_VALUE"""),"2024")</f>
        <v>2024</v>
      </c>
      <c r="G1439" s="35" t="str">
        <f>IFERROR(__xludf.DUMMYFUNCTION("""COMPUTED_VALUE"""),"SAMUEL PIETER THOMAS MAMANUA")</f>
        <v>SAMUEL PIETER THOMAS MAMANUA</v>
      </c>
      <c r="H1439" s="17" t="str">
        <f>IFERROR(__xludf.DUMMYFUNCTION("""COMPUTED_VALUE"""),"S9524061546")</f>
        <v>S9524061546</v>
      </c>
      <c r="I1439" s="17">
        <f>IFERROR(__xludf.DUMMYFUNCTION("""COMPUTED_VALUE"""),30.0)</f>
        <v>30</v>
      </c>
      <c r="J1439" s="17" t="str">
        <f>IFERROR(__xludf.DUMMYFUNCTION("""COMPUTED_VALUE"""),"25-34 tahun")</f>
        <v>25-34 tahun</v>
      </c>
      <c r="K1439" s="19">
        <f>IFERROR(__xludf.DUMMYFUNCTION("""COMPUTED_VALUE"""),34962.0)</f>
        <v>34962</v>
      </c>
      <c r="L1439" s="19" t="str">
        <f>IFERROR(__xludf.DUMMYFUNCTION("""COMPUTED_VALUE"""),"LAKI-LAKI")</f>
        <v>LAKI-LAKI</v>
      </c>
      <c r="M1439" s="35" t="str">
        <f>IFERROR(__xludf.DUMMYFUNCTION("""COMPUTED_VALUE"""),"JALAN SAWO JALUR 2A NO.13")</f>
        <v>JALAN SAWO JALUR 2A NO.13</v>
      </c>
      <c r="N1439" s="16" t="str">
        <f>IFERROR(__xludf.DUMMYFUNCTION("""COMPUTED_VALUE"""),"KEL. SUNGAI JAWI LUAR")</f>
        <v>KEL. SUNGAI JAWI LUAR</v>
      </c>
      <c r="O1439" s="16" t="str">
        <f>IFERROR(__xludf.DUMMYFUNCTION("""COMPUTED_VALUE"""),"KEC. PONTIANAK BARAT")</f>
        <v>KEC. PONTIANAK BARAT</v>
      </c>
      <c r="P1439" s="16" t="str">
        <f>IFERROR(__xludf.DUMMYFUNCTION("""COMPUTED_VALUE"""),"KOTA PONTIANAK")</f>
        <v>KOTA PONTIANAK</v>
      </c>
      <c r="Q1439" s="16" t="str">
        <f>IFERROR(__xludf.DUMMYFUNCTION("""COMPUTED_VALUE"""),"KALIMANTAN BARAT")</f>
        <v>KALIMANTAN BARAT</v>
      </c>
      <c r="R1439" s="19" t="str">
        <f>IFERROR(__xludf.DUMMYFUNCTION("""COMPUTED_VALUE"""),"KATOLIK")</f>
        <v>KATOLIK</v>
      </c>
      <c r="S1439" s="16" t="str">
        <f>IFERROR(__xludf.DUMMYFUNCTION("""COMPUTED_VALUE"""),"SWASTA")</f>
        <v>SWASTA</v>
      </c>
      <c r="T1439" s="16" t="str">
        <f>IFERROR(__xludf.DUMMYFUNCTION("""COMPUTED_VALUE"""),"HNP")</f>
        <v>HNP</v>
      </c>
      <c r="U1439" s="16" t="str">
        <f>IFERROR(__xludf.DUMMYFUNCTION("""COMPUTED_VALUE"""),"bekerja didepan komputer -+ 8jam/hari")</f>
        <v>bekerja didepan komputer -+ 8jam/hari</v>
      </c>
      <c r="V1439" s="11" t="str">
        <f>IFERROR(__xludf.DUMMYFUNCTION("""COMPUTED_VALUE"""),"081215261546")</f>
        <v>081215261546</v>
      </c>
      <c r="W1439" s="15"/>
    </row>
    <row r="1440" ht="22.5" customHeight="1">
      <c r="A1440" s="8"/>
      <c r="B1440" s="9">
        <f>IFERROR(__xludf.DUMMYFUNCTION("""COMPUTED_VALUE"""),45451.46777890046)</f>
        <v>45451.46778</v>
      </c>
      <c r="C1440" s="9"/>
      <c r="D1440" s="34">
        <f>IFERROR(__xludf.DUMMYFUNCTION("""COMPUTED_VALUE"""),45462.0)</f>
        <v>45462</v>
      </c>
      <c r="E1440" s="34" t="str">
        <f>IFERROR(__xludf.DUMMYFUNCTION("""COMPUTED_VALUE"""),"06Jun")</f>
        <v>06Jun</v>
      </c>
      <c r="F1440" s="34" t="str">
        <f>IFERROR(__xludf.DUMMYFUNCTION("""COMPUTED_VALUE"""),"2024")</f>
        <v>2024</v>
      </c>
      <c r="G1440" s="35" t="str">
        <f>IFERROR(__xludf.DUMMYFUNCTION("""COMPUTED_VALUE"""),"JEVVIE AGUS PRANANDA")</f>
        <v>JEVVIE AGUS PRANANDA</v>
      </c>
      <c r="H1440" s="17" t="str">
        <f>IFERROR(__xludf.DUMMYFUNCTION("""COMPUTED_VALUE"""),"J8924063773")</f>
        <v>J8924063773</v>
      </c>
      <c r="I1440" s="17">
        <f>IFERROR(__xludf.DUMMYFUNCTION("""COMPUTED_VALUE"""),36.0)</f>
        <v>36</v>
      </c>
      <c r="J1440" s="17" t="str">
        <f>IFERROR(__xludf.DUMMYFUNCTION("""COMPUTED_VALUE"""),"35-44 tahun")</f>
        <v>35-44 tahun</v>
      </c>
      <c r="K1440" s="19">
        <f>IFERROR(__xludf.DUMMYFUNCTION("""COMPUTED_VALUE"""),32729.0)</f>
        <v>32729</v>
      </c>
      <c r="L1440" s="19" t="str">
        <f>IFERROR(__xludf.DUMMYFUNCTION("""COMPUTED_VALUE"""),"LAKI-LAKI")</f>
        <v>LAKI-LAKI</v>
      </c>
      <c r="M1440" s="35" t="str">
        <f>IFERROR(__xludf.DUMMYFUNCTION("""COMPUTED_VALUE"""),"JL SUDIRMAN GANG MORRIS")</f>
        <v>JL SUDIRMAN GANG MORRIS</v>
      </c>
      <c r="N1440" s="16" t="str">
        <f>IFERROR(__xludf.DUMMYFUNCTION("""COMPUTED_VALUE"""),"KEL. CONDONG")</f>
        <v>KEL. CONDONG</v>
      </c>
      <c r="O1440" s="16" t="str">
        <f>IFERROR(__xludf.DUMMYFUNCTION("""COMPUTED_VALUE"""),"KEC. SINGKAWANG TENGAH")</f>
        <v>KEC. SINGKAWANG TENGAH</v>
      </c>
      <c r="P1440" s="16" t="str">
        <f>IFERROR(__xludf.DUMMYFUNCTION("""COMPUTED_VALUE"""),"KAB. SINGKAWANG")</f>
        <v>KAB. SINGKAWANG</v>
      </c>
      <c r="Q1440" s="16" t="str">
        <f>IFERROR(__xludf.DUMMYFUNCTION("""COMPUTED_VALUE"""),"KALIMANTAN BARAT")</f>
        <v>KALIMANTAN BARAT</v>
      </c>
      <c r="R1440" s="19" t="str">
        <f>IFERROR(__xludf.DUMMYFUNCTION("""COMPUTED_VALUE"""),"ISLAM")</f>
        <v>ISLAM</v>
      </c>
      <c r="S1440" s="16" t="str">
        <f>IFERROR(__xludf.DUMMYFUNCTION("""COMPUTED_VALUE"""),"SWASTA")</f>
        <v>SWASTA</v>
      </c>
      <c r="T1440" s="16" t="str">
        <f>IFERROR(__xludf.DUMMYFUNCTION("""COMPUTED_VALUE"""),"Nyeri otot punggung sampai migren")</f>
        <v>Nyeri otot punggung sampai migren</v>
      </c>
      <c r="U1440" s="16" t="str">
        <f>IFERROR(__xludf.DUMMYFUNCTION("""COMPUTED_VALUE"""),"Billiar")</f>
        <v>Billiar</v>
      </c>
      <c r="V1440" s="11" t="str">
        <f>IFERROR(__xludf.DUMMYFUNCTION("""COMPUTED_VALUE"""),"081252193773")</f>
        <v>081252193773</v>
      </c>
      <c r="W1440" s="15"/>
    </row>
    <row r="1441" ht="22.5" customHeight="1">
      <c r="A1441" s="8"/>
      <c r="B1441" s="9">
        <f>IFERROR(__xludf.DUMMYFUNCTION("""COMPUTED_VALUE"""),45453.50069515046)</f>
        <v>45453.5007</v>
      </c>
      <c r="C1441" s="9"/>
      <c r="D1441" s="34">
        <f>IFERROR(__xludf.DUMMYFUNCTION("""COMPUTED_VALUE"""),45462.0)</f>
        <v>45462</v>
      </c>
      <c r="E1441" s="34" t="str">
        <f>IFERROR(__xludf.DUMMYFUNCTION("""COMPUTED_VALUE"""),"06Jun")</f>
        <v>06Jun</v>
      </c>
      <c r="F1441" s="34" t="str">
        <f>IFERROR(__xludf.DUMMYFUNCTION("""COMPUTED_VALUE"""),"2024")</f>
        <v>2024</v>
      </c>
      <c r="G1441" s="35" t="str">
        <f>IFERROR(__xludf.DUMMYFUNCTION("""COMPUTED_VALUE"""),"YULIUS TEHAU")</f>
        <v>YULIUS TEHAU</v>
      </c>
      <c r="H1441" s="17" t="str">
        <f>IFERROR(__xludf.DUMMYFUNCTION("""COMPUTED_VALUE"""),"Y7424061299")</f>
        <v>Y7424061299</v>
      </c>
      <c r="I1441" s="17">
        <f>IFERROR(__xludf.DUMMYFUNCTION("""COMPUTED_VALUE"""),52.0)</f>
        <v>52</v>
      </c>
      <c r="J1441" s="17" t="str">
        <f>IFERROR(__xludf.DUMMYFUNCTION("""COMPUTED_VALUE"""),"&gt; 44 tahun")</f>
        <v>&gt; 44 tahun</v>
      </c>
      <c r="K1441" s="19">
        <f>IFERROR(__xludf.DUMMYFUNCTION("""COMPUTED_VALUE"""),27151.0)</f>
        <v>27151</v>
      </c>
      <c r="L1441" s="19" t="str">
        <f>IFERROR(__xludf.DUMMYFUNCTION("""COMPUTED_VALUE"""),"LAKI-LAKI")</f>
        <v>LAKI-LAKI</v>
      </c>
      <c r="M1441" s="35" t="str">
        <f>IFERROR(__xludf.DUMMYFUNCTION("""COMPUTED_VALUE"""),"MGK KELADSN DESA MELOBOK KEC.MELIAU KAB SANGGSU KALBAR")</f>
        <v>MGK KELADSN DESA MELOBOK KEC.MELIAU KAB SANGGSU KALBAR</v>
      </c>
      <c r="N1441" s="16" t="str">
        <f>IFERROR(__xludf.DUMMYFUNCTION("""COMPUTED_VALUE"""),"DS. MELOBOK")</f>
        <v>DS. MELOBOK</v>
      </c>
      <c r="O1441" s="16" t="str">
        <f>IFERROR(__xludf.DUMMYFUNCTION("""COMPUTED_VALUE"""),"KEC. MELIAU")</f>
        <v>KEC. MELIAU</v>
      </c>
      <c r="P1441" s="16" t="str">
        <f>IFERROR(__xludf.DUMMYFUNCTION("""COMPUTED_VALUE"""),"KAB. SANGGAU")</f>
        <v>KAB. SANGGAU</v>
      </c>
      <c r="Q1441" s="16" t="str">
        <f>IFERROR(__xludf.DUMMYFUNCTION("""COMPUTED_VALUE"""),"KALIMANTAN BARAT")</f>
        <v>KALIMANTAN BARAT</v>
      </c>
      <c r="R1441" s="19" t="str">
        <f>IFERROR(__xludf.DUMMYFUNCTION("""COMPUTED_VALUE"""),"KATOLIK")</f>
        <v>KATOLIK</v>
      </c>
      <c r="S1441" s="35" t="str">
        <f>IFERROR(__xludf.DUMMYFUNCTION("""COMPUTED_VALUE"""),"PETANI")</f>
        <v>PETANI</v>
      </c>
      <c r="T1441" s="16" t="str">
        <f>IFERROR(__xludf.DUMMYFUNCTION("""COMPUTED_VALUE"""),"krbad bekad strok lm")</f>
        <v>krbad bekad strok lm</v>
      </c>
      <c r="U1441" s="16" t="str">
        <f>IFERROR(__xludf.DUMMYFUNCTION("""COMPUTED_VALUE"""),"Musik")</f>
        <v>Musik</v>
      </c>
      <c r="V1441" s="11" t="str">
        <f>IFERROR(__xludf.DUMMYFUNCTION("""COMPUTED_VALUE"""),"08582281299")</f>
        <v>08582281299</v>
      </c>
      <c r="W1441" s="15"/>
    </row>
    <row r="1442" ht="22.5" customHeight="1">
      <c r="A1442" s="8"/>
      <c r="B1442" s="9">
        <f>IFERROR(__xludf.DUMMYFUNCTION("""COMPUTED_VALUE"""),45453.666429363424)</f>
        <v>45453.66643</v>
      </c>
      <c r="C1442" s="9"/>
      <c r="D1442" s="34">
        <f>IFERROR(__xludf.DUMMYFUNCTION("""COMPUTED_VALUE"""),45463.0)</f>
        <v>45463</v>
      </c>
      <c r="E1442" s="34" t="str">
        <f>IFERROR(__xludf.DUMMYFUNCTION("""COMPUTED_VALUE"""),"06Jun")</f>
        <v>06Jun</v>
      </c>
      <c r="F1442" s="34" t="str">
        <f>IFERROR(__xludf.DUMMYFUNCTION("""COMPUTED_VALUE"""),"2024")</f>
        <v>2024</v>
      </c>
      <c r="G1442" s="35" t="str">
        <f>IFERROR(__xludf.DUMMYFUNCTION("""COMPUTED_VALUE"""),"DEVI ANGREANI")</f>
        <v>DEVI ANGREANI</v>
      </c>
      <c r="H1442" s="17" t="str">
        <f>IFERROR(__xludf.DUMMYFUNCTION("""COMPUTED_VALUE"""),"D9124063534")</f>
        <v>D9124063534</v>
      </c>
      <c r="I1442" s="17">
        <f>IFERROR(__xludf.DUMMYFUNCTION("""COMPUTED_VALUE"""),34.0)</f>
        <v>34</v>
      </c>
      <c r="J1442" s="17" t="str">
        <f>IFERROR(__xludf.DUMMYFUNCTION("""COMPUTED_VALUE"""),"25-34 tahun")</f>
        <v>25-34 tahun</v>
      </c>
      <c r="K1442" s="19">
        <f>IFERROR(__xludf.DUMMYFUNCTION("""COMPUTED_VALUE"""),33504.0)</f>
        <v>33504</v>
      </c>
      <c r="L1442" s="19" t="str">
        <f>IFERROR(__xludf.DUMMYFUNCTION("""COMPUTED_VALUE"""),"PEREMPUAN")</f>
        <v>PEREMPUAN</v>
      </c>
      <c r="M1442" s="35" t="str">
        <f>IFERROR(__xludf.DUMMYFUNCTION("""COMPUTED_VALUE"""),"JL. KOM YOS SUDARSO GG JERUJU 2 DALAM")</f>
        <v>JL. KOM YOS SUDARSO GG JERUJU 2 DALAM</v>
      </c>
      <c r="N1442" s="16" t="str">
        <f>IFERROR(__xludf.DUMMYFUNCTION("""COMPUTED_VALUE"""),"KEL. SUNGAI BELIUNG")</f>
        <v>KEL. SUNGAI BELIUNG</v>
      </c>
      <c r="O1442" s="16" t="str">
        <f>IFERROR(__xludf.DUMMYFUNCTION("""COMPUTED_VALUE"""),"KEC. PONTIANAK BARAT")</f>
        <v>KEC. PONTIANAK BARAT</v>
      </c>
      <c r="P1442" s="16" t="str">
        <f>IFERROR(__xludf.DUMMYFUNCTION("""COMPUTED_VALUE"""),"KOTA PONTIANAK")</f>
        <v>KOTA PONTIANAK</v>
      </c>
      <c r="Q1442" s="16" t="str">
        <f>IFERROR(__xludf.DUMMYFUNCTION("""COMPUTED_VALUE"""),"KALIMANTAN BARAT")</f>
        <v>KALIMANTAN BARAT</v>
      </c>
      <c r="R1442" s="19" t="str">
        <f>IFERROR(__xludf.DUMMYFUNCTION("""COMPUTED_VALUE"""),"ISLAM")</f>
        <v>ISLAM</v>
      </c>
      <c r="S1442" s="16" t="str">
        <f>IFERROR(__xludf.DUMMYFUNCTION("""COMPUTED_VALUE"""),"DOSEN/GURU")</f>
        <v>DOSEN/GURU</v>
      </c>
      <c r="T1442" s="16" t="str">
        <f>IFERROR(__xludf.DUMMYFUNCTION("""COMPUTED_VALUE"""),"PASCA FRAKTUR")</f>
        <v>PASCA FRAKTUR</v>
      </c>
      <c r="U1442" s="16" t="str">
        <f>IFERROR(__xludf.DUMMYFUNCTION("""COMPUTED_VALUE"""),"Mengajar")</f>
        <v>Mengajar</v>
      </c>
      <c r="V1442" s="11" t="str">
        <f>IFERROR(__xludf.DUMMYFUNCTION("""COMPUTED_VALUE"""),"089693933534")</f>
        <v>089693933534</v>
      </c>
      <c r="W1442" s="15"/>
    </row>
    <row r="1443" ht="22.5" customHeight="1">
      <c r="A1443" s="8"/>
      <c r="B1443" s="9">
        <f>IFERROR(__xludf.DUMMYFUNCTION("""COMPUTED_VALUE"""),45454.57817704861)</f>
        <v>45454.57818</v>
      </c>
      <c r="C1443" s="9"/>
      <c r="D1443" s="34">
        <f>IFERROR(__xludf.DUMMYFUNCTION("""COMPUTED_VALUE"""),45463.0)</f>
        <v>45463</v>
      </c>
      <c r="E1443" s="34" t="str">
        <f>IFERROR(__xludf.DUMMYFUNCTION("""COMPUTED_VALUE"""),"06Jun")</f>
        <v>06Jun</v>
      </c>
      <c r="F1443" s="34" t="str">
        <f>IFERROR(__xludf.DUMMYFUNCTION("""COMPUTED_VALUE"""),"2024")</f>
        <v>2024</v>
      </c>
      <c r="G1443" s="35" t="str">
        <f>IFERROR(__xludf.DUMMYFUNCTION("""COMPUTED_VALUE"""),"AMANDA SHARLEEN")</f>
        <v>AMANDA SHARLEEN</v>
      </c>
      <c r="H1443" s="17" t="str">
        <f>IFERROR(__xludf.DUMMYFUNCTION("""COMPUTED_VALUE"""),"A0124067134")</f>
        <v>A0124067134</v>
      </c>
      <c r="I1443" s="17">
        <f>IFERROR(__xludf.DUMMYFUNCTION("""COMPUTED_VALUE"""),24.0)</f>
        <v>24</v>
      </c>
      <c r="J1443" s="17" t="str">
        <f>IFERROR(__xludf.DUMMYFUNCTION("""COMPUTED_VALUE"""),"18-24 tahun")</f>
        <v>18-24 tahun</v>
      </c>
      <c r="K1443" s="19">
        <f>IFERROR(__xludf.DUMMYFUNCTION("""COMPUTED_VALUE"""),37131.0)</f>
        <v>37131</v>
      </c>
      <c r="L1443" s="19" t="str">
        <f>IFERROR(__xludf.DUMMYFUNCTION("""COMPUTED_VALUE"""),"PEREMPUAN")</f>
        <v>PEREMPUAN</v>
      </c>
      <c r="M1443" s="35" t="str">
        <f>IFERROR(__xludf.DUMMYFUNCTION("""COMPUTED_VALUE"""),"GG. GUNUNG SAHARI NO. 29")</f>
        <v>GG. GUNUNG SAHARI NO. 29</v>
      </c>
      <c r="N1443" s="16" t="str">
        <f>IFERROR(__xludf.DUMMYFUNCTION("""COMPUTED_VALUE"""),"KEL. SUNGAI JAWI DALAM")</f>
        <v>KEL. SUNGAI JAWI DALAM</v>
      </c>
      <c r="O1443" s="16" t="str">
        <f>IFERROR(__xludf.DUMMYFUNCTION("""COMPUTED_VALUE"""),"KEC. PONTIANAK BARAT")</f>
        <v>KEC. PONTIANAK BARAT</v>
      </c>
      <c r="P1443" s="16" t="str">
        <f>IFERROR(__xludf.DUMMYFUNCTION("""COMPUTED_VALUE"""),"KOTA PONTIANAK")</f>
        <v>KOTA PONTIANAK</v>
      </c>
      <c r="Q1443" s="16" t="str">
        <f>IFERROR(__xludf.DUMMYFUNCTION("""COMPUTED_VALUE"""),"KALIMANTAN BARAT")</f>
        <v>KALIMANTAN BARAT</v>
      </c>
      <c r="R1443" s="19" t="str">
        <f>IFERROR(__xludf.DUMMYFUNCTION("""COMPUTED_VALUE"""),"BUDDHA")</f>
        <v>BUDDHA</v>
      </c>
      <c r="S1443" s="16" t="str">
        <f>IFERROR(__xludf.DUMMYFUNCTION("""COMPUTED_VALUE"""),"SWASTA")</f>
        <v>SWASTA</v>
      </c>
      <c r="T1443" s="16" t="str">
        <f>IFERROR(__xludf.DUMMYFUNCTION("""COMPUTED_VALUE"""),"Tumit sakit")</f>
        <v>Tumit sakit</v>
      </c>
      <c r="U1443" s="16" t="str">
        <f>IFERROR(__xludf.DUMMYFUNCTION("""COMPUTED_VALUE"""),"kerja, badminton")</f>
        <v>kerja, badminton</v>
      </c>
      <c r="V1443" s="11" t="str">
        <f>IFERROR(__xludf.DUMMYFUNCTION("""COMPUTED_VALUE"""),"081351947134")</f>
        <v>081351947134</v>
      </c>
      <c r="W1443" s="15"/>
    </row>
    <row r="1444" ht="22.5" customHeight="1">
      <c r="A1444" s="8"/>
      <c r="B1444" s="9">
        <f>IFERROR(__xludf.DUMMYFUNCTION("""COMPUTED_VALUE"""),45454.59607396991)</f>
        <v>45454.59607</v>
      </c>
      <c r="C1444" s="9"/>
      <c r="D1444" s="34">
        <f>IFERROR(__xludf.DUMMYFUNCTION("""COMPUTED_VALUE"""),45464.0)</f>
        <v>45464</v>
      </c>
      <c r="E1444" s="34" t="str">
        <f>IFERROR(__xludf.DUMMYFUNCTION("""COMPUTED_VALUE"""),"06Jun")</f>
        <v>06Jun</v>
      </c>
      <c r="F1444" s="34" t="str">
        <f>IFERROR(__xludf.DUMMYFUNCTION("""COMPUTED_VALUE"""),"2024")</f>
        <v>2024</v>
      </c>
      <c r="G1444" s="35" t="str">
        <f>IFERROR(__xludf.DUMMYFUNCTION("""COMPUTED_VALUE"""),"ANGGER PRAKOSO")</f>
        <v>ANGGER PRAKOSO</v>
      </c>
      <c r="H1444" s="17" t="str">
        <f>IFERROR(__xludf.DUMMYFUNCTION("""COMPUTED_VALUE"""),"A9724069014")</f>
        <v>A9724069014</v>
      </c>
      <c r="I1444" s="17">
        <f>IFERROR(__xludf.DUMMYFUNCTION("""COMPUTED_VALUE"""),29.0)</f>
        <v>29</v>
      </c>
      <c r="J1444" s="17" t="str">
        <f>IFERROR(__xludf.DUMMYFUNCTION("""COMPUTED_VALUE"""),"25-34 tahun")</f>
        <v>25-34 tahun</v>
      </c>
      <c r="K1444" s="19">
        <f>IFERROR(__xludf.DUMMYFUNCTION("""COMPUTED_VALUE"""),35481.0)</f>
        <v>35481</v>
      </c>
      <c r="L1444" s="19" t="str">
        <f>IFERROR(__xludf.DUMMYFUNCTION("""COMPUTED_VALUE"""),"LAKI-LAKI")</f>
        <v>LAKI-LAKI</v>
      </c>
      <c r="M1444" s="35" t="str">
        <f>IFERROR(__xludf.DUMMYFUNCTION("""COMPUTED_VALUE"""),"KABUPATEN LANDAK DESA HILIR KANTOR")</f>
        <v>KABUPATEN LANDAK DESA HILIR KANTOR</v>
      </c>
      <c r="N1444" s="16" t="str">
        <f>IFERROR(__xludf.DUMMYFUNCTION("""COMPUTED_VALUE"""),"DS. HILIR KANTOR")</f>
        <v>DS. HILIR KANTOR</v>
      </c>
      <c r="O1444" s="16" t="str">
        <f>IFERROR(__xludf.DUMMYFUNCTION("""COMPUTED_VALUE"""),"KEC. NGABANG")</f>
        <v>KEC. NGABANG</v>
      </c>
      <c r="P1444" s="16" t="str">
        <f>IFERROR(__xludf.DUMMYFUNCTION("""COMPUTED_VALUE"""),"KAB. LANDAK")</f>
        <v>KAB. LANDAK</v>
      </c>
      <c r="Q1444" s="16" t="str">
        <f>IFERROR(__xludf.DUMMYFUNCTION("""COMPUTED_VALUE"""),"KALIMANTAN BARAT")</f>
        <v>KALIMANTAN BARAT</v>
      </c>
      <c r="R1444" s="19" t="str">
        <f>IFERROR(__xludf.DUMMYFUNCTION("""COMPUTED_VALUE"""),"KATOLIK")</f>
        <v>KATOLIK</v>
      </c>
      <c r="S1444" s="16" t="str">
        <f>IFERROR(__xludf.DUMMYFUNCTION("""COMPUTED_VALUE"""),"SWASTA")</f>
        <v>SWASTA</v>
      </c>
      <c r="T1444" s="16" t="str">
        <f>IFERROR(__xludf.DUMMYFUNCTION("""COMPUTED_VALUE"""),"Diagnosa dokter umum masalah di ligamen")</f>
        <v>Diagnosa dokter umum masalah di ligamen</v>
      </c>
      <c r="U1444" s="16" t="str">
        <f>IFERROR(__xludf.DUMMYFUNCTION("""COMPUTED_VALUE"""),"Futsal dan bola kaki")</f>
        <v>Futsal dan bola kaki</v>
      </c>
      <c r="V1444" s="11" t="str">
        <f>IFERROR(__xludf.DUMMYFUNCTION("""COMPUTED_VALUE"""),"082156689014")</f>
        <v>082156689014</v>
      </c>
      <c r="W1444" s="15"/>
    </row>
    <row r="1445" ht="22.5" customHeight="1">
      <c r="A1445" s="8"/>
      <c r="B1445" s="9">
        <f>IFERROR(__xludf.DUMMYFUNCTION("""COMPUTED_VALUE"""),45454.60975358797)</f>
        <v>45454.60975</v>
      </c>
      <c r="C1445" s="9"/>
      <c r="D1445" s="34">
        <f>IFERROR(__xludf.DUMMYFUNCTION("""COMPUTED_VALUE"""),45464.0)</f>
        <v>45464</v>
      </c>
      <c r="E1445" s="34" t="str">
        <f>IFERROR(__xludf.DUMMYFUNCTION("""COMPUTED_VALUE"""),"06Jun")</f>
        <v>06Jun</v>
      </c>
      <c r="F1445" s="34" t="str">
        <f>IFERROR(__xludf.DUMMYFUNCTION("""COMPUTED_VALUE"""),"2024")</f>
        <v>2024</v>
      </c>
      <c r="G1445" s="35" t="str">
        <f>IFERROR(__xludf.DUMMYFUNCTION("""COMPUTED_VALUE"""),"AMRAZI ZAKSO")</f>
        <v>AMRAZI ZAKSO</v>
      </c>
      <c r="H1445" s="17" t="str">
        <f>IFERROR(__xludf.DUMMYFUNCTION("""COMPUTED_VALUE"""),"A6324060396")</f>
        <v>A6324060396</v>
      </c>
      <c r="I1445" s="17">
        <f>IFERROR(__xludf.DUMMYFUNCTION("""COMPUTED_VALUE"""),63.0)</f>
        <v>63</v>
      </c>
      <c r="J1445" s="17" t="str">
        <f>IFERROR(__xludf.DUMMYFUNCTION("""COMPUTED_VALUE"""),"&gt; 44 tahun")</f>
        <v>&gt; 44 tahun</v>
      </c>
      <c r="K1445" s="19">
        <f>IFERROR(__xludf.DUMMYFUNCTION("""COMPUTED_VALUE"""),23020.0)</f>
        <v>23020</v>
      </c>
      <c r="L1445" s="19" t="str">
        <f>IFERROR(__xludf.DUMMYFUNCTION("""COMPUTED_VALUE"""),"LAKI-LAKI")</f>
        <v>LAKI-LAKI</v>
      </c>
      <c r="M1445" s="35" t="str">
        <f>IFERROR(__xludf.DUMMYFUNCTION("""COMPUTED_VALUE"""),"JL. PURNAMA, KOMPLEK KURNIA 9 NO 13 A")</f>
        <v>JL. PURNAMA, KOMPLEK KURNIA 9 NO 13 A</v>
      </c>
      <c r="N1445" s="16" t="str">
        <f>IFERROR(__xludf.DUMMYFUNCTION("""COMPUTED_VALUE"""),"KEL. PARIT TOKAYA")</f>
        <v>KEL. PARIT TOKAYA</v>
      </c>
      <c r="O1445" s="16" t="str">
        <f>IFERROR(__xludf.DUMMYFUNCTION("""COMPUTED_VALUE"""),"KEC. PONTIANAK SELATAN")</f>
        <v>KEC. PONTIANAK SELATAN</v>
      </c>
      <c r="P1445" s="16" t="str">
        <f>IFERROR(__xludf.DUMMYFUNCTION("""COMPUTED_VALUE"""),"KOTA PONTIANAK")</f>
        <v>KOTA PONTIANAK</v>
      </c>
      <c r="Q1445" s="16" t="str">
        <f>IFERROR(__xludf.DUMMYFUNCTION("""COMPUTED_VALUE"""),"KALIMANTAN BARAT")</f>
        <v>KALIMANTAN BARAT</v>
      </c>
      <c r="R1445" s="19" t="str">
        <f>IFERROR(__xludf.DUMMYFUNCTION("""COMPUTED_VALUE"""),"ISLAM")</f>
        <v>ISLAM</v>
      </c>
      <c r="S1445" s="35" t="str">
        <f>IFERROR(__xludf.DUMMYFUNCTION("""COMPUTED_VALUE"""),"DOSEN/GURU")</f>
        <v>DOSEN/GURU</v>
      </c>
      <c r="T1445" s="16" t="str">
        <f>IFERROR(__xludf.DUMMYFUNCTION("""COMPUTED_VALUE"""),"Sakit dibagian antara bahu dan tangan kanan.")</f>
        <v>Sakit dibagian antara bahu dan tangan kanan.</v>
      </c>
      <c r="U1445" s="16" t="str">
        <f>IFERROR(__xludf.DUMMYFUNCTION("""COMPUTED_VALUE"""),"Jalan pagi (tidak rutin)")</f>
        <v>Jalan pagi (tidak rutin)</v>
      </c>
      <c r="V1445" s="11" t="str">
        <f>IFERROR(__xludf.DUMMYFUNCTION("""COMPUTED_VALUE"""),"081345640396")</f>
        <v>081345640396</v>
      </c>
      <c r="W1445" s="15"/>
    </row>
    <row r="1446" ht="22.5" customHeight="1">
      <c r="A1446" s="8"/>
      <c r="B1446" s="9">
        <f>IFERROR(__xludf.DUMMYFUNCTION("""COMPUTED_VALUE"""),45454.7321750463)</f>
        <v>45454.73218</v>
      </c>
      <c r="C1446" s="9"/>
      <c r="D1446" s="34">
        <f>IFERROR(__xludf.DUMMYFUNCTION("""COMPUTED_VALUE"""),45465.0)</f>
        <v>45465</v>
      </c>
      <c r="E1446" s="34" t="str">
        <f>IFERROR(__xludf.DUMMYFUNCTION("""COMPUTED_VALUE"""),"06Jun")</f>
        <v>06Jun</v>
      </c>
      <c r="F1446" s="34" t="str">
        <f>IFERROR(__xludf.DUMMYFUNCTION("""COMPUTED_VALUE"""),"2024")</f>
        <v>2024</v>
      </c>
      <c r="G1446" s="35" t="str">
        <f>IFERROR(__xludf.DUMMYFUNCTION("""COMPUTED_VALUE"""),"MISHBAH IZZATUR RABBANI")</f>
        <v>MISHBAH IZZATUR RABBANI</v>
      </c>
      <c r="H1446" s="17" t="str">
        <f>IFERROR(__xludf.DUMMYFUNCTION("""COMPUTED_VALUE"""),"M1124069783")</f>
        <v>M1124069783</v>
      </c>
      <c r="I1446" s="17">
        <f>IFERROR(__xludf.DUMMYFUNCTION("""COMPUTED_VALUE"""),15.0)</f>
        <v>15</v>
      </c>
      <c r="J1446" s="17" t="str">
        <f>IFERROR(__xludf.DUMMYFUNCTION("""COMPUTED_VALUE"""),"&lt; 18 tahun")</f>
        <v>&lt; 18 tahun</v>
      </c>
      <c r="K1446" s="19">
        <f>IFERROR(__xludf.DUMMYFUNCTION("""COMPUTED_VALUE"""),40561.0)</f>
        <v>40561</v>
      </c>
      <c r="L1446" s="19" t="str">
        <f>IFERROR(__xludf.DUMMYFUNCTION("""COMPUTED_VALUE"""),"LAKI-LAKI")</f>
        <v>LAKI-LAKI</v>
      </c>
      <c r="M1446" s="35" t="str">
        <f>IFERROR(__xludf.DUMMYFUNCTION("""COMPUTED_VALUE"""),"JL. M. YAMIN GG. USAHA BERSAMA 1 NO. 39")</f>
        <v>JL. M. YAMIN GG. USAHA BERSAMA 1 NO. 39</v>
      </c>
      <c r="N1446" s="16" t="str">
        <f>IFERROR(__xludf.DUMMYFUNCTION("""COMPUTED_VALUE"""),"KEL. KOTA BARU")</f>
        <v>KEL. KOTA BARU</v>
      </c>
      <c r="O1446" s="16" t="str">
        <f>IFERROR(__xludf.DUMMYFUNCTION("""COMPUTED_VALUE"""),"KEC. PONTIANAK SELATAN")</f>
        <v>KEC. PONTIANAK SELATAN</v>
      </c>
      <c r="P1446" s="16" t="str">
        <f>IFERROR(__xludf.DUMMYFUNCTION("""COMPUTED_VALUE"""),"KOTA PONTIANAK")</f>
        <v>KOTA PONTIANAK</v>
      </c>
      <c r="Q1446" s="16" t="str">
        <f>IFERROR(__xludf.DUMMYFUNCTION("""COMPUTED_VALUE"""),"KALIMANTAN BARAT")</f>
        <v>KALIMANTAN BARAT</v>
      </c>
      <c r="R1446" s="19" t="str">
        <f>IFERROR(__xludf.DUMMYFUNCTION("""COMPUTED_VALUE"""),"ISLAM")</f>
        <v>ISLAM</v>
      </c>
      <c r="S1446" s="16" t="str">
        <f>IFERROR(__xludf.DUMMYFUNCTION("""COMPUTED_VALUE"""),"PELAJAR/MAHASISWA")</f>
        <v>PELAJAR/MAHASISWA</v>
      </c>
      <c r="T1446" s="16" t="str">
        <f>IFERROR(__xludf.DUMMYFUNCTION("""COMPUTED_VALUE"""),"Skoliosis")</f>
        <v>Skoliosis</v>
      </c>
      <c r="U1446" s="16" t="str">
        <f>IFERROR(__xludf.DUMMYFUNCTION("""COMPUTED_VALUE"""),"Futsal/bola")</f>
        <v>Futsal/bola</v>
      </c>
      <c r="V1446" s="11" t="str">
        <f>IFERROR(__xludf.DUMMYFUNCTION("""COMPUTED_VALUE"""),"085842269783")</f>
        <v>085842269783</v>
      </c>
      <c r="W1446" s="15"/>
    </row>
    <row r="1447" ht="22.5" customHeight="1">
      <c r="A1447" s="8"/>
      <c r="B1447" s="9">
        <f>IFERROR(__xludf.DUMMYFUNCTION("""COMPUTED_VALUE"""),45454.853342766204)</f>
        <v>45454.85334</v>
      </c>
      <c r="C1447" s="9"/>
      <c r="D1447" s="34">
        <f>IFERROR(__xludf.DUMMYFUNCTION("""COMPUTED_VALUE"""),45465.0)</f>
        <v>45465</v>
      </c>
      <c r="E1447" s="34" t="str">
        <f>IFERROR(__xludf.DUMMYFUNCTION("""COMPUTED_VALUE"""),"06Jun")</f>
        <v>06Jun</v>
      </c>
      <c r="F1447" s="34" t="str">
        <f>IFERROR(__xludf.DUMMYFUNCTION("""COMPUTED_VALUE"""),"2024")</f>
        <v>2024</v>
      </c>
      <c r="G1447" s="35" t="str">
        <f>IFERROR(__xludf.DUMMYFUNCTION("""COMPUTED_VALUE"""),"AZWAR")</f>
        <v>AZWAR</v>
      </c>
      <c r="H1447" s="17" t="str">
        <f>IFERROR(__xludf.DUMMYFUNCTION("""COMPUTED_VALUE"""),"A2424062525")</f>
        <v>A2424062525</v>
      </c>
      <c r="I1447" s="17">
        <f>IFERROR(__xludf.DUMMYFUNCTION("""COMPUTED_VALUE"""),1.0)</f>
        <v>1</v>
      </c>
      <c r="J1447" s="17" t="str">
        <f>IFERROR(__xludf.DUMMYFUNCTION("""COMPUTED_VALUE"""),"&lt; 18 tahun")</f>
        <v>&lt; 18 tahun</v>
      </c>
      <c r="K1447" s="19">
        <f>IFERROR(__xludf.DUMMYFUNCTION("""COMPUTED_VALUE"""),45468.0)</f>
        <v>45468</v>
      </c>
      <c r="L1447" s="19" t="str">
        <f>IFERROR(__xludf.DUMMYFUNCTION("""COMPUTED_VALUE"""),"LAKI-LAKI")</f>
        <v>LAKI-LAKI</v>
      </c>
      <c r="M1447" s="35" t="str">
        <f>IFERROR(__xludf.DUMMYFUNCTION("""COMPUTED_VALUE"""),"JL. KOM YOS SUDARSO GG. CATUR WARGA")</f>
        <v>JL. KOM YOS SUDARSO GG. CATUR WARGA</v>
      </c>
      <c r="N1447" s="16" t="str">
        <f>IFERROR(__xludf.DUMMYFUNCTION("""COMPUTED_VALUE"""),"KEL. SUNGAI BELIUNG")</f>
        <v>KEL. SUNGAI BELIUNG</v>
      </c>
      <c r="O1447" s="16" t="str">
        <f>IFERROR(__xludf.DUMMYFUNCTION("""COMPUTED_VALUE"""),"KEC. PONTIANAK BARAT")</f>
        <v>KEC. PONTIANAK BARAT</v>
      </c>
      <c r="P1447" s="16" t="str">
        <f>IFERROR(__xludf.DUMMYFUNCTION("""COMPUTED_VALUE"""),"KOTA PONTIANAK")</f>
        <v>KOTA PONTIANAK</v>
      </c>
      <c r="Q1447" s="16" t="str">
        <f>IFERROR(__xludf.DUMMYFUNCTION("""COMPUTED_VALUE"""),"KALIMANTAN BARAT")</f>
        <v>KALIMANTAN BARAT</v>
      </c>
      <c r="R1447" s="19" t="str">
        <f>IFERROR(__xludf.DUMMYFUNCTION("""COMPUTED_VALUE"""),"ISLAM")</f>
        <v>ISLAM</v>
      </c>
      <c r="S1447" s="16" t="str">
        <f>IFERROR(__xludf.DUMMYFUNCTION("""COMPUTED_VALUE"""),"TIDAK ADA")</f>
        <v>TIDAK ADA</v>
      </c>
      <c r="T1447" s="16" t="str">
        <f>IFERROR(__xludf.DUMMYFUNCTION("""COMPUTED_VALUE"""),"Cidera engkel kaki kanan")</f>
        <v>Cidera engkel kaki kanan</v>
      </c>
      <c r="U1447" s="16" t="str">
        <f>IFERROR(__xludf.DUMMYFUNCTION("""COMPUTED_VALUE"""),"Kerja dan Olahraga kalau sempat")</f>
        <v>Kerja dan Olahraga kalau sempat</v>
      </c>
      <c r="V1447" s="11" t="str">
        <f>IFERROR(__xludf.DUMMYFUNCTION("""COMPUTED_VALUE"""),"089666252525")</f>
        <v>089666252525</v>
      </c>
      <c r="W1447" s="15"/>
    </row>
    <row r="1448" ht="22.5" customHeight="1">
      <c r="A1448" s="8"/>
      <c r="B1448" s="9">
        <f>IFERROR(__xludf.DUMMYFUNCTION("""COMPUTED_VALUE"""),45455.37515275463)</f>
        <v>45455.37515</v>
      </c>
      <c r="C1448" s="9"/>
      <c r="D1448" s="34">
        <f>IFERROR(__xludf.DUMMYFUNCTION("""COMPUTED_VALUE"""),45466.0)</f>
        <v>45466</v>
      </c>
      <c r="E1448" s="34" t="str">
        <f>IFERROR(__xludf.DUMMYFUNCTION("""COMPUTED_VALUE"""),"06Jun")</f>
        <v>06Jun</v>
      </c>
      <c r="F1448" s="34" t="str">
        <f>IFERROR(__xludf.DUMMYFUNCTION("""COMPUTED_VALUE"""),"2024")</f>
        <v>2024</v>
      </c>
      <c r="G1448" s="35" t="str">
        <f>IFERROR(__xludf.DUMMYFUNCTION("""COMPUTED_VALUE"""),"FAJAR PRIMA")</f>
        <v>FAJAR PRIMA</v>
      </c>
      <c r="H1448" s="17" t="str">
        <f>IFERROR(__xludf.DUMMYFUNCTION("""COMPUTED_VALUE"""),"F9324062565")</f>
        <v>F9324062565</v>
      </c>
      <c r="I1448" s="17">
        <f>IFERROR(__xludf.DUMMYFUNCTION("""COMPUTED_VALUE"""),33.0)</f>
        <v>33</v>
      </c>
      <c r="J1448" s="17" t="str">
        <f>IFERROR(__xludf.DUMMYFUNCTION("""COMPUTED_VALUE"""),"25-34 tahun")</f>
        <v>25-34 tahun</v>
      </c>
      <c r="K1448" s="19">
        <f>IFERROR(__xludf.DUMMYFUNCTION("""COMPUTED_VALUE"""),34063.0)</f>
        <v>34063</v>
      </c>
      <c r="L1448" s="19" t="str">
        <f>IFERROR(__xludf.DUMMYFUNCTION("""COMPUTED_VALUE"""),"LAKI-LAKI")</f>
        <v>LAKI-LAKI</v>
      </c>
      <c r="M1448" s="35" t="str">
        <f>IFERROR(__xludf.DUMMYFUNCTION("""COMPUTED_VALUE"""),"CEPIRING RT 08 RW 02 KEC CEPIRING KAB KENDAL JAWA TENGAH")</f>
        <v>CEPIRING RT 08 RW 02 KEC CEPIRING KAB KENDAL JAWA TENGAH</v>
      </c>
      <c r="N1448" s="16" t="str">
        <f>IFERROR(__xludf.DUMMYFUNCTION("""COMPUTED_VALUE"""),"KEL. CEPIRING")</f>
        <v>KEL. CEPIRING</v>
      </c>
      <c r="O1448" s="16" t="str">
        <f>IFERROR(__xludf.DUMMYFUNCTION("""COMPUTED_VALUE"""),"KEC. CEPIRING")</f>
        <v>KEC. CEPIRING</v>
      </c>
      <c r="P1448" s="16" t="str">
        <f>IFERROR(__xludf.DUMMYFUNCTION("""COMPUTED_VALUE"""),"KAB. KENDAL")</f>
        <v>KAB. KENDAL</v>
      </c>
      <c r="Q1448" s="16" t="str">
        <f>IFERROR(__xludf.DUMMYFUNCTION("""COMPUTED_VALUE"""),"JAWA TENGAH")</f>
        <v>JAWA TENGAH</v>
      </c>
      <c r="R1448" s="19" t="str">
        <f>IFERROR(__xludf.DUMMYFUNCTION("""COMPUTED_VALUE"""),"ISLAM")</f>
        <v>ISLAM</v>
      </c>
      <c r="S1448" s="16" t="str">
        <f>IFERROR(__xludf.DUMMYFUNCTION("""COMPUTED_VALUE"""),"SWASTA")</f>
        <v>SWASTA</v>
      </c>
      <c r="T1448" s="16" t="str">
        <f>IFERROR(__xludf.DUMMYFUNCTION("""COMPUTED_VALUE"""),"Sakit pinggang karena angkat berat")</f>
        <v>Sakit pinggang karena angkat berat</v>
      </c>
      <c r="U1448" s="16" t="str">
        <f>IFERROR(__xludf.DUMMYFUNCTION("""COMPUTED_VALUE"""),"Lari")</f>
        <v>Lari</v>
      </c>
      <c r="V1448" s="11" t="str">
        <f>IFERROR(__xludf.DUMMYFUNCTION("""COMPUTED_VALUE"""),"082158002565")</f>
        <v>082158002565</v>
      </c>
      <c r="W1448" s="15"/>
    </row>
    <row r="1449" ht="22.5" customHeight="1">
      <c r="A1449" s="8"/>
      <c r="B1449" s="9">
        <f>IFERROR(__xludf.DUMMYFUNCTION("""COMPUTED_VALUE"""),45455.40365905093)</f>
        <v>45455.40366</v>
      </c>
      <c r="C1449" s="9"/>
      <c r="D1449" s="34">
        <f>IFERROR(__xludf.DUMMYFUNCTION("""COMPUTED_VALUE"""),45466.0)</f>
        <v>45466</v>
      </c>
      <c r="E1449" s="34" t="str">
        <f>IFERROR(__xludf.DUMMYFUNCTION("""COMPUTED_VALUE"""),"06Jun")</f>
        <v>06Jun</v>
      </c>
      <c r="F1449" s="34" t="str">
        <f>IFERROR(__xludf.DUMMYFUNCTION("""COMPUTED_VALUE"""),"2024")</f>
        <v>2024</v>
      </c>
      <c r="G1449" s="35" t="str">
        <f>IFERROR(__xludf.DUMMYFUNCTION("""COMPUTED_VALUE"""),"SYARUL REZA")</f>
        <v>SYARUL REZA</v>
      </c>
      <c r="H1449" s="17" t="str">
        <f>IFERROR(__xludf.DUMMYFUNCTION("""COMPUTED_VALUE"""),"S0024064050")</f>
        <v>S0024064050</v>
      </c>
      <c r="I1449" s="17">
        <f>IFERROR(__xludf.DUMMYFUNCTION("""COMPUTED_VALUE"""),26.0)</f>
        <v>26</v>
      </c>
      <c r="J1449" s="17" t="str">
        <f>IFERROR(__xludf.DUMMYFUNCTION("""COMPUTED_VALUE"""),"25-34 tahun")</f>
        <v>25-34 tahun</v>
      </c>
      <c r="K1449" s="19">
        <f>IFERROR(__xludf.DUMMYFUNCTION("""COMPUTED_VALUE"""),36632.0)</f>
        <v>36632</v>
      </c>
      <c r="L1449" s="19" t="str">
        <f>IFERROR(__xludf.DUMMYFUNCTION("""COMPUTED_VALUE"""),"LAKI-LAKI")</f>
        <v>LAKI-LAKI</v>
      </c>
      <c r="M1449" s="35" t="str">
        <f>IFERROR(__xludf.DUMMYFUNCTION("""COMPUTED_VALUE"""),"JALAN ADISUCIPTO GG BERSAMA")</f>
        <v>JALAN ADISUCIPTO GG BERSAMA</v>
      </c>
      <c r="N1449" s="16" t="str">
        <f>IFERROR(__xludf.DUMMYFUNCTION("""COMPUTED_VALUE"""),"DS. LIMBUNG")</f>
        <v>DS. LIMBUNG</v>
      </c>
      <c r="O1449" s="16" t="str">
        <f>IFERROR(__xludf.DUMMYFUNCTION("""COMPUTED_VALUE"""),"KEC. SUNGAI RAYA")</f>
        <v>KEC. SUNGAI RAYA</v>
      </c>
      <c r="P1449" s="16" t="str">
        <f>IFERROR(__xludf.DUMMYFUNCTION("""COMPUTED_VALUE"""),"KAB. KUBU RAYA")</f>
        <v>KAB. KUBU RAYA</v>
      </c>
      <c r="Q1449" s="16" t="str">
        <f>IFERROR(__xludf.DUMMYFUNCTION("""COMPUTED_VALUE"""),"KALIMANTAN BARAT")</f>
        <v>KALIMANTAN BARAT</v>
      </c>
      <c r="R1449" s="19" t="str">
        <f>IFERROR(__xludf.DUMMYFUNCTION("""COMPUTED_VALUE"""),"ISLAM")</f>
        <v>ISLAM</v>
      </c>
      <c r="S1449" s="16" t="str">
        <f>IFERROR(__xludf.DUMMYFUNCTION("""COMPUTED_VALUE"""),"PELAJAR/MAHASISWA")</f>
        <v>PELAJAR/MAHASISWA</v>
      </c>
      <c r="T1449" s="16" t="str">
        <f>IFERROR(__xludf.DUMMYFUNCTION("""COMPUTED_VALUE"""),"Sakit pinggang dan bahu tidak simestris")</f>
        <v>Sakit pinggang dan bahu tidak simestris</v>
      </c>
      <c r="U1449" s="16" t="str">
        <f>IFERROR(__xludf.DUMMYFUNCTION("""COMPUTED_VALUE"""),"Gym")</f>
        <v>Gym</v>
      </c>
      <c r="V1449" s="11" t="str">
        <f>IFERROR(__xludf.DUMMYFUNCTION("""COMPUTED_VALUE"""),"081649194050")</f>
        <v>081649194050</v>
      </c>
      <c r="W1449" s="15"/>
    </row>
    <row r="1450" ht="22.5" customHeight="1">
      <c r="A1450" s="8"/>
      <c r="B1450" s="9">
        <f>IFERROR(__xludf.DUMMYFUNCTION("""COMPUTED_VALUE"""),45455.6030084375)</f>
        <v>45455.60301</v>
      </c>
      <c r="C1450" s="9"/>
      <c r="D1450" s="34">
        <f>IFERROR(__xludf.DUMMYFUNCTION("""COMPUTED_VALUE"""),45466.0)</f>
        <v>45466</v>
      </c>
      <c r="E1450" s="34" t="str">
        <f>IFERROR(__xludf.DUMMYFUNCTION("""COMPUTED_VALUE"""),"06Jun")</f>
        <v>06Jun</v>
      </c>
      <c r="F1450" s="34" t="str">
        <f>IFERROR(__xludf.DUMMYFUNCTION("""COMPUTED_VALUE"""),"2024")</f>
        <v>2024</v>
      </c>
      <c r="G1450" s="35" t="str">
        <f>IFERROR(__xludf.DUMMYFUNCTION("""COMPUTED_VALUE"""),"YULIANA PUYANG")</f>
        <v>YULIANA PUYANG</v>
      </c>
      <c r="H1450" s="17" t="str">
        <f>IFERROR(__xludf.DUMMYFUNCTION("""COMPUTED_VALUE"""),"Y6624063668")</f>
        <v>Y6624063668</v>
      </c>
      <c r="I1450" s="17">
        <f>IFERROR(__xludf.DUMMYFUNCTION("""COMPUTED_VALUE"""),59.0)</f>
        <v>59</v>
      </c>
      <c r="J1450" s="17" t="str">
        <f>IFERROR(__xludf.DUMMYFUNCTION("""COMPUTED_VALUE"""),"&gt; 44 tahun")</f>
        <v>&gt; 44 tahun</v>
      </c>
      <c r="K1450" s="19">
        <f>IFERROR(__xludf.DUMMYFUNCTION("""COMPUTED_VALUE"""),24359.0)</f>
        <v>24359</v>
      </c>
      <c r="L1450" s="19" t="str">
        <f>IFERROR(__xludf.DUMMYFUNCTION("""COMPUTED_VALUE"""),"PEREMPUAN")</f>
        <v>PEREMPUAN</v>
      </c>
      <c r="M1450" s="35" t="str">
        <f>IFERROR(__xludf.DUMMYFUNCTION("""COMPUTED_VALUE"""),"TARENYO DUSUN TATA SAMA DESA LINGKONONG KECAMATAN SOMPAK KABUPATEN LANDAK")</f>
        <v>TARENYO DUSUN TATA SAMA DESA LINGKONONG KECAMATAN SOMPAK KABUPATEN LANDAK</v>
      </c>
      <c r="N1450" s="16" t="str">
        <f>IFERROR(__xludf.DUMMYFUNCTION("""COMPUTED_VALUE"""),"DS. LINGKONONG")</f>
        <v>DS. LINGKONONG</v>
      </c>
      <c r="O1450" s="16" t="str">
        <f>IFERROR(__xludf.DUMMYFUNCTION("""COMPUTED_VALUE"""),"KEC. SOMPAK")</f>
        <v>KEC. SOMPAK</v>
      </c>
      <c r="P1450" s="16" t="str">
        <f>IFERROR(__xludf.DUMMYFUNCTION("""COMPUTED_VALUE"""),"KAB. LANDAK")</f>
        <v>KAB. LANDAK</v>
      </c>
      <c r="Q1450" s="16" t="str">
        <f>IFERROR(__xludf.DUMMYFUNCTION("""COMPUTED_VALUE"""),"KALIMANTAN BARAT")</f>
        <v>KALIMANTAN BARAT</v>
      </c>
      <c r="R1450" s="19" t="str">
        <f>IFERROR(__xludf.DUMMYFUNCTION("""COMPUTED_VALUE"""),"KATOLIK")</f>
        <v>KATOLIK</v>
      </c>
      <c r="S1450" s="35" t="str">
        <f>IFERROR(__xludf.DUMMYFUNCTION("""COMPUTED_VALUE"""),"ASN")</f>
        <v>ASN</v>
      </c>
      <c r="T1450" s="16" t="str">
        <f>IFERROR(__xludf.DUMMYFUNCTION("""COMPUTED_VALUE"""),"Nyeri di bagian pinggang menjalar sampai kaki")</f>
        <v>Nyeri di bagian pinggang menjalar sampai kaki</v>
      </c>
      <c r="U1450" s="16" t="str">
        <f>IFERROR(__xludf.DUMMYFUNCTION("""COMPUTED_VALUE"""),"Akitivitas sedang, dulu sering angkat barang berat")</f>
        <v>Akitivitas sedang, dulu sering angkat barang berat</v>
      </c>
      <c r="V1450" s="11" t="str">
        <f>IFERROR(__xludf.DUMMYFUNCTION("""COMPUTED_VALUE"""),"085249083668")</f>
        <v>085249083668</v>
      </c>
      <c r="W1450" s="15"/>
    </row>
    <row r="1451" ht="22.5" customHeight="1">
      <c r="A1451" s="8"/>
      <c r="B1451" s="9">
        <f>IFERROR(__xludf.DUMMYFUNCTION("""COMPUTED_VALUE"""),45455.61808811342)</f>
        <v>45455.61809</v>
      </c>
      <c r="C1451" s="9"/>
      <c r="D1451" s="34">
        <f>IFERROR(__xludf.DUMMYFUNCTION("""COMPUTED_VALUE"""),45466.0)</f>
        <v>45466</v>
      </c>
      <c r="E1451" s="34" t="str">
        <f>IFERROR(__xludf.DUMMYFUNCTION("""COMPUTED_VALUE"""),"06Jun")</f>
        <v>06Jun</v>
      </c>
      <c r="F1451" s="34" t="str">
        <f>IFERROR(__xludf.DUMMYFUNCTION("""COMPUTED_VALUE"""),"2024")</f>
        <v>2024</v>
      </c>
      <c r="G1451" s="35" t="str">
        <f>IFERROR(__xludf.DUMMYFUNCTION("""COMPUTED_VALUE"""),"NI PUTU IRMA PURNAMA DEWI")</f>
        <v>NI PUTU IRMA PURNAMA DEWI</v>
      </c>
      <c r="H1451" s="17" t="str">
        <f>IFERROR(__xludf.DUMMYFUNCTION("""COMPUTED_VALUE"""),"N9024068538")</f>
        <v>N9024068538</v>
      </c>
      <c r="I1451" s="17">
        <f>IFERROR(__xludf.DUMMYFUNCTION("""COMPUTED_VALUE"""),35.0)</f>
        <v>35</v>
      </c>
      <c r="J1451" s="17" t="str">
        <f>IFERROR(__xludf.DUMMYFUNCTION("""COMPUTED_VALUE"""),"35-44 tahun")</f>
        <v>35-44 tahun</v>
      </c>
      <c r="K1451" s="19">
        <f>IFERROR(__xludf.DUMMYFUNCTION("""COMPUTED_VALUE"""),33121.0)</f>
        <v>33121</v>
      </c>
      <c r="L1451" s="19" t="str">
        <f>IFERROR(__xludf.DUMMYFUNCTION("""COMPUTED_VALUE"""),"PEREMPUAN")</f>
        <v>PEREMPUAN</v>
      </c>
      <c r="M1451" s="35" t="str">
        <f>IFERROR(__xludf.DUMMYFUNCTION("""COMPUTED_VALUE"""),"JALAN ADI SUCIPTO AJENDAM")</f>
        <v>JALAN ADI SUCIPTO AJENDAM</v>
      </c>
      <c r="N1451" s="16" t="str">
        <f>IFERROR(__xludf.DUMMYFUNCTION("""COMPUTED_VALUE"""),"KEL. SUNGAI RAYA")</f>
        <v>KEL. SUNGAI RAYA</v>
      </c>
      <c r="O1451" s="16" t="str">
        <f>IFERROR(__xludf.DUMMYFUNCTION("""COMPUTED_VALUE"""),"KEC. SUNGAI RAYA")</f>
        <v>KEC. SUNGAI RAYA</v>
      </c>
      <c r="P1451" s="16" t="str">
        <f>IFERROR(__xludf.DUMMYFUNCTION("""COMPUTED_VALUE"""),"KAB. KUBU RAYA")</f>
        <v>KAB. KUBU RAYA</v>
      </c>
      <c r="Q1451" s="16" t="str">
        <f>IFERROR(__xludf.DUMMYFUNCTION("""COMPUTED_VALUE"""),"KALIMANTAN BARAT")</f>
        <v>KALIMANTAN BARAT</v>
      </c>
      <c r="R1451" s="19" t="str">
        <f>IFERROR(__xludf.DUMMYFUNCTION("""COMPUTED_VALUE"""),"HINDU")</f>
        <v>HINDU</v>
      </c>
      <c r="S1451" s="35" t="str">
        <f>IFERROR(__xludf.DUMMYFUNCTION("""COMPUTED_VALUE"""),"TNI/POLRI")</f>
        <v>TNI/POLRI</v>
      </c>
      <c r="T1451" s="16" t="str">
        <f>IFERROR(__xludf.DUMMYFUNCTION("""COMPUTED_VALUE"""),"Nyeri bagian")</f>
        <v>Nyeri bagian</v>
      </c>
      <c r="U1451" s="16" t="str">
        <f>IFERROR(__xludf.DUMMYFUNCTION("""COMPUTED_VALUE"""),"Voly")</f>
        <v>Voly</v>
      </c>
      <c r="V1451" s="11" t="str">
        <f>IFERROR(__xludf.DUMMYFUNCTION("""COMPUTED_VALUE"""),"081258888538")</f>
        <v>081258888538</v>
      </c>
      <c r="W1451" s="15"/>
    </row>
    <row r="1452" ht="22.5" customHeight="1">
      <c r="A1452" s="8"/>
      <c r="B1452" s="9">
        <f>IFERROR(__xludf.DUMMYFUNCTION("""COMPUTED_VALUE"""),45456.48184449074)</f>
        <v>45456.48184</v>
      </c>
      <c r="C1452" s="9"/>
      <c r="D1452" s="34">
        <f>IFERROR(__xludf.DUMMYFUNCTION("""COMPUTED_VALUE"""),45466.0)</f>
        <v>45466</v>
      </c>
      <c r="E1452" s="34" t="str">
        <f>IFERROR(__xludf.DUMMYFUNCTION("""COMPUTED_VALUE"""),"06Jun")</f>
        <v>06Jun</v>
      </c>
      <c r="F1452" s="34" t="str">
        <f>IFERROR(__xludf.DUMMYFUNCTION("""COMPUTED_VALUE"""),"2024")</f>
        <v>2024</v>
      </c>
      <c r="G1452" s="35" t="str">
        <f>IFERROR(__xludf.DUMMYFUNCTION("""COMPUTED_VALUE"""),"SALMIYAH")</f>
        <v>SALMIYAH</v>
      </c>
      <c r="H1452" s="17" t="str">
        <f>IFERROR(__xludf.DUMMYFUNCTION("""COMPUTED_VALUE"""),"S5924066249")</f>
        <v>S5924066249</v>
      </c>
      <c r="I1452" s="17">
        <f>IFERROR(__xludf.DUMMYFUNCTION("""COMPUTED_VALUE"""),67.0)</f>
        <v>67</v>
      </c>
      <c r="J1452" s="17" t="str">
        <f>IFERROR(__xludf.DUMMYFUNCTION("""COMPUTED_VALUE"""),"&gt; 44 tahun")</f>
        <v>&gt; 44 tahun</v>
      </c>
      <c r="K1452" s="19">
        <f>IFERROR(__xludf.DUMMYFUNCTION("""COMPUTED_VALUE"""),21672.0)</f>
        <v>21672</v>
      </c>
      <c r="L1452" s="19" t="str">
        <f>IFERROR(__xludf.DUMMYFUNCTION("""COMPUTED_VALUE"""),"PEREMPUAN")</f>
        <v>PEREMPUAN</v>
      </c>
      <c r="M1452" s="35" t="str">
        <f>IFERROR(__xludf.DUMMYFUNCTION("""COMPUTED_VALUE"""),"GG. DUKU BARU")</f>
        <v>GG. DUKU BARU</v>
      </c>
      <c r="N1452" s="16" t="str">
        <f>IFERROR(__xludf.DUMMYFUNCTION("""COMPUTED_VALUE"""),"KEL. SUNGAI JAWI LUAR")</f>
        <v>KEL. SUNGAI JAWI LUAR</v>
      </c>
      <c r="O1452" s="16" t="str">
        <f>IFERROR(__xludf.DUMMYFUNCTION("""COMPUTED_VALUE"""),"KEC. PONTIANAK BARAT")</f>
        <v>KEC. PONTIANAK BARAT</v>
      </c>
      <c r="P1452" s="16" t="str">
        <f>IFERROR(__xludf.DUMMYFUNCTION("""COMPUTED_VALUE"""),"KOTA PONTIANAK")</f>
        <v>KOTA PONTIANAK</v>
      </c>
      <c r="Q1452" s="16" t="str">
        <f>IFERROR(__xludf.DUMMYFUNCTION("""COMPUTED_VALUE"""),"KALIMANTAN BARAT")</f>
        <v>KALIMANTAN BARAT</v>
      </c>
      <c r="R1452" s="19" t="str">
        <f>IFERROR(__xludf.DUMMYFUNCTION("""COMPUTED_VALUE"""),"ISLAM")</f>
        <v>ISLAM</v>
      </c>
      <c r="S1452" s="35" t="str">
        <f>IFERROR(__xludf.DUMMYFUNCTION("""COMPUTED_VALUE"""),"RUMAH TANGGA")</f>
        <v>RUMAH TANGGA</v>
      </c>
      <c r="T1452" s="16" t="str">
        <f>IFERROR(__xludf.DUMMYFUNCTION("""COMPUTED_VALUE"""),"Nyeri di paha bawah")</f>
        <v>Nyeri di paha bawah</v>
      </c>
      <c r="U1452" s="16" t="str">
        <f>IFERROR(__xludf.DUMMYFUNCTION("""COMPUTED_VALUE"""),"Mengurus rumah tangga")</f>
        <v>Mengurus rumah tangga</v>
      </c>
      <c r="V1452" s="11" t="str">
        <f>IFERROR(__xludf.DUMMYFUNCTION("""COMPUTED_VALUE"""),"089689146249")</f>
        <v>089689146249</v>
      </c>
      <c r="W1452" s="15"/>
    </row>
    <row r="1453" ht="22.5" customHeight="1">
      <c r="A1453" s="8"/>
      <c r="B1453" s="9">
        <f>IFERROR(__xludf.DUMMYFUNCTION("""COMPUTED_VALUE"""),45456.762095)</f>
        <v>45456.7621</v>
      </c>
      <c r="C1453" s="9"/>
      <c r="D1453" s="34">
        <f>IFERROR(__xludf.DUMMYFUNCTION("""COMPUTED_VALUE"""),45466.0)</f>
        <v>45466</v>
      </c>
      <c r="E1453" s="34" t="str">
        <f>IFERROR(__xludf.DUMMYFUNCTION("""COMPUTED_VALUE"""),"06Jun")</f>
        <v>06Jun</v>
      </c>
      <c r="F1453" s="34" t="str">
        <f>IFERROR(__xludf.DUMMYFUNCTION("""COMPUTED_VALUE"""),"2024")</f>
        <v>2024</v>
      </c>
      <c r="G1453" s="35" t="str">
        <f>IFERROR(__xludf.DUMMYFUNCTION("""COMPUTED_VALUE"""),"ATIQAH ZAHRA FITRIA")</f>
        <v>ATIQAH ZAHRA FITRIA</v>
      </c>
      <c r="H1453" s="17" t="str">
        <f>IFERROR(__xludf.DUMMYFUNCTION("""COMPUTED_VALUE"""),"A1224069412")</f>
        <v>A1224069412</v>
      </c>
      <c r="I1453" s="17">
        <f>IFERROR(__xludf.DUMMYFUNCTION("""COMPUTED_VALUE"""),13.0)</f>
        <v>13</v>
      </c>
      <c r="J1453" s="17" t="str">
        <f>IFERROR(__xludf.DUMMYFUNCTION("""COMPUTED_VALUE"""),"&lt; 18 tahun")</f>
        <v>&lt; 18 tahun</v>
      </c>
      <c r="K1453" s="19">
        <f>IFERROR(__xludf.DUMMYFUNCTION("""COMPUTED_VALUE"""),41134.0)</f>
        <v>41134</v>
      </c>
      <c r="L1453" s="19" t="str">
        <f>IFERROR(__xludf.DUMMYFUNCTION("""COMPUTED_VALUE"""),"PEREMPUAN")</f>
        <v>PEREMPUAN</v>
      </c>
      <c r="M1453" s="35" t="str">
        <f>IFERROR(__xludf.DUMMYFUNCTION("""COMPUTED_VALUE"""),"JALAN PARIT HJ MUKSIN")</f>
        <v>JALAN PARIT HJ MUKSIN</v>
      </c>
      <c r="N1453" s="16" t="str">
        <f>IFERROR(__xludf.DUMMYFUNCTION("""COMPUTED_VALUE"""),"KEL. SUNGAI RAYA DALAM")</f>
        <v>KEL. SUNGAI RAYA DALAM</v>
      </c>
      <c r="O1453" s="16" t="str">
        <f>IFERROR(__xludf.DUMMYFUNCTION("""COMPUTED_VALUE"""),"KEC. SUNGAI RAYA")</f>
        <v>KEC. SUNGAI RAYA</v>
      </c>
      <c r="P1453" s="16" t="str">
        <f>IFERROR(__xludf.DUMMYFUNCTION("""COMPUTED_VALUE"""),"KAB. KUBU RAYA")</f>
        <v>KAB. KUBU RAYA</v>
      </c>
      <c r="Q1453" s="16" t="str">
        <f>IFERROR(__xludf.DUMMYFUNCTION("""COMPUTED_VALUE"""),"KALIMANTAN BARAT")</f>
        <v>KALIMANTAN BARAT</v>
      </c>
      <c r="R1453" s="19" t="str">
        <f>IFERROR(__xludf.DUMMYFUNCTION("""COMPUTED_VALUE"""),"ISLAM")</f>
        <v>ISLAM</v>
      </c>
      <c r="S1453" s="35" t="str">
        <f>IFERROR(__xludf.DUMMYFUNCTION("""COMPUTED_VALUE"""),"PELAJAR/MAHASISWA")</f>
        <v>PELAJAR/MAHASISWA</v>
      </c>
      <c r="T1453" s="16" t="str">
        <f>IFERROR(__xludf.DUMMYFUNCTION("""COMPUTED_VALUE"""),"bahu sakit")</f>
        <v>bahu sakit</v>
      </c>
      <c r="U1453" s="16" t="str">
        <f>IFERROR(__xludf.DUMMYFUNCTION("""COMPUTED_VALUE"""),"basket")</f>
        <v>basket</v>
      </c>
      <c r="V1453" s="11" t="str">
        <f>IFERROR(__xludf.DUMMYFUNCTION("""COMPUTED_VALUE"""),"082255169412")</f>
        <v>082255169412</v>
      </c>
      <c r="W1453" s="15"/>
    </row>
    <row r="1454" ht="22.5" customHeight="1">
      <c r="A1454" s="8"/>
      <c r="B1454" s="9">
        <f>IFERROR(__xludf.DUMMYFUNCTION("""COMPUTED_VALUE"""),45458.48607005787)</f>
        <v>45458.48607</v>
      </c>
      <c r="C1454" s="9"/>
      <c r="D1454" s="34">
        <f>IFERROR(__xludf.DUMMYFUNCTION("""COMPUTED_VALUE"""),45466.0)</f>
        <v>45466</v>
      </c>
      <c r="E1454" s="34" t="str">
        <f>IFERROR(__xludf.DUMMYFUNCTION("""COMPUTED_VALUE"""),"06Jun")</f>
        <v>06Jun</v>
      </c>
      <c r="F1454" s="34" t="str">
        <f>IFERROR(__xludf.DUMMYFUNCTION("""COMPUTED_VALUE"""),"2024")</f>
        <v>2024</v>
      </c>
      <c r="G1454" s="35" t="str">
        <f>IFERROR(__xludf.DUMMYFUNCTION("""COMPUTED_VALUE"""),"HANIF WAKHAIYOR")</f>
        <v>HANIF WAKHAIYOR</v>
      </c>
      <c r="H1454" s="17" t="str">
        <f>IFERROR(__xludf.DUMMYFUNCTION("""COMPUTED_VALUE"""),"H0824062269")</f>
        <v>H0824062269</v>
      </c>
      <c r="I1454" s="17">
        <f>IFERROR(__xludf.DUMMYFUNCTION("""COMPUTED_VALUE"""),18.0)</f>
        <v>18</v>
      </c>
      <c r="J1454" s="17" t="str">
        <f>IFERROR(__xludf.DUMMYFUNCTION("""COMPUTED_VALUE"""),"&lt; 18 tahun")</f>
        <v>&lt; 18 tahun</v>
      </c>
      <c r="K1454" s="19">
        <f>IFERROR(__xludf.DUMMYFUNCTION("""COMPUTED_VALUE"""),39552.0)</f>
        <v>39552</v>
      </c>
      <c r="L1454" s="19" t="str">
        <f>IFERROR(__xludf.DUMMYFUNCTION("""COMPUTED_VALUE"""),"LAKI-LAKI")</f>
        <v>LAKI-LAKI</v>
      </c>
      <c r="M1454" s="35" t="str">
        <f>IFERROR(__xludf.DUMMYFUNCTION("""COMPUTED_VALUE"""),"BANDARA ASRI BLOK E 8 SINTANG")</f>
        <v>BANDARA ASRI BLOK E 8 SINTANG</v>
      </c>
      <c r="N1454" s="16" t="str">
        <f>IFERROR(__xludf.DUMMYFUNCTION("""COMPUTED_VALUE"""),"KEL. KAPUAS KANAN HULU")</f>
        <v>KEL. KAPUAS KANAN HULU</v>
      </c>
      <c r="O1454" s="16" t="str">
        <f>IFERROR(__xludf.DUMMYFUNCTION("""COMPUTED_VALUE"""),"KEC. SINTANG")</f>
        <v>KEC. SINTANG</v>
      </c>
      <c r="P1454" s="16" t="str">
        <f>IFERROR(__xludf.DUMMYFUNCTION("""COMPUTED_VALUE"""),"KAB. SINTANG")</f>
        <v>KAB. SINTANG</v>
      </c>
      <c r="Q1454" s="35" t="str">
        <f>IFERROR(__xludf.DUMMYFUNCTION("""COMPUTED_VALUE"""),"KALIMANTAN BARAT")</f>
        <v>KALIMANTAN BARAT</v>
      </c>
      <c r="R1454" s="19" t="str">
        <f>IFERROR(__xludf.DUMMYFUNCTION("""COMPUTED_VALUE"""),"ISLAM")</f>
        <v>ISLAM</v>
      </c>
      <c r="S1454" s="35" t="str">
        <f>IFERROR(__xludf.DUMMYFUNCTION("""COMPUTED_VALUE"""),"PELAJAR/MAHASISWA")</f>
        <v>PELAJAR/MAHASISWA</v>
      </c>
      <c r="T1454" s="16" t="str">
        <f>IFERROR(__xludf.DUMMYFUNCTION("""COMPUTED_VALUE"""),"Benturan di")</f>
        <v>Benturan di</v>
      </c>
      <c r="U1454" s="16" t="str">
        <f>IFERROR(__xludf.DUMMYFUNCTION("""COMPUTED_VALUE"""),"Sepqkbola")</f>
        <v>Sepqkbola</v>
      </c>
      <c r="V1454" s="11" t="str">
        <f>IFERROR(__xludf.DUMMYFUNCTION("""COMPUTED_VALUE"""),"081649692269")</f>
        <v>081649692269</v>
      </c>
      <c r="W1454" s="15"/>
    </row>
    <row r="1455" ht="22.5" customHeight="1">
      <c r="A1455" s="8"/>
      <c r="B1455" s="9">
        <f>IFERROR(__xludf.DUMMYFUNCTION("""COMPUTED_VALUE"""),45458.71402299769)</f>
        <v>45458.71402</v>
      </c>
      <c r="C1455" s="9"/>
      <c r="D1455" s="34">
        <f>IFERROR(__xludf.DUMMYFUNCTION("""COMPUTED_VALUE"""),45466.0)</f>
        <v>45466</v>
      </c>
      <c r="E1455" s="34" t="str">
        <f>IFERROR(__xludf.DUMMYFUNCTION("""COMPUTED_VALUE"""),"06Jun")</f>
        <v>06Jun</v>
      </c>
      <c r="F1455" s="34" t="str">
        <f>IFERROR(__xludf.DUMMYFUNCTION("""COMPUTED_VALUE"""),"2024")</f>
        <v>2024</v>
      </c>
      <c r="G1455" s="35" t="str">
        <f>IFERROR(__xludf.DUMMYFUNCTION("""COMPUTED_VALUE"""),"LIA INDRIARTINI")</f>
        <v>LIA INDRIARTINI</v>
      </c>
      <c r="H1455" s="17" t="str">
        <f>IFERROR(__xludf.DUMMYFUNCTION("""COMPUTED_VALUE"""),"L7924064997")</f>
        <v>L7924064997</v>
      </c>
      <c r="I1455" s="17">
        <f>IFERROR(__xludf.DUMMYFUNCTION("""COMPUTED_VALUE"""),47.0)</f>
        <v>47</v>
      </c>
      <c r="J1455" s="17" t="str">
        <f>IFERROR(__xludf.DUMMYFUNCTION("""COMPUTED_VALUE"""),"&gt; 44 tahun")</f>
        <v>&gt; 44 tahun</v>
      </c>
      <c r="K1455" s="19">
        <f>IFERROR(__xludf.DUMMYFUNCTION("""COMPUTED_VALUE"""),29027.0)</f>
        <v>29027</v>
      </c>
      <c r="L1455" s="19" t="str">
        <f>IFERROR(__xludf.DUMMYFUNCTION("""COMPUTED_VALUE"""),"PEREMPUAN")</f>
        <v>PEREMPUAN</v>
      </c>
      <c r="M1455" s="35" t="str">
        <f>IFERROR(__xludf.DUMMYFUNCTION("""COMPUTED_VALUE"""),"JLN. PANGERAN NATAKUSUMA NO. 189")</f>
        <v>JLN. PANGERAN NATAKUSUMA NO. 189</v>
      </c>
      <c r="N1455" s="16" t="str">
        <f>IFERROR(__xludf.DUMMYFUNCTION("""COMPUTED_VALUE"""),"KEL. SUNGAI BANGKONG")</f>
        <v>KEL. SUNGAI BANGKONG</v>
      </c>
      <c r="O1455" s="16" t="str">
        <f>IFERROR(__xludf.DUMMYFUNCTION("""COMPUTED_VALUE"""),"KEC. PONTIANAK KOTA")</f>
        <v>KEC. PONTIANAK KOTA</v>
      </c>
      <c r="P1455" s="16" t="str">
        <f>IFERROR(__xludf.DUMMYFUNCTION("""COMPUTED_VALUE"""),"KOTA PONTIANAK")</f>
        <v>KOTA PONTIANAK</v>
      </c>
      <c r="Q1455" s="35" t="str">
        <f>IFERROR(__xludf.DUMMYFUNCTION("""COMPUTED_VALUE"""),"KALIMANTAN BARAT")</f>
        <v>KALIMANTAN BARAT</v>
      </c>
      <c r="R1455" s="19" t="str">
        <f>IFERROR(__xludf.DUMMYFUNCTION("""COMPUTED_VALUE"""),"ISLAM")</f>
        <v>ISLAM</v>
      </c>
      <c r="S1455" s="35" t="str">
        <f>IFERROR(__xludf.DUMMYFUNCTION("""COMPUTED_VALUE"""),"RUMAH TANGGA")</f>
        <v>RUMAH TANGGA</v>
      </c>
      <c r="T1455" s="16" t="str">
        <f>IFERROR(__xludf.DUMMYFUNCTION("""COMPUTED_VALUE"""),"JATUH, TANGAN KANAN CIDERA")</f>
        <v>JATUH, TANGAN KANAN CIDERA</v>
      </c>
      <c r="U1455" s="16" t="str">
        <f>IFERROR(__xludf.DUMMYFUNCTION("""COMPUTED_VALUE"""),"BACA BUKU")</f>
        <v>BACA BUKU</v>
      </c>
      <c r="V1455" s="11" t="str">
        <f>IFERROR(__xludf.DUMMYFUNCTION("""COMPUTED_VALUE"""),"081345494997")</f>
        <v>081345494997</v>
      </c>
      <c r="W1455" s="15"/>
    </row>
    <row r="1456" ht="22.5" customHeight="1">
      <c r="A1456" s="8"/>
      <c r="B1456" s="9">
        <f>IFERROR(__xludf.DUMMYFUNCTION("""COMPUTED_VALUE"""),45458.73744791667)</f>
        <v>45458.73745</v>
      </c>
      <c r="C1456" s="9"/>
      <c r="D1456" s="34">
        <f>IFERROR(__xludf.DUMMYFUNCTION("""COMPUTED_VALUE"""),45467.0)</f>
        <v>45467</v>
      </c>
      <c r="E1456" s="34" t="str">
        <f>IFERROR(__xludf.DUMMYFUNCTION("""COMPUTED_VALUE"""),"06Jun")</f>
        <v>06Jun</v>
      </c>
      <c r="F1456" s="34" t="str">
        <f>IFERROR(__xludf.DUMMYFUNCTION("""COMPUTED_VALUE"""),"2024")</f>
        <v>2024</v>
      </c>
      <c r="G1456" s="35" t="str">
        <f>IFERROR(__xludf.DUMMYFUNCTION("""COMPUTED_VALUE"""),"EMI WATU")</f>
        <v>EMI WATU</v>
      </c>
      <c r="H1456" s="17" t="str">
        <f>IFERROR(__xludf.DUMMYFUNCTION("""COMPUTED_VALUE"""),"E6724067200")</f>
        <v>E6724067200</v>
      </c>
      <c r="I1456" s="17">
        <f>IFERROR(__xludf.DUMMYFUNCTION("""COMPUTED_VALUE"""),59.0)</f>
        <v>59</v>
      </c>
      <c r="J1456" s="17" t="str">
        <f>IFERROR(__xludf.DUMMYFUNCTION("""COMPUTED_VALUE"""),"&gt; 44 tahun")</f>
        <v>&gt; 44 tahun</v>
      </c>
      <c r="K1456" s="19">
        <f>IFERROR(__xludf.DUMMYFUNCTION("""COMPUTED_VALUE"""),24601.0)</f>
        <v>24601</v>
      </c>
      <c r="L1456" s="19" t="str">
        <f>IFERROR(__xludf.DUMMYFUNCTION("""COMPUTED_VALUE"""),"PEREMPUAN")</f>
        <v>PEREMPUAN</v>
      </c>
      <c r="M1456" s="35" t="str">
        <f>IFERROR(__xludf.DUMMYFUNCTION("""COMPUTED_VALUE"""),"JALAN NATUNA NOMOR 22")</f>
        <v>JALAN NATUNA NOMOR 22</v>
      </c>
      <c r="N1456" s="16" t="str">
        <f>IFERROR(__xludf.DUMMYFUNCTION("""COMPUTED_VALUE"""),"KEL. AKCAYA")</f>
        <v>KEL. AKCAYA</v>
      </c>
      <c r="O1456" s="16" t="str">
        <f>IFERROR(__xludf.DUMMYFUNCTION("""COMPUTED_VALUE"""),"KEC. PONTIANAK SELATAN")</f>
        <v>KEC. PONTIANAK SELATAN</v>
      </c>
      <c r="P1456" s="16" t="str">
        <f>IFERROR(__xludf.DUMMYFUNCTION("""COMPUTED_VALUE"""),"KOTA PONTIANAK")</f>
        <v>KOTA PONTIANAK</v>
      </c>
      <c r="Q1456" s="16" t="str">
        <f>IFERROR(__xludf.DUMMYFUNCTION("""COMPUTED_VALUE"""),"KALIMANTAN BARAT")</f>
        <v>KALIMANTAN BARAT</v>
      </c>
      <c r="R1456" s="19" t="str">
        <f>IFERROR(__xludf.DUMMYFUNCTION("""COMPUTED_VALUE"""),"ISLAM")</f>
        <v>ISLAM</v>
      </c>
      <c r="S1456" s="35" t="str">
        <f>IFERROR(__xludf.DUMMYFUNCTION("""COMPUTED_VALUE"""),"RUMAH TANGGA")</f>
        <v>RUMAH TANGGA</v>
      </c>
      <c r="T1456" s="16" t="str">
        <f>IFERROR(__xludf.DUMMYFUNCTION("""COMPUTED_VALUE"""),"Sakit pinggang")</f>
        <v>Sakit pinggang</v>
      </c>
      <c r="U1456" s="16" t="str">
        <f>IFERROR(__xludf.DUMMYFUNCTION("""COMPUTED_VALUE"""),"Pekerjaan rumah")</f>
        <v>Pekerjaan rumah</v>
      </c>
      <c r="V1456" s="11" t="str">
        <f>IFERROR(__xludf.DUMMYFUNCTION("""COMPUTED_VALUE"""),"082155247200")</f>
        <v>082155247200</v>
      </c>
      <c r="W1456" s="15"/>
    </row>
    <row r="1457" ht="22.5" customHeight="1">
      <c r="A1457" s="28"/>
      <c r="B1457" s="9">
        <f>IFERROR(__xludf.DUMMYFUNCTION("""COMPUTED_VALUE"""),45458.65162282407)</f>
        <v>45458.65162</v>
      </c>
      <c r="C1457" s="9"/>
      <c r="D1457" s="34">
        <f>IFERROR(__xludf.DUMMYFUNCTION("""COMPUTED_VALUE"""),45467.0)</f>
        <v>45467</v>
      </c>
      <c r="E1457" s="34" t="str">
        <f>IFERROR(__xludf.DUMMYFUNCTION("""COMPUTED_VALUE"""),"06Jun")</f>
        <v>06Jun</v>
      </c>
      <c r="F1457" s="34" t="str">
        <f>IFERROR(__xludf.DUMMYFUNCTION("""COMPUTED_VALUE"""),"2024")</f>
        <v>2024</v>
      </c>
      <c r="G1457" s="35" t="str">
        <f>IFERROR(__xludf.DUMMYFUNCTION("""COMPUTED_VALUE"""),"KASWANTO")</f>
        <v>KASWANTO</v>
      </c>
      <c r="H1457" s="17" t="str">
        <f>IFERROR(__xludf.DUMMYFUNCTION("""COMPUTED_VALUE"""),"K7824064990")</f>
        <v>K7824064990</v>
      </c>
      <c r="I1457" s="17">
        <f>IFERROR(__xludf.DUMMYFUNCTION("""COMPUTED_VALUE"""),47.0)</f>
        <v>47</v>
      </c>
      <c r="J1457" s="17" t="str">
        <f>IFERROR(__xludf.DUMMYFUNCTION("""COMPUTED_VALUE"""),"&gt; 44 tahun")</f>
        <v>&gt; 44 tahun</v>
      </c>
      <c r="K1457" s="19">
        <f>IFERROR(__xludf.DUMMYFUNCTION("""COMPUTED_VALUE"""),28689.0)</f>
        <v>28689</v>
      </c>
      <c r="L1457" s="19" t="str">
        <f>IFERROR(__xludf.DUMMYFUNCTION("""COMPUTED_VALUE"""),"LAKI-LAKI")</f>
        <v>LAKI-LAKI</v>
      </c>
      <c r="M1457" s="35" t="str">
        <f>IFERROR(__xludf.DUMMYFUNCTION("""COMPUTED_VALUE"""),"JL. M. SOHOR")</f>
        <v>JL. M. SOHOR</v>
      </c>
      <c r="N1457" s="16" t="str">
        <f>IFERROR(__xludf.DUMMYFUNCTION("""COMPUTED_VALUE"""),"KEL. AKCAYA")</f>
        <v>KEL. AKCAYA</v>
      </c>
      <c r="O1457" s="16" t="str">
        <f>IFERROR(__xludf.DUMMYFUNCTION("""COMPUTED_VALUE"""),"KEC. PONTIANAK SELATAN")</f>
        <v>KEC. PONTIANAK SELATAN</v>
      </c>
      <c r="P1457" s="16" t="str">
        <f>IFERROR(__xludf.DUMMYFUNCTION("""COMPUTED_VALUE"""),"KOTA PONTIANAK")</f>
        <v>KOTA PONTIANAK</v>
      </c>
      <c r="Q1457" s="16" t="str">
        <f>IFERROR(__xludf.DUMMYFUNCTION("""COMPUTED_VALUE"""),"KALIMANTAN BARAT")</f>
        <v>KALIMANTAN BARAT</v>
      </c>
      <c r="R1457" s="19" t="str">
        <f>IFERROR(__xludf.DUMMYFUNCTION("""COMPUTED_VALUE"""),"ISLAM")</f>
        <v>ISLAM</v>
      </c>
      <c r="S1457" s="16" t="str">
        <f>IFERROR(__xludf.DUMMYFUNCTION("""COMPUTED_VALUE"""),"ASN")</f>
        <v>ASN</v>
      </c>
      <c r="T1457" s="16" t="str">
        <f>IFERROR(__xludf.DUMMYFUNCTION("""COMPUTED_VALUE"""),"Sakit bagian punggung")</f>
        <v>Sakit bagian punggung</v>
      </c>
      <c r="U1457" s="16" t="str">
        <f>IFERROR(__xludf.DUMMYFUNCTION("""COMPUTED_VALUE"""),"bekerja duduk")</f>
        <v>bekerja duduk</v>
      </c>
      <c r="V1457" s="11" t="str">
        <f>IFERROR(__xludf.DUMMYFUNCTION("""COMPUTED_VALUE"""),"081348064990")</f>
        <v>081348064990</v>
      </c>
      <c r="W1457" s="15"/>
    </row>
    <row r="1458" ht="22.5" customHeight="1">
      <c r="A1458" s="8"/>
      <c r="B1458" s="9">
        <f>IFERROR(__xludf.DUMMYFUNCTION("""COMPUTED_VALUE"""),45460.393676493055)</f>
        <v>45460.39368</v>
      </c>
      <c r="C1458" s="9"/>
      <c r="D1458" s="34">
        <f>IFERROR(__xludf.DUMMYFUNCTION("""COMPUTED_VALUE"""),45468.0)</f>
        <v>45468</v>
      </c>
      <c r="E1458" s="34" t="str">
        <f>IFERROR(__xludf.DUMMYFUNCTION("""COMPUTED_VALUE"""),"06Jun")</f>
        <v>06Jun</v>
      </c>
      <c r="F1458" s="34" t="str">
        <f>IFERROR(__xludf.DUMMYFUNCTION("""COMPUTED_VALUE"""),"2024")</f>
        <v>2024</v>
      </c>
      <c r="G1458" s="35" t="str">
        <f>IFERROR(__xludf.DUMMYFUNCTION("""COMPUTED_VALUE"""),"YOGA APRI YONO")</f>
        <v>YOGA APRI YONO</v>
      </c>
      <c r="H1458" s="17" t="str">
        <f>IFERROR(__xludf.DUMMYFUNCTION("""COMPUTED_VALUE"""),"Y9724063986")</f>
        <v>Y9724063986</v>
      </c>
      <c r="I1458" s="17">
        <f>IFERROR(__xludf.DUMMYFUNCTION("""COMPUTED_VALUE"""),29.0)</f>
        <v>29</v>
      </c>
      <c r="J1458" s="17" t="str">
        <f>IFERROR(__xludf.DUMMYFUNCTION("""COMPUTED_VALUE"""),"25-34 tahun")</f>
        <v>25-34 tahun</v>
      </c>
      <c r="K1458" s="19">
        <f>IFERROR(__xludf.DUMMYFUNCTION("""COMPUTED_VALUE"""),35530.0)</f>
        <v>35530</v>
      </c>
      <c r="L1458" s="19" t="str">
        <f>IFERROR(__xludf.DUMMYFUNCTION("""COMPUTED_VALUE"""),"LAKI-LAKI")</f>
        <v>LAKI-LAKI</v>
      </c>
      <c r="M1458" s="35" t="str">
        <f>IFERROR(__xludf.DUMMYFUNCTION("""COMPUTED_VALUE"""),"JL KARYA BARU GG KARYA BARU 3")</f>
        <v>JL KARYA BARU GG KARYA BARU 3</v>
      </c>
      <c r="N1458" s="16" t="str">
        <f>IFERROR(__xludf.DUMMYFUNCTION("""COMPUTED_VALUE"""),"KEL. PARIT TOKAYA")</f>
        <v>KEL. PARIT TOKAYA</v>
      </c>
      <c r="O1458" s="16" t="str">
        <f>IFERROR(__xludf.DUMMYFUNCTION("""COMPUTED_VALUE"""),"KEC. PONTIANAK SELATAN")</f>
        <v>KEC. PONTIANAK SELATAN</v>
      </c>
      <c r="P1458" s="16" t="str">
        <f>IFERROR(__xludf.DUMMYFUNCTION("""COMPUTED_VALUE"""),"KOTA PONTIANAK")</f>
        <v>KOTA PONTIANAK</v>
      </c>
      <c r="Q1458" s="16" t="str">
        <f>IFERROR(__xludf.DUMMYFUNCTION("""COMPUTED_VALUE"""),"KALIMANTAN BARAT")</f>
        <v>KALIMANTAN BARAT</v>
      </c>
      <c r="R1458" s="19" t="str">
        <f>IFERROR(__xludf.DUMMYFUNCTION("""COMPUTED_VALUE"""),"ISLAM")</f>
        <v>ISLAM</v>
      </c>
      <c r="S1458" s="35" t="str">
        <f>IFERROR(__xludf.DUMMYFUNCTION("""COMPUTED_VALUE"""),"BUMN")</f>
        <v>BUMN</v>
      </c>
      <c r="T1458" s="16" t="str">
        <f>IFERROR(__xludf.DUMMYFUNCTION("""COMPUTED_VALUE"""),"Sakit dibagian leher, susah untuk melirik kiri dan bawah")</f>
        <v>Sakit dibagian leher, susah untuk melirik kiri dan bawah</v>
      </c>
      <c r="U1458" s="16" t="str">
        <f>IFERROR(__xludf.DUMMYFUNCTION("""COMPUTED_VALUE"""),"Olahraga")</f>
        <v>Olahraga</v>
      </c>
      <c r="V1458" s="11" t="str">
        <f>IFERROR(__xludf.DUMMYFUNCTION("""COMPUTED_VALUE"""),"082154403986")</f>
        <v>082154403986</v>
      </c>
      <c r="W1458" s="15"/>
    </row>
    <row r="1459" ht="22.5" customHeight="1">
      <c r="A1459" s="8"/>
      <c r="B1459" s="9">
        <f>IFERROR(__xludf.DUMMYFUNCTION("""COMPUTED_VALUE"""),45461.54146440972)</f>
        <v>45461.54146</v>
      </c>
      <c r="C1459" s="9"/>
      <c r="D1459" s="34">
        <f>IFERROR(__xludf.DUMMYFUNCTION("""COMPUTED_VALUE"""),45469.0)</f>
        <v>45469</v>
      </c>
      <c r="E1459" s="34" t="str">
        <f>IFERROR(__xludf.DUMMYFUNCTION("""COMPUTED_VALUE"""),"06Jun")</f>
        <v>06Jun</v>
      </c>
      <c r="F1459" s="34" t="str">
        <f>IFERROR(__xludf.DUMMYFUNCTION("""COMPUTED_VALUE"""),"2024")</f>
        <v>2024</v>
      </c>
      <c r="G1459" s="35" t="str">
        <f>IFERROR(__xludf.DUMMYFUNCTION("""COMPUTED_VALUE"""),"SRI AULIA MAHARANI")</f>
        <v>SRI AULIA MAHARANI</v>
      </c>
      <c r="H1459" s="17" t="str">
        <f>IFERROR(__xludf.DUMMYFUNCTION("""COMPUTED_VALUE"""),"S0624065253")</f>
        <v>S0624065253</v>
      </c>
      <c r="I1459" s="17">
        <f>IFERROR(__xludf.DUMMYFUNCTION("""COMPUTED_VALUE"""),19.0)</f>
        <v>19</v>
      </c>
      <c r="J1459" s="17" t="str">
        <f>IFERROR(__xludf.DUMMYFUNCTION("""COMPUTED_VALUE"""),"18-24 tahun")</f>
        <v>18-24 tahun</v>
      </c>
      <c r="K1459" s="19">
        <f>IFERROR(__xludf.DUMMYFUNCTION("""COMPUTED_VALUE"""),38938.0)</f>
        <v>38938</v>
      </c>
      <c r="L1459" s="19" t="str">
        <f>IFERROR(__xludf.DUMMYFUNCTION("""COMPUTED_VALUE"""),"PEREMPUAN")</f>
        <v>PEREMPUAN</v>
      </c>
      <c r="M1459" s="35" t="str">
        <f>IFERROR(__xludf.DUMMYFUNCTION("""COMPUTED_VALUE"""),"JL. PANGERAN NATAKUSUMA GG. TAMAN SISWA NO.3")</f>
        <v>JL. PANGERAN NATAKUSUMA GG. TAMAN SISWA NO.3</v>
      </c>
      <c r="N1459" s="16" t="str">
        <f>IFERROR(__xludf.DUMMYFUNCTION("""COMPUTED_VALUE"""),"KEL. SUNGAI BANGKONG")</f>
        <v>KEL. SUNGAI BANGKONG</v>
      </c>
      <c r="O1459" s="16" t="str">
        <f>IFERROR(__xludf.DUMMYFUNCTION("""COMPUTED_VALUE"""),"KEC. PONTIANAK KOTA")</f>
        <v>KEC. PONTIANAK KOTA</v>
      </c>
      <c r="P1459" s="16" t="str">
        <f>IFERROR(__xludf.DUMMYFUNCTION("""COMPUTED_VALUE"""),"KOTA PONTIANAK")</f>
        <v>KOTA PONTIANAK</v>
      </c>
      <c r="Q1459" s="16" t="str">
        <f>IFERROR(__xludf.DUMMYFUNCTION("""COMPUTED_VALUE"""),"KALIMANTAN BARAT")</f>
        <v>KALIMANTAN BARAT</v>
      </c>
      <c r="R1459" s="19" t="str">
        <f>IFERROR(__xludf.DUMMYFUNCTION("""COMPUTED_VALUE"""),"ISLAM")</f>
        <v>ISLAM</v>
      </c>
      <c r="S1459" s="16" t="str">
        <f>IFERROR(__xludf.DUMMYFUNCTION("""COMPUTED_VALUE"""),"PELAJAR/MAHASISWA")</f>
        <v>PELAJAR/MAHASISWA</v>
      </c>
      <c r="T1459" s="16" t="str">
        <f>IFERROR(__xludf.DUMMYFUNCTION("""COMPUTED_VALUE"""),"keseleoo")</f>
        <v>keseleoo</v>
      </c>
      <c r="U1459" s="16" t="str">
        <f>IFERROR(__xludf.DUMMYFUNCTION("""COMPUTED_VALUE"""),"lari")</f>
        <v>lari</v>
      </c>
      <c r="V1459" s="11" t="str">
        <f>IFERROR(__xludf.DUMMYFUNCTION("""COMPUTED_VALUE"""),"082154705253")</f>
        <v>082154705253</v>
      </c>
      <c r="W1459" s="15"/>
    </row>
    <row r="1460" ht="22.5" customHeight="1">
      <c r="A1460" s="8"/>
      <c r="B1460" s="9">
        <f>IFERROR(__xludf.DUMMYFUNCTION("""COMPUTED_VALUE"""),45461.57919738426)</f>
        <v>45461.5792</v>
      </c>
      <c r="C1460" s="9"/>
      <c r="D1460" s="34">
        <f>IFERROR(__xludf.DUMMYFUNCTION("""COMPUTED_VALUE"""),45469.0)</f>
        <v>45469</v>
      </c>
      <c r="E1460" s="34" t="str">
        <f>IFERROR(__xludf.DUMMYFUNCTION("""COMPUTED_VALUE"""),"06Jun")</f>
        <v>06Jun</v>
      </c>
      <c r="F1460" s="34" t="str">
        <f>IFERROR(__xludf.DUMMYFUNCTION("""COMPUTED_VALUE"""),"2024")</f>
        <v>2024</v>
      </c>
      <c r="G1460" s="35" t="str">
        <f>IFERROR(__xludf.DUMMYFUNCTION("""COMPUTED_VALUE"""),"EDO DARMAWAN,S.T")</f>
        <v>EDO DARMAWAN,S.T</v>
      </c>
      <c r="H1460" s="17" t="str">
        <f>IFERROR(__xludf.DUMMYFUNCTION("""COMPUTED_VALUE"""),"E9124061441")</f>
        <v>E9124061441</v>
      </c>
      <c r="I1460" s="17">
        <f>IFERROR(__xludf.DUMMYFUNCTION("""COMPUTED_VALUE"""),35.0)</f>
        <v>35</v>
      </c>
      <c r="J1460" s="17" t="str">
        <f>IFERROR(__xludf.DUMMYFUNCTION("""COMPUTED_VALUE"""),"35-44 tahun")</f>
        <v>35-44 tahun</v>
      </c>
      <c r="K1460" s="19">
        <f>IFERROR(__xludf.DUMMYFUNCTION("""COMPUTED_VALUE"""),33257.0)</f>
        <v>33257</v>
      </c>
      <c r="L1460" s="19" t="str">
        <f>IFERROR(__xludf.DUMMYFUNCTION("""COMPUTED_VALUE"""),"LAKI-LAKI")</f>
        <v>LAKI-LAKI</v>
      </c>
      <c r="M1460" s="35" t="str">
        <f>IFERROR(__xludf.DUMMYFUNCTION("""COMPUTED_VALUE"""),"JALAN KOM YOS SUDARSO GANG ANGGUR NO.29/31")</f>
        <v>JALAN KOM YOS SUDARSO GANG ANGGUR NO.29/31</v>
      </c>
      <c r="N1460" s="16" t="str">
        <f>IFERROR(__xludf.DUMMYFUNCTION("""COMPUTED_VALUE"""),"KEL. SUNGAI JAWI LUAR")</f>
        <v>KEL. SUNGAI JAWI LUAR</v>
      </c>
      <c r="O1460" s="16" t="str">
        <f>IFERROR(__xludf.DUMMYFUNCTION("""COMPUTED_VALUE"""),"KEC. PONTIANAK BARAT")</f>
        <v>KEC. PONTIANAK BARAT</v>
      </c>
      <c r="P1460" s="16" t="str">
        <f>IFERROR(__xludf.DUMMYFUNCTION("""COMPUTED_VALUE"""),"KOTA PONTIANAK")</f>
        <v>KOTA PONTIANAK</v>
      </c>
      <c r="Q1460" s="16" t="str">
        <f>IFERROR(__xludf.DUMMYFUNCTION("""COMPUTED_VALUE"""),"KALIMANTAN BARAT")</f>
        <v>KALIMANTAN BARAT</v>
      </c>
      <c r="R1460" s="19" t="str">
        <f>IFERROR(__xludf.DUMMYFUNCTION("""COMPUTED_VALUE"""),"ISLAM")</f>
        <v>ISLAM</v>
      </c>
      <c r="S1460" s="35" t="str">
        <f>IFERROR(__xludf.DUMMYFUNCTION("""COMPUTED_VALUE"""),"SWASTA")</f>
        <v>SWASTA</v>
      </c>
      <c r="T1460" s="16" t="str">
        <f>IFERROR(__xludf.DUMMYFUNCTION("""COMPUTED_VALUE"""),"Cidera mata kaki")</f>
        <v>Cidera mata kaki</v>
      </c>
      <c r="U1460" s="16" t="str">
        <f>IFERROR(__xludf.DUMMYFUNCTION("""COMPUTED_VALUE"""),"Bekerja")</f>
        <v>Bekerja</v>
      </c>
      <c r="V1460" s="11" t="str">
        <f>IFERROR(__xludf.DUMMYFUNCTION("""COMPUTED_VALUE"""),"081352161441")</f>
        <v>081352161441</v>
      </c>
      <c r="W1460" s="15"/>
    </row>
    <row r="1461" ht="22.5" customHeight="1">
      <c r="A1461" s="8"/>
      <c r="B1461" s="9">
        <f>IFERROR(__xludf.DUMMYFUNCTION("""COMPUTED_VALUE"""),45462.51978002315)</f>
        <v>45462.51978</v>
      </c>
      <c r="C1461" s="9"/>
      <c r="D1461" s="34">
        <f>IFERROR(__xludf.DUMMYFUNCTION("""COMPUTED_VALUE"""),45469.0)</f>
        <v>45469</v>
      </c>
      <c r="E1461" s="34" t="str">
        <f>IFERROR(__xludf.DUMMYFUNCTION("""COMPUTED_VALUE"""),"06Jun")</f>
        <v>06Jun</v>
      </c>
      <c r="F1461" s="34" t="str">
        <f>IFERROR(__xludf.DUMMYFUNCTION("""COMPUTED_VALUE"""),"2024")</f>
        <v>2024</v>
      </c>
      <c r="G1461" s="35" t="str">
        <f>IFERROR(__xludf.DUMMYFUNCTION("""COMPUTED_VALUE"""),"SULIS SETIOWATI")</f>
        <v>SULIS SETIOWATI</v>
      </c>
      <c r="H1461" s="17" t="str">
        <f>IFERROR(__xludf.DUMMYFUNCTION("""COMPUTED_VALUE"""),"S7324068151")</f>
        <v>S7324068151</v>
      </c>
      <c r="I1461" s="17">
        <f>IFERROR(__xludf.DUMMYFUNCTION("""COMPUTED_VALUE"""),52.0)</f>
        <v>52</v>
      </c>
      <c r="J1461" s="17" t="str">
        <f>IFERROR(__xludf.DUMMYFUNCTION("""COMPUTED_VALUE"""),"&gt; 44 tahun")</f>
        <v>&gt; 44 tahun</v>
      </c>
      <c r="K1461" s="19">
        <f>IFERROR(__xludf.DUMMYFUNCTION("""COMPUTED_VALUE"""),26887.0)</f>
        <v>26887</v>
      </c>
      <c r="L1461" s="19" t="str">
        <f>IFERROR(__xludf.DUMMYFUNCTION("""COMPUTED_VALUE"""),"PEREMPUAN")</f>
        <v>PEREMPUAN</v>
      </c>
      <c r="M1461" s="35" t="str">
        <f>IFERROR(__xludf.DUMMYFUNCTION("""COMPUTED_VALUE"""),"JL.HM.SUWIGNYO, GG.MARGODADIREJO 1 NO. 15")</f>
        <v>JL.HM.SUWIGNYO, GG.MARGODADIREJO 1 NO. 15</v>
      </c>
      <c r="N1461" s="16" t="str">
        <f>IFERROR(__xludf.DUMMYFUNCTION("""COMPUTED_VALUE"""),"KEL. SUNGAI JAWI")</f>
        <v>KEL. SUNGAI JAWI</v>
      </c>
      <c r="O1461" s="16" t="str">
        <f>IFERROR(__xludf.DUMMYFUNCTION("""COMPUTED_VALUE"""),"KEC. PONTIANAK KOTA")</f>
        <v>KEC. PONTIANAK KOTA</v>
      </c>
      <c r="P1461" s="16" t="str">
        <f>IFERROR(__xludf.DUMMYFUNCTION("""COMPUTED_VALUE"""),"KOTA PONTIANAK")</f>
        <v>KOTA PONTIANAK</v>
      </c>
      <c r="Q1461" s="16" t="str">
        <f>IFERROR(__xludf.DUMMYFUNCTION("""COMPUTED_VALUE"""),"KALIMANTAN BARAT")</f>
        <v>KALIMANTAN BARAT</v>
      </c>
      <c r="R1461" s="19" t="str">
        <f>IFERROR(__xludf.DUMMYFUNCTION("""COMPUTED_VALUE"""),"ISLAM")</f>
        <v>ISLAM</v>
      </c>
      <c r="S1461" s="16" t="str">
        <f>IFERROR(__xludf.DUMMYFUNCTION("""COMPUTED_VALUE"""),"DOSEN/GURU")</f>
        <v>DOSEN/GURU</v>
      </c>
      <c r="T1461" s="16" t="str">
        <f>IFERROR(__xludf.DUMMYFUNCTION("""COMPUTED_VALUE"""),"SAKIT")</f>
        <v>SAKIT</v>
      </c>
      <c r="U1461" s="16" t="str">
        <f>IFERROR(__xludf.DUMMYFUNCTION("""COMPUTED_VALUE"""),"MASAK")</f>
        <v>MASAK</v>
      </c>
      <c r="V1461" s="11" t="str">
        <f>IFERROR(__xludf.DUMMYFUNCTION("""COMPUTED_VALUE"""),"085787198151")</f>
        <v>085787198151</v>
      </c>
      <c r="W1461" s="15"/>
    </row>
    <row r="1462" ht="22.5" customHeight="1">
      <c r="A1462" s="8"/>
      <c r="B1462" s="9">
        <f>IFERROR(__xludf.DUMMYFUNCTION("""COMPUTED_VALUE"""),45462.55437467592)</f>
        <v>45462.55437</v>
      </c>
      <c r="C1462" s="9"/>
      <c r="D1462" s="34">
        <f>IFERROR(__xludf.DUMMYFUNCTION("""COMPUTED_VALUE"""),45469.0)</f>
        <v>45469</v>
      </c>
      <c r="E1462" s="34" t="str">
        <f>IFERROR(__xludf.DUMMYFUNCTION("""COMPUTED_VALUE"""),"06Jun")</f>
        <v>06Jun</v>
      </c>
      <c r="F1462" s="34" t="str">
        <f>IFERROR(__xludf.DUMMYFUNCTION("""COMPUTED_VALUE"""),"2024")</f>
        <v>2024</v>
      </c>
      <c r="G1462" s="35" t="str">
        <f>IFERROR(__xludf.DUMMYFUNCTION("""COMPUTED_VALUE"""),"FATIMAH 6202")</f>
        <v>FATIMAH 6202</v>
      </c>
      <c r="H1462" s="17" t="str">
        <f>IFERROR(__xludf.DUMMYFUNCTION("""COMPUTED_VALUE"""),"F6224068426")</f>
        <v>F6224068426</v>
      </c>
      <c r="I1462" s="17">
        <f>IFERROR(__xludf.DUMMYFUNCTION("""COMPUTED_VALUE"""),64.0)</f>
        <v>64</v>
      </c>
      <c r="J1462" s="17" t="str">
        <f>IFERROR(__xludf.DUMMYFUNCTION("""COMPUTED_VALUE"""),"&gt; 44 tahun")</f>
        <v>&gt; 44 tahun</v>
      </c>
      <c r="K1462" s="19">
        <f>IFERROR(__xludf.DUMMYFUNCTION("""COMPUTED_VALUE"""),22703.0)</f>
        <v>22703</v>
      </c>
      <c r="L1462" s="19" t="str">
        <f>IFERROR(__xludf.DUMMYFUNCTION("""COMPUTED_VALUE"""),"PEREMPUAN")</f>
        <v>PEREMPUAN</v>
      </c>
      <c r="M1462" s="35" t="str">
        <f>IFERROR(__xludf.DUMMYFUNCTION("""COMPUTED_VALUE"""),"JL. PARIT BUGIS GG PERSADA NO 2")</f>
        <v>JL. PARIT BUGIS GG PERSADA NO 2</v>
      </c>
      <c r="N1462" s="16" t="str">
        <f>IFERROR(__xludf.DUMMYFUNCTION("""COMPUTED_VALUE"""),"DS. ARANG LIMBUNG")</f>
        <v>DS. ARANG LIMBUNG</v>
      </c>
      <c r="O1462" s="16" t="str">
        <f>IFERROR(__xludf.DUMMYFUNCTION("""COMPUTED_VALUE"""),"KEC. SUNGAI RAYA")</f>
        <v>KEC. SUNGAI RAYA</v>
      </c>
      <c r="P1462" s="16" t="str">
        <f>IFERROR(__xludf.DUMMYFUNCTION("""COMPUTED_VALUE"""),"KAB. KUBU RAYA")</f>
        <v>KAB. KUBU RAYA</v>
      </c>
      <c r="Q1462" s="16" t="str">
        <f>IFERROR(__xludf.DUMMYFUNCTION("""COMPUTED_VALUE"""),"KALIMANTAN BARAT")</f>
        <v>KALIMANTAN BARAT</v>
      </c>
      <c r="R1462" s="19" t="str">
        <f>IFERROR(__xludf.DUMMYFUNCTION("""COMPUTED_VALUE"""),"ISLAM")</f>
        <v>ISLAM</v>
      </c>
      <c r="S1462" s="35" t="str">
        <f>IFERROR(__xludf.DUMMYFUNCTION("""COMPUTED_VALUE"""),"PENSIUN")</f>
        <v>PENSIUN</v>
      </c>
      <c r="T1462" s="16" t="str">
        <f>IFERROR(__xludf.DUMMYFUNCTION("""COMPUTED_VALUE"""),"Cidera di")</f>
        <v>Cidera di</v>
      </c>
      <c r="U1462" s="16" t="str">
        <f>IFERROR(__xludf.DUMMYFUNCTION("""COMPUTED_VALUE"""),"Ibu rumah tangga")</f>
        <v>Ibu rumah tangga</v>
      </c>
      <c r="V1462" s="11" t="str">
        <f>IFERROR(__xludf.DUMMYFUNCTION("""COMPUTED_VALUE"""),"081346198426")</f>
        <v>081346198426</v>
      </c>
      <c r="W1462" s="15"/>
    </row>
    <row r="1463" ht="22.5" customHeight="1">
      <c r="A1463" s="8"/>
      <c r="B1463" s="9">
        <f>IFERROR(__xludf.DUMMYFUNCTION("""COMPUTED_VALUE"""),45462.385628668984)</f>
        <v>45462.38563</v>
      </c>
      <c r="C1463" s="9"/>
      <c r="D1463" s="34">
        <f>IFERROR(__xludf.DUMMYFUNCTION("""COMPUTED_VALUE"""),45469.0)</f>
        <v>45469</v>
      </c>
      <c r="E1463" s="34" t="str">
        <f>IFERROR(__xludf.DUMMYFUNCTION("""COMPUTED_VALUE"""),"06Jun")</f>
        <v>06Jun</v>
      </c>
      <c r="F1463" s="34" t="str">
        <f>IFERROR(__xludf.DUMMYFUNCTION("""COMPUTED_VALUE"""),"2024")</f>
        <v>2024</v>
      </c>
      <c r="G1463" s="35" t="str">
        <f>IFERROR(__xludf.DUMMYFUNCTION("""COMPUTED_VALUE"""),"YULIANTI STEVIANI")</f>
        <v>YULIANTI STEVIANI</v>
      </c>
      <c r="H1463" s="17" t="str">
        <f>IFERROR(__xludf.DUMMYFUNCTION("""COMPUTED_VALUE"""),"Y9724063373")</f>
        <v>Y9724063373</v>
      </c>
      <c r="I1463" s="17">
        <f>IFERROR(__xludf.DUMMYFUNCTION("""COMPUTED_VALUE"""),28.0)</f>
        <v>28</v>
      </c>
      <c r="J1463" s="17" t="str">
        <f>IFERROR(__xludf.DUMMYFUNCTION("""COMPUTED_VALUE"""),"25-34 tahun")</f>
        <v>25-34 tahun</v>
      </c>
      <c r="K1463" s="19">
        <f>IFERROR(__xludf.DUMMYFUNCTION("""COMPUTED_VALUE"""),35626.0)</f>
        <v>35626</v>
      </c>
      <c r="L1463" s="19" t="str">
        <f>IFERROR(__xludf.DUMMYFUNCTION("""COMPUTED_VALUE"""),"PEREMPUAN")</f>
        <v>PEREMPUAN</v>
      </c>
      <c r="M1463" s="35" t="str">
        <f>IFERROR(__xludf.DUMMYFUNCTION("""COMPUTED_VALUE"""),"JL. TANJUNGPURA GG. SUEZ NO 102")</f>
        <v>JL. TANJUNGPURA GG. SUEZ NO 102</v>
      </c>
      <c r="N1463" s="16" t="str">
        <f>IFERROR(__xludf.DUMMYFUNCTION("""COMPUTED_VALUE"""),"KEL. BENUA MELAYU DARAT")</f>
        <v>KEL. BENUA MELAYU DARAT</v>
      </c>
      <c r="O1463" s="16" t="str">
        <f>IFERROR(__xludf.DUMMYFUNCTION("""COMPUTED_VALUE"""),"KEC. PONTIANAK SELATAN")</f>
        <v>KEC. PONTIANAK SELATAN</v>
      </c>
      <c r="P1463" s="16" t="str">
        <f>IFERROR(__xludf.DUMMYFUNCTION("""COMPUTED_VALUE"""),"KOTA PONTIANAK")</f>
        <v>KOTA PONTIANAK</v>
      </c>
      <c r="Q1463" s="16" t="str">
        <f>IFERROR(__xludf.DUMMYFUNCTION("""COMPUTED_VALUE"""),"KALIMANTAN BARAT")</f>
        <v>KALIMANTAN BARAT</v>
      </c>
      <c r="R1463" s="19" t="str">
        <f>IFERROR(__xludf.DUMMYFUNCTION("""COMPUTED_VALUE"""),"KATOLIK")</f>
        <v>KATOLIK</v>
      </c>
      <c r="S1463" s="16" t="str">
        <f>IFERROR(__xludf.DUMMYFUNCTION("""COMPUTED_VALUE"""),"RUMAH TANGGA")</f>
        <v>RUMAH TANGGA</v>
      </c>
      <c r="T1463" s="16" t="str">
        <f>IFERROR(__xludf.DUMMYFUNCTION("""COMPUTED_VALUE"""),"Skoliosis")</f>
        <v>Skoliosis</v>
      </c>
      <c r="U1463" s="16" t="str">
        <f>IFERROR(__xludf.DUMMYFUNCTION("""COMPUTED_VALUE"""),"-")</f>
        <v>-</v>
      </c>
      <c r="V1463" s="11" t="str">
        <f>IFERROR(__xludf.DUMMYFUNCTION("""COMPUTED_VALUE"""),"089603123373")</f>
        <v>089603123373</v>
      </c>
      <c r="W1463" s="15"/>
    </row>
    <row r="1464" ht="22.5" customHeight="1">
      <c r="A1464" s="8"/>
      <c r="B1464" s="9">
        <f>IFERROR(__xludf.DUMMYFUNCTION("""COMPUTED_VALUE"""),45463.63778447917)</f>
        <v>45463.63778</v>
      </c>
      <c r="C1464" s="9"/>
      <c r="D1464" s="34">
        <f>IFERROR(__xludf.DUMMYFUNCTION("""COMPUTED_VALUE"""),45470.0)</f>
        <v>45470</v>
      </c>
      <c r="E1464" s="34" t="str">
        <f>IFERROR(__xludf.DUMMYFUNCTION("""COMPUTED_VALUE"""),"06Jun")</f>
        <v>06Jun</v>
      </c>
      <c r="F1464" s="34" t="str">
        <f>IFERROR(__xludf.DUMMYFUNCTION("""COMPUTED_VALUE"""),"2024")</f>
        <v>2024</v>
      </c>
      <c r="G1464" s="35" t="str">
        <f>IFERROR(__xludf.DUMMYFUNCTION("""COMPUTED_VALUE"""),"JOHN COLLINS ANDI PRATAMA")</f>
        <v>JOHN COLLINS ANDI PRATAMA</v>
      </c>
      <c r="H1464" s="17" t="str">
        <f>IFERROR(__xludf.DUMMYFUNCTION("""COMPUTED_VALUE"""),"J8924064228")</f>
        <v>J8924064228</v>
      </c>
      <c r="I1464" s="17">
        <f>IFERROR(__xludf.DUMMYFUNCTION("""COMPUTED_VALUE"""),37.0)</f>
        <v>37</v>
      </c>
      <c r="J1464" s="17" t="str">
        <f>IFERROR(__xludf.DUMMYFUNCTION("""COMPUTED_VALUE"""),"35-44 tahun")</f>
        <v>35-44 tahun</v>
      </c>
      <c r="K1464" s="19">
        <f>IFERROR(__xludf.DUMMYFUNCTION("""COMPUTED_VALUE"""),32520.0)</f>
        <v>32520</v>
      </c>
      <c r="L1464" s="19" t="str">
        <f>IFERROR(__xludf.DUMMYFUNCTION("""COMPUTED_VALUE"""),"LAKI-LAKI")</f>
        <v>LAKI-LAKI</v>
      </c>
      <c r="M1464" s="35" t="str">
        <f>IFERROR(__xludf.DUMMYFUNCTION("""COMPUTED_VALUE"""),"JL. PARIT DEMANG NO 8")</f>
        <v>JL. PARIT DEMANG NO 8</v>
      </c>
      <c r="N1464" s="16" t="str">
        <f>IFERROR(__xludf.DUMMYFUNCTION("""COMPUTED_VALUE"""),"KEL. PARIT TOKAYA")</f>
        <v>KEL. PARIT TOKAYA</v>
      </c>
      <c r="O1464" s="16" t="str">
        <f>IFERROR(__xludf.DUMMYFUNCTION("""COMPUTED_VALUE"""),"KEC. PONTIANAK SELATAN")</f>
        <v>KEC. PONTIANAK SELATAN</v>
      </c>
      <c r="P1464" s="16" t="str">
        <f>IFERROR(__xludf.DUMMYFUNCTION("""COMPUTED_VALUE"""),"KOTA PONTIANAK")</f>
        <v>KOTA PONTIANAK</v>
      </c>
      <c r="Q1464" s="35" t="str">
        <f>IFERROR(__xludf.DUMMYFUNCTION("""COMPUTED_VALUE"""),"KALIMANTAN BARAT")</f>
        <v>KALIMANTAN BARAT</v>
      </c>
      <c r="R1464" s="19" t="str">
        <f>IFERROR(__xludf.DUMMYFUNCTION("""COMPUTED_VALUE"""),"ISLAM")</f>
        <v>ISLAM</v>
      </c>
      <c r="S1464" s="35" t="str">
        <f>IFERROR(__xludf.DUMMYFUNCTION("""COMPUTED_VALUE"""),"BUMN")</f>
        <v>BUMN</v>
      </c>
      <c r="T1464" s="16" t="str">
        <f>IFERROR(__xludf.DUMMYFUNCTION("""COMPUTED_VALUE"""),"Tulang Belakang ( Ada history syaraf kejepit tulang belakang)")</f>
        <v>Tulang Belakang ( Ada history syaraf kejepit tulang belakang)</v>
      </c>
      <c r="U1464" s="16" t="str">
        <f>IFERROR(__xludf.DUMMYFUNCTION("""COMPUTED_VALUE"""),"Lagi mulai Lari")</f>
        <v>Lagi mulai Lari</v>
      </c>
      <c r="V1464" s="11" t="str">
        <f>IFERROR(__xludf.DUMMYFUNCTION("""COMPUTED_VALUE"""),"081257334228")</f>
        <v>081257334228</v>
      </c>
      <c r="W1464" s="15"/>
    </row>
    <row r="1465" ht="22.5" customHeight="1">
      <c r="A1465" s="8"/>
      <c r="B1465" s="9">
        <f>IFERROR(__xludf.DUMMYFUNCTION("""COMPUTED_VALUE"""),45464.42740730324)</f>
        <v>45464.42741</v>
      </c>
      <c r="C1465" s="9"/>
      <c r="D1465" s="10">
        <f>IFERROR(__xludf.DUMMYFUNCTION("""COMPUTED_VALUE"""),45470.0)</f>
        <v>45470</v>
      </c>
      <c r="E1465" s="10" t="str">
        <f>IFERROR(__xludf.DUMMYFUNCTION("""COMPUTED_VALUE"""),"06Jun")</f>
        <v>06Jun</v>
      </c>
      <c r="F1465" s="10" t="str">
        <f>IFERROR(__xludf.DUMMYFUNCTION("""COMPUTED_VALUE"""),"2024")</f>
        <v>2024</v>
      </c>
      <c r="G1465" s="35" t="str">
        <f>IFERROR(__xludf.DUMMYFUNCTION("""COMPUTED_VALUE"""),"MUTIA MARISA, S TR AK")</f>
        <v>MUTIA MARISA, S TR AK</v>
      </c>
      <c r="H1465" s="17" t="str">
        <f>IFERROR(__xludf.DUMMYFUNCTION("""COMPUTED_VALUE"""),"M9624062482")</f>
        <v>M9624062482</v>
      </c>
      <c r="I1465" s="17">
        <f>IFERROR(__xludf.DUMMYFUNCTION("""COMPUTED_VALUE"""),29.0)</f>
        <v>29</v>
      </c>
      <c r="J1465" s="17" t="str">
        <f>IFERROR(__xludf.DUMMYFUNCTION("""COMPUTED_VALUE"""),"25-34 tahun")</f>
        <v>25-34 tahun</v>
      </c>
      <c r="K1465" s="19">
        <f>IFERROR(__xludf.DUMMYFUNCTION("""COMPUTED_VALUE"""),35383.0)</f>
        <v>35383</v>
      </c>
      <c r="L1465" s="19" t="str">
        <f>IFERROR(__xludf.DUMMYFUNCTION("""COMPUTED_VALUE"""),"PEREMPUAN")</f>
        <v>PEREMPUAN</v>
      </c>
      <c r="M1465" s="35" t="str">
        <f>IFERROR(__xludf.DUMMYFUNCTION("""COMPUTED_VALUE"""),"JL.HRA.RAHMAN GG.BUKIT SEBEDANG NO.22")</f>
        <v>JL.HRA.RAHMAN GG.BUKIT SEBEDANG NO.22</v>
      </c>
      <c r="N1465" s="16" t="str">
        <f>IFERROR(__xludf.DUMMYFUNCTION("""COMPUTED_VALUE"""),"KEL. SUNGAI JAWI")</f>
        <v>KEL. SUNGAI JAWI</v>
      </c>
      <c r="O1465" s="16" t="str">
        <f>IFERROR(__xludf.DUMMYFUNCTION("""COMPUTED_VALUE"""),"KEC. PONTIANAK KOTA")</f>
        <v>KEC. PONTIANAK KOTA</v>
      </c>
      <c r="P1465" s="16" t="str">
        <f>IFERROR(__xludf.DUMMYFUNCTION("""COMPUTED_VALUE"""),"KOTA PONTIANAK")</f>
        <v>KOTA PONTIANAK</v>
      </c>
      <c r="Q1465" s="16" t="str">
        <f>IFERROR(__xludf.DUMMYFUNCTION("""COMPUTED_VALUE"""),"KALIMANTAN BARAT")</f>
        <v>KALIMANTAN BARAT</v>
      </c>
      <c r="R1465" s="19" t="str">
        <f>IFERROR(__xludf.DUMMYFUNCTION("""COMPUTED_VALUE"""),"ISLAM")</f>
        <v>ISLAM</v>
      </c>
      <c r="S1465" s="16" t="str">
        <f>IFERROR(__xludf.DUMMYFUNCTION("""COMPUTED_VALUE"""),"RUMAH TANGGA")</f>
        <v>RUMAH TANGGA</v>
      </c>
      <c r="T1465" s="16" t="str">
        <f>IFERROR(__xludf.DUMMYFUNCTION("""COMPUTED_VALUE"""),"TANGAN KEBAS SEBELAH KANAN DAN LEMAH.")</f>
        <v>TANGAN KEBAS SEBELAH KANAN DAN LEMAH.</v>
      </c>
      <c r="U1465" s="16" t="str">
        <f>IFERROR(__xludf.DUMMYFUNCTION("""COMPUTED_VALUE"""),"MENGURUS RUMAH TANGGA")</f>
        <v>MENGURUS RUMAH TANGGA</v>
      </c>
      <c r="V1465" s="11" t="str">
        <f>IFERROR(__xludf.DUMMYFUNCTION("""COMPUTED_VALUE"""),"089620922482")</f>
        <v>089620922482</v>
      </c>
      <c r="W1465" s="15"/>
    </row>
    <row r="1466" ht="22.5" customHeight="1">
      <c r="A1466" s="8"/>
      <c r="B1466" s="9">
        <f>IFERROR(__xludf.DUMMYFUNCTION("""COMPUTED_VALUE"""),45464.549372696754)</f>
        <v>45464.54937</v>
      </c>
      <c r="C1466" s="9"/>
      <c r="D1466" s="34">
        <f>IFERROR(__xludf.DUMMYFUNCTION("""COMPUTED_VALUE"""),45472.0)</f>
        <v>45472</v>
      </c>
      <c r="E1466" s="34" t="str">
        <f>IFERROR(__xludf.DUMMYFUNCTION("""COMPUTED_VALUE"""),"06Jun")</f>
        <v>06Jun</v>
      </c>
      <c r="F1466" s="34" t="str">
        <f>IFERROR(__xludf.DUMMYFUNCTION("""COMPUTED_VALUE"""),"2024")</f>
        <v>2024</v>
      </c>
      <c r="G1466" s="35" t="str">
        <f>IFERROR(__xludf.DUMMYFUNCTION("""COMPUTED_VALUE"""),"EINSTEINIUS")</f>
        <v>EINSTEINIUS</v>
      </c>
      <c r="H1466" s="17" t="str">
        <f>IFERROR(__xludf.DUMMYFUNCTION("""COMPUTED_VALUE"""),"E9324066207")</f>
        <v>E9324066207</v>
      </c>
      <c r="I1466" s="17">
        <f>IFERROR(__xludf.DUMMYFUNCTION("""COMPUTED_VALUE"""),32.0)</f>
        <v>32</v>
      </c>
      <c r="J1466" s="17" t="str">
        <f>IFERROR(__xludf.DUMMYFUNCTION("""COMPUTED_VALUE"""),"25-34 tahun")</f>
        <v>25-34 tahun</v>
      </c>
      <c r="K1466" s="19">
        <f>IFERROR(__xludf.DUMMYFUNCTION("""COMPUTED_VALUE"""),34306.0)</f>
        <v>34306</v>
      </c>
      <c r="L1466" s="19" t="str">
        <f>IFERROR(__xludf.DUMMYFUNCTION("""COMPUTED_VALUE"""),"LAKI-LAKI")</f>
        <v>LAKI-LAKI</v>
      </c>
      <c r="M1466" s="35" t="str">
        <f>IFERROR(__xludf.DUMMYFUNCTION("""COMPUTED_VALUE"""),"MEDANG LESTARI D.1/K.1")</f>
        <v>MEDANG LESTARI D.1/K.1</v>
      </c>
      <c r="N1466" s="16" t="str">
        <f>IFERROR(__xludf.DUMMYFUNCTION("""COMPUTED_VALUE"""),"KEL. MEDANG")</f>
        <v>KEL. MEDANG</v>
      </c>
      <c r="O1466" s="16" t="str">
        <f>IFERROR(__xludf.DUMMYFUNCTION("""COMPUTED_VALUE"""),"KEC. PAGEDANGAN")</f>
        <v>KEC. PAGEDANGAN</v>
      </c>
      <c r="P1466" s="16" t="str">
        <f>IFERROR(__xludf.DUMMYFUNCTION("""COMPUTED_VALUE"""),"KAB. TANGGERANG")</f>
        <v>KAB. TANGGERANG</v>
      </c>
      <c r="Q1466" s="16" t="str">
        <f>IFERROR(__xludf.DUMMYFUNCTION("""COMPUTED_VALUE"""),"BANTEN")</f>
        <v>BANTEN</v>
      </c>
      <c r="R1466" s="19" t="str">
        <f>IFERROR(__xludf.DUMMYFUNCTION("""COMPUTED_VALUE"""),"KATOLIK")</f>
        <v>KATOLIK</v>
      </c>
      <c r="S1466" s="16" t="str">
        <f>IFERROR(__xludf.DUMMYFUNCTION("""COMPUTED_VALUE"""),"ASN")</f>
        <v>ASN</v>
      </c>
      <c r="T1466" s="16" t="str">
        <f>IFERROR(__xludf.DUMMYFUNCTION("""COMPUTED_VALUE"""),"Acl dan meniskus")</f>
        <v>Acl dan meniskus</v>
      </c>
      <c r="U1466" s="16" t="str">
        <f>IFERROR(__xludf.DUMMYFUNCTION("""COMPUTED_VALUE"""),"Futsal, sepak bola")</f>
        <v>Futsal, sepak bola</v>
      </c>
      <c r="V1466" s="11" t="str">
        <f>IFERROR(__xludf.DUMMYFUNCTION("""COMPUTED_VALUE"""),"081386466207")</f>
        <v>081386466207</v>
      </c>
      <c r="W1466" s="15"/>
    </row>
    <row r="1467" ht="22.5" customHeight="1">
      <c r="A1467" s="8"/>
      <c r="B1467" s="9">
        <f>IFERROR(__xludf.DUMMYFUNCTION("""COMPUTED_VALUE"""),45465.61209905092)</f>
        <v>45465.6121</v>
      </c>
      <c r="C1467" s="9"/>
      <c r="D1467" s="34">
        <f>IFERROR(__xludf.DUMMYFUNCTION("""COMPUTED_VALUE"""),45472.0)</f>
        <v>45472</v>
      </c>
      <c r="E1467" s="34" t="str">
        <f>IFERROR(__xludf.DUMMYFUNCTION("""COMPUTED_VALUE"""),"06Jun")</f>
        <v>06Jun</v>
      </c>
      <c r="F1467" s="34" t="str">
        <f>IFERROR(__xludf.DUMMYFUNCTION("""COMPUTED_VALUE"""),"2024")</f>
        <v>2024</v>
      </c>
      <c r="G1467" s="35" t="str">
        <f>IFERROR(__xludf.DUMMYFUNCTION("""COMPUTED_VALUE"""),"FIRZA AMRI")</f>
        <v>FIRZA AMRI</v>
      </c>
      <c r="H1467" s="17" t="str">
        <f>IFERROR(__xludf.DUMMYFUNCTION("""COMPUTED_VALUE"""),"F7724067007")</f>
        <v>F7724067007</v>
      </c>
      <c r="I1467" s="17">
        <f>IFERROR(__xludf.DUMMYFUNCTION("""COMPUTED_VALUE"""),48.0)</f>
        <v>48</v>
      </c>
      <c r="J1467" s="17" t="str">
        <f>IFERROR(__xludf.DUMMYFUNCTION("""COMPUTED_VALUE"""),"&gt; 44 tahun")</f>
        <v>&gt; 44 tahun</v>
      </c>
      <c r="K1467" s="19">
        <f>IFERROR(__xludf.DUMMYFUNCTION("""COMPUTED_VALUE"""),28408.0)</f>
        <v>28408</v>
      </c>
      <c r="L1467" s="19" t="str">
        <f>IFERROR(__xludf.DUMMYFUNCTION("""COMPUTED_VALUE"""),"LAKI-LAKI")</f>
        <v>LAKI-LAKI</v>
      </c>
      <c r="M1467" s="35" t="str">
        <f>IFERROR(__xludf.DUMMYFUNCTION("""COMPUTED_VALUE"""),"JL. ADISUCIPTO GG.H.MAILAMAH NO.5")</f>
        <v>JL. ADISUCIPTO GG.H.MAILAMAH NO.5</v>
      </c>
      <c r="N1467" s="16" t="str">
        <f>IFERROR(__xludf.DUMMYFUNCTION("""COMPUTED_VALUE"""),"KEL. BANGKA BELITUNG LAUT")</f>
        <v>KEL. BANGKA BELITUNG LAUT</v>
      </c>
      <c r="O1467" s="16" t="str">
        <f>IFERROR(__xludf.DUMMYFUNCTION("""COMPUTED_VALUE"""),"KEC. PONTIANAK TENGGARA")</f>
        <v>KEC. PONTIANAK TENGGARA</v>
      </c>
      <c r="P1467" s="16" t="str">
        <f>IFERROR(__xludf.DUMMYFUNCTION("""COMPUTED_VALUE"""),"KOTA PONTIANAK")</f>
        <v>KOTA PONTIANAK</v>
      </c>
      <c r="Q1467" s="16" t="str">
        <f>IFERROR(__xludf.DUMMYFUNCTION("""COMPUTED_VALUE"""),"KALIMANTAN BARAT")</f>
        <v>KALIMANTAN BARAT</v>
      </c>
      <c r="R1467" s="19" t="str">
        <f>IFERROR(__xludf.DUMMYFUNCTION("""COMPUTED_VALUE"""),"ISLAM")</f>
        <v>ISLAM</v>
      </c>
      <c r="S1467" s="35" t="str">
        <f>IFERROR(__xludf.DUMMYFUNCTION("""COMPUTED_VALUE"""),"ASN")</f>
        <v>ASN</v>
      </c>
      <c r="T1467" s="16" t="str">
        <f>IFERROR(__xludf.DUMMYFUNCTION("""COMPUTED_VALUE"""),"Sakit pinggang")</f>
        <v>Sakit pinggang</v>
      </c>
      <c r="U1467" s="16" t="str">
        <f>IFERROR(__xludf.DUMMYFUNCTION("""COMPUTED_VALUE"""),"Olah Raga")</f>
        <v>Olah Raga</v>
      </c>
      <c r="V1467" s="11" t="str">
        <f>IFERROR(__xludf.DUMMYFUNCTION("""COMPUTED_VALUE"""),"085750027007")</f>
        <v>085750027007</v>
      </c>
      <c r="W1467" s="15"/>
    </row>
    <row r="1468" ht="22.5" customHeight="1">
      <c r="A1468" s="8"/>
      <c r="B1468" s="9">
        <f>IFERROR(__xludf.DUMMYFUNCTION("""COMPUTED_VALUE"""),45465.81334471065)</f>
        <v>45465.81334</v>
      </c>
      <c r="C1468" s="9"/>
      <c r="D1468" s="34">
        <f>IFERROR(__xludf.DUMMYFUNCTION("""COMPUTED_VALUE"""),45473.0)</f>
        <v>45473</v>
      </c>
      <c r="E1468" s="34" t="str">
        <f>IFERROR(__xludf.DUMMYFUNCTION("""COMPUTED_VALUE"""),"06Jun")</f>
        <v>06Jun</v>
      </c>
      <c r="F1468" s="34" t="str">
        <f>IFERROR(__xludf.DUMMYFUNCTION("""COMPUTED_VALUE"""),"2024")</f>
        <v>2024</v>
      </c>
      <c r="G1468" s="35" t="str">
        <f>IFERROR(__xludf.DUMMYFUNCTION("""COMPUTED_VALUE"""),"RAIHANUL ADZMAR")</f>
        <v>RAIHANUL ADZMAR</v>
      </c>
      <c r="H1468" s="17" t="str">
        <f>IFERROR(__xludf.DUMMYFUNCTION("""COMPUTED_VALUE"""),"R1224062181")</f>
        <v>R1224062181</v>
      </c>
      <c r="I1468" s="17">
        <f>IFERROR(__xludf.DUMMYFUNCTION("""COMPUTED_VALUE"""),13.0)</f>
        <v>13</v>
      </c>
      <c r="J1468" s="17" t="str">
        <f>IFERROR(__xludf.DUMMYFUNCTION("""COMPUTED_VALUE"""),"&lt; 18 tahun")</f>
        <v>&lt; 18 tahun</v>
      </c>
      <c r="K1468" s="19">
        <f>IFERROR(__xludf.DUMMYFUNCTION("""COMPUTED_VALUE"""),41245.0)</f>
        <v>41245</v>
      </c>
      <c r="L1468" s="19" t="str">
        <f>IFERROR(__xludf.DUMMYFUNCTION("""COMPUTED_VALUE"""),"LAKI-LAKI")</f>
        <v>LAKI-LAKI</v>
      </c>
      <c r="M1468" s="35" t="str">
        <f>IFERROR(__xludf.DUMMYFUNCTION("""COMPUTED_VALUE"""),"JLN. H. M. SUWIGNYO GG. SRI MULYA NO. 09")</f>
        <v>JLN. H. M. SUWIGNYO GG. SRI MULYA NO. 09</v>
      </c>
      <c r="N1468" s="16" t="str">
        <f>IFERROR(__xludf.DUMMYFUNCTION("""COMPUTED_VALUE"""),"KEL. SUNGAI JAWI")</f>
        <v>KEL. SUNGAI JAWI</v>
      </c>
      <c r="O1468" s="16" t="str">
        <f>IFERROR(__xludf.DUMMYFUNCTION("""COMPUTED_VALUE"""),"KEC. PONTIANAK KOTA")</f>
        <v>KEC. PONTIANAK KOTA</v>
      </c>
      <c r="P1468" s="16" t="str">
        <f>IFERROR(__xludf.DUMMYFUNCTION("""COMPUTED_VALUE"""),"KOTA PONTIANAK")</f>
        <v>KOTA PONTIANAK</v>
      </c>
      <c r="Q1468" s="16" t="str">
        <f>IFERROR(__xludf.DUMMYFUNCTION("""COMPUTED_VALUE"""),"KALIMANTAN BARAT")</f>
        <v>KALIMANTAN BARAT</v>
      </c>
      <c r="R1468" s="19" t="str">
        <f>IFERROR(__xludf.DUMMYFUNCTION("""COMPUTED_VALUE"""),"ISLAM")</f>
        <v>ISLAM</v>
      </c>
      <c r="S1468" s="35" t="str">
        <f>IFERROR(__xludf.DUMMYFUNCTION("""COMPUTED_VALUE"""),"PELAJAR/MAHASISWA")</f>
        <v>PELAJAR/MAHASISWA</v>
      </c>
      <c r="T1468" s="16" t="str">
        <f>IFERROR(__xludf.DUMMYFUNCTION("""COMPUTED_VALUE"""),"Gangguan Postur")</f>
        <v>Gangguan Postur</v>
      </c>
      <c r="U1468" s="16" t="str">
        <f>IFERROR(__xludf.DUMMYFUNCTION("""COMPUTED_VALUE"""),"Nonton")</f>
        <v>Nonton</v>
      </c>
      <c r="V1468" s="11" t="str">
        <f>IFERROR(__xludf.DUMMYFUNCTION("""COMPUTED_VALUE"""),"085245812181")</f>
        <v>085245812181</v>
      </c>
      <c r="W1468" s="15"/>
    </row>
    <row r="1469" ht="22.5" customHeight="1">
      <c r="A1469" s="28"/>
      <c r="B1469" s="9">
        <f>IFERROR(__xludf.DUMMYFUNCTION("""COMPUTED_VALUE"""),45465.75900643518)</f>
        <v>45465.75901</v>
      </c>
      <c r="C1469" s="9"/>
      <c r="D1469" s="34">
        <f>IFERROR(__xludf.DUMMYFUNCTION("""COMPUTED_VALUE"""),45473.0)</f>
        <v>45473</v>
      </c>
      <c r="E1469" s="34" t="str">
        <f>IFERROR(__xludf.DUMMYFUNCTION("""COMPUTED_VALUE"""),"06Jun")</f>
        <v>06Jun</v>
      </c>
      <c r="F1469" s="34" t="str">
        <f>IFERROR(__xludf.DUMMYFUNCTION("""COMPUTED_VALUE"""),"2024")</f>
        <v>2024</v>
      </c>
      <c r="G1469" s="35" t="str">
        <f>IFERROR(__xludf.DUMMYFUNCTION("""COMPUTED_VALUE"""),"INDERIYANI")</f>
        <v>INDERIYANI</v>
      </c>
      <c r="H1469" s="17" t="str">
        <f>IFERROR(__xludf.DUMMYFUNCTION("""COMPUTED_VALUE"""),"I9024065878")</f>
        <v>I9024065878</v>
      </c>
      <c r="I1469" s="17">
        <f>IFERROR(__xludf.DUMMYFUNCTION("""COMPUTED_VALUE"""),35.0)</f>
        <v>35</v>
      </c>
      <c r="J1469" s="17" t="str">
        <f>IFERROR(__xludf.DUMMYFUNCTION("""COMPUTED_VALUE"""),"35-44 tahun")</f>
        <v>35-44 tahun</v>
      </c>
      <c r="K1469" s="19">
        <f>IFERROR(__xludf.DUMMYFUNCTION("""COMPUTED_VALUE"""),33063.0)</f>
        <v>33063</v>
      </c>
      <c r="L1469" s="19" t="str">
        <f>IFERROR(__xludf.DUMMYFUNCTION("""COMPUTED_VALUE"""),"PEREMPUAN")</f>
        <v>PEREMPUAN</v>
      </c>
      <c r="M1469" s="35" t="str">
        <f>IFERROR(__xludf.DUMMYFUNCTION("""COMPUTED_VALUE"""),"JL. DARENANDONG VILLA RIA INDAH C 1")</f>
        <v>JL. DARENANDONG VILLA RIA INDAH C 1</v>
      </c>
      <c r="N1469" s="16" t="str">
        <f>IFERROR(__xludf.DUMMYFUNCTION("""COMPUTED_VALUE"""),"KEL. TANJUNG HULU")</f>
        <v>KEL. TANJUNG HULU</v>
      </c>
      <c r="O1469" s="16" t="str">
        <f>IFERROR(__xludf.DUMMYFUNCTION("""COMPUTED_VALUE"""),"KEC. PONTIANAK TIMUR")</f>
        <v>KEC. PONTIANAK TIMUR</v>
      </c>
      <c r="P1469" s="16" t="str">
        <f>IFERROR(__xludf.DUMMYFUNCTION("""COMPUTED_VALUE"""),"KOTA PONTIANAK")</f>
        <v>KOTA PONTIANAK</v>
      </c>
      <c r="Q1469" s="16" t="str">
        <f>IFERROR(__xludf.DUMMYFUNCTION("""COMPUTED_VALUE"""),"KALIMANTAN BARAT")</f>
        <v>KALIMANTAN BARAT</v>
      </c>
      <c r="R1469" s="19" t="str">
        <f>IFERROR(__xludf.DUMMYFUNCTION("""COMPUTED_VALUE"""),"ISLAM")</f>
        <v>ISLAM</v>
      </c>
      <c r="S1469" s="35" t="str">
        <f>IFERROR(__xludf.DUMMYFUNCTION("""COMPUTED_VALUE"""),"DOSEN/GURU")</f>
        <v>DOSEN/GURU</v>
      </c>
      <c r="T1469" s="16" t="str">
        <f>IFERROR(__xludf.DUMMYFUNCTION("""COMPUTED_VALUE"""),"Nyeri pada kaki sehingga terasa mengganggu")</f>
        <v>Nyeri pada kaki sehingga terasa mengganggu</v>
      </c>
      <c r="U1469" s="16" t="str">
        <f>IFERROR(__xludf.DUMMYFUNCTION("""COMPUTED_VALUE"""),"Hobi kuliner / aktivitas mengajar")</f>
        <v>Hobi kuliner / aktivitas mengajar</v>
      </c>
      <c r="V1469" s="11" t="str">
        <f>IFERROR(__xludf.DUMMYFUNCTION("""COMPUTED_VALUE"""),"081258125878")</f>
        <v>081258125878</v>
      </c>
      <c r="W1469" s="15"/>
    </row>
    <row r="1470" ht="22.5" customHeight="1">
      <c r="A1470" s="8"/>
      <c r="B1470" s="9">
        <f>IFERROR(__xludf.DUMMYFUNCTION("""COMPUTED_VALUE"""),45465.856471666666)</f>
        <v>45465.85647</v>
      </c>
      <c r="C1470" s="9"/>
      <c r="D1470" s="34">
        <f>IFERROR(__xludf.DUMMYFUNCTION("""COMPUTED_VALUE"""),45473.0)</f>
        <v>45473</v>
      </c>
      <c r="E1470" s="34" t="str">
        <f>IFERROR(__xludf.DUMMYFUNCTION("""COMPUTED_VALUE"""),"06Jun")</f>
        <v>06Jun</v>
      </c>
      <c r="F1470" s="34" t="str">
        <f>IFERROR(__xludf.DUMMYFUNCTION("""COMPUTED_VALUE"""),"2024")</f>
        <v>2024</v>
      </c>
      <c r="G1470" s="35" t="str">
        <f>IFERROR(__xludf.DUMMYFUNCTION("""COMPUTED_VALUE"""),"SUNARTO 7002")</f>
        <v>SUNARTO 7002</v>
      </c>
      <c r="H1470" s="17" t="str">
        <f>IFERROR(__xludf.DUMMYFUNCTION("""COMPUTED_VALUE"""),"S7024068300")</f>
        <v>S7024068300</v>
      </c>
      <c r="I1470" s="17">
        <f>IFERROR(__xludf.DUMMYFUNCTION("""COMPUTED_VALUE"""),56.0)</f>
        <v>56</v>
      </c>
      <c r="J1470" s="17" t="str">
        <f>IFERROR(__xludf.DUMMYFUNCTION("""COMPUTED_VALUE"""),"&gt; 44 tahun")</f>
        <v>&gt; 44 tahun</v>
      </c>
      <c r="K1470" s="19">
        <f>IFERROR(__xludf.DUMMYFUNCTION("""COMPUTED_VALUE"""),25609.0)</f>
        <v>25609</v>
      </c>
      <c r="L1470" s="19" t="str">
        <f>IFERROR(__xludf.DUMMYFUNCTION("""COMPUTED_VALUE"""),"LAKI-LAKI")</f>
        <v>LAKI-LAKI</v>
      </c>
      <c r="M1470" s="35" t="str">
        <f>IFERROR(__xludf.DUMMYFUNCTION("""COMPUTED_VALUE"""),"JL.YAM SABRAN KOMP VILLA RIA INDAH BLOK S NO.04")</f>
        <v>JL.YAM SABRAN KOMP VILLA RIA INDAH BLOK S NO.04</v>
      </c>
      <c r="N1470" s="16" t="str">
        <f>IFERROR(__xludf.DUMMYFUNCTION("""COMPUTED_VALUE"""),"KEL. TANJUNG HULU")</f>
        <v>KEL. TANJUNG HULU</v>
      </c>
      <c r="O1470" s="16" t="str">
        <f>IFERROR(__xludf.DUMMYFUNCTION("""COMPUTED_VALUE"""),"KEC. PONTIANAK TIMUR")</f>
        <v>KEC. PONTIANAK TIMUR</v>
      </c>
      <c r="P1470" s="16" t="str">
        <f>IFERROR(__xludf.DUMMYFUNCTION("""COMPUTED_VALUE"""),"KOTA PONTIANAK")</f>
        <v>KOTA PONTIANAK</v>
      </c>
      <c r="Q1470" s="16" t="str">
        <f>IFERROR(__xludf.DUMMYFUNCTION("""COMPUTED_VALUE"""),"KALIMANTAN BARAT")</f>
        <v>KALIMANTAN BARAT</v>
      </c>
      <c r="R1470" s="19" t="str">
        <f>IFERROR(__xludf.DUMMYFUNCTION("""COMPUTED_VALUE"""),"ISLAM")</f>
        <v>ISLAM</v>
      </c>
      <c r="S1470" s="35" t="str">
        <f>IFERROR(__xludf.DUMMYFUNCTION("""COMPUTED_VALUE"""),"WIRASWASTA")</f>
        <v>WIRASWASTA</v>
      </c>
      <c r="T1470" s="16" t="str">
        <f>IFERROR(__xludf.DUMMYFUNCTION("""COMPUTED_VALUE"""),"-")</f>
        <v>-</v>
      </c>
      <c r="U1470" s="16" t="str">
        <f>IFERROR(__xludf.DUMMYFUNCTION("""COMPUTED_VALUE"""),"Supir Ekspedisi")</f>
        <v>Supir Ekspedisi</v>
      </c>
      <c r="V1470" s="11" t="str">
        <f>IFERROR(__xludf.DUMMYFUNCTION("""COMPUTED_VALUE"""),"081520928300")</f>
        <v>081520928300</v>
      </c>
      <c r="W1470" s="15"/>
    </row>
    <row r="1471" ht="22.5" customHeight="1">
      <c r="A1471" s="28"/>
      <c r="B1471" s="9">
        <f>IFERROR(__xludf.DUMMYFUNCTION("""COMPUTED_VALUE"""),45466.386528229166)</f>
        <v>45466.38653</v>
      </c>
      <c r="C1471" s="9"/>
      <c r="D1471" s="34">
        <f>IFERROR(__xludf.DUMMYFUNCTION("""COMPUTED_VALUE"""),45473.0)</f>
        <v>45473</v>
      </c>
      <c r="E1471" s="34" t="str">
        <f>IFERROR(__xludf.DUMMYFUNCTION("""COMPUTED_VALUE"""),"06Jun")</f>
        <v>06Jun</v>
      </c>
      <c r="F1471" s="34" t="str">
        <f>IFERROR(__xludf.DUMMYFUNCTION("""COMPUTED_VALUE"""),"2024")</f>
        <v>2024</v>
      </c>
      <c r="G1471" s="35" t="str">
        <f>IFERROR(__xludf.DUMMYFUNCTION("""COMPUTED_VALUE"""),"AHID ABDULLAH")</f>
        <v>AHID ABDULLAH</v>
      </c>
      <c r="H1471" s="17" t="str">
        <f>IFERROR(__xludf.DUMMYFUNCTION("""COMPUTED_VALUE"""),"A9024063847")</f>
        <v>A9024063847</v>
      </c>
      <c r="I1471" s="17">
        <f>IFERROR(__xludf.DUMMYFUNCTION("""COMPUTED_VALUE"""),35.0)</f>
        <v>35</v>
      </c>
      <c r="J1471" s="17" t="str">
        <f>IFERROR(__xludf.DUMMYFUNCTION("""COMPUTED_VALUE"""),"35-44 tahun")</f>
        <v>35-44 tahun</v>
      </c>
      <c r="K1471" s="19">
        <f>IFERROR(__xludf.DUMMYFUNCTION("""COMPUTED_VALUE"""),33192.0)</f>
        <v>33192</v>
      </c>
      <c r="L1471" s="19" t="str">
        <f>IFERROR(__xludf.DUMMYFUNCTION("""COMPUTED_VALUE"""),"LAKI-LAKI")</f>
        <v>LAKI-LAKI</v>
      </c>
      <c r="M1471" s="35" t="str">
        <f>IFERROR(__xludf.DUMMYFUNCTION("""COMPUTED_VALUE"""),"SEMBEGO RT 13/RW 38")</f>
        <v>SEMBEGO RT 13/RW 38</v>
      </c>
      <c r="N1471" s="16" t="str">
        <f>IFERROR(__xludf.DUMMYFUNCTION("""COMPUTED_VALUE"""),"KEL. MAGUWOHARJO")</f>
        <v>KEL. MAGUWOHARJO</v>
      </c>
      <c r="O1471" s="16" t="str">
        <f>IFERROR(__xludf.DUMMYFUNCTION("""COMPUTED_VALUE"""),"KEC. DEPOK")</f>
        <v>KEC. DEPOK</v>
      </c>
      <c r="P1471" s="16" t="str">
        <f>IFERROR(__xludf.DUMMYFUNCTION("""COMPUTED_VALUE"""),"KAB. SELEMAN")</f>
        <v>KAB. SELEMAN</v>
      </c>
      <c r="Q1471" s="16" t="str">
        <f>IFERROR(__xludf.DUMMYFUNCTION("""COMPUTED_VALUE"""),"DIY")</f>
        <v>DIY</v>
      </c>
      <c r="R1471" s="19" t="str">
        <f>IFERROR(__xludf.DUMMYFUNCTION("""COMPUTED_VALUE"""),"ISLAM")</f>
        <v>ISLAM</v>
      </c>
      <c r="S1471" s="16" t="str">
        <f>IFERROR(__xludf.DUMMYFUNCTION("""COMPUTED_VALUE"""),"ASN")</f>
        <v>ASN</v>
      </c>
      <c r="T1471" s="16" t="str">
        <f>IFERROR(__xludf.DUMMYFUNCTION("""COMPUTED_VALUE"""),"Otot ketarik di pangkal paha kanan")</f>
        <v>Otot ketarik di pangkal paha kanan</v>
      </c>
      <c r="U1471" s="16" t="str">
        <f>IFERROR(__xludf.DUMMYFUNCTION("""COMPUTED_VALUE"""),"Sepak bola")</f>
        <v>Sepak bola</v>
      </c>
      <c r="V1471" s="11" t="str">
        <f>IFERROR(__xludf.DUMMYFUNCTION("""COMPUTED_VALUE"""),"087839693847")</f>
        <v>087839693847</v>
      </c>
      <c r="W1471" s="15"/>
    </row>
    <row r="1472" ht="22.5" customHeight="1">
      <c r="A1472" s="8"/>
      <c r="B1472" s="9">
        <f>IFERROR(__xludf.DUMMYFUNCTION("""COMPUTED_VALUE"""),45466.42365387731)</f>
        <v>45466.42365</v>
      </c>
      <c r="C1472" s="9"/>
      <c r="D1472" s="34">
        <f>IFERROR(__xludf.DUMMYFUNCTION("""COMPUTED_VALUE"""),45473.0)</f>
        <v>45473</v>
      </c>
      <c r="E1472" s="34" t="str">
        <f>IFERROR(__xludf.DUMMYFUNCTION("""COMPUTED_VALUE"""),"06Jun")</f>
        <v>06Jun</v>
      </c>
      <c r="F1472" s="34" t="str">
        <f>IFERROR(__xludf.DUMMYFUNCTION("""COMPUTED_VALUE"""),"2024")</f>
        <v>2024</v>
      </c>
      <c r="G1472" s="35" t="str">
        <f>IFERROR(__xludf.DUMMYFUNCTION("""COMPUTED_VALUE"""),"JEKI")</f>
        <v>JEKI</v>
      </c>
      <c r="H1472" s="17" t="str">
        <f>IFERROR(__xludf.DUMMYFUNCTION("""COMPUTED_VALUE"""),"J9424064848")</f>
        <v>J9424064848</v>
      </c>
      <c r="I1472" s="17">
        <f>IFERROR(__xludf.DUMMYFUNCTION("""COMPUTED_VALUE"""),31.0)</f>
        <v>31</v>
      </c>
      <c r="J1472" s="17" t="str">
        <f>IFERROR(__xludf.DUMMYFUNCTION("""COMPUTED_VALUE"""),"25-34 tahun")</f>
        <v>25-34 tahun</v>
      </c>
      <c r="K1472" s="19">
        <f>IFERROR(__xludf.DUMMYFUNCTION("""COMPUTED_VALUE"""),34667.0)</f>
        <v>34667</v>
      </c>
      <c r="L1472" s="19" t="str">
        <f>IFERROR(__xludf.DUMMYFUNCTION("""COMPUTED_VALUE"""),"LAKI-LAKI")</f>
        <v>LAKI-LAKI</v>
      </c>
      <c r="M1472" s="35" t="str">
        <f>IFERROR(__xludf.DUMMYFUNCTION("""COMPUTED_VALUE"""),"KABUPATEN MELAWI")</f>
        <v>KABUPATEN MELAWI</v>
      </c>
      <c r="N1472" s="16" t="str">
        <f>IFERROR(__xludf.DUMMYFUNCTION("""COMPUTED_VALUE"""),"DS. NANGA KEBERAK")</f>
        <v>DS. NANGA KEBERAK</v>
      </c>
      <c r="O1472" s="16" t="str">
        <f>IFERROR(__xludf.DUMMYFUNCTION("""COMPUTED_VALUE"""),"KEC. BELIMBING HULU")</f>
        <v>KEC. BELIMBING HULU</v>
      </c>
      <c r="P1472" s="16" t="str">
        <f>IFERROR(__xludf.DUMMYFUNCTION("""COMPUTED_VALUE"""),"KAB. MELAWI")</f>
        <v>KAB. MELAWI</v>
      </c>
      <c r="Q1472" s="16" t="str">
        <f>IFERROR(__xludf.DUMMYFUNCTION("""COMPUTED_VALUE"""),"KALIMANTAN BARAT")</f>
        <v>KALIMANTAN BARAT</v>
      </c>
      <c r="R1472" s="19" t="str">
        <f>IFERROR(__xludf.DUMMYFUNCTION("""COMPUTED_VALUE"""),"ISLAM")</f>
        <v>ISLAM</v>
      </c>
      <c r="S1472" s="16" t="str">
        <f>IFERROR(__xludf.DUMMYFUNCTION("""COMPUTED_VALUE"""),"BUMN")</f>
        <v>BUMN</v>
      </c>
      <c r="T1472" s="16" t="str">
        <f>IFERROR(__xludf.DUMMYFUNCTION("""COMPUTED_VALUE"""),"Cidera")</f>
        <v>Cidera</v>
      </c>
      <c r="U1472" s="16" t="str">
        <f>IFERROR(__xludf.DUMMYFUNCTION("""COMPUTED_VALUE"""),"Main boma")</f>
        <v>Main boma</v>
      </c>
      <c r="V1472" s="11" t="str">
        <f>IFERROR(__xludf.DUMMYFUNCTION("""COMPUTED_VALUE"""),"081350024848")</f>
        <v>081350024848</v>
      </c>
      <c r="W1472" s="15"/>
    </row>
    <row r="1473" ht="22.5" customHeight="1">
      <c r="A1473" s="8"/>
      <c r="B1473" s="9">
        <f>IFERROR(__xludf.DUMMYFUNCTION("""COMPUTED_VALUE"""),45466.45816792824)</f>
        <v>45466.45817</v>
      </c>
      <c r="C1473" s="9"/>
      <c r="D1473" s="10">
        <f>IFERROR(__xludf.DUMMYFUNCTION("""COMPUTED_VALUE"""),45473.0)</f>
        <v>45473</v>
      </c>
      <c r="E1473" s="10" t="str">
        <f>IFERROR(__xludf.DUMMYFUNCTION("""COMPUTED_VALUE"""),"06Jun")</f>
        <v>06Jun</v>
      </c>
      <c r="F1473" s="10" t="str">
        <f>IFERROR(__xludf.DUMMYFUNCTION("""COMPUTED_VALUE"""),"2024")</f>
        <v>2024</v>
      </c>
      <c r="G1473" s="35" t="str">
        <f>IFERROR(__xludf.DUMMYFUNCTION("""COMPUTED_VALUE"""),"HANSEN GUNAWAN")</f>
        <v>HANSEN GUNAWAN</v>
      </c>
      <c r="H1473" s="17" t="str">
        <f>IFERROR(__xludf.DUMMYFUNCTION("""COMPUTED_VALUE"""),"H9924069973")</f>
        <v>H9924069973</v>
      </c>
      <c r="I1473" s="17">
        <f>IFERROR(__xludf.DUMMYFUNCTION("""COMPUTED_VALUE"""),26.0)</f>
        <v>26</v>
      </c>
      <c r="J1473" s="17" t="str">
        <f>IFERROR(__xludf.DUMMYFUNCTION("""COMPUTED_VALUE"""),"25-34 tahun")</f>
        <v>25-34 tahun</v>
      </c>
      <c r="K1473" s="19">
        <f>IFERROR(__xludf.DUMMYFUNCTION("""COMPUTED_VALUE"""),36433.0)</f>
        <v>36433</v>
      </c>
      <c r="L1473" s="19" t="str">
        <f>IFERROR(__xludf.DUMMYFUNCTION("""COMPUTED_VALUE"""),"LAKI-LAKI")</f>
        <v>LAKI-LAKI</v>
      </c>
      <c r="M1473" s="35" t="str">
        <f>IFERROR(__xludf.DUMMYFUNCTION("""COMPUTED_VALUE"""),"JL HAJI ABBAS GG KELANTAN 1 NO 23A")</f>
        <v>JL HAJI ABBAS GG KELANTAN 1 NO 23A</v>
      </c>
      <c r="N1473" s="16" t="str">
        <f>IFERROR(__xludf.DUMMYFUNCTION("""COMPUTED_VALUE"""),"KEL. BENUA MELAYU DARAT")</f>
        <v>KEL. BENUA MELAYU DARAT</v>
      </c>
      <c r="O1473" s="16" t="str">
        <f>IFERROR(__xludf.DUMMYFUNCTION("""COMPUTED_VALUE"""),"KEC. PONTIANAK SELATAN")</f>
        <v>KEC. PONTIANAK SELATAN</v>
      </c>
      <c r="P1473" s="16" t="str">
        <f>IFERROR(__xludf.DUMMYFUNCTION("""COMPUTED_VALUE"""),"KOTA PONTIANAK")</f>
        <v>KOTA PONTIANAK</v>
      </c>
      <c r="Q1473" s="16" t="str">
        <f>IFERROR(__xludf.DUMMYFUNCTION("""COMPUTED_VALUE"""),"KALIMANTAN BARAT")</f>
        <v>KALIMANTAN BARAT</v>
      </c>
      <c r="R1473" s="19" t="str">
        <f>IFERROR(__xludf.DUMMYFUNCTION("""COMPUTED_VALUE"""),"KHONGHUCU")</f>
        <v>KHONGHUCU</v>
      </c>
      <c r="S1473" s="16" t="str">
        <f>IFERROR(__xludf.DUMMYFUNCTION("""COMPUTED_VALUE"""),"WIRASWASTA")</f>
        <v>WIRASWASTA</v>
      </c>
      <c r="T1473" s="16" t="str">
        <f>IFERROR(__xludf.DUMMYFUNCTION("""COMPUTED_VALUE"""),"Pergelangan tangan sakit")</f>
        <v>Pergelangan tangan sakit</v>
      </c>
      <c r="U1473" s="16" t="str">
        <f>IFERROR(__xludf.DUMMYFUNCTION("""COMPUTED_VALUE"""),"Tidak ada hobi")</f>
        <v>Tidak ada hobi</v>
      </c>
      <c r="V1473" s="11" t="str">
        <f>IFERROR(__xludf.DUMMYFUNCTION("""COMPUTED_VALUE"""),"082154389973")</f>
        <v>082154389973</v>
      </c>
      <c r="W1473" s="15"/>
    </row>
    <row r="1474" ht="22.5" customHeight="1">
      <c r="A1474" s="8"/>
      <c r="B1474" s="9">
        <f>IFERROR(__xludf.DUMMYFUNCTION("""COMPUTED_VALUE"""),45466.533841157405)</f>
        <v>45466.53384</v>
      </c>
      <c r="C1474" s="9"/>
      <c r="D1474" s="34">
        <f>IFERROR(__xludf.DUMMYFUNCTION("""COMPUTED_VALUE"""),45474.0)</f>
        <v>45474</v>
      </c>
      <c r="E1474" s="34" t="str">
        <f>IFERROR(__xludf.DUMMYFUNCTION("""COMPUTED_VALUE"""),"07Jul")</f>
        <v>07Jul</v>
      </c>
      <c r="F1474" s="34" t="str">
        <f>IFERROR(__xludf.DUMMYFUNCTION("""COMPUTED_VALUE"""),"2024")</f>
        <v>2024</v>
      </c>
      <c r="G1474" s="35" t="str">
        <f>IFERROR(__xludf.DUMMYFUNCTION("""COMPUTED_VALUE"""),"PRISCA LIANTY NUR ZULAIKHA")</f>
        <v>PRISCA LIANTY NUR ZULAIKHA</v>
      </c>
      <c r="H1474" s="17" t="str">
        <f>IFERROR(__xludf.DUMMYFUNCTION("""COMPUTED_VALUE"""),"P0724071001")</f>
        <v>P0724071001</v>
      </c>
      <c r="I1474" s="17">
        <f>IFERROR(__xludf.DUMMYFUNCTION("""COMPUTED_VALUE"""),18.0)</f>
        <v>18</v>
      </c>
      <c r="J1474" s="17" t="str">
        <f>IFERROR(__xludf.DUMMYFUNCTION("""COMPUTED_VALUE"""),"&lt; 18 tahun")</f>
        <v>&lt; 18 tahun</v>
      </c>
      <c r="K1474" s="19">
        <f>IFERROR(__xludf.DUMMYFUNCTION("""COMPUTED_VALUE"""),39275.0)</f>
        <v>39275</v>
      </c>
      <c r="L1474" s="19" t="str">
        <f>IFERROR(__xludf.DUMMYFUNCTION("""COMPUTED_VALUE"""),"PEREMPUAN")</f>
        <v>PEREMPUAN</v>
      </c>
      <c r="M1474" s="35" t="str">
        <f>IFERROR(__xludf.DUMMYFUNCTION("""COMPUTED_VALUE"""),"RT 10 RW 003")</f>
        <v>RT 10 RW 003</v>
      </c>
      <c r="N1474" s="16" t="str">
        <f>IFERROR(__xludf.DUMMYFUNCTION("""COMPUTED_VALUE"""),"DS. MELIAU HILIR")</f>
        <v>DS. MELIAU HILIR</v>
      </c>
      <c r="O1474" s="16" t="str">
        <f>IFERROR(__xludf.DUMMYFUNCTION("""COMPUTED_VALUE"""),"KEC. MELIAU")</f>
        <v>KEC. MELIAU</v>
      </c>
      <c r="P1474" s="16" t="str">
        <f>IFERROR(__xludf.DUMMYFUNCTION("""COMPUTED_VALUE"""),"KAB. SANGGAU")</f>
        <v>KAB. SANGGAU</v>
      </c>
      <c r="Q1474" s="16" t="str">
        <f>IFERROR(__xludf.DUMMYFUNCTION("""COMPUTED_VALUE"""),"KALIMANTAN BARAT")</f>
        <v>KALIMANTAN BARAT</v>
      </c>
      <c r="R1474" s="19" t="str">
        <f>IFERROR(__xludf.DUMMYFUNCTION("""COMPUTED_VALUE"""),"ISLAM")</f>
        <v>ISLAM</v>
      </c>
      <c r="S1474" s="16" t="str">
        <f>IFERROR(__xludf.DUMMYFUNCTION("""COMPUTED_VALUE"""),"PELAJAR/MAHASISWA")</f>
        <v>PELAJAR/MAHASISWA</v>
      </c>
      <c r="T1474" s="16" t="str">
        <f>IFERROR(__xludf.DUMMYFUNCTION("""COMPUTED_VALUE"""),"Kaki bebek / flat foot")</f>
        <v>Kaki bebek / flat foot</v>
      </c>
      <c r="U1474" s="16" t="str">
        <f>IFERROR(__xludf.DUMMYFUNCTION("""COMPUTED_VALUE"""),"Berenang")</f>
        <v>Berenang</v>
      </c>
      <c r="V1474" s="11" t="str">
        <f>IFERROR(__xludf.DUMMYFUNCTION("""COMPUTED_VALUE"""),"085348991001")</f>
        <v>085348991001</v>
      </c>
      <c r="W1474" s="15"/>
    </row>
    <row r="1475" ht="22.5" customHeight="1">
      <c r="A1475" s="43"/>
      <c r="B1475" s="24">
        <f>IFERROR(__xludf.DUMMYFUNCTION("""COMPUTED_VALUE"""),45466.67341101852)</f>
        <v>45466.67341</v>
      </c>
      <c r="C1475" s="24"/>
      <c r="D1475" s="34">
        <f>IFERROR(__xludf.DUMMYFUNCTION("""COMPUTED_VALUE"""),45474.0)</f>
        <v>45474</v>
      </c>
      <c r="E1475" s="34" t="str">
        <f>IFERROR(__xludf.DUMMYFUNCTION("""COMPUTED_VALUE"""),"07Jul")</f>
        <v>07Jul</v>
      </c>
      <c r="F1475" s="34" t="str">
        <f>IFERROR(__xludf.DUMMYFUNCTION("""COMPUTED_VALUE"""),"2024")</f>
        <v>2024</v>
      </c>
      <c r="G1475" s="35" t="str">
        <f>IFERROR(__xludf.DUMMYFUNCTION("""COMPUTED_VALUE"""),"JONATAN SATRIA ANGGARA HUTAPEA")</f>
        <v>JONATAN SATRIA ANGGARA HUTAPEA</v>
      </c>
      <c r="H1475" s="17" t="str">
        <f>IFERROR(__xludf.DUMMYFUNCTION("""COMPUTED_VALUE"""),"J0724079044")</f>
        <v>J0724079044</v>
      </c>
      <c r="I1475" s="17">
        <f>IFERROR(__xludf.DUMMYFUNCTION("""COMPUTED_VALUE"""),19.0)</f>
        <v>19</v>
      </c>
      <c r="J1475" s="17" t="str">
        <f>IFERROR(__xludf.DUMMYFUNCTION("""COMPUTED_VALUE"""),"18-24 tahun")</f>
        <v>18-24 tahun</v>
      </c>
      <c r="K1475" s="19">
        <f>IFERROR(__xludf.DUMMYFUNCTION("""COMPUTED_VALUE"""),39160.0)</f>
        <v>39160</v>
      </c>
      <c r="L1475" s="19" t="str">
        <f>IFERROR(__xludf.DUMMYFUNCTION("""COMPUTED_VALUE"""),"LAKI-LAKI")</f>
        <v>LAKI-LAKI</v>
      </c>
      <c r="M1475" s="35" t="str">
        <f>IFERROR(__xludf.DUMMYFUNCTION("""COMPUTED_VALUE"""),"JL. PURNAMA LL GG. EKLESIA NO. 9")</f>
        <v>JL. PURNAMA LL GG. EKLESIA NO. 9</v>
      </c>
      <c r="N1475" s="16" t="str">
        <f>IFERROR(__xludf.DUMMYFUNCTION("""COMPUTED_VALUE"""),"KEL. KOTA BARU")</f>
        <v>KEL. KOTA BARU</v>
      </c>
      <c r="O1475" s="16" t="str">
        <f>IFERROR(__xludf.DUMMYFUNCTION("""COMPUTED_VALUE"""),"KEC. PONTIANAK SELATAN")</f>
        <v>KEC. PONTIANAK SELATAN</v>
      </c>
      <c r="P1475" s="16" t="str">
        <f>IFERROR(__xludf.DUMMYFUNCTION("""COMPUTED_VALUE"""),"KOTA PONTIANAK")</f>
        <v>KOTA PONTIANAK</v>
      </c>
      <c r="Q1475" s="16" t="str">
        <f>IFERROR(__xludf.DUMMYFUNCTION("""COMPUTED_VALUE"""),"KALIMANTAN BARAT")</f>
        <v>KALIMANTAN BARAT</v>
      </c>
      <c r="R1475" s="19" t="str">
        <f>IFERROR(__xludf.DUMMYFUNCTION("""COMPUTED_VALUE"""),"PROTESTAN")</f>
        <v>PROTESTAN</v>
      </c>
      <c r="S1475" s="16" t="str">
        <f>IFERROR(__xludf.DUMMYFUNCTION("""COMPUTED_VALUE"""),"PELAJAR/MAHASISWA")</f>
        <v>PELAJAR/MAHASISWA</v>
      </c>
      <c r="T1475" s="16" t="str">
        <f>IFERROR(__xludf.DUMMYFUNCTION("""COMPUTED_VALUE"""),"Postur dan flat foot")</f>
        <v>Postur dan flat foot</v>
      </c>
      <c r="U1475" s="16" t="str">
        <f>IFERROR(__xludf.DUMMYFUNCTION("""COMPUTED_VALUE"""),"Olahraga")</f>
        <v>Olahraga</v>
      </c>
      <c r="V1475" s="11" t="str">
        <f>IFERROR(__xludf.DUMMYFUNCTION("""COMPUTED_VALUE"""),"089636149044")</f>
        <v>089636149044</v>
      </c>
      <c r="W1475" s="15"/>
    </row>
    <row r="1476" ht="22.5" customHeight="1">
      <c r="A1476" s="8"/>
      <c r="B1476" s="9">
        <f>IFERROR(__xludf.DUMMYFUNCTION("""COMPUTED_VALUE"""),45467.406851736116)</f>
        <v>45467.40685</v>
      </c>
      <c r="C1476" s="9"/>
      <c r="D1476" s="34">
        <f>IFERROR(__xludf.DUMMYFUNCTION("""COMPUTED_VALUE"""),45474.0)</f>
        <v>45474</v>
      </c>
      <c r="E1476" s="34" t="str">
        <f>IFERROR(__xludf.DUMMYFUNCTION("""COMPUTED_VALUE"""),"07Jul")</f>
        <v>07Jul</v>
      </c>
      <c r="F1476" s="34" t="str">
        <f>IFERROR(__xludf.DUMMYFUNCTION("""COMPUTED_VALUE"""),"2024")</f>
        <v>2024</v>
      </c>
      <c r="G1476" s="35" t="str">
        <f>IFERROR(__xludf.DUMMYFUNCTION("""COMPUTED_VALUE"""),"CLAUDYA YUNI")</f>
        <v>CLAUDYA YUNI</v>
      </c>
      <c r="H1476" s="17" t="str">
        <f>IFERROR(__xludf.DUMMYFUNCTION("""COMPUTED_VALUE"""),"C9824078383")</f>
        <v>C9824078383</v>
      </c>
      <c r="I1476" s="17">
        <f>IFERROR(__xludf.DUMMYFUNCTION("""COMPUTED_VALUE"""),28.0)</f>
        <v>28</v>
      </c>
      <c r="J1476" s="17" t="str">
        <f>IFERROR(__xludf.DUMMYFUNCTION("""COMPUTED_VALUE"""),"25-34 tahun")</f>
        <v>25-34 tahun</v>
      </c>
      <c r="K1476" s="19">
        <f>IFERROR(__xludf.DUMMYFUNCTION("""COMPUTED_VALUE"""),35953.0)</f>
        <v>35953</v>
      </c>
      <c r="L1476" s="19" t="str">
        <f>IFERROR(__xludf.DUMMYFUNCTION("""COMPUTED_VALUE"""),"PEREMPUAN")</f>
        <v>PEREMPUAN</v>
      </c>
      <c r="M1476" s="35" t="str">
        <f>IFERROR(__xludf.DUMMYFUNCTION("""COMPUTED_VALUE"""),"DESA BINJAI")</f>
        <v>DESA BINJAI</v>
      </c>
      <c r="N1476" s="16" t="str">
        <f>IFERROR(__xludf.DUMMYFUNCTION("""COMPUTED_VALUE"""),"DS. BINJAI")</f>
        <v>DS. BINJAI</v>
      </c>
      <c r="O1476" s="16" t="str">
        <f>IFERROR(__xludf.DUMMYFUNCTION("""COMPUTED_VALUE"""),"KEC. TAYAN HULU")</f>
        <v>KEC. TAYAN HULU</v>
      </c>
      <c r="P1476" s="16" t="str">
        <f>IFERROR(__xludf.DUMMYFUNCTION("""COMPUTED_VALUE"""),"KAB. SANGGAU")</f>
        <v>KAB. SANGGAU</v>
      </c>
      <c r="Q1476" s="35" t="str">
        <f>IFERROR(__xludf.DUMMYFUNCTION("""COMPUTED_VALUE"""),"KALIMANTAN BARAT")</f>
        <v>KALIMANTAN BARAT</v>
      </c>
      <c r="R1476" s="19" t="str">
        <f>IFERROR(__xludf.DUMMYFUNCTION("""COMPUTED_VALUE"""),"KATOLIK")</f>
        <v>KATOLIK</v>
      </c>
      <c r="S1476" s="16" t="str">
        <f>IFERROR(__xludf.DUMMYFUNCTION("""COMPUTED_VALUE"""),"SWASTA")</f>
        <v>SWASTA</v>
      </c>
      <c r="T1476" s="16" t="str">
        <f>IFERROR(__xludf.DUMMYFUNCTION("""COMPUTED_VALUE"""),"Sakit bagian pinggang sampai ke bahu dan dada")</f>
        <v>Sakit bagian pinggang sampai ke bahu dan dada</v>
      </c>
      <c r="U1476" s="16" t="str">
        <f>IFERROR(__xludf.DUMMYFUNCTION("""COMPUTED_VALUE"""),"Olahraga lari dan angkat beban ringan di bawah 5kilo")</f>
        <v>Olahraga lari dan angkat beban ringan di bawah 5kilo</v>
      </c>
      <c r="V1476" s="11" t="str">
        <f>IFERROR(__xludf.DUMMYFUNCTION("""COMPUTED_VALUE"""),"081346678383")</f>
        <v>081346678383</v>
      </c>
      <c r="W1476" s="15"/>
    </row>
    <row r="1477" ht="22.5" customHeight="1">
      <c r="A1477" s="8"/>
      <c r="B1477" s="9">
        <f>IFERROR(__xludf.DUMMYFUNCTION("""COMPUTED_VALUE"""),45467.42663930556)</f>
        <v>45467.42664</v>
      </c>
      <c r="C1477" s="9"/>
      <c r="D1477" s="34">
        <f>IFERROR(__xludf.DUMMYFUNCTION("""COMPUTED_VALUE"""),45477.0)</f>
        <v>45477</v>
      </c>
      <c r="E1477" s="34" t="str">
        <f>IFERROR(__xludf.DUMMYFUNCTION("""COMPUTED_VALUE"""),"07Jul")</f>
        <v>07Jul</v>
      </c>
      <c r="F1477" s="34" t="str">
        <f>IFERROR(__xludf.DUMMYFUNCTION("""COMPUTED_VALUE"""),"2024")</f>
        <v>2024</v>
      </c>
      <c r="G1477" s="35" t="str">
        <f>IFERROR(__xludf.DUMMYFUNCTION("""COMPUTED_VALUE"""),"MARDIAH ANUR, B.SC")</f>
        <v>MARDIAH ANUR, B.SC</v>
      </c>
      <c r="H1477" s="17" t="str">
        <f>IFERROR(__xludf.DUMMYFUNCTION("""COMPUTED_VALUE"""),"M6424070261")</f>
        <v>M6424070261</v>
      </c>
      <c r="I1477" s="17">
        <f>IFERROR(__xludf.DUMMYFUNCTION("""COMPUTED_VALUE"""),62.0)</f>
        <v>62</v>
      </c>
      <c r="J1477" s="17" t="str">
        <f>IFERROR(__xludf.DUMMYFUNCTION("""COMPUTED_VALUE"""),"&gt; 44 tahun")</f>
        <v>&gt; 44 tahun</v>
      </c>
      <c r="K1477" s="19">
        <f>IFERROR(__xludf.DUMMYFUNCTION("""COMPUTED_VALUE"""),23461.0)</f>
        <v>23461</v>
      </c>
      <c r="L1477" s="19" t="str">
        <f>IFERROR(__xludf.DUMMYFUNCTION("""COMPUTED_VALUE"""),"PEREMPUAN")</f>
        <v>PEREMPUAN</v>
      </c>
      <c r="M1477" s="35" t="str">
        <f>IFERROR(__xludf.DUMMYFUNCTION("""COMPUTED_VALUE"""),"JL. PROF M YAMIN GG. TELADAN NO.11")</f>
        <v>JL. PROF M YAMIN GG. TELADAN NO.11</v>
      </c>
      <c r="N1477" s="16" t="str">
        <f>IFERROR(__xludf.DUMMYFUNCTION("""COMPUTED_VALUE"""),"KEL. KOTA BARU")</f>
        <v>KEL. KOTA BARU</v>
      </c>
      <c r="O1477" s="16" t="str">
        <f>IFERROR(__xludf.DUMMYFUNCTION("""COMPUTED_VALUE"""),"KEC. PONTIANAK SELATAN")</f>
        <v>KEC. PONTIANAK SELATAN</v>
      </c>
      <c r="P1477" s="16" t="str">
        <f>IFERROR(__xludf.DUMMYFUNCTION("""COMPUTED_VALUE"""),"KOTA PONTIANAK")</f>
        <v>KOTA PONTIANAK</v>
      </c>
      <c r="Q1477" s="16" t="str">
        <f>IFERROR(__xludf.DUMMYFUNCTION("""COMPUTED_VALUE"""),"KALIMANTAN BARAT")</f>
        <v>KALIMANTAN BARAT</v>
      </c>
      <c r="R1477" s="19" t="str">
        <f>IFERROR(__xludf.DUMMYFUNCTION("""COMPUTED_VALUE"""),"ISLAM")</f>
        <v>ISLAM</v>
      </c>
      <c r="S1477" s="16" t="str">
        <f>IFERROR(__xludf.DUMMYFUNCTION("""COMPUTED_VALUE"""),"PENSIUN")</f>
        <v>PENSIUN</v>
      </c>
      <c r="T1477" s="16" t="str">
        <f>IFERROR(__xludf.DUMMYFUNCTION("""COMPUTED_VALUE"""),"Lengan kiri kanan, pundak")</f>
        <v>Lengan kiri kanan, pundak</v>
      </c>
      <c r="U1477" s="16" t="str">
        <f>IFERROR(__xludf.DUMMYFUNCTION("""COMPUTED_VALUE"""),"Rumah tangga, jalan pagi")</f>
        <v>Rumah tangga, jalan pagi</v>
      </c>
      <c r="V1477" s="11" t="str">
        <f>IFERROR(__xludf.DUMMYFUNCTION("""COMPUTED_VALUE"""),"085752790261")</f>
        <v>085752790261</v>
      </c>
      <c r="W1477" s="15"/>
    </row>
    <row r="1478" ht="22.5" customHeight="1">
      <c r="A1478" s="8"/>
      <c r="B1478" s="9">
        <f>IFERROR(__xludf.DUMMYFUNCTION("""COMPUTED_VALUE"""),45467.57616660879)</f>
        <v>45467.57617</v>
      </c>
      <c r="C1478" s="9"/>
      <c r="D1478" s="10">
        <f>IFERROR(__xludf.DUMMYFUNCTION("""COMPUTED_VALUE"""),45477.0)</f>
        <v>45477</v>
      </c>
      <c r="E1478" s="10" t="str">
        <f>IFERROR(__xludf.DUMMYFUNCTION("""COMPUTED_VALUE"""),"07Jul")</f>
        <v>07Jul</v>
      </c>
      <c r="F1478" s="10" t="str">
        <f>IFERROR(__xludf.DUMMYFUNCTION("""COMPUTED_VALUE"""),"2024")</f>
        <v>2024</v>
      </c>
      <c r="G1478" s="35" t="str">
        <f>IFERROR(__xludf.DUMMYFUNCTION("""COMPUTED_VALUE"""),"ERFANDO RAMANDA ILHAM")</f>
        <v>ERFANDO RAMANDA ILHAM</v>
      </c>
      <c r="H1478" s="17" t="str">
        <f>IFERROR(__xludf.DUMMYFUNCTION("""COMPUTED_VALUE"""),"E0524071681")</f>
        <v>E0524071681</v>
      </c>
      <c r="I1478" s="17">
        <f>IFERROR(__xludf.DUMMYFUNCTION("""COMPUTED_VALUE"""),20.0)</f>
        <v>20</v>
      </c>
      <c r="J1478" s="17" t="str">
        <f>IFERROR(__xludf.DUMMYFUNCTION("""COMPUTED_VALUE"""),"18-24 tahun")</f>
        <v>18-24 tahun</v>
      </c>
      <c r="K1478" s="19">
        <f>IFERROR(__xludf.DUMMYFUNCTION("""COMPUTED_VALUE"""),38639.0)</f>
        <v>38639</v>
      </c>
      <c r="L1478" s="19" t="str">
        <f>IFERROR(__xludf.DUMMYFUNCTION("""COMPUTED_VALUE"""),"LAKI-LAKI")</f>
        <v>LAKI-LAKI</v>
      </c>
      <c r="M1478" s="35" t="str">
        <f>IFERROR(__xludf.DUMMYFUNCTION("""COMPUTED_VALUE"""),"DUSUN PENGGELAMAN RT 025 RW 013 KELURAHAN DESA SANDAI KECAMATAN SANDAI KABUPATEN KETAPANG")</f>
        <v>DUSUN PENGGELAMAN RT 025 RW 013 KELURAHAN DESA SANDAI KECAMATAN SANDAI KABUPATEN KETAPANG</v>
      </c>
      <c r="N1478" s="16" t="str">
        <f>IFERROR(__xludf.DUMMYFUNCTION("""COMPUTED_VALUE"""),"DS. SANDAI")</f>
        <v>DS. SANDAI</v>
      </c>
      <c r="O1478" s="16" t="str">
        <f>IFERROR(__xludf.DUMMYFUNCTION("""COMPUTED_VALUE"""),"KEC. SANDAI")</f>
        <v>KEC. SANDAI</v>
      </c>
      <c r="P1478" s="16" t="str">
        <f>IFERROR(__xludf.DUMMYFUNCTION("""COMPUTED_VALUE"""),"KAB. KETAPANG")</f>
        <v>KAB. KETAPANG</v>
      </c>
      <c r="Q1478" s="16" t="str">
        <f>IFERROR(__xludf.DUMMYFUNCTION("""COMPUTED_VALUE"""),"KALIMANTAN BARAT")</f>
        <v>KALIMANTAN BARAT</v>
      </c>
      <c r="R1478" s="19" t="str">
        <f>IFERROR(__xludf.DUMMYFUNCTION("""COMPUTED_VALUE"""),"ISLAM")</f>
        <v>ISLAM</v>
      </c>
      <c r="S1478" s="16" t="str">
        <f>IFERROR(__xludf.DUMMYFUNCTION("""COMPUTED_VALUE"""),"PELAJAR/MAHASISWA")</f>
        <v>PELAJAR/MAHASISWA</v>
      </c>
      <c r="T1478" s="16" t="str">
        <f>IFERROR(__xludf.DUMMYFUNCTION("""COMPUTED_VALUE"""),"CEDERA")</f>
        <v>CEDERA</v>
      </c>
      <c r="U1478" s="16" t="str">
        <f>IFERROR(__xludf.DUMMYFUNCTION("""COMPUTED_VALUE"""),"BERMAIN FUTSAL")</f>
        <v>BERMAIN FUTSAL</v>
      </c>
      <c r="V1478" s="11" t="str">
        <f>IFERROR(__xludf.DUMMYFUNCTION("""COMPUTED_VALUE"""),"082151741681")</f>
        <v>082151741681</v>
      </c>
      <c r="W1478" s="15"/>
    </row>
    <row r="1479" ht="22.5" customHeight="1">
      <c r="A1479" s="8"/>
      <c r="B1479" s="9">
        <f>IFERROR(__xludf.DUMMYFUNCTION("""COMPUTED_VALUE"""),45467.62473931713)</f>
        <v>45467.62474</v>
      </c>
      <c r="C1479" s="9"/>
      <c r="D1479" s="34">
        <f>IFERROR(__xludf.DUMMYFUNCTION("""COMPUTED_VALUE"""),45478.0)</f>
        <v>45478</v>
      </c>
      <c r="E1479" s="34" t="str">
        <f>IFERROR(__xludf.DUMMYFUNCTION("""COMPUTED_VALUE"""),"07Jul")</f>
        <v>07Jul</v>
      </c>
      <c r="F1479" s="34" t="str">
        <f>IFERROR(__xludf.DUMMYFUNCTION("""COMPUTED_VALUE"""),"2024")</f>
        <v>2024</v>
      </c>
      <c r="G1479" s="35" t="str">
        <f>IFERROR(__xludf.DUMMYFUNCTION("""COMPUTED_VALUE"""),"WILL NATHANAEL THENALDY")</f>
        <v>WILL NATHANAEL THENALDY</v>
      </c>
      <c r="H1479" s="17" t="str">
        <f>IFERROR(__xludf.DUMMYFUNCTION("""COMPUTED_VALUE"""),"W0824076799")</f>
        <v>W0824076799</v>
      </c>
      <c r="I1479" s="17">
        <f>IFERROR(__xludf.DUMMYFUNCTION("""COMPUTED_VALUE"""),17.0)</f>
        <v>17</v>
      </c>
      <c r="J1479" s="17" t="str">
        <f>IFERROR(__xludf.DUMMYFUNCTION("""COMPUTED_VALUE"""),"&lt; 18 tahun")</f>
        <v>&lt; 18 tahun</v>
      </c>
      <c r="K1479" s="19">
        <f>IFERROR(__xludf.DUMMYFUNCTION("""COMPUTED_VALUE"""),39776.0)</f>
        <v>39776</v>
      </c>
      <c r="L1479" s="19" t="str">
        <f>IFERROR(__xludf.DUMMYFUNCTION("""COMPUTED_VALUE"""),"LAKI-LAKI")</f>
        <v>LAKI-LAKI</v>
      </c>
      <c r="M1479" s="35" t="str">
        <f>IFERROR(__xludf.DUMMYFUNCTION("""COMPUTED_VALUE"""),"JL HASSANUDIN GG KAKAP 2")</f>
        <v>JL HASSANUDIN GG KAKAP 2</v>
      </c>
      <c r="N1479" s="16" t="str">
        <f>IFERROR(__xludf.DUMMYFUNCTION("""COMPUTED_VALUE"""),"KEL. SUNGAI JAWI DALAM")</f>
        <v>KEL. SUNGAI JAWI DALAM</v>
      </c>
      <c r="O1479" s="16" t="str">
        <f>IFERROR(__xludf.DUMMYFUNCTION("""COMPUTED_VALUE"""),"KEC. PONTIANAK BARAT")</f>
        <v>KEC. PONTIANAK BARAT</v>
      </c>
      <c r="P1479" s="16" t="str">
        <f>IFERROR(__xludf.DUMMYFUNCTION("""COMPUTED_VALUE"""),"KOTA PONTIANAK")</f>
        <v>KOTA PONTIANAK</v>
      </c>
      <c r="Q1479" s="16" t="str">
        <f>IFERROR(__xludf.DUMMYFUNCTION("""COMPUTED_VALUE"""),"KALIMANTAN BARAT")</f>
        <v>KALIMANTAN BARAT</v>
      </c>
      <c r="R1479" s="19" t="str">
        <f>IFERROR(__xludf.DUMMYFUNCTION("""COMPUTED_VALUE"""),"PROTESTAN")</f>
        <v>PROTESTAN</v>
      </c>
      <c r="S1479" s="35" t="str">
        <f>IFERROR(__xludf.DUMMYFUNCTION("""COMPUTED_VALUE"""),"PELAJAR/MAHASISWA")</f>
        <v>PELAJAR/MAHASISWA</v>
      </c>
      <c r="T1479" s="16" t="str">
        <f>IFERROR(__xludf.DUMMYFUNCTION("""COMPUTED_VALUE"""),"sakit saat berjalan / berlari")</f>
        <v>sakit saat berjalan / berlari</v>
      </c>
      <c r="U1479" s="16" t="str">
        <f>IFERROR(__xludf.DUMMYFUNCTION("""COMPUTED_VALUE"""),"Basket")</f>
        <v>Basket</v>
      </c>
      <c r="V1479" s="11" t="str">
        <f>IFERROR(__xludf.DUMMYFUNCTION("""COMPUTED_VALUE"""),"082148746799")</f>
        <v>082148746799</v>
      </c>
      <c r="W1479" s="15"/>
    </row>
    <row r="1480" ht="22.5" customHeight="1">
      <c r="A1480" s="8"/>
      <c r="B1480" s="9">
        <f>IFERROR(__xludf.DUMMYFUNCTION("""COMPUTED_VALUE"""),45468.40609153935)</f>
        <v>45468.40609</v>
      </c>
      <c r="C1480" s="9"/>
      <c r="D1480" s="34">
        <f>IFERROR(__xludf.DUMMYFUNCTION("""COMPUTED_VALUE"""),45478.0)</f>
        <v>45478</v>
      </c>
      <c r="E1480" s="34" t="str">
        <f>IFERROR(__xludf.DUMMYFUNCTION("""COMPUTED_VALUE"""),"07Jul")</f>
        <v>07Jul</v>
      </c>
      <c r="F1480" s="34" t="str">
        <f>IFERROR(__xludf.DUMMYFUNCTION("""COMPUTED_VALUE"""),"2024")</f>
        <v>2024</v>
      </c>
      <c r="G1480" s="35" t="str">
        <f>IFERROR(__xludf.DUMMYFUNCTION("""COMPUTED_VALUE"""),"MUHAMMAD FEBRINO")</f>
        <v>MUHAMMAD FEBRINO</v>
      </c>
      <c r="H1480" s="17" t="str">
        <f>IFERROR(__xludf.DUMMYFUNCTION("""COMPUTED_VALUE"""),"M0324070556")</f>
        <v>M0324070556</v>
      </c>
      <c r="I1480" s="17">
        <f>IFERROR(__xludf.DUMMYFUNCTION("""COMPUTED_VALUE"""),23.0)</f>
        <v>23</v>
      </c>
      <c r="J1480" s="17" t="str">
        <f>IFERROR(__xludf.DUMMYFUNCTION("""COMPUTED_VALUE"""),"18-24 tahun")</f>
        <v>18-24 tahun</v>
      </c>
      <c r="K1480" s="19">
        <f>IFERROR(__xludf.DUMMYFUNCTION("""COMPUTED_VALUE"""),37680.0)</f>
        <v>37680</v>
      </c>
      <c r="L1480" s="19" t="str">
        <f>IFERROR(__xludf.DUMMYFUNCTION("""COMPUTED_VALUE"""),"LAKI-LAKI")</f>
        <v>LAKI-LAKI</v>
      </c>
      <c r="M1480" s="35" t="str">
        <f>IFERROR(__xludf.DUMMYFUNCTION("""COMPUTED_VALUE"""),"JL. VETERAN GG SYUKUR 6")</f>
        <v>JL. VETERAN GG SYUKUR 6</v>
      </c>
      <c r="N1480" s="16" t="str">
        <f>IFERROR(__xludf.DUMMYFUNCTION("""COMPUTED_VALUE"""),"KEL. BENUA MELAYU DARAT")</f>
        <v>KEL. BENUA MELAYU DARAT</v>
      </c>
      <c r="O1480" s="16" t="str">
        <f>IFERROR(__xludf.DUMMYFUNCTION("""COMPUTED_VALUE"""),"KEC. PONTIANAK SELATAN")</f>
        <v>KEC. PONTIANAK SELATAN</v>
      </c>
      <c r="P1480" s="16" t="str">
        <f>IFERROR(__xludf.DUMMYFUNCTION("""COMPUTED_VALUE"""),"KOTA PONTIANAK")</f>
        <v>KOTA PONTIANAK</v>
      </c>
      <c r="Q1480" s="16" t="str">
        <f>IFERROR(__xludf.DUMMYFUNCTION("""COMPUTED_VALUE"""),"KALIMANTAN BARAT")</f>
        <v>KALIMANTAN BARAT</v>
      </c>
      <c r="R1480" s="19" t="str">
        <f>IFERROR(__xludf.DUMMYFUNCTION("""COMPUTED_VALUE"""),"ISLAM")</f>
        <v>ISLAM</v>
      </c>
      <c r="S1480" s="16" t="str">
        <f>IFERROR(__xludf.DUMMYFUNCTION("""COMPUTED_VALUE"""),"TIDAK ADA")</f>
        <v>TIDAK ADA</v>
      </c>
      <c r="T1480" s="16" t="str">
        <f>IFERROR(__xludf.DUMMYFUNCTION("""COMPUTED_VALUE"""),"Cidera")</f>
        <v>Cidera</v>
      </c>
      <c r="U1480" s="16" t="str">
        <f>IFERROR(__xludf.DUMMYFUNCTION("""COMPUTED_VALUE"""),"Futsal")</f>
        <v>Futsal</v>
      </c>
      <c r="V1480" s="11" t="str">
        <f>IFERROR(__xludf.DUMMYFUNCTION("""COMPUTED_VALUE"""),"083869820556")</f>
        <v>083869820556</v>
      </c>
      <c r="W1480" s="15"/>
    </row>
    <row r="1481" ht="22.5" customHeight="1">
      <c r="A1481" s="8"/>
      <c r="B1481" s="9">
        <f>IFERROR(__xludf.DUMMYFUNCTION("""COMPUTED_VALUE"""),45468.406171712966)</f>
        <v>45468.40617</v>
      </c>
      <c r="C1481" s="9"/>
      <c r="D1481" s="34">
        <f>IFERROR(__xludf.DUMMYFUNCTION("""COMPUTED_VALUE"""),45478.0)</f>
        <v>45478</v>
      </c>
      <c r="E1481" s="34" t="str">
        <f>IFERROR(__xludf.DUMMYFUNCTION("""COMPUTED_VALUE"""),"07Jul")</f>
        <v>07Jul</v>
      </c>
      <c r="F1481" s="34" t="str">
        <f>IFERROR(__xludf.DUMMYFUNCTION("""COMPUTED_VALUE"""),"2024")</f>
        <v>2024</v>
      </c>
      <c r="G1481" s="35" t="str">
        <f>IFERROR(__xludf.DUMMYFUNCTION("""COMPUTED_VALUE"""),"SAFITRI RAMADHANI NOVIANA")</f>
        <v>SAFITRI RAMADHANI NOVIANA</v>
      </c>
      <c r="H1481" s="17" t="str">
        <f>IFERROR(__xludf.DUMMYFUNCTION("""COMPUTED_VALUE"""),"S0224072705")</f>
        <v>S0224072705</v>
      </c>
      <c r="I1481" s="17">
        <f>IFERROR(__xludf.DUMMYFUNCTION("""COMPUTED_VALUE"""),23.0)</f>
        <v>23</v>
      </c>
      <c r="J1481" s="17" t="str">
        <f>IFERROR(__xludf.DUMMYFUNCTION("""COMPUTED_VALUE"""),"18-24 tahun")</f>
        <v>18-24 tahun</v>
      </c>
      <c r="K1481" s="19">
        <f>IFERROR(__xludf.DUMMYFUNCTION("""COMPUTED_VALUE"""),37585.0)</f>
        <v>37585</v>
      </c>
      <c r="L1481" s="19" t="str">
        <f>IFERROR(__xludf.DUMMYFUNCTION("""COMPUTED_VALUE"""),"PEREMPUAN")</f>
        <v>PEREMPUAN</v>
      </c>
      <c r="M1481" s="35" t="str">
        <f>IFERROR(__xludf.DUMMYFUNCTION("""COMPUTED_VALUE"""),"JL TABRANI AHMAD GG BERSAMA 2 NO 55B")</f>
        <v>JL TABRANI AHMAD GG BERSAMA 2 NO 55B</v>
      </c>
      <c r="N1481" s="16" t="str">
        <f>IFERROR(__xludf.DUMMYFUNCTION("""COMPUTED_VALUE"""),"KEL. SUNGAI JAWI DALAM")</f>
        <v>KEL. SUNGAI JAWI DALAM</v>
      </c>
      <c r="O1481" s="16" t="str">
        <f>IFERROR(__xludf.DUMMYFUNCTION("""COMPUTED_VALUE"""),"KEC. PONTIANAK BARAT")</f>
        <v>KEC. PONTIANAK BARAT</v>
      </c>
      <c r="P1481" s="16" t="str">
        <f>IFERROR(__xludf.DUMMYFUNCTION("""COMPUTED_VALUE"""),"KOTA PONTIANAK")</f>
        <v>KOTA PONTIANAK</v>
      </c>
      <c r="Q1481" s="16" t="str">
        <f>IFERROR(__xludf.DUMMYFUNCTION("""COMPUTED_VALUE"""),"KALIMANTAN BARAT")</f>
        <v>KALIMANTAN BARAT</v>
      </c>
      <c r="R1481" s="19" t="str">
        <f>IFERROR(__xludf.DUMMYFUNCTION("""COMPUTED_VALUE"""),"ISLAM")</f>
        <v>ISLAM</v>
      </c>
      <c r="S1481" s="35" t="str">
        <f>IFERROR(__xludf.DUMMYFUNCTION("""COMPUTED_VALUE"""),"PELAJAR/MAHASISWA")</f>
        <v>PELAJAR/MAHASISWA</v>
      </c>
      <c r="T1481" s="16" t="str">
        <f>IFERROR(__xludf.DUMMYFUNCTION("""COMPUTED_VALUE"""),"TANGAN KANAN SEPERTINYA OVER PENGGUNAAN")</f>
        <v>TANGAN KANAN SEPERTINYA OVER PENGGUNAAN</v>
      </c>
      <c r="U1481" s="16" t="str">
        <f>IFERROR(__xludf.DUMMYFUNCTION("""COMPUTED_VALUE"""),"LATIHAN TENNIS DARI KECIL")</f>
        <v>LATIHAN TENNIS DARI KECIL</v>
      </c>
      <c r="V1481" s="11" t="str">
        <f>IFERROR(__xludf.DUMMYFUNCTION("""COMPUTED_VALUE"""),"085753762705")</f>
        <v>085753762705</v>
      </c>
      <c r="W1481" s="15"/>
    </row>
    <row r="1482" ht="22.5" customHeight="1">
      <c r="A1482" s="8"/>
      <c r="B1482" s="9">
        <f>IFERROR(__xludf.DUMMYFUNCTION("""COMPUTED_VALUE"""),45468.79743982639)</f>
        <v>45468.79744</v>
      </c>
      <c r="C1482" s="9"/>
      <c r="D1482" s="34">
        <f>IFERROR(__xludf.DUMMYFUNCTION("""COMPUTED_VALUE"""),45478.0)</f>
        <v>45478</v>
      </c>
      <c r="E1482" s="34" t="str">
        <f>IFERROR(__xludf.DUMMYFUNCTION("""COMPUTED_VALUE"""),"07Jul")</f>
        <v>07Jul</v>
      </c>
      <c r="F1482" s="34" t="str">
        <f>IFERROR(__xludf.DUMMYFUNCTION("""COMPUTED_VALUE"""),"2024")</f>
        <v>2024</v>
      </c>
      <c r="G1482" s="35" t="str">
        <f>IFERROR(__xludf.DUMMYFUNCTION("""COMPUTED_VALUE"""),"OKTARIANA TRI SUSANTI")</f>
        <v>OKTARIANA TRI SUSANTI</v>
      </c>
      <c r="H1482" s="17" t="str">
        <f>IFERROR(__xludf.DUMMYFUNCTION("""COMPUTED_VALUE"""),"O0424074824")</f>
        <v>O0424074824</v>
      </c>
      <c r="I1482" s="17">
        <f>IFERROR(__xludf.DUMMYFUNCTION("""COMPUTED_VALUE"""),21.0)</f>
        <v>21</v>
      </c>
      <c r="J1482" s="17" t="str">
        <f>IFERROR(__xludf.DUMMYFUNCTION("""COMPUTED_VALUE"""),"18-24 tahun")</f>
        <v>18-24 tahun</v>
      </c>
      <c r="K1482" s="21">
        <f>IFERROR(__xludf.DUMMYFUNCTION("""COMPUTED_VALUE"""),38265.0)</f>
        <v>38265</v>
      </c>
      <c r="L1482" s="21" t="str">
        <f>IFERROR(__xludf.DUMMYFUNCTION("""COMPUTED_VALUE"""),"PEREMPUAN")</f>
        <v>PEREMPUAN</v>
      </c>
      <c r="M1482" s="35" t="str">
        <f>IFERROR(__xludf.DUMMYFUNCTION("""COMPUTED_VALUE"""),"JL.ILHAM GG.8 SAUDARA NO.09")</f>
        <v>JL.ILHAM GG.8 SAUDARA NO.09</v>
      </c>
      <c r="N1482" s="16" t="str">
        <f>IFERROR(__xludf.DUMMYFUNCTION("""COMPUTED_VALUE"""),"KEL. SUNGAI BANGKONG")</f>
        <v>KEL. SUNGAI BANGKONG</v>
      </c>
      <c r="O1482" s="16" t="str">
        <f>IFERROR(__xludf.DUMMYFUNCTION("""COMPUTED_VALUE"""),"KEC. PONTIANAK KOTA")</f>
        <v>KEC. PONTIANAK KOTA</v>
      </c>
      <c r="P1482" s="16" t="str">
        <f>IFERROR(__xludf.DUMMYFUNCTION("""COMPUTED_VALUE"""),"KOTA PONTIANAK")</f>
        <v>KOTA PONTIANAK</v>
      </c>
      <c r="Q1482" s="16" t="str">
        <f>IFERROR(__xludf.DUMMYFUNCTION("""COMPUTED_VALUE"""),"KALIMANTAN BARAT")</f>
        <v>KALIMANTAN BARAT</v>
      </c>
      <c r="R1482" s="21" t="str">
        <f>IFERROR(__xludf.DUMMYFUNCTION("""COMPUTED_VALUE"""),"ISLAM")</f>
        <v>ISLAM</v>
      </c>
      <c r="S1482" s="35" t="str">
        <f>IFERROR(__xludf.DUMMYFUNCTION("""COMPUTED_VALUE"""),"TIDAK ADA")</f>
        <v>TIDAK ADA</v>
      </c>
      <c r="T1482" s="36" t="str">
        <f>IFERROR(__xludf.DUMMYFUNCTION("""COMPUTED_VALUE"""),"otot paha nyeri")</f>
        <v>otot paha nyeri</v>
      </c>
      <c r="U1482" s="36" t="str">
        <f>IFERROR(__xludf.DUMMYFUNCTION("""COMPUTED_VALUE"""),"latian voli")</f>
        <v>latian voli</v>
      </c>
      <c r="V1482" s="37" t="str">
        <f>IFERROR(__xludf.DUMMYFUNCTION("""COMPUTED_VALUE"""),"089628164824")</f>
        <v>089628164824</v>
      </c>
      <c r="W1482" s="22"/>
    </row>
    <row r="1483" ht="22.5" customHeight="1">
      <c r="A1483" s="8"/>
      <c r="B1483" s="9">
        <f>IFERROR(__xludf.DUMMYFUNCTION("""COMPUTED_VALUE"""),45469.46712734953)</f>
        <v>45469.46713</v>
      </c>
      <c r="C1483" s="9"/>
      <c r="D1483" s="34">
        <f>IFERROR(__xludf.DUMMYFUNCTION("""COMPUTED_VALUE"""),45481.0)</f>
        <v>45481</v>
      </c>
      <c r="E1483" s="34" t="str">
        <f>IFERROR(__xludf.DUMMYFUNCTION("""COMPUTED_VALUE"""),"07Jul")</f>
        <v>07Jul</v>
      </c>
      <c r="F1483" s="34" t="str">
        <f>IFERROR(__xludf.DUMMYFUNCTION("""COMPUTED_VALUE"""),"2024")</f>
        <v>2024</v>
      </c>
      <c r="G1483" s="35" t="str">
        <f>IFERROR(__xludf.DUMMYFUNCTION("""COMPUTED_VALUE"""),"ENGELIA")</f>
        <v>ENGELIA</v>
      </c>
      <c r="H1483" s="17" t="str">
        <f>IFERROR(__xludf.DUMMYFUNCTION("""COMPUTED_VALUE"""),"E0124075378")</f>
        <v>E0124075378</v>
      </c>
      <c r="I1483" s="17">
        <f>IFERROR(__xludf.DUMMYFUNCTION("""COMPUTED_VALUE"""),24.0)</f>
        <v>24</v>
      </c>
      <c r="J1483" s="17" t="str">
        <f>IFERROR(__xludf.DUMMYFUNCTION("""COMPUTED_VALUE"""),"18-24 tahun")</f>
        <v>18-24 tahun</v>
      </c>
      <c r="K1483" s="19">
        <f>IFERROR(__xludf.DUMMYFUNCTION("""COMPUTED_VALUE"""),37087.0)</f>
        <v>37087</v>
      </c>
      <c r="L1483" s="19" t="str">
        <f>IFERROR(__xludf.DUMMYFUNCTION("""COMPUTED_VALUE"""),"PEREMPUAN")</f>
        <v>PEREMPUAN</v>
      </c>
      <c r="M1483" s="35" t="str">
        <f>IFERROR(__xludf.DUMMYFUNCTION("""COMPUTED_VALUE"""),"JL. PGA NO. 44")</f>
        <v>JL. PGA NO. 44</v>
      </c>
      <c r="N1483" s="16" t="str">
        <f>IFERROR(__xludf.DUMMYFUNCTION("""COMPUTED_VALUE"""),"KEL. SUNGAI BANGKONG")</f>
        <v>KEL. SUNGAI BANGKONG</v>
      </c>
      <c r="O1483" s="16" t="str">
        <f>IFERROR(__xludf.DUMMYFUNCTION("""COMPUTED_VALUE"""),"KEC. PONTIANAK KOTA")</f>
        <v>KEC. PONTIANAK KOTA</v>
      </c>
      <c r="P1483" s="16" t="str">
        <f>IFERROR(__xludf.DUMMYFUNCTION("""COMPUTED_VALUE"""),"KOTA PONTIANAK")</f>
        <v>KOTA PONTIANAK</v>
      </c>
      <c r="Q1483" s="16" t="str">
        <f>IFERROR(__xludf.DUMMYFUNCTION("""COMPUTED_VALUE"""),"KALIMANTAN BARAT")</f>
        <v>KALIMANTAN BARAT</v>
      </c>
      <c r="R1483" s="19" t="str">
        <f>IFERROR(__xludf.DUMMYFUNCTION("""COMPUTED_VALUE"""),"ISLAM")</f>
        <v>ISLAM</v>
      </c>
      <c r="S1483" s="35" t="str">
        <f>IFERROR(__xludf.DUMMYFUNCTION("""COMPUTED_VALUE"""),"SWASTA")</f>
        <v>SWASTA</v>
      </c>
      <c r="T1483" s="16" t="str">
        <f>IFERROR(__xludf.DUMMYFUNCTION("""COMPUTED_VALUE"""),"sakit pergelangan tangan hingga jarj")</f>
        <v>sakit pergelangan tangan hingga jarj</v>
      </c>
      <c r="U1483" s="16" t="str">
        <f>IFERROR(__xludf.DUMMYFUNCTION("""COMPUTED_VALUE"""),"mengurus bayi dan pekerjaan rumah tangga")</f>
        <v>mengurus bayi dan pekerjaan rumah tangga</v>
      </c>
      <c r="V1483" s="11" t="str">
        <f>IFERROR(__xludf.DUMMYFUNCTION("""COMPUTED_VALUE"""),"081806275378")</f>
        <v>081806275378</v>
      </c>
      <c r="W1483" s="15"/>
    </row>
    <row r="1484" ht="22.5" customHeight="1">
      <c r="A1484" s="8"/>
      <c r="B1484" s="9">
        <f>IFERROR(__xludf.DUMMYFUNCTION("""COMPUTED_VALUE"""),45469.433224479166)</f>
        <v>45469.43322</v>
      </c>
      <c r="C1484" s="9"/>
      <c r="D1484" s="34">
        <f>IFERROR(__xludf.DUMMYFUNCTION("""COMPUTED_VALUE"""),45481.0)</f>
        <v>45481</v>
      </c>
      <c r="E1484" s="34" t="str">
        <f>IFERROR(__xludf.DUMMYFUNCTION("""COMPUTED_VALUE"""),"07Jul")</f>
        <v>07Jul</v>
      </c>
      <c r="F1484" s="34" t="str">
        <f>IFERROR(__xludf.DUMMYFUNCTION("""COMPUTED_VALUE"""),"2024")</f>
        <v>2024</v>
      </c>
      <c r="G1484" s="35" t="str">
        <f>IFERROR(__xludf.DUMMYFUNCTION("""COMPUTED_VALUE"""),"PAULINA ROSALIA")</f>
        <v>PAULINA ROSALIA</v>
      </c>
      <c r="H1484" s="17" t="str">
        <f>IFERROR(__xludf.DUMMYFUNCTION("""COMPUTED_VALUE"""),"P7224074888")</f>
        <v>P7224074888</v>
      </c>
      <c r="I1484" s="17">
        <f>IFERROR(__xludf.DUMMYFUNCTION("""COMPUTED_VALUE"""),53.0)</f>
        <v>53</v>
      </c>
      <c r="J1484" s="17" t="str">
        <f>IFERROR(__xludf.DUMMYFUNCTION("""COMPUTED_VALUE"""),"&gt; 44 tahun")</f>
        <v>&gt; 44 tahun</v>
      </c>
      <c r="K1484" s="19">
        <f>IFERROR(__xludf.DUMMYFUNCTION("""COMPUTED_VALUE"""),26663.0)</f>
        <v>26663</v>
      </c>
      <c r="L1484" s="19" t="str">
        <f>IFERROR(__xludf.DUMMYFUNCTION("""COMPUTED_VALUE"""),"PEREMPUAN")</f>
        <v>PEREMPUAN</v>
      </c>
      <c r="M1484" s="35" t="str">
        <f>IFERROR(__xludf.DUMMYFUNCTION("""COMPUTED_VALUE"""),"JL. ILHAM GG.8 SAUDARA NO.09")</f>
        <v>JL. ILHAM GG.8 SAUDARA NO.09</v>
      </c>
      <c r="N1484" s="16" t="str">
        <f>IFERROR(__xludf.DUMMYFUNCTION("""COMPUTED_VALUE"""),"KEL. SUNGAI BANGKONG")</f>
        <v>KEL. SUNGAI BANGKONG</v>
      </c>
      <c r="O1484" s="16" t="str">
        <f>IFERROR(__xludf.DUMMYFUNCTION("""COMPUTED_VALUE"""),"KEC. PONTIANAK KOTA")</f>
        <v>KEC. PONTIANAK KOTA</v>
      </c>
      <c r="P1484" s="16" t="str">
        <f>IFERROR(__xludf.DUMMYFUNCTION("""COMPUTED_VALUE"""),"KOTA PONTIANAK")</f>
        <v>KOTA PONTIANAK</v>
      </c>
      <c r="Q1484" s="16" t="str">
        <f>IFERROR(__xludf.DUMMYFUNCTION("""COMPUTED_VALUE"""),"KALIMANTAN BARAT")</f>
        <v>KALIMANTAN BARAT</v>
      </c>
      <c r="R1484" s="19" t="str">
        <f>IFERROR(__xludf.DUMMYFUNCTION("""COMPUTED_VALUE"""),"ISLAM")</f>
        <v>ISLAM</v>
      </c>
      <c r="S1484" s="16" t="str">
        <f>IFERROR(__xludf.DUMMYFUNCTION("""COMPUTED_VALUE"""),"TIDAK ADA")</f>
        <v>TIDAK ADA</v>
      </c>
      <c r="T1484" s="16" t="str">
        <f>IFERROR(__xludf.DUMMYFUNCTION("""COMPUTED_VALUE"""),"sakit pada bagian pinggang hingga ke")</f>
        <v>sakit pada bagian pinggang hingga ke</v>
      </c>
      <c r="U1484" s="16" t="str">
        <f>IFERROR(__xludf.DUMMYFUNCTION("""COMPUTED_VALUE"""),"ibu rumah tangga")</f>
        <v>ibu rumah tangga</v>
      </c>
      <c r="V1484" s="11" t="str">
        <f>IFERROR(__xludf.DUMMYFUNCTION("""COMPUTED_VALUE"""),"085750804888")</f>
        <v>085750804888</v>
      </c>
      <c r="W1484" s="15"/>
    </row>
    <row r="1485" ht="22.5" customHeight="1">
      <c r="A1485" s="8"/>
      <c r="B1485" s="9">
        <f>IFERROR(__xludf.DUMMYFUNCTION("""COMPUTED_VALUE"""),45469.48345358796)</f>
        <v>45469.48345</v>
      </c>
      <c r="C1485" s="9"/>
      <c r="D1485" s="34">
        <f>IFERROR(__xludf.DUMMYFUNCTION("""COMPUTED_VALUE"""),45481.0)</f>
        <v>45481</v>
      </c>
      <c r="E1485" s="34" t="str">
        <f>IFERROR(__xludf.DUMMYFUNCTION("""COMPUTED_VALUE"""),"07Jul")</f>
        <v>07Jul</v>
      </c>
      <c r="F1485" s="34" t="str">
        <f>IFERROR(__xludf.DUMMYFUNCTION("""COMPUTED_VALUE"""),"2024")</f>
        <v>2024</v>
      </c>
      <c r="G1485" s="35" t="str">
        <f>IFERROR(__xludf.DUMMYFUNCTION("""COMPUTED_VALUE"""),"ELVIN NAMORA RAJA PASARIBU")</f>
        <v>ELVIN NAMORA RAJA PASARIBU</v>
      </c>
      <c r="H1485" s="17" t="str">
        <f>IFERROR(__xludf.DUMMYFUNCTION("""COMPUTED_VALUE"""),"E0724076970")</f>
        <v>E0724076970</v>
      </c>
      <c r="I1485" s="17">
        <f>IFERROR(__xludf.DUMMYFUNCTION("""COMPUTED_VALUE"""),19.0)</f>
        <v>19</v>
      </c>
      <c r="J1485" s="17" t="str">
        <f>IFERROR(__xludf.DUMMYFUNCTION("""COMPUTED_VALUE"""),"18-24 tahun")</f>
        <v>18-24 tahun</v>
      </c>
      <c r="K1485" s="19">
        <f>IFERROR(__xludf.DUMMYFUNCTION("""COMPUTED_VALUE"""),39244.0)</f>
        <v>39244</v>
      </c>
      <c r="L1485" s="19" t="str">
        <f>IFERROR(__xludf.DUMMYFUNCTION("""COMPUTED_VALUE"""),"LAKI-LAKI")</f>
        <v>LAKI-LAKI</v>
      </c>
      <c r="M1485" s="35" t="str">
        <f>IFERROR(__xludf.DUMMYFUNCTION("""COMPUTED_VALUE"""),"SINTANG, KALIMANTAN BARAT, PAL 5 DESA MERTIGUNA, JLN SUNGAI LABI, RT 17 RW 04")</f>
        <v>SINTANG, KALIMANTAN BARAT, PAL 5 DESA MERTIGUNA, JLN SUNGAI LABI, RT 17 RW 04</v>
      </c>
      <c r="N1485" s="16" t="str">
        <f>IFERROR(__xludf.DUMMYFUNCTION("""COMPUTED_VALUE"""),"DS. MERTIGUNA")</f>
        <v>DS. MERTIGUNA</v>
      </c>
      <c r="O1485" s="16" t="str">
        <f>IFERROR(__xludf.DUMMYFUNCTION("""COMPUTED_VALUE"""),"KEC. SINTANG")</f>
        <v>KEC. SINTANG</v>
      </c>
      <c r="P1485" s="16" t="str">
        <f>IFERROR(__xludf.DUMMYFUNCTION("""COMPUTED_VALUE"""),"KAB. SINTANG")</f>
        <v>KAB. SINTANG</v>
      </c>
      <c r="Q1485" s="16" t="str">
        <f>IFERROR(__xludf.DUMMYFUNCTION("""COMPUTED_VALUE"""),"KALIMANTAN BARAT")</f>
        <v>KALIMANTAN BARAT</v>
      </c>
      <c r="R1485" s="19" t="str">
        <f>IFERROR(__xludf.DUMMYFUNCTION("""COMPUTED_VALUE"""),"PROTESTAN")</f>
        <v>PROTESTAN</v>
      </c>
      <c r="S1485" s="35" t="str">
        <f>IFERROR(__xludf.DUMMYFUNCTION("""COMPUTED_VALUE"""),"PELAJAR/MAHASISWA")</f>
        <v>PELAJAR/MAHASISWA</v>
      </c>
      <c r="T1485" s="16" t="str">
        <f>IFERROR(__xludf.DUMMYFUNCTION("""COMPUTED_VALUE"""),"Badan miring / skoliosis")</f>
        <v>Badan miring / skoliosis</v>
      </c>
      <c r="U1485" s="16" t="str">
        <f>IFERROR(__xludf.DUMMYFUNCTION("""COMPUTED_VALUE"""),"Hobi main basket")</f>
        <v>Hobi main basket</v>
      </c>
      <c r="V1485" s="11" t="str">
        <f>IFERROR(__xludf.DUMMYFUNCTION("""COMPUTED_VALUE"""),"085820466970")</f>
        <v>085820466970</v>
      </c>
      <c r="W1485" s="15"/>
    </row>
    <row r="1486" ht="22.5" customHeight="1">
      <c r="A1486" s="8"/>
      <c r="B1486" s="9">
        <f>IFERROR(__xludf.DUMMYFUNCTION("""COMPUTED_VALUE"""),45470.37720832176)</f>
        <v>45470.37721</v>
      </c>
      <c r="C1486" s="9"/>
      <c r="D1486" s="34">
        <f>IFERROR(__xludf.DUMMYFUNCTION("""COMPUTED_VALUE"""),45481.0)</f>
        <v>45481</v>
      </c>
      <c r="E1486" s="34" t="str">
        <f>IFERROR(__xludf.DUMMYFUNCTION("""COMPUTED_VALUE"""),"07Jul")</f>
        <v>07Jul</v>
      </c>
      <c r="F1486" s="34" t="str">
        <f>IFERROR(__xludf.DUMMYFUNCTION("""COMPUTED_VALUE"""),"2024")</f>
        <v>2024</v>
      </c>
      <c r="G1486" s="35" t="str">
        <f>IFERROR(__xludf.DUMMYFUNCTION("""COMPUTED_VALUE"""),"AMALYA SUCI WIDHIAMURTI")</f>
        <v>AMALYA SUCI WIDHIAMURTI</v>
      </c>
      <c r="H1486" s="17" t="str">
        <f>IFERROR(__xludf.DUMMYFUNCTION("""COMPUTED_VALUE"""),"A9624077408")</f>
        <v>A9624077408</v>
      </c>
      <c r="I1486" s="17">
        <f>IFERROR(__xludf.DUMMYFUNCTION("""COMPUTED_VALUE"""),30.0)</f>
        <v>30</v>
      </c>
      <c r="J1486" s="17" t="str">
        <f>IFERROR(__xludf.DUMMYFUNCTION("""COMPUTED_VALUE"""),"25-34 tahun")</f>
        <v>25-34 tahun</v>
      </c>
      <c r="K1486" s="19">
        <f>IFERROR(__xludf.DUMMYFUNCTION("""COMPUTED_VALUE"""),35105.0)</f>
        <v>35105</v>
      </c>
      <c r="L1486" s="19" t="str">
        <f>IFERROR(__xludf.DUMMYFUNCTION("""COMPUTED_VALUE"""),"PEREMPUAN")</f>
        <v>PEREMPUAN</v>
      </c>
      <c r="M1486" s="35" t="str">
        <f>IFERROR(__xludf.DUMMYFUNCTION("""COMPUTED_VALUE"""),"RT 01/RW 01 DUSUN KRAJAN")</f>
        <v>RT 01/RW 01 DUSUN KRAJAN</v>
      </c>
      <c r="N1486" s="16" t="str">
        <f>IFERROR(__xludf.DUMMYFUNCTION("""COMPUTED_VALUE"""),"DS. KAYEN")</f>
        <v>DS. KAYEN</v>
      </c>
      <c r="O1486" s="16" t="str">
        <f>IFERROR(__xludf.DUMMYFUNCTION("""COMPUTED_VALUE"""),"KEC. PACITAN")</f>
        <v>KEC. PACITAN</v>
      </c>
      <c r="P1486" s="16" t="str">
        <f>IFERROR(__xludf.DUMMYFUNCTION("""COMPUTED_VALUE"""),"KOTA PACITAN")</f>
        <v>KOTA PACITAN</v>
      </c>
      <c r="Q1486" s="16" t="str">
        <f>IFERROR(__xludf.DUMMYFUNCTION("""COMPUTED_VALUE"""),"JAWA TIMUR")</f>
        <v>JAWA TIMUR</v>
      </c>
      <c r="R1486" s="19" t="str">
        <f>IFERROR(__xludf.DUMMYFUNCTION("""COMPUTED_VALUE"""),"ISLAM")</f>
        <v>ISLAM</v>
      </c>
      <c r="S1486" s="16" t="str">
        <f>IFERROR(__xludf.DUMMYFUNCTION("""COMPUTED_VALUE"""),"ASN")</f>
        <v>ASN</v>
      </c>
      <c r="T1486" s="16" t="str">
        <f>IFERROR(__xludf.DUMMYFUNCTION("""COMPUTED_VALUE"""),"Sakit pada telapak kaki")</f>
        <v>Sakit pada telapak kaki</v>
      </c>
      <c r="U1486" s="16" t="str">
        <f>IFERROR(__xludf.DUMMYFUNCTION("""COMPUTED_VALUE"""),"Sehari hari sebagai pekerja kantoran dan ibu rumah tangga")</f>
        <v>Sehari hari sebagai pekerja kantoran dan ibu rumah tangga</v>
      </c>
      <c r="V1486" s="11" t="str">
        <f>IFERROR(__xludf.DUMMYFUNCTION("""COMPUTED_VALUE"""),"081334547408")</f>
        <v>081334547408</v>
      </c>
      <c r="W1486" s="15"/>
    </row>
    <row r="1487" ht="22.5" customHeight="1">
      <c r="A1487" s="8"/>
      <c r="B1487" s="9">
        <f>IFERROR(__xludf.DUMMYFUNCTION("""COMPUTED_VALUE"""),45470.543447696764)</f>
        <v>45470.54345</v>
      </c>
      <c r="C1487" s="9"/>
      <c r="D1487" s="34">
        <f>IFERROR(__xludf.DUMMYFUNCTION("""COMPUTED_VALUE"""),45481.0)</f>
        <v>45481</v>
      </c>
      <c r="E1487" s="34" t="str">
        <f>IFERROR(__xludf.DUMMYFUNCTION("""COMPUTED_VALUE"""),"07Jul")</f>
        <v>07Jul</v>
      </c>
      <c r="F1487" s="34" t="str">
        <f>IFERROR(__xludf.DUMMYFUNCTION("""COMPUTED_VALUE"""),"2024")</f>
        <v>2024</v>
      </c>
      <c r="G1487" s="35" t="str">
        <f>IFERROR(__xludf.DUMMYFUNCTION("""COMPUTED_VALUE"""),"PANJI AKBAR")</f>
        <v>PANJI AKBAR</v>
      </c>
      <c r="H1487" s="17" t="str">
        <f>IFERROR(__xludf.DUMMYFUNCTION("""COMPUTED_VALUE"""),"P7924078118")</f>
        <v>P7924078118</v>
      </c>
      <c r="I1487" s="17">
        <f>IFERROR(__xludf.DUMMYFUNCTION("""COMPUTED_VALUE"""),46.0)</f>
        <v>46</v>
      </c>
      <c r="J1487" s="17" t="str">
        <f>IFERROR(__xludf.DUMMYFUNCTION("""COMPUTED_VALUE"""),"&gt; 44 tahun")</f>
        <v>&gt; 44 tahun</v>
      </c>
      <c r="K1487" s="19">
        <f>IFERROR(__xludf.DUMMYFUNCTION("""COMPUTED_VALUE"""),29135.0)</f>
        <v>29135</v>
      </c>
      <c r="L1487" s="19" t="str">
        <f>IFERROR(__xludf.DUMMYFUNCTION("""COMPUTED_VALUE"""),"LAKI-LAKI")</f>
        <v>LAKI-LAKI</v>
      </c>
      <c r="M1487" s="35" t="str">
        <f>IFERROR(__xludf.DUMMYFUNCTION("""COMPUTED_VALUE"""),"JL. SISINGAMANGARAJA DUSUN IV")</f>
        <v>JL. SISINGAMANGARAJA DUSUN IV</v>
      </c>
      <c r="N1487" s="16" t="str">
        <f>IFERROR(__xludf.DUMMYFUNCTION("""COMPUTED_VALUE"""),"KEL. DARAT SEKIP")</f>
        <v>KEL. DARAT SEKIP</v>
      </c>
      <c r="O1487" s="16" t="str">
        <f>IFERROR(__xludf.DUMMYFUNCTION("""COMPUTED_VALUE"""),"KEC. PONTIANAK BARAT")</f>
        <v>KEC. PONTIANAK BARAT</v>
      </c>
      <c r="P1487" s="16" t="str">
        <f>IFERROR(__xludf.DUMMYFUNCTION("""COMPUTED_VALUE"""),"KAB. ACEH BARAT")</f>
        <v>KAB. ACEH BARAT</v>
      </c>
      <c r="Q1487" s="16" t="str">
        <f>IFERROR(__xludf.DUMMYFUNCTION("""COMPUTED_VALUE"""),"ACEH")</f>
        <v>ACEH</v>
      </c>
      <c r="R1487" s="19" t="str">
        <f>IFERROR(__xludf.DUMMYFUNCTION("""COMPUTED_VALUE"""),"ISLAM")</f>
        <v>ISLAM</v>
      </c>
      <c r="S1487" s="35" t="str">
        <f>IFERROR(__xludf.DUMMYFUNCTION("""COMPUTED_VALUE"""),"BUMN")</f>
        <v>BUMN</v>
      </c>
      <c r="T1487" s="16" t="str">
        <f>IFERROR(__xludf.DUMMYFUNCTION("""COMPUTED_VALUE"""),"Syaraf Kejepit")</f>
        <v>Syaraf Kejepit</v>
      </c>
      <c r="U1487" s="16" t="str">
        <f>IFERROR(__xludf.DUMMYFUNCTION("""COMPUTED_VALUE"""),"Bekerja")</f>
        <v>Bekerja</v>
      </c>
      <c r="V1487" s="11" t="str">
        <f>IFERROR(__xludf.DUMMYFUNCTION("""COMPUTED_VALUE"""),"081331988118")</f>
        <v>081331988118</v>
      </c>
      <c r="W1487" s="15"/>
    </row>
    <row r="1488" ht="22.5" customHeight="1">
      <c r="A1488" s="8"/>
      <c r="B1488" s="9">
        <f>IFERROR(__xludf.DUMMYFUNCTION("""COMPUTED_VALUE"""),45470.44486181713)</f>
        <v>45470.44486</v>
      </c>
      <c r="C1488" s="9"/>
      <c r="D1488" s="34">
        <f>IFERROR(__xludf.DUMMYFUNCTION("""COMPUTED_VALUE"""),45482.0)</f>
        <v>45482</v>
      </c>
      <c r="E1488" s="34" t="str">
        <f>IFERROR(__xludf.DUMMYFUNCTION("""COMPUTED_VALUE"""),"07Jul")</f>
        <v>07Jul</v>
      </c>
      <c r="F1488" s="34" t="str">
        <f>IFERROR(__xludf.DUMMYFUNCTION("""COMPUTED_VALUE"""),"2024")</f>
        <v>2024</v>
      </c>
      <c r="G1488" s="35" t="str">
        <f>IFERROR(__xludf.DUMMYFUNCTION("""COMPUTED_VALUE"""),"ABANG SUGANDI")</f>
        <v>ABANG SUGANDI</v>
      </c>
      <c r="H1488" s="17" t="str">
        <f>IFERROR(__xludf.DUMMYFUNCTION("""COMPUTED_VALUE"""),"A9424078319")</f>
        <v>A9424078319</v>
      </c>
      <c r="I1488" s="17">
        <f>IFERROR(__xludf.DUMMYFUNCTION("""COMPUTED_VALUE"""),32.0)</f>
        <v>32</v>
      </c>
      <c r="J1488" s="17" t="str">
        <f>IFERROR(__xludf.DUMMYFUNCTION("""COMPUTED_VALUE"""),"25-34 tahun")</f>
        <v>25-34 tahun</v>
      </c>
      <c r="K1488" s="19">
        <f>IFERROR(__xludf.DUMMYFUNCTION("""COMPUTED_VALUE"""),34365.0)</f>
        <v>34365</v>
      </c>
      <c r="L1488" s="19" t="str">
        <f>IFERROR(__xludf.DUMMYFUNCTION("""COMPUTED_VALUE"""),"LAKI-LAKI")</f>
        <v>LAKI-LAKI</v>
      </c>
      <c r="M1488" s="35" t="str">
        <f>IFERROR(__xludf.DUMMYFUNCTION("""COMPUTED_VALUE"""),"JALAN PENDIDIKAN SUNGAI PINYUH")</f>
        <v>JALAN PENDIDIKAN SUNGAI PINYUH</v>
      </c>
      <c r="N1488" s="16" t="str">
        <f>IFERROR(__xludf.DUMMYFUNCTION("""COMPUTED_VALUE"""),"KEL. SUNGAI PINYUH")</f>
        <v>KEL. SUNGAI PINYUH</v>
      </c>
      <c r="O1488" s="16" t="str">
        <f>IFERROR(__xludf.DUMMYFUNCTION("""COMPUTED_VALUE"""),"KEC. SUNGAI PINYUH")</f>
        <v>KEC. SUNGAI PINYUH</v>
      </c>
      <c r="P1488" s="16" t="str">
        <f>IFERROR(__xludf.DUMMYFUNCTION("""COMPUTED_VALUE"""),"KAB. MEMPAWAH")</f>
        <v>KAB. MEMPAWAH</v>
      </c>
      <c r="Q1488" s="16" t="str">
        <f>IFERROR(__xludf.DUMMYFUNCTION("""COMPUTED_VALUE"""),"KALIMANTAN BARAT")</f>
        <v>KALIMANTAN BARAT</v>
      </c>
      <c r="R1488" s="19" t="str">
        <f>IFERROR(__xludf.DUMMYFUNCTION("""COMPUTED_VALUE"""),"ISLAM")</f>
        <v>ISLAM</v>
      </c>
      <c r="S1488" s="35" t="str">
        <f>IFERROR(__xludf.DUMMYFUNCTION("""COMPUTED_VALUE"""),"SWASTA")</f>
        <v>SWASTA</v>
      </c>
      <c r="T1488" s="16" t="str">
        <f>IFERROR(__xludf.DUMMYFUNCTION("""COMPUTED_VALUE"""),"Nyeri pada betis dan pergelangan kaki")</f>
        <v>Nyeri pada betis dan pergelangan kaki</v>
      </c>
      <c r="U1488" s="16" t="str">
        <f>IFERROR(__xludf.DUMMYFUNCTION("""COMPUTED_VALUE"""),"Sepak bola")</f>
        <v>Sepak bola</v>
      </c>
      <c r="V1488" s="11" t="str">
        <f>IFERROR(__xludf.DUMMYFUNCTION("""COMPUTED_VALUE"""),"087721638319")</f>
        <v>087721638319</v>
      </c>
      <c r="W1488" s="15"/>
    </row>
    <row r="1489" ht="22.5" customHeight="1">
      <c r="A1489" s="8"/>
      <c r="B1489" s="9">
        <f>IFERROR(__xludf.DUMMYFUNCTION("""COMPUTED_VALUE"""),45472.60739885417)</f>
        <v>45472.6074</v>
      </c>
      <c r="C1489" s="9"/>
      <c r="D1489" s="34">
        <f>IFERROR(__xludf.DUMMYFUNCTION("""COMPUTED_VALUE"""),45482.0)</f>
        <v>45482</v>
      </c>
      <c r="E1489" s="34" t="str">
        <f>IFERROR(__xludf.DUMMYFUNCTION("""COMPUTED_VALUE"""),"07Jul")</f>
        <v>07Jul</v>
      </c>
      <c r="F1489" s="34" t="str">
        <f>IFERROR(__xludf.DUMMYFUNCTION("""COMPUTED_VALUE"""),"2024")</f>
        <v>2024</v>
      </c>
      <c r="G1489" s="35" t="str">
        <f>IFERROR(__xludf.DUMMYFUNCTION("""COMPUTED_VALUE"""),"FATHIR MUHAMMAD ADIAMIN")</f>
        <v>FATHIR MUHAMMAD ADIAMIN</v>
      </c>
      <c r="H1489" s="17" t="str">
        <f>IFERROR(__xludf.DUMMYFUNCTION("""COMPUTED_VALUE"""),"F0724077441")</f>
        <v>F0724077441</v>
      </c>
      <c r="I1489" s="17">
        <f>IFERROR(__xludf.DUMMYFUNCTION("""COMPUTED_VALUE"""),19.0)</f>
        <v>19</v>
      </c>
      <c r="J1489" s="17" t="str">
        <f>IFERROR(__xludf.DUMMYFUNCTION("""COMPUTED_VALUE"""),"18-24 tahun")</f>
        <v>18-24 tahun</v>
      </c>
      <c r="K1489" s="19">
        <f>IFERROR(__xludf.DUMMYFUNCTION("""COMPUTED_VALUE"""),39089.0)</f>
        <v>39089</v>
      </c>
      <c r="L1489" s="19" t="str">
        <f>IFERROR(__xludf.DUMMYFUNCTION("""COMPUTED_VALUE"""),"LAKI-LAKI")</f>
        <v>LAKI-LAKI</v>
      </c>
      <c r="M1489" s="35" t="str">
        <f>IFERROR(__xludf.DUMMYFUNCTION("""COMPUTED_VALUE"""),"JL.PADAT KARYA KOMP.GRIYA PESONA 1")</f>
        <v>JL.PADAT KARYA KOMP.GRIYA PESONA 1</v>
      </c>
      <c r="N1489" s="16" t="str">
        <f>IFERROR(__xludf.DUMMYFUNCTION("""COMPUTED_VALUE"""),"KEL. SAIGON")</f>
        <v>KEL. SAIGON</v>
      </c>
      <c r="O1489" s="16" t="str">
        <f>IFERROR(__xludf.DUMMYFUNCTION("""COMPUTED_VALUE"""),"KEC. PONTIANAK TIMUR")</f>
        <v>KEC. PONTIANAK TIMUR</v>
      </c>
      <c r="P1489" s="16" t="str">
        <f>IFERROR(__xludf.DUMMYFUNCTION("""COMPUTED_VALUE"""),"KOTA PONTIANAK")</f>
        <v>KOTA PONTIANAK</v>
      </c>
      <c r="Q1489" s="16" t="str">
        <f>IFERROR(__xludf.DUMMYFUNCTION("""COMPUTED_VALUE"""),"KALIMANTAN BARAT")</f>
        <v>KALIMANTAN BARAT</v>
      </c>
      <c r="R1489" s="19" t="str">
        <f>IFERROR(__xludf.DUMMYFUNCTION("""COMPUTED_VALUE"""),"ISLAM")</f>
        <v>ISLAM</v>
      </c>
      <c r="S1489" s="16" t="str">
        <f>IFERROR(__xludf.DUMMYFUNCTION("""COMPUTED_VALUE"""),"PELAJAR/MAHASISWA")</f>
        <v>PELAJAR/MAHASISWA</v>
      </c>
      <c r="T1489" s="16" t="str">
        <f>IFERROR(__xludf.DUMMYFUNCTION("""COMPUTED_VALUE"""),"Bahu bagian kanan turun")</f>
        <v>Bahu bagian kanan turun</v>
      </c>
      <c r="U1489" s="16" t="str">
        <f>IFERROR(__xludf.DUMMYFUNCTION("""COMPUTED_VALUE"""),"Volly dan futsal")</f>
        <v>Volly dan futsal</v>
      </c>
      <c r="V1489" s="11" t="str">
        <f>IFERROR(__xludf.DUMMYFUNCTION("""COMPUTED_VALUE"""),"08126527441")</f>
        <v>08126527441</v>
      </c>
      <c r="W1489" s="15"/>
    </row>
    <row r="1490" ht="22.5" customHeight="1">
      <c r="A1490" s="8"/>
      <c r="B1490" s="9">
        <f>IFERROR(__xludf.DUMMYFUNCTION("""COMPUTED_VALUE"""),45472.72710689815)</f>
        <v>45472.72711</v>
      </c>
      <c r="C1490" s="9"/>
      <c r="D1490" s="34">
        <f>IFERROR(__xludf.DUMMYFUNCTION("""COMPUTED_VALUE"""),45483.0)</f>
        <v>45483</v>
      </c>
      <c r="E1490" s="34" t="str">
        <f>IFERROR(__xludf.DUMMYFUNCTION("""COMPUTED_VALUE"""),"07Jul")</f>
        <v>07Jul</v>
      </c>
      <c r="F1490" s="34" t="str">
        <f>IFERROR(__xludf.DUMMYFUNCTION("""COMPUTED_VALUE"""),"2024")</f>
        <v>2024</v>
      </c>
      <c r="G1490" s="35" t="str">
        <f>IFERROR(__xludf.DUMMYFUNCTION("""COMPUTED_VALUE"""),"REZA LUQMAN FATHONI")</f>
        <v>REZA LUQMAN FATHONI</v>
      </c>
      <c r="H1490" s="17" t="str">
        <f>IFERROR(__xludf.DUMMYFUNCTION("""COMPUTED_VALUE"""),"R9424073598")</f>
        <v>R9424073598</v>
      </c>
      <c r="I1490" s="17">
        <f>IFERROR(__xludf.DUMMYFUNCTION("""COMPUTED_VALUE"""),32.0)</f>
        <v>32</v>
      </c>
      <c r="J1490" s="17" t="str">
        <f>IFERROR(__xludf.DUMMYFUNCTION("""COMPUTED_VALUE"""),"25-34 tahun")</f>
        <v>25-34 tahun</v>
      </c>
      <c r="K1490" s="19">
        <f>IFERROR(__xludf.DUMMYFUNCTION("""COMPUTED_VALUE"""),34467.0)</f>
        <v>34467</v>
      </c>
      <c r="L1490" s="19" t="str">
        <f>IFERROR(__xludf.DUMMYFUNCTION("""COMPUTED_VALUE"""),"LAKI-LAKI")</f>
        <v>LAKI-LAKI</v>
      </c>
      <c r="M1490" s="35" t="str">
        <f>IFERROR(__xludf.DUMMYFUNCTION("""COMPUTED_VALUE"""),"DUSUN SIDOMULYO")</f>
        <v>DUSUN SIDOMULYO</v>
      </c>
      <c r="N1490" s="35" t="str">
        <f>IFERROR(__xludf.DUMMYFUNCTION("""COMPUTED_VALUE"""),"DS. GLEDUG")</f>
        <v>DS. GLEDUG</v>
      </c>
      <c r="O1490" s="35" t="str">
        <f>IFERROR(__xludf.DUMMYFUNCTION("""COMPUTED_VALUE"""),"KEC. SANANKULON")</f>
        <v>KEC. SANANKULON</v>
      </c>
      <c r="P1490" s="16" t="str">
        <f>IFERROR(__xludf.DUMMYFUNCTION("""COMPUTED_VALUE"""),"KOTA BLITAR")</f>
        <v>KOTA BLITAR</v>
      </c>
      <c r="Q1490" s="16" t="str">
        <f>IFERROR(__xludf.DUMMYFUNCTION("""COMPUTED_VALUE"""),"JAWA TIMUR")</f>
        <v>JAWA TIMUR</v>
      </c>
      <c r="R1490" s="19" t="str">
        <f>IFERROR(__xludf.DUMMYFUNCTION("""COMPUTED_VALUE"""),"ISLAM")</f>
        <v>ISLAM</v>
      </c>
      <c r="S1490" s="16" t="str">
        <f>IFERROR(__xludf.DUMMYFUNCTION("""COMPUTED_VALUE"""),"SWASTA")</f>
        <v>SWASTA</v>
      </c>
      <c r="T1490" s="16" t="str">
        <f>IFERROR(__xludf.DUMMYFUNCTION("""COMPUTED_VALUE"""),"otot paha depan saya nyeri saat dipakai menendang bola")</f>
        <v>otot paha depan saya nyeri saat dipakai menendang bola</v>
      </c>
      <c r="U1490" s="16" t="str">
        <f>IFERROR(__xludf.DUMMYFUNCTION("""COMPUTED_VALUE"""),"Pegawai Kantor, seminggu sekali main bola")</f>
        <v>Pegawai Kantor, seminggu sekali main bola</v>
      </c>
      <c r="V1490" s="11" t="str">
        <f>IFERROR(__xludf.DUMMYFUNCTION("""COMPUTED_VALUE"""),"082233863598")</f>
        <v>082233863598</v>
      </c>
      <c r="W1490" s="15"/>
    </row>
    <row r="1491" ht="22.5" customHeight="1">
      <c r="A1491" s="8"/>
      <c r="B1491" s="9">
        <f>IFERROR(__xludf.DUMMYFUNCTION("""COMPUTED_VALUE"""),45472.70258790509)</f>
        <v>45472.70259</v>
      </c>
      <c r="C1491" s="9"/>
      <c r="D1491" s="34">
        <f>IFERROR(__xludf.DUMMYFUNCTION("""COMPUTED_VALUE"""),45483.0)</f>
        <v>45483</v>
      </c>
      <c r="E1491" s="34" t="str">
        <f>IFERROR(__xludf.DUMMYFUNCTION("""COMPUTED_VALUE"""),"07Jul")</f>
        <v>07Jul</v>
      </c>
      <c r="F1491" s="34" t="str">
        <f>IFERROR(__xludf.DUMMYFUNCTION("""COMPUTED_VALUE"""),"2024")</f>
        <v>2024</v>
      </c>
      <c r="G1491" s="35" t="str">
        <f>IFERROR(__xludf.DUMMYFUNCTION("""COMPUTED_VALUE"""),"DIFRA HAIRULLAH")</f>
        <v>DIFRA HAIRULLAH</v>
      </c>
      <c r="H1491" s="17" t="str">
        <f>IFERROR(__xludf.DUMMYFUNCTION("""COMPUTED_VALUE"""),"D0724073753")</f>
        <v>D0724073753</v>
      </c>
      <c r="I1491" s="17">
        <f>IFERROR(__xludf.DUMMYFUNCTION("""COMPUTED_VALUE"""),19.0)</f>
        <v>19</v>
      </c>
      <c r="J1491" s="17" t="str">
        <f>IFERROR(__xludf.DUMMYFUNCTION("""COMPUTED_VALUE"""),"18-24 tahun")</f>
        <v>18-24 tahun</v>
      </c>
      <c r="K1491" s="19">
        <f>IFERROR(__xludf.DUMMYFUNCTION("""COMPUTED_VALUE"""),39163.0)</f>
        <v>39163</v>
      </c>
      <c r="L1491" s="19" t="str">
        <f>IFERROR(__xludf.DUMMYFUNCTION("""COMPUTED_VALUE"""),"LAKI-LAKI")</f>
        <v>LAKI-LAKI</v>
      </c>
      <c r="M1491" s="35" t="str">
        <f>IFERROR(__xludf.DUMMYFUNCTION("""COMPUTED_VALUE"""),"JALAN PELITA LL")</f>
        <v>JALAN PELITA LL</v>
      </c>
      <c r="N1491" s="16" t="str">
        <f>IFERROR(__xludf.DUMMYFUNCTION("""COMPUTED_VALUE"""),"DS. PUNGGUR KECIL")</f>
        <v>DS. PUNGGUR KECIL</v>
      </c>
      <c r="O1491" s="16" t="str">
        <f>IFERROR(__xludf.DUMMYFUNCTION("""COMPUTED_VALUE"""),"KEC. SUNGAI KAKAP")</f>
        <v>KEC. SUNGAI KAKAP</v>
      </c>
      <c r="P1491" s="16" t="str">
        <f>IFERROR(__xludf.DUMMYFUNCTION("""COMPUTED_VALUE"""),"KAB. KUBU RAYA")</f>
        <v>KAB. KUBU RAYA</v>
      </c>
      <c r="Q1491" s="16" t="str">
        <f>IFERROR(__xludf.DUMMYFUNCTION("""COMPUTED_VALUE"""),"KALIMANTAN BARAT")</f>
        <v>KALIMANTAN BARAT</v>
      </c>
      <c r="R1491" s="19" t="str">
        <f>IFERROR(__xludf.DUMMYFUNCTION("""COMPUTED_VALUE"""),"ISLAM")</f>
        <v>ISLAM</v>
      </c>
      <c r="S1491" s="16" t="str">
        <f>IFERROR(__xludf.DUMMYFUNCTION("""COMPUTED_VALUE"""),"PELAJAR/MAHASISWA")</f>
        <v>PELAJAR/MAHASISWA</v>
      </c>
      <c r="T1491" s="16" t="str">
        <f>IFERROR(__xludf.DUMMYFUNCTION("""COMPUTED_VALUE"""),"SAKIT DI BAGIAN LEHER")</f>
        <v>SAKIT DI BAGIAN LEHER</v>
      </c>
      <c r="U1491" s="16" t="str">
        <f>IFERROR(__xludf.DUMMYFUNCTION("""COMPUTED_VALUE"""),"FUTSAL")</f>
        <v>FUTSAL</v>
      </c>
      <c r="V1491" s="11" t="str">
        <f>IFERROR(__xludf.DUMMYFUNCTION("""COMPUTED_VALUE"""),"085252423753")</f>
        <v>085252423753</v>
      </c>
      <c r="W1491" s="15"/>
    </row>
    <row r="1492" ht="22.5" customHeight="1">
      <c r="A1492" s="8"/>
      <c r="B1492" s="9">
        <f>IFERROR(__xludf.DUMMYFUNCTION("""COMPUTED_VALUE"""),45473.43647677083)</f>
        <v>45473.43648</v>
      </c>
      <c r="C1492" s="9"/>
      <c r="D1492" s="34">
        <f>IFERROR(__xludf.DUMMYFUNCTION("""COMPUTED_VALUE"""),45483.0)</f>
        <v>45483</v>
      </c>
      <c r="E1492" s="34" t="str">
        <f>IFERROR(__xludf.DUMMYFUNCTION("""COMPUTED_VALUE"""),"07Jul")</f>
        <v>07Jul</v>
      </c>
      <c r="F1492" s="34" t="str">
        <f>IFERROR(__xludf.DUMMYFUNCTION("""COMPUTED_VALUE"""),"2024")</f>
        <v>2024</v>
      </c>
      <c r="G1492" s="35" t="str">
        <f>IFERROR(__xludf.DUMMYFUNCTION("""COMPUTED_VALUE"""),"FERDY")</f>
        <v>FERDY</v>
      </c>
      <c r="H1492" s="17" t="str">
        <f>IFERROR(__xludf.DUMMYFUNCTION("""COMPUTED_VALUE"""),"F9224078140")</f>
        <v>F9224078140</v>
      </c>
      <c r="I1492" s="17">
        <f>IFERROR(__xludf.DUMMYFUNCTION("""COMPUTED_VALUE"""),34.0)</f>
        <v>34</v>
      </c>
      <c r="J1492" s="17" t="str">
        <f>IFERROR(__xludf.DUMMYFUNCTION("""COMPUTED_VALUE"""),"25-34 tahun")</f>
        <v>25-34 tahun</v>
      </c>
      <c r="K1492" s="19">
        <f>IFERROR(__xludf.DUMMYFUNCTION("""COMPUTED_VALUE"""),33735.0)</f>
        <v>33735</v>
      </c>
      <c r="L1492" s="19" t="str">
        <f>IFERROR(__xludf.DUMMYFUNCTION("""COMPUTED_VALUE"""),"LAKI-LAKI")</f>
        <v>LAKI-LAKI</v>
      </c>
      <c r="M1492" s="35" t="str">
        <f>IFERROR(__xludf.DUMMYFUNCTION("""COMPUTED_VALUE"""),"KOMPLEK VILLA ELEKTRIK")</f>
        <v>KOMPLEK VILLA ELEKTRIK</v>
      </c>
      <c r="N1492" s="16" t="str">
        <f>IFERROR(__xludf.DUMMYFUNCTION("""COMPUTED_VALUE"""),"KEL. TANJUNG HULU")</f>
        <v>KEL. TANJUNG HULU</v>
      </c>
      <c r="O1492" s="16" t="str">
        <f>IFERROR(__xludf.DUMMYFUNCTION("""COMPUTED_VALUE"""),"KEC. PONTIANAK TIMUR")</f>
        <v>KEC. PONTIANAK TIMUR</v>
      </c>
      <c r="P1492" s="16" t="str">
        <f>IFERROR(__xludf.DUMMYFUNCTION("""COMPUTED_VALUE"""),"KOTA PONTIANAK")</f>
        <v>KOTA PONTIANAK</v>
      </c>
      <c r="Q1492" s="16" t="str">
        <f>IFERROR(__xludf.DUMMYFUNCTION("""COMPUTED_VALUE"""),"KALIMANTAN BARAT")</f>
        <v>KALIMANTAN BARAT</v>
      </c>
      <c r="R1492" s="19" t="str">
        <f>IFERROR(__xludf.DUMMYFUNCTION("""COMPUTED_VALUE"""),"ISLAM")</f>
        <v>ISLAM</v>
      </c>
      <c r="S1492" s="16" t="str">
        <f>IFERROR(__xludf.DUMMYFUNCTION("""COMPUTED_VALUE"""),"SWASTA")</f>
        <v>SWASTA</v>
      </c>
      <c r="T1492" s="16" t="str">
        <f>IFERROR(__xludf.DUMMYFUNCTION("""COMPUTED_VALUE"""),"Sakit di bagian angkle tumit")</f>
        <v>Sakit di bagian angkle tumit</v>
      </c>
      <c r="U1492" s="16" t="str">
        <f>IFERROR(__xludf.DUMMYFUNCTION("""COMPUTED_VALUE"""),"Biliard dan mini soccer")</f>
        <v>Biliard dan mini soccer</v>
      </c>
      <c r="V1492" s="11" t="str">
        <f>IFERROR(__xludf.DUMMYFUNCTION("""COMPUTED_VALUE"""),"081522708140")</f>
        <v>081522708140</v>
      </c>
      <c r="W1492" s="15"/>
    </row>
    <row r="1493" ht="22.5" customHeight="1">
      <c r="A1493" s="8"/>
      <c r="B1493" s="9">
        <f>IFERROR(__xludf.DUMMYFUNCTION("""COMPUTED_VALUE"""),45473.64826209491)</f>
        <v>45473.64826</v>
      </c>
      <c r="C1493" s="9"/>
      <c r="D1493" s="34">
        <f>IFERROR(__xludf.DUMMYFUNCTION("""COMPUTED_VALUE"""),45484.0)</f>
        <v>45484</v>
      </c>
      <c r="E1493" s="34" t="str">
        <f>IFERROR(__xludf.DUMMYFUNCTION("""COMPUTED_VALUE"""),"07Jul")</f>
        <v>07Jul</v>
      </c>
      <c r="F1493" s="34" t="str">
        <f>IFERROR(__xludf.DUMMYFUNCTION("""COMPUTED_VALUE"""),"2024")</f>
        <v>2024</v>
      </c>
      <c r="G1493" s="35" t="str">
        <f>IFERROR(__xludf.DUMMYFUNCTION("""COMPUTED_VALUE"""),"DRA. HJ. MARHAENY SUCIATIN, M.MPD")</f>
        <v>DRA. HJ. MARHAENY SUCIATIN, M.MPD</v>
      </c>
      <c r="H1493" s="17" t="str">
        <f>IFERROR(__xludf.DUMMYFUNCTION("""COMPUTED_VALUE"""),"D6024074266")</f>
        <v>D6024074266</v>
      </c>
      <c r="I1493" s="17">
        <f>IFERROR(__xludf.DUMMYFUNCTION("""COMPUTED_VALUE"""),65.0)</f>
        <v>65</v>
      </c>
      <c r="J1493" s="17" t="str">
        <f>IFERROR(__xludf.DUMMYFUNCTION("""COMPUTED_VALUE"""),"&gt; 44 tahun")</f>
        <v>&gt; 44 tahun</v>
      </c>
      <c r="K1493" s="19">
        <f>IFERROR(__xludf.DUMMYFUNCTION("""COMPUTED_VALUE"""),22174.0)</f>
        <v>22174</v>
      </c>
      <c r="L1493" s="19" t="str">
        <f>IFERROR(__xludf.DUMMYFUNCTION("""COMPUTED_VALUE"""),"PEREMPUAN")</f>
        <v>PEREMPUAN</v>
      </c>
      <c r="M1493" s="35" t="str">
        <f>IFERROR(__xludf.DUMMYFUNCTION("""COMPUTED_VALUE"""),"JL. PROF. DR. M. YAMIN GG. BINA KARYA NO. 9-B")</f>
        <v>JL. PROF. DR. M. YAMIN GG. BINA KARYA NO. 9-B</v>
      </c>
      <c r="N1493" s="16" t="str">
        <f>IFERROR(__xludf.DUMMYFUNCTION("""COMPUTED_VALUE"""),"KEL. KOTA BARU")</f>
        <v>KEL. KOTA BARU</v>
      </c>
      <c r="O1493" s="16" t="str">
        <f>IFERROR(__xludf.DUMMYFUNCTION("""COMPUTED_VALUE"""),"KEC. PONTIANAK SELATAN")</f>
        <v>KEC. PONTIANAK SELATAN</v>
      </c>
      <c r="P1493" s="16" t="str">
        <f>IFERROR(__xludf.DUMMYFUNCTION("""COMPUTED_VALUE"""),"KOTA PONTIANAK")</f>
        <v>KOTA PONTIANAK</v>
      </c>
      <c r="Q1493" s="16" t="str">
        <f>IFERROR(__xludf.DUMMYFUNCTION("""COMPUTED_VALUE"""),"KALIMANTAN BARAT")</f>
        <v>KALIMANTAN BARAT</v>
      </c>
      <c r="R1493" s="19" t="str">
        <f>IFERROR(__xludf.DUMMYFUNCTION("""COMPUTED_VALUE"""),"ISLAM")</f>
        <v>ISLAM</v>
      </c>
      <c r="S1493" s="16" t="str">
        <f>IFERROR(__xludf.DUMMYFUNCTION("""COMPUTED_VALUE"""),"PENSIUN")</f>
        <v>PENSIUN</v>
      </c>
      <c r="T1493" s="16" t="str">
        <f>IFERROR(__xludf.DUMMYFUNCTION("""COMPUTED_VALUE"""),"STROKE RINGAN")</f>
        <v>STROKE RINGAN</v>
      </c>
      <c r="U1493" s="16" t="str">
        <f>IFERROR(__xludf.DUMMYFUNCTION("""COMPUTED_VALUE"""),"OLAHRAGA, MEMBACA, BERORGANISASI")</f>
        <v>OLAHRAGA, MEMBACA, BERORGANISASI</v>
      </c>
      <c r="V1493" s="11" t="str">
        <f>IFERROR(__xludf.DUMMYFUNCTION("""COMPUTED_VALUE"""),"089693464266")</f>
        <v>089693464266</v>
      </c>
      <c r="W1493" s="15"/>
    </row>
    <row r="1494" ht="22.5" customHeight="1">
      <c r="A1494" s="8"/>
      <c r="B1494" s="9">
        <f>IFERROR(__xludf.DUMMYFUNCTION("""COMPUTED_VALUE"""),45473.69602476852)</f>
        <v>45473.69602</v>
      </c>
      <c r="C1494" s="9"/>
      <c r="D1494" s="34">
        <f>IFERROR(__xludf.DUMMYFUNCTION("""COMPUTED_VALUE"""),45484.0)</f>
        <v>45484</v>
      </c>
      <c r="E1494" s="34" t="str">
        <f>IFERROR(__xludf.DUMMYFUNCTION("""COMPUTED_VALUE"""),"07Jul")</f>
        <v>07Jul</v>
      </c>
      <c r="F1494" s="34" t="str">
        <f>IFERROR(__xludf.DUMMYFUNCTION("""COMPUTED_VALUE"""),"2024")</f>
        <v>2024</v>
      </c>
      <c r="G1494" s="35" t="str">
        <f>IFERROR(__xludf.DUMMYFUNCTION("""COMPUTED_VALUE"""),"DAFFA DZAKY ALMAIR")</f>
        <v>DAFFA DZAKY ALMAIR</v>
      </c>
      <c r="H1494" s="17" t="str">
        <f>IFERROR(__xludf.DUMMYFUNCTION("""COMPUTED_VALUE"""),"D1424075222")</f>
        <v>D1424075222</v>
      </c>
      <c r="I1494" s="17">
        <f>IFERROR(__xludf.DUMMYFUNCTION("""COMPUTED_VALUE"""),11.0)</f>
        <v>11</v>
      </c>
      <c r="J1494" s="17" t="str">
        <f>IFERROR(__xludf.DUMMYFUNCTION("""COMPUTED_VALUE"""),"&lt; 18 tahun")</f>
        <v>&lt; 18 tahun</v>
      </c>
      <c r="K1494" s="19">
        <f>IFERROR(__xludf.DUMMYFUNCTION("""COMPUTED_VALUE"""),41803.0)</f>
        <v>41803</v>
      </c>
      <c r="L1494" s="19" t="str">
        <f>IFERROR(__xludf.DUMMYFUNCTION("""COMPUTED_VALUE"""),"LAKI-LAKI")</f>
        <v>LAKI-LAKI</v>
      </c>
      <c r="M1494" s="35" t="str">
        <f>IFERROR(__xludf.DUMMYFUNCTION("""COMPUTED_VALUE"""),"JL. DR. SUTOMO GANG SARIKATON KOMP. MUTIARA SARIKATON NO. B3")</f>
        <v>JL. DR. SUTOMO GANG SARIKATON KOMP. MUTIARA SARIKATON NO. B3</v>
      </c>
      <c r="N1494" s="16" t="str">
        <f>IFERROR(__xludf.DUMMYFUNCTION("""COMPUTED_VALUE"""),"KEL. SUNGAI BANGKONG")</f>
        <v>KEL. SUNGAI BANGKONG</v>
      </c>
      <c r="O1494" s="16" t="str">
        <f>IFERROR(__xludf.DUMMYFUNCTION("""COMPUTED_VALUE"""),"KEC. PONTIANAK UTARA")</f>
        <v>KEC. PONTIANAK UTARA</v>
      </c>
      <c r="P1494" s="16" t="str">
        <f>IFERROR(__xludf.DUMMYFUNCTION("""COMPUTED_VALUE"""),"KOTA PONTIANAK")</f>
        <v>KOTA PONTIANAK</v>
      </c>
      <c r="Q1494" s="16" t="str">
        <f>IFERROR(__xludf.DUMMYFUNCTION("""COMPUTED_VALUE"""),"KALIMANTAN BARAT")</f>
        <v>KALIMANTAN BARAT</v>
      </c>
      <c r="R1494" s="19" t="str">
        <f>IFERROR(__xludf.DUMMYFUNCTION("""COMPUTED_VALUE"""),"ISLAM")</f>
        <v>ISLAM</v>
      </c>
      <c r="S1494" s="35" t="str">
        <f>IFERROR(__xludf.DUMMYFUNCTION("""COMPUTED_VALUE"""),"PELAJAR/MAHASISWA")</f>
        <v>PELAJAR/MAHASISWA</v>
      </c>
      <c r="T1494" s="16" t="str">
        <f>IFERROR(__xludf.DUMMYFUNCTION("""COMPUTED_VALUE"""),"Keseleo kaki kiri")</f>
        <v>Keseleo kaki kiri</v>
      </c>
      <c r="U1494" s="16" t="str">
        <f>IFERROR(__xludf.DUMMYFUNCTION("""COMPUTED_VALUE"""),"Futsal")</f>
        <v>Futsal</v>
      </c>
      <c r="V1494" s="11" t="str">
        <f>IFERROR(__xludf.DUMMYFUNCTION("""COMPUTED_VALUE"""),"081257245222")</f>
        <v>081257245222</v>
      </c>
      <c r="W1494" s="15"/>
    </row>
    <row r="1495" ht="22.5" customHeight="1">
      <c r="A1495" s="8"/>
      <c r="B1495" s="9">
        <f>IFERROR(__xludf.DUMMYFUNCTION("""COMPUTED_VALUE"""),45473.70142670139)</f>
        <v>45473.70143</v>
      </c>
      <c r="C1495" s="9"/>
      <c r="D1495" s="34">
        <f>IFERROR(__xludf.DUMMYFUNCTION("""COMPUTED_VALUE"""),45486.0)</f>
        <v>45486</v>
      </c>
      <c r="E1495" s="34" t="str">
        <f>IFERROR(__xludf.DUMMYFUNCTION("""COMPUTED_VALUE"""),"07Jul")</f>
        <v>07Jul</v>
      </c>
      <c r="F1495" s="34" t="str">
        <f>IFERROR(__xludf.DUMMYFUNCTION("""COMPUTED_VALUE"""),"2024")</f>
        <v>2024</v>
      </c>
      <c r="G1495" s="35" t="str">
        <f>IFERROR(__xludf.DUMMYFUNCTION("""COMPUTED_VALUE"""),"YA’YALATAMA IZMAYANA")</f>
        <v>YA’YALATAMA IZMAYANA</v>
      </c>
      <c r="H1495" s="17" t="str">
        <f>IFERROR(__xludf.DUMMYFUNCTION("""COMPUTED_VALUE"""),"Y0124071611")</f>
        <v>Y0124071611</v>
      </c>
      <c r="I1495" s="17">
        <f>IFERROR(__xludf.DUMMYFUNCTION("""COMPUTED_VALUE"""),25.0)</f>
        <v>25</v>
      </c>
      <c r="J1495" s="17" t="str">
        <f>IFERROR(__xludf.DUMMYFUNCTION("""COMPUTED_VALUE"""),"25-34 tahun")</f>
        <v>25-34 tahun</v>
      </c>
      <c r="K1495" s="19">
        <f>IFERROR(__xludf.DUMMYFUNCTION("""COMPUTED_VALUE"""),36915.0)</f>
        <v>36915</v>
      </c>
      <c r="L1495" s="19" t="str">
        <f>IFERROR(__xludf.DUMMYFUNCTION("""COMPUTED_VALUE"""),"LAKI-LAKI")</f>
        <v>LAKI-LAKI</v>
      </c>
      <c r="M1495" s="35" t="str">
        <f>IFERROR(__xludf.DUMMYFUNCTION("""COMPUTED_VALUE"""),"DESA RAJA")</f>
        <v>DESA RAJA</v>
      </c>
      <c r="N1495" s="16" t="str">
        <f>IFERROR(__xludf.DUMMYFUNCTION("""COMPUTED_VALUE"""),"DS. HILIR KANTOR")</f>
        <v>DS. HILIR KANTOR</v>
      </c>
      <c r="O1495" s="16" t="str">
        <f>IFERROR(__xludf.DUMMYFUNCTION("""COMPUTED_VALUE"""),"KEC. NGABANG")</f>
        <v>KEC. NGABANG</v>
      </c>
      <c r="P1495" s="16" t="str">
        <f>IFERROR(__xludf.DUMMYFUNCTION("""COMPUTED_VALUE"""),"KAB. LANDAK")</f>
        <v>KAB. LANDAK</v>
      </c>
      <c r="Q1495" s="16" t="str">
        <f>IFERROR(__xludf.DUMMYFUNCTION("""COMPUTED_VALUE"""),"KALIMANTAN BARAT")</f>
        <v>KALIMANTAN BARAT</v>
      </c>
      <c r="R1495" s="19" t="str">
        <f>IFERROR(__xludf.DUMMYFUNCTION("""COMPUTED_VALUE"""),"ISLAM")</f>
        <v>ISLAM</v>
      </c>
      <c r="S1495" s="16" t="str">
        <f>IFERROR(__xludf.DUMMYFUNCTION("""COMPUTED_VALUE"""),"FREELANCE")</f>
        <v>FREELANCE</v>
      </c>
      <c r="T1495" s="16" t="str">
        <f>IFERROR(__xludf.DUMMYFUNCTION("""COMPUTED_VALUE"""),", tidak bisaa di luruskan dan ditekuk")</f>
        <v>, tidak bisaa di luruskan dan ditekuk</v>
      </c>
      <c r="U1495" s="16" t="str">
        <f>IFERROR(__xludf.DUMMYFUNCTION("""COMPUTED_VALUE"""),"Futsal")</f>
        <v>Futsal</v>
      </c>
      <c r="V1495" s="11" t="str">
        <f>IFERROR(__xludf.DUMMYFUNCTION("""COMPUTED_VALUE"""),"0895702061611")</f>
        <v>0895702061611</v>
      </c>
      <c r="W1495" s="15"/>
    </row>
    <row r="1496" ht="22.5" customHeight="1">
      <c r="A1496" s="8"/>
      <c r="B1496" s="9">
        <f>IFERROR(__xludf.DUMMYFUNCTION("""COMPUTED_VALUE"""),45474.55169383102)</f>
        <v>45474.55169</v>
      </c>
      <c r="C1496" s="9"/>
      <c r="D1496" s="34">
        <f>IFERROR(__xludf.DUMMYFUNCTION("""COMPUTED_VALUE"""),45486.0)</f>
        <v>45486</v>
      </c>
      <c r="E1496" s="34" t="str">
        <f>IFERROR(__xludf.DUMMYFUNCTION("""COMPUTED_VALUE"""),"07Jul")</f>
        <v>07Jul</v>
      </c>
      <c r="F1496" s="34" t="str">
        <f>IFERROR(__xludf.DUMMYFUNCTION("""COMPUTED_VALUE"""),"2024")</f>
        <v>2024</v>
      </c>
      <c r="G1496" s="35" t="str">
        <f>IFERROR(__xludf.DUMMYFUNCTION("""COMPUTED_VALUE"""),"MUHAMMAD SODIQ")</f>
        <v>MUHAMMAD SODIQ</v>
      </c>
      <c r="H1496" s="17" t="str">
        <f>IFERROR(__xludf.DUMMYFUNCTION("""COMPUTED_VALUE"""),"M0124075599")</f>
        <v>M0124075599</v>
      </c>
      <c r="I1496" s="17">
        <f>IFERROR(__xludf.DUMMYFUNCTION("""COMPUTED_VALUE"""),24.0)</f>
        <v>24</v>
      </c>
      <c r="J1496" s="17" t="str">
        <f>IFERROR(__xludf.DUMMYFUNCTION("""COMPUTED_VALUE"""),"18-24 tahun")</f>
        <v>18-24 tahun</v>
      </c>
      <c r="K1496" s="19">
        <f>IFERROR(__xludf.DUMMYFUNCTION("""COMPUTED_VALUE"""),37058.0)</f>
        <v>37058</v>
      </c>
      <c r="L1496" s="19" t="str">
        <f>IFERROR(__xludf.DUMMYFUNCTION("""COMPUTED_VALUE"""),"LAKI-LAKI")</f>
        <v>LAKI-LAKI</v>
      </c>
      <c r="M1496" s="35" t="str">
        <f>IFERROR(__xludf.DUMMYFUNCTION("""COMPUTED_VALUE"""),"JL. SUNGAI RAYA DALAM, KOMPLEK. CITRA SERDAM NO 1F")</f>
        <v>JL. SUNGAI RAYA DALAM, KOMPLEK. CITRA SERDAM NO 1F</v>
      </c>
      <c r="N1496" s="16" t="str">
        <f>IFERROR(__xludf.DUMMYFUNCTION("""COMPUTED_VALUE"""),"KEL. BANSIR DARAT")</f>
        <v>KEL. BANSIR DARAT</v>
      </c>
      <c r="O1496" s="16" t="str">
        <f>IFERROR(__xludf.DUMMYFUNCTION("""COMPUTED_VALUE"""),"KEC. PONTIANAK TENGGARA")</f>
        <v>KEC. PONTIANAK TENGGARA</v>
      </c>
      <c r="P1496" s="16" t="str">
        <f>IFERROR(__xludf.DUMMYFUNCTION("""COMPUTED_VALUE"""),"KOTA PONTIANAK")</f>
        <v>KOTA PONTIANAK</v>
      </c>
      <c r="Q1496" s="16" t="str">
        <f>IFERROR(__xludf.DUMMYFUNCTION("""COMPUTED_VALUE"""),"KALIMANTAN BARAT")</f>
        <v>KALIMANTAN BARAT</v>
      </c>
      <c r="R1496" s="19" t="str">
        <f>IFERROR(__xludf.DUMMYFUNCTION("""COMPUTED_VALUE"""),"ISLAM")</f>
        <v>ISLAM</v>
      </c>
      <c r="S1496" s="16" t="str">
        <f>IFERROR(__xludf.DUMMYFUNCTION("""COMPUTED_VALUE"""),"SWASTA")</f>
        <v>SWASTA</v>
      </c>
      <c r="T1496" s="16" t="str">
        <f>IFERROR(__xludf.DUMMYFUNCTION("""COMPUTED_VALUE"""),"Cedera")</f>
        <v>Cedera</v>
      </c>
      <c r="U1496" s="16" t="str">
        <f>IFERROR(__xludf.DUMMYFUNCTION("""COMPUTED_VALUE"""),"Bermain bola")</f>
        <v>Bermain bola</v>
      </c>
      <c r="V1496" s="11" t="str">
        <f>IFERROR(__xludf.DUMMYFUNCTION("""COMPUTED_VALUE"""),"085391045599")</f>
        <v>085391045599</v>
      </c>
      <c r="W1496" s="15"/>
    </row>
    <row r="1497" ht="22.5" customHeight="1">
      <c r="A1497" s="8"/>
      <c r="B1497" s="9">
        <f>IFERROR(__xludf.DUMMYFUNCTION("""COMPUTED_VALUE"""),45474.63155005787)</f>
        <v>45474.63155</v>
      </c>
      <c r="C1497" s="9"/>
      <c r="D1497" s="34">
        <f>IFERROR(__xludf.DUMMYFUNCTION("""COMPUTED_VALUE"""),45486.0)</f>
        <v>45486</v>
      </c>
      <c r="E1497" s="34" t="str">
        <f>IFERROR(__xludf.DUMMYFUNCTION("""COMPUTED_VALUE"""),"07Jul")</f>
        <v>07Jul</v>
      </c>
      <c r="F1497" s="34" t="str">
        <f>IFERROR(__xludf.DUMMYFUNCTION("""COMPUTED_VALUE"""),"2024")</f>
        <v>2024</v>
      </c>
      <c r="G1497" s="35" t="str">
        <f>IFERROR(__xludf.DUMMYFUNCTION("""COMPUTED_VALUE"""),"RULIAN")</f>
        <v>RULIAN</v>
      </c>
      <c r="H1497" s="17" t="str">
        <f>IFERROR(__xludf.DUMMYFUNCTION("""COMPUTED_VALUE"""),"R9324072383")</f>
        <v>R9324072383</v>
      </c>
      <c r="I1497" s="17">
        <f>IFERROR(__xludf.DUMMYFUNCTION("""COMPUTED_VALUE"""),32.0)</f>
        <v>32</v>
      </c>
      <c r="J1497" s="17" t="str">
        <f>IFERROR(__xludf.DUMMYFUNCTION("""COMPUTED_VALUE"""),"25-34 tahun")</f>
        <v>25-34 tahun</v>
      </c>
      <c r="K1497" s="19">
        <f>IFERROR(__xludf.DUMMYFUNCTION("""COMPUTED_VALUE"""),34161.0)</f>
        <v>34161</v>
      </c>
      <c r="L1497" s="19" t="str">
        <f>IFERROR(__xludf.DUMMYFUNCTION("""COMPUTED_VALUE"""),"LAKI-LAKI")</f>
        <v>LAKI-LAKI</v>
      </c>
      <c r="M1497" s="35" t="str">
        <f>IFERROR(__xludf.DUMMYFUNCTION("""COMPUTED_VALUE"""),"JL. PROF. M. YAMIN GG. RAWAMANGUN 1 NO. 8")</f>
        <v>JL. PROF. M. YAMIN GG. RAWAMANGUN 1 NO. 8</v>
      </c>
      <c r="N1497" s="16" t="str">
        <f>IFERROR(__xludf.DUMMYFUNCTION("""COMPUTED_VALUE"""),"KEL. SUNGAI BANGKONG")</f>
        <v>KEL. SUNGAI BANGKONG</v>
      </c>
      <c r="O1497" s="16" t="str">
        <f>IFERROR(__xludf.DUMMYFUNCTION("""COMPUTED_VALUE"""),"KEC. PONTIANAK KOTA")</f>
        <v>KEC. PONTIANAK KOTA</v>
      </c>
      <c r="P1497" s="16" t="str">
        <f>IFERROR(__xludf.DUMMYFUNCTION("""COMPUTED_VALUE"""),"KOTA PONTIANAK")</f>
        <v>KOTA PONTIANAK</v>
      </c>
      <c r="Q1497" s="16" t="str">
        <f>IFERROR(__xludf.DUMMYFUNCTION("""COMPUTED_VALUE"""),"KALIMANTAN BARAT")</f>
        <v>KALIMANTAN BARAT</v>
      </c>
      <c r="R1497" s="19" t="str">
        <f>IFERROR(__xludf.DUMMYFUNCTION("""COMPUTED_VALUE"""),"ISLAM")</f>
        <v>ISLAM</v>
      </c>
      <c r="S1497" s="16" t="str">
        <f>IFERROR(__xludf.DUMMYFUNCTION("""COMPUTED_VALUE"""),"BUMD")</f>
        <v>BUMD</v>
      </c>
      <c r="T1497" s="16" t="str">
        <f>IFERROR(__xludf.DUMMYFUNCTION("""COMPUTED_VALUE"""),"PERGELANGAN TANGAN KANAN")</f>
        <v>PERGELANGAN TANGAN KANAN</v>
      </c>
      <c r="U1497" s="16" t="str">
        <f>IFERROR(__xludf.DUMMYFUNCTION("""COMPUTED_VALUE"""),"OLAHRAGA VOLLY")</f>
        <v>OLAHRAGA VOLLY</v>
      </c>
      <c r="V1497" s="11" t="str">
        <f>IFERROR(__xludf.DUMMYFUNCTION("""COMPUTED_VALUE"""),"082152352383")</f>
        <v>082152352383</v>
      </c>
      <c r="W1497" s="15"/>
    </row>
    <row r="1498" ht="22.5" customHeight="1">
      <c r="A1498" s="8"/>
      <c r="B1498" s="9">
        <f>IFERROR(__xludf.DUMMYFUNCTION("""COMPUTED_VALUE"""),45474.764957175925)</f>
        <v>45474.76496</v>
      </c>
      <c r="C1498" s="9"/>
      <c r="D1498" s="34">
        <f>IFERROR(__xludf.DUMMYFUNCTION("""COMPUTED_VALUE"""),45486.0)</f>
        <v>45486</v>
      </c>
      <c r="E1498" s="34" t="str">
        <f>IFERROR(__xludf.DUMMYFUNCTION("""COMPUTED_VALUE"""),"07Jul")</f>
        <v>07Jul</v>
      </c>
      <c r="F1498" s="34" t="str">
        <f>IFERROR(__xludf.DUMMYFUNCTION("""COMPUTED_VALUE"""),"2024")</f>
        <v>2024</v>
      </c>
      <c r="G1498" s="35" t="str">
        <f>IFERROR(__xludf.DUMMYFUNCTION("""COMPUTED_VALUE"""),"UTIN NURBAITY")</f>
        <v>UTIN NURBAITY</v>
      </c>
      <c r="H1498" s="17" t="str">
        <f>IFERROR(__xludf.DUMMYFUNCTION("""COMPUTED_VALUE"""),"U7724077949")</f>
        <v>U7724077949</v>
      </c>
      <c r="I1498" s="17">
        <f>IFERROR(__xludf.DUMMYFUNCTION("""COMPUTED_VALUE"""),49.0)</f>
        <v>49</v>
      </c>
      <c r="J1498" s="17" t="str">
        <f>IFERROR(__xludf.DUMMYFUNCTION("""COMPUTED_VALUE"""),"&gt; 44 tahun")</f>
        <v>&gt; 44 tahun</v>
      </c>
      <c r="K1498" s="19">
        <f>IFERROR(__xludf.DUMMYFUNCTION("""COMPUTED_VALUE"""),28276.0)</f>
        <v>28276</v>
      </c>
      <c r="L1498" s="19" t="str">
        <f>IFERROR(__xludf.DUMMYFUNCTION("""COMPUTED_VALUE"""),"PEREMPUAN")</f>
        <v>PEREMPUAN</v>
      </c>
      <c r="M1498" s="35" t="str">
        <f>IFERROR(__xludf.DUMMYFUNCTION("""COMPUTED_VALUE"""),"JL. PADAT KARYA")</f>
        <v>JL. PADAT KARYA</v>
      </c>
      <c r="N1498" s="16" t="str">
        <f>IFERROR(__xludf.DUMMYFUNCTION("""COMPUTED_VALUE"""),"KEL. BANSIR DARAT")</f>
        <v>KEL. BANSIR DARAT</v>
      </c>
      <c r="O1498" s="16" t="str">
        <f>IFERROR(__xludf.DUMMYFUNCTION("""COMPUTED_VALUE"""),"KEC. PONTIANAK TENGGARA")</f>
        <v>KEC. PONTIANAK TENGGARA</v>
      </c>
      <c r="P1498" s="16" t="str">
        <f>IFERROR(__xludf.DUMMYFUNCTION("""COMPUTED_VALUE"""),"KOTA PONTIANAK")</f>
        <v>KOTA PONTIANAK</v>
      </c>
      <c r="Q1498" s="16" t="str">
        <f>IFERROR(__xludf.DUMMYFUNCTION("""COMPUTED_VALUE"""),"KALIMANTAN BARAT")</f>
        <v>KALIMANTAN BARAT</v>
      </c>
      <c r="R1498" s="19" t="str">
        <f>IFERROR(__xludf.DUMMYFUNCTION("""COMPUTED_VALUE"""),"ISLAM")</f>
        <v>ISLAM</v>
      </c>
      <c r="S1498" s="16" t="str">
        <f>IFERROR(__xludf.DUMMYFUNCTION("""COMPUTED_VALUE"""),"RUMAH TANGGA")</f>
        <v>RUMAH TANGGA</v>
      </c>
      <c r="T1498" s="16" t="str">
        <f>IFERROR(__xludf.DUMMYFUNCTION("""COMPUTED_VALUE"""),"Saraf Kejepit")</f>
        <v>Saraf Kejepit</v>
      </c>
      <c r="U1498" s="16" t="str">
        <f>IFERROR(__xludf.DUMMYFUNCTION("""COMPUTED_VALUE"""),"Jogging")</f>
        <v>Jogging</v>
      </c>
      <c r="V1498" s="11" t="str">
        <f>IFERROR(__xludf.DUMMYFUNCTION("""COMPUTED_VALUE"""),"082283867949")</f>
        <v>082283867949</v>
      </c>
      <c r="W1498" s="15"/>
    </row>
    <row r="1499" ht="22.5" customHeight="1">
      <c r="A1499" s="8"/>
      <c r="B1499" s="9">
        <f>IFERROR(__xludf.DUMMYFUNCTION("""COMPUTED_VALUE"""),45474.811688125)</f>
        <v>45474.81169</v>
      </c>
      <c r="C1499" s="9"/>
      <c r="D1499" s="34">
        <f>IFERROR(__xludf.DUMMYFUNCTION("""COMPUTED_VALUE"""),45486.0)</f>
        <v>45486</v>
      </c>
      <c r="E1499" s="34" t="str">
        <f>IFERROR(__xludf.DUMMYFUNCTION("""COMPUTED_VALUE"""),"07Jul")</f>
        <v>07Jul</v>
      </c>
      <c r="F1499" s="34" t="str">
        <f>IFERROR(__xludf.DUMMYFUNCTION("""COMPUTED_VALUE"""),"2024")</f>
        <v>2024</v>
      </c>
      <c r="G1499" s="35" t="str">
        <f>IFERROR(__xludf.DUMMYFUNCTION("""COMPUTED_VALUE"""),"DEMI AKHIRIL SULBI MUHARRAMWATI")</f>
        <v>DEMI AKHIRIL SULBI MUHARRAMWATI</v>
      </c>
      <c r="H1499" s="17" t="str">
        <f>IFERROR(__xludf.DUMMYFUNCTION("""COMPUTED_VALUE"""),"D7724075563")</f>
        <v>D7724075563</v>
      </c>
      <c r="I1499" s="17">
        <f>IFERROR(__xludf.DUMMYFUNCTION("""COMPUTED_VALUE"""),48.0)</f>
        <v>48</v>
      </c>
      <c r="J1499" s="17" t="str">
        <f>IFERROR(__xludf.DUMMYFUNCTION("""COMPUTED_VALUE"""),"&gt; 44 tahun")</f>
        <v>&gt; 44 tahun</v>
      </c>
      <c r="K1499" s="19">
        <f>IFERROR(__xludf.DUMMYFUNCTION("""COMPUTED_VALUE"""),28486.0)</f>
        <v>28486</v>
      </c>
      <c r="L1499" s="19" t="str">
        <f>IFERROR(__xludf.DUMMYFUNCTION("""COMPUTED_VALUE"""),"PEREMPUAN")</f>
        <v>PEREMPUAN</v>
      </c>
      <c r="M1499" s="35" t="str">
        <f>IFERROR(__xludf.DUMMYFUNCTION("""COMPUTED_VALUE"""),"JL. MATARAM DUSUN REJO AGUNG RT 002 RW 001 RASAU JAYA")</f>
        <v>JL. MATARAM DUSUN REJO AGUNG RT 002 RW 001 RASAU JAYA</v>
      </c>
      <c r="N1499" s="16" t="str">
        <f>IFERROR(__xludf.DUMMYFUNCTION("""COMPUTED_VALUE"""),"DS. RASAU JAYA SATU")</f>
        <v>DS. RASAU JAYA SATU</v>
      </c>
      <c r="O1499" s="16" t="str">
        <f>IFERROR(__xludf.DUMMYFUNCTION("""COMPUTED_VALUE"""),"KEC. RASAU JAYA")</f>
        <v>KEC. RASAU JAYA</v>
      </c>
      <c r="P1499" s="16" t="str">
        <f>IFERROR(__xludf.DUMMYFUNCTION("""COMPUTED_VALUE"""),"KAB. KUBU RAYA")</f>
        <v>KAB. KUBU RAYA</v>
      </c>
      <c r="Q1499" s="16" t="str">
        <f>IFERROR(__xludf.DUMMYFUNCTION("""COMPUTED_VALUE"""),"KALIMANTAN BARAT")</f>
        <v>KALIMANTAN BARAT</v>
      </c>
      <c r="R1499" s="19" t="str">
        <f>IFERROR(__xludf.DUMMYFUNCTION("""COMPUTED_VALUE"""),"ISLAM")</f>
        <v>ISLAM</v>
      </c>
      <c r="S1499" s="16" t="str">
        <f>IFERROR(__xludf.DUMMYFUNCTION("""COMPUTED_VALUE"""),"RUMAH TANGGA")</f>
        <v>RUMAH TANGGA</v>
      </c>
      <c r="T1499" s="16" t="str">
        <f>IFERROR(__xludf.DUMMYFUNCTION("""COMPUTED_VALUE"""),"Nyerii tulang dr pinggil kebawa sebelah kiri")</f>
        <v>Nyerii tulang dr pinggil kebawa sebelah kiri</v>
      </c>
      <c r="U1499" s="16" t="str">
        <f>IFERROR(__xludf.DUMMYFUNCTION("""COMPUTED_VALUE"""),"Mengajar")</f>
        <v>Mengajar</v>
      </c>
      <c r="V1499" s="11" t="str">
        <f>IFERROR(__xludf.DUMMYFUNCTION("""COMPUTED_VALUE"""),"082251895563")</f>
        <v>082251895563</v>
      </c>
      <c r="W1499" s="15"/>
    </row>
    <row r="1500" ht="22.5" customHeight="1">
      <c r="A1500" s="8"/>
      <c r="B1500" s="9">
        <f>IFERROR(__xludf.DUMMYFUNCTION("""COMPUTED_VALUE"""),45474.866598402776)</f>
        <v>45474.8666</v>
      </c>
      <c r="C1500" s="9"/>
      <c r="D1500" s="34">
        <f>IFERROR(__xludf.DUMMYFUNCTION("""COMPUTED_VALUE"""),45487.0)</f>
        <v>45487</v>
      </c>
      <c r="E1500" s="34" t="str">
        <f>IFERROR(__xludf.DUMMYFUNCTION("""COMPUTED_VALUE"""),"07Jul")</f>
        <v>07Jul</v>
      </c>
      <c r="F1500" s="34" t="str">
        <f>IFERROR(__xludf.DUMMYFUNCTION("""COMPUTED_VALUE"""),"2024")</f>
        <v>2024</v>
      </c>
      <c r="G1500" s="35" t="str">
        <f>IFERROR(__xludf.DUMMYFUNCTION("""COMPUTED_VALUE"""),"MUHAMAD AGUS KURNIAWAN")</f>
        <v>MUHAMAD AGUS KURNIAWAN</v>
      </c>
      <c r="H1500" s="17" t="str">
        <f>IFERROR(__xludf.DUMMYFUNCTION("""COMPUTED_VALUE"""),"M9824078882")</f>
        <v>M9824078882</v>
      </c>
      <c r="I1500" s="17">
        <f>IFERROR(__xludf.DUMMYFUNCTION("""COMPUTED_VALUE"""),27.0)</f>
        <v>27</v>
      </c>
      <c r="J1500" s="17" t="str">
        <f>IFERROR(__xludf.DUMMYFUNCTION("""COMPUTED_VALUE"""),"25-34 tahun")</f>
        <v>25-34 tahun</v>
      </c>
      <c r="K1500" s="19">
        <f>IFERROR(__xludf.DUMMYFUNCTION("""COMPUTED_VALUE"""),36031.0)</f>
        <v>36031</v>
      </c>
      <c r="L1500" s="19" t="str">
        <f>IFERROR(__xludf.DUMMYFUNCTION("""COMPUTED_VALUE"""),"LAKI-LAKI")</f>
        <v>LAKI-LAKI</v>
      </c>
      <c r="M1500" s="35" t="str">
        <f>IFERROR(__xludf.DUMMYFUNCTION("""COMPUTED_VALUE"""),"JL.PROF.M.YAMIN GG.SWAKARYA 1 NO.27")</f>
        <v>JL.PROF.M.YAMIN GG.SWAKARYA 1 NO.27</v>
      </c>
      <c r="N1500" s="16" t="str">
        <f>IFERROR(__xludf.DUMMYFUNCTION("""COMPUTED_VALUE"""),"KEL. AKCAYA")</f>
        <v>KEL. AKCAYA</v>
      </c>
      <c r="O1500" s="16" t="str">
        <f>IFERROR(__xludf.DUMMYFUNCTION("""COMPUTED_VALUE"""),"KEC. PONTIANAK SELATAN")</f>
        <v>KEC. PONTIANAK SELATAN</v>
      </c>
      <c r="P1500" s="16" t="str">
        <f>IFERROR(__xludf.DUMMYFUNCTION("""COMPUTED_VALUE"""),"KOTA PONTIANAK")</f>
        <v>KOTA PONTIANAK</v>
      </c>
      <c r="Q1500" s="16" t="str">
        <f>IFERROR(__xludf.DUMMYFUNCTION("""COMPUTED_VALUE"""),"KALIMANTAN BARAT")</f>
        <v>KALIMANTAN BARAT</v>
      </c>
      <c r="R1500" s="19" t="str">
        <f>IFERROR(__xludf.DUMMYFUNCTION("""COMPUTED_VALUE"""),"ISLAM")</f>
        <v>ISLAM</v>
      </c>
      <c r="S1500" s="16" t="str">
        <f>IFERROR(__xludf.DUMMYFUNCTION("""COMPUTED_VALUE"""),"ASN")</f>
        <v>ASN</v>
      </c>
      <c r="T1500" s="16" t="str">
        <f>IFERROR(__xludf.DUMMYFUNCTION("""COMPUTED_VALUE"""),"Pasca OPERASI ACL &amp; MENISCUS")</f>
        <v>Pasca OPERASI ACL &amp; MENISCUS</v>
      </c>
      <c r="U1500" s="16" t="str">
        <f>IFERROR(__xludf.DUMMYFUNCTION("""COMPUTED_VALUE"""),"Bekerja")</f>
        <v>Bekerja</v>
      </c>
      <c r="V1500" s="11" t="str">
        <f>IFERROR(__xludf.DUMMYFUNCTION("""COMPUTED_VALUE"""),"085865408882")</f>
        <v>085865408882</v>
      </c>
      <c r="W1500" s="15"/>
    </row>
    <row r="1501" ht="22.5" customHeight="1">
      <c r="A1501" s="43"/>
      <c r="B1501" s="24">
        <f>IFERROR(__xludf.DUMMYFUNCTION("""COMPUTED_VALUE"""),45477.36325256944)</f>
        <v>45477.36325</v>
      </c>
      <c r="C1501" s="24"/>
      <c r="D1501" s="34">
        <f>IFERROR(__xludf.DUMMYFUNCTION("""COMPUTED_VALUE"""),45487.0)</f>
        <v>45487</v>
      </c>
      <c r="E1501" s="34" t="str">
        <f>IFERROR(__xludf.DUMMYFUNCTION("""COMPUTED_VALUE"""),"07Jul")</f>
        <v>07Jul</v>
      </c>
      <c r="F1501" s="34" t="str">
        <f>IFERROR(__xludf.DUMMYFUNCTION("""COMPUTED_VALUE"""),"2024")</f>
        <v>2024</v>
      </c>
      <c r="G1501" s="35" t="str">
        <f>IFERROR(__xludf.DUMMYFUNCTION("""COMPUTED_VALUE"""),"GUNTUR SISWONO")</f>
        <v>GUNTUR SISWONO</v>
      </c>
      <c r="H1501" s="17" t="str">
        <f>IFERROR(__xludf.DUMMYFUNCTION("""COMPUTED_VALUE"""),"G8324070999")</f>
        <v>G8324070999</v>
      </c>
      <c r="I1501" s="17">
        <f>IFERROR(__xludf.DUMMYFUNCTION("""COMPUTED_VALUE"""),43.0)</f>
        <v>43</v>
      </c>
      <c r="J1501" s="17" t="str">
        <f>IFERROR(__xludf.DUMMYFUNCTION("""COMPUTED_VALUE"""),"35-44 tahun")</f>
        <v>35-44 tahun</v>
      </c>
      <c r="K1501" s="19">
        <f>IFERROR(__xludf.DUMMYFUNCTION("""COMPUTED_VALUE"""),30397.0)</f>
        <v>30397</v>
      </c>
      <c r="L1501" s="19" t="str">
        <f>IFERROR(__xludf.DUMMYFUNCTION("""COMPUTED_VALUE"""),"LAKI-LAKI")</f>
        <v>LAKI-LAKI</v>
      </c>
      <c r="M1501" s="35" t="str">
        <f>IFERROR(__xludf.DUMMYFUNCTION("""COMPUTED_VALUE"""),"JL PURNAMA GG PURNAMA SUTRA NO 8")</f>
        <v>JL PURNAMA GG PURNAMA SUTRA NO 8</v>
      </c>
      <c r="N1501" s="16" t="str">
        <f>IFERROR(__xludf.DUMMYFUNCTION("""COMPUTED_VALUE"""),"KEL. KOTA BARU")</f>
        <v>KEL. KOTA BARU</v>
      </c>
      <c r="O1501" s="16" t="str">
        <f>IFERROR(__xludf.DUMMYFUNCTION("""COMPUTED_VALUE"""),"KEC. KOTA BARU")</f>
        <v>KEC. KOTA BARU</v>
      </c>
      <c r="P1501" s="16" t="str">
        <f>IFERROR(__xludf.DUMMYFUNCTION("""COMPUTED_VALUE"""),"KOTA PONTIANAK")</f>
        <v>KOTA PONTIANAK</v>
      </c>
      <c r="Q1501" s="16" t="str">
        <f>IFERROR(__xludf.DUMMYFUNCTION("""COMPUTED_VALUE"""),"KALIMANTAN BARAT")</f>
        <v>KALIMANTAN BARAT</v>
      </c>
      <c r="R1501" s="19" t="str">
        <f>IFERROR(__xludf.DUMMYFUNCTION("""COMPUTED_VALUE"""),"ISLAM")</f>
        <v>ISLAM</v>
      </c>
      <c r="S1501" s="35" t="str">
        <f>IFERROR(__xludf.DUMMYFUNCTION("""COMPUTED_VALUE"""),"WIRASWASTA")</f>
        <v>WIRASWASTA</v>
      </c>
      <c r="T1501" s="16" t="str">
        <f>IFERROR(__xludf.DUMMYFUNCTION("""COMPUTED_VALUE"""),"Nyeri pada bawah")</f>
        <v>Nyeri pada bawah</v>
      </c>
      <c r="U1501" s="16" t="str">
        <f>IFERROR(__xludf.DUMMYFUNCTION("""COMPUTED_VALUE"""),"Usaha")</f>
        <v>Usaha</v>
      </c>
      <c r="V1501" s="11" t="str">
        <f>IFERROR(__xludf.DUMMYFUNCTION("""COMPUTED_VALUE"""),"081349790999")</f>
        <v>081349790999</v>
      </c>
      <c r="W1501" s="15"/>
    </row>
    <row r="1502" ht="22.5" customHeight="1">
      <c r="A1502" s="43"/>
      <c r="B1502" s="24">
        <f>IFERROR(__xludf.DUMMYFUNCTION("""COMPUTED_VALUE"""),45477.535600821764)</f>
        <v>45477.5356</v>
      </c>
      <c r="C1502" s="24"/>
      <c r="D1502" s="34">
        <f>IFERROR(__xludf.DUMMYFUNCTION("""COMPUTED_VALUE"""),45488.0)</f>
        <v>45488</v>
      </c>
      <c r="E1502" s="34" t="str">
        <f>IFERROR(__xludf.DUMMYFUNCTION("""COMPUTED_VALUE"""),"07Jul")</f>
        <v>07Jul</v>
      </c>
      <c r="F1502" s="34" t="str">
        <f>IFERROR(__xludf.DUMMYFUNCTION("""COMPUTED_VALUE"""),"2024")</f>
        <v>2024</v>
      </c>
      <c r="G1502" s="35" t="str">
        <f>IFERROR(__xludf.DUMMYFUNCTION("""COMPUTED_VALUE"""),"ANGELIA TANSURI")</f>
        <v>ANGELIA TANSURI</v>
      </c>
      <c r="H1502" s="17" t="str">
        <f>IFERROR(__xludf.DUMMYFUNCTION("""COMPUTED_VALUE"""),"A9824075140")</f>
        <v>A9824075140</v>
      </c>
      <c r="I1502" s="17">
        <f>IFERROR(__xludf.DUMMYFUNCTION("""COMPUTED_VALUE"""),28.0)</f>
        <v>28</v>
      </c>
      <c r="J1502" s="17" t="str">
        <f>IFERROR(__xludf.DUMMYFUNCTION("""COMPUTED_VALUE"""),"25-34 tahun")</f>
        <v>25-34 tahun</v>
      </c>
      <c r="K1502" s="19">
        <f>IFERROR(__xludf.DUMMYFUNCTION("""COMPUTED_VALUE"""),35809.0)</f>
        <v>35809</v>
      </c>
      <c r="L1502" s="19" t="str">
        <f>IFERROR(__xludf.DUMMYFUNCTION("""COMPUTED_VALUE"""),"PEREMPUAN")</f>
        <v>PEREMPUAN</v>
      </c>
      <c r="M1502" s="35" t="str">
        <f>IFERROR(__xludf.DUMMYFUNCTION("""COMPUTED_VALUE"""),"JL SEI RAYA DALAM KOMP. NUSA INDAH NO.E9")</f>
        <v>JL SEI RAYA DALAM KOMP. NUSA INDAH NO.E9</v>
      </c>
      <c r="N1502" s="16" t="str">
        <f>IFERROR(__xludf.DUMMYFUNCTION("""COMPUTED_VALUE"""),"KEL. SUNGAI RAYA DALAM")</f>
        <v>KEL. SUNGAI RAYA DALAM</v>
      </c>
      <c r="O1502" s="16" t="str">
        <f>IFERROR(__xludf.DUMMYFUNCTION("""COMPUTED_VALUE"""),"KEC. SUNGAI RAYA DALAM")</f>
        <v>KEC. SUNGAI RAYA DALAM</v>
      </c>
      <c r="P1502" s="16" t="str">
        <f>IFERROR(__xludf.DUMMYFUNCTION("""COMPUTED_VALUE"""),"KAB. KUBU RAYA")</f>
        <v>KAB. KUBU RAYA</v>
      </c>
      <c r="Q1502" s="16" t="str">
        <f>IFERROR(__xludf.DUMMYFUNCTION("""COMPUTED_VALUE"""),"KALIMANTAN BARAT")</f>
        <v>KALIMANTAN BARAT</v>
      </c>
      <c r="R1502" s="19" t="str">
        <f>IFERROR(__xludf.DUMMYFUNCTION("""COMPUTED_VALUE"""),"BUDDHA")</f>
        <v>BUDDHA</v>
      </c>
      <c r="S1502" s="16" t="str">
        <f>IFERROR(__xludf.DUMMYFUNCTION("""COMPUTED_VALUE"""),"SWASTA")</f>
        <v>SWASTA</v>
      </c>
      <c r="T1502" s="16" t="str">
        <f>IFERROR(__xludf.DUMMYFUNCTION("""COMPUTED_VALUE"""),"sakit kaki")</f>
        <v>sakit kaki</v>
      </c>
      <c r="U1502" s="16" t="str">
        <f>IFERROR(__xludf.DUMMYFUNCTION("""COMPUTED_VALUE"""),"olahraga")</f>
        <v>olahraga</v>
      </c>
      <c r="V1502" s="11" t="str">
        <f>IFERROR(__xludf.DUMMYFUNCTION("""COMPUTED_VALUE"""),"089680065140")</f>
        <v>089680065140</v>
      </c>
      <c r="W1502" s="15"/>
    </row>
    <row r="1503" ht="22.5" customHeight="1">
      <c r="A1503" s="8"/>
      <c r="B1503" s="9">
        <f>IFERROR(__xludf.DUMMYFUNCTION("""COMPUTED_VALUE"""),45477.896848854165)</f>
        <v>45477.89685</v>
      </c>
      <c r="C1503" s="9"/>
      <c r="D1503" s="10">
        <f>IFERROR(__xludf.DUMMYFUNCTION("""COMPUTED_VALUE"""),45488.0)</f>
        <v>45488</v>
      </c>
      <c r="E1503" s="10" t="str">
        <f>IFERROR(__xludf.DUMMYFUNCTION("""COMPUTED_VALUE"""),"07Jul")</f>
        <v>07Jul</v>
      </c>
      <c r="F1503" s="10" t="str">
        <f>IFERROR(__xludf.DUMMYFUNCTION("""COMPUTED_VALUE"""),"2024")</f>
        <v>2024</v>
      </c>
      <c r="G1503" s="16" t="str">
        <f>IFERROR(__xludf.DUMMYFUNCTION("""COMPUTED_VALUE"""),"ERICTHIAMDY")</f>
        <v>ERICTHIAMDY</v>
      </c>
      <c r="H1503" s="17" t="str">
        <f>IFERROR(__xludf.DUMMYFUNCTION("""COMPUTED_VALUE"""),"E9524072177")</f>
        <v>E9524072177</v>
      </c>
      <c r="I1503" s="17">
        <f>IFERROR(__xludf.DUMMYFUNCTION("""COMPUTED_VALUE"""),31.0)</f>
        <v>31</v>
      </c>
      <c r="J1503" s="17" t="str">
        <f>IFERROR(__xludf.DUMMYFUNCTION("""COMPUTED_VALUE"""),"25-34 tahun")</f>
        <v>25-34 tahun</v>
      </c>
      <c r="K1503" s="19">
        <f>IFERROR(__xludf.DUMMYFUNCTION("""COMPUTED_VALUE"""),34759.0)</f>
        <v>34759</v>
      </c>
      <c r="L1503" s="19" t="str">
        <f>IFERROR(__xludf.DUMMYFUNCTION("""COMPUTED_VALUE"""),"LAKI-LAKI")</f>
        <v>LAKI-LAKI</v>
      </c>
      <c r="M1503" s="35" t="str">
        <f>IFERROR(__xludf.DUMMYFUNCTION("""COMPUTED_VALUE"""),"KARYA BARU 3B NO 1D")</f>
        <v>KARYA BARU 3B NO 1D</v>
      </c>
      <c r="N1503" s="16" t="str">
        <f>IFERROR(__xludf.DUMMYFUNCTION("""COMPUTED_VALUE"""),"KEL. PARIT TOKAYA")</f>
        <v>KEL. PARIT TOKAYA</v>
      </c>
      <c r="O1503" s="16" t="str">
        <f>IFERROR(__xludf.DUMMYFUNCTION("""COMPUTED_VALUE"""),"KEC. PONTIANAK SELATAN")</f>
        <v>KEC. PONTIANAK SELATAN</v>
      </c>
      <c r="P1503" s="16" t="str">
        <f>IFERROR(__xludf.DUMMYFUNCTION("""COMPUTED_VALUE"""),"KOTA PONTIANAK")</f>
        <v>KOTA PONTIANAK</v>
      </c>
      <c r="Q1503" s="16" t="str">
        <f>IFERROR(__xludf.DUMMYFUNCTION("""COMPUTED_VALUE"""),"KALIMANTAN BARAT")</f>
        <v>KALIMANTAN BARAT</v>
      </c>
      <c r="R1503" s="19" t="str">
        <f>IFERROR(__xludf.DUMMYFUNCTION("""COMPUTED_VALUE"""),"KATOLIK")</f>
        <v>KATOLIK</v>
      </c>
      <c r="S1503" s="35" t="str">
        <f>IFERROR(__xludf.DUMMYFUNCTION("""COMPUTED_VALUE"""),"WIRASWASTA")</f>
        <v>WIRASWASTA</v>
      </c>
      <c r="T1503" s="16" t="str">
        <f>IFERROR(__xludf.DUMMYFUNCTION("""COMPUTED_VALUE"""),"Keluhan : Mobilitas pergerakan Bahu tertahan ketika mau mau melakukan gerakan lengan dari arah bawah ke atas, bagian sayap belakang kiri seperti bergeser")</f>
        <v>Keluhan : Mobilitas pergerakan Bahu tertahan ketika mau mau melakukan gerakan lengan dari arah bawah ke atas, bagian sayap belakang kiri seperti bergeser</v>
      </c>
      <c r="U1503" s="16" t="str">
        <f>IFERROR(__xludf.DUMMYFUNCTION("""COMPUTED_VALUE"""),"Kerja dan Gym")</f>
        <v>Kerja dan Gym</v>
      </c>
      <c r="V1503" s="11" t="str">
        <f>IFERROR(__xludf.DUMMYFUNCTION("""COMPUTED_VALUE"""),"087818252177")</f>
        <v>087818252177</v>
      </c>
      <c r="W1503" s="15"/>
    </row>
    <row r="1504" ht="22.5" customHeight="1">
      <c r="A1504" s="8"/>
      <c r="B1504" s="9">
        <f>IFERROR(__xludf.DUMMYFUNCTION("""COMPUTED_VALUE"""),45478.42582709491)</f>
        <v>45478.42583</v>
      </c>
      <c r="C1504" s="9"/>
      <c r="D1504" s="34">
        <f>IFERROR(__xludf.DUMMYFUNCTION("""COMPUTED_VALUE"""),45488.0)</f>
        <v>45488</v>
      </c>
      <c r="E1504" s="34" t="str">
        <f>IFERROR(__xludf.DUMMYFUNCTION("""COMPUTED_VALUE"""),"07Jul")</f>
        <v>07Jul</v>
      </c>
      <c r="F1504" s="34" t="str">
        <f>IFERROR(__xludf.DUMMYFUNCTION("""COMPUTED_VALUE"""),"2024")</f>
        <v>2024</v>
      </c>
      <c r="G1504" s="35" t="str">
        <f>IFERROR(__xludf.DUMMYFUNCTION("""COMPUTED_VALUE"""),"WILLIAM SIMAN")</f>
        <v>WILLIAM SIMAN</v>
      </c>
      <c r="H1504" s="17" t="str">
        <f>IFERROR(__xludf.DUMMYFUNCTION("""COMPUTED_VALUE"""),"W9924070563")</f>
        <v>W9924070563</v>
      </c>
      <c r="I1504" s="17">
        <f>IFERROR(__xludf.DUMMYFUNCTION("""COMPUTED_VALUE"""),26.0)</f>
        <v>26</v>
      </c>
      <c r="J1504" s="17" t="str">
        <f>IFERROR(__xludf.DUMMYFUNCTION("""COMPUTED_VALUE"""),"25-34 tahun")</f>
        <v>25-34 tahun</v>
      </c>
      <c r="K1504" s="19">
        <f>IFERROR(__xludf.DUMMYFUNCTION("""COMPUTED_VALUE"""),36389.0)</f>
        <v>36389</v>
      </c>
      <c r="L1504" s="19" t="str">
        <f>IFERROR(__xludf.DUMMYFUNCTION("""COMPUTED_VALUE"""),"LAKI-LAKI")</f>
        <v>LAKI-LAKI</v>
      </c>
      <c r="M1504" s="35" t="str">
        <f>IFERROR(__xludf.DUMMYFUNCTION("""COMPUTED_VALUE"""),"JALAN KOM YOS SUDARSO")</f>
        <v>JALAN KOM YOS SUDARSO</v>
      </c>
      <c r="N1504" s="16" t="str">
        <f>IFERROR(__xludf.DUMMYFUNCTION("""COMPUTED_VALUE"""),"KEL. SUNGAI JAWI")</f>
        <v>KEL. SUNGAI JAWI</v>
      </c>
      <c r="O1504" s="16" t="str">
        <f>IFERROR(__xludf.DUMMYFUNCTION("""COMPUTED_VALUE"""),"KEC. PONTIANAK BARAT")</f>
        <v>KEC. PONTIANAK BARAT</v>
      </c>
      <c r="P1504" s="16" t="str">
        <f>IFERROR(__xludf.DUMMYFUNCTION("""COMPUTED_VALUE"""),"KOTA PONTIANAK")</f>
        <v>KOTA PONTIANAK</v>
      </c>
      <c r="Q1504" s="16" t="str">
        <f>IFERROR(__xludf.DUMMYFUNCTION("""COMPUTED_VALUE"""),"KALIMANTAN BARAT")</f>
        <v>KALIMANTAN BARAT</v>
      </c>
      <c r="R1504" s="19" t="str">
        <f>IFERROR(__xludf.DUMMYFUNCTION("""COMPUTED_VALUE"""),"LAINNYA")</f>
        <v>LAINNYA</v>
      </c>
      <c r="S1504" s="16" t="str">
        <f>IFERROR(__xludf.DUMMYFUNCTION("""COMPUTED_VALUE"""),"PELAJAR/MAHASISWA")</f>
        <v>PELAJAR/MAHASISWA</v>
      </c>
      <c r="T1504" s="16" t="str">
        <f>IFERROR(__xludf.DUMMYFUNCTION("""COMPUTED_VALUE"""),"angkle")</f>
        <v>angkle</v>
      </c>
      <c r="U1504" s="16" t="str">
        <f>IFERROR(__xludf.DUMMYFUNCTION("""COMPUTED_VALUE"""),"olahraga")</f>
        <v>olahraga</v>
      </c>
      <c r="V1504" s="11" t="str">
        <f>IFERROR(__xludf.DUMMYFUNCTION("""COMPUTED_VALUE"""),"081311400563")</f>
        <v>081311400563</v>
      </c>
      <c r="W1504" s="15"/>
    </row>
    <row r="1505" ht="22.5" customHeight="1">
      <c r="A1505" s="8"/>
      <c r="B1505" s="9">
        <f>IFERROR(__xludf.DUMMYFUNCTION("""COMPUTED_VALUE"""),45478.658903020834)</f>
        <v>45478.6589</v>
      </c>
      <c r="C1505" s="9"/>
      <c r="D1505" s="34">
        <f>IFERROR(__xludf.DUMMYFUNCTION("""COMPUTED_VALUE"""),45488.0)</f>
        <v>45488</v>
      </c>
      <c r="E1505" s="34" t="str">
        <f>IFERROR(__xludf.DUMMYFUNCTION("""COMPUTED_VALUE"""),"07Jul")</f>
        <v>07Jul</v>
      </c>
      <c r="F1505" s="34" t="str">
        <f>IFERROR(__xludf.DUMMYFUNCTION("""COMPUTED_VALUE"""),"2024")</f>
        <v>2024</v>
      </c>
      <c r="G1505" s="35" t="str">
        <f>IFERROR(__xludf.DUMMYFUNCTION("""COMPUTED_VALUE"""),"PRASETYO PANJI ANGGONO")</f>
        <v>PRASETYO PANJI ANGGONO</v>
      </c>
      <c r="H1505" s="17" t="str">
        <f>IFERROR(__xludf.DUMMYFUNCTION("""COMPUTED_VALUE"""),"P9024075511")</f>
        <v>P9024075511</v>
      </c>
      <c r="I1505" s="17">
        <f>IFERROR(__xludf.DUMMYFUNCTION("""COMPUTED_VALUE"""),35.0)</f>
        <v>35</v>
      </c>
      <c r="J1505" s="17" t="str">
        <f>IFERROR(__xludf.DUMMYFUNCTION("""COMPUTED_VALUE"""),"35-44 tahun")</f>
        <v>35-44 tahun</v>
      </c>
      <c r="K1505" s="19">
        <f>IFERROR(__xludf.DUMMYFUNCTION("""COMPUTED_VALUE"""),33196.0)</f>
        <v>33196</v>
      </c>
      <c r="L1505" s="19" t="str">
        <f>IFERROR(__xludf.DUMMYFUNCTION("""COMPUTED_VALUE"""),"LAKI-LAKI")</f>
        <v>LAKI-LAKI</v>
      </c>
      <c r="M1505" s="35" t="str">
        <f>IFERROR(__xludf.DUMMYFUNCTION("""COMPUTED_VALUE"""),"JL DARMA BHAKTI KOMPLEK PONDOK MUTIARA CITRA NO A17")</f>
        <v>JL DARMA BHAKTI KOMPLEK PONDOK MUTIARA CITRA NO A17</v>
      </c>
      <c r="N1505" s="16" t="str">
        <f>IFERROR(__xludf.DUMMYFUNCTION("""COMPUTED_VALUE"""),"DS. PARIT BARU")</f>
        <v>DS. PARIT BARU</v>
      </c>
      <c r="O1505" s="16" t="str">
        <f>IFERROR(__xludf.DUMMYFUNCTION("""COMPUTED_VALUE"""),"KEC. SUNGAI RAYA")</f>
        <v>KEC. SUNGAI RAYA</v>
      </c>
      <c r="P1505" s="16" t="str">
        <f>IFERROR(__xludf.DUMMYFUNCTION("""COMPUTED_VALUE"""),"KAB. KUBU RAYA")</f>
        <v>KAB. KUBU RAYA</v>
      </c>
      <c r="Q1505" s="16" t="str">
        <f>IFERROR(__xludf.DUMMYFUNCTION("""COMPUTED_VALUE"""),"KALIMANTAN BARAT")</f>
        <v>KALIMANTAN BARAT</v>
      </c>
      <c r="R1505" s="19" t="str">
        <f>IFERROR(__xludf.DUMMYFUNCTION("""COMPUTED_VALUE"""),"ISLAM")</f>
        <v>ISLAM</v>
      </c>
      <c r="S1505" s="16" t="str">
        <f>IFERROR(__xludf.DUMMYFUNCTION("""COMPUTED_VALUE"""),"WIRASWASTA")</f>
        <v>WIRASWASTA</v>
      </c>
      <c r="T1505" s="16" t="str">
        <f>IFERROR(__xludf.DUMMYFUNCTION("""COMPUTED_VALUE"""),"Back Pain")</f>
        <v>Back Pain</v>
      </c>
      <c r="U1505" s="16" t="str">
        <f>IFERROR(__xludf.DUMMYFUNCTION("""COMPUTED_VALUE"""),"Musik")</f>
        <v>Musik</v>
      </c>
      <c r="V1505" s="11" t="str">
        <f>IFERROR(__xludf.DUMMYFUNCTION("""COMPUTED_VALUE"""),"085722525511")</f>
        <v>085722525511</v>
      </c>
      <c r="W1505" s="15"/>
    </row>
    <row r="1506" ht="22.5" customHeight="1">
      <c r="A1506" s="8"/>
      <c r="B1506" s="9">
        <f>IFERROR(__xludf.DUMMYFUNCTION("""COMPUTED_VALUE"""),45481.364600671295)</f>
        <v>45481.3646</v>
      </c>
      <c r="C1506" s="9"/>
      <c r="D1506" s="34">
        <f>IFERROR(__xludf.DUMMYFUNCTION("""COMPUTED_VALUE"""),45488.0)</f>
        <v>45488</v>
      </c>
      <c r="E1506" s="34" t="str">
        <f>IFERROR(__xludf.DUMMYFUNCTION("""COMPUTED_VALUE"""),"07Jul")</f>
        <v>07Jul</v>
      </c>
      <c r="F1506" s="34" t="str">
        <f>IFERROR(__xludf.DUMMYFUNCTION("""COMPUTED_VALUE"""),"2024")</f>
        <v>2024</v>
      </c>
      <c r="G1506" s="35" t="str">
        <f>IFERROR(__xludf.DUMMYFUNCTION("""COMPUTED_VALUE"""),"FAHRURROZI NURAHIM")</f>
        <v>FAHRURROZI NURAHIM</v>
      </c>
      <c r="H1506" s="17" t="str">
        <f>IFERROR(__xludf.DUMMYFUNCTION("""COMPUTED_VALUE"""),"F0224072778")</f>
        <v>F0224072778</v>
      </c>
      <c r="I1506" s="17">
        <f>IFERROR(__xludf.DUMMYFUNCTION("""COMPUTED_VALUE"""),24.0)</f>
        <v>24</v>
      </c>
      <c r="J1506" s="17" t="str">
        <f>IFERROR(__xludf.DUMMYFUNCTION("""COMPUTED_VALUE"""),"18-24 tahun")</f>
        <v>18-24 tahun</v>
      </c>
      <c r="K1506" s="19">
        <f>IFERROR(__xludf.DUMMYFUNCTION("""COMPUTED_VALUE"""),37404.0)</f>
        <v>37404</v>
      </c>
      <c r="L1506" s="19" t="str">
        <f>IFERROR(__xludf.DUMMYFUNCTION("""COMPUTED_VALUE"""),"LAKI-LAKI")</f>
        <v>LAKI-LAKI</v>
      </c>
      <c r="M1506" s="16" t="str">
        <f>IFERROR(__xludf.DUMMYFUNCTION("""COMPUTED_VALUE"""),"DUSUN SUKARAJA")</f>
        <v>DUSUN SUKARAJA</v>
      </c>
      <c r="N1506" s="16" t="str">
        <f>IFERROR(__xludf.DUMMYFUNCTION("""COMPUTED_VALUE"""),"KEL. DALAM KAUM")</f>
        <v>KEL. DALAM KAUM</v>
      </c>
      <c r="O1506" s="16" t="str">
        <f>IFERROR(__xludf.DUMMYFUNCTION("""COMPUTED_VALUE"""),"KEC. SAMBAS")</f>
        <v>KEC. SAMBAS</v>
      </c>
      <c r="P1506" s="16" t="str">
        <f>IFERROR(__xludf.DUMMYFUNCTION("""COMPUTED_VALUE"""),"KAB. SAMBAS")</f>
        <v>KAB. SAMBAS</v>
      </c>
      <c r="Q1506" s="16" t="str">
        <f>IFERROR(__xludf.DUMMYFUNCTION("""COMPUTED_VALUE"""),"KALIMANTAN BARAT")</f>
        <v>KALIMANTAN BARAT</v>
      </c>
      <c r="R1506" s="19" t="str">
        <f>IFERROR(__xludf.DUMMYFUNCTION("""COMPUTED_VALUE"""),"ISLAM")</f>
        <v>ISLAM</v>
      </c>
      <c r="S1506" s="16" t="str">
        <f>IFERROR(__xludf.DUMMYFUNCTION("""COMPUTED_VALUE"""),"PELAJAR/MAHASISWA")</f>
        <v>PELAJAR/MAHASISWA</v>
      </c>
      <c r="T1506" s="16" t="str">
        <f>IFERROR(__xludf.DUMMYFUNCTION("""COMPUTED_VALUE"""),"Dislokasi")</f>
        <v>Dislokasi</v>
      </c>
      <c r="U1506" s="16" t="str">
        <f>IFERROR(__xludf.DUMMYFUNCTION("""COMPUTED_VALUE"""),"Futsal/tenis meja")</f>
        <v>Futsal/tenis meja</v>
      </c>
      <c r="V1506" s="11" t="str">
        <f>IFERROR(__xludf.DUMMYFUNCTION("""COMPUTED_VALUE"""),"089602562778")</f>
        <v>089602562778</v>
      </c>
      <c r="W1506" s="15"/>
    </row>
    <row r="1507" ht="22.5" customHeight="1">
      <c r="A1507" s="8"/>
      <c r="B1507" s="9">
        <f>IFERROR(__xludf.DUMMYFUNCTION("""COMPUTED_VALUE"""),45481.39680686343)</f>
        <v>45481.39681</v>
      </c>
      <c r="C1507" s="9"/>
      <c r="D1507" s="34">
        <f>IFERROR(__xludf.DUMMYFUNCTION("""COMPUTED_VALUE"""),45489.0)</f>
        <v>45489</v>
      </c>
      <c r="E1507" s="34" t="str">
        <f>IFERROR(__xludf.DUMMYFUNCTION("""COMPUTED_VALUE"""),"07Jul")</f>
        <v>07Jul</v>
      </c>
      <c r="F1507" s="34" t="str">
        <f>IFERROR(__xludf.DUMMYFUNCTION("""COMPUTED_VALUE"""),"2024")</f>
        <v>2024</v>
      </c>
      <c r="G1507" s="35" t="str">
        <f>IFERROR(__xludf.DUMMYFUNCTION("""COMPUTED_VALUE"""),"ADE APRIYANSYAH")</f>
        <v>ADE APRIYANSYAH</v>
      </c>
      <c r="H1507" s="17" t="str">
        <f>IFERROR(__xludf.DUMMYFUNCTION("""COMPUTED_VALUE"""),"A9324074330")</f>
        <v>A9324074330</v>
      </c>
      <c r="I1507" s="17">
        <f>IFERROR(__xludf.DUMMYFUNCTION("""COMPUTED_VALUE"""),33.0)</f>
        <v>33</v>
      </c>
      <c r="J1507" s="17" t="str">
        <f>IFERROR(__xludf.DUMMYFUNCTION("""COMPUTED_VALUE"""),"25-34 tahun")</f>
        <v>25-34 tahun</v>
      </c>
      <c r="K1507" s="19">
        <f>IFERROR(__xludf.DUMMYFUNCTION("""COMPUTED_VALUE"""),34074.0)</f>
        <v>34074</v>
      </c>
      <c r="L1507" s="19" t="str">
        <f>IFERROR(__xludf.DUMMYFUNCTION("""COMPUTED_VALUE"""),"LAKI-LAKI")</f>
        <v>LAKI-LAKI</v>
      </c>
      <c r="M1507" s="35" t="str">
        <f>IFERROR(__xludf.DUMMYFUNCTION("""COMPUTED_VALUE"""),"BTN TELUK MULUS GG. MESJID BLOK F NO. 8")</f>
        <v>BTN TELUK MULUS GG. MESJID BLOK F NO. 8</v>
      </c>
      <c r="N1507" s="16" t="str">
        <f>IFERROR(__xludf.DUMMYFUNCTION("""COMPUTED_VALUE"""),"DS. TELUK KAPUAS")</f>
        <v>DS. TELUK KAPUAS</v>
      </c>
      <c r="O1507" s="16" t="str">
        <f>IFERROR(__xludf.DUMMYFUNCTION("""COMPUTED_VALUE"""),"KEC. SUNGAI RAYA")</f>
        <v>KEC. SUNGAI RAYA</v>
      </c>
      <c r="P1507" s="16" t="str">
        <f>IFERROR(__xludf.DUMMYFUNCTION("""COMPUTED_VALUE"""),"KAB. KUBU RAYA")</f>
        <v>KAB. KUBU RAYA</v>
      </c>
      <c r="Q1507" s="16" t="str">
        <f>IFERROR(__xludf.DUMMYFUNCTION("""COMPUTED_VALUE"""),"KALIMANTAN BARAT")</f>
        <v>KALIMANTAN BARAT</v>
      </c>
      <c r="R1507" s="19" t="str">
        <f>IFERROR(__xludf.DUMMYFUNCTION("""COMPUTED_VALUE"""),"ISLAM")</f>
        <v>ISLAM</v>
      </c>
      <c r="S1507" s="35" t="str">
        <f>IFERROR(__xludf.DUMMYFUNCTION("""COMPUTED_VALUE"""),"WIRASWASTA")</f>
        <v>WIRASWASTA</v>
      </c>
      <c r="T1507" s="16" t="str">
        <f>IFERROR(__xludf.DUMMYFUNCTION("""COMPUTED_VALUE"""),"Tennis Elbow")</f>
        <v>Tennis Elbow</v>
      </c>
      <c r="U1507" s="16" t="str">
        <f>IFERROR(__xludf.DUMMYFUNCTION("""COMPUTED_VALUE"""),"Badminton &amp; Touring Motor")</f>
        <v>Badminton &amp; Touring Motor</v>
      </c>
      <c r="V1507" s="11" t="str">
        <f>IFERROR(__xludf.DUMMYFUNCTION("""COMPUTED_VALUE"""),"085252534330")</f>
        <v>085252534330</v>
      </c>
      <c r="W1507" s="15"/>
    </row>
    <row r="1508" ht="22.5" customHeight="1">
      <c r="A1508" s="8"/>
      <c r="B1508" s="9">
        <f>IFERROR(__xludf.DUMMYFUNCTION("""COMPUTED_VALUE"""),45481.43940444445)</f>
        <v>45481.4394</v>
      </c>
      <c r="C1508" s="9"/>
      <c r="D1508" s="34">
        <f>IFERROR(__xludf.DUMMYFUNCTION("""COMPUTED_VALUE"""),45489.0)</f>
        <v>45489</v>
      </c>
      <c r="E1508" s="34" t="str">
        <f>IFERROR(__xludf.DUMMYFUNCTION("""COMPUTED_VALUE"""),"07Jul")</f>
        <v>07Jul</v>
      </c>
      <c r="F1508" s="34" t="str">
        <f>IFERROR(__xludf.DUMMYFUNCTION("""COMPUTED_VALUE"""),"2024")</f>
        <v>2024</v>
      </c>
      <c r="G1508" s="35" t="str">
        <f>IFERROR(__xludf.DUMMYFUNCTION("""COMPUTED_VALUE"""),"MARYANA")</f>
        <v>MARYANA</v>
      </c>
      <c r="H1508" s="17" t="str">
        <f>IFERROR(__xludf.DUMMYFUNCTION("""COMPUTED_VALUE"""),"M6924078913")</f>
        <v>M6924078913</v>
      </c>
      <c r="I1508" s="17">
        <f>IFERROR(__xludf.DUMMYFUNCTION("""COMPUTED_VALUE"""),56.0)</f>
        <v>56</v>
      </c>
      <c r="J1508" s="17" t="str">
        <f>IFERROR(__xludf.DUMMYFUNCTION("""COMPUTED_VALUE"""),"&gt; 44 tahun")</f>
        <v>&gt; 44 tahun</v>
      </c>
      <c r="K1508" s="21">
        <f>IFERROR(__xludf.DUMMYFUNCTION("""COMPUTED_VALUE"""),25494.0)</f>
        <v>25494</v>
      </c>
      <c r="L1508" s="21" t="str">
        <f>IFERROR(__xludf.DUMMYFUNCTION("""COMPUTED_VALUE"""),"PEREMPUAN")</f>
        <v>PEREMPUAN</v>
      </c>
      <c r="M1508" s="35" t="str">
        <f>IFERROR(__xludf.DUMMYFUNCTION("""COMPUTED_VALUE"""),"JL. TANI RT: 008 RW: 003")</f>
        <v>JL. TANI RT: 008 RW: 003</v>
      </c>
      <c r="N1508" s="16" t="str">
        <f>IFERROR(__xludf.DUMMYFUNCTION("""COMPUTED_VALUE"""),"KEL. ANJUNGAN MELANCAR")</f>
        <v>KEL. ANJUNGAN MELANCAR</v>
      </c>
      <c r="O1508" s="16" t="str">
        <f>IFERROR(__xludf.DUMMYFUNCTION("""COMPUTED_VALUE"""),"KEC. ANJONGAN")</f>
        <v>KEC. ANJONGAN</v>
      </c>
      <c r="P1508" s="16" t="str">
        <f>IFERROR(__xludf.DUMMYFUNCTION("""COMPUTED_VALUE"""),"KAB. MEMPAWAH")</f>
        <v>KAB. MEMPAWAH</v>
      </c>
      <c r="Q1508" s="16" t="str">
        <f>IFERROR(__xludf.DUMMYFUNCTION("""COMPUTED_VALUE"""),"KALIMANTAN BARAT")</f>
        <v>KALIMANTAN BARAT</v>
      </c>
      <c r="R1508" s="21" t="str">
        <f>IFERROR(__xludf.DUMMYFUNCTION("""COMPUTED_VALUE"""),"ISLAM")</f>
        <v>ISLAM</v>
      </c>
      <c r="S1508" s="16" t="str">
        <f>IFERROR(__xludf.DUMMYFUNCTION("""COMPUTED_VALUE"""),"ASN")</f>
        <v>ASN</v>
      </c>
      <c r="T1508" s="36" t="str">
        <f>IFERROR(__xludf.DUMMYFUNCTION("""COMPUTED_VALUE"""),"sakit susah berjalan , syaraf kejepit")</f>
        <v>sakit susah berjalan , syaraf kejepit</v>
      </c>
      <c r="U1508" s="36" t="str">
        <f>IFERROR(__xludf.DUMMYFUNCTION("""COMPUTED_VALUE"""),"-")</f>
        <v>-</v>
      </c>
      <c r="V1508" s="37" t="str">
        <f>IFERROR(__xludf.DUMMYFUNCTION("""COMPUTED_VALUE"""),"08994218913")</f>
        <v>08994218913</v>
      </c>
      <c r="W1508" s="22"/>
    </row>
    <row r="1509" ht="22.5" customHeight="1">
      <c r="A1509" s="8"/>
      <c r="B1509" s="9">
        <f>IFERROR(__xludf.DUMMYFUNCTION("""COMPUTED_VALUE"""),45481.62911895833)</f>
        <v>45481.62912</v>
      </c>
      <c r="C1509" s="9"/>
      <c r="D1509" s="34">
        <f>IFERROR(__xludf.DUMMYFUNCTION("""COMPUTED_VALUE"""),45489.0)</f>
        <v>45489</v>
      </c>
      <c r="E1509" s="34" t="str">
        <f>IFERROR(__xludf.DUMMYFUNCTION("""COMPUTED_VALUE"""),"07Jul")</f>
        <v>07Jul</v>
      </c>
      <c r="F1509" s="34" t="str">
        <f>IFERROR(__xludf.DUMMYFUNCTION("""COMPUTED_VALUE"""),"2024")</f>
        <v>2024</v>
      </c>
      <c r="G1509" s="35" t="str">
        <f>IFERROR(__xludf.DUMMYFUNCTION("""COMPUTED_VALUE"""),"ALFREDO JHON KENZO")</f>
        <v>ALFREDO JHON KENZO</v>
      </c>
      <c r="H1509" s="17" t="str">
        <f>IFERROR(__xludf.DUMMYFUNCTION("""COMPUTED_VALUE"""),"A0924072172")</f>
        <v>A0924072172</v>
      </c>
      <c r="I1509" s="17">
        <f>IFERROR(__xludf.DUMMYFUNCTION("""COMPUTED_VALUE"""),17.0)</f>
        <v>17</v>
      </c>
      <c r="J1509" s="17" t="str">
        <f>IFERROR(__xludf.DUMMYFUNCTION("""COMPUTED_VALUE"""),"&lt; 18 tahun")</f>
        <v>&lt; 18 tahun</v>
      </c>
      <c r="K1509" s="19">
        <f>IFERROR(__xludf.DUMMYFUNCTION("""COMPUTED_VALUE"""),39834.0)</f>
        <v>39834</v>
      </c>
      <c r="L1509" s="19" t="str">
        <f>IFERROR(__xludf.DUMMYFUNCTION("""COMPUTED_VALUE"""),"LAKI-LAKI")</f>
        <v>LAKI-LAKI</v>
      </c>
      <c r="M1509" s="35" t="str">
        <f>IFERROR(__xludf.DUMMYFUNCTION("""COMPUTED_VALUE"""),"GOMBANG")</f>
        <v>GOMBANG</v>
      </c>
      <c r="N1509" s="16" t="str">
        <f>IFERROR(__xludf.DUMMYFUNCTION("""COMPUTED_VALUE"""),"DS. GOMBANG")</f>
        <v>DS. GOMBANG</v>
      </c>
      <c r="O1509" s="16" t="str">
        <f>IFERROR(__xludf.DUMMYFUNCTION("""COMPUTED_VALUE"""),"KEC. SENGAH TEMILA")</f>
        <v>KEC. SENGAH TEMILA</v>
      </c>
      <c r="P1509" s="16" t="str">
        <f>IFERROR(__xludf.DUMMYFUNCTION("""COMPUTED_VALUE"""),"KAB. LANDAK")</f>
        <v>KAB. LANDAK</v>
      </c>
      <c r="Q1509" s="16" t="str">
        <f>IFERROR(__xludf.DUMMYFUNCTION("""COMPUTED_VALUE"""),"KALIMANTAN BARAT")</f>
        <v>KALIMANTAN BARAT</v>
      </c>
      <c r="R1509" s="19" t="str">
        <f>IFERROR(__xludf.DUMMYFUNCTION("""COMPUTED_VALUE"""),"KATOLIK")</f>
        <v>KATOLIK</v>
      </c>
      <c r="S1509" s="35" t="str">
        <f>IFERROR(__xludf.DUMMYFUNCTION("""COMPUTED_VALUE"""),"PELAJAR/MAHASISWA")</f>
        <v>PELAJAR/MAHASISWA</v>
      </c>
      <c r="T1509" s="16" t="str">
        <f>IFERROR(__xludf.DUMMYFUNCTION("""COMPUTED_VALUE"""),"ACL rupture, medical meniscus genu dextra (ada surat rujukannya)")</f>
        <v>ACL rupture, medical meniscus genu dextra (ada surat rujukannya)</v>
      </c>
      <c r="U1509" s="16" t="str">
        <f>IFERROR(__xludf.DUMMYFUNCTION("""COMPUTED_VALUE"""),"Sekolah")</f>
        <v>Sekolah</v>
      </c>
      <c r="V1509" s="11" t="str">
        <f>IFERROR(__xludf.DUMMYFUNCTION("""COMPUTED_VALUE"""),"081253652172")</f>
        <v>081253652172</v>
      </c>
      <c r="W1509" s="15"/>
    </row>
    <row r="1510" ht="22.5" customHeight="1">
      <c r="A1510" s="8"/>
      <c r="B1510" s="9">
        <f>IFERROR(__xludf.DUMMYFUNCTION("""COMPUTED_VALUE"""),45482.41796571759)</f>
        <v>45482.41797</v>
      </c>
      <c r="C1510" s="9"/>
      <c r="D1510" s="34">
        <f>IFERROR(__xludf.DUMMYFUNCTION("""COMPUTED_VALUE"""),45489.0)</f>
        <v>45489</v>
      </c>
      <c r="E1510" s="34" t="str">
        <f>IFERROR(__xludf.DUMMYFUNCTION("""COMPUTED_VALUE"""),"07Jul")</f>
        <v>07Jul</v>
      </c>
      <c r="F1510" s="34" t="str">
        <f>IFERROR(__xludf.DUMMYFUNCTION("""COMPUTED_VALUE"""),"2024")</f>
        <v>2024</v>
      </c>
      <c r="G1510" s="35" t="str">
        <f>IFERROR(__xludf.DUMMYFUNCTION("""COMPUTED_VALUE"""),"ALI IBRAHIM")</f>
        <v>ALI IBRAHIM</v>
      </c>
      <c r="H1510" s="17" t="str">
        <f>IFERROR(__xludf.DUMMYFUNCTION("""COMPUTED_VALUE"""),"A9424070374")</f>
        <v>A9424070374</v>
      </c>
      <c r="I1510" s="17">
        <f>IFERROR(__xludf.DUMMYFUNCTION("""COMPUTED_VALUE"""),31.0)</f>
        <v>31</v>
      </c>
      <c r="J1510" s="17" t="str">
        <f>IFERROR(__xludf.DUMMYFUNCTION("""COMPUTED_VALUE"""),"25-34 tahun")</f>
        <v>25-34 tahun</v>
      </c>
      <c r="K1510" s="19">
        <f>IFERROR(__xludf.DUMMYFUNCTION("""COMPUTED_VALUE"""),34617.0)</f>
        <v>34617</v>
      </c>
      <c r="L1510" s="19" t="str">
        <f>IFERROR(__xludf.DUMMYFUNCTION("""COMPUTED_VALUE"""),"LAKI-LAKI")</f>
        <v>LAKI-LAKI</v>
      </c>
      <c r="M1510" s="35" t="str">
        <f>IFERROR(__xludf.DUMMYFUNCTION("""COMPUTED_VALUE"""),"JL.M.YAHYA MATHAN")</f>
        <v>JL.M.YAHYA MATHAN</v>
      </c>
      <c r="N1510" s="16" t="str">
        <f>IFERROR(__xludf.DUMMYFUNCTION("""COMPUTED_VALUE"""),"KEL. BALANGNIPA")</f>
        <v>KEL. BALANGNIPA</v>
      </c>
      <c r="O1510" s="16" t="str">
        <f>IFERROR(__xludf.DUMMYFUNCTION("""COMPUTED_VALUE"""),"KEC. SINJAI UTARA")</f>
        <v>KEC. SINJAI UTARA</v>
      </c>
      <c r="P1510" s="16" t="str">
        <f>IFERROR(__xludf.DUMMYFUNCTION("""COMPUTED_VALUE"""),"KOTA SINJAI")</f>
        <v>KOTA SINJAI</v>
      </c>
      <c r="Q1510" s="16" t="str">
        <f>IFERROR(__xludf.DUMMYFUNCTION("""COMPUTED_VALUE"""),"SULAWESI SELATAN")</f>
        <v>SULAWESI SELATAN</v>
      </c>
      <c r="R1510" s="19" t="str">
        <f>IFERROR(__xludf.DUMMYFUNCTION("""COMPUTED_VALUE"""),"ISLAM")</f>
        <v>ISLAM</v>
      </c>
      <c r="S1510" s="16" t="str">
        <f>IFERROR(__xludf.DUMMYFUNCTION("""COMPUTED_VALUE"""),"ASN")</f>
        <v>ASN</v>
      </c>
      <c r="T1510" s="16" t="str">
        <f>IFERROR(__xludf.DUMMYFUNCTION("""COMPUTED_VALUE"""),"ngilu di area pinggang mba, sepertinya ada salah posisi saat angkat barang berat , jd untuk saat ini dari tiduran mau duduk berdiri itu sakit, dari jongkok mau berdiri juga sakit")</f>
        <v>ngilu di area pinggang mba, sepertinya ada salah posisi saat angkat barang berat , jd untuk saat ini dari tiduran mau duduk berdiri itu sakit, dari jongkok mau berdiri juga sakit</v>
      </c>
      <c r="U1510" s="16" t="str">
        <f>IFERROR(__xludf.DUMMYFUNCTION("""COMPUTED_VALUE"""),"-")</f>
        <v>-</v>
      </c>
      <c r="V1510" s="11" t="str">
        <f>IFERROR(__xludf.DUMMYFUNCTION("""COMPUTED_VALUE"""),"085750360374")</f>
        <v>085750360374</v>
      </c>
      <c r="W1510" s="15"/>
    </row>
    <row r="1511" ht="22.5" customHeight="1">
      <c r="A1511" s="8"/>
      <c r="B1511" s="9">
        <f>IFERROR(__xludf.DUMMYFUNCTION("""COMPUTED_VALUE"""),45482.83045126157)</f>
        <v>45482.83045</v>
      </c>
      <c r="C1511" s="9"/>
      <c r="D1511" s="34">
        <f>IFERROR(__xludf.DUMMYFUNCTION("""COMPUTED_VALUE"""),45489.0)</f>
        <v>45489</v>
      </c>
      <c r="E1511" s="34" t="str">
        <f>IFERROR(__xludf.DUMMYFUNCTION("""COMPUTED_VALUE"""),"07Jul")</f>
        <v>07Jul</v>
      </c>
      <c r="F1511" s="34" t="str">
        <f>IFERROR(__xludf.DUMMYFUNCTION("""COMPUTED_VALUE"""),"2024")</f>
        <v>2024</v>
      </c>
      <c r="G1511" s="35" t="str">
        <f>IFERROR(__xludf.DUMMYFUNCTION("""COMPUTED_VALUE"""),"KIERA PRANATA")</f>
        <v>KIERA PRANATA</v>
      </c>
      <c r="H1511" s="17" t="str">
        <f>IFERROR(__xludf.DUMMYFUNCTION("""COMPUTED_VALUE"""),"K1224078129")</f>
        <v>K1224078129</v>
      </c>
      <c r="I1511" s="17">
        <f>IFERROR(__xludf.DUMMYFUNCTION("""COMPUTED_VALUE"""),14.0)</f>
        <v>14</v>
      </c>
      <c r="J1511" s="17" t="str">
        <f>IFERROR(__xludf.DUMMYFUNCTION("""COMPUTED_VALUE"""),"&lt; 18 tahun")</f>
        <v>&lt; 18 tahun</v>
      </c>
      <c r="K1511" s="19">
        <f>IFERROR(__xludf.DUMMYFUNCTION("""COMPUTED_VALUE"""),40926.0)</f>
        <v>40926</v>
      </c>
      <c r="L1511" s="19" t="str">
        <f>IFERROR(__xludf.DUMMYFUNCTION("""COMPUTED_VALUE"""),"PEREMPUAN")</f>
        <v>PEREMPUAN</v>
      </c>
      <c r="M1511" s="35" t="str">
        <f>IFERROR(__xludf.DUMMYFUNCTION("""COMPUTED_VALUE"""),"")</f>
        <v/>
      </c>
      <c r="N1511" s="16" t="str">
        <f>IFERROR(__xludf.DUMMYFUNCTION("""COMPUTED_VALUE"""),"KEL. BANGKA BELITUNG DARAT")</f>
        <v>KEL. BANGKA BELITUNG DARAT</v>
      </c>
      <c r="O1511" s="16" t="str">
        <f>IFERROR(__xludf.DUMMYFUNCTION("""COMPUTED_VALUE"""),"KEC. PONTIANAK TENGGARA")</f>
        <v>KEC. PONTIANAK TENGGARA</v>
      </c>
      <c r="P1511" s="16" t="str">
        <f>IFERROR(__xludf.DUMMYFUNCTION("""COMPUTED_VALUE"""),"KOTA PONTIANAK")</f>
        <v>KOTA PONTIANAK</v>
      </c>
      <c r="Q1511" s="35" t="str">
        <f>IFERROR(__xludf.DUMMYFUNCTION("""COMPUTED_VALUE"""),"KALIMANTAN BARAT")</f>
        <v>KALIMANTAN BARAT</v>
      </c>
      <c r="R1511" s="19" t="str">
        <f>IFERROR(__xludf.DUMMYFUNCTION("""COMPUTED_VALUE"""),"ISLAM")</f>
        <v>ISLAM</v>
      </c>
      <c r="S1511" s="35" t="str">
        <f>IFERROR(__xludf.DUMMYFUNCTION("""COMPUTED_VALUE"""),"PELAJAR/MAHASISWA")</f>
        <v>PELAJAR/MAHASISWA</v>
      </c>
      <c r="T1511" s="16" t="str">
        <f>IFERROR(__xludf.DUMMYFUNCTION("""COMPUTED_VALUE"""),"Kaki kanan, sampai kebawah,melangkah terasa sakit")</f>
        <v>Kaki kanan, sampai kebawah,melangkah terasa sakit</v>
      </c>
      <c r="U1511" s="16" t="str">
        <f>IFERROR(__xludf.DUMMYFUNCTION("""COMPUTED_VALUE"""),"Sekolah dan olahraga")</f>
        <v>Sekolah dan olahraga</v>
      </c>
      <c r="V1511" s="11" t="str">
        <f>IFERROR(__xludf.DUMMYFUNCTION("""COMPUTED_VALUE"""),"081345428129")</f>
        <v>081345428129</v>
      </c>
      <c r="W1511" s="15"/>
    </row>
    <row r="1512" ht="22.5" customHeight="1">
      <c r="A1512" s="8"/>
      <c r="B1512" s="9">
        <f>IFERROR(__xludf.DUMMYFUNCTION("""COMPUTED_VALUE"""),45483.544757870375)</f>
        <v>45483.54476</v>
      </c>
      <c r="C1512" s="9"/>
      <c r="D1512" s="34">
        <f>IFERROR(__xludf.DUMMYFUNCTION("""COMPUTED_VALUE"""),45489.0)</f>
        <v>45489</v>
      </c>
      <c r="E1512" s="34" t="str">
        <f>IFERROR(__xludf.DUMMYFUNCTION("""COMPUTED_VALUE"""),"07Jul")</f>
        <v>07Jul</v>
      </c>
      <c r="F1512" s="34" t="str">
        <f>IFERROR(__xludf.DUMMYFUNCTION("""COMPUTED_VALUE"""),"2024")</f>
        <v>2024</v>
      </c>
      <c r="G1512" s="35" t="str">
        <f>IFERROR(__xludf.DUMMYFUNCTION("""COMPUTED_VALUE"""),"DITTA KRISJAYANTI")</f>
        <v>DITTA KRISJAYANTI</v>
      </c>
      <c r="H1512" s="17" t="str">
        <f>IFERROR(__xludf.DUMMYFUNCTION("""COMPUTED_VALUE"""),"D9524071864")</f>
        <v>D9524071864</v>
      </c>
      <c r="I1512" s="17">
        <f>IFERROR(__xludf.DUMMYFUNCTION("""COMPUTED_VALUE"""),31.0)</f>
        <v>31</v>
      </c>
      <c r="J1512" s="17" t="str">
        <f>IFERROR(__xludf.DUMMYFUNCTION("""COMPUTED_VALUE"""),"25-34 tahun")</f>
        <v>25-34 tahun</v>
      </c>
      <c r="K1512" s="19">
        <f>IFERROR(__xludf.DUMMYFUNCTION("""COMPUTED_VALUE"""),34867.0)</f>
        <v>34867</v>
      </c>
      <c r="L1512" s="19" t="str">
        <f>IFERROR(__xludf.DUMMYFUNCTION("""COMPUTED_VALUE"""),"PEREMPUAN")</f>
        <v>PEREMPUAN</v>
      </c>
      <c r="M1512" s="35" t="str">
        <f>IFERROR(__xludf.DUMMYFUNCTION("""COMPUTED_VALUE"""),"JALAN KOM YOS SUDARSO GANG SUTAN NATSIR NO 17A/33")</f>
        <v>JALAN KOM YOS SUDARSO GANG SUTAN NATSIR NO 17A/33</v>
      </c>
      <c r="N1512" s="16" t="str">
        <f>IFERROR(__xludf.DUMMYFUNCTION("""COMPUTED_VALUE"""),"KEL. SUNGAI BELIUNG")</f>
        <v>KEL. SUNGAI BELIUNG</v>
      </c>
      <c r="O1512" s="16" t="str">
        <f>IFERROR(__xludf.DUMMYFUNCTION("""COMPUTED_VALUE"""),"KEC. PONTIANAK BARAT")</f>
        <v>KEC. PONTIANAK BARAT</v>
      </c>
      <c r="P1512" s="16" t="str">
        <f>IFERROR(__xludf.DUMMYFUNCTION("""COMPUTED_VALUE"""),"KOTA PONTIANAK")</f>
        <v>KOTA PONTIANAK</v>
      </c>
      <c r="Q1512" s="16" t="str">
        <f>IFERROR(__xludf.DUMMYFUNCTION("""COMPUTED_VALUE"""),"KALIMANTAN BARAT")</f>
        <v>KALIMANTAN BARAT</v>
      </c>
      <c r="R1512" s="19" t="str">
        <f>IFERROR(__xludf.DUMMYFUNCTION("""COMPUTED_VALUE"""),"ISLAM")</f>
        <v>ISLAM</v>
      </c>
      <c r="S1512" s="35" t="str">
        <f>IFERROR(__xludf.DUMMYFUNCTION("""COMPUTED_VALUE"""),"ASN")</f>
        <v>ASN</v>
      </c>
      <c r="T1512" s="16" t="str">
        <f>IFERROR(__xludf.DUMMYFUNCTION("""COMPUTED_VALUE"""),"Nyeri bahu")</f>
        <v>Nyeri bahu</v>
      </c>
      <c r="U1512" s="16" t="str">
        <f>IFERROR(__xludf.DUMMYFUNCTION("""COMPUTED_VALUE"""),"Bekerja, olahraga ringan, mengurus anak")</f>
        <v>Bekerja, olahraga ringan, mengurus anak</v>
      </c>
      <c r="V1512" s="11" t="str">
        <f>IFERROR(__xludf.DUMMYFUNCTION("""COMPUTED_VALUE"""),"085722571864")</f>
        <v>085722571864</v>
      </c>
      <c r="W1512" s="15"/>
    </row>
    <row r="1513" ht="22.5" customHeight="1">
      <c r="A1513" s="8"/>
      <c r="B1513" s="9">
        <f>IFERROR(__xludf.DUMMYFUNCTION("""COMPUTED_VALUE"""),45483.712221354166)</f>
        <v>45483.71222</v>
      </c>
      <c r="C1513" s="9"/>
      <c r="D1513" s="34">
        <f>IFERROR(__xludf.DUMMYFUNCTION("""COMPUTED_VALUE"""),45489.0)</f>
        <v>45489</v>
      </c>
      <c r="E1513" s="34" t="str">
        <f>IFERROR(__xludf.DUMMYFUNCTION("""COMPUTED_VALUE"""),"07Jul")</f>
        <v>07Jul</v>
      </c>
      <c r="F1513" s="34" t="str">
        <f>IFERROR(__xludf.DUMMYFUNCTION("""COMPUTED_VALUE"""),"2024")</f>
        <v>2024</v>
      </c>
      <c r="G1513" s="35" t="str">
        <f>IFERROR(__xludf.DUMMYFUNCTION("""COMPUTED_VALUE"""),"WAHYUDI SRIDADI")</f>
        <v>WAHYUDI SRIDADI</v>
      </c>
      <c r="H1513" s="17" t="str">
        <f>IFERROR(__xludf.DUMMYFUNCTION("""COMPUTED_VALUE"""),"W8024079678")</f>
        <v>W8024079678</v>
      </c>
      <c r="I1513" s="17">
        <f>IFERROR(__xludf.DUMMYFUNCTION("""COMPUTED_VALUE"""),46.0)</f>
        <v>46</v>
      </c>
      <c r="J1513" s="17" t="str">
        <f>IFERROR(__xludf.DUMMYFUNCTION("""COMPUTED_VALUE"""),"&gt; 44 tahun")</f>
        <v>&gt; 44 tahun</v>
      </c>
      <c r="K1513" s="19">
        <f>IFERROR(__xludf.DUMMYFUNCTION("""COMPUTED_VALUE"""),29370.0)</f>
        <v>29370</v>
      </c>
      <c r="L1513" s="19" t="str">
        <f>IFERROR(__xludf.DUMMYFUNCTION("""COMPUTED_VALUE"""),"LAKI-LAKI")</f>
        <v>LAKI-LAKI</v>
      </c>
      <c r="M1513" s="35" t="str">
        <f>IFERROR(__xludf.DUMMYFUNCTION("""COMPUTED_VALUE"""),"GG. NIRBAYA 2")</f>
        <v>GG. NIRBAYA 2</v>
      </c>
      <c r="N1513" s="16" t="str">
        <f>IFERROR(__xludf.DUMMYFUNCTION("""COMPUTED_VALUE"""),"KEL. KOTA BARU")</f>
        <v>KEL. KOTA BARU</v>
      </c>
      <c r="O1513" s="16" t="str">
        <f>IFERROR(__xludf.DUMMYFUNCTION("""COMPUTED_VALUE"""),"KEC. PONTIANAK SELATAN")</f>
        <v>KEC. PONTIANAK SELATAN</v>
      </c>
      <c r="P1513" s="16" t="str">
        <f>IFERROR(__xludf.DUMMYFUNCTION("""COMPUTED_VALUE"""),"KOTA PONTIANAK")</f>
        <v>KOTA PONTIANAK</v>
      </c>
      <c r="Q1513" s="16" t="str">
        <f>IFERROR(__xludf.DUMMYFUNCTION("""COMPUTED_VALUE"""),"KALIMANTAN BARAT")</f>
        <v>KALIMANTAN BARAT</v>
      </c>
      <c r="R1513" s="19" t="str">
        <f>IFERROR(__xludf.DUMMYFUNCTION("""COMPUTED_VALUE"""),"ISLAM")</f>
        <v>ISLAM</v>
      </c>
      <c r="S1513" s="16" t="str">
        <f>IFERROR(__xludf.DUMMYFUNCTION("""COMPUTED_VALUE"""),"ASN")</f>
        <v>ASN</v>
      </c>
      <c r="T1513" s="16" t="str">
        <f>IFERROR(__xludf.DUMMYFUNCTION("""COMPUTED_VALUE"""),"Jari jempol tangan kiri kaku")</f>
        <v>Jari jempol tangan kiri kaku</v>
      </c>
      <c r="U1513" s="16" t="str">
        <f>IFERROR(__xludf.DUMMYFUNCTION("""COMPUTED_VALUE"""),"Jalan jalan")</f>
        <v>Jalan jalan</v>
      </c>
      <c r="V1513" s="11" t="str">
        <f>IFERROR(__xludf.DUMMYFUNCTION("""COMPUTED_VALUE"""),"082151139678")</f>
        <v>082151139678</v>
      </c>
      <c r="W1513" s="15"/>
    </row>
    <row r="1514" ht="22.5" customHeight="1">
      <c r="A1514" s="8"/>
      <c r="B1514" s="9">
        <f>IFERROR(__xludf.DUMMYFUNCTION("""COMPUTED_VALUE"""),45484.328137372686)</f>
        <v>45484.32814</v>
      </c>
      <c r="C1514" s="9"/>
      <c r="D1514" s="34">
        <f>IFERROR(__xludf.DUMMYFUNCTION("""COMPUTED_VALUE"""),45490.0)</f>
        <v>45490</v>
      </c>
      <c r="E1514" s="34" t="str">
        <f>IFERROR(__xludf.DUMMYFUNCTION("""COMPUTED_VALUE"""),"07Jul")</f>
        <v>07Jul</v>
      </c>
      <c r="F1514" s="34" t="str">
        <f>IFERROR(__xludf.DUMMYFUNCTION("""COMPUTED_VALUE"""),"2024")</f>
        <v>2024</v>
      </c>
      <c r="G1514" s="35" t="str">
        <f>IFERROR(__xludf.DUMMYFUNCTION("""COMPUTED_VALUE"""),"TANTRI HIDAYAH NINGTYAS")</f>
        <v>TANTRI HIDAYAH NINGTYAS</v>
      </c>
      <c r="H1514" s="17" t="str">
        <f>IFERROR(__xludf.DUMMYFUNCTION("""COMPUTED_VALUE"""),"T0624073059")</f>
        <v>T0624073059</v>
      </c>
      <c r="I1514" s="17">
        <f>IFERROR(__xludf.DUMMYFUNCTION("""COMPUTED_VALUE"""),19.0)</f>
        <v>19</v>
      </c>
      <c r="J1514" s="17" t="str">
        <f>IFERROR(__xludf.DUMMYFUNCTION("""COMPUTED_VALUE"""),"18-24 tahun")</f>
        <v>18-24 tahun</v>
      </c>
      <c r="K1514" s="19">
        <f>IFERROR(__xludf.DUMMYFUNCTION("""COMPUTED_VALUE"""),39071.0)</f>
        <v>39071</v>
      </c>
      <c r="L1514" s="19" t="str">
        <f>IFERROR(__xludf.DUMMYFUNCTION("""COMPUTED_VALUE"""),"PEREMPUAN")</f>
        <v>PEREMPUAN</v>
      </c>
      <c r="M1514" s="35" t="str">
        <f>IFERROR(__xludf.DUMMYFUNCTION("""COMPUTED_VALUE"""),"GG. MARGODADI REJO II D NO.7")</f>
        <v>GG. MARGODADI REJO II D NO.7</v>
      </c>
      <c r="N1514" s="16" t="str">
        <f>IFERROR(__xludf.DUMMYFUNCTION("""COMPUTED_VALUE"""),"KEL. SUNGAI JAWI")</f>
        <v>KEL. SUNGAI JAWI</v>
      </c>
      <c r="O1514" s="16" t="str">
        <f>IFERROR(__xludf.DUMMYFUNCTION("""COMPUTED_VALUE"""),"KEC. PONTIANAK KOTA")</f>
        <v>KEC. PONTIANAK KOTA</v>
      </c>
      <c r="P1514" s="16" t="str">
        <f>IFERROR(__xludf.DUMMYFUNCTION("""COMPUTED_VALUE"""),"KOTA PONTIANAK")</f>
        <v>KOTA PONTIANAK</v>
      </c>
      <c r="Q1514" s="16" t="str">
        <f>IFERROR(__xludf.DUMMYFUNCTION("""COMPUTED_VALUE"""),"KALIMANTAN BARAT")</f>
        <v>KALIMANTAN BARAT</v>
      </c>
      <c r="R1514" s="19" t="str">
        <f>IFERROR(__xludf.DUMMYFUNCTION("""COMPUTED_VALUE"""),"ISLAM")</f>
        <v>ISLAM</v>
      </c>
      <c r="S1514" s="16" t="str">
        <f>IFERROR(__xludf.DUMMYFUNCTION("""COMPUTED_VALUE"""),"TIDAK ADA")</f>
        <v>TIDAK ADA</v>
      </c>
      <c r="T1514" s="16" t="str">
        <f>IFERROR(__xludf.DUMMYFUNCTION("""COMPUTED_VALUE"""),"pegal pegal")</f>
        <v>pegal pegal</v>
      </c>
      <c r="U1514" s="16" t="str">
        <f>IFERROR(__xludf.DUMMYFUNCTION("""COMPUTED_VALUE"""),"mendengarkan musik")</f>
        <v>mendengarkan musik</v>
      </c>
      <c r="V1514" s="11" t="str">
        <f>IFERROR(__xludf.DUMMYFUNCTION("""COMPUTED_VALUE"""),"0895701903059")</f>
        <v>0895701903059</v>
      </c>
      <c r="W1514" s="15"/>
    </row>
    <row r="1515" ht="22.5" customHeight="1">
      <c r="A1515" s="8"/>
      <c r="B1515" s="9">
        <f>IFERROR(__xludf.DUMMYFUNCTION("""COMPUTED_VALUE"""),45484.67980402778)</f>
        <v>45484.6798</v>
      </c>
      <c r="C1515" s="9"/>
      <c r="D1515" s="34">
        <f>IFERROR(__xludf.DUMMYFUNCTION("""COMPUTED_VALUE"""),45490.0)</f>
        <v>45490</v>
      </c>
      <c r="E1515" s="34" t="str">
        <f>IFERROR(__xludf.DUMMYFUNCTION("""COMPUTED_VALUE"""),"07Jul")</f>
        <v>07Jul</v>
      </c>
      <c r="F1515" s="34" t="str">
        <f>IFERROR(__xludf.DUMMYFUNCTION("""COMPUTED_VALUE"""),"2024")</f>
        <v>2024</v>
      </c>
      <c r="G1515" s="35" t="str">
        <f>IFERROR(__xludf.DUMMYFUNCTION("""COMPUTED_VALUE"""),"AMANDA YANASARI UTAMI")</f>
        <v>AMANDA YANASARI UTAMI</v>
      </c>
      <c r="H1515" s="17" t="str">
        <f>IFERROR(__xludf.DUMMYFUNCTION("""COMPUTED_VALUE"""),"A0224072092")</f>
        <v>A0224072092</v>
      </c>
      <c r="I1515" s="17">
        <f>IFERROR(__xludf.DUMMYFUNCTION("""COMPUTED_VALUE"""),23.0)</f>
        <v>23</v>
      </c>
      <c r="J1515" s="17" t="str">
        <f>IFERROR(__xludf.DUMMYFUNCTION("""COMPUTED_VALUE"""),"18-24 tahun")</f>
        <v>18-24 tahun</v>
      </c>
      <c r="K1515" s="19">
        <f>IFERROR(__xludf.DUMMYFUNCTION("""COMPUTED_VALUE"""),37542.0)</f>
        <v>37542</v>
      </c>
      <c r="L1515" s="19" t="str">
        <f>IFERROR(__xludf.DUMMYFUNCTION("""COMPUTED_VALUE"""),"PEREMPUAN")</f>
        <v>PEREMPUAN</v>
      </c>
      <c r="M1515" s="35" t="str">
        <f>IFERROR(__xludf.DUMMYFUNCTION("""COMPUTED_VALUE"""),"JL. GS LALANANG GG. ASOKA NO. 40")</f>
        <v>JL. GS LALANANG GG. ASOKA NO. 40</v>
      </c>
      <c r="N1515" s="16" t="str">
        <f>IFERROR(__xludf.DUMMYFUNCTION("""COMPUTED_VALUE"""),"KEL. PASIRAN")</f>
        <v>KEL. PASIRAN</v>
      </c>
      <c r="O1515" s="16" t="str">
        <f>IFERROR(__xludf.DUMMYFUNCTION("""COMPUTED_VALUE"""),"KEC. SINGKAWANG BARAT")</f>
        <v>KEC. SINGKAWANG BARAT</v>
      </c>
      <c r="P1515" s="16" t="str">
        <f>IFERROR(__xludf.DUMMYFUNCTION("""COMPUTED_VALUE"""),"KAB. SINGKAWANG")</f>
        <v>KAB. SINGKAWANG</v>
      </c>
      <c r="Q1515" s="16" t="str">
        <f>IFERROR(__xludf.DUMMYFUNCTION("""COMPUTED_VALUE"""),"KALIMANTAN BARAT")</f>
        <v>KALIMANTAN BARAT</v>
      </c>
      <c r="R1515" s="19" t="str">
        <f>IFERROR(__xludf.DUMMYFUNCTION("""COMPUTED_VALUE"""),"ISLAM")</f>
        <v>ISLAM</v>
      </c>
      <c r="S1515" s="35" t="str">
        <f>IFERROR(__xludf.DUMMYFUNCTION("""COMPUTED_VALUE"""),"PELAJAR/MAHASISWA")</f>
        <v>PELAJAR/MAHASISWA</v>
      </c>
      <c r="T1515" s="16" t="str">
        <f>IFERROR(__xludf.DUMMYFUNCTION("""COMPUTED_VALUE"""),"Nyeri bahu sebelah kiri saat baring dan ambil napas")</f>
        <v>Nyeri bahu sebelah kiri saat baring dan ambil napas</v>
      </c>
      <c r="U1515" s="16" t="str">
        <f>IFERROR(__xludf.DUMMYFUNCTION("""COMPUTED_VALUE"""),"Hobi : adventure (tp bbrp bulan ini jarang) , aktivitas sehari"" : mengerjakan tugas dgn laptop di waktu yg lama")</f>
        <v>Hobi : adventure (tp bbrp bulan ini jarang) , aktivitas sehari" : mengerjakan tugas dgn laptop di waktu yg lama</v>
      </c>
      <c r="V1515" s="11" t="str">
        <f>IFERROR(__xludf.DUMMYFUNCTION("""COMPUTED_VALUE"""),"089609102092")</f>
        <v>089609102092</v>
      </c>
      <c r="W1515" s="15"/>
    </row>
    <row r="1516" ht="22.5" customHeight="1">
      <c r="A1516" s="8"/>
      <c r="B1516" s="9">
        <f>IFERROR(__xludf.DUMMYFUNCTION("""COMPUTED_VALUE"""),45486.39887752315)</f>
        <v>45486.39888</v>
      </c>
      <c r="C1516" s="9"/>
      <c r="D1516" s="34">
        <f>IFERROR(__xludf.DUMMYFUNCTION("""COMPUTED_VALUE"""),45490.0)</f>
        <v>45490</v>
      </c>
      <c r="E1516" s="34" t="str">
        <f>IFERROR(__xludf.DUMMYFUNCTION("""COMPUTED_VALUE"""),"07Jul")</f>
        <v>07Jul</v>
      </c>
      <c r="F1516" s="34" t="str">
        <f>IFERROR(__xludf.DUMMYFUNCTION("""COMPUTED_VALUE"""),"2024")</f>
        <v>2024</v>
      </c>
      <c r="G1516" s="35" t="str">
        <f>IFERROR(__xludf.DUMMYFUNCTION("""COMPUTED_VALUE"""),"ABANG ARI TRI DARMAWAN")</f>
        <v>ABANG ARI TRI DARMAWAN</v>
      </c>
      <c r="H1516" s="17" t="str">
        <f>IFERROR(__xludf.DUMMYFUNCTION("""COMPUTED_VALUE"""),"A0224072527")</f>
        <v>A0224072527</v>
      </c>
      <c r="I1516" s="17">
        <f>IFERROR(__xludf.DUMMYFUNCTION("""COMPUTED_VALUE"""),23.0)</f>
        <v>23</v>
      </c>
      <c r="J1516" s="17" t="str">
        <f>IFERROR(__xludf.DUMMYFUNCTION("""COMPUTED_VALUE"""),"18-24 tahun")</f>
        <v>18-24 tahun</v>
      </c>
      <c r="K1516" s="19">
        <f>IFERROR(__xludf.DUMMYFUNCTION("""COMPUTED_VALUE"""),37531.0)</f>
        <v>37531</v>
      </c>
      <c r="L1516" s="19" t="str">
        <f>IFERROR(__xludf.DUMMYFUNCTION("""COMPUTED_VALUE"""),"LAKI-LAKI")</f>
        <v>LAKI-LAKI</v>
      </c>
      <c r="M1516" s="35" t="str">
        <f>IFERROR(__xludf.DUMMYFUNCTION("""COMPUTED_VALUE"""),"GANG SEMBILAN LIMA")</f>
        <v>GANG SEMBILAN LIMA</v>
      </c>
      <c r="N1516" s="16" t="str">
        <f>IFERROR(__xludf.DUMMYFUNCTION("""COMPUTED_VALUE"""),"KEL. SIANTAN TENGAH")</f>
        <v>KEL. SIANTAN TENGAH</v>
      </c>
      <c r="O1516" s="16" t="str">
        <f>IFERROR(__xludf.DUMMYFUNCTION("""COMPUTED_VALUE"""),"KEC. PONTIANAK UTARA")</f>
        <v>KEC. PONTIANAK UTARA</v>
      </c>
      <c r="P1516" s="16" t="str">
        <f>IFERROR(__xludf.DUMMYFUNCTION("""COMPUTED_VALUE"""),"KOTA PONTIANAK")</f>
        <v>KOTA PONTIANAK</v>
      </c>
      <c r="Q1516" s="16" t="str">
        <f>IFERROR(__xludf.DUMMYFUNCTION("""COMPUTED_VALUE"""),"KALIMANTAN BARAT")</f>
        <v>KALIMANTAN BARAT</v>
      </c>
      <c r="R1516" s="19" t="str">
        <f>IFERROR(__xludf.DUMMYFUNCTION("""COMPUTED_VALUE"""),"ISLAM")</f>
        <v>ISLAM</v>
      </c>
      <c r="S1516" s="35" t="str">
        <f>IFERROR(__xludf.DUMMYFUNCTION("""COMPUTED_VALUE"""),"PELAJAR/MAHASISWA")</f>
        <v>PELAJAR/MAHASISWA</v>
      </c>
      <c r="T1516" s="16" t="str">
        <f>IFERROR(__xludf.DUMMYFUNCTION("""COMPUTED_VALUE"""),"Cidera engkel kaki")</f>
        <v>Cidera engkel kaki</v>
      </c>
      <c r="U1516" s="16" t="str">
        <f>IFERROR(__xludf.DUMMYFUNCTION("""COMPUTED_VALUE"""),"Futsal")</f>
        <v>Futsal</v>
      </c>
      <c r="V1516" s="11" t="str">
        <f>IFERROR(__xludf.DUMMYFUNCTION("""COMPUTED_VALUE"""),"085849692527")</f>
        <v>085849692527</v>
      </c>
      <c r="W1516" s="15"/>
    </row>
    <row r="1517" ht="22.5" customHeight="1">
      <c r="A1517" s="8"/>
      <c r="B1517" s="9">
        <f>IFERROR(__xludf.DUMMYFUNCTION("""COMPUTED_VALUE"""),45486.58456674768)</f>
        <v>45486.58457</v>
      </c>
      <c r="C1517" s="9"/>
      <c r="D1517" s="34">
        <f>IFERROR(__xludf.DUMMYFUNCTION("""COMPUTED_VALUE"""),45490.0)</f>
        <v>45490</v>
      </c>
      <c r="E1517" s="34" t="str">
        <f>IFERROR(__xludf.DUMMYFUNCTION("""COMPUTED_VALUE"""),"07Jul")</f>
        <v>07Jul</v>
      </c>
      <c r="F1517" s="34" t="str">
        <f>IFERROR(__xludf.DUMMYFUNCTION("""COMPUTED_VALUE"""),"2024")</f>
        <v>2024</v>
      </c>
      <c r="G1517" s="35" t="str">
        <f>IFERROR(__xludf.DUMMYFUNCTION("""COMPUTED_VALUE"""),"DOMINIKUS SAVIO JANIEL")</f>
        <v>DOMINIKUS SAVIO JANIEL</v>
      </c>
      <c r="H1517" s="17" t="str">
        <f>IFERROR(__xludf.DUMMYFUNCTION("""COMPUTED_VALUE"""),"D0524078570")</f>
        <v>D0524078570</v>
      </c>
      <c r="I1517" s="17">
        <f>IFERROR(__xludf.DUMMYFUNCTION("""COMPUTED_VALUE"""),21.0)</f>
        <v>21</v>
      </c>
      <c r="J1517" s="17" t="str">
        <f>IFERROR(__xludf.DUMMYFUNCTION("""COMPUTED_VALUE"""),"18-24 tahun")</f>
        <v>18-24 tahun</v>
      </c>
      <c r="K1517" s="19">
        <f>IFERROR(__xludf.DUMMYFUNCTION("""COMPUTED_VALUE"""),38482.0)</f>
        <v>38482</v>
      </c>
      <c r="L1517" s="19" t="str">
        <f>IFERROR(__xludf.DUMMYFUNCTION("""COMPUTED_VALUE"""),"LAKI-LAKI")</f>
        <v>LAKI-LAKI</v>
      </c>
      <c r="M1517" s="35" t="str">
        <f>IFERROR(__xludf.DUMMYFUNCTION("""COMPUTED_VALUE"""),"DUSUN SEGOLE")</f>
        <v>DUSUN SEGOLE</v>
      </c>
      <c r="N1517" s="16" t="str">
        <f>IFERROR(__xludf.DUMMYFUNCTION("""COMPUTED_VALUE"""),"KEL. TANJUNG KAPUAS")</f>
        <v>KEL. TANJUNG KAPUAS</v>
      </c>
      <c r="O1517" s="16" t="str">
        <f>IFERROR(__xludf.DUMMYFUNCTION("""COMPUTED_VALUE"""),"KEC. KAPUAS")</f>
        <v>KEC. KAPUAS</v>
      </c>
      <c r="P1517" s="16" t="str">
        <f>IFERROR(__xludf.DUMMYFUNCTION("""COMPUTED_VALUE"""),"KAB. SANGGAU")</f>
        <v>KAB. SANGGAU</v>
      </c>
      <c r="Q1517" s="16" t="str">
        <f>IFERROR(__xludf.DUMMYFUNCTION("""COMPUTED_VALUE"""),"KALIMANTAN BARAT")</f>
        <v>KALIMANTAN BARAT</v>
      </c>
      <c r="R1517" s="19" t="str">
        <f>IFERROR(__xludf.DUMMYFUNCTION("""COMPUTED_VALUE"""),"KATOLIK")</f>
        <v>KATOLIK</v>
      </c>
      <c r="S1517" s="16" t="str">
        <f>IFERROR(__xludf.DUMMYFUNCTION("""COMPUTED_VALUE"""),"PELAJAR/MAHASISWA")</f>
        <v>PELAJAR/MAHASISWA</v>
      </c>
      <c r="T1517" s="16" t="str">
        <f>IFERROR(__xludf.DUMMYFUNCTION("""COMPUTED_VALUE"""),"Keseleo pergelangan tangan")</f>
        <v>Keseleo pergelangan tangan</v>
      </c>
      <c r="U1517" s="16" t="str">
        <f>IFERROR(__xludf.DUMMYFUNCTION("""COMPUTED_VALUE"""),"-")</f>
        <v>-</v>
      </c>
      <c r="V1517" s="11" t="str">
        <f>IFERROR(__xludf.DUMMYFUNCTION("""COMPUTED_VALUE"""),"085389598570")</f>
        <v>085389598570</v>
      </c>
      <c r="W1517" s="15"/>
    </row>
    <row r="1518" ht="22.5" customHeight="1">
      <c r="A1518" s="8"/>
      <c r="B1518" s="9">
        <f>IFERROR(__xludf.DUMMYFUNCTION("""COMPUTED_VALUE"""),45486.60108422454)</f>
        <v>45486.60108</v>
      </c>
      <c r="C1518" s="9"/>
      <c r="D1518" s="34">
        <f>IFERROR(__xludf.DUMMYFUNCTION("""COMPUTED_VALUE"""),45490.0)</f>
        <v>45490</v>
      </c>
      <c r="E1518" s="34" t="str">
        <f>IFERROR(__xludf.DUMMYFUNCTION("""COMPUTED_VALUE"""),"07Jul")</f>
        <v>07Jul</v>
      </c>
      <c r="F1518" s="34" t="str">
        <f>IFERROR(__xludf.DUMMYFUNCTION("""COMPUTED_VALUE"""),"2024")</f>
        <v>2024</v>
      </c>
      <c r="G1518" s="35" t="str">
        <f>IFERROR(__xludf.DUMMYFUNCTION("""COMPUTED_VALUE"""),"SARIJAN")</f>
        <v>SARIJAN</v>
      </c>
      <c r="H1518" s="17" t="str">
        <f>IFERROR(__xludf.DUMMYFUNCTION("""COMPUTED_VALUE"""),"S6324071456")</f>
        <v>S6324071456</v>
      </c>
      <c r="I1518" s="17">
        <f>IFERROR(__xludf.DUMMYFUNCTION("""COMPUTED_VALUE"""),63.0)</f>
        <v>63</v>
      </c>
      <c r="J1518" s="17" t="str">
        <f>IFERROR(__xludf.DUMMYFUNCTION("""COMPUTED_VALUE"""),"&gt; 44 tahun")</f>
        <v>&gt; 44 tahun</v>
      </c>
      <c r="K1518" s="19">
        <f>IFERROR(__xludf.DUMMYFUNCTION("""COMPUTED_VALUE"""),23132.0)</f>
        <v>23132</v>
      </c>
      <c r="L1518" s="19" t="str">
        <f>IFERROR(__xludf.DUMMYFUNCTION("""COMPUTED_VALUE"""),"LAKI-LAKI")</f>
        <v>LAKI-LAKI</v>
      </c>
      <c r="M1518" s="35" t="str">
        <f>IFERROR(__xludf.DUMMYFUNCTION("""COMPUTED_VALUE"""),"JL. PERDAMAIAN KOMP. ARI KARYA 4")</f>
        <v>JL. PERDAMAIAN KOMP. ARI KARYA 4</v>
      </c>
      <c r="N1518" s="16" t="str">
        <f>IFERROR(__xludf.DUMMYFUNCTION("""COMPUTED_VALUE"""),"KEL. AKCAYA")</f>
        <v>KEL. AKCAYA</v>
      </c>
      <c r="O1518" s="16" t="str">
        <f>IFERROR(__xludf.DUMMYFUNCTION("""COMPUTED_VALUE"""),"KEC. PONTIANAK SELATAN")</f>
        <v>KEC. PONTIANAK SELATAN</v>
      </c>
      <c r="P1518" s="16" t="str">
        <f>IFERROR(__xludf.DUMMYFUNCTION("""COMPUTED_VALUE"""),"KAB. KUBU RAYA")</f>
        <v>KAB. KUBU RAYA</v>
      </c>
      <c r="Q1518" s="16" t="str">
        <f>IFERROR(__xludf.DUMMYFUNCTION("""COMPUTED_VALUE"""),"KALIMANTAN BARAT")</f>
        <v>KALIMANTAN BARAT</v>
      </c>
      <c r="R1518" s="19" t="str">
        <f>IFERROR(__xludf.DUMMYFUNCTION("""COMPUTED_VALUE"""),"ISLAM")</f>
        <v>ISLAM</v>
      </c>
      <c r="S1518" s="35" t="str">
        <f>IFERROR(__xludf.DUMMYFUNCTION("""COMPUTED_VALUE"""),"PENSIUN")</f>
        <v>PENSIUN</v>
      </c>
      <c r="T1518" s="16" t="str">
        <f>IFERROR(__xludf.DUMMYFUNCTION("""COMPUTED_VALUE"""),"Badan lemah")</f>
        <v>Badan lemah</v>
      </c>
      <c r="U1518" s="16" t="str">
        <f>IFERROR(__xludf.DUMMYFUNCTION("""COMPUTED_VALUE"""),"Jalan-jalan")</f>
        <v>Jalan-jalan</v>
      </c>
      <c r="V1518" s="11" t="str">
        <f>IFERROR(__xludf.DUMMYFUNCTION("""COMPUTED_VALUE"""),"089650111456")</f>
        <v>089650111456</v>
      </c>
      <c r="W1518" s="15"/>
    </row>
    <row r="1519" ht="22.5" customHeight="1">
      <c r="A1519" s="8"/>
      <c r="B1519" s="9">
        <f>IFERROR(__xludf.DUMMYFUNCTION("""COMPUTED_VALUE"""),45486.64865990741)</f>
        <v>45486.64866</v>
      </c>
      <c r="C1519" s="9"/>
      <c r="D1519" s="34">
        <f>IFERROR(__xludf.DUMMYFUNCTION("""COMPUTED_VALUE"""),45490.0)</f>
        <v>45490</v>
      </c>
      <c r="E1519" s="34" t="str">
        <f>IFERROR(__xludf.DUMMYFUNCTION("""COMPUTED_VALUE"""),"07Jul")</f>
        <v>07Jul</v>
      </c>
      <c r="F1519" s="34" t="str">
        <f>IFERROR(__xludf.DUMMYFUNCTION("""COMPUTED_VALUE"""),"2024")</f>
        <v>2024</v>
      </c>
      <c r="G1519" s="35" t="str">
        <f>IFERROR(__xludf.DUMMYFUNCTION("""COMPUTED_VALUE"""),"HAMDAN KURNIAWAN")</f>
        <v>HAMDAN KURNIAWAN</v>
      </c>
      <c r="H1519" s="17" t="str">
        <f>IFERROR(__xludf.DUMMYFUNCTION("""COMPUTED_VALUE"""),"H9024077488")</f>
        <v>H9024077488</v>
      </c>
      <c r="I1519" s="17">
        <f>IFERROR(__xludf.DUMMYFUNCTION("""COMPUTED_VALUE"""),36.0)</f>
        <v>36</v>
      </c>
      <c r="J1519" s="17" t="str">
        <f>IFERROR(__xludf.DUMMYFUNCTION("""COMPUTED_VALUE"""),"35-44 tahun")</f>
        <v>35-44 tahun</v>
      </c>
      <c r="K1519" s="19">
        <f>IFERROR(__xludf.DUMMYFUNCTION("""COMPUTED_VALUE"""),32885.0)</f>
        <v>32885</v>
      </c>
      <c r="L1519" s="19" t="str">
        <f>IFERROR(__xludf.DUMMYFUNCTION("""COMPUTED_VALUE"""),"LAKI-LAKI")</f>
        <v>LAKI-LAKI</v>
      </c>
      <c r="M1519" s="35" t="str">
        <f>IFERROR(__xludf.DUMMYFUNCTION("""COMPUTED_VALUE"""),"JL TANJUNG DUREN UTARA 3 NO 10 GROGOL PETAMBURAN")</f>
        <v>JL TANJUNG DUREN UTARA 3 NO 10 GROGOL PETAMBURAN</v>
      </c>
      <c r="N1519" s="16" t="str">
        <f>IFERROR(__xludf.DUMMYFUNCTION("""COMPUTED_VALUE"""),"KEL. TANJUNG DUREN")</f>
        <v>KEL. TANJUNG DUREN</v>
      </c>
      <c r="O1519" s="16" t="str">
        <f>IFERROR(__xludf.DUMMYFUNCTION("""COMPUTED_VALUE"""),"KEC. GROGOL PETAMBURAN")</f>
        <v>KEC. GROGOL PETAMBURAN</v>
      </c>
      <c r="P1519" s="16" t="str">
        <f>IFERROR(__xludf.DUMMYFUNCTION("""COMPUTED_VALUE"""),"KOTA JAKARTA BARAT")</f>
        <v>KOTA JAKARTA BARAT</v>
      </c>
      <c r="Q1519" s="16" t="str">
        <f>IFERROR(__xludf.DUMMYFUNCTION("""COMPUTED_VALUE"""),"DKI JAKARTA")</f>
        <v>DKI JAKARTA</v>
      </c>
      <c r="R1519" s="19" t="str">
        <f>IFERROR(__xludf.DUMMYFUNCTION("""COMPUTED_VALUE"""),"ISLAM")</f>
        <v>ISLAM</v>
      </c>
      <c r="S1519" s="16" t="str">
        <f>IFERROR(__xludf.DUMMYFUNCTION("""COMPUTED_VALUE"""),"SWASTA")</f>
        <v>SWASTA</v>
      </c>
      <c r="T1519" s="16" t="str">
        <f>IFERROR(__xludf.DUMMYFUNCTION("""COMPUTED_VALUE"""),"Lbp")</f>
        <v>Lbp</v>
      </c>
      <c r="U1519" s="16" t="str">
        <f>IFERROR(__xludf.DUMMYFUNCTION("""COMPUTED_VALUE"""),"Bulutangkis")</f>
        <v>Bulutangkis</v>
      </c>
      <c r="V1519" s="11" t="str">
        <f>IFERROR(__xludf.DUMMYFUNCTION("""COMPUTED_VALUE"""),"0816837488")</f>
        <v>0816837488</v>
      </c>
      <c r="W1519" s="15"/>
    </row>
    <row r="1520" ht="22.5" customHeight="1">
      <c r="A1520" s="8"/>
      <c r="B1520" s="9">
        <f>IFERROR(__xludf.DUMMYFUNCTION("""COMPUTED_VALUE"""),45486.73194423611)</f>
        <v>45486.73194</v>
      </c>
      <c r="C1520" s="9"/>
      <c r="D1520" s="34">
        <f>IFERROR(__xludf.DUMMYFUNCTION("""COMPUTED_VALUE"""),45491.0)</f>
        <v>45491</v>
      </c>
      <c r="E1520" s="34" t="str">
        <f>IFERROR(__xludf.DUMMYFUNCTION("""COMPUTED_VALUE"""),"07Jul")</f>
        <v>07Jul</v>
      </c>
      <c r="F1520" s="34" t="str">
        <f>IFERROR(__xludf.DUMMYFUNCTION("""COMPUTED_VALUE"""),"2024")</f>
        <v>2024</v>
      </c>
      <c r="G1520" s="35" t="str">
        <f>IFERROR(__xludf.DUMMYFUNCTION("""COMPUTED_VALUE"""),"DIMAS IBNU HAZAR")</f>
        <v>DIMAS IBNU HAZAR</v>
      </c>
      <c r="H1520" s="17" t="str">
        <f>IFERROR(__xludf.DUMMYFUNCTION("""COMPUTED_VALUE"""),"D0024071908")</f>
        <v>D0024071908</v>
      </c>
      <c r="I1520" s="17">
        <f>IFERROR(__xludf.DUMMYFUNCTION("""COMPUTED_VALUE"""),25.0)</f>
        <v>25</v>
      </c>
      <c r="J1520" s="17" t="str">
        <f>IFERROR(__xludf.DUMMYFUNCTION("""COMPUTED_VALUE"""),"25-34 tahun")</f>
        <v>25-34 tahun</v>
      </c>
      <c r="K1520" s="19">
        <f>IFERROR(__xludf.DUMMYFUNCTION("""COMPUTED_VALUE"""),36809.0)</f>
        <v>36809</v>
      </c>
      <c r="L1520" s="19" t="str">
        <f>IFERROR(__xludf.DUMMYFUNCTION("""COMPUTED_VALUE"""),"LAKI-LAKI")</f>
        <v>LAKI-LAKI</v>
      </c>
      <c r="M1520" s="35" t="str">
        <f>IFERROR(__xludf.DUMMYFUNCTION("""COMPUTED_VALUE"""),"JL NIRBAYA NO 2")</f>
        <v>JL NIRBAYA NO 2</v>
      </c>
      <c r="N1520" s="16" t="str">
        <f>IFERROR(__xludf.DUMMYFUNCTION("""COMPUTED_VALUE"""),"KEL. AKCAYA")</f>
        <v>KEL. AKCAYA</v>
      </c>
      <c r="O1520" s="16" t="str">
        <f>IFERROR(__xludf.DUMMYFUNCTION("""COMPUTED_VALUE"""),"KEC. PONTIANAK SELATAN")</f>
        <v>KEC. PONTIANAK SELATAN</v>
      </c>
      <c r="P1520" s="16" t="str">
        <f>IFERROR(__xludf.DUMMYFUNCTION("""COMPUTED_VALUE"""),"KOTA PONTIANAK")</f>
        <v>KOTA PONTIANAK</v>
      </c>
      <c r="Q1520" s="16" t="str">
        <f>IFERROR(__xludf.DUMMYFUNCTION("""COMPUTED_VALUE"""),"KALIMANTAN BARAT")</f>
        <v>KALIMANTAN BARAT</v>
      </c>
      <c r="R1520" s="19" t="str">
        <f>IFERROR(__xludf.DUMMYFUNCTION("""COMPUTED_VALUE"""),"ISLAM")</f>
        <v>ISLAM</v>
      </c>
      <c r="S1520" s="16" t="str">
        <f>IFERROR(__xludf.DUMMYFUNCTION("""COMPUTED_VALUE"""),"WIRASWASTA")</f>
        <v>WIRASWASTA</v>
      </c>
      <c r="T1520" s="16" t="str">
        <f>IFERROR(__xludf.DUMMYFUNCTION("""COMPUTED_VALUE"""),"Bells palsy")</f>
        <v>Bells palsy</v>
      </c>
      <c r="U1520" s="16" t="str">
        <f>IFERROR(__xludf.DUMMYFUNCTION("""COMPUTED_VALUE"""),"Bekerja mengantar gas")</f>
        <v>Bekerja mengantar gas</v>
      </c>
      <c r="V1520" s="11" t="str">
        <f>IFERROR(__xludf.DUMMYFUNCTION("""COMPUTED_VALUE"""),"089653931908")</f>
        <v>089653931908</v>
      </c>
      <c r="W1520" s="15"/>
    </row>
    <row r="1521" ht="22.5" customHeight="1">
      <c r="A1521" s="8"/>
      <c r="B1521" s="9">
        <f>IFERROR(__xludf.DUMMYFUNCTION("""COMPUTED_VALUE"""),45487.709045462965)</f>
        <v>45487.70905</v>
      </c>
      <c r="C1521" s="9"/>
      <c r="D1521" s="34">
        <f>IFERROR(__xludf.DUMMYFUNCTION("""COMPUTED_VALUE"""),45492.0)</f>
        <v>45492</v>
      </c>
      <c r="E1521" s="34" t="str">
        <f>IFERROR(__xludf.DUMMYFUNCTION("""COMPUTED_VALUE"""),"07Jul")</f>
        <v>07Jul</v>
      </c>
      <c r="F1521" s="34" t="str">
        <f>IFERROR(__xludf.DUMMYFUNCTION("""COMPUTED_VALUE"""),"2024")</f>
        <v>2024</v>
      </c>
      <c r="G1521" s="35" t="str">
        <f>IFERROR(__xludf.DUMMYFUNCTION("""COMPUTED_VALUE"""),"JACKLYN")</f>
        <v>JACKLYN</v>
      </c>
      <c r="H1521" s="17" t="str">
        <f>IFERROR(__xludf.DUMMYFUNCTION("""COMPUTED_VALUE"""),"J0724070909")</f>
        <v>J0724070909</v>
      </c>
      <c r="I1521" s="17">
        <f>IFERROR(__xludf.DUMMYFUNCTION("""COMPUTED_VALUE"""),18.0)</f>
        <v>18</v>
      </c>
      <c r="J1521" s="17" t="str">
        <f>IFERROR(__xludf.DUMMYFUNCTION("""COMPUTED_VALUE"""),"&lt; 18 tahun")</f>
        <v>&lt; 18 tahun</v>
      </c>
      <c r="K1521" s="19">
        <f>IFERROR(__xludf.DUMMYFUNCTION("""COMPUTED_VALUE"""),39261.0)</f>
        <v>39261</v>
      </c>
      <c r="L1521" s="19" t="str">
        <f>IFERROR(__xludf.DUMMYFUNCTION("""COMPUTED_VALUE"""),"PEREMPUAN")</f>
        <v>PEREMPUAN</v>
      </c>
      <c r="M1521" s="16" t="str">
        <f>IFERROR(__xludf.DUMMYFUNCTION("""COMPUTED_VALUE"""),"JL. PURNAMA 1 KOMP. PINANGSIA NO. A 10")</f>
        <v>JL. PURNAMA 1 KOMP. PINANGSIA NO. A 10</v>
      </c>
      <c r="N1521" s="16" t="str">
        <f>IFERROR(__xludf.DUMMYFUNCTION("""COMPUTED_VALUE"""),"KEL. PARIT TOKAYA")</f>
        <v>KEL. PARIT TOKAYA</v>
      </c>
      <c r="O1521" s="16" t="str">
        <f>IFERROR(__xludf.DUMMYFUNCTION("""COMPUTED_VALUE"""),"KEC. PONTIANAK SELATAN")</f>
        <v>KEC. PONTIANAK SELATAN</v>
      </c>
      <c r="P1521" s="16" t="str">
        <f>IFERROR(__xludf.DUMMYFUNCTION("""COMPUTED_VALUE"""),"KOTA PONTIANAK")</f>
        <v>KOTA PONTIANAK</v>
      </c>
      <c r="Q1521" s="16" t="str">
        <f>IFERROR(__xludf.DUMMYFUNCTION("""COMPUTED_VALUE"""),"KALIMANTAN BARAT")</f>
        <v>KALIMANTAN BARAT</v>
      </c>
      <c r="R1521" s="19" t="str">
        <f>IFERROR(__xludf.DUMMYFUNCTION("""COMPUTED_VALUE"""),"BUDDHA")</f>
        <v>BUDDHA</v>
      </c>
      <c r="S1521" s="16" t="str">
        <f>IFERROR(__xludf.DUMMYFUNCTION("""COMPUTED_VALUE"""),"PELAJAR/MAHASISWA")</f>
        <v>PELAJAR/MAHASISWA</v>
      </c>
      <c r="T1521" s="16" t="str">
        <f>IFERROR(__xludf.DUMMYFUNCTION("""COMPUTED_VALUE"""),"Kaki X")</f>
        <v>Kaki X</v>
      </c>
      <c r="U1521" s="16" t="str">
        <f>IFERROR(__xludf.DUMMYFUNCTION("""COMPUTED_VALUE"""),"Main game")</f>
        <v>Main game</v>
      </c>
      <c r="V1521" s="11" t="str">
        <f>IFERROR(__xludf.DUMMYFUNCTION("""COMPUTED_VALUE"""),"081649000909")</f>
        <v>081649000909</v>
      </c>
      <c r="W1521" s="15"/>
    </row>
    <row r="1522" ht="22.5" customHeight="1">
      <c r="A1522" s="8"/>
      <c r="B1522" s="9">
        <f>IFERROR(__xludf.DUMMYFUNCTION("""COMPUTED_VALUE"""),45487.79734809027)</f>
        <v>45487.79735</v>
      </c>
      <c r="C1522" s="9"/>
      <c r="D1522" s="34">
        <f>IFERROR(__xludf.DUMMYFUNCTION("""COMPUTED_VALUE"""),45493.0)</f>
        <v>45493</v>
      </c>
      <c r="E1522" s="34" t="str">
        <f>IFERROR(__xludf.DUMMYFUNCTION("""COMPUTED_VALUE"""),"07Jul")</f>
        <v>07Jul</v>
      </c>
      <c r="F1522" s="34" t="str">
        <f>IFERROR(__xludf.DUMMYFUNCTION("""COMPUTED_VALUE"""),"2024")</f>
        <v>2024</v>
      </c>
      <c r="G1522" s="35" t="str">
        <f>IFERROR(__xludf.DUMMYFUNCTION("""COMPUTED_VALUE"""),"FITRIANA LATHIFAH")</f>
        <v>FITRIANA LATHIFAH</v>
      </c>
      <c r="H1522" s="17" t="str">
        <f>IFERROR(__xludf.DUMMYFUNCTION("""COMPUTED_VALUE"""),"F9324074539")</f>
        <v>F9324074539</v>
      </c>
      <c r="I1522" s="17">
        <f>IFERROR(__xludf.DUMMYFUNCTION("""COMPUTED_VALUE"""),32.0)</f>
        <v>32</v>
      </c>
      <c r="J1522" s="17" t="str">
        <f>IFERROR(__xludf.DUMMYFUNCTION("""COMPUTED_VALUE"""),"25-34 tahun")</f>
        <v>25-34 tahun</v>
      </c>
      <c r="K1522" s="19">
        <f>IFERROR(__xludf.DUMMYFUNCTION("""COMPUTED_VALUE"""),34221.0)</f>
        <v>34221</v>
      </c>
      <c r="L1522" s="19" t="str">
        <f>IFERROR(__xludf.DUMMYFUNCTION("""COMPUTED_VALUE"""),"PEREMPUAN")</f>
        <v>PEREMPUAN</v>
      </c>
      <c r="M1522" s="35" t="str">
        <f>IFERROR(__xludf.DUMMYFUNCTION("""COMPUTED_VALUE"""),"BANARAN, GRABAG, MAGELANG")</f>
        <v>BANARAN, GRABAG, MAGELANG</v>
      </c>
      <c r="N1522" s="16" t="str">
        <f>IFERROR(__xludf.DUMMYFUNCTION("""COMPUTED_VALUE"""),"KEL. BANARAN")</f>
        <v>KEL. BANARAN</v>
      </c>
      <c r="O1522" s="16" t="str">
        <f>IFERROR(__xludf.DUMMYFUNCTION("""COMPUTED_VALUE"""),"KEC. GRABAG")</f>
        <v>KEC. GRABAG</v>
      </c>
      <c r="P1522" s="16" t="str">
        <f>IFERROR(__xludf.DUMMYFUNCTION("""COMPUTED_VALUE"""),"KOTA MAGELANG")</f>
        <v>KOTA MAGELANG</v>
      </c>
      <c r="Q1522" s="16" t="str">
        <f>IFERROR(__xludf.DUMMYFUNCTION("""COMPUTED_VALUE"""),"JAWA TENGAH")</f>
        <v>JAWA TENGAH</v>
      </c>
      <c r="R1522" s="19" t="str">
        <f>IFERROR(__xludf.DUMMYFUNCTION("""COMPUTED_VALUE"""),"ISLAM")</f>
        <v>ISLAM</v>
      </c>
      <c r="S1522" s="35" t="str">
        <f>IFERROR(__xludf.DUMMYFUNCTION("""COMPUTED_VALUE"""),"SWASTA")</f>
        <v>SWASTA</v>
      </c>
      <c r="T1522" s="16" t="str">
        <f>IFERROR(__xludf.DUMMYFUNCTION("""COMPUTED_VALUE"""),"Sakit Tulang Punggung")</f>
        <v>Sakit Tulang Punggung</v>
      </c>
      <c r="U1522" s="16" t="str">
        <f>IFERROR(__xludf.DUMMYFUNCTION("""COMPUTED_VALUE"""),"lari / bekerja di depan laptop")</f>
        <v>lari / bekerja di depan laptop</v>
      </c>
      <c r="V1522" s="11" t="str">
        <f>IFERROR(__xludf.DUMMYFUNCTION("""COMPUTED_VALUE"""),"082226874539")</f>
        <v>082226874539</v>
      </c>
      <c r="W1522" s="15"/>
    </row>
    <row r="1523" ht="22.5" customHeight="1">
      <c r="A1523" s="8"/>
      <c r="B1523" s="9">
        <f>IFERROR(__xludf.DUMMYFUNCTION("""COMPUTED_VALUE"""),45487.83637655093)</f>
        <v>45487.83638</v>
      </c>
      <c r="C1523" s="9"/>
      <c r="D1523" s="34">
        <f>IFERROR(__xludf.DUMMYFUNCTION("""COMPUTED_VALUE"""),45493.0)</f>
        <v>45493</v>
      </c>
      <c r="E1523" s="34" t="str">
        <f>IFERROR(__xludf.DUMMYFUNCTION("""COMPUTED_VALUE"""),"07Jul")</f>
        <v>07Jul</v>
      </c>
      <c r="F1523" s="34" t="str">
        <f>IFERROR(__xludf.DUMMYFUNCTION("""COMPUTED_VALUE"""),"2024")</f>
        <v>2024</v>
      </c>
      <c r="G1523" s="35" t="str">
        <f>IFERROR(__xludf.DUMMYFUNCTION("""COMPUTED_VALUE"""),"RAHAYU MARIA")</f>
        <v>RAHAYU MARIA</v>
      </c>
      <c r="H1523" s="17" t="str">
        <f>IFERROR(__xludf.DUMMYFUNCTION("""COMPUTED_VALUE"""),"R9524072395")</f>
        <v>R9524072395</v>
      </c>
      <c r="I1523" s="17">
        <f>IFERROR(__xludf.DUMMYFUNCTION("""COMPUTED_VALUE"""),30.0)</f>
        <v>30</v>
      </c>
      <c r="J1523" s="17" t="str">
        <f>IFERROR(__xludf.DUMMYFUNCTION("""COMPUTED_VALUE"""),"25-34 tahun")</f>
        <v>25-34 tahun</v>
      </c>
      <c r="K1523" s="19">
        <f>IFERROR(__xludf.DUMMYFUNCTION("""COMPUTED_VALUE"""),35040.0)</f>
        <v>35040</v>
      </c>
      <c r="L1523" s="19" t="str">
        <f>IFERROR(__xludf.DUMMYFUNCTION("""COMPUTED_VALUE"""),"PEREMPUAN")</f>
        <v>PEREMPUAN</v>
      </c>
      <c r="M1523" s="35" t="str">
        <f>IFERROR(__xludf.DUMMYFUNCTION("""COMPUTED_VALUE"""),"JL.ILONG")</f>
        <v>JL.ILONG</v>
      </c>
      <c r="N1523" s="16" t="str">
        <f>IFERROR(__xludf.DUMMYFUNCTION("""COMPUTED_VALUE"""),"DS. RAJA")</f>
        <v>DS. RAJA</v>
      </c>
      <c r="O1523" s="16" t="str">
        <f>IFERROR(__xludf.DUMMYFUNCTION("""COMPUTED_VALUE"""),"KEC. NGABANG")</f>
        <v>KEC. NGABANG</v>
      </c>
      <c r="P1523" s="16" t="str">
        <f>IFERROR(__xludf.DUMMYFUNCTION("""COMPUTED_VALUE"""),"KAB. LANDAK")</f>
        <v>KAB. LANDAK</v>
      </c>
      <c r="Q1523" s="16" t="str">
        <f>IFERROR(__xludf.DUMMYFUNCTION("""COMPUTED_VALUE"""),"KALIMANTAN BARAT")</f>
        <v>KALIMANTAN BARAT</v>
      </c>
      <c r="R1523" s="19" t="str">
        <f>IFERROR(__xludf.DUMMYFUNCTION("""COMPUTED_VALUE"""),"PROTESTAN")</f>
        <v>PROTESTAN</v>
      </c>
      <c r="S1523" s="16" t="str">
        <f>IFERROR(__xludf.DUMMYFUNCTION("""COMPUTED_VALUE"""),"ASN")</f>
        <v>ASN</v>
      </c>
      <c r="T1523" s="16" t="str">
        <f>IFERROR(__xludf.DUMMYFUNCTION("""COMPUTED_VALUE"""),"sulit di tekuk post oprasi ACL dan PCL")</f>
        <v>sulit di tekuk post oprasi ACL dan PCL</v>
      </c>
      <c r="U1523" s="16" t="str">
        <f>IFERROR(__xludf.DUMMYFUNCTION("""COMPUTED_VALUE"""),"Aktivitas sederhana")</f>
        <v>Aktivitas sederhana</v>
      </c>
      <c r="V1523" s="11" t="str">
        <f>IFERROR(__xludf.DUMMYFUNCTION("""COMPUTED_VALUE"""),"081360132395")</f>
        <v>081360132395</v>
      </c>
      <c r="W1523" s="15"/>
    </row>
    <row r="1524" ht="22.5" customHeight="1">
      <c r="A1524" s="8"/>
      <c r="B1524" s="9">
        <f>IFERROR(__xludf.DUMMYFUNCTION("""COMPUTED_VALUE"""),45487.81586083333)</f>
        <v>45487.81586</v>
      </c>
      <c r="C1524" s="9"/>
      <c r="D1524" s="34">
        <f>IFERROR(__xludf.DUMMYFUNCTION("""COMPUTED_VALUE"""),45494.0)</f>
        <v>45494</v>
      </c>
      <c r="E1524" s="34" t="str">
        <f>IFERROR(__xludf.DUMMYFUNCTION("""COMPUTED_VALUE"""),"07Jul")</f>
        <v>07Jul</v>
      </c>
      <c r="F1524" s="34" t="str">
        <f>IFERROR(__xludf.DUMMYFUNCTION("""COMPUTED_VALUE"""),"2024")</f>
        <v>2024</v>
      </c>
      <c r="G1524" s="35" t="str">
        <f>IFERROR(__xludf.DUMMYFUNCTION("""COMPUTED_VALUE"""),"ELISKA NATALIA")</f>
        <v>ELISKA NATALIA</v>
      </c>
      <c r="H1524" s="17" t="str">
        <f>IFERROR(__xludf.DUMMYFUNCTION("""COMPUTED_VALUE"""),"E9524076996")</f>
        <v>E9524076996</v>
      </c>
      <c r="I1524" s="17">
        <f>IFERROR(__xludf.DUMMYFUNCTION("""COMPUTED_VALUE"""),30.0)</f>
        <v>30</v>
      </c>
      <c r="J1524" s="17" t="str">
        <f>IFERROR(__xludf.DUMMYFUNCTION("""COMPUTED_VALUE"""),"25-34 tahun")</f>
        <v>25-34 tahun</v>
      </c>
      <c r="K1524" s="19">
        <f>IFERROR(__xludf.DUMMYFUNCTION("""COMPUTED_VALUE"""),35047.0)</f>
        <v>35047</v>
      </c>
      <c r="L1524" s="19" t="str">
        <f>IFERROR(__xludf.DUMMYFUNCTION("""COMPUTED_VALUE"""),"PEREMPUAN")</f>
        <v>PEREMPUAN</v>
      </c>
      <c r="M1524" s="35" t="str">
        <f>IFERROR(__xludf.DUMMYFUNCTION("""COMPUTED_VALUE"""),"JLN DANAU SENTARUM KOMP SENTARUM SEJAHTERA III NO H 26")</f>
        <v>JLN DANAU SENTARUM KOMP SENTARUM SEJAHTERA III NO H 26</v>
      </c>
      <c r="N1524" s="16" t="str">
        <f>IFERROR(__xludf.DUMMYFUNCTION("""COMPUTED_VALUE"""),"KEL. SUNGAI BANGKONG")</f>
        <v>KEL. SUNGAI BANGKONG</v>
      </c>
      <c r="O1524" s="16" t="str">
        <f>IFERROR(__xludf.DUMMYFUNCTION("""COMPUTED_VALUE"""),"KEC. PONTIANAK KOTA")</f>
        <v>KEC. PONTIANAK KOTA</v>
      </c>
      <c r="P1524" s="16" t="str">
        <f>IFERROR(__xludf.DUMMYFUNCTION("""COMPUTED_VALUE"""),"KOTA PONTIANAK")</f>
        <v>KOTA PONTIANAK</v>
      </c>
      <c r="Q1524" s="16" t="str">
        <f>IFERROR(__xludf.DUMMYFUNCTION("""COMPUTED_VALUE"""),"KALIMANTAN BARAT")</f>
        <v>KALIMANTAN BARAT</v>
      </c>
      <c r="R1524" s="19" t="str">
        <f>IFERROR(__xludf.DUMMYFUNCTION("""COMPUTED_VALUE"""),"PROTESTAN")</f>
        <v>PROTESTAN</v>
      </c>
      <c r="S1524" s="16" t="str">
        <f>IFERROR(__xludf.DUMMYFUNCTION("""COMPUTED_VALUE"""),"SWASTA")</f>
        <v>SWASTA</v>
      </c>
      <c r="T1524" s="16" t="str">
        <f>IFERROR(__xludf.DUMMYFUNCTION("""COMPUTED_VALUE"""),"Sakit Pinggang sampai ke Bokong dan Kaki")</f>
        <v>Sakit Pinggang sampai ke Bokong dan Kaki</v>
      </c>
      <c r="U1524" s="16" t="str">
        <f>IFERROR(__xludf.DUMMYFUNCTION("""COMPUTED_VALUE"""),"Kerja")</f>
        <v>Kerja</v>
      </c>
      <c r="V1524" s="11" t="str">
        <f>IFERROR(__xludf.DUMMYFUNCTION("""COMPUTED_VALUE"""),"089528066996")</f>
        <v>089528066996</v>
      </c>
      <c r="W1524" s="15"/>
    </row>
    <row r="1525" ht="22.5" customHeight="1">
      <c r="A1525" s="8"/>
      <c r="B1525" s="9">
        <f>IFERROR(__xludf.DUMMYFUNCTION("""COMPUTED_VALUE"""),45488.40590175926)</f>
        <v>45488.4059</v>
      </c>
      <c r="C1525" s="9"/>
      <c r="D1525" s="34">
        <f>IFERROR(__xludf.DUMMYFUNCTION("""COMPUTED_VALUE"""),45494.0)</f>
        <v>45494</v>
      </c>
      <c r="E1525" s="34" t="str">
        <f>IFERROR(__xludf.DUMMYFUNCTION("""COMPUTED_VALUE"""),"07Jul")</f>
        <v>07Jul</v>
      </c>
      <c r="F1525" s="34" t="str">
        <f>IFERROR(__xludf.DUMMYFUNCTION("""COMPUTED_VALUE"""),"2024")</f>
        <v>2024</v>
      </c>
      <c r="G1525" s="35" t="str">
        <f>IFERROR(__xludf.DUMMYFUNCTION("""COMPUTED_VALUE"""),"SELVI LOSIANA")</f>
        <v>SELVI LOSIANA</v>
      </c>
      <c r="H1525" s="17" t="str">
        <f>IFERROR(__xludf.DUMMYFUNCTION("""COMPUTED_VALUE"""),"S9524070417")</f>
        <v>S9524070417</v>
      </c>
      <c r="I1525" s="17">
        <f>IFERROR(__xludf.DUMMYFUNCTION("""COMPUTED_VALUE"""),31.0)</f>
        <v>31</v>
      </c>
      <c r="J1525" s="17" t="str">
        <f>IFERROR(__xludf.DUMMYFUNCTION("""COMPUTED_VALUE"""),"25-34 tahun")</f>
        <v>25-34 tahun</v>
      </c>
      <c r="K1525" s="19">
        <f>IFERROR(__xludf.DUMMYFUNCTION("""COMPUTED_VALUE"""),34721.0)</f>
        <v>34721</v>
      </c>
      <c r="L1525" s="19" t="str">
        <f>IFERROR(__xludf.DUMMYFUNCTION("""COMPUTED_VALUE"""),"PEREMPUAN")</f>
        <v>PEREMPUAN</v>
      </c>
      <c r="M1525" s="35" t="str">
        <f>IFERROR(__xludf.DUMMYFUNCTION("""COMPUTED_VALUE"""),"JL. WONOBARU GG WONODADI NO 6")</f>
        <v>JL. WONOBARU GG WONODADI NO 6</v>
      </c>
      <c r="N1525" s="16" t="str">
        <f>IFERROR(__xludf.DUMMYFUNCTION("""COMPUTED_VALUE"""),"KEL. KOTA BARU")</f>
        <v>KEL. KOTA BARU</v>
      </c>
      <c r="O1525" s="16" t="str">
        <f>IFERROR(__xludf.DUMMYFUNCTION("""COMPUTED_VALUE"""),"KEC. PONTIANAK SELATAN")</f>
        <v>KEC. PONTIANAK SELATAN</v>
      </c>
      <c r="P1525" s="16" t="str">
        <f>IFERROR(__xludf.DUMMYFUNCTION("""COMPUTED_VALUE"""),"KOTA PONTIANAK")</f>
        <v>KOTA PONTIANAK</v>
      </c>
      <c r="Q1525" s="16" t="str">
        <f>IFERROR(__xludf.DUMMYFUNCTION("""COMPUTED_VALUE"""),"KALIMANTAN BARAT")</f>
        <v>KALIMANTAN BARAT</v>
      </c>
      <c r="R1525" s="19" t="str">
        <f>IFERROR(__xludf.DUMMYFUNCTION("""COMPUTED_VALUE"""),"KATOLIK")</f>
        <v>KATOLIK</v>
      </c>
      <c r="S1525" s="16" t="str">
        <f>IFERROR(__xludf.DUMMYFUNCTION("""COMPUTED_VALUE"""),"SWASTA")</f>
        <v>SWASTA</v>
      </c>
      <c r="T1525" s="16" t="str">
        <f>IFERROR(__xludf.DUMMYFUNCTION("""COMPUTED_VALUE"""),"BAGIAN BAHU SAKIT SETELAH GYM")</f>
        <v>BAGIAN BAHU SAKIT SETELAH GYM</v>
      </c>
      <c r="U1525" s="16" t="str">
        <f>IFERROR(__xludf.DUMMYFUNCTION("""COMPUTED_VALUE"""),"SETIAP HARI PERGI OLAHRAGA ANTARA GYM ATW IKUT KELAS PILATES DLL")</f>
        <v>SETIAP HARI PERGI OLAHRAGA ANTARA GYM ATW IKUT KELAS PILATES DLL</v>
      </c>
      <c r="V1525" s="11" t="str">
        <f>IFERROR(__xludf.DUMMYFUNCTION("""COMPUTED_VALUE"""),"089530130417")</f>
        <v>089530130417</v>
      </c>
      <c r="W1525" s="15"/>
    </row>
    <row r="1526" ht="22.5" customHeight="1">
      <c r="A1526" s="8"/>
      <c r="B1526" s="9">
        <f>IFERROR(__xludf.DUMMYFUNCTION("""COMPUTED_VALUE"""),45488.45343930555)</f>
        <v>45488.45344</v>
      </c>
      <c r="C1526" s="9"/>
      <c r="D1526" s="34">
        <f>IFERROR(__xludf.DUMMYFUNCTION("""COMPUTED_VALUE"""),45495.0)</f>
        <v>45495</v>
      </c>
      <c r="E1526" s="34" t="str">
        <f>IFERROR(__xludf.DUMMYFUNCTION("""COMPUTED_VALUE"""),"07Jul")</f>
        <v>07Jul</v>
      </c>
      <c r="F1526" s="34" t="str">
        <f>IFERROR(__xludf.DUMMYFUNCTION("""COMPUTED_VALUE"""),"2024")</f>
        <v>2024</v>
      </c>
      <c r="G1526" s="35" t="str">
        <f>IFERROR(__xludf.DUMMYFUNCTION("""COMPUTED_VALUE"""),"SURIANSYAH")</f>
        <v>SURIANSYAH</v>
      </c>
      <c r="H1526" s="17" t="str">
        <f>IFERROR(__xludf.DUMMYFUNCTION("""COMPUTED_VALUE"""),"S8424076006")</f>
        <v>S8424076006</v>
      </c>
      <c r="I1526" s="17">
        <f>IFERROR(__xludf.DUMMYFUNCTION("""COMPUTED_VALUE"""),41.0)</f>
        <v>41</v>
      </c>
      <c r="J1526" s="17" t="str">
        <f>IFERROR(__xludf.DUMMYFUNCTION("""COMPUTED_VALUE"""),"35-44 tahun")</f>
        <v>35-44 tahun</v>
      </c>
      <c r="K1526" s="19">
        <f>IFERROR(__xludf.DUMMYFUNCTION("""COMPUTED_VALUE"""),31017.0)</f>
        <v>31017</v>
      </c>
      <c r="L1526" s="19" t="str">
        <f>IFERROR(__xludf.DUMMYFUNCTION("""COMPUTED_VALUE"""),"LAKI-LAKI")</f>
        <v>LAKI-LAKI</v>
      </c>
      <c r="M1526" s="35" t="str">
        <f>IFERROR(__xludf.DUMMYFUNCTION("""COMPUTED_VALUE"""),"JL P. NATAKUSUMA GG. SILIWANGI 1 NO. 18")</f>
        <v>JL P. NATAKUSUMA GG. SILIWANGI 1 NO. 18</v>
      </c>
      <c r="N1526" s="16" t="str">
        <f>IFERROR(__xludf.DUMMYFUNCTION("""COMPUTED_VALUE"""),"KEL. SUNGAI BANGKONG")</f>
        <v>KEL. SUNGAI BANGKONG</v>
      </c>
      <c r="O1526" s="16" t="str">
        <f>IFERROR(__xludf.DUMMYFUNCTION("""COMPUTED_VALUE"""),"KEC. PONTIANAK KOTA")</f>
        <v>KEC. PONTIANAK KOTA</v>
      </c>
      <c r="P1526" s="16" t="str">
        <f>IFERROR(__xludf.DUMMYFUNCTION("""COMPUTED_VALUE"""),"KOTA PONTIANAK")</f>
        <v>KOTA PONTIANAK</v>
      </c>
      <c r="Q1526" s="16" t="str">
        <f>IFERROR(__xludf.DUMMYFUNCTION("""COMPUTED_VALUE"""),"KALIMANTAN BARAT")</f>
        <v>KALIMANTAN BARAT</v>
      </c>
      <c r="R1526" s="19" t="str">
        <f>IFERROR(__xludf.DUMMYFUNCTION("""COMPUTED_VALUE"""),"ISLAM")</f>
        <v>ISLAM</v>
      </c>
      <c r="S1526" s="16" t="str">
        <f>IFERROR(__xludf.DUMMYFUNCTION("""COMPUTED_VALUE"""),"WIRASWASTA")</f>
        <v>WIRASWASTA</v>
      </c>
      <c r="T1526" s="16" t="str">
        <f>IFERROR(__xludf.DUMMYFUNCTION("""COMPUTED_VALUE"""),"Backpain")</f>
        <v>Backpain</v>
      </c>
      <c r="U1526" s="16" t="str">
        <f>IFERROR(__xludf.DUMMYFUNCTION("""COMPUTED_VALUE"""),".")</f>
        <v>.</v>
      </c>
      <c r="V1526" s="11" t="str">
        <f>IFERROR(__xludf.DUMMYFUNCTION("""COMPUTED_VALUE"""),"082255356006")</f>
        <v>082255356006</v>
      </c>
      <c r="W1526" s="15"/>
    </row>
    <row r="1527" ht="22.5" customHeight="1">
      <c r="A1527" s="8"/>
      <c r="B1527" s="9">
        <f>IFERROR(__xludf.DUMMYFUNCTION("""COMPUTED_VALUE"""),45488.51707217592)</f>
        <v>45488.51707</v>
      </c>
      <c r="C1527" s="9"/>
      <c r="D1527" s="34">
        <f>IFERROR(__xludf.DUMMYFUNCTION("""COMPUTED_VALUE"""),45495.0)</f>
        <v>45495</v>
      </c>
      <c r="E1527" s="34" t="str">
        <f>IFERROR(__xludf.DUMMYFUNCTION("""COMPUTED_VALUE"""),"07Jul")</f>
        <v>07Jul</v>
      </c>
      <c r="F1527" s="34" t="str">
        <f>IFERROR(__xludf.DUMMYFUNCTION("""COMPUTED_VALUE"""),"2024")</f>
        <v>2024</v>
      </c>
      <c r="G1527" s="35" t="str">
        <f>IFERROR(__xludf.DUMMYFUNCTION("""COMPUTED_VALUE"""),"ENGKUS KUSNADI")</f>
        <v>ENGKUS KUSNADI</v>
      </c>
      <c r="H1527" s="17" t="str">
        <f>IFERROR(__xludf.DUMMYFUNCTION("""COMPUTED_VALUE"""),"E7124073212")</f>
        <v>E7124073212</v>
      </c>
      <c r="I1527" s="17">
        <f>IFERROR(__xludf.DUMMYFUNCTION("""COMPUTED_VALUE"""),54.0)</f>
        <v>54</v>
      </c>
      <c r="J1527" s="17" t="str">
        <f>IFERROR(__xludf.DUMMYFUNCTION("""COMPUTED_VALUE"""),"&gt; 44 tahun")</f>
        <v>&gt; 44 tahun</v>
      </c>
      <c r="K1527" s="19">
        <f>IFERROR(__xludf.DUMMYFUNCTION("""COMPUTED_VALUE"""),26208.0)</f>
        <v>26208</v>
      </c>
      <c r="L1527" s="19" t="str">
        <f>IFERROR(__xludf.DUMMYFUNCTION("""COMPUTED_VALUE"""),"LAKI-LAKI")</f>
        <v>LAKI-LAKI</v>
      </c>
      <c r="M1527" s="35" t="str">
        <f>IFERROR(__xludf.DUMMYFUNCTION("""COMPUTED_VALUE"""),"JL. TABRANI AHMAD KOMPLEK PERMATA ASRI D 8 PONTIANAK")</f>
        <v>JL. TABRANI AHMAD KOMPLEK PERMATA ASRI D 8 PONTIANAK</v>
      </c>
      <c r="N1527" s="16" t="str">
        <f>IFERROR(__xludf.DUMMYFUNCTION("""COMPUTED_VALUE"""),"KEL. PAL LIMA")</f>
        <v>KEL. PAL LIMA</v>
      </c>
      <c r="O1527" s="16" t="str">
        <f>IFERROR(__xludf.DUMMYFUNCTION("""COMPUTED_VALUE"""),"KEC. PONTIANAK BARAT")</f>
        <v>KEC. PONTIANAK BARAT</v>
      </c>
      <c r="P1527" s="16" t="str">
        <f>IFERROR(__xludf.DUMMYFUNCTION("""COMPUTED_VALUE"""),"KOTA PONTIANAK")</f>
        <v>KOTA PONTIANAK</v>
      </c>
      <c r="Q1527" s="16" t="str">
        <f>IFERROR(__xludf.DUMMYFUNCTION("""COMPUTED_VALUE"""),"KALIMANTAN BARAT")</f>
        <v>KALIMANTAN BARAT</v>
      </c>
      <c r="R1527" s="19" t="str">
        <f>IFERROR(__xludf.DUMMYFUNCTION("""COMPUTED_VALUE"""),"ISLAM")</f>
        <v>ISLAM</v>
      </c>
      <c r="S1527" s="16" t="str">
        <f>IFERROR(__xludf.DUMMYFUNCTION("""COMPUTED_VALUE"""),"TNI/POLRI")</f>
        <v>TNI/POLRI</v>
      </c>
      <c r="T1527" s="16" t="str">
        <f>IFERROR(__xludf.DUMMYFUNCTION("""COMPUTED_VALUE"""),"SAKIT PINGGANG")</f>
        <v>SAKIT PINGGANG</v>
      </c>
      <c r="U1527" s="16" t="str">
        <f>IFERROR(__xludf.DUMMYFUNCTION("""COMPUTED_VALUE"""),"BEKERJA, OLAH RAGA SEPEDAAN DAN BULUTANGKIS")</f>
        <v>BEKERJA, OLAH RAGA SEPEDAAN DAN BULUTANGKIS</v>
      </c>
      <c r="V1527" s="11" t="str">
        <f>IFERROR(__xludf.DUMMYFUNCTION("""COMPUTED_VALUE"""),"082153893212")</f>
        <v>082153893212</v>
      </c>
      <c r="W1527" s="15"/>
    </row>
    <row r="1528" ht="22.5" customHeight="1">
      <c r="A1528" s="8"/>
      <c r="B1528" s="9">
        <f>IFERROR(__xludf.DUMMYFUNCTION("""COMPUTED_VALUE"""),45488.536968333334)</f>
        <v>45488.53697</v>
      </c>
      <c r="C1528" s="9"/>
      <c r="D1528" s="34">
        <f>IFERROR(__xludf.DUMMYFUNCTION("""COMPUTED_VALUE"""),45495.0)</f>
        <v>45495</v>
      </c>
      <c r="E1528" s="34" t="str">
        <f>IFERROR(__xludf.DUMMYFUNCTION("""COMPUTED_VALUE"""),"07Jul")</f>
        <v>07Jul</v>
      </c>
      <c r="F1528" s="34" t="str">
        <f>IFERROR(__xludf.DUMMYFUNCTION("""COMPUTED_VALUE"""),"2024")</f>
        <v>2024</v>
      </c>
      <c r="G1528" s="35" t="str">
        <f>IFERROR(__xludf.DUMMYFUNCTION("""COMPUTED_VALUE"""),"HAFIDZAKY HAYKAL")</f>
        <v>HAFIDZAKY HAYKAL</v>
      </c>
      <c r="H1528" s="17" t="str">
        <f>IFERROR(__xludf.DUMMYFUNCTION("""COMPUTED_VALUE"""),"H1124079019")</f>
        <v>H1124079019</v>
      </c>
      <c r="I1528" s="17">
        <f>IFERROR(__xludf.DUMMYFUNCTION("""COMPUTED_VALUE"""),14.0)</f>
        <v>14</v>
      </c>
      <c r="J1528" s="17" t="str">
        <f>IFERROR(__xludf.DUMMYFUNCTION("""COMPUTED_VALUE"""),"&lt; 18 tahun")</f>
        <v>&lt; 18 tahun</v>
      </c>
      <c r="K1528" s="19">
        <f>IFERROR(__xludf.DUMMYFUNCTION("""COMPUTED_VALUE"""),40868.0)</f>
        <v>40868</v>
      </c>
      <c r="L1528" s="19" t="str">
        <f>IFERROR(__xludf.DUMMYFUNCTION("""COMPUTED_VALUE"""),"LAKI-LAKI")</f>
        <v>LAKI-LAKI</v>
      </c>
      <c r="M1528" s="35" t="str">
        <f>IFERROR(__xludf.DUMMYFUNCTION("""COMPUTED_VALUE"""),"P NATAKUSUMA GG SILIWANGI 1 NO. 18")</f>
        <v>P NATAKUSUMA GG SILIWANGI 1 NO. 18</v>
      </c>
      <c r="N1528" s="16" t="str">
        <f>IFERROR(__xludf.DUMMYFUNCTION("""COMPUTED_VALUE"""),"KEL. SUNGAI BANGKONG")</f>
        <v>KEL. SUNGAI BANGKONG</v>
      </c>
      <c r="O1528" s="16" t="str">
        <f>IFERROR(__xludf.DUMMYFUNCTION("""COMPUTED_VALUE"""),"KEC. PONTIANAK KOTA")</f>
        <v>KEC. PONTIANAK KOTA</v>
      </c>
      <c r="P1528" s="16" t="str">
        <f>IFERROR(__xludf.DUMMYFUNCTION("""COMPUTED_VALUE"""),"KOTA PONTIANAK")</f>
        <v>KOTA PONTIANAK</v>
      </c>
      <c r="Q1528" s="16" t="str">
        <f>IFERROR(__xludf.DUMMYFUNCTION("""COMPUTED_VALUE"""),"KALIMANTAN BARAT")</f>
        <v>KALIMANTAN BARAT</v>
      </c>
      <c r="R1528" s="19" t="str">
        <f>IFERROR(__xludf.DUMMYFUNCTION("""COMPUTED_VALUE"""),"ISLAM")</f>
        <v>ISLAM</v>
      </c>
      <c r="S1528" s="16" t="str">
        <f>IFERROR(__xludf.DUMMYFUNCTION("""COMPUTED_VALUE"""),"PELAJAR/MAHASISWA")</f>
        <v>PELAJAR/MAHASISWA</v>
      </c>
      <c r="T1528" s="16" t="str">
        <f>IFERROR(__xludf.DUMMYFUNCTION("""COMPUTED_VALUE"""),"Bahu miring")</f>
        <v>Bahu miring</v>
      </c>
      <c r="U1528" s="16" t="str">
        <f>IFERROR(__xludf.DUMMYFUNCTION("""COMPUTED_VALUE"""),"Sekolah")</f>
        <v>Sekolah</v>
      </c>
      <c r="V1528" s="11" t="str">
        <f>IFERROR(__xludf.DUMMYFUNCTION("""COMPUTED_VALUE"""),"08125139019")</f>
        <v>08125139019</v>
      </c>
      <c r="W1528" s="15"/>
    </row>
    <row r="1529" ht="22.5" customHeight="1">
      <c r="A1529" s="8"/>
      <c r="B1529" s="9">
        <f>IFERROR(__xludf.DUMMYFUNCTION("""COMPUTED_VALUE"""),45488.74360640046)</f>
        <v>45488.74361</v>
      </c>
      <c r="C1529" s="9"/>
      <c r="D1529" s="34">
        <f>IFERROR(__xludf.DUMMYFUNCTION("""COMPUTED_VALUE"""),45496.0)</f>
        <v>45496</v>
      </c>
      <c r="E1529" s="34" t="str">
        <f>IFERROR(__xludf.DUMMYFUNCTION("""COMPUTED_VALUE"""),"07Jul")</f>
        <v>07Jul</v>
      </c>
      <c r="F1529" s="34" t="str">
        <f>IFERROR(__xludf.DUMMYFUNCTION("""COMPUTED_VALUE"""),"2024")</f>
        <v>2024</v>
      </c>
      <c r="G1529" s="35" t="str">
        <f>IFERROR(__xludf.DUMMYFUNCTION("""COMPUTED_VALUE"""),"RESTU RAGYL HARIYANTO")</f>
        <v>RESTU RAGYL HARIYANTO</v>
      </c>
      <c r="H1529" s="17" t="str">
        <f>IFERROR(__xludf.DUMMYFUNCTION("""COMPUTED_VALUE"""),"R0124077723")</f>
        <v>R0124077723</v>
      </c>
      <c r="I1529" s="17">
        <f>IFERROR(__xludf.DUMMYFUNCTION("""COMPUTED_VALUE"""),24.0)</f>
        <v>24</v>
      </c>
      <c r="J1529" s="17" t="str">
        <f>IFERROR(__xludf.DUMMYFUNCTION("""COMPUTED_VALUE"""),"18-24 tahun")</f>
        <v>18-24 tahun</v>
      </c>
      <c r="K1529" s="19">
        <f>IFERROR(__xludf.DUMMYFUNCTION("""COMPUTED_VALUE"""),37082.0)</f>
        <v>37082</v>
      </c>
      <c r="L1529" s="19" t="str">
        <f>IFERROR(__xludf.DUMMYFUNCTION("""COMPUTED_VALUE"""),"LAKI-LAKI")</f>
        <v>LAKI-LAKI</v>
      </c>
      <c r="M1529" s="35" t="str">
        <f>IFERROR(__xludf.DUMMYFUNCTION("""COMPUTED_VALUE"""),"JALAN ALIANYANG GANG HARAPAN JAYA NOMOR 24")</f>
        <v>JALAN ALIANYANG GANG HARAPAN JAYA NOMOR 24</v>
      </c>
      <c r="N1529" s="16" t="str">
        <f>IFERROR(__xludf.DUMMYFUNCTION("""COMPUTED_VALUE"""),"KEL. SUNGAI BANGKONG")</f>
        <v>KEL. SUNGAI BANGKONG</v>
      </c>
      <c r="O1529" s="16" t="str">
        <f>IFERROR(__xludf.DUMMYFUNCTION("""COMPUTED_VALUE"""),"KEC. PONTIANAK KOTA")</f>
        <v>KEC. PONTIANAK KOTA</v>
      </c>
      <c r="P1529" s="16" t="str">
        <f>IFERROR(__xludf.DUMMYFUNCTION("""COMPUTED_VALUE"""),"KOTA PONTIANAK")</f>
        <v>KOTA PONTIANAK</v>
      </c>
      <c r="Q1529" s="16" t="str">
        <f>IFERROR(__xludf.DUMMYFUNCTION("""COMPUTED_VALUE"""),"KALIMANTAN BARAT")</f>
        <v>KALIMANTAN BARAT</v>
      </c>
      <c r="R1529" s="19" t="str">
        <f>IFERROR(__xludf.DUMMYFUNCTION("""COMPUTED_VALUE"""),"ISLAM")</f>
        <v>ISLAM</v>
      </c>
      <c r="S1529" s="16" t="str">
        <f>IFERROR(__xludf.DUMMYFUNCTION("""COMPUTED_VALUE"""),"ASN")</f>
        <v>ASN</v>
      </c>
      <c r="T1529" s="16" t="str">
        <f>IFERROR(__xludf.DUMMYFUNCTION("""COMPUTED_VALUE"""),"Meniskus")</f>
        <v>Meniskus</v>
      </c>
      <c r="U1529" s="16" t="str">
        <f>IFERROR(__xludf.DUMMYFUNCTION("""COMPUTED_VALUE"""),"Olahraga")</f>
        <v>Olahraga</v>
      </c>
      <c r="V1529" s="11" t="str">
        <f>IFERROR(__xludf.DUMMYFUNCTION("""COMPUTED_VALUE"""),"085798027723")</f>
        <v>085798027723</v>
      </c>
      <c r="W1529" s="15"/>
    </row>
    <row r="1530" ht="22.5" customHeight="1">
      <c r="A1530" s="8"/>
      <c r="B1530" s="9">
        <f>IFERROR(__xludf.DUMMYFUNCTION("""COMPUTED_VALUE"""),45488.562260949075)</f>
        <v>45488.56226</v>
      </c>
      <c r="C1530" s="9"/>
      <c r="D1530" s="34">
        <f>IFERROR(__xludf.DUMMYFUNCTION("""COMPUTED_VALUE"""),45496.0)</f>
        <v>45496</v>
      </c>
      <c r="E1530" s="34" t="str">
        <f>IFERROR(__xludf.DUMMYFUNCTION("""COMPUTED_VALUE"""),"07Jul")</f>
        <v>07Jul</v>
      </c>
      <c r="F1530" s="34" t="str">
        <f>IFERROR(__xludf.DUMMYFUNCTION("""COMPUTED_VALUE"""),"2024")</f>
        <v>2024</v>
      </c>
      <c r="G1530" s="35" t="str">
        <f>IFERROR(__xludf.DUMMYFUNCTION("""COMPUTED_VALUE"""),"DHAIFULLAH IRFAN HAFIZH")</f>
        <v>DHAIFULLAH IRFAN HAFIZH</v>
      </c>
      <c r="H1530" s="17" t="str">
        <f>IFERROR(__xludf.DUMMYFUNCTION("""COMPUTED_VALUE"""),"D0924079294")</f>
        <v>D0924079294</v>
      </c>
      <c r="I1530" s="17">
        <f>IFERROR(__xludf.DUMMYFUNCTION("""COMPUTED_VALUE"""),17.0)</f>
        <v>17</v>
      </c>
      <c r="J1530" s="17" t="str">
        <f>IFERROR(__xludf.DUMMYFUNCTION("""COMPUTED_VALUE"""),"&lt; 18 tahun")</f>
        <v>&lt; 18 tahun</v>
      </c>
      <c r="K1530" s="19">
        <f>IFERROR(__xludf.DUMMYFUNCTION("""COMPUTED_VALUE"""),39872.0)</f>
        <v>39872</v>
      </c>
      <c r="L1530" s="19" t="str">
        <f>IFERROR(__xludf.DUMMYFUNCTION("""COMPUTED_VALUE"""),"LAKI-LAKI")</f>
        <v>LAKI-LAKI</v>
      </c>
      <c r="M1530" s="35" t="str">
        <f>IFERROR(__xludf.DUMMYFUNCTION("""COMPUTED_VALUE"""),"JL M YAMIN GANG KAPUAS MELAWI NO 33")</f>
        <v>JL M YAMIN GANG KAPUAS MELAWI NO 33</v>
      </c>
      <c r="N1530" s="16" t="str">
        <f>IFERROR(__xludf.DUMMYFUNCTION("""COMPUTED_VALUE"""),"KEL. KOTA BARU")</f>
        <v>KEL. KOTA BARU</v>
      </c>
      <c r="O1530" s="16" t="str">
        <f>IFERROR(__xludf.DUMMYFUNCTION("""COMPUTED_VALUE"""),"KEC. PONTIANAK SELATAN")</f>
        <v>KEC. PONTIANAK SELATAN</v>
      </c>
      <c r="P1530" s="16" t="str">
        <f>IFERROR(__xludf.DUMMYFUNCTION("""COMPUTED_VALUE"""),"KOTA PONTIANAK")</f>
        <v>KOTA PONTIANAK</v>
      </c>
      <c r="Q1530" s="16" t="str">
        <f>IFERROR(__xludf.DUMMYFUNCTION("""COMPUTED_VALUE"""),"KALIMANTAN BARAT")</f>
        <v>KALIMANTAN BARAT</v>
      </c>
      <c r="R1530" s="19" t="str">
        <f>IFERROR(__xludf.DUMMYFUNCTION("""COMPUTED_VALUE"""),"ISLAM")</f>
        <v>ISLAM</v>
      </c>
      <c r="S1530" s="16" t="str">
        <f>IFERROR(__xludf.DUMMYFUNCTION("""COMPUTED_VALUE"""),"PELAJAR/MAHASISWA")</f>
        <v>PELAJAR/MAHASISWA</v>
      </c>
      <c r="T1530" s="16" t="str">
        <f>IFERROR(__xludf.DUMMYFUNCTION("""COMPUTED_VALUE"""),"Strok ringan")</f>
        <v>Strok ringan</v>
      </c>
      <c r="U1530" s="16" t="str">
        <f>IFERROR(__xludf.DUMMYFUNCTION("""COMPUTED_VALUE"""),"Olah raga")</f>
        <v>Olah raga</v>
      </c>
      <c r="V1530" s="11" t="str">
        <f>IFERROR(__xludf.DUMMYFUNCTION("""COMPUTED_VALUE"""),"08125679294")</f>
        <v>08125679294</v>
      </c>
      <c r="W1530" s="15"/>
    </row>
    <row r="1531" ht="22.5" customHeight="1">
      <c r="A1531" s="8"/>
      <c r="B1531" s="9">
        <f>IFERROR(__xludf.DUMMYFUNCTION("""COMPUTED_VALUE"""),45488.566352291666)</f>
        <v>45488.56635</v>
      </c>
      <c r="C1531" s="9"/>
      <c r="D1531" s="34">
        <f>IFERROR(__xludf.DUMMYFUNCTION("""COMPUTED_VALUE"""),45496.0)</f>
        <v>45496</v>
      </c>
      <c r="E1531" s="34" t="str">
        <f>IFERROR(__xludf.DUMMYFUNCTION("""COMPUTED_VALUE"""),"07Jul")</f>
        <v>07Jul</v>
      </c>
      <c r="F1531" s="34" t="str">
        <f>IFERROR(__xludf.DUMMYFUNCTION("""COMPUTED_VALUE"""),"2024")</f>
        <v>2024</v>
      </c>
      <c r="G1531" s="35" t="str">
        <f>IFERROR(__xludf.DUMMYFUNCTION("""COMPUTED_VALUE"""),"ABDIAS ANDESTA LASENO KAGAUK")</f>
        <v>ABDIAS ANDESTA LASENO KAGAUK</v>
      </c>
      <c r="H1531" s="17" t="str">
        <f>IFERROR(__xludf.DUMMYFUNCTION("""COMPUTED_VALUE"""),"A9624079070")</f>
        <v>A9624079070</v>
      </c>
      <c r="I1531" s="17">
        <f>IFERROR(__xludf.DUMMYFUNCTION("""COMPUTED_VALUE"""),29.0)</f>
        <v>29</v>
      </c>
      <c r="J1531" s="17" t="str">
        <f>IFERROR(__xludf.DUMMYFUNCTION("""COMPUTED_VALUE"""),"25-34 tahun")</f>
        <v>25-34 tahun</v>
      </c>
      <c r="K1531" s="19">
        <f>IFERROR(__xludf.DUMMYFUNCTION("""COMPUTED_VALUE"""),35388.0)</f>
        <v>35388</v>
      </c>
      <c r="L1531" s="19" t="str">
        <f>IFERROR(__xludf.DUMMYFUNCTION("""COMPUTED_VALUE"""),"LAKI-LAKI")</f>
        <v>LAKI-LAKI</v>
      </c>
      <c r="M1531" s="35" t="str">
        <f>IFERROR(__xludf.DUMMYFUNCTION("""COMPUTED_VALUE"""),"JL . DR. SUTOMO GG. SARIKATON DALAM 1 NO. 3")</f>
        <v>JL . DR. SUTOMO GG. SARIKATON DALAM 1 NO. 3</v>
      </c>
      <c r="N1531" s="16" t="str">
        <f>IFERROR(__xludf.DUMMYFUNCTION("""COMPUTED_VALUE"""),"KEL. SUNGAI BANGKONG")</f>
        <v>KEL. SUNGAI BANGKONG</v>
      </c>
      <c r="O1531" s="16" t="str">
        <f>IFERROR(__xludf.DUMMYFUNCTION("""COMPUTED_VALUE"""),"KEC. PONTIANAK KOTA")</f>
        <v>KEC. PONTIANAK KOTA</v>
      </c>
      <c r="P1531" s="16" t="str">
        <f>IFERROR(__xludf.DUMMYFUNCTION("""COMPUTED_VALUE"""),"KOTA PONTIANAK")</f>
        <v>KOTA PONTIANAK</v>
      </c>
      <c r="Q1531" s="35" t="str">
        <f>IFERROR(__xludf.DUMMYFUNCTION("""COMPUTED_VALUE"""),"KALIMANTAN BARAT")</f>
        <v>KALIMANTAN BARAT</v>
      </c>
      <c r="R1531" s="19" t="str">
        <f>IFERROR(__xludf.DUMMYFUNCTION("""COMPUTED_VALUE"""),"KATOLIK")</f>
        <v>KATOLIK</v>
      </c>
      <c r="S1531" s="35" t="str">
        <f>IFERROR(__xludf.DUMMYFUNCTION("""COMPUTED_VALUE"""),"SWASTA")</f>
        <v>SWASTA</v>
      </c>
      <c r="T1531" s="16"/>
      <c r="U1531" s="16" t="str">
        <f>IFERROR(__xludf.DUMMYFUNCTION("""COMPUTED_VALUE"""),"MAIN SEPEDA (BMX)")</f>
        <v>MAIN SEPEDA (BMX)</v>
      </c>
      <c r="V1531" s="11" t="str">
        <f>IFERROR(__xludf.DUMMYFUNCTION("""COMPUTED_VALUE"""),"089693419070")</f>
        <v>089693419070</v>
      </c>
      <c r="W1531" s="15"/>
    </row>
    <row r="1532" ht="22.5" customHeight="1">
      <c r="A1532" s="8"/>
      <c r="B1532" s="9">
        <f>IFERROR(__xludf.DUMMYFUNCTION("""COMPUTED_VALUE"""),45488.56840310185)</f>
        <v>45488.5684</v>
      </c>
      <c r="C1532" s="9"/>
      <c r="D1532" s="34">
        <f>IFERROR(__xludf.DUMMYFUNCTION("""COMPUTED_VALUE"""),45497.0)</f>
        <v>45497</v>
      </c>
      <c r="E1532" s="34" t="str">
        <f>IFERROR(__xludf.DUMMYFUNCTION("""COMPUTED_VALUE"""),"07Jul")</f>
        <v>07Jul</v>
      </c>
      <c r="F1532" s="34" t="str">
        <f>IFERROR(__xludf.DUMMYFUNCTION("""COMPUTED_VALUE"""),"2024")</f>
        <v>2024</v>
      </c>
      <c r="G1532" s="35" t="str">
        <f>IFERROR(__xludf.DUMMYFUNCTION("""COMPUTED_VALUE"""),"GALIH NOFRIO NANDA")</f>
        <v>GALIH NOFRIO NANDA</v>
      </c>
      <c r="H1532" s="17" t="str">
        <f>IFERROR(__xludf.DUMMYFUNCTION("""COMPUTED_VALUE"""),"G8424078873")</f>
        <v>G8424078873</v>
      </c>
      <c r="I1532" s="17">
        <f>IFERROR(__xludf.DUMMYFUNCTION("""COMPUTED_VALUE"""),41.0)</f>
        <v>41</v>
      </c>
      <c r="J1532" s="17" t="str">
        <f>IFERROR(__xludf.DUMMYFUNCTION("""COMPUTED_VALUE"""),"35-44 tahun")</f>
        <v>35-44 tahun</v>
      </c>
      <c r="K1532" s="19">
        <f>IFERROR(__xludf.DUMMYFUNCTION("""COMPUTED_VALUE"""),30995.0)</f>
        <v>30995</v>
      </c>
      <c r="L1532" s="19" t="str">
        <f>IFERROR(__xludf.DUMMYFUNCTION("""COMPUTED_VALUE"""),"LAKI-LAKI")</f>
        <v>LAKI-LAKI</v>
      </c>
      <c r="M1532" s="35" t="str">
        <f>IFERROR(__xludf.DUMMYFUNCTION("""COMPUTED_VALUE"""),"JL ST ABDURAHMAN GANG BUDI SETIA")</f>
        <v>JL ST ABDURAHMAN GANG BUDI SETIA</v>
      </c>
      <c r="N1532" s="16" t="str">
        <f>IFERROR(__xludf.DUMMYFUNCTION("""COMPUTED_VALUE"""),"KEL. SUNGAI BANGKONG")</f>
        <v>KEL. SUNGAI BANGKONG</v>
      </c>
      <c r="O1532" s="16" t="str">
        <f>IFERROR(__xludf.DUMMYFUNCTION("""COMPUTED_VALUE"""),"KEC. PONTIANAK KOTA")</f>
        <v>KEC. PONTIANAK KOTA</v>
      </c>
      <c r="P1532" s="16" t="str">
        <f>IFERROR(__xludf.DUMMYFUNCTION("""COMPUTED_VALUE"""),"KOTA PONTIANAK")</f>
        <v>KOTA PONTIANAK</v>
      </c>
      <c r="Q1532" s="35" t="str">
        <f>IFERROR(__xludf.DUMMYFUNCTION("""COMPUTED_VALUE"""),"KALIMANTAN BARAT")</f>
        <v>KALIMANTAN BARAT</v>
      </c>
      <c r="R1532" s="19" t="str">
        <f>IFERROR(__xludf.DUMMYFUNCTION("""COMPUTED_VALUE"""),"ISLAM")</f>
        <v>ISLAM</v>
      </c>
      <c r="S1532" s="16" t="str">
        <f>IFERROR(__xludf.DUMMYFUNCTION("""COMPUTED_VALUE"""),"ASN")</f>
        <v>ASN</v>
      </c>
      <c r="T1532" s="16" t="str">
        <f>IFERROR(__xludf.DUMMYFUNCTION("""COMPUTED_VALUE"""),"Tumit sakit")</f>
        <v>Tumit sakit</v>
      </c>
      <c r="U1532" s="16" t="str">
        <f>IFERROR(__xludf.DUMMYFUNCTION("""COMPUTED_VALUE"""),"Olahraga")</f>
        <v>Olahraga</v>
      </c>
      <c r="V1532" s="11" t="str">
        <f>IFERROR(__xludf.DUMMYFUNCTION("""COMPUTED_VALUE"""),"082148848873")</f>
        <v>082148848873</v>
      </c>
      <c r="W1532" s="15"/>
    </row>
    <row r="1533" ht="22.5" customHeight="1">
      <c r="A1533" s="8"/>
      <c r="B1533" s="9">
        <f>IFERROR(__xludf.DUMMYFUNCTION("""COMPUTED_VALUE"""),45488.76144516203)</f>
        <v>45488.76145</v>
      </c>
      <c r="C1533" s="9"/>
      <c r="D1533" s="34">
        <f>IFERROR(__xludf.DUMMYFUNCTION("""COMPUTED_VALUE"""),45497.0)</f>
        <v>45497</v>
      </c>
      <c r="E1533" s="34" t="str">
        <f>IFERROR(__xludf.DUMMYFUNCTION("""COMPUTED_VALUE"""),"07Jul")</f>
        <v>07Jul</v>
      </c>
      <c r="F1533" s="34" t="str">
        <f>IFERROR(__xludf.DUMMYFUNCTION("""COMPUTED_VALUE"""),"2024")</f>
        <v>2024</v>
      </c>
      <c r="G1533" s="35" t="str">
        <f>IFERROR(__xludf.DUMMYFUNCTION("""COMPUTED_VALUE"""),"GUNAWAN")</f>
        <v>GUNAWAN</v>
      </c>
      <c r="H1533" s="17" t="str">
        <f>IFERROR(__xludf.DUMMYFUNCTION("""COMPUTED_VALUE"""),"G5724071605")</f>
        <v>G5724071605</v>
      </c>
      <c r="I1533" s="17">
        <f>IFERROR(__xludf.DUMMYFUNCTION("""COMPUTED_VALUE"""),69.0)</f>
        <v>69</v>
      </c>
      <c r="J1533" s="17" t="str">
        <f>IFERROR(__xludf.DUMMYFUNCTION("""COMPUTED_VALUE"""),"&gt; 44 tahun")</f>
        <v>&gt; 44 tahun</v>
      </c>
      <c r="K1533" s="19">
        <f>IFERROR(__xludf.DUMMYFUNCTION("""COMPUTED_VALUE"""),20956.0)</f>
        <v>20956</v>
      </c>
      <c r="L1533" s="19" t="str">
        <f>IFERROR(__xludf.DUMMYFUNCTION("""COMPUTED_VALUE"""),"LAKI-LAKI")</f>
        <v>LAKI-LAKI</v>
      </c>
      <c r="M1533" s="35" t="str">
        <f>IFERROR(__xludf.DUMMYFUNCTION("""COMPUTED_VALUE"""),"JL ISMAIL MZ NO 30")</f>
        <v>JL ISMAIL MZ NO 30</v>
      </c>
      <c r="N1533" s="16" t="str">
        <f>IFERROR(__xludf.DUMMYFUNCTION("""COMPUTED_VALUE"""),"KEL. BENUA MELAYU DARAT")</f>
        <v>KEL. BENUA MELAYU DARAT</v>
      </c>
      <c r="O1533" s="16" t="str">
        <f>IFERROR(__xludf.DUMMYFUNCTION("""COMPUTED_VALUE"""),"KEC. PONTIANAK SELATAN")</f>
        <v>KEC. PONTIANAK SELATAN</v>
      </c>
      <c r="P1533" s="16" t="str">
        <f>IFERROR(__xludf.DUMMYFUNCTION("""COMPUTED_VALUE"""),"KOTA PONTIANAK")</f>
        <v>KOTA PONTIANAK</v>
      </c>
      <c r="Q1533" s="16" t="str">
        <f>IFERROR(__xludf.DUMMYFUNCTION("""COMPUTED_VALUE"""),"KALIMANTAN BARAT")</f>
        <v>KALIMANTAN BARAT</v>
      </c>
      <c r="R1533" s="19" t="str">
        <f>IFERROR(__xludf.DUMMYFUNCTION("""COMPUTED_VALUE"""),"BUDDHA")</f>
        <v>BUDDHA</v>
      </c>
      <c r="S1533" s="16" t="str">
        <f>IFERROR(__xludf.DUMMYFUNCTION("""COMPUTED_VALUE"""),"WIRASWASTA")</f>
        <v>WIRASWASTA</v>
      </c>
      <c r="T1533" s="16" t="str">
        <f>IFERROR(__xludf.DUMMYFUNCTION("""COMPUTED_VALUE"""),"KAKI SAKIT")</f>
        <v>KAKI SAKIT</v>
      </c>
      <c r="U1533" s="16" t="str">
        <f>IFERROR(__xludf.DUMMYFUNCTION("""COMPUTED_VALUE"""),"JOGGING")</f>
        <v>JOGGING</v>
      </c>
      <c r="V1533" s="11" t="str">
        <f>IFERROR(__xludf.DUMMYFUNCTION("""COMPUTED_VALUE"""),"0811561605")</f>
        <v>0811561605</v>
      </c>
      <c r="W1533" s="15"/>
    </row>
    <row r="1534" ht="22.5" customHeight="1">
      <c r="A1534" s="8"/>
      <c r="B1534" s="9">
        <f>IFERROR(__xludf.DUMMYFUNCTION("""COMPUTED_VALUE"""),45489.42842568287)</f>
        <v>45489.42843</v>
      </c>
      <c r="C1534" s="9"/>
      <c r="D1534" s="34">
        <f>IFERROR(__xludf.DUMMYFUNCTION("""COMPUTED_VALUE"""),45498.0)</f>
        <v>45498</v>
      </c>
      <c r="E1534" s="34" t="str">
        <f>IFERROR(__xludf.DUMMYFUNCTION("""COMPUTED_VALUE"""),"07Jul")</f>
        <v>07Jul</v>
      </c>
      <c r="F1534" s="34" t="str">
        <f>IFERROR(__xludf.DUMMYFUNCTION("""COMPUTED_VALUE"""),"2024")</f>
        <v>2024</v>
      </c>
      <c r="G1534" s="35" t="str">
        <f>IFERROR(__xludf.DUMMYFUNCTION("""COMPUTED_VALUE"""),"SARIMIN")</f>
        <v>SARIMIN</v>
      </c>
      <c r="H1534" s="17" t="str">
        <f>IFERROR(__xludf.DUMMYFUNCTION("""COMPUTED_VALUE"""),"S5024073330")</f>
        <v>S5024073330</v>
      </c>
      <c r="I1534" s="17">
        <f>IFERROR(__xludf.DUMMYFUNCTION("""COMPUTED_VALUE"""),76.0)</f>
        <v>76</v>
      </c>
      <c r="J1534" s="17" t="str">
        <f>IFERROR(__xludf.DUMMYFUNCTION("""COMPUTED_VALUE"""),"&gt; 44 tahun")</f>
        <v>&gt; 44 tahun</v>
      </c>
      <c r="K1534" s="19">
        <f>IFERROR(__xludf.DUMMYFUNCTION("""COMPUTED_VALUE"""),18332.0)</f>
        <v>18332</v>
      </c>
      <c r="L1534" s="19" t="str">
        <f>IFERROR(__xludf.DUMMYFUNCTION("""COMPUTED_VALUE"""),"LAKI-LAKI")</f>
        <v>LAKI-LAKI</v>
      </c>
      <c r="M1534" s="35" t="str">
        <f>IFERROR(__xludf.DUMMYFUNCTION("""COMPUTED_VALUE"""),"JL. WONOBARU GG. REMAJA 1 NO. 86")</f>
        <v>JL. WONOBARU GG. REMAJA 1 NO. 86</v>
      </c>
      <c r="N1534" s="16" t="str">
        <f>IFERROR(__xludf.DUMMYFUNCTION("""COMPUTED_VALUE"""),"KEL. AKCAYA")</f>
        <v>KEL. AKCAYA</v>
      </c>
      <c r="O1534" s="16" t="str">
        <f>IFERROR(__xludf.DUMMYFUNCTION("""COMPUTED_VALUE"""),"KEC. PONTIANAK SELATAN")</f>
        <v>KEC. PONTIANAK SELATAN</v>
      </c>
      <c r="P1534" s="16" t="str">
        <f>IFERROR(__xludf.DUMMYFUNCTION("""COMPUTED_VALUE"""),"KOTA PONTIANAK")</f>
        <v>KOTA PONTIANAK</v>
      </c>
      <c r="Q1534" s="16" t="str">
        <f>IFERROR(__xludf.DUMMYFUNCTION("""COMPUTED_VALUE"""),"KALIMANTAN BARAT")</f>
        <v>KALIMANTAN BARAT</v>
      </c>
      <c r="R1534" s="19" t="str">
        <f>IFERROR(__xludf.DUMMYFUNCTION("""COMPUTED_VALUE"""),"ISLAM")</f>
        <v>ISLAM</v>
      </c>
      <c r="S1534" s="16" t="str">
        <f>IFERROR(__xludf.DUMMYFUNCTION("""COMPUTED_VALUE"""),"PENSIUN")</f>
        <v>PENSIUN</v>
      </c>
      <c r="T1534" s="16" t="str">
        <f>IFERROR(__xludf.DUMMYFUNCTION("""COMPUTED_VALUE"""),"Kaki")</f>
        <v>Kaki</v>
      </c>
      <c r="U1534" s="16" t="str">
        <f>IFERROR(__xludf.DUMMYFUNCTION("""COMPUTED_VALUE"""),".")</f>
        <v>.</v>
      </c>
      <c r="V1534" s="11" t="str">
        <f>IFERROR(__xludf.DUMMYFUNCTION("""COMPUTED_VALUE"""),"085252153330")</f>
        <v>085252153330</v>
      </c>
      <c r="W1534" s="15"/>
    </row>
    <row r="1535" ht="22.5" customHeight="1">
      <c r="A1535" s="8"/>
      <c r="B1535" s="9">
        <f>IFERROR(__xludf.DUMMYFUNCTION("""COMPUTED_VALUE"""),45489.43839091435)</f>
        <v>45489.43839</v>
      </c>
      <c r="C1535" s="9"/>
      <c r="D1535" s="34">
        <f>IFERROR(__xludf.DUMMYFUNCTION("""COMPUTED_VALUE"""),45498.0)</f>
        <v>45498</v>
      </c>
      <c r="E1535" s="34" t="str">
        <f>IFERROR(__xludf.DUMMYFUNCTION("""COMPUTED_VALUE"""),"07Jul")</f>
        <v>07Jul</v>
      </c>
      <c r="F1535" s="34" t="str">
        <f>IFERROR(__xludf.DUMMYFUNCTION("""COMPUTED_VALUE"""),"2024")</f>
        <v>2024</v>
      </c>
      <c r="G1535" s="35" t="str">
        <f>IFERROR(__xludf.DUMMYFUNCTION("""COMPUTED_VALUE"""),"MARCO TJAYADI")</f>
        <v>MARCO TJAYADI</v>
      </c>
      <c r="H1535" s="17" t="str">
        <f>IFERROR(__xludf.DUMMYFUNCTION("""COMPUTED_VALUE"""),"M8924078828")</f>
        <v>M8924078828</v>
      </c>
      <c r="I1535" s="17">
        <f>IFERROR(__xludf.DUMMYFUNCTION("""COMPUTED_VALUE"""),37.0)</f>
        <v>37</v>
      </c>
      <c r="J1535" s="17" t="str">
        <f>IFERROR(__xludf.DUMMYFUNCTION("""COMPUTED_VALUE"""),"35-44 tahun")</f>
        <v>35-44 tahun</v>
      </c>
      <c r="K1535" s="19">
        <f>IFERROR(__xludf.DUMMYFUNCTION("""COMPUTED_VALUE"""),32639.0)</f>
        <v>32639</v>
      </c>
      <c r="L1535" s="19" t="str">
        <f>IFERROR(__xludf.DUMMYFUNCTION("""COMPUTED_VALUE"""),"LAKI-LAKI")</f>
        <v>LAKI-LAKI</v>
      </c>
      <c r="M1535" s="35" t="str">
        <f>IFERROR(__xludf.DUMMYFUNCTION("""COMPUTED_VALUE"""),"JL.KOM.YOS SUDARSO GG.RAMBAI 1 NO.27")</f>
        <v>JL.KOM.YOS SUDARSO GG.RAMBAI 1 NO.27</v>
      </c>
      <c r="N1535" s="16" t="str">
        <f>IFERROR(__xludf.DUMMYFUNCTION("""COMPUTED_VALUE"""),"KEL. SUNGAI JAWI")</f>
        <v>KEL. SUNGAI JAWI</v>
      </c>
      <c r="O1535" s="16" t="str">
        <f>IFERROR(__xludf.DUMMYFUNCTION("""COMPUTED_VALUE"""),"KEC. PONTIANAK BARAT")</f>
        <v>KEC. PONTIANAK BARAT</v>
      </c>
      <c r="P1535" s="16" t="str">
        <f>IFERROR(__xludf.DUMMYFUNCTION("""COMPUTED_VALUE"""),"KOTA PONTIANAK")</f>
        <v>KOTA PONTIANAK</v>
      </c>
      <c r="Q1535" s="35" t="str">
        <f>IFERROR(__xludf.DUMMYFUNCTION("""COMPUTED_VALUE"""),"KALIMANTAN BARAT")</f>
        <v>KALIMANTAN BARAT</v>
      </c>
      <c r="R1535" s="19" t="str">
        <f>IFERROR(__xludf.DUMMYFUNCTION("""COMPUTED_VALUE"""),"KHONGHUCU")</f>
        <v>KHONGHUCU</v>
      </c>
      <c r="S1535" s="16" t="str">
        <f>IFERROR(__xludf.DUMMYFUNCTION("""COMPUTED_VALUE"""),"SWASTA")</f>
        <v>SWASTA</v>
      </c>
      <c r="T1535" s="16" t="str">
        <f>IFERROR(__xludf.DUMMYFUNCTION("""COMPUTED_VALUE"""),"Nyeri/Ngilu di kiri")</f>
        <v>Nyeri/Ngilu di kiri</v>
      </c>
      <c r="U1535" s="16" t="str">
        <f>IFERROR(__xludf.DUMMYFUNCTION("""COMPUTED_VALUE"""),"Sepak Bola &amp; Futsal")</f>
        <v>Sepak Bola &amp; Futsal</v>
      </c>
      <c r="V1535" s="11" t="str">
        <f>IFERROR(__xludf.DUMMYFUNCTION("""COMPUTED_VALUE"""),"085350888828")</f>
        <v>085350888828</v>
      </c>
      <c r="W1535" s="15"/>
    </row>
    <row r="1536" ht="22.5" customHeight="1">
      <c r="A1536" s="8"/>
      <c r="B1536" s="9">
        <f>IFERROR(__xludf.DUMMYFUNCTION("""COMPUTED_VALUE"""),45484.648114826385)</f>
        <v>45484.64811</v>
      </c>
      <c r="C1536" s="9"/>
      <c r="D1536" s="34">
        <f>IFERROR(__xludf.DUMMYFUNCTION("""COMPUTED_VALUE"""),45498.0)</f>
        <v>45498</v>
      </c>
      <c r="E1536" s="34" t="str">
        <f>IFERROR(__xludf.DUMMYFUNCTION("""COMPUTED_VALUE"""),"07Jul")</f>
        <v>07Jul</v>
      </c>
      <c r="F1536" s="34" t="str">
        <f>IFERROR(__xludf.DUMMYFUNCTION("""COMPUTED_VALUE"""),"2024")</f>
        <v>2024</v>
      </c>
      <c r="G1536" s="35" t="str">
        <f>IFERROR(__xludf.DUMMYFUNCTION("""COMPUTED_VALUE"""),"LUSI NURYANTI")</f>
        <v>LUSI NURYANTI</v>
      </c>
      <c r="H1536" s="17" t="str">
        <f>IFERROR(__xludf.DUMMYFUNCTION("""COMPUTED_VALUE"""),"L8524078597")</f>
        <v>L8524078597</v>
      </c>
      <c r="I1536" s="17">
        <f>IFERROR(__xludf.DUMMYFUNCTION("""COMPUTED_VALUE"""),41.0)</f>
        <v>41</v>
      </c>
      <c r="J1536" s="17" t="str">
        <f>IFERROR(__xludf.DUMMYFUNCTION("""COMPUTED_VALUE"""),"35-44 tahun")</f>
        <v>35-44 tahun</v>
      </c>
      <c r="K1536" s="19">
        <f>IFERROR(__xludf.DUMMYFUNCTION("""COMPUTED_VALUE"""),31109.0)</f>
        <v>31109</v>
      </c>
      <c r="L1536" s="19" t="str">
        <f>IFERROR(__xludf.DUMMYFUNCTION("""COMPUTED_VALUE"""),"PEREMPUAN")</f>
        <v>PEREMPUAN</v>
      </c>
      <c r="M1536" s="35" t="str">
        <f>IFERROR(__xludf.DUMMYFUNCTION("""COMPUTED_VALUE"""),"JALAN KOM YOS SUDARSO. GG GANDAPURA 1 A NO 32")</f>
        <v>JALAN KOM YOS SUDARSO. GG GANDAPURA 1 A NO 32</v>
      </c>
      <c r="N1536" s="16" t="str">
        <f>IFERROR(__xludf.DUMMYFUNCTION("""COMPUTED_VALUE"""),"KEL. SUNGAI BELIUNG")</f>
        <v>KEL. SUNGAI BELIUNG</v>
      </c>
      <c r="O1536" s="16" t="str">
        <f>IFERROR(__xludf.DUMMYFUNCTION("""COMPUTED_VALUE"""),"KEC. PONTIANAK BARAT")</f>
        <v>KEC. PONTIANAK BARAT</v>
      </c>
      <c r="P1536" s="16" t="str">
        <f>IFERROR(__xludf.DUMMYFUNCTION("""COMPUTED_VALUE"""),"KOTA PONTIANAK")</f>
        <v>KOTA PONTIANAK</v>
      </c>
      <c r="Q1536" s="16" t="str">
        <f>IFERROR(__xludf.DUMMYFUNCTION("""COMPUTED_VALUE"""),"KALIMANTAN BARAT")</f>
        <v>KALIMANTAN BARAT</v>
      </c>
      <c r="R1536" s="19" t="str">
        <f>IFERROR(__xludf.DUMMYFUNCTION("""COMPUTED_VALUE"""),"ISLAM")</f>
        <v>ISLAM</v>
      </c>
      <c r="S1536" s="16" t="str">
        <f>IFERROR(__xludf.DUMMYFUNCTION("""COMPUTED_VALUE"""),"SWASTA")</f>
        <v>SWASTA</v>
      </c>
      <c r="T1536" s="16" t="str">
        <f>IFERROR(__xludf.DUMMYFUNCTION("""COMPUTED_VALUE"""),"Sakit di, untuk ditekuk sakit")</f>
        <v>Sakit di, untuk ditekuk sakit</v>
      </c>
      <c r="U1536" s="16" t="str">
        <f>IFERROR(__xludf.DUMMYFUNCTION("""COMPUTED_VALUE"""),"Olahraga")</f>
        <v>Olahraga</v>
      </c>
      <c r="V1536" s="11" t="str">
        <f>IFERROR(__xludf.DUMMYFUNCTION("""COMPUTED_VALUE"""),"081345228597")</f>
        <v>081345228597</v>
      </c>
      <c r="W1536" s="15"/>
    </row>
    <row r="1537" ht="22.5" customHeight="1">
      <c r="A1537" s="8"/>
      <c r="B1537" s="9">
        <f>IFERROR(__xludf.DUMMYFUNCTION("""COMPUTED_VALUE"""),45489.61408924768)</f>
        <v>45489.61409</v>
      </c>
      <c r="C1537" s="9"/>
      <c r="D1537" s="34">
        <f>IFERROR(__xludf.DUMMYFUNCTION("""COMPUTED_VALUE"""),45500.0)</f>
        <v>45500</v>
      </c>
      <c r="E1537" s="34" t="str">
        <f>IFERROR(__xludf.DUMMYFUNCTION("""COMPUTED_VALUE"""),"07Jul")</f>
        <v>07Jul</v>
      </c>
      <c r="F1537" s="34" t="str">
        <f>IFERROR(__xludf.DUMMYFUNCTION("""COMPUTED_VALUE"""),"2024")</f>
        <v>2024</v>
      </c>
      <c r="G1537" s="35" t="str">
        <f>IFERROR(__xludf.DUMMYFUNCTION("""COMPUTED_VALUE"""),"NURBAYA")</f>
        <v>NURBAYA</v>
      </c>
      <c r="H1537" s="17" t="str">
        <f>IFERROR(__xludf.DUMMYFUNCTION("""COMPUTED_VALUE"""),"N5124077864")</f>
        <v>N5124077864</v>
      </c>
      <c r="I1537" s="17">
        <f>IFERROR(__xludf.DUMMYFUNCTION("""COMPUTED_VALUE"""),75.0)</f>
        <v>75</v>
      </c>
      <c r="J1537" s="17" t="str">
        <f>IFERROR(__xludf.DUMMYFUNCTION("""COMPUTED_VALUE"""),"&gt; 44 tahun")</f>
        <v>&gt; 44 tahun</v>
      </c>
      <c r="K1537" s="19">
        <f>IFERROR(__xludf.DUMMYFUNCTION("""COMPUTED_VALUE"""),18752.0)</f>
        <v>18752</v>
      </c>
      <c r="L1537" s="19" t="str">
        <f>IFERROR(__xludf.DUMMYFUNCTION("""COMPUTED_VALUE"""),"PEREMPUAN")</f>
        <v>PEREMPUAN</v>
      </c>
      <c r="M1537" s="35" t="str">
        <f>IFERROR(__xludf.DUMMYFUNCTION("""COMPUTED_VALUE"""),"DUSUN BENTARAT")</f>
        <v>DUSUN BENTARAT</v>
      </c>
      <c r="N1537" s="16" t="str">
        <f>IFERROR(__xludf.DUMMYFUNCTION("""COMPUTED_VALUE"""),"DS. LOMBA KARYA")</f>
        <v>DS. LOMBA KARYA</v>
      </c>
      <c r="O1537" s="16" t="str">
        <f>IFERROR(__xludf.DUMMYFUNCTION("""COMPUTED_VALUE"""),"KEC. LEDO")</f>
        <v>KEC. LEDO</v>
      </c>
      <c r="P1537" s="16" t="str">
        <f>IFERROR(__xludf.DUMMYFUNCTION("""COMPUTED_VALUE"""),"KAB. BENGKAYANG")</f>
        <v>KAB. BENGKAYANG</v>
      </c>
      <c r="Q1537" s="16" t="str">
        <f>IFERROR(__xludf.DUMMYFUNCTION("""COMPUTED_VALUE"""),"KALIMANTAN BARAT")</f>
        <v>KALIMANTAN BARAT</v>
      </c>
      <c r="R1537" s="19" t="str">
        <f>IFERROR(__xludf.DUMMYFUNCTION("""COMPUTED_VALUE"""),"ISLAM")</f>
        <v>ISLAM</v>
      </c>
      <c r="S1537" s="16" t="str">
        <f>IFERROR(__xludf.DUMMYFUNCTION("""COMPUTED_VALUE"""),"RUMAH TANGGA")</f>
        <v>RUMAH TANGGA</v>
      </c>
      <c r="T1537" s="16" t="str">
        <f>IFERROR(__xludf.DUMMYFUNCTION("""COMPUTED_VALUE"""),"Struk Ringan Bagian Badan Sebelah Kanan")</f>
        <v>Struk Ringan Bagian Badan Sebelah Kanan</v>
      </c>
      <c r="U1537" s="16" t="str">
        <f>IFERROR(__xludf.DUMMYFUNCTION("""COMPUTED_VALUE"""),"Mengurus Rumah Tangga")</f>
        <v>Mengurus Rumah Tangga</v>
      </c>
      <c r="V1537" s="11" t="str">
        <f>IFERROR(__xludf.DUMMYFUNCTION("""COMPUTED_VALUE"""),"082158247864")</f>
        <v>082158247864</v>
      </c>
      <c r="W1537" s="15"/>
    </row>
    <row r="1538" ht="22.5" customHeight="1">
      <c r="A1538" s="8"/>
      <c r="B1538" s="9">
        <f>IFERROR(__xludf.DUMMYFUNCTION("""COMPUTED_VALUE"""),45488.87212043982)</f>
        <v>45488.87212</v>
      </c>
      <c r="C1538" s="9"/>
      <c r="D1538" s="34">
        <f>IFERROR(__xludf.DUMMYFUNCTION("""COMPUTED_VALUE"""),45500.0)</f>
        <v>45500</v>
      </c>
      <c r="E1538" s="34" t="str">
        <f>IFERROR(__xludf.DUMMYFUNCTION("""COMPUTED_VALUE"""),"07Jul")</f>
        <v>07Jul</v>
      </c>
      <c r="F1538" s="34" t="str">
        <f>IFERROR(__xludf.DUMMYFUNCTION("""COMPUTED_VALUE"""),"2024")</f>
        <v>2024</v>
      </c>
      <c r="G1538" s="35" t="str">
        <f>IFERROR(__xludf.DUMMYFUNCTION("""COMPUTED_VALUE"""),"BINTANG NUGROHO")</f>
        <v>BINTANG NUGROHO</v>
      </c>
      <c r="H1538" s="17" t="str">
        <f>IFERROR(__xludf.DUMMYFUNCTION("""COMPUTED_VALUE"""),"B0824070067")</f>
        <v>B0824070067</v>
      </c>
      <c r="I1538" s="17">
        <f>IFERROR(__xludf.DUMMYFUNCTION("""COMPUTED_VALUE"""),17.0)</f>
        <v>17</v>
      </c>
      <c r="J1538" s="17" t="str">
        <f>IFERROR(__xludf.DUMMYFUNCTION("""COMPUTED_VALUE"""),"&lt; 18 tahun")</f>
        <v>&lt; 18 tahun</v>
      </c>
      <c r="K1538" s="19">
        <f>IFERROR(__xludf.DUMMYFUNCTION("""COMPUTED_VALUE"""),39613.0)</f>
        <v>39613</v>
      </c>
      <c r="L1538" s="19" t="str">
        <f>IFERROR(__xludf.DUMMYFUNCTION("""COMPUTED_VALUE"""),"LAKI-LAKI")</f>
        <v>LAKI-LAKI</v>
      </c>
      <c r="M1538" s="35" t="str">
        <f>IFERROR(__xludf.DUMMYFUNCTION("""COMPUTED_VALUE"""),"PERUMAHAN NUSA INDAH, SUNGAI RAYA DALAM")</f>
        <v>PERUMAHAN NUSA INDAH, SUNGAI RAYA DALAM</v>
      </c>
      <c r="N1538" s="35" t="str">
        <f>IFERROR(__xludf.DUMMYFUNCTION("""COMPUTED_VALUE"""),"KEL. SUNGAI RAYA")</f>
        <v>KEL. SUNGAI RAYA</v>
      </c>
      <c r="O1538" s="35" t="str">
        <f>IFERROR(__xludf.DUMMYFUNCTION("""COMPUTED_VALUE"""),"KEC. SUNGAI RAYA")</f>
        <v>KEC. SUNGAI RAYA</v>
      </c>
      <c r="P1538" s="16" t="str">
        <f>IFERROR(__xludf.DUMMYFUNCTION("""COMPUTED_VALUE"""),"KAB. KUBU RAYA")</f>
        <v>KAB. KUBU RAYA</v>
      </c>
      <c r="Q1538" s="16" t="str">
        <f>IFERROR(__xludf.DUMMYFUNCTION("""COMPUTED_VALUE"""),"KALIMANTAN BARAT")</f>
        <v>KALIMANTAN BARAT</v>
      </c>
      <c r="R1538" s="19" t="str">
        <f>IFERROR(__xludf.DUMMYFUNCTION("""COMPUTED_VALUE"""),"KATOLIK")</f>
        <v>KATOLIK</v>
      </c>
      <c r="S1538" s="35" t="str">
        <f>IFERROR(__xludf.DUMMYFUNCTION("""COMPUTED_VALUE"""),"PELAJAR/MAHASISWA")</f>
        <v>PELAJAR/MAHASISWA</v>
      </c>
      <c r="T1538" s="16" t="str">
        <f>IFERROR(__xludf.DUMMYFUNCTION("""COMPUTED_VALUE"""),"kanan susah nekuk dan nyeri karena terbentur jatuh dari motor")</f>
        <v>kanan susah nekuk dan nyeri karena terbentur jatuh dari motor</v>
      </c>
      <c r="U1538" s="16" t="str">
        <f>IFERROR(__xludf.DUMMYFUNCTION("""COMPUTED_VALUE"""),"Main futsal")</f>
        <v>Main futsal</v>
      </c>
      <c r="V1538" s="11" t="str">
        <f>IFERROR(__xludf.DUMMYFUNCTION("""COMPUTED_VALUE"""),"081256620067")</f>
        <v>081256620067</v>
      </c>
      <c r="W1538" s="15"/>
    </row>
    <row r="1539" ht="22.5" customHeight="1">
      <c r="A1539" s="8"/>
      <c r="B1539" s="9">
        <f>IFERROR(__xludf.DUMMYFUNCTION("""COMPUTED_VALUE"""),45489.82667299769)</f>
        <v>45489.82667</v>
      </c>
      <c r="C1539" s="9"/>
      <c r="D1539" s="34">
        <f>IFERROR(__xludf.DUMMYFUNCTION("""COMPUTED_VALUE"""),45500.0)</f>
        <v>45500</v>
      </c>
      <c r="E1539" s="34" t="str">
        <f>IFERROR(__xludf.DUMMYFUNCTION("""COMPUTED_VALUE"""),"07Jul")</f>
        <v>07Jul</v>
      </c>
      <c r="F1539" s="34" t="str">
        <f>IFERROR(__xludf.DUMMYFUNCTION("""COMPUTED_VALUE"""),"2024")</f>
        <v>2024</v>
      </c>
      <c r="G1539" s="35" t="str">
        <f>IFERROR(__xludf.DUMMYFUNCTION("""COMPUTED_VALUE"""),"MARLON BERNARD NATHANAEL")</f>
        <v>MARLON BERNARD NATHANAEL</v>
      </c>
      <c r="H1539" s="17" t="str">
        <f>IFERROR(__xludf.DUMMYFUNCTION("""COMPUTED_VALUE"""),"M9524072381")</f>
        <v>M9524072381</v>
      </c>
      <c r="I1539" s="17">
        <f>IFERROR(__xludf.DUMMYFUNCTION("""COMPUTED_VALUE"""),31.0)</f>
        <v>31</v>
      </c>
      <c r="J1539" s="17" t="str">
        <f>IFERROR(__xludf.DUMMYFUNCTION("""COMPUTED_VALUE"""),"25-34 tahun")</f>
        <v>25-34 tahun</v>
      </c>
      <c r="K1539" s="19">
        <f>IFERROR(__xludf.DUMMYFUNCTION("""COMPUTED_VALUE"""),34867.0)</f>
        <v>34867</v>
      </c>
      <c r="L1539" s="19" t="str">
        <f>IFERROR(__xludf.DUMMYFUNCTION("""COMPUTED_VALUE"""),"LAKI-LAKI")</f>
        <v>LAKI-LAKI</v>
      </c>
      <c r="M1539" s="35" t="str">
        <f>IFERROR(__xludf.DUMMYFUNCTION("""COMPUTED_VALUE"""),"KAV. DKI BLOK 142/12")</f>
        <v>KAV. DKI BLOK 142/12</v>
      </c>
      <c r="N1539" s="16" t="str">
        <f>IFERROR(__xludf.DUMMYFUNCTION("""COMPUTED_VALUE"""),"KEL. MERUYA SELATAN")</f>
        <v>KEL. MERUYA SELATAN</v>
      </c>
      <c r="O1539" s="16" t="str">
        <f>IFERROR(__xludf.DUMMYFUNCTION("""COMPUTED_VALUE"""),"KEC. KEMBANGAN")</f>
        <v>KEC. KEMBANGAN</v>
      </c>
      <c r="P1539" s="16" t="str">
        <f>IFERROR(__xludf.DUMMYFUNCTION("""COMPUTED_VALUE"""),"KOTA JAKARTA BARAT")</f>
        <v>KOTA JAKARTA BARAT</v>
      </c>
      <c r="Q1539" s="16" t="str">
        <f>IFERROR(__xludf.DUMMYFUNCTION("""COMPUTED_VALUE"""),"DKI JAKARTA")</f>
        <v>DKI JAKARTA</v>
      </c>
      <c r="R1539" s="19" t="str">
        <f>IFERROR(__xludf.DUMMYFUNCTION("""COMPUTED_VALUE"""),"PROTESTAN")</f>
        <v>PROTESTAN</v>
      </c>
      <c r="S1539" s="16" t="str">
        <f>IFERROR(__xludf.DUMMYFUNCTION("""COMPUTED_VALUE"""),"ASN")</f>
        <v>ASN</v>
      </c>
      <c r="T1539" s="16" t="str">
        <f>IFERROR(__xludf.DUMMYFUNCTION("""COMPUTED_VALUE"""),"NYERI BAHU KIRI")</f>
        <v>NYERI BAHU KIRI</v>
      </c>
      <c r="U1539" s="16" t="str">
        <f>IFERROR(__xludf.DUMMYFUNCTION("""COMPUTED_VALUE"""),"BEKERJA, BERMAIN MOBILE GAME")</f>
        <v>BEKERJA, BERMAIN MOBILE GAME</v>
      </c>
      <c r="V1539" s="11" t="str">
        <f>IFERROR(__xludf.DUMMYFUNCTION("""COMPUTED_VALUE"""),"082113612381")</f>
        <v>082113612381</v>
      </c>
      <c r="W1539" s="15"/>
    </row>
    <row r="1540" ht="22.5" customHeight="1">
      <c r="A1540" s="8"/>
      <c r="B1540" s="9">
        <f>IFERROR(__xludf.DUMMYFUNCTION("""COMPUTED_VALUE"""),45490.38763084491)</f>
        <v>45490.38763</v>
      </c>
      <c r="C1540" s="9"/>
      <c r="D1540" s="34">
        <f>IFERROR(__xludf.DUMMYFUNCTION("""COMPUTED_VALUE"""),45500.0)</f>
        <v>45500</v>
      </c>
      <c r="E1540" s="34" t="str">
        <f>IFERROR(__xludf.DUMMYFUNCTION("""COMPUTED_VALUE"""),"07Jul")</f>
        <v>07Jul</v>
      </c>
      <c r="F1540" s="34" t="str">
        <f>IFERROR(__xludf.DUMMYFUNCTION("""COMPUTED_VALUE"""),"2024")</f>
        <v>2024</v>
      </c>
      <c r="G1540" s="35" t="str">
        <f>IFERROR(__xludf.DUMMYFUNCTION("""COMPUTED_VALUE"""),"MOCH TOPAN")</f>
        <v>MOCH TOPAN</v>
      </c>
      <c r="H1540" s="17" t="str">
        <f>IFERROR(__xludf.DUMMYFUNCTION("""COMPUTED_VALUE"""),"M6824079692")</f>
        <v>M6824079692</v>
      </c>
      <c r="I1540" s="17">
        <f>IFERROR(__xludf.DUMMYFUNCTION("""COMPUTED_VALUE"""),57.0)</f>
        <v>57</v>
      </c>
      <c r="J1540" s="17" t="str">
        <f>IFERROR(__xludf.DUMMYFUNCTION("""COMPUTED_VALUE"""),"&gt; 44 tahun")</f>
        <v>&gt; 44 tahun</v>
      </c>
      <c r="K1540" s="19">
        <f>IFERROR(__xludf.DUMMYFUNCTION("""COMPUTED_VALUE"""),25013.0)</f>
        <v>25013</v>
      </c>
      <c r="L1540" s="19" t="str">
        <f>IFERROR(__xludf.DUMMYFUNCTION("""COMPUTED_VALUE"""),"LAKI-LAKI")</f>
        <v>LAKI-LAKI</v>
      </c>
      <c r="M1540" s="35" t="str">
        <f>IFERROR(__xludf.DUMMYFUNCTION("""COMPUTED_VALUE"""),"KOMPLEK TANJUNG INDAH NO B .19")</f>
        <v>KOMPLEK TANJUNG INDAH NO B .19</v>
      </c>
      <c r="N1540" s="16" t="str">
        <f>IFERROR(__xludf.DUMMYFUNCTION("""COMPUTED_VALUE"""),"KEL. BANJAR SERASAN")</f>
        <v>KEL. BANJAR SERASAN</v>
      </c>
      <c r="O1540" s="16" t="str">
        <f>IFERROR(__xludf.DUMMYFUNCTION("""COMPUTED_VALUE"""),"KEC. PONTIANAK TIMUR")</f>
        <v>KEC. PONTIANAK TIMUR</v>
      </c>
      <c r="P1540" s="16" t="str">
        <f>IFERROR(__xludf.DUMMYFUNCTION("""COMPUTED_VALUE"""),"KOTA PONTIANAK")</f>
        <v>KOTA PONTIANAK</v>
      </c>
      <c r="Q1540" s="16" t="str">
        <f>IFERROR(__xludf.DUMMYFUNCTION("""COMPUTED_VALUE"""),"KALIMANTAN BARAT")</f>
        <v>KALIMANTAN BARAT</v>
      </c>
      <c r="R1540" s="19" t="str">
        <f>IFERROR(__xludf.DUMMYFUNCTION("""COMPUTED_VALUE"""),"ISLAM")</f>
        <v>ISLAM</v>
      </c>
      <c r="S1540" s="35" t="str">
        <f>IFERROR(__xludf.DUMMYFUNCTION("""COMPUTED_VALUE"""),"PENSIUN")</f>
        <v>PENSIUN</v>
      </c>
      <c r="T1540" s="16" t="str">
        <f>IFERROR(__xludf.DUMMYFUNCTION("""COMPUTED_VALUE"""),"Sakit Pinggang")</f>
        <v>Sakit Pinggang</v>
      </c>
      <c r="U1540" s="16" t="str">
        <f>IFERROR(__xludf.DUMMYFUNCTION("""COMPUTED_VALUE"""),"Aktifitas ringan dirumah")</f>
        <v>Aktifitas ringan dirumah</v>
      </c>
      <c r="V1540" s="11" t="str">
        <f>IFERROR(__xludf.DUMMYFUNCTION("""COMPUTED_VALUE"""),"08961699692")</f>
        <v>08961699692</v>
      </c>
      <c r="W1540" s="15"/>
    </row>
    <row r="1541" ht="22.5" customHeight="1">
      <c r="A1541" s="8"/>
      <c r="B1541" s="9">
        <f>IFERROR(__xludf.DUMMYFUNCTION("""COMPUTED_VALUE"""),45490.63032119213)</f>
        <v>45490.63032</v>
      </c>
      <c r="C1541" s="9"/>
      <c r="D1541" s="34">
        <f>IFERROR(__xludf.DUMMYFUNCTION("""COMPUTED_VALUE"""),45500.0)</f>
        <v>45500</v>
      </c>
      <c r="E1541" s="34" t="str">
        <f>IFERROR(__xludf.DUMMYFUNCTION("""COMPUTED_VALUE"""),"07Jul")</f>
        <v>07Jul</v>
      </c>
      <c r="F1541" s="34" t="str">
        <f>IFERROR(__xludf.DUMMYFUNCTION("""COMPUTED_VALUE"""),"2024")</f>
        <v>2024</v>
      </c>
      <c r="G1541" s="35" t="str">
        <f>IFERROR(__xludf.DUMMYFUNCTION("""COMPUTED_VALUE"""),"CORISINEA")</f>
        <v>CORISINEA</v>
      </c>
      <c r="H1541" s="17" t="str">
        <f>IFERROR(__xludf.DUMMYFUNCTION("""COMPUTED_VALUE"""),"C9724073403")</f>
        <v>C9724073403</v>
      </c>
      <c r="I1541" s="17">
        <f>IFERROR(__xludf.DUMMYFUNCTION("""COMPUTED_VALUE"""),28.0)</f>
        <v>28</v>
      </c>
      <c r="J1541" s="17" t="str">
        <f>IFERROR(__xludf.DUMMYFUNCTION("""COMPUTED_VALUE"""),"25-34 tahun")</f>
        <v>25-34 tahun</v>
      </c>
      <c r="K1541" s="19">
        <f>IFERROR(__xludf.DUMMYFUNCTION("""COMPUTED_VALUE"""),35775.0)</f>
        <v>35775</v>
      </c>
      <c r="L1541" s="19" t="str">
        <f>IFERROR(__xludf.DUMMYFUNCTION("""COMPUTED_VALUE"""),"PEREMPUAN")</f>
        <v>PEREMPUAN</v>
      </c>
      <c r="M1541" s="35" t="str">
        <f>IFERROR(__xludf.DUMMYFUNCTION("""COMPUTED_VALUE"""),"JL. P JAYAKARTA 73/6")</f>
        <v>JL. P JAYAKARTA 73/6</v>
      </c>
      <c r="N1541" s="16" t="str">
        <f>IFERROR(__xludf.DUMMYFUNCTION("""COMPUTED_VALUE"""),"KEL. MANGGA DUA SELATAN")</f>
        <v>KEL. MANGGA DUA SELATAN</v>
      </c>
      <c r="O1541" s="16" t="str">
        <f>IFERROR(__xludf.DUMMYFUNCTION("""COMPUTED_VALUE"""),"KEC. SAWAH BESAR")</f>
        <v>KEC. SAWAH BESAR</v>
      </c>
      <c r="P1541" s="16" t="str">
        <f>IFERROR(__xludf.DUMMYFUNCTION("""COMPUTED_VALUE"""),"KOTA JAKARTA PUSAT")</f>
        <v>KOTA JAKARTA PUSAT</v>
      </c>
      <c r="Q1541" s="16" t="str">
        <f>IFERROR(__xludf.DUMMYFUNCTION("""COMPUTED_VALUE"""),"DKI JAKARTA")</f>
        <v>DKI JAKARTA</v>
      </c>
      <c r="R1541" s="19" t="str">
        <f>IFERROR(__xludf.DUMMYFUNCTION("""COMPUTED_VALUE"""),"PROTESTAN")</f>
        <v>PROTESTAN</v>
      </c>
      <c r="S1541" s="35" t="str">
        <f>IFERROR(__xludf.DUMMYFUNCTION("""COMPUTED_VALUE"""),"RUMAH TANGGA")</f>
        <v>RUMAH TANGGA</v>
      </c>
      <c r="T1541" s="16" t="str">
        <f>IFERROR(__xludf.DUMMYFUNCTION("""COMPUTED_VALUE"""),"SAKIT PINGGANG")</f>
        <v>SAKIT PINGGANG</v>
      </c>
      <c r="U1541" s="16" t="str">
        <f>IFERROR(__xludf.DUMMYFUNCTION("""COMPUTED_VALUE"""),"GYM")</f>
        <v>GYM</v>
      </c>
      <c r="V1541" s="11" t="str">
        <f>IFERROR(__xludf.DUMMYFUNCTION("""COMPUTED_VALUE"""),"085346533403")</f>
        <v>085346533403</v>
      </c>
      <c r="W1541" s="15"/>
    </row>
    <row r="1542" ht="22.5" customHeight="1">
      <c r="A1542" s="8"/>
      <c r="B1542" s="9">
        <f>IFERROR(__xludf.DUMMYFUNCTION("""COMPUTED_VALUE"""),45490.67738228009)</f>
        <v>45490.67738</v>
      </c>
      <c r="C1542" s="9"/>
      <c r="D1542" s="34">
        <f>IFERROR(__xludf.DUMMYFUNCTION("""COMPUTED_VALUE"""),45500.0)</f>
        <v>45500</v>
      </c>
      <c r="E1542" s="34" t="str">
        <f>IFERROR(__xludf.DUMMYFUNCTION("""COMPUTED_VALUE"""),"07Jul")</f>
        <v>07Jul</v>
      </c>
      <c r="F1542" s="34" t="str">
        <f>IFERROR(__xludf.DUMMYFUNCTION("""COMPUTED_VALUE"""),"2024")</f>
        <v>2024</v>
      </c>
      <c r="G1542" s="35" t="str">
        <f>IFERROR(__xludf.DUMMYFUNCTION("""COMPUTED_VALUE"""),"MERCIA CHARISTA")</f>
        <v>MERCIA CHARISTA</v>
      </c>
      <c r="H1542" s="17" t="str">
        <f>IFERROR(__xludf.DUMMYFUNCTION("""COMPUTED_VALUE"""),"M0924073800")</f>
        <v>M0924073800</v>
      </c>
      <c r="I1542" s="17">
        <f>IFERROR(__xludf.DUMMYFUNCTION("""COMPUTED_VALUE"""),17.0)</f>
        <v>17</v>
      </c>
      <c r="J1542" s="17" t="str">
        <f>IFERROR(__xludf.DUMMYFUNCTION("""COMPUTED_VALUE"""),"&lt; 18 tahun")</f>
        <v>&lt; 18 tahun</v>
      </c>
      <c r="K1542" s="19">
        <f>IFERROR(__xludf.DUMMYFUNCTION("""COMPUTED_VALUE"""),39814.0)</f>
        <v>39814</v>
      </c>
      <c r="L1542" s="19" t="str">
        <f>IFERROR(__xludf.DUMMYFUNCTION("""COMPUTED_VALUE"""),"PEREMPUAN")</f>
        <v>PEREMPUAN</v>
      </c>
      <c r="M1542" s="35" t="str">
        <f>IFERROR(__xludf.DUMMYFUNCTION("""COMPUTED_VALUE"""),"JALAN KARYA KOMPLEK KARYA INDAH 1RUKO NO 4")</f>
        <v>JALAN KARYA KOMPLEK KARYA INDAH 1RUKO NO 4</v>
      </c>
      <c r="N1542" s="16" t="str">
        <f>IFERROR(__xludf.DUMMYFUNCTION("""COMPUTED_VALUE"""),"KEL. PAL IX")</f>
        <v>KEL. PAL IX</v>
      </c>
      <c r="O1542" s="16" t="str">
        <f>IFERROR(__xludf.DUMMYFUNCTION("""COMPUTED_VALUE"""),"KEC. SUNGAI KAKAP")</f>
        <v>KEC. SUNGAI KAKAP</v>
      </c>
      <c r="P1542" s="16" t="str">
        <f>IFERROR(__xludf.DUMMYFUNCTION("""COMPUTED_VALUE"""),"KOTA PONTIANAK")</f>
        <v>KOTA PONTIANAK</v>
      </c>
      <c r="Q1542" s="16" t="str">
        <f>IFERROR(__xludf.DUMMYFUNCTION("""COMPUTED_VALUE"""),"KALIMANTAN BARAT")</f>
        <v>KALIMANTAN BARAT</v>
      </c>
      <c r="R1542" s="19" t="str">
        <f>IFERROR(__xludf.DUMMYFUNCTION("""COMPUTED_VALUE"""),"PROTESTAN")</f>
        <v>PROTESTAN</v>
      </c>
      <c r="S1542" s="35" t="str">
        <f>IFERROR(__xludf.DUMMYFUNCTION("""COMPUTED_VALUE"""),"PELAJAR/MAHASISWA")</f>
        <v>PELAJAR/MAHASISWA</v>
      </c>
      <c r="T1542" s="16" t="str">
        <f>IFERROR(__xludf.DUMMYFUNCTION("""COMPUTED_VALUE"""),"Patah tulang siku tangan kiri")</f>
        <v>Patah tulang siku tangan kiri</v>
      </c>
      <c r="U1542" s="16" t="str">
        <f>IFERROR(__xludf.DUMMYFUNCTION("""COMPUTED_VALUE"""),"Belajar")</f>
        <v>Belajar</v>
      </c>
      <c r="V1542" s="11" t="str">
        <f>IFERROR(__xludf.DUMMYFUNCTION("""COMPUTED_VALUE"""),"082353013800")</f>
        <v>082353013800</v>
      </c>
      <c r="W1542" s="15"/>
    </row>
    <row r="1543" ht="22.5" customHeight="1">
      <c r="A1543" s="8"/>
      <c r="B1543" s="9">
        <f>IFERROR(__xludf.DUMMYFUNCTION("""COMPUTED_VALUE"""),45490.692288148144)</f>
        <v>45490.69229</v>
      </c>
      <c r="C1543" s="9"/>
      <c r="D1543" s="34">
        <f>IFERROR(__xludf.DUMMYFUNCTION("""COMPUTED_VALUE"""),45501.0)</f>
        <v>45501</v>
      </c>
      <c r="E1543" s="34" t="str">
        <f>IFERROR(__xludf.DUMMYFUNCTION("""COMPUTED_VALUE"""),"07Jul")</f>
        <v>07Jul</v>
      </c>
      <c r="F1543" s="34" t="str">
        <f>IFERROR(__xludf.DUMMYFUNCTION("""COMPUTED_VALUE"""),"2024")</f>
        <v>2024</v>
      </c>
      <c r="G1543" s="35" t="str">
        <f>IFERROR(__xludf.DUMMYFUNCTION("""COMPUTED_VALUE"""),"NADYA MUTMAINAH")</f>
        <v>NADYA MUTMAINAH</v>
      </c>
      <c r="H1543" s="17" t="str">
        <f>IFERROR(__xludf.DUMMYFUNCTION("""COMPUTED_VALUE"""),"N8524074321")</f>
        <v>N8524074321</v>
      </c>
      <c r="I1543" s="17">
        <f>IFERROR(__xludf.DUMMYFUNCTION("""COMPUTED_VALUE"""),40.0)</f>
        <v>40</v>
      </c>
      <c r="J1543" s="17" t="str">
        <f>IFERROR(__xludf.DUMMYFUNCTION("""COMPUTED_VALUE"""),"35-44 tahun")</f>
        <v>35-44 tahun</v>
      </c>
      <c r="K1543" s="19">
        <f>IFERROR(__xludf.DUMMYFUNCTION("""COMPUTED_VALUE"""),31280.0)</f>
        <v>31280</v>
      </c>
      <c r="L1543" s="19" t="str">
        <f>IFERROR(__xludf.DUMMYFUNCTION("""COMPUTED_VALUE"""),"PEREMPUAN")</f>
        <v>PEREMPUAN</v>
      </c>
      <c r="M1543" s="35" t="str">
        <f>IFERROR(__xludf.DUMMYFUNCTION("""COMPUTED_VALUE"""),"GG SWAKARYA 2")</f>
        <v>GG SWAKARYA 2</v>
      </c>
      <c r="N1543" s="16" t="str">
        <f>IFERROR(__xludf.DUMMYFUNCTION("""COMPUTED_VALUE"""),"KEL. KOTA BARU")</f>
        <v>KEL. KOTA BARU</v>
      </c>
      <c r="O1543" s="16" t="str">
        <f>IFERROR(__xludf.DUMMYFUNCTION("""COMPUTED_VALUE"""),"KEC. PONTIANAK SELATAN")</f>
        <v>KEC. PONTIANAK SELATAN</v>
      </c>
      <c r="P1543" s="16" t="str">
        <f>IFERROR(__xludf.DUMMYFUNCTION("""COMPUTED_VALUE"""),"KOTA PONTIANAK")</f>
        <v>KOTA PONTIANAK</v>
      </c>
      <c r="Q1543" s="16" t="str">
        <f>IFERROR(__xludf.DUMMYFUNCTION("""COMPUTED_VALUE"""),"KALIMANTAN BARAT")</f>
        <v>KALIMANTAN BARAT</v>
      </c>
      <c r="R1543" s="19" t="str">
        <f>IFERROR(__xludf.DUMMYFUNCTION("""COMPUTED_VALUE"""),"ISLAM")</f>
        <v>ISLAM</v>
      </c>
      <c r="S1543" s="16" t="str">
        <f>IFERROR(__xludf.DUMMYFUNCTION("""COMPUTED_VALUE"""),"WIRASWASTA")</f>
        <v>WIRASWASTA</v>
      </c>
      <c r="T1543" s="16" t="str">
        <f>IFERROR(__xludf.DUMMYFUNCTION("""COMPUTED_VALUE"""),"Sakit pd pinggang")</f>
        <v>Sakit pd pinggang</v>
      </c>
      <c r="U1543" s="16" t="str">
        <f>IFERROR(__xludf.DUMMYFUNCTION("""COMPUTED_VALUE"""),"Jln pagi")</f>
        <v>Jln pagi</v>
      </c>
      <c r="V1543" s="11" t="str">
        <f>IFERROR(__xludf.DUMMYFUNCTION("""COMPUTED_VALUE"""),"085820084321")</f>
        <v>085820084321</v>
      </c>
      <c r="W1543" s="15"/>
    </row>
    <row r="1544" ht="22.5" customHeight="1">
      <c r="A1544" s="8"/>
      <c r="B1544" s="9">
        <f>IFERROR(__xludf.DUMMYFUNCTION("""COMPUTED_VALUE"""),45491.59751146991)</f>
        <v>45491.59751</v>
      </c>
      <c r="C1544" s="9"/>
      <c r="D1544" s="34">
        <f>IFERROR(__xludf.DUMMYFUNCTION("""COMPUTED_VALUE"""),45501.0)</f>
        <v>45501</v>
      </c>
      <c r="E1544" s="34" t="str">
        <f>IFERROR(__xludf.DUMMYFUNCTION("""COMPUTED_VALUE"""),"07Jul")</f>
        <v>07Jul</v>
      </c>
      <c r="F1544" s="34" t="str">
        <f>IFERROR(__xludf.DUMMYFUNCTION("""COMPUTED_VALUE"""),"2024")</f>
        <v>2024</v>
      </c>
      <c r="G1544" s="35" t="str">
        <f>IFERROR(__xludf.DUMMYFUNCTION("""COMPUTED_VALUE"""),"MUHAMMAD KHADAFI BOFA")</f>
        <v>MUHAMMAD KHADAFI BOFA</v>
      </c>
      <c r="H1544" s="17" t="str">
        <f>IFERROR(__xludf.DUMMYFUNCTION("""COMPUTED_VALUE"""),"M0924078200")</f>
        <v>M0924078200</v>
      </c>
      <c r="I1544" s="17">
        <f>IFERROR(__xludf.DUMMYFUNCTION("""COMPUTED_VALUE"""),17.0)</f>
        <v>17</v>
      </c>
      <c r="J1544" s="17" t="str">
        <f>IFERROR(__xludf.DUMMYFUNCTION("""COMPUTED_VALUE"""),"&lt; 18 tahun")</f>
        <v>&lt; 18 tahun</v>
      </c>
      <c r="K1544" s="19">
        <f>IFERROR(__xludf.DUMMYFUNCTION("""COMPUTED_VALUE"""),39823.0)</f>
        <v>39823</v>
      </c>
      <c r="L1544" s="19" t="str">
        <f>IFERROR(__xludf.DUMMYFUNCTION("""COMPUTED_VALUE"""),"LAKI-LAKI")</f>
        <v>LAKI-LAKI</v>
      </c>
      <c r="M1544" s="35" t="str">
        <f>IFERROR(__xludf.DUMMYFUNCTION("""COMPUTED_VALUE"""),"JALAN KEBANGKITAN NASIONAL GG MAWAR JALUR 1 NO.105")</f>
        <v>JALAN KEBANGKITAN NASIONAL GG MAWAR JALUR 1 NO.105</v>
      </c>
      <c r="N1544" s="16" t="str">
        <f>IFERROR(__xludf.DUMMYFUNCTION("""COMPUTED_VALUE"""),"KEL. BATULAYANG")</f>
        <v>KEL. BATULAYANG</v>
      </c>
      <c r="O1544" s="16" t="str">
        <f>IFERROR(__xludf.DUMMYFUNCTION("""COMPUTED_VALUE"""),"KEC. PONTIANAK UTARA")</f>
        <v>KEC. PONTIANAK UTARA</v>
      </c>
      <c r="P1544" s="16" t="str">
        <f>IFERROR(__xludf.DUMMYFUNCTION("""COMPUTED_VALUE"""),"KOTA PONTIANAK")</f>
        <v>KOTA PONTIANAK</v>
      </c>
      <c r="Q1544" s="16" t="str">
        <f>IFERROR(__xludf.DUMMYFUNCTION("""COMPUTED_VALUE"""),"KALIMANTAN BARAT")</f>
        <v>KALIMANTAN BARAT</v>
      </c>
      <c r="R1544" s="19" t="str">
        <f>IFERROR(__xludf.DUMMYFUNCTION("""COMPUTED_VALUE"""),"ISLAM")</f>
        <v>ISLAM</v>
      </c>
      <c r="S1544" s="16" t="str">
        <f>IFERROR(__xludf.DUMMYFUNCTION("""COMPUTED_VALUE"""),"PELAJAR/MAHASISWA")</f>
        <v>PELAJAR/MAHASISWA</v>
      </c>
      <c r="T1544" s="16" t="str">
        <f>IFERROR(__xludf.DUMMYFUNCTION("""COMPUTED_VALUE"""),"NYERI DIBAGIAN BELAKANG PAHA DAN NYERI DIBAGIAN SAMPING KANAN")</f>
        <v>NYERI DIBAGIAN BELAKANG PAHA DAN NYERI DIBAGIAN SAMPING KANAN</v>
      </c>
      <c r="U1544" s="16" t="str">
        <f>IFERROR(__xludf.DUMMYFUNCTION("""COMPUTED_VALUE"""),"SEPAK BOLA")</f>
        <v>SEPAK BOLA</v>
      </c>
      <c r="V1544" s="11" t="str">
        <f>IFERROR(__xludf.DUMMYFUNCTION("""COMPUTED_VALUE"""),"081345758200")</f>
        <v>081345758200</v>
      </c>
      <c r="W1544" s="15"/>
    </row>
    <row r="1545" ht="22.5" customHeight="1">
      <c r="A1545" s="8"/>
      <c r="B1545" s="9">
        <f>IFERROR(__xludf.DUMMYFUNCTION("""COMPUTED_VALUE"""),45492.432142025464)</f>
        <v>45492.43214</v>
      </c>
      <c r="C1545" s="9"/>
      <c r="D1545" s="34">
        <f>IFERROR(__xludf.DUMMYFUNCTION("""COMPUTED_VALUE"""),45501.0)</f>
        <v>45501</v>
      </c>
      <c r="E1545" s="34" t="str">
        <f>IFERROR(__xludf.DUMMYFUNCTION("""COMPUTED_VALUE"""),"07Jul")</f>
        <v>07Jul</v>
      </c>
      <c r="F1545" s="34" t="str">
        <f>IFERROR(__xludf.DUMMYFUNCTION("""COMPUTED_VALUE"""),"2024")</f>
        <v>2024</v>
      </c>
      <c r="G1545" s="35" t="str">
        <f>IFERROR(__xludf.DUMMYFUNCTION("""COMPUTED_VALUE"""),"ANDY DARWIN KASAN HIDAYAT")</f>
        <v>ANDY DARWIN KASAN HIDAYAT</v>
      </c>
      <c r="H1545" s="17" t="str">
        <f>IFERROR(__xludf.DUMMYFUNCTION("""COMPUTED_VALUE"""),"A8424077888")</f>
        <v>A8424077888</v>
      </c>
      <c r="I1545" s="17">
        <f>IFERROR(__xludf.DUMMYFUNCTION("""COMPUTED_VALUE"""),41.0)</f>
        <v>41</v>
      </c>
      <c r="J1545" s="17" t="str">
        <f>IFERROR(__xludf.DUMMYFUNCTION("""COMPUTED_VALUE"""),"35-44 tahun")</f>
        <v>35-44 tahun</v>
      </c>
      <c r="K1545" s="19">
        <f>IFERROR(__xludf.DUMMYFUNCTION("""COMPUTED_VALUE"""),30886.0)</f>
        <v>30886</v>
      </c>
      <c r="L1545" s="19" t="str">
        <f>IFERROR(__xludf.DUMMYFUNCTION("""COMPUTED_VALUE"""),"LAKI-LAKI")</f>
        <v>LAKI-LAKI</v>
      </c>
      <c r="M1545" s="35" t="str">
        <f>IFERROR(__xludf.DUMMYFUNCTION("""COMPUTED_VALUE"""),"IMAM BONJOL NO.60")</f>
        <v>IMAM BONJOL NO.60</v>
      </c>
      <c r="N1545" s="16" t="str">
        <f>IFERROR(__xludf.DUMMYFUNCTION("""COMPUTED_VALUE"""),"KEL. BANSIR LAUT")</f>
        <v>KEL. BANSIR LAUT</v>
      </c>
      <c r="O1545" s="16" t="str">
        <f>IFERROR(__xludf.DUMMYFUNCTION("""COMPUTED_VALUE"""),"KEC. PONTIANAK SELATAN")</f>
        <v>KEC. PONTIANAK SELATAN</v>
      </c>
      <c r="P1545" s="16" t="str">
        <f>IFERROR(__xludf.DUMMYFUNCTION("""COMPUTED_VALUE"""),"KOTA PONTIANAK")</f>
        <v>KOTA PONTIANAK</v>
      </c>
      <c r="Q1545" s="16" t="str">
        <f>IFERROR(__xludf.DUMMYFUNCTION("""COMPUTED_VALUE"""),"KALIMANTAN BARAT")</f>
        <v>KALIMANTAN BARAT</v>
      </c>
      <c r="R1545" s="19" t="str">
        <f>IFERROR(__xludf.DUMMYFUNCTION("""COMPUTED_VALUE"""),"KATOLIK")</f>
        <v>KATOLIK</v>
      </c>
      <c r="S1545" s="35" t="str">
        <f>IFERROR(__xludf.DUMMYFUNCTION("""COMPUTED_VALUE"""),"WIRASWASTA")</f>
        <v>WIRASWASTA</v>
      </c>
      <c r="T1545" s="16" t="str">
        <f>IFERROR(__xludf.DUMMYFUNCTION("""COMPUTED_VALUE"""),"sakit are belakang dan paha atas ketika ditekuk")</f>
        <v>sakit are belakang dan paha atas ketika ditekuk</v>
      </c>
      <c r="U1545" s="16" t="str">
        <f>IFERROR(__xludf.DUMMYFUNCTION("""COMPUTED_VALUE"""),"badminton, muaythai")</f>
        <v>badminton, muaythai</v>
      </c>
      <c r="V1545" s="11" t="str">
        <f>IFERROR(__xludf.DUMMYFUNCTION("""COMPUTED_VALUE"""),"081218397888")</f>
        <v>081218397888</v>
      </c>
      <c r="W1545" s="15"/>
    </row>
    <row r="1546" ht="22.5" customHeight="1">
      <c r="A1546" s="8"/>
      <c r="B1546" s="9">
        <f>IFERROR(__xludf.DUMMYFUNCTION("""COMPUTED_VALUE"""),45492.52352480324)</f>
        <v>45492.52352</v>
      </c>
      <c r="C1546" s="9"/>
      <c r="D1546" s="34">
        <f>IFERROR(__xludf.DUMMYFUNCTION("""COMPUTED_VALUE"""),45502.0)</f>
        <v>45502</v>
      </c>
      <c r="E1546" s="34" t="str">
        <f>IFERROR(__xludf.DUMMYFUNCTION("""COMPUTED_VALUE"""),"07Jul")</f>
        <v>07Jul</v>
      </c>
      <c r="F1546" s="34" t="str">
        <f>IFERROR(__xludf.DUMMYFUNCTION("""COMPUTED_VALUE"""),"2024")</f>
        <v>2024</v>
      </c>
      <c r="G1546" s="35" t="str">
        <f>IFERROR(__xludf.DUMMYFUNCTION("""COMPUTED_VALUE"""),"SITI MUALIFAH")</f>
        <v>SITI MUALIFAH</v>
      </c>
      <c r="H1546" s="17" t="str">
        <f>IFERROR(__xludf.DUMMYFUNCTION("""COMPUTED_VALUE"""),"S8224078010")</f>
        <v>S8224078010</v>
      </c>
      <c r="I1546" s="17">
        <f>IFERROR(__xludf.DUMMYFUNCTION("""COMPUTED_VALUE"""),44.0)</f>
        <v>44</v>
      </c>
      <c r="J1546" s="17" t="str">
        <f>IFERROR(__xludf.DUMMYFUNCTION("""COMPUTED_VALUE"""),"35-44 tahun")</f>
        <v>35-44 tahun</v>
      </c>
      <c r="K1546" s="19">
        <f>IFERROR(__xludf.DUMMYFUNCTION("""COMPUTED_VALUE"""),30053.0)</f>
        <v>30053</v>
      </c>
      <c r="L1546" s="19" t="str">
        <f>IFERROR(__xludf.DUMMYFUNCTION("""COMPUTED_VALUE"""),"PEREMPUAN")</f>
        <v>PEREMPUAN</v>
      </c>
      <c r="M1546" s="35" t="str">
        <f>IFERROR(__xludf.DUMMYFUNCTION("""COMPUTED_VALUE"""),"JD DR WAHIDIN KOMP MITRA RAYA LESTARI 5 D6")</f>
        <v>JD DR WAHIDIN KOMP MITRA RAYA LESTARI 5 D6</v>
      </c>
      <c r="N1546" s="16" t="str">
        <f>IFERROR(__xludf.DUMMYFUNCTION("""COMPUTED_VALUE"""),"KEL. SUNGAI JAWI")</f>
        <v>KEL. SUNGAI JAWI</v>
      </c>
      <c r="O1546" s="16" t="str">
        <f>IFERROR(__xludf.DUMMYFUNCTION("""COMPUTED_VALUE"""),"KEC. PONTIANAK KOTA")</f>
        <v>KEC. PONTIANAK KOTA</v>
      </c>
      <c r="P1546" s="16" t="str">
        <f>IFERROR(__xludf.DUMMYFUNCTION("""COMPUTED_VALUE"""),"KOTA PONTIANAK")</f>
        <v>KOTA PONTIANAK</v>
      </c>
      <c r="Q1546" s="16" t="str">
        <f>IFERROR(__xludf.DUMMYFUNCTION("""COMPUTED_VALUE"""),"KALIMANTAN BARAT")</f>
        <v>KALIMANTAN BARAT</v>
      </c>
      <c r="R1546" s="19" t="str">
        <f>IFERROR(__xludf.DUMMYFUNCTION("""COMPUTED_VALUE"""),"ISLAM")</f>
        <v>ISLAM</v>
      </c>
      <c r="S1546" s="35" t="str">
        <f>IFERROR(__xludf.DUMMYFUNCTION("""COMPUTED_VALUE"""),"RUMAH TANGGA")</f>
        <v>RUMAH TANGGA</v>
      </c>
      <c r="T1546" s="16" t="str">
        <f>IFERROR(__xludf.DUMMYFUNCTION("""COMPUTED_VALUE"""),"Sakit d sendi pergelangan tangan")</f>
        <v>Sakit d sendi pergelangan tangan</v>
      </c>
      <c r="U1546" s="16" t="str">
        <f>IFERROR(__xludf.DUMMYFUNCTION("""COMPUTED_VALUE"""),"Random")</f>
        <v>Random</v>
      </c>
      <c r="V1546" s="11" t="str">
        <f>IFERROR(__xludf.DUMMYFUNCTION("""COMPUTED_VALUE"""),"081257318010")</f>
        <v>081257318010</v>
      </c>
      <c r="W1546" s="15"/>
    </row>
    <row r="1547" ht="22.5" customHeight="1">
      <c r="A1547" s="8"/>
      <c r="B1547" s="9">
        <f>IFERROR(__xludf.DUMMYFUNCTION("""COMPUTED_VALUE"""),45492.55447837963)</f>
        <v>45492.55448</v>
      </c>
      <c r="C1547" s="9"/>
      <c r="D1547" s="34">
        <f>IFERROR(__xludf.DUMMYFUNCTION("""COMPUTED_VALUE"""),45502.0)</f>
        <v>45502</v>
      </c>
      <c r="E1547" s="34" t="str">
        <f>IFERROR(__xludf.DUMMYFUNCTION("""COMPUTED_VALUE"""),"07Jul")</f>
        <v>07Jul</v>
      </c>
      <c r="F1547" s="34" t="str">
        <f>IFERROR(__xludf.DUMMYFUNCTION("""COMPUTED_VALUE"""),"2024")</f>
        <v>2024</v>
      </c>
      <c r="G1547" s="35" t="str">
        <f>IFERROR(__xludf.DUMMYFUNCTION("""COMPUTED_VALUE"""),"PUJI LESTARI")</f>
        <v>PUJI LESTARI</v>
      </c>
      <c r="H1547" s="17" t="str">
        <f>IFERROR(__xludf.DUMMYFUNCTION("""COMPUTED_VALUE"""),"P8924072133")</f>
        <v>P8924072133</v>
      </c>
      <c r="I1547" s="17">
        <f>IFERROR(__xludf.DUMMYFUNCTION("""COMPUTED_VALUE"""),36.0)</f>
        <v>36</v>
      </c>
      <c r="J1547" s="17" t="str">
        <f>IFERROR(__xludf.DUMMYFUNCTION("""COMPUTED_VALUE"""),"35-44 tahun")</f>
        <v>35-44 tahun</v>
      </c>
      <c r="K1547" s="19">
        <f>IFERROR(__xludf.DUMMYFUNCTION("""COMPUTED_VALUE"""),32851.0)</f>
        <v>32851</v>
      </c>
      <c r="L1547" s="19" t="str">
        <f>IFERROR(__xludf.DUMMYFUNCTION("""COMPUTED_VALUE"""),"PEREMPUAN")</f>
        <v>PEREMPUAN</v>
      </c>
      <c r="M1547" s="35" t="str">
        <f>IFERROR(__xludf.DUMMYFUNCTION("""COMPUTED_VALUE"""),"JLN PURNAMA GG PURNAMA GRIYA 1 NO 99")</f>
        <v>JLN PURNAMA GG PURNAMA GRIYA 1 NO 99</v>
      </c>
      <c r="N1547" s="16" t="str">
        <f>IFERROR(__xludf.DUMMYFUNCTION("""COMPUTED_VALUE"""),"KEL. PARIT TOKAYA")</f>
        <v>KEL. PARIT TOKAYA</v>
      </c>
      <c r="O1547" s="16" t="str">
        <f>IFERROR(__xludf.DUMMYFUNCTION("""COMPUTED_VALUE"""),"KEC. PONTIANAK SELATAN")</f>
        <v>KEC. PONTIANAK SELATAN</v>
      </c>
      <c r="P1547" s="16" t="str">
        <f>IFERROR(__xludf.DUMMYFUNCTION("""COMPUTED_VALUE"""),"KOTA PONTIANAK")</f>
        <v>KOTA PONTIANAK</v>
      </c>
      <c r="Q1547" s="16" t="str">
        <f>IFERROR(__xludf.DUMMYFUNCTION("""COMPUTED_VALUE"""),"KALIMANTAN BARAT")</f>
        <v>KALIMANTAN BARAT</v>
      </c>
      <c r="R1547" s="19" t="str">
        <f>IFERROR(__xludf.DUMMYFUNCTION("""COMPUTED_VALUE"""),"ISLAM")</f>
        <v>ISLAM</v>
      </c>
      <c r="S1547" s="16" t="str">
        <f>IFERROR(__xludf.DUMMYFUNCTION("""COMPUTED_VALUE"""),"RUMAH TANGGA")</f>
        <v>RUMAH TANGGA</v>
      </c>
      <c r="T1547" s="16" t="str">
        <f>IFERROR(__xludf.DUMMYFUNCTION("""COMPUTED_VALUE"""),"Tangan kebas kesemutan sakit")</f>
        <v>Tangan kebas kesemutan sakit</v>
      </c>
      <c r="U1547" s="16" t="str">
        <f>IFERROR(__xludf.DUMMYFUNCTION("""COMPUTED_VALUE"""),"Jalan jalan")</f>
        <v>Jalan jalan</v>
      </c>
      <c r="V1547" s="11" t="str">
        <f>IFERROR(__xludf.DUMMYFUNCTION("""COMPUTED_VALUE"""),"081318862133")</f>
        <v>081318862133</v>
      </c>
      <c r="W1547" s="15"/>
    </row>
    <row r="1548" ht="22.5" customHeight="1">
      <c r="A1548" s="8"/>
      <c r="B1548" s="9">
        <f>IFERROR(__xludf.DUMMYFUNCTION("""COMPUTED_VALUE"""),45493.47617883101)</f>
        <v>45493.47618</v>
      </c>
      <c r="C1548" s="9"/>
      <c r="D1548" s="34">
        <f>IFERROR(__xludf.DUMMYFUNCTION("""COMPUTED_VALUE"""),45502.0)</f>
        <v>45502</v>
      </c>
      <c r="E1548" s="34" t="str">
        <f>IFERROR(__xludf.DUMMYFUNCTION("""COMPUTED_VALUE"""),"07Jul")</f>
        <v>07Jul</v>
      </c>
      <c r="F1548" s="34" t="str">
        <f>IFERROR(__xludf.DUMMYFUNCTION("""COMPUTED_VALUE"""),"2024")</f>
        <v>2024</v>
      </c>
      <c r="G1548" s="35" t="str">
        <f>IFERROR(__xludf.DUMMYFUNCTION("""COMPUTED_VALUE"""),"ARTON ARDIMANSYAH")</f>
        <v>ARTON ARDIMANSYAH</v>
      </c>
      <c r="H1548" s="17" t="str">
        <f>IFERROR(__xludf.DUMMYFUNCTION("""COMPUTED_VALUE"""),"A9624078908")</f>
        <v>A9624078908</v>
      </c>
      <c r="I1548" s="17">
        <f>IFERROR(__xludf.DUMMYFUNCTION("""COMPUTED_VALUE"""),30.0)</f>
        <v>30</v>
      </c>
      <c r="J1548" s="17" t="str">
        <f>IFERROR(__xludf.DUMMYFUNCTION("""COMPUTED_VALUE"""),"25-34 tahun")</f>
        <v>25-34 tahun</v>
      </c>
      <c r="K1548" s="19">
        <f>IFERROR(__xludf.DUMMYFUNCTION("""COMPUTED_VALUE"""),35130.0)</f>
        <v>35130</v>
      </c>
      <c r="L1548" s="19" t="str">
        <f>IFERROR(__xludf.DUMMYFUNCTION("""COMPUTED_VALUE"""),"LAKI-LAKI")</f>
        <v>LAKI-LAKI</v>
      </c>
      <c r="M1548" s="35" t="str">
        <f>IFERROR(__xludf.DUMMYFUNCTION("""COMPUTED_VALUE"""),"GG SIAGA 7")</f>
        <v>GG SIAGA 7</v>
      </c>
      <c r="N1548" s="16" t="str">
        <f>IFERROR(__xludf.DUMMYFUNCTION("""COMPUTED_VALUE"""),"DS. PARIT BARU")</f>
        <v>DS. PARIT BARU</v>
      </c>
      <c r="O1548" s="16" t="str">
        <f>IFERROR(__xludf.DUMMYFUNCTION("""COMPUTED_VALUE"""),"KEC. PARIT BARU")</f>
        <v>KEC. PARIT BARU</v>
      </c>
      <c r="P1548" s="16" t="str">
        <f>IFERROR(__xludf.DUMMYFUNCTION("""COMPUTED_VALUE"""),"KAB. SUNGAI RAYA")</f>
        <v>KAB. SUNGAI RAYA</v>
      </c>
      <c r="Q1548" s="16" t="str">
        <f>IFERROR(__xludf.DUMMYFUNCTION("""COMPUTED_VALUE"""),"KALIMANTAN BARAT")</f>
        <v>KALIMANTAN BARAT</v>
      </c>
      <c r="R1548" s="19" t="str">
        <f>IFERROR(__xludf.DUMMYFUNCTION("""COMPUTED_VALUE"""),"PROTESTAN")</f>
        <v>PROTESTAN</v>
      </c>
      <c r="S1548" s="35" t="str">
        <f>IFERROR(__xludf.DUMMYFUNCTION("""COMPUTED_VALUE"""),"SWASTA")</f>
        <v>SWASTA</v>
      </c>
      <c r="T1548" s="16" t="str">
        <f>IFERROR(__xludf.DUMMYFUNCTION("""COMPUTED_VALUE"""),"Konsultasin Ligamen")</f>
        <v>Konsultasin Ligamen</v>
      </c>
      <c r="U1548" s="16" t="str">
        <f>IFERROR(__xludf.DUMMYFUNCTION("""COMPUTED_VALUE"""),"Kerja Dan Futsal")</f>
        <v>Kerja Dan Futsal</v>
      </c>
      <c r="V1548" s="11" t="str">
        <f>IFERROR(__xludf.DUMMYFUNCTION("""COMPUTED_VALUE"""),"081348288908")</f>
        <v>081348288908</v>
      </c>
      <c r="W1548" s="15"/>
    </row>
    <row r="1549" ht="22.5" customHeight="1">
      <c r="A1549" s="8"/>
      <c r="B1549" s="9">
        <f>IFERROR(__xludf.DUMMYFUNCTION("""COMPUTED_VALUE"""),45495.433251469905)</f>
        <v>45495.43325</v>
      </c>
      <c r="C1549" s="9"/>
      <c r="D1549" s="34">
        <f>IFERROR(__xludf.DUMMYFUNCTION("""COMPUTED_VALUE"""),45502.0)</f>
        <v>45502</v>
      </c>
      <c r="E1549" s="34" t="str">
        <f>IFERROR(__xludf.DUMMYFUNCTION("""COMPUTED_VALUE"""),"07Jul")</f>
        <v>07Jul</v>
      </c>
      <c r="F1549" s="34" t="str">
        <f>IFERROR(__xludf.DUMMYFUNCTION("""COMPUTED_VALUE"""),"2024")</f>
        <v>2024</v>
      </c>
      <c r="G1549" s="35" t="str">
        <f>IFERROR(__xludf.DUMMYFUNCTION("""COMPUTED_VALUE"""),"BUCHARI")</f>
        <v>BUCHARI</v>
      </c>
      <c r="H1549" s="17" t="str">
        <f>IFERROR(__xludf.DUMMYFUNCTION("""COMPUTED_VALUE"""),"B5524073253")</f>
        <v>B5524073253</v>
      </c>
      <c r="I1549" s="17">
        <f>IFERROR(__xludf.DUMMYFUNCTION("""COMPUTED_VALUE"""),70.0)</f>
        <v>70</v>
      </c>
      <c r="J1549" s="17" t="str">
        <f>IFERROR(__xludf.DUMMYFUNCTION("""COMPUTED_VALUE"""),"&gt; 44 tahun")</f>
        <v>&gt; 44 tahun</v>
      </c>
      <c r="K1549" s="19">
        <f>IFERROR(__xludf.DUMMYFUNCTION("""COMPUTED_VALUE"""),20347.0)</f>
        <v>20347</v>
      </c>
      <c r="L1549" s="19" t="str">
        <f>IFERROR(__xludf.DUMMYFUNCTION("""COMPUTED_VALUE"""),"LAKI-LAKI")</f>
        <v>LAKI-LAKI</v>
      </c>
      <c r="M1549" s="35" t="str">
        <f>IFERROR(__xludf.DUMMYFUNCTION("""COMPUTED_VALUE"""),"JALAN TEBU GG. MUNDU NO. 16")</f>
        <v>JALAN TEBU GG. MUNDU NO. 16</v>
      </c>
      <c r="N1549" s="16" t="str">
        <f>IFERROR(__xludf.DUMMYFUNCTION("""COMPUTED_VALUE"""),"KEL. SUNGAI JAWI")</f>
        <v>KEL. SUNGAI JAWI</v>
      </c>
      <c r="O1549" s="16" t="str">
        <f>IFERROR(__xludf.DUMMYFUNCTION("""COMPUTED_VALUE"""),"KEC. PONTIANAK BARAT")</f>
        <v>KEC. PONTIANAK BARAT</v>
      </c>
      <c r="P1549" s="16" t="str">
        <f>IFERROR(__xludf.DUMMYFUNCTION("""COMPUTED_VALUE"""),"KOTA PONTIANAK")</f>
        <v>KOTA PONTIANAK</v>
      </c>
      <c r="Q1549" s="16" t="str">
        <f>IFERROR(__xludf.DUMMYFUNCTION("""COMPUTED_VALUE"""),"KALIMANTAN BARAT")</f>
        <v>KALIMANTAN BARAT</v>
      </c>
      <c r="R1549" s="19" t="str">
        <f>IFERROR(__xludf.DUMMYFUNCTION("""COMPUTED_VALUE"""),"ISLAM")</f>
        <v>ISLAM</v>
      </c>
      <c r="S1549" s="16" t="str">
        <f>IFERROR(__xludf.DUMMYFUNCTION("""COMPUTED_VALUE"""),"PENSIUN")</f>
        <v>PENSIUN</v>
      </c>
      <c r="T1549" s="16" t="str">
        <f>IFERROR(__xludf.DUMMYFUNCTION("""COMPUTED_VALUE"""),"Saraf Kejepit")</f>
        <v>Saraf Kejepit</v>
      </c>
      <c r="U1549" s="16" t="str">
        <f>IFERROR(__xludf.DUMMYFUNCTION("""COMPUTED_VALUE"""),"Mengerjakan pekerjanaan rumah")</f>
        <v>Mengerjakan pekerjanaan rumah</v>
      </c>
      <c r="V1549" s="11" t="str">
        <f>IFERROR(__xludf.DUMMYFUNCTION("""COMPUTED_VALUE"""),"083125673253")</f>
        <v>083125673253</v>
      </c>
      <c r="W1549" s="15"/>
    </row>
    <row r="1550" ht="22.5" customHeight="1">
      <c r="A1550" s="8"/>
      <c r="B1550" s="9">
        <f>IFERROR(__xludf.DUMMYFUNCTION("""COMPUTED_VALUE"""),45495.508366967595)</f>
        <v>45495.50837</v>
      </c>
      <c r="C1550" s="9"/>
      <c r="D1550" s="34">
        <f>IFERROR(__xludf.DUMMYFUNCTION("""COMPUTED_VALUE"""),45503.0)</f>
        <v>45503</v>
      </c>
      <c r="E1550" s="34" t="str">
        <f>IFERROR(__xludf.DUMMYFUNCTION("""COMPUTED_VALUE"""),"07Jul")</f>
        <v>07Jul</v>
      </c>
      <c r="F1550" s="34" t="str">
        <f>IFERROR(__xludf.DUMMYFUNCTION("""COMPUTED_VALUE"""),"2024")</f>
        <v>2024</v>
      </c>
      <c r="G1550" s="35" t="str">
        <f>IFERROR(__xludf.DUMMYFUNCTION("""COMPUTED_VALUE"""),"YOGIE TIRTANA ANSOR")</f>
        <v>YOGIE TIRTANA ANSOR</v>
      </c>
      <c r="H1550" s="17" t="str">
        <f>IFERROR(__xludf.DUMMYFUNCTION("""COMPUTED_VALUE"""),"Y8524079991")</f>
        <v>Y8524079991</v>
      </c>
      <c r="I1550" s="17">
        <f>IFERROR(__xludf.DUMMYFUNCTION("""COMPUTED_VALUE"""),41.0)</f>
        <v>41</v>
      </c>
      <c r="J1550" s="17" t="str">
        <f>IFERROR(__xludf.DUMMYFUNCTION("""COMPUTED_VALUE"""),"35-44 tahun")</f>
        <v>35-44 tahun</v>
      </c>
      <c r="K1550" s="19">
        <f>IFERROR(__xludf.DUMMYFUNCTION("""COMPUTED_VALUE"""),31069.0)</f>
        <v>31069</v>
      </c>
      <c r="L1550" s="19" t="str">
        <f>IFERROR(__xludf.DUMMYFUNCTION("""COMPUTED_VALUE"""),"LAKI-LAKI")</f>
        <v>LAKI-LAKI</v>
      </c>
      <c r="M1550" s="35" t="str">
        <f>IFERROR(__xludf.DUMMYFUNCTION("""COMPUTED_VALUE"""),"JL. RAYA NGABAN NO. 10")</f>
        <v>JL. RAYA NGABAN NO. 10</v>
      </c>
      <c r="N1550" s="16" t="str">
        <f>IFERROR(__xludf.DUMMYFUNCTION("""COMPUTED_VALUE"""),"KEL. NGABAN")</f>
        <v>KEL. NGABAN</v>
      </c>
      <c r="O1550" s="16" t="str">
        <f>IFERROR(__xludf.DUMMYFUNCTION("""COMPUTED_VALUE"""),"KEC. TANGGULANGIN")</f>
        <v>KEC. TANGGULANGIN</v>
      </c>
      <c r="P1550" s="16" t="str">
        <f>IFERROR(__xludf.DUMMYFUNCTION("""COMPUTED_VALUE"""),"KOTA SIDOARJO")</f>
        <v>KOTA SIDOARJO</v>
      </c>
      <c r="Q1550" s="16" t="str">
        <f>IFERROR(__xludf.DUMMYFUNCTION("""COMPUTED_VALUE"""),"JAWA TIMUR")</f>
        <v>JAWA TIMUR</v>
      </c>
      <c r="R1550" s="19" t="str">
        <f>IFERROR(__xludf.DUMMYFUNCTION("""COMPUTED_VALUE"""),"ISLAM")</f>
        <v>ISLAM</v>
      </c>
      <c r="S1550" s="16" t="str">
        <f>IFERROR(__xludf.DUMMYFUNCTION("""COMPUTED_VALUE"""),"ASN")</f>
        <v>ASN</v>
      </c>
      <c r="T1550" s="16" t="str">
        <f>IFERROR(__xludf.DUMMYFUNCTION("""COMPUTED_VALUE"""),"Cidera")</f>
        <v>Cidera</v>
      </c>
      <c r="U1550" s="16" t="str">
        <f>IFERROR(__xludf.DUMMYFUNCTION("""COMPUTED_VALUE"""),"Sepakbola")</f>
        <v>Sepakbola</v>
      </c>
      <c r="V1550" s="11" t="str">
        <f>IFERROR(__xludf.DUMMYFUNCTION("""COMPUTED_VALUE"""),"081231379991")</f>
        <v>081231379991</v>
      </c>
      <c r="W1550" s="15"/>
    </row>
    <row r="1551" ht="22.5" customHeight="1">
      <c r="A1551" s="8"/>
      <c r="B1551" s="9">
        <f>IFERROR(__xludf.DUMMYFUNCTION("""COMPUTED_VALUE"""),45495.6282125463)</f>
        <v>45495.62821</v>
      </c>
      <c r="C1551" s="9"/>
      <c r="D1551" s="34">
        <f>IFERROR(__xludf.DUMMYFUNCTION("""COMPUTED_VALUE"""),45503.0)</f>
        <v>45503</v>
      </c>
      <c r="E1551" s="34" t="str">
        <f>IFERROR(__xludf.DUMMYFUNCTION("""COMPUTED_VALUE"""),"07Jul")</f>
        <v>07Jul</v>
      </c>
      <c r="F1551" s="34" t="str">
        <f>IFERROR(__xludf.DUMMYFUNCTION("""COMPUTED_VALUE"""),"2024")</f>
        <v>2024</v>
      </c>
      <c r="G1551" s="35" t="str">
        <f>IFERROR(__xludf.DUMMYFUNCTION("""COMPUTED_VALUE"""),"CANDRA WH LUMBANTORUAN")</f>
        <v>CANDRA WH LUMBANTORUAN</v>
      </c>
      <c r="H1551" s="17" t="str">
        <f>IFERROR(__xludf.DUMMYFUNCTION("""COMPUTED_VALUE"""),"C9124073456")</f>
        <v>C9124073456</v>
      </c>
      <c r="I1551" s="17">
        <f>IFERROR(__xludf.DUMMYFUNCTION("""COMPUTED_VALUE"""),35.0)</f>
        <v>35</v>
      </c>
      <c r="J1551" s="17" t="str">
        <f>IFERROR(__xludf.DUMMYFUNCTION("""COMPUTED_VALUE"""),"35-44 tahun")</f>
        <v>35-44 tahun</v>
      </c>
      <c r="K1551" s="19">
        <f>IFERROR(__xludf.DUMMYFUNCTION("""COMPUTED_VALUE"""),33281.0)</f>
        <v>33281</v>
      </c>
      <c r="L1551" s="19" t="str">
        <f>IFERROR(__xludf.DUMMYFUNCTION("""COMPUTED_VALUE"""),"LAKI-LAKI")</f>
        <v>LAKI-LAKI</v>
      </c>
      <c r="M1551" s="35" t="str">
        <f>IFERROR(__xludf.DUMMYFUNCTION("""COMPUTED_VALUE"""),"JL PERINTIS KOMPLEK CENDANA PERINTIS RAYA BLOK C NO.2")</f>
        <v>JL PERINTIS KOMPLEK CENDANA PERINTIS RAYA BLOK C NO.2</v>
      </c>
      <c r="N1551" s="16" t="str">
        <f>IFERROR(__xludf.DUMMYFUNCTION("""COMPUTED_VALUE"""),"KEL. PAL IX")</f>
        <v>KEL. PAL IX</v>
      </c>
      <c r="O1551" s="16" t="str">
        <f>IFERROR(__xludf.DUMMYFUNCTION("""COMPUTED_VALUE"""),"KEC. SUNGAI KAKAP")</f>
        <v>KEC. SUNGAI KAKAP</v>
      </c>
      <c r="P1551" s="16" t="str">
        <f>IFERROR(__xludf.DUMMYFUNCTION("""COMPUTED_VALUE"""),"KAB. KUBU RAYA")</f>
        <v>KAB. KUBU RAYA</v>
      </c>
      <c r="Q1551" s="16" t="str">
        <f>IFERROR(__xludf.DUMMYFUNCTION("""COMPUTED_VALUE"""),"KALIMANTAN BARAT")</f>
        <v>KALIMANTAN BARAT</v>
      </c>
      <c r="R1551" s="19" t="str">
        <f>IFERROR(__xludf.DUMMYFUNCTION("""COMPUTED_VALUE"""),"KATOLIK")</f>
        <v>KATOLIK</v>
      </c>
      <c r="S1551" s="35" t="str">
        <f>IFERROR(__xludf.DUMMYFUNCTION("""COMPUTED_VALUE"""),"SWASTA")</f>
        <v>SWASTA</v>
      </c>
      <c r="T1551" s="16" t="str">
        <f>IFERROR(__xludf.DUMMYFUNCTION("""COMPUTED_VALUE"""),"sakit di bagian pinggang bagian kanansampai kebagian paha dan selangkangan")</f>
        <v>sakit di bagian pinggang bagian kanansampai kebagian paha dan selangkangan</v>
      </c>
      <c r="U1551" s="16" t="str">
        <f>IFERROR(__xludf.DUMMYFUNCTION("""COMPUTED_VALUE"""),"futsal")</f>
        <v>futsal</v>
      </c>
      <c r="V1551" s="11" t="str">
        <f>IFERROR(__xludf.DUMMYFUNCTION("""COMPUTED_VALUE"""),"089526443456")</f>
        <v>089526443456</v>
      </c>
      <c r="W1551" s="15"/>
    </row>
    <row r="1552" ht="22.5" customHeight="1">
      <c r="A1552" s="8"/>
      <c r="B1552" s="9">
        <f>IFERROR(__xludf.DUMMYFUNCTION("""COMPUTED_VALUE"""),45495.83061697916)</f>
        <v>45495.83062</v>
      </c>
      <c r="C1552" s="9"/>
      <c r="D1552" s="34">
        <f>IFERROR(__xludf.DUMMYFUNCTION("""COMPUTED_VALUE"""),45504.0)</f>
        <v>45504</v>
      </c>
      <c r="E1552" s="34" t="str">
        <f>IFERROR(__xludf.DUMMYFUNCTION("""COMPUTED_VALUE"""),"07Jul")</f>
        <v>07Jul</v>
      </c>
      <c r="F1552" s="34" t="str">
        <f>IFERROR(__xludf.DUMMYFUNCTION("""COMPUTED_VALUE"""),"2024")</f>
        <v>2024</v>
      </c>
      <c r="G1552" s="35" t="str">
        <f>IFERROR(__xludf.DUMMYFUNCTION("""COMPUTED_VALUE"""),"RINALDY ANDARSIH")</f>
        <v>RINALDY ANDARSIH</v>
      </c>
      <c r="H1552" s="17" t="str">
        <f>IFERROR(__xludf.DUMMYFUNCTION("""COMPUTED_VALUE"""),"R9824071044")</f>
        <v>R9824071044</v>
      </c>
      <c r="I1552" s="17">
        <f>IFERROR(__xludf.DUMMYFUNCTION("""COMPUTED_VALUE"""),27.0)</f>
        <v>27</v>
      </c>
      <c r="J1552" s="17" t="str">
        <f>IFERROR(__xludf.DUMMYFUNCTION("""COMPUTED_VALUE"""),"25-34 tahun")</f>
        <v>25-34 tahun</v>
      </c>
      <c r="K1552" s="19">
        <f>IFERROR(__xludf.DUMMYFUNCTION("""COMPUTED_VALUE"""),36083.0)</f>
        <v>36083</v>
      </c>
      <c r="L1552" s="19" t="str">
        <f>IFERROR(__xludf.DUMMYFUNCTION("""COMPUTED_VALUE"""),"LAKI-LAKI")</f>
        <v>LAKI-LAKI</v>
      </c>
      <c r="M1552" s="35" t="str">
        <f>IFERROR(__xludf.DUMMYFUNCTION("""COMPUTED_VALUE"""),"DUSUN NENGEH TERESUNG RT/RW 001/001 DESA PENGADANG KECAMATAN SEKAYAM KABUPATEN SANGGAU")</f>
        <v>DUSUN NENGEH TERESUNG RT/RW 001/001 DESA PENGADANG KECAMATAN SEKAYAM KABUPATEN SANGGAU</v>
      </c>
      <c r="N1552" s="16" t="str">
        <f>IFERROR(__xludf.DUMMYFUNCTION("""COMPUTED_VALUE"""),"DS. PENGADANG")</f>
        <v>DS. PENGADANG</v>
      </c>
      <c r="O1552" s="16" t="str">
        <f>IFERROR(__xludf.DUMMYFUNCTION("""COMPUTED_VALUE"""),"KEC. SEKAYAM")</f>
        <v>KEC. SEKAYAM</v>
      </c>
      <c r="P1552" s="16" t="str">
        <f>IFERROR(__xludf.DUMMYFUNCTION("""COMPUTED_VALUE"""),"KAB. SANGGAU")</f>
        <v>KAB. SANGGAU</v>
      </c>
      <c r="Q1552" s="16" t="str">
        <f>IFERROR(__xludf.DUMMYFUNCTION("""COMPUTED_VALUE"""),"KALIMANTAN BARAT")</f>
        <v>KALIMANTAN BARAT</v>
      </c>
      <c r="R1552" s="19" t="str">
        <f>IFERROR(__xludf.DUMMYFUNCTION("""COMPUTED_VALUE"""),"KATOLIK")</f>
        <v>KATOLIK</v>
      </c>
      <c r="S1552" s="16" t="str">
        <f>IFERROR(__xludf.DUMMYFUNCTION("""COMPUTED_VALUE"""),"TIDAK ADA")</f>
        <v>TIDAK ADA</v>
      </c>
      <c r="T1552" s="16" t="str">
        <f>IFERROR(__xludf.DUMMYFUNCTION("""COMPUTED_VALUE"""),"Cidera bahu")</f>
        <v>Cidera bahu</v>
      </c>
      <c r="U1552" s="16" t="str">
        <f>IFERROR(__xludf.DUMMYFUNCTION("""COMPUTED_VALUE"""),"Volleyball")</f>
        <v>Volleyball</v>
      </c>
      <c r="V1552" s="11" t="str">
        <f>IFERROR(__xludf.DUMMYFUNCTION("""COMPUTED_VALUE"""),"082251081044")</f>
        <v>082251081044</v>
      </c>
      <c r="W1552" s="15"/>
    </row>
    <row r="1553" ht="22.5" customHeight="1">
      <c r="A1553" s="8"/>
      <c r="B1553" s="9">
        <f>IFERROR(__xludf.DUMMYFUNCTION("""COMPUTED_VALUE"""),45497.37366909722)</f>
        <v>45497.37367</v>
      </c>
      <c r="C1553" s="9"/>
      <c r="D1553" s="34">
        <f>IFERROR(__xludf.DUMMYFUNCTION("""COMPUTED_VALUE"""),45504.0)</f>
        <v>45504</v>
      </c>
      <c r="E1553" s="34" t="str">
        <f>IFERROR(__xludf.DUMMYFUNCTION("""COMPUTED_VALUE"""),"07Jul")</f>
        <v>07Jul</v>
      </c>
      <c r="F1553" s="34" t="str">
        <f>IFERROR(__xludf.DUMMYFUNCTION("""COMPUTED_VALUE"""),"2024")</f>
        <v>2024</v>
      </c>
      <c r="G1553" s="35" t="str">
        <f>IFERROR(__xludf.DUMMYFUNCTION("""COMPUTED_VALUE"""),"SITI KHOTIJAH")</f>
        <v>SITI KHOTIJAH</v>
      </c>
      <c r="H1553" s="17" t="str">
        <f>IFERROR(__xludf.DUMMYFUNCTION("""COMPUTED_VALUE"""),"S9324077992")</f>
        <v>S9324077992</v>
      </c>
      <c r="I1553" s="17">
        <f>IFERROR(__xludf.DUMMYFUNCTION("""COMPUTED_VALUE"""),33.0)</f>
        <v>33</v>
      </c>
      <c r="J1553" s="17" t="str">
        <f>IFERROR(__xludf.DUMMYFUNCTION("""COMPUTED_VALUE"""),"25-34 tahun")</f>
        <v>25-34 tahun</v>
      </c>
      <c r="K1553" s="19">
        <f>IFERROR(__xludf.DUMMYFUNCTION("""COMPUTED_VALUE"""),33984.0)</f>
        <v>33984</v>
      </c>
      <c r="L1553" s="19" t="str">
        <f>IFERROR(__xludf.DUMMYFUNCTION("""COMPUTED_VALUE"""),"PEREMPUAN")</f>
        <v>PEREMPUAN</v>
      </c>
      <c r="M1553" s="35" t="str">
        <f>IFERROR(__xludf.DUMMYFUNCTION("""COMPUTED_VALUE"""),"JALAN TANJUNG RAYA 2, GANG H KADIR PERUMAHAN BUNGA PARMA NO.A46")</f>
        <v>JALAN TANJUNG RAYA 2, GANG H KADIR PERUMAHAN BUNGA PARMA NO.A46</v>
      </c>
      <c r="N1553" s="16" t="str">
        <f>IFERROR(__xludf.DUMMYFUNCTION("""COMPUTED_VALUE"""),"KEL. PARIT MAYOR")</f>
        <v>KEL. PARIT MAYOR</v>
      </c>
      <c r="O1553" s="16" t="str">
        <f>IFERROR(__xludf.DUMMYFUNCTION("""COMPUTED_VALUE"""),"KEC. PONTIANAK TIMUR")</f>
        <v>KEC. PONTIANAK TIMUR</v>
      </c>
      <c r="P1553" s="16" t="str">
        <f>IFERROR(__xludf.DUMMYFUNCTION("""COMPUTED_VALUE"""),"KOTA PONTIANAK")</f>
        <v>KOTA PONTIANAK</v>
      </c>
      <c r="Q1553" s="16" t="str">
        <f>IFERROR(__xludf.DUMMYFUNCTION("""COMPUTED_VALUE"""),"KALIMANTAN BARAT")</f>
        <v>KALIMANTAN BARAT</v>
      </c>
      <c r="R1553" s="19" t="str">
        <f>IFERROR(__xludf.DUMMYFUNCTION("""COMPUTED_VALUE"""),"ISLAM")</f>
        <v>ISLAM</v>
      </c>
      <c r="S1553" s="35" t="str">
        <f>IFERROR(__xludf.DUMMYFUNCTION("""COMPUTED_VALUE"""),"ASN")</f>
        <v>ASN</v>
      </c>
      <c r="T1553" s="16" t="str">
        <f>IFERROR(__xludf.DUMMYFUNCTION("""COMPUTED_VALUE"""),"CEDERA")</f>
        <v>CEDERA</v>
      </c>
      <c r="U1553" s="16" t="str">
        <f>IFERROR(__xludf.DUMMYFUNCTION("""COMPUTED_VALUE"""),"GYM")</f>
        <v>GYM</v>
      </c>
      <c r="V1553" s="11" t="str">
        <f>IFERROR(__xludf.DUMMYFUNCTION("""COMPUTED_VALUE"""),"082157997992")</f>
        <v>082157997992</v>
      </c>
      <c r="W1553" s="15"/>
    </row>
    <row r="1554" ht="22.5" customHeight="1">
      <c r="A1554" s="8"/>
      <c r="B1554" s="9">
        <f>IFERROR(__xludf.DUMMYFUNCTION("""COMPUTED_VALUE"""),45497.38702403935)</f>
        <v>45497.38702</v>
      </c>
      <c r="C1554" s="9"/>
      <c r="D1554" s="34">
        <f>IFERROR(__xludf.DUMMYFUNCTION("""COMPUTED_VALUE"""),45504.0)</f>
        <v>45504</v>
      </c>
      <c r="E1554" s="34" t="str">
        <f>IFERROR(__xludf.DUMMYFUNCTION("""COMPUTED_VALUE"""),"07Jul")</f>
        <v>07Jul</v>
      </c>
      <c r="F1554" s="34" t="str">
        <f>IFERROR(__xludf.DUMMYFUNCTION("""COMPUTED_VALUE"""),"2024")</f>
        <v>2024</v>
      </c>
      <c r="G1554" s="35" t="str">
        <f>IFERROR(__xludf.DUMMYFUNCTION("""COMPUTED_VALUE"""),"AGNI NUR ANNISA")</f>
        <v>AGNI NUR ANNISA</v>
      </c>
      <c r="H1554" s="17" t="str">
        <f>IFERROR(__xludf.DUMMYFUNCTION("""COMPUTED_VALUE"""),"A0724070715")</f>
        <v>A0724070715</v>
      </c>
      <c r="I1554" s="17">
        <f>IFERROR(__xludf.DUMMYFUNCTION("""COMPUTED_VALUE"""),18.0)</f>
        <v>18</v>
      </c>
      <c r="J1554" s="17" t="str">
        <f>IFERROR(__xludf.DUMMYFUNCTION("""COMPUTED_VALUE"""),"&lt; 18 tahun")</f>
        <v>&lt; 18 tahun</v>
      </c>
      <c r="K1554" s="19">
        <f>IFERROR(__xludf.DUMMYFUNCTION("""COMPUTED_VALUE"""),39375.0)</f>
        <v>39375</v>
      </c>
      <c r="L1554" s="19" t="str">
        <f>IFERROR(__xludf.DUMMYFUNCTION("""COMPUTED_VALUE"""),"PEREMPUAN")</f>
        <v>PEREMPUAN</v>
      </c>
      <c r="M1554" s="35" t="str">
        <f>IFERROR(__xludf.DUMMYFUNCTION("""COMPUTED_VALUE"""),"DANAU SENTARUM")</f>
        <v>DANAU SENTARUM</v>
      </c>
      <c r="N1554" s="16" t="str">
        <f>IFERROR(__xludf.DUMMYFUNCTION("""COMPUTED_VALUE"""),"KEL. SUNGAI BANGKONG")</f>
        <v>KEL. SUNGAI BANGKONG</v>
      </c>
      <c r="O1554" s="16" t="str">
        <f>IFERROR(__xludf.DUMMYFUNCTION("""COMPUTED_VALUE"""),"KEC. PONTIANAK KOTA")</f>
        <v>KEC. PONTIANAK KOTA</v>
      </c>
      <c r="P1554" s="16" t="str">
        <f>IFERROR(__xludf.DUMMYFUNCTION("""COMPUTED_VALUE"""),"KOTA PONTIANAK")</f>
        <v>KOTA PONTIANAK</v>
      </c>
      <c r="Q1554" s="16" t="str">
        <f>IFERROR(__xludf.DUMMYFUNCTION("""COMPUTED_VALUE"""),"KALIMANTAN BARAT")</f>
        <v>KALIMANTAN BARAT</v>
      </c>
      <c r="R1554" s="19" t="str">
        <f>IFERROR(__xludf.DUMMYFUNCTION("""COMPUTED_VALUE"""),"ISLAM")</f>
        <v>ISLAM</v>
      </c>
      <c r="S1554" s="35" t="str">
        <f>IFERROR(__xludf.DUMMYFUNCTION("""COMPUTED_VALUE"""),"PELAJAR/MAHASISWA")</f>
        <v>PELAJAR/MAHASISWA</v>
      </c>
      <c r="T1554" s="16" t="str">
        <f>IFERROR(__xludf.DUMMYFUNCTION("""COMPUTED_VALUE"""),"kaki ngilu dan tangan sakit")</f>
        <v>kaki ngilu dan tangan sakit</v>
      </c>
      <c r="U1554" s="16" t="str">
        <f>IFERROR(__xludf.DUMMYFUNCTION("""COMPUTED_VALUE"""),"sekolah dan berolahraga")</f>
        <v>sekolah dan berolahraga</v>
      </c>
      <c r="V1554" s="11" t="str">
        <f>IFERROR(__xludf.DUMMYFUNCTION("""COMPUTED_VALUE"""),"089518330715")</f>
        <v>089518330715</v>
      </c>
      <c r="W1554" s="15"/>
    </row>
    <row r="1555" ht="22.5" customHeight="1">
      <c r="A1555" s="8"/>
      <c r="B1555" s="9">
        <f>IFERROR(__xludf.DUMMYFUNCTION("""COMPUTED_VALUE"""),45497.458480914356)</f>
        <v>45497.45848</v>
      </c>
      <c r="C1555" s="9"/>
      <c r="D1555" s="34">
        <f>IFERROR(__xludf.DUMMYFUNCTION("""COMPUTED_VALUE"""),45504.0)</f>
        <v>45504</v>
      </c>
      <c r="E1555" s="34" t="str">
        <f>IFERROR(__xludf.DUMMYFUNCTION("""COMPUTED_VALUE"""),"07Jul")</f>
        <v>07Jul</v>
      </c>
      <c r="F1555" s="34" t="str">
        <f>IFERROR(__xludf.DUMMYFUNCTION("""COMPUTED_VALUE"""),"2024")</f>
        <v>2024</v>
      </c>
      <c r="G1555" s="35" t="str">
        <f>IFERROR(__xludf.DUMMYFUNCTION("""COMPUTED_VALUE"""),"YESSY MAYASARI")</f>
        <v>YESSY MAYASARI</v>
      </c>
      <c r="H1555" s="17" t="str">
        <f>IFERROR(__xludf.DUMMYFUNCTION("""COMPUTED_VALUE"""),"Y6024076590")</f>
        <v>Y6024076590</v>
      </c>
      <c r="I1555" s="17">
        <f>IFERROR(__xludf.DUMMYFUNCTION("""COMPUTED_VALUE"""),65.0)</f>
        <v>65</v>
      </c>
      <c r="J1555" s="17" t="str">
        <f>IFERROR(__xludf.DUMMYFUNCTION("""COMPUTED_VALUE"""),"&gt; 44 tahun")</f>
        <v>&gt; 44 tahun</v>
      </c>
      <c r="K1555" s="19">
        <f>IFERROR(__xludf.DUMMYFUNCTION("""COMPUTED_VALUE"""),22118.0)</f>
        <v>22118</v>
      </c>
      <c r="L1555" s="19" t="str">
        <f>IFERROR(__xludf.DUMMYFUNCTION("""COMPUTED_VALUE"""),"PEREMPUAN")</f>
        <v>PEREMPUAN</v>
      </c>
      <c r="M1555" s="35" t="str">
        <f>IFERROR(__xludf.DUMMYFUNCTION("""COMPUTED_VALUE"""),"JALAN PURNAMA, KOMPLEK DINASTI INDAH NOMOR C09")</f>
        <v>JALAN PURNAMA, KOMPLEK DINASTI INDAH NOMOR C09</v>
      </c>
      <c r="N1555" s="16" t="str">
        <f>IFERROR(__xludf.DUMMYFUNCTION("""COMPUTED_VALUE"""),"KEL. PARIT TOKAYA")</f>
        <v>KEL. PARIT TOKAYA</v>
      </c>
      <c r="O1555" s="16" t="str">
        <f>IFERROR(__xludf.DUMMYFUNCTION("""COMPUTED_VALUE"""),"KEC. PONTIANAK SELATAN")</f>
        <v>KEC. PONTIANAK SELATAN</v>
      </c>
      <c r="P1555" s="16" t="str">
        <f>IFERROR(__xludf.DUMMYFUNCTION("""COMPUTED_VALUE"""),"KOTA PONTIANAK")</f>
        <v>KOTA PONTIANAK</v>
      </c>
      <c r="Q1555" s="16" t="str">
        <f>IFERROR(__xludf.DUMMYFUNCTION("""COMPUTED_VALUE"""),"KALIMANTAN BARAT")</f>
        <v>KALIMANTAN BARAT</v>
      </c>
      <c r="R1555" s="19" t="str">
        <f>IFERROR(__xludf.DUMMYFUNCTION("""COMPUTED_VALUE"""),"ISLAM")</f>
        <v>ISLAM</v>
      </c>
      <c r="S1555" s="16" t="str">
        <f>IFERROR(__xludf.DUMMYFUNCTION("""COMPUTED_VALUE"""),"RUMAH TANGGA")</f>
        <v>RUMAH TANGGA</v>
      </c>
      <c r="T1555" s="16" t="str">
        <f>IFERROR(__xludf.DUMMYFUNCTION("""COMPUTED_VALUE"""),"Kali bengkok")</f>
        <v>Kali bengkok</v>
      </c>
      <c r="U1555" s="16" t="str">
        <f>IFERROR(__xludf.DUMMYFUNCTION("""COMPUTED_VALUE"""),"Ibu rumah tangga")</f>
        <v>Ibu rumah tangga</v>
      </c>
      <c r="V1555" s="11" t="str">
        <f>IFERROR(__xludf.DUMMYFUNCTION("""COMPUTED_VALUE"""),"085252006590")</f>
        <v>085252006590</v>
      </c>
      <c r="W1555" s="15"/>
    </row>
    <row r="1556" ht="22.5" customHeight="1">
      <c r="A1556" s="8"/>
      <c r="B1556" s="9">
        <f>IFERROR(__xludf.DUMMYFUNCTION("""COMPUTED_VALUE"""),45497.636207881944)</f>
        <v>45497.63621</v>
      </c>
      <c r="C1556" s="9"/>
      <c r="D1556" s="34">
        <f>IFERROR(__xludf.DUMMYFUNCTION("""COMPUTED_VALUE"""),45505.0)</f>
        <v>45505</v>
      </c>
      <c r="E1556" s="34" t="str">
        <f>IFERROR(__xludf.DUMMYFUNCTION("""COMPUTED_VALUE"""),"08Agu")</f>
        <v>08Agu</v>
      </c>
      <c r="F1556" s="34" t="str">
        <f>IFERROR(__xludf.DUMMYFUNCTION("""COMPUTED_VALUE"""),"2024")</f>
        <v>2024</v>
      </c>
      <c r="G1556" s="35" t="str">
        <f>IFERROR(__xludf.DUMMYFUNCTION("""COMPUTED_VALUE"""),"MUHAMMAD ASKARI AZZAM")</f>
        <v>MUHAMMAD ASKARI AZZAM</v>
      </c>
      <c r="H1556" s="17" t="str">
        <f>IFERROR(__xludf.DUMMYFUNCTION("""COMPUTED_VALUE"""),"M0924080923")</f>
        <v>M0924080923</v>
      </c>
      <c r="I1556" s="17">
        <f>IFERROR(__xludf.DUMMYFUNCTION("""COMPUTED_VALUE"""),17.0)</f>
        <v>17</v>
      </c>
      <c r="J1556" s="17" t="str">
        <f>IFERROR(__xludf.DUMMYFUNCTION("""COMPUTED_VALUE"""),"&lt; 18 tahun")</f>
        <v>&lt; 18 tahun</v>
      </c>
      <c r="K1556" s="19">
        <f>IFERROR(__xludf.DUMMYFUNCTION("""COMPUTED_VALUE"""),39926.0)</f>
        <v>39926</v>
      </c>
      <c r="L1556" s="19" t="str">
        <f>IFERROR(__xludf.DUMMYFUNCTION("""COMPUTED_VALUE"""),"LAKI-LAKI")</f>
        <v>LAKI-LAKI</v>
      </c>
      <c r="M1556" s="35" t="str">
        <f>IFERROR(__xludf.DUMMYFUNCTION("""COMPUTED_VALUE"""),"JL.PAK BENCENG GG.MORODADI 3A NO B9")</f>
        <v>JL.PAK BENCENG GG.MORODADI 3A NO B9</v>
      </c>
      <c r="N1556" s="16" t="str">
        <f>IFERROR(__xludf.DUMMYFUNCTION("""COMPUTED_VALUE"""),"KEL. KOTA BARU")</f>
        <v>KEL. KOTA BARU</v>
      </c>
      <c r="O1556" s="16" t="str">
        <f>IFERROR(__xludf.DUMMYFUNCTION("""COMPUTED_VALUE"""),"KEC. PONTIANAK KOTA")</f>
        <v>KEC. PONTIANAK KOTA</v>
      </c>
      <c r="P1556" s="16" t="str">
        <f>IFERROR(__xludf.DUMMYFUNCTION("""COMPUTED_VALUE"""),"KOTA PONTIANAK")</f>
        <v>KOTA PONTIANAK</v>
      </c>
      <c r="Q1556" s="16" t="str">
        <f>IFERROR(__xludf.DUMMYFUNCTION("""COMPUTED_VALUE"""),"KALIMANTAN BARAT")</f>
        <v>KALIMANTAN BARAT</v>
      </c>
      <c r="R1556" s="19" t="str">
        <f>IFERROR(__xludf.DUMMYFUNCTION("""COMPUTED_VALUE"""),"ISLAM")</f>
        <v>ISLAM</v>
      </c>
      <c r="S1556" s="35" t="str">
        <f>IFERROR(__xludf.DUMMYFUNCTION("""COMPUTED_VALUE"""),"PELAJAR/MAHASISWA")</f>
        <v>PELAJAR/MAHASISWA</v>
      </c>
      <c r="T1556" s="16" t="str">
        <f>IFERROR(__xludf.DUMMYFUNCTION("""COMPUTED_VALUE"""),"Otot pergelangan siku terasa tegang(dislokasi)")</f>
        <v>Otot pergelangan siku terasa tegang(dislokasi)</v>
      </c>
      <c r="U1556" s="16" t="str">
        <f>IFERROR(__xludf.DUMMYFUNCTION("""COMPUTED_VALUE"""),"Main Game,Badminton,Kadang kadang Baca buku Novel")</f>
        <v>Main Game,Badminton,Kadang kadang Baca buku Novel</v>
      </c>
      <c r="V1556" s="11" t="str">
        <f>IFERROR(__xludf.DUMMYFUNCTION("""COMPUTED_VALUE"""),"081545170923")</f>
        <v>081545170923</v>
      </c>
      <c r="W1556" s="15"/>
    </row>
    <row r="1557" ht="22.5" customHeight="1">
      <c r="A1557" s="8"/>
      <c r="B1557" s="9">
        <f>IFERROR(__xludf.DUMMYFUNCTION("""COMPUTED_VALUE"""),45497.625333923614)</f>
        <v>45497.62533</v>
      </c>
      <c r="C1557" s="9"/>
      <c r="D1557" s="34">
        <f>IFERROR(__xludf.DUMMYFUNCTION("""COMPUTED_VALUE"""),45505.0)</f>
        <v>45505</v>
      </c>
      <c r="E1557" s="34" t="str">
        <f>IFERROR(__xludf.DUMMYFUNCTION("""COMPUTED_VALUE"""),"08Agu")</f>
        <v>08Agu</v>
      </c>
      <c r="F1557" s="34" t="str">
        <f>IFERROR(__xludf.DUMMYFUNCTION("""COMPUTED_VALUE"""),"2024")</f>
        <v>2024</v>
      </c>
      <c r="G1557" s="35" t="str">
        <f>IFERROR(__xludf.DUMMYFUNCTION("""COMPUTED_VALUE"""),"MUHAMMAD ZULFIKAR")</f>
        <v>MUHAMMAD ZULFIKAR</v>
      </c>
      <c r="H1557" s="17" t="str">
        <f>IFERROR(__xludf.DUMMYFUNCTION("""COMPUTED_VALUE"""),"M9424089040")</f>
        <v>M9424089040</v>
      </c>
      <c r="I1557" s="17">
        <f>IFERROR(__xludf.DUMMYFUNCTION("""COMPUTED_VALUE"""),32.0)</f>
        <v>32</v>
      </c>
      <c r="J1557" s="17" t="str">
        <f>IFERROR(__xludf.DUMMYFUNCTION("""COMPUTED_VALUE"""),"25-34 tahun")</f>
        <v>25-34 tahun</v>
      </c>
      <c r="K1557" s="19">
        <f>IFERROR(__xludf.DUMMYFUNCTION("""COMPUTED_VALUE"""),34453.0)</f>
        <v>34453</v>
      </c>
      <c r="L1557" s="19" t="str">
        <f>IFERROR(__xludf.DUMMYFUNCTION("""COMPUTED_VALUE"""),"LAKI-LAKI")</f>
        <v>LAKI-LAKI</v>
      </c>
      <c r="M1557" s="35" t="str">
        <f>IFERROR(__xludf.DUMMYFUNCTION("""COMPUTED_VALUE"""),"JL SULTAN SYAHRIR, GG. RAWASARI 2 KOMP. RAWASARI RESIDENCE")</f>
        <v>JL SULTAN SYAHRIR, GG. RAWASARI 2 KOMP. RAWASARI RESIDENCE</v>
      </c>
      <c r="N1557" s="16" t="str">
        <f>IFERROR(__xludf.DUMMYFUNCTION("""COMPUTED_VALUE"""),"KEL. SUNGAI BANGKONG")</f>
        <v>KEL. SUNGAI BANGKONG</v>
      </c>
      <c r="O1557" s="16" t="str">
        <f>IFERROR(__xludf.DUMMYFUNCTION("""COMPUTED_VALUE"""),"KEC. PONTIANAK KOTA")</f>
        <v>KEC. PONTIANAK KOTA</v>
      </c>
      <c r="P1557" s="16" t="str">
        <f>IFERROR(__xludf.DUMMYFUNCTION("""COMPUTED_VALUE"""),"KOTA PONTIANAK")</f>
        <v>KOTA PONTIANAK</v>
      </c>
      <c r="Q1557" s="16" t="str">
        <f>IFERROR(__xludf.DUMMYFUNCTION("""COMPUTED_VALUE"""),"KALIMANTAN BARAT")</f>
        <v>KALIMANTAN BARAT</v>
      </c>
      <c r="R1557" s="19" t="str">
        <f>IFERROR(__xludf.DUMMYFUNCTION("""COMPUTED_VALUE"""),"ISLAM")</f>
        <v>ISLAM</v>
      </c>
      <c r="S1557" s="16" t="str">
        <f>IFERROR(__xludf.DUMMYFUNCTION("""COMPUTED_VALUE"""),"SWASTA")</f>
        <v>SWASTA</v>
      </c>
      <c r="T1557" s="16" t="str">
        <f>IFERROR(__xludf.DUMMYFUNCTION("""COMPUTED_VALUE"""),"nyeri di")</f>
        <v>nyeri di</v>
      </c>
      <c r="U1557" s="16" t="str">
        <f>IFERROR(__xludf.DUMMYFUNCTION("""COMPUTED_VALUE"""),"sepakbola")</f>
        <v>sepakbola</v>
      </c>
      <c r="V1557" s="11" t="str">
        <f>IFERROR(__xludf.DUMMYFUNCTION("""COMPUTED_VALUE"""),"0895411889040")</f>
        <v>0895411889040</v>
      </c>
      <c r="W1557" s="15"/>
    </row>
    <row r="1558" ht="22.5" customHeight="1">
      <c r="A1558" s="8"/>
      <c r="B1558" s="9">
        <f>IFERROR(__xludf.DUMMYFUNCTION("""COMPUTED_VALUE"""),45498.45854493056)</f>
        <v>45498.45854</v>
      </c>
      <c r="C1558" s="9"/>
      <c r="D1558" s="34">
        <f>IFERROR(__xludf.DUMMYFUNCTION("""COMPUTED_VALUE"""),45505.0)</f>
        <v>45505</v>
      </c>
      <c r="E1558" s="34" t="str">
        <f>IFERROR(__xludf.DUMMYFUNCTION("""COMPUTED_VALUE"""),"08Agu")</f>
        <v>08Agu</v>
      </c>
      <c r="F1558" s="34" t="str">
        <f>IFERROR(__xludf.DUMMYFUNCTION("""COMPUTED_VALUE"""),"2024")</f>
        <v>2024</v>
      </c>
      <c r="G1558" s="35" t="str">
        <f>IFERROR(__xludf.DUMMYFUNCTION("""COMPUTED_VALUE"""),"MARIO GOTHEDY")</f>
        <v>MARIO GOTHEDY</v>
      </c>
      <c r="H1558" s="17" t="str">
        <f>IFERROR(__xludf.DUMMYFUNCTION("""COMPUTED_VALUE"""),"M0224087001")</f>
        <v>M0224087001</v>
      </c>
      <c r="I1558" s="17">
        <f>IFERROR(__xludf.DUMMYFUNCTION("""COMPUTED_VALUE"""),24.0)</f>
        <v>24</v>
      </c>
      <c r="J1558" s="17" t="str">
        <f>IFERROR(__xludf.DUMMYFUNCTION("""COMPUTED_VALUE"""),"18-24 tahun")</f>
        <v>18-24 tahun</v>
      </c>
      <c r="K1558" s="19">
        <f>IFERROR(__xludf.DUMMYFUNCTION("""COMPUTED_VALUE"""),37310.0)</f>
        <v>37310</v>
      </c>
      <c r="L1558" s="19" t="str">
        <f>IFERROR(__xludf.DUMMYFUNCTION("""COMPUTED_VALUE"""),"LAKI-LAKI")</f>
        <v>LAKI-LAKI</v>
      </c>
      <c r="M1558" s="35" t="str">
        <f>IFERROR(__xludf.DUMMYFUNCTION("""COMPUTED_VALUE"""),"JALAN ADI SUCIPTO")</f>
        <v>JALAN ADI SUCIPTO</v>
      </c>
      <c r="N1558" s="16" t="str">
        <f>IFERROR(__xludf.DUMMYFUNCTION("""COMPUTED_VALUE"""),"DS. TELUK KAPUAS")</f>
        <v>DS. TELUK KAPUAS</v>
      </c>
      <c r="O1558" s="16" t="str">
        <f>IFERROR(__xludf.DUMMYFUNCTION("""COMPUTED_VALUE"""),"KEC. SUNGAI RAYA")</f>
        <v>KEC. SUNGAI RAYA</v>
      </c>
      <c r="P1558" s="16" t="str">
        <f>IFERROR(__xludf.DUMMYFUNCTION("""COMPUTED_VALUE"""),"KAB. KUBU RAYA")</f>
        <v>KAB. KUBU RAYA</v>
      </c>
      <c r="Q1558" s="16" t="str">
        <f>IFERROR(__xludf.DUMMYFUNCTION("""COMPUTED_VALUE"""),"KALIMANTAN BARAT")</f>
        <v>KALIMANTAN BARAT</v>
      </c>
      <c r="R1558" s="19" t="str">
        <f>IFERROR(__xludf.DUMMYFUNCTION("""COMPUTED_VALUE"""),"BUDDHA")</f>
        <v>BUDDHA</v>
      </c>
      <c r="S1558" s="35" t="str">
        <f>IFERROR(__xludf.DUMMYFUNCTION("""COMPUTED_VALUE"""),"PELAJAR/MAHASISWA")</f>
        <v>PELAJAR/MAHASISWA</v>
      </c>
      <c r="T1558" s="16" t="str">
        <f>IFERROR(__xludf.DUMMYFUNCTION("""COMPUTED_VALUE"""),"PINGGNG")</f>
        <v>PINGGNG</v>
      </c>
      <c r="U1558" s="16" t="str">
        <f>IFERROR(__xludf.DUMMYFUNCTION("""COMPUTED_VALUE"""),"BASKET")</f>
        <v>BASKET</v>
      </c>
      <c r="V1558" s="11" t="str">
        <f>IFERROR(__xludf.DUMMYFUNCTION("""COMPUTED_VALUE"""),"087871207001")</f>
        <v>087871207001</v>
      </c>
      <c r="W1558" s="15"/>
    </row>
    <row r="1559" ht="22.5" customHeight="1">
      <c r="A1559" s="8"/>
      <c r="B1559" s="9">
        <f>IFERROR(__xludf.DUMMYFUNCTION("""COMPUTED_VALUE"""),45498.55405831018)</f>
        <v>45498.55406</v>
      </c>
      <c r="C1559" s="9"/>
      <c r="D1559" s="34">
        <f>IFERROR(__xludf.DUMMYFUNCTION("""COMPUTED_VALUE"""),45505.0)</f>
        <v>45505</v>
      </c>
      <c r="E1559" s="34" t="str">
        <f>IFERROR(__xludf.DUMMYFUNCTION("""COMPUTED_VALUE"""),"08Agu")</f>
        <v>08Agu</v>
      </c>
      <c r="F1559" s="34" t="str">
        <f>IFERROR(__xludf.DUMMYFUNCTION("""COMPUTED_VALUE"""),"2024")</f>
        <v>2024</v>
      </c>
      <c r="G1559" s="35" t="str">
        <f>IFERROR(__xludf.DUMMYFUNCTION("""COMPUTED_VALUE"""),"REZA RADITYA")</f>
        <v>REZA RADITYA</v>
      </c>
      <c r="H1559" s="17" t="str">
        <f>IFERROR(__xludf.DUMMYFUNCTION("""COMPUTED_VALUE"""),"R9724083584")</f>
        <v>R9724083584</v>
      </c>
      <c r="I1559" s="17">
        <f>IFERROR(__xludf.DUMMYFUNCTION("""COMPUTED_VALUE"""),28.0)</f>
        <v>28</v>
      </c>
      <c r="J1559" s="17" t="str">
        <f>IFERROR(__xludf.DUMMYFUNCTION("""COMPUTED_VALUE"""),"25-34 tahun")</f>
        <v>25-34 tahun</v>
      </c>
      <c r="K1559" s="19">
        <f>IFERROR(__xludf.DUMMYFUNCTION("""COMPUTED_VALUE"""),35785.0)</f>
        <v>35785</v>
      </c>
      <c r="L1559" s="19" t="str">
        <f>IFERROR(__xludf.DUMMYFUNCTION("""COMPUTED_VALUE"""),"LAKI-LAKI")</f>
        <v>LAKI-LAKI</v>
      </c>
      <c r="M1559" s="35" t="str">
        <f>IFERROR(__xludf.DUMMYFUNCTION("""COMPUTED_VALUE"""),"JL.M.SOHOR GG.SUDIMORO NO.52")</f>
        <v>JL.M.SOHOR GG.SUDIMORO NO.52</v>
      </c>
      <c r="N1559" s="16" t="str">
        <f>IFERROR(__xludf.DUMMYFUNCTION("""COMPUTED_VALUE"""),"KEL. AKCAYA")</f>
        <v>KEL. AKCAYA</v>
      </c>
      <c r="O1559" s="16" t="str">
        <f>IFERROR(__xludf.DUMMYFUNCTION("""COMPUTED_VALUE"""),"KEC. PONTIANAK SELATAN")</f>
        <v>KEC. PONTIANAK SELATAN</v>
      </c>
      <c r="P1559" s="16" t="str">
        <f>IFERROR(__xludf.DUMMYFUNCTION("""COMPUTED_VALUE"""),"KOTA PONTIANAK")</f>
        <v>KOTA PONTIANAK</v>
      </c>
      <c r="Q1559" s="16" t="str">
        <f>IFERROR(__xludf.DUMMYFUNCTION("""COMPUTED_VALUE"""),"KALIMANTAN BARAT")</f>
        <v>KALIMANTAN BARAT</v>
      </c>
      <c r="R1559" s="19" t="str">
        <f>IFERROR(__xludf.DUMMYFUNCTION("""COMPUTED_VALUE"""),"ISLAM")</f>
        <v>ISLAM</v>
      </c>
      <c r="S1559" s="35" t="str">
        <f>IFERROR(__xludf.DUMMYFUNCTION("""COMPUTED_VALUE"""),"FREELANCE")</f>
        <v>FREELANCE</v>
      </c>
      <c r="T1559" s="16" t="str">
        <f>IFERROR(__xludf.DUMMYFUNCTION("""COMPUTED_VALUE"""),"Cedera engkel")</f>
        <v>Cedera engkel</v>
      </c>
      <c r="U1559" s="16" t="str">
        <f>IFERROR(__xludf.DUMMYFUNCTION("""COMPUTED_VALUE"""),"Nyanyi")</f>
        <v>Nyanyi</v>
      </c>
      <c r="V1559" s="11" t="str">
        <f>IFERROR(__xludf.DUMMYFUNCTION("""COMPUTED_VALUE"""),"085246573584")</f>
        <v>085246573584</v>
      </c>
      <c r="W1559" s="15"/>
    </row>
    <row r="1560" ht="22.5" customHeight="1">
      <c r="A1560" s="8"/>
      <c r="B1560" s="9">
        <f>IFERROR(__xludf.DUMMYFUNCTION("""COMPUTED_VALUE"""),45498.66049628472)</f>
        <v>45498.6605</v>
      </c>
      <c r="C1560" s="9"/>
      <c r="D1560" s="34">
        <f>IFERROR(__xludf.DUMMYFUNCTION("""COMPUTED_VALUE"""),45506.0)</f>
        <v>45506</v>
      </c>
      <c r="E1560" s="34" t="str">
        <f>IFERROR(__xludf.DUMMYFUNCTION("""COMPUTED_VALUE"""),"08Agu")</f>
        <v>08Agu</v>
      </c>
      <c r="F1560" s="34" t="str">
        <f>IFERROR(__xludf.DUMMYFUNCTION("""COMPUTED_VALUE"""),"2024")</f>
        <v>2024</v>
      </c>
      <c r="G1560" s="35" t="str">
        <f>IFERROR(__xludf.DUMMYFUNCTION("""COMPUTED_VALUE"""),"INDAH ROSANTI")</f>
        <v>INDAH ROSANTI</v>
      </c>
      <c r="H1560" s="17" t="str">
        <f>IFERROR(__xludf.DUMMYFUNCTION("""COMPUTED_VALUE"""),"I6924083855")</f>
        <v>I6924083855</v>
      </c>
      <c r="I1560" s="17">
        <f>IFERROR(__xludf.DUMMYFUNCTION("""COMPUTED_VALUE"""),56.0)</f>
        <v>56</v>
      </c>
      <c r="J1560" s="17" t="str">
        <f>IFERROR(__xludf.DUMMYFUNCTION("""COMPUTED_VALUE"""),"&gt; 44 tahun")</f>
        <v>&gt; 44 tahun</v>
      </c>
      <c r="K1560" s="19">
        <f>IFERROR(__xludf.DUMMYFUNCTION("""COMPUTED_VALUE"""),25477.0)</f>
        <v>25477</v>
      </c>
      <c r="L1560" s="19" t="str">
        <f>IFERROR(__xludf.DUMMYFUNCTION("""COMPUTED_VALUE"""),"PEREMPUAN")</f>
        <v>PEREMPUAN</v>
      </c>
      <c r="M1560" s="35" t="str">
        <f>IFERROR(__xludf.DUMMYFUNCTION("""COMPUTED_VALUE"""),"JL PERDANA KOMP POLITEKNIK H 08")</f>
        <v>JL PERDANA KOMP POLITEKNIK H 08</v>
      </c>
      <c r="N1560" s="16" t="str">
        <f>IFERROR(__xludf.DUMMYFUNCTION("""COMPUTED_VALUE"""),"KEL. BANSIR LAUT")</f>
        <v>KEL. BANSIR LAUT</v>
      </c>
      <c r="O1560" s="16" t="str">
        <f>IFERROR(__xludf.DUMMYFUNCTION("""COMPUTED_VALUE"""),"KEC. PONTIANAK TENGGARA")</f>
        <v>KEC. PONTIANAK TENGGARA</v>
      </c>
      <c r="P1560" s="16" t="str">
        <f>IFERROR(__xludf.DUMMYFUNCTION("""COMPUTED_VALUE"""),"KOTA PONTIANAK")</f>
        <v>KOTA PONTIANAK</v>
      </c>
      <c r="Q1560" s="16" t="str">
        <f>IFERROR(__xludf.DUMMYFUNCTION("""COMPUTED_VALUE"""),"KALIMANTAN BARAT")</f>
        <v>KALIMANTAN BARAT</v>
      </c>
      <c r="R1560" s="19" t="str">
        <f>IFERROR(__xludf.DUMMYFUNCTION("""COMPUTED_VALUE"""),"ISLAM")</f>
        <v>ISLAM</v>
      </c>
      <c r="S1560" s="35" t="str">
        <f>IFERROR(__xludf.DUMMYFUNCTION("""COMPUTED_VALUE"""),"ASN")</f>
        <v>ASN</v>
      </c>
      <c r="T1560" s="16" t="str">
        <f>IFERROR(__xludf.DUMMYFUNCTION("""COMPUTED_VALUE"""),"Sakit kaki habis jatuh dan suka ngilu, lengan bengkak")</f>
        <v>Sakit kaki habis jatuh dan suka ngilu, lengan bengkak</v>
      </c>
      <c r="U1560" s="16" t="str">
        <f>IFERROR(__xludf.DUMMYFUNCTION("""COMPUTED_VALUE"""),"Mengajar dan ibu rumah tangga")</f>
        <v>Mengajar dan ibu rumah tangga</v>
      </c>
      <c r="V1560" s="11" t="str">
        <f>IFERROR(__xludf.DUMMYFUNCTION("""COMPUTED_VALUE"""),"087774163855")</f>
        <v>087774163855</v>
      </c>
      <c r="W1560" s="15"/>
    </row>
    <row r="1561" ht="22.5" customHeight="1">
      <c r="A1561" s="8"/>
      <c r="B1561" s="9">
        <f>IFERROR(__xludf.DUMMYFUNCTION("""COMPUTED_VALUE"""),45499.81626662037)</f>
        <v>45499.81627</v>
      </c>
      <c r="C1561" s="9"/>
      <c r="D1561" s="34">
        <f>IFERROR(__xludf.DUMMYFUNCTION("""COMPUTED_VALUE"""),45506.0)</f>
        <v>45506</v>
      </c>
      <c r="E1561" s="34" t="str">
        <f>IFERROR(__xludf.DUMMYFUNCTION("""COMPUTED_VALUE"""),"08Agu")</f>
        <v>08Agu</v>
      </c>
      <c r="F1561" s="34" t="str">
        <f>IFERROR(__xludf.DUMMYFUNCTION("""COMPUTED_VALUE"""),"2024")</f>
        <v>2024</v>
      </c>
      <c r="G1561" s="35" t="str">
        <f>IFERROR(__xludf.DUMMYFUNCTION("""COMPUTED_VALUE"""),"ABDURROHMAN AL FIKRI")</f>
        <v>ABDURROHMAN AL FIKRI</v>
      </c>
      <c r="H1561" s="17" t="str">
        <f>IFERROR(__xludf.DUMMYFUNCTION("""COMPUTED_VALUE"""),"A9924088313")</f>
        <v>A9924088313</v>
      </c>
      <c r="I1561" s="17">
        <f>IFERROR(__xludf.DUMMYFUNCTION("""COMPUTED_VALUE"""),26.0)</f>
        <v>26</v>
      </c>
      <c r="J1561" s="17" t="str">
        <f>IFERROR(__xludf.DUMMYFUNCTION("""COMPUTED_VALUE"""),"25-34 tahun")</f>
        <v>25-34 tahun</v>
      </c>
      <c r="K1561" s="19">
        <f>IFERROR(__xludf.DUMMYFUNCTION("""COMPUTED_VALUE"""),36457.0)</f>
        <v>36457</v>
      </c>
      <c r="L1561" s="19" t="str">
        <f>IFERROR(__xludf.DUMMYFUNCTION("""COMPUTED_VALUE"""),"LAKI-LAKI")</f>
        <v>LAKI-LAKI</v>
      </c>
      <c r="M1561" s="35" t="str">
        <f>IFERROR(__xludf.DUMMYFUNCTION("""COMPUTED_VALUE"""),"JL. BHAYANGKARA")</f>
        <v>JL. BHAYANGKARA</v>
      </c>
      <c r="N1561" s="16" t="str">
        <f>IFERROR(__xludf.DUMMYFUNCTION("""COMPUTED_VALUE"""),"DS. SUTERA")</f>
        <v>DS. SUTERA</v>
      </c>
      <c r="O1561" s="16" t="str">
        <f>IFERROR(__xludf.DUMMYFUNCTION("""COMPUTED_VALUE"""),"KEC. SUKADANA")</f>
        <v>KEC. SUKADANA</v>
      </c>
      <c r="P1561" s="16" t="str">
        <f>IFERROR(__xludf.DUMMYFUNCTION("""COMPUTED_VALUE"""),"KAB. KAYONG UTARA")</f>
        <v>KAB. KAYONG UTARA</v>
      </c>
      <c r="Q1561" s="16" t="str">
        <f>IFERROR(__xludf.DUMMYFUNCTION("""COMPUTED_VALUE"""),"KALIMANTAN BARAT")</f>
        <v>KALIMANTAN BARAT</v>
      </c>
      <c r="R1561" s="19" t="str">
        <f>IFERROR(__xludf.DUMMYFUNCTION("""COMPUTED_VALUE"""),"ISLAM")</f>
        <v>ISLAM</v>
      </c>
      <c r="S1561" s="16" t="str">
        <f>IFERROR(__xludf.DUMMYFUNCTION("""COMPUTED_VALUE"""),"ASN")</f>
        <v>ASN</v>
      </c>
      <c r="T1561" s="16" t="str">
        <f>IFERROR(__xludf.DUMMYFUNCTION("""COMPUTED_VALUE"""),"Acl")</f>
        <v>Acl</v>
      </c>
      <c r="U1561" s="16" t="str">
        <f>IFERROR(__xludf.DUMMYFUNCTION("""COMPUTED_VALUE"""),"Futsal sepakbola running")</f>
        <v>Futsal sepakbola running</v>
      </c>
      <c r="V1561" s="11" t="str">
        <f>IFERROR(__xludf.DUMMYFUNCTION("""COMPUTED_VALUE"""),"081252808313")</f>
        <v>081252808313</v>
      </c>
      <c r="W1561" s="15"/>
    </row>
    <row r="1562" ht="22.5" customHeight="1">
      <c r="A1562" s="8"/>
      <c r="B1562" s="9">
        <f>IFERROR(__xludf.DUMMYFUNCTION("""COMPUTED_VALUE"""),45499.82423774306)</f>
        <v>45499.82424</v>
      </c>
      <c r="C1562" s="9"/>
      <c r="D1562" s="34">
        <f>IFERROR(__xludf.DUMMYFUNCTION("""COMPUTED_VALUE"""),45506.0)</f>
        <v>45506</v>
      </c>
      <c r="E1562" s="34" t="str">
        <f>IFERROR(__xludf.DUMMYFUNCTION("""COMPUTED_VALUE"""),"08Agu")</f>
        <v>08Agu</v>
      </c>
      <c r="F1562" s="34" t="str">
        <f>IFERROR(__xludf.DUMMYFUNCTION("""COMPUTED_VALUE"""),"2024")</f>
        <v>2024</v>
      </c>
      <c r="G1562" s="35" t="str">
        <f>IFERROR(__xludf.DUMMYFUNCTION("""COMPUTED_VALUE"""),"MUHAMMAD GAVIN BYANTARA")</f>
        <v>MUHAMMAD GAVIN BYANTARA</v>
      </c>
      <c r="H1562" s="17" t="str">
        <f>IFERROR(__xludf.DUMMYFUNCTION("""COMPUTED_VALUE"""),"M1424088888")</f>
        <v>M1424088888</v>
      </c>
      <c r="I1562" s="17">
        <f>IFERROR(__xludf.DUMMYFUNCTION("""COMPUTED_VALUE"""),12.0)</f>
        <v>12</v>
      </c>
      <c r="J1562" s="17" t="str">
        <f>IFERROR(__xludf.DUMMYFUNCTION("""COMPUTED_VALUE"""),"&lt; 18 tahun")</f>
        <v>&lt; 18 tahun</v>
      </c>
      <c r="K1562" s="19">
        <f>IFERROR(__xludf.DUMMYFUNCTION("""COMPUTED_VALUE"""),41724.0)</f>
        <v>41724</v>
      </c>
      <c r="L1562" s="19" t="str">
        <f>IFERROR(__xludf.DUMMYFUNCTION("""COMPUTED_VALUE"""),"LAKI-LAKI")</f>
        <v>LAKI-LAKI</v>
      </c>
      <c r="M1562" s="35" t="str">
        <f>IFERROR(__xludf.DUMMYFUNCTION("""COMPUTED_VALUE"""),"JL HM SUWIGNYO NO 9")</f>
        <v>JL HM SUWIGNYO NO 9</v>
      </c>
      <c r="N1562" s="16" t="str">
        <f>IFERROR(__xludf.DUMMYFUNCTION("""COMPUTED_VALUE"""),"KEL. SUNGAI BANGKONG")</f>
        <v>KEL. SUNGAI BANGKONG</v>
      </c>
      <c r="O1562" s="16" t="str">
        <f>IFERROR(__xludf.DUMMYFUNCTION("""COMPUTED_VALUE"""),"KEC. PONTIANAK KOTA")</f>
        <v>KEC. PONTIANAK KOTA</v>
      </c>
      <c r="P1562" s="16" t="str">
        <f>IFERROR(__xludf.DUMMYFUNCTION("""COMPUTED_VALUE"""),"KOTA PONTIANAK")</f>
        <v>KOTA PONTIANAK</v>
      </c>
      <c r="Q1562" s="16" t="str">
        <f>IFERROR(__xludf.DUMMYFUNCTION("""COMPUTED_VALUE"""),"KALIMANTAN BARAT")</f>
        <v>KALIMANTAN BARAT</v>
      </c>
      <c r="R1562" s="19" t="str">
        <f>IFERROR(__xludf.DUMMYFUNCTION("""COMPUTED_VALUE"""),"ISLAM")</f>
        <v>ISLAM</v>
      </c>
      <c r="S1562" s="16" t="str">
        <f>IFERROR(__xludf.DUMMYFUNCTION("""COMPUTED_VALUE"""),"PELAJAR/MAHASISWA")</f>
        <v>PELAJAR/MAHASISWA</v>
      </c>
      <c r="T1562" s="16" t="str">
        <f>IFERROR(__xludf.DUMMYFUNCTION("""COMPUTED_VALUE"""),"SAKIT")</f>
        <v>SAKIT</v>
      </c>
      <c r="U1562" s="16" t="str">
        <f>IFERROR(__xludf.DUMMYFUNCTION("""COMPUTED_VALUE"""),"FUTSAL , MINISOCCER")</f>
        <v>FUTSAL , MINISOCCER</v>
      </c>
      <c r="V1562" s="11" t="str">
        <f>IFERROR(__xludf.DUMMYFUNCTION("""COMPUTED_VALUE"""),"081256048888")</f>
        <v>081256048888</v>
      </c>
      <c r="W1562" s="15"/>
    </row>
    <row r="1563" ht="22.5" customHeight="1">
      <c r="A1563" s="8"/>
      <c r="B1563" s="9">
        <f>IFERROR(__xludf.DUMMYFUNCTION("""COMPUTED_VALUE"""),45499.839164641206)</f>
        <v>45499.83916</v>
      </c>
      <c r="C1563" s="9"/>
      <c r="D1563" s="34">
        <f>IFERROR(__xludf.DUMMYFUNCTION("""COMPUTED_VALUE"""),45507.0)</f>
        <v>45507</v>
      </c>
      <c r="E1563" s="34" t="str">
        <f>IFERROR(__xludf.DUMMYFUNCTION("""COMPUTED_VALUE"""),"08Agu")</f>
        <v>08Agu</v>
      </c>
      <c r="F1563" s="34" t="str">
        <f>IFERROR(__xludf.DUMMYFUNCTION("""COMPUTED_VALUE"""),"2024")</f>
        <v>2024</v>
      </c>
      <c r="G1563" s="35" t="str">
        <f>IFERROR(__xludf.DUMMYFUNCTION("""COMPUTED_VALUE"""),"ROS")</f>
        <v>ROS</v>
      </c>
      <c r="H1563" s="17" t="str">
        <f>IFERROR(__xludf.DUMMYFUNCTION("""COMPUTED_VALUE"""),"R6424087967")</f>
        <v>R6424087967</v>
      </c>
      <c r="I1563" s="17">
        <f>IFERROR(__xludf.DUMMYFUNCTION("""COMPUTED_VALUE"""),62.0)</f>
        <v>62</v>
      </c>
      <c r="J1563" s="17" t="str">
        <f>IFERROR(__xludf.DUMMYFUNCTION("""COMPUTED_VALUE"""),"&gt; 44 tahun")</f>
        <v>&gt; 44 tahun</v>
      </c>
      <c r="K1563" s="19">
        <f>IFERROR(__xludf.DUMMYFUNCTION("""COMPUTED_VALUE"""),23494.0)</f>
        <v>23494</v>
      </c>
      <c r="L1563" s="19" t="str">
        <f>IFERROR(__xludf.DUMMYFUNCTION("""COMPUTED_VALUE"""),"PEREMPUAN")</f>
        <v>PEREMPUAN</v>
      </c>
      <c r="M1563" s="35" t="str">
        <f>IFERROR(__xludf.DUMMYFUNCTION("""COMPUTED_VALUE"""),"JALAN ADISUCIPTO KM 13.6")</f>
        <v>JALAN ADISUCIPTO KM 13.6</v>
      </c>
      <c r="N1563" s="16" t="str">
        <f>IFERROR(__xludf.DUMMYFUNCTION("""COMPUTED_VALUE"""),"DS. ARANG LIMBUNG")</f>
        <v>DS. ARANG LIMBUNG</v>
      </c>
      <c r="O1563" s="16" t="str">
        <f>IFERROR(__xludf.DUMMYFUNCTION("""COMPUTED_VALUE"""),"KEC. KUBU RAYA")</f>
        <v>KEC. KUBU RAYA</v>
      </c>
      <c r="P1563" s="16" t="str">
        <f>IFERROR(__xludf.DUMMYFUNCTION("""COMPUTED_VALUE"""),"KAB. KUBU RAYA")</f>
        <v>KAB. KUBU RAYA</v>
      </c>
      <c r="Q1563" s="16" t="str">
        <f>IFERROR(__xludf.DUMMYFUNCTION("""COMPUTED_VALUE"""),"KALIMANTAN BARAT")</f>
        <v>KALIMANTAN BARAT</v>
      </c>
      <c r="R1563" s="19" t="str">
        <f>IFERROR(__xludf.DUMMYFUNCTION("""COMPUTED_VALUE"""),"KATOLIK")</f>
        <v>KATOLIK</v>
      </c>
      <c r="S1563" s="16" t="str">
        <f>IFERROR(__xludf.DUMMYFUNCTION("""COMPUTED_VALUE"""),"RUMAH TANGGA")</f>
        <v>RUMAH TANGGA</v>
      </c>
      <c r="T1563" s="16" t="str">
        <f>IFERROR(__xludf.DUMMYFUNCTION("""COMPUTED_VALUE"""),"Sakit bahu tidak bisa ke belakang")</f>
        <v>Sakit bahu tidak bisa ke belakang</v>
      </c>
      <c r="U1563" s="16" t="str">
        <f>IFERROR(__xludf.DUMMYFUNCTION("""COMPUTED_VALUE"""),"Dirumah")</f>
        <v>Dirumah</v>
      </c>
      <c r="V1563" s="11" t="str">
        <f>IFERROR(__xludf.DUMMYFUNCTION("""COMPUTED_VALUE"""),"087776777967")</f>
        <v>087776777967</v>
      </c>
      <c r="W1563" s="15"/>
    </row>
    <row r="1564" ht="22.5" customHeight="1">
      <c r="A1564" s="8"/>
      <c r="B1564" s="9">
        <f>IFERROR(__xludf.DUMMYFUNCTION("""COMPUTED_VALUE"""),45500.51193700232)</f>
        <v>45500.51194</v>
      </c>
      <c r="C1564" s="9"/>
      <c r="D1564" s="34">
        <f>IFERROR(__xludf.DUMMYFUNCTION("""COMPUTED_VALUE"""),45507.0)</f>
        <v>45507</v>
      </c>
      <c r="E1564" s="34" t="str">
        <f>IFERROR(__xludf.DUMMYFUNCTION("""COMPUTED_VALUE"""),"08Agu")</f>
        <v>08Agu</v>
      </c>
      <c r="F1564" s="34" t="str">
        <f>IFERROR(__xludf.DUMMYFUNCTION("""COMPUTED_VALUE"""),"2024")</f>
        <v>2024</v>
      </c>
      <c r="G1564" s="35" t="str">
        <f>IFERROR(__xludf.DUMMYFUNCTION("""COMPUTED_VALUE"""),"NABILAH")</f>
        <v>NABILAH</v>
      </c>
      <c r="H1564" s="17" t="str">
        <f>IFERROR(__xludf.DUMMYFUNCTION("""COMPUTED_VALUE"""),"N9824084755")</f>
        <v>N9824084755</v>
      </c>
      <c r="I1564" s="17">
        <f>IFERROR(__xludf.DUMMYFUNCTION("""COMPUTED_VALUE"""),27.0)</f>
        <v>27</v>
      </c>
      <c r="J1564" s="17" t="str">
        <f>IFERROR(__xludf.DUMMYFUNCTION("""COMPUTED_VALUE"""),"25-34 tahun")</f>
        <v>25-34 tahun</v>
      </c>
      <c r="K1564" s="19">
        <f>IFERROR(__xludf.DUMMYFUNCTION("""COMPUTED_VALUE"""),35990.0)</f>
        <v>35990</v>
      </c>
      <c r="L1564" s="19" t="str">
        <f>IFERROR(__xludf.DUMMYFUNCTION("""COMPUTED_VALUE"""),"PEREMPUAN")</f>
        <v>PEREMPUAN</v>
      </c>
      <c r="M1564" s="35" t="str">
        <f>IFERROR(__xludf.DUMMYFUNCTION("""COMPUTED_VALUE"""),"JL. TANI GG. MELATIH PUTIH NO.78B")</f>
        <v>JL. TANI GG. MELATIH PUTIH NO.78B</v>
      </c>
      <c r="N1564" s="16" t="str">
        <f>IFERROR(__xludf.DUMMYFUNCTION("""COMPUTED_VALUE"""),"KEL. PASIRAN")</f>
        <v>KEL. PASIRAN</v>
      </c>
      <c r="O1564" s="16" t="str">
        <f>IFERROR(__xludf.DUMMYFUNCTION("""COMPUTED_VALUE"""),"KEC. SINGKAWANG BARAT")</f>
        <v>KEC. SINGKAWANG BARAT</v>
      </c>
      <c r="P1564" s="35" t="str">
        <f>IFERROR(__xludf.DUMMYFUNCTION("""COMPUTED_VALUE"""),"KOTA SINGKAWANG")</f>
        <v>KOTA SINGKAWANG</v>
      </c>
      <c r="Q1564" s="16" t="str">
        <f>IFERROR(__xludf.DUMMYFUNCTION("""COMPUTED_VALUE"""),"KALIMANTAN BARAT")</f>
        <v>KALIMANTAN BARAT</v>
      </c>
      <c r="R1564" s="19" t="str">
        <f>IFERROR(__xludf.DUMMYFUNCTION("""COMPUTED_VALUE"""),"ISLAM")</f>
        <v>ISLAM</v>
      </c>
      <c r="S1564" s="35" t="str">
        <f>IFERROR(__xludf.DUMMYFUNCTION("""COMPUTED_VALUE"""),"SWASTA")</f>
        <v>SWASTA</v>
      </c>
      <c r="T1564" s="16" t="str">
        <f>IFERROR(__xludf.DUMMYFUNCTION("""COMPUTED_VALUE"""),"Terkilir/keseleo")</f>
        <v>Terkilir/keseleo</v>
      </c>
      <c r="U1564" s="16" t="str">
        <f>IFERROR(__xludf.DUMMYFUNCTION("""COMPUTED_VALUE"""),"Jogging")</f>
        <v>Jogging</v>
      </c>
      <c r="V1564" s="11" t="str">
        <f>IFERROR(__xludf.DUMMYFUNCTION("""COMPUTED_VALUE"""),"089649374755")</f>
        <v>089649374755</v>
      </c>
      <c r="W1564" s="15"/>
    </row>
    <row r="1565" ht="22.5" customHeight="1">
      <c r="A1565" s="8"/>
      <c r="B1565" s="9">
        <f>IFERROR(__xludf.DUMMYFUNCTION("""COMPUTED_VALUE"""),45500.562128923615)</f>
        <v>45500.56213</v>
      </c>
      <c r="C1565" s="9"/>
      <c r="D1565" s="34">
        <f>IFERROR(__xludf.DUMMYFUNCTION("""COMPUTED_VALUE"""),45507.0)</f>
        <v>45507</v>
      </c>
      <c r="E1565" s="34" t="str">
        <f>IFERROR(__xludf.DUMMYFUNCTION("""COMPUTED_VALUE"""),"08Agu")</f>
        <v>08Agu</v>
      </c>
      <c r="F1565" s="34" t="str">
        <f>IFERROR(__xludf.DUMMYFUNCTION("""COMPUTED_VALUE"""),"2024")</f>
        <v>2024</v>
      </c>
      <c r="G1565" s="35" t="str">
        <f>IFERROR(__xludf.DUMMYFUNCTION("""COMPUTED_VALUE"""),"RAIHAN PAHRAZI")</f>
        <v>RAIHAN PAHRAZI</v>
      </c>
      <c r="H1565" s="17" t="str">
        <f>IFERROR(__xludf.DUMMYFUNCTION("""COMPUTED_VALUE"""),"R0024080705")</f>
        <v>R0024080705</v>
      </c>
      <c r="I1565" s="17">
        <f>IFERROR(__xludf.DUMMYFUNCTION("""COMPUTED_VALUE"""),26.0)</f>
        <v>26</v>
      </c>
      <c r="J1565" s="17" t="str">
        <f>IFERROR(__xludf.DUMMYFUNCTION("""COMPUTED_VALUE"""),"25-34 tahun")</f>
        <v>25-34 tahun</v>
      </c>
      <c r="K1565" s="19">
        <f>IFERROR(__xludf.DUMMYFUNCTION("""COMPUTED_VALUE"""),36649.0)</f>
        <v>36649</v>
      </c>
      <c r="L1565" s="19" t="str">
        <f>IFERROR(__xludf.DUMMYFUNCTION("""COMPUTED_VALUE"""),"LAKI-LAKI")</f>
        <v>LAKI-LAKI</v>
      </c>
      <c r="M1565" s="35" t="str">
        <f>IFERROR(__xludf.DUMMYFUNCTION("""COMPUTED_VALUE"""),"JALAN PURNAMA KOMPLEK PURNAMA ANGGREK 4 NO 32")</f>
        <v>JALAN PURNAMA KOMPLEK PURNAMA ANGGREK 4 NO 32</v>
      </c>
      <c r="N1565" s="16" t="str">
        <f>IFERROR(__xludf.DUMMYFUNCTION("""COMPUTED_VALUE"""),"KEL. PARIT TOKAYA")</f>
        <v>KEL. PARIT TOKAYA</v>
      </c>
      <c r="O1565" s="16" t="str">
        <f>IFERROR(__xludf.DUMMYFUNCTION("""COMPUTED_VALUE"""),"KEC. PONTIANAK SELATAN")</f>
        <v>KEC. PONTIANAK SELATAN</v>
      </c>
      <c r="P1565" s="16" t="str">
        <f>IFERROR(__xludf.DUMMYFUNCTION("""COMPUTED_VALUE"""),"KOTA PONTIANAK")</f>
        <v>KOTA PONTIANAK</v>
      </c>
      <c r="Q1565" s="35" t="str">
        <f>IFERROR(__xludf.DUMMYFUNCTION("""COMPUTED_VALUE"""),"KALIMANTAN BARAT")</f>
        <v>KALIMANTAN BARAT</v>
      </c>
      <c r="R1565" s="19" t="str">
        <f>IFERROR(__xludf.DUMMYFUNCTION("""COMPUTED_VALUE"""),"ISLAM")</f>
        <v>ISLAM</v>
      </c>
      <c r="S1565" s="16" t="str">
        <f>IFERROR(__xludf.DUMMYFUNCTION("""COMPUTED_VALUE"""),"WIRASWASTA")</f>
        <v>WIRASWASTA</v>
      </c>
      <c r="T1565" s="16" t="str">
        <f>IFERROR(__xludf.DUMMYFUNCTION("""COMPUTED_VALUE"""),"Engkel mata kaki geser")</f>
        <v>Engkel mata kaki geser</v>
      </c>
      <c r="U1565" s="16" t="str">
        <f>IFERROR(__xludf.DUMMYFUNCTION("""COMPUTED_VALUE"""),"Badbinton , minisoccer")</f>
        <v>Badbinton , minisoccer</v>
      </c>
      <c r="V1565" s="11" t="str">
        <f>IFERROR(__xludf.DUMMYFUNCTION("""COMPUTED_VALUE"""),"081297850705")</f>
        <v>081297850705</v>
      </c>
      <c r="W1565" s="15"/>
    </row>
    <row r="1566" ht="22.5" customHeight="1">
      <c r="A1566" s="8"/>
      <c r="B1566" s="9">
        <f>IFERROR(__xludf.DUMMYFUNCTION("""COMPUTED_VALUE"""),45500.62213394676)</f>
        <v>45500.62213</v>
      </c>
      <c r="C1566" s="9"/>
      <c r="D1566" s="34">
        <f>IFERROR(__xludf.DUMMYFUNCTION("""COMPUTED_VALUE"""),45507.0)</f>
        <v>45507</v>
      </c>
      <c r="E1566" s="34" t="str">
        <f>IFERROR(__xludf.DUMMYFUNCTION("""COMPUTED_VALUE"""),"08Agu")</f>
        <v>08Agu</v>
      </c>
      <c r="F1566" s="34" t="str">
        <f>IFERROR(__xludf.DUMMYFUNCTION("""COMPUTED_VALUE"""),"2024")</f>
        <v>2024</v>
      </c>
      <c r="G1566" s="35" t="str">
        <f>IFERROR(__xludf.DUMMYFUNCTION("""COMPUTED_VALUE"""),"YOGI ADI FAHREZIE")</f>
        <v>YOGI ADI FAHREZIE</v>
      </c>
      <c r="H1566" s="17" t="str">
        <f>IFERROR(__xludf.DUMMYFUNCTION("""COMPUTED_VALUE"""),"Y0024087171")</f>
        <v>Y0024087171</v>
      </c>
      <c r="I1566" s="17">
        <f>IFERROR(__xludf.DUMMYFUNCTION("""COMPUTED_VALUE"""),25.0)</f>
        <v>25</v>
      </c>
      <c r="J1566" s="17" t="str">
        <f>IFERROR(__xludf.DUMMYFUNCTION("""COMPUTED_VALUE"""),"25-34 tahun")</f>
        <v>25-34 tahun</v>
      </c>
      <c r="K1566" s="19">
        <f>IFERROR(__xludf.DUMMYFUNCTION("""COMPUTED_VALUE"""),36731.0)</f>
        <v>36731</v>
      </c>
      <c r="L1566" s="19" t="str">
        <f>IFERROR(__xludf.DUMMYFUNCTION("""COMPUTED_VALUE"""),"LAKI-LAKI")</f>
        <v>LAKI-LAKI</v>
      </c>
      <c r="M1566" s="35" t="str">
        <f>IFERROR(__xludf.DUMMYFUNCTION("""COMPUTED_VALUE"""),"JL. RAYA PAL 9 KOMP. VILLA PERMATA ALYA")</f>
        <v>JL. RAYA PAL 9 KOMP. VILLA PERMATA ALYA</v>
      </c>
      <c r="N1566" s="16" t="str">
        <f>IFERROR(__xludf.DUMMYFUNCTION("""COMPUTED_VALUE"""),"KEL. PAL IX")</f>
        <v>KEL. PAL IX</v>
      </c>
      <c r="O1566" s="16" t="str">
        <f>IFERROR(__xludf.DUMMYFUNCTION("""COMPUTED_VALUE"""),"KEC. SUNGAI KAKAP")</f>
        <v>KEC. SUNGAI KAKAP</v>
      </c>
      <c r="P1566" s="16" t="str">
        <f>IFERROR(__xludf.DUMMYFUNCTION("""COMPUTED_VALUE"""),"KAB. KUBU RAYA")</f>
        <v>KAB. KUBU RAYA</v>
      </c>
      <c r="Q1566" s="16" t="str">
        <f>IFERROR(__xludf.DUMMYFUNCTION("""COMPUTED_VALUE"""),"KALIMANTAN BARAT")</f>
        <v>KALIMANTAN BARAT</v>
      </c>
      <c r="R1566" s="19" t="str">
        <f>IFERROR(__xludf.DUMMYFUNCTION("""COMPUTED_VALUE"""),"ISLAM")</f>
        <v>ISLAM</v>
      </c>
      <c r="S1566" s="35" t="str">
        <f>IFERROR(__xludf.DUMMYFUNCTION("""COMPUTED_VALUE"""),"SWASTA")</f>
        <v>SWASTA</v>
      </c>
      <c r="T1566" s="16" t="str">
        <f>IFERROR(__xludf.DUMMYFUNCTION("""COMPUTED_VALUE"""),"Sakit pinggang")</f>
        <v>Sakit pinggang</v>
      </c>
      <c r="U1566" s="16" t="str">
        <f>IFERROR(__xludf.DUMMYFUNCTION("""COMPUTED_VALUE"""),"Bekerja di depan komputer")</f>
        <v>Bekerja di depan komputer</v>
      </c>
      <c r="V1566" s="11" t="str">
        <f>IFERROR(__xludf.DUMMYFUNCTION("""COMPUTED_VALUE"""),"082152237171")</f>
        <v>082152237171</v>
      </c>
      <c r="W1566" s="15"/>
    </row>
    <row r="1567" ht="22.5" customHeight="1">
      <c r="A1567" s="8"/>
      <c r="B1567" s="9">
        <f>IFERROR(__xludf.DUMMYFUNCTION("""COMPUTED_VALUE"""),45500.6675591088)</f>
        <v>45500.66756</v>
      </c>
      <c r="C1567" s="9"/>
      <c r="D1567" s="34">
        <f>IFERROR(__xludf.DUMMYFUNCTION("""COMPUTED_VALUE"""),45507.0)</f>
        <v>45507</v>
      </c>
      <c r="E1567" s="34" t="str">
        <f>IFERROR(__xludf.DUMMYFUNCTION("""COMPUTED_VALUE"""),"08Agu")</f>
        <v>08Agu</v>
      </c>
      <c r="F1567" s="34" t="str">
        <f>IFERROR(__xludf.DUMMYFUNCTION("""COMPUTED_VALUE"""),"2024")</f>
        <v>2024</v>
      </c>
      <c r="G1567" s="35" t="str">
        <f>IFERROR(__xludf.DUMMYFUNCTION("""COMPUTED_VALUE"""),"MARIA TETI")</f>
        <v>MARIA TETI</v>
      </c>
      <c r="H1567" s="17" t="str">
        <f>IFERROR(__xludf.DUMMYFUNCTION("""COMPUTED_VALUE"""),"M7124083553")</f>
        <v>M7124083553</v>
      </c>
      <c r="I1567" s="17">
        <f>IFERROR(__xludf.DUMMYFUNCTION("""COMPUTED_VALUE"""),55.0)</f>
        <v>55</v>
      </c>
      <c r="J1567" s="17" t="str">
        <f>IFERROR(__xludf.DUMMYFUNCTION("""COMPUTED_VALUE"""),"&gt; 44 tahun")</f>
        <v>&gt; 44 tahun</v>
      </c>
      <c r="K1567" s="19">
        <f>IFERROR(__xludf.DUMMYFUNCTION("""COMPUTED_VALUE"""),25934.0)</f>
        <v>25934</v>
      </c>
      <c r="L1567" s="19" t="str">
        <f>IFERROR(__xludf.DUMMYFUNCTION("""COMPUTED_VALUE"""),"PEREMPUAN")</f>
        <v>PEREMPUAN</v>
      </c>
      <c r="M1567" s="35" t="str">
        <f>IFERROR(__xludf.DUMMYFUNCTION("""COMPUTED_VALUE"""),"JL. PERDANA KOMP. BALI AGUNG 2 BLOK D 18")</f>
        <v>JL. PERDANA KOMP. BALI AGUNG 2 BLOK D 18</v>
      </c>
      <c r="N1567" s="16" t="str">
        <f>IFERROR(__xludf.DUMMYFUNCTION("""COMPUTED_VALUE"""),"KEL. PARIT TOKAYA")</f>
        <v>KEL. PARIT TOKAYA</v>
      </c>
      <c r="O1567" s="16" t="str">
        <f>IFERROR(__xludf.DUMMYFUNCTION("""COMPUTED_VALUE"""),"KEC. PONTIANAK SELATAN")</f>
        <v>KEC. PONTIANAK SELATAN</v>
      </c>
      <c r="P1567" s="16" t="str">
        <f>IFERROR(__xludf.DUMMYFUNCTION("""COMPUTED_VALUE"""),"KOTA PONTIANAK")</f>
        <v>KOTA PONTIANAK</v>
      </c>
      <c r="Q1567" s="16" t="str">
        <f>IFERROR(__xludf.DUMMYFUNCTION("""COMPUTED_VALUE"""),"KALIMANTAN BARAT")</f>
        <v>KALIMANTAN BARAT</v>
      </c>
      <c r="R1567" s="19" t="str">
        <f>IFERROR(__xludf.DUMMYFUNCTION("""COMPUTED_VALUE"""),"KATOLIK")</f>
        <v>KATOLIK</v>
      </c>
      <c r="S1567" s="16" t="str">
        <f>IFERROR(__xludf.DUMMYFUNCTION("""COMPUTED_VALUE"""),"ASN")</f>
        <v>ASN</v>
      </c>
      <c r="T1567" s="16" t="str">
        <f>IFERROR(__xludf.DUMMYFUNCTION("""COMPUTED_VALUE"""),"SENDI")</f>
        <v>SENDI</v>
      </c>
      <c r="U1567" s="16" t="str">
        <f>IFERROR(__xludf.DUMMYFUNCTION("""COMPUTED_VALUE"""),"-")</f>
        <v>-</v>
      </c>
      <c r="V1567" s="11" t="str">
        <f>IFERROR(__xludf.DUMMYFUNCTION("""COMPUTED_VALUE"""),"082154893553")</f>
        <v>082154893553</v>
      </c>
      <c r="W1567" s="15"/>
    </row>
    <row r="1568" ht="22.5" customHeight="1">
      <c r="A1568" s="8"/>
      <c r="B1568" s="9">
        <f>IFERROR(__xludf.DUMMYFUNCTION("""COMPUTED_VALUE"""),45500.81343978009)</f>
        <v>45500.81344</v>
      </c>
      <c r="C1568" s="9"/>
      <c r="D1568" s="34">
        <f>IFERROR(__xludf.DUMMYFUNCTION("""COMPUTED_VALUE"""),45507.0)</f>
        <v>45507</v>
      </c>
      <c r="E1568" s="34" t="str">
        <f>IFERROR(__xludf.DUMMYFUNCTION("""COMPUTED_VALUE"""),"08Agu")</f>
        <v>08Agu</v>
      </c>
      <c r="F1568" s="34" t="str">
        <f>IFERROR(__xludf.DUMMYFUNCTION("""COMPUTED_VALUE"""),"2024")</f>
        <v>2024</v>
      </c>
      <c r="G1568" s="35" t="str">
        <f>IFERROR(__xludf.DUMMYFUNCTION("""COMPUTED_VALUE"""),"RANDI GUSNADI")</f>
        <v>RANDI GUSNADI</v>
      </c>
      <c r="H1568" s="17" t="str">
        <f>IFERROR(__xludf.DUMMYFUNCTION("""COMPUTED_VALUE"""),"R0324080181")</f>
        <v>R0324080181</v>
      </c>
      <c r="I1568" s="17">
        <f>IFERROR(__xludf.DUMMYFUNCTION("""COMPUTED_VALUE"""),23.0)</f>
        <v>23</v>
      </c>
      <c r="J1568" s="17" t="str">
        <f>IFERROR(__xludf.DUMMYFUNCTION("""COMPUTED_VALUE"""),"18-24 tahun")</f>
        <v>18-24 tahun</v>
      </c>
      <c r="K1568" s="19">
        <f>IFERROR(__xludf.DUMMYFUNCTION("""COMPUTED_VALUE"""),37676.0)</f>
        <v>37676</v>
      </c>
      <c r="L1568" s="19" t="str">
        <f>IFERROR(__xludf.DUMMYFUNCTION("""COMPUTED_VALUE"""),"LAKI-LAKI")</f>
        <v>LAKI-LAKI</v>
      </c>
      <c r="M1568" s="35" t="str">
        <f>IFERROR(__xludf.DUMMYFUNCTION("""COMPUTED_VALUE"""),"JLN MERDEKA TIMUR")</f>
        <v>JLN MERDEKA TIMUR</v>
      </c>
      <c r="N1568" s="16" t="str">
        <f>IFERROR(__xludf.DUMMYFUNCTION("""COMPUTED_VALUE"""),"DS. MUNGGUK")</f>
        <v>DS. MUNGGUK</v>
      </c>
      <c r="O1568" s="16" t="str">
        <f>IFERROR(__xludf.DUMMYFUNCTION("""COMPUTED_VALUE"""),"KEC. SEKADAU HILIR")</f>
        <v>KEC. SEKADAU HILIR</v>
      </c>
      <c r="P1568" s="16" t="str">
        <f>IFERROR(__xludf.DUMMYFUNCTION("""COMPUTED_VALUE"""),"KAB. SEKADAU")</f>
        <v>KAB. SEKADAU</v>
      </c>
      <c r="Q1568" s="35" t="str">
        <f>IFERROR(__xludf.DUMMYFUNCTION("""COMPUTED_VALUE"""),"KALIMANTAN BARAT")</f>
        <v>KALIMANTAN BARAT</v>
      </c>
      <c r="R1568" s="19" t="str">
        <f>IFERROR(__xludf.DUMMYFUNCTION("""COMPUTED_VALUE"""),"KATOLIK")</f>
        <v>KATOLIK</v>
      </c>
      <c r="S1568" s="16" t="str">
        <f>IFERROR(__xludf.DUMMYFUNCTION("""COMPUTED_VALUE"""),"PELAJAR/MAHASISWA")</f>
        <v>PELAJAR/MAHASISWA</v>
      </c>
      <c r="T1568" s="16" t="str">
        <f>IFERROR(__xludf.DUMMYFUNCTION("""COMPUTED_VALUE"""),"Kaki keram dan nyilu ketika olahraga")</f>
        <v>Kaki keram dan nyilu ketika olahraga</v>
      </c>
      <c r="U1568" s="16" t="str">
        <f>IFERROR(__xludf.DUMMYFUNCTION("""COMPUTED_VALUE"""),"Olahraga")</f>
        <v>Olahraga</v>
      </c>
      <c r="V1568" s="11" t="str">
        <f>IFERROR(__xludf.DUMMYFUNCTION("""COMPUTED_VALUE"""),"082152280181")</f>
        <v>082152280181</v>
      </c>
      <c r="W1568" s="15"/>
    </row>
    <row r="1569" ht="22.5" customHeight="1">
      <c r="A1569" s="8"/>
      <c r="B1569" s="9">
        <f>IFERROR(__xludf.DUMMYFUNCTION("""COMPUTED_VALUE"""),45501.479605879635)</f>
        <v>45501.47961</v>
      </c>
      <c r="C1569" s="9"/>
      <c r="D1569" s="34">
        <f>IFERROR(__xludf.DUMMYFUNCTION("""COMPUTED_VALUE"""),45507.0)</f>
        <v>45507</v>
      </c>
      <c r="E1569" s="34" t="str">
        <f>IFERROR(__xludf.DUMMYFUNCTION("""COMPUTED_VALUE"""),"08Agu")</f>
        <v>08Agu</v>
      </c>
      <c r="F1569" s="34" t="str">
        <f>IFERROR(__xludf.DUMMYFUNCTION("""COMPUTED_VALUE"""),"2024")</f>
        <v>2024</v>
      </c>
      <c r="G1569" s="35" t="str">
        <f>IFERROR(__xludf.DUMMYFUNCTION("""COMPUTED_VALUE"""),"BRYAN JOHANES")</f>
        <v>BRYAN JOHANES</v>
      </c>
      <c r="H1569" s="17" t="str">
        <f>IFERROR(__xludf.DUMMYFUNCTION("""COMPUTED_VALUE"""),"B0924081489")</f>
        <v>B0924081489</v>
      </c>
      <c r="I1569" s="17">
        <f>IFERROR(__xludf.DUMMYFUNCTION("""COMPUTED_VALUE"""),16.0)</f>
        <v>16</v>
      </c>
      <c r="J1569" s="17" t="str">
        <f>IFERROR(__xludf.DUMMYFUNCTION("""COMPUTED_VALUE"""),"&lt; 18 tahun")</f>
        <v>&lt; 18 tahun</v>
      </c>
      <c r="K1569" s="19">
        <f>IFERROR(__xludf.DUMMYFUNCTION("""COMPUTED_VALUE"""),40027.0)</f>
        <v>40027</v>
      </c>
      <c r="L1569" s="19" t="str">
        <f>IFERROR(__xludf.DUMMYFUNCTION("""COMPUTED_VALUE"""),"LAKI-LAKI")</f>
        <v>LAKI-LAKI</v>
      </c>
      <c r="M1569" s="35" t="str">
        <f>IFERROR(__xludf.DUMMYFUNCTION("""COMPUTED_VALUE"""),"JL SUDITRISNO NO51")</f>
        <v>JL SUDITRISNO NO51</v>
      </c>
      <c r="N1569" s="16" t="str">
        <f>IFERROR(__xludf.DUMMYFUNCTION("""COMPUTED_VALUE"""),"KEL. SUNGAI BANGKONG")</f>
        <v>KEL. SUNGAI BANGKONG</v>
      </c>
      <c r="O1569" s="16" t="str">
        <f>IFERROR(__xludf.DUMMYFUNCTION("""COMPUTED_VALUE"""),"KEC. PONTIANAK KOTA")</f>
        <v>KEC. PONTIANAK KOTA</v>
      </c>
      <c r="P1569" s="16" t="str">
        <f>IFERROR(__xludf.DUMMYFUNCTION("""COMPUTED_VALUE"""),"KOTA PONTIANAK")</f>
        <v>KOTA PONTIANAK</v>
      </c>
      <c r="Q1569" s="16" t="str">
        <f>IFERROR(__xludf.DUMMYFUNCTION("""COMPUTED_VALUE"""),"KALIMANTAN BARAT")</f>
        <v>KALIMANTAN BARAT</v>
      </c>
      <c r="R1569" s="19" t="str">
        <f>IFERROR(__xludf.DUMMYFUNCTION("""COMPUTED_VALUE"""),"PROTESTAN")</f>
        <v>PROTESTAN</v>
      </c>
      <c r="S1569" s="35" t="str">
        <f>IFERROR(__xludf.DUMMYFUNCTION("""COMPUTED_VALUE"""),"PELAJAR/MAHASISWA")</f>
        <v>PELAJAR/MAHASISWA</v>
      </c>
      <c r="T1569" s="16" t="str">
        <f>IFERROR(__xludf.DUMMYFUNCTION("""COMPUTED_VALUE"""),"tulang geser")</f>
        <v>tulang geser</v>
      </c>
      <c r="U1569" s="16" t="str">
        <f>IFERROR(__xludf.DUMMYFUNCTION("""COMPUTED_VALUE"""),"sekolah main basket")</f>
        <v>sekolah main basket</v>
      </c>
      <c r="V1569" s="11" t="str">
        <f>IFERROR(__xludf.DUMMYFUNCTION("""COMPUTED_VALUE"""),"08973331489")</f>
        <v>08973331489</v>
      </c>
      <c r="W1569" s="15"/>
    </row>
    <row r="1570" ht="22.5" customHeight="1">
      <c r="A1570" s="8"/>
      <c r="B1570" s="9">
        <f>IFERROR(__xludf.DUMMYFUNCTION("""COMPUTED_VALUE"""),45501.564905590276)</f>
        <v>45501.56491</v>
      </c>
      <c r="C1570" s="9"/>
      <c r="D1570" s="34">
        <f>IFERROR(__xludf.DUMMYFUNCTION("""COMPUTED_VALUE"""),45508.0)</f>
        <v>45508</v>
      </c>
      <c r="E1570" s="34" t="str">
        <f>IFERROR(__xludf.DUMMYFUNCTION("""COMPUTED_VALUE"""),"08Agu")</f>
        <v>08Agu</v>
      </c>
      <c r="F1570" s="34" t="str">
        <f>IFERROR(__xludf.DUMMYFUNCTION("""COMPUTED_VALUE"""),"2024")</f>
        <v>2024</v>
      </c>
      <c r="G1570" s="35" t="str">
        <f>IFERROR(__xludf.DUMMYFUNCTION("""COMPUTED_VALUE"""),"CALLISTA FERJIENIA WONG")</f>
        <v>CALLISTA FERJIENIA WONG</v>
      </c>
      <c r="H1570" s="17" t="str">
        <f>IFERROR(__xludf.DUMMYFUNCTION("""COMPUTED_VALUE"""),"C0724082394")</f>
        <v>C0724082394</v>
      </c>
      <c r="I1570" s="17">
        <f>IFERROR(__xludf.DUMMYFUNCTION("""COMPUTED_VALUE"""),18.0)</f>
        <v>18</v>
      </c>
      <c r="J1570" s="17" t="str">
        <f>IFERROR(__xludf.DUMMYFUNCTION("""COMPUTED_VALUE"""),"&lt; 18 tahun")</f>
        <v>&lt; 18 tahun</v>
      </c>
      <c r="K1570" s="19">
        <f>IFERROR(__xludf.DUMMYFUNCTION("""COMPUTED_VALUE"""),39375.0)</f>
        <v>39375</v>
      </c>
      <c r="L1570" s="19" t="str">
        <f>IFERROR(__xludf.DUMMYFUNCTION("""COMPUTED_VALUE"""),"PEREMPUAN")</f>
        <v>PEREMPUAN</v>
      </c>
      <c r="M1570" s="35" t="str">
        <f>IFERROR(__xludf.DUMMYFUNCTION("""COMPUTED_VALUE"""),"JLN PARIT DEMANG KOMPLEK PUTNAMA MULIA")</f>
        <v>JLN PARIT DEMANG KOMPLEK PUTNAMA MULIA</v>
      </c>
      <c r="N1570" s="16" t="str">
        <f>IFERROR(__xludf.DUMMYFUNCTION("""COMPUTED_VALUE"""),"KEL. AKCAYA")</f>
        <v>KEL. AKCAYA</v>
      </c>
      <c r="O1570" s="16" t="str">
        <f>IFERROR(__xludf.DUMMYFUNCTION("""COMPUTED_VALUE"""),"KEC. PONTIANAK SELATAN")</f>
        <v>KEC. PONTIANAK SELATAN</v>
      </c>
      <c r="P1570" s="16" t="str">
        <f>IFERROR(__xludf.DUMMYFUNCTION("""COMPUTED_VALUE"""),"KOTA PONTIANAK")</f>
        <v>KOTA PONTIANAK</v>
      </c>
      <c r="Q1570" s="16" t="str">
        <f>IFERROR(__xludf.DUMMYFUNCTION("""COMPUTED_VALUE"""),"KALIMANTAN BARAT")</f>
        <v>KALIMANTAN BARAT</v>
      </c>
      <c r="R1570" s="19" t="str">
        <f>IFERROR(__xludf.DUMMYFUNCTION("""COMPUTED_VALUE"""),"KHONGHUCU")</f>
        <v>KHONGHUCU</v>
      </c>
      <c r="S1570" s="35" t="str">
        <f>IFERROR(__xludf.DUMMYFUNCTION("""COMPUTED_VALUE"""),"PELAJAR/MAHASISWA")</f>
        <v>PELAJAR/MAHASISWA</v>
      </c>
      <c r="T1570" s="16"/>
      <c r="U1570" s="16" t="str">
        <f>IFERROR(__xludf.DUMMYFUNCTION("""COMPUTED_VALUE"""),"Bermain basket")</f>
        <v>Bermain basket</v>
      </c>
      <c r="V1570" s="11" t="str">
        <f>IFERROR(__xludf.DUMMYFUNCTION("""COMPUTED_VALUE"""),"081257562394")</f>
        <v>081257562394</v>
      </c>
      <c r="W1570" s="15"/>
    </row>
    <row r="1571" ht="22.5" customHeight="1">
      <c r="A1571" s="8"/>
      <c r="B1571" s="9">
        <f>IFERROR(__xludf.DUMMYFUNCTION("""COMPUTED_VALUE"""),45501.77597956019)</f>
        <v>45501.77598</v>
      </c>
      <c r="C1571" s="9"/>
      <c r="D1571" s="34">
        <f>IFERROR(__xludf.DUMMYFUNCTION("""COMPUTED_VALUE"""),45509.0)</f>
        <v>45509</v>
      </c>
      <c r="E1571" s="34" t="str">
        <f>IFERROR(__xludf.DUMMYFUNCTION("""COMPUTED_VALUE"""),"08Agu")</f>
        <v>08Agu</v>
      </c>
      <c r="F1571" s="34" t="str">
        <f>IFERROR(__xludf.DUMMYFUNCTION("""COMPUTED_VALUE"""),"2024")</f>
        <v>2024</v>
      </c>
      <c r="G1571" s="35" t="str">
        <f>IFERROR(__xludf.DUMMYFUNCTION("""COMPUTED_VALUE"""),"AHMADI")</f>
        <v>AHMADI</v>
      </c>
      <c r="H1571" s="17" t="str">
        <f>IFERROR(__xludf.DUMMYFUNCTION("""COMPUTED_VALUE"""),"A9624089701")</f>
        <v>A9624089701</v>
      </c>
      <c r="I1571" s="17">
        <f>IFERROR(__xludf.DUMMYFUNCTION("""COMPUTED_VALUE"""),29.0)</f>
        <v>29</v>
      </c>
      <c r="J1571" s="17" t="str">
        <f>IFERROR(__xludf.DUMMYFUNCTION("""COMPUTED_VALUE"""),"25-34 tahun")</f>
        <v>25-34 tahun</v>
      </c>
      <c r="K1571" s="19">
        <f>IFERROR(__xludf.DUMMYFUNCTION("""COMPUTED_VALUE"""),35300.0)</f>
        <v>35300</v>
      </c>
      <c r="L1571" s="19" t="str">
        <f>IFERROR(__xludf.DUMMYFUNCTION("""COMPUTED_VALUE"""),"LAKI-LAKI")</f>
        <v>LAKI-LAKI</v>
      </c>
      <c r="M1571" s="35" t="str">
        <f>IFERROR(__xludf.DUMMYFUNCTION("""COMPUTED_VALUE"""),"JALAN AMPERA GG.8 BERSAUDARA")</f>
        <v>JALAN AMPERA GG.8 BERSAUDARA</v>
      </c>
      <c r="N1571" s="16" t="str">
        <f>IFERROR(__xludf.DUMMYFUNCTION("""COMPUTED_VALUE"""),"KEL. SUNGAI BANGKONG")</f>
        <v>KEL. SUNGAI BANGKONG</v>
      </c>
      <c r="O1571" s="16" t="str">
        <f>IFERROR(__xludf.DUMMYFUNCTION("""COMPUTED_VALUE"""),"KEC. PONTIANAK KOTA")</f>
        <v>KEC. PONTIANAK KOTA</v>
      </c>
      <c r="P1571" s="16" t="str">
        <f>IFERROR(__xludf.DUMMYFUNCTION("""COMPUTED_VALUE"""),"KOTA PONTIANAK")</f>
        <v>KOTA PONTIANAK</v>
      </c>
      <c r="Q1571" s="16" t="str">
        <f>IFERROR(__xludf.DUMMYFUNCTION("""COMPUTED_VALUE"""),"KALIMANTAN BARAT")</f>
        <v>KALIMANTAN BARAT</v>
      </c>
      <c r="R1571" s="19" t="str">
        <f>IFERROR(__xludf.DUMMYFUNCTION("""COMPUTED_VALUE"""),"ISLAM")</f>
        <v>ISLAM</v>
      </c>
      <c r="S1571" s="16" t="str">
        <f>IFERROR(__xludf.DUMMYFUNCTION("""COMPUTED_VALUE"""),"BURUH")</f>
        <v>BURUH</v>
      </c>
      <c r="T1571" s="16"/>
      <c r="U1571" s="16" t="str">
        <f>IFERROR(__xludf.DUMMYFUNCTION("""COMPUTED_VALUE"""),"Futsal")</f>
        <v>Futsal</v>
      </c>
      <c r="V1571" s="11" t="str">
        <f>IFERROR(__xludf.DUMMYFUNCTION("""COMPUTED_VALUE"""),"08970469701")</f>
        <v>08970469701</v>
      </c>
      <c r="W1571" s="15"/>
    </row>
    <row r="1572" ht="22.5" customHeight="1">
      <c r="A1572" s="8"/>
      <c r="B1572" s="9">
        <f>IFERROR(__xludf.DUMMYFUNCTION("""COMPUTED_VALUE"""),45501.5774637037)</f>
        <v>45501.57746</v>
      </c>
      <c r="C1572" s="9"/>
      <c r="D1572" s="34">
        <f>IFERROR(__xludf.DUMMYFUNCTION("""COMPUTED_VALUE"""),45509.0)</f>
        <v>45509</v>
      </c>
      <c r="E1572" s="34" t="str">
        <f>IFERROR(__xludf.DUMMYFUNCTION("""COMPUTED_VALUE"""),"08Agu")</f>
        <v>08Agu</v>
      </c>
      <c r="F1572" s="34" t="str">
        <f>IFERROR(__xludf.DUMMYFUNCTION("""COMPUTED_VALUE"""),"2024")</f>
        <v>2024</v>
      </c>
      <c r="G1572" s="35" t="str">
        <f>IFERROR(__xludf.DUMMYFUNCTION("""COMPUTED_VALUE"""),"ABAS ARATIB")</f>
        <v>ABAS ARATIB</v>
      </c>
      <c r="H1572" s="17" t="str">
        <f>IFERROR(__xludf.DUMMYFUNCTION("""COMPUTED_VALUE"""),"A8824082559")</f>
        <v>A8824082559</v>
      </c>
      <c r="I1572" s="17">
        <f>IFERROR(__xludf.DUMMYFUNCTION("""COMPUTED_VALUE"""),37.0)</f>
        <v>37</v>
      </c>
      <c r="J1572" s="17" t="str">
        <f>IFERROR(__xludf.DUMMYFUNCTION("""COMPUTED_VALUE"""),"35-44 tahun")</f>
        <v>35-44 tahun</v>
      </c>
      <c r="K1572" s="19">
        <f>IFERROR(__xludf.DUMMYFUNCTION("""COMPUTED_VALUE"""),32475.0)</f>
        <v>32475</v>
      </c>
      <c r="L1572" s="19" t="str">
        <f>IFERROR(__xludf.DUMMYFUNCTION("""COMPUTED_VALUE"""),"LAKI-LAKI")</f>
        <v>LAKI-LAKI</v>
      </c>
      <c r="M1572" s="35" t="str">
        <f>IFERROR(__xludf.DUMMYFUNCTION("""COMPUTED_VALUE"""),"KOMPLEK GRIYA MASIGI BLOK C8")</f>
        <v>KOMPLEK GRIYA MASIGI BLOK C8</v>
      </c>
      <c r="N1572" s="16" t="str">
        <f>IFERROR(__xludf.DUMMYFUNCTION("""COMPUTED_VALUE"""),"DS. SUNGAI AMBAWANG KUALA")</f>
        <v>DS. SUNGAI AMBAWANG KUALA</v>
      </c>
      <c r="O1572" s="16" t="str">
        <f>IFERROR(__xludf.DUMMYFUNCTION("""COMPUTED_VALUE"""),"KEC. SUNGAI AMBAWANG")</f>
        <v>KEC. SUNGAI AMBAWANG</v>
      </c>
      <c r="P1572" s="16" t="str">
        <f>IFERROR(__xludf.DUMMYFUNCTION("""COMPUTED_VALUE"""),"KAB. KUBU RAYA")</f>
        <v>KAB. KUBU RAYA</v>
      </c>
      <c r="Q1572" s="16" t="str">
        <f>IFERROR(__xludf.DUMMYFUNCTION("""COMPUTED_VALUE"""),"KALIMANTAN BARAT")</f>
        <v>KALIMANTAN BARAT</v>
      </c>
      <c r="R1572" s="19" t="str">
        <f>IFERROR(__xludf.DUMMYFUNCTION("""COMPUTED_VALUE"""),"ISLAM")</f>
        <v>ISLAM</v>
      </c>
      <c r="S1572" s="35" t="str">
        <f>IFERROR(__xludf.DUMMYFUNCTION("""COMPUTED_VALUE"""),"SWASTA")</f>
        <v>SWASTA</v>
      </c>
      <c r="T1572" s="16" t="str">
        <f>IFERROR(__xludf.DUMMYFUNCTION("""COMPUTED_VALUE"""),"Cidera")</f>
        <v>Cidera</v>
      </c>
      <c r="U1572" s="16" t="str">
        <f>IFERROR(__xludf.DUMMYFUNCTION("""COMPUTED_VALUE"""),"Futsal, Sepak bola, Joging")</f>
        <v>Futsal, Sepak bola, Joging</v>
      </c>
      <c r="V1572" s="11" t="str">
        <f>IFERROR(__xludf.DUMMYFUNCTION("""COMPUTED_VALUE"""),"085787122559")</f>
        <v>085787122559</v>
      </c>
      <c r="W1572" s="15"/>
    </row>
    <row r="1573" ht="22.5" customHeight="1">
      <c r="A1573" s="8"/>
      <c r="B1573" s="9">
        <f>IFERROR(__xludf.DUMMYFUNCTION("""COMPUTED_VALUE"""),45502.472468935186)</f>
        <v>45502.47247</v>
      </c>
      <c r="C1573" s="9"/>
      <c r="D1573" s="34">
        <f>IFERROR(__xludf.DUMMYFUNCTION("""COMPUTED_VALUE"""),45509.0)</f>
        <v>45509</v>
      </c>
      <c r="E1573" s="34" t="str">
        <f>IFERROR(__xludf.DUMMYFUNCTION("""COMPUTED_VALUE"""),"08Agu")</f>
        <v>08Agu</v>
      </c>
      <c r="F1573" s="34" t="str">
        <f>IFERROR(__xludf.DUMMYFUNCTION("""COMPUTED_VALUE"""),"2024")</f>
        <v>2024</v>
      </c>
      <c r="G1573" s="35" t="str">
        <f>IFERROR(__xludf.DUMMYFUNCTION("""COMPUTED_VALUE"""),"SULASTRI 6305")</f>
        <v>SULASTRI 6305</v>
      </c>
      <c r="H1573" s="17" t="str">
        <f>IFERROR(__xludf.DUMMYFUNCTION("""COMPUTED_VALUE"""),"S6324088474")</f>
        <v>S6324088474</v>
      </c>
      <c r="I1573" s="17">
        <f>IFERROR(__xludf.DUMMYFUNCTION("""COMPUTED_VALUE"""),63.0)</f>
        <v>63</v>
      </c>
      <c r="J1573" s="17" t="str">
        <f>IFERROR(__xludf.DUMMYFUNCTION("""COMPUTED_VALUE"""),"&gt; 44 tahun")</f>
        <v>&gt; 44 tahun</v>
      </c>
      <c r="K1573" s="19">
        <f>IFERROR(__xludf.DUMMYFUNCTION("""COMPUTED_VALUE"""),23133.0)</f>
        <v>23133</v>
      </c>
      <c r="L1573" s="19" t="str">
        <f>IFERROR(__xludf.DUMMYFUNCTION("""COMPUTED_VALUE"""),"PEREMPUAN")</f>
        <v>PEREMPUAN</v>
      </c>
      <c r="M1573" s="35" t="str">
        <f>IFERROR(__xludf.DUMMYFUNCTION("""COMPUTED_VALUE"""),"JL. R. SUPRAPTO, GG. SAMHUDI, NO. 5")</f>
        <v>JL. R. SUPRAPTO, GG. SAMHUDI, NO. 5</v>
      </c>
      <c r="N1573" s="16" t="str">
        <f>IFERROR(__xludf.DUMMYFUNCTION("""COMPUTED_VALUE"""),"KEL. SAMPIT")</f>
        <v>KEL. SAMPIT</v>
      </c>
      <c r="O1573" s="16" t="str">
        <f>IFERROR(__xludf.DUMMYFUNCTION("""COMPUTED_VALUE"""),"KEC. DELTA PAWAN")</f>
        <v>KEC. DELTA PAWAN</v>
      </c>
      <c r="P1573" s="16" t="str">
        <f>IFERROR(__xludf.DUMMYFUNCTION("""COMPUTED_VALUE"""),"KAB. KETAPANG")</f>
        <v>KAB. KETAPANG</v>
      </c>
      <c r="Q1573" s="16" t="str">
        <f>IFERROR(__xludf.DUMMYFUNCTION("""COMPUTED_VALUE"""),"KALIMANTAN BARAT")</f>
        <v>KALIMANTAN BARAT</v>
      </c>
      <c r="R1573" s="19" t="str">
        <f>IFERROR(__xludf.DUMMYFUNCTION("""COMPUTED_VALUE"""),"ISLAM")</f>
        <v>ISLAM</v>
      </c>
      <c r="S1573" s="16" t="str">
        <f>IFERROR(__xludf.DUMMYFUNCTION("""COMPUTED_VALUE"""),"PENSIUN")</f>
        <v>PENSIUN</v>
      </c>
      <c r="T1573" s="16" t="str">
        <f>IFERROR(__xludf.DUMMYFUNCTION("""COMPUTED_VALUE"""),"Sakit bagian belakang saat sholat posisi duduk antara dua sujud")</f>
        <v>Sakit bagian belakang saat sholat posisi duduk antara dua sujud</v>
      </c>
      <c r="U1573" s="16" t="str">
        <f>IFERROR(__xludf.DUMMYFUNCTION("""COMPUTED_VALUE"""),"Ibu Rumah Tangga")</f>
        <v>Ibu Rumah Tangga</v>
      </c>
      <c r="V1573" s="11" t="str">
        <f>IFERROR(__xludf.DUMMYFUNCTION("""COMPUTED_VALUE"""),"08135958474")</f>
        <v>08135958474</v>
      </c>
      <c r="W1573" s="15"/>
    </row>
    <row r="1574" ht="22.5" customHeight="1">
      <c r="A1574" s="8"/>
      <c r="B1574" s="9">
        <f>IFERROR(__xludf.DUMMYFUNCTION("""COMPUTED_VALUE"""),45502.491970069445)</f>
        <v>45502.49197</v>
      </c>
      <c r="C1574" s="9"/>
      <c r="D1574" s="34">
        <f>IFERROR(__xludf.DUMMYFUNCTION("""COMPUTED_VALUE"""),45509.0)</f>
        <v>45509</v>
      </c>
      <c r="E1574" s="34" t="str">
        <f>IFERROR(__xludf.DUMMYFUNCTION("""COMPUTED_VALUE"""),"08Agu")</f>
        <v>08Agu</v>
      </c>
      <c r="F1574" s="34" t="str">
        <f>IFERROR(__xludf.DUMMYFUNCTION("""COMPUTED_VALUE"""),"2024")</f>
        <v>2024</v>
      </c>
      <c r="G1574" s="35" t="str">
        <f>IFERROR(__xludf.DUMMYFUNCTION("""COMPUTED_VALUE"""),"ABDURRAHMAN AUF LAKSAMANA")</f>
        <v>ABDURRAHMAN AUF LAKSAMANA</v>
      </c>
      <c r="H1574" s="17" t="str">
        <f>IFERROR(__xludf.DUMMYFUNCTION("""COMPUTED_VALUE"""),"A0624087321")</f>
        <v>A0624087321</v>
      </c>
      <c r="I1574" s="17">
        <f>IFERROR(__xludf.DUMMYFUNCTION("""COMPUTED_VALUE"""),19.0)</f>
        <v>19</v>
      </c>
      <c r="J1574" s="17" t="str">
        <f>IFERROR(__xludf.DUMMYFUNCTION("""COMPUTED_VALUE"""),"18-24 tahun")</f>
        <v>18-24 tahun</v>
      </c>
      <c r="K1574" s="19">
        <f>IFERROR(__xludf.DUMMYFUNCTION("""COMPUTED_VALUE"""),39037.0)</f>
        <v>39037</v>
      </c>
      <c r="L1574" s="19" t="str">
        <f>IFERROR(__xludf.DUMMYFUNCTION("""COMPUTED_VALUE"""),"LAKI-LAKI")</f>
        <v>LAKI-LAKI</v>
      </c>
      <c r="M1574" s="35" t="str">
        <f>IFERROR(__xludf.DUMMYFUNCTION("""COMPUTED_VALUE"""),"JL. KH. AHMAD DAHLAN. RT 004 RW 002")</f>
        <v>JL. KH. AHMAD DAHLAN. RT 004 RW 002</v>
      </c>
      <c r="N1574" s="16" t="str">
        <f>IFERROR(__xludf.DUMMYFUNCTION("""COMPUTED_VALUE"""),"DS. KAUMAN")</f>
        <v>DS. KAUMAN</v>
      </c>
      <c r="O1574" s="16" t="str">
        <f>IFERROR(__xludf.DUMMYFUNCTION("""COMPUTED_VALUE"""),"KEC. BENUA KAYONG")</f>
        <v>KEC. BENUA KAYONG</v>
      </c>
      <c r="P1574" s="16" t="str">
        <f>IFERROR(__xludf.DUMMYFUNCTION("""COMPUTED_VALUE"""),"KAB. KETAPANG")</f>
        <v>KAB. KETAPANG</v>
      </c>
      <c r="Q1574" s="16" t="str">
        <f>IFERROR(__xludf.DUMMYFUNCTION("""COMPUTED_VALUE"""),"KALIMANTAN BARAT")</f>
        <v>KALIMANTAN BARAT</v>
      </c>
      <c r="R1574" s="19" t="str">
        <f>IFERROR(__xludf.DUMMYFUNCTION("""COMPUTED_VALUE"""),"ISLAM")</f>
        <v>ISLAM</v>
      </c>
      <c r="S1574" s="16" t="str">
        <f>IFERROR(__xludf.DUMMYFUNCTION("""COMPUTED_VALUE"""),"PELAJAR/MAHASISWA")</f>
        <v>PELAJAR/MAHASISWA</v>
      </c>
      <c r="T1574" s="16" t="str">
        <f>IFERROR(__xludf.DUMMYFUNCTION("""COMPUTED_VALUE"""),"Pergelangan tangan kanan nyeri setelah terjatuh")</f>
        <v>Pergelangan tangan kanan nyeri setelah terjatuh</v>
      </c>
      <c r="U1574" s="16" t="str">
        <f>IFERROR(__xludf.DUMMYFUNCTION("""COMPUTED_VALUE"""),"Main Basket")</f>
        <v>Main Basket</v>
      </c>
      <c r="V1574" s="11" t="str">
        <f>IFERROR(__xludf.DUMMYFUNCTION("""COMPUTED_VALUE"""),"082213007321")</f>
        <v>082213007321</v>
      </c>
      <c r="W1574" s="15"/>
    </row>
    <row r="1575" ht="22.5" customHeight="1">
      <c r="A1575" s="8"/>
      <c r="B1575" s="9">
        <f>IFERROR(__xludf.DUMMYFUNCTION("""COMPUTED_VALUE"""),45502.55762827546)</f>
        <v>45502.55763</v>
      </c>
      <c r="C1575" s="9"/>
      <c r="D1575" s="34">
        <f>IFERROR(__xludf.DUMMYFUNCTION("""COMPUTED_VALUE"""),45509.0)</f>
        <v>45509</v>
      </c>
      <c r="E1575" s="34" t="str">
        <f>IFERROR(__xludf.DUMMYFUNCTION("""COMPUTED_VALUE"""),"08Agu")</f>
        <v>08Agu</v>
      </c>
      <c r="F1575" s="34" t="str">
        <f>IFERROR(__xludf.DUMMYFUNCTION("""COMPUTED_VALUE"""),"2024")</f>
        <v>2024</v>
      </c>
      <c r="G1575" s="35" t="str">
        <f>IFERROR(__xludf.DUMMYFUNCTION("""COMPUTED_VALUE"""),"MUHAMMAD RIFQI SYABANA")</f>
        <v>MUHAMMAD RIFQI SYABANA</v>
      </c>
      <c r="H1575" s="17" t="str">
        <f>IFERROR(__xludf.DUMMYFUNCTION("""COMPUTED_VALUE"""),"M9624087645")</f>
        <v>M9624087645</v>
      </c>
      <c r="I1575" s="17">
        <f>IFERROR(__xludf.DUMMYFUNCTION("""COMPUTED_VALUE"""),30.0)</f>
        <v>30</v>
      </c>
      <c r="J1575" s="17" t="str">
        <f>IFERROR(__xludf.DUMMYFUNCTION("""COMPUTED_VALUE"""),"25-34 tahun")</f>
        <v>25-34 tahun</v>
      </c>
      <c r="K1575" s="19">
        <f>IFERROR(__xludf.DUMMYFUNCTION("""COMPUTED_VALUE"""),35124.0)</f>
        <v>35124</v>
      </c>
      <c r="L1575" s="19" t="str">
        <f>IFERROR(__xludf.DUMMYFUNCTION("""COMPUTED_VALUE"""),"LAKI-LAKI")</f>
        <v>LAKI-LAKI</v>
      </c>
      <c r="M1575" s="35" t="str">
        <f>IFERROR(__xludf.DUMMYFUNCTION("""COMPUTED_VALUE"""),"JALAN SUNGAI RAYA DALAM KOMPLEK DISBUN 2")</f>
        <v>JALAN SUNGAI RAYA DALAM KOMPLEK DISBUN 2</v>
      </c>
      <c r="N1575" s="16" t="str">
        <f>IFERROR(__xludf.DUMMYFUNCTION("""COMPUTED_VALUE"""),"KEL. BANGKA BELITUNG DARAT")</f>
        <v>KEL. BANGKA BELITUNG DARAT</v>
      </c>
      <c r="O1575" s="16" t="str">
        <f>IFERROR(__xludf.DUMMYFUNCTION("""COMPUTED_VALUE"""),"KEC. PONTIANAK TENGGARA")</f>
        <v>KEC. PONTIANAK TENGGARA</v>
      </c>
      <c r="P1575" s="16" t="str">
        <f>IFERROR(__xludf.DUMMYFUNCTION("""COMPUTED_VALUE"""),"KOTA PONTIANAK")</f>
        <v>KOTA PONTIANAK</v>
      </c>
      <c r="Q1575" s="16" t="str">
        <f>IFERROR(__xludf.DUMMYFUNCTION("""COMPUTED_VALUE"""),"KALIMANTAN BARAT")</f>
        <v>KALIMANTAN BARAT</v>
      </c>
      <c r="R1575" s="19" t="str">
        <f>IFERROR(__xludf.DUMMYFUNCTION("""COMPUTED_VALUE"""),"ISLAM")</f>
        <v>ISLAM</v>
      </c>
      <c r="S1575" s="35" t="str">
        <f>IFERROR(__xludf.DUMMYFUNCTION("""COMPUTED_VALUE"""),"TNI/POLRI")</f>
        <v>TNI/POLRI</v>
      </c>
      <c r="T1575" s="16" t="str">
        <f>IFERROR(__xludf.DUMMYFUNCTION("""COMPUTED_VALUE"""),"Nyeri di pinggang apabila duduk lama")</f>
        <v>Nyeri di pinggang apabila duduk lama</v>
      </c>
      <c r="U1575" s="16" t="str">
        <f>IFERROR(__xludf.DUMMYFUNCTION("""COMPUTED_VALUE"""),"Lari dan basket")</f>
        <v>Lari dan basket</v>
      </c>
      <c r="V1575" s="11" t="str">
        <f>IFERROR(__xludf.DUMMYFUNCTION("""COMPUTED_VALUE"""),"082154067645")</f>
        <v>082154067645</v>
      </c>
      <c r="W1575" s="15"/>
    </row>
    <row r="1576" ht="22.5" customHeight="1">
      <c r="A1576" s="8"/>
      <c r="B1576" s="9">
        <f>IFERROR(__xludf.DUMMYFUNCTION("""COMPUTED_VALUE"""),45502.758092592594)</f>
        <v>45502.75809</v>
      </c>
      <c r="C1576" s="9"/>
      <c r="D1576" s="34">
        <f>IFERROR(__xludf.DUMMYFUNCTION("""COMPUTED_VALUE"""),45509.0)</f>
        <v>45509</v>
      </c>
      <c r="E1576" s="34" t="str">
        <f>IFERROR(__xludf.DUMMYFUNCTION("""COMPUTED_VALUE"""),"08Agu")</f>
        <v>08Agu</v>
      </c>
      <c r="F1576" s="34" t="str">
        <f>IFERROR(__xludf.DUMMYFUNCTION("""COMPUTED_VALUE"""),"2024")</f>
        <v>2024</v>
      </c>
      <c r="G1576" s="35" t="str">
        <f>IFERROR(__xludf.DUMMYFUNCTION("""COMPUTED_VALUE"""),"KEYLA DANANG PADHENDRA RAMADHANI")</f>
        <v>KEYLA DANANG PADHENDRA RAMADHANI</v>
      </c>
      <c r="H1576" s="17" t="str">
        <f>IFERROR(__xludf.DUMMYFUNCTION("""COMPUTED_VALUE"""),"K0224080292")</f>
        <v>K0224080292</v>
      </c>
      <c r="I1576" s="17">
        <f>IFERROR(__xludf.DUMMYFUNCTION("""COMPUTED_VALUE"""),23.0)</f>
        <v>23</v>
      </c>
      <c r="J1576" s="17" t="str">
        <f>IFERROR(__xludf.DUMMYFUNCTION("""COMPUTED_VALUE"""),"18-24 tahun")</f>
        <v>18-24 tahun</v>
      </c>
      <c r="K1576" s="19">
        <f>IFERROR(__xludf.DUMMYFUNCTION("""COMPUTED_VALUE"""),37578.0)</f>
        <v>37578</v>
      </c>
      <c r="L1576" s="19" t="str">
        <f>IFERROR(__xludf.DUMMYFUNCTION("""COMPUTED_VALUE"""),"LAKI-LAKI")</f>
        <v>LAKI-LAKI</v>
      </c>
      <c r="M1576" s="35" t="str">
        <f>IFERROR(__xludf.DUMMYFUNCTION("""COMPUTED_VALUE"""),"JL H R ARAHMAN GG MARGODADI REJO 2A NO 35")</f>
        <v>JL H R ARAHMAN GG MARGODADI REJO 2A NO 35</v>
      </c>
      <c r="N1576" s="16" t="str">
        <f>IFERROR(__xludf.DUMMYFUNCTION("""COMPUTED_VALUE"""),"KEL. SUNGAI JAWI")</f>
        <v>KEL. SUNGAI JAWI</v>
      </c>
      <c r="O1576" s="16" t="str">
        <f>IFERROR(__xludf.DUMMYFUNCTION("""COMPUTED_VALUE"""),"KEC. PONTIANAK KOTA")</f>
        <v>KEC. PONTIANAK KOTA</v>
      </c>
      <c r="P1576" s="16" t="str">
        <f>IFERROR(__xludf.DUMMYFUNCTION("""COMPUTED_VALUE"""),"KOTA PONTIANAK")</f>
        <v>KOTA PONTIANAK</v>
      </c>
      <c r="Q1576" s="16" t="str">
        <f>IFERROR(__xludf.DUMMYFUNCTION("""COMPUTED_VALUE"""),"KALIMANTAN BARAT")</f>
        <v>KALIMANTAN BARAT</v>
      </c>
      <c r="R1576" s="19" t="str">
        <f>IFERROR(__xludf.DUMMYFUNCTION("""COMPUTED_VALUE"""),"ISLAM")</f>
        <v>ISLAM</v>
      </c>
      <c r="S1576" s="16" t="str">
        <f>IFERROR(__xludf.DUMMYFUNCTION("""COMPUTED_VALUE"""),"PELAJAR/MAHASISWA")</f>
        <v>PELAJAR/MAHASISWA</v>
      </c>
      <c r="T1576" s="16" t="str">
        <f>IFERROR(__xludf.DUMMYFUNCTION("""COMPUTED_VALUE"""),"otot paha sama lengan kanan")</f>
        <v>otot paha sama lengan kanan</v>
      </c>
      <c r="U1576" s="16" t="str">
        <f>IFERROR(__xludf.DUMMYFUNCTION("""COMPUTED_VALUE"""),"lari dan basket")</f>
        <v>lari dan basket</v>
      </c>
      <c r="V1576" s="11" t="str">
        <f>IFERROR(__xludf.DUMMYFUNCTION("""COMPUTED_VALUE"""),"+6593950292")</f>
        <v>+6593950292</v>
      </c>
      <c r="W1576" s="15"/>
    </row>
    <row r="1577" ht="22.5" customHeight="1">
      <c r="A1577" s="8"/>
      <c r="B1577" s="9">
        <f>IFERROR(__xludf.DUMMYFUNCTION("""COMPUTED_VALUE"""),45503.66127133102)</f>
        <v>45503.66127</v>
      </c>
      <c r="C1577" s="9"/>
      <c r="D1577" s="10">
        <f>IFERROR(__xludf.DUMMYFUNCTION("""COMPUTED_VALUE"""),45510.0)</f>
        <v>45510</v>
      </c>
      <c r="E1577" s="10" t="str">
        <f>IFERROR(__xludf.DUMMYFUNCTION("""COMPUTED_VALUE"""),"08Agu")</f>
        <v>08Agu</v>
      </c>
      <c r="F1577" s="10" t="str">
        <f>IFERROR(__xludf.DUMMYFUNCTION("""COMPUTED_VALUE"""),"2024")</f>
        <v>2024</v>
      </c>
      <c r="G1577" s="35" t="str">
        <f>IFERROR(__xludf.DUMMYFUNCTION("""COMPUTED_VALUE"""),"RIDHO")</f>
        <v>RIDHO</v>
      </c>
      <c r="H1577" s="17" t="str">
        <f>IFERROR(__xludf.DUMMYFUNCTION("""COMPUTED_VALUE"""),"R0524084736")</f>
        <v>R0524084736</v>
      </c>
      <c r="I1577" s="17">
        <f>IFERROR(__xludf.DUMMYFUNCTION("""COMPUTED_VALUE"""),20.0)</f>
        <v>20</v>
      </c>
      <c r="J1577" s="17" t="str">
        <f>IFERROR(__xludf.DUMMYFUNCTION("""COMPUTED_VALUE"""),"18-24 tahun")</f>
        <v>18-24 tahun</v>
      </c>
      <c r="K1577" s="19">
        <f>IFERROR(__xludf.DUMMYFUNCTION("""COMPUTED_VALUE"""),38644.0)</f>
        <v>38644</v>
      </c>
      <c r="L1577" s="19" t="str">
        <f>IFERROR(__xludf.DUMMYFUNCTION("""COMPUTED_VALUE"""),"LAKI-LAKI")</f>
        <v>LAKI-LAKI</v>
      </c>
      <c r="M1577" s="35" t="str">
        <f>IFERROR(__xludf.DUMMYFUNCTION("""COMPUTED_VALUE"""),"JL.KARYA KOMP.KARYA INDAH 3 BLOK B")</f>
        <v>JL.KARYA KOMP.KARYA INDAH 3 BLOK B</v>
      </c>
      <c r="N1577" s="16" t="str">
        <f>IFERROR(__xludf.DUMMYFUNCTION("""COMPUTED_VALUE"""),"KEL. PAL IX")</f>
        <v>KEL. PAL IX</v>
      </c>
      <c r="O1577" s="16" t="str">
        <f>IFERROR(__xludf.DUMMYFUNCTION("""COMPUTED_VALUE"""),"KEC. SUNGAI KAKAP")</f>
        <v>KEC. SUNGAI KAKAP</v>
      </c>
      <c r="P1577" s="16" t="str">
        <f>IFERROR(__xludf.DUMMYFUNCTION("""COMPUTED_VALUE"""),"KAB. KUBU RAYA")</f>
        <v>KAB. KUBU RAYA</v>
      </c>
      <c r="Q1577" s="16" t="str">
        <f>IFERROR(__xludf.DUMMYFUNCTION("""COMPUTED_VALUE"""),"KALIMANTAN BARAT")</f>
        <v>KALIMANTAN BARAT</v>
      </c>
      <c r="R1577" s="19" t="str">
        <f>IFERROR(__xludf.DUMMYFUNCTION("""COMPUTED_VALUE"""),"ISLAM")</f>
        <v>ISLAM</v>
      </c>
      <c r="S1577" s="35" t="str">
        <f>IFERROR(__xludf.DUMMYFUNCTION("""COMPUTED_VALUE"""),"SATPAM")</f>
        <v>SATPAM</v>
      </c>
      <c r="T1577" s="16" t="str">
        <f>IFERROR(__xludf.DUMMYFUNCTION("""COMPUTED_VALUE"""),"Kaki letter o")</f>
        <v>Kaki letter o</v>
      </c>
      <c r="U1577" s="16" t="str">
        <f>IFERROR(__xludf.DUMMYFUNCTION("""COMPUTED_VALUE"""),"Olahraga")</f>
        <v>Olahraga</v>
      </c>
      <c r="V1577" s="11" t="str">
        <f>IFERROR(__xludf.DUMMYFUNCTION("""COMPUTED_VALUE"""),"083853304736")</f>
        <v>083853304736</v>
      </c>
      <c r="W1577" s="15"/>
    </row>
    <row r="1578" ht="22.5" customHeight="1">
      <c r="A1578" s="8"/>
      <c r="B1578" s="9">
        <f>IFERROR(__xludf.DUMMYFUNCTION("""COMPUTED_VALUE"""),45503.692607523146)</f>
        <v>45503.69261</v>
      </c>
      <c r="C1578" s="9"/>
      <c r="D1578" s="34">
        <f>IFERROR(__xludf.DUMMYFUNCTION("""COMPUTED_VALUE"""),45510.0)</f>
        <v>45510</v>
      </c>
      <c r="E1578" s="34" t="str">
        <f>IFERROR(__xludf.DUMMYFUNCTION("""COMPUTED_VALUE"""),"08Agu")</f>
        <v>08Agu</v>
      </c>
      <c r="F1578" s="34" t="str">
        <f>IFERROR(__xludf.DUMMYFUNCTION("""COMPUTED_VALUE"""),"2024")</f>
        <v>2024</v>
      </c>
      <c r="G1578" s="35" t="str">
        <f>IFERROR(__xludf.DUMMYFUNCTION("""COMPUTED_VALUE"""),"RATNA MEILIAWATI NUGRAHENI, SE")</f>
        <v>RATNA MEILIAWATI NUGRAHENI, SE</v>
      </c>
      <c r="H1578" s="17" t="str">
        <f>IFERROR(__xludf.DUMMYFUNCTION("""COMPUTED_VALUE"""),"R7224088605")</f>
        <v>R7224088605</v>
      </c>
      <c r="I1578" s="17">
        <f>IFERROR(__xludf.DUMMYFUNCTION("""COMPUTED_VALUE"""),54.0)</f>
        <v>54</v>
      </c>
      <c r="J1578" s="17" t="str">
        <f>IFERROR(__xludf.DUMMYFUNCTION("""COMPUTED_VALUE"""),"&gt; 44 tahun")</f>
        <v>&gt; 44 tahun</v>
      </c>
      <c r="K1578" s="19">
        <f>IFERROR(__xludf.DUMMYFUNCTION("""COMPUTED_VALUE"""),26420.0)</f>
        <v>26420</v>
      </c>
      <c r="L1578" s="19" t="str">
        <f>IFERROR(__xludf.DUMMYFUNCTION("""COMPUTED_VALUE"""),"PEREMPUAN")</f>
        <v>PEREMPUAN</v>
      </c>
      <c r="M1578" s="35" t="str">
        <f>IFERROR(__xludf.DUMMYFUNCTION("""COMPUTED_VALUE"""),"JL PROV M YAMIN GG USAHA BERSAMA 1 RT 002 RW 009")</f>
        <v>JL PROV M YAMIN GG USAHA BERSAMA 1 RT 002 RW 009</v>
      </c>
      <c r="N1578" s="16" t="str">
        <f>IFERROR(__xludf.DUMMYFUNCTION("""COMPUTED_VALUE"""),"KEL. KOTA BARU")</f>
        <v>KEL. KOTA BARU</v>
      </c>
      <c r="O1578" s="16" t="str">
        <f>IFERROR(__xludf.DUMMYFUNCTION("""COMPUTED_VALUE"""),"KEC. PONTIANAK SELATAN")</f>
        <v>KEC. PONTIANAK SELATAN</v>
      </c>
      <c r="P1578" s="16" t="str">
        <f>IFERROR(__xludf.DUMMYFUNCTION("""COMPUTED_VALUE"""),"KOTA PONTIANAK")</f>
        <v>KOTA PONTIANAK</v>
      </c>
      <c r="Q1578" s="16" t="str">
        <f>IFERROR(__xludf.DUMMYFUNCTION("""COMPUTED_VALUE"""),"KALIMANTAN BARAT")</f>
        <v>KALIMANTAN BARAT</v>
      </c>
      <c r="R1578" s="19" t="str">
        <f>IFERROR(__xludf.DUMMYFUNCTION("""COMPUTED_VALUE"""),"ISLAM")</f>
        <v>ISLAM</v>
      </c>
      <c r="S1578" s="35" t="str">
        <f>IFERROR(__xludf.DUMMYFUNCTION("""COMPUTED_VALUE"""),"ASN")</f>
        <v>ASN</v>
      </c>
      <c r="T1578" s="16" t="str">
        <f>IFERROR(__xludf.DUMMYFUNCTION("""COMPUTED_VALUE"""),"NYERI DI LENGAN KANAN SAMPAI RASA TERTARIK DI BAHU, SUSAH ANGKAT BARANG")</f>
        <v>NYERI DI LENGAN KANAN SAMPAI RASA TERTARIK DI BAHU, SUSAH ANGKAT BARANG</v>
      </c>
      <c r="U1578" s="16" t="str">
        <f>IFERROR(__xludf.DUMMYFUNCTION("""COMPUTED_VALUE"""),"BEKERJA DI DISDIKBUD")</f>
        <v>BEKERJA DI DISDIKBUD</v>
      </c>
      <c r="V1578" s="11" t="str">
        <f>IFERROR(__xludf.DUMMYFUNCTION("""COMPUTED_VALUE"""),"082157168605")</f>
        <v>082157168605</v>
      </c>
      <c r="W1578" s="15"/>
    </row>
    <row r="1579" ht="22.5" customHeight="1">
      <c r="A1579" s="8"/>
      <c r="B1579" s="9">
        <f>IFERROR(__xludf.DUMMYFUNCTION("""COMPUTED_VALUE"""),45504.413238877314)</f>
        <v>45504.41324</v>
      </c>
      <c r="C1579" s="9"/>
      <c r="D1579" s="34">
        <f>IFERROR(__xludf.DUMMYFUNCTION("""COMPUTED_VALUE"""),45510.0)</f>
        <v>45510</v>
      </c>
      <c r="E1579" s="34" t="str">
        <f>IFERROR(__xludf.DUMMYFUNCTION("""COMPUTED_VALUE"""),"08Agu")</f>
        <v>08Agu</v>
      </c>
      <c r="F1579" s="34" t="str">
        <f>IFERROR(__xludf.DUMMYFUNCTION("""COMPUTED_VALUE"""),"2024")</f>
        <v>2024</v>
      </c>
      <c r="G1579" s="35" t="str">
        <f>IFERROR(__xludf.DUMMYFUNCTION("""COMPUTED_VALUE"""),"NINA AMINAH")</f>
        <v>NINA AMINAH</v>
      </c>
      <c r="H1579" s="17" t="str">
        <f>IFERROR(__xludf.DUMMYFUNCTION("""COMPUTED_VALUE"""),"N7924086790")</f>
        <v>N7924086790</v>
      </c>
      <c r="I1579" s="17">
        <f>IFERROR(__xludf.DUMMYFUNCTION("""COMPUTED_VALUE"""),47.0)</f>
        <v>47</v>
      </c>
      <c r="J1579" s="17" t="str">
        <f>IFERROR(__xludf.DUMMYFUNCTION("""COMPUTED_VALUE"""),"&gt; 44 tahun")</f>
        <v>&gt; 44 tahun</v>
      </c>
      <c r="K1579" s="19">
        <f>IFERROR(__xludf.DUMMYFUNCTION("""COMPUTED_VALUE"""),28895.0)</f>
        <v>28895</v>
      </c>
      <c r="L1579" s="19" t="str">
        <f>IFERROR(__xludf.DUMMYFUNCTION("""COMPUTED_VALUE"""),"PEREMPUAN")</f>
        <v>PEREMPUAN</v>
      </c>
      <c r="M1579" s="35" t="str">
        <f>IFERROR(__xludf.DUMMYFUNCTION("""COMPUTED_VALUE"""),"PERUMAHAN DELIMA PERMAI NO. A10 JL. TABRANI AHMAD")</f>
        <v>PERUMAHAN DELIMA PERMAI NO. A10 JL. TABRANI AHMAD</v>
      </c>
      <c r="N1579" s="16" t="str">
        <f>IFERROR(__xludf.DUMMYFUNCTION("""COMPUTED_VALUE"""),"KEL. PAL LIMA")</f>
        <v>KEL. PAL LIMA</v>
      </c>
      <c r="O1579" s="16" t="str">
        <f>IFERROR(__xludf.DUMMYFUNCTION("""COMPUTED_VALUE"""),"KEC. PONTIANAK BARAT")</f>
        <v>KEC. PONTIANAK BARAT</v>
      </c>
      <c r="P1579" s="16" t="str">
        <f>IFERROR(__xludf.DUMMYFUNCTION("""COMPUTED_VALUE"""),"KOTA PONTIANAK")</f>
        <v>KOTA PONTIANAK</v>
      </c>
      <c r="Q1579" s="16" t="str">
        <f>IFERROR(__xludf.DUMMYFUNCTION("""COMPUTED_VALUE"""),"KALIMANTAN BARAT")</f>
        <v>KALIMANTAN BARAT</v>
      </c>
      <c r="R1579" s="19" t="str">
        <f>IFERROR(__xludf.DUMMYFUNCTION("""COMPUTED_VALUE"""),"ISLAM")</f>
        <v>ISLAM</v>
      </c>
      <c r="S1579" s="35" t="str">
        <f>IFERROR(__xludf.DUMMYFUNCTION("""COMPUTED_VALUE"""),"ASN")</f>
        <v>ASN</v>
      </c>
      <c r="T1579" s="16" t="str">
        <f>IFERROR(__xludf.DUMMYFUNCTION("""COMPUTED_VALUE"""),"Kedua lengan tidak bisa diangkat keatas, kalau dipaksakan sakit dan ngilu.")</f>
        <v>Kedua lengan tidak bisa diangkat keatas, kalau dipaksakan sakit dan ngilu.</v>
      </c>
      <c r="U1579" s="16" t="str">
        <f>IFERROR(__xludf.DUMMYFUNCTION("""COMPUTED_VALUE"""),"Jogging")</f>
        <v>Jogging</v>
      </c>
      <c r="V1579" s="11" t="str">
        <f>IFERROR(__xludf.DUMMYFUNCTION("""COMPUTED_VALUE"""),"085386306790")</f>
        <v>085386306790</v>
      </c>
      <c r="W1579" s="15"/>
    </row>
    <row r="1580" ht="22.5" customHeight="1">
      <c r="A1580" s="8"/>
      <c r="B1580" s="9">
        <f>IFERROR(__xludf.DUMMYFUNCTION("""COMPUTED_VALUE"""),45504.43339597222)</f>
        <v>45504.4334</v>
      </c>
      <c r="C1580" s="9"/>
      <c r="D1580" s="34">
        <f>IFERROR(__xludf.DUMMYFUNCTION("""COMPUTED_VALUE"""),45510.0)</f>
        <v>45510</v>
      </c>
      <c r="E1580" s="34" t="str">
        <f>IFERROR(__xludf.DUMMYFUNCTION("""COMPUTED_VALUE"""),"08Agu")</f>
        <v>08Agu</v>
      </c>
      <c r="F1580" s="34" t="str">
        <f>IFERROR(__xludf.DUMMYFUNCTION("""COMPUTED_VALUE"""),"2024")</f>
        <v>2024</v>
      </c>
      <c r="G1580" s="35" t="str">
        <f>IFERROR(__xludf.DUMMYFUNCTION("""COMPUTED_VALUE"""),"FERRY ISKANDAR")</f>
        <v>FERRY ISKANDAR</v>
      </c>
      <c r="H1580" s="17" t="str">
        <f>IFERROR(__xludf.DUMMYFUNCTION("""COMPUTED_VALUE"""),"F7524087907")</f>
        <v>F7524087907</v>
      </c>
      <c r="I1580" s="17">
        <f>IFERROR(__xludf.DUMMYFUNCTION("""COMPUTED_VALUE"""),50.0)</f>
        <v>50</v>
      </c>
      <c r="J1580" s="17" t="str">
        <f>IFERROR(__xludf.DUMMYFUNCTION("""COMPUTED_VALUE"""),"&gt; 44 tahun")</f>
        <v>&gt; 44 tahun</v>
      </c>
      <c r="K1580" s="19">
        <f>IFERROR(__xludf.DUMMYFUNCTION("""COMPUTED_VALUE"""),27702.0)</f>
        <v>27702</v>
      </c>
      <c r="L1580" s="19" t="str">
        <f>IFERROR(__xludf.DUMMYFUNCTION("""COMPUTED_VALUE"""),"LAKI-LAKI")</f>
        <v>LAKI-LAKI</v>
      </c>
      <c r="M1580" s="35" t="str">
        <f>IFERROR(__xludf.DUMMYFUNCTION("""COMPUTED_VALUE"""),"JL PURNAMA GG KARYATANI NP 28")</f>
        <v>JL PURNAMA GG KARYATANI NP 28</v>
      </c>
      <c r="N1580" s="16" t="str">
        <f>IFERROR(__xludf.DUMMYFUNCTION("""COMPUTED_VALUE"""),"KEL. PARIT TOKAYA")</f>
        <v>KEL. PARIT TOKAYA</v>
      </c>
      <c r="O1580" s="16" t="str">
        <f>IFERROR(__xludf.DUMMYFUNCTION("""COMPUTED_VALUE"""),"KEC. PONTIANAK SELATAN")</f>
        <v>KEC. PONTIANAK SELATAN</v>
      </c>
      <c r="P1580" s="16" t="str">
        <f>IFERROR(__xludf.DUMMYFUNCTION("""COMPUTED_VALUE"""),"KOTA PONTIANAK")</f>
        <v>KOTA PONTIANAK</v>
      </c>
      <c r="Q1580" s="16" t="str">
        <f>IFERROR(__xludf.DUMMYFUNCTION("""COMPUTED_VALUE"""),"KALIMANTAN BARAT")</f>
        <v>KALIMANTAN BARAT</v>
      </c>
      <c r="R1580" s="19" t="str">
        <f>IFERROR(__xludf.DUMMYFUNCTION("""COMPUTED_VALUE"""),"ISLAM")</f>
        <v>ISLAM</v>
      </c>
      <c r="S1580" s="35" t="str">
        <f>IFERROR(__xludf.DUMMYFUNCTION("""COMPUTED_VALUE"""),"SWASTA")</f>
        <v>SWASTA</v>
      </c>
      <c r="T1580" s="16" t="str">
        <f>IFERROR(__xludf.DUMMYFUNCTION("""COMPUTED_VALUE"""),"Sakit d bagian belikat belakang sebelah kanan,sampai k kaki sakitnya")</f>
        <v>Sakit d bagian belikat belakang sebelah kanan,sampai k kaki sakitnya</v>
      </c>
      <c r="U1580" s="16" t="str">
        <f>IFERROR(__xludf.DUMMYFUNCTION("""COMPUTED_VALUE"""),"Bekerja")</f>
        <v>Bekerja</v>
      </c>
      <c r="V1580" s="11" t="str">
        <f>IFERROR(__xludf.DUMMYFUNCTION("""COMPUTED_VALUE"""),"085754377907")</f>
        <v>085754377907</v>
      </c>
      <c r="W1580" s="15"/>
    </row>
    <row r="1581" ht="22.5" customHeight="1">
      <c r="A1581" s="8"/>
      <c r="B1581" s="9">
        <f>IFERROR(__xludf.DUMMYFUNCTION("""COMPUTED_VALUE"""),45503.76319179398)</f>
        <v>45503.76319</v>
      </c>
      <c r="C1581" s="9"/>
      <c r="D1581" s="34">
        <f>IFERROR(__xludf.DUMMYFUNCTION("""COMPUTED_VALUE"""),45510.0)</f>
        <v>45510</v>
      </c>
      <c r="E1581" s="34" t="str">
        <f>IFERROR(__xludf.DUMMYFUNCTION("""COMPUTED_VALUE"""),"08Agu")</f>
        <v>08Agu</v>
      </c>
      <c r="F1581" s="34" t="str">
        <f>IFERROR(__xludf.DUMMYFUNCTION("""COMPUTED_VALUE"""),"2024")</f>
        <v>2024</v>
      </c>
      <c r="G1581" s="35" t="str">
        <f>IFERROR(__xludf.DUMMYFUNCTION("""COMPUTED_VALUE"""),"OLLY ANWAR")</f>
        <v>OLLY ANWAR</v>
      </c>
      <c r="H1581" s="17" t="str">
        <f>IFERROR(__xludf.DUMMYFUNCTION("""COMPUTED_VALUE"""),"O6424087777")</f>
        <v>O6424087777</v>
      </c>
      <c r="I1581" s="17">
        <f>IFERROR(__xludf.DUMMYFUNCTION("""COMPUTED_VALUE"""),61.0)</f>
        <v>61</v>
      </c>
      <c r="J1581" s="17" t="str">
        <f>IFERROR(__xludf.DUMMYFUNCTION("""COMPUTED_VALUE"""),"&gt; 44 tahun")</f>
        <v>&gt; 44 tahun</v>
      </c>
      <c r="K1581" s="19">
        <f>IFERROR(__xludf.DUMMYFUNCTION("""COMPUTED_VALUE"""),23628.0)</f>
        <v>23628</v>
      </c>
      <c r="L1581" s="19" t="str">
        <f>IFERROR(__xludf.DUMMYFUNCTION("""COMPUTED_VALUE"""),"LAKI-LAKI")</f>
        <v>LAKI-LAKI</v>
      </c>
      <c r="M1581" s="35" t="str">
        <f>IFERROR(__xludf.DUMMYFUNCTION("""COMPUTED_VALUE"""),"JL PARIS 2 KOMP BALIMAS 3 NO A9")</f>
        <v>JL PARIS 2 KOMP BALIMAS 3 NO A9</v>
      </c>
      <c r="N1581" s="16" t="str">
        <f>IFERROR(__xludf.DUMMYFUNCTION("""COMPUTED_VALUE"""),"KEL. PONTIANAK TENGGARA")</f>
        <v>KEL. PONTIANAK TENGGARA</v>
      </c>
      <c r="O1581" s="16" t="str">
        <f>IFERROR(__xludf.DUMMYFUNCTION("""COMPUTED_VALUE"""),"KEC. PONTIANAK TENGGARA")</f>
        <v>KEC. PONTIANAK TENGGARA</v>
      </c>
      <c r="P1581" s="16" t="str">
        <f>IFERROR(__xludf.DUMMYFUNCTION("""COMPUTED_VALUE"""),"KOTA PONTIANAK")</f>
        <v>KOTA PONTIANAK</v>
      </c>
      <c r="Q1581" s="16" t="str">
        <f>IFERROR(__xludf.DUMMYFUNCTION("""COMPUTED_VALUE"""),"KALIMANTAN BARAT")</f>
        <v>KALIMANTAN BARAT</v>
      </c>
      <c r="R1581" s="19" t="str">
        <f>IFERROR(__xludf.DUMMYFUNCTION("""COMPUTED_VALUE"""),"ISLAM")</f>
        <v>ISLAM</v>
      </c>
      <c r="S1581" s="16" t="str">
        <f>IFERROR(__xludf.DUMMYFUNCTION("""COMPUTED_VALUE"""),"SWASTA")</f>
        <v>SWASTA</v>
      </c>
      <c r="T1581" s="16" t="str">
        <f>IFERROR(__xludf.DUMMYFUNCTION("""COMPUTED_VALUE"""),"Tangan")</f>
        <v>Tangan</v>
      </c>
      <c r="U1581" s="16" t="str">
        <f>IFERROR(__xludf.DUMMYFUNCTION("""COMPUTED_VALUE"""),"Olahraga")</f>
        <v>Olahraga</v>
      </c>
      <c r="V1581" s="11" t="str">
        <f>IFERROR(__xludf.DUMMYFUNCTION("""COMPUTED_VALUE"""),"085252667777")</f>
        <v>085252667777</v>
      </c>
      <c r="W1581" s="15"/>
    </row>
    <row r="1582" ht="22.5" customHeight="1">
      <c r="A1582" s="8"/>
      <c r="B1582" s="9">
        <f>IFERROR(__xludf.DUMMYFUNCTION("""COMPUTED_VALUE"""),45504.37336903936)</f>
        <v>45504.37337</v>
      </c>
      <c r="C1582" s="9"/>
      <c r="D1582" s="34">
        <f>IFERROR(__xludf.DUMMYFUNCTION("""COMPUTED_VALUE"""),45510.0)</f>
        <v>45510</v>
      </c>
      <c r="E1582" s="34" t="str">
        <f>IFERROR(__xludf.DUMMYFUNCTION("""COMPUTED_VALUE"""),"08Agu")</f>
        <v>08Agu</v>
      </c>
      <c r="F1582" s="34" t="str">
        <f>IFERROR(__xludf.DUMMYFUNCTION("""COMPUTED_VALUE"""),"2024")</f>
        <v>2024</v>
      </c>
      <c r="G1582" s="35" t="str">
        <f>IFERROR(__xludf.DUMMYFUNCTION("""COMPUTED_VALUE"""),"MARGARETHA KOYONGIAN")</f>
        <v>MARGARETHA KOYONGIAN</v>
      </c>
      <c r="H1582" s="17" t="str">
        <f>IFERROR(__xludf.DUMMYFUNCTION("""COMPUTED_VALUE"""),"M5224088131")</f>
        <v>M5224088131</v>
      </c>
      <c r="I1582" s="17">
        <f>IFERROR(__xludf.DUMMYFUNCTION("""COMPUTED_VALUE"""),74.0)</f>
        <v>74</v>
      </c>
      <c r="J1582" s="17" t="str">
        <f>IFERROR(__xludf.DUMMYFUNCTION("""COMPUTED_VALUE"""),"&gt; 44 tahun")</f>
        <v>&gt; 44 tahun</v>
      </c>
      <c r="K1582" s="19">
        <f>IFERROR(__xludf.DUMMYFUNCTION("""COMPUTED_VALUE"""),19004.0)</f>
        <v>19004</v>
      </c>
      <c r="L1582" s="19" t="str">
        <f>IFERROR(__xludf.DUMMYFUNCTION("""COMPUTED_VALUE"""),"PEREMPUAN")</f>
        <v>PEREMPUAN</v>
      </c>
      <c r="M1582" s="35" t="str">
        <f>IFERROR(__xludf.DUMMYFUNCTION("""COMPUTED_VALUE"""),"JALAN PERDAMAIAN GANG RUKUN")</f>
        <v>JALAN PERDAMAIAN GANG RUKUN</v>
      </c>
      <c r="N1582" s="16" t="str">
        <f>IFERROR(__xludf.DUMMYFUNCTION("""COMPUTED_VALUE"""),"KEL. PAL IX")</f>
        <v>KEL. PAL IX</v>
      </c>
      <c r="O1582" s="16" t="str">
        <f>IFERROR(__xludf.DUMMYFUNCTION("""COMPUTED_VALUE"""),"KEC. SUNGAI KAKAP")</f>
        <v>KEC. SUNGAI KAKAP</v>
      </c>
      <c r="P1582" s="16" t="str">
        <f>IFERROR(__xludf.DUMMYFUNCTION("""COMPUTED_VALUE"""),"KAB. KUBU RAYA")</f>
        <v>KAB. KUBU RAYA</v>
      </c>
      <c r="Q1582" s="16" t="str">
        <f>IFERROR(__xludf.DUMMYFUNCTION("""COMPUTED_VALUE"""),"KALIMANTAN BARAT")</f>
        <v>KALIMANTAN BARAT</v>
      </c>
      <c r="R1582" s="19" t="str">
        <f>IFERROR(__xludf.DUMMYFUNCTION("""COMPUTED_VALUE"""),"KATOLIK")</f>
        <v>KATOLIK</v>
      </c>
      <c r="S1582" s="35" t="str">
        <f>IFERROR(__xludf.DUMMYFUNCTION("""COMPUTED_VALUE"""),"PENSIUN")</f>
        <v>PENSIUN</v>
      </c>
      <c r="T1582" s="16" t="str">
        <f>IFERROR(__xludf.DUMMYFUNCTION("""COMPUTED_VALUE"""),"Dari leher sampai ke pinggang terasa sakit")</f>
        <v>Dari leher sampai ke pinggang terasa sakit</v>
      </c>
      <c r="U1582" s="16" t="str">
        <f>IFERROR(__xludf.DUMMYFUNCTION("""COMPUTED_VALUE"""),"Menanam bunga")</f>
        <v>Menanam bunga</v>
      </c>
      <c r="V1582" s="11" t="str">
        <f>IFERROR(__xludf.DUMMYFUNCTION("""COMPUTED_VALUE"""),"089693808131")</f>
        <v>089693808131</v>
      </c>
      <c r="W1582" s="15"/>
    </row>
    <row r="1583" ht="22.5" customHeight="1">
      <c r="A1583" s="8"/>
      <c r="B1583" s="9">
        <f>IFERROR(__xludf.DUMMYFUNCTION("""COMPUTED_VALUE"""),45504.80184369213)</f>
        <v>45504.80184</v>
      </c>
      <c r="C1583" s="9"/>
      <c r="D1583" s="34">
        <f>IFERROR(__xludf.DUMMYFUNCTION("""COMPUTED_VALUE"""),45511.0)</f>
        <v>45511</v>
      </c>
      <c r="E1583" s="34" t="str">
        <f>IFERROR(__xludf.DUMMYFUNCTION("""COMPUTED_VALUE"""),"08Agu")</f>
        <v>08Agu</v>
      </c>
      <c r="F1583" s="34" t="str">
        <f>IFERROR(__xludf.DUMMYFUNCTION("""COMPUTED_VALUE"""),"2024")</f>
        <v>2024</v>
      </c>
      <c r="G1583" s="35" t="str">
        <f>IFERROR(__xludf.DUMMYFUNCTION("""COMPUTED_VALUE"""),"AGUS SAPUTRA")</f>
        <v>AGUS SAPUTRA</v>
      </c>
      <c r="H1583" s="17" t="str">
        <f>IFERROR(__xludf.DUMMYFUNCTION("""COMPUTED_VALUE"""),"A9324087798")</f>
        <v>A9324087798</v>
      </c>
      <c r="I1583" s="17">
        <f>IFERROR(__xludf.DUMMYFUNCTION("""COMPUTED_VALUE"""),32.0)</f>
        <v>32</v>
      </c>
      <c r="J1583" s="17" t="str">
        <f>IFERROR(__xludf.DUMMYFUNCTION("""COMPUTED_VALUE"""),"25-34 tahun")</f>
        <v>25-34 tahun</v>
      </c>
      <c r="K1583" s="19">
        <f>IFERROR(__xludf.DUMMYFUNCTION("""COMPUTED_VALUE"""),34198.0)</f>
        <v>34198</v>
      </c>
      <c r="L1583" s="19" t="str">
        <f>IFERROR(__xludf.DUMMYFUNCTION("""COMPUTED_VALUE"""),"LAKI-LAKI")</f>
        <v>LAKI-LAKI</v>
      </c>
      <c r="M1583" s="35" t="str">
        <f>IFERROR(__xludf.DUMMYFUNCTION("""COMPUTED_VALUE"""),"JL.TANJUNGRAYA 2 KOMP.BALI LESTARI")</f>
        <v>JL.TANJUNGRAYA 2 KOMP.BALI LESTARI</v>
      </c>
      <c r="N1583" s="16" t="str">
        <f>IFERROR(__xludf.DUMMYFUNCTION("""COMPUTED_VALUE"""),"KEL. SAIGON")</f>
        <v>KEL. SAIGON</v>
      </c>
      <c r="O1583" s="16" t="str">
        <f>IFERROR(__xludf.DUMMYFUNCTION("""COMPUTED_VALUE"""),"KEC. PONTIANAK TIMUR")</f>
        <v>KEC. PONTIANAK TIMUR</v>
      </c>
      <c r="P1583" s="16" t="str">
        <f>IFERROR(__xludf.DUMMYFUNCTION("""COMPUTED_VALUE"""),"KOTA PONTIANAK")</f>
        <v>KOTA PONTIANAK</v>
      </c>
      <c r="Q1583" s="16" t="str">
        <f>IFERROR(__xludf.DUMMYFUNCTION("""COMPUTED_VALUE"""),"KALIMANTAN BARAT")</f>
        <v>KALIMANTAN BARAT</v>
      </c>
      <c r="R1583" s="19" t="str">
        <f>IFERROR(__xludf.DUMMYFUNCTION("""COMPUTED_VALUE"""),"ISLAM")</f>
        <v>ISLAM</v>
      </c>
      <c r="S1583" s="16" t="str">
        <f>IFERROR(__xludf.DUMMYFUNCTION("""COMPUTED_VALUE"""),"WIRASWASTA")</f>
        <v>WIRASWASTA</v>
      </c>
      <c r="T1583" s="16" t="str">
        <f>IFERROR(__xludf.DUMMYFUNCTION("""COMPUTED_VALUE"""),"Nyeri di bagian")</f>
        <v>Nyeri di bagian</v>
      </c>
      <c r="U1583" s="16" t="str">
        <f>IFERROR(__xludf.DUMMYFUNCTION("""COMPUTED_VALUE"""),"Pekerja/sepak bola")</f>
        <v>Pekerja/sepak bola</v>
      </c>
      <c r="V1583" s="11" t="str">
        <f>IFERROR(__xludf.DUMMYFUNCTION("""COMPUTED_VALUE"""),"089602537798")</f>
        <v>089602537798</v>
      </c>
      <c r="W1583" s="15"/>
    </row>
    <row r="1584" ht="22.5" customHeight="1">
      <c r="A1584" s="8"/>
      <c r="B1584" s="9">
        <f>IFERROR(__xludf.DUMMYFUNCTION("""COMPUTED_VALUE"""),45504.461110069446)</f>
        <v>45504.46111</v>
      </c>
      <c r="C1584" s="9"/>
      <c r="D1584" s="34">
        <f>IFERROR(__xludf.DUMMYFUNCTION("""COMPUTED_VALUE"""),45511.0)</f>
        <v>45511</v>
      </c>
      <c r="E1584" s="34" t="str">
        <f>IFERROR(__xludf.DUMMYFUNCTION("""COMPUTED_VALUE"""),"08Agu")</f>
        <v>08Agu</v>
      </c>
      <c r="F1584" s="34" t="str">
        <f>IFERROR(__xludf.DUMMYFUNCTION("""COMPUTED_VALUE"""),"2024")</f>
        <v>2024</v>
      </c>
      <c r="G1584" s="35" t="str">
        <f>IFERROR(__xludf.DUMMYFUNCTION("""COMPUTED_VALUE"""),"SUPARJONO")</f>
        <v>SUPARJONO</v>
      </c>
      <c r="H1584" s="17" t="str">
        <f>IFERROR(__xludf.DUMMYFUNCTION("""COMPUTED_VALUE"""),"S6424088095")</f>
        <v>S6424088095</v>
      </c>
      <c r="I1584" s="17">
        <f>IFERROR(__xludf.DUMMYFUNCTION("""COMPUTED_VALUE"""),62.0)</f>
        <v>62</v>
      </c>
      <c r="J1584" s="17" t="str">
        <f>IFERROR(__xludf.DUMMYFUNCTION("""COMPUTED_VALUE"""),"&gt; 44 tahun")</f>
        <v>&gt; 44 tahun</v>
      </c>
      <c r="K1584" s="19">
        <f>IFERROR(__xludf.DUMMYFUNCTION("""COMPUTED_VALUE"""),23413.0)</f>
        <v>23413</v>
      </c>
      <c r="L1584" s="19" t="str">
        <f>IFERROR(__xludf.DUMMYFUNCTION("""COMPUTED_VALUE"""),"LAKI-LAKI")</f>
        <v>LAKI-LAKI</v>
      </c>
      <c r="M1584" s="35" t="str">
        <f>IFERROR(__xludf.DUMMYFUNCTION("""COMPUTED_VALUE"""),"DUSUN SERAMBAI")</f>
        <v>DUSUN SERAMBAI</v>
      </c>
      <c r="N1584" s="16" t="str">
        <f>IFERROR(__xludf.DUMMYFUNCTION("""COMPUTED_VALUE"""),"KEL. TANJUNG MERPATI")</f>
        <v>KEL. TANJUNG MERPATI</v>
      </c>
      <c r="O1584" s="16" t="str">
        <f>IFERROR(__xludf.DUMMYFUNCTION("""COMPUTED_VALUE"""),"KEC. KEMBAYAN")</f>
        <v>KEC. KEMBAYAN</v>
      </c>
      <c r="P1584" s="16" t="str">
        <f>IFERROR(__xludf.DUMMYFUNCTION("""COMPUTED_VALUE"""),"KAB. SANGGAU")</f>
        <v>KAB. SANGGAU</v>
      </c>
      <c r="Q1584" s="16" t="str">
        <f>IFERROR(__xludf.DUMMYFUNCTION("""COMPUTED_VALUE"""),"KALIMANTAN BARAT")</f>
        <v>KALIMANTAN BARAT</v>
      </c>
      <c r="R1584" s="19" t="str">
        <f>IFERROR(__xludf.DUMMYFUNCTION("""COMPUTED_VALUE"""),"ISLAM")</f>
        <v>ISLAM</v>
      </c>
      <c r="S1584" s="16" t="str">
        <f>IFERROR(__xludf.DUMMYFUNCTION("""COMPUTED_VALUE"""),"TIDAK ADA")</f>
        <v>TIDAK ADA</v>
      </c>
      <c r="T1584" s="16" t="str">
        <f>IFERROR(__xludf.DUMMYFUNCTION("""COMPUTED_VALUE"""),"Sakit, nyeri, dan kesemutan kaki sebelah kanan, tidak bisa berjalan, kalau sakit malam tidak bisa tidur")</f>
        <v>Sakit, nyeri, dan kesemutan kaki sebelah kanan, tidak bisa berjalan, kalau sakit malam tidak bisa tidur</v>
      </c>
      <c r="U1584" s="16" t="str">
        <f>IFERROR(__xludf.DUMMYFUNCTION("""COMPUTED_VALUE"""),"Berkebun")</f>
        <v>Berkebun</v>
      </c>
      <c r="V1584" s="11" t="str">
        <f>IFERROR(__xludf.DUMMYFUNCTION("""COMPUTED_VALUE"""),"089611448095")</f>
        <v>089611448095</v>
      </c>
      <c r="W1584" s="15"/>
    </row>
    <row r="1585" ht="22.5" customHeight="1">
      <c r="A1585" s="8"/>
      <c r="B1585" s="9">
        <f>IFERROR(__xludf.DUMMYFUNCTION("""COMPUTED_VALUE"""),45505.67170917824)</f>
        <v>45505.67171</v>
      </c>
      <c r="C1585" s="9"/>
      <c r="D1585" s="34">
        <f>IFERROR(__xludf.DUMMYFUNCTION("""COMPUTED_VALUE"""),45511.0)</f>
        <v>45511</v>
      </c>
      <c r="E1585" s="34" t="str">
        <f>IFERROR(__xludf.DUMMYFUNCTION("""COMPUTED_VALUE"""),"08Agu")</f>
        <v>08Agu</v>
      </c>
      <c r="F1585" s="34" t="str">
        <f>IFERROR(__xludf.DUMMYFUNCTION("""COMPUTED_VALUE"""),"2024")</f>
        <v>2024</v>
      </c>
      <c r="G1585" s="35" t="str">
        <f>IFERROR(__xludf.DUMMYFUNCTION("""COMPUTED_VALUE"""),"ZULKARNAIN 9803")</f>
        <v>ZULKARNAIN 9803</v>
      </c>
      <c r="H1585" s="17" t="str">
        <f>IFERROR(__xludf.DUMMYFUNCTION("""COMPUTED_VALUE"""),"Z9824082920")</f>
        <v>Z9824082920</v>
      </c>
      <c r="I1585" s="17">
        <f>IFERROR(__xludf.DUMMYFUNCTION("""COMPUTED_VALUE"""),28.0)</f>
        <v>28</v>
      </c>
      <c r="J1585" s="17" t="str">
        <f>IFERROR(__xludf.DUMMYFUNCTION("""COMPUTED_VALUE"""),"25-34 tahun")</f>
        <v>25-34 tahun</v>
      </c>
      <c r="K1585" s="19">
        <f>IFERROR(__xludf.DUMMYFUNCTION("""COMPUTED_VALUE"""),35872.0)</f>
        <v>35872</v>
      </c>
      <c r="L1585" s="19" t="str">
        <f>IFERROR(__xludf.DUMMYFUNCTION("""COMPUTED_VALUE"""),"LAKI-LAKI")</f>
        <v>LAKI-LAKI</v>
      </c>
      <c r="M1585" s="35" t="str">
        <f>IFERROR(__xludf.DUMMYFUNCTION("""COMPUTED_VALUE"""),"JALAN PARIT SELATI")</f>
        <v>JALAN PARIT SELATI</v>
      </c>
      <c r="N1585" s="16" t="str">
        <f>IFERROR(__xludf.DUMMYFUNCTION("""COMPUTED_VALUE"""),"DS. TELUK PAKEDAI")</f>
        <v>DS. TELUK PAKEDAI</v>
      </c>
      <c r="O1585" s="16" t="str">
        <f>IFERROR(__xludf.DUMMYFUNCTION("""COMPUTED_VALUE"""),"KEC. TELUK PAKEDAI HULU")</f>
        <v>KEC. TELUK PAKEDAI HULU</v>
      </c>
      <c r="P1585" s="16" t="str">
        <f>IFERROR(__xludf.DUMMYFUNCTION("""COMPUTED_VALUE"""),"KAB. KUBU RAYA")</f>
        <v>KAB. KUBU RAYA</v>
      </c>
      <c r="Q1585" s="35" t="str">
        <f>IFERROR(__xludf.DUMMYFUNCTION("""COMPUTED_VALUE"""),"KALIMANTAN BARAT")</f>
        <v>KALIMANTAN BARAT</v>
      </c>
      <c r="R1585" s="19" t="str">
        <f>IFERROR(__xludf.DUMMYFUNCTION("""COMPUTED_VALUE"""),"ISLAM")</f>
        <v>ISLAM</v>
      </c>
      <c r="S1585" s="35" t="str">
        <f>IFERROR(__xludf.DUMMYFUNCTION("""COMPUTED_VALUE"""),"SATPAM")</f>
        <v>SATPAM</v>
      </c>
      <c r="T1585" s="16" t="str">
        <f>IFERROR(__xludf.DUMMYFUNCTION("""COMPUTED_VALUE"""),"")</f>
        <v/>
      </c>
      <c r="U1585" s="16" t="str">
        <f>IFERROR(__xludf.DUMMYFUNCTION("""COMPUTED_VALUE"""),"Olahraga")</f>
        <v>Olahraga</v>
      </c>
      <c r="V1585" s="11" t="str">
        <f>IFERROR(__xludf.DUMMYFUNCTION("""COMPUTED_VALUE"""),"082151292920")</f>
        <v>082151292920</v>
      </c>
      <c r="W1585" s="15"/>
    </row>
    <row r="1586" ht="22.5" customHeight="1">
      <c r="A1586" s="8"/>
      <c r="B1586" s="9">
        <f>IFERROR(__xludf.DUMMYFUNCTION("""COMPUTED_VALUE"""),45505.781499178236)</f>
        <v>45505.7815</v>
      </c>
      <c r="C1586" s="9"/>
      <c r="D1586" s="34">
        <f>IFERROR(__xludf.DUMMYFUNCTION("""COMPUTED_VALUE"""),45511.0)</f>
        <v>45511</v>
      </c>
      <c r="E1586" s="34" t="str">
        <f>IFERROR(__xludf.DUMMYFUNCTION("""COMPUTED_VALUE"""),"08Agu")</f>
        <v>08Agu</v>
      </c>
      <c r="F1586" s="34" t="str">
        <f>IFERROR(__xludf.DUMMYFUNCTION("""COMPUTED_VALUE"""),"2024")</f>
        <v>2024</v>
      </c>
      <c r="G1586" s="35" t="str">
        <f>IFERROR(__xludf.DUMMYFUNCTION("""COMPUTED_VALUE"""),"HABIBI QURRATA A'YUNI")</f>
        <v>HABIBI QURRATA A'YUNI</v>
      </c>
      <c r="H1586" s="17" t="str">
        <f>IFERROR(__xludf.DUMMYFUNCTION("""COMPUTED_VALUE"""),"H9424081013")</f>
        <v>H9424081013</v>
      </c>
      <c r="I1586" s="17">
        <f>IFERROR(__xludf.DUMMYFUNCTION("""COMPUTED_VALUE"""),31.0)</f>
        <v>31</v>
      </c>
      <c r="J1586" s="17" t="str">
        <f>IFERROR(__xludf.DUMMYFUNCTION("""COMPUTED_VALUE"""),"25-34 tahun")</f>
        <v>25-34 tahun</v>
      </c>
      <c r="K1586" s="19">
        <f>IFERROR(__xludf.DUMMYFUNCTION("""COMPUTED_VALUE"""),34583.0)</f>
        <v>34583</v>
      </c>
      <c r="L1586" s="19" t="str">
        <f>IFERROR(__xludf.DUMMYFUNCTION("""COMPUTED_VALUE"""),"LAKI-LAKI")</f>
        <v>LAKI-LAKI</v>
      </c>
      <c r="M1586" s="35" t="str">
        <f>IFERROR(__xludf.DUMMYFUNCTION("""COMPUTED_VALUE"""),"JL.TABRANI AHMAD MANDAU PERMAI J11")</f>
        <v>JL.TABRANI AHMAD MANDAU PERMAI J11</v>
      </c>
      <c r="N1586" s="16" t="str">
        <f>IFERROR(__xludf.DUMMYFUNCTION("""COMPUTED_VALUE"""),"KEL. SUNGAI JAWI")</f>
        <v>KEL. SUNGAI JAWI</v>
      </c>
      <c r="O1586" s="16" t="str">
        <f>IFERROR(__xludf.DUMMYFUNCTION("""COMPUTED_VALUE"""),"KEC. PONTIANAK BARAT")</f>
        <v>KEC. PONTIANAK BARAT</v>
      </c>
      <c r="P1586" s="16" t="str">
        <f>IFERROR(__xludf.DUMMYFUNCTION("""COMPUTED_VALUE"""),"KOTA PONTIANAK")</f>
        <v>KOTA PONTIANAK</v>
      </c>
      <c r="Q1586" s="16" t="str">
        <f>IFERROR(__xludf.DUMMYFUNCTION("""COMPUTED_VALUE"""),"KALIMANTAN BARAT")</f>
        <v>KALIMANTAN BARAT</v>
      </c>
      <c r="R1586" s="19" t="str">
        <f>IFERROR(__xludf.DUMMYFUNCTION("""COMPUTED_VALUE"""),"ISLAM")</f>
        <v>ISLAM</v>
      </c>
      <c r="S1586" s="35" t="str">
        <f>IFERROR(__xludf.DUMMYFUNCTION("""COMPUTED_VALUE"""),"SWASTA")</f>
        <v>SWASTA</v>
      </c>
      <c r="T1586" s="16" t="str">
        <f>IFERROR(__xludf.DUMMYFUNCTION("""COMPUTED_VALUE"""),"Nyeri di area pantat pada saat berjalan")</f>
        <v>Nyeri di area pantat pada saat berjalan</v>
      </c>
      <c r="U1586" s="16" t="str">
        <f>IFERROR(__xludf.DUMMYFUNCTION("""COMPUTED_VALUE"""),"aktifitas sehari hari bekerja didepan komputer")</f>
        <v>aktifitas sehari hari bekerja didepan komputer</v>
      </c>
      <c r="V1586" s="11" t="str">
        <f>IFERROR(__xludf.DUMMYFUNCTION("""COMPUTED_VALUE"""),"089648131013")</f>
        <v>089648131013</v>
      </c>
      <c r="W1586" s="15"/>
    </row>
    <row r="1587" ht="22.5" customHeight="1">
      <c r="A1587" s="8"/>
      <c r="B1587" s="9">
        <f>IFERROR(__xludf.DUMMYFUNCTION("""COMPUTED_VALUE"""),45505.8593284838)</f>
        <v>45505.85933</v>
      </c>
      <c r="C1587" s="9"/>
      <c r="D1587" s="34">
        <f>IFERROR(__xludf.DUMMYFUNCTION("""COMPUTED_VALUE"""),45512.0)</f>
        <v>45512</v>
      </c>
      <c r="E1587" s="34" t="str">
        <f>IFERROR(__xludf.DUMMYFUNCTION("""COMPUTED_VALUE"""),"08Agu")</f>
        <v>08Agu</v>
      </c>
      <c r="F1587" s="34" t="str">
        <f>IFERROR(__xludf.DUMMYFUNCTION("""COMPUTED_VALUE"""),"2024")</f>
        <v>2024</v>
      </c>
      <c r="G1587" s="35" t="str">
        <f>IFERROR(__xludf.DUMMYFUNCTION("""COMPUTED_VALUE"""),"HAMIDAH")</f>
        <v>HAMIDAH</v>
      </c>
      <c r="H1587" s="17" t="str">
        <f>IFERROR(__xludf.DUMMYFUNCTION("""COMPUTED_VALUE"""),"H7124088885")</f>
        <v>H7124088885</v>
      </c>
      <c r="I1587" s="17">
        <f>IFERROR(__xludf.DUMMYFUNCTION("""COMPUTED_VALUE"""),55.0)</f>
        <v>55</v>
      </c>
      <c r="J1587" s="17" t="str">
        <f>IFERROR(__xludf.DUMMYFUNCTION("""COMPUTED_VALUE"""),"&gt; 44 tahun")</f>
        <v>&gt; 44 tahun</v>
      </c>
      <c r="K1587" s="19">
        <f>IFERROR(__xludf.DUMMYFUNCTION("""COMPUTED_VALUE"""),25934.0)</f>
        <v>25934</v>
      </c>
      <c r="L1587" s="19" t="str">
        <f>IFERROR(__xludf.DUMMYFUNCTION("""COMPUTED_VALUE"""),"PEREMPUAN")</f>
        <v>PEREMPUAN</v>
      </c>
      <c r="M1587" s="35" t="str">
        <f>IFERROR(__xludf.DUMMYFUNCTION("""COMPUTED_VALUE"""),"JALAN BUDI UTOMO GANG MANDIRI 2")</f>
        <v>JALAN BUDI UTOMO GANG MANDIRI 2</v>
      </c>
      <c r="N1587" s="16" t="str">
        <f>IFERROR(__xludf.DUMMYFUNCTION("""COMPUTED_VALUE"""),"KEL. SIANTAN HILIR")</f>
        <v>KEL. SIANTAN HILIR</v>
      </c>
      <c r="O1587" s="16" t="str">
        <f>IFERROR(__xludf.DUMMYFUNCTION("""COMPUTED_VALUE"""),"KEC. PONTIANAK UTARA")</f>
        <v>KEC. PONTIANAK UTARA</v>
      </c>
      <c r="P1587" s="16" t="str">
        <f>IFERROR(__xludf.DUMMYFUNCTION("""COMPUTED_VALUE"""),"KOTA PONTIANAK")</f>
        <v>KOTA PONTIANAK</v>
      </c>
      <c r="Q1587" s="35" t="str">
        <f>IFERROR(__xludf.DUMMYFUNCTION("""COMPUTED_VALUE"""),"KALIMANTAN BARAT")</f>
        <v>KALIMANTAN BARAT</v>
      </c>
      <c r="R1587" s="19" t="str">
        <f>IFERROR(__xludf.DUMMYFUNCTION("""COMPUTED_VALUE"""),"ISLAM")</f>
        <v>ISLAM</v>
      </c>
      <c r="S1587" s="16" t="str">
        <f>IFERROR(__xludf.DUMMYFUNCTION("""COMPUTED_VALUE"""),"RUMAH TANGGA")</f>
        <v>RUMAH TANGGA</v>
      </c>
      <c r="T1587" s="16" t="str">
        <f>IFERROR(__xludf.DUMMYFUNCTION("""COMPUTED_VALUE"""),"TIDAK BISA LELUASA BERJALAN SETELAH STRUK")</f>
        <v>TIDAK BISA LELUASA BERJALAN SETELAH STRUK</v>
      </c>
      <c r="U1587" s="16" t="str">
        <f>IFERROR(__xludf.DUMMYFUNCTION("""COMPUTED_VALUE"""),"MEMASAK DAN MENGURUS RUMAH")</f>
        <v>MEMASAK DAN MENGURUS RUMAH</v>
      </c>
      <c r="V1587" s="11" t="str">
        <f>IFERROR(__xludf.DUMMYFUNCTION("""COMPUTED_VALUE"""),"08115758885")</f>
        <v>08115758885</v>
      </c>
      <c r="W1587" s="15"/>
    </row>
    <row r="1588" ht="22.5" customHeight="1">
      <c r="A1588" s="8"/>
      <c r="B1588" s="9">
        <f>IFERROR(__xludf.DUMMYFUNCTION("""COMPUTED_VALUE"""),45505.86894539352)</f>
        <v>45505.86895</v>
      </c>
      <c r="C1588" s="9"/>
      <c r="D1588" s="34">
        <f>IFERROR(__xludf.DUMMYFUNCTION("""COMPUTED_VALUE"""),45512.0)</f>
        <v>45512</v>
      </c>
      <c r="E1588" s="34" t="str">
        <f>IFERROR(__xludf.DUMMYFUNCTION("""COMPUTED_VALUE"""),"08Agu")</f>
        <v>08Agu</v>
      </c>
      <c r="F1588" s="34" t="str">
        <f>IFERROR(__xludf.DUMMYFUNCTION("""COMPUTED_VALUE"""),"2024")</f>
        <v>2024</v>
      </c>
      <c r="G1588" s="35" t="str">
        <f>IFERROR(__xludf.DUMMYFUNCTION("""COMPUTED_VALUE"""),"AGUS RIYANTO")</f>
        <v>AGUS RIYANTO</v>
      </c>
      <c r="H1588" s="17" t="str">
        <f>IFERROR(__xludf.DUMMYFUNCTION("""COMPUTED_VALUE"""),"A8224081655")</f>
        <v>A8224081655</v>
      </c>
      <c r="I1588" s="17">
        <f>IFERROR(__xludf.DUMMYFUNCTION("""COMPUTED_VALUE"""),43.0)</f>
        <v>43</v>
      </c>
      <c r="J1588" s="17" t="str">
        <f>IFERROR(__xludf.DUMMYFUNCTION("""COMPUTED_VALUE"""),"35-44 tahun")</f>
        <v>35-44 tahun</v>
      </c>
      <c r="K1588" s="19">
        <f>IFERROR(__xludf.DUMMYFUNCTION("""COMPUTED_VALUE"""),30185.0)</f>
        <v>30185</v>
      </c>
      <c r="L1588" s="19" t="str">
        <f>IFERROR(__xludf.DUMMYFUNCTION("""COMPUTED_VALUE"""),"LAKI-LAKI")</f>
        <v>LAKI-LAKI</v>
      </c>
      <c r="M1588" s="35" t="str">
        <f>IFERROR(__xludf.DUMMYFUNCTION("""COMPUTED_VALUE"""),"JL. DR. ISMAIL NO 38")</f>
        <v>JL. DR. ISMAIL NO 38</v>
      </c>
      <c r="N1588" s="16" t="str">
        <f>IFERROR(__xludf.DUMMYFUNCTION("""COMPUTED_VALUE"""),"KEL. AKCAYA")</f>
        <v>KEL. AKCAYA</v>
      </c>
      <c r="O1588" s="16" t="str">
        <f>IFERROR(__xludf.DUMMYFUNCTION("""COMPUTED_VALUE"""),"KEC. PONTIANAK SELATAN")</f>
        <v>KEC. PONTIANAK SELATAN</v>
      </c>
      <c r="P1588" s="16" t="str">
        <f>IFERROR(__xludf.DUMMYFUNCTION("""COMPUTED_VALUE"""),"KOTA PONTIANAK")</f>
        <v>KOTA PONTIANAK</v>
      </c>
      <c r="Q1588" s="16" t="str">
        <f>IFERROR(__xludf.DUMMYFUNCTION("""COMPUTED_VALUE"""),"KALIMANTAN BARAT")</f>
        <v>KALIMANTAN BARAT</v>
      </c>
      <c r="R1588" s="19" t="str">
        <f>IFERROR(__xludf.DUMMYFUNCTION("""COMPUTED_VALUE"""),"ISLAM")</f>
        <v>ISLAM</v>
      </c>
      <c r="S1588" s="16" t="str">
        <f>IFERROR(__xludf.DUMMYFUNCTION("""COMPUTED_VALUE"""),"ASN")</f>
        <v>ASN</v>
      </c>
      <c r="T1588" s="16" t="str">
        <f>IFERROR(__xludf.DUMMYFUNCTION("""COMPUTED_VALUE"""),"Nyeri setelah olahraga")</f>
        <v>Nyeri setelah olahraga</v>
      </c>
      <c r="U1588" s="16" t="str">
        <f>IFERROR(__xludf.DUMMYFUNCTION("""COMPUTED_VALUE"""),"Olahraga")</f>
        <v>Olahraga</v>
      </c>
      <c r="V1588" s="11" t="str">
        <f>IFERROR(__xludf.DUMMYFUNCTION("""COMPUTED_VALUE"""),"085245561655")</f>
        <v>085245561655</v>
      </c>
      <c r="W1588" s="15"/>
    </row>
    <row r="1589" ht="22.5" customHeight="1">
      <c r="A1589" s="8"/>
      <c r="B1589" s="9">
        <f>IFERROR(__xludf.DUMMYFUNCTION("""COMPUTED_VALUE"""),45506.21781011574)</f>
        <v>45506.21781</v>
      </c>
      <c r="C1589" s="9"/>
      <c r="D1589" s="34">
        <f>IFERROR(__xludf.DUMMYFUNCTION("""COMPUTED_VALUE"""),45513.0)</f>
        <v>45513</v>
      </c>
      <c r="E1589" s="34" t="str">
        <f>IFERROR(__xludf.DUMMYFUNCTION("""COMPUTED_VALUE"""),"08Agu")</f>
        <v>08Agu</v>
      </c>
      <c r="F1589" s="34" t="str">
        <f>IFERROR(__xludf.DUMMYFUNCTION("""COMPUTED_VALUE"""),"2024")</f>
        <v>2024</v>
      </c>
      <c r="G1589" s="35" t="str">
        <f>IFERROR(__xludf.DUMMYFUNCTION("""COMPUTED_VALUE"""),"IDRIS 7807")</f>
        <v>IDRIS 7807</v>
      </c>
      <c r="H1589" s="17" t="str">
        <f>IFERROR(__xludf.DUMMYFUNCTION("""COMPUTED_VALUE"""),"I7824084676")</f>
        <v>I7824084676</v>
      </c>
      <c r="I1589" s="17">
        <f>IFERROR(__xludf.DUMMYFUNCTION("""COMPUTED_VALUE"""),47.0)</f>
        <v>47</v>
      </c>
      <c r="J1589" s="17" t="str">
        <f>IFERROR(__xludf.DUMMYFUNCTION("""COMPUTED_VALUE"""),"&gt; 44 tahun")</f>
        <v>&gt; 44 tahun</v>
      </c>
      <c r="K1589" s="19">
        <f>IFERROR(__xludf.DUMMYFUNCTION("""COMPUTED_VALUE"""),28676.0)</f>
        <v>28676</v>
      </c>
      <c r="L1589" s="19" t="str">
        <f>IFERROR(__xludf.DUMMYFUNCTION("""COMPUTED_VALUE"""),"LAKI-LAKI")</f>
        <v>LAKI-LAKI</v>
      </c>
      <c r="M1589" s="35" t="str">
        <f>IFERROR(__xludf.DUMMYFUNCTION("""COMPUTED_VALUE"""),"JLN HARAPAN JAYA GG ASIA JAYA")</f>
        <v>JLN HARAPAN JAYA GG ASIA JAYA</v>
      </c>
      <c r="N1589" s="16" t="str">
        <f>IFERROR(__xludf.DUMMYFUNCTION("""COMPUTED_VALUE"""),"KEL. KOTA BARU")</f>
        <v>KEL. KOTA BARU</v>
      </c>
      <c r="O1589" s="16" t="str">
        <f>IFERROR(__xludf.DUMMYFUNCTION("""COMPUTED_VALUE"""),"KEC. PONTIANAK SELATAN")</f>
        <v>KEC. PONTIANAK SELATAN</v>
      </c>
      <c r="P1589" s="16" t="str">
        <f>IFERROR(__xludf.DUMMYFUNCTION("""COMPUTED_VALUE"""),"KOTA PONTIANAK")</f>
        <v>KOTA PONTIANAK</v>
      </c>
      <c r="Q1589" s="16" t="str">
        <f>IFERROR(__xludf.DUMMYFUNCTION("""COMPUTED_VALUE"""),"KALIMANTAN BARAT")</f>
        <v>KALIMANTAN BARAT</v>
      </c>
      <c r="R1589" s="19" t="str">
        <f>IFERROR(__xludf.DUMMYFUNCTION("""COMPUTED_VALUE"""),"ISLAM")</f>
        <v>ISLAM</v>
      </c>
      <c r="S1589" s="35" t="str">
        <f>IFERROR(__xludf.DUMMYFUNCTION("""COMPUTED_VALUE"""),"BURUH")</f>
        <v>BURUH</v>
      </c>
      <c r="T1589" s="16" t="str">
        <f>IFERROR(__xludf.DUMMYFUNCTION("""COMPUTED_VALUE"""),"Sakit saat berjalan")</f>
        <v>Sakit saat berjalan</v>
      </c>
      <c r="U1589" s="16" t="str">
        <f>IFERROR(__xludf.DUMMYFUNCTION("""COMPUTED_VALUE"""),"Kerja")</f>
        <v>Kerja</v>
      </c>
      <c r="V1589" s="11" t="str">
        <f>IFERROR(__xludf.DUMMYFUNCTION("""COMPUTED_VALUE"""),"085246264676")</f>
        <v>085246264676</v>
      </c>
      <c r="W1589" s="15"/>
    </row>
    <row r="1590" ht="22.5" customHeight="1">
      <c r="A1590" s="8"/>
      <c r="B1590" s="9">
        <f>IFERROR(__xludf.DUMMYFUNCTION("""COMPUTED_VALUE"""),45506.46115116898)</f>
        <v>45506.46115</v>
      </c>
      <c r="C1590" s="9"/>
      <c r="D1590" s="34">
        <f>IFERROR(__xludf.DUMMYFUNCTION("""COMPUTED_VALUE"""),45514.0)</f>
        <v>45514</v>
      </c>
      <c r="E1590" s="34" t="str">
        <f>IFERROR(__xludf.DUMMYFUNCTION("""COMPUTED_VALUE"""),"08Agu")</f>
        <v>08Agu</v>
      </c>
      <c r="F1590" s="34" t="str">
        <f>IFERROR(__xludf.DUMMYFUNCTION("""COMPUTED_VALUE"""),"2024")</f>
        <v>2024</v>
      </c>
      <c r="G1590" s="35" t="str">
        <f>IFERROR(__xludf.DUMMYFUNCTION("""COMPUTED_VALUE"""),"ENDANG SUSWATI")</f>
        <v>ENDANG SUSWATI</v>
      </c>
      <c r="H1590" s="17" t="str">
        <f>IFERROR(__xludf.DUMMYFUNCTION("""COMPUTED_VALUE"""),"E7424085423")</f>
        <v>E7424085423</v>
      </c>
      <c r="I1590" s="17">
        <f>IFERROR(__xludf.DUMMYFUNCTION("""COMPUTED_VALUE"""),51.0)</f>
        <v>51</v>
      </c>
      <c r="J1590" s="17" t="str">
        <f>IFERROR(__xludf.DUMMYFUNCTION("""COMPUTED_VALUE"""),"&gt; 44 tahun")</f>
        <v>&gt; 44 tahun</v>
      </c>
      <c r="K1590" s="19">
        <f>IFERROR(__xludf.DUMMYFUNCTION("""COMPUTED_VALUE"""),27242.0)</f>
        <v>27242</v>
      </c>
      <c r="L1590" s="19" t="str">
        <f>IFERROR(__xludf.DUMMYFUNCTION("""COMPUTED_VALUE"""),"PEREMPUAN")</f>
        <v>PEREMPUAN</v>
      </c>
      <c r="M1590" s="35" t="str">
        <f>IFERROR(__xludf.DUMMYFUNCTION("""COMPUTED_VALUE"""),"PARIT BUGIS DUSUN KARYA 1")</f>
        <v>PARIT BUGIS DUSUN KARYA 1</v>
      </c>
      <c r="N1590" s="16" t="str">
        <f>IFERROR(__xludf.DUMMYFUNCTION("""COMPUTED_VALUE"""),"DS. KUALA DUA")</f>
        <v>DS. KUALA DUA</v>
      </c>
      <c r="O1590" s="16" t="str">
        <f>IFERROR(__xludf.DUMMYFUNCTION("""COMPUTED_VALUE"""),"KEC. SUNGAI RAYA")</f>
        <v>KEC. SUNGAI RAYA</v>
      </c>
      <c r="P1590" s="16" t="str">
        <f>IFERROR(__xludf.DUMMYFUNCTION("""COMPUTED_VALUE"""),"KAB. KUBU RAYA")</f>
        <v>KAB. KUBU RAYA</v>
      </c>
      <c r="Q1590" s="16" t="str">
        <f>IFERROR(__xludf.DUMMYFUNCTION("""COMPUTED_VALUE"""),"KALIMANTAN BARAT")</f>
        <v>KALIMANTAN BARAT</v>
      </c>
      <c r="R1590" s="19" t="str">
        <f>IFERROR(__xludf.DUMMYFUNCTION("""COMPUTED_VALUE"""),"ISLAM")</f>
        <v>ISLAM</v>
      </c>
      <c r="S1590" s="16" t="str">
        <f>IFERROR(__xludf.DUMMYFUNCTION("""COMPUTED_VALUE"""),"RUMAH TANGGA")</f>
        <v>RUMAH TANGGA</v>
      </c>
      <c r="T1590" s="16" t="str">
        <f>IFERROR(__xludf.DUMMYFUNCTION("""COMPUTED_VALUE"""),"HNP (sakit pinggang)")</f>
        <v>HNP (sakit pinggang)</v>
      </c>
      <c r="U1590" s="16" t="str">
        <f>IFERROR(__xludf.DUMMYFUNCTION("""COMPUTED_VALUE"""),"Masak, beberes rumah, menyuci")</f>
        <v>Masak, beberes rumah, menyuci</v>
      </c>
      <c r="V1590" s="11" t="str">
        <f>IFERROR(__xludf.DUMMYFUNCTION("""COMPUTED_VALUE"""),"081258325423")</f>
        <v>081258325423</v>
      </c>
      <c r="W1590" s="15"/>
    </row>
    <row r="1591" ht="22.5" customHeight="1">
      <c r="A1591" s="8"/>
      <c r="B1591" s="9">
        <f>IFERROR(__xludf.DUMMYFUNCTION("""COMPUTED_VALUE"""),45506.753562638885)</f>
        <v>45506.75356</v>
      </c>
      <c r="C1591" s="9"/>
      <c r="D1591" s="34">
        <f>IFERROR(__xludf.DUMMYFUNCTION("""COMPUTED_VALUE"""),45514.0)</f>
        <v>45514</v>
      </c>
      <c r="E1591" s="34" t="str">
        <f>IFERROR(__xludf.DUMMYFUNCTION("""COMPUTED_VALUE"""),"08Agu")</f>
        <v>08Agu</v>
      </c>
      <c r="F1591" s="34" t="str">
        <f>IFERROR(__xludf.DUMMYFUNCTION("""COMPUTED_VALUE"""),"2024")</f>
        <v>2024</v>
      </c>
      <c r="G1591" s="35" t="str">
        <f>IFERROR(__xludf.DUMMYFUNCTION("""COMPUTED_VALUE"""),"AHMADINEJAD AL FIQRI")</f>
        <v>AHMADINEJAD AL FIQRI</v>
      </c>
      <c r="H1591" s="17" t="str">
        <f>IFERROR(__xludf.DUMMYFUNCTION("""COMPUTED_VALUE"""),"A0724080558")</f>
        <v>A0724080558</v>
      </c>
      <c r="I1591" s="17">
        <f>IFERROR(__xludf.DUMMYFUNCTION("""COMPUTED_VALUE"""),18.0)</f>
        <v>18</v>
      </c>
      <c r="J1591" s="17" t="str">
        <f>IFERROR(__xludf.DUMMYFUNCTION("""COMPUTED_VALUE"""),"&lt; 18 tahun")</f>
        <v>&lt; 18 tahun</v>
      </c>
      <c r="K1591" s="19">
        <f>IFERROR(__xludf.DUMMYFUNCTION("""COMPUTED_VALUE"""),39266.0)</f>
        <v>39266</v>
      </c>
      <c r="L1591" s="19" t="str">
        <f>IFERROR(__xludf.DUMMYFUNCTION("""COMPUTED_VALUE"""),"LAKI-LAKI")</f>
        <v>LAKI-LAKI</v>
      </c>
      <c r="M1591" s="35" t="str">
        <f>IFERROR(__xludf.DUMMYFUNCTION("""COMPUTED_VALUE"""),"JL ALIANYANG")</f>
        <v>JL ALIANYANG</v>
      </c>
      <c r="N1591" s="16" t="str">
        <f>IFERROR(__xludf.DUMMYFUNCTION("""COMPUTED_VALUE"""),"KEL. SUNGAI BANGKONG")</f>
        <v>KEL. SUNGAI BANGKONG</v>
      </c>
      <c r="O1591" s="16" t="str">
        <f>IFERROR(__xludf.DUMMYFUNCTION("""COMPUTED_VALUE"""),"KEC. PONTIANAK KOTA")</f>
        <v>KEC. PONTIANAK KOTA</v>
      </c>
      <c r="P1591" s="16" t="str">
        <f>IFERROR(__xludf.DUMMYFUNCTION("""COMPUTED_VALUE"""),"KOTA PONTIANAK")</f>
        <v>KOTA PONTIANAK</v>
      </c>
      <c r="Q1591" s="16" t="str">
        <f>IFERROR(__xludf.DUMMYFUNCTION("""COMPUTED_VALUE"""),"KALIMANTAN BARAT")</f>
        <v>KALIMANTAN BARAT</v>
      </c>
      <c r="R1591" s="19" t="str">
        <f>IFERROR(__xludf.DUMMYFUNCTION("""COMPUTED_VALUE"""),"ISLAM")</f>
        <v>ISLAM</v>
      </c>
      <c r="S1591" s="35" t="str">
        <f>IFERROR(__xludf.DUMMYFUNCTION("""COMPUTED_VALUE"""),"PELAJAR/MAHASISWA")</f>
        <v>PELAJAR/MAHASISWA</v>
      </c>
      <c r="T1591" s="16"/>
      <c r="U1591" s="16" t="str">
        <f>IFERROR(__xludf.DUMMYFUNCTION("""COMPUTED_VALUE"""),"futsal")</f>
        <v>futsal</v>
      </c>
      <c r="V1591" s="11" t="str">
        <f>IFERROR(__xludf.DUMMYFUNCTION("""COMPUTED_VALUE"""),"089676820558")</f>
        <v>089676820558</v>
      </c>
      <c r="W1591" s="15"/>
    </row>
    <row r="1592" ht="22.5" customHeight="1">
      <c r="A1592" s="8"/>
      <c r="B1592" s="9">
        <f>IFERROR(__xludf.DUMMYFUNCTION("""COMPUTED_VALUE"""),45506.8548684375)</f>
        <v>45506.85487</v>
      </c>
      <c r="C1592" s="9"/>
      <c r="D1592" s="34">
        <f>IFERROR(__xludf.DUMMYFUNCTION("""COMPUTED_VALUE"""),45515.0)</f>
        <v>45515</v>
      </c>
      <c r="E1592" s="34" t="str">
        <f>IFERROR(__xludf.DUMMYFUNCTION("""COMPUTED_VALUE"""),"08Agu")</f>
        <v>08Agu</v>
      </c>
      <c r="F1592" s="34" t="str">
        <f>IFERROR(__xludf.DUMMYFUNCTION("""COMPUTED_VALUE"""),"2024")</f>
        <v>2024</v>
      </c>
      <c r="G1592" s="35" t="str">
        <f>IFERROR(__xludf.DUMMYFUNCTION("""COMPUTED_VALUE"""),"JUSTIN MANGGALA")</f>
        <v>JUSTIN MANGGALA</v>
      </c>
      <c r="H1592" s="17" t="str">
        <f>IFERROR(__xludf.DUMMYFUNCTION("""COMPUTED_VALUE"""),"J0724085418")</f>
        <v>J0724085418</v>
      </c>
      <c r="I1592" s="17">
        <f>IFERROR(__xludf.DUMMYFUNCTION("""COMPUTED_VALUE"""),19.0)</f>
        <v>19</v>
      </c>
      <c r="J1592" s="17" t="str">
        <f>IFERROR(__xludf.DUMMYFUNCTION("""COMPUTED_VALUE"""),"18-24 tahun")</f>
        <v>18-24 tahun</v>
      </c>
      <c r="K1592" s="19">
        <f>IFERROR(__xludf.DUMMYFUNCTION("""COMPUTED_VALUE"""),39174.0)</f>
        <v>39174</v>
      </c>
      <c r="L1592" s="19" t="str">
        <f>IFERROR(__xludf.DUMMYFUNCTION("""COMPUTED_VALUE"""),"LAKI-LAKI")</f>
        <v>LAKI-LAKI</v>
      </c>
      <c r="M1592" s="35" t="str">
        <f>IFERROR(__xludf.DUMMYFUNCTION("""COMPUTED_VALUE"""),"JL. ADISUCIPTO 10,6 KOMP. SBP")</f>
        <v>JL. ADISUCIPTO 10,6 KOMP. SBP</v>
      </c>
      <c r="N1592" s="16" t="str">
        <f>IFERROR(__xludf.DUMMYFUNCTION("""COMPUTED_VALUE"""),"DS. TELUK KAPUAS")</f>
        <v>DS. TELUK KAPUAS</v>
      </c>
      <c r="O1592" s="16" t="str">
        <f>IFERROR(__xludf.DUMMYFUNCTION("""COMPUTED_VALUE"""),"KEC. SUNGAI RAYA")</f>
        <v>KEC. SUNGAI RAYA</v>
      </c>
      <c r="P1592" s="16" t="str">
        <f>IFERROR(__xludf.DUMMYFUNCTION("""COMPUTED_VALUE"""),"KAB. KUBU RAYA")</f>
        <v>KAB. KUBU RAYA</v>
      </c>
      <c r="Q1592" s="16" t="str">
        <f>IFERROR(__xludf.DUMMYFUNCTION("""COMPUTED_VALUE"""),"KALIMANTAN BARAT")</f>
        <v>KALIMANTAN BARAT</v>
      </c>
      <c r="R1592" s="19" t="str">
        <f>IFERROR(__xludf.DUMMYFUNCTION("""COMPUTED_VALUE"""),"BUDDHA")</f>
        <v>BUDDHA</v>
      </c>
      <c r="S1592" s="16" t="str">
        <f>IFERROR(__xludf.DUMMYFUNCTION("""COMPUTED_VALUE"""),"PELAJAR/MAHASISWA")</f>
        <v>PELAJAR/MAHASISWA</v>
      </c>
      <c r="T1592" s="16" t="str">
        <f>IFERROR(__xludf.DUMMYFUNCTION("""COMPUTED_VALUE"""),"Sakit di lower back dan")</f>
        <v>Sakit di lower back dan</v>
      </c>
      <c r="U1592" s="16" t="str">
        <f>IFERROR(__xludf.DUMMYFUNCTION("""COMPUTED_VALUE"""),"Ngegym, sekolah, dan main game")</f>
        <v>Ngegym, sekolah, dan main game</v>
      </c>
      <c r="V1592" s="11" t="str">
        <f>IFERROR(__xludf.DUMMYFUNCTION("""COMPUTED_VALUE"""),"085348375418")</f>
        <v>085348375418</v>
      </c>
      <c r="W1592" s="15"/>
    </row>
    <row r="1593" ht="22.5" customHeight="1">
      <c r="A1593" s="8"/>
      <c r="B1593" s="9">
        <f>IFERROR(__xludf.DUMMYFUNCTION("""COMPUTED_VALUE"""),45506.87737078704)</f>
        <v>45506.87737</v>
      </c>
      <c r="C1593" s="9"/>
      <c r="D1593" s="34">
        <f>IFERROR(__xludf.DUMMYFUNCTION("""COMPUTED_VALUE"""),45515.0)</f>
        <v>45515</v>
      </c>
      <c r="E1593" s="34" t="str">
        <f>IFERROR(__xludf.DUMMYFUNCTION("""COMPUTED_VALUE"""),"08Agu")</f>
        <v>08Agu</v>
      </c>
      <c r="F1593" s="34" t="str">
        <f>IFERROR(__xludf.DUMMYFUNCTION("""COMPUTED_VALUE"""),"2024")</f>
        <v>2024</v>
      </c>
      <c r="G1593" s="35" t="str">
        <f>IFERROR(__xludf.DUMMYFUNCTION("""COMPUTED_VALUE"""),"SIM HARTINI")</f>
        <v>SIM HARTINI</v>
      </c>
      <c r="H1593" s="17" t="str">
        <f>IFERROR(__xludf.DUMMYFUNCTION("""COMPUTED_VALUE"""),"S6424080356")</f>
        <v>S6424080356</v>
      </c>
      <c r="I1593" s="17">
        <f>IFERROR(__xludf.DUMMYFUNCTION("""COMPUTED_VALUE"""),61.0)</f>
        <v>61</v>
      </c>
      <c r="J1593" s="17" t="str">
        <f>IFERROR(__xludf.DUMMYFUNCTION("""COMPUTED_VALUE"""),"&gt; 44 tahun")</f>
        <v>&gt; 44 tahun</v>
      </c>
      <c r="K1593" s="19">
        <f>IFERROR(__xludf.DUMMYFUNCTION("""COMPUTED_VALUE"""),23586.0)</f>
        <v>23586</v>
      </c>
      <c r="L1593" s="19" t="str">
        <f>IFERROR(__xludf.DUMMYFUNCTION("""COMPUTED_VALUE"""),"PEREMPUAN")</f>
        <v>PEREMPUAN</v>
      </c>
      <c r="M1593" s="35" t="str">
        <f>IFERROR(__xludf.DUMMYFUNCTION("""COMPUTED_VALUE"""),"JL. PADEMANGAN 4 MAWAR 3")</f>
        <v>JL. PADEMANGAN 4 MAWAR 3</v>
      </c>
      <c r="N1593" s="16" t="str">
        <f>IFERROR(__xludf.DUMMYFUNCTION("""COMPUTED_VALUE"""),"KEL. PADEMANGAN TIMUR")</f>
        <v>KEL. PADEMANGAN TIMUR</v>
      </c>
      <c r="O1593" s="16" t="str">
        <f>IFERROR(__xludf.DUMMYFUNCTION("""COMPUTED_VALUE"""),"KEC. PADEMANGAN")</f>
        <v>KEC. PADEMANGAN</v>
      </c>
      <c r="P1593" s="16" t="str">
        <f>IFERROR(__xludf.DUMMYFUNCTION("""COMPUTED_VALUE"""),"KOTA JAKARTA UTARA")</f>
        <v>KOTA JAKARTA UTARA</v>
      </c>
      <c r="Q1593" s="16" t="str">
        <f>IFERROR(__xludf.DUMMYFUNCTION("""COMPUTED_VALUE"""),"DKI JAKARTA")</f>
        <v>DKI JAKARTA</v>
      </c>
      <c r="R1593" s="19" t="str">
        <f>IFERROR(__xludf.DUMMYFUNCTION("""COMPUTED_VALUE"""),"KHONGHUCU")</f>
        <v>KHONGHUCU</v>
      </c>
      <c r="S1593" s="16" t="str">
        <f>IFERROR(__xludf.DUMMYFUNCTION("""COMPUTED_VALUE"""),"RUMAH TANGGA")</f>
        <v>RUMAH TANGGA</v>
      </c>
      <c r="T1593" s="16" t="str">
        <f>IFERROR(__xludf.DUMMYFUNCTION("""COMPUTED_VALUE"""),"pasca op TKR")</f>
        <v>pasca op TKR</v>
      </c>
      <c r="U1593" s="16" t="str">
        <f>IFERROR(__xludf.DUMMYFUNCTION("""COMPUTED_VALUE"""),"ibu rumah tangga")</f>
        <v>ibu rumah tangga</v>
      </c>
      <c r="V1593" s="11" t="str">
        <f>IFERROR(__xludf.DUMMYFUNCTION("""COMPUTED_VALUE"""),"087781950356")</f>
        <v>087781950356</v>
      </c>
      <c r="W1593" s="15"/>
    </row>
    <row r="1594" ht="22.5" customHeight="1">
      <c r="A1594" s="8"/>
      <c r="B1594" s="9">
        <f>IFERROR(__xludf.DUMMYFUNCTION("""COMPUTED_VALUE"""),45507.41354364583)</f>
        <v>45507.41354</v>
      </c>
      <c r="C1594" s="9"/>
      <c r="D1594" s="34">
        <f>IFERROR(__xludf.DUMMYFUNCTION("""COMPUTED_VALUE"""),45515.0)</f>
        <v>45515</v>
      </c>
      <c r="E1594" s="34" t="str">
        <f>IFERROR(__xludf.DUMMYFUNCTION("""COMPUTED_VALUE"""),"08Agu")</f>
        <v>08Agu</v>
      </c>
      <c r="F1594" s="34" t="str">
        <f>IFERROR(__xludf.DUMMYFUNCTION("""COMPUTED_VALUE"""),"2024")</f>
        <v>2024</v>
      </c>
      <c r="G1594" s="35" t="str">
        <f>IFERROR(__xludf.DUMMYFUNCTION("""COMPUTED_VALUE"""),"SUPARYANI")</f>
        <v>SUPARYANI</v>
      </c>
      <c r="H1594" s="17" t="str">
        <f>IFERROR(__xludf.DUMMYFUNCTION("""COMPUTED_VALUE"""),"S7024086880")</f>
        <v>S7024086880</v>
      </c>
      <c r="I1594" s="17">
        <f>IFERROR(__xludf.DUMMYFUNCTION("""COMPUTED_VALUE"""),56.0)</f>
        <v>56</v>
      </c>
      <c r="J1594" s="17" t="str">
        <f>IFERROR(__xludf.DUMMYFUNCTION("""COMPUTED_VALUE"""),"&gt; 44 tahun")</f>
        <v>&gt; 44 tahun</v>
      </c>
      <c r="K1594" s="19">
        <f>IFERROR(__xludf.DUMMYFUNCTION("""COMPUTED_VALUE"""),25678.0)</f>
        <v>25678</v>
      </c>
      <c r="L1594" s="19" t="str">
        <f>IFERROR(__xludf.DUMMYFUNCTION("""COMPUTED_VALUE"""),"PEREMPUAN")</f>
        <v>PEREMPUAN</v>
      </c>
      <c r="M1594" s="35" t="str">
        <f>IFERROR(__xludf.DUMMYFUNCTION("""COMPUTED_VALUE"""),"JL. KARNA SOSIAL GG. PURWOSARI II NO. 46")</f>
        <v>JL. KARNA SOSIAL GG. PURWOSARI II NO. 46</v>
      </c>
      <c r="N1594" s="16" t="str">
        <f>IFERROR(__xludf.DUMMYFUNCTION("""COMPUTED_VALUE"""),"KEL. AKCAYA")</f>
        <v>KEL. AKCAYA</v>
      </c>
      <c r="O1594" s="16" t="str">
        <f>IFERROR(__xludf.DUMMYFUNCTION("""COMPUTED_VALUE"""),"KEC. PONTIANAK SELATAN")</f>
        <v>KEC. PONTIANAK SELATAN</v>
      </c>
      <c r="P1594" s="16" t="str">
        <f>IFERROR(__xludf.DUMMYFUNCTION("""COMPUTED_VALUE"""),"KOTA PONTIANAK")</f>
        <v>KOTA PONTIANAK</v>
      </c>
      <c r="Q1594" s="16" t="str">
        <f>IFERROR(__xludf.DUMMYFUNCTION("""COMPUTED_VALUE"""),"KALIMANTAN BARAT")</f>
        <v>KALIMANTAN BARAT</v>
      </c>
      <c r="R1594" s="19" t="str">
        <f>IFERROR(__xludf.DUMMYFUNCTION("""COMPUTED_VALUE"""),"ISLAM")</f>
        <v>ISLAM</v>
      </c>
      <c r="S1594" s="16" t="str">
        <f>IFERROR(__xludf.DUMMYFUNCTION("""COMPUTED_VALUE"""),"ASN")</f>
        <v>ASN</v>
      </c>
      <c r="T1594" s="16" t="str">
        <f>IFERROR(__xludf.DUMMYFUNCTION("""COMPUTED_VALUE"""),"Nyeri pinggang bagian belakang")</f>
        <v>Nyeri pinggang bagian belakang</v>
      </c>
      <c r="U1594" s="16" t="str">
        <f>IFERROR(__xludf.DUMMYFUNCTION("""COMPUTED_VALUE"""),"Aktivitas kantor")</f>
        <v>Aktivitas kantor</v>
      </c>
      <c r="V1594" s="11" t="str">
        <f>IFERROR(__xludf.DUMMYFUNCTION("""COMPUTED_VALUE"""),"08125706880")</f>
        <v>08125706880</v>
      </c>
      <c r="W1594" s="15"/>
    </row>
    <row r="1595" ht="22.5" customHeight="1">
      <c r="A1595" s="8"/>
      <c r="B1595" s="9">
        <f>IFERROR(__xludf.DUMMYFUNCTION("""COMPUTED_VALUE"""),45507.57331946759)</f>
        <v>45507.57332</v>
      </c>
      <c r="C1595" s="9"/>
      <c r="D1595" s="34">
        <f>IFERROR(__xludf.DUMMYFUNCTION("""COMPUTED_VALUE"""),45515.0)</f>
        <v>45515</v>
      </c>
      <c r="E1595" s="34" t="str">
        <f>IFERROR(__xludf.DUMMYFUNCTION("""COMPUTED_VALUE"""),"08Agu")</f>
        <v>08Agu</v>
      </c>
      <c r="F1595" s="34" t="str">
        <f>IFERROR(__xludf.DUMMYFUNCTION("""COMPUTED_VALUE"""),"2024")</f>
        <v>2024</v>
      </c>
      <c r="G1595" s="35" t="str">
        <f>IFERROR(__xludf.DUMMYFUNCTION("""COMPUTED_VALUE"""),"DAHLIA 6804")</f>
        <v>DAHLIA 6804</v>
      </c>
      <c r="H1595" s="17" t="str">
        <f>IFERROR(__xludf.DUMMYFUNCTION("""COMPUTED_VALUE"""),"D6824086725")</f>
        <v>D6824086725</v>
      </c>
      <c r="I1595" s="17">
        <f>IFERROR(__xludf.DUMMYFUNCTION("""COMPUTED_VALUE"""),58.0)</f>
        <v>58</v>
      </c>
      <c r="J1595" s="17" t="str">
        <f>IFERROR(__xludf.DUMMYFUNCTION("""COMPUTED_VALUE"""),"&gt; 44 tahun")</f>
        <v>&gt; 44 tahun</v>
      </c>
      <c r="K1595" s="19">
        <f>IFERROR(__xludf.DUMMYFUNCTION("""COMPUTED_VALUE"""),24952.0)</f>
        <v>24952</v>
      </c>
      <c r="L1595" s="19" t="str">
        <f>IFERROR(__xludf.DUMMYFUNCTION("""COMPUTED_VALUE"""),"PEREMPUAN")</f>
        <v>PEREMPUAN</v>
      </c>
      <c r="M1595" s="35" t="str">
        <f>IFERROR(__xludf.DUMMYFUNCTION("""COMPUTED_VALUE"""),"JALAN LAPAN, TIARA PESONA B22")</f>
        <v>JALAN LAPAN, TIARA PESONA B22</v>
      </c>
      <c r="N1595" s="16" t="str">
        <f>IFERROR(__xludf.DUMMYFUNCTION("""COMPUTED_VALUE"""),"KEL. SIANTAN HULU")</f>
        <v>KEL. SIANTAN HULU</v>
      </c>
      <c r="O1595" s="16" t="str">
        <f>IFERROR(__xludf.DUMMYFUNCTION("""COMPUTED_VALUE"""),"KEC. PONTIANAK UTARA")</f>
        <v>KEC. PONTIANAK UTARA</v>
      </c>
      <c r="P1595" s="16" t="str">
        <f>IFERROR(__xludf.DUMMYFUNCTION("""COMPUTED_VALUE"""),"KOTA PONTIANAK")</f>
        <v>KOTA PONTIANAK</v>
      </c>
      <c r="Q1595" s="16" t="str">
        <f>IFERROR(__xludf.DUMMYFUNCTION("""COMPUTED_VALUE"""),"KALIMANTAN BARAT")</f>
        <v>KALIMANTAN BARAT</v>
      </c>
      <c r="R1595" s="19" t="str">
        <f>IFERROR(__xludf.DUMMYFUNCTION("""COMPUTED_VALUE"""),"ISLAM")</f>
        <v>ISLAM</v>
      </c>
      <c r="S1595" s="35" t="str">
        <f>IFERROR(__xludf.DUMMYFUNCTION("""COMPUTED_VALUE"""),"DOSEN/GURU")</f>
        <v>DOSEN/GURU</v>
      </c>
      <c r="T1595" s="16" t="str">
        <f>IFERROR(__xludf.DUMMYFUNCTION("""COMPUTED_VALUE"""),"Kaki tak bisa menapak dengan sempurna")</f>
        <v>Kaki tak bisa menapak dengan sempurna</v>
      </c>
      <c r="U1595" s="16" t="str">
        <f>IFERROR(__xludf.DUMMYFUNCTION("""COMPUTED_VALUE"""),"Mengajar dan GYM")</f>
        <v>Mengajar dan GYM</v>
      </c>
      <c r="V1595" s="11" t="str">
        <f>IFERROR(__xludf.DUMMYFUNCTION("""COMPUTED_VALUE"""),"089527056725")</f>
        <v>089527056725</v>
      </c>
      <c r="W1595" s="15"/>
    </row>
    <row r="1596" ht="22.5" customHeight="1">
      <c r="A1596" s="8"/>
      <c r="B1596" s="9">
        <f>IFERROR(__xludf.DUMMYFUNCTION("""COMPUTED_VALUE"""),45507.64255908565)</f>
        <v>45507.64256</v>
      </c>
      <c r="C1596" s="9"/>
      <c r="D1596" s="34">
        <f>IFERROR(__xludf.DUMMYFUNCTION("""COMPUTED_VALUE"""),45515.0)</f>
        <v>45515</v>
      </c>
      <c r="E1596" s="34" t="str">
        <f>IFERROR(__xludf.DUMMYFUNCTION("""COMPUTED_VALUE"""),"08Agu")</f>
        <v>08Agu</v>
      </c>
      <c r="F1596" s="34" t="str">
        <f>IFERROR(__xludf.DUMMYFUNCTION("""COMPUTED_VALUE"""),"2024")</f>
        <v>2024</v>
      </c>
      <c r="G1596" s="35" t="str">
        <f>IFERROR(__xludf.DUMMYFUNCTION("""COMPUTED_VALUE"""),"HAKAM RADJA UCCA MAHENDRA")</f>
        <v>HAKAM RADJA UCCA MAHENDRA</v>
      </c>
      <c r="H1596" s="17" t="str">
        <f>IFERROR(__xludf.DUMMYFUNCTION("""COMPUTED_VALUE"""),"H0124081100")</f>
        <v>H0124081100</v>
      </c>
      <c r="I1596" s="17">
        <f>IFERROR(__xludf.DUMMYFUNCTION("""COMPUTED_VALUE"""),24.0)</f>
        <v>24</v>
      </c>
      <c r="J1596" s="17" t="str">
        <f>IFERROR(__xludf.DUMMYFUNCTION("""COMPUTED_VALUE"""),"18-24 tahun")</f>
        <v>18-24 tahun</v>
      </c>
      <c r="K1596" s="19">
        <f>IFERROR(__xludf.DUMMYFUNCTION("""COMPUTED_VALUE"""),37088.0)</f>
        <v>37088</v>
      </c>
      <c r="L1596" s="19" t="str">
        <f>IFERROR(__xludf.DUMMYFUNCTION("""COMPUTED_VALUE"""),"LAKI-LAKI")</f>
        <v>LAKI-LAKI</v>
      </c>
      <c r="M1596" s="35" t="str">
        <f>IFERROR(__xludf.DUMMYFUNCTION("""COMPUTED_VALUE"""),"JALAN SERDAM,KOMP. TAMAN SUNGAI RAYA DALAM D.65")</f>
        <v>JALAN SERDAM,KOMP. TAMAN SUNGAI RAYA DALAM D.65</v>
      </c>
      <c r="N1596" s="16" t="str">
        <f>IFERROR(__xludf.DUMMYFUNCTION("""COMPUTED_VALUE"""),"KEL. SUNGAI RAYA DALAM")</f>
        <v>KEL. SUNGAI RAYA DALAM</v>
      </c>
      <c r="O1596" s="16" t="str">
        <f>IFERROR(__xludf.DUMMYFUNCTION("""COMPUTED_VALUE"""),"KEC. SUNGAI RAYA")</f>
        <v>KEC. SUNGAI RAYA</v>
      </c>
      <c r="P1596" s="16" t="str">
        <f>IFERROR(__xludf.DUMMYFUNCTION("""COMPUTED_VALUE"""),"KAB. KUBU RAYA")</f>
        <v>KAB. KUBU RAYA</v>
      </c>
      <c r="Q1596" s="35" t="str">
        <f>IFERROR(__xludf.DUMMYFUNCTION("""COMPUTED_VALUE"""),"KALIMANTAN BARAT")</f>
        <v>KALIMANTAN BARAT</v>
      </c>
      <c r="R1596" s="19" t="str">
        <f>IFERROR(__xludf.DUMMYFUNCTION("""COMPUTED_VALUE"""),"ISLAM")</f>
        <v>ISLAM</v>
      </c>
      <c r="S1596" s="35" t="str">
        <f>IFERROR(__xludf.DUMMYFUNCTION("""COMPUTED_VALUE"""),"WIRASWASTA")</f>
        <v>WIRASWASTA</v>
      </c>
      <c r="T1596" s="16" t="str">
        <f>IFERROR(__xludf.DUMMYFUNCTION("""COMPUTED_VALUE"""),"Cedera")</f>
        <v>Cedera</v>
      </c>
      <c r="U1596" s="16" t="str">
        <f>IFERROR(__xludf.DUMMYFUNCTION("""COMPUTED_VALUE"""),"Basket, olahraga")</f>
        <v>Basket, olahraga</v>
      </c>
      <c r="V1596" s="11" t="str">
        <f>IFERROR(__xludf.DUMMYFUNCTION("""COMPUTED_VALUE"""),"0895323131100")</f>
        <v>0895323131100</v>
      </c>
      <c r="W1596" s="15"/>
    </row>
    <row r="1597" ht="22.5" customHeight="1">
      <c r="A1597" s="8"/>
      <c r="B1597" s="9">
        <f>IFERROR(__xludf.DUMMYFUNCTION("""COMPUTED_VALUE"""),45507.75253371528)</f>
        <v>45507.75253</v>
      </c>
      <c r="C1597" s="9"/>
      <c r="D1597" s="34">
        <f>IFERROR(__xludf.DUMMYFUNCTION("""COMPUTED_VALUE"""),45516.0)</f>
        <v>45516</v>
      </c>
      <c r="E1597" s="34" t="str">
        <f>IFERROR(__xludf.DUMMYFUNCTION("""COMPUTED_VALUE"""),"08Agu")</f>
        <v>08Agu</v>
      </c>
      <c r="F1597" s="34" t="str">
        <f>IFERROR(__xludf.DUMMYFUNCTION("""COMPUTED_VALUE"""),"2024")</f>
        <v>2024</v>
      </c>
      <c r="G1597" s="35" t="str">
        <f>IFERROR(__xludf.DUMMYFUNCTION("""COMPUTED_VALUE"""),"M. ADI WIBOWO")</f>
        <v>M. ADI WIBOWO</v>
      </c>
      <c r="H1597" s="17" t="str">
        <f>IFERROR(__xludf.DUMMYFUNCTION("""COMPUTED_VALUE"""),"M0024086800")</f>
        <v>M0024086800</v>
      </c>
      <c r="I1597" s="17">
        <f>IFERROR(__xludf.DUMMYFUNCTION("""COMPUTED_VALUE"""),25.0)</f>
        <v>25</v>
      </c>
      <c r="J1597" s="17" t="str">
        <f>IFERROR(__xludf.DUMMYFUNCTION("""COMPUTED_VALUE"""),"25-34 tahun")</f>
        <v>25-34 tahun</v>
      </c>
      <c r="K1597" s="19">
        <f>IFERROR(__xludf.DUMMYFUNCTION("""COMPUTED_VALUE"""),36809.0)</f>
        <v>36809</v>
      </c>
      <c r="L1597" s="19" t="str">
        <f>IFERROR(__xludf.DUMMYFUNCTION("""COMPUTED_VALUE"""),"LAKI-LAKI")</f>
        <v>LAKI-LAKI</v>
      </c>
      <c r="M1597" s="35" t="str">
        <f>IFERROR(__xludf.DUMMYFUNCTION("""COMPUTED_VALUE"""),"MELAWI KALIMANTAN BARAT")</f>
        <v>MELAWI KALIMANTAN BARAT</v>
      </c>
      <c r="N1597" s="16" t="str">
        <f>IFERROR(__xludf.DUMMYFUNCTION("""COMPUTED_VALUE"""),"DS. PAAL")</f>
        <v>DS. PAAL</v>
      </c>
      <c r="O1597" s="16" t="str">
        <f>IFERROR(__xludf.DUMMYFUNCTION("""COMPUTED_VALUE"""),"KEC. NANGA PINOH")</f>
        <v>KEC. NANGA PINOH</v>
      </c>
      <c r="P1597" s="16" t="str">
        <f>IFERROR(__xludf.DUMMYFUNCTION("""COMPUTED_VALUE"""),"KAB. MELAWI")</f>
        <v>KAB. MELAWI</v>
      </c>
      <c r="Q1597" s="16" t="str">
        <f>IFERROR(__xludf.DUMMYFUNCTION("""COMPUTED_VALUE"""),"KALIMANTAN BARAT")</f>
        <v>KALIMANTAN BARAT</v>
      </c>
      <c r="R1597" s="19" t="str">
        <f>IFERROR(__xludf.DUMMYFUNCTION("""COMPUTED_VALUE"""),"ISLAM")</f>
        <v>ISLAM</v>
      </c>
      <c r="S1597" s="35" t="str">
        <f>IFERROR(__xludf.DUMMYFUNCTION("""COMPUTED_VALUE"""),"WIRASWASTA")</f>
        <v>WIRASWASTA</v>
      </c>
      <c r="T1597" s="16" t="str">
        <f>IFERROR(__xludf.DUMMYFUNCTION("""COMPUTED_VALUE"""),"Pada bagian belakang sakit saat ditekut")</f>
        <v>Pada bagian belakang sakit saat ditekut</v>
      </c>
      <c r="U1597" s="16" t="str">
        <f>IFERROR(__xludf.DUMMYFUNCTION("""COMPUTED_VALUE"""),"Futsal")</f>
        <v>Futsal</v>
      </c>
      <c r="V1597" s="11" t="str">
        <f>IFERROR(__xludf.DUMMYFUNCTION("""COMPUTED_VALUE"""),"0821999986800")</f>
        <v>0821999986800</v>
      </c>
      <c r="W1597" s="15"/>
    </row>
    <row r="1598" ht="22.5" customHeight="1">
      <c r="A1598" s="8"/>
      <c r="B1598" s="9">
        <f>IFERROR(__xludf.DUMMYFUNCTION("""COMPUTED_VALUE"""),45508.38359568287)</f>
        <v>45508.3836</v>
      </c>
      <c r="C1598" s="9"/>
      <c r="D1598" s="34">
        <f>IFERROR(__xludf.DUMMYFUNCTION("""COMPUTED_VALUE"""),45516.0)</f>
        <v>45516</v>
      </c>
      <c r="E1598" s="34" t="str">
        <f>IFERROR(__xludf.DUMMYFUNCTION("""COMPUTED_VALUE"""),"08Agu")</f>
        <v>08Agu</v>
      </c>
      <c r="F1598" s="34" t="str">
        <f>IFERROR(__xludf.DUMMYFUNCTION("""COMPUTED_VALUE"""),"2024")</f>
        <v>2024</v>
      </c>
      <c r="G1598" s="35" t="str">
        <f>IFERROR(__xludf.DUMMYFUNCTION("""COMPUTED_VALUE"""),"KHAIRUL ARIFIN KUSYAIRI")</f>
        <v>KHAIRUL ARIFIN KUSYAIRI</v>
      </c>
      <c r="H1598" s="17" t="str">
        <f>IFERROR(__xludf.DUMMYFUNCTION("""COMPUTED_VALUE"""),"K0724082956")</f>
        <v>K0724082956</v>
      </c>
      <c r="I1598" s="17">
        <f>IFERROR(__xludf.DUMMYFUNCTION("""COMPUTED_VALUE"""),19.0)</f>
        <v>19</v>
      </c>
      <c r="J1598" s="17" t="str">
        <f>IFERROR(__xludf.DUMMYFUNCTION("""COMPUTED_VALUE"""),"18-24 tahun")</f>
        <v>18-24 tahun</v>
      </c>
      <c r="K1598" s="19">
        <f>IFERROR(__xludf.DUMMYFUNCTION("""COMPUTED_VALUE"""),39157.0)</f>
        <v>39157</v>
      </c>
      <c r="L1598" s="19" t="str">
        <f>IFERROR(__xludf.DUMMYFUNCTION("""COMPUTED_VALUE"""),"LAKI-LAKI")</f>
        <v>LAKI-LAKI</v>
      </c>
      <c r="M1598" s="35" t="str">
        <f>IFERROR(__xludf.DUMMYFUNCTION("""COMPUTED_VALUE"""),"JLN UJUNG PANDANG GG ASPAL NO 6")</f>
        <v>JLN UJUNG PANDANG GG ASPAL NO 6</v>
      </c>
      <c r="N1598" s="16" t="str">
        <f>IFERROR(__xludf.DUMMYFUNCTION("""COMPUTED_VALUE"""),"KEL. SUNGAI JAWI")</f>
        <v>KEL. SUNGAI JAWI</v>
      </c>
      <c r="O1598" s="16" t="str">
        <f>IFERROR(__xludf.DUMMYFUNCTION("""COMPUTED_VALUE"""),"KEC. PONTIANAK KOTA")</f>
        <v>KEC. PONTIANAK KOTA</v>
      </c>
      <c r="P1598" s="16" t="str">
        <f>IFERROR(__xludf.DUMMYFUNCTION("""COMPUTED_VALUE"""),"KOTA PONTIANAK")</f>
        <v>KOTA PONTIANAK</v>
      </c>
      <c r="Q1598" s="16" t="str">
        <f>IFERROR(__xludf.DUMMYFUNCTION("""COMPUTED_VALUE"""),"KALIMANTAN BARAT")</f>
        <v>KALIMANTAN BARAT</v>
      </c>
      <c r="R1598" s="19" t="str">
        <f>IFERROR(__xludf.DUMMYFUNCTION("""COMPUTED_VALUE"""),"ISLAM")</f>
        <v>ISLAM</v>
      </c>
      <c r="S1598" s="16" t="str">
        <f>IFERROR(__xludf.DUMMYFUNCTION("""COMPUTED_VALUE"""),"PELAJAR/MAHASISWA")</f>
        <v>PELAJAR/MAHASISWA</v>
      </c>
      <c r="T1598" s="16" t="str">
        <f>IFERROR(__xludf.DUMMYFUNCTION("""COMPUTED_VALUE"""),"sedikit sakit di saat olahraga")</f>
        <v>sedikit sakit di saat olahraga</v>
      </c>
      <c r="U1598" s="16" t="str">
        <f>IFERROR(__xludf.DUMMYFUNCTION("""COMPUTED_VALUE"""),"futsal")</f>
        <v>futsal</v>
      </c>
      <c r="V1598" s="11" t="str">
        <f>IFERROR(__xludf.DUMMYFUNCTION("""COMPUTED_VALUE"""),"085787262956")</f>
        <v>085787262956</v>
      </c>
      <c r="W1598" s="15"/>
    </row>
    <row r="1599" ht="22.5" customHeight="1">
      <c r="A1599" s="8"/>
      <c r="B1599" s="9">
        <f>IFERROR(__xludf.DUMMYFUNCTION("""COMPUTED_VALUE"""),45508.25058479166)</f>
        <v>45508.25058</v>
      </c>
      <c r="C1599" s="9"/>
      <c r="D1599" s="34">
        <f>IFERROR(__xludf.DUMMYFUNCTION("""COMPUTED_VALUE"""),45516.0)</f>
        <v>45516</v>
      </c>
      <c r="E1599" s="34" t="str">
        <f>IFERROR(__xludf.DUMMYFUNCTION("""COMPUTED_VALUE"""),"08Agu")</f>
        <v>08Agu</v>
      </c>
      <c r="F1599" s="34" t="str">
        <f>IFERROR(__xludf.DUMMYFUNCTION("""COMPUTED_VALUE"""),"2024")</f>
        <v>2024</v>
      </c>
      <c r="G1599" s="35" t="str">
        <f>IFERROR(__xludf.DUMMYFUNCTION("""COMPUTED_VALUE"""),"RIVANI KESWARA")</f>
        <v>RIVANI KESWARA</v>
      </c>
      <c r="H1599" s="17" t="str">
        <f>IFERROR(__xludf.DUMMYFUNCTION("""COMPUTED_VALUE"""),"R7124082374")</f>
        <v>R7124082374</v>
      </c>
      <c r="I1599" s="17">
        <f>IFERROR(__xludf.DUMMYFUNCTION("""COMPUTED_VALUE"""),55.0)</f>
        <v>55</v>
      </c>
      <c r="J1599" s="17" t="str">
        <f>IFERROR(__xludf.DUMMYFUNCTION("""COMPUTED_VALUE"""),"&gt; 44 tahun")</f>
        <v>&gt; 44 tahun</v>
      </c>
      <c r="K1599" s="19">
        <f>IFERROR(__xludf.DUMMYFUNCTION("""COMPUTED_VALUE"""),25937.0)</f>
        <v>25937</v>
      </c>
      <c r="L1599" s="19" t="str">
        <f>IFERROR(__xludf.DUMMYFUNCTION("""COMPUTED_VALUE"""),"LAKI-LAKI")</f>
        <v>LAKI-LAKI</v>
      </c>
      <c r="M1599" s="35" t="str">
        <f>IFERROR(__xludf.DUMMYFUNCTION("""COMPUTED_VALUE"""),"JL. H.R.A RAHMAN GG HASIA A-38")</f>
        <v>JL. H.R.A RAHMAN GG HASIA A-38</v>
      </c>
      <c r="N1599" s="16" t="str">
        <f>IFERROR(__xludf.DUMMYFUNCTION("""COMPUTED_VALUE"""),"KEL. SUNGAI JAWI DALAM")</f>
        <v>KEL. SUNGAI JAWI DALAM</v>
      </c>
      <c r="O1599" s="16" t="str">
        <f>IFERROR(__xludf.DUMMYFUNCTION("""COMPUTED_VALUE"""),"KEC. PONTIANAK BARAT")</f>
        <v>KEC. PONTIANAK BARAT</v>
      </c>
      <c r="P1599" s="16" t="str">
        <f>IFERROR(__xludf.DUMMYFUNCTION("""COMPUTED_VALUE"""),"KOTA PONTIANAK")</f>
        <v>KOTA PONTIANAK</v>
      </c>
      <c r="Q1599" s="16" t="str">
        <f>IFERROR(__xludf.DUMMYFUNCTION("""COMPUTED_VALUE"""),"KALIMANTAN BARAT")</f>
        <v>KALIMANTAN BARAT</v>
      </c>
      <c r="R1599" s="19" t="str">
        <f>IFERROR(__xludf.DUMMYFUNCTION("""COMPUTED_VALUE"""),"ISLAM")</f>
        <v>ISLAM</v>
      </c>
      <c r="S1599" s="35" t="str">
        <f>IFERROR(__xludf.DUMMYFUNCTION("""COMPUTED_VALUE"""),"SWASTA")</f>
        <v>SWASTA</v>
      </c>
      <c r="T1599" s="16" t="str">
        <f>IFERROR(__xludf.DUMMYFUNCTION("""COMPUTED_VALUE"""),"NYERI PINGGANG DUGAAN SYARAF KEJEPIT")</f>
        <v>NYERI PINGGANG DUGAAN SYARAF KEJEPIT</v>
      </c>
      <c r="U1599" s="16" t="str">
        <f>IFERROR(__xludf.DUMMYFUNCTION("""COMPUTED_VALUE"""),"KERJA DI LAPANGAN TAMBANG SERING MENGENDARAI MOBIL")</f>
        <v>KERJA DI LAPANGAN TAMBANG SERING MENGENDARAI MOBIL</v>
      </c>
      <c r="V1599" s="11" t="str">
        <f>IFERROR(__xludf.DUMMYFUNCTION("""COMPUTED_VALUE"""),"081280102374")</f>
        <v>081280102374</v>
      </c>
      <c r="W1599" s="15"/>
    </row>
    <row r="1600" ht="22.5" customHeight="1">
      <c r="A1600" s="8"/>
      <c r="B1600" s="9">
        <f>IFERROR(__xludf.DUMMYFUNCTION("""COMPUTED_VALUE"""),45508.68876579861)</f>
        <v>45508.68877</v>
      </c>
      <c r="C1600" s="9"/>
      <c r="D1600" s="34">
        <f>IFERROR(__xludf.DUMMYFUNCTION("""COMPUTED_VALUE"""),45516.0)</f>
        <v>45516</v>
      </c>
      <c r="E1600" s="34" t="str">
        <f>IFERROR(__xludf.DUMMYFUNCTION("""COMPUTED_VALUE"""),"08Agu")</f>
        <v>08Agu</v>
      </c>
      <c r="F1600" s="34" t="str">
        <f>IFERROR(__xludf.DUMMYFUNCTION("""COMPUTED_VALUE"""),"2024")</f>
        <v>2024</v>
      </c>
      <c r="G1600" s="35" t="str">
        <f>IFERROR(__xludf.DUMMYFUNCTION("""COMPUTED_VALUE"""),"AQIL ANIRSYAH")</f>
        <v>AQIL ANIRSYAH</v>
      </c>
      <c r="H1600" s="17" t="str">
        <f>IFERROR(__xludf.DUMMYFUNCTION("""COMPUTED_VALUE"""),"A0724084604")</f>
        <v>A0724084604</v>
      </c>
      <c r="I1600" s="17">
        <f>IFERROR(__xludf.DUMMYFUNCTION("""COMPUTED_VALUE"""),18.0)</f>
        <v>18</v>
      </c>
      <c r="J1600" s="17" t="str">
        <f>IFERROR(__xludf.DUMMYFUNCTION("""COMPUTED_VALUE"""),"&lt; 18 tahun")</f>
        <v>&lt; 18 tahun</v>
      </c>
      <c r="K1600" s="19">
        <f>IFERROR(__xludf.DUMMYFUNCTION("""COMPUTED_VALUE"""),39263.0)</f>
        <v>39263</v>
      </c>
      <c r="L1600" s="19" t="str">
        <f>IFERROR(__xludf.DUMMYFUNCTION("""COMPUTED_VALUE"""),"LAKI-LAKI")</f>
        <v>LAKI-LAKI</v>
      </c>
      <c r="M1600" s="35" t="str">
        <f>IFERROR(__xludf.DUMMYFUNCTION("""COMPUTED_VALUE"""),"SAMBAS")</f>
        <v>SAMBAS</v>
      </c>
      <c r="N1600" s="16" t="str">
        <f>IFERROR(__xludf.DUMMYFUNCTION("""COMPUTED_VALUE"""),"KEL. SEBAYAN")</f>
        <v>KEL. SEBAYAN</v>
      </c>
      <c r="O1600" s="16" t="str">
        <f>IFERROR(__xludf.DUMMYFUNCTION("""COMPUTED_VALUE"""),"KEC. SAMBAS")</f>
        <v>KEC. SAMBAS</v>
      </c>
      <c r="P1600" s="16" t="str">
        <f>IFERROR(__xludf.DUMMYFUNCTION("""COMPUTED_VALUE"""),"KAB. SAMBAS")</f>
        <v>KAB. SAMBAS</v>
      </c>
      <c r="Q1600" s="16" t="str">
        <f>IFERROR(__xludf.DUMMYFUNCTION("""COMPUTED_VALUE"""),"KALIMANTAN BARAT")</f>
        <v>KALIMANTAN BARAT</v>
      </c>
      <c r="R1600" s="19" t="str">
        <f>IFERROR(__xludf.DUMMYFUNCTION("""COMPUTED_VALUE"""),"ISLAM")</f>
        <v>ISLAM</v>
      </c>
      <c r="S1600" s="16" t="str">
        <f>IFERROR(__xludf.DUMMYFUNCTION("""COMPUTED_VALUE"""),"PELAJAR/MAHASISWA")</f>
        <v>PELAJAR/MAHASISWA</v>
      </c>
      <c r="T1600" s="16"/>
      <c r="U1600" s="16" t="str">
        <f>IFERROR(__xludf.DUMMYFUNCTION("""COMPUTED_VALUE"""),"beladiri taekwondo")</f>
        <v>beladiri taekwondo</v>
      </c>
      <c r="V1600" s="11" t="str">
        <f>IFERROR(__xludf.DUMMYFUNCTION("""COMPUTED_VALUE"""),"0895605534604")</f>
        <v>0895605534604</v>
      </c>
      <c r="W1600" s="15"/>
    </row>
    <row r="1601" ht="22.5" customHeight="1">
      <c r="A1601" s="8"/>
      <c r="B1601" s="9">
        <f>IFERROR(__xludf.DUMMYFUNCTION("""COMPUTED_VALUE"""),45508.72870792824)</f>
        <v>45508.72871</v>
      </c>
      <c r="C1601" s="9"/>
      <c r="D1601" s="34">
        <f>IFERROR(__xludf.DUMMYFUNCTION("""COMPUTED_VALUE"""),45516.0)</f>
        <v>45516</v>
      </c>
      <c r="E1601" s="34" t="str">
        <f>IFERROR(__xludf.DUMMYFUNCTION("""COMPUTED_VALUE"""),"08Agu")</f>
        <v>08Agu</v>
      </c>
      <c r="F1601" s="34" t="str">
        <f>IFERROR(__xludf.DUMMYFUNCTION("""COMPUTED_VALUE"""),"2024")</f>
        <v>2024</v>
      </c>
      <c r="G1601" s="35" t="str">
        <f>IFERROR(__xludf.DUMMYFUNCTION("""COMPUTED_VALUE"""),"RIKO SYAFUTRA")</f>
        <v>RIKO SYAFUTRA</v>
      </c>
      <c r="H1601" s="17" t="str">
        <f>IFERROR(__xludf.DUMMYFUNCTION("""COMPUTED_VALUE"""),"R8424082429")</f>
        <v>R8424082429</v>
      </c>
      <c r="I1601" s="17">
        <f>IFERROR(__xludf.DUMMYFUNCTION("""COMPUTED_VALUE"""),42.0)</f>
        <v>42</v>
      </c>
      <c r="J1601" s="17" t="str">
        <f>IFERROR(__xludf.DUMMYFUNCTION("""COMPUTED_VALUE"""),"35-44 tahun")</f>
        <v>35-44 tahun</v>
      </c>
      <c r="K1601" s="19">
        <f>IFERROR(__xludf.DUMMYFUNCTION("""COMPUTED_VALUE"""),30710.0)</f>
        <v>30710</v>
      </c>
      <c r="L1601" s="19" t="str">
        <f>IFERROR(__xludf.DUMMYFUNCTION("""COMPUTED_VALUE"""),"LAKI-LAKI")</f>
        <v>LAKI-LAKI</v>
      </c>
      <c r="M1601" s="35" t="str">
        <f>IFERROR(__xludf.DUMMYFUNCTION("""COMPUTED_VALUE"""),"ASPOL SUBARKAH BLOK C NO. 4")</f>
        <v>ASPOL SUBARKAH BLOK C NO. 4</v>
      </c>
      <c r="N1601" s="16" t="str">
        <f>IFERROR(__xludf.DUMMYFUNCTION("""COMPUTED_VALUE"""),"KEL. PARIT TOKAYA")</f>
        <v>KEL. PARIT TOKAYA</v>
      </c>
      <c r="O1601" s="16" t="str">
        <f>IFERROR(__xludf.DUMMYFUNCTION("""COMPUTED_VALUE"""),"KEC. PONTIANAK SELATAN")</f>
        <v>KEC. PONTIANAK SELATAN</v>
      </c>
      <c r="P1601" s="16" t="str">
        <f>IFERROR(__xludf.DUMMYFUNCTION("""COMPUTED_VALUE"""),"KOTA PONTIANAK")</f>
        <v>KOTA PONTIANAK</v>
      </c>
      <c r="Q1601" s="16" t="str">
        <f>IFERROR(__xludf.DUMMYFUNCTION("""COMPUTED_VALUE"""),"KALIMANTAN BARAT")</f>
        <v>KALIMANTAN BARAT</v>
      </c>
      <c r="R1601" s="19" t="str">
        <f>IFERROR(__xludf.DUMMYFUNCTION("""COMPUTED_VALUE"""),"ISLAM")</f>
        <v>ISLAM</v>
      </c>
      <c r="S1601" s="16" t="str">
        <f>IFERROR(__xludf.DUMMYFUNCTION("""COMPUTED_VALUE"""),"TNI/POLRI")</f>
        <v>TNI/POLRI</v>
      </c>
      <c r="T1601" s="16" t="str">
        <f>IFERROR(__xludf.DUMMYFUNCTION("""COMPUTED_VALUE"""),"NYERI DI KAKI")</f>
        <v>NYERI DI KAKI</v>
      </c>
      <c r="U1601" s="16" t="str">
        <f>IFERROR(__xludf.DUMMYFUNCTION("""COMPUTED_VALUE"""),"LARI")</f>
        <v>LARI</v>
      </c>
      <c r="V1601" s="11" t="str">
        <f>IFERROR(__xludf.DUMMYFUNCTION("""COMPUTED_VALUE"""),"081381202429")</f>
        <v>081381202429</v>
      </c>
      <c r="W1601" s="15"/>
    </row>
    <row r="1602" ht="22.5" customHeight="1">
      <c r="A1602" s="8"/>
      <c r="B1602" s="9">
        <f>IFERROR(__xludf.DUMMYFUNCTION("""COMPUTED_VALUE"""),45508.82691178241)</f>
        <v>45508.82691</v>
      </c>
      <c r="C1602" s="9"/>
      <c r="D1602" s="34">
        <f>IFERROR(__xludf.DUMMYFUNCTION("""COMPUTED_VALUE"""),45517.0)</f>
        <v>45517</v>
      </c>
      <c r="E1602" s="34" t="str">
        <f>IFERROR(__xludf.DUMMYFUNCTION("""COMPUTED_VALUE"""),"08Agu")</f>
        <v>08Agu</v>
      </c>
      <c r="F1602" s="34" t="str">
        <f>IFERROR(__xludf.DUMMYFUNCTION("""COMPUTED_VALUE"""),"2024")</f>
        <v>2024</v>
      </c>
      <c r="G1602" s="35" t="str">
        <f>IFERROR(__xludf.DUMMYFUNCTION("""COMPUTED_VALUE"""),"THALIA FELECIA")</f>
        <v>THALIA FELECIA</v>
      </c>
      <c r="H1602" s="17" t="str">
        <f>IFERROR(__xludf.DUMMYFUNCTION("""COMPUTED_VALUE"""),"T0324089369")</f>
        <v>T0324089369</v>
      </c>
      <c r="I1602" s="17">
        <f>IFERROR(__xludf.DUMMYFUNCTION("""COMPUTED_VALUE"""),22.0)</f>
        <v>22</v>
      </c>
      <c r="J1602" s="17" t="str">
        <f>IFERROR(__xludf.DUMMYFUNCTION("""COMPUTED_VALUE"""),"18-24 tahun")</f>
        <v>18-24 tahun</v>
      </c>
      <c r="K1602" s="19">
        <f>IFERROR(__xludf.DUMMYFUNCTION("""COMPUTED_VALUE"""),37858.0)</f>
        <v>37858</v>
      </c>
      <c r="L1602" s="19" t="str">
        <f>IFERROR(__xludf.DUMMYFUNCTION("""COMPUTED_VALUE"""),"PEREMPUAN")</f>
        <v>PEREMPUAN</v>
      </c>
      <c r="M1602" s="35" t="str">
        <f>IFERROR(__xludf.DUMMYFUNCTION("""COMPUTED_VALUE"""),"JL. SURYA KOMP. SURYA RESIDENCE NO.B6")</f>
        <v>JL. SURYA KOMP. SURYA RESIDENCE NO.B6</v>
      </c>
      <c r="N1602" s="16" t="str">
        <f>IFERROR(__xludf.DUMMYFUNCTION("""COMPUTED_VALUE"""),"KEL. AKCAYA")</f>
        <v>KEL. AKCAYA</v>
      </c>
      <c r="O1602" s="16" t="str">
        <f>IFERROR(__xludf.DUMMYFUNCTION("""COMPUTED_VALUE"""),"KEC. PONTIANAK SELATAN")</f>
        <v>KEC. PONTIANAK SELATAN</v>
      </c>
      <c r="P1602" s="16" t="str">
        <f>IFERROR(__xludf.DUMMYFUNCTION("""COMPUTED_VALUE"""),"KOTA PONTIANAK")</f>
        <v>KOTA PONTIANAK</v>
      </c>
      <c r="Q1602" s="16" t="str">
        <f>IFERROR(__xludf.DUMMYFUNCTION("""COMPUTED_VALUE"""),"KALIMANTAN BARAT")</f>
        <v>KALIMANTAN BARAT</v>
      </c>
      <c r="R1602" s="19" t="str">
        <f>IFERROR(__xludf.DUMMYFUNCTION("""COMPUTED_VALUE"""),"BUDDHA")</f>
        <v>BUDDHA</v>
      </c>
      <c r="S1602" s="16" t="str">
        <f>IFERROR(__xludf.DUMMYFUNCTION("""COMPUTED_VALUE"""),"PELAJAR/MAHASISWA")</f>
        <v>PELAJAR/MAHASISWA</v>
      </c>
      <c r="T1602" s="16" t="str">
        <f>IFERROR(__xludf.DUMMYFUNCTION("""COMPUTED_VALUE"""),"SAKIT KAKI (BAGIAN )")</f>
        <v>SAKIT KAKI (BAGIAN )</v>
      </c>
      <c r="U1602" s="16" t="str">
        <f>IFERROR(__xludf.DUMMYFUNCTION("""COMPUTED_VALUE"""),"AKTIVITAS KULIAH, JOGGING")</f>
        <v>AKTIVITAS KULIAH, JOGGING</v>
      </c>
      <c r="V1602" s="11" t="str">
        <f>IFERROR(__xludf.DUMMYFUNCTION("""COMPUTED_VALUE"""),"082155559369")</f>
        <v>082155559369</v>
      </c>
      <c r="W1602" s="15"/>
    </row>
    <row r="1603" ht="22.5" customHeight="1">
      <c r="A1603" s="8"/>
      <c r="B1603" s="9">
        <f>IFERROR(__xludf.DUMMYFUNCTION("""COMPUTED_VALUE"""),45509.497023668984)</f>
        <v>45509.49702</v>
      </c>
      <c r="C1603" s="9"/>
      <c r="D1603" s="34">
        <f>IFERROR(__xludf.DUMMYFUNCTION("""COMPUTED_VALUE"""),45517.0)</f>
        <v>45517</v>
      </c>
      <c r="E1603" s="34" t="str">
        <f>IFERROR(__xludf.DUMMYFUNCTION("""COMPUTED_VALUE"""),"08Agu")</f>
        <v>08Agu</v>
      </c>
      <c r="F1603" s="34" t="str">
        <f>IFERROR(__xludf.DUMMYFUNCTION("""COMPUTED_VALUE"""),"2024")</f>
        <v>2024</v>
      </c>
      <c r="G1603" s="35" t="str">
        <f>IFERROR(__xludf.DUMMYFUNCTION("""COMPUTED_VALUE"""),"YANA MARDIANA")</f>
        <v>YANA MARDIANA</v>
      </c>
      <c r="H1603" s="17" t="str">
        <f>IFERROR(__xludf.DUMMYFUNCTION("""COMPUTED_VALUE"""),"Y8724082652")</f>
        <v>Y8724082652</v>
      </c>
      <c r="I1603" s="17">
        <f>IFERROR(__xludf.DUMMYFUNCTION("""COMPUTED_VALUE"""),39.0)</f>
        <v>39</v>
      </c>
      <c r="J1603" s="17" t="str">
        <f>IFERROR(__xludf.DUMMYFUNCTION("""COMPUTED_VALUE"""),"35-44 tahun")</f>
        <v>35-44 tahun</v>
      </c>
      <c r="K1603" s="19">
        <f>IFERROR(__xludf.DUMMYFUNCTION("""COMPUTED_VALUE"""),31855.0)</f>
        <v>31855</v>
      </c>
      <c r="L1603" s="19" t="str">
        <f>IFERROR(__xludf.DUMMYFUNCTION("""COMPUTED_VALUE"""),"PEREMPUAN")</f>
        <v>PEREMPUAN</v>
      </c>
      <c r="M1603" s="35" t="str">
        <f>IFERROR(__xludf.DUMMYFUNCTION("""COMPUTED_VALUE"""),"JL H RAIS ARAHMAN GG WASPADA 4 NO 11")</f>
        <v>JL H RAIS ARAHMAN GG WASPADA 4 NO 11</v>
      </c>
      <c r="N1603" s="16" t="str">
        <f>IFERROR(__xludf.DUMMYFUNCTION("""COMPUTED_VALUE"""),"KEL. SUNGAI JAWI")</f>
        <v>KEL. SUNGAI JAWI</v>
      </c>
      <c r="O1603" s="16" t="str">
        <f>IFERROR(__xludf.DUMMYFUNCTION("""COMPUTED_VALUE"""),"KEC. PONTIANAK KOTA")</f>
        <v>KEC. PONTIANAK KOTA</v>
      </c>
      <c r="P1603" s="16" t="str">
        <f>IFERROR(__xludf.DUMMYFUNCTION("""COMPUTED_VALUE"""),"KOTA PONTIANAK")</f>
        <v>KOTA PONTIANAK</v>
      </c>
      <c r="Q1603" s="16" t="str">
        <f>IFERROR(__xludf.DUMMYFUNCTION("""COMPUTED_VALUE"""),"KALIMANTAN BARAT")</f>
        <v>KALIMANTAN BARAT</v>
      </c>
      <c r="R1603" s="19" t="str">
        <f>IFERROR(__xludf.DUMMYFUNCTION("""COMPUTED_VALUE"""),"ISLAM")</f>
        <v>ISLAM</v>
      </c>
      <c r="S1603" s="35" t="str">
        <f>IFERROR(__xludf.DUMMYFUNCTION("""COMPUTED_VALUE"""),"RUMAH TANGGA")</f>
        <v>RUMAH TANGGA</v>
      </c>
      <c r="T1603" s="16" t="str">
        <f>IFERROR(__xludf.DUMMYFUNCTION("""COMPUTED_VALUE"""),"Sakit pinggang, tulang suka nyeri")</f>
        <v>Sakit pinggang, tulang suka nyeri</v>
      </c>
      <c r="U1603" s="16" t="str">
        <f>IFERROR(__xludf.DUMMYFUNCTION("""COMPUTED_VALUE"""),"Mengurus rumah tangga")</f>
        <v>Mengurus rumah tangga</v>
      </c>
      <c r="V1603" s="11" t="str">
        <f>IFERROR(__xludf.DUMMYFUNCTION("""COMPUTED_VALUE"""),"082148682652")</f>
        <v>082148682652</v>
      </c>
      <c r="W1603" s="15"/>
    </row>
    <row r="1604" ht="22.5" customHeight="1">
      <c r="A1604" s="8"/>
      <c r="B1604" s="9">
        <f>IFERROR(__xludf.DUMMYFUNCTION("""COMPUTED_VALUE"""),45509.52489907407)</f>
        <v>45509.5249</v>
      </c>
      <c r="C1604" s="9"/>
      <c r="D1604" s="34">
        <f>IFERROR(__xludf.DUMMYFUNCTION("""COMPUTED_VALUE"""),45517.0)</f>
        <v>45517</v>
      </c>
      <c r="E1604" s="34" t="str">
        <f>IFERROR(__xludf.DUMMYFUNCTION("""COMPUTED_VALUE"""),"08Agu")</f>
        <v>08Agu</v>
      </c>
      <c r="F1604" s="34" t="str">
        <f>IFERROR(__xludf.DUMMYFUNCTION("""COMPUTED_VALUE"""),"2024")</f>
        <v>2024</v>
      </c>
      <c r="G1604" s="35" t="str">
        <f>IFERROR(__xludf.DUMMYFUNCTION("""COMPUTED_VALUE"""),"RODIYAH MUNAWWARAH")</f>
        <v>RODIYAH MUNAWWARAH</v>
      </c>
      <c r="H1604" s="17" t="str">
        <f>IFERROR(__xludf.DUMMYFUNCTION("""COMPUTED_VALUE"""),"R9624081112")</f>
        <v>R9624081112</v>
      </c>
      <c r="I1604" s="17">
        <f>IFERROR(__xludf.DUMMYFUNCTION("""COMPUTED_VALUE"""),30.0)</f>
        <v>30</v>
      </c>
      <c r="J1604" s="17" t="str">
        <f>IFERROR(__xludf.DUMMYFUNCTION("""COMPUTED_VALUE"""),"25-34 tahun")</f>
        <v>25-34 tahun</v>
      </c>
      <c r="K1604" s="19">
        <f>IFERROR(__xludf.DUMMYFUNCTION("""COMPUTED_VALUE"""),35208.0)</f>
        <v>35208</v>
      </c>
      <c r="L1604" s="19" t="str">
        <f>IFERROR(__xludf.DUMMYFUNCTION("""COMPUTED_VALUE"""),"PEREMPUAN")</f>
        <v>PEREMPUAN</v>
      </c>
      <c r="M1604" s="35" t="str">
        <f>IFERROR(__xludf.DUMMYFUNCTION("""COMPUTED_VALUE"""),"JL. WONOYOSO 1 GG 1 NO. I28")</f>
        <v>JL. WONOYOSO 1 GG 1 NO. I28</v>
      </c>
      <c r="N1604" s="16" t="str">
        <f>IFERROR(__xludf.DUMMYFUNCTION("""COMPUTED_VALUE"""),"KEL. AKCAYA")</f>
        <v>KEL. AKCAYA</v>
      </c>
      <c r="O1604" s="16" t="str">
        <f>IFERROR(__xludf.DUMMYFUNCTION("""COMPUTED_VALUE"""),"KEC. PONTIANAK SELATAN")</f>
        <v>KEC. PONTIANAK SELATAN</v>
      </c>
      <c r="P1604" s="16" t="str">
        <f>IFERROR(__xludf.DUMMYFUNCTION("""COMPUTED_VALUE"""),"KOTA PONTIANAK")</f>
        <v>KOTA PONTIANAK</v>
      </c>
      <c r="Q1604" s="16" t="str">
        <f>IFERROR(__xludf.DUMMYFUNCTION("""COMPUTED_VALUE"""),"KALIMANTAN BARAT")</f>
        <v>KALIMANTAN BARAT</v>
      </c>
      <c r="R1604" s="19" t="str">
        <f>IFERROR(__xludf.DUMMYFUNCTION("""COMPUTED_VALUE"""),"ISLAM")</f>
        <v>ISLAM</v>
      </c>
      <c r="S1604" s="16" t="str">
        <f>IFERROR(__xludf.DUMMYFUNCTION("""COMPUTED_VALUE"""),"SWASTA")</f>
        <v>SWASTA</v>
      </c>
      <c r="T1604" s="16" t="str">
        <f>IFERROR(__xludf.DUMMYFUNCTION("""COMPUTED_VALUE"""),"Nyeri")</f>
        <v>Nyeri</v>
      </c>
      <c r="U1604" s="16" t="str">
        <f>IFERROR(__xludf.DUMMYFUNCTION("""COMPUTED_VALUE"""),"Kerja")</f>
        <v>Kerja</v>
      </c>
      <c r="V1604" s="11" t="str">
        <f>IFERROR(__xludf.DUMMYFUNCTION("""COMPUTED_VALUE"""),"089693631112")</f>
        <v>089693631112</v>
      </c>
      <c r="W1604" s="15"/>
    </row>
    <row r="1605" ht="22.5" customHeight="1">
      <c r="A1605" s="8"/>
      <c r="B1605" s="9">
        <f>IFERROR(__xludf.DUMMYFUNCTION("""COMPUTED_VALUE"""),45509.59858498843)</f>
        <v>45509.59858</v>
      </c>
      <c r="C1605" s="9"/>
      <c r="D1605" s="34">
        <f>IFERROR(__xludf.DUMMYFUNCTION("""COMPUTED_VALUE"""),45517.0)</f>
        <v>45517</v>
      </c>
      <c r="E1605" s="34" t="str">
        <f>IFERROR(__xludf.DUMMYFUNCTION("""COMPUTED_VALUE"""),"08Agu")</f>
        <v>08Agu</v>
      </c>
      <c r="F1605" s="34" t="str">
        <f>IFERROR(__xludf.DUMMYFUNCTION("""COMPUTED_VALUE"""),"2024")</f>
        <v>2024</v>
      </c>
      <c r="G1605" s="35" t="str">
        <f>IFERROR(__xludf.DUMMYFUNCTION("""COMPUTED_VALUE"""),"SYARIF FAYED FAHLEVI ALQADRIE")</f>
        <v>SYARIF FAYED FAHLEVI ALQADRIE</v>
      </c>
      <c r="H1605" s="17" t="str">
        <f>IFERROR(__xludf.DUMMYFUNCTION("""COMPUTED_VALUE"""),"S9724084270")</f>
        <v>S9724084270</v>
      </c>
      <c r="I1605" s="17">
        <f>IFERROR(__xludf.DUMMYFUNCTION("""COMPUTED_VALUE"""),28.0)</f>
        <v>28</v>
      </c>
      <c r="J1605" s="17" t="str">
        <f>IFERROR(__xludf.DUMMYFUNCTION("""COMPUTED_VALUE"""),"25-34 tahun")</f>
        <v>25-34 tahun</v>
      </c>
      <c r="K1605" s="19">
        <f>IFERROR(__xludf.DUMMYFUNCTION("""COMPUTED_VALUE"""),35670.0)</f>
        <v>35670</v>
      </c>
      <c r="L1605" s="19" t="str">
        <f>IFERROR(__xludf.DUMMYFUNCTION("""COMPUTED_VALUE"""),"LAKI-LAKI")</f>
        <v>LAKI-LAKI</v>
      </c>
      <c r="M1605" s="35" t="str">
        <f>IFERROR(__xludf.DUMMYFUNCTION("""COMPUTED_VALUE"""),"JALAN HRA RAHMAN GANG GUNUNG LAWIT NOMOR 37")</f>
        <v>JALAN HRA RAHMAN GANG GUNUNG LAWIT NOMOR 37</v>
      </c>
      <c r="N1605" s="16" t="str">
        <f>IFERROR(__xludf.DUMMYFUNCTION("""COMPUTED_VALUE"""),"KEL. SUNGAI JAWI DALAM")</f>
        <v>KEL. SUNGAI JAWI DALAM</v>
      </c>
      <c r="O1605" s="16" t="str">
        <f>IFERROR(__xludf.DUMMYFUNCTION("""COMPUTED_VALUE"""),"KEC. PONTIANAK BARAT")</f>
        <v>KEC. PONTIANAK BARAT</v>
      </c>
      <c r="P1605" s="16" t="str">
        <f>IFERROR(__xludf.DUMMYFUNCTION("""COMPUTED_VALUE"""),"KOTA PONTIANAK")</f>
        <v>KOTA PONTIANAK</v>
      </c>
      <c r="Q1605" s="16" t="str">
        <f>IFERROR(__xludf.DUMMYFUNCTION("""COMPUTED_VALUE"""),"KALIMANTAN BARAT")</f>
        <v>KALIMANTAN BARAT</v>
      </c>
      <c r="R1605" s="19" t="str">
        <f>IFERROR(__xludf.DUMMYFUNCTION("""COMPUTED_VALUE"""),"ISLAM")</f>
        <v>ISLAM</v>
      </c>
      <c r="S1605" s="16" t="str">
        <f>IFERROR(__xludf.DUMMYFUNCTION("""COMPUTED_VALUE"""),"SWASTA")</f>
        <v>SWASTA</v>
      </c>
      <c r="T1605" s="16" t="str">
        <f>IFERROR(__xludf.DUMMYFUNCTION("""COMPUTED_VALUE"""),"Cidera")</f>
        <v>Cidera</v>
      </c>
      <c r="U1605" s="16" t="str">
        <f>IFERROR(__xludf.DUMMYFUNCTION("""COMPUTED_VALUE"""),"Pekerja Lapangan")</f>
        <v>Pekerja Lapangan</v>
      </c>
      <c r="V1605" s="11" t="str">
        <f>IFERROR(__xludf.DUMMYFUNCTION("""COMPUTED_VALUE"""),"08999814270")</f>
        <v>08999814270</v>
      </c>
      <c r="W1605" s="15"/>
    </row>
    <row r="1606" ht="22.5" customHeight="1">
      <c r="A1606" s="8"/>
      <c r="B1606" s="9">
        <f>IFERROR(__xludf.DUMMYFUNCTION("""COMPUTED_VALUE"""),45510.585582280095)</f>
        <v>45510.58558</v>
      </c>
      <c r="C1606" s="9"/>
      <c r="D1606" s="34">
        <f>IFERROR(__xludf.DUMMYFUNCTION("""COMPUTED_VALUE"""),45518.0)</f>
        <v>45518</v>
      </c>
      <c r="E1606" s="34" t="str">
        <f>IFERROR(__xludf.DUMMYFUNCTION("""COMPUTED_VALUE"""),"08Agu")</f>
        <v>08Agu</v>
      </c>
      <c r="F1606" s="34" t="str">
        <f>IFERROR(__xludf.DUMMYFUNCTION("""COMPUTED_VALUE"""),"2024")</f>
        <v>2024</v>
      </c>
      <c r="G1606" s="35" t="str">
        <f>IFERROR(__xludf.DUMMYFUNCTION("""COMPUTED_VALUE"""),"RENNY ALFINA MEKBAR PURBA")</f>
        <v>RENNY ALFINA MEKBAR PURBA</v>
      </c>
      <c r="H1606" s="17" t="str">
        <f>IFERROR(__xludf.DUMMYFUNCTION("""COMPUTED_VALUE"""),"R9024082946")</f>
        <v>R9024082946</v>
      </c>
      <c r="I1606" s="17">
        <f>IFERROR(__xludf.DUMMYFUNCTION("""COMPUTED_VALUE"""),36.0)</f>
        <v>36</v>
      </c>
      <c r="J1606" s="17" t="str">
        <f>IFERROR(__xludf.DUMMYFUNCTION("""COMPUTED_VALUE"""),"35-44 tahun")</f>
        <v>35-44 tahun</v>
      </c>
      <c r="K1606" s="19">
        <f>IFERROR(__xludf.DUMMYFUNCTION("""COMPUTED_VALUE"""),33015.0)</f>
        <v>33015</v>
      </c>
      <c r="L1606" s="19" t="str">
        <f>IFERROR(__xludf.DUMMYFUNCTION("""COMPUTED_VALUE"""),"PEREMPUAN")</f>
        <v>PEREMPUAN</v>
      </c>
      <c r="M1606" s="35" t="str">
        <f>IFERROR(__xludf.DUMMYFUNCTION("""COMPUTED_VALUE"""),"JL PRASETYA KOMP KORPRI BLOK J NO 146")</f>
        <v>JL PRASETYA KOMP KORPRI BLOK J NO 146</v>
      </c>
      <c r="N1606" s="16" t="str">
        <f>IFERROR(__xludf.DUMMYFUNCTION("""COMPUTED_VALUE"""),"KEL. SUNGAI RAYA DALAM")</f>
        <v>KEL. SUNGAI RAYA DALAM</v>
      </c>
      <c r="O1606" s="16" t="str">
        <f>IFERROR(__xludf.DUMMYFUNCTION("""COMPUTED_VALUE"""),"KEC. SUNGAI RAYA")</f>
        <v>KEC. SUNGAI RAYA</v>
      </c>
      <c r="P1606" s="16" t="str">
        <f>IFERROR(__xludf.DUMMYFUNCTION("""COMPUTED_VALUE"""),"KAB. KUBU RAYA")</f>
        <v>KAB. KUBU RAYA</v>
      </c>
      <c r="Q1606" s="16" t="str">
        <f>IFERROR(__xludf.DUMMYFUNCTION("""COMPUTED_VALUE"""),"KALIMANTAN BARAT")</f>
        <v>KALIMANTAN BARAT</v>
      </c>
      <c r="R1606" s="19" t="str">
        <f>IFERROR(__xludf.DUMMYFUNCTION("""COMPUTED_VALUE"""),"KATOLIK")</f>
        <v>KATOLIK</v>
      </c>
      <c r="S1606" s="35" t="str">
        <f>IFERROR(__xludf.DUMMYFUNCTION("""COMPUTED_VALUE"""),"ASN")</f>
        <v>ASN</v>
      </c>
      <c r="T1606" s="16" t="str">
        <f>IFERROR(__xludf.DUMMYFUNCTION("""COMPUTED_VALUE"""),"Nyeri punggung akibat scoliosis")</f>
        <v>Nyeri punggung akibat scoliosis</v>
      </c>
      <c r="U1606" s="16" t="str">
        <f>IFERROR(__xludf.DUMMYFUNCTION("""COMPUTED_VALUE"""),"Kerja kantoran")</f>
        <v>Kerja kantoran</v>
      </c>
      <c r="V1606" s="11" t="str">
        <f>IFERROR(__xludf.DUMMYFUNCTION("""COMPUTED_VALUE"""),"081257272946")</f>
        <v>081257272946</v>
      </c>
      <c r="W1606" s="15"/>
    </row>
    <row r="1607" ht="22.5" customHeight="1">
      <c r="A1607" s="8"/>
      <c r="B1607" s="9">
        <f>IFERROR(__xludf.DUMMYFUNCTION("""COMPUTED_VALUE"""),45510.5927497338)</f>
        <v>45510.59275</v>
      </c>
      <c r="C1607" s="9"/>
      <c r="D1607" s="34">
        <f>IFERROR(__xludf.DUMMYFUNCTION("""COMPUTED_VALUE"""),45518.0)</f>
        <v>45518</v>
      </c>
      <c r="E1607" s="34" t="str">
        <f>IFERROR(__xludf.DUMMYFUNCTION("""COMPUTED_VALUE"""),"08Agu")</f>
        <v>08Agu</v>
      </c>
      <c r="F1607" s="34" t="str">
        <f>IFERROR(__xludf.DUMMYFUNCTION("""COMPUTED_VALUE"""),"2024")</f>
        <v>2024</v>
      </c>
      <c r="G1607" s="35" t="str">
        <f>IFERROR(__xludf.DUMMYFUNCTION("""COMPUTED_VALUE"""),"ARIF RAHMAN")</f>
        <v>ARIF RAHMAN</v>
      </c>
      <c r="H1607" s="17" t="str">
        <f>IFERROR(__xludf.DUMMYFUNCTION("""COMPUTED_VALUE"""),"A0124085166")</f>
        <v>A0124085166</v>
      </c>
      <c r="I1607" s="17">
        <f>IFERROR(__xludf.DUMMYFUNCTION("""COMPUTED_VALUE"""),25.0)</f>
        <v>25</v>
      </c>
      <c r="J1607" s="17" t="str">
        <f>IFERROR(__xludf.DUMMYFUNCTION("""COMPUTED_VALUE"""),"25-34 tahun")</f>
        <v>25-34 tahun</v>
      </c>
      <c r="K1607" s="19">
        <f>IFERROR(__xludf.DUMMYFUNCTION("""COMPUTED_VALUE"""),37042.0)</f>
        <v>37042</v>
      </c>
      <c r="L1607" s="19" t="str">
        <f>IFERROR(__xludf.DUMMYFUNCTION("""COMPUTED_VALUE"""),"LAKI-LAKI")</f>
        <v>LAKI-LAKI</v>
      </c>
      <c r="M1607" s="35" t="str">
        <f>IFERROR(__xludf.DUMMYFUNCTION("""COMPUTED_VALUE"""),"JL. HAMID MATALI")</f>
        <v>JL. HAMID MATALI</v>
      </c>
      <c r="N1607" s="16" t="str">
        <f>IFERROR(__xludf.DUMMYFUNCTION("""COMPUTED_VALUE"""),"KEL. SETAPUK KECIL")</f>
        <v>KEL. SETAPUK KECIL</v>
      </c>
      <c r="O1607" s="16" t="str">
        <f>IFERROR(__xludf.DUMMYFUNCTION("""COMPUTED_VALUE"""),"KEC. SINGKAWANG UTARA")</f>
        <v>KEC. SINGKAWANG UTARA</v>
      </c>
      <c r="P1607" s="16" t="str">
        <f>IFERROR(__xludf.DUMMYFUNCTION("""COMPUTED_VALUE"""),"KAB. SINGKAWANG")</f>
        <v>KAB. SINGKAWANG</v>
      </c>
      <c r="Q1607" s="16" t="str">
        <f>IFERROR(__xludf.DUMMYFUNCTION("""COMPUTED_VALUE"""),"KALIMANTAN BARAT")</f>
        <v>KALIMANTAN BARAT</v>
      </c>
      <c r="R1607" s="19" t="str">
        <f>IFERROR(__xludf.DUMMYFUNCTION("""COMPUTED_VALUE"""),"ISLAM")</f>
        <v>ISLAM</v>
      </c>
      <c r="S1607" s="35" t="str">
        <f>IFERROR(__xludf.DUMMYFUNCTION("""COMPUTED_VALUE"""),"ASN")</f>
        <v>ASN</v>
      </c>
      <c r="T1607" s="16" t="str">
        <f>IFERROR(__xludf.DUMMYFUNCTION("""COMPUTED_VALUE"""),"Sering keselo pada setelah kecelakaan tahun 2022")</f>
        <v>Sering keselo pada setelah kecelakaan tahun 2022</v>
      </c>
      <c r="U1607" s="16" t="str">
        <f>IFERROR(__xludf.DUMMYFUNCTION("""COMPUTED_VALUE"""),"Pingpong, voli, badminton, dll")</f>
        <v>Pingpong, voli, badminton, dll</v>
      </c>
      <c r="V1607" s="11" t="str">
        <f>IFERROR(__xludf.DUMMYFUNCTION("""COMPUTED_VALUE"""),"08983495166")</f>
        <v>08983495166</v>
      </c>
      <c r="W1607" s="15"/>
    </row>
    <row r="1608" ht="22.5" customHeight="1">
      <c r="A1608" s="8"/>
      <c r="B1608" s="9">
        <f>IFERROR(__xludf.DUMMYFUNCTION("""COMPUTED_VALUE"""),45509.74555918982)</f>
        <v>45509.74556</v>
      </c>
      <c r="C1608" s="9"/>
      <c r="D1608" s="34">
        <f>IFERROR(__xludf.DUMMYFUNCTION("""COMPUTED_VALUE"""),45518.0)</f>
        <v>45518</v>
      </c>
      <c r="E1608" s="34" t="str">
        <f>IFERROR(__xludf.DUMMYFUNCTION("""COMPUTED_VALUE"""),"08Agu")</f>
        <v>08Agu</v>
      </c>
      <c r="F1608" s="34" t="str">
        <f>IFERROR(__xludf.DUMMYFUNCTION("""COMPUTED_VALUE"""),"2024")</f>
        <v>2024</v>
      </c>
      <c r="G1608" s="35" t="str">
        <f>IFERROR(__xludf.DUMMYFUNCTION("""COMPUTED_VALUE"""),"FADLI SITOMPUL")</f>
        <v>FADLI SITOMPUL</v>
      </c>
      <c r="H1608" s="17" t="str">
        <f>IFERROR(__xludf.DUMMYFUNCTION("""COMPUTED_VALUE"""),"F8224088826")</f>
        <v>F8224088826</v>
      </c>
      <c r="I1608" s="17">
        <f>IFERROR(__xludf.DUMMYFUNCTION("""COMPUTED_VALUE"""),44.0)</f>
        <v>44</v>
      </c>
      <c r="J1608" s="17" t="str">
        <f>IFERROR(__xludf.DUMMYFUNCTION("""COMPUTED_VALUE"""),"35-44 tahun")</f>
        <v>35-44 tahun</v>
      </c>
      <c r="K1608" s="19">
        <f>IFERROR(__xludf.DUMMYFUNCTION("""COMPUTED_VALUE"""),29973.0)</f>
        <v>29973</v>
      </c>
      <c r="L1608" s="19" t="str">
        <f>IFERROR(__xludf.DUMMYFUNCTION("""COMPUTED_VALUE"""),"LAKI-LAKI")</f>
        <v>LAKI-LAKI</v>
      </c>
      <c r="M1608" s="35" t="str">
        <f>IFERROR(__xludf.DUMMYFUNCTION("""COMPUTED_VALUE"""),"JL PERJUANGAN GG MULIA NO. 15 MEDAN")</f>
        <v>JL PERJUANGAN GG MULIA NO. 15 MEDAN</v>
      </c>
      <c r="N1608" s="16" t="str">
        <f>IFERROR(__xludf.DUMMYFUNCTION("""COMPUTED_VALUE"""),"KEL. SIDORAME TIMUR")</f>
        <v>KEL. SIDORAME TIMUR</v>
      </c>
      <c r="O1608" s="16" t="str">
        <f>IFERROR(__xludf.DUMMYFUNCTION("""COMPUTED_VALUE"""),"KEC. MEDAN PERJUANGAN")</f>
        <v>KEC. MEDAN PERJUANGAN</v>
      </c>
      <c r="P1608" s="16" t="str">
        <f>IFERROR(__xludf.DUMMYFUNCTION("""COMPUTED_VALUE"""),"KOTA MEDAN")</f>
        <v>KOTA MEDAN</v>
      </c>
      <c r="Q1608" s="16" t="str">
        <f>IFERROR(__xludf.DUMMYFUNCTION("""COMPUTED_VALUE"""),"SUMATERA UTARA")</f>
        <v>SUMATERA UTARA</v>
      </c>
      <c r="R1608" s="19" t="str">
        <f>IFERROR(__xludf.DUMMYFUNCTION("""COMPUTED_VALUE"""),"ISLAM")</f>
        <v>ISLAM</v>
      </c>
      <c r="S1608" s="16" t="str">
        <f>IFERROR(__xludf.DUMMYFUNCTION("""COMPUTED_VALUE"""),"ASN")</f>
        <v>ASN</v>
      </c>
      <c r="T1608" s="16" t="str">
        <f>IFERROR(__xludf.DUMMYFUNCTION("""COMPUTED_VALUE"""),"nyeri pada bagian kiri, saat main futsal salah tumpuan")</f>
        <v>nyeri pada bagian kiri, saat main futsal salah tumpuan</v>
      </c>
      <c r="U1608" s="16" t="str">
        <f>IFERROR(__xludf.DUMMYFUNCTION("""COMPUTED_VALUE"""),"Lari")</f>
        <v>Lari</v>
      </c>
      <c r="V1608" s="11" t="str">
        <f>IFERROR(__xludf.DUMMYFUNCTION("""COMPUTED_VALUE"""),"08126308826")</f>
        <v>08126308826</v>
      </c>
      <c r="W1608" s="15"/>
    </row>
    <row r="1609" ht="22.5" customHeight="1">
      <c r="A1609" s="8"/>
      <c r="B1609" s="9">
        <f>IFERROR(__xludf.DUMMYFUNCTION("""COMPUTED_VALUE"""),45510.629749583335)</f>
        <v>45510.62975</v>
      </c>
      <c r="C1609" s="9"/>
      <c r="D1609" s="34">
        <f>IFERROR(__xludf.DUMMYFUNCTION("""COMPUTED_VALUE"""),45518.0)</f>
        <v>45518</v>
      </c>
      <c r="E1609" s="34" t="str">
        <f>IFERROR(__xludf.DUMMYFUNCTION("""COMPUTED_VALUE"""),"08Agu")</f>
        <v>08Agu</v>
      </c>
      <c r="F1609" s="34" t="str">
        <f>IFERROR(__xludf.DUMMYFUNCTION("""COMPUTED_VALUE"""),"2024")</f>
        <v>2024</v>
      </c>
      <c r="G1609" s="35" t="str">
        <f>IFERROR(__xludf.DUMMYFUNCTION("""COMPUTED_VALUE"""),"RUDI RIYANTAMA")</f>
        <v>RUDI RIYANTAMA</v>
      </c>
      <c r="H1609" s="17" t="str">
        <f>IFERROR(__xludf.DUMMYFUNCTION("""COMPUTED_VALUE"""),"R0024087369")</f>
        <v>R0024087369</v>
      </c>
      <c r="I1609" s="17">
        <f>IFERROR(__xludf.DUMMYFUNCTION("""COMPUTED_VALUE"""),25.0)</f>
        <v>25</v>
      </c>
      <c r="J1609" s="17" t="str">
        <f>IFERROR(__xludf.DUMMYFUNCTION("""COMPUTED_VALUE"""),"25-34 tahun")</f>
        <v>25-34 tahun</v>
      </c>
      <c r="K1609" s="19">
        <f>IFERROR(__xludf.DUMMYFUNCTION("""COMPUTED_VALUE"""),36706.0)</f>
        <v>36706</v>
      </c>
      <c r="L1609" s="19" t="str">
        <f>IFERROR(__xludf.DUMMYFUNCTION("""COMPUTED_VALUE"""),"LAKI-LAKI")</f>
        <v>LAKI-LAKI</v>
      </c>
      <c r="M1609" s="35" t="str">
        <f>IFERROR(__xludf.DUMMYFUNCTION("""COMPUTED_VALUE"""),"DUSUN SOSOK II")</f>
        <v>DUSUN SOSOK II</v>
      </c>
      <c r="N1609" s="16" t="str">
        <f>IFERROR(__xludf.DUMMYFUNCTION("""COMPUTED_VALUE"""),"DS. SOSOK")</f>
        <v>DS. SOSOK</v>
      </c>
      <c r="O1609" s="16" t="str">
        <f>IFERROR(__xludf.DUMMYFUNCTION("""COMPUTED_VALUE"""),"KEC. TAYAN HULU")</f>
        <v>KEC. TAYAN HULU</v>
      </c>
      <c r="P1609" s="16" t="str">
        <f>IFERROR(__xludf.DUMMYFUNCTION("""COMPUTED_VALUE"""),"KAB. SANGGAU")</f>
        <v>KAB. SANGGAU</v>
      </c>
      <c r="Q1609" s="16" t="str">
        <f>IFERROR(__xludf.DUMMYFUNCTION("""COMPUTED_VALUE"""),"KALIMANTAN BARAT")</f>
        <v>KALIMANTAN BARAT</v>
      </c>
      <c r="R1609" s="19" t="str">
        <f>IFERROR(__xludf.DUMMYFUNCTION("""COMPUTED_VALUE"""),"PROTESTAN")</f>
        <v>PROTESTAN</v>
      </c>
      <c r="S1609" s="16" t="str">
        <f>IFERROR(__xludf.DUMMYFUNCTION("""COMPUTED_VALUE"""),"DOSEN/GURU")</f>
        <v>DOSEN/GURU</v>
      </c>
      <c r="T1609" s="16" t="str">
        <f>IFERROR(__xludf.DUMMYFUNCTION("""COMPUTED_VALUE"""),"KAKI DILURUSIN LAMA AGAK NYERI, DAN ADA 1 KALI BUNYI PADA SAAT DILURUSIN")</f>
        <v>KAKI DILURUSIN LAMA AGAK NYERI, DAN ADA 1 KALI BUNYI PADA SAAT DILURUSIN</v>
      </c>
      <c r="U1609" s="16" t="str">
        <f>IFERROR(__xludf.DUMMYFUNCTION("""COMPUTED_VALUE"""),"FUTSAL, SEPAK BOLA, GYM DAN SEBAGAI GURU PJOK")</f>
        <v>FUTSAL, SEPAK BOLA, GYM DAN SEBAGAI GURU PJOK</v>
      </c>
      <c r="V1609" s="11" t="str">
        <f>IFERROR(__xludf.DUMMYFUNCTION("""COMPUTED_VALUE"""),"085249987369")</f>
        <v>085249987369</v>
      </c>
      <c r="W1609" s="15"/>
    </row>
    <row r="1610" ht="22.5" customHeight="1">
      <c r="A1610" s="8"/>
      <c r="B1610" s="9">
        <f>IFERROR(__xludf.DUMMYFUNCTION("""COMPUTED_VALUE"""),45510.76174094908)</f>
        <v>45510.76174</v>
      </c>
      <c r="C1610" s="9"/>
      <c r="D1610" s="34">
        <f>IFERROR(__xludf.DUMMYFUNCTION("""COMPUTED_VALUE"""),45518.0)</f>
        <v>45518</v>
      </c>
      <c r="E1610" s="34" t="str">
        <f>IFERROR(__xludf.DUMMYFUNCTION("""COMPUTED_VALUE"""),"08Agu")</f>
        <v>08Agu</v>
      </c>
      <c r="F1610" s="34" t="str">
        <f>IFERROR(__xludf.DUMMYFUNCTION("""COMPUTED_VALUE"""),"2024")</f>
        <v>2024</v>
      </c>
      <c r="G1610" s="35" t="str">
        <f>IFERROR(__xludf.DUMMYFUNCTION("""COMPUTED_VALUE"""),"DIAN PRIMAYUDI")</f>
        <v>DIAN PRIMAYUDI</v>
      </c>
      <c r="H1610" s="17" t="str">
        <f>IFERROR(__xludf.DUMMYFUNCTION("""COMPUTED_VALUE"""),"D8524082221")</f>
        <v>D8524082221</v>
      </c>
      <c r="I1610" s="17">
        <f>IFERROR(__xludf.DUMMYFUNCTION("""COMPUTED_VALUE"""),40.0)</f>
        <v>40</v>
      </c>
      <c r="J1610" s="17" t="str">
        <f>IFERROR(__xludf.DUMMYFUNCTION("""COMPUTED_VALUE"""),"35-44 tahun")</f>
        <v>35-44 tahun</v>
      </c>
      <c r="K1610" s="19">
        <f>IFERROR(__xludf.DUMMYFUNCTION("""COMPUTED_VALUE"""),31277.0)</f>
        <v>31277</v>
      </c>
      <c r="L1610" s="19" t="str">
        <f>IFERROR(__xludf.DUMMYFUNCTION("""COMPUTED_VALUE"""),"LAKI-LAKI")</f>
        <v>LAKI-LAKI</v>
      </c>
      <c r="M1610" s="35" t="str">
        <f>IFERROR(__xludf.DUMMYFUNCTION("""COMPUTED_VALUE"""),"JL. PARIT HAJI HUSIN 2 KOMPLEK PERMATA PARIS BLOK BB")</f>
        <v>JL. PARIT HAJI HUSIN 2 KOMPLEK PERMATA PARIS BLOK BB</v>
      </c>
      <c r="N1610" s="16" t="str">
        <f>IFERROR(__xludf.DUMMYFUNCTION("""COMPUTED_VALUE"""),"KEL. BANGKA BELITUNG DARAT")</f>
        <v>KEL. BANGKA BELITUNG DARAT</v>
      </c>
      <c r="O1610" s="16" t="str">
        <f>IFERROR(__xludf.DUMMYFUNCTION("""COMPUTED_VALUE"""),"KEC. PONTIANAK TENGGARA")</f>
        <v>KEC. PONTIANAK TENGGARA</v>
      </c>
      <c r="P1610" s="35" t="str">
        <f>IFERROR(__xludf.DUMMYFUNCTION("""COMPUTED_VALUE"""),"KOTA PONTIANAK")</f>
        <v>KOTA PONTIANAK</v>
      </c>
      <c r="Q1610" s="16" t="str">
        <f>IFERROR(__xludf.DUMMYFUNCTION("""COMPUTED_VALUE"""),"KALIMANTAN BARAT")</f>
        <v>KALIMANTAN BARAT</v>
      </c>
      <c r="R1610" s="19" t="str">
        <f>IFERROR(__xludf.DUMMYFUNCTION("""COMPUTED_VALUE"""),"ISLAM")</f>
        <v>ISLAM</v>
      </c>
      <c r="S1610" s="16" t="str">
        <f>IFERROR(__xludf.DUMMYFUNCTION("""COMPUTED_VALUE"""),"SWASTA")</f>
        <v>SWASTA</v>
      </c>
      <c r="T1610" s="16" t="str">
        <f>IFERROR(__xludf.DUMMYFUNCTION("""COMPUTED_VALUE"""),"Sakit paha bagian depan")</f>
        <v>Sakit paha bagian depan</v>
      </c>
      <c r="U1610" s="16" t="str">
        <f>IFERROR(__xludf.DUMMYFUNCTION("""COMPUTED_VALUE"""),"Futsal dan mini Soccer")</f>
        <v>Futsal dan mini Soccer</v>
      </c>
      <c r="V1610" s="11" t="str">
        <f>IFERROR(__xludf.DUMMYFUNCTION("""COMPUTED_VALUE"""),"081345282221")</f>
        <v>081345282221</v>
      </c>
      <c r="W1610" s="15"/>
    </row>
    <row r="1611" ht="22.5" customHeight="1">
      <c r="A1611" s="8"/>
      <c r="B1611" s="9">
        <f>IFERROR(__xludf.DUMMYFUNCTION("""COMPUTED_VALUE"""),45511.53627938658)</f>
        <v>45511.53628</v>
      </c>
      <c r="C1611" s="9"/>
      <c r="D1611" s="34">
        <f>IFERROR(__xludf.DUMMYFUNCTION("""COMPUTED_VALUE"""),45518.0)</f>
        <v>45518</v>
      </c>
      <c r="E1611" s="34" t="str">
        <f>IFERROR(__xludf.DUMMYFUNCTION("""COMPUTED_VALUE"""),"08Agu")</f>
        <v>08Agu</v>
      </c>
      <c r="F1611" s="34" t="str">
        <f>IFERROR(__xludf.DUMMYFUNCTION("""COMPUTED_VALUE"""),"2024")</f>
        <v>2024</v>
      </c>
      <c r="G1611" s="35" t="str">
        <f>IFERROR(__xludf.DUMMYFUNCTION("""COMPUTED_VALUE"""),"NURMARDIAH")</f>
        <v>NURMARDIAH</v>
      </c>
      <c r="H1611" s="17" t="str">
        <f>IFERROR(__xludf.DUMMYFUNCTION("""COMPUTED_VALUE"""),"N7024089668")</f>
        <v>N7024089668</v>
      </c>
      <c r="I1611" s="17">
        <f>IFERROR(__xludf.DUMMYFUNCTION("""COMPUTED_VALUE"""),55.0)</f>
        <v>55</v>
      </c>
      <c r="J1611" s="17" t="str">
        <f>IFERROR(__xludf.DUMMYFUNCTION("""COMPUTED_VALUE"""),"&gt; 44 tahun")</f>
        <v>&gt; 44 tahun</v>
      </c>
      <c r="K1611" s="19">
        <f>IFERROR(__xludf.DUMMYFUNCTION("""COMPUTED_VALUE"""),25853.0)</f>
        <v>25853</v>
      </c>
      <c r="L1611" s="19" t="str">
        <f>IFERROR(__xludf.DUMMYFUNCTION("""COMPUTED_VALUE"""),"PEREMPUAN")</f>
        <v>PEREMPUAN</v>
      </c>
      <c r="M1611" s="35" t="str">
        <f>IFERROR(__xludf.DUMMYFUNCTION("""COMPUTED_VALUE"""),"JLN SUNGAI RAYA DALAM GG DANGO 1 NO 23")</f>
        <v>JLN SUNGAI RAYA DALAM GG DANGO 1 NO 23</v>
      </c>
      <c r="N1611" s="16" t="str">
        <f>IFERROR(__xludf.DUMMYFUNCTION("""COMPUTED_VALUE"""),"KEL. SUNGAI RAYA DALAM")</f>
        <v>KEL. SUNGAI RAYA DALAM</v>
      </c>
      <c r="O1611" s="16" t="str">
        <f>IFERROR(__xludf.DUMMYFUNCTION("""COMPUTED_VALUE"""),"KEC. SUNGAI RAYA")</f>
        <v>KEC. SUNGAI RAYA</v>
      </c>
      <c r="P1611" s="16" t="str">
        <f>IFERROR(__xludf.DUMMYFUNCTION("""COMPUTED_VALUE"""),"KAB. KUBU RAYA")</f>
        <v>KAB. KUBU RAYA</v>
      </c>
      <c r="Q1611" s="16" t="str">
        <f>IFERROR(__xludf.DUMMYFUNCTION("""COMPUTED_VALUE"""),"KALIMANTAN BARAT")</f>
        <v>KALIMANTAN BARAT</v>
      </c>
      <c r="R1611" s="19" t="str">
        <f>IFERROR(__xludf.DUMMYFUNCTION("""COMPUTED_VALUE"""),"ISLAM")</f>
        <v>ISLAM</v>
      </c>
      <c r="S1611" s="35" t="str">
        <f>IFERROR(__xludf.DUMMYFUNCTION("""COMPUTED_VALUE"""),"DOSEN/GURU")</f>
        <v>DOSEN/GURU</v>
      </c>
      <c r="T1611" s="16" t="str">
        <f>IFERROR(__xludf.DUMMYFUNCTION("""COMPUTED_VALUE"""),"Sakit pinggung kiri kanan dan juga sakit pinggang diagnosa dr syaraf kejepit , radang sendi dan batu ginjal")</f>
        <v>Sakit pinggung kiri kanan dan juga sakit pinggang diagnosa dr syaraf kejepit , radang sendi dan batu ginjal</v>
      </c>
      <c r="U1611" s="16" t="str">
        <f>IFERROR(__xludf.DUMMYFUNCTION("""COMPUTED_VALUE"""),"Mengajar Dikelas")</f>
        <v>Mengajar Dikelas</v>
      </c>
      <c r="V1611" s="11" t="str">
        <f>IFERROR(__xludf.DUMMYFUNCTION("""COMPUTED_VALUE"""),"081282479668")</f>
        <v>081282479668</v>
      </c>
      <c r="W1611" s="15"/>
    </row>
    <row r="1612" ht="22.5" customHeight="1">
      <c r="A1612" s="8"/>
      <c r="B1612" s="9">
        <f>IFERROR(__xludf.DUMMYFUNCTION("""COMPUTED_VALUE"""),45511.55849951389)</f>
        <v>45511.5585</v>
      </c>
      <c r="C1612" s="9"/>
      <c r="D1612" s="34">
        <f>IFERROR(__xludf.DUMMYFUNCTION("""COMPUTED_VALUE"""),45519.0)</f>
        <v>45519</v>
      </c>
      <c r="E1612" s="34" t="str">
        <f>IFERROR(__xludf.DUMMYFUNCTION("""COMPUTED_VALUE"""),"08Agu")</f>
        <v>08Agu</v>
      </c>
      <c r="F1612" s="34" t="str">
        <f>IFERROR(__xludf.DUMMYFUNCTION("""COMPUTED_VALUE"""),"2024")</f>
        <v>2024</v>
      </c>
      <c r="G1612" s="35" t="str">
        <f>IFERROR(__xludf.DUMMYFUNCTION("""COMPUTED_VALUE"""),"CHAIRIL ANWAR")</f>
        <v>CHAIRIL ANWAR</v>
      </c>
      <c r="H1612" s="17" t="str">
        <f>IFERROR(__xludf.DUMMYFUNCTION("""COMPUTED_VALUE"""),"C5124083366")</f>
        <v>C5124083366</v>
      </c>
      <c r="I1612" s="17">
        <f>IFERROR(__xludf.DUMMYFUNCTION("""COMPUTED_VALUE"""),74.0)</f>
        <v>74</v>
      </c>
      <c r="J1612" s="17" t="str">
        <f>IFERROR(__xludf.DUMMYFUNCTION("""COMPUTED_VALUE"""),"&gt; 44 tahun")</f>
        <v>&gt; 44 tahun</v>
      </c>
      <c r="K1612" s="19">
        <f>IFERROR(__xludf.DUMMYFUNCTION("""COMPUTED_VALUE"""),18816.0)</f>
        <v>18816</v>
      </c>
      <c r="L1612" s="19" t="str">
        <f>IFERROR(__xludf.DUMMYFUNCTION("""COMPUTED_VALUE"""),"LAKI-LAKI")</f>
        <v>LAKI-LAKI</v>
      </c>
      <c r="M1612" s="35" t="str">
        <f>IFERROR(__xludf.DUMMYFUNCTION("""COMPUTED_VALUE"""),"PROF MYM YAMIN GG TELUK PAKEDAI GG KAPUAS MELAWI NO 8")</f>
        <v>PROF MYM YAMIN GG TELUK PAKEDAI GG KAPUAS MELAWI NO 8</v>
      </c>
      <c r="N1612" s="16" t="str">
        <f>IFERROR(__xludf.DUMMYFUNCTION("""COMPUTED_VALUE"""),"KEL. AKCAYA")</f>
        <v>KEL. AKCAYA</v>
      </c>
      <c r="O1612" s="16" t="str">
        <f>IFERROR(__xludf.DUMMYFUNCTION("""COMPUTED_VALUE"""),"KEC. PONTIANAK SELATAN")</f>
        <v>KEC. PONTIANAK SELATAN</v>
      </c>
      <c r="P1612" s="16" t="str">
        <f>IFERROR(__xludf.DUMMYFUNCTION("""COMPUTED_VALUE"""),"KOTA PONTIANAK")</f>
        <v>KOTA PONTIANAK</v>
      </c>
      <c r="Q1612" s="16" t="str">
        <f>IFERROR(__xludf.DUMMYFUNCTION("""COMPUTED_VALUE"""),"KALIMANTAN BARAT")</f>
        <v>KALIMANTAN BARAT</v>
      </c>
      <c r="R1612" s="19" t="str">
        <f>IFERROR(__xludf.DUMMYFUNCTION("""COMPUTED_VALUE"""),"ISLAM")</f>
        <v>ISLAM</v>
      </c>
      <c r="S1612" s="35" t="str">
        <f>IFERROR(__xludf.DUMMYFUNCTION("""COMPUTED_VALUE"""),"PENSIUN")</f>
        <v>PENSIUN</v>
      </c>
      <c r="T1612" s="16" t="str">
        <f>IFERROR(__xludf.DUMMYFUNCTION("""COMPUTED_VALUE"""),"Kaki kiri terasa pegal jika digerakkan")</f>
        <v>Kaki kiri terasa pegal jika digerakkan</v>
      </c>
      <c r="U1612" s="16" t="str">
        <f>IFERROR(__xludf.DUMMYFUNCTION("""COMPUTED_VALUE"""),"Jalan pagi")</f>
        <v>Jalan pagi</v>
      </c>
      <c r="V1612" s="11" t="str">
        <f>IFERROR(__xludf.DUMMYFUNCTION("""COMPUTED_VALUE"""),"0895351743366")</f>
        <v>0895351743366</v>
      </c>
      <c r="W1612" s="15"/>
    </row>
    <row r="1613" ht="22.5" customHeight="1">
      <c r="A1613" s="8"/>
      <c r="B1613" s="9">
        <f>IFERROR(__xludf.DUMMYFUNCTION("""COMPUTED_VALUE"""),45512.454107314814)</f>
        <v>45512.45411</v>
      </c>
      <c r="C1613" s="9"/>
      <c r="D1613" s="34">
        <f>IFERROR(__xludf.DUMMYFUNCTION("""COMPUTED_VALUE"""),45519.0)</f>
        <v>45519</v>
      </c>
      <c r="E1613" s="34" t="str">
        <f>IFERROR(__xludf.DUMMYFUNCTION("""COMPUTED_VALUE"""),"08Agu")</f>
        <v>08Agu</v>
      </c>
      <c r="F1613" s="34" t="str">
        <f>IFERROR(__xludf.DUMMYFUNCTION("""COMPUTED_VALUE"""),"2024")</f>
        <v>2024</v>
      </c>
      <c r="G1613" s="35" t="str">
        <f>IFERROR(__xludf.DUMMYFUNCTION("""COMPUTED_VALUE"""),"AREF RISMANTO")</f>
        <v>AREF RISMANTO</v>
      </c>
      <c r="H1613" s="17" t="str">
        <f>IFERROR(__xludf.DUMMYFUNCTION("""COMPUTED_VALUE"""),"A9824084841")</f>
        <v>A9824084841</v>
      </c>
      <c r="I1613" s="17">
        <f>IFERROR(__xludf.DUMMYFUNCTION("""COMPUTED_VALUE"""),28.0)</f>
        <v>28</v>
      </c>
      <c r="J1613" s="17" t="str">
        <f>IFERROR(__xludf.DUMMYFUNCTION("""COMPUTED_VALUE"""),"25-34 tahun")</f>
        <v>25-34 tahun</v>
      </c>
      <c r="K1613" s="19">
        <f>IFERROR(__xludf.DUMMYFUNCTION("""COMPUTED_VALUE"""),35935.0)</f>
        <v>35935</v>
      </c>
      <c r="L1613" s="19" t="str">
        <f>IFERROR(__xludf.DUMMYFUNCTION("""COMPUTED_VALUE"""),"LAKI-LAKI")</f>
        <v>LAKI-LAKI</v>
      </c>
      <c r="M1613" s="35" t="str">
        <f>IFERROR(__xludf.DUMMYFUNCTION("""COMPUTED_VALUE"""),"JL MARHABAN, NO 158. KAB. MELAWI")</f>
        <v>JL MARHABAN, NO 158. KAB. MELAWI</v>
      </c>
      <c r="N1613" s="16" t="str">
        <f>IFERROR(__xludf.DUMMYFUNCTION("""COMPUTED_VALUE"""),"DS. PAAL")</f>
        <v>DS. PAAL</v>
      </c>
      <c r="O1613" s="16" t="str">
        <f>IFERROR(__xludf.DUMMYFUNCTION("""COMPUTED_VALUE"""),"KEC. NANGA PINOH")</f>
        <v>KEC. NANGA PINOH</v>
      </c>
      <c r="P1613" s="16" t="str">
        <f>IFERROR(__xludf.DUMMYFUNCTION("""COMPUTED_VALUE"""),"KAB. MELAWI")</f>
        <v>KAB. MELAWI</v>
      </c>
      <c r="Q1613" s="16" t="str">
        <f>IFERROR(__xludf.DUMMYFUNCTION("""COMPUTED_VALUE"""),"KALIMANTAN BARAT")</f>
        <v>KALIMANTAN BARAT</v>
      </c>
      <c r="R1613" s="19" t="str">
        <f>IFERROR(__xludf.DUMMYFUNCTION("""COMPUTED_VALUE"""),"ISLAM")</f>
        <v>ISLAM</v>
      </c>
      <c r="S1613" s="35" t="str">
        <f>IFERROR(__xludf.DUMMYFUNCTION("""COMPUTED_VALUE"""),"SWASTA")</f>
        <v>SWASTA</v>
      </c>
      <c r="T1613" s="16" t="str">
        <f>IFERROR(__xludf.DUMMYFUNCTION("""COMPUTED_VALUE"""),"Syaraf kejepit")</f>
        <v>Syaraf kejepit</v>
      </c>
      <c r="U1613" s="16" t="str">
        <f>IFERROR(__xludf.DUMMYFUNCTION("""COMPUTED_VALUE"""),"-")</f>
        <v>-</v>
      </c>
      <c r="V1613" s="11" t="str">
        <f>IFERROR(__xludf.DUMMYFUNCTION("""COMPUTED_VALUE"""),"08978334841")</f>
        <v>08978334841</v>
      </c>
      <c r="W1613" s="15"/>
    </row>
    <row r="1614" ht="22.5" customHeight="1">
      <c r="A1614" s="8"/>
      <c r="B1614" s="9">
        <f>IFERROR(__xludf.DUMMYFUNCTION("""COMPUTED_VALUE"""),45512.65103359954)</f>
        <v>45512.65103</v>
      </c>
      <c r="C1614" s="9"/>
      <c r="D1614" s="34">
        <f>IFERROR(__xludf.DUMMYFUNCTION("""COMPUTED_VALUE"""),45519.0)</f>
        <v>45519</v>
      </c>
      <c r="E1614" s="34" t="str">
        <f>IFERROR(__xludf.DUMMYFUNCTION("""COMPUTED_VALUE"""),"08Agu")</f>
        <v>08Agu</v>
      </c>
      <c r="F1614" s="34" t="str">
        <f>IFERROR(__xludf.DUMMYFUNCTION("""COMPUTED_VALUE"""),"2024")</f>
        <v>2024</v>
      </c>
      <c r="G1614" s="35" t="str">
        <f>IFERROR(__xludf.DUMMYFUNCTION("""COMPUTED_VALUE"""),"MUHAMMAD OMAR ATTA")</f>
        <v>MUHAMMAD OMAR ATTA</v>
      </c>
      <c r="H1614" s="17" t="str">
        <f>IFERROR(__xludf.DUMMYFUNCTION("""COMPUTED_VALUE"""),"M1324088118")</f>
        <v>M1324088118</v>
      </c>
      <c r="I1614" s="17">
        <f>IFERROR(__xludf.DUMMYFUNCTION("""COMPUTED_VALUE"""),12.0)</f>
        <v>12</v>
      </c>
      <c r="J1614" s="17" t="str">
        <f>IFERROR(__xludf.DUMMYFUNCTION("""COMPUTED_VALUE"""),"&lt; 18 tahun")</f>
        <v>&lt; 18 tahun</v>
      </c>
      <c r="K1614" s="19">
        <f>IFERROR(__xludf.DUMMYFUNCTION("""COMPUTED_VALUE"""),41438.0)</f>
        <v>41438</v>
      </c>
      <c r="L1614" s="19" t="str">
        <f>IFERROR(__xludf.DUMMYFUNCTION("""COMPUTED_VALUE"""),"LAKI-LAKI")</f>
        <v>LAKI-LAKI</v>
      </c>
      <c r="M1614" s="35" t="str">
        <f>IFERROR(__xludf.DUMMYFUNCTION("""COMPUTED_VALUE"""),"JL. SISINGAMANGARAJA DUSUN IV")</f>
        <v>JL. SISINGAMANGARAJA DUSUN IV</v>
      </c>
      <c r="N1614" s="16" t="str">
        <f>IFERROR(__xludf.DUMMYFUNCTION("""COMPUTED_VALUE"""),"KEL. DARAT SEKIP")</f>
        <v>KEL. DARAT SEKIP</v>
      </c>
      <c r="O1614" s="16" t="str">
        <f>IFERROR(__xludf.DUMMYFUNCTION("""COMPUTED_VALUE"""),"KEC. PONTIANAK BARAT")</f>
        <v>KEC. PONTIANAK BARAT</v>
      </c>
      <c r="P1614" s="16" t="str">
        <f>IFERROR(__xludf.DUMMYFUNCTION("""COMPUTED_VALUE"""),"KAB. ACEH BARAT")</f>
        <v>KAB. ACEH BARAT</v>
      </c>
      <c r="Q1614" s="16" t="str">
        <f>IFERROR(__xludf.DUMMYFUNCTION("""COMPUTED_VALUE"""),"ACEH")</f>
        <v>ACEH</v>
      </c>
      <c r="R1614" s="19" t="str">
        <f>IFERROR(__xludf.DUMMYFUNCTION("""COMPUTED_VALUE"""),"ISLAM")</f>
        <v>ISLAM</v>
      </c>
      <c r="S1614" s="16" t="str">
        <f>IFERROR(__xludf.DUMMYFUNCTION("""COMPUTED_VALUE"""),"PELAJAR/MAHASISWA")</f>
        <v>PELAJAR/MAHASISWA</v>
      </c>
      <c r="T1614" s="16" t="str">
        <f>IFERROR(__xludf.DUMMYFUNCTION("""COMPUTED_VALUE"""),"Cedera kaki")</f>
        <v>Cedera kaki</v>
      </c>
      <c r="U1614" s="16" t="str">
        <f>IFERROR(__xludf.DUMMYFUNCTION("""COMPUTED_VALUE"""),"Bermain bola")</f>
        <v>Bermain bola</v>
      </c>
      <c r="V1614" s="11" t="str">
        <f>IFERROR(__xludf.DUMMYFUNCTION("""COMPUTED_VALUE"""),"081331988118")</f>
        <v>081331988118</v>
      </c>
      <c r="W1614" s="15"/>
    </row>
    <row r="1615" ht="22.5" customHeight="1">
      <c r="A1615" s="8"/>
      <c r="B1615" s="9">
        <f>IFERROR(__xludf.DUMMYFUNCTION("""COMPUTED_VALUE"""),45512.69642607639)</f>
        <v>45512.69643</v>
      </c>
      <c r="C1615" s="9"/>
      <c r="D1615" s="34">
        <f>IFERROR(__xludf.DUMMYFUNCTION("""COMPUTED_VALUE"""),45519.0)</f>
        <v>45519</v>
      </c>
      <c r="E1615" s="34" t="str">
        <f>IFERROR(__xludf.DUMMYFUNCTION("""COMPUTED_VALUE"""),"08Agu")</f>
        <v>08Agu</v>
      </c>
      <c r="F1615" s="34" t="str">
        <f>IFERROR(__xludf.DUMMYFUNCTION("""COMPUTED_VALUE"""),"2024")</f>
        <v>2024</v>
      </c>
      <c r="G1615" s="35" t="str">
        <f>IFERROR(__xludf.DUMMYFUNCTION("""COMPUTED_VALUE"""),"AHMAD DHIYAUL HAQ")</f>
        <v>AHMAD DHIYAUL HAQ</v>
      </c>
      <c r="H1615" s="17" t="str">
        <f>IFERROR(__xludf.DUMMYFUNCTION("""COMPUTED_VALUE"""),"A9724082123")</f>
        <v>A9724082123</v>
      </c>
      <c r="I1615" s="17">
        <f>IFERROR(__xludf.DUMMYFUNCTION("""COMPUTED_VALUE"""),28.0)</f>
        <v>28</v>
      </c>
      <c r="J1615" s="17" t="str">
        <f>IFERROR(__xludf.DUMMYFUNCTION("""COMPUTED_VALUE"""),"25-34 tahun")</f>
        <v>25-34 tahun</v>
      </c>
      <c r="K1615" s="19">
        <f>IFERROR(__xludf.DUMMYFUNCTION("""COMPUTED_VALUE"""),35726.0)</f>
        <v>35726</v>
      </c>
      <c r="L1615" s="19" t="str">
        <f>IFERROR(__xludf.DUMMYFUNCTION("""COMPUTED_VALUE"""),"LAKI-LAKI")</f>
        <v>LAKI-LAKI</v>
      </c>
      <c r="M1615" s="35" t="str">
        <f>IFERROR(__xludf.DUMMYFUNCTION("""COMPUTED_VALUE"""),"JALAN PUCANG INDAH 5 NO 11,")</f>
        <v>JALAN PUCANG INDAH 5 NO 11,</v>
      </c>
      <c r="N1615" s="16" t="str">
        <f>IFERROR(__xludf.DUMMYFUNCTION("""COMPUTED_VALUE"""),"KEL. BATURSARI")</f>
        <v>KEL. BATURSARI</v>
      </c>
      <c r="O1615" s="16" t="str">
        <f>IFERROR(__xludf.DUMMYFUNCTION("""COMPUTED_VALUE"""),"KEC. MRANGGEN")</f>
        <v>KEC. MRANGGEN</v>
      </c>
      <c r="P1615" s="16" t="str">
        <f>IFERROR(__xludf.DUMMYFUNCTION("""COMPUTED_VALUE"""),"KAB. DEMAK")</f>
        <v>KAB. DEMAK</v>
      </c>
      <c r="Q1615" s="16" t="str">
        <f>IFERROR(__xludf.DUMMYFUNCTION("""COMPUTED_VALUE"""),"JAWA TENGAH")</f>
        <v>JAWA TENGAH</v>
      </c>
      <c r="R1615" s="19" t="str">
        <f>IFERROR(__xludf.DUMMYFUNCTION("""COMPUTED_VALUE"""),"ISLAM")</f>
        <v>ISLAM</v>
      </c>
      <c r="S1615" s="16" t="str">
        <f>IFERROR(__xludf.DUMMYFUNCTION("""COMPUTED_VALUE"""),"ASN")</f>
        <v>ASN</v>
      </c>
      <c r="T1615" s="16" t="str">
        <f>IFERROR(__xludf.DUMMYFUNCTION("""COMPUTED_VALUE"""),"Sakit kaki")</f>
        <v>Sakit kaki</v>
      </c>
      <c r="U1615" s="16" t="str">
        <f>IFERROR(__xludf.DUMMYFUNCTION("""COMPUTED_VALUE"""),"Lari")</f>
        <v>Lari</v>
      </c>
      <c r="V1615" s="11" t="str">
        <f>IFERROR(__xludf.DUMMYFUNCTION("""COMPUTED_VALUE"""),"081390182123")</f>
        <v>081390182123</v>
      </c>
      <c r="W1615" s="15"/>
    </row>
    <row r="1616" ht="22.5" customHeight="1">
      <c r="A1616" s="8"/>
      <c r="B1616" s="9">
        <f>IFERROR(__xludf.DUMMYFUNCTION("""COMPUTED_VALUE"""),45513.87212021991)</f>
        <v>45513.87212</v>
      </c>
      <c r="C1616" s="9"/>
      <c r="D1616" s="34">
        <f>IFERROR(__xludf.DUMMYFUNCTION("""COMPUTED_VALUE"""),45520.0)</f>
        <v>45520</v>
      </c>
      <c r="E1616" s="34" t="str">
        <f>IFERROR(__xludf.DUMMYFUNCTION("""COMPUTED_VALUE"""),"08Agu")</f>
        <v>08Agu</v>
      </c>
      <c r="F1616" s="34" t="str">
        <f>IFERROR(__xludf.DUMMYFUNCTION("""COMPUTED_VALUE"""),"2024")</f>
        <v>2024</v>
      </c>
      <c r="G1616" s="35" t="str">
        <f>IFERROR(__xludf.DUMMYFUNCTION("""COMPUTED_VALUE"""),"ADI BAIHAQI")</f>
        <v>ADI BAIHAQI</v>
      </c>
      <c r="H1616" s="17" t="str">
        <f>IFERROR(__xludf.DUMMYFUNCTION("""COMPUTED_VALUE"""),"A7824082013")</f>
        <v>A7824082013</v>
      </c>
      <c r="I1616" s="17">
        <f>IFERROR(__xludf.DUMMYFUNCTION("""COMPUTED_VALUE"""),47.0)</f>
        <v>47</v>
      </c>
      <c r="J1616" s="17" t="str">
        <f>IFERROR(__xludf.DUMMYFUNCTION("""COMPUTED_VALUE"""),"&gt; 44 tahun")</f>
        <v>&gt; 44 tahun</v>
      </c>
      <c r="K1616" s="19">
        <f>IFERROR(__xludf.DUMMYFUNCTION("""COMPUTED_VALUE"""),28681.0)</f>
        <v>28681</v>
      </c>
      <c r="L1616" s="19" t="str">
        <f>IFERROR(__xludf.DUMMYFUNCTION("""COMPUTED_VALUE"""),"LAKI-LAKI")</f>
        <v>LAKI-LAKI</v>
      </c>
      <c r="M1616" s="35" t="str">
        <f>IFERROR(__xludf.DUMMYFUNCTION("""COMPUTED_VALUE"""),"JL. TANJUNG PURA NO.23")</f>
        <v>JL. TANJUNG PURA NO.23</v>
      </c>
      <c r="N1616" s="16" t="str">
        <f>IFERROR(__xludf.DUMMYFUNCTION("""COMPUTED_VALUE"""),"KEL. KEDAMIN HILIR")</f>
        <v>KEL. KEDAMIN HILIR</v>
      </c>
      <c r="O1616" s="16" t="str">
        <f>IFERROR(__xludf.DUMMYFUNCTION("""COMPUTED_VALUE"""),"KEC. PUTUSSIBAU SELATAN")</f>
        <v>KEC. PUTUSSIBAU SELATAN</v>
      </c>
      <c r="P1616" s="16" t="str">
        <f>IFERROR(__xludf.DUMMYFUNCTION("""COMPUTED_VALUE"""),"KAB. PUTUSIBAU")</f>
        <v>KAB. PUTUSIBAU</v>
      </c>
      <c r="Q1616" s="16" t="str">
        <f>IFERROR(__xludf.DUMMYFUNCTION("""COMPUTED_VALUE"""),"KALIMANTAN BARAT")</f>
        <v>KALIMANTAN BARAT</v>
      </c>
      <c r="R1616" s="19" t="str">
        <f>IFERROR(__xludf.DUMMYFUNCTION("""COMPUTED_VALUE"""),"ISLAM")</f>
        <v>ISLAM</v>
      </c>
      <c r="S1616" s="16" t="str">
        <f>IFERROR(__xludf.DUMMYFUNCTION("""COMPUTED_VALUE"""),"ASN")</f>
        <v>ASN</v>
      </c>
      <c r="T1616" s="16" t="str">
        <f>IFERROR(__xludf.DUMMYFUNCTION("""COMPUTED_VALUE"""),"SAKIT DI KANAN SAAT RUNNING DI 3Km UP")</f>
        <v>SAKIT DI KANAN SAAT RUNNING DI 3Km UP</v>
      </c>
      <c r="U1616" s="16" t="str">
        <f>IFERROR(__xludf.DUMMYFUNCTION("""COMPUTED_VALUE"""),"OLAHRAGA")</f>
        <v>OLAHRAGA</v>
      </c>
      <c r="V1616" s="11" t="str">
        <f>IFERROR(__xludf.DUMMYFUNCTION("""COMPUTED_VALUE"""),"081350032013")</f>
        <v>081350032013</v>
      </c>
      <c r="W1616" s="15"/>
    </row>
    <row r="1617" ht="22.5" customHeight="1">
      <c r="A1617" s="8"/>
      <c r="B1617" s="9">
        <f>IFERROR(__xludf.DUMMYFUNCTION("""COMPUTED_VALUE"""),45514.73244978009)</f>
        <v>45514.73245</v>
      </c>
      <c r="C1617" s="9"/>
      <c r="D1617" s="34">
        <f>IFERROR(__xludf.DUMMYFUNCTION("""COMPUTED_VALUE"""),45522.0)</f>
        <v>45522</v>
      </c>
      <c r="E1617" s="34" t="str">
        <f>IFERROR(__xludf.DUMMYFUNCTION("""COMPUTED_VALUE"""),"08Agu")</f>
        <v>08Agu</v>
      </c>
      <c r="F1617" s="34" t="str">
        <f>IFERROR(__xludf.DUMMYFUNCTION("""COMPUTED_VALUE"""),"2024")</f>
        <v>2024</v>
      </c>
      <c r="G1617" s="35" t="str">
        <f>IFERROR(__xludf.DUMMYFUNCTION("""COMPUTED_VALUE"""),"AKHMAD RIFKY SETYA ANUGRAH")</f>
        <v>AKHMAD RIFKY SETYA ANUGRAH</v>
      </c>
      <c r="H1617" s="17" t="str">
        <f>IFERROR(__xludf.DUMMYFUNCTION("""COMPUTED_VALUE"""),"A9224087137")</f>
        <v>A9224087137</v>
      </c>
      <c r="I1617" s="17">
        <f>IFERROR(__xludf.DUMMYFUNCTION("""COMPUTED_VALUE"""),33.0)</f>
        <v>33</v>
      </c>
      <c r="J1617" s="17" t="str">
        <f>IFERROR(__xludf.DUMMYFUNCTION("""COMPUTED_VALUE"""),"25-34 tahun")</f>
        <v>25-34 tahun</v>
      </c>
      <c r="K1617" s="19">
        <f>IFERROR(__xludf.DUMMYFUNCTION("""COMPUTED_VALUE"""),33921.0)</f>
        <v>33921</v>
      </c>
      <c r="L1617" s="19" t="str">
        <f>IFERROR(__xludf.DUMMYFUNCTION("""COMPUTED_VALUE"""),"LAKI-LAKI")</f>
        <v>LAKI-LAKI</v>
      </c>
      <c r="M1617" s="35" t="str">
        <f>IFERROR(__xludf.DUMMYFUNCTION("""COMPUTED_VALUE"""),"JALAN HM SUWIGNYO GG AL-KARIM NO 1A")</f>
        <v>JALAN HM SUWIGNYO GG AL-KARIM NO 1A</v>
      </c>
      <c r="N1617" s="16" t="str">
        <f>IFERROR(__xludf.DUMMYFUNCTION("""COMPUTED_VALUE"""),"KEL. SUNGAI JAWI")</f>
        <v>KEL. SUNGAI JAWI</v>
      </c>
      <c r="O1617" s="16" t="str">
        <f>IFERROR(__xludf.DUMMYFUNCTION("""COMPUTED_VALUE"""),"KEC. PONTIANAK KOTA")</f>
        <v>KEC. PONTIANAK KOTA</v>
      </c>
      <c r="P1617" s="16" t="str">
        <f>IFERROR(__xludf.DUMMYFUNCTION("""COMPUTED_VALUE"""),"KOTA PONTIANAK")</f>
        <v>KOTA PONTIANAK</v>
      </c>
      <c r="Q1617" s="16" t="str">
        <f>IFERROR(__xludf.DUMMYFUNCTION("""COMPUTED_VALUE"""),"KALIMANTAN BARAT")</f>
        <v>KALIMANTAN BARAT</v>
      </c>
      <c r="R1617" s="19" t="str">
        <f>IFERROR(__xludf.DUMMYFUNCTION("""COMPUTED_VALUE"""),"ISLAM")</f>
        <v>ISLAM</v>
      </c>
      <c r="S1617" s="35" t="str">
        <f>IFERROR(__xludf.DUMMYFUNCTION("""COMPUTED_VALUE"""),"DOSEN/GURU")</f>
        <v>DOSEN/GURU</v>
      </c>
      <c r="T1617" s="16" t="str">
        <f>IFERROR(__xludf.DUMMYFUNCTION("""COMPUTED_VALUE"""),"Pinggul nyeri hingga kaki kiri kesemutan")</f>
        <v>Pinggul nyeri hingga kaki kiri kesemutan</v>
      </c>
      <c r="U1617" s="16" t="str">
        <f>IFERROR(__xludf.DUMMYFUNCTION("""COMPUTED_VALUE"""),"Running")</f>
        <v>Running</v>
      </c>
      <c r="V1617" s="11" t="str">
        <f>IFERROR(__xludf.DUMMYFUNCTION("""COMPUTED_VALUE"""),"081248787137")</f>
        <v>081248787137</v>
      </c>
      <c r="W1617" s="15"/>
    </row>
    <row r="1618" ht="22.5" customHeight="1">
      <c r="A1618" s="8"/>
      <c r="B1618" s="9">
        <f>IFERROR(__xludf.DUMMYFUNCTION("""COMPUTED_VALUE"""),45514.74946854167)</f>
        <v>45514.74947</v>
      </c>
      <c r="C1618" s="9"/>
      <c r="D1618" s="34">
        <f>IFERROR(__xludf.DUMMYFUNCTION("""COMPUTED_VALUE"""),45522.0)</f>
        <v>45522</v>
      </c>
      <c r="E1618" s="34" t="str">
        <f>IFERROR(__xludf.DUMMYFUNCTION("""COMPUTED_VALUE"""),"08Agu")</f>
        <v>08Agu</v>
      </c>
      <c r="F1618" s="34" t="str">
        <f>IFERROR(__xludf.DUMMYFUNCTION("""COMPUTED_VALUE"""),"2024")</f>
        <v>2024</v>
      </c>
      <c r="G1618" s="35" t="str">
        <f>IFERROR(__xludf.DUMMYFUNCTION("""COMPUTED_VALUE"""),"MUSLIMIN")</f>
        <v>MUSLIMIN</v>
      </c>
      <c r="H1618" s="17" t="str">
        <f>IFERROR(__xludf.DUMMYFUNCTION("""COMPUTED_VALUE"""),"M8724085261")</f>
        <v>M8724085261</v>
      </c>
      <c r="I1618" s="17">
        <f>IFERROR(__xludf.DUMMYFUNCTION("""COMPUTED_VALUE"""),38.0)</f>
        <v>38</v>
      </c>
      <c r="J1618" s="17" t="str">
        <f>IFERROR(__xludf.DUMMYFUNCTION("""COMPUTED_VALUE"""),"35-44 tahun")</f>
        <v>35-44 tahun</v>
      </c>
      <c r="K1618" s="19">
        <f>IFERROR(__xludf.DUMMYFUNCTION("""COMPUTED_VALUE"""),32060.0)</f>
        <v>32060</v>
      </c>
      <c r="L1618" s="19" t="str">
        <f>IFERROR(__xludf.DUMMYFUNCTION("""COMPUTED_VALUE"""),"LAKI-LAKI")</f>
        <v>LAKI-LAKI</v>
      </c>
      <c r="M1618" s="35" t="str">
        <f>IFERROR(__xludf.DUMMYFUNCTION("""COMPUTED_VALUE"""),"JL. PANDUGO 7/24 A")</f>
        <v>JL. PANDUGO 7/24 A</v>
      </c>
      <c r="N1618" s="16" t="str">
        <f>IFERROR(__xludf.DUMMYFUNCTION("""COMPUTED_VALUE"""),"KEL. PENJARINGAN SARI")</f>
        <v>KEL. PENJARINGAN SARI</v>
      </c>
      <c r="O1618" s="16" t="str">
        <f>IFERROR(__xludf.DUMMYFUNCTION("""COMPUTED_VALUE"""),"KEC. RUNGKUT")</f>
        <v>KEC. RUNGKUT</v>
      </c>
      <c r="P1618" s="16" t="str">
        <f>IFERROR(__xludf.DUMMYFUNCTION("""COMPUTED_VALUE"""),"KOTA SURABAYA")</f>
        <v>KOTA SURABAYA</v>
      </c>
      <c r="Q1618" s="16" t="str">
        <f>IFERROR(__xludf.DUMMYFUNCTION("""COMPUTED_VALUE"""),"JAWA TIMUR")</f>
        <v>JAWA TIMUR</v>
      </c>
      <c r="R1618" s="19" t="str">
        <f>IFERROR(__xludf.DUMMYFUNCTION("""COMPUTED_VALUE"""),"ISLAM")</f>
        <v>ISLAM</v>
      </c>
      <c r="S1618" s="35" t="str">
        <f>IFERROR(__xludf.DUMMYFUNCTION("""COMPUTED_VALUE"""),"SWASTA")</f>
        <v>SWASTA</v>
      </c>
      <c r="T1618" s="16" t="str">
        <f>IFERROR(__xludf.DUMMYFUNCTION("""COMPUTED_VALUE"""),"Kaki sakit krn terkilir saat futsal")</f>
        <v>Kaki sakit krn terkilir saat futsal</v>
      </c>
      <c r="U1618" s="16" t="str">
        <f>IFERROR(__xludf.DUMMYFUNCTION("""COMPUTED_VALUE"""),"Tidur")</f>
        <v>Tidur</v>
      </c>
      <c r="V1618" s="11" t="str">
        <f>IFERROR(__xludf.DUMMYFUNCTION("""COMPUTED_VALUE"""),"081332055261")</f>
        <v>081332055261</v>
      </c>
      <c r="W1618" s="15"/>
    </row>
    <row r="1619" ht="22.5" customHeight="1">
      <c r="A1619" s="8"/>
      <c r="B1619" s="9">
        <f>IFERROR(__xludf.DUMMYFUNCTION("""COMPUTED_VALUE"""),45514.7238380787)</f>
        <v>45514.72384</v>
      </c>
      <c r="C1619" s="9"/>
      <c r="D1619" s="34">
        <f>IFERROR(__xludf.DUMMYFUNCTION("""COMPUTED_VALUE"""),45522.0)</f>
        <v>45522</v>
      </c>
      <c r="E1619" s="34" t="str">
        <f>IFERROR(__xludf.DUMMYFUNCTION("""COMPUTED_VALUE"""),"08Agu")</f>
        <v>08Agu</v>
      </c>
      <c r="F1619" s="34" t="str">
        <f>IFERROR(__xludf.DUMMYFUNCTION("""COMPUTED_VALUE"""),"2024")</f>
        <v>2024</v>
      </c>
      <c r="G1619" s="35" t="str">
        <f>IFERROR(__xludf.DUMMYFUNCTION("""COMPUTED_VALUE"""),"RIDLEY BORIS")</f>
        <v>RIDLEY BORIS</v>
      </c>
      <c r="H1619" s="17" t="str">
        <f>IFERROR(__xludf.DUMMYFUNCTION("""COMPUTED_VALUE"""),"R8924087777")</f>
        <v>R8924087777</v>
      </c>
      <c r="I1619" s="17">
        <f>IFERROR(__xludf.DUMMYFUNCTION("""COMPUTED_VALUE"""),36.0)</f>
        <v>36</v>
      </c>
      <c r="J1619" s="17" t="str">
        <f>IFERROR(__xludf.DUMMYFUNCTION("""COMPUTED_VALUE"""),"35-44 tahun")</f>
        <v>35-44 tahun</v>
      </c>
      <c r="K1619" s="19">
        <f>IFERROR(__xludf.DUMMYFUNCTION("""COMPUTED_VALUE"""),32866.0)</f>
        <v>32866</v>
      </c>
      <c r="L1619" s="19" t="str">
        <f>IFERROR(__xludf.DUMMYFUNCTION("""COMPUTED_VALUE"""),"LAKI-LAKI")</f>
        <v>LAKI-LAKI</v>
      </c>
      <c r="M1619" s="35" t="str">
        <f>IFERROR(__xludf.DUMMYFUNCTION("""COMPUTED_VALUE"""),"JL. S..PARMAN GG. HJ SALBIAH")</f>
        <v>JL. S..PARMAN GG. HJ SALBIAH</v>
      </c>
      <c r="N1619" s="16" t="str">
        <f>IFERROR(__xludf.DUMMYFUNCTION("""COMPUTED_VALUE"""),"DS. MULIA BARU")</f>
        <v>DS. MULIA BARU</v>
      </c>
      <c r="O1619" s="16" t="str">
        <f>IFERROR(__xludf.DUMMYFUNCTION("""COMPUTED_VALUE"""),"KEC. DELTA PAWAN")</f>
        <v>KEC. DELTA PAWAN</v>
      </c>
      <c r="P1619" s="16" t="str">
        <f>IFERROR(__xludf.DUMMYFUNCTION("""COMPUTED_VALUE"""),"KAB. KETAPANG")</f>
        <v>KAB. KETAPANG</v>
      </c>
      <c r="Q1619" s="16" t="str">
        <f>IFERROR(__xludf.DUMMYFUNCTION("""COMPUTED_VALUE"""),"KALIMANTAN BARAT")</f>
        <v>KALIMANTAN BARAT</v>
      </c>
      <c r="R1619" s="19" t="str">
        <f>IFERROR(__xludf.DUMMYFUNCTION("""COMPUTED_VALUE"""),"PROTESTAN")</f>
        <v>PROTESTAN</v>
      </c>
      <c r="S1619" s="35" t="str">
        <f>IFERROR(__xludf.DUMMYFUNCTION("""COMPUTED_VALUE"""),"TNI/POLRI")</f>
        <v>TNI/POLRI</v>
      </c>
      <c r="T1619" s="16" t="str">
        <f>IFERROR(__xludf.DUMMYFUNCTION("""COMPUTED_VALUE"""),"Lutuh Sakit Susah Jongkok")</f>
        <v>Lutuh Sakit Susah Jongkok</v>
      </c>
      <c r="U1619" s="16" t="str">
        <f>IFERROR(__xludf.DUMMYFUNCTION("""COMPUTED_VALUE"""),"Futsal")</f>
        <v>Futsal</v>
      </c>
      <c r="V1619" s="11" t="str">
        <f>IFERROR(__xludf.DUMMYFUNCTION("""COMPUTED_VALUE"""),"08539137777")</f>
        <v>08539137777</v>
      </c>
      <c r="W1619" s="15"/>
    </row>
    <row r="1620" ht="22.5" customHeight="1">
      <c r="A1620" s="8"/>
      <c r="B1620" s="9">
        <f>IFERROR(__xludf.DUMMYFUNCTION("""COMPUTED_VALUE"""),45514.82626861111)</f>
        <v>45514.82627</v>
      </c>
      <c r="C1620" s="9"/>
      <c r="D1620" s="34">
        <f>IFERROR(__xludf.DUMMYFUNCTION("""COMPUTED_VALUE"""),45522.0)</f>
        <v>45522</v>
      </c>
      <c r="E1620" s="34" t="str">
        <f>IFERROR(__xludf.DUMMYFUNCTION("""COMPUTED_VALUE"""),"08Agu")</f>
        <v>08Agu</v>
      </c>
      <c r="F1620" s="34" t="str">
        <f>IFERROR(__xludf.DUMMYFUNCTION("""COMPUTED_VALUE"""),"2024")</f>
        <v>2024</v>
      </c>
      <c r="G1620" s="35" t="str">
        <f>IFERROR(__xludf.DUMMYFUNCTION("""COMPUTED_VALUE"""),"SRI SUSANTI AMD KEB")</f>
        <v>SRI SUSANTI AMD KEB</v>
      </c>
      <c r="H1620" s="17" t="str">
        <f>IFERROR(__xludf.DUMMYFUNCTION("""COMPUTED_VALUE"""),"S7724088455")</f>
        <v>S7724088455</v>
      </c>
      <c r="I1620" s="17">
        <f>IFERROR(__xludf.DUMMYFUNCTION("""COMPUTED_VALUE"""),48.0)</f>
        <v>48</v>
      </c>
      <c r="J1620" s="17" t="str">
        <f>IFERROR(__xludf.DUMMYFUNCTION("""COMPUTED_VALUE"""),"&gt; 44 tahun")</f>
        <v>&gt; 44 tahun</v>
      </c>
      <c r="K1620" s="19">
        <f>IFERROR(__xludf.DUMMYFUNCTION("""COMPUTED_VALUE"""),28361.0)</f>
        <v>28361</v>
      </c>
      <c r="L1620" s="19" t="str">
        <f>IFERROR(__xludf.DUMMYFUNCTION("""COMPUTED_VALUE"""),"PEREMPUAN")</f>
        <v>PEREMPUAN</v>
      </c>
      <c r="M1620" s="35" t="str">
        <f>IFERROR(__xludf.DUMMYFUNCTION("""COMPUTED_VALUE"""),"PAK KADU RT/RW 011/001")</f>
        <v>PAK KADU RT/RW 011/001</v>
      </c>
      <c r="N1620" s="16" t="str">
        <f>IFERROR(__xludf.DUMMYFUNCTION("""COMPUTED_VALUE"""),"DS. TERAP")</f>
        <v>DS. TERAP</v>
      </c>
      <c r="O1620" s="16" t="str">
        <f>IFERROR(__xludf.DUMMYFUNCTION("""COMPUTED_VALUE"""),"KEC. TOHO")</f>
        <v>KEC. TOHO</v>
      </c>
      <c r="P1620" s="16" t="str">
        <f>IFERROR(__xludf.DUMMYFUNCTION("""COMPUTED_VALUE"""),"KAB. MEMPAWAH")</f>
        <v>KAB. MEMPAWAH</v>
      </c>
      <c r="Q1620" s="16" t="str">
        <f>IFERROR(__xludf.DUMMYFUNCTION("""COMPUTED_VALUE"""),"KALIMANTAN BARAT")</f>
        <v>KALIMANTAN BARAT</v>
      </c>
      <c r="R1620" s="19" t="str">
        <f>IFERROR(__xludf.DUMMYFUNCTION("""COMPUTED_VALUE"""),"ISLAM")</f>
        <v>ISLAM</v>
      </c>
      <c r="S1620" s="16" t="str">
        <f>IFERROR(__xludf.DUMMYFUNCTION("""COMPUTED_VALUE"""),"ASN")</f>
        <v>ASN</v>
      </c>
      <c r="T1620" s="16" t="str">
        <f>IFERROR(__xludf.DUMMYFUNCTION("""COMPUTED_VALUE"""),"Nyeri kaki")</f>
        <v>Nyeri kaki</v>
      </c>
      <c r="U1620" s="16" t="str">
        <f>IFERROR(__xludf.DUMMYFUNCTION("""COMPUTED_VALUE"""),"Tdk ada/")</f>
        <v>Tdk ada/</v>
      </c>
      <c r="V1620" s="11" t="str">
        <f>IFERROR(__xludf.DUMMYFUNCTION("""COMPUTED_VALUE"""),"08990728455")</f>
        <v>08990728455</v>
      </c>
      <c r="W1620" s="15"/>
    </row>
    <row r="1621" ht="22.5" customHeight="1">
      <c r="A1621" s="8"/>
      <c r="B1621" s="9">
        <f>IFERROR(__xludf.DUMMYFUNCTION("""COMPUTED_VALUE"""),45515.47476994213)</f>
        <v>45515.47477</v>
      </c>
      <c r="C1621" s="9"/>
      <c r="D1621" s="34">
        <f>IFERROR(__xludf.DUMMYFUNCTION("""COMPUTED_VALUE"""),45523.0)</f>
        <v>45523</v>
      </c>
      <c r="E1621" s="34" t="str">
        <f>IFERROR(__xludf.DUMMYFUNCTION("""COMPUTED_VALUE"""),"08Agu")</f>
        <v>08Agu</v>
      </c>
      <c r="F1621" s="34" t="str">
        <f>IFERROR(__xludf.DUMMYFUNCTION("""COMPUTED_VALUE"""),"2024")</f>
        <v>2024</v>
      </c>
      <c r="G1621" s="35" t="str">
        <f>IFERROR(__xludf.DUMMYFUNCTION("""COMPUTED_VALUE"""),"BAGUS TEGUH HARTONO")</f>
        <v>BAGUS TEGUH HARTONO</v>
      </c>
      <c r="H1621" s="17" t="str">
        <f>IFERROR(__xludf.DUMMYFUNCTION("""COMPUTED_VALUE"""),"B9324088276")</f>
        <v>B9324088276</v>
      </c>
      <c r="I1621" s="17">
        <f>IFERROR(__xludf.DUMMYFUNCTION("""COMPUTED_VALUE"""),33.0)</f>
        <v>33</v>
      </c>
      <c r="J1621" s="17" t="str">
        <f>IFERROR(__xludf.DUMMYFUNCTION("""COMPUTED_VALUE"""),"25-34 tahun")</f>
        <v>25-34 tahun</v>
      </c>
      <c r="K1621" s="19">
        <f>IFERROR(__xludf.DUMMYFUNCTION("""COMPUTED_VALUE"""),34091.0)</f>
        <v>34091</v>
      </c>
      <c r="L1621" s="19" t="str">
        <f>IFERROR(__xludf.DUMMYFUNCTION("""COMPUTED_VALUE"""),"LAKI-LAKI")</f>
        <v>LAKI-LAKI</v>
      </c>
      <c r="M1621" s="35" t="str">
        <f>IFERROR(__xludf.DUMMYFUNCTION("""COMPUTED_VALUE"""),"JALAN TANJUNG PURA NO. 32")</f>
        <v>JALAN TANJUNG PURA NO. 32</v>
      </c>
      <c r="N1621" s="16" t="str">
        <f>IFERROR(__xludf.DUMMYFUNCTION("""COMPUTED_VALUE"""),"KEL. BENUA MELAYU LAUT")</f>
        <v>KEL. BENUA MELAYU LAUT</v>
      </c>
      <c r="O1621" s="16" t="str">
        <f>IFERROR(__xludf.DUMMYFUNCTION("""COMPUTED_VALUE"""),"KEC. PONTIANAK SELATAN")</f>
        <v>KEC. PONTIANAK SELATAN</v>
      </c>
      <c r="P1621" s="16" t="str">
        <f>IFERROR(__xludf.DUMMYFUNCTION("""COMPUTED_VALUE"""),"KOTA PONTIANAK")</f>
        <v>KOTA PONTIANAK</v>
      </c>
      <c r="Q1621" s="16" t="str">
        <f>IFERROR(__xludf.DUMMYFUNCTION("""COMPUTED_VALUE"""),"KALIMANTAN BARAT")</f>
        <v>KALIMANTAN BARAT</v>
      </c>
      <c r="R1621" s="19" t="str">
        <f>IFERROR(__xludf.DUMMYFUNCTION("""COMPUTED_VALUE"""),"KATOLIK")</f>
        <v>KATOLIK</v>
      </c>
      <c r="S1621" s="16" t="str">
        <f>IFERROR(__xludf.DUMMYFUNCTION("""COMPUTED_VALUE"""),"SWASTA")</f>
        <v>SWASTA</v>
      </c>
      <c r="T1621" s="16" t="str">
        <f>IFERROR(__xludf.DUMMYFUNCTION("""COMPUTED_VALUE"""),"Cedera di bagian groin")</f>
        <v>Cedera di bagian groin</v>
      </c>
      <c r="U1621" s="16" t="str">
        <f>IFERROR(__xludf.DUMMYFUNCTION("""COMPUTED_VALUE"""),"Sepak bola")</f>
        <v>Sepak bola</v>
      </c>
      <c r="V1621" s="11" t="str">
        <f>IFERROR(__xludf.DUMMYFUNCTION("""COMPUTED_VALUE"""),"082148588276")</f>
        <v>082148588276</v>
      </c>
      <c r="W1621" s="15"/>
    </row>
    <row r="1622" ht="22.5" customHeight="1">
      <c r="A1622" s="8"/>
      <c r="B1622" s="9">
        <f>IFERROR(__xludf.DUMMYFUNCTION("""COMPUTED_VALUE"""),45515.52576596064)</f>
        <v>45515.52577</v>
      </c>
      <c r="C1622" s="9"/>
      <c r="D1622" s="34">
        <f>IFERROR(__xludf.DUMMYFUNCTION("""COMPUTED_VALUE"""),45523.0)</f>
        <v>45523</v>
      </c>
      <c r="E1622" s="34" t="str">
        <f>IFERROR(__xludf.DUMMYFUNCTION("""COMPUTED_VALUE"""),"08Agu")</f>
        <v>08Agu</v>
      </c>
      <c r="F1622" s="34" t="str">
        <f>IFERROR(__xludf.DUMMYFUNCTION("""COMPUTED_VALUE"""),"2024")</f>
        <v>2024</v>
      </c>
      <c r="G1622" s="35" t="str">
        <f>IFERROR(__xludf.DUMMYFUNCTION("""COMPUTED_VALUE"""),"MUSLEHUDDIN")</f>
        <v>MUSLEHUDDIN</v>
      </c>
      <c r="H1622" s="17" t="str">
        <f>IFERROR(__xludf.DUMMYFUNCTION("""COMPUTED_VALUE"""),"M0424084316")</f>
        <v>M0424084316</v>
      </c>
      <c r="I1622" s="17">
        <f>IFERROR(__xludf.DUMMYFUNCTION("""COMPUTED_VALUE"""),21.0)</f>
        <v>21</v>
      </c>
      <c r="J1622" s="17" t="str">
        <f>IFERROR(__xludf.DUMMYFUNCTION("""COMPUTED_VALUE"""),"18-24 tahun")</f>
        <v>18-24 tahun</v>
      </c>
      <c r="K1622" s="19">
        <f>IFERROR(__xludf.DUMMYFUNCTION("""COMPUTED_VALUE"""),38326.0)</f>
        <v>38326</v>
      </c>
      <c r="L1622" s="19" t="str">
        <f>IFERROR(__xludf.DUMMYFUNCTION("""COMPUTED_VALUE"""),"LAKI-LAKI")</f>
        <v>LAKI-LAKI</v>
      </c>
      <c r="M1622" s="35" t="str">
        <f>IFERROR(__xludf.DUMMYFUNCTION("""COMPUTED_VALUE"""),"JL SELAT SUMBA DALAM GG 95")</f>
        <v>JL SELAT SUMBA DALAM GG 95</v>
      </c>
      <c r="N1622" s="16" t="str">
        <f>IFERROR(__xludf.DUMMYFUNCTION("""COMPUTED_VALUE"""),"KEL. SIANTAN TENGAH")</f>
        <v>KEL. SIANTAN TENGAH</v>
      </c>
      <c r="O1622" s="16" t="str">
        <f>IFERROR(__xludf.DUMMYFUNCTION("""COMPUTED_VALUE"""),"KEC. PONTIANAK UTARA")</f>
        <v>KEC. PONTIANAK UTARA</v>
      </c>
      <c r="P1622" s="16" t="str">
        <f>IFERROR(__xludf.DUMMYFUNCTION("""COMPUTED_VALUE"""),"KOTA PONTIANAK")</f>
        <v>KOTA PONTIANAK</v>
      </c>
      <c r="Q1622" s="16" t="str">
        <f>IFERROR(__xludf.DUMMYFUNCTION("""COMPUTED_VALUE"""),"KALIMANTAN BARAT")</f>
        <v>KALIMANTAN BARAT</v>
      </c>
      <c r="R1622" s="19" t="str">
        <f>IFERROR(__xludf.DUMMYFUNCTION("""COMPUTED_VALUE"""),"ISLAM")</f>
        <v>ISLAM</v>
      </c>
      <c r="S1622" s="16" t="str">
        <f>IFERROR(__xludf.DUMMYFUNCTION("""COMPUTED_VALUE"""),"TIDAK ADA")</f>
        <v>TIDAK ADA</v>
      </c>
      <c r="T1622" s="16" t="str">
        <f>IFERROR(__xludf.DUMMYFUNCTION("""COMPUTED_VALUE"""),"kaki x")</f>
        <v>kaki x</v>
      </c>
      <c r="U1622" s="16" t="str">
        <f>IFERROR(__xludf.DUMMYFUNCTION("""COMPUTED_VALUE"""),"bermain futsal")</f>
        <v>bermain futsal</v>
      </c>
      <c r="V1622" s="11" t="str">
        <f>IFERROR(__xludf.DUMMYFUNCTION("""COMPUTED_VALUE"""),"089693784316")</f>
        <v>089693784316</v>
      </c>
      <c r="W1622" s="15"/>
    </row>
    <row r="1623" ht="22.5" customHeight="1">
      <c r="A1623" s="8"/>
      <c r="B1623" s="9">
        <f>IFERROR(__xludf.DUMMYFUNCTION("""COMPUTED_VALUE"""),45515.55770138889)</f>
        <v>45515.5577</v>
      </c>
      <c r="C1623" s="9"/>
      <c r="D1623" s="34">
        <f>IFERROR(__xludf.DUMMYFUNCTION("""COMPUTED_VALUE"""),45523.0)</f>
        <v>45523</v>
      </c>
      <c r="E1623" s="34" t="str">
        <f>IFERROR(__xludf.DUMMYFUNCTION("""COMPUTED_VALUE"""),"08Agu")</f>
        <v>08Agu</v>
      </c>
      <c r="F1623" s="34" t="str">
        <f>IFERROR(__xludf.DUMMYFUNCTION("""COMPUTED_VALUE"""),"2024")</f>
        <v>2024</v>
      </c>
      <c r="G1623" s="35" t="str">
        <f>IFERROR(__xludf.DUMMYFUNCTION("""COMPUTED_VALUE"""),"RAMA")</f>
        <v>RAMA</v>
      </c>
      <c r="H1623" s="17" t="str">
        <f>IFERROR(__xludf.DUMMYFUNCTION("""COMPUTED_VALUE"""),"R8624082890")</f>
        <v>R8624082890</v>
      </c>
      <c r="I1623" s="17">
        <f>IFERROR(__xludf.DUMMYFUNCTION("""COMPUTED_VALUE"""),39.0)</f>
        <v>39</v>
      </c>
      <c r="J1623" s="17" t="str">
        <f>IFERROR(__xludf.DUMMYFUNCTION("""COMPUTED_VALUE"""),"35-44 tahun")</f>
        <v>35-44 tahun</v>
      </c>
      <c r="K1623" s="19">
        <f>IFERROR(__xludf.DUMMYFUNCTION("""COMPUTED_VALUE"""),31642.0)</f>
        <v>31642</v>
      </c>
      <c r="L1623" s="19" t="str">
        <f>IFERROR(__xludf.DUMMYFUNCTION("""COMPUTED_VALUE"""),"LAKI-LAKI")</f>
        <v>LAKI-LAKI</v>
      </c>
      <c r="M1623" s="35" t="str">
        <f>IFERROR(__xludf.DUMMYFUNCTION("""COMPUTED_VALUE"""),"GG SINGOSARI")</f>
        <v>GG SINGOSARI</v>
      </c>
      <c r="N1623" s="16" t="str">
        <f>IFERROR(__xludf.DUMMYFUNCTION("""COMPUTED_VALUE"""),"KEL. SUNGAI BELIUNG")</f>
        <v>KEL. SUNGAI BELIUNG</v>
      </c>
      <c r="O1623" s="16" t="str">
        <f>IFERROR(__xludf.DUMMYFUNCTION("""COMPUTED_VALUE"""),"KEC. PONTIANAK BARAT")</f>
        <v>KEC. PONTIANAK BARAT</v>
      </c>
      <c r="P1623" s="16" t="str">
        <f>IFERROR(__xludf.DUMMYFUNCTION("""COMPUTED_VALUE"""),"KOTA PONTIANAK")</f>
        <v>KOTA PONTIANAK</v>
      </c>
      <c r="Q1623" s="16" t="str">
        <f>IFERROR(__xludf.DUMMYFUNCTION("""COMPUTED_VALUE"""),"KALIMANTAN BARAT")</f>
        <v>KALIMANTAN BARAT</v>
      </c>
      <c r="R1623" s="19" t="str">
        <f>IFERROR(__xludf.DUMMYFUNCTION("""COMPUTED_VALUE"""),"ISLAM")</f>
        <v>ISLAM</v>
      </c>
      <c r="S1623" s="35" t="str">
        <f>IFERROR(__xludf.DUMMYFUNCTION("""COMPUTED_VALUE"""),"SWASTA")</f>
        <v>SWASTA</v>
      </c>
      <c r="T1623" s="16" t="str">
        <f>IFERROR(__xludf.DUMMYFUNCTION("""COMPUTED_VALUE"""),"KERAM OTOT")</f>
        <v>KERAM OTOT</v>
      </c>
      <c r="U1623" s="16" t="str">
        <f>IFERROR(__xludf.DUMMYFUNCTION("""COMPUTED_VALUE"""),"BULU TANGKIS")</f>
        <v>BULU TANGKIS</v>
      </c>
      <c r="V1623" s="11" t="str">
        <f>IFERROR(__xludf.DUMMYFUNCTION("""COMPUTED_VALUE"""),"081346602890")</f>
        <v>081346602890</v>
      </c>
      <c r="W1623" s="15"/>
    </row>
    <row r="1624" ht="22.5" customHeight="1">
      <c r="A1624" s="8"/>
      <c r="B1624" s="9">
        <f>IFERROR(__xludf.DUMMYFUNCTION("""COMPUTED_VALUE"""),45515.57907085648)</f>
        <v>45515.57907</v>
      </c>
      <c r="C1624" s="9"/>
      <c r="D1624" s="34">
        <f>IFERROR(__xludf.DUMMYFUNCTION("""COMPUTED_VALUE"""),45523.0)</f>
        <v>45523</v>
      </c>
      <c r="E1624" s="34" t="str">
        <f>IFERROR(__xludf.DUMMYFUNCTION("""COMPUTED_VALUE"""),"08Agu")</f>
        <v>08Agu</v>
      </c>
      <c r="F1624" s="34" t="str">
        <f>IFERROR(__xludf.DUMMYFUNCTION("""COMPUTED_VALUE"""),"2024")</f>
        <v>2024</v>
      </c>
      <c r="G1624" s="35" t="str">
        <f>IFERROR(__xludf.DUMMYFUNCTION("""COMPUTED_VALUE"""),"VICKA LAIFA APRILYA")</f>
        <v>VICKA LAIFA APRILYA</v>
      </c>
      <c r="H1624" s="17" t="str">
        <f>IFERROR(__xludf.DUMMYFUNCTION("""COMPUTED_VALUE"""),"V9124082026")</f>
        <v>V9124082026</v>
      </c>
      <c r="I1624" s="17">
        <f>IFERROR(__xludf.DUMMYFUNCTION("""COMPUTED_VALUE"""),35.0)</f>
        <v>35</v>
      </c>
      <c r="J1624" s="17" t="str">
        <f>IFERROR(__xludf.DUMMYFUNCTION("""COMPUTED_VALUE"""),"35-44 tahun")</f>
        <v>35-44 tahun</v>
      </c>
      <c r="K1624" s="19">
        <f>IFERROR(__xludf.DUMMYFUNCTION("""COMPUTED_VALUE"""),33347.0)</f>
        <v>33347</v>
      </c>
      <c r="L1624" s="19" t="str">
        <f>IFERROR(__xludf.DUMMYFUNCTION("""COMPUTED_VALUE"""),"PEREMPUAN")</f>
        <v>PEREMPUAN</v>
      </c>
      <c r="M1624" s="35" t="str">
        <f>IFERROR(__xludf.DUMMYFUNCTION("""COMPUTED_VALUE"""),"JL. P. NATAKUSUMA GG. SUMUR BOR NO.5")</f>
        <v>JL. P. NATAKUSUMA GG. SUMUR BOR NO.5</v>
      </c>
      <c r="N1624" s="16" t="str">
        <f>IFERROR(__xludf.DUMMYFUNCTION("""COMPUTED_VALUE"""),"KEL. SUNGAI BANGKONG")</f>
        <v>KEL. SUNGAI BANGKONG</v>
      </c>
      <c r="O1624" s="16" t="str">
        <f>IFERROR(__xludf.DUMMYFUNCTION("""COMPUTED_VALUE"""),"KEC. PONTIANAK KOTA")</f>
        <v>KEC. PONTIANAK KOTA</v>
      </c>
      <c r="P1624" s="16" t="str">
        <f>IFERROR(__xludf.DUMMYFUNCTION("""COMPUTED_VALUE"""),"KOTA PONTIANAK")</f>
        <v>KOTA PONTIANAK</v>
      </c>
      <c r="Q1624" s="16" t="str">
        <f>IFERROR(__xludf.DUMMYFUNCTION("""COMPUTED_VALUE"""),"KALIMANTAN BARAT")</f>
        <v>KALIMANTAN BARAT</v>
      </c>
      <c r="R1624" s="19" t="str">
        <f>IFERROR(__xludf.DUMMYFUNCTION("""COMPUTED_VALUE"""),"ISLAM")</f>
        <v>ISLAM</v>
      </c>
      <c r="S1624" s="35" t="str">
        <f>IFERROR(__xludf.DUMMYFUNCTION("""COMPUTED_VALUE"""),"DOKTER")</f>
        <v>DOKTER</v>
      </c>
      <c r="T1624" s="16" t="str">
        <f>IFERROR(__xludf.DUMMYFUNCTION("""COMPUTED_VALUE"""),"LOW BACK PAIN")</f>
        <v>LOW BACK PAIN</v>
      </c>
      <c r="U1624" s="16" t="str">
        <f>IFERROR(__xludf.DUMMYFUNCTION("""COMPUTED_VALUE"""),"BANYAK SALAH POSISI DISAAT BEKERJA SEBAGAI DOKTER GIGI")</f>
        <v>BANYAK SALAH POSISI DISAAT BEKERJA SEBAGAI DOKTER GIGI</v>
      </c>
      <c r="V1624" s="11" t="str">
        <f>IFERROR(__xludf.DUMMYFUNCTION("""COMPUTED_VALUE"""),"081232342026")</f>
        <v>081232342026</v>
      </c>
      <c r="W1624" s="15"/>
    </row>
    <row r="1625" ht="22.5" customHeight="1">
      <c r="A1625" s="8"/>
      <c r="B1625" s="9">
        <f>IFERROR(__xludf.DUMMYFUNCTION("""COMPUTED_VALUE"""),45516.398673159725)</f>
        <v>45516.39867</v>
      </c>
      <c r="C1625" s="9"/>
      <c r="D1625" s="34">
        <f>IFERROR(__xludf.DUMMYFUNCTION("""COMPUTED_VALUE"""),45523.0)</f>
        <v>45523</v>
      </c>
      <c r="E1625" s="34" t="str">
        <f>IFERROR(__xludf.DUMMYFUNCTION("""COMPUTED_VALUE"""),"08Agu")</f>
        <v>08Agu</v>
      </c>
      <c r="F1625" s="34" t="str">
        <f>IFERROR(__xludf.DUMMYFUNCTION("""COMPUTED_VALUE"""),"2024")</f>
        <v>2024</v>
      </c>
      <c r="G1625" s="35" t="str">
        <f>IFERROR(__xludf.DUMMYFUNCTION("""COMPUTED_VALUE"""),"TRI DEWI PURWANTI")</f>
        <v>TRI DEWI PURWANTI</v>
      </c>
      <c r="H1625" s="17" t="str">
        <f>IFERROR(__xludf.DUMMYFUNCTION("""COMPUTED_VALUE"""),"T8624082229")</f>
        <v>T8624082229</v>
      </c>
      <c r="I1625" s="17">
        <f>IFERROR(__xludf.DUMMYFUNCTION("""COMPUTED_VALUE"""),39.0)</f>
        <v>39</v>
      </c>
      <c r="J1625" s="17" t="str">
        <f>IFERROR(__xludf.DUMMYFUNCTION("""COMPUTED_VALUE"""),"35-44 tahun")</f>
        <v>35-44 tahun</v>
      </c>
      <c r="K1625" s="19">
        <f>IFERROR(__xludf.DUMMYFUNCTION("""COMPUTED_VALUE"""),31762.0)</f>
        <v>31762</v>
      </c>
      <c r="L1625" s="19" t="str">
        <f>IFERROR(__xludf.DUMMYFUNCTION("""COMPUTED_VALUE"""),"PEREMPUAN")</f>
        <v>PEREMPUAN</v>
      </c>
      <c r="M1625" s="35" t="str">
        <f>IFERROR(__xludf.DUMMYFUNCTION("""COMPUTED_VALUE"""),"JALAN APEL GG SAHANG NO 30")</f>
        <v>JALAN APEL GG SAHANG NO 30</v>
      </c>
      <c r="N1625" s="16" t="str">
        <f>IFERROR(__xludf.DUMMYFUNCTION("""COMPUTED_VALUE"""),"KEL. SUNGAI JAWI LUAR")</f>
        <v>KEL. SUNGAI JAWI LUAR</v>
      </c>
      <c r="O1625" s="16" t="str">
        <f>IFERROR(__xludf.DUMMYFUNCTION("""COMPUTED_VALUE"""),"KEC. PONTIANAK BARAT")</f>
        <v>KEC. PONTIANAK BARAT</v>
      </c>
      <c r="P1625" s="16" t="str">
        <f>IFERROR(__xludf.DUMMYFUNCTION("""COMPUTED_VALUE"""),"KOTA PONTIANAK")</f>
        <v>KOTA PONTIANAK</v>
      </c>
      <c r="Q1625" s="16" t="str">
        <f>IFERROR(__xludf.DUMMYFUNCTION("""COMPUTED_VALUE"""),"KALIMANTAN BARAT")</f>
        <v>KALIMANTAN BARAT</v>
      </c>
      <c r="R1625" s="19" t="str">
        <f>IFERROR(__xludf.DUMMYFUNCTION("""COMPUTED_VALUE"""),"ISLAM")</f>
        <v>ISLAM</v>
      </c>
      <c r="S1625" s="35" t="str">
        <f>IFERROR(__xludf.DUMMYFUNCTION("""COMPUTED_VALUE"""),"SWASTA")</f>
        <v>SWASTA</v>
      </c>
      <c r="T1625" s="16" t="str">
        <f>IFERROR(__xludf.DUMMYFUNCTION("""COMPUTED_VALUE"""),"Nyeri")</f>
        <v>Nyeri</v>
      </c>
      <c r="U1625" s="16" t="str">
        <f>IFERROR(__xludf.DUMMYFUNCTION("""COMPUTED_VALUE"""),"-")</f>
        <v>-</v>
      </c>
      <c r="V1625" s="11" t="str">
        <f>IFERROR(__xludf.DUMMYFUNCTION("""COMPUTED_VALUE"""),"081289232229")</f>
        <v>081289232229</v>
      </c>
      <c r="W1625" s="15"/>
    </row>
    <row r="1626" ht="22.5" customHeight="1">
      <c r="A1626" s="8"/>
      <c r="B1626" s="9">
        <f>IFERROR(__xludf.DUMMYFUNCTION("""COMPUTED_VALUE"""),45516.438700810184)</f>
        <v>45516.4387</v>
      </c>
      <c r="C1626" s="9"/>
      <c r="D1626" s="34">
        <f>IFERROR(__xludf.DUMMYFUNCTION("""COMPUTED_VALUE"""),45524.0)</f>
        <v>45524</v>
      </c>
      <c r="E1626" s="34" t="str">
        <f>IFERROR(__xludf.DUMMYFUNCTION("""COMPUTED_VALUE"""),"08Agu")</f>
        <v>08Agu</v>
      </c>
      <c r="F1626" s="34" t="str">
        <f>IFERROR(__xludf.DUMMYFUNCTION("""COMPUTED_VALUE"""),"2024")</f>
        <v>2024</v>
      </c>
      <c r="G1626" s="35" t="str">
        <f>IFERROR(__xludf.DUMMYFUNCTION("""COMPUTED_VALUE"""),"RATNA DEWI")</f>
        <v>RATNA DEWI</v>
      </c>
      <c r="H1626" s="17" t="str">
        <f>IFERROR(__xludf.DUMMYFUNCTION("""COMPUTED_VALUE"""),"R9024087560")</f>
        <v>R9024087560</v>
      </c>
      <c r="I1626" s="17">
        <f>IFERROR(__xludf.DUMMYFUNCTION("""COMPUTED_VALUE"""),35.0)</f>
        <v>35</v>
      </c>
      <c r="J1626" s="17" t="str">
        <f>IFERROR(__xludf.DUMMYFUNCTION("""COMPUTED_VALUE"""),"35-44 tahun")</f>
        <v>35-44 tahun</v>
      </c>
      <c r="K1626" s="19">
        <f>IFERROR(__xludf.DUMMYFUNCTION("""COMPUTED_VALUE"""),33143.0)</f>
        <v>33143</v>
      </c>
      <c r="L1626" s="19" t="str">
        <f>IFERROR(__xludf.DUMMYFUNCTION("""COMPUTED_VALUE"""),"PEREMPUAN")</f>
        <v>PEREMPUAN</v>
      </c>
      <c r="M1626" s="35" t="str">
        <f>IFERROR(__xludf.DUMMYFUNCTION("""COMPUTED_VALUE"""),"JALAN KARYA KOMPLEK GREEN KARYA RESIDENCE 3 NO. A. 17,")</f>
        <v>JALAN KARYA KOMPLEK GREEN KARYA RESIDENCE 3 NO. A. 17,</v>
      </c>
      <c r="N1626" s="16" t="str">
        <f>IFERROR(__xludf.DUMMYFUNCTION("""COMPUTED_VALUE"""),"KEL. PAL IX")</f>
        <v>KEL. PAL IX</v>
      </c>
      <c r="O1626" s="16" t="str">
        <f>IFERROR(__xludf.DUMMYFUNCTION("""COMPUTED_VALUE"""),"KEC. SUNGAI KAKAP")</f>
        <v>KEC. SUNGAI KAKAP</v>
      </c>
      <c r="P1626" s="16" t="str">
        <f>IFERROR(__xludf.DUMMYFUNCTION("""COMPUTED_VALUE"""),"KAB. KUBU RAYA")</f>
        <v>KAB. KUBU RAYA</v>
      </c>
      <c r="Q1626" s="16" t="str">
        <f>IFERROR(__xludf.DUMMYFUNCTION("""COMPUTED_VALUE"""),"KALIMANTAN BARAT")</f>
        <v>KALIMANTAN BARAT</v>
      </c>
      <c r="R1626" s="19" t="str">
        <f>IFERROR(__xludf.DUMMYFUNCTION("""COMPUTED_VALUE"""),"KATOLIK")</f>
        <v>KATOLIK</v>
      </c>
      <c r="S1626" s="35" t="str">
        <f>IFERROR(__xludf.DUMMYFUNCTION("""COMPUTED_VALUE"""),"SWASTA")</f>
        <v>SWASTA</v>
      </c>
      <c r="T1626" s="16" t="str">
        <f>IFERROR(__xludf.DUMMYFUNCTION("""COMPUTED_VALUE"""),"Syaraf kejepit di L4 dan L5")</f>
        <v>Syaraf kejepit di L4 dan L5</v>
      </c>
      <c r="U1626" s="16" t="str">
        <f>IFERROR(__xludf.DUMMYFUNCTION("""COMPUTED_VALUE"""),"Nonton")</f>
        <v>Nonton</v>
      </c>
      <c r="V1626" s="11" t="str">
        <f>IFERROR(__xludf.DUMMYFUNCTION("""COMPUTED_VALUE"""),"081256287560")</f>
        <v>081256287560</v>
      </c>
      <c r="W1626" s="15"/>
    </row>
    <row r="1627" ht="22.5" customHeight="1">
      <c r="A1627" s="8"/>
      <c r="B1627" s="9">
        <f>IFERROR(__xludf.DUMMYFUNCTION("""COMPUTED_VALUE"""),45516.48618487269)</f>
        <v>45516.48618</v>
      </c>
      <c r="C1627" s="9"/>
      <c r="D1627" s="34">
        <f>IFERROR(__xludf.DUMMYFUNCTION("""COMPUTED_VALUE"""),45524.0)</f>
        <v>45524</v>
      </c>
      <c r="E1627" s="34" t="str">
        <f>IFERROR(__xludf.DUMMYFUNCTION("""COMPUTED_VALUE"""),"08Agu")</f>
        <v>08Agu</v>
      </c>
      <c r="F1627" s="34" t="str">
        <f>IFERROR(__xludf.DUMMYFUNCTION("""COMPUTED_VALUE"""),"2024")</f>
        <v>2024</v>
      </c>
      <c r="G1627" s="35" t="str">
        <f>IFERROR(__xludf.DUMMYFUNCTION("""COMPUTED_VALUE"""),"ALY AL DASTAN")</f>
        <v>ALY AL DASTAN</v>
      </c>
      <c r="H1627" s="17" t="str">
        <f>IFERROR(__xludf.DUMMYFUNCTION("""COMPUTED_VALUE"""),"A2424089584")</f>
        <v>A2424089584</v>
      </c>
      <c r="I1627" s="17">
        <f>IFERROR(__xludf.DUMMYFUNCTION("""COMPUTED_VALUE"""),1.0)</f>
        <v>1</v>
      </c>
      <c r="J1627" s="17" t="str">
        <f>IFERROR(__xludf.DUMMYFUNCTION("""COMPUTED_VALUE"""),"&lt; 18 tahun")</f>
        <v>&lt; 18 tahun</v>
      </c>
      <c r="K1627" s="19">
        <f>IFERROR(__xludf.DUMMYFUNCTION("""COMPUTED_VALUE"""),45509.0)</f>
        <v>45509</v>
      </c>
      <c r="L1627" s="19" t="str">
        <f>IFERROR(__xludf.DUMMYFUNCTION("""COMPUTED_VALUE"""),"LAKI-LAKI")</f>
        <v>LAKI-LAKI</v>
      </c>
      <c r="M1627" s="35" t="str">
        <f>IFERROR(__xludf.DUMMYFUNCTION("""COMPUTED_VALUE"""),"JL RAYA KAKAP PAL 9 KOMPLEK AKCAYA KEMILA 1 D18")</f>
        <v>JL RAYA KAKAP PAL 9 KOMPLEK AKCAYA KEMILA 1 D18</v>
      </c>
      <c r="N1627" s="16" t="str">
        <f>IFERROR(__xludf.DUMMYFUNCTION("""COMPUTED_VALUE"""),"KEL. PAL IX")</f>
        <v>KEL. PAL IX</v>
      </c>
      <c r="O1627" s="16" t="str">
        <f>IFERROR(__xludf.DUMMYFUNCTION("""COMPUTED_VALUE"""),"KEC. SUNGAI KAKAP")</f>
        <v>KEC. SUNGAI KAKAP</v>
      </c>
      <c r="P1627" s="16" t="str">
        <f>IFERROR(__xludf.DUMMYFUNCTION("""COMPUTED_VALUE"""),"KAB. KUBU RAYA")</f>
        <v>KAB. KUBU RAYA</v>
      </c>
      <c r="Q1627" s="16" t="str">
        <f>IFERROR(__xludf.DUMMYFUNCTION("""COMPUTED_VALUE"""),"KALIMANTAN BARAT")</f>
        <v>KALIMANTAN BARAT</v>
      </c>
      <c r="R1627" s="19" t="str">
        <f>IFERROR(__xludf.DUMMYFUNCTION("""COMPUTED_VALUE"""),"ISLAM")</f>
        <v>ISLAM</v>
      </c>
      <c r="S1627" s="35" t="str">
        <f>IFERROR(__xludf.DUMMYFUNCTION("""COMPUTED_VALUE"""),"PELAJAR/MAHASISWA")</f>
        <v>PELAJAR/MAHASISWA</v>
      </c>
      <c r="T1627" s="16" t="str">
        <f>IFERROR(__xludf.DUMMYFUNCTION("""COMPUTED_VALUE"""),"Cedera engkel")</f>
        <v>Cedera engkel</v>
      </c>
      <c r="U1627" s="16" t="str">
        <f>IFERROR(__xludf.DUMMYFUNCTION("""COMPUTED_VALUE"""),"Maen bola")</f>
        <v>Maen bola</v>
      </c>
      <c r="V1627" s="11" t="str">
        <f>IFERROR(__xludf.DUMMYFUNCTION("""COMPUTED_VALUE"""),"08565009584")</f>
        <v>08565009584</v>
      </c>
      <c r="W1627" s="15"/>
    </row>
    <row r="1628" ht="22.5" customHeight="1">
      <c r="A1628" s="8"/>
      <c r="B1628" s="9">
        <f>IFERROR(__xludf.DUMMYFUNCTION("""COMPUTED_VALUE"""),45516.544035)</f>
        <v>45516.54404</v>
      </c>
      <c r="C1628" s="9"/>
      <c r="D1628" s="34">
        <f>IFERROR(__xludf.DUMMYFUNCTION("""COMPUTED_VALUE"""),45524.0)</f>
        <v>45524</v>
      </c>
      <c r="E1628" s="34" t="str">
        <f>IFERROR(__xludf.DUMMYFUNCTION("""COMPUTED_VALUE"""),"08Agu")</f>
        <v>08Agu</v>
      </c>
      <c r="F1628" s="34" t="str">
        <f>IFERROR(__xludf.DUMMYFUNCTION("""COMPUTED_VALUE"""),"2024")</f>
        <v>2024</v>
      </c>
      <c r="G1628" s="35" t="str">
        <f>IFERROR(__xludf.DUMMYFUNCTION("""COMPUTED_VALUE"""),"BUNGA MITASARI")</f>
        <v>BUNGA MITASARI</v>
      </c>
      <c r="H1628" s="17" t="str">
        <f>IFERROR(__xludf.DUMMYFUNCTION("""COMPUTED_VALUE"""),"B9324087527")</f>
        <v>B9324087527</v>
      </c>
      <c r="I1628" s="17">
        <f>IFERROR(__xludf.DUMMYFUNCTION("""COMPUTED_VALUE"""),33.0)</f>
        <v>33</v>
      </c>
      <c r="J1628" s="17" t="str">
        <f>IFERROR(__xludf.DUMMYFUNCTION("""COMPUTED_VALUE"""),"25-34 tahun")</f>
        <v>25-34 tahun</v>
      </c>
      <c r="K1628" s="19">
        <f>IFERROR(__xludf.DUMMYFUNCTION("""COMPUTED_VALUE"""),34028.0)</f>
        <v>34028</v>
      </c>
      <c r="L1628" s="19" t="str">
        <f>IFERROR(__xludf.DUMMYFUNCTION("""COMPUTED_VALUE"""),"PEREMPUAN")</f>
        <v>PEREMPUAN</v>
      </c>
      <c r="M1628" s="35" t="str">
        <f>IFERROR(__xludf.DUMMYFUNCTION("""COMPUTED_VALUE"""),"JALAN TANJUNG SARI JAYA 9 2A")</f>
        <v>JALAN TANJUNG SARI JAYA 9 2A</v>
      </c>
      <c r="N1628" s="16" t="str">
        <f>IFERROR(__xludf.DUMMYFUNCTION("""COMPUTED_VALUE"""),"KEL. TANJUNG SARI")</f>
        <v>KEL. TANJUNG SARI</v>
      </c>
      <c r="O1628" s="16" t="str">
        <f>IFERROR(__xludf.DUMMYFUNCTION("""COMPUTED_VALUE"""),"KEC. SUKOMANUNGGAL")</f>
        <v>KEC. SUKOMANUNGGAL</v>
      </c>
      <c r="P1628" s="16" t="str">
        <f>IFERROR(__xludf.DUMMYFUNCTION("""COMPUTED_VALUE"""),"KOTA SURABAYA")</f>
        <v>KOTA SURABAYA</v>
      </c>
      <c r="Q1628" s="16" t="str">
        <f>IFERROR(__xludf.DUMMYFUNCTION("""COMPUTED_VALUE"""),"JAWA TIMUR")</f>
        <v>JAWA TIMUR</v>
      </c>
      <c r="R1628" s="19" t="str">
        <f>IFERROR(__xludf.DUMMYFUNCTION("""COMPUTED_VALUE"""),"ISLAM")</f>
        <v>ISLAM</v>
      </c>
      <c r="S1628" s="35" t="str">
        <f>IFERROR(__xludf.DUMMYFUNCTION("""COMPUTED_VALUE"""),"TNI/POLRI")</f>
        <v>TNI/POLRI</v>
      </c>
      <c r="T1628" s="16" t="str">
        <f>IFERROR(__xludf.DUMMYFUNCTION("""COMPUTED_VALUE"""),"dan engkel")</f>
        <v>dan engkel</v>
      </c>
      <c r="U1628" s="16" t="str">
        <f>IFERROR(__xludf.DUMMYFUNCTION("""COMPUTED_VALUE"""),"Voli")</f>
        <v>Voli</v>
      </c>
      <c r="V1628" s="11" t="str">
        <f>IFERROR(__xludf.DUMMYFUNCTION("""COMPUTED_VALUE"""),"081231767527")</f>
        <v>081231767527</v>
      </c>
      <c r="W1628" s="15"/>
    </row>
    <row r="1629" ht="22.5" customHeight="1">
      <c r="A1629" s="8"/>
      <c r="B1629" s="9">
        <f>IFERROR(__xludf.DUMMYFUNCTION("""COMPUTED_VALUE"""),45516.395934305554)</f>
        <v>45516.39593</v>
      </c>
      <c r="C1629" s="9"/>
      <c r="D1629" s="34">
        <f>IFERROR(__xludf.DUMMYFUNCTION("""COMPUTED_VALUE"""),45525.0)</f>
        <v>45525</v>
      </c>
      <c r="E1629" s="34" t="str">
        <f>IFERROR(__xludf.DUMMYFUNCTION("""COMPUTED_VALUE"""),"08Agu")</f>
        <v>08Agu</v>
      </c>
      <c r="F1629" s="34" t="str">
        <f>IFERROR(__xludf.DUMMYFUNCTION("""COMPUTED_VALUE"""),"2024")</f>
        <v>2024</v>
      </c>
      <c r="G1629" s="35" t="str">
        <f>IFERROR(__xludf.DUMMYFUNCTION("""COMPUTED_VALUE"""),"HERY 9107")</f>
        <v>HERY 9107</v>
      </c>
      <c r="H1629" s="17" t="str">
        <f>IFERROR(__xludf.DUMMYFUNCTION("""COMPUTED_VALUE"""),"H9124088998")</f>
        <v>H9124088998</v>
      </c>
      <c r="I1629" s="17">
        <f>IFERROR(__xludf.DUMMYFUNCTION("""COMPUTED_VALUE"""),34.0)</f>
        <v>34</v>
      </c>
      <c r="J1629" s="17" t="str">
        <f>IFERROR(__xludf.DUMMYFUNCTION("""COMPUTED_VALUE"""),"25-34 tahun")</f>
        <v>25-34 tahun</v>
      </c>
      <c r="K1629" s="19">
        <f>IFERROR(__xludf.DUMMYFUNCTION("""COMPUTED_VALUE"""),33430.0)</f>
        <v>33430</v>
      </c>
      <c r="L1629" s="19" t="str">
        <f>IFERROR(__xludf.DUMMYFUNCTION("""COMPUTED_VALUE"""),"LAKI-LAKI")</f>
        <v>LAKI-LAKI</v>
      </c>
      <c r="M1629" s="35" t="str">
        <f>IFERROR(__xludf.DUMMYFUNCTION("""COMPUTED_VALUE"""),"DESA KAPUR KOM KOTA RAYA BLOK C65")</f>
        <v>DESA KAPUR KOM KOTA RAYA BLOK C65</v>
      </c>
      <c r="N1629" s="16" t="str">
        <f>IFERROR(__xludf.DUMMYFUNCTION("""COMPUTED_VALUE"""),"DS. KAPUR")</f>
        <v>DS. KAPUR</v>
      </c>
      <c r="O1629" s="16" t="str">
        <f>IFERROR(__xludf.DUMMYFUNCTION("""COMPUTED_VALUE"""),"KEC. SUNGAI RAYA")</f>
        <v>KEC. SUNGAI RAYA</v>
      </c>
      <c r="P1629" s="16" t="str">
        <f>IFERROR(__xludf.DUMMYFUNCTION("""COMPUTED_VALUE"""),"KAB. KUBU RAYA")</f>
        <v>KAB. KUBU RAYA</v>
      </c>
      <c r="Q1629" s="16" t="str">
        <f>IFERROR(__xludf.DUMMYFUNCTION("""COMPUTED_VALUE"""),"KALIMANTAN BARAT")</f>
        <v>KALIMANTAN BARAT</v>
      </c>
      <c r="R1629" s="19" t="str">
        <f>IFERROR(__xludf.DUMMYFUNCTION("""COMPUTED_VALUE"""),"PROTESTAN")</f>
        <v>PROTESTAN</v>
      </c>
      <c r="S1629" s="35" t="str">
        <f>IFERROR(__xludf.DUMMYFUNCTION("""COMPUTED_VALUE"""),"WIRASWASTA")</f>
        <v>WIRASWASTA</v>
      </c>
      <c r="T1629" s="16" t="str">
        <f>IFERROR(__xludf.DUMMYFUNCTION("""COMPUTED_VALUE"""),"ENGKEL KAKI")</f>
        <v>ENGKEL KAKI</v>
      </c>
      <c r="U1629" s="16" t="str">
        <f>IFERROR(__xludf.DUMMYFUNCTION("""COMPUTED_VALUE"""),"BADMINTON")</f>
        <v>BADMINTON</v>
      </c>
      <c r="V1629" s="11" t="str">
        <f>IFERROR(__xludf.DUMMYFUNCTION("""COMPUTED_VALUE"""),"089649338998")</f>
        <v>089649338998</v>
      </c>
      <c r="W1629" s="15"/>
    </row>
    <row r="1630" ht="22.5" customHeight="1">
      <c r="A1630" s="8"/>
      <c r="B1630" s="9">
        <f>IFERROR(__xludf.DUMMYFUNCTION("""COMPUTED_VALUE"""),45516.83049284722)</f>
        <v>45516.83049</v>
      </c>
      <c r="C1630" s="9"/>
      <c r="D1630" s="34">
        <f>IFERROR(__xludf.DUMMYFUNCTION("""COMPUTED_VALUE"""),45526.0)</f>
        <v>45526</v>
      </c>
      <c r="E1630" s="34" t="str">
        <f>IFERROR(__xludf.DUMMYFUNCTION("""COMPUTED_VALUE"""),"08Agu")</f>
        <v>08Agu</v>
      </c>
      <c r="F1630" s="34" t="str">
        <f>IFERROR(__xludf.DUMMYFUNCTION("""COMPUTED_VALUE"""),"2024")</f>
        <v>2024</v>
      </c>
      <c r="G1630" s="35" t="str">
        <f>IFERROR(__xludf.DUMMYFUNCTION("""COMPUTED_VALUE"""),"SILVIA LARASATY DEWI")</f>
        <v>SILVIA LARASATY DEWI</v>
      </c>
      <c r="H1630" s="17" t="str">
        <f>IFERROR(__xludf.DUMMYFUNCTION("""COMPUTED_VALUE"""),"S9924085802")</f>
        <v>S9924085802</v>
      </c>
      <c r="I1630" s="17">
        <f>IFERROR(__xludf.DUMMYFUNCTION("""COMPUTED_VALUE"""),26.0)</f>
        <v>26</v>
      </c>
      <c r="J1630" s="17" t="str">
        <f>IFERROR(__xludf.DUMMYFUNCTION("""COMPUTED_VALUE"""),"25-34 tahun")</f>
        <v>25-34 tahun</v>
      </c>
      <c r="K1630" s="19">
        <f>IFERROR(__xludf.DUMMYFUNCTION("""COMPUTED_VALUE"""),36414.0)</f>
        <v>36414</v>
      </c>
      <c r="L1630" s="19" t="str">
        <f>IFERROR(__xludf.DUMMYFUNCTION("""COMPUTED_VALUE"""),"PEREMPUAN")</f>
        <v>PEREMPUAN</v>
      </c>
      <c r="M1630" s="35" t="str">
        <f>IFERROR(__xludf.DUMMYFUNCTION("""COMPUTED_VALUE"""),"JL PRAMUKA NO A10")</f>
        <v>JL PRAMUKA NO A10</v>
      </c>
      <c r="N1630" s="16" t="str">
        <f>IFERROR(__xludf.DUMMYFUNCTION("""COMPUTED_VALUE"""),"DS. SUNGAI KAKAP")</f>
        <v>DS. SUNGAI KAKAP</v>
      </c>
      <c r="O1630" s="16" t="str">
        <f>IFERROR(__xludf.DUMMYFUNCTION("""COMPUTED_VALUE"""),"KEC. SUNGAI RENGAS")</f>
        <v>KEC. SUNGAI RENGAS</v>
      </c>
      <c r="P1630" s="16" t="str">
        <f>IFERROR(__xludf.DUMMYFUNCTION("""COMPUTED_VALUE"""),"KAB. KUBU RAYA")</f>
        <v>KAB. KUBU RAYA</v>
      </c>
      <c r="Q1630" s="16" t="str">
        <f>IFERROR(__xludf.DUMMYFUNCTION("""COMPUTED_VALUE"""),"KALIMANTAN BARAT")</f>
        <v>KALIMANTAN BARAT</v>
      </c>
      <c r="R1630" s="19" t="str">
        <f>IFERROR(__xludf.DUMMYFUNCTION("""COMPUTED_VALUE"""),"ISLAM")</f>
        <v>ISLAM</v>
      </c>
      <c r="S1630" s="16" t="str">
        <f>IFERROR(__xludf.DUMMYFUNCTION("""COMPUTED_VALUE"""),"SWASTA")</f>
        <v>SWASTA</v>
      </c>
      <c r="T1630" s="16" t="str">
        <f>IFERROR(__xludf.DUMMYFUNCTION("""COMPUTED_VALUE"""),"Ankle kak kanan sakit ( pernah sprained ankle bln 5 kmrin ). Sendi pergelangan tangan sakit tidak bisa ditekan, cth spt gerakan push up")</f>
        <v>Ankle kak kanan sakit ( pernah sprained ankle bln 5 kmrin ). Sendi pergelangan tangan sakit tidak bisa ditekan, cth spt gerakan push up</v>
      </c>
      <c r="U1630" s="16" t="str">
        <f>IFERROR(__xludf.DUMMYFUNCTION("""COMPUTED_VALUE"""),"Gym, badminton")</f>
        <v>Gym, badminton</v>
      </c>
      <c r="V1630" s="11" t="str">
        <f>IFERROR(__xludf.DUMMYFUNCTION("""COMPUTED_VALUE"""),"087776665802")</f>
        <v>087776665802</v>
      </c>
      <c r="W1630" s="15"/>
    </row>
    <row r="1631" ht="22.5" customHeight="1">
      <c r="A1631" s="8"/>
      <c r="B1631" s="9">
        <f>IFERROR(__xludf.DUMMYFUNCTION("""COMPUTED_VALUE"""),45517.46152216435)</f>
        <v>45517.46152</v>
      </c>
      <c r="C1631" s="9"/>
      <c r="D1631" s="34">
        <f>IFERROR(__xludf.DUMMYFUNCTION("""COMPUTED_VALUE"""),45526.0)</f>
        <v>45526</v>
      </c>
      <c r="E1631" s="34" t="str">
        <f>IFERROR(__xludf.DUMMYFUNCTION("""COMPUTED_VALUE"""),"08Agu")</f>
        <v>08Agu</v>
      </c>
      <c r="F1631" s="34" t="str">
        <f>IFERROR(__xludf.DUMMYFUNCTION("""COMPUTED_VALUE"""),"2024")</f>
        <v>2024</v>
      </c>
      <c r="G1631" s="35" t="str">
        <f>IFERROR(__xludf.DUMMYFUNCTION("""COMPUTED_VALUE"""),"MENTARI RACHMANIAZ RIZKI")</f>
        <v>MENTARI RACHMANIAZ RIZKI</v>
      </c>
      <c r="H1631" s="17" t="str">
        <f>IFERROR(__xludf.DUMMYFUNCTION("""COMPUTED_VALUE"""),"M9924081266")</f>
        <v>M9924081266</v>
      </c>
      <c r="I1631" s="17">
        <f>IFERROR(__xludf.DUMMYFUNCTION("""COMPUTED_VALUE"""),27.0)</f>
        <v>27</v>
      </c>
      <c r="J1631" s="17" t="str">
        <f>IFERROR(__xludf.DUMMYFUNCTION("""COMPUTED_VALUE"""),"25-34 tahun")</f>
        <v>25-34 tahun</v>
      </c>
      <c r="K1631" s="19">
        <f>IFERROR(__xludf.DUMMYFUNCTION("""COMPUTED_VALUE"""),36261.0)</f>
        <v>36261</v>
      </c>
      <c r="L1631" s="19" t="str">
        <f>IFERROR(__xludf.DUMMYFUNCTION("""COMPUTED_VALUE"""),"PEREMPUAN")</f>
        <v>PEREMPUAN</v>
      </c>
      <c r="M1631" s="35" t="str">
        <f>IFERROR(__xludf.DUMMYFUNCTION("""COMPUTED_VALUE"""),"JL. GUSTI ABDUL HAMID")</f>
        <v>JL. GUSTI ABDUL HAMID</v>
      </c>
      <c r="N1631" s="16" t="str">
        <f>IFERROR(__xludf.DUMMYFUNCTION("""COMPUTED_VALUE"""),"KEL. TERUSAN")</f>
        <v>KEL. TERUSAN</v>
      </c>
      <c r="O1631" s="16" t="str">
        <f>IFERROR(__xludf.DUMMYFUNCTION("""COMPUTED_VALUE"""),"KEC. MEMPAWAH HILIR")</f>
        <v>KEC. MEMPAWAH HILIR</v>
      </c>
      <c r="P1631" s="16" t="str">
        <f>IFERROR(__xludf.DUMMYFUNCTION("""COMPUTED_VALUE"""),"KAB. MEMPAWAH")</f>
        <v>KAB. MEMPAWAH</v>
      </c>
      <c r="Q1631" s="16" t="str">
        <f>IFERROR(__xludf.DUMMYFUNCTION("""COMPUTED_VALUE"""),"KALIMANTAN BARAT")</f>
        <v>KALIMANTAN BARAT</v>
      </c>
      <c r="R1631" s="19" t="str">
        <f>IFERROR(__xludf.DUMMYFUNCTION("""COMPUTED_VALUE"""),"ISLAM")</f>
        <v>ISLAM</v>
      </c>
      <c r="S1631" s="35" t="str">
        <f>IFERROR(__xludf.DUMMYFUNCTION("""COMPUTED_VALUE"""),"SWASTA")</f>
        <v>SWASTA</v>
      </c>
      <c r="T1631" s="16" t="str">
        <f>IFERROR(__xludf.DUMMYFUNCTION("""COMPUTED_VALUE"""),"Keseleo")</f>
        <v>Keseleo</v>
      </c>
      <c r="U1631" s="16" t="str">
        <f>IFERROR(__xludf.DUMMYFUNCTION("""COMPUTED_VALUE"""),"Olahraga (Badminton &amp; Tennis)")</f>
        <v>Olahraga (Badminton &amp; Tennis)</v>
      </c>
      <c r="V1631" s="11" t="str">
        <f>IFERROR(__xludf.DUMMYFUNCTION("""COMPUTED_VALUE"""),"082254151266")</f>
        <v>082254151266</v>
      </c>
      <c r="W1631" s="15"/>
    </row>
    <row r="1632" ht="22.5" customHeight="1">
      <c r="A1632" s="8"/>
      <c r="B1632" s="9">
        <f>IFERROR(__xludf.DUMMYFUNCTION("""COMPUTED_VALUE"""),45517.54382518519)</f>
        <v>45517.54383</v>
      </c>
      <c r="C1632" s="9"/>
      <c r="D1632" s="34">
        <f>IFERROR(__xludf.DUMMYFUNCTION("""COMPUTED_VALUE"""),45526.0)</f>
        <v>45526</v>
      </c>
      <c r="E1632" s="34" t="str">
        <f>IFERROR(__xludf.DUMMYFUNCTION("""COMPUTED_VALUE"""),"08Agu")</f>
        <v>08Agu</v>
      </c>
      <c r="F1632" s="34" t="str">
        <f>IFERROR(__xludf.DUMMYFUNCTION("""COMPUTED_VALUE"""),"2024")</f>
        <v>2024</v>
      </c>
      <c r="G1632" s="35" t="str">
        <f>IFERROR(__xludf.DUMMYFUNCTION("""COMPUTED_VALUE"""),"JENSHEN DARMA")</f>
        <v>JENSHEN DARMA</v>
      </c>
      <c r="H1632" s="17" t="str">
        <f>IFERROR(__xludf.DUMMYFUNCTION("""COMPUTED_VALUE"""),"J0324089832")</f>
        <v>J0324089832</v>
      </c>
      <c r="I1632" s="17">
        <f>IFERROR(__xludf.DUMMYFUNCTION("""COMPUTED_VALUE"""),23.0)</f>
        <v>23</v>
      </c>
      <c r="J1632" s="17" t="str">
        <f>IFERROR(__xludf.DUMMYFUNCTION("""COMPUTED_VALUE"""),"18-24 tahun")</f>
        <v>18-24 tahun</v>
      </c>
      <c r="K1632" s="19">
        <f>IFERROR(__xludf.DUMMYFUNCTION("""COMPUTED_VALUE"""),37637.0)</f>
        <v>37637</v>
      </c>
      <c r="L1632" s="19" t="str">
        <f>IFERROR(__xludf.DUMMYFUNCTION("""COMPUTED_VALUE"""),"LAKI-LAKI")</f>
        <v>LAKI-LAKI</v>
      </c>
      <c r="M1632" s="35" t="str">
        <f>IFERROR(__xludf.DUMMYFUNCTION("""COMPUTED_VALUE"""),"JL.MT HARYONO, BTN CIPTA MANDIRI 1, RUKO BL")</f>
        <v>JL.MT HARYONO, BTN CIPTA MANDIRI 1, RUKO BL</v>
      </c>
      <c r="N1632" s="16" t="str">
        <f>IFERROR(__xludf.DUMMYFUNCTION("""COMPUTED_VALUE"""),"KEL. SENGKUANG")</f>
        <v>KEL. SENGKUANG</v>
      </c>
      <c r="O1632" s="16" t="str">
        <f>IFERROR(__xludf.DUMMYFUNCTION("""COMPUTED_VALUE"""),"KEC. SINTANG")</f>
        <v>KEC. SINTANG</v>
      </c>
      <c r="P1632" s="16" t="str">
        <f>IFERROR(__xludf.DUMMYFUNCTION("""COMPUTED_VALUE"""),"KAB. SINTANG")</f>
        <v>KAB. SINTANG</v>
      </c>
      <c r="Q1632" s="16" t="str">
        <f>IFERROR(__xludf.DUMMYFUNCTION("""COMPUTED_VALUE"""),"KALIMANTAN BARAT")</f>
        <v>KALIMANTAN BARAT</v>
      </c>
      <c r="R1632" s="19" t="str">
        <f>IFERROR(__xludf.DUMMYFUNCTION("""COMPUTED_VALUE"""),"KATOLIK")</f>
        <v>KATOLIK</v>
      </c>
      <c r="S1632" s="35" t="str">
        <f>IFERROR(__xludf.DUMMYFUNCTION("""COMPUTED_VALUE"""),"PELAJAR/MAHASISWA")</f>
        <v>PELAJAR/MAHASISWA</v>
      </c>
      <c r="T1632" s="16" t="str">
        <f>IFERROR(__xludf.DUMMYFUNCTION("""COMPUTED_VALUE"""),"-")</f>
        <v>-</v>
      </c>
      <c r="U1632" s="16" t="str">
        <f>IFERROR(__xludf.DUMMYFUNCTION("""COMPUTED_VALUE"""),"Basket")</f>
        <v>Basket</v>
      </c>
      <c r="V1632" s="11" t="str">
        <f>IFERROR(__xludf.DUMMYFUNCTION("""COMPUTED_VALUE"""),"082252729832")</f>
        <v>082252729832</v>
      </c>
      <c r="W1632" s="15"/>
    </row>
    <row r="1633" ht="22.5" customHeight="1">
      <c r="A1633" s="8"/>
      <c r="B1633" s="9">
        <f>IFERROR(__xludf.DUMMYFUNCTION("""COMPUTED_VALUE"""),45517.779032094906)</f>
        <v>45517.77903</v>
      </c>
      <c r="C1633" s="9"/>
      <c r="D1633" s="34">
        <f>IFERROR(__xludf.DUMMYFUNCTION("""COMPUTED_VALUE"""),45526.0)</f>
        <v>45526</v>
      </c>
      <c r="E1633" s="34" t="str">
        <f>IFERROR(__xludf.DUMMYFUNCTION("""COMPUTED_VALUE"""),"08Agu")</f>
        <v>08Agu</v>
      </c>
      <c r="F1633" s="34" t="str">
        <f>IFERROR(__xludf.DUMMYFUNCTION("""COMPUTED_VALUE"""),"2024")</f>
        <v>2024</v>
      </c>
      <c r="G1633" s="35" t="str">
        <f>IFERROR(__xludf.DUMMYFUNCTION("""COMPUTED_VALUE"""),"YONG REN AUGUSTO")</f>
        <v>YONG REN AUGUSTO</v>
      </c>
      <c r="H1633" s="17" t="str">
        <f>IFERROR(__xludf.DUMMYFUNCTION("""COMPUTED_VALUE"""),"Y0524086988")</f>
        <v>Y0524086988</v>
      </c>
      <c r="I1633" s="17">
        <f>IFERROR(__xludf.DUMMYFUNCTION("""COMPUTED_VALUE"""),20.0)</f>
        <v>20</v>
      </c>
      <c r="J1633" s="17" t="str">
        <f>IFERROR(__xludf.DUMMYFUNCTION("""COMPUTED_VALUE"""),"18-24 tahun")</f>
        <v>18-24 tahun</v>
      </c>
      <c r="K1633" s="19">
        <f>IFERROR(__xludf.DUMMYFUNCTION("""COMPUTED_VALUE"""),38594.0)</f>
        <v>38594</v>
      </c>
      <c r="L1633" s="19" t="str">
        <f>IFERROR(__xludf.DUMMYFUNCTION("""COMPUTED_VALUE"""),"LAKI-LAKI")</f>
        <v>LAKI-LAKI</v>
      </c>
      <c r="M1633" s="35" t="str">
        <f>IFERROR(__xludf.DUMMYFUNCTION("""COMPUTED_VALUE"""),"DUSUN AJI MELAYU")</f>
        <v>DUSUN AJI MELAYU</v>
      </c>
      <c r="N1633" s="16" t="str">
        <f>IFERROR(__xludf.DUMMYFUNCTION("""COMPUTED_VALUE"""),"DS. TANJUNG RIA")</f>
        <v>DS. TANJUNG RIA</v>
      </c>
      <c r="O1633" s="16" t="str">
        <f>IFERROR(__xludf.DUMMYFUNCTION("""COMPUTED_VALUE"""),"KEC. SEPAUK")</f>
        <v>KEC. SEPAUK</v>
      </c>
      <c r="P1633" s="16" t="str">
        <f>IFERROR(__xludf.DUMMYFUNCTION("""COMPUTED_VALUE"""),"KAB. SINTANG")</f>
        <v>KAB. SINTANG</v>
      </c>
      <c r="Q1633" s="16" t="str">
        <f>IFERROR(__xludf.DUMMYFUNCTION("""COMPUTED_VALUE"""),"KALIMANTAN BARAT")</f>
        <v>KALIMANTAN BARAT</v>
      </c>
      <c r="R1633" s="19" t="str">
        <f>IFERROR(__xludf.DUMMYFUNCTION("""COMPUTED_VALUE"""),"KATOLIK")</f>
        <v>KATOLIK</v>
      </c>
      <c r="S1633" s="16" t="str">
        <f>IFERROR(__xludf.DUMMYFUNCTION("""COMPUTED_VALUE"""),"PELAJAR/MAHASISWA")</f>
        <v>PELAJAR/MAHASISWA</v>
      </c>
      <c r="T1633" s="16" t="str">
        <f>IFERROR(__xludf.DUMMYFUNCTION("""COMPUTED_VALUE"""),"NGILU DAN SAKIT")</f>
        <v>NGILU DAN SAKIT</v>
      </c>
      <c r="U1633" s="16" t="str">
        <f>IFERROR(__xludf.DUMMYFUNCTION("""COMPUTED_VALUE"""),"BASKET")</f>
        <v>BASKET</v>
      </c>
      <c r="V1633" s="11" t="str">
        <f>IFERROR(__xludf.DUMMYFUNCTION("""COMPUTED_VALUE"""),"082397076988")</f>
        <v>082397076988</v>
      </c>
      <c r="W1633" s="15"/>
    </row>
    <row r="1634" ht="22.5" customHeight="1">
      <c r="A1634" s="8"/>
      <c r="B1634" s="9">
        <f>IFERROR(__xludf.DUMMYFUNCTION("""COMPUTED_VALUE"""),45518.391525266205)</f>
        <v>45518.39153</v>
      </c>
      <c r="C1634" s="9"/>
      <c r="D1634" s="34">
        <f>IFERROR(__xludf.DUMMYFUNCTION("""COMPUTED_VALUE"""),45526.0)</f>
        <v>45526</v>
      </c>
      <c r="E1634" s="34" t="str">
        <f>IFERROR(__xludf.DUMMYFUNCTION("""COMPUTED_VALUE"""),"08Agu")</f>
        <v>08Agu</v>
      </c>
      <c r="F1634" s="34" t="str">
        <f>IFERROR(__xludf.DUMMYFUNCTION("""COMPUTED_VALUE"""),"2024")</f>
        <v>2024</v>
      </c>
      <c r="G1634" s="16" t="str">
        <f>IFERROR(__xludf.DUMMYFUNCTION("""COMPUTED_VALUE"""),"FARIS RAHMADIAN ARMADHANI")</f>
        <v>FARIS RAHMADIAN ARMADHANI</v>
      </c>
      <c r="H1634" s="17" t="str">
        <f>IFERROR(__xludf.DUMMYFUNCTION("""COMPUTED_VALUE"""),"F9424084583")</f>
        <v>F9424084583</v>
      </c>
      <c r="I1634" s="17">
        <f>IFERROR(__xludf.DUMMYFUNCTION("""COMPUTED_VALUE"""),32.0)</f>
        <v>32</v>
      </c>
      <c r="J1634" s="17" t="str">
        <f>IFERROR(__xludf.DUMMYFUNCTION("""COMPUTED_VALUE"""),"25-34 tahun")</f>
        <v>25-34 tahun</v>
      </c>
      <c r="K1634" s="19">
        <f>IFERROR(__xludf.DUMMYFUNCTION("""COMPUTED_VALUE"""),34395.0)</f>
        <v>34395</v>
      </c>
      <c r="L1634" s="19" t="str">
        <f>IFERROR(__xludf.DUMMYFUNCTION("""COMPUTED_VALUE"""),"LAKI-LAKI")</f>
        <v>LAKI-LAKI</v>
      </c>
      <c r="M1634" s="35" t="str">
        <f>IFERROR(__xludf.DUMMYFUNCTION("""COMPUTED_VALUE"""),"JL STADION GG IV NO 17B PAMEKASAN")</f>
        <v>JL STADION GG IV NO 17B PAMEKASAN</v>
      </c>
      <c r="N1634" s="16" t="str">
        <f>IFERROR(__xludf.DUMMYFUNCTION("""COMPUTED_VALUE"""),"KEL. BARURAMBAT KOTA")</f>
        <v>KEL. BARURAMBAT KOTA</v>
      </c>
      <c r="O1634" s="16" t="str">
        <f>IFERROR(__xludf.DUMMYFUNCTION("""COMPUTED_VALUE"""),"KEC. PAMEKASAN")</f>
        <v>KEC. PAMEKASAN</v>
      </c>
      <c r="P1634" s="16" t="str">
        <f>IFERROR(__xludf.DUMMYFUNCTION("""COMPUTED_VALUE"""),"KAB. PAMEKASAN")</f>
        <v>KAB. PAMEKASAN</v>
      </c>
      <c r="Q1634" s="16" t="str">
        <f>IFERROR(__xludf.DUMMYFUNCTION("""COMPUTED_VALUE"""),"JAWA TIMUR")</f>
        <v>JAWA TIMUR</v>
      </c>
      <c r="R1634" s="19" t="str">
        <f>IFERROR(__xludf.DUMMYFUNCTION("""COMPUTED_VALUE"""),"ISLAM")</f>
        <v>ISLAM</v>
      </c>
      <c r="S1634" s="35" t="str">
        <f>IFERROR(__xludf.DUMMYFUNCTION("""COMPUTED_VALUE"""),"SWASTA")</f>
        <v>SWASTA</v>
      </c>
      <c r="T1634" s="16" t="str">
        <f>IFERROR(__xludf.DUMMYFUNCTION("""COMPUTED_VALUE"""),"Nyeri Tangan Kanan")</f>
        <v>Nyeri Tangan Kanan</v>
      </c>
      <c r="U1634" s="16" t="str">
        <f>IFERROR(__xludf.DUMMYFUNCTION("""COMPUTED_VALUE"""),"Tennis")</f>
        <v>Tennis</v>
      </c>
      <c r="V1634" s="11" t="str">
        <f>IFERROR(__xludf.DUMMYFUNCTION("""COMPUTED_VALUE"""),"082245634583")</f>
        <v>082245634583</v>
      </c>
      <c r="W1634" s="15"/>
    </row>
    <row r="1635" ht="22.5" customHeight="1">
      <c r="A1635" s="8"/>
      <c r="B1635" s="9">
        <f>IFERROR(__xludf.DUMMYFUNCTION("""COMPUTED_VALUE"""),45518.478947384254)</f>
        <v>45518.47895</v>
      </c>
      <c r="C1635" s="9"/>
      <c r="D1635" s="34">
        <f>IFERROR(__xludf.DUMMYFUNCTION("""COMPUTED_VALUE"""),45526.0)</f>
        <v>45526</v>
      </c>
      <c r="E1635" s="34" t="str">
        <f>IFERROR(__xludf.DUMMYFUNCTION("""COMPUTED_VALUE"""),"08Agu")</f>
        <v>08Agu</v>
      </c>
      <c r="F1635" s="34" t="str">
        <f>IFERROR(__xludf.DUMMYFUNCTION("""COMPUTED_VALUE"""),"2024")</f>
        <v>2024</v>
      </c>
      <c r="G1635" s="35" t="str">
        <f>IFERROR(__xludf.DUMMYFUNCTION("""COMPUTED_VALUE"""),"AFIF ZULFA NURHAYATI")</f>
        <v>AFIF ZULFA NURHAYATI</v>
      </c>
      <c r="H1635" s="17" t="str">
        <f>IFERROR(__xludf.DUMMYFUNCTION("""COMPUTED_VALUE"""),"A9924081439")</f>
        <v>A9924081439</v>
      </c>
      <c r="I1635" s="17">
        <f>IFERROR(__xludf.DUMMYFUNCTION("""COMPUTED_VALUE"""),26.0)</f>
        <v>26</v>
      </c>
      <c r="J1635" s="17" t="str">
        <f>IFERROR(__xludf.DUMMYFUNCTION("""COMPUTED_VALUE"""),"25-34 tahun")</f>
        <v>25-34 tahun</v>
      </c>
      <c r="K1635" s="19">
        <f>IFERROR(__xludf.DUMMYFUNCTION("""COMPUTED_VALUE"""),36464.0)</f>
        <v>36464</v>
      </c>
      <c r="L1635" s="19" t="str">
        <f>IFERROR(__xludf.DUMMYFUNCTION("""COMPUTED_VALUE"""),"PEREMPUAN")</f>
        <v>PEREMPUAN</v>
      </c>
      <c r="M1635" s="35" t="str">
        <f>IFERROR(__xludf.DUMMYFUNCTION("""COMPUTED_VALUE"""),"DUSUN UBAY")</f>
        <v>DUSUN UBAY</v>
      </c>
      <c r="N1635" s="16" t="str">
        <f>IFERROR(__xludf.DUMMYFUNCTION("""COMPUTED_VALUE"""),"KEL. KEDUKUL")</f>
        <v>KEL. KEDUKUL</v>
      </c>
      <c r="O1635" s="16" t="str">
        <f>IFERROR(__xludf.DUMMYFUNCTION("""COMPUTED_VALUE"""),"KEC. MUKOK")</f>
        <v>KEC. MUKOK</v>
      </c>
      <c r="P1635" s="16" t="str">
        <f>IFERROR(__xludf.DUMMYFUNCTION("""COMPUTED_VALUE"""),"KAB. SANGGAU")</f>
        <v>KAB. SANGGAU</v>
      </c>
      <c r="Q1635" s="16" t="str">
        <f>IFERROR(__xludf.DUMMYFUNCTION("""COMPUTED_VALUE"""),"KALIMANTAN BARAT")</f>
        <v>KALIMANTAN BARAT</v>
      </c>
      <c r="R1635" s="19" t="str">
        <f>IFERROR(__xludf.DUMMYFUNCTION("""COMPUTED_VALUE"""),"ISLAM")</f>
        <v>ISLAM</v>
      </c>
      <c r="S1635" s="35" t="str">
        <f>IFERROR(__xludf.DUMMYFUNCTION("""COMPUTED_VALUE"""),"ARSITEK")</f>
        <v>ARSITEK</v>
      </c>
      <c r="T1635" s="16" t="str">
        <f>IFERROR(__xludf.DUMMYFUNCTION("""COMPUTED_VALUE"""),"Nyeri di pinggang bawah")</f>
        <v>Nyeri di pinggang bawah</v>
      </c>
      <c r="U1635" s="16" t="str">
        <f>IFERROR(__xludf.DUMMYFUNCTION("""COMPUTED_VALUE"""),"Bekerja")</f>
        <v>Bekerja</v>
      </c>
      <c r="V1635" s="11" t="str">
        <f>IFERROR(__xludf.DUMMYFUNCTION("""COMPUTED_VALUE"""),"081935691439")</f>
        <v>081935691439</v>
      </c>
      <c r="W1635" s="15"/>
    </row>
    <row r="1636" ht="22.5" customHeight="1">
      <c r="A1636" s="8"/>
      <c r="B1636" s="9">
        <f>IFERROR(__xludf.DUMMYFUNCTION("""COMPUTED_VALUE"""),45518.48250540509)</f>
        <v>45518.48251</v>
      </c>
      <c r="C1636" s="9"/>
      <c r="D1636" s="34">
        <f>IFERROR(__xludf.DUMMYFUNCTION("""COMPUTED_VALUE"""),45528.0)</f>
        <v>45528</v>
      </c>
      <c r="E1636" s="34" t="str">
        <f>IFERROR(__xludf.DUMMYFUNCTION("""COMPUTED_VALUE"""),"08Agu")</f>
        <v>08Agu</v>
      </c>
      <c r="F1636" s="34" t="str">
        <f>IFERROR(__xludf.DUMMYFUNCTION("""COMPUTED_VALUE"""),"2024")</f>
        <v>2024</v>
      </c>
      <c r="G1636" s="35" t="str">
        <f>IFERROR(__xludf.DUMMYFUNCTION("""COMPUTED_VALUE"""),"ERWIN CHUA")</f>
        <v>ERWIN CHUA</v>
      </c>
      <c r="H1636" s="17" t="str">
        <f>IFERROR(__xludf.DUMMYFUNCTION("""COMPUTED_VALUE"""),"E9524080950")</f>
        <v>E9524080950</v>
      </c>
      <c r="I1636" s="17">
        <f>IFERROR(__xludf.DUMMYFUNCTION("""COMPUTED_VALUE"""),31.0)</f>
        <v>31</v>
      </c>
      <c r="J1636" s="17" t="str">
        <f>IFERROR(__xludf.DUMMYFUNCTION("""COMPUTED_VALUE"""),"25-34 tahun")</f>
        <v>25-34 tahun</v>
      </c>
      <c r="K1636" s="19">
        <f>IFERROR(__xludf.DUMMYFUNCTION("""COMPUTED_VALUE"""),34789.0)</f>
        <v>34789</v>
      </c>
      <c r="L1636" s="19" t="str">
        <f>IFERROR(__xludf.DUMMYFUNCTION("""COMPUTED_VALUE"""),"LAKI-LAKI")</f>
        <v>LAKI-LAKI</v>
      </c>
      <c r="M1636" s="35" t="str">
        <f>IFERROR(__xludf.DUMMYFUNCTION("""COMPUTED_VALUE"""),"JL. TANJUNG PURA NO 78")</f>
        <v>JL. TANJUNG PURA NO 78</v>
      </c>
      <c r="N1636" s="16" t="str">
        <f>IFERROR(__xludf.DUMMYFUNCTION("""COMPUTED_VALUE"""),"KEL. BENUA MELAYU LAUT")</f>
        <v>KEL. BENUA MELAYU LAUT</v>
      </c>
      <c r="O1636" s="16" t="str">
        <f>IFERROR(__xludf.DUMMYFUNCTION("""COMPUTED_VALUE"""),"KEC. PONTIANAK SELATAN")</f>
        <v>KEC. PONTIANAK SELATAN</v>
      </c>
      <c r="P1636" s="16" t="str">
        <f>IFERROR(__xludf.DUMMYFUNCTION("""COMPUTED_VALUE"""),"KOTA PONTIANAK")</f>
        <v>KOTA PONTIANAK</v>
      </c>
      <c r="Q1636" s="16" t="str">
        <f>IFERROR(__xludf.DUMMYFUNCTION("""COMPUTED_VALUE"""),"KALIMANTAN BARAT")</f>
        <v>KALIMANTAN BARAT</v>
      </c>
      <c r="R1636" s="19" t="str">
        <f>IFERROR(__xludf.DUMMYFUNCTION("""COMPUTED_VALUE"""),"KATOLIK")</f>
        <v>KATOLIK</v>
      </c>
      <c r="S1636" s="16" t="str">
        <f>IFERROR(__xludf.DUMMYFUNCTION("""COMPUTED_VALUE"""),"WIRASWASTA")</f>
        <v>WIRASWASTA</v>
      </c>
      <c r="T1636" s="16" t="str">
        <f>IFERROR(__xludf.DUMMYFUNCTION("""COMPUTED_VALUE"""),"Cedera olahraga")</f>
        <v>Cedera olahraga</v>
      </c>
      <c r="U1636" s="16" t="str">
        <f>IFERROR(__xludf.DUMMYFUNCTION("""COMPUTED_VALUE"""),"Olahraga")</f>
        <v>Olahraga</v>
      </c>
      <c r="V1636" s="11" t="str">
        <f>IFERROR(__xludf.DUMMYFUNCTION("""COMPUTED_VALUE"""),"082136110950")</f>
        <v>082136110950</v>
      </c>
      <c r="W1636" s="15"/>
    </row>
    <row r="1637" ht="22.5" customHeight="1">
      <c r="A1637" s="8"/>
      <c r="B1637" s="9">
        <f>IFERROR(__xludf.DUMMYFUNCTION("""COMPUTED_VALUE"""),45519.409975856484)</f>
        <v>45519.40998</v>
      </c>
      <c r="C1637" s="9"/>
      <c r="D1637" s="34">
        <f>IFERROR(__xludf.DUMMYFUNCTION("""COMPUTED_VALUE"""),45529.0)</f>
        <v>45529</v>
      </c>
      <c r="E1637" s="34" t="str">
        <f>IFERROR(__xludf.DUMMYFUNCTION("""COMPUTED_VALUE"""),"08Agu")</f>
        <v>08Agu</v>
      </c>
      <c r="F1637" s="34" t="str">
        <f>IFERROR(__xludf.DUMMYFUNCTION("""COMPUTED_VALUE"""),"2024")</f>
        <v>2024</v>
      </c>
      <c r="G1637" s="35" t="str">
        <f>IFERROR(__xludf.DUMMYFUNCTION("""COMPUTED_VALUE"""),"ALFANI AMINUDDIN")</f>
        <v>ALFANI AMINUDDIN</v>
      </c>
      <c r="H1637" s="17" t="str">
        <f>IFERROR(__xludf.DUMMYFUNCTION("""COMPUTED_VALUE"""),"A9124080813")</f>
        <v>A9124080813</v>
      </c>
      <c r="I1637" s="17">
        <f>IFERROR(__xludf.DUMMYFUNCTION("""COMPUTED_VALUE"""),34.0)</f>
        <v>34</v>
      </c>
      <c r="J1637" s="17" t="str">
        <f>IFERROR(__xludf.DUMMYFUNCTION("""COMPUTED_VALUE"""),"25-34 tahun")</f>
        <v>25-34 tahun</v>
      </c>
      <c r="K1637" s="19">
        <f>IFERROR(__xludf.DUMMYFUNCTION("""COMPUTED_VALUE"""),33591.0)</f>
        <v>33591</v>
      </c>
      <c r="L1637" s="19" t="str">
        <f>IFERROR(__xludf.DUMMYFUNCTION("""COMPUTED_VALUE"""),"LAKI-LAKI")</f>
        <v>LAKI-LAKI</v>
      </c>
      <c r="M1637" s="35" t="str">
        <f>IFERROR(__xludf.DUMMYFUNCTION("""COMPUTED_VALUE"""),"JALAN ADISUCIPTO KOMPLEK PONDOK INDAH LESTARI BLOK A9 NO.3")</f>
        <v>JALAN ADISUCIPTO KOMPLEK PONDOK INDAH LESTARI BLOK A9 NO.3</v>
      </c>
      <c r="N1637" s="16" t="str">
        <f>IFERROR(__xludf.DUMMYFUNCTION("""COMPUTED_VALUE"""),"DS. PARIT BARU")</f>
        <v>DS. PARIT BARU</v>
      </c>
      <c r="O1637" s="16" t="str">
        <f>IFERROR(__xludf.DUMMYFUNCTION("""COMPUTED_VALUE"""),"KEC. SUNGAI RAYA")</f>
        <v>KEC. SUNGAI RAYA</v>
      </c>
      <c r="P1637" s="16" t="str">
        <f>IFERROR(__xludf.DUMMYFUNCTION("""COMPUTED_VALUE"""),"KAB. KUBU RAYA")</f>
        <v>KAB. KUBU RAYA</v>
      </c>
      <c r="Q1637" s="16" t="str">
        <f>IFERROR(__xludf.DUMMYFUNCTION("""COMPUTED_VALUE"""),"KALIMANTAN BARAT")</f>
        <v>KALIMANTAN BARAT</v>
      </c>
      <c r="R1637" s="19" t="str">
        <f>IFERROR(__xludf.DUMMYFUNCTION("""COMPUTED_VALUE"""),"PROTESTAN")</f>
        <v>PROTESTAN</v>
      </c>
      <c r="S1637" s="16" t="str">
        <f>IFERROR(__xludf.DUMMYFUNCTION("""COMPUTED_VALUE"""),"BUMN")</f>
        <v>BUMN</v>
      </c>
      <c r="T1637" s="16" t="str">
        <f>IFERROR(__xludf.DUMMYFUNCTION("""COMPUTED_VALUE"""),"Tangan terkilir")</f>
        <v>Tangan terkilir</v>
      </c>
      <c r="U1637" s="16" t="str">
        <f>IFERROR(__xludf.DUMMYFUNCTION("""COMPUTED_VALUE"""),"Olahraga")</f>
        <v>Olahraga</v>
      </c>
      <c r="V1637" s="11" t="str">
        <f>IFERROR(__xludf.DUMMYFUNCTION("""COMPUTED_VALUE"""),"081251810813")</f>
        <v>081251810813</v>
      </c>
      <c r="W1637" s="15"/>
    </row>
    <row r="1638" ht="22.5" customHeight="1">
      <c r="A1638" s="8"/>
      <c r="B1638" s="9">
        <f>IFERROR(__xludf.DUMMYFUNCTION("""COMPUTED_VALUE"""),45518.73847224537)</f>
        <v>45518.73847</v>
      </c>
      <c r="C1638" s="9"/>
      <c r="D1638" s="34">
        <f>IFERROR(__xludf.DUMMYFUNCTION("""COMPUTED_VALUE"""),45529.0)</f>
        <v>45529</v>
      </c>
      <c r="E1638" s="34" t="str">
        <f>IFERROR(__xludf.DUMMYFUNCTION("""COMPUTED_VALUE"""),"08Agu")</f>
        <v>08Agu</v>
      </c>
      <c r="F1638" s="34" t="str">
        <f>IFERROR(__xludf.DUMMYFUNCTION("""COMPUTED_VALUE"""),"2024")</f>
        <v>2024</v>
      </c>
      <c r="G1638" s="35" t="str">
        <f>IFERROR(__xludf.DUMMYFUNCTION("""COMPUTED_VALUE"""),"VEREN HALIM")</f>
        <v>VEREN HALIM</v>
      </c>
      <c r="H1638" s="17" t="str">
        <f>IFERROR(__xludf.DUMMYFUNCTION("""COMPUTED_VALUE"""),"V0324086033")</f>
        <v>V0324086033</v>
      </c>
      <c r="I1638" s="17">
        <f>IFERROR(__xludf.DUMMYFUNCTION("""COMPUTED_VALUE"""),23.0)</f>
        <v>23</v>
      </c>
      <c r="J1638" s="17" t="str">
        <f>IFERROR(__xludf.DUMMYFUNCTION("""COMPUTED_VALUE"""),"18-24 tahun")</f>
        <v>18-24 tahun</v>
      </c>
      <c r="K1638" s="19">
        <f>IFERROR(__xludf.DUMMYFUNCTION("""COMPUTED_VALUE"""),37681.0)</f>
        <v>37681</v>
      </c>
      <c r="L1638" s="19" t="str">
        <f>IFERROR(__xludf.DUMMYFUNCTION("""COMPUTED_VALUE"""),"PEREMPUAN")</f>
        <v>PEREMPUAN</v>
      </c>
      <c r="M1638" s="35" t="str">
        <f>IFERROR(__xludf.DUMMYFUNCTION("""COMPUTED_VALUE"""),"GG. KAMBOJA")</f>
        <v>GG. KAMBOJA</v>
      </c>
      <c r="N1638" s="16" t="str">
        <f>IFERROR(__xludf.DUMMYFUNCTION("""COMPUTED_VALUE"""),"KEL. BENUA MELAYU LAUT")</f>
        <v>KEL. BENUA MELAYU LAUT</v>
      </c>
      <c r="O1638" s="16" t="str">
        <f>IFERROR(__xludf.DUMMYFUNCTION("""COMPUTED_VALUE"""),"KEC. PONTIANAK SELATAN")</f>
        <v>KEC. PONTIANAK SELATAN</v>
      </c>
      <c r="P1638" s="16" t="str">
        <f>IFERROR(__xludf.DUMMYFUNCTION("""COMPUTED_VALUE"""),"KOTA PONTIANAK")</f>
        <v>KOTA PONTIANAK</v>
      </c>
      <c r="Q1638" s="16" t="str">
        <f>IFERROR(__xludf.DUMMYFUNCTION("""COMPUTED_VALUE"""),"KALIMANTAN BARAT")</f>
        <v>KALIMANTAN BARAT</v>
      </c>
      <c r="R1638" s="19" t="str">
        <f>IFERROR(__xludf.DUMMYFUNCTION("""COMPUTED_VALUE"""),"BUDDHA")</f>
        <v>BUDDHA</v>
      </c>
      <c r="S1638" s="16" t="str">
        <f>IFERROR(__xludf.DUMMYFUNCTION("""COMPUTED_VALUE"""),"PELAJAR/MAHASISWA")</f>
        <v>PELAJAR/MAHASISWA</v>
      </c>
      <c r="T1638" s="16" t="str">
        <f>IFERROR(__xludf.DUMMYFUNCTION("""COMPUTED_VALUE"""),"Nyeri dan pegal pada punggung, pinggang, paha saat duduk terlalu lama.")</f>
        <v>Nyeri dan pegal pada punggung, pinggang, paha saat duduk terlalu lama.</v>
      </c>
      <c r="U1638" s="16" t="str">
        <f>IFERROR(__xludf.DUMMYFUNCTION("""COMPUTED_VALUE"""),"hanya aktivitas biasa saja di rumah")</f>
        <v>hanya aktivitas biasa saja di rumah</v>
      </c>
      <c r="V1638" s="11" t="str">
        <f>IFERROR(__xludf.DUMMYFUNCTION("""COMPUTED_VALUE"""),"082148176033")</f>
        <v>082148176033</v>
      </c>
      <c r="W1638" s="15"/>
    </row>
    <row r="1639" ht="22.5" customHeight="1">
      <c r="A1639" s="8"/>
      <c r="B1639" s="9">
        <f>IFERROR(__xludf.DUMMYFUNCTION("""COMPUTED_VALUE"""),45520.43829010417)</f>
        <v>45520.43829</v>
      </c>
      <c r="C1639" s="9"/>
      <c r="D1639" s="34">
        <f>IFERROR(__xludf.DUMMYFUNCTION("""COMPUTED_VALUE"""),45529.0)</f>
        <v>45529</v>
      </c>
      <c r="E1639" s="34" t="str">
        <f>IFERROR(__xludf.DUMMYFUNCTION("""COMPUTED_VALUE"""),"08Agu")</f>
        <v>08Agu</v>
      </c>
      <c r="F1639" s="34" t="str">
        <f>IFERROR(__xludf.DUMMYFUNCTION("""COMPUTED_VALUE"""),"2024")</f>
        <v>2024</v>
      </c>
      <c r="G1639" s="35" t="str">
        <f>IFERROR(__xludf.DUMMYFUNCTION("""COMPUTED_VALUE"""),"YENI ANDIKAWATI")</f>
        <v>YENI ANDIKAWATI</v>
      </c>
      <c r="H1639" s="17" t="str">
        <f>IFERROR(__xludf.DUMMYFUNCTION("""COMPUTED_VALUE"""),"Y2424089584")</f>
        <v>Y2424089584</v>
      </c>
      <c r="I1639" s="17">
        <f>IFERROR(__xludf.DUMMYFUNCTION("""COMPUTED_VALUE"""),1.0)</f>
        <v>1</v>
      </c>
      <c r="J1639" s="17" t="str">
        <f>IFERROR(__xludf.DUMMYFUNCTION("""COMPUTED_VALUE"""),"&lt; 18 tahun")</f>
        <v>&lt; 18 tahun</v>
      </c>
      <c r="K1639" s="19">
        <f>IFERROR(__xludf.DUMMYFUNCTION("""COMPUTED_VALUE"""),45486.0)</f>
        <v>45486</v>
      </c>
      <c r="L1639" s="19" t="str">
        <f>IFERROR(__xludf.DUMMYFUNCTION("""COMPUTED_VALUE"""),"PEREMPUAN")</f>
        <v>PEREMPUAN</v>
      </c>
      <c r="M1639" s="35" t="str">
        <f>IFERROR(__xludf.DUMMYFUNCTION("""COMPUTED_VALUE"""),"PERUMNAS I GG. AMARILIS G.3 NO. 18")</f>
        <v>PERUMNAS I GG. AMARILIS G.3 NO. 18</v>
      </c>
      <c r="N1639" s="16" t="str">
        <f>IFERROR(__xludf.DUMMYFUNCTION("""COMPUTED_VALUE"""),"KEL. SUNGAI JAWI LUAR")</f>
        <v>KEL. SUNGAI JAWI LUAR</v>
      </c>
      <c r="O1639" s="16" t="str">
        <f>IFERROR(__xludf.DUMMYFUNCTION("""COMPUTED_VALUE"""),"KEC. PONTIANAK BARAT")</f>
        <v>KEC. PONTIANAK BARAT</v>
      </c>
      <c r="P1639" s="16" t="str">
        <f>IFERROR(__xludf.DUMMYFUNCTION("""COMPUTED_VALUE"""),"KOTA PONTIANAK")</f>
        <v>KOTA PONTIANAK</v>
      </c>
      <c r="Q1639" s="35" t="str">
        <f>IFERROR(__xludf.DUMMYFUNCTION("""COMPUTED_VALUE"""),"KALIMANTAN BARAT")</f>
        <v>KALIMANTAN BARAT</v>
      </c>
      <c r="R1639" s="19" t="str">
        <f>IFERROR(__xludf.DUMMYFUNCTION("""COMPUTED_VALUE"""),"ISLAM")</f>
        <v>ISLAM</v>
      </c>
      <c r="S1639" s="16" t="str">
        <f>IFERROR(__xludf.DUMMYFUNCTION("""COMPUTED_VALUE"""),"SWASTA")</f>
        <v>SWASTA</v>
      </c>
      <c r="T1639" s="16" t="str">
        <f>IFERROR(__xludf.DUMMYFUNCTION("""COMPUTED_VALUE"""),"Sering Kram pd bagian Punggung, Kaki dan tangan")</f>
        <v>Sering Kram pd bagian Punggung, Kaki dan tangan</v>
      </c>
      <c r="U1639" s="16" t="str">
        <f>IFERROR(__xludf.DUMMYFUNCTION("""COMPUTED_VALUE"""),"Ambil Stok Barang")</f>
        <v>Ambil Stok Barang</v>
      </c>
      <c r="V1639" s="11" t="str">
        <f>IFERROR(__xludf.DUMMYFUNCTION("""COMPUTED_VALUE"""),"08565009584")</f>
        <v>08565009584</v>
      </c>
      <c r="W1639" s="15"/>
    </row>
    <row r="1640" ht="22.5" customHeight="1">
      <c r="A1640" s="8"/>
      <c r="B1640" s="9">
        <f>IFERROR(__xludf.DUMMYFUNCTION("""COMPUTED_VALUE"""),45518.621235810184)</f>
        <v>45518.62124</v>
      </c>
      <c r="C1640" s="9"/>
      <c r="D1640" s="34">
        <f>IFERROR(__xludf.DUMMYFUNCTION("""COMPUTED_VALUE"""),45530.0)</f>
        <v>45530</v>
      </c>
      <c r="E1640" s="34" t="str">
        <f>IFERROR(__xludf.DUMMYFUNCTION("""COMPUTED_VALUE"""),"08Agu")</f>
        <v>08Agu</v>
      </c>
      <c r="F1640" s="34" t="str">
        <f>IFERROR(__xludf.DUMMYFUNCTION("""COMPUTED_VALUE"""),"2024")</f>
        <v>2024</v>
      </c>
      <c r="G1640" s="35" t="str">
        <f>IFERROR(__xludf.DUMMYFUNCTION("""COMPUTED_VALUE"""),"ALAN NUARI")</f>
        <v>ALAN NUARI</v>
      </c>
      <c r="H1640" s="17" t="str">
        <f>IFERROR(__xludf.DUMMYFUNCTION("""COMPUTED_VALUE"""),"A9024082325")</f>
        <v>A9024082325</v>
      </c>
      <c r="I1640" s="17">
        <f>IFERROR(__xludf.DUMMYFUNCTION("""COMPUTED_VALUE"""),36.0)</f>
        <v>36</v>
      </c>
      <c r="J1640" s="17" t="str">
        <f>IFERROR(__xludf.DUMMYFUNCTION("""COMPUTED_VALUE"""),"35-44 tahun")</f>
        <v>35-44 tahun</v>
      </c>
      <c r="K1640" s="19">
        <f>IFERROR(__xludf.DUMMYFUNCTION("""COMPUTED_VALUE"""),32879.0)</f>
        <v>32879</v>
      </c>
      <c r="L1640" s="19" t="str">
        <f>IFERROR(__xludf.DUMMYFUNCTION("""COMPUTED_VALUE"""),"LAKI-LAKI")</f>
        <v>LAKI-LAKI</v>
      </c>
      <c r="M1640" s="35" t="str">
        <f>IFERROR(__xludf.DUMMYFUNCTION("""COMPUTED_VALUE"""),"PARIT LURAH,SEGEDONG")</f>
        <v>PARIT LURAH,SEGEDONG</v>
      </c>
      <c r="N1640" s="16" t="str">
        <f>IFERROR(__xludf.DUMMYFUNCTION("""COMPUTED_VALUE"""),"KEL. PENITI BESAR")</f>
        <v>KEL. PENITI BESAR</v>
      </c>
      <c r="O1640" s="16" t="str">
        <f>IFERROR(__xludf.DUMMYFUNCTION("""COMPUTED_VALUE"""),"KEC. SEGEDONG")</f>
        <v>KEC. SEGEDONG</v>
      </c>
      <c r="P1640" s="16" t="str">
        <f>IFERROR(__xludf.DUMMYFUNCTION("""COMPUTED_VALUE"""),"KAB. MEMPAWAH")</f>
        <v>KAB. MEMPAWAH</v>
      </c>
      <c r="Q1640" s="16" t="str">
        <f>IFERROR(__xludf.DUMMYFUNCTION("""COMPUTED_VALUE"""),"KALIMANTAN BARAT")</f>
        <v>KALIMANTAN BARAT</v>
      </c>
      <c r="R1640" s="19" t="str">
        <f>IFERROR(__xludf.DUMMYFUNCTION("""COMPUTED_VALUE"""),"ISLAM")</f>
        <v>ISLAM</v>
      </c>
      <c r="S1640" s="35" t="str">
        <f>IFERROR(__xludf.DUMMYFUNCTION("""COMPUTED_VALUE"""),"SATPAM")</f>
        <v>SATPAM</v>
      </c>
      <c r="T1640" s="16" t="str">
        <f>IFERROR(__xludf.DUMMYFUNCTION("""COMPUTED_VALUE"""),"sering nyilu nyilu")</f>
        <v>sering nyilu nyilu</v>
      </c>
      <c r="U1640" s="16" t="str">
        <f>IFERROR(__xludf.DUMMYFUNCTION("""COMPUTED_VALUE"""),"Tarkam bola")</f>
        <v>Tarkam bola</v>
      </c>
      <c r="V1640" s="11" t="str">
        <f>IFERROR(__xludf.DUMMYFUNCTION("""COMPUTED_VALUE"""),"0895701882325")</f>
        <v>0895701882325</v>
      </c>
      <c r="W1640" s="15"/>
    </row>
    <row r="1641" ht="22.5" customHeight="1">
      <c r="A1641" s="8"/>
      <c r="B1641" s="9">
        <f>IFERROR(__xludf.DUMMYFUNCTION("""COMPUTED_VALUE"""),45520.49793355324)</f>
        <v>45520.49793</v>
      </c>
      <c r="C1641" s="9"/>
      <c r="D1641" s="34">
        <f>IFERROR(__xludf.DUMMYFUNCTION("""COMPUTED_VALUE"""),45530.0)</f>
        <v>45530</v>
      </c>
      <c r="E1641" s="34" t="str">
        <f>IFERROR(__xludf.DUMMYFUNCTION("""COMPUTED_VALUE"""),"08Agu")</f>
        <v>08Agu</v>
      </c>
      <c r="F1641" s="34" t="str">
        <f>IFERROR(__xludf.DUMMYFUNCTION("""COMPUTED_VALUE"""),"2024")</f>
        <v>2024</v>
      </c>
      <c r="G1641" s="35" t="str">
        <f>IFERROR(__xludf.DUMMYFUNCTION("""COMPUTED_VALUE"""),"MUHAMMAD MURDIAN")</f>
        <v>MUHAMMAD MURDIAN</v>
      </c>
      <c r="H1641" s="17" t="str">
        <f>IFERROR(__xludf.DUMMYFUNCTION("""COMPUTED_VALUE"""),"M9924086918")</f>
        <v>M9924086918</v>
      </c>
      <c r="I1641" s="17">
        <f>IFERROR(__xludf.DUMMYFUNCTION("""COMPUTED_VALUE"""),26.0)</f>
        <v>26</v>
      </c>
      <c r="J1641" s="17" t="str">
        <f>IFERROR(__xludf.DUMMYFUNCTION("""COMPUTED_VALUE"""),"25-34 tahun")</f>
        <v>25-34 tahun</v>
      </c>
      <c r="K1641" s="19">
        <f>IFERROR(__xludf.DUMMYFUNCTION("""COMPUTED_VALUE"""),36362.0)</f>
        <v>36362</v>
      </c>
      <c r="L1641" s="19" t="str">
        <f>IFERROR(__xludf.DUMMYFUNCTION("""COMPUTED_VALUE"""),"LAKI-LAKI")</f>
        <v>LAKI-LAKI</v>
      </c>
      <c r="M1641" s="35" t="str">
        <f>IFERROR(__xludf.DUMMYFUNCTION("""COMPUTED_VALUE"""),"JL. KARET GG. KARET INDAH")</f>
        <v>JL. KARET GG. KARET INDAH</v>
      </c>
      <c r="N1641" s="16" t="str">
        <f>IFERROR(__xludf.DUMMYFUNCTION("""COMPUTED_VALUE"""),"KEL. SUNGAI BELIUNG")</f>
        <v>KEL. SUNGAI BELIUNG</v>
      </c>
      <c r="O1641" s="16" t="str">
        <f>IFERROR(__xludf.DUMMYFUNCTION("""COMPUTED_VALUE"""),"KEC. PONTIANAK BARAT")</f>
        <v>KEC. PONTIANAK BARAT</v>
      </c>
      <c r="P1641" s="16" t="str">
        <f>IFERROR(__xludf.DUMMYFUNCTION("""COMPUTED_VALUE"""),"KOTA PONTIANAK")</f>
        <v>KOTA PONTIANAK</v>
      </c>
      <c r="Q1641" s="16" t="str">
        <f>IFERROR(__xludf.DUMMYFUNCTION("""COMPUTED_VALUE"""),"KALIMANTAN BARAT")</f>
        <v>KALIMANTAN BARAT</v>
      </c>
      <c r="R1641" s="19" t="str">
        <f>IFERROR(__xludf.DUMMYFUNCTION("""COMPUTED_VALUE"""),"ISLAM")</f>
        <v>ISLAM</v>
      </c>
      <c r="S1641" s="16" t="str">
        <f>IFERROR(__xludf.DUMMYFUNCTION("""COMPUTED_VALUE"""),"SWASTA")</f>
        <v>SWASTA</v>
      </c>
      <c r="T1641" s="16" t="str">
        <f>IFERROR(__xludf.DUMMYFUNCTION("""COMPUTED_VALUE"""),"Cidera memar")</f>
        <v>Cidera memar</v>
      </c>
      <c r="U1641" s="16" t="str">
        <f>IFERROR(__xludf.DUMMYFUNCTION("""COMPUTED_VALUE"""),"Sepak Bola")</f>
        <v>Sepak Bola</v>
      </c>
      <c r="V1641" s="11" t="str">
        <f>IFERROR(__xludf.DUMMYFUNCTION("""COMPUTED_VALUE"""),"089601076918")</f>
        <v>089601076918</v>
      </c>
      <c r="W1641" s="15"/>
    </row>
    <row r="1642" ht="22.5" customHeight="1">
      <c r="A1642" s="8"/>
      <c r="B1642" s="9">
        <f>IFERROR(__xludf.DUMMYFUNCTION("""COMPUTED_VALUE"""),45520.60990199074)</f>
        <v>45520.6099</v>
      </c>
      <c r="C1642" s="9"/>
      <c r="D1642" s="34">
        <f>IFERROR(__xludf.DUMMYFUNCTION("""COMPUTED_VALUE"""),45531.0)</f>
        <v>45531</v>
      </c>
      <c r="E1642" s="34" t="str">
        <f>IFERROR(__xludf.DUMMYFUNCTION("""COMPUTED_VALUE"""),"08Agu")</f>
        <v>08Agu</v>
      </c>
      <c r="F1642" s="34" t="str">
        <f>IFERROR(__xludf.DUMMYFUNCTION("""COMPUTED_VALUE"""),"2024")</f>
        <v>2024</v>
      </c>
      <c r="G1642" s="35" t="str">
        <f>IFERROR(__xludf.DUMMYFUNCTION("""COMPUTED_VALUE"""),"RAHMIATI DUWIK SUARNI")</f>
        <v>RAHMIATI DUWIK SUARNI</v>
      </c>
      <c r="H1642" s="17" t="str">
        <f>IFERROR(__xludf.DUMMYFUNCTION("""COMPUTED_VALUE"""),"R0324083730")</f>
        <v>R0324083730</v>
      </c>
      <c r="I1642" s="17">
        <f>IFERROR(__xludf.DUMMYFUNCTION("""COMPUTED_VALUE"""),22.0)</f>
        <v>22</v>
      </c>
      <c r="J1642" s="17" t="str">
        <f>IFERROR(__xludf.DUMMYFUNCTION("""COMPUTED_VALUE"""),"18-24 tahun")</f>
        <v>18-24 tahun</v>
      </c>
      <c r="K1642" s="19">
        <f>IFERROR(__xludf.DUMMYFUNCTION("""COMPUTED_VALUE"""),37971.0)</f>
        <v>37971</v>
      </c>
      <c r="L1642" s="19" t="str">
        <f>IFERROR(__xludf.DUMMYFUNCTION("""COMPUTED_VALUE"""),"PEREMPUAN")</f>
        <v>PEREMPUAN</v>
      </c>
      <c r="M1642" s="35" t="str">
        <f>IFERROR(__xludf.DUMMYFUNCTION("""COMPUTED_VALUE"""),"DUSUN NELAYAN")</f>
        <v>DUSUN NELAYAN</v>
      </c>
      <c r="N1642" s="16" t="str">
        <f>IFERROR(__xludf.DUMMYFUNCTION("""COMPUTED_VALUE"""),"DS. SUNGAI JAGA B")</f>
        <v>DS. SUNGAI JAGA B</v>
      </c>
      <c r="O1642" s="16" t="str">
        <f>IFERROR(__xludf.DUMMYFUNCTION("""COMPUTED_VALUE"""),"KEC. SUNGAI RAYA")</f>
        <v>KEC. SUNGAI RAYA</v>
      </c>
      <c r="P1642" s="16" t="str">
        <f>IFERROR(__xludf.DUMMYFUNCTION("""COMPUTED_VALUE"""),"KAB. BENGKAYANG")</f>
        <v>KAB. BENGKAYANG</v>
      </c>
      <c r="Q1642" s="16" t="str">
        <f>IFERROR(__xludf.DUMMYFUNCTION("""COMPUTED_VALUE"""),"KALIMANTAN BARAT")</f>
        <v>KALIMANTAN BARAT</v>
      </c>
      <c r="R1642" s="19" t="str">
        <f>IFERROR(__xludf.DUMMYFUNCTION("""COMPUTED_VALUE"""),"ISLAM")</f>
        <v>ISLAM</v>
      </c>
      <c r="S1642" s="35" t="str">
        <f>IFERROR(__xludf.DUMMYFUNCTION("""COMPUTED_VALUE"""),"PELAJAR/MAHASISWA")</f>
        <v>PELAJAR/MAHASISWA</v>
      </c>
      <c r="T1642" s="16" t="str">
        <f>IFERROR(__xludf.DUMMYFUNCTION("""COMPUTED_VALUE"""),"(SARAF KEJEPIT)NYERI DIBAGIAN LEHER SEBELAH KANAN SAMPAI KEPALA. sudah beberapa bulan nyeri bagian leher dan mengganggu aktivitas")</f>
        <v>(SARAF KEJEPIT)NYERI DIBAGIAN LEHER SEBELAH KANAN SAMPAI KEPALA. sudah beberapa bulan nyeri bagian leher dan mengganggu aktivitas</v>
      </c>
      <c r="U1642" s="16" t="str">
        <f>IFERROR(__xludf.DUMMYFUNCTION("""COMPUTED_VALUE"""),"sekarang sedang magang dari jam 8-4 sore, sebelumnya tidak ada aktivitas hanya dikamar saja.")</f>
        <v>sekarang sedang magang dari jam 8-4 sore, sebelumnya tidak ada aktivitas hanya dikamar saja.</v>
      </c>
      <c r="V1642" s="11" t="str">
        <f>IFERROR(__xludf.DUMMYFUNCTION("""COMPUTED_VALUE"""),"082150853730")</f>
        <v>082150853730</v>
      </c>
      <c r="W1642" s="15"/>
    </row>
    <row r="1643" ht="22.5" customHeight="1">
      <c r="A1643" s="8"/>
      <c r="B1643" s="9">
        <f>IFERROR(__xludf.DUMMYFUNCTION("""COMPUTED_VALUE"""),45521.88463068287)</f>
        <v>45521.88463</v>
      </c>
      <c r="C1643" s="9"/>
      <c r="D1643" s="34">
        <f>IFERROR(__xludf.DUMMYFUNCTION("""COMPUTED_VALUE"""),45531.0)</f>
        <v>45531</v>
      </c>
      <c r="E1643" s="34" t="str">
        <f>IFERROR(__xludf.DUMMYFUNCTION("""COMPUTED_VALUE"""),"08Agu")</f>
        <v>08Agu</v>
      </c>
      <c r="F1643" s="34" t="str">
        <f>IFERROR(__xludf.DUMMYFUNCTION("""COMPUTED_VALUE"""),"2024")</f>
        <v>2024</v>
      </c>
      <c r="G1643" s="35" t="str">
        <f>IFERROR(__xludf.DUMMYFUNCTION("""COMPUTED_VALUE"""),"TIANAR SIMANJUNTAK")</f>
        <v>TIANAR SIMANJUNTAK</v>
      </c>
      <c r="H1643" s="17" t="str">
        <f>IFERROR(__xludf.DUMMYFUNCTION("""COMPUTED_VALUE"""),"T5824082036")</f>
        <v>T5824082036</v>
      </c>
      <c r="I1643" s="17">
        <f>IFERROR(__xludf.DUMMYFUNCTION("""COMPUTED_VALUE"""),68.0)</f>
        <v>68</v>
      </c>
      <c r="J1643" s="17" t="str">
        <f>IFERROR(__xludf.DUMMYFUNCTION("""COMPUTED_VALUE"""),"&gt; 44 tahun")</f>
        <v>&gt; 44 tahun</v>
      </c>
      <c r="K1643" s="19">
        <f>IFERROR(__xludf.DUMMYFUNCTION("""COMPUTED_VALUE"""),21286.0)</f>
        <v>21286</v>
      </c>
      <c r="L1643" s="19" t="str">
        <f>IFERROR(__xludf.DUMMYFUNCTION("""COMPUTED_VALUE"""),"PEREMPUAN")</f>
        <v>PEREMPUAN</v>
      </c>
      <c r="M1643" s="35" t="str">
        <f>IFERROR(__xludf.DUMMYFUNCTION("""COMPUTED_VALUE"""),"JL. DR. SUTOMO GG. KARYA A NO.14A")</f>
        <v>JL. DR. SUTOMO GG. KARYA A NO.14A</v>
      </c>
      <c r="N1643" s="16" t="str">
        <f>IFERROR(__xludf.DUMMYFUNCTION("""COMPUTED_VALUE"""),"KEL. SUNGAI BANGKONG")</f>
        <v>KEL. SUNGAI BANGKONG</v>
      </c>
      <c r="O1643" s="16" t="str">
        <f>IFERROR(__xludf.DUMMYFUNCTION("""COMPUTED_VALUE"""),"KEC. PONTIANAK KOTA")</f>
        <v>KEC. PONTIANAK KOTA</v>
      </c>
      <c r="P1643" s="16" t="str">
        <f>IFERROR(__xludf.DUMMYFUNCTION("""COMPUTED_VALUE"""),"KOTA PONTIANAK")</f>
        <v>KOTA PONTIANAK</v>
      </c>
      <c r="Q1643" s="16" t="str">
        <f>IFERROR(__xludf.DUMMYFUNCTION("""COMPUTED_VALUE"""),"KALIMANTAN BARAT")</f>
        <v>KALIMANTAN BARAT</v>
      </c>
      <c r="R1643" s="19" t="str">
        <f>IFERROR(__xludf.DUMMYFUNCTION("""COMPUTED_VALUE"""),"LAINNYA")</f>
        <v>LAINNYA</v>
      </c>
      <c r="S1643" s="35" t="str">
        <f>IFERROR(__xludf.DUMMYFUNCTION("""COMPUTED_VALUE"""),"RUMAH TANGGA")</f>
        <v>RUMAH TANGGA</v>
      </c>
      <c r="T1643" s="16" t="str">
        <f>IFERROR(__xludf.DUMMYFUNCTION("""COMPUTED_VALUE"""),"STROKE RINGAN, SUSAH JALAN")</f>
        <v>STROKE RINGAN, SUSAH JALAN</v>
      </c>
      <c r="U1643" s="16" t="str">
        <f>IFERROR(__xludf.DUMMYFUNCTION("""COMPUTED_VALUE"""),"PEKERJAAN RUMAH")</f>
        <v>PEKERJAAN RUMAH</v>
      </c>
      <c r="V1643" s="11" t="str">
        <f>IFERROR(__xludf.DUMMYFUNCTION("""COMPUTED_VALUE"""),"082154572036")</f>
        <v>082154572036</v>
      </c>
      <c r="W1643" s="15"/>
    </row>
    <row r="1644" ht="22.5" customHeight="1">
      <c r="A1644" s="8"/>
      <c r="B1644" s="9">
        <f>IFERROR(__xludf.DUMMYFUNCTION("""COMPUTED_VALUE"""),45522.43035498842)</f>
        <v>45522.43035</v>
      </c>
      <c r="C1644" s="9"/>
      <c r="D1644" s="34">
        <f>IFERROR(__xludf.DUMMYFUNCTION("""COMPUTED_VALUE"""),45531.0)</f>
        <v>45531</v>
      </c>
      <c r="E1644" s="34" t="str">
        <f>IFERROR(__xludf.DUMMYFUNCTION("""COMPUTED_VALUE"""),"08Agu")</f>
        <v>08Agu</v>
      </c>
      <c r="F1644" s="34" t="str">
        <f>IFERROR(__xludf.DUMMYFUNCTION("""COMPUTED_VALUE"""),"2024")</f>
        <v>2024</v>
      </c>
      <c r="G1644" s="35" t="str">
        <f>IFERROR(__xludf.DUMMYFUNCTION("""COMPUTED_VALUE"""),"BENYAMIN BAYE")</f>
        <v>BENYAMIN BAYE</v>
      </c>
      <c r="H1644" s="17" t="str">
        <f>IFERROR(__xludf.DUMMYFUNCTION("""COMPUTED_VALUE"""),"B2424086325")</f>
        <v>B2424086325</v>
      </c>
      <c r="I1644" s="17">
        <f>IFERROR(__xludf.DUMMYFUNCTION("""COMPUTED_VALUE"""),1.0)</f>
        <v>1</v>
      </c>
      <c r="J1644" s="17" t="str">
        <f>IFERROR(__xludf.DUMMYFUNCTION("""COMPUTED_VALUE"""),"&lt; 18 tahun")</f>
        <v>&lt; 18 tahun</v>
      </c>
      <c r="K1644" s="19">
        <f>IFERROR(__xludf.DUMMYFUNCTION("""COMPUTED_VALUE"""),45531.0)</f>
        <v>45531</v>
      </c>
      <c r="L1644" s="19" t="str">
        <f>IFERROR(__xludf.DUMMYFUNCTION("""COMPUTED_VALUE"""),"LAKI-LAKI")</f>
        <v>LAKI-LAKI</v>
      </c>
      <c r="M1644" s="35" t="str">
        <f>IFERROR(__xludf.DUMMYFUNCTION("""COMPUTED_VALUE"""),"JALAN PURNAMA AGUNG 7 BLOK L NO 15")</f>
        <v>JALAN PURNAMA AGUNG 7 BLOK L NO 15</v>
      </c>
      <c r="N1644" s="16" t="str">
        <f>IFERROR(__xludf.DUMMYFUNCTION("""COMPUTED_VALUE"""),"KEL. PARIT TOKAYA")</f>
        <v>KEL. PARIT TOKAYA</v>
      </c>
      <c r="O1644" s="16" t="str">
        <f>IFERROR(__xludf.DUMMYFUNCTION("""COMPUTED_VALUE"""),"KEC. PONTIANAK SELATAN")</f>
        <v>KEC. PONTIANAK SELATAN</v>
      </c>
      <c r="P1644" s="16" t="str">
        <f>IFERROR(__xludf.DUMMYFUNCTION("""COMPUTED_VALUE"""),"KOTA PONTIANAK")</f>
        <v>KOTA PONTIANAK</v>
      </c>
      <c r="Q1644" s="16" t="str">
        <f>IFERROR(__xludf.DUMMYFUNCTION("""COMPUTED_VALUE"""),"KALIMANTAN BARAT")</f>
        <v>KALIMANTAN BARAT</v>
      </c>
      <c r="R1644" s="19" t="str">
        <f>IFERROR(__xludf.DUMMYFUNCTION("""COMPUTED_VALUE"""),"PROTESTAN")</f>
        <v>PROTESTAN</v>
      </c>
      <c r="S1644" s="16" t="str">
        <f>IFERROR(__xludf.DUMMYFUNCTION("""COMPUTED_VALUE"""),"TIDAK ADA")</f>
        <v>TIDAK ADA</v>
      </c>
      <c r="T1644" s="16" t="str">
        <f>IFERROR(__xludf.DUMMYFUNCTION("""COMPUTED_VALUE"""),"Nyeri punggung sejak 3 hari yang lalu post Kecelakaan Lalu Lintas")</f>
        <v>Nyeri punggung sejak 3 hari yang lalu post Kecelakaan Lalu Lintas</v>
      </c>
      <c r="U1644" s="16" t="str">
        <f>IFERROR(__xludf.DUMMYFUNCTION("""COMPUTED_VALUE"""),"-")</f>
        <v>-</v>
      </c>
      <c r="V1644" s="11" t="str">
        <f>IFERROR(__xludf.DUMMYFUNCTION("""COMPUTED_VALUE"""),"081351276325")</f>
        <v>081351276325</v>
      </c>
      <c r="W1644" s="15"/>
    </row>
    <row r="1645" ht="22.5" customHeight="1">
      <c r="A1645" s="8"/>
      <c r="B1645" s="9">
        <f>IFERROR(__xludf.DUMMYFUNCTION("""COMPUTED_VALUE"""),45522.64343549768)</f>
        <v>45522.64344</v>
      </c>
      <c r="C1645" s="9"/>
      <c r="D1645" s="34">
        <f>IFERROR(__xludf.DUMMYFUNCTION("""COMPUTED_VALUE"""),45531.0)</f>
        <v>45531</v>
      </c>
      <c r="E1645" s="34" t="str">
        <f>IFERROR(__xludf.DUMMYFUNCTION("""COMPUTED_VALUE"""),"08Agu")</f>
        <v>08Agu</v>
      </c>
      <c r="F1645" s="34" t="str">
        <f>IFERROR(__xludf.DUMMYFUNCTION("""COMPUTED_VALUE"""),"2024")</f>
        <v>2024</v>
      </c>
      <c r="G1645" s="35" t="str">
        <f>IFERROR(__xludf.DUMMYFUNCTION("""COMPUTED_VALUE"""),"HENGKY KAKI")</f>
        <v>HENGKY KAKI</v>
      </c>
      <c r="H1645" s="17" t="str">
        <f>IFERROR(__xludf.DUMMYFUNCTION("""COMPUTED_VALUE"""),"H8024086788")</f>
        <v>H8024086788</v>
      </c>
      <c r="I1645" s="17">
        <f>IFERROR(__xludf.DUMMYFUNCTION("""COMPUTED_VALUE"""),45.0)</f>
        <v>45</v>
      </c>
      <c r="J1645" s="17" t="str">
        <f>IFERROR(__xludf.DUMMYFUNCTION("""COMPUTED_VALUE"""),"&gt; 44 tahun")</f>
        <v>&gt; 44 tahun</v>
      </c>
      <c r="K1645" s="19">
        <f>IFERROR(__xludf.DUMMYFUNCTION("""COMPUTED_VALUE"""),29547.0)</f>
        <v>29547</v>
      </c>
      <c r="L1645" s="19" t="str">
        <f>IFERROR(__xludf.DUMMYFUNCTION("""COMPUTED_VALUE"""),"LAKI-LAKI")</f>
        <v>LAKI-LAKI</v>
      </c>
      <c r="M1645" s="35" t="str">
        <f>IFERROR(__xludf.DUMMYFUNCTION("""COMPUTED_VALUE"""),"JL.SULTAN MUHAMMAD NO.200")</f>
        <v>JL.SULTAN MUHAMMAD NO.200</v>
      </c>
      <c r="N1645" s="16" t="str">
        <f>IFERROR(__xludf.DUMMYFUNCTION("""COMPUTED_VALUE"""),"KEL. BENUA MELAYU LAUT")</f>
        <v>KEL. BENUA MELAYU LAUT</v>
      </c>
      <c r="O1645" s="16" t="str">
        <f>IFERROR(__xludf.DUMMYFUNCTION("""COMPUTED_VALUE"""),"KEC. PONTIANAK SELATAN")</f>
        <v>KEC. PONTIANAK SELATAN</v>
      </c>
      <c r="P1645" s="16" t="str">
        <f>IFERROR(__xludf.DUMMYFUNCTION("""COMPUTED_VALUE"""),"KOTA PONTIANAK")</f>
        <v>KOTA PONTIANAK</v>
      </c>
      <c r="Q1645" s="16" t="str">
        <f>IFERROR(__xludf.DUMMYFUNCTION("""COMPUTED_VALUE"""),"KALIMANTAN BARAT")</f>
        <v>KALIMANTAN BARAT</v>
      </c>
      <c r="R1645" s="19" t="str">
        <f>IFERROR(__xludf.DUMMYFUNCTION("""COMPUTED_VALUE"""),"BUDDHA")</f>
        <v>BUDDHA</v>
      </c>
      <c r="S1645" s="35" t="str">
        <f>IFERROR(__xludf.DUMMYFUNCTION("""COMPUTED_VALUE"""),"SWASTA")</f>
        <v>SWASTA</v>
      </c>
      <c r="T1645" s="16" t="str">
        <f>IFERROR(__xludf.DUMMYFUNCTION("""COMPUTED_VALUE"""),"Kaki sakit")</f>
        <v>Kaki sakit</v>
      </c>
      <c r="U1645" s="16" t="str">
        <f>IFERROR(__xludf.DUMMYFUNCTION("""COMPUTED_VALUE"""),"Jalan")</f>
        <v>Jalan</v>
      </c>
      <c r="V1645" s="11" t="str">
        <f>IFERROR(__xludf.DUMMYFUNCTION("""COMPUTED_VALUE"""),"0811566788")</f>
        <v>0811566788</v>
      </c>
      <c r="W1645" s="15"/>
    </row>
    <row r="1646" ht="22.5" customHeight="1">
      <c r="A1646" s="8"/>
      <c r="B1646" s="9">
        <f>IFERROR(__xludf.DUMMYFUNCTION("""COMPUTED_VALUE"""),45522.45069550926)</f>
        <v>45522.4507</v>
      </c>
      <c r="C1646" s="9"/>
      <c r="D1646" s="34">
        <f>IFERROR(__xludf.DUMMYFUNCTION("""COMPUTED_VALUE"""),45531.0)</f>
        <v>45531</v>
      </c>
      <c r="E1646" s="34" t="str">
        <f>IFERROR(__xludf.DUMMYFUNCTION("""COMPUTED_VALUE"""),"08Agu")</f>
        <v>08Agu</v>
      </c>
      <c r="F1646" s="34" t="str">
        <f>IFERROR(__xludf.DUMMYFUNCTION("""COMPUTED_VALUE"""),"2024")</f>
        <v>2024</v>
      </c>
      <c r="G1646" s="35" t="str">
        <f>IFERROR(__xludf.DUMMYFUNCTION("""COMPUTED_VALUE"""),"HENDRA BUDIMAN")</f>
        <v>HENDRA BUDIMAN</v>
      </c>
      <c r="H1646" s="17" t="str">
        <f>IFERROR(__xludf.DUMMYFUNCTION("""COMPUTED_VALUE"""),"H8624085048")</f>
        <v>H8624085048</v>
      </c>
      <c r="I1646" s="17">
        <f>IFERROR(__xludf.DUMMYFUNCTION("""COMPUTED_VALUE"""),40.0)</f>
        <v>40</v>
      </c>
      <c r="J1646" s="17" t="str">
        <f>IFERROR(__xludf.DUMMYFUNCTION("""COMPUTED_VALUE"""),"35-44 tahun")</f>
        <v>35-44 tahun</v>
      </c>
      <c r="K1646" s="19">
        <f>IFERROR(__xludf.DUMMYFUNCTION("""COMPUTED_VALUE"""),31519.0)</f>
        <v>31519</v>
      </c>
      <c r="L1646" s="19" t="str">
        <f>IFERROR(__xludf.DUMMYFUNCTION("""COMPUTED_VALUE"""),"LAKI-LAKI")</f>
        <v>LAKI-LAKI</v>
      </c>
      <c r="M1646" s="35" t="str">
        <f>IFERROR(__xludf.DUMMYFUNCTION("""COMPUTED_VALUE"""),"JL.PANGLIMA NAGA BLOK D6NO18")</f>
        <v>JL.PANGLIMA NAGA BLOK D6NO18</v>
      </c>
      <c r="N1646" s="16" t="str">
        <f>IFERROR(__xludf.DUMMYFUNCTION("""COMPUTED_VALUE"""),"DS. MUNGGUK")</f>
        <v>DS. MUNGGUK</v>
      </c>
      <c r="O1646" s="16" t="str">
        <f>IFERROR(__xludf.DUMMYFUNCTION("""COMPUTED_VALUE"""),"KEC. SEKADAU HILIR")</f>
        <v>KEC. SEKADAU HILIR</v>
      </c>
      <c r="P1646" s="16" t="str">
        <f>IFERROR(__xludf.DUMMYFUNCTION("""COMPUTED_VALUE"""),"KAB. SEKADAU")</f>
        <v>KAB. SEKADAU</v>
      </c>
      <c r="Q1646" s="16" t="str">
        <f>IFERROR(__xludf.DUMMYFUNCTION("""COMPUTED_VALUE"""),"KALIMANTAN BARAT")</f>
        <v>KALIMANTAN BARAT</v>
      </c>
      <c r="R1646" s="19" t="str">
        <f>IFERROR(__xludf.DUMMYFUNCTION("""COMPUTED_VALUE"""),"KATOLIK")</f>
        <v>KATOLIK</v>
      </c>
      <c r="S1646" s="16" t="str">
        <f>IFERROR(__xludf.DUMMYFUNCTION("""COMPUTED_VALUE"""),"WIRASWASTA")</f>
        <v>WIRASWASTA</v>
      </c>
      <c r="T1646" s="16" t="str">
        <f>IFERROR(__xludf.DUMMYFUNCTION("""COMPUTED_VALUE"""),"Sering sakit pinggang menjalar sampai kekaki")</f>
        <v>Sering sakit pinggang menjalar sampai kekaki</v>
      </c>
      <c r="U1646" s="16" t="str">
        <f>IFERROR(__xludf.DUMMYFUNCTION("""COMPUTED_VALUE"""),"Memancing")</f>
        <v>Memancing</v>
      </c>
      <c r="V1646" s="11" t="str">
        <f>IFERROR(__xludf.DUMMYFUNCTION("""COMPUTED_VALUE"""),"+61433655048")</f>
        <v>+61433655048</v>
      </c>
      <c r="W1646" s="15"/>
    </row>
    <row r="1647" ht="22.5" customHeight="1">
      <c r="A1647" s="43"/>
      <c r="B1647" s="24">
        <f>IFERROR(__xludf.DUMMYFUNCTION("""COMPUTED_VALUE"""),45522.82821703704)</f>
        <v>45522.82822</v>
      </c>
      <c r="C1647" s="24"/>
      <c r="D1647" s="34">
        <f>IFERROR(__xludf.DUMMYFUNCTION("""COMPUTED_VALUE"""),45531.0)</f>
        <v>45531</v>
      </c>
      <c r="E1647" s="34" t="str">
        <f>IFERROR(__xludf.DUMMYFUNCTION("""COMPUTED_VALUE"""),"08Agu")</f>
        <v>08Agu</v>
      </c>
      <c r="F1647" s="34" t="str">
        <f>IFERROR(__xludf.DUMMYFUNCTION("""COMPUTED_VALUE"""),"2024")</f>
        <v>2024</v>
      </c>
      <c r="G1647" s="35" t="str">
        <f>IFERROR(__xludf.DUMMYFUNCTION("""COMPUTED_VALUE"""),"DEWI KURNIATI")</f>
        <v>DEWI KURNIATI</v>
      </c>
      <c r="H1647" s="17" t="str">
        <f>IFERROR(__xludf.DUMMYFUNCTION("""COMPUTED_VALUE"""),"D7724087711")</f>
        <v>D7724087711</v>
      </c>
      <c r="I1647" s="17">
        <f>IFERROR(__xludf.DUMMYFUNCTION("""COMPUTED_VALUE"""),48.0)</f>
        <v>48</v>
      </c>
      <c r="J1647" s="17" t="str">
        <f>IFERROR(__xludf.DUMMYFUNCTION("""COMPUTED_VALUE"""),"&gt; 44 tahun")</f>
        <v>&gt; 44 tahun</v>
      </c>
      <c r="K1647" s="21">
        <f>IFERROR(__xludf.DUMMYFUNCTION("""COMPUTED_VALUE"""),28347.0)</f>
        <v>28347</v>
      </c>
      <c r="L1647" s="21" t="str">
        <f>IFERROR(__xludf.DUMMYFUNCTION("""COMPUTED_VALUE"""),"PEREMPUAN")</f>
        <v>PEREMPUAN</v>
      </c>
      <c r="M1647" s="35" t="str">
        <f>IFERROR(__xludf.DUMMYFUNCTION("""COMPUTED_VALUE"""),"JL KHW HASYIM GG USAHA 2 NO 8")</f>
        <v>JL KHW HASYIM GG USAHA 2 NO 8</v>
      </c>
      <c r="N1647" s="16" t="str">
        <f>IFERROR(__xludf.DUMMYFUNCTION("""COMPUTED_VALUE"""),"KEL. SUNGAI JAWI")</f>
        <v>KEL. SUNGAI JAWI</v>
      </c>
      <c r="O1647" s="16" t="str">
        <f>IFERROR(__xludf.DUMMYFUNCTION("""COMPUTED_VALUE"""),"KEC. PONTIANAK KOTA")</f>
        <v>KEC. PONTIANAK KOTA</v>
      </c>
      <c r="P1647" s="16" t="str">
        <f>IFERROR(__xludf.DUMMYFUNCTION("""COMPUTED_VALUE"""),"KOTA PONTIANAK")</f>
        <v>KOTA PONTIANAK</v>
      </c>
      <c r="Q1647" s="16" t="str">
        <f>IFERROR(__xludf.DUMMYFUNCTION("""COMPUTED_VALUE"""),"KALIMANTAN BARAT")</f>
        <v>KALIMANTAN BARAT</v>
      </c>
      <c r="R1647" s="21" t="str">
        <f>IFERROR(__xludf.DUMMYFUNCTION("""COMPUTED_VALUE"""),"ISLAM")</f>
        <v>ISLAM</v>
      </c>
      <c r="S1647" s="16" t="str">
        <f>IFERROR(__xludf.DUMMYFUNCTION("""COMPUTED_VALUE"""),"ASN")</f>
        <v>ASN</v>
      </c>
      <c r="T1647" s="36" t="str">
        <f>IFERROR(__xludf.DUMMYFUNCTION("""COMPUTED_VALUE"""),"KAKI KESELEO SAAT SENAM")</f>
        <v>KAKI KESELEO SAAT SENAM</v>
      </c>
      <c r="U1647" s="36" t="str">
        <f>IFERROR(__xludf.DUMMYFUNCTION("""COMPUTED_VALUE"""),"Senam/ mengajar")</f>
        <v>Senam/ mengajar</v>
      </c>
      <c r="V1647" s="37" t="str">
        <f>IFERROR(__xludf.DUMMYFUNCTION("""COMPUTED_VALUE"""),"08115747711")</f>
        <v>08115747711</v>
      </c>
      <c r="W1647" s="22"/>
    </row>
    <row r="1648" ht="22.5" customHeight="1">
      <c r="A1648" s="43"/>
      <c r="B1648" s="24">
        <f>IFERROR(__xludf.DUMMYFUNCTION("""COMPUTED_VALUE"""),45522.84721258102)</f>
        <v>45522.84721</v>
      </c>
      <c r="C1648" s="24"/>
      <c r="D1648" s="34">
        <f>IFERROR(__xludf.DUMMYFUNCTION("""COMPUTED_VALUE"""),45532.0)</f>
        <v>45532</v>
      </c>
      <c r="E1648" s="34" t="str">
        <f>IFERROR(__xludf.DUMMYFUNCTION("""COMPUTED_VALUE"""),"08Agu")</f>
        <v>08Agu</v>
      </c>
      <c r="F1648" s="34" t="str">
        <f>IFERROR(__xludf.DUMMYFUNCTION("""COMPUTED_VALUE"""),"2024")</f>
        <v>2024</v>
      </c>
      <c r="G1648" s="35" t="str">
        <f>IFERROR(__xludf.DUMMYFUNCTION("""COMPUTED_VALUE"""),"ELIS YUNELITA")</f>
        <v>ELIS YUNELITA</v>
      </c>
      <c r="H1648" s="17" t="str">
        <f>IFERROR(__xludf.DUMMYFUNCTION("""COMPUTED_VALUE"""),"E6624089477")</f>
        <v>E6624089477</v>
      </c>
      <c r="I1648" s="17">
        <f>IFERROR(__xludf.DUMMYFUNCTION("""COMPUTED_VALUE"""),59.0)</f>
        <v>59</v>
      </c>
      <c r="J1648" s="17" t="str">
        <f>IFERROR(__xludf.DUMMYFUNCTION("""COMPUTED_VALUE"""),"&gt; 44 tahun")</f>
        <v>&gt; 44 tahun</v>
      </c>
      <c r="K1648" s="19">
        <f>IFERROR(__xludf.DUMMYFUNCTION("""COMPUTED_VALUE"""),24284.0)</f>
        <v>24284</v>
      </c>
      <c r="L1648" s="19" t="str">
        <f>IFERROR(__xludf.DUMMYFUNCTION("""COMPUTED_VALUE"""),"PEREMPUAN")</f>
        <v>PEREMPUAN</v>
      </c>
      <c r="M1648" s="35" t="str">
        <f>IFERROR(__xludf.DUMMYFUNCTION("""COMPUTED_VALUE"""),"JL. PARIT H HUSEIN 2, KOMP. ACISA ASRI NO.59")</f>
        <v>JL. PARIT H HUSEIN 2, KOMP. ACISA ASRI NO.59</v>
      </c>
      <c r="N1648" s="16" t="str">
        <f>IFERROR(__xludf.DUMMYFUNCTION("""COMPUTED_VALUE"""),"KEL. BANSIR DARAT")</f>
        <v>KEL. BANSIR DARAT</v>
      </c>
      <c r="O1648" s="16" t="str">
        <f>IFERROR(__xludf.DUMMYFUNCTION("""COMPUTED_VALUE"""),"KEC. PONTIANAK TENGGARA")</f>
        <v>KEC. PONTIANAK TENGGARA</v>
      </c>
      <c r="P1648" s="16" t="str">
        <f>IFERROR(__xludf.DUMMYFUNCTION("""COMPUTED_VALUE"""),"KOTA PONTIANAK")</f>
        <v>KOTA PONTIANAK</v>
      </c>
      <c r="Q1648" s="16" t="str">
        <f>IFERROR(__xludf.DUMMYFUNCTION("""COMPUTED_VALUE"""),"KALIMANTAN BARAT")</f>
        <v>KALIMANTAN BARAT</v>
      </c>
      <c r="R1648" s="19" t="str">
        <f>IFERROR(__xludf.DUMMYFUNCTION("""COMPUTED_VALUE"""),"ISLAM")</f>
        <v>ISLAM</v>
      </c>
      <c r="S1648" s="16" t="str">
        <f>IFERROR(__xludf.DUMMYFUNCTION("""COMPUTED_VALUE"""),"RUMAH TANGGA")</f>
        <v>RUMAH TANGGA</v>
      </c>
      <c r="T1648" s="16" t="str">
        <f>IFERROR(__xludf.DUMMYFUNCTION("""COMPUTED_VALUE"""),"Nyeri pada")</f>
        <v>Nyeri pada</v>
      </c>
      <c r="U1648" s="16" t="str">
        <f>IFERROR(__xludf.DUMMYFUNCTION("""COMPUTED_VALUE"""),"-")</f>
        <v>-</v>
      </c>
      <c r="V1648" s="11" t="str">
        <f>IFERROR(__xludf.DUMMYFUNCTION("""COMPUTED_VALUE"""),"081352269477")</f>
        <v>081352269477</v>
      </c>
      <c r="W1648" s="15"/>
    </row>
    <row r="1649" ht="22.5" customHeight="1">
      <c r="A1649" s="8"/>
      <c r="B1649" s="9">
        <f>IFERROR(__xludf.DUMMYFUNCTION("""COMPUTED_VALUE"""),45522.78628998843)</f>
        <v>45522.78629</v>
      </c>
      <c r="C1649" s="9"/>
      <c r="D1649" s="34">
        <f>IFERROR(__xludf.DUMMYFUNCTION("""COMPUTED_VALUE"""),45532.0)</f>
        <v>45532</v>
      </c>
      <c r="E1649" s="34" t="str">
        <f>IFERROR(__xludf.DUMMYFUNCTION("""COMPUTED_VALUE"""),"08Agu")</f>
        <v>08Agu</v>
      </c>
      <c r="F1649" s="34" t="str">
        <f>IFERROR(__xludf.DUMMYFUNCTION("""COMPUTED_VALUE"""),"2024")</f>
        <v>2024</v>
      </c>
      <c r="G1649" s="35" t="str">
        <f>IFERROR(__xludf.DUMMYFUNCTION("""COMPUTED_VALUE"""),"EVI SILVANA")</f>
        <v>EVI SILVANA</v>
      </c>
      <c r="H1649" s="17" t="str">
        <f>IFERROR(__xludf.DUMMYFUNCTION("""COMPUTED_VALUE"""),"E6324084907")</f>
        <v>E6324084907</v>
      </c>
      <c r="I1649" s="17">
        <f>IFERROR(__xludf.DUMMYFUNCTION("""COMPUTED_VALUE"""),63.0)</f>
        <v>63</v>
      </c>
      <c r="J1649" s="17" t="str">
        <f>IFERROR(__xludf.DUMMYFUNCTION("""COMPUTED_VALUE"""),"&gt; 44 tahun")</f>
        <v>&gt; 44 tahun</v>
      </c>
      <c r="K1649" s="19">
        <f>IFERROR(__xludf.DUMMYFUNCTION("""COMPUTED_VALUE"""),23096.0)</f>
        <v>23096</v>
      </c>
      <c r="L1649" s="21" t="str">
        <f>IFERROR(__xludf.DUMMYFUNCTION("""COMPUTED_VALUE"""),"PEREMPUAN")</f>
        <v>PEREMPUAN</v>
      </c>
      <c r="M1649" s="35" t="str">
        <f>IFERROR(__xludf.DUMMYFUNCTION("""COMPUTED_VALUE"""),"JL. KARET, KOMP. SURYA KENCANA 5, BLOK E/2")</f>
        <v>JL. KARET, KOMP. SURYA KENCANA 5, BLOK E/2</v>
      </c>
      <c r="N1649" s="16" t="str">
        <f>IFERROR(__xludf.DUMMYFUNCTION("""COMPUTED_VALUE"""),"KEL. SUNGAI BELIUNG")</f>
        <v>KEL. SUNGAI BELIUNG</v>
      </c>
      <c r="O1649" s="16" t="str">
        <f>IFERROR(__xludf.DUMMYFUNCTION("""COMPUTED_VALUE"""),"KEC. PONTIANAK BARAT")</f>
        <v>KEC. PONTIANAK BARAT</v>
      </c>
      <c r="P1649" s="16" t="str">
        <f>IFERROR(__xludf.DUMMYFUNCTION("""COMPUTED_VALUE"""),"KOTA PONTIANAK")</f>
        <v>KOTA PONTIANAK</v>
      </c>
      <c r="Q1649" s="16" t="str">
        <f>IFERROR(__xludf.DUMMYFUNCTION("""COMPUTED_VALUE"""),"KALIMANTAN BARAT")</f>
        <v>KALIMANTAN BARAT</v>
      </c>
      <c r="R1649" s="21" t="str">
        <f>IFERROR(__xludf.DUMMYFUNCTION("""COMPUTED_VALUE"""),"ISLAM")</f>
        <v>ISLAM</v>
      </c>
      <c r="S1649" s="16" t="str">
        <f>IFERROR(__xludf.DUMMYFUNCTION("""COMPUTED_VALUE"""),"RUMAH TANGGA")</f>
        <v>RUMAH TANGGA</v>
      </c>
      <c r="T1649" s="36" t="str">
        <f>IFERROR(__xludf.DUMMYFUNCTION("""COMPUTED_VALUE"""),"Nyeri")</f>
        <v>Nyeri</v>
      </c>
      <c r="U1649" s="36" t="str">
        <f>IFERROR(__xludf.DUMMYFUNCTION("""COMPUTED_VALUE"""),"-")</f>
        <v>-</v>
      </c>
      <c r="V1649" s="37" t="str">
        <f>IFERROR(__xludf.DUMMYFUNCTION("""COMPUTED_VALUE"""),"089669594907")</f>
        <v>089669594907</v>
      </c>
      <c r="W1649" s="22"/>
    </row>
    <row r="1650" ht="22.5" customHeight="1">
      <c r="A1650" s="8"/>
      <c r="B1650" s="9">
        <f>IFERROR(__xludf.DUMMYFUNCTION("""COMPUTED_VALUE"""),45523.41434549769)</f>
        <v>45523.41435</v>
      </c>
      <c r="C1650" s="9"/>
      <c r="D1650" s="34">
        <f>IFERROR(__xludf.DUMMYFUNCTION("""COMPUTED_VALUE"""),45532.0)</f>
        <v>45532</v>
      </c>
      <c r="E1650" s="34" t="str">
        <f>IFERROR(__xludf.DUMMYFUNCTION("""COMPUTED_VALUE"""),"08Agu")</f>
        <v>08Agu</v>
      </c>
      <c r="F1650" s="34" t="str">
        <f>IFERROR(__xludf.DUMMYFUNCTION("""COMPUTED_VALUE"""),"2024")</f>
        <v>2024</v>
      </c>
      <c r="G1650" s="35" t="str">
        <f>IFERROR(__xludf.DUMMYFUNCTION("""COMPUTED_VALUE"""),"SIGIT PRAYOGA")</f>
        <v>SIGIT PRAYOGA</v>
      </c>
      <c r="H1650" s="17" t="str">
        <f>IFERROR(__xludf.DUMMYFUNCTION("""COMPUTED_VALUE"""),"S0324084073")</f>
        <v>S0324084073</v>
      </c>
      <c r="I1650" s="17">
        <f>IFERROR(__xludf.DUMMYFUNCTION("""COMPUTED_VALUE"""),23.0)</f>
        <v>23</v>
      </c>
      <c r="J1650" s="17" t="str">
        <f>IFERROR(__xludf.DUMMYFUNCTION("""COMPUTED_VALUE"""),"18-24 tahun")</f>
        <v>18-24 tahun</v>
      </c>
      <c r="K1650" s="19">
        <f>IFERROR(__xludf.DUMMYFUNCTION("""COMPUTED_VALUE"""),37774.0)</f>
        <v>37774</v>
      </c>
      <c r="L1650" s="19" t="str">
        <f>IFERROR(__xludf.DUMMYFUNCTION("""COMPUTED_VALUE"""),"LAKI-LAKI")</f>
        <v>LAKI-LAKI</v>
      </c>
      <c r="M1650" s="35" t="str">
        <f>IFERROR(__xludf.DUMMYFUNCTION("""COMPUTED_VALUE"""),"JALAN KALIMANTAN KEDAMIN HULU")</f>
        <v>JALAN KALIMANTAN KEDAMIN HULU</v>
      </c>
      <c r="N1650" s="16" t="str">
        <f>IFERROR(__xludf.DUMMYFUNCTION("""COMPUTED_VALUE"""),"KEL. KEDAMIN HULU")</f>
        <v>KEL. KEDAMIN HULU</v>
      </c>
      <c r="O1650" s="16" t="str">
        <f>IFERROR(__xludf.DUMMYFUNCTION("""COMPUTED_VALUE"""),"KEC. PUTUSSIBAU SELATAN")</f>
        <v>KEC. PUTUSSIBAU SELATAN</v>
      </c>
      <c r="P1650" s="16" t="str">
        <f>IFERROR(__xludf.DUMMYFUNCTION("""COMPUTED_VALUE"""),"KAB. KAPUAS HULU")</f>
        <v>KAB. KAPUAS HULU</v>
      </c>
      <c r="Q1650" s="16" t="str">
        <f>IFERROR(__xludf.DUMMYFUNCTION("""COMPUTED_VALUE"""),"KALIMANTAN BARAT")</f>
        <v>KALIMANTAN BARAT</v>
      </c>
      <c r="R1650" s="19" t="str">
        <f>IFERROR(__xludf.DUMMYFUNCTION("""COMPUTED_VALUE"""),"ISLAM")</f>
        <v>ISLAM</v>
      </c>
      <c r="S1650" s="16" t="str">
        <f>IFERROR(__xludf.DUMMYFUNCTION("""COMPUTED_VALUE"""),"PELAJAR/MAHASISWA")</f>
        <v>PELAJAR/MAHASISWA</v>
      </c>
      <c r="T1650" s="16" t="str">
        <f>IFERROR(__xludf.DUMMYFUNCTION("""COMPUTED_VALUE"""),"kiri kanan bengkak")</f>
        <v>kiri kanan bengkak</v>
      </c>
      <c r="U1650" s="16" t="str">
        <f>IFERROR(__xludf.DUMMYFUNCTION("""COMPUTED_VALUE"""),"Futsal bola")</f>
        <v>Futsal bola</v>
      </c>
      <c r="V1650" s="11" t="str">
        <f>IFERROR(__xludf.DUMMYFUNCTION("""COMPUTED_VALUE"""),"081256074073")</f>
        <v>081256074073</v>
      </c>
      <c r="W1650" s="15"/>
    </row>
    <row r="1651" ht="22.5" customHeight="1">
      <c r="A1651" s="8"/>
      <c r="B1651" s="9">
        <f>IFERROR(__xludf.DUMMYFUNCTION("""COMPUTED_VALUE"""),45523.43608697917)</f>
        <v>45523.43609</v>
      </c>
      <c r="C1651" s="9"/>
      <c r="D1651" s="34">
        <f>IFERROR(__xludf.DUMMYFUNCTION("""COMPUTED_VALUE"""),45532.0)</f>
        <v>45532</v>
      </c>
      <c r="E1651" s="34" t="str">
        <f>IFERROR(__xludf.DUMMYFUNCTION("""COMPUTED_VALUE"""),"08Agu")</f>
        <v>08Agu</v>
      </c>
      <c r="F1651" s="34" t="str">
        <f>IFERROR(__xludf.DUMMYFUNCTION("""COMPUTED_VALUE"""),"2024")</f>
        <v>2024</v>
      </c>
      <c r="G1651" s="35" t="str">
        <f>IFERROR(__xludf.DUMMYFUNCTION("""COMPUTED_VALUE"""),"LILIK INDRAWATI")</f>
        <v>LILIK INDRAWATI</v>
      </c>
      <c r="H1651" s="17" t="str">
        <f>IFERROR(__xludf.DUMMYFUNCTION("""COMPUTED_VALUE"""),"L7324084510")</f>
        <v>L7324084510</v>
      </c>
      <c r="I1651" s="17">
        <f>IFERROR(__xludf.DUMMYFUNCTION("""COMPUTED_VALUE"""),53.0)</f>
        <v>53</v>
      </c>
      <c r="J1651" s="17" t="str">
        <f>IFERROR(__xludf.DUMMYFUNCTION("""COMPUTED_VALUE"""),"&gt; 44 tahun")</f>
        <v>&gt; 44 tahun</v>
      </c>
      <c r="K1651" s="19">
        <f>IFERROR(__xludf.DUMMYFUNCTION("""COMPUTED_VALUE"""),26778.0)</f>
        <v>26778</v>
      </c>
      <c r="L1651" s="19" t="str">
        <f>IFERROR(__xludf.DUMMYFUNCTION("""COMPUTED_VALUE"""),"PEREMPUAN")</f>
        <v>PEREMPUAN</v>
      </c>
      <c r="M1651" s="35" t="str">
        <f>IFERROR(__xludf.DUMMYFUNCTION("""COMPUTED_VALUE"""),"DUSUN SUKA BHAKTI, RT/001 RW/002, DESA RASAU JAYA 1, KEC. RASAU JAYA, KAB. KUBU RAYA")</f>
        <v>DUSUN SUKA BHAKTI, RT/001 RW/002, DESA RASAU JAYA 1, KEC. RASAU JAYA, KAB. KUBU RAYA</v>
      </c>
      <c r="N1651" s="16" t="str">
        <f>IFERROR(__xludf.DUMMYFUNCTION("""COMPUTED_VALUE"""),"DS. RASAU JAYA SATU")</f>
        <v>DS. RASAU JAYA SATU</v>
      </c>
      <c r="O1651" s="16" t="str">
        <f>IFERROR(__xludf.DUMMYFUNCTION("""COMPUTED_VALUE"""),"KEC. RASAU JAYA")</f>
        <v>KEC. RASAU JAYA</v>
      </c>
      <c r="P1651" s="16" t="str">
        <f>IFERROR(__xludf.DUMMYFUNCTION("""COMPUTED_VALUE"""),"KAB. KUBU RAYA")</f>
        <v>KAB. KUBU RAYA</v>
      </c>
      <c r="Q1651" s="16" t="str">
        <f>IFERROR(__xludf.DUMMYFUNCTION("""COMPUTED_VALUE"""),"KALIMANTAN BARAT")</f>
        <v>KALIMANTAN BARAT</v>
      </c>
      <c r="R1651" s="19" t="str">
        <f>IFERROR(__xludf.DUMMYFUNCTION("""COMPUTED_VALUE"""),"ISLAM")</f>
        <v>ISLAM</v>
      </c>
      <c r="S1651" s="16" t="str">
        <f>IFERROR(__xludf.DUMMYFUNCTION("""COMPUTED_VALUE"""),"RUMAH TANGGA")</f>
        <v>RUMAH TANGGA</v>
      </c>
      <c r="T1651" s="16" t="str">
        <f>IFERROR(__xludf.DUMMYFUNCTION("""COMPUTED_VALUE"""),"Tangan dan kaki serta panggul sebelah kanan terasa lemah, sesekali terkadang nyeri")</f>
        <v>Tangan dan kaki serta panggul sebelah kanan terasa lemah, sesekali terkadang nyeri</v>
      </c>
      <c r="U1651" s="16" t="str">
        <f>IFERROR(__xludf.DUMMYFUNCTION("""COMPUTED_VALUE"""),"Jalan2 kecil, duduk2 santai di rumah")</f>
        <v>Jalan2 kecil, duduk2 santai di rumah</v>
      </c>
      <c r="V1651" s="11" t="str">
        <f>IFERROR(__xludf.DUMMYFUNCTION("""COMPUTED_VALUE"""),"0895321254510")</f>
        <v>0895321254510</v>
      </c>
      <c r="W1651" s="15"/>
    </row>
    <row r="1652" ht="22.5" customHeight="1">
      <c r="A1652" s="8"/>
      <c r="B1652" s="9">
        <f>IFERROR(__xludf.DUMMYFUNCTION("""COMPUTED_VALUE"""),45523.502946712964)</f>
        <v>45523.50295</v>
      </c>
      <c r="C1652" s="9"/>
      <c r="D1652" s="34">
        <f>IFERROR(__xludf.DUMMYFUNCTION("""COMPUTED_VALUE"""),45533.0)</f>
        <v>45533</v>
      </c>
      <c r="E1652" s="34" t="str">
        <f>IFERROR(__xludf.DUMMYFUNCTION("""COMPUTED_VALUE"""),"08Agu")</f>
        <v>08Agu</v>
      </c>
      <c r="F1652" s="34" t="str">
        <f>IFERROR(__xludf.DUMMYFUNCTION("""COMPUTED_VALUE"""),"2024")</f>
        <v>2024</v>
      </c>
      <c r="G1652" s="35" t="str">
        <f>IFERROR(__xludf.DUMMYFUNCTION("""COMPUTED_VALUE"""),"ANKLE KANAN TERKILIR ")</f>
        <v>ANKLE KANAN TERKILIR </v>
      </c>
      <c r="H1652" s="17" t="str">
        <f>IFERROR(__xludf.DUMMYFUNCTION("""COMPUTED_VALUE"""),"A0424089008")</f>
        <v>A0424089008</v>
      </c>
      <c r="I1652" s="17">
        <f>IFERROR(__xludf.DUMMYFUNCTION("""COMPUTED_VALUE"""),22.0)</f>
        <v>22</v>
      </c>
      <c r="J1652" s="17" t="str">
        <f>IFERROR(__xludf.DUMMYFUNCTION("""COMPUTED_VALUE"""),"18-24 tahun")</f>
        <v>18-24 tahun</v>
      </c>
      <c r="K1652" s="19">
        <f>IFERROR(__xludf.DUMMYFUNCTION("""COMPUTED_VALUE"""),38122.0)</f>
        <v>38122</v>
      </c>
      <c r="L1652" s="19" t="str">
        <f>IFERROR(__xludf.DUMMYFUNCTION("""COMPUTED_VALUE"""),"PEREMPUAN")</f>
        <v>PEREMPUAN</v>
      </c>
      <c r="M1652" s="35" t="str">
        <f>IFERROR(__xludf.DUMMYFUNCTION("""COMPUTED_VALUE"""),"JLN. H. R. A. RAHMAN GG.SENTOSA NO.47")</f>
        <v>JLN. H. R. A. RAHMAN GG.SENTOSA NO.47</v>
      </c>
      <c r="N1652" s="16" t="str">
        <f>IFERROR(__xludf.DUMMYFUNCTION("""COMPUTED_VALUE"""),"KEL. SUNGAI JAWI DALAM")</f>
        <v>KEL. SUNGAI JAWI DALAM</v>
      </c>
      <c r="O1652" s="16" t="str">
        <f>IFERROR(__xludf.DUMMYFUNCTION("""COMPUTED_VALUE"""),"KEC. PONTIANAK BARAT")</f>
        <v>KEC. PONTIANAK BARAT</v>
      </c>
      <c r="P1652" s="16" t="str">
        <f>IFERROR(__xludf.DUMMYFUNCTION("""COMPUTED_VALUE"""),"KOTA PONTIANAK")</f>
        <v>KOTA PONTIANAK</v>
      </c>
      <c r="Q1652" s="16" t="str">
        <f>IFERROR(__xludf.DUMMYFUNCTION("""COMPUTED_VALUE"""),"KALIMANTAN BARAT")</f>
        <v>KALIMANTAN BARAT</v>
      </c>
      <c r="R1652" s="19" t="str">
        <f>IFERROR(__xludf.DUMMYFUNCTION("""COMPUTED_VALUE"""),"ISLAM")</f>
        <v>ISLAM</v>
      </c>
      <c r="S1652" s="35" t="str">
        <f>IFERROR(__xludf.DUMMYFUNCTION("""COMPUTED_VALUE"""),"PELAJAR/MAHASISWA")</f>
        <v>PELAJAR/MAHASISWA</v>
      </c>
      <c r="T1652" s="16" t="str">
        <f>IFERROR(__xludf.DUMMYFUNCTION("""COMPUTED_VALUE"""),"Muka bagian kanan terasa kebas (kesemutan)")</f>
        <v>Muka bagian kanan terasa kebas (kesemutan)</v>
      </c>
      <c r="U1652" s="16" t="str">
        <f>IFERROR(__xludf.DUMMYFUNCTION("""COMPUTED_VALUE"""),"kuliah dan bermain basket, namun saat ini sedang liburan sehingga tidak ada aktivitas pasti sehari-hari")</f>
        <v>kuliah dan bermain basket, namun saat ini sedang liburan sehingga tidak ada aktivitas pasti sehari-hari</v>
      </c>
      <c r="V1652" s="11" t="str">
        <f>IFERROR(__xludf.DUMMYFUNCTION("""COMPUTED_VALUE"""),"081253319008")</f>
        <v>081253319008</v>
      </c>
      <c r="W1652" s="15"/>
    </row>
    <row r="1653" ht="22.5" customHeight="1">
      <c r="A1653" s="8"/>
      <c r="B1653" s="9">
        <f>IFERROR(__xludf.DUMMYFUNCTION("""COMPUTED_VALUE"""),45522.57359322917)</f>
        <v>45522.57359</v>
      </c>
      <c r="C1653" s="9"/>
      <c r="D1653" s="34">
        <f>IFERROR(__xludf.DUMMYFUNCTION("""COMPUTED_VALUE"""),45534.85601193287)</f>
        <v>45534.85601</v>
      </c>
      <c r="E1653" s="34" t="str">
        <f>IFERROR(__xludf.DUMMYFUNCTION("""COMPUTED_VALUE"""),"08Agu")</f>
        <v>08Agu</v>
      </c>
      <c r="F1653" s="34" t="str">
        <f>IFERROR(__xludf.DUMMYFUNCTION("""COMPUTED_VALUE"""),"2024")</f>
        <v>2024</v>
      </c>
      <c r="G1653" s="35" t="str">
        <f>IFERROR(__xludf.DUMMYFUNCTION("""COMPUTED_VALUE"""),"MUHAMMAD FAJRIYAN")</f>
        <v>MUHAMMAD FAJRIYAN</v>
      </c>
      <c r="H1653" s="17" t="str">
        <f>IFERROR(__xludf.DUMMYFUNCTION("""COMPUTED_VALUE"""),"M9724085312")</f>
        <v>M9724085312</v>
      </c>
      <c r="I1653" s="17">
        <f>IFERROR(__xludf.DUMMYFUNCTION("""COMPUTED_VALUE"""),28.0)</f>
        <v>28</v>
      </c>
      <c r="J1653" s="17" t="str">
        <f>IFERROR(__xludf.DUMMYFUNCTION("""COMPUTED_VALUE"""),"25-34 tahun")</f>
        <v>25-34 tahun</v>
      </c>
      <c r="K1653" s="19">
        <f>IFERROR(__xludf.DUMMYFUNCTION("""COMPUTED_VALUE"""),35665.0)</f>
        <v>35665</v>
      </c>
      <c r="L1653" s="19" t="str">
        <f>IFERROR(__xludf.DUMMYFUNCTION("""COMPUTED_VALUE"""),"LAKI-LAKI")</f>
        <v>LAKI-LAKI</v>
      </c>
      <c r="M1653" s="35" t="str">
        <f>IFERROR(__xludf.DUMMYFUNCTION("""COMPUTED_VALUE"""),"PERUM VIP ( HALIM ) BLOK A2B NO.19")</f>
        <v>PERUM VIP ( HALIM ) BLOK A2B NO.19</v>
      </c>
      <c r="N1653" s="16" t="str">
        <f>IFERROR(__xludf.DUMMYFUNCTION("""COMPUTED_VALUE"""),"KEL. CIKAMPEK BARAT")</f>
        <v>KEL. CIKAMPEK BARAT</v>
      </c>
      <c r="O1653" s="16" t="str">
        <f>IFERROR(__xludf.DUMMYFUNCTION("""COMPUTED_VALUE"""),"KEC. CIKAMPEK")</f>
        <v>KEC. CIKAMPEK</v>
      </c>
      <c r="P1653" s="16" t="str">
        <f>IFERROR(__xludf.DUMMYFUNCTION("""COMPUTED_VALUE"""),"KAB. KARAWANG")</f>
        <v>KAB. KARAWANG</v>
      </c>
      <c r="Q1653" s="16" t="str">
        <f>IFERROR(__xludf.DUMMYFUNCTION("""COMPUTED_VALUE"""),"JAWA BARAT")</f>
        <v>JAWA BARAT</v>
      </c>
      <c r="R1653" s="19" t="str">
        <f>IFERROR(__xludf.DUMMYFUNCTION("""COMPUTED_VALUE"""),"ISLAM")</f>
        <v>ISLAM</v>
      </c>
      <c r="S1653" s="35" t="str">
        <f>IFERROR(__xludf.DUMMYFUNCTION("""COMPUTED_VALUE"""),"ATLET")</f>
        <v>ATLET</v>
      </c>
      <c r="T1653" s="16" t="str">
        <f>IFERROR(__xludf.DUMMYFUNCTION("""COMPUTED_VALUE"""),"ANKLE KIRI &amp; KANAN")</f>
        <v>ANKLE KIRI &amp; KANAN</v>
      </c>
      <c r="U1653" s="16" t="str">
        <f>IFERROR(__xludf.DUMMYFUNCTION("""COMPUTED_VALUE"""),"Futsal")</f>
        <v>Futsal</v>
      </c>
      <c r="V1653" s="11" t="str">
        <f>IFERROR(__xludf.DUMMYFUNCTION("""COMPUTED_VALUE"""),"082111425312")</f>
        <v>082111425312</v>
      </c>
      <c r="W1653" s="15"/>
    </row>
    <row r="1654" ht="22.5" customHeight="1">
      <c r="A1654" s="8"/>
      <c r="B1654" s="9">
        <f>IFERROR(__xludf.DUMMYFUNCTION("""COMPUTED_VALUE"""),45523.61827146991)</f>
        <v>45523.61827</v>
      </c>
      <c r="C1654" s="9"/>
      <c r="D1654" s="34">
        <f>IFERROR(__xludf.DUMMYFUNCTION("""COMPUTED_VALUE"""),45535.0)</f>
        <v>45535</v>
      </c>
      <c r="E1654" s="34" t="str">
        <f>IFERROR(__xludf.DUMMYFUNCTION("""COMPUTED_VALUE"""),"08Agu")</f>
        <v>08Agu</v>
      </c>
      <c r="F1654" s="34" t="str">
        <f>IFERROR(__xludf.DUMMYFUNCTION("""COMPUTED_VALUE"""),"2024")</f>
        <v>2024</v>
      </c>
      <c r="G1654" s="35" t="str">
        <f>IFERROR(__xludf.DUMMYFUNCTION("""COMPUTED_VALUE"""),"ZULFITA")</f>
        <v>ZULFITA</v>
      </c>
      <c r="H1654" s="17" t="str">
        <f>IFERROR(__xludf.DUMMYFUNCTION("""COMPUTED_VALUE"""),"Z6624087005")</f>
        <v>Z6624087005</v>
      </c>
      <c r="I1654" s="17">
        <f>IFERROR(__xludf.DUMMYFUNCTION("""COMPUTED_VALUE"""),60.0)</f>
        <v>60</v>
      </c>
      <c r="J1654" s="17" t="str">
        <f>IFERROR(__xludf.DUMMYFUNCTION("""COMPUTED_VALUE"""),"&gt; 44 tahun")</f>
        <v>&gt; 44 tahun</v>
      </c>
      <c r="K1654" s="19">
        <f>IFERROR(__xludf.DUMMYFUNCTION("""COMPUTED_VALUE"""),24214.0)</f>
        <v>24214</v>
      </c>
      <c r="L1654" s="19" t="str">
        <f>IFERROR(__xludf.DUMMYFUNCTION("""COMPUTED_VALUE"""),"PEREMPUAN")</f>
        <v>PEREMPUAN</v>
      </c>
      <c r="M1654" s="35" t="str">
        <f>IFERROR(__xludf.DUMMYFUNCTION("""COMPUTED_VALUE"""),"JL. PURNAMA KOMP. PURNAMA PERMAI C.10")</f>
        <v>JL. PURNAMA KOMP. PURNAMA PERMAI C.10</v>
      </c>
      <c r="N1654" s="16" t="str">
        <f>IFERROR(__xludf.DUMMYFUNCTION("""COMPUTED_VALUE"""),"KEL. PARIT TOKAYA")</f>
        <v>KEL. PARIT TOKAYA</v>
      </c>
      <c r="O1654" s="16" t="str">
        <f>IFERROR(__xludf.DUMMYFUNCTION("""COMPUTED_VALUE"""),"KEC. PONTIANAK SELATAN")</f>
        <v>KEC. PONTIANAK SELATAN</v>
      </c>
      <c r="P1654" s="35" t="str">
        <f>IFERROR(__xludf.DUMMYFUNCTION("""COMPUTED_VALUE"""),"KOTA PONTIANAK")</f>
        <v>KOTA PONTIANAK</v>
      </c>
      <c r="Q1654" s="35" t="str">
        <f>IFERROR(__xludf.DUMMYFUNCTION("""COMPUTED_VALUE"""),"KALIMANTAN BARAT")</f>
        <v>KALIMANTAN BARAT</v>
      </c>
      <c r="R1654" s="19" t="str">
        <f>IFERROR(__xludf.DUMMYFUNCTION("""COMPUTED_VALUE"""),"ISLAM")</f>
        <v>ISLAM</v>
      </c>
      <c r="S1654" s="35" t="str">
        <f>IFERROR(__xludf.DUMMYFUNCTION("""COMPUTED_VALUE"""),"DOSEN/GURU")</f>
        <v>DOSEN/GURU</v>
      </c>
      <c r="T1654" s="16" t="str">
        <f>IFERROR(__xludf.DUMMYFUNCTION("""COMPUTED_VALUE"""),"Kaki sakit saat berjalan, kadang bokong juga terasa sakit")</f>
        <v>Kaki sakit saat berjalan, kadang bokong juga terasa sakit</v>
      </c>
      <c r="U1654" s="16" t="str">
        <f>IFERROR(__xludf.DUMMYFUNCTION("""COMPUTED_VALUE"""),"Mengajar")</f>
        <v>Mengajar</v>
      </c>
      <c r="V1654" s="11" t="str">
        <f>IFERROR(__xludf.DUMMYFUNCTION("""COMPUTED_VALUE"""),"081257787005")</f>
        <v>081257787005</v>
      </c>
      <c r="W1654" s="15"/>
    </row>
    <row r="1655" ht="22.5" customHeight="1">
      <c r="A1655" s="8"/>
      <c r="B1655" s="9">
        <f>IFERROR(__xludf.DUMMYFUNCTION("""COMPUTED_VALUE"""),45524.52731576389)</f>
        <v>45524.52732</v>
      </c>
      <c r="C1655" s="9"/>
      <c r="D1655" s="34">
        <f>IFERROR(__xludf.DUMMYFUNCTION("""COMPUTED_VALUE"""),45535.0)</f>
        <v>45535</v>
      </c>
      <c r="E1655" s="34" t="str">
        <f>IFERROR(__xludf.DUMMYFUNCTION("""COMPUTED_VALUE"""),"08Agu")</f>
        <v>08Agu</v>
      </c>
      <c r="F1655" s="34" t="str">
        <f>IFERROR(__xludf.DUMMYFUNCTION("""COMPUTED_VALUE"""),"2024")</f>
        <v>2024</v>
      </c>
      <c r="G1655" s="35" t="str">
        <f>IFERROR(__xludf.DUMMYFUNCTION("""COMPUTED_VALUE"""),"DANANG BAYU TRANGGONO")</f>
        <v>DANANG BAYU TRANGGONO</v>
      </c>
      <c r="H1655" s="17" t="str">
        <f>IFERROR(__xludf.DUMMYFUNCTION("""COMPUTED_VALUE"""),"D9024082492")</f>
        <v>D9024082492</v>
      </c>
      <c r="I1655" s="17">
        <f>IFERROR(__xludf.DUMMYFUNCTION("""COMPUTED_VALUE"""),36.0)</f>
        <v>36</v>
      </c>
      <c r="J1655" s="17" t="str">
        <f>IFERROR(__xludf.DUMMYFUNCTION("""COMPUTED_VALUE"""),"35-44 tahun")</f>
        <v>35-44 tahun</v>
      </c>
      <c r="K1655" s="19">
        <f>IFERROR(__xludf.DUMMYFUNCTION("""COMPUTED_VALUE"""),32932.0)</f>
        <v>32932</v>
      </c>
      <c r="L1655" s="19" t="str">
        <f>IFERROR(__xludf.DUMMYFUNCTION("""COMPUTED_VALUE"""),"LAKI-LAKI")</f>
        <v>LAKI-LAKI</v>
      </c>
      <c r="M1655" s="35" t="str">
        <f>IFERROR(__xludf.DUMMYFUNCTION("""COMPUTED_VALUE"""),"6171032802900006")</f>
        <v>6171032802900006</v>
      </c>
      <c r="N1655" s="16" t="str">
        <f>IFERROR(__xludf.DUMMYFUNCTION("""COMPUTED_VALUE"""),"KEL. SUNGAI JAWI DALAM")</f>
        <v>KEL. SUNGAI JAWI DALAM</v>
      </c>
      <c r="O1655" s="16" t="str">
        <f>IFERROR(__xludf.DUMMYFUNCTION("""COMPUTED_VALUE"""),"KEC. PONTIANAK BARAT")</f>
        <v>KEC. PONTIANAK BARAT</v>
      </c>
      <c r="P1655" s="16" t="str">
        <f>IFERROR(__xludf.DUMMYFUNCTION("""COMPUTED_VALUE"""),"KOTA PONTIANAK")</f>
        <v>KOTA PONTIANAK</v>
      </c>
      <c r="Q1655" s="16" t="str">
        <f>IFERROR(__xludf.DUMMYFUNCTION("""COMPUTED_VALUE"""),"KALIMANTAN BARAT")</f>
        <v>KALIMANTAN BARAT</v>
      </c>
      <c r="R1655" s="19" t="str">
        <f>IFERROR(__xludf.DUMMYFUNCTION("""COMPUTED_VALUE"""),"ISLAM")</f>
        <v>ISLAM</v>
      </c>
      <c r="S1655" s="16" t="str">
        <f>IFERROR(__xludf.DUMMYFUNCTION("""COMPUTED_VALUE"""),"SWASTA")</f>
        <v>SWASTA</v>
      </c>
      <c r="T1655" s="16" t="str">
        <f>IFERROR(__xludf.DUMMYFUNCTION("""COMPUTED_VALUE"""),"SAKIT DI BAGIAN BELAKANG")</f>
        <v>SAKIT DI BAGIAN BELAKANG</v>
      </c>
      <c r="U1655" s="16" t="str">
        <f>IFERROR(__xludf.DUMMYFUNCTION("""COMPUTED_VALUE"""),"MEMBACA")</f>
        <v>MEMBACA</v>
      </c>
      <c r="V1655" s="11" t="str">
        <f>IFERROR(__xludf.DUMMYFUNCTION("""COMPUTED_VALUE"""),"081352492492")</f>
        <v>081352492492</v>
      </c>
      <c r="W1655" s="15"/>
    </row>
    <row r="1656" ht="22.5" customHeight="1">
      <c r="A1656" s="8"/>
      <c r="B1656" s="9">
        <f>IFERROR(__xludf.DUMMYFUNCTION("""COMPUTED_VALUE"""),45525.83542847222)</f>
        <v>45525.83543</v>
      </c>
      <c r="C1656" s="9"/>
      <c r="D1656" s="34">
        <f>IFERROR(__xludf.DUMMYFUNCTION("""COMPUTED_VALUE"""),45535.0)</f>
        <v>45535</v>
      </c>
      <c r="E1656" s="34" t="str">
        <f>IFERROR(__xludf.DUMMYFUNCTION("""COMPUTED_VALUE"""),"08Agu")</f>
        <v>08Agu</v>
      </c>
      <c r="F1656" s="34" t="str">
        <f>IFERROR(__xludf.DUMMYFUNCTION("""COMPUTED_VALUE"""),"2024")</f>
        <v>2024</v>
      </c>
      <c r="G1656" s="35" t="str">
        <f>IFERROR(__xludf.DUMMYFUNCTION("""COMPUTED_VALUE"""),"SUTAN RAIHAN ALIFRYAN")</f>
        <v>SUTAN RAIHAN ALIFRYAN</v>
      </c>
      <c r="H1656" s="17" t="str">
        <f>IFERROR(__xludf.DUMMYFUNCTION("""COMPUTED_VALUE"""),"S0724088254")</f>
        <v>S0724088254</v>
      </c>
      <c r="I1656" s="17">
        <f>IFERROR(__xludf.DUMMYFUNCTION("""COMPUTED_VALUE"""),19.0)</f>
        <v>19</v>
      </c>
      <c r="J1656" s="17" t="str">
        <f>IFERROR(__xludf.DUMMYFUNCTION("""COMPUTED_VALUE"""),"18-24 tahun")</f>
        <v>18-24 tahun</v>
      </c>
      <c r="K1656" s="19">
        <f>IFERROR(__xludf.DUMMYFUNCTION("""COMPUTED_VALUE"""),39241.0)</f>
        <v>39241</v>
      </c>
      <c r="L1656" s="19" t="str">
        <f>IFERROR(__xludf.DUMMYFUNCTION("""COMPUTED_VALUE"""),"LAKI-LAKI")</f>
        <v>LAKI-LAKI</v>
      </c>
      <c r="M1656" s="35" t="str">
        <f>IFERROR(__xludf.DUMMYFUNCTION("""COMPUTED_VALUE"""),"DUSUN ISTANA II RT 003 RW 001 DESA BARU")</f>
        <v>DUSUN ISTANA II RT 003 RW 001 DESA BARU</v>
      </c>
      <c r="N1656" s="35" t="str">
        <f>IFERROR(__xludf.DUMMYFUNCTION("""COMPUTED_VALUE"""),"KEL. BARU")</f>
        <v>KEL. BARU</v>
      </c>
      <c r="O1656" s="16" t="str">
        <f>IFERROR(__xludf.DUMMYFUNCTION("""COMPUTED_VALUE"""),"KEC. NANGA PINOH")</f>
        <v>KEC. NANGA PINOH</v>
      </c>
      <c r="P1656" s="16" t="str">
        <f>IFERROR(__xludf.DUMMYFUNCTION("""COMPUTED_VALUE"""),"KAB. MELAWI")</f>
        <v>KAB. MELAWI</v>
      </c>
      <c r="Q1656" s="16" t="str">
        <f>IFERROR(__xludf.DUMMYFUNCTION("""COMPUTED_VALUE"""),"KALIMANTAN BARAT")</f>
        <v>KALIMANTAN BARAT</v>
      </c>
      <c r="R1656" s="19" t="str">
        <f>IFERROR(__xludf.DUMMYFUNCTION("""COMPUTED_VALUE"""),"ISLAM")</f>
        <v>ISLAM</v>
      </c>
      <c r="S1656" s="35" t="str">
        <f>IFERROR(__xludf.DUMMYFUNCTION("""COMPUTED_VALUE"""),"PELAJAR/MAHASISWA")</f>
        <v>PELAJAR/MAHASISWA</v>
      </c>
      <c r="T1656" s="16" t="str">
        <f>IFERROR(__xludf.DUMMYFUNCTION("""COMPUTED_VALUE"""),"SAKIT PINGGANG")</f>
        <v>SAKIT PINGGANG</v>
      </c>
      <c r="U1656" s="16" t="str">
        <f>IFERROR(__xludf.DUMMYFUNCTION("""COMPUTED_VALUE"""),"Olahraga")</f>
        <v>Olahraga</v>
      </c>
      <c r="V1656" s="11" t="str">
        <f>IFERROR(__xludf.DUMMYFUNCTION("""COMPUTED_VALUE"""),"085821378254")</f>
        <v>085821378254</v>
      </c>
      <c r="W1656" s="15"/>
    </row>
    <row r="1657" ht="22.5" customHeight="1">
      <c r="A1657" s="8"/>
      <c r="B1657" s="9">
        <f>IFERROR(__xludf.DUMMYFUNCTION("""COMPUTED_VALUE"""),45525.586907881945)</f>
        <v>45525.58691</v>
      </c>
      <c r="C1657" s="9"/>
      <c r="D1657" s="34">
        <f>IFERROR(__xludf.DUMMYFUNCTION("""COMPUTED_VALUE"""),45535.0)</f>
        <v>45535</v>
      </c>
      <c r="E1657" s="34" t="str">
        <f>IFERROR(__xludf.DUMMYFUNCTION("""COMPUTED_VALUE"""),"08Agu")</f>
        <v>08Agu</v>
      </c>
      <c r="F1657" s="34" t="str">
        <f>IFERROR(__xludf.DUMMYFUNCTION("""COMPUTED_VALUE"""),"2024")</f>
        <v>2024</v>
      </c>
      <c r="G1657" s="35" t="str">
        <f>IFERROR(__xludf.DUMMYFUNCTION("""COMPUTED_VALUE"""),"DWI ZULFITA")</f>
        <v>DWI ZULFITA</v>
      </c>
      <c r="H1657" s="17" t="str">
        <f>IFERROR(__xludf.DUMMYFUNCTION("""COMPUTED_VALUE"""),"D8624089243")</f>
        <v>D8624089243</v>
      </c>
      <c r="I1657" s="17">
        <f>IFERROR(__xludf.DUMMYFUNCTION("""COMPUTED_VALUE"""),39.0)</f>
        <v>39</v>
      </c>
      <c r="J1657" s="17" t="str">
        <f>IFERROR(__xludf.DUMMYFUNCTION("""COMPUTED_VALUE"""),"35-44 tahun")</f>
        <v>35-44 tahun</v>
      </c>
      <c r="K1657" s="19">
        <f>IFERROR(__xludf.DUMMYFUNCTION("""COMPUTED_VALUE"""),31678.0)</f>
        <v>31678</v>
      </c>
      <c r="L1657" s="19" t="str">
        <f>IFERROR(__xludf.DUMMYFUNCTION("""COMPUTED_VALUE"""),"PEREMPUAN")</f>
        <v>PEREMPUAN</v>
      </c>
      <c r="M1657" s="35" t="str">
        <f>IFERROR(__xludf.DUMMYFUNCTION("""COMPUTED_VALUE"""),"JALAN IMAM BONJOL PENITI BARU")</f>
        <v>JALAN IMAM BONJOL PENITI BARU</v>
      </c>
      <c r="N1657" s="16" t="str">
        <f>IFERROR(__xludf.DUMMYFUNCTION("""COMPUTED_VALUE"""),"KEL. BENUA MELAYU LAUT")</f>
        <v>KEL. BENUA MELAYU LAUT</v>
      </c>
      <c r="O1657" s="16" t="str">
        <f>IFERROR(__xludf.DUMMYFUNCTION("""COMPUTED_VALUE"""),"KEC. PONTIANAK SELATAN")</f>
        <v>KEC. PONTIANAK SELATAN</v>
      </c>
      <c r="P1657" s="16" t="str">
        <f>IFERROR(__xludf.DUMMYFUNCTION("""COMPUTED_VALUE"""),"KOTA PONTIANAK")</f>
        <v>KOTA PONTIANAK</v>
      </c>
      <c r="Q1657" s="16" t="str">
        <f>IFERROR(__xludf.DUMMYFUNCTION("""COMPUTED_VALUE"""),"KALIMANTAN BARAT")</f>
        <v>KALIMANTAN BARAT</v>
      </c>
      <c r="R1657" s="19" t="str">
        <f>IFERROR(__xludf.DUMMYFUNCTION("""COMPUTED_VALUE"""),"ISLAM")</f>
        <v>ISLAM</v>
      </c>
      <c r="S1657" s="16" t="str">
        <f>IFERROR(__xludf.DUMMYFUNCTION("""COMPUTED_VALUE"""),"RUMAH TANGGA")</f>
        <v>RUMAH TANGGA</v>
      </c>
      <c r="T1657" s="16" t="str">
        <f>IFERROR(__xludf.DUMMYFUNCTION("""COMPUTED_VALUE"""),"STROKE")</f>
        <v>STROKE</v>
      </c>
      <c r="U1657" s="16" t="str">
        <f>IFERROR(__xludf.DUMMYFUNCTION("""COMPUTED_VALUE"""),"Berkebun")</f>
        <v>Berkebun</v>
      </c>
      <c r="V1657" s="11" t="str">
        <f>IFERROR(__xludf.DUMMYFUNCTION("""COMPUTED_VALUE"""),"82163749243")</f>
        <v>82163749243</v>
      </c>
      <c r="W1657" s="15"/>
    </row>
    <row r="1658" ht="22.5" customHeight="1">
      <c r="A1658" s="8"/>
      <c r="B1658" s="9">
        <f>IFERROR(__xludf.DUMMYFUNCTION("""COMPUTED_VALUE"""),45525.861796006946)</f>
        <v>45525.8618</v>
      </c>
      <c r="C1658" s="9"/>
      <c r="D1658" s="34">
        <f>IFERROR(__xludf.DUMMYFUNCTION("""COMPUTED_VALUE"""),45535.0)</f>
        <v>45535</v>
      </c>
      <c r="E1658" s="34" t="str">
        <f>IFERROR(__xludf.DUMMYFUNCTION("""COMPUTED_VALUE"""),"08Agu")</f>
        <v>08Agu</v>
      </c>
      <c r="F1658" s="34" t="str">
        <f>IFERROR(__xludf.DUMMYFUNCTION("""COMPUTED_VALUE"""),"2024")</f>
        <v>2024</v>
      </c>
      <c r="G1658" s="35" t="str">
        <f>IFERROR(__xludf.DUMMYFUNCTION("""COMPUTED_VALUE"""),"NOVIANTY")</f>
        <v>NOVIANTY</v>
      </c>
      <c r="H1658" s="17" t="str">
        <f>IFERROR(__xludf.DUMMYFUNCTION("""COMPUTED_VALUE"""),"N8424083002")</f>
        <v>N8424083002</v>
      </c>
      <c r="I1658" s="17">
        <f>IFERROR(__xludf.DUMMYFUNCTION("""COMPUTED_VALUE"""),41.0)</f>
        <v>41</v>
      </c>
      <c r="J1658" s="17" t="str">
        <f>IFERROR(__xludf.DUMMYFUNCTION("""COMPUTED_VALUE"""),"35-44 tahun")</f>
        <v>35-44 tahun</v>
      </c>
      <c r="K1658" s="19">
        <f>IFERROR(__xludf.DUMMYFUNCTION("""COMPUTED_VALUE"""),31002.0)</f>
        <v>31002</v>
      </c>
      <c r="L1658" s="19" t="str">
        <f>IFERROR(__xludf.DUMMYFUNCTION("""COMPUTED_VALUE"""),"PEREMPUAN")</f>
        <v>PEREMPUAN</v>
      </c>
      <c r="M1658" s="35" t="str">
        <f>IFERROR(__xludf.DUMMYFUNCTION("""COMPUTED_VALUE"""),"JL TANJUNG RAYA II KOMPLEK PESONA PARMA BLOK A8")</f>
        <v>JL TANJUNG RAYA II KOMPLEK PESONA PARMA BLOK A8</v>
      </c>
      <c r="N1658" s="16" t="str">
        <f>IFERROR(__xludf.DUMMYFUNCTION("""COMPUTED_VALUE"""),"KEL. PARIT MAYOR")</f>
        <v>KEL. PARIT MAYOR</v>
      </c>
      <c r="O1658" s="16" t="str">
        <f>IFERROR(__xludf.DUMMYFUNCTION("""COMPUTED_VALUE"""),"KEC. PONTIANAK TIMUR")</f>
        <v>KEC. PONTIANAK TIMUR</v>
      </c>
      <c r="P1658" s="16" t="str">
        <f>IFERROR(__xludf.DUMMYFUNCTION("""COMPUTED_VALUE"""),"KOTA PONTIANAK")</f>
        <v>KOTA PONTIANAK</v>
      </c>
      <c r="Q1658" s="16" t="str">
        <f>IFERROR(__xludf.DUMMYFUNCTION("""COMPUTED_VALUE"""),"KALIMANTAN BARAT")</f>
        <v>KALIMANTAN BARAT</v>
      </c>
      <c r="R1658" s="19" t="str">
        <f>IFERROR(__xludf.DUMMYFUNCTION("""COMPUTED_VALUE"""),"BUDDHA")</f>
        <v>BUDDHA</v>
      </c>
      <c r="S1658" s="16" t="str">
        <f>IFERROR(__xludf.DUMMYFUNCTION("""COMPUTED_VALUE"""),"SWASTA")</f>
        <v>SWASTA</v>
      </c>
      <c r="T1658" s="16" t="str">
        <f>IFERROR(__xludf.DUMMYFUNCTION("""COMPUTED_VALUE"""),"SAKIT DI KAKI SUDAH SEBULAN")</f>
        <v>SAKIT DI KAKI SUDAH SEBULAN</v>
      </c>
      <c r="U1658" s="16" t="str">
        <f>IFERROR(__xludf.DUMMYFUNCTION("""COMPUTED_VALUE"""),"Nonton")</f>
        <v>Nonton</v>
      </c>
      <c r="V1658" s="11" t="str">
        <f>IFERROR(__xludf.DUMMYFUNCTION("""COMPUTED_VALUE"""),"082153483002")</f>
        <v>082153483002</v>
      </c>
      <c r="W1658" s="15"/>
    </row>
    <row r="1659" ht="22.5" customHeight="1">
      <c r="A1659" s="8"/>
      <c r="B1659" s="9">
        <f>IFERROR(__xludf.DUMMYFUNCTION("""COMPUTED_VALUE"""),45525.8642731713)</f>
        <v>45525.86427</v>
      </c>
      <c r="C1659" s="9"/>
      <c r="D1659" s="34">
        <f>IFERROR(__xludf.DUMMYFUNCTION("""COMPUTED_VALUE"""),45535.0)</f>
        <v>45535</v>
      </c>
      <c r="E1659" s="34" t="str">
        <f>IFERROR(__xludf.DUMMYFUNCTION("""COMPUTED_VALUE"""),"08Agu")</f>
        <v>08Agu</v>
      </c>
      <c r="F1659" s="34" t="str">
        <f>IFERROR(__xludf.DUMMYFUNCTION("""COMPUTED_VALUE"""),"2024")</f>
        <v>2024</v>
      </c>
      <c r="G1659" s="35" t="str">
        <f>IFERROR(__xludf.DUMMYFUNCTION("""COMPUTED_VALUE"""),"HENGKY PINGGANG")</f>
        <v>HENGKY PINGGANG</v>
      </c>
      <c r="H1659" s="17" t="str">
        <f>IFERROR(__xludf.DUMMYFUNCTION("""COMPUTED_VALUE"""),"H7924082626")</f>
        <v>H7924082626</v>
      </c>
      <c r="I1659" s="17">
        <f>IFERROR(__xludf.DUMMYFUNCTION("""COMPUTED_VALUE"""),46.0)</f>
        <v>46</v>
      </c>
      <c r="J1659" s="17" t="str">
        <f>IFERROR(__xludf.DUMMYFUNCTION("""COMPUTED_VALUE"""),"&gt; 44 tahun")</f>
        <v>&gt; 44 tahun</v>
      </c>
      <c r="K1659" s="19">
        <f>IFERROR(__xludf.DUMMYFUNCTION("""COMPUTED_VALUE"""),29219.0)</f>
        <v>29219</v>
      </c>
      <c r="L1659" s="19" t="str">
        <f>IFERROR(__xludf.DUMMYFUNCTION("""COMPUTED_VALUE"""),"LAKI-LAKI")</f>
        <v>LAKI-LAKI</v>
      </c>
      <c r="M1659" s="35" t="str">
        <f>IFERROR(__xludf.DUMMYFUNCTION("""COMPUTED_VALUE"""),"JALAN IMAM BONJOL PENITI BARU")</f>
        <v>JALAN IMAM BONJOL PENITI BARU</v>
      </c>
      <c r="N1659" s="16" t="str">
        <f>IFERROR(__xludf.DUMMYFUNCTION("""COMPUTED_VALUE"""),"KEL. BENUA MELAYU LAUT")</f>
        <v>KEL. BENUA MELAYU LAUT</v>
      </c>
      <c r="O1659" s="16" t="str">
        <f>IFERROR(__xludf.DUMMYFUNCTION("""COMPUTED_VALUE"""),"KEC. PONTIANAK SELATAN")</f>
        <v>KEC. PONTIANAK SELATAN</v>
      </c>
      <c r="P1659" s="16" t="str">
        <f>IFERROR(__xludf.DUMMYFUNCTION("""COMPUTED_VALUE"""),"KOTA PONTIANAK")</f>
        <v>KOTA PONTIANAK</v>
      </c>
      <c r="Q1659" s="16" t="str">
        <f>IFERROR(__xludf.DUMMYFUNCTION("""COMPUTED_VALUE"""),"KALIMANTAN BARAT")</f>
        <v>KALIMANTAN BARAT</v>
      </c>
      <c r="R1659" s="19" t="str">
        <f>IFERROR(__xludf.DUMMYFUNCTION("""COMPUTED_VALUE"""),"BUDDHA")</f>
        <v>BUDDHA</v>
      </c>
      <c r="S1659" s="35" t="str">
        <f>IFERROR(__xludf.DUMMYFUNCTION("""COMPUTED_VALUE"""),"WIRASWASTA")</f>
        <v>WIRASWASTA</v>
      </c>
      <c r="T1659" s="16" t="str">
        <f>IFERROR(__xludf.DUMMYFUNCTION("""COMPUTED_VALUE"""),"SAKIT PINGGANG DAN PINGGUL")</f>
        <v>SAKIT PINGGANG DAN PINGGUL</v>
      </c>
      <c r="U1659" s="16" t="str">
        <f>IFERROR(__xludf.DUMMYFUNCTION("""COMPUTED_VALUE"""),"Bulu tangkis")</f>
        <v>Bulu tangkis</v>
      </c>
      <c r="V1659" s="11" t="str">
        <f>IFERROR(__xludf.DUMMYFUNCTION("""COMPUTED_VALUE"""),"085245522626")</f>
        <v>085245522626</v>
      </c>
      <c r="W1659" s="15"/>
    </row>
    <row r="1660" ht="22.5" customHeight="1">
      <c r="A1660" s="8"/>
      <c r="B1660" s="9">
        <f>IFERROR(__xludf.DUMMYFUNCTION("""COMPUTED_VALUE"""),45526.42128866898)</f>
        <v>45526.42129</v>
      </c>
      <c r="C1660" s="9"/>
      <c r="D1660" s="34">
        <f>IFERROR(__xludf.DUMMYFUNCTION("""COMPUTED_VALUE"""),45536.0)</f>
        <v>45536</v>
      </c>
      <c r="E1660" s="34" t="str">
        <f>IFERROR(__xludf.DUMMYFUNCTION("""COMPUTED_VALUE"""),"09Sep")</f>
        <v>09Sep</v>
      </c>
      <c r="F1660" s="34" t="str">
        <f>IFERROR(__xludf.DUMMYFUNCTION("""COMPUTED_VALUE"""),"2024")</f>
        <v>2024</v>
      </c>
      <c r="G1660" s="35" t="str">
        <f>IFERROR(__xludf.DUMMYFUNCTION("""COMPUTED_VALUE"""),"OPIC ADRIANSYAH")</f>
        <v>OPIC ADRIANSYAH</v>
      </c>
      <c r="H1660" s="17" t="str">
        <f>IFERROR(__xludf.DUMMYFUNCTION("""COMPUTED_VALUE"""),"O0624098314")</f>
        <v>O0624098314</v>
      </c>
      <c r="I1660" s="17">
        <f>IFERROR(__xludf.DUMMYFUNCTION("""COMPUTED_VALUE"""),20.0)</f>
        <v>20</v>
      </c>
      <c r="J1660" s="17" t="str">
        <f>IFERROR(__xludf.DUMMYFUNCTION("""COMPUTED_VALUE"""),"18-24 tahun")</f>
        <v>18-24 tahun</v>
      </c>
      <c r="K1660" s="19">
        <f>IFERROR(__xludf.DUMMYFUNCTION("""COMPUTED_VALUE"""),38849.0)</f>
        <v>38849</v>
      </c>
      <c r="L1660" s="19" t="str">
        <f>IFERROR(__xludf.DUMMYFUNCTION("""COMPUTED_VALUE"""),"LAKI-LAKI")</f>
        <v>LAKI-LAKI</v>
      </c>
      <c r="M1660" s="35" t="str">
        <f>IFERROR(__xludf.DUMMYFUNCTION("""COMPUTED_VALUE"""),"DUSUN RUNGKANANG RT/RW 008/001")</f>
        <v>DUSUN RUNGKANANG RT/RW 008/001</v>
      </c>
      <c r="N1660" s="16" t="str">
        <f>IFERROR(__xludf.DUMMYFUNCTION("""COMPUTED_VALUE"""),"DS. GOA BOMA")</f>
        <v>DS. GOA BOMA</v>
      </c>
      <c r="O1660" s="16" t="str">
        <f>IFERROR(__xludf.DUMMYFUNCTION("""COMPUTED_VALUE"""),"KEC. MONTERADO")</f>
        <v>KEC. MONTERADO</v>
      </c>
      <c r="P1660" s="16" t="str">
        <f>IFERROR(__xludf.DUMMYFUNCTION("""COMPUTED_VALUE"""),"KAB. BENGKAYANG")</f>
        <v>KAB. BENGKAYANG</v>
      </c>
      <c r="Q1660" s="35" t="str">
        <f>IFERROR(__xludf.DUMMYFUNCTION("""COMPUTED_VALUE"""),"KALIMANTAN BARAT")</f>
        <v>KALIMANTAN BARAT</v>
      </c>
      <c r="R1660" s="19" t="str">
        <f>IFERROR(__xludf.DUMMYFUNCTION("""COMPUTED_VALUE"""),"ISLAM")</f>
        <v>ISLAM</v>
      </c>
      <c r="S1660" s="16" t="str">
        <f>IFERROR(__xludf.DUMMYFUNCTION("""COMPUTED_VALUE"""),"PELAJAR/MAHASISWA")</f>
        <v>PELAJAR/MAHASISWA</v>
      </c>
      <c r="T1660" s="16" t="str">
        <f>IFERROR(__xludf.DUMMYFUNCTION("""COMPUTED_VALUE"""),"cedera , udah hampir sebulan tapi masih terasa sakit dan suka kambuh")</f>
        <v>cedera , udah hampir sebulan tapi masih terasa sakit dan suka kambuh</v>
      </c>
      <c r="U1660" s="16" t="str">
        <f>IFERROR(__xludf.DUMMYFUNCTION("""COMPUTED_VALUE"""),"sepak bola dan futsal")</f>
        <v>sepak bola dan futsal</v>
      </c>
      <c r="V1660" s="11" t="str">
        <f>IFERROR(__xludf.DUMMYFUNCTION("""COMPUTED_VALUE"""),"081251758314")</f>
        <v>081251758314</v>
      </c>
      <c r="W1660" s="15"/>
    </row>
    <row r="1661" ht="22.5" customHeight="1">
      <c r="A1661" s="8"/>
      <c r="B1661" s="9">
        <f>IFERROR(__xludf.DUMMYFUNCTION("""COMPUTED_VALUE"""),45526.44467561343)</f>
        <v>45526.44468</v>
      </c>
      <c r="C1661" s="9"/>
      <c r="D1661" s="34">
        <f>IFERROR(__xludf.DUMMYFUNCTION("""COMPUTED_VALUE"""),45536.0)</f>
        <v>45536</v>
      </c>
      <c r="E1661" s="34" t="str">
        <f>IFERROR(__xludf.DUMMYFUNCTION("""COMPUTED_VALUE"""),"09Sep")</f>
        <v>09Sep</v>
      </c>
      <c r="F1661" s="34" t="str">
        <f>IFERROR(__xludf.DUMMYFUNCTION("""COMPUTED_VALUE"""),"2024")</f>
        <v>2024</v>
      </c>
      <c r="G1661" s="35" t="str">
        <f>IFERROR(__xludf.DUMMYFUNCTION("""COMPUTED_VALUE"""),"DELSY KARINZA PUTA")</f>
        <v>DELSY KARINZA PUTA</v>
      </c>
      <c r="H1661" s="17" t="str">
        <f>IFERROR(__xludf.DUMMYFUNCTION("""COMPUTED_VALUE"""),"D0024096983")</f>
        <v>D0024096983</v>
      </c>
      <c r="I1661" s="17">
        <f>IFERROR(__xludf.DUMMYFUNCTION("""COMPUTED_VALUE"""),26.0)</f>
        <v>26</v>
      </c>
      <c r="J1661" s="17" t="str">
        <f>IFERROR(__xludf.DUMMYFUNCTION("""COMPUTED_VALUE"""),"25-34 tahun")</f>
        <v>25-34 tahun</v>
      </c>
      <c r="K1661" s="19">
        <f>IFERROR(__xludf.DUMMYFUNCTION("""COMPUTED_VALUE"""),36624.0)</f>
        <v>36624</v>
      </c>
      <c r="L1661" s="19" t="str">
        <f>IFERROR(__xludf.DUMMYFUNCTION("""COMPUTED_VALUE"""),"LAKI-LAKI")</f>
        <v>LAKI-LAKI</v>
      </c>
      <c r="M1661" s="35" t="str">
        <f>IFERROR(__xludf.DUMMYFUNCTION("""COMPUTED_VALUE"""),"JL. UJUNG PANDANG GG. GANDA DEWATA NO20A")</f>
        <v>JL. UJUNG PANDANG GG. GANDA DEWATA NO20A</v>
      </c>
      <c r="N1661" s="16" t="str">
        <f>IFERROR(__xludf.DUMMYFUNCTION("""COMPUTED_VALUE"""),"KEL. SUNGAI JAWI")</f>
        <v>KEL. SUNGAI JAWI</v>
      </c>
      <c r="O1661" s="16" t="str">
        <f>IFERROR(__xludf.DUMMYFUNCTION("""COMPUTED_VALUE"""),"KEC. PONTIANAK KOTA")</f>
        <v>KEC. PONTIANAK KOTA</v>
      </c>
      <c r="P1661" s="16" t="str">
        <f>IFERROR(__xludf.DUMMYFUNCTION("""COMPUTED_VALUE"""),"KOTA PONTIANAK")</f>
        <v>KOTA PONTIANAK</v>
      </c>
      <c r="Q1661" s="35" t="str">
        <f>IFERROR(__xludf.DUMMYFUNCTION("""COMPUTED_VALUE"""),"KALIMANTAN BARAT")</f>
        <v>KALIMANTAN BARAT</v>
      </c>
      <c r="R1661" s="19" t="str">
        <f>IFERROR(__xludf.DUMMYFUNCTION("""COMPUTED_VALUE"""),"ISLAM")</f>
        <v>ISLAM</v>
      </c>
      <c r="S1661" s="35" t="str">
        <f>IFERROR(__xludf.DUMMYFUNCTION("""COMPUTED_VALUE"""),"TIDAK ADA")</f>
        <v>TIDAK ADA</v>
      </c>
      <c r="T1661" s="16" t="str">
        <f>IFERROR(__xludf.DUMMYFUNCTION("""COMPUTED_VALUE"""),"nyeri dibagian kiri pada saat mau di tekuk")</f>
        <v>nyeri dibagian kiri pada saat mau di tekuk</v>
      </c>
      <c r="U1661" s="16" t="str">
        <f>IFERROR(__xludf.DUMMYFUNCTION("""COMPUTED_VALUE"""),"Sepak Bola")</f>
        <v>Sepak Bola</v>
      </c>
      <c r="V1661" s="11" t="str">
        <f>IFERROR(__xludf.DUMMYFUNCTION("""COMPUTED_VALUE"""),"089693376983")</f>
        <v>089693376983</v>
      </c>
      <c r="W1661" s="15"/>
    </row>
    <row r="1662" ht="22.5" customHeight="1">
      <c r="A1662" s="8"/>
      <c r="B1662" s="9">
        <f>IFERROR(__xludf.DUMMYFUNCTION("""COMPUTED_VALUE"""),45527.44461106481)</f>
        <v>45527.44461</v>
      </c>
      <c r="C1662" s="9"/>
      <c r="D1662" s="34">
        <f>IFERROR(__xludf.DUMMYFUNCTION("""COMPUTED_VALUE"""),45536.0)</f>
        <v>45536</v>
      </c>
      <c r="E1662" s="34" t="str">
        <f>IFERROR(__xludf.DUMMYFUNCTION("""COMPUTED_VALUE"""),"09Sep")</f>
        <v>09Sep</v>
      </c>
      <c r="F1662" s="34" t="str">
        <f>IFERROR(__xludf.DUMMYFUNCTION("""COMPUTED_VALUE"""),"2024")</f>
        <v>2024</v>
      </c>
      <c r="G1662" s="35" t="str">
        <f>IFERROR(__xludf.DUMMYFUNCTION("""COMPUTED_VALUE"""),"REINALDO DEDE PUTRA")</f>
        <v>REINALDO DEDE PUTRA</v>
      </c>
      <c r="H1662" s="17" t="str">
        <f>IFERROR(__xludf.DUMMYFUNCTION("""COMPUTED_VALUE"""),"R0424094609")</f>
        <v>R0424094609</v>
      </c>
      <c r="I1662" s="17">
        <f>IFERROR(__xludf.DUMMYFUNCTION("""COMPUTED_VALUE"""),22.0)</f>
        <v>22</v>
      </c>
      <c r="J1662" s="17" t="str">
        <f>IFERROR(__xludf.DUMMYFUNCTION("""COMPUTED_VALUE"""),"18-24 tahun")</f>
        <v>18-24 tahun</v>
      </c>
      <c r="K1662" s="19">
        <f>IFERROR(__xludf.DUMMYFUNCTION("""COMPUTED_VALUE"""),38135.0)</f>
        <v>38135</v>
      </c>
      <c r="L1662" s="19" t="str">
        <f>IFERROR(__xludf.DUMMYFUNCTION("""COMPUTED_VALUE"""),"LAKI-LAKI")</f>
        <v>LAKI-LAKI</v>
      </c>
      <c r="M1662" s="35" t="str">
        <f>IFERROR(__xludf.DUMMYFUNCTION("""COMPUTED_VALUE"""),"JALAN LINTAS TIMUR")</f>
        <v>JALAN LINTAS TIMUR</v>
      </c>
      <c r="N1662" s="16" t="str">
        <f>IFERROR(__xludf.DUMMYFUNCTION("""COMPUTED_VALUE"""),"KEL. KEDAMIN HULU")</f>
        <v>KEL. KEDAMIN HULU</v>
      </c>
      <c r="O1662" s="16" t="str">
        <f>IFERROR(__xludf.DUMMYFUNCTION("""COMPUTED_VALUE"""),"KEC. PUTUSSIBAU SELATAN")</f>
        <v>KEC. PUTUSSIBAU SELATAN</v>
      </c>
      <c r="P1662" s="16" t="str">
        <f>IFERROR(__xludf.DUMMYFUNCTION("""COMPUTED_VALUE"""),"KAB. KAPUAS HULU")</f>
        <v>KAB. KAPUAS HULU</v>
      </c>
      <c r="Q1662" s="16" t="str">
        <f>IFERROR(__xludf.DUMMYFUNCTION("""COMPUTED_VALUE"""),"KALIMANTAN BARAT")</f>
        <v>KALIMANTAN BARAT</v>
      </c>
      <c r="R1662" s="19" t="str">
        <f>IFERROR(__xludf.DUMMYFUNCTION("""COMPUTED_VALUE"""),"KATOLIK")</f>
        <v>KATOLIK</v>
      </c>
      <c r="S1662" s="35" t="str">
        <f>IFERROR(__xludf.DUMMYFUNCTION("""COMPUTED_VALUE"""),"PELAJAR/MAHASISWA")</f>
        <v>PELAJAR/MAHASISWA</v>
      </c>
      <c r="T1662" s="16" t="str">
        <f>IFERROR(__xludf.DUMMYFUNCTION("""COMPUTED_VALUE"""),"SAKIT")</f>
        <v>SAKIT</v>
      </c>
      <c r="U1662" s="16" t="str">
        <f>IFERROR(__xludf.DUMMYFUNCTION("""COMPUTED_VALUE"""),"Main bola")</f>
        <v>Main bola</v>
      </c>
      <c r="V1662" s="11" t="str">
        <f>IFERROR(__xludf.DUMMYFUNCTION("""COMPUTED_VALUE"""),"082149334609")</f>
        <v>082149334609</v>
      </c>
      <c r="W1662" s="15"/>
    </row>
    <row r="1663" ht="22.5" customHeight="1">
      <c r="A1663" s="8"/>
      <c r="B1663" s="9">
        <f>IFERROR(__xludf.DUMMYFUNCTION("""COMPUTED_VALUE"""),45528.52273590278)</f>
        <v>45528.52274</v>
      </c>
      <c r="C1663" s="9"/>
      <c r="D1663" s="34">
        <f>IFERROR(__xludf.DUMMYFUNCTION("""COMPUTED_VALUE"""),45536.40143590278)</f>
        <v>45536.40144</v>
      </c>
      <c r="E1663" s="34" t="str">
        <f>IFERROR(__xludf.DUMMYFUNCTION("""COMPUTED_VALUE"""),"09Sep")</f>
        <v>09Sep</v>
      </c>
      <c r="F1663" s="34" t="str">
        <f>IFERROR(__xludf.DUMMYFUNCTION("""COMPUTED_VALUE"""),"2024")</f>
        <v>2024</v>
      </c>
      <c r="G1663" s="35" t="str">
        <f>IFERROR(__xludf.DUMMYFUNCTION("""COMPUTED_VALUE"""),"NENENG SUNDARI")</f>
        <v>NENENG SUNDARI</v>
      </c>
      <c r="H1663" s="17" t="str">
        <f>IFERROR(__xludf.DUMMYFUNCTION("""COMPUTED_VALUE"""),"N7224091197")</f>
        <v>N7224091197</v>
      </c>
      <c r="I1663" s="17">
        <f>IFERROR(__xludf.DUMMYFUNCTION("""COMPUTED_VALUE"""),53.0)</f>
        <v>53</v>
      </c>
      <c r="J1663" s="17" t="str">
        <f>IFERROR(__xludf.DUMMYFUNCTION("""COMPUTED_VALUE"""),"&gt; 44 tahun")</f>
        <v>&gt; 44 tahun</v>
      </c>
      <c r="K1663" s="19">
        <f>IFERROR(__xludf.DUMMYFUNCTION("""COMPUTED_VALUE"""),26602.0)</f>
        <v>26602</v>
      </c>
      <c r="L1663" s="19" t="str">
        <f>IFERROR(__xludf.DUMMYFUNCTION("""COMPUTED_VALUE"""),"PEREMPUAN")</f>
        <v>PEREMPUAN</v>
      </c>
      <c r="M1663" s="35" t="str">
        <f>IFERROR(__xludf.DUMMYFUNCTION("""COMPUTED_VALUE"""),"JL. PERDAMAIAN, KOMP. SOJA BUDI UTAMA BHAKTI NO DD08")</f>
        <v>JL. PERDAMAIAN, KOMP. SOJA BUDI UTAMA BHAKTI NO DD08</v>
      </c>
      <c r="N1663" s="16" t="str">
        <f>IFERROR(__xludf.DUMMYFUNCTION("""COMPUTED_VALUE"""),"KEL. PAL IX")</f>
        <v>KEL. PAL IX</v>
      </c>
      <c r="O1663" s="16" t="str">
        <f>IFERROR(__xludf.DUMMYFUNCTION("""COMPUTED_VALUE"""),"KEC. SUNGAI KAKAP")</f>
        <v>KEC. SUNGAI KAKAP</v>
      </c>
      <c r="P1663" s="16" t="str">
        <f>IFERROR(__xludf.DUMMYFUNCTION("""COMPUTED_VALUE"""),"KAB. KUBU RAYA")</f>
        <v>KAB. KUBU RAYA</v>
      </c>
      <c r="Q1663" s="16" t="str">
        <f>IFERROR(__xludf.DUMMYFUNCTION("""COMPUTED_VALUE"""),"KALIMANTAN BARAT")</f>
        <v>KALIMANTAN BARAT</v>
      </c>
      <c r="R1663" s="19" t="str">
        <f>IFERROR(__xludf.DUMMYFUNCTION("""COMPUTED_VALUE"""),"ISLAM")</f>
        <v>ISLAM</v>
      </c>
      <c r="S1663" s="16" t="str">
        <f>IFERROR(__xludf.DUMMYFUNCTION("""COMPUTED_VALUE"""),"RUMAH TANGGA")</f>
        <v>RUMAH TANGGA</v>
      </c>
      <c r="T1663" s="16" t="str">
        <f>IFERROR(__xludf.DUMMYFUNCTION("""COMPUTED_VALUE"""),"SARAF KEJEPIT")</f>
        <v>SARAF KEJEPIT</v>
      </c>
      <c r="U1663" s="16" t="str">
        <f>IFERROR(__xludf.DUMMYFUNCTION("""COMPUTED_VALUE"""),"Memasak")</f>
        <v>Memasak</v>
      </c>
      <c r="V1663" s="11" t="str">
        <f>IFERROR(__xludf.DUMMYFUNCTION("""COMPUTED_VALUE"""),"082250631197")</f>
        <v>082250631197</v>
      </c>
      <c r="W1663" s="15"/>
    </row>
    <row r="1664" ht="22.5" customHeight="1">
      <c r="A1664" s="8"/>
      <c r="B1664" s="9">
        <f>IFERROR(__xludf.DUMMYFUNCTION("""COMPUTED_VALUE"""),45528.844550740745)</f>
        <v>45528.84455</v>
      </c>
      <c r="C1664" s="9"/>
      <c r="D1664" s="34">
        <f>IFERROR(__xludf.DUMMYFUNCTION("""COMPUTED_VALUE"""),45537.0)</f>
        <v>45537</v>
      </c>
      <c r="E1664" s="34" t="str">
        <f>IFERROR(__xludf.DUMMYFUNCTION("""COMPUTED_VALUE"""),"09Sep")</f>
        <v>09Sep</v>
      </c>
      <c r="F1664" s="34" t="str">
        <f>IFERROR(__xludf.DUMMYFUNCTION("""COMPUTED_VALUE"""),"2024")</f>
        <v>2024</v>
      </c>
      <c r="G1664" s="35" t="str">
        <f>IFERROR(__xludf.DUMMYFUNCTION("""COMPUTED_VALUE"""),"FATRUHAFID")</f>
        <v>FATRUHAFID</v>
      </c>
      <c r="H1664" s="17" t="str">
        <f>IFERROR(__xludf.DUMMYFUNCTION("""COMPUTED_VALUE"""),"F8924095341")</f>
        <v>F8924095341</v>
      </c>
      <c r="I1664" s="17">
        <f>IFERROR(__xludf.DUMMYFUNCTION("""COMPUTED_VALUE"""),36.0)</f>
        <v>36</v>
      </c>
      <c r="J1664" s="17" t="str">
        <f>IFERROR(__xludf.DUMMYFUNCTION("""COMPUTED_VALUE"""),"35-44 tahun")</f>
        <v>35-44 tahun</v>
      </c>
      <c r="K1664" s="19">
        <f>IFERROR(__xludf.DUMMYFUNCTION("""COMPUTED_VALUE"""),32699.0)</f>
        <v>32699</v>
      </c>
      <c r="L1664" s="19" t="str">
        <f>IFERROR(__xludf.DUMMYFUNCTION("""COMPUTED_VALUE"""),"LAKI-LAKI")</f>
        <v>LAKI-LAKI</v>
      </c>
      <c r="M1664" s="35" t="str">
        <f>IFERROR(__xludf.DUMMYFUNCTION("""COMPUTED_VALUE"""),"KOMP. BTN TELUK MULUS GG. PENDIDIKAN BLOM X NO. 1")</f>
        <v>KOMP. BTN TELUK MULUS GG. PENDIDIKAN BLOM X NO. 1</v>
      </c>
      <c r="N1664" s="16" t="str">
        <f>IFERROR(__xludf.DUMMYFUNCTION("""COMPUTED_VALUE"""),"DS. TELUK KAPUAS")</f>
        <v>DS. TELUK KAPUAS</v>
      </c>
      <c r="O1664" s="16" t="str">
        <f>IFERROR(__xludf.DUMMYFUNCTION("""COMPUTED_VALUE"""),"KEC. SUNGAI RAYA")</f>
        <v>KEC. SUNGAI RAYA</v>
      </c>
      <c r="P1664" s="16" t="str">
        <f>IFERROR(__xludf.DUMMYFUNCTION("""COMPUTED_VALUE"""),"KAB. KUBU RAYA")</f>
        <v>KAB. KUBU RAYA</v>
      </c>
      <c r="Q1664" s="16" t="str">
        <f>IFERROR(__xludf.DUMMYFUNCTION("""COMPUTED_VALUE"""),"KALIMANTAN BARAT")</f>
        <v>KALIMANTAN BARAT</v>
      </c>
      <c r="R1664" s="19" t="str">
        <f>IFERROR(__xludf.DUMMYFUNCTION("""COMPUTED_VALUE"""),"ISLAM")</f>
        <v>ISLAM</v>
      </c>
      <c r="S1664" s="35" t="str">
        <f>IFERROR(__xludf.DUMMYFUNCTION("""COMPUTED_VALUE"""),"ASN")</f>
        <v>ASN</v>
      </c>
      <c r="T1664" s="16" t="str">
        <f>IFERROR(__xludf.DUMMYFUNCTION("""COMPUTED_VALUE"""),"KESELEO")</f>
        <v>KESELEO</v>
      </c>
      <c r="U1664" s="16" t="str">
        <f>IFERROR(__xludf.DUMMYFUNCTION("""COMPUTED_VALUE"""),"Kerja &amp; olahraga")</f>
        <v>Kerja &amp; olahraga</v>
      </c>
      <c r="V1664" s="11" t="str">
        <f>IFERROR(__xludf.DUMMYFUNCTION("""COMPUTED_VALUE"""),"085252065341")</f>
        <v>085252065341</v>
      </c>
      <c r="W1664" s="15"/>
    </row>
    <row r="1665" ht="22.5" customHeight="1">
      <c r="A1665" s="8"/>
      <c r="B1665" s="9">
        <f>IFERROR(__xludf.DUMMYFUNCTION("""COMPUTED_VALUE"""),45529.39572704861)</f>
        <v>45529.39573</v>
      </c>
      <c r="C1665" s="9"/>
      <c r="D1665" s="34">
        <f>IFERROR(__xludf.DUMMYFUNCTION("""COMPUTED_VALUE"""),45537.0)</f>
        <v>45537</v>
      </c>
      <c r="E1665" s="34" t="str">
        <f>IFERROR(__xludf.DUMMYFUNCTION("""COMPUTED_VALUE"""),"09Sep")</f>
        <v>09Sep</v>
      </c>
      <c r="F1665" s="34" t="str">
        <f>IFERROR(__xludf.DUMMYFUNCTION("""COMPUTED_VALUE"""),"2024")</f>
        <v>2024</v>
      </c>
      <c r="G1665" s="35" t="str">
        <f>IFERROR(__xludf.DUMMYFUNCTION("""COMPUTED_VALUE"""),"FEBERLINDA PURBA")</f>
        <v>FEBERLINDA PURBA</v>
      </c>
      <c r="H1665" s="17" t="str">
        <f>IFERROR(__xludf.DUMMYFUNCTION("""COMPUTED_VALUE"""),"F7424099974")</f>
        <v>F7424099974</v>
      </c>
      <c r="I1665" s="17">
        <f>IFERROR(__xludf.DUMMYFUNCTION("""COMPUTED_VALUE"""),52.0)</f>
        <v>52</v>
      </c>
      <c r="J1665" s="17" t="str">
        <f>IFERROR(__xludf.DUMMYFUNCTION("""COMPUTED_VALUE"""),"&gt; 44 tahun")</f>
        <v>&gt; 44 tahun</v>
      </c>
      <c r="K1665" s="19">
        <f>IFERROR(__xludf.DUMMYFUNCTION("""COMPUTED_VALUE"""),27080.0)</f>
        <v>27080</v>
      </c>
      <c r="L1665" s="19" t="str">
        <f>IFERROR(__xludf.DUMMYFUNCTION("""COMPUTED_VALUE"""),"PEREMPUAN")</f>
        <v>PEREMPUAN</v>
      </c>
      <c r="M1665" s="35" t="str">
        <f>IFERROR(__xludf.DUMMYFUNCTION("""COMPUTED_VALUE"""),"JL. NAWAWI HASAN 3 NO. 304")</f>
        <v>JL. NAWAWI HASAN 3 NO. 304</v>
      </c>
      <c r="N1665" s="16" t="str">
        <f>IFERROR(__xludf.DUMMYFUNCTION("""COMPUTED_VALUE"""),"KEL. SUNGAI BELIUNG")</f>
        <v>KEL. SUNGAI BELIUNG</v>
      </c>
      <c r="O1665" s="16" t="str">
        <f>IFERROR(__xludf.DUMMYFUNCTION("""COMPUTED_VALUE"""),"KEC. PONTIANAK BARAT")</f>
        <v>KEC. PONTIANAK BARAT</v>
      </c>
      <c r="P1665" s="16" t="str">
        <f>IFERROR(__xludf.DUMMYFUNCTION("""COMPUTED_VALUE"""),"KOTA PONTIANAK")</f>
        <v>KOTA PONTIANAK</v>
      </c>
      <c r="Q1665" s="16" t="str">
        <f>IFERROR(__xludf.DUMMYFUNCTION("""COMPUTED_VALUE"""),"KALIMANTAN BARAT")</f>
        <v>KALIMANTAN BARAT</v>
      </c>
      <c r="R1665" s="19" t="str">
        <f>IFERROR(__xludf.DUMMYFUNCTION("""COMPUTED_VALUE"""),"PROTESTAN")</f>
        <v>PROTESTAN</v>
      </c>
      <c r="S1665" s="16" t="str">
        <f>IFERROR(__xludf.DUMMYFUNCTION("""COMPUTED_VALUE"""),"RUMAH TANGGA")</f>
        <v>RUMAH TANGGA</v>
      </c>
      <c r="T1665" s="16" t="str">
        <f>IFERROR(__xludf.DUMMYFUNCTION("""COMPUTED_VALUE"""),"STROKE")</f>
        <v>STROKE</v>
      </c>
      <c r="U1665" s="16" t="str">
        <f>IFERROR(__xludf.DUMMYFUNCTION("""COMPUTED_VALUE"""),"Ibu Rumah Tangga")</f>
        <v>Ibu Rumah Tangga</v>
      </c>
      <c r="V1665" s="11" t="str">
        <f>IFERROR(__xludf.DUMMYFUNCTION("""COMPUTED_VALUE"""),"082159349974")</f>
        <v>082159349974</v>
      </c>
      <c r="W1665" s="15"/>
    </row>
    <row r="1666" ht="22.5" customHeight="1">
      <c r="A1666" s="8"/>
      <c r="B1666" s="9">
        <f>IFERROR(__xludf.DUMMYFUNCTION("""COMPUTED_VALUE"""),45529.60767895833)</f>
        <v>45529.60768</v>
      </c>
      <c r="C1666" s="9"/>
      <c r="D1666" s="34">
        <f>IFERROR(__xludf.DUMMYFUNCTION("""COMPUTED_VALUE"""),45537.0)</f>
        <v>45537</v>
      </c>
      <c r="E1666" s="34" t="str">
        <f>IFERROR(__xludf.DUMMYFUNCTION("""COMPUTED_VALUE"""),"09Sep")</f>
        <v>09Sep</v>
      </c>
      <c r="F1666" s="34" t="str">
        <f>IFERROR(__xludf.DUMMYFUNCTION("""COMPUTED_VALUE"""),"2024")</f>
        <v>2024</v>
      </c>
      <c r="G1666" s="35" t="str">
        <f>IFERROR(__xludf.DUMMYFUNCTION("""COMPUTED_VALUE"""),"ERWANSYAH")</f>
        <v>ERWANSYAH</v>
      </c>
      <c r="H1666" s="17" t="str">
        <f>IFERROR(__xludf.DUMMYFUNCTION("""COMPUTED_VALUE"""),"E8624096655")</f>
        <v>E8624096655</v>
      </c>
      <c r="I1666" s="17">
        <f>IFERROR(__xludf.DUMMYFUNCTION("""COMPUTED_VALUE"""),40.0)</f>
        <v>40</v>
      </c>
      <c r="J1666" s="17" t="str">
        <f>IFERROR(__xludf.DUMMYFUNCTION("""COMPUTED_VALUE"""),"35-44 tahun")</f>
        <v>35-44 tahun</v>
      </c>
      <c r="K1666" s="19">
        <f>IFERROR(__xludf.DUMMYFUNCTION("""COMPUTED_VALUE"""),31441.0)</f>
        <v>31441</v>
      </c>
      <c r="L1666" s="19" t="str">
        <f>IFERROR(__xludf.DUMMYFUNCTION("""COMPUTED_VALUE"""),"LAKI-LAKI")</f>
        <v>LAKI-LAKI</v>
      </c>
      <c r="M1666" s="35" t="str">
        <f>IFERROR(__xludf.DUMMYFUNCTION("""COMPUTED_VALUE"""),"JALAN PROF M.YAMIN GG.PEMANGKAT 1")</f>
        <v>JALAN PROF M.YAMIN GG.PEMANGKAT 1</v>
      </c>
      <c r="N1666" s="16" t="str">
        <f>IFERROR(__xludf.DUMMYFUNCTION("""COMPUTED_VALUE"""),"KEL. AKCAYA")</f>
        <v>KEL. AKCAYA</v>
      </c>
      <c r="O1666" s="16" t="str">
        <f>IFERROR(__xludf.DUMMYFUNCTION("""COMPUTED_VALUE"""),"KEC. PONTIANAK KOTA")</f>
        <v>KEC. PONTIANAK KOTA</v>
      </c>
      <c r="P1666" s="16" t="str">
        <f>IFERROR(__xludf.DUMMYFUNCTION("""COMPUTED_VALUE"""),"KOTA PONTIANAK")</f>
        <v>KOTA PONTIANAK</v>
      </c>
      <c r="Q1666" s="16" t="str">
        <f>IFERROR(__xludf.DUMMYFUNCTION("""COMPUTED_VALUE"""),"KALIMANTAN BARAT")</f>
        <v>KALIMANTAN BARAT</v>
      </c>
      <c r="R1666" s="19" t="str">
        <f>IFERROR(__xludf.DUMMYFUNCTION("""COMPUTED_VALUE"""),"ISLAM")</f>
        <v>ISLAM</v>
      </c>
      <c r="S1666" s="35" t="str">
        <f>IFERROR(__xludf.DUMMYFUNCTION("""COMPUTED_VALUE"""),"ARTIST")</f>
        <v>ARTIST</v>
      </c>
      <c r="T1666" s="16" t="str">
        <f>IFERROR(__xludf.DUMMYFUNCTION("""COMPUTED_VALUE"""),"NYERI SENDI")</f>
        <v>NYERI SENDI</v>
      </c>
      <c r="U1666" s="16" t="str">
        <f>IFERROR(__xludf.DUMMYFUNCTION("""COMPUTED_VALUE"""),"WEDDING FOTOGRAPHER &amp; JOGGING")</f>
        <v>WEDDING FOTOGRAPHER &amp; JOGGING</v>
      </c>
      <c r="V1666" s="11" t="str">
        <f>IFERROR(__xludf.DUMMYFUNCTION("""COMPUTED_VALUE"""),"082213466655")</f>
        <v>082213466655</v>
      </c>
      <c r="W1666" s="15"/>
    </row>
    <row r="1667" ht="22.5" customHeight="1">
      <c r="A1667" s="8"/>
      <c r="B1667" s="9">
        <f>IFERROR(__xludf.DUMMYFUNCTION("""COMPUTED_VALUE"""),45529.6546612963)</f>
        <v>45529.65466</v>
      </c>
      <c r="C1667" s="9"/>
      <c r="D1667" s="34">
        <f>IFERROR(__xludf.DUMMYFUNCTION("""COMPUTED_VALUE"""),45538.0)</f>
        <v>45538</v>
      </c>
      <c r="E1667" s="34" t="str">
        <f>IFERROR(__xludf.DUMMYFUNCTION("""COMPUTED_VALUE"""),"09Sep")</f>
        <v>09Sep</v>
      </c>
      <c r="F1667" s="34" t="str">
        <f>IFERROR(__xludf.DUMMYFUNCTION("""COMPUTED_VALUE"""),"2024")</f>
        <v>2024</v>
      </c>
      <c r="G1667" s="35" t="str">
        <f>IFERROR(__xludf.DUMMYFUNCTION("""COMPUTED_VALUE"""),"ABQARY RAFFA PRAMANA")</f>
        <v>ABQARY RAFFA PRAMANA</v>
      </c>
      <c r="H1667" s="17" t="str">
        <f>IFERROR(__xludf.DUMMYFUNCTION("""COMPUTED_VALUE"""),"A1024090212")</f>
        <v>A1024090212</v>
      </c>
      <c r="I1667" s="17">
        <f>IFERROR(__xludf.DUMMYFUNCTION("""COMPUTED_VALUE"""),16.0)</f>
        <v>16</v>
      </c>
      <c r="J1667" s="17" t="str">
        <f>IFERROR(__xludf.DUMMYFUNCTION("""COMPUTED_VALUE"""),"&lt; 18 tahun")</f>
        <v>&lt; 18 tahun</v>
      </c>
      <c r="K1667" s="19">
        <f>IFERROR(__xludf.DUMMYFUNCTION("""COMPUTED_VALUE"""),40275.0)</f>
        <v>40275</v>
      </c>
      <c r="L1667" s="19" t="str">
        <f>IFERROR(__xludf.DUMMYFUNCTION("""COMPUTED_VALUE"""),"LAKI-LAKI")</f>
        <v>LAKI-LAKI</v>
      </c>
      <c r="M1667" s="35" t="str">
        <f>IFERROR(__xludf.DUMMYFUNCTION("""COMPUTED_VALUE"""),"JL. PANGLIMA AIM NO. 102")</f>
        <v>JL. PANGLIMA AIM NO. 102</v>
      </c>
      <c r="N1667" s="16" t="str">
        <f>IFERROR(__xludf.DUMMYFUNCTION("""COMPUTED_VALUE"""),"KEL. DALAM BUGIS")</f>
        <v>KEL. DALAM BUGIS</v>
      </c>
      <c r="O1667" s="16" t="str">
        <f>IFERROR(__xludf.DUMMYFUNCTION("""COMPUTED_VALUE"""),"KEC. PONTIANAK TIMUR")</f>
        <v>KEC. PONTIANAK TIMUR</v>
      </c>
      <c r="P1667" s="16" t="str">
        <f>IFERROR(__xludf.DUMMYFUNCTION("""COMPUTED_VALUE"""),"KOTA PONTIANAK")</f>
        <v>KOTA PONTIANAK</v>
      </c>
      <c r="Q1667" s="16" t="str">
        <f>IFERROR(__xludf.DUMMYFUNCTION("""COMPUTED_VALUE"""),"KALIMANTAN BARAT")</f>
        <v>KALIMANTAN BARAT</v>
      </c>
      <c r="R1667" s="19" t="str">
        <f>IFERROR(__xludf.DUMMYFUNCTION("""COMPUTED_VALUE"""),"ISLAM")</f>
        <v>ISLAM</v>
      </c>
      <c r="S1667" s="35" t="str">
        <f>IFERROR(__xludf.DUMMYFUNCTION("""COMPUTED_VALUE"""),"PELAJAR/MAHASISWA")</f>
        <v>PELAJAR/MAHASISWA</v>
      </c>
      <c r="T1667" s="16" t="str">
        <f>IFERROR(__xludf.DUMMYFUNCTION("""COMPUTED_VALUE"""),"SAKIT KAKI")</f>
        <v>SAKIT KAKI</v>
      </c>
      <c r="U1667" s="16" t="str">
        <f>IFERROR(__xludf.DUMMYFUNCTION("""COMPUTED_VALUE"""),"Basket n Badminton")</f>
        <v>Basket n Badminton</v>
      </c>
      <c r="V1667" s="11" t="str">
        <f>IFERROR(__xludf.DUMMYFUNCTION("""COMPUTED_VALUE"""),"081345380212")</f>
        <v>081345380212</v>
      </c>
      <c r="W1667" s="15"/>
    </row>
    <row r="1668" ht="22.5" customHeight="1">
      <c r="A1668" s="8"/>
      <c r="B1668" s="9">
        <f>IFERROR(__xludf.DUMMYFUNCTION("""COMPUTED_VALUE"""),45529.71402162037)</f>
        <v>45529.71402</v>
      </c>
      <c r="C1668" s="9"/>
      <c r="D1668" s="34">
        <f>IFERROR(__xludf.DUMMYFUNCTION("""COMPUTED_VALUE"""),45538.0)</f>
        <v>45538</v>
      </c>
      <c r="E1668" s="34" t="str">
        <f>IFERROR(__xludf.DUMMYFUNCTION("""COMPUTED_VALUE"""),"09Sep")</f>
        <v>09Sep</v>
      </c>
      <c r="F1668" s="34" t="str">
        <f>IFERROR(__xludf.DUMMYFUNCTION("""COMPUTED_VALUE"""),"2024")</f>
        <v>2024</v>
      </c>
      <c r="G1668" s="35" t="str">
        <f>IFERROR(__xludf.DUMMYFUNCTION("""COMPUTED_VALUE"""),"M. MALIK AL-FAJRI")</f>
        <v>M. MALIK AL-FAJRI</v>
      </c>
      <c r="H1668" s="17" t="str">
        <f>IFERROR(__xludf.DUMMYFUNCTION("""COMPUTED_VALUE"""),"M1124091600")</f>
        <v>M1124091600</v>
      </c>
      <c r="I1668" s="17">
        <f>IFERROR(__xludf.DUMMYFUNCTION("""COMPUTED_VALUE"""),15.0)</f>
        <v>15</v>
      </c>
      <c r="J1668" s="17" t="str">
        <f>IFERROR(__xludf.DUMMYFUNCTION("""COMPUTED_VALUE"""),"&lt; 18 tahun")</f>
        <v>&lt; 18 tahun</v>
      </c>
      <c r="K1668" s="19">
        <f>IFERROR(__xludf.DUMMYFUNCTION("""COMPUTED_VALUE"""),40696.0)</f>
        <v>40696</v>
      </c>
      <c r="L1668" s="19" t="str">
        <f>IFERROR(__xludf.DUMMYFUNCTION("""COMPUTED_VALUE"""),"LAKI-LAKI")</f>
        <v>LAKI-LAKI</v>
      </c>
      <c r="M1668" s="35" t="str">
        <f>IFERROR(__xludf.DUMMYFUNCTION("""COMPUTED_VALUE"""),"JALAN HARAPAN JAYA GG. HARAPAN JAYA 1 NO 42")</f>
        <v>JALAN HARAPAN JAYA GG. HARAPAN JAYA 1 NO 42</v>
      </c>
      <c r="N1668" s="16" t="str">
        <f>IFERROR(__xludf.DUMMYFUNCTION("""COMPUTED_VALUE"""),"KEL. KOTA BARU")</f>
        <v>KEL. KOTA BARU</v>
      </c>
      <c r="O1668" s="16" t="str">
        <f>IFERROR(__xludf.DUMMYFUNCTION("""COMPUTED_VALUE"""),"KEC. PONTIANAK SELATAN")</f>
        <v>KEC. PONTIANAK SELATAN</v>
      </c>
      <c r="P1668" s="16" t="str">
        <f>IFERROR(__xludf.DUMMYFUNCTION("""COMPUTED_VALUE"""),"KOTA PONTIANAK")</f>
        <v>KOTA PONTIANAK</v>
      </c>
      <c r="Q1668" s="16" t="str">
        <f>IFERROR(__xludf.DUMMYFUNCTION("""COMPUTED_VALUE"""),"KALIMANTAN BARAT")</f>
        <v>KALIMANTAN BARAT</v>
      </c>
      <c r="R1668" s="19" t="str">
        <f>IFERROR(__xludf.DUMMYFUNCTION("""COMPUTED_VALUE"""),"ISLAM")</f>
        <v>ISLAM</v>
      </c>
      <c r="S1668" s="35" t="str">
        <f>IFERROR(__xludf.DUMMYFUNCTION("""COMPUTED_VALUE"""),"PELAJAR/MAHASISWA")</f>
        <v>PELAJAR/MAHASISWA</v>
      </c>
      <c r="T1668" s="16" t="str">
        <f>IFERROR(__xludf.DUMMYFUNCTION("""COMPUTED_VALUE"""),"SAKIT PADA ENGKEL")</f>
        <v>SAKIT PADA ENGKEL</v>
      </c>
      <c r="U1668" s="16" t="str">
        <f>IFERROR(__xludf.DUMMYFUNCTION("""COMPUTED_VALUE"""),"sekolah, main bola")</f>
        <v>sekolah, main bola</v>
      </c>
      <c r="V1668" s="11" t="str">
        <f>IFERROR(__xludf.DUMMYFUNCTION("""COMPUTED_VALUE"""),"0895338601600")</f>
        <v>0895338601600</v>
      </c>
      <c r="W1668" s="15"/>
    </row>
    <row r="1669" ht="22.5" customHeight="1">
      <c r="A1669" s="8"/>
      <c r="B1669" s="9">
        <f>IFERROR(__xludf.DUMMYFUNCTION("""COMPUTED_VALUE"""),45530.69810408565)</f>
        <v>45530.6981</v>
      </c>
      <c r="C1669" s="9"/>
      <c r="D1669" s="34">
        <f>IFERROR(__xludf.DUMMYFUNCTION("""COMPUTED_VALUE"""),45538.0)</f>
        <v>45538</v>
      </c>
      <c r="E1669" s="34" t="str">
        <f>IFERROR(__xludf.DUMMYFUNCTION("""COMPUTED_VALUE"""),"09Sep")</f>
        <v>09Sep</v>
      </c>
      <c r="F1669" s="34" t="str">
        <f>IFERROR(__xludf.DUMMYFUNCTION("""COMPUTED_VALUE"""),"2024")</f>
        <v>2024</v>
      </c>
      <c r="G1669" s="35" t="str">
        <f>IFERROR(__xludf.DUMMYFUNCTION("""COMPUTED_VALUE"""),"AEIRA SABILLAH AGRI TRIYANTI")</f>
        <v>AEIRA SABILLAH AGRI TRIYANTI</v>
      </c>
      <c r="H1669" s="17" t="str">
        <f>IFERROR(__xludf.DUMMYFUNCTION("""COMPUTED_VALUE"""),"A0824098041")</f>
        <v>A0824098041</v>
      </c>
      <c r="I1669" s="17">
        <f>IFERROR(__xludf.DUMMYFUNCTION("""COMPUTED_VALUE"""),17.0)</f>
        <v>17</v>
      </c>
      <c r="J1669" s="17" t="str">
        <f>IFERROR(__xludf.DUMMYFUNCTION("""COMPUTED_VALUE"""),"&lt; 18 tahun")</f>
        <v>&lt; 18 tahun</v>
      </c>
      <c r="K1669" s="19">
        <f>IFERROR(__xludf.DUMMYFUNCTION("""COMPUTED_VALUE"""),39690.0)</f>
        <v>39690</v>
      </c>
      <c r="L1669" s="19" t="str">
        <f>IFERROR(__xludf.DUMMYFUNCTION("""COMPUTED_VALUE"""),"PEREMPUAN")</f>
        <v>PEREMPUAN</v>
      </c>
      <c r="M1669" s="35" t="str">
        <f>IFERROR(__xludf.DUMMYFUNCTION("""COMPUTED_VALUE"""),"JL. ILHAM, KOMP. SRIWIJAYA LESTARI, NO. C1")</f>
        <v>JL. ILHAM, KOMP. SRIWIJAYA LESTARI, NO. C1</v>
      </c>
      <c r="N1669" s="16" t="str">
        <f>IFERROR(__xludf.DUMMYFUNCTION("""COMPUTED_VALUE"""),"KEL. SUNGAI BANGKONG")</f>
        <v>KEL. SUNGAI BANGKONG</v>
      </c>
      <c r="O1669" s="16" t="str">
        <f>IFERROR(__xludf.DUMMYFUNCTION("""COMPUTED_VALUE"""),"KEC. PONTIANAK KOTA")</f>
        <v>KEC. PONTIANAK KOTA</v>
      </c>
      <c r="P1669" s="16" t="str">
        <f>IFERROR(__xludf.DUMMYFUNCTION("""COMPUTED_VALUE"""),"KOTA PONTIANAK")</f>
        <v>KOTA PONTIANAK</v>
      </c>
      <c r="Q1669" s="16" t="str">
        <f>IFERROR(__xludf.DUMMYFUNCTION("""COMPUTED_VALUE"""),"KALIMANTAN BARAT")</f>
        <v>KALIMANTAN BARAT</v>
      </c>
      <c r="R1669" s="19" t="str">
        <f>IFERROR(__xludf.DUMMYFUNCTION("""COMPUTED_VALUE"""),"ISLAM")</f>
        <v>ISLAM</v>
      </c>
      <c r="S1669" s="16" t="str">
        <f>IFERROR(__xludf.DUMMYFUNCTION("""COMPUTED_VALUE"""),"PELAJAR/MAHASISWA")</f>
        <v>PELAJAR/MAHASISWA</v>
      </c>
      <c r="T1669" s="16" t="str">
        <f>IFERROR(__xludf.DUMMYFUNCTION("""COMPUTED_VALUE"""),"SAKIT PINGGANG")</f>
        <v>SAKIT PINGGANG</v>
      </c>
      <c r="U1669" s="16" t="str">
        <f>IFERROR(__xludf.DUMMYFUNCTION("""COMPUTED_VALUE"""),"Sekolah")</f>
        <v>Sekolah</v>
      </c>
      <c r="V1669" s="11" t="str">
        <f>IFERROR(__xludf.DUMMYFUNCTION("""COMPUTED_VALUE"""),"+6285828618041")</f>
        <v>+6285828618041</v>
      </c>
      <c r="W1669" s="15"/>
    </row>
    <row r="1670" ht="22.5" customHeight="1">
      <c r="A1670" s="8"/>
      <c r="B1670" s="9">
        <f>IFERROR(__xludf.DUMMYFUNCTION("""COMPUTED_VALUE"""),45531.54323792824)</f>
        <v>45531.54324</v>
      </c>
      <c r="C1670" s="9"/>
      <c r="D1670" s="34">
        <f>IFERROR(__xludf.DUMMYFUNCTION("""COMPUTED_VALUE"""),45539.0)</f>
        <v>45539</v>
      </c>
      <c r="E1670" s="34" t="str">
        <f>IFERROR(__xludf.DUMMYFUNCTION("""COMPUTED_VALUE"""),"09Sep")</f>
        <v>09Sep</v>
      </c>
      <c r="F1670" s="34" t="str">
        <f>IFERROR(__xludf.DUMMYFUNCTION("""COMPUTED_VALUE"""),"2024")</f>
        <v>2024</v>
      </c>
      <c r="G1670" s="35" t="str">
        <f>IFERROR(__xludf.DUMMYFUNCTION("""COMPUTED_VALUE"""),"AHMAD FATHU ROJI")</f>
        <v>AHMAD FATHU ROJI</v>
      </c>
      <c r="H1670" s="17" t="str">
        <f>IFERROR(__xludf.DUMMYFUNCTION("""COMPUTED_VALUE"""),"A0024096054")</f>
        <v>A0024096054</v>
      </c>
      <c r="I1670" s="17">
        <f>IFERROR(__xludf.DUMMYFUNCTION("""COMPUTED_VALUE"""),26.0)</f>
        <v>26</v>
      </c>
      <c r="J1670" s="17" t="str">
        <f>IFERROR(__xludf.DUMMYFUNCTION("""COMPUTED_VALUE"""),"25-34 tahun")</f>
        <v>25-34 tahun</v>
      </c>
      <c r="K1670" s="19">
        <f>IFERROR(__xludf.DUMMYFUNCTION("""COMPUTED_VALUE"""),36622.0)</f>
        <v>36622</v>
      </c>
      <c r="L1670" s="19" t="str">
        <f>IFERROR(__xludf.DUMMYFUNCTION("""COMPUTED_VALUE"""),"LAKI-LAKI")</f>
        <v>LAKI-LAKI</v>
      </c>
      <c r="M1670" s="35" t="str">
        <f>IFERROR(__xludf.DUMMYFUNCTION("""COMPUTED_VALUE"""),"JL. DANAU SENTARUM GG DANAU FAMILI")</f>
        <v>JL. DANAU SENTARUM GG DANAU FAMILI</v>
      </c>
      <c r="N1670" s="16" t="str">
        <f>IFERROR(__xludf.DUMMYFUNCTION("""COMPUTED_VALUE"""),"KEL. SUNGAI BANGKONG")</f>
        <v>KEL. SUNGAI BANGKONG</v>
      </c>
      <c r="O1670" s="16" t="str">
        <f>IFERROR(__xludf.DUMMYFUNCTION("""COMPUTED_VALUE"""),"KEC. PONTIANAK KOTA")</f>
        <v>KEC. PONTIANAK KOTA</v>
      </c>
      <c r="P1670" s="16" t="str">
        <f>IFERROR(__xludf.DUMMYFUNCTION("""COMPUTED_VALUE"""),"KOTA PONTIANAK")</f>
        <v>KOTA PONTIANAK</v>
      </c>
      <c r="Q1670" s="16" t="str">
        <f>IFERROR(__xludf.DUMMYFUNCTION("""COMPUTED_VALUE"""),"KALIMANTAN BARAT")</f>
        <v>KALIMANTAN BARAT</v>
      </c>
      <c r="R1670" s="19" t="str">
        <f>IFERROR(__xludf.DUMMYFUNCTION("""COMPUTED_VALUE"""),"ISLAM")</f>
        <v>ISLAM</v>
      </c>
      <c r="S1670" s="16" t="str">
        <f>IFERROR(__xludf.DUMMYFUNCTION("""COMPUTED_VALUE"""),"TIDAK ADA")</f>
        <v>TIDAK ADA</v>
      </c>
      <c r="T1670" s="16" t="str">
        <f>IFERROR(__xludf.DUMMYFUNCTION("""COMPUTED_VALUE"""),"SAKIT DI AREA SEBELAH KIRI")</f>
        <v>SAKIT DI AREA SEBELAH KIRI</v>
      </c>
      <c r="U1670" s="16" t="str">
        <f>IFERROR(__xludf.DUMMYFUNCTION("""COMPUTED_VALUE"""),"Olahraga, futsal, sepak bola, batminton, dll")</f>
        <v>Olahraga, futsal, sepak bola, batminton, dll</v>
      </c>
      <c r="V1670" s="11" t="str">
        <f>IFERROR(__xludf.DUMMYFUNCTION("""COMPUTED_VALUE"""),"085348996054")</f>
        <v>085348996054</v>
      </c>
      <c r="W1670" s="15"/>
    </row>
    <row r="1671" ht="22.5" customHeight="1">
      <c r="A1671" s="8"/>
      <c r="B1671" s="9">
        <f>IFERROR(__xludf.DUMMYFUNCTION("""COMPUTED_VALUE"""),45531.600440775466)</f>
        <v>45531.60044</v>
      </c>
      <c r="C1671" s="9"/>
      <c r="D1671" s="34">
        <f>IFERROR(__xludf.DUMMYFUNCTION("""COMPUTED_VALUE"""),45539.0)</f>
        <v>45539</v>
      </c>
      <c r="E1671" s="34" t="str">
        <f>IFERROR(__xludf.DUMMYFUNCTION("""COMPUTED_VALUE"""),"09Sep")</f>
        <v>09Sep</v>
      </c>
      <c r="F1671" s="34" t="str">
        <f>IFERROR(__xludf.DUMMYFUNCTION("""COMPUTED_VALUE"""),"2024")</f>
        <v>2024</v>
      </c>
      <c r="G1671" s="35" t="str">
        <f>IFERROR(__xludf.DUMMYFUNCTION("""COMPUTED_VALUE"""),"WINDA EVELUN")</f>
        <v>WINDA EVELUN</v>
      </c>
      <c r="H1671" s="17" t="str">
        <f>IFERROR(__xludf.DUMMYFUNCTION("""COMPUTED_VALUE"""),"W8924098998")</f>
        <v>W8924098998</v>
      </c>
      <c r="I1671" s="17">
        <f>IFERROR(__xludf.DUMMYFUNCTION("""COMPUTED_VALUE"""),37.0)</f>
        <v>37</v>
      </c>
      <c r="J1671" s="17" t="str">
        <f>IFERROR(__xludf.DUMMYFUNCTION("""COMPUTED_VALUE"""),"35-44 tahun")</f>
        <v>35-44 tahun</v>
      </c>
      <c r="K1671" s="19">
        <f>IFERROR(__xludf.DUMMYFUNCTION("""COMPUTED_VALUE"""),32542.0)</f>
        <v>32542</v>
      </c>
      <c r="L1671" s="19" t="str">
        <f>IFERROR(__xludf.DUMMYFUNCTION("""COMPUTED_VALUE"""),"PEREMPUAN")</f>
        <v>PEREMPUAN</v>
      </c>
      <c r="M1671" s="35" t="str">
        <f>IFERROR(__xludf.DUMMYFUNCTION("""COMPUTED_VALUE"""),"JL SERDAM")</f>
        <v>JL SERDAM</v>
      </c>
      <c r="N1671" s="16" t="str">
        <f>IFERROR(__xludf.DUMMYFUNCTION("""COMPUTED_VALUE"""),"KEL. SUNGAI RAYA")</f>
        <v>KEL. SUNGAI RAYA</v>
      </c>
      <c r="O1671" s="16" t="str">
        <f>IFERROR(__xludf.DUMMYFUNCTION("""COMPUTED_VALUE"""),"KEC. SUNGAI RAYA")</f>
        <v>KEC. SUNGAI RAYA</v>
      </c>
      <c r="P1671" s="16" t="str">
        <f>IFERROR(__xludf.DUMMYFUNCTION("""COMPUTED_VALUE"""),"KOTA PONTIANAK")</f>
        <v>KOTA PONTIANAK</v>
      </c>
      <c r="Q1671" s="16" t="str">
        <f>IFERROR(__xludf.DUMMYFUNCTION("""COMPUTED_VALUE"""),"KALIMANTAN BARAT")</f>
        <v>KALIMANTAN BARAT</v>
      </c>
      <c r="R1671" s="19" t="str">
        <f>IFERROR(__xludf.DUMMYFUNCTION("""COMPUTED_VALUE"""),"KATOLIK")</f>
        <v>KATOLIK</v>
      </c>
      <c r="S1671" s="35" t="str">
        <f>IFERROR(__xludf.DUMMYFUNCTION("""COMPUTED_VALUE"""),"RUMAH TANGGA")</f>
        <v>RUMAH TANGGA</v>
      </c>
      <c r="T1671" s="16" t="str">
        <f>IFERROR(__xludf.DUMMYFUNCTION("""COMPUTED_VALUE"""),"NYERI")</f>
        <v>NYERI</v>
      </c>
      <c r="U1671" s="16" t="str">
        <f>IFERROR(__xludf.DUMMYFUNCTION("""COMPUTED_VALUE"""),"Gym &amp; badminton")</f>
        <v>Gym &amp; badminton</v>
      </c>
      <c r="V1671" s="11" t="str">
        <f>IFERROR(__xludf.DUMMYFUNCTION("""COMPUTED_VALUE"""),"081937888998")</f>
        <v>081937888998</v>
      </c>
      <c r="W1671" s="15"/>
    </row>
    <row r="1672" ht="22.5" customHeight="1">
      <c r="A1672" s="8"/>
      <c r="B1672" s="9">
        <f>IFERROR(__xludf.DUMMYFUNCTION("""COMPUTED_VALUE"""),45531.84745101852)</f>
        <v>45531.84745</v>
      </c>
      <c r="C1672" s="9"/>
      <c r="D1672" s="34">
        <f>IFERROR(__xludf.DUMMYFUNCTION("""COMPUTED_VALUE"""),45539.0)</f>
        <v>45539</v>
      </c>
      <c r="E1672" s="34" t="str">
        <f>IFERROR(__xludf.DUMMYFUNCTION("""COMPUTED_VALUE"""),"09Sep")</f>
        <v>09Sep</v>
      </c>
      <c r="F1672" s="34" t="str">
        <f>IFERROR(__xludf.DUMMYFUNCTION("""COMPUTED_VALUE"""),"2024")</f>
        <v>2024</v>
      </c>
      <c r="G1672" s="35" t="str">
        <f>IFERROR(__xludf.DUMMYFUNCTION("""COMPUTED_VALUE"""),"HO HIAN KI")</f>
        <v>HO HIAN KI</v>
      </c>
      <c r="H1672" s="17" t="str">
        <f>IFERROR(__xludf.DUMMYFUNCTION("""COMPUTED_VALUE"""),"H5024091565")</f>
        <v>H5024091565</v>
      </c>
      <c r="I1672" s="17">
        <f>IFERROR(__xludf.DUMMYFUNCTION("""COMPUTED_VALUE"""),75.0)</f>
        <v>75</v>
      </c>
      <c r="J1672" s="17" t="str">
        <f>IFERROR(__xludf.DUMMYFUNCTION("""COMPUTED_VALUE"""),"&gt; 44 tahun")</f>
        <v>&gt; 44 tahun</v>
      </c>
      <c r="K1672" s="19">
        <f>IFERROR(__xludf.DUMMYFUNCTION("""COMPUTED_VALUE"""),18579.0)</f>
        <v>18579</v>
      </c>
      <c r="L1672" s="19" t="str">
        <f>IFERROR(__xludf.DUMMYFUNCTION("""COMPUTED_VALUE"""),"PEREMPUAN")</f>
        <v>PEREMPUAN</v>
      </c>
      <c r="M1672" s="35" t="str">
        <f>IFERROR(__xludf.DUMMYFUNCTION("""COMPUTED_VALUE"""),"JL. ADI SUCIPTO NO. 5 KM 7,5")</f>
        <v>JL. ADI SUCIPTO NO. 5 KM 7,5</v>
      </c>
      <c r="N1672" s="16" t="str">
        <f>IFERROR(__xludf.DUMMYFUNCTION("""COMPUTED_VALUE"""),"KEL. SUNGAI RAYA")</f>
        <v>KEL. SUNGAI RAYA</v>
      </c>
      <c r="O1672" s="16" t="str">
        <f>IFERROR(__xludf.DUMMYFUNCTION("""COMPUTED_VALUE"""),"KEC. SUNGAI RAYA")</f>
        <v>KEC. SUNGAI RAYA</v>
      </c>
      <c r="P1672" s="16" t="str">
        <f>IFERROR(__xludf.DUMMYFUNCTION("""COMPUTED_VALUE"""),"KAB. KUBU RAYA")</f>
        <v>KAB. KUBU RAYA</v>
      </c>
      <c r="Q1672" s="16" t="str">
        <f>IFERROR(__xludf.DUMMYFUNCTION("""COMPUTED_VALUE"""),"KALIMANTAN BARAT")</f>
        <v>KALIMANTAN BARAT</v>
      </c>
      <c r="R1672" s="19" t="str">
        <f>IFERROR(__xludf.DUMMYFUNCTION("""COMPUTED_VALUE"""),"BUDDHA")</f>
        <v>BUDDHA</v>
      </c>
      <c r="S1672" s="35" t="str">
        <f>IFERROR(__xludf.DUMMYFUNCTION("""COMPUTED_VALUE"""),"RUMAH TANGGA")</f>
        <v>RUMAH TANGGA</v>
      </c>
      <c r="T1672" s="16" t="str">
        <f>IFERROR(__xludf.DUMMYFUNCTION("""COMPUTED_VALUE"""),"NYERI/KESEMUTAN DI PAHA KIRI")</f>
        <v>NYERI/KESEMUTAN DI PAHA KIRI</v>
      </c>
      <c r="U1672" s="16" t="str">
        <f>IFERROR(__xludf.DUMMYFUNCTION("""COMPUTED_VALUE"""),"MENANAM BUNGA")</f>
        <v>MENANAM BUNGA</v>
      </c>
      <c r="V1672" s="11" t="str">
        <f>IFERROR(__xludf.DUMMYFUNCTION("""COMPUTED_VALUE"""),"082152091565")</f>
        <v>082152091565</v>
      </c>
      <c r="W1672" s="15"/>
    </row>
    <row r="1673" ht="22.5" customHeight="1">
      <c r="A1673" s="8"/>
      <c r="B1673" s="9">
        <f>IFERROR(__xludf.DUMMYFUNCTION("""COMPUTED_VALUE"""),45531.85766920139)</f>
        <v>45531.85767</v>
      </c>
      <c r="C1673" s="9"/>
      <c r="D1673" s="34">
        <f>IFERROR(__xludf.DUMMYFUNCTION("""COMPUTED_VALUE"""),45539.0)</f>
        <v>45539</v>
      </c>
      <c r="E1673" s="34" t="str">
        <f>IFERROR(__xludf.DUMMYFUNCTION("""COMPUTED_VALUE"""),"09Sep")</f>
        <v>09Sep</v>
      </c>
      <c r="F1673" s="34" t="str">
        <f>IFERROR(__xludf.DUMMYFUNCTION("""COMPUTED_VALUE"""),"2024")</f>
        <v>2024</v>
      </c>
      <c r="G1673" s="35" t="str">
        <f>IFERROR(__xludf.DUMMYFUNCTION("""COMPUTED_VALUE"""),"LISA")</f>
        <v>LISA</v>
      </c>
      <c r="H1673" s="17" t="str">
        <f>IFERROR(__xludf.DUMMYFUNCTION("""COMPUTED_VALUE"""),"L0624097337")</f>
        <v>L0624097337</v>
      </c>
      <c r="I1673" s="17">
        <f>IFERROR(__xludf.DUMMYFUNCTION("""COMPUTED_VALUE"""),19.0)</f>
        <v>19</v>
      </c>
      <c r="J1673" s="17" t="str">
        <f>IFERROR(__xludf.DUMMYFUNCTION("""COMPUTED_VALUE"""),"18-24 tahun")</f>
        <v>18-24 tahun</v>
      </c>
      <c r="K1673" s="19">
        <f>IFERROR(__xludf.DUMMYFUNCTION("""COMPUTED_VALUE"""),39024.0)</f>
        <v>39024</v>
      </c>
      <c r="L1673" s="19" t="str">
        <f>IFERROR(__xludf.DUMMYFUNCTION("""COMPUTED_VALUE"""),"PEREMPUAN")</f>
        <v>PEREMPUAN</v>
      </c>
      <c r="M1673" s="35" t="str">
        <f>IFERROR(__xludf.DUMMYFUNCTION("""COMPUTED_VALUE"""),"DUSUN MUHAJIRIN")</f>
        <v>DUSUN MUHAJIRIN</v>
      </c>
      <c r="N1673" s="16" t="str">
        <f>IFERROR(__xludf.DUMMYFUNCTION("""COMPUTED_VALUE"""),"DS. PASAR MELAYU")</f>
        <v>DS. PASAR MELAYU</v>
      </c>
      <c r="O1673" s="16" t="str">
        <f>IFERROR(__xludf.DUMMYFUNCTION("""COMPUTED_VALUE"""),"KEC. SAMBAS")</f>
        <v>KEC. SAMBAS</v>
      </c>
      <c r="P1673" s="16" t="str">
        <f>IFERROR(__xludf.DUMMYFUNCTION("""COMPUTED_VALUE"""),"KAB. SAMBAS")</f>
        <v>KAB. SAMBAS</v>
      </c>
      <c r="Q1673" s="16" t="str">
        <f>IFERROR(__xludf.DUMMYFUNCTION("""COMPUTED_VALUE"""),"KALIMANTAN BARAT")</f>
        <v>KALIMANTAN BARAT</v>
      </c>
      <c r="R1673" s="19" t="str">
        <f>IFERROR(__xludf.DUMMYFUNCTION("""COMPUTED_VALUE"""),"BUDDHA")</f>
        <v>BUDDHA</v>
      </c>
      <c r="S1673" s="16" t="str">
        <f>IFERROR(__xludf.DUMMYFUNCTION("""COMPUTED_VALUE"""),"TIDAK ADA")</f>
        <v>TIDAK ADA</v>
      </c>
      <c r="T1673" s="16" t="str">
        <f>IFERROR(__xludf.DUMMYFUNCTION("""COMPUTED_VALUE"""),"SAKIT DAN NYERI DI")</f>
        <v>SAKIT DAN NYERI DI</v>
      </c>
      <c r="U1673" s="16" t="str">
        <f>IFERROR(__xludf.DUMMYFUNCTION("""COMPUTED_VALUE"""),"basket")</f>
        <v>basket</v>
      </c>
      <c r="V1673" s="11" t="str">
        <f>IFERROR(__xludf.DUMMYFUNCTION("""COMPUTED_VALUE"""),"085175257337")</f>
        <v>085175257337</v>
      </c>
      <c r="W1673" s="15"/>
    </row>
    <row r="1674" ht="22.5" customHeight="1">
      <c r="A1674" s="8"/>
      <c r="B1674" s="9">
        <f>IFERROR(__xludf.DUMMYFUNCTION("""COMPUTED_VALUE"""),45532.432099756945)</f>
        <v>45532.4321</v>
      </c>
      <c r="C1674" s="9"/>
      <c r="D1674" s="34">
        <f>IFERROR(__xludf.DUMMYFUNCTION("""COMPUTED_VALUE"""),45539.0)</f>
        <v>45539</v>
      </c>
      <c r="E1674" s="34" t="str">
        <f>IFERROR(__xludf.DUMMYFUNCTION("""COMPUTED_VALUE"""),"09Sep")</f>
        <v>09Sep</v>
      </c>
      <c r="F1674" s="34" t="str">
        <f>IFERROR(__xludf.DUMMYFUNCTION("""COMPUTED_VALUE"""),"2024")</f>
        <v>2024</v>
      </c>
      <c r="G1674" s="35" t="str">
        <f>IFERROR(__xludf.DUMMYFUNCTION("""COMPUTED_VALUE"""),"MEDIANA")</f>
        <v>MEDIANA</v>
      </c>
      <c r="H1674" s="17" t="str">
        <f>IFERROR(__xludf.DUMMYFUNCTION("""COMPUTED_VALUE"""),"M8624092030")</f>
        <v>M8624092030</v>
      </c>
      <c r="I1674" s="17">
        <f>IFERROR(__xludf.DUMMYFUNCTION("""COMPUTED_VALUE"""),39.0)</f>
        <v>39</v>
      </c>
      <c r="J1674" s="17" t="str">
        <f>IFERROR(__xludf.DUMMYFUNCTION("""COMPUTED_VALUE"""),"35-44 tahun")</f>
        <v>35-44 tahun</v>
      </c>
      <c r="K1674" s="19">
        <f>IFERROR(__xludf.DUMMYFUNCTION("""COMPUTED_VALUE"""),31629.0)</f>
        <v>31629</v>
      </c>
      <c r="L1674" s="19" t="str">
        <f>IFERROR(__xludf.DUMMYFUNCTION("""COMPUTED_VALUE"""),"PEREMPUAN")</f>
        <v>PEREMPUAN</v>
      </c>
      <c r="M1674" s="35" t="str">
        <f>IFERROR(__xludf.DUMMYFUNCTION("""COMPUTED_VALUE"""),"JL PUTRI CANDRAMIDI NO41C")</f>
        <v>JL PUTRI CANDRAMIDI NO41C</v>
      </c>
      <c r="N1674" s="16" t="str">
        <f>IFERROR(__xludf.DUMMYFUNCTION("""COMPUTED_VALUE"""),"KEL. SUNGAI BANGKONG")</f>
        <v>KEL. SUNGAI BANGKONG</v>
      </c>
      <c r="O1674" s="16" t="str">
        <f>IFERROR(__xludf.DUMMYFUNCTION("""COMPUTED_VALUE"""),"KEC. PONTIANAK KOTA")</f>
        <v>KEC. PONTIANAK KOTA</v>
      </c>
      <c r="P1674" s="16" t="str">
        <f>IFERROR(__xludf.DUMMYFUNCTION("""COMPUTED_VALUE"""),"KOTA PONTIANAK")</f>
        <v>KOTA PONTIANAK</v>
      </c>
      <c r="Q1674" s="35" t="str">
        <f>IFERROR(__xludf.DUMMYFUNCTION("""COMPUTED_VALUE"""),"KALIMANTAN BARAT")</f>
        <v>KALIMANTAN BARAT</v>
      </c>
      <c r="R1674" s="19" t="str">
        <f>IFERROR(__xludf.DUMMYFUNCTION("""COMPUTED_VALUE"""),"BUDDHA")</f>
        <v>BUDDHA</v>
      </c>
      <c r="S1674" s="16" t="str">
        <f>IFERROR(__xludf.DUMMYFUNCTION("""COMPUTED_VALUE"""),"RUMAH TANGGA")</f>
        <v>RUMAH TANGGA</v>
      </c>
      <c r="T1674" s="16" t="str">
        <f>IFERROR(__xludf.DUMMYFUNCTION("""COMPUTED_VALUE"""),"PUNDAK PEGAL")</f>
        <v>PUNDAK PEGAL</v>
      </c>
      <c r="U1674" s="16" t="str">
        <f>IFERROR(__xludf.DUMMYFUNCTION("""COMPUTED_VALUE"""),"Masak")</f>
        <v>Masak</v>
      </c>
      <c r="V1674" s="11" t="str">
        <f>IFERROR(__xludf.DUMMYFUNCTION("""COMPUTED_VALUE"""),"085245102030")</f>
        <v>085245102030</v>
      </c>
      <c r="W1674" s="15"/>
    </row>
    <row r="1675" ht="22.5" customHeight="1">
      <c r="A1675" s="8"/>
      <c r="B1675" s="9">
        <f>IFERROR(__xludf.DUMMYFUNCTION("""COMPUTED_VALUE"""),45531.88624702547)</f>
        <v>45531.88625</v>
      </c>
      <c r="C1675" s="9"/>
      <c r="D1675" s="34">
        <f>IFERROR(__xludf.DUMMYFUNCTION("""COMPUTED_VALUE"""),45539.0)</f>
        <v>45539</v>
      </c>
      <c r="E1675" s="34" t="str">
        <f>IFERROR(__xludf.DUMMYFUNCTION("""COMPUTED_VALUE"""),"09Sep")</f>
        <v>09Sep</v>
      </c>
      <c r="F1675" s="34" t="str">
        <f>IFERROR(__xludf.DUMMYFUNCTION("""COMPUTED_VALUE"""),"2024")</f>
        <v>2024</v>
      </c>
      <c r="G1675" s="35" t="str">
        <f>IFERROR(__xludf.DUMMYFUNCTION("""COMPUTED_VALUE"""),"SUSAN BAHU")</f>
        <v>SUSAN BAHU</v>
      </c>
      <c r="H1675" s="17" t="str">
        <f>IFERROR(__xludf.DUMMYFUNCTION("""COMPUTED_VALUE"""),"S8324092435")</f>
        <v>S8324092435</v>
      </c>
      <c r="I1675" s="17">
        <f>IFERROR(__xludf.DUMMYFUNCTION("""COMPUTED_VALUE"""),43.0)</f>
        <v>43</v>
      </c>
      <c r="J1675" s="17" t="str">
        <f>IFERROR(__xludf.DUMMYFUNCTION("""COMPUTED_VALUE"""),"35-44 tahun")</f>
        <v>35-44 tahun</v>
      </c>
      <c r="K1675" s="19">
        <f>IFERROR(__xludf.DUMMYFUNCTION("""COMPUTED_VALUE"""),30401.0)</f>
        <v>30401</v>
      </c>
      <c r="L1675" s="19" t="str">
        <f>IFERROR(__xludf.DUMMYFUNCTION("""COMPUTED_VALUE"""),"PEREMPUAN")</f>
        <v>PEREMPUAN</v>
      </c>
      <c r="M1675" s="35" t="str">
        <f>IFERROR(__xludf.DUMMYFUNCTION("""COMPUTED_VALUE"""),"JLN.MERDEKA BARAT NO.432")</f>
        <v>JLN.MERDEKA BARAT NO.432</v>
      </c>
      <c r="N1675" s="16" t="str">
        <f>IFERROR(__xludf.DUMMYFUNCTION("""COMPUTED_VALUE"""),"KEL. TENGAH")</f>
        <v>KEL. TENGAH</v>
      </c>
      <c r="O1675" s="16" t="str">
        <f>IFERROR(__xludf.DUMMYFUNCTION("""COMPUTED_VALUE"""),"KEC. PONTIANAK KOTA")</f>
        <v>KEC. PONTIANAK KOTA</v>
      </c>
      <c r="P1675" s="16" t="str">
        <f>IFERROR(__xludf.DUMMYFUNCTION("""COMPUTED_VALUE"""),"KOTA PONTIANAK")</f>
        <v>KOTA PONTIANAK</v>
      </c>
      <c r="Q1675" s="16" t="str">
        <f>IFERROR(__xludf.DUMMYFUNCTION("""COMPUTED_VALUE"""),"KALIMANTAN BARAT")</f>
        <v>KALIMANTAN BARAT</v>
      </c>
      <c r="R1675" s="19" t="str">
        <f>IFERROR(__xludf.DUMMYFUNCTION("""COMPUTED_VALUE"""),"KATOLIK")</f>
        <v>KATOLIK</v>
      </c>
      <c r="S1675" s="35" t="str">
        <f>IFERROR(__xludf.DUMMYFUNCTION("""COMPUTED_VALUE"""),"RUMAH TANGGA")</f>
        <v>RUMAH TANGGA</v>
      </c>
      <c r="T1675" s="16" t="str">
        <f>IFERROR(__xludf.DUMMYFUNCTION("""COMPUTED_VALUE"""),"SAKIT DI PUNDAK")</f>
        <v>SAKIT DI PUNDAK</v>
      </c>
      <c r="U1675" s="16" t="str">
        <f>IFERROR(__xludf.DUMMYFUNCTION("""COMPUTED_VALUE"""),"Gym")</f>
        <v>Gym</v>
      </c>
      <c r="V1675" s="11" t="str">
        <f>IFERROR(__xludf.DUMMYFUNCTION("""COMPUTED_VALUE"""),"081257482435")</f>
        <v>081257482435</v>
      </c>
      <c r="W1675" s="15"/>
    </row>
    <row r="1676" ht="22.5" customHeight="1">
      <c r="A1676" s="8"/>
      <c r="B1676" s="9">
        <f>IFERROR(__xludf.DUMMYFUNCTION("""COMPUTED_VALUE"""),45531.66976391204)</f>
        <v>45531.66976</v>
      </c>
      <c r="C1676" s="9"/>
      <c r="D1676" s="34">
        <f>IFERROR(__xludf.DUMMYFUNCTION("""COMPUTED_VALUE"""),45539.0)</f>
        <v>45539</v>
      </c>
      <c r="E1676" s="34" t="str">
        <f>IFERROR(__xludf.DUMMYFUNCTION("""COMPUTED_VALUE"""),"09Sep")</f>
        <v>09Sep</v>
      </c>
      <c r="F1676" s="34" t="str">
        <f>IFERROR(__xludf.DUMMYFUNCTION("""COMPUTED_VALUE"""),"2024")</f>
        <v>2024</v>
      </c>
      <c r="G1676" s="35" t="str">
        <f>IFERROR(__xludf.DUMMYFUNCTION("""COMPUTED_VALUE"""),"VIVI SUSANTI")</f>
        <v>VIVI SUSANTI</v>
      </c>
      <c r="H1676" s="17" t="str">
        <f>IFERROR(__xludf.DUMMYFUNCTION("""COMPUTED_VALUE"""),"V8824092657")</f>
        <v>V8824092657</v>
      </c>
      <c r="I1676" s="17">
        <f>IFERROR(__xludf.DUMMYFUNCTION("""COMPUTED_VALUE"""),38.0)</f>
        <v>38</v>
      </c>
      <c r="J1676" s="17" t="str">
        <f>IFERROR(__xludf.DUMMYFUNCTION("""COMPUTED_VALUE"""),"35-44 tahun")</f>
        <v>35-44 tahun</v>
      </c>
      <c r="K1676" s="19">
        <f>IFERROR(__xludf.DUMMYFUNCTION("""COMPUTED_VALUE"""),32174.0)</f>
        <v>32174</v>
      </c>
      <c r="L1676" s="19" t="str">
        <f>IFERROR(__xludf.DUMMYFUNCTION("""COMPUTED_VALUE"""),"PEREMPUAN")</f>
        <v>PEREMPUAN</v>
      </c>
      <c r="M1676" s="35" t="str">
        <f>IFERROR(__xludf.DUMMYFUNCTION("""COMPUTED_VALUE"""),"JL.SIAM NO 119")</f>
        <v>JL.SIAM NO 119</v>
      </c>
      <c r="N1676" s="16" t="str">
        <f>IFERROR(__xludf.DUMMYFUNCTION("""COMPUTED_VALUE"""),"KEL. PONTIANAK SELATAN")</f>
        <v>KEL. PONTIANAK SELATAN</v>
      </c>
      <c r="O1676" s="16" t="str">
        <f>IFERROR(__xludf.DUMMYFUNCTION("""COMPUTED_VALUE"""),"KEC. PONTIANAK SELATAN")</f>
        <v>KEC. PONTIANAK SELATAN</v>
      </c>
      <c r="P1676" s="16" t="str">
        <f>IFERROR(__xludf.DUMMYFUNCTION("""COMPUTED_VALUE"""),"KOTA PONTIANAK")</f>
        <v>KOTA PONTIANAK</v>
      </c>
      <c r="Q1676" s="16" t="str">
        <f>IFERROR(__xludf.DUMMYFUNCTION("""COMPUTED_VALUE"""),"KALIMANTAN BARAT")</f>
        <v>KALIMANTAN BARAT</v>
      </c>
      <c r="R1676" s="19" t="str">
        <f>IFERROR(__xludf.DUMMYFUNCTION("""COMPUTED_VALUE"""),"KATOLIK")</f>
        <v>KATOLIK</v>
      </c>
      <c r="S1676" s="16" t="str">
        <f>IFERROR(__xludf.DUMMYFUNCTION("""COMPUTED_VALUE"""),"RUMAH TANGGA")</f>
        <v>RUMAH TANGGA</v>
      </c>
      <c r="T1676" s="16" t="str">
        <f>IFERROR(__xludf.DUMMYFUNCTION("""COMPUTED_VALUE"""),"BAHU BELAKANG")</f>
        <v>BAHU BELAKANG</v>
      </c>
      <c r="U1676" s="16" t="str">
        <f>IFERROR(__xludf.DUMMYFUNCTION("""COMPUTED_VALUE"""),".")</f>
        <v>.</v>
      </c>
      <c r="V1676" s="11" t="str">
        <f>IFERROR(__xludf.DUMMYFUNCTION("""COMPUTED_VALUE"""),"082157122657")</f>
        <v>082157122657</v>
      </c>
      <c r="W1676" s="15"/>
    </row>
    <row r="1677" ht="22.5" customHeight="1">
      <c r="A1677" s="8"/>
      <c r="B1677" s="9">
        <f>IFERROR(__xludf.DUMMYFUNCTION("""COMPUTED_VALUE"""),45532.66551491898)</f>
        <v>45532.66551</v>
      </c>
      <c r="C1677" s="9"/>
      <c r="D1677" s="34">
        <f>IFERROR(__xludf.DUMMYFUNCTION("""COMPUTED_VALUE"""),45539.0)</f>
        <v>45539</v>
      </c>
      <c r="E1677" s="34" t="str">
        <f>IFERROR(__xludf.DUMMYFUNCTION("""COMPUTED_VALUE"""),"09Sep")</f>
        <v>09Sep</v>
      </c>
      <c r="F1677" s="34" t="str">
        <f>IFERROR(__xludf.DUMMYFUNCTION("""COMPUTED_VALUE"""),"2024")</f>
        <v>2024</v>
      </c>
      <c r="G1677" s="35" t="str">
        <f>IFERROR(__xludf.DUMMYFUNCTION("""COMPUTED_VALUE"""),"ISKANDAR 7512")</f>
        <v>ISKANDAR 7512</v>
      </c>
      <c r="H1677" s="17" t="str">
        <f>IFERROR(__xludf.DUMMYFUNCTION("""COMPUTED_VALUE"""),"I7524093781")</f>
        <v>I7524093781</v>
      </c>
      <c r="I1677" s="17">
        <f>IFERROR(__xludf.DUMMYFUNCTION("""COMPUTED_VALUE"""),50.0)</f>
        <v>50</v>
      </c>
      <c r="J1677" s="17" t="str">
        <f>IFERROR(__xludf.DUMMYFUNCTION("""COMPUTED_VALUE"""),"&gt; 44 tahun")</f>
        <v>&gt; 44 tahun</v>
      </c>
      <c r="K1677" s="19">
        <f>IFERROR(__xludf.DUMMYFUNCTION("""COMPUTED_VALUE"""),27753.0)</f>
        <v>27753</v>
      </c>
      <c r="L1677" s="19" t="str">
        <f>IFERROR(__xludf.DUMMYFUNCTION("""COMPUTED_VALUE"""),"LAKI-LAKI")</f>
        <v>LAKI-LAKI</v>
      </c>
      <c r="M1677" s="35" t="str">
        <f>IFERROR(__xludf.DUMMYFUNCTION("""COMPUTED_VALUE"""),"DUSUN TUMUK")</f>
        <v>DUSUN TUMUK</v>
      </c>
      <c r="N1677" s="16" t="str">
        <f>IFERROR(__xludf.DUMMYFUNCTION("""COMPUTED_VALUE"""),"DS. TUMUK MANGGIS")</f>
        <v>DS. TUMUK MANGGIS</v>
      </c>
      <c r="O1677" s="16" t="str">
        <f>IFERROR(__xludf.DUMMYFUNCTION("""COMPUTED_VALUE"""),"KEC. SAMBAS")</f>
        <v>KEC. SAMBAS</v>
      </c>
      <c r="P1677" s="16" t="str">
        <f>IFERROR(__xludf.DUMMYFUNCTION("""COMPUTED_VALUE"""),"KAB. SAMBAS")</f>
        <v>KAB. SAMBAS</v>
      </c>
      <c r="Q1677" s="16" t="str">
        <f>IFERROR(__xludf.DUMMYFUNCTION("""COMPUTED_VALUE"""),"KALIMANTAN BARAT")</f>
        <v>KALIMANTAN BARAT</v>
      </c>
      <c r="R1677" s="19" t="str">
        <f>IFERROR(__xludf.DUMMYFUNCTION("""COMPUTED_VALUE"""),"ISLAM")</f>
        <v>ISLAM</v>
      </c>
      <c r="S1677" s="35" t="str">
        <f>IFERROR(__xludf.DUMMYFUNCTION("""COMPUTED_VALUE"""),"BUMD")</f>
        <v>BUMD</v>
      </c>
      <c r="T1677" s="16" t="str">
        <f>IFERROR(__xludf.DUMMYFUNCTION("""COMPUTED_VALUE"""),"SAKIT PADA PINGGANG DIKARENAKAN KESALAHAN KRN ANGKAT BARANG")</f>
        <v>SAKIT PADA PINGGANG DIKARENAKAN KESALAHAN KRN ANGKAT BARANG</v>
      </c>
      <c r="U1677" s="16" t="str">
        <f>IFERROR(__xludf.DUMMYFUNCTION("""COMPUTED_VALUE"""),"Kegiatan rutin harian")</f>
        <v>Kegiatan rutin harian</v>
      </c>
      <c r="V1677" s="11" t="str">
        <f>IFERROR(__xludf.DUMMYFUNCTION("""COMPUTED_VALUE"""),"08125713781")</f>
        <v>08125713781</v>
      </c>
      <c r="W1677" s="15"/>
    </row>
    <row r="1678" ht="22.5" customHeight="1">
      <c r="A1678" s="43"/>
      <c r="B1678" s="24">
        <f>IFERROR(__xludf.DUMMYFUNCTION("""COMPUTED_VALUE"""),45534.4033147338)</f>
        <v>45534.40331</v>
      </c>
      <c r="C1678" s="24"/>
      <c r="D1678" s="34">
        <f>IFERROR(__xludf.DUMMYFUNCTION("""COMPUTED_VALUE"""),45540.0)</f>
        <v>45540</v>
      </c>
      <c r="E1678" s="34" t="str">
        <f>IFERROR(__xludf.DUMMYFUNCTION("""COMPUTED_VALUE"""),"09Sep")</f>
        <v>09Sep</v>
      </c>
      <c r="F1678" s="34" t="str">
        <f>IFERROR(__xludf.DUMMYFUNCTION("""COMPUTED_VALUE"""),"2024")</f>
        <v>2024</v>
      </c>
      <c r="G1678" s="35" t="str">
        <f>IFERROR(__xludf.DUMMYFUNCTION("""COMPUTED_VALUE"""),"KALSUM")</f>
        <v>KALSUM</v>
      </c>
      <c r="H1678" s="17" t="str">
        <f>IFERROR(__xludf.DUMMYFUNCTION("""COMPUTED_VALUE"""),"K5724099990")</f>
        <v>K5724099990</v>
      </c>
      <c r="I1678" s="17">
        <f>IFERROR(__xludf.DUMMYFUNCTION("""COMPUTED_VALUE"""),68.0)</f>
        <v>68</v>
      </c>
      <c r="J1678" s="17" t="str">
        <f>IFERROR(__xludf.DUMMYFUNCTION("""COMPUTED_VALUE"""),"&gt; 44 tahun")</f>
        <v>&gt; 44 tahun</v>
      </c>
      <c r="K1678" s="19">
        <f>IFERROR(__xludf.DUMMYFUNCTION("""COMPUTED_VALUE"""),21103.0)</f>
        <v>21103</v>
      </c>
      <c r="L1678" s="19" t="str">
        <f>IFERROR(__xludf.DUMMYFUNCTION("""COMPUTED_VALUE"""),"PEREMPUAN")</f>
        <v>PEREMPUAN</v>
      </c>
      <c r="M1678" s="35" t="str">
        <f>IFERROR(__xludf.DUMMYFUNCTION("""COMPUTED_VALUE"""),"JL. SUKA MULYA, GG SUKAM 23")</f>
        <v>JL. SUKA MULYA, GG SUKAM 23</v>
      </c>
      <c r="N1678" s="16" t="str">
        <f>IFERROR(__xludf.DUMMYFUNCTION("""COMPUTED_VALUE"""),"KEL. SUNGAI JAWI")</f>
        <v>KEL. SUNGAI JAWI</v>
      </c>
      <c r="O1678" s="16" t="str">
        <f>IFERROR(__xludf.DUMMYFUNCTION("""COMPUTED_VALUE"""),"KEC. PONTIANAK KOTA")</f>
        <v>KEC. PONTIANAK KOTA</v>
      </c>
      <c r="P1678" s="16" t="str">
        <f>IFERROR(__xludf.DUMMYFUNCTION("""COMPUTED_VALUE"""),"KOTA PONTIANAK")</f>
        <v>KOTA PONTIANAK</v>
      </c>
      <c r="Q1678" s="16" t="str">
        <f>IFERROR(__xludf.DUMMYFUNCTION("""COMPUTED_VALUE"""),"KALIMANTAN BARAT")</f>
        <v>KALIMANTAN BARAT</v>
      </c>
      <c r="R1678" s="19" t="str">
        <f>IFERROR(__xludf.DUMMYFUNCTION("""COMPUTED_VALUE"""),"ISLAM")</f>
        <v>ISLAM</v>
      </c>
      <c r="S1678" s="16" t="str">
        <f>IFERROR(__xludf.DUMMYFUNCTION("""COMPUTED_VALUE"""),"RUMAH TANGGA")</f>
        <v>RUMAH TANGGA</v>
      </c>
      <c r="T1678" s="16" t="str">
        <f>IFERROR(__xludf.DUMMYFUNCTION("""COMPUTED_VALUE"""),"NYERI PINGANG")</f>
        <v>NYERI PINGANG</v>
      </c>
      <c r="U1678" s="16" t="str">
        <f>IFERROR(__xludf.DUMMYFUNCTION("""COMPUTED_VALUE"""),"Masak")</f>
        <v>Masak</v>
      </c>
      <c r="V1678" s="11" t="str">
        <f>IFERROR(__xludf.DUMMYFUNCTION("""COMPUTED_VALUE"""),"081256229990")</f>
        <v>081256229990</v>
      </c>
      <c r="W1678" s="15"/>
    </row>
    <row r="1679" ht="22.5" customHeight="1">
      <c r="A1679" s="8"/>
      <c r="B1679" s="9">
        <f>IFERROR(__xludf.DUMMYFUNCTION("""COMPUTED_VALUE"""),45534.54369928241)</f>
        <v>45534.5437</v>
      </c>
      <c r="C1679" s="9"/>
      <c r="D1679" s="34">
        <f>IFERROR(__xludf.DUMMYFUNCTION("""COMPUTED_VALUE"""),45540.0)</f>
        <v>45540</v>
      </c>
      <c r="E1679" s="34" t="str">
        <f>IFERROR(__xludf.DUMMYFUNCTION("""COMPUTED_VALUE"""),"09Sep")</f>
        <v>09Sep</v>
      </c>
      <c r="F1679" s="34" t="str">
        <f>IFERROR(__xludf.DUMMYFUNCTION("""COMPUTED_VALUE"""),"2024")</f>
        <v>2024</v>
      </c>
      <c r="G1679" s="35" t="str">
        <f>IFERROR(__xludf.DUMMYFUNCTION("""COMPUTED_VALUE"""),"ELISABET NETTY")</f>
        <v>ELISABET NETTY</v>
      </c>
      <c r="H1679" s="17" t="str">
        <f>IFERROR(__xludf.DUMMYFUNCTION("""COMPUTED_VALUE"""),"E6924096234")</f>
        <v>E6924096234</v>
      </c>
      <c r="I1679" s="17">
        <f>IFERROR(__xludf.DUMMYFUNCTION("""COMPUTED_VALUE"""),56.0)</f>
        <v>56</v>
      </c>
      <c r="J1679" s="17" t="str">
        <f>IFERROR(__xludf.DUMMYFUNCTION("""COMPUTED_VALUE"""),"&gt; 44 tahun")</f>
        <v>&gt; 44 tahun</v>
      </c>
      <c r="K1679" s="19">
        <f>IFERROR(__xludf.DUMMYFUNCTION("""COMPUTED_VALUE"""),25507.0)</f>
        <v>25507</v>
      </c>
      <c r="L1679" s="19" t="str">
        <f>IFERROR(__xludf.DUMMYFUNCTION("""COMPUTED_VALUE"""),"PEREMPUAN")</f>
        <v>PEREMPUAN</v>
      </c>
      <c r="M1679" s="35" t="str">
        <f>IFERROR(__xludf.DUMMYFUNCTION("""COMPUTED_VALUE"""),"JL. TRANS KALIMANTAN, KAB. KUBU RAYA, KEC SUNGAI AMBAWANG, DESA LINGGA RT/RW 006/014")</f>
        <v>JL. TRANS KALIMANTAN, KAB. KUBU RAYA, KEC SUNGAI AMBAWANG, DESA LINGGA RT/RW 006/014</v>
      </c>
      <c r="N1679" s="16" t="str">
        <f>IFERROR(__xludf.DUMMYFUNCTION("""COMPUTED_VALUE"""),"DS. LINGGA")</f>
        <v>DS. LINGGA</v>
      </c>
      <c r="O1679" s="16" t="str">
        <f>IFERROR(__xludf.DUMMYFUNCTION("""COMPUTED_VALUE"""),"KEC. SUNGAI AMBAWANG")</f>
        <v>KEC. SUNGAI AMBAWANG</v>
      </c>
      <c r="P1679" s="16" t="str">
        <f>IFERROR(__xludf.DUMMYFUNCTION("""COMPUTED_VALUE"""),"KAB. KUBU RAYA")</f>
        <v>KAB. KUBU RAYA</v>
      </c>
      <c r="Q1679" s="16" t="str">
        <f>IFERROR(__xludf.DUMMYFUNCTION("""COMPUTED_VALUE"""),"KALIMANTAN BARAT")</f>
        <v>KALIMANTAN BARAT</v>
      </c>
      <c r="R1679" s="19" t="str">
        <f>IFERROR(__xludf.DUMMYFUNCTION("""COMPUTED_VALUE"""),"PROTESTAN")</f>
        <v>PROTESTAN</v>
      </c>
      <c r="S1679" s="16" t="str">
        <f>IFERROR(__xludf.DUMMYFUNCTION("""COMPUTED_VALUE"""),"RUMAH TANGGA")</f>
        <v>RUMAH TANGGA</v>
      </c>
      <c r="T1679" s="16" t="str">
        <f>IFERROR(__xludf.DUMMYFUNCTION("""COMPUTED_VALUE"""),"STROKE, LEMAH ANGGOTA GERAK SEBELAH KANAN")</f>
        <v>STROKE, LEMAH ANGGOTA GERAK SEBELAH KANAN</v>
      </c>
      <c r="U1679" s="16" t="str">
        <f>IFERROR(__xludf.DUMMYFUNCTION("""COMPUTED_VALUE"""),"Memasak")</f>
        <v>Memasak</v>
      </c>
      <c r="V1679" s="11" t="str">
        <f>IFERROR(__xludf.DUMMYFUNCTION("""COMPUTED_VALUE"""),"082351536234")</f>
        <v>082351536234</v>
      </c>
      <c r="W1679" s="15"/>
    </row>
    <row r="1680" ht="22.5" customHeight="1">
      <c r="A1680" s="8"/>
      <c r="B1680" s="9">
        <f>IFERROR(__xludf.DUMMYFUNCTION("""COMPUTED_VALUE"""),45534.823710613426)</f>
        <v>45534.82371</v>
      </c>
      <c r="C1680" s="9"/>
      <c r="D1680" s="34">
        <f>IFERROR(__xludf.DUMMYFUNCTION("""COMPUTED_VALUE"""),45540.0)</f>
        <v>45540</v>
      </c>
      <c r="E1680" s="34" t="str">
        <f>IFERROR(__xludf.DUMMYFUNCTION("""COMPUTED_VALUE"""),"09Sep")</f>
        <v>09Sep</v>
      </c>
      <c r="F1680" s="34" t="str">
        <f>IFERROR(__xludf.DUMMYFUNCTION("""COMPUTED_VALUE"""),"2024")</f>
        <v>2024</v>
      </c>
      <c r="G1680" s="35" t="str">
        <f>IFERROR(__xludf.DUMMYFUNCTION("""COMPUTED_VALUE"""),"ARIF IFRAN NGALIMAN")</f>
        <v>ARIF IFRAN NGALIMAN</v>
      </c>
      <c r="H1680" s="17" t="str">
        <f>IFERROR(__xludf.DUMMYFUNCTION("""COMPUTED_VALUE"""),"A9424090524")</f>
        <v>A9424090524</v>
      </c>
      <c r="I1680" s="17">
        <f>IFERROR(__xludf.DUMMYFUNCTION("""COMPUTED_VALUE"""),31.0)</f>
        <v>31</v>
      </c>
      <c r="J1680" s="17" t="str">
        <f>IFERROR(__xludf.DUMMYFUNCTION("""COMPUTED_VALUE"""),"25-34 tahun")</f>
        <v>25-34 tahun</v>
      </c>
      <c r="K1680" s="21">
        <f>IFERROR(__xludf.DUMMYFUNCTION("""COMPUTED_VALUE"""),34639.0)</f>
        <v>34639</v>
      </c>
      <c r="L1680" s="21" t="str">
        <f>IFERROR(__xludf.DUMMYFUNCTION("""COMPUTED_VALUE"""),"LAKI-LAKI")</f>
        <v>LAKI-LAKI</v>
      </c>
      <c r="M1680" s="35" t="str">
        <f>IFERROR(__xludf.DUMMYFUNCTION("""COMPUTED_VALUE"""),"JL SUNGAI RAYA DALAM KOMPLEK BALIMAS 3 NO CC5 PONTIANAK TENGGARA")</f>
        <v>JL SUNGAI RAYA DALAM KOMPLEK BALIMAS 3 NO CC5 PONTIANAK TENGGARA</v>
      </c>
      <c r="N1680" s="16" t="str">
        <f>IFERROR(__xludf.DUMMYFUNCTION("""COMPUTED_VALUE"""),"KEL. BANGKA BELITUNG DARAT")</f>
        <v>KEL. BANGKA BELITUNG DARAT</v>
      </c>
      <c r="O1680" s="16" t="str">
        <f>IFERROR(__xludf.DUMMYFUNCTION("""COMPUTED_VALUE"""),"KEC. PONTIANAK TENGGARA")</f>
        <v>KEC. PONTIANAK TENGGARA</v>
      </c>
      <c r="P1680" s="16" t="str">
        <f>IFERROR(__xludf.DUMMYFUNCTION("""COMPUTED_VALUE"""),"KOTA PONTIANAK")</f>
        <v>KOTA PONTIANAK</v>
      </c>
      <c r="Q1680" s="35" t="str">
        <f>IFERROR(__xludf.DUMMYFUNCTION("""COMPUTED_VALUE"""),"KALIMANTAN BARAT")</f>
        <v>KALIMANTAN BARAT</v>
      </c>
      <c r="R1680" s="21" t="str">
        <f>IFERROR(__xludf.DUMMYFUNCTION("""COMPUTED_VALUE"""),"BUDDHA")</f>
        <v>BUDDHA</v>
      </c>
      <c r="S1680" s="16" t="str">
        <f>IFERROR(__xludf.DUMMYFUNCTION("""COMPUTED_VALUE"""),"WIRASWASTA")</f>
        <v>WIRASWASTA</v>
      </c>
      <c r="T1680" s="36" t="str">
        <f>IFERROR(__xludf.DUMMYFUNCTION("""COMPUTED_VALUE"""),"SAKIT BAHU SAAT BERKENDARA")</f>
        <v>SAKIT BAHU SAAT BERKENDARA</v>
      </c>
      <c r="U1680" s="36" t="str">
        <f>IFERROR(__xludf.DUMMYFUNCTION("""COMPUTED_VALUE"""),"Olahraga")</f>
        <v>Olahraga</v>
      </c>
      <c r="V1680" s="37" t="str">
        <f>IFERROR(__xludf.DUMMYFUNCTION("""COMPUTED_VALUE"""),"085389670524")</f>
        <v>085389670524</v>
      </c>
      <c r="W1680" s="22"/>
    </row>
    <row r="1681" ht="22.5" customHeight="1">
      <c r="A1681" s="8"/>
      <c r="B1681" s="9">
        <f>IFERROR(__xludf.DUMMYFUNCTION("""COMPUTED_VALUE"""),45535.45755577546)</f>
        <v>45535.45756</v>
      </c>
      <c r="C1681" s="9"/>
      <c r="D1681" s="34">
        <f>IFERROR(__xludf.DUMMYFUNCTION("""COMPUTED_VALUE"""),45541.0)</f>
        <v>45541</v>
      </c>
      <c r="E1681" s="34" t="str">
        <f>IFERROR(__xludf.DUMMYFUNCTION("""COMPUTED_VALUE"""),"09Sep")</f>
        <v>09Sep</v>
      </c>
      <c r="F1681" s="34" t="str">
        <f>IFERROR(__xludf.DUMMYFUNCTION("""COMPUTED_VALUE"""),"2024")</f>
        <v>2024</v>
      </c>
      <c r="G1681" s="35" t="str">
        <f>IFERROR(__xludf.DUMMYFUNCTION("""COMPUTED_VALUE"""),"YAU SIANG")</f>
        <v>YAU SIANG</v>
      </c>
      <c r="H1681" s="17" t="str">
        <f>IFERROR(__xludf.DUMMYFUNCTION("""COMPUTED_VALUE"""),"Y8824092626")</f>
        <v>Y8824092626</v>
      </c>
      <c r="I1681" s="17">
        <f>IFERROR(__xludf.DUMMYFUNCTION("""COMPUTED_VALUE"""),38.0)</f>
        <v>38</v>
      </c>
      <c r="J1681" s="17" t="str">
        <f>IFERROR(__xludf.DUMMYFUNCTION("""COMPUTED_VALUE"""),"35-44 tahun")</f>
        <v>35-44 tahun</v>
      </c>
      <c r="K1681" s="19">
        <f>IFERROR(__xludf.DUMMYFUNCTION("""COMPUTED_VALUE"""),32220.0)</f>
        <v>32220</v>
      </c>
      <c r="L1681" s="19" t="str">
        <f>IFERROR(__xludf.DUMMYFUNCTION("""COMPUTED_VALUE"""),"LAKI-LAKI")</f>
        <v>LAKI-LAKI</v>
      </c>
      <c r="M1681" s="35" t="str">
        <f>IFERROR(__xludf.DUMMYFUNCTION("""COMPUTED_VALUE"""),"JALAN PERDAMAIAN")</f>
        <v>JALAN PERDAMAIAN</v>
      </c>
      <c r="N1681" s="16" t="str">
        <f>IFERROR(__xludf.DUMMYFUNCTION("""COMPUTED_VALUE"""),"KEL. SUNGAI JAWI")</f>
        <v>KEL. SUNGAI JAWI</v>
      </c>
      <c r="O1681" s="16" t="str">
        <f>IFERROR(__xludf.DUMMYFUNCTION("""COMPUTED_VALUE"""),"KEC. PONTIANAK BARAT")</f>
        <v>KEC. PONTIANAK BARAT</v>
      </c>
      <c r="P1681" s="16" t="str">
        <f>IFERROR(__xludf.DUMMYFUNCTION("""COMPUTED_VALUE"""),"KOTA PONTIANAK")</f>
        <v>KOTA PONTIANAK</v>
      </c>
      <c r="Q1681" s="16" t="str">
        <f>IFERROR(__xludf.DUMMYFUNCTION("""COMPUTED_VALUE"""),"KALIMANTAN BARAT")</f>
        <v>KALIMANTAN BARAT</v>
      </c>
      <c r="R1681" s="19" t="str">
        <f>IFERROR(__xludf.DUMMYFUNCTION("""COMPUTED_VALUE"""),"BUDDHA")</f>
        <v>BUDDHA</v>
      </c>
      <c r="S1681" s="16" t="str">
        <f>IFERROR(__xludf.DUMMYFUNCTION("""COMPUTED_VALUE"""),"WIRASWASTA")</f>
        <v>WIRASWASTA</v>
      </c>
      <c r="T1681" s="16" t="str">
        <f>IFERROR(__xludf.DUMMYFUNCTION("""COMPUTED_VALUE"""),"SEI BANGKONG")</f>
        <v>SEI BANGKONG</v>
      </c>
      <c r="U1681" s="16" t="str">
        <f>IFERROR(__xludf.DUMMYFUNCTION("""COMPUTED_VALUE"""),"sepak bola")</f>
        <v>sepak bola</v>
      </c>
      <c r="V1681" s="11" t="str">
        <f>IFERROR(__xludf.DUMMYFUNCTION("""COMPUTED_VALUE"""),"081258092626")</f>
        <v>081258092626</v>
      </c>
      <c r="W1681" s="15"/>
    </row>
    <row r="1682" ht="22.5" customHeight="1">
      <c r="A1682" s="8"/>
      <c r="B1682" s="9">
        <f>IFERROR(__xludf.DUMMYFUNCTION("""COMPUTED_VALUE"""),45535.49392064815)</f>
        <v>45535.49392</v>
      </c>
      <c r="C1682" s="9"/>
      <c r="D1682" s="34">
        <f>IFERROR(__xludf.DUMMYFUNCTION("""COMPUTED_VALUE"""),45541.0)</f>
        <v>45541</v>
      </c>
      <c r="E1682" s="34" t="str">
        <f>IFERROR(__xludf.DUMMYFUNCTION("""COMPUTED_VALUE"""),"09Sep")</f>
        <v>09Sep</v>
      </c>
      <c r="F1682" s="34" t="str">
        <f>IFERROR(__xludf.DUMMYFUNCTION("""COMPUTED_VALUE"""),"2024")</f>
        <v>2024</v>
      </c>
      <c r="G1682" s="35" t="str">
        <f>IFERROR(__xludf.DUMMYFUNCTION("""COMPUTED_VALUE"""),"RENALDI PUTRA MARSELTYO")</f>
        <v>RENALDI PUTRA MARSELTYO</v>
      </c>
      <c r="H1682" s="17" t="str">
        <f>IFERROR(__xludf.DUMMYFUNCTION("""COMPUTED_VALUE"""),"R0524098236")</f>
        <v>R0524098236</v>
      </c>
      <c r="I1682" s="17">
        <f>IFERROR(__xludf.DUMMYFUNCTION("""COMPUTED_VALUE"""),21.0)</f>
        <v>21</v>
      </c>
      <c r="J1682" s="17" t="str">
        <f>IFERROR(__xludf.DUMMYFUNCTION("""COMPUTED_VALUE"""),"18-24 tahun")</f>
        <v>18-24 tahun</v>
      </c>
      <c r="K1682" s="19">
        <f>IFERROR(__xludf.DUMMYFUNCTION("""COMPUTED_VALUE"""),38412.0)</f>
        <v>38412</v>
      </c>
      <c r="L1682" s="19" t="str">
        <f>IFERROR(__xludf.DUMMYFUNCTION("""COMPUTED_VALUE"""),"LAKI-LAKI")</f>
        <v>LAKI-LAKI</v>
      </c>
      <c r="M1682" s="35" t="str">
        <f>IFERROR(__xludf.DUMMYFUNCTION("""COMPUTED_VALUE"""),"DUSUN NANGA TUBUK")</f>
        <v>DUSUN NANGA TUBUK</v>
      </c>
      <c r="N1682" s="16" t="str">
        <f>IFERROR(__xludf.DUMMYFUNCTION("""COMPUTED_VALUE"""),"DS. NANGA TUBUK")</f>
        <v>DS. NANGA TUBUK</v>
      </c>
      <c r="O1682" s="16" t="str">
        <f>IFERROR(__xludf.DUMMYFUNCTION("""COMPUTED_VALUE"""),"KEC. KALIS")</f>
        <v>KEC. KALIS</v>
      </c>
      <c r="P1682" s="16" t="str">
        <f>IFERROR(__xludf.DUMMYFUNCTION("""COMPUTED_VALUE"""),"KAB. KAPUAS HULU")</f>
        <v>KAB. KAPUAS HULU</v>
      </c>
      <c r="Q1682" s="16" t="str">
        <f>IFERROR(__xludf.DUMMYFUNCTION("""COMPUTED_VALUE"""),"KALIMANTAN BARAT")</f>
        <v>KALIMANTAN BARAT</v>
      </c>
      <c r="R1682" s="19" t="str">
        <f>IFERROR(__xludf.DUMMYFUNCTION("""COMPUTED_VALUE"""),"KATOLIK")</f>
        <v>KATOLIK</v>
      </c>
      <c r="S1682" s="35" t="str">
        <f>IFERROR(__xludf.DUMMYFUNCTION("""COMPUTED_VALUE"""),"PELAJAR/MAHASISWA")</f>
        <v>PELAJAR/MAHASISWA</v>
      </c>
      <c r="T1682" s="16" t="str">
        <f>IFERROR(__xludf.DUMMYFUNCTION("""COMPUTED_VALUE"""),"KAKI X")</f>
        <v>KAKI X</v>
      </c>
      <c r="U1682" s="16" t="str">
        <f>IFERROR(__xludf.DUMMYFUNCTION("""COMPUTED_VALUE"""),"BERMAIN BOLA VOLLY")</f>
        <v>BERMAIN BOLA VOLLY</v>
      </c>
      <c r="V1682" s="11" t="str">
        <f>IFERROR(__xludf.DUMMYFUNCTION("""COMPUTED_VALUE"""),"081347738236")</f>
        <v>081347738236</v>
      </c>
      <c r="W1682" s="15"/>
    </row>
    <row r="1683" ht="22.5" customHeight="1">
      <c r="A1683" s="8"/>
      <c r="B1683" s="9">
        <f>IFERROR(__xludf.DUMMYFUNCTION("""COMPUTED_VALUE"""),45535.575458391206)</f>
        <v>45535.57546</v>
      </c>
      <c r="C1683" s="9"/>
      <c r="D1683" s="34">
        <f>IFERROR(__xludf.DUMMYFUNCTION("""COMPUTED_VALUE"""),45542.0)</f>
        <v>45542</v>
      </c>
      <c r="E1683" s="34" t="str">
        <f>IFERROR(__xludf.DUMMYFUNCTION("""COMPUTED_VALUE"""),"09Sep")</f>
        <v>09Sep</v>
      </c>
      <c r="F1683" s="34" t="str">
        <f>IFERROR(__xludf.DUMMYFUNCTION("""COMPUTED_VALUE"""),"2024")</f>
        <v>2024</v>
      </c>
      <c r="G1683" s="35" t="str">
        <f>IFERROR(__xludf.DUMMYFUNCTION("""COMPUTED_VALUE"""),"MUYES")</f>
        <v>MUYES</v>
      </c>
      <c r="H1683" s="17" t="str">
        <f>IFERROR(__xludf.DUMMYFUNCTION("""COMPUTED_VALUE"""),"M6024090699")</f>
        <v>M6024090699</v>
      </c>
      <c r="I1683" s="17">
        <f>IFERROR(__xludf.DUMMYFUNCTION("""COMPUTED_VALUE"""),66.0)</f>
        <v>66</v>
      </c>
      <c r="J1683" s="17" t="str">
        <f>IFERROR(__xludf.DUMMYFUNCTION("""COMPUTED_VALUE"""),"&gt; 44 tahun")</f>
        <v>&gt; 44 tahun</v>
      </c>
      <c r="K1683" s="19">
        <f>IFERROR(__xludf.DUMMYFUNCTION("""COMPUTED_VALUE"""),21936.0)</f>
        <v>21936</v>
      </c>
      <c r="L1683" s="19" t="str">
        <f>IFERROR(__xludf.DUMMYFUNCTION("""COMPUTED_VALUE"""),"PEREMPUAN")</f>
        <v>PEREMPUAN</v>
      </c>
      <c r="M1683" s="35" t="str">
        <f>IFERROR(__xludf.DUMMYFUNCTION("""COMPUTED_VALUE"""),"JLN.TRITURA NO.34")</f>
        <v>JLN.TRITURA NO.34</v>
      </c>
      <c r="N1683" s="16" t="str">
        <f>IFERROR(__xludf.DUMMYFUNCTION("""COMPUTED_VALUE"""),"KEL. TANJUNG HILIR")</f>
        <v>KEL. TANJUNG HILIR</v>
      </c>
      <c r="O1683" s="16" t="str">
        <f>IFERROR(__xludf.DUMMYFUNCTION("""COMPUTED_VALUE"""),"KEC. PONTIANAK TIMUR")</f>
        <v>KEC. PONTIANAK TIMUR</v>
      </c>
      <c r="P1683" s="16" t="str">
        <f>IFERROR(__xludf.DUMMYFUNCTION("""COMPUTED_VALUE"""),"KOTA PONTIANAK")</f>
        <v>KOTA PONTIANAK</v>
      </c>
      <c r="Q1683" s="16" t="str">
        <f>IFERROR(__xludf.DUMMYFUNCTION("""COMPUTED_VALUE"""),"KALIMANTAN BARAT")</f>
        <v>KALIMANTAN BARAT</v>
      </c>
      <c r="R1683" s="19" t="str">
        <f>IFERROR(__xludf.DUMMYFUNCTION("""COMPUTED_VALUE"""),"ISLAM")</f>
        <v>ISLAM</v>
      </c>
      <c r="S1683" s="35" t="str">
        <f>IFERROR(__xludf.DUMMYFUNCTION("""COMPUTED_VALUE"""),"RUMAH TANGGA")</f>
        <v>RUMAH TANGGA</v>
      </c>
      <c r="T1683" s="16" t="str">
        <f>IFERROR(__xludf.DUMMYFUNCTION("""COMPUTED_VALUE"""),"NYERI BAHU,TANGAN, KAKI")</f>
        <v>NYERI BAHU,TANGAN, KAKI</v>
      </c>
      <c r="U1683" s="16" t="str">
        <f>IFERROR(__xludf.DUMMYFUNCTION("""COMPUTED_VALUE"""),"Tidak ada")</f>
        <v>Tidak ada</v>
      </c>
      <c r="V1683" s="11" t="str">
        <f>IFERROR(__xludf.DUMMYFUNCTION("""COMPUTED_VALUE"""),"085650850699")</f>
        <v>085650850699</v>
      </c>
      <c r="W1683" s="15"/>
    </row>
    <row r="1684" ht="22.5" customHeight="1">
      <c r="A1684" s="8"/>
      <c r="B1684" s="9">
        <f>IFERROR(__xludf.DUMMYFUNCTION("""COMPUTED_VALUE"""),45534.85601193287)</f>
        <v>45534.85601</v>
      </c>
      <c r="C1684" s="9"/>
      <c r="D1684" s="34">
        <f>IFERROR(__xludf.DUMMYFUNCTION("""COMPUTED_VALUE"""),45543.0)</f>
        <v>45543</v>
      </c>
      <c r="E1684" s="34" t="str">
        <f>IFERROR(__xludf.DUMMYFUNCTION("""COMPUTED_VALUE"""),"09Sep")</f>
        <v>09Sep</v>
      </c>
      <c r="F1684" s="34" t="str">
        <f>IFERROR(__xludf.DUMMYFUNCTION("""COMPUTED_VALUE"""),"2024")</f>
        <v>2024</v>
      </c>
      <c r="G1684" s="35" t="str">
        <f>IFERROR(__xludf.DUMMYFUNCTION("""COMPUTED_VALUE"""),"KLAUDIUS DEO")</f>
        <v>KLAUDIUS DEO</v>
      </c>
      <c r="H1684" s="17" t="str">
        <f>IFERROR(__xludf.DUMMYFUNCTION("""COMPUTED_VALUE"""),"K0424094556")</f>
        <v>K0424094556</v>
      </c>
      <c r="I1684" s="17">
        <f>IFERROR(__xludf.DUMMYFUNCTION("""COMPUTED_VALUE"""),22.0)</f>
        <v>22</v>
      </c>
      <c r="J1684" s="17" t="str">
        <f>IFERROR(__xludf.DUMMYFUNCTION("""COMPUTED_VALUE"""),"18-24 tahun")</f>
        <v>18-24 tahun</v>
      </c>
      <c r="K1684" s="19">
        <f>IFERROR(__xludf.DUMMYFUNCTION("""COMPUTED_VALUE"""),38141.0)</f>
        <v>38141</v>
      </c>
      <c r="L1684" s="19" t="str">
        <f>IFERROR(__xludf.DUMMYFUNCTION("""COMPUTED_VALUE"""),"LAKI-LAKI")</f>
        <v>LAKI-LAKI</v>
      </c>
      <c r="M1684" s="35" t="str">
        <f>IFERROR(__xludf.DUMMYFUNCTION("""COMPUTED_VALUE"""),"BINJAI")</f>
        <v>BINJAI</v>
      </c>
      <c r="N1684" s="16" t="str">
        <f>IFERROR(__xludf.DUMMYFUNCTION("""COMPUTED_VALUE"""),"DS. BINJAI")</f>
        <v>DS. BINJAI</v>
      </c>
      <c r="O1684" s="16" t="str">
        <f>IFERROR(__xludf.DUMMYFUNCTION("""COMPUTED_VALUE"""),"KEC. TAYAN HULU")</f>
        <v>KEC. TAYAN HULU</v>
      </c>
      <c r="P1684" s="16" t="str">
        <f>IFERROR(__xludf.DUMMYFUNCTION("""COMPUTED_VALUE"""),"KAB. SANGGAU")</f>
        <v>KAB. SANGGAU</v>
      </c>
      <c r="Q1684" s="16" t="str">
        <f>IFERROR(__xludf.DUMMYFUNCTION("""COMPUTED_VALUE"""),"KALIMANTAN BARAT")</f>
        <v>KALIMANTAN BARAT</v>
      </c>
      <c r="R1684" s="19" t="str">
        <f>IFERROR(__xludf.DUMMYFUNCTION("""COMPUTED_VALUE"""),"KATOLIK")</f>
        <v>KATOLIK</v>
      </c>
      <c r="S1684" s="16" t="str">
        <f>IFERROR(__xludf.DUMMYFUNCTION("""COMPUTED_VALUE"""),"PELAJAR/MAHASISWA")</f>
        <v>PELAJAR/MAHASISWA</v>
      </c>
      <c r="T1684" s="16" t="str">
        <f>IFERROR(__xludf.DUMMYFUNCTION("""COMPUTED_VALUE"""),"CIDERA")</f>
        <v>CIDERA</v>
      </c>
      <c r="U1684" s="16" t="str">
        <f>IFERROR(__xludf.DUMMYFUNCTION("""COMPUTED_VALUE"""),"Kuliah, nongkrong, futsal/bola")</f>
        <v>Kuliah, nongkrong, futsal/bola</v>
      </c>
      <c r="V1684" s="11" t="str">
        <f>IFERROR(__xludf.DUMMYFUNCTION("""COMPUTED_VALUE"""),"085750304556")</f>
        <v>085750304556</v>
      </c>
      <c r="W1684" s="15"/>
    </row>
    <row r="1685" ht="22.5" customHeight="1">
      <c r="A1685" s="8"/>
      <c r="B1685" s="9"/>
      <c r="C1685" s="9"/>
      <c r="D1685" s="34">
        <f>IFERROR(__xludf.DUMMYFUNCTION("""COMPUTED_VALUE"""),45543.0)</f>
        <v>45543</v>
      </c>
      <c r="E1685" s="34" t="str">
        <f>IFERROR(__xludf.DUMMYFUNCTION("""COMPUTED_VALUE"""),"09Sep")</f>
        <v>09Sep</v>
      </c>
      <c r="F1685" s="34" t="str">
        <f>IFERROR(__xludf.DUMMYFUNCTION("""COMPUTED_VALUE"""),"2024")</f>
        <v>2024</v>
      </c>
      <c r="G1685" s="35" t="str">
        <f>IFERROR(__xludf.DUMMYFUNCTION("""COMPUTED_VALUE"""),"BAMBANG WIJIANTO")</f>
        <v>BAMBANG WIJIANTO</v>
      </c>
      <c r="H1685" s="17" t="str">
        <f>IFERROR(__xludf.DUMMYFUNCTION("""COMPUTED_VALUE"""),"B8424095588")</f>
        <v>B8424095588</v>
      </c>
      <c r="I1685" s="17">
        <f>IFERROR(__xludf.DUMMYFUNCTION("""COMPUTED_VALUE"""),41.0)</f>
        <v>41</v>
      </c>
      <c r="J1685" s="17" t="str">
        <f>IFERROR(__xludf.DUMMYFUNCTION("""COMPUTED_VALUE"""),"35-44 tahun")</f>
        <v>35-44 tahun</v>
      </c>
      <c r="K1685" s="19">
        <f>IFERROR(__xludf.DUMMYFUNCTION("""COMPUTED_VALUE"""),31047.0)</f>
        <v>31047</v>
      </c>
      <c r="L1685" s="19" t="str">
        <f>IFERROR(__xludf.DUMMYFUNCTION("""COMPUTED_VALUE"""),"LAKI-LAKI")</f>
        <v>LAKI-LAKI</v>
      </c>
      <c r="M1685" s="35" t="str">
        <f>IFERROR(__xludf.DUMMYFUNCTION("""COMPUTED_VALUE"""),"JL KOM YOS SUDARSO BTN JERUJU PERMAI II J.22")</f>
        <v>JL KOM YOS SUDARSO BTN JERUJU PERMAI II J.22</v>
      </c>
      <c r="N1685" s="16" t="str">
        <f>IFERROR(__xludf.DUMMYFUNCTION("""COMPUTED_VALUE"""),"KEL. SUNGAI BELIUNG")</f>
        <v>KEL. SUNGAI BELIUNG</v>
      </c>
      <c r="O1685" s="16" t="str">
        <f>IFERROR(__xludf.DUMMYFUNCTION("""COMPUTED_VALUE"""),"KEC. PONTIANAK BARAT")</f>
        <v>KEC. PONTIANAK BARAT</v>
      </c>
      <c r="P1685" s="16" t="str">
        <f>IFERROR(__xludf.DUMMYFUNCTION("""COMPUTED_VALUE"""),"KOTA PONTIANAK")</f>
        <v>KOTA PONTIANAK</v>
      </c>
      <c r="Q1685" s="16" t="str">
        <f>IFERROR(__xludf.DUMMYFUNCTION("""COMPUTED_VALUE"""),"KALIMANTAN BARAT")</f>
        <v>KALIMANTAN BARAT</v>
      </c>
      <c r="R1685" s="19" t="str">
        <f>IFERROR(__xludf.DUMMYFUNCTION("""COMPUTED_VALUE"""),"ISLAM")</f>
        <v>ISLAM</v>
      </c>
      <c r="S1685" s="35" t="str">
        <f>IFERROR(__xludf.DUMMYFUNCTION("""COMPUTED_VALUE"""),"ASN")</f>
        <v>ASN</v>
      </c>
      <c r="T1685" s="16" t="str">
        <f>IFERROR(__xludf.DUMMYFUNCTION("""COMPUTED_VALUE"""),"NYERI")</f>
        <v>NYERI</v>
      </c>
      <c r="U1685" s="16" t="str">
        <f>IFERROR(__xludf.DUMMYFUNCTION("""COMPUTED_VALUE"""),"Kantoran")</f>
        <v>Kantoran</v>
      </c>
      <c r="V1685" s="11" t="str">
        <f>IFERROR(__xludf.DUMMYFUNCTION("""COMPUTED_VALUE"""),"082262485588")</f>
        <v>082262485588</v>
      </c>
      <c r="W1685" s="15"/>
    </row>
    <row r="1686" ht="22.5" customHeight="1">
      <c r="A1686" s="8"/>
      <c r="B1686" s="9">
        <f>IFERROR(__xludf.DUMMYFUNCTION("""COMPUTED_VALUE"""),45535.65487834491)</f>
        <v>45535.65488</v>
      </c>
      <c r="C1686" s="9"/>
      <c r="D1686" s="34">
        <f>IFERROR(__xludf.DUMMYFUNCTION("""COMPUTED_VALUE"""),45543.0)</f>
        <v>45543</v>
      </c>
      <c r="E1686" s="34" t="str">
        <f>IFERROR(__xludf.DUMMYFUNCTION("""COMPUTED_VALUE"""),"09Sep")</f>
        <v>09Sep</v>
      </c>
      <c r="F1686" s="34" t="str">
        <f>IFERROR(__xludf.DUMMYFUNCTION("""COMPUTED_VALUE"""),"2024")</f>
        <v>2024</v>
      </c>
      <c r="G1686" s="35" t="str">
        <f>IFERROR(__xludf.DUMMYFUNCTION("""COMPUTED_VALUE"""),"LIATRIYANI")</f>
        <v>LIATRIYANI</v>
      </c>
      <c r="H1686" s="17" t="str">
        <f>IFERROR(__xludf.DUMMYFUNCTION("""COMPUTED_VALUE"""),"L0124091962")</f>
        <v>L0124091962</v>
      </c>
      <c r="I1686" s="17">
        <f>IFERROR(__xludf.DUMMYFUNCTION("""COMPUTED_VALUE"""),25.0)</f>
        <v>25</v>
      </c>
      <c r="J1686" s="17" t="str">
        <f>IFERROR(__xludf.DUMMYFUNCTION("""COMPUTED_VALUE"""),"25-34 tahun")</f>
        <v>25-34 tahun</v>
      </c>
      <c r="K1686" s="19">
        <f>IFERROR(__xludf.DUMMYFUNCTION("""COMPUTED_VALUE"""),36954.0)</f>
        <v>36954</v>
      </c>
      <c r="L1686" s="19" t="str">
        <f>IFERROR(__xludf.DUMMYFUNCTION("""COMPUTED_VALUE"""),"PEREMPUAN")</f>
        <v>PEREMPUAN</v>
      </c>
      <c r="M1686" s="35" t="str">
        <f>IFERROR(__xludf.DUMMYFUNCTION("""COMPUTED_VALUE"""),"DUSUN SERARAS")</f>
        <v>DUSUN SERARAS</v>
      </c>
      <c r="N1686" s="16" t="str">
        <f>IFERROR(__xludf.DUMMYFUNCTION("""COMPUTED_VALUE"""),"DS. SERARAS")</f>
        <v>DS. SERARAS</v>
      </c>
      <c r="O1686" s="16" t="str">
        <f>IFERROR(__xludf.DUMMYFUNCTION("""COMPUTED_VALUE"""),"KEC. SEKADAU HILIR")</f>
        <v>KEC. SEKADAU HILIR</v>
      </c>
      <c r="P1686" s="16" t="str">
        <f>IFERROR(__xludf.DUMMYFUNCTION("""COMPUTED_VALUE"""),"KAB. SEKADAU")</f>
        <v>KAB. SEKADAU</v>
      </c>
      <c r="Q1686" s="16" t="str">
        <f>IFERROR(__xludf.DUMMYFUNCTION("""COMPUTED_VALUE"""),"KALIMANTAN BARAT")</f>
        <v>KALIMANTAN BARAT</v>
      </c>
      <c r="R1686" s="19" t="str">
        <f>IFERROR(__xludf.DUMMYFUNCTION("""COMPUTED_VALUE"""),"ISLAM")</f>
        <v>ISLAM</v>
      </c>
      <c r="S1686" s="35" t="str">
        <f>IFERROR(__xludf.DUMMYFUNCTION("""COMPUTED_VALUE"""),"PELAJAR/MAHASISWA")</f>
        <v>PELAJAR/MAHASISWA</v>
      </c>
      <c r="T1686" s="16" t="str">
        <f>IFERROR(__xludf.DUMMYFUNCTION("""COMPUTED_VALUE"""),"SENGAL DAN NYILU")</f>
        <v>SENGAL DAN NYILU</v>
      </c>
      <c r="U1686" s="16" t="str">
        <f>IFERROR(__xludf.DUMMYFUNCTION("""COMPUTED_VALUE"""),"Olahraga")</f>
        <v>Olahraga</v>
      </c>
      <c r="V1686" s="11" t="str">
        <f>IFERROR(__xludf.DUMMYFUNCTION("""COMPUTED_VALUE"""),"082159791962")</f>
        <v>082159791962</v>
      </c>
      <c r="W1686" s="15"/>
    </row>
    <row r="1687" ht="22.5" customHeight="1">
      <c r="A1687" s="8"/>
      <c r="B1687" s="9">
        <f>IFERROR(__xludf.DUMMYFUNCTION("""COMPUTED_VALUE"""),45535.80060953704)</f>
        <v>45535.80061</v>
      </c>
      <c r="C1687" s="9"/>
      <c r="D1687" s="34">
        <f>IFERROR(__xludf.DUMMYFUNCTION("""COMPUTED_VALUE"""),45543.0)</f>
        <v>45543</v>
      </c>
      <c r="E1687" s="34" t="str">
        <f>IFERROR(__xludf.DUMMYFUNCTION("""COMPUTED_VALUE"""),"09Sep")</f>
        <v>09Sep</v>
      </c>
      <c r="F1687" s="34" t="str">
        <f>IFERROR(__xludf.DUMMYFUNCTION("""COMPUTED_VALUE"""),"2024")</f>
        <v>2024</v>
      </c>
      <c r="G1687" s="35" t="str">
        <f>IFERROR(__xludf.DUMMYFUNCTION("""COMPUTED_VALUE"""),"HIAGIANTARA FERNANDA")</f>
        <v>HIAGIANTARA FERNANDA</v>
      </c>
      <c r="H1687" s="17" t="str">
        <f>IFERROR(__xludf.DUMMYFUNCTION("""COMPUTED_VALUE"""),"H9024091923")</f>
        <v>H9024091923</v>
      </c>
      <c r="I1687" s="17">
        <f>IFERROR(__xludf.DUMMYFUNCTION("""COMPUTED_VALUE"""),36.0)</f>
        <v>36</v>
      </c>
      <c r="J1687" s="17" t="str">
        <f>IFERROR(__xludf.DUMMYFUNCTION("""COMPUTED_VALUE"""),"35-44 tahun")</f>
        <v>35-44 tahun</v>
      </c>
      <c r="K1687" s="19">
        <f>IFERROR(__xludf.DUMMYFUNCTION("""COMPUTED_VALUE"""),32926.0)</f>
        <v>32926</v>
      </c>
      <c r="L1687" s="19" t="str">
        <f>IFERROR(__xludf.DUMMYFUNCTION("""COMPUTED_VALUE"""),"LAKI-LAKI")</f>
        <v>LAKI-LAKI</v>
      </c>
      <c r="M1687" s="35" t="str">
        <f>IFERROR(__xludf.DUMMYFUNCTION("""COMPUTED_VALUE"""),"JL. JENDERAL AHMAD YANI GG. MANGGA NO 109")</f>
        <v>JL. JENDERAL AHMAD YANI GG. MANGGA NO 109</v>
      </c>
      <c r="N1687" s="16" t="str">
        <f>IFERROR(__xludf.DUMMYFUNCTION("""COMPUTED_VALUE"""),"DS. ILIR KOTA")</f>
        <v>DS. ILIR KOTA</v>
      </c>
      <c r="O1687" s="16" t="str">
        <f>IFERROR(__xludf.DUMMYFUNCTION("""COMPUTED_VALUE"""),"KEC. KAPUAS")</f>
        <v>KEC. KAPUAS</v>
      </c>
      <c r="P1687" s="16" t="str">
        <f>IFERROR(__xludf.DUMMYFUNCTION("""COMPUTED_VALUE"""),"KAB. SANGGAU")</f>
        <v>KAB. SANGGAU</v>
      </c>
      <c r="Q1687" s="16" t="str">
        <f>IFERROR(__xludf.DUMMYFUNCTION("""COMPUTED_VALUE"""),"KALIMANTAN BARAT")</f>
        <v>KALIMANTAN BARAT</v>
      </c>
      <c r="R1687" s="19" t="str">
        <f>IFERROR(__xludf.DUMMYFUNCTION("""COMPUTED_VALUE"""),"ISLAM")</f>
        <v>ISLAM</v>
      </c>
      <c r="S1687" s="16" t="str">
        <f>IFERROR(__xludf.DUMMYFUNCTION("""COMPUTED_VALUE"""),"SWASTA")</f>
        <v>SWASTA</v>
      </c>
      <c r="T1687" s="16" t="str">
        <f>IFERROR(__xludf.DUMMYFUNCTION("""COMPUTED_VALUE"""),"CEDERA PERGELANGAN TANGAN KANAN DAN JEMPOL KANAN")</f>
        <v>CEDERA PERGELANGAN TANGAN KANAN DAN JEMPOL KANAN</v>
      </c>
      <c r="U1687" s="16" t="str">
        <f>IFERROR(__xludf.DUMMYFUNCTION("""COMPUTED_VALUE"""),"Futsal")</f>
        <v>Futsal</v>
      </c>
      <c r="V1687" s="11" t="str">
        <f>IFERROR(__xludf.DUMMYFUNCTION("""COMPUTED_VALUE"""),"082256191923")</f>
        <v>082256191923</v>
      </c>
      <c r="W1687" s="15"/>
    </row>
    <row r="1688" ht="22.5" customHeight="1">
      <c r="A1688" s="8"/>
      <c r="B1688" s="9">
        <f>IFERROR(__xludf.DUMMYFUNCTION("""COMPUTED_VALUE"""),45536.40143590278)</f>
        <v>45536.40144</v>
      </c>
      <c r="C1688" s="9"/>
      <c r="D1688" s="34">
        <f>IFERROR(__xludf.DUMMYFUNCTION("""COMPUTED_VALUE"""),45543.0)</f>
        <v>45543</v>
      </c>
      <c r="E1688" s="34" t="str">
        <f>IFERROR(__xludf.DUMMYFUNCTION("""COMPUTED_VALUE"""),"09Sep")</f>
        <v>09Sep</v>
      </c>
      <c r="F1688" s="34" t="str">
        <f>IFERROR(__xludf.DUMMYFUNCTION("""COMPUTED_VALUE"""),"2024")</f>
        <v>2024</v>
      </c>
      <c r="G1688" s="35" t="str">
        <f>IFERROR(__xludf.DUMMYFUNCTION("""COMPUTED_VALUE"""),"TAUFIK NUR FITRIANTO")</f>
        <v>TAUFIK NUR FITRIANTO</v>
      </c>
      <c r="H1688" s="17" t="str">
        <f>IFERROR(__xludf.DUMMYFUNCTION("""COMPUTED_VALUE"""),"T9424090333")</f>
        <v>T9424090333</v>
      </c>
      <c r="I1688" s="17">
        <f>IFERROR(__xludf.DUMMYFUNCTION("""COMPUTED_VALUE"""),32.0)</f>
        <v>32</v>
      </c>
      <c r="J1688" s="17" t="str">
        <f>IFERROR(__xludf.DUMMYFUNCTION("""COMPUTED_VALUE"""),"25-34 tahun")</f>
        <v>25-34 tahun</v>
      </c>
      <c r="K1688" s="19">
        <f>IFERROR(__xludf.DUMMYFUNCTION("""COMPUTED_VALUE"""),34407.0)</f>
        <v>34407</v>
      </c>
      <c r="L1688" s="19" t="str">
        <f>IFERROR(__xludf.DUMMYFUNCTION("""COMPUTED_VALUE"""),"LAKI-LAKI")</f>
        <v>LAKI-LAKI</v>
      </c>
      <c r="M1688" s="35" t="str">
        <f>IFERROR(__xludf.DUMMYFUNCTION("""COMPUTED_VALUE"""),"JL. KARNA SOSIAL GG. PURWOSARI 1 NO 24 A")</f>
        <v>JL. KARNA SOSIAL GG. PURWOSARI 1 NO 24 A</v>
      </c>
      <c r="N1688" s="16" t="str">
        <f>IFERROR(__xludf.DUMMYFUNCTION("""COMPUTED_VALUE"""),"KEL. AKCAYA")</f>
        <v>KEL. AKCAYA</v>
      </c>
      <c r="O1688" s="16" t="str">
        <f>IFERROR(__xludf.DUMMYFUNCTION("""COMPUTED_VALUE"""),"KEC. PONTIANAK SELATAN")</f>
        <v>KEC. PONTIANAK SELATAN</v>
      </c>
      <c r="P1688" s="16" t="str">
        <f>IFERROR(__xludf.DUMMYFUNCTION("""COMPUTED_VALUE"""),"KOTA PONTIANAK")</f>
        <v>KOTA PONTIANAK</v>
      </c>
      <c r="Q1688" s="16" t="str">
        <f>IFERROR(__xludf.DUMMYFUNCTION("""COMPUTED_VALUE"""),"KALIMANTAN BARAT")</f>
        <v>KALIMANTAN BARAT</v>
      </c>
      <c r="R1688" s="19" t="str">
        <f>IFERROR(__xludf.DUMMYFUNCTION("""COMPUTED_VALUE"""),"ISLAM")</f>
        <v>ISLAM</v>
      </c>
      <c r="S1688" s="16" t="str">
        <f>IFERROR(__xludf.DUMMYFUNCTION("""COMPUTED_VALUE"""),"DOSEN/GURU")</f>
        <v>DOSEN/GURU</v>
      </c>
      <c r="T1688" s="16" t="str">
        <f>IFERROR(__xludf.DUMMYFUNCTION("""COMPUTED_VALUE"""),"SAKIT DI KIRI")</f>
        <v>SAKIT DI KIRI</v>
      </c>
      <c r="U1688" s="16" t="str">
        <f>IFERROR(__xludf.DUMMYFUNCTION("""COMPUTED_VALUE"""),"Mengajar dan Badminton")</f>
        <v>Mengajar dan Badminton</v>
      </c>
      <c r="V1688" s="11" t="str">
        <f>IFERROR(__xludf.DUMMYFUNCTION("""COMPUTED_VALUE"""),"0895392830333")</f>
        <v>0895392830333</v>
      </c>
      <c r="W1688" s="15"/>
    </row>
    <row r="1689" ht="22.5" customHeight="1">
      <c r="A1689" s="8"/>
      <c r="B1689" s="9">
        <f>IFERROR(__xludf.DUMMYFUNCTION("""COMPUTED_VALUE"""),45534.305523726856)</f>
        <v>45534.30552</v>
      </c>
      <c r="C1689" s="9"/>
      <c r="D1689" s="34">
        <f>IFERROR(__xludf.DUMMYFUNCTION("""COMPUTED_VALUE"""),45543.0)</f>
        <v>45543</v>
      </c>
      <c r="E1689" s="34" t="str">
        <f>IFERROR(__xludf.DUMMYFUNCTION("""COMPUTED_VALUE"""),"09Sep")</f>
        <v>09Sep</v>
      </c>
      <c r="F1689" s="34" t="str">
        <f>IFERROR(__xludf.DUMMYFUNCTION("""COMPUTED_VALUE"""),"2024")</f>
        <v>2024</v>
      </c>
      <c r="G1689" s="35" t="str">
        <f>IFERROR(__xludf.DUMMYFUNCTION("""COMPUTED_VALUE"""),"ANASTASIA")</f>
        <v>ANASTASIA</v>
      </c>
      <c r="H1689" s="17" t="str">
        <f>IFERROR(__xludf.DUMMYFUNCTION("""COMPUTED_VALUE"""),"A6424098891")</f>
        <v>A6424098891</v>
      </c>
      <c r="I1689" s="17">
        <f>IFERROR(__xludf.DUMMYFUNCTION("""COMPUTED_VALUE"""),61.0)</f>
        <v>61</v>
      </c>
      <c r="J1689" s="17" t="str">
        <f>IFERROR(__xludf.DUMMYFUNCTION("""COMPUTED_VALUE"""),"&gt; 44 tahun")</f>
        <v>&gt; 44 tahun</v>
      </c>
      <c r="K1689" s="19">
        <f>IFERROR(__xludf.DUMMYFUNCTION("""COMPUTED_VALUE"""),23632.0)</f>
        <v>23632</v>
      </c>
      <c r="L1689" s="19" t="str">
        <f>IFERROR(__xludf.DUMMYFUNCTION("""COMPUTED_VALUE"""),"PEREMPUAN")</f>
        <v>PEREMPUAN</v>
      </c>
      <c r="M1689" s="35" t="str">
        <f>IFERROR(__xludf.DUMMYFUNCTION("""COMPUTED_VALUE"""),"BTN AKCAYA INDAH LESTARI")</f>
        <v>BTN AKCAYA INDAH LESTARI</v>
      </c>
      <c r="N1689" s="16" t="str">
        <f>IFERROR(__xludf.DUMMYFUNCTION("""COMPUTED_VALUE"""),"DS. SUNGAI ANA")</f>
        <v>DS. SUNGAI ANA</v>
      </c>
      <c r="O1689" s="16" t="str">
        <f>IFERROR(__xludf.DUMMYFUNCTION("""COMPUTED_VALUE"""),"KEC. SINTANG")</f>
        <v>KEC. SINTANG</v>
      </c>
      <c r="P1689" s="16" t="str">
        <f>IFERROR(__xludf.DUMMYFUNCTION("""COMPUTED_VALUE"""),"KAB. SINTANG")</f>
        <v>KAB. SINTANG</v>
      </c>
      <c r="Q1689" s="16" t="str">
        <f>IFERROR(__xludf.DUMMYFUNCTION("""COMPUTED_VALUE"""),"KALIMANTAN BARAT")</f>
        <v>KALIMANTAN BARAT</v>
      </c>
      <c r="R1689" s="19" t="str">
        <f>IFERROR(__xludf.DUMMYFUNCTION("""COMPUTED_VALUE"""),"PROTESTAN")</f>
        <v>PROTESTAN</v>
      </c>
      <c r="S1689" s="16" t="str">
        <f>IFERROR(__xludf.DUMMYFUNCTION("""COMPUTED_VALUE"""),"RUMAH TANGGA")</f>
        <v>RUMAH TANGGA</v>
      </c>
      <c r="T1689" s="16" t="str">
        <f>IFERROR(__xludf.DUMMYFUNCTION("""COMPUTED_VALUE"""),"TANGAN DAN KAKI KIRI LEMAH")</f>
        <v>TANGAN DAN KAKI KIRI LEMAH</v>
      </c>
      <c r="U1689" s="16" t="str">
        <f>IFERROR(__xludf.DUMMYFUNCTION("""COMPUTED_VALUE"""),"Mancing")</f>
        <v>Mancing</v>
      </c>
      <c r="V1689" s="11" t="str">
        <f>IFERROR(__xludf.DUMMYFUNCTION("""COMPUTED_VALUE"""),"081528228891")</f>
        <v>081528228891</v>
      </c>
      <c r="W1689" s="15"/>
    </row>
    <row r="1690" ht="22.5" customHeight="1">
      <c r="A1690" s="8"/>
      <c r="B1690" s="9">
        <f>IFERROR(__xludf.DUMMYFUNCTION("""COMPUTED_VALUE"""),45536.78270980324)</f>
        <v>45536.78271</v>
      </c>
      <c r="C1690" s="9"/>
      <c r="D1690" s="34">
        <f>IFERROR(__xludf.DUMMYFUNCTION("""COMPUTED_VALUE"""),45543.0)</f>
        <v>45543</v>
      </c>
      <c r="E1690" s="34" t="str">
        <f>IFERROR(__xludf.DUMMYFUNCTION("""COMPUTED_VALUE"""),"09Sep")</f>
        <v>09Sep</v>
      </c>
      <c r="F1690" s="34" t="str">
        <f>IFERROR(__xludf.DUMMYFUNCTION("""COMPUTED_VALUE"""),"2024")</f>
        <v>2024</v>
      </c>
      <c r="G1690" s="35" t="str">
        <f>IFERROR(__xludf.DUMMYFUNCTION("""COMPUTED_VALUE"""),"MOH. HILMAN ZAKIRI")</f>
        <v>MOH. HILMAN ZAKIRI</v>
      </c>
      <c r="H1690" s="17" t="str">
        <f>IFERROR(__xludf.DUMMYFUNCTION("""COMPUTED_VALUE"""),"M9224097571")</f>
        <v>M9224097571</v>
      </c>
      <c r="I1690" s="17">
        <f>IFERROR(__xludf.DUMMYFUNCTION("""COMPUTED_VALUE"""),34.0)</f>
        <v>34</v>
      </c>
      <c r="J1690" s="17" t="str">
        <f>IFERROR(__xludf.DUMMYFUNCTION("""COMPUTED_VALUE"""),"25-34 tahun")</f>
        <v>25-34 tahun</v>
      </c>
      <c r="K1690" s="19">
        <f>IFERROR(__xludf.DUMMYFUNCTION("""COMPUTED_VALUE"""),33701.0)</f>
        <v>33701</v>
      </c>
      <c r="L1690" s="19" t="str">
        <f>IFERROR(__xludf.DUMMYFUNCTION("""COMPUTED_VALUE"""),"LAKI-LAKI")</f>
        <v>LAKI-LAKI</v>
      </c>
      <c r="M1690" s="35" t="str">
        <f>IFERROR(__xludf.DUMMYFUNCTION("""COMPUTED_VALUE"""),"JL. KUTUK BARAT GG. MASJID NO. 82")</f>
        <v>JL. KUTUK BARAT GG. MASJID NO. 82</v>
      </c>
      <c r="N1690" s="16" t="str">
        <f>IFERROR(__xludf.DUMMYFUNCTION("""COMPUTED_VALUE"""),"KEL. SIDOKARE")</f>
        <v>KEL. SIDOKARE</v>
      </c>
      <c r="O1690" s="16" t="str">
        <f>IFERROR(__xludf.DUMMYFUNCTION("""COMPUTED_VALUE"""),"KEC. SIDOARJO")</f>
        <v>KEC. SIDOARJO</v>
      </c>
      <c r="P1690" s="16" t="str">
        <f>IFERROR(__xludf.DUMMYFUNCTION("""COMPUTED_VALUE"""),"KOTA SIDOARJO")</f>
        <v>KOTA SIDOARJO</v>
      </c>
      <c r="Q1690" s="16" t="str">
        <f>IFERROR(__xludf.DUMMYFUNCTION("""COMPUTED_VALUE"""),"JAWA TIMUR")</f>
        <v>JAWA TIMUR</v>
      </c>
      <c r="R1690" s="19" t="str">
        <f>IFERROR(__xludf.DUMMYFUNCTION("""COMPUTED_VALUE"""),"ISLAM")</f>
        <v>ISLAM</v>
      </c>
      <c r="S1690" s="16" t="str">
        <f>IFERROR(__xludf.DUMMYFUNCTION("""COMPUTED_VALUE"""),"ASN")</f>
        <v>ASN</v>
      </c>
      <c r="T1690" s="16" t="str">
        <f>IFERROR(__xludf.DUMMYFUNCTION("""COMPUTED_VALUE"""),"NYERI DI PERGELANGAN TANGAN KANAN")</f>
        <v>NYERI DI PERGELANGAN TANGAN KANAN</v>
      </c>
      <c r="U1690" s="16" t="str">
        <f>IFERROR(__xludf.DUMMYFUNCTION("""COMPUTED_VALUE"""),"Voli")</f>
        <v>Voli</v>
      </c>
      <c r="V1690" s="11" t="str">
        <f>IFERROR(__xludf.DUMMYFUNCTION("""COMPUTED_VALUE"""),"085855887571")</f>
        <v>085855887571</v>
      </c>
      <c r="W1690" s="15"/>
    </row>
    <row r="1691" ht="22.5" customHeight="1">
      <c r="A1691" s="8"/>
      <c r="B1691" s="9">
        <f>IFERROR(__xludf.DUMMYFUNCTION("""COMPUTED_VALUE"""),45536.79667085648)</f>
        <v>45536.79667</v>
      </c>
      <c r="C1691" s="9"/>
      <c r="D1691" s="34">
        <f>IFERROR(__xludf.DUMMYFUNCTION("""COMPUTED_VALUE"""),45543.0)</f>
        <v>45543</v>
      </c>
      <c r="E1691" s="34" t="str">
        <f>IFERROR(__xludf.DUMMYFUNCTION("""COMPUTED_VALUE"""),"09Sep")</f>
        <v>09Sep</v>
      </c>
      <c r="F1691" s="34" t="str">
        <f>IFERROR(__xludf.DUMMYFUNCTION("""COMPUTED_VALUE"""),"2024")</f>
        <v>2024</v>
      </c>
      <c r="G1691" s="35" t="str">
        <f>IFERROR(__xludf.DUMMYFUNCTION("""COMPUTED_VALUE"""),"LARASATI ERMA FEBRANINGRUM")</f>
        <v>LARASATI ERMA FEBRANINGRUM</v>
      </c>
      <c r="H1691" s="17" t="str">
        <f>IFERROR(__xludf.DUMMYFUNCTION("""COMPUTED_VALUE"""),"L9824098428")</f>
        <v>L9824098428</v>
      </c>
      <c r="I1691" s="17">
        <f>IFERROR(__xludf.DUMMYFUNCTION("""COMPUTED_VALUE"""),28.0)</f>
        <v>28</v>
      </c>
      <c r="J1691" s="17" t="str">
        <f>IFERROR(__xludf.DUMMYFUNCTION("""COMPUTED_VALUE"""),"25-34 tahun")</f>
        <v>25-34 tahun</v>
      </c>
      <c r="K1691" s="19">
        <f>IFERROR(__xludf.DUMMYFUNCTION("""COMPUTED_VALUE"""),35842.0)</f>
        <v>35842</v>
      </c>
      <c r="L1691" s="19" t="str">
        <f>IFERROR(__xludf.DUMMYFUNCTION("""COMPUTED_VALUE"""),"PEREMPUAN")</f>
        <v>PEREMPUAN</v>
      </c>
      <c r="M1691" s="35" t="str">
        <f>IFERROR(__xludf.DUMMYFUNCTION("""COMPUTED_VALUE"""),"KOMPLEK GRIYA KORPRI BLOK I A.24")</f>
        <v>KOMPLEK GRIYA KORPRI BLOK I A.24</v>
      </c>
      <c r="N1691" s="16" t="str">
        <f>IFERROR(__xludf.DUMMYFUNCTION("""COMPUTED_VALUE"""),"KEL. SUNGAI RAYA DALAM")</f>
        <v>KEL. SUNGAI RAYA DALAM</v>
      </c>
      <c r="O1691" s="16" t="str">
        <f>IFERROR(__xludf.DUMMYFUNCTION("""COMPUTED_VALUE"""),"KEC. SUNGAI RAYA")</f>
        <v>KEC. SUNGAI RAYA</v>
      </c>
      <c r="P1691" s="16" t="str">
        <f>IFERROR(__xludf.DUMMYFUNCTION("""COMPUTED_VALUE"""),"KAB. KUBU RAYA")</f>
        <v>KAB. KUBU RAYA</v>
      </c>
      <c r="Q1691" s="16" t="str">
        <f>IFERROR(__xludf.DUMMYFUNCTION("""COMPUTED_VALUE"""),"KALIMANTAN BARAT")</f>
        <v>KALIMANTAN BARAT</v>
      </c>
      <c r="R1691" s="19" t="str">
        <f>IFERROR(__xludf.DUMMYFUNCTION("""COMPUTED_VALUE"""),"ISLAM")</f>
        <v>ISLAM</v>
      </c>
      <c r="S1691" s="35" t="str">
        <f>IFERROR(__xludf.DUMMYFUNCTION("""COMPUTED_VALUE"""),"SWASTA")</f>
        <v>SWASTA</v>
      </c>
      <c r="T1691" s="16" t="str">
        <f>IFERROR(__xludf.DUMMYFUNCTION("""COMPUTED_VALUE"""),"DISLOKASI DIBAGIAN KELINGKING SEBELAH KANAN")</f>
        <v>DISLOKASI DIBAGIAN KELINGKING SEBELAH KANAN</v>
      </c>
      <c r="U1691" s="16" t="str">
        <f>IFERROR(__xludf.DUMMYFUNCTION("""COMPUTED_VALUE"""),"Tidak ada")</f>
        <v>Tidak ada</v>
      </c>
      <c r="V1691" s="11" t="str">
        <f>IFERROR(__xludf.DUMMYFUNCTION("""COMPUTED_VALUE"""),"089694128428")</f>
        <v>089694128428</v>
      </c>
      <c r="W1691" s="15"/>
    </row>
    <row r="1692" ht="22.5" customHeight="1">
      <c r="A1692" s="8"/>
      <c r="B1692" s="9">
        <f>IFERROR(__xludf.DUMMYFUNCTION("""COMPUTED_VALUE"""),45537.53626699074)</f>
        <v>45537.53627</v>
      </c>
      <c r="C1692" s="9"/>
      <c r="D1692" s="34">
        <f>IFERROR(__xludf.DUMMYFUNCTION("""COMPUTED_VALUE"""),45544.0)</f>
        <v>45544</v>
      </c>
      <c r="E1692" s="34" t="str">
        <f>IFERROR(__xludf.DUMMYFUNCTION("""COMPUTED_VALUE"""),"09Sep")</f>
        <v>09Sep</v>
      </c>
      <c r="F1692" s="34" t="str">
        <f>IFERROR(__xludf.DUMMYFUNCTION("""COMPUTED_VALUE"""),"2024")</f>
        <v>2024</v>
      </c>
      <c r="G1692" s="35" t="str">
        <f>IFERROR(__xludf.DUMMYFUNCTION("""COMPUTED_VALUE"""),"ENDANG MASRONI")</f>
        <v>ENDANG MASRONI</v>
      </c>
      <c r="H1692" s="17" t="str">
        <f>IFERROR(__xludf.DUMMYFUNCTION("""COMPUTED_VALUE"""),"E6824099926")</f>
        <v>E6824099926</v>
      </c>
      <c r="I1692" s="17">
        <f>IFERROR(__xludf.DUMMYFUNCTION("""COMPUTED_VALUE"""),57.0)</f>
        <v>57</v>
      </c>
      <c r="J1692" s="17" t="str">
        <f>IFERROR(__xludf.DUMMYFUNCTION("""COMPUTED_VALUE"""),"&gt; 44 tahun")</f>
        <v>&gt; 44 tahun</v>
      </c>
      <c r="K1692" s="19">
        <f>IFERROR(__xludf.DUMMYFUNCTION("""COMPUTED_VALUE"""),25048.0)</f>
        <v>25048</v>
      </c>
      <c r="L1692" s="19" t="str">
        <f>IFERROR(__xludf.DUMMYFUNCTION("""COMPUTED_VALUE"""),"LAKI-LAKI")</f>
        <v>LAKI-LAKI</v>
      </c>
      <c r="M1692" s="35" t="str">
        <f>IFERROR(__xludf.DUMMYFUNCTION("""COMPUTED_VALUE"""),"JALAN HM SUWIGNYO")</f>
        <v>JALAN HM SUWIGNYO</v>
      </c>
      <c r="N1692" s="16" t="str">
        <f>IFERROR(__xludf.DUMMYFUNCTION("""COMPUTED_VALUE"""),"KEL. SUNGAI JAWI")</f>
        <v>KEL. SUNGAI JAWI</v>
      </c>
      <c r="O1692" s="16" t="str">
        <f>IFERROR(__xludf.DUMMYFUNCTION("""COMPUTED_VALUE"""),"KEC. PONTIANAK KOTA")</f>
        <v>KEC. PONTIANAK KOTA</v>
      </c>
      <c r="P1692" s="16" t="str">
        <f>IFERROR(__xludf.DUMMYFUNCTION("""COMPUTED_VALUE"""),"KOTA PONTIANAK")</f>
        <v>KOTA PONTIANAK</v>
      </c>
      <c r="Q1692" s="16" t="str">
        <f>IFERROR(__xludf.DUMMYFUNCTION("""COMPUTED_VALUE"""),"KALIMANTAN BARAT")</f>
        <v>KALIMANTAN BARAT</v>
      </c>
      <c r="R1692" s="19" t="str">
        <f>IFERROR(__xludf.DUMMYFUNCTION("""COMPUTED_VALUE"""),"ISLAM")</f>
        <v>ISLAM</v>
      </c>
      <c r="S1692" s="35" t="str">
        <f>IFERROR(__xludf.DUMMYFUNCTION("""COMPUTED_VALUE"""),"SWASTA")</f>
        <v>SWASTA</v>
      </c>
      <c r="T1692" s="16" t="str">
        <f>IFERROR(__xludf.DUMMYFUNCTION("""COMPUTED_VALUE"""),"LENGAN KIRI NYERI OTOT")</f>
        <v>LENGAN KIRI NYERI OTOT</v>
      </c>
      <c r="U1692" s="16" t="str">
        <f>IFERROR(__xludf.DUMMYFUNCTION("""COMPUTED_VALUE"""),"Olah raga")</f>
        <v>Olah raga</v>
      </c>
      <c r="V1692" s="11" t="str">
        <f>IFERROR(__xludf.DUMMYFUNCTION("""COMPUTED_VALUE"""),"081258769926")</f>
        <v>081258769926</v>
      </c>
      <c r="W1692" s="15"/>
    </row>
    <row r="1693" ht="22.5" customHeight="1">
      <c r="A1693" s="8"/>
      <c r="B1693" s="9">
        <f>IFERROR(__xludf.DUMMYFUNCTION("""COMPUTED_VALUE"""),45537.72365219907)</f>
        <v>45537.72365</v>
      </c>
      <c r="C1693" s="9"/>
      <c r="D1693" s="34">
        <f>IFERROR(__xludf.DUMMYFUNCTION("""COMPUTED_VALUE"""),45544.0)</f>
        <v>45544</v>
      </c>
      <c r="E1693" s="34" t="str">
        <f>IFERROR(__xludf.DUMMYFUNCTION("""COMPUTED_VALUE"""),"09Sep")</f>
        <v>09Sep</v>
      </c>
      <c r="F1693" s="34" t="str">
        <f>IFERROR(__xludf.DUMMYFUNCTION("""COMPUTED_VALUE"""),"2024")</f>
        <v>2024</v>
      </c>
      <c r="G1693" s="35" t="str">
        <f>IFERROR(__xludf.DUMMYFUNCTION("""COMPUTED_VALUE"""),"EDY SUMANTO")</f>
        <v>EDY SUMANTO</v>
      </c>
      <c r="H1693" s="17" t="str">
        <f>IFERROR(__xludf.DUMMYFUNCTION("""COMPUTED_VALUE"""),"E9024090888")</f>
        <v>E9024090888</v>
      </c>
      <c r="I1693" s="17">
        <f>IFERROR(__xludf.DUMMYFUNCTION("""COMPUTED_VALUE"""),1937.0)</f>
        <v>1937</v>
      </c>
      <c r="J1693" s="17" t="str">
        <f>IFERROR(__xludf.DUMMYFUNCTION("""COMPUTED_VALUE"""),"&gt; 44 tahun")</f>
        <v>&gt; 44 tahun</v>
      </c>
      <c r="K1693" s="19">
        <f>IFERROR(__xludf.DUMMYFUNCTION("""COMPUTED_VALUE"""),-660978.0)</f>
        <v>-660978</v>
      </c>
      <c r="L1693" s="19" t="str">
        <f>IFERROR(__xludf.DUMMYFUNCTION("""COMPUTED_VALUE"""),"LAKI-LAKI")</f>
        <v>LAKI-LAKI</v>
      </c>
      <c r="M1693" s="35" t="str">
        <f>IFERROR(__xludf.DUMMYFUNCTION("""COMPUTED_VALUE"""),"JL PURNAMA ANGGREK 1 NO 7")</f>
        <v>JL PURNAMA ANGGREK 1 NO 7</v>
      </c>
      <c r="N1693" s="16" t="str">
        <f>IFERROR(__xludf.DUMMYFUNCTION("""COMPUTED_VALUE"""),"KEL. PARIT TOKAYA")</f>
        <v>KEL. PARIT TOKAYA</v>
      </c>
      <c r="O1693" s="16" t="str">
        <f>IFERROR(__xludf.DUMMYFUNCTION("""COMPUTED_VALUE"""),"KEC. PONTIANAK SELATAN")</f>
        <v>KEC. PONTIANAK SELATAN</v>
      </c>
      <c r="P1693" s="16" t="str">
        <f>IFERROR(__xludf.DUMMYFUNCTION("""COMPUTED_VALUE"""),"KOTA PONTIANAK")</f>
        <v>KOTA PONTIANAK</v>
      </c>
      <c r="Q1693" s="16" t="str">
        <f>IFERROR(__xludf.DUMMYFUNCTION("""COMPUTED_VALUE"""),"KALIMANTAN BARAT")</f>
        <v>KALIMANTAN BARAT</v>
      </c>
      <c r="R1693" s="19" t="str">
        <f>IFERROR(__xludf.DUMMYFUNCTION("""COMPUTED_VALUE"""),"KHONGHUCU")</f>
        <v>KHONGHUCU</v>
      </c>
      <c r="S1693" s="35" t="str">
        <f>IFERROR(__xludf.DUMMYFUNCTION("""COMPUTED_VALUE"""),"SWASTA")</f>
        <v>SWASTA</v>
      </c>
      <c r="T1693" s="36" t="str">
        <f>IFERROR(__xludf.DUMMYFUNCTION("""COMPUTED_VALUE"""),"SAKIT DIBAGIAN DAN BETIS SHABIS BERLARI SUDAH 2 MINGGUAN.. KALAU DIBAWA LARI SAKIT LG BETIS NYA SMUA")</f>
        <v>SAKIT DIBAGIAN DAN BETIS SHABIS BERLARI SUDAH 2 MINGGUAN.. KALAU DIBAWA LARI SAKIT LG BETIS NYA SMUA</v>
      </c>
      <c r="U1693" s="16" t="str">
        <f>IFERROR(__xludf.DUMMYFUNCTION("""COMPUTED_VALUE"""),"Lari")</f>
        <v>Lari</v>
      </c>
      <c r="V1693" s="11" t="str">
        <f>IFERROR(__xludf.DUMMYFUNCTION("""COMPUTED_VALUE"""),"085345050888")</f>
        <v>085345050888</v>
      </c>
      <c r="W1693" s="15"/>
    </row>
    <row r="1694" ht="22.5" customHeight="1">
      <c r="A1694" s="8"/>
      <c r="B1694" s="9">
        <f>IFERROR(__xludf.DUMMYFUNCTION("""COMPUTED_VALUE"""),45537.76332574074)</f>
        <v>45537.76333</v>
      </c>
      <c r="C1694" s="9"/>
      <c r="D1694" s="34">
        <f>IFERROR(__xludf.DUMMYFUNCTION("""COMPUTED_VALUE"""),45544.0)</f>
        <v>45544</v>
      </c>
      <c r="E1694" s="34" t="str">
        <f>IFERROR(__xludf.DUMMYFUNCTION("""COMPUTED_VALUE"""),"09Sep")</f>
        <v>09Sep</v>
      </c>
      <c r="F1694" s="34" t="str">
        <f>IFERROR(__xludf.DUMMYFUNCTION("""COMPUTED_VALUE"""),"2024")</f>
        <v>2024</v>
      </c>
      <c r="G1694" s="35" t="str">
        <f>IFERROR(__xludf.DUMMYFUNCTION("""COMPUTED_VALUE"""),"HENGKI KURNIAWAN")</f>
        <v>HENGKI KURNIAWAN</v>
      </c>
      <c r="H1694" s="17" t="str">
        <f>IFERROR(__xludf.DUMMYFUNCTION("""COMPUTED_VALUE"""),"H9624094749")</f>
        <v>H9624094749</v>
      </c>
      <c r="I1694" s="17">
        <f>IFERROR(__xludf.DUMMYFUNCTION("""COMPUTED_VALUE"""),30.0)</f>
        <v>30</v>
      </c>
      <c r="J1694" s="17" t="str">
        <f>IFERROR(__xludf.DUMMYFUNCTION("""COMPUTED_VALUE"""),"25-34 tahun")</f>
        <v>25-34 tahun</v>
      </c>
      <c r="K1694" s="19">
        <f>IFERROR(__xludf.DUMMYFUNCTION("""COMPUTED_VALUE"""),35152.0)</f>
        <v>35152</v>
      </c>
      <c r="L1694" s="19" t="str">
        <f>IFERROR(__xludf.DUMMYFUNCTION("""COMPUTED_VALUE"""),"LAKI-LAKI")</f>
        <v>LAKI-LAKI</v>
      </c>
      <c r="M1694" s="35" t="str">
        <f>IFERROR(__xludf.DUMMYFUNCTION("""COMPUTED_VALUE"""),"JL. PARIT MASIGI 1 KOMP. GRAHA KIRANA 6 NO. D5")</f>
        <v>JL. PARIT MASIGI 1 KOMP. GRAHA KIRANA 6 NO. D5</v>
      </c>
      <c r="N1694" s="16" t="str">
        <f>IFERROR(__xludf.DUMMYFUNCTION("""COMPUTED_VALUE"""),"DS. SUNGAI AMBAWANG KUALA")</f>
        <v>DS. SUNGAI AMBAWANG KUALA</v>
      </c>
      <c r="O1694" s="16" t="str">
        <f>IFERROR(__xludf.DUMMYFUNCTION("""COMPUTED_VALUE"""),"KEC. AMBAWANG KUALA")</f>
        <v>KEC. AMBAWANG KUALA</v>
      </c>
      <c r="P1694" s="16" t="str">
        <f>IFERROR(__xludf.DUMMYFUNCTION("""COMPUTED_VALUE"""),"KAB. KUBU RAYA")</f>
        <v>KAB. KUBU RAYA</v>
      </c>
      <c r="Q1694" s="16" t="str">
        <f>IFERROR(__xludf.DUMMYFUNCTION("""COMPUTED_VALUE"""),"KALIMANTAN BARAT")</f>
        <v>KALIMANTAN BARAT</v>
      </c>
      <c r="R1694" s="19" t="str">
        <f>IFERROR(__xludf.DUMMYFUNCTION("""COMPUTED_VALUE"""),"KATOLIK")</f>
        <v>KATOLIK</v>
      </c>
      <c r="S1694" s="16" t="str">
        <f>IFERROR(__xludf.DUMMYFUNCTION("""COMPUTED_VALUE"""),"SWASTA")</f>
        <v>SWASTA</v>
      </c>
      <c r="T1694" s="16" t="str">
        <f>IFERROR(__xludf.DUMMYFUNCTION("""COMPUTED_VALUE"""),"KAMI PENAT, SEPERTI TIDAK ADA RASA. AWAL KEJADIAN KESELEO SAAT MAIN BOLA")</f>
        <v>KAMI PENAT, SEPERTI TIDAK ADA RASA. AWAL KEJADIAN KESELEO SAAT MAIN BOLA</v>
      </c>
      <c r="U1694" s="16" t="str">
        <f>IFERROR(__xludf.DUMMYFUNCTION("""COMPUTED_VALUE"""),"Olahraga/Kerja ringan")</f>
        <v>Olahraga/Kerja ringan</v>
      </c>
      <c r="V1694" s="11" t="str">
        <f>IFERROR(__xludf.DUMMYFUNCTION("""COMPUTED_VALUE"""),"085246974749")</f>
        <v>085246974749</v>
      </c>
      <c r="W1694" s="15"/>
    </row>
    <row r="1695" ht="22.5" customHeight="1">
      <c r="A1695" s="8"/>
      <c r="B1695" s="9">
        <f>IFERROR(__xludf.DUMMYFUNCTION("""COMPUTED_VALUE"""),45538.59677771991)</f>
        <v>45538.59678</v>
      </c>
      <c r="C1695" s="9"/>
      <c r="D1695" s="34">
        <f>IFERROR(__xludf.DUMMYFUNCTION("""COMPUTED_VALUE"""),45545.0)</f>
        <v>45545</v>
      </c>
      <c r="E1695" s="34" t="str">
        <f>IFERROR(__xludf.DUMMYFUNCTION("""COMPUTED_VALUE"""),"09Sep")</f>
        <v>09Sep</v>
      </c>
      <c r="F1695" s="34" t="str">
        <f>IFERROR(__xludf.DUMMYFUNCTION("""COMPUTED_VALUE"""),"2024")</f>
        <v>2024</v>
      </c>
      <c r="G1695" s="35" t="str">
        <f>IFERROR(__xludf.DUMMYFUNCTION("""COMPUTED_VALUE"""),"CORDELIA QUEENNA LAI")</f>
        <v>CORDELIA QUEENNA LAI</v>
      </c>
      <c r="H1695" s="17" t="str">
        <f>IFERROR(__xludf.DUMMYFUNCTION("""COMPUTED_VALUE"""),"C0324094226")</f>
        <v>C0324094226</v>
      </c>
      <c r="I1695" s="17">
        <f>IFERROR(__xludf.DUMMYFUNCTION("""COMPUTED_VALUE"""),22.0)</f>
        <v>22</v>
      </c>
      <c r="J1695" s="17" t="str">
        <f>IFERROR(__xludf.DUMMYFUNCTION("""COMPUTED_VALUE"""),"18-24 tahun")</f>
        <v>18-24 tahun</v>
      </c>
      <c r="K1695" s="19">
        <f>IFERROR(__xludf.DUMMYFUNCTION("""COMPUTED_VALUE"""),37902.0)</f>
        <v>37902</v>
      </c>
      <c r="L1695" s="19" t="str">
        <f>IFERROR(__xludf.DUMMYFUNCTION("""COMPUTED_VALUE"""),"PEREMPUAN")</f>
        <v>PEREMPUAN</v>
      </c>
      <c r="M1695" s="35" t="str">
        <f>IFERROR(__xludf.DUMMYFUNCTION("""COMPUTED_VALUE"""),"JLN MERDEKA BODOK NO 40")</f>
        <v>JLN MERDEKA BODOK NO 40</v>
      </c>
      <c r="N1695" s="16" t="str">
        <f>IFERROR(__xludf.DUMMYFUNCTION("""COMPUTED_VALUE"""),"DS. PUSAT DAMAI")</f>
        <v>DS. PUSAT DAMAI</v>
      </c>
      <c r="O1695" s="16" t="str">
        <f>IFERROR(__xludf.DUMMYFUNCTION("""COMPUTED_VALUE"""),"KEC. PARINDU")</f>
        <v>KEC. PARINDU</v>
      </c>
      <c r="P1695" s="16" t="str">
        <f>IFERROR(__xludf.DUMMYFUNCTION("""COMPUTED_VALUE"""),"KAB. SANGGAU")</f>
        <v>KAB. SANGGAU</v>
      </c>
      <c r="Q1695" s="16" t="str">
        <f>IFERROR(__xludf.DUMMYFUNCTION("""COMPUTED_VALUE"""),"KALIMANTAN BARAT")</f>
        <v>KALIMANTAN BARAT</v>
      </c>
      <c r="R1695" s="19" t="str">
        <f>IFERROR(__xludf.DUMMYFUNCTION("""COMPUTED_VALUE"""),"PROTESTAN")</f>
        <v>PROTESTAN</v>
      </c>
      <c r="S1695" s="16" t="str">
        <f>IFERROR(__xludf.DUMMYFUNCTION("""COMPUTED_VALUE"""),"PELAJAR/MAHASISWA")</f>
        <v>PELAJAR/MAHASISWA</v>
      </c>
      <c r="T1695" s="16" t="str">
        <f>IFERROR(__xludf.DUMMYFUNCTION("""COMPUTED_VALUE"""),"ANKLE")</f>
        <v>ANKLE</v>
      </c>
      <c r="U1695" s="16" t="str">
        <f>IFERROR(__xludf.DUMMYFUNCTION("""COMPUTED_VALUE"""),"Hobi badminton, aktivitas sehari"" kuliah")</f>
        <v>Hobi badminton, aktivitas sehari" kuliah</v>
      </c>
      <c r="V1695" s="11" t="str">
        <f>IFERROR(__xludf.DUMMYFUNCTION("""COMPUTED_VALUE"""),"085346944226")</f>
        <v>085346944226</v>
      </c>
      <c r="W1695" s="15"/>
    </row>
    <row r="1696" ht="22.5" customHeight="1">
      <c r="A1696" s="8"/>
      <c r="B1696" s="9">
        <f>IFERROR(__xludf.DUMMYFUNCTION("""COMPUTED_VALUE"""),45537.589214884254)</f>
        <v>45537.58921</v>
      </c>
      <c r="C1696" s="9"/>
      <c r="D1696" s="34">
        <f>IFERROR(__xludf.DUMMYFUNCTION("""COMPUTED_VALUE"""),45545.0)</f>
        <v>45545</v>
      </c>
      <c r="E1696" s="34" t="str">
        <f>IFERROR(__xludf.DUMMYFUNCTION("""COMPUTED_VALUE"""),"09Sep")</f>
        <v>09Sep</v>
      </c>
      <c r="F1696" s="34" t="str">
        <f>IFERROR(__xludf.DUMMYFUNCTION("""COMPUTED_VALUE"""),"2024")</f>
        <v>2024</v>
      </c>
      <c r="G1696" s="35" t="str">
        <f>IFERROR(__xludf.DUMMYFUNCTION("""COMPUTED_VALUE"""),"LATIFAH")</f>
        <v>LATIFAH</v>
      </c>
      <c r="H1696" s="17" t="str">
        <f>IFERROR(__xludf.DUMMYFUNCTION("""COMPUTED_VALUE"""),"L6824098333")</f>
        <v>L6824098333</v>
      </c>
      <c r="I1696" s="17">
        <f>IFERROR(__xludf.DUMMYFUNCTION("""COMPUTED_VALUE"""),57.0)</f>
        <v>57</v>
      </c>
      <c r="J1696" s="17" t="str">
        <f>IFERROR(__xludf.DUMMYFUNCTION("""COMPUTED_VALUE"""),"&gt; 44 tahun")</f>
        <v>&gt; 44 tahun</v>
      </c>
      <c r="K1696" s="19">
        <f>IFERROR(__xludf.DUMMYFUNCTION("""COMPUTED_VALUE"""),25063.0)</f>
        <v>25063</v>
      </c>
      <c r="L1696" s="19" t="str">
        <f>IFERROR(__xludf.DUMMYFUNCTION("""COMPUTED_VALUE"""),"PEREMPUAN")</f>
        <v>PEREMPUAN</v>
      </c>
      <c r="M1696" s="35" t="str">
        <f>IFERROR(__xludf.DUMMYFUNCTION("""COMPUTED_VALUE"""),"JL. SUNGAI RAYA DALAM KOMP. SRIKANDI A40")</f>
        <v>JL. SUNGAI RAYA DALAM KOMP. SRIKANDI A40</v>
      </c>
      <c r="N1696" s="16" t="str">
        <f>IFERROR(__xludf.DUMMYFUNCTION("""COMPUTED_VALUE"""),"KEL. SUNGAI RAYA DALAM")</f>
        <v>KEL. SUNGAI RAYA DALAM</v>
      </c>
      <c r="O1696" s="16" t="str">
        <f>IFERROR(__xludf.DUMMYFUNCTION("""COMPUTED_VALUE"""),"KEC. SUNGAI RAYA")</f>
        <v>KEC. SUNGAI RAYA</v>
      </c>
      <c r="P1696" s="16" t="str">
        <f>IFERROR(__xludf.DUMMYFUNCTION("""COMPUTED_VALUE"""),"KAB. KUBU RAYA")</f>
        <v>KAB. KUBU RAYA</v>
      </c>
      <c r="Q1696" s="16" t="str">
        <f>IFERROR(__xludf.DUMMYFUNCTION("""COMPUTED_VALUE"""),"KALIMANTAN BARAT")</f>
        <v>KALIMANTAN BARAT</v>
      </c>
      <c r="R1696" s="19" t="str">
        <f>IFERROR(__xludf.DUMMYFUNCTION("""COMPUTED_VALUE"""),"ISLAM")</f>
        <v>ISLAM</v>
      </c>
      <c r="S1696" s="16" t="str">
        <f>IFERROR(__xludf.DUMMYFUNCTION("""COMPUTED_VALUE"""),"ASN")</f>
        <v>ASN</v>
      </c>
      <c r="T1696" s="16" t="str">
        <f>IFERROR(__xludf.DUMMYFUNCTION("""COMPUTED_VALUE"""),"SAKIT PINGGANG KIRI KE BAWAH")</f>
        <v>SAKIT PINGGANG KIRI KE BAWAH</v>
      </c>
      <c r="U1696" s="16" t="str">
        <f>IFERROR(__xludf.DUMMYFUNCTION("""COMPUTED_VALUE"""),"-")</f>
        <v>-</v>
      </c>
      <c r="V1696" s="11" t="str">
        <f>IFERROR(__xludf.DUMMYFUNCTION("""COMPUTED_VALUE"""),"085245918333")</f>
        <v>085245918333</v>
      </c>
      <c r="W1696" s="15"/>
    </row>
    <row r="1697" ht="22.5" customHeight="1">
      <c r="A1697" s="8"/>
      <c r="B1697" s="9">
        <f>IFERROR(__xludf.DUMMYFUNCTION("""COMPUTED_VALUE"""),45538.707831990745)</f>
        <v>45538.70783</v>
      </c>
      <c r="C1697" s="9"/>
      <c r="D1697" s="34">
        <f>IFERROR(__xludf.DUMMYFUNCTION("""COMPUTED_VALUE"""),45545.0)</f>
        <v>45545</v>
      </c>
      <c r="E1697" s="34" t="str">
        <f>IFERROR(__xludf.DUMMYFUNCTION("""COMPUTED_VALUE"""),"09Sep")</f>
        <v>09Sep</v>
      </c>
      <c r="F1697" s="34" t="str">
        <f>IFERROR(__xludf.DUMMYFUNCTION("""COMPUTED_VALUE"""),"2024")</f>
        <v>2024</v>
      </c>
      <c r="G1697" s="35" t="str">
        <f>IFERROR(__xludf.DUMMYFUNCTION("""COMPUTED_VALUE"""),"TURMIATI")</f>
        <v>TURMIATI</v>
      </c>
      <c r="H1697" s="17" t="str">
        <f>IFERROR(__xludf.DUMMYFUNCTION("""COMPUTED_VALUE"""),"T7124094030")</f>
        <v>T7124094030</v>
      </c>
      <c r="I1697" s="17">
        <f>IFERROR(__xludf.DUMMYFUNCTION("""COMPUTED_VALUE"""),54.0)</f>
        <v>54</v>
      </c>
      <c r="J1697" s="17" t="str">
        <f>IFERROR(__xludf.DUMMYFUNCTION("""COMPUTED_VALUE"""),"&gt; 44 tahun")</f>
        <v>&gt; 44 tahun</v>
      </c>
      <c r="K1697" s="19">
        <f>IFERROR(__xludf.DUMMYFUNCTION("""COMPUTED_VALUE"""),26120.0)</f>
        <v>26120</v>
      </c>
      <c r="L1697" s="19" t="str">
        <f>IFERROR(__xludf.DUMMYFUNCTION("""COMPUTED_VALUE"""),"PEREMPUAN")</f>
        <v>PEREMPUAN</v>
      </c>
      <c r="M1697" s="35" t="str">
        <f>IFERROR(__xludf.DUMMYFUNCTION("""COMPUTED_VALUE"""),"JL. P. NATAKUSUMA GG.KELUARGA NO 67 4/21")</f>
        <v>JL. P. NATAKUSUMA GG.KELUARGA NO 67 4/21</v>
      </c>
      <c r="N1697" s="16" t="str">
        <f>IFERROR(__xludf.DUMMYFUNCTION("""COMPUTED_VALUE"""),"KEL. SUNGAI JAWI")</f>
        <v>KEL. SUNGAI JAWI</v>
      </c>
      <c r="O1697" s="16" t="str">
        <f>IFERROR(__xludf.DUMMYFUNCTION("""COMPUTED_VALUE"""),"KEC. PONTIANAK KOTA")</f>
        <v>KEC. PONTIANAK KOTA</v>
      </c>
      <c r="P1697" s="16" t="str">
        <f>IFERROR(__xludf.DUMMYFUNCTION("""COMPUTED_VALUE"""),"KOTA PONTIANAK")</f>
        <v>KOTA PONTIANAK</v>
      </c>
      <c r="Q1697" s="16" t="str">
        <f>IFERROR(__xludf.DUMMYFUNCTION("""COMPUTED_VALUE"""),"KALIMANTAN BARAT")</f>
        <v>KALIMANTAN BARAT</v>
      </c>
      <c r="R1697" s="19" t="str">
        <f>IFERROR(__xludf.DUMMYFUNCTION("""COMPUTED_VALUE"""),"ISLAM")</f>
        <v>ISLAM</v>
      </c>
      <c r="S1697" s="16" t="str">
        <f>IFERROR(__xludf.DUMMYFUNCTION("""COMPUTED_VALUE"""),"RUMAH TANGGA")</f>
        <v>RUMAH TANGGA</v>
      </c>
      <c r="T1697" s="16" t="str">
        <f>IFERROR(__xludf.DUMMYFUNCTION("""COMPUTED_VALUE"""),"KESULITAN MENEKUK")</f>
        <v>KESULITAN MENEKUK</v>
      </c>
      <c r="U1697" s="16" t="str">
        <f>IFERROR(__xludf.DUMMYFUNCTION("""COMPUTED_VALUE"""),"IRT")</f>
        <v>IRT</v>
      </c>
      <c r="V1697" s="11" t="str">
        <f>IFERROR(__xludf.DUMMYFUNCTION("""COMPUTED_VALUE"""),"089507584030")</f>
        <v>089507584030</v>
      </c>
      <c r="W1697" s="15"/>
    </row>
    <row r="1698" ht="22.5" customHeight="1">
      <c r="A1698" s="8"/>
      <c r="B1698" s="9">
        <f>IFERROR(__xludf.DUMMYFUNCTION("""COMPUTED_VALUE"""),45538.716409444445)</f>
        <v>45538.71641</v>
      </c>
      <c r="C1698" s="9"/>
      <c r="D1698" s="34">
        <f>IFERROR(__xludf.DUMMYFUNCTION("""COMPUTED_VALUE"""),45545.0)</f>
        <v>45545</v>
      </c>
      <c r="E1698" s="34" t="str">
        <f>IFERROR(__xludf.DUMMYFUNCTION("""COMPUTED_VALUE"""),"09Sep")</f>
        <v>09Sep</v>
      </c>
      <c r="F1698" s="34" t="str">
        <f>IFERROR(__xludf.DUMMYFUNCTION("""COMPUTED_VALUE"""),"2024")</f>
        <v>2024</v>
      </c>
      <c r="G1698" s="35" t="str">
        <f>IFERROR(__xludf.DUMMYFUNCTION("""COMPUTED_VALUE"""),"HIZKIA SHANDIKA GABRIEL")</f>
        <v>HIZKIA SHANDIKA GABRIEL</v>
      </c>
      <c r="H1698" s="17" t="str">
        <f>IFERROR(__xludf.DUMMYFUNCTION("""COMPUTED_VALUE"""),"H0624094112")</f>
        <v>H0624094112</v>
      </c>
      <c r="I1698" s="17">
        <f>IFERROR(__xludf.DUMMYFUNCTION("""COMPUTED_VALUE"""),19.0)</f>
        <v>19</v>
      </c>
      <c r="J1698" s="17" t="str">
        <f>IFERROR(__xludf.DUMMYFUNCTION("""COMPUTED_VALUE"""),"18-24 tahun")</f>
        <v>18-24 tahun</v>
      </c>
      <c r="K1698" s="19">
        <f>IFERROR(__xludf.DUMMYFUNCTION("""COMPUTED_VALUE"""),39021.0)</f>
        <v>39021</v>
      </c>
      <c r="L1698" s="19" t="str">
        <f>IFERROR(__xludf.DUMMYFUNCTION("""COMPUTED_VALUE"""),"LAKI-LAKI")</f>
        <v>LAKI-LAKI</v>
      </c>
      <c r="M1698" s="35" t="str">
        <f>IFERROR(__xludf.DUMMYFUNCTION("""COMPUTED_VALUE"""),"JALAN HARAPAN")</f>
        <v>JALAN HARAPAN</v>
      </c>
      <c r="N1698" s="16" t="str">
        <f>IFERROR(__xludf.DUMMYFUNCTION("""COMPUTED_VALUE"""),"KEL. ANJUNGAN DALAM")</f>
        <v>KEL. ANJUNGAN DALAM</v>
      </c>
      <c r="O1698" s="16" t="str">
        <f>IFERROR(__xludf.DUMMYFUNCTION("""COMPUTED_VALUE"""),"KEC. ANJONGAN")</f>
        <v>KEC. ANJONGAN</v>
      </c>
      <c r="P1698" s="16" t="str">
        <f>IFERROR(__xludf.DUMMYFUNCTION("""COMPUTED_VALUE"""),"KAB. MEMPAWAH")</f>
        <v>KAB. MEMPAWAH</v>
      </c>
      <c r="Q1698" s="16" t="str">
        <f>IFERROR(__xludf.DUMMYFUNCTION("""COMPUTED_VALUE"""),"KALIMANTAN BARAT")</f>
        <v>KALIMANTAN BARAT</v>
      </c>
      <c r="R1698" s="19" t="str">
        <f>IFERROR(__xludf.DUMMYFUNCTION("""COMPUTED_VALUE"""),"PROTESTAN")</f>
        <v>PROTESTAN</v>
      </c>
      <c r="S1698" s="16" t="str">
        <f>IFERROR(__xludf.DUMMYFUNCTION("""COMPUTED_VALUE"""),"PELAJAR/MAHASISWA")</f>
        <v>PELAJAR/MAHASISWA</v>
      </c>
      <c r="T1698" s="16" t="str">
        <f>IFERROR(__xludf.DUMMYFUNCTION("""COMPUTED_VALUE"""),"KAKI X DAN KAKI BEBEK")</f>
        <v>KAKI X DAN KAKI BEBEK</v>
      </c>
      <c r="U1698" s="16" t="str">
        <f>IFERROR(__xludf.DUMMYFUNCTION("""COMPUTED_VALUE"""),"Main bola")</f>
        <v>Main bola</v>
      </c>
      <c r="V1698" s="11" t="str">
        <f>IFERROR(__xludf.DUMMYFUNCTION("""COMPUTED_VALUE"""),"089529334112")</f>
        <v>089529334112</v>
      </c>
      <c r="W1698" s="15"/>
    </row>
    <row r="1699" ht="22.5" customHeight="1">
      <c r="A1699" s="8"/>
      <c r="B1699" s="9">
        <f>IFERROR(__xludf.DUMMYFUNCTION("""COMPUTED_VALUE"""),45538.49959148148)</f>
        <v>45538.49959</v>
      </c>
      <c r="C1699" s="9"/>
      <c r="D1699" s="10">
        <f>IFERROR(__xludf.DUMMYFUNCTION("""COMPUTED_VALUE"""),45546.0)</f>
        <v>45546</v>
      </c>
      <c r="E1699" s="10" t="str">
        <f>IFERROR(__xludf.DUMMYFUNCTION("""COMPUTED_VALUE"""),"09Sep")</f>
        <v>09Sep</v>
      </c>
      <c r="F1699" s="10" t="str">
        <f>IFERROR(__xludf.DUMMYFUNCTION("""COMPUTED_VALUE"""),"2024")</f>
        <v>2024</v>
      </c>
      <c r="G1699" s="35" t="str">
        <f>IFERROR(__xludf.DUMMYFUNCTION("""COMPUTED_VALUE"""),"RIDWANSYAH WD")</f>
        <v>RIDWANSYAH WD</v>
      </c>
      <c r="H1699" s="17" t="str">
        <f>IFERROR(__xludf.DUMMYFUNCTION("""COMPUTED_VALUE"""),"R8324091505")</f>
        <v>R8324091505</v>
      </c>
      <c r="I1699" s="17">
        <f>IFERROR(__xludf.DUMMYFUNCTION("""COMPUTED_VALUE"""),42.0)</f>
        <v>42</v>
      </c>
      <c r="J1699" s="17" t="str">
        <f>IFERROR(__xludf.DUMMYFUNCTION("""COMPUTED_VALUE"""),"35-44 tahun")</f>
        <v>35-44 tahun</v>
      </c>
      <c r="K1699" s="19">
        <f>IFERROR(__xludf.DUMMYFUNCTION("""COMPUTED_VALUE"""),30580.0)</f>
        <v>30580</v>
      </c>
      <c r="L1699" s="19" t="str">
        <f>IFERROR(__xludf.DUMMYFUNCTION("""COMPUTED_VALUE"""),"LAKI-LAKI")</f>
        <v>LAKI-LAKI</v>
      </c>
      <c r="M1699" s="35" t="str">
        <f>IFERROR(__xludf.DUMMYFUNCTION("""COMPUTED_VALUE"""),"JL APEL GANG TIMUN 2 NO 06")</f>
        <v>JL APEL GANG TIMUN 2 NO 06</v>
      </c>
      <c r="N1699" s="16" t="str">
        <f>IFERROR(__xludf.DUMMYFUNCTION("""COMPUTED_VALUE"""),"KEL. SUNGAI JAWI LUAR")</f>
        <v>KEL. SUNGAI JAWI LUAR</v>
      </c>
      <c r="O1699" s="16" t="str">
        <f>IFERROR(__xludf.DUMMYFUNCTION("""COMPUTED_VALUE"""),"KEC. PONTIANAK BARAT")</f>
        <v>KEC. PONTIANAK BARAT</v>
      </c>
      <c r="P1699" s="16" t="str">
        <f>IFERROR(__xludf.DUMMYFUNCTION("""COMPUTED_VALUE"""),"KOTA PONTIANAK")</f>
        <v>KOTA PONTIANAK</v>
      </c>
      <c r="Q1699" s="16" t="str">
        <f>IFERROR(__xludf.DUMMYFUNCTION("""COMPUTED_VALUE"""),"KALIMANTAN BARAT")</f>
        <v>KALIMANTAN BARAT</v>
      </c>
      <c r="R1699" s="19" t="str">
        <f>IFERROR(__xludf.DUMMYFUNCTION("""COMPUTED_VALUE"""),"ISLAM")</f>
        <v>ISLAM</v>
      </c>
      <c r="S1699" s="35" t="str">
        <f>IFERROR(__xludf.DUMMYFUNCTION("""COMPUTED_VALUE"""),"SWASTA")</f>
        <v>SWASTA</v>
      </c>
      <c r="T1699" s="36" t="str">
        <f>IFERROR(__xludf.DUMMYFUNCTION("""COMPUTED_VALUE"""),"NYERI DAN KEBAS DI BAHU DAN TANGAN SEBELAH KANAN")</f>
        <v>NYERI DAN KEBAS DI BAHU DAN TANGAN SEBELAH KANAN</v>
      </c>
      <c r="U1699" s="16" t="str">
        <f>IFERROR(__xludf.DUMMYFUNCTION("""COMPUTED_VALUE"""),"Selalu menggunakan PC/Laptop, Mouse, dan keyboard dalam bekerja")</f>
        <v>Selalu menggunakan PC/Laptop, Mouse, dan keyboard dalam bekerja</v>
      </c>
      <c r="V1699" s="11" t="str">
        <f>IFERROR(__xludf.DUMMYFUNCTION("""COMPUTED_VALUE"""),"082361551505")</f>
        <v>082361551505</v>
      </c>
      <c r="W1699" s="15"/>
    </row>
    <row r="1700" ht="22.5" customHeight="1">
      <c r="A1700" s="8"/>
      <c r="B1700" s="9">
        <f>IFERROR(__xludf.DUMMYFUNCTION("""COMPUTED_VALUE"""),45538.50090756944)</f>
        <v>45538.50091</v>
      </c>
      <c r="C1700" s="9"/>
      <c r="D1700" s="34">
        <f>IFERROR(__xludf.DUMMYFUNCTION("""COMPUTED_VALUE"""),45546.0)</f>
        <v>45546</v>
      </c>
      <c r="E1700" s="34" t="str">
        <f>IFERROR(__xludf.DUMMYFUNCTION("""COMPUTED_VALUE"""),"09Sep")</f>
        <v>09Sep</v>
      </c>
      <c r="F1700" s="34" t="str">
        <f>IFERROR(__xludf.DUMMYFUNCTION("""COMPUTED_VALUE"""),"2024")</f>
        <v>2024</v>
      </c>
      <c r="G1700" s="16" t="str">
        <f>IFERROR(__xludf.DUMMYFUNCTION("""COMPUTED_VALUE"""),"SUMIATI SUTONO")</f>
        <v>SUMIATI SUTONO</v>
      </c>
      <c r="H1700" s="17" t="str">
        <f>IFERROR(__xludf.DUMMYFUNCTION("""COMPUTED_VALUE"""),"S6424093373")</f>
        <v>S6424093373</v>
      </c>
      <c r="I1700" s="17">
        <f>IFERROR(__xludf.DUMMYFUNCTION("""COMPUTED_VALUE"""),61.0)</f>
        <v>61</v>
      </c>
      <c r="J1700" s="17" t="str">
        <f>IFERROR(__xludf.DUMMYFUNCTION("""COMPUTED_VALUE"""),"&gt; 44 tahun")</f>
        <v>&gt; 44 tahun</v>
      </c>
      <c r="K1700" s="19">
        <f>IFERROR(__xludf.DUMMYFUNCTION("""COMPUTED_VALUE"""),23635.0)</f>
        <v>23635</v>
      </c>
      <c r="L1700" s="19" t="str">
        <f>IFERROR(__xludf.DUMMYFUNCTION("""COMPUTED_VALUE"""),"PEREMPUAN")</f>
        <v>PEREMPUAN</v>
      </c>
      <c r="M1700" s="35" t="str">
        <f>IFERROR(__xludf.DUMMYFUNCTION("""COMPUTED_VALUE"""),"JL TANJUNGPURA GG SUEZ NO 102")</f>
        <v>JL TANJUNGPURA GG SUEZ NO 102</v>
      </c>
      <c r="N1700" s="16" t="str">
        <f>IFERROR(__xludf.DUMMYFUNCTION("""COMPUTED_VALUE"""),"KEL. BENUA MELAYU DARAT")</f>
        <v>KEL. BENUA MELAYU DARAT</v>
      </c>
      <c r="O1700" s="16" t="str">
        <f>IFERROR(__xludf.DUMMYFUNCTION("""COMPUTED_VALUE"""),"KEC. PONTIANAK SELATAN")</f>
        <v>KEC. PONTIANAK SELATAN</v>
      </c>
      <c r="P1700" s="16" t="str">
        <f>IFERROR(__xludf.DUMMYFUNCTION("""COMPUTED_VALUE"""),"KOTA PONTIANAK")</f>
        <v>KOTA PONTIANAK</v>
      </c>
      <c r="Q1700" s="16" t="str">
        <f>IFERROR(__xludf.DUMMYFUNCTION("""COMPUTED_VALUE"""),"KALIMANTAN BARAT")</f>
        <v>KALIMANTAN BARAT</v>
      </c>
      <c r="R1700" s="19" t="str">
        <f>IFERROR(__xludf.DUMMYFUNCTION("""COMPUTED_VALUE"""),"KATOLIK")</f>
        <v>KATOLIK</v>
      </c>
      <c r="S1700" s="16" t="str">
        <f>IFERROR(__xludf.DUMMYFUNCTION("""COMPUTED_VALUE"""),"RUMAH TANGGA")</f>
        <v>RUMAH TANGGA</v>
      </c>
      <c r="T1700" s="16" t="str">
        <f>IFERROR(__xludf.DUMMYFUNCTION("""COMPUTED_VALUE"""),"TANGAN KIRI KAKU, SULIT DI ANGKAT DAN PEGAL2 DI LENGAN")</f>
        <v>TANGAN KIRI KAKU, SULIT DI ANGKAT DAN PEGAL2 DI LENGAN</v>
      </c>
      <c r="U1700" s="16" t="str">
        <f>IFERROR(__xludf.DUMMYFUNCTION("""COMPUTED_VALUE"""),"Pekerjaan rumah tangga")</f>
        <v>Pekerjaan rumah tangga</v>
      </c>
      <c r="V1700" s="11" t="str">
        <f>IFERROR(__xludf.DUMMYFUNCTION("""COMPUTED_VALUE"""),"089603123373")</f>
        <v>089603123373</v>
      </c>
      <c r="W1700" s="15"/>
    </row>
    <row r="1701" ht="22.5" customHeight="1">
      <c r="A1701" s="8"/>
      <c r="B1701" s="9">
        <f>IFERROR(__xludf.DUMMYFUNCTION("""COMPUTED_VALUE"""),45539.40907739583)</f>
        <v>45539.40908</v>
      </c>
      <c r="C1701" s="9"/>
      <c r="D1701" s="34">
        <f>IFERROR(__xludf.DUMMYFUNCTION("""COMPUTED_VALUE"""),45546.842267835644)</f>
        <v>45546.84227</v>
      </c>
      <c r="E1701" s="34" t="str">
        <f>IFERROR(__xludf.DUMMYFUNCTION("""COMPUTED_VALUE"""),"09Sep")</f>
        <v>09Sep</v>
      </c>
      <c r="F1701" s="34" t="str">
        <f>IFERROR(__xludf.DUMMYFUNCTION("""COMPUTED_VALUE"""),"2024")</f>
        <v>2024</v>
      </c>
      <c r="G1701" s="35" t="str">
        <f>IFERROR(__xludf.DUMMYFUNCTION("""COMPUTED_VALUE"""),"MIRACLLE FREDI")</f>
        <v>MIRACLLE FREDI</v>
      </c>
      <c r="H1701" s="17" t="str">
        <f>IFERROR(__xludf.DUMMYFUNCTION("""COMPUTED_VALUE"""),"M9824096777")</f>
        <v>M9824096777</v>
      </c>
      <c r="I1701" s="17">
        <f>IFERROR(__xludf.DUMMYFUNCTION("""COMPUTED_VALUE"""),27.0)</f>
        <v>27</v>
      </c>
      <c r="J1701" s="17" t="str">
        <f>IFERROR(__xludf.DUMMYFUNCTION("""COMPUTED_VALUE"""),"25-34 tahun")</f>
        <v>25-34 tahun</v>
      </c>
      <c r="K1701" s="19">
        <f>IFERROR(__xludf.DUMMYFUNCTION("""COMPUTED_VALUE"""),36136.0)</f>
        <v>36136</v>
      </c>
      <c r="L1701" s="19" t="str">
        <f>IFERROR(__xludf.DUMMYFUNCTION("""COMPUTED_VALUE"""),"LAKI-LAKI")</f>
        <v>LAKI-LAKI</v>
      </c>
      <c r="M1701" s="35" t="str">
        <f>IFERROR(__xludf.DUMMYFUNCTION("""COMPUTED_VALUE"""),"SERSAM")</f>
        <v>SERSAM</v>
      </c>
      <c r="N1701" s="16" t="str">
        <f>IFERROR(__xludf.DUMMYFUNCTION("""COMPUTED_VALUE"""),"KEL. SUNGAI RAYA DALAM")</f>
        <v>KEL. SUNGAI RAYA DALAM</v>
      </c>
      <c r="O1701" s="16" t="str">
        <f>IFERROR(__xludf.DUMMYFUNCTION("""COMPUTED_VALUE"""),"KEC. SUNGAI RAYA")</f>
        <v>KEC. SUNGAI RAYA</v>
      </c>
      <c r="P1701" s="16" t="str">
        <f>IFERROR(__xludf.DUMMYFUNCTION("""COMPUTED_VALUE"""),"KAB. KUBU RAYA")</f>
        <v>KAB. KUBU RAYA</v>
      </c>
      <c r="Q1701" s="16" t="str">
        <f>IFERROR(__xludf.DUMMYFUNCTION("""COMPUTED_VALUE"""),"KALIMANTAN BARAT")</f>
        <v>KALIMANTAN BARAT</v>
      </c>
      <c r="R1701" s="19" t="str">
        <f>IFERROR(__xludf.DUMMYFUNCTION("""COMPUTED_VALUE"""),"KATOLIK")</f>
        <v>KATOLIK</v>
      </c>
      <c r="S1701" s="16" t="str">
        <f>IFERROR(__xludf.DUMMYFUNCTION("""COMPUTED_VALUE"""),"PELAJAR/MAHASISWA")</f>
        <v>PELAJAR/MAHASISWA</v>
      </c>
      <c r="T1701" s="16" t="str">
        <f>IFERROR(__xludf.DUMMYFUNCTION("""COMPUTED_VALUE"""),"JARI ULTRA SOUND")</f>
        <v>JARI ULTRA SOUND</v>
      </c>
      <c r="U1701" s="16" t="str">
        <f>IFERROR(__xludf.DUMMYFUNCTION("""COMPUTED_VALUE"""),"Gym")</f>
        <v>Gym</v>
      </c>
      <c r="V1701" s="11" t="str">
        <f>IFERROR(__xludf.DUMMYFUNCTION("""COMPUTED_VALUE"""),"08116336777")</f>
        <v>08116336777</v>
      </c>
      <c r="W1701" s="15"/>
    </row>
    <row r="1702" ht="22.5" customHeight="1">
      <c r="A1702" s="28"/>
      <c r="B1702" s="9">
        <f>IFERROR(__xludf.DUMMYFUNCTION("""COMPUTED_VALUE"""),45539.38999643519)</f>
        <v>45539.39</v>
      </c>
      <c r="C1702" s="9"/>
      <c r="D1702" s="34">
        <f>IFERROR(__xludf.DUMMYFUNCTION("""COMPUTED_VALUE"""),45547.0)</f>
        <v>45547</v>
      </c>
      <c r="E1702" s="34" t="str">
        <f>IFERROR(__xludf.DUMMYFUNCTION("""COMPUTED_VALUE"""),"09Sep")</f>
        <v>09Sep</v>
      </c>
      <c r="F1702" s="34" t="str">
        <f>IFERROR(__xludf.DUMMYFUNCTION("""COMPUTED_VALUE"""),"2024")</f>
        <v>2024</v>
      </c>
      <c r="G1702" s="35" t="str">
        <f>IFERROR(__xludf.DUMMYFUNCTION("""COMPUTED_VALUE"""),"IBNU HABIB SHETA ADHIPRAYA")</f>
        <v>IBNU HABIB SHETA ADHIPRAYA</v>
      </c>
      <c r="H1702" s="17" t="str">
        <f>IFERROR(__xludf.DUMMYFUNCTION("""COMPUTED_VALUE"""),"I0424090618")</f>
        <v>I0424090618</v>
      </c>
      <c r="I1702" s="17">
        <f>IFERROR(__xludf.DUMMYFUNCTION("""COMPUTED_VALUE"""),21.0)</f>
        <v>21</v>
      </c>
      <c r="J1702" s="17" t="str">
        <f>IFERROR(__xludf.DUMMYFUNCTION("""COMPUTED_VALUE"""),"18-24 tahun")</f>
        <v>18-24 tahun</v>
      </c>
      <c r="K1702" s="19">
        <f>IFERROR(__xludf.DUMMYFUNCTION("""COMPUTED_VALUE"""),38195.0)</f>
        <v>38195</v>
      </c>
      <c r="L1702" s="19" t="str">
        <f>IFERROR(__xludf.DUMMYFUNCTION("""COMPUTED_VALUE"""),"LAKI-LAKI")</f>
        <v>LAKI-LAKI</v>
      </c>
      <c r="M1702" s="35" t="str">
        <f>IFERROR(__xludf.DUMMYFUNCTION("""COMPUTED_VALUE"""),"JL.KINIBALU NO 114")</f>
        <v>JL.KINIBALU NO 114</v>
      </c>
      <c r="N1702" s="16" t="str">
        <f>IFERROR(__xludf.DUMMYFUNCTION("""COMPUTED_VALUE"""),"KEL. TANJUNG KAPUAS")</f>
        <v>KEL. TANJUNG KAPUAS</v>
      </c>
      <c r="O1702" s="16" t="str">
        <f>IFERROR(__xludf.DUMMYFUNCTION("""COMPUTED_VALUE"""),"KEC. KAPUAS")</f>
        <v>KEC. KAPUAS</v>
      </c>
      <c r="P1702" s="16" t="str">
        <f>IFERROR(__xludf.DUMMYFUNCTION("""COMPUTED_VALUE"""),"KAB. SANGGAU")</f>
        <v>KAB. SANGGAU</v>
      </c>
      <c r="Q1702" s="16" t="str">
        <f>IFERROR(__xludf.DUMMYFUNCTION("""COMPUTED_VALUE"""),"KALIMANTAN BARAT")</f>
        <v>KALIMANTAN BARAT</v>
      </c>
      <c r="R1702" s="19" t="str">
        <f>IFERROR(__xludf.DUMMYFUNCTION("""COMPUTED_VALUE"""),"ISLAM")</f>
        <v>ISLAM</v>
      </c>
      <c r="S1702" s="16" t="str">
        <f>IFERROR(__xludf.DUMMYFUNCTION("""COMPUTED_VALUE"""),"PELAJAR/MAHASISWA")</f>
        <v>PELAJAR/MAHASISWA</v>
      </c>
      <c r="T1702" s="36" t="str">
        <f>IFERROR(__xludf.DUMMYFUNCTION("""COMPUTED_VALUE"""),"KAKI X 9CM")</f>
        <v>KAKI X 9CM</v>
      </c>
      <c r="U1702" s="16" t="str">
        <f>IFERROR(__xludf.DUMMYFUNCTION("""COMPUTED_VALUE"""),"Futsal,lari")</f>
        <v>Futsal,lari</v>
      </c>
      <c r="V1702" s="11" t="str">
        <f>IFERROR(__xludf.DUMMYFUNCTION("""COMPUTED_VALUE"""),"081348460618")</f>
        <v>081348460618</v>
      </c>
      <c r="W1702" s="15"/>
    </row>
    <row r="1703" ht="22.5" customHeight="1">
      <c r="A1703" s="28"/>
      <c r="B1703" s="9">
        <f>IFERROR(__xludf.DUMMYFUNCTION("""COMPUTED_VALUE"""),45539.41807583334)</f>
        <v>45539.41808</v>
      </c>
      <c r="C1703" s="9"/>
      <c r="D1703" s="10">
        <f>IFERROR(__xludf.DUMMYFUNCTION("""COMPUTED_VALUE"""),45548.0)</f>
        <v>45548</v>
      </c>
      <c r="E1703" s="10" t="str">
        <f>IFERROR(__xludf.DUMMYFUNCTION("""COMPUTED_VALUE"""),"09Sep")</f>
        <v>09Sep</v>
      </c>
      <c r="F1703" s="10" t="str">
        <f>IFERROR(__xludf.DUMMYFUNCTION("""COMPUTED_VALUE"""),"2024")</f>
        <v>2024</v>
      </c>
      <c r="G1703" s="16" t="str">
        <f>IFERROR(__xludf.DUMMYFUNCTION("""COMPUTED_VALUE"""),"MAULIANDRA ALVARO KURNIAWAN")</f>
        <v>MAULIANDRA ALVARO KURNIAWAN</v>
      </c>
      <c r="H1703" s="17" t="str">
        <f>IFERROR(__xludf.DUMMYFUNCTION("""COMPUTED_VALUE"""),"M1124090767")</f>
        <v>M1124090767</v>
      </c>
      <c r="I1703" s="17">
        <f>IFERROR(__xludf.DUMMYFUNCTION("""COMPUTED_VALUE"""),15.0)</f>
        <v>15</v>
      </c>
      <c r="J1703" s="17" t="str">
        <f>IFERROR(__xludf.DUMMYFUNCTION("""COMPUTED_VALUE"""),"&lt; 18 tahun")</f>
        <v>&lt; 18 tahun</v>
      </c>
      <c r="K1703" s="19">
        <f>IFERROR(__xludf.DUMMYFUNCTION("""COMPUTED_VALUE"""),40590.0)</f>
        <v>40590</v>
      </c>
      <c r="L1703" s="19" t="str">
        <f>IFERROR(__xludf.DUMMYFUNCTION("""COMPUTED_VALUE"""),"LAKI-LAKI")</f>
        <v>LAKI-LAKI</v>
      </c>
      <c r="M1703" s="16" t="str">
        <f>IFERROR(__xludf.DUMMYFUNCTION("""COMPUTED_VALUE"""),"PERUMNAS 2 GG MATAN 2 NO 18")</f>
        <v>PERUMNAS 2 GG MATAN 2 NO 18</v>
      </c>
      <c r="N1703" s="16" t="str">
        <f>IFERROR(__xludf.DUMMYFUNCTION("""COMPUTED_VALUE"""),"KEL. SUNGAI BELIUNG")</f>
        <v>KEL. SUNGAI BELIUNG</v>
      </c>
      <c r="O1703" s="16" t="str">
        <f>IFERROR(__xludf.DUMMYFUNCTION("""COMPUTED_VALUE"""),"KEC. PONTIANAK BARAT")</f>
        <v>KEC. PONTIANAK BARAT</v>
      </c>
      <c r="P1703" s="16" t="str">
        <f>IFERROR(__xludf.DUMMYFUNCTION("""COMPUTED_VALUE"""),"KOTA PONTIANAK")</f>
        <v>KOTA PONTIANAK</v>
      </c>
      <c r="Q1703" s="16" t="str">
        <f>IFERROR(__xludf.DUMMYFUNCTION("""COMPUTED_VALUE"""),"KALIMANTAN BARAT")</f>
        <v>KALIMANTAN BARAT</v>
      </c>
      <c r="R1703" s="19" t="str">
        <f>IFERROR(__xludf.DUMMYFUNCTION("""COMPUTED_VALUE"""),"ISLAM")</f>
        <v>ISLAM</v>
      </c>
      <c r="S1703" s="16" t="str">
        <f>IFERROR(__xludf.DUMMYFUNCTION("""COMPUTED_VALUE"""),"PELAJAR/MAHASISWA")</f>
        <v>PELAJAR/MAHASISWA</v>
      </c>
      <c r="T1703" s="16" t="str">
        <f>IFERROR(__xludf.DUMMYFUNCTION("""COMPUTED_VALUE"""),"Nyeri di")</f>
        <v>Nyeri di</v>
      </c>
      <c r="U1703" s="16" t="str">
        <f>IFERROR(__xludf.DUMMYFUNCTION("""COMPUTED_VALUE"""),"Taekwondo")</f>
        <v>Taekwondo</v>
      </c>
      <c r="V1703" s="11" t="str">
        <f>IFERROR(__xludf.DUMMYFUNCTION("""COMPUTED_VALUE"""),"082350000767")</f>
        <v>082350000767</v>
      </c>
      <c r="W1703" s="15"/>
    </row>
    <row r="1704" ht="22.5" customHeight="1">
      <c r="A1704" s="8"/>
      <c r="B1704" s="9">
        <f>IFERROR(__xludf.DUMMYFUNCTION("""COMPUTED_VALUE"""),45539.531378078704)</f>
        <v>45539.53138</v>
      </c>
      <c r="C1704" s="9"/>
      <c r="D1704" s="34">
        <f>IFERROR(__xludf.DUMMYFUNCTION("""COMPUTED_VALUE"""),45548.0)</f>
        <v>45548</v>
      </c>
      <c r="E1704" s="34" t="str">
        <f>IFERROR(__xludf.DUMMYFUNCTION("""COMPUTED_VALUE"""),"09Sep")</f>
        <v>09Sep</v>
      </c>
      <c r="F1704" s="34" t="str">
        <f>IFERROR(__xludf.DUMMYFUNCTION("""COMPUTED_VALUE"""),"2024")</f>
        <v>2024</v>
      </c>
      <c r="G1704" s="35" t="str">
        <f>IFERROR(__xludf.DUMMYFUNCTION("""COMPUTED_VALUE"""),"RENDI SUPIYANTO")</f>
        <v>RENDI SUPIYANTO</v>
      </c>
      <c r="H1704" s="17" t="str">
        <f>IFERROR(__xludf.DUMMYFUNCTION("""COMPUTED_VALUE"""),"R0424090842")</f>
        <v>R0424090842</v>
      </c>
      <c r="I1704" s="17">
        <f>IFERROR(__xludf.DUMMYFUNCTION("""COMPUTED_VALUE"""),21.0)</f>
        <v>21</v>
      </c>
      <c r="J1704" s="17" t="str">
        <f>IFERROR(__xludf.DUMMYFUNCTION("""COMPUTED_VALUE"""),"18-24 tahun")</f>
        <v>18-24 tahun</v>
      </c>
      <c r="K1704" s="19">
        <f>IFERROR(__xludf.DUMMYFUNCTION("""COMPUTED_VALUE"""),38252.0)</f>
        <v>38252</v>
      </c>
      <c r="L1704" s="19" t="str">
        <f>IFERROR(__xludf.DUMMYFUNCTION("""COMPUTED_VALUE"""),"LAKI-LAKI")</f>
        <v>LAKI-LAKI</v>
      </c>
      <c r="M1704" s="35" t="str">
        <f>IFERROR(__xludf.DUMMYFUNCTION("""COMPUTED_VALUE"""),"DUSUN TANI ALUR BANDUNH")</f>
        <v>DUSUN TANI ALUR BANDUNH</v>
      </c>
      <c r="N1704" s="16" t="str">
        <f>IFERROR(__xludf.DUMMYFUNCTION("""COMPUTED_VALUE"""),"KEL. ALUR BANDUNG")</f>
        <v>KEL. ALUR BANDUNG</v>
      </c>
      <c r="O1704" s="16" t="str">
        <f>IFERROR(__xludf.DUMMYFUNCTION("""COMPUTED_VALUE"""),"KEC. TELUK BATANG")</f>
        <v>KEC. TELUK BATANG</v>
      </c>
      <c r="P1704" s="16" t="str">
        <f>IFERROR(__xludf.DUMMYFUNCTION("""COMPUTED_VALUE"""),"KAB. KAYONG UTARA")</f>
        <v>KAB. KAYONG UTARA</v>
      </c>
      <c r="Q1704" s="16" t="str">
        <f>IFERROR(__xludf.DUMMYFUNCTION("""COMPUTED_VALUE"""),"KALIMANTAN BARAT")</f>
        <v>KALIMANTAN BARAT</v>
      </c>
      <c r="R1704" s="19" t="str">
        <f>IFERROR(__xludf.DUMMYFUNCTION("""COMPUTED_VALUE"""),"ISLAM")</f>
        <v>ISLAM</v>
      </c>
      <c r="S1704" s="16" t="str">
        <f>IFERROR(__xludf.DUMMYFUNCTION("""COMPUTED_VALUE"""),"PELAJAR/MAHASISWA")</f>
        <v>PELAJAR/MAHASISWA</v>
      </c>
      <c r="T1704" s="36" t="str">
        <f>IFERROR(__xludf.DUMMYFUNCTION("""COMPUTED_VALUE"""),"CIDERA")</f>
        <v>CIDERA</v>
      </c>
      <c r="U1704" s="16" t="str">
        <f>IFERROR(__xludf.DUMMYFUNCTION("""COMPUTED_VALUE"""),"Sepak bola")</f>
        <v>Sepak bola</v>
      </c>
      <c r="V1704" s="11" t="str">
        <f>IFERROR(__xludf.DUMMYFUNCTION("""COMPUTED_VALUE"""),"085704170842")</f>
        <v>085704170842</v>
      </c>
      <c r="W1704" s="15"/>
    </row>
    <row r="1705" ht="22.5" customHeight="1">
      <c r="A1705" s="8"/>
      <c r="B1705" s="9">
        <f>IFERROR(__xludf.DUMMYFUNCTION("""COMPUTED_VALUE"""),45539.50943255787)</f>
        <v>45539.50943</v>
      </c>
      <c r="C1705" s="9"/>
      <c r="D1705" s="10">
        <f>IFERROR(__xludf.DUMMYFUNCTION("""COMPUTED_VALUE"""),45548.0)</f>
        <v>45548</v>
      </c>
      <c r="E1705" s="10" t="str">
        <f>IFERROR(__xludf.DUMMYFUNCTION("""COMPUTED_VALUE"""),"09Sep")</f>
        <v>09Sep</v>
      </c>
      <c r="F1705" s="10" t="str">
        <f>IFERROR(__xludf.DUMMYFUNCTION("""COMPUTED_VALUE"""),"2024")</f>
        <v>2024</v>
      </c>
      <c r="G1705" s="35" t="str">
        <f>IFERROR(__xludf.DUMMYFUNCTION("""COMPUTED_VALUE"""),"ABDURRACHMAN RIZLEY AL GHIFARI")</f>
        <v>ABDURRACHMAN RIZLEY AL GHIFARI</v>
      </c>
      <c r="H1705" s="17" t="str">
        <f>IFERROR(__xludf.DUMMYFUNCTION("""COMPUTED_VALUE"""),"A1124096060")</f>
        <v>A1124096060</v>
      </c>
      <c r="I1705" s="17">
        <f>IFERROR(__xludf.DUMMYFUNCTION("""COMPUTED_VALUE"""),15.0)</f>
        <v>15</v>
      </c>
      <c r="J1705" s="17" t="str">
        <f>IFERROR(__xludf.DUMMYFUNCTION("""COMPUTED_VALUE"""),"&lt; 18 tahun")</f>
        <v>&lt; 18 tahun</v>
      </c>
      <c r="K1705" s="19">
        <f>IFERROR(__xludf.DUMMYFUNCTION("""COMPUTED_VALUE"""),40697.0)</f>
        <v>40697</v>
      </c>
      <c r="L1705" s="19" t="str">
        <f>IFERROR(__xludf.DUMMYFUNCTION("""COMPUTED_VALUE"""),"LAKI-LAKI")</f>
        <v>LAKI-LAKI</v>
      </c>
      <c r="M1705" s="35" t="str">
        <f>IFERROR(__xludf.DUMMYFUNCTION("""COMPUTED_VALUE"""),"JL. HRA, RAHMAN, GG. BANDAHARA, NO. 9, PONTIANAK")</f>
        <v>JL. HRA, RAHMAN, GG. BANDAHARA, NO. 9, PONTIANAK</v>
      </c>
      <c r="N1705" s="16" t="str">
        <f>IFERROR(__xludf.DUMMYFUNCTION("""COMPUTED_VALUE"""),"KEL. SUNGAI JAWI DALAM")</f>
        <v>KEL. SUNGAI JAWI DALAM</v>
      </c>
      <c r="O1705" s="16" t="str">
        <f>IFERROR(__xludf.DUMMYFUNCTION("""COMPUTED_VALUE"""),"KEC. PONTIANAK BARAT")</f>
        <v>KEC. PONTIANAK BARAT</v>
      </c>
      <c r="P1705" s="16" t="str">
        <f>IFERROR(__xludf.DUMMYFUNCTION("""COMPUTED_VALUE"""),"KOTA PONTIANAK")</f>
        <v>KOTA PONTIANAK</v>
      </c>
      <c r="Q1705" s="16" t="str">
        <f>IFERROR(__xludf.DUMMYFUNCTION("""COMPUTED_VALUE"""),"KALIMANTAN BARAT")</f>
        <v>KALIMANTAN BARAT</v>
      </c>
      <c r="R1705" s="19" t="str">
        <f>IFERROR(__xludf.DUMMYFUNCTION("""COMPUTED_VALUE"""),"ISLAM")</f>
        <v>ISLAM</v>
      </c>
      <c r="S1705" s="35" t="str">
        <f>IFERROR(__xludf.DUMMYFUNCTION("""COMPUTED_VALUE"""),"PELAJAR/MAHASISWA")</f>
        <v>PELAJAR/MAHASISWA</v>
      </c>
      <c r="T1705" s="36" t="str">
        <f>IFERROR(__xludf.DUMMYFUNCTION("""COMPUTED_VALUE"""),"NYERI PADA KIRI")</f>
        <v>NYERI PADA KIRI</v>
      </c>
      <c r="U1705" s="16" t="str">
        <f>IFERROR(__xludf.DUMMYFUNCTION("""COMPUTED_VALUE"""),"seminggu 2x latihan basket di Kancil Famili")</f>
        <v>seminggu 2x latihan basket di Kancil Famili</v>
      </c>
      <c r="V1705" s="11" t="str">
        <f>IFERROR(__xludf.DUMMYFUNCTION("""COMPUTED_VALUE"""),"081345476060")</f>
        <v>081345476060</v>
      </c>
      <c r="W1705" s="15"/>
    </row>
    <row r="1706" ht="22.5" customHeight="1">
      <c r="A1706" s="28"/>
      <c r="B1706" s="9">
        <f>IFERROR(__xludf.DUMMYFUNCTION("""COMPUTED_VALUE"""),45539.51477159723)</f>
        <v>45539.51477</v>
      </c>
      <c r="C1706" s="9"/>
      <c r="D1706" s="34">
        <f>IFERROR(__xludf.DUMMYFUNCTION("""COMPUTED_VALUE"""),45549.0)</f>
        <v>45549</v>
      </c>
      <c r="E1706" s="34" t="str">
        <f>IFERROR(__xludf.DUMMYFUNCTION("""COMPUTED_VALUE"""),"09Sep")</f>
        <v>09Sep</v>
      </c>
      <c r="F1706" s="34" t="str">
        <f>IFERROR(__xludf.DUMMYFUNCTION("""COMPUTED_VALUE"""),"2024")</f>
        <v>2024</v>
      </c>
      <c r="G1706" s="35" t="str">
        <f>IFERROR(__xludf.DUMMYFUNCTION("""COMPUTED_VALUE"""),"ADI CHANDRA")</f>
        <v>ADI CHANDRA</v>
      </c>
      <c r="H1706" s="17" t="str">
        <f>IFERROR(__xludf.DUMMYFUNCTION("""COMPUTED_VALUE"""),"A0624097305")</f>
        <v>A0624097305</v>
      </c>
      <c r="I1706" s="17">
        <f>IFERROR(__xludf.DUMMYFUNCTION("""COMPUTED_VALUE"""),20.0)</f>
        <v>20</v>
      </c>
      <c r="J1706" s="17" t="str">
        <f>IFERROR(__xludf.DUMMYFUNCTION("""COMPUTED_VALUE"""),"18-24 tahun")</f>
        <v>18-24 tahun</v>
      </c>
      <c r="K1706" s="19">
        <f>IFERROR(__xludf.DUMMYFUNCTION("""COMPUTED_VALUE"""),38866.0)</f>
        <v>38866</v>
      </c>
      <c r="L1706" s="19" t="str">
        <f>IFERROR(__xludf.DUMMYFUNCTION("""COMPUTED_VALUE"""),"LAKI-LAKI")</f>
        <v>LAKI-LAKI</v>
      </c>
      <c r="M1706" s="35" t="str">
        <f>IFERROR(__xludf.DUMMYFUNCTION("""COMPUTED_VALUE"""),"JL. PERWIRA")</f>
        <v>JL. PERWIRA</v>
      </c>
      <c r="N1706" s="16" t="str">
        <f>IFERROR(__xludf.DUMMYFUNCTION("""COMPUTED_VALUE"""),"KEL. BUMI EMAS")</f>
        <v>KEL. BUMI EMAS</v>
      </c>
      <c r="O1706" s="16" t="str">
        <f>IFERROR(__xludf.DUMMYFUNCTION("""COMPUTED_VALUE"""),"KEC. BENGKAYANG")</f>
        <v>KEC. BENGKAYANG</v>
      </c>
      <c r="P1706" s="16" t="str">
        <f>IFERROR(__xludf.DUMMYFUNCTION("""COMPUTED_VALUE"""),"KAB. BENGKAYANG")</f>
        <v>KAB. BENGKAYANG</v>
      </c>
      <c r="Q1706" s="16" t="str">
        <f>IFERROR(__xludf.DUMMYFUNCTION("""COMPUTED_VALUE"""),"KALIMANTAN BARAT")</f>
        <v>KALIMANTAN BARAT</v>
      </c>
      <c r="R1706" s="19" t="str">
        <f>IFERROR(__xludf.DUMMYFUNCTION("""COMPUTED_VALUE"""),"KATOLIK")</f>
        <v>KATOLIK</v>
      </c>
      <c r="S1706" s="16" t="str">
        <f>IFERROR(__xludf.DUMMYFUNCTION("""COMPUTED_VALUE"""),"PELAJAR/MAHASISWA")</f>
        <v>PELAJAR/MAHASISWA</v>
      </c>
      <c r="T1706" s="16" t="str">
        <f>IFERROR(__xludf.DUMMYFUNCTION("""COMPUTED_VALUE"""),"KAKI SAKIT, BENGKAK DAN MEMAR SUDAH REDA, TAPI MASIH SAKIT KETIKA DIBERI TEKANAN SAAT BERLARI")</f>
        <v>KAKI SAKIT, BENGKAK DAN MEMAR SUDAH REDA, TAPI MASIH SAKIT KETIKA DIBERI TEKANAN SAAT BERLARI</v>
      </c>
      <c r="U1706" s="16" t="str">
        <f>IFERROR(__xludf.DUMMYFUNCTION("""COMPUTED_VALUE"""),"Baca")</f>
        <v>Baca</v>
      </c>
      <c r="V1706" s="11" t="str">
        <f>IFERROR(__xludf.DUMMYFUNCTION("""COMPUTED_VALUE"""),"083128837305")</f>
        <v>083128837305</v>
      </c>
      <c r="W1706" s="15"/>
    </row>
    <row r="1707" ht="22.5" customHeight="1">
      <c r="A1707" s="8"/>
      <c r="B1707" s="9">
        <f>IFERROR(__xludf.DUMMYFUNCTION("""COMPUTED_VALUE"""),45539.543137280096)</f>
        <v>45539.54314</v>
      </c>
      <c r="C1707" s="9"/>
      <c r="D1707" s="34">
        <f>IFERROR(__xludf.DUMMYFUNCTION("""COMPUTED_VALUE"""),45550.0)</f>
        <v>45550</v>
      </c>
      <c r="E1707" s="34" t="str">
        <f>IFERROR(__xludf.DUMMYFUNCTION("""COMPUTED_VALUE"""),"09Sep")</f>
        <v>09Sep</v>
      </c>
      <c r="F1707" s="34" t="str">
        <f>IFERROR(__xludf.DUMMYFUNCTION("""COMPUTED_VALUE"""),"2024")</f>
        <v>2024</v>
      </c>
      <c r="G1707" s="35" t="str">
        <f>IFERROR(__xludf.DUMMYFUNCTION("""COMPUTED_VALUE"""),"MAKPUL SOFWAN")</f>
        <v>MAKPUL SOFWAN</v>
      </c>
      <c r="H1707" s="17" t="str">
        <f>IFERROR(__xludf.DUMMYFUNCTION("""COMPUTED_VALUE"""),"M6524090093")</f>
        <v>M6524090093</v>
      </c>
      <c r="I1707" s="17">
        <f>IFERROR(__xludf.DUMMYFUNCTION("""COMPUTED_VALUE"""),60.0)</f>
        <v>60</v>
      </c>
      <c r="J1707" s="17" t="str">
        <f>IFERROR(__xludf.DUMMYFUNCTION("""COMPUTED_VALUE"""),"&gt; 44 tahun")</f>
        <v>&gt; 44 tahun</v>
      </c>
      <c r="K1707" s="19">
        <f>IFERROR(__xludf.DUMMYFUNCTION("""COMPUTED_VALUE"""),24048.0)</f>
        <v>24048</v>
      </c>
      <c r="L1707" s="19" t="str">
        <f>IFERROR(__xludf.DUMMYFUNCTION("""COMPUTED_VALUE"""),"LAKI-LAKI")</f>
        <v>LAKI-LAKI</v>
      </c>
      <c r="M1707" s="35" t="str">
        <f>IFERROR(__xludf.DUMMYFUNCTION("""COMPUTED_VALUE"""),"JL SEPAKAT 1 A YANI BLOK NAISYAH NO 11")</f>
        <v>JL SEPAKAT 1 A YANI BLOK NAISYAH NO 11</v>
      </c>
      <c r="N1707" s="16" t="str">
        <f>IFERROR(__xludf.DUMMYFUNCTION("""COMPUTED_VALUE"""),"KEL. BANGKA BELITUNG LAUT")</f>
        <v>KEL. BANGKA BELITUNG LAUT</v>
      </c>
      <c r="O1707" s="16" t="str">
        <f>IFERROR(__xludf.DUMMYFUNCTION("""COMPUTED_VALUE"""),"KEC. PONTIANAK TENGGARA")</f>
        <v>KEC. PONTIANAK TENGGARA</v>
      </c>
      <c r="P1707" s="16" t="str">
        <f>IFERROR(__xludf.DUMMYFUNCTION("""COMPUTED_VALUE"""),"KOTA PONTIANAK")</f>
        <v>KOTA PONTIANAK</v>
      </c>
      <c r="Q1707" s="16" t="str">
        <f>IFERROR(__xludf.DUMMYFUNCTION("""COMPUTED_VALUE"""),"KALIMANTAN BARAT")</f>
        <v>KALIMANTAN BARAT</v>
      </c>
      <c r="R1707" s="19" t="str">
        <f>IFERROR(__xludf.DUMMYFUNCTION("""COMPUTED_VALUE"""),"ISLAM")</f>
        <v>ISLAM</v>
      </c>
      <c r="S1707" s="16" t="str">
        <f>IFERROR(__xludf.DUMMYFUNCTION("""COMPUTED_VALUE"""),"SWASTA")</f>
        <v>SWASTA</v>
      </c>
      <c r="T1707" s="16" t="str">
        <f>IFERROR(__xludf.DUMMYFUNCTION("""COMPUTED_VALUE"""),"HABIS OPERASI")</f>
        <v>HABIS OPERASI</v>
      </c>
      <c r="U1707" s="16" t="str">
        <f>IFERROR(__xludf.DUMMYFUNCTION("""COMPUTED_VALUE"""),"Mengajar")</f>
        <v>Mengajar</v>
      </c>
      <c r="V1707" s="11" t="str">
        <f>IFERROR(__xludf.DUMMYFUNCTION("""COMPUTED_VALUE"""),"082120070093")</f>
        <v>082120070093</v>
      </c>
      <c r="W1707" s="15"/>
    </row>
    <row r="1708" ht="22.5" customHeight="1">
      <c r="A1708" s="8"/>
      <c r="B1708" s="9">
        <f>IFERROR(__xludf.DUMMYFUNCTION("""COMPUTED_VALUE"""),45539.567508113425)</f>
        <v>45539.56751</v>
      </c>
      <c r="C1708" s="9"/>
      <c r="D1708" s="34">
        <f>IFERROR(__xludf.DUMMYFUNCTION("""COMPUTED_VALUE"""),45550.0)</f>
        <v>45550</v>
      </c>
      <c r="E1708" s="34" t="str">
        <f>IFERROR(__xludf.DUMMYFUNCTION("""COMPUTED_VALUE"""),"09Sep")</f>
        <v>09Sep</v>
      </c>
      <c r="F1708" s="34" t="str">
        <f>IFERROR(__xludf.DUMMYFUNCTION("""COMPUTED_VALUE"""),"2024")</f>
        <v>2024</v>
      </c>
      <c r="G1708" s="35" t="str">
        <f>IFERROR(__xludf.DUMMYFUNCTION("""COMPUTED_VALUE"""),"DWI MELANI")</f>
        <v>DWI MELANI</v>
      </c>
      <c r="H1708" s="17" t="str">
        <f>IFERROR(__xludf.DUMMYFUNCTION("""COMPUTED_VALUE"""),"D8224095471")</f>
        <v>D8224095471</v>
      </c>
      <c r="I1708" s="17">
        <f>IFERROR(__xludf.DUMMYFUNCTION("""COMPUTED_VALUE"""),44.0)</f>
        <v>44</v>
      </c>
      <c r="J1708" s="17" t="str">
        <f>IFERROR(__xludf.DUMMYFUNCTION("""COMPUTED_VALUE"""),"35-44 tahun")</f>
        <v>35-44 tahun</v>
      </c>
      <c r="K1708" s="19">
        <f>IFERROR(__xludf.DUMMYFUNCTION("""COMPUTED_VALUE"""),30015.0)</f>
        <v>30015</v>
      </c>
      <c r="L1708" s="19" t="str">
        <f>IFERROR(__xludf.DUMMYFUNCTION("""COMPUTED_VALUE"""),"PEREMPUAN")</f>
        <v>PEREMPUAN</v>
      </c>
      <c r="M1708" s="35" t="str">
        <f>IFERROR(__xludf.DUMMYFUNCTION("""COMPUTED_VALUE"""),"JL PURNAMA MADYA NO. 18B")</f>
        <v>JL PURNAMA MADYA NO. 18B</v>
      </c>
      <c r="N1708" s="16" t="str">
        <f>IFERROR(__xludf.DUMMYFUNCTION("""COMPUTED_VALUE"""),"KEL. AKCAYA")</f>
        <v>KEL. AKCAYA</v>
      </c>
      <c r="O1708" s="16" t="str">
        <f>IFERROR(__xludf.DUMMYFUNCTION("""COMPUTED_VALUE"""),"KEC. PONTIANAK SELATAN")</f>
        <v>KEC. PONTIANAK SELATAN</v>
      </c>
      <c r="P1708" s="16" t="str">
        <f>IFERROR(__xludf.DUMMYFUNCTION("""COMPUTED_VALUE"""),"KOTA PONTIANAK")</f>
        <v>KOTA PONTIANAK</v>
      </c>
      <c r="Q1708" s="16" t="str">
        <f>IFERROR(__xludf.DUMMYFUNCTION("""COMPUTED_VALUE"""),"KALIMANTAN BARAT")</f>
        <v>KALIMANTAN BARAT</v>
      </c>
      <c r="R1708" s="19" t="str">
        <f>IFERROR(__xludf.DUMMYFUNCTION("""COMPUTED_VALUE"""),"KHONGHUCU")</f>
        <v>KHONGHUCU</v>
      </c>
      <c r="S1708" s="16" t="str">
        <f>IFERROR(__xludf.DUMMYFUNCTION("""COMPUTED_VALUE"""),"SWASTA")</f>
        <v>SWASTA</v>
      </c>
      <c r="T1708" s="16" t="str">
        <f>IFERROR(__xludf.DUMMYFUNCTION("""COMPUTED_VALUE"""),"NYERI")</f>
        <v>NYERI</v>
      </c>
      <c r="U1708" s="16" t="str">
        <f>IFERROR(__xludf.DUMMYFUNCTION("""COMPUTED_VALUE"""),"Olahraga workout")</f>
        <v>Olahraga workout</v>
      </c>
      <c r="V1708" s="11" t="str">
        <f>IFERROR(__xludf.DUMMYFUNCTION("""COMPUTED_VALUE"""),"08125635471")</f>
        <v>08125635471</v>
      </c>
      <c r="W1708" s="15"/>
    </row>
    <row r="1709" ht="22.5" customHeight="1">
      <c r="A1709" s="8"/>
      <c r="B1709" s="9">
        <f>IFERROR(__xludf.DUMMYFUNCTION("""COMPUTED_VALUE"""),45539.588575960646)</f>
        <v>45539.58858</v>
      </c>
      <c r="C1709" s="9"/>
      <c r="D1709" s="10">
        <f>IFERROR(__xludf.DUMMYFUNCTION("""COMPUTED_VALUE"""),45550.0)</f>
        <v>45550</v>
      </c>
      <c r="E1709" s="10" t="str">
        <f>IFERROR(__xludf.DUMMYFUNCTION("""COMPUTED_VALUE"""),"09Sep")</f>
        <v>09Sep</v>
      </c>
      <c r="F1709" s="10" t="str">
        <f>IFERROR(__xludf.DUMMYFUNCTION("""COMPUTED_VALUE"""),"2024")</f>
        <v>2024</v>
      </c>
      <c r="G1709" s="35" t="str">
        <f>IFERROR(__xludf.DUMMYFUNCTION("""COMPUTED_VALUE"""),"EKA SUNARYA")</f>
        <v>EKA SUNARYA</v>
      </c>
      <c r="H1709" s="17" t="str">
        <f>IFERROR(__xludf.DUMMYFUNCTION("""COMPUTED_VALUE"""),"E9524098006")</f>
        <v>E9524098006</v>
      </c>
      <c r="I1709" s="17">
        <f>IFERROR(__xludf.DUMMYFUNCTION("""COMPUTED_VALUE"""),31.0)</f>
        <v>31</v>
      </c>
      <c r="J1709" s="17" t="str">
        <f>IFERROR(__xludf.DUMMYFUNCTION("""COMPUTED_VALUE"""),"25-34 tahun")</f>
        <v>25-34 tahun</v>
      </c>
      <c r="K1709" s="19">
        <f>IFERROR(__xludf.DUMMYFUNCTION("""COMPUTED_VALUE"""),34828.0)</f>
        <v>34828</v>
      </c>
      <c r="L1709" s="19" t="str">
        <f>IFERROR(__xludf.DUMMYFUNCTION("""COMPUTED_VALUE"""),"LAKI-LAKI")</f>
        <v>LAKI-LAKI</v>
      </c>
      <c r="M1709" s="35" t="str">
        <f>IFERROR(__xludf.DUMMYFUNCTION("""COMPUTED_VALUE"""),"ASRAMA GATOT")</f>
        <v>ASRAMA GATOT</v>
      </c>
      <c r="N1709" s="16" t="str">
        <f>IFERROR(__xludf.DUMMYFUNCTION("""COMPUTED_VALUE"""),"KEL. SUNGAI RAYA")</f>
        <v>KEL. SUNGAI RAYA</v>
      </c>
      <c r="O1709" s="16" t="str">
        <f>IFERROR(__xludf.DUMMYFUNCTION("""COMPUTED_VALUE"""),"KEC. SUNGAI RAYA")</f>
        <v>KEC. SUNGAI RAYA</v>
      </c>
      <c r="P1709" s="16" t="str">
        <f>IFERROR(__xludf.DUMMYFUNCTION("""COMPUTED_VALUE"""),"KAB. KUBU RAYA")</f>
        <v>KAB. KUBU RAYA</v>
      </c>
      <c r="Q1709" s="16" t="str">
        <f>IFERROR(__xludf.DUMMYFUNCTION("""COMPUTED_VALUE"""),"KALIMANTAN BARAT")</f>
        <v>KALIMANTAN BARAT</v>
      </c>
      <c r="R1709" s="19" t="str">
        <f>IFERROR(__xludf.DUMMYFUNCTION("""COMPUTED_VALUE"""),"ISLAM")</f>
        <v>ISLAM</v>
      </c>
      <c r="S1709" s="16" t="str">
        <f>IFERROR(__xludf.DUMMYFUNCTION("""COMPUTED_VALUE"""),"ASN")</f>
        <v>ASN</v>
      </c>
      <c r="T1709" s="36" t="str">
        <f>IFERROR(__xludf.DUMMYFUNCTION("""COMPUTED_VALUE"""),"SAKIT PINGGANG")</f>
        <v>SAKIT PINGGANG</v>
      </c>
      <c r="U1709" s="16" t="str">
        <f>IFERROR(__xludf.DUMMYFUNCTION("""COMPUTED_VALUE"""),"Lari")</f>
        <v>Lari</v>
      </c>
      <c r="V1709" s="11" t="str">
        <f>IFERROR(__xludf.DUMMYFUNCTION("""COMPUTED_VALUE"""),"085820178006")</f>
        <v>085820178006</v>
      </c>
      <c r="W1709" s="15"/>
    </row>
    <row r="1710" ht="22.5" customHeight="1">
      <c r="A1710" s="8"/>
      <c r="B1710" s="9">
        <f>IFERROR(__xludf.DUMMYFUNCTION("""COMPUTED_VALUE"""),45539.618059201384)</f>
        <v>45539.61806</v>
      </c>
      <c r="C1710" s="9"/>
      <c r="D1710" s="34">
        <f>IFERROR(__xludf.DUMMYFUNCTION("""COMPUTED_VALUE"""),45550.0)</f>
        <v>45550</v>
      </c>
      <c r="E1710" s="34" t="str">
        <f>IFERROR(__xludf.DUMMYFUNCTION("""COMPUTED_VALUE"""),"09Sep")</f>
        <v>09Sep</v>
      </c>
      <c r="F1710" s="34" t="str">
        <f>IFERROR(__xludf.DUMMYFUNCTION("""COMPUTED_VALUE"""),"2024")</f>
        <v>2024</v>
      </c>
      <c r="G1710" s="35" t="str">
        <f>IFERROR(__xludf.DUMMYFUNCTION("""COMPUTED_VALUE"""),"RIDHO DOSEN")</f>
        <v>RIDHO DOSEN</v>
      </c>
      <c r="H1710" s="17" t="str">
        <f>IFERROR(__xludf.DUMMYFUNCTION("""COMPUTED_VALUE"""),"R9024096527")</f>
        <v>R9024096527</v>
      </c>
      <c r="I1710" s="17">
        <f>IFERROR(__xludf.DUMMYFUNCTION("""COMPUTED_VALUE"""),35.0)</f>
        <v>35</v>
      </c>
      <c r="J1710" s="17" t="str">
        <f>IFERROR(__xludf.DUMMYFUNCTION("""COMPUTED_VALUE"""),"35-44 tahun")</f>
        <v>35-44 tahun</v>
      </c>
      <c r="K1710" s="19">
        <f>IFERROR(__xludf.DUMMYFUNCTION("""COMPUTED_VALUE"""),33073.0)</f>
        <v>33073</v>
      </c>
      <c r="L1710" s="19" t="str">
        <f>IFERROR(__xludf.DUMMYFUNCTION("""COMPUTED_VALUE"""),"LAKI-LAKI")</f>
        <v>LAKI-LAKI</v>
      </c>
      <c r="M1710" s="35" t="str">
        <f>IFERROR(__xludf.DUMMYFUNCTION("""COMPUTED_VALUE"""),"JALAN SAWO")</f>
        <v>JALAN SAWO</v>
      </c>
      <c r="N1710" s="16" t="str">
        <f>IFERROR(__xludf.DUMMYFUNCTION("""COMPUTED_VALUE"""),"KEL. SUNGAI JAWI LUAR")</f>
        <v>KEL. SUNGAI JAWI LUAR</v>
      </c>
      <c r="O1710" s="16" t="str">
        <f>IFERROR(__xludf.DUMMYFUNCTION("""COMPUTED_VALUE"""),"KEC. PONTIANAK BARAT")</f>
        <v>KEC. PONTIANAK BARAT</v>
      </c>
      <c r="P1710" s="16" t="str">
        <f>IFERROR(__xludf.DUMMYFUNCTION("""COMPUTED_VALUE"""),"KOTA PONTIANAK")</f>
        <v>KOTA PONTIANAK</v>
      </c>
      <c r="Q1710" s="16" t="str">
        <f>IFERROR(__xludf.DUMMYFUNCTION("""COMPUTED_VALUE"""),"KALIMANTAN BARAT")</f>
        <v>KALIMANTAN BARAT</v>
      </c>
      <c r="R1710" s="19" t="str">
        <f>IFERROR(__xludf.DUMMYFUNCTION("""COMPUTED_VALUE"""),"ISLAM")</f>
        <v>ISLAM</v>
      </c>
      <c r="S1710" s="35" t="str">
        <f>IFERROR(__xludf.DUMMYFUNCTION("""COMPUTED_VALUE"""),"DOSEN/GURU")</f>
        <v>DOSEN/GURU</v>
      </c>
      <c r="T1710" s="36" t="str">
        <f>IFERROR(__xludf.DUMMYFUNCTION("""COMPUTED_VALUE"""),"KAKI KIRI MUDAH NYERI, JALAN PINCANG, KAKI KIRI TIDAK BISA JINJIT DAN DIBAWA LARI")</f>
        <v>KAKI KIRI MUDAH NYERI, JALAN PINCANG, KAKI KIRI TIDAK BISA JINJIT DAN DIBAWA LARI</v>
      </c>
      <c r="U1710" s="16" t="str">
        <f>IFERROR(__xludf.DUMMYFUNCTION("""COMPUTED_VALUE"""),"-")</f>
        <v>-</v>
      </c>
      <c r="V1710" s="11" t="str">
        <f>IFERROR(__xludf.DUMMYFUNCTION("""COMPUTED_VALUE"""),"089675096527")</f>
        <v>089675096527</v>
      </c>
      <c r="W1710" s="15"/>
    </row>
    <row r="1711" ht="22.5" customHeight="1">
      <c r="A1711" s="8"/>
      <c r="B1711" s="9">
        <f>IFERROR(__xludf.DUMMYFUNCTION("""COMPUTED_VALUE"""),45541.677197743054)</f>
        <v>45541.6772</v>
      </c>
      <c r="C1711" s="9"/>
      <c r="D1711" s="34">
        <f>IFERROR(__xludf.DUMMYFUNCTION("""COMPUTED_VALUE"""),45550.0)</f>
        <v>45550</v>
      </c>
      <c r="E1711" s="34" t="str">
        <f>IFERROR(__xludf.DUMMYFUNCTION("""COMPUTED_VALUE"""),"09Sep")</f>
        <v>09Sep</v>
      </c>
      <c r="F1711" s="34" t="str">
        <f>IFERROR(__xludf.DUMMYFUNCTION("""COMPUTED_VALUE"""),"2024")</f>
        <v>2024</v>
      </c>
      <c r="G1711" s="35" t="str">
        <f>IFERROR(__xludf.DUMMYFUNCTION("""COMPUTED_VALUE"""),"DIMAS ZAKI DHAIFULLAH")</f>
        <v>DIMAS ZAKI DHAIFULLAH</v>
      </c>
      <c r="H1711" s="17" t="str">
        <f>IFERROR(__xludf.DUMMYFUNCTION("""COMPUTED_VALUE"""),"D0724098341")</f>
        <v>D0724098341</v>
      </c>
      <c r="I1711" s="17">
        <f>IFERROR(__xludf.DUMMYFUNCTION("""COMPUTED_VALUE"""),18.0)</f>
        <v>18</v>
      </c>
      <c r="J1711" s="17" t="str">
        <f>IFERROR(__xludf.DUMMYFUNCTION("""COMPUTED_VALUE"""),"&lt; 18 tahun")</f>
        <v>&lt; 18 tahun</v>
      </c>
      <c r="K1711" s="19">
        <f>IFERROR(__xludf.DUMMYFUNCTION("""COMPUTED_VALUE"""),39305.0)</f>
        <v>39305</v>
      </c>
      <c r="L1711" s="19" t="str">
        <f>IFERROR(__xludf.DUMMYFUNCTION("""COMPUTED_VALUE"""),"LAKI-LAKI")</f>
        <v>LAKI-LAKI</v>
      </c>
      <c r="M1711" s="35" t="str">
        <f>IFERROR(__xludf.DUMMYFUNCTION("""COMPUTED_VALUE"""),"DUSUN ENTIKONG")</f>
        <v>DUSUN ENTIKONG</v>
      </c>
      <c r="N1711" s="16" t="str">
        <f>IFERROR(__xludf.DUMMYFUNCTION("""COMPUTED_VALUE"""),"DSN. ENTIKONG")</f>
        <v>DSN. ENTIKONG</v>
      </c>
      <c r="O1711" s="16" t="str">
        <f>IFERROR(__xludf.DUMMYFUNCTION("""COMPUTED_VALUE"""),"KEC. ENTIKONG")</f>
        <v>KEC. ENTIKONG</v>
      </c>
      <c r="P1711" s="16" t="str">
        <f>IFERROR(__xludf.DUMMYFUNCTION("""COMPUTED_VALUE"""),"KAB. SANGGAU")</f>
        <v>KAB. SANGGAU</v>
      </c>
      <c r="Q1711" s="16" t="str">
        <f>IFERROR(__xludf.DUMMYFUNCTION("""COMPUTED_VALUE"""),"KALIMANTAN BARAT")</f>
        <v>KALIMANTAN BARAT</v>
      </c>
      <c r="R1711" s="19" t="str">
        <f>IFERROR(__xludf.DUMMYFUNCTION("""COMPUTED_VALUE"""),"ISLAM")</f>
        <v>ISLAM</v>
      </c>
      <c r="S1711" s="16" t="str">
        <f>IFERROR(__xludf.DUMMYFUNCTION("""COMPUTED_VALUE"""),"PELAJAR/MAHASISWA")</f>
        <v>PELAJAR/MAHASISWA</v>
      </c>
      <c r="T1711" s="36" t="str">
        <f>IFERROR(__xludf.DUMMYFUNCTION("""COMPUTED_VALUE"""),"LENGAN/BAHU KIRI ATAS TERASA NYERI/SAKIT DAN TERASA TERIK DI BAGIAN LEHER. DI BAGIAN KAKI SEBELAH KIRI SERING TERASA TERIK/ TEGANG")</f>
        <v>LENGAN/BAHU KIRI ATAS TERASA NYERI/SAKIT DAN TERASA TERIK DI BAGIAN LEHER. DI BAGIAN KAKI SEBELAH KIRI SERING TERASA TERIK/ TEGANG</v>
      </c>
      <c r="U1711" s="16" t="str">
        <f>IFERROR(__xludf.DUMMYFUNCTION("""COMPUTED_VALUE"""),"Olahraga")</f>
        <v>Olahraga</v>
      </c>
      <c r="V1711" s="11" t="str">
        <f>IFERROR(__xludf.DUMMYFUNCTION("""COMPUTED_VALUE"""),"082152328341")</f>
        <v>082152328341</v>
      </c>
      <c r="W1711" s="15"/>
    </row>
    <row r="1712" ht="22.5" customHeight="1">
      <c r="A1712" s="43"/>
      <c r="B1712" s="24">
        <f>IFERROR(__xludf.DUMMYFUNCTION("""COMPUTED_VALUE"""),45540.7683822338)</f>
        <v>45540.76838</v>
      </c>
      <c r="C1712" s="24"/>
      <c r="D1712" s="34">
        <f>IFERROR(__xludf.DUMMYFUNCTION("""COMPUTED_VALUE"""),45550.0)</f>
        <v>45550</v>
      </c>
      <c r="E1712" s="34" t="str">
        <f>IFERROR(__xludf.DUMMYFUNCTION("""COMPUTED_VALUE"""),"09Sep")</f>
        <v>09Sep</v>
      </c>
      <c r="F1712" s="34" t="str">
        <f>IFERROR(__xludf.DUMMYFUNCTION("""COMPUTED_VALUE"""),"2024")</f>
        <v>2024</v>
      </c>
      <c r="G1712" s="35" t="str">
        <f>IFERROR(__xludf.DUMMYFUNCTION("""COMPUTED_VALUE"""),"AGUSTINA")</f>
        <v>AGUSTINA</v>
      </c>
      <c r="H1712" s="17" t="str">
        <f>IFERROR(__xludf.DUMMYFUNCTION("""COMPUTED_VALUE"""),"A6024092004")</f>
        <v>A6024092004</v>
      </c>
      <c r="I1712" s="17">
        <f>IFERROR(__xludf.DUMMYFUNCTION("""COMPUTED_VALUE"""),65.0)</f>
        <v>65</v>
      </c>
      <c r="J1712" s="17" t="str">
        <f>IFERROR(__xludf.DUMMYFUNCTION("""COMPUTED_VALUE"""),"&gt; 44 tahun")</f>
        <v>&gt; 44 tahun</v>
      </c>
      <c r="K1712" s="19">
        <f>IFERROR(__xludf.DUMMYFUNCTION("""COMPUTED_VALUE"""),22133.0)</f>
        <v>22133</v>
      </c>
      <c r="L1712" s="19" t="str">
        <f>IFERROR(__xludf.DUMMYFUNCTION("""COMPUTED_VALUE"""),"PEREMPUAN")</f>
        <v>PEREMPUAN</v>
      </c>
      <c r="M1712" s="35" t="str">
        <f>IFERROR(__xludf.DUMMYFUNCTION("""COMPUTED_VALUE"""),"JALAN H. R.A.RACHMAN GG WASPADA 3 NO. 15")</f>
        <v>JALAN H. R.A.RACHMAN GG WASPADA 3 NO. 15</v>
      </c>
      <c r="N1712" s="16" t="str">
        <f>IFERROR(__xludf.DUMMYFUNCTION("""COMPUTED_VALUE"""),"KEL. SUNGAI JAWI")</f>
        <v>KEL. SUNGAI JAWI</v>
      </c>
      <c r="O1712" s="16" t="str">
        <f>IFERROR(__xludf.DUMMYFUNCTION("""COMPUTED_VALUE"""),"KEC. PONTIANAK KOTA")</f>
        <v>KEC. PONTIANAK KOTA</v>
      </c>
      <c r="P1712" s="16" t="str">
        <f>IFERROR(__xludf.DUMMYFUNCTION("""COMPUTED_VALUE"""),"KOTA PONTIANAK")</f>
        <v>KOTA PONTIANAK</v>
      </c>
      <c r="Q1712" s="16" t="str">
        <f>IFERROR(__xludf.DUMMYFUNCTION("""COMPUTED_VALUE"""),"KALIMANTAN BARAT")</f>
        <v>KALIMANTAN BARAT</v>
      </c>
      <c r="R1712" s="19" t="str">
        <f>IFERROR(__xludf.DUMMYFUNCTION("""COMPUTED_VALUE"""),"ISLAM")</f>
        <v>ISLAM</v>
      </c>
      <c r="S1712" s="16" t="str">
        <f>IFERROR(__xludf.DUMMYFUNCTION("""COMPUTED_VALUE"""),"RUMAH TANGGA")</f>
        <v>RUMAH TANGGA</v>
      </c>
      <c r="T1712" s="36" t="str">
        <f>IFERROR(__xludf.DUMMYFUNCTION("""COMPUTED_VALUE"""),"SAKIT KAKI")</f>
        <v>SAKIT KAKI</v>
      </c>
      <c r="U1712" s="16" t="str">
        <f>IFERROR(__xludf.DUMMYFUNCTION("""COMPUTED_VALUE"""),"Dirumah saja")</f>
        <v>Dirumah saja</v>
      </c>
      <c r="V1712" s="11" t="str">
        <f>IFERROR(__xludf.DUMMYFUNCTION("""COMPUTED_VALUE"""),"081345402004")</f>
        <v>081345402004</v>
      </c>
      <c r="W1712" s="15"/>
    </row>
    <row r="1713" ht="22.5" customHeight="1">
      <c r="A1713" s="43"/>
      <c r="B1713" s="24">
        <f>IFERROR(__xludf.DUMMYFUNCTION("""COMPUTED_VALUE"""),45542.49999453704)</f>
        <v>45542.49999</v>
      </c>
      <c r="C1713" s="24"/>
      <c r="D1713" s="34">
        <f>IFERROR(__xludf.DUMMYFUNCTION("""COMPUTED_VALUE"""),45550.0)</f>
        <v>45550</v>
      </c>
      <c r="E1713" s="34" t="str">
        <f>IFERROR(__xludf.DUMMYFUNCTION("""COMPUTED_VALUE"""),"09Sep")</f>
        <v>09Sep</v>
      </c>
      <c r="F1713" s="34" t="str">
        <f>IFERROR(__xludf.DUMMYFUNCTION("""COMPUTED_VALUE"""),"2024")</f>
        <v>2024</v>
      </c>
      <c r="G1713" s="35" t="str">
        <f>IFERROR(__xludf.DUMMYFUNCTION("""COMPUTED_VALUE"""),"REZKA YUDHA DN")</f>
        <v>REZKA YUDHA DN</v>
      </c>
      <c r="H1713" s="17" t="str">
        <f>IFERROR(__xludf.DUMMYFUNCTION("""COMPUTED_VALUE"""),"R8824096629")</f>
        <v>R8824096629</v>
      </c>
      <c r="I1713" s="17">
        <f>IFERROR(__xludf.DUMMYFUNCTION("""COMPUTED_VALUE"""),37.0)</f>
        <v>37</v>
      </c>
      <c r="J1713" s="17" t="str">
        <f>IFERROR(__xludf.DUMMYFUNCTION("""COMPUTED_VALUE"""),"35-44 tahun")</f>
        <v>35-44 tahun</v>
      </c>
      <c r="K1713" s="19">
        <f>IFERROR(__xludf.DUMMYFUNCTION("""COMPUTED_VALUE"""),32353.0)</f>
        <v>32353</v>
      </c>
      <c r="L1713" s="19" t="str">
        <f>IFERROR(__xludf.DUMMYFUNCTION("""COMPUTED_VALUE"""),"LAKI-LAKI")</f>
        <v>LAKI-LAKI</v>
      </c>
      <c r="M1713" s="35" t="str">
        <f>IFERROR(__xludf.DUMMYFUNCTION("""COMPUTED_VALUE"""),"M YAMIN GG PERTIWI")</f>
        <v>M YAMIN GG PERTIWI</v>
      </c>
      <c r="N1713" s="16" t="str">
        <f>IFERROR(__xludf.DUMMYFUNCTION("""COMPUTED_VALUE"""),"KEL. SUNGAI BANGKONG")</f>
        <v>KEL. SUNGAI BANGKONG</v>
      </c>
      <c r="O1713" s="16" t="str">
        <f>IFERROR(__xludf.DUMMYFUNCTION("""COMPUTED_VALUE"""),"KEC. PONTIANAK KOTA")</f>
        <v>KEC. PONTIANAK KOTA</v>
      </c>
      <c r="P1713" s="16" t="str">
        <f>IFERROR(__xludf.DUMMYFUNCTION("""COMPUTED_VALUE"""),"KOTA PONTIANAK")</f>
        <v>KOTA PONTIANAK</v>
      </c>
      <c r="Q1713" s="16" t="str">
        <f>IFERROR(__xludf.DUMMYFUNCTION("""COMPUTED_VALUE"""),"KALIMANTAN BARAT")</f>
        <v>KALIMANTAN BARAT</v>
      </c>
      <c r="R1713" s="19" t="str">
        <f>IFERROR(__xludf.DUMMYFUNCTION("""COMPUTED_VALUE"""),"ISLAM")</f>
        <v>ISLAM</v>
      </c>
      <c r="S1713" s="16" t="str">
        <f>IFERROR(__xludf.DUMMYFUNCTION("""COMPUTED_VALUE"""),"SWASTA")</f>
        <v>SWASTA</v>
      </c>
      <c r="T1713" s="36" t="str">
        <f>IFERROR(__xludf.DUMMYFUNCTION("""COMPUTED_VALUE"""),"LEMAH OTOT PERUT")</f>
        <v>LEMAH OTOT PERUT</v>
      </c>
      <c r="U1713" s="16" t="str">
        <f>IFERROR(__xludf.DUMMYFUNCTION("""COMPUTED_VALUE"""),"main")</f>
        <v>main</v>
      </c>
      <c r="V1713" s="11" t="str">
        <f>IFERROR(__xludf.DUMMYFUNCTION("""COMPUTED_VALUE"""),"085246446629")</f>
        <v>085246446629</v>
      </c>
      <c r="W1713" s="15"/>
    </row>
    <row r="1714" ht="22.5" customHeight="1">
      <c r="A1714" s="8"/>
      <c r="B1714" s="9">
        <f>IFERROR(__xludf.DUMMYFUNCTION("""COMPUTED_VALUE"""),45541.54919121528)</f>
        <v>45541.54919</v>
      </c>
      <c r="C1714" s="9"/>
      <c r="D1714" s="34">
        <f>IFERROR(__xludf.DUMMYFUNCTION("""COMPUTED_VALUE"""),45550.0)</f>
        <v>45550</v>
      </c>
      <c r="E1714" s="34" t="str">
        <f>IFERROR(__xludf.DUMMYFUNCTION("""COMPUTED_VALUE"""),"09Sep")</f>
        <v>09Sep</v>
      </c>
      <c r="F1714" s="34" t="str">
        <f>IFERROR(__xludf.DUMMYFUNCTION("""COMPUTED_VALUE"""),"2024")</f>
        <v>2024</v>
      </c>
      <c r="G1714" s="35" t="str">
        <f>IFERROR(__xludf.DUMMYFUNCTION("""COMPUTED_VALUE"""),"RIDUANSAH")</f>
        <v>RIDUANSAH</v>
      </c>
      <c r="H1714" s="17" t="str">
        <f>IFERROR(__xludf.DUMMYFUNCTION("""COMPUTED_VALUE"""),"R8624098779")</f>
        <v>R8624098779</v>
      </c>
      <c r="I1714" s="17">
        <f>IFERROR(__xludf.DUMMYFUNCTION("""COMPUTED_VALUE"""),39.0)</f>
        <v>39</v>
      </c>
      <c r="J1714" s="17" t="str">
        <f>IFERROR(__xludf.DUMMYFUNCTION("""COMPUTED_VALUE"""),"35-44 tahun")</f>
        <v>35-44 tahun</v>
      </c>
      <c r="K1714" s="19">
        <f>IFERROR(__xludf.DUMMYFUNCTION("""COMPUTED_VALUE"""),31717.0)</f>
        <v>31717</v>
      </c>
      <c r="L1714" s="19" t="str">
        <f>IFERROR(__xludf.DUMMYFUNCTION("""COMPUTED_VALUE"""),"LAKI-LAKI")</f>
        <v>LAKI-LAKI</v>
      </c>
      <c r="M1714" s="35" t="str">
        <f>IFERROR(__xludf.DUMMYFUNCTION("""COMPUTED_VALUE"""),"JL KESEHATAN NO 10")</f>
        <v>JL KESEHATAN NO 10</v>
      </c>
      <c r="N1714" s="16" t="str">
        <f>IFERROR(__xludf.DUMMYFUNCTION("""COMPUTED_VALUE"""),"KEL. KOTA BARU")</f>
        <v>KEL. KOTA BARU</v>
      </c>
      <c r="O1714" s="16" t="str">
        <f>IFERROR(__xludf.DUMMYFUNCTION("""COMPUTED_VALUE"""),"KEC. PONTIANAK SELATAN")</f>
        <v>KEC. PONTIANAK SELATAN</v>
      </c>
      <c r="P1714" s="16" t="str">
        <f>IFERROR(__xludf.DUMMYFUNCTION("""COMPUTED_VALUE"""),"KOTA PONTIANAK")</f>
        <v>KOTA PONTIANAK</v>
      </c>
      <c r="Q1714" s="16" t="str">
        <f>IFERROR(__xludf.DUMMYFUNCTION("""COMPUTED_VALUE"""),"KALIMANTAN BARAT")</f>
        <v>KALIMANTAN BARAT</v>
      </c>
      <c r="R1714" s="19" t="str">
        <f>IFERROR(__xludf.DUMMYFUNCTION("""COMPUTED_VALUE"""),"ISLAM")</f>
        <v>ISLAM</v>
      </c>
      <c r="S1714" s="16" t="str">
        <f>IFERROR(__xludf.DUMMYFUNCTION("""COMPUTED_VALUE"""),"SWASTA")</f>
        <v>SWASTA</v>
      </c>
      <c r="T1714" s="36" t="str">
        <f>IFERROR(__xludf.DUMMYFUNCTION("""COMPUTED_VALUE"""),"KAKI KESELEO")</f>
        <v>KAKI KESELEO</v>
      </c>
      <c r="U1714" s="16" t="str">
        <f>IFERROR(__xludf.DUMMYFUNCTION("""COMPUTED_VALUE"""),"sepakbola")</f>
        <v>sepakbola</v>
      </c>
      <c r="V1714" s="11" t="str">
        <f>IFERROR(__xludf.DUMMYFUNCTION("""COMPUTED_VALUE"""),"08115668779")</f>
        <v>08115668779</v>
      </c>
      <c r="W1714" s="15"/>
    </row>
    <row r="1715" ht="22.5" customHeight="1">
      <c r="A1715" s="8"/>
      <c r="B1715" s="9">
        <f>IFERROR(__xludf.DUMMYFUNCTION("""COMPUTED_VALUE"""),45537.57126199074)</f>
        <v>45537.57126</v>
      </c>
      <c r="C1715" s="9"/>
      <c r="D1715" s="34">
        <f>IFERROR(__xludf.DUMMYFUNCTION("""COMPUTED_VALUE"""),45550.0)</f>
        <v>45550</v>
      </c>
      <c r="E1715" s="34" t="str">
        <f>IFERROR(__xludf.DUMMYFUNCTION("""COMPUTED_VALUE"""),"09Sep")</f>
        <v>09Sep</v>
      </c>
      <c r="F1715" s="34" t="str">
        <f>IFERROR(__xludf.DUMMYFUNCTION("""COMPUTED_VALUE"""),"2024")</f>
        <v>2024</v>
      </c>
      <c r="G1715" s="35" t="str">
        <f>IFERROR(__xludf.DUMMYFUNCTION("""COMPUTED_VALUE"""),"CHIA LI FA")</f>
        <v>CHIA LI FA</v>
      </c>
      <c r="H1715" s="17" t="str">
        <f>IFERROR(__xludf.DUMMYFUNCTION("""COMPUTED_VALUE"""),"C7224092673")</f>
        <v>C7224092673</v>
      </c>
      <c r="I1715" s="17">
        <f>IFERROR(__xludf.DUMMYFUNCTION("""COMPUTED_VALUE"""),54.0)</f>
        <v>54</v>
      </c>
      <c r="J1715" s="17" t="str">
        <f>IFERROR(__xludf.DUMMYFUNCTION("""COMPUTED_VALUE"""),"&gt; 44 tahun")</f>
        <v>&gt; 44 tahun</v>
      </c>
      <c r="K1715" s="19">
        <f>IFERROR(__xludf.DUMMYFUNCTION("""COMPUTED_VALUE"""),26424.0)</f>
        <v>26424</v>
      </c>
      <c r="L1715" s="19" t="str">
        <f>IFERROR(__xludf.DUMMYFUNCTION("""COMPUTED_VALUE"""),"PEREMPUAN")</f>
        <v>PEREMPUAN</v>
      </c>
      <c r="M1715" s="35" t="str">
        <f>IFERROR(__xludf.DUMMYFUNCTION("""COMPUTED_VALUE"""),"JALAN KOM YOS SUDARSO GANG SAGA")</f>
        <v>JALAN KOM YOS SUDARSO GANG SAGA</v>
      </c>
      <c r="N1715" s="16" t="str">
        <f>IFERROR(__xludf.DUMMYFUNCTION("""COMPUTED_VALUE"""),"KEL. SUNGAI JAWI LUAR")</f>
        <v>KEL. SUNGAI JAWI LUAR</v>
      </c>
      <c r="O1715" s="16" t="str">
        <f>IFERROR(__xludf.DUMMYFUNCTION("""COMPUTED_VALUE"""),"KEC. PONTIANAK BARAT")</f>
        <v>KEC. PONTIANAK BARAT</v>
      </c>
      <c r="P1715" s="16" t="str">
        <f>IFERROR(__xludf.DUMMYFUNCTION("""COMPUTED_VALUE"""),"KOTA PONTIANAK")</f>
        <v>KOTA PONTIANAK</v>
      </c>
      <c r="Q1715" s="16" t="str">
        <f>IFERROR(__xludf.DUMMYFUNCTION("""COMPUTED_VALUE"""),"KALIMANTAN BARAT")</f>
        <v>KALIMANTAN BARAT</v>
      </c>
      <c r="R1715" s="19" t="str">
        <f>IFERROR(__xludf.DUMMYFUNCTION("""COMPUTED_VALUE"""),"PROTESTAN")</f>
        <v>PROTESTAN</v>
      </c>
      <c r="S1715" s="16" t="str">
        <f>IFERROR(__xludf.DUMMYFUNCTION("""COMPUTED_VALUE"""),"RUMAH TANGGA")</f>
        <v>RUMAH TANGGA</v>
      </c>
      <c r="T1715" s="36" t="str">
        <f>IFERROR(__xludf.DUMMYFUNCTION("""COMPUTED_VALUE"""),"FISIO PASCA OPERASI")</f>
        <v>FISIO PASCA OPERASI</v>
      </c>
      <c r="U1715" s="16" t="str">
        <f>IFERROR(__xludf.DUMMYFUNCTION("""COMPUTED_VALUE"""),"Ibu rumah tangga")</f>
        <v>Ibu rumah tangga</v>
      </c>
      <c r="V1715" s="11" t="str">
        <f>IFERROR(__xludf.DUMMYFUNCTION("""COMPUTED_VALUE"""),"081258252673")</f>
        <v>081258252673</v>
      </c>
      <c r="W1715" s="15"/>
    </row>
    <row r="1716" ht="22.5" customHeight="1">
      <c r="A1716" s="8"/>
      <c r="B1716" s="9">
        <f>IFERROR(__xludf.DUMMYFUNCTION("""COMPUTED_VALUE"""),45542.772059675925)</f>
        <v>45542.77206</v>
      </c>
      <c r="C1716" s="9"/>
      <c r="D1716" s="34">
        <f>IFERROR(__xludf.DUMMYFUNCTION("""COMPUTED_VALUE"""),45550.0)</f>
        <v>45550</v>
      </c>
      <c r="E1716" s="34" t="str">
        <f>IFERROR(__xludf.DUMMYFUNCTION("""COMPUTED_VALUE"""),"09Sep")</f>
        <v>09Sep</v>
      </c>
      <c r="F1716" s="34" t="str">
        <f>IFERROR(__xludf.DUMMYFUNCTION("""COMPUTED_VALUE"""),"2024")</f>
        <v>2024</v>
      </c>
      <c r="G1716" s="35" t="str">
        <f>IFERROR(__xludf.DUMMYFUNCTION("""COMPUTED_VALUE"""),"MAULENI")</f>
        <v>MAULENI</v>
      </c>
      <c r="H1716" s="17" t="str">
        <f>IFERROR(__xludf.DUMMYFUNCTION("""COMPUTED_VALUE"""),"M7824094987")</f>
        <v>M7824094987</v>
      </c>
      <c r="I1716" s="17">
        <f>IFERROR(__xludf.DUMMYFUNCTION("""COMPUTED_VALUE"""),48.0)</f>
        <v>48</v>
      </c>
      <c r="J1716" s="17" t="str">
        <f>IFERROR(__xludf.DUMMYFUNCTION("""COMPUTED_VALUE"""),"&gt; 44 tahun")</f>
        <v>&gt; 44 tahun</v>
      </c>
      <c r="K1716" s="19">
        <f>IFERROR(__xludf.DUMMYFUNCTION("""COMPUTED_VALUE"""),28572.0)</f>
        <v>28572</v>
      </c>
      <c r="L1716" s="19" t="str">
        <f>IFERROR(__xludf.DUMMYFUNCTION("""COMPUTED_VALUE"""),"PEREMPUAN")</f>
        <v>PEREMPUAN</v>
      </c>
      <c r="M1716" s="35" t="str">
        <f>IFERROR(__xludf.DUMMYFUNCTION("""COMPUTED_VALUE"""),"GG. NIRBAYA 1. NO. 10 B.")</f>
        <v>GG. NIRBAYA 1. NO. 10 B.</v>
      </c>
      <c r="N1716" s="16" t="str">
        <f>IFERROR(__xludf.DUMMYFUNCTION("""COMPUTED_VALUE"""),"KEL. KOTA BARU")</f>
        <v>KEL. KOTA BARU</v>
      </c>
      <c r="O1716" s="16" t="str">
        <f>IFERROR(__xludf.DUMMYFUNCTION("""COMPUTED_VALUE"""),"KEC. PONTIANAK SELATAN")</f>
        <v>KEC. PONTIANAK SELATAN</v>
      </c>
      <c r="P1716" s="16" t="str">
        <f>IFERROR(__xludf.DUMMYFUNCTION("""COMPUTED_VALUE"""),"KOTA PONTIANAK")</f>
        <v>KOTA PONTIANAK</v>
      </c>
      <c r="Q1716" s="16" t="str">
        <f>IFERROR(__xludf.DUMMYFUNCTION("""COMPUTED_VALUE"""),"KALIMANTAN BARAT")</f>
        <v>KALIMANTAN BARAT</v>
      </c>
      <c r="R1716" s="19" t="str">
        <f>IFERROR(__xludf.DUMMYFUNCTION("""COMPUTED_VALUE"""),"ISLAM")</f>
        <v>ISLAM</v>
      </c>
      <c r="S1716" s="16" t="str">
        <f>IFERROR(__xludf.DUMMYFUNCTION("""COMPUTED_VALUE"""),"ASN")</f>
        <v>ASN</v>
      </c>
      <c r="T1716" s="16" t="str">
        <f>IFERROR(__xludf.DUMMYFUNCTION("""COMPUTED_VALUE"""),"NYERI DAN NYERI BAHU DAN LENGAN KANAN")</f>
        <v>NYERI DAN NYERI BAHU DAN LENGAN KANAN</v>
      </c>
      <c r="U1716" s="16" t="str">
        <f>IFERROR(__xludf.DUMMYFUNCTION("""COMPUTED_VALUE"""),"Olahraga")</f>
        <v>Olahraga</v>
      </c>
      <c r="V1716" s="11" t="str">
        <f>IFERROR(__xludf.DUMMYFUNCTION("""COMPUTED_VALUE"""),"081352114987")</f>
        <v>081352114987</v>
      </c>
      <c r="W1716" s="15"/>
    </row>
    <row r="1717" ht="22.5" customHeight="1">
      <c r="A1717" s="8"/>
      <c r="B1717" s="9">
        <f>IFERROR(__xludf.DUMMYFUNCTION("""COMPUTED_VALUE"""),45543.416576296295)</f>
        <v>45543.41658</v>
      </c>
      <c r="C1717" s="9"/>
      <c r="D1717" s="34">
        <f>IFERROR(__xludf.DUMMYFUNCTION("""COMPUTED_VALUE"""),45552.0)</f>
        <v>45552</v>
      </c>
      <c r="E1717" s="34" t="str">
        <f>IFERROR(__xludf.DUMMYFUNCTION("""COMPUTED_VALUE"""),"09Sep")</f>
        <v>09Sep</v>
      </c>
      <c r="F1717" s="34" t="str">
        <f>IFERROR(__xludf.DUMMYFUNCTION("""COMPUTED_VALUE"""),"2024")</f>
        <v>2024</v>
      </c>
      <c r="G1717" s="35" t="str">
        <f>IFERROR(__xludf.DUMMYFUNCTION("""COMPUTED_VALUE"""),"LUTHFI AL-HAKIM HARAHAP")</f>
        <v>LUTHFI AL-HAKIM HARAHAP</v>
      </c>
      <c r="H1717" s="17" t="str">
        <f>IFERROR(__xludf.DUMMYFUNCTION("""COMPUTED_VALUE"""),"L0924090922")</f>
        <v>L0924090922</v>
      </c>
      <c r="I1717" s="17">
        <f>IFERROR(__xludf.DUMMYFUNCTION("""COMPUTED_VALUE"""),16.0)</f>
        <v>16</v>
      </c>
      <c r="J1717" s="17" t="str">
        <f>IFERROR(__xludf.DUMMYFUNCTION("""COMPUTED_VALUE"""),"&lt; 18 tahun")</f>
        <v>&lt; 18 tahun</v>
      </c>
      <c r="K1717" s="21">
        <f>IFERROR(__xludf.DUMMYFUNCTION("""COMPUTED_VALUE"""),40021.0)</f>
        <v>40021</v>
      </c>
      <c r="L1717" s="21" t="str">
        <f>IFERROR(__xludf.DUMMYFUNCTION("""COMPUTED_VALUE"""),"LAKI-LAKI")</f>
        <v>LAKI-LAKI</v>
      </c>
      <c r="M1717" s="35" t="str">
        <f>IFERROR(__xludf.DUMMYFUNCTION("""COMPUTED_VALUE"""),"JL. PROF M. YAMIN GG. USAHA BERSAMA 1 NO.50")</f>
        <v>JL. PROF M. YAMIN GG. USAHA BERSAMA 1 NO.50</v>
      </c>
      <c r="N1717" s="16" t="str">
        <f>IFERROR(__xludf.DUMMYFUNCTION("""COMPUTED_VALUE"""),"KEL. KOTA BARU")</f>
        <v>KEL. KOTA BARU</v>
      </c>
      <c r="O1717" s="16" t="str">
        <f>IFERROR(__xludf.DUMMYFUNCTION("""COMPUTED_VALUE"""),"KEC. PONTIANAK SELATAN")</f>
        <v>KEC. PONTIANAK SELATAN</v>
      </c>
      <c r="P1717" s="16" t="str">
        <f>IFERROR(__xludf.DUMMYFUNCTION("""COMPUTED_VALUE"""),"KOTA PONTIANAK")</f>
        <v>KOTA PONTIANAK</v>
      </c>
      <c r="Q1717" s="16" t="str">
        <f>IFERROR(__xludf.DUMMYFUNCTION("""COMPUTED_VALUE"""),"KALIMANTAN BARAT")</f>
        <v>KALIMANTAN BARAT</v>
      </c>
      <c r="R1717" s="21" t="str">
        <f>IFERROR(__xludf.DUMMYFUNCTION("""COMPUTED_VALUE"""),"ISLAM")</f>
        <v>ISLAM</v>
      </c>
      <c r="S1717" s="16" t="str">
        <f>IFERROR(__xludf.DUMMYFUNCTION("""COMPUTED_VALUE"""),"PELAJAR/MAHASISWA")</f>
        <v>PELAJAR/MAHASISWA</v>
      </c>
      <c r="T1717" s="16" t="str">
        <f>IFERROR(__xludf.DUMMYFUNCTION("""COMPUTED_VALUE"""),"SAKIT BAHU")</f>
        <v>SAKIT BAHU</v>
      </c>
      <c r="U1717" s="36" t="str">
        <f>IFERROR(__xludf.DUMMYFUNCTION("""COMPUTED_VALUE"""),"Olahraga")</f>
        <v>Olahraga</v>
      </c>
      <c r="V1717" s="37" t="str">
        <f>IFERROR(__xludf.DUMMYFUNCTION("""COMPUTED_VALUE"""),"082250300922")</f>
        <v>082250300922</v>
      </c>
      <c r="W1717" s="22"/>
    </row>
    <row r="1718" ht="22.5" customHeight="1">
      <c r="A1718" s="8"/>
      <c r="B1718" s="9">
        <f>IFERROR(__xludf.DUMMYFUNCTION("""COMPUTED_VALUE"""),45543.695660046295)</f>
        <v>45543.69566</v>
      </c>
      <c r="C1718" s="9"/>
      <c r="D1718" s="34">
        <f>IFERROR(__xludf.DUMMYFUNCTION("""COMPUTED_VALUE"""),45552.0)</f>
        <v>45552</v>
      </c>
      <c r="E1718" s="34" t="str">
        <f>IFERROR(__xludf.DUMMYFUNCTION("""COMPUTED_VALUE"""),"09Sep")</f>
        <v>09Sep</v>
      </c>
      <c r="F1718" s="34" t="str">
        <f>IFERROR(__xludf.DUMMYFUNCTION("""COMPUTED_VALUE"""),"2024")</f>
        <v>2024</v>
      </c>
      <c r="G1718" s="35" t="str">
        <f>IFERROR(__xludf.DUMMYFUNCTION("""COMPUTED_VALUE"""),"RAHMAWATI PINGGANG")</f>
        <v>RAHMAWATI PINGGANG</v>
      </c>
      <c r="H1718" s="17" t="str">
        <f>IFERROR(__xludf.DUMMYFUNCTION("""COMPUTED_VALUE"""),"R0024095355")</f>
        <v>R0024095355</v>
      </c>
      <c r="I1718" s="17">
        <f>IFERROR(__xludf.DUMMYFUNCTION("""COMPUTED_VALUE"""),25.0)</f>
        <v>25</v>
      </c>
      <c r="J1718" s="17" t="str">
        <f>IFERROR(__xludf.DUMMYFUNCTION("""COMPUTED_VALUE"""),"25-34 tahun")</f>
        <v>25-34 tahun</v>
      </c>
      <c r="K1718" s="21">
        <f>IFERROR(__xludf.DUMMYFUNCTION("""COMPUTED_VALUE"""),36805.0)</f>
        <v>36805</v>
      </c>
      <c r="L1718" s="21" t="str">
        <f>IFERROR(__xludf.DUMMYFUNCTION("""COMPUTED_VALUE"""),"PEREMPUAN")</f>
        <v>PEREMPUAN</v>
      </c>
      <c r="M1718" s="35" t="str">
        <f>IFERROR(__xludf.DUMMYFUNCTION("""COMPUTED_VALUE"""),"JL. BABURAZAK BARAT GG. CAHAYA TELADAN")</f>
        <v>JL. BABURAZAK BARAT GG. CAHAYA TELADAN</v>
      </c>
      <c r="N1718" s="16" t="str">
        <f>IFERROR(__xludf.DUMMYFUNCTION("""COMPUTED_VALUE"""),"DS. PADANG TIKAR I")</f>
        <v>DS. PADANG TIKAR I</v>
      </c>
      <c r="O1718" s="16" t="str">
        <f>IFERROR(__xludf.DUMMYFUNCTION("""COMPUTED_VALUE"""),"KEC. BATU AMPAR")</f>
        <v>KEC. BATU AMPAR</v>
      </c>
      <c r="P1718" s="16" t="str">
        <f>IFERROR(__xludf.DUMMYFUNCTION("""COMPUTED_VALUE"""),"KAB. KUBU RAYA")</f>
        <v>KAB. KUBU RAYA</v>
      </c>
      <c r="Q1718" s="16" t="str">
        <f>IFERROR(__xludf.DUMMYFUNCTION("""COMPUTED_VALUE"""),"KALIMANTAN BARAT")</f>
        <v>KALIMANTAN BARAT</v>
      </c>
      <c r="R1718" s="21" t="str">
        <f>IFERROR(__xludf.DUMMYFUNCTION("""COMPUTED_VALUE"""),"ISLAM")</f>
        <v>ISLAM</v>
      </c>
      <c r="S1718" s="16" t="str">
        <f>IFERROR(__xludf.DUMMYFUNCTION("""COMPUTED_VALUE"""),"PELAJAR/MAHASISWA")</f>
        <v>PELAJAR/MAHASISWA</v>
      </c>
      <c r="T1718" s="36" t="str">
        <f>IFERROR(__xludf.DUMMYFUNCTION("""COMPUTED_VALUE"""),"NYERI PINGGANG")</f>
        <v>NYERI PINGGANG</v>
      </c>
      <c r="U1718" s="36" t="str">
        <f>IFERROR(__xludf.DUMMYFUNCTION("""COMPUTED_VALUE"""),"Bersih-bersih rumah")</f>
        <v>Bersih-bersih rumah</v>
      </c>
      <c r="V1718" s="37" t="str">
        <f>IFERROR(__xludf.DUMMYFUNCTION("""COMPUTED_VALUE"""),"081246055355")</f>
        <v>081246055355</v>
      </c>
      <c r="W1718" s="22"/>
    </row>
    <row r="1719" ht="22.5" customHeight="1">
      <c r="A1719" s="8"/>
      <c r="B1719" s="9">
        <f>IFERROR(__xludf.DUMMYFUNCTION("""COMPUTED_VALUE"""),45543.715898993054)</f>
        <v>45543.7159</v>
      </c>
      <c r="C1719" s="9"/>
      <c r="D1719" s="34">
        <f>IFERROR(__xludf.DUMMYFUNCTION("""COMPUTED_VALUE"""),45553.0)</f>
        <v>45553</v>
      </c>
      <c r="E1719" s="34" t="str">
        <f>IFERROR(__xludf.DUMMYFUNCTION("""COMPUTED_VALUE"""),"09Sep")</f>
        <v>09Sep</v>
      </c>
      <c r="F1719" s="34" t="str">
        <f>IFERROR(__xludf.DUMMYFUNCTION("""COMPUTED_VALUE"""),"2024")</f>
        <v>2024</v>
      </c>
      <c r="G1719" s="35" t="str">
        <f>IFERROR(__xludf.DUMMYFUNCTION("""COMPUTED_VALUE"""),"ANGGORO HASTOMO PUTRA")</f>
        <v>ANGGORO HASTOMO PUTRA</v>
      </c>
      <c r="H1719" s="17" t="str">
        <f>IFERROR(__xludf.DUMMYFUNCTION("""COMPUTED_VALUE"""),"A8724096367")</f>
        <v>A8724096367</v>
      </c>
      <c r="I1719" s="17">
        <f>IFERROR(__xludf.DUMMYFUNCTION("""COMPUTED_VALUE"""),39.0)</f>
        <v>39</v>
      </c>
      <c r="J1719" s="17" t="str">
        <f>IFERROR(__xludf.DUMMYFUNCTION("""COMPUTED_VALUE"""),"35-44 tahun")</f>
        <v>35-44 tahun</v>
      </c>
      <c r="K1719" s="19">
        <f>IFERROR(__xludf.DUMMYFUNCTION("""COMPUTED_VALUE"""),31796.0)</f>
        <v>31796</v>
      </c>
      <c r="L1719" s="19" t="str">
        <f>IFERROR(__xludf.DUMMYFUNCTION("""COMPUTED_VALUE"""),"LAKI-LAKI")</f>
        <v>LAKI-LAKI</v>
      </c>
      <c r="M1719" s="35" t="str">
        <f>IFERROR(__xludf.DUMMYFUNCTION("""COMPUTED_VALUE"""),"JL. P. NATAKUSUMA GG. SAMA RUKUN NO. 23")</f>
        <v>JL. P. NATAKUSUMA GG. SAMA RUKUN NO. 23</v>
      </c>
      <c r="N1719" s="16" t="str">
        <f>IFERROR(__xludf.DUMMYFUNCTION("""COMPUTED_VALUE"""),"KEL. SUNGAI BANGKONG")</f>
        <v>KEL. SUNGAI BANGKONG</v>
      </c>
      <c r="O1719" s="16" t="str">
        <f>IFERROR(__xludf.DUMMYFUNCTION("""COMPUTED_VALUE"""),"KEC. PONTIANAK KOTA")</f>
        <v>KEC. PONTIANAK KOTA</v>
      </c>
      <c r="P1719" s="16" t="str">
        <f>IFERROR(__xludf.DUMMYFUNCTION("""COMPUTED_VALUE"""),"KOTA PONTIANAK")</f>
        <v>KOTA PONTIANAK</v>
      </c>
      <c r="Q1719" s="16" t="str">
        <f>IFERROR(__xludf.DUMMYFUNCTION("""COMPUTED_VALUE"""),"KALIMANTAN BARAT")</f>
        <v>KALIMANTAN BARAT</v>
      </c>
      <c r="R1719" s="19" t="str">
        <f>IFERROR(__xludf.DUMMYFUNCTION("""COMPUTED_VALUE"""),"ISLAM")</f>
        <v>ISLAM</v>
      </c>
      <c r="S1719" s="16" t="str">
        <f>IFERROR(__xludf.DUMMYFUNCTION("""COMPUTED_VALUE"""),"TENAGA HONOR")</f>
        <v>TENAGA HONOR</v>
      </c>
      <c r="T1719" s="16" t="str">
        <f>IFERROR(__xludf.DUMMYFUNCTION("""COMPUTED_VALUE"""),"-NYERI TUMIT, NYERI ENGKEL KAKI KIRI, NYERI PUNGGUNG/PINGGANG")</f>
        <v>-NYERI TUMIT, NYERI ENGKEL KAKI KIRI, NYERI PUNGGUNG/PINGGANG</v>
      </c>
      <c r="U1719" s="16" t="str">
        <f>IFERROR(__xludf.DUMMYFUNCTION("""COMPUTED_VALUE"""),"Olahraga / kerja dalam ruangan n luar ruangan (survey lahan)")</f>
        <v>Olahraga / kerja dalam ruangan n luar ruangan (survey lahan)</v>
      </c>
      <c r="V1719" s="11" t="str">
        <f>IFERROR(__xludf.DUMMYFUNCTION("""COMPUTED_VALUE"""),"089675666367")</f>
        <v>089675666367</v>
      </c>
      <c r="W1719" s="15"/>
    </row>
    <row r="1720" ht="22.5" customHeight="1">
      <c r="A1720" s="8"/>
      <c r="B1720" s="9">
        <f>IFERROR(__xludf.DUMMYFUNCTION("""COMPUTED_VALUE"""),45541.54919121528)</f>
        <v>45541.54919</v>
      </c>
      <c r="C1720" s="9"/>
      <c r="D1720" s="34">
        <f>IFERROR(__xludf.DUMMYFUNCTION("""COMPUTED_VALUE"""),45553.0)</f>
        <v>45553</v>
      </c>
      <c r="E1720" s="34" t="str">
        <f>IFERROR(__xludf.DUMMYFUNCTION("""COMPUTED_VALUE"""),"09Sep")</f>
        <v>09Sep</v>
      </c>
      <c r="F1720" s="34" t="str">
        <f>IFERROR(__xludf.DUMMYFUNCTION("""COMPUTED_VALUE"""),"2024")</f>
        <v>2024</v>
      </c>
      <c r="G1720" s="35" t="str">
        <f>IFERROR(__xludf.DUMMYFUNCTION("""COMPUTED_VALUE"""),"LENTEK")</f>
        <v>LENTEK</v>
      </c>
      <c r="H1720" s="17" t="str">
        <f>IFERROR(__xludf.DUMMYFUNCTION("""COMPUTED_VALUE"""),"L5024093300")</f>
        <v>L5024093300</v>
      </c>
      <c r="I1720" s="17">
        <f>IFERROR(__xludf.DUMMYFUNCTION("""COMPUTED_VALUE"""),76.0)</f>
        <v>76</v>
      </c>
      <c r="J1720" s="17" t="str">
        <f>IFERROR(__xludf.DUMMYFUNCTION("""COMPUTED_VALUE"""),"&gt; 44 tahun")</f>
        <v>&gt; 44 tahun</v>
      </c>
      <c r="K1720" s="19">
        <f>IFERROR(__xludf.DUMMYFUNCTION("""COMPUTED_VALUE"""),18297.0)</f>
        <v>18297</v>
      </c>
      <c r="L1720" s="19" t="str">
        <f>IFERROR(__xludf.DUMMYFUNCTION("""COMPUTED_VALUE"""),"PEREMPUAN")</f>
        <v>PEREMPUAN</v>
      </c>
      <c r="M1720" s="35" t="str">
        <f>IFERROR(__xludf.DUMMYFUNCTION("""COMPUTED_VALUE"""),"SEI BOROK DUAUN SEGAE BATANG TARANG SANGGAU")</f>
        <v>SEI BOROK DUAUN SEGAE BATANG TARANG SANGGAU</v>
      </c>
      <c r="N1720" s="16" t="str">
        <f>IFERROR(__xludf.DUMMYFUNCTION("""COMPUTED_VALUE"""),"DS. COWET")</f>
        <v>DS. COWET</v>
      </c>
      <c r="O1720" s="16" t="str">
        <f>IFERROR(__xludf.DUMMYFUNCTION("""COMPUTED_VALUE"""),"KEC. BALAI")</f>
        <v>KEC. BALAI</v>
      </c>
      <c r="P1720" s="16" t="str">
        <f>IFERROR(__xludf.DUMMYFUNCTION("""COMPUTED_VALUE"""),"KAB. SANGGAU")</f>
        <v>KAB. SANGGAU</v>
      </c>
      <c r="Q1720" s="16" t="str">
        <f>IFERROR(__xludf.DUMMYFUNCTION("""COMPUTED_VALUE"""),"KALIMANTAN BARAT")</f>
        <v>KALIMANTAN BARAT</v>
      </c>
      <c r="R1720" s="19" t="str">
        <f>IFERROR(__xludf.DUMMYFUNCTION("""COMPUTED_VALUE"""),"KATOLIK")</f>
        <v>KATOLIK</v>
      </c>
      <c r="S1720" s="16" t="str">
        <f>IFERROR(__xludf.DUMMYFUNCTION("""COMPUTED_VALUE"""),"RUMAH TANGGA")</f>
        <v>RUMAH TANGGA</v>
      </c>
      <c r="T1720" s="36" t="str">
        <f>IFERROR(__xludf.DUMMYFUNCTION("""COMPUTED_VALUE"""),"SAKIT PINGGANG N SAKIT KAKI")</f>
        <v>SAKIT PINGGANG N SAKIT KAKI</v>
      </c>
      <c r="U1720" s="16" t="str">
        <f>IFERROR(__xludf.DUMMYFUNCTION("""COMPUTED_VALUE"""),"Bercocok tanam")</f>
        <v>Bercocok tanam</v>
      </c>
      <c r="V1720" s="11" t="str">
        <f>IFERROR(__xludf.DUMMYFUNCTION("""COMPUTED_VALUE"""),"085752753300")</f>
        <v>085752753300</v>
      </c>
      <c r="W1720" s="15"/>
    </row>
    <row r="1721" ht="22.5" customHeight="1">
      <c r="A1721" s="8"/>
      <c r="B1721" s="9">
        <f>IFERROR(__xludf.DUMMYFUNCTION("""COMPUTED_VALUE"""),45539.83203333333)</f>
        <v>45539.83203</v>
      </c>
      <c r="C1721" s="9"/>
      <c r="D1721" s="34">
        <f>IFERROR(__xludf.DUMMYFUNCTION("""COMPUTED_VALUE"""),45553.0)</f>
        <v>45553</v>
      </c>
      <c r="E1721" s="34" t="str">
        <f>IFERROR(__xludf.DUMMYFUNCTION("""COMPUTED_VALUE"""),"09Sep")</f>
        <v>09Sep</v>
      </c>
      <c r="F1721" s="34" t="str">
        <f>IFERROR(__xludf.DUMMYFUNCTION("""COMPUTED_VALUE"""),"2024")</f>
        <v>2024</v>
      </c>
      <c r="G1721" s="35" t="str">
        <f>IFERROR(__xludf.DUMMYFUNCTION("""COMPUTED_VALUE"""),"AMALIA GIOWINDA ISLAMI")</f>
        <v>AMALIA GIOWINDA ISLAMI</v>
      </c>
      <c r="H1721" s="17" t="str">
        <f>IFERROR(__xludf.DUMMYFUNCTION("""COMPUTED_VALUE"""),"A9524092185")</f>
        <v>A9524092185</v>
      </c>
      <c r="I1721" s="17">
        <f>IFERROR(__xludf.DUMMYFUNCTION("""COMPUTED_VALUE"""),30.0)</f>
        <v>30</v>
      </c>
      <c r="J1721" s="17" t="str">
        <f>IFERROR(__xludf.DUMMYFUNCTION("""COMPUTED_VALUE"""),"25-34 tahun")</f>
        <v>25-34 tahun</v>
      </c>
      <c r="K1721" s="19">
        <f>IFERROR(__xludf.DUMMYFUNCTION("""COMPUTED_VALUE"""),34884.0)</f>
        <v>34884</v>
      </c>
      <c r="L1721" s="19" t="str">
        <f>IFERROR(__xludf.DUMMYFUNCTION("""COMPUTED_VALUE"""),"PEREMPUAN")</f>
        <v>PEREMPUAN</v>
      </c>
      <c r="M1721" s="35" t="str">
        <f>IFERROR(__xludf.DUMMYFUNCTION("""COMPUTED_VALUE"""),"DSN JANGAR 001/001")</f>
        <v>DSN JANGAR 001/001</v>
      </c>
      <c r="N1721" s="16" t="str">
        <f>IFERROR(__xludf.DUMMYFUNCTION("""COMPUTED_VALUE"""),"KEL. NGARJO")</f>
        <v>KEL. NGARJO</v>
      </c>
      <c r="O1721" s="16" t="str">
        <f>IFERROR(__xludf.DUMMYFUNCTION("""COMPUTED_VALUE"""),"KEC. MOJOANYAR")</f>
        <v>KEC. MOJOANYAR</v>
      </c>
      <c r="P1721" s="16" t="str">
        <f>IFERROR(__xludf.DUMMYFUNCTION("""COMPUTED_VALUE"""),"KAB. MOJOKERTO")</f>
        <v>KAB. MOJOKERTO</v>
      </c>
      <c r="Q1721" s="16" t="str">
        <f>IFERROR(__xludf.DUMMYFUNCTION("""COMPUTED_VALUE"""),"JAWA TIMUR")</f>
        <v>JAWA TIMUR</v>
      </c>
      <c r="R1721" s="19" t="str">
        <f>IFERROR(__xludf.DUMMYFUNCTION("""COMPUTED_VALUE"""),"ISLAM")</f>
        <v>ISLAM</v>
      </c>
      <c r="S1721" s="16" t="str">
        <f>IFERROR(__xludf.DUMMYFUNCTION("""COMPUTED_VALUE"""),"ASN")</f>
        <v>ASN</v>
      </c>
      <c r="T1721" s="36" t="str">
        <f>IFERROR(__xludf.DUMMYFUNCTION("""COMPUTED_VALUE"""),"TERKILIR")</f>
        <v>TERKILIR</v>
      </c>
      <c r="U1721" s="16" t="str">
        <f>IFERROR(__xludf.DUMMYFUNCTION("""COMPUTED_VALUE"""),"Bekerja dan rawat anak")</f>
        <v>Bekerja dan rawat anak</v>
      </c>
      <c r="V1721" s="11" t="str">
        <f>IFERROR(__xludf.DUMMYFUNCTION("""COMPUTED_VALUE"""),"081250282185")</f>
        <v>081250282185</v>
      </c>
      <c r="W1721" s="15"/>
    </row>
    <row r="1722" ht="22.5" customHeight="1">
      <c r="A1722" s="8"/>
      <c r="B1722" s="9">
        <f>IFERROR(__xludf.DUMMYFUNCTION("""COMPUTED_VALUE"""),45544.502014074074)</f>
        <v>45544.50201</v>
      </c>
      <c r="C1722" s="9"/>
      <c r="D1722" s="34">
        <f>IFERROR(__xludf.DUMMYFUNCTION("""COMPUTED_VALUE"""),45554.0)</f>
        <v>45554</v>
      </c>
      <c r="E1722" s="34" t="str">
        <f>IFERROR(__xludf.DUMMYFUNCTION("""COMPUTED_VALUE"""),"09Sep")</f>
        <v>09Sep</v>
      </c>
      <c r="F1722" s="34" t="str">
        <f>IFERROR(__xludf.DUMMYFUNCTION("""COMPUTED_VALUE"""),"2024")</f>
        <v>2024</v>
      </c>
      <c r="G1722" s="35" t="str">
        <f>IFERROR(__xludf.DUMMYFUNCTION("""COMPUTED_VALUE"""),"MARSIANA RIKA")</f>
        <v>MARSIANA RIKA</v>
      </c>
      <c r="H1722" s="17" t="str">
        <f>IFERROR(__xludf.DUMMYFUNCTION("""COMPUTED_VALUE"""),"M9324091171")</f>
        <v>M9324091171</v>
      </c>
      <c r="I1722" s="17">
        <f>IFERROR(__xludf.DUMMYFUNCTION("""COMPUTED_VALUE"""),33.0)</f>
        <v>33</v>
      </c>
      <c r="J1722" s="17" t="str">
        <f>IFERROR(__xludf.DUMMYFUNCTION("""COMPUTED_VALUE"""),"25-34 tahun")</f>
        <v>25-34 tahun</v>
      </c>
      <c r="K1722" s="19">
        <f>IFERROR(__xludf.DUMMYFUNCTION("""COMPUTED_VALUE"""),34040.0)</f>
        <v>34040</v>
      </c>
      <c r="L1722" s="19" t="str">
        <f>IFERROR(__xludf.DUMMYFUNCTION("""COMPUTED_VALUE"""),"PEREMPUAN")</f>
        <v>PEREMPUAN</v>
      </c>
      <c r="M1722" s="35" t="str">
        <f>IFERROR(__xludf.DUMMYFUNCTION("""COMPUTED_VALUE"""),"JL DR WAHIDIN KONP KELAPA HIJAU NO 28")</f>
        <v>JL DR WAHIDIN KONP KELAPA HIJAU NO 28</v>
      </c>
      <c r="N1722" s="16" t="str">
        <f>IFERROR(__xludf.DUMMYFUNCTION("""COMPUTED_VALUE"""),"KEL. SUNGAI JAWI")</f>
        <v>KEL. SUNGAI JAWI</v>
      </c>
      <c r="O1722" s="16" t="str">
        <f>IFERROR(__xludf.DUMMYFUNCTION("""COMPUTED_VALUE"""),"KEC. PONTIANAK KOTA")</f>
        <v>KEC. PONTIANAK KOTA</v>
      </c>
      <c r="P1722" s="16" t="str">
        <f>IFERROR(__xludf.DUMMYFUNCTION("""COMPUTED_VALUE"""),"KOTA PONTIANAK")</f>
        <v>KOTA PONTIANAK</v>
      </c>
      <c r="Q1722" s="16" t="str">
        <f>IFERROR(__xludf.DUMMYFUNCTION("""COMPUTED_VALUE"""),"KALIMANTAN BARAT")</f>
        <v>KALIMANTAN BARAT</v>
      </c>
      <c r="R1722" s="19" t="str">
        <f>IFERROR(__xludf.DUMMYFUNCTION("""COMPUTED_VALUE"""),"KATOLIK")</f>
        <v>KATOLIK</v>
      </c>
      <c r="S1722" s="16" t="str">
        <f>IFERROR(__xludf.DUMMYFUNCTION("""COMPUTED_VALUE"""),"BUMN")</f>
        <v>BUMN</v>
      </c>
      <c r="T1722" s="36" t="str">
        <f>IFERROR(__xludf.DUMMYFUNCTION("""COMPUTED_VALUE"""),"ANKLE")</f>
        <v>ANKLE</v>
      </c>
      <c r="U1722" s="16" t="str">
        <f>IFERROR(__xludf.DUMMYFUNCTION("""COMPUTED_VALUE"""),"Gak ada")</f>
        <v>Gak ada</v>
      </c>
      <c r="V1722" s="11" t="str">
        <f>IFERROR(__xludf.DUMMYFUNCTION("""COMPUTED_VALUE"""),"085250031171")</f>
        <v>085250031171</v>
      </c>
      <c r="W1722" s="15"/>
    </row>
    <row r="1723" ht="22.5" customHeight="1">
      <c r="A1723" s="8"/>
      <c r="B1723" s="9">
        <f>IFERROR(__xludf.DUMMYFUNCTION("""COMPUTED_VALUE"""),45544.49128248842)</f>
        <v>45544.49128</v>
      </c>
      <c r="C1723" s="9"/>
      <c r="D1723" s="34">
        <f>IFERROR(__xludf.DUMMYFUNCTION("""COMPUTED_VALUE"""),45555.0)</f>
        <v>45555</v>
      </c>
      <c r="E1723" s="34" t="str">
        <f>IFERROR(__xludf.DUMMYFUNCTION("""COMPUTED_VALUE"""),"09Sep")</f>
        <v>09Sep</v>
      </c>
      <c r="F1723" s="34" t="str">
        <f>IFERROR(__xludf.DUMMYFUNCTION("""COMPUTED_VALUE"""),"2024")</f>
        <v>2024</v>
      </c>
      <c r="G1723" s="35" t="str">
        <f>IFERROR(__xludf.DUMMYFUNCTION("""COMPUTED_VALUE"""),"M. BYAN FARRELDIPO CAHYADI")</f>
        <v>M. BYAN FARRELDIPO CAHYADI</v>
      </c>
      <c r="H1723" s="17" t="str">
        <f>IFERROR(__xludf.DUMMYFUNCTION("""COMPUTED_VALUE"""),"M9924091461")</f>
        <v>M9924091461</v>
      </c>
      <c r="I1723" s="17">
        <f>IFERROR(__xludf.DUMMYFUNCTION("""COMPUTED_VALUE"""),26.0)</f>
        <v>26</v>
      </c>
      <c r="J1723" s="17" t="str">
        <f>IFERROR(__xludf.DUMMYFUNCTION("""COMPUTED_VALUE"""),"25-34 tahun")</f>
        <v>25-34 tahun</v>
      </c>
      <c r="K1723" s="19">
        <f>IFERROR(__xludf.DUMMYFUNCTION("""COMPUTED_VALUE"""),36449.0)</f>
        <v>36449</v>
      </c>
      <c r="L1723" s="19" t="str">
        <f>IFERROR(__xludf.DUMMYFUNCTION("""COMPUTED_VALUE"""),"LAKI-LAKI")</f>
        <v>LAKI-LAKI</v>
      </c>
      <c r="M1723" s="35" t="str">
        <f>IFERROR(__xludf.DUMMYFUNCTION("""COMPUTED_VALUE"""),"JLN ALIANYANG GG JAYS BARU NO. 50")</f>
        <v>JLN ALIANYANG GG JAYS BARU NO. 50</v>
      </c>
      <c r="N1723" s="16" t="str">
        <f>IFERROR(__xludf.DUMMYFUNCTION("""COMPUTED_VALUE"""),"KEL. SUNGAI BANGKONG")</f>
        <v>KEL. SUNGAI BANGKONG</v>
      </c>
      <c r="O1723" s="16" t="str">
        <f>IFERROR(__xludf.DUMMYFUNCTION("""COMPUTED_VALUE"""),"KEC. PONTIANAK KOTA")</f>
        <v>KEC. PONTIANAK KOTA</v>
      </c>
      <c r="P1723" s="16" t="str">
        <f>IFERROR(__xludf.DUMMYFUNCTION("""COMPUTED_VALUE"""),"KOTA PONTIANAK")</f>
        <v>KOTA PONTIANAK</v>
      </c>
      <c r="Q1723" s="16" t="str">
        <f>IFERROR(__xludf.DUMMYFUNCTION("""COMPUTED_VALUE"""),"KALIMANTAN BARAT")</f>
        <v>KALIMANTAN BARAT</v>
      </c>
      <c r="R1723" s="19" t="str">
        <f>IFERROR(__xludf.DUMMYFUNCTION("""COMPUTED_VALUE"""),"ISLAM")</f>
        <v>ISLAM</v>
      </c>
      <c r="S1723" s="16" t="str">
        <f>IFERROR(__xludf.DUMMYFUNCTION("""COMPUTED_VALUE"""),"PELAJAR/MAHASISWA")</f>
        <v>PELAJAR/MAHASISWA</v>
      </c>
      <c r="T1723" s="36" t="str">
        <f>IFERROR(__xludf.DUMMYFUNCTION("""COMPUTED_VALUE"""),"TREMOR")</f>
        <v>TREMOR</v>
      </c>
      <c r="U1723" s="16" t="str">
        <f>IFERROR(__xludf.DUMMYFUNCTION("""COMPUTED_VALUE"""),"Main game pake laptop/ hp,")</f>
        <v>Main game pake laptop/ hp,</v>
      </c>
      <c r="V1723" s="11" t="str">
        <f>IFERROR(__xludf.DUMMYFUNCTION("""COMPUTED_VALUE"""),"08115671461")</f>
        <v>08115671461</v>
      </c>
      <c r="W1723" s="15"/>
    </row>
    <row r="1724" ht="22.5" customHeight="1">
      <c r="A1724" s="8"/>
      <c r="B1724" s="9">
        <f>IFERROR(__xludf.DUMMYFUNCTION("""COMPUTED_VALUE"""),45544.507032951384)</f>
        <v>45544.50703</v>
      </c>
      <c r="C1724" s="9"/>
      <c r="D1724" s="34">
        <f>IFERROR(__xludf.DUMMYFUNCTION("""COMPUTED_VALUE"""),45555.0)</f>
        <v>45555</v>
      </c>
      <c r="E1724" s="34" t="str">
        <f>IFERROR(__xludf.DUMMYFUNCTION("""COMPUTED_VALUE"""),"09Sep")</f>
        <v>09Sep</v>
      </c>
      <c r="F1724" s="34" t="str">
        <f>IFERROR(__xludf.DUMMYFUNCTION("""COMPUTED_VALUE"""),"2024")</f>
        <v>2024</v>
      </c>
      <c r="G1724" s="35" t="str">
        <f>IFERROR(__xludf.DUMMYFUNCTION("""COMPUTED_VALUE"""),"JURI")</f>
        <v>JURI</v>
      </c>
      <c r="H1724" s="17" t="str">
        <f>IFERROR(__xludf.DUMMYFUNCTION("""COMPUTED_VALUE"""),"J0124095418")</f>
        <v>J0124095418</v>
      </c>
      <c r="I1724" s="17">
        <f>IFERROR(__xludf.DUMMYFUNCTION("""COMPUTED_VALUE"""),25.0)</f>
        <v>25</v>
      </c>
      <c r="J1724" s="17" t="str">
        <f>IFERROR(__xludf.DUMMYFUNCTION("""COMPUTED_VALUE"""),"25-34 tahun")</f>
        <v>25-34 tahun</v>
      </c>
      <c r="K1724" s="19">
        <f>IFERROR(__xludf.DUMMYFUNCTION("""COMPUTED_VALUE"""),37023.0)</f>
        <v>37023</v>
      </c>
      <c r="L1724" s="19" t="str">
        <f>IFERROR(__xludf.DUMMYFUNCTION("""COMPUTED_VALUE"""),"LAKI-LAKI")</f>
        <v>LAKI-LAKI</v>
      </c>
      <c r="M1724" s="35" t="str">
        <f>IFERROR(__xludf.DUMMYFUNCTION("""COMPUTED_VALUE"""),"JL.PROF M YAMIN GG.BUDI YUSMANA B15")</f>
        <v>JL.PROF M YAMIN GG.BUDI YUSMANA B15</v>
      </c>
      <c r="N1724" s="16" t="str">
        <f>IFERROR(__xludf.DUMMYFUNCTION("""COMPUTED_VALUE"""),"KEL. KOTA BARU")</f>
        <v>KEL. KOTA BARU</v>
      </c>
      <c r="O1724" s="16" t="str">
        <f>IFERROR(__xludf.DUMMYFUNCTION("""COMPUTED_VALUE"""),"KEC. PONTIANAK SELATAN")</f>
        <v>KEC. PONTIANAK SELATAN</v>
      </c>
      <c r="P1724" s="16" t="str">
        <f>IFERROR(__xludf.DUMMYFUNCTION("""COMPUTED_VALUE"""),"KOTA PONTIANAK")</f>
        <v>KOTA PONTIANAK</v>
      </c>
      <c r="Q1724" s="16" t="str">
        <f>IFERROR(__xludf.DUMMYFUNCTION("""COMPUTED_VALUE"""),"KALIMANTAN BARAT")</f>
        <v>KALIMANTAN BARAT</v>
      </c>
      <c r="R1724" s="19" t="str">
        <f>IFERROR(__xludf.DUMMYFUNCTION("""COMPUTED_VALUE"""),"ISLAM")</f>
        <v>ISLAM</v>
      </c>
      <c r="S1724" s="16" t="str">
        <f>IFERROR(__xludf.DUMMYFUNCTION("""COMPUTED_VALUE"""),"SWASTA")</f>
        <v>SWASTA</v>
      </c>
      <c r="T1724" s="36" t="str">
        <f>IFERROR(__xludf.DUMMYFUNCTION("""COMPUTED_VALUE"""),"SAKIT DI PINGGANG")</f>
        <v>SAKIT DI PINGGANG</v>
      </c>
      <c r="U1724" s="16" t="str">
        <f>IFERROR(__xludf.DUMMYFUNCTION("""COMPUTED_VALUE"""),"SEPAK BOLA")</f>
        <v>SEPAK BOLA</v>
      </c>
      <c r="V1724" s="11" t="str">
        <f>IFERROR(__xludf.DUMMYFUNCTION("""COMPUTED_VALUE"""),"0895340605418")</f>
        <v>0895340605418</v>
      </c>
      <c r="W1724" s="15"/>
    </row>
    <row r="1725" ht="22.5" customHeight="1">
      <c r="A1725" s="8"/>
      <c r="B1725" s="9">
        <f>IFERROR(__xludf.DUMMYFUNCTION("""COMPUTED_VALUE"""),45545.47154946759)</f>
        <v>45545.47155</v>
      </c>
      <c r="C1725" s="9"/>
      <c r="D1725" s="34">
        <f>IFERROR(__xludf.DUMMYFUNCTION("""COMPUTED_VALUE"""),45556.0)</f>
        <v>45556</v>
      </c>
      <c r="E1725" s="34" t="str">
        <f>IFERROR(__xludf.DUMMYFUNCTION("""COMPUTED_VALUE"""),"09Sep")</f>
        <v>09Sep</v>
      </c>
      <c r="F1725" s="34" t="str">
        <f>IFERROR(__xludf.DUMMYFUNCTION("""COMPUTED_VALUE"""),"2024")</f>
        <v>2024</v>
      </c>
      <c r="G1725" s="35" t="str">
        <f>IFERROR(__xludf.DUMMYFUNCTION("""COMPUTED_VALUE"""),"SABTO JULINO")</f>
        <v>SABTO JULINO</v>
      </c>
      <c r="H1725" s="17" t="str">
        <f>IFERROR(__xludf.DUMMYFUNCTION("""COMPUTED_VALUE"""),"S9124093030")</f>
        <v>S9124093030</v>
      </c>
      <c r="I1725" s="17">
        <f>IFERROR(__xludf.DUMMYFUNCTION("""COMPUTED_VALUE"""),35.0)</f>
        <v>35</v>
      </c>
      <c r="J1725" s="17" t="str">
        <f>IFERROR(__xludf.DUMMYFUNCTION("""COMPUTED_VALUE"""),"35-44 tahun")</f>
        <v>35-44 tahun</v>
      </c>
      <c r="K1725" s="19">
        <f>IFERROR(__xludf.DUMMYFUNCTION("""COMPUTED_VALUE"""),33404.0)</f>
        <v>33404</v>
      </c>
      <c r="L1725" s="19" t="str">
        <f>IFERROR(__xludf.DUMMYFUNCTION("""COMPUTED_VALUE"""),"LAKI-LAKI")</f>
        <v>LAKI-LAKI</v>
      </c>
      <c r="M1725" s="35" t="str">
        <f>IFERROR(__xludf.DUMMYFUNCTION("""COMPUTED_VALUE"""),"JL TABRANI AHMAD, GG ARKARIN NO 35A")</f>
        <v>JL TABRANI AHMAD, GG ARKARIN NO 35A</v>
      </c>
      <c r="N1725" s="16" t="str">
        <f>IFERROR(__xludf.DUMMYFUNCTION("""COMPUTED_VALUE"""),"KEL. PAL LIMA")</f>
        <v>KEL. PAL LIMA</v>
      </c>
      <c r="O1725" s="16" t="str">
        <f>IFERROR(__xludf.DUMMYFUNCTION("""COMPUTED_VALUE"""),"KEC. PONTIANAK BARAT")</f>
        <v>KEC. PONTIANAK BARAT</v>
      </c>
      <c r="P1725" s="16" t="str">
        <f>IFERROR(__xludf.DUMMYFUNCTION("""COMPUTED_VALUE"""),"KOTA PONTIANAK")</f>
        <v>KOTA PONTIANAK</v>
      </c>
      <c r="Q1725" s="16" t="str">
        <f>IFERROR(__xludf.DUMMYFUNCTION("""COMPUTED_VALUE"""),"KALIMANTAN BARAT")</f>
        <v>KALIMANTAN BARAT</v>
      </c>
      <c r="R1725" s="19" t="str">
        <f>IFERROR(__xludf.DUMMYFUNCTION("""COMPUTED_VALUE"""),"ISLAM")</f>
        <v>ISLAM</v>
      </c>
      <c r="S1725" s="16" t="str">
        <f>IFERROR(__xludf.DUMMYFUNCTION("""COMPUTED_VALUE"""),"SWASTA")</f>
        <v>SWASTA</v>
      </c>
      <c r="T1725" s="36" t="str">
        <f>IFERROR(__xludf.DUMMYFUNCTION("""COMPUTED_VALUE"""),"PERGELANGAN TANGAN KANAN NGILU LEBIH DARI 1 BULAN")</f>
        <v>PERGELANGAN TANGAN KANAN NGILU LEBIH DARI 1 BULAN</v>
      </c>
      <c r="U1725" s="16" t="str">
        <f>IFERROR(__xludf.DUMMYFUNCTION("""COMPUTED_VALUE"""),"Membaca")</f>
        <v>Membaca</v>
      </c>
      <c r="V1725" s="11" t="str">
        <f>IFERROR(__xludf.DUMMYFUNCTION("""COMPUTED_VALUE"""),"08115653030")</f>
        <v>08115653030</v>
      </c>
      <c r="W1725" s="15"/>
    </row>
    <row r="1726" ht="22.5" customHeight="1">
      <c r="A1726" s="8"/>
      <c r="B1726" s="9">
        <f>IFERROR(__xludf.DUMMYFUNCTION("""COMPUTED_VALUE"""),45545.531408738425)</f>
        <v>45545.53141</v>
      </c>
      <c r="C1726" s="9"/>
      <c r="D1726" s="34">
        <f>IFERROR(__xludf.DUMMYFUNCTION("""COMPUTED_VALUE"""),45556.0)</f>
        <v>45556</v>
      </c>
      <c r="E1726" s="34" t="str">
        <f>IFERROR(__xludf.DUMMYFUNCTION("""COMPUTED_VALUE"""),"09Sep")</f>
        <v>09Sep</v>
      </c>
      <c r="F1726" s="34" t="str">
        <f>IFERROR(__xludf.DUMMYFUNCTION("""COMPUTED_VALUE"""),"2024")</f>
        <v>2024</v>
      </c>
      <c r="G1726" s="35" t="str">
        <f>IFERROR(__xludf.DUMMYFUNCTION("""COMPUTED_VALUE"""),"MICHAEL RYAN BIMA SUPARMAN SIANIPAR")</f>
        <v>MICHAEL RYAN BIMA SUPARMAN SIANIPAR</v>
      </c>
      <c r="H1726" s="17" t="str">
        <f>IFERROR(__xludf.DUMMYFUNCTION("""COMPUTED_VALUE"""),"M9324093583")</f>
        <v>M9324093583</v>
      </c>
      <c r="I1726" s="17">
        <f>IFERROR(__xludf.DUMMYFUNCTION("""COMPUTED_VALUE"""),33.0)</f>
        <v>33</v>
      </c>
      <c r="J1726" s="17" t="str">
        <f>IFERROR(__xludf.DUMMYFUNCTION("""COMPUTED_VALUE"""),"25-34 tahun")</f>
        <v>25-34 tahun</v>
      </c>
      <c r="K1726" s="19">
        <f>IFERROR(__xludf.DUMMYFUNCTION("""COMPUTED_VALUE"""),34046.0)</f>
        <v>34046</v>
      </c>
      <c r="L1726" s="19" t="str">
        <f>IFERROR(__xludf.DUMMYFUNCTION("""COMPUTED_VALUE"""),"LAKI-LAKI")</f>
        <v>LAKI-LAKI</v>
      </c>
      <c r="M1726" s="35" t="str">
        <f>IFERROR(__xludf.DUMMYFUNCTION("""COMPUTED_VALUE"""),"SEKADAU")</f>
        <v>SEKADAU</v>
      </c>
      <c r="N1726" s="16" t="str">
        <f>IFERROR(__xludf.DUMMYFUNCTION("""COMPUTED_VALUE"""),"DS. SUNGAI RINGIN")</f>
        <v>DS. SUNGAI RINGIN</v>
      </c>
      <c r="O1726" s="16" t="str">
        <f>IFERROR(__xludf.DUMMYFUNCTION("""COMPUTED_VALUE"""),"KEC. SEKADAU HILIR")</f>
        <v>KEC. SEKADAU HILIR</v>
      </c>
      <c r="P1726" s="16" t="str">
        <f>IFERROR(__xludf.DUMMYFUNCTION("""COMPUTED_VALUE"""),"KAB. SEKADAU")</f>
        <v>KAB. SEKADAU</v>
      </c>
      <c r="Q1726" s="16" t="str">
        <f>IFERROR(__xludf.DUMMYFUNCTION("""COMPUTED_VALUE"""),"KALIMANTAN BARAT")</f>
        <v>KALIMANTAN BARAT</v>
      </c>
      <c r="R1726" s="19" t="str">
        <f>IFERROR(__xludf.DUMMYFUNCTION("""COMPUTED_VALUE"""),"PROTESTAN")</f>
        <v>PROTESTAN</v>
      </c>
      <c r="S1726" s="35" t="str">
        <f>IFERROR(__xludf.DUMMYFUNCTION("""COMPUTED_VALUE"""),"ASN")</f>
        <v>ASN</v>
      </c>
      <c r="T1726" s="36" t="str">
        <f>IFERROR(__xludf.DUMMYFUNCTION("""COMPUTED_VALUE"""),"SAKIT DI BAGIAN BAWAH TEMPURUNG KETIKA DITEKUK/BERLARI/JONGGKOK/MELOMPAT")</f>
        <v>SAKIT DI BAGIAN BAWAH TEMPURUNG KETIKA DITEKUK/BERLARI/JONGGKOK/MELOMPAT</v>
      </c>
      <c r="U1726" s="16" t="str">
        <f>IFERROR(__xludf.DUMMYFUNCTION("""COMPUTED_VALUE"""),"Futsal/bola kaki")</f>
        <v>Futsal/bola kaki</v>
      </c>
      <c r="V1726" s="11" t="str">
        <f>IFERROR(__xludf.DUMMYFUNCTION("""COMPUTED_VALUE"""),"087772663583")</f>
        <v>087772663583</v>
      </c>
      <c r="W1726" s="15"/>
    </row>
    <row r="1727" ht="22.5" customHeight="1">
      <c r="A1727" s="8"/>
      <c r="B1727" s="9">
        <f>IFERROR(__xludf.DUMMYFUNCTION("""COMPUTED_VALUE"""),45545.577029340275)</f>
        <v>45545.57703</v>
      </c>
      <c r="C1727" s="9"/>
      <c r="D1727" s="34">
        <f>IFERROR(__xludf.DUMMYFUNCTION("""COMPUTED_VALUE"""),45556.0)</f>
        <v>45556</v>
      </c>
      <c r="E1727" s="34" t="str">
        <f>IFERROR(__xludf.DUMMYFUNCTION("""COMPUTED_VALUE"""),"09Sep")</f>
        <v>09Sep</v>
      </c>
      <c r="F1727" s="34" t="str">
        <f>IFERROR(__xludf.DUMMYFUNCTION("""COMPUTED_VALUE"""),"2024")</f>
        <v>2024</v>
      </c>
      <c r="G1727" s="35" t="str">
        <f>IFERROR(__xludf.DUMMYFUNCTION("""COMPUTED_VALUE"""),"SAFIRA PUSPITA PRASASYA AULIA")</f>
        <v>SAFIRA PUSPITA PRASASYA AULIA</v>
      </c>
      <c r="H1727" s="17" t="str">
        <f>IFERROR(__xludf.DUMMYFUNCTION("""COMPUTED_VALUE"""),"S9824097619")</f>
        <v>S9824097619</v>
      </c>
      <c r="I1727" s="17">
        <f>IFERROR(__xludf.DUMMYFUNCTION("""COMPUTED_VALUE"""),27.0)</f>
        <v>27</v>
      </c>
      <c r="J1727" s="17" t="str">
        <f>IFERROR(__xludf.DUMMYFUNCTION("""COMPUTED_VALUE"""),"25-34 tahun")</f>
        <v>25-34 tahun</v>
      </c>
      <c r="K1727" s="19">
        <f>IFERROR(__xludf.DUMMYFUNCTION("""COMPUTED_VALUE"""),36035.0)</f>
        <v>36035</v>
      </c>
      <c r="L1727" s="19" t="str">
        <f>IFERROR(__xludf.DUMMYFUNCTION("""COMPUTED_VALUE"""),"PEREMPUAN")</f>
        <v>PEREMPUAN</v>
      </c>
      <c r="M1727" s="35" t="str">
        <f>IFERROR(__xludf.DUMMYFUNCTION("""COMPUTED_VALUE"""),"KP MELAYU KECIL III")</f>
        <v>KP MELAYU KECIL III</v>
      </c>
      <c r="N1727" s="16" t="str">
        <f>IFERROR(__xludf.DUMMYFUNCTION("""COMPUTED_VALUE"""),"KEL. BUKIT DURI")</f>
        <v>KEL. BUKIT DURI</v>
      </c>
      <c r="O1727" s="16" t="str">
        <f>IFERROR(__xludf.DUMMYFUNCTION("""COMPUTED_VALUE"""),"KEC. TEBET")</f>
        <v>KEC. TEBET</v>
      </c>
      <c r="P1727" s="16" t="str">
        <f>IFERROR(__xludf.DUMMYFUNCTION("""COMPUTED_VALUE"""),"KOTA JAKARTA SELATAN")</f>
        <v>KOTA JAKARTA SELATAN</v>
      </c>
      <c r="Q1727" s="16" t="str">
        <f>IFERROR(__xludf.DUMMYFUNCTION("""COMPUTED_VALUE"""),"DKI JAKARTA")</f>
        <v>DKI JAKARTA</v>
      </c>
      <c r="R1727" s="19" t="str">
        <f>IFERROR(__xludf.DUMMYFUNCTION("""COMPUTED_VALUE"""),"ISLAM")</f>
        <v>ISLAM</v>
      </c>
      <c r="S1727" s="35" t="str">
        <f>IFERROR(__xludf.DUMMYFUNCTION("""COMPUTED_VALUE"""),"APOTEKER")</f>
        <v>APOTEKER</v>
      </c>
      <c r="T1727" s="36" t="str">
        <f>IFERROR(__xludf.DUMMYFUNCTION("""COMPUTED_VALUE"""),"SAKIT PUNGGUNG BAWAH, BELIKAT, PINGGANG")</f>
        <v>SAKIT PUNGGUNG BAWAH, BELIKAT, PINGGANG</v>
      </c>
      <c r="U1727" s="16" t="str">
        <f>IFERROR(__xludf.DUMMYFUNCTION("""COMPUTED_VALUE"""),"IBU RUMAH TANGGA")</f>
        <v>IBU RUMAH TANGGA</v>
      </c>
      <c r="V1727" s="11" t="str">
        <f>IFERROR(__xludf.DUMMYFUNCTION("""COMPUTED_VALUE"""),"081391817619")</f>
        <v>081391817619</v>
      </c>
      <c r="W1727" s="15"/>
    </row>
    <row r="1728" ht="22.5" customHeight="1">
      <c r="A1728" s="8"/>
      <c r="B1728" s="9">
        <f>IFERROR(__xludf.DUMMYFUNCTION("""COMPUTED_VALUE"""),45545.86755417824)</f>
        <v>45545.86755</v>
      </c>
      <c r="C1728" s="9"/>
      <c r="D1728" s="34">
        <f>IFERROR(__xludf.DUMMYFUNCTION("""COMPUTED_VALUE"""),45556.0)</f>
        <v>45556</v>
      </c>
      <c r="E1728" s="34" t="str">
        <f>IFERROR(__xludf.DUMMYFUNCTION("""COMPUTED_VALUE"""),"09Sep")</f>
        <v>09Sep</v>
      </c>
      <c r="F1728" s="34" t="str">
        <f>IFERROR(__xludf.DUMMYFUNCTION("""COMPUTED_VALUE"""),"2024")</f>
        <v>2024</v>
      </c>
      <c r="G1728" s="35" t="str">
        <f>IFERROR(__xludf.DUMMYFUNCTION("""COMPUTED_VALUE"""),"ANDREAS TRI PUTRA")</f>
        <v>ANDREAS TRI PUTRA</v>
      </c>
      <c r="H1728" s="17" t="str">
        <f>IFERROR(__xludf.DUMMYFUNCTION("""COMPUTED_VALUE"""),"A9924094156")</f>
        <v>A9924094156</v>
      </c>
      <c r="I1728" s="17">
        <f>IFERROR(__xludf.DUMMYFUNCTION("""COMPUTED_VALUE"""),26.0)</f>
        <v>26</v>
      </c>
      <c r="J1728" s="17" t="str">
        <f>IFERROR(__xludf.DUMMYFUNCTION("""COMPUTED_VALUE"""),"25-34 tahun")</f>
        <v>25-34 tahun</v>
      </c>
      <c r="K1728" s="19">
        <f>IFERROR(__xludf.DUMMYFUNCTION("""COMPUTED_VALUE"""),36348.0)</f>
        <v>36348</v>
      </c>
      <c r="L1728" s="19" t="str">
        <f>IFERROR(__xludf.DUMMYFUNCTION("""COMPUTED_VALUE"""),"LAKI-LAKI")</f>
        <v>LAKI-LAKI</v>
      </c>
      <c r="M1728" s="35" t="str">
        <f>IFERROR(__xludf.DUMMYFUNCTION("""COMPUTED_VALUE"""),"JL. SUNGAI RAYA DALAM KOMP. VILLA GADING MANSION 2 NO A.9")</f>
        <v>JL. SUNGAI RAYA DALAM KOMP. VILLA GADING MANSION 2 NO A.9</v>
      </c>
      <c r="N1728" s="16" t="str">
        <f>IFERROR(__xludf.DUMMYFUNCTION("""COMPUTED_VALUE"""),"KEL. BANGKA BELITUNG DARAT")</f>
        <v>KEL. BANGKA BELITUNG DARAT</v>
      </c>
      <c r="O1728" s="16" t="str">
        <f>IFERROR(__xludf.DUMMYFUNCTION("""COMPUTED_VALUE"""),"KEC. PONTIANAK TENGGARA")</f>
        <v>KEC. PONTIANAK TENGGARA</v>
      </c>
      <c r="P1728" s="16" t="str">
        <f>IFERROR(__xludf.DUMMYFUNCTION("""COMPUTED_VALUE"""),"KOTA PONTIANAK")</f>
        <v>KOTA PONTIANAK</v>
      </c>
      <c r="Q1728" s="16" t="str">
        <f>IFERROR(__xludf.DUMMYFUNCTION("""COMPUTED_VALUE"""),"KALIMANTAN BARAT")</f>
        <v>KALIMANTAN BARAT</v>
      </c>
      <c r="R1728" s="19" t="str">
        <f>IFERROR(__xludf.DUMMYFUNCTION("""COMPUTED_VALUE"""),"KATOLIK")</f>
        <v>KATOLIK</v>
      </c>
      <c r="S1728" s="16" t="str">
        <f>IFERROR(__xludf.DUMMYFUNCTION("""COMPUTED_VALUE"""),"SWASTA")</f>
        <v>SWASTA</v>
      </c>
      <c r="T1728" s="36" t="str">
        <f>IFERROR(__xludf.DUMMYFUNCTION("""COMPUTED_VALUE"""),"PERGELANGAN TANGAN DAN TELAPAK TANGAN NYERI")</f>
        <v>PERGELANGAN TANGAN DAN TELAPAK TANGAN NYERI</v>
      </c>
      <c r="U1728" s="16" t="str">
        <f>IFERROR(__xludf.DUMMYFUNCTION("""COMPUTED_VALUE"""),"Bola, Futsal")</f>
        <v>Bola, Futsal</v>
      </c>
      <c r="V1728" s="11" t="str">
        <f>IFERROR(__xludf.DUMMYFUNCTION("""COMPUTED_VALUE"""),"081294484156")</f>
        <v>081294484156</v>
      </c>
      <c r="W1728" s="15"/>
    </row>
    <row r="1729" ht="22.5" customHeight="1">
      <c r="A1729" s="8"/>
      <c r="B1729" s="9">
        <f>IFERROR(__xludf.DUMMYFUNCTION("""COMPUTED_VALUE"""),45546.38924517361)</f>
        <v>45546.38925</v>
      </c>
      <c r="C1729" s="9"/>
      <c r="D1729" s="34">
        <f>IFERROR(__xludf.DUMMYFUNCTION("""COMPUTED_VALUE"""),45556.0)</f>
        <v>45556</v>
      </c>
      <c r="E1729" s="34" t="str">
        <f>IFERROR(__xludf.DUMMYFUNCTION("""COMPUTED_VALUE"""),"09Sep")</f>
        <v>09Sep</v>
      </c>
      <c r="F1729" s="34" t="str">
        <f>IFERROR(__xludf.DUMMYFUNCTION("""COMPUTED_VALUE"""),"2024")</f>
        <v>2024</v>
      </c>
      <c r="G1729" s="35" t="str">
        <f>IFERROR(__xludf.DUMMYFUNCTION("""COMPUTED_VALUE"""),"DEVID")</f>
        <v>DEVID</v>
      </c>
      <c r="H1729" s="17" t="str">
        <f>IFERROR(__xludf.DUMMYFUNCTION("""COMPUTED_VALUE"""),"D9924099063")</f>
        <v>D9924099063</v>
      </c>
      <c r="I1729" s="17">
        <f>IFERROR(__xludf.DUMMYFUNCTION("""COMPUTED_VALUE"""),27.0)</f>
        <v>27</v>
      </c>
      <c r="J1729" s="17" t="str">
        <f>IFERROR(__xludf.DUMMYFUNCTION("""COMPUTED_VALUE"""),"25-34 tahun")</f>
        <v>25-34 tahun</v>
      </c>
      <c r="K1729" s="19">
        <f>IFERROR(__xludf.DUMMYFUNCTION("""COMPUTED_VALUE"""),36300.0)</f>
        <v>36300</v>
      </c>
      <c r="L1729" s="19" t="str">
        <f>IFERROR(__xludf.DUMMYFUNCTION("""COMPUTED_VALUE"""),"LAKI-LAKI")</f>
        <v>LAKI-LAKI</v>
      </c>
      <c r="M1729" s="35" t="str">
        <f>IFERROR(__xludf.DUMMYFUNCTION("""COMPUTED_VALUE"""),"JL. PANGSUMA GG. FAJAR NO.49")</f>
        <v>JL. PANGSUMA GG. FAJAR NO.49</v>
      </c>
      <c r="N1729" s="16" t="str">
        <f>IFERROR(__xludf.DUMMYFUNCTION("""COMPUTED_VALUE"""),"KEL. BENUA MELAYU LAUT")</f>
        <v>KEL. BENUA MELAYU LAUT</v>
      </c>
      <c r="O1729" s="16" t="str">
        <f>IFERROR(__xludf.DUMMYFUNCTION("""COMPUTED_VALUE"""),"KEC. PONTIANAK SELATAN")</f>
        <v>KEC. PONTIANAK SELATAN</v>
      </c>
      <c r="P1729" s="16" t="str">
        <f>IFERROR(__xludf.DUMMYFUNCTION("""COMPUTED_VALUE"""),"KOTA PONTIANAK")</f>
        <v>KOTA PONTIANAK</v>
      </c>
      <c r="Q1729" s="16" t="str">
        <f>IFERROR(__xludf.DUMMYFUNCTION("""COMPUTED_VALUE"""),"KALIMANTAN BARAT")</f>
        <v>KALIMANTAN BARAT</v>
      </c>
      <c r="R1729" s="19" t="str">
        <f>IFERROR(__xludf.DUMMYFUNCTION("""COMPUTED_VALUE"""),"KATOLIK")</f>
        <v>KATOLIK</v>
      </c>
      <c r="S1729" s="16" t="str">
        <f>IFERROR(__xludf.DUMMYFUNCTION("""COMPUTED_VALUE"""),"SWASTA")</f>
        <v>SWASTA</v>
      </c>
      <c r="T1729" s="16" t="str">
        <f>IFERROR(__xludf.DUMMYFUNCTION("""COMPUTED_VALUE"""),"SARAF KEJEPIT DI BAGIAN TULANG BELAKANG")</f>
        <v>SARAF KEJEPIT DI BAGIAN TULANG BELAKANG</v>
      </c>
      <c r="U1729" s="16" t="str">
        <f>IFERROR(__xludf.DUMMYFUNCTION("""COMPUTED_VALUE"""),"Main game")</f>
        <v>Main game</v>
      </c>
      <c r="V1729" s="11" t="str">
        <f>IFERROR(__xludf.DUMMYFUNCTION("""COMPUTED_VALUE"""),"085754629063")</f>
        <v>085754629063</v>
      </c>
      <c r="W1729" s="15"/>
    </row>
    <row r="1730" ht="22.5" customHeight="1">
      <c r="A1730" s="8"/>
      <c r="B1730" s="9">
        <f>IFERROR(__xludf.DUMMYFUNCTION("""COMPUTED_VALUE"""),45546.842267835644)</f>
        <v>45546.84227</v>
      </c>
      <c r="C1730" s="9"/>
      <c r="D1730" s="34">
        <f>IFERROR(__xludf.DUMMYFUNCTION("""COMPUTED_VALUE"""),45556.0)</f>
        <v>45556</v>
      </c>
      <c r="E1730" s="34" t="str">
        <f>IFERROR(__xludf.DUMMYFUNCTION("""COMPUTED_VALUE"""),"09Sep")</f>
        <v>09Sep</v>
      </c>
      <c r="F1730" s="34" t="str">
        <f>IFERROR(__xludf.DUMMYFUNCTION("""COMPUTED_VALUE"""),"2024")</f>
        <v>2024</v>
      </c>
      <c r="G1730" s="35" t="str">
        <f>IFERROR(__xludf.DUMMYFUNCTION("""COMPUTED_VALUE"""),"ALFA GILBERD")</f>
        <v>ALFA GILBERD</v>
      </c>
      <c r="H1730" s="17" t="str">
        <f>IFERROR(__xludf.DUMMYFUNCTION("""COMPUTED_VALUE"""),"A9424099103")</f>
        <v>A9424099103</v>
      </c>
      <c r="I1730" s="17">
        <f>IFERROR(__xludf.DUMMYFUNCTION("""COMPUTED_VALUE"""),32.0)</f>
        <v>32</v>
      </c>
      <c r="J1730" s="17" t="str">
        <f>IFERROR(__xludf.DUMMYFUNCTION("""COMPUTED_VALUE"""),"25-34 tahun")</f>
        <v>25-34 tahun</v>
      </c>
      <c r="K1730" s="19">
        <f>IFERROR(__xludf.DUMMYFUNCTION("""COMPUTED_VALUE"""),34427.0)</f>
        <v>34427</v>
      </c>
      <c r="L1730" s="19" t="str">
        <f>IFERROR(__xludf.DUMMYFUNCTION("""COMPUTED_VALUE"""),"LAKI-LAKI")</f>
        <v>LAKI-LAKI</v>
      </c>
      <c r="M1730" s="35" t="str">
        <f>IFERROR(__xludf.DUMMYFUNCTION("""COMPUTED_VALUE"""),"JL TANJUNG RAYA 2 KOMP CITRA PERMATA NO 15")</f>
        <v>JL TANJUNG RAYA 2 KOMP CITRA PERMATA NO 15</v>
      </c>
      <c r="N1730" s="16" t="str">
        <f>IFERROR(__xludf.DUMMYFUNCTION("""COMPUTED_VALUE"""),"KEL. SAIGON")</f>
        <v>KEL. SAIGON</v>
      </c>
      <c r="O1730" s="16" t="str">
        <f>IFERROR(__xludf.DUMMYFUNCTION("""COMPUTED_VALUE"""),"KEC. PONTIANAK TIMUR")</f>
        <v>KEC. PONTIANAK TIMUR</v>
      </c>
      <c r="P1730" s="16" t="str">
        <f>IFERROR(__xludf.DUMMYFUNCTION("""COMPUTED_VALUE"""),"KOTA PONTIANAK")</f>
        <v>KOTA PONTIANAK</v>
      </c>
      <c r="Q1730" s="16" t="str">
        <f>IFERROR(__xludf.DUMMYFUNCTION("""COMPUTED_VALUE"""),"KALIMANTAN BARAT")</f>
        <v>KALIMANTAN BARAT</v>
      </c>
      <c r="R1730" s="19" t="str">
        <f>IFERROR(__xludf.DUMMYFUNCTION("""COMPUTED_VALUE"""),"KATOLIK")</f>
        <v>KATOLIK</v>
      </c>
      <c r="S1730" s="16" t="str">
        <f>IFERROR(__xludf.DUMMYFUNCTION("""COMPUTED_VALUE"""),"SWASTA")</f>
        <v>SWASTA</v>
      </c>
      <c r="T1730" s="16" t="str">
        <f>IFERROR(__xludf.DUMMYFUNCTION("""COMPUTED_VALUE"""),"SAKIT PINGGANG")</f>
        <v>SAKIT PINGGANG</v>
      </c>
      <c r="U1730" s="16" t="str">
        <f>IFERROR(__xludf.DUMMYFUNCTION("""COMPUTED_VALUE"""),"Olahraga Batminton")</f>
        <v>Olahraga Batminton</v>
      </c>
      <c r="V1730" s="11" t="str">
        <f>IFERROR(__xludf.DUMMYFUNCTION("""COMPUTED_VALUE"""),"082358899103")</f>
        <v>082358899103</v>
      </c>
      <c r="W1730" s="15"/>
    </row>
    <row r="1731" ht="22.5" customHeight="1">
      <c r="A1731" s="8"/>
      <c r="B1731" s="9">
        <f>IFERROR(__xludf.DUMMYFUNCTION("""COMPUTED_VALUE"""),45547.48655960648)</f>
        <v>45547.48656</v>
      </c>
      <c r="C1731" s="9"/>
      <c r="D1731" s="34">
        <f>IFERROR(__xludf.DUMMYFUNCTION("""COMPUTED_VALUE"""),45556.0)</f>
        <v>45556</v>
      </c>
      <c r="E1731" s="34" t="str">
        <f>IFERROR(__xludf.DUMMYFUNCTION("""COMPUTED_VALUE"""),"09Sep")</f>
        <v>09Sep</v>
      </c>
      <c r="F1731" s="34" t="str">
        <f>IFERROR(__xludf.DUMMYFUNCTION("""COMPUTED_VALUE"""),"2024")</f>
        <v>2024</v>
      </c>
      <c r="G1731" s="35" t="str">
        <f>IFERROR(__xludf.DUMMYFUNCTION("""COMPUTED_VALUE"""),"ALYA NDASARI MARASIN")</f>
        <v>ALYA NDASARI MARASIN</v>
      </c>
      <c r="H1731" s="17" t="str">
        <f>IFERROR(__xludf.DUMMYFUNCTION("""COMPUTED_VALUE"""),"A0224091046")</f>
        <v>A0224091046</v>
      </c>
      <c r="I1731" s="17">
        <f>IFERROR(__xludf.DUMMYFUNCTION("""COMPUTED_VALUE"""),23.0)</f>
        <v>23</v>
      </c>
      <c r="J1731" s="17" t="str">
        <f>IFERROR(__xludf.DUMMYFUNCTION("""COMPUTED_VALUE"""),"18-24 tahun")</f>
        <v>18-24 tahun</v>
      </c>
      <c r="K1731" s="19">
        <f>IFERROR(__xludf.DUMMYFUNCTION("""COMPUTED_VALUE"""),37512.0)</f>
        <v>37512</v>
      </c>
      <c r="L1731" s="19" t="str">
        <f>IFERROR(__xludf.DUMMYFUNCTION("""COMPUTED_VALUE"""),"PEREMPUAN")</f>
        <v>PEREMPUAN</v>
      </c>
      <c r="M1731" s="35" t="str">
        <f>IFERROR(__xludf.DUMMYFUNCTION("""COMPUTED_VALUE"""),"KARANGAN BLOK D NOMOR 9 KOMPLEK UNTAN")</f>
        <v>KARANGAN BLOK D NOMOR 9 KOMPLEK UNTAN</v>
      </c>
      <c r="N1731" s="16" t="str">
        <f>IFERROR(__xludf.DUMMYFUNCTION("""COMPUTED_VALUE"""),"KEL. BANSIR LAUT")</f>
        <v>KEL. BANSIR LAUT</v>
      </c>
      <c r="O1731" s="16" t="str">
        <f>IFERROR(__xludf.DUMMYFUNCTION("""COMPUTED_VALUE"""),"KEC. PONTIANAK TENGGARA")</f>
        <v>KEC. PONTIANAK TENGGARA</v>
      </c>
      <c r="P1731" s="16" t="str">
        <f>IFERROR(__xludf.DUMMYFUNCTION("""COMPUTED_VALUE"""),"KOTA PONTIANAK")</f>
        <v>KOTA PONTIANAK</v>
      </c>
      <c r="Q1731" s="16" t="str">
        <f>IFERROR(__xludf.DUMMYFUNCTION("""COMPUTED_VALUE"""),"KALIMANTAN BARAT")</f>
        <v>KALIMANTAN BARAT</v>
      </c>
      <c r="R1731" s="19" t="str">
        <f>IFERROR(__xludf.DUMMYFUNCTION("""COMPUTED_VALUE"""),"ISLAM")</f>
        <v>ISLAM</v>
      </c>
      <c r="S1731" s="35" t="str">
        <f>IFERROR(__xludf.DUMMYFUNCTION("""COMPUTED_VALUE"""),"PELAJAR/MAHASISWA")</f>
        <v>PELAJAR/MAHASISWA</v>
      </c>
      <c r="T1731" s="16" t="str">
        <f>IFERROR(__xludf.DUMMYFUNCTION("""COMPUTED_VALUE"""),"PERNAH KECEKLEK KAKIKU, KALAU JONGKOK GAKBISA DITEKUK KEDEPAN PASTINSAKIT (UDAH LAMA), PAS LARI KMAREN TIBATIBA KANANNYA SAKITT, KAYA GAK BISA LARII, PAS BERHENTI DR LARINYA DIBAWA JALAN BIASA TTP SAKIT TAI LAMA LAMA ILANG")</f>
        <v>PERNAH KECEKLEK KAKIKU, KALAU JONGKOK GAKBISA DITEKUK KEDEPAN PASTINSAKIT (UDAH LAMA), PAS LARI KMAREN TIBATIBA KANANNYA SAKITT, KAYA GAK BISA LARII, PAS BERHENTI DR LARINYA DIBAWA JALAN BIASA TTP SAKIT TAI LAMA LAMA ILANG</v>
      </c>
      <c r="U1731" s="16" t="str">
        <f>IFERROR(__xludf.DUMMYFUNCTION("""COMPUTED_VALUE"""),"Jalan")</f>
        <v>Jalan</v>
      </c>
      <c r="V1731" s="11" t="str">
        <f>IFERROR(__xludf.DUMMYFUNCTION("""COMPUTED_VALUE"""),"081649431046")</f>
        <v>081649431046</v>
      </c>
      <c r="W1731" s="15"/>
    </row>
    <row r="1732" ht="22.5" customHeight="1">
      <c r="A1732" s="8"/>
      <c r="B1732" s="9">
        <f>IFERROR(__xludf.DUMMYFUNCTION("""COMPUTED_VALUE"""),45548.42693423611)</f>
        <v>45548.42693</v>
      </c>
      <c r="C1732" s="9"/>
      <c r="D1732" s="34">
        <f>IFERROR(__xludf.DUMMYFUNCTION("""COMPUTED_VALUE"""),45557.0)</f>
        <v>45557</v>
      </c>
      <c r="E1732" s="34" t="str">
        <f>IFERROR(__xludf.DUMMYFUNCTION("""COMPUTED_VALUE"""),"09Sep")</f>
        <v>09Sep</v>
      </c>
      <c r="F1732" s="34" t="str">
        <f>IFERROR(__xludf.DUMMYFUNCTION("""COMPUTED_VALUE"""),"2024")</f>
        <v>2024</v>
      </c>
      <c r="G1732" s="16" t="str">
        <f>IFERROR(__xludf.DUMMYFUNCTION("""COMPUTED_VALUE"""),"RAMA PURNOMO")</f>
        <v>RAMA PURNOMO</v>
      </c>
      <c r="H1732" s="17" t="str">
        <f>IFERROR(__xludf.DUMMYFUNCTION("""COMPUTED_VALUE"""),"R9824094962")</f>
        <v>R9824094962</v>
      </c>
      <c r="I1732" s="17">
        <f>IFERROR(__xludf.DUMMYFUNCTION("""COMPUTED_VALUE"""),28.0)</f>
        <v>28</v>
      </c>
      <c r="J1732" s="17" t="str">
        <f>IFERROR(__xludf.DUMMYFUNCTION("""COMPUTED_VALUE"""),"25-34 tahun")</f>
        <v>25-34 tahun</v>
      </c>
      <c r="K1732" s="19">
        <f>IFERROR(__xludf.DUMMYFUNCTION("""COMPUTED_VALUE"""),35809.0)</f>
        <v>35809</v>
      </c>
      <c r="L1732" s="19" t="str">
        <f>IFERROR(__xludf.DUMMYFUNCTION("""COMPUTED_VALUE"""),"LAKI-LAKI")</f>
        <v>LAKI-LAKI</v>
      </c>
      <c r="M1732" s="35" t="str">
        <f>IFERROR(__xludf.DUMMYFUNCTION("""COMPUTED_VALUE"""),"JL VETERAN")</f>
        <v>JL VETERAN</v>
      </c>
      <c r="N1732" s="16" t="str">
        <f>IFERROR(__xludf.DUMMYFUNCTION("""COMPUTED_VALUE"""),"KEL. ROBAN")</f>
        <v>KEL. ROBAN</v>
      </c>
      <c r="O1732" s="16" t="str">
        <f>IFERROR(__xludf.DUMMYFUNCTION("""COMPUTED_VALUE"""),"KEC. SINGKAWANG TENGAH")</f>
        <v>KEC. SINGKAWANG TENGAH</v>
      </c>
      <c r="P1732" s="16" t="str">
        <f>IFERROR(__xludf.DUMMYFUNCTION("""COMPUTED_VALUE"""),"KAB. SINGKAWANG")</f>
        <v>KAB. SINGKAWANG</v>
      </c>
      <c r="Q1732" s="16" t="str">
        <f>IFERROR(__xludf.DUMMYFUNCTION("""COMPUTED_VALUE"""),"KALIMANTAN BARAT")</f>
        <v>KALIMANTAN BARAT</v>
      </c>
      <c r="R1732" s="19" t="str">
        <f>IFERROR(__xludf.DUMMYFUNCTION("""COMPUTED_VALUE"""),"ISLAM")</f>
        <v>ISLAM</v>
      </c>
      <c r="S1732" s="16" t="str">
        <f>IFERROR(__xludf.DUMMYFUNCTION("""COMPUTED_VALUE"""),"ARTIST")</f>
        <v>ARTIST</v>
      </c>
      <c r="T1732" s="36" t="str">
        <f>IFERROR(__xludf.DUMMYFUNCTION("""COMPUTED_VALUE"""),"CIDERA , ADA BUNYI")</f>
        <v>CIDERA , ADA BUNYI</v>
      </c>
      <c r="U1732" s="16" t="str">
        <f>IFERROR(__xludf.DUMMYFUNCTION("""COMPUTED_VALUE"""),"Futsal/bekerja mengambil video")</f>
        <v>Futsal/bekerja mengambil video</v>
      </c>
      <c r="V1732" s="11" t="str">
        <f>IFERROR(__xludf.DUMMYFUNCTION("""COMPUTED_VALUE"""),"089685274962")</f>
        <v>089685274962</v>
      </c>
      <c r="W1732" s="15"/>
    </row>
    <row r="1733" ht="22.5" customHeight="1">
      <c r="A1733" s="8"/>
      <c r="B1733" s="9">
        <f>IFERROR(__xludf.DUMMYFUNCTION("""COMPUTED_VALUE"""),45548.46449511574)</f>
        <v>45548.4645</v>
      </c>
      <c r="C1733" s="9"/>
      <c r="D1733" s="34">
        <f>IFERROR(__xludf.DUMMYFUNCTION("""COMPUTED_VALUE"""),45557.0)</f>
        <v>45557</v>
      </c>
      <c r="E1733" s="34" t="str">
        <f>IFERROR(__xludf.DUMMYFUNCTION("""COMPUTED_VALUE"""),"09Sep")</f>
        <v>09Sep</v>
      </c>
      <c r="F1733" s="34" t="str">
        <f>IFERROR(__xludf.DUMMYFUNCTION("""COMPUTED_VALUE"""),"2024")</f>
        <v>2024</v>
      </c>
      <c r="G1733" s="35" t="str">
        <f>IFERROR(__xludf.DUMMYFUNCTION("""COMPUTED_VALUE"""),"ABDURAHMAN")</f>
        <v>ABDURAHMAN</v>
      </c>
      <c r="H1733" s="17" t="str">
        <f>IFERROR(__xludf.DUMMYFUNCTION("""COMPUTED_VALUE"""),"A6324097081")</f>
        <v>A6324097081</v>
      </c>
      <c r="I1733" s="17">
        <f>IFERROR(__xludf.DUMMYFUNCTION("""COMPUTED_VALUE"""),62.0)</f>
        <v>62</v>
      </c>
      <c r="J1733" s="17" t="str">
        <f>IFERROR(__xludf.DUMMYFUNCTION("""COMPUTED_VALUE"""),"&gt; 44 tahun")</f>
        <v>&gt; 44 tahun</v>
      </c>
      <c r="K1733" s="19">
        <f>IFERROR(__xludf.DUMMYFUNCTION("""COMPUTED_VALUE"""),23274.0)</f>
        <v>23274</v>
      </c>
      <c r="L1733" s="19" t="str">
        <f>IFERROR(__xludf.DUMMYFUNCTION("""COMPUTED_VALUE"""),"LAKI-LAKI")</f>
        <v>LAKI-LAKI</v>
      </c>
      <c r="M1733" s="35" t="str">
        <f>IFERROR(__xludf.DUMMYFUNCTION("""COMPUTED_VALUE"""),"JL KOM YOS SUDARSO KOMP KPLP")</f>
        <v>JL KOM YOS SUDARSO KOMP KPLP</v>
      </c>
      <c r="N1733" s="16" t="str">
        <f>IFERROR(__xludf.DUMMYFUNCTION("""COMPUTED_VALUE"""),"KEL. SUNGAI JAWI LUAR")</f>
        <v>KEL. SUNGAI JAWI LUAR</v>
      </c>
      <c r="O1733" s="16" t="str">
        <f>IFERROR(__xludf.DUMMYFUNCTION("""COMPUTED_VALUE"""),"KEC. PONTIANAK BARAT")</f>
        <v>KEC. PONTIANAK BARAT</v>
      </c>
      <c r="P1733" s="16" t="str">
        <f>IFERROR(__xludf.DUMMYFUNCTION("""COMPUTED_VALUE"""),"KOTA PONTIANAK")</f>
        <v>KOTA PONTIANAK</v>
      </c>
      <c r="Q1733" s="16" t="str">
        <f>IFERROR(__xludf.DUMMYFUNCTION("""COMPUTED_VALUE"""),"KALIMANTAN BARAT")</f>
        <v>KALIMANTAN BARAT</v>
      </c>
      <c r="R1733" s="19" t="str">
        <f>IFERROR(__xludf.DUMMYFUNCTION("""COMPUTED_VALUE"""),"ISLAM")</f>
        <v>ISLAM</v>
      </c>
      <c r="S1733" s="16" t="str">
        <f>IFERROR(__xludf.DUMMYFUNCTION("""COMPUTED_VALUE"""),"SWASTA")</f>
        <v>SWASTA</v>
      </c>
      <c r="T1733" s="36" t="str">
        <f>IFERROR(__xludf.DUMMYFUNCTION("""COMPUTED_VALUE"""),"DARI BAGIAN BELAKANG PUNGGUNG SAMPAI KE KAKI KARENA BEKAS JATUH DARI MOTOR DAN PUNYA RIWAYAT DIABETES")</f>
        <v>DARI BAGIAN BELAKANG PUNGGUNG SAMPAI KE KAKI KARENA BEKAS JATUH DARI MOTOR DAN PUNYA RIWAYAT DIABETES</v>
      </c>
      <c r="U1733" s="16" t="str">
        <f>IFERROR(__xludf.DUMMYFUNCTION("""COMPUTED_VALUE"""),"Tukang Masak")</f>
        <v>Tukang Masak</v>
      </c>
      <c r="V1733" s="11" t="str">
        <f>IFERROR(__xludf.DUMMYFUNCTION("""COMPUTED_VALUE"""),"089689337081")</f>
        <v>089689337081</v>
      </c>
      <c r="W1733" s="15"/>
    </row>
    <row r="1734" ht="22.5" customHeight="1">
      <c r="A1734" s="8"/>
      <c r="B1734" s="9">
        <f>IFERROR(__xludf.DUMMYFUNCTION("""COMPUTED_VALUE"""),45548.53379386574)</f>
        <v>45548.53379</v>
      </c>
      <c r="C1734" s="9"/>
      <c r="D1734" s="34">
        <f>IFERROR(__xludf.DUMMYFUNCTION("""COMPUTED_VALUE"""),45557.0)</f>
        <v>45557</v>
      </c>
      <c r="E1734" s="34" t="str">
        <f>IFERROR(__xludf.DUMMYFUNCTION("""COMPUTED_VALUE"""),"09Sep")</f>
        <v>09Sep</v>
      </c>
      <c r="F1734" s="34" t="str">
        <f>IFERROR(__xludf.DUMMYFUNCTION("""COMPUTED_VALUE"""),"2024")</f>
        <v>2024</v>
      </c>
      <c r="G1734" s="35" t="str">
        <f>IFERROR(__xludf.DUMMYFUNCTION("""COMPUTED_VALUE"""),"MUHAMMAD ILHAM")</f>
        <v>MUHAMMAD ILHAM</v>
      </c>
      <c r="H1734" s="17" t="str">
        <f>IFERROR(__xludf.DUMMYFUNCTION("""COMPUTED_VALUE"""),"M9424094291")</f>
        <v>M9424094291</v>
      </c>
      <c r="I1734" s="17">
        <f>IFERROR(__xludf.DUMMYFUNCTION("""COMPUTED_VALUE"""),32.0)</f>
        <v>32</v>
      </c>
      <c r="J1734" s="17" t="str">
        <f>IFERROR(__xludf.DUMMYFUNCTION("""COMPUTED_VALUE"""),"25-34 tahun")</f>
        <v>25-34 tahun</v>
      </c>
      <c r="K1734" s="19">
        <f>IFERROR(__xludf.DUMMYFUNCTION("""COMPUTED_VALUE"""),34422.0)</f>
        <v>34422</v>
      </c>
      <c r="L1734" s="19" t="str">
        <f>IFERROR(__xludf.DUMMYFUNCTION("""COMPUTED_VALUE"""),"LAKI-LAKI")</f>
        <v>LAKI-LAKI</v>
      </c>
      <c r="M1734" s="35" t="str">
        <f>IFERROR(__xludf.DUMMYFUNCTION("""COMPUTED_VALUE"""),"JL. DANAU SENTARUM")</f>
        <v>JL. DANAU SENTARUM</v>
      </c>
      <c r="N1734" s="16" t="str">
        <f>IFERROR(__xludf.DUMMYFUNCTION("""COMPUTED_VALUE"""),"KEL. SUNGAI BANGKONG")</f>
        <v>KEL. SUNGAI BANGKONG</v>
      </c>
      <c r="O1734" s="16" t="str">
        <f>IFERROR(__xludf.DUMMYFUNCTION("""COMPUTED_VALUE"""),"KEC. PONTIANAK KOTA")</f>
        <v>KEC. PONTIANAK KOTA</v>
      </c>
      <c r="P1734" s="16" t="str">
        <f>IFERROR(__xludf.DUMMYFUNCTION("""COMPUTED_VALUE"""),"KOTA PONTIANAK")</f>
        <v>KOTA PONTIANAK</v>
      </c>
      <c r="Q1734" s="16" t="str">
        <f>IFERROR(__xludf.DUMMYFUNCTION("""COMPUTED_VALUE"""),"KALIMANTAN BARAT")</f>
        <v>KALIMANTAN BARAT</v>
      </c>
      <c r="R1734" s="19" t="str">
        <f>IFERROR(__xludf.DUMMYFUNCTION("""COMPUTED_VALUE"""),"ISLAM")</f>
        <v>ISLAM</v>
      </c>
      <c r="S1734" s="16" t="str">
        <f>IFERROR(__xludf.DUMMYFUNCTION("""COMPUTED_VALUE"""),"FREELANCE")</f>
        <v>FREELANCE</v>
      </c>
      <c r="T1734" s="16" t="str">
        <f>IFERROR(__xludf.DUMMYFUNCTION("""COMPUTED_VALUE"""),"SAKIT LEHER")</f>
        <v>SAKIT LEHER</v>
      </c>
      <c r="U1734" s="16" t="str">
        <f>IFERROR(__xludf.DUMMYFUNCTION("""COMPUTED_VALUE"""),"Olahraga")</f>
        <v>Olahraga</v>
      </c>
      <c r="V1734" s="11" t="str">
        <f>IFERROR(__xludf.DUMMYFUNCTION("""COMPUTED_VALUE"""),"081348884291")</f>
        <v>081348884291</v>
      </c>
      <c r="W1734" s="15"/>
    </row>
    <row r="1735" ht="22.5" customHeight="1">
      <c r="A1735" s="8"/>
      <c r="B1735" s="9">
        <f>IFERROR(__xludf.DUMMYFUNCTION("""COMPUTED_VALUE"""),45548.58392462963)</f>
        <v>45548.58392</v>
      </c>
      <c r="C1735" s="9"/>
      <c r="D1735" s="34">
        <f>IFERROR(__xludf.DUMMYFUNCTION("""COMPUTED_VALUE"""),45557.0)</f>
        <v>45557</v>
      </c>
      <c r="E1735" s="34" t="str">
        <f>IFERROR(__xludf.DUMMYFUNCTION("""COMPUTED_VALUE"""),"09Sep")</f>
        <v>09Sep</v>
      </c>
      <c r="F1735" s="34" t="str">
        <f>IFERROR(__xludf.DUMMYFUNCTION("""COMPUTED_VALUE"""),"2024")</f>
        <v>2024</v>
      </c>
      <c r="G1735" s="35" t="str">
        <f>IFERROR(__xludf.DUMMYFUNCTION("""COMPUTED_VALUE"""),"SYARIF FAEYZA NAZMI")</f>
        <v>SYARIF FAEYZA NAZMI</v>
      </c>
      <c r="H1735" s="17" t="str">
        <f>IFERROR(__xludf.DUMMYFUNCTION("""COMPUTED_VALUE"""),"S0224095266")</f>
        <v>S0224095266</v>
      </c>
      <c r="I1735" s="17">
        <f>IFERROR(__xludf.DUMMYFUNCTION("""COMPUTED_VALUE"""),24.0)</f>
        <v>24</v>
      </c>
      <c r="J1735" s="17" t="str">
        <f>IFERROR(__xludf.DUMMYFUNCTION("""COMPUTED_VALUE"""),"18-24 tahun")</f>
        <v>18-24 tahun</v>
      </c>
      <c r="K1735" s="19">
        <f>IFERROR(__xludf.DUMMYFUNCTION("""COMPUTED_VALUE"""),37310.0)</f>
        <v>37310</v>
      </c>
      <c r="L1735" s="19" t="str">
        <f>IFERROR(__xludf.DUMMYFUNCTION("""COMPUTED_VALUE"""),"LAKI-LAKI")</f>
        <v>LAKI-LAKI</v>
      </c>
      <c r="M1735" s="35" t="str">
        <f>IFERROR(__xludf.DUMMYFUNCTION("""COMPUTED_VALUE"""),"JALAN PERDANA GG. REFORMASI UNTAN")</f>
        <v>JALAN PERDANA GG. REFORMASI UNTAN</v>
      </c>
      <c r="N1735" s="16" t="str">
        <f>IFERROR(__xludf.DUMMYFUNCTION("""COMPUTED_VALUE"""),"KEL. BANSIR LAUT")</f>
        <v>KEL. BANSIR LAUT</v>
      </c>
      <c r="O1735" s="16" t="str">
        <f>IFERROR(__xludf.DUMMYFUNCTION("""COMPUTED_VALUE"""),"KEC. PONTIANAK TENGGARA")</f>
        <v>KEC. PONTIANAK TENGGARA</v>
      </c>
      <c r="P1735" s="16" t="str">
        <f>IFERROR(__xludf.DUMMYFUNCTION("""COMPUTED_VALUE"""),"KOTA PONTIANAK")</f>
        <v>KOTA PONTIANAK</v>
      </c>
      <c r="Q1735" s="16" t="str">
        <f>IFERROR(__xludf.DUMMYFUNCTION("""COMPUTED_VALUE"""),"KALIMANTAN BARAT")</f>
        <v>KALIMANTAN BARAT</v>
      </c>
      <c r="R1735" s="19" t="str">
        <f>IFERROR(__xludf.DUMMYFUNCTION("""COMPUTED_VALUE"""),"ISLAM")</f>
        <v>ISLAM</v>
      </c>
      <c r="S1735" s="16" t="str">
        <f>IFERROR(__xludf.DUMMYFUNCTION("""COMPUTED_VALUE"""),"PELAJAR/MAHASISWA")</f>
        <v>PELAJAR/MAHASISWA</v>
      </c>
      <c r="T1735" s="36" t="str">
        <f>IFERROR(__xludf.DUMMYFUNCTION("""COMPUTED_VALUE"""),"KAKU DI BAHU DAN KAKI")</f>
        <v>KAKU DI BAHU DAN KAKI</v>
      </c>
      <c r="U1735" s="16" t="str">
        <f>IFERROR(__xludf.DUMMYFUNCTION("""COMPUTED_VALUE"""),"Sekolah")</f>
        <v>Sekolah</v>
      </c>
      <c r="V1735" s="11" t="str">
        <f>IFERROR(__xludf.DUMMYFUNCTION("""COMPUTED_VALUE"""),"089697205266")</f>
        <v>089697205266</v>
      </c>
      <c r="W1735" s="15"/>
    </row>
    <row r="1736" ht="22.5" customHeight="1">
      <c r="A1736" s="8"/>
      <c r="B1736" s="9">
        <f>IFERROR(__xludf.DUMMYFUNCTION("""COMPUTED_VALUE"""),45549.784035370365)</f>
        <v>45549.78404</v>
      </c>
      <c r="C1736" s="9"/>
      <c r="D1736" s="34">
        <f>IFERROR(__xludf.DUMMYFUNCTION("""COMPUTED_VALUE"""),45557.0)</f>
        <v>45557</v>
      </c>
      <c r="E1736" s="34" t="str">
        <f>IFERROR(__xludf.DUMMYFUNCTION("""COMPUTED_VALUE"""),"09Sep")</f>
        <v>09Sep</v>
      </c>
      <c r="F1736" s="34" t="str">
        <f>IFERROR(__xludf.DUMMYFUNCTION("""COMPUTED_VALUE"""),"2024")</f>
        <v>2024</v>
      </c>
      <c r="G1736" s="35" t="str">
        <f>IFERROR(__xludf.DUMMYFUNCTION("""COMPUTED_VALUE"""),"FREMITAMA NABILA ZAHRA")</f>
        <v>FREMITAMA NABILA ZAHRA</v>
      </c>
      <c r="H1736" s="17" t="str">
        <f>IFERROR(__xludf.DUMMYFUNCTION("""COMPUTED_VALUE"""),"F0924093867")</f>
        <v>F0924093867</v>
      </c>
      <c r="I1736" s="17">
        <f>IFERROR(__xludf.DUMMYFUNCTION("""COMPUTED_VALUE"""),17.0)</f>
        <v>17</v>
      </c>
      <c r="J1736" s="17" t="str">
        <f>IFERROR(__xludf.DUMMYFUNCTION("""COMPUTED_VALUE"""),"&lt; 18 tahun")</f>
        <v>&lt; 18 tahun</v>
      </c>
      <c r="K1736" s="19">
        <f>IFERROR(__xludf.DUMMYFUNCTION("""COMPUTED_VALUE"""),39820.0)</f>
        <v>39820</v>
      </c>
      <c r="L1736" s="19" t="str">
        <f>IFERROR(__xludf.DUMMYFUNCTION("""COMPUTED_VALUE"""),"PEREMPUAN")</f>
        <v>PEREMPUAN</v>
      </c>
      <c r="M1736" s="35" t="str">
        <f>IFERROR(__xludf.DUMMYFUNCTION("""COMPUTED_VALUE"""),"JL. PURNAMA KOMPLEK DYNASTI 1 BLOK A NO.4")</f>
        <v>JL. PURNAMA KOMPLEK DYNASTI 1 BLOK A NO.4</v>
      </c>
      <c r="N1736" s="16" t="str">
        <f>IFERROR(__xludf.DUMMYFUNCTION("""COMPUTED_VALUE"""),"KEL. AKCAYA")</f>
        <v>KEL. AKCAYA</v>
      </c>
      <c r="O1736" s="16" t="str">
        <f>IFERROR(__xludf.DUMMYFUNCTION("""COMPUTED_VALUE"""),"KEC. PONTIANAK SELATAN")</f>
        <v>KEC. PONTIANAK SELATAN</v>
      </c>
      <c r="P1736" s="16" t="str">
        <f>IFERROR(__xludf.DUMMYFUNCTION("""COMPUTED_VALUE"""),"KOTA PONTIANAK")</f>
        <v>KOTA PONTIANAK</v>
      </c>
      <c r="Q1736" s="35" t="str">
        <f>IFERROR(__xludf.DUMMYFUNCTION("""COMPUTED_VALUE"""),"KALIMANTAN BARAT")</f>
        <v>KALIMANTAN BARAT</v>
      </c>
      <c r="R1736" s="19" t="str">
        <f>IFERROR(__xludf.DUMMYFUNCTION("""COMPUTED_VALUE"""),"ISLAM")</f>
        <v>ISLAM</v>
      </c>
      <c r="S1736" s="35" t="str">
        <f>IFERROR(__xludf.DUMMYFUNCTION("""COMPUTED_VALUE"""),"PELAJAR/MAHASISWA")</f>
        <v>PELAJAR/MAHASISWA</v>
      </c>
      <c r="T1736" s="36" t="str">
        <f>IFERROR(__xludf.DUMMYFUNCTION("""COMPUTED_VALUE"""),"NYERI BAGIAN BELAKANG KANAN SAKIT, ADA NYA SELISI BAHU SEBELAH KANAN")</f>
        <v>NYERI BAGIAN BELAKANG KANAN SAKIT, ADA NYA SELISI BAHU SEBELAH KANAN</v>
      </c>
      <c r="U1736" s="16" t="str">
        <f>IFERROR(__xludf.DUMMYFUNCTION("""COMPUTED_VALUE"""),"Baca")</f>
        <v>Baca</v>
      </c>
      <c r="V1736" s="11" t="str">
        <f>IFERROR(__xludf.DUMMYFUNCTION("""COMPUTED_VALUE"""),"085849103867")</f>
        <v>085849103867</v>
      </c>
      <c r="W1736" s="15"/>
    </row>
    <row r="1737" ht="22.5" customHeight="1">
      <c r="A1737" s="8"/>
      <c r="B1737" s="9">
        <f>IFERROR(__xludf.DUMMYFUNCTION("""COMPUTED_VALUE"""),45549.78539372685)</f>
        <v>45549.78539</v>
      </c>
      <c r="C1737" s="9"/>
      <c r="D1737" s="34">
        <f>IFERROR(__xludf.DUMMYFUNCTION("""COMPUTED_VALUE"""),45558.0)</f>
        <v>45558</v>
      </c>
      <c r="E1737" s="34" t="str">
        <f>IFERROR(__xludf.DUMMYFUNCTION("""COMPUTED_VALUE"""),"09Sep")</f>
        <v>09Sep</v>
      </c>
      <c r="F1737" s="34" t="str">
        <f>IFERROR(__xludf.DUMMYFUNCTION("""COMPUTED_VALUE"""),"2024")</f>
        <v>2024</v>
      </c>
      <c r="G1737" s="35" t="str">
        <f>IFERROR(__xludf.DUMMYFUNCTION("""COMPUTED_VALUE"""),"EKO DERMAWAN")</f>
        <v>EKO DERMAWAN</v>
      </c>
      <c r="H1737" s="17" t="str">
        <f>IFERROR(__xludf.DUMMYFUNCTION("""COMPUTED_VALUE"""),"E8724093400")</f>
        <v>E8724093400</v>
      </c>
      <c r="I1737" s="17">
        <f>IFERROR(__xludf.DUMMYFUNCTION("""COMPUTED_VALUE"""),38.0)</f>
        <v>38</v>
      </c>
      <c r="J1737" s="17" t="str">
        <f>IFERROR(__xludf.DUMMYFUNCTION("""COMPUTED_VALUE"""),"35-44 tahun")</f>
        <v>35-44 tahun</v>
      </c>
      <c r="K1737" s="19">
        <f>IFERROR(__xludf.DUMMYFUNCTION("""COMPUTED_VALUE"""),31980.0)</f>
        <v>31980</v>
      </c>
      <c r="L1737" s="19" t="str">
        <f>IFERROR(__xludf.DUMMYFUNCTION("""COMPUTED_VALUE"""),"LAKI-LAKI")</f>
        <v>LAKI-LAKI</v>
      </c>
      <c r="M1737" s="35" t="str">
        <f>IFERROR(__xludf.DUMMYFUNCTION("""COMPUTED_VALUE"""),"JLN.PUTRI CANDRA MIDI GANG EKA JAYA NO.7")</f>
        <v>JLN.PUTRI CANDRA MIDI GANG EKA JAYA NO.7</v>
      </c>
      <c r="N1737" s="16" t="str">
        <f>IFERROR(__xludf.DUMMYFUNCTION("""COMPUTED_VALUE"""),"KEL. SUNGAI BANGKONG")</f>
        <v>KEL. SUNGAI BANGKONG</v>
      </c>
      <c r="O1737" s="16" t="str">
        <f>IFERROR(__xludf.DUMMYFUNCTION("""COMPUTED_VALUE"""),"KEC. PONTIANAK KOTA")</f>
        <v>KEC. PONTIANAK KOTA</v>
      </c>
      <c r="P1737" s="16" t="str">
        <f>IFERROR(__xludf.DUMMYFUNCTION("""COMPUTED_VALUE"""),"KOTA PONTIANAK")</f>
        <v>KOTA PONTIANAK</v>
      </c>
      <c r="Q1737" s="16" t="str">
        <f>IFERROR(__xludf.DUMMYFUNCTION("""COMPUTED_VALUE"""),"KALIMANTAN BARAT")</f>
        <v>KALIMANTAN BARAT</v>
      </c>
      <c r="R1737" s="19" t="str">
        <f>IFERROR(__xludf.DUMMYFUNCTION("""COMPUTED_VALUE"""),"ISLAM")</f>
        <v>ISLAM</v>
      </c>
      <c r="S1737" s="35" t="str">
        <f>IFERROR(__xludf.DUMMYFUNCTION("""COMPUTED_VALUE"""),"ASN")</f>
        <v>ASN</v>
      </c>
      <c r="T1737" s="36" t="str">
        <f>IFERROR(__xludf.DUMMYFUNCTION("""COMPUTED_VALUE"""),"CIDERA PADA PAHA BAGIAN DALAM/SELANGKANGAN SEBELAH KIRI")</f>
        <v>CIDERA PADA PAHA BAGIAN DALAM/SELANGKANGAN SEBELAH KIRI</v>
      </c>
      <c r="U1737" s="16" t="str">
        <f>IFERROR(__xludf.DUMMYFUNCTION("""COMPUTED_VALUE"""),"olahraga")</f>
        <v>olahraga</v>
      </c>
      <c r="V1737" s="11" t="str">
        <f>IFERROR(__xludf.DUMMYFUNCTION("""COMPUTED_VALUE"""),"085245013400")</f>
        <v>085245013400</v>
      </c>
      <c r="W1737" s="15"/>
    </row>
    <row r="1738" ht="22.5" customHeight="1">
      <c r="A1738" s="8"/>
      <c r="B1738" s="9">
        <f>IFERROR(__xludf.DUMMYFUNCTION("""COMPUTED_VALUE"""),45549.83630915509)</f>
        <v>45549.83631</v>
      </c>
      <c r="C1738" s="9"/>
      <c r="D1738" s="34">
        <f>IFERROR(__xludf.DUMMYFUNCTION("""COMPUTED_VALUE"""),45558.0)</f>
        <v>45558</v>
      </c>
      <c r="E1738" s="34" t="str">
        <f>IFERROR(__xludf.DUMMYFUNCTION("""COMPUTED_VALUE"""),"09Sep")</f>
        <v>09Sep</v>
      </c>
      <c r="F1738" s="34" t="str">
        <f>IFERROR(__xludf.DUMMYFUNCTION("""COMPUTED_VALUE"""),"2024")</f>
        <v>2024</v>
      </c>
      <c r="G1738" s="16" t="str">
        <f>IFERROR(__xludf.DUMMYFUNCTION("""COMPUTED_VALUE"""),"FEBRILINI")</f>
        <v>FEBRILINI</v>
      </c>
      <c r="H1738" s="17" t="str">
        <f>IFERROR(__xludf.DUMMYFUNCTION("""COMPUTED_VALUE"""),"F9724092882")</f>
        <v>F9724092882</v>
      </c>
      <c r="I1738" s="17">
        <f>IFERROR(__xludf.DUMMYFUNCTION("""COMPUTED_VALUE"""),29.0)</f>
        <v>29</v>
      </c>
      <c r="J1738" s="17" t="str">
        <f>IFERROR(__xludf.DUMMYFUNCTION("""COMPUTED_VALUE"""),"25-34 tahun")</f>
        <v>25-34 tahun</v>
      </c>
      <c r="K1738" s="19">
        <f>IFERROR(__xludf.DUMMYFUNCTION("""COMPUTED_VALUE"""),35482.0)</f>
        <v>35482</v>
      </c>
      <c r="L1738" s="19" t="str">
        <f>IFERROR(__xludf.DUMMYFUNCTION("""COMPUTED_VALUE"""),"PEREMPUAN")</f>
        <v>PEREMPUAN</v>
      </c>
      <c r="M1738" s="35" t="str">
        <f>IFERROR(__xludf.DUMMYFUNCTION("""COMPUTED_VALUE"""),"JALAN PURNAMA KOMPEK MEGA PURNAMA")</f>
        <v>JALAN PURNAMA KOMPEK MEGA PURNAMA</v>
      </c>
      <c r="N1738" s="16" t="str">
        <f>IFERROR(__xludf.DUMMYFUNCTION("""COMPUTED_VALUE"""),"KEL. PARIT TOKAYA")</f>
        <v>KEL. PARIT TOKAYA</v>
      </c>
      <c r="O1738" s="16" t="str">
        <f>IFERROR(__xludf.DUMMYFUNCTION("""COMPUTED_VALUE"""),"KEC. PONTIANAK SELATAN")</f>
        <v>KEC. PONTIANAK SELATAN</v>
      </c>
      <c r="P1738" s="16" t="str">
        <f>IFERROR(__xludf.DUMMYFUNCTION("""COMPUTED_VALUE"""),"KOTA PONTIANAK")</f>
        <v>KOTA PONTIANAK</v>
      </c>
      <c r="Q1738" s="16" t="str">
        <f>IFERROR(__xludf.DUMMYFUNCTION("""COMPUTED_VALUE"""),"KALIMANTAN BARAT")</f>
        <v>KALIMANTAN BARAT</v>
      </c>
      <c r="R1738" s="19" t="str">
        <f>IFERROR(__xludf.DUMMYFUNCTION("""COMPUTED_VALUE"""),"KATOLIK")</f>
        <v>KATOLIK</v>
      </c>
      <c r="S1738" s="16" t="str">
        <f>IFERROR(__xludf.DUMMYFUNCTION("""COMPUTED_VALUE"""),"RUMAH TANGGA")</f>
        <v>RUMAH TANGGA</v>
      </c>
      <c r="T1738" s="36" t="str">
        <f>IFERROR(__xludf.DUMMYFUNCTION("""COMPUTED_VALUE"""),"MOMMY WRIST")</f>
        <v>MOMMY WRIST</v>
      </c>
      <c r="U1738" s="16" t="str">
        <f>IFERROR(__xludf.DUMMYFUNCTION("""COMPUTED_VALUE"""),"Ngurus anak")</f>
        <v>Ngurus anak</v>
      </c>
      <c r="V1738" s="11" t="str">
        <f>IFERROR(__xludf.DUMMYFUNCTION("""COMPUTED_VALUE"""),"081251242882")</f>
        <v>081251242882</v>
      </c>
      <c r="W1738" s="15"/>
    </row>
    <row r="1739" ht="22.5" customHeight="1">
      <c r="A1739" s="8"/>
      <c r="B1739" s="9">
        <f>IFERROR(__xludf.DUMMYFUNCTION("""COMPUTED_VALUE"""),45546.87827960648)</f>
        <v>45546.87828</v>
      </c>
      <c r="C1739" s="9"/>
      <c r="D1739" s="34">
        <f>IFERROR(__xludf.DUMMYFUNCTION("""COMPUTED_VALUE"""),45558.0)</f>
        <v>45558</v>
      </c>
      <c r="E1739" s="34" t="str">
        <f>IFERROR(__xludf.DUMMYFUNCTION("""COMPUTED_VALUE"""),"09Sep")</f>
        <v>09Sep</v>
      </c>
      <c r="F1739" s="34" t="str">
        <f>IFERROR(__xludf.DUMMYFUNCTION("""COMPUTED_VALUE"""),"2024")</f>
        <v>2024</v>
      </c>
      <c r="G1739" s="35" t="str">
        <f>IFERROR(__xludf.DUMMYFUNCTION("""COMPUTED_VALUE"""),"HENDRA SASTRA")</f>
        <v>HENDRA SASTRA</v>
      </c>
      <c r="H1739" s="17" t="str">
        <f>IFERROR(__xludf.DUMMYFUNCTION("""COMPUTED_VALUE"""),"H7824096076")</f>
        <v>H7824096076</v>
      </c>
      <c r="I1739" s="17">
        <f>IFERROR(__xludf.DUMMYFUNCTION("""COMPUTED_VALUE"""),47.0)</f>
        <v>47</v>
      </c>
      <c r="J1739" s="17" t="str">
        <f>IFERROR(__xludf.DUMMYFUNCTION("""COMPUTED_VALUE"""),"&gt; 44 tahun")</f>
        <v>&gt; 44 tahun</v>
      </c>
      <c r="K1739" s="19">
        <f>IFERROR(__xludf.DUMMYFUNCTION("""COMPUTED_VALUE"""),28776.0)</f>
        <v>28776</v>
      </c>
      <c r="L1739" s="19" t="str">
        <f>IFERROR(__xludf.DUMMYFUNCTION("""COMPUTED_VALUE"""),"LAKI-LAKI")</f>
        <v>LAKI-LAKI</v>
      </c>
      <c r="M1739" s="35" t="str">
        <f>IFERROR(__xludf.DUMMYFUNCTION("""COMPUTED_VALUE"""),"JALAN MERDEKA 424")</f>
        <v>JALAN MERDEKA 424</v>
      </c>
      <c r="N1739" s="16" t="str">
        <f>IFERROR(__xludf.DUMMYFUNCTION("""COMPUTED_VALUE"""),"KEL. TENGAH")</f>
        <v>KEL. TENGAH</v>
      </c>
      <c r="O1739" s="16" t="str">
        <f>IFERROR(__xludf.DUMMYFUNCTION("""COMPUTED_VALUE"""),"KEC. PONTIANAK KOTA")</f>
        <v>KEC. PONTIANAK KOTA</v>
      </c>
      <c r="P1739" s="16" t="str">
        <f>IFERROR(__xludf.DUMMYFUNCTION("""COMPUTED_VALUE"""),"KOTA PONTIANAK")</f>
        <v>KOTA PONTIANAK</v>
      </c>
      <c r="Q1739" s="16" t="str">
        <f>IFERROR(__xludf.DUMMYFUNCTION("""COMPUTED_VALUE"""),"KALIMANTAN BARAT")</f>
        <v>KALIMANTAN BARAT</v>
      </c>
      <c r="R1739" s="19" t="str">
        <f>IFERROR(__xludf.DUMMYFUNCTION("""COMPUTED_VALUE"""),"KATOLIK")</f>
        <v>KATOLIK</v>
      </c>
      <c r="S1739" s="35" t="str">
        <f>IFERROR(__xludf.DUMMYFUNCTION("""COMPUTED_VALUE"""),"WIRASWASTA")</f>
        <v>WIRASWASTA</v>
      </c>
      <c r="T1739" s="36" t="str">
        <f>IFERROR(__xludf.DUMMYFUNCTION("""COMPUTED_VALUE"""),"POSTUR TUBUH")</f>
        <v>POSTUR TUBUH</v>
      </c>
      <c r="U1739" s="16" t="str">
        <f>IFERROR(__xludf.DUMMYFUNCTION("""COMPUTED_VALUE"""),"Kerja lapangan")</f>
        <v>Kerja lapangan</v>
      </c>
      <c r="V1739" s="11" t="str">
        <f>IFERROR(__xludf.DUMMYFUNCTION("""COMPUTED_VALUE"""),"082358766076")</f>
        <v>082358766076</v>
      </c>
      <c r="W1739" s="15"/>
    </row>
    <row r="1740" ht="22.5" customHeight="1">
      <c r="A1740" s="8"/>
      <c r="B1740" s="9">
        <f>IFERROR(__xludf.DUMMYFUNCTION("""COMPUTED_VALUE"""),45549.49485440972)</f>
        <v>45549.49485</v>
      </c>
      <c r="C1740" s="9"/>
      <c r="D1740" s="34">
        <f>IFERROR(__xludf.DUMMYFUNCTION("""COMPUTED_VALUE"""),45559.0)</f>
        <v>45559</v>
      </c>
      <c r="E1740" s="34" t="str">
        <f>IFERROR(__xludf.DUMMYFUNCTION("""COMPUTED_VALUE"""),"09Sep")</f>
        <v>09Sep</v>
      </c>
      <c r="F1740" s="34" t="str">
        <f>IFERROR(__xludf.DUMMYFUNCTION("""COMPUTED_VALUE"""),"2024")</f>
        <v>2024</v>
      </c>
      <c r="G1740" s="35" t="str">
        <f>IFERROR(__xludf.DUMMYFUNCTION("""COMPUTED_VALUE"""),"MARGULAN")</f>
        <v>MARGULAN</v>
      </c>
      <c r="H1740" s="17" t="str">
        <f>IFERROR(__xludf.DUMMYFUNCTION("""COMPUTED_VALUE"""),"M6424096540")</f>
        <v>M6424096540</v>
      </c>
      <c r="I1740" s="17">
        <f>IFERROR(__xludf.DUMMYFUNCTION("""COMPUTED_VALUE"""),61.0)</f>
        <v>61</v>
      </c>
      <c r="J1740" s="17" t="str">
        <f>IFERROR(__xludf.DUMMYFUNCTION("""COMPUTED_VALUE"""),"&gt; 44 tahun")</f>
        <v>&gt; 44 tahun</v>
      </c>
      <c r="K1740" s="19">
        <f>IFERROR(__xludf.DUMMYFUNCTION("""COMPUTED_VALUE"""),23713.0)</f>
        <v>23713</v>
      </c>
      <c r="L1740" s="19" t="str">
        <f>IFERROR(__xludf.DUMMYFUNCTION("""COMPUTED_VALUE"""),"LAKI-LAKI")</f>
        <v>LAKI-LAKI</v>
      </c>
      <c r="M1740" s="35" t="str">
        <f>IFERROR(__xludf.DUMMYFUNCTION("""COMPUTED_VALUE"""),"JLN PANG LIMA AIM")</f>
        <v>JLN PANG LIMA AIM</v>
      </c>
      <c r="N1740" s="16" t="str">
        <f>IFERROR(__xludf.DUMMYFUNCTION("""COMPUTED_VALUE"""),"KEL. TANJUNG HULU")</f>
        <v>KEL. TANJUNG HULU</v>
      </c>
      <c r="O1740" s="16" t="str">
        <f>IFERROR(__xludf.DUMMYFUNCTION("""COMPUTED_VALUE"""),"KEC. PONTIANAK TIMUR")</f>
        <v>KEC. PONTIANAK TIMUR</v>
      </c>
      <c r="P1740" s="16" t="str">
        <f>IFERROR(__xludf.DUMMYFUNCTION("""COMPUTED_VALUE"""),"KOTA PONTIANAK")</f>
        <v>KOTA PONTIANAK</v>
      </c>
      <c r="Q1740" s="16" t="str">
        <f>IFERROR(__xludf.DUMMYFUNCTION("""COMPUTED_VALUE"""),"KALIMANTAN BARAT")</f>
        <v>KALIMANTAN BARAT</v>
      </c>
      <c r="R1740" s="19" t="str">
        <f>IFERROR(__xludf.DUMMYFUNCTION("""COMPUTED_VALUE"""),"ISLAM")</f>
        <v>ISLAM</v>
      </c>
      <c r="S1740" s="35" t="str">
        <f>IFERROR(__xludf.DUMMYFUNCTION("""COMPUTED_VALUE"""),"SWASTA")</f>
        <v>SWASTA</v>
      </c>
      <c r="T1740" s="16" t="str">
        <f>IFERROR(__xludf.DUMMYFUNCTION("""COMPUTED_VALUE"""),"LEMAH KAKI KIRI, BOKONG TERASA SAKIT, KAKI SEBELAH KANAN MULAI GEJALAN")</f>
        <v>LEMAH KAKI KIRI, BOKONG TERASA SAKIT, KAKI SEBELAH KANAN MULAI GEJALAN</v>
      </c>
      <c r="U1740" s="16" t="str">
        <f>IFERROR(__xludf.DUMMYFUNCTION("""COMPUTED_VALUE"""),"Kerja")</f>
        <v>Kerja</v>
      </c>
      <c r="V1740" s="11" t="str">
        <f>IFERROR(__xludf.DUMMYFUNCTION("""COMPUTED_VALUE"""),"089693926540")</f>
        <v>089693926540</v>
      </c>
      <c r="W1740" s="15"/>
    </row>
    <row r="1741" ht="22.5" customHeight="1">
      <c r="A1741" s="8"/>
      <c r="B1741" s="9">
        <f>IFERROR(__xludf.DUMMYFUNCTION("""COMPUTED_VALUE"""),45549.527505543985)</f>
        <v>45549.52751</v>
      </c>
      <c r="C1741" s="9"/>
      <c r="D1741" s="34">
        <f>IFERROR(__xludf.DUMMYFUNCTION("""COMPUTED_VALUE"""),45559.0)</f>
        <v>45559</v>
      </c>
      <c r="E1741" s="34" t="str">
        <f>IFERROR(__xludf.DUMMYFUNCTION("""COMPUTED_VALUE"""),"09Sep")</f>
        <v>09Sep</v>
      </c>
      <c r="F1741" s="34" t="str">
        <f>IFERROR(__xludf.DUMMYFUNCTION("""COMPUTED_VALUE"""),"2024")</f>
        <v>2024</v>
      </c>
      <c r="G1741" s="35" t="str">
        <f>IFERROR(__xludf.DUMMYFUNCTION("""COMPUTED_VALUE"""),"APRILIA ISTI ASMOROWATO")</f>
        <v>APRILIA ISTI ASMOROWATO</v>
      </c>
      <c r="H1741" s="17" t="str">
        <f>IFERROR(__xludf.DUMMYFUNCTION("""COMPUTED_VALUE"""),"A9524090357")</f>
        <v>A9524090357</v>
      </c>
      <c r="I1741" s="17">
        <f>IFERROR(__xludf.DUMMYFUNCTION("""COMPUTED_VALUE"""),31.0)</f>
        <v>31</v>
      </c>
      <c r="J1741" s="17" t="str">
        <f>IFERROR(__xludf.DUMMYFUNCTION("""COMPUTED_VALUE"""),"25-34 tahun")</f>
        <v>25-34 tahun</v>
      </c>
      <c r="K1741" s="19">
        <f>IFERROR(__xludf.DUMMYFUNCTION("""COMPUTED_VALUE"""),34813.0)</f>
        <v>34813</v>
      </c>
      <c r="L1741" s="19" t="str">
        <f>IFERROR(__xludf.DUMMYFUNCTION("""COMPUTED_VALUE"""),"PEREMPUAN")</f>
        <v>PEREMPUAN</v>
      </c>
      <c r="M1741" s="35" t="str">
        <f>IFERROR(__xludf.DUMMYFUNCTION("""COMPUTED_VALUE"""),"JL TRANS KALIMANTAN")</f>
        <v>JL TRANS KALIMANTAN</v>
      </c>
      <c r="N1741" s="16" t="str">
        <f>IFERROR(__xludf.DUMMYFUNCTION("""COMPUTED_VALUE"""),"DS. KUALA MANDOR B")</f>
        <v>DS. KUALA MANDOR B</v>
      </c>
      <c r="O1741" s="16" t="str">
        <f>IFERROR(__xludf.DUMMYFUNCTION("""COMPUTED_VALUE"""),"KEC. SUNGAI AMBAWANG")</f>
        <v>KEC. SUNGAI AMBAWANG</v>
      </c>
      <c r="P1741" s="16" t="str">
        <f>IFERROR(__xludf.DUMMYFUNCTION("""COMPUTED_VALUE"""),"KAB. KUBU RAYA")</f>
        <v>KAB. KUBU RAYA</v>
      </c>
      <c r="Q1741" s="16" t="str">
        <f>IFERROR(__xludf.DUMMYFUNCTION("""COMPUTED_VALUE"""),"KALIMANTAN BARAT")</f>
        <v>KALIMANTAN BARAT</v>
      </c>
      <c r="R1741" s="19" t="str">
        <f>IFERROR(__xludf.DUMMYFUNCTION("""COMPUTED_VALUE"""),"ISLAM")</f>
        <v>ISLAM</v>
      </c>
      <c r="S1741" s="16" t="str">
        <f>IFERROR(__xludf.DUMMYFUNCTION("""COMPUTED_VALUE"""),"SWASTA")</f>
        <v>SWASTA</v>
      </c>
      <c r="T1741" s="36" t="str">
        <f>IFERROR(__xludf.DUMMYFUNCTION("""COMPUTED_VALUE"""),"SAKIT PADA PERGELANGAN TANGAN")</f>
        <v>SAKIT PADA PERGELANGAN TANGAN</v>
      </c>
      <c r="U1741" s="16" t="str">
        <f>IFERROR(__xludf.DUMMYFUNCTION("""COMPUTED_VALUE"""),"Memasak")</f>
        <v>Memasak</v>
      </c>
      <c r="V1741" s="11" t="str">
        <f>IFERROR(__xludf.DUMMYFUNCTION("""COMPUTED_VALUE"""),"08991000357")</f>
        <v>08991000357</v>
      </c>
      <c r="W1741" s="15"/>
    </row>
    <row r="1742" ht="22.5" customHeight="1">
      <c r="A1742" s="8"/>
      <c r="B1742" s="9">
        <f>IFERROR(__xludf.DUMMYFUNCTION("""COMPUTED_VALUE"""),45550.4356647338)</f>
        <v>45550.43566</v>
      </c>
      <c r="C1742" s="9"/>
      <c r="D1742" s="34">
        <f>IFERROR(__xludf.DUMMYFUNCTION("""COMPUTED_VALUE"""),45559.0)</f>
        <v>45559</v>
      </c>
      <c r="E1742" s="34" t="str">
        <f>IFERROR(__xludf.DUMMYFUNCTION("""COMPUTED_VALUE"""),"09Sep")</f>
        <v>09Sep</v>
      </c>
      <c r="F1742" s="34" t="str">
        <f>IFERROR(__xludf.DUMMYFUNCTION("""COMPUTED_VALUE"""),"2024")</f>
        <v>2024</v>
      </c>
      <c r="G1742" s="35" t="str">
        <f>IFERROR(__xludf.DUMMYFUNCTION("""COMPUTED_VALUE"""),"WAHYU SETYO WIJAYA KUSUMA")</f>
        <v>WAHYU SETYO WIJAYA KUSUMA</v>
      </c>
      <c r="H1742" s="17" t="str">
        <f>IFERROR(__xludf.DUMMYFUNCTION("""COMPUTED_VALUE"""),"W9224099325")</f>
        <v>W9224099325</v>
      </c>
      <c r="I1742" s="17">
        <f>IFERROR(__xludf.DUMMYFUNCTION("""COMPUTED_VALUE"""),34.0)</f>
        <v>34</v>
      </c>
      <c r="J1742" s="17" t="str">
        <f>IFERROR(__xludf.DUMMYFUNCTION("""COMPUTED_VALUE"""),"25-34 tahun")</f>
        <v>25-34 tahun</v>
      </c>
      <c r="K1742" s="19">
        <f>IFERROR(__xludf.DUMMYFUNCTION("""COMPUTED_VALUE"""),33715.0)</f>
        <v>33715</v>
      </c>
      <c r="L1742" s="19" t="str">
        <f>IFERROR(__xludf.DUMMYFUNCTION("""COMPUTED_VALUE"""),"LAKI-LAKI")</f>
        <v>LAKI-LAKI</v>
      </c>
      <c r="M1742" s="35" t="str">
        <f>IFERROR(__xludf.DUMMYFUNCTION("""COMPUTED_VALUE"""),"MANUKAN TIRTO 22E/12")</f>
        <v>MANUKAN TIRTO 22E/12</v>
      </c>
      <c r="N1742" s="16" t="str">
        <f>IFERROR(__xludf.DUMMYFUNCTION("""COMPUTED_VALUE"""),"KEL. MANUKAN KULON")</f>
        <v>KEL. MANUKAN KULON</v>
      </c>
      <c r="O1742" s="16" t="str">
        <f>IFERROR(__xludf.DUMMYFUNCTION("""COMPUTED_VALUE"""),"KEC. TANDES")</f>
        <v>KEC. TANDES</v>
      </c>
      <c r="P1742" s="16" t="str">
        <f>IFERROR(__xludf.DUMMYFUNCTION("""COMPUTED_VALUE"""),"KOTA SURABAYA")</f>
        <v>KOTA SURABAYA</v>
      </c>
      <c r="Q1742" s="16" t="str">
        <f>IFERROR(__xludf.DUMMYFUNCTION("""COMPUTED_VALUE"""),"JAWA TIMUR")</f>
        <v>JAWA TIMUR</v>
      </c>
      <c r="R1742" s="19" t="str">
        <f>IFERROR(__xludf.DUMMYFUNCTION("""COMPUTED_VALUE"""),"ISLAM")</f>
        <v>ISLAM</v>
      </c>
      <c r="S1742" s="16" t="str">
        <f>IFERROR(__xludf.DUMMYFUNCTION("""COMPUTED_VALUE"""),"SWASTA")</f>
        <v>SWASTA</v>
      </c>
      <c r="T1742" s="36" t="str">
        <f>IFERROR(__xludf.DUMMYFUNCTION("""COMPUTED_VALUE"""),"SAKIT PINGGANG")</f>
        <v>SAKIT PINGGANG</v>
      </c>
      <c r="U1742" s="16" t="str">
        <f>IFERROR(__xludf.DUMMYFUNCTION("""COMPUTED_VALUE"""),"Bekerja")</f>
        <v>Bekerja</v>
      </c>
      <c r="V1742" s="11" t="str">
        <f>IFERROR(__xludf.DUMMYFUNCTION("""COMPUTED_VALUE"""),"082131459325")</f>
        <v>082131459325</v>
      </c>
      <c r="W1742" s="15"/>
    </row>
    <row r="1743" ht="22.5" customHeight="1">
      <c r="A1743" s="8"/>
      <c r="B1743" s="9">
        <f>IFERROR(__xludf.DUMMYFUNCTION("""COMPUTED_VALUE"""),45550.47690409722)</f>
        <v>45550.4769</v>
      </c>
      <c r="C1743" s="9"/>
      <c r="D1743" s="34">
        <f>IFERROR(__xludf.DUMMYFUNCTION("""COMPUTED_VALUE"""),45559.0)</f>
        <v>45559</v>
      </c>
      <c r="E1743" s="34" t="str">
        <f>IFERROR(__xludf.DUMMYFUNCTION("""COMPUTED_VALUE"""),"09Sep")</f>
        <v>09Sep</v>
      </c>
      <c r="F1743" s="34" t="str">
        <f>IFERROR(__xludf.DUMMYFUNCTION("""COMPUTED_VALUE"""),"2024")</f>
        <v>2024</v>
      </c>
      <c r="G1743" s="35" t="str">
        <f>IFERROR(__xludf.DUMMYFUNCTION("""COMPUTED_VALUE"""),"RIO FERDY ERANIO")</f>
        <v>RIO FERDY ERANIO</v>
      </c>
      <c r="H1743" s="17" t="str">
        <f>IFERROR(__xludf.DUMMYFUNCTION("""COMPUTED_VALUE"""),"R9924093707")</f>
        <v>R9924093707</v>
      </c>
      <c r="I1743" s="17">
        <f>IFERROR(__xludf.DUMMYFUNCTION("""COMPUTED_VALUE"""),27.0)</f>
        <v>27</v>
      </c>
      <c r="J1743" s="17" t="str">
        <f>IFERROR(__xludf.DUMMYFUNCTION("""COMPUTED_VALUE"""),"25-34 tahun")</f>
        <v>25-34 tahun</v>
      </c>
      <c r="K1743" s="19">
        <f>IFERROR(__xludf.DUMMYFUNCTION("""COMPUTED_VALUE"""),36260.0)</f>
        <v>36260</v>
      </c>
      <c r="L1743" s="19" t="str">
        <f>IFERROR(__xludf.DUMMYFUNCTION("""COMPUTED_VALUE"""),"LAKI-LAKI")</f>
        <v>LAKI-LAKI</v>
      </c>
      <c r="M1743" s="35" t="str">
        <f>IFERROR(__xludf.DUMMYFUNCTION("""COMPUTED_VALUE"""),"JL. IMAM BONJOL GG. H SALMAH")</f>
        <v>JL. IMAM BONJOL GG. H SALMAH</v>
      </c>
      <c r="N1743" s="16" t="str">
        <f>IFERROR(__xludf.DUMMYFUNCTION("""COMPUTED_VALUE"""),"KEL. BANSIR LAUT")</f>
        <v>KEL. BANSIR LAUT</v>
      </c>
      <c r="O1743" s="16" t="str">
        <f>IFERROR(__xludf.DUMMYFUNCTION("""COMPUTED_VALUE"""),"KEC. PONTIANAK TENGGARA")</f>
        <v>KEC. PONTIANAK TENGGARA</v>
      </c>
      <c r="P1743" s="16" t="str">
        <f>IFERROR(__xludf.DUMMYFUNCTION("""COMPUTED_VALUE"""),"KOTA PONTIANAK")</f>
        <v>KOTA PONTIANAK</v>
      </c>
      <c r="Q1743" s="16" t="str">
        <f>IFERROR(__xludf.DUMMYFUNCTION("""COMPUTED_VALUE"""),"KALIMANTAN BARAT")</f>
        <v>KALIMANTAN BARAT</v>
      </c>
      <c r="R1743" s="19" t="str">
        <f>IFERROR(__xludf.DUMMYFUNCTION("""COMPUTED_VALUE"""),"KATOLIK")</f>
        <v>KATOLIK</v>
      </c>
      <c r="S1743" s="35" t="str">
        <f>IFERROR(__xludf.DUMMYFUNCTION("""COMPUTED_VALUE"""),"SWASTA")</f>
        <v>SWASTA</v>
      </c>
      <c r="T1743" s="36"/>
      <c r="U1743" s="16" t="str">
        <f>IFERROR(__xludf.DUMMYFUNCTION("""COMPUTED_VALUE"""),"Hobi sepak bola")</f>
        <v>Hobi sepak bola</v>
      </c>
      <c r="V1743" s="11" t="str">
        <f>IFERROR(__xludf.DUMMYFUNCTION("""COMPUTED_VALUE"""),"081346053707")</f>
        <v>081346053707</v>
      </c>
      <c r="W1743" s="15"/>
    </row>
    <row r="1744" ht="22.5" customHeight="1">
      <c r="A1744" s="8"/>
      <c r="B1744" s="9">
        <f>IFERROR(__xludf.DUMMYFUNCTION("""COMPUTED_VALUE"""),45550.57797953703)</f>
        <v>45550.57798</v>
      </c>
      <c r="C1744" s="9"/>
      <c r="D1744" s="34">
        <f>IFERROR(__xludf.DUMMYFUNCTION("""COMPUTED_VALUE"""),45560.0)</f>
        <v>45560</v>
      </c>
      <c r="E1744" s="34" t="str">
        <f>IFERROR(__xludf.DUMMYFUNCTION("""COMPUTED_VALUE"""),"09Sep")</f>
        <v>09Sep</v>
      </c>
      <c r="F1744" s="34" t="str">
        <f>IFERROR(__xludf.DUMMYFUNCTION("""COMPUTED_VALUE"""),"2024")</f>
        <v>2024</v>
      </c>
      <c r="G1744" s="35" t="str">
        <f>IFERROR(__xludf.DUMMYFUNCTION("""COMPUTED_VALUE"""),"CHARIS TRIJAYANTO WELLY")</f>
        <v>CHARIS TRIJAYANTO WELLY</v>
      </c>
      <c r="H1744" s="17" t="str">
        <f>IFERROR(__xludf.DUMMYFUNCTION("""COMPUTED_VALUE"""),"C9824098240")</f>
        <v>C9824098240</v>
      </c>
      <c r="I1744" s="17">
        <f>IFERROR(__xludf.DUMMYFUNCTION("""COMPUTED_VALUE"""),28.0)</f>
        <v>28</v>
      </c>
      <c r="J1744" s="17" t="str">
        <f>IFERROR(__xludf.DUMMYFUNCTION("""COMPUTED_VALUE"""),"25-34 tahun")</f>
        <v>25-34 tahun</v>
      </c>
      <c r="K1744" s="19">
        <f>IFERROR(__xludf.DUMMYFUNCTION("""COMPUTED_VALUE"""),35814.0)</f>
        <v>35814</v>
      </c>
      <c r="L1744" s="19" t="str">
        <f>IFERROR(__xludf.DUMMYFUNCTION("""COMPUTED_VALUE"""),"LAKI-LAKI")</f>
        <v>LAKI-LAKI</v>
      </c>
      <c r="M1744" s="35" t="str">
        <f>IFERROR(__xludf.DUMMYFUNCTION("""COMPUTED_VALUE"""),"JLN TELUK MENYURAI GG MANDAU, RT 003 RW 008 KEL. TANJUNG PURI, KEC. SINTANG, KABUPATEN SINTANG")</f>
        <v>JLN TELUK MENYURAI GG MANDAU, RT 003 RW 008 KEL. TANJUNG PURI, KEC. SINTANG, KABUPATEN SINTANG</v>
      </c>
      <c r="N1744" s="16" t="str">
        <f>IFERROR(__xludf.DUMMYFUNCTION("""COMPUTED_VALUE"""),"KEL. TANJUNG PURI")</f>
        <v>KEL. TANJUNG PURI</v>
      </c>
      <c r="O1744" s="16" t="str">
        <f>IFERROR(__xludf.DUMMYFUNCTION("""COMPUTED_VALUE"""),"KEC. SINTANG")</f>
        <v>KEC. SINTANG</v>
      </c>
      <c r="P1744" s="16" t="str">
        <f>IFERROR(__xludf.DUMMYFUNCTION("""COMPUTED_VALUE"""),"KAB. SINTANG")</f>
        <v>KAB. SINTANG</v>
      </c>
      <c r="Q1744" s="16" t="str">
        <f>IFERROR(__xludf.DUMMYFUNCTION("""COMPUTED_VALUE"""),"KALIMANTAN BARAT")</f>
        <v>KALIMANTAN BARAT</v>
      </c>
      <c r="R1744" s="19" t="str">
        <f>IFERROR(__xludf.DUMMYFUNCTION("""COMPUTED_VALUE"""),"PROTESTAN")</f>
        <v>PROTESTAN</v>
      </c>
      <c r="S1744" s="16" t="str">
        <f>IFERROR(__xludf.DUMMYFUNCTION("""COMPUTED_VALUE"""),"SWASTA")</f>
        <v>SWASTA</v>
      </c>
      <c r="T1744" s="36" t="str">
        <f>IFERROR(__xludf.DUMMYFUNCTION("""COMPUTED_VALUE"""),"CIDERA KANAN")</f>
        <v>CIDERA KANAN</v>
      </c>
      <c r="U1744" s="16" t="str">
        <f>IFERROR(__xludf.DUMMYFUNCTION("""COMPUTED_VALUE"""),"Futsal")</f>
        <v>Futsal</v>
      </c>
      <c r="V1744" s="11" t="str">
        <f>IFERROR(__xludf.DUMMYFUNCTION("""COMPUTED_VALUE"""),"081345528240")</f>
        <v>081345528240</v>
      </c>
      <c r="W1744" s="15"/>
    </row>
    <row r="1745" ht="22.5" customHeight="1">
      <c r="A1745" s="8"/>
      <c r="B1745" s="9">
        <f>IFERROR(__xludf.DUMMYFUNCTION("""COMPUTED_VALUE"""),45550.49941841435)</f>
        <v>45550.49942</v>
      </c>
      <c r="C1745" s="9"/>
      <c r="D1745" s="34">
        <f>IFERROR(__xludf.DUMMYFUNCTION("""COMPUTED_VALUE"""),45560.0)</f>
        <v>45560</v>
      </c>
      <c r="E1745" s="34" t="str">
        <f>IFERROR(__xludf.DUMMYFUNCTION("""COMPUTED_VALUE"""),"09Sep")</f>
        <v>09Sep</v>
      </c>
      <c r="F1745" s="34" t="str">
        <f>IFERROR(__xludf.DUMMYFUNCTION("""COMPUTED_VALUE"""),"2024")</f>
        <v>2024</v>
      </c>
      <c r="G1745" s="35" t="str">
        <f>IFERROR(__xludf.DUMMYFUNCTION("""COMPUTED_VALUE"""),"IDA ISMAIL")</f>
        <v>IDA ISMAIL</v>
      </c>
      <c r="H1745" s="17" t="str">
        <f>IFERROR(__xludf.DUMMYFUNCTION("""COMPUTED_VALUE"""),"I6824099799")</f>
        <v>I6824099799</v>
      </c>
      <c r="I1745" s="17">
        <f>IFERROR(__xludf.DUMMYFUNCTION("""COMPUTED_VALUE"""),57.0)</f>
        <v>57</v>
      </c>
      <c r="J1745" s="17" t="str">
        <f>IFERROR(__xludf.DUMMYFUNCTION("""COMPUTED_VALUE"""),"&gt; 44 tahun")</f>
        <v>&gt; 44 tahun</v>
      </c>
      <c r="K1745" s="19">
        <f>IFERROR(__xludf.DUMMYFUNCTION("""COMPUTED_VALUE"""),25103.0)</f>
        <v>25103</v>
      </c>
      <c r="L1745" s="19" t="str">
        <f>IFERROR(__xludf.DUMMYFUNCTION("""COMPUTED_VALUE"""),"PEREMPUAN")</f>
        <v>PEREMPUAN</v>
      </c>
      <c r="M1745" s="35" t="str">
        <f>IFERROR(__xludf.DUMMYFUNCTION("""COMPUTED_VALUE"""),"JL. DANAU SENTARUM GG. NURHADI 1 NO 1A")</f>
        <v>JL. DANAU SENTARUM GG. NURHADI 1 NO 1A</v>
      </c>
      <c r="N1745" s="16" t="str">
        <f>IFERROR(__xludf.DUMMYFUNCTION("""COMPUTED_VALUE"""),"KEL. SUNGAI BANGKONG")</f>
        <v>KEL. SUNGAI BANGKONG</v>
      </c>
      <c r="O1745" s="16" t="str">
        <f>IFERROR(__xludf.DUMMYFUNCTION("""COMPUTED_VALUE"""),"KEC. PONTIANAK KOTA")</f>
        <v>KEC. PONTIANAK KOTA</v>
      </c>
      <c r="P1745" s="16" t="str">
        <f>IFERROR(__xludf.DUMMYFUNCTION("""COMPUTED_VALUE"""),"KOTA PONTIANAK")</f>
        <v>KOTA PONTIANAK</v>
      </c>
      <c r="Q1745" s="16" t="str">
        <f>IFERROR(__xludf.DUMMYFUNCTION("""COMPUTED_VALUE"""),"KALIMANTAN BARAT")</f>
        <v>KALIMANTAN BARAT</v>
      </c>
      <c r="R1745" s="19" t="str">
        <f>IFERROR(__xludf.DUMMYFUNCTION("""COMPUTED_VALUE"""),"ISLAM")</f>
        <v>ISLAM</v>
      </c>
      <c r="S1745" s="16" t="str">
        <f>IFERROR(__xludf.DUMMYFUNCTION("""COMPUTED_VALUE"""),"SWASTA")</f>
        <v>SWASTA</v>
      </c>
      <c r="T1745" s="36" t="str">
        <f>IFERROR(__xludf.DUMMYFUNCTION("""COMPUTED_VALUE"""),"NYERI DI TANGAN")</f>
        <v>NYERI DI TANGAN</v>
      </c>
      <c r="U1745" s="16" t="str">
        <f>IFERROR(__xludf.DUMMYFUNCTION("""COMPUTED_VALUE"""),"Jalan pagi")</f>
        <v>Jalan pagi</v>
      </c>
      <c r="V1745" s="11" t="str">
        <f>IFERROR(__xludf.DUMMYFUNCTION("""COMPUTED_VALUE"""),"08125609799")</f>
        <v>08125609799</v>
      </c>
      <c r="W1745" s="15"/>
    </row>
    <row r="1746" ht="22.5" customHeight="1">
      <c r="A1746" s="8"/>
      <c r="B1746" s="9">
        <f>IFERROR(__xludf.DUMMYFUNCTION("""COMPUTED_VALUE"""),45550.813535312496)</f>
        <v>45550.81354</v>
      </c>
      <c r="C1746" s="9"/>
      <c r="D1746" s="34">
        <f>IFERROR(__xludf.DUMMYFUNCTION("""COMPUTED_VALUE"""),45561.0)</f>
        <v>45561</v>
      </c>
      <c r="E1746" s="34" t="str">
        <f>IFERROR(__xludf.DUMMYFUNCTION("""COMPUTED_VALUE"""),"09Sep")</f>
        <v>09Sep</v>
      </c>
      <c r="F1746" s="34" t="str">
        <f>IFERROR(__xludf.DUMMYFUNCTION("""COMPUTED_VALUE"""),"2024")</f>
        <v>2024</v>
      </c>
      <c r="G1746" s="35" t="str">
        <f>IFERROR(__xludf.DUMMYFUNCTION("""COMPUTED_VALUE"""),"TAN ANANDA MERDEKA")</f>
        <v>TAN ANANDA MERDEKA</v>
      </c>
      <c r="H1746" s="17" t="str">
        <f>IFERROR(__xludf.DUMMYFUNCTION("""COMPUTED_VALUE"""),"T0124099043")</f>
        <v>T0124099043</v>
      </c>
      <c r="I1746" s="17">
        <f>IFERROR(__xludf.DUMMYFUNCTION("""COMPUTED_VALUE"""),25.0)</f>
        <v>25</v>
      </c>
      <c r="J1746" s="17" t="str">
        <f>IFERROR(__xludf.DUMMYFUNCTION("""COMPUTED_VALUE"""),"25-34 tahun")</f>
        <v>25-34 tahun</v>
      </c>
      <c r="K1746" s="19">
        <f>IFERROR(__xludf.DUMMYFUNCTION("""COMPUTED_VALUE"""),37020.0)</f>
        <v>37020</v>
      </c>
      <c r="L1746" s="19" t="str">
        <f>IFERROR(__xludf.DUMMYFUNCTION("""COMPUTED_VALUE"""),"LAKI-LAKI")</f>
        <v>LAKI-LAKI</v>
      </c>
      <c r="M1746" s="35" t="str">
        <f>IFERROR(__xludf.DUMMYFUNCTION("""COMPUTED_VALUE"""),"JL DR SUTOMO GG PAK ABU NO 43")</f>
        <v>JL DR SUTOMO GG PAK ABU NO 43</v>
      </c>
      <c r="N1746" s="16" t="str">
        <f>IFERROR(__xludf.DUMMYFUNCTION("""COMPUTED_VALUE"""),"KEL. SUNGAI BANGKONG")</f>
        <v>KEL. SUNGAI BANGKONG</v>
      </c>
      <c r="O1746" s="16" t="str">
        <f>IFERROR(__xludf.DUMMYFUNCTION("""COMPUTED_VALUE"""),"KEC. PONTIANAK KOTA")</f>
        <v>KEC. PONTIANAK KOTA</v>
      </c>
      <c r="P1746" s="16" t="str">
        <f>IFERROR(__xludf.DUMMYFUNCTION("""COMPUTED_VALUE"""),"KOTA PONTIANAK")</f>
        <v>KOTA PONTIANAK</v>
      </c>
      <c r="Q1746" s="16" t="str">
        <f>IFERROR(__xludf.DUMMYFUNCTION("""COMPUTED_VALUE"""),"KALIMANTAN BARAT")</f>
        <v>KALIMANTAN BARAT</v>
      </c>
      <c r="R1746" s="19" t="str">
        <f>IFERROR(__xludf.DUMMYFUNCTION("""COMPUTED_VALUE"""),"ISLAM")</f>
        <v>ISLAM</v>
      </c>
      <c r="S1746" s="16" t="str">
        <f>IFERROR(__xludf.DUMMYFUNCTION("""COMPUTED_VALUE"""),"WIRASWASTA")</f>
        <v>WIRASWASTA</v>
      </c>
      <c r="T1746" s="36" t="str">
        <f>IFERROR(__xludf.DUMMYFUNCTION("""COMPUTED_VALUE"""),"SAKIT PINGGANG")</f>
        <v>SAKIT PINGGANG</v>
      </c>
      <c r="U1746" s="16" t="str">
        <f>IFERROR(__xludf.DUMMYFUNCTION("""COMPUTED_VALUE"""),"Billiard")</f>
        <v>Billiard</v>
      </c>
      <c r="V1746" s="11" t="str">
        <f>IFERROR(__xludf.DUMMYFUNCTION("""COMPUTED_VALUE"""),"082199949043")</f>
        <v>082199949043</v>
      </c>
      <c r="W1746" s="15"/>
    </row>
    <row r="1747" ht="22.5" customHeight="1">
      <c r="A1747" s="8"/>
      <c r="B1747" s="9">
        <f>IFERROR(__xludf.DUMMYFUNCTION("""COMPUTED_VALUE"""),45551.650052129626)</f>
        <v>45551.65005</v>
      </c>
      <c r="C1747" s="9"/>
      <c r="D1747" s="34">
        <f>IFERROR(__xludf.DUMMYFUNCTION("""COMPUTED_VALUE"""),45562.0)</f>
        <v>45562</v>
      </c>
      <c r="E1747" s="34" t="str">
        <f>IFERROR(__xludf.DUMMYFUNCTION("""COMPUTED_VALUE"""),"09Sep")</f>
        <v>09Sep</v>
      </c>
      <c r="F1747" s="34" t="str">
        <f>IFERROR(__xludf.DUMMYFUNCTION("""COMPUTED_VALUE"""),"2024")</f>
        <v>2024</v>
      </c>
      <c r="G1747" s="35" t="str">
        <f>IFERROR(__xludf.DUMMYFUNCTION("""COMPUTED_VALUE"""),"MICHAEL GONSALES PARERA")</f>
        <v>MICHAEL GONSALES PARERA</v>
      </c>
      <c r="H1747" s="17" t="str">
        <f>IFERROR(__xludf.DUMMYFUNCTION("""COMPUTED_VALUE"""),"M0324099484")</f>
        <v>M0324099484</v>
      </c>
      <c r="I1747" s="17">
        <f>IFERROR(__xludf.DUMMYFUNCTION("""COMPUTED_VALUE"""),23.0)</f>
        <v>23</v>
      </c>
      <c r="J1747" s="17" t="str">
        <f>IFERROR(__xludf.DUMMYFUNCTION("""COMPUTED_VALUE"""),"18-24 tahun")</f>
        <v>18-24 tahun</v>
      </c>
      <c r="K1747" s="19">
        <f>IFERROR(__xludf.DUMMYFUNCTION("""COMPUTED_VALUE"""),37635.0)</f>
        <v>37635</v>
      </c>
      <c r="L1747" s="19" t="str">
        <f>IFERROR(__xludf.DUMMYFUNCTION("""COMPUTED_VALUE"""),"LAKI-LAKI")</f>
        <v>LAKI-LAKI</v>
      </c>
      <c r="M1747" s="35" t="str">
        <f>IFERROR(__xludf.DUMMYFUNCTION("""COMPUTED_VALUE"""),"JALAN JENDRAL SUDIRMAN GANG MAERASAH NO 36")</f>
        <v>JALAN JENDRAL SUDIRMAN GANG MAERASAH NO 36</v>
      </c>
      <c r="N1747" s="16" t="str">
        <f>IFERROR(__xludf.DUMMYFUNCTION("""COMPUTED_VALUE"""),"KEL. BERINGIN")</f>
        <v>KEL. BERINGIN</v>
      </c>
      <c r="O1747" s="16" t="str">
        <f>IFERROR(__xludf.DUMMYFUNCTION("""COMPUTED_VALUE"""),"KEC. KAPUAS")</f>
        <v>KEC. KAPUAS</v>
      </c>
      <c r="P1747" s="16" t="str">
        <f>IFERROR(__xludf.DUMMYFUNCTION("""COMPUTED_VALUE"""),"KAB. SANGGAU")</f>
        <v>KAB. SANGGAU</v>
      </c>
      <c r="Q1747" s="16" t="str">
        <f>IFERROR(__xludf.DUMMYFUNCTION("""COMPUTED_VALUE"""),"KALIMANTAN BARAT")</f>
        <v>KALIMANTAN BARAT</v>
      </c>
      <c r="R1747" s="19" t="str">
        <f>IFERROR(__xludf.DUMMYFUNCTION("""COMPUTED_VALUE"""),"KATOLIK")</f>
        <v>KATOLIK</v>
      </c>
      <c r="S1747" s="16" t="str">
        <f>IFERROR(__xludf.DUMMYFUNCTION("""COMPUTED_VALUE"""),"PELAJAR/MAHASISWA")</f>
        <v>PELAJAR/MAHASISWA</v>
      </c>
      <c r="T1747" s="36" t="str">
        <f>IFERROR(__xludf.DUMMYFUNCTION("""COMPUTED_VALUE"""),"BENGKAK DAN NYERI DIAREA")</f>
        <v>BENGKAK DAN NYERI DIAREA</v>
      </c>
      <c r="U1747" s="16" t="str">
        <f>IFERROR(__xludf.DUMMYFUNCTION("""COMPUTED_VALUE"""),"OLAHRAGA BASKET")</f>
        <v>OLAHRAGA BASKET</v>
      </c>
      <c r="V1747" s="11" t="str">
        <f>IFERROR(__xludf.DUMMYFUNCTION("""COMPUTED_VALUE"""),"08152149484")</f>
        <v>08152149484</v>
      </c>
      <c r="W1747" s="15"/>
    </row>
    <row r="1748" ht="22.5" customHeight="1">
      <c r="A1748" s="28"/>
      <c r="B1748" s="9">
        <f>IFERROR(__xludf.DUMMYFUNCTION("""COMPUTED_VALUE"""),45552.401850243055)</f>
        <v>45552.40185</v>
      </c>
      <c r="C1748" s="9"/>
      <c r="D1748" s="10">
        <f>IFERROR(__xludf.DUMMYFUNCTION("""COMPUTED_VALUE"""),45563.0)</f>
        <v>45563</v>
      </c>
      <c r="E1748" s="10" t="str">
        <f>IFERROR(__xludf.DUMMYFUNCTION("""COMPUTED_VALUE"""),"09Sep")</f>
        <v>09Sep</v>
      </c>
      <c r="F1748" s="10" t="str">
        <f>IFERROR(__xludf.DUMMYFUNCTION("""COMPUTED_VALUE"""),"2024")</f>
        <v>2024</v>
      </c>
      <c r="G1748" s="35" t="str">
        <f>IFERROR(__xludf.DUMMYFUNCTION("""COMPUTED_VALUE"""),"SHEREN CHARISTA")</f>
        <v>SHEREN CHARISTA</v>
      </c>
      <c r="H1748" s="17" t="str">
        <f>IFERROR(__xludf.DUMMYFUNCTION("""COMPUTED_VALUE"""),"S0124094836")</f>
        <v>S0124094836</v>
      </c>
      <c r="I1748" s="17">
        <f>IFERROR(__xludf.DUMMYFUNCTION("""COMPUTED_VALUE"""),24.0)</f>
        <v>24</v>
      </c>
      <c r="J1748" s="17" t="str">
        <f>IFERROR(__xludf.DUMMYFUNCTION("""COMPUTED_VALUE"""),"18-24 tahun")</f>
        <v>18-24 tahun</v>
      </c>
      <c r="K1748" s="19">
        <f>IFERROR(__xludf.DUMMYFUNCTION("""COMPUTED_VALUE"""),37122.0)</f>
        <v>37122</v>
      </c>
      <c r="L1748" s="19" t="str">
        <f>IFERROR(__xludf.DUMMYFUNCTION("""COMPUTED_VALUE"""),"PEREMPUAN")</f>
        <v>PEREMPUAN</v>
      </c>
      <c r="M1748" s="35" t="str">
        <f>IFERROR(__xludf.DUMMYFUNCTION("""COMPUTED_VALUE"""),"JL. SETIA BUDI GG. VI SELATAN NO. 8")</f>
        <v>JL. SETIA BUDI GG. VI SELATAN NO. 8</v>
      </c>
      <c r="N1748" s="16" t="str">
        <f>IFERROR(__xludf.DUMMYFUNCTION("""COMPUTED_VALUE"""),"KEL. BENUA MELAYU DARAT")</f>
        <v>KEL. BENUA MELAYU DARAT</v>
      </c>
      <c r="O1748" s="16" t="str">
        <f>IFERROR(__xludf.DUMMYFUNCTION("""COMPUTED_VALUE"""),"KEC. PONTIANAK SELATAN")</f>
        <v>KEC. PONTIANAK SELATAN</v>
      </c>
      <c r="P1748" s="16" t="str">
        <f>IFERROR(__xludf.DUMMYFUNCTION("""COMPUTED_VALUE"""),"KOTA PONTIANAK")</f>
        <v>KOTA PONTIANAK</v>
      </c>
      <c r="Q1748" s="16" t="str">
        <f>IFERROR(__xludf.DUMMYFUNCTION("""COMPUTED_VALUE"""),"KALIMANTAN BARAT")</f>
        <v>KALIMANTAN BARAT</v>
      </c>
      <c r="R1748" s="19" t="str">
        <f>IFERROR(__xludf.DUMMYFUNCTION("""COMPUTED_VALUE"""),"KATOLIK")</f>
        <v>KATOLIK</v>
      </c>
      <c r="S1748" s="16" t="str">
        <f>IFERROR(__xludf.DUMMYFUNCTION("""COMPUTED_VALUE"""),"SWASTA")</f>
        <v>SWASTA</v>
      </c>
      <c r="T1748" s="36" t="str">
        <f>IFERROR(__xludf.DUMMYFUNCTION("""COMPUTED_VALUE"""),"SAKIT PADA PINGGANG BELAKANG")</f>
        <v>SAKIT PADA PINGGANG BELAKANG</v>
      </c>
      <c r="U1748" s="16" t="str">
        <f>IFERROR(__xludf.DUMMYFUNCTION("""COMPUTED_VALUE"""),"Bekerja di kantor")</f>
        <v>Bekerja di kantor</v>
      </c>
      <c r="V1748" s="11" t="str">
        <f>IFERROR(__xludf.DUMMYFUNCTION("""COMPUTED_VALUE"""),"0895601644836")</f>
        <v>0895601644836</v>
      </c>
      <c r="W1748" s="15"/>
    </row>
    <row r="1749" ht="22.5" customHeight="1">
      <c r="A1749" s="8"/>
      <c r="B1749" s="9">
        <f>IFERROR(__xludf.DUMMYFUNCTION("""COMPUTED_VALUE"""),45552.6650390625)</f>
        <v>45552.66504</v>
      </c>
      <c r="C1749" s="9"/>
      <c r="D1749" s="34">
        <f>IFERROR(__xludf.DUMMYFUNCTION("""COMPUTED_VALUE"""),45563.0)</f>
        <v>45563</v>
      </c>
      <c r="E1749" s="34" t="str">
        <f>IFERROR(__xludf.DUMMYFUNCTION("""COMPUTED_VALUE"""),"09Sep")</f>
        <v>09Sep</v>
      </c>
      <c r="F1749" s="34" t="str">
        <f>IFERROR(__xludf.DUMMYFUNCTION("""COMPUTED_VALUE"""),"2024")</f>
        <v>2024</v>
      </c>
      <c r="G1749" s="35" t="str">
        <f>IFERROR(__xludf.DUMMYFUNCTION("""COMPUTED_VALUE"""),"SAHIRA BIBIE")</f>
        <v>SAHIRA BIBIE</v>
      </c>
      <c r="H1749" s="17" t="str">
        <f>IFERROR(__xludf.DUMMYFUNCTION("""COMPUTED_VALUE"""),"S7624098484")</f>
        <v>S7624098484</v>
      </c>
      <c r="I1749" s="17">
        <f>IFERROR(__xludf.DUMMYFUNCTION("""COMPUTED_VALUE"""),49.0)</f>
        <v>49</v>
      </c>
      <c r="J1749" s="17" t="str">
        <f>IFERROR(__xludf.DUMMYFUNCTION("""COMPUTED_VALUE"""),"&gt; 44 tahun")</f>
        <v>&gt; 44 tahun</v>
      </c>
      <c r="K1749" s="19">
        <f>IFERROR(__xludf.DUMMYFUNCTION("""COMPUTED_VALUE"""),27985.0)</f>
        <v>27985</v>
      </c>
      <c r="L1749" s="19" t="str">
        <f>IFERROR(__xludf.DUMMYFUNCTION("""COMPUTED_VALUE"""),"PEREMPUAN")</f>
        <v>PEREMPUAN</v>
      </c>
      <c r="M1749" s="35" t="str">
        <f>IFERROR(__xludf.DUMMYFUNCTION("""COMPUTED_VALUE"""),"JL.DR.WAHIDIN KOMPLEK BUMI INDAH SEPAKAT N9.7")</f>
        <v>JL.DR.WAHIDIN KOMPLEK BUMI INDAH SEPAKAT N9.7</v>
      </c>
      <c r="N1749" s="16" t="str">
        <f>IFERROR(__xludf.DUMMYFUNCTION("""COMPUTED_VALUE"""),"KEL. SUNGAI BANGKONG")</f>
        <v>KEL. SUNGAI BANGKONG</v>
      </c>
      <c r="O1749" s="16" t="str">
        <f>IFERROR(__xludf.DUMMYFUNCTION("""COMPUTED_VALUE"""),"KEC. PONTIANAK KOTA")</f>
        <v>KEC. PONTIANAK KOTA</v>
      </c>
      <c r="P1749" s="16" t="str">
        <f>IFERROR(__xludf.DUMMYFUNCTION("""COMPUTED_VALUE"""),"KOTA PONTIANAK")</f>
        <v>KOTA PONTIANAK</v>
      </c>
      <c r="Q1749" s="16" t="str">
        <f>IFERROR(__xludf.DUMMYFUNCTION("""COMPUTED_VALUE"""),"KALIMANTAN BARAT")</f>
        <v>KALIMANTAN BARAT</v>
      </c>
      <c r="R1749" s="19" t="str">
        <f>IFERROR(__xludf.DUMMYFUNCTION("""COMPUTED_VALUE"""),"ISLAM")</f>
        <v>ISLAM</v>
      </c>
      <c r="S1749" s="16" t="str">
        <f>IFERROR(__xludf.DUMMYFUNCTION("""COMPUTED_VALUE"""),"RUMAH TANGGA")</f>
        <v>RUMAH TANGGA</v>
      </c>
      <c r="T1749" s="36" t="str">
        <f>IFERROR(__xludf.DUMMYFUNCTION("""COMPUTED_VALUE"""),"INFLAMASI OTOT KATA DOKTER TULANG SDH RONTGENT")</f>
        <v>INFLAMASI OTOT KATA DOKTER TULANG SDH RONTGENT</v>
      </c>
      <c r="U1749" s="16" t="str">
        <f>IFERROR(__xludf.DUMMYFUNCTION("""COMPUTED_VALUE"""),"Olah raga gym lari")</f>
        <v>Olah raga gym lari</v>
      </c>
      <c r="V1749" s="11" t="str">
        <f>IFERROR(__xludf.DUMMYFUNCTION("""COMPUTED_VALUE"""),"082255188484")</f>
        <v>082255188484</v>
      </c>
      <c r="W1749" s="15"/>
    </row>
    <row r="1750" ht="22.5" customHeight="1">
      <c r="A1750" s="8"/>
      <c r="B1750" s="9">
        <f>IFERROR(__xludf.DUMMYFUNCTION("""COMPUTED_VALUE"""),45553.53377603009)</f>
        <v>45553.53378</v>
      </c>
      <c r="C1750" s="9"/>
      <c r="D1750" s="34">
        <f>IFERROR(__xludf.DUMMYFUNCTION("""COMPUTED_VALUE"""),45563.0)</f>
        <v>45563</v>
      </c>
      <c r="E1750" s="34" t="str">
        <f>IFERROR(__xludf.DUMMYFUNCTION("""COMPUTED_VALUE"""),"09Sep")</f>
        <v>09Sep</v>
      </c>
      <c r="F1750" s="34" t="str">
        <f>IFERROR(__xludf.DUMMYFUNCTION("""COMPUTED_VALUE"""),"2024")</f>
        <v>2024</v>
      </c>
      <c r="G1750" s="35" t="str">
        <f>IFERROR(__xludf.DUMMYFUNCTION("""COMPUTED_VALUE"""),"ANDRIANTO")</f>
        <v>ANDRIANTO</v>
      </c>
      <c r="H1750" s="17" t="str">
        <f>IFERROR(__xludf.DUMMYFUNCTION("""COMPUTED_VALUE"""),"A9424097788")</f>
        <v>A9424097788</v>
      </c>
      <c r="I1750" s="17">
        <f>IFERROR(__xludf.DUMMYFUNCTION("""COMPUTED_VALUE"""),32.0)</f>
        <v>32</v>
      </c>
      <c r="J1750" s="17" t="str">
        <f>IFERROR(__xludf.DUMMYFUNCTION("""COMPUTED_VALUE"""),"25-34 tahun")</f>
        <v>25-34 tahun</v>
      </c>
      <c r="K1750" s="19">
        <f>IFERROR(__xludf.DUMMYFUNCTION("""COMPUTED_VALUE"""),34364.0)</f>
        <v>34364</v>
      </c>
      <c r="L1750" s="19" t="str">
        <f>IFERROR(__xludf.DUMMYFUNCTION("""COMPUTED_VALUE"""),"LAKI-LAKI")</f>
        <v>LAKI-LAKI</v>
      </c>
      <c r="M1750" s="35" t="str">
        <f>IFERROR(__xludf.DUMMYFUNCTION("""COMPUTED_VALUE"""),"JL.KARYA KOMPLEK ZAMRUD KARYA NO.A8")</f>
        <v>JL.KARYA KOMPLEK ZAMRUD KARYA NO.A8</v>
      </c>
      <c r="N1750" s="16" t="str">
        <f>IFERROR(__xludf.DUMMYFUNCTION("""COMPUTED_VALUE"""),"KEL. PAL IX")</f>
        <v>KEL. PAL IX</v>
      </c>
      <c r="O1750" s="16" t="str">
        <f>IFERROR(__xludf.DUMMYFUNCTION("""COMPUTED_VALUE"""),"KEC. SUNGAI KAKAP")</f>
        <v>KEC. SUNGAI KAKAP</v>
      </c>
      <c r="P1750" s="16" t="str">
        <f>IFERROR(__xludf.DUMMYFUNCTION("""COMPUTED_VALUE"""),"KAB. KUBU RAYA")</f>
        <v>KAB. KUBU RAYA</v>
      </c>
      <c r="Q1750" s="16" t="str">
        <f>IFERROR(__xludf.DUMMYFUNCTION("""COMPUTED_VALUE"""),"KALIMANTAN BARAT")</f>
        <v>KALIMANTAN BARAT</v>
      </c>
      <c r="R1750" s="19" t="str">
        <f>IFERROR(__xludf.DUMMYFUNCTION("""COMPUTED_VALUE"""),"KATOLIK")</f>
        <v>KATOLIK</v>
      </c>
      <c r="S1750" s="16" t="str">
        <f>IFERROR(__xludf.DUMMYFUNCTION("""COMPUTED_VALUE"""),"WIRASWASTA")</f>
        <v>WIRASWASTA</v>
      </c>
      <c r="T1750" s="16" t="str">
        <f>IFERROR(__xludf.DUMMYFUNCTION("""COMPUTED_VALUE"""),"CIDERA DI")</f>
        <v>CIDERA DI</v>
      </c>
      <c r="U1750" s="16" t="str">
        <f>IFERROR(__xludf.DUMMYFUNCTION("""COMPUTED_VALUE"""),"Mini soccer &amp; Badminton")</f>
        <v>Mini soccer &amp; Badminton</v>
      </c>
      <c r="V1750" s="11" t="str">
        <f>IFERROR(__xludf.DUMMYFUNCTION("""COMPUTED_VALUE"""),"089673817788")</f>
        <v>089673817788</v>
      </c>
      <c r="W1750" s="15"/>
    </row>
    <row r="1751" ht="22.5" customHeight="1">
      <c r="A1751" s="8"/>
      <c r="B1751" s="9">
        <f>IFERROR(__xludf.DUMMYFUNCTION("""COMPUTED_VALUE"""),45553.81451489583)</f>
        <v>45553.81451</v>
      </c>
      <c r="C1751" s="9"/>
      <c r="D1751" s="34">
        <f>IFERROR(__xludf.DUMMYFUNCTION("""COMPUTED_VALUE"""),45563.0)</f>
        <v>45563</v>
      </c>
      <c r="E1751" s="34" t="str">
        <f>IFERROR(__xludf.DUMMYFUNCTION("""COMPUTED_VALUE"""),"09Sep")</f>
        <v>09Sep</v>
      </c>
      <c r="F1751" s="34" t="str">
        <f>IFERROR(__xludf.DUMMYFUNCTION("""COMPUTED_VALUE"""),"2024")</f>
        <v>2024</v>
      </c>
      <c r="G1751" s="35" t="str">
        <f>IFERROR(__xludf.DUMMYFUNCTION("""COMPUTED_VALUE"""),"LIZA JULIARTY")</f>
        <v>LIZA JULIARTY</v>
      </c>
      <c r="H1751" s="17" t="str">
        <f>IFERROR(__xludf.DUMMYFUNCTION("""COMPUTED_VALUE"""),"L8924090999")</f>
        <v>L8924090999</v>
      </c>
      <c r="I1751" s="17">
        <f>IFERROR(__xludf.DUMMYFUNCTION("""COMPUTED_VALUE"""),36.0)</f>
        <v>36</v>
      </c>
      <c r="J1751" s="17" t="str">
        <f>IFERROR(__xludf.DUMMYFUNCTION("""COMPUTED_VALUE"""),"35-44 tahun")</f>
        <v>35-44 tahun</v>
      </c>
      <c r="K1751" s="19">
        <f>IFERROR(__xludf.DUMMYFUNCTION("""COMPUTED_VALUE"""),32715.0)</f>
        <v>32715</v>
      </c>
      <c r="L1751" s="19" t="str">
        <f>IFERROR(__xludf.DUMMYFUNCTION("""COMPUTED_VALUE"""),"PEREMPUAN")</f>
        <v>PEREMPUAN</v>
      </c>
      <c r="M1751" s="35" t="str">
        <f>IFERROR(__xludf.DUMMYFUNCTION("""COMPUTED_VALUE"""),"JL HRA RACHMAN GG SAMPANG NO 54")</f>
        <v>JL HRA RACHMAN GG SAMPANG NO 54</v>
      </c>
      <c r="N1751" s="16" t="str">
        <f>IFERROR(__xludf.DUMMYFUNCTION("""COMPUTED_VALUE"""),"KEL. SUNGAI JAWI DALAM")</f>
        <v>KEL. SUNGAI JAWI DALAM</v>
      </c>
      <c r="O1751" s="16" t="str">
        <f>IFERROR(__xludf.DUMMYFUNCTION("""COMPUTED_VALUE"""),"KEC. PONTIANAK BARAT")</f>
        <v>KEC. PONTIANAK BARAT</v>
      </c>
      <c r="P1751" s="16" t="str">
        <f>IFERROR(__xludf.DUMMYFUNCTION("""COMPUTED_VALUE"""),"KOTA PONTIANAK")</f>
        <v>KOTA PONTIANAK</v>
      </c>
      <c r="Q1751" s="16" t="str">
        <f>IFERROR(__xludf.DUMMYFUNCTION("""COMPUTED_VALUE"""),"KALIMANTAN BARAT")</f>
        <v>KALIMANTAN BARAT</v>
      </c>
      <c r="R1751" s="19" t="str">
        <f>IFERROR(__xludf.DUMMYFUNCTION("""COMPUTED_VALUE"""),"ISLAM")</f>
        <v>ISLAM</v>
      </c>
      <c r="S1751" s="16" t="str">
        <f>IFERROR(__xludf.DUMMYFUNCTION("""COMPUTED_VALUE"""),"SWASTA")</f>
        <v>SWASTA</v>
      </c>
      <c r="T1751" s="16" t="str">
        <f>IFERROR(__xludf.DUMMYFUNCTION("""COMPUTED_VALUE"""),"SAKIT DI PINGGANG KIRI BELAKANG")</f>
        <v>SAKIT DI PINGGANG KIRI BELAKANG</v>
      </c>
      <c r="U1751" s="16" t="str">
        <f>IFERROR(__xludf.DUMMYFUNCTION("""COMPUTED_VALUE"""),"Jualan Kue, olahraga")</f>
        <v>Jualan Kue, olahraga</v>
      </c>
      <c r="V1751" s="11" t="str">
        <f>IFERROR(__xludf.DUMMYFUNCTION("""COMPUTED_VALUE"""),"0811570999")</f>
        <v>0811570999</v>
      </c>
      <c r="W1751" s="15"/>
    </row>
    <row r="1752" ht="22.5" customHeight="1">
      <c r="A1752" s="8"/>
      <c r="B1752" s="9">
        <f>IFERROR(__xludf.DUMMYFUNCTION("""COMPUTED_VALUE"""),45554.20727841435)</f>
        <v>45554.20728</v>
      </c>
      <c r="C1752" s="9"/>
      <c r="D1752" s="34">
        <f>IFERROR(__xludf.DUMMYFUNCTION("""COMPUTED_VALUE"""),45563.0)</f>
        <v>45563</v>
      </c>
      <c r="E1752" s="34" t="str">
        <f>IFERROR(__xludf.DUMMYFUNCTION("""COMPUTED_VALUE"""),"09Sep")</f>
        <v>09Sep</v>
      </c>
      <c r="F1752" s="34" t="str">
        <f>IFERROR(__xludf.DUMMYFUNCTION("""COMPUTED_VALUE"""),"2024")</f>
        <v>2024</v>
      </c>
      <c r="G1752" s="35" t="str">
        <f>IFERROR(__xludf.DUMMYFUNCTION("""COMPUTED_VALUE"""),"ENOK ASMANAH")</f>
        <v>ENOK ASMANAH</v>
      </c>
      <c r="H1752" s="17" t="str">
        <f>IFERROR(__xludf.DUMMYFUNCTION("""COMPUTED_VALUE"""),"E7824091820")</f>
        <v>E7824091820</v>
      </c>
      <c r="I1752" s="17">
        <f>IFERROR(__xludf.DUMMYFUNCTION("""COMPUTED_VALUE"""),48.0)</f>
        <v>48</v>
      </c>
      <c r="J1752" s="17" t="str">
        <f>IFERROR(__xludf.DUMMYFUNCTION("""COMPUTED_VALUE"""),"&gt; 44 tahun")</f>
        <v>&gt; 44 tahun</v>
      </c>
      <c r="K1752" s="19">
        <f>IFERROR(__xludf.DUMMYFUNCTION("""COMPUTED_VALUE"""),28625.0)</f>
        <v>28625</v>
      </c>
      <c r="L1752" s="19" t="str">
        <f>IFERROR(__xludf.DUMMYFUNCTION("""COMPUTED_VALUE"""),"PEREMPUAN")</f>
        <v>PEREMPUAN</v>
      </c>
      <c r="M1752" s="35" t="str">
        <f>IFERROR(__xludf.DUMMYFUNCTION("""COMPUTED_VALUE"""),"KOMPLEK SETRA ASRI NO. 45")</f>
        <v>KOMPLEK SETRA ASRI NO. 45</v>
      </c>
      <c r="N1752" s="16" t="str">
        <f>IFERROR(__xludf.DUMMYFUNCTION("""COMPUTED_VALUE"""),"KEL. PASIR KALIKI")</f>
        <v>KEL. PASIR KALIKI</v>
      </c>
      <c r="O1752" s="16" t="str">
        <f>IFERROR(__xludf.DUMMYFUNCTION("""COMPUTED_VALUE"""),"KEC. CIMAHI UTARA")</f>
        <v>KEC. CIMAHI UTARA</v>
      </c>
      <c r="P1752" s="16" t="str">
        <f>IFERROR(__xludf.DUMMYFUNCTION("""COMPUTED_VALUE"""),"KOTA CIMAHI")</f>
        <v>KOTA CIMAHI</v>
      </c>
      <c r="Q1752" s="16" t="str">
        <f>IFERROR(__xludf.DUMMYFUNCTION("""COMPUTED_VALUE"""),"JAWA BARAT")</f>
        <v>JAWA BARAT</v>
      </c>
      <c r="R1752" s="19" t="str">
        <f>IFERROR(__xludf.DUMMYFUNCTION("""COMPUTED_VALUE"""),"ISLAM")</f>
        <v>ISLAM</v>
      </c>
      <c r="S1752" s="16" t="str">
        <f>IFERROR(__xludf.DUMMYFUNCTION("""COMPUTED_VALUE"""),"RUMAH TANGGA")</f>
        <v>RUMAH TANGGA</v>
      </c>
      <c r="T1752" s="16" t="str">
        <f>IFERROR(__xludf.DUMMYFUNCTION("""COMPUTED_VALUE"""),"SHOLDER FROZEN")</f>
        <v>SHOLDER FROZEN</v>
      </c>
      <c r="U1752" s="16" t="str">
        <f>IFERROR(__xludf.DUMMYFUNCTION("""COMPUTED_VALUE"""),"Gym")</f>
        <v>Gym</v>
      </c>
      <c r="V1752" s="11" t="str">
        <f>IFERROR(__xludf.DUMMYFUNCTION("""COMPUTED_VALUE"""),"0811221820")</f>
        <v>0811221820</v>
      </c>
      <c r="W1752" s="15"/>
    </row>
    <row r="1753" ht="22.5" customHeight="1">
      <c r="A1753" s="8"/>
      <c r="B1753" s="9">
        <f>IFERROR(__xludf.DUMMYFUNCTION("""COMPUTED_VALUE"""),45554.67747271991)</f>
        <v>45554.67747</v>
      </c>
      <c r="C1753" s="9"/>
      <c r="D1753" s="34">
        <f>IFERROR(__xludf.DUMMYFUNCTION("""COMPUTED_VALUE"""),45564.0)</f>
        <v>45564</v>
      </c>
      <c r="E1753" s="34" t="str">
        <f>IFERROR(__xludf.DUMMYFUNCTION("""COMPUTED_VALUE"""),"09Sep")</f>
        <v>09Sep</v>
      </c>
      <c r="F1753" s="34" t="str">
        <f>IFERROR(__xludf.DUMMYFUNCTION("""COMPUTED_VALUE"""),"2024")</f>
        <v>2024</v>
      </c>
      <c r="G1753" s="35" t="str">
        <f>IFERROR(__xludf.DUMMYFUNCTION("""COMPUTED_VALUE"""),"MOCHAMMAD FADHIIL NAUFAL SYAUQI S. PSI")</f>
        <v>MOCHAMMAD FADHIIL NAUFAL SYAUQI S. PSI</v>
      </c>
      <c r="H1753" s="17" t="str">
        <f>IFERROR(__xludf.DUMMYFUNCTION("""COMPUTED_VALUE"""),"M9624090922")</f>
        <v>M9624090922</v>
      </c>
      <c r="I1753" s="17">
        <f>IFERROR(__xludf.DUMMYFUNCTION("""COMPUTED_VALUE"""),29.0)</f>
        <v>29</v>
      </c>
      <c r="J1753" s="17" t="str">
        <f>IFERROR(__xludf.DUMMYFUNCTION("""COMPUTED_VALUE"""),"25-34 tahun")</f>
        <v>25-34 tahun</v>
      </c>
      <c r="K1753" s="19">
        <f>IFERROR(__xludf.DUMMYFUNCTION("""COMPUTED_VALUE"""),35270.0)</f>
        <v>35270</v>
      </c>
      <c r="L1753" s="19" t="str">
        <f>IFERROR(__xludf.DUMMYFUNCTION("""COMPUTED_VALUE"""),"LAKI-LAKI")</f>
        <v>LAKI-LAKI</v>
      </c>
      <c r="M1753" s="35" t="str">
        <f>IFERROR(__xludf.DUMMYFUNCTION("""COMPUTED_VALUE"""),"JALAN TANI GANG MASJID")</f>
        <v>JALAN TANI GANG MASJID</v>
      </c>
      <c r="N1753" s="16" t="str">
        <f>IFERROR(__xludf.DUMMYFUNCTION("""COMPUTED_VALUE"""),"KEL. SAIGON")</f>
        <v>KEL. SAIGON</v>
      </c>
      <c r="O1753" s="16" t="str">
        <f>IFERROR(__xludf.DUMMYFUNCTION("""COMPUTED_VALUE"""),"KEC. PONTIANAK TIMUR")</f>
        <v>KEC. PONTIANAK TIMUR</v>
      </c>
      <c r="P1753" s="16" t="str">
        <f>IFERROR(__xludf.DUMMYFUNCTION("""COMPUTED_VALUE"""),"KOTA PONTIANAK")</f>
        <v>KOTA PONTIANAK</v>
      </c>
      <c r="Q1753" s="16" t="str">
        <f>IFERROR(__xludf.DUMMYFUNCTION("""COMPUTED_VALUE"""),"KALIMANTAN BARAT")</f>
        <v>KALIMANTAN BARAT</v>
      </c>
      <c r="R1753" s="19" t="str">
        <f>IFERROR(__xludf.DUMMYFUNCTION("""COMPUTED_VALUE"""),"ISLAM")</f>
        <v>ISLAM</v>
      </c>
      <c r="S1753" s="16" t="str">
        <f>IFERROR(__xludf.DUMMYFUNCTION("""COMPUTED_VALUE"""),"ASN")</f>
        <v>ASN</v>
      </c>
      <c r="T1753" s="36" t="str">
        <f>IFERROR(__xludf.DUMMYFUNCTION("""COMPUTED_VALUE"""),"SAKIT DI BAHU DAN PERGELANGAN KAKI")</f>
        <v>SAKIT DI BAHU DAN PERGELANGAN KAKI</v>
      </c>
      <c r="U1753" s="16" t="str">
        <f>IFERROR(__xludf.DUMMYFUNCTION("""COMPUTED_VALUE"""),"aktifitas dalam ruangan")</f>
        <v>aktifitas dalam ruangan</v>
      </c>
      <c r="V1753" s="11" t="str">
        <f>IFERROR(__xludf.DUMMYFUNCTION("""COMPUTED_VALUE"""),"089678110922")</f>
        <v>089678110922</v>
      </c>
      <c r="W1753" s="15"/>
    </row>
    <row r="1754" ht="22.5" customHeight="1">
      <c r="A1754" s="8"/>
      <c r="B1754" s="9">
        <f>IFERROR(__xludf.DUMMYFUNCTION("""COMPUTED_VALUE"""),45554.72036391204)</f>
        <v>45554.72036</v>
      </c>
      <c r="C1754" s="9"/>
      <c r="D1754" s="34">
        <f>IFERROR(__xludf.DUMMYFUNCTION("""COMPUTED_VALUE"""),45564.0)</f>
        <v>45564</v>
      </c>
      <c r="E1754" s="34" t="str">
        <f>IFERROR(__xludf.DUMMYFUNCTION("""COMPUTED_VALUE"""),"09Sep")</f>
        <v>09Sep</v>
      </c>
      <c r="F1754" s="34" t="str">
        <f>IFERROR(__xludf.DUMMYFUNCTION("""COMPUTED_VALUE"""),"2024")</f>
        <v>2024</v>
      </c>
      <c r="G1754" s="35" t="str">
        <f>IFERROR(__xludf.DUMMYFUNCTION("""COMPUTED_VALUE"""),"NURIDAWATI")</f>
        <v>NURIDAWATI</v>
      </c>
      <c r="H1754" s="17" t="str">
        <f>IFERROR(__xludf.DUMMYFUNCTION("""COMPUTED_VALUE"""),"N6624090790")</f>
        <v>N6624090790</v>
      </c>
      <c r="I1754" s="17">
        <f>IFERROR(__xludf.DUMMYFUNCTION("""COMPUTED_VALUE"""),60.0)</f>
        <v>60</v>
      </c>
      <c r="J1754" s="17" t="str">
        <f>IFERROR(__xludf.DUMMYFUNCTION("""COMPUTED_VALUE"""),"&gt; 44 tahun")</f>
        <v>&gt; 44 tahun</v>
      </c>
      <c r="K1754" s="19">
        <f>IFERROR(__xludf.DUMMYFUNCTION("""COMPUTED_VALUE"""),24123.0)</f>
        <v>24123</v>
      </c>
      <c r="L1754" s="19" t="str">
        <f>IFERROR(__xludf.DUMMYFUNCTION("""COMPUTED_VALUE"""),"PEREMPUAN")</f>
        <v>PEREMPUAN</v>
      </c>
      <c r="M1754" s="35" t="str">
        <f>IFERROR(__xludf.DUMMYFUNCTION("""COMPUTED_VALUE"""),"JLN. DANAU SENTARUM KOMP. ARI KARYA INDAH 3 B.14")</f>
        <v>JLN. DANAU SENTARUM KOMP. ARI KARYA INDAH 3 B.14</v>
      </c>
      <c r="N1754" s="16" t="str">
        <f>IFERROR(__xludf.DUMMYFUNCTION("""COMPUTED_VALUE"""),"KEL. SUNGAI BANGKONG")</f>
        <v>KEL. SUNGAI BANGKONG</v>
      </c>
      <c r="O1754" s="16" t="str">
        <f>IFERROR(__xludf.DUMMYFUNCTION("""COMPUTED_VALUE"""),"KEC. PONTIANAK KOTA")</f>
        <v>KEC. PONTIANAK KOTA</v>
      </c>
      <c r="P1754" s="16" t="str">
        <f>IFERROR(__xludf.DUMMYFUNCTION("""COMPUTED_VALUE"""),"KOTA PONTIANAK")</f>
        <v>KOTA PONTIANAK</v>
      </c>
      <c r="Q1754" s="16" t="str">
        <f>IFERROR(__xludf.DUMMYFUNCTION("""COMPUTED_VALUE"""),"KALIMANTAN BARAT")</f>
        <v>KALIMANTAN BARAT</v>
      </c>
      <c r="R1754" s="19" t="str">
        <f>IFERROR(__xludf.DUMMYFUNCTION("""COMPUTED_VALUE"""),"ISLAM")</f>
        <v>ISLAM</v>
      </c>
      <c r="S1754" s="35" t="str">
        <f>IFERROR(__xludf.DUMMYFUNCTION("""COMPUTED_VALUE"""),"ASN")</f>
        <v>ASN</v>
      </c>
      <c r="T1754" s="16" t="str">
        <f>IFERROR(__xludf.DUMMYFUNCTION("""COMPUTED_VALUE"""),"SAKIT DI BAHU SEBELAH KIRI")</f>
        <v>SAKIT DI BAHU SEBELAH KIRI</v>
      </c>
      <c r="U1754" s="16" t="str">
        <f>IFERROR(__xludf.DUMMYFUNCTION("""COMPUTED_VALUE"""),"Mrngajar")</f>
        <v>Mrngajar</v>
      </c>
      <c r="V1754" s="11" t="str">
        <f>IFERROR(__xludf.DUMMYFUNCTION("""COMPUTED_VALUE"""),"081256500790")</f>
        <v>081256500790</v>
      </c>
      <c r="W1754" s="15"/>
    </row>
    <row r="1755" ht="22.5" customHeight="1">
      <c r="A1755" s="8"/>
      <c r="B1755" s="9">
        <f>IFERROR(__xludf.DUMMYFUNCTION("""COMPUTED_VALUE"""),45555.438976192134)</f>
        <v>45555.43898</v>
      </c>
      <c r="C1755" s="9"/>
      <c r="D1755" s="34">
        <f>IFERROR(__xludf.DUMMYFUNCTION("""COMPUTED_VALUE"""),45564.0)</f>
        <v>45564</v>
      </c>
      <c r="E1755" s="34" t="str">
        <f>IFERROR(__xludf.DUMMYFUNCTION("""COMPUTED_VALUE"""),"09Sep")</f>
        <v>09Sep</v>
      </c>
      <c r="F1755" s="34" t="str">
        <f>IFERROR(__xludf.DUMMYFUNCTION("""COMPUTED_VALUE"""),"2024")</f>
        <v>2024</v>
      </c>
      <c r="G1755" s="16" t="str">
        <f>IFERROR(__xludf.DUMMYFUNCTION("""COMPUTED_VALUE"""),"IDA JULIANTI")</f>
        <v>IDA JULIANTI</v>
      </c>
      <c r="H1755" s="17" t="str">
        <f>IFERROR(__xludf.DUMMYFUNCTION("""COMPUTED_VALUE"""),"I5824099786")</f>
        <v>I5824099786</v>
      </c>
      <c r="I1755" s="17">
        <f>IFERROR(__xludf.DUMMYFUNCTION("""COMPUTED_VALUE"""),67.0)</f>
        <v>67</v>
      </c>
      <c r="J1755" s="17" t="str">
        <f>IFERROR(__xludf.DUMMYFUNCTION("""COMPUTED_VALUE"""),"&gt; 44 tahun")</f>
        <v>&gt; 44 tahun</v>
      </c>
      <c r="K1755" s="19">
        <f>IFERROR(__xludf.DUMMYFUNCTION("""COMPUTED_VALUE"""),21385.0)</f>
        <v>21385</v>
      </c>
      <c r="L1755" s="19" t="str">
        <f>IFERROR(__xludf.DUMMYFUNCTION("""COMPUTED_VALUE"""),"PEREMPUAN")</f>
        <v>PEREMPUAN</v>
      </c>
      <c r="M1755" s="35" t="str">
        <f>IFERROR(__xludf.DUMMYFUNCTION("""COMPUTED_VALUE"""),"PARIS 2. ALEX GRITA PERMAI 3. B10")</f>
        <v>PARIS 2. ALEX GRITA PERMAI 3. B10</v>
      </c>
      <c r="N1755" s="16" t="str">
        <f>IFERROR(__xludf.DUMMYFUNCTION("""COMPUTED_VALUE"""),"KEL. BANSIR DARAT")</f>
        <v>KEL. BANSIR DARAT</v>
      </c>
      <c r="O1755" s="16" t="str">
        <f>IFERROR(__xludf.DUMMYFUNCTION("""COMPUTED_VALUE"""),"KEC. PONTIANAK TENGGARA")</f>
        <v>KEC. PONTIANAK TENGGARA</v>
      </c>
      <c r="P1755" s="16" t="str">
        <f>IFERROR(__xludf.DUMMYFUNCTION("""COMPUTED_VALUE"""),"KOTA PONTIANAK")</f>
        <v>KOTA PONTIANAK</v>
      </c>
      <c r="Q1755" s="16" t="str">
        <f>IFERROR(__xludf.DUMMYFUNCTION("""COMPUTED_VALUE"""),"KALIMANTAN BARAT")</f>
        <v>KALIMANTAN BARAT</v>
      </c>
      <c r="R1755" s="19" t="str">
        <f>IFERROR(__xludf.DUMMYFUNCTION("""COMPUTED_VALUE"""),"ISLAM")</f>
        <v>ISLAM</v>
      </c>
      <c r="S1755" s="35" t="str">
        <f>IFERROR(__xludf.DUMMYFUNCTION("""COMPUTED_VALUE"""),"PENSIUN")</f>
        <v>PENSIUN</v>
      </c>
      <c r="T1755" s="16" t="str">
        <f>IFERROR(__xludf.DUMMYFUNCTION("""COMPUTED_VALUE"""),"SAKIT PINGGANG KIRI")</f>
        <v>SAKIT PINGGANG KIRI</v>
      </c>
      <c r="U1755" s="16" t="str">
        <f>IFERROR(__xludf.DUMMYFUNCTION("""COMPUTED_VALUE"""),"IRT")</f>
        <v>IRT</v>
      </c>
      <c r="V1755" s="11" t="str">
        <f>IFERROR(__xludf.DUMMYFUNCTION("""COMPUTED_VALUE"""),"082152449786")</f>
        <v>082152449786</v>
      </c>
      <c r="W1755" s="15"/>
    </row>
    <row r="1756" ht="22.5" customHeight="1">
      <c r="A1756" s="8"/>
      <c r="B1756" s="9">
        <f>IFERROR(__xludf.DUMMYFUNCTION("""COMPUTED_VALUE"""),45555.63527972222)</f>
        <v>45555.63528</v>
      </c>
      <c r="C1756" s="9"/>
      <c r="D1756" s="34">
        <f>IFERROR(__xludf.DUMMYFUNCTION("""COMPUTED_VALUE"""),45565.0)</f>
        <v>45565</v>
      </c>
      <c r="E1756" s="34" t="str">
        <f>IFERROR(__xludf.DUMMYFUNCTION("""COMPUTED_VALUE"""),"09Sep")</f>
        <v>09Sep</v>
      </c>
      <c r="F1756" s="34" t="str">
        <f>IFERROR(__xludf.DUMMYFUNCTION("""COMPUTED_VALUE"""),"2024")</f>
        <v>2024</v>
      </c>
      <c r="G1756" s="35" t="str">
        <f>IFERROR(__xludf.DUMMYFUNCTION("""COMPUTED_VALUE"""),"SULIANDI")</f>
        <v>SULIANDI</v>
      </c>
      <c r="H1756" s="17" t="str">
        <f>IFERROR(__xludf.DUMMYFUNCTION("""COMPUTED_VALUE"""),"S7224091950")</f>
        <v>S7224091950</v>
      </c>
      <c r="I1756" s="17">
        <f>IFERROR(__xludf.DUMMYFUNCTION("""COMPUTED_VALUE"""),53.0)</f>
        <v>53</v>
      </c>
      <c r="J1756" s="17" t="str">
        <f>IFERROR(__xludf.DUMMYFUNCTION("""COMPUTED_VALUE"""),"&gt; 44 tahun")</f>
        <v>&gt; 44 tahun</v>
      </c>
      <c r="K1756" s="19">
        <f>IFERROR(__xludf.DUMMYFUNCTION("""COMPUTED_VALUE"""),26574.0)</f>
        <v>26574</v>
      </c>
      <c r="L1756" s="19" t="str">
        <f>IFERROR(__xludf.DUMMYFUNCTION("""COMPUTED_VALUE"""),"LAKI-LAKI")</f>
        <v>LAKI-LAKI</v>
      </c>
      <c r="M1756" s="35" t="str">
        <f>IFERROR(__xludf.DUMMYFUNCTION("""COMPUTED_VALUE"""),"JL. SULTAN ABDURAHMAN KOMP.TONGIE")</f>
        <v>JL. SULTAN ABDURAHMAN KOMP.TONGIE</v>
      </c>
      <c r="N1756" s="16" t="str">
        <f>IFERROR(__xludf.DUMMYFUNCTION("""COMPUTED_VALUE"""),"KEL. SUNGAI BANGKONG")</f>
        <v>KEL. SUNGAI BANGKONG</v>
      </c>
      <c r="O1756" s="16" t="str">
        <f>IFERROR(__xludf.DUMMYFUNCTION("""COMPUTED_VALUE"""),"KEC. PONTIANAK KOTA")</f>
        <v>KEC. PONTIANAK KOTA</v>
      </c>
      <c r="P1756" s="16" t="str">
        <f>IFERROR(__xludf.DUMMYFUNCTION("""COMPUTED_VALUE"""),"KOTA PONTIANAK")</f>
        <v>KOTA PONTIANAK</v>
      </c>
      <c r="Q1756" s="16" t="str">
        <f>IFERROR(__xludf.DUMMYFUNCTION("""COMPUTED_VALUE"""),"KALIMANTAN BARAT")</f>
        <v>KALIMANTAN BARAT</v>
      </c>
      <c r="R1756" s="19" t="str">
        <f>IFERROR(__xludf.DUMMYFUNCTION("""COMPUTED_VALUE"""),"KATOLIK")</f>
        <v>KATOLIK</v>
      </c>
      <c r="S1756" s="35" t="str">
        <f>IFERROR(__xludf.DUMMYFUNCTION("""COMPUTED_VALUE"""),"SWASTA")</f>
        <v>SWASTA</v>
      </c>
      <c r="T1756" s="36" t="str">
        <f>IFERROR(__xludf.DUMMYFUNCTION("""COMPUTED_VALUE"""),"SAKIT TANGAN KANAN/ELBOW")</f>
        <v>SAKIT TANGAN KANAN/ELBOW</v>
      </c>
      <c r="U1756" s="16" t="str">
        <f>IFERROR(__xludf.DUMMYFUNCTION("""COMPUTED_VALUE"""),"BACA")</f>
        <v>BACA</v>
      </c>
      <c r="V1756" s="11" t="str">
        <f>IFERROR(__xludf.DUMMYFUNCTION("""COMPUTED_VALUE"""),"082251461950")</f>
        <v>082251461950</v>
      </c>
      <c r="W1756" s="15"/>
    </row>
    <row r="1757" ht="22.5" customHeight="1">
      <c r="A1757" s="8"/>
      <c r="B1757" s="9">
        <f>IFERROR(__xludf.DUMMYFUNCTION("""COMPUTED_VALUE"""),45555.666001516205)</f>
        <v>45555.666</v>
      </c>
      <c r="C1757" s="9"/>
      <c r="D1757" s="34">
        <f>IFERROR(__xludf.DUMMYFUNCTION("""COMPUTED_VALUE"""),45565.0)</f>
        <v>45565</v>
      </c>
      <c r="E1757" s="34" t="str">
        <f>IFERROR(__xludf.DUMMYFUNCTION("""COMPUTED_VALUE"""),"09Sep")</f>
        <v>09Sep</v>
      </c>
      <c r="F1757" s="34" t="str">
        <f>IFERROR(__xludf.DUMMYFUNCTION("""COMPUTED_VALUE"""),"2024")</f>
        <v>2024</v>
      </c>
      <c r="G1757" s="35" t="str">
        <f>IFERROR(__xludf.DUMMYFUNCTION("""COMPUTED_VALUE"""),"RONY GUNAWAN")</f>
        <v>RONY GUNAWAN</v>
      </c>
      <c r="H1757" s="17" t="str">
        <f>IFERROR(__xludf.DUMMYFUNCTION("""COMPUTED_VALUE"""),"R9324090370")</f>
        <v>R9324090370</v>
      </c>
      <c r="I1757" s="17">
        <f>IFERROR(__xludf.DUMMYFUNCTION("""COMPUTED_VALUE"""),33.0)</f>
        <v>33</v>
      </c>
      <c r="J1757" s="17" t="str">
        <f>IFERROR(__xludf.DUMMYFUNCTION("""COMPUTED_VALUE"""),"25-34 tahun")</f>
        <v>25-34 tahun</v>
      </c>
      <c r="K1757" s="19">
        <f>IFERROR(__xludf.DUMMYFUNCTION("""COMPUTED_VALUE"""),34067.0)</f>
        <v>34067</v>
      </c>
      <c r="L1757" s="19" t="str">
        <f>IFERROR(__xludf.DUMMYFUNCTION("""COMPUTED_VALUE"""),"LAKI-LAKI")</f>
        <v>LAKI-LAKI</v>
      </c>
      <c r="M1757" s="35" t="str">
        <f>IFERROR(__xludf.DUMMYFUNCTION("""COMPUTED_VALUE"""),"JL. DR SUTOMO GG. KARYA A NO.5")</f>
        <v>JL. DR SUTOMO GG. KARYA A NO.5</v>
      </c>
      <c r="N1757" s="16" t="str">
        <f>IFERROR(__xludf.DUMMYFUNCTION("""COMPUTED_VALUE"""),"KEL. SUNGAI BANGKONG")</f>
        <v>KEL. SUNGAI BANGKONG</v>
      </c>
      <c r="O1757" s="16" t="str">
        <f>IFERROR(__xludf.DUMMYFUNCTION("""COMPUTED_VALUE"""),"KEC. PONTIANAK KOTA")</f>
        <v>KEC. PONTIANAK KOTA</v>
      </c>
      <c r="P1757" s="16" t="str">
        <f>IFERROR(__xludf.DUMMYFUNCTION("""COMPUTED_VALUE"""),"KOTA PONTIANAK")</f>
        <v>KOTA PONTIANAK</v>
      </c>
      <c r="Q1757" s="16" t="str">
        <f>IFERROR(__xludf.DUMMYFUNCTION("""COMPUTED_VALUE"""),"KALIMANTAN BARAT")</f>
        <v>KALIMANTAN BARAT</v>
      </c>
      <c r="R1757" s="19" t="str">
        <f>IFERROR(__xludf.DUMMYFUNCTION("""COMPUTED_VALUE"""),"BUDDHA")</f>
        <v>BUDDHA</v>
      </c>
      <c r="S1757" s="16" t="str">
        <f>IFERROR(__xludf.DUMMYFUNCTION("""COMPUTED_VALUE"""),"SWASTA")</f>
        <v>SWASTA</v>
      </c>
      <c r="T1757" s="36" t="str">
        <f>IFERROR(__xludf.DUMMYFUNCTION("""COMPUTED_VALUE"""),"SAKIT BAGIAN BAHU")</f>
        <v>SAKIT BAGIAN BAHU</v>
      </c>
      <c r="U1757" s="16" t="str">
        <f>IFERROR(__xludf.DUMMYFUNCTION("""COMPUTED_VALUE"""),"FUTSAL/MEMANCING")</f>
        <v>FUTSAL/MEMANCING</v>
      </c>
      <c r="V1757" s="11" t="str">
        <f>IFERROR(__xludf.DUMMYFUNCTION("""COMPUTED_VALUE"""),"081254870370")</f>
        <v>081254870370</v>
      </c>
      <c r="W1757" s="15"/>
    </row>
    <row r="1758" ht="22.5" customHeight="1">
      <c r="A1758" s="8"/>
      <c r="B1758" s="9">
        <f>IFERROR(__xludf.DUMMYFUNCTION("""COMPUTED_VALUE"""),45555.795085578706)</f>
        <v>45555.79509</v>
      </c>
      <c r="C1758" s="9"/>
      <c r="D1758" s="34">
        <f>IFERROR(__xludf.DUMMYFUNCTION("""COMPUTED_VALUE"""),45565.0)</f>
        <v>45565</v>
      </c>
      <c r="E1758" s="34" t="str">
        <f>IFERROR(__xludf.DUMMYFUNCTION("""COMPUTED_VALUE"""),"09Sep")</f>
        <v>09Sep</v>
      </c>
      <c r="F1758" s="34" t="str">
        <f>IFERROR(__xludf.DUMMYFUNCTION("""COMPUTED_VALUE"""),"2024")</f>
        <v>2024</v>
      </c>
      <c r="G1758" s="35" t="str">
        <f>IFERROR(__xludf.DUMMYFUNCTION("""COMPUTED_VALUE"""),"ETTY MARWATI")</f>
        <v>ETTY MARWATI</v>
      </c>
      <c r="H1758" s="17" t="str">
        <f>IFERROR(__xludf.DUMMYFUNCTION("""COMPUTED_VALUE"""),"E7624097458")</f>
        <v>E7624097458</v>
      </c>
      <c r="I1758" s="17">
        <f>IFERROR(__xludf.DUMMYFUNCTION("""COMPUTED_VALUE"""),49.0)</f>
        <v>49</v>
      </c>
      <c r="J1758" s="17" t="str">
        <f>IFERROR(__xludf.DUMMYFUNCTION("""COMPUTED_VALUE"""),"&gt; 44 tahun")</f>
        <v>&gt; 44 tahun</v>
      </c>
      <c r="K1758" s="19">
        <f>IFERROR(__xludf.DUMMYFUNCTION("""COMPUTED_VALUE"""),27992.0)</f>
        <v>27992</v>
      </c>
      <c r="L1758" s="19" t="str">
        <f>IFERROR(__xludf.DUMMYFUNCTION("""COMPUTED_VALUE"""),"PEREMPUAN")</f>
        <v>PEREMPUAN</v>
      </c>
      <c r="M1758" s="35" t="str">
        <f>IFERROR(__xludf.DUMMYFUNCTION("""COMPUTED_VALUE"""),"ETTY MARWATI")</f>
        <v>ETTY MARWATI</v>
      </c>
      <c r="N1758" s="16" t="str">
        <f>IFERROR(__xludf.DUMMYFUNCTION("""COMPUTED_VALUE"""),"KEL. PAL IX")</f>
        <v>KEL. PAL IX</v>
      </c>
      <c r="O1758" s="16" t="str">
        <f>IFERROR(__xludf.DUMMYFUNCTION("""COMPUTED_VALUE"""),"KEC. PONTIANAK BARAT")</f>
        <v>KEC. PONTIANAK BARAT</v>
      </c>
      <c r="P1758" s="16" t="str">
        <f>IFERROR(__xludf.DUMMYFUNCTION("""COMPUTED_VALUE"""),"KOTA PONTIANAK")</f>
        <v>KOTA PONTIANAK</v>
      </c>
      <c r="Q1758" s="16" t="str">
        <f>IFERROR(__xludf.DUMMYFUNCTION("""COMPUTED_VALUE"""),"KALIMANTAN BARAT")</f>
        <v>KALIMANTAN BARAT</v>
      </c>
      <c r="R1758" s="19" t="str">
        <f>IFERROR(__xludf.DUMMYFUNCTION("""COMPUTED_VALUE"""),"ISLAM")</f>
        <v>ISLAM</v>
      </c>
      <c r="S1758" s="16" t="str">
        <f>IFERROR(__xludf.DUMMYFUNCTION("""COMPUTED_VALUE"""),"ASN")</f>
        <v>ASN</v>
      </c>
      <c r="T1758" s="16" t="str">
        <f>IFERROR(__xludf.DUMMYFUNCTION("""COMPUTED_VALUE"""),"SARAF KEJEPIT")</f>
        <v>SARAF KEJEPIT</v>
      </c>
      <c r="U1758" s="16" t="str">
        <f>IFERROR(__xludf.DUMMYFUNCTION("""COMPUTED_VALUE"""),"Bekerja")</f>
        <v>Bekerja</v>
      </c>
      <c r="V1758" s="11" t="str">
        <f>IFERROR(__xludf.DUMMYFUNCTION("""COMPUTED_VALUE"""),"087703567458")</f>
        <v>087703567458</v>
      </c>
      <c r="W1758" s="15"/>
    </row>
    <row r="1759" ht="22.5" customHeight="1">
      <c r="A1759" s="8"/>
      <c r="B1759" s="9">
        <f>IFERROR(__xludf.DUMMYFUNCTION("""COMPUTED_VALUE"""),45556.4322507176)</f>
        <v>45556.43225</v>
      </c>
      <c r="C1759" s="9"/>
      <c r="D1759" s="34">
        <f>IFERROR(__xludf.DUMMYFUNCTION("""COMPUTED_VALUE"""),45565.0)</f>
        <v>45565</v>
      </c>
      <c r="E1759" s="34" t="str">
        <f>IFERROR(__xludf.DUMMYFUNCTION("""COMPUTED_VALUE"""),"09Sep")</f>
        <v>09Sep</v>
      </c>
      <c r="F1759" s="34" t="str">
        <f>IFERROR(__xludf.DUMMYFUNCTION("""COMPUTED_VALUE"""),"2024")</f>
        <v>2024</v>
      </c>
      <c r="G1759" s="35" t="str">
        <f>IFERROR(__xludf.DUMMYFUNCTION("""COMPUTED_VALUE"""),"TUNGGAL ADIGORO")</f>
        <v>TUNGGAL ADIGORO</v>
      </c>
      <c r="H1759" s="17" t="str">
        <f>IFERROR(__xludf.DUMMYFUNCTION("""COMPUTED_VALUE"""),"T9424092013")</f>
        <v>T9424092013</v>
      </c>
      <c r="I1759" s="17">
        <f>IFERROR(__xludf.DUMMYFUNCTION("""COMPUTED_VALUE"""),31.0)</f>
        <v>31</v>
      </c>
      <c r="J1759" s="17" t="str">
        <f>IFERROR(__xludf.DUMMYFUNCTION("""COMPUTED_VALUE"""),"25-34 tahun")</f>
        <v>25-34 tahun</v>
      </c>
      <c r="K1759" s="19">
        <f>IFERROR(__xludf.DUMMYFUNCTION("""COMPUTED_VALUE"""),34616.0)</f>
        <v>34616</v>
      </c>
      <c r="L1759" s="19" t="str">
        <f>IFERROR(__xludf.DUMMYFUNCTION("""COMPUTED_VALUE"""),"LAKI-LAKI")</f>
        <v>LAKI-LAKI</v>
      </c>
      <c r="M1759" s="35" t="str">
        <f>IFERROR(__xludf.DUMMYFUNCTION("""COMPUTED_VALUE"""),"JL. KORA RAYA NOMOR 8 KOMPLEK KORA")</f>
        <v>JL. KORA RAYA NOMOR 8 KOMPLEK KORA</v>
      </c>
      <c r="N1759" s="16" t="str">
        <f>IFERROR(__xludf.DUMMYFUNCTION("""COMPUTED_VALUE"""),"KEL. HALIM PERDANA KUSUMAH")</f>
        <v>KEL. HALIM PERDANA KUSUMAH</v>
      </c>
      <c r="O1759" s="16" t="str">
        <f>IFERROR(__xludf.DUMMYFUNCTION("""COMPUTED_VALUE"""),"KEC. MAKASAR")</f>
        <v>KEC. MAKASAR</v>
      </c>
      <c r="P1759" s="16" t="str">
        <f>IFERROR(__xludf.DUMMYFUNCTION("""COMPUTED_VALUE"""),"KOTA JAKARTA")</f>
        <v>KOTA JAKARTA</v>
      </c>
      <c r="Q1759" s="16" t="str">
        <f>IFERROR(__xludf.DUMMYFUNCTION("""COMPUTED_VALUE"""),"DKI JAKARTA")</f>
        <v>DKI JAKARTA</v>
      </c>
      <c r="R1759" s="19" t="str">
        <f>IFERROR(__xludf.DUMMYFUNCTION("""COMPUTED_VALUE"""),"ISLAM")</f>
        <v>ISLAM</v>
      </c>
      <c r="S1759" s="16" t="str">
        <f>IFERROR(__xludf.DUMMYFUNCTION("""COMPUTED_VALUE"""),"SWASTA")</f>
        <v>SWASTA</v>
      </c>
      <c r="T1759" s="36" t="str">
        <f>IFERROR(__xludf.DUMMYFUNCTION("""COMPUTED_VALUE"""),"PINGGANG DAN KAKI KANAN")</f>
        <v>PINGGANG DAN KAKI KANAN</v>
      </c>
      <c r="U1759" s="16" t="str">
        <f>IFERROR(__xludf.DUMMYFUNCTION("""COMPUTED_VALUE"""),"BADMINTON")</f>
        <v>BADMINTON</v>
      </c>
      <c r="V1759" s="11" t="str">
        <f>IFERROR(__xludf.DUMMYFUNCTION("""COMPUTED_VALUE"""),"081212882013")</f>
        <v>081212882013</v>
      </c>
      <c r="W1759" s="15"/>
    </row>
    <row r="1760" ht="22.5" customHeight="1">
      <c r="A1760" s="8"/>
      <c r="B1760" s="9">
        <f>IFERROR(__xludf.DUMMYFUNCTION("""COMPUTED_VALUE"""),45556.509948900464)</f>
        <v>45556.50995</v>
      </c>
      <c r="C1760" s="9"/>
      <c r="D1760" s="10">
        <f>IFERROR(__xludf.DUMMYFUNCTION("""COMPUTED_VALUE"""),45566.0)</f>
        <v>45566</v>
      </c>
      <c r="E1760" s="10" t="str">
        <f>IFERROR(__xludf.DUMMYFUNCTION("""COMPUTED_VALUE"""),"10Okt")</f>
        <v>10Okt</v>
      </c>
      <c r="F1760" s="10" t="str">
        <f>IFERROR(__xludf.DUMMYFUNCTION("""COMPUTED_VALUE"""),"2024")</f>
        <v>2024</v>
      </c>
      <c r="G1760" s="35" t="str">
        <f>IFERROR(__xludf.DUMMYFUNCTION("""COMPUTED_VALUE"""),"YOHANES ADAM ABBAH")</f>
        <v>YOHANES ADAM ABBAH</v>
      </c>
      <c r="H1760" s="17" t="str">
        <f>IFERROR(__xludf.DUMMYFUNCTION("""COMPUTED_VALUE"""),"Y8624101986")</f>
        <v>Y8624101986</v>
      </c>
      <c r="I1760" s="17">
        <f>IFERROR(__xludf.DUMMYFUNCTION("""COMPUTED_VALUE"""),40.0)</f>
        <v>40</v>
      </c>
      <c r="J1760" s="17" t="str">
        <f>IFERROR(__xludf.DUMMYFUNCTION("""COMPUTED_VALUE"""),"35-44 tahun")</f>
        <v>35-44 tahun</v>
      </c>
      <c r="K1760" s="19">
        <f>IFERROR(__xludf.DUMMYFUNCTION("""COMPUTED_VALUE"""),31435.0)</f>
        <v>31435</v>
      </c>
      <c r="L1760" s="19" t="str">
        <f>IFERROR(__xludf.DUMMYFUNCTION("""COMPUTED_VALUE"""),"LAKI-LAKI")</f>
        <v>LAKI-LAKI</v>
      </c>
      <c r="M1760" s="35" t="str">
        <f>IFERROR(__xludf.DUMMYFUNCTION("""COMPUTED_VALUE"""),"JL. NURUL HUDA NO. 115")</f>
        <v>JL. NURUL HUDA NO. 115</v>
      </c>
      <c r="N1760" s="16" t="str">
        <f>IFERROR(__xludf.DUMMYFUNCTION("""COMPUTED_VALUE"""),"DS. PARIT BARU")</f>
        <v>DS. PARIT BARU</v>
      </c>
      <c r="O1760" s="16" t="str">
        <f>IFERROR(__xludf.DUMMYFUNCTION("""COMPUTED_VALUE"""),"KEC. SUNGAI RAYA")</f>
        <v>KEC. SUNGAI RAYA</v>
      </c>
      <c r="P1760" s="16" t="str">
        <f>IFERROR(__xludf.DUMMYFUNCTION("""COMPUTED_VALUE"""),"KAB. KUBU RAYA")</f>
        <v>KAB. KUBU RAYA</v>
      </c>
      <c r="Q1760" s="16" t="str">
        <f>IFERROR(__xludf.DUMMYFUNCTION("""COMPUTED_VALUE"""),"KALIMANTAN BARAT")</f>
        <v>KALIMANTAN BARAT</v>
      </c>
      <c r="R1760" s="19" t="str">
        <f>IFERROR(__xludf.DUMMYFUNCTION("""COMPUTED_VALUE"""),"KATOLIK")</f>
        <v>KATOLIK</v>
      </c>
      <c r="S1760" s="35" t="str">
        <f>IFERROR(__xludf.DUMMYFUNCTION("""COMPUTED_VALUE"""),"ASN")</f>
        <v>ASN</v>
      </c>
      <c r="T1760" s="36" t="str">
        <f>IFERROR(__xludf.DUMMYFUNCTION("""COMPUTED_VALUE"""),"KIRI SAKIT")</f>
        <v>KIRI SAKIT</v>
      </c>
      <c r="U1760" s="16" t="str">
        <f>IFERROR(__xludf.DUMMYFUNCTION("""COMPUTED_VALUE"""),"Main Basket")</f>
        <v>Main Basket</v>
      </c>
      <c r="V1760" s="11" t="str">
        <f>IFERROR(__xludf.DUMMYFUNCTION("""COMPUTED_VALUE"""),"081318811986")</f>
        <v>081318811986</v>
      </c>
      <c r="W1760" s="15"/>
    </row>
    <row r="1761" ht="22.5" customHeight="1">
      <c r="A1761" s="8"/>
      <c r="B1761" s="9">
        <f>IFERROR(__xludf.DUMMYFUNCTION("""COMPUTED_VALUE"""),45556.533415555554)</f>
        <v>45556.53342</v>
      </c>
      <c r="C1761" s="9"/>
      <c r="D1761" s="34">
        <f>IFERROR(__xludf.DUMMYFUNCTION("""COMPUTED_VALUE"""),45566.0)</f>
        <v>45566</v>
      </c>
      <c r="E1761" s="34" t="str">
        <f>IFERROR(__xludf.DUMMYFUNCTION("""COMPUTED_VALUE"""),"10Okt")</f>
        <v>10Okt</v>
      </c>
      <c r="F1761" s="34" t="str">
        <f>IFERROR(__xludf.DUMMYFUNCTION("""COMPUTED_VALUE"""),"2024")</f>
        <v>2024</v>
      </c>
      <c r="G1761" s="35" t="str">
        <f>IFERROR(__xludf.DUMMYFUNCTION("""COMPUTED_VALUE"""),"TALITHA NOREEN NITYA")</f>
        <v>TALITHA NOREEN NITYA</v>
      </c>
      <c r="H1761" s="17" t="str">
        <f>IFERROR(__xludf.DUMMYFUNCTION("""COMPUTED_VALUE"""),"T0924105735")</f>
        <v>T0924105735</v>
      </c>
      <c r="I1761" s="17">
        <f>IFERROR(__xludf.DUMMYFUNCTION("""COMPUTED_VALUE"""),16.0)</f>
        <v>16</v>
      </c>
      <c r="J1761" s="17" t="str">
        <f>IFERROR(__xludf.DUMMYFUNCTION("""COMPUTED_VALUE"""),"&lt; 18 tahun")</f>
        <v>&lt; 18 tahun</v>
      </c>
      <c r="K1761" s="19">
        <f>IFERROR(__xludf.DUMMYFUNCTION("""COMPUTED_VALUE"""),40092.0)</f>
        <v>40092</v>
      </c>
      <c r="L1761" s="19" t="str">
        <f>IFERROR(__xludf.DUMMYFUNCTION("""COMPUTED_VALUE"""),"PEREMPUAN")</f>
        <v>PEREMPUAN</v>
      </c>
      <c r="M1761" s="35" t="str">
        <f>IFERROR(__xludf.DUMMYFUNCTION("""COMPUTED_VALUE"""),"KOMP SENTARUM MANDIRI 2 B4")</f>
        <v>KOMP SENTARUM MANDIRI 2 B4</v>
      </c>
      <c r="N1761" s="16" t="str">
        <f>IFERROR(__xludf.DUMMYFUNCTION("""COMPUTED_VALUE"""),"KEL. SUNGAI BANGKONG")</f>
        <v>KEL. SUNGAI BANGKONG</v>
      </c>
      <c r="O1761" s="16" t="str">
        <f>IFERROR(__xludf.DUMMYFUNCTION("""COMPUTED_VALUE"""),"KEC. PONTIANAK KOTA")</f>
        <v>KEC. PONTIANAK KOTA</v>
      </c>
      <c r="P1761" s="16" t="str">
        <f>IFERROR(__xludf.DUMMYFUNCTION("""COMPUTED_VALUE"""),"KOTA PONTIANAK")</f>
        <v>KOTA PONTIANAK</v>
      </c>
      <c r="Q1761" s="16" t="str">
        <f>IFERROR(__xludf.DUMMYFUNCTION("""COMPUTED_VALUE"""),"KALIMANTAN BARAT")</f>
        <v>KALIMANTAN BARAT</v>
      </c>
      <c r="R1761" s="19" t="str">
        <f>IFERROR(__xludf.DUMMYFUNCTION("""COMPUTED_VALUE"""),"ISLAM")</f>
        <v>ISLAM</v>
      </c>
      <c r="S1761" s="16" t="str">
        <f>IFERROR(__xludf.DUMMYFUNCTION("""COMPUTED_VALUE"""),"PELAJAR/MAHASISWA")</f>
        <v>PELAJAR/MAHASISWA</v>
      </c>
      <c r="T1761" s="36" t="str">
        <f>IFERROR(__xludf.DUMMYFUNCTION("""COMPUTED_VALUE"""),"SAKIT BAHU KANAN KALAU DIANGKAT KEATAS")</f>
        <v>SAKIT BAHU KANAN KALAU DIANGKAT KEATAS</v>
      </c>
      <c r="U1761" s="16" t="str">
        <f>IFERROR(__xludf.DUMMYFUNCTION("""COMPUTED_VALUE"""),"sekolah, berenang")</f>
        <v>sekolah, berenang</v>
      </c>
      <c r="V1761" s="11" t="str">
        <f>IFERROR(__xludf.DUMMYFUNCTION("""COMPUTED_VALUE"""),"081258535735")</f>
        <v>081258535735</v>
      </c>
      <c r="W1761" s="15"/>
    </row>
    <row r="1762" ht="22.5" customHeight="1">
      <c r="A1762" s="8"/>
      <c r="B1762" s="9">
        <f>IFERROR(__xludf.DUMMYFUNCTION("""COMPUTED_VALUE"""),45556.55109496528)</f>
        <v>45556.55109</v>
      </c>
      <c r="C1762" s="9"/>
      <c r="D1762" s="34">
        <f>IFERROR(__xludf.DUMMYFUNCTION("""COMPUTED_VALUE"""),45566.0)</f>
        <v>45566</v>
      </c>
      <c r="E1762" s="34" t="str">
        <f>IFERROR(__xludf.DUMMYFUNCTION("""COMPUTED_VALUE"""),"10Okt")</f>
        <v>10Okt</v>
      </c>
      <c r="F1762" s="34" t="str">
        <f>IFERROR(__xludf.DUMMYFUNCTION("""COMPUTED_VALUE"""),"2024")</f>
        <v>2024</v>
      </c>
      <c r="G1762" s="35" t="str">
        <f>IFERROR(__xludf.DUMMYFUNCTION("""COMPUTED_VALUE"""),"FRIESCHA SEPTIYANI")</f>
        <v>FRIESCHA SEPTIYANI</v>
      </c>
      <c r="H1762" s="17" t="str">
        <f>IFERROR(__xludf.DUMMYFUNCTION("""COMPUTED_VALUE"""),"F9324104783")</f>
        <v>F9324104783</v>
      </c>
      <c r="I1762" s="17">
        <f>IFERROR(__xludf.DUMMYFUNCTION("""COMPUTED_VALUE"""),32.0)</f>
        <v>32</v>
      </c>
      <c r="J1762" s="17" t="str">
        <f>IFERROR(__xludf.DUMMYFUNCTION("""COMPUTED_VALUE"""),"25-34 tahun")</f>
        <v>25-34 tahun</v>
      </c>
      <c r="K1762" s="19">
        <f>IFERROR(__xludf.DUMMYFUNCTION("""COMPUTED_VALUE"""),34225.0)</f>
        <v>34225</v>
      </c>
      <c r="L1762" s="19" t="str">
        <f>IFERROR(__xludf.DUMMYFUNCTION("""COMPUTED_VALUE"""),"PEREMPUAN")</f>
        <v>PEREMPUAN</v>
      </c>
      <c r="M1762" s="35" t="str">
        <f>IFERROR(__xludf.DUMMYFUNCTION("""COMPUTED_VALUE"""),"JALAN TANJUNG RAYA II, KOMPLEK BALI LESTARI BLOK G4")</f>
        <v>JALAN TANJUNG RAYA II, KOMPLEK BALI LESTARI BLOK G4</v>
      </c>
      <c r="N1762" s="16" t="str">
        <f>IFERROR(__xludf.DUMMYFUNCTION("""COMPUTED_VALUE"""),"KEL. SAIGON")</f>
        <v>KEL. SAIGON</v>
      </c>
      <c r="O1762" s="16" t="str">
        <f>IFERROR(__xludf.DUMMYFUNCTION("""COMPUTED_VALUE"""),"KEC. PONTIANAK TIMUR")</f>
        <v>KEC. PONTIANAK TIMUR</v>
      </c>
      <c r="P1762" s="16" t="str">
        <f>IFERROR(__xludf.DUMMYFUNCTION("""COMPUTED_VALUE"""),"KOTA PONTIANAK")</f>
        <v>KOTA PONTIANAK</v>
      </c>
      <c r="Q1762" s="16" t="str">
        <f>IFERROR(__xludf.DUMMYFUNCTION("""COMPUTED_VALUE"""),"KALIMANTAN BARAT")</f>
        <v>KALIMANTAN BARAT</v>
      </c>
      <c r="R1762" s="19" t="str">
        <f>IFERROR(__xludf.DUMMYFUNCTION("""COMPUTED_VALUE"""),"ISLAM")</f>
        <v>ISLAM</v>
      </c>
      <c r="S1762" s="16" t="str">
        <f>IFERROR(__xludf.DUMMYFUNCTION("""COMPUTED_VALUE"""),"SWASTA")</f>
        <v>SWASTA</v>
      </c>
      <c r="T1762" s="36" t="str">
        <f>IFERROR(__xludf.DUMMYFUNCTION("""COMPUTED_VALUE"""),"NYERI TANGAN")</f>
        <v>NYERI TANGAN</v>
      </c>
      <c r="U1762" s="16" t="str">
        <f>IFERROR(__xludf.DUMMYFUNCTION("""COMPUTED_VALUE"""),"Bekerja")</f>
        <v>Bekerja</v>
      </c>
      <c r="V1762" s="11" t="str">
        <f>IFERROR(__xludf.DUMMYFUNCTION("""COMPUTED_VALUE"""),"085787764783")</f>
        <v>085787764783</v>
      </c>
      <c r="W1762" s="15"/>
    </row>
    <row r="1763" ht="22.5" customHeight="1">
      <c r="A1763" s="8"/>
      <c r="B1763" s="9">
        <f>IFERROR(__xludf.DUMMYFUNCTION("""COMPUTED_VALUE"""),45556.659977083335)</f>
        <v>45556.65998</v>
      </c>
      <c r="C1763" s="9"/>
      <c r="D1763" s="34">
        <f>IFERROR(__xludf.DUMMYFUNCTION("""COMPUTED_VALUE"""),45566.0)</f>
        <v>45566</v>
      </c>
      <c r="E1763" s="34" t="str">
        <f>IFERROR(__xludf.DUMMYFUNCTION("""COMPUTED_VALUE"""),"10Okt")</f>
        <v>10Okt</v>
      </c>
      <c r="F1763" s="34" t="str">
        <f>IFERROR(__xludf.DUMMYFUNCTION("""COMPUTED_VALUE"""),"2024")</f>
        <v>2024</v>
      </c>
      <c r="G1763" s="35" t="str">
        <f>IFERROR(__xludf.DUMMYFUNCTION("""COMPUTED_VALUE"""),"DWI YADI")</f>
        <v>DWI YADI</v>
      </c>
      <c r="H1763" s="17" t="str">
        <f>IFERROR(__xludf.DUMMYFUNCTION("""COMPUTED_VALUE"""),"D8724103845")</f>
        <v>D8724103845</v>
      </c>
      <c r="I1763" s="17">
        <f>IFERROR(__xludf.DUMMYFUNCTION("""COMPUTED_VALUE"""),39.0)</f>
        <v>39</v>
      </c>
      <c r="J1763" s="17" t="str">
        <f>IFERROR(__xludf.DUMMYFUNCTION("""COMPUTED_VALUE"""),"35-44 tahun")</f>
        <v>35-44 tahun</v>
      </c>
      <c r="K1763" s="19">
        <f>IFERROR(__xludf.DUMMYFUNCTION("""COMPUTED_VALUE"""),31922.0)</f>
        <v>31922</v>
      </c>
      <c r="L1763" s="19" t="str">
        <f>IFERROR(__xludf.DUMMYFUNCTION("""COMPUTED_VALUE"""),"LAKI LAKI")</f>
        <v>LAKI LAKI</v>
      </c>
      <c r="M1763" s="35" t="str">
        <f>IFERROR(__xludf.DUMMYFUNCTION("""COMPUTED_VALUE"""),"JALAN PARIT HAJI HUSIN 2 KOMPLEK PRESTIGIO BLOK B NOMOR 12")</f>
        <v>JALAN PARIT HAJI HUSIN 2 KOMPLEK PRESTIGIO BLOK B NOMOR 12</v>
      </c>
      <c r="N1763" s="16" t="str">
        <f>IFERROR(__xludf.DUMMYFUNCTION("""COMPUTED_VALUE"""),"KEL. BANGKA BELITUNG DARAT")</f>
        <v>KEL. BANGKA BELITUNG DARAT</v>
      </c>
      <c r="O1763" s="16" t="str">
        <f>IFERROR(__xludf.DUMMYFUNCTION("""COMPUTED_VALUE"""),"KEC. PONTIANAK TENGGARA")</f>
        <v>KEC. PONTIANAK TENGGARA</v>
      </c>
      <c r="P1763" s="16" t="str">
        <f>IFERROR(__xludf.DUMMYFUNCTION("""COMPUTED_VALUE"""),"KOTA PONTIANAK")</f>
        <v>KOTA PONTIANAK</v>
      </c>
      <c r="Q1763" s="16" t="str">
        <f>IFERROR(__xludf.DUMMYFUNCTION("""COMPUTED_VALUE"""),"KALIMANTAN BARAT")</f>
        <v>KALIMANTAN BARAT</v>
      </c>
      <c r="R1763" s="19" t="str">
        <f>IFERROR(__xludf.DUMMYFUNCTION("""COMPUTED_VALUE"""),"ISLAM")</f>
        <v>ISLAM</v>
      </c>
      <c r="S1763" s="35" t="str">
        <f>IFERROR(__xludf.DUMMYFUNCTION("""COMPUTED_VALUE"""),"GURU")</f>
        <v>GURU</v>
      </c>
      <c r="T1763" s="16" t="str">
        <f>IFERROR(__xludf.DUMMYFUNCTION("""COMPUTED_VALUE"""),"LUTUT DAN PINGGANG")</f>
        <v>LUTUT DAN PINGGANG</v>
      </c>
      <c r="U1763" s="16" t="str">
        <f>IFERROR(__xludf.DUMMYFUNCTION("""COMPUTED_VALUE"""),"BEKERJA")</f>
        <v>BEKERJA</v>
      </c>
      <c r="V1763" s="11" t="str">
        <f>IFERROR(__xludf.DUMMYFUNCTION("""COMPUTED_VALUE"""),"82154263845")</f>
        <v>82154263845</v>
      </c>
      <c r="W1763" s="15"/>
    </row>
    <row r="1764" ht="22.5" customHeight="1">
      <c r="A1764" s="8"/>
      <c r="B1764" s="9">
        <f>IFERROR(__xludf.DUMMYFUNCTION("""COMPUTED_VALUE"""),45556.66145947917)</f>
        <v>45556.66146</v>
      </c>
      <c r="C1764" s="9"/>
      <c r="D1764" s="34">
        <f>IFERROR(__xludf.DUMMYFUNCTION("""COMPUTED_VALUE"""),45566.0)</f>
        <v>45566</v>
      </c>
      <c r="E1764" s="34" t="str">
        <f>IFERROR(__xludf.DUMMYFUNCTION("""COMPUTED_VALUE"""),"10Okt")</f>
        <v>10Okt</v>
      </c>
      <c r="F1764" s="34" t="str">
        <f>IFERROR(__xludf.DUMMYFUNCTION("""COMPUTED_VALUE"""),"2024")</f>
        <v>2024</v>
      </c>
      <c r="G1764" s="35" t="str">
        <f>IFERROR(__xludf.DUMMYFUNCTION("""COMPUTED_VALUE"""),"ALI/SYAWALLUDIN")</f>
        <v>ALI/SYAWALLUDIN</v>
      </c>
      <c r="H1764" s="17" t="str">
        <f>IFERROR(__xludf.DUMMYFUNCTION("""COMPUTED_VALUE"""),"A9224100307")</f>
        <v>A9224100307</v>
      </c>
      <c r="I1764" s="17">
        <f>IFERROR(__xludf.DUMMYFUNCTION("""COMPUTED_VALUE"""),34.0)</f>
        <v>34</v>
      </c>
      <c r="J1764" s="17" t="str">
        <f>IFERROR(__xludf.DUMMYFUNCTION("""COMPUTED_VALUE"""),"25-34 tahun")</f>
        <v>25-34 tahun</v>
      </c>
      <c r="K1764" s="19">
        <f>IFERROR(__xludf.DUMMYFUNCTION("""COMPUTED_VALUE"""),33771.0)</f>
        <v>33771</v>
      </c>
      <c r="L1764" s="19" t="str">
        <f>IFERROR(__xludf.DUMMYFUNCTION("""COMPUTED_VALUE"""),"LAKI-LAKI")</f>
        <v>LAKI-LAKI</v>
      </c>
      <c r="M1764" s="35" t="str">
        <f>IFERROR(__xludf.DUMMYFUNCTION("""COMPUTED_VALUE"""),"DUSUN BINA KARYA")</f>
        <v>DUSUN BINA KARYA</v>
      </c>
      <c r="N1764" s="16" t="str">
        <f>IFERROR(__xludf.DUMMYFUNCTION("""COMPUTED_VALUE"""),"DS. RASAU JAYA SATU")</f>
        <v>DS. RASAU JAYA SATU</v>
      </c>
      <c r="O1764" s="16" t="str">
        <f>IFERROR(__xludf.DUMMYFUNCTION("""COMPUTED_VALUE"""),"KEC. RASAU JAYA")</f>
        <v>KEC. RASAU JAYA</v>
      </c>
      <c r="P1764" s="16" t="str">
        <f>IFERROR(__xludf.DUMMYFUNCTION("""COMPUTED_VALUE"""),"KAB. KUBU RAYA")</f>
        <v>KAB. KUBU RAYA</v>
      </c>
      <c r="Q1764" s="16" t="str">
        <f>IFERROR(__xludf.DUMMYFUNCTION("""COMPUTED_VALUE"""),"KALIMANTAN BARAT")</f>
        <v>KALIMANTAN BARAT</v>
      </c>
      <c r="R1764" s="19" t="str">
        <f>IFERROR(__xludf.DUMMYFUNCTION("""COMPUTED_VALUE"""),"ISLAM")</f>
        <v>ISLAM</v>
      </c>
      <c r="S1764" s="16" t="str">
        <f>IFERROR(__xludf.DUMMYFUNCTION("""COMPUTED_VALUE"""),"SWASTA")</f>
        <v>SWASTA</v>
      </c>
      <c r="T1764" s="36" t="str">
        <f>IFERROR(__xludf.DUMMYFUNCTION("""COMPUTED_VALUE"""),"BAGIAN NYERI")</f>
        <v>BAGIAN NYERI</v>
      </c>
      <c r="U1764" s="16" t="str">
        <f>IFERROR(__xludf.DUMMYFUNCTION("""COMPUTED_VALUE"""),"SEPAK BOLA")</f>
        <v>SEPAK BOLA</v>
      </c>
      <c r="V1764" s="11" t="str">
        <f>IFERROR(__xludf.DUMMYFUNCTION("""COMPUTED_VALUE"""),"085386900307")</f>
        <v>085386900307</v>
      </c>
      <c r="W1764" s="15"/>
    </row>
    <row r="1765" ht="22.5" customHeight="1">
      <c r="A1765" s="8"/>
      <c r="B1765" s="9">
        <f>IFERROR(__xludf.DUMMYFUNCTION("""COMPUTED_VALUE"""),45556.86695776621)</f>
        <v>45556.86696</v>
      </c>
      <c r="C1765" s="9"/>
      <c r="D1765" s="34">
        <f>IFERROR(__xludf.DUMMYFUNCTION("""COMPUTED_VALUE"""),45567.0)</f>
        <v>45567</v>
      </c>
      <c r="E1765" s="34" t="str">
        <f>IFERROR(__xludf.DUMMYFUNCTION("""COMPUTED_VALUE"""),"10Okt")</f>
        <v>10Okt</v>
      </c>
      <c r="F1765" s="34" t="str">
        <f>IFERROR(__xludf.DUMMYFUNCTION("""COMPUTED_VALUE"""),"2024")</f>
        <v>2024</v>
      </c>
      <c r="G1765" s="35" t="str">
        <f>IFERROR(__xludf.DUMMYFUNCTION("""COMPUTED_VALUE"""),"SAMSUL SANI")</f>
        <v>SAMSUL SANI</v>
      </c>
      <c r="H1765" s="17" t="str">
        <f>IFERROR(__xludf.DUMMYFUNCTION("""COMPUTED_VALUE"""),"S7424104411")</f>
        <v>S7424104411</v>
      </c>
      <c r="I1765" s="17">
        <f>IFERROR(__xludf.DUMMYFUNCTION("""COMPUTED_VALUE"""),52.0)</f>
        <v>52</v>
      </c>
      <c r="J1765" s="17" t="str">
        <f>IFERROR(__xludf.DUMMYFUNCTION("""COMPUTED_VALUE"""),"&gt; 44 tahun")</f>
        <v>&gt; 44 tahun</v>
      </c>
      <c r="K1765" s="19">
        <f>IFERROR(__xludf.DUMMYFUNCTION("""COMPUTED_VALUE"""),27089.0)</f>
        <v>27089</v>
      </c>
      <c r="L1765" s="19" t="str">
        <f>IFERROR(__xludf.DUMMYFUNCTION("""COMPUTED_VALUE"""),"LAKI-LAKI")</f>
        <v>LAKI-LAKI</v>
      </c>
      <c r="M1765" s="35" t="str">
        <f>IFERROR(__xludf.DUMMYFUNCTION("""COMPUTED_VALUE"""),"DUSUN KARYA I, RT 003 RW 003")</f>
        <v>DUSUN KARYA I, RT 003 RW 003</v>
      </c>
      <c r="N1765" s="16" t="str">
        <f>IFERROR(__xludf.DUMMYFUNCTION("""COMPUTED_VALUE"""),"DS. KUALA DUA")</f>
        <v>DS. KUALA DUA</v>
      </c>
      <c r="O1765" s="16" t="str">
        <f>IFERROR(__xludf.DUMMYFUNCTION("""COMPUTED_VALUE"""),"KEC. SUNGAI RAYA")</f>
        <v>KEC. SUNGAI RAYA</v>
      </c>
      <c r="P1765" s="16" t="str">
        <f>IFERROR(__xludf.DUMMYFUNCTION("""COMPUTED_VALUE"""),"KAB. KUBU RAYA")</f>
        <v>KAB. KUBU RAYA</v>
      </c>
      <c r="Q1765" s="16" t="str">
        <f>IFERROR(__xludf.DUMMYFUNCTION("""COMPUTED_VALUE"""),"KALIMANTAN BARAT")</f>
        <v>KALIMANTAN BARAT</v>
      </c>
      <c r="R1765" s="19" t="str">
        <f>IFERROR(__xludf.DUMMYFUNCTION("""COMPUTED_VALUE"""),"ISLAM")</f>
        <v>ISLAM</v>
      </c>
      <c r="S1765" s="16" t="str">
        <f>IFERROR(__xludf.DUMMYFUNCTION("""COMPUTED_VALUE"""),"WIRASWASTA")</f>
        <v>WIRASWASTA</v>
      </c>
      <c r="T1765" s="36" t="str">
        <f>IFERROR(__xludf.DUMMYFUNCTION("""COMPUTED_VALUE"""),"STROKE RINGAN")</f>
        <v>STROKE RINGAN</v>
      </c>
      <c r="U1765" s="16" t="str">
        <f>IFERROR(__xludf.DUMMYFUNCTION("""COMPUTED_VALUE"""),"SUPIR MATERIAL")</f>
        <v>SUPIR MATERIAL</v>
      </c>
      <c r="V1765" s="11" t="str">
        <f>IFERROR(__xludf.DUMMYFUNCTION("""COMPUTED_VALUE"""),"081350234411")</f>
        <v>081350234411</v>
      </c>
      <c r="W1765" s="15"/>
    </row>
    <row r="1766" ht="22.5" customHeight="1">
      <c r="A1766" s="8"/>
      <c r="B1766" s="9">
        <f>IFERROR(__xludf.DUMMYFUNCTION("""COMPUTED_VALUE"""),45557.361258564815)</f>
        <v>45557.36126</v>
      </c>
      <c r="C1766" s="9"/>
      <c r="D1766" s="34">
        <f>IFERROR(__xludf.DUMMYFUNCTION("""COMPUTED_VALUE"""),45567.0)</f>
        <v>45567</v>
      </c>
      <c r="E1766" s="34" t="str">
        <f>IFERROR(__xludf.DUMMYFUNCTION("""COMPUTED_VALUE"""),"10Okt")</f>
        <v>10Okt</v>
      </c>
      <c r="F1766" s="34" t="str">
        <f>IFERROR(__xludf.DUMMYFUNCTION("""COMPUTED_VALUE"""),"2024")</f>
        <v>2024</v>
      </c>
      <c r="G1766" s="35" t="str">
        <f>IFERROR(__xludf.DUMMYFUNCTION("""COMPUTED_VALUE"""),"RAINA AINUN NOOR")</f>
        <v>RAINA AINUN NOOR</v>
      </c>
      <c r="H1766" s="17" t="str">
        <f>IFERROR(__xludf.DUMMYFUNCTION("""COMPUTED_VALUE"""),"R5124105756")</f>
        <v>R5124105756</v>
      </c>
      <c r="I1766" s="17">
        <f>IFERROR(__xludf.DUMMYFUNCTION("""COMPUTED_VALUE"""),74.0)</f>
        <v>74</v>
      </c>
      <c r="J1766" s="17" t="str">
        <f>IFERROR(__xludf.DUMMYFUNCTION("""COMPUTED_VALUE"""),"&gt; 44 tahun")</f>
        <v>&gt; 44 tahun</v>
      </c>
      <c r="K1766" s="19">
        <f>IFERROR(__xludf.DUMMYFUNCTION("""COMPUTED_VALUE"""),18972.0)</f>
        <v>18972</v>
      </c>
      <c r="L1766" s="19" t="str">
        <f>IFERROR(__xludf.DUMMYFUNCTION("""COMPUTED_VALUE"""),"PEREMPUAN")</f>
        <v>PEREMPUAN</v>
      </c>
      <c r="M1766" s="35" t="str">
        <f>IFERROR(__xludf.DUMMYFUNCTION("""COMPUTED_VALUE"""),"JL. PUTRI CANDRAMIDI NO 10 B")</f>
        <v>JL. PUTRI CANDRAMIDI NO 10 B</v>
      </c>
      <c r="N1766" s="16" t="str">
        <f>IFERROR(__xludf.DUMMYFUNCTION("""COMPUTED_VALUE"""),"KEL. SUNGAI BANGKONG")</f>
        <v>KEL. SUNGAI BANGKONG</v>
      </c>
      <c r="O1766" s="16" t="str">
        <f>IFERROR(__xludf.DUMMYFUNCTION("""COMPUTED_VALUE"""),"KEC. PONTIANAK KOTA")</f>
        <v>KEC. PONTIANAK KOTA</v>
      </c>
      <c r="P1766" s="16" t="str">
        <f>IFERROR(__xludf.DUMMYFUNCTION("""COMPUTED_VALUE"""),"KOTA PONTIANAK")</f>
        <v>KOTA PONTIANAK</v>
      </c>
      <c r="Q1766" s="16" t="str">
        <f>IFERROR(__xludf.DUMMYFUNCTION("""COMPUTED_VALUE"""),"KALIMANTAN BARAT")</f>
        <v>KALIMANTAN BARAT</v>
      </c>
      <c r="R1766" s="19" t="str">
        <f>IFERROR(__xludf.DUMMYFUNCTION("""COMPUTED_VALUE"""),"ISLAM")</f>
        <v>ISLAM</v>
      </c>
      <c r="S1766" s="16" t="str">
        <f>IFERROR(__xludf.DUMMYFUNCTION("""COMPUTED_VALUE"""),"TIDAK ADA")</f>
        <v>TIDAK ADA</v>
      </c>
      <c r="T1766" s="36" t="str">
        <f>IFERROR(__xludf.DUMMYFUNCTION("""COMPUTED_VALUE"""),"SAKIT SAMPAI MATA KAKI SEBELAH KANAN")</f>
        <v>SAKIT SAMPAI MATA KAKI SEBELAH KANAN</v>
      </c>
      <c r="U1766" s="16" t="str">
        <f>IFERROR(__xludf.DUMMYFUNCTION("""COMPUTED_VALUE"""),"Di rumah saja")</f>
        <v>Di rumah saja</v>
      </c>
      <c r="V1766" s="11" t="str">
        <f>IFERROR(__xludf.DUMMYFUNCTION("""COMPUTED_VALUE"""),"081299015756")</f>
        <v>081299015756</v>
      </c>
      <c r="W1766" s="15"/>
    </row>
    <row r="1767" ht="22.5" customHeight="1">
      <c r="A1767" s="8"/>
      <c r="B1767" s="9">
        <f>IFERROR(__xludf.DUMMYFUNCTION("""COMPUTED_VALUE"""),45557.43643909722)</f>
        <v>45557.43644</v>
      </c>
      <c r="C1767" s="9"/>
      <c r="D1767" s="34">
        <f>IFERROR(__xludf.DUMMYFUNCTION("""COMPUTED_VALUE"""),45567.0)</f>
        <v>45567</v>
      </c>
      <c r="E1767" s="34" t="str">
        <f>IFERROR(__xludf.DUMMYFUNCTION("""COMPUTED_VALUE"""),"10Okt")</f>
        <v>10Okt</v>
      </c>
      <c r="F1767" s="34" t="str">
        <f>IFERROR(__xludf.DUMMYFUNCTION("""COMPUTED_VALUE"""),"2024")</f>
        <v>2024</v>
      </c>
      <c r="G1767" s="35" t="str">
        <f>IFERROR(__xludf.DUMMYFUNCTION("""COMPUTED_VALUE"""),"ABDULLAH SALMAN HARIZ")</f>
        <v>ABDULLAH SALMAN HARIZ</v>
      </c>
      <c r="H1767" s="17" t="str">
        <f>IFERROR(__xludf.DUMMYFUNCTION("""COMPUTED_VALUE"""),"A0924102496")</f>
        <v>A0924102496</v>
      </c>
      <c r="I1767" s="17">
        <f>IFERROR(__xludf.DUMMYFUNCTION("""COMPUTED_VALUE"""),17.0)</f>
        <v>17</v>
      </c>
      <c r="J1767" s="17" t="str">
        <f>IFERROR(__xludf.DUMMYFUNCTION("""COMPUTED_VALUE"""),"&lt; 18 tahun")</f>
        <v>&lt; 18 tahun</v>
      </c>
      <c r="K1767" s="19">
        <f>IFERROR(__xludf.DUMMYFUNCTION("""COMPUTED_VALUE"""),39829.0)</f>
        <v>39829</v>
      </c>
      <c r="L1767" s="19" t="str">
        <f>IFERROR(__xludf.DUMMYFUNCTION("""COMPUTED_VALUE"""),"LAKI-LAKI")</f>
        <v>LAKI-LAKI</v>
      </c>
      <c r="M1767" s="35" t="str">
        <f>IFERROR(__xludf.DUMMYFUNCTION("""COMPUTED_VALUE"""),"JL SULTAN ABDURRAHMAN NO 101 PONTIANAK")</f>
        <v>JL SULTAN ABDURRAHMAN NO 101 PONTIANAK</v>
      </c>
      <c r="N1767" s="16" t="str">
        <f>IFERROR(__xludf.DUMMYFUNCTION("""COMPUTED_VALUE"""),"KEL. SUNGAI BANGKONG")</f>
        <v>KEL. SUNGAI BANGKONG</v>
      </c>
      <c r="O1767" s="16" t="str">
        <f>IFERROR(__xludf.DUMMYFUNCTION("""COMPUTED_VALUE"""),"KEC. PONTIANAK KOTA")</f>
        <v>KEC. PONTIANAK KOTA</v>
      </c>
      <c r="P1767" s="16" t="str">
        <f>IFERROR(__xludf.DUMMYFUNCTION("""COMPUTED_VALUE"""),"KOTA PONTIANAK")</f>
        <v>KOTA PONTIANAK</v>
      </c>
      <c r="Q1767" s="16" t="str">
        <f>IFERROR(__xludf.DUMMYFUNCTION("""COMPUTED_VALUE"""),"KALIMANTAN BARAT")</f>
        <v>KALIMANTAN BARAT</v>
      </c>
      <c r="R1767" s="19" t="str">
        <f>IFERROR(__xludf.DUMMYFUNCTION("""COMPUTED_VALUE"""),"ISLAM")</f>
        <v>ISLAM</v>
      </c>
      <c r="S1767" s="16" t="str">
        <f>IFERROR(__xludf.DUMMYFUNCTION("""COMPUTED_VALUE"""),"PELAJAR/MAHASISWA")</f>
        <v>PELAJAR/MAHASISWA</v>
      </c>
      <c r="T1767" s="36" t="str">
        <f>IFERROR(__xludf.DUMMYFUNCTION("""COMPUTED_VALUE"""),"ANKLE KANAN KESELEO KETIKA MAIN BASKET")</f>
        <v>ANKLE KANAN KESELEO KETIKA MAIN BASKET</v>
      </c>
      <c r="U1767" s="16" t="str">
        <f>IFERROR(__xludf.DUMMYFUNCTION("""COMPUTED_VALUE"""),"Basket")</f>
        <v>Basket</v>
      </c>
      <c r="V1767" s="11" t="str">
        <f>IFERROR(__xludf.DUMMYFUNCTION("""COMPUTED_VALUE"""),"08125432496")</f>
        <v>08125432496</v>
      </c>
      <c r="W1767" s="15"/>
    </row>
    <row r="1768" ht="22.5" customHeight="1">
      <c r="A1768" s="8"/>
      <c r="B1768" s="9">
        <f>IFERROR(__xludf.DUMMYFUNCTION("""COMPUTED_VALUE"""),45557.52367229167)</f>
        <v>45557.52367</v>
      </c>
      <c r="C1768" s="9"/>
      <c r="D1768" s="34">
        <f>IFERROR(__xludf.DUMMYFUNCTION("""COMPUTED_VALUE"""),45567.0)</f>
        <v>45567</v>
      </c>
      <c r="E1768" s="34" t="str">
        <f>IFERROR(__xludf.DUMMYFUNCTION("""COMPUTED_VALUE"""),"10Okt")</f>
        <v>10Okt</v>
      </c>
      <c r="F1768" s="34" t="str">
        <f>IFERROR(__xludf.DUMMYFUNCTION("""COMPUTED_VALUE"""),"2024")</f>
        <v>2024</v>
      </c>
      <c r="G1768" s="35" t="str">
        <f>IFERROR(__xludf.DUMMYFUNCTION("""COMPUTED_VALUE"""),"WILLI")</f>
        <v>WILLI</v>
      </c>
      <c r="H1768" s="17" t="str">
        <f>IFERROR(__xludf.DUMMYFUNCTION("""COMPUTED_VALUE"""),"W9524101624")</f>
        <v>W9524101624</v>
      </c>
      <c r="I1768" s="17">
        <f>IFERROR(__xludf.DUMMYFUNCTION("""COMPUTED_VALUE"""),30.0)</f>
        <v>30</v>
      </c>
      <c r="J1768" s="17" t="str">
        <f>IFERROR(__xludf.DUMMYFUNCTION("""COMPUTED_VALUE"""),"25-34 tahun")</f>
        <v>25-34 tahun</v>
      </c>
      <c r="K1768" s="19">
        <f>IFERROR(__xludf.DUMMYFUNCTION("""COMPUTED_VALUE"""),34905.0)</f>
        <v>34905</v>
      </c>
      <c r="L1768" s="19" t="str">
        <f>IFERROR(__xludf.DUMMYFUNCTION("""COMPUTED_VALUE"""),"LAKI-LAKI")</f>
        <v>LAKI-LAKI</v>
      </c>
      <c r="M1768" s="35" t="str">
        <f>IFERROR(__xludf.DUMMYFUNCTION("""COMPUTED_VALUE"""),"HANURA LERMAI 1 BLOCK K.NO 7")</f>
        <v>HANURA LERMAI 1 BLOCK K.NO 7</v>
      </c>
      <c r="N1768" s="16" t="str">
        <f>IFERROR(__xludf.DUMMYFUNCTION("""COMPUTED_VALUE"""),"KEL. SUNGAI RAYA")</f>
        <v>KEL. SUNGAI RAYA</v>
      </c>
      <c r="O1768" s="16" t="str">
        <f>IFERROR(__xludf.DUMMYFUNCTION("""COMPUTED_VALUE"""),"KEC. SUNGAI RAYA")</f>
        <v>KEC. SUNGAI RAYA</v>
      </c>
      <c r="P1768" s="16" t="str">
        <f>IFERROR(__xludf.DUMMYFUNCTION("""COMPUTED_VALUE"""),"KAB. KUBU RAYA")</f>
        <v>KAB. KUBU RAYA</v>
      </c>
      <c r="Q1768" s="35" t="str">
        <f>IFERROR(__xludf.DUMMYFUNCTION("""COMPUTED_VALUE"""),"KALIMANTAN BARAT")</f>
        <v>KALIMANTAN BARAT</v>
      </c>
      <c r="R1768" s="19" t="str">
        <f>IFERROR(__xludf.DUMMYFUNCTION("""COMPUTED_VALUE"""),"KATOLIK")</f>
        <v>KATOLIK</v>
      </c>
      <c r="S1768" s="35" t="str">
        <f>IFERROR(__xludf.DUMMYFUNCTION("""COMPUTED_VALUE"""),"TNI/POLRI")</f>
        <v>TNI/POLRI</v>
      </c>
      <c r="T1768" s="16" t="str">
        <f>IFERROR(__xludf.DUMMYFUNCTION("""COMPUTED_VALUE"""),"CEDERA TULANG BELAKANG NO 12")</f>
        <v>CEDERA TULANG BELAKANG NO 12</v>
      </c>
      <c r="U1768" s="16" t="str">
        <f>IFERROR(__xludf.DUMMYFUNCTION("""COMPUTED_VALUE"""),"Ngopi")</f>
        <v>Ngopi</v>
      </c>
      <c r="V1768" s="11" t="str">
        <f>IFERROR(__xludf.DUMMYFUNCTION("""COMPUTED_VALUE"""),"081350121624")</f>
        <v>081350121624</v>
      </c>
      <c r="W1768" s="15"/>
    </row>
    <row r="1769" ht="22.5" customHeight="1">
      <c r="A1769" s="8"/>
      <c r="B1769" s="9">
        <f>IFERROR(__xludf.DUMMYFUNCTION("""COMPUTED_VALUE"""),45557.52802457176)</f>
        <v>45557.52802</v>
      </c>
      <c r="C1769" s="9"/>
      <c r="D1769" s="34">
        <f>IFERROR(__xludf.DUMMYFUNCTION("""COMPUTED_VALUE"""),45569.0)</f>
        <v>45569</v>
      </c>
      <c r="E1769" s="34" t="str">
        <f>IFERROR(__xludf.DUMMYFUNCTION("""COMPUTED_VALUE"""),"10Okt")</f>
        <v>10Okt</v>
      </c>
      <c r="F1769" s="34" t="str">
        <f>IFERROR(__xludf.DUMMYFUNCTION("""COMPUTED_VALUE"""),"2024")</f>
        <v>2024</v>
      </c>
      <c r="G1769" s="35" t="str">
        <f>IFERROR(__xludf.DUMMYFUNCTION("""COMPUTED_VALUE"""),"FAUZIAH BATUBARA")</f>
        <v>FAUZIAH BATUBARA</v>
      </c>
      <c r="H1769" s="17" t="str">
        <f>IFERROR(__xludf.DUMMYFUNCTION("""COMPUTED_VALUE"""),"F9224109183")</f>
        <v>F9224109183</v>
      </c>
      <c r="I1769" s="17">
        <f>IFERROR(__xludf.DUMMYFUNCTION("""COMPUTED_VALUE"""),33.0)</f>
        <v>33</v>
      </c>
      <c r="J1769" s="17" t="str">
        <f>IFERROR(__xludf.DUMMYFUNCTION("""COMPUTED_VALUE"""),"25-34 tahun")</f>
        <v>25-34 tahun</v>
      </c>
      <c r="K1769" s="19">
        <f>IFERROR(__xludf.DUMMYFUNCTION("""COMPUTED_VALUE"""),33865.0)</f>
        <v>33865</v>
      </c>
      <c r="L1769" s="19" t="str">
        <f>IFERROR(__xludf.DUMMYFUNCTION("""COMPUTED_VALUE"""),"PEREMPUAN")</f>
        <v>PEREMPUAN</v>
      </c>
      <c r="M1769" s="35" t="str">
        <f>IFERROR(__xludf.DUMMYFUNCTION("""COMPUTED_VALUE"""),"JL. TIMOR NO. 59")</f>
        <v>JL. TIMOR NO. 59</v>
      </c>
      <c r="N1769" s="16" t="str">
        <f>IFERROR(__xludf.DUMMYFUNCTION("""COMPUTED_VALUE"""),"KEL. AKCAYA")</f>
        <v>KEL. AKCAYA</v>
      </c>
      <c r="O1769" s="16" t="str">
        <f>IFERROR(__xludf.DUMMYFUNCTION("""COMPUTED_VALUE"""),"KEC. PONTIANAK SELATAN")</f>
        <v>KEC. PONTIANAK SELATAN</v>
      </c>
      <c r="P1769" s="16" t="str">
        <f>IFERROR(__xludf.DUMMYFUNCTION("""COMPUTED_VALUE"""),"KOTA PONTIANAK")</f>
        <v>KOTA PONTIANAK</v>
      </c>
      <c r="Q1769" s="16" t="str">
        <f>IFERROR(__xludf.DUMMYFUNCTION("""COMPUTED_VALUE"""),"KALIMANTAN BARAT")</f>
        <v>KALIMANTAN BARAT</v>
      </c>
      <c r="R1769" s="19" t="str">
        <f>IFERROR(__xludf.DUMMYFUNCTION("""COMPUTED_VALUE"""),"ISLAM")</f>
        <v>ISLAM</v>
      </c>
      <c r="S1769" s="16" t="str">
        <f>IFERROR(__xludf.DUMMYFUNCTION("""COMPUTED_VALUE"""),"ASN")</f>
        <v>ASN</v>
      </c>
      <c r="T1769" s="36" t="str">
        <f>IFERROR(__xludf.DUMMYFUNCTION("""COMPUTED_VALUE"""),"nyeri sendi tangan")</f>
        <v>nyeri sendi tangan</v>
      </c>
      <c r="U1769" s="16" t="str">
        <f>IFERROR(__xludf.DUMMYFUNCTION("""COMPUTED_VALUE"""),"mengetik dan menghadap laptop")</f>
        <v>mengetik dan menghadap laptop</v>
      </c>
      <c r="V1769" s="11" t="str">
        <f>IFERROR(__xludf.DUMMYFUNCTION("""COMPUTED_VALUE"""),"082253519183")</f>
        <v>082253519183</v>
      </c>
      <c r="W1769" s="15"/>
    </row>
    <row r="1770" ht="22.5" customHeight="1">
      <c r="A1770" s="8"/>
      <c r="B1770" s="9">
        <f>IFERROR(__xludf.DUMMYFUNCTION("""COMPUTED_VALUE"""),45557.67041939815)</f>
        <v>45557.67042</v>
      </c>
      <c r="C1770" s="9"/>
      <c r="D1770" s="34">
        <f>IFERROR(__xludf.DUMMYFUNCTION("""COMPUTED_VALUE"""),45570.0)</f>
        <v>45570</v>
      </c>
      <c r="E1770" s="34" t="str">
        <f>IFERROR(__xludf.DUMMYFUNCTION("""COMPUTED_VALUE"""),"10Okt")</f>
        <v>10Okt</v>
      </c>
      <c r="F1770" s="34" t="str">
        <f>IFERROR(__xludf.DUMMYFUNCTION("""COMPUTED_VALUE"""),"2024")</f>
        <v>2024</v>
      </c>
      <c r="G1770" s="35" t="str">
        <f>IFERROR(__xludf.DUMMYFUNCTION("""COMPUTED_VALUE"""),"SULAIMAN 9601")</f>
        <v>SULAIMAN 9601</v>
      </c>
      <c r="H1770" s="17" t="str">
        <f>IFERROR(__xludf.DUMMYFUNCTION("""COMPUTED_VALUE"""),"S9624106365")</f>
        <v>S9624106365</v>
      </c>
      <c r="I1770" s="17">
        <f>IFERROR(__xludf.DUMMYFUNCTION("""COMPUTED_VALUE"""),30.0)</f>
        <v>30</v>
      </c>
      <c r="J1770" s="17" t="str">
        <f>IFERROR(__xludf.DUMMYFUNCTION("""COMPUTED_VALUE"""),"25-34 tahun")</f>
        <v>25-34 tahun</v>
      </c>
      <c r="K1770" s="19">
        <f>IFERROR(__xludf.DUMMYFUNCTION("""COMPUTED_VALUE"""),35093.0)</f>
        <v>35093</v>
      </c>
      <c r="L1770" s="19" t="str">
        <f>IFERROR(__xludf.DUMMYFUNCTION("""COMPUTED_VALUE"""),"LAKI-LAKI")</f>
        <v>LAKI-LAKI</v>
      </c>
      <c r="M1770" s="35" t="str">
        <f>IFERROR(__xludf.DUMMYFUNCTION("""COMPUTED_VALUE"""),"KOMP KURNIA ASRI BLOK G32")</f>
        <v>KOMP KURNIA ASRI BLOK G32</v>
      </c>
      <c r="N1770" s="16" t="str">
        <f>IFERROR(__xludf.DUMMYFUNCTION("""COMPUTED_VALUE"""),"DS. KUALA DUA")</f>
        <v>DS. KUALA DUA</v>
      </c>
      <c r="O1770" s="16" t="str">
        <f>IFERROR(__xludf.DUMMYFUNCTION("""COMPUTED_VALUE"""),"KEC. SUNGAI RAYA")</f>
        <v>KEC. SUNGAI RAYA</v>
      </c>
      <c r="P1770" s="16" t="str">
        <f>IFERROR(__xludf.DUMMYFUNCTION("""COMPUTED_VALUE"""),"KAB. KUBU RAYA")</f>
        <v>KAB. KUBU RAYA</v>
      </c>
      <c r="Q1770" s="16" t="str">
        <f>IFERROR(__xludf.DUMMYFUNCTION("""COMPUTED_VALUE"""),"KALIMANTAN BARAT")</f>
        <v>KALIMANTAN BARAT</v>
      </c>
      <c r="R1770" s="19" t="str">
        <f>IFERROR(__xludf.DUMMYFUNCTION("""COMPUTED_VALUE"""),"ISLAM")</f>
        <v>ISLAM</v>
      </c>
      <c r="S1770" s="16" t="str">
        <f>IFERROR(__xludf.DUMMYFUNCTION("""COMPUTED_VALUE"""),"BUMN")</f>
        <v>BUMN</v>
      </c>
      <c r="T1770" s="36" t="str">
        <f>IFERROR(__xludf.DUMMYFUNCTION("""COMPUTED_VALUE"""),"HABIS OPERASI MENISCUD")</f>
        <v>HABIS OPERASI MENISCUD</v>
      </c>
      <c r="U1770" s="16" t="str">
        <f>IFERROR(__xludf.DUMMYFUNCTION("""COMPUTED_VALUE"""),"Olahraga")</f>
        <v>Olahraga</v>
      </c>
      <c r="V1770" s="11" t="str">
        <f>IFERROR(__xludf.DUMMYFUNCTION("""COMPUTED_VALUE"""),"089663756365")</f>
        <v>089663756365</v>
      </c>
      <c r="W1770" s="15"/>
    </row>
    <row r="1771" ht="22.5" customHeight="1">
      <c r="A1771" s="28"/>
      <c r="B1771" s="9">
        <f>IFERROR(__xludf.DUMMYFUNCTION("""COMPUTED_VALUE"""),45558.388725150464)</f>
        <v>45558.38873</v>
      </c>
      <c r="C1771" s="9"/>
      <c r="D1771" s="34">
        <f>IFERROR(__xludf.DUMMYFUNCTION("""COMPUTED_VALUE"""),45570.0)</f>
        <v>45570</v>
      </c>
      <c r="E1771" s="34" t="str">
        <f>IFERROR(__xludf.DUMMYFUNCTION("""COMPUTED_VALUE"""),"10Okt")</f>
        <v>10Okt</v>
      </c>
      <c r="F1771" s="34" t="str">
        <f>IFERROR(__xludf.DUMMYFUNCTION("""COMPUTED_VALUE"""),"2024")</f>
        <v>2024</v>
      </c>
      <c r="G1771" s="35" t="str">
        <f>IFERROR(__xludf.DUMMYFUNCTION("""COMPUTED_VALUE"""),"IKEU SUGIARTI")</f>
        <v>IKEU SUGIARTI</v>
      </c>
      <c r="H1771" s="17" t="str">
        <f>IFERROR(__xludf.DUMMYFUNCTION("""COMPUTED_VALUE"""),"I8624101030")</f>
        <v>I8624101030</v>
      </c>
      <c r="I1771" s="17">
        <f>IFERROR(__xludf.DUMMYFUNCTION("""COMPUTED_VALUE"""),39.0)</f>
        <v>39</v>
      </c>
      <c r="J1771" s="17" t="str">
        <f>IFERROR(__xludf.DUMMYFUNCTION("""COMPUTED_VALUE"""),"35-44 tahun")</f>
        <v>35-44 tahun</v>
      </c>
      <c r="K1771" s="19">
        <f>IFERROR(__xludf.DUMMYFUNCTION("""COMPUTED_VALUE"""),31650.0)</f>
        <v>31650</v>
      </c>
      <c r="L1771" s="19" t="str">
        <f>IFERROR(__xludf.DUMMYFUNCTION("""COMPUTED_VALUE"""),"PEREMPUAN")</f>
        <v>PEREMPUAN</v>
      </c>
      <c r="M1771" s="35" t="str">
        <f>IFERROR(__xludf.DUMMYFUNCTION("""COMPUTED_VALUE"""),"JL.DR. WAHIDIN KOMPLEK GRIYA SEPAKAT RESIDENT NO A9")</f>
        <v>JL.DR. WAHIDIN KOMPLEK GRIYA SEPAKAT RESIDENT NO A9</v>
      </c>
      <c r="N1771" s="16" t="str">
        <f>IFERROR(__xludf.DUMMYFUNCTION("""COMPUTED_VALUE"""),"KEL. SUNGAI JAWI")</f>
        <v>KEL. SUNGAI JAWI</v>
      </c>
      <c r="O1771" s="16" t="str">
        <f>IFERROR(__xludf.DUMMYFUNCTION("""COMPUTED_VALUE"""),"KEC. PONTIANAK KOTA")</f>
        <v>KEC. PONTIANAK KOTA</v>
      </c>
      <c r="P1771" s="16" t="str">
        <f>IFERROR(__xludf.DUMMYFUNCTION("""COMPUTED_VALUE"""),"KOTA PONTIANAK")</f>
        <v>KOTA PONTIANAK</v>
      </c>
      <c r="Q1771" s="16" t="str">
        <f>IFERROR(__xludf.DUMMYFUNCTION("""COMPUTED_VALUE"""),"KALIMANTAN BARAT")</f>
        <v>KALIMANTAN BARAT</v>
      </c>
      <c r="R1771" s="19" t="str">
        <f>IFERROR(__xludf.DUMMYFUNCTION("""COMPUTED_VALUE"""),"ISLAM")</f>
        <v>ISLAM</v>
      </c>
      <c r="S1771" s="16" t="str">
        <f>IFERROR(__xludf.DUMMYFUNCTION("""COMPUTED_VALUE"""),"SWASTA")</f>
        <v>SWASTA</v>
      </c>
      <c r="T1771" s="36" t="str">
        <f>IFERROR(__xludf.DUMMYFUNCTION("""COMPUTED_VALUE"""),"nyeru di bagian tangan")</f>
        <v>nyeru di bagian tangan</v>
      </c>
      <c r="U1771" s="16" t="str">
        <f>IFERROR(__xludf.DUMMYFUNCTION("""COMPUTED_VALUE"""),"masak")</f>
        <v>masak</v>
      </c>
      <c r="V1771" s="11" t="str">
        <f>IFERROR(__xludf.DUMMYFUNCTION("""COMPUTED_VALUE"""),"085245561030")</f>
        <v>085245561030</v>
      </c>
      <c r="W1771" s="15"/>
    </row>
    <row r="1772" ht="22.5" customHeight="1">
      <c r="A1772" s="8"/>
      <c r="B1772" s="9">
        <f>IFERROR(__xludf.DUMMYFUNCTION("""COMPUTED_VALUE"""),45558.6479484375)</f>
        <v>45558.64795</v>
      </c>
      <c r="C1772" s="9"/>
      <c r="D1772" s="34">
        <f>IFERROR(__xludf.DUMMYFUNCTION("""COMPUTED_VALUE"""),45570.0)</f>
        <v>45570</v>
      </c>
      <c r="E1772" s="34" t="str">
        <f>IFERROR(__xludf.DUMMYFUNCTION("""COMPUTED_VALUE"""),"10Okt")</f>
        <v>10Okt</v>
      </c>
      <c r="F1772" s="34" t="str">
        <f>IFERROR(__xludf.DUMMYFUNCTION("""COMPUTED_VALUE"""),"2024")</f>
        <v>2024</v>
      </c>
      <c r="G1772" s="35" t="str">
        <f>IFERROR(__xludf.DUMMYFUNCTION("""COMPUTED_VALUE"""),"MEIKO SYAHPUTRA")</f>
        <v>MEIKO SYAHPUTRA</v>
      </c>
      <c r="H1772" s="17" t="str">
        <f>IFERROR(__xludf.DUMMYFUNCTION("""COMPUTED_VALUE"""),"M0224105894")</f>
        <v>M0224105894</v>
      </c>
      <c r="I1772" s="17">
        <f>IFERROR(__xludf.DUMMYFUNCTION("""COMPUTED_VALUE"""),23.0)</f>
        <v>23</v>
      </c>
      <c r="J1772" s="17" t="str">
        <f>IFERROR(__xludf.DUMMYFUNCTION("""COMPUTED_VALUE"""),"18-24 tahun")</f>
        <v>18-24 tahun</v>
      </c>
      <c r="K1772" s="19">
        <f>IFERROR(__xludf.DUMMYFUNCTION("""COMPUTED_VALUE"""),37514.0)</f>
        <v>37514</v>
      </c>
      <c r="L1772" s="19" t="str">
        <f>IFERROR(__xludf.DUMMYFUNCTION("""COMPUTED_VALUE"""),"LAKI-LAKI")</f>
        <v>LAKI-LAKI</v>
      </c>
      <c r="M1772" s="35" t="str">
        <f>IFERROR(__xludf.DUMMYFUNCTION("""COMPUTED_VALUE"""),"DUSUN SUNGAI BAYUR")</f>
        <v>DUSUN SUNGAI BAYUR</v>
      </c>
      <c r="N1772" s="16" t="str">
        <f>IFERROR(__xludf.DUMMYFUNCTION("""COMPUTED_VALUE"""),"DS. TUMBAK RAYA")</f>
        <v>DS. TUMBAK RAYA</v>
      </c>
      <c r="O1772" s="16" t="str">
        <f>IFERROR(__xludf.DUMMYFUNCTION("""COMPUTED_VALUE"""),"KEC. SAYAN")</f>
        <v>KEC. SAYAN</v>
      </c>
      <c r="P1772" s="16" t="str">
        <f>IFERROR(__xludf.DUMMYFUNCTION("""COMPUTED_VALUE"""),"KAB. MELAWI")</f>
        <v>KAB. MELAWI</v>
      </c>
      <c r="Q1772" s="16" t="str">
        <f>IFERROR(__xludf.DUMMYFUNCTION("""COMPUTED_VALUE"""),"KALIMANTAN BARAT")</f>
        <v>KALIMANTAN BARAT</v>
      </c>
      <c r="R1772" s="19" t="str">
        <f>IFERROR(__xludf.DUMMYFUNCTION("""COMPUTED_VALUE"""),"PROTESTAN")</f>
        <v>PROTESTAN</v>
      </c>
      <c r="S1772" s="16" t="str">
        <f>IFERROR(__xludf.DUMMYFUNCTION("""COMPUTED_VALUE"""),"PELAJAR/MAHASISWA")</f>
        <v>PELAJAR/MAHASISWA</v>
      </c>
      <c r="T1772" s="36" t="str">
        <f>IFERROR(__xludf.DUMMYFUNCTION("""COMPUTED_VALUE"""),"Cedera , sakit saat di luruskan")</f>
        <v>Cedera , sakit saat di luruskan</v>
      </c>
      <c r="U1772" s="16" t="str">
        <f>IFERROR(__xludf.DUMMYFUNCTION("""COMPUTED_VALUE"""),"Futsal/Bola kaki")</f>
        <v>Futsal/Bola kaki</v>
      </c>
      <c r="V1772" s="11" t="str">
        <f>IFERROR(__xludf.DUMMYFUNCTION("""COMPUTED_VALUE"""),"081255515894")</f>
        <v>081255515894</v>
      </c>
      <c r="W1772" s="15"/>
    </row>
    <row r="1773" ht="22.5" customHeight="1">
      <c r="A1773" s="8"/>
      <c r="B1773" s="9">
        <f>IFERROR(__xludf.DUMMYFUNCTION("""COMPUTED_VALUE"""),45558.813577719906)</f>
        <v>45558.81358</v>
      </c>
      <c r="C1773" s="9"/>
      <c r="D1773" s="34">
        <f>IFERROR(__xludf.DUMMYFUNCTION("""COMPUTED_VALUE"""),45570.0)</f>
        <v>45570</v>
      </c>
      <c r="E1773" s="34" t="str">
        <f>IFERROR(__xludf.DUMMYFUNCTION("""COMPUTED_VALUE"""),"10Okt")</f>
        <v>10Okt</v>
      </c>
      <c r="F1773" s="34" t="str">
        <f>IFERROR(__xludf.DUMMYFUNCTION("""COMPUTED_VALUE"""),"2024")</f>
        <v>2024</v>
      </c>
      <c r="G1773" s="35" t="str">
        <f>IFERROR(__xludf.DUMMYFUNCTION("""COMPUTED_VALUE"""),"DARWIN")</f>
        <v>DARWIN</v>
      </c>
      <c r="H1773" s="17" t="str">
        <f>IFERROR(__xludf.DUMMYFUNCTION("""COMPUTED_VALUE"""),"D8024104918")</f>
        <v>D8024104918</v>
      </c>
      <c r="I1773" s="17">
        <f>IFERROR(__xludf.DUMMYFUNCTION("""COMPUTED_VALUE"""),45.0)</f>
        <v>45</v>
      </c>
      <c r="J1773" s="17" t="str">
        <f>IFERROR(__xludf.DUMMYFUNCTION("""COMPUTED_VALUE"""),"&gt; 44 tahun")</f>
        <v>&gt; 44 tahun</v>
      </c>
      <c r="K1773" s="19">
        <f>IFERROR(__xludf.DUMMYFUNCTION("""COMPUTED_VALUE"""),29486.0)</f>
        <v>29486</v>
      </c>
      <c r="L1773" s="19" t="str">
        <f>IFERROR(__xludf.DUMMYFUNCTION("""COMPUTED_VALUE"""),"LAKI-LAKI")</f>
        <v>LAKI-LAKI</v>
      </c>
      <c r="M1773" s="35" t="str">
        <f>IFERROR(__xludf.DUMMYFUNCTION("""COMPUTED_VALUE"""),"JL. TANJUNGPURA GG. BAIDURI 1 NO. 5")</f>
        <v>JL. TANJUNGPURA GG. BAIDURI 1 NO. 5</v>
      </c>
      <c r="N1773" s="16" t="str">
        <f>IFERROR(__xludf.DUMMYFUNCTION("""COMPUTED_VALUE"""),"KEL. BENUA MELAYU DARAT")</f>
        <v>KEL. BENUA MELAYU DARAT</v>
      </c>
      <c r="O1773" s="16" t="str">
        <f>IFERROR(__xludf.DUMMYFUNCTION("""COMPUTED_VALUE"""),"KEC. PONTIANAK SELATAN")</f>
        <v>KEC. PONTIANAK SELATAN</v>
      </c>
      <c r="P1773" s="16" t="str">
        <f>IFERROR(__xludf.DUMMYFUNCTION("""COMPUTED_VALUE"""),"KOTA PONTIANAK")</f>
        <v>KOTA PONTIANAK</v>
      </c>
      <c r="Q1773" s="16" t="str">
        <f>IFERROR(__xludf.DUMMYFUNCTION("""COMPUTED_VALUE"""),"KALIMANTAN BARAT")</f>
        <v>KALIMANTAN BARAT</v>
      </c>
      <c r="R1773" s="19" t="str">
        <f>IFERROR(__xludf.DUMMYFUNCTION("""COMPUTED_VALUE"""),"KATOLIK")</f>
        <v>KATOLIK</v>
      </c>
      <c r="S1773" s="16" t="str">
        <f>IFERROR(__xludf.DUMMYFUNCTION("""COMPUTED_VALUE"""),"DOSEN/GURU")</f>
        <v>DOSEN/GURU</v>
      </c>
      <c r="T1773" s="36" t="str">
        <f>IFERROR(__xludf.DUMMYFUNCTION("""COMPUTED_VALUE"""),"Dari area pantat sampai kaki sakit")</f>
        <v>Dari area pantat sampai kaki sakit</v>
      </c>
      <c r="U1773" s="16" t="str">
        <f>IFERROR(__xludf.DUMMYFUNCTION("""COMPUTED_VALUE"""),"Mengajar")</f>
        <v>Mengajar</v>
      </c>
      <c r="V1773" s="11" t="str">
        <f>IFERROR(__xludf.DUMMYFUNCTION("""COMPUTED_VALUE"""),"08125624918")</f>
        <v>08125624918</v>
      </c>
      <c r="W1773" s="15"/>
    </row>
    <row r="1774" ht="22.5" customHeight="1">
      <c r="A1774" s="8"/>
      <c r="B1774" s="9">
        <f>IFERROR(__xludf.DUMMYFUNCTION("""COMPUTED_VALUE"""),45559.374987731484)</f>
        <v>45559.37499</v>
      </c>
      <c r="C1774" s="9"/>
      <c r="D1774" s="10">
        <f>IFERROR(__xludf.DUMMYFUNCTION("""COMPUTED_VALUE"""),45572.0)</f>
        <v>45572</v>
      </c>
      <c r="E1774" s="10" t="str">
        <f>IFERROR(__xludf.DUMMYFUNCTION("""COMPUTED_VALUE"""),"10Okt")</f>
        <v>10Okt</v>
      </c>
      <c r="F1774" s="10" t="str">
        <f>IFERROR(__xludf.DUMMYFUNCTION("""COMPUTED_VALUE"""),"2024")</f>
        <v>2024</v>
      </c>
      <c r="G1774" s="35" t="str">
        <f>IFERROR(__xludf.DUMMYFUNCTION("""COMPUTED_VALUE"""),"JEFFRY SURYADI")</f>
        <v>JEFFRY SURYADI</v>
      </c>
      <c r="H1774" s="17" t="str">
        <f>IFERROR(__xludf.DUMMYFUNCTION("""COMPUTED_VALUE"""),"J6724103118")</f>
        <v>J6724103118</v>
      </c>
      <c r="I1774" s="17">
        <f>IFERROR(__xludf.DUMMYFUNCTION("""COMPUTED_VALUE"""),58.0)</f>
        <v>58</v>
      </c>
      <c r="J1774" s="17" t="str">
        <f>IFERROR(__xludf.DUMMYFUNCTION("""COMPUTED_VALUE"""),"&gt; 44 tahun")</f>
        <v>&gt; 44 tahun</v>
      </c>
      <c r="K1774" s="19">
        <f>IFERROR(__xludf.DUMMYFUNCTION("""COMPUTED_VALUE"""),24692.0)</f>
        <v>24692</v>
      </c>
      <c r="L1774" s="19" t="str">
        <f>IFERROR(__xludf.DUMMYFUNCTION("""COMPUTED_VALUE"""),"LAKI-LAKI")</f>
        <v>LAKI-LAKI</v>
      </c>
      <c r="M1774" s="35" t="str">
        <f>IFERROR(__xludf.DUMMYFUNCTION("""COMPUTED_VALUE"""),"JL.SUNGAI RAYA DALAM KOMPLEK ROYAL SERDAM RESIDENCE I NO.B1 PONTIANAK")</f>
        <v>JL.SUNGAI RAYA DALAM KOMPLEK ROYAL SERDAM RESIDENCE I NO.B1 PONTIANAK</v>
      </c>
      <c r="N1774" s="16" t="str">
        <f>IFERROR(__xludf.DUMMYFUNCTION("""COMPUTED_VALUE"""),"KEL. BANGKA BELITUNG DARAT")</f>
        <v>KEL. BANGKA BELITUNG DARAT</v>
      </c>
      <c r="O1774" s="16" t="str">
        <f>IFERROR(__xludf.DUMMYFUNCTION("""COMPUTED_VALUE"""),"KEC. PONTIANAK TENGGARA")</f>
        <v>KEC. PONTIANAK TENGGARA</v>
      </c>
      <c r="P1774" s="16" t="str">
        <f>IFERROR(__xludf.DUMMYFUNCTION("""COMPUTED_VALUE"""),"KOTA PONTIANAK")</f>
        <v>KOTA PONTIANAK</v>
      </c>
      <c r="Q1774" s="16" t="str">
        <f>IFERROR(__xludf.DUMMYFUNCTION("""COMPUTED_VALUE"""),"KALIMANTAN BARAT")</f>
        <v>KALIMANTAN BARAT</v>
      </c>
      <c r="R1774" s="19" t="str">
        <f>IFERROR(__xludf.DUMMYFUNCTION("""COMPUTED_VALUE"""),"BUDDHA")</f>
        <v>BUDDHA</v>
      </c>
      <c r="S1774" s="35" t="str">
        <f>IFERROR(__xludf.DUMMYFUNCTION("""COMPUTED_VALUE"""),"PENSIUN")</f>
        <v>PENSIUN</v>
      </c>
      <c r="T1774" s="16" t="str">
        <f>IFERROR(__xludf.DUMMYFUNCTION("""COMPUTED_VALUE"""),"SAKIT SEPANJANG BAHU SAMPAI LENGAN ATAS, DARI PANGGUL SEPANJANG")</f>
        <v>SAKIT SEPANJANG BAHU SAMPAI LENGAN ATAS, DARI PANGGUL SEPANJANG</v>
      </c>
      <c r="U1774" s="16" t="str">
        <f>IFERROR(__xludf.DUMMYFUNCTION("""COMPUTED_VALUE"""),"JALAN, SENAM, GYM DI RUMAH (BILA PERLU)")</f>
        <v>JALAN, SENAM, GYM DI RUMAH (BILA PERLU)</v>
      </c>
      <c r="V1774" s="11" t="str">
        <f>IFERROR(__xludf.DUMMYFUNCTION("""COMPUTED_VALUE"""),"081527033118")</f>
        <v>081527033118</v>
      </c>
      <c r="W1774" s="15"/>
    </row>
    <row r="1775" ht="22.5" customHeight="1">
      <c r="A1775" s="8"/>
      <c r="B1775" s="9">
        <f>IFERROR(__xludf.DUMMYFUNCTION("""COMPUTED_VALUE"""),45558.83040319444)</f>
        <v>45558.8304</v>
      </c>
      <c r="C1775" s="9"/>
      <c r="D1775" s="34">
        <f>IFERROR(__xludf.DUMMYFUNCTION("""COMPUTED_VALUE"""),45573.0)</f>
        <v>45573</v>
      </c>
      <c r="E1775" s="34" t="str">
        <f>IFERROR(__xludf.DUMMYFUNCTION("""COMPUTED_VALUE"""),"10Okt")</f>
        <v>10Okt</v>
      </c>
      <c r="F1775" s="34" t="str">
        <f>IFERROR(__xludf.DUMMYFUNCTION("""COMPUTED_VALUE"""),"2024")</f>
        <v>2024</v>
      </c>
      <c r="G1775" s="35" t="str">
        <f>IFERROR(__xludf.DUMMYFUNCTION("""COMPUTED_VALUE"""),"LIE FUN")</f>
        <v>LIE FUN</v>
      </c>
      <c r="H1775" s="17" t="str">
        <f>IFERROR(__xludf.DUMMYFUNCTION("""COMPUTED_VALUE"""),"L7124106558")</f>
        <v>L7124106558</v>
      </c>
      <c r="I1775" s="17">
        <f>IFERROR(__xludf.DUMMYFUNCTION("""COMPUTED_VALUE"""),55.0)</f>
        <v>55</v>
      </c>
      <c r="J1775" s="17" t="str">
        <f>IFERROR(__xludf.DUMMYFUNCTION("""COMPUTED_VALUE"""),"&gt; 44 tahun")</f>
        <v>&gt; 44 tahun</v>
      </c>
      <c r="K1775" s="19">
        <f>IFERROR(__xludf.DUMMYFUNCTION("""COMPUTED_VALUE"""),25941.0)</f>
        <v>25941</v>
      </c>
      <c r="L1775" s="19" t="str">
        <f>IFERROR(__xludf.DUMMYFUNCTION("""COMPUTED_VALUE"""),"PEREMPUAN")</f>
        <v>PEREMPUAN</v>
      </c>
      <c r="M1775" s="35" t="str">
        <f>IFERROR(__xludf.DUMMYFUNCTION("""COMPUTED_VALUE"""),"JL. KHA. DAHLAN. GG. MARGOSARI NO. 16B")</f>
        <v>JL. KHA. DAHLAN. GG. MARGOSARI NO. 16B</v>
      </c>
      <c r="N1775" s="16" t="str">
        <f>IFERROR(__xludf.DUMMYFUNCTION("""COMPUTED_VALUE"""),"KEL. SUNGAI BANGKONG")</f>
        <v>KEL. SUNGAI BANGKONG</v>
      </c>
      <c r="O1775" s="16" t="str">
        <f>IFERROR(__xludf.DUMMYFUNCTION("""COMPUTED_VALUE"""),"KEC. PONTIANAK KOTA")</f>
        <v>KEC. PONTIANAK KOTA</v>
      </c>
      <c r="P1775" s="16" t="str">
        <f>IFERROR(__xludf.DUMMYFUNCTION("""COMPUTED_VALUE"""),"KOTA PONTIANAK")</f>
        <v>KOTA PONTIANAK</v>
      </c>
      <c r="Q1775" s="35" t="str">
        <f>IFERROR(__xludf.DUMMYFUNCTION("""COMPUTED_VALUE"""),"KALIMANTAN BARAT")</f>
        <v>KALIMANTAN BARAT</v>
      </c>
      <c r="R1775" s="19" t="str">
        <f>IFERROR(__xludf.DUMMYFUNCTION("""COMPUTED_VALUE"""),"PROTESTAN")</f>
        <v>PROTESTAN</v>
      </c>
      <c r="S1775" s="35" t="str">
        <f>IFERROR(__xludf.DUMMYFUNCTION("""COMPUTED_VALUE"""),"RUMAH TANGGA")</f>
        <v>RUMAH TANGGA</v>
      </c>
      <c r="T1775" s="36" t="str">
        <f>IFERROR(__xludf.DUMMYFUNCTION("""COMPUTED_VALUE"""),"Sciatica... penipisan bantalan tulang belakang")</f>
        <v>Sciatica... penipisan bantalan tulang belakang</v>
      </c>
      <c r="U1775" s="16" t="str">
        <f>IFERROR(__xludf.DUMMYFUNCTION("""COMPUTED_VALUE"""),"Olahraga pagi")</f>
        <v>Olahraga pagi</v>
      </c>
      <c r="V1775" s="11" t="str">
        <f>IFERROR(__xludf.DUMMYFUNCTION("""COMPUTED_VALUE"""),"081256876558")</f>
        <v>081256876558</v>
      </c>
      <c r="W1775" s="15"/>
    </row>
    <row r="1776" ht="22.5" customHeight="1">
      <c r="A1776" s="8"/>
      <c r="B1776" s="9">
        <f>IFERROR(__xludf.DUMMYFUNCTION("""COMPUTED_VALUE"""),45560.41152533564)</f>
        <v>45560.41153</v>
      </c>
      <c r="C1776" s="9"/>
      <c r="D1776" s="34">
        <f>IFERROR(__xludf.DUMMYFUNCTION("""COMPUTED_VALUE"""),45573.0)</f>
        <v>45573</v>
      </c>
      <c r="E1776" s="34" t="str">
        <f>IFERROR(__xludf.DUMMYFUNCTION("""COMPUTED_VALUE"""),"10Okt")</f>
        <v>10Okt</v>
      </c>
      <c r="F1776" s="34" t="str">
        <f>IFERROR(__xludf.DUMMYFUNCTION("""COMPUTED_VALUE"""),"2024")</f>
        <v>2024</v>
      </c>
      <c r="G1776" s="35" t="str">
        <f>IFERROR(__xludf.DUMMYFUNCTION("""COMPUTED_VALUE"""),"RIZKY ARDIANSYAH")</f>
        <v>RIZKY ARDIANSYAH</v>
      </c>
      <c r="H1776" s="17" t="str">
        <f>IFERROR(__xludf.DUMMYFUNCTION("""COMPUTED_VALUE"""),"R0624106967")</f>
        <v>R0624106967</v>
      </c>
      <c r="I1776" s="17">
        <f>IFERROR(__xludf.DUMMYFUNCTION("""COMPUTED_VALUE"""),20.0)</f>
        <v>20</v>
      </c>
      <c r="J1776" s="17" t="str">
        <f>IFERROR(__xludf.DUMMYFUNCTION("""COMPUTED_VALUE"""),"18-24 tahun")</f>
        <v>18-24 tahun</v>
      </c>
      <c r="K1776" s="19">
        <f>IFERROR(__xludf.DUMMYFUNCTION("""COMPUTED_VALUE"""),38741.0)</f>
        <v>38741</v>
      </c>
      <c r="L1776" s="19" t="str">
        <f>IFERROR(__xludf.DUMMYFUNCTION("""COMPUTED_VALUE"""),"LAKI-LAKI")</f>
        <v>LAKI-LAKI</v>
      </c>
      <c r="M1776" s="35" t="str">
        <f>IFERROR(__xludf.DUMMYFUNCTION("""COMPUTED_VALUE"""),"TANJUNG SEKAYAM, SANGGAU KAPUAS")</f>
        <v>TANJUNG SEKAYAM, SANGGAU KAPUAS</v>
      </c>
      <c r="N1776" s="16" t="str">
        <f>IFERROR(__xludf.DUMMYFUNCTION("""COMPUTED_VALUE"""),"DS. TANJUNG SAKAYAM")</f>
        <v>DS. TANJUNG SAKAYAM</v>
      </c>
      <c r="O1776" s="16" t="str">
        <f>IFERROR(__xludf.DUMMYFUNCTION("""COMPUTED_VALUE"""),"KEC. KAPUAS")</f>
        <v>KEC. KAPUAS</v>
      </c>
      <c r="P1776" s="16" t="str">
        <f>IFERROR(__xludf.DUMMYFUNCTION("""COMPUTED_VALUE"""),"KAB. SANGGAU")</f>
        <v>KAB. SANGGAU</v>
      </c>
      <c r="Q1776" s="16" t="str">
        <f>IFERROR(__xludf.DUMMYFUNCTION("""COMPUTED_VALUE"""),"KALIMANTAN BARAT")</f>
        <v>KALIMANTAN BARAT</v>
      </c>
      <c r="R1776" s="19" t="str">
        <f>IFERROR(__xludf.DUMMYFUNCTION("""COMPUTED_VALUE"""),"ISLAM")</f>
        <v>ISLAM</v>
      </c>
      <c r="S1776" s="35" t="str">
        <f>IFERROR(__xludf.DUMMYFUNCTION("""COMPUTED_VALUE"""),"PELAJAR/MAHASISWA")</f>
        <v>PELAJAR/MAHASISWA</v>
      </c>
      <c r="T1776" s="36" t="str">
        <f>IFERROR(__xludf.DUMMYFUNCTION("""COMPUTED_VALUE"""),"cidera pada")</f>
        <v>cidera pada</v>
      </c>
      <c r="U1776" s="16" t="str">
        <f>IFERROR(__xludf.DUMMYFUNCTION("""COMPUTED_VALUE"""),"Futsal,Bola (Olahraga)")</f>
        <v>Futsal,Bola (Olahraga)</v>
      </c>
      <c r="V1776" s="11" t="str">
        <f>IFERROR(__xludf.DUMMYFUNCTION("""COMPUTED_VALUE"""),"085652016967")</f>
        <v>085652016967</v>
      </c>
      <c r="W1776" s="15"/>
    </row>
    <row r="1777" ht="22.5" customHeight="1">
      <c r="A1777" s="8"/>
      <c r="B1777" s="9">
        <f>IFERROR(__xludf.DUMMYFUNCTION("""COMPUTED_VALUE"""),45560.67387976852)</f>
        <v>45560.67388</v>
      </c>
      <c r="C1777" s="9"/>
      <c r="D1777" s="34">
        <f>IFERROR(__xludf.DUMMYFUNCTION("""COMPUTED_VALUE"""),45573.0)</f>
        <v>45573</v>
      </c>
      <c r="E1777" s="34" t="str">
        <f>IFERROR(__xludf.DUMMYFUNCTION("""COMPUTED_VALUE"""),"10Okt")</f>
        <v>10Okt</v>
      </c>
      <c r="F1777" s="34" t="str">
        <f>IFERROR(__xludf.DUMMYFUNCTION("""COMPUTED_VALUE"""),"2024")</f>
        <v>2024</v>
      </c>
      <c r="G1777" s="35" t="str">
        <f>IFERROR(__xludf.DUMMYFUNCTION("""COMPUTED_VALUE"""),"NEFRI MATIPA")</f>
        <v>NEFRI MATIPA</v>
      </c>
      <c r="H1777" s="17" t="str">
        <f>IFERROR(__xludf.DUMMYFUNCTION("""COMPUTED_VALUE"""),"N8224100407")</f>
        <v>N8224100407</v>
      </c>
      <c r="I1777" s="17">
        <f>IFERROR(__xludf.DUMMYFUNCTION("""COMPUTED_VALUE"""),44.0)</f>
        <v>44</v>
      </c>
      <c r="J1777" s="17" t="str">
        <f>IFERROR(__xludf.DUMMYFUNCTION("""COMPUTED_VALUE"""),"35-44 tahun")</f>
        <v>35-44 tahun</v>
      </c>
      <c r="K1777" s="19">
        <f>IFERROR(__xludf.DUMMYFUNCTION("""COMPUTED_VALUE"""),30054.0)</f>
        <v>30054</v>
      </c>
      <c r="L1777" s="19" t="str">
        <f>IFERROR(__xludf.DUMMYFUNCTION("""COMPUTED_VALUE"""),"LAKI-LAKI")</f>
        <v>LAKI-LAKI</v>
      </c>
      <c r="M1777" s="35" t="str">
        <f>IFERROR(__xludf.DUMMYFUNCTION("""COMPUTED_VALUE"""),"KENDARI, SULAWESI TENGGARA")</f>
        <v>KENDARI, SULAWESI TENGGARA</v>
      </c>
      <c r="N1777" s="16" t="str">
        <f>IFERROR(__xludf.DUMMYFUNCTION("""COMPUTED_VALUE"""),"KEL. WATUBANGGA")</f>
        <v>KEL. WATUBANGGA</v>
      </c>
      <c r="O1777" s="16" t="str">
        <f>IFERROR(__xludf.DUMMYFUNCTION("""COMPUTED_VALUE"""),"KEC. BARUGA")</f>
        <v>KEC. BARUGA</v>
      </c>
      <c r="P1777" s="16" t="str">
        <f>IFERROR(__xludf.DUMMYFUNCTION("""COMPUTED_VALUE"""),"KOTA KENDARI")</f>
        <v>KOTA KENDARI</v>
      </c>
      <c r="Q1777" s="16" t="str">
        <f>IFERROR(__xludf.DUMMYFUNCTION("""COMPUTED_VALUE"""),"SULAWESI TENGGARA")</f>
        <v>SULAWESI TENGGARA</v>
      </c>
      <c r="R1777" s="19" t="str">
        <f>IFERROR(__xludf.DUMMYFUNCTION("""COMPUTED_VALUE"""),"PROTESTAN")</f>
        <v>PROTESTAN</v>
      </c>
      <c r="S1777" s="16" t="str">
        <f>IFERROR(__xludf.DUMMYFUNCTION("""COMPUTED_VALUE"""),"ASN")</f>
        <v>ASN</v>
      </c>
      <c r="T1777" s="36" t="str">
        <f>IFERROR(__xludf.DUMMYFUNCTION("""COMPUTED_VALUE"""),"sakit pinggang")</f>
        <v>sakit pinggang</v>
      </c>
      <c r="U1777" s="16" t="str">
        <f>IFERROR(__xludf.DUMMYFUNCTION("""COMPUTED_VALUE"""),"olah raga")</f>
        <v>olah raga</v>
      </c>
      <c r="V1777" s="11" t="str">
        <f>IFERROR(__xludf.DUMMYFUNCTION("""COMPUTED_VALUE"""),"08114030407")</f>
        <v>08114030407</v>
      </c>
      <c r="W1777" s="15"/>
    </row>
    <row r="1778" ht="22.5" customHeight="1">
      <c r="A1778" s="8"/>
      <c r="B1778" s="9">
        <f>IFERROR(__xludf.DUMMYFUNCTION("""COMPUTED_VALUE"""),45560.445600335646)</f>
        <v>45560.4456</v>
      </c>
      <c r="C1778" s="9"/>
      <c r="D1778" s="34">
        <f>IFERROR(__xludf.DUMMYFUNCTION("""COMPUTED_VALUE"""),45573.0)</f>
        <v>45573</v>
      </c>
      <c r="E1778" s="34" t="str">
        <f>IFERROR(__xludf.DUMMYFUNCTION("""COMPUTED_VALUE"""),"10Okt")</f>
        <v>10Okt</v>
      </c>
      <c r="F1778" s="34" t="str">
        <f>IFERROR(__xludf.DUMMYFUNCTION("""COMPUTED_VALUE"""),"2024")</f>
        <v>2024</v>
      </c>
      <c r="G1778" s="35" t="str">
        <f>IFERROR(__xludf.DUMMYFUNCTION("""COMPUTED_VALUE"""),"M REDHA MAULINDRA")</f>
        <v>M REDHA MAULINDRA</v>
      </c>
      <c r="H1778" s="17" t="str">
        <f>IFERROR(__xludf.DUMMYFUNCTION("""COMPUTED_VALUE"""),"M9724105171")</f>
        <v>M9724105171</v>
      </c>
      <c r="I1778" s="17">
        <f>IFERROR(__xludf.DUMMYFUNCTION("""COMPUTED_VALUE"""),29.0)</f>
        <v>29</v>
      </c>
      <c r="J1778" s="17" t="str">
        <f>IFERROR(__xludf.DUMMYFUNCTION("""COMPUTED_VALUE"""),"25-34 tahun")</f>
        <v>25-34 tahun</v>
      </c>
      <c r="K1778" s="19">
        <f>IFERROR(__xludf.DUMMYFUNCTION("""COMPUTED_VALUE"""),35528.0)</f>
        <v>35528</v>
      </c>
      <c r="L1778" s="19" t="str">
        <f>IFERROR(__xludf.DUMMYFUNCTION("""COMPUTED_VALUE"""),"LAKI-LAKI")</f>
        <v>LAKI-LAKI</v>
      </c>
      <c r="M1778" s="35" t="str">
        <f>IFERROR(__xludf.DUMMYFUNCTION("""COMPUTED_VALUE"""),"JALAN TANJUNGPURA GG BAYU")</f>
        <v>JALAN TANJUNGPURA GG BAYU</v>
      </c>
      <c r="N1778" s="16" t="str">
        <f>IFERROR(__xludf.DUMMYFUNCTION("""COMPUTED_VALUE"""),"KEL. BENUA MELAYU LAUT")</f>
        <v>KEL. BENUA MELAYU LAUT</v>
      </c>
      <c r="O1778" s="16" t="str">
        <f>IFERROR(__xludf.DUMMYFUNCTION("""COMPUTED_VALUE"""),"KEC. PONTIANAK SELATAN")</f>
        <v>KEC. PONTIANAK SELATAN</v>
      </c>
      <c r="P1778" s="16" t="str">
        <f>IFERROR(__xludf.DUMMYFUNCTION("""COMPUTED_VALUE"""),"KOTA PONTIANAK")</f>
        <v>KOTA PONTIANAK</v>
      </c>
      <c r="Q1778" s="16" t="str">
        <f>IFERROR(__xludf.DUMMYFUNCTION("""COMPUTED_VALUE"""),"KALIMANTAN BARAT")</f>
        <v>KALIMANTAN BARAT</v>
      </c>
      <c r="R1778" s="19" t="str">
        <f>IFERROR(__xludf.DUMMYFUNCTION("""COMPUTED_VALUE"""),"ISLAM")</f>
        <v>ISLAM</v>
      </c>
      <c r="S1778" s="35" t="str">
        <f>IFERROR(__xludf.DUMMYFUNCTION("""COMPUTED_VALUE"""),"WIRASWASTA")</f>
        <v>WIRASWASTA</v>
      </c>
      <c r="T1778" s="36" t="str">
        <f>IFERROR(__xludf.DUMMYFUNCTION("""COMPUTED_VALUE"""),"Sakit tulang belakang, tulang rusuk")</f>
        <v>Sakit tulang belakang, tulang rusuk</v>
      </c>
      <c r="U1778" s="16" t="str">
        <f>IFERROR(__xludf.DUMMYFUNCTION("""COMPUTED_VALUE"""),"Gym")</f>
        <v>Gym</v>
      </c>
      <c r="V1778" s="11" t="str">
        <f>IFERROR(__xludf.DUMMYFUNCTION("""COMPUTED_VALUE"""),"08999335171")</f>
        <v>08999335171</v>
      </c>
      <c r="W1778" s="15"/>
    </row>
    <row r="1779" ht="22.5" customHeight="1">
      <c r="A1779" s="8"/>
      <c r="B1779" s="9">
        <f>IFERROR(__xludf.DUMMYFUNCTION("""COMPUTED_VALUE"""),45561.61131721065)</f>
        <v>45561.61132</v>
      </c>
      <c r="C1779" s="9"/>
      <c r="D1779" s="34">
        <f>IFERROR(__xludf.DUMMYFUNCTION("""COMPUTED_VALUE"""),45573.0)</f>
        <v>45573</v>
      </c>
      <c r="E1779" s="34" t="str">
        <f>IFERROR(__xludf.DUMMYFUNCTION("""COMPUTED_VALUE"""),"10Okt")</f>
        <v>10Okt</v>
      </c>
      <c r="F1779" s="34" t="str">
        <f>IFERROR(__xludf.DUMMYFUNCTION("""COMPUTED_VALUE"""),"2024")</f>
        <v>2024</v>
      </c>
      <c r="G1779" s="16" t="str">
        <f>IFERROR(__xludf.DUMMYFUNCTION("""COMPUTED_VALUE"""),"IRFAN MAHDI")</f>
        <v>IRFAN MAHDI</v>
      </c>
      <c r="H1779" s="17" t="str">
        <f>IFERROR(__xludf.DUMMYFUNCTION("""COMPUTED_VALUE"""),"I9324104890")</f>
        <v>I9324104890</v>
      </c>
      <c r="I1779" s="17">
        <f>IFERROR(__xludf.DUMMYFUNCTION("""COMPUTED_VALUE"""),33.0)</f>
        <v>33</v>
      </c>
      <c r="J1779" s="17" t="str">
        <f>IFERROR(__xludf.DUMMYFUNCTION("""COMPUTED_VALUE"""),"25-34 tahun")</f>
        <v>25-34 tahun</v>
      </c>
      <c r="K1779" s="19">
        <f>IFERROR(__xludf.DUMMYFUNCTION("""COMPUTED_VALUE"""),34068.0)</f>
        <v>34068</v>
      </c>
      <c r="L1779" s="19" t="str">
        <f>IFERROR(__xludf.DUMMYFUNCTION("""COMPUTED_VALUE"""),"LAKI-LAKI")</f>
        <v>LAKI-LAKI</v>
      </c>
      <c r="M1779" s="35" t="str">
        <f>IFERROR(__xludf.DUMMYFUNCTION("""COMPUTED_VALUE"""),"JL. KARANGAN BLOK A")</f>
        <v>JL. KARANGAN BLOK A</v>
      </c>
      <c r="N1779" s="16" t="str">
        <f>IFERROR(__xludf.DUMMYFUNCTION("""COMPUTED_VALUE"""),"KEL. BANSIR LAUT")</f>
        <v>KEL. BANSIR LAUT</v>
      </c>
      <c r="O1779" s="16" t="str">
        <f>IFERROR(__xludf.DUMMYFUNCTION("""COMPUTED_VALUE"""),"KEC. PONTIANAK TENGGARA")</f>
        <v>KEC. PONTIANAK TENGGARA</v>
      </c>
      <c r="P1779" s="16" t="str">
        <f>IFERROR(__xludf.DUMMYFUNCTION("""COMPUTED_VALUE"""),"KOTA PONTIANAK")</f>
        <v>KOTA PONTIANAK</v>
      </c>
      <c r="Q1779" s="16" t="str">
        <f>IFERROR(__xludf.DUMMYFUNCTION("""COMPUTED_VALUE"""),"KALIMANTAN BARAT")</f>
        <v>KALIMANTAN BARAT</v>
      </c>
      <c r="R1779" s="19" t="str">
        <f>IFERROR(__xludf.DUMMYFUNCTION("""COMPUTED_VALUE"""),"ISLAM")</f>
        <v>ISLAM</v>
      </c>
      <c r="S1779" s="16" t="str">
        <f>IFERROR(__xludf.DUMMYFUNCTION("""COMPUTED_VALUE"""),"FREELANCE")</f>
        <v>FREELANCE</v>
      </c>
      <c r="T1779" s="16" t="str">
        <f>IFERROR(__xludf.DUMMYFUNCTION("""COMPUTED_VALUE"""),"Bahu tinggi sebelah")</f>
        <v>Bahu tinggi sebelah</v>
      </c>
      <c r="U1779" s="16" t="str">
        <f>IFERROR(__xludf.DUMMYFUNCTION("""COMPUTED_VALUE"""),"Bermain Game dan Ngegym")</f>
        <v>Bermain Game dan Ngegym</v>
      </c>
      <c r="V1779" s="11" t="str">
        <f>IFERROR(__xludf.DUMMYFUNCTION("""COMPUTED_VALUE"""),"085750934890")</f>
        <v>085750934890</v>
      </c>
      <c r="W1779" s="15"/>
    </row>
    <row r="1780" ht="22.5" customHeight="1">
      <c r="A1780" s="8"/>
      <c r="B1780" s="9">
        <f>IFERROR(__xludf.DUMMYFUNCTION("""COMPUTED_VALUE"""),45561.84663971065)</f>
        <v>45561.84664</v>
      </c>
      <c r="C1780" s="9"/>
      <c r="D1780" s="10">
        <f>IFERROR(__xludf.DUMMYFUNCTION("""COMPUTED_VALUE"""),45573.0)</f>
        <v>45573</v>
      </c>
      <c r="E1780" s="10" t="str">
        <f>IFERROR(__xludf.DUMMYFUNCTION("""COMPUTED_VALUE"""),"10Okt")</f>
        <v>10Okt</v>
      </c>
      <c r="F1780" s="10" t="str">
        <f>IFERROR(__xludf.DUMMYFUNCTION("""COMPUTED_VALUE"""),"2024")</f>
        <v>2024</v>
      </c>
      <c r="G1780" s="35" t="str">
        <f>IFERROR(__xludf.DUMMYFUNCTION("""COMPUTED_VALUE"""),"AYU ARTIKANDI")</f>
        <v>AYU ARTIKANDI</v>
      </c>
      <c r="H1780" s="17" t="str">
        <f>IFERROR(__xludf.DUMMYFUNCTION("""COMPUTED_VALUE"""),"A9124107890")</f>
        <v>A9124107890</v>
      </c>
      <c r="I1780" s="17">
        <f>IFERROR(__xludf.DUMMYFUNCTION("""COMPUTED_VALUE"""),35.0)</f>
        <v>35</v>
      </c>
      <c r="J1780" s="17" t="str">
        <f>IFERROR(__xludf.DUMMYFUNCTION("""COMPUTED_VALUE"""),"35-44 tahun")</f>
        <v>35-44 tahun</v>
      </c>
      <c r="K1780" s="19">
        <f>IFERROR(__xludf.DUMMYFUNCTION("""COMPUTED_VALUE"""),33289.0)</f>
        <v>33289</v>
      </c>
      <c r="L1780" s="19" t="str">
        <f>IFERROR(__xludf.DUMMYFUNCTION("""COMPUTED_VALUE"""),"PEREMPUAN")</f>
        <v>PEREMPUAN</v>
      </c>
      <c r="M1780" s="35" t="str">
        <f>IFERROR(__xludf.DUMMYFUNCTION("""COMPUTED_VALUE"""),"BASUURA CITY JAKARTA TIMUR")</f>
        <v>BASUURA CITY JAKARTA TIMUR</v>
      </c>
      <c r="N1780" s="16" t="str">
        <f>IFERROR(__xludf.DUMMYFUNCTION("""COMPUTED_VALUE"""),"KEL. CIPINANG")</f>
        <v>KEL. CIPINANG</v>
      </c>
      <c r="O1780" s="16" t="str">
        <f>IFERROR(__xludf.DUMMYFUNCTION("""COMPUTED_VALUE"""),"KEC. CIPINANG BESAR")</f>
        <v>KEC. CIPINANG BESAR</v>
      </c>
      <c r="P1780" s="16" t="str">
        <f>IFERROR(__xludf.DUMMYFUNCTION("""COMPUTED_VALUE"""),"KOTA JAKARTA TIMUR")</f>
        <v>KOTA JAKARTA TIMUR</v>
      </c>
      <c r="Q1780" s="16" t="str">
        <f>IFERROR(__xludf.DUMMYFUNCTION("""COMPUTED_VALUE"""),"DKI JAKARTA")</f>
        <v>DKI JAKARTA</v>
      </c>
      <c r="R1780" s="19" t="str">
        <f>IFERROR(__xludf.DUMMYFUNCTION("""COMPUTED_VALUE"""),"ISLAM")</f>
        <v>ISLAM</v>
      </c>
      <c r="S1780" s="16" t="str">
        <f>IFERROR(__xludf.DUMMYFUNCTION("""COMPUTED_VALUE"""),"SWASTA")</f>
        <v>SWASTA</v>
      </c>
      <c r="T1780" s="16" t="str">
        <f>IFERROR(__xludf.DUMMYFUNCTION("""COMPUTED_VALUE"""),"Pinggang dan betis")</f>
        <v>Pinggang dan betis</v>
      </c>
      <c r="U1780" s="16" t="str">
        <f>IFERROR(__xludf.DUMMYFUNCTION("""COMPUTED_VALUE"""),"Tennis")</f>
        <v>Tennis</v>
      </c>
      <c r="V1780" s="11" t="str">
        <f>IFERROR(__xludf.DUMMYFUNCTION("""COMPUTED_VALUE"""),"081272047890")</f>
        <v>081272047890</v>
      </c>
      <c r="W1780" s="15"/>
    </row>
    <row r="1781" ht="22.5" customHeight="1">
      <c r="A1781" s="8"/>
      <c r="B1781" s="9">
        <f>IFERROR(__xludf.DUMMYFUNCTION("""COMPUTED_VALUE"""),45562.3915165625)</f>
        <v>45562.39152</v>
      </c>
      <c r="C1781" s="9"/>
      <c r="D1781" s="34">
        <f>IFERROR(__xludf.DUMMYFUNCTION("""COMPUTED_VALUE"""),45573.0)</f>
        <v>45573</v>
      </c>
      <c r="E1781" s="34" t="str">
        <f>IFERROR(__xludf.DUMMYFUNCTION("""COMPUTED_VALUE"""),"10Okt")</f>
        <v>10Okt</v>
      </c>
      <c r="F1781" s="34" t="str">
        <f>IFERROR(__xludf.DUMMYFUNCTION("""COMPUTED_VALUE"""),"2024")</f>
        <v>2024</v>
      </c>
      <c r="G1781" s="35" t="str">
        <f>IFERROR(__xludf.DUMMYFUNCTION("""COMPUTED_VALUE"""),"ABDUL AZIS")</f>
        <v>ABDUL AZIS</v>
      </c>
      <c r="H1781" s="17" t="str">
        <f>IFERROR(__xludf.DUMMYFUNCTION("""COMPUTED_VALUE"""),"A9324103375")</f>
        <v>A9324103375</v>
      </c>
      <c r="I1781" s="17">
        <f>IFERROR(__xludf.DUMMYFUNCTION("""COMPUTED_VALUE"""),32.0)</f>
        <v>32</v>
      </c>
      <c r="J1781" s="17" t="str">
        <f>IFERROR(__xludf.DUMMYFUNCTION("""COMPUTED_VALUE"""),"25-34 tahun")</f>
        <v>25-34 tahun</v>
      </c>
      <c r="K1781" s="19">
        <f>IFERROR(__xludf.DUMMYFUNCTION("""COMPUTED_VALUE"""),34304.0)</f>
        <v>34304</v>
      </c>
      <c r="L1781" s="19" t="str">
        <f>IFERROR(__xludf.DUMMYFUNCTION("""COMPUTED_VALUE"""),"LAKI-LAKI")</f>
        <v>LAKI-LAKI</v>
      </c>
      <c r="M1781" s="35" t="str">
        <f>IFERROR(__xludf.DUMMYFUNCTION("""COMPUTED_VALUE"""),"JL. PURNAMA MADYA NO 25")</f>
        <v>JL. PURNAMA MADYA NO 25</v>
      </c>
      <c r="N1781" s="16" t="str">
        <f>IFERROR(__xludf.DUMMYFUNCTION("""COMPUTED_VALUE"""),"KEL. AKCAYA")</f>
        <v>KEL. AKCAYA</v>
      </c>
      <c r="O1781" s="16" t="str">
        <f>IFERROR(__xludf.DUMMYFUNCTION("""COMPUTED_VALUE"""),"KEC. PONTIANAK SELATAN")</f>
        <v>KEC. PONTIANAK SELATAN</v>
      </c>
      <c r="P1781" s="16" t="str">
        <f>IFERROR(__xludf.DUMMYFUNCTION("""COMPUTED_VALUE"""),"KOTA PONTIANAK")</f>
        <v>KOTA PONTIANAK</v>
      </c>
      <c r="Q1781" s="16" t="str">
        <f>IFERROR(__xludf.DUMMYFUNCTION("""COMPUTED_VALUE"""),"KALIMANTAN BARAT")</f>
        <v>KALIMANTAN BARAT</v>
      </c>
      <c r="R1781" s="19" t="str">
        <f>IFERROR(__xludf.DUMMYFUNCTION("""COMPUTED_VALUE"""),"ISLAM")</f>
        <v>ISLAM</v>
      </c>
      <c r="S1781" s="35" t="str">
        <f>IFERROR(__xludf.DUMMYFUNCTION("""COMPUTED_VALUE"""),"SWASTA")</f>
        <v>SWASTA</v>
      </c>
      <c r="T1781" s="36" t="str">
        <f>IFERROR(__xludf.DUMMYFUNCTION("""COMPUTED_VALUE"""),"Cidera pinggang")</f>
        <v>Cidera pinggang</v>
      </c>
      <c r="U1781" s="16" t="str">
        <f>IFERROR(__xludf.DUMMYFUNCTION("""COMPUTED_VALUE"""),"Kerja dan basket")</f>
        <v>Kerja dan basket</v>
      </c>
      <c r="V1781" s="11" t="str">
        <f>IFERROR(__xludf.DUMMYFUNCTION("""COMPUTED_VALUE"""),"081226793375")</f>
        <v>081226793375</v>
      </c>
      <c r="W1781" s="15"/>
    </row>
    <row r="1782" ht="22.5" customHeight="1">
      <c r="A1782" s="8"/>
      <c r="B1782" s="9">
        <f>IFERROR(__xludf.DUMMYFUNCTION("""COMPUTED_VALUE"""),45562.43355752315)</f>
        <v>45562.43356</v>
      </c>
      <c r="C1782" s="9"/>
      <c r="D1782" s="10">
        <f>IFERROR(__xludf.DUMMYFUNCTION("""COMPUTED_VALUE"""),45574.0)</f>
        <v>45574</v>
      </c>
      <c r="E1782" s="10" t="str">
        <f>IFERROR(__xludf.DUMMYFUNCTION("""COMPUTED_VALUE"""),"10Okt")</f>
        <v>10Okt</v>
      </c>
      <c r="F1782" s="10" t="str">
        <f>IFERROR(__xludf.DUMMYFUNCTION("""COMPUTED_VALUE"""),"2024")</f>
        <v>2024</v>
      </c>
      <c r="G1782" s="35" t="str">
        <f>IFERROR(__xludf.DUMMYFUNCTION("""COMPUTED_VALUE"""),"STEFANUS ANDHIKA PUTRA UTAMA")</f>
        <v>STEFANUS ANDHIKA PUTRA UTAMA</v>
      </c>
      <c r="H1782" s="17" t="str">
        <f>IFERROR(__xludf.DUMMYFUNCTION("""COMPUTED_VALUE"""),"S8624103421")</f>
        <v>S8624103421</v>
      </c>
      <c r="I1782" s="17">
        <f>IFERROR(__xludf.DUMMYFUNCTION("""COMPUTED_VALUE"""),40.0)</f>
        <v>40</v>
      </c>
      <c r="J1782" s="17" t="str">
        <f>IFERROR(__xludf.DUMMYFUNCTION("""COMPUTED_VALUE"""),"35-44 tahun")</f>
        <v>35-44 tahun</v>
      </c>
      <c r="K1782" s="19">
        <f>IFERROR(__xludf.DUMMYFUNCTION("""COMPUTED_VALUE"""),31562.0)</f>
        <v>31562</v>
      </c>
      <c r="L1782" s="19" t="str">
        <f>IFERROR(__xludf.DUMMYFUNCTION("""COMPUTED_VALUE"""),"LAKI-LAKI")</f>
        <v>LAKI-LAKI</v>
      </c>
      <c r="M1782" s="35" t="str">
        <f>IFERROR(__xludf.DUMMYFUNCTION("""COMPUTED_VALUE"""),"JALAN PARIT HAJI HUSIN 2 KOMPLEK PRESTIGIO BLOK A NOMOR 6")</f>
        <v>JALAN PARIT HAJI HUSIN 2 KOMPLEK PRESTIGIO BLOK A NOMOR 6</v>
      </c>
      <c r="N1782" s="16" t="str">
        <f>IFERROR(__xludf.DUMMYFUNCTION("""COMPUTED_VALUE"""),"KEL. BANSIR DARAT")</f>
        <v>KEL. BANSIR DARAT</v>
      </c>
      <c r="O1782" s="16" t="str">
        <f>IFERROR(__xludf.DUMMYFUNCTION("""COMPUTED_VALUE"""),"KEC. PONTIANAK TENGGARA")</f>
        <v>KEC. PONTIANAK TENGGARA</v>
      </c>
      <c r="P1782" s="16" t="str">
        <f>IFERROR(__xludf.DUMMYFUNCTION("""COMPUTED_VALUE"""),"KOTA PONTIANAK")</f>
        <v>KOTA PONTIANAK</v>
      </c>
      <c r="Q1782" s="16" t="str">
        <f>IFERROR(__xludf.DUMMYFUNCTION("""COMPUTED_VALUE"""),"KALIMANTAN BARAT")</f>
        <v>KALIMANTAN BARAT</v>
      </c>
      <c r="R1782" s="19" t="str">
        <f>IFERROR(__xludf.DUMMYFUNCTION("""COMPUTED_VALUE"""),"KATOLIK")</f>
        <v>KATOLIK</v>
      </c>
      <c r="S1782" s="35" t="str">
        <f>IFERROR(__xludf.DUMMYFUNCTION("""COMPUTED_VALUE"""),"SWASTA")</f>
        <v>SWASTA</v>
      </c>
      <c r="T1782" s="36" t="str">
        <f>IFERROR(__xludf.DUMMYFUNCTION("""COMPUTED_VALUE"""),"PINGGUL KIRI LEBIH TINGGI DARI PINGGUL KANAN")</f>
        <v>PINGGUL KIRI LEBIH TINGGI DARI PINGGUL KANAN</v>
      </c>
      <c r="U1782" s="16" t="str">
        <f>IFERROR(__xludf.DUMMYFUNCTION("""COMPUTED_VALUE"""),"MINI SOCCER/KERJA KANTORAN")</f>
        <v>MINI SOCCER/KERJA KANTORAN</v>
      </c>
      <c r="V1782" s="11" t="str">
        <f>IFERROR(__xludf.DUMMYFUNCTION("""COMPUTED_VALUE"""),"081513573421")</f>
        <v>081513573421</v>
      </c>
      <c r="W1782" s="15"/>
    </row>
    <row r="1783" ht="22.5" customHeight="1">
      <c r="A1783" s="8"/>
      <c r="B1783" s="9">
        <f>IFERROR(__xludf.DUMMYFUNCTION("""COMPUTED_VALUE"""),45562.45474140046)</f>
        <v>45562.45474</v>
      </c>
      <c r="C1783" s="9"/>
      <c r="D1783" s="34">
        <f>IFERROR(__xludf.DUMMYFUNCTION("""COMPUTED_VALUE"""),45574.0)</f>
        <v>45574</v>
      </c>
      <c r="E1783" s="34" t="str">
        <f>IFERROR(__xludf.DUMMYFUNCTION("""COMPUTED_VALUE"""),"10Okt")</f>
        <v>10Okt</v>
      </c>
      <c r="F1783" s="34" t="str">
        <f>IFERROR(__xludf.DUMMYFUNCTION("""COMPUTED_VALUE"""),"2024")</f>
        <v>2024</v>
      </c>
      <c r="G1783" s="35" t="str">
        <f>IFERROR(__xludf.DUMMYFUNCTION("""COMPUTED_VALUE"""),"MEITY")</f>
        <v>MEITY</v>
      </c>
      <c r="H1783" s="17" t="str">
        <f>IFERROR(__xludf.DUMMYFUNCTION("""COMPUTED_VALUE"""),"M8624106229")</f>
        <v>M8624106229</v>
      </c>
      <c r="I1783" s="17">
        <f>IFERROR(__xludf.DUMMYFUNCTION("""COMPUTED_VALUE"""),40.0)</f>
        <v>40</v>
      </c>
      <c r="J1783" s="17" t="str">
        <f>IFERROR(__xludf.DUMMYFUNCTION("""COMPUTED_VALUE"""),"35-44 tahun")</f>
        <v>35-44 tahun</v>
      </c>
      <c r="K1783" s="19">
        <f>IFERROR(__xludf.DUMMYFUNCTION("""COMPUTED_VALUE"""),31494.0)</f>
        <v>31494</v>
      </c>
      <c r="L1783" s="19" t="str">
        <f>IFERROR(__xludf.DUMMYFUNCTION("""COMPUTED_VALUE"""),"PEREMPUAN")</f>
        <v>PEREMPUAN</v>
      </c>
      <c r="M1783" s="35" t="str">
        <f>IFERROR(__xludf.DUMMYFUNCTION("""COMPUTED_VALUE"""),"JALAN PARIT HAJI HUSIN 2 KOMPLEK PRESTIGIO BLOK A NOMOR 6")</f>
        <v>JALAN PARIT HAJI HUSIN 2 KOMPLEK PRESTIGIO BLOK A NOMOR 6</v>
      </c>
      <c r="N1783" s="16" t="str">
        <f>IFERROR(__xludf.DUMMYFUNCTION("""COMPUTED_VALUE"""),"KEL. BANSIR DARAT")</f>
        <v>KEL. BANSIR DARAT</v>
      </c>
      <c r="O1783" s="16" t="str">
        <f>IFERROR(__xludf.DUMMYFUNCTION("""COMPUTED_VALUE"""),"KEC. PONTIANAK TENGGARA")</f>
        <v>KEC. PONTIANAK TENGGARA</v>
      </c>
      <c r="P1783" s="16" t="str">
        <f>IFERROR(__xludf.DUMMYFUNCTION("""COMPUTED_VALUE"""),"KOTA PONTIANAK")</f>
        <v>KOTA PONTIANAK</v>
      </c>
      <c r="Q1783" s="16" t="str">
        <f>IFERROR(__xludf.DUMMYFUNCTION("""COMPUTED_VALUE"""),"KALIMANTAN BARAT")</f>
        <v>KALIMANTAN BARAT</v>
      </c>
      <c r="R1783" s="19" t="str">
        <f>IFERROR(__xludf.DUMMYFUNCTION("""COMPUTED_VALUE"""),"KATOLIK")</f>
        <v>KATOLIK</v>
      </c>
      <c r="S1783" s="16" t="str">
        <f>IFERROR(__xludf.DUMMYFUNCTION("""COMPUTED_VALUE"""),"ARTIST")</f>
        <v>ARTIST</v>
      </c>
      <c r="T1783" s="36" t="str">
        <f>IFERROR(__xludf.DUMMYFUNCTION("""COMPUTED_VALUE"""),"JEMPOL KIRI, TELUNJUK KANAN DAN JARI TENGAH KANAN KAKU")</f>
        <v>JEMPOL KIRI, TELUNJUK KANAN DAN JARI TENGAH KANAN KAKU</v>
      </c>
      <c r="U1783" s="16" t="str">
        <f>IFERROR(__xludf.DUMMYFUNCTION("""COMPUTED_VALUE"""),"SOSMED/MAKE UP")</f>
        <v>SOSMED/MAKE UP</v>
      </c>
      <c r="V1783" s="11" t="str">
        <f>IFERROR(__xludf.DUMMYFUNCTION("""COMPUTED_VALUE"""),"081345296229")</f>
        <v>081345296229</v>
      </c>
      <c r="W1783" s="15"/>
    </row>
    <row r="1784" ht="22.5" customHeight="1">
      <c r="A1784" s="8"/>
      <c r="B1784" s="9">
        <f>IFERROR(__xludf.DUMMYFUNCTION("""COMPUTED_VALUE"""),45563.55433067129)</f>
        <v>45563.55433</v>
      </c>
      <c r="C1784" s="9"/>
      <c r="D1784" s="34">
        <f>IFERROR(__xludf.DUMMYFUNCTION("""COMPUTED_VALUE"""),45574.0)</f>
        <v>45574</v>
      </c>
      <c r="E1784" s="34" t="str">
        <f>IFERROR(__xludf.DUMMYFUNCTION("""COMPUTED_VALUE"""),"10Okt")</f>
        <v>10Okt</v>
      </c>
      <c r="F1784" s="34" t="str">
        <f>IFERROR(__xludf.DUMMYFUNCTION("""COMPUTED_VALUE"""),"2024")</f>
        <v>2024</v>
      </c>
      <c r="G1784" s="35" t="str">
        <f>IFERROR(__xludf.DUMMYFUNCTION("""COMPUTED_VALUE"""),"HENKI")</f>
        <v>HENKI</v>
      </c>
      <c r="H1784" s="17" t="str">
        <f>IFERROR(__xludf.DUMMYFUNCTION("""COMPUTED_VALUE"""),"H8224102675")</f>
        <v>H8224102675</v>
      </c>
      <c r="I1784" s="17">
        <f>IFERROR(__xludf.DUMMYFUNCTION("""COMPUTED_VALUE"""),43.0)</f>
        <v>43</v>
      </c>
      <c r="J1784" s="17" t="str">
        <f>IFERROR(__xludf.DUMMYFUNCTION("""COMPUTED_VALUE"""),"35-44 tahun")</f>
        <v>35-44 tahun</v>
      </c>
      <c r="K1784" s="19">
        <f>IFERROR(__xludf.DUMMYFUNCTION("""COMPUTED_VALUE"""),30286.0)</f>
        <v>30286</v>
      </c>
      <c r="L1784" s="19" t="str">
        <f>IFERROR(__xludf.DUMMYFUNCTION("""COMPUTED_VALUE"""),"LAKI-LAKI")</f>
        <v>LAKI-LAKI</v>
      </c>
      <c r="M1784" s="35" t="str">
        <f>IFERROR(__xludf.DUMMYFUNCTION("""COMPUTED_VALUE"""),"JL SIAM NO 119")</f>
        <v>JL SIAM NO 119</v>
      </c>
      <c r="N1784" s="16" t="str">
        <f>IFERROR(__xludf.DUMMYFUNCTION("""COMPUTED_VALUE"""),"KEL. BENUA MELAYU DARAT")</f>
        <v>KEL. BENUA MELAYU DARAT</v>
      </c>
      <c r="O1784" s="16" t="str">
        <f>IFERROR(__xludf.DUMMYFUNCTION("""COMPUTED_VALUE"""),"KEC. PONTIANAK SELATAN")</f>
        <v>KEC. PONTIANAK SELATAN</v>
      </c>
      <c r="P1784" s="16" t="str">
        <f>IFERROR(__xludf.DUMMYFUNCTION("""COMPUTED_VALUE"""),"KOTA PONTIANAK")</f>
        <v>KOTA PONTIANAK</v>
      </c>
      <c r="Q1784" s="16" t="str">
        <f>IFERROR(__xludf.DUMMYFUNCTION("""COMPUTED_VALUE"""),"KALIMANTAN BARAT")</f>
        <v>KALIMANTAN BARAT</v>
      </c>
      <c r="R1784" s="19" t="str">
        <f>IFERROR(__xludf.DUMMYFUNCTION("""COMPUTED_VALUE"""),"BUDDHA")</f>
        <v>BUDDHA</v>
      </c>
      <c r="S1784" s="16" t="str">
        <f>IFERROR(__xludf.DUMMYFUNCTION("""COMPUTED_VALUE"""),"WIRASWASTA")</f>
        <v>WIRASWASTA</v>
      </c>
      <c r="T1784" s="36" t="str">
        <f>IFERROR(__xludf.DUMMYFUNCTION("""COMPUTED_VALUE"""),"Hnp")</f>
        <v>Hnp</v>
      </c>
      <c r="U1784" s="16" t="str">
        <f>IFERROR(__xludf.DUMMYFUNCTION("""COMPUTED_VALUE"""),"Dengar music")</f>
        <v>Dengar music</v>
      </c>
      <c r="V1784" s="11" t="str">
        <f>IFERROR(__xludf.DUMMYFUNCTION("""COMPUTED_VALUE"""),"08125702675")</f>
        <v>08125702675</v>
      </c>
      <c r="W1784" s="15"/>
    </row>
    <row r="1785" ht="22.5" customHeight="1">
      <c r="A1785" s="8"/>
      <c r="B1785" s="9">
        <f>IFERROR(__xludf.DUMMYFUNCTION("""COMPUTED_VALUE"""),45563.532960798606)</f>
        <v>45563.53296</v>
      </c>
      <c r="C1785" s="9"/>
      <c r="D1785" s="34">
        <f>IFERROR(__xludf.DUMMYFUNCTION("""COMPUTED_VALUE"""),45574.0)</f>
        <v>45574</v>
      </c>
      <c r="E1785" s="34" t="str">
        <f>IFERROR(__xludf.DUMMYFUNCTION("""COMPUTED_VALUE"""),"10Okt")</f>
        <v>10Okt</v>
      </c>
      <c r="F1785" s="34" t="str">
        <f>IFERROR(__xludf.DUMMYFUNCTION("""COMPUTED_VALUE"""),"2024")</f>
        <v>2024</v>
      </c>
      <c r="G1785" s="35" t="str">
        <f>IFERROR(__xludf.DUMMYFUNCTION("""COMPUTED_VALUE"""),"VERY")</f>
        <v>VERY</v>
      </c>
      <c r="H1785" s="17" t="str">
        <f>IFERROR(__xludf.DUMMYFUNCTION("""COMPUTED_VALUE"""),"V9524108771")</f>
        <v>V9524108771</v>
      </c>
      <c r="I1785" s="17">
        <f>IFERROR(__xludf.DUMMYFUNCTION("""COMPUTED_VALUE"""),31.0)</f>
        <v>31</v>
      </c>
      <c r="J1785" s="17" t="str">
        <f>IFERROR(__xludf.DUMMYFUNCTION("""COMPUTED_VALUE"""),"25-34 tahun")</f>
        <v>25-34 tahun</v>
      </c>
      <c r="K1785" s="19">
        <f>IFERROR(__xludf.DUMMYFUNCTION("""COMPUTED_VALUE"""),34706.0)</f>
        <v>34706</v>
      </c>
      <c r="L1785" s="19" t="str">
        <f>IFERROR(__xludf.DUMMYFUNCTION("""COMPUTED_VALUE"""),"LAKI-LAKI")</f>
        <v>LAKI-LAKI</v>
      </c>
      <c r="M1785" s="35" t="str">
        <f>IFERROR(__xludf.DUMMYFUNCTION("""COMPUTED_VALUE"""),"JALAN MEDAN SERI")</f>
        <v>JALAN MEDAN SERI</v>
      </c>
      <c r="N1785" s="16" t="str">
        <f>IFERROR(__xludf.DUMMYFUNCTION("""COMPUTED_VALUE"""),"DS. PADANG TIKAR I")</f>
        <v>DS. PADANG TIKAR I</v>
      </c>
      <c r="O1785" s="16" t="str">
        <f>IFERROR(__xludf.DUMMYFUNCTION("""COMPUTED_VALUE"""),"KEC. BATU AMPAR")</f>
        <v>KEC. BATU AMPAR</v>
      </c>
      <c r="P1785" s="16" t="str">
        <f>IFERROR(__xludf.DUMMYFUNCTION("""COMPUTED_VALUE"""),"KAB. KUBU RAYA")</f>
        <v>KAB. KUBU RAYA</v>
      </c>
      <c r="Q1785" s="16" t="str">
        <f>IFERROR(__xludf.DUMMYFUNCTION("""COMPUTED_VALUE"""),"KALIMANTAN BARAT")</f>
        <v>KALIMANTAN BARAT</v>
      </c>
      <c r="R1785" s="19" t="str">
        <f>IFERROR(__xludf.DUMMYFUNCTION("""COMPUTED_VALUE"""),"KATOLIK")</f>
        <v>KATOLIK</v>
      </c>
      <c r="S1785" s="16" t="str">
        <f>IFERROR(__xludf.DUMMYFUNCTION("""COMPUTED_VALUE"""),"FREELANCE")</f>
        <v>FREELANCE</v>
      </c>
      <c r="T1785" s="36" t="str">
        <f>IFERROR(__xludf.DUMMYFUNCTION("""COMPUTED_VALUE"""),"Saraf jepit")</f>
        <v>Saraf jepit</v>
      </c>
      <c r="U1785" s="16" t="str">
        <f>IFERROR(__xludf.DUMMYFUNCTION("""COMPUTED_VALUE"""),"Bulu tangkis")</f>
        <v>Bulu tangkis</v>
      </c>
      <c r="V1785" s="11" t="str">
        <f>IFERROR(__xludf.DUMMYFUNCTION("""COMPUTED_VALUE"""),"082157808771")</f>
        <v>082157808771</v>
      </c>
      <c r="W1785" s="15"/>
    </row>
    <row r="1786" ht="22.5" customHeight="1">
      <c r="A1786" s="8"/>
      <c r="B1786" s="9">
        <f>IFERROR(__xludf.DUMMYFUNCTION("""COMPUTED_VALUE"""),45563.86774913194)</f>
        <v>45563.86775</v>
      </c>
      <c r="C1786" s="9"/>
      <c r="D1786" s="34">
        <f>IFERROR(__xludf.DUMMYFUNCTION("""COMPUTED_VALUE"""),45575.0)</f>
        <v>45575</v>
      </c>
      <c r="E1786" s="34" t="str">
        <f>IFERROR(__xludf.DUMMYFUNCTION("""COMPUTED_VALUE"""),"10Okt")</f>
        <v>10Okt</v>
      </c>
      <c r="F1786" s="34" t="str">
        <f>IFERROR(__xludf.DUMMYFUNCTION("""COMPUTED_VALUE"""),"2024")</f>
        <v>2024</v>
      </c>
      <c r="G1786" s="35" t="str">
        <f>IFERROR(__xludf.DUMMYFUNCTION("""COMPUTED_VALUE"""),"WISNU PRABOWO")</f>
        <v>WISNU PRABOWO</v>
      </c>
      <c r="H1786" s="17" t="str">
        <f>IFERROR(__xludf.DUMMYFUNCTION("""COMPUTED_VALUE"""),"W9424109880")</f>
        <v>W9424109880</v>
      </c>
      <c r="I1786" s="17">
        <f>IFERROR(__xludf.DUMMYFUNCTION("""COMPUTED_VALUE"""),32.0)</f>
        <v>32</v>
      </c>
      <c r="J1786" s="17" t="str">
        <f>IFERROR(__xludf.DUMMYFUNCTION("""COMPUTED_VALUE"""),"25-34 tahun")</f>
        <v>25-34 tahun</v>
      </c>
      <c r="K1786" s="19">
        <f>IFERROR(__xludf.DUMMYFUNCTION("""COMPUTED_VALUE"""),34418.0)</f>
        <v>34418</v>
      </c>
      <c r="L1786" s="19" t="str">
        <f>IFERROR(__xludf.DUMMYFUNCTION("""COMPUTED_VALUE"""),"LAKI-LAKI")</f>
        <v>LAKI-LAKI</v>
      </c>
      <c r="M1786" s="35" t="str">
        <f>IFERROR(__xludf.DUMMYFUNCTION("""COMPUTED_VALUE"""),"JLN PANGLIMA AIM")</f>
        <v>JLN PANGLIMA AIM</v>
      </c>
      <c r="N1786" s="16" t="str">
        <f>IFERROR(__xludf.DUMMYFUNCTION("""COMPUTED_VALUE"""),"KEL. TANJUNG HULU")</f>
        <v>KEL. TANJUNG HULU</v>
      </c>
      <c r="O1786" s="16" t="str">
        <f>IFERROR(__xludf.DUMMYFUNCTION("""COMPUTED_VALUE"""),"KEC. PONTIANAK TIMUR")</f>
        <v>KEC. PONTIANAK TIMUR</v>
      </c>
      <c r="P1786" s="16" t="str">
        <f>IFERROR(__xludf.DUMMYFUNCTION("""COMPUTED_VALUE"""),"KOTA PONTIANAK")</f>
        <v>KOTA PONTIANAK</v>
      </c>
      <c r="Q1786" s="16" t="str">
        <f>IFERROR(__xludf.DUMMYFUNCTION("""COMPUTED_VALUE"""),"KALIMANTAN BARAT")</f>
        <v>KALIMANTAN BARAT</v>
      </c>
      <c r="R1786" s="19" t="str">
        <f>IFERROR(__xludf.DUMMYFUNCTION("""COMPUTED_VALUE"""),"ISLAM")</f>
        <v>ISLAM</v>
      </c>
      <c r="S1786" s="16" t="str">
        <f>IFERROR(__xludf.DUMMYFUNCTION("""COMPUTED_VALUE"""),"PERAWAT")</f>
        <v>PERAWAT</v>
      </c>
      <c r="T1786" s="36" t="str">
        <f>IFERROR(__xludf.DUMMYFUNCTION("""COMPUTED_VALUE"""),"Sering sakit di daerah pinggang")</f>
        <v>Sering sakit di daerah pinggang</v>
      </c>
      <c r="U1786" s="16" t="str">
        <f>IFERROR(__xludf.DUMMYFUNCTION("""COMPUTED_VALUE"""),"Minisccoer")</f>
        <v>Minisccoer</v>
      </c>
      <c r="V1786" s="11" t="str">
        <f>IFERROR(__xludf.DUMMYFUNCTION("""COMPUTED_VALUE"""),"089665009880")</f>
        <v>089665009880</v>
      </c>
      <c r="W1786" s="15"/>
    </row>
    <row r="1787" ht="22.5" customHeight="1">
      <c r="A1787" s="8"/>
      <c r="B1787" s="9">
        <f>IFERROR(__xludf.DUMMYFUNCTION("""COMPUTED_VALUE"""),45564.627452754634)</f>
        <v>45564.62745</v>
      </c>
      <c r="C1787" s="9"/>
      <c r="D1787" s="34">
        <f>IFERROR(__xludf.DUMMYFUNCTION("""COMPUTED_VALUE"""),45576.0)</f>
        <v>45576</v>
      </c>
      <c r="E1787" s="34" t="str">
        <f>IFERROR(__xludf.DUMMYFUNCTION("""COMPUTED_VALUE"""),"10Okt")</f>
        <v>10Okt</v>
      </c>
      <c r="F1787" s="34" t="str">
        <f>IFERROR(__xludf.DUMMYFUNCTION("""COMPUTED_VALUE"""),"2024")</f>
        <v>2024</v>
      </c>
      <c r="G1787" s="35" t="str">
        <f>IFERROR(__xludf.DUMMYFUNCTION("""COMPUTED_VALUE"""),"TOMMY SURYA ATMAJA")</f>
        <v>TOMMY SURYA ATMAJA</v>
      </c>
      <c r="H1787" s="17" t="str">
        <f>IFERROR(__xludf.DUMMYFUNCTION("""COMPUTED_VALUE"""),"T9224101112")</f>
        <v>T9224101112</v>
      </c>
      <c r="I1787" s="17">
        <f>IFERROR(__xludf.DUMMYFUNCTION("""COMPUTED_VALUE"""),34.0)</f>
        <v>34</v>
      </c>
      <c r="J1787" s="17" t="str">
        <f>IFERROR(__xludf.DUMMYFUNCTION("""COMPUTED_VALUE"""),"25-34 tahun")</f>
        <v>25-34 tahun</v>
      </c>
      <c r="K1787" s="19">
        <f>IFERROR(__xludf.DUMMYFUNCTION("""COMPUTED_VALUE"""),33653.0)</f>
        <v>33653</v>
      </c>
      <c r="L1787" s="19" t="str">
        <f>IFERROR(__xludf.DUMMYFUNCTION("""COMPUTED_VALUE"""),"LAKI-LAKI")</f>
        <v>LAKI-LAKI</v>
      </c>
      <c r="M1787" s="35" t="str">
        <f>IFERROR(__xludf.DUMMYFUNCTION("""COMPUTED_VALUE"""),"JALAN YAM SABRAN PERUMNAS 2 NLOK C NOMOR 8")</f>
        <v>JALAN YAM SABRAN PERUMNAS 2 NLOK C NOMOR 8</v>
      </c>
      <c r="N1787" s="16" t="str">
        <f>IFERROR(__xludf.DUMMYFUNCTION("""COMPUTED_VALUE"""),"KEL. SUNGAI BELIUNG")</f>
        <v>KEL. SUNGAI BELIUNG</v>
      </c>
      <c r="O1787" s="16" t="str">
        <f>IFERROR(__xludf.DUMMYFUNCTION("""COMPUTED_VALUE"""),"KEC. PONTIANAK BARAT")</f>
        <v>KEC. PONTIANAK BARAT</v>
      </c>
      <c r="P1787" s="16" t="str">
        <f>IFERROR(__xludf.DUMMYFUNCTION("""COMPUTED_VALUE"""),"KOTA PONTIANAK")</f>
        <v>KOTA PONTIANAK</v>
      </c>
      <c r="Q1787" s="16" t="str">
        <f>IFERROR(__xludf.DUMMYFUNCTION("""COMPUTED_VALUE"""),"KALIMANTAN BARAT")</f>
        <v>KALIMANTAN BARAT</v>
      </c>
      <c r="R1787" s="19" t="str">
        <f>IFERROR(__xludf.DUMMYFUNCTION("""COMPUTED_VALUE"""),"LAINNYA")</f>
        <v>LAINNYA</v>
      </c>
      <c r="S1787" s="35" t="str">
        <f>IFERROR(__xludf.DUMMYFUNCTION("""COMPUTED_VALUE"""),"WIRASWASTA")</f>
        <v>WIRASWASTA</v>
      </c>
      <c r="T1787" s="36" t="str">
        <f>IFERROR(__xludf.DUMMYFUNCTION("""COMPUTED_VALUE"""),"Pegal disekitar bokong")</f>
        <v>Pegal disekitar bokong</v>
      </c>
      <c r="U1787" s="16" t="str">
        <f>IFERROR(__xludf.DUMMYFUNCTION("""COMPUTED_VALUE"""),"Pelari rekreasi")</f>
        <v>Pelari rekreasi</v>
      </c>
      <c r="V1787" s="11" t="str">
        <f>IFERROR(__xludf.DUMMYFUNCTION("""COMPUTED_VALUE"""),"0811561112")</f>
        <v>0811561112</v>
      </c>
      <c r="W1787" s="15"/>
    </row>
    <row r="1788" ht="22.5" customHeight="1">
      <c r="A1788" s="8"/>
      <c r="B1788" s="9">
        <f>IFERROR(__xludf.DUMMYFUNCTION("""COMPUTED_VALUE"""),45564.87187322917)</f>
        <v>45564.87187</v>
      </c>
      <c r="C1788" s="9"/>
      <c r="D1788" s="10">
        <f>IFERROR(__xludf.DUMMYFUNCTION("""COMPUTED_VALUE"""),45576.0)</f>
        <v>45576</v>
      </c>
      <c r="E1788" s="10" t="str">
        <f>IFERROR(__xludf.DUMMYFUNCTION("""COMPUTED_VALUE"""),"10Okt")</f>
        <v>10Okt</v>
      </c>
      <c r="F1788" s="10" t="str">
        <f>IFERROR(__xludf.DUMMYFUNCTION("""COMPUTED_VALUE"""),"2024")</f>
        <v>2024</v>
      </c>
      <c r="G1788" s="35" t="str">
        <f>IFERROR(__xludf.DUMMYFUNCTION("""COMPUTED_VALUE"""),"EDI HADANI")</f>
        <v>EDI HADANI</v>
      </c>
      <c r="H1788" s="17" t="str">
        <f>IFERROR(__xludf.DUMMYFUNCTION("""COMPUTED_VALUE"""),"E9424106349")</f>
        <v>E9424106349</v>
      </c>
      <c r="I1788" s="17">
        <f>IFERROR(__xludf.DUMMYFUNCTION("""COMPUTED_VALUE"""),31.0)</f>
        <v>31</v>
      </c>
      <c r="J1788" s="17" t="str">
        <f>IFERROR(__xludf.DUMMYFUNCTION("""COMPUTED_VALUE"""),"25-34 tahun")</f>
        <v>25-34 tahun</v>
      </c>
      <c r="K1788" s="19">
        <f>IFERROR(__xludf.DUMMYFUNCTION("""COMPUTED_VALUE"""),34543.0)</f>
        <v>34543</v>
      </c>
      <c r="L1788" s="19" t="str">
        <f>IFERROR(__xludf.DUMMYFUNCTION("""COMPUTED_VALUE"""),"LAKI-LAKI")</f>
        <v>LAKI-LAKI</v>
      </c>
      <c r="M1788" s="35" t="str">
        <f>IFERROR(__xludf.DUMMYFUNCTION("""COMPUTED_VALUE"""),"JL. KOL. SUGIONO GG. DEDEK")</f>
        <v>JL. KOL. SUGIONO GG. DEDEK</v>
      </c>
      <c r="N1788" s="16" t="str">
        <f>IFERROR(__xludf.DUMMYFUNCTION("""COMPUTED_VALUE"""),"KEL. SAMPIT")</f>
        <v>KEL. SAMPIT</v>
      </c>
      <c r="O1788" s="16" t="str">
        <f>IFERROR(__xludf.DUMMYFUNCTION("""COMPUTED_VALUE"""),"KEC. DELTA PAWAN")</f>
        <v>KEC. DELTA PAWAN</v>
      </c>
      <c r="P1788" s="16" t="str">
        <f>IFERROR(__xludf.DUMMYFUNCTION("""COMPUTED_VALUE"""),"KAB. KETAPANG")</f>
        <v>KAB. KETAPANG</v>
      </c>
      <c r="Q1788" s="16" t="str">
        <f>IFERROR(__xludf.DUMMYFUNCTION("""COMPUTED_VALUE"""),"KALIMANTAN BARAT")</f>
        <v>KALIMANTAN BARAT</v>
      </c>
      <c r="R1788" s="19" t="str">
        <f>IFERROR(__xludf.DUMMYFUNCTION("""COMPUTED_VALUE"""),"ISLAM")</f>
        <v>ISLAM</v>
      </c>
      <c r="S1788" s="35" t="str">
        <f>IFERROR(__xludf.DUMMYFUNCTION("""COMPUTED_VALUE"""),"WIRASWASTA")</f>
        <v>WIRASWASTA</v>
      </c>
      <c r="T1788" s="36" t="str">
        <f>IFERROR(__xludf.DUMMYFUNCTION("""COMPUTED_VALUE"""),"Bagian")</f>
        <v>Bagian</v>
      </c>
      <c r="U1788" s="16" t="str">
        <f>IFERROR(__xludf.DUMMYFUNCTION("""COMPUTED_VALUE"""),"Sepakbola")</f>
        <v>Sepakbola</v>
      </c>
      <c r="V1788" s="11" t="str">
        <f>IFERROR(__xludf.DUMMYFUNCTION("""COMPUTED_VALUE"""),"085349946349")</f>
        <v>085349946349</v>
      </c>
      <c r="W1788" s="15"/>
    </row>
    <row r="1789" ht="22.5" customHeight="1">
      <c r="A1789" s="8"/>
      <c r="B1789" s="9">
        <f>IFERROR(__xludf.DUMMYFUNCTION("""COMPUTED_VALUE"""),45564.97792167824)</f>
        <v>45564.97792</v>
      </c>
      <c r="C1789" s="9"/>
      <c r="D1789" s="34">
        <f>IFERROR(__xludf.DUMMYFUNCTION("""COMPUTED_VALUE"""),45577.0)</f>
        <v>45577</v>
      </c>
      <c r="E1789" s="34" t="str">
        <f>IFERROR(__xludf.DUMMYFUNCTION("""COMPUTED_VALUE"""),"10Okt")</f>
        <v>10Okt</v>
      </c>
      <c r="F1789" s="34" t="str">
        <f>IFERROR(__xludf.DUMMYFUNCTION("""COMPUTED_VALUE"""),"2024")</f>
        <v>2024</v>
      </c>
      <c r="G1789" s="16" t="str">
        <f>IFERROR(__xludf.DUMMYFUNCTION("""COMPUTED_VALUE"""),"DJUNG TONG")</f>
        <v>DJUNG TONG</v>
      </c>
      <c r="H1789" s="17" t="str">
        <f>IFERROR(__xludf.DUMMYFUNCTION("""COMPUTED_VALUE"""),"D7824104286")</f>
        <v>D7824104286</v>
      </c>
      <c r="I1789" s="17">
        <f>IFERROR(__xludf.DUMMYFUNCTION("""COMPUTED_VALUE"""),47.0)</f>
        <v>47</v>
      </c>
      <c r="J1789" s="17" t="str">
        <f>IFERROR(__xludf.DUMMYFUNCTION("""COMPUTED_VALUE"""),"&gt; 44 tahun")</f>
        <v>&gt; 44 tahun</v>
      </c>
      <c r="K1789" s="19">
        <f>IFERROR(__xludf.DUMMYFUNCTION("""COMPUTED_VALUE"""),28820.0)</f>
        <v>28820</v>
      </c>
      <c r="L1789" s="19" t="str">
        <f>IFERROR(__xludf.DUMMYFUNCTION("""COMPUTED_VALUE"""),"LAKI-LAKI")</f>
        <v>LAKI-LAKI</v>
      </c>
      <c r="M1789" s="35" t="str">
        <f>IFERROR(__xludf.DUMMYFUNCTION("""COMPUTED_VALUE"""),"DUSUN KARYA 1")</f>
        <v>DUSUN KARYA 1</v>
      </c>
      <c r="N1789" s="16" t="str">
        <f>IFERROR(__xludf.DUMMYFUNCTION("""COMPUTED_VALUE"""),"DS. KUALA DUA")</f>
        <v>DS. KUALA DUA</v>
      </c>
      <c r="O1789" s="16" t="str">
        <f>IFERROR(__xludf.DUMMYFUNCTION("""COMPUTED_VALUE"""),"KEC. SUNGAI RAYA")</f>
        <v>KEC. SUNGAI RAYA</v>
      </c>
      <c r="P1789" s="16" t="str">
        <f>IFERROR(__xludf.DUMMYFUNCTION("""COMPUTED_VALUE"""),"KAB. KUBU RAYA")</f>
        <v>KAB. KUBU RAYA</v>
      </c>
      <c r="Q1789" s="16" t="str">
        <f>IFERROR(__xludf.DUMMYFUNCTION("""COMPUTED_VALUE"""),"KALIMANTAN BARAT")</f>
        <v>KALIMANTAN BARAT</v>
      </c>
      <c r="R1789" s="19" t="str">
        <f>IFERROR(__xludf.DUMMYFUNCTION("""COMPUTED_VALUE"""),"BUDDHA")</f>
        <v>BUDDHA</v>
      </c>
      <c r="S1789" s="35" t="str">
        <f>IFERROR(__xludf.DUMMYFUNCTION("""COMPUTED_VALUE"""),"WIRASWASTA")</f>
        <v>WIRASWASTA</v>
      </c>
      <c r="T1789" s="36" t="str">
        <f>IFERROR(__xludf.DUMMYFUNCTION("""COMPUTED_VALUE"""),"Kaki sakit")</f>
        <v>Kaki sakit</v>
      </c>
      <c r="U1789" s="16" t="str">
        <f>IFERROR(__xludf.DUMMYFUNCTION("""COMPUTED_VALUE"""),"Memancing")</f>
        <v>Memancing</v>
      </c>
      <c r="V1789" s="11" t="str">
        <f>IFERROR(__xludf.DUMMYFUNCTION("""COMPUTED_VALUE"""),"081255624286")</f>
        <v>081255624286</v>
      </c>
      <c r="W1789" s="15"/>
    </row>
    <row r="1790" ht="22.5" customHeight="1">
      <c r="A1790" s="28"/>
      <c r="B1790" s="9">
        <f>IFERROR(__xludf.DUMMYFUNCTION("""COMPUTED_VALUE"""),45565.449951145834)</f>
        <v>45565.44995</v>
      </c>
      <c r="C1790" s="9"/>
      <c r="D1790" s="34">
        <f>IFERROR(__xludf.DUMMYFUNCTION("""COMPUTED_VALUE"""),45577.0)</f>
        <v>45577</v>
      </c>
      <c r="E1790" s="34" t="str">
        <f>IFERROR(__xludf.DUMMYFUNCTION("""COMPUTED_VALUE"""),"10Okt")</f>
        <v>10Okt</v>
      </c>
      <c r="F1790" s="34" t="str">
        <f>IFERROR(__xludf.DUMMYFUNCTION("""COMPUTED_VALUE"""),"2024")</f>
        <v>2024</v>
      </c>
      <c r="G1790" s="35" t="str">
        <f>IFERROR(__xludf.DUMMYFUNCTION("""COMPUTED_VALUE"""),"LINA JULINA, SE")</f>
        <v>LINA JULINA, SE</v>
      </c>
      <c r="H1790" s="17" t="str">
        <f>IFERROR(__xludf.DUMMYFUNCTION("""COMPUTED_VALUE"""),"L7324104090")</f>
        <v>L7324104090</v>
      </c>
      <c r="I1790" s="17">
        <f>IFERROR(__xludf.DUMMYFUNCTION("""COMPUTED_VALUE"""),52.0)</f>
        <v>52</v>
      </c>
      <c r="J1790" s="17" t="str">
        <f>IFERROR(__xludf.DUMMYFUNCTION("""COMPUTED_VALUE"""),"&gt; 44 tahun")</f>
        <v>&gt; 44 tahun</v>
      </c>
      <c r="K1790" s="19">
        <f>IFERROR(__xludf.DUMMYFUNCTION("""COMPUTED_VALUE"""),26873.0)</f>
        <v>26873</v>
      </c>
      <c r="L1790" s="19" t="str">
        <f>IFERROR(__xludf.DUMMYFUNCTION("""COMPUTED_VALUE"""),"PEREMPUAN")</f>
        <v>PEREMPUAN</v>
      </c>
      <c r="M1790" s="35" t="str">
        <f>IFERROR(__xludf.DUMMYFUNCTION("""COMPUTED_VALUE"""),"JL NATUNA NO 117 PONTIANAK")</f>
        <v>JL NATUNA NO 117 PONTIANAK</v>
      </c>
      <c r="N1790" s="16" t="str">
        <f>IFERROR(__xludf.DUMMYFUNCTION("""COMPUTED_VALUE"""),"KEL. AKCAYA")</f>
        <v>KEL. AKCAYA</v>
      </c>
      <c r="O1790" s="16" t="str">
        <f>IFERROR(__xludf.DUMMYFUNCTION("""COMPUTED_VALUE"""),"KEC. PONTIANAK TENGGARA")</f>
        <v>KEC. PONTIANAK TENGGARA</v>
      </c>
      <c r="P1790" s="16" t="str">
        <f>IFERROR(__xludf.DUMMYFUNCTION("""COMPUTED_VALUE"""),"KOTA PONTIANAK")</f>
        <v>KOTA PONTIANAK</v>
      </c>
      <c r="Q1790" s="35" t="str">
        <f>IFERROR(__xludf.DUMMYFUNCTION("""COMPUTED_VALUE"""),"KALIMANTAN BARAT")</f>
        <v>KALIMANTAN BARAT</v>
      </c>
      <c r="R1790" s="19" t="str">
        <f>IFERROR(__xludf.DUMMYFUNCTION("""COMPUTED_VALUE"""),"KATOLIK")</f>
        <v>KATOLIK</v>
      </c>
      <c r="S1790" s="35" t="str">
        <f>IFERROR(__xludf.DUMMYFUNCTION("""COMPUTED_VALUE"""),"RUMAH TANGGA")</f>
        <v>RUMAH TANGGA</v>
      </c>
      <c r="T1790" s="36" t="str">
        <f>IFERROR(__xludf.DUMMYFUNCTION("""COMPUTED_VALUE"""),"JARI TANGAN BAG TENGAH SUSAH UTK DIGERAKKN")</f>
        <v>JARI TANGAN BAG TENGAH SUSAH UTK DIGERAKKN</v>
      </c>
      <c r="U1790" s="16" t="str">
        <f>IFERROR(__xludf.DUMMYFUNCTION("""COMPUTED_VALUE"""),"MENGURUS RUMAH, ANTAR JEMPUT ANK &amp; SUAMI")</f>
        <v>MENGURUS RUMAH, ANTAR JEMPUT ANK &amp; SUAMI</v>
      </c>
      <c r="V1790" s="11" t="str">
        <f>IFERROR(__xludf.DUMMYFUNCTION("""COMPUTED_VALUE"""),"085752844090")</f>
        <v>085752844090</v>
      </c>
      <c r="W1790" s="15"/>
    </row>
    <row r="1791" ht="22.5" customHeight="1">
      <c r="A1791" s="8"/>
      <c r="B1791" s="9">
        <f>IFERROR(__xludf.DUMMYFUNCTION("""COMPUTED_VALUE"""),45565.514461342595)</f>
        <v>45565.51446</v>
      </c>
      <c r="C1791" s="9"/>
      <c r="D1791" s="34">
        <f>IFERROR(__xludf.DUMMYFUNCTION("""COMPUTED_VALUE"""),45577.0)</f>
        <v>45577</v>
      </c>
      <c r="E1791" s="34" t="str">
        <f>IFERROR(__xludf.DUMMYFUNCTION("""COMPUTED_VALUE"""),"10Okt")</f>
        <v>10Okt</v>
      </c>
      <c r="F1791" s="34" t="str">
        <f>IFERROR(__xludf.DUMMYFUNCTION("""COMPUTED_VALUE"""),"2024")</f>
        <v>2024</v>
      </c>
      <c r="G1791" s="35" t="str">
        <f>IFERROR(__xludf.DUMMYFUNCTION("""COMPUTED_VALUE"""),"WENDY WIJAYA")</f>
        <v>WENDY WIJAYA</v>
      </c>
      <c r="H1791" s="17" t="str">
        <f>IFERROR(__xludf.DUMMYFUNCTION("""COMPUTED_VALUE"""),"W9324108899")</f>
        <v>W9324108899</v>
      </c>
      <c r="I1791" s="17">
        <f>IFERROR(__xludf.DUMMYFUNCTION("""COMPUTED_VALUE"""),33.0)</f>
        <v>33</v>
      </c>
      <c r="J1791" s="17" t="str">
        <f>IFERROR(__xludf.DUMMYFUNCTION("""COMPUTED_VALUE"""),"25-34 tahun")</f>
        <v>25-34 tahun</v>
      </c>
      <c r="K1791" s="19">
        <f>IFERROR(__xludf.DUMMYFUNCTION("""COMPUTED_VALUE"""),34094.0)</f>
        <v>34094</v>
      </c>
      <c r="L1791" s="19" t="str">
        <f>IFERROR(__xludf.DUMMYFUNCTION("""COMPUTED_VALUE"""),"LAKI-LAKI")</f>
        <v>LAKI-LAKI</v>
      </c>
      <c r="M1791" s="35" t="str">
        <f>IFERROR(__xludf.DUMMYFUNCTION("""COMPUTED_VALUE"""),"JL PUTRI CANDRA , MIDI GG SUKADAMAI NO 22")</f>
        <v>JL PUTRI CANDRA , MIDI GG SUKADAMAI NO 22</v>
      </c>
      <c r="N1791" s="16" t="str">
        <f>IFERROR(__xludf.DUMMYFUNCTION("""COMPUTED_VALUE"""),"KEL. SUNGAI BANGKONG")</f>
        <v>KEL. SUNGAI BANGKONG</v>
      </c>
      <c r="O1791" s="16" t="str">
        <f>IFERROR(__xludf.DUMMYFUNCTION("""COMPUTED_VALUE"""),"KEC. PONTIANAK KOTA")</f>
        <v>KEC. PONTIANAK KOTA</v>
      </c>
      <c r="P1791" s="16" t="str">
        <f>IFERROR(__xludf.DUMMYFUNCTION("""COMPUTED_VALUE"""),"KOTA PONTIANAK")</f>
        <v>KOTA PONTIANAK</v>
      </c>
      <c r="Q1791" s="16" t="str">
        <f>IFERROR(__xludf.DUMMYFUNCTION("""COMPUTED_VALUE"""),"KALIMANTAN BARAT")</f>
        <v>KALIMANTAN BARAT</v>
      </c>
      <c r="R1791" s="19" t="str">
        <f>IFERROR(__xludf.DUMMYFUNCTION("""COMPUTED_VALUE"""),"PROTESTAN")</f>
        <v>PROTESTAN</v>
      </c>
      <c r="S1791" s="16" t="str">
        <f>IFERROR(__xludf.DUMMYFUNCTION("""COMPUTED_VALUE"""),"WIRASWASTA")</f>
        <v>WIRASWASTA</v>
      </c>
      <c r="T1791" s="36" t="str">
        <f>IFERROR(__xludf.DUMMYFUNCTION("""COMPUTED_VALUE"""),"Pergelangan tangan nyeri")</f>
        <v>Pergelangan tangan nyeri</v>
      </c>
      <c r="U1791" s="16" t="str">
        <f>IFERROR(__xludf.DUMMYFUNCTION("""COMPUTED_VALUE"""),"Badminton")</f>
        <v>Badminton</v>
      </c>
      <c r="V1791" s="11" t="str">
        <f>IFERROR(__xludf.DUMMYFUNCTION("""COMPUTED_VALUE"""),"081290998899")</f>
        <v>081290998899</v>
      </c>
      <c r="W1791" s="15"/>
    </row>
    <row r="1792" ht="22.5" customHeight="1">
      <c r="A1792" s="8"/>
      <c r="B1792" s="9">
        <f>IFERROR(__xludf.DUMMYFUNCTION("""COMPUTED_VALUE"""),45565.57442744213)</f>
        <v>45565.57443</v>
      </c>
      <c r="C1792" s="9"/>
      <c r="D1792" s="34">
        <f>IFERROR(__xludf.DUMMYFUNCTION("""COMPUTED_VALUE"""),45577.0)</f>
        <v>45577</v>
      </c>
      <c r="E1792" s="34" t="str">
        <f>IFERROR(__xludf.DUMMYFUNCTION("""COMPUTED_VALUE"""),"10Okt")</f>
        <v>10Okt</v>
      </c>
      <c r="F1792" s="34" t="str">
        <f>IFERROR(__xludf.DUMMYFUNCTION("""COMPUTED_VALUE"""),"2024")</f>
        <v>2024</v>
      </c>
      <c r="G1792" s="35" t="str">
        <f>IFERROR(__xludf.DUMMYFUNCTION("""COMPUTED_VALUE"""),"LAILA HUSNA")</f>
        <v>LAILA HUSNA</v>
      </c>
      <c r="H1792" s="17" t="str">
        <f>IFERROR(__xludf.DUMMYFUNCTION("""COMPUTED_VALUE"""),"L6224108253")</f>
        <v>L6224108253</v>
      </c>
      <c r="I1792" s="17">
        <f>IFERROR(__xludf.DUMMYFUNCTION("""COMPUTED_VALUE"""),63.0)</f>
        <v>63</v>
      </c>
      <c r="J1792" s="17" t="str">
        <f>IFERROR(__xludf.DUMMYFUNCTION("""COMPUTED_VALUE"""),"&gt; 44 tahun")</f>
        <v>&gt; 44 tahun</v>
      </c>
      <c r="K1792" s="19">
        <f>IFERROR(__xludf.DUMMYFUNCTION("""COMPUTED_VALUE"""),22941.0)</f>
        <v>22941</v>
      </c>
      <c r="L1792" s="19" t="str">
        <f>IFERROR(__xludf.DUMMYFUNCTION("""COMPUTED_VALUE"""),"PEREMPUAN")</f>
        <v>PEREMPUAN</v>
      </c>
      <c r="M1792" s="35" t="str">
        <f>IFERROR(__xludf.DUMMYFUNCTION("""COMPUTED_VALUE"""),"JL KHATULISTIWA")</f>
        <v>JL KHATULISTIWA</v>
      </c>
      <c r="N1792" s="16" t="str">
        <f>IFERROR(__xludf.DUMMYFUNCTION("""COMPUTED_VALUE"""),"KEL. BATULAYANG")</f>
        <v>KEL. BATULAYANG</v>
      </c>
      <c r="O1792" s="16" t="str">
        <f>IFERROR(__xludf.DUMMYFUNCTION("""COMPUTED_VALUE"""),"KEC. PONTIANAK UTARA")</f>
        <v>KEC. PONTIANAK UTARA</v>
      </c>
      <c r="P1792" s="16" t="str">
        <f>IFERROR(__xludf.DUMMYFUNCTION("""COMPUTED_VALUE"""),"KOTA PONTIANAK")</f>
        <v>KOTA PONTIANAK</v>
      </c>
      <c r="Q1792" s="16" t="str">
        <f>IFERROR(__xludf.DUMMYFUNCTION("""COMPUTED_VALUE"""),"KALIMANTAN BARAT")</f>
        <v>KALIMANTAN BARAT</v>
      </c>
      <c r="R1792" s="19" t="str">
        <f>IFERROR(__xludf.DUMMYFUNCTION("""COMPUTED_VALUE"""),"ISLAM")</f>
        <v>ISLAM</v>
      </c>
      <c r="S1792" s="35" t="str">
        <f>IFERROR(__xludf.DUMMYFUNCTION("""COMPUTED_VALUE"""),"PENSIUN")</f>
        <v>PENSIUN</v>
      </c>
      <c r="T1792" s="16" t="str">
        <f>IFERROR(__xludf.DUMMYFUNCTION("""COMPUTED_VALUE"""),"SAKIT BELIKAT TANGAN SEBELAH KIRI")</f>
        <v>SAKIT BELIKAT TANGAN SEBELAH KIRI</v>
      </c>
      <c r="U1792" s="16" t="str">
        <f>IFERROR(__xludf.DUMMYFUNCTION("""COMPUTED_VALUE"""),"TIDAK ADA")</f>
        <v>TIDAK ADA</v>
      </c>
      <c r="V1792" s="11" t="str">
        <f>IFERROR(__xludf.DUMMYFUNCTION("""COMPUTED_VALUE"""),"089667988253")</f>
        <v>089667988253</v>
      </c>
      <c r="W1792" s="15"/>
    </row>
    <row r="1793" ht="22.5" customHeight="1">
      <c r="A1793" s="8"/>
      <c r="B1793" s="9"/>
      <c r="C1793" s="9"/>
      <c r="D1793" s="34">
        <f>IFERROR(__xludf.DUMMYFUNCTION("""COMPUTED_VALUE"""),45578.0)</f>
        <v>45578</v>
      </c>
      <c r="E1793" s="34" t="str">
        <f>IFERROR(__xludf.DUMMYFUNCTION("""COMPUTED_VALUE"""),"10Okt")</f>
        <v>10Okt</v>
      </c>
      <c r="F1793" s="34" t="str">
        <f>IFERROR(__xludf.DUMMYFUNCTION("""COMPUTED_VALUE"""),"2024")</f>
        <v>2024</v>
      </c>
      <c r="G1793" s="35" t="str">
        <f>IFERROR(__xludf.DUMMYFUNCTION("""COMPUTED_VALUE"""),"AGISCA MAULIDYAH PERMANA")</f>
        <v>AGISCA MAULIDYAH PERMANA</v>
      </c>
      <c r="H1793" s="17" t="str">
        <f>IFERROR(__xludf.DUMMYFUNCTION("""COMPUTED_VALUE"""),"A0724100417")</f>
        <v>A0724100417</v>
      </c>
      <c r="I1793" s="17">
        <f>IFERROR(__xludf.DUMMYFUNCTION("""COMPUTED_VALUE"""),19.0)</f>
        <v>19</v>
      </c>
      <c r="J1793" s="17" t="str">
        <f>IFERROR(__xludf.DUMMYFUNCTION("""COMPUTED_VALUE"""),"18-24 tahun")</f>
        <v>18-24 tahun</v>
      </c>
      <c r="K1793" s="19">
        <f>IFERROR(__xludf.DUMMYFUNCTION("""COMPUTED_VALUE"""),39178.0)</f>
        <v>39178</v>
      </c>
      <c r="L1793" s="19" t="str">
        <f>IFERROR(__xludf.DUMMYFUNCTION("""COMPUTED_VALUE"""),"PEREMPUAN")</f>
        <v>PEREMPUAN</v>
      </c>
      <c r="M1793" s="35" t="str">
        <f>IFERROR(__xludf.DUMMYFUNCTION("""COMPUTED_VALUE"""),"JL. JAMBU MENTE NO.6 A")</f>
        <v>JL. JAMBU MENTE NO.6 A</v>
      </c>
      <c r="N1793" s="16" t="str">
        <f>IFERROR(__xludf.DUMMYFUNCTION("""COMPUTED_VALUE"""),"KEL. SUNGAI JAWI")</f>
        <v>KEL. SUNGAI JAWI</v>
      </c>
      <c r="O1793" s="16" t="str">
        <f>IFERROR(__xludf.DUMMYFUNCTION("""COMPUTED_VALUE"""),"KEC. PONTIANAK BARAT")</f>
        <v>KEC. PONTIANAK BARAT</v>
      </c>
      <c r="P1793" s="16" t="str">
        <f>IFERROR(__xludf.DUMMYFUNCTION("""COMPUTED_VALUE"""),"KOTA PONTIANAK")</f>
        <v>KOTA PONTIANAK</v>
      </c>
      <c r="Q1793" s="16" t="str">
        <f>IFERROR(__xludf.DUMMYFUNCTION("""COMPUTED_VALUE"""),"KALIMANTAN BARAT")</f>
        <v>KALIMANTAN BARAT</v>
      </c>
      <c r="R1793" s="19" t="str">
        <f>IFERROR(__xludf.DUMMYFUNCTION("""COMPUTED_VALUE"""),"ISLAM")</f>
        <v>ISLAM</v>
      </c>
      <c r="S1793" s="35" t="str">
        <f>IFERROR(__xludf.DUMMYFUNCTION("""COMPUTED_VALUE"""),"PELAJAR/MAHASISWA")</f>
        <v>PELAJAR/MAHASISWA</v>
      </c>
      <c r="T1793" s="36" t="str">
        <f>IFERROR(__xludf.DUMMYFUNCTION("""COMPUTED_VALUE"""),"Dislokasi")</f>
        <v>Dislokasi</v>
      </c>
      <c r="U1793" s="16" t="str">
        <f>IFERROR(__xludf.DUMMYFUNCTION("""COMPUTED_VALUE"""),"Basket")</f>
        <v>Basket</v>
      </c>
      <c r="V1793" s="11" t="str">
        <f>IFERROR(__xludf.DUMMYFUNCTION("""COMPUTED_VALUE"""),"081256590417")</f>
        <v>081256590417</v>
      </c>
      <c r="W1793" s="15"/>
    </row>
    <row r="1794" ht="22.5" customHeight="1">
      <c r="A1794" s="8"/>
      <c r="B1794" s="9">
        <f>IFERROR(__xludf.DUMMYFUNCTION("""COMPUTED_VALUE"""),45565.58682084491)</f>
        <v>45565.58682</v>
      </c>
      <c r="C1794" s="9"/>
      <c r="D1794" s="34">
        <f>IFERROR(__xludf.DUMMYFUNCTION("""COMPUTED_VALUE"""),45578.0)</f>
        <v>45578</v>
      </c>
      <c r="E1794" s="34" t="str">
        <f>IFERROR(__xludf.DUMMYFUNCTION("""COMPUTED_VALUE"""),"10Okt")</f>
        <v>10Okt</v>
      </c>
      <c r="F1794" s="34" t="str">
        <f>IFERROR(__xludf.DUMMYFUNCTION("""COMPUTED_VALUE"""),"2024")</f>
        <v>2024</v>
      </c>
      <c r="G1794" s="35" t="str">
        <f>IFERROR(__xludf.DUMMYFUNCTION("""COMPUTED_VALUE"""),"WINDA ANGGRAINI")</f>
        <v>WINDA ANGGRAINI</v>
      </c>
      <c r="H1794" s="17" t="str">
        <f>IFERROR(__xludf.DUMMYFUNCTION("""COMPUTED_VALUE"""),"W7224108009")</f>
        <v>W7224108009</v>
      </c>
      <c r="I1794" s="17">
        <f>IFERROR(__xludf.DUMMYFUNCTION("""COMPUTED_VALUE"""),53.0)</f>
        <v>53</v>
      </c>
      <c r="J1794" s="17" t="str">
        <f>IFERROR(__xludf.DUMMYFUNCTION("""COMPUTED_VALUE"""),"&gt; 44 tahun")</f>
        <v>&gt; 44 tahun</v>
      </c>
      <c r="K1794" s="19">
        <f>IFERROR(__xludf.DUMMYFUNCTION("""COMPUTED_VALUE"""),26639.0)</f>
        <v>26639</v>
      </c>
      <c r="L1794" s="19" t="str">
        <f>IFERROR(__xludf.DUMMYFUNCTION("""COMPUTED_VALUE"""),"PEREMPUAN")</f>
        <v>PEREMPUAN</v>
      </c>
      <c r="M1794" s="35" t="str">
        <f>IFERROR(__xludf.DUMMYFUNCTION("""COMPUTED_VALUE"""),"JL. PURNAMA GG. PURNAMA GRIYA 1")</f>
        <v>JL. PURNAMA GG. PURNAMA GRIYA 1</v>
      </c>
      <c r="N1794" s="16" t="str">
        <f>IFERROR(__xludf.DUMMYFUNCTION("""COMPUTED_VALUE"""),"KEL. PARIT TOKAYA")</f>
        <v>KEL. PARIT TOKAYA</v>
      </c>
      <c r="O1794" s="16" t="str">
        <f>IFERROR(__xludf.DUMMYFUNCTION("""COMPUTED_VALUE"""),"KEC. PONTIANAK SELATAN")</f>
        <v>KEC. PONTIANAK SELATAN</v>
      </c>
      <c r="P1794" s="16" t="str">
        <f>IFERROR(__xludf.DUMMYFUNCTION("""COMPUTED_VALUE"""),"KOTA PONTIANAK")</f>
        <v>KOTA PONTIANAK</v>
      </c>
      <c r="Q1794" s="16" t="str">
        <f>IFERROR(__xludf.DUMMYFUNCTION("""COMPUTED_VALUE"""),"KALIMANTAN BARAT")</f>
        <v>KALIMANTAN BARAT</v>
      </c>
      <c r="R1794" s="19" t="str">
        <f>IFERROR(__xludf.DUMMYFUNCTION("""COMPUTED_VALUE"""),"ISLAM")</f>
        <v>ISLAM</v>
      </c>
      <c r="S1794" s="35" t="str">
        <f>IFERROR(__xludf.DUMMYFUNCTION("""COMPUTED_VALUE"""),"RUMAH TANGGA")</f>
        <v>RUMAH TANGGA</v>
      </c>
      <c r="T1794" s="36" t="str">
        <f>IFERROR(__xludf.DUMMYFUNCTION("""COMPUTED_VALUE"""),"Kesemutan dan kebas sebelah kiri")</f>
        <v>Kesemutan dan kebas sebelah kiri</v>
      </c>
      <c r="U1794" s="16" t="str">
        <f>IFERROR(__xludf.DUMMYFUNCTION("""COMPUTED_VALUE"""),"Memasak")</f>
        <v>Memasak</v>
      </c>
      <c r="V1794" s="11" t="str">
        <f>IFERROR(__xludf.DUMMYFUNCTION("""COMPUTED_VALUE"""),"085750708009")</f>
        <v>085750708009</v>
      </c>
      <c r="W1794" s="15"/>
    </row>
    <row r="1795" ht="22.5" customHeight="1">
      <c r="A1795" s="8"/>
      <c r="B1795" s="9">
        <f>IFERROR(__xludf.DUMMYFUNCTION("""COMPUTED_VALUE"""),45565.800242337966)</f>
        <v>45565.80024</v>
      </c>
      <c r="C1795" s="9"/>
      <c r="D1795" s="34">
        <f>IFERROR(__xludf.DUMMYFUNCTION("""COMPUTED_VALUE"""),45578.0)</f>
        <v>45578</v>
      </c>
      <c r="E1795" s="34" t="str">
        <f>IFERROR(__xludf.DUMMYFUNCTION("""COMPUTED_VALUE"""),"10Okt")</f>
        <v>10Okt</v>
      </c>
      <c r="F1795" s="34" t="str">
        <f>IFERROR(__xludf.DUMMYFUNCTION("""COMPUTED_VALUE"""),"2024")</f>
        <v>2024</v>
      </c>
      <c r="G1795" s="35" t="str">
        <f>IFERROR(__xludf.DUMMYFUNCTION("""COMPUTED_VALUE"""),"SURYA YULIYANTO")</f>
        <v>SURYA YULIYANTO</v>
      </c>
      <c r="H1795" s="17" t="str">
        <f>IFERROR(__xludf.DUMMYFUNCTION("""COMPUTED_VALUE"""),"S0524104015")</f>
        <v>S0524104015</v>
      </c>
      <c r="I1795" s="17">
        <f>IFERROR(__xludf.DUMMYFUNCTION("""COMPUTED_VALUE"""),20.0)</f>
        <v>20</v>
      </c>
      <c r="J1795" s="17" t="str">
        <f>IFERROR(__xludf.DUMMYFUNCTION("""COMPUTED_VALUE"""),"18-24 tahun")</f>
        <v>18-24 tahun</v>
      </c>
      <c r="K1795" s="19">
        <f>IFERROR(__xludf.DUMMYFUNCTION("""COMPUTED_VALUE"""),38619.0)</f>
        <v>38619</v>
      </c>
      <c r="L1795" s="19" t="str">
        <f>IFERROR(__xludf.DUMMYFUNCTION("""COMPUTED_VALUE"""),"LAKI-LAKI")</f>
        <v>LAKI-LAKI</v>
      </c>
      <c r="M1795" s="35" t="str">
        <f>IFERROR(__xludf.DUMMYFUNCTION("""COMPUTED_VALUE"""),"DUSUN CIPTA KARYA")</f>
        <v>DUSUN CIPTA KARYA</v>
      </c>
      <c r="N1795" s="16" t="str">
        <f>IFERROR(__xludf.DUMMYFUNCTION("""COMPUTED_VALUE"""),"DS. MEKAR MANDIRI")</f>
        <v>DS. MEKAR MANDIRI</v>
      </c>
      <c r="O1795" s="16" t="str">
        <f>IFERROR(__xludf.DUMMYFUNCTION("""COMPUTED_VALUE"""),"KEC. KAYAN HILIR")</f>
        <v>KEC. KAYAN HILIR</v>
      </c>
      <c r="P1795" s="16" t="str">
        <f>IFERROR(__xludf.DUMMYFUNCTION("""COMPUTED_VALUE"""),"KAB. SINTANG")</f>
        <v>KAB. SINTANG</v>
      </c>
      <c r="Q1795" s="16" t="str">
        <f>IFERROR(__xludf.DUMMYFUNCTION("""COMPUTED_VALUE"""),"KALIMANTAN BARAT")</f>
        <v>KALIMANTAN BARAT</v>
      </c>
      <c r="R1795" s="19" t="str">
        <f>IFERROR(__xludf.DUMMYFUNCTION("""COMPUTED_VALUE"""),"ISLAM")</f>
        <v>ISLAM</v>
      </c>
      <c r="S1795" s="16" t="str">
        <f>IFERROR(__xludf.DUMMYFUNCTION("""COMPUTED_VALUE"""),"TIDAK ADA")</f>
        <v>TIDAK ADA</v>
      </c>
      <c r="T1795" s="16" t="str">
        <f>IFERROR(__xludf.DUMMYFUNCTION("""COMPUTED_VALUE"""),"-")</f>
        <v>-</v>
      </c>
      <c r="U1795" s="16" t="str">
        <f>IFERROR(__xludf.DUMMYFUNCTION("""COMPUTED_VALUE"""),"sepak bola")</f>
        <v>sepak bola</v>
      </c>
      <c r="V1795" s="11" t="str">
        <f>IFERROR(__xludf.DUMMYFUNCTION("""COMPUTED_VALUE"""),"085750804015")</f>
        <v>085750804015</v>
      </c>
      <c r="W1795" s="15"/>
    </row>
    <row r="1796" ht="22.5" customHeight="1">
      <c r="A1796" s="8"/>
      <c r="B1796" s="9">
        <f>IFERROR(__xludf.DUMMYFUNCTION("""COMPUTED_VALUE"""),45566.48284462963)</f>
        <v>45566.48284</v>
      </c>
      <c r="C1796" s="9"/>
      <c r="D1796" s="34">
        <f>IFERROR(__xludf.DUMMYFUNCTION("""COMPUTED_VALUE"""),45579.0)</f>
        <v>45579</v>
      </c>
      <c r="E1796" s="34" t="str">
        <f>IFERROR(__xludf.DUMMYFUNCTION("""COMPUTED_VALUE"""),"10Okt")</f>
        <v>10Okt</v>
      </c>
      <c r="F1796" s="34" t="str">
        <f>IFERROR(__xludf.DUMMYFUNCTION("""COMPUTED_VALUE"""),"2024")</f>
        <v>2024</v>
      </c>
      <c r="G1796" s="35" t="str">
        <f>IFERROR(__xludf.DUMMYFUNCTION("""COMPUTED_VALUE"""),"NAJWA ANANDA DESFIRIANI")</f>
        <v>NAJWA ANANDA DESFIRIANI</v>
      </c>
      <c r="H1796" s="17" t="str">
        <f>IFERROR(__xludf.DUMMYFUNCTION("""COMPUTED_VALUE"""),"N0724105061")</f>
        <v>N0724105061</v>
      </c>
      <c r="I1796" s="17">
        <f>IFERROR(__xludf.DUMMYFUNCTION("""COMPUTED_VALUE"""),18.0)</f>
        <v>18</v>
      </c>
      <c r="J1796" s="17" t="str">
        <f>IFERROR(__xludf.DUMMYFUNCTION("""COMPUTED_VALUE"""),"&lt; 18 tahun")</f>
        <v>&lt; 18 tahun</v>
      </c>
      <c r="K1796" s="19">
        <f>IFERROR(__xludf.DUMMYFUNCTION("""COMPUTED_VALUE"""),39419.0)</f>
        <v>39419</v>
      </c>
      <c r="L1796" s="19" t="str">
        <f>IFERROR(__xludf.DUMMYFUNCTION("""COMPUTED_VALUE"""),"PEREMPUAN")</f>
        <v>PEREMPUAN</v>
      </c>
      <c r="M1796" s="35" t="str">
        <f>IFERROR(__xludf.DUMMYFUNCTION("""COMPUTED_VALUE"""),"JL. PUSKESMAS PAL 3 GG. SEJATI NO. 42")</f>
        <v>JL. PUSKESMAS PAL 3 GG. SEJATI NO. 42</v>
      </c>
      <c r="N1796" s="16" t="str">
        <f>IFERROR(__xludf.DUMMYFUNCTION("""COMPUTED_VALUE"""),"KEL. SUNGAI JAWI")</f>
        <v>KEL. SUNGAI JAWI</v>
      </c>
      <c r="O1796" s="16" t="str">
        <f>IFERROR(__xludf.DUMMYFUNCTION("""COMPUTED_VALUE"""),"KEC. PONTIANAK KOTA")</f>
        <v>KEC. PONTIANAK KOTA</v>
      </c>
      <c r="P1796" s="16" t="str">
        <f>IFERROR(__xludf.DUMMYFUNCTION("""COMPUTED_VALUE"""),"KOTA PONTIANAK")</f>
        <v>KOTA PONTIANAK</v>
      </c>
      <c r="Q1796" s="16" t="str">
        <f>IFERROR(__xludf.DUMMYFUNCTION("""COMPUTED_VALUE"""),"KALIMANTAN BARAT")</f>
        <v>KALIMANTAN BARAT</v>
      </c>
      <c r="R1796" s="19" t="str">
        <f>IFERROR(__xludf.DUMMYFUNCTION("""COMPUTED_VALUE"""),"ISLAM")</f>
        <v>ISLAM</v>
      </c>
      <c r="S1796" s="16" t="str">
        <f>IFERROR(__xludf.DUMMYFUNCTION("""COMPUTED_VALUE"""),"PELAJAR/MAHASISWA")</f>
        <v>PELAJAR/MAHASISWA</v>
      </c>
      <c r="T1796" s="36" t="str">
        <f>IFERROR(__xludf.DUMMYFUNCTION("""COMPUTED_VALUE"""),"Nyeri bahu")</f>
        <v>Nyeri bahu</v>
      </c>
      <c r="U1796" s="16" t="str">
        <f>IFERROR(__xludf.DUMMYFUNCTION("""COMPUTED_VALUE"""),"Voly")</f>
        <v>Voly</v>
      </c>
      <c r="V1796" s="11" t="str">
        <f>IFERROR(__xludf.DUMMYFUNCTION("""COMPUTED_VALUE"""),"08990985061")</f>
        <v>08990985061</v>
      </c>
      <c r="W1796" s="15"/>
    </row>
    <row r="1797" ht="22.5" customHeight="1">
      <c r="A1797" s="8"/>
      <c r="B1797" s="9">
        <f>IFERROR(__xludf.DUMMYFUNCTION("""COMPUTED_VALUE"""),45566.58293467593)</f>
        <v>45566.58293</v>
      </c>
      <c r="C1797" s="9"/>
      <c r="D1797" s="34">
        <f>IFERROR(__xludf.DUMMYFUNCTION("""COMPUTED_VALUE"""),45579.0)</f>
        <v>45579</v>
      </c>
      <c r="E1797" s="34" t="str">
        <f>IFERROR(__xludf.DUMMYFUNCTION("""COMPUTED_VALUE"""),"10Okt")</f>
        <v>10Okt</v>
      </c>
      <c r="F1797" s="34" t="str">
        <f>IFERROR(__xludf.DUMMYFUNCTION("""COMPUTED_VALUE"""),"2024")</f>
        <v>2024</v>
      </c>
      <c r="G1797" s="35" t="str">
        <f>IFERROR(__xludf.DUMMYFUNCTION("""COMPUTED_VALUE"""),"ANUGRAH DWI SATTRIO")</f>
        <v>ANUGRAH DWI SATTRIO</v>
      </c>
      <c r="H1797" s="17" t="str">
        <f>IFERROR(__xludf.DUMMYFUNCTION("""COMPUTED_VALUE"""),"A0624102006")</f>
        <v>A0624102006</v>
      </c>
      <c r="I1797" s="17">
        <f>IFERROR(__xludf.DUMMYFUNCTION("""COMPUTED_VALUE"""),19.0)</f>
        <v>19</v>
      </c>
      <c r="J1797" s="17" t="str">
        <f>IFERROR(__xludf.DUMMYFUNCTION("""COMPUTED_VALUE"""),"18-24 tahun")</f>
        <v>18-24 tahun</v>
      </c>
      <c r="K1797" s="19">
        <f>IFERROR(__xludf.DUMMYFUNCTION("""COMPUTED_VALUE"""),38961.0)</f>
        <v>38961</v>
      </c>
      <c r="L1797" s="19" t="str">
        <f>IFERROR(__xludf.DUMMYFUNCTION("""COMPUTED_VALUE"""),"LAKI-LAKI")</f>
        <v>LAKI-LAKI</v>
      </c>
      <c r="M1797" s="35" t="str">
        <f>IFERROR(__xludf.DUMMYFUNCTION("""COMPUTED_VALUE"""),"BENGKAYANG")</f>
        <v>BENGKAYANG</v>
      </c>
      <c r="N1797" s="16" t="str">
        <f>IFERROR(__xludf.DUMMYFUNCTION("""COMPUTED_VALUE"""),"KEL. BUMI EMAS")</f>
        <v>KEL. BUMI EMAS</v>
      </c>
      <c r="O1797" s="16" t="str">
        <f>IFERROR(__xludf.DUMMYFUNCTION("""COMPUTED_VALUE"""),"KEC. BENGKAYANG")</f>
        <v>KEC. BENGKAYANG</v>
      </c>
      <c r="P1797" s="16" t="str">
        <f>IFERROR(__xludf.DUMMYFUNCTION("""COMPUTED_VALUE"""),"KAB. BENGKAYANG")</f>
        <v>KAB. BENGKAYANG</v>
      </c>
      <c r="Q1797" s="16" t="str">
        <f>IFERROR(__xludf.DUMMYFUNCTION("""COMPUTED_VALUE"""),"KALIMANTAN BARAT")</f>
        <v>KALIMANTAN BARAT</v>
      </c>
      <c r="R1797" s="19" t="str">
        <f>IFERROR(__xludf.DUMMYFUNCTION("""COMPUTED_VALUE"""),"KATOLIK")</f>
        <v>KATOLIK</v>
      </c>
      <c r="S1797" s="16" t="str">
        <f>IFERROR(__xludf.DUMMYFUNCTION("""COMPUTED_VALUE"""),"TIDAK ADA")</f>
        <v>TIDAK ADA</v>
      </c>
      <c r="T1797" s="36" t="str">
        <f>IFERROR(__xludf.DUMMYFUNCTION("""COMPUTED_VALUE"""),"KAKI X")</f>
        <v>KAKI X</v>
      </c>
      <c r="U1797" s="16" t="str">
        <f>IFERROR(__xludf.DUMMYFUNCTION("""COMPUTED_VALUE"""),"OLAHRAGA")</f>
        <v>OLAHRAGA</v>
      </c>
      <c r="V1797" s="11" t="str">
        <f>IFERROR(__xludf.DUMMYFUNCTION("""COMPUTED_VALUE"""),"089601092006")</f>
        <v>089601092006</v>
      </c>
      <c r="W1797" s="15"/>
    </row>
    <row r="1798" ht="22.5" customHeight="1">
      <c r="A1798" s="8"/>
      <c r="B1798" s="9">
        <f>IFERROR(__xludf.DUMMYFUNCTION("""COMPUTED_VALUE"""),45566.647753391204)</f>
        <v>45566.64775</v>
      </c>
      <c r="C1798" s="9"/>
      <c r="D1798" s="34">
        <f>IFERROR(__xludf.DUMMYFUNCTION("""COMPUTED_VALUE"""),45579.0)</f>
        <v>45579</v>
      </c>
      <c r="E1798" s="34" t="str">
        <f>IFERROR(__xludf.DUMMYFUNCTION("""COMPUTED_VALUE"""),"10Okt")</f>
        <v>10Okt</v>
      </c>
      <c r="F1798" s="34" t="str">
        <f>IFERROR(__xludf.DUMMYFUNCTION("""COMPUTED_VALUE"""),"2024")</f>
        <v>2024</v>
      </c>
      <c r="G1798" s="35" t="str">
        <f>IFERROR(__xludf.DUMMYFUNCTION("""COMPUTED_VALUE"""),"RIKA HAFIANTI")</f>
        <v>RIKA HAFIANTI</v>
      </c>
      <c r="H1798" s="17" t="str">
        <f>IFERROR(__xludf.DUMMYFUNCTION("""COMPUTED_VALUE"""),"R7724104227")</f>
        <v>R7724104227</v>
      </c>
      <c r="I1798" s="17">
        <f>IFERROR(__xludf.DUMMYFUNCTION("""COMPUTED_VALUE"""),49.0)</f>
        <v>49</v>
      </c>
      <c r="J1798" s="17" t="str">
        <f>IFERROR(__xludf.DUMMYFUNCTION("""COMPUTED_VALUE"""),"&gt; 44 tahun")</f>
        <v>&gt; 44 tahun</v>
      </c>
      <c r="K1798" s="19">
        <f>IFERROR(__xludf.DUMMYFUNCTION("""COMPUTED_VALUE"""),28250.0)</f>
        <v>28250</v>
      </c>
      <c r="L1798" s="19" t="str">
        <f>IFERROR(__xludf.DUMMYFUNCTION("""COMPUTED_VALUE"""),"PEREMPUAN")</f>
        <v>PEREMPUAN</v>
      </c>
      <c r="M1798" s="35" t="str">
        <f>IFERROR(__xludf.DUMMYFUNCTION("""COMPUTED_VALUE"""),"SEPAKAT 2 KOMP. GRAND SEPAKAT RESIDENCE")</f>
        <v>SEPAKAT 2 KOMP. GRAND SEPAKAT RESIDENCE</v>
      </c>
      <c r="N1798" s="16" t="str">
        <f>IFERROR(__xludf.DUMMYFUNCTION("""COMPUTED_VALUE"""),"KEL. BANSIR DARAT")</f>
        <v>KEL. BANSIR DARAT</v>
      </c>
      <c r="O1798" s="16" t="str">
        <f>IFERROR(__xludf.DUMMYFUNCTION("""COMPUTED_VALUE"""),"KEC. PONTIANAK TENGGARA")</f>
        <v>KEC. PONTIANAK TENGGARA</v>
      </c>
      <c r="P1798" s="16" t="str">
        <f>IFERROR(__xludf.DUMMYFUNCTION("""COMPUTED_VALUE"""),"KOTA PONTIANAK")</f>
        <v>KOTA PONTIANAK</v>
      </c>
      <c r="Q1798" s="16" t="str">
        <f>IFERROR(__xludf.DUMMYFUNCTION("""COMPUTED_VALUE"""),"KALIMANTAN BARAT")</f>
        <v>KALIMANTAN BARAT</v>
      </c>
      <c r="R1798" s="19" t="str">
        <f>IFERROR(__xludf.DUMMYFUNCTION("""COMPUTED_VALUE"""),"ISLAM")</f>
        <v>ISLAM</v>
      </c>
      <c r="S1798" s="35" t="str">
        <f>IFERROR(__xludf.DUMMYFUNCTION("""COMPUTED_VALUE"""),"SWASTA")</f>
        <v>SWASTA</v>
      </c>
      <c r="T1798" s="16" t="str">
        <f>IFERROR(__xludf.DUMMYFUNCTION("""COMPUTED_VALUE"""),"Oa")</f>
        <v>Oa</v>
      </c>
      <c r="U1798" s="16" t="str">
        <f>IFERROR(__xludf.DUMMYFUNCTION("""COMPUTED_VALUE"""),"Membaca")</f>
        <v>Membaca</v>
      </c>
      <c r="V1798" s="11" t="str">
        <f>IFERROR(__xludf.DUMMYFUNCTION("""COMPUTED_VALUE"""),"085332804227")</f>
        <v>085332804227</v>
      </c>
      <c r="W1798" s="15"/>
    </row>
    <row r="1799" ht="22.5" customHeight="1">
      <c r="A1799" s="8"/>
      <c r="B1799" s="9">
        <f>IFERROR(__xludf.DUMMYFUNCTION("""COMPUTED_VALUE"""),45566.85347104167)</f>
        <v>45566.85347</v>
      </c>
      <c r="C1799" s="9"/>
      <c r="D1799" s="34">
        <f>IFERROR(__xludf.DUMMYFUNCTION("""COMPUTED_VALUE"""),45581.0)</f>
        <v>45581</v>
      </c>
      <c r="E1799" s="34" t="str">
        <f>IFERROR(__xludf.DUMMYFUNCTION("""COMPUTED_VALUE"""),"10Okt")</f>
        <v>10Okt</v>
      </c>
      <c r="F1799" s="34" t="str">
        <f>IFERROR(__xludf.DUMMYFUNCTION("""COMPUTED_VALUE"""),"2024")</f>
        <v>2024</v>
      </c>
      <c r="G1799" s="35" t="str">
        <f>IFERROR(__xludf.DUMMYFUNCTION("""COMPUTED_VALUE"""),"MARLENI")</f>
        <v>MARLENI</v>
      </c>
      <c r="H1799" s="17" t="str">
        <f>IFERROR(__xludf.DUMMYFUNCTION("""COMPUTED_VALUE"""),"M7824100000")</f>
        <v>M7824100000</v>
      </c>
      <c r="I1799" s="17">
        <f>IFERROR(__xludf.DUMMYFUNCTION("""COMPUTED_VALUE"""),48.0)</f>
        <v>48</v>
      </c>
      <c r="J1799" s="17" t="str">
        <f>IFERROR(__xludf.DUMMYFUNCTION("""COMPUTED_VALUE"""),"&gt; 44 tahun")</f>
        <v>&gt; 44 tahun</v>
      </c>
      <c r="K1799" s="19">
        <f>IFERROR(__xludf.DUMMYFUNCTION("""COMPUTED_VALUE"""),28605.0)</f>
        <v>28605</v>
      </c>
      <c r="L1799" s="19" t="str">
        <f>IFERROR(__xludf.DUMMYFUNCTION("""COMPUTED_VALUE"""),"PEREMPUAN")</f>
        <v>PEREMPUAN</v>
      </c>
      <c r="M1799" s="35" t="str">
        <f>IFERROR(__xludf.DUMMYFUNCTION("""COMPUTED_VALUE"""),"MERDEKA 655")</f>
        <v>MERDEKA 655</v>
      </c>
      <c r="N1799" s="16" t="str">
        <f>IFERROR(__xludf.DUMMYFUNCTION("""COMPUTED_VALUE"""),"KEL. MARIANA")</f>
        <v>KEL. MARIANA</v>
      </c>
      <c r="O1799" s="16" t="str">
        <f>IFERROR(__xludf.DUMMYFUNCTION("""COMPUTED_VALUE"""),"KEC. PONTIANAK KOTA")</f>
        <v>KEC. PONTIANAK KOTA</v>
      </c>
      <c r="P1799" s="16" t="str">
        <f>IFERROR(__xludf.DUMMYFUNCTION("""COMPUTED_VALUE"""),"KOTA PONTIANAK")</f>
        <v>KOTA PONTIANAK</v>
      </c>
      <c r="Q1799" s="16" t="str">
        <f>IFERROR(__xludf.DUMMYFUNCTION("""COMPUTED_VALUE"""),"KALIMANTAN BARAT")</f>
        <v>KALIMANTAN BARAT</v>
      </c>
      <c r="R1799" s="19" t="str">
        <f>IFERROR(__xludf.DUMMYFUNCTION("""COMPUTED_VALUE"""),"KATOLIK")</f>
        <v>KATOLIK</v>
      </c>
      <c r="S1799" s="35" t="str">
        <f>IFERROR(__xludf.DUMMYFUNCTION("""COMPUTED_VALUE"""),"RUMAH TANGGA")</f>
        <v>RUMAH TANGGA</v>
      </c>
      <c r="T1799" s="35" t="str">
        <f>IFERROR(__xludf.DUMMYFUNCTION("""COMPUTED_VALUE"""),"Sakit")</f>
        <v>Sakit</v>
      </c>
      <c r="U1799" s="16" t="str">
        <f>IFERROR(__xludf.DUMMYFUNCTION("""COMPUTED_VALUE"""),"Rumah tangga")</f>
        <v>Rumah tangga</v>
      </c>
      <c r="V1799" s="11" t="str">
        <f>IFERROR(__xludf.DUMMYFUNCTION("""COMPUTED_VALUE"""),"081345630000")</f>
        <v>081345630000</v>
      </c>
      <c r="W1799" s="15"/>
    </row>
    <row r="1800" ht="22.5" customHeight="1">
      <c r="A1800" s="8"/>
      <c r="B1800" s="9">
        <f>IFERROR(__xludf.DUMMYFUNCTION("""COMPUTED_VALUE"""),45567.43838086806)</f>
        <v>45567.43838</v>
      </c>
      <c r="C1800" s="9"/>
      <c r="D1800" s="34">
        <f>IFERROR(__xludf.DUMMYFUNCTION("""COMPUTED_VALUE"""),45581.0)</f>
        <v>45581</v>
      </c>
      <c r="E1800" s="34" t="str">
        <f>IFERROR(__xludf.DUMMYFUNCTION("""COMPUTED_VALUE"""),"10Okt")</f>
        <v>10Okt</v>
      </c>
      <c r="F1800" s="34" t="str">
        <f>IFERROR(__xludf.DUMMYFUNCTION("""COMPUTED_VALUE"""),"2024")</f>
        <v>2024</v>
      </c>
      <c r="G1800" s="35" t="str">
        <f>IFERROR(__xludf.DUMMYFUNCTION("""COMPUTED_VALUE"""),"ARIEP NURALAM")</f>
        <v>ARIEP NURALAM</v>
      </c>
      <c r="H1800" s="17" t="str">
        <f>IFERROR(__xludf.DUMMYFUNCTION("""COMPUTED_VALUE"""),"A9924102495")</f>
        <v>A9924102495</v>
      </c>
      <c r="I1800" s="17">
        <f>IFERROR(__xludf.DUMMYFUNCTION("""COMPUTED_VALUE"""),26.0)</f>
        <v>26</v>
      </c>
      <c r="J1800" s="17" t="str">
        <f>IFERROR(__xludf.DUMMYFUNCTION("""COMPUTED_VALUE"""),"25-34 tahun")</f>
        <v>25-34 tahun</v>
      </c>
      <c r="K1800" s="19">
        <f>IFERROR(__xludf.DUMMYFUNCTION("""COMPUTED_VALUE"""),36349.0)</f>
        <v>36349</v>
      </c>
      <c r="L1800" s="19" t="str">
        <f>IFERROR(__xludf.DUMMYFUNCTION("""COMPUTED_VALUE"""),"LAKI-LAKI")</f>
        <v>LAKI-LAKI</v>
      </c>
      <c r="M1800" s="35" t="str">
        <f>IFERROR(__xludf.DUMMYFUNCTION("""COMPUTED_VALUE"""),"KOMP. GRIYA HUSADA BLOK D7")</f>
        <v>KOMP. GRIYA HUSADA BLOK D7</v>
      </c>
      <c r="N1800" s="16" t="str">
        <f>IFERROR(__xludf.DUMMYFUNCTION("""COMPUTED_VALUE"""),"KEL. SUNGAI RAYA DALAM")</f>
        <v>KEL. SUNGAI RAYA DALAM</v>
      </c>
      <c r="O1800" s="16" t="str">
        <f>IFERROR(__xludf.DUMMYFUNCTION("""COMPUTED_VALUE"""),"KEC. SUNGAI RAYA")</f>
        <v>KEC. SUNGAI RAYA</v>
      </c>
      <c r="P1800" s="16" t="str">
        <f>IFERROR(__xludf.DUMMYFUNCTION("""COMPUTED_VALUE"""),"KAB. KUBU RAYA")</f>
        <v>KAB. KUBU RAYA</v>
      </c>
      <c r="Q1800" s="35" t="str">
        <f>IFERROR(__xludf.DUMMYFUNCTION("""COMPUTED_VALUE"""),"KALIMANTAN BARAT")</f>
        <v>KALIMANTAN BARAT</v>
      </c>
      <c r="R1800" s="19" t="str">
        <f>IFERROR(__xludf.DUMMYFUNCTION("""COMPUTED_VALUE"""),"ISLAM")</f>
        <v>ISLAM</v>
      </c>
      <c r="S1800" s="16" t="str">
        <f>IFERROR(__xludf.DUMMYFUNCTION("""COMPUTED_VALUE"""),"FREELANCE")</f>
        <v>FREELANCE</v>
      </c>
      <c r="T1800" s="35" t="str">
        <f>IFERROR(__xludf.DUMMYFUNCTION("""COMPUTED_VALUE"""),"dirhomboid dan pundak kanan itu tegang jdi kadang nganggu saat kerja bahkan kadang tgn kanan saya kebas")</f>
        <v>dirhomboid dan pundak kanan itu tegang jdi kadang nganggu saat kerja bahkan kadang tgn kanan saya kebas</v>
      </c>
      <c r="U1800" s="16" t="str">
        <f>IFERROR(__xludf.DUMMYFUNCTION("""COMPUTED_VALUE"""),"desain")</f>
        <v>desain</v>
      </c>
      <c r="V1800" s="11" t="str">
        <f>IFERROR(__xludf.DUMMYFUNCTION("""COMPUTED_VALUE"""),"085822142495")</f>
        <v>085822142495</v>
      </c>
      <c r="W1800" s="15"/>
    </row>
    <row r="1801" ht="22.5" customHeight="1">
      <c r="A1801" s="8"/>
      <c r="B1801" s="9">
        <f>IFERROR(__xludf.DUMMYFUNCTION("""COMPUTED_VALUE"""),45567.44614581019)</f>
        <v>45567.44615</v>
      </c>
      <c r="C1801" s="9"/>
      <c r="D1801" s="34">
        <f>IFERROR(__xludf.DUMMYFUNCTION("""COMPUTED_VALUE"""),45581.0)</f>
        <v>45581</v>
      </c>
      <c r="E1801" s="34" t="str">
        <f>IFERROR(__xludf.DUMMYFUNCTION("""COMPUTED_VALUE"""),"10Okt")</f>
        <v>10Okt</v>
      </c>
      <c r="F1801" s="34" t="str">
        <f>IFERROR(__xludf.DUMMYFUNCTION("""COMPUTED_VALUE"""),"2024")</f>
        <v>2024</v>
      </c>
      <c r="G1801" s="35" t="str">
        <f>IFERROR(__xludf.DUMMYFUNCTION("""COMPUTED_VALUE"""),"RAVLI AGUS VASHIA")</f>
        <v>RAVLI AGUS VASHIA</v>
      </c>
      <c r="H1801" s="17" t="str">
        <f>IFERROR(__xludf.DUMMYFUNCTION("""COMPUTED_VALUE"""),"R9824106383")</f>
        <v>R9824106383</v>
      </c>
      <c r="I1801" s="17">
        <f>IFERROR(__xludf.DUMMYFUNCTION("""COMPUTED_VALUE"""),27.0)</f>
        <v>27</v>
      </c>
      <c r="J1801" s="17" t="str">
        <f>IFERROR(__xludf.DUMMYFUNCTION("""COMPUTED_VALUE"""),"25-34 tahun")</f>
        <v>25-34 tahun</v>
      </c>
      <c r="K1801" s="19">
        <f>IFERROR(__xludf.DUMMYFUNCTION("""COMPUTED_VALUE"""),36015.0)</f>
        <v>36015</v>
      </c>
      <c r="L1801" s="19" t="str">
        <f>IFERROR(__xludf.DUMMYFUNCTION("""COMPUTED_VALUE"""),"LAKI-LAKI")</f>
        <v>LAKI-LAKI</v>
      </c>
      <c r="M1801" s="35" t="str">
        <f>IFERROR(__xludf.DUMMYFUNCTION("""COMPUTED_VALUE"""),"JL. YA’M SABRAN GG.SEDERHANA")</f>
        <v>JL. YA’M SABRAN GG.SEDERHANA</v>
      </c>
      <c r="N1801" s="16" t="str">
        <f>IFERROR(__xludf.DUMMYFUNCTION("""COMPUTED_VALUE"""),"KEL. TANJUNG HULU")</f>
        <v>KEL. TANJUNG HULU</v>
      </c>
      <c r="O1801" s="16" t="str">
        <f>IFERROR(__xludf.DUMMYFUNCTION("""COMPUTED_VALUE"""),"KEC. PONTIANAK TIMUR")</f>
        <v>KEC. PONTIANAK TIMUR</v>
      </c>
      <c r="P1801" s="16" t="str">
        <f>IFERROR(__xludf.DUMMYFUNCTION("""COMPUTED_VALUE"""),"KOTA PONTIANAK")</f>
        <v>KOTA PONTIANAK</v>
      </c>
      <c r="Q1801" s="16" t="str">
        <f>IFERROR(__xludf.DUMMYFUNCTION("""COMPUTED_VALUE"""),"KALIMANTAN BARAT")</f>
        <v>KALIMANTAN BARAT</v>
      </c>
      <c r="R1801" s="19" t="str">
        <f>IFERROR(__xludf.DUMMYFUNCTION("""COMPUTED_VALUE"""),"ISLAM")</f>
        <v>ISLAM</v>
      </c>
      <c r="S1801" s="16" t="str">
        <f>IFERROR(__xludf.DUMMYFUNCTION("""COMPUTED_VALUE"""),"SWASTA")</f>
        <v>SWASTA</v>
      </c>
      <c r="T1801" s="36" t="str">
        <f>IFERROR(__xludf.DUMMYFUNCTION("""COMPUTED_VALUE"""),"cidera engkel kaki")</f>
        <v>cidera engkel kaki</v>
      </c>
      <c r="U1801" s="16" t="str">
        <f>IFERROR(__xludf.DUMMYFUNCTION("""COMPUTED_VALUE"""),"kerja")</f>
        <v>kerja</v>
      </c>
      <c r="V1801" s="11" t="str">
        <f>IFERROR(__xludf.DUMMYFUNCTION("""COMPUTED_VALUE"""),"085821136383")</f>
        <v>085821136383</v>
      </c>
      <c r="W1801" s="15"/>
    </row>
    <row r="1802" ht="22.5" customHeight="1">
      <c r="A1802" s="8"/>
      <c r="B1802" s="9">
        <f>IFERROR(__xludf.DUMMYFUNCTION("""COMPUTED_VALUE"""),45567.54810835648)</f>
        <v>45567.54811</v>
      </c>
      <c r="C1802" s="9"/>
      <c r="D1802" s="34">
        <f>IFERROR(__xludf.DUMMYFUNCTION("""COMPUTED_VALUE"""),45581.0)</f>
        <v>45581</v>
      </c>
      <c r="E1802" s="34" t="str">
        <f>IFERROR(__xludf.DUMMYFUNCTION("""COMPUTED_VALUE"""),"10Okt")</f>
        <v>10Okt</v>
      </c>
      <c r="F1802" s="34" t="str">
        <f>IFERROR(__xludf.DUMMYFUNCTION("""COMPUTED_VALUE"""),"2024")</f>
        <v>2024</v>
      </c>
      <c r="G1802" s="35" t="str">
        <f>IFERROR(__xludf.DUMMYFUNCTION("""COMPUTED_VALUE"""),"HENRIS")</f>
        <v>HENRIS</v>
      </c>
      <c r="H1802" s="17" t="str">
        <f>IFERROR(__xludf.DUMMYFUNCTION("""COMPUTED_VALUE"""),"H0024107515")</f>
        <v>H0024107515</v>
      </c>
      <c r="I1802" s="17">
        <f>IFERROR(__xludf.DUMMYFUNCTION("""COMPUTED_VALUE"""),26.0)</f>
        <v>26</v>
      </c>
      <c r="J1802" s="17" t="str">
        <f>IFERROR(__xludf.DUMMYFUNCTION("""COMPUTED_VALUE"""),"25-34 tahun")</f>
        <v>25-34 tahun</v>
      </c>
      <c r="K1802" s="19">
        <f>IFERROR(__xludf.DUMMYFUNCTION("""COMPUTED_VALUE"""),36596.0)</f>
        <v>36596</v>
      </c>
      <c r="L1802" s="19" t="str">
        <f>IFERROR(__xludf.DUMMYFUNCTION("""COMPUTED_VALUE"""),"LAKI-LAKI")</f>
        <v>LAKI-LAKI</v>
      </c>
      <c r="M1802" s="35" t="str">
        <f>IFERROR(__xludf.DUMMYFUNCTION("""COMPUTED_VALUE"""),"JLN KEDAH NO.133")</f>
        <v>JLN KEDAH NO.133</v>
      </c>
      <c r="N1802" s="16" t="str">
        <f>IFERROR(__xludf.DUMMYFUNCTION("""COMPUTED_VALUE"""),"KEL. BENUA MELAYU DARAT")</f>
        <v>KEL. BENUA MELAYU DARAT</v>
      </c>
      <c r="O1802" s="16" t="str">
        <f>IFERROR(__xludf.DUMMYFUNCTION("""COMPUTED_VALUE"""),"KEC. PONTIANAK SELATAN")</f>
        <v>KEC. PONTIANAK SELATAN</v>
      </c>
      <c r="P1802" s="16" t="str">
        <f>IFERROR(__xludf.DUMMYFUNCTION("""COMPUTED_VALUE"""),"KOTA PONTIANAK")</f>
        <v>KOTA PONTIANAK</v>
      </c>
      <c r="Q1802" s="16" t="str">
        <f>IFERROR(__xludf.DUMMYFUNCTION("""COMPUTED_VALUE"""),"KALIMANTAN BARAT")</f>
        <v>KALIMANTAN BARAT</v>
      </c>
      <c r="R1802" s="19" t="str">
        <f>IFERROR(__xludf.DUMMYFUNCTION("""COMPUTED_VALUE"""),"BUDDHA")</f>
        <v>BUDDHA</v>
      </c>
      <c r="S1802" s="35" t="str">
        <f>IFERROR(__xludf.DUMMYFUNCTION("""COMPUTED_VALUE"""),"PELAJAR/MAHASISWA")</f>
        <v>PELAJAR/MAHASISWA</v>
      </c>
      <c r="T1802" s="35" t="str">
        <f>IFERROR(__xludf.DUMMYFUNCTION("""COMPUTED_VALUE"""),"Jari")</f>
        <v>Jari</v>
      </c>
      <c r="U1802" s="16" t="str">
        <f>IFERROR(__xludf.DUMMYFUNCTION("""COMPUTED_VALUE"""),"Basket")</f>
        <v>Basket</v>
      </c>
      <c r="V1802" s="11" t="str">
        <f>IFERROR(__xludf.DUMMYFUNCTION("""COMPUTED_VALUE"""),"082256227515")</f>
        <v>082256227515</v>
      </c>
      <c r="W1802" s="15"/>
    </row>
    <row r="1803" ht="22.5" customHeight="1">
      <c r="A1803" s="8"/>
      <c r="B1803" s="9">
        <f>IFERROR(__xludf.DUMMYFUNCTION("""COMPUTED_VALUE"""),45567.682682326384)</f>
        <v>45567.68268</v>
      </c>
      <c r="C1803" s="9"/>
      <c r="D1803" s="34">
        <f>IFERROR(__xludf.DUMMYFUNCTION("""COMPUTED_VALUE"""),45582.0)</f>
        <v>45582</v>
      </c>
      <c r="E1803" s="34" t="str">
        <f>IFERROR(__xludf.DUMMYFUNCTION("""COMPUTED_VALUE"""),"10Okt")</f>
        <v>10Okt</v>
      </c>
      <c r="F1803" s="34" t="str">
        <f>IFERROR(__xludf.DUMMYFUNCTION("""COMPUTED_VALUE"""),"2024")</f>
        <v>2024</v>
      </c>
      <c r="G1803" s="35" t="str">
        <f>IFERROR(__xludf.DUMMYFUNCTION("""COMPUTED_VALUE"""),"SOLIHIN AGUS")</f>
        <v>SOLIHIN AGUS</v>
      </c>
      <c r="H1803" s="17" t="str">
        <f>IFERROR(__xludf.DUMMYFUNCTION("""COMPUTED_VALUE"""),"S6724108986")</f>
        <v>S6724108986</v>
      </c>
      <c r="I1803" s="17">
        <f>IFERROR(__xludf.DUMMYFUNCTION("""COMPUTED_VALUE"""),59.0)</f>
        <v>59</v>
      </c>
      <c r="J1803" s="17" t="str">
        <f>IFERROR(__xludf.DUMMYFUNCTION("""COMPUTED_VALUE"""),"&gt; 44 tahun")</f>
        <v>&gt; 44 tahun</v>
      </c>
      <c r="K1803" s="19">
        <f>IFERROR(__xludf.DUMMYFUNCTION("""COMPUTED_VALUE"""),24524.0)</f>
        <v>24524</v>
      </c>
      <c r="L1803" s="19" t="str">
        <f>IFERROR(__xludf.DUMMYFUNCTION("""COMPUTED_VALUE"""),"LAKI-LAKI")</f>
        <v>LAKI-LAKI</v>
      </c>
      <c r="M1803" s="35" t="str">
        <f>IFERROR(__xludf.DUMMYFUNCTION("""COMPUTED_VALUE"""),"JL SERDAM KOMPLEK MITRA INDAH UTAMA 5 NO B14")</f>
        <v>JL SERDAM KOMPLEK MITRA INDAH UTAMA 5 NO B14</v>
      </c>
      <c r="N1803" s="16" t="str">
        <f>IFERROR(__xludf.DUMMYFUNCTION("""COMPUTED_VALUE"""),"KEL. BANGKA BELITUNG DARAT")</f>
        <v>KEL. BANGKA BELITUNG DARAT</v>
      </c>
      <c r="O1803" s="16" t="str">
        <f>IFERROR(__xludf.DUMMYFUNCTION("""COMPUTED_VALUE"""),"KEC. PONTIANAK TENGGARA")</f>
        <v>KEC. PONTIANAK TENGGARA</v>
      </c>
      <c r="P1803" s="16" t="str">
        <f>IFERROR(__xludf.DUMMYFUNCTION("""COMPUTED_VALUE"""),"KOTA PONTIANAK")</f>
        <v>KOTA PONTIANAK</v>
      </c>
      <c r="Q1803" s="16" t="str">
        <f>IFERROR(__xludf.DUMMYFUNCTION("""COMPUTED_VALUE"""),"KALIMANTAN BARAT")</f>
        <v>KALIMANTAN BARAT</v>
      </c>
      <c r="R1803" s="19" t="str">
        <f>IFERROR(__xludf.DUMMYFUNCTION("""COMPUTED_VALUE"""),"ISLAM")</f>
        <v>ISLAM</v>
      </c>
      <c r="S1803" s="35" t="str">
        <f>IFERROR(__xludf.DUMMYFUNCTION("""COMPUTED_VALUE"""),"PENSIUN")</f>
        <v>PENSIUN</v>
      </c>
      <c r="T1803" s="36" t="str">
        <f>IFERROR(__xludf.DUMMYFUNCTION("""COMPUTED_VALUE"""),"Badan kaku , kaki tidak bisa / tidak ada kekuaran untuk menapaki tangga")</f>
        <v>Badan kaku , kaki tidak bisa / tidak ada kekuaran untuk menapaki tangga</v>
      </c>
      <c r="U1803" s="16" t="str">
        <f>IFERROR(__xludf.DUMMYFUNCTION("""COMPUTED_VALUE"""),"Membaca")</f>
        <v>Membaca</v>
      </c>
      <c r="V1803" s="11" t="str">
        <f>IFERROR(__xludf.DUMMYFUNCTION("""COMPUTED_VALUE"""),"081296288986")</f>
        <v>081296288986</v>
      </c>
      <c r="W1803" s="15"/>
    </row>
    <row r="1804" ht="22.5" customHeight="1">
      <c r="A1804" s="8"/>
      <c r="B1804" s="9">
        <f>IFERROR(__xludf.DUMMYFUNCTION("""COMPUTED_VALUE"""),45569.7051328125)</f>
        <v>45569.70513</v>
      </c>
      <c r="C1804" s="9"/>
      <c r="D1804" s="34">
        <f>IFERROR(__xludf.DUMMYFUNCTION("""COMPUTED_VALUE"""),45582.0)</f>
        <v>45582</v>
      </c>
      <c r="E1804" s="34" t="str">
        <f>IFERROR(__xludf.DUMMYFUNCTION("""COMPUTED_VALUE"""),"10Okt")</f>
        <v>10Okt</v>
      </c>
      <c r="F1804" s="34" t="str">
        <f>IFERROR(__xludf.DUMMYFUNCTION("""COMPUTED_VALUE"""),"2024")</f>
        <v>2024</v>
      </c>
      <c r="G1804" s="16" t="str">
        <f>IFERROR(__xludf.DUMMYFUNCTION("""COMPUTED_VALUE"""),"KRISTIN")</f>
        <v>KRISTIN</v>
      </c>
      <c r="H1804" s="17" t="str">
        <f>IFERROR(__xludf.DUMMYFUNCTION("""COMPUTED_VALUE"""),"K7724104788")</f>
        <v>K7724104788</v>
      </c>
      <c r="I1804" s="17">
        <f>IFERROR(__xludf.DUMMYFUNCTION("""COMPUTED_VALUE"""),48.0)</f>
        <v>48</v>
      </c>
      <c r="J1804" s="17" t="str">
        <f>IFERROR(__xludf.DUMMYFUNCTION("""COMPUTED_VALUE"""),"&gt; 44 tahun")</f>
        <v>&gt; 44 tahun</v>
      </c>
      <c r="K1804" s="19">
        <f>IFERROR(__xludf.DUMMYFUNCTION("""COMPUTED_VALUE"""),28402.0)</f>
        <v>28402</v>
      </c>
      <c r="L1804" s="19" t="str">
        <f>IFERROR(__xludf.DUMMYFUNCTION("""COMPUTED_VALUE"""),"PEREMPUAN")</f>
        <v>PEREMPUAN</v>
      </c>
      <c r="M1804" s="35" t="str">
        <f>IFERROR(__xludf.DUMMYFUNCTION("""COMPUTED_VALUE"""),"JALAN PURNAMA KOMPLEK PURNAMA SEMPURNA NO G3")</f>
        <v>JALAN PURNAMA KOMPLEK PURNAMA SEMPURNA NO G3</v>
      </c>
      <c r="N1804" s="16" t="str">
        <f>IFERROR(__xludf.DUMMYFUNCTION("""COMPUTED_VALUE"""),"KEL. AKCAYA")</f>
        <v>KEL. AKCAYA</v>
      </c>
      <c r="O1804" s="16" t="str">
        <f>IFERROR(__xludf.DUMMYFUNCTION("""COMPUTED_VALUE"""),"KEC. PONTIANAK SELATAN")</f>
        <v>KEC. PONTIANAK SELATAN</v>
      </c>
      <c r="P1804" s="16" t="str">
        <f>IFERROR(__xludf.DUMMYFUNCTION("""COMPUTED_VALUE"""),"KOTA PONTIANAK")</f>
        <v>KOTA PONTIANAK</v>
      </c>
      <c r="Q1804" s="16" t="str">
        <f>IFERROR(__xludf.DUMMYFUNCTION("""COMPUTED_VALUE"""),"KALIMANTAN BARAT")</f>
        <v>KALIMANTAN BARAT</v>
      </c>
      <c r="R1804" s="19" t="str">
        <f>IFERROR(__xludf.DUMMYFUNCTION("""COMPUTED_VALUE"""),"KATOLIK")</f>
        <v>KATOLIK</v>
      </c>
      <c r="S1804" s="35" t="str">
        <f>IFERROR(__xludf.DUMMYFUNCTION("""COMPUTED_VALUE"""),"RUMAH TANGGA")</f>
        <v>RUMAH TANGGA</v>
      </c>
      <c r="T1804" s="36" t="str">
        <f>IFERROR(__xludf.DUMMYFUNCTION("""COMPUTED_VALUE"""),"ADA SARAF KEJEPIT")</f>
        <v>ADA SARAF KEJEPIT</v>
      </c>
      <c r="U1804" s="16" t="str">
        <f>IFERROR(__xludf.DUMMYFUNCTION("""COMPUTED_VALUE"""),"GYM")</f>
        <v>GYM</v>
      </c>
      <c r="V1804" s="11" t="str">
        <f>IFERROR(__xludf.DUMMYFUNCTION("""COMPUTED_VALUE"""),"0811564788")</f>
        <v>0811564788</v>
      </c>
      <c r="W1804" s="15"/>
    </row>
    <row r="1805" ht="22.5" customHeight="1">
      <c r="A1805" s="8"/>
      <c r="B1805" s="9">
        <f>IFERROR(__xludf.DUMMYFUNCTION("""COMPUTED_VALUE"""),45570.417700868056)</f>
        <v>45570.4177</v>
      </c>
      <c r="C1805" s="9"/>
      <c r="D1805" s="34">
        <f>IFERROR(__xludf.DUMMYFUNCTION("""COMPUTED_VALUE"""),45582.0)</f>
        <v>45582</v>
      </c>
      <c r="E1805" s="34" t="str">
        <f>IFERROR(__xludf.DUMMYFUNCTION("""COMPUTED_VALUE"""),"10Okt")</f>
        <v>10Okt</v>
      </c>
      <c r="F1805" s="34" t="str">
        <f>IFERROR(__xludf.DUMMYFUNCTION("""COMPUTED_VALUE"""),"2024")</f>
        <v>2024</v>
      </c>
      <c r="G1805" s="35" t="str">
        <f>IFERROR(__xludf.DUMMYFUNCTION("""COMPUTED_VALUE"""),"SUTARMO")</f>
        <v>SUTARMO</v>
      </c>
      <c r="H1805" s="17" t="str">
        <f>IFERROR(__xludf.DUMMYFUNCTION("""COMPUTED_VALUE"""),"S9624103200")</f>
        <v>S9624103200</v>
      </c>
      <c r="I1805" s="17">
        <f>IFERROR(__xludf.DUMMYFUNCTION("""COMPUTED_VALUE"""),30.0)</f>
        <v>30</v>
      </c>
      <c r="J1805" s="17" t="str">
        <f>IFERROR(__xludf.DUMMYFUNCTION("""COMPUTED_VALUE"""),"25-34 tahun")</f>
        <v>25-34 tahun</v>
      </c>
      <c r="K1805" s="19">
        <f>IFERROR(__xludf.DUMMYFUNCTION("""COMPUTED_VALUE"""),35198.0)</f>
        <v>35198</v>
      </c>
      <c r="L1805" s="19" t="str">
        <f>IFERROR(__xludf.DUMMYFUNCTION("""COMPUTED_VALUE"""),"LAKI-LAKI")</f>
        <v>LAKI-LAKI</v>
      </c>
      <c r="M1805" s="35" t="str">
        <f>IFERROR(__xludf.DUMMYFUNCTION("""COMPUTED_VALUE"""),"")</f>
        <v/>
      </c>
      <c r="N1805" s="16" t="str">
        <f>IFERROR(__xludf.DUMMYFUNCTION("""COMPUTED_VALUE"""),"KEL. MARIANA")</f>
        <v>KEL. MARIANA</v>
      </c>
      <c r="O1805" s="16" t="str">
        <f>IFERROR(__xludf.DUMMYFUNCTION("""COMPUTED_VALUE"""),"KEC. PONTIANAK KOTA")</f>
        <v>KEC. PONTIANAK KOTA</v>
      </c>
      <c r="P1805" s="16" t="str">
        <f>IFERROR(__xludf.DUMMYFUNCTION("""COMPUTED_VALUE"""),"KOTA PONTIANAK")</f>
        <v>KOTA PONTIANAK</v>
      </c>
      <c r="Q1805" s="16" t="str">
        <f>IFERROR(__xludf.DUMMYFUNCTION("""COMPUTED_VALUE"""),"KALIMANTAN BARAT")</f>
        <v>KALIMANTAN BARAT</v>
      </c>
      <c r="R1805" s="19" t="str">
        <f>IFERROR(__xludf.DUMMYFUNCTION("""COMPUTED_VALUE"""),"ISLAM")</f>
        <v>ISLAM</v>
      </c>
      <c r="S1805" s="16" t="str">
        <f>IFERROR(__xludf.DUMMYFUNCTION("""COMPUTED_VALUE"""),"TENAGA HONOR")</f>
        <v>TENAGA HONOR</v>
      </c>
      <c r="T1805" s="36" t="str">
        <f>IFERROR(__xludf.DUMMYFUNCTION("""COMPUTED_VALUE"""),"Nyeri lutut dan Paha")</f>
        <v>Nyeri lutut dan Paha</v>
      </c>
      <c r="U1805" s="16" t="str">
        <f>IFERROR(__xludf.DUMMYFUNCTION("""COMPUTED_VALUE"""),"Sering Duduk berjam2 didepan laptop")</f>
        <v>Sering Duduk berjam2 didepan laptop</v>
      </c>
      <c r="V1805" s="11" t="str">
        <f>IFERROR(__xludf.DUMMYFUNCTION("""COMPUTED_VALUE"""),"08884373200")</f>
        <v>08884373200</v>
      </c>
      <c r="W1805" s="15"/>
    </row>
    <row r="1806" ht="22.5" customHeight="1">
      <c r="A1806" s="8"/>
      <c r="B1806" s="9">
        <f>IFERROR(__xludf.DUMMYFUNCTION("""COMPUTED_VALUE"""),45570.504657673606)</f>
        <v>45570.50466</v>
      </c>
      <c r="C1806" s="9"/>
      <c r="D1806" s="34">
        <f>IFERROR(__xludf.DUMMYFUNCTION("""COMPUTED_VALUE"""),45583.0)</f>
        <v>45583</v>
      </c>
      <c r="E1806" s="34" t="str">
        <f>IFERROR(__xludf.DUMMYFUNCTION("""COMPUTED_VALUE"""),"10Okt")</f>
        <v>10Okt</v>
      </c>
      <c r="F1806" s="34" t="str">
        <f>IFERROR(__xludf.DUMMYFUNCTION("""COMPUTED_VALUE"""),"2024")</f>
        <v>2024</v>
      </c>
      <c r="G1806" s="36" t="str">
        <f>IFERROR(__xludf.DUMMYFUNCTION("""COMPUTED_VALUE"""),"SUMARNI,S.STP")</f>
        <v>SUMARNI,S.STP</v>
      </c>
      <c r="H1806" s="17" t="str">
        <f>IFERROR(__xludf.DUMMYFUNCTION("""COMPUTED_VALUE"""),"S8224100509")</f>
        <v>S8224100509</v>
      </c>
      <c r="I1806" s="17">
        <f>IFERROR(__xludf.DUMMYFUNCTION("""COMPUTED_VALUE"""),44.0)</f>
        <v>44</v>
      </c>
      <c r="J1806" s="17" t="str">
        <f>IFERROR(__xludf.DUMMYFUNCTION("""COMPUTED_VALUE"""),"35-44 tahun")</f>
        <v>35-44 tahun</v>
      </c>
      <c r="K1806" s="19">
        <f>IFERROR(__xludf.DUMMYFUNCTION("""COMPUTED_VALUE"""),30022.0)</f>
        <v>30022</v>
      </c>
      <c r="L1806" s="19" t="str">
        <f>IFERROR(__xludf.DUMMYFUNCTION("""COMPUTED_VALUE"""),"PEREMPUAN")</f>
        <v>PEREMPUAN</v>
      </c>
      <c r="M1806" s="35" t="str">
        <f>IFERROR(__xludf.DUMMYFUNCTION("""COMPUTED_VALUE"""),"GG. BELIDAK")</f>
        <v>GG. BELIDAK</v>
      </c>
      <c r="N1806" s="16" t="str">
        <f>IFERROR(__xludf.DUMMYFUNCTION("""COMPUTED_VALUE"""),"KEL. SUNGAI BELIUNG")</f>
        <v>KEL. SUNGAI BELIUNG</v>
      </c>
      <c r="O1806" s="16" t="str">
        <f>IFERROR(__xludf.DUMMYFUNCTION("""COMPUTED_VALUE"""),"KEC. PONTIANAK BARAT")</f>
        <v>KEC. PONTIANAK BARAT</v>
      </c>
      <c r="P1806" s="16" t="str">
        <f>IFERROR(__xludf.DUMMYFUNCTION("""COMPUTED_VALUE"""),"KOTA PONTIANAK")</f>
        <v>KOTA PONTIANAK</v>
      </c>
      <c r="Q1806" s="16" t="str">
        <f>IFERROR(__xludf.DUMMYFUNCTION("""COMPUTED_VALUE"""),"KALIMANTAN BARAT")</f>
        <v>KALIMANTAN BARAT</v>
      </c>
      <c r="R1806" s="19" t="str">
        <f>IFERROR(__xludf.DUMMYFUNCTION("""COMPUTED_VALUE"""),"ISLAM")</f>
        <v>ISLAM</v>
      </c>
      <c r="S1806" s="35" t="str">
        <f>IFERROR(__xludf.DUMMYFUNCTION("""COMPUTED_VALUE"""),"ASN")</f>
        <v>ASN</v>
      </c>
      <c r="T1806" s="36" t="str">
        <f>IFERROR(__xludf.DUMMYFUNCTION("""COMPUTED_VALUE"""),"Lower back")</f>
        <v>Lower back</v>
      </c>
      <c r="U1806" s="16" t="str">
        <f>IFERROR(__xludf.DUMMYFUNCTION("""COMPUTED_VALUE"""),"Olahraga")</f>
        <v>Olahraga</v>
      </c>
      <c r="V1806" s="11" t="str">
        <f>IFERROR(__xludf.DUMMYFUNCTION("""COMPUTED_VALUE"""),"081345080509")</f>
        <v>081345080509</v>
      </c>
      <c r="W1806" s="15"/>
    </row>
    <row r="1807" ht="22.5" customHeight="1">
      <c r="A1807" s="8"/>
      <c r="B1807" s="9">
        <f>IFERROR(__xludf.DUMMYFUNCTION("""COMPUTED_VALUE"""),45570.58953353009)</f>
        <v>45570.58953</v>
      </c>
      <c r="C1807" s="9"/>
      <c r="D1807" s="34">
        <f>IFERROR(__xludf.DUMMYFUNCTION("""COMPUTED_VALUE"""),45583.0)</f>
        <v>45583</v>
      </c>
      <c r="E1807" s="34" t="str">
        <f>IFERROR(__xludf.DUMMYFUNCTION("""COMPUTED_VALUE"""),"10Okt")</f>
        <v>10Okt</v>
      </c>
      <c r="F1807" s="34" t="str">
        <f>IFERROR(__xludf.DUMMYFUNCTION("""COMPUTED_VALUE"""),"2024")</f>
        <v>2024</v>
      </c>
      <c r="G1807" s="36" t="str">
        <f>IFERROR(__xludf.DUMMYFUNCTION("""COMPUTED_VALUE"""),"MOHAMAD SYAZIMMI HERSYAPUTRA")</f>
        <v>MOHAMAD SYAZIMMI HERSYAPUTRA</v>
      </c>
      <c r="H1807" s="17" t="str">
        <f>IFERROR(__xludf.DUMMYFUNCTION("""COMPUTED_VALUE"""),"M0024102451")</f>
        <v>M0024102451</v>
      </c>
      <c r="I1807" s="17">
        <f>IFERROR(__xludf.DUMMYFUNCTION("""COMPUTED_VALUE"""),26.0)</f>
        <v>26</v>
      </c>
      <c r="J1807" s="17" t="str">
        <f>IFERROR(__xludf.DUMMYFUNCTION("""COMPUTED_VALUE"""),"25-34 tahun")</f>
        <v>25-34 tahun</v>
      </c>
      <c r="K1807" s="19">
        <f>IFERROR(__xludf.DUMMYFUNCTION("""COMPUTED_VALUE"""),36548.0)</f>
        <v>36548</v>
      </c>
      <c r="L1807" s="19" t="str">
        <f>IFERROR(__xludf.DUMMYFUNCTION("""COMPUTED_VALUE"""),"LAKI-LAKI")</f>
        <v>LAKI-LAKI</v>
      </c>
      <c r="M1807" s="16" t="str">
        <f>IFERROR(__xludf.DUMMYFUNCTION("""COMPUTED_VALUE"""),"JL. HUSEIN HAMZAH KOMP. MITRA UTAMA 2 NO. A7")</f>
        <v>JL. HUSEIN HAMZAH KOMP. MITRA UTAMA 2 NO. A7</v>
      </c>
      <c r="N1807" s="16" t="str">
        <f>IFERROR(__xludf.DUMMYFUNCTION("""COMPUTED_VALUE"""),"KEL. PAL LIMA")</f>
        <v>KEL. PAL LIMA</v>
      </c>
      <c r="O1807" s="16" t="str">
        <f>IFERROR(__xludf.DUMMYFUNCTION("""COMPUTED_VALUE"""),"KEC. PONTIANAK BARAT")</f>
        <v>KEC. PONTIANAK BARAT</v>
      </c>
      <c r="P1807" s="16" t="str">
        <f>IFERROR(__xludf.DUMMYFUNCTION("""COMPUTED_VALUE"""),"KOTA PONTIANAK")</f>
        <v>KOTA PONTIANAK</v>
      </c>
      <c r="Q1807" s="35" t="str">
        <f>IFERROR(__xludf.DUMMYFUNCTION("""COMPUTED_VALUE"""),"KALIMANTAN BARAT")</f>
        <v>KALIMANTAN BARAT</v>
      </c>
      <c r="R1807" s="19" t="str">
        <f>IFERROR(__xludf.DUMMYFUNCTION("""COMPUTED_VALUE"""),"ISLAM")</f>
        <v>ISLAM</v>
      </c>
      <c r="S1807" s="35" t="str">
        <f>IFERROR(__xludf.DUMMYFUNCTION("""COMPUTED_VALUE"""),"BUMD")</f>
        <v>BUMD</v>
      </c>
      <c r="T1807" s="36" t="str">
        <f>IFERROR(__xludf.DUMMYFUNCTION("""COMPUTED_VALUE"""),"Sakit lutut (bengkak)")</f>
        <v>Sakit lutut (bengkak)</v>
      </c>
      <c r="U1807" s="16" t="str">
        <f>IFERROR(__xludf.DUMMYFUNCTION("""COMPUTED_VALUE"""),"Bekerja")</f>
        <v>Bekerja</v>
      </c>
      <c r="V1807" s="11" t="str">
        <f>IFERROR(__xludf.DUMMYFUNCTION("""COMPUTED_VALUE"""),"082157312451")</f>
        <v>082157312451</v>
      </c>
      <c r="W1807" s="15"/>
    </row>
    <row r="1808" ht="22.5" customHeight="1">
      <c r="A1808" s="8"/>
      <c r="B1808" s="9">
        <f>IFERROR(__xludf.DUMMYFUNCTION("""COMPUTED_VALUE"""),45572.361804155094)</f>
        <v>45572.3618</v>
      </c>
      <c r="C1808" s="9"/>
      <c r="D1808" s="34">
        <f>IFERROR(__xludf.DUMMYFUNCTION("""COMPUTED_VALUE"""),45584.0)</f>
        <v>45584</v>
      </c>
      <c r="E1808" s="34" t="str">
        <f>IFERROR(__xludf.DUMMYFUNCTION("""COMPUTED_VALUE"""),"10Okt")</f>
        <v>10Okt</v>
      </c>
      <c r="F1808" s="34" t="str">
        <f>IFERROR(__xludf.DUMMYFUNCTION("""COMPUTED_VALUE"""),"2024")</f>
        <v>2024</v>
      </c>
      <c r="G1808" s="36" t="str">
        <f>IFERROR(__xludf.DUMMYFUNCTION("""COMPUTED_VALUE"""),"SAMUEL DAZHILL")</f>
        <v>SAMUEL DAZHILL</v>
      </c>
      <c r="H1808" s="17" t="str">
        <f>IFERROR(__xludf.DUMMYFUNCTION("""COMPUTED_VALUE"""),"S0824108899")</f>
        <v>S0824108899</v>
      </c>
      <c r="I1808" s="17">
        <f>IFERROR(__xludf.DUMMYFUNCTION("""COMPUTED_VALUE"""),17.0)</f>
        <v>17</v>
      </c>
      <c r="J1808" s="17" t="str">
        <f>IFERROR(__xludf.DUMMYFUNCTION("""COMPUTED_VALUE"""),"&lt; 18 tahun")</f>
        <v>&lt; 18 tahun</v>
      </c>
      <c r="K1808" s="19">
        <f>IFERROR(__xludf.DUMMYFUNCTION("""COMPUTED_VALUE"""),39688.0)</f>
        <v>39688</v>
      </c>
      <c r="L1808" s="19" t="str">
        <f>IFERROR(__xludf.DUMMYFUNCTION("""COMPUTED_VALUE"""),"LAKI-LAKI")</f>
        <v>LAKI-LAKI</v>
      </c>
      <c r="M1808" s="35" t="str">
        <f>IFERROR(__xludf.DUMMYFUNCTION("""COMPUTED_VALUE"""),"JALAN SUI RAYA DALAM , KOMPLEK VILLA KELAPA GADING PERMAI NO.C8")</f>
        <v>JALAN SUI RAYA DALAM , KOMPLEK VILLA KELAPA GADING PERMAI NO.C8</v>
      </c>
      <c r="N1808" s="16" t="str">
        <f>IFERROR(__xludf.DUMMYFUNCTION("""COMPUTED_VALUE"""),"KEL. BANGKA BELITUNG DARAT")</f>
        <v>KEL. BANGKA BELITUNG DARAT</v>
      </c>
      <c r="O1808" s="16" t="str">
        <f>IFERROR(__xludf.DUMMYFUNCTION("""COMPUTED_VALUE"""),"KEC. PONTIANAK TENGGARA")</f>
        <v>KEC. PONTIANAK TENGGARA</v>
      </c>
      <c r="P1808" s="16" t="str">
        <f>IFERROR(__xludf.DUMMYFUNCTION("""COMPUTED_VALUE"""),"KOTA PONTIANAK")</f>
        <v>KOTA PONTIANAK</v>
      </c>
      <c r="Q1808" s="16" t="str">
        <f>IFERROR(__xludf.DUMMYFUNCTION("""COMPUTED_VALUE"""),"KALIMANTAN BARAT")</f>
        <v>KALIMANTAN BARAT</v>
      </c>
      <c r="R1808" s="19" t="str">
        <f>IFERROR(__xludf.DUMMYFUNCTION("""COMPUTED_VALUE"""),"KATOLIK")</f>
        <v>KATOLIK</v>
      </c>
      <c r="S1808" s="35" t="str">
        <f>IFERROR(__xludf.DUMMYFUNCTION("""COMPUTED_VALUE"""),"PELAJAR/MAHASISWA")</f>
        <v>PELAJAR/MAHASISWA</v>
      </c>
      <c r="T1808" s="16" t="str">
        <f>IFERROR(__xludf.DUMMYFUNCTION("""COMPUTED_VALUE"""),"Kaki keseleo")</f>
        <v>Kaki keseleo</v>
      </c>
      <c r="U1808" s="16" t="str">
        <f>IFERROR(__xludf.DUMMYFUNCTION("""COMPUTED_VALUE"""),"Sekolah dan Olahraga")</f>
        <v>Sekolah dan Olahraga</v>
      </c>
      <c r="V1808" s="11" t="str">
        <f>IFERROR(__xludf.DUMMYFUNCTION("""COMPUTED_VALUE"""),"6282168888899")</f>
        <v>6282168888899</v>
      </c>
      <c r="W1808" s="15"/>
    </row>
    <row r="1809" ht="22.5" customHeight="1">
      <c r="A1809" s="8"/>
      <c r="B1809" s="9">
        <f>IFERROR(__xludf.DUMMYFUNCTION("""COMPUTED_VALUE"""),45572.54458883102)</f>
        <v>45572.54459</v>
      </c>
      <c r="C1809" s="9"/>
      <c r="D1809" s="34">
        <f>IFERROR(__xludf.DUMMYFUNCTION("""COMPUTED_VALUE"""),45584.0)</f>
        <v>45584</v>
      </c>
      <c r="E1809" s="34" t="str">
        <f>IFERROR(__xludf.DUMMYFUNCTION("""COMPUTED_VALUE"""),"10Okt")</f>
        <v>10Okt</v>
      </c>
      <c r="F1809" s="34" t="str">
        <f>IFERROR(__xludf.DUMMYFUNCTION("""COMPUTED_VALUE"""),"2024")</f>
        <v>2024</v>
      </c>
      <c r="G1809" s="36" t="str">
        <f>IFERROR(__xludf.DUMMYFUNCTION("""COMPUTED_VALUE"""),"RISKI FEBRIADI")</f>
        <v>RISKI FEBRIADI</v>
      </c>
      <c r="H1809" s="17" t="str">
        <f>IFERROR(__xludf.DUMMYFUNCTION("""COMPUTED_VALUE"""),"R9624109097")</f>
        <v>R9624109097</v>
      </c>
      <c r="I1809" s="17">
        <f>IFERROR(__xludf.DUMMYFUNCTION("""COMPUTED_VALUE"""),30.0)</f>
        <v>30</v>
      </c>
      <c r="J1809" s="17" t="str">
        <f>IFERROR(__xludf.DUMMYFUNCTION("""COMPUTED_VALUE"""),"25-34 tahun")</f>
        <v>25-34 tahun</v>
      </c>
      <c r="K1809" s="19">
        <f>IFERROR(__xludf.DUMMYFUNCTION("""COMPUTED_VALUE"""),35111.0)</f>
        <v>35111</v>
      </c>
      <c r="L1809" s="19" t="str">
        <f>IFERROR(__xludf.DUMMYFUNCTION("""COMPUTED_VALUE"""),"LAKI-LAKI")</f>
        <v>LAKI-LAKI</v>
      </c>
      <c r="M1809" s="35" t="str">
        <f>IFERROR(__xludf.DUMMYFUNCTION("""COMPUTED_VALUE"""),"JL.HM.SUWIGNYO GG.NUR 4 NO 3 B")</f>
        <v>JL.HM.SUWIGNYO GG.NUR 4 NO 3 B</v>
      </c>
      <c r="N1809" s="16" t="str">
        <f>IFERROR(__xludf.DUMMYFUNCTION("""COMPUTED_VALUE"""),"KEL. SUNGAI JAWI")</f>
        <v>KEL. SUNGAI JAWI</v>
      </c>
      <c r="O1809" s="16" t="str">
        <f>IFERROR(__xludf.DUMMYFUNCTION("""COMPUTED_VALUE"""),"KEC. PONTIANAK KOTA")</f>
        <v>KEC. PONTIANAK KOTA</v>
      </c>
      <c r="P1809" s="16" t="str">
        <f>IFERROR(__xludf.DUMMYFUNCTION("""COMPUTED_VALUE"""),"KOTA PONTIANAK")</f>
        <v>KOTA PONTIANAK</v>
      </c>
      <c r="Q1809" s="16" t="str">
        <f>IFERROR(__xludf.DUMMYFUNCTION("""COMPUTED_VALUE"""),"KALIMANTAN BARAT")</f>
        <v>KALIMANTAN BARAT</v>
      </c>
      <c r="R1809" s="19" t="str">
        <f>IFERROR(__xludf.DUMMYFUNCTION("""COMPUTED_VALUE"""),"ISLAM")</f>
        <v>ISLAM</v>
      </c>
      <c r="S1809" s="16" t="str">
        <f>IFERROR(__xludf.DUMMYFUNCTION("""COMPUTED_VALUE"""),"SWASTA")</f>
        <v>SWASTA</v>
      </c>
      <c r="T1809" s="36" t="str">
        <f>IFERROR(__xludf.DUMMYFUNCTION("""COMPUTED_VALUE"""),"Lutut Kiri")</f>
        <v>Lutut Kiri</v>
      </c>
      <c r="U1809" s="16" t="str">
        <f>IFERROR(__xludf.DUMMYFUNCTION("""COMPUTED_VALUE"""),"Minisoccer , lari , bulutangkis")</f>
        <v>Minisoccer , lari , bulutangkis</v>
      </c>
      <c r="V1809" s="11" t="str">
        <f>IFERROR(__xludf.DUMMYFUNCTION("""COMPUTED_VALUE"""),"083151809097")</f>
        <v>083151809097</v>
      </c>
      <c r="W1809" s="15"/>
    </row>
    <row r="1810" ht="22.5" customHeight="1">
      <c r="A1810" s="8"/>
      <c r="B1810" s="9">
        <f>IFERROR(__xludf.DUMMYFUNCTION("""COMPUTED_VALUE"""),45573.51895243056)</f>
        <v>45573.51895</v>
      </c>
      <c r="C1810" s="9"/>
      <c r="D1810" s="34">
        <f>IFERROR(__xludf.DUMMYFUNCTION("""COMPUTED_VALUE"""),45584.0)</f>
        <v>45584</v>
      </c>
      <c r="E1810" s="34" t="str">
        <f>IFERROR(__xludf.DUMMYFUNCTION("""COMPUTED_VALUE"""),"10Okt")</f>
        <v>10Okt</v>
      </c>
      <c r="F1810" s="34" t="str">
        <f>IFERROR(__xludf.DUMMYFUNCTION("""COMPUTED_VALUE"""),"2024")</f>
        <v>2024</v>
      </c>
      <c r="G1810" s="36" t="str">
        <f>IFERROR(__xludf.DUMMYFUNCTION("""COMPUTED_VALUE"""),"YOHANITHA LIZA OKTAVIANI")</f>
        <v>YOHANITHA LIZA OKTAVIANI</v>
      </c>
      <c r="H1810" s="17" t="str">
        <f>IFERROR(__xludf.DUMMYFUNCTION("""COMPUTED_VALUE"""),"Y9324109873")</f>
        <v>Y9324109873</v>
      </c>
      <c r="I1810" s="17">
        <f>IFERROR(__xludf.DUMMYFUNCTION("""COMPUTED_VALUE"""),32.0)</f>
        <v>32</v>
      </c>
      <c r="J1810" s="17" t="str">
        <f>IFERROR(__xludf.DUMMYFUNCTION("""COMPUTED_VALUE"""),"25-34 tahun")</f>
        <v>25-34 tahun</v>
      </c>
      <c r="K1810" s="19">
        <f>IFERROR(__xludf.DUMMYFUNCTION("""COMPUTED_VALUE"""),34256.0)</f>
        <v>34256</v>
      </c>
      <c r="L1810" s="19" t="str">
        <f>IFERROR(__xludf.DUMMYFUNCTION("""COMPUTED_VALUE"""),"PEREMPUAN")</f>
        <v>PEREMPUAN</v>
      </c>
      <c r="M1810" s="35" t="str">
        <f>IFERROR(__xludf.DUMMYFUNCTION("""COMPUTED_VALUE"""),"JL MERAPI NO 185")</f>
        <v>JL MERAPI NO 185</v>
      </c>
      <c r="N1810" s="16" t="str">
        <f>IFERROR(__xludf.DUMMYFUNCTION("""COMPUTED_VALUE"""),"KEL. BENUA MELAYU DARAT")</f>
        <v>KEL. BENUA MELAYU DARAT</v>
      </c>
      <c r="O1810" s="16" t="str">
        <f>IFERROR(__xludf.DUMMYFUNCTION("""COMPUTED_VALUE"""),"KEC. PONTIANAK SELATAN")</f>
        <v>KEC. PONTIANAK SELATAN</v>
      </c>
      <c r="P1810" s="16" t="str">
        <f>IFERROR(__xludf.DUMMYFUNCTION("""COMPUTED_VALUE"""),"KOTA PONTIANAK")</f>
        <v>KOTA PONTIANAK</v>
      </c>
      <c r="Q1810" s="16" t="str">
        <f>IFERROR(__xludf.DUMMYFUNCTION("""COMPUTED_VALUE"""),"KALIMANTAN BARAT")</f>
        <v>KALIMANTAN BARAT</v>
      </c>
      <c r="R1810" s="19" t="str">
        <f>IFERROR(__xludf.DUMMYFUNCTION("""COMPUTED_VALUE"""),"KATOLIK")</f>
        <v>KATOLIK</v>
      </c>
      <c r="S1810" s="16" t="str">
        <f>IFERROR(__xludf.DUMMYFUNCTION("""COMPUTED_VALUE"""),"RUMAH TANGGA")</f>
        <v>RUMAH TANGGA</v>
      </c>
      <c r="T1810" s="36" t="str">
        <f>IFERROR(__xludf.DUMMYFUNCTION("""COMPUTED_VALUE"""),"Sakit dipergelangan kaki sampai ke betis")</f>
        <v>Sakit dipergelangan kaki sampai ke betis</v>
      </c>
      <c r="U1810" s="16" t="str">
        <f>IFERROR(__xludf.DUMMYFUNCTION("""COMPUTED_VALUE"""),"Mengurus rumah, anak dan olahraga")</f>
        <v>Mengurus rumah, anak dan olahraga</v>
      </c>
      <c r="V1810" s="11" t="str">
        <f>IFERROR(__xludf.DUMMYFUNCTION("""COMPUTED_VALUE"""),"082250769873")</f>
        <v>082250769873</v>
      </c>
      <c r="W1810" s="15"/>
    </row>
    <row r="1811" ht="22.5" customHeight="1">
      <c r="A1811" s="8"/>
      <c r="B1811" s="9">
        <f>IFERROR(__xludf.DUMMYFUNCTION("""COMPUTED_VALUE"""),45573.619723020834)</f>
        <v>45573.61972</v>
      </c>
      <c r="C1811" s="9"/>
      <c r="D1811" s="10">
        <f>IFERROR(__xludf.DUMMYFUNCTION("""COMPUTED_VALUE"""),45585.0)</f>
        <v>45585</v>
      </c>
      <c r="E1811" s="10" t="str">
        <f>IFERROR(__xludf.DUMMYFUNCTION("""COMPUTED_VALUE"""),"10Okt")</f>
        <v>10Okt</v>
      </c>
      <c r="F1811" s="10" t="str">
        <f>IFERROR(__xludf.DUMMYFUNCTION("""COMPUTED_VALUE"""),"2024")</f>
        <v>2024</v>
      </c>
      <c r="G1811" s="16" t="str">
        <f>IFERROR(__xludf.DUMMYFUNCTION("""COMPUTED_VALUE"""),"ROBY SUGIANTARA")</f>
        <v>ROBY SUGIANTARA</v>
      </c>
      <c r="H1811" s="17" t="str">
        <f>IFERROR(__xludf.DUMMYFUNCTION("""COMPUTED_VALUE"""),"R9124108100")</f>
        <v>R9124108100</v>
      </c>
      <c r="I1811" s="17">
        <f>IFERROR(__xludf.DUMMYFUNCTION("""COMPUTED_VALUE"""),35.0)</f>
        <v>35</v>
      </c>
      <c r="J1811" s="17" t="str">
        <f>IFERROR(__xludf.DUMMYFUNCTION("""COMPUTED_VALUE"""),"35-44 tahun")</f>
        <v>35-44 tahun</v>
      </c>
      <c r="K1811" s="44">
        <f>IFERROR(__xludf.DUMMYFUNCTION("""COMPUTED_VALUE"""),33388.0)</f>
        <v>33388</v>
      </c>
      <c r="L1811" s="19" t="str">
        <f>IFERROR(__xludf.DUMMYFUNCTION("""COMPUTED_VALUE"""),"LAKI-LAKI")</f>
        <v>LAKI-LAKI</v>
      </c>
      <c r="M1811" s="16" t="str">
        <f>IFERROR(__xludf.DUMMYFUNCTION("""COMPUTED_VALUE"""),"JL PERDANA KOMPLEK BALI AGUNG 3 BLOK R NO 28")</f>
        <v>JL PERDANA KOMPLEK BALI AGUNG 3 BLOK R NO 28</v>
      </c>
      <c r="N1811" s="16" t="str">
        <f>IFERROR(__xludf.DUMMYFUNCTION("""COMPUTED_VALUE"""),"KEL. PARIT TOKAYA")</f>
        <v>KEL. PARIT TOKAYA</v>
      </c>
      <c r="O1811" s="16" t="str">
        <f>IFERROR(__xludf.DUMMYFUNCTION("""COMPUTED_VALUE"""),"KEC. PONTIANAK SELATAN")</f>
        <v>KEC. PONTIANAK SELATAN</v>
      </c>
      <c r="P1811" s="16" t="str">
        <f>IFERROR(__xludf.DUMMYFUNCTION("""COMPUTED_VALUE"""),"KOTA PONTIANAK")</f>
        <v>KOTA PONTIANAK</v>
      </c>
      <c r="Q1811" s="16" t="str">
        <f>IFERROR(__xludf.DUMMYFUNCTION("""COMPUTED_VALUE"""),"KALIMANTAN BARAT")</f>
        <v>KALIMANTAN BARAT</v>
      </c>
      <c r="R1811" s="19" t="str">
        <f>IFERROR(__xludf.DUMMYFUNCTION("""COMPUTED_VALUE"""),"ISLAM")</f>
        <v>ISLAM</v>
      </c>
      <c r="S1811" s="16" t="str">
        <f>IFERROR(__xludf.DUMMYFUNCTION("""COMPUTED_VALUE"""),"TNI/POLRI")</f>
        <v>TNI/POLRI</v>
      </c>
      <c r="T1811" s="16" t="str">
        <f>IFERROR(__xludf.DUMMYFUNCTION("""COMPUTED_VALUE"""),"Sering Nyeri dan bengkak pada lutut kanan")</f>
        <v>Sering Nyeri dan bengkak pada lutut kanan</v>
      </c>
      <c r="U1811" s="16" t="str">
        <f>IFERROR(__xludf.DUMMYFUNCTION("""COMPUTED_VALUE"""),"Sepak bola/ kantor")</f>
        <v>Sepak bola/ kantor</v>
      </c>
      <c r="V1811" s="11" t="str">
        <f>IFERROR(__xludf.DUMMYFUNCTION("""COMPUTED_VALUE"""),"085754608100")</f>
        <v>085754608100</v>
      </c>
      <c r="W1811" s="15"/>
    </row>
    <row r="1812" ht="22.5" customHeight="1">
      <c r="A1812" s="8"/>
      <c r="B1812" s="9">
        <f>IFERROR(__xludf.DUMMYFUNCTION("""COMPUTED_VALUE"""),45573.656880925926)</f>
        <v>45573.65688</v>
      </c>
      <c r="C1812" s="9"/>
      <c r="D1812" s="34">
        <f>IFERROR(__xludf.DUMMYFUNCTION("""COMPUTED_VALUE"""),45586.0)</f>
        <v>45586</v>
      </c>
      <c r="E1812" s="34" t="str">
        <f>IFERROR(__xludf.DUMMYFUNCTION("""COMPUTED_VALUE"""),"10Okt")</f>
        <v>10Okt</v>
      </c>
      <c r="F1812" s="34" t="str">
        <f>IFERROR(__xludf.DUMMYFUNCTION("""COMPUTED_VALUE"""),"2024")</f>
        <v>2024</v>
      </c>
      <c r="G1812" s="36" t="str">
        <f>IFERROR(__xludf.DUMMYFUNCTION("""COMPUTED_VALUE"""),"MASRINI")</f>
        <v>MASRINI</v>
      </c>
      <c r="H1812" s="17" t="str">
        <f>IFERROR(__xludf.DUMMYFUNCTION("""COMPUTED_VALUE"""),"M5024101477")</f>
        <v>M5024101477</v>
      </c>
      <c r="I1812" s="17">
        <f>IFERROR(__xludf.DUMMYFUNCTION("""COMPUTED_VALUE"""),76.0)</f>
        <v>76</v>
      </c>
      <c r="J1812" s="17" t="str">
        <f>IFERROR(__xludf.DUMMYFUNCTION("""COMPUTED_VALUE"""),"&gt; 44 tahun")</f>
        <v>&gt; 44 tahun</v>
      </c>
      <c r="K1812" s="19">
        <f>IFERROR(__xludf.DUMMYFUNCTION("""COMPUTED_VALUE"""),18402.0)</f>
        <v>18402</v>
      </c>
      <c r="L1812" s="19" t="str">
        <f>IFERROR(__xludf.DUMMYFUNCTION("""COMPUTED_VALUE"""),"PEREMPUAN")</f>
        <v>PEREMPUAN</v>
      </c>
      <c r="M1812" s="35" t="str">
        <f>IFERROR(__xludf.DUMMYFUNCTION("""COMPUTED_VALUE"""),"JL. KY. SUDARSO GANG KENARI 1 DALAM NOMOR 47")</f>
        <v>JL. KY. SUDARSO GANG KENARI 1 DALAM NOMOR 47</v>
      </c>
      <c r="N1812" s="16" t="str">
        <f>IFERROR(__xludf.DUMMYFUNCTION("""COMPUTED_VALUE"""),"KEL. SUNGAI JAWI LUAR")</f>
        <v>KEL. SUNGAI JAWI LUAR</v>
      </c>
      <c r="O1812" s="16" t="str">
        <f>IFERROR(__xludf.DUMMYFUNCTION("""COMPUTED_VALUE"""),"KEC. PONTIANAK BARAT")</f>
        <v>KEC. PONTIANAK BARAT</v>
      </c>
      <c r="P1812" s="16" t="str">
        <f>IFERROR(__xludf.DUMMYFUNCTION("""COMPUTED_VALUE"""),"KOTA PONTIANAK")</f>
        <v>KOTA PONTIANAK</v>
      </c>
      <c r="Q1812" s="16" t="str">
        <f>IFERROR(__xludf.DUMMYFUNCTION("""COMPUTED_VALUE"""),"KALIMANTAN BARAT")</f>
        <v>KALIMANTAN BARAT</v>
      </c>
      <c r="R1812" s="19" t="str">
        <f>IFERROR(__xludf.DUMMYFUNCTION("""COMPUTED_VALUE"""),"ISLAM")</f>
        <v>ISLAM</v>
      </c>
      <c r="S1812" s="16" t="str">
        <f>IFERROR(__xludf.DUMMYFUNCTION("""COMPUTED_VALUE"""),"RUMAH TANGGA")</f>
        <v>RUMAH TANGGA</v>
      </c>
      <c r="T1812" s="16" t="str">
        <f>IFERROR(__xludf.DUMMYFUNCTION("""COMPUTED_VALUE"""),"Nyeri pada kaki")</f>
        <v>Nyeri pada kaki</v>
      </c>
      <c r="U1812" s="16" t="str">
        <f>IFERROR(__xludf.DUMMYFUNCTION("""COMPUTED_VALUE"""),"Tidak ada")</f>
        <v>Tidak ada</v>
      </c>
      <c r="V1812" s="11" t="str">
        <f>IFERROR(__xludf.DUMMYFUNCTION("""COMPUTED_VALUE"""),"085845741477")</f>
        <v>085845741477</v>
      </c>
      <c r="W1812" s="15"/>
    </row>
    <row r="1813" ht="22.5" customHeight="1">
      <c r="A1813" s="8"/>
      <c r="B1813" s="9">
        <f>IFERROR(__xludf.DUMMYFUNCTION("""COMPUTED_VALUE"""),45573.786193865744)</f>
        <v>45573.78619</v>
      </c>
      <c r="C1813" s="9"/>
      <c r="D1813" s="34">
        <f>IFERROR(__xludf.DUMMYFUNCTION("""COMPUTED_VALUE"""),45586.0)</f>
        <v>45586</v>
      </c>
      <c r="E1813" s="34" t="str">
        <f>IFERROR(__xludf.DUMMYFUNCTION("""COMPUTED_VALUE"""),"10Okt")</f>
        <v>10Okt</v>
      </c>
      <c r="F1813" s="34" t="str">
        <f>IFERROR(__xludf.DUMMYFUNCTION("""COMPUTED_VALUE"""),"2024")</f>
        <v>2024</v>
      </c>
      <c r="G1813" s="36" t="str">
        <f>IFERROR(__xludf.DUMMYFUNCTION("""COMPUTED_VALUE"""),"LEONARDO WONG")</f>
        <v>LEONARDO WONG</v>
      </c>
      <c r="H1813" s="17" t="str">
        <f>IFERROR(__xludf.DUMMYFUNCTION("""COMPUTED_VALUE"""),"L9824109191")</f>
        <v>L9824109191</v>
      </c>
      <c r="I1813" s="17">
        <f>IFERROR(__xludf.DUMMYFUNCTION("""COMPUTED_VALUE"""),27.0)</f>
        <v>27</v>
      </c>
      <c r="J1813" s="17" t="str">
        <f>IFERROR(__xludf.DUMMYFUNCTION("""COMPUTED_VALUE"""),"25-34 tahun")</f>
        <v>25-34 tahun</v>
      </c>
      <c r="K1813" s="19">
        <f>IFERROR(__xludf.DUMMYFUNCTION("""COMPUTED_VALUE"""),36078.0)</f>
        <v>36078</v>
      </c>
      <c r="L1813" s="19" t="str">
        <f>IFERROR(__xludf.DUMMYFUNCTION("""COMPUTED_VALUE"""),"LAKI-LAKI")</f>
        <v>LAKI-LAKI</v>
      </c>
      <c r="M1813" s="35" t="str">
        <f>IFERROR(__xludf.DUMMYFUNCTION("""COMPUTED_VALUE"""),"JLN.BOULEVARD PERMATA MEDANG RUKO EDISON")</f>
        <v>JLN.BOULEVARD PERMATA MEDANG RUKO EDISON</v>
      </c>
      <c r="N1813" s="16" t="str">
        <f>IFERROR(__xludf.DUMMYFUNCTION("""COMPUTED_VALUE"""),"KEL. MEDANG")</f>
        <v>KEL. MEDANG</v>
      </c>
      <c r="O1813" s="16" t="str">
        <f>IFERROR(__xludf.DUMMYFUNCTION("""COMPUTED_VALUE"""),"KEC. PAGEDANGAN")</f>
        <v>KEC. PAGEDANGAN</v>
      </c>
      <c r="P1813" s="16" t="str">
        <f>IFERROR(__xludf.DUMMYFUNCTION("""COMPUTED_VALUE"""),"KAB. TANGGERANG")</f>
        <v>KAB. TANGGERANG</v>
      </c>
      <c r="Q1813" s="16" t="str">
        <f>IFERROR(__xludf.DUMMYFUNCTION("""COMPUTED_VALUE"""),"BANTEN")</f>
        <v>BANTEN</v>
      </c>
      <c r="R1813" s="19" t="str">
        <f>IFERROR(__xludf.DUMMYFUNCTION("""COMPUTED_VALUE"""),"BUDDHA")</f>
        <v>BUDDHA</v>
      </c>
      <c r="S1813" s="35" t="str">
        <f>IFERROR(__xludf.DUMMYFUNCTION("""COMPUTED_VALUE"""),"WIRASWASTA")</f>
        <v>WIRASWASTA</v>
      </c>
      <c r="T1813" s="36" t="str">
        <f>IFERROR(__xludf.DUMMYFUNCTION("""COMPUTED_VALUE"""),"cedera lutut")</f>
        <v>cedera lutut</v>
      </c>
      <c r="U1813" s="16" t="str">
        <f>IFERROR(__xludf.DUMMYFUNCTION("""COMPUTED_VALUE"""),"main basket")</f>
        <v>main basket</v>
      </c>
      <c r="V1813" s="11" t="str">
        <f>IFERROR(__xludf.DUMMYFUNCTION("""COMPUTED_VALUE"""),"081255639191")</f>
        <v>081255639191</v>
      </c>
      <c r="W1813" s="15"/>
    </row>
    <row r="1814" ht="22.5" customHeight="1">
      <c r="A1814" s="8"/>
      <c r="B1814" s="9">
        <f>IFERROR(__xludf.DUMMYFUNCTION("""COMPUTED_VALUE"""),45573.7862549537)</f>
        <v>45573.78625</v>
      </c>
      <c r="C1814" s="9"/>
      <c r="D1814" s="34">
        <f>IFERROR(__xludf.DUMMYFUNCTION("""COMPUTED_VALUE"""),45586.0)</f>
        <v>45586</v>
      </c>
      <c r="E1814" s="34" t="str">
        <f>IFERROR(__xludf.DUMMYFUNCTION("""COMPUTED_VALUE"""),"10Okt")</f>
        <v>10Okt</v>
      </c>
      <c r="F1814" s="34" t="str">
        <f>IFERROR(__xludf.DUMMYFUNCTION("""COMPUTED_VALUE"""),"2024")</f>
        <v>2024</v>
      </c>
      <c r="G1814" s="36" t="str">
        <f>IFERROR(__xludf.DUMMYFUNCTION("""COMPUTED_VALUE"""),"ILHAM ROSI AKBAR")</f>
        <v>ILHAM ROSI AKBAR</v>
      </c>
      <c r="H1814" s="17" t="str">
        <f>IFERROR(__xludf.DUMMYFUNCTION("""COMPUTED_VALUE"""),"I9524108125")</f>
        <v>I9524108125</v>
      </c>
      <c r="I1814" s="17">
        <f>IFERROR(__xludf.DUMMYFUNCTION("""COMPUTED_VALUE"""),30.0)</f>
        <v>30</v>
      </c>
      <c r="J1814" s="17" t="str">
        <f>IFERROR(__xludf.DUMMYFUNCTION("""COMPUTED_VALUE"""),"25-34 tahun")</f>
        <v>25-34 tahun</v>
      </c>
      <c r="K1814" s="19">
        <f>IFERROR(__xludf.DUMMYFUNCTION("""COMPUTED_VALUE"""),35023.0)</f>
        <v>35023</v>
      </c>
      <c r="L1814" s="19" t="str">
        <f>IFERROR(__xludf.DUMMYFUNCTION("""COMPUTED_VALUE"""),"LAKI-LAKI")</f>
        <v>LAKI-LAKI</v>
      </c>
      <c r="M1814" s="35" t="str">
        <f>IFERROR(__xludf.DUMMYFUNCTION("""COMPUTED_VALUE"""),"JL H RAIS A RAHMAN GG REFORMASI NO 19")</f>
        <v>JL H RAIS A RAHMAN GG REFORMASI NO 19</v>
      </c>
      <c r="N1814" s="16" t="str">
        <f>IFERROR(__xludf.DUMMYFUNCTION("""COMPUTED_VALUE"""),"KEL. SUNGAI JAWI")</f>
        <v>KEL. SUNGAI JAWI</v>
      </c>
      <c r="O1814" s="16" t="str">
        <f>IFERROR(__xludf.DUMMYFUNCTION("""COMPUTED_VALUE"""),"KEC. PONTIANAK BARAT")</f>
        <v>KEC. PONTIANAK BARAT</v>
      </c>
      <c r="P1814" s="16" t="str">
        <f>IFERROR(__xludf.DUMMYFUNCTION("""COMPUTED_VALUE"""),"KOTA PONTIANAK")</f>
        <v>KOTA PONTIANAK</v>
      </c>
      <c r="Q1814" s="16" t="str">
        <f>IFERROR(__xludf.DUMMYFUNCTION("""COMPUTED_VALUE"""),"KALIMANTAN BARAT")</f>
        <v>KALIMANTAN BARAT</v>
      </c>
      <c r="R1814" s="19" t="str">
        <f>IFERROR(__xludf.DUMMYFUNCTION("""COMPUTED_VALUE"""),"ISLAM")</f>
        <v>ISLAM</v>
      </c>
      <c r="S1814" s="16" t="str">
        <f>IFERROR(__xludf.DUMMYFUNCTION("""COMPUTED_VALUE"""),"BUMN")</f>
        <v>BUMN</v>
      </c>
      <c r="T1814" s="16" t="str">
        <f>IFERROR(__xludf.DUMMYFUNCTION("""COMPUTED_VALUE"""),"cedera setelah main bola")</f>
        <v>cedera setelah main bola</v>
      </c>
      <c r="U1814" s="16" t="str">
        <f>IFERROR(__xludf.DUMMYFUNCTION("""COMPUTED_VALUE"""),"olahraga")</f>
        <v>olahraga</v>
      </c>
      <c r="V1814" s="11" t="str">
        <f>IFERROR(__xludf.DUMMYFUNCTION("""COMPUTED_VALUE"""),"08115628125")</f>
        <v>08115628125</v>
      </c>
      <c r="W1814" s="15"/>
    </row>
    <row r="1815" ht="22.5" customHeight="1">
      <c r="A1815" s="8"/>
      <c r="B1815" s="9">
        <f>IFERROR(__xludf.DUMMYFUNCTION("""COMPUTED_VALUE"""),45573.83489113426)</f>
        <v>45573.83489</v>
      </c>
      <c r="C1815" s="9"/>
      <c r="D1815" s="34">
        <f>IFERROR(__xludf.DUMMYFUNCTION("""COMPUTED_VALUE"""),45586.0)</f>
        <v>45586</v>
      </c>
      <c r="E1815" s="34" t="str">
        <f>IFERROR(__xludf.DUMMYFUNCTION("""COMPUTED_VALUE"""),"10Okt")</f>
        <v>10Okt</v>
      </c>
      <c r="F1815" s="34" t="str">
        <f>IFERROR(__xludf.DUMMYFUNCTION("""COMPUTED_VALUE"""),"2024")</f>
        <v>2024</v>
      </c>
      <c r="G1815" s="36" t="str">
        <f>IFERROR(__xludf.DUMMYFUNCTION("""COMPUTED_VALUE"""),"SUMIATI (PENITI)")</f>
        <v>SUMIATI (PENITI)</v>
      </c>
      <c r="H1815" s="17" t="str">
        <f>IFERROR(__xludf.DUMMYFUNCTION("""COMPUTED_VALUE"""),"S7224106820")</f>
        <v>S7224106820</v>
      </c>
      <c r="I1815" s="17">
        <f>IFERROR(__xludf.DUMMYFUNCTION("""COMPUTED_VALUE"""),53.0)</f>
        <v>53</v>
      </c>
      <c r="J1815" s="17" t="str">
        <f>IFERROR(__xludf.DUMMYFUNCTION("""COMPUTED_VALUE"""),"&gt; 44 tahun")</f>
        <v>&gt; 44 tahun</v>
      </c>
      <c r="K1815" s="19">
        <f>IFERROR(__xludf.DUMMYFUNCTION("""COMPUTED_VALUE"""),26548.0)</f>
        <v>26548</v>
      </c>
      <c r="L1815" s="19" t="str">
        <f>IFERROR(__xludf.DUMMYFUNCTION("""COMPUTED_VALUE"""),"PEREMPUAN")</f>
        <v>PEREMPUAN</v>
      </c>
      <c r="M1815" s="35" t="str">
        <f>IFERROR(__xludf.DUMMYFUNCTION("""COMPUTED_VALUE"""),"JL. RAYA")</f>
        <v>JL. RAYA</v>
      </c>
      <c r="N1815" s="16" t="str">
        <f>IFERROR(__xludf.DUMMYFUNCTION("""COMPUTED_VALUE"""),"KEL. PENITI LUAR")</f>
        <v>KEL. PENITI LUAR</v>
      </c>
      <c r="O1815" s="16" t="str">
        <f>IFERROR(__xludf.DUMMYFUNCTION("""COMPUTED_VALUE"""),"KEC. SIANTAN")</f>
        <v>KEC. SIANTAN</v>
      </c>
      <c r="P1815" s="16" t="str">
        <f>IFERROR(__xludf.DUMMYFUNCTION("""COMPUTED_VALUE"""),"KAB. MEMPAWAH")</f>
        <v>KAB. MEMPAWAH</v>
      </c>
      <c r="Q1815" s="16" t="str">
        <f>IFERROR(__xludf.DUMMYFUNCTION("""COMPUTED_VALUE"""),"KALIMANTAN BARAT")</f>
        <v>KALIMANTAN BARAT</v>
      </c>
      <c r="R1815" s="19" t="str">
        <f>IFERROR(__xludf.DUMMYFUNCTION("""COMPUTED_VALUE"""),"PROTESTAN")</f>
        <v>PROTESTAN</v>
      </c>
      <c r="S1815" s="16" t="str">
        <f>IFERROR(__xludf.DUMMYFUNCTION("""COMPUTED_VALUE"""),"RUMAH TANGGA")</f>
        <v>RUMAH TANGGA</v>
      </c>
      <c r="T1815" s="36" t="str">
        <f>IFERROR(__xludf.DUMMYFUNCTION("""COMPUTED_VALUE"""),"PERGELANGAN TANGAN KIRI SAKIT")</f>
        <v>PERGELANGAN TANGAN KIRI SAKIT</v>
      </c>
      <c r="U1815" s="16" t="str">
        <f>IFERROR(__xludf.DUMMYFUNCTION("""COMPUTED_VALUE"""),"NONTON HP, KADANG KE SAWAH")</f>
        <v>NONTON HP, KADANG KE SAWAH</v>
      </c>
      <c r="V1815" s="11" t="str">
        <f>IFERROR(__xludf.DUMMYFUNCTION("""COMPUTED_VALUE"""),"083142206820")</f>
        <v>083142206820</v>
      </c>
      <c r="W1815" s="15"/>
    </row>
    <row r="1816" ht="22.5" customHeight="1">
      <c r="A1816" s="8"/>
      <c r="B1816" s="9">
        <f>IFERROR(__xludf.DUMMYFUNCTION("""COMPUTED_VALUE"""),45573.8497575463)</f>
        <v>45573.84976</v>
      </c>
      <c r="C1816" s="9"/>
      <c r="D1816" s="34">
        <f>IFERROR(__xludf.DUMMYFUNCTION("""COMPUTED_VALUE"""),45586.0)</f>
        <v>45586</v>
      </c>
      <c r="E1816" s="34" t="str">
        <f>IFERROR(__xludf.DUMMYFUNCTION("""COMPUTED_VALUE"""),"10Okt")</f>
        <v>10Okt</v>
      </c>
      <c r="F1816" s="34" t="str">
        <f>IFERROR(__xludf.DUMMYFUNCTION("""COMPUTED_VALUE"""),"2024")</f>
        <v>2024</v>
      </c>
      <c r="G1816" s="36" t="str">
        <f>IFERROR(__xludf.DUMMYFUNCTION("""COMPUTED_VALUE"""),"TJAN TIONG HONG")</f>
        <v>TJAN TIONG HONG</v>
      </c>
      <c r="H1816" s="17" t="str">
        <f>IFERROR(__xludf.DUMMYFUNCTION("""COMPUTED_VALUE"""),"T7524104338")</f>
        <v>T7524104338</v>
      </c>
      <c r="I1816" s="17">
        <f>IFERROR(__xludf.DUMMYFUNCTION("""COMPUTED_VALUE"""),51.0)</f>
        <v>51</v>
      </c>
      <c r="J1816" s="17" t="str">
        <f>IFERROR(__xludf.DUMMYFUNCTION("""COMPUTED_VALUE"""),"&gt; 44 tahun")</f>
        <v>&gt; 44 tahun</v>
      </c>
      <c r="K1816" s="19">
        <f>IFERROR(__xludf.DUMMYFUNCTION("""COMPUTED_VALUE"""),27415.0)</f>
        <v>27415</v>
      </c>
      <c r="L1816" s="19" t="str">
        <f>IFERROR(__xludf.DUMMYFUNCTION("""COMPUTED_VALUE"""),"PEREMPUAN")</f>
        <v>PEREMPUAN</v>
      </c>
      <c r="M1816" s="35" t="str">
        <f>IFERROR(__xludf.DUMMYFUNCTION("""COMPUTED_VALUE"""),"JL H R A RACHMAN GG BUKIT GADING NO 33B")</f>
        <v>JL H R A RACHMAN GG BUKIT GADING NO 33B</v>
      </c>
      <c r="N1816" s="16" t="str">
        <f>IFERROR(__xludf.DUMMYFUNCTION("""COMPUTED_VALUE"""),"KEL. PONTIANAK KOTA")</f>
        <v>KEL. PONTIANAK KOTA</v>
      </c>
      <c r="O1816" s="16" t="str">
        <f>IFERROR(__xludf.DUMMYFUNCTION("""COMPUTED_VALUE"""),"KEC. PONTIANAK KOTA")</f>
        <v>KEC. PONTIANAK KOTA</v>
      </c>
      <c r="P1816" s="16" t="str">
        <f>IFERROR(__xludf.DUMMYFUNCTION("""COMPUTED_VALUE"""),"KOTA PONTIANAK")</f>
        <v>KOTA PONTIANAK</v>
      </c>
      <c r="Q1816" s="16" t="str">
        <f>IFERROR(__xludf.DUMMYFUNCTION("""COMPUTED_VALUE"""),"KALIMANTAN BARAT")</f>
        <v>KALIMANTAN BARAT</v>
      </c>
      <c r="R1816" s="19" t="str">
        <f>IFERROR(__xludf.DUMMYFUNCTION("""COMPUTED_VALUE"""),"PROTESTAN")</f>
        <v>PROTESTAN</v>
      </c>
      <c r="S1816" s="16" t="str">
        <f>IFERROR(__xludf.DUMMYFUNCTION("""COMPUTED_VALUE"""),"RUMAH TANGGA")</f>
        <v>RUMAH TANGGA</v>
      </c>
      <c r="T1816" s="36" t="str">
        <f>IFERROR(__xludf.DUMMYFUNCTION("""COMPUTED_VALUE"""),"Sakit kaki")</f>
        <v>Sakit kaki</v>
      </c>
      <c r="U1816" s="16" t="str">
        <f>IFERROR(__xludf.DUMMYFUNCTION("""COMPUTED_VALUE"""),"Olahraga")</f>
        <v>Olahraga</v>
      </c>
      <c r="V1816" s="11" t="str">
        <f>IFERROR(__xludf.DUMMYFUNCTION("""COMPUTED_VALUE"""),"085245634338")</f>
        <v>085245634338</v>
      </c>
      <c r="W1816" s="15"/>
    </row>
    <row r="1817" ht="22.5" customHeight="1">
      <c r="A1817" s="8"/>
      <c r="B1817" s="9">
        <f>IFERROR(__xludf.DUMMYFUNCTION("""COMPUTED_VALUE"""),45574.40388957176)</f>
        <v>45574.40389</v>
      </c>
      <c r="C1817" s="9"/>
      <c r="D1817" s="10">
        <f>IFERROR(__xludf.DUMMYFUNCTION("""COMPUTED_VALUE"""),45587.0)</f>
        <v>45587</v>
      </c>
      <c r="E1817" s="10" t="str">
        <f>IFERROR(__xludf.DUMMYFUNCTION("""COMPUTED_VALUE"""),"10Okt")</f>
        <v>10Okt</v>
      </c>
      <c r="F1817" s="10" t="str">
        <f>IFERROR(__xludf.DUMMYFUNCTION("""COMPUTED_VALUE"""),"2024")</f>
        <v>2024</v>
      </c>
      <c r="G1817" s="16" t="str">
        <f>IFERROR(__xludf.DUMMYFUNCTION("""COMPUTED_VALUE"""),"UTIN NADIA JUWITA")</f>
        <v>UTIN NADIA JUWITA</v>
      </c>
      <c r="H1817" s="17" t="str">
        <f>IFERROR(__xludf.DUMMYFUNCTION("""COMPUTED_VALUE"""),"U8224105120")</f>
        <v>U8224105120</v>
      </c>
      <c r="I1817" s="17">
        <f>IFERROR(__xludf.DUMMYFUNCTION("""COMPUTED_VALUE"""),44.0)</f>
        <v>44</v>
      </c>
      <c r="J1817" s="17" t="str">
        <f>IFERROR(__xludf.DUMMYFUNCTION("""COMPUTED_VALUE"""),"35-44 tahun")</f>
        <v>35-44 tahun</v>
      </c>
      <c r="K1817" s="19">
        <f>IFERROR(__xludf.DUMMYFUNCTION("""COMPUTED_VALUE"""),30085.0)</f>
        <v>30085</v>
      </c>
      <c r="L1817" s="19" t="str">
        <f>IFERROR(__xludf.DUMMYFUNCTION("""COMPUTED_VALUE"""),"PEREMPUAN")</f>
        <v>PEREMPUAN</v>
      </c>
      <c r="M1817" s="35" t="str">
        <f>IFERROR(__xludf.DUMMYFUNCTION("""COMPUTED_VALUE"""),"JL. HUSIEN HAMZAH KM.5 NO.145")</f>
        <v>JL. HUSIEN HAMZAH KM.5 NO.145</v>
      </c>
      <c r="N1817" s="16" t="str">
        <f>IFERROR(__xludf.DUMMYFUNCTION("""COMPUTED_VALUE"""),"KEL. PAL LIMA")</f>
        <v>KEL. PAL LIMA</v>
      </c>
      <c r="O1817" s="16" t="str">
        <f>IFERROR(__xludf.DUMMYFUNCTION("""COMPUTED_VALUE"""),"KEC. PONTIANAK BARAT")</f>
        <v>KEC. PONTIANAK BARAT</v>
      </c>
      <c r="P1817" s="16" t="str">
        <f>IFERROR(__xludf.DUMMYFUNCTION("""COMPUTED_VALUE"""),"KOTA PONTIANAK")</f>
        <v>KOTA PONTIANAK</v>
      </c>
      <c r="Q1817" s="16" t="str">
        <f>IFERROR(__xludf.DUMMYFUNCTION("""COMPUTED_VALUE"""),"KALIMANTAN BARAT")</f>
        <v>KALIMANTAN BARAT</v>
      </c>
      <c r="R1817" s="19" t="str">
        <f>IFERROR(__xludf.DUMMYFUNCTION("""COMPUTED_VALUE"""),"ISLAM")</f>
        <v>ISLAM</v>
      </c>
      <c r="S1817" s="35" t="str">
        <f>IFERROR(__xludf.DUMMYFUNCTION("""COMPUTED_VALUE"""),"ASN")</f>
        <v>ASN</v>
      </c>
      <c r="T1817" s="16" t="str">
        <f>IFERROR(__xludf.DUMMYFUNCTION("""COMPUTED_VALUE"""),"Sakit dan nyeri lengan sebelah kanan sampai ke bahu")</f>
        <v>Sakit dan nyeri lengan sebelah kanan sampai ke bahu</v>
      </c>
      <c r="U1817" s="16" t="str">
        <f>IFERROR(__xludf.DUMMYFUNCTION("""COMPUTED_VALUE"""),"Jalan2")</f>
        <v>Jalan2</v>
      </c>
      <c r="V1817" s="11" t="str">
        <f>IFERROR(__xludf.DUMMYFUNCTION("""COMPUTED_VALUE"""),"081256125120")</f>
        <v>081256125120</v>
      </c>
      <c r="W1817" s="15"/>
    </row>
    <row r="1818" ht="22.5" customHeight="1">
      <c r="A1818" s="8"/>
      <c r="B1818" s="9">
        <f>IFERROR(__xludf.DUMMYFUNCTION("""COMPUTED_VALUE"""),45574.64448333334)</f>
        <v>45574.64448</v>
      </c>
      <c r="C1818" s="9"/>
      <c r="D1818" s="10">
        <f>IFERROR(__xludf.DUMMYFUNCTION("""COMPUTED_VALUE"""),45587.0)</f>
        <v>45587</v>
      </c>
      <c r="E1818" s="10" t="str">
        <f>IFERROR(__xludf.DUMMYFUNCTION("""COMPUTED_VALUE"""),"10Okt")</f>
        <v>10Okt</v>
      </c>
      <c r="F1818" s="10" t="str">
        <f>IFERROR(__xludf.DUMMYFUNCTION("""COMPUTED_VALUE"""),"2024")</f>
        <v>2024</v>
      </c>
      <c r="G1818" s="36" t="str">
        <f>IFERROR(__xludf.DUMMYFUNCTION("""COMPUTED_VALUE"""),"ETHAN EFFENDY")</f>
        <v>ETHAN EFFENDY</v>
      </c>
      <c r="H1818" s="17" t="str">
        <f>IFERROR(__xludf.DUMMYFUNCTION("""COMPUTED_VALUE"""),"E1824109688")</f>
        <v>E1824109688</v>
      </c>
      <c r="I1818" s="17">
        <f>IFERROR(__xludf.DUMMYFUNCTION("""COMPUTED_VALUE"""),7.0)</f>
        <v>7</v>
      </c>
      <c r="J1818" s="17" t="str">
        <f>IFERROR(__xludf.DUMMYFUNCTION("""COMPUTED_VALUE"""),"&lt; 18 tahun")</f>
        <v>&lt; 18 tahun</v>
      </c>
      <c r="K1818" s="19">
        <f>IFERROR(__xludf.DUMMYFUNCTION("""COMPUTED_VALUE"""),43278.0)</f>
        <v>43278</v>
      </c>
      <c r="L1818" s="19" t="str">
        <f>IFERROR(__xludf.DUMMYFUNCTION("""COMPUTED_VALUE"""),"LAKI-LAKI")</f>
        <v>LAKI-LAKI</v>
      </c>
      <c r="M1818" s="35" t="str">
        <f>IFERROR(__xludf.DUMMYFUNCTION("""COMPUTED_VALUE"""),"JL H RAIS A RAHMAN NO 271")</f>
        <v>JL H RAIS A RAHMAN NO 271</v>
      </c>
      <c r="N1818" s="16" t="str">
        <f>IFERROR(__xludf.DUMMYFUNCTION("""COMPUTED_VALUE"""),"KEL. SUNGAI JAWI DALAM")</f>
        <v>KEL. SUNGAI JAWI DALAM</v>
      </c>
      <c r="O1818" s="16" t="str">
        <f>IFERROR(__xludf.DUMMYFUNCTION("""COMPUTED_VALUE"""),"KEC. PONTIANAK BARAT")</f>
        <v>KEC. PONTIANAK BARAT</v>
      </c>
      <c r="P1818" s="16" t="str">
        <f>IFERROR(__xludf.DUMMYFUNCTION("""COMPUTED_VALUE"""),"KOTA PONTIANAK")</f>
        <v>KOTA PONTIANAK</v>
      </c>
      <c r="Q1818" s="16" t="str">
        <f>IFERROR(__xludf.DUMMYFUNCTION("""COMPUTED_VALUE"""),"KALIMANTAN BARAT")</f>
        <v>KALIMANTAN BARAT</v>
      </c>
      <c r="R1818" s="19" t="str">
        <f>IFERROR(__xludf.DUMMYFUNCTION("""COMPUTED_VALUE"""),"PROTESTAN")</f>
        <v>PROTESTAN</v>
      </c>
      <c r="S1818" s="35" t="str">
        <f>IFERROR(__xludf.DUMMYFUNCTION("""COMPUTED_VALUE"""),"PELAJAR/MAHASISWA")</f>
        <v>PELAJAR/MAHASISWA</v>
      </c>
      <c r="T1818" s="36" t="str">
        <f>IFERROR(__xludf.DUMMYFUNCTION("""COMPUTED_VALUE"""),"Tangan habis jatuh")</f>
        <v>Tangan habis jatuh</v>
      </c>
      <c r="U1818" s="16" t="str">
        <f>IFERROR(__xludf.DUMMYFUNCTION("""COMPUTED_VALUE"""),"Berlari")</f>
        <v>Berlari</v>
      </c>
      <c r="V1818" s="11" t="str">
        <f>IFERROR(__xludf.DUMMYFUNCTION("""COMPUTED_VALUE"""),"087888989688")</f>
        <v>087888989688</v>
      </c>
      <c r="W1818" s="15"/>
    </row>
    <row r="1819" ht="22.5" customHeight="1">
      <c r="A1819" s="8"/>
      <c r="B1819" s="9">
        <f>IFERROR(__xludf.DUMMYFUNCTION("""COMPUTED_VALUE"""),45577.46543732639)</f>
        <v>45577.46544</v>
      </c>
      <c r="C1819" s="9"/>
      <c r="D1819" s="10">
        <f>IFERROR(__xludf.DUMMYFUNCTION("""COMPUTED_VALUE"""),45587.0)</f>
        <v>45587</v>
      </c>
      <c r="E1819" s="10" t="str">
        <f>IFERROR(__xludf.DUMMYFUNCTION("""COMPUTED_VALUE"""),"10Okt")</f>
        <v>10Okt</v>
      </c>
      <c r="F1819" s="10" t="str">
        <f>IFERROR(__xludf.DUMMYFUNCTION("""COMPUTED_VALUE"""),"2024")</f>
        <v>2024</v>
      </c>
      <c r="G1819" s="16" t="str">
        <f>IFERROR(__xludf.DUMMYFUNCTION("""COMPUTED_VALUE"""),"YOGA PRASETIA RAMADHANI")</f>
        <v>YOGA PRASETIA RAMADHANI</v>
      </c>
      <c r="H1819" s="17" t="str">
        <f>IFERROR(__xludf.DUMMYFUNCTION("""COMPUTED_VALUE"""),"Y9824108905")</f>
        <v>Y9824108905</v>
      </c>
      <c r="I1819" s="17">
        <f>IFERROR(__xludf.DUMMYFUNCTION("""COMPUTED_VALUE"""),28.0)</f>
        <v>28</v>
      </c>
      <c r="J1819" s="17" t="str">
        <f>IFERROR(__xludf.DUMMYFUNCTION("""COMPUTED_VALUE"""),"25-34 tahun")</f>
        <v>25-34 tahun</v>
      </c>
      <c r="K1819" s="19">
        <f>IFERROR(__xludf.DUMMYFUNCTION("""COMPUTED_VALUE"""),35802.0)</f>
        <v>35802</v>
      </c>
      <c r="L1819" s="19" t="str">
        <f>IFERROR(__xludf.DUMMYFUNCTION("""COMPUTED_VALUE"""),"LAKI-LAKI")</f>
        <v>LAKI-LAKI</v>
      </c>
      <c r="M1819" s="35" t="str">
        <f>IFERROR(__xludf.DUMMYFUNCTION("""COMPUTED_VALUE"""),"GG. SEJARAH NO 25")</f>
        <v>GG. SEJARAH NO 25</v>
      </c>
      <c r="N1819" s="16" t="str">
        <f>IFERROR(__xludf.DUMMYFUNCTION("""COMPUTED_VALUE"""),"KEL. SUNGAI JAWI")</f>
        <v>KEL. SUNGAI JAWI</v>
      </c>
      <c r="O1819" s="16" t="str">
        <f>IFERROR(__xludf.DUMMYFUNCTION("""COMPUTED_VALUE"""),"KEC. PONTIANAK KOTA")</f>
        <v>KEC. PONTIANAK KOTA</v>
      </c>
      <c r="P1819" s="16" t="str">
        <f>IFERROR(__xludf.DUMMYFUNCTION("""COMPUTED_VALUE"""),"KOTA PONTIANAK")</f>
        <v>KOTA PONTIANAK</v>
      </c>
      <c r="Q1819" s="16" t="str">
        <f>IFERROR(__xludf.DUMMYFUNCTION("""COMPUTED_VALUE"""),"KALIMANTAN BARAT")</f>
        <v>KALIMANTAN BARAT</v>
      </c>
      <c r="R1819" s="19" t="str">
        <f>IFERROR(__xludf.DUMMYFUNCTION("""COMPUTED_VALUE"""),"ISLAM")</f>
        <v>ISLAM</v>
      </c>
      <c r="S1819" s="35" t="str">
        <f>IFERROR(__xludf.DUMMYFUNCTION("""COMPUTED_VALUE"""),"FREELANCE")</f>
        <v>FREELANCE</v>
      </c>
      <c r="T1819" s="16" t="str">
        <f>IFERROR(__xludf.DUMMYFUNCTION("""COMPUTED_VALUE"""),"BAGIAN PANTAT SAKIT")</f>
        <v>BAGIAN PANTAT SAKIT</v>
      </c>
      <c r="U1819" s="16" t="str">
        <f>IFERROR(__xludf.DUMMYFUNCTION("""COMPUTED_VALUE"""),"BULUTANGKIS")</f>
        <v>BULUTANGKIS</v>
      </c>
      <c r="V1819" s="11" t="str">
        <f>IFERROR(__xludf.DUMMYFUNCTION("""COMPUTED_VALUE"""),"081351738905")</f>
        <v>081351738905</v>
      </c>
      <c r="W1819" s="15"/>
    </row>
    <row r="1820" ht="22.5" customHeight="1">
      <c r="A1820" s="8"/>
      <c r="B1820" s="9">
        <f>IFERROR(__xludf.DUMMYFUNCTION("""COMPUTED_VALUE"""),45577.49197524306)</f>
        <v>45577.49198</v>
      </c>
      <c r="C1820" s="9"/>
      <c r="D1820" s="10">
        <f>IFERROR(__xludf.DUMMYFUNCTION("""COMPUTED_VALUE"""),45587.0)</f>
        <v>45587</v>
      </c>
      <c r="E1820" s="10" t="str">
        <f>IFERROR(__xludf.DUMMYFUNCTION("""COMPUTED_VALUE"""),"10Okt")</f>
        <v>10Okt</v>
      </c>
      <c r="F1820" s="10" t="str">
        <f>IFERROR(__xludf.DUMMYFUNCTION("""COMPUTED_VALUE"""),"2024")</f>
        <v>2024</v>
      </c>
      <c r="G1820" s="16" t="str">
        <f>IFERROR(__xludf.DUMMYFUNCTION("""COMPUTED_VALUE"""),"TJIA SUI NGIAM")</f>
        <v>TJIA SUI NGIAM</v>
      </c>
      <c r="H1820" s="17" t="str">
        <f>IFERROR(__xludf.DUMMYFUNCTION("""COMPUTED_VALUE"""),"T7124107338")</f>
        <v>T7124107338</v>
      </c>
      <c r="I1820" s="17">
        <f>IFERROR(__xludf.DUMMYFUNCTION("""COMPUTED_VALUE"""),54.0)</f>
        <v>54</v>
      </c>
      <c r="J1820" s="17" t="str">
        <f>IFERROR(__xludf.DUMMYFUNCTION("""COMPUTED_VALUE"""),"&gt; 44 tahun")</f>
        <v>&gt; 44 tahun</v>
      </c>
      <c r="K1820" s="19">
        <f>IFERROR(__xludf.DUMMYFUNCTION("""COMPUTED_VALUE"""),26234.0)</f>
        <v>26234</v>
      </c>
      <c r="L1820" s="19" t="str">
        <f>IFERROR(__xludf.DUMMYFUNCTION("""COMPUTED_VALUE"""),"PEREMPUAN")</f>
        <v>PEREMPUAN</v>
      </c>
      <c r="M1820" s="35" t="str">
        <f>IFERROR(__xludf.DUMMYFUNCTION("""COMPUTED_VALUE"""),"JL WR SUPRATMAN GG WARU 5 NO 101")</f>
        <v>JL WR SUPRATMAN GG WARU 5 NO 101</v>
      </c>
      <c r="N1820" s="16" t="str">
        <f>IFERROR(__xludf.DUMMYFUNCTION("""COMPUTED_VALUE"""),"KEL. BENUA MELAYU DARAT")</f>
        <v>KEL. BENUA MELAYU DARAT</v>
      </c>
      <c r="O1820" s="16" t="str">
        <f>IFERROR(__xludf.DUMMYFUNCTION("""COMPUTED_VALUE"""),"KEC. PONTIANAK SELATAN")</f>
        <v>KEC. PONTIANAK SELATAN</v>
      </c>
      <c r="P1820" s="16" t="str">
        <f>IFERROR(__xludf.DUMMYFUNCTION("""COMPUTED_VALUE"""),"KOTA PONTIANAK")</f>
        <v>KOTA PONTIANAK</v>
      </c>
      <c r="Q1820" s="16" t="str">
        <f>IFERROR(__xludf.DUMMYFUNCTION("""COMPUTED_VALUE"""),"KALIMANTAN BARAT")</f>
        <v>KALIMANTAN BARAT</v>
      </c>
      <c r="R1820" s="19" t="str">
        <f>IFERROR(__xludf.DUMMYFUNCTION("""COMPUTED_VALUE"""),"BUDDHA")</f>
        <v>BUDDHA</v>
      </c>
      <c r="S1820" s="16" t="str">
        <f>IFERROR(__xludf.DUMMYFUNCTION("""COMPUTED_VALUE"""),"RUMAH TANGGA")</f>
        <v>RUMAH TANGGA</v>
      </c>
      <c r="T1820" s="16" t="str">
        <f>IFERROR(__xludf.DUMMYFUNCTION("""COMPUTED_VALUE"""),"Badan sakit, leher, kepala dada sebab hantaman")</f>
        <v>Badan sakit, leher, kepala dada sebab hantaman</v>
      </c>
      <c r="U1820" s="16" t="str">
        <f>IFERROR(__xludf.DUMMYFUNCTION("""COMPUTED_VALUE"""),"Pekerjaan sehari-hari dirumah")</f>
        <v>Pekerjaan sehari-hari dirumah</v>
      </c>
      <c r="V1820" s="11" t="str">
        <f>IFERROR(__xludf.DUMMYFUNCTION("""COMPUTED_VALUE"""),"082251077338")</f>
        <v>082251077338</v>
      </c>
      <c r="W1820" s="15"/>
    </row>
    <row r="1821" ht="22.5" customHeight="1">
      <c r="A1821" s="8"/>
      <c r="B1821" s="9">
        <f>IFERROR(__xludf.DUMMYFUNCTION("""COMPUTED_VALUE"""),45577.56609070602)</f>
        <v>45577.56609</v>
      </c>
      <c r="C1821" s="9"/>
      <c r="D1821" s="10">
        <f>IFERROR(__xludf.DUMMYFUNCTION("""COMPUTED_VALUE"""),45588.0)</f>
        <v>45588</v>
      </c>
      <c r="E1821" s="10" t="str">
        <f>IFERROR(__xludf.DUMMYFUNCTION("""COMPUTED_VALUE"""),"10Okt")</f>
        <v>10Okt</v>
      </c>
      <c r="F1821" s="10" t="str">
        <f>IFERROR(__xludf.DUMMYFUNCTION("""COMPUTED_VALUE"""),"2024")</f>
        <v>2024</v>
      </c>
      <c r="G1821" s="16" t="str">
        <f>IFERROR(__xludf.DUMMYFUNCTION("""COMPUTED_VALUE"""),"RAHMADHANI ADIYATMA")</f>
        <v>RAHMADHANI ADIYATMA</v>
      </c>
      <c r="H1821" s="17" t="str">
        <f>IFERROR(__xludf.DUMMYFUNCTION("""COMPUTED_VALUE"""),"R9724105694")</f>
        <v>R9724105694</v>
      </c>
      <c r="I1821" s="17">
        <f>IFERROR(__xludf.DUMMYFUNCTION("""COMPUTED_VALUE"""),29.0)</f>
        <v>29</v>
      </c>
      <c r="J1821" s="17" t="str">
        <f>IFERROR(__xludf.DUMMYFUNCTION("""COMPUTED_VALUE"""),"25-34 tahun")</f>
        <v>25-34 tahun</v>
      </c>
      <c r="K1821" s="19">
        <f>IFERROR(__xludf.DUMMYFUNCTION("""COMPUTED_VALUE"""),35445.0)</f>
        <v>35445</v>
      </c>
      <c r="L1821" s="19" t="str">
        <f>IFERROR(__xludf.DUMMYFUNCTION("""COMPUTED_VALUE"""),"LAKI-LAKI")</f>
        <v>LAKI-LAKI</v>
      </c>
      <c r="M1821" s="35" t="str">
        <f>IFERROR(__xludf.DUMMYFUNCTION("""COMPUTED_VALUE"""),"JL. TANI RT 001 RW 002")</f>
        <v>JL. TANI RT 001 RW 002</v>
      </c>
      <c r="N1821" s="16" t="str">
        <f>IFERROR(__xludf.DUMMYFUNCTION("""COMPUTED_VALUE"""),"KEL. SAIGON")</f>
        <v>KEL. SAIGON</v>
      </c>
      <c r="O1821" s="16" t="str">
        <f>IFERROR(__xludf.DUMMYFUNCTION("""COMPUTED_VALUE"""),"KEC. PONTIANAK TIMUR")</f>
        <v>KEC. PONTIANAK TIMUR</v>
      </c>
      <c r="P1821" s="16" t="str">
        <f>IFERROR(__xludf.DUMMYFUNCTION("""COMPUTED_VALUE"""),"KOTA PONTIANAK")</f>
        <v>KOTA PONTIANAK</v>
      </c>
      <c r="Q1821" s="16" t="str">
        <f>IFERROR(__xludf.DUMMYFUNCTION("""COMPUTED_VALUE"""),"KALIMANTAN BARAT")</f>
        <v>KALIMANTAN BARAT</v>
      </c>
      <c r="R1821" s="19" t="str">
        <f>IFERROR(__xludf.DUMMYFUNCTION("""COMPUTED_VALUE"""),"ISLAM")</f>
        <v>ISLAM</v>
      </c>
      <c r="S1821" s="16" t="str">
        <f>IFERROR(__xludf.DUMMYFUNCTION("""COMPUTED_VALUE"""),"DOSEN/GURU")</f>
        <v>DOSEN/GURU</v>
      </c>
      <c r="T1821" s="16" t="str">
        <f>IFERROR(__xludf.DUMMYFUNCTION("""COMPUTED_VALUE"""),"Nyeri lutut dan pergelangan kaki")</f>
        <v>Nyeri lutut dan pergelangan kaki</v>
      </c>
      <c r="U1821" s="16" t="str">
        <f>IFERROR(__xludf.DUMMYFUNCTION("""COMPUTED_VALUE"""),"Nonton film")</f>
        <v>Nonton film</v>
      </c>
      <c r="V1821" s="11" t="str">
        <f>IFERROR(__xludf.DUMMYFUNCTION("""COMPUTED_VALUE"""),"082154085694")</f>
        <v>082154085694</v>
      </c>
      <c r="W1821" s="15"/>
    </row>
    <row r="1822" ht="22.5" customHeight="1">
      <c r="A1822" s="8"/>
      <c r="B1822" s="9">
        <f>IFERROR(__xludf.DUMMYFUNCTION("""COMPUTED_VALUE"""),45577.75137219907)</f>
        <v>45577.75137</v>
      </c>
      <c r="C1822" s="9"/>
      <c r="D1822" s="10">
        <f>IFERROR(__xludf.DUMMYFUNCTION("""COMPUTED_VALUE"""),45588.0)</f>
        <v>45588</v>
      </c>
      <c r="E1822" s="10" t="str">
        <f>IFERROR(__xludf.DUMMYFUNCTION("""COMPUTED_VALUE"""),"10Okt")</f>
        <v>10Okt</v>
      </c>
      <c r="F1822" s="10" t="str">
        <f>IFERROR(__xludf.DUMMYFUNCTION("""COMPUTED_VALUE"""),"2024")</f>
        <v>2024</v>
      </c>
      <c r="G1822" s="16" t="str">
        <f>IFERROR(__xludf.DUMMYFUNCTION("""COMPUTED_VALUE"""),"MUHAMMAD IRZA ALFARIZI")</f>
        <v>MUHAMMAD IRZA ALFARIZI</v>
      </c>
      <c r="H1822" s="17" t="str">
        <f>IFERROR(__xludf.DUMMYFUNCTION("""COMPUTED_VALUE"""),"M0024104285")</f>
        <v>M0024104285</v>
      </c>
      <c r="I1822" s="17">
        <f>IFERROR(__xludf.DUMMYFUNCTION("""COMPUTED_VALUE"""),25.0)</f>
        <v>25</v>
      </c>
      <c r="J1822" s="17" t="str">
        <f>IFERROR(__xludf.DUMMYFUNCTION("""COMPUTED_VALUE"""),"25-34 tahun")</f>
        <v>25-34 tahun</v>
      </c>
      <c r="K1822" s="19">
        <f>IFERROR(__xludf.DUMMYFUNCTION("""COMPUTED_VALUE"""),36695.0)</f>
        <v>36695</v>
      </c>
      <c r="L1822" s="19" t="str">
        <f>IFERROR(__xludf.DUMMYFUNCTION("""COMPUTED_VALUE"""),"LAKI-LAKI")</f>
        <v>LAKI-LAKI</v>
      </c>
      <c r="M1822" s="35" t="str">
        <f>IFERROR(__xludf.DUMMYFUNCTION("""COMPUTED_VALUE"""),"JALAN BINTARA RT 002/ RW 001 KELURAHAN MEKAR JAYA")</f>
        <v>JALAN BINTARA RT 002/ RW 001 KELURAHAN MEKAR JAYA</v>
      </c>
      <c r="N1822" s="16" t="str">
        <f>IFERROR(__xludf.DUMMYFUNCTION("""COMPUTED_VALUE"""),"DS. MEKAR JAYA")</f>
        <v>DS. MEKAR JAYA</v>
      </c>
      <c r="O1822" s="16" t="str">
        <f>IFERROR(__xludf.DUMMYFUNCTION("""COMPUTED_VALUE"""),"KEC. SINTANG")</f>
        <v>KEC. SINTANG</v>
      </c>
      <c r="P1822" s="16" t="str">
        <f>IFERROR(__xludf.DUMMYFUNCTION("""COMPUTED_VALUE"""),"KAB. SINTANG")</f>
        <v>KAB. SINTANG</v>
      </c>
      <c r="Q1822" s="16" t="str">
        <f>IFERROR(__xludf.DUMMYFUNCTION("""COMPUTED_VALUE"""),"KALIMANTAN BARAT")</f>
        <v>KALIMANTAN BARAT</v>
      </c>
      <c r="R1822" s="19" t="str">
        <f>IFERROR(__xludf.DUMMYFUNCTION("""COMPUTED_VALUE"""),"ISLAM")</f>
        <v>ISLAM</v>
      </c>
      <c r="S1822" s="35" t="str">
        <f>IFERROR(__xludf.DUMMYFUNCTION("""COMPUTED_VALUE"""),"TIDAK ADA")</f>
        <v>TIDAK ADA</v>
      </c>
      <c r="T1822" s="16" t="str">
        <f>IFERROR(__xludf.DUMMYFUNCTION("""COMPUTED_VALUE"""),"Cedera lutut kanan")</f>
        <v>Cedera lutut kanan</v>
      </c>
      <c r="U1822" s="16" t="str">
        <f>IFERROR(__xludf.DUMMYFUNCTION("""COMPUTED_VALUE"""),"Main sepak bola / futsal")</f>
        <v>Main sepak bola / futsal</v>
      </c>
      <c r="V1822" s="11" t="str">
        <f>IFERROR(__xludf.DUMMYFUNCTION("""COMPUTED_VALUE"""),"081345024285")</f>
        <v>081345024285</v>
      </c>
      <c r="W1822" s="15"/>
    </row>
    <row r="1823" ht="22.5" customHeight="1">
      <c r="A1823" s="8"/>
      <c r="B1823" s="9">
        <f>IFERROR(__xludf.DUMMYFUNCTION("""COMPUTED_VALUE"""),45578.38867855324)</f>
        <v>45578.38868</v>
      </c>
      <c r="C1823" s="9"/>
      <c r="D1823" s="10">
        <f>IFERROR(__xludf.DUMMYFUNCTION("""COMPUTED_VALUE"""),45588.0)</f>
        <v>45588</v>
      </c>
      <c r="E1823" s="10" t="str">
        <f>IFERROR(__xludf.DUMMYFUNCTION("""COMPUTED_VALUE"""),"10Okt")</f>
        <v>10Okt</v>
      </c>
      <c r="F1823" s="10" t="str">
        <f>IFERROR(__xludf.DUMMYFUNCTION("""COMPUTED_VALUE"""),"2024")</f>
        <v>2024</v>
      </c>
      <c r="G1823" s="16" t="str">
        <f>IFERROR(__xludf.DUMMYFUNCTION("""COMPUTED_VALUE"""),"FERI KURNIAWAN")</f>
        <v>FERI KURNIAWAN</v>
      </c>
      <c r="H1823" s="17" t="str">
        <f>IFERROR(__xludf.DUMMYFUNCTION("""COMPUTED_VALUE"""),"F9224107928")</f>
        <v>F9224107928</v>
      </c>
      <c r="I1823" s="17">
        <f>IFERROR(__xludf.DUMMYFUNCTION("""COMPUTED_VALUE"""),34.0)</f>
        <v>34</v>
      </c>
      <c r="J1823" s="17" t="str">
        <f>IFERROR(__xludf.DUMMYFUNCTION("""COMPUTED_VALUE"""),"25-34 tahun")</f>
        <v>25-34 tahun</v>
      </c>
      <c r="K1823" s="19">
        <f>IFERROR(__xludf.DUMMYFUNCTION("""COMPUTED_VALUE"""),33703.0)</f>
        <v>33703</v>
      </c>
      <c r="L1823" s="19" t="str">
        <f>IFERROR(__xludf.DUMMYFUNCTION("""COMPUTED_VALUE"""),"LAKI-LAKI")</f>
        <v>LAKI-LAKI</v>
      </c>
      <c r="M1823" s="35" t="str">
        <f>IFERROR(__xludf.DUMMYFUNCTION("""COMPUTED_VALUE"""),"SEMITAU")</f>
        <v>SEMITAU</v>
      </c>
      <c r="N1823" s="16" t="str">
        <f>IFERROR(__xludf.DUMMYFUNCTION("""COMPUTED_VALUE"""),"KEL. SEMITAU HILIR")</f>
        <v>KEL. SEMITAU HILIR</v>
      </c>
      <c r="O1823" s="16" t="str">
        <f>IFERROR(__xludf.DUMMYFUNCTION("""COMPUTED_VALUE"""),"KEC. SEMITAU")</f>
        <v>KEC. SEMITAU</v>
      </c>
      <c r="P1823" s="16" t="str">
        <f>IFERROR(__xludf.DUMMYFUNCTION("""COMPUTED_VALUE"""),"KAB. KAPUAS HULU")</f>
        <v>KAB. KAPUAS HULU</v>
      </c>
      <c r="Q1823" s="16" t="str">
        <f>IFERROR(__xludf.DUMMYFUNCTION("""COMPUTED_VALUE"""),"KALIMANTAN BARAT")</f>
        <v>KALIMANTAN BARAT</v>
      </c>
      <c r="R1823" s="19" t="str">
        <f>IFERROR(__xludf.DUMMYFUNCTION("""COMPUTED_VALUE"""),"KATOLIK")</f>
        <v>KATOLIK</v>
      </c>
      <c r="S1823" s="16" t="str">
        <f>IFERROR(__xludf.DUMMYFUNCTION("""COMPUTED_VALUE"""),"WIRASWASTA")</f>
        <v>WIRASWASTA</v>
      </c>
      <c r="T1823" s="16" t="str">
        <f>IFERROR(__xludf.DUMMYFUNCTION("""COMPUTED_VALUE"""),"Sakit leher")</f>
        <v>Sakit leher</v>
      </c>
      <c r="U1823" s="16" t="str">
        <f>IFERROR(__xludf.DUMMYFUNCTION("""COMPUTED_VALUE"""),"Main bola kaki")</f>
        <v>Main bola kaki</v>
      </c>
      <c r="V1823" s="11" t="str">
        <f>IFERROR(__xludf.DUMMYFUNCTION("""COMPUTED_VALUE"""),"082150957928")</f>
        <v>082150957928</v>
      </c>
      <c r="W1823" s="15"/>
    </row>
    <row r="1824" ht="22.5" customHeight="1">
      <c r="A1824" s="8"/>
      <c r="B1824" s="9">
        <f>IFERROR(__xludf.DUMMYFUNCTION("""COMPUTED_VALUE"""),45578.62549769676)</f>
        <v>45578.6255</v>
      </c>
      <c r="C1824" s="9"/>
      <c r="D1824" s="10">
        <f>IFERROR(__xludf.DUMMYFUNCTION("""COMPUTED_VALUE"""),45589.0)</f>
        <v>45589</v>
      </c>
      <c r="E1824" s="10" t="str">
        <f>IFERROR(__xludf.DUMMYFUNCTION("""COMPUTED_VALUE"""),"10Okt")</f>
        <v>10Okt</v>
      </c>
      <c r="F1824" s="10" t="str">
        <f>IFERROR(__xludf.DUMMYFUNCTION("""COMPUTED_VALUE"""),"2024")</f>
        <v>2024</v>
      </c>
      <c r="G1824" s="16" t="str">
        <f>IFERROR(__xludf.DUMMYFUNCTION("""COMPUTED_VALUE"""),"ANTHONY")</f>
        <v>ANTHONY</v>
      </c>
      <c r="H1824" s="17" t="str">
        <f>IFERROR(__xludf.DUMMYFUNCTION("""COMPUTED_VALUE"""),"A9424104742")</f>
        <v>A9424104742</v>
      </c>
      <c r="I1824" s="17">
        <f>IFERROR(__xludf.DUMMYFUNCTION("""COMPUTED_VALUE"""),31.0)</f>
        <v>31</v>
      </c>
      <c r="J1824" s="17" t="str">
        <f>IFERROR(__xludf.DUMMYFUNCTION("""COMPUTED_VALUE"""),"25-34 tahun")</f>
        <v>25-34 tahun</v>
      </c>
      <c r="K1824" s="19">
        <f>IFERROR(__xludf.DUMMYFUNCTION("""COMPUTED_VALUE"""),34675.0)</f>
        <v>34675</v>
      </c>
      <c r="L1824" s="19" t="str">
        <f>IFERROR(__xludf.DUMMYFUNCTION("""COMPUTED_VALUE"""),"LAKI-LAKI")</f>
        <v>LAKI-LAKI</v>
      </c>
      <c r="M1824" s="35" t="str">
        <f>IFERROR(__xludf.DUMMYFUNCTION("""COMPUTED_VALUE"""),"JL NUSA INDAH BARU NO 20-22")</f>
        <v>JL NUSA INDAH BARU NO 20-22</v>
      </c>
      <c r="N1824" s="16" t="str">
        <f>IFERROR(__xludf.DUMMYFUNCTION("""COMPUTED_VALUE"""),"KEL. DARAT SEKIP")</f>
        <v>KEL. DARAT SEKIP</v>
      </c>
      <c r="O1824" s="16" t="str">
        <f>IFERROR(__xludf.DUMMYFUNCTION("""COMPUTED_VALUE"""),"KEC. PONTIANAK KOTA")</f>
        <v>KEC. PONTIANAK KOTA</v>
      </c>
      <c r="P1824" s="16" t="str">
        <f>IFERROR(__xludf.DUMMYFUNCTION("""COMPUTED_VALUE"""),"KOTA PONTIANAK")</f>
        <v>KOTA PONTIANAK</v>
      </c>
      <c r="Q1824" s="16" t="str">
        <f>IFERROR(__xludf.DUMMYFUNCTION("""COMPUTED_VALUE"""),"KALIMANTAN BARAT")</f>
        <v>KALIMANTAN BARAT</v>
      </c>
      <c r="R1824" s="19" t="str">
        <f>IFERROR(__xludf.DUMMYFUNCTION("""COMPUTED_VALUE"""),"BUDDHA")</f>
        <v>BUDDHA</v>
      </c>
      <c r="S1824" s="16" t="str">
        <f>IFERROR(__xludf.DUMMYFUNCTION("""COMPUTED_VALUE"""),"WIRASWASTA")</f>
        <v>WIRASWASTA</v>
      </c>
      <c r="T1824" s="16" t="str">
        <f>IFERROR(__xludf.DUMMYFUNCTION("""COMPUTED_VALUE"""),"TULANG EKOR SAKIT")</f>
        <v>TULANG EKOR SAKIT</v>
      </c>
      <c r="U1824" s="16" t="str">
        <f>IFERROR(__xludf.DUMMYFUNCTION("""COMPUTED_VALUE"""),"BEKERJA ANGKAT BEBAN &amp; BADMINTON")</f>
        <v>BEKERJA ANGKAT BEBAN &amp; BADMINTON</v>
      </c>
      <c r="V1824" s="11" t="str">
        <f>IFERROR(__xludf.DUMMYFUNCTION("""COMPUTED_VALUE"""),"081290784742")</f>
        <v>081290784742</v>
      </c>
      <c r="W1824" s="15"/>
    </row>
    <row r="1825" ht="22.5" customHeight="1">
      <c r="A1825" s="8"/>
      <c r="B1825" s="9">
        <f>IFERROR(__xludf.DUMMYFUNCTION("""COMPUTED_VALUE"""),45579.56204645833)</f>
        <v>45579.56205</v>
      </c>
      <c r="C1825" s="9"/>
      <c r="D1825" s="10">
        <f>IFERROR(__xludf.DUMMYFUNCTION("""COMPUTED_VALUE"""),45589.0)</f>
        <v>45589</v>
      </c>
      <c r="E1825" s="10" t="str">
        <f>IFERROR(__xludf.DUMMYFUNCTION("""COMPUTED_VALUE"""),"10Okt")</f>
        <v>10Okt</v>
      </c>
      <c r="F1825" s="10" t="str">
        <f>IFERROR(__xludf.DUMMYFUNCTION("""COMPUTED_VALUE"""),"2024")</f>
        <v>2024</v>
      </c>
      <c r="G1825" s="16" t="str">
        <f>IFERROR(__xludf.DUMMYFUNCTION("""COMPUTED_VALUE"""),"ROMI YUNIARDI")</f>
        <v>ROMI YUNIARDI</v>
      </c>
      <c r="H1825" s="17" t="str">
        <f>IFERROR(__xludf.DUMMYFUNCTION("""COMPUTED_VALUE"""),"R8924100046")</f>
        <v>R8924100046</v>
      </c>
      <c r="I1825" s="17">
        <f>IFERROR(__xludf.DUMMYFUNCTION("""COMPUTED_VALUE"""),37.0)</f>
        <v>37</v>
      </c>
      <c r="J1825" s="17" t="str">
        <f>IFERROR(__xludf.DUMMYFUNCTION("""COMPUTED_VALUE"""),"35-44 tahun")</f>
        <v>35-44 tahun</v>
      </c>
      <c r="K1825" s="19">
        <f>IFERROR(__xludf.DUMMYFUNCTION("""COMPUTED_VALUE"""),32621.0)</f>
        <v>32621</v>
      </c>
      <c r="L1825" s="19" t="str">
        <f>IFERROR(__xludf.DUMMYFUNCTION("""COMPUTED_VALUE"""),"LAKI-LAKI")</f>
        <v>LAKI-LAKI</v>
      </c>
      <c r="M1825" s="35" t="str">
        <f>IFERROR(__xludf.DUMMYFUNCTION("""COMPUTED_VALUE"""),"JLN M YAMIN GG KELUARGA BERSAMA")</f>
        <v>JLN M YAMIN GG KELUARGA BERSAMA</v>
      </c>
      <c r="N1825" s="16" t="str">
        <f>IFERROR(__xludf.DUMMYFUNCTION("""COMPUTED_VALUE"""),"KEL. KOTA BARU")</f>
        <v>KEL. KOTA BARU</v>
      </c>
      <c r="O1825" s="16" t="str">
        <f>IFERROR(__xludf.DUMMYFUNCTION("""COMPUTED_VALUE"""),"KEC. PONTIANAK SELATAN")</f>
        <v>KEC. PONTIANAK SELATAN</v>
      </c>
      <c r="P1825" s="16" t="str">
        <f>IFERROR(__xludf.DUMMYFUNCTION("""COMPUTED_VALUE"""),"KOTA PONTIANAK")</f>
        <v>KOTA PONTIANAK</v>
      </c>
      <c r="Q1825" s="35" t="str">
        <f>IFERROR(__xludf.DUMMYFUNCTION("""COMPUTED_VALUE"""),"KALIMANTAN BARAT")</f>
        <v>KALIMANTAN BARAT</v>
      </c>
      <c r="R1825" s="19" t="str">
        <f>IFERROR(__xludf.DUMMYFUNCTION("""COMPUTED_VALUE"""),"ISLAM")</f>
        <v>ISLAM</v>
      </c>
      <c r="S1825" s="35" t="str">
        <f>IFERROR(__xludf.DUMMYFUNCTION("""COMPUTED_VALUE"""),"WIRASWASTA")</f>
        <v>WIRASWASTA</v>
      </c>
      <c r="T1825" s="16" t="str">
        <f>IFERROR(__xludf.DUMMYFUNCTION("""COMPUTED_VALUE"""),"kaki betis paha sperti kram ,,,pinggal terkadang ngilu ketika berdiri")</f>
        <v>kaki betis paha sperti kram ,,,pinggal terkadang ngilu ketika berdiri</v>
      </c>
      <c r="U1825" s="16" t="str">
        <f>IFERROR(__xludf.DUMMYFUNCTION("""COMPUTED_VALUE"""),"badminton,bola/jaga toko")</f>
        <v>badminton,bola/jaga toko</v>
      </c>
      <c r="V1825" s="11" t="str">
        <f>IFERROR(__xludf.DUMMYFUNCTION("""COMPUTED_VALUE"""),"085245440046")</f>
        <v>085245440046</v>
      </c>
      <c r="W1825" s="15"/>
    </row>
    <row r="1826">
      <c r="A1826" s="15"/>
      <c r="B1826" s="9">
        <f>IFERROR(__xludf.DUMMYFUNCTION("""COMPUTED_VALUE"""),45579.589530937505)</f>
        <v>45579.58953</v>
      </c>
      <c r="C1826" s="9"/>
      <c r="D1826" s="10">
        <f>IFERROR(__xludf.DUMMYFUNCTION("""COMPUTED_VALUE"""),45589.0)</f>
        <v>45589</v>
      </c>
      <c r="E1826" s="10" t="str">
        <f>IFERROR(__xludf.DUMMYFUNCTION("""COMPUTED_VALUE"""),"10Okt")</f>
        <v>10Okt</v>
      </c>
      <c r="F1826" s="10" t="str">
        <f>IFERROR(__xludf.DUMMYFUNCTION("""COMPUTED_VALUE"""),"2024")</f>
        <v>2024</v>
      </c>
      <c r="G1826" s="16" t="str">
        <f>IFERROR(__xludf.DUMMYFUNCTION("""COMPUTED_VALUE"""),"WILDA")</f>
        <v>WILDA</v>
      </c>
      <c r="H1826" s="17" t="str">
        <f>IFERROR(__xludf.DUMMYFUNCTION("""COMPUTED_VALUE"""),"W9324106433")</f>
        <v>W9324106433</v>
      </c>
      <c r="I1826" s="17">
        <f>IFERROR(__xludf.DUMMYFUNCTION("""COMPUTED_VALUE"""),32.0)</f>
        <v>32</v>
      </c>
      <c r="J1826" s="17" t="str">
        <f>IFERROR(__xludf.DUMMYFUNCTION("""COMPUTED_VALUE"""),"25-34 tahun")</f>
        <v>25-34 tahun</v>
      </c>
      <c r="K1826" s="19">
        <f>IFERROR(__xludf.DUMMYFUNCTION("""COMPUTED_VALUE"""),34139.0)</f>
        <v>34139</v>
      </c>
      <c r="L1826" s="19" t="str">
        <f>IFERROR(__xludf.DUMMYFUNCTION("""COMPUTED_VALUE"""),"PEREMPUAN")</f>
        <v>PEREMPUAN</v>
      </c>
      <c r="M1826" s="35" t="str">
        <f>IFERROR(__xludf.DUMMYFUNCTION("""COMPUTED_VALUE"""),"JLN RAIS A RAHMAN, GG SELAMAT 3 NO 10")</f>
        <v>JLN RAIS A RAHMAN, GG SELAMAT 3 NO 10</v>
      </c>
      <c r="N1826" s="16" t="str">
        <f>IFERROR(__xludf.DUMMYFUNCTION("""COMPUTED_VALUE"""),"KEL. SUNGAI JAWI DALAM")</f>
        <v>KEL. SUNGAI JAWI DALAM</v>
      </c>
      <c r="O1826" s="16" t="str">
        <f>IFERROR(__xludf.DUMMYFUNCTION("""COMPUTED_VALUE"""),"KEC. PONTIANAK BARAT")</f>
        <v>KEC. PONTIANAK BARAT</v>
      </c>
      <c r="P1826" s="16" t="str">
        <f>IFERROR(__xludf.DUMMYFUNCTION("""COMPUTED_VALUE"""),"KOTA PONTIANAK")</f>
        <v>KOTA PONTIANAK</v>
      </c>
      <c r="Q1826" s="16" t="str">
        <f>IFERROR(__xludf.DUMMYFUNCTION("""COMPUTED_VALUE"""),"KALIMANTAN BARAT")</f>
        <v>KALIMANTAN BARAT</v>
      </c>
      <c r="R1826" s="19" t="str">
        <f>IFERROR(__xludf.DUMMYFUNCTION("""COMPUTED_VALUE"""),"ISLAM")</f>
        <v>ISLAM</v>
      </c>
      <c r="S1826" s="35" t="str">
        <f>IFERROR(__xludf.DUMMYFUNCTION("""COMPUTED_VALUE"""),"WIRASWASTA")</f>
        <v>WIRASWASTA</v>
      </c>
      <c r="T1826" s="16" t="str">
        <f>IFERROR(__xludf.DUMMYFUNCTION("""COMPUTED_VALUE"""),"Nyeri area tumit")</f>
        <v>Nyeri area tumit</v>
      </c>
      <c r="U1826" s="16" t="str">
        <f>IFERROR(__xludf.DUMMYFUNCTION("""COMPUTED_VALUE"""),"Gym")</f>
        <v>Gym</v>
      </c>
      <c r="V1826" s="11" t="str">
        <f>IFERROR(__xludf.DUMMYFUNCTION("""COMPUTED_VALUE"""),"087747546433")</f>
        <v>087747546433</v>
      </c>
      <c r="W1826" s="15"/>
    </row>
    <row r="1827">
      <c r="A1827" s="15"/>
      <c r="B1827" s="9">
        <f>IFERROR(__xludf.DUMMYFUNCTION("""COMPUTED_VALUE"""),45580.53181784722)</f>
        <v>45580.53182</v>
      </c>
      <c r="C1827" s="9"/>
      <c r="D1827" s="10">
        <f>IFERROR(__xludf.DUMMYFUNCTION("""COMPUTED_VALUE"""),45591.0)</f>
        <v>45591</v>
      </c>
      <c r="E1827" s="10" t="str">
        <f>IFERROR(__xludf.DUMMYFUNCTION("""COMPUTED_VALUE"""),"10Okt")</f>
        <v>10Okt</v>
      </c>
      <c r="F1827" s="10" t="str">
        <f>IFERROR(__xludf.DUMMYFUNCTION("""COMPUTED_VALUE"""),"2024")</f>
        <v>2024</v>
      </c>
      <c r="G1827" s="16" t="str">
        <f>IFERROR(__xludf.DUMMYFUNCTION("""COMPUTED_VALUE"""),"CHRISTY THIA HARTIANA")</f>
        <v>CHRISTY THIA HARTIANA</v>
      </c>
      <c r="H1827" s="17" t="str">
        <f>IFERROR(__xludf.DUMMYFUNCTION("""COMPUTED_VALUE"""),"C8724100311")</f>
        <v>C8724100311</v>
      </c>
      <c r="I1827" s="17">
        <f>IFERROR(__xludf.DUMMYFUNCTION("""COMPUTED_VALUE"""),38.0)</f>
        <v>38</v>
      </c>
      <c r="J1827" s="17" t="str">
        <f>IFERROR(__xludf.DUMMYFUNCTION("""COMPUTED_VALUE"""),"35-44 tahun")</f>
        <v>35-44 tahun</v>
      </c>
      <c r="K1827" s="19">
        <f>IFERROR(__xludf.DUMMYFUNCTION("""COMPUTED_VALUE"""),32124.0)</f>
        <v>32124</v>
      </c>
      <c r="L1827" s="19" t="str">
        <f>IFERROR(__xludf.DUMMYFUNCTION("""COMPUTED_VALUE"""),"PEREMPUAN")</f>
        <v>PEREMPUAN</v>
      </c>
      <c r="M1827" s="35" t="str">
        <f>IFERROR(__xludf.DUMMYFUNCTION("""COMPUTED_VALUE"""),"JLN. SUNGAI RAYA KOMPLEK MITRA INDAH UTAMA 1 NO. A 7")</f>
        <v>JLN. SUNGAI RAYA KOMPLEK MITRA INDAH UTAMA 1 NO. A 7</v>
      </c>
      <c r="N1827" s="16" t="str">
        <f>IFERROR(__xludf.DUMMYFUNCTION("""COMPUTED_VALUE"""),"KEL. BANGKA BELITUNG DARAT")</f>
        <v>KEL. BANGKA BELITUNG DARAT</v>
      </c>
      <c r="O1827" s="16" t="str">
        <f>IFERROR(__xludf.DUMMYFUNCTION("""COMPUTED_VALUE"""),"KEC. PONTIANAK TENGGARA")</f>
        <v>KEC. PONTIANAK TENGGARA</v>
      </c>
      <c r="P1827" s="16" t="str">
        <f>IFERROR(__xludf.DUMMYFUNCTION("""COMPUTED_VALUE"""),"KOTA PONTIANAK")</f>
        <v>KOTA PONTIANAK</v>
      </c>
      <c r="Q1827" s="16" t="str">
        <f>IFERROR(__xludf.DUMMYFUNCTION("""COMPUTED_VALUE"""),"KALIMANTAN BARAT")</f>
        <v>KALIMANTAN BARAT</v>
      </c>
      <c r="R1827" s="19" t="str">
        <f>IFERROR(__xludf.DUMMYFUNCTION("""COMPUTED_VALUE"""),"PROTESTAN")</f>
        <v>PROTESTAN</v>
      </c>
      <c r="S1827" s="16" t="str">
        <f>IFERROR(__xludf.DUMMYFUNCTION("""COMPUTED_VALUE"""),"ASN")</f>
        <v>ASN</v>
      </c>
      <c r="T1827" s="16" t="str">
        <f>IFERROR(__xludf.DUMMYFUNCTION("""COMPUTED_VALUE"""),"Tegang otot pinggang")</f>
        <v>Tegang otot pinggang</v>
      </c>
      <c r="U1827" s="16" t="str">
        <f>IFERROR(__xludf.DUMMYFUNCTION("""COMPUTED_VALUE"""),"Joging")</f>
        <v>Joging</v>
      </c>
      <c r="V1827" s="11" t="str">
        <f>IFERROR(__xludf.DUMMYFUNCTION("""COMPUTED_VALUE"""),"085389970311")</f>
        <v>085389970311</v>
      </c>
      <c r="W1827" s="15"/>
    </row>
    <row r="1828">
      <c r="A1828" s="15"/>
      <c r="B1828" s="9">
        <f>IFERROR(__xludf.DUMMYFUNCTION("""COMPUTED_VALUE"""),45580.55742134259)</f>
        <v>45580.55742</v>
      </c>
      <c r="C1828" s="9"/>
      <c r="D1828" s="10">
        <f>IFERROR(__xludf.DUMMYFUNCTION("""COMPUTED_VALUE"""),45591.0)</f>
        <v>45591</v>
      </c>
      <c r="E1828" s="10" t="str">
        <f>IFERROR(__xludf.DUMMYFUNCTION("""COMPUTED_VALUE"""),"10Okt")</f>
        <v>10Okt</v>
      </c>
      <c r="F1828" s="10" t="str">
        <f>IFERROR(__xludf.DUMMYFUNCTION("""COMPUTED_VALUE"""),"2024")</f>
        <v>2024</v>
      </c>
      <c r="G1828" s="16" t="str">
        <f>IFERROR(__xludf.DUMMYFUNCTION("""COMPUTED_VALUE"""),"HARIS FIRMANSYAH")</f>
        <v>HARIS FIRMANSYAH</v>
      </c>
      <c r="H1828" s="17" t="str">
        <f>IFERROR(__xludf.DUMMYFUNCTION("""COMPUTED_VALUE"""),"H8924108463")</f>
        <v>H8924108463</v>
      </c>
      <c r="I1828" s="17">
        <f>IFERROR(__xludf.DUMMYFUNCTION("""COMPUTED_VALUE"""),37.0)</f>
        <v>37</v>
      </c>
      <c r="J1828" s="17" t="str">
        <f>IFERROR(__xludf.DUMMYFUNCTION("""COMPUTED_VALUE"""),"35-44 tahun")</f>
        <v>35-44 tahun</v>
      </c>
      <c r="K1828" s="19">
        <f>IFERROR(__xludf.DUMMYFUNCTION("""COMPUTED_VALUE"""),32546.0)</f>
        <v>32546</v>
      </c>
      <c r="L1828" s="19" t="str">
        <f>IFERROR(__xludf.DUMMYFUNCTION("""COMPUTED_VALUE"""),"LAKI-LAKI")</f>
        <v>LAKI-LAKI</v>
      </c>
      <c r="M1828" s="35" t="str">
        <f>IFERROR(__xludf.DUMMYFUNCTION("""COMPUTED_VALUE"""),"JALAN M SAAD AIN BLOK G1 NO 12")</f>
        <v>JALAN M SAAD AIN BLOK G1 NO 12</v>
      </c>
      <c r="N1828" s="16" t="str">
        <f>IFERROR(__xludf.DUMMYFUNCTION("""COMPUTED_VALUE"""),"KEL. SUNGAI JAWI LUAR")</f>
        <v>KEL. SUNGAI JAWI LUAR</v>
      </c>
      <c r="O1828" s="16" t="str">
        <f>IFERROR(__xludf.DUMMYFUNCTION("""COMPUTED_VALUE"""),"KEC. PONTIANAK BARAT")</f>
        <v>KEC. PONTIANAK BARAT</v>
      </c>
      <c r="P1828" s="16" t="str">
        <f>IFERROR(__xludf.DUMMYFUNCTION("""COMPUTED_VALUE"""),"KOTA PONTIANAK")</f>
        <v>KOTA PONTIANAK</v>
      </c>
      <c r="Q1828" s="35" t="str">
        <f>IFERROR(__xludf.DUMMYFUNCTION("""COMPUTED_VALUE"""),"KALIMANTAN BARAT")</f>
        <v>KALIMANTAN BARAT</v>
      </c>
      <c r="R1828" s="19" t="str">
        <f>IFERROR(__xludf.DUMMYFUNCTION("""COMPUTED_VALUE"""),"ISLAM")</f>
        <v>ISLAM</v>
      </c>
      <c r="S1828" s="16" t="str">
        <f>IFERROR(__xludf.DUMMYFUNCTION("""COMPUTED_VALUE"""),"ASN")</f>
        <v>ASN</v>
      </c>
      <c r="T1828" s="16" t="str">
        <f>IFERROR(__xludf.DUMMYFUNCTION("""COMPUTED_VALUE"""),"Lutut dan Pergelangan Tangan")</f>
        <v>Lutut dan Pergelangan Tangan</v>
      </c>
      <c r="U1828" s="16" t="str">
        <f>IFERROR(__xludf.DUMMYFUNCTION("""COMPUTED_VALUE"""),"Olah Raga")</f>
        <v>Olah Raga</v>
      </c>
      <c r="V1828" s="11" t="str">
        <f>IFERROR(__xludf.DUMMYFUNCTION("""COMPUTED_VALUE"""),"082157578463")</f>
        <v>082157578463</v>
      </c>
      <c r="W1828" s="15"/>
    </row>
    <row r="1829" ht="22.5" customHeight="1">
      <c r="A1829" s="8"/>
      <c r="B1829" s="9">
        <f>IFERROR(__xludf.DUMMYFUNCTION("""COMPUTED_VALUE"""),45581.42279521991)</f>
        <v>45581.4228</v>
      </c>
      <c r="C1829" s="9"/>
      <c r="D1829" s="10">
        <f>IFERROR(__xludf.DUMMYFUNCTION("""COMPUTED_VALUE"""),45591.0)</f>
        <v>45591</v>
      </c>
      <c r="E1829" s="10" t="str">
        <f>IFERROR(__xludf.DUMMYFUNCTION("""COMPUTED_VALUE"""),"10Okt")</f>
        <v>10Okt</v>
      </c>
      <c r="F1829" s="10" t="str">
        <f>IFERROR(__xludf.DUMMYFUNCTION("""COMPUTED_VALUE"""),"2024")</f>
        <v>2024</v>
      </c>
      <c r="G1829" s="16" t="str">
        <f>IFERROR(__xludf.DUMMYFUNCTION("""COMPUTED_VALUE"""),"ZASKIA BUNGA SENJA")</f>
        <v>ZASKIA BUNGA SENJA</v>
      </c>
      <c r="H1829" s="17" t="str">
        <f>IFERROR(__xludf.DUMMYFUNCTION("""COMPUTED_VALUE"""),"Z1024104619")</f>
        <v>Z1024104619</v>
      </c>
      <c r="I1829" s="17">
        <f>IFERROR(__xludf.DUMMYFUNCTION("""COMPUTED_VALUE"""),16.0)</f>
        <v>16</v>
      </c>
      <c r="J1829" s="17" t="str">
        <f>IFERROR(__xludf.DUMMYFUNCTION("""COMPUTED_VALUE"""),"&lt; 18 tahun")</f>
        <v>&lt; 18 tahun</v>
      </c>
      <c r="K1829" s="19">
        <f>IFERROR(__xludf.DUMMYFUNCTION("""COMPUTED_VALUE"""),40337.0)</f>
        <v>40337</v>
      </c>
      <c r="L1829" s="19" t="str">
        <f>IFERROR(__xludf.DUMMYFUNCTION("""COMPUTED_VALUE"""),"PEREMPUAN")</f>
        <v>PEREMPUAN</v>
      </c>
      <c r="M1829" s="35" t="str">
        <f>IFERROR(__xludf.DUMMYFUNCTION("""COMPUTED_VALUE"""),"JL. PROF DR HAMKA GG PADI 5 NO 9")</f>
        <v>JL. PROF DR HAMKA GG PADI 5 NO 9</v>
      </c>
      <c r="N1829" s="16" t="str">
        <f>IFERROR(__xludf.DUMMYFUNCTION("""COMPUTED_VALUE"""),"KEL. SUNGAI JAWI")</f>
        <v>KEL. SUNGAI JAWI</v>
      </c>
      <c r="O1829" s="16" t="str">
        <f>IFERROR(__xludf.DUMMYFUNCTION("""COMPUTED_VALUE"""),"KEC. PONTIANAK KOTA")</f>
        <v>KEC. PONTIANAK KOTA</v>
      </c>
      <c r="P1829" s="16" t="str">
        <f>IFERROR(__xludf.DUMMYFUNCTION("""COMPUTED_VALUE"""),"KOTA PONTIANAK")</f>
        <v>KOTA PONTIANAK</v>
      </c>
      <c r="Q1829" s="16" t="str">
        <f>IFERROR(__xludf.DUMMYFUNCTION("""COMPUTED_VALUE"""),"KALIMANTAN BARAT")</f>
        <v>KALIMANTAN BARAT</v>
      </c>
      <c r="R1829" s="19" t="str">
        <f>IFERROR(__xludf.DUMMYFUNCTION("""COMPUTED_VALUE"""),"ISLAM")</f>
        <v>ISLAM</v>
      </c>
      <c r="S1829" s="16" t="str">
        <f>IFERROR(__xludf.DUMMYFUNCTION("""COMPUTED_VALUE"""),"PELAJAR/MAHASISWA")</f>
        <v>PELAJAR/MAHASISWA</v>
      </c>
      <c r="T1829" s="16" t="str">
        <f>IFERROR(__xludf.DUMMYFUNCTION("""COMPUTED_VALUE"""),"Skoliosis, sering nyeri kalau duduk lama")</f>
        <v>Skoliosis, sering nyeri kalau duduk lama</v>
      </c>
      <c r="U1829" s="16" t="str">
        <f>IFERROR(__xludf.DUMMYFUNCTION("""COMPUTED_VALUE"""),"-")</f>
        <v>-</v>
      </c>
      <c r="V1829" s="11" t="str">
        <f>IFERROR(__xludf.DUMMYFUNCTION("""COMPUTED_VALUE"""),"085753064619")</f>
        <v>085753064619</v>
      </c>
      <c r="W1829" s="15"/>
    </row>
    <row r="1830" ht="22.5" customHeight="1">
      <c r="A1830" s="8"/>
      <c r="B1830" s="9">
        <f>IFERROR(__xludf.DUMMYFUNCTION("""COMPUTED_VALUE"""),45581.611369907405)</f>
        <v>45581.61137</v>
      </c>
      <c r="C1830" s="9"/>
      <c r="D1830" s="10">
        <f>IFERROR(__xludf.DUMMYFUNCTION("""COMPUTED_VALUE"""),45591.0)</f>
        <v>45591</v>
      </c>
      <c r="E1830" s="10" t="str">
        <f>IFERROR(__xludf.DUMMYFUNCTION("""COMPUTED_VALUE"""),"10Okt")</f>
        <v>10Okt</v>
      </c>
      <c r="F1830" s="10" t="str">
        <f>IFERROR(__xludf.DUMMYFUNCTION("""COMPUTED_VALUE"""),"2024")</f>
        <v>2024</v>
      </c>
      <c r="G1830" s="16" t="str">
        <f>IFERROR(__xludf.DUMMYFUNCTION("""COMPUTED_VALUE"""),"ZEIN GIBRAN ALGHIFARY")</f>
        <v>ZEIN GIBRAN ALGHIFARY</v>
      </c>
      <c r="H1830" s="17" t="str">
        <f>IFERROR(__xludf.DUMMYFUNCTION("""COMPUTED_VALUE"""),"Z1224100240")</f>
        <v>Z1224100240</v>
      </c>
      <c r="I1830" s="17">
        <f>IFERROR(__xludf.DUMMYFUNCTION("""COMPUTED_VALUE"""),14.0)</f>
        <v>14</v>
      </c>
      <c r="J1830" s="17" t="str">
        <f>IFERROR(__xludf.DUMMYFUNCTION("""COMPUTED_VALUE"""),"&lt; 18 tahun")</f>
        <v>&lt; 18 tahun</v>
      </c>
      <c r="K1830" s="19">
        <f>IFERROR(__xludf.DUMMYFUNCTION("""COMPUTED_VALUE"""),40966.0)</f>
        <v>40966</v>
      </c>
      <c r="L1830" s="19" t="str">
        <f>IFERROR(__xludf.DUMMYFUNCTION("""COMPUTED_VALUE"""),"LAKI-LAKI")</f>
        <v>LAKI-LAKI</v>
      </c>
      <c r="M1830" s="35" t="str">
        <f>IFERROR(__xludf.DUMMYFUNCTION("""COMPUTED_VALUE"""),"JL PROF.M.YAMIN GANG KELUARGA BERSAMA NO 50")</f>
        <v>JL PROF.M.YAMIN GANG KELUARGA BERSAMA NO 50</v>
      </c>
      <c r="N1830" s="16" t="str">
        <f>IFERROR(__xludf.DUMMYFUNCTION("""COMPUTED_VALUE"""),"KEL. KOTA BARU")</f>
        <v>KEL. KOTA BARU</v>
      </c>
      <c r="O1830" s="16" t="str">
        <f>IFERROR(__xludf.DUMMYFUNCTION("""COMPUTED_VALUE"""),"KEC. PONTIANAK SELATAN")</f>
        <v>KEC. PONTIANAK SELATAN</v>
      </c>
      <c r="P1830" s="16" t="str">
        <f>IFERROR(__xludf.DUMMYFUNCTION("""COMPUTED_VALUE"""),"KOTA PONTIANAK")</f>
        <v>KOTA PONTIANAK</v>
      </c>
      <c r="Q1830" s="16" t="str">
        <f>IFERROR(__xludf.DUMMYFUNCTION("""COMPUTED_VALUE"""),"KALIMANTAN BARAT")</f>
        <v>KALIMANTAN BARAT</v>
      </c>
      <c r="R1830" s="19" t="str">
        <f>IFERROR(__xludf.DUMMYFUNCTION("""COMPUTED_VALUE"""),"ISLAM")</f>
        <v>ISLAM</v>
      </c>
      <c r="S1830" s="16" t="str">
        <f>IFERROR(__xludf.DUMMYFUNCTION("""COMPUTED_VALUE"""),"PELAJAR/MAHASISWA")</f>
        <v>PELAJAR/MAHASISWA</v>
      </c>
      <c r="T1830" s="16" t="str">
        <f>IFERROR(__xludf.DUMMYFUNCTION("""COMPUTED_VALUE"""),"Sakit berjalan")</f>
        <v>Sakit berjalan</v>
      </c>
      <c r="U1830" s="16" t="str">
        <f>IFERROR(__xludf.DUMMYFUNCTION("""COMPUTED_VALUE"""),"Main bola")</f>
        <v>Main bola</v>
      </c>
      <c r="V1830" s="11" t="str">
        <f>IFERROR(__xludf.DUMMYFUNCTION("""COMPUTED_VALUE"""),"085247290240")</f>
        <v>085247290240</v>
      </c>
      <c r="W1830" s="15"/>
    </row>
    <row r="1831" ht="22.5" customHeight="1">
      <c r="A1831" s="8"/>
      <c r="B1831" s="9">
        <f>IFERROR(__xludf.DUMMYFUNCTION("""COMPUTED_VALUE"""),45581.621194444444)</f>
        <v>45581.62119</v>
      </c>
      <c r="C1831" s="9"/>
      <c r="D1831" s="10">
        <f>IFERROR(__xludf.DUMMYFUNCTION("""COMPUTED_VALUE"""),45591.0)</f>
        <v>45591</v>
      </c>
      <c r="E1831" s="10" t="str">
        <f>IFERROR(__xludf.DUMMYFUNCTION("""COMPUTED_VALUE"""),"10Okt")</f>
        <v>10Okt</v>
      </c>
      <c r="F1831" s="10" t="str">
        <f>IFERROR(__xludf.DUMMYFUNCTION("""COMPUTED_VALUE"""),"2024")</f>
        <v>2024</v>
      </c>
      <c r="G1831" s="16" t="str">
        <f>IFERROR(__xludf.DUMMYFUNCTION("""COMPUTED_VALUE"""),"MUHAMMAD FATHIIN MUYASSAR")</f>
        <v>MUHAMMAD FATHIIN MUYASSAR</v>
      </c>
      <c r="H1831" s="17" t="str">
        <f>IFERROR(__xludf.DUMMYFUNCTION("""COMPUTED_VALUE"""),"M1124109997")</f>
        <v>M1124109997</v>
      </c>
      <c r="I1831" s="17">
        <f>IFERROR(__xludf.DUMMYFUNCTION("""COMPUTED_VALUE"""),15.0)</f>
        <v>15</v>
      </c>
      <c r="J1831" s="17" t="str">
        <f>IFERROR(__xludf.DUMMYFUNCTION("""COMPUTED_VALUE"""),"&lt; 18 tahun")</f>
        <v>&lt; 18 tahun</v>
      </c>
      <c r="K1831" s="19">
        <f>IFERROR(__xludf.DUMMYFUNCTION("""COMPUTED_VALUE"""),40549.0)</f>
        <v>40549</v>
      </c>
      <c r="L1831" s="19" t="str">
        <f>IFERROR(__xludf.DUMMYFUNCTION("""COMPUTED_VALUE"""),"LAKI-LAKI")</f>
        <v>LAKI-LAKI</v>
      </c>
      <c r="M1831" s="35" t="str">
        <f>IFERROR(__xludf.DUMMYFUNCTION("""COMPUTED_VALUE"""),"JL. PURNAMA AGUNG 7 BLOK. Q. NO. 3")</f>
        <v>JL. PURNAMA AGUNG 7 BLOK. Q. NO. 3</v>
      </c>
      <c r="N1831" s="16" t="str">
        <f>IFERROR(__xludf.DUMMYFUNCTION("""COMPUTED_VALUE"""),"KEL. PARIT TOKAYA")</f>
        <v>KEL. PARIT TOKAYA</v>
      </c>
      <c r="O1831" s="16" t="str">
        <f>IFERROR(__xludf.DUMMYFUNCTION("""COMPUTED_VALUE"""),"KEC. PONTIANAK SELATAN")</f>
        <v>KEC. PONTIANAK SELATAN</v>
      </c>
      <c r="P1831" s="16" t="str">
        <f>IFERROR(__xludf.DUMMYFUNCTION("""COMPUTED_VALUE"""),"KOTA PONTIANAK")</f>
        <v>KOTA PONTIANAK</v>
      </c>
      <c r="Q1831" s="16" t="str">
        <f>IFERROR(__xludf.DUMMYFUNCTION("""COMPUTED_VALUE"""),"KALIMANTAN BARAT")</f>
        <v>KALIMANTAN BARAT</v>
      </c>
      <c r="R1831" s="19" t="str">
        <f>IFERROR(__xludf.DUMMYFUNCTION("""COMPUTED_VALUE"""),"ISLAM")</f>
        <v>ISLAM</v>
      </c>
      <c r="S1831" s="16" t="str">
        <f>IFERROR(__xludf.DUMMYFUNCTION("""COMPUTED_VALUE"""),"PELAJAR/MAHASISWA")</f>
        <v>PELAJAR/MAHASISWA</v>
      </c>
      <c r="T1831" s="16" t="str">
        <f>IFERROR(__xludf.DUMMYFUNCTION("""COMPUTED_VALUE"""),"Lutut")</f>
        <v>Lutut</v>
      </c>
      <c r="U1831" s="16" t="str">
        <f>IFERROR(__xludf.DUMMYFUNCTION("""COMPUTED_VALUE"""),"Olahraga")</f>
        <v>Olahraga</v>
      </c>
      <c r="V1831" s="11" t="str">
        <f>IFERROR(__xludf.DUMMYFUNCTION("""COMPUTED_VALUE"""),"081345139997")</f>
        <v>081345139997</v>
      </c>
      <c r="W1831" s="15"/>
    </row>
    <row r="1832" ht="22.5" customHeight="1">
      <c r="A1832" s="8"/>
      <c r="B1832" s="9">
        <f>IFERROR(__xludf.DUMMYFUNCTION("""COMPUTED_VALUE"""),45581.837431712964)</f>
        <v>45581.83743</v>
      </c>
      <c r="C1832" s="9"/>
      <c r="D1832" s="10">
        <f>IFERROR(__xludf.DUMMYFUNCTION("""COMPUTED_VALUE"""),45591.0)</f>
        <v>45591</v>
      </c>
      <c r="E1832" s="10" t="str">
        <f>IFERROR(__xludf.DUMMYFUNCTION("""COMPUTED_VALUE"""),"10Okt")</f>
        <v>10Okt</v>
      </c>
      <c r="F1832" s="10" t="str">
        <f>IFERROR(__xludf.DUMMYFUNCTION("""COMPUTED_VALUE"""),"2024")</f>
        <v>2024</v>
      </c>
      <c r="G1832" s="16" t="str">
        <f>IFERROR(__xludf.DUMMYFUNCTION("""COMPUTED_VALUE"""),"MUHAMMAD ISNU FAHRURROZI")</f>
        <v>MUHAMMAD ISNU FAHRURROZI</v>
      </c>
      <c r="H1832" s="17" t="str">
        <f>IFERROR(__xludf.DUMMYFUNCTION("""COMPUTED_VALUE"""),"M9824105171")</f>
        <v>M9824105171</v>
      </c>
      <c r="I1832" s="17">
        <f>IFERROR(__xludf.DUMMYFUNCTION("""COMPUTED_VALUE"""),27.0)</f>
        <v>27</v>
      </c>
      <c r="J1832" s="17" t="str">
        <f>IFERROR(__xludf.DUMMYFUNCTION("""COMPUTED_VALUE"""),"25-34 tahun")</f>
        <v>25-34 tahun</v>
      </c>
      <c r="K1832" s="19">
        <f>IFERROR(__xludf.DUMMYFUNCTION("""COMPUTED_VALUE"""),36136.0)</f>
        <v>36136</v>
      </c>
      <c r="L1832" s="19" t="str">
        <f>IFERROR(__xludf.DUMMYFUNCTION("""COMPUTED_VALUE"""),"LAKI-LAKI")</f>
        <v>LAKI-LAKI</v>
      </c>
      <c r="M1832" s="35" t="str">
        <f>IFERROR(__xludf.DUMMYFUNCTION("""COMPUTED_VALUE"""),"JL. SAFE'I")</f>
        <v>JL. SAFE'I</v>
      </c>
      <c r="N1832" s="16" t="str">
        <f>IFERROR(__xludf.DUMMYFUNCTION("""COMPUTED_VALUE"""),"KEL. AKCAYA")</f>
        <v>KEL. AKCAYA</v>
      </c>
      <c r="O1832" s="16" t="str">
        <f>IFERROR(__xludf.DUMMYFUNCTION("""COMPUTED_VALUE"""),"KEC. PONTIANAK SELATAN")</f>
        <v>KEC. PONTIANAK SELATAN</v>
      </c>
      <c r="P1832" s="16" t="str">
        <f>IFERROR(__xludf.DUMMYFUNCTION("""COMPUTED_VALUE"""),"KOTA PONTIANAK")</f>
        <v>KOTA PONTIANAK</v>
      </c>
      <c r="Q1832" s="16" t="str">
        <f>IFERROR(__xludf.DUMMYFUNCTION("""COMPUTED_VALUE"""),"KALIMANTAN BARAT")</f>
        <v>KALIMANTAN BARAT</v>
      </c>
      <c r="R1832" s="19" t="str">
        <f>IFERROR(__xludf.DUMMYFUNCTION("""COMPUTED_VALUE"""),"ISLAM")</f>
        <v>ISLAM</v>
      </c>
      <c r="S1832" s="35" t="str">
        <f>IFERROR(__xludf.DUMMYFUNCTION("""COMPUTED_VALUE"""),"TENAGA HONOR")</f>
        <v>TENAGA HONOR</v>
      </c>
      <c r="T1832" s="16" t="str">
        <f>IFERROR(__xludf.DUMMYFUNCTION("""COMPUTED_VALUE"""),"Di bawah lutut")</f>
        <v>Di bawah lutut</v>
      </c>
      <c r="U1832" s="16" t="str">
        <f>IFERROR(__xludf.DUMMYFUNCTION("""COMPUTED_VALUE"""),"Main Bola")</f>
        <v>Main Bola</v>
      </c>
      <c r="V1832" s="11" t="str">
        <f>IFERROR(__xludf.DUMMYFUNCTION("""COMPUTED_VALUE"""),"085960295171")</f>
        <v>085960295171</v>
      </c>
      <c r="W1832" s="15"/>
    </row>
    <row r="1833" ht="22.5" customHeight="1">
      <c r="A1833" s="8"/>
      <c r="B1833" s="9">
        <f>IFERROR(__xludf.DUMMYFUNCTION("""COMPUTED_VALUE"""),45581.935049039355)</f>
        <v>45581.93505</v>
      </c>
      <c r="C1833" s="9"/>
      <c r="D1833" s="10">
        <f>IFERROR(__xludf.DUMMYFUNCTION("""COMPUTED_VALUE"""),45592.0)</f>
        <v>45592</v>
      </c>
      <c r="E1833" s="10" t="str">
        <f>IFERROR(__xludf.DUMMYFUNCTION("""COMPUTED_VALUE"""),"10Okt")</f>
        <v>10Okt</v>
      </c>
      <c r="F1833" s="10" t="str">
        <f>IFERROR(__xludf.DUMMYFUNCTION("""COMPUTED_VALUE"""),"2024")</f>
        <v>2024</v>
      </c>
      <c r="G1833" s="16" t="str">
        <f>IFERROR(__xludf.DUMMYFUNCTION("""COMPUTED_VALUE"""),"NICHOLAS ARINDA PRASETYO")</f>
        <v>NICHOLAS ARINDA PRASETYO</v>
      </c>
      <c r="H1833" s="17" t="str">
        <f>IFERROR(__xludf.DUMMYFUNCTION("""COMPUTED_VALUE"""),"N0324108818")</f>
        <v>N0324108818</v>
      </c>
      <c r="I1833" s="17">
        <f>IFERROR(__xludf.DUMMYFUNCTION("""COMPUTED_VALUE"""),23.0)</f>
        <v>23</v>
      </c>
      <c r="J1833" s="17" t="str">
        <f>IFERROR(__xludf.DUMMYFUNCTION("""COMPUTED_VALUE"""),"18-24 tahun")</f>
        <v>18-24 tahun</v>
      </c>
      <c r="K1833" s="19">
        <f>IFERROR(__xludf.DUMMYFUNCTION("""COMPUTED_VALUE"""),37767.0)</f>
        <v>37767</v>
      </c>
      <c r="L1833" s="19" t="str">
        <f>IFERROR(__xludf.DUMMYFUNCTION("""COMPUTED_VALUE"""),"LAKI-LAKI")</f>
        <v>LAKI-LAKI</v>
      </c>
      <c r="M1833" s="35" t="str">
        <f>IFERROR(__xludf.DUMMYFUNCTION("""COMPUTED_VALUE"""),"JL KARYABARU GG KARYABARU 3 NO 6")</f>
        <v>JL KARYABARU GG KARYABARU 3 NO 6</v>
      </c>
      <c r="N1833" s="16" t="str">
        <f>IFERROR(__xludf.DUMMYFUNCTION("""COMPUTED_VALUE"""),"KEL. PARIT TOKAYA")</f>
        <v>KEL. PARIT TOKAYA</v>
      </c>
      <c r="O1833" s="16" t="str">
        <f>IFERROR(__xludf.DUMMYFUNCTION("""COMPUTED_VALUE"""),"KEC. PONTIANAK SELATAN")</f>
        <v>KEC. PONTIANAK SELATAN</v>
      </c>
      <c r="P1833" s="16" t="str">
        <f>IFERROR(__xludf.DUMMYFUNCTION("""COMPUTED_VALUE"""),"KOTA PONTIANAK")</f>
        <v>KOTA PONTIANAK</v>
      </c>
      <c r="Q1833" s="16" t="str">
        <f>IFERROR(__xludf.DUMMYFUNCTION("""COMPUTED_VALUE"""),"KALIMANTAN BARAT")</f>
        <v>KALIMANTAN BARAT</v>
      </c>
      <c r="R1833" s="19" t="str">
        <f>IFERROR(__xludf.DUMMYFUNCTION("""COMPUTED_VALUE"""),"KATOLIK")</f>
        <v>KATOLIK</v>
      </c>
      <c r="S1833" s="35" t="str">
        <f>IFERROR(__xludf.DUMMYFUNCTION("""COMPUTED_VALUE"""),"PELAJAR/MAHASISWA")</f>
        <v>PELAJAR/MAHASISWA</v>
      </c>
      <c r="T1833" s="16" t="str">
        <f>IFERROR(__xludf.DUMMYFUNCTION("""COMPUTED_VALUE"""),"Belikat, telapak kaki, bahu, pinggang")</f>
        <v>Belikat, telapak kaki, bahu, pinggang</v>
      </c>
      <c r="U1833" s="16" t="str">
        <f>IFERROR(__xludf.DUMMYFUNCTION("""COMPUTED_VALUE"""),"Tennis dan gym")</f>
        <v>Tennis dan gym</v>
      </c>
      <c r="V1833" s="11" t="str">
        <f>IFERROR(__xludf.DUMMYFUNCTION("""COMPUTED_VALUE"""),"08115718818")</f>
        <v>08115718818</v>
      </c>
      <c r="W1833" s="15"/>
    </row>
    <row r="1834" ht="22.5" customHeight="1">
      <c r="A1834" s="8"/>
      <c r="B1834" s="9">
        <f>IFERROR(__xludf.DUMMYFUNCTION("""COMPUTED_VALUE"""),45582.70553407408)</f>
        <v>45582.70553</v>
      </c>
      <c r="C1834" s="9"/>
      <c r="D1834" s="10">
        <f>IFERROR(__xludf.DUMMYFUNCTION("""COMPUTED_VALUE"""),45592.0)</f>
        <v>45592</v>
      </c>
      <c r="E1834" s="10" t="str">
        <f>IFERROR(__xludf.DUMMYFUNCTION("""COMPUTED_VALUE"""),"10Okt")</f>
        <v>10Okt</v>
      </c>
      <c r="F1834" s="10" t="str">
        <f>IFERROR(__xludf.DUMMYFUNCTION("""COMPUTED_VALUE"""),"2024")</f>
        <v>2024</v>
      </c>
      <c r="G1834" s="16" t="str">
        <f>IFERROR(__xludf.DUMMYFUNCTION("""COMPUTED_VALUE"""),"MUHAMMAD MUSA HARAHAP")</f>
        <v>MUHAMMAD MUSA HARAHAP</v>
      </c>
      <c r="H1834" s="17" t="str">
        <f>IFERROR(__xludf.DUMMYFUNCTION("""COMPUTED_VALUE"""),"M0124109721")</f>
        <v>M0124109721</v>
      </c>
      <c r="I1834" s="17">
        <f>IFERROR(__xludf.DUMMYFUNCTION("""COMPUTED_VALUE"""),25.0)</f>
        <v>25</v>
      </c>
      <c r="J1834" s="17" t="str">
        <f>IFERROR(__xludf.DUMMYFUNCTION("""COMPUTED_VALUE"""),"25-34 tahun")</f>
        <v>25-34 tahun</v>
      </c>
      <c r="K1834" s="19">
        <f>IFERROR(__xludf.DUMMYFUNCTION("""COMPUTED_VALUE"""),37005.0)</f>
        <v>37005</v>
      </c>
      <c r="L1834" s="19" t="str">
        <f>IFERROR(__xludf.DUMMYFUNCTION("""COMPUTED_VALUE"""),"LAKI-LAKI")</f>
        <v>LAKI-LAKI</v>
      </c>
      <c r="M1834" s="35" t="str">
        <f>IFERROR(__xludf.DUMMYFUNCTION("""COMPUTED_VALUE"""),"SENGKUANG DAOK")</f>
        <v>SENGKUANG DAOK</v>
      </c>
      <c r="N1834" s="16" t="str">
        <f>IFERROR(__xludf.DUMMYFUNCTION("""COMPUTED_VALUE"""),"DS. KUALA BUAYAN")</f>
        <v>DS. KUALA BUAYAN</v>
      </c>
      <c r="O1834" s="16" t="str">
        <f>IFERROR(__xludf.DUMMYFUNCTION("""COMPUTED_VALUE"""),"KEC. MELIAU")</f>
        <v>KEC. MELIAU</v>
      </c>
      <c r="P1834" s="16" t="str">
        <f>IFERROR(__xludf.DUMMYFUNCTION("""COMPUTED_VALUE"""),"KAB. SANGGAU")</f>
        <v>KAB. SANGGAU</v>
      </c>
      <c r="Q1834" s="16" t="str">
        <f>IFERROR(__xludf.DUMMYFUNCTION("""COMPUTED_VALUE"""),"KALIMANTAN BARAT")</f>
        <v>KALIMANTAN BARAT</v>
      </c>
      <c r="R1834" s="19" t="str">
        <f>IFERROR(__xludf.DUMMYFUNCTION("""COMPUTED_VALUE"""),"ISLAM")</f>
        <v>ISLAM</v>
      </c>
      <c r="S1834" s="35" t="str">
        <f>IFERROR(__xludf.DUMMYFUNCTION("""COMPUTED_VALUE"""),"DOSEN/GURU")</f>
        <v>DOSEN/GURU</v>
      </c>
      <c r="T1834" s="16" t="str">
        <f>IFERROR(__xludf.DUMMYFUNCTION("""COMPUTED_VALUE"""),"Lutut")</f>
        <v>Lutut</v>
      </c>
      <c r="U1834" s="16" t="str">
        <f>IFERROR(__xludf.DUMMYFUNCTION("""COMPUTED_VALUE"""),"Sepak Bola")</f>
        <v>Sepak Bola</v>
      </c>
      <c r="V1834" s="11" t="str">
        <f>IFERROR(__xludf.DUMMYFUNCTION("""COMPUTED_VALUE"""),"081348549721")</f>
        <v>081348549721</v>
      </c>
      <c r="W1834" s="15"/>
    </row>
    <row r="1835" ht="22.5" customHeight="1">
      <c r="A1835" s="39"/>
      <c r="B1835" s="9">
        <f>IFERROR(__xludf.DUMMYFUNCTION("""COMPUTED_VALUE"""),45583.38667626157)</f>
        <v>45583.38668</v>
      </c>
      <c r="C1835" s="9"/>
      <c r="D1835" s="10">
        <f>IFERROR(__xludf.DUMMYFUNCTION("""COMPUTED_VALUE"""),45592.0)</f>
        <v>45592</v>
      </c>
      <c r="E1835" s="10" t="str">
        <f>IFERROR(__xludf.DUMMYFUNCTION("""COMPUTED_VALUE"""),"10Okt")</f>
        <v>10Okt</v>
      </c>
      <c r="F1835" s="10" t="str">
        <f>IFERROR(__xludf.DUMMYFUNCTION("""COMPUTED_VALUE"""),"2024")</f>
        <v>2024</v>
      </c>
      <c r="G1835" s="16" t="str">
        <f>IFERROR(__xludf.DUMMYFUNCTION("""COMPUTED_VALUE"""),"MUHAMMAD NAGIB FARHAN")</f>
        <v>MUHAMMAD NAGIB FARHAN</v>
      </c>
      <c r="H1835" s="17" t="str">
        <f>IFERROR(__xludf.DUMMYFUNCTION("""COMPUTED_VALUE"""),"M9724105951")</f>
        <v>M9724105951</v>
      </c>
      <c r="I1835" s="17">
        <f>IFERROR(__xludf.DUMMYFUNCTION("""COMPUTED_VALUE"""),29.0)</f>
        <v>29</v>
      </c>
      <c r="J1835" s="17" t="str">
        <f>IFERROR(__xludf.DUMMYFUNCTION("""COMPUTED_VALUE"""),"25-34 tahun")</f>
        <v>25-34 tahun</v>
      </c>
      <c r="K1835" s="19">
        <f>IFERROR(__xludf.DUMMYFUNCTION("""COMPUTED_VALUE"""),35460.0)</f>
        <v>35460</v>
      </c>
      <c r="L1835" s="19" t="str">
        <f>IFERROR(__xludf.DUMMYFUNCTION("""COMPUTED_VALUE"""),"LAKI-LAKI")</f>
        <v>LAKI-LAKI</v>
      </c>
      <c r="M1835" s="35" t="str">
        <f>IFERROR(__xludf.DUMMYFUNCTION("""COMPUTED_VALUE"""),"JL PARALEL TOL 1 GG BA'ALAWI NO 10")</f>
        <v>JL PARALEL TOL 1 GG BA'ALAWI NO 10</v>
      </c>
      <c r="N1835" s="16" t="str">
        <f>IFERROR(__xludf.DUMMYFUNCTION("""COMPUTED_VALUE"""),"KEL. DALAM BUGIS")</f>
        <v>KEL. DALAM BUGIS</v>
      </c>
      <c r="O1835" s="16" t="str">
        <f>IFERROR(__xludf.DUMMYFUNCTION("""COMPUTED_VALUE"""),"KEC. PONTIANAK TIMUR")</f>
        <v>KEC. PONTIANAK TIMUR</v>
      </c>
      <c r="P1835" s="16" t="str">
        <f>IFERROR(__xludf.DUMMYFUNCTION("""COMPUTED_VALUE"""),"KOTA PONTIANAK")</f>
        <v>KOTA PONTIANAK</v>
      </c>
      <c r="Q1835" s="16" t="str">
        <f>IFERROR(__xludf.DUMMYFUNCTION("""COMPUTED_VALUE"""),"KALIMANTAN BARAT")</f>
        <v>KALIMANTAN BARAT</v>
      </c>
      <c r="R1835" s="19" t="str">
        <f>IFERROR(__xludf.DUMMYFUNCTION("""COMPUTED_VALUE"""),"ISLAM")</f>
        <v>ISLAM</v>
      </c>
      <c r="S1835" s="35" t="str">
        <f>IFERROR(__xludf.DUMMYFUNCTION("""COMPUTED_VALUE"""),"DOSEN/GURU")</f>
        <v>DOSEN/GURU</v>
      </c>
      <c r="T1835" s="16" t="str">
        <f>IFERROR(__xludf.DUMMYFUNCTION("""COMPUTED_VALUE"""),"LUTUT")</f>
        <v>LUTUT</v>
      </c>
      <c r="U1835" s="16" t="str">
        <f>IFERROR(__xludf.DUMMYFUNCTION("""COMPUTED_VALUE"""),"MENGAJAR")</f>
        <v>MENGAJAR</v>
      </c>
      <c r="V1835" s="11" t="str">
        <f>IFERROR(__xludf.DUMMYFUNCTION("""COMPUTED_VALUE"""),"08568355951")</f>
        <v>08568355951</v>
      </c>
      <c r="W1835" s="15"/>
    </row>
    <row r="1836" ht="22.5" customHeight="1">
      <c r="A1836" s="39"/>
      <c r="B1836" s="9">
        <f>IFERROR(__xludf.DUMMYFUNCTION("""COMPUTED_VALUE"""),45583.41585143519)</f>
        <v>45583.41585</v>
      </c>
      <c r="C1836" s="9"/>
      <c r="D1836" s="10">
        <f>IFERROR(__xludf.DUMMYFUNCTION("""COMPUTED_VALUE"""),45593.0)</f>
        <v>45593</v>
      </c>
      <c r="E1836" s="10" t="str">
        <f>IFERROR(__xludf.DUMMYFUNCTION("""COMPUTED_VALUE"""),"10Okt")</f>
        <v>10Okt</v>
      </c>
      <c r="F1836" s="10" t="str">
        <f>IFERROR(__xludf.DUMMYFUNCTION("""COMPUTED_VALUE"""),"2024")</f>
        <v>2024</v>
      </c>
      <c r="G1836" s="16" t="str">
        <f>IFERROR(__xludf.DUMMYFUNCTION("""COMPUTED_VALUE"""),"RIFWARTI")</f>
        <v>RIFWARTI</v>
      </c>
      <c r="H1836" s="17" t="str">
        <f>IFERROR(__xludf.DUMMYFUNCTION("""COMPUTED_VALUE"""),"R5724104031")</f>
        <v>R5724104031</v>
      </c>
      <c r="I1836" s="17">
        <f>IFERROR(__xludf.DUMMYFUNCTION("""COMPUTED_VALUE"""),69.0)</f>
        <v>69</v>
      </c>
      <c r="J1836" s="17" t="str">
        <f>IFERROR(__xludf.DUMMYFUNCTION("""COMPUTED_VALUE"""),"&gt; 44 tahun")</f>
        <v>&gt; 44 tahun</v>
      </c>
      <c r="K1836" s="19">
        <f>IFERROR(__xludf.DUMMYFUNCTION("""COMPUTED_VALUE"""),20941.0)</f>
        <v>20941</v>
      </c>
      <c r="L1836" s="19" t="str">
        <f>IFERROR(__xludf.DUMMYFUNCTION("""COMPUTED_VALUE"""),"PEREMPUAN")</f>
        <v>PEREMPUAN</v>
      </c>
      <c r="M1836" s="35" t="str">
        <f>IFERROR(__xludf.DUMMYFUNCTION("""COMPUTED_VALUE"""),"JL. P. NATAKUSUMA GG. SUMUR BOR NO.5")</f>
        <v>JL. P. NATAKUSUMA GG. SUMUR BOR NO.5</v>
      </c>
      <c r="N1836" s="16" t="str">
        <f>IFERROR(__xludf.DUMMYFUNCTION("""COMPUTED_VALUE"""),"KEL. SUNGAI BANGKONG")</f>
        <v>KEL. SUNGAI BANGKONG</v>
      </c>
      <c r="O1836" s="16" t="str">
        <f>IFERROR(__xludf.DUMMYFUNCTION("""COMPUTED_VALUE"""),"KEC. PONTIANAK KOTA")</f>
        <v>KEC. PONTIANAK KOTA</v>
      </c>
      <c r="P1836" s="16" t="str">
        <f>IFERROR(__xludf.DUMMYFUNCTION("""COMPUTED_VALUE"""),"KOTA PONTIANAK")</f>
        <v>KOTA PONTIANAK</v>
      </c>
      <c r="Q1836" s="16" t="str">
        <f>IFERROR(__xludf.DUMMYFUNCTION("""COMPUTED_VALUE"""),"KALIMANTAN BARAT")</f>
        <v>KALIMANTAN BARAT</v>
      </c>
      <c r="R1836" s="19" t="str">
        <f>IFERROR(__xludf.DUMMYFUNCTION("""COMPUTED_VALUE"""),"ISLAM")</f>
        <v>ISLAM</v>
      </c>
      <c r="S1836" s="35" t="str">
        <f>IFERROR(__xludf.DUMMYFUNCTION("""COMPUTED_VALUE"""),"PENSIUN")</f>
        <v>PENSIUN</v>
      </c>
      <c r="T1836" s="16" t="str">
        <f>IFERROR(__xludf.DUMMYFUNCTION("""COMPUTED_VALUE"""),"Tangan kanan sakit")</f>
        <v>Tangan kanan sakit</v>
      </c>
      <c r="U1836" s="16" t="str">
        <f>IFERROR(__xludf.DUMMYFUNCTION("""COMPUTED_VALUE"""),"Dirumah saja")</f>
        <v>Dirumah saja</v>
      </c>
      <c r="V1836" s="11" t="str">
        <f>IFERROR(__xludf.DUMMYFUNCTION("""COMPUTED_VALUE"""),"081345204031")</f>
        <v>081345204031</v>
      </c>
      <c r="W1836" s="15"/>
    </row>
    <row r="1837" ht="22.5" customHeight="1">
      <c r="A1837" s="39"/>
      <c r="B1837" s="9">
        <f>IFERROR(__xludf.DUMMYFUNCTION("""COMPUTED_VALUE"""),45583.524385717596)</f>
        <v>45583.52439</v>
      </c>
      <c r="C1837" s="9"/>
      <c r="D1837" s="10">
        <f>IFERROR(__xludf.DUMMYFUNCTION("""COMPUTED_VALUE"""),45596.0)</f>
        <v>45596</v>
      </c>
      <c r="E1837" s="10" t="str">
        <f>IFERROR(__xludf.DUMMYFUNCTION("""COMPUTED_VALUE"""),"10Okt")</f>
        <v>10Okt</v>
      </c>
      <c r="F1837" s="10" t="str">
        <f>IFERROR(__xludf.DUMMYFUNCTION("""COMPUTED_VALUE"""),"2024")</f>
        <v>2024</v>
      </c>
      <c r="G1837" s="16" t="str">
        <f>IFERROR(__xludf.DUMMYFUNCTION("""COMPUTED_VALUE"""),"USMAN ARIF MURTOPO")</f>
        <v>USMAN ARIF MURTOPO</v>
      </c>
      <c r="H1837" s="17" t="str">
        <f>IFERROR(__xludf.DUMMYFUNCTION("""COMPUTED_VALUE"""),"U7624100738")</f>
        <v>U7624100738</v>
      </c>
      <c r="I1837" s="17">
        <f>IFERROR(__xludf.DUMMYFUNCTION("""COMPUTED_VALUE"""),50.0)</f>
        <v>50</v>
      </c>
      <c r="J1837" s="17" t="str">
        <f>IFERROR(__xludf.DUMMYFUNCTION("""COMPUTED_VALUE"""),"&gt; 44 tahun")</f>
        <v>&gt; 44 tahun</v>
      </c>
      <c r="K1837" s="19">
        <f>IFERROR(__xludf.DUMMYFUNCTION("""COMPUTED_VALUE"""),27878.0)</f>
        <v>27878</v>
      </c>
      <c r="L1837" s="19" t="str">
        <f>IFERROR(__xludf.DUMMYFUNCTION("""COMPUTED_VALUE"""),"LAKI-LAKI")</f>
        <v>LAKI-LAKI</v>
      </c>
      <c r="M1837" s="35" t="str">
        <f>IFERROR(__xludf.DUMMYFUNCTION("""COMPUTED_VALUE"""),"CARIKAN RT 01 RW 01")</f>
        <v>CARIKAN RT 01 RW 01</v>
      </c>
      <c r="N1837" s="16" t="str">
        <f>IFERROR(__xludf.DUMMYFUNCTION("""COMPUTED_VALUE"""),"DS. GUNDOSULI")</f>
        <v>DS. GUNDOSULI</v>
      </c>
      <c r="O1837" s="16" t="str">
        <f>IFERROR(__xludf.DUMMYFUNCTION("""COMPUTED_VALUE"""),"KEC. MUTILAN")</f>
        <v>KEC. MUTILAN</v>
      </c>
      <c r="P1837" s="16" t="str">
        <f>IFERROR(__xludf.DUMMYFUNCTION("""COMPUTED_VALUE"""),"KOTA MAGELANG")</f>
        <v>KOTA MAGELANG</v>
      </c>
      <c r="Q1837" s="16" t="str">
        <f>IFERROR(__xludf.DUMMYFUNCTION("""COMPUTED_VALUE"""),"JAWA TENGAH")</f>
        <v>JAWA TENGAH</v>
      </c>
      <c r="R1837" s="19" t="str">
        <f>IFERROR(__xludf.DUMMYFUNCTION("""COMPUTED_VALUE"""),"ISLAM")</f>
        <v>ISLAM</v>
      </c>
      <c r="S1837" s="35" t="str">
        <f>IFERROR(__xludf.DUMMYFUNCTION("""COMPUTED_VALUE"""),"ASN")</f>
        <v>ASN</v>
      </c>
      <c r="T1837" s="16" t="str">
        <f>IFERROR(__xludf.DUMMYFUNCTION("""COMPUTED_VALUE"""),"Nyeri pergelangan tangan kanan")</f>
        <v>Nyeri pergelangan tangan kanan</v>
      </c>
      <c r="U1837" s="16" t="str">
        <f>IFERROR(__xludf.DUMMYFUNCTION("""COMPUTED_VALUE"""),"-")</f>
        <v>-</v>
      </c>
      <c r="V1837" s="11" t="str">
        <f>IFERROR(__xludf.DUMMYFUNCTION("""COMPUTED_VALUE"""),"08113500738")</f>
        <v>08113500738</v>
      </c>
      <c r="W1837" s="15"/>
    </row>
    <row r="1838" ht="22.5" customHeight="1">
      <c r="A1838" s="39"/>
      <c r="B1838" s="9">
        <f>IFERROR(__xludf.DUMMYFUNCTION("""COMPUTED_VALUE"""),45583.38667626157)</f>
        <v>45583.38668</v>
      </c>
      <c r="C1838" s="9"/>
      <c r="D1838" s="10">
        <f>IFERROR(__xludf.DUMMYFUNCTION("""COMPUTED_VALUE"""),45596.0)</f>
        <v>45596</v>
      </c>
      <c r="E1838" s="10" t="str">
        <f>IFERROR(__xludf.DUMMYFUNCTION("""COMPUTED_VALUE"""),"10Okt")</f>
        <v>10Okt</v>
      </c>
      <c r="F1838" s="10" t="str">
        <f>IFERROR(__xludf.DUMMYFUNCTION("""COMPUTED_VALUE"""),"2024")</f>
        <v>2024</v>
      </c>
      <c r="G1838" s="16" t="str">
        <f>IFERROR(__xludf.DUMMYFUNCTION("""COMPUTED_VALUE"""),"SY YUSUF")</f>
        <v>SY YUSUF</v>
      </c>
      <c r="H1838" s="17" t="str">
        <f>IFERROR(__xludf.DUMMYFUNCTION("""COMPUTED_VALUE"""),"S7524101869")</f>
        <v>S7524101869</v>
      </c>
      <c r="I1838" s="17">
        <f>IFERROR(__xludf.DUMMYFUNCTION("""COMPUTED_VALUE"""),50.0)</f>
        <v>50</v>
      </c>
      <c r="J1838" s="17" t="str">
        <f>IFERROR(__xludf.DUMMYFUNCTION("""COMPUTED_VALUE"""),"&gt; 44 tahun")</f>
        <v>&gt; 44 tahun</v>
      </c>
      <c r="K1838" s="19">
        <f>IFERROR(__xludf.DUMMYFUNCTION("""COMPUTED_VALUE"""),27708.0)</f>
        <v>27708</v>
      </c>
      <c r="L1838" s="19" t="str">
        <f>IFERROR(__xludf.DUMMYFUNCTION("""COMPUTED_VALUE"""),"LAKI-LAKI")</f>
        <v>LAKI-LAKI</v>
      </c>
      <c r="M1838" s="35" t="str">
        <f>IFERROR(__xludf.DUMMYFUNCTION("""COMPUTED_VALUE"""),"GG GARUDA 1 DUSUN MERAK RT 03 RW 08 SUI KAKAP")</f>
        <v>GG GARUDA 1 DUSUN MERAK RT 03 RW 08 SUI KAKAP</v>
      </c>
      <c r="N1838" s="16" t="str">
        <f>IFERROR(__xludf.DUMMYFUNCTION("""COMPUTED_VALUE"""),"DS. SUNGAI KAKAP")</f>
        <v>DS. SUNGAI KAKAP</v>
      </c>
      <c r="O1838" s="16" t="str">
        <f>IFERROR(__xludf.DUMMYFUNCTION("""COMPUTED_VALUE"""),"KEC. SUNGAI KAKAP")</f>
        <v>KEC. SUNGAI KAKAP</v>
      </c>
      <c r="P1838" s="16" t="str">
        <f>IFERROR(__xludf.DUMMYFUNCTION("""COMPUTED_VALUE"""),"KAB. KUBU RAYA")</f>
        <v>KAB. KUBU RAYA</v>
      </c>
      <c r="Q1838" s="16" t="str">
        <f>IFERROR(__xludf.DUMMYFUNCTION("""COMPUTED_VALUE"""),"KALIMANTAN BARAT")</f>
        <v>KALIMANTAN BARAT</v>
      </c>
      <c r="R1838" s="19" t="str">
        <f>IFERROR(__xludf.DUMMYFUNCTION("""COMPUTED_VALUE"""),"ISLAM")</f>
        <v>ISLAM</v>
      </c>
      <c r="S1838" s="16" t="str">
        <f>IFERROR(__xludf.DUMMYFUNCTION("""COMPUTED_VALUE"""),"SWASTA")</f>
        <v>SWASTA</v>
      </c>
      <c r="T1838" s="16" t="str">
        <f>IFERROR(__xludf.DUMMYFUNCTION("""COMPUTED_VALUE"""),"PINGGANG")</f>
        <v>PINGGANG</v>
      </c>
      <c r="U1838" s="16" t="str">
        <f>IFERROR(__xludf.DUMMYFUNCTION("""COMPUTED_VALUE"""),"Tida ada")</f>
        <v>Tida ada</v>
      </c>
      <c r="V1838" s="11" t="str">
        <f>IFERROR(__xludf.DUMMYFUNCTION("""COMPUTED_VALUE"""),"081649401869")</f>
        <v>081649401869</v>
      </c>
      <c r="W1838" s="15"/>
    </row>
    <row r="1839" ht="22.5" customHeight="1">
      <c r="A1839" s="39"/>
      <c r="B1839" s="9">
        <f>IFERROR(__xludf.DUMMYFUNCTION("""COMPUTED_VALUE"""),45583.69118902778)</f>
        <v>45583.69119</v>
      </c>
      <c r="C1839" s="9"/>
      <c r="D1839" s="10">
        <f>IFERROR(__xludf.DUMMYFUNCTION("""COMPUTED_VALUE"""),45597.0)</f>
        <v>45597</v>
      </c>
      <c r="E1839" s="10" t="str">
        <f>IFERROR(__xludf.DUMMYFUNCTION("""COMPUTED_VALUE"""),"11Nov")</f>
        <v>11Nov</v>
      </c>
      <c r="F1839" s="10" t="str">
        <f>IFERROR(__xludf.DUMMYFUNCTION("""COMPUTED_VALUE"""),"2024")</f>
        <v>2024</v>
      </c>
      <c r="G1839" s="16" t="str">
        <f>IFERROR(__xludf.DUMMYFUNCTION("""COMPUTED_VALUE"""),"ARDIKA GUMILANG KAMAJAYA")</f>
        <v>ARDIKA GUMILANG KAMAJAYA</v>
      </c>
      <c r="H1839" s="17" t="str">
        <f>IFERROR(__xludf.DUMMYFUNCTION("""COMPUTED_VALUE"""),"A9424116266")</f>
        <v>A9424116266</v>
      </c>
      <c r="I1839" s="17">
        <f>IFERROR(__xludf.DUMMYFUNCTION("""COMPUTED_VALUE"""),31.0)</f>
        <v>31</v>
      </c>
      <c r="J1839" s="17" t="str">
        <f>IFERROR(__xludf.DUMMYFUNCTION("""COMPUTED_VALUE"""),"25-34 tahun")</f>
        <v>25-34 tahun</v>
      </c>
      <c r="K1839" s="19">
        <f>IFERROR(__xludf.DUMMYFUNCTION("""COMPUTED_VALUE"""),34504.0)</f>
        <v>34504</v>
      </c>
      <c r="L1839" s="19" t="str">
        <f>IFERROR(__xludf.DUMMYFUNCTION("""COMPUTED_VALUE"""),"LAKI-LAKI")</f>
        <v>LAKI-LAKI</v>
      </c>
      <c r="M1839" s="35" t="str">
        <f>IFERROR(__xludf.DUMMYFUNCTION("""COMPUTED_VALUE"""),"JL APEL GG PISANG BERANGAN NO 32")</f>
        <v>JL APEL GG PISANG BERANGAN NO 32</v>
      </c>
      <c r="N1839" s="16" t="str">
        <f>IFERROR(__xludf.DUMMYFUNCTION("""COMPUTED_VALUE"""),"KEL. SUNGAI JAWI LUAR")</f>
        <v>KEL. SUNGAI JAWI LUAR</v>
      </c>
      <c r="O1839" s="16" t="str">
        <f>IFERROR(__xludf.DUMMYFUNCTION("""COMPUTED_VALUE"""),"KEC. PONTIANAK BARAT")</f>
        <v>KEC. PONTIANAK BARAT</v>
      </c>
      <c r="P1839" s="16" t="str">
        <f>IFERROR(__xludf.DUMMYFUNCTION("""COMPUTED_VALUE"""),"KOTA PONTIANAK")</f>
        <v>KOTA PONTIANAK</v>
      </c>
      <c r="Q1839" s="16" t="str">
        <f>IFERROR(__xludf.DUMMYFUNCTION("""COMPUTED_VALUE"""),"KALIMANTAN BARAT")</f>
        <v>KALIMANTAN BARAT</v>
      </c>
      <c r="R1839" s="19" t="str">
        <f>IFERROR(__xludf.DUMMYFUNCTION("""COMPUTED_VALUE"""),"ISLAM")</f>
        <v>ISLAM</v>
      </c>
      <c r="S1839" s="35" t="str">
        <f>IFERROR(__xludf.DUMMYFUNCTION("""COMPUTED_VALUE"""),"SWASTA")</f>
        <v>SWASTA</v>
      </c>
      <c r="T1839" s="16" t="str">
        <f>IFERROR(__xludf.DUMMYFUNCTION("""COMPUTED_VALUE"""),"Lutut sakit saat di gerakan dan tidak bisa beraktivitas")</f>
        <v>Lutut sakit saat di gerakan dan tidak bisa beraktivitas</v>
      </c>
      <c r="U1839" s="16" t="str">
        <f>IFERROR(__xludf.DUMMYFUNCTION("""COMPUTED_VALUE"""),"Hanya mobilitas berjalan saja")</f>
        <v>Hanya mobilitas berjalan saja</v>
      </c>
      <c r="V1839" s="11" t="str">
        <f>IFERROR(__xludf.DUMMYFUNCTION("""COMPUTED_VALUE"""),"083125546266")</f>
        <v>083125546266</v>
      </c>
      <c r="W1839" s="15"/>
    </row>
    <row r="1840" ht="22.5" customHeight="1">
      <c r="A1840" s="39"/>
      <c r="B1840" s="9">
        <f>IFERROR(__xludf.DUMMYFUNCTION("""COMPUTED_VALUE"""),45584.431054050925)</f>
        <v>45584.43105</v>
      </c>
      <c r="C1840" s="9"/>
      <c r="D1840" s="10">
        <f>IFERROR(__xludf.DUMMYFUNCTION("""COMPUTED_VALUE"""),45598.0)</f>
        <v>45598</v>
      </c>
      <c r="E1840" s="10" t="str">
        <f>IFERROR(__xludf.DUMMYFUNCTION("""COMPUTED_VALUE"""),"11Nov")</f>
        <v>11Nov</v>
      </c>
      <c r="F1840" s="10" t="str">
        <f>IFERROR(__xludf.DUMMYFUNCTION("""COMPUTED_VALUE"""),"2024")</f>
        <v>2024</v>
      </c>
      <c r="G1840" s="16" t="str">
        <f>IFERROR(__xludf.DUMMYFUNCTION("""COMPUTED_VALUE"""),"SUYANTO 9210")</f>
        <v>SUYANTO 9210</v>
      </c>
      <c r="H1840" s="17" t="str">
        <f>IFERROR(__xludf.DUMMYFUNCTION("""COMPUTED_VALUE"""),"S9224119037")</f>
        <v>S9224119037</v>
      </c>
      <c r="I1840" s="17">
        <f>IFERROR(__xludf.DUMMYFUNCTION("""COMPUTED_VALUE"""),33.0)</f>
        <v>33</v>
      </c>
      <c r="J1840" s="17" t="str">
        <f>IFERROR(__xludf.DUMMYFUNCTION("""COMPUTED_VALUE"""),"25-34 tahun")</f>
        <v>25-34 tahun</v>
      </c>
      <c r="K1840" s="19">
        <f>IFERROR(__xludf.DUMMYFUNCTION("""COMPUTED_VALUE"""),33896.0)</f>
        <v>33896</v>
      </c>
      <c r="L1840" s="19" t="str">
        <f>IFERROR(__xludf.DUMMYFUNCTION("""COMPUTED_VALUE"""),"LAKI-LAKI")</f>
        <v>LAKI-LAKI</v>
      </c>
      <c r="M1840" s="35" t="str">
        <f>IFERROR(__xludf.DUMMYFUNCTION("""COMPUTED_VALUE"""),"JALAN TANJUNG RAYA 2 GANG SEKTOR RAYA NOMOR 10")</f>
        <v>JALAN TANJUNG RAYA 2 GANG SEKTOR RAYA NOMOR 10</v>
      </c>
      <c r="N1840" s="16" t="str">
        <f>IFERROR(__xludf.DUMMYFUNCTION("""COMPUTED_VALUE"""),"KEL. SAIGON")</f>
        <v>KEL. SAIGON</v>
      </c>
      <c r="O1840" s="16" t="str">
        <f>IFERROR(__xludf.DUMMYFUNCTION("""COMPUTED_VALUE"""),"KEC. PONTIANAK TIMUR")</f>
        <v>KEC. PONTIANAK TIMUR</v>
      </c>
      <c r="P1840" s="16"/>
      <c r="Q1840" s="16" t="str">
        <f>IFERROR(__xludf.DUMMYFUNCTION("""COMPUTED_VALUE"""),"KALIMANTAN BARAT")</f>
        <v>KALIMANTAN BARAT</v>
      </c>
      <c r="R1840" s="19" t="str">
        <f>IFERROR(__xludf.DUMMYFUNCTION("""COMPUTED_VALUE"""),"ISLAM")</f>
        <v>ISLAM</v>
      </c>
      <c r="S1840" s="35" t="str">
        <f>IFERROR(__xludf.DUMMYFUNCTION("""COMPUTED_VALUE"""),"ASN")</f>
        <v>ASN</v>
      </c>
      <c r="T1840" s="16" t="str">
        <f>IFERROR(__xludf.DUMMYFUNCTION("""COMPUTED_VALUE"""),"Cidera kaki dibagian lutut")</f>
        <v>Cidera kaki dibagian lutut</v>
      </c>
      <c r="U1840" s="16" t="str">
        <f>IFERROR(__xludf.DUMMYFUNCTION("""COMPUTED_VALUE"""),"Lari")</f>
        <v>Lari</v>
      </c>
      <c r="V1840" s="11" t="str">
        <f>IFERROR(__xludf.DUMMYFUNCTION("""COMPUTED_VALUE"""),"08115739037")</f>
        <v>08115739037</v>
      </c>
      <c r="W1840" s="15"/>
    </row>
    <row r="1841" ht="22.5" customHeight="1">
      <c r="A1841" s="39"/>
      <c r="B1841" s="9">
        <f>IFERROR(__xludf.DUMMYFUNCTION("""COMPUTED_VALUE"""),45584.51028894676)</f>
        <v>45584.51029</v>
      </c>
      <c r="C1841" s="9"/>
      <c r="D1841" s="10">
        <f>IFERROR(__xludf.DUMMYFUNCTION("""COMPUTED_VALUE"""),45598.0)</f>
        <v>45598</v>
      </c>
      <c r="E1841" s="10" t="str">
        <f>IFERROR(__xludf.DUMMYFUNCTION("""COMPUTED_VALUE"""),"11Nov")</f>
        <v>11Nov</v>
      </c>
      <c r="F1841" s="10" t="str">
        <f>IFERROR(__xludf.DUMMYFUNCTION("""COMPUTED_VALUE"""),"2024")</f>
        <v>2024</v>
      </c>
      <c r="G1841" s="16" t="str">
        <f>IFERROR(__xludf.DUMMYFUNCTION("""COMPUTED_VALUE"""),"ALVIN DWI APRIYADHI")</f>
        <v>ALVIN DWI APRIYADHI</v>
      </c>
      <c r="H1841" s="17" t="str">
        <f>IFERROR(__xludf.DUMMYFUNCTION("""COMPUTED_VALUE"""),"A0724111041")</f>
        <v>A0724111041</v>
      </c>
      <c r="I1841" s="17">
        <f>IFERROR(__xludf.DUMMYFUNCTION("""COMPUTED_VALUE"""),19.0)</f>
        <v>19</v>
      </c>
      <c r="J1841" s="17" t="str">
        <f>IFERROR(__xludf.DUMMYFUNCTION("""COMPUTED_VALUE"""),"18-24 tahun")</f>
        <v>18-24 tahun</v>
      </c>
      <c r="K1841" s="19">
        <f>IFERROR(__xludf.DUMMYFUNCTION("""COMPUTED_VALUE"""),39196.0)</f>
        <v>39196</v>
      </c>
      <c r="L1841" s="19" t="str">
        <f>IFERROR(__xludf.DUMMYFUNCTION("""COMPUTED_VALUE"""),"LAKI-LAKI")</f>
        <v>LAKI-LAKI</v>
      </c>
      <c r="M1841" s="35" t="str">
        <f>IFERROR(__xludf.DUMMYFUNCTION("""COMPUTED_VALUE"""),"JALAN DUSUN LANDAI KALOI")</f>
        <v>JALAN DUSUN LANDAI KALOI</v>
      </c>
      <c r="N1841" s="16" t="str">
        <f>IFERROR(__xludf.DUMMYFUNCTION("""COMPUTED_VALUE"""),"DS. BATU TIGA")</f>
        <v>DS. BATU TIGA</v>
      </c>
      <c r="O1841" s="16" t="str">
        <f>IFERROR(__xludf.DUMMYFUNCTION("""COMPUTED_VALUE"""),"KEC. BUNUT HULU")</f>
        <v>KEC. BUNUT HULU</v>
      </c>
      <c r="P1841" s="16" t="str">
        <f>IFERROR(__xludf.DUMMYFUNCTION("""COMPUTED_VALUE"""),"KAB. KAPUAS HULU")</f>
        <v>KAB. KAPUAS HULU</v>
      </c>
      <c r="Q1841" s="16" t="str">
        <f>IFERROR(__xludf.DUMMYFUNCTION("""COMPUTED_VALUE"""),"KALIMANTAN BARAT")</f>
        <v>KALIMANTAN BARAT</v>
      </c>
      <c r="R1841" s="19" t="str">
        <f>IFERROR(__xludf.DUMMYFUNCTION("""COMPUTED_VALUE"""),"KATOLIK")</f>
        <v>KATOLIK</v>
      </c>
      <c r="S1841" s="16" t="str">
        <f>IFERROR(__xludf.DUMMYFUNCTION("""COMPUTED_VALUE"""),"PELAJAR/MAHASISWA")</f>
        <v>PELAJAR/MAHASISWA</v>
      </c>
      <c r="T1841" s="16" t="str">
        <f>IFERROR(__xludf.DUMMYFUNCTION("""COMPUTED_VALUE"""),"bagian engkel dan tulang kering")</f>
        <v>bagian engkel dan tulang kering</v>
      </c>
      <c r="U1841" s="16" t="str">
        <f>IFERROR(__xludf.DUMMYFUNCTION("""COMPUTED_VALUE"""),"Badminton dan Lari")</f>
        <v>Badminton dan Lari</v>
      </c>
      <c r="V1841" s="11" t="str">
        <f>IFERROR(__xludf.DUMMYFUNCTION("""COMPUTED_VALUE"""),"082153581041")</f>
        <v>082153581041</v>
      </c>
      <c r="W1841" s="15"/>
    </row>
    <row r="1842">
      <c r="A1842" s="45"/>
      <c r="B1842" s="9">
        <f>IFERROR(__xludf.DUMMYFUNCTION("""COMPUTED_VALUE"""),45582.56516621528)</f>
        <v>45582.56517</v>
      </c>
      <c r="C1842" s="9"/>
      <c r="D1842" s="10">
        <f>IFERROR(__xludf.DUMMYFUNCTION("""COMPUTED_VALUE"""),45598.0)</f>
        <v>45598</v>
      </c>
      <c r="E1842" s="10" t="str">
        <f>IFERROR(__xludf.DUMMYFUNCTION("""COMPUTED_VALUE"""),"11Nov")</f>
        <v>11Nov</v>
      </c>
      <c r="F1842" s="10" t="str">
        <f>IFERROR(__xludf.DUMMYFUNCTION("""COMPUTED_VALUE"""),"2024")</f>
        <v>2024</v>
      </c>
      <c r="G1842" s="16" t="str">
        <f>IFERROR(__xludf.DUMMYFUNCTION("""COMPUTED_VALUE"""),"SURIRAH")</f>
        <v>SURIRAH</v>
      </c>
      <c r="H1842" s="17" t="str">
        <f>IFERROR(__xludf.DUMMYFUNCTION("""COMPUTED_VALUE"""),"S7624116404")</f>
        <v>S7624116404</v>
      </c>
      <c r="I1842" s="17">
        <f>IFERROR(__xludf.DUMMYFUNCTION("""COMPUTED_VALUE"""),50.0)</f>
        <v>50</v>
      </c>
      <c r="J1842" s="17" t="str">
        <f>IFERROR(__xludf.DUMMYFUNCTION("""COMPUTED_VALUE"""),"&gt; 44 tahun")</f>
        <v>&gt; 44 tahun</v>
      </c>
      <c r="K1842" s="19">
        <f>IFERROR(__xludf.DUMMYFUNCTION("""COMPUTED_VALUE"""),27885.0)</f>
        <v>27885</v>
      </c>
      <c r="L1842" s="19" t="str">
        <f>IFERROR(__xludf.DUMMYFUNCTION("""COMPUTED_VALUE"""),"PEREMPUAN")</f>
        <v>PEREMPUAN</v>
      </c>
      <c r="M1842" s="35" t="str">
        <f>IFERROR(__xludf.DUMMYFUNCTION("""COMPUTED_VALUE"""),"JL TANJUNG RAYA 1 GG.DASA DARMA")</f>
        <v>JL TANJUNG RAYA 1 GG.DASA DARMA</v>
      </c>
      <c r="N1842" s="16" t="str">
        <f>IFERROR(__xludf.DUMMYFUNCTION("""COMPUTED_VALUE"""),"KEL. DALAM BUGIS")</f>
        <v>KEL. DALAM BUGIS</v>
      </c>
      <c r="O1842" s="16" t="str">
        <f>IFERROR(__xludf.DUMMYFUNCTION("""COMPUTED_VALUE"""),"KEC. PONTIANAK TIMUR")</f>
        <v>KEC. PONTIANAK TIMUR</v>
      </c>
      <c r="P1842" s="16" t="str">
        <f>IFERROR(__xludf.DUMMYFUNCTION("""COMPUTED_VALUE"""),"KOTA PONTIANAK")</f>
        <v>KOTA PONTIANAK</v>
      </c>
      <c r="Q1842" s="16" t="str">
        <f>IFERROR(__xludf.DUMMYFUNCTION("""COMPUTED_VALUE"""),"KALIMANTAN BARAT")</f>
        <v>KALIMANTAN BARAT</v>
      </c>
      <c r="R1842" s="19" t="str">
        <f>IFERROR(__xludf.DUMMYFUNCTION("""COMPUTED_VALUE"""),"ISLAM")</f>
        <v>ISLAM</v>
      </c>
      <c r="S1842" s="16" t="str">
        <f>IFERROR(__xludf.DUMMYFUNCTION("""COMPUTED_VALUE"""),"RUMAH TANGGA")</f>
        <v>RUMAH TANGGA</v>
      </c>
      <c r="T1842" s="16" t="str">
        <f>IFERROR(__xludf.DUMMYFUNCTION("""COMPUTED_VALUE"""),"Sakit punggung sampai ke bawah")</f>
        <v>Sakit punggung sampai ke bawah</v>
      </c>
      <c r="U1842" s="16" t="str">
        <f>IFERROR(__xludf.DUMMYFUNCTION("""COMPUTED_VALUE"""),"Jualan")</f>
        <v>Jualan</v>
      </c>
      <c r="V1842" s="11" t="str">
        <f>IFERROR(__xludf.DUMMYFUNCTION("""COMPUTED_VALUE"""),"085389726404")</f>
        <v>085389726404</v>
      </c>
      <c r="W1842" s="15"/>
    </row>
    <row r="1843">
      <c r="A1843" s="45"/>
      <c r="B1843" s="9">
        <f>IFERROR(__xludf.DUMMYFUNCTION("""COMPUTED_VALUE"""),45585.603987511575)</f>
        <v>45585.60399</v>
      </c>
      <c r="C1843" s="9"/>
      <c r="D1843" s="10">
        <f>IFERROR(__xludf.DUMMYFUNCTION("""COMPUTED_VALUE"""),45599.0)</f>
        <v>45599</v>
      </c>
      <c r="E1843" s="10" t="str">
        <f>IFERROR(__xludf.DUMMYFUNCTION("""COMPUTED_VALUE"""),"11Nov")</f>
        <v>11Nov</v>
      </c>
      <c r="F1843" s="10" t="str">
        <f>IFERROR(__xludf.DUMMYFUNCTION("""COMPUTED_VALUE"""),"2024")</f>
        <v>2024</v>
      </c>
      <c r="G1843" s="16" t="str">
        <f>IFERROR(__xludf.DUMMYFUNCTION("""COMPUTED_VALUE"""),"CHRESTELLA NOVEDA")</f>
        <v>CHRESTELLA NOVEDA</v>
      </c>
      <c r="H1843" s="17" t="str">
        <f>IFERROR(__xludf.DUMMYFUNCTION("""COMPUTED_VALUE"""),"C9424111787")</f>
        <v>C9424111787</v>
      </c>
      <c r="I1843" s="17">
        <f>IFERROR(__xludf.DUMMYFUNCTION("""COMPUTED_VALUE"""),31.0)</f>
        <v>31</v>
      </c>
      <c r="J1843" s="17" t="str">
        <f>IFERROR(__xludf.DUMMYFUNCTION("""COMPUTED_VALUE"""),"25-34 tahun")</f>
        <v>25-34 tahun</v>
      </c>
      <c r="K1843" s="19">
        <f>IFERROR(__xludf.DUMMYFUNCTION("""COMPUTED_VALUE"""),34650.0)</f>
        <v>34650</v>
      </c>
      <c r="L1843" s="19" t="str">
        <f>IFERROR(__xludf.DUMMYFUNCTION("""COMPUTED_VALUE"""),"PEREMPUAN")</f>
        <v>PEREMPUAN</v>
      </c>
      <c r="M1843" s="35" t="str">
        <f>IFERROR(__xludf.DUMMYFUNCTION("""COMPUTED_VALUE"""),"JL. KUTILANG GG. KUTILANG")</f>
        <v>JL. KUTILANG GG. KUTILANG</v>
      </c>
      <c r="N1843" s="16" t="str">
        <f>IFERROR(__xludf.DUMMYFUNCTION("""COMPUTED_VALUE"""),"KEL. MARIANA")</f>
        <v>KEL. MARIANA</v>
      </c>
      <c r="O1843" s="16" t="str">
        <f>IFERROR(__xludf.DUMMYFUNCTION("""COMPUTED_VALUE"""),"KEC. PONTIANAK KOTA")</f>
        <v>KEC. PONTIANAK KOTA</v>
      </c>
      <c r="P1843" s="16" t="str">
        <f>IFERROR(__xludf.DUMMYFUNCTION("""COMPUTED_VALUE"""),"KOTA PONTIANAK")</f>
        <v>KOTA PONTIANAK</v>
      </c>
      <c r="Q1843" s="16" t="str">
        <f>IFERROR(__xludf.DUMMYFUNCTION("""COMPUTED_VALUE"""),"KALIMANTAN BARAT")</f>
        <v>KALIMANTAN BARAT</v>
      </c>
      <c r="R1843" s="19" t="str">
        <f>IFERROR(__xludf.DUMMYFUNCTION("""COMPUTED_VALUE"""),"KATOLIK")</f>
        <v>KATOLIK</v>
      </c>
      <c r="S1843" s="16" t="str">
        <f>IFERROR(__xludf.DUMMYFUNCTION("""COMPUTED_VALUE"""),"WIRASWASTA")</f>
        <v>WIRASWASTA</v>
      </c>
      <c r="T1843" s="16" t="str">
        <f>IFERROR(__xludf.DUMMYFUNCTION("""COMPUTED_VALUE"""),"Pinggang sakit, badan terasa miring")</f>
        <v>Pinggang sakit, badan terasa miring</v>
      </c>
      <c r="U1843" s="16" t="str">
        <f>IFERROR(__xludf.DUMMYFUNCTION("""COMPUTED_VALUE"""),"gym")</f>
        <v>gym</v>
      </c>
      <c r="V1843" s="11" t="str">
        <f>IFERROR(__xludf.DUMMYFUNCTION("""COMPUTED_VALUE"""),"085787731787")</f>
        <v>085787731787</v>
      </c>
      <c r="W1843" s="15"/>
    </row>
    <row r="1844">
      <c r="A1844" s="45"/>
      <c r="B1844" s="9">
        <f>IFERROR(__xludf.DUMMYFUNCTION("""COMPUTED_VALUE"""),45585.65078538195)</f>
        <v>45585.65079</v>
      </c>
      <c r="C1844" s="9"/>
      <c r="D1844" s="10">
        <f>IFERROR(__xludf.DUMMYFUNCTION("""COMPUTED_VALUE"""),45599.0)</f>
        <v>45599</v>
      </c>
      <c r="E1844" s="10" t="str">
        <f>IFERROR(__xludf.DUMMYFUNCTION("""COMPUTED_VALUE"""),"11Nov")</f>
        <v>11Nov</v>
      </c>
      <c r="F1844" s="10" t="str">
        <f>IFERROR(__xludf.DUMMYFUNCTION("""COMPUTED_VALUE"""),"2024")</f>
        <v>2024</v>
      </c>
      <c r="G1844" s="16" t="str">
        <f>IFERROR(__xludf.DUMMYFUNCTION("""COMPUTED_VALUE"""),"PARSIYEM")</f>
        <v>PARSIYEM</v>
      </c>
      <c r="H1844" s="17" t="str">
        <f>IFERROR(__xludf.DUMMYFUNCTION("""COMPUTED_VALUE"""),"P6224114722")</f>
        <v>P6224114722</v>
      </c>
      <c r="I1844" s="17">
        <f>IFERROR(__xludf.DUMMYFUNCTION("""COMPUTED_VALUE"""),64.0)</f>
        <v>64</v>
      </c>
      <c r="J1844" s="17" t="str">
        <f>IFERROR(__xludf.DUMMYFUNCTION("""COMPUTED_VALUE"""),"&gt; 44 tahun")</f>
        <v>&gt; 44 tahun</v>
      </c>
      <c r="K1844" s="19">
        <f>IFERROR(__xludf.DUMMYFUNCTION("""COMPUTED_VALUE"""),22735.0)</f>
        <v>22735</v>
      </c>
      <c r="L1844" s="19" t="str">
        <f>IFERROR(__xludf.DUMMYFUNCTION("""COMPUTED_VALUE"""),"PEREMPUAN")</f>
        <v>PEREMPUAN</v>
      </c>
      <c r="M1844" s="35" t="str">
        <f>IFERROR(__xludf.DUMMYFUNCTION("""COMPUTED_VALUE"""),"JL.SULAWESI GG. KARYA BHAKTI 3 NO. 19 PTK")</f>
        <v>JL.SULAWESI GG. KARYA BHAKTI 3 NO. 19 PTK</v>
      </c>
      <c r="N1844" s="16" t="str">
        <f>IFERROR(__xludf.DUMMYFUNCTION("""COMPUTED_VALUE"""),"KEL. AKCAYA")</f>
        <v>KEL. AKCAYA</v>
      </c>
      <c r="O1844" s="16" t="str">
        <f>IFERROR(__xludf.DUMMYFUNCTION("""COMPUTED_VALUE"""),"KEC. PONTIANAK SELATAN")</f>
        <v>KEC. PONTIANAK SELATAN</v>
      </c>
      <c r="P1844" s="16" t="str">
        <f>IFERROR(__xludf.DUMMYFUNCTION("""COMPUTED_VALUE"""),"KOTA PONTIANAK")</f>
        <v>KOTA PONTIANAK</v>
      </c>
      <c r="Q1844" s="16" t="str">
        <f>IFERROR(__xludf.DUMMYFUNCTION("""COMPUTED_VALUE"""),"KALIMANTAN BARAT")</f>
        <v>KALIMANTAN BARAT</v>
      </c>
      <c r="R1844" s="19" t="str">
        <f>IFERROR(__xludf.DUMMYFUNCTION("""COMPUTED_VALUE"""),"ISLAM")</f>
        <v>ISLAM</v>
      </c>
      <c r="S1844" s="16" t="str">
        <f>IFERROR(__xludf.DUMMYFUNCTION("""COMPUTED_VALUE"""),"RUMAH TANGGA")</f>
        <v>RUMAH TANGGA</v>
      </c>
      <c r="T1844" s="16" t="str">
        <f>IFERROR(__xludf.DUMMYFUNCTION("""COMPUTED_VALUE"""),"Patah tulang selangkangan")</f>
        <v>Patah tulang selangkangan</v>
      </c>
      <c r="U1844" s="16" t="str">
        <f>IFERROR(__xludf.DUMMYFUNCTION("""COMPUTED_VALUE"""),"Jogging")</f>
        <v>Jogging</v>
      </c>
      <c r="V1844" s="11" t="str">
        <f>IFERROR(__xludf.DUMMYFUNCTION("""COMPUTED_VALUE"""),"08125624722")</f>
        <v>08125624722</v>
      </c>
      <c r="W1844" s="15"/>
    </row>
    <row r="1845">
      <c r="A1845" s="45"/>
      <c r="B1845" s="9">
        <f>IFERROR(__xludf.DUMMYFUNCTION("""COMPUTED_VALUE"""),45585.59641546296)</f>
        <v>45585.59642</v>
      </c>
      <c r="C1845" s="9"/>
      <c r="D1845" s="10">
        <f>IFERROR(__xludf.DUMMYFUNCTION("""COMPUTED_VALUE"""),45600.0)</f>
        <v>45600</v>
      </c>
      <c r="E1845" s="10" t="str">
        <f>IFERROR(__xludf.DUMMYFUNCTION("""COMPUTED_VALUE"""),"11Nov")</f>
        <v>11Nov</v>
      </c>
      <c r="F1845" s="10" t="str">
        <f>IFERROR(__xludf.DUMMYFUNCTION("""COMPUTED_VALUE"""),"2024")</f>
        <v>2024</v>
      </c>
      <c r="G1845" s="16" t="str">
        <f>IFERROR(__xludf.DUMMYFUNCTION("""COMPUTED_VALUE"""),"BUDI SATRIO")</f>
        <v>BUDI SATRIO</v>
      </c>
      <c r="H1845" s="17" t="str">
        <f>IFERROR(__xludf.DUMMYFUNCTION("""COMPUTED_VALUE"""),"B9224111126")</f>
        <v>B9224111126</v>
      </c>
      <c r="I1845" s="17">
        <f>IFERROR(__xludf.DUMMYFUNCTION("""COMPUTED_VALUE"""),34.0)</f>
        <v>34</v>
      </c>
      <c r="J1845" s="17" t="str">
        <f>IFERROR(__xludf.DUMMYFUNCTION("""COMPUTED_VALUE"""),"25-34 tahun")</f>
        <v>25-34 tahun</v>
      </c>
      <c r="K1845" s="19">
        <f>IFERROR(__xludf.DUMMYFUNCTION("""COMPUTED_VALUE"""),33660.0)</f>
        <v>33660</v>
      </c>
      <c r="L1845" s="19" t="str">
        <f>IFERROR(__xludf.DUMMYFUNCTION("""COMPUTED_VALUE"""),"LAKI-LAKI")</f>
        <v>LAKI-LAKI</v>
      </c>
      <c r="M1845" s="35" t="str">
        <f>IFERROR(__xludf.DUMMYFUNCTION("""COMPUTED_VALUE"""),"JALAN TANI MAKMUR")</f>
        <v>JALAN TANI MAKMUR</v>
      </c>
      <c r="N1845" s="16" t="str">
        <f>IFERROR(__xludf.DUMMYFUNCTION("""COMPUTED_VALUE"""),"KEL. AKCAYA")</f>
        <v>KEL. AKCAYA</v>
      </c>
      <c r="O1845" s="16" t="str">
        <f>IFERROR(__xludf.DUMMYFUNCTION("""COMPUTED_VALUE"""),"KEC. PONTIANAK SELATAN")</f>
        <v>KEC. PONTIANAK SELATAN</v>
      </c>
      <c r="P1845" s="16" t="str">
        <f>IFERROR(__xludf.DUMMYFUNCTION("""COMPUTED_VALUE"""),"KOTA PONTIANAK")</f>
        <v>KOTA PONTIANAK</v>
      </c>
      <c r="Q1845" s="16" t="str">
        <f>IFERROR(__xludf.DUMMYFUNCTION("""COMPUTED_VALUE"""),"KALIMANTAN BARAT")</f>
        <v>KALIMANTAN BARAT</v>
      </c>
      <c r="R1845" s="19" t="str">
        <f>IFERROR(__xludf.DUMMYFUNCTION("""COMPUTED_VALUE"""),"ISLAM")</f>
        <v>ISLAM</v>
      </c>
      <c r="S1845" s="16" t="str">
        <f>IFERROR(__xludf.DUMMYFUNCTION("""COMPUTED_VALUE"""),"ASN")</f>
        <v>ASN</v>
      </c>
      <c r="T1845" s="16" t="str">
        <f>IFERROR(__xludf.DUMMYFUNCTION("""COMPUTED_VALUE"""),"KELUHAN DI LUTUT HABIS MAIN BOLA")</f>
        <v>KELUHAN DI LUTUT HABIS MAIN BOLA</v>
      </c>
      <c r="U1845" s="16" t="str">
        <f>IFERROR(__xludf.DUMMYFUNCTION("""COMPUTED_VALUE"""),"KERJA KANTOR")</f>
        <v>KERJA KANTOR</v>
      </c>
      <c r="V1845" s="11" t="str">
        <f>IFERROR(__xludf.DUMMYFUNCTION("""COMPUTED_VALUE"""),"085210841126")</f>
        <v>085210841126</v>
      </c>
      <c r="W1845" s="15"/>
    </row>
    <row r="1846">
      <c r="A1846" s="45"/>
      <c r="B1846" s="9">
        <f>IFERROR(__xludf.DUMMYFUNCTION("""COMPUTED_VALUE"""),45583.88151828704)</f>
        <v>45583.88152</v>
      </c>
      <c r="C1846" s="9"/>
      <c r="D1846" s="10">
        <f>IFERROR(__xludf.DUMMYFUNCTION("""COMPUTED_VALUE"""),45600.0)</f>
        <v>45600</v>
      </c>
      <c r="E1846" s="10" t="str">
        <f>IFERROR(__xludf.DUMMYFUNCTION("""COMPUTED_VALUE"""),"11Nov")</f>
        <v>11Nov</v>
      </c>
      <c r="F1846" s="10" t="str">
        <f>IFERROR(__xludf.DUMMYFUNCTION("""COMPUTED_VALUE"""),"2024")</f>
        <v>2024</v>
      </c>
      <c r="G1846" s="35" t="str">
        <f>IFERROR(__xludf.DUMMYFUNCTION("""COMPUTED_VALUE"""),"DELIMA FAJAR LIANA")</f>
        <v>DELIMA FAJAR LIANA</v>
      </c>
      <c r="H1846" s="17" t="str">
        <f>IFERROR(__xludf.DUMMYFUNCTION("""COMPUTED_VALUE"""),"D8624112017")</f>
        <v>D8624112017</v>
      </c>
      <c r="I1846" s="17">
        <f>IFERROR(__xludf.DUMMYFUNCTION("""COMPUTED_VALUE"""),39.0)</f>
        <v>39</v>
      </c>
      <c r="J1846" s="17" t="str">
        <f>IFERROR(__xludf.DUMMYFUNCTION("""COMPUTED_VALUE"""),"35-44 tahun")</f>
        <v>35-44 tahun</v>
      </c>
      <c r="K1846" s="19">
        <f>IFERROR(__xludf.DUMMYFUNCTION("""COMPUTED_VALUE"""),31751.0)</f>
        <v>31751</v>
      </c>
      <c r="L1846" s="19" t="str">
        <f>IFERROR(__xludf.DUMMYFUNCTION("""COMPUTED_VALUE"""),"PEREMPUAN")</f>
        <v>PEREMPUAN</v>
      </c>
      <c r="M1846" s="35" t="str">
        <f>IFERROR(__xludf.DUMMYFUNCTION("""COMPUTED_VALUE"""),"JL. DR. WAHIDIN SUDIROHUSODO NO. 8")</f>
        <v>JL. DR. WAHIDIN SUDIROHUSODO NO. 8</v>
      </c>
      <c r="N1846" s="16" t="str">
        <f>IFERROR(__xludf.DUMMYFUNCTION("""COMPUTED_VALUE"""),"KEL. SUNGAI JAWI")</f>
        <v>KEL. SUNGAI JAWI</v>
      </c>
      <c r="O1846" s="16" t="str">
        <f>IFERROR(__xludf.DUMMYFUNCTION("""COMPUTED_VALUE"""),"KEC. PONTIANAK KOTA")</f>
        <v>KEC. PONTIANAK KOTA</v>
      </c>
      <c r="P1846" s="16" t="str">
        <f>IFERROR(__xludf.DUMMYFUNCTION("""COMPUTED_VALUE"""),"KOTA PONTIANAK")</f>
        <v>KOTA PONTIANAK</v>
      </c>
      <c r="Q1846" s="16" t="str">
        <f>IFERROR(__xludf.DUMMYFUNCTION("""COMPUTED_VALUE"""),"KALIMANTAN BARAT")</f>
        <v>KALIMANTAN BARAT</v>
      </c>
      <c r="R1846" s="19" t="str">
        <f>IFERROR(__xludf.DUMMYFUNCTION("""COMPUTED_VALUE"""),"ISLAM")</f>
        <v>ISLAM</v>
      </c>
      <c r="S1846" s="35" t="str">
        <f>IFERROR(__xludf.DUMMYFUNCTION("""COMPUTED_VALUE"""),"ASN")</f>
        <v>ASN</v>
      </c>
      <c r="T1846" s="16" t="str">
        <f>IFERROR(__xludf.DUMMYFUNCTION("""COMPUTED_VALUE"""),"Nyeri pangkal paha kanan saat menapakkan kaki")</f>
        <v>Nyeri pangkal paha kanan saat menapakkan kaki</v>
      </c>
      <c r="U1846" s="16" t="str">
        <f>IFERROR(__xludf.DUMMYFUNCTION("""COMPUTED_VALUE"""),"Kerja kantor")</f>
        <v>Kerja kantor</v>
      </c>
      <c r="V1846" s="11" t="str">
        <f>IFERROR(__xludf.DUMMYFUNCTION("""COMPUTED_VALUE"""),"08125612017")</f>
        <v>08125612017</v>
      </c>
      <c r="W1846" s="15"/>
    </row>
    <row r="1847">
      <c r="A1847" s="45"/>
      <c r="B1847" s="9">
        <f>IFERROR(__xludf.DUMMYFUNCTION("""COMPUTED_VALUE"""),45586.44903693287)</f>
        <v>45586.44904</v>
      </c>
      <c r="C1847" s="9"/>
      <c r="D1847" s="10">
        <f>IFERROR(__xludf.DUMMYFUNCTION("""COMPUTED_VALUE"""),45600.0)</f>
        <v>45600</v>
      </c>
      <c r="E1847" s="10" t="str">
        <f>IFERROR(__xludf.DUMMYFUNCTION("""COMPUTED_VALUE"""),"11Nov")</f>
        <v>11Nov</v>
      </c>
      <c r="F1847" s="10" t="str">
        <f>IFERROR(__xludf.DUMMYFUNCTION("""COMPUTED_VALUE"""),"2024")</f>
        <v>2024</v>
      </c>
      <c r="G1847" s="35" t="str">
        <f>IFERROR(__xludf.DUMMYFUNCTION("""COMPUTED_VALUE"""),"MUHAMMAD ARIF PUTRA SH MH")</f>
        <v>MUHAMMAD ARIF PUTRA SH MH</v>
      </c>
      <c r="H1847" s="17" t="str">
        <f>IFERROR(__xludf.DUMMYFUNCTION("""COMPUTED_VALUE"""),"M9424116640")</f>
        <v>M9424116640</v>
      </c>
      <c r="I1847" s="17">
        <f>IFERROR(__xludf.DUMMYFUNCTION("""COMPUTED_VALUE"""),31.0)</f>
        <v>31</v>
      </c>
      <c r="J1847" s="17" t="str">
        <f>IFERROR(__xludf.DUMMYFUNCTION("""COMPUTED_VALUE"""),"25-34 tahun")</f>
        <v>25-34 tahun</v>
      </c>
      <c r="K1847" s="19">
        <f>IFERROR(__xludf.DUMMYFUNCTION("""COMPUTED_VALUE"""),34661.0)</f>
        <v>34661</v>
      </c>
      <c r="L1847" s="19" t="str">
        <f>IFERROR(__xludf.DUMMYFUNCTION("""COMPUTED_VALUE"""),"LAKI-LAKI")</f>
        <v>LAKI-LAKI</v>
      </c>
      <c r="M1847" s="35" t="str">
        <f>IFERROR(__xludf.DUMMYFUNCTION("""COMPUTED_VALUE"""),"JL KARANGAN NO 32 KOMP UNTAN")</f>
        <v>JL KARANGAN NO 32 KOMP UNTAN</v>
      </c>
      <c r="N1847" s="16" t="str">
        <f>IFERROR(__xludf.DUMMYFUNCTION("""COMPUTED_VALUE"""),"KEL. BANSIR LAUT")</f>
        <v>KEL. BANSIR LAUT</v>
      </c>
      <c r="O1847" s="16" t="str">
        <f>IFERROR(__xludf.DUMMYFUNCTION("""COMPUTED_VALUE"""),"KEC. PONTIANAK TENGGARA")</f>
        <v>KEC. PONTIANAK TENGGARA</v>
      </c>
      <c r="P1847" s="16" t="str">
        <f>IFERROR(__xludf.DUMMYFUNCTION("""COMPUTED_VALUE"""),"KOTA PONTIANAK")</f>
        <v>KOTA PONTIANAK</v>
      </c>
      <c r="Q1847" s="16" t="str">
        <f>IFERROR(__xludf.DUMMYFUNCTION("""COMPUTED_VALUE"""),"KALIMANTAN BARAT")</f>
        <v>KALIMANTAN BARAT</v>
      </c>
      <c r="R1847" s="19" t="str">
        <f>IFERROR(__xludf.DUMMYFUNCTION("""COMPUTED_VALUE"""),"ISLAM")</f>
        <v>ISLAM</v>
      </c>
      <c r="S1847" s="16" t="str">
        <f>IFERROR(__xludf.DUMMYFUNCTION("""COMPUTED_VALUE"""),"ASN")</f>
        <v>ASN</v>
      </c>
      <c r="T1847" s="16" t="str">
        <f>IFERROR(__xludf.DUMMYFUNCTION("""COMPUTED_VALUE"""),"Lutut sakit")</f>
        <v>Lutut sakit</v>
      </c>
      <c r="U1847" s="16" t="str">
        <f>IFERROR(__xludf.DUMMYFUNCTION("""COMPUTED_VALUE"""),"Kerja olahargaaqq")</f>
        <v>Kerja olahargaaqq</v>
      </c>
      <c r="V1847" s="11" t="str">
        <f>IFERROR(__xludf.DUMMYFUNCTION("""COMPUTED_VALUE"""),"089693706640")</f>
        <v>089693706640</v>
      </c>
      <c r="W1847" s="15"/>
    </row>
    <row r="1848">
      <c r="A1848" s="45"/>
      <c r="B1848" s="9">
        <f>IFERROR(__xludf.DUMMYFUNCTION("""COMPUTED_VALUE"""),45587.42855597222)</f>
        <v>45587.42856</v>
      </c>
      <c r="C1848" s="9"/>
      <c r="D1848" s="10">
        <f>IFERROR(__xludf.DUMMYFUNCTION("""COMPUTED_VALUE"""),45600.0)</f>
        <v>45600</v>
      </c>
      <c r="E1848" s="10" t="str">
        <f>IFERROR(__xludf.DUMMYFUNCTION("""COMPUTED_VALUE"""),"11Nov")</f>
        <v>11Nov</v>
      </c>
      <c r="F1848" s="10" t="str">
        <f>IFERROR(__xludf.DUMMYFUNCTION("""COMPUTED_VALUE"""),"2024")</f>
        <v>2024</v>
      </c>
      <c r="G1848" s="35" t="str">
        <f>IFERROR(__xludf.DUMMYFUNCTION("""COMPUTED_VALUE"""),"M. IDRIS MACHMUD")</f>
        <v>M. IDRIS MACHMUD</v>
      </c>
      <c r="H1848" s="17" t="str">
        <f>IFERROR(__xludf.DUMMYFUNCTION("""COMPUTED_VALUE"""),"M7024117374")</f>
        <v>M7024117374</v>
      </c>
      <c r="I1848" s="17">
        <f>IFERROR(__xludf.DUMMYFUNCTION("""COMPUTED_VALUE"""),56.0)</f>
        <v>56</v>
      </c>
      <c r="J1848" s="17" t="str">
        <f>IFERROR(__xludf.DUMMYFUNCTION("""COMPUTED_VALUE"""),"&gt; 44 tahun")</f>
        <v>&gt; 44 tahun</v>
      </c>
      <c r="K1848" s="19">
        <f>IFERROR(__xludf.DUMMYFUNCTION("""COMPUTED_VALUE"""),25692.0)</f>
        <v>25692</v>
      </c>
      <c r="L1848" s="19" t="str">
        <f>IFERROR(__xludf.DUMMYFUNCTION("""COMPUTED_VALUE"""),"LAKI-LAKI")</f>
        <v>LAKI-LAKI</v>
      </c>
      <c r="M1848" s="35" t="str">
        <f>IFERROR(__xludf.DUMMYFUNCTION("""COMPUTED_VALUE"""),"JL. TANJUNG PURA")</f>
        <v>JL. TANJUNG PURA</v>
      </c>
      <c r="N1848" s="16" t="str">
        <f>IFERROR(__xludf.DUMMYFUNCTION("""COMPUTED_VALUE"""),"KEL. KEDAMIN HULU")</f>
        <v>KEL. KEDAMIN HULU</v>
      </c>
      <c r="O1848" s="16" t="str">
        <f>IFERROR(__xludf.DUMMYFUNCTION("""COMPUTED_VALUE"""),"KEC. PUTUSSIBAU SELATAN")</f>
        <v>KEC. PUTUSSIBAU SELATAN</v>
      </c>
      <c r="P1848" s="16" t="str">
        <f>IFERROR(__xludf.DUMMYFUNCTION("""COMPUTED_VALUE"""),"KAB. KAPUAS HULU")</f>
        <v>KAB. KAPUAS HULU</v>
      </c>
      <c r="Q1848" s="16" t="str">
        <f>IFERROR(__xludf.DUMMYFUNCTION("""COMPUTED_VALUE"""),"KALIMANTAN BARAT")</f>
        <v>KALIMANTAN BARAT</v>
      </c>
      <c r="R1848" s="19" t="str">
        <f>IFERROR(__xludf.DUMMYFUNCTION("""COMPUTED_VALUE"""),"ISLAM")</f>
        <v>ISLAM</v>
      </c>
      <c r="S1848" s="35" t="str">
        <f>IFERROR(__xludf.DUMMYFUNCTION("""COMPUTED_VALUE"""),"WIRASWASTA")</f>
        <v>WIRASWASTA</v>
      </c>
      <c r="T1848" s="16" t="str">
        <f>IFERROR(__xludf.DUMMYFUNCTION("""COMPUTED_VALUE"""),"sakit punggung, sakit kedua lutut")</f>
        <v>sakit punggung, sakit kedua lutut</v>
      </c>
      <c r="U1848" s="16" t="str">
        <f>IFERROR(__xludf.DUMMYFUNCTION("""COMPUTED_VALUE"""),"makan tidur olahraga terkadang betukang")</f>
        <v>makan tidur olahraga terkadang betukang</v>
      </c>
      <c r="V1848" s="11" t="str">
        <f>IFERROR(__xludf.DUMMYFUNCTION("""COMPUTED_VALUE"""),"085893447374")</f>
        <v>085893447374</v>
      </c>
      <c r="W1848" s="15"/>
    </row>
    <row r="1849">
      <c r="A1849" s="45"/>
      <c r="B1849" s="9">
        <f>IFERROR(__xludf.DUMMYFUNCTION("""COMPUTED_VALUE"""),45587.44961028935)</f>
        <v>45587.44961</v>
      </c>
      <c r="C1849" s="9"/>
      <c r="D1849" s="10">
        <f>IFERROR(__xludf.DUMMYFUNCTION("""COMPUTED_VALUE"""),45600.0)</f>
        <v>45600</v>
      </c>
      <c r="E1849" s="10" t="str">
        <f>IFERROR(__xludf.DUMMYFUNCTION("""COMPUTED_VALUE"""),"11Nov")</f>
        <v>11Nov</v>
      </c>
      <c r="F1849" s="10" t="str">
        <f>IFERROR(__xludf.DUMMYFUNCTION("""COMPUTED_VALUE"""),"2024")</f>
        <v>2024</v>
      </c>
      <c r="G1849" s="35" t="str">
        <f>IFERROR(__xludf.DUMMYFUNCTION("""COMPUTED_VALUE"""),"ARIF HIDAYAT")</f>
        <v>ARIF HIDAYAT</v>
      </c>
      <c r="H1849" s="17" t="str">
        <f>IFERROR(__xludf.DUMMYFUNCTION("""COMPUTED_VALUE"""),"A9524112021")</f>
        <v>A9524112021</v>
      </c>
      <c r="I1849" s="17">
        <f>IFERROR(__xludf.DUMMYFUNCTION("""COMPUTED_VALUE"""),30.0)</f>
        <v>30</v>
      </c>
      <c r="J1849" s="17" t="str">
        <f>IFERROR(__xludf.DUMMYFUNCTION("""COMPUTED_VALUE"""),"25-34 tahun")</f>
        <v>25-34 tahun</v>
      </c>
      <c r="K1849" s="19">
        <f>IFERROR(__xludf.DUMMYFUNCTION("""COMPUTED_VALUE"""),34966.0)</f>
        <v>34966</v>
      </c>
      <c r="L1849" s="19" t="str">
        <f>IFERROR(__xludf.DUMMYFUNCTION("""COMPUTED_VALUE"""),"LAKI-LAKI")</f>
        <v>LAKI-LAKI</v>
      </c>
      <c r="M1849" s="35" t="str">
        <f>IFERROR(__xludf.DUMMYFUNCTION("""COMPUTED_VALUE"""),"JALAN SELAT PANJANG NO 92")</f>
        <v>JALAN SELAT PANJANG NO 92</v>
      </c>
      <c r="N1849" s="16" t="str">
        <f>IFERROR(__xludf.DUMMYFUNCTION("""COMPUTED_VALUE"""),"KEL. SIANTAN HULU")</f>
        <v>KEL. SIANTAN HULU</v>
      </c>
      <c r="O1849" s="16" t="str">
        <f>IFERROR(__xludf.DUMMYFUNCTION("""COMPUTED_VALUE"""),"KEC. PONTIANAK UTARA")</f>
        <v>KEC. PONTIANAK UTARA</v>
      </c>
      <c r="P1849" s="16" t="str">
        <f>IFERROR(__xludf.DUMMYFUNCTION("""COMPUTED_VALUE"""),"KOTA PONTIANAK")</f>
        <v>KOTA PONTIANAK</v>
      </c>
      <c r="Q1849" s="16" t="str">
        <f>IFERROR(__xludf.DUMMYFUNCTION("""COMPUTED_VALUE"""),"KALIMANTAN BARAT")</f>
        <v>KALIMANTAN BARAT</v>
      </c>
      <c r="R1849" s="19" t="str">
        <f>IFERROR(__xludf.DUMMYFUNCTION("""COMPUTED_VALUE"""),"ISLAM")</f>
        <v>ISLAM</v>
      </c>
      <c r="S1849" s="35" t="str">
        <f>IFERROR(__xludf.DUMMYFUNCTION("""COMPUTED_VALUE"""),"TNI/POLRI")</f>
        <v>TNI/POLRI</v>
      </c>
      <c r="T1849" s="16" t="str">
        <f>IFERROR(__xludf.DUMMYFUNCTION("""COMPUTED_VALUE"""),"Sakit lutut")</f>
        <v>Sakit lutut</v>
      </c>
      <c r="U1849" s="16" t="str">
        <f>IFERROR(__xludf.DUMMYFUNCTION("""COMPUTED_VALUE"""),"Futsal")</f>
        <v>Futsal</v>
      </c>
      <c r="V1849" s="11" t="str">
        <f>IFERROR(__xludf.DUMMYFUNCTION("""COMPUTED_VALUE"""),"089694412021")</f>
        <v>089694412021</v>
      </c>
      <c r="W1849" s="15"/>
    </row>
    <row r="1850">
      <c r="A1850" s="45"/>
      <c r="B1850" s="9">
        <f>IFERROR(__xludf.DUMMYFUNCTION("""COMPUTED_VALUE"""),45585.480913796295)</f>
        <v>45585.48091</v>
      </c>
      <c r="C1850" s="9"/>
      <c r="D1850" s="10">
        <f>IFERROR(__xludf.DUMMYFUNCTION("""COMPUTED_VALUE"""),45600.0)</f>
        <v>45600</v>
      </c>
      <c r="E1850" s="10" t="str">
        <f>IFERROR(__xludf.DUMMYFUNCTION("""COMPUTED_VALUE"""),"11Nov")</f>
        <v>11Nov</v>
      </c>
      <c r="F1850" s="10" t="str">
        <f>IFERROR(__xludf.DUMMYFUNCTION("""COMPUTED_VALUE"""),"2024")</f>
        <v>2024</v>
      </c>
      <c r="G1850" s="35" t="str">
        <f>IFERROR(__xludf.DUMMYFUNCTION("""COMPUTED_VALUE"""),"M.YANIS")</f>
        <v>M.YANIS</v>
      </c>
      <c r="H1850" s="17" t="str">
        <f>IFERROR(__xludf.DUMMYFUNCTION("""COMPUTED_VALUE"""),"M6224119945")</f>
        <v>M6224119945</v>
      </c>
      <c r="I1850" s="17">
        <f>IFERROR(__xludf.DUMMYFUNCTION("""COMPUTED_VALUE"""),63.0)</f>
        <v>63</v>
      </c>
      <c r="J1850" s="17" t="str">
        <f>IFERROR(__xludf.DUMMYFUNCTION("""COMPUTED_VALUE"""),"&gt; 44 tahun")</f>
        <v>&gt; 44 tahun</v>
      </c>
      <c r="K1850" s="19">
        <f>IFERROR(__xludf.DUMMYFUNCTION("""COMPUTED_VALUE"""),22914.0)</f>
        <v>22914</v>
      </c>
      <c r="L1850" s="19" t="str">
        <f>IFERROR(__xludf.DUMMYFUNCTION("""COMPUTED_VALUE"""),"LAKI-LAKI")</f>
        <v>LAKI-LAKI</v>
      </c>
      <c r="M1850" s="35" t="str">
        <f>IFERROR(__xludf.DUMMYFUNCTION("""COMPUTED_VALUE"""),"JL.PROF.M.YAMIN.GG.MORODADI")</f>
        <v>JL.PROF.M.YAMIN.GG.MORODADI</v>
      </c>
      <c r="N1850" s="16" t="str">
        <f>IFERROR(__xludf.DUMMYFUNCTION("""COMPUTED_VALUE"""),"KEL. SUNGAI BANGKONG")</f>
        <v>KEL. SUNGAI BANGKONG</v>
      </c>
      <c r="O1850" s="16" t="str">
        <f>IFERROR(__xludf.DUMMYFUNCTION("""COMPUTED_VALUE"""),"KEC. PONTIANAK KOTA")</f>
        <v>KEC. PONTIANAK KOTA</v>
      </c>
      <c r="P1850" s="16" t="str">
        <f>IFERROR(__xludf.DUMMYFUNCTION("""COMPUTED_VALUE"""),"KOTA PONTIANAK")</f>
        <v>KOTA PONTIANAK</v>
      </c>
      <c r="Q1850" s="16" t="str">
        <f>IFERROR(__xludf.DUMMYFUNCTION("""COMPUTED_VALUE"""),"KALIMANTAN BARAT")</f>
        <v>KALIMANTAN BARAT</v>
      </c>
      <c r="R1850" s="19" t="str">
        <f>IFERROR(__xludf.DUMMYFUNCTION("""COMPUTED_VALUE"""),"ISLAM")</f>
        <v>ISLAM</v>
      </c>
      <c r="S1850" s="16" t="str">
        <f>IFERROR(__xludf.DUMMYFUNCTION("""COMPUTED_VALUE"""),"PENSIUN")</f>
        <v>PENSIUN</v>
      </c>
      <c r="T1850" s="16" t="str">
        <f>IFERROR(__xludf.DUMMYFUNCTION("""COMPUTED_VALUE"""),"Stroke sebelah kanan kaki,tangan keram kesemutan terasa berat melangkah")</f>
        <v>Stroke sebelah kanan kaki,tangan keram kesemutan terasa berat melangkah</v>
      </c>
      <c r="U1850" s="16" t="str">
        <f>IFERROR(__xludf.DUMMYFUNCTION("""COMPUTED_VALUE"""),"Dirmh aja")</f>
        <v>Dirmh aja</v>
      </c>
      <c r="V1850" s="11" t="str">
        <f>IFERROR(__xludf.DUMMYFUNCTION("""COMPUTED_VALUE"""),"085332099945")</f>
        <v>085332099945</v>
      </c>
      <c r="W1850" s="15"/>
    </row>
    <row r="1851">
      <c r="A1851" s="45"/>
      <c r="B1851" s="9">
        <f>IFERROR(__xludf.DUMMYFUNCTION("""COMPUTED_VALUE"""),45586.7129466551)</f>
        <v>45586.71295</v>
      </c>
      <c r="C1851" s="9"/>
      <c r="D1851" s="10">
        <f>IFERROR(__xludf.DUMMYFUNCTION("""COMPUTED_VALUE"""),45602.0)</f>
        <v>45602</v>
      </c>
      <c r="E1851" s="10" t="str">
        <f>IFERROR(__xludf.DUMMYFUNCTION("""COMPUTED_VALUE"""),"11Nov")</f>
        <v>11Nov</v>
      </c>
      <c r="F1851" s="10" t="str">
        <f>IFERROR(__xludf.DUMMYFUNCTION("""COMPUTED_VALUE"""),"2024")</f>
        <v>2024</v>
      </c>
      <c r="G1851" s="35" t="str">
        <f>IFERROR(__xludf.DUMMYFUNCTION("""COMPUTED_VALUE"""),"WANTIKA YUNINGTYAS")</f>
        <v>WANTIKA YUNINGTYAS</v>
      </c>
      <c r="H1851" s="17" t="str">
        <f>IFERROR(__xludf.DUMMYFUNCTION("""COMPUTED_VALUE"""),"W8924115368")</f>
        <v>W8924115368</v>
      </c>
      <c r="I1851" s="17">
        <f>IFERROR(__xludf.DUMMYFUNCTION("""COMPUTED_VALUE"""),36.0)</f>
        <v>36</v>
      </c>
      <c r="J1851" s="17" t="str">
        <f>IFERROR(__xludf.DUMMYFUNCTION("""COMPUTED_VALUE"""),"35-44 tahun")</f>
        <v>35-44 tahun</v>
      </c>
      <c r="K1851" s="19">
        <f>IFERROR(__xludf.DUMMYFUNCTION("""COMPUTED_VALUE"""),32687.0)</f>
        <v>32687</v>
      </c>
      <c r="L1851" s="19" t="str">
        <f>IFERROR(__xludf.DUMMYFUNCTION("""COMPUTED_VALUE"""),"PEREMPUAN")</f>
        <v>PEREMPUAN</v>
      </c>
      <c r="M1851" s="35" t="str">
        <f>IFERROR(__xludf.DUMMYFUNCTION("""COMPUTED_VALUE"""),"JL. PROF. M. YAMIN GG. MELATI 2 NO. 7A")</f>
        <v>JL. PROF. M. YAMIN GG. MELATI 2 NO. 7A</v>
      </c>
      <c r="N1851" s="16" t="str">
        <f>IFERROR(__xludf.DUMMYFUNCTION("""COMPUTED_VALUE"""),"KEL. SUNGAI BANGKONG")</f>
        <v>KEL. SUNGAI BANGKONG</v>
      </c>
      <c r="O1851" s="16" t="str">
        <f>IFERROR(__xludf.DUMMYFUNCTION("""COMPUTED_VALUE"""),"KEC. PONTIANAK KOTA")</f>
        <v>KEC. PONTIANAK KOTA</v>
      </c>
      <c r="P1851" s="16" t="str">
        <f>IFERROR(__xludf.DUMMYFUNCTION("""COMPUTED_VALUE"""),"KOTA PONTIANAK")</f>
        <v>KOTA PONTIANAK</v>
      </c>
      <c r="Q1851" s="16" t="str">
        <f>IFERROR(__xludf.DUMMYFUNCTION("""COMPUTED_VALUE"""),"KALIMANTAN BARAT")</f>
        <v>KALIMANTAN BARAT</v>
      </c>
      <c r="R1851" s="19" t="str">
        <f>IFERROR(__xludf.DUMMYFUNCTION("""COMPUTED_VALUE"""),"ISLAM")</f>
        <v>ISLAM</v>
      </c>
      <c r="S1851" s="16" t="str">
        <f>IFERROR(__xludf.DUMMYFUNCTION("""COMPUTED_VALUE"""),"ASN")</f>
        <v>ASN</v>
      </c>
      <c r="T1851" s="16" t="str">
        <f>IFERROR(__xludf.DUMMYFUNCTION("""COMPUTED_VALUE"""),"Nyeri Kaki dan Pinggang")</f>
        <v>Nyeri Kaki dan Pinggang</v>
      </c>
      <c r="U1851" s="16" t="str">
        <f>IFERROR(__xludf.DUMMYFUNCTION("""COMPUTED_VALUE"""),"Olahraga")</f>
        <v>Olahraga</v>
      </c>
      <c r="V1851" s="11" t="str">
        <f>IFERROR(__xludf.DUMMYFUNCTION("""COMPUTED_VALUE"""),"082149675368")</f>
        <v>082149675368</v>
      </c>
      <c r="W1851" s="15"/>
    </row>
    <row r="1852">
      <c r="A1852" s="45"/>
      <c r="B1852" s="9">
        <f>IFERROR(__xludf.DUMMYFUNCTION("""COMPUTED_VALUE"""),45152.86688375)</f>
        <v>45152.86688</v>
      </c>
      <c r="C1852" s="9"/>
      <c r="D1852" s="10">
        <f>IFERROR(__xludf.DUMMYFUNCTION("""COMPUTED_VALUE"""),45601.0)</f>
        <v>45601</v>
      </c>
      <c r="E1852" s="10" t="str">
        <f>IFERROR(__xludf.DUMMYFUNCTION("""COMPUTED_VALUE"""),"11Nov")</f>
        <v>11Nov</v>
      </c>
      <c r="F1852" s="10" t="str">
        <f>IFERROR(__xludf.DUMMYFUNCTION("""COMPUTED_VALUE"""),"2024")</f>
        <v>2024</v>
      </c>
      <c r="G1852" s="35" t="str">
        <f>IFERROR(__xludf.DUMMYFUNCTION("""COMPUTED_VALUE"""),"CIN JUNG")</f>
        <v>CIN JUNG</v>
      </c>
      <c r="H1852" s="17" t="str">
        <f>IFERROR(__xludf.DUMMYFUNCTION("""COMPUTED_VALUE"""),"C6224117033")</f>
        <v>C6224117033</v>
      </c>
      <c r="I1852" s="17">
        <f>IFERROR(__xludf.DUMMYFUNCTION("""COMPUTED_VALUE"""),63.0)</f>
        <v>63</v>
      </c>
      <c r="J1852" s="17" t="str">
        <f>IFERROR(__xludf.DUMMYFUNCTION("""COMPUTED_VALUE"""),"&gt; 44 tahun")</f>
        <v>&gt; 44 tahun</v>
      </c>
      <c r="K1852" s="19">
        <f>IFERROR(__xludf.DUMMYFUNCTION("""COMPUTED_VALUE"""),22861.0)</f>
        <v>22861</v>
      </c>
      <c r="L1852" s="19" t="str">
        <f>IFERROR(__xludf.DUMMYFUNCTION("""COMPUTED_VALUE"""),"PEREMPUAN")</f>
        <v>PEREMPUAN</v>
      </c>
      <c r="M1852" s="35" t="str">
        <f>IFERROR(__xludf.DUMMYFUNCTION("""COMPUTED_VALUE"""),"JL.PUTRI DARANANTE NO 88 G")</f>
        <v>JL.PUTRI DARANANTE NO 88 G</v>
      </c>
      <c r="N1852" s="16" t="str">
        <f>IFERROR(__xludf.DUMMYFUNCTION("""COMPUTED_VALUE"""),"KEL. SUNGAI BANGKONG")</f>
        <v>KEL. SUNGAI BANGKONG</v>
      </c>
      <c r="O1852" s="16" t="str">
        <f>IFERROR(__xludf.DUMMYFUNCTION("""COMPUTED_VALUE"""),"KEC. PONTIANAK KOTA")</f>
        <v>KEC. PONTIANAK KOTA</v>
      </c>
      <c r="P1852" s="16" t="str">
        <f>IFERROR(__xludf.DUMMYFUNCTION("""COMPUTED_VALUE"""),"KOTA PONTIANAK")</f>
        <v>KOTA PONTIANAK</v>
      </c>
      <c r="Q1852" s="16" t="str">
        <f>IFERROR(__xludf.DUMMYFUNCTION("""COMPUTED_VALUE"""),"KALIMANTAN BARAT")</f>
        <v>KALIMANTAN BARAT</v>
      </c>
      <c r="R1852" s="19" t="str">
        <f>IFERROR(__xludf.DUMMYFUNCTION("""COMPUTED_VALUE"""),"BUDDHA")</f>
        <v>BUDDHA</v>
      </c>
      <c r="S1852" s="16" t="str">
        <f>IFERROR(__xludf.DUMMYFUNCTION("""COMPUTED_VALUE"""),"RUMAH TANGGA")</f>
        <v>RUMAH TANGGA</v>
      </c>
      <c r="T1852" s="16" t="str">
        <f>IFERROR(__xludf.DUMMYFUNCTION("""COMPUTED_VALUE"""),"Saraf kejepit")</f>
        <v>Saraf kejepit</v>
      </c>
      <c r="U1852" s="16" t="str">
        <f>IFERROR(__xludf.DUMMYFUNCTION("""COMPUTED_VALUE"""),"Pekerjaan rumah tangga")</f>
        <v>Pekerjaan rumah tangga</v>
      </c>
      <c r="V1852" s="11" t="str">
        <f>IFERROR(__xludf.DUMMYFUNCTION("""COMPUTED_VALUE"""),"085246487033")</f>
        <v>085246487033</v>
      </c>
      <c r="W1852" s="15"/>
    </row>
    <row r="1853">
      <c r="A1853" s="45"/>
      <c r="B1853" s="9">
        <f>IFERROR(__xludf.DUMMYFUNCTION("""COMPUTED_VALUE"""),45588.66569678241)</f>
        <v>45588.6657</v>
      </c>
      <c r="C1853" s="9"/>
      <c r="D1853" s="10">
        <f>IFERROR(__xludf.DUMMYFUNCTION("""COMPUTED_VALUE"""),45601.0)</f>
        <v>45601</v>
      </c>
      <c r="E1853" s="10" t="str">
        <f>IFERROR(__xludf.DUMMYFUNCTION("""COMPUTED_VALUE"""),"11Nov")</f>
        <v>11Nov</v>
      </c>
      <c r="F1853" s="10" t="str">
        <f>IFERROR(__xludf.DUMMYFUNCTION("""COMPUTED_VALUE"""),"2024")</f>
        <v>2024</v>
      </c>
      <c r="G1853" s="35" t="str">
        <f>IFERROR(__xludf.DUMMYFUNCTION("""COMPUTED_VALUE"""),"MERRY SONYA")</f>
        <v>MERRY SONYA</v>
      </c>
      <c r="H1853" s="17" t="str">
        <f>IFERROR(__xludf.DUMMYFUNCTION("""COMPUTED_VALUE"""),"M9224118835")</f>
        <v>M9224118835</v>
      </c>
      <c r="I1853" s="17">
        <f>IFERROR(__xludf.DUMMYFUNCTION("""COMPUTED_VALUE"""),33.0)</f>
        <v>33</v>
      </c>
      <c r="J1853" s="17" t="str">
        <f>IFERROR(__xludf.DUMMYFUNCTION("""COMPUTED_VALUE"""),"25-34 tahun")</f>
        <v>25-34 tahun</v>
      </c>
      <c r="K1853" s="19">
        <f>IFERROR(__xludf.DUMMYFUNCTION("""COMPUTED_VALUE"""),33810.0)</f>
        <v>33810</v>
      </c>
      <c r="L1853" s="19" t="str">
        <f>IFERROR(__xludf.DUMMYFUNCTION("""COMPUTED_VALUE"""),"PEREMPUAN")</f>
        <v>PEREMPUAN</v>
      </c>
      <c r="M1853" s="35" t="str">
        <f>IFERROR(__xludf.DUMMYFUNCTION("""COMPUTED_VALUE"""),"JL AFANDI RANI BLOK S NO 9")</f>
        <v>JL AFANDI RANI BLOK S NO 9</v>
      </c>
      <c r="N1853" s="16" t="str">
        <f>IFERROR(__xludf.DUMMYFUNCTION("""COMPUTED_VALUE"""),"KEL. HILIR TENGAH")</f>
        <v>KEL. HILIR TENGAH</v>
      </c>
      <c r="O1853" s="16" t="str">
        <f>IFERROR(__xludf.DUMMYFUNCTION("""COMPUTED_VALUE"""),"KEC. NGABANG")</f>
        <v>KEC. NGABANG</v>
      </c>
      <c r="P1853" s="16" t="str">
        <f>IFERROR(__xludf.DUMMYFUNCTION("""COMPUTED_VALUE"""),"KAB. LANDAK")</f>
        <v>KAB. LANDAK</v>
      </c>
      <c r="Q1853" s="16" t="str">
        <f>IFERROR(__xludf.DUMMYFUNCTION("""COMPUTED_VALUE"""),"KALIMANTAN BARAT")</f>
        <v>KALIMANTAN BARAT</v>
      </c>
      <c r="R1853" s="19" t="str">
        <f>IFERROR(__xludf.DUMMYFUNCTION("""COMPUTED_VALUE"""),"PROTESTAN")</f>
        <v>PROTESTAN</v>
      </c>
      <c r="S1853" s="16" t="str">
        <f>IFERROR(__xludf.DUMMYFUNCTION("""COMPUTED_VALUE"""),"DOSEN/GURU")</f>
        <v>DOSEN/GURU</v>
      </c>
      <c r="T1853" s="16" t="str">
        <f>IFERROR(__xludf.DUMMYFUNCTION("""COMPUTED_VALUE"""),"cidera lutut")</f>
        <v>cidera lutut</v>
      </c>
      <c r="U1853" s="16" t="str">
        <f>IFERROR(__xludf.DUMMYFUNCTION("""COMPUTED_VALUE"""),"olahraga")</f>
        <v>olahraga</v>
      </c>
      <c r="V1853" s="11" t="str">
        <f>IFERROR(__xludf.DUMMYFUNCTION("""COMPUTED_VALUE"""),"081258568835")</f>
        <v>081258568835</v>
      </c>
      <c r="W1853" s="15"/>
    </row>
    <row r="1854">
      <c r="A1854" s="45"/>
      <c r="B1854" s="9">
        <f>IFERROR(__xludf.DUMMYFUNCTION("""COMPUTED_VALUE"""),45588.79629734954)</f>
        <v>45588.7963</v>
      </c>
      <c r="C1854" s="9"/>
      <c r="D1854" s="10">
        <f>IFERROR(__xludf.DUMMYFUNCTION("""COMPUTED_VALUE"""),45602.0)</f>
        <v>45602</v>
      </c>
      <c r="E1854" s="10" t="str">
        <f>IFERROR(__xludf.DUMMYFUNCTION("""COMPUTED_VALUE"""),"11Nov")</f>
        <v>11Nov</v>
      </c>
      <c r="F1854" s="10" t="str">
        <f>IFERROR(__xludf.DUMMYFUNCTION("""COMPUTED_VALUE"""),"2024")</f>
        <v>2024</v>
      </c>
      <c r="G1854" s="35" t="str">
        <f>IFERROR(__xludf.DUMMYFUNCTION("""COMPUTED_VALUE"""),"SRI HARTIN6708")</f>
        <v>SRI HARTIN6708</v>
      </c>
      <c r="H1854" s="17" t="str">
        <f>IFERROR(__xludf.DUMMYFUNCTION("""COMPUTED_VALUE"""),"S6724114505")</f>
        <v>S6724114505</v>
      </c>
      <c r="I1854" s="17">
        <f>IFERROR(__xludf.DUMMYFUNCTION("""COMPUTED_VALUE"""),58.0)</f>
        <v>58</v>
      </c>
      <c r="J1854" s="17" t="str">
        <f>IFERROR(__xludf.DUMMYFUNCTION("""COMPUTED_VALUE"""),"&gt; 44 tahun")</f>
        <v>&gt; 44 tahun</v>
      </c>
      <c r="K1854" s="19">
        <f>IFERROR(__xludf.DUMMYFUNCTION("""COMPUTED_VALUE"""),24712.0)</f>
        <v>24712</v>
      </c>
      <c r="L1854" s="19" t="str">
        <f>IFERROR(__xludf.DUMMYFUNCTION("""COMPUTED_VALUE"""),"PEREMPUAN")</f>
        <v>PEREMPUAN</v>
      </c>
      <c r="M1854" s="35" t="str">
        <f>IFERROR(__xludf.DUMMYFUNCTION("""COMPUTED_VALUE"""),"JLN PERDANA KOMPLEK ANUGRAH PERDANA PERMAI NO B2")</f>
        <v>JLN PERDANA KOMPLEK ANUGRAH PERDANA PERMAI NO B2</v>
      </c>
      <c r="N1854" s="16" t="str">
        <f>IFERROR(__xludf.DUMMYFUNCTION("""COMPUTED_VALUE"""),"KEL. PARIT TOKAYA")</f>
        <v>KEL. PARIT TOKAYA</v>
      </c>
      <c r="O1854" s="16" t="str">
        <f>IFERROR(__xludf.DUMMYFUNCTION("""COMPUTED_VALUE"""),"KEC. PONTIANAK SELATAN")</f>
        <v>KEC. PONTIANAK SELATAN</v>
      </c>
      <c r="P1854" s="16" t="str">
        <f>IFERROR(__xludf.DUMMYFUNCTION("""COMPUTED_VALUE"""),"KOTA PONTIANAK")</f>
        <v>KOTA PONTIANAK</v>
      </c>
      <c r="Q1854" s="16" t="str">
        <f>IFERROR(__xludf.DUMMYFUNCTION("""COMPUTED_VALUE"""),"KALIMANTAN BARAT")</f>
        <v>KALIMANTAN BARAT</v>
      </c>
      <c r="R1854" s="19" t="str">
        <f>IFERROR(__xludf.DUMMYFUNCTION("""COMPUTED_VALUE"""),"ISLAM")</f>
        <v>ISLAM</v>
      </c>
      <c r="S1854" s="35" t="str">
        <f>IFERROR(__xludf.DUMMYFUNCTION("""COMPUTED_VALUE"""),"RUMAH TANGGA")</f>
        <v>RUMAH TANGGA</v>
      </c>
      <c r="T1854" s="16" t="str">
        <f>IFERROR(__xludf.DUMMYFUNCTION("""COMPUTED_VALUE"""),"Sakit tumit sampai k lutut")</f>
        <v>Sakit tumit sampai k lutut</v>
      </c>
      <c r="U1854" s="16" t="str">
        <f>IFERROR(__xludf.DUMMYFUNCTION("""COMPUTED_VALUE"""),"Rumah tangga")</f>
        <v>Rumah tangga</v>
      </c>
      <c r="V1854" s="11" t="str">
        <f>IFERROR(__xludf.DUMMYFUNCTION("""COMPUTED_VALUE"""),"085245284505")</f>
        <v>085245284505</v>
      </c>
      <c r="W1854" s="15"/>
    </row>
    <row r="1855">
      <c r="A1855" s="45"/>
      <c r="B1855" s="9">
        <f>IFERROR(__xludf.DUMMYFUNCTION("""COMPUTED_VALUE"""),45588.81560046296)</f>
        <v>45588.8156</v>
      </c>
      <c r="C1855" s="9"/>
      <c r="D1855" s="10">
        <f>IFERROR(__xludf.DUMMYFUNCTION("""COMPUTED_VALUE"""),45602.0)</f>
        <v>45602</v>
      </c>
      <c r="E1855" s="10" t="str">
        <f>IFERROR(__xludf.DUMMYFUNCTION("""COMPUTED_VALUE"""),"11Nov")</f>
        <v>11Nov</v>
      </c>
      <c r="F1855" s="10" t="str">
        <f>IFERROR(__xludf.DUMMYFUNCTION("""COMPUTED_VALUE"""),"2024")</f>
        <v>2024</v>
      </c>
      <c r="G1855" s="35" t="str">
        <f>IFERROR(__xludf.DUMMYFUNCTION("""COMPUTED_VALUE"""),"HENDRI 9004")</f>
        <v>HENDRI 9004</v>
      </c>
      <c r="H1855" s="17" t="str">
        <f>IFERROR(__xludf.DUMMYFUNCTION("""COMPUTED_VALUE"""),"H9024119477")</f>
        <v>H9024119477</v>
      </c>
      <c r="I1855" s="17">
        <f>IFERROR(__xludf.DUMMYFUNCTION("""COMPUTED_VALUE"""),36.0)</f>
        <v>36</v>
      </c>
      <c r="J1855" s="17" t="str">
        <f>IFERROR(__xludf.DUMMYFUNCTION("""COMPUTED_VALUE"""),"35-44 tahun")</f>
        <v>35-44 tahun</v>
      </c>
      <c r="K1855" s="19">
        <f>IFERROR(__xludf.DUMMYFUNCTION("""COMPUTED_VALUE"""),32971.0)</f>
        <v>32971</v>
      </c>
      <c r="L1855" s="19" t="str">
        <f>IFERROR(__xludf.DUMMYFUNCTION("""COMPUTED_VALUE"""),"LAKI-LAKI")</f>
        <v>LAKI-LAKI</v>
      </c>
      <c r="M1855" s="35" t="str">
        <f>IFERROR(__xludf.DUMMYFUNCTION("""COMPUTED_VALUE"""),"JL PARIT H HUSIN 2, KOMP BALI MAS 2 GG KARYA 7, NO 19")</f>
        <v>JL PARIT H HUSIN 2, KOMP BALI MAS 2 GG KARYA 7, NO 19</v>
      </c>
      <c r="N1855" s="16" t="str">
        <f>IFERROR(__xludf.DUMMYFUNCTION("""COMPUTED_VALUE"""),"KEL. BANSIR DARAT")</f>
        <v>KEL. BANSIR DARAT</v>
      </c>
      <c r="O1855" s="16" t="str">
        <f>IFERROR(__xludf.DUMMYFUNCTION("""COMPUTED_VALUE"""),"KEC. PONTIANAK TENGGARA")</f>
        <v>KEC. PONTIANAK TENGGARA</v>
      </c>
      <c r="P1855" s="16" t="str">
        <f>IFERROR(__xludf.DUMMYFUNCTION("""COMPUTED_VALUE"""),"KOTA PONTIANAK")</f>
        <v>KOTA PONTIANAK</v>
      </c>
      <c r="Q1855" s="16" t="str">
        <f>IFERROR(__xludf.DUMMYFUNCTION("""COMPUTED_VALUE"""),"KALIMANTAN BARAT")</f>
        <v>KALIMANTAN BARAT</v>
      </c>
      <c r="R1855" s="19" t="str">
        <f>IFERROR(__xludf.DUMMYFUNCTION("""COMPUTED_VALUE"""),"KATOLIK")</f>
        <v>KATOLIK</v>
      </c>
      <c r="S1855" s="16" t="str">
        <f>IFERROR(__xludf.DUMMYFUNCTION("""COMPUTED_VALUE"""),"SWASTA")</f>
        <v>SWASTA</v>
      </c>
      <c r="T1855" s="16" t="str">
        <f>IFERROR(__xludf.DUMMYFUNCTION("""COMPUTED_VALUE"""),"Kaki kanan keseleo")</f>
        <v>Kaki kanan keseleo</v>
      </c>
      <c r="U1855" s="16" t="str">
        <f>IFERROR(__xludf.DUMMYFUNCTION("""COMPUTED_VALUE"""),"Kerja dan Olahraga")</f>
        <v>Kerja dan Olahraga</v>
      </c>
      <c r="V1855" s="11" t="str">
        <f>IFERROR(__xludf.DUMMYFUNCTION("""COMPUTED_VALUE"""),"085252319477")</f>
        <v>085252319477</v>
      </c>
      <c r="W1855" s="15"/>
    </row>
    <row r="1856">
      <c r="A1856" s="45"/>
      <c r="B1856" s="9">
        <f>IFERROR(__xludf.DUMMYFUNCTION("""COMPUTED_VALUE"""),45589.47482461805)</f>
        <v>45589.47482</v>
      </c>
      <c r="C1856" s="9"/>
      <c r="D1856" s="10">
        <f>IFERROR(__xludf.DUMMYFUNCTION("""COMPUTED_VALUE"""),45602.0)</f>
        <v>45602</v>
      </c>
      <c r="E1856" s="10" t="str">
        <f>IFERROR(__xludf.DUMMYFUNCTION("""COMPUTED_VALUE"""),"11Nov")</f>
        <v>11Nov</v>
      </c>
      <c r="F1856" s="10" t="str">
        <f>IFERROR(__xludf.DUMMYFUNCTION("""COMPUTED_VALUE"""),"2024")</f>
        <v>2024</v>
      </c>
      <c r="G1856" s="35" t="str">
        <f>IFERROR(__xludf.DUMMYFUNCTION("""COMPUTED_VALUE"""),"DESANDO VAVA BANJARNAHOR")</f>
        <v>DESANDO VAVA BANJARNAHOR</v>
      </c>
      <c r="H1856" s="17" t="str">
        <f>IFERROR(__xludf.DUMMYFUNCTION("""COMPUTED_VALUE"""),"D0924117420")</f>
        <v>D0924117420</v>
      </c>
      <c r="I1856" s="17">
        <f>IFERROR(__xludf.DUMMYFUNCTION("""COMPUTED_VALUE"""),16.0)</f>
        <v>16</v>
      </c>
      <c r="J1856" s="17" t="str">
        <f>IFERROR(__xludf.DUMMYFUNCTION("""COMPUTED_VALUE"""),"&lt; 18 tahun")</f>
        <v>&lt; 18 tahun</v>
      </c>
      <c r="K1856" s="19">
        <f>IFERROR(__xludf.DUMMYFUNCTION("""COMPUTED_VALUE"""),40130.0)</f>
        <v>40130</v>
      </c>
      <c r="L1856" s="19" t="str">
        <f>IFERROR(__xludf.DUMMYFUNCTION("""COMPUTED_VALUE"""),"LAKI-LAKI")</f>
        <v>LAKI-LAKI</v>
      </c>
      <c r="M1856" s="35" t="str">
        <f>IFERROR(__xludf.DUMMYFUNCTION("""COMPUTED_VALUE"""),"KOMPLEK DUTA BANDARA PERMAI BLOK D. 8 NO. 3 JLN AYANI DUA.")</f>
        <v>KOMPLEK DUTA BANDARA PERMAI BLOK D. 8 NO. 3 JLN AYANI DUA.</v>
      </c>
      <c r="N1856" s="16" t="str">
        <f>IFERROR(__xludf.DUMMYFUNCTION("""COMPUTED_VALUE"""),"DS. PARIT BARU")</f>
        <v>DS. PARIT BARU</v>
      </c>
      <c r="O1856" s="16" t="str">
        <f>IFERROR(__xludf.DUMMYFUNCTION("""COMPUTED_VALUE"""),"KEC. SUNGAI RAYA")</f>
        <v>KEC. SUNGAI RAYA</v>
      </c>
      <c r="P1856" s="16" t="str">
        <f>IFERROR(__xludf.DUMMYFUNCTION("""COMPUTED_VALUE"""),"KAB. KUBU RAYA")</f>
        <v>KAB. KUBU RAYA</v>
      </c>
      <c r="Q1856" s="16" t="str">
        <f>IFERROR(__xludf.DUMMYFUNCTION("""COMPUTED_VALUE"""),"KALIMANTAN BARAT")</f>
        <v>KALIMANTAN BARAT</v>
      </c>
      <c r="R1856" s="19" t="str">
        <f>IFERROR(__xludf.DUMMYFUNCTION("""COMPUTED_VALUE"""),"PROTESTAN")</f>
        <v>PROTESTAN</v>
      </c>
      <c r="S1856" s="16" t="str">
        <f>IFERROR(__xludf.DUMMYFUNCTION("""COMPUTED_VALUE"""),"PELAJAR/MAHASISWA")</f>
        <v>PELAJAR/MAHASISWA</v>
      </c>
      <c r="T1856" s="16" t="str">
        <f>IFERROR(__xludf.DUMMYFUNCTION("""COMPUTED_VALUE"""),"OTOT KURANG LENTUR")</f>
        <v>OTOT KURANG LENTUR</v>
      </c>
      <c r="U1856" s="16" t="str">
        <f>IFERROR(__xludf.DUMMYFUNCTION("""COMPUTED_VALUE"""),"VOLLY")</f>
        <v>VOLLY</v>
      </c>
      <c r="V1856" s="11" t="str">
        <f>IFERROR(__xludf.DUMMYFUNCTION("""COMPUTED_VALUE"""),"085252317420")</f>
        <v>085252317420</v>
      </c>
      <c r="W1856" s="15"/>
    </row>
    <row r="1857">
      <c r="A1857" s="45"/>
      <c r="B1857" s="9">
        <f>IFERROR(__xludf.DUMMYFUNCTION("""COMPUTED_VALUE"""),45589.60282644676)</f>
        <v>45589.60283</v>
      </c>
      <c r="C1857" s="9"/>
      <c r="D1857" s="10">
        <f>IFERROR(__xludf.DUMMYFUNCTION("""COMPUTED_VALUE"""),45603.0)</f>
        <v>45603</v>
      </c>
      <c r="E1857" s="10" t="str">
        <f>IFERROR(__xludf.DUMMYFUNCTION("""COMPUTED_VALUE"""),"11Nov")</f>
        <v>11Nov</v>
      </c>
      <c r="F1857" s="10" t="str">
        <f>IFERROR(__xludf.DUMMYFUNCTION("""COMPUTED_VALUE"""),"2024")</f>
        <v>2024</v>
      </c>
      <c r="G1857" s="35" t="str">
        <f>IFERROR(__xludf.DUMMYFUNCTION("""COMPUTED_VALUE"""),"KAMAL SUMARJI")</f>
        <v>KAMAL SUMARJI</v>
      </c>
      <c r="H1857" s="17" t="str">
        <f>IFERROR(__xludf.DUMMYFUNCTION("""COMPUTED_VALUE"""),"K9424111365")</f>
        <v>K9424111365</v>
      </c>
      <c r="I1857" s="17">
        <f>IFERROR(__xludf.DUMMYFUNCTION("""COMPUTED_VALUE"""),31.0)</f>
        <v>31</v>
      </c>
      <c r="J1857" s="17" t="str">
        <f>IFERROR(__xludf.DUMMYFUNCTION("""COMPUTED_VALUE"""),"25-34 tahun")</f>
        <v>25-34 tahun</v>
      </c>
      <c r="K1857" s="19">
        <f>IFERROR(__xludf.DUMMYFUNCTION("""COMPUTED_VALUE"""),34564.0)</f>
        <v>34564</v>
      </c>
      <c r="L1857" s="19" t="str">
        <f>IFERROR(__xludf.DUMMYFUNCTION("""COMPUTED_VALUE"""),"LAKI-LAKI")</f>
        <v>LAKI-LAKI</v>
      </c>
      <c r="M1857" s="35" t="str">
        <f>IFERROR(__xludf.DUMMYFUNCTION("""COMPUTED_VALUE"""),"DUSUN SEKAR JAYA")</f>
        <v>DUSUN SEKAR JAYA</v>
      </c>
      <c r="N1857" s="16" t="str">
        <f>IFERROR(__xludf.DUMMYFUNCTION("""COMPUTED_VALUE"""),"DS. SEBERU")</f>
        <v>DS. SEBERU</v>
      </c>
      <c r="O1857" s="16" t="str">
        <f>IFERROR(__xludf.DUMMYFUNCTION("""COMPUTED_VALUE"""),"KEC. SILAT HILIR")</f>
        <v>KEC. SILAT HILIR</v>
      </c>
      <c r="P1857" s="16" t="str">
        <f>IFERROR(__xludf.DUMMYFUNCTION("""COMPUTED_VALUE"""),"KAB. KAPUAS HULU")</f>
        <v>KAB. KAPUAS HULU</v>
      </c>
      <c r="Q1857" s="16" t="str">
        <f>IFERROR(__xludf.DUMMYFUNCTION("""COMPUTED_VALUE"""),"KALIMANTAN BARAT")</f>
        <v>KALIMANTAN BARAT</v>
      </c>
      <c r="R1857" s="19" t="str">
        <f>IFERROR(__xludf.DUMMYFUNCTION("""COMPUTED_VALUE"""),"ISLAM")</f>
        <v>ISLAM</v>
      </c>
      <c r="S1857" s="16" t="str">
        <f>IFERROR(__xludf.DUMMYFUNCTION("""COMPUTED_VALUE"""),"ASN")</f>
        <v>ASN</v>
      </c>
      <c r="T1857" s="16" t="str">
        <f>IFERROR(__xludf.DUMMYFUNCTION("""COMPUTED_VALUE"""),"cidera lutut, kadang masih terasa nyeri")</f>
        <v>cidera lutut, kadang masih terasa nyeri</v>
      </c>
      <c r="U1857" s="16" t="str">
        <f>IFERROR(__xludf.DUMMYFUNCTION("""COMPUTED_VALUE"""),"-")</f>
        <v>-</v>
      </c>
      <c r="V1857" s="11" t="str">
        <f>IFERROR(__xludf.DUMMYFUNCTION("""COMPUTED_VALUE"""),"081351521365")</f>
        <v>081351521365</v>
      </c>
      <c r="W1857" s="15"/>
    </row>
    <row r="1858">
      <c r="A1858" s="45"/>
      <c r="B1858" s="9">
        <f>IFERROR(__xludf.DUMMYFUNCTION("""COMPUTED_VALUE"""),45589.83183001158)</f>
        <v>45589.83183</v>
      </c>
      <c r="C1858" s="9"/>
      <c r="D1858" s="10">
        <f>IFERROR(__xludf.DUMMYFUNCTION("""COMPUTED_VALUE"""),45603.0)</f>
        <v>45603</v>
      </c>
      <c r="E1858" s="10" t="str">
        <f>IFERROR(__xludf.DUMMYFUNCTION("""COMPUTED_VALUE"""),"11Nov")</f>
        <v>11Nov</v>
      </c>
      <c r="F1858" s="10" t="str">
        <f>IFERROR(__xludf.DUMMYFUNCTION("""COMPUTED_VALUE"""),"2024")</f>
        <v>2024</v>
      </c>
      <c r="G1858" s="35" t="str">
        <f>IFERROR(__xludf.DUMMYFUNCTION("""COMPUTED_VALUE"""),"WIWI RESITA JUNIARTI")</f>
        <v>WIWI RESITA JUNIARTI</v>
      </c>
      <c r="H1858" s="17" t="str">
        <f>IFERROR(__xludf.DUMMYFUNCTION("""COMPUTED_VALUE"""),"W9324118119")</f>
        <v>W9324118119</v>
      </c>
      <c r="I1858" s="17">
        <f>IFERROR(__xludf.DUMMYFUNCTION("""COMPUTED_VALUE"""),32.0)</f>
        <v>32</v>
      </c>
      <c r="J1858" s="17" t="str">
        <f>IFERROR(__xludf.DUMMYFUNCTION("""COMPUTED_VALUE"""),"25-34 tahun")</f>
        <v>25-34 tahun</v>
      </c>
      <c r="K1858" s="19">
        <f>IFERROR(__xludf.DUMMYFUNCTION("""COMPUTED_VALUE"""),34140.0)</f>
        <v>34140</v>
      </c>
      <c r="L1858" s="19" t="str">
        <f>IFERROR(__xludf.DUMMYFUNCTION("""COMPUTED_VALUE"""),"PEREMPUAN")</f>
        <v>PEREMPUAN</v>
      </c>
      <c r="M1858" s="35" t="str">
        <f>IFERROR(__xludf.DUMMYFUNCTION("""COMPUTED_VALUE"""),"JLN SERDAM KOMPLEK TAMAN ANGGREK NO D7")</f>
        <v>JLN SERDAM KOMPLEK TAMAN ANGGREK NO D7</v>
      </c>
      <c r="N1858" s="16" t="str">
        <f>IFERROR(__xludf.DUMMYFUNCTION("""COMPUTED_VALUE"""),"KEL. BANGKA BELITUNG DARAT")</f>
        <v>KEL. BANGKA BELITUNG DARAT</v>
      </c>
      <c r="O1858" s="16" t="str">
        <f>IFERROR(__xludf.DUMMYFUNCTION("""COMPUTED_VALUE"""),"KEC. PONTIANAK TENGGARA")</f>
        <v>KEC. PONTIANAK TENGGARA</v>
      </c>
      <c r="P1858" s="16" t="str">
        <f>IFERROR(__xludf.DUMMYFUNCTION("""COMPUTED_VALUE"""),"KOTA PONTIANAK")</f>
        <v>KOTA PONTIANAK</v>
      </c>
      <c r="Q1858" s="16" t="str">
        <f>IFERROR(__xludf.DUMMYFUNCTION("""COMPUTED_VALUE"""),"KALIMANTAN BARAT")</f>
        <v>KALIMANTAN BARAT</v>
      </c>
      <c r="R1858" s="19" t="str">
        <f>IFERROR(__xludf.DUMMYFUNCTION("""COMPUTED_VALUE"""),"KATOLIK")</f>
        <v>KATOLIK</v>
      </c>
      <c r="S1858" s="35" t="str">
        <f>IFERROR(__xludf.DUMMYFUNCTION("""COMPUTED_VALUE"""),"RUMAH TANGGA")</f>
        <v>RUMAH TANGGA</v>
      </c>
      <c r="T1858" s="16" t="str">
        <f>IFERROR(__xludf.DUMMYFUNCTION("""COMPUTED_VALUE"""),"tOS")</f>
        <v>tOS</v>
      </c>
      <c r="U1858" s="16" t="str">
        <f>IFERROR(__xludf.DUMMYFUNCTION("""COMPUTED_VALUE"""),"Tidur")</f>
        <v>Tidur</v>
      </c>
      <c r="V1858" s="11" t="str">
        <f>IFERROR(__xludf.DUMMYFUNCTION("""COMPUTED_VALUE"""),"082149808119")</f>
        <v>082149808119</v>
      </c>
      <c r="W1858" s="15"/>
    </row>
    <row r="1859">
      <c r="A1859" s="45"/>
      <c r="B1859" s="9">
        <f>IFERROR(__xludf.DUMMYFUNCTION("""COMPUTED_VALUE"""),45590.44167663195)</f>
        <v>45590.44168</v>
      </c>
      <c r="C1859" s="9"/>
      <c r="D1859" s="10">
        <f>IFERROR(__xludf.DUMMYFUNCTION("""COMPUTED_VALUE"""),45603.0)</f>
        <v>45603</v>
      </c>
      <c r="E1859" s="10" t="str">
        <f>IFERROR(__xludf.DUMMYFUNCTION("""COMPUTED_VALUE"""),"11Nov")</f>
        <v>11Nov</v>
      </c>
      <c r="F1859" s="10" t="str">
        <f>IFERROR(__xludf.DUMMYFUNCTION("""COMPUTED_VALUE"""),"2024")</f>
        <v>2024</v>
      </c>
      <c r="G1859" s="35" t="str">
        <f>IFERROR(__xludf.DUMMYFUNCTION("""COMPUTED_VALUE"""),"ERDIANTI")</f>
        <v>ERDIANTI</v>
      </c>
      <c r="H1859" s="17" t="str">
        <f>IFERROR(__xludf.DUMMYFUNCTION("""COMPUTED_VALUE"""),"E6524112905")</f>
        <v>E6524112905</v>
      </c>
      <c r="I1859" s="17">
        <f>IFERROR(__xludf.DUMMYFUNCTION("""COMPUTED_VALUE"""),61.0)</f>
        <v>61</v>
      </c>
      <c r="J1859" s="17" t="str">
        <f>IFERROR(__xludf.DUMMYFUNCTION("""COMPUTED_VALUE"""),"&gt; 44 tahun")</f>
        <v>&gt; 44 tahun</v>
      </c>
      <c r="K1859" s="19">
        <f>IFERROR(__xludf.DUMMYFUNCTION("""COMPUTED_VALUE"""),23866.0)</f>
        <v>23866</v>
      </c>
      <c r="L1859" s="19" t="str">
        <f>IFERROR(__xludf.DUMMYFUNCTION("""COMPUTED_VALUE"""),"PEREMPUAN")</f>
        <v>PEREMPUAN</v>
      </c>
      <c r="M1859" s="35" t="str">
        <f>IFERROR(__xludf.DUMMYFUNCTION("""COMPUTED_VALUE"""),"JL.PROF.M.YAMIN GG.WIJAYA INDAH NO .2")</f>
        <v>JL.PROF.M.YAMIN GG.WIJAYA INDAH NO .2</v>
      </c>
      <c r="N1859" s="16" t="str">
        <f>IFERROR(__xludf.DUMMYFUNCTION("""COMPUTED_VALUE"""),"KEL. SUNGAI BANGKONG")</f>
        <v>KEL. SUNGAI BANGKONG</v>
      </c>
      <c r="O1859" s="16" t="str">
        <f>IFERROR(__xludf.DUMMYFUNCTION("""COMPUTED_VALUE"""),"KEC. PONTIANAK KOTA")</f>
        <v>KEC. PONTIANAK KOTA</v>
      </c>
      <c r="P1859" s="16" t="str">
        <f>IFERROR(__xludf.DUMMYFUNCTION("""COMPUTED_VALUE"""),"KOTA PONTIANAK")</f>
        <v>KOTA PONTIANAK</v>
      </c>
      <c r="Q1859" s="16" t="str">
        <f>IFERROR(__xludf.DUMMYFUNCTION("""COMPUTED_VALUE"""),"KALIMANTAN BARAT")</f>
        <v>KALIMANTAN BARAT</v>
      </c>
      <c r="R1859" s="19" t="str">
        <f>IFERROR(__xludf.DUMMYFUNCTION("""COMPUTED_VALUE"""),"ISLAM")</f>
        <v>ISLAM</v>
      </c>
      <c r="S1859" s="16" t="str">
        <f>IFERROR(__xludf.DUMMYFUNCTION("""COMPUTED_VALUE"""),"RUMAH TANGGA")</f>
        <v>RUMAH TANGGA</v>
      </c>
      <c r="T1859" s="16" t="str">
        <f>IFERROR(__xludf.DUMMYFUNCTION("""COMPUTED_VALUE"""),"Cts &amp; plantar facitis")</f>
        <v>Cts &amp; plantar facitis</v>
      </c>
      <c r="U1859" s="16" t="str">
        <f>IFERROR(__xludf.DUMMYFUNCTION("""COMPUTED_VALUE"""),"Ibu rumah tangga")</f>
        <v>Ibu rumah tangga</v>
      </c>
      <c r="V1859" s="11" t="str">
        <f>IFERROR(__xludf.DUMMYFUNCTION("""COMPUTED_VALUE"""),"085750092905")</f>
        <v>085750092905</v>
      </c>
      <c r="W1859" s="15"/>
    </row>
    <row r="1860">
      <c r="A1860" s="45"/>
      <c r="B1860" s="9">
        <f>IFERROR(__xludf.DUMMYFUNCTION("""COMPUTED_VALUE"""),45591.41724255787)</f>
        <v>45591.41724</v>
      </c>
      <c r="C1860" s="9"/>
      <c r="D1860" s="10">
        <f>IFERROR(__xludf.DUMMYFUNCTION("""COMPUTED_VALUE"""),45607.0)</f>
        <v>45607</v>
      </c>
      <c r="E1860" s="10" t="str">
        <f>IFERROR(__xludf.DUMMYFUNCTION("""COMPUTED_VALUE"""),"11Nov")</f>
        <v>11Nov</v>
      </c>
      <c r="F1860" s="10" t="str">
        <f>IFERROR(__xludf.DUMMYFUNCTION("""COMPUTED_VALUE"""),"2024")</f>
        <v>2024</v>
      </c>
      <c r="G1860" s="35" t="str">
        <f>IFERROR(__xludf.DUMMYFUNCTION("""COMPUTED_VALUE"""),"IKA NURHASANA")</f>
        <v>IKA NURHASANA</v>
      </c>
      <c r="H1860" s="17" t="str">
        <f>IFERROR(__xludf.DUMMYFUNCTION("""COMPUTED_VALUE"""),"I9424119075")</f>
        <v>I9424119075</v>
      </c>
      <c r="I1860" s="17">
        <f>IFERROR(__xludf.DUMMYFUNCTION("""COMPUTED_VALUE"""),31.0)</f>
        <v>31</v>
      </c>
      <c r="J1860" s="17" t="str">
        <f>IFERROR(__xludf.DUMMYFUNCTION("""COMPUTED_VALUE"""),"25-34 tahun")</f>
        <v>25-34 tahun</v>
      </c>
      <c r="K1860" s="19">
        <f>IFERROR(__xludf.DUMMYFUNCTION("""COMPUTED_VALUE"""),34539.0)</f>
        <v>34539</v>
      </c>
      <c r="L1860" s="19" t="str">
        <f>IFERROR(__xludf.DUMMYFUNCTION("""COMPUTED_VALUE"""),"PEREMPUAN")</f>
        <v>PEREMPUAN</v>
      </c>
      <c r="M1860" s="35" t="str">
        <f>IFERROR(__xludf.DUMMYFUNCTION("""COMPUTED_VALUE"""),"JL KOMYOS SUDARSO GG BUNGA DALAM JALUR 3 NO 37")</f>
        <v>JL KOMYOS SUDARSO GG BUNGA DALAM JALUR 3 NO 37</v>
      </c>
      <c r="N1860" s="16" t="str">
        <f>IFERROR(__xludf.DUMMYFUNCTION("""COMPUTED_VALUE"""),"KEL. SUNGAI JAWI LUAR")</f>
        <v>KEL. SUNGAI JAWI LUAR</v>
      </c>
      <c r="O1860" s="16" t="str">
        <f>IFERROR(__xludf.DUMMYFUNCTION("""COMPUTED_VALUE"""),"KEC. PONTIANAK BARAT")</f>
        <v>KEC. PONTIANAK BARAT</v>
      </c>
      <c r="P1860" s="16" t="str">
        <f>IFERROR(__xludf.DUMMYFUNCTION("""COMPUTED_VALUE"""),"KOTA PONTIANAK")</f>
        <v>KOTA PONTIANAK</v>
      </c>
      <c r="Q1860" s="16" t="str">
        <f>IFERROR(__xludf.DUMMYFUNCTION("""COMPUTED_VALUE"""),"KALIMANTAN BARAT")</f>
        <v>KALIMANTAN BARAT</v>
      </c>
      <c r="R1860" s="19" t="str">
        <f>IFERROR(__xludf.DUMMYFUNCTION("""COMPUTED_VALUE"""),"ISLAM")</f>
        <v>ISLAM</v>
      </c>
      <c r="S1860" s="16" t="str">
        <f>IFERROR(__xludf.DUMMYFUNCTION("""COMPUTED_VALUE"""),"WIRASWASTA")</f>
        <v>WIRASWASTA</v>
      </c>
      <c r="T1860" s="16" t="str">
        <f>IFERROR(__xludf.DUMMYFUNCTION("""COMPUTED_VALUE"""),"dengkul sering bengkak")</f>
        <v>dengkul sering bengkak</v>
      </c>
      <c r="U1860" s="16" t="str">
        <f>IFERROR(__xludf.DUMMYFUNCTION("""COMPUTED_VALUE"""),"buat kue/olahraga")</f>
        <v>buat kue/olahraga</v>
      </c>
      <c r="V1860" s="11" t="str">
        <f>IFERROR(__xludf.DUMMYFUNCTION("""COMPUTED_VALUE"""),"089602189075")</f>
        <v>089602189075</v>
      </c>
      <c r="W1860" s="15"/>
    </row>
    <row r="1861">
      <c r="A1861" s="45"/>
      <c r="B1861" s="9">
        <f>IFERROR(__xludf.DUMMYFUNCTION("""COMPUTED_VALUE"""),45591.44847643518)</f>
        <v>45591.44848</v>
      </c>
      <c r="C1861" s="9"/>
      <c r="D1861" s="10">
        <f>IFERROR(__xludf.DUMMYFUNCTION("""COMPUTED_VALUE"""),45607.0)</f>
        <v>45607</v>
      </c>
      <c r="E1861" s="10" t="str">
        <f>IFERROR(__xludf.DUMMYFUNCTION("""COMPUTED_VALUE"""),"11Nov")</f>
        <v>11Nov</v>
      </c>
      <c r="F1861" s="10" t="str">
        <f>IFERROR(__xludf.DUMMYFUNCTION("""COMPUTED_VALUE"""),"2024")</f>
        <v>2024</v>
      </c>
      <c r="G1861" s="35" t="str">
        <f>IFERROR(__xludf.DUMMYFUNCTION("""COMPUTED_VALUE"""),"GIVEN SHAHIENOV CHAVA")</f>
        <v>GIVEN SHAHIENOV CHAVA</v>
      </c>
      <c r="H1861" s="17" t="str">
        <f>IFERROR(__xludf.DUMMYFUNCTION("""COMPUTED_VALUE"""),"G1024118551")</f>
        <v>G1024118551</v>
      </c>
      <c r="I1861" s="17">
        <f>IFERROR(__xludf.DUMMYFUNCTION("""COMPUTED_VALUE"""),15.0)</f>
        <v>15</v>
      </c>
      <c r="J1861" s="17" t="str">
        <f>IFERROR(__xludf.DUMMYFUNCTION("""COMPUTED_VALUE"""),"&lt; 18 tahun")</f>
        <v>&lt; 18 tahun</v>
      </c>
      <c r="K1861" s="19">
        <f>IFERROR(__xludf.DUMMYFUNCTION("""COMPUTED_VALUE"""),40485.0)</f>
        <v>40485</v>
      </c>
      <c r="L1861" s="19" t="str">
        <f>IFERROR(__xludf.DUMMYFUNCTION("""COMPUTED_VALUE"""),"LAKI-LAKI")</f>
        <v>LAKI-LAKI</v>
      </c>
      <c r="M1861" s="35" t="str">
        <f>IFERROR(__xludf.DUMMYFUNCTION("""COMPUTED_VALUE"""),"JL.SUNGAI RAYA DALAM, KOMP.TAMAN SUNGAI RAYA A.18")</f>
        <v>JL.SUNGAI RAYA DALAM, KOMP.TAMAN SUNGAI RAYA A.18</v>
      </c>
      <c r="N1861" s="16" t="str">
        <f>IFERROR(__xludf.DUMMYFUNCTION("""COMPUTED_VALUE"""),"KEL. SUNGAI RAYA")</f>
        <v>KEL. SUNGAI RAYA</v>
      </c>
      <c r="O1861" s="16" t="str">
        <f>IFERROR(__xludf.DUMMYFUNCTION("""COMPUTED_VALUE"""),"KEC. SUNGAI RAYA")</f>
        <v>KEC. SUNGAI RAYA</v>
      </c>
      <c r="P1861" s="16" t="str">
        <f>IFERROR(__xludf.DUMMYFUNCTION("""COMPUTED_VALUE"""),"KAB. KUBU RAYA")</f>
        <v>KAB. KUBU RAYA</v>
      </c>
      <c r="Q1861" s="16" t="str">
        <f>IFERROR(__xludf.DUMMYFUNCTION("""COMPUTED_VALUE"""),"KALIMANTAN BARAT")</f>
        <v>KALIMANTAN BARAT</v>
      </c>
      <c r="R1861" s="19" t="str">
        <f>IFERROR(__xludf.DUMMYFUNCTION("""COMPUTED_VALUE"""),"PROTESTAN")</f>
        <v>PROTESTAN</v>
      </c>
      <c r="S1861" s="16" t="str">
        <f>IFERROR(__xludf.DUMMYFUNCTION("""COMPUTED_VALUE"""),"PELAJAR/MAHASISWA")</f>
        <v>PELAJAR/MAHASISWA</v>
      </c>
      <c r="T1861" s="16" t="str">
        <f>IFERROR(__xludf.DUMMYFUNCTION("""COMPUTED_VALUE"""),"bagian kaki yaitu angkle")</f>
        <v>bagian kaki yaitu angkle</v>
      </c>
      <c r="U1861" s="16" t="str">
        <f>IFERROR(__xludf.DUMMYFUNCTION("""COMPUTED_VALUE"""),"Basket")</f>
        <v>Basket</v>
      </c>
      <c r="V1861" s="11" t="str">
        <f>IFERROR(__xludf.DUMMYFUNCTION("""COMPUTED_VALUE"""),"081346508551")</f>
        <v>081346508551</v>
      </c>
      <c r="W1861" s="15"/>
    </row>
    <row r="1862">
      <c r="A1862" s="45"/>
      <c r="B1862" s="9">
        <f>IFERROR(__xludf.DUMMYFUNCTION("""COMPUTED_VALUE"""),45591.448670949074)</f>
        <v>45591.44867</v>
      </c>
      <c r="C1862" s="9"/>
      <c r="D1862" s="10">
        <f>IFERROR(__xludf.DUMMYFUNCTION("""COMPUTED_VALUE"""),45607.0)</f>
        <v>45607</v>
      </c>
      <c r="E1862" s="10" t="str">
        <f>IFERROR(__xludf.DUMMYFUNCTION("""COMPUTED_VALUE"""),"11Nov")</f>
        <v>11Nov</v>
      </c>
      <c r="F1862" s="10" t="str">
        <f>IFERROR(__xludf.DUMMYFUNCTION("""COMPUTED_VALUE"""),"2024")</f>
        <v>2024</v>
      </c>
      <c r="G1862" s="35" t="str">
        <f>IFERROR(__xludf.DUMMYFUNCTION("""COMPUTED_VALUE"""),"AMALIA VEGA")</f>
        <v>AMALIA VEGA</v>
      </c>
      <c r="H1862" s="17" t="str">
        <f>IFERROR(__xludf.DUMMYFUNCTION("""COMPUTED_VALUE"""),"A0324110628")</f>
        <v>A0324110628</v>
      </c>
      <c r="I1862" s="17">
        <f>IFERROR(__xludf.DUMMYFUNCTION("""COMPUTED_VALUE"""),22.0)</f>
        <v>22</v>
      </c>
      <c r="J1862" s="17" t="str">
        <f>IFERROR(__xludf.DUMMYFUNCTION("""COMPUTED_VALUE"""),"18-24 tahun")</f>
        <v>18-24 tahun</v>
      </c>
      <c r="K1862" s="19">
        <f>IFERROR(__xludf.DUMMYFUNCTION("""COMPUTED_VALUE"""),37819.0)</f>
        <v>37819</v>
      </c>
      <c r="L1862" s="19" t="str">
        <f>IFERROR(__xludf.DUMMYFUNCTION("""COMPUTED_VALUE"""),"PEREMPUAN")</f>
        <v>PEREMPUAN</v>
      </c>
      <c r="M1862" s="35" t="str">
        <f>IFERROR(__xludf.DUMMYFUNCTION("""COMPUTED_VALUE"""),"JL ADISUCIPTO GG MELATI")</f>
        <v>JL ADISUCIPTO GG MELATI</v>
      </c>
      <c r="N1862" s="16" t="str">
        <f>IFERROR(__xludf.DUMMYFUNCTION("""COMPUTED_VALUE"""),"DS. PARIT BARU")</f>
        <v>DS. PARIT BARU</v>
      </c>
      <c r="O1862" s="16" t="str">
        <f>IFERROR(__xludf.DUMMYFUNCTION("""COMPUTED_VALUE"""),"KEC. SUNGAI RAYA")</f>
        <v>KEC. SUNGAI RAYA</v>
      </c>
      <c r="P1862" s="16" t="str">
        <f>IFERROR(__xludf.DUMMYFUNCTION("""COMPUTED_VALUE"""),"KAB. KUBU RAYA")</f>
        <v>KAB. KUBU RAYA</v>
      </c>
      <c r="Q1862" s="35" t="str">
        <f>IFERROR(__xludf.DUMMYFUNCTION("""COMPUTED_VALUE"""),"KALIMANTAN BARAT")</f>
        <v>KALIMANTAN BARAT</v>
      </c>
      <c r="R1862" s="19" t="str">
        <f>IFERROR(__xludf.DUMMYFUNCTION("""COMPUTED_VALUE"""),"PROTESTAN")</f>
        <v>PROTESTAN</v>
      </c>
      <c r="S1862" s="35" t="str">
        <f>IFERROR(__xludf.DUMMYFUNCTION("""COMPUTED_VALUE"""),"FREELANCE")</f>
        <v>FREELANCE</v>
      </c>
      <c r="T1862" s="16" t="str">
        <f>IFERROR(__xludf.DUMMYFUNCTION("""COMPUTED_VALUE"""),"sakit pada tulang belakang kalo duduk kelamaan")</f>
        <v>sakit pada tulang belakang kalo duduk kelamaan</v>
      </c>
      <c r="U1862" s="16" t="str">
        <f>IFERROR(__xludf.DUMMYFUNCTION("""COMPUTED_VALUE"""),"terkadang jogging dan gym")</f>
        <v>terkadang jogging dan gym</v>
      </c>
      <c r="V1862" s="11" t="str">
        <f>IFERROR(__xludf.DUMMYFUNCTION("""COMPUTED_VALUE"""),"081347600628")</f>
        <v>081347600628</v>
      </c>
      <c r="W1862" s="15"/>
    </row>
    <row r="1863">
      <c r="A1863" s="45"/>
      <c r="B1863" s="9">
        <f>IFERROR(__xludf.DUMMYFUNCTION("""COMPUTED_VALUE"""),45591.35918225694)</f>
        <v>45591.35918</v>
      </c>
      <c r="C1863" s="9"/>
      <c r="D1863" s="10">
        <f>IFERROR(__xludf.DUMMYFUNCTION("""COMPUTED_VALUE"""),45609.0)</f>
        <v>45609</v>
      </c>
      <c r="E1863" s="10" t="str">
        <f>IFERROR(__xludf.DUMMYFUNCTION("""COMPUTED_VALUE"""),"11Nov")</f>
        <v>11Nov</v>
      </c>
      <c r="F1863" s="10" t="str">
        <f>IFERROR(__xludf.DUMMYFUNCTION("""COMPUTED_VALUE"""),"2024")</f>
        <v>2024</v>
      </c>
      <c r="G1863" s="35" t="str">
        <f>IFERROR(__xludf.DUMMYFUNCTION("""COMPUTED_VALUE"""),"HASEP PURWALID")</f>
        <v>HASEP PURWALID</v>
      </c>
      <c r="H1863" s="17" t="str">
        <f>IFERROR(__xludf.DUMMYFUNCTION("""COMPUTED_VALUE"""),"H8124112533")</f>
        <v>H8124112533</v>
      </c>
      <c r="I1863" s="17">
        <f>IFERROR(__xludf.DUMMYFUNCTION("""COMPUTED_VALUE"""),45.0)</f>
        <v>45</v>
      </c>
      <c r="J1863" s="17" t="str">
        <f>IFERROR(__xludf.DUMMYFUNCTION("""COMPUTED_VALUE"""),"&gt; 44 tahun")</f>
        <v>&gt; 44 tahun</v>
      </c>
      <c r="K1863" s="19">
        <f>IFERROR(__xludf.DUMMYFUNCTION("""COMPUTED_VALUE"""),29595.0)</f>
        <v>29595</v>
      </c>
      <c r="L1863" s="19" t="str">
        <f>IFERROR(__xludf.DUMMYFUNCTION("""COMPUTED_VALUE"""),"LAKI-LAKI")</f>
        <v>LAKI-LAKI</v>
      </c>
      <c r="M1863" s="35" t="str">
        <f>IFERROR(__xludf.DUMMYFUNCTION("""COMPUTED_VALUE"""),"JL PEMUDA 8 NO 51A")</f>
        <v>JL PEMUDA 8 NO 51A</v>
      </c>
      <c r="N1863" s="16" t="str">
        <f>IFERROR(__xludf.DUMMYFUNCTION("""COMPUTED_VALUE"""),"KEL. DAMAI BAHAGIA")</f>
        <v>KEL. DAMAI BAHAGIA</v>
      </c>
      <c r="O1863" s="16" t="str">
        <f>IFERROR(__xludf.DUMMYFUNCTION("""COMPUTED_VALUE"""),"KEC. BALIKPAPAN SELATAN")</f>
        <v>KEC. BALIKPAPAN SELATAN</v>
      </c>
      <c r="P1863" s="16" t="str">
        <f>IFERROR(__xludf.DUMMYFUNCTION("""COMPUTED_VALUE"""),"KOTA BALIKPAPAN")</f>
        <v>KOTA BALIKPAPAN</v>
      </c>
      <c r="Q1863" s="16" t="str">
        <f>IFERROR(__xludf.DUMMYFUNCTION("""COMPUTED_VALUE"""),"KALIMANTAN TIMUR")</f>
        <v>KALIMANTAN TIMUR</v>
      </c>
      <c r="R1863" s="19" t="str">
        <f>IFERROR(__xludf.DUMMYFUNCTION("""COMPUTED_VALUE"""),"ISLAM")</f>
        <v>ISLAM</v>
      </c>
      <c r="S1863" s="35" t="str">
        <f>IFERROR(__xludf.DUMMYFUNCTION("""COMPUTED_VALUE"""),"BUMD")</f>
        <v>BUMD</v>
      </c>
      <c r="T1863" s="16" t="str">
        <f>IFERROR(__xludf.DUMMYFUNCTION("""COMPUTED_VALUE"""),"Otot betis sering tertarik, lutut kaku")</f>
        <v>Otot betis sering tertarik, lutut kaku</v>
      </c>
      <c r="U1863" s="16" t="str">
        <f>IFERROR(__xludf.DUMMYFUNCTION("""COMPUTED_VALUE"""),"Lari, sepakbola, sepeda roadbike")</f>
        <v>Lari, sepakbola, sepeda roadbike</v>
      </c>
      <c r="V1863" s="11" t="str">
        <f>IFERROR(__xludf.DUMMYFUNCTION("""COMPUTED_VALUE"""),"0811532533")</f>
        <v>0811532533</v>
      </c>
      <c r="W1863" s="15"/>
    </row>
    <row r="1864">
      <c r="A1864" s="45"/>
      <c r="B1864" s="9">
        <f>IFERROR(__xludf.DUMMYFUNCTION("""COMPUTED_VALUE"""),45011.171296851855)</f>
        <v>45011.1713</v>
      </c>
      <c r="C1864" s="9"/>
      <c r="D1864" s="10">
        <f>IFERROR(__xludf.DUMMYFUNCTION("""COMPUTED_VALUE"""),45609.0)</f>
        <v>45609</v>
      </c>
      <c r="E1864" s="10" t="str">
        <f>IFERROR(__xludf.DUMMYFUNCTION("""COMPUTED_VALUE"""),"11Nov")</f>
        <v>11Nov</v>
      </c>
      <c r="F1864" s="10" t="str">
        <f>IFERROR(__xludf.DUMMYFUNCTION("""COMPUTED_VALUE"""),"2024")</f>
        <v>2024</v>
      </c>
      <c r="G1864" s="35" t="str">
        <f>IFERROR(__xludf.DUMMYFUNCTION("""COMPUTED_VALUE"""),"YUDI WIDODO")</f>
        <v>YUDI WIDODO</v>
      </c>
      <c r="H1864" s="17" t="str">
        <f>IFERROR(__xludf.DUMMYFUNCTION("""COMPUTED_VALUE"""),"Y7524118079")</f>
        <v>Y7524118079</v>
      </c>
      <c r="I1864" s="17">
        <f>IFERROR(__xludf.DUMMYFUNCTION("""COMPUTED_VALUE"""),50.0)</f>
        <v>50</v>
      </c>
      <c r="J1864" s="17" t="str">
        <f>IFERROR(__xludf.DUMMYFUNCTION("""COMPUTED_VALUE"""),"&gt; 44 tahun")</f>
        <v>&gt; 44 tahun</v>
      </c>
      <c r="K1864" s="19">
        <f>IFERROR(__xludf.DUMMYFUNCTION("""COMPUTED_VALUE"""),27585.0)</f>
        <v>27585</v>
      </c>
      <c r="L1864" s="19" t="str">
        <f>IFERROR(__xludf.DUMMYFUNCTION("""COMPUTED_VALUE"""),"LAKI-LAKI")</f>
        <v>LAKI-LAKI</v>
      </c>
      <c r="M1864" s="35" t="str">
        <f>IFERROR(__xludf.DUMMYFUNCTION("""COMPUTED_VALUE"""),"JL. PARIT H. MUKSIN II KOMPLEK SBR II BLOK G. 34")</f>
        <v>JL. PARIT H. MUKSIN II KOMPLEK SBR II BLOK G. 34</v>
      </c>
      <c r="N1864" s="16" t="str">
        <f>IFERROR(__xludf.DUMMYFUNCTION("""COMPUTED_VALUE"""),"DS. PARIT BARU")</f>
        <v>DS. PARIT BARU</v>
      </c>
      <c r="O1864" s="16" t="str">
        <f>IFERROR(__xludf.DUMMYFUNCTION("""COMPUTED_VALUE"""),"KEC. SUNGAI RAYA")</f>
        <v>KEC. SUNGAI RAYA</v>
      </c>
      <c r="P1864" s="16" t="str">
        <f>IFERROR(__xludf.DUMMYFUNCTION("""COMPUTED_VALUE"""),"KAB. KUBU RAYA")</f>
        <v>KAB. KUBU RAYA</v>
      </c>
      <c r="Q1864" s="16" t="str">
        <f>IFERROR(__xludf.DUMMYFUNCTION("""COMPUTED_VALUE"""),"KALIMANTAN BARAT")</f>
        <v>KALIMANTAN BARAT</v>
      </c>
      <c r="R1864" s="19" t="str">
        <f>IFERROR(__xludf.DUMMYFUNCTION("""COMPUTED_VALUE"""),"ISLAM")</f>
        <v>ISLAM</v>
      </c>
      <c r="S1864" s="16" t="str">
        <f>IFERROR(__xludf.DUMMYFUNCTION("""COMPUTED_VALUE"""),"SWASTA")</f>
        <v>SWASTA</v>
      </c>
      <c r="T1864" s="16" t="str">
        <f>IFERROR(__xludf.DUMMYFUNCTION("""COMPUTED_VALUE"""),"Lutut Kiri di tekuk Sakit")</f>
        <v>Lutut Kiri di tekuk Sakit</v>
      </c>
      <c r="U1864" s="16" t="str">
        <f>IFERROR(__xludf.DUMMYFUNCTION("""COMPUTED_VALUE"""),"Olah Raga (Lari , Tennis Lapangan)")</f>
        <v>Olah Raga (Lari , Tennis Lapangan)</v>
      </c>
      <c r="V1864" s="11" t="str">
        <f>IFERROR(__xludf.DUMMYFUNCTION("""COMPUTED_VALUE"""),"081345508079")</f>
        <v>081345508079</v>
      </c>
      <c r="W1864" s="15"/>
    </row>
    <row r="1865">
      <c r="A1865" s="45"/>
      <c r="B1865" s="9">
        <f>IFERROR(__xludf.DUMMYFUNCTION("""COMPUTED_VALUE"""),45591.795942048615)</f>
        <v>45591.79594</v>
      </c>
      <c r="C1865" s="9"/>
      <c r="D1865" s="10">
        <f>IFERROR(__xludf.DUMMYFUNCTION("""COMPUTED_VALUE"""),45609.0)</f>
        <v>45609</v>
      </c>
      <c r="E1865" s="10" t="str">
        <f>IFERROR(__xludf.DUMMYFUNCTION("""COMPUTED_VALUE"""),"11Nov")</f>
        <v>11Nov</v>
      </c>
      <c r="F1865" s="10" t="str">
        <f>IFERROR(__xludf.DUMMYFUNCTION("""COMPUTED_VALUE"""),"2024")</f>
        <v>2024</v>
      </c>
      <c r="G1865" s="35" t="str">
        <f>IFERROR(__xludf.DUMMYFUNCTION("""COMPUTED_VALUE"""),"MUHAMMAD FIRMAN RUSTANDI")</f>
        <v>MUHAMMAD FIRMAN RUSTANDI</v>
      </c>
      <c r="H1865" s="17" t="str">
        <f>IFERROR(__xludf.DUMMYFUNCTION("""COMPUTED_VALUE"""),"M0724118512")</f>
        <v>M0724118512</v>
      </c>
      <c r="I1865" s="17">
        <f>IFERROR(__xludf.DUMMYFUNCTION("""COMPUTED_VALUE"""),18.0)</f>
        <v>18</v>
      </c>
      <c r="J1865" s="17" t="str">
        <f>IFERROR(__xludf.DUMMYFUNCTION("""COMPUTED_VALUE"""),"&lt; 18 tahun")</f>
        <v>&lt; 18 tahun</v>
      </c>
      <c r="K1865" s="19">
        <f>IFERROR(__xludf.DUMMYFUNCTION("""COMPUTED_VALUE"""),39304.0)</f>
        <v>39304</v>
      </c>
      <c r="L1865" s="19" t="str">
        <f>IFERROR(__xludf.DUMMYFUNCTION("""COMPUTED_VALUE"""),"LAKI-LAKI")</f>
        <v>LAKI-LAKI</v>
      </c>
      <c r="M1865" s="35" t="str">
        <f>IFERROR(__xludf.DUMMYFUNCTION("""COMPUTED_VALUE"""),"JL. W. R. SUPRATMAN NO. 41 PUTUSSIBAU")</f>
        <v>JL. W. R. SUPRATMAN NO. 41 PUTUSSIBAU</v>
      </c>
      <c r="N1865" s="16" t="str">
        <f>IFERROR(__xludf.DUMMYFUNCTION("""COMPUTED_VALUE"""),"KEL. PUTUSIBAU KOTA")</f>
        <v>KEL. PUTUSIBAU KOTA</v>
      </c>
      <c r="O1865" s="16" t="str">
        <f>IFERROR(__xludf.DUMMYFUNCTION("""COMPUTED_VALUE"""),"KEC. PUTUSSIBAU UTARA")</f>
        <v>KEC. PUTUSSIBAU UTARA</v>
      </c>
      <c r="P1865" s="16" t="str">
        <f>IFERROR(__xludf.DUMMYFUNCTION("""COMPUTED_VALUE"""),"KAB. KAPUAS HULU")</f>
        <v>KAB. KAPUAS HULU</v>
      </c>
      <c r="Q1865" s="16" t="str">
        <f>IFERROR(__xludf.DUMMYFUNCTION("""COMPUTED_VALUE"""),"KALIMANTAN BARAT")</f>
        <v>KALIMANTAN BARAT</v>
      </c>
      <c r="R1865" s="19" t="str">
        <f>IFERROR(__xludf.DUMMYFUNCTION("""COMPUTED_VALUE"""),"ISLAM")</f>
        <v>ISLAM</v>
      </c>
      <c r="S1865" s="16" t="str">
        <f>IFERROR(__xludf.DUMMYFUNCTION("""COMPUTED_VALUE"""),"PELAJAR/MAHASISWA")</f>
        <v>PELAJAR/MAHASISWA</v>
      </c>
      <c r="T1865" s="16" t="str">
        <f>IFERROR(__xludf.DUMMYFUNCTION("""COMPUTED_VALUE"""),"Cidera lutut saat olahraga")</f>
        <v>Cidera lutut saat olahraga</v>
      </c>
      <c r="U1865" s="16" t="str">
        <f>IFERROR(__xludf.DUMMYFUNCTION("""COMPUTED_VALUE"""),"Pemain Basket")</f>
        <v>Pemain Basket</v>
      </c>
      <c r="V1865" s="11" t="str">
        <f>IFERROR(__xludf.DUMMYFUNCTION("""COMPUTED_VALUE"""),"085828528512")</f>
        <v>085828528512</v>
      </c>
      <c r="W1865" s="15"/>
    </row>
    <row r="1866">
      <c r="A1866" s="45"/>
      <c r="B1866" s="9">
        <f>IFERROR(__xludf.DUMMYFUNCTION("""COMPUTED_VALUE"""),45591.856401689816)</f>
        <v>45591.8564</v>
      </c>
      <c r="C1866" s="9"/>
      <c r="D1866" s="10">
        <f>IFERROR(__xludf.DUMMYFUNCTION("""COMPUTED_VALUE"""),45603.0)</f>
        <v>45603</v>
      </c>
      <c r="E1866" s="10" t="str">
        <f>IFERROR(__xludf.DUMMYFUNCTION("""COMPUTED_VALUE"""),"11Nov")</f>
        <v>11Nov</v>
      </c>
      <c r="F1866" s="10" t="str">
        <f>IFERROR(__xludf.DUMMYFUNCTION("""COMPUTED_VALUE"""),"2024")</f>
        <v>2024</v>
      </c>
      <c r="G1866" s="35" t="str">
        <f>IFERROR(__xludf.DUMMYFUNCTION("""COMPUTED_VALUE"""),"ARZIWANSYAH")</f>
        <v>ARZIWANSYAH</v>
      </c>
      <c r="H1866" s="17" t="str">
        <f>IFERROR(__xludf.DUMMYFUNCTION("""COMPUTED_VALUE"""),"A9524119414")</f>
        <v>A9524119414</v>
      </c>
      <c r="I1866" s="17">
        <f>IFERROR(__xludf.DUMMYFUNCTION("""COMPUTED_VALUE"""),30.0)</f>
        <v>30</v>
      </c>
      <c r="J1866" s="17" t="str">
        <f>IFERROR(__xludf.DUMMYFUNCTION("""COMPUTED_VALUE"""),"25-34 tahun")</f>
        <v>25-34 tahun</v>
      </c>
      <c r="K1866" s="19">
        <f>IFERROR(__xludf.DUMMYFUNCTION("""COMPUTED_VALUE"""),34983.0)</f>
        <v>34983</v>
      </c>
      <c r="L1866" s="19" t="str">
        <f>IFERROR(__xludf.DUMMYFUNCTION("""COMPUTED_VALUE"""),"LAKI-LAKI")</f>
        <v>LAKI-LAKI</v>
      </c>
      <c r="M1866" s="35" t="str">
        <f>IFERROR(__xludf.DUMMYFUNCTION("""COMPUTED_VALUE"""),"JL. SEPAKAT 2 KOMP. BUMI SEPAKAT PERMAI NO. A 3")</f>
        <v>JL. SEPAKAT 2 KOMP. BUMI SEPAKAT PERMAI NO. A 3</v>
      </c>
      <c r="N1866" s="16" t="str">
        <f>IFERROR(__xludf.DUMMYFUNCTION("""COMPUTED_VALUE"""),"KEL. BANSIR DARAT")</f>
        <v>KEL. BANSIR DARAT</v>
      </c>
      <c r="O1866" s="16" t="str">
        <f>IFERROR(__xludf.DUMMYFUNCTION("""COMPUTED_VALUE"""),"KEC. PONTIANAK TENGGARA")</f>
        <v>KEC. PONTIANAK TENGGARA</v>
      </c>
      <c r="P1866" s="16" t="str">
        <f>IFERROR(__xludf.DUMMYFUNCTION("""COMPUTED_VALUE"""),"KOTA PONTIANAK")</f>
        <v>KOTA PONTIANAK</v>
      </c>
      <c r="Q1866" s="16" t="str">
        <f>IFERROR(__xludf.DUMMYFUNCTION("""COMPUTED_VALUE"""),"KALIMANTAN BARAT")</f>
        <v>KALIMANTAN BARAT</v>
      </c>
      <c r="R1866" s="19" t="str">
        <f>IFERROR(__xludf.DUMMYFUNCTION("""COMPUTED_VALUE"""),"ISLAM")</f>
        <v>ISLAM</v>
      </c>
      <c r="S1866" s="35" t="str">
        <f>IFERROR(__xludf.DUMMYFUNCTION("""COMPUTED_VALUE"""),"BUMN")</f>
        <v>BUMN</v>
      </c>
      <c r="T1866" s="16" t="str">
        <f>IFERROR(__xludf.DUMMYFUNCTION("""COMPUTED_VALUE"""),"Cidera di Lutut Kaki Kanan")</f>
        <v>Cidera di Lutut Kaki Kanan</v>
      </c>
      <c r="U1866" s="16" t="str">
        <f>IFERROR(__xludf.DUMMYFUNCTION("""COMPUTED_VALUE"""),"Badminton dan Minisoccer")</f>
        <v>Badminton dan Minisoccer</v>
      </c>
      <c r="V1866" s="11" t="str">
        <f>IFERROR(__xludf.DUMMYFUNCTION("""COMPUTED_VALUE"""),"081251209414")</f>
        <v>081251209414</v>
      </c>
      <c r="W1866" s="15"/>
    </row>
    <row r="1867">
      <c r="A1867" s="45"/>
      <c r="B1867" s="9">
        <f>IFERROR(__xludf.DUMMYFUNCTION("""COMPUTED_VALUE"""),45592.41173502315)</f>
        <v>45592.41174</v>
      </c>
      <c r="C1867" s="9"/>
      <c r="D1867" s="10">
        <f>IFERROR(__xludf.DUMMYFUNCTION("""COMPUTED_VALUE"""),45603.0)</f>
        <v>45603</v>
      </c>
      <c r="E1867" s="10" t="str">
        <f>IFERROR(__xludf.DUMMYFUNCTION("""COMPUTED_VALUE"""),"11Nov")</f>
        <v>11Nov</v>
      </c>
      <c r="F1867" s="10" t="str">
        <f>IFERROR(__xludf.DUMMYFUNCTION("""COMPUTED_VALUE"""),"2024")</f>
        <v>2024</v>
      </c>
      <c r="G1867" s="35" t="str">
        <f>IFERROR(__xludf.DUMMYFUNCTION("""COMPUTED_VALUE"""),"BINTI")</f>
        <v>BINTI</v>
      </c>
      <c r="H1867" s="17" t="str">
        <f>IFERROR(__xludf.DUMMYFUNCTION("""COMPUTED_VALUE"""),"B6624119000")</f>
        <v>B6624119000</v>
      </c>
      <c r="I1867" s="17">
        <f>IFERROR(__xludf.DUMMYFUNCTION("""COMPUTED_VALUE"""),60.0)</f>
        <v>60</v>
      </c>
      <c r="J1867" s="17" t="str">
        <f>IFERROR(__xludf.DUMMYFUNCTION("""COMPUTED_VALUE"""),"&gt; 44 tahun")</f>
        <v>&gt; 44 tahun</v>
      </c>
      <c r="K1867" s="19">
        <f>IFERROR(__xludf.DUMMYFUNCTION("""COMPUTED_VALUE"""),24207.0)</f>
        <v>24207</v>
      </c>
      <c r="L1867" s="19" t="str">
        <f>IFERROR(__xludf.DUMMYFUNCTION("""COMPUTED_VALUE"""),"PEREMPUAN")</f>
        <v>PEREMPUAN</v>
      </c>
      <c r="M1867" s="35" t="str">
        <f>IFERROR(__xludf.DUMMYFUNCTION("""COMPUTED_VALUE"""),"DUSUN KARYA MAJU")</f>
        <v>DUSUN KARYA MAJU</v>
      </c>
      <c r="N1867" s="16" t="str">
        <f>IFERROR(__xludf.DUMMYFUNCTION("""COMPUTED_VALUE"""),"KEL. TELUK BATANG")</f>
        <v>KEL. TELUK BATANG</v>
      </c>
      <c r="O1867" s="16" t="str">
        <f>IFERROR(__xludf.DUMMYFUNCTION("""COMPUTED_VALUE"""),"KEC. TELUK BATANG")</f>
        <v>KEC. TELUK BATANG</v>
      </c>
      <c r="P1867" s="16" t="str">
        <f>IFERROR(__xludf.DUMMYFUNCTION("""COMPUTED_VALUE"""),"KAB. KAYONG UTARA")</f>
        <v>KAB. KAYONG UTARA</v>
      </c>
      <c r="Q1867" s="16" t="str">
        <f>IFERROR(__xludf.DUMMYFUNCTION("""COMPUTED_VALUE"""),"KALIMANTAN BARAT")</f>
        <v>KALIMANTAN BARAT</v>
      </c>
      <c r="R1867" s="19" t="str">
        <f>IFERROR(__xludf.DUMMYFUNCTION("""COMPUTED_VALUE"""),"ISLAM")</f>
        <v>ISLAM</v>
      </c>
      <c r="S1867" s="16" t="str">
        <f>IFERROR(__xludf.DUMMYFUNCTION("""COMPUTED_VALUE"""),"RUMAH TANGGA")</f>
        <v>RUMAH TANGGA</v>
      </c>
      <c r="T1867" s="16" t="str">
        <f>IFERROR(__xludf.DUMMYFUNCTION("""COMPUTED_VALUE"""),"syaraf terjepit")</f>
        <v>syaraf terjepit</v>
      </c>
      <c r="U1867" s="16" t="str">
        <f>IFERROR(__xludf.DUMMYFUNCTION("""COMPUTED_VALUE"""),"bersih-bersih rumah")</f>
        <v>bersih-bersih rumah</v>
      </c>
      <c r="V1867" s="11" t="str">
        <f>IFERROR(__xludf.DUMMYFUNCTION("""COMPUTED_VALUE"""),"085345279000")</f>
        <v>085345279000</v>
      </c>
      <c r="W1867" s="15"/>
    </row>
    <row r="1868">
      <c r="A1868" s="45"/>
      <c r="B1868" s="9">
        <f>IFERROR(__xludf.DUMMYFUNCTION("""COMPUTED_VALUE"""),45591.78810365741)</f>
        <v>45591.7881</v>
      </c>
      <c r="C1868" s="9"/>
      <c r="D1868" s="10">
        <f>IFERROR(__xludf.DUMMYFUNCTION("""COMPUTED_VALUE"""),45604.0)</f>
        <v>45604</v>
      </c>
      <c r="E1868" s="10" t="str">
        <f>IFERROR(__xludf.DUMMYFUNCTION("""COMPUTED_VALUE"""),"11Nov")</f>
        <v>11Nov</v>
      </c>
      <c r="F1868" s="10" t="str">
        <f>IFERROR(__xludf.DUMMYFUNCTION("""COMPUTED_VALUE"""),"2024")</f>
        <v>2024</v>
      </c>
      <c r="G1868" s="35" t="str">
        <f>IFERROR(__xludf.DUMMYFUNCTION("""COMPUTED_VALUE"""),"REIHAN FAHREZA")</f>
        <v>REIHAN FAHREZA</v>
      </c>
      <c r="H1868" s="17" t="str">
        <f>IFERROR(__xludf.DUMMYFUNCTION("""COMPUTED_VALUE"""),"R0724111379")</f>
        <v>R0724111379</v>
      </c>
      <c r="I1868" s="17">
        <f>IFERROR(__xludf.DUMMYFUNCTION("""COMPUTED_VALUE"""),19.0)</f>
        <v>19</v>
      </c>
      <c r="J1868" s="17" t="str">
        <f>IFERROR(__xludf.DUMMYFUNCTION("""COMPUTED_VALUE"""),"18-24 tahun")</f>
        <v>18-24 tahun</v>
      </c>
      <c r="K1868" s="19">
        <f>IFERROR(__xludf.DUMMYFUNCTION("""COMPUTED_VALUE"""),39104.0)</f>
        <v>39104</v>
      </c>
      <c r="L1868" s="19" t="str">
        <f>IFERROR(__xludf.DUMMYFUNCTION("""COMPUTED_VALUE"""),"LAKI-LAKI")</f>
        <v>LAKI-LAKI</v>
      </c>
      <c r="M1868" s="35" t="str">
        <f>IFERROR(__xludf.DUMMYFUNCTION("""COMPUTED_VALUE"""),"JALAN LANGGAWI")</f>
        <v>JALAN LANGGAWI</v>
      </c>
      <c r="N1868" s="16" t="str">
        <f>IFERROR(__xludf.DUMMYFUNCTION("""COMPUTED_VALUE"""),"DS. SEBALO")</f>
        <v>DS. SEBALO</v>
      </c>
      <c r="O1868" s="16" t="str">
        <f>IFERROR(__xludf.DUMMYFUNCTION("""COMPUTED_VALUE"""),"KEC. BENGKAYANG")</f>
        <v>KEC. BENGKAYANG</v>
      </c>
      <c r="P1868" s="16" t="str">
        <f>IFERROR(__xludf.DUMMYFUNCTION("""COMPUTED_VALUE"""),"KAB. BENGKAYANG")</f>
        <v>KAB. BENGKAYANG</v>
      </c>
      <c r="Q1868" s="16" t="str">
        <f>IFERROR(__xludf.DUMMYFUNCTION("""COMPUTED_VALUE"""),"KALIMANTAN BARAT")</f>
        <v>KALIMANTAN BARAT</v>
      </c>
      <c r="R1868" s="19" t="str">
        <f>IFERROR(__xludf.DUMMYFUNCTION("""COMPUTED_VALUE"""),"ISLAM")</f>
        <v>ISLAM</v>
      </c>
      <c r="S1868" s="35" t="str">
        <f>IFERROR(__xludf.DUMMYFUNCTION("""COMPUTED_VALUE"""),"PELAJAR/MAHASISWA")</f>
        <v>PELAJAR/MAHASISWA</v>
      </c>
      <c r="T1868" s="16" t="str">
        <f>IFERROR(__xludf.DUMMYFUNCTION("""COMPUTED_VALUE"""),"Kaki letter X")</f>
        <v>Kaki letter X</v>
      </c>
      <c r="U1868" s="16" t="str">
        <f>IFERROR(__xludf.DUMMYFUNCTION("""COMPUTED_VALUE"""),"Olahraga")</f>
        <v>Olahraga</v>
      </c>
      <c r="V1868" s="11" t="str">
        <f>IFERROR(__xludf.DUMMYFUNCTION("""COMPUTED_VALUE"""),"085933531379")</f>
        <v>085933531379</v>
      </c>
      <c r="W1868" s="15"/>
    </row>
    <row r="1869">
      <c r="A1869" s="45"/>
      <c r="B1869" s="9">
        <f>IFERROR(__xludf.DUMMYFUNCTION("""COMPUTED_VALUE"""),45593.35307416666)</f>
        <v>45593.35307</v>
      </c>
      <c r="C1869" s="9"/>
      <c r="D1869" s="10">
        <f>IFERROR(__xludf.DUMMYFUNCTION("""COMPUTED_VALUE"""),45604.0)</f>
        <v>45604</v>
      </c>
      <c r="E1869" s="10" t="str">
        <f>IFERROR(__xludf.DUMMYFUNCTION("""COMPUTED_VALUE"""),"11Nov")</f>
        <v>11Nov</v>
      </c>
      <c r="F1869" s="10" t="str">
        <f>IFERROR(__xludf.DUMMYFUNCTION("""COMPUTED_VALUE"""),"2024")</f>
        <v>2024</v>
      </c>
      <c r="G1869" s="35" t="str">
        <f>IFERROR(__xludf.DUMMYFUNCTION("""COMPUTED_VALUE"""),"YULIANA 7307")</f>
        <v>YULIANA 7307</v>
      </c>
      <c r="H1869" s="17" t="str">
        <f>IFERROR(__xludf.DUMMYFUNCTION("""COMPUTED_VALUE"""),"Y7324111717")</f>
        <v>Y7324111717</v>
      </c>
      <c r="I1869" s="17">
        <f>IFERROR(__xludf.DUMMYFUNCTION("""COMPUTED_VALUE"""),52.0)</f>
        <v>52</v>
      </c>
      <c r="J1869" s="17" t="str">
        <f>IFERROR(__xludf.DUMMYFUNCTION("""COMPUTED_VALUE"""),"&gt; 44 tahun")</f>
        <v>&gt; 44 tahun</v>
      </c>
      <c r="K1869" s="19">
        <f>IFERROR(__xludf.DUMMYFUNCTION("""COMPUTED_VALUE"""),26849.0)</f>
        <v>26849</v>
      </c>
      <c r="L1869" s="19" t="str">
        <f>IFERROR(__xludf.DUMMYFUNCTION("""COMPUTED_VALUE"""),"PEREMPUAN")</f>
        <v>PEREMPUAN</v>
      </c>
      <c r="M1869" s="35" t="str">
        <f>IFERROR(__xludf.DUMMYFUNCTION("""COMPUTED_VALUE"""),"JALAN DR WAHIDIN KOMPLEK BATARA INDAH 1 BLOK Q25")</f>
        <v>JALAN DR WAHIDIN KOMPLEK BATARA INDAH 1 BLOK Q25</v>
      </c>
      <c r="N1869" s="16" t="str">
        <f>IFERROR(__xludf.DUMMYFUNCTION("""COMPUTED_VALUE"""),"KEL. SUNGAI JAWI")</f>
        <v>KEL. SUNGAI JAWI</v>
      </c>
      <c r="O1869" s="16" t="str">
        <f>IFERROR(__xludf.DUMMYFUNCTION("""COMPUTED_VALUE"""),"KEC. PONTIANAK KOTA")</f>
        <v>KEC. PONTIANAK KOTA</v>
      </c>
      <c r="P1869" s="16" t="str">
        <f>IFERROR(__xludf.DUMMYFUNCTION("""COMPUTED_VALUE"""),"KOTA PONTIANAK")</f>
        <v>KOTA PONTIANAK</v>
      </c>
      <c r="Q1869" s="16" t="str">
        <f>IFERROR(__xludf.DUMMYFUNCTION("""COMPUTED_VALUE"""),"KALIMANTAN BARAT")</f>
        <v>KALIMANTAN BARAT</v>
      </c>
      <c r="R1869" s="19" t="str">
        <f>IFERROR(__xludf.DUMMYFUNCTION("""COMPUTED_VALUE"""),"ISLAM")</f>
        <v>ISLAM</v>
      </c>
      <c r="S1869" s="16" t="str">
        <f>IFERROR(__xludf.DUMMYFUNCTION("""COMPUTED_VALUE"""),"RUMAH TANGGA")</f>
        <v>RUMAH TANGGA</v>
      </c>
      <c r="T1869" s="16" t="str">
        <f>IFERROR(__xludf.DUMMYFUNCTION("""COMPUTED_VALUE"""),"Tumitnye tu sakit kalau dipijakkan.Kalau begantung bedenyut denyut.Kalau bangun tidur sakit smp ke lutut")</f>
        <v>Tumitnye tu sakit kalau dipijakkan.Kalau begantung bedenyut denyut.Kalau bangun tidur sakit smp ke lutut</v>
      </c>
      <c r="U1869" s="16" t="str">
        <f>IFERROR(__xludf.DUMMYFUNCTION("""COMPUTED_VALUE"""),"Bekemas")</f>
        <v>Bekemas</v>
      </c>
      <c r="V1869" s="11" t="str">
        <f>IFERROR(__xludf.DUMMYFUNCTION("""COMPUTED_VALUE"""),"08992661717")</f>
        <v>08992661717</v>
      </c>
      <c r="W1869" s="15"/>
    </row>
    <row r="1870">
      <c r="A1870" s="46"/>
      <c r="B1870" s="9" t="str">
        <f>IFERROR(__xludf.DUMMYFUNCTION("""COMPUTED_VALUE"""),"29/10/2024 14:32:52")</f>
        <v>29/10/2024 14:32:52</v>
      </c>
      <c r="C1870" s="9"/>
      <c r="D1870" s="10">
        <f>IFERROR(__xludf.DUMMYFUNCTION("""COMPUTED_VALUE"""),45579.0)</f>
        <v>45579</v>
      </c>
      <c r="E1870" s="10" t="str">
        <f>IFERROR(__xludf.DUMMYFUNCTION("""COMPUTED_VALUE"""),"10Okt")</f>
        <v>10Okt</v>
      </c>
      <c r="F1870" s="10" t="str">
        <f>IFERROR(__xludf.DUMMYFUNCTION("""COMPUTED_VALUE"""),"2024")</f>
        <v>2024</v>
      </c>
      <c r="G1870" s="35" t="str">
        <f>IFERROR(__xludf.DUMMYFUNCTION("""COMPUTED_VALUE"""),"TJIE LIE LIE")</f>
        <v>TJIE LIE LIE</v>
      </c>
      <c r="H1870" s="17" t="str">
        <f>IFERROR(__xludf.DUMMYFUNCTION("""COMPUTED_VALUE"""),"T8724107982")</f>
        <v>T8724107982</v>
      </c>
      <c r="I1870" s="17">
        <f>IFERROR(__xludf.DUMMYFUNCTION("""COMPUTED_VALUE"""),38.0)</f>
        <v>38</v>
      </c>
      <c r="J1870" s="17" t="str">
        <f>IFERROR(__xludf.DUMMYFUNCTION("""COMPUTED_VALUE"""),"35-44 tahun")</f>
        <v>35-44 tahun</v>
      </c>
      <c r="K1870" s="19">
        <f>IFERROR(__xludf.DUMMYFUNCTION("""COMPUTED_VALUE"""),31979.0)</f>
        <v>31979</v>
      </c>
      <c r="L1870" s="19" t="str">
        <f>IFERROR(__xludf.DUMMYFUNCTION("""COMPUTED_VALUE"""),"PEREMPUAN")</f>
        <v>PEREMPUAN</v>
      </c>
      <c r="M1870" s="35" t="str">
        <f>IFERROR(__xludf.DUMMYFUNCTION("""COMPUTED_VALUE"""),"JALAN SUPRAPTO NOMOR 4")</f>
        <v>JALAN SUPRAPTO NOMOR 4</v>
      </c>
      <c r="N1870" s="16"/>
      <c r="O1870" s="16" t="str">
        <f>IFERROR(__xludf.DUMMYFUNCTION("""COMPUTED_VALUE"""),"KEC. DELTA PAWAN")</f>
        <v>KEC. DELTA PAWAN</v>
      </c>
      <c r="P1870" s="16" t="str">
        <f>IFERROR(__xludf.DUMMYFUNCTION("""COMPUTED_VALUE"""),"KAB. KETAPANG")</f>
        <v>KAB. KETAPANG</v>
      </c>
      <c r="Q1870" s="16" t="str">
        <f>IFERROR(__xludf.DUMMYFUNCTION("""COMPUTED_VALUE"""),"KALIMANTAN BARAT")</f>
        <v>KALIMANTAN BARAT</v>
      </c>
      <c r="R1870" s="19" t="str">
        <f>IFERROR(__xludf.DUMMYFUNCTION("""COMPUTED_VALUE"""),"PROTESTAN")</f>
        <v>PROTESTAN</v>
      </c>
      <c r="S1870" s="16" t="str">
        <f>IFERROR(__xludf.DUMMYFUNCTION("""COMPUTED_VALUE"""),"RUMAH TANGGA")</f>
        <v>RUMAH TANGGA</v>
      </c>
      <c r="T1870" s="16" t="str">
        <f>IFERROR(__xludf.DUMMYFUNCTION("""COMPUTED_VALUE"""),"SAKIT LUTUT")</f>
        <v>SAKIT LUTUT</v>
      </c>
      <c r="U1870" s="16" t="str">
        <f>IFERROR(__xludf.DUMMYFUNCTION("""COMPUTED_VALUE"""),"MASAK")</f>
        <v>MASAK</v>
      </c>
      <c r="V1870" s="11" t="str">
        <f>IFERROR(__xludf.DUMMYFUNCTION("""COMPUTED_VALUE"""),"82145367982")</f>
        <v>82145367982</v>
      </c>
      <c r="W1870" s="15"/>
    </row>
    <row r="1871">
      <c r="A1871" s="45"/>
      <c r="B1871" s="24">
        <f>IFERROR(__xludf.DUMMYFUNCTION("""COMPUTED_VALUE"""),45353.657725474535)</f>
        <v>45353.65773</v>
      </c>
      <c r="C1871" s="24"/>
      <c r="D1871" s="34">
        <f>IFERROR(__xludf.DUMMYFUNCTION("""COMPUTED_VALUE"""),45603.0)</f>
        <v>45603</v>
      </c>
      <c r="E1871" s="34" t="str">
        <f>IFERROR(__xludf.DUMMYFUNCTION("""COMPUTED_VALUE"""),"11Nov")</f>
        <v>11Nov</v>
      </c>
      <c r="F1871" s="34" t="str">
        <f>IFERROR(__xludf.DUMMYFUNCTION("""COMPUTED_VALUE"""),"2024")</f>
        <v>2024</v>
      </c>
      <c r="G1871" s="36" t="str">
        <f>IFERROR(__xludf.DUMMYFUNCTION("""COMPUTED_VALUE"""),"PAINO")</f>
        <v>PAINO</v>
      </c>
      <c r="H1871" s="17" t="str">
        <f>IFERROR(__xludf.DUMMYFUNCTION("""COMPUTED_VALUE"""),"P8224110388")</f>
        <v>P8224110388</v>
      </c>
      <c r="I1871" s="17">
        <f>IFERROR(__xludf.DUMMYFUNCTION("""COMPUTED_VALUE"""),43.0)</f>
        <v>43</v>
      </c>
      <c r="J1871" s="17" t="str">
        <f>IFERROR(__xludf.DUMMYFUNCTION("""COMPUTED_VALUE"""),"35-44 tahun")</f>
        <v>35-44 tahun</v>
      </c>
      <c r="K1871" s="21">
        <f>IFERROR(__xludf.DUMMYFUNCTION("""COMPUTED_VALUE"""),30226.0)</f>
        <v>30226</v>
      </c>
      <c r="L1871" s="21" t="str">
        <f>IFERROR(__xludf.DUMMYFUNCTION("""COMPUTED_VALUE"""),"LAKI LAKI")</f>
        <v>LAKI LAKI</v>
      </c>
      <c r="M1871" s="35" t="str">
        <f>IFERROR(__xludf.DUMMYFUNCTION("""COMPUTED_VALUE"""),"JALAN URAI BAWADI GANG SUDITRISNO NOMOR 25")</f>
        <v>JALAN URAI BAWADI GANG SUDITRISNO NOMOR 25</v>
      </c>
      <c r="N1871" s="16" t="str">
        <f>IFERROR(__xludf.DUMMYFUNCTION("""COMPUTED_VALUE"""),"KEL. SUNGAI BANGKONG")</f>
        <v>KEL. SUNGAI BANGKONG</v>
      </c>
      <c r="O1871" s="16" t="str">
        <f>IFERROR(__xludf.DUMMYFUNCTION("""COMPUTED_VALUE"""),"KEC. PONTIANAK KOTA")</f>
        <v>KEC. PONTIANAK KOTA</v>
      </c>
      <c r="P1871" s="16" t="str">
        <f>IFERROR(__xludf.DUMMYFUNCTION("""COMPUTED_VALUE"""),"KOTA PONTIANAK")</f>
        <v>KOTA PONTIANAK</v>
      </c>
      <c r="Q1871" s="16" t="str">
        <f>IFERROR(__xludf.DUMMYFUNCTION("""COMPUTED_VALUE"""),"KALIMANTAN BARAT")</f>
        <v>KALIMANTAN BARAT</v>
      </c>
      <c r="R1871" s="21" t="str">
        <f>IFERROR(__xludf.DUMMYFUNCTION("""COMPUTED_VALUE"""),"ISLAM")</f>
        <v>ISLAM</v>
      </c>
      <c r="S1871" s="16" t="str">
        <f>IFERROR(__xludf.DUMMYFUNCTION("""COMPUTED_VALUE"""),"BURUH")</f>
        <v>BURUH</v>
      </c>
      <c r="T1871" s="36" t="str">
        <f>IFERROR(__xludf.DUMMYFUNCTION("""COMPUTED_VALUE"""),"BAHU TANGAN KANAN")</f>
        <v>BAHU TANGAN KANAN</v>
      </c>
      <c r="U1871" s="36"/>
      <c r="V1871" s="37" t="str">
        <f>IFERROR(__xludf.DUMMYFUNCTION("""COMPUTED_VALUE"""),"895328170388")</f>
        <v>895328170388</v>
      </c>
      <c r="W1871" s="22"/>
    </row>
    <row r="1872">
      <c r="A1872" s="45"/>
      <c r="B1872" s="24">
        <f>IFERROR(__xludf.DUMMYFUNCTION("""COMPUTED_VALUE"""),45596.55247119213)</f>
        <v>45596.55247</v>
      </c>
      <c r="C1872" s="24"/>
      <c r="D1872" s="34">
        <f>IFERROR(__xludf.DUMMYFUNCTION("""COMPUTED_VALUE"""),45592.0)</f>
        <v>45592</v>
      </c>
      <c r="E1872" s="34" t="str">
        <f>IFERROR(__xludf.DUMMYFUNCTION("""COMPUTED_VALUE"""),"10Okt")</f>
        <v>10Okt</v>
      </c>
      <c r="F1872" s="34" t="str">
        <f>IFERROR(__xludf.DUMMYFUNCTION("""COMPUTED_VALUE"""),"2024")</f>
        <v>2024</v>
      </c>
      <c r="G1872" s="36" t="str">
        <f>IFERROR(__xludf.DUMMYFUNCTION("""COMPUTED_VALUE"""),"DARREL OZORA SIGIRO")</f>
        <v>DARREL OZORA SIGIRO</v>
      </c>
      <c r="H1872" s="17" t="str">
        <f>IFERROR(__xludf.DUMMYFUNCTION("""COMPUTED_VALUE"""),"D1424104746")</f>
        <v>D1424104746</v>
      </c>
      <c r="I1872" s="17">
        <f>IFERROR(__xludf.DUMMYFUNCTION("""COMPUTED_VALUE"""),12.0)</f>
        <v>12</v>
      </c>
      <c r="J1872" s="17" t="str">
        <f>IFERROR(__xludf.DUMMYFUNCTION("""COMPUTED_VALUE"""),"&lt; 18 tahun")</f>
        <v>&lt; 18 tahun</v>
      </c>
      <c r="K1872" s="21">
        <f>IFERROR(__xludf.DUMMYFUNCTION("""COMPUTED_VALUE"""),41714.0)</f>
        <v>41714</v>
      </c>
      <c r="L1872" s="21" t="str">
        <f>IFERROR(__xludf.DUMMYFUNCTION("""COMPUTED_VALUE"""),"LAKI LAKI")</f>
        <v>LAKI LAKI</v>
      </c>
      <c r="M1872" s="35" t="str">
        <f>IFERROR(__xludf.DUMMYFUNCTION("""COMPUTED_VALUE"""),"JALAN DR. SUTOMO KOMPLEK BATARA INDAH 4 C-26")</f>
        <v>JALAN DR. SUTOMO KOMPLEK BATARA INDAH 4 C-26</v>
      </c>
      <c r="N1872" s="16" t="str">
        <f>IFERROR(__xludf.DUMMYFUNCTION("""COMPUTED_VALUE"""),"KEL. SUNGAI BANGKONG")</f>
        <v>KEL. SUNGAI BANGKONG</v>
      </c>
      <c r="O1872" s="16" t="str">
        <f>IFERROR(__xludf.DUMMYFUNCTION("""COMPUTED_VALUE"""),"KEC. PONTIANAK KOTA")</f>
        <v>KEC. PONTIANAK KOTA</v>
      </c>
      <c r="P1872" s="16" t="str">
        <f>IFERROR(__xludf.DUMMYFUNCTION("""COMPUTED_VALUE"""),"KOTA PONTIANAK")</f>
        <v>KOTA PONTIANAK</v>
      </c>
      <c r="Q1872" s="16" t="str">
        <f>IFERROR(__xludf.DUMMYFUNCTION("""COMPUTED_VALUE"""),"KALIMANTAN BARAT")</f>
        <v>KALIMANTAN BARAT</v>
      </c>
      <c r="R1872" s="21" t="str">
        <f>IFERROR(__xludf.DUMMYFUNCTION("""COMPUTED_VALUE"""),"KATOLIK")</f>
        <v>KATOLIK</v>
      </c>
      <c r="S1872" s="16" t="str">
        <f>IFERROR(__xludf.DUMMYFUNCTION("""COMPUTED_VALUE"""),"PELAJAR/MAHASISWA")</f>
        <v>PELAJAR/MAHASISWA</v>
      </c>
      <c r="T1872" s="36" t="str">
        <f>IFERROR(__xludf.DUMMYFUNCTION("""COMPUTED_VALUE"""),"LEHER")</f>
        <v>LEHER</v>
      </c>
      <c r="U1872" s="36"/>
      <c r="V1872" s="37" t="str">
        <f>IFERROR(__xludf.DUMMYFUNCTION("""COMPUTED_VALUE"""),"81254524746")</f>
        <v>81254524746</v>
      </c>
      <c r="W1872" s="22"/>
    </row>
    <row r="1873">
      <c r="A1873" s="45"/>
      <c r="B1873" s="24">
        <f>IFERROR(__xludf.DUMMYFUNCTION("""COMPUTED_VALUE"""),45596.655476423606)</f>
        <v>45596.65548</v>
      </c>
      <c r="C1873" s="24"/>
      <c r="D1873" s="34">
        <f>IFERROR(__xludf.DUMMYFUNCTION("""COMPUTED_VALUE"""),45575.0)</f>
        <v>45575</v>
      </c>
      <c r="E1873" s="34" t="str">
        <f>IFERROR(__xludf.DUMMYFUNCTION("""COMPUTED_VALUE"""),"10Okt")</f>
        <v>10Okt</v>
      </c>
      <c r="F1873" s="34" t="str">
        <f>IFERROR(__xludf.DUMMYFUNCTION("""COMPUTED_VALUE"""),"2024")</f>
        <v>2024</v>
      </c>
      <c r="G1873" s="36" t="str">
        <f>IFERROR(__xludf.DUMMYFUNCTION("""COMPUTED_VALUE"""),"KUKUH HERMONO")</f>
        <v>KUKUH HERMONO</v>
      </c>
      <c r="H1873" s="17" t="str">
        <f>IFERROR(__xludf.DUMMYFUNCTION("""COMPUTED_VALUE"""),"K6824109020")</f>
        <v>K6824109020</v>
      </c>
      <c r="I1873" s="17">
        <f>IFERROR(__xludf.DUMMYFUNCTION("""COMPUTED_VALUE"""),58.0)</f>
        <v>58</v>
      </c>
      <c r="J1873" s="17" t="str">
        <f>IFERROR(__xludf.DUMMYFUNCTION("""COMPUTED_VALUE"""),"&gt; 44 tahun")</f>
        <v>&gt; 44 tahun</v>
      </c>
      <c r="K1873" s="21">
        <f>IFERROR(__xludf.DUMMYFUNCTION("""COMPUTED_VALUE"""),24946.0)</f>
        <v>24946</v>
      </c>
      <c r="L1873" s="21" t="str">
        <f>IFERROR(__xludf.DUMMYFUNCTION("""COMPUTED_VALUE"""),"LAKI LAKI")</f>
        <v>LAKI LAKI</v>
      </c>
      <c r="M1873" s="35" t="str">
        <f>IFERROR(__xludf.DUMMYFUNCTION("""COMPUTED_VALUE"""),"JALAN PAWAN PERMAI MAS II B-2")</f>
        <v>JALAN PAWAN PERMAI MAS II B-2</v>
      </c>
      <c r="N1873" s="16" t="str">
        <f>IFERROR(__xludf.DUMMYFUNCTION("""COMPUTED_VALUE"""),"KEL. SUNGAI RAYA")</f>
        <v>KEL. SUNGAI RAYA</v>
      </c>
      <c r="O1873" s="16" t="str">
        <f>IFERROR(__xludf.DUMMYFUNCTION("""COMPUTED_VALUE"""),"KEC. SUNGAI RAYA")</f>
        <v>KEC. SUNGAI RAYA</v>
      </c>
      <c r="P1873" s="16" t="str">
        <f>IFERROR(__xludf.DUMMYFUNCTION("""COMPUTED_VALUE"""),"KAB. KUBU RAYA")</f>
        <v>KAB. KUBU RAYA</v>
      </c>
      <c r="Q1873" s="16" t="str">
        <f>IFERROR(__xludf.DUMMYFUNCTION("""COMPUTED_VALUE"""),"KALIMANTAN BARAT")</f>
        <v>KALIMANTAN BARAT</v>
      </c>
      <c r="R1873" s="21" t="str">
        <f>IFERROR(__xludf.DUMMYFUNCTION("""COMPUTED_VALUE"""),"ISLAM")</f>
        <v>ISLAM</v>
      </c>
      <c r="S1873" s="35" t="str">
        <f>IFERROR(__xludf.DUMMYFUNCTION("""COMPUTED_VALUE"""),"ASN")</f>
        <v>ASN</v>
      </c>
      <c r="T1873" s="36" t="str">
        <f>IFERROR(__xludf.DUMMYFUNCTION("""COMPUTED_VALUE"""),"BAHU KANAN")</f>
        <v>BAHU KANAN</v>
      </c>
      <c r="U1873" s="36"/>
      <c r="V1873" s="37" t="str">
        <f>IFERROR(__xludf.DUMMYFUNCTION("""COMPUTED_VALUE"""),"81384649020")</f>
        <v>81384649020</v>
      </c>
      <c r="W1873" s="22"/>
    </row>
    <row r="1874">
      <c r="A1874" s="45"/>
      <c r="B1874" s="9">
        <f>IFERROR(__xludf.DUMMYFUNCTION("""COMPUTED_VALUE"""),45597.3876319213)</f>
        <v>45597.38763</v>
      </c>
      <c r="C1874" s="9"/>
      <c r="D1874" s="10">
        <f>IFERROR(__xludf.DUMMYFUNCTION("""COMPUTED_VALUE"""),45575.0)</f>
        <v>45575</v>
      </c>
      <c r="E1874" s="10" t="str">
        <f>IFERROR(__xludf.DUMMYFUNCTION("""COMPUTED_VALUE"""),"10Okt")</f>
        <v>10Okt</v>
      </c>
      <c r="F1874" s="10" t="str">
        <f>IFERROR(__xludf.DUMMYFUNCTION("""COMPUTED_VALUE"""),"2024")</f>
        <v>2024</v>
      </c>
      <c r="G1874" s="36" t="str">
        <f>IFERROR(__xludf.DUMMYFUNCTION("""COMPUTED_VALUE"""),"NUNUNG NURYANA")</f>
        <v>NUNUNG NURYANA</v>
      </c>
      <c r="H1874" s="17" t="str">
        <f>IFERROR(__xludf.DUMMYFUNCTION("""COMPUTED_VALUE"""),"N7624100026")</f>
        <v>N7624100026</v>
      </c>
      <c r="I1874" s="17">
        <f>IFERROR(__xludf.DUMMYFUNCTION("""COMPUTED_VALUE"""),49.0)</f>
        <v>49</v>
      </c>
      <c r="J1874" s="17" t="str">
        <f>IFERROR(__xludf.DUMMYFUNCTION("""COMPUTED_VALUE"""),"&gt; 44 tahun")</f>
        <v>&gt; 44 tahun</v>
      </c>
      <c r="K1874" s="19">
        <f>IFERROR(__xludf.DUMMYFUNCTION("""COMPUTED_VALUE"""),28053.0)</f>
        <v>28053</v>
      </c>
      <c r="L1874" s="19" t="str">
        <f>IFERROR(__xludf.DUMMYFUNCTION("""COMPUTED_VALUE"""),"PEREMPUAN")</f>
        <v>PEREMPUAN</v>
      </c>
      <c r="M1874" s="35" t="str">
        <f>IFERROR(__xludf.DUMMYFUNCTION("""COMPUTED_VALUE"""),"JL. WONODADI")</f>
        <v>JL. WONODADI</v>
      </c>
      <c r="N1874" s="16" t="str">
        <f>IFERROR(__xludf.DUMMYFUNCTION("""COMPUTED_VALUE"""),"DS. TELUK KAPUAS")</f>
        <v>DS. TELUK KAPUAS</v>
      </c>
      <c r="O1874" s="16" t="str">
        <f>IFERROR(__xludf.DUMMYFUNCTION("""COMPUTED_VALUE"""),"KEC. SUNGAI RAYA")</f>
        <v>KEC. SUNGAI RAYA</v>
      </c>
      <c r="P1874" s="16" t="str">
        <f>IFERROR(__xludf.DUMMYFUNCTION("""COMPUTED_VALUE"""),"KAB. KUBU RAYA")</f>
        <v>KAB. KUBU RAYA</v>
      </c>
      <c r="Q1874" s="16" t="str">
        <f>IFERROR(__xludf.DUMMYFUNCTION("""COMPUTED_VALUE"""),"KALIMANTAN BARAT")</f>
        <v>KALIMANTAN BARAT</v>
      </c>
      <c r="R1874" s="19" t="str">
        <f>IFERROR(__xludf.DUMMYFUNCTION("""COMPUTED_VALUE"""),"ISLAM")</f>
        <v>ISLAM</v>
      </c>
      <c r="S1874" s="35" t="str">
        <f>IFERROR(__xludf.DUMMYFUNCTION("""COMPUTED_VALUE"""),"RUMAH TANGGA")</f>
        <v>RUMAH TANGGA</v>
      </c>
      <c r="T1874" s="16" t="str">
        <f>IFERROR(__xludf.DUMMYFUNCTION("""COMPUTED_VALUE"""),"PUNGGUNG")</f>
        <v>PUNGGUNG</v>
      </c>
      <c r="U1874" s="16" t="str">
        <f>IFERROR(__xludf.DUMMYFUNCTION("""COMPUTED_VALUE"""),"MASAK")</f>
        <v>MASAK</v>
      </c>
      <c r="V1874" s="11" t="str">
        <f>IFERROR(__xludf.DUMMYFUNCTION("""COMPUTED_VALUE"""),"85332340026")</f>
        <v>85332340026</v>
      </c>
      <c r="W1874" s="15"/>
    </row>
    <row r="1875">
      <c r="A1875" s="45"/>
      <c r="B1875" s="9">
        <f>IFERROR(__xludf.DUMMYFUNCTION("""COMPUTED_VALUE"""),45597.75575314814)</f>
        <v>45597.75575</v>
      </c>
      <c r="C1875" s="9"/>
      <c r="D1875" s="10">
        <f>IFERROR(__xludf.DUMMYFUNCTION("""COMPUTED_VALUE"""),45575.0)</f>
        <v>45575</v>
      </c>
      <c r="E1875" s="10" t="str">
        <f>IFERROR(__xludf.DUMMYFUNCTION("""COMPUTED_VALUE"""),"10Okt")</f>
        <v>10Okt</v>
      </c>
      <c r="F1875" s="10" t="str">
        <f>IFERROR(__xludf.DUMMYFUNCTION("""COMPUTED_VALUE"""),"2024")</f>
        <v>2024</v>
      </c>
      <c r="G1875" s="36" t="str">
        <f>IFERROR(__xludf.DUMMYFUNCTION("""COMPUTED_VALUE"""),"YADI")</f>
        <v>YADI</v>
      </c>
      <c r="H1875" s="17" t="str">
        <f>IFERROR(__xludf.DUMMYFUNCTION("""COMPUTED_VALUE"""),"Y7824109596")</f>
        <v>Y7824109596</v>
      </c>
      <c r="I1875" s="17">
        <f>IFERROR(__xludf.DUMMYFUNCTION("""COMPUTED_VALUE"""),47.0)</f>
        <v>47</v>
      </c>
      <c r="J1875" s="17" t="str">
        <f>IFERROR(__xludf.DUMMYFUNCTION("""COMPUTED_VALUE"""),"&gt; 44 tahun")</f>
        <v>&gt; 44 tahun</v>
      </c>
      <c r="K1875" s="19">
        <f>IFERROR(__xludf.DUMMYFUNCTION("""COMPUTED_VALUE"""),28740.0)</f>
        <v>28740</v>
      </c>
      <c r="L1875" s="19" t="str">
        <f>IFERROR(__xludf.DUMMYFUNCTION("""COMPUTED_VALUE"""),"LAKI LAKI")</f>
        <v>LAKI LAKI</v>
      </c>
      <c r="M1875" s="35" t="str">
        <f>IFERROR(__xludf.DUMMYFUNCTION("""COMPUTED_VALUE"""),"JALAN URAI BAWADI GANG SUDITRISNO NOMOR 25")</f>
        <v>JALAN URAI BAWADI GANG SUDITRISNO NOMOR 25</v>
      </c>
      <c r="N1875" s="16" t="str">
        <f>IFERROR(__xludf.DUMMYFUNCTION("""COMPUTED_VALUE"""),"KEL. SUNGAI BANGKONG")</f>
        <v>KEL. SUNGAI BANGKONG</v>
      </c>
      <c r="O1875" s="16" t="str">
        <f>IFERROR(__xludf.DUMMYFUNCTION("""COMPUTED_VALUE"""),"KEC. PONTIANAK KOTA")</f>
        <v>KEC. PONTIANAK KOTA</v>
      </c>
      <c r="P1875" s="16" t="str">
        <f>IFERROR(__xludf.DUMMYFUNCTION("""COMPUTED_VALUE"""),"KOTA PONTIANAK")</f>
        <v>KOTA PONTIANAK</v>
      </c>
      <c r="Q1875" s="16" t="str">
        <f>IFERROR(__xludf.DUMMYFUNCTION("""COMPUTED_VALUE"""),"KALIMANTAN BARAT")</f>
        <v>KALIMANTAN BARAT</v>
      </c>
      <c r="R1875" s="19" t="str">
        <f>IFERROR(__xludf.DUMMYFUNCTION("""COMPUTED_VALUE"""),"ISLAM")</f>
        <v>ISLAM</v>
      </c>
      <c r="S1875" s="35" t="str">
        <f>IFERROR(__xludf.DUMMYFUNCTION("""COMPUTED_VALUE"""),"ASN")</f>
        <v>ASN</v>
      </c>
      <c r="T1875" s="16" t="str">
        <f>IFERROR(__xludf.DUMMYFUNCTION("""COMPUTED_VALUE"""),"PUNGGUNG")</f>
        <v>PUNGGUNG</v>
      </c>
      <c r="U1875" s="16" t="str">
        <f>IFERROR(__xludf.DUMMYFUNCTION("""COMPUTED_VALUE"""),"OLAHRAGA")</f>
        <v>OLAHRAGA</v>
      </c>
      <c r="V1875" s="11" t="str">
        <f>IFERROR(__xludf.DUMMYFUNCTION("""COMPUTED_VALUE"""),"85229699596")</f>
        <v>85229699596</v>
      </c>
      <c r="W1875" s="15"/>
    </row>
    <row r="1876">
      <c r="A1876" s="45"/>
      <c r="B1876" s="9">
        <f>IFERROR(__xludf.DUMMYFUNCTION("""COMPUTED_VALUE"""),45598.68854278935)</f>
        <v>45598.68854</v>
      </c>
      <c r="C1876" s="9"/>
      <c r="D1876" s="10">
        <f>IFERROR(__xludf.DUMMYFUNCTION("""COMPUTED_VALUE"""),45575.0)</f>
        <v>45575</v>
      </c>
      <c r="E1876" s="10" t="str">
        <f>IFERROR(__xludf.DUMMYFUNCTION("""COMPUTED_VALUE"""),"10Okt")</f>
        <v>10Okt</v>
      </c>
      <c r="F1876" s="10" t="str">
        <f>IFERROR(__xludf.DUMMYFUNCTION("""COMPUTED_VALUE"""),"2024")</f>
        <v>2024</v>
      </c>
      <c r="G1876" s="36" t="str">
        <f>IFERROR(__xludf.DUMMYFUNCTION("""COMPUTED_VALUE"""),"HAIKAL")</f>
        <v>HAIKAL</v>
      </c>
      <c r="H1876" s="17" t="str">
        <f>IFERROR(__xludf.DUMMYFUNCTION("""COMPUTED_VALUE"""),"H0024101188")</f>
        <v>H0024101188</v>
      </c>
      <c r="I1876" s="17">
        <f>IFERROR(__xludf.DUMMYFUNCTION("""COMPUTED_VALUE"""),25.0)</f>
        <v>25</v>
      </c>
      <c r="J1876" s="17" t="str">
        <f>IFERROR(__xludf.DUMMYFUNCTION("""COMPUTED_VALUE"""),"25-34 tahun")</f>
        <v>25-34 tahun</v>
      </c>
      <c r="K1876" s="19">
        <f>IFERROR(__xludf.DUMMYFUNCTION("""COMPUTED_VALUE"""),36851.0)</f>
        <v>36851</v>
      </c>
      <c r="L1876" s="19" t="str">
        <f>IFERROR(__xludf.DUMMYFUNCTION("""COMPUTED_VALUE"""),"LAKI LAKI")</f>
        <v>LAKI LAKI</v>
      </c>
      <c r="M1876" s="35" t="str">
        <f>IFERROR(__xludf.DUMMYFUNCTION("""COMPUTED_VALUE"""),"JALAN PARIT HUSIEN GANG SELASIH NOMOR 14")</f>
        <v>JALAN PARIT HUSIEN GANG SELASIH NOMOR 14</v>
      </c>
      <c r="N1876" s="16" t="str">
        <f>IFERROR(__xludf.DUMMYFUNCTION("""COMPUTED_VALUE"""),"KEL.BANSIR DARAT")</f>
        <v>KEL.BANSIR DARAT</v>
      </c>
      <c r="O1876" s="16" t="str">
        <f>IFERROR(__xludf.DUMMYFUNCTION("""COMPUTED_VALUE"""),"KEC. PONTIANAK TENGGARA")</f>
        <v>KEC. PONTIANAK TENGGARA</v>
      </c>
      <c r="P1876" s="16" t="str">
        <f>IFERROR(__xludf.DUMMYFUNCTION("""COMPUTED_VALUE"""),"KOTA PONTIANAK")</f>
        <v>KOTA PONTIANAK</v>
      </c>
      <c r="Q1876" s="16" t="str">
        <f>IFERROR(__xludf.DUMMYFUNCTION("""COMPUTED_VALUE"""),"KALIMANTAN BARAT")</f>
        <v>KALIMANTAN BARAT</v>
      </c>
      <c r="R1876" s="19" t="str">
        <f>IFERROR(__xludf.DUMMYFUNCTION("""COMPUTED_VALUE"""),"ISLAM")</f>
        <v>ISLAM</v>
      </c>
      <c r="S1876" s="35" t="str">
        <f>IFERROR(__xludf.DUMMYFUNCTION("""COMPUTED_VALUE"""),"PELAJAR/MAHASISWA")</f>
        <v>PELAJAR/MAHASISWA</v>
      </c>
      <c r="T1876" s="16" t="str">
        <f>IFERROR(__xludf.DUMMYFUNCTION("""COMPUTED_VALUE"""),"TANGAN")</f>
        <v>TANGAN</v>
      </c>
      <c r="U1876" s="16"/>
      <c r="V1876" s="11" t="str">
        <f>IFERROR(__xludf.DUMMYFUNCTION("""COMPUTED_VALUE"""),"81345481188")</f>
        <v>81345481188</v>
      </c>
      <c r="W1876" s="15"/>
    </row>
    <row r="1877">
      <c r="A1877" s="45"/>
      <c r="B1877" s="9">
        <f>IFERROR(__xludf.DUMMYFUNCTION("""COMPUTED_VALUE"""),45598.72990885416)</f>
        <v>45598.72991</v>
      </c>
      <c r="C1877" s="9"/>
      <c r="D1877" s="10">
        <f>IFERROR(__xludf.DUMMYFUNCTION("""COMPUTED_VALUE"""),45575.0)</f>
        <v>45575</v>
      </c>
      <c r="E1877" s="10" t="str">
        <f>IFERROR(__xludf.DUMMYFUNCTION("""COMPUTED_VALUE"""),"10Okt")</f>
        <v>10Okt</v>
      </c>
      <c r="F1877" s="10" t="str">
        <f>IFERROR(__xludf.DUMMYFUNCTION("""COMPUTED_VALUE"""),"2024")</f>
        <v>2024</v>
      </c>
      <c r="G1877" s="36" t="str">
        <f>IFERROR(__xludf.DUMMYFUNCTION("""COMPUTED_VALUE"""),"IDA FARIDA")</f>
        <v>IDA FARIDA</v>
      </c>
      <c r="H1877" s="17" t="str">
        <f>IFERROR(__xludf.DUMMYFUNCTION("""COMPUTED_VALUE"""),"I8024103828")</f>
        <v>I8024103828</v>
      </c>
      <c r="I1877" s="17">
        <f>IFERROR(__xludf.DUMMYFUNCTION("""COMPUTED_VALUE"""),46.0)</f>
        <v>46</v>
      </c>
      <c r="J1877" s="17" t="str">
        <f>IFERROR(__xludf.DUMMYFUNCTION("""COMPUTED_VALUE"""),"&gt; 44 tahun")</f>
        <v>&gt; 44 tahun</v>
      </c>
      <c r="K1877" s="19">
        <f>IFERROR(__xludf.DUMMYFUNCTION("""COMPUTED_VALUE"""),29268.0)</f>
        <v>29268</v>
      </c>
      <c r="L1877" s="19" t="str">
        <f>IFERROR(__xludf.DUMMYFUNCTION("""COMPUTED_VALUE"""),"PEREMPUAN")</f>
        <v>PEREMPUAN</v>
      </c>
      <c r="M1877" s="35" t="str">
        <f>IFERROR(__xludf.DUMMYFUNCTION("""COMPUTED_VALUE"""),"JALAN HARAPAN JAYA GANG INTAN NOMOR 23")</f>
        <v>JALAN HARAPAN JAYA GANG INTAN NOMOR 23</v>
      </c>
      <c r="N1877" s="16" t="str">
        <f>IFERROR(__xludf.DUMMYFUNCTION("""COMPUTED_VALUE"""),"KEL. KOTA BARU")</f>
        <v>KEL. KOTA BARU</v>
      </c>
      <c r="O1877" s="16" t="str">
        <f>IFERROR(__xludf.DUMMYFUNCTION("""COMPUTED_VALUE"""),"KEC. PONTIANAK SELATAN")</f>
        <v>KEC. PONTIANAK SELATAN</v>
      </c>
      <c r="P1877" s="16" t="str">
        <f>IFERROR(__xludf.DUMMYFUNCTION("""COMPUTED_VALUE"""),"KOTA PONTIANAK")</f>
        <v>KOTA PONTIANAK</v>
      </c>
      <c r="Q1877" s="16" t="str">
        <f>IFERROR(__xludf.DUMMYFUNCTION("""COMPUTED_VALUE"""),"KALIMANTAN BARAT")</f>
        <v>KALIMANTAN BARAT</v>
      </c>
      <c r="R1877" s="19" t="str">
        <f>IFERROR(__xludf.DUMMYFUNCTION("""COMPUTED_VALUE"""),"ISLAM")</f>
        <v>ISLAM</v>
      </c>
      <c r="S1877" s="35" t="str">
        <f>IFERROR(__xludf.DUMMYFUNCTION("""COMPUTED_VALUE"""),"RUMAH TANGGA")</f>
        <v>RUMAH TANGGA</v>
      </c>
      <c r="T1877" s="16" t="str">
        <f>IFERROR(__xludf.DUMMYFUNCTION("""COMPUTED_VALUE"""),"TUMIT")</f>
        <v>TUMIT</v>
      </c>
      <c r="U1877" s="16"/>
      <c r="V1877" s="11" t="str">
        <f>IFERROR(__xludf.DUMMYFUNCTION("""COMPUTED_VALUE"""),"82154403828")</f>
        <v>82154403828</v>
      </c>
      <c r="W1877" s="15"/>
    </row>
    <row r="1878">
      <c r="A1878" s="45"/>
      <c r="B1878" s="9">
        <f>IFERROR(__xludf.DUMMYFUNCTION("""COMPUTED_VALUE"""),45599.491234444446)</f>
        <v>45599.49123</v>
      </c>
      <c r="C1878" s="9"/>
      <c r="D1878" s="10">
        <f>IFERROR(__xludf.DUMMYFUNCTION("""COMPUTED_VALUE"""),45605.0)</f>
        <v>45605</v>
      </c>
      <c r="E1878" s="10" t="str">
        <f>IFERROR(__xludf.DUMMYFUNCTION("""COMPUTED_VALUE"""),"11Nov")</f>
        <v>11Nov</v>
      </c>
      <c r="F1878" s="10" t="str">
        <f>IFERROR(__xludf.DUMMYFUNCTION("""COMPUTED_VALUE"""),"2024")</f>
        <v>2024</v>
      </c>
      <c r="G1878" s="36" t="str">
        <f>IFERROR(__xludf.DUMMYFUNCTION("""COMPUTED_VALUE"""),"BAGAS BIMANTORO HARYONO")</f>
        <v>BAGAS BIMANTORO HARYONO</v>
      </c>
      <c r="H1878" s="17" t="str">
        <f>IFERROR(__xludf.DUMMYFUNCTION("""COMPUTED_VALUE"""),"B0924114293")</f>
        <v>B0924114293</v>
      </c>
      <c r="I1878" s="17">
        <f>IFERROR(__xludf.DUMMYFUNCTION("""COMPUTED_VALUE"""),16.0)</f>
        <v>16</v>
      </c>
      <c r="J1878" s="17" t="str">
        <f>IFERROR(__xludf.DUMMYFUNCTION("""COMPUTED_VALUE"""),"&lt; 18 tahun")</f>
        <v>&lt; 18 tahun</v>
      </c>
      <c r="K1878" s="19">
        <f>IFERROR(__xludf.DUMMYFUNCTION("""COMPUTED_VALUE"""),40045.0)</f>
        <v>40045</v>
      </c>
      <c r="L1878" s="19" t="str">
        <f>IFERROR(__xludf.DUMMYFUNCTION("""COMPUTED_VALUE"""),"LAKI-LAKI")</f>
        <v>LAKI-LAKI</v>
      </c>
      <c r="M1878" s="35" t="str">
        <f>IFERROR(__xludf.DUMMYFUNCTION("""COMPUTED_VALUE"""),"JLN SEJARAH ,GG,GUNUNG PUTING 2")</f>
        <v>JLN SEJARAH ,GG,GUNUNG PUTING 2</v>
      </c>
      <c r="N1878" s="16" t="str">
        <f>IFERROR(__xludf.DUMMYFUNCTION("""COMPUTED_VALUE"""),"KEL. SUNGAI JAWI")</f>
        <v>KEL. SUNGAI JAWI</v>
      </c>
      <c r="O1878" s="16" t="str">
        <f>IFERROR(__xludf.DUMMYFUNCTION("""COMPUTED_VALUE"""),"KEC. PONTIANAK KOTA")</f>
        <v>KEC. PONTIANAK KOTA</v>
      </c>
      <c r="P1878" s="16" t="str">
        <f>IFERROR(__xludf.DUMMYFUNCTION("""COMPUTED_VALUE"""),"KOTA PONTIANAK")</f>
        <v>KOTA PONTIANAK</v>
      </c>
      <c r="Q1878" s="16" t="str">
        <f>IFERROR(__xludf.DUMMYFUNCTION("""COMPUTED_VALUE"""),"KALIMANTAN BARAT")</f>
        <v>KALIMANTAN BARAT</v>
      </c>
      <c r="R1878" s="19" t="str">
        <f>IFERROR(__xludf.DUMMYFUNCTION("""COMPUTED_VALUE"""),"ISLAM")</f>
        <v>ISLAM</v>
      </c>
      <c r="S1878" s="35" t="str">
        <f>IFERROR(__xludf.DUMMYFUNCTION("""COMPUTED_VALUE"""),"PELAJAR/MAHASISWA")</f>
        <v>PELAJAR/MAHASISWA</v>
      </c>
      <c r="T1878" s="16" t="str">
        <f>IFERROR(__xludf.DUMMYFUNCTION("""COMPUTED_VALUE"""),"SAKIT PADA BAHU")</f>
        <v>SAKIT PADA BAHU</v>
      </c>
      <c r="U1878" s="16" t="str">
        <f>IFERROR(__xludf.DUMMYFUNCTION("""COMPUTED_VALUE"""),"OLAHARAGA VOLEYY")</f>
        <v>OLAHARAGA VOLEYY</v>
      </c>
      <c r="V1878" s="11" t="str">
        <f>IFERROR(__xludf.DUMMYFUNCTION("""COMPUTED_VALUE"""),"085820334293")</f>
        <v>085820334293</v>
      </c>
      <c r="W1878" s="15"/>
    </row>
    <row r="1879">
      <c r="A1879" s="45"/>
      <c r="B1879" s="9">
        <f>IFERROR(__xludf.DUMMYFUNCTION("""COMPUTED_VALUE"""),45599.570091435184)</f>
        <v>45599.57009</v>
      </c>
      <c r="C1879" s="9"/>
      <c r="D1879" s="10">
        <f>IFERROR(__xludf.DUMMYFUNCTION("""COMPUTED_VALUE"""),45606.0)</f>
        <v>45606</v>
      </c>
      <c r="E1879" s="10" t="str">
        <f>IFERROR(__xludf.DUMMYFUNCTION("""COMPUTED_VALUE"""),"11Nov")</f>
        <v>11Nov</v>
      </c>
      <c r="F1879" s="10" t="str">
        <f>IFERROR(__xludf.DUMMYFUNCTION("""COMPUTED_VALUE"""),"2024")</f>
        <v>2024</v>
      </c>
      <c r="G1879" s="36" t="str">
        <f>IFERROR(__xludf.DUMMYFUNCTION("""COMPUTED_VALUE"""),"FAHRURRAZI")</f>
        <v>FAHRURRAZI</v>
      </c>
      <c r="H1879" s="17" t="str">
        <f>IFERROR(__xludf.DUMMYFUNCTION("""COMPUTED_VALUE"""),"F8624117888")</f>
        <v>F8624117888</v>
      </c>
      <c r="I1879" s="17">
        <f>IFERROR(__xludf.DUMMYFUNCTION("""COMPUTED_VALUE"""),39.0)</f>
        <v>39</v>
      </c>
      <c r="J1879" s="17" t="str">
        <f>IFERROR(__xludf.DUMMYFUNCTION("""COMPUTED_VALUE"""),"35-44 tahun")</f>
        <v>35-44 tahun</v>
      </c>
      <c r="K1879" s="19">
        <f>IFERROR(__xludf.DUMMYFUNCTION("""COMPUTED_VALUE"""),31701.0)</f>
        <v>31701</v>
      </c>
      <c r="L1879" s="19" t="str">
        <f>IFERROR(__xludf.DUMMYFUNCTION("""COMPUTED_VALUE"""),"LAKI-LAKI")</f>
        <v>LAKI-LAKI</v>
      </c>
      <c r="M1879" s="35" t="str">
        <f>IFERROR(__xludf.DUMMYFUNCTION("""COMPUTED_VALUE"""),"JLN HUSIN HAMZAH KOMP.MITRA MAS 1 NO.B39")</f>
        <v>JLN HUSIN HAMZAH KOMP.MITRA MAS 1 NO.B39</v>
      </c>
      <c r="N1879" s="16" t="str">
        <f>IFERROR(__xludf.DUMMYFUNCTION("""COMPUTED_VALUE"""),"KEL. PAL LIMA")</f>
        <v>KEL. PAL LIMA</v>
      </c>
      <c r="O1879" s="16" t="str">
        <f>IFERROR(__xludf.DUMMYFUNCTION("""COMPUTED_VALUE"""),"KEC. PONTIANAK BARAT")</f>
        <v>KEC. PONTIANAK BARAT</v>
      </c>
      <c r="P1879" s="16" t="str">
        <f>IFERROR(__xludf.DUMMYFUNCTION("""COMPUTED_VALUE"""),"KOTA PONTIANAK")</f>
        <v>KOTA PONTIANAK</v>
      </c>
      <c r="Q1879" s="16" t="str">
        <f>IFERROR(__xludf.DUMMYFUNCTION("""COMPUTED_VALUE"""),"KALIMANTAN BARAT")</f>
        <v>KALIMANTAN BARAT</v>
      </c>
      <c r="R1879" s="19" t="str">
        <f>IFERROR(__xludf.DUMMYFUNCTION("""COMPUTED_VALUE"""),"ISLAM")</f>
        <v>ISLAM</v>
      </c>
      <c r="S1879" s="16" t="str">
        <f>IFERROR(__xludf.DUMMYFUNCTION("""COMPUTED_VALUE"""),"BUMD")</f>
        <v>BUMD</v>
      </c>
      <c r="T1879" s="16" t="str">
        <f>IFERROR(__xludf.DUMMYFUNCTION("""COMPUTED_VALUE"""),"Habis mn badminton tulang baru tangan kiri turun")</f>
        <v>Habis mn badminton tulang baru tangan kiri turun</v>
      </c>
      <c r="U1879" s="16" t="str">
        <f>IFERROR(__xludf.DUMMYFUNCTION("""COMPUTED_VALUE"""),"Badminton")</f>
        <v>Badminton</v>
      </c>
      <c r="V1879" s="11" t="str">
        <f>IFERROR(__xludf.DUMMYFUNCTION("""COMPUTED_VALUE"""),"08996667888")</f>
        <v>08996667888</v>
      </c>
      <c r="W1879" s="15"/>
    </row>
    <row r="1880">
      <c r="A1880" s="45"/>
      <c r="B1880" s="9">
        <f>IFERROR(__xludf.DUMMYFUNCTION("""COMPUTED_VALUE"""),45599.69890761574)</f>
        <v>45599.69891</v>
      </c>
      <c r="C1880" s="9"/>
      <c r="D1880" s="10">
        <f>IFERROR(__xludf.DUMMYFUNCTION("""COMPUTED_VALUE"""),45608.0)</f>
        <v>45608</v>
      </c>
      <c r="E1880" s="10" t="str">
        <f>IFERROR(__xludf.DUMMYFUNCTION("""COMPUTED_VALUE"""),"11Nov")</f>
        <v>11Nov</v>
      </c>
      <c r="F1880" s="10" t="str">
        <f>IFERROR(__xludf.DUMMYFUNCTION("""COMPUTED_VALUE"""),"2024")</f>
        <v>2024</v>
      </c>
      <c r="G1880" s="36" t="str">
        <f>IFERROR(__xludf.DUMMYFUNCTION("""COMPUTED_VALUE"""),"CAHAYA RAMADANI")</f>
        <v>CAHAYA RAMADANI</v>
      </c>
      <c r="H1880" s="17" t="str">
        <f>IFERROR(__xludf.DUMMYFUNCTION("""COMPUTED_VALUE"""),"C1024113135")</f>
        <v>C1024113135</v>
      </c>
      <c r="I1880" s="17">
        <f>IFERROR(__xludf.DUMMYFUNCTION("""COMPUTED_VALUE"""),15.0)</f>
        <v>15</v>
      </c>
      <c r="J1880" s="17" t="str">
        <f>IFERROR(__xludf.DUMMYFUNCTION("""COMPUTED_VALUE"""),"&lt; 18 tahun")</f>
        <v>&lt; 18 tahun</v>
      </c>
      <c r="K1880" s="19">
        <f>IFERROR(__xludf.DUMMYFUNCTION("""COMPUTED_VALUE"""),40412.0)</f>
        <v>40412</v>
      </c>
      <c r="L1880" s="19" t="str">
        <f>IFERROR(__xludf.DUMMYFUNCTION("""COMPUTED_VALUE"""),"PEREMPUAN")</f>
        <v>PEREMPUAN</v>
      </c>
      <c r="M1880" s="35" t="str">
        <f>IFERROR(__xludf.DUMMYFUNCTION("""COMPUTED_VALUE"""),"DUSUN SUTERA A 4 DESA PADU BANJAR KABUPATEN KAYONG UTARA")</f>
        <v>DUSUN SUTERA A 4 DESA PADU BANJAR KABUPATEN KAYONG UTARA</v>
      </c>
      <c r="N1880" s="16" t="str">
        <f>IFERROR(__xludf.DUMMYFUNCTION("""COMPUTED_VALUE"""),"DS. PADU BANJAR")</f>
        <v>DS. PADU BANJAR</v>
      </c>
      <c r="O1880" s="16" t="str">
        <f>IFERROR(__xludf.DUMMYFUNCTION("""COMPUTED_VALUE"""),"KEC. SIMPANG HILIR")</f>
        <v>KEC. SIMPANG HILIR</v>
      </c>
      <c r="P1880" s="16" t="str">
        <f>IFERROR(__xludf.DUMMYFUNCTION("""COMPUTED_VALUE"""),"KAB. KAYONG UTARA")</f>
        <v>KAB. KAYONG UTARA</v>
      </c>
      <c r="Q1880" s="16" t="str">
        <f>IFERROR(__xludf.DUMMYFUNCTION("""COMPUTED_VALUE"""),"KALIMANTAN BARAT")</f>
        <v>KALIMANTAN BARAT</v>
      </c>
      <c r="R1880" s="19" t="str">
        <f>IFERROR(__xludf.DUMMYFUNCTION("""COMPUTED_VALUE"""),"ISLAM")</f>
        <v>ISLAM</v>
      </c>
      <c r="S1880" s="16" t="str">
        <f>IFERROR(__xludf.DUMMYFUNCTION("""COMPUTED_VALUE"""),"PELAJAR/MAHASISWA")</f>
        <v>PELAJAR/MAHASISWA</v>
      </c>
      <c r="T1880" s="16" t="str">
        <f>IFERROR(__xludf.DUMMYFUNCTION("""COMPUTED_VALUE"""),"Sakit pinggul")</f>
        <v>Sakit pinggul</v>
      </c>
      <c r="U1880" s="16" t="str">
        <f>IFERROR(__xludf.DUMMYFUNCTION("""COMPUTED_VALUE"""),"Latihan lari/atletik")</f>
        <v>Latihan lari/atletik</v>
      </c>
      <c r="V1880" s="11" t="str">
        <f>IFERROR(__xludf.DUMMYFUNCTION("""COMPUTED_VALUE"""),"085787333135")</f>
        <v>085787333135</v>
      </c>
      <c r="W1880" s="15"/>
    </row>
    <row r="1881">
      <c r="A1881" s="45"/>
      <c r="B1881" s="9">
        <f>IFERROR(__xludf.DUMMYFUNCTION("""COMPUTED_VALUE"""),45600.4586852662)</f>
        <v>45600.45869</v>
      </c>
      <c r="C1881" s="9"/>
      <c r="D1881" s="10">
        <f>IFERROR(__xludf.DUMMYFUNCTION("""COMPUTED_VALUE"""),45608.0)</f>
        <v>45608</v>
      </c>
      <c r="E1881" s="10" t="str">
        <f>IFERROR(__xludf.DUMMYFUNCTION("""COMPUTED_VALUE"""),"11Nov")</f>
        <v>11Nov</v>
      </c>
      <c r="F1881" s="10" t="str">
        <f>IFERROR(__xludf.DUMMYFUNCTION("""COMPUTED_VALUE"""),"2024")</f>
        <v>2024</v>
      </c>
      <c r="G1881" s="36" t="str">
        <f>IFERROR(__xludf.DUMMYFUNCTION("""COMPUTED_VALUE"""),"TONI")</f>
        <v>TONI</v>
      </c>
      <c r="H1881" s="17" t="str">
        <f>IFERROR(__xludf.DUMMYFUNCTION("""COMPUTED_VALUE"""),"T9424113898")</f>
        <v>T9424113898</v>
      </c>
      <c r="I1881" s="17">
        <f>IFERROR(__xludf.DUMMYFUNCTION("""COMPUTED_VALUE"""),31.0)</f>
        <v>31</v>
      </c>
      <c r="J1881" s="17" t="str">
        <f>IFERROR(__xludf.DUMMYFUNCTION("""COMPUTED_VALUE"""),"25-34 tahun")</f>
        <v>25-34 tahun</v>
      </c>
      <c r="K1881" s="19">
        <f>IFERROR(__xludf.DUMMYFUNCTION("""COMPUTED_VALUE"""),34628.0)</f>
        <v>34628</v>
      </c>
      <c r="L1881" s="19" t="str">
        <f>IFERROR(__xludf.DUMMYFUNCTION("""COMPUTED_VALUE"""),"LAKI-LAKI")</f>
        <v>LAKI-LAKI</v>
      </c>
      <c r="M1881" s="35" t="str">
        <f>IFERROR(__xludf.DUMMYFUNCTION("""COMPUTED_VALUE"""),"JALAN PARIT HAJI HUSIEN II KOMPLEK BALIMAS NOMOR 1")</f>
        <v>JALAN PARIT HAJI HUSIEN II KOMPLEK BALIMAS NOMOR 1</v>
      </c>
      <c r="N1881" s="16" t="str">
        <f>IFERROR(__xludf.DUMMYFUNCTION("""COMPUTED_VALUE"""),"KEL. BANGKA BELITUNG DARAT")</f>
        <v>KEL. BANGKA BELITUNG DARAT</v>
      </c>
      <c r="O1881" s="16" t="str">
        <f>IFERROR(__xludf.DUMMYFUNCTION("""COMPUTED_VALUE"""),"KEC. PONTIANAK TENGGARA")</f>
        <v>KEC. PONTIANAK TENGGARA</v>
      </c>
      <c r="P1881" s="16" t="str">
        <f>IFERROR(__xludf.DUMMYFUNCTION("""COMPUTED_VALUE"""),"KOTA PONTIANAK")</f>
        <v>KOTA PONTIANAK</v>
      </c>
      <c r="Q1881" s="16" t="str">
        <f>IFERROR(__xludf.DUMMYFUNCTION("""COMPUTED_VALUE"""),"KALIMANTAN BARAT")</f>
        <v>KALIMANTAN BARAT</v>
      </c>
      <c r="R1881" s="19" t="str">
        <f>IFERROR(__xludf.DUMMYFUNCTION("""COMPUTED_VALUE"""),"ISLAM")</f>
        <v>ISLAM</v>
      </c>
      <c r="S1881" s="16" t="str">
        <f>IFERROR(__xludf.DUMMYFUNCTION("""COMPUTED_VALUE"""),"SWASTA")</f>
        <v>SWASTA</v>
      </c>
      <c r="T1881" s="16" t="str">
        <f>IFERROR(__xludf.DUMMYFUNCTION("""COMPUTED_VALUE"""),"PINGGANG")</f>
        <v>PINGGANG</v>
      </c>
      <c r="U1881" s="16"/>
      <c r="V1881" s="11" t="str">
        <f>IFERROR(__xludf.DUMMYFUNCTION("""COMPUTED_VALUE"""),"82217713898")</f>
        <v>82217713898</v>
      </c>
      <c r="W1881" s="15"/>
    </row>
    <row r="1882">
      <c r="A1882" s="45"/>
      <c r="B1882" s="9">
        <f>IFERROR(__xludf.DUMMYFUNCTION("""COMPUTED_VALUE"""),45599.97010574074)</f>
        <v>45599.97011</v>
      </c>
      <c r="C1882" s="9"/>
      <c r="D1882" s="10">
        <f>IFERROR(__xludf.DUMMYFUNCTION("""COMPUTED_VALUE"""),45608.0)</f>
        <v>45608</v>
      </c>
      <c r="E1882" s="10" t="str">
        <f>IFERROR(__xludf.DUMMYFUNCTION("""COMPUTED_VALUE"""),"11Nov")</f>
        <v>11Nov</v>
      </c>
      <c r="F1882" s="10" t="str">
        <f>IFERROR(__xludf.DUMMYFUNCTION("""COMPUTED_VALUE"""),"2024")</f>
        <v>2024</v>
      </c>
      <c r="G1882" s="36" t="str">
        <f>IFERROR(__xludf.DUMMYFUNCTION("""COMPUTED_VALUE"""),"SUSI")</f>
        <v>SUSI</v>
      </c>
      <c r="H1882" s="17" t="str">
        <f>IFERROR(__xludf.DUMMYFUNCTION("""COMPUTED_VALUE"""),"S9124111289")</f>
        <v>S9124111289</v>
      </c>
      <c r="I1882" s="17">
        <f>IFERROR(__xludf.DUMMYFUNCTION("""COMPUTED_VALUE"""),35.0)</f>
        <v>35</v>
      </c>
      <c r="J1882" s="17" t="str">
        <f>IFERROR(__xludf.DUMMYFUNCTION("""COMPUTED_VALUE"""),"35-44 tahun")</f>
        <v>35-44 tahun</v>
      </c>
      <c r="K1882" s="19">
        <f>IFERROR(__xludf.DUMMYFUNCTION("""COMPUTED_VALUE"""),33357.0)</f>
        <v>33357</v>
      </c>
      <c r="L1882" s="19" t="str">
        <f>IFERROR(__xludf.DUMMYFUNCTION("""COMPUTED_VALUE"""),"PEREMPUAN")</f>
        <v>PEREMPUAN</v>
      </c>
      <c r="M1882" s="35" t="str">
        <f>IFERROR(__xludf.DUMMYFUNCTION("""COMPUTED_VALUE"""),"JALAN PARIT MAKMUR GANG BAIDURI I")</f>
        <v>JALAN PARIT MAKMUR GANG BAIDURI I</v>
      </c>
      <c r="N1882" s="16" t="str">
        <f>IFERROR(__xludf.DUMMYFUNCTION("""COMPUTED_VALUE"""),"KEL. BATU MAS")</f>
        <v>KEL. BATU MAS</v>
      </c>
      <c r="O1882" s="16" t="str">
        <f>IFERROR(__xludf.DUMMYFUNCTION("""COMPUTED_VALUE"""),"KEC. KAYONG UTARA")</f>
        <v>KEC. KAYONG UTARA</v>
      </c>
      <c r="P1882" s="16" t="str">
        <f>IFERROR(__xludf.DUMMYFUNCTION("""COMPUTED_VALUE"""),"KAB. KETAPANG")</f>
        <v>KAB. KETAPANG</v>
      </c>
      <c r="Q1882" s="16" t="str">
        <f>IFERROR(__xludf.DUMMYFUNCTION("""COMPUTED_VALUE"""),"KALIMANTAN BARAT")</f>
        <v>KALIMANTAN BARAT</v>
      </c>
      <c r="R1882" s="19" t="str">
        <f>IFERROR(__xludf.DUMMYFUNCTION("""COMPUTED_VALUE"""),"BUDDHA")</f>
        <v>BUDDHA</v>
      </c>
      <c r="S1882" s="16" t="str">
        <f>IFERROR(__xludf.DUMMYFUNCTION("""COMPUTED_VALUE"""),"SWASTA")</f>
        <v>SWASTA</v>
      </c>
      <c r="T1882" s="16" t="str">
        <f>IFERROR(__xludf.DUMMYFUNCTION("""COMPUTED_VALUE"""),"ENGKEL")</f>
        <v>ENGKEL</v>
      </c>
      <c r="U1882" s="16" t="str">
        <f>IFERROR(__xludf.DUMMYFUNCTION("""COMPUTED_VALUE"""),"BEKERJA")</f>
        <v>BEKERJA</v>
      </c>
      <c r="V1882" s="11" t="str">
        <f>IFERROR(__xludf.DUMMYFUNCTION("""COMPUTED_VALUE"""),"085157711289")</f>
        <v>085157711289</v>
      </c>
      <c r="W1882" s="15"/>
    </row>
    <row r="1883">
      <c r="A1883" s="47"/>
      <c r="B1883" s="9">
        <f>IFERROR(__xludf.DUMMYFUNCTION("""COMPUTED_VALUE"""),45600.56473576389)</f>
        <v>45600.56474</v>
      </c>
      <c r="C1883" s="9"/>
      <c r="D1883" s="10">
        <f>IFERROR(__xludf.DUMMYFUNCTION("""COMPUTED_VALUE"""),45608.0)</f>
        <v>45608</v>
      </c>
      <c r="E1883" s="10" t="str">
        <f>IFERROR(__xludf.DUMMYFUNCTION("""COMPUTED_VALUE"""),"11Nov")</f>
        <v>11Nov</v>
      </c>
      <c r="F1883" s="10" t="str">
        <f>IFERROR(__xludf.DUMMYFUNCTION("""COMPUTED_VALUE"""),"2024")</f>
        <v>2024</v>
      </c>
      <c r="G1883" s="36" t="str">
        <f>IFERROR(__xludf.DUMMYFUNCTION("""COMPUTED_VALUE"""),"CITRA YUNITA")</f>
        <v>CITRA YUNITA</v>
      </c>
      <c r="H1883" s="17" t="str">
        <f>IFERROR(__xludf.DUMMYFUNCTION("""COMPUTED_VALUE"""),"C8324119865")</f>
        <v>C8324119865</v>
      </c>
      <c r="I1883" s="17">
        <f>IFERROR(__xludf.DUMMYFUNCTION("""COMPUTED_VALUE"""),43.0)</f>
        <v>43</v>
      </c>
      <c r="J1883" s="17" t="str">
        <f>IFERROR(__xludf.DUMMYFUNCTION("""COMPUTED_VALUE"""),"35-44 tahun")</f>
        <v>35-44 tahun</v>
      </c>
      <c r="K1883" s="19">
        <f>IFERROR(__xludf.DUMMYFUNCTION("""COMPUTED_VALUE"""),30384.0)</f>
        <v>30384</v>
      </c>
      <c r="L1883" s="21" t="str">
        <f>IFERROR(__xludf.DUMMYFUNCTION("""COMPUTED_VALUE"""),"PEREMPUAN")</f>
        <v>PEREMPUAN</v>
      </c>
      <c r="M1883" s="35" t="str">
        <f>IFERROR(__xludf.DUMMYFUNCTION("""COMPUTED_VALUE"""),"JALAN DR SUTOMO GANG PAK ABU NO 26")</f>
        <v>JALAN DR SUTOMO GANG PAK ABU NO 26</v>
      </c>
      <c r="N1883" s="16" t="str">
        <f>IFERROR(__xludf.DUMMYFUNCTION("""COMPUTED_VALUE"""),"KEL. SUNGAI BANGKONG")</f>
        <v>KEL. SUNGAI BANGKONG</v>
      </c>
      <c r="O1883" s="16" t="str">
        <f>IFERROR(__xludf.DUMMYFUNCTION("""COMPUTED_VALUE"""),"KEC. PONTIANAK TENGGARA")</f>
        <v>KEC. PONTIANAK TENGGARA</v>
      </c>
      <c r="P1883" s="16" t="str">
        <f>IFERROR(__xludf.DUMMYFUNCTION("""COMPUTED_VALUE"""),"KOTA PONTIANAK")</f>
        <v>KOTA PONTIANAK</v>
      </c>
      <c r="Q1883" s="16" t="str">
        <f>IFERROR(__xludf.DUMMYFUNCTION("""COMPUTED_VALUE"""),"KALIMANTAN BARAT")</f>
        <v>KALIMANTAN BARAT</v>
      </c>
      <c r="R1883" s="21" t="str">
        <f>IFERROR(__xludf.DUMMYFUNCTION("""COMPUTED_VALUE"""),"LAINNYA")</f>
        <v>LAINNYA</v>
      </c>
      <c r="S1883" s="16" t="str">
        <f>IFERROR(__xludf.DUMMYFUNCTION("""COMPUTED_VALUE"""),"FREELANCE")</f>
        <v>FREELANCE</v>
      </c>
      <c r="T1883" s="16" t="str">
        <f>IFERROR(__xludf.DUMMYFUNCTION("""COMPUTED_VALUE"""),"HABIS KECELAKAAN")</f>
        <v>HABIS KECELAKAAN</v>
      </c>
      <c r="U1883" s="16" t="str">
        <f>IFERROR(__xludf.DUMMYFUNCTION("""COMPUTED_VALUE"""),"MENGENDARAI MOTOR")</f>
        <v>MENGENDARAI MOTOR</v>
      </c>
      <c r="V1883" s="14" t="str">
        <f>IFERROR(__xludf.DUMMYFUNCTION("""COMPUTED_VALUE"""),"082152149865")</f>
        <v>082152149865</v>
      </c>
      <c r="W1883" s="15"/>
    </row>
    <row r="1884">
      <c r="A1884" s="45"/>
      <c r="B1884" s="9">
        <f>IFERROR(__xludf.DUMMYFUNCTION("""COMPUTED_VALUE"""),45600.57145743056)</f>
        <v>45600.57146</v>
      </c>
      <c r="C1884" s="9"/>
      <c r="D1884" s="10">
        <f>IFERROR(__xludf.DUMMYFUNCTION("""COMPUTED_VALUE"""),45609.0)</f>
        <v>45609</v>
      </c>
      <c r="E1884" s="10" t="str">
        <f>IFERROR(__xludf.DUMMYFUNCTION("""COMPUTED_VALUE"""),"11Nov")</f>
        <v>11Nov</v>
      </c>
      <c r="F1884" s="10" t="str">
        <f>IFERROR(__xludf.DUMMYFUNCTION("""COMPUTED_VALUE"""),"2024")</f>
        <v>2024</v>
      </c>
      <c r="G1884" s="36" t="str">
        <f>IFERROR(__xludf.DUMMYFUNCTION("""COMPUTED_VALUE"""),"BNICIE LIM")</f>
        <v>BNICIE LIM</v>
      </c>
      <c r="H1884" s="17" t="str">
        <f>IFERROR(__xludf.DUMMYFUNCTION("""COMPUTED_VALUE"""),"B0424117695")</f>
        <v>B0424117695</v>
      </c>
      <c r="I1884" s="17">
        <f>IFERROR(__xludf.DUMMYFUNCTION("""COMPUTED_VALUE"""),21.0)</f>
        <v>21</v>
      </c>
      <c r="J1884" s="17" t="str">
        <f>IFERROR(__xludf.DUMMYFUNCTION("""COMPUTED_VALUE"""),"18-24 tahun")</f>
        <v>18-24 tahun</v>
      </c>
      <c r="K1884" s="19">
        <f>IFERROR(__xludf.DUMMYFUNCTION("""COMPUTED_VALUE"""),38301.0)</f>
        <v>38301</v>
      </c>
      <c r="L1884" s="19" t="str">
        <f>IFERROR(__xludf.DUMMYFUNCTION("""COMPUTED_VALUE"""),"LAKI-LAKI")</f>
        <v>LAKI-LAKI</v>
      </c>
      <c r="M1884" s="35" t="str">
        <f>IFERROR(__xludf.DUMMYFUNCTION("""COMPUTED_VALUE"""),"JALAN MERDEKA GANG BANGAU NO 31 B")</f>
        <v>JALAN MERDEKA GANG BANGAU NO 31 B</v>
      </c>
      <c r="N1884" s="16" t="str">
        <f>IFERROR(__xludf.DUMMYFUNCTION("""COMPUTED_VALUE"""),"KEL. MARIANA")</f>
        <v>KEL. MARIANA</v>
      </c>
      <c r="O1884" s="16" t="str">
        <f>IFERROR(__xludf.DUMMYFUNCTION("""COMPUTED_VALUE"""),"KEC. PONTIANAK KOTA")</f>
        <v>KEC. PONTIANAK KOTA</v>
      </c>
      <c r="P1884" s="16" t="str">
        <f>IFERROR(__xludf.DUMMYFUNCTION("""COMPUTED_VALUE"""),"KOTA PONTIANAK")</f>
        <v>KOTA PONTIANAK</v>
      </c>
      <c r="Q1884" s="16" t="str">
        <f>IFERROR(__xludf.DUMMYFUNCTION("""COMPUTED_VALUE"""),"KALIMANTAN BARAT")</f>
        <v>KALIMANTAN BARAT</v>
      </c>
      <c r="R1884" s="19" t="str">
        <f>IFERROR(__xludf.DUMMYFUNCTION("""COMPUTED_VALUE"""),"BUDDHA")</f>
        <v>BUDDHA</v>
      </c>
      <c r="S1884" s="16" t="str">
        <f>IFERROR(__xludf.DUMMYFUNCTION("""COMPUTED_VALUE"""),"SALES")</f>
        <v>SALES</v>
      </c>
      <c r="T1884" s="16" t="str">
        <f>IFERROR(__xludf.DUMMYFUNCTION("""COMPUTED_VALUE"""),"LUTUT")</f>
        <v>LUTUT</v>
      </c>
      <c r="U1884" s="16" t="str">
        <f>IFERROR(__xludf.DUMMYFUNCTION("""COMPUTED_VALUE"""),"KULIAH DAN BEKERJA")</f>
        <v>KULIAH DAN BEKERJA</v>
      </c>
      <c r="V1884" s="11" t="str">
        <f>IFERROR(__xludf.DUMMYFUNCTION("""COMPUTED_VALUE"""),"082159017695")</f>
        <v>082159017695</v>
      </c>
      <c r="W1884" s="15"/>
    </row>
    <row r="1885">
      <c r="A1885" s="45"/>
      <c r="B1885" s="9">
        <f>IFERROR(__xludf.DUMMYFUNCTION("""COMPUTED_VALUE"""),45601.58481972222)</f>
        <v>45601.58482</v>
      </c>
      <c r="C1885" s="9"/>
      <c r="D1885" s="10">
        <f>IFERROR(__xludf.DUMMYFUNCTION("""COMPUTED_VALUE"""),45609.0)</f>
        <v>45609</v>
      </c>
      <c r="E1885" s="10" t="str">
        <f>IFERROR(__xludf.DUMMYFUNCTION("""COMPUTED_VALUE"""),"11Nov")</f>
        <v>11Nov</v>
      </c>
      <c r="F1885" s="10" t="str">
        <f>IFERROR(__xludf.DUMMYFUNCTION("""COMPUTED_VALUE"""),"2024")</f>
        <v>2024</v>
      </c>
      <c r="G1885" s="35" t="str">
        <f>IFERROR(__xludf.DUMMYFUNCTION("""COMPUTED_VALUE"""),"FERRY PANGKE")</f>
        <v>FERRY PANGKE</v>
      </c>
      <c r="H1885" s="17" t="str">
        <f>IFERROR(__xludf.DUMMYFUNCTION("""COMPUTED_VALUE"""),"F8924116996")</f>
        <v>F8924116996</v>
      </c>
      <c r="I1885" s="17">
        <f>IFERROR(__xludf.DUMMYFUNCTION("""COMPUTED_VALUE"""),37.0)</f>
        <v>37</v>
      </c>
      <c r="J1885" s="17" t="str">
        <f>IFERROR(__xludf.DUMMYFUNCTION("""COMPUTED_VALUE"""),"35-44 tahun")</f>
        <v>35-44 tahun</v>
      </c>
      <c r="K1885" s="19">
        <f>IFERROR(__xludf.DUMMYFUNCTION("""COMPUTED_VALUE"""),32568.0)</f>
        <v>32568</v>
      </c>
      <c r="L1885" s="19" t="str">
        <f>IFERROR(__xludf.DUMMYFUNCTION("""COMPUTED_VALUE"""),"LAKI-LAKI")</f>
        <v>LAKI-LAKI</v>
      </c>
      <c r="M1885" s="35" t="str">
        <f>IFERROR(__xludf.DUMMYFUNCTION("""COMPUTED_VALUE"""),"JALAN PGA")</f>
        <v>JALAN PGA</v>
      </c>
      <c r="N1885" s="16" t="str">
        <f>IFERROR(__xludf.DUMMYFUNCTION("""COMPUTED_VALUE"""),"KEL. SUNGAI BANGKONG")</f>
        <v>KEL. SUNGAI BANGKONG</v>
      </c>
      <c r="O1885" s="16" t="str">
        <f>IFERROR(__xludf.DUMMYFUNCTION("""COMPUTED_VALUE"""),"KEC. PONTIANAK KOTA")</f>
        <v>KEC. PONTIANAK KOTA</v>
      </c>
      <c r="P1885" s="16" t="str">
        <f>IFERROR(__xludf.DUMMYFUNCTION("""COMPUTED_VALUE"""),"KOTA PONTIANAK")</f>
        <v>KOTA PONTIANAK</v>
      </c>
      <c r="Q1885" s="16" t="str">
        <f>IFERROR(__xludf.DUMMYFUNCTION("""COMPUTED_VALUE"""),"KALIMANTAN BARAT")</f>
        <v>KALIMANTAN BARAT</v>
      </c>
      <c r="R1885" s="19" t="str">
        <f>IFERROR(__xludf.DUMMYFUNCTION("""COMPUTED_VALUE"""),"ISLAM")</f>
        <v>ISLAM</v>
      </c>
      <c r="S1885" s="16" t="str">
        <f>IFERROR(__xludf.DUMMYFUNCTION("""COMPUTED_VALUE"""),"SWASTA")</f>
        <v>SWASTA</v>
      </c>
      <c r="T1885" s="16" t="str">
        <f>IFERROR(__xludf.DUMMYFUNCTION("""COMPUTED_VALUE"""),"LUTUT")</f>
        <v>LUTUT</v>
      </c>
      <c r="U1885" s="16" t="str">
        <f>IFERROR(__xludf.DUMMYFUNCTION("""COMPUTED_VALUE"""),"BEKERJA")</f>
        <v>BEKERJA</v>
      </c>
      <c r="V1885" s="11" t="str">
        <f>IFERROR(__xludf.DUMMYFUNCTION("""COMPUTED_VALUE"""),"085245416996")</f>
        <v>085245416996</v>
      </c>
      <c r="W1885" s="15"/>
    </row>
    <row r="1886">
      <c r="A1886" s="45"/>
      <c r="B1886" s="9">
        <f>IFERROR(__xludf.DUMMYFUNCTION("""COMPUTED_VALUE"""),45601.60300103009)</f>
        <v>45601.603</v>
      </c>
      <c r="C1886" s="9"/>
      <c r="D1886" s="10">
        <f>IFERROR(__xludf.DUMMYFUNCTION("""COMPUTED_VALUE"""),45609.0)</f>
        <v>45609</v>
      </c>
      <c r="E1886" s="10" t="str">
        <f>IFERROR(__xludf.DUMMYFUNCTION("""COMPUTED_VALUE"""),"11Nov")</f>
        <v>11Nov</v>
      </c>
      <c r="F1886" s="10" t="str">
        <f>IFERROR(__xludf.DUMMYFUNCTION("""COMPUTED_VALUE"""),"2024")</f>
        <v>2024</v>
      </c>
      <c r="G1886" s="35" t="str">
        <f>IFERROR(__xludf.DUMMYFUNCTION("""COMPUTED_VALUE"""),"ERIN")</f>
        <v>ERIN</v>
      </c>
      <c r="H1886" s="17" t="str">
        <f>IFERROR(__xludf.DUMMYFUNCTION("""COMPUTED_VALUE"""),"E9624119244")</f>
        <v>E9624119244</v>
      </c>
      <c r="I1886" s="17">
        <f>IFERROR(__xludf.DUMMYFUNCTION("""COMPUTED_VALUE"""),30.0)</f>
        <v>30</v>
      </c>
      <c r="J1886" s="17" t="str">
        <f>IFERROR(__xludf.DUMMYFUNCTION("""COMPUTED_VALUE"""),"25-34 tahun")</f>
        <v>25-34 tahun</v>
      </c>
      <c r="K1886" s="19">
        <f>IFERROR(__xludf.DUMMYFUNCTION("""COMPUTED_VALUE"""),35223.0)</f>
        <v>35223</v>
      </c>
      <c r="L1886" s="19" t="str">
        <f>IFERROR(__xludf.DUMMYFUNCTION("""COMPUTED_VALUE"""),"PEREMPUAN")</f>
        <v>PEREMPUAN</v>
      </c>
      <c r="M1886" s="35" t="str">
        <f>IFERROR(__xludf.DUMMYFUNCTION("""COMPUTED_VALUE"""),"JALAN DR WAHIDIN")</f>
        <v>JALAN DR WAHIDIN</v>
      </c>
      <c r="N1886" s="16" t="str">
        <f>IFERROR(__xludf.DUMMYFUNCTION("""COMPUTED_VALUE"""),"KEL. SUNGAI BANGKONG")</f>
        <v>KEL. SUNGAI BANGKONG</v>
      </c>
      <c r="O1886" s="16" t="str">
        <f>IFERROR(__xludf.DUMMYFUNCTION("""COMPUTED_VALUE"""),"KEC. PONTIANAK KOTA")</f>
        <v>KEC. PONTIANAK KOTA</v>
      </c>
      <c r="P1886" s="16" t="str">
        <f>IFERROR(__xludf.DUMMYFUNCTION("""COMPUTED_VALUE"""),"KOTA PONTIANAK")</f>
        <v>KOTA PONTIANAK</v>
      </c>
      <c r="Q1886" s="16" t="str">
        <f>IFERROR(__xludf.DUMMYFUNCTION("""COMPUTED_VALUE"""),"KALIMANTAN BARAT")</f>
        <v>KALIMANTAN BARAT</v>
      </c>
      <c r="R1886" s="19" t="str">
        <f>IFERROR(__xludf.DUMMYFUNCTION("""COMPUTED_VALUE"""),"ISLAM")</f>
        <v>ISLAM</v>
      </c>
      <c r="S1886" s="16" t="str">
        <f>IFERROR(__xludf.DUMMYFUNCTION("""COMPUTED_VALUE"""),"RUMAH TANGGA")</f>
        <v>RUMAH TANGGA</v>
      </c>
      <c r="T1886" s="16" t="str">
        <f>IFERROR(__xludf.DUMMYFUNCTION("""COMPUTED_VALUE"""),"KESELEO")</f>
        <v>KESELEO</v>
      </c>
      <c r="U1886" s="16" t="str">
        <f>IFERROR(__xludf.DUMMYFUNCTION("""COMPUTED_VALUE"""),"TIDAK ADA")</f>
        <v>TIDAK ADA</v>
      </c>
      <c r="V1886" s="11" t="str">
        <f>IFERROR(__xludf.DUMMYFUNCTION("""COMPUTED_VALUE"""),"081563689244")</f>
        <v>081563689244</v>
      </c>
      <c r="W1886" s="15"/>
    </row>
    <row r="1887">
      <c r="A1887" s="45"/>
      <c r="B1887" s="9">
        <f>IFERROR(__xludf.DUMMYFUNCTION("""COMPUTED_VALUE"""),45601.81104518518)</f>
        <v>45601.81105</v>
      </c>
      <c r="C1887" s="9"/>
      <c r="D1887" s="10">
        <f>IFERROR(__xludf.DUMMYFUNCTION("""COMPUTED_VALUE"""),45609.0)</f>
        <v>45609</v>
      </c>
      <c r="E1887" s="10" t="str">
        <f>IFERROR(__xludf.DUMMYFUNCTION("""COMPUTED_VALUE"""),"11Nov")</f>
        <v>11Nov</v>
      </c>
      <c r="F1887" s="10" t="str">
        <f>IFERROR(__xludf.DUMMYFUNCTION("""COMPUTED_VALUE"""),"2024")</f>
        <v>2024</v>
      </c>
      <c r="G1887" s="35" t="str">
        <f>IFERROR(__xludf.DUMMYFUNCTION("""COMPUTED_VALUE"""),"BAHARUDIN")</f>
        <v>BAHARUDIN</v>
      </c>
      <c r="H1887" s="17" t="str">
        <f>IFERROR(__xludf.DUMMYFUNCTION("""COMPUTED_VALUE"""),"B6424116506")</f>
        <v>B6424116506</v>
      </c>
      <c r="I1887" s="17">
        <f>IFERROR(__xludf.DUMMYFUNCTION("""COMPUTED_VALUE"""),62.0)</f>
        <v>62</v>
      </c>
      <c r="J1887" s="17" t="str">
        <f>IFERROR(__xludf.DUMMYFUNCTION("""COMPUTED_VALUE"""),"&gt; 44 tahun")</f>
        <v>&gt; 44 tahun</v>
      </c>
      <c r="K1887" s="19">
        <f>IFERROR(__xludf.DUMMYFUNCTION("""COMPUTED_VALUE"""),23417.0)</f>
        <v>23417</v>
      </c>
      <c r="L1887" s="19" t="str">
        <f>IFERROR(__xludf.DUMMYFUNCTION("""COMPUTED_VALUE"""),"LAKI-LAKI")</f>
        <v>LAKI-LAKI</v>
      </c>
      <c r="M1887" s="35" t="str">
        <f>IFERROR(__xludf.DUMMYFUNCTION("""COMPUTED_VALUE"""),"GANG KELUARGA BERSAMA NO 1")</f>
        <v>GANG KELUARGA BERSAMA NO 1</v>
      </c>
      <c r="N1887" s="16" t="str">
        <f>IFERROR(__xludf.DUMMYFUNCTION("""COMPUTED_VALUE"""),"KEL. SUNGAI BANGKONG")</f>
        <v>KEL. SUNGAI BANGKONG</v>
      </c>
      <c r="O1887" s="16" t="str">
        <f>IFERROR(__xludf.DUMMYFUNCTION("""COMPUTED_VALUE"""),"KEC. PONTIANAK KOTA")</f>
        <v>KEC. PONTIANAK KOTA</v>
      </c>
      <c r="P1887" s="16" t="str">
        <f>IFERROR(__xludf.DUMMYFUNCTION("""COMPUTED_VALUE"""),"KOTA PONTIANAK")</f>
        <v>KOTA PONTIANAK</v>
      </c>
      <c r="Q1887" s="16" t="str">
        <f>IFERROR(__xludf.DUMMYFUNCTION("""COMPUTED_VALUE"""),"KALIMANTAN BARAT")</f>
        <v>KALIMANTAN BARAT</v>
      </c>
      <c r="R1887" s="19" t="str">
        <f>IFERROR(__xludf.DUMMYFUNCTION("""COMPUTED_VALUE"""),"ISLAM")</f>
        <v>ISLAM</v>
      </c>
      <c r="S1887" s="16" t="str">
        <f>IFERROR(__xludf.DUMMYFUNCTION("""COMPUTED_VALUE"""),"TIDAK ADA")</f>
        <v>TIDAK ADA</v>
      </c>
      <c r="T1887" s="16" t="str">
        <f>IFERROR(__xludf.DUMMYFUNCTION("""COMPUTED_VALUE"""),"STROKE")</f>
        <v>STROKE</v>
      </c>
      <c r="U1887" s="16" t="str">
        <f>IFERROR(__xludf.DUMMYFUNCTION("""COMPUTED_VALUE"""),"TIDAK ADA")</f>
        <v>TIDAK ADA</v>
      </c>
      <c r="V1887" s="11" t="str">
        <f>IFERROR(__xludf.DUMMYFUNCTION("""COMPUTED_VALUE"""),"089529546506")</f>
        <v>089529546506</v>
      </c>
      <c r="W1887" s="15"/>
    </row>
    <row r="1888">
      <c r="A1888" s="45"/>
      <c r="B1888" s="9">
        <f>IFERROR(__xludf.DUMMYFUNCTION("""COMPUTED_VALUE"""),45598.62234403935)</f>
        <v>45598.62234</v>
      </c>
      <c r="C1888" s="9"/>
      <c r="D1888" s="10">
        <f>IFERROR(__xludf.DUMMYFUNCTION("""COMPUTED_VALUE"""),45610.0)</f>
        <v>45610</v>
      </c>
      <c r="E1888" s="10" t="str">
        <f>IFERROR(__xludf.DUMMYFUNCTION("""COMPUTED_VALUE"""),"11Nov")</f>
        <v>11Nov</v>
      </c>
      <c r="F1888" s="10" t="str">
        <f>IFERROR(__xludf.DUMMYFUNCTION("""COMPUTED_VALUE"""),"2024")</f>
        <v>2024</v>
      </c>
      <c r="G1888" s="35" t="str">
        <f>IFERROR(__xludf.DUMMYFUNCTION("""COMPUTED_VALUE"""),"FITRI YANI")</f>
        <v>FITRI YANI</v>
      </c>
      <c r="H1888" s="17" t="str">
        <f>IFERROR(__xludf.DUMMYFUNCTION("""COMPUTED_VALUE"""),"F8324112363")</f>
        <v>F8324112363</v>
      </c>
      <c r="I1888" s="17">
        <f>IFERROR(__xludf.DUMMYFUNCTION("""COMPUTED_VALUE"""),42.0)</f>
        <v>42</v>
      </c>
      <c r="J1888" s="17" t="str">
        <f>IFERROR(__xludf.DUMMYFUNCTION("""COMPUTED_VALUE"""),"35-44 tahun")</f>
        <v>35-44 tahun</v>
      </c>
      <c r="K1888" s="19">
        <f>IFERROR(__xludf.DUMMYFUNCTION("""COMPUTED_VALUE"""),30583.0)</f>
        <v>30583</v>
      </c>
      <c r="L1888" s="19" t="str">
        <f>IFERROR(__xludf.DUMMYFUNCTION("""COMPUTED_VALUE"""),"PEREMPUAN")</f>
        <v>PEREMPUAN</v>
      </c>
      <c r="M1888" s="35" t="str">
        <f>IFERROR(__xludf.DUMMYFUNCTION("""COMPUTED_VALUE"""),"JALAN NAWAWI HASAN 2 GANG MATAN 2 NOMOR 56")</f>
        <v>JALAN NAWAWI HASAN 2 GANG MATAN 2 NOMOR 56</v>
      </c>
      <c r="N1888" s="16" t="str">
        <f>IFERROR(__xludf.DUMMYFUNCTION("""COMPUTED_VALUE"""),"KEL. SUNGAI BELIUNG")</f>
        <v>KEL. SUNGAI BELIUNG</v>
      </c>
      <c r="O1888" s="16" t="str">
        <f>IFERROR(__xludf.DUMMYFUNCTION("""COMPUTED_VALUE"""),"KEC. PONTIANAK BARAT")</f>
        <v>KEC. PONTIANAK BARAT</v>
      </c>
      <c r="P1888" s="16" t="str">
        <f>IFERROR(__xludf.DUMMYFUNCTION("""COMPUTED_VALUE"""),"KOTA PONTIANAK")</f>
        <v>KOTA PONTIANAK</v>
      </c>
      <c r="Q1888" s="16" t="str">
        <f>IFERROR(__xludf.DUMMYFUNCTION("""COMPUTED_VALUE"""),"KALIMANTAN BARAT")</f>
        <v>KALIMANTAN BARAT</v>
      </c>
      <c r="R1888" s="19" t="str">
        <f>IFERROR(__xludf.DUMMYFUNCTION("""COMPUTED_VALUE"""),"ISLAM")</f>
        <v>ISLAM</v>
      </c>
      <c r="S1888" s="35" t="str">
        <f>IFERROR(__xludf.DUMMYFUNCTION("""COMPUTED_VALUE"""),"ASN")</f>
        <v>ASN</v>
      </c>
      <c r="T1888" s="16" t="str">
        <f>IFERROR(__xludf.DUMMYFUNCTION("""COMPUTED_VALUE"""),"otot betis sakit")</f>
        <v>otot betis sakit</v>
      </c>
      <c r="U1888" s="16" t="str">
        <f>IFERROR(__xludf.DUMMYFUNCTION("""COMPUTED_VALUE"""),"batminton")</f>
        <v>batminton</v>
      </c>
      <c r="V1888" s="11" t="str">
        <f>IFERROR(__xludf.DUMMYFUNCTION("""COMPUTED_VALUE"""),"08115702363")</f>
        <v>08115702363</v>
      </c>
      <c r="W1888" s="15"/>
    </row>
    <row r="1889">
      <c r="A1889" s="45"/>
      <c r="B1889" s="9">
        <f>IFERROR(__xludf.DUMMYFUNCTION("""COMPUTED_VALUE"""),45601.66119758102)</f>
        <v>45601.6612</v>
      </c>
      <c r="C1889" s="9"/>
      <c r="D1889" s="10">
        <f>IFERROR(__xludf.DUMMYFUNCTION("""COMPUTED_VALUE"""),45611.0)</f>
        <v>45611</v>
      </c>
      <c r="E1889" s="10" t="str">
        <f>IFERROR(__xludf.DUMMYFUNCTION("""COMPUTED_VALUE"""),"11Nov")</f>
        <v>11Nov</v>
      </c>
      <c r="F1889" s="10" t="str">
        <f>IFERROR(__xludf.DUMMYFUNCTION("""COMPUTED_VALUE"""),"2024")</f>
        <v>2024</v>
      </c>
      <c r="G1889" s="35" t="str">
        <f>IFERROR(__xludf.DUMMYFUNCTION("""COMPUTED_VALUE"""),"FRIZI ALFARIZI")</f>
        <v>FRIZI ALFARIZI</v>
      </c>
      <c r="H1889" s="17" t="str">
        <f>IFERROR(__xludf.DUMMYFUNCTION("""COMPUTED_VALUE"""),"F0824116507")</f>
        <v>F0824116507</v>
      </c>
      <c r="I1889" s="17">
        <f>IFERROR(__xludf.DUMMYFUNCTION("""COMPUTED_VALUE"""),18.0)</f>
        <v>18</v>
      </c>
      <c r="J1889" s="17" t="str">
        <f>IFERROR(__xludf.DUMMYFUNCTION("""COMPUTED_VALUE"""),"&lt; 18 tahun")</f>
        <v>&lt; 18 tahun</v>
      </c>
      <c r="K1889" s="19">
        <f>IFERROR(__xludf.DUMMYFUNCTION("""COMPUTED_VALUE"""),39596.0)</f>
        <v>39596</v>
      </c>
      <c r="L1889" s="19" t="str">
        <f>IFERROR(__xludf.DUMMYFUNCTION("""COMPUTED_VALUE"""),"LAKI-LAKI")</f>
        <v>LAKI-LAKI</v>
      </c>
      <c r="M1889" s="16" t="str">
        <f>IFERROR(__xludf.DUMMYFUNCTION("""COMPUTED_VALUE"""),"JALAN PARIT HAJI HUSIEN 2 KOMPLEK MIU NOMOR A17")</f>
        <v>JALAN PARIT HAJI HUSIEN 2 KOMPLEK MIU NOMOR A17</v>
      </c>
      <c r="N1889" s="16" t="str">
        <f>IFERROR(__xludf.DUMMYFUNCTION("""COMPUTED_VALUE"""),"KEL. BANGKA BELITUNG DARAT")</f>
        <v>KEL. BANGKA BELITUNG DARAT</v>
      </c>
      <c r="O1889" s="16" t="str">
        <f>IFERROR(__xludf.DUMMYFUNCTION("""COMPUTED_VALUE"""),"KEC. PONTIANAK TENGGARA")</f>
        <v>KEC. PONTIANAK TENGGARA</v>
      </c>
      <c r="P1889" s="16" t="str">
        <f>IFERROR(__xludf.DUMMYFUNCTION("""COMPUTED_VALUE"""),"KOTA PONTIANAK")</f>
        <v>KOTA PONTIANAK</v>
      </c>
      <c r="Q1889" s="16" t="str">
        <f>IFERROR(__xludf.DUMMYFUNCTION("""COMPUTED_VALUE"""),"KALIMANTAN BARAT")</f>
        <v>KALIMANTAN BARAT</v>
      </c>
      <c r="R1889" s="19" t="str">
        <f>IFERROR(__xludf.DUMMYFUNCTION("""COMPUTED_VALUE"""),"ISLAM")</f>
        <v>ISLAM</v>
      </c>
      <c r="S1889" s="16" t="str">
        <f>IFERROR(__xludf.DUMMYFUNCTION("""COMPUTED_VALUE"""),"PELAJAR/MAHASISWA")</f>
        <v>PELAJAR/MAHASISWA</v>
      </c>
      <c r="T1889" s="16" t="str">
        <f>IFERROR(__xludf.DUMMYFUNCTION("""COMPUTED_VALUE"""),"Keram otot kaki")</f>
        <v>Keram otot kaki</v>
      </c>
      <c r="U1889" s="16" t="str">
        <f>IFERROR(__xludf.DUMMYFUNCTION("""COMPUTED_VALUE"""),"Nonton")</f>
        <v>Nonton</v>
      </c>
      <c r="V1889" s="11" t="str">
        <f>IFERROR(__xludf.DUMMYFUNCTION("""COMPUTED_VALUE"""),"81345226507")</f>
        <v>81345226507</v>
      </c>
      <c r="W1889" s="15"/>
    </row>
    <row r="1890">
      <c r="A1890" s="45"/>
      <c r="B1890" s="9">
        <f>IFERROR(__xludf.DUMMYFUNCTION("""COMPUTED_VALUE"""),45599.570091435184)</f>
        <v>45599.57009</v>
      </c>
      <c r="C1890" s="9"/>
      <c r="D1890" s="10">
        <f>IFERROR(__xludf.DUMMYFUNCTION("""COMPUTED_VALUE"""),45611.0)</f>
        <v>45611</v>
      </c>
      <c r="E1890" s="10" t="str">
        <f>IFERROR(__xludf.DUMMYFUNCTION("""COMPUTED_VALUE"""),"11Nov")</f>
        <v>11Nov</v>
      </c>
      <c r="F1890" s="10" t="str">
        <f>IFERROR(__xludf.DUMMYFUNCTION("""COMPUTED_VALUE"""),"2024")</f>
        <v>2024</v>
      </c>
      <c r="G1890" s="35" t="str">
        <f>IFERROR(__xludf.DUMMYFUNCTION("""COMPUTED_VALUE"""),"SUGONDO LIMIN")</f>
        <v>SUGONDO LIMIN</v>
      </c>
      <c r="H1890" s="17" t="str">
        <f>IFERROR(__xludf.DUMMYFUNCTION("""COMPUTED_VALUE"""),"S0024112112")</f>
        <v>S0024112112</v>
      </c>
      <c r="I1890" s="17">
        <f>IFERROR(__xludf.DUMMYFUNCTION("""COMPUTED_VALUE"""),25.0)</f>
        <v>25</v>
      </c>
      <c r="J1890" s="17" t="str">
        <f>IFERROR(__xludf.DUMMYFUNCTION("""COMPUTED_VALUE"""),"25-34 tahun")</f>
        <v>25-34 tahun</v>
      </c>
      <c r="K1890" s="19">
        <f>IFERROR(__xludf.DUMMYFUNCTION("""COMPUTED_VALUE"""),36797.0)</f>
        <v>36797</v>
      </c>
      <c r="L1890" s="19" t="str">
        <f>IFERROR(__xludf.DUMMYFUNCTION("""COMPUTED_VALUE"""),"LAKI-LAKI")</f>
        <v>LAKI-LAKI</v>
      </c>
      <c r="M1890" s="35" t="str">
        <f>IFERROR(__xludf.DUMMYFUNCTION("""COMPUTED_VALUE"""),"JALAN PERDANA")</f>
        <v>JALAN PERDANA</v>
      </c>
      <c r="N1890" s="16" t="str">
        <f>IFERROR(__xludf.DUMMYFUNCTION("""COMPUTED_VALUE"""),"KEL. BANSIR LAUT")</f>
        <v>KEL. BANSIR LAUT</v>
      </c>
      <c r="O1890" s="16" t="str">
        <f>IFERROR(__xludf.DUMMYFUNCTION("""COMPUTED_VALUE"""),"KEC. PONTIANAK TENGGARA")</f>
        <v>KEC. PONTIANAK TENGGARA</v>
      </c>
      <c r="P1890" s="16" t="str">
        <f>IFERROR(__xludf.DUMMYFUNCTION("""COMPUTED_VALUE"""),"KOTA PONTIANAK")</f>
        <v>KOTA PONTIANAK</v>
      </c>
      <c r="Q1890" s="16" t="str">
        <f>IFERROR(__xludf.DUMMYFUNCTION("""COMPUTED_VALUE"""),"KALIMANTAN BARAT")</f>
        <v>KALIMANTAN BARAT</v>
      </c>
      <c r="R1890" s="19" t="str">
        <f>IFERROR(__xludf.DUMMYFUNCTION("""COMPUTED_VALUE"""),"BUDDHA")</f>
        <v>BUDDHA</v>
      </c>
      <c r="S1890" s="16" t="str">
        <f>IFERROR(__xludf.DUMMYFUNCTION("""COMPUTED_VALUE"""),"SWASTA")</f>
        <v>SWASTA</v>
      </c>
      <c r="T1890" s="16" t="str">
        <f>IFERROR(__xludf.DUMMYFUNCTION("""COMPUTED_VALUE"""),"tangan kanan sakit")</f>
        <v>tangan kanan sakit</v>
      </c>
      <c r="U1890" s="16" t="str">
        <f>IFERROR(__xludf.DUMMYFUNCTION("""COMPUTED_VALUE"""),"badminton dan gym")</f>
        <v>badminton dan gym</v>
      </c>
      <c r="V1890" s="11" t="str">
        <f>IFERROR(__xludf.DUMMYFUNCTION("""COMPUTED_VALUE"""),"081280002112")</f>
        <v>081280002112</v>
      </c>
      <c r="W1890" s="15"/>
    </row>
    <row r="1891">
      <c r="A1891" s="45"/>
      <c r="B1891" s="9">
        <f>IFERROR(__xludf.DUMMYFUNCTION("""COMPUTED_VALUE"""),45602.734021944445)</f>
        <v>45602.73402</v>
      </c>
      <c r="C1891" s="9"/>
      <c r="D1891" s="10">
        <f>IFERROR(__xludf.DUMMYFUNCTION("""COMPUTED_VALUE"""),45611.0)</f>
        <v>45611</v>
      </c>
      <c r="E1891" s="10" t="str">
        <f>IFERROR(__xludf.DUMMYFUNCTION("""COMPUTED_VALUE"""),"11Nov")</f>
        <v>11Nov</v>
      </c>
      <c r="F1891" s="10" t="str">
        <f>IFERROR(__xludf.DUMMYFUNCTION("""COMPUTED_VALUE"""),"2024")</f>
        <v>2024</v>
      </c>
      <c r="G1891" s="35" t="str">
        <f>IFERROR(__xludf.DUMMYFUNCTION("""COMPUTED_VALUE"""),"SYF. HAYATI ABDULLAH")</f>
        <v>SYF. HAYATI ABDULLAH</v>
      </c>
      <c r="H1891" s="17" t="str">
        <f>IFERROR(__xludf.DUMMYFUNCTION("""COMPUTED_VALUE"""),"S6324111358")</f>
        <v>S6324111358</v>
      </c>
      <c r="I1891" s="17">
        <f>IFERROR(__xludf.DUMMYFUNCTION("""COMPUTED_VALUE"""),62.0)</f>
        <v>62</v>
      </c>
      <c r="J1891" s="17" t="str">
        <f>IFERROR(__xludf.DUMMYFUNCTION("""COMPUTED_VALUE"""),"&gt; 44 tahun")</f>
        <v>&gt; 44 tahun</v>
      </c>
      <c r="K1891" s="19">
        <f>IFERROR(__xludf.DUMMYFUNCTION("""COMPUTED_VALUE"""),23204.0)</f>
        <v>23204</v>
      </c>
      <c r="L1891" s="19" t="str">
        <f>IFERROR(__xludf.DUMMYFUNCTION("""COMPUTED_VALUE"""),"PEREMPUAN")</f>
        <v>PEREMPUAN</v>
      </c>
      <c r="M1891" s="35" t="str">
        <f>IFERROR(__xludf.DUMMYFUNCTION("""COMPUTED_VALUE"""),"JALAN HUSIEN HAMZAH")</f>
        <v>JALAN HUSIEN HAMZAH</v>
      </c>
      <c r="N1891" s="16" t="str">
        <f>IFERROR(__xludf.DUMMYFUNCTION("""COMPUTED_VALUE"""),"KEL. PAL LIMA")</f>
        <v>KEL. PAL LIMA</v>
      </c>
      <c r="O1891" s="16" t="str">
        <f>IFERROR(__xludf.DUMMYFUNCTION("""COMPUTED_VALUE"""),"KEC. PONTIANAK BARAT")</f>
        <v>KEC. PONTIANAK BARAT</v>
      </c>
      <c r="P1891" s="16" t="str">
        <f>IFERROR(__xludf.DUMMYFUNCTION("""COMPUTED_VALUE"""),"KOTA PONTIANAK")</f>
        <v>KOTA PONTIANAK</v>
      </c>
      <c r="Q1891" s="35" t="str">
        <f>IFERROR(__xludf.DUMMYFUNCTION("""COMPUTED_VALUE"""),"KALIMANTAN BARAT")</f>
        <v>KALIMANTAN BARAT</v>
      </c>
      <c r="R1891" s="19" t="str">
        <f>IFERROR(__xludf.DUMMYFUNCTION("""COMPUTED_VALUE"""),"ISLAM")</f>
        <v>ISLAM</v>
      </c>
      <c r="S1891" s="35" t="str">
        <f>IFERROR(__xludf.DUMMYFUNCTION("""COMPUTED_VALUE"""),"RUMAH TANGGA")</f>
        <v>RUMAH TANGGA</v>
      </c>
      <c r="T1891" s="16" t="str">
        <f>IFERROR(__xludf.DUMMYFUNCTION("""COMPUTED_VALUE"""),"STROKE")</f>
        <v>STROKE</v>
      </c>
      <c r="U1891" s="16" t="str">
        <f>IFERROR(__xludf.DUMMYFUNCTION("""COMPUTED_VALUE"""),"MEMASAK")</f>
        <v>MEMASAK</v>
      </c>
      <c r="V1891" s="11" t="str">
        <f>IFERROR(__xludf.DUMMYFUNCTION("""COMPUTED_VALUE"""),"89693711358")</f>
        <v>89693711358</v>
      </c>
      <c r="W1891" s="15"/>
    </row>
    <row r="1892">
      <c r="A1892" s="45"/>
      <c r="B1892" s="9">
        <f>IFERROR(__xludf.DUMMYFUNCTION("""COMPUTED_VALUE"""),45602.821391006946)</f>
        <v>45602.82139</v>
      </c>
      <c r="C1892" s="9"/>
      <c r="D1892" s="10">
        <f>IFERROR(__xludf.DUMMYFUNCTION("""COMPUTED_VALUE"""),45612.0)</f>
        <v>45612</v>
      </c>
      <c r="E1892" s="10" t="str">
        <f>IFERROR(__xludf.DUMMYFUNCTION("""COMPUTED_VALUE"""),"11Nov")</f>
        <v>11Nov</v>
      </c>
      <c r="F1892" s="10" t="str">
        <f>IFERROR(__xludf.DUMMYFUNCTION("""COMPUTED_VALUE"""),"2024")</f>
        <v>2024</v>
      </c>
      <c r="G1892" s="35" t="str">
        <f>IFERROR(__xludf.DUMMYFUNCTION("""COMPUTED_VALUE"""),"MUHAMMAD GIBRAN DIRGANTARA")</f>
        <v>MUHAMMAD GIBRAN DIRGANTARA</v>
      </c>
      <c r="H1892" s="17" t="str">
        <f>IFERROR(__xludf.DUMMYFUNCTION("""COMPUTED_VALUE"""),"M1124115025")</f>
        <v>M1124115025</v>
      </c>
      <c r="I1892" s="17">
        <f>IFERROR(__xludf.DUMMYFUNCTION("""COMPUTED_VALUE"""),15.0)</f>
        <v>15</v>
      </c>
      <c r="J1892" s="17" t="str">
        <f>IFERROR(__xludf.DUMMYFUNCTION("""COMPUTED_VALUE"""),"&lt; 18 tahun")</f>
        <v>&lt; 18 tahun</v>
      </c>
      <c r="K1892" s="19">
        <f>IFERROR(__xludf.DUMMYFUNCTION("""COMPUTED_VALUE"""),40672.0)</f>
        <v>40672</v>
      </c>
      <c r="L1892" s="19" t="str">
        <f>IFERROR(__xludf.DUMMYFUNCTION("""COMPUTED_VALUE"""),"LAKI-LAKI")</f>
        <v>LAKI-LAKI</v>
      </c>
      <c r="M1892" s="35" t="str">
        <f>IFERROR(__xludf.DUMMYFUNCTION("""COMPUTED_VALUE"""),"JL UJUNG PANDANG GG TELUK BONE NO 6")</f>
        <v>JL UJUNG PANDANG GG TELUK BONE NO 6</v>
      </c>
      <c r="N1892" s="16" t="str">
        <f>IFERROR(__xludf.DUMMYFUNCTION("""COMPUTED_VALUE"""),"KEL. SUNGAI JAWI")</f>
        <v>KEL. SUNGAI JAWI</v>
      </c>
      <c r="O1892" s="16" t="str">
        <f>IFERROR(__xludf.DUMMYFUNCTION("""COMPUTED_VALUE"""),"KEC. PONTIANAK KOTA")</f>
        <v>KEC. PONTIANAK KOTA</v>
      </c>
      <c r="P1892" s="16" t="str">
        <f>IFERROR(__xludf.DUMMYFUNCTION("""COMPUTED_VALUE"""),"KOTA PONTIANAK")</f>
        <v>KOTA PONTIANAK</v>
      </c>
      <c r="Q1892" s="16" t="str">
        <f>IFERROR(__xludf.DUMMYFUNCTION("""COMPUTED_VALUE"""),"KALIMANTAN BARAT")</f>
        <v>KALIMANTAN BARAT</v>
      </c>
      <c r="R1892" s="19" t="str">
        <f>IFERROR(__xludf.DUMMYFUNCTION("""COMPUTED_VALUE"""),"ISLAM")</f>
        <v>ISLAM</v>
      </c>
      <c r="S1892" s="16" t="str">
        <f>IFERROR(__xludf.DUMMYFUNCTION("""COMPUTED_VALUE"""),"PELAJAR/MAHASISWA")</f>
        <v>PELAJAR/MAHASISWA</v>
      </c>
      <c r="T1892" s="16" t="str">
        <f>IFERROR(__xludf.DUMMYFUNCTION("""COMPUTED_VALUE"""),"Engkel kaki sebelah kanan terkilir")</f>
        <v>Engkel kaki sebelah kanan terkilir</v>
      </c>
      <c r="U1892" s="16" t="str">
        <f>IFERROR(__xludf.DUMMYFUNCTION("""COMPUTED_VALUE"""),"Bola")</f>
        <v>Bola</v>
      </c>
      <c r="V1892" s="11" t="str">
        <f>IFERROR(__xludf.DUMMYFUNCTION("""COMPUTED_VALUE"""),"085245045025")</f>
        <v>085245045025</v>
      </c>
      <c r="W1892" s="15"/>
    </row>
    <row r="1893">
      <c r="A1893" s="45"/>
      <c r="B1893" s="9">
        <f>IFERROR(__xludf.DUMMYFUNCTION("""COMPUTED_VALUE"""),45603.40466400463)</f>
        <v>45603.40466</v>
      </c>
      <c r="C1893" s="9"/>
      <c r="D1893" s="10">
        <f>IFERROR(__xludf.DUMMYFUNCTION("""COMPUTED_VALUE"""),45612.0)</f>
        <v>45612</v>
      </c>
      <c r="E1893" s="10" t="str">
        <f>IFERROR(__xludf.DUMMYFUNCTION("""COMPUTED_VALUE"""),"11Nov")</f>
        <v>11Nov</v>
      </c>
      <c r="F1893" s="10" t="str">
        <f>IFERROR(__xludf.DUMMYFUNCTION("""COMPUTED_VALUE"""),"2024")</f>
        <v>2024</v>
      </c>
      <c r="G1893" s="35" t="str">
        <f>IFERROR(__xludf.DUMMYFUNCTION("""COMPUTED_VALUE"""),"MUHAMMAD AMMAR TASNIM")</f>
        <v>MUHAMMAD AMMAR TASNIM</v>
      </c>
      <c r="H1893" s="17" t="str">
        <f>IFERROR(__xludf.DUMMYFUNCTION("""COMPUTED_VALUE"""),"M0724113222")</f>
        <v>M0724113222</v>
      </c>
      <c r="I1893" s="17">
        <f>IFERROR(__xludf.DUMMYFUNCTION("""COMPUTED_VALUE"""),19.0)</f>
        <v>19</v>
      </c>
      <c r="J1893" s="17" t="str">
        <f>IFERROR(__xludf.DUMMYFUNCTION("""COMPUTED_VALUE"""),"18-24 tahun")</f>
        <v>18-24 tahun</v>
      </c>
      <c r="K1893" s="19">
        <f>IFERROR(__xludf.DUMMYFUNCTION("""COMPUTED_VALUE"""),39141.0)</f>
        <v>39141</v>
      </c>
      <c r="L1893" s="19" t="str">
        <f>IFERROR(__xludf.DUMMYFUNCTION("""COMPUTED_VALUE"""),"LAKI-LAKI")</f>
        <v>LAKI-LAKI</v>
      </c>
      <c r="M1893" s="35" t="str">
        <f>IFERROR(__xludf.DUMMYFUNCTION("""COMPUTED_VALUE"""),"JALAN PROF. YAMIN GANG MELATI 2 NOMOR A13")</f>
        <v>JALAN PROF. YAMIN GANG MELATI 2 NOMOR A13</v>
      </c>
      <c r="N1893" s="16" t="str">
        <f>IFERROR(__xludf.DUMMYFUNCTION("""COMPUTED_VALUE"""),"KEL. SUNGAI BANGKONG")</f>
        <v>KEL. SUNGAI BANGKONG</v>
      </c>
      <c r="O1893" s="16" t="str">
        <f>IFERROR(__xludf.DUMMYFUNCTION("""COMPUTED_VALUE"""),"KEC. PONTIANAK KOTA")</f>
        <v>KEC. PONTIANAK KOTA</v>
      </c>
      <c r="P1893" s="16" t="str">
        <f>IFERROR(__xludf.DUMMYFUNCTION("""COMPUTED_VALUE"""),"KOTA PONTIANAK")</f>
        <v>KOTA PONTIANAK</v>
      </c>
      <c r="Q1893" s="16" t="str">
        <f>IFERROR(__xludf.DUMMYFUNCTION("""COMPUTED_VALUE"""),"KALIMANTAN BARAT")</f>
        <v>KALIMANTAN BARAT</v>
      </c>
      <c r="R1893" s="19" t="str">
        <f>IFERROR(__xludf.DUMMYFUNCTION("""COMPUTED_VALUE"""),"ISLAM")</f>
        <v>ISLAM</v>
      </c>
      <c r="S1893" s="16" t="str">
        <f>IFERROR(__xludf.DUMMYFUNCTION("""COMPUTED_VALUE"""),"PELAJAR/MAHASISWA")</f>
        <v>PELAJAR/MAHASISWA</v>
      </c>
      <c r="T1893" s="16" t="str">
        <f>IFERROR(__xludf.DUMMYFUNCTION("""COMPUTED_VALUE"""),"Sakit bahu nyeri pernah cidera bahu turun")</f>
        <v>Sakit bahu nyeri pernah cidera bahu turun</v>
      </c>
      <c r="U1893" s="16" t="str">
        <f>IFERROR(__xludf.DUMMYFUNCTION("""COMPUTED_VALUE"""),"Olah raga silat")</f>
        <v>Olah raga silat</v>
      </c>
      <c r="V1893" s="11" t="str">
        <f>IFERROR(__xludf.DUMMYFUNCTION("""COMPUTED_VALUE"""),"082156463222")</f>
        <v>082156463222</v>
      </c>
      <c r="W1893" s="15"/>
    </row>
    <row r="1894">
      <c r="A1894" s="45"/>
      <c r="B1894" s="9">
        <f>IFERROR(__xludf.DUMMYFUNCTION("""COMPUTED_VALUE"""),45607.706046493055)</f>
        <v>45607.70605</v>
      </c>
      <c r="C1894" s="9"/>
      <c r="D1894" s="10">
        <f>IFERROR(__xludf.DUMMYFUNCTION("""COMPUTED_VALUE"""),45613.0)</f>
        <v>45613</v>
      </c>
      <c r="E1894" s="10" t="str">
        <f>IFERROR(__xludf.DUMMYFUNCTION("""COMPUTED_VALUE"""),"11Nov")</f>
        <v>11Nov</v>
      </c>
      <c r="F1894" s="10" t="str">
        <f>IFERROR(__xludf.DUMMYFUNCTION("""COMPUTED_VALUE"""),"2024")</f>
        <v>2024</v>
      </c>
      <c r="G1894" s="16" t="str">
        <f>IFERROR(__xludf.DUMMYFUNCTION("""COMPUTED_VALUE"""),"DEDDY TANJAYA")</f>
        <v>DEDDY TANJAYA</v>
      </c>
      <c r="H1894" s="17" t="str">
        <f>IFERROR(__xludf.DUMMYFUNCTION("""COMPUTED_VALUE"""),"D9824114431")</f>
        <v>D9824114431</v>
      </c>
      <c r="I1894" s="17">
        <f>IFERROR(__xludf.DUMMYFUNCTION("""COMPUTED_VALUE"""),28.0)</f>
        <v>28</v>
      </c>
      <c r="J1894" s="17" t="str">
        <f>IFERROR(__xludf.DUMMYFUNCTION("""COMPUTED_VALUE"""),"25-34 tahun")</f>
        <v>25-34 tahun</v>
      </c>
      <c r="K1894" s="19">
        <f>IFERROR(__xludf.DUMMYFUNCTION("""COMPUTED_VALUE"""),35903.0)</f>
        <v>35903</v>
      </c>
      <c r="L1894" s="19" t="str">
        <f>IFERROR(__xludf.DUMMYFUNCTION("""COMPUTED_VALUE"""),"LAKI-LAKI")</f>
        <v>LAKI-LAKI</v>
      </c>
      <c r="M1894" s="35" t="str">
        <f>IFERROR(__xludf.DUMMYFUNCTION("""COMPUTED_VALUE"""),"JALAN MERDEKA BARAT NOMOR 414")</f>
        <v>JALAN MERDEKA BARAT NOMOR 414</v>
      </c>
      <c r="N1894" s="16" t="str">
        <f>IFERROR(__xludf.DUMMYFUNCTION("""COMPUTED_VALUE"""),"DS. TENGAH")</f>
        <v>DS. TENGAH</v>
      </c>
      <c r="O1894" s="16" t="str">
        <f>IFERROR(__xludf.DUMMYFUNCTION("""COMPUTED_VALUE"""),"KEC. PONTIANAK KOTA")</f>
        <v>KEC. PONTIANAK KOTA</v>
      </c>
      <c r="P1894" s="16" t="str">
        <f>IFERROR(__xludf.DUMMYFUNCTION("""COMPUTED_VALUE"""),"KOTA PONTIANAK")</f>
        <v>KOTA PONTIANAK</v>
      </c>
      <c r="Q1894" s="16" t="str">
        <f>IFERROR(__xludf.DUMMYFUNCTION("""COMPUTED_VALUE"""),"KALIMANTAN BARAT")</f>
        <v>KALIMANTAN BARAT</v>
      </c>
      <c r="R1894" s="19" t="str">
        <f>IFERROR(__xludf.DUMMYFUNCTION("""COMPUTED_VALUE"""),"KATOLIK")</f>
        <v>KATOLIK</v>
      </c>
      <c r="S1894" s="16" t="str">
        <f>IFERROR(__xludf.DUMMYFUNCTION("""COMPUTED_VALUE"""),"KOKI")</f>
        <v>KOKI</v>
      </c>
      <c r="T1894" s="16" t="str">
        <f>IFERROR(__xludf.DUMMYFUNCTION("""COMPUTED_VALUE"""),"Lower back pain dikarenakan angkat beban")</f>
        <v>Lower back pain dikarenakan angkat beban</v>
      </c>
      <c r="U1894" s="16" t="str">
        <f>IFERROR(__xludf.DUMMYFUNCTION("""COMPUTED_VALUE"""),"GYM")</f>
        <v>GYM</v>
      </c>
      <c r="V1894" s="11" t="str">
        <f>IFERROR(__xludf.DUMMYFUNCTION("""COMPUTED_VALUE"""),"082255274431")</f>
        <v>082255274431</v>
      </c>
      <c r="W1894" s="15"/>
    </row>
    <row r="1895">
      <c r="A1895" s="45"/>
      <c r="B1895" s="9">
        <f>IFERROR(__xludf.DUMMYFUNCTION("""COMPUTED_VALUE"""),45603.43631304398)</f>
        <v>45603.43631</v>
      </c>
      <c r="C1895" s="9"/>
      <c r="D1895" s="10">
        <f>IFERROR(__xludf.DUMMYFUNCTION("""COMPUTED_VALUE"""),45613.0)</f>
        <v>45613</v>
      </c>
      <c r="E1895" s="10" t="str">
        <f>IFERROR(__xludf.DUMMYFUNCTION("""COMPUTED_VALUE"""),"11Nov")</f>
        <v>11Nov</v>
      </c>
      <c r="F1895" s="10" t="str">
        <f>IFERROR(__xludf.DUMMYFUNCTION("""COMPUTED_VALUE"""),"2024")</f>
        <v>2024</v>
      </c>
      <c r="G1895" s="16" t="str">
        <f>IFERROR(__xludf.DUMMYFUNCTION("""COMPUTED_VALUE"""),"NESA LISIANA")</f>
        <v>NESA LISIANA</v>
      </c>
      <c r="H1895" s="17" t="str">
        <f>IFERROR(__xludf.DUMMYFUNCTION("""COMPUTED_VALUE"""),"N8424118008")</f>
        <v>N8424118008</v>
      </c>
      <c r="I1895" s="17">
        <f>IFERROR(__xludf.DUMMYFUNCTION("""COMPUTED_VALUE"""),41.0)</f>
        <v>41</v>
      </c>
      <c r="J1895" s="17" t="str">
        <f>IFERROR(__xludf.DUMMYFUNCTION("""COMPUTED_VALUE"""),"35-44 tahun")</f>
        <v>35-44 tahun</v>
      </c>
      <c r="K1895" s="19">
        <f>IFERROR(__xludf.DUMMYFUNCTION("""COMPUTED_VALUE"""),30962.0)</f>
        <v>30962</v>
      </c>
      <c r="L1895" s="19" t="str">
        <f>IFERROR(__xludf.DUMMYFUNCTION("""COMPUTED_VALUE"""),"PEREMPUAN")</f>
        <v>PEREMPUAN</v>
      </c>
      <c r="M1895" s="16" t="str">
        <f>IFERROR(__xludf.DUMMYFUNCTION("""COMPUTED_VALUE"""),"JALAN URAI BAWADI GANG SUDITRISNO NOMOR 25")</f>
        <v>JALAN URAI BAWADI GANG SUDITRISNO NOMOR 25</v>
      </c>
      <c r="N1895" s="16" t="str">
        <f>IFERROR(__xludf.DUMMYFUNCTION("""COMPUTED_VALUE"""),"KEL. SUNGAI BANGKONG")</f>
        <v>KEL. SUNGAI BANGKONG</v>
      </c>
      <c r="O1895" s="16" t="str">
        <f>IFERROR(__xludf.DUMMYFUNCTION("""COMPUTED_VALUE"""),"KEC. PONTIANAK KOTA")</f>
        <v>KEC. PONTIANAK KOTA</v>
      </c>
      <c r="P1895" s="16" t="str">
        <f>IFERROR(__xludf.DUMMYFUNCTION("""COMPUTED_VALUE"""),"KOTA PONTIANAK")</f>
        <v>KOTA PONTIANAK</v>
      </c>
      <c r="Q1895" s="16" t="str">
        <f>IFERROR(__xludf.DUMMYFUNCTION("""COMPUTED_VALUE"""),"KALIMANTAN BARAT")</f>
        <v>KALIMANTAN BARAT</v>
      </c>
      <c r="R1895" s="19" t="str">
        <f>IFERROR(__xludf.DUMMYFUNCTION("""COMPUTED_VALUE"""),"ISLAM")</f>
        <v>ISLAM</v>
      </c>
      <c r="S1895" s="16" t="str">
        <f>IFERROR(__xludf.DUMMYFUNCTION("""COMPUTED_VALUE"""),"ASN")</f>
        <v>ASN</v>
      </c>
      <c r="T1895" s="16" t="str">
        <f>IFERROR(__xludf.DUMMYFUNCTION("""COMPUTED_VALUE"""),"Pergelangan lengan kiri sakit ketika gerkan tertentu")</f>
        <v>Pergelangan lengan kiri sakit ketika gerkan tertentu</v>
      </c>
      <c r="U1895" s="16" t="str">
        <f>IFERROR(__xludf.DUMMYFUNCTION("""COMPUTED_VALUE"""),"Olahraga")</f>
        <v>Olahraga</v>
      </c>
      <c r="V1895" s="11" t="str">
        <f>IFERROR(__xludf.DUMMYFUNCTION("""COMPUTED_VALUE"""),"085650878008")</f>
        <v>085650878008</v>
      </c>
      <c r="W1895" s="15"/>
    </row>
    <row r="1896">
      <c r="A1896" s="45"/>
      <c r="B1896" s="9">
        <f>IFERROR(__xludf.DUMMYFUNCTION("""COMPUTED_VALUE"""),45606.80765012732)</f>
        <v>45606.80765</v>
      </c>
      <c r="C1896" s="9"/>
      <c r="D1896" s="10">
        <f>IFERROR(__xludf.DUMMYFUNCTION("""COMPUTED_VALUE"""),45613.0)</f>
        <v>45613</v>
      </c>
      <c r="E1896" s="10" t="str">
        <f>IFERROR(__xludf.DUMMYFUNCTION("""COMPUTED_VALUE"""),"11Nov")</f>
        <v>11Nov</v>
      </c>
      <c r="F1896" s="10" t="str">
        <f>IFERROR(__xludf.DUMMYFUNCTION("""COMPUTED_VALUE"""),"2024")</f>
        <v>2024</v>
      </c>
      <c r="G1896" s="35" t="str">
        <f>IFERROR(__xludf.DUMMYFUNCTION("""COMPUTED_VALUE"""),"DEWI ANNA RAINA")</f>
        <v>DEWI ANNA RAINA</v>
      </c>
      <c r="H1896" s="17" t="str">
        <f>IFERROR(__xludf.DUMMYFUNCTION("""COMPUTED_VALUE"""),"D7224110444")</f>
        <v>D7224110444</v>
      </c>
      <c r="I1896" s="17">
        <f>IFERROR(__xludf.DUMMYFUNCTION("""COMPUTED_VALUE"""),54.0)</f>
        <v>54</v>
      </c>
      <c r="J1896" s="17" t="str">
        <f>IFERROR(__xludf.DUMMYFUNCTION("""COMPUTED_VALUE"""),"&gt; 44 tahun")</f>
        <v>&gt; 44 tahun</v>
      </c>
      <c r="K1896" s="19">
        <f>IFERROR(__xludf.DUMMYFUNCTION("""COMPUTED_VALUE"""),26337.0)</f>
        <v>26337</v>
      </c>
      <c r="L1896" s="19" t="str">
        <f>IFERROR(__xludf.DUMMYFUNCTION("""COMPUTED_VALUE"""),"PEREMPUAN")</f>
        <v>PEREMPUAN</v>
      </c>
      <c r="M1896" s="35" t="str">
        <f>IFERROR(__xludf.DUMMYFUNCTION("""COMPUTED_VALUE"""),"JL SUKAMULYA KOMP SUKMA MANSION 2A")</f>
        <v>JL SUKAMULYA KOMP SUKMA MANSION 2A</v>
      </c>
      <c r="N1896" s="16" t="str">
        <f>IFERROR(__xludf.DUMMYFUNCTION("""COMPUTED_VALUE"""),"KEL. SUNGAI JAWI")</f>
        <v>KEL. SUNGAI JAWI</v>
      </c>
      <c r="O1896" s="16" t="str">
        <f>IFERROR(__xludf.DUMMYFUNCTION("""COMPUTED_VALUE"""),"PONTIANAK KOTA")</f>
        <v>PONTIANAK KOTA</v>
      </c>
      <c r="P1896" s="16" t="str">
        <f>IFERROR(__xludf.DUMMYFUNCTION("""COMPUTED_VALUE"""),"KOTA PONTIANAK")</f>
        <v>KOTA PONTIANAK</v>
      </c>
      <c r="Q1896" s="16" t="str">
        <f>IFERROR(__xludf.DUMMYFUNCTION("""COMPUTED_VALUE"""),"KALIMANTAN BARAT")</f>
        <v>KALIMANTAN BARAT</v>
      </c>
      <c r="R1896" s="19" t="str">
        <f>IFERROR(__xludf.DUMMYFUNCTION("""COMPUTED_VALUE"""),"ISLAM")</f>
        <v>ISLAM</v>
      </c>
      <c r="S1896" s="16" t="str">
        <f>IFERROR(__xludf.DUMMYFUNCTION("""COMPUTED_VALUE"""),"RUMAH TANGGA")</f>
        <v>RUMAH TANGGA</v>
      </c>
      <c r="T1896" s="16" t="str">
        <f>IFERROR(__xludf.DUMMYFUNCTION("""COMPUTED_VALUE"""),"LUTUT")</f>
        <v>LUTUT</v>
      </c>
      <c r="U1896" s="16" t="str">
        <f>IFERROR(__xludf.DUMMYFUNCTION("""COMPUTED_VALUE"""),"BERKEBUN")</f>
        <v>BERKEBUN</v>
      </c>
      <c r="V1896" s="11" t="str">
        <f>IFERROR(__xludf.DUMMYFUNCTION("""COMPUTED_VALUE"""),"081352060444")</f>
        <v>081352060444</v>
      </c>
      <c r="W1896" s="15"/>
    </row>
    <row r="1897">
      <c r="A1897" s="45"/>
      <c r="B1897" s="9">
        <f>IFERROR(__xludf.DUMMYFUNCTION("""COMPUTED_VALUE"""),45603.83135278935)</f>
        <v>45603.83135</v>
      </c>
      <c r="C1897" s="9"/>
      <c r="D1897" s="10">
        <f>IFERROR(__xludf.DUMMYFUNCTION("""COMPUTED_VALUE"""),45614.0)</f>
        <v>45614</v>
      </c>
      <c r="E1897" s="10" t="str">
        <f>IFERROR(__xludf.DUMMYFUNCTION("""COMPUTED_VALUE"""),"11Nov")</f>
        <v>11Nov</v>
      </c>
      <c r="F1897" s="10" t="str">
        <f>IFERROR(__xludf.DUMMYFUNCTION("""COMPUTED_VALUE"""),"2024")</f>
        <v>2024</v>
      </c>
      <c r="G1897" s="35" t="str">
        <f>IFERROR(__xludf.DUMMYFUNCTION("""COMPUTED_VALUE"""),"DITO CAHYA RENALDI")</f>
        <v>DITO CAHYA RENALDI</v>
      </c>
      <c r="H1897" s="17" t="str">
        <f>IFERROR(__xludf.DUMMYFUNCTION("""COMPUTED_VALUE"""),"D8624112210")</f>
        <v>D8624112210</v>
      </c>
      <c r="I1897" s="17">
        <f>IFERROR(__xludf.DUMMYFUNCTION("""COMPUTED_VALUE"""),39.0)</f>
        <v>39</v>
      </c>
      <c r="J1897" s="17" t="str">
        <f>IFERROR(__xludf.DUMMYFUNCTION("""COMPUTED_VALUE"""),"35-44 tahun")</f>
        <v>35-44 tahun</v>
      </c>
      <c r="K1897" s="19">
        <f>IFERROR(__xludf.DUMMYFUNCTION("""COMPUTED_VALUE"""),31606.0)</f>
        <v>31606</v>
      </c>
      <c r="L1897" s="19" t="str">
        <f>IFERROR(__xludf.DUMMYFUNCTION("""COMPUTED_VALUE"""),"LAKI-LAKI")</f>
        <v>LAKI-LAKI</v>
      </c>
      <c r="M1897" s="35" t="str">
        <f>IFERROR(__xludf.DUMMYFUNCTION("""COMPUTED_VALUE"""),"JALAN APEL 2")</f>
        <v>JALAN APEL 2</v>
      </c>
      <c r="N1897" s="16" t="str">
        <f>IFERROR(__xludf.DUMMYFUNCTION("""COMPUTED_VALUE"""),"KEL. SUNGAI JAWI LUAR")</f>
        <v>KEL. SUNGAI JAWI LUAR</v>
      </c>
      <c r="O1897" s="16" t="str">
        <f>IFERROR(__xludf.DUMMYFUNCTION("""COMPUTED_VALUE"""),"KEC. PONTIANAK BARAT")</f>
        <v>KEC. PONTIANAK BARAT</v>
      </c>
      <c r="P1897" s="16" t="str">
        <f>IFERROR(__xludf.DUMMYFUNCTION("""COMPUTED_VALUE"""),"KOTA PONTIANAK")</f>
        <v>KOTA PONTIANAK</v>
      </c>
      <c r="Q1897" s="16" t="str">
        <f>IFERROR(__xludf.DUMMYFUNCTION("""COMPUTED_VALUE"""),"KALIMANTAN BARAT")</f>
        <v>KALIMANTAN BARAT</v>
      </c>
      <c r="R1897" s="19" t="str">
        <f>IFERROR(__xludf.DUMMYFUNCTION("""COMPUTED_VALUE"""),"ISLAM")</f>
        <v>ISLAM</v>
      </c>
      <c r="S1897" s="35" t="str">
        <f>IFERROR(__xludf.DUMMYFUNCTION("""COMPUTED_VALUE"""),"SWASTA")</f>
        <v>SWASTA</v>
      </c>
      <c r="T1897" s="16" t="str">
        <f>IFERROR(__xludf.DUMMYFUNCTION("""COMPUTED_VALUE"""),"Lutut")</f>
        <v>Lutut</v>
      </c>
      <c r="U1897" s="16" t="str">
        <f>IFERROR(__xludf.DUMMYFUNCTION("""COMPUTED_VALUE"""),"Sepakbola")</f>
        <v>Sepakbola</v>
      </c>
      <c r="V1897" s="11" t="str">
        <f>IFERROR(__xludf.DUMMYFUNCTION("""COMPUTED_VALUE"""),"081281022210")</f>
        <v>081281022210</v>
      </c>
      <c r="W1897" s="15"/>
    </row>
    <row r="1898">
      <c r="A1898" s="45"/>
      <c r="B1898" s="9">
        <f>IFERROR(__xludf.DUMMYFUNCTION("""COMPUTED_VALUE"""),45606.78175952546)</f>
        <v>45606.78176</v>
      </c>
      <c r="C1898" s="9"/>
      <c r="D1898" s="10">
        <f>IFERROR(__xludf.DUMMYFUNCTION("""COMPUTED_VALUE"""),45614.0)</f>
        <v>45614</v>
      </c>
      <c r="E1898" s="10" t="str">
        <f>IFERROR(__xludf.DUMMYFUNCTION("""COMPUTED_VALUE"""),"11Nov")</f>
        <v>11Nov</v>
      </c>
      <c r="F1898" s="10" t="str">
        <f>IFERROR(__xludf.DUMMYFUNCTION("""COMPUTED_VALUE"""),"2024")</f>
        <v>2024</v>
      </c>
      <c r="G1898" s="35" t="str">
        <f>IFERROR(__xludf.DUMMYFUNCTION("""COMPUTED_VALUE"""),"EDBERT MARCHELYO")</f>
        <v>EDBERT MARCHELYO</v>
      </c>
      <c r="H1898" s="17" t="str">
        <f>IFERROR(__xludf.DUMMYFUNCTION("""COMPUTED_VALUE"""),"E0724112565")</f>
        <v>E0724112565</v>
      </c>
      <c r="I1898" s="17">
        <f>IFERROR(__xludf.DUMMYFUNCTION("""COMPUTED_VALUE"""),19.0)</f>
        <v>19</v>
      </c>
      <c r="J1898" s="17" t="str">
        <f>IFERROR(__xludf.DUMMYFUNCTION("""COMPUTED_VALUE"""),"18-24 tahun")</f>
        <v>18-24 tahun</v>
      </c>
      <c r="K1898" s="19">
        <f>IFERROR(__xludf.DUMMYFUNCTION("""COMPUTED_VALUE"""),39150.0)</f>
        <v>39150</v>
      </c>
      <c r="L1898" s="19" t="str">
        <f>IFERROR(__xludf.DUMMYFUNCTION("""COMPUTED_VALUE"""),"LAKI-LAKI")</f>
        <v>LAKI-LAKI</v>
      </c>
      <c r="M1898" s="35" t="str">
        <f>IFERROR(__xludf.DUMMYFUNCTION("""COMPUTED_VALUE"""),"JL. SUNGAI RAYA DALAM")</f>
        <v>JL. SUNGAI RAYA DALAM</v>
      </c>
      <c r="N1898" s="16" t="str">
        <f>IFERROR(__xludf.DUMMYFUNCTION("""COMPUTED_VALUE"""),"KEL. SUNGAI RAYA")</f>
        <v>KEL. SUNGAI RAYA</v>
      </c>
      <c r="O1898" s="16" t="str">
        <f>IFERROR(__xludf.DUMMYFUNCTION("""COMPUTED_VALUE"""),"KEC. SUNGAI RAYA")</f>
        <v>KEC. SUNGAI RAYA</v>
      </c>
      <c r="P1898" s="16" t="str">
        <f>IFERROR(__xludf.DUMMYFUNCTION("""COMPUTED_VALUE"""),"KAB. KUBU RAYA")</f>
        <v>KAB. KUBU RAYA</v>
      </c>
      <c r="Q1898" s="16" t="str">
        <f>IFERROR(__xludf.DUMMYFUNCTION("""COMPUTED_VALUE"""),"KALIMANTAN BARAT")</f>
        <v>KALIMANTAN BARAT</v>
      </c>
      <c r="R1898" s="19" t="str">
        <f>IFERROR(__xludf.DUMMYFUNCTION("""COMPUTED_VALUE"""),"BUDDHA")</f>
        <v>BUDDHA</v>
      </c>
      <c r="S1898" s="16" t="str">
        <f>IFERROR(__xludf.DUMMYFUNCTION("""COMPUTED_VALUE"""),"PELAJAR/MAHASISWA")</f>
        <v>PELAJAR/MAHASISWA</v>
      </c>
      <c r="T1898" s="16" t="str">
        <f>IFERROR(__xludf.DUMMYFUNCTION("""COMPUTED_VALUE"""),"JEMPOL KAKI")</f>
        <v>JEMPOL KAKI</v>
      </c>
      <c r="U1898" s="16" t="str">
        <f>IFERROR(__xludf.DUMMYFUNCTION("""COMPUTED_VALUE"""),"BERMAIN BASKET")</f>
        <v>BERMAIN BASKET</v>
      </c>
      <c r="V1898" s="11" t="str">
        <f>IFERROR(__xludf.DUMMYFUNCTION("""COMPUTED_VALUE"""),"082351702565")</f>
        <v>082351702565</v>
      </c>
      <c r="W1898" s="15"/>
    </row>
    <row r="1899">
      <c r="A1899" s="45"/>
      <c r="B1899" s="9">
        <f>IFERROR(__xludf.DUMMYFUNCTION("""COMPUTED_VALUE"""),45604.526858136574)</f>
        <v>45604.52686</v>
      </c>
      <c r="C1899" s="9"/>
      <c r="D1899" s="10">
        <f>IFERROR(__xludf.DUMMYFUNCTION("""COMPUTED_VALUE"""),45615.0)</f>
        <v>45615</v>
      </c>
      <c r="E1899" s="10" t="str">
        <f>IFERROR(__xludf.DUMMYFUNCTION("""COMPUTED_VALUE"""),"11Nov")</f>
        <v>11Nov</v>
      </c>
      <c r="F1899" s="10" t="str">
        <f>IFERROR(__xludf.DUMMYFUNCTION("""COMPUTED_VALUE"""),"2024")</f>
        <v>2024</v>
      </c>
      <c r="G1899" s="35" t="str">
        <f>IFERROR(__xludf.DUMMYFUNCTION("""COMPUTED_VALUE"""),"HESTI RAMADHANTI")</f>
        <v>HESTI RAMADHANTI</v>
      </c>
      <c r="H1899" s="17" t="str">
        <f>IFERROR(__xludf.DUMMYFUNCTION("""COMPUTED_VALUE"""),"H9424119337")</f>
        <v>H9424119337</v>
      </c>
      <c r="I1899" s="17">
        <f>IFERROR(__xludf.DUMMYFUNCTION("""COMPUTED_VALUE"""),32.0)</f>
        <v>32</v>
      </c>
      <c r="J1899" s="17" t="str">
        <f>IFERROR(__xludf.DUMMYFUNCTION("""COMPUTED_VALUE"""),"25-34 tahun")</f>
        <v>25-34 tahun</v>
      </c>
      <c r="K1899" s="19">
        <f>IFERROR(__xludf.DUMMYFUNCTION("""COMPUTED_VALUE"""),34380.0)</f>
        <v>34380</v>
      </c>
      <c r="L1899" s="19" t="str">
        <f>IFERROR(__xludf.DUMMYFUNCTION("""COMPUTED_VALUE"""),"PEREMPUAN")</f>
        <v>PEREMPUAN</v>
      </c>
      <c r="M1899" s="35" t="str">
        <f>IFERROR(__xludf.DUMMYFUNCTION("""COMPUTED_VALUE"""),"JALAN ADI SUCIPTO GANG LIMBUNG")</f>
        <v>JALAN ADI SUCIPTO GANG LIMBUNG</v>
      </c>
      <c r="N1899" s="16" t="str">
        <f>IFERROR(__xludf.DUMMYFUNCTION("""COMPUTED_VALUE"""),"DS. LIMBUNG")</f>
        <v>DS. LIMBUNG</v>
      </c>
      <c r="O1899" s="16" t="str">
        <f>IFERROR(__xludf.DUMMYFUNCTION("""COMPUTED_VALUE"""),"KEC. SUNGAI RAYA")</f>
        <v>KEC. SUNGAI RAYA</v>
      </c>
      <c r="P1899" s="16" t="str">
        <f>IFERROR(__xludf.DUMMYFUNCTION("""COMPUTED_VALUE"""),"KAB. KUBU RAYA")</f>
        <v>KAB. KUBU RAYA</v>
      </c>
      <c r="Q1899" s="16" t="str">
        <f>IFERROR(__xludf.DUMMYFUNCTION("""COMPUTED_VALUE"""),"KALIMANTAN BARAT")</f>
        <v>KALIMANTAN BARAT</v>
      </c>
      <c r="R1899" s="19" t="str">
        <f>IFERROR(__xludf.DUMMYFUNCTION("""COMPUTED_VALUE"""),"ISLAM")</f>
        <v>ISLAM</v>
      </c>
      <c r="S1899" s="35" t="str">
        <f>IFERROR(__xludf.DUMMYFUNCTION("""COMPUTED_VALUE"""),"SWASTA")</f>
        <v>SWASTA</v>
      </c>
      <c r="T1899" s="16" t="str">
        <f>IFERROR(__xludf.DUMMYFUNCTION("""COMPUTED_VALUE"""),"Sakit lutut")</f>
        <v>Sakit lutut</v>
      </c>
      <c r="U1899" s="16" t="str">
        <f>IFERROR(__xludf.DUMMYFUNCTION("""COMPUTED_VALUE"""),"Main voli/ ibu rumah tangga dan ibu bekerja")</f>
        <v>Main voli/ ibu rumah tangga dan ibu bekerja</v>
      </c>
      <c r="V1899" s="11" t="str">
        <f>IFERROR(__xludf.DUMMYFUNCTION("""COMPUTED_VALUE"""),"082251559337")</f>
        <v>082251559337</v>
      </c>
      <c r="W1899" s="15"/>
    </row>
    <row r="1900">
      <c r="A1900" s="45"/>
      <c r="B1900" s="9">
        <f>IFERROR(__xludf.DUMMYFUNCTION("""COMPUTED_VALUE"""),45599.491234444446)</f>
        <v>45599.49123</v>
      </c>
      <c r="C1900" s="9"/>
      <c r="D1900" s="10">
        <f>IFERROR(__xludf.DUMMYFUNCTION("""COMPUTED_VALUE"""),45615.0)</f>
        <v>45615</v>
      </c>
      <c r="E1900" s="10" t="str">
        <f>IFERROR(__xludf.DUMMYFUNCTION("""COMPUTED_VALUE"""),"11Nov")</f>
        <v>11Nov</v>
      </c>
      <c r="F1900" s="10" t="str">
        <f>IFERROR(__xludf.DUMMYFUNCTION("""COMPUTED_VALUE"""),"2024")</f>
        <v>2024</v>
      </c>
      <c r="G1900" s="35" t="str">
        <f>IFERROR(__xludf.DUMMYFUNCTION("""COMPUTED_VALUE"""),"SUNARTO 5601")</f>
        <v>SUNARTO 5601</v>
      </c>
      <c r="H1900" s="17" t="str">
        <f>IFERROR(__xludf.DUMMYFUNCTION("""COMPUTED_VALUE"""),"S5624118008")</f>
        <v>S5624118008</v>
      </c>
      <c r="I1900" s="17">
        <f>IFERROR(__xludf.DUMMYFUNCTION("""COMPUTED_VALUE"""),70.0)</f>
        <v>70</v>
      </c>
      <c r="J1900" s="17" t="str">
        <f>IFERROR(__xludf.DUMMYFUNCTION("""COMPUTED_VALUE"""),"&gt; 44 tahun")</f>
        <v>&gt; 44 tahun</v>
      </c>
      <c r="K1900" s="19">
        <f>IFERROR(__xludf.DUMMYFUNCTION("""COMPUTED_VALUE"""),20455.0)</f>
        <v>20455</v>
      </c>
      <c r="L1900" s="19" t="str">
        <f>IFERROR(__xludf.DUMMYFUNCTION("""COMPUTED_VALUE"""),"LAKI-LAKI")</f>
        <v>LAKI-LAKI</v>
      </c>
      <c r="M1900" s="35" t="str">
        <f>IFERROR(__xludf.DUMMYFUNCTION("""COMPUTED_VALUE"""),"JALAN DHARMA PUTRA GANG DHARMA PUTRA 3 NOMOR 11")</f>
        <v>JALAN DHARMA PUTRA GANG DHARMA PUTRA 3 NOMOR 11</v>
      </c>
      <c r="N1900" s="16" t="str">
        <f>IFERROR(__xludf.DUMMYFUNCTION("""COMPUTED_VALUE"""),"KEL. SIANTAN HILIR")</f>
        <v>KEL. SIANTAN HILIR</v>
      </c>
      <c r="O1900" s="16" t="str">
        <f>IFERROR(__xludf.DUMMYFUNCTION("""COMPUTED_VALUE"""),"KEC. PONTIANAK UTARA")</f>
        <v>KEC. PONTIANAK UTARA</v>
      </c>
      <c r="P1900" s="16" t="str">
        <f>IFERROR(__xludf.DUMMYFUNCTION("""COMPUTED_VALUE"""),"KOTA PONTIANAK")</f>
        <v>KOTA PONTIANAK</v>
      </c>
      <c r="Q1900" s="16" t="str">
        <f>IFERROR(__xludf.DUMMYFUNCTION("""COMPUTED_VALUE"""),"KALIMANTAN BARAT")</f>
        <v>KALIMANTAN BARAT</v>
      </c>
      <c r="R1900" s="19" t="str">
        <f>IFERROR(__xludf.DUMMYFUNCTION("""COMPUTED_VALUE"""),"ISLAM")</f>
        <v>ISLAM</v>
      </c>
      <c r="S1900" s="35" t="str">
        <f>IFERROR(__xludf.DUMMYFUNCTION("""COMPUTED_VALUE"""),"PENSIUN")</f>
        <v>PENSIUN</v>
      </c>
      <c r="T1900" s="16" t="str">
        <f>IFERROR(__xludf.DUMMYFUNCTION("""COMPUTED_VALUE"""),"Susah untuk berjalan")</f>
        <v>Susah untuk berjalan</v>
      </c>
      <c r="U1900" s="16" t="str">
        <f>IFERROR(__xludf.DUMMYFUNCTION("""COMPUTED_VALUE"""),"Selama sakit hobinya tidur")</f>
        <v>Selama sakit hobinya tidur</v>
      </c>
      <c r="V1900" s="11" t="str">
        <f>IFERROR(__xludf.DUMMYFUNCTION("""COMPUTED_VALUE"""),"081256978008")</f>
        <v>081256978008</v>
      </c>
      <c r="W1900" s="15"/>
    </row>
    <row r="1901">
      <c r="A1901" s="45"/>
      <c r="B1901" s="9">
        <f>IFERROR(__xludf.DUMMYFUNCTION("""COMPUTED_VALUE"""),45605.823076817134)</f>
        <v>45605.82308</v>
      </c>
      <c r="C1901" s="9"/>
      <c r="D1901" s="10">
        <f>IFERROR(__xludf.DUMMYFUNCTION("""COMPUTED_VALUE"""),45615.0)</f>
        <v>45615</v>
      </c>
      <c r="E1901" s="10" t="str">
        <f>IFERROR(__xludf.DUMMYFUNCTION("""COMPUTED_VALUE"""),"11Nov")</f>
        <v>11Nov</v>
      </c>
      <c r="F1901" s="10" t="str">
        <f>IFERROR(__xludf.DUMMYFUNCTION("""COMPUTED_VALUE"""),"2024")</f>
        <v>2024</v>
      </c>
      <c r="G1901" s="35" t="str">
        <f>IFERROR(__xludf.DUMMYFUNCTION("""COMPUTED_VALUE"""),"SHERA MIRANDA")</f>
        <v>SHERA MIRANDA</v>
      </c>
      <c r="H1901" s="17" t="str">
        <f>IFERROR(__xludf.DUMMYFUNCTION("""COMPUTED_VALUE"""),"S9524110570")</f>
        <v>S9524110570</v>
      </c>
      <c r="I1901" s="17">
        <f>IFERROR(__xludf.DUMMYFUNCTION("""COMPUTED_VALUE"""),31.0)</f>
        <v>31</v>
      </c>
      <c r="J1901" s="17" t="str">
        <f>IFERROR(__xludf.DUMMYFUNCTION("""COMPUTED_VALUE"""),"25-34 tahun")</f>
        <v>25-34 tahun</v>
      </c>
      <c r="K1901" s="19">
        <f>IFERROR(__xludf.DUMMYFUNCTION("""COMPUTED_VALUE"""),34802.0)</f>
        <v>34802</v>
      </c>
      <c r="L1901" s="19" t="str">
        <f>IFERROR(__xludf.DUMMYFUNCTION("""COMPUTED_VALUE"""),"PEREMPUAN")</f>
        <v>PEREMPUAN</v>
      </c>
      <c r="M1901" s="35" t="str">
        <f>IFERROR(__xludf.DUMMYFUNCTION("""COMPUTED_VALUE"""),"JL P. H. HUSEIN II KOMPLEK PEMDA JALUR III NO.34")</f>
        <v>JL P. H. HUSEIN II KOMPLEK PEMDA JALUR III NO.34</v>
      </c>
      <c r="N1901" s="16" t="str">
        <f>IFERROR(__xludf.DUMMYFUNCTION("""COMPUTED_VALUE"""),"BANSIR DARAT")</f>
        <v>BANSIR DARAT</v>
      </c>
      <c r="O1901" s="16" t="str">
        <f>IFERROR(__xludf.DUMMYFUNCTION("""COMPUTED_VALUE"""),"KEC. PONTIANAK TENGGARA")</f>
        <v>KEC. PONTIANAK TENGGARA</v>
      </c>
      <c r="P1901" s="16" t="str">
        <f>IFERROR(__xludf.DUMMYFUNCTION("""COMPUTED_VALUE"""),"KOTA PONTIANAK")</f>
        <v>KOTA PONTIANAK</v>
      </c>
      <c r="Q1901" s="16" t="str">
        <f>IFERROR(__xludf.DUMMYFUNCTION("""COMPUTED_VALUE"""),"KALIMANTAN BARAT")</f>
        <v>KALIMANTAN BARAT</v>
      </c>
      <c r="R1901" s="19" t="str">
        <f>IFERROR(__xludf.DUMMYFUNCTION("""COMPUTED_VALUE"""),"ISLAM")</f>
        <v>ISLAM</v>
      </c>
      <c r="S1901" s="35" t="str">
        <f>IFERROR(__xludf.DUMMYFUNCTION("""COMPUTED_VALUE"""),"RUMAH TANGGA")</f>
        <v>RUMAH TANGGA</v>
      </c>
      <c r="T1901" s="16" t="str">
        <f>IFERROR(__xludf.DUMMYFUNCTION("""COMPUTED_VALUE"""),"SAKIT PERGELANGAN TANGAN")</f>
        <v>SAKIT PERGELANGAN TANGAN</v>
      </c>
      <c r="U1901" s="16" t="str">
        <f>IFERROR(__xludf.DUMMYFUNCTION("""COMPUTED_VALUE"""),"-")</f>
        <v>-</v>
      </c>
      <c r="V1901" s="11" t="str">
        <f>IFERROR(__xludf.DUMMYFUNCTION("""COMPUTED_VALUE"""),"082150930570")</f>
        <v>082150930570</v>
      </c>
      <c r="W1901" s="15"/>
    </row>
    <row r="1902">
      <c r="A1902" s="45"/>
      <c r="B1902" s="9">
        <f>IFERROR(__xludf.DUMMYFUNCTION("""COMPUTED_VALUE"""),45607.630685173615)</f>
        <v>45607.63069</v>
      </c>
      <c r="C1902" s="9"/>
      <c r="D1902" s="10">
        <f>IFERROR(__xludf.DUMMYFUNCTION("""COMPUTED_VALUE"""),45616.0)</f>
        <v>45616</v>
      </c>
      <c r="E1902" s="10" t="str">
        <f>IFERROR(__xludf.DUMMYFUNCTION("""COMPUTED_VALUE"""),"11Nov")</f>
        <v>11Nov</v>
      </c>
      <c r="F1902" s="10" t="str">
        <f>IFERROR(__xludf.DUMMYFUNCTION("""COMPUTED_VALUE"""),"2024")</f>
        <v>2024</v>
      </c>
      <c r="G1902" s="35" t="str">
        <f>IFERROR(__xludf.DUMMYFUNCTION("""COMPUTED_VALUE"""),"DJOKO SANTOSO")</f>
        <v>DJOKO SANTOSO</v>
      </c>
      <c r="H1902" s="17" t="str">
        <f>IFERROR(__xludf.DUMMYFUNCTION("""COMPUTED_VALUE"""),"D7324116663")</f>
        <v>D7324116663</v>
      </c>
      <c r="I1902" s="17">
        <f>IFERROR(__xludf.DUMMYFUNCTION("""COMPUTED_VALUE"""),52.0)</f>
        <v>52</v>
      </c>
      <c r="J1902" s="17" t="str">
        <f>IFERROR(__xludf.DUMMYFUNCTION("""COMPUTED_VALUE"""),"&gt; 44 tahun")</f>
        <v>&gt; 44 tahun</v>
      </c>
      <c r="K1902" s="19">
        <f>IFERROR(__xludf.DUMMYFUNCTION("""COMPUTED_VALUE"""),26990.0)</f>
        <v>26990</v>
      </c>
      <c r="L1902" s="19" t="str">
        <f>IFERROR(__xludf.DUMMYFUNCTION("""COMPUTED_VALUE"""),"LAKI-LAKI")</f>
        <v>LAKI-LAKI</v>
      </c>
      <c r="M1902" s="35" t="str">
        <f>IFERROR(__xludf.DUMMYFUNCTION("""COMPUTED_VALUE"""),"JL PUTIH SALJU BLOK C 5 NO 21")</f>
        <v>JL PUTIH SALJU BLOK C 5 NO 21</v>
      </c>
      <c r="N1902" s="16" t="str">
        <f>IFERROR(__xludf.DUMMYFUNCTION("""COMPUTED_VALUE"""),"KEL. KELAPA GADING")</f>
        <v>KEL. KELAPA GADING</v>
      </c>
      <c r="O1902" s="16" t="str">
        <f>IFERROR(__xludf.DUMMYFUNCTION("""COMPUTED_VALUE"""),"KELAPA GADING")</f>
        <v>KELAPA GADING</v>
      </c>
      <c r="P1902" s="16" t="str">
        <f>IFERROR(__xludf.DUMMYFUNCTION("""COMPUTED_VALUE"""),"KOTA JAKARTA UTARA")</f>
        <v>KOTA JAKARTA UTARA</v>
      </c>
      <c r="Q1902" s="16" t="str">
        <f>IFERROR(__xludf.DUMMYFUNCTION("""COMPUTED_VALUE"""),"DKI JAKARTA")</f>
        <v>DKI JAKARTA</v>
      </c>
      <c r="R1902" s="19" t="str">
        <f>IFERROR(__xludf.DUMMYFUNCTION("""COMPUTED_VALUE"""),"ISLAM")</f>
        <v>ISLAM</v>
      </c>
      <c r="S1902" s="35" t="str">
        <f>IFERROR(__xludf.DUMMYFUNCTION("""COMPUTED_VALUE"""),"BUMN")</f>
        <v>BUMN</v>
      </c>
      <c r="T1902" s="16" t="str">
        <f>IFERROR(__xludf.DUMMYFUNCTION("""COMPUTED_VALUE"""),"URATKAKI TERTARIK")</f>
        <v>URATKAKI TERTARIK</v>
      </c>
      <c r="U1902" s="16" t="str">
        <f>IFERROR(__xludf.DUMMYFUNCTION("""COMPUTED_VALUE"""),"RUNNING")</f>
        <v>RUNNING</v>
      </c>
      <c r="V1902" s="11" t="str">
        <f>IFERROR(__xludf.DUMMYFUNCTION("""COMPUTED_VALUE"""),"08115666663")</f>
        <v>08115666663</v>
      </c>
      <c r="W1902" s="15"/>
    </row>
    <row r="1903">
      <c r="A1903" s="45"/>
      <c r="B1903" s="9">
        <f>IFERROR(__xludf.DUMMYFUNCTION("""COMPUTED_VALUE"""),45607.73119089121)</f>
        <v>45607.73119</v>
      </c>
      <c r="C1903" s="9"/>
      <c r="D1903" s="10">
        <f>IFERROR(__xludf.DUMMYFUNCTION("""COMPUTED_VALUE"""),45616.0)</f>
        <v>45616</v>
      </c>
      <c r="E1903" s="10" t="str">
        <f>IFERROR(__xludf.DUMMYFUNCTION("""COMPUTED_VALUE"""),"11Nov")</f>
        <v>11Nov</v>
      </c>
      <c r="F1903" s="10" t="str">
        <f>IFERROR(__xludf.DUMMYFUNCTION("""COMPUTED_VALUE"""),"2024")</f>
        <v>2024</v>
      </c>
      <c r="G1903" s="35" t="str">
        <f>IFERROR(__xludf.DUMMYFUNCTION("""COMPUTED_VALUE"""),"RIDHOALDY ERISAPUTRA")</f>
        <v>RIDHOALDY ERISAPUTRA</v>
      </c>
      <c r="H1903" s="17" t="str">
        <f>IFERROR(__xludf.DUMMYFUNCTION("""COMPUTED_VALUE"""),"R9824118810")</f>
        <v>R9824118810</v>
      </c>
      <c r="I1903" s="17">
        <f>IFERROR(__xludf.DUMMYFUNCTION("""COMPUTED_VALUE"""),27.0)</f>
        <v>27</v>
      </c>
      <c r="J1903" s="17" t="str">
        <f>IFERROR(__xludf.DUMMYFUNCTION("""COMPUTED_VALUE"""),"25-34 tahun")</f>
        <v>25-34 tahun</v>
      </c>
      <c r="K1903" s="19">
        <f>IFERROR(__xludf.DUMMYFUNCTION("""COMPUTED_VALUE"""),36078.0)</f>
        <v>36078</v>
      </c>
      <c r="L1903" s="19" t="str">
        <f>IFERROR(__xludf.DUMMYFUNCTION("""COMPUTED_VALUE"""),"LAKI-LAKI")</f>
        <v>LAKI-LAKI</v>
      </c>
      <c r="M1903" s="35" t="str">
        <f>IFERROR(__xludf.DUMMYFUNCTION("""COMPUTED_VALUE"""),"GG.MANDIRI II")</f>
        <v>GG.MANDIRI II</v>
      </c>
      <c r="N1903" s="16" t="str">
        <f>IFERROR(__xludf.DUMMYFUNCTION("""COMPUTED_VALUE"""),"DS. BERINGIN")</f>
        <v>DS. BERINGIN</v>
      </c>
      <c r="O1903" s="16" t="str">
        <f>IFERROR(__xludf.DUMMYFUNCTION("""COMPUTED_VALUE"""),"KEC. KAPUAS")</f>
        <v>KEC. KAPUAS</v>
      </c>
      <c r="P1903" s="16" t="str">
        <f>IFERROR(__xludf.DUMMYFUNCTION("""COMPUTED_VALUE"""),"KAB. SANGGAU")</f>
        <v>KAB. SANGGAU</v>
      </c>
      <c r="Q1903" s="16" t="str">
        <f>IFERROR(__xludf.DUMMYFUNCTION("""COMPUTED_VALUE"""),"KALIMANTAN BARAT")</f>
        <v>KALIMANTAN BARAT</v>
      </c>
      <c r="R1903" s="19" t="str">
        <f>IFERROR(__xludf.DUMMYFUNCTION("""COMPUTED_VALUE"""),"ISLAM")</f>
        <v>ISLAM</v>
      </c>
      <c r="S1903" s="16" t="str">
        <f>IFERROR(__xludf.DUMMYFUNCTION("""COMPUTED_VALUE"""),"SWASTA")</f>
        <v>SWASTA</v>
      </c>
      <c r="T1903" s="16" t="str">
        <f>IFERROR(__xludf.DUMMYFUNCTION("""COMPUTED_VALUE"""),"pergelangan kiri dan kanan, jempol kiri ngily")</f>
        <v>pergelangan kiri dan kanan, jempol kiri ngily</v>
      </c>
      <c r="U1903" s="16" t="str">
        <f>IFERROR(__xludf.DUMMYFUNCTION("""COMPUTED_VALUE"""),"futsal")</f>
        <v>futsal</v>
      </c>
      <c r="V1903" s="11" t="str">
        <f>IFERROR(__xludf.DUMMYFUNCTION("""COMPUTED_VALUE"""),"089602608810")</f>
        <v>089602608810</v>
      </c>
      <c r="W1903" s="15"/>
    </row>
    <row r="1904">
      <c r="A1904" s="45"/>
      <c r="B1904" s="9">
        <f>IFERROR(__xludf.DUMMYFUNCTION("""COMPUTED_VALUE"""),45607.8829744213)</f>
        <v>45607.88297</v>
      </c>
      <c r="C1904" s="9"/>
      <c r="D1904" s="10">
        <f>IFERROR(__xludf.DUMMYFUNCTION("""COMPUTED_VALUE"""),45616.0)</f>
        <v>45616</v>
      </c>
      <c r="E1904" s="10" t="str">
        <f>IFERROR(__xludf.DUMMYFUNCTION("""COMPUTED_VALUE"""),"11Nov")</f>
        <v>11Nov</v>
      </c>
      <c r="F1904" s="10" t="str">
        <f>IFERROR(__xludf.DUMMYFUNCTION("""COMPUTED_VALUE"""),"2024")</f>
        <v>2024</v>
      </c>
      <c r="G1904" s="35" t="str">
        <f>IFERROR(__xludf.DUMMYFUNCTION("""COMPUTED_VALUE"""),"ANDIEN MAHESWARI DINANTI")</f>
        <v>ANDIEN MAHESWARI DINANTI</v>
      </c>
      <c r="H1904" s="17" t="str">
        <f>IFERROR(__xludf.DUMMYFUNCTION("""COMPUTED_VALUE"""),"A1224118008")</f>
        <v>A1224118008</v>
      </c>
      <c r="I1904" s="17">
        <f>IFERROR(__xludf.DUMMYFUNCTION("""COMPUTED_VALUE"""),14.0)</f>
        <v>14</v>
      </c>
      <c r="J1904" s="17" t="str">
        <f>IFERROR(__xludf.DUMMYFUNCTION("""COMPUTED_VALUE"""),"&lt; 18 tahun")</f>
        <v>&lt; 18 tahun</v>
      </c>
      <c r="K1904" s="19">
        <f>IFERROR(__xludf.DUMMYFUNCTION("""COMPUTED_VALUE"""),40945.0)</f>
        <v>40945</v>
      </c>
      <c r="L1904" s="19" t="str">
        <f>IFERROR(__xludf.DUMMYFUNCTION("""COMPUTED_VALUE"""),"PEREMPUAN")</f>
        <v>PEREMPUAN</v>
      </c>
      <c r="M1904" s="35" t="str">
        <f>IFERROR(__xludf.DUMMYFUNCTION("""COMPUTED_VALUE"""),"JALAN DHARMA PUTRA GANG DHARMA PUTRA 3 NOMOR 11")</f>
        <v>JALAN DHARMA PUTRA GANG DHARMA PUTRA 3 NOMOR 11</v>
      </c>
      <c r="N1904" s="16" t="str">
        <f>IFERROR(__xludf.DUMMYFUNCTION("""COMPUTED_VALUE"""),"KEL. SIANTAN HILIR")</f>
        <v>KEL. SIANTAN HILIR</v>
      </c>
      <c r="O1904" s="16" t="str">
        <f>IFERROR(__xludf.DUMMYFUNCTION("""COMPUTED_VALUE"""),"KEC. PONTIANAK UTARA")</f>
        <v>KEC. PONTIANAK UTARA</v>
      </c>
      <c r="P1904" s="16" t="str">
        <f>IFERROR(__xludf.DUMMYFUNCTION("""COMPUTED_VALUE"""),"KOTA PONTIANAK")</f>
        <v>KOTA PONTIANAK</v>
      </c>
      <c r="Q1904" s="16" t="str">
        <f>IFERROR(__xludf.DUMMYFUNCTION("""COMPUTED_VALUE"""),"KALIMANTAN BARAT")</f>
        <v>KALIMANTAN BARAT</v>
      </c>
      <c r="R1904" s="19" t="str">
        <f>IFERROR(__xludf.DUMMYFUNCTION("""COMPUTED_VALUE"""),"ISLAM")</f>
        <v>ISLAM</v>
      </c>
      <c r="S1904" s="35" t="str">
        <f>IFERROR(__xludf.DUMMYFUNCTION("""COMPUTED_VALUE"""),"PENSIUN")</f>
        <v>PENSIUN</v>
      </c>
      <c r="T1904" s="16" t="str">
        <f>IFERROR(__xludf.DUMMYFUNCTION("""COMPUTED_VALUE"""),"SUSAH UNTUK BERJALAN")</f>
        <v>SUSAH UNTUK BERJALAN</v>
      </c>
      <c r="U1904" s="16" t="str">
        <f>IFERROR(__xludf.DUMMYFUNCTION("""COMPUTED_VALUE"""),"SELAMA SAKIT HOBINYA TIDUR")</f>
        <v>SELAMA SAKIT HOBINYA TIDUR</v>
      </c>
      <c r="V1904" s="11" t="str">
        <f>IFERROR(__xludf.DUMMYFUNCTION("""COMPUTED_VALUE"""),"081256978008")</f>
        <v>081256978008</v>
      </c>
      <c r="W1904" s="15"/>
    </row>
    <row r="1905">
      <c r="A1905" s="45"/>
      <c r="B1905" s="9">
        <f>IFERROR(__xludf.DUMMYFUNCTION("""COMPUTED_VALUE"""),45603.45117939815)</f>
        <v>45603.45118</v>
      </c>
      <c r="C1905" s="9"/>
      <c r="D1905" s="10">
        <f>IFERROR(__xludf.DUMMYFUNCTION("""COMPUTED_VALUE"""),45616.0)</f>
        <v>45616</v>
      </c>
      <c r="E1905" s="10" t="str">
        <f>IFERROR(__xludf.DUMMYFUNCTION("""COMPUTED_VALUE"""),"11Nov")</f>
        <v>11Nov</v>
      </c>
      <c r="F1905" s="10" t="str">
        <f>IFERROR(__xludf.DUMMYFUNCTION("""COMPUTED_VALUE"""),"2024")</f>
        <v>2024</v>
      </c>
      <c r="G1905" s="35" t="str">
        <f>IFERROR(__xludf.DUMMYFUNCTION("""COMPUTED_VALUE"""),"MUHAMMAD ALFATIH")</f>
        <v>MUHAMMAD ALFATIH</v>
      </c>
      <c r="H1905" s="17" t="str">
        <f>IFERROR(__xludf.DUMMYFUNCTION("""COMPUTED_VALUE"""),"M1424110570")</f>
        <v>M1424110570</v>
      </c>
      <c r="I1905" s="17">
        <f>IFERROR(__xludf.DUMMYFUNCTION("""COMPUTED_VALUE"""),11.0)</f>
        <v>11</v>
      </c>
      <c r="J1905" s="17" t="str">
        <f>IFERROR(__xludf.DUMMYFUNCTION("""COMPUTED_VALUE"""),"&lt; 18 tahun")</f>
        <v>&lt; 18 tahun</v>
      </c>
      <c r="K1905" s="19">
        <f>IFERROR(__xludf.DUMMYFUNCTION("""COMPUTED_VALUE"""),41888.0)</f>
        <v>41888</v>
      </c>
      <c r="L1905" s="19" t="str">
        <f>IFERROR(__xludf.DUMMYFUNCTION("""COMPUTED_VALUE"""),"LAKI-LAKI")</f>
        <v>LAKI-LAKI</v>
      </c>
      <c r="M1905" s="35" t="str">
        <f>IFERROR(__xludf.DUMMYFUNCTION("""COMPUTED_VALUE"""),"JL P. H. HUSEIN II KOMPLEK PEMDA JALUR III NO.34")</f>
        <v>JL P. H. HUSEIN II KOMPLEK PEMDA JALUR III NO.34</v>
      </c>
      <c r="N1905" s="16" t="str">
        <f>IFERROR(__xludf.DUMMYFUNCTION("""COMPUTED_VALUE"""),"BANSIR DARAT")</f>
        <v>BANSIR DARAT</v>
      </c>
      <c r="O1905" s="16" t="str">
        <f>IFERROR(__xludf.DUMMYFUNCTION("""COMPUTED_VALUE"""),"KEC. PONTIANAK TENGGARA")</f>
        <v>KEC. PONTIANAK TENGGARA</v>
      </c>
      <c r="P1905" s="16" t="str">
        <f>IFERROR(__xludf.DUMMYFUNCTION("""COMPUTED_VALUE"""),"KOTA PONTIANAK")</f>
        <v>KOTA PONTIANAK</v>
      </c>
      <c r="Q1905" s="16" t="str">
        <f>IFERROR(__xludf.DUMMYFUNCTION("""COMPUTED_VALUE"""),"KALIMANTAN BARAT")</f>
        <v>KALIMANTAN BARAT</v>
      </c>
      <c r="R1905" s="19" t="str">
        <f>IFERROR(__xludf.DUMMYFUNCTION("""COMPUTED_VALUE"""),"ISLAM")</f>
        <v>ISLAM</v>
      </c>
      <c r="S1905" s="35" t="str">
        <f>IFERROR(__xludf.DUMMYFUNCTION("""COMPUTED_VALUE"""),"RUMAH TANGGA")</f>
        <v>RUMAH TANGGA</v>
      </c>
      <c r="T1905" s="16" t="str">
        <f>IFERROR(__xludf.DUMMYFUNCTION("""COMPUTED_VALUE"""),"SAKIT PERGELANGAN TANGAN")</f>
        <v>SAKIT PERGELANGAN TANGAN</v>
      </c>
      <c r="U1905" s="16" t="str">
        <f>IFERROR(__xludf.DUMMYFUNCTION("""COMPUTED_VALUE"""),"-")</f>
        <v>-</v>
      </c>
      <c r="V1905" s="11" t="str">
        <f>IFERROR(__xludf.DUMMYFUNCTION("""COMPUTED_VALUE"""),"082150930570")</f>
        <v>082150930570</v>
      </c>
      <c r="W1905" s="15"/>
    </row>
    <row r="1906">
      <c r="A1906" s="45"/>
      <c r="B1906" s="9">
        <f>IFERROR(__xludf.DUMMYFUNCTION("""COMPUTED_VALUE"""),45603.64712136574)</f>
        <v>45603.64712</v>
      </c>
      <c r="C1906" s="9"/>
      <c r="D1906" s="10">
        <f>IFERROR(__xludf.DUMMYFUNCTION("""COMPUTED_VALUE"""),45616.0)</f>
        <v>45616</v>
      </c>
      <c r="E1906" s="10" t="str">
        <f>IFERROR(__xludf.DUMMYFUNCTION("""COMPUTED_VALUE"""),"11Nov")</f>
        <v>11Nov</v>
      </c>
      <c r="F1906" s="10" t="str">
        <f>IFERROR(__xludf.DUMMYFUNCTION("""COMPUTED_VALUE"""),"2024")</f>
        <v>2024</v>
      </c>
      <c r="G1906" s="35" t="str">
        <f>IFERROR(__xludf.DUMMYFUNCTION("""COMPUTED_VALUE"""),"NELY SUHARTINI")</f>
        <v>NELY SUHARTINI</v>
      </c>
      <c r="H1906" s="17" t="str">
        <f>IFERROR(__xludf.DUMMYFUNCTION("""COMPUTED_VALUE"""),"N6924116663")</f>
        <v>N6924116663</v>
      </c>
      <c r="I1906" s="17">
        <f>IFERROR(__xludf.DUMMYFUNCTION("""COMPUTED_VALUE"""),56.0)</f>
        <v>56</v>
      </c>
      <c r="J1906" s="17" t="str">
        <f>IFERROR(__xludf.DUMMYFUNCTION("""COMPUTED_VALUE"""),"&gt; 44 tahun")</f>
        <v>&gt; 44 tahun</v>
      </c>
      <c r="K1906" s="19">
        <f>IFERROR(__xludf.DUMMYFUNCTION("""COMPUTED_VALUE"""),25381.0)</f>
        <v>25381</v>
      </c>
      <c r="L1906" s="19" t="str">
        <f>IFERROR(__xludf.DUMMYFUNCTION("""COMPUTED_VALUE"""),"PEREMPUAN")</f>
        <v>PEREMPUAN</v>
      </c>
      <c r="M1906" s="35" t="str">
        <f>IFERROR(__xludf.DUMMYFUNCTION("""COMPUTED_VALUE"""),"JL PUTIH SALJU BLOK C 5 NO 21")</f>
        <v>JL PUTIH SALJU BLOK C 5 NO 21</v>
      </c>
      <c r="N1906" s="16" t="str">
        <f>IFERROR(__xludf.DUMMYFUNCTION("""COMPUTED_VALUE"""),"KEL. KELAPA GADING")</f>
        <v>KEL. KELAPA GADING</v>
      </c>
      <c r="O1906" s="16" t="str">
        <f>IFERROR(__xludf.DUMMYFUNCTION("""COMPUTED_VALUE"""),"KELAPA GADING")</f>
        <v>KELAPA GADING</v>
      </c>
      <c r="P1906" s="16" t="str">
        <f>IFERROR(__xludf.DUMMYFUNCTION("""COMPUTED_VALUE"""),"KOTA JAKARTA UTARA")</f>
        <v>KOTA JAKARTA UTARA</v>
      </c>
      <c r="Q1906" s="16" t="str">
        <f>IFERROR(__xludf.DUMMYFUNCTION("""COMPUTED_VALUE"""),"DKI JAKARTA")</f>
        <v>DKI JAKARTA</v>
      </c>
      <c r="R1906" s="19" t="str">
        <f>IFERROR(__xludf.DUMMYFUNCTION("""COMPUTED_VALUE"""),"ISLAM")</f>
        <v>ISLAM</v>
      </c>
      <c r="S1906" s="16" t="str">
        <f>IFERROR(__xludf.DUMMYFUNCTION("""COMPUTED_VALUE"""),"BUMN")</f>
        <v>BUMN</v>
      </c>
      <c r="T1906" s="16" t="str">
        <f>IFERROR(__xludf.DUMMYFUNCTION("""COMPUTED_VALUE"""),"URATKAKI TERTARIK")</f>
        <v>URATKAKI TERTARIK</v>
      </c>
      <c r="U1906" s="16" t="str">
        <f>IFERROR(__xludf.DUMMYFUNCTION("""COMPUTED_VALUE"""),"RUNNING")</f>
        <v>RUNNING</v>
      </c>
      <c r="V1906" s="11" t="str">
        <f>IFERROR(__xludf.DUMMYFUNCTION("""COMPUTED_VALUE"""),"08115666663")</f>
        <v>08115666663</v>
      </c>
      <c r="W1906" s="15"/>
    </row>
    <row r="1907">
      <c r="A1907" s="45"/>
      <c r="B1907" s="9">
        <f>IFERROR(__xludf.DUMMYFUNCTION("""COMPUTED_VALUE"""),45606.50683453704)</f>
        <v>45606.50683</v>
      </c>
      <c r="C1907" s="9"/>
      <c r="D1907" s="10">
        <f>IFERROR(__xludf.DUMMYFUNCTION("""COMPUTED_VALUE"""),45616.0)</f>
        <v>45616</v>
      </c>
      <c r="E1907" s="10" t="str">
        <f>IFERROR(__xludf.DUMMYFUNCTION("""COMPUTED_VALUE"""),"11Nov")</f>
        <v>11Nov</v>
      </c>
      <c r="F1907" s="10" t="str">
        <f>IFERROR(__xludf.DUMMYFUNCTION("""COMPUTED_VALUE"""),"2024")</f>
        <v>2024</v>
      </c>
      <c r="G1907" s="35" t="str">
        <f>IFERROR(__xludf.DUMMYFUNCTION("""COMPUTED_VALUE"""),"KHOLIS AGUSTIAN")</f>
        <v>KHOLIS AGUSTIAN</v>
      </c>
      <c r="H1907" s="17" t="str">
        <f>IFERROR(__xludf.DUMMYFUNCTION("""COMPUTED_VALUE"""),"K9224112556")</f>
        <v>K9224112556</v>
      </c>
      <c r="I1907" s="17">
        <f>IFERROR(__xludf.DUMMYFUNCTION("""COMPUTED_VALUE"""),33.0)</f>
        <v>33</v>
      </c>
      <c r="J1907" s="17" t="str">
        <f>IFERROR(__xludf.DUMMYFUNCTION("""COMPUTED_VALUE"""),"25-34 tahun")</f>
        <v>25-34 tahun</v>
      </c>
      <c r="K1907" s="19">
        <f>IFERROR(__xludf.DUMMYFUNCTION("""COMPUTED_VALUE"""),33834.0)</f>
        <v>33834</v>
      </c>
      <c r="L1907" s="19" t="str">
        <f>IFERROR(__xludf.DUMMYFUNCTION("""COMPUTED_VALUE"""),"LAKI-LAKI")</f>
        <v>LAKI-LAKI</v>
      </c>
      <c r="M1907" s="35" t="str">
        <f>IFERROR(__xludf.DUMMYFUNCTION("""COMPUTED_VALUE"""),"JL. KARYABARU GG JARYA BARU 9")</f>
        <v>JL. KARYABARU GG JARYA BARU 9</v>
      </c>
      <c r="N1907" s="16" t="str">
        <f>IFERROR(__xludf.DUMMYFUNCTION("""COMPUTED_VALUE"""),"KEL. PARIT TOKAYA")</f>
        <v>KEL. PARIT TOKAYA</v>
      </c>
      <c r="O1907" s="16" t="str">
        <f>IFERROR(__xludf.DUMMYFUNCTION("""COMPUTED_VALUE"""),"KEC. PONTIANAK SELATAN")</f>
        <v>KEC. PONTIANAK SELATAN</v>
      </c>
      <c r="P1907" s="16" t="str">
        <f>IFERROR(__xludf.DUMMYFUNCTION("""COMPUTED_VALUE"""),"KOTA PONTIANAK")</f>
        <v>KOTA PONTIANAK</v>
      </c>
      <c r="Q1907" s="16" t="str">
        <f>IFERROR(__xludf.DUMMYFUNCTION("""COMPUTED_VALUE"""),"KALIMANTAN BARAT")</f>
        <v>KALIMANTAN BARAT</v>
      </c>
      <c r="R1907" s="19" t="str">
        <f>IFERROR(__xludf.DUMMYFUNCTION("""COMPUTED_VALUE"""),"ISLAM")</f>
        <v>ISLAM</v>
      </c>
      <c r="S1907" s="16" t="str">
        <f>IFERROR(__xludf.DUMMYFUNCTION("""COMPUTED_VALUE"""),"PERAWAT")</f>
        <v>PERAWAT</v>
      </c>
      <c r="T1907" s="16" t="str">
        <f>IFERROR(__xludf.DUMMYFUNCTION("""COMPUTED_VALUE"""),"PASKA OPERASI ACL")</f>
        <v>PASKA OPERASI ACL</v>
      </c>
      <c r="U1907" s="16" t="str">
        <f>IFERROR(__xludf.DUMMYFUNCTION("""COMPUTED_VALUE"""),"OLAHRAGA")</f>
        <v>OLAHRAGA</v>
      </c>
      <c r="V1907" s="11" t="str">
        <f>IFERROR(__xludf.DUMMYFUNCTION("""COMPUTED_VALUE"""),"089693652556")</f>
        <v>089693652556</v>
      </c>
      <c r="W1907" s="15"/>
    </row>
    <row r="1908">
      <c r="A1908" s="45"/>
      <c r="B1908" s="9">
        <f>IFERROR(__xludf.DUMMYFUNCTION("""COMPUTED_VALUE"""),45603.83135278935)</f>
        <v>45603.83135</v>
      </c>
      <c r="C1908" s="9"/>
      <c r="D1908" s="10">
        <f>IFERROR(__xludf.DUMMYFUNCTION("""COMPUTED_VALUE"""),45617.0)</f>
        <v>45617</v>
      </c>
      <c r="E1908" s="10" t="str">
        <f>IFERROR(__xludf.DUMMYFUNCTION("""COMPUTED_VALUE"""),"11Nov")</f>
        <v>11Nov</v>
      </c>
      <c r="F1908" s="10" t="str">
        <f>IFERROR(__xludf.DUMMYFUNCTION("""COMPUTED_VALUE"""),"2024")</f>
        <v>2024</v>
      </c>
      <c r="G1908" s="35" t="str">
        <f>IFERROR(__xludf.DUMMYFUNCTION("""COMPUTED_VALUE"""),"R. BANU NUGROHO")</f>
        <v>R. BANU NUGROHO</v>
      </c>
      <c r="H1908" s="17" t="str">
        <f>IFERROR(__xludf.DUMMYFUNCTION("""COMPUTED_VALUE"""),"R8124118509")</f>
        <v>R8124118509</v>
      </c>
      <c r="I1908" s="17">
        <f>IFERROR(__xludf.DUMMYFUNCTION("""COMPUTED_VALUE"""),45.0)</f>
        <v>45</v>
      </c>
      <c r="J1908" s="17" t="str">
        <f>IFERROR(__xludf.DUMMYFUNCTION("""COMPUTED_VALUE"""),"&gt; 44 tahun")</f>
        <v>&gt; 44 tahun</v>
      </c>
      <c r="K1908" s="19">
        <f>IFERROR(__xludf.DUMMYFUNCTION("""COMPUTED_VALUE"""),29636.0)</f>
        <v>29636</v>
      </c>
      <c r="L1908" s="19" t="str">
        <f>IFERROR(__xludf.DUMMYFUNCTION("""COMPUTED_VALUE"""),"LAKI-LAKI")</f>
        <v>LAKI-LAKI</v>
      </c>
      <c r="M1908" s="35" t="str">
        <f>IFERROR(__xludf.DUMMYFUNCTION("""COMPUTED_VALUE"""),"JL. DR. SUTOMO GANG SARIKOTON NOMOR 56")</f>
        <v>JL. DR. SUTOMO GANG SARIKOTON NOMOR 56</v>
      </c>
      <c r="N1908" s="16" t="str">
        <f>IFERROR(__xludf.DUMMYFUNCTION("""COMPUTED_VALUE"""),"KEL. SUNGAI BANGKONG")</f>
        <v>KEL. SUNGAI BANGKONG</v>
      </c>
      <c r="O1908" s="16" t="str">
        <f>IFERROR(__xludf.DUMMYFUNCTION("""COMPUTED_VALUE"""),"KEC. PONTIANAK KOTA")</f>
        <v>KEC. PONTIANAK KOTA</v>
      </c>
      <c r="P1908" s="16" t="str">
        <f>IFERROR(__xludf.DUMMYFUNCTION("""COMPUTED_VALUE"""),"KOTA PONTIANAK")</f>
        <v>KOTA PONTIANAK</v>
      </c>
      <c r="Q1908" s="16" t="str">
        <f>IFERROR(__xludf.DUMMYFUNCTION("""COMPUTED_VALUE"""),"KALIMANTAN BARAT")</f>
        <v>KALIMANTAN BARAT</v>
      </c>
      <c r="R1908" s="19" t="str">
        <f>IFERROR(__xludf.DUMMYFUNCTION("""COMPUTED_VALUE"""),"ISLAM")</f>
        <v>ISLAM</v>
      </c>
      <c r="S1908" s="16" t="str">
        <f>IFERROR(__xludf.DUMMYFUNCTION("""COMPUTED_VALUE"""),"ASN")</f>
        <v>ASN</v>
      </c>
      <c r="T1908" s="16" t="str">
        <f>IFERROR(__xludf.DUMMYFUNCTION("""COMPUTED_VALUE"""),"Nyeri di sendi bahu sebelah kanan karena angkat beban")</f>
        <v>Nyeri di sendi bahu sebelah kanan karena angkat beban</v>
      </c>
      <c r="U1908" s="16" t="str">
        <f>IFERROR(__xludf.DUMMYFUNCTION("""COMPUTED_VALUE"""),"Olahraga angkat beban")</f>
        <v>Olahraga angkat beban</v>
      </c>
      <c r="V1908" s="11" t="str">
        <f>IFERROR(__xludf.DUMMYFUNCTION("""COMPUTED_VALUE"""),"081345098509")</f>
        <v>081345098509</v>
      </c>
      <c r="W1908" s="15"/>
    </row>
    <row r="1909">
      <c r="A1909" s="45"/>
      <c r="B1909" s="9">
        <f>IFERROR(__xludf.DUMMYFUNCTION("""COMPUTED_VALUE"""),45604.520144375)</f>
        <v>45604.52014</v>
      </c>
      <c r="C1909" s="9"/>
      <c r="D1909" s="10">
        <f>IFERROR(__xludf.DUMMYFUNCTION("""COMPUTED_VALUE"""),45617.0)</f>
        <v>45617</v>
      </c>
      <c r="E1909" s="10" t="str">
        <f>IFERROR(__xludf.DUMMYFUNCTION("""COMPUTED_VALUE"""),"11Nov")</f>
        <v>11Nov</v>
      </c>
      <c r="F1909" s="10" t="str">
        <f>IFERROR(__xludf.DUMMYFUNCTION("""COMPUTED_VALUE"""),"2024")</f>
        <v>2024</v>
      </c>
      <c r="G1909" s="35" t="str">
        <f>IFERROR(__xludf.DUMMYFUNCTION("""COMPUTED_VALUE"""),"SURYA FEBRANI")</f>
        <v>SURYA FEBRANI</v>
      </c>
      <c r="H1909" s="17" t="str">
        <f>IFERROR(__xludf.DUMMYFUNCTION("""COMPUTED_VALUE"""),"S8624110878")</f>
        <v>S8624110878</v>
      </c>
      <c r="I1909" s="17">
        <f>IFERROR(__xludf.DUMMYFUNCTION("""COMPUTED_VALUE"""),40.0)</f>
        <v>40</v>
      </c>
      <c r="J1909" s="17" t="str">
        <f>IFERROR(__xludf.DUMMYFUNCTION("""COMPUTED_VALUE"""),"35-44 tahun")</f>
        <v>35-44 tahun</v>
      </c>
      <c r="K1909" s="19">
        <f>IFERROR(__xludf.DUMMYFUNCTION("""COMPUTED_VALUE"""),31450.0)</f>
        <v>31450</v>
      </c>
      <c r="L1909" s="19" t="str">
        <f>IFERROR(__xludf.DUMMYFUNCTION("""COMPUTED_VALUE"""),"LAKI-LAKI")</f>
        <v>LAKI-LAKI</v>
      </c>
      <c r="M1909" s="35" t="str">
        <f>IFERROR(__xludf.DUMMYFUNCTION("""COMPUTED_VALUE"""),"JL. KARET GANG EKA SAPTA NOMOR 16")</f>
        <v>JL. KARET GANG EKA SAPTA NOMOR 16</v>
      </c>
      <c r="N1909" s="16" t="str">
        <f>IFERROR(__xludf.DUMMYFUNCTION("""COMPUTED_VALUE"""),"KEL. SUNGAI BELIUNG")</f>
        <v>KEL. SUNGAI BELIUNG</v>
      </c>
      <c r="O1909" s="16" t="str">
        <f>IFERROR(__xludf.DUMMYFUNCTION("""COMPUTED_VALUE"""),"KEC. PONTIANAK KOTA")</f>
        <v>KEC. PONTIANAK KOTA</v>
      </c>
      <c r="P1909" s="16" t="str">
        <f>IFERROR(__xludf.DUMMYFUNCTION("""COMPUTED_VALUE"""),"KOTA PONTIANAK")</f>
        <v>KOTA PONTIANAK</v>
      </c>
      <c r="Q1909" s="16" t="str">
        <f>IFERROR(__xludf.DUMMYFUNCTION("""COMPUTED_VALUE"""),"KALIMANTAN BARAT")</f>
        <v>KALIMANTAN BARAT</v>
      </c>
      <c r="R1909" s="19" t="str">
        <f>IFERROR(__xludf.DUMMYFUNCTION("""COMPUTED_VALUE"""),"ISLAM")</f>
        <v>ISLAM</v>
      </c>
      <c r="S1909" s="16" t="str">
        <f>IFERROR(__xludf.DUMMYFUNCTION("""COMPUTED_VALUE"""),"TNI/POLRI")</f>
        <v>TNI/POLRI</v>
      </c>
      <c r="T1909" s="16" t="str">
        <f>IFERROR(__xludf.DUMMYFUNCTION("""COMPUTED_VALUE"""),"Sakit pada lutut")</f>
        <v>Sakit pada lutut</v>
      </c>
      <c r="U1909" s="16" t="str">
        <f>IFERROR(__xludf.DUMMYFUNCTION("""COMPUTED_VALUE"""),"Bola dan badminton")</f>
        <v>Bola dan badminton</v>
      </c>
      <c r="V1909" s="11" t="str">
        <f>IFERROR(__xludf.DUMMYFUNCTION("""COMPUTED_VALUE"""),"081258670878")</f>
        <v>081258670878</v>
      </c>
      <c r="W1909" s="15"/>
    </row>
    <row r="1910">
      <c r="A1910" s="45"/>
      <c r="B1910" s="9">
        <f>IFERROR(__xludf.DUMMYFUNCTION("""COMPUTED_VALUE"""),45604.526858136574)</f>
        <v>45604.52686</v>
      </c>
      <c r="C1910" s="9"/>
      <c r="D1910" s="10">
        <f>IFERROR(__xludf.DUMMYFUNCTION("""COMPUTED_VALUE"""),45618.0)</f>
        <v>45618</v>
      </c>
      <c r="E1910" s="10" t="str">
        <f>IFERROR(__xludf.DUMMYFUNCTION("""COMPUTED_VALUE"""),"11Nov")</f>
        <v>11Nov</v>
      </c>
      <c r="F1910" s="10" t="str">
        <f>IFERROR(__xludf.DUMMYFUNCTION("""COMPUTED_VALUE"""),"2024")</f>
        <v>2024</v>
      </c>
      <c r="G1910" s="35" t="str">
        <f>IFERROR(__xludf.DUMMYFUNCTION("""COMPUTED_VALUE"""),"HARRY RONALDI M.")</f>
        <v>HARRY RONALDI M.</v>
      </c>
      <c r="H1910" s="17" t="str">
        <f>IFERROR(__xludf.DUMMYFUNCTION("""COMPUTED_VALUE"""),"H7724119988")</f>
        <v>H7724119988</v>
      </c>
      <c r="I1910" s="17">
        <f>IFERROR(__xludf.DUMMYFUNCTION("""COMPUTED_VALUE"""),48.0)</f>
        <v>48</v>
      </c>
      <c r="J1910" s="17" t="str">
        <f>IFERROR(__xludf.DUMMYFUNCTION("""COMPUTED_VALUE"""),"&gt; 44 tahun")</f>
        <v>&gt; 44 tahun</v>
      </c>
      <c r="K1910" s="19">
        <f>IFERROR(__xludf.DUMMYFUNCTION("""COMPUTED_VALUE"""),28341.0)</f>
        <v>28341</v>
      </c>
      <c r="L1910" s="19" t="str">
        <f>IFERROR(__xludf.DUMMYFUNCTION("""COMPUTED_VALUE"""),"LAKI-LAKI")</f>
        <v>LAKI-LAKI</v>
      </c>
      <c r="M1910" s="35" t="str">
        <f>IFERROR(__xludf.DUMMYFUNCTION("""COMPUTED_VALUE"""),"JL. PUTRI CANDRAMIDI GG. TRIJAYA NO 9")</f>
        <v>JL. PUTRI CANDRAMIDI GG. TRIJAYA NO 9</v>
      </c>
      <c r="N1910" s="16" t="str">
        <f>IFERROR(__xludf.DUMMYFUNCTION("""COMPUTED_VALUE"""),"KEL. SUNGAI BANGKONG")</f>
        <v>KEL. SUNGAI BANGKONG</v>
      </c>
      <c r="O1910" s="16" t="str">
        <f>IFERROR(__xludf.DUMMYFUNCTION("""COMPUTED_VALUE"""),"KEC. PONTIANAK KOTA")</f>
        <v>KEC. PONTIANAK KOTA</v>
      </c>
      <c r="P1910" s="16" t="str">
        <f>IFERROR(__xludf.DUMMYFUNCTION("""COMPUTED_VALUE"""),"KOTA PONTIANAK")</f>
        <v>KOTA PONTIANAK</v>
      </c>
      <c r="Q1910" s="16" t="str">
        <f>IFERROR(__xludf.DUMMYFUNCTION("""COMPUTED_VALUE"""),"KALIMANTAN BARAT")</f>
        <v>KALIMANTAN BARAT</v>
      </c>
      <c r="R1910" s="19" t="str">
        <f>IFERROR(__xludf.DUMMYFUNCTION("""COMPUTED_VALUE"""),"ISLAM")</f>
        <v>ISLAM</v>
      </c>
      <c r="S1910" s="16" t="str">
        <f>IFERROR(__xludf.DUMMYFUNCTION("""COMPUTED_VALUE"""),"ASN")</f>
        <v>ASN</v>
      </c>
      <c r="T1910" s="16" t="str">
        <f>IFERROR(__xludf.DUMMYFUNCTION("""COMPUTED_VALUE"""),"Kaki kanan sakit")</f>
        <v>Kaki kanan sakit</v>
      </c>
      <c r="U1910" s="16" t="str">
        <f>IFERROR(__xludf.DUMMYFUNCTION("""COMPUTED_VALUE"""),"Musik")</f>
        <v>Musik</v>
      </c>
      <c r="V1910" s="11" t="str">
        <f>IFERROR(__xludf.DUMMYFUNCTION("""COMPUTED_VALUE"""),"081522629988")</f>
        <v>081522629988</v>
      </c>
      <c r="W1910" s="15"/>
    </row>
    <row r="1911">
      <c r="A1911" s="45"/>
      <c r="B1911" s="9">
        <f>IFERROR(__xludf.DUMMYFUNCTION("""COMPUTED_VALUE"""),45604.57317934028)</f>
        <v>45604.57318</v>
      </c>
      <c r="C1911" s="9"/>
      <c r="D1911" s="10">
        <f>IFERROR(__xludf.DUMMYFUNCTION("""COMPUTED_VALUE"""),45619.0)</f>
        <v>45619</v>
      </c>
      <c r="E1911" s="10" t="str">
        <f>IFERROR(__xludf.DUMMYFUNCTION("""COMPUTED_VALUE"""),"11Nov")</f>
        <v>11Nov</v>
      </c>
      <c r="F1911" s="10" t="str">
        <f>IFERROR(__xludf.DUMMYFUNCTION("""COMPUTED_VALUE"""),"2024")</f>
        <v>2024</v>
      </c>
      <c r="G1911" s="35" t="str">
        <f>IFERROR(__xludf.DUMMYFUNCTION("""COMPUTED_VALUE"""),"MUHAMMAD HASYA UBAIDILLAH")</f>
        <v>MUHAMMAD HASYA UBAIDILLAH</v>
      </c>
      <c r="H1911" s="17" t="str">
        <f>IFERROR(__xludf.DUMMYFUNCTION("""COMPUTED_VALUE"""),"M0724114151")</f>
        <v>M0724114151</v>
      </c>
      <c r="I1911" s="17">
        <f>IFERROR(__xludf.DUMMYFUNCTION("""COMPUTED_VALUE"""),19.0)</f>
        <v>19</v>
      </c>
      <c r="J1911" s="17" t="str">
        <f>IFERROR(__xludf.DUMMYFUNCTION("""COMPUTED_VALUE"""),"18-24 tahun")</f>
        <v>18-24 tahun</v>
      </c>
      <c r="K1911" s="19">
        <f>IFERROR(__xludf.DUMMYFUNCTION("""COMPUTED_VALUE"""),39212.0)</f>
        <v>39212</v>
      </c>
      <c r="L1911" s="19" t="str">
        <f>IFERROR(__xludf.DUMMYFUNCTION("""COMPUTED_VALUE"""),"LAKI-LAKI")</f>
        <v>LAKI-LAKI</v>
      </c>
      <c r="M1911" s="35" t="str">
        <f>IFERROR(__xludf.DUMMYFUNCTION("""COMPUTED_VALUE"""),"KEMBAYAN - SANGGAU KALIMANTAN BARAT")</f>
        <v>KEMBAYAN - SANGGAU KALIMANTAN BARAT</v>
      </c>
      <c r="N1911" s="16" t="str">
        <f>IFERROR(__xludf.DUMMYFUNCTION("""COMPUTED_VALUE"""),"DS. TANJUNG MERPATI")</f>
        <v>DS. TANJUNG MERPATI</v>
      </c>
      <c r="O1911" s="16" t="str">
        <f>IFERROR(__xludf.DUMMYFUNCTION("""COMPUTED_VALUE"""),"KEC. KEMBAYAN")</f>
        <v>KEC. KEMBAYAN</v>
      </c>
      <c r="P1911" s="16" t="str">
        <f>IFERROR(__xludf.DUMMYFUNCTION("""COMPUTED_VALUE"""),"KAB. SANGGAU")</f>
        <v>KAB. SANGGAU</v>
      </c>
      <c r="Q1911" s="16" t="str">
        <f>IFERROR(__xludf.DUMMYFUNCTION("""COMPUTED_VALUE"""),"KALIMANTAN BARAT")</f>
        <v>KALIMANTAN BARAT</v>
      </c>
      <c r="R1911" s="19" t="str">
        <f>IFERROR(__xludf.DUMMYFUNCTION("""COMPUTED_VALUE"""),"ISLAM")</f>
        <v>ISLAM</v>
      </c>
      <c r="S1911" s="16" t="str">
        <f>IFERROR(__xludf.DUMMYFUNCTION("""COMPUTED_VALUE"""),"PELAJAR/MAHASISWA")</f>
        <v>PELAJAR/MAHASISWA</v>
      </c>
      <c r="T1911" s="16" t="str">
        <f>IFERROR(__xludf.DUMMYFUNCTION("""COMPUTED_VALUE"""),"Lutut kaki")</f>
        <v>Lutut kaki</v>
      </c>
      <c r="U1911" s="16" t="str">
        <f>IFERROR(__xludf.DUMMYFUNCTION("""COMPUTED_VALUE"""),"Olah raga")</f>
        <v>Olah raga</v>
      </c>
      <c r="V1911" s="11" t="str">
        <f>IFERROR(__xludf.DUMMYFUNCTION("""COMPUTED_VALUE"""),"0811574151")</f>
        <v>0811574151</v>
      </c>
      <c r="W1911" s="15"/>
    </row>
    <row r="1912">
      <c r="A1912" s="45"/>
      <c r="B1912" s="9"/>
      <c r="C1912" s="9"/>
      <c r="D1912" s="10">
        <f>IFERROR(__xludf.DUMMYFUNCTION("""COMPUTED_VALUE"""),45619.0)</f>
        <v>45619</v>
      </c>
      <c r="E1912" s="10" t="str">
        <f>IFERROR(__xludf.DUMMYFUNCTION("""COMPUTED_VALUE"""),"11Nov")</f>
        <v>11Nov</v>
      </c>
      <c r="F1912" s="10" t="str">
        <f>IFERROR(__xludf.DUMMYFUNCTION("""COMPUTED_VALUE"""),"2024")</f>
        <v>2024</v>
      </c>
      <c r="G1912" s="35" t="str">
        <f>IFERROR(__xludf.DUMMYFUNCTION("""COMPUTED_VALUE"""),"PRICILIA FORZACHITA")</f>
        <v>PRICILIA FORZACHITA</v>
      </c>
      <c r="H1912" s="17" t="str">
        <f>IFERROR(__xludf.DUMMYFUNCTION("""COMPUTED_VALUE"""),"P0224110020")</f>
        <v>P0224110020</v>
      </c>
      <c r="I1912" s="17">
        <f>IFERROR(__xludf.DUMMYFUNCTION("""COMPUTED_VALUE"""),23.0)</f>
        <v>23</v>
      </c>
      <c r="J1912" s="17" t="str">
        <f>IFERROR(__xludf.DUMMYFUNCTION("""COMPUTED_VALUE"""),"18-24 tahun")</f>
        <v>18-24 tahun</v>
      </c>
      <c r="K1912" s="19">
        <f>IFERROR(__xludf.DUMMYFUNCTION("""COMPUTED_VALUE"""),37512.0)</f>
        <v>37512</v>
      </c>
      <c r="L1912" s="19" t="str">
        <f>IFERROR(__xludf.DUMMYFUNCTION("""COMPUTED_VALUE"""),"PEREMPUAN")</f>
        <v>PEREMPUAN</v>
      </c>
      <c r="M1912" s="35" t="str">
        <f>IFERROR(__xludf.DUMMYFUNCTION("""COMPUTED_VALUE"""),"JALAN DESA PAHUMAN")</f>
        <v>JALAN DESA PAHUMAN</v>
      </c>
      <c r="N1912" s="16" t="str">
        <f>IFERROR(__xludf.DUMMYFUNCTION("""COMPUTED_VALUE"""),"DS. PAHUMAN")</f>
        <v>DS. PAHUMAN</v>
      </c>
      <c r="O1912" s="16" t="str">
        <f>IFERROR(__xludf.DUMMYFUNCTION("""COMPUTED_VALUE"""),"KEC. SENGAH TEMILA")</f>
        <v>KEC. SENGAH TEMILA</v>
      </c>
      <c r="P1912" s="16" t="str">
        <f>IFERROR(__xludf.DUMMYFUNCTION("""COMPUTED_VALUE"""),"KAB. LANDAK")</f>
        <v>KAB. LANDAK</v>
      </c>
      <c r="Q1912" s="16" t="str">
        <f>IFERROR(__xludf.DUMMYFUNCTION("""COMPUTED_VALUE"""),"KALIMANTAN BARAT")</f>
        <v>KALIMANTAN BARAT</v>
      </c>
      <c r="R1912" s="19" t="str">
        <f>IFERROR(__xludf.DUMMYFUNCTION("""COMPUTED_VALUE"""),"KATOLIK")</f>
        <v>KATOLIK</v>
      </c>
      <c r="S1912" s="35" t="str">
        <f>IFERROR(__xludf.DUMMYFUNCTION("""COMPUTED_VALUE"""),"WIRASWASTA")</f>
        <v>WIRASWASTA</v>
      </c>
      <c r="T1912" s="16" t="str">
        <f>IFERROR(__xludf.DUMMYFUNCTION("""COMPUTED_VALUE"""),"TANGAN")</f>
        <v>TANGAN</v>
      </c>
      <c r="U1912" s="16" t="str">
        <f>IFERROR(__xludf.DUMMYFUNCTION("""COMPUTED_VALUE"""),"OLAHRAGA")</f>
        <v>OLAHRAGA</v>
      </c>
      <c r="V1912" s="11" t="str">
        <f>IFERROR(__xludf.DUMMYFUNCTION("""COMPUTED_VALUE"""),"89521540020")</f>
        <v>89521540020</v>
      </c>
      <c r="W1912" s="15"/>
    </row>
    <row r="1913">
      <c r="A1913" s="48"/>
      <c r="B1913" s="49"/>
      <c r="C1913" s="49"/>
      <c r="D1913" s="50">
        <f>IFERROR(__xludf.DUMMYFUNCTION("""COMPUTED_VALUE"""),45619.0)</f>
        <v>45619</v>
      </c>
      <c r="E1913" s="50" t="str">
        <f>IFERROR(__xludf.DUMMYFUNCTION("""COMPUTED_VALUE"""),"11Nov")</f>
        <v>11Nov</v>
      </c>
      <c r="F1913" s="50" t="str">
        <f>IFERROR(__xludf.DUMMYFUNCTION("""COMPUTED_VALUE"""),"2024")</f>
        <v>2024</v>
      </c>
      <c r="G1913" s="51" t="str">
        <f>IFERROR(__xludf.DUMMYFUNCTION("""COMPUTED_VALUE"""),"FAUZAN ADI HIDAYAT")</f>
        <v>FAUZAN ADI HIDAYAT</v>
      </c>
      <c r="H1913" s="52" t="str">
        <f>IFERROR(__xludf.DUMMYFUNCTION("""COMPUTED_VALUE"""),"F1124111188")</f>
        <v>F1124111188</v>
      </c>
      <c r="I1913" s="53">
        <f>IFERROR(__xludf.DUMMYFUNCTION("""COMPUTED_VALUE"""),14.0)</f>
        <v>14</v>
      </c>
      <c r="J1913" s="52" t="str">
        <f>IFERROR(__xludf.DUMMYFUNCTION("""COMPUTED_VALUE"""),"&lt; 18 tahun")</f>
        <v>&lt; 18 tahun</v>
      </c>
      <c r="K1913" s="54">
        <f>IFERROR(__xludf.DUMMYFUNCTION("""COMPUTED_VALUE"""),40855.0)</f>
        <v>40855</v>
      </c>
      <c r="L1913" s="55" t="str">
        <f>IFERROR(__xludf.DUMMYFUNCTION("""COMPUTED_VALUE"""),"LAKI-LAKI")</f>
        <v>LAKI-LAKI</v>
      </c>
      <c r="M1913" s="51" t="str">
        <f>IFERROR(__xludf.DUMMYFUNCTION("""COMPUTED_VALUE"""),"JL WONOBARU GG REMAJA 2")</f>
        <v>JL WONOBARU GG REMAJA 2</v>
      </c>
      <c r="N1913" s="56" t="str">
        <f>IFERROR(__xludf.DUMMYFUNCTION("""COMPUTED_VALUE"""),"DS. AKCAYA")</f>
        <v>DS. AKCAYA</v>
      </c>
      <c r="O1913" s="56" t="str">
        <f>IFERROR(__xludf.DUMMYFUNCTION("""COMPUTED_VALUE"""),"KEC. PONTIANAK SELATAN")</f>
        <v>KEC. PONTIANAK SELATAN</v>
      </c>
      <c r="P1913" s="56" t="str">
        <f>IFERROR(__xludf.DUMMYFUNCTION("""COMPUTED_VALUE"""),"KOTA PONTIANAK")</f>
        <v>KOTA PONTIANAK</v>
      </c>
      <c r="Q1913" s="56" t="str">
        <f>IFERROR(__xludf.DUMMYFUNCTION("""COMPUTED_VALUE"""),"KALIMANTAN BARAT")</f>
        <v>KALIMANTAN BARAT</v>
      </c>
      <c r="R1913" s="55" t="str">
        <f>IFERROR(__xludf.DUMMYFUNCTION("""COMPUTED_VALUE"""),"ISLAM")</f>
        <v>ISLAM</v>
      </c>
      <c r="S1913" s="51" t="str">
        <f>IFERROR(__xludf.DUMMYFUNCTION("""COMPUTED_VALUE"""),"PELAJAR/MAHASISWA")</f>
        <v>PELAJAR/MAHASISWA</v>
      </c>
      <c r="T1913" s="56" t="str">
        <f>IFERROR(__xludf.DUMMYFUNCTION("""COMPUTED_VALUE"""),"CB")</f>
        <v>CB</v>
      </c>
      <c r="U1913" s="56" t="str">
        <f>IFERROR(__xludf.DUMMYFUNCTION("""COMPUTED_VALUE"""),"Naik sepeda")</f>
        <v>Naik sepeda</v>
      </c>
      <c r="V1913" s="57" t="str">
        <f>IFERROR(__xludf.DUMMYFUNCTION("""COMPUTED_VALUE"""),"08195651188")</f>
        <v>08195651188</v>
      </c>
      <c r="W1913" s="58"/>
    </row>
    <row r="1914">
      <c r="A1914" s="45"/>
      <c r="B1914" s="9"/>
      <c r="C1914" s="9"/>
      <c r="D1914" s="10">
        <f>IFERROR(__xludf.DUMMYFUNCTION("""COMPUTED_VALUE"""),45619.0)</f>
        <v>45619</v>
      </c>
      <c r="E1914" s="10" t="str">
        <f>IFERROR(__xludf.DUMMYFUNCTION("""COMPUTED_VALUE"""),"11Nov")</f>
        <v>11Nov</v>
      </c>
      <c r="F1914" s="10" t="str">
        <f>IFERROR(__xludf.DUMMYFUNCTION("""COMPUTED_VALUE"""),"2024")</f>
        <v>2024</v>
      </c>
      <c r="G1914" s="35" t="str">
        <f>IFERROR(__xludf.DUMMYFUNCTION("""COMPUTED_VALUE"""),"KASHMIANDARI")</f>
        <v>KASHMIANDARI</v>
      </c>
      <c r="H1914" s="17" t="str">
        <f>IFERROR(__xludf.DUMMYFUNCTION("""COMPUTED_VALUE"""),"K7324118181")</f>
        <v>K7324118181</v>
      </c>
      <c r="I1914" s="17">
        <f>IFERROR(__xludf.DUMMYFUNCTION("""COMPUTED_VALUE"""),53.0)</f>
        <v>53</v>
      </c>
      <c r="J1914" s="17" t="str">
        <f>IFERROR(__xludf.DUMMYFUNCTION("""COMPUTED_VALUE"""),"&gt; 44 tahun")</f>
        <v>&gt; 44 tahun</v>
      </c>
      <c r="K1914" s="19">
        <f>IFERROR(__xludf.DUMMYFUNCTION("""COMPUTED_VALUE"""),26683.0)</f>
        <v>26683</v>
      </c>
      <c r="L1914" s="19" t="str">
        <f>IFERROR(__xludf.DUMMYFUNCTION("""COMPUTED_VALUE"""),"PEREMPUAN")</f>
        <v>PEREMPUAN</v>
      </c>
      <c r="M1914" s="35" t="str">
        <f>IFERROR(__xludf.DUMMYFUNCTION("""COMPUTED_VALUE"""),"JL TANJUNG HARAPAN NO.8")</f>
        <v>JL TANJUNG HARAPAN NO.8</v>
      </c>
      <c r="N1914" s="16" t="str">
        <f>IFERROR(__xludf.DUMMYFUNCTION("""COMPUTED_VALUE"""),"DS. BANJAR SERSAN")</f>
        <v>DS. BANJAR SERSAN</v>
      </c>
      <c r="O1914" s="16" t="str">
        <f>IFERROR(__xludf.DUMMYFUNCTION("""COMPUTED_VALUE"""),"KEC. PONTIANAK TIMUR")</f>
        <v>KEC. PONTIANAK TIMUR</v>
      </c>
      <c r="P1914" s="16" t="str">
        <f>IFERROR(__xludf.DUMMYFUNCTION("""COMPUTED_VALUE"""),"PONTIANAK TIMR")</f>
        <v>PONTIANAK TIMR</v>
      </c>
      <c r="Q1914" s="16" t="str">
        <f>IFERROR(__xludf.DUMMYFUNCTION("""COMPUTED_VALUE"""),"KALIMANTAN BARAT")</f>
        <v>KALIMANTAN BARAT</v>
      </c>
      <c r="R1914" s="19" t="str">
        <f>IFERROR(__xludf.DUMMYFUNCTION("""COMPUTED_VALUE"""),"ISLAM")</f>
        <v>ISLAM</v>
      </c>
      <c r="S1914" s="16" t="str">
        <f>IFERROR(__xludf.DUMMYFUNCTION("""COMPUTED_VALUE"""),"BUMD")</f>
        <v>BUMD</v>
      </c>
      <c r="T1914" s="16" t="str">
        <f>IFERROR(__xludf.DUMMYFUNCTION("""COMPUTED_VALUE"""),"BAHU")</f>
        <v>BAHU</v>
      </c>
      <c r="U1914" s="16" t="str">
        <f>IFERROR(__xludf.DUMMYFUNCTION("""COMPUTED_VALUE"""),"BEKERJA")</f>
        <v>BEKERJA</v>
      </c>
      <c r="V1914" s="11" t="str">
        <f>IFERROR(__xludf.DUMMYFUNCTION("""COMPUTED_VALUE"""),"081256968181")</f>
        <v>081256968181</v>
      </c>
      <c r="W1914" s="15"/>
    </row>
    <row r="1915">
      <c r="A1915" s="45"/>
      <c r="B1915" s="9"/>
      <c r="C1915" s="9"/>
      <c r="D1915" s="10">
        <f>IFERROR(__xludf.DUMMYFUNCTION("""COMPUTED_VALUE"""),45619.0)</f>
        <v>45619</v>
      </c>
      <c r="E1915" s="10" t="str">
        <f>IFERROR(__xludf.DUMMYFUNCTION("""COMPUTED_VALUE"""),"11Nov")</f>
        <v>11Nov</v>
      </c>
      <c r="F1915" s="10" t="str">
        <f>IFERROR(__xludf.DUMMYFUNCTION("""COMPUTED_VALUE"""),"2024")</f>
        <v>2024</v>
      </c>
      <c r="G1915" s="35" t="str">
        <f>IFERROR(__xludf.DUMMYFUNCTION("""COMPUTED_VALUE"""),"RUGAYAH")</f>
        <v>RUGAYAH</v>
      </c>
      <c r="H1915" s="17" t="str">
        <f>IFERROR(__xludf.DUMMYFUNCTION("""COMPUTED_VALUE"""),"R5124115104")</f>
        <v>R5124115104</v>
      </c>
      <c r="I1915" s="17">
        <f>IFERROR(__xludf.DUMMYFUNCTION("""COMPUTED_VALUE"""),74.0)</f>
        <v>74</v>
      </c>
      <c r="J1915" s="17" t="str">
        <f>IFERROR(__xludf.DUMMYFUNCTION("""COMPUTED_VALUE"""),"&gt; 44 tahun")</f>
        <v>&gt; 44 tahun</v>
      </c>
      <c r="K1915" s="19">
        <f>IFERROR(__xludf.DUMMYFUNCTION("""COMPUTED_VALUE"""),18906.0)</f>
        <v>18906</v>
      </c>
      <c r="L1915" s="19" t="str">
        <f>IFERROR(__xludf.DUMMYFUNCTION("""COMPUTED_VALUE"""),"PEREMPUAN")</f>
        <v>PEREMPUAN</v>
      </c>
      <c r="M1915" s="35" t="str">
        <f>IFERROR(__xludf.DUMMYFUNCTION("""COMPUTED_VALUE"""),"JL. RAYA DESA KAPUR")</f>
        <v>JL. RAYA DESA KAPUR</v>
      </c>
      <c r="N1915" s="16" t="str">
        <f>IFERROR(__xludf.DUMMYFUNCTION("""COMPUTED_VALUE"""),"DS. KAPUR")</f>
        <v>DS. KAPUR</v>
      </c>
      <c r="O1915" s="16" t="str">
        <f>IFERROR(__xludf.DUMMYFUNCTION("""COMPUTED_VALUE"""),"KEC. SUNGAI RAYA")</f>
        <v>KEC. SUNGAI RAYA</v>
      </c>
      <c r="P1915" s="16" t="str">
        <f>IFERROR(__xludf.DUMMYFUNCTION("""COMPUTED_VALUE"""),"KAB. KUBU RAYA")</f>
        <v>KAB. KUBU RAYA</v>
      </c>
      <c r="Q1915" s="16" t="str">
        <f>IFERROR(__xludf.DUMMYFUNCTION("""COMPUTED_VALUE"""),"KALIMANTAN BARAT")</f>
        <v>KALIMANTAN BARAT</v>
      </c>
      <c r="R1915" s="19" t="str">
        <f>IFERROR(__xludf.DUMMYFUNCTION("""COMPUTED_VALUE"""),"ISLAM")</f>
        <v>ISLAM</v>
      </c>
      <c r="S1915" s="16" t="str">
        <f>IFERROR(__xludf.DUMMYFUNCTION("""COMPUTED_VALUE"""),"RUMAH TANGGA")</f>
        <v>RUMAH TANGGA</v>
      </c>
      <c r="T1915" s="16" t="str">
        <f>IFERROR(__xludf.DUMMYFUNCTION("""COMPUTED_VALUE"""),"Nyeri punggung bawah")</f>
        <v>Nyeri punggung bawah</v>
      </c>
      <c r="U1915" s="16" t="str">
        <f>IFERROR(__xludf.DUMMYFUNCTION("""COMPUTED_VALUE"""),"Memasak")</f>
        <v>Memasak</v>
      </c>
      <c r="V1915" s="11" t="str">
        <f>IFERROR(__xludf.DUMMYFUNCTION("""COMPUTED_VALUE"""),"085252035104")</f>
        <v>085252035104</v>
      </c>
      <c r="W1915" s="15"/>
    </row>
    <row r="1916">
      <c r="A1916" s="45"/>
      <c r="B1916" s="9"/>
      <c r="C1916" s="9"/>
      <c r="D1916" s="10">
        <f>IFERROR(__xludf.DUMMYFUNCTION("""COMPUTED_VALUE"""),45620.0)</f>
        <v>45620</v>
      </c>
      <c r="E1916" s="10" t="str">
        <f>IFERROR(__xludf.DUMMYFUNCTION("""COMPUTED_VALUE"""),"11Nov")</f>
        <v>11Nov</v>
      </c>
      <c r="F1916" s="10" t="str">
        <f>IFERROR(__xludf.DUMMYFUNCTION("""COMPUTED_VALUE"""),"2024")</f>
        <v>2024</v>
      </c>
      <c r="G1916" s="35" t="str">
        <f>IFERROR(__xludf.DUMMYFUNCTION("""COMPUTED_VALUE"""),"MIRZAM FAHMA QIHAJ")</f>
        <v>MIRZAM FAHMA QIHAJ</v>
      </c>
      <c r="H1916" s="17" t="str">
        <f>IFERROR(__xludf.DUMMYFUNCTION("""COMPUTED_VALUE"""),"M0124118989")</f>
        <v>M0124118989</v>
      </c>
      <c r="I1916" s="17">
        <f>IFERROR(__xludf.DUMMYFUNCTION("""COMPUTED_VALUE"""),24.0)</f>
        <v>24</v>
      </c>
      <c r="J1916" s="17" t="str">
        <f>IFERROR(__xludf.DUMMYFUNCTION("""COMPUTED_VALUE"""),"18-24 tahun")</f>
        <v>18-24 tahun</v>
      </c>
      <c r="K1916" s="19">
        <f>IFERROR(__xludf.DUMMYFUNCTION("""COMPUTED_VALUE"""),37119.0)</f>
        <v>37119</v>
      </c>
      <c r="L1916" s="19" t="str">
        <f>IFERROR(__xludf.DUMMYFUNCTION("""COMPUTED_VALUE"""),"LAKI-LAKI")</f>
        <v>LAKI-LAKI</v>
      </c>
      <c r="M1916" s="35" t="str">
        <f>IFERROR(__xludf.DUMMYFUNCTION("""COMPUTED_VALUE"""),"JL SAFE'I")</f>
        <v>JL SAFE'I</v>
      </c>
      <c r="N1916" s="16" t="str">
        <f>IFERROR(__xludf.DUMMYFUNCTION("""COMPUTED_VALUE"""),"DS. AKCAYA")</f>
        <v>DS. AKCAYA</v>
      </c>
      <c r="O1916" s="16" t="str">
        <f>IFERROR(__xludf.DUMMYFUNCTION("""COMPUTED_VALUE"""),"KEC. PONTIANAK SELATAN")</f>
        <v>KEC. PONTIANAK SELATAN</v>
      </c>
      <c r="P1916" s="16" t="str">
        <f>IFERROR(__xludf.DUMMYFUNCTION("""COMPUTED_VALUE"""),"KOTA PONTIANAK")</f>
        <v>KOTA PONTIANAK</v>
      </c>
      <c r="Q1916" s="16" t="str">
        <f>IFERROR(__xludf.DUMMYFUNCTION("""COMPUTED_VALUE"""),"KALIMANTAN BARAT")</f>
        <v>KALIMANTAN BARAT</v>
      </c>
      <c r="R1916" s="19" t="str">
        <f>IFERROR(__xludf.DUMMYFUNCTION("""COMPUTED_VALUE"""),"ISLAM")</f>
        <v>ISLAM</v>
      </c>
      <c r="S1916" s="35" t="str">
        <f>IFERROR(__xludf.DUMMYFUNCTION("""COMPUTED_VALUE"""),"WIRASWASTA")</f>
        <v>WIRASWASTA</v>
      </c>
      <c r="T1916" s="16" t="str">
        <f>IFERROR(__xludf.DUMMYFUNCTION("""COMPUTED_VALUE"""),"Jatuh, kaki sebelah kiri tidak bisa berjalan")</f>
        <v>Jatuh, kaki sebelah kiri tidak bisa berjalan</v>
      </c>
      <c r="U1916" s="16" t="str">
        <f>IFERROR(__xludf.DUMMYFUNCTION("""COMPUTED_VALUE"""),"Main game")</f>
        <v>Main game</v>
      </c>
      <c r="V1916" s="11" t="str">
        <f>IFERROR(__xludf.DUMMYFUNCTION("""COMPUTED_VALUE"""),"0895373178989")</f>
        <v>0895373178989</v>
      </c>
      <c r="W1916" s="15"/>
    </row>
    <row r="1917">
      <c r="A1917" s="45"/>
      <c r="B1917" s="9"/>
      <c r="C1917" s="9"/>
      <c r="D1917" s="10">
        <f>IFERROR(__xludf.DUMMYFUNCTION("""COMPUTED_VALUE"""),45620.0)</f>
        <v>45620</v>
      </c>
      <c r="E1917" s="10" t="str">
        <f>IFERROR(__xludf.DUMMYFUNCTION("""COMPUTED_VALUE"""),"11Nov")</f>
        <v>11Nov</v>
      </c>
      <c r="F1917" s="10" t="str">
        <f>IFERROR(__xludf.DUMMYFUNCTION("""COMPUTED_VALUE"""),"2024")</f>
        <v>2024</v>
      </c>
      <c r="G1917" s="35" t="str">
        <f>IFERROR(__xludf.DUMMYFUNCTION("""COMPUTED_VALUE"""),"AMALIA MAHARANI")</f>
        <v>AMALIA MAHARANI</v>
      </c>
      <c r="H1917" s="17" t="str">
        <f>IFERROR(__xludf.DUMMYFUNCTION("""COMPUTED_VALUE"""),"A0024119820")</f>
        <v>A0024119820</v>
      </c>
      <c r="I1917" s="17">
        <f>IFERROR(__xludf.DUMMYFUNCTION("""COMPUTED_VALUE"""),26.0)</f>
        <v>26</v>
      </c>
      <c r="J1917" s="17" t="str">
        <f>IFERROR(__xludf.DUMMYFUNCTION("""COMPUTED_VALUE"""),"25-34 tahun")</f>
        <v>25-34 tahun</v>
      </c>
      <c r="K1917" s="19">
        <f>IFERROR(__xludf.DUMMYFUNCTION("""COMPUTED_VALUE"""),36677.0)</f>
        <v>36677</v>
      </c>
      <c r="L1917" s="19" t="str">
        <f>IFERROR(__xludf.DUMMYFUNCTION("""COMPUTED_VALUE"""),"PEREMPUAN")</f>
        <v>PEREMPUAN</v>
      </c>
      <c r="M1917" s="35" t="str">
        <f>IFERROR(__xludf.DUMMYFUNCTION("""COMPUTED_VALUE"""),"KEDUNGWRINGIN")</f>
        <v>KEDUNGWRINGIN</v>
      </c>
      <c r="N1917" s="16" t="str">
        <f>IFERROR(__xludf.DUMMYFUNCTION("""COMPUTED_VALUE"""),"DS. KEDUNGWRINGIN")</f>
        <v>DS. KEDUNGWRINGIN</v>
      </c>
      <c r="O1917" s="16" t="str">
        <f>IFERROR(__xludf.DUMMYFUNCTION("""COMPUTED_VALUE"""),"KEC. JATILAWANG")</f>
        <v>KEC. JATILAWANG</v>
      </c>
      <c r="P1917" s="16" t="str">
        <f>IFERROR(__xludf.DUMMYFUNCTION("""COMPUTED_VALUE"""),"KAB. BANYUMAS")</f>
        <v>KAB. BANYUMAS</v>
      </c>
      <c r="Q1917" s="16" t="str">
        <f>IFERROR(__xludf.DUMMYFUNCTION("""COMPUTED_VALUE"""),"JAWA TENGAH")</f>
        <v>JAWA TENGAH</v>
      </c>
      <c r="R1917" s="19" t="str">
        <f>IFERROR(__xludf.DUMMYFUNCTION("""COMPUTED_VALUE"""),"ISLAM")</f>
        <v>ISLAM</v>
      </c>
      <c r="S1917" s="16" t="str">
        <f>IFERROR(__xludf.DUMMYFUNCTION("""COMPUTED_VALUE"""),"AUDITOR")</f>
        <v>AUDITOR</v>
      </c>
      <c r="T1917" s="16" t="str">
        <f>IFERROR(__xludf.DUMMYFUNCTION("""COMPUTED_VALUE"""),"Belum bisa berjalan normal pasca operasi patah tulang paha")</f>
        <v>Belum bisa berjalan normal pasca operasi patah tulang paha</v>
      </c>
      <c r="U1917" s="16" t="str">
        <f>IFERROR(__xludf.DUMMYFUNCTION("""COMPUTED_VALUE"""),"Baca buku")</f>
        <v>Baca buku</v>
      </c>
      <c r="V1917" s="11" t="str">
        <f>IFERROR(__xludf.DUMMYFUNCTION("""COMPUTED_VALUE"""),"085877209820")</f>
        <v>085877209820</v>
      </c>
      <c r="W1917" s="15"/>
    </row>
    <row r="1918">
      <c r="A1918" s="45"/>
      <c r="B1918" s="9"/>
      <c r="C1918" s="9"/>
      <c r="D1918" s="10">
        <f>IFERROR(__xludf.DUMMYFUNCTION("""COMPUTED_VALUE"""),45620.0)</f>
        <v>45620</v>
      </c>
      <c r="E1918" s="10" t="str">
        <f>IFERROR(__xludf.DUMMYFUNCTION("""COMPUTED_VALUE"""),"11Nov")</f>
        <v>11Nov</v>
      </c>
      <c r="F1918" s="10" t="str">
        <f>IFERROR(__xludf.DUMMYFUNCTION("""COMPUTED_VALUE"""),"2024")</f>
        <v>2024</v>
      </c>
      <c r="G1918" s="35" t="str">
        <f>IFERROR(__xludf.DUMMYFUNCTION("""COMPUTED_VALUE"""),"BUDY SETIAWAN LIM")</f>
        <v>BUDY SETIAWAN LIM</v>
      </c>
      <c r="H1918" s="17" t="str">
        <f>IFERROR(__xludf.DUMMYFUNCTION("""COMPUTED_VALUE"""),"B5924113489")</f>
        <v>B5924113489</v>
      </c>
      <c r="I1918" s="17">
        <f>IFERROR(__xludf.DUMMYFUNCTION("""COMPUTED_VALUE"""),67.0)</f>
        <v>67</v>
      </c>
      <c r="J1918" s="17" t="str">
        <f>IFERROR(__xludf.DUMMYFUNCTION("""COMPUTED_VALUE"""),"&gt; 44 tahun")</f>
        <v>&gt; 44 tahun</v>
      </c>
      <c r="K1918" s="19">
        <f>IFERROR(__xludf.DUMMYFUNCTION("""COMPUTED_VALUE"""),21668.0)</f>
        <v>21668</v>
      </c>
      <c r="L1918" s="19" t="str">
        <f>IFERROR(__xludf.DUMMYFUNCTION("""COMPUTED_VALUE"""),"LAKI-LAKI")</f>
        <v>LAKI-LAKI</v>
      </c>
      <c r="M1918" s="35" t="str">
        <f>IFERROR(__xludf.DUMMYFUNCTION("""COMPUTED_VALUE"""),"JALAN PUTRI CANDARAMIDI GANG DWIJAYA NO 48")</f>
        <v>JALAN PUTRI CANDARAMIDI GANG DWIJAYA NO 48</v>
      </c>
      <c r="N1918" s="16" t="str">
        <f>IFERROR(__xludf.DUMMYFUNCTION("""COMPUTED_VALUE"""),"KEL. SUNGAI BANGKONG")</f>
        <v>KEL. SUNGAI BANGKONG</v>
      </c>
      <c r="O1918" s="16" t="str">
        <f>IFERROR(__xludf.DUMMYFUNCTION("""COMPUTED_VALUE"""),"KEC. PONTIANAK KOTA")</f>
        <v>KEC. PONTIANAK KOTA</v>
      </c>
      <c r="P1918" s="16" t="str">
        <f>IFERROR(__xludf.DUMMYFUNCTION("""COMPUTED_VALUE"""),"KOTA PONTIANAK")</f>
        <v>KOTA PONTIANAK</v>
      </c>
      <c r="Q1918" s="16" t="str">
        <f>IFERROR(__xludf.DUMMYFUNCTION("""COMPUTED_VALUE"""),"KALIMANTAN BARAT")</f>
        <v>KALIMANTAN BARAT</v>
      </c>
      <c r="R1918" s="19" t="str">
        <f>IFERROR(__xludf.DUMMYFUNCTION("""COMPUTED_VALUE"""),"KATOLIK")</f>
        <v>KATOLIK</v>
      </c>
      <c r="S1918" s="35" t="str">
        <f>IFERROR(__xludf.DUMMYFUNCTION("""COMPUTED_VALUE"""),"PENSIUN")</f>
        <v>PENSIUN</v>
      </c>
      <c r="T1918" s="16" t="str">
        <f>IFERROR(__xludf.DUMMYFUNCTION("""COMPUTED_VALUE"""),"Kaki tangan kaku lemas licin, ada saraf kejepit di leher")</f>
        <v>Kaki tangan kaku lemas licin, ada saraf kejepit di leher</v>
      </c>
      <c r="U1918" s="16" t="str">
        <f>IFERROR(__xludf.DUMMYFUNCTION("""COMPUTED_VALUE"""),"Tidak ada")</f>
        <v>Tidak ada</v>
      </c>
      <c r="V1918" s="11" t="str">
        <f>IFERROR(__xludf.DUMMYFUNCTION("""COMPUTED_VALUE"""),"085347273489")</f>
        <v>085347273489</v>
      </c>
      <c r="W1918" s="15"/>
    </row>
    <row r="1919">
      <c r="A1919" s="48"/>
      <c r="B1919" s="49"/>
      <c r="C1919" s="49"/>
      <c r="D1919" s="50">
        <f>IFERROR(__xludf.DUMMYFUNCTION("""COMPUTED_VALUE"""),45650.0)</f>
        <v>45650</v>
      </c>
      <c r="E1919" s="50" t="str">
        <f>IFERROR(__xludf.DUMMYFUNCTION("""COMPUTED_VALUE"""),"12Des")</f>
        <v>12Des</v>
      </c>
      <c r="F1919" s="50" t="str">
        <f>IFERROR(__xludf.DUMMYFUNCTION("""COMPUTED_VALUE"""),"2024")</f>
        <v>2024</v>
      </c>
      <c r="G1919" s="51" t="str">
        <f>IFERROR(__xludf.DUMMYFUNCTION("""COMPUTED_VALUE"""),"REVI MARISKA")</f>
        <v>REVI MARISKA</v>
      </c>
      <c r="H1919" s="59" t="str">
        <f>IFERROR(__xludf.DUMMYFUNCTION("""COMPUTED_VALUE"""),"R9924122185")</f>
        <v>R9924122185</v>
      </c>
      <c r="I1919" s="59">
        <f>IFERROR(__xludf.DUMMYFUNCTION("""COMPUTED_VALUE"""),26.0)</f>
        <v>26</v>
      </c>
      <c r="J1919" s="59" t="str">
        <f>IFERROR(__xludf.DUMMYFUNCTION("""COMPUTED_VALUE"""),"25-34 tahun")</f>
        <v>25-34 tahun</v>
      </c>
      <c r="K1919" s="60">
        <f>IFERROR(__xludf.DUMMYFUNCTION("""COMPUTED_VALUE"""),36491.0)</f>
        <v>36491</v>
      </c>
      <c r="L1919" s="55" t="str">
        <f>IFERROR(__xludf.DUMMYFUNCTION("""COMPUTED_VALUE"""),"PEREMPUAN")</f>
        <v>PEREMPUAN</v>
      </c>
      <c r="M1919" s="51" t="str">
        <f>IFERROR(__xludf.DUMMYFUNCTION("""COMPUTED_VALUE"""),"JALAN PGA NOMOR 27")</f>
        <v>JALAN PGA NOMOR 27</v>
      </c>
      <c r="N1919" s="56" t="str">
        <f>IFERROR(__xludf.DUMMYFUNCTION("""COMPUTED_VALUE"""),"KEL. SUNGAI BANGKONG")</f>
        <v>KEL. SUNGAI BANGKONG</v>
      </c>
      <c r="O1919" s="56" t="str">
        <f>IFERROR(__xludf.DUMMYFUNCTION("""COMPUTED_VALUE"""),"KEC. PONTIANAK KOTA")</f>
        <v>KEC. PONTIANAK KOTA</v>
      </c>
      <c r="P1919" s="56" t="str">
        <f>IFERROR(__xludf.DUMMYFUNCTION("""COMPUTED_VALUE"""),"KOTA PONTIANAK")</f>
        <v>KOTA PONTIANAK</v>
      </c>
      <c r="Q1919" s="56" t="str">
        <f>IFERROR(__xludf.DUMMYFUNCTION("""COMPUTED_VALUE"""),"KALIMANTAN BARAT")</f>
        <v>KALIMANTAN BARAT</v>
      </c>
      <c r="R1919" s="55" t="str">
        <f>IFERROR(__xludf.DUMMYFUNCTION("""COMPUTED_VALUE"""),"KATOLIK")</f>
        <v>KATOLIK</v>
      </c>
      <c r="S1919" s="51" t="str">
        <f>IFERROR(__xludf.DUMMYFUNCTION("""COMPUTED_VALUE"""),"BELUM BEKERJA")</f>
        <v>BELUM BEKERJA</v>
      </c>
      <c r="T1919" s="56" t="str">
        <f>IFERROR(__xludf.DUMMYFUNCTION("""COMPUTED_VALUE"""),"TANGAN SAKIT SUSAH GERAK")</f>
        <v>TANGAN SAKIT SUSAH GERAK</v>
      </c>
      <c r="U1919" s="56" t="str">
        <f>IFERROR(__xludf.DUMMYFUNCTION("""COMPUTED_VALUE"""),"OLAHRAGA")</f>
        <v>OLAHRAGA</v>
      </c>
      <c r="V1919" s="57" t="str">
        <f>IFERROR(__xludf.DUMMYFUNCTION("""COMPUTED_VALUE"""),"081522662185")</f>
        <v>081522662185</v>
      </c>
      <c r="W1919" s="58"/>
    </row>
    <row r="1920">
      <c r="A1920" s="48"/>
      <c r="B1920" s="49">
        <f>IFERROR(__xludf.DUMMYFUNCTION("""COMPUTED_VALUE"""),45605.673167870365)</f>
        <v>45605.67317</v>
      </c>
      <c r="C1920" s="49"/>
      <c r="D1920" s="61">
        <f>IFERROR(__xludf.DUMMYFUNCTION("""COMPUTED_VALUE"""),45621.0)</f>
        <v>45621</v>
      </c>
      <c r="E1920" s="61" t="str">
        <f>IFERROR(__xludf.DUMMYFUNCTION("""COMPUTED_VALUE"""),"11Nov")</f>
        <v>11Nov</v>
      </c>
      <c r="F1920" s="61" t="str">
        <f>IFERROR(__xludf.DUMMYFUNCTION("""COMPUTED_VALUE"""),"2024")</f>
        <v>2024</v>
      </c>
      <c r="G1920" s="62" t="str">
        <f>IFERROR(__xludf.DUMMYFUNCTION("""COMPUTED_VALUE"""),"FAHRI MAULINDA")</f>
        <v>FAHRI MAULINDA</v>
      </c>
      <c r="H1920" s="63" t="str">
        <f>IFERROR(__xludf.DUMMYFUNCTION("""COMPUTED_VALUE"""),"F7924114747")</f>
        <v>F7924114747</v>
      </c>
      <c r="I1920" s="63">
        <f>IFERROR(__xludf.DUMMYFUNCTION("""COMPUTED_VALUE"""),47.0)</f>
        <v>47</v>
      </c>
      <c r="J1920" s="63" t="str">
        <f>IFERROR(__xludf.DUMMYFUNCTION("""COMPUTED_VALUE"""),"&gt; 44 tahun")</f>
        <v>&gt; 44 tahun</v>
      </c>
      <c r="K1920" s="64">
        <f>IFERROR(__xludf.DUMMYFUNCTION("""COMPUTED_VALUE"""),28899.0)</f>
        <v>28899</v>
      </c>
      <c r="L1920" s="65" t="str">
        <f>IFERROR(__xludf.DUMMYFUNCTION("""COMPUTED_VALUE"""),"PEREMPUAN")</f>
        <v>PEREMPUAN</v>
      </c>
      <c r="M1920" s="62" t="str">
        <f>IFERROR(__xludf.DUMMYFUNCTION("""COMPUTED_VALUE"""),"JL KHA DAHLAN GG DODI 1 NO 16")</f>
        <v>JL KHA DAHLAN GG DODI 1 NO 16</v>
      </c>
      <c r="N1920" s="66" t="str">
        <f>IFERROR(__xludf.DUMMYFUNCTION("""COMPUTED_VALUE"""),"KEL. SUNGAI BANGKONG")</f>
        <v>KEL. SUNGAI BANGKONG</v>
      </c>
      <c r="O1920" s="66" t="str">
        <f>IFERROR(__xludf.DUMMYFUNCTION("""COMPUTED_VALUE"""),"KEC. PONTIANAK KOTA")</f>
        <v>KEC. PONTIANAK KOTA</v>
      </c>
      <c r="P1920" s="66" t="str">
        <f>IFERROR(__xludf.DUMMYFUNCTION("""COMPUTED_VALUE"""),"KOTA PONTIANAK")</f>
        <v>KOTA PONTIANAK</v>
      </c>
      <c r="Q1920" s="66" t="str">
        <f>IFERROR(__xludf.DUMMYFUNCTION("""COMPUTED_VALUE"""),"KALIMANTAN BARAT")</f>
        <v>KALIMANTAN BARAT</v>
      </c>
      <c r="R1920" s="65" t="str">
        <f>IFERROR(__xludf.DUMMYFUNCTION("""COMPUTED_VALUE"""),"ISLAM")</f>
        <v>ISLAM</v>
      </c>
      <c r="S1920" s="62" t="str">
        <f>IFERROR(__xludf.DUMMYFUNCTION("""COMPUTED_VALUE"""),"WIRASWASTA")</f>
        <v>WIRASWASTA</v>
      </c>
      <c r="T1920" s="66" t="str">
        <f>IFERROR(__xludf.DUMMYFUNCTION("""COMPUTED_VALUE"""),"Otot kaki ketarik terasa sampai pantat")</f>
        <v>Otot kaki ketarik terasa sampai pantat</v>
      </c>
      <c r="U1920" s="66" t="str">
        <f>IFERROR(__xludf.DUMMYFUNCTION("""COMPUTED_VALUE"""),"Jalan jalan")</f>
        <v>Jalan jalan</v>
      </c>
      <c r="V1920" s="67" t="str">
        <f>IFERROR(__xludf.DUMMYFUNCTION("""COMPUTED_VALUE"""),"081349754747")</f>
        <v>081349754747</v>
      </c>
      <c r="W1920" s="58"/>
    </row>
    <row r="1921">
      <c r="A1921" s="45"/>
      <c r="B1921" s="9">
        <f>IFERROR(__xludf.DUMMYFUNCTION("""COMPUTED_VALUE"""),45606.431800949074)</f>
        <v>45606.4318</v>
      </c>
      <c r="C1921" s="9"/>
      <c r="D1921" s="10">
        <f>IFERROR(__xludf.DUMMYFUNCTION("""COMPUTED_VALUE"""),45622.0)</f>
        <v>45622</v>
      </c>
      <c r="E1921" s="10" t="str">
        <f>IFERROR(__xludf.DUMMYFUNCTION("""COMPUTED_VALUE"""),"11Nov")</f>
        <v>11Nov</v>
      </c>
      <c r="F1921" s="10" t="str">
        <f>IFERROR(__xludf.DUMMYFUNCTION("""COMPUTED_VALUE"""),"2024")</f>
        <v>2024</v>
      </c>
      <c r="G1921" s="35" t="str">
        <f>IFERROR(__xludf.DUMMYFUNCTION("""COMPUTED_VALUE"""),"CYNTIA STEFI FONDA")</f>
        <v>CYNTIA STEFI FONDA</v>
      </c>
      <c r="H1921" s="17" t="str">
        <f>IFERROR(__xludf.DUMMYFUNCTION("""COMPUTED_VALUE"""),"C9124113378")</f>
        <v>C9124113378</v>
      </c>
      <c r="I1921" s="17">
        <f>IFERROR(__xludf.DUMMYFUNCTION("""COMPUTED_VALUE"""),34.0)</f>
        <v>34</v>
      </c>
      <c r="J1921" s="17" t="str">
        <f>IFERROR(__xludf.DUMMYFUNCTION("""COMPUTED_VALUE"""),"25-34 tahun")</f>
        <v>25-34 tahun</v>
      </c>
      <c r="K1921" s="19">
        <f>IFERROR(__xludf.DUMMYFUNCTION("""COMPUTED_VALUE"""),33565.0)</f>
        <v>33565</v>
      </c>
      <c r="L1921" s="19" t="str">
        <f>IFERROR(__xludf.DUMMYFUNCTION("""COMPUTED_VALUE"""),"PEREMPUAN")</f>
        <v>PEREMPUAN</v>
      </c>
      <c r="M1921" s="35" t="str">
        <f>IFERROR(__xludf.DUMMYFUNCTION("""COMPUTED_VALUE"""),"JL. TRANS KALIMANTAN KM.32 DESA LINGGA, SUNGAI AMBAWANG")</f>
        <v>JL. TRANS KALIMANTAN KM.32 DESA LINGGA, SUNGAI AMBAWANG</v>
      </c>
      <c r="N1921" s="16" t="str">
        <f>IFERROR(__xludf.DUMMYFUNCTION("""COMPUTED_VALUE"""),"DS. LINGGA")</f>
        <v>DS. LINGGA</v>
      </c>
      <c r="O1921" s="16" t="str">
        <f>IFERROR(__xludf.DUMMYFUNCTION("""COMPUTED_VALUE"""),"KEC. SUNGAI AMBAWANG")</f>
        <v>KEC. SUNGAI AMBAWANG</v>
      </c>
      <c r="P1921" s="16" t="str">
        <f>IFERROR(__xludf.DUMMYFUNCTION("""COMPUTED_VALUE"""),"KAB. KUBU RAYA")</f>
        <v>KAB. KUBU RAYA</v>
      </c>
      <c r="Q1921" s="16" t="str">
        <f>IFERROR(__xludf.DUMMYFUNCTION("""COMPUTED_VALUE"""),"KALIMANTAN BARAT")</f>
        <v>KALIMANTAN BARAT</v>
      </c>
      <c r="R1921" s="19" t="str">
        <f>IFERROR(__xludf.DUMMYFUNCTION("""COMPUTED_VALUE"""),"BUDDHA")</f>
        <v>BUDDHA</v>
      </c>
      <c r="S1921" s="16" t="str">
        <f>IFERROR(__xludf.DUMMYFUNCTION("""COMPUTED_VALUE"""),"RUMAH TANGGA")</f>
        <v>RUMAH TANGGA</v>
      </c>
      <c r="T1921" s="16" t="str">
        <f>IFERROR(__xludf.DUMMYFUNCTION("""COMPUTED_VALUE"""),"Urat pundak leher kiri tegang, dan pernah terjatuh lutut kiri bunyi saat jalan")</f>
        <v>Urat pundak leher kiri tegang, dan pernah terjatuh lutut kiri bunyi saat jalan</v>
      </c>
      <c r="U1921" s="16" t="str">
        <f>IFERROR(__xludf.DUMMYFUNCTION("""COMPUTED_VALUE"""),"Mengurus Rumah")</f>
        <v>Mengurus Rumah</v>
      </c>
      <c r="V1921" s="11" t="str">
        <f>IFERROR(__xludf.DUMMYFUNCTION("""COMPUTED_VALUE"""),"085845473378")</f>
        <v>085845473378</v>
      </c>
      <c r="W1921" s="15"/>
    </row>
    <row r="1922">
      <c r="A1922" s="45"/>
      <c r="B1922" s="9">
        <f>IFERROR(__xludf.DUMMYFUNCTION("""COMPUTED_VALUE"""),45606.75403619213)</f>
        <v>45606.75404</v>
      </c>
      <c r="C1922" s="9"/>
      <c r="D1922" s="10">
        <f>IFERROR(__xludf.DUMMYFUNCTION("""COMPUTED_VALUE"""),45622.0)</f>
        <v>45622</v>
      </c>
      <c r="E1922" s="10" t="str">
        <f>IFERROR(__xludf.DUMMYFUNCTION("""COMPUTED_VALUE"""),"11Nov")</f>
        <v>11Nov</v>
      </c>
      <c r="F1922" s="10" t="str">
        <f>IFERROR(__xludf.DUMMYFUNCTION("""COMPUTED_VALUE"""),"2024")</f>
        <v>2024</v>
      </c>
      <c r="G1922" s="35" t="str">
        <f>IFERROR(__xludf.DUMMYFUNCTION("""COMPUTED_VALUE"""),"ADIT FEBRIANTO")</f>
        <v>ADIT FEBRIANTO</v>
      </c>
      <c r="H1922" s="17" t="str">
        <f>IFERROR(__xludf.DUMMYFUNCTION("""COMPUTED_VALUE"""),"A8624112720")</f>
        <v>A8624112720</v>
      </c>
      <c r="I1922" s="17">
        <f>IFERROR(__xludf.DUMMYFUNCTION("""COMPUTED_VALUE"""),40.0)</f>
        <v>40</v>
      </c>
      <c r="J1922" s="17" t="str">
        <f>IFERROR(__xludf.DUMMYFUNCTION("""COMPUTED_VALUE"""),"35-44 tahun")</f>
        <v>35-44 tahun</v>
      </c>
      <c r="K1922" s="19">
        <f>IFERROR(__xludf.DUMMYFUNCTION("""COMPUTED_VALUE"""),31464.0)</f>
        <v>31464</v>
      </c>
      <c r="L1922" s="19" t="str">
        <f>IFERROR(__xludf.DUMMYFUNCTION("""COMPUTED_VALUE"""),"LAKI-LAKI")</f>
        <v>LAKI-LAKI</v>
      </c>
      <c r="M1922" s="35" t="str">
        <f>IFERROR(__xludf.DUMMYFUNCTION("""COMPUTED_VALUE"""),"JALAN ADISUCIPTO BTN TELUK MULUS ASPOL C-23")</f>
        <v>JALAN ADISUCIPTO BTN TELUK MULUS ASPOL C-23</v>
      </c>
      <c r="N1922" s="16" t="str">
        <f>IFERROR(__xludf.DUMMYFUNCTION("""COMPUTED_VALUE"""),"DS. TELUK KAPUAS")</f>
        <v>DS. TELUK KAPUAS</v>
      </c>
      <c r="O1922" s="16" t="str">
        <f>IFERROR(__xludf.DUMMYFUNCTION("""COMPUTED_VALUE"""),"KEC. SUNGAI RAYA")</f>
        <v>KEC. SUNGAI RAYA</v>
      </c>
      <c r="P1922" s="16" t="str">
        <f>IFERROR(__xludf.DUMMYFUNCTION("""COMPUTED_VALUE"""),"KAB. KUBU RAYA")</f>
        <v>KAB. KUBU RAYA</v>
      </c>
      <c r="Q1922" s="16" t="str">
        <f>IFERROR(__xludf.DUMMYFUNCTION("""COMPUTED_VALUE"""),"KALIMANTAN BARAT")</f>
        <v>KALIMANTAN BARAT</v>
      </c>
      <c r="R1922" s="19" t="str">
        <f>IFERROR(__xludf.DUMMYFUNCTION("""COMPUTED_VALUE"""),"ISLAM")</f>
        <v>ISLAM</v>
      </c>
      <c r="S1922" s="16" t="str">
        <f>IFERROR(__xludf.DUMMYFUNCTION("""COMPUTED_VALUE"""),"TNI/POLRI")</f>
        <v>TNI/POLRI</v>
      </c>
      <c r="T1922" s="16" t="str">
        <f>IFERROR(__xludf.DUMMYFUNCTION("""COMPUTED_VALUE"""),"jari jempol, jari manis dan jari kelingking pada tangan sebelah kiri susah digerakan")</f>
        <v>jari jempol, jari manis dan jari kelingking pada tangan sebelah kiri susah digerakan</v>
      </c>
      <c r="U1922" s="16" t="str">
        <f>IFERROR(__xludf.DUMMYFUNCTION("""COMPUTED_VALUE"""),"berkerja")</f>
        <v>berkerja</v>
      </c>
      <c r="V1922" s="11" t="str">
        <f>IFERROR(__xludf.DUMMYFUNCTION("""COMPUTED_VALUE"""),"082150012720")</f>
        <v>082150012720</v>
      </c>
      <c r="W1922" s="15"/>
    </row>
    <row r="1923">
      <c r="A1923" s="45"/>
      <c r="B1923" s="9">
        <f>IFERROR(__xludf.DUMMYFUNCTION("""COMPUTED_VALUE"""),45606.78175952546)</f>
        <v>45606.78176</v>
      </c>
      <c r="C1923" s="9"/>
      <c r="D1923" s="10">
        <f>IFERROR(__xludf.DUMMYFUNCTION("""COMPUTED_VALUE"""),45622.0)</f>
        <v>45622</v>
      </c>
      <c r="E1923" s="10" t="str">
        <f>IFERROR(__xludf.DUMMYFUNCTION("""COMPUTED_VALUE"""),"11Nov")</f>
        <v>11Nov</v>
      </c>
      <c r="F1923" s="10" t="str">
        <f>IFERROR(__xludf.DUMMYFUNCTION("""COMPUTED_VALUE"""),"2024")</f>
        <v>2024</v>
      </c>
      <c r="G1923" s="35" t="str">
        <f>IFERROR(__xludf.DUMMYFUNCTION("""COMPUTED_VALUE"""),"NOVACHRISTO JOSEPH SILANGEN")</f>
        <v>NOVACHRISTO JOSEPH SILANGEN</v>
      </c>
      <c r="H1923" s="17" t="str">
        <f>IFERROR(__xludf.DUMMYFUNCTION("""COMPUTED_VALUE"""),"N6924112241")</f>
        <v>N6924112241</v>
      </c>
      <c r="I1923" s="17">
        <f>IFERROR(__xludf.DUMMYFUNCTION("""COMPUTED_VALUE"""),56.0)</f>
        <v>56</v>
      </c>
      <c r="J1923" s="17" t="str">
        <f>IFERROR(__xludf.DUMMYFUNCTION("""COMPUTED_VALUE"""),"&gt; 44 tahun")</f>
        <v>&gt; 44 tahun</v>
      </c>
      <c r="K1923" s="19">
        <f>IFERROR(__xludf.DUMMYFUNCTION("""COMPUTED_VALUE"""),25533.0)</f>
        <v>25533</v>
      </c>
      <c r="L1923" s="19" t="str">
        <f>IFERROR(__xludf.DUMMYFUNCTION("""COMPUTED_VALUE"""),"LAKI-LAKI")</f>
        <v>LAKI-LAKI</v>
      </c>
      <c r="M1923" s="35" t="str">
        <f>IFERROR(__xludf.DUMMYFUNCTION("""COMPUTED_VALUE"""),"JL. CEMPAKA NO.09 SAMARINDA")</f>
        <v>JL. CEMPAKA NO.09 SAMARINDA</v>
      </c>
      <c r="N1923" s="16" t="str">
        <f>IFERROR(__xludf.DUMMYFUNCTION("""COMPUTED_VALUE"""),"KEL. BUGIS")</f>
        <v>KEL. BUGIS</v>
      </c>
      <c r="O1923" s="16" t="str">
        <f>IFERROR(__xludf.DUMMYFUNCTION("""COMPUTED_VALUE"""),"KEC.. SAMARINDA KOTA")</f>
        <v>KEC.. SAMARINDA KOTA</v>
      </c>
      <c r="P1923" s="16" t="str">
        <f>IFERROR(__xludf.DUMMYFUNCTION("""COMPUTED_VALUE"""),"KAB. SAMARINDA")</f>
        <v>KAB. SAMARINDA</v>
      </c>
      <c r="Q1923" s="16" t="str">
        <f>IFERROR(__xludf.DUMMYFUNCTION("""COMPUTED_VALUE"""),"KALIMANTAN BARAT")</f>
        <v>KALIMANTAN BARAT</v>
      </c>
      <c r="R1923" s="19" t="str">
        <f>IFERROR(__xludf.DUMMYFUNCTION("""COMPUTED_VALUE"""),"PROTESTAN")</f>
        <v>PROTESTAN</v>
      </c>
      <c r="S1923" s="35" t="str">
        <f>IFERROR(__xludf.DUMMYFUNCTION("""COMPUTED_VALUE"""),"BUMN")</f>
        <v>BUMN</v>
      </c>
      <c r="T1923" s="16" t="str">
        <f>IFERROR(__xludf.DUMMYFUNCTION("""COMPUTED_VALUE"""),"Sakit pinggang dan lutut")</f>
        <v>Sakit pinggang dan lutut</v>
      </c>
      <c r="U1923" s="16" t="str">
        <f>IFERROR(__xludf.DUMMYFUNCTION("""COMPUTED_VALUE"""),"Mini soccer, lari dan golf")</f>
        <v>Mini soccer, lari dan golf</v>
      </c>
      <c r="V1923" s="11" t="str">
        <f>IFERROR(__xludf.DUMMYFUNCTION("""COMPUTED_VALUE"""),"081350112241")</f>
        <v>081350112241</v>
      </c>
      <c r="W1923" s="15"/>
    </row>
    <row r="1924">
      <c r="A1924" s="45"/>
      <c r="B1924" s="9"/>
      <c r="C1924" s="9"/>
      <c r="D1924" s="10">
        <f>IFERROR(__xludf.DUMMYFUNCTION("""COMPUTED_VALUE"""),45624.0)</f>
        <v>45624</v>
      </c>
      <c r="E1924" s="10" t="str">
        <f>IFERROR(__xludf.DUMMYFUNCTION("""COMPUTED_VALUE"""),"11Nov")</f>
        <v>11Nov</v>
      </c>
      <c r="F1924" s="10" t="str">
        <f>IFERROR(__xludf.DUMMYFUNCTION("""COMPUTED_VALUE"""),"2024")</f>
        <v>2024</v>
      </c>
      <c r="G1924" s="35" t="str">
        <f>IFERROR(__xludf.DUMMYFUNCTION("""COMPUTED_VALUE"""),"DEDI HERMAWAN")</f>
        <v>DEDI HERMAWAN</v>
      </c>
      <c r="H1924" s="17" t="str">
        <f>IFERROR(__xludf.DUMMYFUNCTION("""COMPUTED_VALUE"""),"D7024114344")</f>
        <v>D7024114344</v>
      </c>
      <c r="I1924" s="17">
        <f>IFERROR(__xludf.DUMMYFUNCTION("""COMPUTED_VALUE"""),55.0)</f>
        <v>55</v>
      </c>
      <c r="J1924" s="17" t="str">
        <f>IFERROR(__xludf.DUMMYFUNCTION("""COMPUTED_VALUE"""),"&gt; 44 tahun")</f>
        <v>&gt; 44 tahun</v>
      </c>
      <c r="K1924" s="19">
        <f>IFERROR(__xludf.DUMMYFUNCTION("""COMPUTED_VALUE"""),25920.0)</f>
        <v>25920</v>
      </c>
      <c r="L1924" s="19" t="str">
        <f>IFERROR(__xludf.DUMMYFUNCTION("""COMPUTED_VALUE"""),"LAKI-LAKI")</f>
        <v>LAKI-LAKI</v>
      </c>
      <c r="M1924" s="35" t="str">
        <f>IFERROR(__xludf.DUMMYFUNCTION("""COMPUTED_VALUE"""),"JALAN PATTIMURA NO.02")</f>
        <v>JALAN PATTIMURA NO.02</v>
      </c>
      <c r="N1924" s="16" t="str">
        <f>IFERROR(__xludf.DUMMYFUNCTION("""COMPUTED_VALUE"""),"KEL. PEMATANG KANDIS")</f>
        <v>KEL. PEMATANG KANDIS</v>
      </c>
      <c r="O1924" s="16" t="str">
        <f>IFERROR(__xludf.DUMMYFUNCTION("""COMPUTED_VALUE"""),"KEC. BANGKO")</f>
        <v>KEC. BANGKO</v>
      </c>
      <c r="P1924" s="16" t="str">
        <f>IFERROR(__xludf.DUMMYFUNCTION("""COMPUTED_VALUE"""),"KOTA PALEMBANG")</f>
        <v>KOTA PALEMBANG</v>
      </c>
      <c r="Q1924" s="16" t="str">
        <f>IFERROR(__xludf.DUMMYFUNCTION("""COMPUTED_VALUE"""),"SUMATRA BARAT")</f>
        <v>SUMATRA BARAT</v>
      </c>
      <c r="R1924" s="19" t="str">
        <f>IFERROR(__xludf.DUMMYFUNCTION("""COMPUTED_VALUE"""),"ISLAM")</f>
        <v>ISLAM</v>
      </c>
      <c r="S1924" s="16" t="str">
        <f>IFERROR(__xludf.DUMMYFUNCTION("""COMPUTED_VALUE"""),"KARAYWAN BUMN")</f>
        <v>KARAYWAN BUMN</v>
      </c>
      <c r="T1924" s="16" t="str">
        <f>IFERROR(__xludf.DUMMYFUNCTION("""COMPUTED_VALUE"""),"Sakit Pinggang")</f>
        <v>Sakit Pinggang</v>
      </c>
      <c r="U1924" s="16" t="str">
        <f>IFERROR(__xludf.DUMMYFUNCTION("""COMPUTED_VALUE"""),"Olahraga")</f>
        <v>Olahraga</v>
      </c>
      <c r="V1924" s="11" t="str">
        <f>IFERROR(__xludf.DUMMYFUNCTION("""COMPUTED_VALUE"""),"08127404344")</f>
        <v>08127404344</v>
      </c>
      <c r="W1924" s="15"/>
    </row>
    <row r="1925">
      <c r="A1925" s="45"/>
      <c r="B1925" s="9">
        <f>IFERROR(__xludf.DUMMYFUNCTION("""COMPUTED_VALUE"""),45607.73119089121)</f>
        <v>45607.73119</v>
      </c>
      <c r="C1925" s="9"/>
      <c r="D1925" s="10">
        <f>IFERROR(__xludf.DUMMYFUNCTION("""COMPUTED_VALUE"""),45624.0)</f>
        <v>45624</v>
      </c>
      <c r="E1925" s="10" t="str">
        <f>IFERROR(__xludf.DUMMYFUNCTION("""COMPUTED_VALUE"""),"11Nov")</f>
        <v>11Nov</v>
      </c>
      <c r="F1925" s="10" t="str">
        <f>IFERROR(__xludf.DUMMYFUNCTION("""COMPUTED_VALUE"""),"2024")</f>
        <v>2024</v>
      </c>
      <c r="G1925" s="35" t="str">
        <f>IFERROR(__xludf.DUMMYFUNCTION("""COMPUTED_VALUE"""),"FURQON DZAKI AZZAM")</f>
        <v>FURQON DZAKI AZZAM</v>
      </c>
      <c r="H1925" s="17" t="str">
        <f>IFERROR(__xludf.DUMMYFUNCTION("""COMPUTED_VALUE"""),"F9924116883")</f>
        <v>F9924116883</v>
      </c>
      <c r="I1925" s="17">
        <f>IFERROR(__xludf.DUMMYFUNCTION("""COMPUTED_VALUE"""),26.0)</f>
        <v>26</v>
      </c>
      <c r="J1925" s="17" t="str">
        <f>IFERROR(__xludf.DUMMYFUNCTION("""COMPUTED_VALUE"""),"25-34 tahun")</f>
        <v>25-34 tahun</v>
      </c>
      <c r="K1925" s="19">
        <f>IFERROR(__xludf.DUMMYFUNCTION("""COMPUTED_VALUE"""),36523.0)</f>
        <v>36523</v>
      </c>
      <c r="L1925" s="19" t="str">
        <f>IFERROR(__xludf.DUMMYFUNCTION("""COMPUTED_VALUE"""),"LAKI-LAKI")</f>
        <v>LAKI-LAKI</v>
      </c>
      <c r="M1925" s="35" t="str">
        <f>IFERROR(__xludf.DUMMYFUNCTION("""COMPUTED_VALUE"""),"JL HRA RAHMAN GG BUKIT SARAN NO.30")</f>
        <v>JL HRA RAHMAN GG BUKIT SARAN NO.30</v>
      </c>
      <c r="N1925" s="16" t="str">
        <f>IFERROR(__xludf.DUMMYFUNCTION("""COMPUTED_VALUE"""),"KEL. SUNGAI JAWI")</f>
        <v>KEL. SUNGAI JAWI</v>
      </c>
      <c r="O1925" s="16" t="str">
        <f>IFERROR(__xludf.DUMMYFUNCTION("""COMPUTED_VALUE"""),"KEC. PONTIANAK KOTA")</f>
        <v>KEC. PONTIANAK KOTA</v>
      </c>
      <c r="P1925" s="16" t="str">
        <f>IFERROR(__xludf.DUMMYFUNCTION("""COMPUTED_VALUE"""),"KOTA PONTIANAK")</f>
        <v>KOTA PONTIANAK</v>
      </c>
      <c r="Q1925" s="16" t="str">
        <f>IFERROR(__xludf.DUMMYFUNCTION("""COMPUTED_VALUE"""),"KALIMANTAN BARAT")</f>
        <v>KALIMANTAN BARAT</v>
      </c>
      <c r="R1925" s="19" t="str">
        <f>IFERROR(__xludf.DUMMYFUNCTION("""COMPUTED_VALUE"""),"ISLAM")</f>
        <v>ISLAM</v>
      </c>
      <c r="S1925" s="16" t="str">
        <f>IFERROR(__xludf.DUMMYFUNCTION("""COMPUTED_VALUE"""),"WIRASWASTA")</f>
        <v>WIRASWASTA</v>
      </c>
      <c r="T1925" s="16" t="str">
        <f>IFERROR(__xludf.DUMMYFUNCTION("""COMPUTED_VALUE"""),"nyeri paha")</f>
        <v>nyeri paha</v>
      </c>
      <c r="U1925" s="16" t="str">
        <f>IFERROR(__xludf.DUMMYFUNCTION("""COMPUTED_VALUE"""),"sepak bola")</f>
        <v>sepak bola</v>
      </c>
      <c r="V1925" s="11" t="str">
        <f>IFERROR(__xludf.DUMMYFUNCTION("""COMPUTED_VALUE"""),"081255676883")</f>
        <v>081255676883</v>
      </c>
      <c r="W1925" s="15"/>
    </row>
    <row r="1926">
      <c r="A1926" s="45"/>
      <c r="B1926" s="9">
        <f>IFERROR(__xludf.DUMMYFUNCTION("""COMPUTED_VALUE"""),45609.72176269676)</f>
        <v>45609.72176</v>
      </c>
      <c r="C1926" s="9"/>
      <c r="D1926" s="10">
        <f>IFERROR(__xludf.DUMMYFUNCTION("""COMPUTED_VALUE"""),45624.0)</f>
        <v>45624</v>
      </c>
      <c r="E1926" s="10" t="str">
        <f>IFERROR(__xludf.DUMMYFUNCTION("""COMPUTED_VALUE"""),"11Nov")</f>
        <v>11Nov</v>
      </c>
      <c r="F1926" s="10" t="str">
        <f>IFERROR(__xludf.DUMMYFUNCTION("""COMPUTED_VALUE"""),"2024")</f>
        <v>2024</v>
      </c>
      <c r="G1926" s="35" t="str">
        <f>IFERROR(__xludf.DUMMYFUNCTION("""COMPUTED_VALUE"""),"FERENTIKA PUTRI UTAMU")</f>
        <v>FERENTIKA PUTRI UTAMU</v>
      </c>
      <c r="H1926" s="17" t="str">
        <f>IFERROR(__xludf.DUMMYFUNCTION("""COMPUTED_VALUE"""),"F9924116619")</f>
        <v>F9924116619</v>
      </c>
      <c r="I1926" s="17">
        <f>IFERROR(__xludf.DUMMYFUNCTION("""COMPUTED_VALUE"""),27.0)</f>
        <v>27</v>
      </c>
      <c r="J1926" s="17" t="str">
        <f>IFERROR(__xludf.DUMMYFUNCTION("""COMPUTED_VALUE"""),"25-34 tahun")</f>
        <v>25-34 tahun</v>
      </c>
      <c r="K1926" s="19">
        <f>IFERROR(__xludf.DUMMYFUNCTION("""COMPUTED_VALUE"""),36284.0)</f>
        <v>36284</v>
      </c>
      <c r="L1926" s="19" t="str">
        <f>IFERROR(__xludf.DUMMYFUNCTION("""COMPUTED_VALUE"""),"PEREMPUAN")</f>
        <v>PEREMPUAN</v>
      </c>
      <c r="M1926" s="35" t="str">
        <f>IFERROR(__xludf.DUMMYFUNCTION("""COMPUTED_VALUE"""),"JL H RAIS A RAHMAN GG WASPADA 2")</f>
        <v>JL H RAIS A RAHMAN GG WASPADA 2</v>
      </c>
      <c r="N1926" s="16" t="str">
        <f>IFERROR(__xludf.DUMMYFUNCTION("""COMPUTED_VALUE"""),"KEL. SUNGAI JAWI")</f>
        <v>KEL. SUNGAI JAWI</v>
      </c>
      <c r="O1926" s="16" t="str">
        <f>IFERROR(__xludf.DUMMYFUNCTION("""COMPUTED_VALUE"""),"KEC. PONTIANAK KOTA")</f>
        <v>KEC. PONTIANAK KOTA</v>
      </c>
      <c r="P1926" s="16" t="str">
        <f>IFERROR(__xludf.DUMMYFUNCTION("""COMPUTED_VALUE"""),"KOTA PONTIANAK")</f>
        <v>KOTA PONTIANAK</v>
      </c>
      <c r="Q1926" s="16" t="str">
        <f>IFERROR(__xludf.DUMMYFUNCTION("""COMPUTED_VALUE"""),"KALIMANTAN BARAT")</f>
        <v>KALIMANTAN BARAT</v>
      </c>
      <c r="R1926" s="19" t="str">
        <f>IFERROR(__xludf.DUMMYFUNCTION("""COMPUTED_VALUE"""),"ISLAM")</f>
        <v>ISLAM</v>
      </c>
      <c r="S1926" s="16" t="str">
        <f>IFERROR(__xludf.DUMMYFUNCTION("""COMPUTED_VALUE"""),"WIRASWASTA")</f>
        <v>WIRASWASTA</v>
      </c>
      <c r="T1926" s="16" t="str">
        <f>IFERROR(__xludf.DUMMYFUNCTION("""COMPUTED_VALUE"""),"skoliosis")</f>
        <v>skoliosis</v>
      </c>
      <c r="U1926" s="16" t="str">
        <f>IFERROR(__xludf.DUMMYFUNCTION("""COMPUTED_VALUE"""),"nonton film")</f>
        <v>nonton film</v>
      </c>
      <c r="V1926" s="11" t="str">
        <f>IFERROR(__xludf.DUMMYFUNCTION("""COMPUTED_VALUE"""),"082194786619")</f>
        <v>082194786619</v>
      </c>
      <c r="W1926" s="15"/>
    </row>
    <row r="1927">
      <c r="A1927" s="45"/>
      <c r="B1927" s="9">
        <f>IFERROR(__xludf.DUMMYFUNCTION("""COMPUTED_VALUE"""),45609.72370290509)</f>
        <v>45609.7237</v>
      </c>
      <c r="C1927" s="9"/>
      <c r="D1927" s="10">
        <f>IFERROR(__xludf.DUMMYFUNCTION("""COMPUTED_VALUE"""),45624.0)</f>
        <v>45624</v>
      </c>
      <c r="E1927" s="10" t="str">
        <f>IFERROR(__xludf.DUMMYFUNCTION("""COMPUTED_VALUE"""),"11Nov")</f>
        <v>11Nov</v>
      </c>
      <c r="F1927" s="10" t="str">
        <f>IFERROR(__xludf.DUMMYFUNCTION("""COMPUTED_VALUE"""),"2024")</f>
        <v>2024</v>
      </c>
      <c r="G1927" s="35" t="str">
        <f>IFERROR(__xludf.DUMMYFUNCTION("""COMPUTED_VALUE"""),"STEFANUS FERDINAN")</f>
        <v>STEFANUS FERDINAN</v>
      </c>
      <c r="H1927" s="17" t="str">
        <f>IFERROR(__xludf.DUMMYFUNCTION("""COMPUTED_VALUE"""),"S8424116922")</f>
        <v>S8424116922</v>
      </c>
      <c r="I1927" s="17">
        <f>IFERROR(__xludf.DUMMYFUNCTION("""COMPUTED_VALUE"""),42.0)</f>
        <v>42</v>
      </c>
      <c r="J1927" s="17" t="str">
        <f>IFERROR(__xludf.DUMMYFUNCTION("""COMPUTED_VALUE"""),"35-44 tahun")</f>
        <v>35-44 tahun</v>
      </c>
      <c r="K1927" s="19">
        <f>IFERROR(__xludf.DUMMYFUNCTION("""COMPUTED_VALUE"""),30685.0)</f>
        <v>30685</v>
      </c>
      <c r="L1927" s="19" t="str">
        <f>IFERROR(__xludf.DUMMYFUNCTION("""COMPUTED_VALUE"""),"LAKI-LAKI")</f>
        <v>LAKI-LAKI</v>
      </c>
      <c r="M1927" s="35" t="str">
        <f>IFERROR(__xludf.DUMMYFUNCTION("""COMPUTED_VALUE"""),"JALAN ADI SUCIPTO GANG SOSIAL NOMOR 3")</f>
        <v>JALAN ADI SUCIPTO GANG SOSIAL NOMOR 3</v>
      </c>
      <c r="N1927" s="16" t="str">
        <f>IFERROR(__xludf.DUMMYFUNCTION("""COMPUTED_VALUE"""),"BANGKA BELITUNG LAUT")</f>
        <v>BANGKA BELITUNG LAUT</v>
      </c>
      <c r="O1927" s="16" t="str">
        <f>IFERROR(__xludf.DUMMYFUNCTION("""COMPUTED_VALUE"""),"KEC. PONTIANAK TENGGARA")</f>
        <v>KEC. PONTIANAK TENGGARA</v>
      </c>
      <c r="P1927" s="16" t="str">
        <f>IFERROR(__xludf.DUMMYFUNCTION("""COMPUTED_VALUE"""),"KOTA PONTIANAK")</f>
        <v>KOTA PONTIANAK</v>
      </c>
      <c r="Q1927" s="16" t="str">
        <f>IFERROR(__xludf.DUMMYFUNCTION("""COMPUTED_VALUE"""),"KALIMANTAN BARAT")</f>
        <v>KALIMANTAN BARAT</v>
      </c>
      <c r="R1927" s="19" t="str">
        <f>IFERROR(__xludf.DUMMYFUNCTION("""COMPUTED_VALUE"""),"LAINNYA")</f>
        <v>LAINNYA</v>
      </c>
      <c r="S1927" s="35" t="str">
        <f>IFERROR(__xludf.DUMMYFUNCTION("""COMPUTED_VALUE"""),"WIRASWASTA")</f>
        <v>WIRASWASTA</v>
      </c>
      <c r="T1927" s="16" t="str">
        <f>IFERROR(__xludf.DUMMYFUNCTION("""COMPUTED_VALUE"""),"HAMSTRING KAKI PAHA")</f>
        <v>HAMSTRING KAKI PAHA</v>
      </c>
      <c r="U1927" s="16" t="str">
        <f>IFERROR(__xludf.DUMMYFUNCTION("""COMPUTED_VALUE"""),"SEPAK BOLA")</f>
        <v>SEPAK BOLA</v>
      </c>
      <c r="V1927" s="11" t="str">
        <f>IFERROR(__xludf.DUMMYFUNCTION("""COMPUTED_VALUE"""),"085215626922")</f>
        <v>085215626922</v>
      </c>
      <c r="W1927" s="15"/>
    </row>
    <row r="1928">
      <c r="A1928" s="45"/>
      <c r="B1928" s="9">
        <f>IFERROR(__xludf.DUMMYFUNCTION("""COMPUTED_VALUE"""),45609.72667185185)</f>
        <v>45609.72667</v>
      </c>
      <c r="C1928" s="9"/>
      <c r="D1928" s="10">
        <f>IFERROR(__xludf.DUMMYFUNCTION("""COMPUTED_VALUE"""),45624.0)</f>
        <v>45624</v>
      </c>
      <c r="E1928" s="10" t="str">
        <f>IFERROR(__xludf.DUMMYFUNCTION("""COMPUTED_VALUE"""),"11Nov")</f>
        <v>11Nov</v>
      </c>
      <c r="F1928" s="10" t="str">
        <f>IFERROR(__xludf.DUMMYFUNCTION("""COMPUTED_VALUE"""),"2024")</f>
        <v>2024</v>
      </c>
      <c r="G1928" s="35" t="str">
        <f>IFERROR(__xludf.DUMMYFUNCTION("""COMPUTED_VALUE"""),"NAWAL ATTAMIMI")</f>
        <v>NAWAL ATTAMIMI</v>
      </c>
      <c r="H1928" s="17" t="str">
        <f>IFERROR(__xludf.DUMMYFUNCTION("""COMPUTED_VALUE"""),"N0924113339")</f>
        <v>N0924113339</v>
      </c>
      <c r="I1928" s="17">
        <f>IFERROR(__xludf.DUMMYFUNCTION("""COMPUTED_VALUE"""),16.0)</f>
        <v>16</v>
      </c>
      <c r="J1928" s="17" t="str">
        <f>IFERROR(__xludf.DUMMYFUNCTION("""COMPUTED_VALUE"""),"&lt; 18 tahun")</f>
        <v>&lt; 18 tahun</v>
      </c>
      <c r="K1928" s="19">
        <f>IFERROR(__xludf.DUMMYFUNCTION("""COMPUTED_VALUE"""),40020.0)</f>
        <v>40020</v>
      </c>
      <c r="L1928" s="19" t="str">
        <f>IFERROR(__xludf.DUMMYFUNCTION("""COMPUTED_VALUE"""),"PEREMPUAN")</f>
        <v>PEREMPUAN</v>
      </c>
      <c r="M1928" s="35" t="str">
        <f>IFERROR(__xludf.DUMMYFUNCTION("""COMPUTED_VALUE"""),"JL.KH.AHMAD DAHLAN GG.MUBARAK NO.1")</f>
        <v>JL.KH.AHMAD DAHLAN GG.MUBARAK NO.1</v>
      </c>
      <c r="N1928" s="16" t="str">
        <f>IFERROR(__xludf.DUMMYFUNCTION("""COMPUTED_VALUE"""),"KEL. SUNGAI BANGKONG")</f>
        <v>KEL. SUNGAI BANGKONG</v>
      </c>
      <c r="O1928" s="16" t="str">
        <f>IFERROR(__xludf.DUMMYFUNCTION("""COMPUTED_VALUE"""),"KEC. PONTIANAK KOTA")</f>
        <v>KEC. PONTIANAK KOTA</v>
      </c>
      <c r="P1928" s="16" t="str">
        <f>IFERROR(__xludf.DUMMYFUNCTION("""COMPUTED_VALUE"""),"KOTA PONTIANAK")</f>
        <v>KOTA PONTIANAK</v>
      </c>
      <c r="Q1928" s="16" t="str">
        <f>IFERROR(__xludf.DUMMYFUNCTION("""COMPUTED_VALUE"""),"KALIMANTAN BARAT")</f>
        <v>KALIMANTAN BARAT</v>
      </c>
      <c r="R1928" s="19" t="str">
        <f>IFERROR(__xludf.DUMMYFUNCTION("""COMPUTED_VALUE"""),"ISLAM")</f>
        <v>ISLAM</v>
      </c>
      <c r="S1928" s="16" t="str">
        <f>IFERROR(__xludf.DUMMYFUNCTION("""COMPUTED_VALUE"""),"PELAJAR/MAHASISWA")</f>
        <v>PELAJAR/MAHASISWA</v>
      </c>
      <c r="T1928" s="16" t="str">
        <f>IFERROR(__xludf.DUMMYFUNCTION("""COMPUTED_VALUE"""),"sakit dibagian pinggang")</f>
        <v>sakit dibagian pinggang</v>
      </c>
      <c r="U1928" s="16" t="str">
        <f>IFERROR(__xludf.DUMMYFUNCTION("""COMPUTED_VALUE"""),"Belajar")</f>
        <v>Belajar</v>
      </c>
      <c r="V1928" s="11" t="str">
        <f>IFERROR(__xludf.DUMMYFUNCTION("""COMPUTED_VALUE"""),"085821363339")</f>
        <v>085821363339</v>
      </c>
      <c r="W1928" s="15"/>
    </row>
    <row r="1929">
      <c r="A1929" s="45"/>
      <c r="B1929" s="9">
        <f>IFERROR(__xludf.DUMMYFUNCTION("""COMPUTED_VALUE"""),45609.74087504629)</f>
        <v>45609.74088</v>
      </c>
      <c r="C1929" s="9"/>
      <c r="D1929" s="10">
        <f>IFERROR(__xludf.DUMMYFUNCTION("""COMPUTED_VALUE"""),45654.0)</f>
        <v>45654</v>
      </c>
      <c r="E1929" s="10" t="str">
        <f>IFERROR(__xludf.DUMMYFUNCTION("""COMPUTED_VALUE"""),"12Des")</f>
        <v>12Des</v>
      </c>
      <c r="F1929" s="10" t="str">
        <f>IFERROR(__xludf.DUMMYFUNCTION("""COMPUTED_VALUE"""),"2024")</f>
        <v>2024</v>
      </c>
      <c r="G1929" s="35" t="str">
        <f>IFERROR(__xludf.DUMMYFUNCTION("""COMPUTED_VALUE"""),"HERRIANSYAH")</f>
        <v>HERRIANSYAH</v>
      </c>
      <c r="H1929" s="17" t="str">
        <f>IFERROR(__xludf.DUMMYFUNCTION("""COMPUTED_VALUE"""),"H6624124010")</f>
        <v>H6624124010</v>
      </c>
      <c r="I1929" s="17">
        <f>IFERROR(__xludf.DUMMYFUNCTION("""COMPUTED_VALUE"""),60.0)</f>
        <v>60</v>
      </c>
      <c r="J1929" s="17" t="str">
        <f>IFERROR(__xludf.DUMMYFUNCTION("""COMPUTED_VALUE"""),"&gt; 44 tahun")</f>
        <v>&gt; 44 tahun</v>
      </c>
      <c r="K1929" s="19">
        <f>IFERROR(__xludf.DUMMYFUNCTION("""COMPUTED_VALUE"""),24190.0)</f>
        <v>24190</v>
      </c>
      <c r="L1929" s="19" t="str">
        <f>IFERROR(__xludf.DUMMYFUNCTION("""COMPUTED_VALUE"""),"LAKI-LAKI")</f>
        <v>LAKI-LAKI</v>
      </c>
      <c r="M1929" s="35" t="str">
        <f>IFERROR(__xludf.DUMMYFUNCTION("""COMPUTED_VALUE"""),"JL. DR. WAHIDIN")</f>
        <v>JL. DR. WAHIDIN</v>
      </c>
      <c r="N1929" s="16" t="str">
        <f>IFERROR(__xludf.DUMMYFUNCTION("""COMPUTED_VALUE"""),"KEL. SUNGAI JAWI")</f>
        <v>KEL. SUNGAI JAWI</v>
      </c>
      <c r="O1929" s="16" t="str">
        <f>IFERROR(__xludf.DUMMYFUNCTION("""COMPUTED_VALUE"""),"KEC. PONTIANAK KOTA")</f>
        <v>KEC. PONTIANAK KOTA</v>
      </c>
      <c r="P1929" s="16" t="str">
        <f>IFERROR(__xludf.DUMMYFUNCTION("""COMPUTED_VALUE"""),"KOTA PONTIANAK")</f>
        <v>KOTA PONTIANAK</v>
      </c>
      <c r="Q1929" s="16" t="str">
        <f>IFERROR(__xludf.DUMMYFUNCTION("""COMPUTED_VALUE"""),"KALIMANTAN BARAT")</f>
        <v>KALIMANTAN BARAT</v>
      </c>
      <c r="R1929" s="19" t="str">
        <f>IFERROR(__xludf.DUMMYFUNCTION("""COMPUTED_VALUE"""),"ISLAM")</f>
        <v>ISLAM</v>
      </c>
      <c r="S1929" s="35" t="str">
        <f>IFERROR(__xludf.DUMMYFUNCTION("""COMPUTED_VALUE"""),"PENSIUN")</f>
        <v>PENSIUN</v>
      </c>
      <c r="T1929" s="16" t="str">
        <f>IFERROR(__xludf.DUMMYFUNCTION("""COMPUTED_VALUE"""),"PINGGUL")</f>
        <v>PINGGUL</v>
      </c>
      <c r="U1929" s="16" t="str">
        <f>IFERROR(__xludf.DUMMYFUNCTION("""COMPUTED_VALUE"""),"KARATE")</f>
        <v>KARATE</v>
      </c>
      <c r="V1929" s="11" t="str">
        <f>IFERROR(__xludf.DUMMYFUNCTION("""COMPUTED_VALUE"""),"081545504010")</f>
        <v>081545504010</v>
      </c>
      <c r="W1929" s="15"/>
    </row>
    <row r="1930">
      <c r="A1930" s="45"/>
      <c r="B1930" s="9">
        <f>IFERROR(__xludf.DUMMYFUNCTION("""COMPUTED_VALUE"""),45609.78468347222)</f>
        <v>45609.78468</v>
      </c>
      <c r="C1930" s="9"/>
      <c r="D1930" s="10">
        <f>IFERROR(__xludf.DUMMYFUNCTION("""COMPUTED_VALUE"""),45624.0)</f>
        <v>45624</v>
      </c>
      <c r="E1930" s="10" t="str">
        <f>IFERROR(__xludf.DUMMYFUNCTION("""COMPUTED_VALUE"""),"11Nov")</f>
        <v>11Nov</v>
      </c>
      <c r="F1930" s="10" t="str">
        <f>IFERROR(__xludf.DUMMYFUNCTION("""COMPUTED_VALUE"""),"2024")</f>
        <v>2024</v>
      </c>
      <c r="G1930" s="35" t="str">
        <f>IFERROR(__xludf.DUMMYFUNCTION("""COMPUTED_VALUE"""),"HARDIANSYAH ABDI G")</f>
        <v>HARDIANSYAH ABDI G</v>
      </c>
      <c r="H1930" s="17" t="str">
        <f>IFERROR(__xludf.DUMMYFUNCTION("""COMPUTED_VALUE"""),"H9524112127")</f>
        <v>H9524112127</v>
      </c>
      <c r="I1930" s="17">
        <f>IFERROR(__xludf.DUMMYFUNCTION("""COMPUTED_VALUE"""),30.0)</f>
        <v>30</v>
      </c>
      <c r="J1930" s="17" t="str">
        <f>IFERROR(__xludf.DUMMYFUNCTION("""COMPUTED_VALUE"""),"25-34 tahun")</f>
        <v>25-34 tahun</v>
      </c>
      <c r="K1930" s="19">
        <f>IFERROR(__xludf.DUMMYFUNCTION("""COMPUTED_VALUE"""),34882.0)</f>
        <v>34882</v>
      </c>
      <c r="L1930" s="19" t="str">
        <f>IFERROR(__xludf.DUMMYFUNCTION("""COMPUTED_VALUE"""),"LAKI-LAKI")</f>
        <v>LAKI-LAKI</v>
      </c>
      <c r="M1930" s="35" t="str">
        <f>IFERROR(__xludf.DUMMYFUNCTION("""COMPUTED_VALUE"""),"DKI JAKARTA")</f>
        <v>DKI JAKARTA</v>
      </c>
      <c r="N1930" s="16" t="str">
        <f>IFERROR(__xludf.DUMMYFUNCTION("""COMPUTED_VALUE"""),"KEL. TANJUNG BARAT")</f>
        <v>KEL. TANJUNG BARAT</v>
      </c>
      <c r="O1930" s="16" t="str">
        <f>IFERROR(__xludf.DUMMYFUNCTION("""COMPUTED_VALUE"""),"KEC. JAGAKARSA")</f>
        <v>KEC. JAGAKARSA</v>
      </c>
      <c r="P1930" s="16" t="str">
        <f>IFERROR(__xludf.DUMMYFUNCTION("""COMPUTED_VALUE"""),"KOTA JAKARTA SELATAN")</f>
        <v>KOTA JAKARTA SELATAN</v>
      </c>
      <c r="Q1930" s="16" t="str">
        <f>IFERROR(__xludf.DUMMYFUNCTION("""COMPUTED_VALUE"""),"DKI JAKARTA")</f>
        <v>DKI JAKARTA</v>
      </c>
      <c r="R1930" s="19" t="str">
        <f>IFERROR(__xludf.DUMMYFUNCTION("""COMPUTED_VALUE"""),"ISLAM")</f>
        <v>ISLAM</v>
      </c>
      <c r="S1930" s="16" t="str">
        <f>IFERROR(__xludf.DUMMYFUNCTION("""COMPUTED_VALUE"""),"FREELANCE")</f>
        <v>FREELANCE</v>
      </c>
      <c r="T1930" s="16" t="str">
        <f>IFERROR(__xludf.DUMMYFUNCTION("""COMPUTED_VALUE"""),"Sakit di paha")</f>
        <v>Sakit di paha</v>
      </c>
      <c r="U1930" s="16" t="str">
        <f>IFERROR(__xludf.DUMMYFUNCTION("""COMPUTED_VALUE"""),"Running")</f>
        <v>Running</v>
      </c>
      <c r="V1930" s="11" t="str">
        <f>IFERROR(__xludf.DUMMYFUNCTION("""COMPUTED_VALUE"""),"085397682127")</f>
        <v>085397682127</v>
      </c>
      <c r="W1930" s="15"/>
    </row>
    <row r="1931">
      <c r="A1931" s="45"/>
      <c r="B1931" s="9">
        <f>IFERROR(__xludf.DUMMYFUNCTION("""COMPUTED_VALUE"""),45609.79977327546)</f>
        <v>45609.79977</v>
      </c>
      <c r="C1931" s="9"/>
      <c r="D1931" s="10">
        <f>IFERROR(__xludf.DUMMYFUNCTION("""COMPUTED_VALUE"""),45624.0)</f>
        <v>45624</v>
      </c>
      <c r="E1931" s="10" t="str">
        <f>IFERROR(__xludf.DUMMYFUNCTION("""COMPUTED_VALUE"""),"11Nov")</f>
        <v>11Nov</v>
      </c>
      <c r="F1931" s="10" t="str">
        <f>IFERROR(__xludf.DUMMYFUNCTION("""COMPUTED_VALUE"""),"2024")</f>
        <v>2024</v>
      </c>
      <c r="G1931" s="35" t="str">
        <f>IFERROR(__xludf.DUMMYFUNCTION("""COMPUTED_VALUE"""),"KIM JUNG")</f>
        <v>KIM JUNG</v>
      </c>
      <c r="H1931" s="17" t="str">
        <f>IFERROR(__xludf.DUMMYFUNCTION("""COMPUTED_VALUE"""),"K5124111621")</f>
        <v>K5124111621</v>
      </c>
      <c r="I1931" s="17">
        <f>IFERROR(__xludf.DUMMYFUNCTION("""COMPUTED_VALUE"""),74.0)</f>
        <v>74</v>
      </c>
      <c r="J1931" s="17" t="str">
        <f>IFERROR(__xludf.DUMMYFUNCTION("""COMPUTED_VALUE"""),"&gt; 44 tahun")</f>
        <v>&gt; 44 tahun</v>
      </c>
      <c r="K1931" s="19">
        <f>IFERROR(__xludf.DUMMYFUNCTION("""COMPUTED_VALUE"""),18825.0)</f>
        <v>18825</v>
      </c>
      <c r="L1931" s="19" t="str">
        <f>IFERROR(__xludf.DUMMYFUNCTION("""COMPUTED_VALUE"""),"LAKI-LAKI")</f>
        <v>LAKI-LAKI</v>
      </c>
      <c r="M1931" s="16" t="str">
        <f>IFERROR(__xludf.DUMMYFUNCTION("""COMPUTED_VALUE"""),"JALAN PENJARA GANG HAJI SALEH NOMOR 21")</f>
        <v>JALAN PENJARA GANG HAJI SALEH NOMOR 21</v>
      </c>
      <c r="N1931" s="35" t="str">
        <f>IFERROR(__xludf.DUMMYFUNCTION("""COMPUTED_VALUE"""),"KEL. SUNGAI BANGKONG")</f>
        <v>KEL. SUNGAI BANGKONG</v>
      </c>
      <c r="O1931" s="16" t="str">
        <f>IFERROR(__xludf.DUMMYFUNCTION("""COMPUTED_VALUE"""),"KEC. PONTIANAK KOTA")</f>
        <v>KEC. PONTIANAK KOTA</v>
      </c>
      <c r="P1931" s="16" t="str">
        <f>IFERROR(__xludf.DUMMYFUNCTION("""COMPUTED_VALUE"""),"KOTA PONTIANAK")</f>
        <v>KOTA PONTIANAK</v>
      </c>
      <c r="Q1931" s="16" t="str">
        <f>IFERROR(__xludf.DUMMYFUNCTION("""COMPUTED_VALUE"""),"KALIMANTAN BARAT")</f>
        <v>KALIMANTAN BARAT</v>
      </c>
      <c r="R1931" s="19" t="str">
        <f>IFERROR(__xludf.DUMMYFUNCTION("""COMPUTED_VALUE"""),"KATOLIK")</f>
        <v>KATOLIK</v>
      </c>
      <c r="S1931" s="16" t="str">
        <f>IFERROR(__xludf.DUMMYFUNCTION("""COMPUTED_VALUE"""),"PENSIUN")</f>
        <v>PENSIUN</v>
      </c>
      <c r="T1931" s="16" t="str">
        <f>IFERROR(__xludf.DUMMYFUNCTION("""COMPUTED_VALUE"""),"SAKIT PINGGANG KAKI BADAN")</f>
        <v>SAKIT PINGGANG KAKI BADAN</v>
      </c>
      <c r="U1931" s="16" t="str">
        <f>IFERROR(__xludf.DUMMYFUNCTION("""COMPUTED_VALUE"""),"OLAHRAGA")</f>
        <v>OLAHRAGA</v>
      </c>
      <c r="V1931" s="11" t="str">
        <f>IFERROR(__xludf.DUMMYFUNCTION("""COMPUTED_VALUE"""),"82155551621")</f>
        <v>82155551621</v>
      </c>
      <c r="W1931" s="15"/>
    </row>
    <row r="1932">
      <c r="A1932" s="45"/>
      <c r="B1932" s="9">
        <f>IFERROR(__xludf.DUMMYFUNCTION("""COMPUTED_VALUE"""),45609.853949571756)</f>
        <v>45609.85395</v>
      </c>
      <c r="C1932" s="9"/>
      <c r="D1932" s="10">
        <f>IFERROR(__xludf.DUMMYFUNCTION("""COMPUTED_VALUE"""),45624.0)</f>
        <v>45624</v>
      </c>
      <c r="E1932" s="10" t="str">
        <f>IFERROR(__xludf.DUMMYFUNCTION("""COMPUTED_VALUE"""),"11Nov")</f>
        <v>11Nov</v>
      </c>
      <c r="F1932" s="10" t="str">
        <f>IFERROR(__xludf.DUMMYFUNCTION("""COMPUTED_VALUE"""),"2024")</f>
        <v>2024</v>
      </c>
      <c r="G1932" s="35" t="str">
        <f>IFERROR(__xludf.DUMMYFUNCTION("""COMPUTED_VALUE"""),"HENDRI KOSASIH")</f>
        <v>HENDRI KOSASIH</v>
      </c>
      <c r="H1932" s="17" t="str">
        <f>IFERROR(__xludf.DUMMYFUNCTION("""COMPUTED_VALUE"""),"H9324111993")</f>
        <v>H9324111993</v>
      </c>
      <c r="I1932" s="17">
        <f>IFERROR(__xludf.DUMMYFUNCTION("""COMPUTED_VALUE"""),33.0)</f>
        <v>33</v>
      </c>
      <c r="J1932" s="17" t="str">
        <f>IFERROR(__xludf.DUMMYFUNCTION("""COMPUTED_VALUE"""),"25-34 tahun")</f>
        <v>25-34 tahun</v>
      </c>
      <c r="K1932" s="19">
        <f>IFERROR(__xludf.DUMMYFUNCTION("""COMPUTED_VALUE"""),33986.0)</f>
        <v>33986</v>
      </c>
      <c r="L1932" s="19" t="str">
        <f>IFERROR(__xludf.DUMMYFUNCTION("""COMPUTED_VALUE"""),"LAKI-LAKI")</f>
        <v>LAKI-LAKI</v>
      </c>
      <c r="M1932" s="35" t="str">
        <f>IFERROR(__xludf.DUMMYFUNCTION("""COMPUTED_VALUE"""),"JL KH AHMAD DAHLAN GG MARGOSARI NO 31")</f>
        <v>JL KH AHMAD DAHLAN GG MARGOSARI NO 31</v>
      </c>
      <c r="N1932" s="16" t="str">
        <f>IFERROR(__xludf.DUMMYFUNCTION("""COMPUTED_VALUE"""),"KEL. SUNGAI BANGKONG")</f>
        <v>KEL. SUNGAI BANGKONG</v>
      </c>
      <c r="O1932" s="16" t="str">
        <f>IFERROR(__xludf.DUMMYFUNCTION("""COMPUTED_VALUE"""),"KEC. PONTIANAK KOTA")</f>
        <v>KEC. PONTIANAK KOTA</v>
      </c>
      <c r="P1932" s="16" t="str">
        <f>IFERROR(__xludf.DUMMYFUNCTION("""COMPUTED_VALUE"""),"KOTA PONTIANAK")</f>
        <v>KOTA PONTIANAK</v>
      </c>
      <c r="Q1932" s="16" t="str">
        <f>IFERROR(__xludf.DUMMYFUNCTION("""COMPUTED_VALUE"""),"KALIMANTAN BARAT")</f>
        <v>KALIMANTAN BARAT</v>
      </c>
      <c r="R1932" s="19" t="str">
        <f>IFERROR(__xludf.DUMMYFUNCTION("""COMPUTED_VALUE"""),"BUDDHA")</f>
        <v>BUDDHA</v>
      </c>
      <c r="S1932" s="16" t="str">
        <f>IFERROR(__xludf.DUMMYFUNCTION("""COMPUTED_VALUE"""),"SWASTA")</f>
        <v>SWASTA</v>
      </c>
      <c r="T1932" s="16" t="str">
        <f>IFERROR(__xludf.DUMMYFUNCTION("""COMPUTED_VALUE"""),"Postur kaki")</f>
        <v>Postur kaki</v>
      </c>
      <c r="U1932" s="16" t="str">
        <f>IFERROR(__xludf.DUMMYFUNCTION("""COMPUTED_VALUE"""),"Lari")</f>
        <v>Lari</v>
      </c>
      <c r="V1932" s="11" t="str">
        <f>IFERROR(__xludf.DUMMYFUNCTION("""COMPUTED_VALUE"""),"082217011993")</f>
        <v>082217011993</v>
      </c>
      <c r="W1932" s="15"/>
    </row>
    <row r="1933">
      <c r="A1933" s="45"/>
      <c r="B1933" s="9">
        <f>IFERROR(__xludf.DUMMYFUNCTION("""COMPUTED_VALUE"""),45609.66022710648)</f>
        <v>45609.66023</v>
      </c>
      <c r="C1933" s="9"/>
      <c r="D1933" s="10">
        <f>IFERROR(__xludf.DUMMYFUNCTION("""COMPUTED_VALUE"""),45624.0)</f>
        <v>45624</v>
      </c>
      <c r="E1933" s="10" t="str">
        <f>IFERROR(__xludf.DUMMYFUNCTION("""COMPUTED_VALUE"""),"11Nov")</f>
        <v>11Nov</v>
      </c>
      <c r="F1933" s="10" t="str">
        <f>IFERROR(__xludf.DUMMYFUNCTION("""COMPUTED_VALUE"""),"2024")</f>
        <v>2024</v>
      </c>
      <c r="G1933" s="35" t="str">
        <f>IFERROR(__xludf.DUMMYFUNCTION("""COMPUTED_VALUE"""),"TIMOTHY ANDYLIANTHO")</f>
        <v>TIMOTHY ANDYLIANTHO</v>
      </c>
      <c r="H1933" s="17" t="str">
        <f>IFERROR(__xludf.DUMMYFUNCTION("""COMPUTED_VALUE"""),"T9824114560")</f>
        <v>T9824114560</v>
      </c>
      <c r="I1933" s="17">
        <f>IFERROR(__xludf.DUMMYFUNCTION("""COMPUTED_VALUE"""),27.0)</f>
        <v>27</v>
      </c>
      <c r="J1933" s="17" t="str">
        <f>IFERROR(__xludf.DUMMYFUNCTION("""COMPUTED_VALUE"""),"25-34 tahun")</f>
        <v>25-34 tahun</v>
      </c>
      <c r="K1933" s="19">
        <f>IFERROR(__xludf.DUMMYFUNCTION("""COMPUTED_VALUE"""),36052.0)</f>
        <v>36052</v>
      </c>
      <c r="L1933" s="19" t="str">
        <f>IFERROR(__xludf.DUMMYFUNCTION("""COMPUTED_VALUE"""),"LAKI-LAKI")</f>
        <v>LAKI-LAKI</v>
      </c>
      <c r="M1933" s="35" t="str">
        <f>IFERROR(__xludf.DUMMYFUNCTION("""COMPUTED_VALUE"""),"JL. PANGERAN NATAKUSUMA GANG. JAMBI 2 NO. 177")</f>
        <v>JL. PANGERAN NATAKUSUMA GANG. JAMBI 2 NO. 177</v>
      </c>
      <c r="N1933" s="16" t="str">
        <f>IFERROR(__xludf.DUMMYFUNCTION("""COMPUTED_VALUE"""),"KEL. SUNGAI BANGKONG")</f>
        <v>KEL. SUNGAI BANGKONG</v>
      </c>
      <c r="O1933" s="16" t="str">
        <f>IFERROR(__xludf.DUMMYFUNCTION("""COMPUTED_VALUE"""),"KEC. PONTIANAK KOTA")</f>
        <v>KEC. PONTIANAK KOTA</v>
      </c>
      <c r="P1933" s="16" t="str">
        <f>IFERROR(__xludf.DUMMYFUNCTION("""COMPUTED_VALUE"""),"KOTA PONTIANAK")</f>
        <v>KOTA PONTIANAK</v>
      </c>
      <c r="Q1933" s="16" t="str">
        <f>IFERROR(__xludf.DUMMYFUNCTION("""COMPUTED_VALUE"""),"KALIMANTAN BARAT")</f>
        <v>KALIMANTAN BARAT</v>
      </c>
      <c r="R1933" s="19" t="str">
        <f>IFERROR(__xludf.DUMMYFUNCTION("""COMPUTED_VALUE"""),"ISLAM")</f>
        <v>ISLAM</v>
      </c>
      <c r="S1933" s="16" t="str">
        <f>IFERROR(__xludf.DUMMYFUNCTION("""COMPUTED_VALUE"""),"TNI/POLRI")</f>
        <v>TNI/POLRI</v>
      </c>
      <c r="T1933" s="16" t="str">
        <f>IFERROR(__xludf.DUMMYFUNCTION("""COMPUTED_VALUE"""),"Cidera Engkel")</f>
        <v>Cidera Engkel</v>
      </c>
      <c r="U1933" s="16" t="str">
        <f>IFERROR(__xludf.DUMMYFUNCTION("""COMPUTED_VALUE"""),"Olahraga")</f>
        <v>Olahraga</v>
      </c>
      <c r="V1933" s="11" t="str">
        <f>IFERROR(__xludf.DUMMYFUNCTION("""COMPUTED_VALUE"""),"089633114560")</f>
        <v>089633114560</v>
      </c>
      <c r="W1933" s="15"/>
    </row>
    <row r="1934">
      <c r="A1934" s="45"/>
      <c r="B1934" s="9">
        <f>IFERROR(__xludf.DUMMYFUNCTION("""COMPUTED_VALUE"""),45609.60569493056)</f>
        <v>45609.60569</v>
      </c>
      <c r="C1934" s="9"/>
      <c r="D1934" s="10">
        <f>IFERROR(__xludf.DUMMYFUNCTION("""COMPUTED_VALUE"""),45625.0)</f>
        <v>45625</v>
      </c>
      <c r="E1934" s="10" t="str">
        <f>IFERROR(__xludf.DUMMYFUNCTION("""COMPUTED_VALUE"""),"11Nov")</f>
        <v>11Nov</v>
      </c>
      <c r="F1934" s="10" t="str">
        <f>IFERROR(__xludf.DUMMYFUNCTION("""COMPUTED_VALUE"""),"2024")</f>
        <v>2024</v>
      </c>
      <c r="G1934" s="35" t="str">
        <f>IFERROR(__xludf.DUMMYFUNCTION("""COMPUTED_VALUE"""),"MICHAEL 9706")</f>
        <v>MICHAEL 9706</v>
      </c>
      <c r="H1934" s="17" t="str">
        <f>IFERROR(__xludf.DUMMYFUNCTION("""COMPUTED_VALUE"""),"M9724111997")</f>
        <v>M9724111997</v>
      </c>
      <c r="I1934" s="17">
        <f>IFERROR(__xludf.DUMMYFUNCTION("""COMPUTED_VALUE"""),28.0)</f>
        <v>28</v>
      </c>
      <c r="J1934" s="17" t="str">
        <f>IFERROR(__xludf.DUMMYFUNCTION("""COMPUTED_VALUE"""),"25-34 tahun")</f>
        <v>25-34 tahun</v>
      </c>
      <c r="K1934" s="19">
        <f>IFERROR(__xludf.DUMMYFUNCTION("""COMPUTED_VALUE"""),35611.0)</f>
        <v>35611</v>
      </c>
      <c r="L1934" s="19" t="str">
        <f>IFERROR(__xludf.DUMMYFUNCTION("""COMPUTED_VALUE"""),"LAKI-LAKI")</f>
        <v>LAKI-LAKI</v>
      </c>
      <c r="M1934" s="35" t="str">
        <f>IFERROR(__xludf.DUMMYFUNCTION("""COMPUTED_VALUE"""),"Jalan hos cokro aminoto gang ramin no 7")</f>
        <v>Jalan hos cokro aminoto gang ramin no 7</v>
      </c>
      <c r="N1934" s="16" t="str">
        <f>IFERROR(__xludf.DUMMYFUNCTION("""COMPUTED_VALUE"""),"KEL. DARAT SEKIP")</f>
        <v>KEL. DARAT SEKIP</v>
      </c>
      <c r="O1934" s="16" t="str">
        <f>IFERROR(__xludf.DUMMYFUNCTION("""COMPUTED_VALUE"""),"KEC. PONTIANAK KOTA")</f>
        <v>KEC. PONTIANAK KOTA</v>
      </c>
      <c r="P1934" s="16" t="str">
        <f>IFERROR(__xludf.DUMMYFUNCTION("""COMPUTED_VALUE"""),"KOTA PONTIANAK")</f>
        <v>KOTA PONTIANAK</v>
      </c>
      <c r="Q1934" s="16" t="str">
        <f>IFERROR(__xludf.DUMMYFUNCTION("""COMPUTED_VALUE"""),"KALIMANTAN BARAT")</f>
        <v>KALIMANTAN BARAT</v>
      </c>
      <c r="R1934" s="19" t="str">
        <f>IFERROR(__xludf.DUMMYFUNCTION("""COMPUTED_VALUE"""),"BUDDHA")</f>
        <v>BUDDHA</v>
      </c>
      <c r="S1934" s="35" t="str">
        <f>IFERROR(__xludf.DUMMYFUNCTION("""COMPUTED_VALUE"""),"PEDAGANG")</f>
        <v>PEDAGANG</v>
      </c>
      <c r="T1934" s="16" t="str">
        <f>IFERROR(__xludf.DUMMYFUNCTION("""COMPUTED_VALUE"""),"Acl")</f>
        <v>Acl</v>
      </c>
      <c r="U1934" s="16" t="str">
        <f>IFERROR(__xludf.DUMMYFUNCTION("""COMPUTED_VALUE"""),"Badminton")</f>
        <v>Badminton</v>
      </c>
      <c r="V1934" s="11" t="str">
        <f>IFERROR(__xludf.DUMMYFUNCTION("""COMPUTED_VALUE"""),"085393871997")</f>
        <v>085393871997</v>
      </c>
      <c r="W1934" s="15"/>
    </row>
    <row r="1935">
      <c r="A1935" s="45"/>
      <c r="B1935" s="9"/>
      <c r="C1935" s="9"/>
      <c r="D1935" s="10">
        <f>IFERROR(__xludf.DUMMYFUNCTION("""COMPUTED_VALUE"""),45625.0)</f>
        <v>45625</v>
      </c>
      <c r="E1935" s="10" t="str">
        <f>IFERROR(__xludf.DUMMYFUNCTION("""COMPUTED_VALUE"""),"11Nov")</f>
        <v>11Nov</v>
      </c>
      <c r="F1935" s="10" t="str">
        <f>IFERROR(__xludf.DUMMYFUNCTION("""COMPUTED_VALUE"""),"2024")</f>
        <v>2024</v>
      </c>
      <c r="G1935" s="16" t="str">
        <f>IFERROR(__xludf.DUMMYFUNCTION("""COMPUTED_VALUE"""),"SAIFUL")</f>
        <v>SAIFUL</v>
      </c>
      <c r="H1935" s="17" t="str">
        <f>IFERROR(__xludf.DUMMYFUNCTION("""COMPUTED_VALUE"""),"S7424116040")</f>
        <v>S7424116040</v>
      </c>
      <c r="I1935" s="17">
        <f>IFERROR(__xludf.DUMMYFUNCTION("""COMPUTED_VALUE"""),51.0)</f>
        <v>51</v>
      </c>
      <c r="J1935" s="17" t="str">
        <f>IFERROR(__xludf.DUMMYFUNCTION("""COMPUTED_VALUE"""),"&gt; 44 tahun")</f>
        <v>&gt; 44 tahun</v>
      </c>
      <c r="K1935" s="19">
        <f>IFERROR(__xludf.DUMMYFUNCTION("""COMPUTED_VALUE"""),27346.0)</f>
        <v>27346</v>
      </c>
      <c r="L1935" s="19" t="str">
        <f>IFERROR(__xludf.DUMMYFUNCTION("""COMPUTED_VALUE"""),"LAKI-LAKI")</f>
        <v>LAKI-LAKI</v>
      </c>
      <c r="M1935" s="16" t="str">
        <f>IFERROR(__xludf.DUMMYFUNCTION("""COMPUTED_VALUE"""),"JALAN DUSUN SEPONTI")</f>
        <v>JALAN DUSUN SEPONTI</v>
      </c>
      <c r="N1935" s="16" t="str">
        <f>IFERROR(__xludf.DUMMYFUNCTION("""COMPUTED_VALUE"""),"DS. SEPONTI")</f>
        <v>DS. SEPONTI</v>
      </c>
      <c r="O1935" s="16" t="str">
        <f>IFERROR(__xludf.DUMMYFUNCTION("""COMPUTED_VALUE"""),"KEC. SEPONTI")</f>
        <v>KEC. SEPONTI</v>
      </c>
      <c r="P1935" s="16" t="str">
        <f>IFERROR(__xludf.DUMMYFUNCTION("""COMPUTED_VALUE"""),"KAB. KAYONG UTARA")</f>
        <v>KAB. KAYONG UTARA</v>
      </c>
      <c r="Q1935" s="16" t="str">
        <f>IFERROR(__xludf.DUMMYFUNCTION("""COMPUTED_VALUE"""),"KALIMANTAN BARAT")</f>
        <v>KALIMANTAN BARAT</v>
      </c>
      <c r="R1935" s="19" t="str">
        <f>IFERROR(__xludf.DUMMYFUNCTION("""COMPUTED_VALUE"""),"ISAM")</f>
        <v>ISAM</v>
      </c>
      <c r="S1935" s="16" t="str">
        <f>IFERROR(__xludf.DUMMYFUNCTION("""COMPUTED_VALUE"""),"PETANI")</f>
        <v>PETANI</v>
      </c>
      <c r="T1935" s="16" t="str">
        <f>IFERROR(__xludf.DUMMYFUNCTION("""COMPUTED_VALUE"""),"SAKIT BAHU")</f>
        <v>SAKIT BAHU</v>
      </c>
      <c r="U1935" s="16" t="str">
        <f>IFERROR(__xludf.DUMMYFUNCTION("""COMPUTED_VALUE"""),"OLAHRAGA")</f>
        <v>OLAHRAGA</v>
      </c>
      <c r="V1935" s="11" t="str">
        <f>IFERROR(__xludf.DUMMYFUNCTION("""COMPUTED_VALUE"""),"85389186040")</f>
        <v>85389186040</v>
      </c>
      <c r="W1935" s="15"/>
    </row>
    <row r="1936">
      <c r="A1936" s="45"/>
      <c r="B1936" s="9">
        <f>IFERROR(__xludf.DUMMYFUNCTION("""COMPUTED_VALUE"""),45612.397178761574)</f>
        <v>45612.39718</v>
      </c>
      <c r="C1936" s="9"/>
      <c r="D1936" s="10">
        <f>IFERROR(__xludf.DUMMYFUNCTION("""COMPUTED_VALUE"""),45626.0)</f>
        <v>45626</v>
      </c>
      <c r="E1936" s="10" t="str">
        <f>IFERROR(__xludf.DUMMYFUNCTION("""COMPUTED_VALUE"""),"11Nov")</f>
        <v>11Nov</v>
      </c>
      <c r="F1936" s="10" t="str">
        <f>IFERROR(__xludf.DUMMYFUNCTION("""COMPUTED_VALUE"""),"2024")</f>
        <v>2024</v>
      </c>
      <c r="G1936" s="16" t="str">
        <f>IFERROR(__xludf.DUMMYFUNCTION("""COMPUTED_VALUE"""),"ERICK MARGA LUKI PUTRA")</f>
        <v>ERICK MARGA LUKI PUTRA</v>
      </c>
      <c r="H1936" s="17" t="str">
        <f>IFERROR(__xludf.DUMMYFUNCTION("""COMPUTED_VALUE"""),"E0124117909")</f>
        <v>E0124117909</v>
      </c>
      <c r="I1936" s="17">
        <f>IFERROR(__xludf.DUMMYFUNCTION("""COMPUTED_VALUE"""),25.0)</f>
        <v>25</v>
      </c>
      <c r="J1936" s="17" t="str">
        <f>IFERROR(__xludf.DUMMYFUNCTION("""COMPUTED_VALUE"""),"25-34 tahun")</f>
        <v>25-34 tahun</v>
      </c>
      <c r="K1936" s="19">
        <f>IFERROR(__xludf.DUMMYFUNCTION("""COMPUTED_VALUE"""),36910.0)</f>
        <v>36910</v>
      </c>
      <c r="L1936" s="19" t="str">
        <f>IFERROR(__xludf.DUMMYFUNCTION("""COMPUTED_VALUE"""),"LAKI-LAKI")</f>
        <v>LAKI-LAKI</v>
      </c>
      <c r="M1936" s="16" t="str">
        <f>IFERROR(__xludf.DUMMYFUNCTION("""COMPUTED_VALUE"""),"JL. PURNAMA, KOMP. PURNAMA SEMPURNA NO C3")</f>
        <v>JL. PURNAMA, KOMP. PURNAMA SEMPURNA NO C3</v>
      </c>
      <c r="N1936" s="16" t="str">
        <f>IFERROR(__xludf.DUMMYFUNCTION("""COMPUTED_VALUE"""),"DS. AKCAYA")</f>
        <v>DS. AKCAYA</v>
      </c>
      <c r="O1936" s="16" t="str">
        <f>IFERROR(__xludf.DUMMYFUNCTION("""COMPUTED_VALUE"""),"KEC. PONTIANAK SELATAN")</f>
        <v>KEC. PONTIANAK SELATAN</v>
      </c>
      <c r="P1936" s="16" t="str">
        <f>IFERROR(__xludf.DUMMYFUNCTION("""COMPUTED_VALUE"""),"KOTA PONTIANAK")</f>
        <v>KOTA PONTIANAK</v>
      </c>
      <c r="Q1936" s="16" t="str">
        <f>IFERROR(__xludf.DUMMYFUNCTION("""COMPUTED_VALUE"""),"KALIMANTAN BARAT")</f>
        <v>KALIMANTAN BARAT</v>
      </c>
      <c r="R1936" s="19" t="str">
        <f>IFERROR(__xludf.DUMMYFUNCTION("""COMPUTED_VALUE"""),"KATOLIK")</f>
        <v>KATOLIK</v>
      </c>
      <c r="S1936" s="16" t="str">
        <f>IFERROR(__xludf.DUMMYFUNCTION("""COMPUTED_VALUE"""),"WIRASWASTA")</f>
        <v>WIRASWASTA</v>
      </c>
      <c r="T1936" s="16" t="str">
        <f>IFERROR(__xludf.DUMMYFUNCTION("""COMPUTED_VALUE"""),"patellar / jumper's knee karena aktivitas utama badminton, ankle kanan (bagian luar)")</f>
        <v>patellar / jumper's knee karena aktivitas utama badminton, ankle kanan (bagian luar)</v>
      </c>
      <c r="U1936" s="16" t="str">
        <f>IFERROR(__xludf.DUMMYFUNCTION("""COMPUTED_VALUE"""),"badminton")</f>
        <v>badminton</v>
      </c>
      <c r="V1936" s="11" t="str">
        <f>IFERROR(__xludf.DUMMYFUNCTION("""COMPUTED_VALUE"""),"089688317909")</f>
        <v>089688317909</v>
      </c>
      <c r="W1936" s="15"/>
    </row>
    <row r="1937">
      <c r="A1937" s="45"/>
      <c r="B1937" s="9">
        <f>IFERROR(__xludf.DUMMYFUNCTION("""COMPUTED_VALUE"""),45612.66881611111)</f>
        <v>45612.66882</v>
      </c>
      <c r="C1937" s="9"/>
      <c r="D1937" s="10">
        <f>IFERROR(__xludf.DUMMYFUNCTION("""COMPUTED_VALUE"""),45626.0)</f>
        <v>45626</v>
      </c>
      <c r="E1937" s="10" t="str">
        <f>IFERROR(__xludf.DUMMYFUNCTION("""COMPUTED_VALUE"""),"11Nov")</f>
        <v>11Nov</v>
      </c>
      <c r="F1937" s="10" t="str">
        <f>IFERROR(__xludf.DUMMYFUNCTION("""COMPUTED_VALUE"""),"2024")</f>
        <v>2024</v>
      </c>
      <c r="G1937" s="35" t="str">
        <f>IFERROR(__xludf.DUMMYFUNCTION("""COMPUTED_VALUE"""),"DONI SALIM")</f>
        <v>DONI SALIM</v>
      </c>
      <c r="H1937" s="18" t="str">
        <f>IFERROR(__xludf.DUMMYFUNCTION("""COMPUTED_VALUE"""),"D0024119242")</f>
        <v>D0024119242</v>
      </c>
      <c r="I1937" s="17">
        <f>IFERROR(__xludf.DUMMYFUNCTION("""COMPUTED_VALUE"""),25.0)</f>
        <v>25</v>
      </c>
      <c r="J1937" s="17" t="str">
        <f>IFERROR(__xludf.DUMMYFUNCTION("""COMPUTED_VALUE"""),"25-34 tahun")</f>
        <v>25-34 tahun</v>
      </c>
      <c r="K1937" s="19">
        <f>IFERROR(__xludf.DUMMYFUNCTION("""COMPUTED_VALUE"""),36885.0)</f>
        <v>36885</v>
      </c>
      <c r="L1937" s="19" t="str">
        <f>IFERROR(__xludf.DUMMYFUNCTION("""COMPUTED_VALUE"""),"LAKI-LAKI")</f>
        <v>LAKI-LAKI</v>
      </c>
      <c r="M1937" s="16" t="str">
        <f>IFERROR(__xludf.DUMMYFUNCTION("""COMPUTED_VALUE"""),"JALAN EKA BHAKTI GAJAHMADA 2 NO 32")</f>
        <v>JALAN EKA BHAKTI GAJAHMADA 2 NO 32</v>
      </c>
      <c r="N1937" s="16" t="str">
        <f>IFERROR(__xludf.DUMMYFUNCTION("""COMPUTED_VALUE"""),"KEL. BENUA MELAYU DARAT")</f>
        <v>KEL. BENUA MELAYU DARAT</v>
      </c>
      <c r="O1937" s="16" t="str">
        <f>IFERROR(__xludf.DUMMYFUNCTION("""COMPUTED_VALUE"""),"KEC. PONTIANAK SELATAN")</f>
        <v>KEC. PONTIANAK SELATAN</v>
      </c>
      <c r="P1937" s="16" t="str">
        <f>IFERROR(__xludf.DUMMYFUNCTION("""COMPUTED_VALUE"""),"KOTA PONTIANAK")</f>
        <v>KOTA PONTIANAK</v>
      </c>
      <c r="Q1937" s="16" t="str">
        <f>IFERROR(__xludf.DUMMYFUNCTION("""COMPUTED_VALUE"""),"KALIMANTAN BARAT")</f>
        <v>KALIMANTAN BARAT</v>
      </c>
      <c r="R1937" s="19" t="str">
        <f>IFERROR(__xludf.DUMMYFUNCTION("""COMPUTED_VALUE"""),"KATOLIK")</f>
        <v>KATOLIK</v>
      </c>
      <c r="S1937" s="16" t="str">
        <f>IFERROR(__xludf.DUMMYFUNCTION("""COMPUTED_VALUE"""),"PELAJAR/MAHASISWA")</f>
        <v>PELAJAR/MAHASISWA</v>
      </c>
      <c r="T1937" s="16" t="str">
        <f>IFERROR(__xludf.DUMMYFUNCTION("""COMPUTED_VALUE"""),"Itb")</f>
        <v>Itb</v>
      </c>
      <c r="U1937" s="16" t="str">
        <f>IFERROR(__xludf.DUMMYFUNCTION("""COMPUTED_VALUE"""),"Badminton")</f>
        <v>Badminton</v>
      </c>
      <c r="V1937" s="11" t="str">
        <f>IFERROR(__xludf.DUMMYFUNCTION("""COMPUTED_VALUE"""),"082158119242")</f>
        <v>082158119242</v>
      </c>
      <c r="W1937" s="15"/>
    </row>
    <row r="1938">
      <c r="A1938" s="45"/>
      <c r="B1938" s="9">
        <f>IFERROR(__xludf.DUMMYFUNCTION("""COMPUTED_VALUE"""),45613.45407994213)</f>
        <v>45613.45408</v>
      </c>
      <c r="C1938" s="9"/>
      <c r="D1938" s="10">
        <f>IFERROR(__xludf.DUMMYFUNCTION("""COMPUTED_VALUE"""),45626.0)</f>
        <v>45626</v>
      </c>
      <c r="E1938" s="10" t="str">
        <f>IFERROR(__xludf.DUMMYFUNCTION("""COMPUTED_VALUE"""),"11Nov")</f>
        <v>11Nov</v>
      </c>
      <c r="F1938" s="10" t="str">
        <f>IFERROR(__xludf.DUMMYFUNCTION("""COMPUTED_VALUE"""),"2024")</f>
        <v>2024</v>
      </c>
      <c r="G1938" s="35" t="str">
        <f>IFERROR(__xludf.DUMMYFUNCTION("""COMPUTED_VALUE"""),"FEBRY DWI ARUM SARI")</f>
        <v>FEBRY DWI ARUM SARI</v>
      </c>
      <c r="H1938" s="17" t="str">
        <f>IFERROR(__xludf.DUMMYFUNCTION("""COMPUTED_VALUE"""),"F0024113191")</f>
        <v>F0024113191</v>
      </c>
      <c r="I1938" s="17">
        <f>IFERROR(__xludf.DUMMYFUNCTION("""COMPUTED_VALUE"""),26.0)</f>
        <v>26</v>
      </c>
      <c r="J1938" s="17" t="str">
        <f>IFERROR(__xludf.DUMMYFUNCTION("""COMPUTED_VALUE"""),"25-34 tahun")</f>
        <v>25-34 tahun</v>
      </c>
      <c r="K1938" s="19">
        <f>IFERROR(__xludf.DUMMYFUNCTION("""COMPUTED_VALUE"""),36581.0)</f>
        <v>36581</v>
      </c>
      <c r="L1938" s="19" t="str">
        <f>IFERROR(__xludf.DUMMYFUNCTION("""COMPUTED_VALUE"""),"PEREMPUAN")</f>
        <v>PEREMPUAN</v>
      </c>
      <c r="M1938" s="16" t="str">
        <f>IFERROR(__xludf.DUMMYFUNCTION("""COMPUTED_VALUE"""),"JL BUDI UTOMO KOMPLEK TAMAN ANGGREK H-3")</f>
        <v>JL BUDI UTOMO KOMPLEK TAMAN ANGGREK H-3</v>
      </c>
      <c r="N1938" s="16" t="str">
        <f>IFERROR(__xludf.DUMMYFUNCTION("""COMPUTED_VALUE"""),"KEL. SIANTAN HILIR")</f>
        <v>KEL. SIANTAN HILIR</v>
      </c>
      <c r="O1938" s="16" t="str">
        <f>IFERROR(__xludf.DUMMYFUNCTION("""COMPUTED_VALUE"""),"KEC. PONTIANAK UTARA")</f>
        <v>KEC. PONTIANAK UTARA</v>
      </c>
      <c r="P1938" s="16" t="str">
        <f>IFERROR(__xludf.DUMMYFUNCTION("""COMPUTED_VALUE"""),"KOTA PONTIANAK")</f>
        <v>KOTA PONTIANAK</v>
      </c>
      <c r="Q1938" s="16" t="str">
        <f>IFERROR(__xludf.DUMMYFUNCTION("""COMPUTED_VALUE"""),"KALIMANTAN BARAT")</f>
        <v>KALIMANTAN BARAT</v>
      </c>
      <c r="R1938" s="19" t="str">
        <f>IFERROR(__xludf.DUMMYFUNCTION("""COMPUTED_VALUE"""),"ISLAM")</f>
        <v>ISLAM</v>
      </c>
      <c r="S1938" s="16" t="str">
        <f>IFERROR(__xludf.DUMMYFUNCTION("""COMPUTED_VALUE"""),"MAHASISWI")</f>
        <v>MAHASISWI</v>
      </c>
      <c r="T1938" s="16" t="str">
        <f>IFERROR(__xludf.DUMMYFUNCTION("""COMPUTED_VALUE"""),"Sakit pinggang menjalar")</f>
        <v>Sakit pinggang menjalar</v>
      </c>
      <c r="U1938" s="16" t="str">
        <f>IFERROR(__xludf.DUMMYFUNCTION("""COMPUTED_VALUE"""),"Menonton")</f>
        <v>Menonton</v>
      </c>
      <c r="V1938" s="11" t="str">
        <f>IFERROR(__xludf.DUMMYFUNCTION("""COMPUTED_VALUE"""),"085348273191")</f>
        <v>085348273191</v>
      </c>
      <c r="W1938" s="15"/>
    </row>
    <row r="1939">
      <c r="A1939" s="45"/>
      <c r="B1939" s="9">
        <f>IFERROR(__xludf.DUMMYFUNCTION("""COMPUTED_VALUE"""),45613.4799828588)</f>
        <v>45613.47998</v>
      </c>
      <c r="C1939" s="9"/>
      <c r="D1939" s="10">
        <f>IFERROR(__xludf.DUMMYFUNCTION("""COMPUTED_VALUE"""),45626.0)</f>
        <v>45626</v>
      </c>
      <c r="E1939" s="10" t="str">
        <f>IFERROR(__xludf.DUMMYFUNCTION("""COMPUTED_VALUE"""),"11Nov")</f>
        <v>11Nov</v>
      </c>
      <c r="F1939" s="10" t="str">
        <f>IFERROR(__xludf.DUMMYFUNCTION("""COMPUTED_VALUE"""),"2024")</f>
        <v>2024</v>
      </c>
      <c r="G1939" s="16" t="str">
        <f>IFERROR(__xludf.DUMMYFUNCTION("""COMPUTED_VALUE"""),"PRADITYO LAKSONO")</f>
        <v>PRADITYO LAKSONO</v>
      </c>
      <c r="H1939" s="17" t="str">
        <f>IFERROR(__xludf.DUMMYFUNCTION("""COMPUTED_VALUE"""),"P8424113999")</f>
        <v>P8424113999</v>
      </c>
      <c r="I1939" s="17">
        <f>IFERROR(__xludf.DUMMYFUNCTION("""COMPUTED_VALUE"""),41.0)</f>
        <v>41</v>
      </c>
      <c r="J1939" s="17" t="str">
        <f>IFERROR(__xludf.DUMMYFUNCTION("""COMPUTED_VALUE"""),"35-44 tahun")</f>
        <v>35-44 tahun</v>
      </c>
      <c r="K1939" s="19">
        <f>IFERROR(__xludf.DUMMYFUNCTION("""COMPUTED_VALUE"""),31001.0)</f>
        <v>31001</v>
      </c>
      <c r="L1939" s="19" t="str">
        <f>IFERROR(__xludf.DUMMYFUNCTION("""COMPUTED_VALUE"""),"LAKI-LAKI")</f>
        <v>LAKI-LAKI</v>
      </c>
      <c r="M1939" s="35" t="str">
        <f>IFERROR(__xludf.DUMMYFUNCTION("""COMPUTED_VALUE"""),"PESONA KHAYANGAN BLOK J NO.17")</f>
        <v>PESONA KHAYANGAN BLOK J NO.17</v>
      </c>
      <c r="N1939" s="16" t="str">
        <f>IFERROR(__xludf.DUMMYFUNCTION("""COMPUTED_VALUE"""),"DS. MEKARJAYA")</f>
        <v>DS. MEKARJAYA</v>
      </c>
      <c r="O1939" s="16" t="str">
        <f>IFERROR(__xludf.DUMMYFUNCTION("""COMPUTED_VALUE"""),"KEC. SUKMAJAYA")</f>
        <v>KEC. SUKMAJAYA</v>
      </c>
      <c r="P1939" s="16" t="str">
        <f>IFERROR(__xludf.DUMMYFUNCTION("""COMPUTED_VALUE"""),"KOTA DEPOK")</f>
        <v>KOTA DEPOK</v>
      </c>
      <c r="Q1939" s="16" t="str">
        <f>IFERROR(__xludf.DUMMYFUNCTION("""COMPUTED_VALUE"""),"JAWA BARAT")</f>
        <v>JAWA BARAT</v>
      </c>
      <c r="R1939" s="19" t="str">
        <f>IFERROR(__xludf.DUMMYFUNCTION("""COMPUTED_VALUE"""),"ISLAM")</f>
        <v>ISLAM</v>
      </c>
      <c r="S1939" s="16" t="str">
        <f>IFERROR(__xludf.DUMMYFUNCTION("""COMPUTED_VALUE"""),"ASN")</f>
        <v>ASN</v>
      </c>
      <c r="T1939" s="16" t="str">
        <f>IFERROR(__xludf.DUMMYFUNCTION("""COMPUTED_VALUE"""),"berlatih jalan dan berdisi pasca patah kaki kanan (digips)")</f>
        <v>berlatih jalan dan berdisi pasca patah kaki kanan (digips)</v>
      </c>
      <c r="U1939" s="16" t="str">
        <f>IFERROR(__xludf.DUMMYFUNCTION("""COMPUTED_VALUE"""),"bersepeda, jogging, futsal")</f>
        <v>bersepeda, jogging, futsal</v>
      </c>
      <c r="V1939" s="11" t="str">
        <f>IFERROR(__xludf.DUMMYFUNCTION("""COMPUTED_VALUE"""),"081546573999")</f>
        <v>081546573999</v>
      </c>
      <c r="W1939" s="15"/>
    </row>
    <row r="1940">
      <c r="A1940" s="45"/>
      <c r="B1940" s="9">
        <f>IFERROR(__xludf.DUMMYFUNCTION("""COMPUTED_VALUE"""),45615.60078450231)</f>
        <v>45615.60078</v>
      </c>
      <c r="C1940" s="9"/>
      <c r="D1940" s="10">
        <f>IFERROR(__xludf.DUMMYFUNCTION("""COMPUTED_VALUE"""),45626.0)</f>
        <v>45626</v>
      </c>
      <c r="E1940" s="10" t="str">
        <f>IFERROR(__xludf.DUMMYFUNCTION("""COMPUTED_VALUE"""),"11Nov")</f>
        <v>11Nov</v>
      </c>
      <c r="F1940" s="10" t="str">
        <f>IFERROR(__xludf.DUMMYFUNCTION("""COMPUTED_VALUE"""),"2024")</f>
        <v>2024</v>
      </c>
      <c r="G1940" s="35" t="str">
        <f>IFERROR(__xludf.DUMMYFUNCTION("""COMPUTED_VALUE"""),"CATHERINE")</f>
        <v>CATHERINE</v>
      </c>
      <c r="H1940" s="17" t="str">
        <f>IFERROR(__xludf.DUMMYFUNCTION("""COMPUTED_VALUE"""),"C9224119835")</f>
        <v>C9224119835</v>
      </c>
      <c r="I1940" s="17">
        <f>IFERROR(__xludf.DUMMYFUNCTION("""COMPUTED_VALUE"""),33.0)</f>
        <v>33</v>
      </c>
      <c r="J1940" s="17" t="str">
        <f>IFERROR(__xludf.DUMMYFUNCTION("""COMPUTED_VALUE"""),"25-34 tahun")</f>
        <v>25-34 tahun</v>
      </c>
      <c r="K1940" s="19">
        <f>IFERROR(__xludf.DUMMYFUNCTION("""COMPUTED_VALUE"""),33786.0)</f>
        <v>33786</v>
      </c>
      <c r="L1940" s="19" t="str">
        <f>IFERROR(__xludf.DUMMYFUNCTION("""COMPUTED_VALUE"""),"PEREMPUAN")</f>
        <v>PEREMPUAN</v>
      </c>
      <c r="M1940" s="35" t="str">
        <f>IFERROR(__xludf.DUMMYFUNCTION("""COMPUTED_VALUE"""),"JL TANJUNGPURA NO 61 A")</f>
        <v>JL TANJUNGPURA NO 61 A</v>
      </c>
      <c r="N1940" s="16" t="str">
        <f>IFERROR(__xludf.DUMMYFUNCTION("""COMPUTED_VALUE"""),"BENUA MELAYU DARAT")</f>
        <v>BENUA MELAYU DARAT</v>
      </c>
      <c r="O1940" s="16" t="str">
        <f>IFERROR(__xludf.DUMMYFUNCTION("""COMPUTED_VALUE"""),"KEC. PONTIANAK SELATAN")</f>
        <v>KEC. PONTIANAK SELATAN</v>
      </c>
      <c r="P1940" s="16" t="str">
        <f>IFERROR(__xludf.DUMMYFUNCTION("""COMPUTED_VALUE"""),"KOTA PONTIANAK")</f>
        <v>KOTA PONTIANAK</v>
      </c>
      <c r="Q1940" s="16" t="str">
        <f>IFERROR(__xludf.DUMMYFUNCTION("""COMPUTED_VALUE"""),"KALIMANTAN BARAT")</f>
        <v>KALIMANTAN BARAT</v>
      </c>
      <c r="R1940" s="19" t="str">
        <f>IFERROR(__xludf.DUMMYFUNCTION("""COMPUTED_VALUE"""),"PROTESTAN")</f>
        <v>PROTESTAN</v>
      </c>
      <c r="S1940" s="16" t="str">
        <f>IFERROR(__xludf.DUMMYFUNCTION("""COMPUTED_VALUE"""),"RUMAH TANGGA")</f>
        <v>RUMAH TANGGA</v>
      </c>
      <c r="T1940" s="16" t="str">
        <f>IFERROR(__xludf.DUMMYFUNCTION("""COMPUTED_VALUE"""),"POSTUR BADAN")</f>
        <v>POSTUR BADAN</v>
      </c>
      <c r="U1940" s="16" t="str">
        <f>IFERROR(__xludf.DUMMYFUNCTION("""COMPUTED_VALUE"""),".")</f>
        <v>.</v>
      </c>
      <c r="V1940" s="11" t="str">
        <f>IFERROR(__xludf.DUMMYFUNCTION("""COMPUTED_VALUE"""),"081310559835")</f>
        <v>081310559835</v>
      </c>
      <c r="W1940" s="15"/>
    </row>
    <row r="1941">
      <c r="A1941" s="45"/>
      <c r="B1941" s="9">
        <f>IFERROR(__xludf.DUMMYFUNCTION("""COMPUTED_VALUE"""),45614.43129349537)</f>
        <v>45614.43129</v>
      </c>
      <c r="C1941" s="9"/>
      <c r="D1941" s="10">
        <f>IFERROR(__xludf.DUMMYFUNCTION("""COMPUTED_VALUE"""),45626.0)</f>
        <v>45626</v>
      </c>
      <c r="E1941" s="10" t="str">
        <f>IFERROR(__xludf.DUMMYFUNCTION("""COMPUTED_VALUE"""),"11Nov")</f>
        <v>11Nov</v>
      </c>
      <c r="F1941" s="10" t="str">
        <f>IFERROR(__xludf.DUMMYFUNCTION("""COMPUTED_VALUE"""),"2024")</f>
        <v>2024</v>
      </c>
      <c r="G1941" s="35" t="str">
        <f>IFERROR(__xludf.DUMMYFUNCTION("""COMPUTED_VALUE"""),"SUYANTO 8906")</f>
        <v>SUYANTO 8906</v>
      </c>
      <c r="H1941" s="17" t="str">
        <f>IFERROR(__xludf.DUMMYFUNCTION("""COMPUTED_VALUE"""),"S8924114750")</f>
        <v>S8924114750</v>
      </c>
      <c r="I1941" s="17">
        <f>IFERROR(__xludf.DUMMYFUNCTION("""COMPUTED_VALUE"""),36.0)</f>
        <v>36</v>
      </c>
      <c r="J1941" s="17" t="str">
        <f>IFERROR(__xludf.DUMMYFUNCTION("""COMPUTED_VALUE"""),"35-44 tahun")</f>
        <v>35-44 tahun</v>
      </c>
      <c r="K1941" s="19">
        <f>IFERROR(__xludf.DUMMYFUNCTION("""COMPUTED_VALUE"""),32685.0)</f>
        <v>32685</v>
      </c>
      <c r="L1941" s="19" t="str">
        <f>IFERROR(__xludf.DUMMYFUNCTION("""COMPUTED_VALUE"""),"LAKI-LAKI")</f>
        <v>LAKI-LAKI</v>
      </c>
      <c r="M1941" s="35" t="str">
        <f>IFERROR(__xludf.DUMMYFUNCTION("""COMPUTED_VALUE"""),"JL. TANJUNG RAYA 2 KOMP. GRAND PARMA RESIDENCE 2")</f>
        <v>JL. TANJUNG RAYA 2 KOMP. GRAND PARMA RESIDENCE 2</v>
      </c>
      <c r="N1941" s="16" t="str">
        <f>IFERROR(__xludf.DUMMYFUNCTION("""COMPUTED_VALUE"""),"KEL. PARIT MAYOR")</f>
        <v>KEL. PARIT MAYOR</v>
      </c>
      <c r="O1941" s="16" t="str">
        <f>IFERROR(__xludf.DUMMYFUNCTION("""COMPUTED_VALUE"""),"PONTIANAK TIMUR")</f>
        <v>PONTIANAK TIMUR</v>
      </c>
      <c r="P1941" s="16" t="str">
        <f>IFERROR(__xludf.DUMMYFUNCTION("""COMPUTED_VALUE"""),"KOTA PONTIANAK")</f>
        <v>KOTA PONTIANAK</v>
      </c>
      <c r="Q1941" s="16" t="str">
        <f>IFERROR(__xludf.DUMMYFUNCTION("""COMPUTED_VALUE"""),"KALIMANTAN BARAT")</f>
        <v>KALIMANTAN BARAT</v>
      </c>
      <c r="R1941" s="19" t="str">
        <f>IFERROR(__xludf.DUMMYFUNCTION("""COMPUTED_VALUE"""),"BUDDHA")</f>
        <v>BUDDHA</v>
      </c>
      <c r="S1941" s="16" t="str">
        <f>IFERROR(__xludf.DUMMYFUNCTION("""COMPUTED_VALUE"""),"WIRASWASTA")</f>
        <v>WIRASWASTA</v>
      </c>
      <c r="T1941" s="16" t="str">
        <f>IFERROR(__xludf.DUMMYFUNCTION("""COMPUTED_VALUE"""),"Sakit bahu sejak kemarin 29/11/2024")</f>
        <v>Sakit bahu sejak kemarin 29/11/2024</v>
      </c>
      <c r="U1941" s="16" t="str">
        <f>IFERROR(__xludf.DUMMYFUNCTION("""COMPUTED_VALUE"""),"Badminton dan sales")</f>
        <v>Badminton dan sales</v>
      </c>
      <c r="V1941" s="11" t="str">
        <f>IFERROR(__xludf.DUMMYFUNCTION("""COMPUTED_VALUE"""),"085245884750")</f>
        <v>085245884750</v>
      </c>
      <c r="W1941" s="15"/>
    </row>
    <row r="1942">
      <c r="A1942" s="45"/>
      <c r="B1942" s="9">
        <f>IFERROR(__xludf.DUMMYFUNCTION("""COMPUTED_VALUE"""),45606.431800949074)</f>
        <v>45606.4318</v>
      </c>
      <c r="C1942" s="9"/>
      <c r="D1942" s="10">
        <f>IFERROR(__xludf.DUMMYFUNCTION("""COMPUTED_VALUE"""),45626.0)</f>
        <v>45626</v>
      </c>
      <c r="E1942" s="10" t="str">
        <f>IFERROR(__xludf.DUMMYFUNCTION("""COMPUTED_VALUE"""),"11Nov")</f>
        <v>11Nov</v>
      </c>
      <c r="F1942" s="10" t="str">
        <f>IFERROR(__xludf.DUMMYFUNCTION("""COMPUTED_VALUE"""),"2024")</f>
        <v>2024</v>
      </c>
      <c r="G1942" s="35" t="str">
        <f>IFERROR(__xludf.DUMMYFUNCTION("""COMPUTED_VALUE"""),"LEONARDO DA VINCI")</f>
        <v>LEONARDO DA VINCI</v>
      </c>
      <c r="H1942" s="17" t="str">
        <f>IFERROR(__xludf.DUMMYFUNCTION("""COMPUTED_VALUE"""),"L0024110231")</f>
        <v>L0024110231</v>
      </c>
      <c r="I1942" s="17">
        <f>IFERROR(__xludf.DUMMYFUNCTION("""COMPUTED_VALUE"""),26.0)</f>
        <v>26</v>
      </c>
      <c r="J1942" s="17" t="str">
        <f>IFERROR(__xludf.DUMMYFUNCTION("""COMPUTED_VALUE"""),"25-34 tahun")</f>
        <v>25-34 tahun</v>
      </c>
      <c r="K1942" s="19">
        <f>IFERROR(__xludf.DUMMYFUNCTION("""COMPUTED_VALUE"""),36597.0)</f>
        <v>36597</v>
      </c>
      <c r="L1942" s="19" t="str">
        <f>IFERROR(__xludf.DUMMYFUNCTION("""COMPUTED_VALUE"""),"LAKI-LAKI")</f>
        <v>LAKI-LAKI</v>
      </c>
      <c r="M1942" s="35" t="str">
        <f>IFERROR(__xludf.DUMMYFUNCTION("""COMPUTED_VALUE"""),"GG. SELAT KARIMATA 2")</f>
        <v>GG. SELAT KARIMATA 2</v>
      </c>
      <c r="N1942" s="16" t="str">
        <f>IFERROR(__xludf.DUMMYFUNCTION("""COMPUTED_VALUE"""),"KEL. SIANTAN TENGAH")</f>
        <v>KEL. SIANTAN TENGAH</v>
      </c>
      <c r="O1942" s="16" t="str">
        <f>IFERROR(__xludf.DUMMYFUNCTION("""COMPUTED_VALUE"""),"KEC. PONTIANAK UTARA")</f>
        <v>KEC. PONTIANAK UTARA</v>
      </c>
      <c r="P1942" s="16" t="str">
        <f>IFERROR(__xludf.DUMMYFUNCTION("""COMPUTED_VALUE"""),"KOTA PONTIANAK")</f>
        <v>KOTA PONTIANAK</v>
      </c>
      <c r="Q1942" s="16" t="str">
        <f>IFERROR(__xludf.DUMMYFUNCTION("""COMPUTED_VALUE"""),"KALIMANTAN BARAT")</f>
        <v>KALIMANTAN BARAT</v>
      </c>
      <c r="R1942" s="19" t="str">
        <f>IFERROR(__xludf.DUMMYFUNCTION("""COMPUTED_VALUE"""),"PROTESTAN")</f>
        <v>PROTESTAN</v>
      </c>
      <c r="S1942" s="16" t="str">
        <f>IFERROR(__xludf.DUMMYFUNCTION("""COMPUTED_VALUE"""),"SWASTA")</f>
        <v>SWASTA</v>
      </c>
      <c r="T1942" s="16" t="str">
        <f>IFERROR(__xludf.DUMMYFUNCTION("""COMPUTED_VALUE"""),"PUNGGUNG TENGAH SAKIT")</f>
        <v>PUNGGUNG TENGAH SAKIT</v>
      </c>
      <c r="U1942" s="16" t="str">
        <f>IFERROR(__xludf.DUMMYFUNCTION("""COMPUTED_VALUE"""),"KERJA DAN OLAHRAGA")</f>
        <v>KERJA DAN OLAHRAGA</v>
      </c>
      <c r="V1942" s="11" t="str">
        <f>IFERROR(__xludf.DUMMYFUNCTION("""COMPUTED_VALUE"""),"081351920231")</f>
        <v>081351920231</v>
      </c>
      <c r="W1942" s="15"/>
    </row>
    <row r="1943">
      <c r="A1943" s="45"/>
      <c r="B1943" s="9">
        <f>IFERROR(__xludf.DUMMYFUNCTION("""COMPUTED_VALUE"""),45614.69128125)</f>
        <v>45614.69128</v>
      </c>
      <c r="C1943" s="9"/>
      <c r="D1943" s="10">
        <f>IFERROR(__xludf.DUMMYFUNCTION("""COMPUTED_VALUE"""),45626.0)</f>
        <v>45626</v>
      </c>
      <c r="E1943" s="10" t="str">
        <f>IFERROR(__xludf.DUMMYFUNCTION("""COMPUTED_VALUE"""),"11Nov")</f>
        <v>11Nov</v>
      </c>
      <c r="F1943" s="10" t="str">
        <f>IFERROR(__xludf.DUMMYFUNCTION("""COMPUTED_VALUE"""),"2024")</f>
        <v>2024</v>
      </c>
      <c r="G1943" s="35" t="str">
        <f>IFERROR(__xludf.DUMMYFUNCTION("""COMPUTED_VALUE"""),"SYARIF MUHAMMAD XAKI")</f>
        <v>SYARIF MUHAMMAD XAKI</v>
      </c>
      <c r="H1943" s="17" t="str">
        <f>IFERROR(__xludf.DUMMYFUNCTION("""COMPUTED_VALUE"""),"S9824117801")</f>
        <v>S9824117801</v>
      </c>
      <c r="I1943" s="17">
        <f>IFERROR(__xludf.DUMMYFUNCTION("""COMPUTED_VALUE"""),27.0)</f>
        <v>27</v>
      </c>
      <c r="J1943" s="17" t="str">
        <f>IFERROR(__xludf.DUMMYFUNCTION("""COMPUTED_VALUE"""),"25-34 tahun")</f>
        <v>25-34 tahun</v>
      </c>
      <c r="K1943" s="19">
        <f>IFERROR(__xludf.DUMMYFUNCTION("""COMPUTED_VALUE"""),36107.0)</f>
        <v>36107</v>
      </c>
      <c r="L1943" s="19" t="str">
        <f>IFERROR(__xludf.DUMMYFUNCTION("""COMPUTED_VALUE"""),"LAKI-LAKI")</f>
        <v>LAKI-LAKI</v>
      </c>
      <c r="M1943" s="35" t="str">
        <f>IFERROR(__xludf.DUMMYFUNCTION("""COMPUTED_VALUE"""),"KOMPLEK NALI LESTARI NO J11")</f>
        <v>KOMPLEK NALI LESTARI NO J11</v>
      </c>
      <c r="N1943" s="16" t="str">
        <f>IFERROR(__xludf.DUMMYFUNCTION("""COMPUTED_VALUE"""),"KEL. SAIGON")</f>
        <v>KEL. SAIGON</v>
      </c>
      <c r="O1943" s="16" t="str">
        <f>IFERROR(__xludf.DUMMYFUNCTION("""COMPUTED_VALUE"""),"KEC. PONTIANAK TIMUR")</f>
        <v>KEC. PONTIANAK TIMUR</v>
      </c>
      <c r="P1943" s="16" t="str">
        <f>IFERROR(__xludf.DUMMYFUNCTION("""COMPUTED_VALUE"""),"KOTA PONTIANAK")</f>
        <v>KOTA PONTIANAK</v>
      </c>
      <c r="Q1943" s="16" t="str">
        <f>IFERROR(__xludf.DUMMYFUNCTION("""COMPUTED_VALUE"""),"KALIMANTAN BARAT")</f>
        <v>KALIMANTAN BARAT</v>
      </c>
      <c r="R1943" s="19" t="str">
        <f>IFERROR(__xludf.DUMMYFUNCTION("""COMPUTED_VALUE"""),"ISLAM")</f>
        <v>ISLAM</v>
      </c>
      <c r="S1943" s="16" t="str">
        <f>IFERROR(__xludf.DUMMYFUNCTION("""COMPUTED_VALUE"""),"WIRASWASTA")</f>
        <v>WIRASWASTA</v>
      </c>
      <c r="T1943" s="16" t="str">
        <f>IFERROR(__xludf.DUMMYFUNCTION("""COMPUTED_VALUE"""),"Cidera jari kelingking kiri")</f>
        <v>Cidera jari kelingking kiri</v>
      </c>
      <c r="U1943" s="16" t="str">
        <f>IFERROR(__xludf.DUMMYFUNCTION("""COMPUTED_VALUE"""),"Usaha")</f>
        <v>Usaha</v>
      </c>
      <c r="V1943" s="11" t="str">
        <f>IFERROR(__xludf.DUMMYFUNCTION("""COMPUTED_VALUE"""),"082149947801")</f>
        <v>082149947801</v>
      </c>
      <c r="W1943" s="15"/>
    </row>
    <row r="1944">
      <c r="A1944" s="45"/>
      <c r="B1944" s="9">
        <f>IFERROR(__xludf.DUMMYFUNCTION("""COMPUTED_VALUE"""),45615.458613888884)</f>
        <v>45615.45861</v>
      </c>
      <c r="C1944" s="9"/>
      <c r="D1944" s="10">
        <f>IFERROR(__xludf.DUMMYFUNCTION("""COMPUTED_VALUE"""),45626.0)</f>
        <v>45626</v>
      </c>
      <c r="E1944" s="10" t="str">
        <f>IFERROR(__xludf.DUMMYFUNCTION("""COMPUTED_VALUE"""),"11Nov")</f>
        <v>11Nov</v>
      </c>
      <c r="F1944" s="10" t="str">
        <f>IFERROR(__xludf.DUMMYFUNCTION("""COMPUTED_VALUE"""),"2024")</f>
        <v>2024</v>
      </c>
      <c r="G1944" s="35" t="str">
        <f>IFERROR(__xludf.DUMMYFUNCTION("""COMPUTED_VALUE"""),"MARZUKI PASARIBU")</f>
        <v>MARZUKI PASARIBU</v>
      </c>
      <c r="H1944" s="17" t="str">
        <f>IFERROR(__xludf.DUMMYFUNCTION("""COMPUTED_VALUE"""),"M4624118157")</f>
        <v>M4624118157</v>
      </c>
      <c r="I1944" s="17">
        <f>IFERROR(__xludf.DUMMYFUNCTION("""COMPUTED_VALUE"""),79.0)</f>
        <v>79</v>
      </c>
      <c r="J1944" s="17" t="str">
        <f>IFERROR(__xludf.DUMMYFUNCTION("""COMPUTED_VALUE"""),"&gt; 44 tahun")</f>
        <v>&gt; 44 tahun</v>
      </c>
      <c r="K1944" s="19">
        <f>IFERROR(__xludf.DUMMYFUNCTION("""COMPUTED_VALUE"""),17134.0)</f>
        <v>17134</v>
      </c>
      <c r="L1944" s="19" t="str">
        <f>IFERROR(__xludf.DUMMYFUNCTION("""COMPUTED_VALUE"""),"LAKI-LAKI")</f>
        <v>LAKI-LAKI</v>
      </c>
      <c r="M1944" s="35" t="str">
        <f>IFERROR(__xludf.DUMMYFUNCTION("""COMPUTED_VALUE"""),"JL KAPT P TENDEAN NO 2")</f>
        <v>JL KAPT P TENDEAN NO 2</v>
      </c>
      <c r="N1944" s="16" t="str">
        <f>IFERROR(__xludf.DUMMYFUNCTION("""COMPUTED_VALUE"""),"BENUA MELAYU DARAT")</f>
        <v>BENUA MELAYU DARAT</v>
      </c>
      <c r="O1944" s="16" t="str">
        <f>IFERROR(__xludf.DUMMYFUNCTION("""COMPUTED_VALUE"""),"KEC. PONTIANAK SELATAN")</f>
        <v>KEC. PONTIANAK SELATAN</v>
      </c>
      <c r="P1944" s="16" t="str">
        <f>IFERROR(__xludf.DUMMYFUNCTION("""COMPUTED_VALUE"""),"KOTA PONTIANAK")</f>
        <v>KOTA PONTIANAK</v>
      </c>
      <c r="Q1944" s="16" t="str">
        <f>IFERROR(__xludf.DUMMYFUNCTION("""COMPUTED_VALUE"""),"KALIMANTAN BARAT")</f>
        <v>KALIMANTAN BARAT</v>
      </c>
      <c r="R1944" s="19" t="str">
        <f>IFERROR(__xludf.DUMMYFUNCTION("""COMPUTED_VALUE"""),"ISLAM")</f>
        <v>ISLAM</v>
      </c>
      <c r="S1944" s="16" t="str">
        <f>IFERROR(__xludf.DUMMYFUNCTION("""COMPUTED_VALUE"""),"WIRASWATA")</f>
        <v>WIRASWATA</v>
      </c>
      <c r="T1944" s="16" t="str">
        <f>IFERROR(__xludf.DUMMYFUNCTION("""COMPUTED_VALUE"""),"Kaki lemah setelah darah tinggi")</f>
        <v>Kaki lemah setelah darah tinggi</v>
      </c>
      <c r="U1944" s="16" t="str">
        <f>IFERROR(__xludf.DUMMYFUNCTION("""COMPUTED_VALUE"""),"Olahraga, jalan jalan, baca")</f>
        <v>Olahraga, jalan jalan, baca</v>
      </c>
      <c r="V1944" s="11" t="str">
        <f>IFERROR(__xludf.DUMMYFUNCTION("""COMPUTED_VALUE"""),"081389948157")</f>
        <v>081389948157</v>
      </c>
      <c r="W1944" s="15"/>
    </row>
    <row r="1945">
      <c r="A1945" s="45"/>
      <c r="B1945" s="9">
        <f>IFERROR(__xludf.DUMMYFUNCTION("""COMPUTED_VALUE"""),45615.61438805556)</f>
        <v>45615.61439</v>
      </c>
      <c r="C1945" s="9"/>
      <c r="D1945" s="10">
        <f>IFERROR(__xludf.DUMMYFUNCTION("""COMPUTED_VALUE"""),45626.0)</f>
        <v>45626</v>
      </c>
      <c r="E1945" s="10" t="str">
        <f>IFERROR(__xludf.DUMMYFUNCTION("""COMPUTED_VALUE"""),"11Nov")</f>
        <v>11Nov</v>
      </c>
      <c r="F1945" s="10" t="str">
        <f>IFERROR(__xludf.DUMMYFUNCTION("""COMPUTED_VALUE"""),"2024")</f>
        <v>2024</v>
      </c>
      <c r="G1945" s="35" t="str">
        <f>IFERROR(__xludf.DUMMYFUNCTION("""COMPUTED_VALUE"""),"SUGITO 6463")</f>
        <v>SUGITO 6463</v>
      </c>
      <c r="H1945" s="17" t="str">
        <f>IFERROR(__xludf.DUMMYFUNCTION("""COMPUTED_VALUE"""),"S6424113012")</f>
        <v>S6424113012</v>
      </c>
      <c r="I1945" s="17">
        <f>IFERROR(__xludf.DUMMYFUNCTION("""COMPUTED_VALUE"""),61.0)</f>
        <v>61</v>
      </c>
      <c r="J1945" s="17" t="str">
        <f>IFERROR(__xludf.DUMMYFUNCTION("""COMPUTED_VALUE"""),"&gt; 44 tahun")</f>
        <v>&gt; 44 tahun</v>
      </c>
      <c r="K1945" s="19">
        <f>IFERROR(__xludf.DUMMYFUNCTION("""COMPUTED_VALUE"""),23609.0)</f>
        <v>23609</v>
      </c>
      <c r="L1945" s="19" t="str">
        <f>IFERROR(__xludf.DUMMYFUNCTION("""COMPUTED_VALUE"""),"LAKI-LAKI")</f>
        <v>LAKI-LAKI</v>
      </c>
      <c r="M1945" s="35" t="str">
        <f>IFERROR(__xludf.DUMMYFUNCTION("""COMPUTED_VALUE"""),"JLN ADISUCIPTO KM 13,3 GANG REMBULAN NO 14")</f>
        <v>JLN ADISUCIPTO KM 13,3 GANG REMBULAN NO 14</v>
      </c>
      <c r="N1945" s="16" t="str">
        <f>IFERROR(__xludf.DUMMYFUNCTION("""COMPUTED_VALUE"""),"ARANG LIMBUNG")</f>
        <v>ARANG LIMBUNG</v>
      </c>
      <c r="O1945" s="16" t="str">
        <f>IFERROR(__xludf.DUMMYFUNCTION("""COMPUTED_VALUE"""),"KEC. SUNGAI RAYA")</f>
        <v>KEC. SUNGAI RAYA</v>
      </c>
      <c r="P1945" s="16" t="str">
        <f>IFERROR(__xludf.DUMMYFUNCTION("""COMPUTED_VALUE"""),"KOTA PONTIANAK")</f>
        <v>KOTA PONTIANAK</v>
      </c>
      <c r="Q1945" s="16" t="str">
        <f>IFERROR(__xludf.DUMMYFUNCTION("""COMPUTED_VALUE"""),"KALIMANTAN BARAT")</f>
        <v>KALIMANTAN BARAT</v>
      </c>
      <c r="R1945" s="19" t="str">
        <f>IFERROR(__xludf.DUMMYFUNCTION("""COMPUTED_VALUE"""),"ISLAM")</f>
        <v>ISLAM</v>
      </c>
      <c r="S1945" s="16" t="str">
        <f>IFERROR(__xludf.DUMMYFUNCTION("""COMPUTED_VALUE"""),"PENSIUN PNS")</f>
        <v>PENSIUN PNS</v>
      </c>
      <c r="T1945" s="16" t="str">
        <f>IFERROR(__xludf.DUMMYFUNCTION("""COMPUTED_VALUE"""),"Saraf kejepit dipinggang kanan kiri")</f>
        <v>Saraf kejepit dipinggang kanan kiri</v>
      </c>
      <c r="U1945" s="16" t="str">
        <f>IFERROR(__xludf.DUMMYFUNCTION("""COMPUTED_VALUE"""),"Olahraga")</f>
        <v>Olahraga</v>
      </c>
      <c r="V1945" s="11" t="str">
        <f>IFERROR(__xludf.DUMMYFUNCTION("""COMPUTED_VALUE"""),"085849523012")</f>
        <v>085849523012</v>
      </c>
      <c r="W1945" s="15"/>
    </row>
    <row r="1946">
      <c r="A1946" s="45"/>
      <c r="B1946" s="9">
        <f>IFERROR(__xludf.DUMMYFUNCTION("""COMPUTED_VALUE"""),45615.709734212964)</f>
        <v>45615.70973</v>
      </c>
      <c r="C1946" s="9"/>
      <c r="D1946" s="10">
        <f>IFERROR(__xludf.DUMMYFUNCTION("""COMPUTED_VALUE"""),45626.0)</f>
        <v>45626</v>
      </c>
      <c r="E1946" s="10" t="str">
        <f>IFERROR(__xludf.DUMMYFUNCTION("""COMPUTED_VALUE"""),"11Nov")</f>
        <v>11Nov</v>
      </c>
      <c r="F1946" s="10" t="str">
        <f>IFERROR(__xludf.DUMMYFUNCTION("""COMPUTED_VALUE"""),"2024")</f>
        <v>2024</v>
      </c>
      <c r="G1946" s="35" t="str">
        <f>IFERROR(__xludf.DUMMYFUNCTION("""COMPUTED_VALUE"""),"ALIUDDIN")</f>
        <v>ALIUDDIN</v>
      </c>
      <c r="H1946" s="17" t="str">
        <f>IFERROR(__xludf.DUMMYFUNCTION("""COMPUTED_VALUE"""),"A6624118869")</f>
        <v>A6624118869</v>
      </c>
      <c r="I1946" s="17">
        <f>IFERROR(__xludf.DUMMYFUNCTION("""COMPUTED_VALUE"""),59.0)</f>
        <v>59</v>
      </c>
      <c r="J1946" s="17" t="str">
        <f>IFERROR(__xludf.DUMMYFUNCTION("""COMPUTED_VALUE"""),"&gt; 44 tahun")</f>
        <v>&gt; 44 tahun</v>
      </c>
      <c r="K1946" s="19">
        <f>IFERROR(__xludf.DUMMYFUNCTION("""COMPUTED_VALUE"""),24378.0)</f>
        <v>24378</v>
      </c>
      <c r="L1946" s="19" t="str">
        <f>IFERROR(__xludf.DUMMYFUNCTION("""COMPUTED_VALUE"""),"LAKI-LAKI")</f>
        <v>LAKI-LAKI</v>
      </c>
      <c r="M1946" s="16" t="str">
        <f>IFERROR(__xludf.DUMMYFUNCTION("""COMPUTED_VALUE"""),"KAMPUNG API API")</f>
        <v>KAMPUNG API API</v>
      </c>
      <c r="N1946" s="16" t="str">
        <f>IFERROR(__xludf.DUMMYFUNCTION("""COMPUTED_VALUE"""),"SUNGAI PINYUH")</f>
        <v>SUNGAI PINYUH</v>
      </c>
      <c r="O1946" s="16" t="str">
        <f>IFERROR(__xludf.DUMMYFUNCTION("""COMPUTED_VALUE"""),"KEC. SUNGAI PINYUH")</f>
        <v>KEC. SUNGAI PINYUH</v>
      </c>
      <c r="P1946" s="16" t="str">
        <f>IFERROR(__xludf.DUMMYFUNCTION("""COMPUTED_VALUE"""),"KOTA PONTIANAK")</f>
        <v>KOTA PONTIANAK</v>
      </c>
      <c r="Q1946" s="16" t="str">
        <f>IFERROR(__xludf.DUMMYFUNCTION("""COMPUTED_VALUE"""),"KALIMANTAN BARAT")</f>
        <v>KALIMANTAN BARAT</v>
      </c>
      <c r="R1946" s="19" t="str">
        <f>IFERROR(__xludf.DUMMYFUNCTION("""COMPUTED_VALUE"""),"ISLAM")</f>
        <v>ISLAM</v>
      </c>
      <c r="S1946" s="16" t="str">
        <f>IFERROR(__xludf.DUMMYFUNCTION("""COMPUTED_VALUE"""),"WIRASWASTA")</f>
        <v>WIRASWASTA</v>
      </c>
      <c r="T1946" s="16" t="str">
        <f>IFERROR(__xludf.DUMMYFUNCTION("""COMPUTED_VALUE"""),"Sakit kaki")</f>
        <v>Sakit kaki</v>
      </c>
      <c r="U1946" s="16" t="str">
        <f>IFERROR(__xludf.DUMMYFUNCTION("""COMPUTED_VALUE"""),"Tidak ada")</f>
        <v>Tidak ada</v>
      </c>
      <c r="V1946" s="11" t="str">
        <f>IFERROR(__xludf.DUMMYFUNCTION("""COMPUTED_VALUE"""),"085845168869")</f>
        <v>085845168869</v>
      </c>
      <c r="W1946" s="15"/>
    </row>
    <row r="1947">
      <c r="A1947" s="45"/>
      <c r="B1947" s="9">
        <f>IFERROR(__xludf.DUMMYFUNCTION("""COMPUTED_VALUE"""),45611.27813122685)</f>
        <v>45611.27813</v>
      </c>
      <c r="C1947" s="9"/>
      <c r="D1947" s="10">
        <f>IFERROR(__xludf.DUMMYFUNCTION("""COMPUTED_VALUE"""),45626.0)</f>
        <v>45626</v>
      </c>
      <c r="E1947" s="10" t="str">
        <f>IFERROR(__xludf.DUMMYFUNCTION("""COMPUTED_VALUE"""),"11Nov")</f>
        <v>11Nov</v>
      </c>
      <c r="F1947" s="10" t="str">
        <f>IFERROR(__xludf.DUMMYFUNCTION("""COMPUTED_VALUE"""),"2024")</f>
        <v>2024</v>
      </c>
      <c r="G1947" s="35" t="str">
        <f>IFERROR(__xludf.DUMMYFUNCTION("""COMPUTED_VALUE"""),"SUNARWAN")</f>
        <v>SUNARWAN</v>
      </c>
      <c r="H1947" s="17" t="str">
        <f>IFERROR(__xludf.DUMMYFUNCTION("""COMPUTED_VALUE"""),"S7124117652")</f>
        <v>S7124117652</v>
      </c>
      <c r="I1947" s="17">
        <f>IFERROR(__xludf.DUMMYFUNCTION("""COMPUTED_VALUE"""),54.0)</f>
        <v>54</v>
      </c>
      <c r="J1947" s="17" t="str">
        <f>IFERROR(__xludf.DUMMYFUNCTION("""COMPUTED_VALUE"""),"&gt; 44 tahun")</f>
        <v>&gt; 44 tahun</v>
      </c>
      <c r="K1947" s="19">
        <f>IFERROR(__xludf.DUMMYFUNCTION("""COMPUTED_VALUE"""),26164.0)</f>
        <v>26164</v>
      </c>
      <c r="L1947" s="19" t="str">
        <f>IFERROR(__xludf.DUMMYFUNCTION("""COMPUTED_VALUE"""),"LAKI-LAKI")</f>
        <v>LAKI-LAKI</v>
      </c>
      <c r="M1947" s="16" t="str">
        <f>IFERROR(__xludf.DUMMYFUNCTION("""COMPUTED_VALUE"""),"JL.BUDI UTOMO KOMPLEK TAMAN ANGGREK")</f>
        <v>JL.BUDI UTOMO KOMPLEK TAMAN ANGGREK</v>
      </c>
      <c r="N1947" s="16" t="str">
        <f>IFERROR(__xludf.DUMMYFUNCTION("""COMPUTED_VALUE"""),"SIANTAN HILIR")</f>
        <v>SIANTAN HILIR</v>
      </c>
      <c r="O1947" s="16" t="str">
        <f>IFERROR(__xludf.DUMMYFUNCTION("""COMPUTED_VALUE"""),"PONTIANAK UTARA")</f>
        <v>PONTIANAK UTARA</v>
      </c>
      <c r="P1947" s="16" t="str">
        <f>IFERROR(__xludf.DUMMYFUNCTION("""COMPUTED_VALUE"""),"KOTA PONTIANAK")</f>
        <v>KOTA PONTIANAK</v>
      </c>
      <c r="Q1947" s="16" t="str">
        <f>IFERROR(__xludf.DUMMYFUNCTION("""COMPUTED_VALUE"""),"KALIMANTAN BARAT")</f>
        <v>KALIMANTAN BARAT</v>
      </c>
      <c r="R1947" s="19" t="str">
        <f>IFERROR(__xludf.DUMMYFUNCTION("""COMPUTED_VALUE"""),"ISLAM")</f>
        <v>ISLAM</v>
      </c>
      <c r="S1947" s="16" t="str">
        <f>IFERROR(__xludf.DUMMYFUNCTION("""COMPUTED_VALUE"""),"TNI/POLRI")</f>
        <v>TNI/POLRI</v>
      </c>
      <c r="T1947" s="16" t="str">
        <f>IFERROR(__xludf.DUMMYFUNCTION("""COMPUTED_VALUE"""),"Sakit di tumit kaki sebelah kiri")</f>
        <v>Sakit di tumit kaki sebelah kiri</v>
      </c>
      <c r="U1947" s="16" t="str">
        <f>IFERROR(__xludf.DUMMYFUNCTION("""COMPUTED_VALUE"""),"Joging")</f>
        <v>Joging</v>
      </c>
      <c r="V1947" s="11" t="str">
        <f>IFERROR(__xludf.DUMMYFUNCTION("""COMPUTED_VALUE"""),"08125727652")</f>
        <v>08125727652</v>
      </c>
      <c r="W1947" s="15"/>
    </row>
    <row r="1948">
      <c r="A1948" s="45"/>
      <c r="B1948" s="9">
        <f>IFERROR(__xludf.DUMMYFUNCTION("""COMPUTED_VALUE"""),45616.40449677083)</f>
        <v>45616.4045</v>
      </c>
      <c r="C1948" s="9"/>
      <c r="D1948" s="10">
        <f>IFERROR(__xludf.DUMMYFUNCTION("""COMPUTED_VALUE"""),45626.0)</f>
        <v>45626</v>
      </c>
      <c r="E1948" s="10" t="str">
        <f>IFERROR(__xludf.DUMMYFUNCTION("""COMPUTED_VALUE"""),"11Nov")</f>
        <v>11Nov</v>
      </c>
      <c r="F1948" s="10" t="str">
        <f>IFERROR(__xludf.DUMMYFUNCTION("""COMPUTED_VALUE"""),"2024")</f>
        <v>2024</v>
      </c>
      <c r="G1948" s="35" t="str">
        <f>IFERROR(__xludf.DUMMYFUNCTION("""COMPUTED_VALUE"""),"NUR ASIA")</f>
        <v>NUR ASIA</v>
      </c>
      <c r="H1948" s="17" t="str">
        <f>IFERROR(__xludf.DUMMYFUNCTION("""COMPUTED_VALUE"""),"N7824110848")</f>
        <v>N7824110848</v>
      </c>
      <c r="I1948" s="17">
        <f>IFERROR(__xludf.DUMMYFUNCTION("""COMPUTED_VALUE"""),47.0)</f>
        <v>47</v>
      </c>
      <c r="J1948" s="18" t="str">
        <f>IFERROR(__xludf.DUMMYFUNCTION("""COMPUTED_VALUE"""),"&gt; 44 tahun")</f>
        <v>&gt; 44 tahun</v>
      </c>
      <c r="K1948" s="19">
        <f>IFERROR(__xludf.DUMMYFUNCTION("""COMPUTED_VALUE"""),28733.0)</f>
        <v>28733</v>
      </c>
      <c r="L1948" s="19" t="str">
        <f>IFERROR(__xludf.DUMMYFUNCTION("""COMPUTED_VALUE"""),"PEREMPUAN")</f>
        <v>PEREMPUAN</v>
      </c>
      <c r="M1948" s="16" t="str">
        <f>IFERROR(__xludf.DUMMYFUNCTION("""COMPUTED_VALUE"""),"JALAN PARIT PANGERAN GG KARYA BAKTI")</f>
        <v>JALAN PARIT PANGERAN GG KARYA BAKTI</v>
      </c>
      <c r="N1948" s="16" t="str">
        <f>IFERROR(__xludf.DUMMYFUNCTION("""COMPUTED_VALUE"""),"SIANTAN HULU")</f>
        <v>SIANTAN HULU</v>
      </c>
      <c r="O1948" s="16" t="str">
        <f>IFERROR(__xludf.DUMMYFUNCTION("""COMPUTED_VALUE"""),"PONTIANAK UTARA")</f>
        <v>PONTIANAK UTARA</v>
      </c>
      <c r="P1948" s="16" t="str">
        <f>IFERROR(__xludf.DUMMYFUNCTION("""COMPUTED_VALUE"""),"KOTA PONTIANAK")</f>
        <v>KOTA PONTIANAK</v>
      </c>
      <c r="Q1948" s="16" t="str">
        <f>IFERROR(__xludf.DUMMYFUNCTION("""COMPUTED_VALUE"""),"KALIMANTAN BARAT")</f>
        <v>KALIMANTAN BARAT</v>
      </c>
      <c r="R1948" s="19" t="str">
        <f>IFERROR(__xludf.DUMMYFUNCTION("""COMPUTED_VALUE"""),"ISLAM")</f>
        <v>ISLAM</v>
      </c>
      <c r="S1948" s="16" t="str">
        <f>IFERROR(__xludf.DUMMYFUNCTION("""COMPUTED_VALUE"""),"RUMAH TANGGA")</f>
        <v>RUMAH TANGGA</v>
      </c>
      <c r="T1948" s="16" t="str">
        <f>IFERROR(__xludf.DUMMYFUNCTION("""COMPUTED_VALUE"""),"Pinggang Sakit, Ada Pergeseran Di L4/5")</f>
        <v>Pinggang Sakit, Ada Pergeseran Di L4/5</v>
      </c>
      <c r="U1948" s="16" t="str">
        <f>IFERROR(__xludf.DUMMYFUNCTION("""COMPUTED_VALUE"""),"Aktivitas Rumah")</f>
        <v>Aktivitas Rumah</v>
      </c>
      <c r="V1948" s="11" t="str">
        <f>IFERROR(__xludf.DUMMYFUNCTION("""COMPUTED_VALUE"""),"087776820848")</f>
        <v>087776820848</v>
      </c>
      <c r="W1948" s="15"/>
    </row>
    <row r="1949">
      <c r="A1949" s="45"/>
      <c r="B1949" s="9">
        <f>IFERROR(__xludf.DUMMYFUNCTION("""COMPUTED_VALUE"""),45615.38155628472)</f>
        <v>45615.38156</v>
      </c>
      <c r="C1949" s="9"/>
      <c r="D1949" s="10">
        <f>IFERROR(__xludf.DUMMYFUNCTION("""COMPUTED_VALUE"""),45626.0)</f>
        <v>45626</v>
      </c>
      <c r="E1949" s="10" t="str">
        <f>IFERROR(__xludf.DUMMYFUNCTION("""COMPUTED_VALUE"""),"11Nov")</f>
        <v>11Nov</v>
      </c>
      <c r="F1949" s="10" t="str">
        <f>IFERROR(__xludf.DUMMYFUNCTION("""COMPUTED_VALUE"""),"2024")</f>
        <v>2024</v>
      </c>
      <c r="G1949" s="35" t="str">
        <f>IFERROR(__xludf.DUMMYFUNCTION("""COMPUTED_VALUE"""),"MUHAMMAD DAVI")</f>
        <v>MUHAMMAD DAVI</v>
      </c>
      <c r="H1949" s="18" t="str">
        <f>IFERROR(__xludf.DUMMYFUNCTION("""COMPUTED_VALUE"""),"M0824113025")</f>
        <v>M0824113025</v>
      </c>
      <c r="I1949" s="17">
        <f>IFERROR(__xludf.DUMMYFUNCTION("""COMPUTED_VALUE"""),17.0)</f>
        <v>17</v>
      </c>
      <c r="J1949" s="17" t="str">
        <f>IFERROR(__xludf.DUMMYFUNCTION("""COMPUTED_VALUE"""),"&lt; 18 tahun")</f>
        <v>&lt; 18 tahun</v>
      </c>
      <c r="K1949" s="19">
        <f>IFERROR(__xludf.DUMMYFUNCTION("""COMPUTED_VALUE"""),39690.0)</f>
        <v>39690</v>
      </c>
      <c r="L1949" s="19" t="str">
        <f>IFERROR(__xludf.DUMMYFUNCTION("""COMPUTED_VALUE"""),"LAKI-LAKI")</f>
        <v>LAKI-LAKI</v>
      </c>
      <c r="M1949" s="16" t="str">
        <f>IFERROR(__xludf.DUMMYFUNCTION("""COMPUTED_VALUE"""),"JALAN SEMBUAK")</f>
        <v>JALAN SEMBUAK</v>
      </c>
      <c r="N1949" s="16" t="str">
        <f>IFERROR(__xludf.DUMMYFUNCTION("""COMPUTED_VALUE"""),"DS. SEMBUAK")</f>
        <v>DS. SEMBUAK</v>
      </c>
      <c r="O1949" s="16" t="str">
        <f>IFERROR(__xludf.DUMMYFUNCTION("""COMPUTED_VALUE"""),"KEC. TELUK KERAMAT")</f>
        <v>KEC. TELUK KERAMAT</v>
      </c>
      <c r="P1949" s="16" t="str">
        <f>IFERROR(__xludf.DUMMYFUNCTION("""COMPUTED_VALUE"""),"KAB. SAMBAS")</f>
        <v>KAB. SAMBAS</v>
      </c>
      <c r="Q1949" s="16" t="str">
        <f>IFERROR(__xludf.DUMMYFUNCTION("""COMPUTED_VALUE"""),"KALIMANTAN BARAT")</f>
        <v>KALIMANTAN BARAT</v>
      </c>
      <c r="R1949" s="19" t="str">
        <f>IFERROR(__xludf.DUMMYFUNCTION("""COMPUTED_VALUE"""),"ISLAM")</f>
        <v>ISLAM</v>
      </c>
      <c r="S1949" s="16" t="str">
        <f>IFERROR(__xludf.DUMMYFUNCTION("""COMPUTED_VALUE"""),"PELAJAR/MAHASISWA")</f>
        <v>PELAJAR/MAHASISWA</v>
      </c>
      <c r="T1949" s="16" t="str">
        <f>IFERROR(__xludf.DUMMYFUNCTION("""COMPUTED_VALUE"""),"LUTUT")</f>
        <v>LUTUT</v>
      </c>
      <c r="U1949" s="16" t="str">
        <f>IFERROR(__xludf.DUMMYFUNCTION("""COMPUTED_VALUE"""),"FUTSAL")</f>
        <v>FUTSAL</v>
      </c>
      <c r="V1949" s="11" t="str">
        <f>IFERROR(__xludf.DUMMYFUNCTION("""COMPUTED_VALUE"""),"8985493025")</f>
        <v>8985493025</v>
      </c>
      <c r="W1949" s="15"/>
    </row>
    <row r="1950">
      <c r="A1950" s="45"/>
      <c r="B1950" s="9">
        <f>IFERROR(__xludf.DUMMYFUNCTION("""COMPUTED_VALUE"""),45612.850461458336)</f>
        <v>45612.85046</v>
      </c>
      <c r="C1950" s="9"/>
      <c r="D1950" s="10">
        <f>IFERROR(__xludf.DUMMYFUNCTION("""COMPUTED_VALUE"""),45626.0)</f>
        <v>45626</v>
      </c>
      <c r="E1950" s="10" t="str">
        <f>IFERROR(__xludf.DUMMYFUNCTION("""COMPUTED_VALUE"""),"11Nov")</f>
        <v>11Nov</v>
      </c>
      <c r="F1950" s="10" t="str">
        <f>IFERROR(__xludf.DUMMYFUNCTION("""COMPUTED_VALUE"""),"2024")</f>
        <v>2024</v>
      </c>
      <c r="G1950" s="35" t="str">
        <f>IFERROR(__xludf.DUMMYFUNCTION("""COMPUTED_VALUE"""),"ILHAM AZIZ")</f>
        <v>ILHAM AZIZ</v>
      </c>
      <c r="H1950" s="17" t="str">
        <f>IFERROR(__xludf.DUMMYFUNCTION("""COMPUTED_VALUE"""),"I0624117160")</f>
        <v>I0624117160</v>
      </c>
      <c r="I1950" s="17">
        <f>IFERROR(__xludf.DUMMYFUNCTION("""COMPUTED_VALUE"""),20.0)</f>
        <v>20</v>
      </c>
      <c r="J1950" s="17" t="str">
        <f>IFERROR(__xludf.DUMMYFUNCTION("""COMPUTED_VALUE"""),"18-24 tahun")</f>
        <v>18-24 tahun</v>
      </c>
      <c r="K1950" s="19">
        <f>IFERROR(__xludf.DUMMYFUNCTION("""COMPUTED_VALUE"""),38801.0)</f>
        <v>38801</v>
      </c>
      <c r="L1950" s="19" t="str">
        <f>IFERROR(__xludf.DUMMYFUNCTION("""COMPUTED_VALUE"""),"LAKI-LAKI")</f>
        <v>LAKI-LAKI</v>
      </c>
      <c r="M1950" s="16" t="str">
        <f>IFERROR(__xludf.DUMMYFUNCTION("""COMPUTED_VALUE"""),"SEBRANG KAPUAS ,SEKADAU HILIR")</f>
        <v>SEBRANG KAPUAS ,SEKADAU HILIR</v>
      </c>
      <c r="N1950" s="16" t="str">
        <f>IFERROR(__xludf.DUMMYFUNCTION("""COMPUTED_VALUE"""),"SEBRANG KAPUAS")</f>
        <v>SEBRANG KAPUAS</v>
      </c>
      <c r="O1950" s="16" t="str">
        <f>IFERROR(__xludf.DUMMYFUNCTION("""COMPUTED_VALUE"""),"KEC. SEKADAU HILIR")</f>
        <v>KEC. SEKADAU HILIR</v>
      </c>
      <c r="P1950" s="16" t="str">
        <f>IFERROR(__xludf.DUMMYFUNCTION("""COMPUTED_VALUE"""),"KAB.SEKADAU")</f>
        <v>KAB.SEKADAU</v>
      </c>
      <c r="Q1950" s="16" t="str">
        <f>IFERROR(__xludf.DUMMYFUNCTION("""COMPUTED_VALUE"""),"KALIMANTAN BARAT")</f>
        <v>KALIMANTAN BARAT</v>
      </c>
      <c r="R1950" s="19" t="str">
        <f>IFERROR(__xludf.DUMMYFUNCTION("""COMPUTED_VALUE"""),"ISLAM")</f>
        <v>ISLAM</v>
      </c>
      <c r="S1950" s="16" t="str">
        <f>IFERROR(__xludf.DUMMYFUNCTION("""COMPUTED_VALUE"""),"PELAJAR/MAHASISWA")</f>
        <v>PELAJAR/MAHASISWA</v>
      </c>
      <c r="T1950" s="16" t="str">
        <f>IFERROR(__xludf.DUMMYFUNCTION("""COMPUTED_VALUE"""),"KAKI X")</f>
        <v>KAKI X</v>
      </c>
      <c r="U1950" s="16" t="str">
        <f>IFERROR(__xludf.DUMMYFUNCTION("""COMPUTED_VALUE"""),"joging")</f>
        <v>joging</v>
      </c>
      <c r="V1950" s="11" t="str">
        <f>IFERROR(__xludf.DUMMYFUNCTION("""COMPUTED_VALUE"""),"083126097160")</f>
        <v>083126097160</v>
      </c>
      <c r="W1950" s="15"/>
    </row>
    <row r="1951">
      <c r="A1951" s="45"/>
      <c r="B1951" s="9">
        <f>IFERROR(__xludf.DUMMYFUNCTION("""COMPUTED_VALUE"""),45616.42628071759)</f>
        <v>45616.42628</v>
      </c>
      <c r="C1951" s="9"/>
      <c r="D1951" s="10">
        <f>IFERROR(__xludf.DUMMYFUNCTION("""COMPUTED_VALUE"""),45626.0)</f>
        <v>45626</v>
      </c>
      <c r="E1951" s="10" t="str">
        <f>IFERROR(__xludf.DUMMYFUNCTION("""COMPUTED_VALUE"""),"11Nov")</f>
        <v>11Nov</v>
      </c>
      <c r="F1951" s="10" t="str">
        <f>IFERROR(__xludf.DUMMYFUNCTION("""COMPUTED_VALUE"""),"2024")</f>
        <v>2024</v>
      </c>
      <c r="G1951" s="35" t="str">
        <f>IFERROR(__xludf.DUMMYFUNCTION("""COMPUTED_VALUE"""),"VIVA DARMA PUTRI")</f>
        <v>VIVA DARMA PUTRI</v>
      </c>
      <c r="H1951" s="17" t="str">
        <f>IFERROR(__xludf.DUMMYFUNCTION("""COMPUTED_VALUE"""),"V8924117131")</f>
        <v>V8924117131</v>
      </c>
      <c r="I1951" s="17">
        <f>IFERROR(__xludf.DUMMYFUNCTION("""COMPUTED_VALUE"""),36.0)</f>
        <v>36</v>
      </c>
      <c r="J1951" s="17" t="str">
        <f>IFERROR(__xludf.DUMMYFUNCTION("""COMPUTED_VALUE"""),"35-44 tahun")</f>
        <v>35-44 tahun</v>
      </c>
      <c r="K1951" s="19">
        <f>IFERROR(__xludf.DUMMYFUNCTION("""COMPUTED_VALUE"""),32777.0)</f>
        <v>32777</v>
      </c>
      <c r="L1951" s="19" t="str">
        <f>IFERROR(__xludf.DUMMYFUNCTION("""COMPUTED_VALUE"""),"PEREMPUAN")</f>
        <v>PEREMPUAN</v>
      </c>
      <c r="M1951" s="16" t="str">
        <f>IFERROR(__xludf.DUMMYFUNCTION("""COMPUTED_VALUE"""),"JALAN SEPAKAT 2 NOMOR 09")</f>
        <v>JALAN SEPAKAT 2 NOMOR 09</v>
      </c>
      <c r="N1951" s="16" t="str">
        <f>IFERROR(__xludf.DUMMYFUNCTION("""COMPUTED_VALUE"""),"KEL. BANGKA BELITUNG DARAT")</f>
        <v>KEL. BANGKA BELITUNG DARAT</v>
      </c>
      <c r="O1951" s="16" t="str">
        <f>IFERROR(__xludf.DUMMYFUNCTION("""COMPUTED_VALUE"""),"KEC. PONTIANAK TENGGARA")</f>
        <v>KEC. PONTIANAK TENGGARA</v>
      </c>
      <c r="P1951" s="16" t="str">
        <f>IFERROR(__xludf.DUMMYFUNCTION("""COMPUTED_VALUE"""),"KOTA PONTIANAK")</f>
        <v>KOTA PONTIANAK</v>
      </c>
      <c r="Q1951" s="16" t="str">
        <f>IFERROR(__xludf.DUMMYFUNCTION("""COMPUTED_VALUE"""),"KALIMANTAN BARAT")</f>
        <v>KALIMANTAN BARAT</v>
      </c>
      <c r="R1951" s="19" t="str">
        <f>IFERROR(__xludf.DUMMYFUNCTION("""COMPUTED_VALUE"""),"ISLAM")</f>
        <v>ISLAM</v>
      </c>
      <c r="S1951" s="16" t="str">
        <f>IFERROR(__xludf.DUMMYFUNCTION("""COMPUTED_VALUE"""),"DOSEN/GURU")</f>
        <v>DOSEN/GURU</v>
      </c>
      <c r="T1951" s="16" t="str">
        <f>IFERROR(__xludf.DUMMYFUNCTION("""COMPUTED_VALUE"""),"PINGGANG")</f>
        <v>PINGGANG</v>
      </c>
      <c r="U1951" s="16" t="str">
        <f>IFERROR(__xludf.DUMMYFUNCTION("""COMPUTED_VALUE"""),"MEMASAK")</f>
        <v>MEMASAK</v>
      </c>
      <c r="V1951" s="11" t="str">
        <f>IFERROR(__xludf.DUMMYFUNCTION("""COMPUTED_VALUE"""),"83110697131")</f>
        <v>83110697131</v>
      </c>
      <c r="W1951" s="15"/>
    </row>
    <row r="1952">
      <c r="A1952" s="45"/>
      <c r="B1952" s="9">
        <f>IFERROR(__xludf.DUMMYFUNCTION("""COMPUTED_VALUE"""),45616.60377681713)</f>
        <v>45616.60378</v>
      </c>
      <c r="C1952" s="9"/>
      <c r="D1952" s="10">
        <f>IFERROR(__xludf.DUMMYFUNCTION("""COMPUTED_VALUE"""),45626.0)</f>
        <v>45626</v>
      </c>
      <c r="E1952" s="10" t="str">
        <f>IFERROR(__xludf.DUMMYFUNCTION("""COMPUTED_VALUE"""),"11Nov")</f>
        <v>11Nov</v>
      </c>
      <c r="F1952" s="10" t="str">
        <f>IFERROR(__xludf.DUMMYFUNCTION("""COMPUTED_VALUE"""),"2024")</f>
        <v>2024</v>
      </c>
      <c r="G1952" s="35" t="str">
        <f>IFERROR(__xludf.DUMMYFUNCTION("""COMPUTED_VALUE"""),"SRI SETIATI")</f>
        <v>SRI SETIATI</v>
      </c>
      <c r="H1952" s="17" t="str">
        <f>IFERROR(__xludf.DUMMYFUNCTION("""COMPUTED_VALUE"""),"S5224111226")</f>
        <v>S5224111226</v>
      </c>
      <c r="I1952" s="17">
        <f>IFERROR(__xludf.DUMMYFUNCTION("""COMPUTED_VALUE"""),73.0)</f>
        <v>73</v>
      </c>
      <c r="J1952" s="17" t="str">
        <f>IFERROR(__xludf.DUMMYFUNCTION("""COMPUTED_VALUE"""),"&gt; 44 tahun")</f>
        <v>&gt; 44 tahun</v>
      </c>
      <c r="K1952" s="19">
        <f>IFERROR(__xludf.DUMMYFUNCTION("""COMPUTED_VALUE"""),19341.0)</f>
        <v>19341</v>
      </c>
      <c r="L1952" s="19" t="str">
        <f>IFERROR(__xludf.DUMMYFUNCTION("""COMPUTED_VALUE"""),"PEREMPUAN")</f>
        <v>PEREMPUAN</v>
      </c>
      <c r="M1952" s="16" t="str">
        <f>IFERROR(__xludf.DUMMYFUNCTION("""COMPUTED_VALUE"""),"JL. P. H. HUSIN 1, GG. DARUL TAQWA NO. 16")</f>
        <v>JL. P. H. HUSIN 1, GG. DARUL TAQWA NO. 16</v>
      </c>
      <c r="N1952" s="16" t="str">
        <f>IFERROR(__xludf.DUMMYFUNCTION("""COMPUTED_VALUE"""),"BANGKA BELITUNG LAUT")</f>
        <v>BANGKA BELITUNG LAUT</v>
      </c>
      <c r="O1952" s="16" t="str">
        <f>IFERROR(__xludf.DUMMYFUNCTION("""COMPUTED_VALUE"""),"KEC. PONTIANAK TENGGARA")</f>
        <v>KEC. PONTIANAK TENGGARA</v>
      </c>
      <c r="P1952" s="16" t="str">
        <f>IFERROR(__xludf.DUMMYFUNCTION("""COMPUTED_VALUE"""),"KOTA PONTIANAK")</f>
        <v>KOTA PONTIANAK</v>
      </c>
      <c r="Q1952" s="16" t="str">
        <f>IFERROR(__xludf.DUMMYFUNCTION("""COMPUTED_VALUE"""),"KALIMANTAN BARAT")</f>
        <v>KALIMANTAN BARAT</v>
      </c>
      <c r="R1952" s="19" t="str">
        <f>IFERROR(__xludf.DUMMYFUNCTION("""COMPUTED_VALUE"""),"ISLAM")</f>
        <v>ISLAM</v>
      </c>
      <c r="S1952" s="16" t="str">
        <f>IFERROR(__xludf.DUMMYFUNCTION("""COMPUTED_VALUE"""),"PENSIUN")</f>
        <v>PENSIUN</v>
      </c>
      <c r="T1952" s="16" t="str">
        <f>IFERROR(__xludf.DUMMYFUNCTION("""COMPUTED_VALUE"""),"Nyeri pinggang/punggung")</f>
        <v>Nyeri pinggang/punggung</v>
      </c>
      <c r="U1952" s="16" t="str">
        <f>IFERROR(__xludf.DUMMYFUNCTION("""COMPUTED_VALUE"""),"Masak")</f>
        <v>Masak</v>
      </c>
      <c r="V1952" s="11" t="str">
        <f>IFERROR(__xludf.DUMMYFUNCTION("""COMPUTED_VALUE"""),"08125601226")</f>
        <v>08125601226</v>
      </c>
      <c r="W1952" s="15"/>
    </row>
    <row r="1953">
      <c r="A1953" s="45"/>
      <c r="B1953" s="9">
        <f>IFERROR(__xludf.DUMMYFUNCTION("""COMPUTED_VALUE"""),45617.34611142361)</f>
        <v>45617.34611</v>
      </c>
      <c r="C1953" s="9"/>
      <c r="D1953" s="10">
        <f>IFERROR(__xludf.DUMMYFUNCTION("""COMPUTED_VALUE"""),45630.0)</f>
        <v>45630</v>
      </c>
      <c r="E1953" s="10" t="str">
        <f>IFERROR(__xludf.DUMMYFUNCTION("""COMPUTED_VALUE"""),"12Des")</f>
        <v>12Des</v>
      </c>
      <c r="F1953" s="10" t="str">
        <f>IFERROR(__xludf.DUMMYFUNCTION("""COMPUTED_VALUE"""),"2024")</f>
        <v>2024</v>
      </c>
      <c r="G1953" s="35" t="str">
        <f>IFERROR(__xludf.DUMMYFUNCTION("""COMPUTED_VALUE"""),"ANGGER CHESTA HIDAYAT")</f>
        <v>ANGGER CHESTA HIDAYAT</v>
      </c>
      <c r="H1953" s="17" t="str">
        <f>IFERROR(__xludf.DUMMYFUNCTION("""COMPUTED_VALUE"""),"A0724125118")</f>
        <v>A0724125118</v>
      </c>
      <c r="I1953" s="17">
        <f>IFERROR(__xludf.DUMMYFUNCTION("""COMPUTED_VALUE"""),18.0)</f>
        <v>18</v>
      </c>
      <c r="J1953" s="17" t="str">
        <f>IFERROR(__xludf.DUMMYFUNCTION("""COMPUTED_VALUE"""),"&lt; 18 tahun")</f>
        <v>&lt; 18 tahun</v>
      </c>
      <c r="K1953" s="19">
        <f>IFERROR(__xludf.DUMMYFUNCTION("""COMPUTED_VALUE"""),39430.0)</f>
        <v>39430</v>
      </c>
      <c r="L1953" s="19" t="str">
        <f>IFERROR(__xludf.DUMMYFUNCTION("""COMPUTED_VALUE"""),"LAKI-LAKI")</f>
        <v>LAKI-LAKI</v>
      </c>
      <c r="M1953" s="16" t="str">
        <f>IFERROR(__xludf.DUMMYFUNCTION("""COMPUTED_VALUE"""),"JL KESEHATAN GG SUMBER AGUNG 1 JALUR C NO 10")</f>
        <v>JL KESEHATAN GG SUMBER AGUNG 1 JALUR C NO 10</v>
      </c>
      <c r="N1953" s="16" t="str">
        <f>IFERROR(__xludf.DUMMYFUNCTION("""COMPUTED_VALUE"""),"KOTA BARU")</f>
        <v>KOTA BARU</v>
      </c>
      <c r="O1953" s="16" t="str">
        <f>IFERROR(__xludf.DUMMYFUNCTION("""COMPUTED_VALUE"""),"KEC. PONTIANAK KOTA")</f>
        <v>KEC. PONTIANAK KOTA</v>
      </c>
      <c r="P1953" s="16" t="str">
        <f>IFERROR(__xludf.DUMMYFUNCTION("""COMPUTED_VALUE"""),"KOTA PONTIANAK")</f>
        <v>KOTA PONTIANAK</v>
      </c>
      <c r="Q1953" s="16" t="str">
        <f>IFERROR(__xludf.DUMMYFUNCTION("""COMPUTED_VALUE"""),"KALIMANTAN BARAT")</f>
        <v>KALIMANTAN BARAT</v>
      </c>
      <c r="R1953" s="19" t="str">
        <f>IFERROR(__xludf.DUMMYFUNCTION("""COMPUTED_VALUE"""),"ISLAM")</f>
        <v>ISLAM</v>
      </c>
      <c r="S1953" s="16" t="str">
        <f>IFERROR(__xludf.DUMMYFUNCTION("""COMPUTED_VALUE"""),"PELAJAR/MAHASISWA")</f>
        <v>PELAJAR/MAHASISWA</v>
      </c>
      <c r="T1953" s="16" t="str">
        <f>IFERROR(__xludf.DUMMYFUNCTION("""COMPUTED_VALUE"""),"cedera lutut oprasi")</f>
        <v>cedera lutut oprasi</v>
      </c>
      <c r="U1953" s="16" t="str">
        <f>IFERROR(__xludf.DUMMYFUNCTION("""COMPUTED_VALUE"""),"futsal")</f>
        <v>futsal</v>
      </c>
      <c r="V1953" s="11" t="str">
        <f>IFERROR(__xludf.DUMMYFUNCTION("""COMPUTED_VALUE"""),"081250235118")</f>
        <v>081250235118</v>
      </c>
      <c r="W1953" s="15"/>
    </row>
    <row r="1954">
      <c r="A1954" s="45"/>
      <c r="B1954" s="9">
        <f>IFERROR(__xludf.DUMMYFUNCTION("""COMPUTED_VALUE"""),45618.608128796295)</f>
        <v>45618.60813</v>
      </c>
      <c r="C1954" s="9"/>
      <c r="D1954" s="10">
        <f>IFERROR(__xludf.DUMMYFUNCTION("""COMPUTED_VALUE"""),45630.0)</f>
        <v>45630</v>
      </c>
      <c r="E1954" s="10" t="str">
        <f>IFERROR(__xludf.DUMMYFUNCTION("""COMPUTED_VALUE"""),"12Des")</f>
        <v>12Des</v>
      </c>
      <c r="F1954" s="10" t="str">
        <f>IFERROR(__xludf.DUMMYFUNCTION("""COMPUTED_VALUE"""),"2024")</f>
        <v>2024</v>
      </c>
      <c r="G1954" s="35" t="str">
        <f>IFERROR(__xludf.DUMMYFUNCTION("""COMPUTED_VALUE"""),"HENDRA KRISMA")</f>
        <v>HENDRA KRISMA</v>
      </c>
      <c r="H1954" s="17" t="str">
        <f>IFERROR(__xludf.DUMMYFUNCTION("""COMPUTED_VALUE"""),"H9524120422")</f>
        <v>H9524120422</v>
      </c>
      <c r="I1954" s="17">
        <f>IFERROR(__xludf.DUMMYFUNCTION("""COMPUTED_VALUE"""),30.0)</f>
        <v>30</v>
      </c>
      <c r="J1954" s="17" t="str">
        <f>IFERROR(__xludf.DUMMYFUNCTION("""COMPUTED_VALUE"""),"25-34 tahun")</f>
        <v>25-34 tahun</v>
      </c>
      <c r="K1954" s="19">
        <f>IFERROR(__xludf.DUMMYFUNCTION("""COMPUTED_VALUE"""),35030.0)</f>
        <v>35030</v>
      </c>
      <c r="L1954" s="19" t="str">
        <f>IFERROR(__xludf.DUMMYFUNCTION("""COMPUTED_VALUE"""),"LAKI-LAKI")</f>
        <v>LAKI-LAKI</v>
      </c>
      <c r="M1954" s="16" t="str">
        <f>IFERROR(__xludf.DUMMYFUNCTION("""COMPUTED_VALUE"""),"JALAN MERDEKA GANG PERGAM NO 1")</f>
        <v>JALAN MERDEKA GANG PERGAM NO 1</v>
      </c>
      <c r="N1954" s="16" t="str">
        <f>IFERROR(__xludf.DUMMYFUNCTION("""COMPUTED_VALUE"""),"TENGAH")</f>
        <v>TENGAH</v>
      </c>
      <c r="O1954" s="16" t="str">
        <f>IFERROR(__xludf.DUMMYFUNCTION("""COMPUTED_VALUE"""),"KEC. PONTIANAK KOTA")</f>
        <v>KEC. PONTIANAK KOTA</v>
      </c>
      <c r="P1954" s="16" t="str">
        <f>IFERROR(__xludf.DUMMYFUNCTION("""COMPUTED_VALUE"""),"KOTA PONTIANAK")</f>
        <v>KOTA PONTIANAK</v>
      </c>
      <c r="Q1954" s="16" t="str">
        <f>IFERROR(__xludf.DUMMYFUNCTION("""COMPUTED_VALUE"""),"KALIMANTAN BARAT")</f>
        <v>KALIMANTAN BARAT</v>
      </c>
      <c r="R1954" s="19" t="str">
        <f>IFERROR(__xludf.DUMMYFUNCTION("""COMPUTED_VALUE"""),"PROTESTAN")</f>
        <v>PROTESTAN</v>
      </c>
      <c r="S1954" s="16" t="str">
        <f>IFERROR(__xludf.DUMMYFUNCTION("""COMPUTED_VALUE"""),"FREELANCER IT")</f>
        <v>FREELANCER IT</v>
      </c>
      <c r="T1954" s="16" t="str">
        <f>IFERROR(__xludf.DUMMYFUNCTION("""COMPUTED_VALUE"""),"Pinggang sakit sudah lama.")</f>
        <v>Pinggang sakit sudah lama.</v>
      </c>
      <c r="U1954" s="16" t="str">
        <f>IFERROR(__xludf.DUMMYFUNCTION("""COMPUTED_VALUE"""),"Kerja ada manjat dan angkat barang")</f>
        <v>Kerja ada manjat dan angkat barang</v>
      </c>
      <c r="V1954" s="11" t="str">
        <f>IFERROR(__xludf.DUMMYFUNCTION("""COMPUTED_VALUE"""),"082350660422")</f>
        <v>082350660422</v>
      </c>
      <c r="W1954" s="15"/>
    </row>
    <row r="1955">
      <c r="A1955" s="45"/>
      <c r="B1955" s="9">
        <f>IFERROR(__xludf.DUMMYFUNCTION("""COMPUTED_VALUE"""),45619.43892158565)</f>
        <v>45619.43892</v>
      </c>
      <c r="C1955" s="9"/>
      <c r="D1955" s="10">
        <f>IFERROR(__xludf.DUMMYFUNCTION("""COMPUTED_VALUE"""),45631.0)</f>
        <v>45631</v>
      </c>
      <c r="E1955" s="10" t="str">
        <f>IFERROR(__xludf.DUMMYFUNCTION("""COMPUTED_VALUE"""),"12Des")</f>
        <v>12Des</v>
      </c>
      <c r="F1955" s="10" t="str">
        <f>IFERROR(__xludf.DUMMYFUNCTION("""COMPUTED_VALUE"""),"2024")</f>
        <v>2024</v>
      </c>
      <c r="G1955" s="16" t="str">
        <f>IFERROR(__xludf.DUMMYFUNCTION("""COMPUTED_VALUE"""),"FEBRIANSYAH")</f>
        <v>FEBRIANSYAH</v>
      </c>
      <c r="H1955" s="17" t="str">
        <f>IFERROR(__xludf.DUMMYFUNCTION("""COMPUTED_VALUE"""),"F0224122707")</f>
        <v>F0224122707</v>
      </c>
      <c r="I1955" s="17">
        <f>IFERROR(__xludf.DUMMYFUNCTION("""COMPUTED_VALUE"""),24.0)</f>
        <v>24</v>
      </c>
      <c r="J1955" s="17" t="str">
        <f>IFERROR(__xludf.DUMMYFUNCTION("""COMPUTED_VALUE"""),"18-24 tahun")</f>
        <v>18-24 tahun</v>
      </c>
      <c r="K1955" s="19">
        <f>IFERROR(__xludf.DUMMYFUNCTION("""COMPUTED_VALUE"""),37301.0)</f>
        <v>37301</v>
      </c>
      <c r="L1955" s="19" t="str">
        <f>IFERROR(__xludf.DUMMYFUNCTION("""COMPUTED_VALUE"""),"LAKI-LAKI")</f>
        <v>LAKI-LAKI</v>
      </c>
      <c r="M1955" s="16" t="str">
        <f>IFERROR(__xludf.DUMMYFUNCTION("""COMPUTED_VALUE"""),"JALAN KAMPUNG MASJID JAMI")</f>
        <v>JALAN KAMPUNG MASJID JAMI</v>
      </c>
      <c r="N1955" s="16" t="str">
        <f>IFERROR(__xludf.DUMMYFUNCTION("""COMPUTED_VALUE"""),"DALAM BUGIS")</f>
        <v>DALAM BUGIS</v>
      </c>
      <c r="O1955" s="16" t="str">
        <f>IFERROR(__xludf.DUMMYFUNCTION("""COMPUTED_VALUE"""),"KEC. PONTIANAK TIMUR")</f>
        <v>KEC. PONTIANAK TIMUR</v>
      </c>
      <c r="P1955" s="16" t="str">
        <f>IFERROR(__xludf.DUMMYFUNCTION("""COMPUTED_VALUE"""),"KOTA PONTIANAK")</f>
        <v>KOTA PONTIANAK</v>
      </c>
      <c r="Q1955" s="16" t="str">
        <f>IFERROR(__xludf.DUMMYFUNCTION("""COMPUTED_VALUE"""),"KALIMANTAN BARAT")</f>
        <v>KALIMANTAN BARAT</v>
      </c>
      <c r="R1955" s="19" t="str">
        <f>IFERROR(__xludf.DUMMYFUNCTION("""COMPUTED_VALUE"""),"ISLAM")</f>
        <v>ISLAM</v>
      </c>
      <c r="S1955" s="16" t="str">
        <f>IFERROR(__xludf.DUMMYFUNCTION("""COMPUTED_VALUE"""),"KOKI")</f>
        <v>KOKI</v>
      </c>
      <c r="T1955" s="16" t="str">
        <f>IFERROR(__xludf.DUMMYFUNCTION("""COMPUTED_VALUE"""),"Hamstring/ salah urat")</f>
        <v>Hamstring/ salah urat</v>
      </c>
      <c r="U1955" s="16" t="str">
        <f>IFERROR(__xludf.DUMMYFUNCTION("""COMPUTED_VALUE"""),"Futsal")</f>
        <v>Futsal</v>
      </c>
      <c r="V1955" s="11" t="str">
        <f>IFERROR(__xludf.DUMMYFUNCTION("""COMPUTED_VALUE"""),"082353272707")</f>
        <v>082353272707</v>
      </c>
      <c r="W1955" s="15"/>
    </row>
    <row r="1956">
      <c r="A1956" s="45"/>
      <c r="B1956" s="9"/>
      <c r="C1956" s="9"/>
      <c r="D1956" s="10">
        <f>IFERROR(__xludf.DUMMYFUNCTION("""COMPUTED_VALUE"""),45631.0)</f>
        <v>45631</v>
      </c>
      <c r="E1956" s="10" t="str">
        <f>IFERROR(__xludf.DUMMYFUNCTION("""COMPUTED_VALUE"""),"12Des")</f>
        <v>12Des</v>
      </c>
      <c r="F1956" s="10" t="str">
        <f>IFERROR(__xludf.DUMMYFUNCTION("""COMPUTED_VALUE"""),"2024")</f>
        <v>2024</v>
      </c>
      <c r="G1956" s="16" t="str">
        <f>IFERROR(__xludf.DUMMYFUNCTION("""COMPUTED_VALUE"""),"DEASY TRIANA")</f>
        <v>DEASY TRIANA</v>
      </c>
      <c r="H1956" s="17" t="str">
        <f>IFERROR(__xludf.DUMMYFUNCTION("""COMPUTED_VALUE"""),"D8124125074")</f>
        <v>D8124125074</v>
      </c>
      <c r="I1956" s="17">
        <f>IFERROR(__xludf.DUMMYFUNCTION("""COMPUTED_VALUE"""),44.0)</f>
        <v>44</v>
      </c>
      <c r="J1956" s="17" t="str">
        <f>IFERROR(__xludf.DUMMYFUNCTION("""COMPUTED_VALUE"""),"35-44 tahun")</f>
        <v>35-44 tahun</v>
      </c>
      <c r="K1956" s="19">
        <f>IFERROR(__xludf.DUMMYFUNCTION("""COMPUTED_VALUE"""),29937.0)</f>
        <v>29937</v>
      </c>
      <c r="L1956" s="19" t="str">
        <f>IFERROR(__xludf.DUMMYFUNCTION("""COMPUTED_VALUE"""),"PEREMPUAN")</f>
        <v>PEREMPUAN</v>
      </c>
      <c r="M1956" s="16" t="str">
        <f>IFERROR(__xludf.DUMMYFUNCTION("""COMPUTED_VALUE"""),"JL. PROF. M. YAMIN GG. KELUARGA BERSAMA NO. 48")</f>
        <v>JL. PROF. M. YAMIN GG. KELUARGA BERSAMA NO. 48</v>
      </c>
      <c r="N1956" s="16" t="str">
        <f>IFERROR(__xludf.DUMMYFUNCTION("""COMPUTED_VALUE"""),"KOTA BARU")</f>
        <v>KOTA BARU</v>
      </c>
      <c r="O1956" s="16" t="str">
        <f>IFERROR(__xludf.DUMMYFUNCTION("""COMPUTED_VALUE"""),"KEC. PONTIANAK SELATAN")</f>
        <v>KEC. PONTIANAK SELATAN</v>
      </c>
      <c r="P1956" s="16" t="str">
        <f>IFERROR(__xludf.DUMMYFUNCTION("""COMPUTED_VALUE"""),"KOTA PONTIANAK")</f>
        <v>KOTA PONTIANAK</v>
      </c>
      <c r="Q1956" s="16" t="str">
        <f>IFERROR(__xludf.DUMMYFUNCTION("""COMPUTED_VALUE"""),"KALIMANTAN BARAT")</f>
        <v>KALIMANTAN BARAT</v>
      </c>
      <c r="R1956" s="19" t="str">
        <f>IFERROR(__xludf.DUMMYFUNCTION("""COMPUTED_VALUE"""),"ISLAM")</f>
        <v>ISLAM</v>
      </c>
      <c r="S1956" s="16" t="str">
        <f>IFERROR(__xludf.DUMMYFUNCTION("""COMPUTED_VALUE"""),"WIRASWASTA")</f>
        <v>WIRASWASTA</v>
      </c>
      <c r="T1956" s="16" t="str">
        <f>IFERROR(__xludf.DUMMYFUNCTION("""COMPUTED_VALUE"""),"Sakit kaki kanan dari pinggang")</f>
        <v>Sakit kaki kanan dari pinggang</v>
      </c>
      <c r="U1956" s="16" t="str">
        <f>IFERROR(__xludf.DUMMYFUNCTION("""COMPUTED_VALUE"""),"Jalan-jalan")</f>
        <v>Jalan-jalan</v>
      </c>
      <c r="V1956" s="11" t="str">
        <f>IFERROR(__xludf.DUMMYFUNCTION("""COMPUTED_VALUE"""),"085251035074")</f>
        <v>085251035074</v>
      </c>
      <c r="W1956" s="15"/>
    </row>
    <row r="1957">
      <c r="A1957" s="45"/>
      <c r="B1957" s="9">
        <f>IFERROR(__xludf.DUMMYFUNCTION("""COMPUTED_VALUE"""),45619.64748300926)</f>
        <v>45619.64748</v>
      </c>
      <c r="C1957" s="9"/>
      <c r="D1957" s="10">
        <f>IFERROR(__xludf.DUMMYFUNCTION("""COMPUTED_VALUE"""),45631.0)</f>
        <v>45631</v>
      </c>
      <c r="E1957" s="10" t="str">
        <f>IFERROR(__xludf.DUMMYFUNCTION("""COMPUTED_VALUE"""),"12Des")</f>
        <v>12Des</v>
      </c>
      <c r="F1957" s="10" t="str">
        <f>IFERROR(__xludf.DUMMYFUNCTION("""COMPUTED_VALUE"""),"2024")</f>
        <v>2024</v>
      </c>
      <c r="G1957" s="16" t="str">
        <f>IFERROR(__xludf.DUMMYFUNCTION("""COMPUTED_VALUE"""),"JABARKIS")</f>
        <v>JABARKIS</v>
      </c>
      <c r="H1957" s="17" t="str">
        <f>IFERROR(__xludf.DUMMYFUNCTION("""COMPUTED_VALUE"""),"J9824127677")</f>
        <v>J9824127677</v>
      </c>
      <c r="I1957" s="17">
        <f>IFERROR(__xludf.DUMMYFUNCTION("""COMPUTED_VALUE"""),27.0)</f>
        <v>27</v>
      </c>
      <c r="J1957" s="17" t="str">
        <f>IFERROR(__xludf.DUMMYFUNCTION("""COMPUTED_VALUE"""),"25-34 tahun")</f>
        <v>25-34 tahun</v>
      </c>
      <c r="K1957" s="19">
        <f>IFERROR(__xludf.DUMMYFUNCTION("""COMPUTED_VALUE"""),35972.0)</f>
        <v>35972</v>
      </c>
      <c r="L1957" s="19" t="str">
        <f>IFERROR(__xludf.DUMMYFUNCTION("""COMPUTED_VALUE"""),"LAKI-LAKI")</f>
        <v>LAKI-LAKI</v>
      </c>
      <c r="M1957" s="16" t="str">
        <f>IFERROR(__xludf.DUMMYFUNCTION("""COMPUTED_VALUE"""),"JL KARET KOMP. PERMATA ASRI NO. DD 2")</f>
        <v>JL KARET KOMP. PERMATA ASRI NO. DD 2</v>
      </c>
      <c r="N1957" s="16" t="str">
        <f>IFERROR(__xludf.DUMMYFUNCTION("""COMPUTED_VALUE"""),"DS. PAL 5")</f>
        <v>DS. PAL 5</v>
      </c>
      <c r="O1957" s="16" t="str">
        <f>IFERROR(__xludf.DUMMYFUNCTION("""COMPUTED_VALUE"""),"KEC. PONTIANAK BARAT")</f>
        <v>KEC. PONTIANAK BARAT</v>
      </c>
      <c r="P1957" s="16" t="str">
        <f>IFERROR(__xludf.DUMMYFUNCTION("""COMPUTED_VALUE"""),"KOTA PONTIANAK")</f>
        <v>KOTA PONTIANAK</v>
      </c>
      <c r="Q1957" s="16" t="str">
        <f>IFERROR(__xludf.DUMMYFUNCTION("""COMPUTED_VALUE"""),"KALIMANTAN BARAT")</f>
        <v>KALIMANTAN BARAT</v>
      </c>
      <c r="R1957" s="19" t="str">
        <f>IFERROR(__xludf.DUMMYFUNCTION("""COMPUTED_VALUE"""),"ISLAM")</f>
        <v>ISLAM</v>
      </c>
      <c r="S1957" s="16" t="str">
        <f>IFERROR(__xludf.DUMMYFUNCTION("""COMPUTED_VALUE"""),"SWASTA")</f>
        <v>SWASTA</v>
      </c>
      <c r="T1957" s="16" t="str">
        <f>IFERROR(__xludf.DUMMYFUNCTION("""COMPUTED_VALUE"""),"D bagian lutut merasa sakit kalau d bawa lari, terasa berselisih")</f>
        <v>D bagian lutut merasa sakit kalau d bawa lari, terasa berselisih</v>
      </c>
      <c r="U1957" s="16" t="str">
        <f>IFERROR(__xludf.DUMMYFUNCTION("""COMPUTED_VALUE"""),"Sepak Bola")</f>
        <v>Sepak Bola</v>
      </c>
      <c r="V1957" s="11" t="str">
        <f>IFERROR(__xludf.DUMMYFUNCTION("""COMPUTED_VALUE"""),"089637787677")</f>
        <v>089637787677</v>
      </c>
      <c r="W1957" s="15"/>
    </row>
    <row r="1958">
      <c r="A1958" s="45"/>
      <c r="B1958" s="9">
        <f>IFERROR(__xludf.DUMMYFUNCTION("""COMPUTED_VALUE"""),45619.666739872686)</f>
        <v>45619.66674</v>
      </c>
      <c r="C1958" s="9"/>
      <c r="D1958" s="10">
        <f>IFERROR(__xludf.DUMMYFUNCTION("""COMPUTED_VALUE"""),45631.0)</f>
        <v>45631</v>
      </c>
      <c r="E1958" s="10" t="str">
        <f>IFERROR(__xludf.DUMMYFUNCTION("""COMPUTED_VALUE"""),"12Des")</f>
        <v>12Des</v>
      </c>
      <c r="F1958" s="10" t="str">
        <f>IFERROR(__xludf.DUMMYFUNCTION("""COMPUTED_VALUE"""),"2024")</f>
        <v>2024</v>
      </c>
      <c r="G1958" s="16" t="str">
        <f>IFERROR(__xludf.DUMMYFUNCTION("""COMPUTED_VALUE"""),"ANDYKA FILANI")</f>
        <v>ANDYKA FILANI</v>
      </c>
      <c r="H1958" s="17" t="str">
        <f>IFERROR(__xludf.DUMMYFUNCTION("""COMPUTED_VALUE"""),"A8824129408")</f>
        <v>A8824129408</v>
      </c>
      <c r="I1958" s="17">
        <f>IFERROR(__xludf.DUMMYFUNCTION("""COMPUTED_VALUE"""),37.0)</f>
        <v>37</v>
      </c>
      <c r="J1958" s="17" t="str">
        <f>IFERROR(__xludf.DUMMYFUNCTION("""COMPUTED_VALUE"""),"35-44 tahun")</f>
        <v>35-44 tahun</v>
      </c>
      <c r="K1958" s="19">
        <f>IFERROR(__xludf.DUMMYFUNCTION("""COMPUTED_VALUE"""),32378.0)</f>
        <v>32378</v>
      </c>
      <c r="L1958" s="19" t="str">
        <f>IFERROR(__xludf.DUMMYFUNCTION("""COMPUTED_VALUE"""),"LAKI-LAKI")</f>
        <v>LAKI-LAKI</v>
      </c>
      <c r="M1958" s="16" t="str">
        <f>IFERROR(__xludf.DUMMYFUNCTION("""COMPUTED_VALUE"""),"JALAN HUSIN HAMZAH NOMOR 06")</f>
        <v>JALAN HUSIN HAMZAH NOMOR 06</v>
      </c>
      <c r="N1958" s="16" t="str">
        <f>IFERROR(__xludf.DUMMYFUNCTION("""COMPUTED_VALUE"""),"DS. PAL 5")</f>
        <v>DS. PAL 5</v>
      </c>
      <c r="O1958" s="16" t="str">
        <f>IFERROR(__xludf.DUMMYFUNCTION("""COMPUTED_VALUE"""),"KEC. PONTIANAK BARAT")</f>
        <v>KEC. PONTIANAK BARAT</v>
      </c>
      <c r="P1958" s="16" t="str">
        <f>IFERROR(__xludf.DUMMYFUNCTION("""COMPUTED_VALUE"""),"KOTA PONTIANAK")</f>
        <v>KOTA PONTIANAK</v>
      </c>
      <c r="Q1958" s="16" t="str">
        <f>IFERROR(__xludf.DUMMYFUNCTION("""COMPUTED_VALUE"""),"KALIMANTAN BARAT")</f>
        <v>KALIMANTAN BARAT</v>
      </c>
      <c r="R1958" s="19" t="str">
        <f>IFERROR(__xludf.DUMMYFUNCTION("""COMPUTED_VALUE"""),"BUDDHA")</f>
        <v>BUDDHA</v>
      </c>
      <c r="S1958" s="16" t="str">
        <f>IFERROR(__xludf.DUMMYFUNCTION("""COMPUTED_VALUE"""),"SWASTA")</f>
        <v>SWASTA</v>
      </c>
      <c r="T1958" s="16" t="str">
        <f>IFERROR(__xludf.DUMMYFUNCTION("""COMPUTED_VALUE"""),"LUTUT")</f>
        <v>LUTUT</v>
      </c>
      <c r="U1958" s="16" t="str">
        <f>IFERROR(__xludf.DUMMYFUNCTION("""COMPUTED_VALUE"""),"OLAHRAGA")</f>
        <v>OLAHRAGA</v>
      </c>
      <c r="V1958" s="11" t="str">
        <f>IFERROR(__xludf.DUMMYFUNCTION("""COMPUTED_VALUE"""),"85245559408")</f>
        <v>85245559408</v>
      </c>
      <c r="W1958" s="15"/>
    </row>
    <row r="1959">
      <c r="A1959" s="45"/>
      <c r="B1959" s="9">
        <f>IFERROR(__xludf.DUMMYFUNCTION("""COMPUTED_VALUE"""),45619.68584005787)</f>
        <v>45619.68584</v>
      </c>
      <c r="C1959" s="9"/>
      <c r="D1959" s="10">
        <f>IFERROR(__xludf.DUMMYFUNCTION("""COMPUTED_VALUE"""),45631.0)</f>
        <v>45631</v>
      </c>
      <c r="E1959" s="10" t="str">
        <f>IFERROR(__xludf.DUMMYFUNCTION("""COMPUTED_VALUE"""),"12Des")</f>
        <v>12Des</v>
      </c>
      <c r="F1959" s="10" t="str">
        <f>IFERROR(__xludf.DUMMYFUNCTION("""COMPUTED_VALUE"""),"2024")</f>
        <v>2024</v>
      </c>
      <c r="G1959" s="16" t="str">
        <f>IFERROR(__xludf.DUMMYFUNCTION("""COMPUTED_VALUE"""),"RENTI OCTIVIANI")</f>
        <v>RENTI OCTIVIANI</v>
      </c>
      <c r="H1959" s="35" t="str">
        <f>IFERROR(__xludf.DUMMYFUNCTION("""COMPUTED_VALUE"""),"R9524125629")</f>
        <v>R9524125629</v>
      </c>
      <c r="I1959" s="35">
        <f>IFERROR(__xludf.DUMMYFUNCTION("""COMPUTED_VALUE"""),30.0)</f>
        <v>30</v>
      </c>
      <c r="J1959" s="35" t="str">
        <f>IFERROR(__xludf.DUMMYFUNCTION("""COMPUTED_VALUE"""),"25-34 tahun")</f>
        <v>25-34 tahun</v>
      </c>
      <c r="K1959" s="19">
        <f>IFERROR(__xludf.DUMMYFUNCTION("""COMPUTED_VALUE"""),34993.0)</f>
        <v>34993</v>
      </c>
      <c r="L1959" s="19" t="str">
        <f>IFERROR(__xludf.DUMMYFUNCTION("""COMPUTED_VALUE"""),"PEREMPUAN")</f>
        <v>PEREMPUAN</v>
      </c>
      <c r="M1959" s="16" t="str">
        <f>IFERROR(__xludf.DUMMYFUNCTION("""COMPUTED_VALUE"""),"JALAN HASYIM AHMAD GG. PAJAJARAN 1 NO. 33")</f>
        <v>JALAN HASYIM AHMAD GG. PAJAJARAN 1 NO. 33</v>
      </c>
      <c r="N1959" s="16" t="str">
        <f>IFERROR(__xludf.DUMMYFUNCTION("""COMPUTED_VALUE"""),"SUNGAI BELIUNG")</f>
        <v>SUNGAI BELIUNG</v>
      </c>
      <c r="O1959" s="16" t="str">
        <f>IFERROR(__xludf.DUMMYFUNCTION("""COMPUTED_VALUE"""),"KEC. PONTIANAK BARAT")</f>
        <v>KEC. PONTIANAK BARAT</v>
      </c>
      <c r="P1959" s="16" t="str">
        <f>IFERROR(__xludf.DUMMYFUNCTION("""COMPUTED_VALUE"""),"KOTA PONTIANAK")</f>
        <v>KOTA PONTIANAK</v>
      </c>
      <c r="Q1959" s="16" t="str">
        <f>IFERROR(__xludf.DUMMYFUNCTION("""COMPUTED_VALUE"""),"KALIMANTAN BARAT")</f>
        <v>KALIMANTAN BARAT</v>
      </c>
      <c r="R1959" s="19" t="str">
        <f>IFERROR(__xludf.DUMMYFUNCTION("""COMPUTED_VALUE"""),"ISLAM")</f>
        <v>ISLAM</v>
      </c>
      <c r="S1959" s="16" t="str">
        <f>IFERROR(__xludf.DUMMYFUNCTION("""COMPUTED_VALUE"""),"SWASTA")</f>
        <v>SWASTA</v>
      </c>
      <c r="T1959" s="16" t="str">
        <f>IFERROR(__xludf.DUMMYFUNCTION("""COMPUTED_VALUE"""),"LUTUT SEBELAH KANAN NYERI, SAKIT MENOPANG BADAN PADA SAAT BERDIRI, SEHINGGA BERJALAN HARUS MENEKUK LUTUT")</f>
        <v>LUTUT SEBELAH KANAN NYERI, SAKIT MENOPANG BADAN PADA SAAT BERDIRI, SEHINGGA BERJALAN HARUS MENEKUK LUTUT</v>
      </c>
      <c r="U1959" s="16" t="str">
        <f>IFERROR(__xludf.DUMMYFUNCTION("""COMPUTED_VALUE"""),"AKTIVITAS 80% DUDUK PADA SAAT KERJA")</f>
        <v>AKTIVITAS 80% DUDUK PADA SAAT KERJA</v>
      </c>
      <c r="V1959" s="11" t="str">
        <f>IFERROR(__xludf.DUMMYFUNCTION("""COMPUTED_VALUE"""),"089667095629")</f>
        <v>089667095629</v>
      </c>
      <c r="W1959" s="15"/>
    </row>
    <row r="1960">
      <c r="A1960" s="45"/>
      <c r="B1960" s="9">
        <f>IFERROR(__xludf.DUMMYFUNCTION("""COMPUTED_VALUE"""),45619.805187743055)</f>
        <v>45619.80519</v>
      </c>
      <c r="C1960" s="9"/>
      <c r="D1960" s="10">
        <f>IFERROR(__xludf.DUMMYFUNCTION("""COMPUTED_VALUE"""),45632.0)</f>
        <v>45632</v>
      </c>
      <c r="E1960" s="10" t="str">
        <f>IFERROR(__xludf.DUMMYFUNCTION("""COMPUTED_VALUE"""),"12Des")</f>
        <v>12Des</v>
      </c>
      <c r="F1960" s="10" t="str">
        <f>IFERROR(__xludf.DUMMYFUNCTION("""COMPUTED_VALUE"""),"2024")</f>
        <v>2024</v>
      </c>
      <c r="G1960" s="16" t="str">
        <f>IFERROR(__xludf.DUMMYFUNCTION("""COMPUTED_VALUE"""),"ELOK SARASWATI")</f>
        <v>ELOK SARASWATI</v>
      </c>
      <c r="H1960" s="17" t="str">
        <f>IFERROR(__xludf.DUMMYFUNCTION("""COMPUTED_VALUE"""),"E9224129831")</f>
        <v>E9224129831</v>
      </c>
      <c r="I1960" s="17">
        <f>IFERROR(__xludf.DUMMYFUNCTION("""COMPUTED_VALUE"""),33.0)</f>
        <v>33</v>
      </c>
      <c r="J1960" s="17" t="str">
        <f>IFERROR(__xludf.DUMMYFUNCTION("""COMPUTED_VALUE"""),"25-34 tahun")</f>
        <v>25-34 tahun</v>
      </c>
      <c r="K1960" s="19">
        <f>IFERROR(__xludf.DUMMYFUNCTION("""COMPUTED_VALUE"""),33915.0)</f>
        <v>33915</v>
      </c>
      <c r="L1960" s="19" t="str">
        <f>IFERROR(__xludf.DUMMYFUNCTION("""COMPUTED_VALUE"""),"PEREMPUAN")</f>
        <v>PEREMPUAN</v>
      </c>
      <c r="M1960" s="16" t="str">
        <f>IFERROR(__xludf.DUMMYFUNCTION("""COMPUTED_VALUE"""),"JL IMAM BONJOL GG PANDU NO 11A")</f>
        <v>JL IMAM BONJOL GG PANDU NO 11A</v>
      </c>
      <c r="N1960" s="16" t="str">
        <f>IFERROR(__xludf.DUMMYFUNCTION("""COMPUTED_VALUE"""),"BANSIR LAUT")</f>
        <v>BANSIR LAUT</v>
      </c>
      <c r="O1960" s="16" t="str">
        <f>IFERROR(__xludf.DUMMYFUNCTION("""COMPUTED_VALUE"""),"KEC. PONTIANAK TENGGARA")</f>
        <v>KEC. PONTIANAK TENGGARA</v>
      </c>
      <c r="P1960" s="16" t="str">
        <f>IFERROR(__xludf.DUMMYFUNCTION("""COMPUTED_VALUE"""),"KOTA PONTIANAK")</f>
        <v>KOTA PONTIANAK</v>
      </c>
      <c r="Q1960" s="16" t="str">
        <f>IFERROR(__xludf.DUMMYFUNCTION("""COMPUTED_VALUE"""),"KALIMANTAN BARAT")</f>
        <v>KALIMANTAN BARAT</v>
      </c>
      <c r="R1960" s="19" t="str">
        <f>IFERROR(__xludf.DUMMYFUNCTION("""COMPUTED_VALUE"""),"ISLAM")</f>
        <v>ISLAM</v>
      </c>
      <c r="S1960" s="16" t="str">
        <f>IFERROR(__xludf.DUMMYFUNCTION("""COMPUTED_VALUE"""),"SWASTA")</f>
        <v>SWASTA</v>
      </c>
      <c r="T1960" s="16" t="str">
        <f>IFERROR(__xludf.DUMMYFUNCTION("""COMPUTED_VALUE"""),"Engkel kaki")</f>
        <v>Engkel kaki</v>
      </c>
      <c r="U1960" s="16" t="str">
        <f>IFERROR(__xludf.DUMMYFUNCTION("""COMPUTED_VALUE"""),"Lari/Pekerja")</f>
        <v>Lari/Pekerja</v>
      </c>
      <c r="V1960" s="11" t="str">
        <f>IFERROR(__xludf.DUMMYFUNCTION("""COMPUTED_VALUE"""),"081257579831")</f>
        <v>081257579831</v>
      </c>
      <c r="W1960" s="15"/>
    </row>
    <row r="1961">
      <c r="A1961" s="45"/>
      <c r="B1961" s="9">
        <f>IFERROR(__xludf.DUMMYFUNCTION("""COMPUTED_VALUE"""),45614.888178298614)</f>
        <v>45614.88818</v>
      </c>
      <c r="C1961" s="9"/>
      <c r="D1961" s="10">
        <f>IFERROR(__xludf.DUMMYFUNCTION("""COMPUTED_VALUE"""),45634.0)</f>
        <v>45634</v>
      </c>
      <c r="E1961" s="10" t="str">
        <f>IFERROR(__xludf.DUMMYFUNCTION("""COMPUTED_VALUE"""),"12Des")</f>
        <v>12Des</v>
      </c>
      <c r="F1961" s="10" t="str">
        <f>IFERROR(__xludf.DUMMYFUNCTION("""COMPUTED_VALUE"""),"2024")</f>
        <v>2024</v>
      </c>
      <c r="G1961" s="16" t="str">
        <f>IFERROR(__xludf.DUMMYFUNCTION("""COMPUTED_VALUE"""),"SUTIYAH")</f>
        <v>SUTIYAH</v>
      </c>
      <c r="H1961" s="17" t="str">
        <f>IFERROR(__xludf.DUMMYFUNCTION("""COMPUTED_VALUE"""),"S3924123105")</f>
        <v>S3924123105</v>
      </c>
      <c r="I1961" s="17">
        <f>IFERROR(__xludf.DUMMYFUNCTION("""COMPUTED_VALUE"""),87.0)</f>
        <v>87</v>
      </c>
      <c r="J1961" s="17" t="str">
        <f>IFERROR(__xludf.DUMMYFUNCTION("""COMPUTED_VALUE"""),"&gt; 44 tahun")</f>
        <v>&gt; 44 tahun</v>
      </c>
      <c r="K1961" s="19">
        <f>IFERROR(__xludf.DUMMYFUNCTION("""COMPUTED_VALUE"""),14277.0)</f>
        <v>14277</v>
      </c>
      <c r="L1961" s="19" t="str">
        <f>IFERROR(__xludf.DUMMYFUNCTION("""COMPUTED_VALUE"""),"PEREMPUAN")</f>
        <v>PEREMPUAN</v>
      </c>
      <c r="M1961" s="16" t="str">
        <f>IFERROR(__xludf.DUMMYFUNCTION("""COMPUTED_VALUE"""),"JALAN PARIT NOMOR DUA")</f>
        <v>JALAN PARIT NOMOR DUA</v>
      </c>
      <c r="N1961" s="16" t="str">
        <f>IFERROR(__xludf.DUMMYFUNCTION("""COMPUTED_VALUE"""),"PARIT BARU")</f>
        <v>PARIT BARU</v>
      </c>
      <c r="O1961" s="16" t="str">
        <f>IFERROR(__xludf.DUMMYFUNCTION("""COMPUTED_VALUE"""),"KEC. SUNGAI RAYA")</f>
        <v>KEC. SUNGAI RAYA</v>
      </c>
      <c r="P1961" s="16" t="str">
        <f>IFERROR(__xludf.DUMMYFUNCTION("""COMPUTED_VALUE"""),"KAB. KUBU RAYA")</f>
        <v>KAB. KUBU RAYA</v>
      </c>
      <c r="Q1961" s="16" t="str">
        <f>IFERROR(__xludf.DUMMYFUNCTION("""COMPUTED_VALUE"""),"KALIMANTAN BARAT")</f>
        <v>KALIMANTAN BARAT</v>
      </c>
      <c r="R1961" s="19" t="str">
        <f>IFERROR(__xludf.DUMMYFUNCTION("""COMPUTED_VALUE"""),"BUDDHA")</f>
        <v>BUDDHA</v>
      </c>
      <c r="S1961" s="16" t="str">
        <f>IFERROR(__xludf.DUMMYFUNCTION("""COMPUTED_VALUE"""),"PENSIUN")</f>
        <v>PENSIUN</v>
      </c>
      <c r="T1961" s="16" t="str">
        <f>IFERROR(__xludf.DUMMYFUNCTION("""COMPUTED_VALUE"""),"SAKIT PINGGANG")</f>
        <v>SAKIT PINGGANG</v>
      </c>
      <c r="U1961" s="16" t="str">
        <f>IFERROR(__xludf.DUMMYFUNCTION("""COMPUTED_VALUE"""),"SEPERTI ORANG TUA PADA UMUM NYA")</f>
        <v>SEPERTI ORANG TUA PADA UMUM NYA</v>
      </c>
      <c r="V1961" s="11" t="str">
        <f>IFERROR(__xludf.DUMMYFUNCTION("""COMPUTED_VALUE"""),"089526783105")</f>
        <v>089526783105</v>
      </c>
      <c r="W1961" s="15"/>
    </row>
    <row r="1962">
      <c r="A1962" s="45"/>
      <c r="B1962" s="9">
        <f>IFERROR(__xludf.DUMMYFUNCTION("""COMPUTED_VALUE"""),45620.39990912037)</f>
        <v>45620.39991</v>
      </c>
      <c r="C1962" s="9"/>
      <c r="D1962" s="10">
        <f>IFERROR(__xludf.DUMMYFUNCTION("""COMPUTED_VALUE"""),45635.0)</f>
        <v>45635</v>
      </c>
      <c r="E1962" s="10" t="str">
        <f>IFERROR(__xludf.DUMMYFUNCTION("""COMPUTED_VALUE"""),"12Des")</f>
        <v>12Des</v>
      </c>
      <c r="F1962" s="10" t="str">
        <f>IFERROR(__xludf.DUMMYFUNCTION("""COMPUTED_VALUE"""),"2024")</f>
        <v>2024</v>
      </c>
      <c r="G1962" s="16" t="str">
        <f>IFERROR(__xludf.DUMMYFUNCTION("""COMPUTED_VALUE"""),"SABRANI")</f>
        <v>SABRANI</v>
      </c>
      <c r="H1962" s="17" t="str">
        <f>IFERROR(__xludf.DUMMYFUNCTION("""COMPUTED_VALUE"""),"S9324121773")</f>
        <v>S9324121773</v>
      </c>
      <c r="I1962" s="17">
        <f>IFERROR(__xludf.DUMMYFUNCTION("""COMPUTED_VALUE"""),32.0)</f>
        <v>32</v>
      </c>
      <c r="J1962" s="17" t="str">
        <f>IFERROR(__xludf.DUMMYFUNCTION("""COMPUTED_VALUE"""),"25-34 tahun")</f>
        <v>25-34 tahun</v>
      </c>
      <c r="K1962" s="19">
        <f>IFERROR(__xludf.DUMMYFUNCTION("""COMPUTED_VALUE"""),34202.0)</f>
        <v>34202</v>
      </c>
      <c r="L1962" s="19" t="str">
        <f>IFERROR(__xludf.DUMMYFUNCTION("""COMPUTED_VALUE"""),"LAKI-LAKI")</f>
        <v>LAKI-LAKI</v>
      </c>
      <c r="M1962" s="16" t="str">
        <f>IFERROR(__xludf.DUMMYFUNCTION("""COMPUTED_VALUE"""),"JALAN SUNGAI MAHAKAM")</f>
        <v>JALAN SUNGAI MAHAKAM</v>
      </c>
      <c r="N1962" s="16" t="str">
        <f>IFERROR(__xludf.DUMMYFUNCTION("""COMPUTED_VALUE"""),"ROBAN")</f>
        <v>ROBAN</v>
      </c>
      <c r="O1962" s="16" t="str">
        <f>IFERROR(__xludf.DUMMYFUNCTION("""COMPUTED_VALUE"""),"KEC. SINGKAWANG TENGAH")</f>
        <v>KEC. SINGKAWANG TENGAH</v>
      </c>
      <c r="P1962" s="16" t="str">
        <f>IFERROR(__xludf.DUMMYFUNCTION("""COMPUTED_VALUE"""),"KOTA SINGKAWANG")</f>
        <v>KOTA SINGKAWANG</v>
      </c>
      <c r="Q1962" s="16" t="str">
        <f>IFERROR(__xludf.DUMMYFUNCTION("""COMPUTED_VALUE"""),"KALIMANTAN BARAT")</f>
        <v>KALIMANTAN BARAT</v>
      </c>
      <c r="R1962" s="19" t="str">
        <f>IFERROR(__xludf.DUMMYFUNCTION("""COMPUTED_VALUE"""),"ISLAM")</f>
        <v>ISLAM</v>
      </c>
      <c r="S1962" s="16" t="str">
        <f>IFERROR(__xludf.DUMMYFUNCTION("""COMPUTED_VALUE"""),"BUMN")</f>
        <v>BUMN</v>
      </c>
      <c r="T1962" s="16" t="str">
        <f>IFERROR(__xludf.DUMMYFUNCTION("""COMPUTED_VALUE"""),"Sakit lutut saat lari")</f>
        <v>Sakit lutut saat lari</v>
      </c>
      <c r="U1962" s="16" t="str">
        <f>IFERROR(__xludf.DUMMYFUNCTION("""COMPUTED_VALUE"""),"Lari")</f>
        <v>Lari</v>
      </c>
      <c r="V1962" s="11" t="str">
        <f>IFERROR(__xludf.DUMMYFUNCTION("""COMPUTED_VALUE"""),"085348611773")</f>
        <v>085348611773</v>
      </c>
      <c r="W1962" s="15"/>
    </row>
    <row r="1963">
      <c r="A1963" s="45"/>
      <c r="B1963" s="9">
        <f>IFERROR(__xludf.DUMMYFUNCTION("""COMPUTED_VALUE"""),45620.42619708333)</f>
        <v>45620.4262</v>
      </c>
      <c r="C1963" s="9"/>
      <c r="D1963" s="10">
        <f>IFERROR(__xludf.DUMMYFUNCTION("""COMPUTED_VALUE"""),45635.0)</f>
        <v>45635</v>
      </c>
      <c r="E1963" s="10" t="str">
        <f>IFERROR(__xludf.DUMMYFUNCTION("""COMPUTED_VALUE"""),"12Des")</f>
        <v>12Des</v>
      </c>
      <c r="F1963" s="10" t="str">
        <f>IFERROR(__xludf.DUMMYFUNCTION("""COMPUTED_VALUE"""),"2024")</f>
        <v>2024</v>
      </c>
      <c r="G1963" s="16" t="str">
        <f>IFERROR(__xludf.DUMMYFUNCTION("""COMPUTED_VALUE"""),"ALFREDO ARINDA PRATAMA")</f>
        <v>ALFREDO ARINDA PRATAMA</v>
      </c>
      <c r="H1963" s="17" t="str">
        <f>IFERROR(__xludf.DUMMYFUNCTION("""COMPUTED_VALUE"""),"A9924128900")</f>
        <v>A9924128900</v>
      </c>
      <c r="I1963" s="17">
        <f>IFERROR(__xludf.DUMMYFUNCTION("""COMPUTED_VALUE"""),26.0)</f>
        <v>26</v>
      </c>
      <c r="J1963" s="17" t="str">
        <f>IFERROR(__xludf.DUMMYFUNCTION("""COMPUTED_VALUE"""),"25-34 tahun")</f>
        <v>25-34 tahun</v>
      </c>
      <c r="K1963" s="19">
        <f>IFERROR(__xludf.DUMMYFUNCTION("""COMPUTED_VALUE"""),36466.0)</f>
        <v>36466</v>
      </c>
      <c r="L1963" s="19" t="str">
        <f>IFERROR(__xludf.DUMMYFUNCTION("""COMPUTED_VALUE"""),"LAKI-LAKI")</f>
        <v>LAKI-LAKI</v>
      </c>
      <c r="M1963" s="16" t="str">
        <f>IFERROR(__xludf.DUMMYFUNCTION("""COMPUTED_VALUE"""),"JL. KARYA BARU GG. KARYA BARU 3 NO. 6")</f>
        <v>JL. KARYA BARU GG. KARYA BARU 3 NO. 6</v>
      </c>
      <c r="N1963" s="16" t="str">
        <f>IFERROR(__xludf.DUMMYFUNCTION("""COMPUTED_VALUE"""),"PARIT TOKAYA")</f>
        <v>PARIT TOKAYA</v>
      </c>
      <c r="O1963" s="16" t="str">
        <f>IFERROR(__xludf.DUMMYFUNCTION("""COMPUTED_VALUE"""),"KEC. PONTIANAK SELATAN")</f>
        <v>KEC. PONTIANAK SELATAN</v>
      </c>
      <c r="P1963" s="16" t="str">
        <f>IFERROR(__xludf.DUMMYFUNCTION("""COMPUTED_VALUE"""),"KOTA PONTIANAK")</f>
        <v>KOTA PONTIANAK</v>
      </c>
      <c r="Q1963" s="16" t="str">
        <f>IFERROR(__xludf.DUMMYFUNCTION("""COMPUTED_VALUE"""),"KALIMANTAN BARAT")</f>
        <v>KALIMANTAN BARAT</v>
      </c>
      <c r="R1963" s="19" t="str">
        <f>IFERROR(__xludf.DUMMYFUNCTION("""COMPUTED_VALUE"""),"BUDDHA")</f>
        <v>BUDDHA</v>
      </c>
      <c r="S1963" s="16" t="str">
        <f>IFERROR(__xludf.DUMMYFUNCTION("""COMPUTED_VALUE"""),"KONSULTAN")</f>
        <v>KONSULTAN</v>
      </c>
      <c r="T1963" s="16" t="str">
        <f>IFERROR(__xludf.DUMMYFUNCTION("""COMPUTED_VALUE"""),"Ankle kaki kiri dan kanan")</f>
        <v>Ankle kaki kiri dan kanan</v>
      </c>
      <c r="U1963" s="16" t="str">
        <f>IFERROR(__xludf.DUMMYFUNCTION("""COMPUTED_VALUE"""),"basket dan futsal")</f>
        <v>basket dan futsal</v>
      </c>
      <c r="V1963" s="11" t="str">
        <f>IFERROR(__xludf.DUMMYFUNCTION("""COMPUTED_VALUE"""),"08115708900")</f>
        <v>08115708900</v>
      </c>
      <c r="W1963" s="15"/>
    </row>
    <row r="1964">
      <c r="A1964" s="45"/>
      <c r="B1964" s="9">
        <f>IFERROR(__xludf.DUMMYFUNCTION("""COMPUTED_VALUE"""),45620.80298537037)</f>
        <v>45620.80299</v>
      </c>
      <c r="C1964" s="9"/>
      <c r="D1964" s="10">
        <f>IFERROR(__xludf.DUMMYFUNCTION("""COMPUTED_VALUE"""),45635.0)</f>
        <v>45635</v>
      </c>
      <c r="E1964" s="10" t="str">
        <f>IFERROR(__xludf.DUMMYFUNCTION("""COMPUTED_VALUE"""),"12Des")</f>
        <v>12Des</v>
      </c>
      <c r="F1964" s="10" t="str">
        <f>IFERROR(__xludf.DUMMYFUNCTION("""COMPUTED_VALUE"""),"2024")</f>
        <v>2024</v>
      </c>
      <c r="G1964" s="16" t="str">
        <f>IFERROR(__xludf.DUMMYFUNCTION("""COMPUTED_VALUE"""),"ELLA PUSPITASARI")</f>
        <v>ELLA PUSPITASARI</v>
      </c>
      <c r="H1964" s="17" t="str">
        <f>IFERROR(__xludf.DUMMYFUNCTION("""COMPUTED_VALUE"""),"E8624124446")</f>
        <v>E8624124446</v>
      </c>
      <c r="I1964" s="17">
        <f>IFERROR(__xludf.DUMMYFUNCTION("""COMPUTED_VALUE"""),40.0)</f>
        <v>40</v>
      </c>
      <c r="J1964" s="17" t="str">
        <f>IFERROR(__xludf.DUMMYFUNCTION("""COMPUTED_VALUE"""),"35-44 tahun")</f>
        <v>35-44 tahun</v>
      </c>
      <c r="K1964" s="19">
        <f>IFERROR(__xludf.DUMMYFUNCTION("""COMPUTED_VALUE"""),31515.0)</f>
        <v>31515</v>
      </c>
      <c r="L1964" s="19" t="str">
        <f>IFERROR(__xludf.DUMMYFUNCTION("""COMPUTED_VALUE"""),"PEREMPUAN")</f>
        <v>PEREMPUAN</v>
      </c>
      <c r="M1964" s="16" t="str">
        <f>IFERROR(__xludf.DUMMYFUNCTION("""COMPUTED_VALUE"""),"JALAN DANAU SENTARUM GG BERSAMA JALUR 4 BLOK D4")</f>
        <v>JALAN DANAU SENTARUM GG BERSAMA JALUR 4 BLOK D4</v>
      </c>
      <c r="N1964" s="16" t="str">
        <f>IFERROR(__xludf.DUMMYFUNCTION("""COMPUTED_VALUE"""),"SUNGAI BANGKONG")</f>
        <v>SUNGAI BANGKONG</v>
      </c>
      <c r="O1964" s="16" t="str">
        <f>IFERROR(__xludf.DUMMYFUNCTION("""COMPUTED_VALUE"""),"KEC. PONTIANAK KOTA")</f>
        <v>KEC. PONTIANAK KOTA</v>
      </c>
      <c r="P1964" s="16" t="str">
        <f>IFERROR(__xludf.DUMMYFUNCTION("""COMPUTED_VALUE"""),"KOTA PONTIANAK")</f>
        <v>KOTA PONTIANAK</v>
      </c>
      <c r="Q1964" s="16" t="str">
        <f>IFERROR(__xludf.DUMMYFUNCTION("""COMPUTED_VALUE"""),"KALIMANTAN BARAT")</f>
        <v>KALIMANTAN BARAT</v>
      </c>
      <c r="R1964" s="19" t="str">
        <f>IFERROR(__xludf.DUMMYFUNCTION("""COMPUTED_VALUE"""),"ISLAM")</f>
        <v>ISLAM</v>
      </c>
      <c r="S1964" s="16" t="str">
        <f>IFERROR(__xludf.DUMMYFUNCTION("""COMPUTED_VALUE"""),"WIRASWASTA")</f>
        <v>WIRASWASTA</v>
      </c>
      <c r="T1964" s="16" t="str">
        <f>IFERROR(__xludf.DUMMYFUNCTION("""COMPUTED_VALUE"""),"SAKIT DAN NYERI DI PINGGANG")</f>
        <v>SAKIT DAN NYERI DI PINGGANG</v>
      </c>
      <c r="U1964" s="16" t="str">
        <f>IFERROR(__xludf.DUMMYFUNCTION("""COMPUTED_VALUE"""),"OLAHRAGA ( GYM )")</f>
        <v>OLAHRAGA ( GYM )</v>
      </c>
      <c r="V1964" s="11" t="str">
        <f>IFERROR(__xludf.DUMMYFUNCTION("""COMPUTED_VALUE"""),"0895624644446")</f>
        <v>0895624644446</v>
      </c>
      <c r="W1964" s="15"/>
    </row>
    <row r="1965">
      <c r="A1965" s="45"/>
      <c r="B1965" s="9">
        <f>IFERROR(__xludf.DUMMYFUNCTION("""COMPUTED_VALUE"""),45621.57669929398)</f>
        <v>45621.5767</v>
      </c>
      <c r="C1965" s="9"/>
      <c r="D1965" s="10">
        <f>IFERROR(__xludf.DUMMYFUNCTION("""COMPUTED_VALUE"""),45635.0)</f>
        <v>45635</v>
      </c>
      <c r="E1965" s="10" t="str">
        <f>IFERROR(__xludf.DUMMYFUNCTION("""COMPUTED_VALUE"""),"12Des")</f>
        <v>12Des</v>
      </c>
      <c r="F1965" s="10" t="str">
        <f>IFERROR(__xludf.DUMMYFUNCTION("""COMPUTED_VALUE"""),"2024")</f>
        <v>2024</v>
      </c>
      <c r="G1965" s="16" t="str">
        <f>IFERROR(__xludf.DUMMYFUNCTION("""COMPUTED_VALUE"""),"FRENDI")</f>
        <v>FRENDI</v>
      </c>
      <c r="H1965" s="17" t="str">
        <f>IFERROR(__xludf.DUMMYFUNCTION("""COMPUTED_VALUE"""),"F9624127985")</f>
        <v>F9624127985</v>
      </c>
      <c r="I1965" s="17">
        <f>IFERROR(__xludf.DUMMYFUNCTION("""COMPUTED_VALUE"""),29.0)</f>
        <v>29</v>
      </c>
      <c r="J1965" s="17" t="str">
        <f>IFERROR(__xludf.DUMMYFUNCTION("""COMPUTED_VALUE"""),"25-34 tahun")</f>
        <v>25-34 tahun</v>
      </c>
      <c r="K1965" s="19">
        <f>IFERROR(__xludf.DUMMYFUNCTION("""COMPUTED_VALUE"""),35417.0)</f>
        <v>35417</v>
      </c>
      <c r="L1965" s="19" t="str">
        <f>IFERROR(__xludf.DUMMYFUNCTION("""COMPUTED_VALUE"""),"LAKI-LAKI")</f>
        <v>LAKI-LAKI</v>
      </c>
      <c r="M1965" s="16" t="str">
        <f>IFERROR(__xludf.DUMMYFUNCTION("""COMPUTED_VALUE"""),"JL. RAYA SEMUDUN")</f>
        <v>JL. RAYA SEMUDUN</v>
      </c>
      <c r="N1965" s="16" t="str">
        <f>IFERROR(__xludf.DUMMYFUNCTION("""COMPUTED_VALUE"""),"SEMUDUN")</f>
        <v>SEMUDUN</v>
      </c>
      <c r="O1965" s="16" t="str">
        <f>IFERROR(__xludf.DUMMYFUNCTION("""COMPUTED_VALUE"""),"KEC. SUNGAI KUNYIT")</f>
        <v>KEC. SUNGAI KUNYIT</v>
      </c>
      <c r="P1965" s="16" t="str">
        <f>IFERROR(__xludf.DUMMYFUNCTION("""COMPUTED_VALUE"""),"KAB. MEMPAWAH")</f>
        <v>KAB. MEMPAWAH</v>
      </c>
      <c r="Q1965" s="16" t="str">
        <f>IFERROR(__xludf.DUMMYFUNCTION("""COMPUTED_VALUE"""),"KALIMANTAN BARAT")</f>
        <v>KALIMANTAN BARAT</v>
      </c>
      <c r="R1965" s="19" t="str">
        <f>IFERROR(__xludf.DUMMYFUNCTION("""COMPUTED_VALUE"""),"ISLAM")</f>
        <v>ISLAM</v>
      </c>
      <c r="S1965" s="16" t="str">
        <f>IFERROR(__xludf.DUMMYFUNCTION("""COMPUTED_VALUE"""),"KONSULTAN")</f>
        <v>KONSULTAN</v>
      </c>
      <c r="T1965" s="16" t="str">
        <f>IFERROR(__xludf.DUMMYFUNCTION("""COMPUTED_VALUE"""),"Sakit pinggang dan panggul kanan")</f>
        <v>Sakit pinggang dan panggul kanan</v>
      </c>
      <c r="U1965" s="16" t="str">
        <f>IFERROR(__xludf.DUMMYFUNCTION("""COMPUTED_VALUE"""),"Badminton")</f>
        <v>Badminton</v>
      </c>
      <c r="V1965" s="11" t="str">
        <f>IFERROR(__xludf.DUMMYFUNCTION("""COMPUTED_VALUE"""),"085822157985")</f>
        <v>085822157985</v>
      </c>
      <c r="W1965" s="15"/>
    </row>
    <row r="1966">
      <c r="A1966" s="45"/>
      <c r="B1966" s="9">
        <f>IFERROR(__xludf.DUMMYFUNCTION("""COMPUTED_VALUE"""),45620.59456452546)</f>
        <v>45620.59456</v>
      </c>
      <c r="C1966" s="9"/>
      <c r="D1966" s="10">
        <f>IFERROR(__xludf.DUMMYFUNCTION("""COMPUTED_VALUE"""),45636.0)</f>
        <v>45636</v>
      </c>
      <c r="E1966" s="10" t="str">
        <f>IFERROR(__xludf.DUMMYFUNCTION("""COMPUTED_VALUE"""),"12Des")</f>
        <v>12Des</v>
      </c>
      <c r="F1966" s="10" t="str">
        <f>IFERROR(__xludf.DUMMYFUNCTION("""COMPUTED_VALUE"""),"2024")</f>
        <v>2024</v>
      </c>
      <c r="G1966" s="16" t="str">
        <f>IFERROR(__xludf.DUMMYFUNCTION("""COMPUTED_VALUE"""),"ABDUL HAFIZH")</f>
        <v>ABDUL HAFIZH</v>
      </c>
      <c r="H1966" s="17" t="str">
        <f>IFERROR(__xludf.DUMMYFUNCTION("""COMPUTED_VALUE"""),"A9224121673")</f>
        <v>A9224121673</v>
      </c>
      <c r="I1966" s="17">
        <f>IFERROR(__xludf.DUMMYFUNCTION("""COMPUTED_VALUE"""),33.0)</f>
        <v>33</v>
      </c>
      <c r="J1966" s="17" t="str">
        <f>IFERROR(__xludf.DUMMYFUNCTION("""COMPUTED_VALUE"""),"25-34 tahun")</f>
        <v>25-34 tahun</v>
      </c>
      <c r="K1966" s="19">
        <f>IFERROR(__xludf.DUMMYFUNCTION("""COMPUTED_VALUE"""),33865.0)</f>
        <v>33865</v>
      </c>
      <c r="L1966" s="19" t="str">
        <f>IFERROR(__xludf.DUMMYFUNCTION("""COMPUTED_VALUE"""),"LAKI-LAKI")</f>
        <v>LAKI-LAKI</v>
      </c>
      <c r="M1966" s="16" t="str">
        <f>IFERROR(__xludf.DUMMYFUNCTION("""COMPUTED_VALUE"""),"JALAN KARYA RT. 27 RW. 08 DESA PAL IX KEC. SUNGAI KAKAP")</f>
        <v>JALAN KARYA RT. 27 RW. 08 DESA PAL IX KEC. SUNGAI KAKAP</v>
      </c>
      <c r="N1966" s="16" t="str">
        <f>IFERROR(__xludf.DUMMYFUNCTION("""COMPUTED_VALUE"""),"DESA PAL IX")</f>
        <v>DESA PAL IX</v>
      </c>
      <c r="O1966" s="16" t="str">
        <f>IFERROR(__xludf.DUMMYFUNCTION("""COMPUTED_VALUE"""),"KEC. SUNGAI KAKAP")</f>
        <v>KEC. SUNGAI KAKAP</v>
      </c>
      <c r="P1966" s="16" t="str">
        <f>IFERROR(__xludf.DUMMYFUNCTION("""COMPUTED_VALUE"""),"KAB. KUBU RAYA")</f>
        <v>KAB. KUBU RAYA</v>
      </c>
      <c r="Q1966" s="16" t="str">
        <f>IFERROR(__xludf.DUMMYFUNCTION("""COMPUTED_VALUE"""),"KALIMANTAN BARAT")</f>
        <v>KALIMANTAN BARAT</v>
      </c>
      <c r="R1966" s="19" t="str">
        <f>IFERROR(__xludf.DUMMYFUNCTION("""COMPUTED_VALUE"""),"ISLAM")</f>
        <v>ISLAM</v>
      </c>
      <c r="S1966" s="16" t="str">
        <f>IFERROR(__xludf.DUMMYFUNCTION("""COMPUTED_VALUE"""),"ASN")</f>
        <v>ASN</v>
      </c>
      <c r="T1966" s="16" t="str">
        <f>IFERROR(__xludf.DUMMYFUNCTION("""COMPUTED_VALUE"""),"Sakit bagian paha, sampai kaki. Pernah cedera main bola,")</f>
        <v>Sakit bagian paha, sampai kaki. Pernah cedera main bola,</v>
      </c>
      <c r="U1966" s="16" t="str">
        <f>IFERROR(__xludf.DUMMYFUNCTION("""COMPUTED_VALUE"""),"Jalan kaki")</f>
        <v>Jalan kaki</v>
      </c>
      <c r="V1966" s="11" t="str">
        <f>IFERROR(__xludf.DUMMYFUNCTION("""COMPUTED_VALUE"""),"085165471673")</f>
        <v>085165471673</v>
      </c>
      <c r="W1966" s="15"/>
    </row>
    <row r="1967">
      <c r="A1967" s="45"/>
      <c r="B1967" s="9">
        <f>IFERROR(__xludf.DUMMYFUNCTION("""COMPUTED_VALUE"""),45622.6459725)</f>
        <v>45622.64597</v>
      </c>
      <c r="C1967" s="9"/>
      <c r="D1967" s="10">
        <f>IFERROR(__xludf.DUMMYFUNCTION("""COMPUTED_VALUE"""),45636.0)</f>
        <v>45636</v>
      </c>
      <c r="E1967" s="10" t="str">
        <f>IFERROR(__xludf.DUMMYFUNCTION("""COMPUTED_VALUE"""),"12Des")</f>
        <v>12Des</v>
      </c>
      <c r="F1967" s="10" t="str">
        <f>IFERROR(__xludf.DUMMYFUNCTION("""COMPUTED_VALUE"""),"2024")</f>
        <v>2024</v>
      </c>
      <c r="G1967" s="16" t="str">
        <f>IFERROR(__xludf.DUMMYFUNCTION("""COMPUTED_VALUE"""),"FERZA SETIO MAULIDANTO")</f>
        <v>FERZA SETIO MAULIDANTO</v>
      </c>
      <c r="H1967" s="17" t="str">
        <f>IFERROR(__xludf.DUMMYFUNCTION("""COMPUTED_VALUE"""),"F1124122710")</f>
        <v>F1124122710</v>
      </c>
      <c r="I1967" s="17">
        <f>IFERROR(__xludf.DUMMYFUNCTION("""COMPUTED_VALUE"""),15.0)</f>
        <v>15</v>
      </c>
      <c r="J1967" s="17" t="str">
        <f>IFERROR(__xludf.DUMMYFUNCTION("""COMPUTED_VALUE"""),"&lt; 18 tahun")</f>
        <v>&lt; 18 tahun</v>
      </c>
      <c r="K1967" s="19">
        <f>IFERROR(__xludf.DUMMYFUNCTION("""COMPUTED_VALUE"""),40587.0)</f>
        <v>40587</v>
      </c>
      <c r="L1967" s="19" t="str">
        <f>IFERROR(__xludf.DUMMYFUNCTION("""COMPUTED_VALUE"""),"LAKI-LAKI")</f>
        <v>LAKI-LAKI</v>
      </c>
      <c r="M1967" s="16" t="str">
        <f>IFERROR(__xludf.DUMMYFUNCTION("""COMPUTED_VALUE"""),"JALAN SUNGAI JAWI NOMOR 04")</f>
        <v>JALAN SUNGAI JAWI NOMOR 04</v>
      </c>
      <c r="N1967" s="16" t="str">
        <f>IFERROR(__xludf.DUMMYFUNCTION("""COMPUTED_VALUE"""),"SEI JAWI")</f>
        <v>SEI JAWI</v>
      </c>
      <c r="O1967" s="16" t="str">
        <f>IFERROR(__xludf.DUMMYFUNCTION("""COMPUTED_VALUE"""),"KEC. PONTIANAK KOTA")</f>
        <v>KEC. PONTIANAK KOTA</v>
      </c>
      <c r="P1967" s="16" t="str">
        <f>IFERROR(__xludf.DUMMYFUNCTION("""COMPUTED_VALUE"""),"KOTA PONTIANAK")</f>
        <v>KOTA PONTIANAK</v>
      </c>
      <c r="Q1967" s="16" t="str">
        <f>IFERROR(__xludf.DUMMYFUNCTION("""COMPUTED_VALUE"""),"KALIMANTAN BARAT")</f>
        <v>KALIMANTAN BARAT</v>
      </c>
      <c r="R1967" s="19" t="str">
        <f>IFERROR(__xludf.DUMMYFUNCTION("""COMPUTED_VALUE"""),"ISLAM")</f>
        <v>ISLAM</v>
      </c>
      <c r="S1967" s="16" t="str">
        <f>IFERROR(__xludf.DUMMYFUNCTION("""COMPUTED_VALUE"""),"WIRASWASTA")</f>
        <v>WIRASWASTA</v>
      </c>
      <c r="T1967" s="16" t="str">
        <f>IFERROR(__xludf.DUMMYFUNCTION("""COMPUTED_VALUE"""),"Ankle terpelecok")</f>
        <v>Ankle terpelecok</v>
      </c>
      <c r="U1967" s="16" t="str">
        <f>IFERROR(__xludf.DUMMYFUNCTION("""COMPUTED_VALUE"""),"Sekolah dan basket")</f>
        <v>Sekolah dan basket</v>
      </c>
      <c r="V1967" s="11" t="str">
        <f>IFERROR(__xludf.DUMMYFUNCTION("""COMPUTED_VALUE"""),"081345262710")</f>
        <v>081345262710</v>
      </c>
      <c r="W1967" s="15"/>
    </row>
    <row r="1968">
      <c r="A1968" s="45"/>
      <c r="B1968" s="9">
        <f>IFERROR(__xludf.DUMMYFUNCTION("""COMPUTED_VALUE"""),45623.47062251157)</f>
        <v>45623.47062</v>
      </c>
      <c r="C1968" s="9"/>
      <c r="D1968" s="10">
        <f>IFERROR(__xludf.DUMMYFUNCTION("""COMPUTED_VALUE"""),45636.0)</f>
        <v>45636</v>
      </c>
      <c r="E1968" s="10" t="str">
        <f>IFERROR(__xludf.DUMMYFUNCTION("""COMPUTED_VALUE"""),"12Des")</f>
        <v>12Des</v>
      </c>
      <c r="F1968" s="10" t="str">
        <f>IFERROR(__xludf.DUMMYFUNCTION("""COMPUTED_VALUE"""),"2024")</f>
        <v>2024</v>
      </c>
      <c r="G1968" s="16" t="str">
        <f>IFERROR(__xludf.DUMMYFUNCTION("""COMPUTED_VALUE"""),"YUDI PRAWIRATMAN")</f>
        <v>YUDI PRAWIRATMAN</v>
      </c>
      <c r="H1968" s="17" t="str">
        <f>IFERROR(__xludf.DUMMYFUNCTION("""COMPUTED_VALUE"""),"Y752412")</f>
        <v>Y752412</v>
      </c>
      <c r="I1968" s="17">
        <f>IFERROR(__xludf.DUMMYFUNCTION("""COMPUTED_VALUE"""),50.0)</f>
        <v>50</v>
      </c>
      <c r="J1968" s="17" t="str">
        <f>IFERROR(__xludf.DUMMYFUNCTION("""COMPUTED_VALUE"""),"&gt; 44 tahun")</f>
        <v>&gt; 44 tahun</v>
      </c>
      <c r="K1968" s="19">
        <f>IFERROR(__xludf.DUMMYFUNCTION("""COMPUTED_VALUE"""),27596.0)</f>
        <v>27596</v>
      </c>
      <c r="L1968" s="19" t="str">
        <f>IFERROR(__xludf.DUMMYFUNCTION("""COMPUTED_VALUE"""),"LAKI-LAKI")</f>
        <v>LAKI-LAKI</v>
      </c>
      <c r="M1968" s="16" t="str">
        <f>IFERROR(__xludf.DUMMYFUNCTION("""COMPUTED_VALUE"""),"JALAN SEPAKAT 1")</f>
        <v>JALAN SEPAKAT 1</v>
      </c>
      <c r="N1968" s="16" t="str">
        <f>IFERROR(__xludf.DUMMYFUNCTION("""COMPUTED_VALUE"""),"KEL. BANGKA BELITUNG LAUT")</f>
        <v>KEL. BANGKA BELITUNG LAUT</v>
      </c>
      <c r="O1968" s="16" t="str">
        <f>IFERROR(__xludf.DUMMYFUNCTION("""COMPUTED_VALUE"""),"KEC. PONTIANAK TENGGARA")</f>
        <v>KEC. PONTIANAK TENGGARA</v>
      </c>
      <c r="P1968" s="16" t="str">
        <f>IFERROR(__xludf.DUMMYFUNCTION("""COMPUTED_VALUE"""),"KOTA PONTIANAK")</f>
        <v>KOTA PONTIANAK</v>
      </c>
      <c r="Q1968" s="16" t="str">
        <f>IFERROR(__xludf.DUMMYFUNCTION("""COMPUTED_VALUE"""),"KALIMANTAN BARAT")</f>
        <v>KALIMANTAN BARAT</v>
      </c>
      <c r="R1968" s="19" t="str">
        <f>IFERROR(__xludf.DUMMYFUNCTION("""COMPUTED_VALUE"""),"ISLAM")</f>
        <v>ISLAM</v>
      </c>
      <c r="S1968" s="20" t="str">
        <f>IFERROR(__xludf.DUMMYFUNCTION("""COMPUTED_VALUE"""),"ASN")</f>
        <v>ASN</v>
      </c>
      <c r="T1968" s="16"/>
      <c r="U1968" s="16"/>
      <c r="V1968" s="16"/>
      <c r="W1968" s="15"/>
    </row>
    <row r="1969">
      <c r="A1969" s="45"/>
      <c r="B1969" s="9">
        <f>IFERROR(__xludf.DUMMYFUNCTION("""COMPUTED_VALUE"""),45624.37379986111)</f>
        <v>45624.3738</v>
      </c>
      <c r="C1969" s="9"/>
      <c r="D1969" s="10">
        <f>IFERROR(__xludf.DUMMYFUNCTION("""COMPUTED_VALUE"""),45637.0)</f>
        <v>45637</v>
      </c>
      <c r="E1969" s="10" t="str">
        <f>IFERROR(__xludf.DUMMYFUNCTION("""COMPUTED_VALUE"""),"12Des")</f>
        <v>12Des</v>
      </c>
      <c r="F1969" s="10" t="str">
        <f>IFERROR(__xludf.DUMMYFUNCTION("""COMPUTED_VALUE"""),"2024")</f>
        <v>2024</v>
      </c>
      <c r="G1969" s="16" t="str">
        <f>IFERROR(__xludf.DUMMYFUNCTION("""COMPUTED_VALUE"""),"MANIZAR")</f>
        <v>MANIZAR</v>
      </c>
      <c r="H1969" s="17" t="str">
        <f>IFERROR(__xludf.DUMMYFUNCTION("""COMPUTED_VALUE"""),"M5524129905")</f>
        <v>M5524129905</v>
      </c>
      <c r="I1969" s="17">
        <f>IFERROR(__xludf.DUMMYFUNCTION("""COMPUTED_VALUE"""),71.0)</f>
        <v>71</v>
      </c>
      <c r="J1969" s="17" t="str">
        <f>IFERROR(__xludf.DUMMYFUNCTION("""COMPUTED_VALUE"""),"&gt; 44 tahun")</f>
        <v>&gt; 44 tahun</v>
      </c>
      <c r="K1969" s="19">
        <f>IFERROR(__xludf.DUMMYFUNCTION("""COMPUTED_VALUE"""),20253.0)</f>
        <v>20253</v>
      </c>
      <c r="L1969" s="19" t="str">
        <f>IFERROR(__xludf.DUMMYFUNCTION("""COMPUTED_VALUE"""),"PEREMPUAN")</f>
        <v>PEREMPUAN</v>
      </c>
      <c r="M1969" s="16" t="str">
        <f>IFERROR(__xludf.DUMMYFUNCTION("""COMPUTED_VALUE"""),"JL. KOM.YOS SUDARSO GANG KENARI 1 NO.3")</f>
        <v>JL. KOM.YOS SUDARSO GANG KENARI 1 NO.3</v>
      </c>
      <c r="N1969" s="16" t="str">
        <f>IFERROR(__xludf.DUMMYFUNCTION("""COMPUTED_VALUE"""),"KEL. SUNGAI JAWI LUAR")</f>
        <v>KEL. SUNGAI JAWI LUAR</v>
      </c>
      <c r="O1969" s="16" t="str">
        <f>IFERROR(__xludf.DUMMYFUNCTION("""COMPUTED_VALUE"""),"KEC. PONTIANAK BARAT")</f>
        <v>KEC. PONTIANAK BARAT</v>
      </c>
      <c r="P1969" s="16" t="str">
        <f>IFERROR(__xludf.DUMMYFUNCTION("""COMPUTED_VALUE"""),"KOTA PONTIANAK")</f>
        <v>KOTA PONTIANAK</v>
      </c>
      <c r="Q1969" s="16" t="str">
        <f>IFERROR(__xludf.DUMMYFUNCTION("""COMPUTED_VALUE"""),"KALIMANTAN BARAT")</f>
        <v>KALIMANTAN BARAT</v>
      </c>
      <c r="R1969" s="19" t="str">
        <f>IFERROR(__xludf.DUMMYFUNCTION("""COMPUTED_VALUE"""),"ISLAM")</f>
        <v>ISLAM</v>
      </c>
      <c r="S1969" s="20" t="str">
        <f>IFERROR(__xludf.DUMMYFUNCTION("""COMPUTED_VALUE"""),"RUMAH TANGGA")</f>
        <v>RUMAH TANGGA</v>
      </c>
      <c r="T1969" s="16" t="str">
        <f>IFERROR(__xludf.DUMMYFUNCTION("""COMPUTED_VALUE"""),"PENGAPURAN TULANG")</f>
        <v>PENGAPURAN TULANG</v>
      </c>
      <c r="U1969" s="16" t="str">
        <f>IFERROR(__xludf.DUMMYFUNCTION("""COMPUTED_VALUE"""),"Tidak ada")</f>
        <v>Tidak ada</v>
      </c>
      <c r="V1969" s="11" t="str">
        <f>IFERROR(__xludf.DUMMYFUNCTION("""COMPUTED_VALUE"""),"085650829905")</f>
        <v>085650829905</v>
      </c>
      <c r="W1969" s="15"/>
    </row>
    <row r="1970">
      <c r="A1970" s="45"/>
      <c r="B1970" s="9">
        <f>IFERROR(__xludf.DUMMYFUNCTION("""COMPUTED_VALUE"""),45624.35498202546)</f>
        <v>45624.35498</v>
      </c>
      <c r="C1970" s="9"/>
      <c r="D1970" s="10">
        <f>IFERROR(__xludf.DUMMYFUNCTION("""COMPUTED_VALUE"""),45638.0)</f>
        <v>45638</v>
      </c>
      <c r="E1970" s="10" t="str">
        <f>IFERROR(__xludf.DUMMYFUNCTION("""COMPUTED_VALUE"""),"12Des")</f>
        <v>12Des</v>
      </c>
      <c r="F1970" s="10" t="str">
        <f>IFERROR(__xludf.DUMMYFUNCTION("""COMPUTED_VALUE"""),"2024")</f>
        <v>2024</v>
      </c>
      <c r="G1970" s="16" t="str">
        <f>IFERROR(__xludf.DUMMYFUNCTION("""COMPUTED_VALUE"""),"ALVARO KAHFI RAIANDRA")</f>
        <v>ALVARO KAHFI RAIANDRA</v>
      </c>
      <c r="H1970" s="17" t="str">
        <f>IFERROR(__xludf.DUMMYFUNCTION("""COMPUTED_VALUE"""),"A1224123334")</f>
        <v>A1224123334</v>
      </c>
      <c r="I1970" s="17">
        <f>IFERROR(__xludf.DUMMYFUNCTION("""COMPUTED_VALUE"""),14.0)</f>
        <v>14</v>
      </c>
      <c r="J1970" s="17" t="str">
        <f>IFERROR(__xludf.DUMMYFUNCTION("""COMPUTED_VALUE"""),"&lt; 18 tahun")</f>
        <v>&lt; 18 tahun</v>
      </c>
      <c r="K1970" s="19">
        <f>IFERROR(__xludf.DUMMYFUNCTION("""COMPUTED_VALUE"""),40977.0)</f>
        <v>40977</v>
      </c>
      <c r="L1970" s="19" t="str">
        <f>IFERROR(__xludf.DUMMYFUNCTION("""COMPUTED_VALUE"""),"LAKI-LAKI")</f>
        <v>LAKI-LAKI</v>
      </c>
      <c r="M1970" s="16" t="str">
        <f>IFERROR(__xludf.DUMMYFUNCTION("""COMPUTED_VALUE"""),"JL. PARIS 2,KOMPLEK PEMDA JALUR 1 NO.82 PONTIANAK")</f>
        <v>JL. PARIS 2,KOMPLEK PEMDA JALUR 1 NO.82 PONTIANAK</v>
      </c>
      <c r="N1970" s="16" t="str">
        <f>IFERROR(__xludf.DUMMYFUNCTION("""COMPUTED_VALUE"""),"BANSIR DARAT")</f>
        <v>BANSIR DARAT</v>
      </c>
      <c r="O1970" s="16" t="str">
        <f>IFERROR(__xludf.DUMMYFUNCTION("""COMPUTED_VALUE"""),"KEC. PONTIANAK TENGGARA")</f>
        <v>KEC. PONTIANAK TENGGARA</v>
      </c>
      <c r="P1970" s="16" t="str">
        <f>IFERROR(__xludf.DUMMYFUNCTION("""COMPUTED_VALUE"""),"KOTA PONTIANAK")</f>
        <v>KOTA PONTIANAK</v>
      </c>
      <c r="Q1970" s="16" t="str">
        <f>IFERROR(__xludf.DUMMYFUNCTION("""COMPUTED_VALUE"""),"KALIMANTAN BARAT")</f>
        <v>KALIMANTAN BARAT</v>
      </c>
      <c r="R1970" s="19" t="str">
        <f>IFERROR(__xludf.DUMMYFUNCTION("""COMPUTED_VALUE"""),"ISLAM")</f>
        <v>ISLAM</v>
      </c>
      <c r="S1970" s="20" t="str">
        <f>IFERROR(__xludf.DUMMYFUNCTION("""COMPUTED_VALUE"""),"PELAJAR/MAHASISWA")</f>
        <v>PELAJAR/MAHASISWA</v>
      </c>
      <c r="T1970" s="16" t="str">
        <f>IFERROR(__xludf.DUMMYFUNCTION("""COMPUTED_VALUE"""),"NYERI BAGIAN LUTUT")</f>
        <v>NYERI BAGIAN LUTUT</v>
      </c>
      <c r="U1970" s="16" t="str">
        <f>IFERROR(__xludf.DUMMYFUNCTION("""COMPUTED_VALUE"""),"OLAHRAGA FUTSAL")</f>
        <v>OLAHRAGA FUTSAL</v>
      </c>
      <c r="V1970" s="11" t="str">
        <f>IFERROR(__xludf.DUMMYFUNCTION("""COMPUTED_VALUE"""),"081549553334")</f>
        <v>081549553334</v>
      </c>
      <c r="W1970" s="15"/>
    </row>
    <row r="1971">
      <c r="A1971" s="45"/>
      <c r="B1971" s="9">
        <f>IFERROR(__xludf.DUMMYFUNCTION("""COMPUTED_VALUE"""),45624.399591574074)</f>
        <v>45624.39959</v>
      </c>
      <c r="C1971" s="9"/>
      <c r="D1971" s="10">
        <f>IFERROR(__xludf.DUMMYFUNCTION("""COMPUTED_VALUE"""),45638.0)</f>
        <v>45638</v>
      </c>
      <c r="E1971" s="10" t="str">
        <f>IFERROR(__xludf.DUMMYFUNCTION("""COMPUTED_VALUE"""),"12Des")</f>
        <v>12Des</v>
      </c>
      <c r="F1971" s="10" t="str">
        <f>IFERROR(__xludf.DUMMYFUNCTION("""COMPUTED_VALUE"""),"2024")</f>
        <v>2024</v>
      </c>
      <c r="G1971" s="16" t="str">
        <f>IFERROR(__xludf.DUMMYFUNCTION("""COMPUTED_VALUE"""),"FATUR MAULANA ARFANSYAH")</f>
        <v>FATUR MAULANA ARFANSYAH</v>
      </c>
      <c r="H1971" s="17" t="str">
        <f>IFERROR(__xludf.DUMMYFUNCTION("""COMPUTED_VALUE"""),"F0624125155")</f>
        <v>F0624125155</v>
      </c>
      <c r="I1971" s="17">
        <f>IFERROR(__xludf.DUMMYFUNCTION("""COMPUTED_VALUE"""),20.0)</f>
        <v>20</v>
      </c>
      <c r="J1971" s="17" t="str">
        <f>IFERROR(__xludf.DUMMYFUNCTION("""COMPUTED_VALUE"""),"18-24 tahun")</f>
        <v>18-24 tahun</v>
      </c>
      <c r="K1971" s="19">
        <f>IFERROR(__xludf.DUMMYFUNCTION("""COMPUTED_VALUE"""),38765.0)</f>
        <v>38765</v>
      </c>
      <c r="L1971" s="19" t="str">
        <f>IFERROR(__xludf.DUMMYFUNCTION("""COMPUTED_VALUE"""),"LAKI-LAKI")</f>
        <v>LAKI-LAKI</v>
      </c>
      <c r="M1971" s="16" t="str">
        <f>IFERROR(__xludf.DUMMYFUNCTION("""COMPUTED_VALUE"""),"JALAN PROF M YAMIN NO 19")</f>
        <v>JALAN PROF M YAMIN NO 19</v>
      </c>
      <c r="N1971" s="16" t="str">
        <f>IFERROR(__xludf.DUMMYFUNCTION("""COMPUTED_VALUE"""),"KOTABARU")</f>
        <v>KOTABARU</v>
      </c>
      <c r="O1971" s="16" t="str">
        <f>IFERROR(__xludf.DUMMYFUNCTION("""COMPUTED_VALUE"""),"KEC. PONTIANAK SELATAN")</f>
        <v>KEC. PONTIANAK SELATAN</v>
      </c>
      <c r="P1971" s="16" t="str">
        <f>IFERROR(__xludf.DUMMYFUNCTION("""COMPUTED_VALUE"""),"KOTA PONTIANAK")</f>
        <v>KOTA PONTIANAK</v>
      </c>
      <c r="Q1971" s="16" t="str">
        <f>IFERROR(__xludf.DUMMYFUNCTION("""COMPUTED_VALUE"""),"KALIMANTAN BARAT")</f>
        <v>KALIMANTAN BARAT</v>
      </c>
      <c r="R1971" s="19" t="str">
        <f>IFERROR(__xludf.DUMMYFUNCTION("""COMPUTED_VALUE"""),"ISLAM")</f>
        <v>ISLAM</v>
      </c>
      <c r="S1971" s="16" t="str">
        <f>IFERROR(__xludf.DUMMYFUNCTION("""COMPUTED_VALUE"""),"WIRASWASTA")</f>
        <v>WIRASWASTA</v>
      </c>
      <c r="T1971" s="16" t="str">
        <f>IFERROR(__xludf.DUMMYFUNCTION("""COMPUTED_VALUE"""),"angkle kaki")</f>
        <v>angkle kaki</v>
      </c>
      <c r="U1971" s="16" t="str">
        <f>IFERROR(__xludf.DUMMYFUNCTION("""COMPUTED_VALUE"""),"badminton")</f>
        <v>badminton</v>
      </c>
      <c r="V1971" s="11" t="str">
        <f>IFERROR(__xludf.DUMMYFUNCTION("""COMPUTED_VALUE"""),"081913435155")</f>
        <v>081913435155</v>
      </c>
      <c r="W1971" s="15"/>
    </row>
    <row r="1972">
      <c r="A1972" s="45"/>
      <c r="B1972" s="9">
        <f>IFERROR(__xludf.DUMMYFUNCTION("""COMPUTED_VALUE"""),45624.41279777778)</f>
        <v>45624.4128</v>
      </c>
      <c r="C1972" s="9"/>
      <c r="D1972" s="10">
        <f>IFERROR(__xludf.DUMMYFUNCTION("""COMPUTED_VALUE"""),45638.0)</f>
        <v>45638</v>
      </c>
      <c r="E1972" s="10" t="str">
        <f>IFERROR(__xludf.DUMMYFUNCTION("""COMPUTED_VALUE"""),"12Des")</f>
        <v>12Des</v>
      </c>
      <c r="F1972" s="10" t="str">
        <f>IFERROR(__xludf.DUMMYFUNCTION("""COMPUTED_VALUE"""),"2024")</f>
        <v>2024</v>
      </c>
      <c r="G1972" s="16" t="str">
        <f>IFERROR(__xludf.DUMMYFUNCTION("""COMPUTED_VALUE"""),"HASAN ASY'ARY")</f>
        <v>HASAN ASY'ARY</v>
      </c>
      <c r="H1972" s="17" t="str">
        <f>IFERROR(__xludf.DUMMYFUNCTION("""COMPUTED_VALUE"""),"H8024128839")</f>
        <v>H8024128839</v>
      </c>
      <c r="I1972" s="17">
        <f>IFERROR(__xludf.DUMMYFUNCTION("""COMPUTED_VALUE"""),46.0)</f>
        <v>46</v>
      </c>
      <c r="J1972" s="17" t="str">
        <f>IFERROR(__xludf.DUMMYFUNCTION("""COMPUTED_VALUE"""),"&gt; 44 tahun")</f>
        <v>&gt; 44 tahun</v>
      </c>
      <c r="K1972" s="19">
        <f>IFERROR(__xludf.DUMMYFUNCTION("""COMPUTED_VALUE"""),29326.0)</f>
        <v>29326</v>
      </c>
      <c r="L1972" s="19" t="str">
        <f>IFERROR(__xludf.DUMMYFUNCTION("""COMPUTED_VALUE"""),"LAKI-LAKI")</f>
        <v>LAKI-LAKI</v>
      </c>
      <c r="M1972" s="16" t="str">
        <f>IFERROR(__xludf.DUMMYFUNCTION("""COMPUTED_VALUE"""),"JL. SUNGAI RAYA DALAM PERUMAHAN TAMAN SUNGAI RAYA KOMP. KAPUAS MAS A10")</f>
        <v>JL. SUNGAI RAYA DALAM PERUMAHAN TAMAN SUNGAI RAYA KOMP. KAPUAS MAS A10</v>
      </c>
      <c r="N1972" s="16" t="str">
        <f>IFERROR(__xludf.DUMMYFUNCTION("""COMPUTED_VALUE"""),"SUNGAI RAYA DALAM")</f>
        <v>SUNGAI RAYA DALAM</v>
      </c>
      <c r="O1972" s="16" t="str">
        <f>IFERROR(__xludf.DUMMYFUNCTION("""COMPUTED_VALUE"""),"KEC. SUNGAI RAYA")</f>
        <v>KEC. SUNGAI RAYA</v>
      </c>
      <c r="P1972" s="16" t="str">
        <f>IFERROR(__xludf.DUMMYFUNCTION("""COMPUTED_VALUE"""),"KAB. KUBU RAYA")</f>
        <v>KAB. KUBU RAYA</v>
      </c>
      <c r="Q1972" s="16" t="str">
        <f>IFERROR(__xludf.DUMMYFUNCTION("""COMPUTED_VALUE"""),"KALIMANTAN BARAT")</f>
        <v>KALIMANTAN BARAT</v>
      </c>
      <c r="R1972" s="19" t="str">
        <f>IFERROR(__xludf.DUMMYFUNCTION("""COMPUTED_VALUE"""),"ISLAM")</f>
        <v>ISLAM</v>
      </c>
      <c r="S1972" s="16" t="str">
        <f>IFERROR(__xludf.DUMMYFUNCTION("""COMPUTED_VALUE"""),"ASN")</f>
        <v>ASN</v>
      </c>
      <c r="T1972" s="16" t="str">
        <f>IFERROR(__xludf.DUMMYFUNCTION("""COMPUTED_VALUE"""),"Nyeri dilutut saat ditekuk")</f>
        <v>Nyeri dilutut saat ditekuk</v>
      </c>
      <c r="U1972" s="16" t="str">
        <f>IFERROR(__xludf.DUMMYFUNCTION("""COMPUTED_VALUE"""),"Sepak bola, minisoccer, badminton")</f>
        <v>Sepak bola, minisoccer, badminton</v>
      </c>
      <c r="V1972" s="11" t="str">
        <f>IFERROR(__xludf.DUMMYFUNCTION("""COMPUTED_VALUE"""),"08125768839")</f>
        <v>08125768839</v>
      </c>
      <c r="W1972" s="15"/>
    </row>
    <row r="1973">
      <c r="A1973" s="45"/>
      <c r="B1973" s="9">
        <f>IFERROR(__xludf.DUMMYFUNCTION("""COMPUTED_VALUE"""),45624.443384004626)</f>
        <v>45624.44338</v>
      </c>
      <c r="C1973" s="9"/>
      <c r="D1973" s="10">
        <f>IFERROR(__xludf.DUMMYFUNCTION("""COMPUTED_VALUE"""),45639.0)</f>
        <v>45639</v>
      </c>
      <c r="E1973" s="10" t="str">
        <f>IFERROR(__xludf.DUMMYFUNCTION("""COMPUTED_VALUE"""),"12Des")</f>
        <v>12Des</v>
      </c>
      <c r="F1973" s="10" t="str">
        <f>IFERROR(__xludf.DUMMYFUNCTION("""COMPUTED_VALUE"""),"2024")</f>
        <v>2024</v>
      </c>
      <c r="G1973" s="35" t="str">
        <f>IFERROR(__xludf.DUMMYFUNCTION("""COMPUTED_VALUE"""),"ASRIFAH")</f>
        <v>ASRIFAH</v>
      </c>
      <c r="H1973" s="17" t="str">
        <f>IFERROR(__xludf.DUMMYFUNCTION("""COMPUTED_VALUE"""),"A8424124283")</f>
        <v>A8424124283</v>
      </c>
      <c r="I1973" s="17">
        <f>IFERROR(__xludf.DUMMYFUNCTION("""COMPUTED_VALUE"""),42.0)</f>
        <v>42</v>
      </c>
      <c r="J1973" s="17" t="str">
        <f>IFERROR(__xludf.DUMMYFUNCTION("""COMPUTED_VALUE"""),"35-44 tahun")</f>
        <v>35-44 tahun</v>
      </c>
      <c r="K1973" s="19">
        <f>IFERROR(__xludf.DUMMYFUNCTION("""COMPUTED_VALUE"""),30724.0)</f>
        <v>30724</v>
      </c>
      <c r="L1973" s="19" t="str">
        <f>IFERROR(__xludf.DUMMYFUNCTION("""COMPUTED_VALUE"""),"PEREMPUAN")</f>
        <v>PEREMPUAN</v>
      </c>
      <c r="M1973" s="16" t="str">
        <f>IFERROR(__xludf.DUMMYFUNCTION("""COMPUTED_VALUE"""),"JL. KESEHATAN GG. SUMBER AGUNG 1 JALUR A NO.19")</f>
        <v>JL. KESEHATAN GG. SUMBER AGUNG 1 JALUR A NO.19</v>
      </c>
      <c r="N1973" s="16" t="str">
        <f>IFERROR(__xludf.DUMMYFUNCTION("""COMPUTED_VALUE"""),"KOTA BARU")</f>
        <v>KOTA BARU</v>
      </c>
      <c r="O1973" s="16" t="str">
        <f>IFERROR(__xludf.DUMMYFUNCTION("""COMPUTED_VALUE"""),"KEC. PONTIANAK SELATAN")</f>
        <v>KEC. PONTIANAK SELATAN</v>
      </c>
      <c r="P1973" s="16" t="str">
        <f>IFERROR(__xludf.DUMMYFUNCTION("""COMPUTED_VALUE"""),"KOTA PONTIANAK")</f>
        <v>KOTA PONTIANAK</v>
      </c>
      <c r="Q1973" s="16" t="str">
        <f>IFERROR(__xludf.DUMMYFUNCTION("""COMPUTED_VALUE"""),"KALIMANTAN BARAT")</f>
        <v>KALIMANTAN BARAT</v>
      </c>
      <c r="R1973" s="19" t="str">
        <f>IFERROR(__xludf.DUMMYFUNCTION("""COMPUTED_VALUE"""),"ISLAM")</f>
        <v>ISLAM</v>
      </c>
      <c r="S1973" s="16" t="str">
        <f>IFERROR(__xludf.DUMMYFUNCTION("""COMPUTED_VALUE"""),"ASN")</f>
        <v>ASN</v>
      </c>
      <c r="T1973" s="16" t="str">
        <f>IFERROR(__xludf.DUMMYFUNCTION("""COMPUTED_VALUE"""),"Nyeri sendi pundak belakang")</f>
        <v>Nyeri sendi pundak belakang</v>
      </c>
      <c r="U1973" s="16" t="str">
        <f>IFERROR(__xludf.DUMMYFUNCTION("""COMPUTED_VALUE"""),"Mengajar")</f>
        <v>Mengajar</v>
      </c>
      <c r="V1973" s="11" t="str">
        <f>IFERROR(__xludf.DUMMYFUNCTION("""COMPUTED_VALUE"""),"085652424283")</f>
        <v>085652424283</v>
      </c>
      <c r="W1973" s="15"/>
    </row>
    <row r="1974">
      <c r="A1974" s="45"/>
      <c r="B1974" s="9">
        <f>IFERROR(__xludf.DUMMYFUNCTION("""COMPUTED_VALUE"""),45624.43560729167)</f>
        <v>45624.43561</v>
      </c>
      <c r="C1974" s="9"/>
      <c r="D1974" s="10">
        <f>IFERROR(__xludf.DUMMYFUNCTION("""COMPUTED_VALUE"""),45640.0)</f>
        <v>45640</v>
      </c>
      <c r="E1974" s="10" t="str">
        <f>IFERROR(__xludf.DUMMYFUNCTION("""COMPUTED_VALUE"""),"12Des")</f>
        <v>12Des</v>
      </c>
      <c r="F1974" s="10" t="str">
        <f>IFERROR(__xludf.DUMMYFUNCTION("""COMPUTED_VALUE"""),"2024")</f>
        <v>2024</v>
      </c>
      <c r="G1974" s="35" t="str">
        <f>IFERROR(__xludf.DUMMYFUNCTION("""COMPUTED_VALUE"""),"SAPRY EKEH")</f>
        <v>SAPRY EKEH</v>
      </c>
      <c r="H1974" s="17" t="str">
        <f>IFERROR(__xludf.DUMMYFUNCTION("""COMPUTED_VALUE"""),"S5424126888")</f>
        <v>S5424126888</v>
      </c>
      <c r="I1974" s="17">
        <f>IFERROR(__xludf.DUMMYFUNCTION("""COMPUTED_VALUE"""),72.0)</f>
        <v>72</v>
      </c>
      <c r="J1974" s="17" t="str">
        <f>IFERROR(__xludf.DUMMYFUNCTION("""COMPUTED_VALUE"""),"&gt; 44 tahun")</f>
        <v>&gt; 44 tahun</v>
      </c>
      <c r="K1974" s="19">
        <f>IFERROR(__xludf.DUMMYFUNCTION("""COMPUTED_VALUE"""),19848.0)</f>
        <v>19848</v>
      </c>
      <c r="L1974" s="19" t="str">
        <f>IFERROR(__xludf.DUMMYFUNCTION("""COMPUTED_VALUE"""),"LAKI-LAKI")</f>
        <v>LAKI-LAKI</v>
      </c>
      <c r="M1974" s="35" t="str">
        <f>IFERROR(__xludf.DUMMYFUNCTION("""COMPUTED_VALUE"""),"JL ISMAIL MARZUKI NO 2")</f>
        <v>JL ISMAIL MARZUKI NO 2</v>
      </c>
      <c r="N1974" s="16" t="str">
        <f>IFERROR(__xludf.DUMMYFUNCTION("""COMPUTED_VALUE"""),"BENUA MELAYU DARAT")</f>
        <v>BENUA MELAYU DARAT</v>
      </c>
      <c r="O1974" s="16" t="str">
        <f>IFERROR(__xludf.DUMMYFUNCTION("""COMPUTED_VALUE"""),"KEC. PONTIANAK SELATAN")</f>
        <v>KEC. PONTIANAK SELATAN</v>
      </c>
      <c r="P1974" s="16" t="str">
        <f>IFERROR(__xludf.DUMMYFUNCTION("""COMPUTED_VALUE"""),"KOTA PONTIANAK")</f>
        <v>KOTA PONTIANAK</v>
      </c>
      <c r="Q1974" s="16" t="str">
        <f>IFERROR(__xludf.DUMMYFUNCTION("""COMPUTED_VALUE"""),"KALIMANTAN BARAT")</f>
        <v>KALIMANTAN BARAT</v>
      </c>
      <c r="R1974" s="19" t="str">
        <f>IFERROR(__xludf.DUMMYFUNCTION("""COMPUTED_VALUE"""),"KATOLIK")</f>
        <v>KATOLIK</v>
      </c>
      <c r="S1974" s="16" t="str">
        <f>IFERROR(__xludf.DUMMYFUNCTION("""COMPUTED_VALUE"""),"WIRASWASTA")</f>
        <v>WIRASWASTA</v>
      </c>
      <c r="T1974" s="16" t="str">
        <f>IFERROR(__xludf.DUMMYFUNCTION("""COMPUTED_VALUE"""),"Mati rasa kebas kaki sbelah kanan")</f>
        <v>Mati rasa kebas kaki sbelah kanan</v>
      </c>
      <c r="U1974" s="16" t="str">
        <f>IFERROR(__xludf.DUMMYFUNCTION("""COMPUTED_VALUE"""),"Berkebun")</f>
        <v>Berkebun</v>
      </c>
      <c r="V1974" s="11" t="str">
        <f>IFERROR(__xludf.DUMMYFUNCTION("""COMPUTED_VALUE"""),"082149156888")</f>
        <v>082149156888</v>
      </c>
      <c r="W1974" s="15"/>
    </row>
    <row r="1975">
      <c r="A1975" s="45"/>
      <c r="B1975" s="9">
        <f>IFERROR(__xludf.DUMMYFUNCTION("""COMPUTED_VALUE"""),45623.788153009256)</f>
        <v>45623.78815</v>
      </c>
      <c r="C1975" s="9"/>
      <c r="D1975" s="10">
        <f>IFERROR(__xludf.DUMMYFUNCTION("""COMPUTED_VALUE"""),45640.0)</f>
        <v>45640</v>
      </c>
      <c r="E1975" s="10" t="str">
        <f>IFERROR(__xludf.DUMMYFUNCTION("""COMPUTED_VALUE"""),"12Des")</f>
        <v>12Des</v>
      </c>
      <c r="F1975" s="10" t="str">
        <f>IFERROR(__xludf.DUMMYFUNCTION("""COMPUTED_VALUE"""),"2024")</f>
        <v>2024</v>
      </c>
      <c r="G1975" s="35" t="str">
        <f>IFERROR(__xludf.DUMMYFUNCTION("""COMPUTED_VALUE"""),"ARWIN EKA SETIAWAN")</f>
        <v>ARWIN EKA SETIAWAN</v>
      </c>
      <c r="H1975" s="17" t="str">
        <f>IFERROR(__xludf.DUMMYFUNCTION("""COMPUTED_VALUE"""),"A0524127098")</f>
        <v>A0524127098</v>
      </c>
      <c r="I1975" s="17">
        <f>IFERROR(__xludf.DUMMYFUNCTION("""COMPUTED_VALUE"""),20.0)</f>
        <v>20</v>
      </c>
      <c r="J1975" s="17" t="str">
        <f>IFERROR(__xludf.DUMMYFUNCTION("""COMPUTED_VALUE"""),"18-24 tahun")</f>
        <v>18-24 tahun</v>
      </c>
      <c r="K1975" s="19">
        <f>IFERROR(__xludf.DUMMYFUNCTION("""COMPUTED_VALUE"""),38691.0)</f>
        <v>38691</v>
      </c>
      <c r="L1975" s="19" t="str">
        <f>IFERROR(__xludf.DUMMYFUNCTION("""COMPUTED_VALUE"""),"LAKI-LAKI")</f>
        <v>LAKI-LAKI</v>
      </c>
      <c r="M1975" s="35" t="str">
        <f>IFERROR(__xludf.DUMMYFUNCTION("""COMPUTED_VALUE"""),"DS SIDOMULYO/RW 007/RT 001/KAB. MELAWI/PROV. KALIMANTAN BARAT")</f>
        <v>DS SIDOMULYO/RW 007/RT 001/KAB. MELAWI/PROV. KALIMANTAN BARAT</v>
      </c>
      <c r="N1975" s="16" t="str">
        <f>IFERROR(__xludf.DUMMYFUNCTION("""COMPUTED_VALUE"""),"SIDOMULYO")</f>
        <v>SIDOMULYO</v>
      </c>
      <c r="O1975" s="16" t="str">
        <f>IFERROR(__xludf.DUMMYFUNCTION("""COMPUTED_VALUE"""),"KEC. NANGA PINOH")</f>
        <v>KEC. NANGA PINOH</v>
      </c>
      <c r="P1975" s="16" t="str">
        <f>IFERROR(__xludf.DUMMYFUNCTION("""COMPUTED_VALUE"""),"KAB. MELAWI")</f>
        <v>KAB. MELAWI</v>
      </c>
      <c r="Q1975" s="16" t="str">
        <f>IFERROR(__xludf.DUMMYFUNCTION("""COMPUTED_VALUE"""),"KALIMANTAN BARAT")</f>
        <v>KALIMANTAN BARAT</v>
      </c>
      <c r="R1975" s="19" t="str">
        <f>IFERROR(__xludf.DUMMYFUNCTION("""COMPUTED_VALUE"""),"ISLAM")</f>
        <v>ISLAM</v>
      </c>
      <c r="S1975" s="16" t="str">
        <f>IFERROR(__xludf.DUMMYFUNCTION("""COMPUTED_VALUE"""),"PELAJAR/MAHASISWA")</f>
        <v>PELAJAR/MAHASISWA</v>
      </c>
      <c r="T1975" s="16" t="str">
        <f>IFERROR(__xludf.DUMMYFUNCTION("""COMPUTED_VALUE"""),"terasa nyeri dibagian lutut sebelah kiri")</f>
        <v>terasa nyeri dibagian lutut sebelah kiri</v>
      </c>
      <c r="U1975" s="16" t="str">
        <f>IFERROR(__xludf.DUMMYFUNCTION("""COMPUTED_VALUE"""),"Taekwondo")</f>
        <v>Taekwondo</v>
      </c>
      <c r="V1975" s="11" t="str">
        <f>IFERROR(__xludf.DUMMYFUNCTION("""COMPUTED_VALUE"""),"085651267098")</f>
        <v>085651267098</v>
      </c>
      <c r="W1975" s="15"/>
    </row>
    <row r="1976">
      <c r="A1976" s="45"/>
      <c r="B1976" s="9">
        <f>IFERROR(__xludf.DUMMYFUNCTION("""COMPUTED_VALUE"""),45624.565370474535)</f>
        <v>45624.56537</v>
      </c>
      <c r="C1976" s="9"/>
      <c r="D1976" s="10">
        <f>IFERROR(__xludf.DUMMYFUNCTION("""COMPUTED_VALUE"""),45640.0)</f>
        <v>45640</v>
      </c>
      <c r="E1976" s="10" t="str">
        <f>IFERROR(__xludf.DUMMYFUNCTION("""COMPUTED_VALUE"""),"12Des")</f>
        <v>12Des</v>
      </c>
      <c r="F1976" s="10" t="str">
        <f>IFERROR(__xludf.DUMMYFUNCTION("""COMPUTED_VALUE"""),"2024")</f>
        <v>2024</v>
      </c>
      <c r="G1976" s="35" t="str">
        <f>IFERROR(__xludf.DUMMYFUNCTION("""COMPUTED_VALUE"""),"ANDREA GUNAWAN")</f>
        <v>ANDREA GUNAWAN</v>
      </c>
      <c r="H1976" s="17" t="str">
        <f>IFERROR(__xludf.DUMMYFUNCTION("""COMPUTED_VALUE"""),"A9124121799")</f>
        <v>A9124121799</v>
      </c>
      <c r="I1976" s="17">
        <f>IFERROR(__xludf.DUMMYFUNCTION("""COMPUTED_VALUE"""),34.0)</f>
        <v>34</v>
      </c>
      <c r="J1976" s="17" t="str">
        <f>IFERROR(__xludf.DUMMYFUNCTION("""COMPUTED_VALUE"""),"25-34 tahun")</f>
        <v>25-34 tahun</v>
      </c>
      <c r="K1976" s="19">
        <f>IFERROR(__xludf.DUMMYFUNCTION("""COMPUTED_VALUE"""),33478.0)</f>
        <v>33478</v>
      </c>
      <c r="L1976" s="19" t="str">
        <f>IFERROR(__xludf.DUMMYFUNCTION("""COMPUTED_VALUE"""),"LAKI-LAKI")</f>
        <v>LAKI-LAKI</v>
      </c>
      <c r="M1976" s="35" t="str">
        <f>IFERROR(__xludf.DUMMYFUNCTION("""COMPUTED_VALUE"""),"JL NIRBAYA GG TATA KOTA NO 88")</f>
        <v>JL NIRBAYA GG TATA KOTA NO 88</v>
      </c>
      <c r="N1976" s="16" t="str">
        <f>IFERROR(__xludf.DUMMYFUNCTION("""COMPUTED_VALUE"""),"KOTA BARU")</f>
        <v>KOTA BARU</v>
      </c>
      <c r="O1976" s="16" t="str">
        <f>IFERROR(__xludf.DUMMYFUNCTION("""COMPUTED_VALUE"""),"KEC. PONTIANAK SELATAN")</f>
        <v>KEC. PONTIANAK SELATAN</v>
      </c>
      <c r="P1976" s="16" t="str">
        <f>IFERROR(__xludf.DUMMYFUNCTION("""COMPUTED_VALUE"""),"KOTA PONTIANAK")</f>
        <v>KOTA PONTIANAK</v>
      </c>
      <c r="Q1976" s="16" t="str">
        <f>IFERROR(__xludf.DUMMYFUNCTION("""COMPUTED_VALUE"""),"KALIMANTAN BARAT")</f>
        <v>KALIMANTAN BARAT</v>
      </c>
      <c r="R1976" s="19" t="str">
        <f>IFERROR(__xludf.DUMMYFUNCTION("""COMPUTED_VALUE"""),"KATOLIK")</f>
        <v>KATOLIK</v>
      </c>
      <c r="S1976" s="36" t="str">
        <f>IFERROR(__xludf.DUMMYFUNCTION("""COMPUTED_VALUE"""),"WIRASWASTA")</f>
        <v>WIRASWASTA</v>
      </c>
      <c r="T1976" s="16" t="str">
        <f>IFERROR(__xludf.DUMMYFUNCTION("""COMPUTED_VALUE"""),"Sakit di bagian lutut kanan")</f>
        <v>Sakit di bagian lutut kanan</v>
      </c>
      <c r="U1976" s="16" t="str">
        <f>IFERROR(__xludf.DUMMYFUNCTION("""COMPUTED_VALUE"""),"Olahraga dan kerja")</f>
        <v>Olahraga dan kerja</v>
      </c>
      <c r="V1976" s="11" t="str">
        <f>IFERROR(__xludf.DUMMYFUNCTION("""COMPUTED_VALUE"""),"082158411799")</f>
        <v>082158411799</v>
      </c>
      <c r="W1976" s="15"/>
    </row>
    <row r="1977">
      <c r="A1977" s="45"/>
      <c r="B1977" s="9"/>
      <c r="C1977" s="9"/>
      <c r="D1977" s="10">
        <f>IFERROR(__xludf.DUMMYFUNCTION("""COMPUTED_VALUE"""),45641.0)</f>
        <v>45641</v>
      </c>
      <c r="E1977" s="10" t="str">
        <f>IFERROR(__xludf.DUMMYFUNCTION("""COMPUTED_VALUE"""),"12Des")</f>
        <v>12Des</v>
      </c>
      <c r="F1977" s="10" t="str">
        <f>IFERROR(__xludf.DUMMYFUNCTION("""COMPUTED_VALUE"""),"2024")</f>
        <v>2024</v>
      </c>
      <c r="G1977" s="35" t="str">
        <f>IFERROR(__xludf.DUMMYFUNCTION("""COMPUTED_VALUE"""),"KRISTIANUS KIMSEN")</f>
        <v>KRISTIANUS KIMSEN</v>
      </c>
      <c r="H1977" s="35" t="str">
        <f>IFERROR(__xludf.DUMMYFUNCTION("""COMPUTED_VALUE"""),"K6624121896")</f>
        <v>K6624121896</v>
      </c>
      <c r="I1977" s="35">
        <f>IFERROR(__xludf.DUMMYFUNCTION("""COMPUTED_VALUE"""),60.0)</f>
        <v>60</v>
      </c>
      <c r="J1977" s="35" t="str">
        <f>IFERROR(__xludf.DUMMYFUNCTION("""COMPUTED_VALUE"""),"&gt; 44 tahun")</f>
        <v>&gt; 44 tahun</v>
      </c>
      <c r="K1977" s="19">
        <f>IFERROR(__xludf.DUMMYFUNCTION("""COMPUTED_VALUE"""),24259.0)</f>
        <v>24259</v>
      </c>
      <c r="L1977" s="19" t="str">
        <f>IFERROR(__xludf.DUMMYFUNCTION("""COMPUTED_VALUE"""),"LAKI-LAKI")</f>
        <v>LAKI-LAKI</v>
      </c>
      <c r="M1977" s="35" t="str">
        <f>IFERROR(__xludf.DUMMYFUNCTION("""COMPUTED_VALUE"""),"JALAN PURNAMA 1 NO 7")</f>
        <v>JALAN PURNAMA 1 NO 7</v>
      </c>
      <c r="N1977" s="16" t="str">
        <f>IFERROR(__xludf.DUMMYFUNCTION("""COMPUTED_VALUE"""),"DS. AKCAYA")</f>
        <v>DS. AKCAYA</v>
      </c>
      <c r="O1977" s="16" t="str">
        <f>IFERROR(__xludf.DUMMYFUNCTION("""COMPUTED_VALUE"""),"KEC. PONTIANAK SELATAN")</f>
        <v>KEC. PONTIANAK SELATAN</v>
      </c>
      <c r="P1977" s="16" t="str">
        <f>IFERROR(__xludf.DUMMYFUNCTION("""COMPUTED_VALUE"""),"KOTA PONTIANAK")</f>
        <v>KOTA PONTIANAK</v>
      </c>
      <c r="Q1977" s="16" t="str">
        <f>IFERROR(__xludf.DUMMYFUNCTION("""COMPUTED_VALUE"""),"KALIMANTAN BARAT")</f>
        <v>KALIMANTAN BARAT</v>
      </c>
      <c r="R1977" s="19" t="str">
        <f>IFERROR(__xludf.DUMMYFUNCTION("""COMPUTED_VALUE"""),"KATOLIK")</f>
        <v>KATOLIK</v>
      </c>
      <c r="S1977" s="16" t="str">
        <f>IFERROR(__xludf.DUMMYFUNCTION("""COMPUTED_VALUE"""),"WIRASWASTA")</f>
        <v>WIRASWASTA</v>
      </c>
      <c r="T1977" s="16" t="str">
        <f>IFERROR(__xludf.DUMMYFUNCTION("""COMPUTED_VALUE"""),"Lutut dan telapak kaki")</f>
        <v>Lutut dan telapak kaki</v>
      </c>
      <c r="U1977" s="16" t="str">
        <f>IFERROR(__xludf.DUMMYFUNCTION("""COMPUTED_VALUE"""),"Jalan")</f>
        <v>Jalan</v>
      </c>
      <c r="V1977" s="11" t="str">
        <f>IFERROR(__xludf.DUMMYFUNCTION("""COMPUTED_VALUE"""),"0811561896")</f>
        <v>0811561896</v>
      </c>
      <c r="W1977" s="15"/>
    </row>
    <row r="1978">
      <c r="A1978" s="45"/>
      <c r="B1978" s="9">
        <f>IFERROR(__xludf.DUMMYFUNCTION("""COMPUTED_VALUE"""),45624.61603934028)</f>
        <v>45624.61604</v>
      </c>
      <c r="C1978" s="9"/>
      <c r="D1978" s="10">
        <f>IFERROR(__xludf.DUMMYFUNCTION("""COMPUTED_VALUE"""),45642.0)</f>
        <v>45642</v>
      </c>
      <c r="E1978" s="10" t="str">
        <f>IFERROR(__xludf.DUMMYFUNCTION("""COMPUTED_VALUE"""),"12Des")</f>
        <v>12Des</v>
      </c>
      <c r="F1978" s="10" t="str">
        <f>IFERROR(__xludf.DUMMYFUNCTION("""COMPUTED_VALUE"""),"2024")</f>
        <v>2024</v>
      </c>
      <c r="G1978" s="35" t="str">
        <f>IFERROR(__xludf.DUMMYFUNCTION("""COMPUTED_VALUE"""),"BONG TJHU KIE")</f>
        <v>BONG TJHU KIE</v>
      </c>
      <c r="H1978" s="35" t="str">
        <f>IFERROR(__xludf.DUMMYFUNCTION("""COMPUTED_VALUE"""),"B6224124272")</f>
        <v>B6224124272</v>
      </c>
      <c r="I1978" s="35">
        <f>IFERROR(__xludf.DUMMYFUNCTION("""COMPUTED_VALUE"""),64.0)</f>
        <v>64</v>
      </c>
      <c r="J1978" s="35" t="str">
        <f>IFERROR(__xludf.DUMMYFUNCTION("""COMPUTED_VALUE"""),"&gt; 44 tahun")</f>
        <v>&gt; 44 tahun</v>
      </c>
      <c r="K1978" s="19">
        <f>IFERROR(__xludf.DUMMYFUNCTION("""COMPUTED_VALUE"""),22735.0)</f>
        <v>22735</v>
      </c>
      <c r="L1978" s="19" t="str">
        <f>IFERROR(__xludf.DUMMYFUNCTION("""COMPUTED_VALUE"""),"PEREMPUAN")</f>
        <v>PEREMPUAN</v>
      </c>
      <c r="M1978" s="35" t="str">
        <f>IFERROR(__xludf.DUMMYFUNCTION("""COMPUTED_VALUE"""),"JL. PARIT PANGERAN")</f>
        <v>JL. PARIT PANGERAN</v>
      </c>
      <c r="N1978" s="16" t="str">
        <f>IFERROR(__xludf.DUMMYFUNCTION("""COMPUTED_VALUE"""),"SIANTAN HULU")</f>
        <v>SIANTAN HULU</v>
      </c>
      <c r="O1978" s="16" t="str">
        <f>IFERROR(__xludf.DUMMYFUNCTION("""COMPUTED_VALUE"""),"KEC. PONTIANAK UTARA")</f>
        <v>KEC. PONTIANAK UTARA</v>
      </c>
      <c r="P1978" s="16" t="str">
        <f>IFERROR(__xludf.DUMMYFUNCTION("""COMPUTED_VALUE"""),"KOTA PONTIANAK")</f>
        <v>KOTA PONTIANAK</v>
      </c>
      <c r="Q1978" s="16" t="str">
        <f>IFERROR(__xludf.DUMMYFUNCTION("""COMPUTED_VALUE"""),"KALIMANTAN BARAT")</f>
        <v>KALIMANTAN BARAT</v>
      </c>
      <c r="R1978" s="19" t="str">
        <f>IFERROR(__xludf.DUMMYFUNCTION("""COMPUTED_VALUE"""),"BUDDHA")</f>
        <v>BUDDHA</v>
      </c>
      <c r="S1978" s="16" t="str">
        <f>IFERROR(__xludf.DUMMYFUNCTION("""COMPUTED_VALUE"""),"RUMAH TANGGA")</f>
        <v>RUMAH TANGGA</v>
      </c>
      <c r="T1978" s="16" t="str">
        <f>IFERROR(__xludf.DUMMYFUNCTION("""COMPUTED_VALUE"""),"Kaki kesemutan permanen, Lutut sakit, Pinggang sakit, paha atas sakit, bagian bokong sakit sehingga mengganggu aktivitas sehari-hari")</f>
        <v>Kaki kesemutan permanen, Lutut sakit, Pinggang sakit, paha atas sakit, bagian bokong sakit sehingga mengganggu aktivitas sehari-hari</v>
      </c>
      <c r="U1978" s="16" t="str">
        <f>IFERROR(__xludf.DUMMYFUNCTION("""COMPUTED_VALUE"""),"memasak")</f>
        <v>memasak</v>
      </c>
      <c r="V1978" s="11" t="str">
        <f>IFERROR(__xludf.DUMMYFUNCTION("""COMPUTED_VALUE"""),"0895620134272")</f>
        <v>0895620134272</v>
      </c>
      <c r="W1978" s="15"/>
    </row>
    <row r="1979">
      <c r="A1979" s="45"/>
      <c r="B1979" s="9">
        <f>IFERROR(__xludf.DUMMYFUNCTION("""COMPUTED_VALUE"""),45624.81556795139)</f>
        <v>45624.81557</v>
      </c>
      <c r="C1979" s="9"/>
      <c r="D1979" s="10">
        <f>IFERROR(__xludf.DUMMYFUNCTION("""COMPUTED_VALUE"""),45642.0)</f>
        <v>45642</v>
      </c>
      <c r="E1979" s="10" t="str">
        <f>IFERROR(__xludf.DUMMYFUNCTION("""COMPUTED_VALUE"""),"12Des")</f>
        <v>12Des</v>
      </c>
      <c r="F1979" s="10" t="str">
        <f>IFERROR(__xludf.DUMMYFUNCTION("""COMPUTED_VALUE"""),"2024")</f>
        <v>2024</v>
      </c>
      <c r="G1979" s="35" t="str">
        <f>IFERROR(__xludf.DUMMYFUNCTION("""COMPUTED_VALUE"""),"ELSATIA HERMAWAN")</f>
        <v>ELSATIA HERMAWAN</v>
      </c>
      <c r="H1979" s="35" t="str">
        <f>IFERROR(__xludf.DUMMYFUNCTION("""COMPUTED_VALUE"""),"E9124120075")</f>
        <v>E9124120075</v>
      </c>
      <c r="I1979" s="35">
        <f>IFERROR(__xludf.DUMMYFUNCTION("""COMPUTED_VALUE"""),34.0)</f>
        <v>34</v>
      </c>
      <c r="J1979" s="35" t="str">
        <f>IFERROR(__xludf.DUMMYFUNCTION("""COMPUTED_VALUE"""),"25-34 tahun")</f>
        <v>25-34 tahun</v>
      </c>
      <c r="K1979" s="19">
        <f>IFERROR(__xludf.DUMMYFUNCTION("""COMPUTED_VALUE"""),33594.0)</f>
        <v>33594</v>
      </c>
      <c r="L1979" s="19" t="str">
        <f>IFERROR(__xludf.DUMMYFUNCTION("""COMPUTED_VALUE"""),"PEREMPUAN")</f>
        <v>PEREMPUAN</v>
      </c>
      <c r="M1979" s="35" t="str">
        <f>IFERROR(__xludf.DUMMYFUNCTION("""COMPUTED_VALUE"""),"JLGUSTI SITUT MAHMUD GG SELAT KARIMATA II NOF5")</f>
        <v>JLGUSTI SITUT MAHMUD GG SELAT KARIMATA II NOF5</v>
      </c>
      <c r="N1979" s="16" t="str">
        <f>IFERROR(__xludf.DUMMYFUNCTION("""COMPUTED_VALUE"""),"SIANTAN TENGAH")</f>
        <v>SIANTAN TENGAH</v>
      </c>
      <c r="O1979" s="16" t="str">
        <f>IFERROR(__xludf.DUMMYFUNCTION("""COMPUTED_VALUE"""),"KEC. PONTIANAK UTARA")</f>
        <v>KEC. PONTIANAK UTARA</v>
      </c>
      <c r="P1979" s="16" t="str">
        <f>IFERROR(__xludf.DUMMYFUNCTION("""COMPUTED_VALUE"""),"KOTA PONTIANAK")</f>
        <v>KOTA PONTIANAK</v>
      </c>
      <c r="Q1979" s="16" t="str">
        <f>IFERROR(__xludf.DUMMYFUNCTION("""COMPUTED_VALUE"""),"KALIMANTAN BARAT")</f>
        <v>KALIMANTAN BARAT</v>
      </c>
      <c r="R1979" s="19" t="str">
        <f>IFERROR(__xludf.DUMMYFUNCTION("""COMPUTED_VALUE"""),"BUDDHA")</f>
        <v>BUDDHA</v>
      </c>
      <c r="S1979" s="16" t="str">
        <f>IFERROR(__xludf.DUMMYFUNCTION("""COMPUTED_VALUE"""),"RUMAH TANGGA")</f>
        <v>RUMAH TANGGA</v>
      </c>
      <c r="T1979" s="16" t="str">
        <f>IFERROR(__xludf.DUMMYFUNCTION("""COMPUTED_VALUE"""),"engkel kaki kiri bengkak")</f>
        <v>engkel kaki kiri bengkak</v>
      </c>
      <c r="U1979" s="16" t="str">
        <f>IFERROR(__xludf.DUMMYFUNCTION("""COMPUTED_VALUE"""),"olahraga")</f>
        <v>olahraga</v>
      </c>
      <c r="V1979" s="11" t="str">
        <f>IFERROR(__xludf.DUMMYFUNCTION("""COMPUTED_VALUE"""),"083842710075")</f>
        <v>083842710075</v>
      </c>
      <c r="W1979" s="15"/>
    </row>
    <row r="1980">
      <c r="A1980" s="45"/>
      <c r="B1980" s="9">
        <f>IFERROR(__xludf.DUMMYFUNCTION("""COMPUTED_VALUE"""),45624.903458368055)</f>
        <v>45624.90346</v>
      </c>
      <c r="C1980" s="9"/>
      <c r="D1980" s="10">
        <f>IFERROR(__xludf.DUMMYFUNCTION("""COMPUTED_VALUE"""),45642.0)</f>
        <v>45642</v>
      </c>
      <c r="E1980" s="10" t="str">
        <f>IFERROR(__xludf.DUMMYFUNCTION("""COMPUTED_VALUE"""),"12Des")</f>
        <v>12Des</v>
      </c>
      <c r="F1980" s="10" t="str">
        <f>IFERROR(__xludf.DUMMYFUNCTION("""COMPUTED_VALUE"""),"2024")</f>
        <v>2024</v>
      </c>
      <c r="G1980" s="35" t="str">
        <f>IFERROR(__xludf.DUMMYFUNCTION("""COMPUTED_VALUE"""),"SITI NURFAH")</f>
        <v>SITI NURFAH</v>
      </c>
      <c r="H1980" s="35" t="str">
        <f>IFERROR(__xludf.DUMMYFUNCTION("""COMPUTED_VALUE"""),"S9824121996")</f>
        <v>S9824121996</v>
      </c>
      <c r="I1980" s="35">
        <f>IFERROR(__xludf.DUMMYFUNCTION("""COMPUTED_VALUE"""),28.0)</f>
        <v>28</v>
      </c>
      <c r="J1980" s="35" t="str">
        <f>IFERROR(__xludf.DUMMYFUNCTION("""COMPUTED_VALUE"""),"25-34 tahun")</f>
        <v>25-34 tahun</v>
      </c>
      <c r="K1980" s="19">
        <f>IFERROR(__xludf.DUMMYFUNCTION("""COMPUTED_VALUE"""),35950.0)</f>
        <v>35950</v>
      </c>
      <c r="L1980" s="19" t="str">
        <f>IFERROR(__xludf.DUMMYFUNCTION("""COMPUTED_VALUE"""),"PEREMPUAN")</f>
        <v>PEREMPUAN</v>
      </c>
      <c r="M1980" s="35" t="str">
        <f>IFERROR(__xludf.DUMMYFUNCTION("""COMPUTED_VALUE"""),"JL ALIANYANG KOMPLEK ASPOL HONGGO PRANOTO")</f>
        <v>JL ALIANYANG KOMPLEK ASPOL HONGGO PRANOTO</v>
      </c>
      <c r="N1980" s="16" t="str">
        <f>IFERROR(__xludf.DUMMYFUNCTION("""COMPUTED_VALUE"""),"SUNGAI BANGKONG")</f>
        <v>SUNGAI BANGKONG</v>
      </c>
      <c r="O1980" s="16" t="str">
        <f>IFERROR(__xludf.DUMMYFUNCTION("""COMPUTED_VALUE"""),"KEC. PONTIANAK KOTA")</f>
        <v>KEC. PONTIANAK KOTA</v>
      </c>
      <c r="P1980" s="16" t="str">
        <f>IFERROR(__xludf.DUMMYFUNCTION("""COMPUTED_VALUE"""),"KOTA PONTIANAK")</f>
        <v>KOTA PONTIANAK</v>
      </c>
      <c r="Q1980" s="16" t="str">
        <f>IFERROR(__xludf.DUMMYFUNCTION("""COMPUTED_VALUE"""),"KALIMANTAN BARAT")</f>
        <v>KALIMANTAN BARAT</v>
      </c>
      <c r="R1980" s="19" t="str">
        <f>IFERROR(__xludf.DUMMYFUNCTION("""COMPUTED_VALUE"""),"ISLAM")</f>
        <v>ISLAM</v>
      </c>
      <c r="S1980" s="36" t="str">
        <f>IFERROR(__xludf.DUMMYFUNCTION("""COMPUTED_VALUE"""),"WIRASWASTA")</f>
        <v>WIRASWASTA</v>
      </c>
      <c r="T1980" s="16" t="str">
        <f>IFERROR(__xludf.DUMMYFUNCTION("""COMPUTED_VALUE"""),"Bell's Palsy")</f>
        <v>Bell's Palsy</v>
      </c>
      <c r="U1980" s="16" t="str">
        <f>IFERROR(__xludf.DUMMYFUNCTION("""COMPUTED_VALUE"""),"Olahraga")</f>
        <v>Olahraga</v>
      </c>
      <c r="V1980" s="11" t="str">
        <f>IFERROR(__xludf.DUMMYFUNCTION("""COMPUTED_VALUE"""),"089614151996")</f>
        <v>089614151996</v>
      </c>
      <c r="W1980" s="15"/>
    </row>
    <row r="1981">
      <c r="A1981" s="45"/>
      <c r="B1981" s="9"/>
      <c r="C1981" s="9"/>
      <c r="D1981" s="10">
        <f>IFERROR(__xludf.DUMMYFUNCTION("""COMPUTED_VALUE"""),45643.0)</f>
        <v>45643</v>
      </c>
      <c r="E1981" s="10" t="str">
        <f>IFERROR(__xludf.DUMMYFUNCTION("""COMPUTED_VALUE"""),"12Des")</f>
        <v>12Des</v>
      </c>
      <c r="F1981" s="10" t="str">
        <f>IFERROR(__xludf.DUMMYFUNCTION("""COMPUTED_VALUE"""),"2024")</f>
        <v>2024</v>
      </c>
      <c r="G1981" s="35" t="str">
        <f>IFERROR(__xludf.DUMMYFUNCTION("""COMPUTED_VALUE"""),"DAVIN ARIFIN")</f>
        <v>DAVIN ARIFIN</v>
      </c>
      <c r="H1981" s="35" t="str">
        <f>IFERROR(__xludf.DUMMYFUNCTION("""COMPUTED_VALUE"""),"D9724128118")</f>
        <v>D9724128118</v>
      </c>
      <c r="I1981" s="35">
        <f>IFERROR(__xludf.DUMMYFUNCTION("""COMPUTED_VALUE"""),29.0)</f>
        <v>29</v>
      </c>
      <c r="J1981" s="35" t="str">
        <f>IFERROR(__xludf.DUMMYFUNCTION("""COMPUTED_VALUE"""),"25-34 tahun")</f>
        <v>25-34 tahun</v>
      </c>
      <c r="K1981" s="19">
        <f>IFERROR(__xludf.DUMMYFUNCTION("""COMPUTED_VALUE"""),35542.0)</f>
        <v>35542</v>
      </c>
      <c r="L1981" s="19" t="str">
        <f>IFERROR(__xludf.DUMMYFUNCTION("""COMPUTED_VALUE"""),"LAKI-LAKI")</f>
        <v>LAKI-LAKI</v>
      </c>
      <c r="M1981" s="35" t="str">
        <f>IFERROR(__xludf.DUMMYFUNCTION("""COMPUTED_VALUE"""),"KARYA BARU")</f>
        <v>KARYA BARU</v>
      </c>
      <c r="N1981" s="16" t="str">
        <f>IFERROR(__xludf.DUMMYFUNCTION("""COMPUTED_VALUE"""),"PARIT TOKAYA")</f>
        <v>PARIT TOKAYA</v>
      </c>
      <c r="O1981" s="16" t="str">
        <f>IFERROR(__xludf.DUMMYFUNCTION("""COMPUTED_VALUE"""),"KEC. PONTIANAK SELATAN")</f>
        <v>KEC. PONTIANAK SELATAN</v>
      </c>
      <c r="P1981" s="16" t="str">
        <f>IFERROR(__xludf.DUMMYFUNCTION("""COMPUTED_VALUE"""),"KOTA PONTIANAK")</f>
        <v>KOTA PONTIANAK</v>
      </c>
      <c r="Q1981" s="16" t="str">
        <f>IFERROR(__xludf.DUMMYFUNCTION("""COMPUTED_VALUE"""),"KALIMANTAN BARAT")</f>
        <v>KALIMANTAN BARAT</v>
      </c>
      <c r="R1981" s="19" t="str">
        <f>IFERROR(__xludf.DUMMYFUNCTION("""COMPUTED_VALUE"""),"KATOLIK")</f>
        <v>KATOLIK</v>
      </c>
      <c r="S1981" s="36" t="str">
        <f>IFERROR(__xludf.DUMMYFUNCTION("""COMPUTED_VALUE"""),"WIRASWASTA")</f>
        <v>WIRASWASTA</v>
      </c>
      <c r="T1981" s="16" t="str">
        <f>IFERROR(__xludf.DUMMYFUNCTION("""COMPUTED_VALUE"""),"SAKIT LEHER")</f>
        <v>SAKIT LEHER</v>
      </c>
      <c r="U1981" s="16" t="str">
        <f>IFERROR(__xludf.DUMMYFUNCTION("""COMPUTED_VALUE"""),"OLAHRAGA")</f>
        <v>OLAHRAGA</v>
      </c>
      <c r="V1981" s="11" t="str">
        <f>IFERROR(__xludf.DUMMYFUNCTION("""COMPUTED_VALUE"""),"082157238118")</f>
        <v>082157238118</v>
      </c>
      <c r="W1981" s="15"/>
    </row>
    <row r="1982">
      <c r="A1982" s="45"/>
      <c r="B1982" s="9">
        <f>IFERROR(__xludf.DUMMYFUNCTION("""COMPUTED_VALUE"""),45625.57533277778)</f>
        <v>45625.57533</v>
      </c>
      <c r="C1982" s="9"/>
      <c r="D1982" s="10">
        <f>IFERROR(__xludf.DUMMYFUNCTION("""COMPUTED_VALUE"""),45644.0)</f>
        <v>45644</v>
      </c>
      <c r="E1982" s="10" t="str">
        <f>IFERROR(__xludf.DUMMYFUNCTION("""COMPUTED_VALUE"""),"12Des")</f>
        <v>12Des</v>
      </c>
      <c r="F1982" s="10" t="str">
        <f>IFERROR(__xludf.DUMMYFUNCTION("""COMPUTED_VALUE"""),"2024")</f>
        <v>2024</v>
      </c>
      <c r="G1982" s="35" t="str">
        <f>IFERROR(__xludf.DUMMYFUNCTION("""COMPUTED_VALUE"""),"ERWIN CIPTA WIJAYA")</f>
        <v>ERWIN CIPTA WIJAYA</v>
      </c>
      <c r="H1982" s="35" t="str">
        <f>IFERROR(__xludf.DUMMYFUNCTION("""COMPUTED_VALUE"""),"E8924128386")</f>
        <v>E8924128386</v>
      </c>
      <c r="I1982" s="35">
        <f>IFERROR(__xludf.DUMMYFUNCTION("""COMPUTED_VALUE"""),37.0)</f>
        <v>37</v>
      </c>
      <c r="J1982" s="35" t="str">
        <f>IFERROR(__xludf.DUMMYFUNCTION("""COMPUTED_VALUE"""),"35-44 tahun")</f>
        <v>35-44 tahun</v>
      </c>
      <c r="K1982" s="19">
        <f>IFERROR(__xludf.DUMMYFUNCTION("""COMPUTED_VALUE"""),32660.0)</f>
        <v>32660</v>
      </c>
      <c r="L1982" s="19" t="str">
        <f>IFERROR(__xludf.DUMMYFUNCTION("""COMPUTED_VALUE"""),"LAKI-LAKI")</f>
        <v>LAKI-LAKI</v>
      </c>
      <c r="M1982" s="35" t="str">
        <f>IFERROR(__xludf.DUMMYFUNCTION("""COMPUTED_VALUE"""),"GAJAHMADA NO.195")</f>
        <v>GAJAHMADA NO.195</v>
      </c>
      <c r="N1982" s="16" t="str">
        <f>IFERROR(__xludf.DUMMYFUNCTION("""COMPUTED_VALUE"""),"KEL. BENUA MELAYU DARAT")</f>
        <v>KEL. BENUA MELAYU DARAT</v>
      </c>
      <c r="O1982" s="56" t="str">
        <f>IFERROR(__xludf.DUMMYFUNCTION("""COMPUTED_VALUE"""),"KEC. PONTIANAK SELATAN")</f>
        <v>KEC. PONTIANAK SELATAN</v>
      </c>
      <c r="P1982" s="16" t="str">
        <f>IFERROR(__xludf.DUMMYFUNCTION("""COMPUTED_VALUE"""),"KOTA PONTIANAK")</f>
        <v>KOTA PONTIANAK</v>
      </c>
      <c r="Q1982" s="16" t="str">
        <f>IFERROR(__xludf.DUMMYFUNCTION("""COMPUTED_VALUE"""),"KALIMANTAN BARAT")</f>
        <v>KALIMANTAN BARAT</v>
      </c>
      <c r="R1982" s="19" t="str">
        <f>IFERROR(__xludf.DUMMYFUNCTION("""COMPUTED_VALUE"""),"KATOLIK")</f>
        <v>KATOLIK</v>
      </c>
      <c r="S1982" s="36" t="str">
        <f>IFERROR(__xludf.DUMMYFUNCTION("""COMPUTED_VALUE"""),"WIRASWASTA")</f>
        <v>WIRASWASTA</v>
      </c>
      <c r="T1982" s="16" t="str">
        <f>IFERROR(__xludf.DUMMYFUNCTION("""COMPUTED_VALUE"""),"Angkel")</f>
        <v>Angkel</v>
      </c>
      <c r="U1982" s="16" t="str">
        <f>IFERROR(__xludf.DUMMYFUNCTION("""COMPUTED_VALUE"""),"Kerj")</f>
        <v>Kerj</v>
      </c>
      <c r="V1982" s="11" t="str">
        <f>IFERROR(__xludf.DUMMYFUNCTION("""COMPUTED_VALUE"""),"082256898386")</f>
        <v>082256898386</v>
      </c>
      <c r="W1982" s="15"/>
    </row>
    <row r="1983">
      <c r="A1983" s="45"/>
      <c r="B1983" s="9">
        <f>IFERROR(__xludf.DUMMYFUNCTION("""COMPUTED_VALUE"""),45625.57680872685)</f>
        <v>45625.57681</v>
      </c>
      <c r="C1983" s="9"/>
      <c r="D1983" s="10">
        <f>IFERROR(__xludf.DUMMYFUNCTION("""COMPUTED_VALUE"""),45644.0)</f>
        <v>45644</v>
      </c>
      <c r="E1983" s="10" t="str">
        <f>IFERROR(__xludf.DUMMYFUNCTION("""COMPUTED_VALUE"""),"12Des")</f>
        <v>12Des</v>
      </c>
      <c r="F1983" s="10" t="str">
        <f>IFERROR(__xludf.DUMMYFUNCTION("""COMPUTED_VALUE"""),"2024")</f>
        <v>2024</v>
      </c>
      <c r="G1983" s="35" t="str">
        <f>IFERROR(__xludf.DUMMYFUNCTION("""COMPUTED_VALUE"""),"ALI RIDHO")</f>
        <v>ALI RIDHO</v>
      </c>
      <c r="H1983" s="35" t="str">
        <f>IFERROR(__xludf.DUMMYFUNCTION("""COMPUTED_VALUE"""),"A8324120778")</f>
        <v>A8324120778</v>
      </c>
      <c r="I1983" s="35">
        <f>IFERROR(__xludf.DUMMYFUNCTION("""COMPUTED_VALUE"""),42.0)</f>
        <v>42</v>
      </c>
      <c r="J1983" s="35" t="str">
        <f>IFERROR(__xludf.DUMMYFUNCTION("""COMPUTED_VALUE"""),"35-44 tahun")</f>
        <v>35-44 tahun</v>
      </c>
      <c r="K1983" s="19">
        <f>IFERROR(__xludf.DUMMYFUNCTION("""COMPUTED_VALUE"""),30548.0)</f>
        <v>30548</v>
      </c>
      <c r="L1983" s="19" t="str">
        <f>IFERROR(__xludf.DUMMYFUNCTION("""COMPUTED_VALUE"""),"LAKI-LAKI")</f>
        <v>LAKI-LAKI</v>
      </c>
      <c r="M1983" s="35" t="str">
        <f>IFERROR(__xludf.DUMMYFUNCTION("""COMPUTED_VALUE"""),"JL PARIT H HUSIN II GG ANGGREK NO 17")</f>
        <v>JL PARIT H HUSIN II GG ANGGREK NO 17</v>
      </c>
      <c r="N1983" s="16" t="str">
        <f>IFERROR(__xludf.DUMMYFUNCTION("""COMPUTED_VALUE"""),"KEL. BANGKA BELITUNG DARAT")</f>
        <v>KEL. BANGKA BELITUNG DARAT</v>
      </c>
      <c r="O1983" s="66" t="str">
        <f>IFERROR(__xludf.DUMMYFUNCTION("""COMPUTED_VALUE"""),"KEC. PONTIANAK BARAT")</f>
        <v>KEC. PONTIANAK BARAT</v>
      </c>
      <c r="P1983" s="16" t="str">
        <f>IFERROR(__xludf.DUMMYFUNCTION("""COMPUTED_VALUE"""),"KOTA PONTIANAK")</f>
        <v>KOTA PONTIANAK</v>
      </c>
      <c r="Q1983" s="16" t="str">
        <f>IFERROR(__xludf.DUMMYFUNCTION("""COMPUTED_VALUE"""),"KALIMANTAN BARAT")</f>
        <v>KALIMANTAN BARAT</v>
      </c>
      <c r="R1983" s="19" t="str">
        <f>IFERROR(__xludf.DUMMYFUNCTION("""COMPUTED_VALUE"""),"ISLAM")</f>
        <v>ISLAM</v>
      </c>
      <c r="S1983" s="36" t="str">
        <f>IFERROR(__xludf.DUMMYFUNCTION("""COMPUTED_VALUE"""),"BUMN")</f>
        <v>BUMN</v>
      </c>
      <c r="T1983" s="16" t="str">
        <f>IFERROR(__xludf.DUMMYFUNCTION("""COMPUTED_VALUE"""),"Nyeri otot pangkal paha kiri dan paha kiri")</f>
        <v>Nyeri otot pangkal paha kiri dan paha kiri</v>
      </c>
      <c r="U1983" s="16" t="str">
        <f>IFERROR(__xludf.DUMMYFUNCTION("""COMPUTED_VALUE"""),"Jalan jauh menggunakan mobil lebih dari 3 jam semingu 2 kali")</f>
        <v>Jalan jauh menggunakan mobil lebih dari 3 jam semingu 2 kali</v>
      </c>
      <c r="V1983" s="11" t="str">
        <f>IFERROR(__xludf.DUMMYFUNCTION("""COMPUTED_VALUE"""),"082158880778")</f>
        <v>082158880778</v>
      </c>
      <c r="W1983" s="15"/>
    </row>
    <row r="1984">
      <c r="A1984" s="45"/>
      <c r="B1984" s="9">
        <f>IFERROR(__xludf.DUMMYFUNCTION("""COMPUTED_VALUE"""),45626.38252594907)</f>
        <v>45626.38253</v>
      </c>
      <c r="C1984" s="9"/>
      <c r="D1984" s="10">
        <f>IFERROR(__xludf.DUMMYFUNCTION("""COMPUTED_VALUE"""),45644.0)</f>
        <v>45644</v>
      </c>
      <c r="E1984" s="10" t="str">
        <f>IFERROR(__xludf.DUMMYFUNCTION("""COMPUTED_VALUE"""),"12Des")</f>
        <v>12Des</v>
      </c>
      <c r="F1984" s="10" t="str">
        <f>IFERROR(__xludf.DUMMYFUNCTION("""COMPUTED_VALUE"""),"2024")</f>
        <v>2024</v>
      </c>
      <c r="G1984" s="35" t="str">
        <f>IFERROR(__xludf.DUMMYFUNCTION("""COMPUTED_VALUE"""),"CHANDRA ALIP PRATAMA")</f>
        <v>CHANDRA ALIP PRATAMA</v>
      </c>
      <c r="H1984" s="35" t="str">
        <f>IFERROR(__xludf.DUMMYFUNCTION("""COMPUTED_VALUE"""),"C9524123795")</f>
        <v>C9524123795</v>
      </c>
      <c r="I1984" s="35">
        <f>IFERROR(__xludf.DUMMYFUNCTION("""COMPUTED_VALUE"""),30.0)</f>
        <v>30</v>
      </c>
      <c r="J1984" s="35" t="str">
        <f>IFERROR(__xludf.DUMMYFUNCTION("""COMPUTED_VALUE"""),"25-34 tahun")</f>
        <v>25-34 tahun</v>
      </c>
      <c r="K1984" s="19">
        <f>IFERROR(__xludf.DUMMYFUNCTION("""COMPUTED_VALUE"""),34935.0)</f>
        <v>34935</v>
      </c>
      <c r="L1984" s="19" t="str">
        <f>IFERROR(__xludf.DUMMYFUNCTION("""COMPUTED_VALUE"""),"LAKI-LAKI")</f>
        <v>LAKI-LAKI</v>
      </c>
      <c r="M1984" s="35" t="str">
        <f>IFERROR(__xludf.DUMMYFUNCTION("""COMPUTED_VALUE"""),"GANG LESTARI, SUNGAI DURIAN")</f>
        <v>GANG LESTARI, SUNGAI DURIAN</v>
      </c>
      <c r="N1984" s="16" t="str">
        <f>IFERROR(__xludf.DUMMYFUNCTION("""COMPUTED_VALUE"""),"DS. LIMBUNG")</f>
        <v>DS. LIMBUNG</v>
      </c>
      <c r="O1984" s="56" t="str">
        <f>IFERROR(__xludf.DUMMYFUNCTION("""COMPUTED_VALUE"""),"KEC. SUNGAI RAYA")</f>
        <v>KEC. SUNGAI RAYA</v>
      </c>
      <c r="P1984" s="16" t="str">
        <f>IFERROR(__xludf.DUMMYFUNCTION("""COMPUTED_VALUE"""),"KAB. KUBU RAYA")</f>
        <v>KAB. KUBU RAYA</v>
      </c>
      <c r="Q1984" s="16" t="str">
        <f>IFERROR(__xludf.DUMMYFUNCTION("""COMPUTED_VALUE"""),"KALIMANTAN BARAT")</f>
        <v>KALIMANTAN BARAT</v>
      </c>
      <c r="R1984" s="19" t="str">
        <f>IFERROR(__xludf.DUMMYFUNCTION("""COMPUTED_VALUE"""),"ISLAM")</f>
        <v>ISLAM</v>
      </c>
      <c r="S1984" s="36" t="str">
        <f>IFERROR(__xludf.DUMMYFUNCTION("""COMPUTED_VALUE"""),"FREELANCE")</f>
        <v>FREELANCE</v>
      </c>
      <c r="T1984" s="16" t="str">
        <f>IFERROR(__xludf.DUMMYFUNCTION("""COMPUTED_VALUE"""),"Meniscus")</f>
        <v>Meniscus</v>
      </c>
      <c r="U1984" s="16" t="str">
        <f>IFERROR(__xludf.DUMMYFUNCTION("""COMPUTED_VALUE"""),"Jogging, hiking, mini soccer")</f>
        <v>Jogging, hiking, mini soccer</v>
      </c>
      <c r="V1984" s="11" t="str">
        <f>IFERROR(__xludf.DUMMYFUNCTION("""COMPUTED_VALUE"""),"082221003795")</f>
        <v>082221003795</v>
      </c>
      <c r="W1984" s="15"/>
    </row>
    <row r="1985">
      <c r="A1985" s="45"/>
      <c r="B1985" s="9">
        <f>IFERROR(__xludf.DUMMYFUNCTION("""COMPUTED_VALUE"""),45625.69585697917)</f>
        <v>45625.69586</v>
      </c>
      <c r="C1985" s="9"/>
      <c r="D1985" s="10">
        <f>IFERROR(__xludf.DUMMYFUNCTION("""COMPUTED_VALUE"""),45645.0)</f>
        <v>45645</v>
      </c>
      <c r="E1985" s="10" t="str">
        <f>IFERROR(__xludf.DUMMYFUNCTION("""COMPUTED_VALUE"""),"12Des")</f>
        <v>12Des</v>
      </c>
      <c r="F1985" s="10" t="str">
        <f>IFERROR(__xludf.DUMMYFUNCTION("""COMPUTED_VALUE"""),"2024")</f>
        <v>2024</v>
      </c>
      <c r="G1985" s="35" t="str">
        <f>IFERROR(__xludf.DUMMYFUNCTION("""COMPUTED_VALUE"""),"CAREEN CHANDRA")</f>
        <v>CAREEN CHANDRA</v>
      </c>
      <c r="H1985" s="35" t="str">
        <f>IFERROR(__xludf.DUMMYFUNCTION("""COMPUTED_VALUE"""),"C9624126650")</f>
        <v>C9624126650</v>
      </c>
      <c r="I1985" s="35">
        <f>IFERROR(__xludf.DUMMYFUNCTION("""COMPUTED_VALUE"""),29.0)</f>
        <v>29</v>
      </c>
      <c r="J1985" s="35" t="str">
        <f>IFERROR(__xludf.DUMMYFUNCTION("""COMPUTED_VALUE"""),"25-34 tahun")</f>
        <v>25-34 tahun</v>
      </c>
      <c r="K1985" s="19">
        <f>IFERROR(__xludf.DUMMYFUNCTION("""COMPUTED_VALUE"""),35300.0)</f>
        <v>35300</v>
      </c>
      <c r="L1985" s="19" t="str">
        <f>IFERROR(__xludf.DUMMYFUNCTION("""COMPUTED_VALUE"""),"PEREMPUAN")</f>
        <v>PEREMPUAN</v>
      </c>
      <c r="M1985" s="35" t="str">
        <f>IFERROR(__xludf.DUMMYFUNCTION("""COMPUTED_VALUE"""),"JL PURNAMA 1 KOMPLEK MEGA PURNAMA NO 89K")</f>
        <v>JL PURNAMA 1 KOMPLEK MEGA PURNAMA NO 89K</v>
      </c>
      <c r="N1985" s="16" t="str">
        <f>IFERROR(__xludf.DUMMYFUNCTION("""COMPUTED_VALUE"""),"KEL. PARIT TOKAYA")</f>
        <v>KEL. PARIT TOKAYA</v>
      </c>
      <c r="O1985" s="16" t="str">
        <f>IFERROR(__xludf.DUMMYFUNCTION("""COMPUTED_VALUE"""),"KEC. PONTIANAK SELATAN")</f>
        <v>KEC. PONTIANAK SELATAN</v>
      </c>
      <c r="P1985" s="16" t="str">
        <f>IFERROR(__xludf.DUMMYFUNCTION("""COMPUTED_VALUE"""),"KOTA PONTIANAK")</f>
        <v>KOTA PONTIANAK</v>
      </c>
      <c r="Q1985" s="16" t="str">
        <f>IFERROR(__xludf.DUMMYFUNCTION("""COMPUTED_VALUE"""),"KALIMANTAN BARAT")</f>
        <v>KALIMANTAN BARAT</v>
      </c>
      <c r="R1985" s="19" t="str">
        <f>IFERROR(__xludf.DUMMYFUNCTION("""COMPUTED_VALUE"""),"BUDDHA")</f>
        <v>BUDDHA</v>
      </c>
      <c r="S1985" s="16" t="str">
        <f>IFERROR(__xludf.DUMMYFUNCTION("""COMPUTED_VALUE"""),"SWASTA")</f>
        <v>SWASTA</v>
      </c>
      <c r="T1985" s="16" t="str">
        <f>IFERROR(__xludf.DUMMYFUNCTION("""COMPUTED_VALUE"""),"Punggung ke pinggang ke tarik")</f>
        <v>Punggung ke pinggang ke tarik</v>
      </c>
      <c r="U1985" s="16" t="str">
        <f>IFERROR(__xludf.DUMMYFUNCTION("""COMPUTED_VALUE"""),"Kerja kantoran")</f>
        <v>Kerja kantoran</v>
      </c>
      <c r="V1985" s="11" t="str">
        <f>IFERROR(__xludf.DUMMYFUNCTION("""COMPUTED_VALUE"""),"082148766650")</f>
        <v>082148766650</v>
      </c>
      <c r="W1985" s="15"/>
    </row>
    <row r="1986">
      <c r="A1986" s="45"/>
      <c r="B1986" s="9">
        <f>IFERROR(__xludf.DUMMYFUNCTION("""COMPUTED_VALUE"""),45626.38252594907)</f>
        <v>45626.38253</v>
      </c>
      <c r="C1986" s="9"/>
      <c r="D1986" s="10">
        <f>IFERROR(__xludf.DUMMYFUNCTION("""COMPUTED_VALUE"""),45646.0)</f>
        <v>45646</v>
      </c>
      <c r="E1986" s="10" t="str">
        <f>IFERROR(__xludf.DUMMYFUNCTION("""COMPUTED_VALUE"""),"12Des")</f>
        <v>12Des</v>
      </c>
      <c r="F1986" s="10" t="str">
        <f>IFERROR(__xludf.DUMMYFUNCTION("""COMPUTED_VALUE"""),"2024")</f>
        <v>2024</v>
      </c>
      <c r="G1986" s="35" t="str">
        <f>IFERROR(__xludf.DUMMYFUNCTION("""COMPUTED_VALUE"""),"DEDI KURNIAWAN")</f>
        <v>DEDI KURNIAWAN</v>
      </c>
      <c r="H1986" s="35" t="str">
        <f>IFERROR(__xludf.DUMMYFUNCTION("""COMPUTED_VALUE"""),"D0424120515")</f>
        <v>D0424120515</v>
      </c>
      <c r="I1986" s="35">
        <f>IFERROR(__xludf.DUMMYFUNCTION("""COMPUTED_VALUE"""),22.0)</f>
        <v>22</v>
      </c>
      <c r="J1986" s="35" t="str">
        <f>IFERROR(__xludf.DUMMYFUNCTION("""COMPUTED_VALUE"""),"18-24 tahun")</f>
        <v>18-24 tahun</v>
      </c>
      <c r="K1986" s="19">
        <f>IFERROR(__xludf.DUMMYFUNCTION("""COMPUTED_VALUE"""),38068.0)</f>
        <v>38068</v>
      </c>
      <c r="L1986" s="19" t="str">
        <f>IFERROR(__xludf.DUMMYFUNCTION("""COMPUTED_VALUE"""),"LAKI-LAKI")</f>
        <v>LAKI-LAKI</v>
      </c>
      <c r="M1986" s="35" t="str">
        <f>IFERROR(__xludf.DUMMYFUNCTION("""COMPUTED_VALUE"""),"DESA LEBAK UBAH KEC SUNGAI TEBELIAN KABUPATEN SINTANG")</f>
        <v>DESA LEBAK UBAH KEC SUNGAI TEBELIAN KABUPATEN SINTANG</v>
      </c>
      <c r="N1986" s="16" t="str">
        <f>IFERROR(__xludf.DUMMYFUNCTION("""COMPUTED_VALUE"""),"DS. LEBAK")</f>
        <v>DS. LEBAK</v>
      </c>
      <c r="O1986" s="16" t="str">
        <f>IFERROR(__xludf.DUMMYFUNCTION("""COMPUTED_VALUE"""),"KEC. SUNGAI TEBELIAN")</f>
        <v>KEC. SUNGAI TEBELIAN</v>
      </c>
      <c r="P1986" s="16" t="str">
        <f>IFERROR(__xludf.DUMMYFUNCTION("""COMPUTED_VALUE"""),"KAB. SINTANG")</f>
        <v>KAB. SINTANG</v>
      </c>
      <c r="Q1986" s="16" t="str">
        <f>IFERROR(__xludf.DUMMYFUNCTION("""COMPUTED_VALUE"""),"KALIMANTAN BARAT")</f>
        <v>KALIMANTAN BARAT</v>
      </c>
      <c r="R1986" s="19" t="str">
        <f>IFERROR(__xludf.DUMMYFUNCTION("""COMPUTED_VALUE"""),"]")</f>
        <v>]</v>
      </c>
      <c r="S1986" s="16" t="str">
        <f>IFERROR(__xludf.DUMMYFUNCTION("""COMPUTED_VALUE"""),"TNI/POLRI")</f>
        <v>TNI/POLRI</v>
      </c>
      <c r="T1986" s="16" t="str">
        <f>IFERROR(__xludf.DUMMYFUNCTION("""COMPUTED_VALUE"""),"sakit pada bagian tulang kering")</f>
        <v>sakit pada bagian tulang kering</v>
      </c>
      <c r="U1986" s="16" t="str">
        <f>IFERROR(__xludf.DUMMYFUNCTION("""COMPUTED_VALUE"""),"olahraga lari")</f>
        <v>olahraga lari</v>
      </c>
      <c r="V1986" s="11" t="str">
        <f>IFERROR(__xludf.DUMMYFUNCTION("""COMPUTED_VALUE"""),"082159750515")</f>
        <v>082159750515</v>
      </c>
      <c r="W1986" s="15"/>
    </row>
    <row r="1987">
      <c r="A1987" s="45"/>
      <c r="B1987" s="9">
        <f>IFERROR(__xludf.DUMMYFUNCTION("""COMPUTED_VALUE"""),45626.59008178241)</f>
        <v>45626.59008</v>
      </c>
      <c r="C1987" s="9"/>
      <c r="D1987" s="10">
        <f>IFERROR(__xludf.DUMMYFUNCTION("""COMPUTED_VALUE"""),45646.0)</f>
        <v>45646</v>
      </c>
      <c r="E1987" s="10" t="str">
        <f>IFERROR(__xludf.DUMMYFUNCTION("""COMPUTED_VALUE"""),"12Des")</f>
        <v>12Des</v>
      </c>
      <c r="F1987" s="10" t="str">
        <f>IFERROR(__xludf.DUMMYFUNCTION("""COMPUTED_VALUE"""),"2024")</f>
        <v>2024</v>
      </c>
      <c r="G1987" s="35" t="str">
        <f>IFERROR(__xludf.DUMMYFUNCTION("""COMPUTED_VALUE"""),"MUHAMMAD ALVIN HIDAYAT")</f>
        <v>MUHAMMAD ALVIN HIDAYAT</v>
      </c>
      <c r="H1987" s="35" t="str">
        <f>IFERROR(__xludf.DUMMYFUNCTION("""COMPUTED_VALUE"""),"M1124123015")</f>
        <v>M1124123015</v>
      </c>
      <c r="I1987" s="35">
        <f>IFERROR(__xludf.DUMMYFUNCTION("""COMPUTED_VALUE"""),15.0)</f>
        <v>15</v>
      </c>
      <c r="J1987" s="35" t="str">
        <f>IFERROR(__xludf.DUMMYFUNCTION("""COMPUTED_VALUE"""),"&lt; 18 tahun")</f>
        <v>&lt; 18 tahun</v>
      </c>
      <c r="K1987" s="19">
        <f>IFERROR(__xludf.DUMMYFUNCTION("""COMPUTED_VALUE"""),40675.0)</f>
        <v>40675</v>
      </c>
      <c r="L1987" s="19" t="str">
        <f>IFERROR(__xludf.DUMMYFUNCTION("""COMPUTED_VALUE"""),"LAKI-LAKI")</f>
        <v>LAKI-LAKI</v>
      </c>
      <c r="M1987" s="35" t="str">
        <f>IFERROR(__xludf.DUMMYFUNCTION("""COMPUTED_VALUE"""),"JL. TEBU KOMP. TEBU MANDALA NO C.27")</f>
        <v>JL. TEBU KOMP. TEBU MANDALA NO C.27</v>
      </c>
      <c r="N1987" s="16" t="str">
        <f>IFERROR(__xludf.DUMMYFUNCTION("""COMPUTED_VALUE"""),"Sungai jawi dalam")</f>
        <v>Sungai jawi dalam</v>
      </c>
      <c r="O1987" s="16" t="str">
        <f>IFERROR(__xludf.DUMMYFUNCTION("""COMPUTED_VALUE"""),"Pontianak barat")</f>
        <v>Pontianak barat</v>
      </c>
      <c r="P1987" s="16" t="str">
        <f>IFERROR(__xludf.DUMMYFUNCTION("""COMPUTED_VALUE"""),"Kota pontianak")</f>
        <v>Kota pontianak</v>
      </c>
      <c r="Q1987" s="16" t="str">
        <f>IFERROR(__xludf.DUMMYFUNCTION("""COMPUTED_VALUE"""),"Kalimantan barat")</f>
        <v>Kalimantan barat</v>
      </c>
      <c r="R1987" s="19" t="str">
        <f>IFERROR(__xludf.DUMMYFUNCTION("""COMPUTED_VALUE"""),"ISLAM")</f>
        <v>ISLAM</v>
      </c>
      <c r="S1987" s="16" t="str">
        <f>IFERROR(__xludf.DUMMYFUNCTION("""COMPUTED_VALUE"""),"PELAJAR/MAHASISWA")</f>
        <v>PELAJAR/MAHASISWA</v>
      </c>
      <c r="T1987" s="16" t="str">
        <f>IFERROR(__xludf.DUMMYFUNCTION("""COMPUTED_VALUE"""),"Berjalan dan berlari tidak kokoh")</f>
        <v>Berjalan dan berlari tidak kokoh</v>
      </c>
      <c r="U1987" s="16" t="str">
        <f>IFERROR(__xludf.DUMMYFUNCTION("""COMPUTED_VALUE"""),"Bola Voli")</f>
        <v>Bola Voli</v>
      </c>
      <c r="V1987" s="11" t="str">
        <f>IFERROR(__xludf.DUMMYFUNCTION("""COMPUTED_VALUE"""),"081257513015")</f>
        <v>081257513015</v>
      </c>
      <c r="W1987" s="15"/>
    </row>
    <row r="1988">
      <c r="A1988" s="45"/>
      <c r="B1988" s="9">
        <f>IFERROR(__xludf.DUMMYFUNCTION("""COMPUTED_VALUE"""),45625.6394290625)</f>
        <v>45625.63943</v>
      </c>
      <c r="C1988" s="9"/>
      <c r="D1988" s="10">
        <f>IFERROR(__xludf.DUMMYFUNCTION("""COMPUTED_VALUE"""),45646.0)</f>
        <v>45646</v>
      </c>
      <c r="E1988" s="10" t="str">
        <f>IFERROR(__xludf.DUMMYFUNCTION("""COMPUTED_VALUE"""),"12Des")</f>
        <v>12Des</v>
      </c>
      <c r="F1988" s="10" t="str">
        <f>IFERROR(__xludf.DUMMYFUNCTION("""COMPUTED_VALUE"""),"2024")</f>
        <v>2024</v>
      </c>
      <c r="G1988" s="35" t="str">
        <f>IFERROR(__xludf.DUMMYFUNCTION("""COMPUTED_VALUE"""),"RIZKI HENDRAWAN")</f>
        <v>RIZKI HENDRAWAN</v>
      </c>
      <c r="H1988" s="35" t="str">
        <f>IFERROR(__xludf.DUMMYFUNCTION("""COMPUTED_VALUE"""),"R9924126490")</f>
        <v>R9924126490</v>
      </c>
      <c r="I1988" s="35">
        <f>IFERROR(__xludf.DUMMYFUNCTION("""COMPUTED_VALUE"""),26.0)</f>
        <v>26</v>
      </c>
      <c r="J1988" s="35" t="str">
        <f>IFERROR(__xludf.DUMMYFUNCTION("""COMPUTED_VALUE"""),"25-34 tahun")</f>
        <v>25-34 tahun</v>
      </c>
      <c r="K1988" s="19">
        <f>IFERROR(__xludf.DUMMYFUNCTION("""COMPUTED_VALUE"""),36377.0)</f>
        <v>36377</v>
      </c>
      <c r="L1988" s="19" t="str">
        <f>IFERROR(__xludf.DUMMYFUNCTION("""COMPUTED_VALUE"""),"LAKI-LAKI")</f>
        <v>LAKI-LAKI</v>
      </c>
      <c r="M1988" s="35" t="str">
        <f>IFERROR(__xludf.DUMMYFUNCTION("""COMPUTED_VALUE"""),"JL KOM YOS SUDARSO GG SAMBAS 4 NO 41")</f>
        <v>JL KOM YOS SUDARSO GG SAMBAS 4 NO 41</v>
      </c>
      <c r="N1988" s="16" t="str">
        <f>IFERROR(__xludf.DUMMYFUNCTION("""COMPUTED_VALUE"""),"KEL. SUNGAI BELIUNG")</f>
        <v>KEL. SUNGAI BELIUNG</v>
      </c>
      <c r="O1988" s="56" t="str">
        <f>IFERROR(__xludf.DUMMYFUNCTION("""COMPUTED_VALUE"""),"KEC. PONTIANAK BARAT")</f>
        <v>KEC. PONTIANAK BARAT</v>
      </c>
      <c r="P1988" s="16" t="str">
        <f>IFERROR(__xludf.DUMMYFUNCTION("""COMPUTED_VALUE"""),"KOTA PONTIANAK")</f>
        <v>KOTA PONTIANAK</v>
      </c>
      <c r="Q1988" s="16" t="str">
        <f>IFERROR(__xludf.DUMMYFUNCTION("""COMPUTED_VALUE"""),"KALIMANTAN BARAT")</f>
        <v>KALIMANTAN BARAT</v>
      </c>
      <c r="R1988" s="19" t="str">
        <f>IFERROR(__xludf.DUMMYFUNCTION("""COMPUTED_VALUE"""),"ISLAM")</f>
        <v>ISLAM</v>
      </c>
      <c r="S1988" s="36" t="str">
        <f>IFERROR(__xludf.DUMMYFUNCTION("""COMPUTED_VALUE"""),"TIDAK ADA")</f>
        <v>TIDAK ADA</v>
      </c>
      <c r="T1988" s="16" t="str">
        <f>IFERROR(__xludf.DUMMYFUNCTION("""COMPUTED_VALUE"""),"Ankle")</f>
        <v>Ankle</v>
      </c>
      <c r="U1988" s="16" t="str">
        <f>IFERROR(__xludf.DUMMYFUNCTION("""COMPUTED_VALUE"""),"Futsal/sepak bola")</f>
        <v>Futsal/sepak bola</v>
      </c>
      <c r="V1988" s="11" t="str">
        <f>IFERROR(__xludf.DUMMYFUNCTION("""COMPUTED_VALUE"""),"089618256490")</f>
        <v>089618256490</v>
      </c>
      <c r="W1988" s="15"/>
    </row>
    <row r="1989">
      <c r="A1989" s="45"/>
      <c r="B1989" s="9">
        <f>IFERROR(__xludf.DUMMYFUNCTION("""COMPUTED_VALUE"""),45627.39170611111)</f>
        <v>45627.39171</v>
      </c>
      <c r="C1989" s="9"/>
      <c r="D1989" s="10">
        <f>IFERROR(__xludf.DUMMYFUNCTION("""COMPUTED_VALUE"""),45646.0)</f>
        <v>45646</v>
      </c>
      <c r="E1989" s="10" t="str">
        <f>IFERROR(__xludf.DUMMYFUNCTION("""COMPUTED_VALUE"""),"12Des")</f>
        <v>12Des</v>
      </c>
      <c r="F1989" s="10" t="str">
        <f>IFERROR(__xludf.DUMMYFUNCTION("""COMPUTED_VALUE"""),"2024")</f>
        <v>2024</v>
      </c>
      <c r="G1989" s="35" t="str">
        <f>IFERROR(__xludf.DUMMYFUNCTION("""COMPUTED_VALUE"""),"MARIANI")</f>
        <v>MARIANI</v>
      </c>
      <c r="H1989" s="35" t="str">
        <f>IFERROR(__xludf.DUMMYFUNCTION("""COMPUTED_VALUE"""),"M7324123032")</f>
        <v>M7324123032</v>
      </c>
      <c r="I1989" s="35">
        <f>IFERROR(__xludf.DUMMYFUNCTION("""COMPUTED_VALUE"""),52.0)</f>
        <v>52</v>
      </c>
      <c r="J1989" s="35" t="str">
        <f>IFERROR(__xludf.DUMMYFUNCTION("""COMPUTED_VALUE"""),"&gt; 44 tahun")</f>
        <v>&gt; 44 tahun</v>
      </c>
      <c r="K1989" s="19">
        <f>IFERROR(__xludf.DUMMYFUNCTION("""COMPUTED_VALUE"""),26917.0)</f>
        <v>26917</v>
      </c>
      <c r="L1989" s="19" t="str">
        <f>IFERROR(__xludf.DUMMYFUNCTION("""COMPUTED_VALUE"""),"PEREMPUAN")</f>
        <v>PEREMPUAN</v>
      </c>
      <c r="M1989" s="35" t="str">
        <f>IFERROR(__xludf.DUMMYFUNCTION("""COMPUTED_VALUE"""),"JL.HUSEIN HAMZAH KOMPL VILLA ARTHALAND NO 23")</f>
        <v>JL.HUSEIN HAMZAH KOMPL VILLA ARTHALAND NO 23</v>
      </c>
      <c r="N1989" s="16" t="str">
        <f>IFERROR(__xludf.DUMMYFUNCTION("""COMPUTED_VALUE"""),"KEL. PAL LIMA")</f>
        <v>KEL. PAL LIMA</v>
      </c>
      <c r="O1989" s="56" t="str">
        <f>IFERROR(__xludf.DUMMYFUNCTION("""COMPUTED_VALUE"""),"KEC. PONTIANAK BARAT")</f>
        <v>KEC. PONTIANAK BARAT</v>
      </c>
      <c r="P1989" s="16" t="str">
        <f>IFERROR(__xludf.DUMMYFUNCTION("""COMPUTED_VALUE"""),"KOTA PONTIANAK")</f>
        <v>KOTA PONTIANAK</v>
      </c>
      <c r="Q1989" s="16" t="str">
        <f>IFERROR(__xludf.DUMMYFUNCTION("""COMPUTED_VALUE"""),"KALIMANTAN BARAT")</f>
        <v>KALIMANTAN BARAT</v>
      </c>
      <c r="R1989" s="19" t="str">
        <f>IFERROR(__xludf.DUMMYFUNCTION("""COMPUTED_VALUE"""),"ISLAM")</f>
        <v>ISLAM</v>
      </c>
      <c r="S1989" s="36" t="str">
        <f>IFERROR(__xludf.DUMMYFUNCTION("""COMPUTED_VALUE"""),"RUMAH TANGGA")</f>
        <v>RUMAH TANGGA</v>
      </c>
      <c r="T1989" s="16" t="str">
        <f>IFERROR(__xludf.DUMMYFUNCTION("""COMPUTED_VALUE"""),"Nyeri di bagian lutut")</f>
        <v>Nyeri di bagian lutut</v>
      </c>
      <c r="U1989" s="16" t="str">
        <f>IFERROR(__xludf.DUMMYFUNCTION("""COMPUTED_VALUE"""),"-")</f>
        <v>-</v>
      </c>
      <c r="V1989" s="11" t="str">
        <f>IFERROR(__xludf.DUMMYFUNCTION("""COMPUTED_VALUE"""),"085387303032")</f>
        <v>085387303032</v>
      </c>
      <c r="W1989" s="15"/>
    </row>
    <row r="1990">
      <c r="A1990" s="45"/>
      <c r="B1990" s="9">
        <f>IFERROR(__xludf.DUMMYFUNCTION("""COMPUTED_VALUE"""),45627.437459374996)</f>
        <v>45627.43746</v>
      </c>
      <c r="C1990" s="9"/>
      <c r="D1990" s="10">
        <f>IFERROR(__xludf.DUMMYFUNCTION("""COMPUTED_VALUE"""),45646.0)</f>
        <v>45646</v>
      </c>
      <c r="E1990" s="10" t="str">
        <f>IFERROR(__xludf.DUMMYFUNCTION("""COMPUTED_VALUE"""),"12Des")</f>
        <v>12Des</v>
      </c>
      <c r="F1990" s="10" t="str">
        <f>IFERROR(__xludf.DUMMYFUNCTION("""COMPUTED_VALUE"""),"2024")</f>
        <v>2024</v>
      </c>
      <c r="G1990" s="35" t="str">
        <f>IFERROR(__xludf.DUMMYFUNCTION("""COMPUTED_VALUE"""),"PONIJO")</f>
        <v>PONIJO</v>
      </c>
      <c r="H1990" s="35" t="str">
        <f>IFERROR(__xludf.DUMMYFUNCTION("""COMPUTED_VALUE"""),"P8324126348")</f>
        <v>P8324126348</v>
      </c>
      <c r="I1990" s="35">
        <f>IFERROR(__xludf.DUMMYFUNCTION("""COMPUTED_VALUE"""),42.0)</f>
        <v>42</v>
      </c>
      <c r="J1990" s="35" t="str">
        <f>IFERROR(__xludf.DUMMYFUNCTION("""COMPUTED_VALUE"""),"35-44 tahun")</f>
        <v>35-44 tahun</v>
      </c>
      <c r="K1990" s="19">
        <f>IFERROR(__xludf.DUMMYFUNCTION("""COMPUTED_VALUE"""),30652.0)</f>
        <v>30652</v>
      </c>
      <c r="L1990" s="19" t="str">
        <f>IFERROR(__xludf.DUMMYFUNCTION("""COMPUTED_VALUE"""),"LAKI-LAKI")</f>
        <v>LAKI-LAKI</v>
      </c>
      <c r="M1990" s="35" t="str">
        <f>IFERROR(__xludf.DUMMYFUNCTION("""COMPUTED_VALUE"""),"JL.KEMUNING KOMPLEK AMBASADOR RESIDENCE")</f>
        <v>JL.KEMUNING KOMPLEK AMBASADOR RESIDENCE</v>
      </c>
      <c r="N1990" s="16" t="str">
        <f>IFERROR(__xludf.DUMMYFUNCTION("""COMPUTED_VALUE"""),"DS. SUNGAI AMBAWANG KUALA")</f>
        <v>DS. SUNGAI AMBAWANG KUALA</v>
      </c>
      <c r="O1990" s="16" t="str">
        <f>IFERROR(__xludf.DUMMYFUNCTION("""COMPUTED_VALUE"""),"KEC. SUNGAI AMBAWANG")</f>
        <v>KEC. SUNGAI AMBAWANG</v>
      </c>
      <c r="P1990" s="16" t="str">
        <f>IFERROR(__xludf.DUMMYFUNCTION("""COMPUTED_VALUE"""),"KAB. KUBU RAYA")</f>
        <v>KAB. KUBU RAYA</v>
      </c>
      <c r="Q1990" s="16" t="str">
        <f>IFERROR(__xludf.DUMMYFUNCTION("""COMPUTED_VALUE"""),"KALIMANTAN BARAT")</f>
        <v>KALIMANTAN BARAT</v>
      </c>
      <c r="R1990" s="19" t="str">
        <f>IFERROR(__xludf.DUMMYFUNCTION("""COMPUTED_VALUE"""),"ISLAM")</f>
        <v>ISLAM</v>
      </c>
      <c r="S1990" s="36" t="str">
        <f>IFERROR(__xludf.DUMMYFUNCTION("""COMPUTED_VALUE"""),"SWASTA")</f>
        <v>SWASTA</v>
      </c>
      <c r="T1990" s="16" t="str">
        <f>IFERROR(__xludf.DUMMYFUNCTION("""COMPUTED_VALUE"""),"Nyeri di bagian paha,,,ketika organ tubuh lain bergerak dan pada saat melangkah jalan nyeri semangkin sakit")</f>
        <v>Nyeri di bagian paha,,,ketika organ tubuh lain bergerak dan pada saat melangkah jalan nyeri semangkin sakit</v>
      </c>
      <c r="U1990" s="16" t="str">
        <f>IFERROR(__xludf.DUMMYFUNCTION("""COMPUTED_VALUE"""),"Volly")</f>
        <v>Volly</v>
      </c>
      <c r="V1990" s="11" t="str">
        <f>IFERROR(__xludf.DUMMYFUNCTION("""COMPUTED_VALUE"""),"081345906348")</f>
        <v>081345906348</v>
      </c>
      <c r="W1990" s="15"/>
    </row>
    <row r="1991">
      <c r="A1991" s="45"/>
      <c r="B1991" s="9">
        <f>IFERROR(__xludf.DUMMYFUNCTION("""COMPUTED_VALUE"""),45627.51871390046)</f>
        <v>45627.51871</v>
      </c>
      <c r="C1991" s="9"/>
      <c r="D1991" s="10">
        <f>IFERROR(__xludf.DUMMYFUNCTION("""COMPUTED_VALUE"""),45647.0)</f>
        <v>45647</v>
      </c>
      <c r="E1991" s="10" t="str">
        <f>IFERROR(__xludf.DUMMYFUNCTION("""COMPUTED_VALUE"""),"12Des")</f>
        <v>12Des</v>
      </c>
      <c r="F1991" s="10" t="str">
        <f>IFERROR(__xludf.DUMMYFUNCTION("""COMPUTED_VALUE"""),"2024")</f>
        <v>2024</v>
      </c>
      <c r="G1991" s="35" t="str">
        <f>IFERROR(__xludf.DUMMYFUNCTION("""COMPUTED_VALUE"""),"SUKARNA")</f>
        <v>SUKARNA</v>
      </c>
      <c r="H1991" s="35" t="str">
        <f>IFERROR(__xludf.DUMMYFUNCTION("""COMPUTED_VALUE"""),"S5824126415")</f>
        <v>S5824126415</v>
      </c>
      <c r="I1991" s="35">
        <f>IFERROR(__xludf.DUMMYFUNCTION("""COMPUTED_VALUE"""),68.0)</f>
        <v>68</v>
      </c>
      <c r="J1991" s="35" t="str">
        <f>IFERROR(__xludf.DUMMYFUNCTION("""COMPUTED_VALUE"""),"&gt; 44 tahun")</f>
        <v>&gt; 44 tahun</v>
      </c>
      <c r="K1991" s="19">
        <f>IFERROR(__xludf.DUMMYFUNCTION("""COMPUTED_VALUE"""),21208.0)</f>
        <v>21208</v>
      </c>
      <c r="L1991" s="19" t="str">
        <f>IFERROR(__xludf.DUMMYFUNCTION("""COMPUTED_VALUE"""),"LAKI-LAKI")</f>
        <v>LAKI-LAKI</v>
      </c>
      <c r="M1991" s="35" t="str">
        <f>IFERROR(__xludf.DUMMYFUNCTION("""COMPUTED_VALUE"""),"JL. WONOBARU GG. MADYOSARI 1 NO. 29")</f>
        <v>JL. WONOBARU GG. MADYOSARI 1 NO. 29</v>
      </c>
      <c r="N1991" s="16" t="str">
        <f>IFERROR(__xludf.DUMMYFUNCTION("""COMPUTED_VALUE"""),"KEL. AKCAYA")</f>
        <v>KEL. AKCAYA</v>
      </c>
      <c r="O1991" s="56" t="str">
        <f>IFERROR(__xludf.DUMMYFUNCTION("""COMPUTED_VALUE"""),"KEC. PONTIANAK SELATAN")</f>
        <v>KEC. PONTIANAK SELATAN</v>
      </c>
      <c r="P1991" s="16" t="str">
        <f>IFERROR(__xludf.DUMMYFUNCTION("""COMPUTED_VALUE"""),"KOTA PONTIANAK")</f>
        <v>KOTA PONTIANAK</v>
      </c>
      <c r="Q1991" s="16" t="str">
        <f>IFERROR(__xludf.DUMMYFUNCTION("""COMPUTED_VALUE"""),"KALIMANTAN BARAT")</f>
        <v>KALIMANTAN BARAT</v>
      </c>
      <c r="R1991" s="19" t="str">
        <f>IFERROR(__xludf.DUMMYFUNCTION("""COMPUTED_VALUE"""),"ISLAM")</f>
        <v>ISLAM</v>
      </c>
      <c r="S1991" s="36" t="str">
        <f>IFERROR(__xludf.DUMMYFUNCTION("""COMPUTED_VALUE"""),"PENSIUN")</f>
        <v>PENSIUN</v>
      </c>
      <c r="T1991" s="16" t="str">
        <f>IFERROR(__xludf.DUMMYFUNCTION("""COMPUTED_VALUE"""),"nyeri otot paha")</f>
        <v>nyeri otot paha</v>
      </c>
      <c r="U1991" s="16" t="str">
        <f>IFERROR(__xludf.DUMMYFUNCTION("""COMPUTED_VALUE"""),"ngopi, main sepeda,")</f>
        <v>ngopi, main sepeda,</v>
      </c>
      <c r="V1991" s="11" t="str">
        <f>IFERROR(__xludf.DUMMYFUNCTION("""COMPUTED_VALUE"""),"089618626415")</f>
        <v>089618626415</v>
      </c>
      <c r="W1991" s="15"/>
    </row>
    <row r="1992">
      <c r="A1992" s="45"/>
      <c r="B1992" s="9">
        <f>IFERROR(__xludf.DUMMYFUNCTION("""COMPUTED_VALUE"""),45627.78040875)</f>
        <v>45627.78041</v>
      </c>
      <c r="C1992" s="9"/>
      <c r="D1992" s="10">
        <f>IFERROR(__xludf.DUMMYFUNCTION("""COMPUTED_VALUE"""),45647.0)</f>
        <v>45647</v>
      </c>
      <c r="E1992" s="10" t="str">
        <f>IFERROR(__xludf.DUMMYFUNCTION("""COMPUTED_VALUE"""),"12Des")</f>
        <v>12Des</v>
      </c>
      <c r="F1992" s="10" t="str">
        <f>IFERROR(__xludf.DUMMYFUNCTION("""COMPUTED_VALUE"""),"2024")</f>
        <v>2024</v>
      </c>
      <c r="G1992" s="35" t="str">
        <f>IFERROR(__xludf.DUMMYFUNCTION("""COMPUTED_VALUE"""),"FRANSISKUS ADI SASMITA")</f>
        <v>FRANSISKUS ADI SASMITA</v>
      </c>
      <c r="H1992" s="35" t="str">
        <f>IFERROR(__xludf.DUMMYFUNCTION("""COMPUTED_VALUE"""),"F9324124641")</f>
        <v>F9324124641</v>
      </c>
      <c r="I1992" s="35">
        <f>IFERROR(__xludf.DUMMYFUNCTION("""COMPUTED_VALUE"""),33.0)</f>
        <v>33</v>
      </c>
      <c r="J1992" s="35" t="str">
        <f>IFERROR(__xludf.DUMMYFUNCTION("""COMPUTED_VALUE"""),"25-34 tahun")</f>
        <v>25-34 tahun</v>
      </c>
      <c r="K1992" s="19">
        <f>IFERROR(__xludf.DUMMYFUNCTION("""COMPUTED_VALUE"""),34124.0)</f>
        <v>34124</v>
      </c>
      <c r="L1992" s="19" t="str">
        <f>IFERROR(__xludf.DUMMYFUNCTION("""COMPUTED_VALUE"""),"LAKI-LAKI")</f>
        <v>LAKI-LAKI</v>
      </c>
      <c r="M1992" s="35" t="str">
        <f>IFERROR(__xludf.DUMMYFUNCTION("""COMPUTED_VALUE"""),"DUSUN MAK DADONG")</f>
        <v>DUSUN MAK DADONG</v>
      </c>
      <c r="N1992" s="16" t="str">
        <f>IFERROR(__xludf.DUMMYFUNCTION("""COMPUTED_VALUE"""),"DESA PADI KAYE")</f>
        <v>DESA PADI KAYE</v>
      </c>
      <c r="O1992" s="56" t="str">
        <f>IFERROR(__xludf.DUMMYFUNCTION("""COMPUTED_VALUE"""),"KECAMATAN BALAI BATANG TARANG")</f>
        <v>KECAMATAN BALAI BATANG TARANG</v>
      </c>
      <c r="P1992" s="16" t="str">
        <f>IFERROR(__xludf.DUMMYFUNCTION("""COMPUTED_VALUE"""),"KAB. SANGGAU")</f>
        <v>KAB. SANGGAU</v>
      </c>
      <c r="Q1992" s="16" t="str">
        <f>IFERROR(__xludf.DUMMYFUNCTION("""COMPUTED_VALUE"""),"KALIMANTAN BARAT")</f>
        <v>KALIMANTAN BARAT</v>
      </c>
      <c r="R1992" s="19" t="str">
        <f>IFERROR(__xludf.DUMMYFUNCTION("""COMPUTED_VALUE"""),"KATOLIK")</f>
        <v>KATOLIK</v>
      </c>
      <c r="S1992" s="36" t="str">
        <f>IFERROR(__xludf.DUMMYFUNCTION("""COMPUTED_VALUE"""),"GURU")</f>
        <v>GURU</v>
      </c>
      <c r="T1992" s="16" t="str">
        <f>IFERROR(__xludf.DUMMYFUNCTION("""COMPUTED_VALUE"""),"Sakit untuk berdiri lama dan tidak mampu untuk berdiri tega kalau jalan terbungkuk karena tidak mampu luruskan pingang, sakit nya di bagian pangkal paha di bawah betis.")</f>
        <v>Sakit untuk berdiri lama dan tidak mampu untuk berdiri tega kalau jalan terbungkuk karena tidak mampu luruskan pingang, sakit nya di bagian pangkal paha di bawah betis.</v>
      </c>
      <c r="U1992" s="16" t="str">
        <f>IFERROR(__xludf.DUMMYFUNCTION("""COMPUTED_VALUE"""),"Hobyy olahraga / ngajar di sd")</f>
        <v>Hobyy olahraga / ngajar di sd</v>
      </c>
      <c r="V1992" s="11" t="str">
        <f>IFERROR(__xludf.DUMMYFUNCTION("""COMPUTED_VALUE"""),"085654594641")</f>
        <v>085654594641</v>
      </c>
      <c r="W1992" s="15"/>
    </row>
    <row r="1993">
      <c r="A1993" s="45"/>
      <c r="B1993" s="9">
        <f>IFERROR(__xludf.DUMMYFUNCTION("""COMPUTED_VALUE"""),45628.85720362268)</f>
        <v>45628.8572</v>
      </c>
      <c r="C1993" s="9"/>
      <c r="D1993" s="10">
        <f>IFERROR(__xludf.DUMMYFUNCTION("""COMPUTED_VALUE"""),45647.0)</f>
        <v>45647</v>
      </c>
      <c r="E1993" s="10" t="str">
        <f>IFERROR(__xludf.DUMMYFUNCTION("""COMPUTED_VALUE"""),"12Des")</f>
        <v>12Des</v>
      </c>
      <c r="F1993" s="10" t="str">
        <f>IFERROR(__xludf.DUMMYFUNCTION("""COMPUTED_VALUE"""),"2024")</f>
        <v>2024</v>
      </c>
      <c r="G1993" s="35" t="str">
        <f>IFERROR(__xludf.DUMMYFUNCTION("""COMPUTED_VALUE"""),"ANDI MUHAMMAD ZAINUL ABROR")</f>
        <v>ANDI MUHAMMAD ZAINUL ABROR</v>
      </c>
      <c r="H1993" s="35" t="str">
        <f>IFERROR(__xludf.DUMMYFUNCTION("""COMPUTED_VALUE"""),"A9424120305")</f>
        <v>A9424120305</v>
      </c>
      <c r="I1993" s="35">
        <f>IFERROR(__xludf.DUMMYFUNCTION("""COMPUTED_VALUE"""),32.0)</f>
        <v>32</v>
      </c>
      <c r="J1993" s="35" t="str">
        <f>IFERROR(__xludf.DUMMYFUNCTION("""COMPUTED_VALUE"""),"25-34 tahun")</f>
        <v>25-34 tahun</v>
      </c>
      <c r="K1993" s="19">
        <f>IFERROR(__xludf.DUMMYFUNCTION("""COMPUTED_VALUE"""),34457.0)</f>
        <v>34457</v>
      </c>
      <c r="L1993" s="19" t="str">
        <f>IFERROR(__xludf.DUMMYFUNCTION("""COMPUTED_VALUE"""),"LAKI-LAKI")</f>
        <v>LAKI-LAKI</v>
      </c>
      <c r="M1993" s="35" t="str">
        <f>IFERROR(__xludf.DUMMYFUNCTION("""COMPUTED_VALUE"""),"JL PROF M YAMIN GG.BARU NO.5")</f>
        <v>JL PROF M YAMIN GG.BARU NO.5</v>
      </c>
      <c r="N1993" s="16" t="str">
        <f>IFERROR(__xludf.DUMMYFUNCTION("""COMPUTED_VALUE"""),"KEL. AKCAYA")</f>
        <v>KEL. AKCAYA</v>
      </c>
      <c r="O1993" s="16" t="str">
        <f>IFERROR(__xludf.DUMMYFUNCTION("""COMPUTED_VALUE"""),"KEC. PONTIANAK SELATAN")</f>
        <v>KEC. PONTIANAK SELATAN</v>
      </c>
      <c r="P1993" s="16" t="str">
        <f>IFERROR(__xludf.DUMMYFUNCTION("""COMPUTED_VALUE"""),"KOTA PONTIANAK")</f>
        <v>KOTA PONTIANAK</v>
      </c>
      <c r="Q1993" s="16" t="str">
        <f>IFERROR(__xludf.DUMMYFUNCTION("""COMPUTED_VALUE"""),"KALIMANTAN BARAT")</f>
        <v>KALIMANTAN BARAT</v>
      </c>
      <c r="R1993" s="19" t="str">
        <f>IFERROR(__xludf.DUMMYFUNCTION("""COMPUTED_VALUE"""),"ISLAM")</f>
        <v>ISLAM</v>
      </c>
      <c r="S1993" s="36" t="str">
        <f>IFERROR(__xludf.DUMMYFUNCTION("""COMPUTED_VALUE"""),"ASN")</f>
        <v>ASN</v>
      </c>
      <c r="T1993" s="16" t="str">
        <f>IFERROR(__xludf.DUMMYFUNCTION("""COMPUTED_VALUE"""),"Pergelangan Tangan Sakit")</f>
        <v>Pergelangan Tangan Sakit</v>
      </c>
      <c r="U1993" s="16" t="str">
        <f>IFERROR(__xludf.DUMMYFUNCTION("""COMPUTED_VALUE"""),"Bekerja")</f>
        <v>Bekerja</v>
      </c>
      <c r="V1993" s="11" t="str">
        <f>IFERROR(__xludf.DUMMYFUNCTION("""COMPUTED_VALUE"""),"081326890305")</f>
        <v>081326890305</v>
      </c>
      <c r="W1993" s="15"/>
    </row>
    <row r="1994">
      <c r="A1994" s="45"/>
      <c r="B1994" s="9">
        <f>IFERROR(__xludf.DUMMYFUNCTION("""COMPUTED_VALUE"""),45628.965914456014)</f>
        <v>45628.96591</v>
      </c>
      <c r="C1994" s="9"/>
      <c r="D1994" s="10">
        <f>IFERROR(__xludf.DUMMYFUNCTION("""COMPUTED_VALUE"""),45648.0)</f>
        <v>45648</v>
      </c>
      <c r="E1994" s="10" t="str">
        <f>IFERROR(__xludf.DUMMYFUNCTION("""COMPUTED_VALUE"""),"12Des")</f>
        <v>12Des</v>
      </c>
      <c r="F1994" s="10" t="str">
        <f>IFERROR(__xludf.DUMMYFUNCTION("""COMPUTED_VALUE"""),"2024")</f>
        <v>2024</v>
      </c>
      <c r="G1994" s="35" t="str">
        <f>IFERROR(__xludf.DUMMYFUNCTION("""COMPUTED_VALUE"""),"ANNAJMUTSAQIB SIREGAR")</f>
        <v>ANNAJMUTSAQIB SIREGAR</v>
      </c>
      <c r="H1994" s="35" t="str">
        <f>IFERROR(__xludf.DUMMYFUNCTION("""COMPUTED_VALUE"""),"A0824120706")</f>
        <v>A0824120706</v>
      </c>
      <c r="I1994" s="35">
        <f>IFERROR(__xludf.DUMMYFUNCTION("""COMPUTED_VALUE"""),18.0)</f>
        <v>18</v>
      </c>
      <c r="J1994" s="35" t="str">
        <f>IFERROR(__xludf.DUMMYFUNCTION("""COMPUTED_VALUE"""),"&lt; 18 tahun")</f>
        <v>&lt; 18 tahun</v>
      </c>
      <c r="K1994" s="19">
        <f>IFERROR(__xludf.DUMMYFUNCTION("""COMPUTED_VALUE"""),39586.0)</f>
        <v>39586</v>
      </c>
      <c r="L1994" s="19" t="str">
        <f>IFERROR(__xludf.DUMMYFUNCTION("""COMPUTED_VALUE"""),"LAKI-LAKI")</f>
        <v>LAKI-LAKI</v>
      </c>
      <c r="M1994" s="35" t="str">
        <f>IFERROR(__xludf.DUMMYFUNCTION("""COMPUTED_VALUE"""),"JL CENDANA GG CENDANA 4 NO 164B")</f>
        <v>JL CENDANA GG CENDANA 4 NO 164B</v>
      </c>
      <c r="N1994" s="16" t="str">
        <f>IFERROR(__xludf.DUMMYFUNCTION("""COMPUTED_VALUE"""),"KEL. DARAT SEKIP")</f>
        <v>KEL. DARAT SEKIP</v>
      </c>
      <c r="O1994" s="56" t="str">
        <f>IFERROR(__xludf.DUMMYFUNCTION("""COMPUTED_VALUE"""),"KEC. PONTIANAK KOTA")</f>
        <v>KEC. PONTIANAK KOTA</v>
      </c>
      <c r="P1994" s="16" t="str">
        <f>IFERROR(__xludf.DUMMYFUNCTION("""COMPUTED_VALUE"""),"KOTA PONTIANAK")</f>
        <v>KOTA PONTIANAK</v>
      </c>
      <c r="Q1994" s="16" t="str">
        <f>IFERROR(__xludf.DUMMYFUNCTION("""COMPUTED_VALUE"""),"KALIMANTAN BARAT")</f>
        <v>KALIMANTAN BARAT</v>
      </c>
      <c r="R1994" s="19" t="str">
        <f>IFERROR(__xludf.DUMMYFUNCTION("""COMPUTED_VALUE"""),"ISLAM")</f>
        <v>ISLAM</v>
      </c>
      <c r="S1994" s="36" t="str">
        <f>IFERROR(__xludf.DUMMYFUNCTION("""COMPUTED_VALUE"""),"PELAJAR/MAHASISWA")</f>
        <v>PELAJAR/MAHASISWA</v>
      </c>
      <c r="T1994" s="16" t="str">
        <f>IFERROR(__xludf.DUMMYFUNCTION("""COMPUTED_VALUE"""),"mau cek ankle")</f>
        <v>mau cek ankle</v>
      </c>
      <c r="U1994" s="16" t="str">
        <f>IFERROR(__xludf.DUMMYFUNCTION("""COMPUTED_VALUE"""),"Futsal")</f>
        <v>Futsal</v>
      </c>
      <c r="V1994" s="11" t="str">
        <f>IFERROR(__xludf.DUMMYFUNCTION("""COMPUTED_VALUE"""),"081253420706")</f>
        <v>081253420706</v>
      </c>
      <c r="W1994" s="15"/>
    </row>
    <row r="1995">
      <c r="A1995" s="45"/>
      <c r="B1995" s="9"/>
      <c r="C1995" s="9"/>
      <c r="D1995" s="10">
        <f>IFERROR(__xludf.DUMMYFUNCTION("""COMPUTED_VALUE"""),45649.0)</f>
        <v>45649</v>
      </c>
      <c r="E1995" s="10" t="str">
        <f>IFERROR(__xludf.DUMMYFUNCTION("""COMPUTED_VALUE"""),"12Des")</f>
        <v>12Des</v>
      </c>
      <c r="F1995" s="10" t="str">
        <f>IFERROR(__xludf.DUMMYFUNCTION("""COMPUTED_VALUE"""),"2024")</f>
        <v>2024</v>
      </c>
      <c r="G1995" s="35" t="str">
        <f>IFERROR(__xludf.DUMMYFUNCTION("""COMPUTED_VALUE"""),"SRI RAHAYU NINGSIH")</f>
        <v>SRI RAHAYU NINGSIH</v>
      </c>
      <c r="H1995" s="35" t="str">
        <f>IFERROR(__xludf.DUMMYFUNCTION("""COMPUTED_VALUE"""),"S6624127000")</f>
        <v>S6624127000</v>
      </c>
      <c r="I1995" s="35">
        <f>IFERROR(__xludf.DUMMYFUNCTION("""COMPUTED_VALUE"""),59.0)</f>
        <v>59</v>
      </c>
      <c r="J1995" s="35" t="str">
        <f>IFERROR(__xludf.DUMMYFUNCTION("""COMPUTED_VALUE"""),"&gt; 44 tahun")</f>
        <v>&gt; 44 tahun</v>
      </c>
      <c r="K1995" s="19">
        <f>IFERROR(__xludf.DUMMYFUNCTION("""COMPUTED_VALUE"""),24463.0)</f>
        <v>24463</v>
      </c>
      <c r="L1995" s="19" t="str">
        <f>IFERROR(__xludf.DUMMYFUNCTION("""COMPUTED_VALUE"""),"PEREMPUAN")</f>
        <v>PEREMPUAN</v>
      </c>
      <c r="M1995" s="35" t="str">
        <f>IFERROR(__xludf.DUMMYFUNCTION("""COMPUTED_VALUE"""),"JALAN SEJAHTERA NO B 30")</f>
        <v>JALAN SEJAHTERA NO B 30</v>
      </c>
      <c r="N1995" s="16" t="str">
        <f>IFERROR(__xludf.DUMMYFUNCTION("""COMPUTED_VALUE"""),"KEL. BANGKA BELITUNG DARAT")</f>
        <v>KEL. BANGKA BELITUNG DARAT</v>
      </c>
      <c r="O1995" s="16" t="str">
        <f>IFERROR(__xludf.DUMMYFUNCTION("""COMPUTED_VALUE"""),"KEC. PONTIANAK TENGGARA")</f>
        <v>KEC. PONTIANAK TENGGARA</v>
      </c>
      <c r="P1995" s="16" t="str">
        <f>IFERROR(__xludf.DUMMYFUNCTION("""COMPUTED_VALUE"""),"KOTA PONTIANAK")</f>
        <v>KOTA PONTIANAK</v>
      </c>
      <c r="Q1995" s="16" t="str">
        <f>IFERROR(__xludf.DUMMYFUNCTION("""COMPUTED_VALUE"""),"KALIMANTAN BARAT")</f>
        <v>KALIMANTAN BARAT</v>
      </c>
      <c r="R1995" s="19" t="str">
        <f>IFERROR(__xludf.DUMMYFUNCTION("""COMPUTED_VALUE"""),"ISLAM")</f>
        <v>ISLAM</v>
      </c>
      <c r="S1995" s="36" t="str">
        <f>IFERROR(__xludf.DUMMYFUNCTION("""COMPUTED_VALUE"""),"RUMAH TANGGA")</f>
        <v>RUMAH TANGGA</v>
      </c>
      <c r="T1995" s="16" t="str">
        <f>IFERROR(__xludf.DUMMYFUNCTION("""COMPUTED_VALUE"""),"Nyeri Kaki Kiri Dari Paha ke Betis")</f>
        <v>Nyeri Kaki Kiri Dari Paha ke Betis</v>
      </c>
      <c r="U1995" s="16" t="str">
        <f>IFERROR(__xludf.DUMMYFUNCTION("""COMPUTED_VALUE"""),"Kuliner")</f>
        <v>Kuliner</v>
      </c>
      <c r="V1995" s="11" t="str">
        <f>IFERROR(__xludf.DUMMYFUNCTION("""COMPUTED_VALUE"""),"087788527000")</f>
        <v>087788527000</v>
      </c>
      <c r="W1995" s="15"/>
    </row>
    <row r="1996">
      <c r="A1996" s="45"/>
      <c r="B1996" s="9">
        <f>IFERROR(__xludf.DUMMYFUNCTION("""COMPUTED_VALUE"""),45635.80997980324)</f>
        <v>45635.80998</v>
      </c>
      <c r="C1996" s="9"/>
      <c r="D1996" s="10">
        <f>IFERROR(__xludf.DUMMYFUNCTION("""COMPUTED_VALUE"""),45649.0)</f>
        <v>45649</v>
      </c>
      <c r="E1996" s="10" t="str">
        <f>IFERROR(__xludf.DUMMYFUNCTION("""COMPUTED_VALUE"""),"12Des")</f>
        <v>12Des</v>
      </c>
      <c r="F1996" s="10" t="str">
        <f>IFERROR(__xludf.DUMMYFUNCTION("""COMPUTED_VALUE"""),"2024")</f>
        <v>2024</v>
      </c>
      <c r="G1996" s="35" t="str">
        <f>IFERROR(__xludf.DUMMYFUNCTION("""COMPUTED_VALUE"""),"R. WENNY AGUSTRINI")</f>
        <v>R. WENNY AGUSTRINI</v>
      </c>
      <c r="H1996" s="35" t="str">
        <f>IFERROR(__xludf.DUMMYFUNCTION("""COMPUTED_VALUE"""),"R7824123631")</f>
        <v>R7824123631</v>
      </c>
      <c r="I1996" s="35">
        <f>IFERROR(__xludf.DUMMYFUNCTION("""COMPUTED_VALUE"""),47.0)</f>
        <v>47</v>
      </c>
      <c r="J1996" s="35" t="str">
        <f>IFERROR(__xludf.DUMMYFUNCTION("""COMPUTED_VALUE"""),"&gt; 44 tahun")</f>
        <v>&gt; 44 tahun</v>
      </c>
      <c r="K1996" s="19">
        <f>IFERROR(__xludf.DUMMYFUNCTION("""COMPUTED_VALUE"""),28705.0)</f>
        <v>28705</v>
      </c>
      <c r="L1996" s="19" t="str">
        <f>IFERROR(__xludf.DUMMYFUNCTION("""COMPUTED_VALUE"""),"PEREMPUAN")</f>
        <v>PEREMPUAN</v>
      </c>
      <c r="M1996" s="35" t="str">
        <f>IFERROR(__xludf.DUMMYFUNCTION("""COMPUTED_VALUE"""),"JL. DR. WAHIDIN SEPAKAT 8 GG. KEMBANG SEPAKAT NO. A8")</f>
        <v>JL. DR. WAHIDIN SEPAKAT 8 GG. KEMBANG SEPAKAT NO. A8</v>
      </c>
      <c r="N1996" s="16" t="str">
        <f>IFERROR(__xludf.DUMMYFUNCTION("""COMPUTED_VALUE"""),"KEL. SUNGAI JAWI")</f>
        <v>KEL. SUNGAI JAWI</v>
      </c>
      <c r="O1996" s="16" t="str">
        <f>IFERROR(__xludf.DUMMYFUNCTION("""COMPUTED_VALUE"""),"KEC. PONTIANAK KOTA")</f>
        <v>KEC. PONTIANAK KOTA</v>
      </c>
      <c r="P1996" s="16" t="str">
        <f>IFERROR(__xludf.DUMMYFUNCTION("""COMPUTED_VALUE"""),"KOTA PONTIANAK")</f>
        <v>KOTA PONTIANAK</v>
      </c>
      <c r="Q1996" s="16" t="str">
        <f>IFERROR(__xludf.DUMMYFUNCTION("""COMPUTED_VALUE"""),"KALIMANTAN BARAT")</f>
        <v>KALIMANTAN BARAT</v>
      </c>
      <c r="R1996" s="19" t="str">
        <f>IFERROR(__xludf.DUMMYFUNCTION("""COMPUTED_VALUE"""),"ISLAM")</f>
        <v>ISLAM</v>
      </c>
      <c r="S1996" s="36" t="str">
        <f>IFERROR(__xludf.DUMMYFUNCTION("""COMPUTED_VALUE"""),"RUMAH TANGGA")</f>
        <v>RUMAH TANGGA</v>
      </c>
      <c r="T1996" s="16" t="str">
        <f>IFERROR(__xludf.DUMMYFUNCTION("""COMPUTED_VALUE"""),"Nyeri di pinggang belakang 3hr lalu, skrg sakitnya sdh sampai ke perut rasa ketarik dan setiap mulai bergerak susah bernafas")</f>
        <v>Nyeri di pinggang belakang 3hr lalu, skrg sakitnya sdh sampai ke perut rasa ketarik dan setiap mulai bergerak susah bernafas</v>
      </c>
      <c r="U1996" s="16" t="str">
        <f>IFERROR(__xludf.DUMMYFUNCTION("""COMPUTED_VALUE"""),"Jalan pagi sabtu minggu/ pekerjaan rumah dan antar jemput anak2 plg sekolah &amp; kegiatan ekskul")</f>
        <v>Jalan pagi sabtu minggu/ pekerjaan rumah dan antar jemput anak2 plg sekolah &amp; kegiatan ekskul</v>
      </c>
      <c r="V1996" s="11" t="str">
        <f>IFERROR(__xludf.DUMMYFUNCTION("""COMPUTED_VALUE"""),"089620523631")</f>
        <v>089620523631</v>
      </c>
      <c r="W1996" s="15"/>
    </row>
    <row r="1997">
      <c r="A1997" s="45"/>
      <c r="B1997" s="9"/>
      <c r="C1997" s="9"/>
      <c r="D1997" s="10">
        <f>IFERROR(__xludf.DUMMYFUNCTION("""COMPUTED_VALUE"""),45649.0)</f>
        <v>45649</v>
      </c>
      <c r="E1997" s="10" t="str">
        <f>IFERROR(__xludf.DUMMYFUNCTION("""COMPUTED_VALUE"""),"12Des")</f>
        <v>12Des</v>
      </c>
      <c r="F1997" s="10" t="str">
        <f>IFERROR(__xludf.DUMMYFUNCTION("""COMPUTED_VALUE"""),"2024")</f>
        <v>2024</v>
      </c>
      <c r="G1997" s="35" t="str">
        <f>IFERROR(__xludf.DUMMYFUNCTION("""COMPUTED_VALUE"""),"HALIDA INDRASARI")</f>
        <v>HALIDA INDRASARI</v>
      </c>
      <c r="H1997" s="35" t="str">
        <f>IFERROR(__xludf.DUMMYFUNCTION("""COMPUTED_VALUE"""),"H7924127776")</f>
        <v>H7924127776</v>
      </c>
      <c r="I1997" s="35">
        <f>IFERROR(__xludf.DUMMYFUNCTION("""COMPUTED_VALUE"""),47.0)</f>
        <v>47</v>
      </c>
      <c r="J1997" s="35" t="str">
        <f>IFERROR(__xludf.DUMMYFUNCTION("""COMPUTED_VALUE"""),"&gt; 44 tahun")</f>
        <v>&gt; 44 tahun</v>
      </c>
      <c r="K1997" s="19">
        <f>IFERROR(__xludf.DUMMYFUNCTION("""COMPUTED_VALUE"""),28864.0)</f>
        <v>28864</v>
      </c>
      <c r="L1997" s="19" t="str">
        <f>IFERROR(__xludf.DUMMYFUNCTION("""COMPUTED_VALUE"""),"PEREMPUAN")</f>
        <v>PEREMPUAN</v>
      </c>
      <c r="M1997" s="35" t="str">
        <f>IFERROR(__xludf.DUMMYFUNCTION("""COMPUTED_VALUE"""),"DUSUN TANAH TINGGI")</f>
        <v>DUSUN TANAH TINGGI</v>
      </c>
      <c r="N1997" s="16" t="str">
        <f>IFERROR(__xludf.DUMMYFUNCTION("""COMPUTED_VALUE"""),"DS. TANJUNG NIAGA")</f>
        <v>DS. TANJUNG NIAGA</v>
      </c>
      <c r="O1997" s="16" t="str">
        <f>IFERROR(__xludf.DUMMYFUNCTION("""COMPUTED_VALUE"""),"KEC. NANGA PINOH")</f>
        <v>KEC. NANGA PINOH</v>
      </c>
      <c r="P1997" s="16" t="str">
        <f>IFERROR(__xludf.DUMMYFUNCTION("""COMPUTED_VALUE"""),"KAB. MELAWI")</f>
        <v>KAB. MELAWI</v>
      </c>
      <c r="Q1997" s="16" t="str">
        <f>IFERROR(__xludf.DUMMYFUNCTION("""COMPUTED_VALUE"""),"KALIMANTAN BARAT")</f>
        <v>KALIMANTAN BARAT</v>
      </c>
      <c r="R1997" s="19" t="str">
        <f>IFERROR(__xludf.DUMMYFUNCTION("""COMPUTED_VALUE"""),"ISLAM")</f>
        <v>ISLAM</v>
      </c>
      <c r="S1997" s="36" t="str">
        <f>IFERROR(__xludf.DUMMYFUNCTION("""COMPUTED_VALUE"""),"GURU")</f>
        <v>GURU</v>
      </c>
      <c r="T1997" s="16" t="str">
        <f>IFERROR(__xludf.DUMMYFUNCTION("""COMPUTED_VALUE"""),"Tangan &amp; kaki kurang sempurna beraktivitas akibat stroke")</f>
        <v>Tangan &amp; kaki kurang sempurna beraktivitas akibat stroke</v>
      </c>
      <c r="U1997" s="16" t="str">
        <f>IFERROR(__xludf.DUMMYFUNCTION("""COMPUTED_VALUE"""),"Mengajar")</f>
        <v>Mengajar</v>
      </c>
      <c r="V1997" s="11" t="str">
        <f>IFERROR(__xludf.DUMMYFUNCTION("""COMPUTED_VALUE"""),"082187337776")</f>
        <v>082187337776</v>
      </c>
      <c r="W1997" s="15"/>
    </row>
    <row r="1998">
      <c r="A1998" s="45"/>
      <c r="B1998" s="9">
        <f>IFERROR(__xludf.DUMMYFUNCTION("""COMPUTED_VALUE"""),45629.45396099537)</f>
        <v>45629.45396</v>
      </c>
      <c r="C1998" s="9"/>
      <c r="D1998" s="10">
        <f>IFERROR(__xludf.DUMMYFUNCTION("""COMPUTED_VALUE"""),45650.0)</f>
        <v>45650</v>
      </c>
      <c r="E1998" s="10" t="str">
        <f>IFERROR(__xludf.DUMMYFUNCTION("""COMPUTED_VALUE"""),"12Des")</f>
        <v>12Des</v>
      </c>
      <c r="F1998" s="10" t="str">
        <f>IFERROR(__xludf.DUMMYFUNCTION("""COMPUTED_VALUE"""),"2024")</f>
        <v>2024</v>
      </c>
      <c r="G1998" s="35" t="str">
        <f>IFERROR(__xludf.DUMMYFUNCTION("""COMPUTED_VALUE"""),"ZAMAIYAH")</f>
        <v>ZAMAIYAH</v>
      </c>
      <c r="H1998" s="35" t="str">
        <f>IFERROR(__xludf.DUMMYFUNCTION("""COMPUTED_VALUE"""),"Z5824124397")</f>
        <v>Z5824124397</v>
      </c>
      <c r="I1998" s="35">
        <f>IFERROR(__xludf.DUMMYFUNCTION("""COMPUTED_VALUE"""),67.0)</f>
        <v>67</v>
      </c>
      <c r="J1998" s="35" t="str">
        <f>IFERROR(__xludf.DUMMYFUNCTION("""COMPUTED_VALUE"""),"&gt; 44 tahun")</f>
        <v>&gt; 44 tahun</v>
      </c>
      <c r="K1998" s="19">
        <f>IFERROR(__xludf.DUMMYFUNCTION("""COMPUTED_VALUE"""),21533.0)</f>
        <v>21533</v>
      </c>
      <c r="L1998" s="19" t="str">
        <f>IFERROR(__xludf.DUMMYFUNCTION("""COMPUTED_VALUE"""),"PEREMPUAN")</f>
        <v>PEREMPUAN</v>
      </c>
      <c r="M1998" s="35" t="str">
        <f>IFERROR(__xludf.DUMMYFUNCTION("""COMPUTED_VALUE"""),"JL.PANGERAN KUNING GG.BUNGUR NO.37")</f>
        <v>JL.PANGERAN KUNING GG.BUNGUR NO.37</v>
      </c>
      <c r="N1998" s="16" t="str">
        <f>IFERROR(__xludf.DUMMYFUNCTION("""COMPUTED_VALUE"""),"TANJUNG PURI")</f>
        <v>TANJUNG PURI</v>
      </c>
      <c r="O1998" s="56" t="str">
        <f>IFERROR(__xludf.DUMMYFUNCTION("""COMPUTED_VALUE"""),"SINTANG")</f>
        <v>SINTANG</v>
      </c>
      <c r="P1998" s="16" t="str">
        <f>IFERROR(__xludf.DUMMYFUNCTION("""COMPUTED_VALUE"""),"SINTANG")</f>
        <v>SINTANG</v>
      </c>
      <c r="Q1998" s="16" t="str">
        <f>IFERROR(__xludf.DUMMYFUNCTION("""COMPUTED_VALUE"""),"KALIMANTAN BARAT")</f>
        <v>KALIMANTAN BARAT</v>
      </c>
      <c r="R1998" s="19" t="str">
        <f>IFERROR(__xludf.DUMMYFUNCTION("""COMPUTED_VALUE"""),"ISLAM")</f>
        <v>ISLAM</v>
      </c>
      <c r="S1998" s="36" t="str">
        <f>IFERROR(__xludf.DUMMYFUNCTION("""COMPUTED_VALUE"""),"IBU RUMAH TANGGA")</f>
        <v>IBU RUMAH TANGGA</v>
      </c>
      <c r="T1998" s="16" t="str">
        <f>IFERROR(__xludf.DUMMYFUNCTION("""COMPUTED_VALUE"""),"Sakit bagian pinggang sampai kebawah,serta bagian tangan")</f>
        <v>Sakit bagian pinggang sampai kebawah,serta bagian tangan</v>
      </c>
      <c r="U1998" s="16" t="str">
        <f>IFERROR(__xludf.DUMMYFUNCTION("""COMPUTED_VALUE"""),"MENGURUS RUMAH TANGGA")</f>
        <v>MENGURUS RUMAH TANGGA</v>
      </c>
      <c r="V1998" s="11" t="str">
        <f>IFERROR(__xludf.DUMMYFUNCTION("""COMPUTED_VALUE"""),"081226804397")</f>
        <v>081226804397</v>
      </c>
      <c r="W1998" s="15"/>
    </row>
    <row r="1999">
      <c r="A1999" s="45"/>
      <c r="B1999" s="9">
        <f>IFERROR(__xludf.DUMMYFUNCTION("""COMPUTED_VALUE"""),45626.381379548606)</f>
        <v>45626.38138</v>
      </c>
      <c r="C1999" s="9"/>
      <c r="D1999" s="10">
        <f>IFERROR(__xludf.DUMMYFUNCTION("""COMPUTED_VALUE"""),45654.0)</f>
        <v>45654</v>
      </c>
      <c r="E1999" s="10" t="str">
        <f>IFERROR(__xludf.DUMMYFUNCTION("""COMPUTED_VALUE"""),"12Des")</f>
        <v>12Des</v>
      </c>
      <c r="F1999" s="10" t="str">
        <f>IFERROR(__xludf.DUMMYFUNCTION("""COMPUTED_VALUE"""),"2024")</f>
        <v>2024</v>
      </c>
      <c r="G1999" s="35" t="str">
        <f>IFERROR(__xludf.DUMMYFUNCTION("""COMPUTED_VALUE"""),"CYNTHIA GRESTANTICA")</f>
        <v>CYNTHIA GRESTANTICA</v>
      </c>
      <c r="H1999" s="35" t="str">
        <f>IFERROR(__xludf.DUMMYFUNCTION("""COMPUTED_VALUE"""),"C7024128033")</f>
        <v>C7024128033</v>
      </c>
      <c r="I1999" s="35">
        <f>IFERROR(__xludf.DUMMYFUNCTION("""COMPUTED_VALUE"""),55.0)</f>
        <v>55</v>
      </c>
      <c r="J1999" s="35" t="str">
        <f>IFERROR(__xludf.DUMMYFUNCTION("""COMPUTED_VALUE"""),"&gt; 44 tahun")</f>
        <v>&gt; 44 tahun</v>
      </c>
      <c r="K1999" s="19">
        <f>IFERROR(__xludf.DUMMYFUNCTION("""COMPUTED_VALUE"""),25896.0)</f>
        <v>25896</v>
      </c>
      <c r="L1999" s="19" t="str">
        <f>IFERROR(__xludf.DUMMYFUNCTION("""COMPUTED_VALUE"""),"PEREMPUAN")</f>
        <v>PEREMPUAN</v>
      </c>
      <c r="M1999" s="35" t="str">
        <f>IFERROR(__xludf.DUMMYFUNCTION("""COMPUTED_VALUE"""),"JL. SURYA KOMP. SURYA RESIDENCE B6")</f>
        <v>JL. SURYA KOMP. SURYA RESIDENCE B6</v>
      </c>
      <c r="N1999" s="16" t="str">
        <f>IFERROR(__xludf.DUMMYFUNCTION("""COMPUTED_VALUE"""),"AKCAYA")</f>
        <v>AKCAYA</v>
      </c>
      <c r="O1999" s="36" t="str">
        <f>IFERROR(__xludf.DUMMYFUNCTION("""COMPUTED_VALUE"""),"Pontianak Selatan")</f>
        <v>Pontianak Selatan</v>
      </c>
      <c r="P1999" s="16" t="str">
        <f>IFERROR(__xludf.DUMMYFUNCTION("""COMPUTED_VALUE"""),"Pontianak")</f>
        <v>Pontianak</v>
      </c>
      <c r="Q1999" s="16" t="str">
        <f>IFERROR(__xludf.DUMMYFUNCTION("""COMPUTED_VALUE"""),"Kalimantan Barat")</f>
        <v>Kalimantan Barat</v>
      </c>
      <c r="R1999" s="19" t="str">
        <f>IFERROR(__xludf.DUMMYFUNCTION("""COMPUTED_VALUE"""),"BUDDHA")</f>
        <v>BUDDHA</v>
      </c>
      <c r="S1999" s="16" t="str">
        <f>IFERROR(__xludf.DUMMYFUNCTION("""COMPUTED_VALUE"""),"Ibu RT")</f>
        <v>Ibu RT</v>
      </c>
      <c r="T1999" s="16" t="str">
        <f>IFERROR(__xludf.DUMMYFUNCTION("""COMPUTED_VALUE"""),"Sering pegel/ngilu di urat ny kaki kiri. Kdng kalo jl urat kaki ny kyk tarik gt")</f>
        <v>Sering pegel/ngilu di urat ny kaki kiri. Kdng kalo jl urat kaki ny kyk tarik gt</v>
      </c>
      <c r="U1999" s="16" t="str">
        <f>IFERROR(__xludf.DUMMYFUNCTION("""COMPUTED_VALUE"""),"Nonton, jl santai (pagi)")</f>
        <v>Nonton, jl santai (pagi)</v>
      </c>
      <c r="V1999" s="11" t="str">
        <f>IFERROR(__xludf.DUMMYFUNCTION("""COMPUTED_VALUE"""),"082351918033")</f>
        <v>082351918033</v>
      </c>
      <c r="W1999" s="15"/>
    </row>
    <row r="2000">
      <c r="A2000" s="45"/>
      <c r="B2000" s="9">
        <f>IFERROR(__xludf.DUMMYFUNCTION("""COMPUTED_VALUE"""),45630.84380540509)</f>
        <v>45630.84381</v>
      </c>
      <c r="C2000" s="9"/>
      <c r="D2000" s="10">
        <f>IFERROR(__xludf.DUMMYFUNCTION("""COMPUTED_VALUE"""),45660.0)</f>
        <v>45660</v>
      </c>
      <c r="E2000" s="10" t="str">
        <f>IFERROR(__xludf.DUMMYFUNCTION("""COMPUTED_VALUE"""),"01Jan")</f>
        <v>01Jan</v>
      </c>
      <c r="F2000" s="10" t="str">
        <f>IFERROR(__xludf.DUMMYFUNCTION("""COMPUTED_VALUE"""),"2025")</f>
        <v>2025</v>
      </c>
      <c r="G2000" s="35" t="str">
        <f>IFERROR(__xludf.DUMMYFUNCTION("""COMPUTED_VALUE"""),"YOSAPHAT TRI UTOMO")</f>
        <v>YOSAPHAT TRI UTOMO</v>
      </c>
      <c r="H2000" s="35" t="str">
        <f>IFERROR(__xludf.DUMMYFUNCTION("""COMPUTED_VALUE"""),"Y9425017232")</f>
        <v>Y9425017232</v>
      </c>
      <c r="I2000" s="35">
        <f>IFERROR(__xludf.DUMMYFUNCTION("""COMPUTED_VALUE"""),31.0)</f>
        <v>31</v>
      </c>
      <c r="J2000" s="35" t="str">
        <f>IFERROR(__xludf.DUMMYFUNCTION("""COMPUTED_VALUE"""),"25-34 tahun")</f>
        <v>25-34 tahun</v>
      </c>
      <c r="K2000" s="19">
        <f>IFERROR(__xludf.DUMMYFUNCTION("""COMPUTED_VALUE"""),34648.0)</f>
        <v>34648</v>
      </c>
      <c r="L2000" s="19" t="str">
        <f>IFERROR(__xludf.DUMMYFUNCTION("""COMPUTED_VALUE"""),"LAKI-LAKI")</f>
        <v>LAKI-LAKI</v>
      </c>
      <c r="M2000" s="16" t="str">
        <f>IFERROR(__xludf.DUMMYFUNCTION("""COMPUTED_VALUE"""),"JALAN KESEHATAN GG. SINAR USAHA DALAM NO. 9")</f>
        <v>JALAN KESEHATAN GG. SINAR USAHA DALAM NO. 9</v>
      </c>
      <c r="N2000" s="16" t="str">
        <f>IFERROR(__xludf.DUMMYFUNCTION("""COMPUTED_VALUE"""),"KOTA BARU")</f>
        <v>KOTA BARU</v>
      </c>
      <c r="O2000" s="36" t="str">
        <f>IFERROR(__xludf.DUMMYFUNCTION("""COMPUTED_VALUE"""),"PONTIANAK SELATAN")</f>
        <v>PONTIANAK SELATAN</v>
      </c>
      <c r="P2000" s="16" t="str">
        <f>IFERROR(__xludf.DUMMYFUNCTION("""COMPUTED_VALUE"""),"KOTA PONTIANAK")</f>
        <v>KOTA PONTIANAK</v>
      </c>
      <c r="Q2000" s="16" t="str">
        <f>IFERROR(__xludf.DUMMYFUNCTION("""COMPUTED_VALUE"""),"KALIMANTAN BARAT")</f>
        <v>KALIMANTAN BARAT</v>
      </c>
      <c r="R2000" s="19" t="str">
        <f>IFERROR(__xludf.DUMMYFUNCTION("""COMPUTED_VALUE"""),"KATOLIK")</f>
        <v>KATOLIK</v>
      </c>
      <c r="S2000" s="36" t="str">
        <f>IFERROR(__xludf.DUMMYFUNCTION("""COMPUTED_VALUE"""),"ASN")</f>
        <v>ASN</v>
      </c>
      <c r="T2000" s="16" t="str">
        <f>IFERROR(__xludf.DUMMYFUNCTION("""COMPUTED_VALUE"""),"CIDERA LUTUT MENISCUS")</f>
        <v>CIDERA LUTUT MENISCUS</v>
      </c>
      <c r="U2000" s="16" t="str">
        <f>IFERROR(__xludf.DUMMYFUNCTION("""COMPUTED_VALUE"""),"BEKERJA")</f>
        <v>BEKERJA</v>
      </c>
      <c r="V2000" s="11" t="str">
        <f>IFERROR(__xludf.DUMMYFUNCTION("""COMPUTED_VALUE"""),"089647457232")</f>
        <v>089647457232</v>
      </c>
      <c r="W2000" s="15"/>
    </row>
    <row r="2001">
      <c r="A2001" s="45"/>
      <c r="B2001" s="9">
        <f>IFERROR(__xludf.DUMMYFUNCTION("""COMPUTED_VALUE"""),45630.65443887732)</f>
        <v>45630.65444</v>
      </c>
      <c r="C2001" s="9"/>
      <c r="D2001" s="10">
        <f>IFERROR(__xludf.DUMMYFUNCTION("""COMPUTED_VALUE"""),45660.0)</f>
        <v>45660</v>
      </c>
      <c r="E2001" s="10" t="str">
        <f>IFERROR(__xludf.DUMMYFUNCTION("""COMPUTED_VALUE"""),"01Jan")</f>
        <v>01Jan</v>
      </c>
      <c r="F2001" s="10" t="str">
        <f>IFERROR(__xludf.DUMMYFUNCTION("""COMPUTED_VALUE"""),"2025")</f>
        <v>2025</v>
      </c>
      <c r="G2001" s="35" t="str">
        <f>IFERROR(__xludf.DUMMYFUNCTION("""COMPUTED_VALUE"""),"HEPPY")</f>
        <v>HEPPY</v>
      </c>
      <c r="H2001" s="35" t="str">
        <f>IFERROR(__xludf.DUMMYFUNCTION("""COMPUTED_VALUE"""),"H6725017219")</f>
        <v>H6725017219</v>
      </c>
      <c r="I2001" s="35">
        <f>IFERROR(__xludf.DUMMYFUNCTION("""COMPUTED_VALUE"""),59.0)</f>
        <v>59</v>
      </c>
      <c r="J2001" s="35" t="str">
        <f>IFERROR(__xludf.DUMMYFUNCTION("""COMPUTED_VALUE"""),"&gt; 44 tahun")</f>
        <v>&gt; 44 tahun</v>
      </c>
      <c r="K2001" s="19">
        <f>IFERROR(__xludf.DUMMYFUNCTION("""COMPUTED_VALUE"""),24473.0)</f>
        <v>24473</v>
      </c>
      <c r="L2001" s="19" t="str">
        <f>IFERROR(__xludf.DUMMYFUNCTION("""COMPUTED_VALUE"""),"PEREMPUAN")</f>
        <v>PEREMPUAN</v>
      </c>
      <c r="M2001" s="16" t="str">
        <f>IFERROR(__xludf.DUMMYFUNCTION("""COMPUTED_VALUE"""),"DUSUN TERDUK DAMPAK")</f>
        <v>DUSUN TERDUK DAMPAK</v>
      </c>
      <c r="N2001" s="16" t="str">
        <f>IFERROR(__xludf.DUMMYFUNCTION("""COMPUTED_VALUE"""),"Terduk dampak")</f>
        <v>Terduk dampak</v>
      </c>
      <c r="O2001" s="16" t="str">
        <f>IFERROR(__xludf.DUMMYFUNCTION("""COMPUTED_VALUE"""),"Belitang hulu")</f>
        <v>Belitang hulu</v>
      </c>
      <c r="P2001" s="16" t="str">
        <f>IFERROR(__xludf.DUMMYFUNCTION("""COMPUTED_VALUE"""),"Sekadau")</f>
        <v>Sekadau</v>
      </c>
      <c r="Q2001" s="16" t="str">
        <f>IFERROR(__xludf.DUMMYFUNCTION("""COMPUTED_VALUE"""),"Kalimantan barat")</f>
        <v>Kalimantan barat</v>
      </c>
      <c r="R2001" s="19" t="str">
        <f>IFERROR(__xludf.DUMMYFUNCTION("""COMPUTED_VALUE"""),"PROTESTAN")</f>
        <v>PROTESTAN</v>
      </c>
      <c r="S2001" s="36" t="str">
        <f>IFERROR(__xludf.DUMMYFUNCTION("""COMPUTED_VALUE"""),"RUMAH TANGGA")</f>
        <v>RUMAH TANGGA</v>
      </c>
      <c r="T2001" s="16" t="str">
        <f>IFERROR(__xludf.DUMMYFUNCTION("""COMPUTED_VALUE"""),"Sakit kepala, tidak bisa tidur miring, bahu sakit, gula darah")</f>
        <v>Sakit kepala, tidak bisa tidur miring, bahu sakit, gula darah</v>
      </c>
      <c r="U2001" s="16" t="str">
        <f>IFERROR(__xludf.DUMMYFUNCTION("""COMPUTED_VALUE"""),"Pekerjaan rumah")</f>
        <v>Pekerjaan rumah</v>
      </c>
      <c r="V2001" s="11" t="str">
        <f>IFERROR(__xludf.DUMMYFUNCTION("""COMPUTED_VALUE"""),"087871747219")</f>
        <v>087871747219</v>
      </c>
      <c r="W2001" s="15"/>
    </row>
    <row r="2002">
      <c r="A2002" s="45"/>
      <c r="B2002" s="9">
        <f>IFERROR(__xludf.DUMMYFUNCTION("""COMPUTED_VALUE"""),45567.69469493056)</f>
        <v>45567.69469</v>
      </c>
      <c r="C2002" s="9"/>
      <c r="D2002" s="10">
        <f>IFERROR(__xludf.DUMMYFUNCTION("""COMPUTED_VALUE"""),45660.0)</f>
        <v>45660</v>
      </c>
      <c r="E2002" s="10" t="str">
        <f>IFERROR(__xludf.DUMMYFUNCTION("""COMPUTED_VALUE"""),"01Jan")</f>
        <v>01Jan</v>
      </c>
      <c r="F2002" s="10" t="str">
        <f>IFERROR(__xludf.DUMMYFUNCTION("""COMPUTED_VALUE"""),"2025")</f>
        <v>2025</v>
      </c>
      <c r="G2002" s="35" t="str">
        <f>IFERROR(__xludf.DUMMYFUNCTION("""COMPUTED_VALUE"""),"MUHAMMAD HAMZAH")</f>
        <v>MUHAMMAD HAMZAH</v>
      </c>
      <c r="H2002" s="35" t="str">
        <f>IFERROR(__xludf.DUMMYFUNCTION("""COMPUTED_VALUE"""),"M9125019014")</f>
        <v>M9125019014</v>
      </c>
      <c r="I2002" s="35">
        <f>IFERROR(__xludf.DUMMYFUNCTION("""COMPUTED_VALUE"""),35.0)</f>
        <v>35</v>
      </c>
      <c r="J2002" s="35" t="str">
        <f>IFERROR(__xludf.DUMMYFUNCTION("""COMPUTED_VALUE"""),"35-44 tahun")</f>
        <v>35-44 tahun</v>
      </c>
      <c r="K2002" s="19">
        <f>IFERROR(__xludf.DUMMYFUNCTION("""COMPUTED_VALUE"""),33247.0)</f>
        <v>33247</v>
      </c>
      <c r="L2002" s="19" t="str">
        <f>IFERROR(__xludf.DUMMYFUNCTION("""COMPUTED_VALUE"""),"LAKI-LAKI")</f>
        <v>LAKI-LAKI</v>
      </c>
      <c r="M2002" s="36" t="str">
        <f>IFERROR(__xludf.DUMMYFUNCTION("""COMPUTED_VALUE"""),"KP KALURAHAN RT 02/05 NO.02")</f>
        <v>KP KALURAHAN RT 02/05 NO.02</v>
      </c>
      <c r="N2002" s="16" t="str">
        <f>IFERROR(__xludf.DUMMYFUNCTION("""COMPUTED_VALUE"""),"Desa Cibatok 2")</f>
        <v>Desa Cibatok 2</v>
      </c>
      <c r="O2002" s="16" t="str">
        <f>IFERROR(__xludf.DUMMYFUNCTION("""COMPUTED_VALUE"""),"Cibungbulang")</f>
        <v>Cibungbulang</v>
      </c>
      <c r="P2002" s="16" t="str">
        <f>IFERROR(__xludf.DUMMYFUNCTION("""COMPUTED_VALUE"""),"Bogor")</f>
        <v>Bogor</v>
      </c>
      <c r="Q2002" s="16" t="str">
        <f>IFERROR(__xludf.DUMMYFUNCTION("""COMPUTED_VALUE"""),"Jawa Barat")</f>
        <v>Jawa Barat</v>
      </c>
      <c r="R2002" s="19" t="str">
        <f>IFERROR(__xludf.DUMMYFUNCTION("""COMPUTED_VALUE"""),"ISLAM")</f>
        <v>ISLAM</v>
      </c>
      <c r="S2002" s="36" t="str">
        <f>IFERROR(__xludf.DUMMYFUNCTION("""COMPUTED_VALUE"""),"Wiraswasta")</f>
        <v>Wiraswasta</v>
      </c>
      <c r="T2002" s="16" t="str">
        <f>IFERROR(__xludf.DUMMYFUNCTION("""COMPUTED_VALUE"""),"Cedera ankle")</f>
        <v>Cedera ankle</v>
      </c>
      <c r="U2002" s="16" t="str">
        <f>IFERROR(__xludf.DUMMYFUNCTION("""COMPUTED_VALUE"""),"Running / Jogging")</f>
        <v>Running / Jogging</v>
      </c>
      <c r="V2002" s="11" t="str">
        <f>IFERROR(__xludf.DUMMYFUNCTION("""COMPUTED_VALUE"""),"081290169014")</f>
        <v>081290169014</v>
      </c>
      <c r="W2002" s="15"/>
    </row>
    <row r="2003">
      <c r="A2003" s="45"/>
      <c r="B2003" s="9">
        <f>IFERROR(__xludf.DUMMYFUNCTION("""COMPUTED_VALUE"""),45631.47201282407)</f>
        <v>45631.47201</v>
      </c>
      <c r="C2003" s="9"/>
      <c r="D2003" s="10">
        <f>IFERROR(__xludf.DUMMYFUNCTION("""COMPUTED_VALUE"""),45660.0)</f>
        <v>45660</v>
      </c>
      <c r="E2003" s="10" t="str">
        <f>IFERROR(__xludf.DUMMYFUNCTION("""COMPUTED_VALUE"""),"01Jan")</f>
        <v>01Jan</v>
      </c>
      <c r="F2003" s="10" t="str">
        <f>IFERROR(__xludf.DUMMYFUNCTION("""COMPUTED_VALUE"""),"2025")</f>
        <v>2025</v>
      </c>
      <c r="G2003" s="35" t="str">
        <f>IFERROR(__xludf.DUMMYFUNCTION("""COMPUTED_VALUE"""),"ALIF BAINAL KHAFI")</f>
        <v>ALIF BAINAL KHAFI</v>
      </c>
      <c r="H2003" s="35" t="str">
        <f>IFERROR(__xludf.DUMMYFUNCTION("""COMPUTED_VALUE"""),"A0425014441")</f>
        <v>A0425014441</v>
      </c>
      <c r="I2003" s="35">
        <f>IFERROR(__xludf.DUMMYFUNCTION("""COMPUTED_VALUE"""),21.0)</f>
        <v>21</v>
      </c>
      <c r="J2003" s="35" t="str">
        <f>IFERROR(__xludf.DUMMYFUNCTION("""COMPUTED_VALUE"""),"18-24 tahun")</f>
        <v>18-24 tahun</v>
      </c>
      <c r="K2003" s="19">
        <f>IFERROR(__xludf.DUMMYFUNCTION("""COMPUTED_VALUE"""),38323.0)</f>
        <v>38323</v>
      </c>
      <c r="L2003" s="19" t="str">
        <f>IFERROR(__xludf.DUMMYFUNCTION("""COMPUTED_VALUE"""),"LAKI-LAKI")</f>
        <v>LAKI-LAKI</v>
      </c>
      <c r="M2003" s="36" t="str">
        <f>IFERROR(__xludf.DUMMYFUNCTION("""COMPUTED_VALUE"""),"JL.PROF.M.YAMIN GG.TELADAN")</f>
        <v>JL.PROF.M.YAMIN GG.TELADAN</v>
      </c>
      <c r="N2003" s="16" t="str">
        <f>IFERROR(__xludf.DUMMYFUNCTION("""COMPUTED_VALUE"""),"Kota Baru")</f>
        <v>Kota Baru</v>
      </c>
      <c r="O2003" s="16" t="str">
        <f>IFERROR(__xludf.DUMMYFUNCTION("""COMPUTED_VALUE"""),"Pontianak Selatan")</f>
        <v>Pontianak Selatan</v>
      </c>
      <c r="P2003" s="16" t="str">
        <f>IFERROR(__xludf.DUMMYFUNCTION("""COMPUTED_VALUE"""),"Kota Pontianak")</f>
        <v>Kota Pontianak</v>
      </c>
      <c r="Q2003" s="16" t="str">
        <f>IFERROR(__xludf.DUMMYFUNCTION("""COMPUTED_VALUE"""),"Kalimantan Barat")</f>
        <v>Kalimantan Barat</v>
      </c>
      <c r="R2003" s="19" t="str">
        <f>IFERROR(__xludf.DUMMYFUNCTION("""COMPUTED_VALUE"""),"ISLAM")</f>
        <v>ISLAM</v>
      </c>
      <c r="S2003" s="36" t="str">
        <f>IFERROR(__xludf.DUMMYFUNCTION("""COMPUTED_VALUE"""),"PELAJAR/MAHASISWA")</f>
        <v>PELAJAR/MAHASISWA</v>
      </c>
      <c r="T2003" s="16" t="str">
        <f>IFERROR(__xludf.DUMMYFUNCTION("""COMPUTED_VALUE"""),"tulang lutut saye kamrin tegeser pas main bola saya mau konsultasi duli")</f>
        <v>tulang lutut saye kamrin tegeser pas main bola saya mau konsultasi duli</v>
      </c>
      <c r="U2003" s="16" t="str">
        <f>IFERROR(__xludf.DUMMYFUNCTION("""COMPUTED_VALUE"""),"kuliah main bola")</f>
        <v>kuliah main bola</v>
      </c>
      <c r="V2003" s="11" t="str">
        <f>IFERROR(__xludf.DUMMYFUNCTION("""COMPUTED_VALUE"""),"085822484441")</f>
        <v>085822484441</v>
      </c>
      <c r="W2003" s="15"/>
    </row>
    <row r="2004">
      <c r="A2004" s="45"/>
      <c r="B2004" s="9">
        <f>IFERROR(__xludf.DUMMYFUNCTION("""COMPUTED_VALUE"""),45631.47940253472)</f>
        <v>45631.4794</v>
      </c>
      <c r="C2004" s="9"/>
      <c r="D2004" s="10">
        <f>IFERROR(__xludf.DUMMYFUNCTION("""COMPUTED_VALUE"""),45660.0)</f>
        <v>45660</v>
      </c>
      <c r="E2004" s="10" t="str">
        <f>IFERROR(__xludf.DUMMYFUNCTION("""COMPUTED_VALUE"""),"01Jan")</f>
        <v>01Jan</v>
      </c>
      <c r="F2004" s="10" t="str">
        <f>IFERROR(__xludf.DUMMYFUNCTION("""COMPUTED_VALUE"""),"2025")</f>
        <v>2025</v>
      </c>
      <c r="G2004" s="35" t="str">
        <f>IFERROR(__xludf.DUMMYFUNCTION("""COMPUTED_VALUE"""),"DRAJAT SUBYAKTO")</f>
        <v>DRAJAT SUBYAKTO</v>
      </c>
      <c r="H2004" s="35" t="str">
        <f>IFERROR(__xludf.DUMMYFUNCTION("""COMPUTED_VALUE"""),"D5625014272")</f>
        <v>D5625014272</v>
      </c>
      <c r="I2004" s="35">
        <f>IFERROR(__xludf.DUMMYFUNCTION("""COMPUTED_VALUE"""),69.0)</f>
        <v>69</v>
      </c>
      <c r="J2004" s="35" t="str">
        <f>IFERROR(__xludf.DUMMYFUNCTION("""COMPUTED_VALUE"""),"&gt; 44 tahun")</f>
        <v>&gt; 44 tahun</v>
      </c>
      <c r="K2004" s="19">
        <f>IFERROR(__xludf.DUMMYFUNCTION("""COMPUTED_VALUE"""),20701.0)</f>
        <v>20701</v>
      </c>
      <c r="L2004" s="19" t="str">
        <f>IFERROR(__xludf.DUMMYFUNCTION("""COMPUTED_VALUE"""),"LAKI-LAKI")</f>
        <v>LAKI-LAKI</v>
      </c>
      <c r="M2004" s="36" t="str">
        <f>IFERROR(__xludf.DUMMYFUNCTION("""COMPUTED_VALUE"""),"JALAN RA.KARTINI")</f>
        <v>JALAN RA.KARTINI</v>
      </c>
      <c r="N2004" s="16" t="str">
        <f>IFERROR(__xludf.DUMMYFUNCTION("""COMPUTED_VALUE"""),"Kedamin hulu")</f>
        <v>Kedamin hulu</v>
      </c>
      <c r="O2004" s="16" t="str">
        <f>IFERROR(__xludf.DUMMYFUNCTION("""COMPUTED_VALUE"""),"Putussibau selatan")</f>
        <v>Putussibau selatan</v>
      </c>
      <c r="P2004" s="16" t="str">
        <f>IFERROR(__xludf.DUMMYFUNCTION("""COMPUTED_VALUE"""),"Kabupaten")</f>
        <v>Kabupaten</v>
      </c>
      <c r="Q2004" s="16" t="str">
        <f>IFERROR(__xludf.DUMMYFUNCTION("""COMPUTED_VALUE"""),"Kalimantan barat")</f>
        <v>Kalimantan barat</v>
      </c>
      <c r="R2004" s="19" t="str">
        <f>IFERROR(__xludf.DUMMYFUNCTION("""COMPUTED_VALUE"""),"ISLAM")</f>
        <v>ISLAM</v>
      </c>
      <c r="S2004" s="36" t="str">
        <f>IFERROR(__xludf.DUMMYFUNCTION("""COMPUTED_VALUE"""),"pensiun")</f>
        <v>pensiun</v>
      </c>
      <c r="T2004" s="16" t="str">
        <f>IFERROR(__xludf.DUMMYFUNCTION("""COMPUTED_VALUE"""),"tangan suka penat dan kaki berat untuk berjalan")</f>
        <v>tangan suka penat dan kaki berat untuk berjalan</v>
      </c>
      <c r="U2004" s="16" t="str">
        <f>IFERROR(__xludf.DUMMYFUNCTION("""COMPUTED_VALUE"""),"nonton tv")</f>
        <v>nonton tv</v>
      </c>
      <c r="V2004" s="11" t="str">
        <f>IFERROR(__xludf.DUMMYFUNCTION("""COMPUTED_VALUE"""),"081522714272")</f>
        <v>081522714272</v>
      </c>
      <c r="W2004" s="15"/>
    </row>
    <row r="2005">
      <c r="A2005" s="45"/>
      <c r="B2005" s="9"/>
      <c r="C2005" s="9"/>
      <c r="D2005" s="10">
        <f>IFERROR(__xludf.DUMMYFUNCTION("""COMPUTED_VALUE"""),45660.0)</f>
        <v>45660</v>
      </c>
      <c r="E2005" s="10" t="str">
        <f>IFERROR(__xludf.DUMMYFUNCTION("""COMPUTED_VALUE"""),"01Jan")</f>
        <v>01Jan</v>
      </c>
      <c r="F2005" s="10" t="str">
        <f>IFERROR(__xludf.DUMMYFUNCTION("""COMPUTED_VALUE"""),"2025")</f>
        <v>2025</v>
      </c>
      <c r="G2005" s="35" t="str">
        <f>IFERROR(__xludf.DUMMYFUNCTION("""COMPUTED_VALUE"""),"MIRNAWATI")</f>
        <v>MIRNAWATI</v>
      </c>
      <c r="H2005" s="35" t="str">
        <f>IFERROR(__xludf.DUMMYFUNCTION("""COMPUTED_VALUE"""),"M6025016880")</f>
        <v>M6025016880</v>
      </c>
      <c r="I2005" s="35">
        <f>IFERROR(__xludf.DUMMYFUNCTION("""COMPUTED_VALUE"""),65.0)</f>
        <v>65</v>
      </c>
      <c r="J2005" s="35" t="str">
        <f>IFERROR(__xludf.DUMMYFUNCTION("""COMPUTED_VALUE"""),"&gt; 44 tahun")</f>
        <v>&gt; 44 tahun</v>
      </c>
      <c r="K2005" s="19">
        <f>IFERROR(__xludf.DUMMYFUNCTION("""COMPUTED_VALUE"""),22115.0)</f>
        <v>22115</v>
      </c>
      <c r="L2005" s="19" t="str">
        <f>IFERROR(__xludf.DUMMYFUNCTION("""COMPUTED_VALUE"""),"PEREMPUAN")</f>
        <v>PEREMPUAN</v>
      </c>
      <c r="M2005" s="36" t="str">
        <f>IFERROR(__xludf.DUMMYFUNCTION("""COMPUTED_VALUE"""),"JL ENGGANO NO 27")</f>
        <v>JL ENGGANO NO 27</v>
      </c>
      <c r="N2005" s="16" t="str">
        <f>IFERROR(__xludf.DUMMYFUNCTION("""COMPUTED_VALUE"""),"Akcaya")</f>
        <v>Akcaya</v>
      </c>
      <c r="O2005" s="16" t="str">
        <f>IFERROR(__xludf.DUMMYFUNCTION("""COMPUTED_VALUE"""),"Pontianak Selatan")</f>
        <v>Pontianak Selatan</v>
      </c>
      <c r="P2005" s="16" t="str">
        <f>IFERROR(__xludf.DUMMYFUNCTION("""COMPUTED_VALUE"""),"Kota Pontianak")</f>
        <v>Kota Pontianak</v>
      </c>
      <c r="Q2005" s="16" t="str">
        <f>IFERROR(__xludf.DUMMYFUNCTION("""COMPUTED_VALUE"""),"Kalimantan Barat")</f>
        <v>Kalimantan Barat</v>
      </c>
      <c r="R2005" s="19" t="str">
        <f>IFERROR(__xludf.DUMMYFUNCTION("""COMPUTED_VALUE"""),"ISLAM")</f>
        <v>ISLAM</v>
      </c>
      <c r="S2005" s="16" t="str">
        <f>IFERROR(__xludf.DUMMYFUNCTION("""COMPUTED_VALUE"""),"PENSIUN")</f>
        <v>PENSIUN</v>
      </c>
      <c r="T2005" s="16" t="str">
        <f>IFERROR(__xludf.DUMMYFUNCTION("""COMPUTED_VALUE"""),"Kaki bengkak dan nafas sesak")</f>
        <v>Kaki bengkak dan nafas sesak</v>
      </c>
      <c r="U2005" s="16" t="str">
        <f>IFERROR(__xludf.DUMMYFUNCTION("""COMPUTED_VALUE"""),"Di rumah saja")</f>
        <v>Di rumah saja</v>
      </c>
      <c r="V2005" s="11" t="str">
        <f>IFERROR(__xludf.DUMMYFUNCTION("""COMPUTED_VALUE"""),"081256006880")</f>
        <v>081256006880</v>
      </c>
      <c r="W2005" s="15"/>
    </row>
    <row r="2006">
      <c r="A2006" s="45"/>
      <c r="B2006" s="9">
        <f>IFERROR(__xludf.DUMMYFUNCTION("""COMPUTED_VALUE"""),45631.77367292824)</f>
        <v>45631.77367</v>
      </c>
      <c r="C2006" s="9"/>
      <c r="D2006" s="10">
        <f>IFERROR(__xludf.DUMMYFUNCTION("""COMPUTED_VALUE"""),45660.0)</f>
        <v>45660</v>
      </c>
      <c r="E2006" s="10" t="str">
        <f>IFERROR(__xludf.DUMMYFUNCTION("""COMPUTED_VALUE"""),"01Jan")</f>
        <v>01Jan</v>
      </c>
      <c r="F2006" s="10" t="str">
        <f>IFERROR(__xludf.DUMMYFUNCTION("""COMPUTED_VALUE"""),"2025")</f>
        <v>2025</v>
      </c>
      <c r="G2006" s="35" t="str">
        <f>IFERROR(__xludf.DUMMYFUNCTION("""COMPUTED_VALUE"""),"JAM SENG")</f>
        <v>JAM SENG</v>
      </c>
      <c r="H2006" s="35" t="str">
        <f>IFERROR(__xludf.DUMMYFUNCTION("""COMPUTED_VALUE"""),"J6225015559")</f>
        <v>J6225015559</v>
      </c>
      <c r="I2006" s="35">
        <f>IFERROR(__xludf.DUMMYFUNCTION("""COMPUTED_VALUE"""),63.0)</f>
        <v>63</v>
      </c>
      <c r="J2006" s="35" t="str">
        <f>IFERROR(__xludf.DUMMYFUNCTION("""COMPUTED_VALUE"""),"&gt; 44 tahun")</f>
        <v>&gt; 44 tahun</v>
      </c>
      <c r="K2006" s="19">
        <f>IFERROR(__xludf.DUMMYFUNCTION("""COMPUTED_VALUE"""),22940.0)</f>
        <v>22940</v>
      </c>
      <c r="L2006" s="19" t="str">
        <f>IFERROR(__xludf.DUMMYFUNCTION("""COMPUTED_VALUE"""),"LAKI-LAKI")</f>
        <v>LAKI-LAKI</v>
      </c>
      <c r="M2006" s="36" t="str">
        <f>IFERROR(__xludf.DUMMYFUNCTION("""COMPUTED_VALUE"""),"SUNGAI KAKAP")</f>
        <v>SUNGAI KAKAP</v>
      </c>
      <c r="N2006" s="36" t="str">
        <f>IFERROR(__xludf.DUMMYFUNCTION("""COMPUTED_VALUE"""),"Sungai kakap")</f>
        <v>Sungai kakap</v>
      </c>
      <c r="O2006" s="16" t="str">
        <f>IFERROR(__xludf.DUMMYFUNCTION("""COMPUTED_VALUE"""),"Sungai kakap")</f>
        <v>Sungai kakap</v>
      </c>
      <c r="P2006" s="16" t="str">
        <f>IFERROR(__xludf.DUMMYFUNCTION("""COMPUTED_VALUE"""),"Kuburaya")</f>
        <v>Kuburaya</v>
      </c>
      <c r="Q2006" s="16" t="str">
        <f>IFERROR(__xludf.DUMMYFUNCTION("""COMPUTED_VALUE"""),"Kalimantan barat")</f>
        <v>Kalimantan barat</v>
      </c>
      <c r="R2006" s="19" t="str">
        <f>IFERROR(__xludf.DUMMYFUNCTION("""COMPUTED_VALUE"""),"BUDDHA")</f>
        <v>BUDDHA</v>
      </c>
      <c r="S2006" s="16" t="str">
        <f>IFERROR(__xludf.DUMMYFUNCTION("""COMPUTED_VALUE"""),"Wiraswasta")</f>
        <v>Wiraswasta</v>
      </c>
      <c r="T2006" s="16" t="str">
        <f>IFERROR(__xludf.DUMMYFUNCTION("""COMPUTED_VALUE"""),"Sakit punggung di bawah leher")</f>
        <v>Sakit punggung di bawah leher</v>
      </c>
      <c r="U2006" s="16" t="str">
        <f>IFERROR(__xludf.DUMMYFUNCTION("""COMPUTED_VALUE"""),"Berkebun")</f>
        <v>Berkebun</v>
      </c>
      <c r="V2006" s="11" t="str">
        <f>IFERROR(__xludf.DUMMYFUNCTION("""COMPUTED_VALUE"""),"08996895559")</f>
        <v>08996895559</v>
      </c>
      <c r="W2006" s="15"/>
    </row>
    <row r="2007">
      <c r="A2007" s="45"/>
      <c r="B2007" s="9">
        <f>IFERROR(__xludf.DUMMYFUNCTION("""COMPUTED_VALUE"""),45632.35273034722)</f>
        <v>45632.35273</v>
      </c>
      <c r="C2007" s="9"/>
      <c r="D2007" s="10">
        <f>IFERROR(__xludf.DUMMYFUNCTION("""COMPUTED_VALUE"""),45660.0)</f>
        <v>45660</v>
      </c>
      <c r="E2007" s="10" t="str">
        <f>IFERROR(__xludf.DUMMYFUNCTION("""COMPUTED_VALUE"""),"01Jan")</f>
        <v>01Jan</v>
      </c>
      <c r="F2007" s="10" t="str">
        <f>IFERROR(__xludf.DUMMYFUNCTION("""COMPUTED_VALUE"""),"2025")</f>
        <v>2025</v>
      </c>
      <c r="G2007" s="35" t="str">
        <f>IFERROR(__xludf.DUMMYFUNCTION("""COMPUTED_VALUE"""),"MUHAMMAD AGUNG KURNIAWAN")</f>
        <v>MUHAMMAD AGUNG KURNIAWAN</v>
      </c>
      <c r="H2007" s="35" t="str">
        <f>IFERROR(__xludf.DUMMYFUNCTION("""COMPUTED_VALUE"""),"M0225017300")</f>
        <v>M0225017300</v>
      </c>
      <c r="I2007" s="35">
        <f>IFERROR(__xludf.DUMMYFUNCTION("""COMPUTED_VALUE"""),24.0)</f>
        <v>24</v>
      </c>
      <c r="J2007" s="35" t="str">
        <f>IFERROR(__xludf.DUMMYFUNCTION("""COMPUTED_VALUE"""),"18-24 tahun")</f>
        <v>18-24 tahun</v>
      </c>
      <c r="K2007" s="19">
        <f>IFERROR(__xludf.DUMMYFUNCTION("""COMPUTED_VALUE"""),37290.0)</f>
        <v>37290</v>
      </c>
      <c r="L2007" s="19" t="str">
        <f>IFERROR(__xludf.DUMMYFUNCTION("""COMPUTED_VALUE"""),"LAKI-LAKI")</f>
        <v>LAKI-LAKI</v>
      </c>
      <c r="M2007" s="36" t="str">
        <f>IFERROR(__xludf.DUMMYFUNCTION("""COMPUTED_VALUE"""),"JALAN SUNGAI RAYA DALAM KOMPLEK TANJUNG PURA PERMAI NO B.13")</f>
        <v>JALAN SUNGAI RAYA DALAM KOMPLEK TANJUNG PURA PERMAI NO B.13</v>
      </c>
      <c r="N2007" s="16" t="str">
        <f>IFERROR(__xludf.DUMMYFUNCTION("""COMPUTED_VALUE"""),"sungai raya dalam")</f>
        <v>sungai raya dalam</v>
      </c>
      <c r="O2007" s="16" t="str">
        <f>IFERROR(__xludf.DUMMYFUNCTION("""COMPUTED_VALUE"""),"sungai raya")</f>
        <v>sungai raya</v>
      </c>
      <c r="P2007" s="16" t="str">
        <f>IFERROR(__xludf.DUMMYFUNCTION("""COMPUTED_VALUE"""),"kuburaya")</f>
        <v>kuburaya</v>
      </c>
      <c r="Q2007" s="16" t="str">
        <f>IFERROR(__xludf.DUMMYFUNCTION("""COMPUTED_VALUE"""),"Kalimantan Barat")</f>
        <v>Kalimantan Barat</v>
      </c>
      <c r="R2007" s="19" t="str">
        <f>IFERROR(__xludf.DUMMYFUNCTION("""COMPUTED_VALUE"""),"ISLAM")</f>
        <v>ISLAM</v>
      </c>
      <c r="S2007" s="36" t="str">
        <f>IFERROR(__xludf.DUMMYFUNCTION("""COMPUTED_VALUE"""),"TNI/POLRI")</f>
        <v>TNI/POLRI</v>
      </c>
      <c r="T2007" s="16" t="str">
        <f>IFERROR(__xludf.DUMMYFUNCTION("""COMPUTED_VALUE"""),"kaki masih bengkak abis engkel")</f>
        <v>kaki masih bengkak abis engkel</v>
      </c>
      <c r="U2007" s="16" t="str">
        <f>IFERROR(__xludf.DUMMYFUNCTION("""COMPUTED_VALUE"""),"Voli,olahraga")</f>
        <v>Voli,olahraga</v>
      </c>
      <c r="V2007" s="11" t="str">
        <f>IFERROR(__xludf.DUMMYFUNCTION("""COMPUTED_VALUE"""),"081933867300")</f>
        <v>081933867300</v>
      </c>
      <c r="W2007" s="15"/>
    </row>
    <row r="2008">
      <c r="A2008" s="45"/>
      <c r="B2008" s="9">
        <f>IFERROR(__xludf.DUMMYFUNCTION("""COMPUTED_VALUE"""),45006.59301011574)</f>
        <v>45006.59301</v>
      </c>
      <c r="C2008" s="9"/>
      <c r="D2008" s="10">
        <f>IFERROR(__xludf.DUMMYFUNCTION("""COMPUTED_VALUE"""),45660.0)</f>
        <v>45660</v>
      </c>
      <c r="E2008" s="10" t="str">
        <f>IFERROR(__xludf.DUMMYFUNCTION("""COMPUTED_VALUE"""),"01Jan")</f>
        <v>01Jan</v>
      </c>
      <c r="F2008" s="10" t="str">
        <f>IFERROR(__xludf.DUMMYFUNCTION("""COMPUTED_VALUE"""),"2025")</f>
        <v>2025</v>
      </c>
      <c r="G2008" s="35" t="str">
        <f>IFERROR(__xludf.DUMMYFUNCTION("""COMPUTED_VALUE"""),"MUHAMMAD RAYHAN JADDU")</f>
        <v>MUHAMMAD RAYHAN JADDU</v>
      </c>
      <c r="H2008" s="35" t="str">
        <f>IFERROR(__xludf.DUMMYFUNCTION("""COMPUTED_VALUE"""),"M0425019897")</f>
        <v>M0425019897</v>
      </c>
      <c r="I2008" s="35">
        <f>IFERROR(__xludf.DUMMYFUNCTION("""COMPUTED_VALUE"""),22.0)</f>
        <v>22</v>
      </c>
      <c r="J2008" s="35" t="str">
        <f>IFERROR(__xludf.DUMMYFUNCTION("""COMPUTED_VALUE"""),"18-24 tahun")</f>
        <v>18-24 tahun</v>
      </c>
      <c r="K2008" s="19">
        <f>IFERROR(__xludf.DUMMYFUNCTION("""COMPUTED_VALUE"""),38124.0)</f>
        <v>38124</v>
      </c>
      <c r="L2008" s="19" t="str">
        <f>IFERROR(__xludf.DUMMYFUNCTION("""COMPUTED_VALUE"""),"LAKI-LAKI")</f>
        <v>LAKI-LAKI</v>
      </c>
      <c r="M2008" s="36" t="str">
        <f>IFERROR(__xludf.DUMMYFUNCTION("""COMPUTED_VALUE"""),"JALAN PROF. DR. HAMKA GG. PADI 6 NO. 4")</f>
        <v>JALAN PROF. DR. HAMKA GG. PADI 6 NO. 4</v>
      </c>
      <c r="N2008" s="16" t="str">
        <f>IFERROR(__xludf.DUMMYFUNCTION("""COMPUTED_VALUE"""),"Sungai jawi")</f>
        <v>Sungai jawi</v>
      </c>
      <c r="O2008" s="35" t="str">
        <f>IFERROR(__xludf.DUMMYFUNCTION("""COMPUTED_VALUE"""),"Pontianak Kota")</f>
        <v>Pontianak Kota</v>
      </c>
      <c r="P2008" s="16" t="str">
        <f>IFERROR(__xludf.DUMMYFUNCTION("""COMPUTED_VALUE"""),"Pontianak")</f>
        <v>Pontianak</v>
      </c>
      <c r="Q2008" s="16" t="str">
        <f>IFERROR(__xludf.DUMMYFUNCTION("""COMPUTED_VALUE"""),"Kalimantan Barat")</f>
        <v>Kalimantan Barat</v>
      </c>
      <c r="R2008" s="19" t="str">
        <f>IFERROR(__xludf.DUMMYFUNCTION("""COMPUTED_VALUE"""),"ISLAM")</f>
        <v>ISLAM</v>
      </c>
      <c r="S2008" s="36" t="str">
        <f>IFERROR(__xludf.DUMMYFUNCTION("""COMPUTED_VALUE"""),"PELAJAR/MAHASISWA")</f>
        <v>PELAJAR/MAHASISWA</v>
      </c>
      <c r="T2008" s="16" t="str">
        <f>IFERROR(__xludf.DUMMYFUNCTION("""COMPUTED_VALUE"""),"lutut kiri tidak bisa di tekuk, sakit di bagian belakang lutut")</f>
        <v>lutut kiri tidak bisa di tekuk, sakit di bagian belakang lutut</v>
      </c>
      <c r="U2008" s="16" t="str">
        <f>IFERROR(__xludf.DUMMYFUNCTION("""COMPUTED_VALUE"""),"futsal, sepak bola")</f>
        <v>futsal, sepak bola</v>
      </c>
      <c r="V2008" s="11" t="str">
        <f>IFERROR(__xludf.DUMMYFUNCTION("""COMPUTED_VALUE"""),"081254639897")</f>
        <v>081254639897</v>
      </c>
      <c r="W2008" s="15"/>
    </row>
    <row r="2009">
      <c r="A2009" s="45"/>
      <c r="B2009" s="9">
        <f>IFERROR(__xludf.DUMMYFUNCTION("""COMPUTED_VALUE"""),45633.605593506945)</f>
        <v>45633.60559</v>
      </c>
      <c r="C2009" s="9"/>
      <c r="D2009" s="10">
        <f>IFERROR(__xludf.DUMMYFUNCTION("""COMPUTED_VALUE"""),45660.0)</f>
        <v>45660</v>
      </c>
      <c r="E2009" s="10" t="str">
        <f>IFERROR(__xludf.DUMMYFUNCTION("""COMPUTED_VALUE"""),"01Jan")</f>
        <v>01Jan</v>
      </c>
      <c r="F2009" s="10" t="str">
        <f>IFERROR(__xludf.DUMMYFUNCTION("""COMPUTED_VALUE"""),"2025")</f>
        <v>2025</v>
      </c>
      <c r="G2009" s="35" t="str">
        <f>IFERROR(__xludf.DUMMYFUNCTION("""COMPUTED_VALUE"""),"BOBY GUNAWAN")</f>
        <v>BOBY GUNAWAN</v>
      </c>
      <c r="H2009" s="35" t="str">
        <f>IFERROR(__xludf.DUMMYFUNCTION("""COMPUTED_VALUE"""),"B9525013700")</f>
        <v>B9525013700</v>
      </c>
      <c r="I2009" s="35">
        <f>IFERROR(__xludf.DUMMYFUNCTION("""COMPUTED_VALUE"""),30.0)</f>
        <v>30</v>
      </c>
      <c r="J2009" s="35" t="str">
        <f>IFERROR(__xludf.DUMMYFUNCTION("""COMPUTED_VALUE"""),"25-34 tahun")</f>
        <v>25-34 tahun</v>
      </c>
      <c r="K2009" s="19">
        <f>IFERROR(__xludf.DUMMYFUNCTION("""COMPUTED_VALUE"""),35046.0)</f>
        <v>35046</v>
      </c>
      <c r="L2009" s="19" t="str">
        <f>IFERROR(__xludf.DUMMYFUNCTION("""COMPUTED_VALUE"""),"LAKI-LAKI")</f>
        <v>LAKI-LAKI</v>
      </c>
      <c r="M2009" s="36" t="str">
        <f>IFERROR(__xludf.DUMMYFUNCTION("""COMPUTED_VALUE"""),"JL PETANI GG HARAPAN 3")</f>
        <v>JL PETANI GG HARAPAN 3</v>
      </c>
      <c r="N2009" s="16" t="str">
        <f>IFERROR(__xludf.DUMMYFUNCTION("""COMPUTED_VALUE"""),"Sui Bangkong")</f>
        <v>Sui Bangkong</v>
      </c>
      <c r="O2009" s="16" t="str">
        <f>IFERROR(__xludf.DUMMYFUNCTION("""COMPUTED_VALUE"""),"Pontianak kota")</f>
        <v>Pontianak kota</v>
      </c>
      <c r="P2009" s="16" t="str">
        <f>IFERROR(__xludf.DUMMYFUNCTION("""COMPUTED_VALUE"""),"Pontianak")</f>
        <v>Pontianak</v>
      </c>
      <c r="Q2009" s="16" t="str">
        <f>IFERROR(__xludf.DUMMYFUNCTION("""COMPUTED_VALUE"""),"Kalimantan barat")</f>
        <v>Kalimantan barat</v>
      </c>
      <c r="R2009" s="19" t="str">
        <f>IFERROR(__xludf.DUMMYFUNCTION("""COMPUTED_VALUE"""),"ISLAM")</f>
        <v>ISLAM</v>
      </c>
      <c r="S2009" s="16" t="str">
        <f>IFERROR(__xludf.DUMMYFUNCTION("""COMPUTED_VALUE"""),"Bumn")</f>
        <v>Bumn</v>
      </c>
      <c r="T2009" s="16" t="str">
        <f>IFERROR(__xludf.DUMMYFUNCTION("""COMPUTED_VALUE"""),"Terkilir di engkel kaki kanan dan ada sedikit nyeri di lutut")</f>
        <v>Terkilir di engkel kaki kanan dan ada sedikit nyeri di lutut</v>
      </c>
      <c r="U2009" s="16" t="str">
        <f>IFERROR(__xludf.DUMMYFUNCTION("""COMPUTED_VALUE"""),"Sepakbola/pekerja lapangan")</f>
        <v>Sepakbola/pekerja lapangan</v>
      </c>
      <c r="V2009" s="11" t="str">
        <f>IFERROR(__xludf.DUMMYFUNCTION("""COMPUTED_VALUE"""),"082240963700")</f>
        <v>082240963700</v>
      </c>
      <c r="W2009" s="15"/>
    </row>
    <row r="2010">
      <c r="A2010" s="45"/>
      <c r="B2010" s="9">
        <f>IFERROR(__xludf.DUMMYFUNCTION("""COMPUTED_VALUE"""),45634.3607203125)</f>
        <v>45634.36072</v>
      </c>
      <c r="C2010" s="9"/>
      <c r="D2010" s="10">
        <f>IFERROR(__xludf.DUMMYFUNCTION("""COMPUTED_VALUE"""),45660.0)</f>
        <v>45660</v>
      </c>
      <c r="E2010" s="10" t="str">
        <f>IFERROR(__xludf.DUMMYFUNCTION("""COMPUTED_VALUE"""),"01Jan")</f>
        <v>01Jan</v>
      </c>
      <c r="F2010" s="10" t="str">
        <f>IFERROR(__xludf.DUMMYFUNCTION("""COMPUTED_VALUE"""),"2025")</f>
        <v>2025</v>
      </c>
      <c r="G2010" s="35" t="str">
        <f>IFERROR(__xludf.DUMMYFUNCTION("""COMPUTED_VALUE"""),"II SUMIRAT")</f>
        <v>II SUMIRAT</v>
      </c>
      <c r="H2010" s="35" t="str">
        <f>IFERROR(__xludf.DUMMYFUNCTION("""COMPUTED_VALUE"""),"I0225016604")</f>
        <v>I0225016604</v>
      </c>
      <c r="I2010" s="35">
        <f>IFERROR(__xludf.DUMMYFUNCTION("""COMPUTED_VALUE"""),23.0)</f>
        <v>23</v>
      </c>
      <c r="J2010" s="35" t="str">
        <f>IFERROR(__xludf.DUMMYFUNCTION("""COMPUTED_VALUE"""),"18-24 tahun")</f>
        <v>18-24 tahun</v>
      </c>
      <c r="K2010" s="19">
        <f>IFERROR(__xludf.DUMMYFUNCTION("""COMPUTED_VALUE"""),37569.0)</f>
        <v>37569</v>
      </c>
      <c r="L2010" s="19" t="str">
        <f>IFERROR(__xludf.DUMMYFUNCTION("""COMPUTED_VALUE"""),"LAKI-LAKI")</f>
        <v>LAKI-LAKI</v>
      </c>
      <c r="M2010" s="36" t="str">
        <f>IFERROR(__xludf.DUMMYFUNCTION("""COMPUTED_VALUE"""),"DUSUN SUKA MAJU")</f>
        <v>DUSUN SUKA MAJU</v>
      </c>
      <c r="N2010" s="16" t="str">
        <f>IFERROR(__xludf.DUMMYFUNCTION("""COMPUTED_VALUE"""),"KEMBOJA")</f>
        <v>KEMBOJA</v>
      </c>
      <c r="O2010" s="16" t="str">
        <f>IFERROR(__xludf.DUMMYFUNCTION("""COMPUTED_VALUE"""),"PULAU MAYA")</f>
        <v>PULAU MAYA</v>
      </c>
      <c r="P2010" s="16" t="str">
        <f>IFERROR(__xludf.DUMMYFUNCTION("""COMPUTED_VALUE"""),"KAYONG UTARA")</f>
        <v>KAYONG UTARA</v>
      </c>
      <c r="Q2010" s="16" t="str">
        <f>IFERROR(__xludf.DUMMYFUNCTION("""COMPUTED_VALUE"""),"KALIMANTAN BARAT")</f>
        <v>KALIMANTAN BARAT</v>
      </c>
      <c r="R2010" s="19" t="str">
        <f>IFERROR(__xludf.DUMMYFUNCTION("""COMPUTED_VALUE"""),"ISLAM")</f>
        <v>ISLAM</v>
      </c>
      <c r="S2010" s="16" t="str">
        <f>IFERROR(__xludf.DUMMYFUNCTION("""COMPUTED_VALUE"""),"MAHASISWA")</f>
        <v>MAHASISWA</v>
      </c>
      <c r="T2010" s="16" t="str">
        <f>IFERROR(__xludf.DUMMYFUNCTION("""COMPUTED_VALUE"""),"NYERI/NGILU DI BAGIAN ENGKEL KIRI(SEPERTINYA KESELEO )")</f>
        <v>NYERI/NGILU DI BAGIAN ENGKEL KIRI(SEPERTINYA KESELEO )</v>
      </c>
      <c r="U2010" s="16" t="str">
        <f>IFERROR(__xludf.DUMMYFUNCTION("""COMPUTED_VALUE"""),"OLAHRAGA (MINI SOCCER/SEPAK BOLA)")</f>
        <v>OLAHRAGA (MINI SOCCER/SEPAK BOLA)</v>
      </c>
      <c r="V2010" s="11" t="str">
        <f>IFERROR(__xludf.DUMMYFUNCTION("""COMPUTED_VALUE"""),"085751816604")</f>
        <v>085751816604</v>
      </c>
      <c r="W2010" s="15"/>
    </row>
    <row r="2011">
      <c r="A2011" s="45"/>
      <c r="B2011" s="9">
        <f>IFERROR(__xludf.DUMMYFUNCTION("""COMPUTED_VALUE"""),45634.56890922454)</f>
        <v>45634.56891</v>
      </c>
      <c r="C2011" s="9"/>
      <c r="D2011" s="10">
        <f>IFERROR(__xludf.DUMMYFUNCTION("""COMPUTED_VALUE"""),45661.0)</f>
        <v>45661</v>
      </c>
      <c r="E2011" s="10" t="str">
        <f>IFERROR(__xludf.DUMMYFUNCTION("""COMPUTED_VALUE"""),"01Jan")</f>
        <v>01Jan</v>
      </c>
      <c r="F2011" s="10" t="str">
        <f>IFERROR(__xludf.DUMMYFUNCTION("""COMPUTED_VALUE"""),"2025")</f>
        <v>2025</v>
      </c>
      <c r="G2011" s="35" t="str">
        <f>IFERROR(__xludf.DUMMYFUNCTION("""COMPUTED_VALUE"""),"JAMALUDIN8902")</f>
        <v>JAMALUDIN8902</v>
      </c>
      <c r="H2011" s="35" t="str">
        <f>IFERROR(__xludf.DUMMYFUNCTION("""COMPUTED_VALUE"""),"J8925018848")</f>
        <v>J8925018848</v>
      </c>
      <c r="I2011" s="35">
        <f>IFERROR(__xludf.DUMMYFUNCTION("""COMPUTED_VALUE"""),37.0)</f>
        <v>37</v>
      </c>
      <c r="J2011" s="35" t="str">
        <f>IFERROR(__xludf.DUMMYFUNCTION("""COMPUTED_VALUE"""),"35-44 tahun")</f>
        <v>35-44 tahun</v>
      </c>
      <c r="K2011" s="19">
        <f>IFERROR(__xludf.DUMMYFUNCTION("""COMPUTED_VALUE"""),32563.0)</f>
        <v>32563</v>
      </c>
      <c r="L2011" s="19" t="str">
        <f>IFERROR(__xludf.DUMMYFUNCTION("""COMPUTED_VALUE"""),"LAKI-LAKI")</f>
        <v>LAKI-LAKI</v>
      </c>
      <c r="M2011" s="36" t="str">
        <f>IFERROR(__xludf.DUMMYFUNCTION("""COMPUTED_VALUE"""),"JL SETIA USAHA, DUSUN TANJUNG HARAPAN")</f>
        <v>JL SETIA USAHA, DUSUN TANJUNG HARAPAN</v>
      </c>
      <c r="N2011" s="36" t="str">
        <f>IFERROR(__xludf.DUMMYFUNCTION("""COMPUTED_VALUE"""),"Teluk Empening")</f>
        <v>Teluk Empening</v>
      </c>
      <c r="O2011" s="36" t="str">
        <f>IFERROR(__xludf.DUMMYFUNCTION("""COMPUTED_VALUE"""),"Terentang")</f>
        <v>Terentang</v>
      </c>
      <c r="P2011" s="16" t="str">
        <f>IFERROR(__xludf.DUMMYFUNCTION("""COMPUTED_VALUE"""),"Kubu raya")</f>
        <v>Kubu raya</v>
      </c>
      <c r="Q2011" s="16" t="str">
        <f>IFERROR(__xludf.DUMMYFUNCTION("""COMPUTED_VALUE"""),"Kalimantan Barat")</f>
        <v>Kalimantan Barat</v>
      </c>
      <c r="R2011" s="19" t="str">
        <f>IFERROR(__xludf.DUMMYFUNCTION("""COMPUTED_VALUE"""),"ISLAM")</f>
        <v>ISLAM</v>
      </c>
      <c r="S2011" s="36" t="str">
        <f>IFERROR(__xludf.DUMMYFUNCTION("""COMPUTED_VALUE"""),"Kariawan swasta")</f>
        <v>Kariawan swasta</v>
      </c>
      <c r="T2011" s="16" t="str">
        <f>IFERROR(__xludf.DUMMYFUNCTION("""COMPUTED_VALUE"""),"Nyeri dibahu sudh lebih dr sebulan.")</f>
        <v>Nyeri dibahu sudh lebih dr sebulan.</v>
      </c>
      <c r="U2011" s="16" t="str">
        <f>IFERROR(__xludf.DUMMYFUNCTION("""COMPUTED_VALUE"""),"Olahraga,")</f>
        <v>Olahraga,</v>
      </c>
      <c r="V2011" s="11" t="str">
        <f>IFERROR(__xludf.DUMMYFUNCTION("""COMPUTED_VALUE"""),"082155518848")</f>
        <v>082155518848</v>
      </c>
      <c r="W2011" s="15"/>
    </row>
    <row r="2012">
      <c r="A2012" s="45"/>
      <c r="B2012" s="9">
        <f>IFERROR(__xludf.DUMMYFUNCTION("""COMPUTED_VALUE"""),45634.71514479167)</f>
        <v>45634.71514</v>
      </c>
      <c r="C2012" s="9"/>
      <c r="D2012" s="10">
        <f>IFERROR(__xludf.DUMMYFUNCTION("""COMPUTED_VALUE"""),45661.0)</f>
        <v>45661</v>
      </c>
      <c r="E2012" s="10" t="str">
        <f>IFERROR(__xludf.DUMMYFUNCTION("""COMPUTED_VALUE"""),"01Jan")</f>
        <v>01Jan</v>
      </c>
      <c r="F2012" s="10" t="str">
        <f>IFERROR(__xludf.DUMMYFUNCTION("""COMPUTED_VALUE"""),"2025")</f>
        <v>2025</v>
      </c>
      <c r="G2012" s="35" t="str">
        <f>IFERROR(__xludf.DUMMYFUNCTION("""COMPUTED_VALUE"""),"MUHAMMAD HAZIEL GADHI")</f>
        <v>MUHAMMAD HAZIEL GADHI</v>
      </c>
      <c r="H2012" s="35" t="str">
        <f>IFERROR(__xludf.DUMMYFUNCTION("""COMPUTED_VALUE"""),"M8825015705")</f>
        <v>M8825015705</v>
      </c>
      <c r="I2012" s="35">
        <f>IFERROR(__xludf.DUMMYFUNCTION("""COMPUTED_VALUE"""),38.0)</f>
        <v>38</v>
      </c>
      <c r="J2012" s="35" t="str">
        <f>IFERROR(__xludf.DUMMYFUNCTION("""COMPUTED_VALUE"""),"35-44 tahun")</f>
        <v>35-44 tahun</v>
      </c>
      <c r="K2012" s="19">
        <f>IFERROR(__xludf.DUMMYFUNCTION("""COMPUTED_VALUE"""),32310.0)</f>
        <v>32310</v>
      </c>
      <c r="L2012" s="19" t="str">
        <f>IFERROR(__xludf.DUMMYFUNCTION("""COMPUTED_VALUE"""),"LAKI-LAKI")</f>
        <v>LAKI-LAKI</v>
      </c>
      <c r="M2012" s="36" t="str">
        <f>IFERROR(__xludf.DUMMYFUNCTION("""COMPUTED_VALUE"""),"JALAN AHMAD YANI GANG MEDIA DALAM III NO.3 PONTIANAK")</f>
        <v>JALAN AHMAD YANI GANG MEDIA DALAM III NO.3 PONTIANAK</v>
      </c>
      <c r="N2012" s="36" t="str">
        <f>IFERROR(__xludf.DUMMYFUNCTION("""COMPUTED_VALUE"""),"Bansir Laut")</f>
        <v>Bansir Laut</v>
      </c>
      <c r="O2012" s="16" t="str">
        <f>IFERROR(__xludf.DUMMYFUNCTION("""COMPUTED_VALUE"""),"Pontianak Tenggara")</f>
        <v>Pontianak Tenggara</v>
      </c>
      <c r="P2012" s="16" t="str">
        <f>IFERROR(__xludf.DUMMYFUNCTION("""COMPUTED_VALUE"""),"Pontianak")</f>
        <v>Pontianak</v>
      </c>
      <c r="Q2012" s="16" t="str">
        <f>IFERROR(__xludf.DUMMYFUNCTION("""COMPUTED_VALUE"""),"Kalimantan Barat")</f>
        <v>Kalimantan Barat</v>
      </c>
      <c r="R2012" s="19" t="str">
        <f>IFERROR(__xludf.DUMMYFUNCTION("""COMPUTED_VALUE"""),"ISLAM")</f>
        <v>ISLAM</v>
      </c>
      <c r="S2012" s="36" t="str">
        <f>IFERROR(__xludf.DUMMYFUNCTION("""COMPUTED_VALUE"""),"Swasta")</f>
        <v>Swasta</v>
      </c>
      <c r="T2012" s="16" t="str">
        <f>IFERROR(__xludf.DUMMYFUNCTION("""COMPUTED_VALUE"""),"Cidera saat olahraga")</f>
        <v>Cidera saat olahraga</v>
      </c>
      <c r="U2012" s="16" t="str">
        <f>IFERROR(__xludf.DUMMYFUNCTION("""COMPUTED_VALUE"""),"Hobi olahraga sepak bola")</f>
        <v>Hobi olahraga sepak bola</v>
      </c>
      <c r="V2012" s="11" t="str">
        <f>IFERROR(__xludf.DUMMYFUNCTION("""COMPUTED_VALUE"""),"085332205705")</f>
        <v>085332205705</v>
      </c>
      <c r="W2012" s="15"/>
    </row>
    <row r="2013">
      <c r="A2013" s="45"/>
      <c r="B2013" s="9">
        <f>IFERROR(__xludf.DUMMYFUNCTION("""COMPUTED_VALUE"""),45634.81272652777)</f>
        <v>45634.81273</v>
      </c>
      <c r="C2013" s="9"/>
      <c r="D2013" s="10">
        <f>IFERROR(__xludf.DUMMYFUNCTION("""COMPUTED_VALUE"""),45661.0)</f>
        <v>45661</v>
      </c>
      <c r="E2013" s="10" t="str">
        <f>IFERROR(__xludf.DUMMYFUNCTION("""COMPUTED_VALUE"""),"01Jan")</f>
        <v>01Jan</v>
      </c>
      <c r="F2013" s="10" t="str">
        <f>IFERROR(__xludf.DUMMYFUNCTION("""COMPUTED_VALUE"""),"2025")</f>
        <v>2025</v>
      </c>
      <c r="G2013" s="35" t="str">
        <f>IFERROR(__xludf.DUMMYFUNCTION("""COMPUTED_VALUE"""),"ZULFARIDA")</f>
        <v>ZULFARIDA</v>
      </c>
      <c r="H2013" s="35" t="str">
        <f>IFERROR(__xludf.DUMMYFUNCTION("""COMPUTED_VALUE"""),"Z992501")</f>
        <v>Z992501</v>
      </c>
      <c r="I2013" s="35" t="str">
        <f>IFERROR(__xludf.DUMMYFUNCTION("""COMPUTED_VALUE"""),"")</f>
        <v/>
      </c>
      <c r="J2013" s="35" t="str">
        <f>IFERROR(__xludf.DUMMYFUNCTION("""COMPUTED_VALUE"""),"")</f>
        <v/>
      </c>
      <c r="K2013" s="19"/>
      <c r="L2013" s="19" t="str">
        <f>IFERROR(__xludf.DUMMYFUNCTION("""COMPUTED_VALUE"""),"PEREMPUAN")</f>
        <v>PEREMPUAN</v>
      </c>
      <c r="M2013" s="36" t="str">
        <f>IFERROR(__xludf.DUMMYFUNCTION("""COMPUTED_VALUE"""),"JALAN KESEHATAN GANG KESEHATAN DALAM")</f>
        <v>JALAN KESEHATAN GANG KESEHATAN DALAM</v>
      </c>
      <c r="N2013" s="36"/>
      <c r="O2013" s="16"/>
      <c r="P2013" s="16" t="str">
        <f>IFERROR(__xludf.DUMMYFUNCTION("""COMPUTED_VALUE"""),"PONTIANAK")</f>
        <v>PONTIANAK</v>
      </c>
      <c r="Q2013" s="16" t="str">
        <f>IFERROR(__xludf.DUMMYFUNCTION("""COMPUTED_VALUE"""),"KALIMANTAN BARAT")</f>
        <v>KALIMANTAN BARAT</v>
      </c>
      <c r="R2013" s="19" t="str">
        <f>IFERROR(__xludf.DUMMYFUNCTION("""COMPUTED_VALUE"""),"ISLAM")</f>
        <v>ISLAM</v>
      </c>
      <c r="S2013" s="36" t="str">
        <f>IFERROR(__xludf.DUMMYFUNCTION("""COMPUTED_VALUE"""),"RUMAH TANGGA")</f>
        <v>RUMAH TANGGA</v>
      </c>
      <c r="T2013" s="16"/>
      <c r="U2013" s="16"/>
      <c r="V2013" s="16"/>
      <c r="W2013" s="15"/>
    </row>
    <row r="2014">
      <c r="A2014" s="45"/>
      <c r="B2014" s="9">
        <f>IFERROR(__xludf.DUMMYFUNCTION("""COMPUTED_VALUE"""),45635.80997980324)</f>
        <v>45635.80998</v>
      </c>
      <c r="C2014" s="9"/>
      <c r="D2014" s="10">
        <f>IFERROR(__xludf.DUMMYFUNCTION("""COMPUTED_VALUE"""),45661.0)</f>
        <v>45661</v>
      </c>
      <c r="E2014" s="10" t="str">
        <f>IFERROR(__xludf.DUMMYFUNCTION("""COMPUTED_VALUE"""),"01Jan")</f>
        <v>01Jan</v>
      </c>
      <c r="F2014" s="10" t="str">
        <f>IFERROR(__xludf.DUMMYFUNCTION("""COMPUTED_VALUE"""),"2025")</f>
        <v>2025</v>
      </c>
      <c r="G2014" s="35" t="str">
        <f>IFERROR(__xludf.DUMMYFUNCTION("""COMPUTED_VALUE"""),"NOVITA")</f>
        <v>NOVITA</v>
      </c>
      <c r="H2014" s="35" t="str">
        <f>IFERROR(__xludf.DUMMYFUNCTION("""COMPUTED_VALUE"""),"N7925019928")</f>
        <v>N7925019928</v>
      </c>
      <c r="I2014" s="35">
        <f>IFERROR(__xludf.DUMMYFUNCTION("""COMPUTED_VALUE"""),47.0)</f>
        <v>47</v>
      </c>
      <c r="J2014" s="35" t="str">
        <f>IFERROR(__xludf.DUMMYFUNCTION("""COMPUTED_VALUE"""),"&gt; 44 tahun")</f>
        <v>&gt; 44 tahun</v>
      </c>
      <c r="K2014" s="19">
        <f>IFERROR(__xludf.DUMMYFUNCTION("""COMPUTED_VALUE"""),28983.0)</f>
        <v>28983</v>
      </c>
      <c r="L2014" s="19" t="str">
        <f>IFERROR(__xludf.DUMMYFUNCTION("""COMPUTED_VALUE"""),"PEREMPUAN")</f>
        <v>PEREMPUAN</v>
      </c>
      <c r="M2014" s="36" t="str">
        <f>IFERROR(__xludf.DUMMYFUNCTION("""COMPUTED_VALUE"""),"JL. HIJAS GG. MASA NO.41/26")</f>
        <v>JL. HIJAS GG. MASA NO.41/26</v>
      </c>
      <c r="N2014" s="36" t="str">
        <f>IFERROR(__xludf.DUMMYFUNCTION("""COMPUTED_VALUE"""),"Kelurahan Benua Melayu Darat")</f>
        <v>Kelurahan Benua Melayu Darat</v>
      </c>
      <c r="O2014" s="16" t="str">
        <f>IFERROR(__xludf.DUMMYFUNCTION("""COMPUTED_VALUE"""),"Pontianak Selatan")</f>
        <v>Pontianak Selatan</v>
      </c>
      <c r="P2014" s="16" t="str">
        <f>IFERROR(__xludf.DUMMYFUNCTION("""COMPUTED_VALUE"""),"Pontianak")</f>
        <v>Pontianak</v>
      </c>
      <c r="Q2014" s="16" t="str">
        <f>IFERROR(__xludf.DUMMYFUNCTION("""COMPUTED_VALUE"""),"Kalimantan Barat")</f>
        <v>Kalimantan Barat</v>
      </c>
      <c r="R2014" s="19" t="str">
        <f>IFERROR(__xludf.DUMMYFUNCTION("""COMPUTED_VALUE"""),"KATOLIK")</f>
        <v>KATOLIK</v>
      </c>
      <c r="S2014" s="36" t="str">
        <f>IFERROR(__xludf.DUMMYFUNCTION("""COMPUTED_VALUE"""),"RUMAH TANGGA")</f>
        <v>RUMAH TANGGA</v>
      </c>
      <c r="T2014" s="16" t="str">
        <f>IFERROR(__xludf.DUMMYFUNCTION("""COMPUTED_VALUE"""),"Sakit pada seluruh kaki sebelah kanan")</f>
        <v>Sakit pada seluruh kaki sebelah kanan</v>
      </c>
      <c r="U2014" s="16" t="str">
        <f>IFERROR(__xludf.DUMMYFUNCTION("""COMPUTED_VALUE"""),"Mengerjakan pekerjaan rumah.")</f>
        <v>Mengerjakan pekerjaan rumah.</v>
      </c>
      <c r="V2014" s="11" t="str">
        <f>IFERROR(__xludf.DUMMYFUNCTION("""COMPUTED_VALUE"""),"08125729928")</f>
        <v>08125729928</v>
      </c>
      <c r="W2014" s="15"/>
    </row>
    <row r="2015">
      <c r="A2015" s="45"/>
      <c r="B2015" s="9">
        <f>IFERROR(__xludf.DUMMYFUNCTION("""COMPUTED_VALUE"""),45636.505536666664)</f>
        <v>45636.50554</v>
      </c>
      <c r="C2015" s="9"/>
      <c r="D2015" s="10">
        <f>IFERROR(__xludf.DUMMYFUNCTION("""COMPUTED_VALUE"""),45661.0)</f>
        <v>45661</v>
      </c>
      <c r="E2015" s="10" t="str">
        <f>IFERROR(__xludf.DUMMYFUNCTION("""COMPUTED_VALUE"""),"01Jan")</f>
        <v>01Jan</v>
      </c>
      <c r="F2015" s="10" t="str">
        <f>IFERROR(__xludf.DUMMYFUNCTION("""COMPUTED_VALUE"""),"2025")</f>
        <v>2025</v>
      </c>
      <c r="G2015" s="35" t="str">
        <f>IFERROR(__xludf.DUMMYFUNCTION("""COMPUTED_VALUE"""),"DESSY FAJARWATI")</f>
        <v>DESSY FAJARWATI</v>
      </c>
      <c r="H2015" s="35" t="str">
        <f>IFERROR(__xludf.DUMMYFUNCTION("""COMPUTED_VALUE"""),"D8825013040")</f>
        <v>D8825013040</v>
      </c>
      <c r="I2015" s="35">
        <f>IFERROR(__xludf.DUMMYFUNCTION("""COMPUTED_VALUE"""),37.0)</f>
        <v>37</v>
      </c>
      <c r="J2015" s="35" t="str">
        <f>IFERROR(__xludf.DUMMYFUNCTION("""COMPUTED_VALUE"""),"35-44 tahun")</f>
        <v>35-44 tahun</v>
      </c>
      <c r="K2015" s="19">
        <f>IFERROR(__xludf.DUMMYFUNCTION("""COMPUTED_VALUE"""),32506.0)</f>
        <v>32506</v>
      </c>
      <c r="L2015" s="19" t="str">
        <f>IFERROR(__xludf.DUMMYFUNCTION("""COMPUTED_VALUE"""),"PEREMPUAN")</f>
        <v>PEREMPUAN</v>
      </c>
      <c r="M2015" s="36" t="str">
        <f>IFERROR(__xludf.DUMMYFUNCTION("""COMPUTED_VALUE"""),"SUNGAI RAYA DALAM, KOMPLEK KITRA INDAH UTAMA 6 BLOK C NOMOR 22")</f>
        <v>SUNGAI RAYA DALAM, KOMPLEK KITRA INDAH UTAMA 6 BLOK C NOMOR 22</v>
      </c>
      <c r="N2015" s="36" t="str">
        <f>IFERROR(__xludf.DUMMYFUNCTION("""COMPUTED_VALUE"""),"Sungai raya dalam")</f>
        <v>Sungai raya dalam</v>
      </c>
      <c r="O2015" s="35" t="str">
        <f>IFERROR(__xludf.DUMMYFUNCTION("""COMPUTED_VALUE"""),"Sungai raya")</f>
        <v>Sungai raya</v>
      </c>
      <c r="P2015" s="16" t="str">
        <f>IFERROR(__xludf.DUMMYFUNCTION("""COMPUTED_VALUE"""),"Kubu raya")</f>
        <v>Kubu raya</v>
      </c>
      <c r="Q2015" s="16" t="str">
        <f>IFERROR(__xludf.DUMMYFUNCTION("""COMPUTED_VALUE"""),"Kalimantan barat")</f>
        <v>Kalimantan barat</v>
      </c>
      <c r="R2015" s="19" t="str">
        <f>IFERROR(__xludf.DUMMYFUNCTION("""COMPUTED_VALUE"""),"ISLAM")</f>
        <v>ISLAM</v>
      </c>
      <c r="S2015" s="16" t="str">
        <f>IFERROR(__xludf.DUMMYFUNCTION("""COMPUTED_VALUE"""),"RUMAH TANGGA")</f>
        <v>RUMAH TANGGA</v>
      </c>
      <c r="T2015" s="16" t="str">
        <f>IFERROR(__xludf.DUMMYFUNCTION("""COMPUTED_VALUE"""),"Sungai raya dalam")</f>
        <v>Sungai raya dalam</v>
      </c>
      <c r="U2015" s="16" t="str">
        <f>IFERROR(__xludf.DUMMYFUNCTION("""COMPUTED_VALUE"""),"Ibu rumah tangga")</f>
        <v>Ibu rumah tangga</v>
      </c>
      <c r="V2015" s="11" t="str">
        <f>IFERROR(__xludf.DUMMYFUNCTION("""COMPUTED_VALUE"""),"081345053040")</f>
        <v>081345053040</v>
      </c>
      <c r="W2015" s="15"/>
    </row>
    <row r="2016">
      <c r="A2016" s="45"/>
      <c r="B2016" s="9">
        <f>IFERROR(__xludf.DUMMYFUNCTION("""COMPUTED_VALUE"""),45636.738699814814)</f>
        <v>45636.7387</v>
      </c>
      <c r="C2016" s="9"/>
      <c r="D2016" s="10">
        <f>IFERROR(__xludf.DUMMYFUNCTION("""COMPUTED_VALUE"""),45661.0)</f>
        <v>45661</v>
      </c>
      <c r="E2016" s="10" t="str">
        <f>IFERROR(__xludf.DUMMYFUNCTION("""COMPUTED_VALUE"""),"01Jan")</f>
        <v>01Jan</v>
      </c>
      <c r="F2016" s="10" t="str">
        <f>IFERROR(__xludf.DUMMYFUNCTION("""COMPUTED_VALUE"""),"2025")</f>
        <v>2025</v>
      </c>
      <c r="G2016" s="35" t="str">
        <f>IFERROR(__xludf.DUMMYFUNCTION("""COMPUTED_VALUE"""),"HENDRI PUTRA WAHYUDIN")</f>
        <v>HENDRI PUTRA WAHYUDIN</v>
      </c>
      <c r="H2016" s="35" t="str">
        <f>IFERROR(__xludf.DUMMYFUNCTION("""COMPUTED_VALUE"""),"H8625015566")</f>
        <v>H8625015566</v>
      </c>
      <c r="I2016" s="35">
        <f>IFERROR(__xludf.DUMMYFUNCTION("""COMPUTED_VALUE"""),40.0)</f>
        <v>40</v>
      </c>
      <c r="J2016" s="35" t="str">
        <f>IFERROR(__xludf.DUMMYFUNCTION("""COMPUTED_VALUE"""),"35-44 tahun")</f>
        <v>35-44 tahun</v>
      </c>
      <c r="K2016" s="19">
        <f>IFERROR(__xludf.DUMMYFUNCTION("""COMPUTED_VALUE"""),31502.0)</f>
        <v>31502</v>
      </c>
      <c r="L2016" s="19" t="str">
        <f>IFERROR(__xludf.DUMMYFUNCTION("""COMPUTED_VALUE"""),"LAKI-LAKI")</f>
        <v>LAKI-LAKI</v>
      </c>
      <c r="M2016" s="36" t="str">
        <f>IFERROR(__xludf.DUMMYFUNCTION("""COMPUTED_VALUE"""),"SUNGAI RAYA DALAM")</f>
        <v>SUNGAI RAYA DALAM</v>
      </c>
      <c r="N2016" s="36" t="str">
        <f>IFERROR(__xludf.DUMMYFUNCTION("""COMPUTED_VALUE"""),"Sungai raya dalam")</f>
        <v>Sungai raya dalam</v>
      </c>
      <c r="O2016" s="35" t="str">
        <f>IFERROR(__xludf.DUMMYFUNCTION("""COMPUTED_VALUE"""),"Sungai raya")</f>
        <v>Sungai raya</v>
      </c>
      <c r="P2016" s="16" t="str">
        <f>IFERROR(__xludf.DUMMYFUNCTION("""COMPUTED_VALUE"""),"Kubu raya")</f>
        <v>Kubu raya</v>
      </c>
      <c r="Q2016" s="16" t="str">
        <f>IFERROR(__xludf.DUMMYFUNCTION("""COMPUTED_VALUE"""),"Kalimantan barat")</f>
        <v>Kalimantan barat</v>
      </c>
      <c r="R2016" s="19" t="str">
        <f>IFERROR(__xludf.DUMMYFUNCTION("""COMPUTED_VALUE"""),"ISLAM")</f>
        <v>ISLAM</v>
      </c>
      <c r="S2016" s="16" t="str">
        <f>IFERROR(__xludf.DUMMYFUNCTION("""COMPUTED_VALUE"""),"ASN")</f>
        <v>ASN</v>
      </c>
      <c r="T2016" s="16" t="str">
        <f>IFERROR(__xludf.DUMMYFUNCTION("""COMPUTED_VALUE"""),"Nyeri di bagian pinggang sampai ke kaki")</f>
        <v>Nyeri di bagian pinggang sampai ke kaki</v>
      </c>
      <c r="U2016" s="16" t="str">
        <f>IFERROR(__xludf.DUMMYFUNCTION("""COMPUTED_VALUE"""),"Sepak bola dsn badminton")</f>
        <v>Sepak bola dsn badminton</v>
      </c>
      <c r="V2016" s="11" t="str">
        <f>IFERROR(__xludf.DUMMYFUNCTION("""COMPUTED_VALUE"""),"081256605566")</f>
        <v>081256605566</v>
      </c>
      <c r="W2016" s="15"/>
    </row>
    <row r="2017">
      <c r="A2017" s="45"/>
      <c r="B2017" s="9"/>
      <c r="C2017" s="9"/>
      <c r="D2017" s="10">
        <f>IFERROR(__xludf.DUMMYFUNCTION("""COMPUTED_VALUE"""),45662.0)</f>
        <v>45662</v>
      </c>
      <c r="E2017" s="10" t="str">
        <f>IFERROR(__xludf.DUMMYFUNCTION("""COMPUTED_VALUE"""),"01Jan")</f>
        <v>01Jan</v>
      </c>
      <c r="F2017" s="10" t="str">
        <f>IFERROR(__xludf.DUMMYFUNCTION("""COMPUTED_VALUE"""),"2025")</f>
        <v>2025</v>
      </c>
      <c r="G2017" s="35" t="str">
        <f>IFERROR(__xludf.DUMMYFUNCTION("""COMPUTED_VALUE"""),"REI KHALFANI")</f>
        <v>REI KHALFANI</v>
      </c>
      <c r="H2017" s="35" t="str">
        <f>IFERROR(__xludf.DUMMYFUNCTION("""COMPUTED_VALUE"""),"R1125017999")</f>
        <v>R1125017999</v>
      </c>
      <c r="I2017" s="35">
        <f>IFERROR(__xludf.DUMMYFUNCTION("""COMPUTED_VALUE"""),14.0)</f>
        <v>14</v>
      </c>
      <c r="J2017" s="35" t="str">
        <f>IFERROR(__xludf.DUMMYFUNCTION("""COMPUTED_VALUE"""),"&lt; 18 tahun")</f>
        <v>&lt; 18 tahun</v>
      </c>
      <c r="K2017" s="19">
        <f>IFERROR(__xludf.DUMMYFUNCTION("""COMPUTED_VALUE"""),40892.0)</f>
        <v>40892</v>
      </c>
      <c r="L2017" s="19" t="str">
        <f>IFERROR(__xludf.DUMMYFUNCTION("""COMPUTED_VALUE"""),"LAKI-LAKI")</f>
        <v>LAKI-LAKI</v>
      </c>
      <c r="M2017" s="16" t="str">
        <f>IFERROR(__xludf.DUMMYFUNCTION("""COMPUTED_VALUE"""),"JL. ADI SUCIPTO GG. TRANSMIGRASI NO.1")</f>
        <v>JL. ADI SUCIPTO GG. TRANSMIGRASI NO.1</v>
      </c>
      <c r="N2017" s="16" t="str">
        <f>IFERROR(__xludf.DUMMYFUNCTION("""COMPUTED_VALUE"""),"Bangka Belitung")</f>
        <v>Bangka Belitung</v>
      </c>
      <c r="O2017" s="16" t="str">
        <f>IFERROR(__xludf.DUMMYFUNCTION("""COMPUTED_VALUE"""),"Pontianak tenggara")</f>
        <v>Pontianak tenggara</v>
      </c>
      <c r="P2017" s="16" t="str">
        <f>IFERROR(__xludf.DUMMYFUNCTION("""COMPUTED_VALUE"""),"Pontianak")</f>
        <v>Pontianak</v>
      </c>
      <c r="Q2017" s="16" t="str">
        <f>IFERROR(__xludf.DUMMYFUNCTION("""COMPUTED_VALUE"""),"Kalimantan barat")</f>
        <v>Kalimantan barat</v>
      </c>
      <c r="R2017" s="19" t="str">
        <f>IFERROR(__xludf.DUMMYFUNCTION("""COMPUTED_VALUE"""),"ISLAM")</f>
        <v>ISLAM</v>
      </c>
      <c r="S2017" s="36" t="str">
        <f>IFERROR(__xludf.DUMMYFUNCTION("""COMPUTED_VALUE"""),"Siswa")</f>
        <v>Siswa</v>
      </c>
      <c r="T2017" s="16" t="str">
        <f>IFERROR(__xludf.DUMMYFUNCTION("""COMPUTED_VALUE"""),"Lutut sakit setelah main basket")</f>
        <v>Lutut sakit setelah main basket</v>
      </c>
      <c r="U2017" s="16" t="str">
        <f>IFERROR(__xludf.DUMMYFUNCTION("""COMPUTED_VALUE"""),"Futsal, basket")</f>
        <v>Futsal, basket</v>
      </c>
      <c r="V2017" s="11" t="str">
        <f>IFERROR(__xludf.DUMMYFUNCTION("""COMPUTED_VALUE"""),"085245577999")</f>
        <v>085245577999</v>
      </c>
      <c r="W2017" s="15"/>
    </row>
    <row r="2018">
      <c r="A2018" s="45"/>
      <c r="B2018" s="9">
        <f>IFERROR(__xludf.DUMMYFUNCTION("""COMPUTED_VALUE"""),45637.393687222226)</f>
        <v>45637.39369</v>
      </c>
      <c r="C2018" s="9"/>
      <c r="D2018" s="10">
        <f>IFERROR(__xludf.DUMMYFUNCTION("""COMPUTED_VALUE"""),45662.0)</f>
        <v>45662</v>
      </c>
      <c r="E2018" s="10" t="str">
        <f>IFERROR(__xludf.DUMMYFUNCTION("""COMPUTED_VALUE"""),"01Jan")</f>
        <v>01Jan</v>
      </c>
      <c r="F2018" s="10" t="str">
        <f>IFERROR(__xludf.DUMMYFUNCTION("""COMPUTED_VALUE"""),"2025")</f>
        <v>2025</v>
      </c>
      <c r="G2018" s="16" t="str">
        <f>IFERROR(__xludf.DUMMYFUNCTION("""COMPUTED_VALUE"""),"SRI SAMARIAH")</f>
        <v>SRI SAMARIAH</v>
      </c>
      <c r="H2018" s="35" t="str">
        <f>IFERROR(__xludf.DUMMYFUNCTION("""COMPUTED_VALUE"""),"S8325012483")</f>
        <v>S8325012483</v>
      </c>
      <c r="I2018" s="35">
        <f>IFERROR(__xludf.DUMMYFUNCTION("""COMPUTED_VALUE"""),43.0)</f>
        <v>43</v>
      </c>
      <c r="J2018" s="35" t="str">
        <f>IFERROR(__xludf.DUMMYFUNCTION("""COMPUTED_VALUE"""),"35-44 tahun")</f>
        <v>35-44 tahun</v>
      </c>
      <c r="K2018" s="19">
        <f>IFERROR(__xludf.DUMMYFUNCTION("""COMPUTED_VALUE"""),30428.0)</f>
        <v>30428</v>
      </c>
      <c r="L2018" s="19" t="str">
        <f>IFERROR(__xludf.DUMMYFUNCTION("""COMPUTED_VALUE"""),"PEREMPUAN")</f>
        <v>PEREMPUAN</v>
      </c>
      <c r="M2018" s="16" t="str">
        <f>IFERROR(__xludf.DUMMYFUNCTION("""COMPUTED_VALUE"""),"JL. UJUNG PANDANG GG. HASYIM NO A6")</f>
        <v>JL. UJUNG PANDANG GG. HASYIM NO A6</v>
      </c>
      <c r="N2018" s="16" t="str">
        <f>IFERROR(__xludf.DUMMYFUNCTION("""COMPUTED_VALUE"""),"Sungai Jawi")</f>
        <v>Sungai Jawi</v>
      </c>
      <c r="O2018" s="16" t="str">
        <f>IFERROR(__xludf.DUMMYFUNCTION("""COMPUTED_VALUE"""),"Pontianak Kota")</f>
        <v>Pontianak Kota</v>
      </c>
      <c r="P2018" s="16" t="str">
        <f>IFERROR(__xludf.DUMMYFUNCTION("""COMPUTED_VALUE"""),"Kota Pontianak")</f>
        <v>Kota Pontianak</v>
      </c>
      <c r="Q2018" s="16" t="str">
        <f>IFERROR(__xludf.DUMMYFUNCTION("""COMPUTED_VALUE"""),"Kalimantan Barat")</f>
        <v>Kalimantan Barat</v>
      </c>
      <c r="R2018" s="19" t="str">
        <f>IFERROR(__xludf.DUMMYFUNCTION("""COMPUTED_VALUE"""),"ISLAM")</f>
        <v>ISLAM</v>
      </c>
      <c r="S2018" s="36" t="str">
        <f>IFERROR(__xludf.DUMMYFUNCTION("""COMPUTED_VALUE"""),"ASN")</f>
        <v>ASN</v>
      </c>
      <c r="T2018" s="16" t="str">
        <f>IFERROR(__xludf.DUMMYFUNCTION("""COMPUTED_VALUE"""),"Lutut kiri terasa nyeri dan kaku")</f>
        <v>Lutut kiri terasa nyeri dan kaku</v>
      </c>
      <c r="U2018" s="16" t="str">
        <f>IFERROR(__xludf.DUMMYFUNCTION("""COMPUTED_VALUE"""),"Senam")</f>
        <v>Senam</v>
      </c>
      <c r="V2018" s="11" t="str">
        <f>IFERROR(__xludf.DUMMYFUNCTION("""COMPUTED_VALUE"""),"081257302483")</f>
        <v>081257302483</v>
      </c>
      <c r="W2018" s="15"/>
    </row>
    <row r="2019">
      <c r="A2019" s="45"/>
      <c r="B2019" s="9">
        <f>IFERROR(__xludf.DUMMYFUNCTION("""COMPUTED_VALUE"""),45637.41118642361)</f>
        <v>45637.41119</v>
      </c>
      <c r="C2019" s="9"/>
      <c r="D2019" s="10">
        <f>IFERROR(__xludf.DUMMYFUNCTION("""COMPUTED_VALUE"""),45662.0)</f>
        <v>45662</v>
      </c>
      <c r="E2019" s="10" t="str">
        <f>IFERROR(__xludf.DUMMYFUNCTION("""COMPUTED_VALUE"""),"01Jan")</f>
        <v>01Jan</v>
      </c>
      <c r="F2019" s="10" t="str">
        <f>IFERROR(__xludf.DUMMYFUNCTION("""COMPUTED_VALUE"""),"2025")</f>
        <v>2025</v>
      </c>
      <c r="G2019" s="16" t="str">
        <f>IFERROR(__xludf.DUMMYFUNCTION("""COMPUTED_VALUE"""),"RIZKY FAJARIANI")</f>
        <v>RIZKY FAJARIANI</v>
      </c>
      <c r="H2019" s="35" t="str">
        <f>IFERROR(__xludf.DUMMYFUNCTION("""COMPUTED_VALUE"""),"R9325010511")</f>
        <v>R9325010511</v>
      </c>
      <c r="I2019" s="35">
        <f>IFERROR(__xludf.DUMMYFUNCTION("""COMPUTED_VALUE"""),32.0)</f>
        <v>32</v>
      </c>
      <c r="J2019" s="35" t="str">
        <f>IFERROR(__xludf.DUMMYFUNCTION("""COMPUTED_VALUE"""),"25-34 tahun")</f>
        <v>25-34 tahun</v>
      </c>
      <c r="K2019" s="19">
        <f>IFERROR(__xludf.DUMMYFUNCTION("""COMPUTED_VALUE"""),34294.0)</f>
        <v>34294</v>
      </c>
      <c r="L2019" s="19" t="str">
        <f>IFERROR(__xludf.DUMMYFUNCTION("""COMPUTED_VALUE"""),"PEREMPUAN")</f>
        <v>PEREMPUAN</v>
      </c>
      <c r="M2019" s="16" t="str">
        <f>IFERROR(__xludf.DUMMYFUNCTION("""COMPUTED_VALUE"""),"JALAN TANJUNG RAYA 2")</f>
        <v>JALAN TANJUNG RAYA 2</v>
      </c>
      <c r="N2019" s="16" t="str">
        <f>IFERROR(__xludf.DUMMYFUNCTION("""COMPUTED_VALUE"""),"Parit mayor")</f>
        <v>Parit mayor</v>
      </c>
      <c r="O2019" s="16" t="str">
        <f>IFERROR(__xludf.DUMMYFUNCTION("""COMPUTED_VALUE"""),"Pontianak timur")</f>
        <v>Pontianak timur</v>
      </c>
      <c r="P2019" s="16" t="str">
        <f>IFERROR(__xludf.DUMMYFUNCTION("""COMPUTED_VALUE"""),"Pontianak")</f>
        <v>Pontianak</v>
      </c>
      <c r="Q2019" s="16" t="str">
        <f>IFERROR(__xludf.DUMMYFUNCTION("""COMPUTED_VALUE"""),"Kalbar")</f>
        <v>Kalbar</v>
      </c>
      <c r="R2019" s="19" t="str">
        <f>IFERROR(__xludf.DUMMYFUNCTION("""COMPUTED_VALUE"""),"ISLAM")</f>
        <v>ISLAM</v>
      </c>
      <c r="S2019" s="16" t="str">
        <f>IFERROR(__xludf.DUMMYFUNCTION("""COMPUTED_VALUE"""),"pegawai")</f>
        <v>pegawai</v>
      </c>
      <c r="T2019" s="16" t="str">
        <f>IFERROR(__xludf.DUMMYFUNCTION("""COMPUTED_VALUE"""),"sakit di lutut")</f>
        <v>sakit di lutut</v>
      </c>
      <c r="U2019" s="16" t="str">
        <f>IFERROR(__xludf.DUMMYFUNCTION("""COMPUTED_VALUE"""),"hobi jalan / bekerja duduk")</f>
        <v>hobi jalan / bekerja duduk</v>
      </c>
      <c r="V2019" s="11" t="str">
        <f>IFERROR(__xludf.DUMMYFUNCTION("""COMPUTED_VALUE"""),"081270670511")</f>
        <v>081270670511</v>
      </c>
      <c r="W2019" s="15"/>
    </row>
    <row r="2020">
      <c r="A2020" s="45"/>
      <c r="B2020" s="9">
        <f>IFERROR(__xludf.DUMMYFUNCTION("""COMPUTED_VALUE"""),45638.41674177084)</f>
        <v>45638.41674</v>
      </c>
      <c r="C2020" s="9"/>
      <c r="D2020" s="10">
        <f>IFERROR(__xludf.DUMMYFUNCTION("""COMPUTED_VALUE"""),45662.0)</f>
        <v>45662</v>
      </c>
      <c r="E2020" s="10" t="str">
        <f>IFERROR(__xludf.DUMMYFUNCTION("""COMPUTED_VALUE"""),"01Jan")</f>
        <v>01Jan</v>
      </c>
      <c r="F2020" s="10" t="str">
        <f>IFERROR(__xludf.DUMMYFUNCTION("""COMPUTED_VALUE"""),"2025")</f>
        <v>2025</v>
      </c>
      <c r="G2020" s="35" t="str">
        <f>IFERROR(__xludf.DUMMYFUNCTION("""COMPUTED_VALUE"""),"NURJAYA")</f>
        <v>NURJAYA</v>
      </c>
      <c r="H2020" s="35" t="str">
        <f>IFERROR(__xludf.DUMMYFUNCTION("""COMPUTED_VALUE"""),"N6925011616")</f>
        <v>N6925011616</v>
      </c>
      <c r="I2020" s="35">
        <f>IFERROR(__xludf.DUMMYFUNCTION("""COMPUTED_VALUE"""),57.0)</f>
        <v>57</v>
      </c>
      <c r="J2020" s="35" t="str">
        <f>IFERROR(__xludf.DUMMYFUNCTION("""COMPUTED_VALUE"""),"&gt; 44 tahun")</f>
        <v>&gt; 44 tahun</v>
      </c>
      <c r="K2020" s="19">
        <f>IFERROR(__xludf.DUMMYFUNCTION("""COMPUTED_VALUE"""),25208.0)</f>
        <v>25208</v>
      </c>
      <c r="L2020" s="19" t="str">
        <f>IFERROR(__xludf.DUMMYFUNCTION("""COMPUTED_VALUE"""),"PEREMPUAN")</f>
        <v>PEREMPUAN</v>
      </c>
      <c r="M2020" s="36" t="str">
        <f>IFERROR(__xludf.DUMMYFUNCTION("""COMPUTED_VALUE"""),"JL NAWAWI HASAN 2 GG MATAN 2 NO 56")</f>
        <v>JL NAWAWI HASAN 2 GG MATAN 2 NO 56</v>
      </c>
      <c r="N2020" s="36" t="str">
        <f>IFERROR(__xludf.DUMMYFUNCTION("""COMPUTED_VALUE"""),"Sungai beliung")</f>
        <v>Sungai beliung</v>
      </c>
      <c r="O2020" s="16" t="str">
        <f>IFERROR(__xludf.DUMMYFUNCTION("""COMPUTED_VALUE"""),"Pontianak barat")</f>
        <v>Pontianak barat</v>
      </c>
      <c r="P2020" s="16" t="str">
        <f>IFERROR(__xludf.DUMMYFUNCTION("""COMPUTED_VALUE"""),"Kota pontianak")</f>
        <v>Kota pontianak</v>
      </c>
      <c r="Q2020" s="16" t="str">
        <f>IFERROR(__xludf.DUMMYFUNCTION("""COMPUTED_VALUE"""),"Kalbar")</f>
        <v>Kalbar</v>
      </c>
      <c r="R2020" s="19" t="str">
        <f>IFERROR(__xludf.DUMMYFUNCTION("""COMPUTED_VALUE"""),"ISLAM")</f>
        <v>ISLAM</v>
      </c>
      <c r="S2020" s="16" t="str">
        <f>IFERROR(__xludf.DUMMYFUNCTION("""COMPUTED_VALUE"""),"TDK bekerja")</f>
        <v>TDK bekerja</v>
      </c>
      <c r="T2020" s="16" t="str">
        <f>IFERROR(__xludf.DUMMYFUNCTION("""COMPUTED_VALUE"""),"Sakit tumit kaki, bengkang mata kaki sebelah kiri dan nyeri bahu")</f>
        <v>Sakit tumit kaki, bengkang mata kaki sebelah kiri dan nyeri bahu</v>
      </c>
      <c r="U2020" s="16" t="str">
        <f>IFERROR(__xludf.DUMMYFUNCTION("""COMPUTED_VALUE"""),"Masak")</f>
        <v>Masak</v>
      </c>
      <c r="V2020" s="11" t="str">
        <f>IFERROR(__xludf.DUMMYFUNCTION("""COMPUTED_VALUE"""),"08125621616")</f>
        <v>08125621616</v>
      </c>
      <c r="W2020" s="15"/>
    </row>
    <row r="2021">
      <c r="A2021" s="45"/>
      <c r="B2021" s="9">
        <f>IFERROR(__xludf.DUMMYFUNCTION("""COMPUTED_VALUE"""),45638.47231063657)</f>
        <v>45638.47231</v>
      </c>
      <c r="C2021" s="9"/>
      <c r="D2021" s="10">
        <f>IFERROR(__xludf.DUMMYFUNCTION("""COMPUTED_VALUE"""),45663.0)</f>
        <v>45663</v>
      </c>
      <c r="E2021" s="10" t="str">
        <f>IFERROR(__xludf.DUMMYFUNCTION("""COMPUTED_VALUE"""),"01Jan")</f>
        <v>01Jan</v>
      </c>
      <c r="F2021" s="10" t="str">
        <f>IFERROR(__xludf.DUMMYFUNCTION("""COMPUTED_VALUE"""),"2025")</f>
        <v>2025</v>
      </c>
      <c r="G2021" s="16" t="str">
        <f>IFERROR(__xludf.DUMMYFUNCTION("""COMPUTED_VALUE"""),"MUHAMMAD DZADISSAKHA ATHAR")</f>
        <v>MUHAMMAD DZADISSAKHA ATHAR</v>
      </c>
      <c r="H2021" s="35" t="str">
        <f>IFERROR(__xludf.DUMMYFUNCTION("""COMPUTED_VALUE"""),"M0625018788")</f>
        <v>M0625018788</v>
      </c>
      <c r="I2021" s="35">
        <f>IFERROR(__xludf.DUMMYFUNCTION("""COMPUTED_VALUE"""),19.0)</f>
        <v>19</v>
      </c>
      <c r="J2021" s="35" t="str">
        <f>IFERROR(__xludf.DUMMYFUNCTION("""COMPUTED_VALUE"""),"18-24 tahun")</f>
        <v>18-24 tahun</v>
      </c>
      <c r="K2021" s="19">
        <f>IFERROR(__xludf.DUMMYFUNCTION("""COMPUTED_VALUE"""),38962.0)</f>
        <v>38962</v>
      </c>
      <c r="L2021" s="19" t="str">
        <f>IFERROR(__xludf.DUMMYFUNCTION("""COMPUTED_VALUE"""),"LAKI-LAKI")</f>
        <v>LAKI-LAKI</v>
      </c>
      <c r="M2021" s="16" t="str">
        <f>IFERROR(__xludf.DUMMYFUNCTION("""COMPUTED_VALUE"""),"JL. JOHAN IDRUS PANG SEMANGAI NO. 34")</f>
        <v>JL. JOHAN IDRUS PANG SEMANGAI NO. 34</v>
      </c>
      <c r="N2021" s="16" t="str">
        <f>IFERROR(__xludf.DUMMYFUNCTION("""COMPUTED_VALUE"""),"Akcaya")</f>
        <v>Akcaya</v>
      </c>
      <c r="O2021" s="16" t="str">
        <f>IFERROR(__xludf.DUMMYFUNCTION("""COMPUTED_VALUE"""),"Pontianak Selatan")</f>
        <v>Pontianak Selatan</v>
      </c>
      <c r="P2021" s="16" t="str">
        <f>IFERROR(__xludf.DUMMYFUNCTION("""COMPUTED_VALUE"""),"Pontianak")</f>
        <v>Pontianak</v>
      </c>
      <c r="Q2021" s="16" t="str">
        <f>IFERROR(__xludf.DUMMYFUNCTION("""COMPUTED_VALUE"""),"Kalimantan Barat")</f>
        <v>Kalimantan Barat</v>
      </c>
      <c r="R2021" s="19" t="str">
        <f>IFERROR(__xludf.DUMMYFUNCTION("""COMPUTED_VALUE"""),"ISLAM")</f>
        <v>ISLAM</v>
      </c>
      <c r="S2021" s="16" t="str">
        <f>IFERROR(__xludf.DUMMYFUNCTION("""COMPUTED_VALUE"""),"PELAJAR/MAHASISWA")</f>
        <v>PELAJAR/MAHASISWA</v>
      </c>
      <c r="T2021" s="16" t="str">
        <f>IFERROR(__xludf.DUMMYFUNCTION("""COMPUTED_VALUE"""),"Cedera Engkel")</f>
        <v>Cedera Engkel</v>
      </c>
      <c r="U2021" s="16" t="str">
        <f>IFERROR(__xludf.DUMMYFUNCTION("""COMPUTED_VALUE"""),"Futsal, joging")</f>
        <v>Futsal, joging</v>
      </c>
      <c r="V2021" s="11" t="str">
        <f>IFERROR(__xludf.DUMMYFUNCTION("""COMPUTED_VALUE"""),"085348558788")</f>
        <v>085348558788</v>
      </c>
      <c r="W2021" s="15"/>
    </row>
    <row r="2022">
      <c r="A2022" s="45"/>
      <c r="B2022" s="9">
        <f>IFERROR(__xludf.DUMMYFUNCTION("""COMPUTED_VALUE"""),45638.69201193287)</f>
        <v>45638.69201</v>
      </c>
      <c r="C2022" s="9"/>
      <c r="D2022" s="10">
        <f>IFERROR(__xludf.DUMMYFUNCTION("""COMPUTED_VALUE"""),45663.0)</f>
        <v>45663</v>
      </c>
      <c r="E2022" s="10" t="str">
        <f>IFERROR(__xludf.DUMMYFUNCTION("""COMPUTED_VALUE"""),"01Jan")</f>
        <v>01Jan</v>
      </c>
      <c r="F2022" s="10" t="str">
        <f>IFERROR(__xludf.DUMMYFUNCTION("""COMPUTED_VALUE"""),"2025")</f>
        <v>2025</v>
      </c>
      <c r="G2022" s="35" t="str">
        <f>IFERROR(__xludf.DUMMYFUNCTION("""COMPUTED_VALUE"""),"BENNY SEPTIYADI")</f>
        <v>BENNY SEPTIYADI</v>
      </c>
      <c r="H2022" s="35" t="str">
        <f>IFERROR(__xludf.DUMMYFUNCTION("""COMPUTED_VALUE"""),"B8625014446")</f>
        <v>B8625014446</v>
      </c>
      <c r="I2022" s="35">
        <f>IFERROR(__xludf.DUMMYFUNCTION("""COMPUTED_VALUE"""),39.0)</f>
        <v>39</v>
      </c>
      <c r="J2022" s="35" t="str">
        <f>IFERROR(__xludf.DUMMYFUNCTION("""COMPUTED_VALUE"""),"35-44 tahun")</f>
        <v>35-44 tahun</v>
      </c>
      <c r="K2022" s="19">
        <f>IFERROR(__xludf.DUMMYFUNCTION("""COMPUTED_VALUE"""),31657.0)</f>
        <v>31657</v>
      </c>
      <c r="L2022" s="19" t="str">
        <f>IFERROR(__xludf.DUMMYFUNCTION("""COMPUTED_VALUE"""),"LAKI-LAKI")</f>
        <v>LAKI-LAKI</v>
      </c>
      <c r="M2022" s="36" t="str">
        <f>IFERROR(__xludf.DUMMYFUNCTION("""COMPUTED_VALUE"""),"JL. HASANUDDIN GG.BILAL 1 NO:9")</f>
        <v>JL. HASANUDDIN GG.BILAL 1 NO:9</v>
      </c>
      <c r="N2022" s="36" t="str">
        <f>IFERROR(__xludf.DUMMYFUNCTION("""COMPUTED_VALUE"""),"Sei jawi dalam")</f>
        <v>Sei jawi dalam</v>
      </c>
      <c r="O2022" s="36" t="str">
        <f>IFERROR(__xludf.DUMMYFUNCTION("""COMPUTED_VALUE"""),"Pontianak barat")</f>
        <v>Pontianak barat</v>
      </c>
      <c r="P2022" s="16" t="str">
        <f>IFERROR(__xludf.DUMMYFUNCTION("""COMPUTED_VALUE"""),"Kota pontianak")</f>
        <v>Kota pontianak</v>
      </c>
      <c r="Q2022" s="16" t="str">
        <f>IFERROR(__xludf.DUMMYFUNCTION("""COMPUTED_VALUE"""),"Kalimantan barat")</f>
        <v>Kalimantan barat</v>
      </c>
      <c r="R2022" s="19" t="str">
        <f>IFERROR(__xludf.DUMMYFUNCTION("""COMPUTED_VALUE"""),"ISLAM")</f>
        <v>ISLAM</v>
      </c>
      <c r="S2022" s="36" t="str">
        <f>IFERROR(__xludf.DUMMYFUNCTION("""COMPUTED_VALUE"""),"ASN")</f>
        <v>ASN</v>
      </c>
      <c r="T2022" s="16" t="str">
        <f>IFERROR(__xludf.DUMMYFUNCTION("""COMPUTED_VALUE"""),"Sakit di lutut kaki")</f>
        <v>Sakit di lutut kaki</v>
      </c>
      <c r="U2022" s="16" t="str">
        <f>IFERROR(__xludf.DUMMYFUNCTION("""COMPUTED_VALUE"""),"Lari")</f>
        <v>Lari</v>
      </c>
      <c r="V2022" s="11" t="str">
        <f>IFERROR(__xludf.DUMMYFUNCTION("""COMPUTED_VALUE"""),"081345524446")</f>
        <v>081345524446</v>
      </c>
      <c r="W2022" s="15"/>
    </row>
    <row r="2023">
      <c r="A2023" s="45"/>
      <c r="B2023" s="9">
        <f>IFERROR(__xludf.DUMMYFUNCTION("""COMPUTED_VALUE"""),45639.68304902778)</f>
        <v>45639.68305</v>
      </c>
      <c r="C2023" s="9"/>
      <c r="D2023" s="10">
        <f>IFERROR(__xludf.DUMMYFUNCTION("""COMPUTED_VALUE"""),45664.0)</f>
        <v>45664</v>
      </c>
      <c r="E2023" s="10" t="str">
        <f>IFERROR(__xludf.DUMMYFUNCTION("""COMPUTED_VALUE"""),"01Jan")</f>
        <v>01Jan</v>
      </c>
      <c r="F2023" s="10" t="str">
        <f>IFERROR(__xludf.DUMMYFUNCTION("""COMPUTED_VALUE"""),"2025")</f>
        <v>2025</v>
      </c>
      <c r="G2023" s="35" t="str">
        <f>IFERROR(__xludf.DUMMYFUNCTION("""COMPUTED_VALUE"""),"RAISULI")</f>
        <v>RAISULI</v>
      </c>
      <c r="H2023" s="35" t="str">
        <f>IFERROR(__xludf.DUMMYFUNCTION("""COMPUTED_VALUE"""),"R8325017271")</f>
        <v>R8325017271</v>
      </c>
      <c r="I2023" s="35">
        <f>IFERROR(__xludf.DUMMYFUNCTION("""COMPUTED_VALUE"""),42.0)</f>
        <v>42</v>
      </c>
      <c r="J2023" s="35" t="str">
        <f>IFERROR(__xludf.DUMMYFUNCTION("""COMPUTED_VALUE"""),"35-44 tahun")</f>
        <v>35-44 tahun</v>
      </c>
      <c r="K2023" s="19">
        <f>IFERROR(__xludf.DUMMYFUNCTION("""COMPUTED_VALUE"""),30581.0)</f>
        <v>30581</v>
      </c>
      <c r="L2023" s="19" t="str">
        <f>IFERROR(__xludf.DUMMYFUNCTION("""COMPUTED_VALUE"""),"LAKI-LAKI")</f>
        <v>LAKI-LAKI</v>
      </c>
      <c r="M2023" s="36" t="str">
        <f>IFERROR(__xludf.DUMMYFUNCTION("""COMPUTED_VALUE"""),"JL DANAU SENTARUM GANG MUFAKAT NO.21 B")</f>
        <v>JL DANAU SENTARUM GANG MUFAKAT NO.21 B</v>
      </c>
      <c r="N2023" s="36" t="str">
        <f>IFERROR(__xludf.DUMMYFUNCTION("""COMPUTED_VALUE"""),"Sungai Bangkong")</f>
        <v>Sungai Bangkong</v>
      </c>
      <c r="O2023" s="36" t="str">
        <f>IFERROR(__xludf.DUMMYFUNCTION("""COMPUTED_VALUE"""),"Pontianak Kota")</f>
        <v>Pontianak Kota</v>
      </c>
      <c r="P2023" s="16" t="str">
        <f>IFERROR(__xludf.DUMMYFUNCTION("""COMPUTED_VALUE"""),"Kota Pontianak")</f>
        <v>Kota Pontianak</v>
      </c>
      <c r="Q2023" s="16" t="str">
        <f>IFERROR(__xludf.DUMMYFUNCTION("""COMPUTED_VALUE"""),"Kalimantan Barat")</f>
        <v>Kalimantan Barat</v>
      </c>
      <c r="R2023" s="19" t="str">
        <f>IFERROR(__xludf.DUMMYFUNCTION("""COMPUTED_VALUE"""),"ISLAM")</f>
        <v>ISLAM</v>
      </c>
      <c r="S2023" s="36" t="str">
        <f>IFERROR(__xludf.DUMMYFUNCTION("""COMPUTED_VALUE"""),"Swasta")</f>
        <v>Swasta</v>
      </c>
      <c r="T2023" s="16" t="str">
        <f>IFERROR(__xludf.DUMMYFUNCTION("""COMPUTED_VALUE"""),"Sakit pada pinggang")</f>
        <v>Sakit pada pinggang</v>
      </c>
      <c r="U2023" s="16" t="str">
        <f>IFERROR(__xludf.DUMMYFUNCTION("""COMPUTED_VALUE"""),"Olahraga")</f>
        <v>Olahraga</v>
      </c>
      <c r="V2023" s="11" t="str">
        <f>IFERROR(__xludf.DUMMYFUNCTION("""COMPUTED_VALUE"""),"081352407271")</f>
        <v>081352407271</v>
      </c>
      <c r="W2023" s="15"/>
    </row>
    <row r="2024">
      <c r="A2024" s="46"/>
      <c r="B2024" s="9">
        <f>IFERROR(__xludf.DUMMYFUNCTION("""COMPUTED_VALUE"""),45598.62234403935)</f>
        <v>45598.62234</v>
      </c>
      <c r="C2024" s="9"/>
      <c r="D2024" s="10">
        <f>IFERROR(__xludf.DUMMYFUNCTION("""COMPUTED_VALUE"""),45664.0)</f>
        <v>45664</v>
      </c>
      <c r="E2024" s="10" t="str">
        <f>IFERROR(__xludf.DUMMYFUNCTION("""COMPUTED_VALUE"""),"01Jan")</f>
        <v>01Jan</v>
      </c>
      <c r="F2024" s="10" t="str">
        <f>IFERROR(__xludf.DUMMYFUNCTION("""COMPUTED_VALUE"""),"2025")</f>
        <v>2025</v>
      </c>
      <c r="G2024" s="35" t="str">
        <f>IFERROR(__xludf.DUMMYFUNCTION("""COMPUTED_VALUE"""),"M RAFIF ALVIRDANI PUTRA SAHERMAN")</f>
        <v>M RAFIF ALVIRDANI PUTRA SAHERMAN</v>
      </c>
      <c r="H2024" s="35" t="str">
        <f>IFERROR(__xludf.DUMMYFUNCTION("""COMPUTED_VALUE"""),"M0525017055")</f>
        <v>M0525017055</v>
      </c>
      <c r="I2024" s="35">
        <f>IFERROR(__xludf.DUMMYFUNCTION("""COMPUTED_VALUE"""),20.0)</f>
        <v>20</v>
      </c>
      <c r="J2024" s="35" t="str">
        <f>IFERROR(__xludf.DUMMYFUNCTION("""COMPUTED_VALUE"""),"18-24 tahun")</f>
        <v>18-24 tahun</v>
      </c>
      <c r="K2024" s="19">
        <f>IFERROR(__xludf.DUMMYFUNCTION("""COMPUTED_VALUE"""),38702.0)</f>
        <v>38702</v>
      </c>
      <c r="L2024" s="19" t="str">
        <f>IFERROR(__xludf.DUMMYFUNCTION("""COMPUTED_VALUE"""),"LAKI-LAKI")</f>
        <v>LAKI-LAKI</v>
      </c>
      <c r="M2024" s="36" t="str">
        <f>IFERROR(__xludf.DUMMYFUNCTION("""COMPUTED_VALUE"""),"KOMPLEK BTN PURINIRWANA INDAH 1 B.29")</f>
        <v>KOMPLEK BTN PURINIRWANA INDAH 1 B.29</v>
      </c>
      <c r="N2024" s="36" t="str">
        <f>IFERROR(__xludf.DUMMYFUNCTION("""COMPUTED_VALUE"""),"SUKAHARJA")</f>
        <v>SUKAHARJA</v>
      </c>
      <c r="O2024" s="16" t="str">
        <f>IFERROR(__xludf.DUMMYFUNCTION("""COMPUTED_VALUE"""),"DELTA PAWAN")</f>
        <v>DELTA PAWAN</v>
      </c>
      <c r="P2024" s="16" t="str">
        <f>IFERROR(__xludf.DUMMYFUNCTION("""COMPUTED_VALUE"""),"KETAPANG")</f>
        <v>KETAPANG</v>
      </c>
      <c r="Q2024" s="16" t="str">
        <f>IFERROR(__xludf.DUMMYFUNCTION("""COMPUTED_VALUE"""),"KALIMANTAN BARAT")</f>
        <v>KALIMANTAN BARAT</v>
      </c>
      <c r="R2024" s="19" t="str">
        <f>IFERROR(__xludf.DUMMYFUNCTION("""COMPUTED_VALUE"""),"ISLAM")</f>
        <v>ISLAM</v>
      </c>
      <c r="S2024" s="16" t="str">
        <f>IFERROR(__xludf.DUMMYFUNCTION("""COMPUTED_VALUE"""),"PELAJAR/MAHASISWA")</f>
        <v>PELAJAR/MAHASISWA</v>
      </c>
      <c r="T2024" s="16" t="str">
        <f>IFERROR(__xludf.DUMMYFUNCTION("""COMPUTED_VALUE"""),"KAKI X")</f>
        <v>KAKI X</v>
      </c>
      <c r="U2024" s="16" t="str">
        <f>IFERROR(__xludf.DUMMYFUNCTION("""COMPUTED_VALUE"""),"OLAHRAGA")</f>
        <v>OLAHRAGA</v>
      </c>
      <c r="V2024" s="11" t="str">
        <f>IFERROR(__xludf.DUMMYFUNCTION("""COMPUTED_VALUE"""),"089529987055")</f>
        <v>089529987055</v>
      </c>
      <c r="W2024" s="15"/>
    </row>
    <row r="2025">
      <c r="A2025" s="45"/>
      <c r="B2025" s="9">
        <f>IFERROR(__xludf.DUMMYFUNCTION("""COMPUTED_VALUE"""),45640.49095438657)</f>
        <v>45640.49095</v>
      </c>
      <c r="C2025" s="9"/>
      <c r="D2025" s="10">
        <f>IFERROR(__xludf.DUMMYFUNCTION("""COMPUTED_VALUE"""),45664.0)</f>
        <v>45664</v>
      </c>
      <c r="E2025" s="10" t="str">
        <f>IFERROR(__xludf.DUMMYFUNCTION("""COMPUTED_VALUE"""),"01Jan")</f>
        <v>01Jan</v>
      </c>
      <c r="F2025" s="10" t="str">
        <f>IFERROR(__xludf.DUMMYFUNCTION("""COMPUTED_VALUE"""),"2025")</f>
        <v>2025</v>
      </c>
      <c r="G2025" s="35" t="str">
        <f>IFERROR(__xludf.DUMMYFUNCTION("""COMPUTED_VALUE"""),"EKA FRANSISKA")</f>
        <v>EKA FRANSISKA</v>
      </c>
      <c r="H2025" s="35" t="str">
        <f>IFERROR(__xludf.DUMMYFUNCTION("""COMPUTED_VALUE"""),"E7025015900")</f>
        <v>E7025015900</v>
      </c>
      <c r="I2025" s="35">
        <f>IFERROR(__xludf.DUMMYFUNCTION("""COMPUTED_VALUE"""),55.0)</f>
        <v>55</v>
      </c>
      <c r="J2025" s="35" t="str">
        <f>IFERROR(__xludf.DUMMYFUNCTION("""COMPUTED_VALUE"""),"&gt; 44 tahun")</f>
        <v>&gt; 44 tahun</v>
      </c>
      <c r="K2025" s="19">
        <f>IFERROR(__xludf.DUMMYFUNCTION("""COMPUTED_VALUE"""),25910.0)</f>
        <v>25910</v>
      </c>
      <c r="L2025" s="19" t="str">
        <f>IFERROR(__xludf.DUMMYFUNCTION("""COMPUTED_VALUE"""),"PEREMPUAN")</f>
        <v>PEREMPUAN</v>
      </c>
      <c r="M2025" s="36" t="str">
        <f>IFERROR(__xludf.DUMMYFUNCTION("""COMPUTED_VALUE"""),"JL PARIT PANGERAN")</f>
        <v>JL PARIT PANGERAN</v>
      </c>
      <c r="N2025" s="36" t="str">
        <f>IFERROR(__xludf.DUMMYFUNCTION("""COMPUTED_VALUE"""),"Siantan hulu")</f>
        <v>Siantan hulu</v>
      </c>
      <c r="O2025" s="16" t="str">
        <f>IFERROR(__xludf.DUMMYFUNCTION("""COMPUTED_VALUE"""),"Pontianak utara")</f>
        <v>Pontianak utara</v>
      </c>
      <c r="P2025" s="16" t="str">
        <f>IFERROR(__xludf.DUMMYFUNCTION("""COMPUTED_VALUE"""),"Pontianak")</f>
        <v>Pontianak</v>
      </c>
      <c r="Q2025" s="16" t="str">
        <f>IFERROR(__xludf.DUMMYFUNCTION("""COMPUTED_VALUE"""),"Kalimantan barat")</f>
        <v>Kalimantan barat</v>
      </c>
      <c r="R2025" s="19" t="str">
        <f>IFERROR(__xludf.DUMMYFUNCTION("""COMPUTED_VALUE"""),"PROTESTAN")</f>
        <v>PROTESTAN</v>
      </c>
      <c r="S2025" s="36" t="str">
        <f>IFERROR(__xludf.DUMMYFUNCTION("""COMPUTED_VALUE"""),"RUMAH TANGGA")</f>
        <v>RUMAH TANGGA</v>
      </c>
      <c r="T2025" s="16" t="str">
        <f>IFERROR(__xludf.DUMMYFUNCTION("""COMPUTED_VALUE"""),"Tulang belakang patah")</f>
        <v>Tulang belakang patah</v>
      </c>
      <c r="U2025" s="16" t="str">
        <f>IFERROR(__xludf.DUMMYFUNCTION("""COMPUTED_VALUE"""),"Membaca")</f>
        <v>Membaca</v>
      </c>
      <c r="V2025" s="11" t="str">
        <f>IFERROR(__xludf.DUMMYFUNCTION("""COMPUTED_VALUE"""),"085786715900")</f>
        <v>085786715900</v>
      </c>
      <c r="W2025" s="15"/>
    </row>
    <row r="2026">
      <c r="A2026" s="45"/>
      <c r="B2026" s="9">
        <f>IFERROR(__xludf.DUMMYFUNCTION("""COMPUTED_VALUE"""),45640.60406760417)</f>
        <v>45640.60407</v>
      </c>
      <c r="C2026" s="9"/>
      <c r="D2026" s="10">
        <f>IFERROR(__xludf.DUMMYFUNCTION("""COMPUTED_VALUE"""),45665.0)</f>
        <v>45665</v>
      </c>
      <c r="E2026" s="10" t="str">
        <f>IFERROR(__xludf.DUMMYFUNCTION("""COMPUTED_VALUE"""),"01Jan")</f>
        <v>01Jan</v>
      </c>
      <c r="F2026" s="10" t="str">
        <f>IFERROR(__xludf.DUMMYFUNCTION("""COMPUTED_VALUE"""),"2025")</f>
        <v>2025</v>
      </c>
      <c r="G2026" s="35" t="str">
        <f>IFERROR(__xludf.DUMMYFUNCTION("""COMPUTED_VALUE"""),"AGNES BRIGITHA YOLANDA")</f>
        <v>AGNES BRIGITHA YOLANDA</v>
      </c>
      <c r="H2026" s="35" t="str">
        <f>IFERROR(__xludf.DUMMYFUNCTION("""COMPUTED_VALUE"""),"A8725010431")</f>
        <v>A8725010431</v>
      </c>
      <c r="I2026" s="35">
        <f>IFERROR(__xludf.DUMMYFUNCTION("""COMPUTED_VALUE"""),38.0)</f>
        <v>38</v>
      </c>
      <c r="J2026" s="35" t="str">
        <f>IFERROR(__xludf.DUMMYFUNCTION("""COMPUTED_VALUE"""),"35-44 tahun")</f>
        <v>35-44 tahun</v>
      </c>
      <c r="K2026" s="19" t="str">
        <f>IFERROR(__xludf.DUMMYFUNCTION("""COMPUTED_VALUE"""),"07/07/1987")</f>
        <v>07/07/1987</v>
      </c>
      <c r="L2026" s="19" t="str">
        <f>IFERROR(__xludf.DUMMYFUNCTION("""COMPUTED_VALUE"""),"PEREMPUAN")</f>
        <v>PEREMPUAN</v>
      </c>
      <c r="M2026" s="36" t="str">
        <f>IFERROR(__xludf.DUMMYFUNCTION("""COMPUTED_VALUE"""),"JL. DANAU SENTARUM KOMP ARI KARYA INDAH III NO B 39")</f>
        <v>JL. DANAU SENTARUM KOMP ARI KARYA INDAH III NO B 39</v>
      </c>
      <c r="N2026" s="16" t="str">
        <f>IFERROR(__xludf.DUMMYFUNCTION("""COMPUTED_VALUE"""),"SEI BANGKONG")</f>
        <v>SEI BANGKONG</v>
      </c>
      <c r="O2026" s="16" t="str">
        <f>IFERROR(__xludf.DUMMYFUNCTION("""COMPUTED_VALUE"""),"PONTIANAK KOTA")</f>
        <v>PONTIANAK KOTA</v>
      </c>
      <c r="P2026" s="16" t="str">
        <f>IFERROR(__xludf.DUMMYFUNCTION("""COMPUTED_VALUE"""),"PONTIANAK")</f>
        <v>PONTIANAK</v>
      </c>
      <c r="Q2026" s="16" t="str">
        <f>IFERROR(__xludf.DUMMYFUNCTION("""COMPUTED_VALUE"""),"KALIMANTTAN BARAT")</f>
        <v>KALIMANTTAN BARAT</v>
      </c>
      <c r="R2026" s="19" t="str">
        <f>IFERROR(__xludf.DUMMYFUNCTION("""COMPUTED_VALUE"""),"KATOLIK")</f>
        <v>KATOLIK</v>
      </c>
      <c r="S2026" s="16" t="str">
        <f>IFERROR(__xludf.DUMMYFUNCTION("""COMPUTED_VALUE"""),"BUMD")</f>
        <v>BUMD</v>
      </c>
      <c r="T2026" s="16" t="str">
        <f>IFERROR(__xludf.DUMMYFUNCTION("""COMPUTED_VALUE"""),"SUSAH TDR")</f>
        <v>SUSAH TDR</v>
      </c>
      <c r="U2026" s="16" t="str">
        <f>IFERROR(__xludf.DUMMYFUNCTION("""COMPUTED_VALUE"""),"KERJA")</f>
        <v>KERJA</v>
      </c>
      <c r="V2026" s="11" t="str">
        <f>IFERROR(__xludf.DUMMYFUNCTION("""COMPUTED_VALUE"""),"081257130431")</f>
        <v>081257130431</v>
      </c>
      <c r="W2026" s="15"/>
    </row>
    <row r="2027">
      <c r="A2027" s="45"/>
      <c r="B2027" s="9">
        <f>IFERROR(__xludf.DUMMYFUNCTION("""COMPUTED_VALUE"""),45640.731473611115)</f>
        <v>45640.73147</v>
      </c>
      <c r="C2027" s="9"/>
      <c r="D2027" s="10">
        <f>IFERROR(__xludf.DUMMYFUNCTION("""COMPUTED_VALUE"""),45665.0)</f>
        <v>45665</v>
      </c>
      <c r="E2027" s="10" t="str">
        <f>IFERROR(__xludf.DUMMYFUNCTION("""COMPUTED_VALUE"""),"01Jan")</f>
        <v>01Jan</v>
      </c>
      <c r="F2027" s="10" t="str">
        <f>IFERROR(__xludf.DUMMYFUNCTION("""COMPUTED_VALUE"""),"2025")</f>
        <v>2025</v>
      </c>
      <c r="G2027" s="35" t="str">
        <f>IFERROR(__xludf.DUMMYFUNCTION("""COMPUTED_VALUE"""),"MUHAMMAD ALIF NABIL MUTAWAKKIL")</f>
        <v>MUHAMMAD ALIF NABIL MUTAWAKKIL</v>
      </c>
      <c r="H2027" s="35" t="str">
        <f>IFERROR(__xludf.DUMMYFUNCTION("""COMPUTED_VALUE"""),"M0725011810")</f>
        <v>M0725011810</v>
      </c>
      <c r="I2027" s="35">
        <f>IFERROR(__xludf.DUMMYFUNCTION("""COMPUTED_VALUE"""),18.0)</f>
        <v>18</v>
      </c>
      <c r="J2027" s="35" t="str">
        <f>IFERROR(__xludf.DUMMYFUNCTION("""COMPUTED_VALUE"""),"&lt; 18 tahun")</f>
        <v>&lt; 18 tahun</v>
      </c>
      <c r="K2027" s="19" t="str">
        <f>IFERROR(__xludf.DUMMYFUNCTION("""COMPUTED_VALUE"""),"26/09/2007")</f>
        <v>26/09/2007</v>
      </c>
      <c r="L2027" s="19" t="str">
        <f>IFERROR(__xludf.DUMMYFUNCTION("""COMPUTED_VALUE"""),"LAKI-LAKI")</f>
        <v>LAKI-LAKI</v>
      </c>
      <c r="M2027" s="16" t="str">
        <f>IFERROR(__xludf.DUMMYFUNCTION("""COMPUTED_VALUE"""),"JL.UJUNG PANDANG KOMP.KURNIA 5B NO.A20")</f>
        <v>JL.UJUNG PANDANG KOMP.KURNIA 5B NO.A20</v>
      </c>
      <c r="N2027" s="16" t="str">
        <f>IFERROR(__xludf.DUMMYFUNCTION("""COMPUTED_VALUE"""),"SUNGAI JAWI")</f>
        <v>SUNGAI JAWI</v>
      </c>
      <c r="O2027" s="16" t="str">
        <f>IFERROR(__xludf.DUMMYFUNCTION("""COMPUTED_VALUE"""),"PONTIANAK KOTA")</f>
        <v>PONTIANAK KOTA</v>
      </c>
      <c r="P2027" s="16" t="str">
        <f>IFERROR(__xludf.DUMMYFUNCTION("""COMPUTED_VALUE"""),"KOTA PONTIANAK")</f>
        <v>KOTA PONTIANAK</v>
      </c>
      <c r="Q2027" s="16" t="str">
        <f>IFERROR(__xludf.DUMMYFUNCTION("""COMPUTED_VALUE"""),"KALIMANTAN BARAT")</f>
        <v>KALIMANTAN BARAT</v>
      </c>
      <c r="R2027" s="21" t="str">
        <f>IFERROR(__xludf.DUMMYFUNCTION("""COMPUTED_VALUE"""),"ISLAM")</f>
        <v>ISLAM</v>
      </c>
      <c r="S2027" s="16" t="str">
        <f>IFERROR(__xludf.DUMMYFUNCTION("""COMPUTED_VALUE"""),"PELAJAR/MAHASISWA")</f>
        <v>PELAJAR/MAHASISWA</v>
      </c>
      <c r="T2027" s="16" t="str">
        <f>IFERROR(__xludf.DUMMYFUNCTION("""COMPUTED_VALUE"""),"PASCA OPERASI ACL DAN LCL")</f>
        <v>PASCA OPERASI ACL DAN LCL</v>
      </c>
      <c r="U2027" s="16" t="str">
        <f>IFERROR(__xludf.DUMMYFUNCTION("""COMPUTED_VALUE"""),"BERMAIN FUTSAL, NAIK TURUN TANGGA KE KELAS")</f>
        <v>BERMAIN FUTSAL, NAIK TURUN TANGGA KE KELAS</v>
      </c>
      <c r="V2027" s="11" t="str">
        <f>IFERROR(__xludf.DUMMYFUNCTION("""COMPUTED_VALUE"""),"087716341810")</f>
        <v>087716341810</v>
      </c>
      <c r="W2027" s="15"/>
    </row>
    <row r="2028">
      <c r="A2028" s="45"/>
      <c r="B2028" s="9">
        <f>IFERROR(__xludf.DUMMYFUNCTION("""COMPUTED_VALUE"""),45640.75565303241)</f>
        <v>45640.75565</v>
      </c>
      <c r="C2028" s="9"/>
      <c r="D2028" s="10">
        <f>IFERROR(__xludf.DUMMYFUNCTION("""COMPUTED_VALUE"""),45665.0)</f>
        <v>45665</v>
      </c>
      <c r="E2028" s="10" t="str">
        <f>IFERROR(__xludf.DUMMYFUNCTION("""COMPUTED_VALUE"""),"01Jan")</f>
        <v>01Jan</v>
      </c>
      <c r="F2028" s="10" t="str">
        <f>IFERROR(__xludf.DUMMYFUNCTION("""COMPUTED_VALUE"""),"2025")</f>
        <v>2025</v>
      </c>
      <c r="G2028" s="35" t="str">
        <f>IFERROR(__xludf.DUMMYFUNCTION("""COMPUTED_VALUE"""),"ACHMAD SYABID")</f>
        <v>ACHMAD SYABID</v>
      </c>
      <c r="H2028" s="35" t="str">
        <f>IFERROR(__xludf.DUMMYFUNCTION("""COMPUTED_VALUE"""),"A0225018552")</f>
        <v>A0225018552</v>
      </c>
      <c r="I2028" s="35">
        <f>IFERROR(__xludf.DUMMYFUNCTION("""COMPUTED_VALUE"""),24.0)</f>
        <v>24</v>
      </c>
      <c r="J2028" s="35" t="str">
        <f>IFERROR(__xludf.DUMMYFUNCTION("""COMPUTED_VALUE"""),"18-24 tahun")</f>
        <v>18-24 tahun</v>
      </c>
      <c r="K2028" s="19" t="str">
        <f>IFERROR(__xludf.DUMMYFUNCTION("""COMPUTED_VALUE"""),"26/03/2002")</f>
        <v>26/03/2002</v>
      </c>
      <c r="L2028" s="19" t="str">
        <f>IFERROR(__xludf.DUMMYFUNCTION("""COMPUTED_VALUE"""),"LAKI-LAKI")</f>
        <v>LAKI-LAKI</v>
      </c>
      <c r="M2028" s="36" t="str">
        <f>IFERROR(__xludf.DUMMYFUNCTION("""COMPUTED_VALUE"""),"JALAN HAJI RAIS A RAHMAN GG GUNUNG LAWIT NO 56")</f>
        <v>JALAN HAJI RAIS A RAHMAN GG GUNUNG LAWIT NO 56</v>
      </c>
      <c r="N2028" s="36" t="str">
        <f>IFERROR(__xludf.DUMMYFUNCTION("""COMPUTED_VALUE"""),"SUNGAI JAWI DALAM")</f>
        <v>SUNGAI JAWI DALAM</v>
      </c>
      <c r="O2028" s="16" t="str">
        <f>IFERROR(__xludf.DUMMYFUNCTION("""COMPUTED_VALUE"""),"PONTIANAK BARAT")</f>
        <v>PONTIANAK BARAT</v>
      </c>
      <c r="P2028" s="16" t="str">
        <f>IFERROR(__xludf.DUMMYFUNCTION("""COMPUTED_VALUE"""),"PONTIANAK")</f>
        <v>PONTIANAK</v>
      </c>
      <c r="Q2028" s="16" t="str">
        <f>IFERROR(__xludf.DUMMYFUNCTION("""COMPUTED_VALUE"""),"KALIMANTAN BARAT")</f>
        <v>KALIMANTAN BARAT</v>
      </c>
      <c r="R2028" s="19" t="str">
        <f>IFERROR(__xludf.DUMMYFUNCTION("""COMPUTED_VALUE"""),"ISLAM")</f>
        <v>ISLAM</v>
      </c>
      <c r="S2028" s="16" t="str">
        <f>IFERROR(__xludf.DUMMYFUNCTION("""COMPUTED_VALUE"""),"PELAJAR/MAHASISWA")</f>
        <v>PELAJAR/MAHASISWA</v>
      </c>
      <c r="T2028" s="16" t="str">
        <f>IFERROR(__xludf.DUMMYFUNCTION("""COMPUTED_VALUE"""),"KALO JONGKOK AGAK LAMA TU DIAREA LUTUT SAMPING KANAN SAKIT PAS MAU BERDIRI")</f>
        <v>KALO JONGKOK AGAK LAMA TU DIAREA LUTUT SAMPING KANAN SAKIT PAS MAU BERDIRI</v>
      </c>
      <c r="U2028" s="16" t="str">
        <f>IFERROR(__xludf.DUMMYFUNCTION("""COMPUTED_VALUE"""),"BADMINTON, FUTSAL, SEPAKBOLA DAN MINISOCCER")</f>
        <v>BADMINTON, FUTSAL, SEPAKBOLA DAN MINISOCCER</v>
      </c>
      <c r="V2028" s="11" t="str">
        <f>IFERROR(__xludf.DUMMYFUNCTION("""COMPUTED_VALUE"""),"089614138552")</f>
        <v>089614138552</v>
      </c>
      <c r="W2028" s="15"/>
    </row>
    <row r="2029">
      <c r="A2029" s="45"/>
      <c r="B2029" s="9">
        <f>IFERROR(__xludf.DUMMYFUNCTION("""COMPUTED_VALUE"""),45642.44997427083)</f>
        <v>45642.44997</v>
      </c>
      <c r="C2029" s="9"/>
      <c r="D2029" s="10">
        <f>IFERROR(__xludf.DUMMYFUNCTION("""COMPUTED_VALUE"""),45665.0)</f>
        <v>45665</v>
      </c>
      <c r="E2029" s="10" t="str">
        <f>IFERROR(__xludf.DUMMYFUNCTION("""COMPUTED_VALUE"""),"01Jan")</f>
        <v>01Jan</v>
      </c>
      <c r="F2029" s="10" t="str">
        <f>IFERROR(__xludf.DUMMYFUNCTION("""COMPUTED_VALUE"""),"2025")</f>
        <v>2025</v>
      </c>
      <c r="G2029" s="35" t="str">
        <f>IFERROR(__xludf.DUMMYFUNCTION("""COMPUTED_VALUE"""),"AMELIA")</f>
        <v>AMELIA</v>
      </c>
      <c r="H2029" s="35" t="str">
        <f>IFERROR(__xludf.DUMMYFUNCTION("""COMPUTED_VALUE"""),"A9025017002")</f>
        <v>A9025017002</v>
      </c>
      <c r="I2029" s="35">
        <f>IFERROR(__xludf.DUMMYFUNCTION("""COMPUTED_VALUE"""),36.0)</f>
        <v>36</v>
      </c>
      <c r="J2029" s="35" t="str">
        <f>IFERROR(__xludf.DUMMYFUNCTION("""COMPUTED_VALUE"""),"35-44 tahun")</f>
        <v>35-44 tahun</v>
      </c>
      <c r="K2029" s="19" t="str">
        <f>IFERROR(__xludf.DUMMYFUNCTION("""COMPUTED_VALUE"""),"04/05/1990")</f>
        <v>04/05/1990</v>
      </c>
      <c r="L2029" s="19" t="str">
        <f>IFERROR(__xludf.DUMMYFUNCTION("""COMPUTED_VALUE"""),"PEREMPUAN")</f>
        <v>PEREMPUAN</v>
      </c>
      <c r="M2029" s="36" t="str">
        <f>IFERROR(__xludf.DUMMYFUNCTION("""COMPUTED_VALUE"""),"JALAN GUSTI HAMZAH GG NUR 3 NO 8")</f>
        <v>JALAN GUSTI HAMZAH GG NUR 3 NO 8</v>
      </c>
      <c r="N2029" s="36" t="str">
        <f>IFERROR(__xludf.DUMMYFUNCTION("""COMPUTED_VALUE"""),"SUNGAI JAWI")</f>
        <v>SUNGAI JAWI</v>
      </c>
      <c r="O2029" s="16" t="str">
        <f>IFERROR(__xludf.DUMMYFUNCTION("""COMPUTED_VALUE"""),"PONTIANAK KOTA")</f>
        <v>PONTIANAK KOTA</v>
      </c>
      <c r="P2029" s="16" t="str">
        <f>IFERROR(__xludf.DUMMYFUNCTION("""COMPUTED_VALUE"""),"PONTIANAK")</f>
        <v>PONTIANAK</v>
      </c>
      <c r="Q2029" s="16" t="str">
        <f>IFERROR(__xludf.DUMMYFUNCTION("""COMPUTED_VALUE"""),"KALIMANTAN BARAT")</f>
        <v>KALIMANTAN BARAT</v>
      </c>
      <c r="R2029" s="19" t="str">
        <f>IFERROR(__xludf.DUMMYFUNCTION("""COMPUTED_VALUE"""),"ISLAM")</f>
        <v>ISLAM</v>
      </c>
      <c r="S2029" s="16" t="str">
        <f>IFERROR(__xludf.DUMMYFUNCTION("""COMPUTED_VALUE"""),"SWASTA")</f>
        <v>SWASTA</v>
      </c>
      <c r="T2029" s="16" t="str">
        <f>IFERROR(__xludf.DUMMYFUNCTION("""COMPUTED_VALUE"""),"NYERI KAKI")</f>
        <v>NYERI KAKI</v>
      </c>
      <c r="U2029" s="16" t="str">
        <f>IFERROR(__xludf.DUMMYFUNCTION("""COMPUTED_VALUE"""),"LARI")</f>
        <v>LARI</v>
      </c>
      <c r="V2029" s="11" t="str">
        <f>IFERROR(__xludf.DUMMYFUNCTION("""COMPUTED_VALUE"""),"0811567002")</f>
        <v>0811567002</v>
      </c>
      <c r="W2029" s="15"/>
    </row>
    <row r="2030">
      <c r="A2030" s="68"/>
      <c r="B2030" s="24">
        <f>IFERROR(__xludf.DUMMYFUNCTION("""COMPUTED_VALUE"""),45642.68075828704)</f>
        <v>45642.68076</v>
      </c>
      <c r="C2030" s="24"/>
      <c r="D2030" s="10">
        <f>IFERROR(__xludf.DUMMYFUNCTION("""COMPUTED_VALUE"""),45666.0)</f>
        <v>45666</v>
      </c>
      <c r="E2030" s="10" t="str">
        <f>IFERROR(__xludf.DUMMYFUNCTION("""COMPUTED_VALUE"""),"01Jan")</f>
        <v>01Jan</v>
      </c>
      <c r="F2030" s="10" t="str">
        <f>IFERROR(__xludf.DUMMYFUNCTION("""COMPUTED_VALUE"""),"2025")</f>
        <v>2025</v>
      </c>
      <c r="G2030" s="35" t="str">
        <f>IFERROR(__xludf.DUMMYFUNCTION("""COMPUTED_VALUE"""),"RETNO AYU WINDIATI KARTIKA")</f>
        <v>RETNO AYU WINDIATI KARTIKA</v>
      </c>
      <c r="H2030" s="35" t="str">
        <f>IFERROR(__xludf.DUMMYFUNCTION("""COMPUTED_VALUE"""),"R7825017858")</f>
        <v>R7825017858</v>
      </c>
      <c r="I2030" s="35">
        <f>IFERROR(__xludf.DUMMYFUNCTION("""COMPUTED_VALUE"""),47.0)</f>
        <v>47</v>
      </c>
      <c r="J2030" s="35" t="str">
        <f>IFERROR(__xludf.DUMMYFUNCTION("""COMPUTED_VALUE"""),"&gt; 44 tahun")</f>
        <v>&gt; 44 tahun</v>
      </c>
      <c r="K2030" s="13" t="str">
        <f>IFERROR(__xludf.DUMMYFUNCTION("""COMPUTED_VALUE"""),"09/11/1978")</f>
        <v>09/11/1978</v>
      </c>
      <c r="L2030" s="21" t="str">
        <f>IFERROR(__xludf.DUMMYFUNCTION("""COMPUTED_VALUE"""),"PEREMPUAN")</f>
        <v>PEREMPUAN</v>
      </c>
      <c r="M2030" s="35" t="str">
        <f>IFERROR(__xludf.DUMMYFUNCTION("""COMPUTED_VALUE"""),"JL. AMPERA VILLA MUTIARA MAS 1 C10")</f>
        <v>JL. AMPERA VILLA MUTIARA MAS 1 C10</v>
      </c>
      <c r="N2030" s="16" t="str">
        <f>IFERROR(__xludf.DUMMYFUNCTION("""COMPUTED_VALUE"""),"SUNGAI BANGKONG")</f>
        <v>SUNGAI BANGKONG</v>
      </c>
      <c r="O2030" s="36" t="str">
        <f>IFERROR(__xludf.DUMMYFUNCTION("""COMPUTED_VALUE"""),"PONTIANAK KOTA")</f>
        <v>PONTIANAK KOTA</v>
      </c>
      <c r="P2030" s="16" t="str">
        <f>IFERROR(__xludf.DUMMYFUNCTION("""COMPUTED_VALUE"""),"PONTIANAK")</f>
        <v>PONTIANAK</v>
      </c>
      <c r="Q2030" s="16" t="str">
        <f>IFERROR(__xludf.DUMMYFUNCTION("""COMPUTED_VALUE"""),"KALBAR")</f>
        <v>KALBAR</v>
      </c>
      <c r="R2030" s="21" t="str">
        <f>IFERROR(__xludf.DUMMYFUNCTION("""COMPUTED_VALUE"""),"ISLAM")</f>
        <v>ISLAM</v>
      </c>
      <c r="S2030" s="36" t="str">
        <f>IFERROR(__xludf.DUMMYFUNCTION("""COMPUTED_VALUE"""),"RUMAH TANGGA")</f>
        <v>RUMAH TANGGA</v>
      </c>
      <c r="T2030" s="16" t="str">
        <f>IFERROR(__xludf.DUMMYFUNCTION("""COMPUTED_VALUE"""),"SAKIT PINGGANG KARNA ANGKAT GALON")</f>
        <v>SAKIT PINGGANG KARNA ANGKAT GALON</v>
      </c>
      <c r="U2030" s="16" t="str">
        <f>IFERROR(__xludf.DUMMYFUNCTION("""COMPUTED_VALUE"""),"TIDAK ADA")</f>
        <v>TIDAK ADA</v>
      </c>
      <c r="V2030" s="69" t="str">
        <f>IFERROR(__xludf.DUMMYFUNCTION("""COMPUTED_VALUE"""),"081256277858")</f>
        <v>081256277858</v>
      </c>
      <c r="W2030" s="22"/>
    </row>
    <row r="2031">
      <c r="A2031" s="45"/>
      <c r="B2031" s="9">
        <f>IFERROR(__xludf.DUMMYFUNCTION("""COMPUTED_VALUE"""),45641.72933973379)</f>
        <v>45641.72934</v>
      </c>
      <c r="C2031" s="9"/>
      <c r="D2031" s="10">
        <f>IFERROR(__xludf.DUMMYFUNCTION("""COMPUTED_VALUE"""),45667.0)</f>
        <v>45667</v>
      </c>
      <c r="E2031" s="10" t="str">
        <f>IFERROR(__xludf.DUMMYFUNCTION("""COMPUTED_VALUE"""),"01Jan")</f>
        <v>01Jan</v>
      </c>
      <c r="F2031" s="10" t="str">
        <f>IFERROR(__xludf.DUMMYFUNCTION("""COMPUTED_VALUE"""),"2025")</f>
        <v>2025</v>
      </c>
      <c r="G2031" s="35" t="str">
        <f>IFERROR(__xludf.DUMMYFUNCTION("""COMPUTED_VALUE"""),"DWI HELIASTUTI")</f>
        <v>DWI HELIASTUTI</v>
      </c>
      <c r="H2031" s="35" t="str">
        <f>IFERROR(__xludf.DUMMYFUNCTION("""COMPUTED_VALUE"""),"D8025010077")</f>
        <v>D8025010077</v>
      </c>
      <c r="I2031" s="35">
        <f>IFERROR(__xludf.DUMMYFUNCTION("""COMPUTED_VALUE"""),46.0)</f>
        <v>46</v>
      </c>
      <c r="J2031" s="35" t="str">
        <f>IFERROR(__xludf.DUMMYFUNCTION("""COMPUTED_VALUE"""),"&gt; 44 tahun")</f>
        <v>&gt; 44 tahun</v>
      </c>
      <c r="K2031" s="19">
        <f>IFERROR(__xludf.DUMMYFUNCTION("""COMPUTED_VALUE"""),29312.0)</f>
        <v>29312</v>
      </c>
      <c r="L2031" s="19" t="str">
        <f>IFERROR(__xludf.DUMMYFUNCTION("""COMPUTED_VALUE"""),"PEREMPUAN")</f>
        <v>PEREMPUAN</v>
      </c>
      <c r="M2031" s="36" t="str">
        <f>IFERROR(__xludf.DUMMYFUNCTION("""COMPUTED_VALUE"""),"JL.P.H.HUSEIN KOMP.WANA BHAKTI 4 NO.B3")</f>
        <v>JL.P.H.HUSEIN KOMP.WANA BHAKTI 4 NO.B3</v>
      </c>
      <c r="N2031" s="36" t="str">
        <f>IFERROR(__xludf.DUMMYFUNCTION("""COMPUTED_VALUE"""),"Bangka Belitung Darat")</f>
        <v>Bangka Belitung Darat</v>
      </c>
      <c r="O2031" s="16" t="str">
        <f>IFERROR(__xludf.DUMMYFUNCTION("""COMPUTED_VALUE"""),"Pontianak Tenggara")</f>
        <v>Pontianak Tenggara</v>
      </c>
      <c r="P2031" s="16" t="str">
        <f>IFERROR(__xludf.DUMMYFUNCTION("""COMPUTED_VALUE"""),"Kota Pontianak")</f>
        <v>Kota Pontianak</v>
      </c>
      <c r="Q2031" s="16" t="str">
        <f>IFERROR(__xludf.DUMMYFUNCTION("""COMPUTED_VALUE"""),"Kalimantan Barat")</f>
        <v>Kalimantan Barat</v>
      </c>
      <c r="R2031" s="19" t="str">
        <f>IFERROR(__xludf.DUMMYFUNCTION("""COMPUTED_VALUE"""),"ISLAM")</f>
        <v>ISLAM</v>
      </c>
      <c r="S2031" s="16" t="str">
        <f>IFERROR(__xludf.DUMMYFUNCTION("""COMPUTED_VALUE"""),"RUMAH TANGGA")</f>
        <v>RUMAH TANGGA</v>
      </c>
      <c r="T2031" s="16" t="str">
        <f>IFERROR(__xludf.DUMMYFUNCTION("""COMPUTED_VALUE"""),"Nyeri Bagian Pinggang")</f>
        <v>Nyeri Bagian Pinggang</v>
      </c>
      <c r="U2031" s="16" t="str">
        <f>IFERROR(__xludf.DUMMYFUNCTION("""COMPUTED_VALUE"""),"Angkat Galon")</f>
        <v>Angkat Galon</v>
      </c>
      <c r="V2031" s="11" t="str">
        <f>IFERROR(__xludf.DUMMYFUNCTION("""COMPUTED_VALUE"""),"08115660077")</f>
        <v>08115660077</v>
      </c>
      <c r="W2031" s="15"/>
    </row>
    <row r="2032">
      <c r="A2032" s="45"/>
      <c r="B2032" s="9">
        <f>IFERROR(__xludf.DUMMYFUNCTION("""COMPUTED_VALUE"""),45641.54182481482)</f>
        <v>45641.54182</v>
      </c>
      <c r="C2032" s="9"/>
      <c r="D2032" s="10">
        <f>IFERROR(__xludf.DUMMYFUNCTION("""COMPUTED_VALUE"""),45667.0)</f>
        <v>45667</v>
      </c>
      <c r="E2032" s="10" t="str">
        <f>IFERROR(__xludf.DUMMYFUNCTION("""COMPUTED_VALUE"""),"01Jan")</f>
        <v>01Jan</v>
      </c>
      <c r="F2032" s="10" t="str">
        <f>IFERROR(__xludf.DUMMYFUNCTION("""COMPUTED_VALUE"""),"2025")</f>
        <v>2025</v>
      </c>
      <c r="G2032" s="35" t="str">
        <f>IFERROR(__xludf.DUMMYFUNCTION("""COMPUTED_VALUE"""),"DAHLAN")</f>
        <v>DAHLAN</v>
      </c>
      <c r="H2032" s="35" t="str">
        <f>IFERROR(__xludf.DUMMYFUNCTION("""COMPUTED_VALUE"""),"D9025019992")</f>
        <v>D9025019992</v>
      </c>
      <c r="I2032" s="35">
        <f>IFERROR(__xludf.DUMMYFUNCTION("""COMPUTED_VALUE"""),36.0)</f>
        <v>36</v>
      </c>
      <c r="J2032" s="35" t="str">
        <f>IFERROR(__xludf.DUMMYFUNCTION("""COMPUTED_VALUE"""),"35-44 tahun")</f>
        <v>35-44 tahun</v>
      </c>
      <c r="K2032" s="19">
        <f>IFERROR(__xludf.DUMMYFUNCTION("""COMPUTED_VALUE"""),32938.0)</f>
        <v>32938</v>
      </c>
      <c r="L2032" s="19" t="str">
        <f>IFERROR(__xludf.DUMMYFUNCTION("""COMPUTED_VALUE"""),"LAKI-LAKI")</f>
        <v>LAKI-LAKI</v>
      </c>
      <c r="M2032" s="36" t="str">
        <f>IFERROR(__xludf.DUMMYFUNCTION("""COMPUTED_VALUE"""),"JALAN MEDIA YANG KELUARGA MEDIA NOMOR 11A")</f>
        <v>JALAN MEDIA YANG KELUARGA MEDIA NOMOR 11A</v>
      </c>
      <c r="N2032" s="36" t="str">
        <f>IFERROR(__xludf.DUMMYFUNCTION("""COMPUTED_VALUE"""),"BANSIR LAUT")</f>
        <v>BANSIR LAUT</v>
      </c>
      <c r="O2032" s="16" t="str">
        <f>IFERROR(__xludf.DUMMYFUNCTION("""COMPUTED_VALUE"""),"PONTIANAK")</f>
        <v>PONTIANAK</v>
      </c>
      <c r="P2032" s="16" t="str">
        <f>IFERROR(__xludf.DUMMYFUNCTION("""COMPUTED_VALUE"""),"KOTA PONTIANAK")</f>
        <v>KOTA PONTIANAK</v>
      </c>
      <c r="Q2032" s="16" t="str">
        <f>IFERROR(__xludf.DUMMYFUNCTION("""COMPUTED_VALUE"""),"KALIMANTAN BARAT")</f>
        <v>KALIMANTAN BARAT</v>
      </c>
      <c r="R2032" s="19" t="str">
        <f>IFERROR(__xludf.DUMMYFUNCTION("""COMPUTED_VALUE"""),"ISLAM")</f>
        <v>ISLAM</v>
      </c>
      <c r="S2032" s="16" t="str">
        <f>IFERROR(__xludf.DUMMYFUNCTION("""COMPUTED_VALUE"""),"WIRASWASTA")</f>
        <v>WIRASWASTA</v>
      </c>
      <c r="T2032" s="16" t="str">
        <f>IFERROR(__xludf.DUMMYFUNCTION("""COMPUTED_VALUE"""),"NYERI DI BAWAH MATA KAKI, TELAPAK KAKI DAN NYERI DADA TEMBUS BELIKAT BELAKANG SEBELAH KIRI")</f>
        <v>NYERI DI BAWAH MATA KAKI, TELAPAK KAKI DAN NYERI DADA TEMBUS BELIKAT BELAKANG SEBELAH KIRI</v>
      </c>
      <c r="U2032" s="16" t="str">
        <f>IFERROR(__xludf.DUMMYFUNCTION("""COMPUTED_VALUE"""),"DUDUK LAMA, MAIN BOLA (HANYA SEBENTAR)")</f>
        <v>DUDUK LAMA, MAIN BOLA (HANYA SEBENTAR)</v>
      </c>
      <c r="V2032" s="11" t="str">
        <f>IFERROR(__xludf.DUMMYFUNCTION("""COMPUTED_VALUE"""),"082155529992")</f>
        <v>082155529992</v>
      </c>
      <c r="W2032" s="15"/>
    </row>
    <row r="2033">
      <c r="A2033" s="45"/>
      <c r="B2033" s="9">
        <f>IFERROR(__xludf.DUMMYFUNCTION("""COMPUTED_VALUE"""),45643.46533479167)</f>
        <v>45643.46533</v>
      </c>
      <c r="C2033" s="9"/>
      <c r="D2033" s="10">
        <f>IFERROR(__xludf.DUMMYFUNCTION("""COMPUTED_VALUE"""),45667.0)</f>
        <v>45667</v>
      </c>
      <c r="E2033" s="10" t="str">
        <f>IFERROR(__xludf.DUMMYFUNCTION("""COMPUTED_VALUE"""),"01Jan")</f>
        <v>01Jan</v>
      </c>
      <c r="F2033" s="10" t="str">
        <f>IFERROR(__xludf.DUMMYFUNCTION("""COMPUTED_VALUE"""),"2025")</f>
        <v>2025</v>
      </c>
      <c r="G2033" s="35" t="str">
        <f>IFERROR(__xludf.DUMMYFUNCTION("""COMPUTED_VALUE"""),"SHAFIRA ANNISA")</f>
        <v>SHAFIRA ANNISA</v>
      </c>
      <c r="H2033" s="35" t="str">
        <f>IFERROR(__xludf.DUMMYFUNCTION("""COMPUTED_VALUE"""),"S9725018060")</f>
        <v>S9725018060</v>
      </c>
      <c r="I2033" s="35">
        <f>IFERROR(__xludf.DUMMYFUNCTION("""COMPUTED_VALUE"""),28.0)</f>
        <v>28</v>
      </c>
      <c r="J2033" s="35" t="str">
        <f>IFERROR(__xludf.DUMMYFUNCTION("""COMPUTED_VALUE"""),"25-34 tahun")</f>
        <v>25-34 tahun</v>
      </c>
      <c r="K2033" s="19" t="str">
        <f>IFERROR(__xludf.DUMMYFUNCTION("""COMPUTED_VALUE"""),"24/09/1997")</f>
        <v>24/09/1997</v>
      </c>
      <c r="L2033" s="19" t="str">
        <f>IFERROR(__xludf.DUMMYFUNCTION("""COMPUTED_VALUE"""),"PEREMPUAN")</f>
        <v>PEREMPUAN</v>
      </c>
      <c r="M2033" s="36" t="str">
        <f>IFERROR(__xludf.DUMMYFUNCTION("""COMPUTED_VALUE"""),"JLN UJUNG PANDANG")</f>
        <v>JLN UJUNG PANDANG</v>
      </c>
      <c r="N2033" s="36" t="str">
        <f>IFERROR(__xludf.DUMMYFUNCTION("""COMPUTED_VALUE"""),"SUI JAWI")</f>
        <v>SUI JAWI</v>
      </c>
      <c r="O2033" s="16" t="str">
        <f>IFERROR(__xludf.DUMMYFUNCTION("""COMPUTED_VALUE"""),"SUI JAWI")</f>
        <v>SUI JAWI</v>
      </c>
      <c r="P2033" s="16" t="str">
        <f>IFERROR(__xludf.DUMMYFUNCTION("""COMPUTED_VALUE"""),"PONTIANAK")</f>
        <v>PONTIANAK</v>
      </c>
      <c r="Q2033" s="16" t="str">
        <f>IFERROR(__xludf.DUMMYFUNCTION("""COMPUTED_VALUE"""),"KALIMANTAN BARAT")</f>
        <v>KALIMANTAN BARAT</v>
      </c>
      <c r="R2033" s="19" t="str">
        <f>IFERROR(__xludf.DUMMYFUNCTION("""COMPUTED_VALUE"""),"ISLAM")</f>
        <v>ISLAM</v>
      </c>
      <c r="S2033" s="36" t="str">
        <f>IFERROR(__xludf.DUMMYFUNCTION("""COMPUTED_VALUE"""),"SWASTA")</f>
        <v>SWASTA</v>
      </c>
      <c r="T2033" s="16" t="str">
        <f>IFERROR(__xludf.DUMMYFUNCTION("""COMPUTED_VALUE"""),"PATAH TULANG")</f>
        <v>PATAH TULANG</v>
      </c>
      <c r="U2033" s="16" t="str">
        <f>IFERROR(__xludf.DUMMYFUNCTION("""COMPUTED_VALUE"""),"BERKUDA")</f>
        <v>BERKUDA</v>
      </c>
      <c r="V2033" s="11" t="str">
        <f>IFERROR(__xludf.DUMMYFUNCTION("""COMPUTED_VALUE"""),"081251358060")</f>
        <v>081251358060</v>
      </c>
      <c r="W2033" s="15"/>
    </row>
    <row r="2034">
      <c r="A2034" s="45"/>
      <c r="B2034" s="9">
        <f>IFERROR(__xludf.DUMMYFUNCTION("""COMPUTED_VALUE"""),45564.627452754634)</f>
        <v>45564.62745</v>
      </c>
      <c r="C2034" s="9"/>
      <c r="D2034" s="10">
        <f>IFERROR(__xludf.DUMMYFUNCTION("""COMPUTED_VALUE"""),45668.0)</f>
        <v>45668</v>
      </c>
      <c r="E2034" s="10" t="str">
        <f>IFERROR(__xludf.DUMMYFUNCTION("""COMPUTED_VALUE"""),"01Jan")</f>
        <v>01Jan</v>
      </c>
      <c r="F2034" s="10" t="str">
        <f>IFERROR(__xludf.DUMMYFUNCTION("""COMPUTED_VALUE"""),"2025")</f>
        <v>2025</v>
      </c>
      <c r="G2034" s="35" t="str">
        <f>IFERROR(__xludf.DUMMYFUNCTION("""COMPUTED_VALUE"""),"BULDANI")</f>
        <v>BULDANI</v>
      </c>
      <c r="H2034" s="35" t="str">
        <f>IFERROR(__xludf.DUMMYFUNCTION("""COMPUTED_VALUE"""),"B6325013230")</f>
        <v>B6325013230</v>
      </c>
      <c r="I2034" s="35">
        <f>IFERROR(__xludf.DUMMYFUNCTION("""COMPUTED_VALUE"""),62.0)</f>
        <v>62</v>
      </c>
      <c r="J2034" s="35" t="str">
        <f>IFERROR(__xludf.DUMMYFUNCTION("""COMPUTED_VALUE"""),"&gt; 44 tahun")</f>
        <v>&gt; 44 tahun</v>
      </c>
      <c r="K2034" s="19">
        <f>IFERROR(__xludf.DUMMYFUNCTION("""COMPUTED_VALUE"""),23203.0)</f>
        <v>23203</v>
      </c>
      <c r="L2034" s="19" t="str">
        <f>IFERROR(__xludf.DUMMYFUNCTION("""COMPUTED_VALUE"""),"LAKI-LAKI")</f>
        <v>LAKI-LAKI</v>
      </c>
      <c r="M2034" s="36" t="str">
        <f>IFERROR(__xludf.DUMMYFUNCTION("""COMPUTED_VALUE"""),"JLN AMPERA KOMPLEK ARI KARYA INDAH 8 D23")</f>
        <v>JLN AMPERA KOMPLEK ARI KARYA INDAH 8 D23</v>
      </c>
      <c r="N2034" s="36" t="str">
        <f>IFERROR(__xludf.DUMMYFUNCTION("""COMPUTED_VALUE"""),"Sungai bangkong")</f>
        <v>Sungai bangkong</v>
      </c>
      <c r="O2034" s="36" t="str">
        <f>IFERROR(__xludf.DUMMYFUNCTION("""COMPUTED_VALUE"""),"Pontianak kota")</f>
        <v>Pontianak kota</v>
      </c>
      <c r="P2034" s="16" t="str">
        <f>IFERROR(__xludf.DUMMYFUNCTION("""COMPUTED_VALUE"""),"Pontianak")</f>
        <v>Pontianak</v>
      </c>
      <c r="Q2034" s="16" t="str">
        <f>IFERROR(__xludf.DUMMYFUNCTION("""COMPUTED_VALUE"""),"Kalimantan barat")</f>
        <v>Kalimantan barat</v>
      </c>
      <c r="R2034" s="19" t="str">
        <f>IFERROR(__xludf.DUMMYFUNCTION("""COMPUTED_VALUE"""),"ISLAM")</f>
        <v>ISLAM</v>
      </c>
      <c r="S2034" s="36" t="str">
        <f>IFERROR(__xludf.DUMMYFUNCTION("""COMPUTED_VALUE"""),"Pensiun")</f>
        <v>Pensiun</v>
      </c>
      <c r="T2034" s="16" t="str">
        <f>IFERROR(__xludf.DUMMYFUNCTION("""COMPUTED_VALUE"""),"Sakit pinggang sudah 2 minggu tidak sembuh")</f>
        <v>Sakit pinggang sudah 2 minggu tidak sembuh</v>
      </c>
      <c r="U2034" s="16" t="str">
        <f>IFERROR(__xludf.DUMMYFUNCTION("""COMPUTED_VALUE"""),"-")</f>
        <v>-</v>
      </c>
      <c r="V2034" s="11" t="str">
        <f>IFERROR(__xludf.DUMMYFUNCTION("""COMPUTED_VALUE"""),"089693243230")</f>
        <v>089693243230</v>
      </c>
      <c r="W2034" s="15"/>
    </row>
    <row r="2035">
      <c r="A2035" s="45"/>
      <c r="B2035" s="9">
        <f>IFERROR(__xludf.DUMMYFUNCTION("""COMPUTED_VALUE"""),45644.46841100694)</f>
        <v>45644.46841</v>
      </c>
      <c r="C2035" s="9"/>
      <c r="D2035" s="10">
        <f>IFERROR(__xludf.DUMMYFUNCTION("""COMPUTED_VALUE"""),45668.0)</f>
        <v>45668</v>
      </c>
      <c r="E2035" s="10" t="str">
        <f>IFERROR(__xludf.DUMMYFUNCTION("""COMPUTED_VALUE"""),"01Jan")</f>
        <v>01Jan</v>
      </c>
      <c r="F2035" s="10" t="str">
        <f>IFERROR(__xludf.DUMMYFUNCTION("""COMPUTED_VALUE"""),"2025")</f>
        <v>2025</v>
      </c>
      <c r="G2035" s="35" t="str">
        <f>IFERROR(__xludf.DUMMYFUNCTION("""COMPUTED_VALUE"""),"NINA RICI")</f>
        <v>NINA RICI</v>
      </c>
      <c r="H2035" s="35" t="str">
        <f>IFERROR(__xludf.DUMMYFUNCTION("""COMPUTED_VALUE"""),"N8925012433")</f>
        <v>N8925012433</v>
      </c>
      <c r="I2035" s="35">
        <f>IFERROR(__xludf.DUMMYFUNCTION("""COMPUTED_VALUE"""),37.0)</f>
        <v>37</v>
      </c>
      <c r="J2035" s="35" t="str">
        <f>IFERROR(__xludf.DUMMYFUNCTION("""COMPUTED_VALUE"""),"35-44 tahun")</f>
        <v>35-44 tahun</v>
      </c>
      <c r="K2035" s="19">
        <f>IFERROR(__xludf.DUMMYFUNCTION("""COMPUTED_VALUE"""),32629.0)</f>
        <v>32629</v>
      </c>
      <c r="L2035" s="19" t="str">
        <f>IFERROR(__xludf.DUMMYFUNCTION("""COMPUTED_VALUE"""),"PEREMPUAN")</f>
        <v>PEREMPUAN</v>
      </c>
      <c r="M2035" s="36" t="str">
        <f>IFERROR(__xludf.DUMMYFUNCTION("""COMPUTED_VALUE"""),"JL. PURNAMA 2 KOMP. PURNAMA HIJAU JALUR 4 NO. F 6")</f>
        <v>JL. PURNAMA 2 KOMP. PURNAMA HIJAU JALUR 4 NO. F 6</v>
      </c>
      <c r="N2035" s="36" t="str">
        <f>IFERROR(__xludf.DUMMYFUNCTION("""COMPUTED_VALUE"""),"Kotabaru")</f>
        <v>Kotabaru</v>
      </c>
      <c r="O2035" s="16" t="str">
        <f>IFERROR(__xludf.DUMMYFUNCTION("""COMPUTED_VALUE"""),"Pontianak Selatan")</f>
        <v>Pontianak Selatan</v>
      </c>
      <c r="P2035" s="16" t="str">
        <f>IFERROR(__xludf.DUMMYFUNCTION("""COMPUTED_VALUE"""),"Pontianak")</f>
        <v>Pontianak</v>
      </c>
      <c r="Q2035" s="16" t="str">
        <f>IFERROR(__xludf.DUMMYFUNCTION("""COMPUTED_VALUE"""),"Kalimantan Barat")</f>
        <v>Kalimantan Barat</v>
      </c>
      <c r="R2035" s="19" t="str">
        <f>IFERROR(__xludf.DUMMYFUNCTION("""COMPUTED_VALUE"""),"ISLAM")</f>
        <v>ISLAM</v>
      </c>
      <c r="S2035" s="36" t="str">
        <f>IFERROR(__xludf.DUMMYFUNCTION("""COMPUTED_VALUE"""),"BUMN")</f>
        <v>BUMN</v>
      </c>
      <c r="T2035" s="16" t="str">
        <f>IFERROR(__xludf.DUMMYFUNCTION("""COMPUTED_VALUE"""),"Nyeri pada lutut dan pinggang")</f>
        <v>Nyeri pada lutut dan pinggang</v>
      </c>
      <c r="U2035" s="16" t="str">
        <f>IFERROR(__xludf.DUMMYFUNCTION("""COMPUTED_VALUE"""),"Bekerja didepan komputer, duduk terlalu lama.")</f>
        <v>Bekerja didepan komputer, duduk terlalu lama.</v>
      </c>
      <c r="V2035" s="11" t="str">
        <f>IFERROR(__xludf.DUMMYFUNCTION("""COMPUTED_VALUE"""),"085753052433")</f>
        <v>085753052433</v>
      </c>
      <c r="W2035" s="15"/>
    </row>
    <row r="2036">
      <c r="A2036" s="45"/>
      <c r="B2036" s="9">
        <f>IFERROR(__xludf.DUMMYFUNCTION("""COMPUTED_VALUE"""),45644.58656430556)</f>
        <v>45644.58656</v>
      </c>
      <c r="C2036" s="9"/>
      <c r="D2036" s="10">
        <f>IFERROR(__xludf.DUMMYFUNCTION("""COMPUTED_VALUE"""),45669.0)</f>
        <v>45669</v>
      </c>
      <c r="E2036" s="10" t="str">
        <f>IFERROR(__xludf.DUMMYFUNCTION("""COMPUTED_VALUE"""),"01Jan")</f>
        <v>01Jan</v>
      </c>
      <c r="F2036" s="10" t="str">
        <f>IFERROR(__xludf.DUMMYFUNCTION("""COMPUTED_VALUE"""),"2025")</f>
        <v>2025</v>
      </c>
      <c r="G2036" s="35" t="str">
        <f>IFERROR(__xludf.DUMMYFUNCTION("""COMPUTED_VALUE"""),"ASWAN HADI")</f>
        <v>ASWAN HADI</v>
      </c>
      <c r="H2036" s="35" t="str">
        <f>IFERROR(__xludf.DUMMYFUNCTION("""COMPUTED_VALUE"""),"A6225010146")</f>
        <v>A6225010146</v>
      </c>
      <c r="I2036" s="35">
        <f>IFERROR(__xludf.DUMMYFUNCTION("""COMPUTED_VALUE"""),64.0)</f>
        <v>64</v>
      </c>
      <c r="J2036" s="35" t="str">
        <f>IFERROR(__xludf.DUMMYFUNCTION("""COMPUTED_VALUE"""),"&gt; 44 tahun")</f>
        <v>&gt; 44 tahun</v>
      </c>
      <c r="K2036" s="19" t="str">
        <f>IFERROR(__xludf.DUMMYFUNCTION("""COMPUTED_VALUE"""),"06/01/1962")</f>
        <v>06/01/1962</v>
      </c>
      <c r="L2036" s="19" t="str">
        <f>IFERROR(__xludf.DUMMYFUNCTION("""COMPUTED_VALUE"""),"LAKI-LAKI")</f>
        <v>LAKI-LAKI</v>
      </c>
      <c r="M2036" s="36" t="str">
        <f>IFERROR(__xludf.DUMMYFUNCTION("""COMPUTED_VALUE"""),"GG. ALHIKMAH 2 NO 8")</f>
        <v>GG. ALHIKMAH 2 NO 8</v>
      </c>
      <c r="N2036" s="36" t="str">
        <f>IFERROR(__xludf.DUMMYFUNCTION("""COMPUTED_VALUE"""),"-")</f>
        <v>-</v>
      </c>
      <c r="O2036" s="16" t="str">
        <f>IFERROR(__xludf.DUMMYFUNCTION("""COMPUTED_VALUE"""),"-")</f>
        <v>-</v>
      </c>
      <c r="P2036" s="16" t="str">
        <f>IFERROR(__xludf.DUMMYFUNCTION("""COMPUTED_VALUE"""),"KOTA PONTIANAK")</f>
        <v>KOTA PONTIANAK</v>
      </c>
      <c r="Q2036" s="16" t="str">
        <f>IFERROR(__xludf.DUMMYFUNCTION("""COMPUTED_VALUE"""),"KALIMANTAN BARAT")</f>
        <v>KALIMANTAN BARAT</v>
      </c>
      <c r="R2036" s="19" t="str">
        <f>IFERROR(__xludf.DUMMYFUNCTION("""COMPUTED_VALUE"""),"ISLAM")</f>
        <v>ISLAM</v>
      </c>
      <c r="S2036" s="36" t="str">
        <f>IFERROR(__xludf.DUMMYFUNCTION("""COMPUTED_VALUE"""),"SWASTA")</f>
        <v>SWASTA</v>
      </c>
      <c r="T2036" s="16" t="str">
        <f>IFERROR(__xludf.DUMMYFUNCTION("""COMPUTED_VALUE"""),"DADA")</f>
        <v>DADA</v>
      </c>
      <c r="U2036" s="16" t="str">
        <f>IFERROR(__xludf.DUMMYFUNCTION("""COMPUTED_VALUE"""),"-")</f>
        <v>-</v>
      </c>
      <c r="V2036" s="11" t="str">
        <f>IFERROR(__xludf.DUMMYFUNCTION("""COMPUTED_VALUE"""),"0813488660146")</f>
        <v>0813488660146</v>
      </c>
      <c r="W2036" s="15"/>
    </row>
    <row r="2037">
      <c r="A2037" s="45"/>
      <c r="B2037" s="9">
        <f>IFERROR(__xludf.DUMMYFUNCTION("""COMPUTED_VALUE"""),45644.78326971065)</f>
        <v>45644.78327</v>
      </c>
      <c r="C2037" s="9"/>
      <c r="D2037" s="10">
        <f>IFERROR(__xludf.DUMMYFUNCTION("""COMPUTED_VALUE"""),45669.0)</f>
        <v>45669</v>
      </c>
      <c r="E2037" s="10" t="str">
        <f>IFERROR(__xludf.DUMMYFUNCTION("""COMPUTED_VALUE"""),"01Jan")</f>
        <v>01Jan</v>
      </c>
      <c r="F2037" s="10" t="str">
        <f>IFERROR(__xludf.DUMMYFUNCTION("""COMPUTED_VALUE"""),"2025")</f>
        <v>2025</v>
      </c>
      <c r="G2037" s="35" t="str">
        <f>IFERROR(__xludf.DUMMYFUNCTION("""COMPUTED_VALUE"""),"HAMDAN IDRIS")</f>
        <v>HAMDAN IDRIS</v>
      </c>
      <c r="H2037" s="35" t="str">
        <f>IFERROR(__xludf.DUMMYFUNCTION("""COMPUTED_VALUE"""),"H5325012017")</f>
        <v>H5325012017</v>
      </c>
      <c r="I2037" s="35">
        <f>IFERROR(__xludf.DUMMYFUNCTION("""COMPUTED_VALUE"""),72.0)</f>
        <v>72</v>
      </c>
      <c r="J2037" s="35" t="str">
        <f>IFERROR(__xludf.DUMMYFUNCTION("""COMPUTED_VALUE"""),"&gt; 44 tahun")</f>
        <v>&gt; 44 tahun</v>
      </c>
      <c r="K2037" s="19">
        <f>IFERROR(__xludf.DUMMYFUNCTION("""COMPUTED_VALUE"""),19550.0)</f>
        <v>19550</v>
      </c>
      <c r="L2037" s="19" t="str">
        <f>IFERROR(__xludf.DUMMYFUNCTION("""COMPUTED_VALUE"""),"LAKI-LAKI")</f>
        <v>LAKI-LAKI</v>
      </c>
      <c r="M2037" s="36" t="str">
        <f>IFERROR(__xludf.DUMMYFUNCTION("""COMPUTED_VALUE"""),"JL. DR. WAHIDIN SUDIROHUSODO NO.8")</f>
        <v>JL. DR. WAHIDIN SUDIROHUSODO NO.8</v>
      </c>
      <c r="N2037" s="36" t="str">
        <f>IFERROR(__xludf.DUMMYFUNCTION("""COMPUTED_VALUE"""),"Sungai Jawi")</f>
        <v>Sungai Jawi</v>
      </c>
      <c r="O2037" s="16" t="str">
        <f>IFERROR(__xludf.DUMMYFUNCTION("""COMPUTED_VALUE"""),"Pontianak Kota")</f>
        <v>Pontianak Kota</v>
      </c>
      <c r="P2037" s="16" t="str">
        <f>IFERROR(__xludf.DUMMYFUNCTION("""COMPUTED_VALUE"""),"Pontianak")</f>
        <v>Pontianak</v>
      </c>
      <c r="Q2037" s="16" t="str">
        <f>IFERROR(__xludf.DUMMYFUNCTION("""COMPUTED_VALUE"""),"Kalimantan Barat")</f>
        <v>Kalimantan Barat</v>
      </c>
      <c r="R2037" s="19" t="str">
        <f>IFERROR(__xludf.DUMMYFUNCTION("""COMPUTED_VALUE"""),"ISLAM")</f>
        <v>ISLAM</v>
      </c>
      <c r="S2037" s="36" t="str">
        <f>IFERROR(__xludf.DUMMYFUNCTION("""COMPUTED_VALUE"""),"PENSIUN")</f>
        <v>PENSIUN</v>
      </c>
      <c r="T2037" s="16" t="str">
        <f>IFERROR(__xludf.DUMMYFUNCTION("""COMPUTED_VALUE"""),"Kaki terasa nyeri jika dibawa berdiri lama atau berjalan jauh")</f>
        <v>Kaki terasa nyeri jika dibawa berdiri lama atau berjalan jauh</v>
      </c>
      <c r="U2037" s="16" t="str">
        <f>IFERROR(__xludf.DUMMYFUNCTION("""COMPUTED_VALUE"""),"Tidak ada")</f>
        <v>Tidak ada</v>
      </c>
      <c r="V2037" s="11" t="str">
        <f>IFERROR(__xludf.DUMMYFUNCTION("""COMPUTED_VALUE"""),"08125612017")</f>
        <v>08125612017</v>
      </c>
      <c r="W2037" s="15"/>
    </row>
    <row r="2038">
      <c r="A2038" s="45"/>
      <c r="B2038" s="9">
        <f>IFERROR(__xludf.DUMMYFUNCTION("""COMPUTED_VALUE"""),45645.51342280093)</f>
        <v>45645.51342</v>
      </c>
      <c r="C2038" s="9"/>
      <c r="D2038" s="10">
        <f>IFERROR(__xludf.DUMMYFUNCTION("""COMPUTED_VALUE"""),45670.0)</f>
        <v>45670</v>
      </c>
      <c r="E2038" s="10" t="str">
        <f>IFERROR(__xludf.DUMMYFUNCTION("""COMPUTED_VALUE"""),"01Jan")</f>
        <v>01Jan</v>
      </c>
      <c r="F2038" s="10" t="str">
        <f>IFERROR(__xludf.DUMMYFUNCTION("""COMPUTED_VALUE"""),"2025")</f>
        <v>2025</v>
      </c>
      <c r="G2038" s="35" t="str">
        <f>IFERROR(__xludf.DUMMYFUNCTION("""COMPUTED_VALUE"""),"DEVINA KARINA")</f>
        <v>DEVINA KARINA</v>
      </c>
      <c r="H2038" s="35" t="str">
        <f>IFERROR(__xludf.DUMMYFUNCTION("""COMPUTED_VALUE"""),"D9225016767")</f>
        <v>D9225016767</v>
      </c>
      <c r="I2038" s="35">
        <f>IFERROR(__xludf.DUMMYFUNCTION("""COMPUTED_VALUE"""),34.0)</f>
        <v>34</v>
      </c>
      <c r="J2038" s="35" t="str">
        <f>IFERROR(__xludf.DUMMYFUNCTION("""COMPUTED_VALUE"""),"25-34 tahun")</f>
        <v>25-34 tahun</v>
      </c>
      <c r="K2038" s="19" t="str">
        <f>IFERROR(__xludf.DUMMYFUNCTION("""COMPUTED_VALUE"""),"29/01/1992")</f>
        <v>29/01/1992</v>
      </c>
      <c r="L2038" s="19" t="str">
        <f>IFERROR(__xludf.DUMMYFUNCTION("""COMPUTED_VALUE"""),"PEREMPUAN")</f>
        <v>PEREMPUAN</v>
      </c>
      <c r="M2038" s="16" t="str">
        <f>IFERROR(__xludf.DUMMYFUNCTION("""COMPUTED_VALUE"""),"JL KARYA BARU")</f>
        <v>JL KARYA BARU</v>
      </c>
      <c r="N2038" s="36" t="str">
        <f>IFERROR(__xludf.DUMMYFUNCTION("""COMPUTED_VALUE"""),"PARIT TOKAYA")</f>
        <v>PARIT TOKAYA</v>
      </c>
      <c r="O2038" s="36" t="str">
        <f>IFERROR(__xludf.DUMMYFUNCTION("""COMPUTED_VALUE"""),"PONTIANAK SELAMAT")</f>
        <v>PONTIANAK SELAMAT</v>
      </c>
      <c r="P2038" s="16" t="str">
        <f>IFERROR(__xludf.DUMMYFUNCTION("""COMPUTED_VALUE"""),"PONTINAKA")</f>
        <v>PONTINAKA</v>
      </c>
      <c r="Q2038" s="16" t="str">
        <f>IFERROR(__xludf.DUMMYFUNCTION("""COMPUTED_VALUE"""),"KALIMANTAN BARAT")</f>
        <v>KALIMANTAN BARAT</v>
      </c>
      <c r="R2038" s="19" t="str">
        <f>IFERROR(__xludf.DUMMYFUNCTION("""COMPUTED_VALUE"""),"ISLAM")</f>
        <v>ISLAM</v>
      </c>
      <c r="S2038" s="36" t="str">
        <f>IFERROR(__xludf.DUMMYFUNCTION("""COMPUTED_VALUE"""),"WIRASWASTA")</f>
        <v>WIRASWASTA</v>
      </c>
      <c r="T2038" s="16" t="str">
        <f>IFERROR(__xludf.DUMMYFUNCTION("""COMPUTED_VALUE"""),"KESEMUTAN KEBAS DI KAKI")</f>
        <v>KESEMUTAN KEBAS DI KAKI</v>
      </c>
      <c r="U2038" s="16" t="str">
        <f>IFERROR(__xludf.DUMMYFUNCTION("""COMPUTED_VALUE"""),"GYM, POSISI DUDUK ATAU TIDUR YG SALAH")</f>
        <v>GYM, POSISI DUDUK ATAU TIDUR YG SALAH</v>
      </c>
      <c r="V2038" s="11" t="str">
        <f>IFERROR(__xludf.DUMMYFUNCTION("""COMPUTED_VALUE"""),"085245746767")</f>
        <v>085245746767</v>
      </c>
      <c r="W2038" s="15"/>
    </row>
    <row r="2039">
      <c r="A2039" s="45"/>
      <c r="B2039" s="9">
        <f>IFERROR(__xludf.DUMMYFUNCTION("""COMPUTED_VALUE"""),45645.64038)</f>
        <v>45645.64038</v>
      </c>
      <c r="C2039" s="9"/>
      <c r="D2039" s="10">
        <f>IFERROR(__xludf.DUMMYFUNCTION("""COMPUTED_VALUE"""),45670.0)</f>
        <v>45670</v>
      </c>
      <c r="E2039" s="10" t="str">
        <f>IFERROR(__xludf.DUMMYFUNCTION("""COMPUTED_VALUE"""),"01Jan")</f>
        <v>01Jan</v>
      </c>
      <c r="F2039" s="10" t="str">
        <f>IFERROR(__xludf.DUMMYFUNCTION("""COMPUTED_VALUE"""),"2025")</f>
        <v>2025</v>
      </c>
      <c r="G2039" s="35" t="str">
        <f>IFERROR(__xludf.DUMMYFUNCTION("""COMPUTED_VALUE"""),"RICARDO MARGA CIPTA")</f>
        <v>RICARDO MARGA CIPTA</v>
      </c>
      <c r="H2039" s="35" t="str">
        <f>IFERROR(__xludf.DUMMYFUNCTION("""COMPUTED_VALUE"""),"R0025016071")</f>
        <v>R0025016071</v>
      </c>
      <c r="I2039" s="35">
        <f>IFERROR(__xludf.DUMMYFUNCTION("""COMPUTED_VALUE"""),25.0)</f>
        <v>25</v>
      </c>
      <c r="J2039" s="35" t="str">
        <f>IFERROR(__xludf.DUMMYFUNCTION("""COMPUTED_VALUE"""),"25-34 tahun")</f>
        <v>25-34 tahun</v>
      </c>
      <c r="K2039" s="19" t="str">
        <f>IFERROR(__xludf.DUMMYFUNCTION("""COMPUTED_VALUE"""),"15/10/2000")</f>
        <v>15/10/2000</v>
      </c>
      <c r="L2039" s="19" t="str">
        <f>IFERROR(__xludf.DUMMYFUNCTION("""COMPUTED_VALUE"""),"LAKI-LAKI")</f>
        <v>LAKI-LAKI</v>
      </c>
      <c r="M2039" s="16" t="str">
        <f>IFERROR(__xludf.DUMMYFUNCTION("""COMPUTED_VALUE"""),"GUSTI SITUT MAHMUD")</f>
        <v>GUSTI SITUT MAHMUD</v>
      </c>
      <c r="N2039" s="16" t="str">
        <f>IFERROR(__xludf.DUMMYFUNCTION("""COMPUTED_VALUE"""),"SIANTAN TENGAH")</f>
        <v>SIANTAN TENGAH</v>
      </c>
      <c r="O2039" s="16" t="str">
        <f>IFERROR(__xludf.DUMMYFUNCTION("""COMPUTED_VALUE"""),"PONTIANAK UTARA")</f>
        <v>PONTIANAK UTARA</v>
      </c>
      <c r="P2039" s="16" t="str">
        <f>IFERROR(__xludf.DUMMYFUNCTION("""COMPUTED_VALUE"""),"KOTA PONTIANAK")</f>
        <v>KOTA PONTIANAK</v>
      </c>
      <c r="Q2039" s="16" t="str">
        <f>IFERROR(__xludf.DUMMYFUNCTION("""COMPUTED_VALUE"""),"KALIMANTAN BARAT")</f>
        <v>KALIMANTAN BARAT</v>
      </c>
      <c r="R2039" s="19" t="str">
        <f>IFERROR(__xludf.DUMMYFUNCTION("""COMPUTED_VALUE"""),"KATOLIK")</f>
        <v>KATOLIK</v>
      </c>
      <c r="S2039" s="16" t="str">
        <f>IFERROR(__xludf.DUMMYFUNCTION("""COMPUTED_VALUE"""),"PELAJAR/MAHASISWA")</f>
        <v>PELAJAR/MAHASISWA</v>
      </c>
      <c r="T2039" s="16" t="str">
        <f>IFERROR(__xludf.DUMMYFUNCTION("""COMPUTED_VALUE"""),"CIDERA ANKLE KAKI KANAN")</f>
        <v>CIDERA ANKLE KAKI KANAN</v>
      </c>
      <c r="U2039" s="16" t="str">
        <f>IFERROR(__xludf.DUMMYFUNCTION("""COMPUTED_VALUE"""),"AKTIF BERMAIN BADMINTON DAN GYM")</f>
        <v>AKTIF BERMAIN BADMINTON DAN GYM</v>
      </c>
      <c r="V2039" s="11" t="str">
        <f>IFERROR(__xludf.DUMMYFUNCTION("""COMPUTED_VALUE"""),"085218286071")</f>
        <v>085218286071</v>
      </c>
      <c r="W2039" s="15"/>
    </row>
    <row r="2040">
      <c r="A2040" s="45"/>
      <c r="B2040" s="9">
        <f>IFERROR(__xludf.DUMMYFUNCTION("""COMPUTED_VALUE"""),45652.36932627315)</f>
        <v>45652.36933</v>
      </c>
      <c r="C2040" s="9"/>
      <c r="D2040" s="10">
        <f>IFERROR(__xludf.DUMMYFUNCTION("""COMPUTED_VALUE"""),45670.0)</f>
        <v>45670</v>
      </c>
      <c r="E2040" s="10" t="str">
        <f>IFERROR(__xludf.DUMMYFUNCTION("""COMPUTED_VALUE"""),"01Jan")</f>
        <v>01Jan</v>
      </c>
      <c r="F2040" s="10" t="str">
        <f>IFERROR(__xludf.DUMMYFUNCTION("""COMPUTED_VALUE"""),"2025")</f>
        <v>2025</v>
      </c>
      <c r="G2040" s="35" t="str">
        <f>IFERROR(__xludf.DUMMYFUNCTION("""COMPUTED_VALUE"""),"HENDRO 89")</f>
        <v>HENDRO 89</v>
      </c>
      <c r="H2040" s="35" t="str">
        <f>IFERROR(__xludf.DUMMYFUNCTION("""COMPUTED_VALUE"""),"H8925014479")</f>
        <v>H8925014479</v>
      </c>
      <c r="I2040" s="35">
        <f>IFERROR(__xludf.DUMMYFUNCTION("""COMPUTED_VALUE"""),36.0)</f>
        <v>36</v>
      </c>
      <c r="J2040" s="35" t="str">
        <f>IFERROR(__xludf.DUMMYFUNCTION("""COMPUTED_VALUE"""),"35-44 tahun")</f>
        <v>35-44 tahun</v>
      </c>
      <c r="K2040" s="19" t="str">
        <f>IFERROR(__xludf.DUMMYFUNCTION("""COMPUTED_VALUE"""),"08/08/1989")</f>
        <v>08/08/1989</v>
      </c>
      <c r="L2040" s="19" t="str">
        <f>IFERROR(__xludf.DUMMYFUNCTION("""COMPUTED_VALUE"""),"LAKI-LAKI")</f>
        <v>LAKI-LAKI</v>
      </c>
      <c r="M2040" s="36" t="str">
        <f>IFERROR(__xludf.DUMMYFUNCTION("""COMPUTED_VALUE"""),"JL. SUNGAI RAYA DALAM KOMPLEK HOSANA FHILEO NO. D19")</f>
        <v>JL. SUNGAI RAYA DALAM KOMPLEK HOSANA FHILEO NO. D19</v>
      </c>
      <c r="N2040" s="36" t="str">
        <f>IFERROR(__xludf.DUMMYFUNCTION("""COMPUTED_VALUE"""),"SUNGAI RAYA")</f>
        <v>SUNGAI RAYA</v>
      </c>
      <c r="O2040" s="16" t="str">
        <f>IFERROR(__xludf.DUMMYFUNCTION("""COMPUTED_VALUE"""),"SUNGAI RAYA DALAM")</f>
        <v>SUNGAI RAYA DALAM</v>
      </c>
      <c r="P2040" s="16" t="str">
        <f>IFERROR(__xludf.DUMMYFUNCTION("""COMPUTED_VALUE"""),"KUBU RAYA")</f>
        <v>KUBU RAYA</v>
      </c>
      <c r="Q2040" s="16" t="str">
        <f>IFERROR(__xludf.DUMMYFUNCTION("""COMPUTED_VALUE"""),"KALIMANTAN BARAT")</f>
        <v>KALIMANTAN BARAT</v>
      </c>
      <c r="R2040" s="19" t="str">
        <f>IFERROR(__xludf.DUMMYFUNCTION("""COMPUTED_VALUE"""),"PROTESTAN")</f>
        <v>PROTESTAN</v>
      </c>
      <c r="S2040" s="36" t="str">
        <f>IFERROR(__xludf.DUMMYFUNCTION("""COMPUTED_VALUE"""),"SWASTA")</f>
        <v>SWASTA</v>
      </c>
      <c r="T2040" s="16" t="str">
        <f>IFERROR(__xludf.DUMMYFUNCTION("""COMPUTED_VALUE"""),"CTS")</f>
        <v>CTS</v>
      </c>
      <c r="U2040" s="16" t="str">
        <f>IFERROR(__xludf.DUMMYFUNCTION("""COMPUTED_VALUE"""),"MEMASAK DALAM JUMLAH BESAR DAN ANGKAT BENDA BERAT")</f>
        <v>MEMASAK DALAM JUMLAH BESAR DAN ANGKAT BENDA BERAT</v>
      </c>
      <c r="V2040" s="11" t="str">
        <f>IFERROR(__xludf.DUMMYFUNCTION("""COMPUTED_VALUE"""),"085252464479")</f>
        <v>085252464479</v>
      </c>
      <c r="W2040" s="15"/>
    </row>
    <row r="2041">
      <c r="A2041" s="45"/>
      <c r="B2041" s="9">
        <f>IFERROR(__xludf.DUMMYFUNCTION("""COMPUTED_VALUE"""),45645.699047685186)</f>
        <v>45645.69905</v>
      </c>
      <c r="C2041" s="9"/>
      <c r="D2041" s="10">
        <f>IFERROR(__xludf.DUMMYFUNCTION("""COMPUTED_VALUE"""),45670.0)</f>
        <v>45670</v>
      </c>
      <c r="E2041" s="10" t="str">
        <f>IFERROR(__xludf.DUMMYFUNCTION("""COMPUTED_VALUE"""),"01Jan")</f>
        <v>01Jan</v>
      </c>
      <c r="F2041" s="10" t="str">
        <f>IFERROR(__xludf.DUMMYFUNCTION("""COMPUTED_VALUE"""),"2025")</f>
        <v>2025</v>
      </c>
      <c r="G2041" s="35" t="str">
        <f>IFERROR(__xludf.DUMMYFUNCTION("""COMPUTED_VALUE"""),"NURHAYATI (IBU BANG EDO)")</f>
        <v>NURHAYATI (IBU BANG EDO)</v>
      </c>
      <c r="H2041" s="35" t="str">
        <f>IFERROR(__xludf.DUMMYFUNCTION("""COMPUTED_VALUE"""),"N992501")</f>
        <v>N992501</v>
      </c>
      <c r="I2041" s="35" t="str">
        <f>IFERROR(__xludf.DUMMYFUNCTION("""COMPUTED_VALUE"""),"")</f>
        <v/>
      </c>
      <c r="J2041" s="35" t="str">
        <f>IFERROR(__xludf.DUMMYFUNCTION("""COMPUTED_VALUE"""),"")</f>
        <v/>
      </c>
      <c r="K2041" s="19"/>
      <c r="L2041" s="19" t="str">
        <f>IFERROR(__xludf.DUMMYFUNCTION("""COMPUTED_VALUE"""),"PEREMPUAN")</f>
        <v>PEREMPUAN</v>
      </c>
      <c r="M2041" s="36" t="str">
        <f>IFERROR(__xludf.DUMMYFUNCTION("""COMPUTED_VALUE"""),"JL. KESEHATAN GG. KESEHATAN DALAM NOMOR 4")</f>
        <v>JL. KESEHATAN GG. KESEHATAN DALAM NOMOR 4</v>
      </c>
      <c r="N2041" s="36"/>
      <c r="O2041" s="35"/>
      <c r="P2041" s="16"/>
      <c r="Q2041" s="16" t="str">
        <f>IFERROR(__xludf.DUMMYFUNCTION("""COMPUTED_VALUE"""),"KALIMANTAN BARAT")</f>
        <v>KALIMANTAN BARAT</v>
      </c>
      <c r="R2041" s="19" t="str">
        <f>IFERROR(__xludf.DUMMYFUNCTION("""COMPUTED_VALUE"""),"ISLAM")</f>
        <v>ISLAM</v>
      </c>
      <c r="S2041" s="16" t="str">
        <f>IFERROR(__xludf.DUMMYFUNCTION("""COMPUTED_VALUE"""),"PENSIUNAN")</f>
        <v>PENSIUNAN</v>
      </c>
      <c r="T2041" s="16" t="str">
        <f>IFERROR(__xludf.DUMMYFUNCTION("""COMPUTED_VALUE"""),"PINGGANG")</f>
        <v>PINGGANG</v>
      </c>
      <c r="U2041" s="16"/>
      <c r="V2041" s="16"/>
      <c r="W2041" s="15"/>
    </row>
    <row r="2042">
      <c r="A2042" s="45"/>
      <c r="B2042" s="9">
        <f>IFERROR(__xludf.DUMMYFUNCTION("""COMPUTED_VALUE"""),45646.424972974535)</f>
        <v>45646.42497</v>
      </c>
      <c r="C2042" s="9"/>
      <c r="D2042" s="10">
        <f>IFERROR(__xludf.DUMMYFUNCTION("""COMPUTED_VALUE"""),45670.0)</f>
        <v>45670</v>
      </c>
      <c r="E2042" s="10" t="str">
        <f>IFERROR(__xludf.DUMMYFUNCTION("""COMPUTED_VALUE"""),"01Jan")</f>
        <v>01Jan</v>
      </c>
      <c r="F2042" s="10" t="str">
        <f>IFERROR(__xludf.DUMMYFUNCTION("""COMPUTED_VALUE"""),"2025")</f>
        <v>2025</v>
      </c>
      <c r="G2042" s="35" t="str">
        <f>IFERROR(__xludf.DUMMYFUNCTION("""COMPUTED_VALUE"""),"MADI")</f>
        <v>MADI</v>
      </c>
      <c r="H2042" s="35" t="str">
        <f>IFERROR(__xludf.DUMMYFUNCTION("""COMPUTED_VALUE"""),"M6225018585")</f>
        <v>M6225018585</v>
      </c>
      <c r="I2042" s="35">
        <f>IFERROR(__xludf.DUMMYFUNCTION("""COMPUTED_VALUE"""),63.0)</f>
        <v>63</v>
      </c>
      <c r="J2042" s="35" t="str">
        <f>IFERROR(__xludf.DUMMYFUNCTION("""COMPUTED_VALUE"""),"&gt; 44 tahun")</f>
        <v>&gt; 44 tahun</v>
      </c>
      <c r="K2042" s="19">
        <f>IFERROR(__xludf.DUMMYFUNCTION("""COMPUTED_VALUE"""),22828.0)</f>
        <v>22828</v>
      </c>
      <c r="L2042" s="19" t="str">
        <f>IFERROR(__xludf.DUMMYFUNCTION("""COMPUTED_VALUE"""),"LAKI-LAKI")</f>
        <v>LAKI-LAKI</v>
      </c>
      <c r="M2042" s="36" t="str">
        <f>IFERROR(__xludf.DUMMYFUNCTION("""COMPUTED_VALUE"""),"JL. PARIT SARIN")</f>
        <v>JL. PARIT SARIN</v>
      </c>
      <c r="N2042" s="36"/>
      <c r="O2042" s="16"/>
      <c r="P2042" s="16"/>
      <c r="Q2042" s="16" t="str">
        <f>IFERROR(__xludf.DUMMYFUNCTION("""COMPUTED_VALUE"""),"KALIMANTAN BARAT")</f>
        <v>KALIMANTAN BARAT</v>
      </c>
      <c r="R2042" s="19" t="str">
        <f>IFERROR(__xludf.DUMMYFUNCTION("""COMPUTED_VALUE"""),"ISLAM")</f>
        <v>ISLAM</v>
      </c>
      <c r="S2042" s="16" t="str">
        <f>IFERROR(__xludf.DUMMYFUNCTION("""COMPUTED_VALUE"""),"PETANI")</f>
        <v>PETANI</v>
      </c>
      <c r="T2042" s="16" t="str">
        <f>IFERROR(__xludf.DUMMYFUNCTION("""COMPUTED_VALUE"""),"PINGGANG")</f>
        <v>PINGGANG</v>
      </c>
      <c r="U2042" s="16" t="str">
        <f>IFERROR(__xludf.DUMMYFUNCTION("""COMPUTED_VALUE"""),"BERKEBUN")</f>
        <v>BERKEBUN</v>
      </c>
      <c r="V2042" s="11" t="str">
        <f>IFERROR(__xludf.DUMMYFUNCTION("""COMPUTED_VALUE"""),"82152188585")</f>
        <v>82152188585</v>
      </c>
      <c r="W2042" s="15"/>
    </row>
    <row r="2043">
      <c r="A2043" s="45"/>
      <c r="B2043" s="9">
        <f>IFERROR(__xludf.DUMMYFUNCTION("""COMPUTED_VALUE"""),45646.7920730787)</f>
        <v>45646.79207</v>
      </c>
      <c r="C2043" s="9"/>
      <c r="D2043" s="10">
        <f>IFERROR(__xludf.DUMMYFUNCTION("""COMPUTED_VALUE"""),45671.0)</f>
        <v>45671</v>
      </c>
      <c r="E2043" s="10" t="str">
        <f>IFERROR(__xludf.DUMMYFUNCTION("""COMPUTED_VALUE"""),"01Jan")</f>
        <v>01Jan</v>
      </c>
      <c r="F2043" s="10" t="str">
        <f>IFERROR(__xludf.DUMMYFUNCTION("""COMPUTED_VALUE"""),"2025")</f>
        <v>2025</v>
      </c>
      <c r="G2043" s="35" t="str">
        <f>IFERROR(__xludf.DUMMYFUNCTION("""COMPUTED_VALUE"""),"MITCHELL VALERI FREDI")</f>
        <v>MITCHELL VALERI FREDI</v>
      </c>
      <c r="H2043" s="35" t="str">
        <f>IFERROR(__xludf.DUMMYFUNCTION("""COMPUTED_VALUE"""),"M0125016471")</f>
        <v>M0125016471</v>
      </c>
      <c r="I2043" s="35">
        <f>IFERROR(__xludf.DUMMYFUNCTION("""COMPUTED_VALUE"""),24.0)</f>
        <v>24</v>
      </c>
      <c r="J2043" s="35" t="str">
        <f>IFERROR(__xludf.DUMMYFUNCTION("""COMPUTED_VALUE"""),"18-24 tahun")</f>
        <v>18-24 tahun</v>
      </c>
      <c r="K2043" s="19" t="str">
        <f>IFERROR(__xludf.DUMMYFUNCTION("""COMPUTED_VALUE"""),"26/09/2001")</f>
        <v>26/09/2001</v>
      </c>
      <c r="L2043" s="19" t="str">
        <f>IFERROR(__xludf.DUMMYFUNCTION("""COMPUTED_VALUE"""),"LAKI-LAKI")</f>
        <v>LAKI-LAKI</v>
      </c>
      <c r="M2043" s="36" t="str">
        <f>IFERROR(__xludf.DUMMYFUNCTION("""COMPUTED_VALUE"""),"SERDAM")</f>
        <v>SERDAM</v>
      </c>
      <c r="N2043" s="36" t="str">
        <f>IFERROR(__xludf.DUMMYFUNCTION("""COMPUTED_VALUE"""),"BANGKA BELITUNG DARAT")</f>
        <v>BANGKA BELITUNG DARAT</v>
      </c>
      <c r="O2043" s="16" t="str">
        <f>IFERROR(__xludf.DUMMYFUNCTION("""COMPUTED_VALUE"""),"PONTIANAK TENGGARA")</f>
        <v>PONTIANAK TENGGARA</v>
      </c>
      <c r="P2043" s="16" t="str">
        <f>IFERROR(__xludf.DUMMYFUNCTION("""COMPUTED_VALUE"""),"PONTIANAK")</f>
        <v>PONTIANAK</v>
      </c>
      <c r="Q2043" s="16" t="str">
        <f>IFERROR(__xludf.DUMMYFUNCTION("""COMPUTED_VALUE"""),"KALIMANTAN. BARAT")</f>
        <v>KALIMANTAN. BARAT</v>
      </c>
      <c r="R2043" s="19" t="str">
        <f>IFERROR(__xludf.DUMMYFUNCTION("""COMPUTED_VALUE"""),"KATOLIK")</f>
        <v>KATOLIK</v>
      </c>
      <c r="S2043" s="36" t="str">
        <f>IFERROR(__xludf.DUMMYFUNCTION("""COMPUTED_VALUE"""),"PELAJAR/MAHASISWA")</f>
        <v>PELAJAR/MAHASISWA</v>
      </c>
      <c r="T2043" s="16" t="str">
        <f>IFERROR(__xludf.DUMMYFUNCTION("""COMPUTED_VALUE"""),"LUTUT")</f>
        <v>LUTUT</v>
      </c>
      <c r="U2043" s="16" t="str">
        <f>IFERROR(__xludf.DUMMYFUNCTION("""COMPUTED_VALUE"""),"BADMINTON &amp; GYM")</f>
        <v>BADMINTON &amp; GYM</v>
      </c>
      <c r="V2043" s="11" t="str">
        <f>IFERROR(__xludf.DUMMYFUNCTION("""COMPUTED_VALUE"""),"+61431516471")</f>
        <v>+61431516471</v>
      </c>
      <c r="W2043" s="15"/>
    </row>
    <row r="2044">
      <c r="A2044" s="45"/>
      <c r="B2044" s="9">
        <f>IFERROR(__xludf.DUMMYFUNCTION("""COMPUTED_VALUE"""),45646.85972731482)</f>
        <v>45646.85973</v>
      </c>
      <c r="C2044" s="9"/>
      <c r="D2044" s="10">
        <f>IFERROR(__xludf.DUMMYFUNCTION("""COMPUTED_VALUE"""),45671.0)</f>
        <v>45671</v>
      </c>
      <c r="E2044" s="10" t="str">
        <f>IFERROR(__xludf.DUMMYFUNCTION("""COMPUTED_VALUE"""),"01Jan")</f>
        <v>01Jan</v>
      </c>
      <c r="F2044" s="10" t="str">
        <f>IFERROR(__xludf.DUMMYFUNCTION("""COMPUTED_VALUE"""),"2025")</f>
        <v>2025</v>
      </c>
      <c r="G2044" s="35" t="str">
        <f>IFERROR(__xludf.DUMMYFUNCTION("""COMPUTED_VALUE"""),"YANTI WIDIANTARI")</f>
        <v>YANTI WIDIANTARI</v>
      </c>
      <c r="H2044" s="35" t="str">
        <f>IFERROR(__xludf.DUMMYFUNCTION("""COMPUTED_VALUE"""),"Y9425016690")</f>
        <v>Y9425016690</v>
      </c>
      <c r="I2044" s="35">
        <f>IFERROR(__xludf.DUMMYFUNCTION("""COMPUTED_VALUE"""),31.0)</f>
        <v>31</v>
      </c>
      <c r="J2044" s="35" t="str">
        <f>IFERROR(__xludf.DUMMYFUNCTION("""COMPUTED_VALUE"""),"25-34 tahun")</f>
        <v>25-34 tahun</v>
      </c>
      <c r="K2044" s="19" t="str">
        <f>IFERROR(__xludf.DUMMYFUNCTION("""COMPUTED_VALUE"""),"21/07/1994")</f>
        <v>21/07/1994</v>
      </c>
      <c r="L2044" s="19" t="str">
        <f>IFERROR(__xludf.DUMMYFUNCTION("""COMPUTED_VALUE"""),"PEREMPUAN")</f>
        <v>PEREMPUAN</v>
      </c>
      <c r="M2044" s="36" t="str">
        <f>IFERROR(__xludf.DUMMYFUNCTION("""COMPUTED_VALUE"""),"KOMPLEK GEMILANG HOKILAND NO. A3")</f>
        <v>KOMPLEK GEMILANG HOKILAND NO. A3</v>
      </c>
      <c r="N2044" s="36" t="str">
        <f>IFERROR(__xludf.DUMMYFUNCTION("""COMPUTED_VALUE"""),"SUNGAI RAYA")</f>
        <v>SUNGAI RAYA</v>
      </c>
      <c r="O2044" s="16" t="str">
        <f>IFERROR(__xludf.DUMMYFUNCTION("""COMPUTED_VALUE"""),"SUNGAI RAYA")</f>
        <v>SUNGAI RAYA</v>
      </c>
      <c r="P2044" s="16" t="str">
        <f>IFERROR(__xludf.DUMMYFUNCTION("""COMPUTED_VALUE"""),"KUBU RAYA")</f>
        <v>KUBU RAYA</v>
      </c>
      <c r="Q2044" s="16" t="str">
        <f>IFERROR(__xludf.DUMMYFUNCTION("""COMPUTED_VALUE"""),"KALIMANTAN BARAT")</f>
        <v>KALIMANTAN BARAT</v>
      </c>
      <c r="R2044" s="19" t="str">
        <f>IFERROR(__xludf.DUMMYFUNCTION("""COMPUTED_VALUE"""),"KATOLIK")</f>
        <v>KATOLIK</v>
      </c>
      <c r="S2044" s="16" t="str">
        <f>IFERROR(__xludf.DUMMYFUNCTION("""COMPUTED_VALUE"""),"GURU")</f>
        <v>GURU</v>
      </c>
      <c r="T2044" s="16" t="str">
        <f>IFERROR(__xludf.DUMMYFUNCTION("""COMPUTED_VALUE"""),"LUTUT")</f>
        <v>LUTUT</v>
      </c>
      <c r="U2044" s="16" t="str">
        <f>IFERROR(__xludf.DUMMYFUNCTION("""COMPUTED_VALUE"""),"SENAM DAN MENARI")</f>
        <v>SENAM DAN MENARI</v>
      </c>
      <c r="V2044" s="11" t="str">
        <f>IFERROR(__xludf.DUMMYFUNCTION("""COMPUTED_VALUE"""),"081348026690")</f>
        <v>081348026690</v>
      </c>
      <c r="W2044" s="15"/>
    </row>
    <row r="2045">
      <c r="A2045" s="45"/>
      <c r="B2045" s="9">
        <f>IFERROR(__xludf.DUMMYFUNCTION("""COMPUTED_VALUE"""),45647.442654108796)</f>
        <v>45647.44265</v>
      </c>
      <c r="C2045" s="9"/>
      <c r="D2045" s="10">
        <f>IFERROR(__xludf.DUMMYFUNCTION("""COMPUTED_VALUE"""),45672.0)</f>
        <v>45672</v>
      </c>
      <c r="E2045" s="10" t="str">
        <f>IFERROR(__xludf.DUMMYFUNCTION("""COMPUTED_VALUE"""),"01Jan")</f>
        <v>01Jan</v>
      </c>
      <c r="F2045" s="10" t="str">
        <f>IFERROR(__xludf.DUMMYFUNCTION("""COMPUTED_VALUE"""),"2025")</f>
        <v>2025</v>
      </c>
      <c r="G2045" s="36" t="str">
        <f>IFERROR(__xludf.DUMMYFUNCTION("""COMPUTED_VALUE"""),"DARLIANA")</f>
        <v>DARLIANA</v>
      </c>
      <c r="H2045" s="35" t="str">
        <f>IFERROR(__xludf.DUMMYFUNCTION("""COMPUTED_VALUE"""),"D6125012817")</f>
        <v>D6125012817</v>
      </c>
      <c r="I2045" s="35">
        <f>IFERROR(__xludf.DUMMYFUNCTION("""COMPUTED_VALUE"""),64.0)</f>
        <v>64</v>
      </c>
      <c r="J2045" s="35" t="str">
        <f>IFERROR(__xludf.DUMMYFUNCTION("""COMPUTED_VALUE"""),"&gt; 44 tahun")</f>
        <v>&gt; 44 tahun</v>
      </c>
      <c r="K2045" s="19" t="str">
        <f>IFERROR(__xludf.DUMMYFUNCTION("""COMPUTED_VALUE"""),"27/07/1961")</f>
        <v>27/07/1961</v>
      </c>
      <c r="L2045" s="19" t="str">
        <f>IFERROR(__xludf.DUMMYFUNCTION("""COMPUTED_VALUE"""),"PEREMPUAN")</f>
        <v>PEREMPUAN</v>
      </c>
      <c r="M2045" s="36" t="str">
        <f>IFERROR(__xludf.DUMMYFUNCTION("""COMPUTED_VALUE"""),"JL.PUYUH NO.3")</f>
        <v>JL.PUYUH NO.3</v>
      </c>
      <c r="N2045" s="36" t="str">
        <f>IFERROR(__xludf.DUMMYFUNCTION("""COMPUTED_VALUE"""),"MARIANA")</f>
        <v>MARIANA</v>
      </c>
      <c r="O2045" s="16" t="str">
        <f>IFERROR(__xludf.DUMMYFUNCTION("""COMPUTED_VALUE"""),"PONTIANAK KOTA")</f>
        <v>PONTIANAK KOTA</v>
      </c>
      <c r="P2045" s="16" t="str">
        <f>IFERROR(__xludf.DUMMYFUNCTION("""COMPUTED_VALUE"""),"PONTIANAK")</f>
        <v>PONTIANAK</v>
      </c>
      <c r="Q2045" s="16" t="str">
        <f>IFERROR(__xludf.DUMMYFUNCTION("""COMPUTED_VALUE"""),"KALIMANTAN BARAT")</f>
        <v>KALIMANTAN BARAT</v>
      </c>
      <c r="R2045" s="19" t="str">
        <f>IFERROR(__xludf.DUMMYFUNCTION("""COMPUTED_VALUE"""),"ISLAM")</f>
        <v>ISLAM</v>
      </c>
      <c r="S2045" s="16" t="str">
        <f>IFERROR(__xludf.DUMMYFUNCTION("""COMPUTED_VALUE"""),"MENGURUS RUMAH TANGGA")</f>
        <v>MENGURUS RUMAH TANGGA</v>
      </c>
      <c r="T2045" s="16" t="str">
        <f>IFERROR(__xludf.DUMMYFUNCTION("""COMPUTED_VALUE"""),"SAKIT KAKI,SETELAH JATUH SEKITAR 2 BULAN YANG LALU")</f>
        <v>SAKIT KAKI,SETELAH JATUH SEKITAR 2 BULAN YANG LALU</v>
      </c>
      <c r="U2045" s="16" t="str">
        <f>IFERROR(__xludf.DUMMYFUNCTION("""COMPUTED_VALUE"""),"BAWA MOTOR")</f>
        <v>BAWA MOTOR</v>
      </c>
      <c r="V2045" s="11" t="str">
        <f>IFERROR(__xludf.DUMMYFUNCTION("""COMPUTED_VALUE"""),"081545162817")</f>
        <v>081545162817</v>
      </c>
      <c r="W2045" s="15"/>
    </row>
    <row r="2046">
      <c r="A2046" s="45"/>
      <c r="B2046" s="9">
        <f>IFERROR(__xludf.DUMMYFUNCTION("""COMPUTED_VALUE"""),45647.569354872685)</f>
        <v>45647.56935</v>
      </c>
      <c r="C2046" s="9"/>
      <c r="D2046" s="10">
        <f>IFERROR(__xludf.DUMMYFUNCTION("""COMPUTED_VALUE"""),45672.0)</f>
        <v>45672</v>
      </c>
      <c r="E2046" s="10" t="str">
        <f>IFERROR(__xludf.DUMMYFUNCTION("""COMPUTED_VALUE"""),"01Jan")</f>
        <v>01Jan</v>
      </c>
      <c r="F2046" s="10" t="str">
        <f>IFERROR(__xludf.DUMMYFUNCTION("""COMPUTED_VALUE"""),"2025")</f>
        <v>2025</v>
      </c>
      <c r="G2046" s="36" t="str">
        <f>IFERROR(__xludf.DUMMYFUNCTION("""COMPUTED_VALUE"""),"GUSTI MUHAMMAD PUTRA AKBAR")</f>
        <v>GUSTI MUHAMMAD PUTRA AKBAR</v>
      </c>
      <c r="H2046" s="35" t="str">
        <f>IFERROR(__xludf.DUMMYFUNCTION("""COMPUTED_VALUE"""),"G0525019090")</f>
        <v>G0525019090</v>
      </c>
      <c r="I2046" s="35">
        <f>IFERROR(__xludf.DUMMYFUNCTION("""COMPUTED_VALUE"""),20.0)</f>
        <v>20</v>
      </c>
      <c r="J2046" s="35" t="str">
        <f>IFERROR(__xludf.DUMMYFUNCTION("""COMPUTED_VALUE"""),"18-24 tahun")</f>
        <v>18-24 tahun</v>
      </c>
      <c r="K2046" s="19" t="str">
        <f>IFERROR(__xludf.DUMMYFUNCTION("""COMPUTED_VALUE"""),"27/07/2005")</f>
        <v>27/07/2005</v>
      </c>
      <c r="L2046" s="19" t="str">
        <f>IFERROR(__xludf.DUMMYFUNCTION("""COMPUTED_VALUE"""),"LAKI-LAKI")</f>
        <v>LAKI-LAKI</v>
      </c>
      <c r="M2046" s="36" t="str">
        <f>IFERROR(__xludf.DUMMYFUNCTION("""COMPUTED_VALUE"""),"JALAN RAYA MANDOR")</f>
        <v>JALAN RAYA MANDOR</v>
      </c>
      <c r="N2046" s="36" t="str">
        <f>IFERROR(__xludf.DUMMYFUNCTION("""COMPUTED_VALUE"""),"DESA MANDOR")</f>
        <v>DESA MANDOR</v>
      </c>
      <c r="O2046" s="16" t="str">
        <f>IFERROR(__xludf.DUMMYFUNCTION("""COMPUTED_VALUE"""),"MANDOR")</f>
        <v>MANDOR</v>
      </c>
      <c r="P2046" s="16" t="str">
        <f>IFERROR(__xludf.DUMMYFUNCTION("""COMPUTED_VALUE"""),"LANDAK")</f>
        <v>LANDAK</v>
      </c>
      <c r="Q2046" s="16" t="str">
        <f>IFERROR(__xludf.DUMMYFUNCTION("""COMPUTED_VALUE"""),"KALIMANTAN BARAT")</f>
        <v>KALIMANTAN BARAT</v>
      </c>
      <c r="R2046" s="19" t="str">
        <f>IFERROR(__xludf.DUMMYFUNCTION("""COMPUTED_VALUE"""),"ISLAM")</f>
        <v>ISLAM</v>
      </c>
      <c r="S2046" s="16" t="str">
        <f>IFERROR(__xludf.DUMMYFUNCTION("""COMPUTED_VALUE"""),"BLM PUNYE PERKERJAN")</f>
        <v>BLM PUNYE PERKERJAN</v>
      </c>
      <c r="T2046" s="16" t="str">
        <f>IFERROR(__xludf.DUMMYFUNCTION("""COMPUTED_VALUE"""),"OTOT PAHA MENGECIL DAN JALAN PENCANG")</f>
        <v>OTOT PAHA MENGECIL DAN JALAN PENCANG</v>
      </c>
      <c r="U2046" s="16" t="str">
        <f>IFERROR(__xludf.DUMMYFUNCTION("""COMPUTED_VALUE"""),"BALAPAN MOTOR")</f>
        <v>BALAPAN MOTOR</v>
      </c>
      <c r="V2046" s="11" t="str">
        <f>IFERROR(__xludf.DUMMYFUNCTION("""COMPUTED_VALUE"""),"089524389090")</f>
        <v>089524389090</v>
      </c>
      <c r="W2046" s="15"/>
    </row>
    <row r="2047">
      <c r="A2047" s="45"/>
      <c r="B2047" s="9">
        <f>IFERROR(__xludf.DUMMYFUNCTION("""COMPUTED_VALUE"""),45648.438444444444)</f>
        <v>45648.43844</v>
      </c>
      <c r="C2047" s="9"/>
      <c r="D2047" s="10">
        <f>IFERROR(__xludf.DUMMYFUNCTION("""COMPUTED_VALUE"""),45672.0)</f>
        <v>45672</v>
      </c>
      <c r="E2047" s="10" t="str">
        <f>IFERROR(__xludf.DUMMYFUNCTION("""COMPUTED_VALUE"""),"01Jan")</f>
        <v>01Jan</v>
      </c>
      <c r="F2047" s="10" t="str">
        <f>IFERROR(__xludf.DUMMYFUNCTION("""COMPUTED_VALUE"""),"2025")</f>
        <v>2025</v>
      </c>
      <c r="G2047" s="36" t="str">
        <f>IFERROR(__xludf.DUMMYFUNCTION("""COMPUTED_VALUE"""),"RUMINAH")</f>
        <v>RUMINAH</v>
      </c>
      <c r="H2047" s="35" t="str">
        <f>IFERROR(__xludf.DUMMYFUNCTION("""COMPUTED_VALUE"""),"R5825012760")</f>
        <v>R5825012760</v>
      </c>
      <c r="I2047" s="35">
        <f>IFERROR(__xludf.DUMMYFUNCTION("""COMPUTED_VALUE"""),68.0)</f>
        <v>68</v>
      </c>
      <c r="J2047" s="35" t="str">
        <f>IFERROR(__xludf.DUMMYFUNCTION("""COMPUTED_VALUE"""),"&gt; 44 tahun")</f>
        <v>&gt; 44 tahun</v>
      </c>
      <c r="K2047" s="19" t="str">
        <f>IFERROR(__xludf.DUMMYFUNCTION("""COMPUTED_VALUE"""),"06/06/1958")</f>
        <v>06/06/1958</v>
      </c>
      <c r="L2047" s="19" t="str">
        <f>IFERROR(__xludf.DUMMYFUNCTION("""COMPUTED_VALUE"""),"PEREMPUAN")</f>
        <v>PEREMPUAN</v>
      </c>
      <c r="M2047" s="36" t="str">
        <f>IFERROR(__xludf.DUMMYFUNCTION("""COMPUTED_VALUE"""),"JL. SUNAN GUNUNG JATI, DUSUN KEBUN JERUK RT . 002 RW. 001 ( PATOK 3 )")</f>
        <v>JL. SUNAN GUNUNG JATI, DUSUN KEBUN JERUK RT . 002 RW. 001 ( PATOK 3 )</v>
      </c>
      <c r="N2047" s="36" t="str">
        <f>IFERROR(__xludf.DUMMYFUNCTION("""COMPUTED_VALUE"""),"RASAU JAYA SATU")</f>
        <v>RASAU JAYA SATU</v>
      </c>
      <c r="O2047" s="16" t="str">
        <f>IFERROR(__xludf.DUMMYFUNCTION("""COMPUTED_VALUE"""),"RASAU JAYA")</f>
        <v>RASAU JAYA</v>
      </c>
      <c r="P2047" s="16" t="str">
        <f>IFERROR(__xludf.DUMMYFUNCTION("""COMPUTED_VALUE"""),"KUBU RAYA")</f>
        <v>KUBU RAYA</v>
      </c>
      <c r="Q2047" s="16" t="str">
        <f>IFERROR(__xludf.DUMMYFUNCTION("""COMPUTED_VALUE"""),"KALIMANTAN BARAT")</f>
        <v>KALIMANTAN BARAT</v>
      </c>
      <c r="R2047" s="19" t="str">
        <f>IFERROR(__xludf.DUMMYFUNCTION("""COMPUTED_VALUE"""),"ISLAM")</f>
        <v>ISLAM</v>
      </c>
      <c r="S2047" s="36" t="str">
        <f>IFERROR(__xludf.DUMMYFUNCTION("""COMPUTED_VALUE"""),"IBU RUMAH TANGGA &amp; BERKEBUN")</f>
        <v>IBU RUMAH TANGGA &amp; BERKEBUN</v>
      </c>
      <c r="T2047" s="16" t="str">
        <f>IFERROR(__xludf.DUMMYFUNCTION("""COMPUTED_VALUE"""),"SAKIT DARI PUNGGUNG SAMPAI LUTUT ( SARAF KEJEPIT ),")</f>
        <v>SAKIT DARI PUNGGUNG SAMPAI LUTUT ( SARAF KEJEPIT ),</v>
      </c>
      <c r="U2047" s="16" t="str">
        <f>IFERROR(__xludf.DUMMYFUNCTION("""COMPUTED_VALUE"""),"DUDUK NYULAM")</f>
        <v>DUDUK NYULAM</v>
      </c>
      <c r="V2047" s="11" t="str">
        <f>IFERROR(__xludf.DUMMYFUNCTION("""COMPUTED_VALUE"""),"085752962760")</f>
        <v>085752962760</v>
      </c>
      <c r="W2047" s="15"/>
    </row>
    <row r="2048">
      <c r="A2048" s="45"/>
      <c r="B2048" s="9">
        <f>IFERROR(__xludf.DUMMYFUNCTION("""COMPUTED_VALUE"""),45648.83184496527)</f>
        <v>45648.83184</v>
      </c>
      <c r="C2048" s="9"/>
      <c r="D2048" s="10">
        <f>IFERROR(__xludf.DUMMYFUNCTION("""COMPUTED_VALUE"""),45672.0)</f>
        <v>45672</v>
      </c>
      <c r="E2048" s="10" t="str">
        <f>IFERROR(__xludf.DUMMYFUNCTION("""COMPUTED_VALUE"""),"01Jan")</f>
        <v>01Jan</v>
      </c>
      <c r="F2048" s="10" t="str">
        <f>IFERROR(__xludf.DUMMYFUNCTION("""COMPUTED_VALUE"""),"2025")</f>
        <v>2025</v>
      </c>
      <c r="G2048" s="36" t="str">
        <f>IFERROR(__xludf.DUMMYFUNCTION("""COMPUTED_VALUE"""),"FESTI RITA HANDINI")</f>
        <v>FESTI RITA HANDINI</v>
      </c>
      <c r="H2048" s="35" t="str">
        <f>IFERROR(__xludf.DUMMYFUNCTION("""COMPUTED_VALUE"""),"F6425014764")</f>
        <v>F6425014764</v>
      </c>
      <c r="I2048" s="35">
        <f>IFERROR(__xludf.DUMMYFUNCTION("""COMPUTED_VALUE"""),62.0)</f>
        <v>62</v>
      </c>
      <c r="J2048" s="35" t="str">
        <f>IFERROR(__xludf.DUMMYFUNCTION("""COMPUTED_VALUE"""),"&gt; 44 tahun")</f>
        <v>&gt; 44 tahun</v>
      </c>
      <c r="K2048" s="19" t="str">
        <f>IFERROR(__xludf.DUMMYFUNCTION("""COMPUTED_VALUE"""),"17/05/1964")</f>
        <v>17/05/1964</v>
      </c>
      <c r="L2048" s="19" t="str">
        <f>IFERROR(__xludf.DUMMYFUNCTION("""COMPUTED_VALUE"""),"PEREMPUAN")</f>
        <v>PEREMPUAN</v>
      </c>
      <c r="M2048" s="36" t="str">
        <f>IFERROR(__xludf.DUMMYFUNCTION("""COMPUTED_VALUE"""),"JL. DR. SUTONO GG. SARIKATON. KOMP. RADEN SUKRISNO NO.12")</f>
        <v>JL. DR. SUTONO GG. SARIKATON. KOMP. RADEN SUKRISNO NO.12</v>
      </c>
      <c r="N2048" s="36" t="str">
        <f>IFERROR(__xludf.DUMMYFUNCTION("""COMPUTED_VALUE"""),"SEI BANGKONG")</f>
        <v>SEI BANGKONG</v>
      </c>
      <c r="O2048" s="16" t="str">
        <f>IFERROR(__xludf.DUMMYFUNCTION("""COMPUTED_VALUE"""),"PONTIANAK KOTA")</f>
        <v>PONTIANAK KOTA</v>
      </c>
      <c r="P2048" s="16" t="str">
        <f>IFERROR(__xludf.DUMMYFUNCTION("""COMPUTED_VALUE"""),"KOTA PONTIANAK")</f>
        <v>KOTA PONTIANAK</v>
      </c>
      <c r="Q2048" s="16" t="str">
        <f>IFERROR(__xludf.DUMMYFUNCTION("""COMPUTED_VALUE"""),"KALIMANTAN BARAT")</f>
        <v>KALIMANTAN BARAT</v>
      </c>
      <c r="R2048" s="19" t="str">
        <f>IFERROR(__xludf.DUMMYFUNCTION("""COMPUTED_VALUE"""),"ISLAM")</f>
        <v>ISLAM</v>
      </c>
      <c r="S2048" s="36" t="str">
        <f>IFERROR(__xludf.DUMMYFUNCTION("""COMPUTED_VALUE"""),"IBU RUMAH TANGGA")</f>
        <v>IBU RUMAH TANGGA</v>
      </c>
      <c r="T2048" s="16" t="str">
        <f>IFERROR(__xludf.DUMMYFUNCTION("""COMPUTED_VALUE"""),"NYERI PADA PINGGANG DAN SEKITARNYA")</f>
        <v>NYERI PADA PINGGANG DAN SEKITARNYA</v>
      </c>
      <c r="U2048" s="16" t="str">
        <f>IFERROR(__xludf.DUMMYFUNCTION("""COMPUTED_VALUE"""),"KEGIATAN IBU RUMAH TANGGA")</f>
        <v>KEGIATAN IBU RUMAH TANGGA</v>
      </c>
      <c r="V2048" s="11" t="str">
        <f>IFERROR(__xludf.DUMMYFUNCTION("""COMPUTED_VALUE"""),"081254954764")</f>
        <v>081254954764</v>
      </c>
      <c r="W2048" s="15"/>
    </row>
    <row r="2049">
      <c r="A2049" s="45"/>
      <c r="B2049" s="9">
        <f>IFERROR(__xludf.DUMMYFUNCTION("""COMPUTED_VALUE"""),45649.35121763889)</f>
        <v>45649.35122</v>
      </c>
      <c r="C2049" s="9"/>
      <c r="D2049" s="10">
        <f>IFERROR(__xludf.DUMMYFUNCTION("""COMPUTED_VALUE"""),45673.0)</f>
        <v>45673</v>
      </c>
      <c r="E2049" s="10" t="str">
        <f>IFERROR(__xludf.DUMMYFUNCTION("""COMPUTED_VALUE"""),"01Jan")</f>
        <v>01Jan</v>
      </c>
      <c r="F2049" s="10" t="str">
        <f>IFERROR(__xludf.DUMMYFUNCTION("""COMPUTED_VALUE"""),"2025")</f>
        <v>2025</v>
      </c>
      <c r="G2049" s="36" t="str">
        <f>IFERROR(__xludf.DUMMYFUNCTION("""COMPUTED_VALUE"""),"FIDYA")</f>
        <v>FIDYA</v>
      </c>
      <c r="H2049" s="35" t="str">
        <f>IFERROR(__xludf.DUMMYFUNCTION("""COMPUTED_VALUE"""),"F7325011413")</f>
        <v>F7325011413</v>
      </c>
      <c r="I2049" s="35">
        <f>IFERROR(__xludf.DUMMYFUNCTION("""COMPUTED_VALUE"""),52.0)</f>
        <v>52</v>
      </c>
      <c r="J2049" s="35" t="str">
        <f>IFERROR(__xludf.DUMMYFUNCTION("""COMPUTED_VALUE"""),"&gt; 44 tahun")</f>
        <v>&gt; 44 tahun</v>
      </c>
      <c r="K2049" s="19" t="str">
        <f>IFERROR(__xludf.DUMMYFUNCTION("""COMPUTED_VALUE"""),"02/10/1973")</f>
        <v>02/10/1973</v>
      </c>
      <c r="L2049" s="19" t="str">
        <f>IFERROR(__xludf.DUMMYFUNCTION("""COMPUTED_VALUE"""),"PEREMPUAN")</f>
        <v>PEREMPUAN</v>
      </c>
      <c r="M2049" s="36" t="str">
        <f>IFERROR(__xludf.DUMMYFUNCTION("""COMPUTED_VALUE"""),"JALAN DANAU SENTARUM KOMPLEK CENDANA ASRI NO A 21")</f>
        <v>JALAN DANAU SENTARUM KOMPLEK CENDANA ASRI NO A 21</v>
      </c>
      <c r="N2049" s="36" t="str">
        <f>IFERROR(__xludf.DUMMYFUNCTION("""COMPUTED_VALUE"""),"SEI BANGKONG")</f>
        <v>SEI BANGKONG</v>
      </c>
      <c r="O2049" s="16" t="str">
        <f>IFERROR(__xludf.DUMMYFUNCTION("""COMPUTED_VALUE"""),"PONTIANAK KOTA")</f>
        <v>PONTIANAK KOTA</v>
      </c>
      <c r="P2049" s="16" t="str">
        <f>IFERROR(__xludf.DUMMYFUNCTION("""COMPUTED_VALUE"""),"KOTA PONTIANAK")</f>
        <v>KOTA PONTIANAK</v>
      </c>
      <c r="Q2049" s="16" t="str">
        <f>IFERROR(__xludf.DUMMYFUNCTION("""COMPUTED_VALUE"""),"KALIMANTAN BARAT")</f>
        <v>KALIMANTAN BARAT</v>
      </c>
      <c r="R2049" s="19" t="str">
        <f>IFERROR(__xludf.DUMMYFUNCTION("""COMPUTED_VALUE"""),"ISLAM")</f>
        <v>ISLAM</v>
      </c>
      <c r="S2049" s="36" t="str">
        <f>IFERROR(__xludf.DUMMYFUNCTION("""COMPUTED_VALUE"""),"ASN")</f>
        <v>ASN</v>
      </c>
      <c r="T2049" s="16" t="str">
        <f>IFERROR(__xludf.DUMMYFUNCTION("""COMPUTED_VALUE"""),"SAKIT DI PINGGANG")</f>
        <v>SAKIT DI PINGGANG</v>
      </c>
      <c r="U2049" s="16" t="str">
        <f>IFERROR(__xludf.DUMMYFUNCTION("""COMPUTED_VALUE"""),"OLAHRAGA")</f>
        <v>OLAHRAGA</v>
      </c>
      <c r="V2049" s="11" t="str">
        <f>IFERROR(__xludf.DUMMYFUNCTION("""COMPUTED_VALUE"""),"081351341413")</f>
        <v>081351341413</v>
      </c>
      <c r="W2049" s="15"/>
    </row>
    <row r="2050">
      <c r="A2050" s="45"/>
      <c r="B2050" s="9">
        <f>IFERROR(__xludf.DUMMYFUNCTION("""COMPUTED_VALUE"""),45649.3623270949)</f>
        <v>45649.36233</v>
      </c>
      <c r="C2050" s="9"/>
      <c r="D2050" s="10">
        <f>IFERROR(__xludf.DUMMYFUNCTION("""COMPUTED_VALUE"""),45673.0)</f>
        <v>45673</v>
      </c>
      <c r="E2050" s="10" t="str">
        <f>IFERROR(__xludf.DUMMYFUNCTION("""COMPUTED_VALUE"""),"01Jan")</f>
        <v>01Jan</v>
      </c>
      <c r="F2050" s="10" t="str">
        <f>IFERROR(__xludf.DUMMYFUNCTION("""COMPUTED_VALUE"""),"2025")</f>
        <v>2025</v>
      </c>
      <c r="G2050" s="36" t="str">
        <f>IFERROR(__xludf.DUMMYFUNCTION("""COMPUTED_VALUE"""),"BAYU AGIL SAMPURNO")</f>
        <v>BAYU AGIL SAMPURNO</v>
      </c>
      <c r="H2050" s="35" t="str">
        <f>IFERROR(__xludf.DUMMYFUNCTION("""COMPUTED_VALUE"""),"B0525015519")</f>
        <v>B0525015519</v>
      </c>
      <c r="I2050" s="35">
        <f>IFERROR(__xludf.DUMMYFUNCTION("""COMPUTED_VALUE"""),20.0)</f>
        <v>20</v>
      </c>
      <c r="J2050" s="35" t="str">
        <f>IFERROR(__xludf.DUMMYFUNCTION("""COMPUTED_VALUE"""),"18-24 tahun")</f>
        <v>18-24 tahun</v>
      </c>
      <c r="K2050" s="19" t="str">
        <f>IFERROR(__xludf.DUMMYFUNCTION("""COMPUTED_VALUE"""),"07/10/2005")</f>
        <v>07/10/2005</v>
      </c>
      <c r="L2050" s="19" t="str">
        <f>IFERROR(__xludf.DUMMYFUNCTION("""COMPUTED_VALUE"""),"LAKI-LAKI")</f>
        <v>LAKI-LAKI</v>
      </c>
      <c r="M2050" s="36" t="str">
        <f>IFERROR(__xludf.DUMMYFUNCTION("""COMPUTED_VALUE"""),"JL. MASJID AGUNG GG.MERAMUN NO.34")</f>
        <v>JL. MASJID AGUNG GG.MERAMUN NO.34</v>
      </c>
      <c r="N2050" s="36" t="str">
        <f>IFERROR(__xludf.DUMMYFUNCTION("""COMPUTED_VALUE"""),"ILIR KOTA")</f>
        <v>ILIR KOTA</v>
      </c>
      <c r="O2050" s="16" t="str">
        <f>IFERROR(__xludf.DUMMYFUNCTION("""COMPUTED_VALUE"""),"KAPUAS")</f>
        <v>KAPUAS</v>
      </c>
      <c r="P2050" s="16" t="str">
        <f>IFERROR(__xludf.DUMMYFUNCTION("""COMPUTED_VALUE"""),"SANGGAU")</f>
        <v>SANGGAU</v>
      </c>
      <c r="Q2050" s="16" t="str">
        <f>IFERROR(__xludf.DUMMYFUNCTION("""COMPUTED_VALUE"""),"KALIMANTAN BARAT")</f>
        <v>KALIMANTAN BARAT</v>
      </c>
      <c r="R2050" s="19" t="str">
        <f>IFERROR(__xludf.DUMMYFUNCTION("""COMPUTED_VALUE"""),"ISLAM")</f>
        <v>ISLAM</v>
      </c>
      <c r="S2050" s="16" t="str">
        <f>IFERROR(__xludf.DUMMYFUNCTION("""COMPUTED_VALUE"""),"PELAJAR/MAHASISWA")</f>
        <v>PELAJAR/MAHASISWA</v>
      </c>
      <c r="T2050" s="16" t="str">
        <f>IFERROR(__xludf.DUMMYFUNCTION("""COMPUTED_VALUE"""),"SAKIT DI AREA ENGKEL (KAKI BAGIAN KANAN)")</f>
        <v>SAKIT DI AREA ENGKEL (KAKI BAGIAN KANAN)</v>
      </c>
      <c r="U2050" s="16" t="str">
        <f>IFERROR(__xludf.DUMMYFUNCTION("""COMPUTED_VALUE"""),"LARI DAN GYM")</f>
        <v>LARI DAN GYM</v>
      </c>
      <c r="V2050" s="11" t="str">
        <f>IFERROR(__xludf.DUMMYFUNCTION("""COMPUTED_VALUE"""),"089669435519")</f>
        <v>089669435519</v>
      </c>
      <c r="W2050" s="15"/>
    </row>
    <row r="2051">
      <c r="A2051" s="45"/>
      <c r="B2051" s="9">
        <f>IFERROR(__xludf.DUMMYFUNCTION("""COMPUTED_VALUE"""),45650.717574560185)</f>
        <v>45650.71757</v>
      </c>
      <c r="C2051" s="9"/>
      <c r="D2051" s="10">
        <f>IFERROR(__xludf.DUMMYFUNCTION("""COMPUTED_VALUE"""),45673.0)</f>
        <v>45673</v>
      </c>
      <c r="E2051" s="10" t="str">
        <f>IFERROR(__xludf.DUMMYFUNCTION("""COMPUTED_VALUE"""),"01Jan")</f>
        <v>01Jan</v>
      </c>
      <c r="F2051" s="10" t="str">
        <f>IFERROR(__xludf.DUMMYFUNCTION("""COMPUTED_VALUE"""),"2025")</f>
        <v>2025</v>
      </c>
      <c r="G2051" s="36" t="str">
        <f>IFERROR(__xludf.DUMMYFUNCTION("""COMPUTED_VALUE"""),"HENGKY HERAWAN")</f>
        <v>HENGKY HERAWAN</v>
      </c>
      <c r="H2051" s="35" t="str">
        <f>IFERROR(__xludf.DUMMYFUNCTION("""COMPUTED_VALUE"""),"H7325013959")</f>
        <v>H7325013959</v>
      </c>
      <c r="I2051" s="35">
        <f>IFERROR(__xludf.DUMMYFUNCTION("""COMPUTED_VALUE"""),52.0)</f>
        <v>52</v>
      </c>
      <c r="J2051" s="35" t="str">
        <f>IFERROR(__xludf.DUMMYFUNCTION("""COMPUTED_VALUE"""),"&gt; 44 tahun")</f>
        <v>&gt; 44 tahun</v>
      </c>
      <c r="K2051" s="19" t="str">
        <f>IFERROR(__xludf.DUMMYFUNCTION("""COMPUTED_VALUE"""),"17/12/1973")</f>
        <v>17/12/1973</v>
      </c>
      <c r="L2051" s="19" t="str">
        <f>IFERROR(__xludf.DUMMYFUNCTION("""COMPUTED_VALUE"""),"LAKI-LAKI")</f>
        <v>LAKI-LAKI</v>
      </c>
      <c r="M2051" s="36"/>
      <c r="N2051" s="16" t="str">
        <f>IFERROR(__xludf.DUMMYFUNCTION("""COMPUTED_VALUE"""),"NANGA ELLA HILIR")</f>
        <v>NANGA ELLA HILIR</v>
      </c>
      <c r="O2051" s="16" t="str">
        <f>IFERROR(__xludf.DUMMYFUNCTION("""COMPUTED_VALUE"""),"ELLA HILIR")</f>
        <v>ELLA HILIR</v>
      </c>
      <c r="P2051" s="16" t="str">
        <f>IFERROR(__xludf.DUMMYFUNCTION("""COMPUTED_VALUE"""),"MELAWI")</f>
        <v>MELAWI</v>
      </c>
      <c r="Q2051" s="16" t="str">
        <f>IFERROR(__xludf.DUMMYFUNCTION("""COMPUTED_VALUE"""),"KALIMANTAN BARAT")</f>
        <v>KALIMANTAN BARAT</v>
      </c>
      <c r="R2051" s="19" t="str">
        <f>IFERROR(__xludf.DUMMYFUNCTION("""COMPUTED_VALUE"""),"ISLAM")</f>
        <v>ISLAM</v>
      </c>
      <c r="S2051" s="36" t="str">
        <f>IFERROR(__xludf.DUMMYFUNCTION("""COMPUTED_VALUE"""),"SWASTA")</f>
        <v>SWASTA</v>
      </c>
      <c r="T2051" s="16" t="str">
        <f>IFERROR(__xludf.DUMMYFUNCTION("""COMPUTED_VALUE"""),"SYARAF TERJEPIT BAGIAN LEHER")</f>
        <v>SYARAF TERJEPIT BAGIAN LEHER</v>
      </c>
      <c r="U2051" s="16" t="str">
        <f>IFERROR(__xludf.DUMMYFUNCTION("""COMPUTED_VALUE"""),"PENGEMUDI MOTOR KAPAL")</f>
        <v>PENGEMUDI MOTOR KAPAL</v>
      </c>
      <c r="V2051" s="11" t="str">
        <f>IFERROR(__xludf.DUMMYFUNCTION("""COMPUTED_VALUE"""),"082256623959")</f>
        <v>082256623959</v>
      </c>
      <c r="W2051" s="15"/>
    </row>
    <row r="2052">
      <c r="A2052" s="45"/>
      <c r="B2052" s="9">
        <f>IFERROR(__xludf.DUMMYFUNCTION("""COMPUTED_VALUE"""),45652.571676273146)</f>
        <v>45652.57168</v>
      </c>
      <c r="C2052" s="9"/>
      <c r="D2052" s="10">
        <f>IFERROR(__xludf.DUMMYFUNCTION("""COMPUTED_VALUE"""),45674.0)</f>
        <v>45674</v>
      </c>
      <c r="E2052" s="10" t="str">
        <f>IFERROR(__xludf.DUMMYFUNCTION("""COMPUTED_VALUE"""),"01Jan")</f>
        <v>01Jan</v>
      </c>
      <c r="F2052" s="10" t="str">
        <f>IFERROR(__xludf.DUMMYFUNCTION("""COMPUTED_VALUE"""),"2025")</f>
        <v>2025</v>
      </c>
      <c r="G2052" s="36" t="str">
        <f>IFERROR(__xludf.DUMMYFUNCTION("""COMPUTED_VALUE"""),"MUHAMAD FIRDAUS")</f>
        <v>MUHAMAD FIRDAUS</v>
      </c>
      <c r="H2052" s="35" t="str">
        <f>IFERROR(__xludf.DUMMYFUNCTION("""COMPUTED_VALUE"""),"M8125018018")</f>
        <v>M8125018018</v>
      </c>
      <c r="I2052" s="35">
        <f>IFERROR(__xludf.DUMMYFUNCTION("""COMPUTED_VALUE"""),44.0)</f>
        <v>44</v>
      </c>
      <c r="J2052" s="35" t="str">
        <f>IFERROR(__xludf.DUMMYFUNCTION("""COMPUTED_VALUE"""),"35-44 tahun")</f>
        <v>35-44 tahun</v>
      </c>
      <c r="K2052" s="19" t="str">
        <f>IFERROR(__xludf.DUMMYFUNCTION("""COMPUTED_VALUE"""),"14/11/1981")</f>
        <v>14/11/1981</v>
      </c>
      <c r="L2052" s="19" t="str">
        <f>IFERROR(__xludf.DUMMYFUNCTION("""COMPUTED_VALUE"""),"LAKI-LAKI")</f>
        <v>LAKI-LAKI</v>
      </c>
      <c r="M2052" s="36" t="str">
        <f>IFERROR(__xludf.DUMMYFUNCTION("""COMPUTED_VALUE"""),"JL. HUSEIN HAMZAH KOMPLEKS BUMI INDAH AGRO NO12A.")</f>
        <v>JL. HUSEIN HAMZAH KOMPLEKS BUMI INDAH AGRO NO12A.</v>
      </c>
      <c r="N2052" s="36" t="str">
        <f>IFERROR(__xludf.DUMMYFUNCTION("""COMPUTED_VALUE"""),"PAL LIMA")</f>
        <v>PAL LIMA</v>
      </c>
      <c r="O2052" s="16" t="str">
        <f>IFERROR(__xludf.DUMMYFUNCTION("""COMPUTED_VALUE"""),"PONTIANAK BARAT")</f>
        <v>PONTIANAK BARAT</v>
      </c>
      <c r="P2052" s="16" t="str">
        <f>IFERROR(__xludf.DUMMYFUNCTION("""COMPUTED_VALUE"""),"KOTA PONTIANAK")</f>
        <v>KOTA PONTIANAK</v>
      </c>
      <c r="Q2052" s="16" t="str">
        <f>IFERROR(__xludf.DUMMYFUNCTION("""COMPUTED_VALUE"""),"KALIMANTAN BARAT")</f>
        <v>KALIMANTAN BARAT</v>
      </c>
      <c r="R2052" s="19" t="str">
        <f>IFERROR(__xludf.DUMMYFUNCTION("""COMPUTED_VALUE"""),"ISLAM")</f>
        <v>ISLAM</v>
      </c>
      <c r="S2052" s="36" t="str">
        <f>IFERROR(__xludf.DUMMYFUNCTION("""COMPUTED_VALUE"""),"DOSEN")</f>
        <v>DOSEN</v>
      </c>
      <c r="T2052" s="16" t="str">
        <f>IFERROR(__xludf.DUMMYFUNCTION("""COMPUTED_VALUE"""),"NGILU, KESEMUTAN PADA PERSENDIAN PADA TANGAN KANAN DAN KIRI")</f>
        <v>NGILU, KESEMUTAN PADA PERSENDIAN PADA TANGAN KANAN DAN KIRI</v>
      </c>
      <c r="U2052" s="16" t="str">
        <f>IFERROR(__xludf.DUMMYFUNCTION("""COMPUTED_VALUE"""),"TIDAK ADA")</f>
        <v>TIDAK ADA</v>
      </c>
      <c r="V2052" s="11" t="str">
        <f>IFERROR(__xludf.DUMMYFUNCTION("""COMPUTED_VALUE"""),"082256878018")</f>
        <v>082256878018</v>
      </c>
      <c r="W2052" s="15"/>
    </row>
    <row r="2053">
      <c r="A2053" s="45"/>
      <c r="B2053" s="9">
        <f>IFERROR(__xludf.DUMMYFUNCTION("""COMPUTED_VALUE"""),45652.36932627315)</f>
        <v>45652.36933</v>
      </c>
      <c r="C2053" s="9"/>
      <c r="D2053" s="10">
        <f>IFERROR(__xludf.DUMMYFUNCTION("""COMPUTED_VALUE"""),45674.0)</f>
        <v>45674</v>
      </c>
      <c r="E2053" s="10" t="str">
        <f>IFERROR(__xludf.DUMMYFUNCTION("""COMPUTED_VALUE"""),"01Jan")</f>
        <v>01Jan</v>
      </c>
      <c r="F2053" s="10" t="str">
        <f>IFERROR(__xludf.DUMMYFUNCTION("""COMPUTED_VALUE"""),"2025")</f>
        <v>2025</v>
      </c>
      <c r="G2053" s="36" t="str">
        <f>IFERROR(__xludf.DUMMYFUNCTION("""COMPUTED_VALUE"""),"CHANG SIN KOR")</f>
        <v>CHANG SIN KOR</v>
      </c>
      <c r="H2053" s="35" t="str">
        <f>IFERROR(__xludf.DUMMYFUNCTION("""COMPUTED_VALUE"""),"C9025010990")</f>
        <v>C9025010990</v>
      </c>
      <c r="I2053" s="35">
        <f>IFERROR(__xludf.DUMMYFUNCTION("""COMPUTED_VALUE"""),35.0)</f>
        <v>35</v>
      </c>
      <c r="J2053" s="35" t="str">
        <f>IFERROR(__xludf.DUMMYFUNCTION("""COMPUTED_VALUE"""),"35-44 tahun")</f>
        <v>35-44 tahun</v>
      </c>
      <c r="K2053" s="19" t="str">
        <f>IFERROR(__xludf.DUMMYFUNCTION("""COMPUTED_VALUE"""),"18/12/1990")</f>
        <v>18/12/1990</v>
      </c>
      <c r="L2053" s="19" t="str">
        <f>IFERROR(__xludf.DUMMYFUNCTION("""COMPUTED_VALUE"""),"LAKI-LAKI")</f>
        <v>LAKI-LAKI</v>
      </c>
      <c r="M2053" s="36" t="str">
        <f>IFERROR(__xludf.DUMMYFUNCTION("""COMPUTED_VALUE"""),"JL. ADOSUCIPTO")</f>
        <v>JL. ADOSUCIPTO</v>
      </c>
      <c r="N2053" s="36" t="str">
        <f>IFERROR(__xludf.DUMMYFUNCTION("""COMPUTED_VALUE"""),"SUNGAI RAYA")</f>
        <v>SUNGAI RAYA</v>
      </c>
      <c r="O2053" s="16" t="str">
        <f>IFERROR(__xludf.DUMMYFUNCTION("""COMPUTED_VALUE"""),"KUBU RAYA")</f>
        <v>KUBU RAYA</v>
      </c>
      <c r="P2053" s="16" t="str">
        <f>IFERROR(__xludf.DUMMYFUNCTION("""COMPUTED_VALUE"""),"KUBU RAYA")</f>
        <v>KUBU RAYA</v>
      </c>
      <c r="Q2053" s="16" t="str">
        <f>IFERROR(__xludf.DUMMYFUNCTION("""COMPUTED_VALUE"""),"KALIMANTAN BARAT")</f>
        <v>KALIMANTAN BARAT</v>
      </c>
      <c r="R2053" s="19" t="str">
        <f>IFERROR(__xludf.DUMMYFUNCTION("""COMPUTED_VALUE"""),"PROTESTAN")</f>
        <v>PROTESTAN</v>
      </c>
      <c r="S2053" s="16" t="str">
        <f>IFERROR(__xludf.DUMMYFUNCTION("""COMPUTED_VALUE"""),"SWASTA")</f>
        <v>SWASTA</v>
      </c>
      <c r="T2053" s="16" t="str">
        <f>IFERROR(__xludf.DUMMYFUNCTION("""COMPUTED_VALUE"""),"DISLOKASI SIKU TANGAN")</f>
        <v>DISLOKASI SIKU TANGAN</v>
      </c>
      <c r="U2053" s="16" t="str">
        <f>IFERROR(__xludf.DUMMYFUNCTION("""COMPUTED_VALUE"""),"MINI SOCCER/FUTSAL")</f>
        <v>MINI SOCCER/FUTSAL</v>
      </c>
      <c r="V2053" s="11" t="str">
        <f>IFERROR(__xludf.DUMMYFUNCTION("""COMPUTED_VALUE"""),"089631780990")</f>
        <v>089631780990</v>
      </c>
      <c r="W2053" s="15"/>
    </row>
    <row r="2054">
      <c r="A2054" s="45"/>
      <c r="B2054" s="9">
        <f>IFERROR(__xludf.DUMMYFUNCTION("""COMPUTED_VALUE"""),45659.50727587963)</f>
        <v>45659.50728</v>
      </c>
      <c r="C2054" s="9"/>
      <c r="D2054" s="10">
        <f>IFERROR(__xludf.DUMMYFUNCTION("""COMPUTED_VALUE"""),45674.0)</f>
        <v>45674</v>
      </c>
      <c r="E2054" s="10" t="str">
        <f>IFERROR(__xludf.DUMMYFUNCTION("""COMPUTED_VALUE"""),"01Jan")</f>
        <v>01Jan</v>
      </c>
      <c r="F2054" s="10" t="str">
        <f>IFERROR(__xludf.DUMMYFUNCTION("""COMPUTED_VALUE"""),"2025")</f>
        <v>2025</v>
      </c>
      <c r="G2054" s="36" t="str">
        <f>IFERROR(__xludf.DUMMYFUNCTION("""COMPUTED_VALUE"""),"MUHAMMAD FIKAR KHADAFI")</f>
        <v>MUHAMMAD FIKAR KHADAFI</v>
      </c>
      <c r="H2054" s="35" t="str">
        <f>IFERROR(__xludf.DUMMYFUNCTION("""COMPUTED_VALUE"""),"M0125019008")</f>
        <v>M0125019008</v>
      </c>
      <c r="I2054" s="35">
        <f>IFERROR(__xludf.DUMMYFUNCTION("""COMPUTED_VALUE"""),25.0)</f>
        <v>25</v>
      </c>
      <c r="J2054" s="35" t="str">
        <f>IFERROR(__xludf.DUMMYFUNCTION("""COMPUTED_VALUE"""),"25-34 tahun")</f>
        <v>25-34 tahun</v>
      </c>
      <c r="K2054" s="19" t="str">
        <f>IFERROR(__xludf.DUMMYFUNCTION("""COMPUTED_VALUE"""),"19/04/2001")</f>
        <v>19/04/2001</v>
      </c>
      <c r="L2054" s="19" t="str">
        <f>IFERROR(__xludf.DUMMYFUNCTION("""COMPUTED_VALUE"""),"LAKI-LAKI")</f>
        <v>LAKI-LAKI</v>
      </c>
      <c r="M2054" s="36" t="str">
        <f>IFERROR(__xludf.DUMMYFUNCTION("""COMPUTED_VALUE"""),"JL. SUNGAI RAYA DALAM KOMP. CENDANA RAYA A6")</f>
        <v>JL. SUNGAI RAYA DALAM KOMP. CENDANA RAYA A6</v>
      </c>
      <c r="N2054" s="36" t="str">
        <f>IFERROR(__xludf.DUMMYFUNCTION("""COMPUTED_VALUE"""),"SUNGAI RAYA DALAM")</f>
        <v>SUNGAI RAYA DALAM</v>
      </c>
      <c r="O2054" s="16" t="str">
        <f>IFERROR(__xludf.DUMMYFUNCTION("""COMPUTED_VALUE"""),"SUNGAI RAYA")</f>
        <v>SUNGAI RAYA</v>
      </c>
      <c r="P2054" s="16" t="str">
        <f>IFERROR(__xludf.DUMMYFUNCTION("""COMPUTED_VALUE"""),"KUBU RAYA")</f>
        <v>KUBU RAYA</v>
      </c>
      <c r="Q2054" s="16" t="str">
        <f>IFERROR(__xludf.DUMMYFUNCTION("""COMPUTED_VALUE"""),"KALIMANTAN BARAT")</f>
        <v>KALIMANTAN BARAT</v>
      </c>
      <c r="R2054" s="19" t="str">
        <f>IFERROR(__xludf.DUMMYFUNCTION("""COMPUTED_VALUE"""),"ISLAM")</f>
        <v>ISLAM</v>
      </c>
      <c r="S2054" s="16" t="str">
        <f>IFERROR(__xludf.DUMMYFUNCTION("""COMPUTED_VALUE"""),"WIRASWASTA")</f>
        <v>WIRASWASTA</v>
      </c>
      <c r="T2054" s="16" t="str">
        <f>IFERROR(__xludf.DUMMYFUNCTION("""COMPUTED_VALUE"""),"JARI TANGAN BENGKAK DAN TANGAN")</f>
        <v>JARI TANGAN BENGKAK DAN TANGAN</v>
      </c>
      <c r="U2054" s="16" t="str">
        <f>IFERROR(__xludf.DUMMYFUNCTION("""COMPUTED_VALUE"""),"MINI SOCCER DAN TENNIS")</f>
        <v>MINI SOCCER DAN TENNIS</v>
      </c>
      <c r="V2054" s="11" t="str">
        <f>IFERROR(__xludf.DUMMYFUNCTION("""COMPUTED_VALUE"""),"082154459008")</f>
        <v>082154459008</v>
      </c>
      <c r="W2054" s="15"/>
    </row>
    <row r="2055">
      <c r="A2055" s="45"/>
      <c r="B2055" s="9">
        <f>IFERROR(__xludf.DUMMYFUNCTION("""COMPUTED_VALUE"""),45659.515868483795)</f>
        <v>45659.51587</v>
      </c>
      <c r="C2055" s="9"/>
      <c r="D2055" s="10">
        <f>IFERROR(__xludf.DUMMYFUNCTION("""COMPUTED_VALUE"""),45674.0)</f>
        <v>45674</v>
      </c>
      <c r="E2055" s="10" t="str">
        <f>IFERROR(__xludf.DUMMYFUNCTION("""COMPUTED_VALUE"""),"01Jan")</f>
        <v>01Jan</v>
      </c>
      <c r="F2055" s="10" t="str">
        <f>IFERROR(__xludf.DUMMYFUNCTION("""COMPUTED_VALUE"""),"2025")</f>
        <v>2025</v>
      </c>
      <c r="G2055" s="36" t="str">
        <f>IFERROR(__xludf.DUMMYFUNCTION("""COMPUTED_VALUE"""),"KRESNA K")</f>
        <v>KRESNA K</v>
      </c>
      <c r="H2055" s="35" t="str">
        <f>IFERROR(__xludf.DUMMYFUNCTION("""COMPUTED_VALUE"""),"K9525013702")</f>
        <v>K9525013702</v>
      </c>
      <c r="I2055" s="35">
        <f>IFERROR(__xludf.DUMMYFUNCTION("""COMPUTED_VALUE"""),31.0)</f>
        <v>31</v>
      </c>
      <c r="J2055" s="35" t="str">
        <f>IFERROR(__xludf.DUMMYFUNCTION("""COMPUTED_VALUE"""),"25-34 tahun")</f>
        <v>25-34 tahun</v>
      </c>
      <c r="K2055" s="19" t="str">
        <f>IFERROR(__xludf.DUMMYFUNCTION("""COMPUTED_VALUE"""),"03/05/1995")</f>
        <v>03/05/1995</v>
      </c>
      <c r="L2055" s="19" t="str">
        <f>IFERROR(__xludf.DUMMYFUNCTION("""COMPUTED_VALUE"""),"LAKI-LAKI")</f>
        <v>LAKI-LAKI</v>
      </c>
      <c r="M2055" s="36" t="str">
        <f>IFERROR(__xludf.DUMMYFUNCTION("""COMPUTED_VALUE"""),"KARYA BARU")</f>
        <v>KARYA BARU</v>
      </c>
      <c r="N2055" s="36" t="str">
        <f>IFERROR(__xludf.DUMMYFUNCTION("""COMPUTED_VALUE"""),"PARIT TOKAYA")</f>
        <v>PARIT TOKAYA</v>
      </c>
      <c r="O2055" s="36" t="str">
        <f>IFERROR(__xludf.DUMMYFUNCTION("""COMPUTED_VALUE"""),"PONTIANAK SELATAN")</f>
        <v>PONTIANAK SELATAN</v>
      </c>
      <c r="P2055" s="16" t="str">
        <f>IFERROR(__xludf.DUMMYFUNCTION("""COMPUTED_VALUE"""),"KOTA PONTIANAK")</f>
        <v>KOTA PONTIANAK</v>
      </c>
      <c r="Q2055" s="16" t="str">
        <f>IFERROR(__xludf.DUMMYFUNCTION("""COMPUTED_VALUE"""),"KALIMANTAN BARAT")</f>
        <v>KALIMANTAN BARAT</v>
      </c>
      <c r="R2055" s="19" t="str">
        <f>IFERROR(__xludf.DUMMYFUNCTION("""COMPUTED_VALUE"""),"KATOLIK")</f>
        <v>KATOLIK</v>
      </c>
      <c r="S2055" s="36" t="str">
        <f>IFERROR(__xludf.DUMMYFUNCTION("""COMPUTED_VALUE"""),"SWASTA")</f>
        <v>SWASTA</v>
      </c>
      <c r="T2055" s="16" t="str">
        <f>IFERROR(__xludf.DUMMYFUNCTION("""COMPUTED_VALUE"""),"SENDI LUTUT KAKI KIRI TIDAK NYAMAN/NYERI")</f>
        <v>SENDI LUTUT KAKI KIRI TIDAK NYAMAN/NYERI</v>
      </c>
      <c r="U2055" s="16" t="str">
        <f>IFERROR(__xludf.DUMMYFUNCTION("""COMPUTED_VALUE"""),"LARI/TENIS")</f>
        <v>LARI/TENIS</v>
      </c>
      <c r="V2055" s="11" t="str">
        <f>IFERROR(__xludf.DUMMYFUNCTION("""COMPUTED_VALUE"""),"08123413702")</f>
        <v>08123413702</v>
      </c>
      <c r="W2055" s="15"/>
    </row>
    <row r="2056">
      <c r="A2056" s="45"/>
      <c r="B2056" s="9">
        <f>IFERROR(__xludf.DUMMYFUNCTION("""COMPUTED_VALUE"""),45659.60465126157)</f>
        <v>45659.60465</v>
      </c>
      <c r="C2056" s="9"/>
      <c r="D2056" s="10">
        <f>IFERROR(__xludf.DUMMYFUNCTION("""COMPUTED_VALUE"""),45675.0)</f>
        <v>45675</v>
      </c>
      <c r="E2056" s="10" t="str">
        <f>IFERROR(__xludf.DUMMYFUNCTION("""COMPUTED_VALUE"""),"01Jan")</f>
        <v>01Jan</v>
      </c>
      <c r="F2056" s="10" t="str">
        <f>IFERROR(__xludf.DUMMYFUNCTION("""COMPUTED_VALUE"""),"2025")</f>
        <v>2025</v>
      </c>
      <c r="G2056" s="36" t="str">
        <f>IFERROR(__xludf.DUMMYFUNCTION("""COMPUTED_VALUE"""),"H. SITORUS")</f>
        <v>H. SITORUS</v>
      </c>
      <c r="H2056" s="35" t="str">
        <f>IFERROR(__xludf.DUMMYFUNCTION("""COMPUTED_VALUE"""),"H3825015858")</f>
        <v>H3825015858</v>
      </c>
      <c r="I2056" s="35">
        <f>IFERROR(__xludf.DUMMYFUNCTION("""COMPUTED_VALUE"""),87.0)</f>
        <v>87</v>
      </c>
      <c r="J2056" s="35" t="str">
        <f>IFERROR(__xludf.DUMMYFUNCTION("""COMPUTED_VALUE"""),"&gt; 44 tahun")</f>
        <v>&gt; 44 tahun</v>
      </c>
      <c r="K2056" s="19" t="str">
        <f>IFERROR(__xludf.DUMMYFUNCTION("""COMPUTED_VALUE"""),"21/10/1938")</f>
        <v>21/10/1938</v>
      </c>
      <c r="L2056" s="19" t="str">
        <f>IFERROR(__xludf.DUMMYFUNCTION("""COMPUTED_VALUE"""),"PEREMPUAN")</f>
        <v>PEREMPUAN</v>
      </c>
      <c r="M2056" s="36" t="str">
        <f>IFERROR(__xludf.DUMMYFUNCTION("""COMPUTED_VALUE"""),"JL. ST. ABDURAHMAN GG. SUKAMULYA NO.5")</f>
        <v>JL. ST. ABDURAHMAN GG. SUKAMULYA NO.5</v>
      </c>
      <c r="N2056" s="36" t="str">
        <f>IFERROR(__xludf.DUMMYFUNCTION("""COMPUTED_VALUE"""),"SEI BANGKONG")</f>
        <v>SEI BANGKONG</v>
      </c>
      <c r="O2056" s="16" t="str">
        <f>IFERROR(__xludf.DUMMYFUNCTION("""COMPUTED_VALUE"""),"PONTIANAK KOTA")</f>
        <v>PONTIANAK KOTA</v>
      </c>
      <c r="P2056" s="16" t="str">
        <f>IFERROR(__xludf.DUMMYFUNCTION("""COMPUTED_VALUE"""),"PONTIANAK")</f>
        <v>PONTIANAK</v>
      </c>
      <c r="Q2056" s="16" t="str">
        <f>IFERROR(__xludf.DUMMYFUNCTION("""COMPUTED_VALUE"""),"KALIMANTAN BARAT")</f>
        <v>KALIMANTAN BARAT</v>
      </c>
      <c r="R2056" s="19" t="str">
        <f>IFERROR(__xludf.DUMMYFUNCTION("""COMPUTED_VALUE"""),"PROTESTAN")</f>
        <v>PROTESTAN</v>
      </c>
      <c r="S2056" s="36" t="str">
        <f>IFERROR(__xludf.DUMMYFUNCTION("""COMPUTED_VALUE"""),"TIDAK BEKERJA")</f>
        <v>TIDAK BEKERJA</v>
      </c>
      <c r="T2056" s="16" t="str">
        <f>IFERROR(__xludf.DUMMYFUNCTION("""COMPUTED_VALUE"""),"PINGGANG SAKIT, BOKONGNYA TEGANG JADI JALAN AGAK SUSAH")</f>
        <v>PINGGANG SAKIT, BOKONGNYA TEGANG JADI JALAN AGAK SUSAH</v>
      </c>
      <c r="U2056" s="16" t="str">
        <f>IFERROR(__xludf.DUMMYFUNCTION("""COMPUTED_VALUE"""),"CUCI PIRING DUDUK DI LANTAI")</f>
        <v>CUCI PIRING DUDUK DI LANTAI</v>
      </c>
      <c r="V2056" s="11" t="str">
        <f>IFERROR(__xludf.DUMMYFUNCTION("""COMPUTED_VALUE"""),"085754905858")</f>
        <v>085754905858</v>
      </c>
      <c r="W2056" s="15"/>
    </row>
    <row r="2057">
      <c r="A2057" s="46"/>
      <c r="B2057" s="9">
        <f>IFERROR(__xludf.DUMMYFUNCTION("""COMPUTED_VALUE"""),45659.89009883102)</f>
        <v>45659.8901</v>
      </c>
      <c r="C2057" s="9"/>
      <c r="D2057" s="10">
        <f>IFERROR(__xludf.DUMMYFUNCTION("""COMPUTED_VALUE"""),45686.0)</f>
        <v>45686</v>
      </c>
      <c r="E2057" s="10" t="str">
        <f>IFERROR(__xludf.DUMMYFUNCTION("""COMPUTED_VALUE"""),"01Jan")</f>
        <v>01Jan</v>
      </c>
      <c r="F2057" s="10" t="str">
        <f>IFERROR(__xludf.DUMMYFUNCTION("""COMPUTED_VALUE"""),"2025")</f>
        <v>2025</v>
      </c>
      <c r="G2057" s="36" t="str">
        <f>IFERROR(__xludf.DUMMYFUNCTION("""COMPUTED_VALUE"""),"LENA8403")</f>
        <v>LENA8403</v>
      </c>
      <c r="H2057" s="35" t="str">
        <f>IFERROR(__xludf.DUMMYFUNCTION("""COMPUTED_VALUE"""),"L8425016424")</f>
        <v>L8425016424</v>
      </c>
      <c r="I2057" s="35">
        <f>IFERROR(__xludf.DUMMYFUNCTION("""COMPUTED_VALUE"""),42.0)</f>
        <v>42</v>
      </c>
      <c r="J2057" s="35" t="str">
        <f>IFERROR(__xludf.DUMMYFUNCTION("""COMPUTED_VALUE"""),"35-44 tahun")</f>
        <v>35-44 tahun</v>
      </c>
      <c r="K2057" s="19" t="str">
        <f>IFERROR(__xludf.DUMMYFUNCTION("""COMPUTED_VALUE"""),"24/03/1984")</f>
        <v>24/03/1984</v>
      </c>
      <c r="L2057" s="19" t="str">
        <f>IFERROR(__xludf.DUMMYFUNCTION("""COMPUTED_VALUE"""),"PEREMPUAN")</f>
        <v>PEREMPUAN</v>
      </c>
      <c r="M2057" s="36" t="str">
        <f>IFERROR(__xludf.DUMMYFUNCTION("""COMPUTED_VALUE"""),"NANGA MAU")</f>
        <v>NANGA MAU</v>
      </c>
      <c r="N2057" s="16" t="str">
        <f>IFERROR(__xludf.DUMMYFUNCTION("""COMPUTED_VALUE"""),"DESA MEKAR MANDIRI")</f>
        <v>DESA MEKAR MANDIRI</v>
      </c>
      <c r="O2057" s="16" t="str">
        <f>IFERROR(__xludf.DUMMYFUNCTION("""COMPUTED_VALUE"""),"KAYAN HILIR")</f>
        <v>KAYAN HILIR</v>
      </c>
      <c r="P2057" s="16" t="str">
        <f>IFERROR(__xludf.DUMMYFUNCTION("""COMPUTED_VALUE"""),"KAB.SINTANG")</f>
        <v>KAB.SINTANG</v>
      </c>
      <c r="Q2057" s="16" t="str">
        <f>IFERROR(__xludf.DUMMYFUNCTION("""COMPUTED_VALUE"""),"KALIMANTAN BARAT")</f>
        <v>KALIMANTAN BARAT</v>
      </c>
      <c r="R2057" s="19" t="str">
        <f>IFERROR(__xludf.DUMMYFUNCTION("""COMPUTED_VALUE"""),"PROTESTAN")</f>
        <v>PROTESTAN</v>
      </c>
      <c r="S2057" s="16" t="str">
        <f>IFERROR(__xludf.DUMMYFUNCTION("""COMPUTED_VALUE"""),"RUMAH TANGGA")</f>
        <v>RUMAH TANGGA</v>
      </c>
      <c r="T2057" s="16" t="str">
        <f>IFERROR(__xludf.DUMMYFUNCTION("""COMPUTED_VALUE"""),"KESELEO PERGELANGAN KAKI")</f>
        <v>KESELEO PERGELANGAN KAKI</v>
      </c>
      <c r="U2057" s="16" t="str">
        <f>IFERROR(__xludf.DUMMYFUNCTION("""COMPUTED_VALUE"""),"JOGGING")</f>
        <v>JOGGING</v>
      </c>
      <c r="V2057" s="11" t="str">
        <f>IFERROR(__xludf.DUMMYFUNCTION("""COMPUTED_VALUE"""),"081352666424")</f>
        <v>081352666424</v>
      </c>
      <c r="W2057" s="15"/>
    </row>
    <row r="2058">
      <c r="A2058" s="45"/>
      <c r="B2058" s="9">
        <f>IFERROR(__xludf.DUMMYFUNCTION("""COMPUTED_VALUE"""),45660.450132557875)</f>
        <v>45660.45013</v>
      </c>
      <c r="C2058" s="9"/>
      <c r="D2058" s="10">
        <f>IFERROR(__xludf.DUMMYFUNCTION("""COMPUTED_VALUE"""),45687.0)</f>
        <v>45687</v>
      </c>
      <c r="E2058" s="10" t="str">
        <f>IFERROR(__xludf.DUMMYFUNCTION("""COMPUTED_VALUE"""),"01Jan")</f>
        <v>01Jan</v>
      </c>
      <c r="F2058" s="10" t="str">
        <f>IFERROR(__xludf.DUMMYFUNCTION("""COMPUTED_VALUE"""),"2025")</f>
        <v>2025</v>
      </c>
      <c r="G2058" s="36" t="str">
        <f>IFERROR(__xludf.DUMMYFUNCTION("""COMPUTED_VALUE"""),"KARJANA")</f>
        <v>KARJANA</v>
      </c>
      <c r="H2058" s="35" t="str">
        <f>IFERROR(__xludf.DUMMYFUNCTION("""COMPUTED_VALUE"""),"K6225014184")</f>
        <v>K6225014184</v>
      </c>
      <c r="I2058" s="35">
        <f>IFERROR(__xludf.DUMMYFUNCTION("""COMPUTED_VALUE"""),63.0)</f>
        <v>63</v>
      </c>
      <c r="J2058" s="35" t="str">
        <f>IFERROR(__xludf.DUMMYFUNCTION("""COMPUTED_VALUE"""),"&gt; 44 tahun")</f>
        <v>&gt; 44 tahun</v>
      </c>
      <c r="K2058" s="19" t="str">
        <f>IFERROR(__xludf.DUMMYFUNCTION("""COMPUTED_VALUE"""),"28/09/1962")</f>
        <v>28/09/1962</v>
      </c>
      <c r="L2058" s="19" t="str">
        <f>IFERROR(__xludf.DUMMYFUNCTION("""COMPUTED_VALUE"""),"LAKI-LAKI")</f>
        <v>LAKI-LAKI</v>
      </c>
      <c r="M2058" s="36" t="str">
        <f>IFERROR(__xludf.DUMMYFUNCTION("""COMPUTED_VALUE"""),"JL. DR. WAHIDIN. S. KOMPLEK MITRA RAYA LESTARI 5 D4 RT. 001/ 034")</f>
        <v>JL. DR. WAHIDIN. S. KOMPLEK MITRA RAYA LESTARI 5 D4 RT. 001/ 034</v>
      </c>
      <c r="N2058" s="16" t="str">
        <f>IFERROR(__xludf.DUMMYFUNCTION("""COMPUTED_VALUE"""),"SUNGAI JAWI")</f>
        <v>SUNGAI JAWI</v>
      </c>
      <c r="O2058" s="16" t="str">
        <f>IFERROR(__xludf.DUMMYFUNCTION("""COMPUTED_VALUE"""),"PONTIANAK KOTA")</f>
        <v>PONTIANAK KOTA</v>
      </c>
      <c r="P2058" s="16" t="str">
        <f>IFERROR(__xludf.DUMMYFUNCTION("""COMPUTED_VALUE"""),"KOTA PONTIANAK")</f>
        <v>KOTA PONTIANAK</v>
      </c>
      <c r="Q2058" s="16" t="str">
        <f>IFERROR(__xludf.DUMMYFUNCTION("""COMPUTED_VALUE"""),"KALIMANTAN BARAT")</f>
        <v>KALIMANTAN BARAT</v>
      </c>
      <c r="R2058" s="19" t="str">
        <f>IFERROR(__xludf.DUMMYFUNCTION("""COMPUTED_VALUE"""),"ISLAM")</f>
        <v>ISLAM</v>
      </c>
      <c r="S2058" s="36" t="str">
        <f>IFERROR(__xludf.DUMMYFUNCTION("""COMPUTED_VALUE"""),"PENSIUN")</f>
        <v>PENSIUN</v>
      </c>
      <c r="T2058" s="16" t="str">
        <f>IFERROR(__xludf.DUMMYFUNCTION("""COMPUTED_VALUE"""),"TANGAN KANAN, IBU JARI DAN JARI- JARINYA APABILA UNTUK PEGANG RAKET SAKITNTUK MEMEGANG SESUATU, BERKONTRAKSI, DIGERAKKAN MAKA PADA PERGELANGAN DALAM AKAN TERASA NYERI SEKALI BAHKAN KURANG BERTENAGA. NYERI SEKALI PADA TULANG UJUNG PERGELANGAN. TERASA SENGA"&amp;"L SAMPAI SIKU DAN UJUNG LENGAN")</f>
        <v>TANGAN KANAN, IBU JARI DAN JARI- JARINYA APABILA UNTUK PEGANG RAKET SAKITNTUK MEMEGANG SESUATU, BERKONTRAKSI, DIGERAKKAN MAKA PADA PERGELANGAN DALAM AKAN TERASA NYERI SEKALI BAHKAN KURANG BERTENAGA. NYERI SEKALI PADA TULANG UJUNG PERGELANGAN. TERASA SENGAL SAMPAI SIKU DAN UJUNG LENGAN</v>
      </c>
      <c r="U2058" s="16" t="str">
        <f>IFERROR(__xludf.DUMMYFUNCTION("""COMPUTED_VALUE"""),"MAIN BADMINTON")</f>
        <v>MAIN BADMINTON</v>
      </c>
      <c r="V2058" s="11" t="str">
        <f>IFERROR(__xludf.DUMMYFUNCTION("""COMPUTED_VALUE"""),"081345174184")</f>
        <v>081345174184</v>
      </c>
      <c r="W2058" s="15"/>
    </row>
    <row r="2059">
      <c r="A2059" s="45"/>
      <c r="B2059" s="9">
        <f>IFERROR(__xludf.DUMMYFUNCTION("""COMPUTED_VALUE"""),45660.45853716435)</f>
        <v>45660.45854</v>
      </c>
      <c r="C2059" s="9"/>
      <c r="D2059" s="10">
        <f>IFERROR(__xludf.DUMMYFUNCTION("""COMPUTED_VALUE"""),45687.0)</f>
        <v>45687</v>
      </c>
      <c r="E2059" s="10" t="str">
        <f>IFERROR(__xludf.DUMMYFUNCTION("""COMPUTED_VALUE"""),"01Jan")</f>
        <v>01Jan</v>
      </c>
      <c r="F2059" s="10" t="str">
        <f>IFERROR(__xludf.DUMMYFUNCTION("""COMPUTED_VALUE"""),"2025")</f>
        <v>2025</v>
      </c>
      <c r="G2059" s="36" t="str">
        <f>IFERROR(__xludf.DUMMYFUNCTION("""COMPUTED_VALUE"""),"RAHMAD")</f>
        <v>RAHMAD</v>
      </c>
      <c r="H2059" s="35" t="str">
        <f>IFERROR(__xludf.DUMMYFUNCTION("""COMPUTED_VALUE"""),"R6825015274")</f>
        <v>R6825015274</v>
      </c>
      <c r="I2059" s="35">
        <f>IFERROR(__xludf.DUMMYFUNCTION("""COMPUTED_VALUE"""),57.0)</f>
        <v>57</v>
      </c>
      <c r="J2059" s="35" t="str">
        <f>IFERROR(__xludf.DUMMYFUNCTION("""COMPUTED_VALUE"""),"&gt; 44 tahun")</f>
        <v>&gt; 44 tahun</v>
      </c>
      <c r="K2059" s="19" t="str">
        <f>IFERROR(__xludf.DUMMYFUNCTION("""COMPUTED_VALUE"""),"10/10/1968")</f>
        <v>10/10/1968</v>
      </c>
      <c r="L2059" s="19" t="str">
        <f>IFERROR(__xludf.DUMMYFUNCTION("""COMPUTED_VALUE"""),"LAKI-LAKI")</f>
        <v>LAKI-LAKI</v>
      </c>
      <c r="M2059" s="36" t="str">
        <f>IFERROR(__xludf.DUMMYFUNCTION("""COMPUTED_VALUE"""),"JL.GATOT SUBROTO BTN.MENTE PERMAI C.1")</f>
        <v>JL.GATOT SUBROTO BTN.MENTE PERMAI C.1</v>
      </c>
      <c r="N2059" s="16" t="str">
        <f>IFERROR(__xludf.DUMMYFUNCTION("""COMPUTED_VALUE"""),"PAYA KUMANG")</f>
        <v>PAYA KUMANG</v>
      </c>
      <c r="O2059" s="16" t="str">
        <f>IFERROR(__xludf.DUMMYFUNCTION("""COMPUTED_VALUE"""),"DELTA PAWAN")</f>
        <v>DELTA PAWAN</v>
      </c>
      <c r="P2059" s="16" t="str">
        <f>IFERROR(__xludf.DUMMYFUNCTION("""COMPUTED_VALUE"""),"KETAPANG")</f>
        <v>KETAPANG</v>
      </c>
      <c r="Q2059" s="16" t="str">
        <f>IFERROR(__xludf.DUMMYFUNCTION("""COMPUTED_VALUE"""),"KALIMANTAN BARAT")</f>
        <v>KALIMANTAN BARAT</v>
      </c>
      <c r="R2059" s="19" t="str">
        <f>IFERROR(__xludf.DUMMYFUNCTION("""COMPUTED_VALUE"""),"ISLAM")</f>
        <v>ISLAM</v>
      </c>
      <c r="S2059" s="16" t="str">
        <f>IFERROR(__xludf.DUMMYFUNCTION("""COMPUTED_VALUE"""),"ASN")</f>
        <v>ASN</v>
      </c>
      <c r="T2059" s="16" t="str">
        <f>IFERROR(__xludf.DUMMYFUNCTION("""COMPUTED_VALUE"""),"LUTUT")</f>
        <v>LUTUT</v>
      </c>
      <c r="U2059" s="16" t="str">
        <f>IFERROR(__xludf.DUMMYFUNCTION("""COMPUTED_VALUE"""),"OLAHRAGA")</f>
        <v>OLAHRAGA</v>
      </c>
      <c r="V2059" s="11" t="str">
        <f>IFERROR(__xludf.DUMMYFUNCTION("""COMPUTED_VALUE"""),"082256895274")</f>
        <v>082256895274</v>
      </c>
      <c r="W2059" s="15"/>
    </row>
    <row r="2060">
      <c r="A2060" s="45"/>
      <c r="B2060" s="9">
        <f>IFERROR(__xludf.DUMMYFUNCTION("""COMPUTED_VALUE"""),45659.84615190972)</f>
        <v>45659.84615</v>
      </c>
      <c r="C2060" s="9"/>
      <c r="D2060" s="10">
        <f>IFERROR(__xludf.DUMMYFUNCTION("""COMPUTED_VALUE"""),45687.0)</f>
        <v>45687</v>
      </c>
      <c r="E2060" s="10" t="str">
        <f>IFERROR(__xludf.DUMMYFUNCTION("""COMPUTED_VALUE"""),"01Jan")</f>
        <v>01Jan</v>
      </c>
      <c r="F2060" s="10" t="str">
        <f>IFERROR(__xludf.DUMMYFUNCTION("""COMPUTED_VALUE"""),"2025")</f>
        <v>2025</v>
      </c>
      <c r="G2060" s="36" t="str">
        <f>IFERROR(__xludf.DUMMYFUNCTION("""COMPUTED_VALUE"""),"PRANAYOGA")</f>
        <v>PRANAYOGA</v>
      </c>
      <c r="H2060" s="35" t="str">
        <f>IFERROR(__xludf.DUMMYFUNCTION("""COMPUTED_VALUE"""),"P8425017811")</f>
        <v>P8425017811</v>
      </c>
      <c r="I2060" s="35">
        <f>IFERROR(__xludf.DUMMYFUNCTION("""COMPUTED_VALUE"""),41.0)</f>
        <v>41</v>
      </c>
      <c r="J2060" s="35" t="str">
        <f>IFERROR(__xludf.DUMMYFUNCTION("""COMPUTED_VALUE"""),"35-44 tahun")</f>
        <v>35-44 tahun</v>
      </c>
      <c r="K2060" s="19" t="str">
        <f>IFERROR(__xludf.DUMMYFUNCTION("""COMPUTED_VALUE"""),"13/12/1984")</f>
        <v>13/12/1984</v>
      </c>
      <c r="L2060" s="19" t="str">
        <f>IFERROR(__xludf.DUMMYFUNCTION("""COMPUTED_VALUE"""),"LAKI-LAKI")</f>
        <v>LAKI-LAKI</v>
      </c>
      <c r="M2060" s="36" t="str">
        <f>IFERROR(__xludf.DUMMYFUNCTION("""COMPUTED_VALUE"""),"JL URAY BAWADI GG. SENTOSA DALAM NO 1")</f>
        <v>JL URAY BAWADI GG. SENTOSA DALAM NO 1</v>
      </c>
      <c r="N2060" s="16" t="str">
        <f>IFERROR(__xludf.DUMMYFUNCTION("""COMPUTED_VALUE"""),"SUNGAI BANGKONG")</f>
        <v>SUNGAI BANGKONG</v>
      </c>
      <c r="O2060" s="16" t="str">
        <f>IFERROR(__xludf.DUMMYFUNCTION("""COMPUTED_VALUE"""),"PONTIANAK KOTA")</f>
        <v>PONTIANAK KOTA</v>
      </c>
      <c r="P2060" s="16" t="str">
        <f>IFERROR(__xludf.DUMMYFUNCTION("""COMPUTED_VALUE"""),"KOTA PONTIANAK")</f>
        <v>KOTA PONTIANAK</v>
      </c>
      <c r="Q2060" s="16" t="str">
        <f>IFERROR(__xludf.DUMMYFUNCTION("""COMPUTED_VALUE"""),"KALIMANTAN BARAT")</f>
        <v>KALIMANTAN BARAT</v>
      </c>
      <c r="R2060" s="19" t="str">
        <f>IFERROR(__xludf.DUMMYFUNCTION("""COMPUTED_VALUE"""),"ISLAM")</f>
        <v>ISLAM</v>
      </c>
      <c r="S2060" s="36" t="str">
        <f>IFERROR(__xludf.DUMMYFUNCTION("""COMPUTED_VALUE"""),"ASN")</f>
        <v>ASN</v>
      </c>
      <c r="T2060" s="16" t="str">
        <f>IFERROR(__xludf.DUMMYFUNCTION("""COMPUTED_VALUE"""),"NYERI PADA LUTUT SEHABIS JATUH PADA SAAT MAIN BADMINTON 2 MINGGU YLL")</f>
        <v>NYERI PADA LUTUT SEHABIS JATUH PADA SAAT MAIN BADMINTON 2 MINGGU YLL</v>
      </c>
      <c r="U2060" s="16" t="str">
        <f>IFERROR(__xludf.DUMMYFUNCTION("""COMPUTED_VALUE"""),"OLAH RAGA BADMINTON")</f>
        <v>OLAH RAGA BADMINTON</v>
      </c>
      <c r="V2060" s="11" t="str">
        <f>IFERROR(__xludf.DUMMYFUNCTION("""COMPUTED_VALUE"""),"082156777811")</f>
        <v>082156777811</v>
      </c>
      <c r="W2060" s="15"/>
    </row>
    <row r="2061">
      <c r="A2061" s="45"/>
      <c r="B2061" s="9">
        <f>IFERROR(__xludf.DUMMYFUNCTION("""COMPUTED_VALUE"""),45660.65219028935)</f>
        <v>45660.65219</v>
      </c>
      <c r="C2061" s="9"/>
      <c r="D2061" s="10">
        <f>IFERROR(__xludf.DUMMYFUNCTION("""COMPUTED_VALUE"""),45688.0)</f>
        <v>45688</v>
      </c>
      <c r="E2061" s="10" t="str">
        <f>IFERROR(__xludf.DUMMYFUNCTION("""COMPUTED_VALUE"""),"01Jan")</f>
        <v>01Jan</v>
      </c>
      <c r="F2061" s="10" t="str">
        <f>IFERROR(__xludf.DUMMYFUNCTION("""COMPUTED_VALUE"""),"2025")</f>
        <v>2025</v>
      </c>
      <c r="G2061" s="9" t="str">
        <f>IFERROR(__xludf.DUMMYFUNCTION("""COMPUTED_VALUE"""),"ABDUL MUKTI")</f>
        <v>ABDUL MUKTI</v>
      </c>
      <c r="H2061" s="35" t="str">
        <f>IFERROR(__xludf.DUMMYFUNCTION("""COMPUTED_VALUE"""),"A0425010169")</f>
        <v>A0425010169</v>
      </c>
      <c r="I2061" s="35">
        <f>IFERROR(__xludf.DUMMYFUNCTION("""COMPUTED_VALUE"""),21.0)</f>
        <v>21</v>
      </c>
      <c r="J2061" s="35" t="str">
        <f>IFERROR(__xludf.DUMMYFUNCTION("""COMPUTED_VALUE"""),"18-24 tahun")</f>
        <v>18-24 tahun</v>
      </c>
      <c r="K2061" s="19" t="str">
        <f>IFERROR(__xludf.DUMMYFUNCTION("""COMPUTED_VALUE"""),"22/09/2004")</f>
        <v>22/09/2004</v>
      </c>
      <c r="L2061" s="19" t="str">
        <f>IFERROR(__xludf.DUMMYFUNCTION("""COMPUTED_VALUE"""),"LAKI-LAKI")</f>
        <v>LAKI-LAKI</v>
      </c>
      <c r="M2061" s="36" t="str">
        <f>IFERROR(__xludf.DUMMYFUNCTION("""COMPUTED_VALUE"""),"JLN. PARIT WA’GATAK")</f>
        <v>JLN. PARIT WA’GATAK</v>
      </c>
      <c r="N2061" s="16" t="str">
        <f>IFERROR(__xludf.DUMMYFUNCTION("""COMPUTED_VALUE"""),"PAL 9")</f>
        <v>PAL 9</v>
      </c>
      <c r="O2061" s="16" t="str">
        <f>IFERROR(__xludf.DUMMYFUNCTION("""COMPUTED_VALUE"""),"SUNGAI KAKAP")</f>
        <v>SUNGAI KAKAP</v>
      </c>
      <c r="P2061" s="16" t="str">
        <f>IFERROR(__xludf.DUMMYFUNCTION("""COMPUTED_VALUE"""),"KUBURAYA")</f>
        <v>KUBURAYA</v>
      </c>
      <c r="Q2061" s="16" t="str">
        <f>IFERROR(__xludf.DUMMYFUNCTION("""COMPUTED_VALUE"""),"KALIMANTAN BARAT")</f>
        <v>KALIMANTAN BARAT</v>
      </c>
      <c r="R2061" s="19" t="str">
        <f>IFERROR(__xludf.DUMMYFUNCTION("""COMPUTED_VALUE"""),"ISLAM")</f>
        <v>ISLAM</v>
      </c>
      <c r="S2061" s="16" t="str">
        <f>IFERROR(__xludf.DUMMYFUNCTION("""COMPUTED_VALUE"""),"SWASTA")</f>
        <v>SWASTA</v>
      </c>
      <c r="T2061" s="16" t="str">
        <f>IFERROR(__xludf.DUMMYFUNCTION("""COMPUTED_VALUE"""),"ANKLE KAKI MASIH NYERI SETELAH MENGALAMI JATUH DARI LANTAI 3, SUDAH 2 MINGGU TIDAK KUNJUNG MEMBAIK")</f>
        <v>ANKLE KAKI MASIH NYERI SETELAH MENGALAMI JATUH DARI LANTAI 3, SUDAH 2 MINGGU TIDAK KUNJUNG MEMBAIK</v>
      </c>
      <c r="U2061" s="16" t="str">
        <f>IFERROR(__xludf.DUMMYFUNCTION("""COMPUTED_VALUE"""),"TIDAK ADA")</f>
        <v>TIDAK ADA</v>
      </c>
      <c r="V2061" s="11" t="str">
        <f>IFERROR(__xludf.DUMMYFUNCTION("""COMPUTED_VALUE"""),"089694080169")</f>
        <v>089694080169</v>
      </c>
      <c r="W2061" s="46"/>
    </row>
    <row r="2062">
      <c r="A2062" s="45"/>
      <c r="B2062" s="9">
        <f>IFERROR(__xludf.DUMMYFUNCTION("""COMPUTED_VALUE"""),45660.74107615741)</f>
        <v>45660.74108</v>
      </c>
      <c r="C2062" s="9"/>
      <c r="D2062" s="10">
        <f>IFERROR(__xludf.DUMMYFUNCTION("""COMPUTED_VALUE"""),45688.0)</f>
        <v>45688</v>
      </c>
      <c r="E2062" s="10" t="str">
        <f>IFERROR(__xludf.DUMMYFUNCTION("""COMPUTED_VALUE"""),"01Jan")</f>
        <v>01Jan</v>
      </c>
      <c r="F2062" s="10" t="str">
        <f>IFERROR(__xludf.DUMMYFUNCTION("""COMPUTED_VALUE"""),"2025")</f>
        <v>2025</v>
      </c>
      <c r="G2062" s="9" t="str">
        <f>IFERROR(__xludf.DUMMYFUNCTION("""COMPUTED_VALUE"""),"CELLYNE ANDRIANNE")</f>
        <v>CELLYNE ANDRIANNE</v>
      </c>
      <c r="H2062" s="35" t="str">
        <f>IFERROR(__xludf.DUMMYFUNCTION("""COMPUTED_VALUE"""),"C0125019242")</f>
        <v>C0125019242</v>
      </c>
      <c r="I2062" s="35">
        <f>IFERROR(__xludf.DUMMYFUNCTION("""COMPUTED_VALUE"""),25.0)</f>
        <v>25</v>
      </c>
      <c r="J2062" s="35" t="str">
        <f>IFERROR(__xludf.DUMMYFUNCTION("""COMPUTED_VALUE"""),"25-34 tahun")</f>
        <v>25-34 tahun</v>
      </c>
      <c r="K2062" s="19" t="str">
        <f>IFERROR(__xludf.DUMMYFUNCTION("""COMPUTED_VALUE"""),"27/04/2001")</f>
        <v>27/04/2001</v>
      </c>
      <c r="L2062" s="19" t="str">
        <f>IFERROR(__xludf.DUMMYFUNCTION("""COMPUTED_VALUE"""),"PEREMPUAN")</f>
        <v>PEREMPUAN</v>
      </c>
      <c r="M2062" s="36" t="str">
        <f>IFERROR(__xludf.DUMMYFUNCTION("""COMPUTED_VALUE"""),"DUSUN TERAP RT 020 RW 040")</f>
        <v>DUSUN TERAP RT 020 RW 040</v>
      </c>
      <c r="N2062" s="16" t="str">
        <f>IFERROR(__xludf.DUMMYFUNCTION("""COMPUTED_VALUE"""),"ISTANA")</f>
        <v>ISTANA</v>
      </c>
      <c r="O2062" s="16" t="str">
        <f>IFERROR(__xludf.DUMMYFUNCTION("""COMPUTED_VALUE"""),"SANDAI")</f>
        <v>SANDAI</v>
      </c>
      <c r="P2062" s="16" t="str">
        <f>IFERROR(__xludf.DUMMYFUNCTION("""COMPUTED_VALUE"""),"KETAPANG")</f>
        <v>KETAPANG</v>
      </c>
      <c r="Q2062" s="16" t="str">
        <f>IFERROR(__xludf.DUMMYFUNCTION("""COMPUTED_VALUE"""),"KALIMANTAN BARAT")</f>
        <v>KALIMANTAN BARAT</v>
      </c>
      <c r="R2062" s="19" t="str">
        <f>IFERROR(__xludf.DUMMYFUNCTION("""COMPUTED_VALUE"""),"KATOLIK")</f>
        <v>KATOLIK</v>
      </c>
      <c r="S2062" s="16" t="str">
        <f>IFERROR(__xludf.DUMMYFUNCTION("""COMPUTED_VALUE"""),"PELAJAR/MAHASISWA")</f>
        <v>PELAJAR/MAHASISWA</v>
      </c>
      <c r="T2062" s="16" t="str">
        <f>IFERROR(__xludf.DUMMYFUNCTION("""COMPUTED_VALUE"""),"SAKIT DI LEHER")</f>
        <v>SAKIT DI LEHER</v>
      </c>
      <c r="U2062" s="16" t="str">
        <f>IFERROR(__xludf.DUMMYFUNCTION("""COMPUTED_VALUE"""),"MENUNDUK")</f>
        <v>MENUNDUK</v>
      </c>
      <c r="V2062" s="11" t="str">
        <f>IFERROR(__xludf.DUMMYFUNCTION("""COMPUTED_VALUE"""),"082158119242")</f>
        <v>082158119242</v>
      </c>
      <c r="W2062" s="46"/>
    </row>
    <row r="2063">
      <c r="A2063" s="45"/>
      <c r="B2063" s="9">
        <f>IFERROR(__xludf.DUMMYFUNCTION("""COMPUTED_VALUE"""),45660.74355097223)</f>
        <v>45660.74355</v>
      </c>
      <c r="C2063" s="9"/>
      <c r="D2063" s="10">
        <f>IFERROR(__xludf.DUMMYFUNCTION("""COMPUTED_VALUE"""),45688.0)</f>
        <v>45688</v>
      </c>
      <c r="E2063" s="10" t="str">
        <f>IFERROR(__xludf.DUMMYFUNCTION("""COMPUTED_VALUE"""),"01Jan")</f>
        <v>01Jan</v>
      </c>
      <c r="F2063" s="10" t="str">
        <f>IFERROR(__xludf.DUMMYFUNCTION("""COMPUTED_VALUE"""),"2025")</f>
        <v>2025</v>
      </c>
      <c r="G2063" s="9" t="str">
        <f>IFERROR(__xludf.DUMMYFUNCTION("""COMPUTED_VALUE"""),"KAYLA ANNISA AZZAHRA")</f>
        <v>KAYLA ANNISA AZZAHRA</v>
      </c>
      <c r="H2063" s="35" t="str">
        <f>IFERROR(__xludf.DUMMYFUNCTION("""COMPUTED_VALUE"""),"K0325013403")</f>
        <v>K0325013403</v>
      </c>
      <c r="I2063" s="35">
        <f>IFERROR(__xludf.DUMMYFUNCTION("""COMPUTED_VALUE"""),22.0)</f>
        <v>22</v>
      </c>
      <c r="J2063" s="35" t="str">
        <f>IFERROR(__xludf.DUMMYFUNCTION("""COMPUTED_VALUE"""),"18-24 tahun")</f>
        <v>18-24 tahun</v>
      </c>
      <c r="K2063" s="19" t="str">
        <f>IFERROR(__xludf.DUMMYFUNCTION("""COMPUTED_VALUE"""),"05/07/2003")</f>
        <v>05/07/2003</v>
      </c>
      <c r="L2063" s="19" t="str">
        <f>IFERROR(__xludf.DUMMYFUNCTION("""COMPUTED_VALUE"""),"PEREMPUAN")</f>
        <v>PEREMPUAN</v>
      </c>
      <c r="M2063" s="36" t="str">
        <f>IFERROR(__xludf.DUMMYFUNCTION("""COMPUTED_VALUE"""),"KOMP. BATARA INDAH 1 BLOK C1")</f>
        <v>KOMP. BATARA INDAH 1 BLOK C1</v>
      </c>
      <c r="N2063" s="16" t="str">
        <f>IFERROR(__xludf.DUMMYFUNCTION("""COMPUTED_VALUE"""),"SUNGAI JAWI")</f>
        <v>SUNGAI JAWI</v>
      </c>
      <c r="O2063" s="16" t="str">
        <f>IFERROR(__xludf.DUMMYFUNCTION("""COMPUTED_VALUE"""),"PONTIANAK KOTA")</f>
        <v>PONTIANAK KOTA</v>
      </c>
      <c r="P2063" s="16" t="str">
        <f>IFERROR(__xludf.DUMMYFUNCTION("""COMPUTED_VALUE"""),"KOTA PONTIANAK")</f>
        <v>KOTA PONTIANAK</v>
      </c>
      <c r="Q2063" s="16" t="str">
        <f>IFERROR(__xludf.DUMMYFUNCTION("""COMPUTED_VALUE"""),"KALIMANTAN BARAT")</f>
        <v>KALIMANTAN BARAT</v>
      </c>
      <c r="R2063" s="19" t="str">
        <f>IFERROR(__xludf.DUMMYFUNCTION("""COMPUTED_VALUE"""),"ISLAM")</f>
        <v>ISLAM</v>
      </c>
      <c r="S2063" s="16" t="str">
        <f>IFERROR(__xludf.DUMMYFUNCTION("""COMPUTED_VALUE"""),"PELAJAR/MAHASISWA")</f>
        <v>PELAJAR/MAHASISWA</v>
      </c>
      <c r="T2063" s="16" t="str">
        <f>IFERROR(__xludf.DUMMYFUNCTION("""COMPUTED_VALUE"""),"KAKI KESELEO TIDA ADA PERUBAHAN")</f>
        <v>KAKI KESELEO TIDA ADA PERUBAHAN</v>
      </c>
      <c r="U2063" s="16" t="str">
        <f>IFERROR(__xludf.DUMMYFUNCTION("""COMPUTED_VALUE"""),"LARI DAN GYM")</f>
        <v>LARI DAN GYM</v>
      </c>
      <c r="V2063" s="11" t="str">
        <f>IFERROR(__xludf.DUMMYFUNCTION("""COMPUTED_VALUE"""),"085753653403")</f>
        <v>085753653403</v>
      </c>
      <c r="W2063" s="46"/>
    </row>
    <row r="2064">
      <c r="A2064" s="45"/>
      <c r="B2064" s="9">
        <f>IFERROR(__xludf.DUMMYFUNCTION("""COMPUTED_VALUE"""),45660.8209203125)</f>
        <v>45660.82092</v>
      </c>
      <c r="C2064" s="9"/>
      <c r="D2064" s="10">
        <f>IFERROR(__xludf.DUMMYFUNCTION("""COMPUTED_VALUE"""),45688.0)</f>
        <v>45688</v>
      </c>
      <c r="E2064" s="10" t="str">
        <f>IFERROR(__xludf.DUMMYFUNCTION("""COMPUTED_VALUE"""),"01Jan")</f>
        <v>01Jan</v>
      </c>
      <c r="F2064" s="10" t="str">
        <f>IFERROR(__xludf.DUMMYFUNCTION("""COMPUTED_VALUE"""),"2025")</f>
        <v>2025</v>
      </c>
      <c r="G2064" s="9" t="str">
        <f>IFERROR(__xludf.DUMMYFUNCTION("""COMPUTED_VALUE"""),"BAGUS RINO CAHYADI")</f>
        <v>BAGUS RINO CAHYADI</v>
      </c>
      <c r="H2064" s="35" t="str">
        <f>IFERROR(__xludf.DUMMYFUNCTION("""COMPUTED_VALUE"""),"B6925019669")</f>
        <v>B6925019669</v>
      </c>
      <c r="I2064" s="35">
        <f>IFERROR(__xludf.DUMMYFUNCTION("""COMPUTED_VALUE"""),56.0)</f>
        <v>56</v>
      </c>
      <c r="J2064" s="35" t="str">
        <f>IFERROR(__xludf.DUMMYFUNCTION("""COMPUTED_VALUE"""),"&gt; 44 tahun")</f>
        <v>&gt; 44 tahun</v>
      </c>
      <c r="K2064" s="19" t="str">
        <f>IFERROR(__xludf.DUMMYFUNCTION("""COMPUTED_VALUE"""),"25/08/1969")</f>
        <v>25/08/1969</v>
      </c>
      <c r="L2064" s="19" t="str">
        <f>IFERROR(__xludf.DUMMYFUNCTION("""COMPUTED_VALUE"""),"LAKI-LAKI")</f>
        <v>LAKI-LAKI</v>
      </c>
      <c r="M2064" s="36" t="str">
        <f>IFERROR(__xludf.DUMMYFUNCTION("""COMPUTED_VALUE"""),"JALAN SUTAN SJAHRIR GG. RAWASARI II NO. 5 PTK")</f>
        <v>JALAN SUTAN SJAHRIR GG. RAWASARI II NO. 5 PTK</v>
      </c>
      <c r="N2064" s="16" t="str">
        <f>IFERROR(__xludf.DUMMYFUNCTION("""COMPUTED_VALUE"""),"SUNGAI BANGKONG")</f>
        <v>SUNGAI BANGKONG</v>
      </c>
      <c r="O2064" s="16" t="str">
        <f>IFERROR(__xludf.DUMMYFUNCTION("""COMPUTED_VALUE"""),"PONTIANAK KOTA")</f>
        <v>PONTIANAK KOTA</v>
      </c>
      <c r="P2064" s="16" t="str">
        <f>IFERROR(__xludf.DUMMYFUNCTION("""COMPUTED_VALUE"""),"KOTA PONTIANAK")</f>
        <v>KOTA PONTIANAK</v>
      </c>
      <c r="Q2064" s="16" t="str">
        <f>IFERROR(__xludf.DUMMYFUNCTION("""COMPUTED_VALUE"""),"KALIMANTAN BARAT")</f>
        <v>KALIMANTAN BARAT</v>
      </c>
      <c r="R2064" s="19" t="str">
        <f>IFERROR(__xludf.DUMMYFUNCTION("""COMPUTED_VALUE"""),"ISLAM")</f>
        <v>ISLAM</v>
      </c>
      <c r="S2064" s="16" t="str">
        <f>IFERROR(__xludf.DUMMYFUNCTION("""COMPUTED_VALUE"""),"PENSIUN")</f>
        <v>PENSIUN</v>
      </c>
      <c r="T2064" s="16" t="str">
        <f>IFERROR(__xludf.DUMMYFUNCTION("""COMPUTED_VALUE"""),"NYERI DI TUMIT KAKI")</f>
        <v>NYERI DI TUMIT KAKI</v>
      </c>
      <c r="U2064" s="16" t="str">
        <f>IFERROR(__xludf.DUMMYFUNCTION("""COMPUTED_VALUE"""),"OLAH RAGA")</f>
        <v>OLAH RAGA</v>
      </c>
      <c r="V2064" s="11" t="str">
        <f>IFERROR(__xludf.DUMMYFUNCTION("""COMPUTED_VALUE"""),"081253939669")</f>
        <v>081253939669</v>
      </c>
      <c r="W2064" s="46"/>
    </row>
    <row r="2065">
      <c r="A2065" s="45"/>
      <c r="B2065" s="9">
        <f>IFERROR(__xludf.DUMMYFUNCTION("""COMPUTED_VALUE"""),45660.90629611111)</f>
        <v>45660.9063</v>
      </c>
      <c r="C2065" s="9"/>
      <c r="D2065" s="10">
        <f>IFERROR(__xludf.DUMMYFUNCTION("""COMPUTED_VALUE"""),45688.0)</f>
        <v>45688</v>
      </c>
      <c r="E2065" s="10" t="str">
        <f>IFERROR(__xludf.DUMMYFUNCTION("""COMPUTED_VALUE"""),"01Jan")</f>
        <v>01Jan</v>
      </c>
      <c r="F2065" s="10" t="str">
        <f>IFERROR(__xludf.DUMMYFUNCTION("""COMPUTED_VALUE"""),"2025")</f>
        <v>2025</v>
      </c>
      <c r="G2065" s="9" t="str">
        <f>IFERROR(__xludf.DUMMYFUNCTION("""COMPUTED_VALUE"""),"ALBERT NUGRAHA")</f>
        <v>ALBERT NUGRAHA</v>
      </c>
      <c r="H2065" s="35" t="str">
        <f>IFERROR(__xludf.DUMMYFUNCTION("""COMPUTED_VALUE"""),"A8725012348")</f>
        <v>A8725012348</v>
      </c>
      <c r="I2065" s="35">
        <f>IFERROR(__xludf.DUMMYFUNCTION("""COMPUTED_VALUE"""),38.0)</f>
        <v>38</v>
      </c>
      <c r="J2065" s="35" t="str">
        <f>IFERROR(__xludf.DUMMYFUNCTION("""COMPUTED_VALUE"""),"35-44 tahun")</f>
        <v>35-44 tahun</v>
      </c>
      <c r="K2065" s="19" t="str">
        <f>IFERROR(__xludf.DUMMYFUNCTION("""COMPUTED_VALUE"""),"29/08/1987")</f>
        <v>29/08/1987</v>
      </c>
      <c r="L2065" s="19" t="str">
        <f>IFERROR(__xludf.DUMMYFUNCTION("""COMPUTED_VALUE"""),"LAKI-LAKI")</f>
        <v>LAKI-LAKI</v>
      </c>
      <c r="M2065" s="36" t="str">
        <f>IFERROR(__xludf.DUMMYFUNCTION("""COMPUTED_VALUE"""),"JL PUYUH GG PUYUH 1 NO 8")</f>
        <v>JL PUYUH GG PUYUH 1 NO 8</v>
      </c>
      <c r="N2065" s="16" t="str">
        <f>IFERROR(__xludf.DUMMYFUNCTION("""COMPUTED_VALUE"""),"MARIANA")</f>
        <v>MARIANA</v>
      </c>
      <c r="O2065" s="16" t="str">
        <f>IFERROR(__xludf.DUMMYFUNCTION("""COMPUTED_VALUE"""),"PONTIANAK")</f>
        <v>PONTIANAK</v>
      </c>
      <c r="P2065" s="16" t="str">
        <f>IFERROR(__xludf.DUMMYFUNCTION("""COMPUTED_VALUE"""),"PONTIANAK")</f>
        <v>PONTIANAK</v>
      </c>
      <c r="Q2065" s="16" t="str">
        <f>IFERROR(__xludf.DUMMYFUNCTION("""COMPUTED_VALUE"""),"KALIMANTAN BARAT")</f>
        <v>KALIMANTAN BARAT</v>
      </c>
      <c r="R2065" s="19" t="str">
        <f>IFERROR(__xludf.DUMMYFUNCTION("""COMPUTED_VALUE"""),"KATOLIK")</f>
        <v>KATOLIK</v>
      </c>
      <c r="S2065" s="16" t="str">
        <f>IFERROR(__xludf.DUMMYFUNCTION("""COMPUTED_VALUE"""),"SWASTA")</f>
        <v>SWASTA</v>
      </c>
      <c r="T2065" s="16" t="str">
        <f>IFERROR(__xludf.DUMMYFUNCTION("""COMPUTED_VALUE"""),"BAHU LUTUT")</f>
        <v>BAHU LUTUT</v>
      </c>
      <c r="U2065" s="16" t="str">
        <f>IFERROR(__xludf.DUMMYFUNCTION("""COMPUTED_VALUE"""),"BADMINTON GYM")</f>
        <v>BADMINTON GYM</v>
      </c>
      <c r="V2065" s="11" t="str">
        <f>IFERROR(__xludf.DUMMYFUNCTION("""COMPUTED_VALUE"""),"08215362348")</f>
        <v>08215362348</v>
      </c>
      <c r="W2065" s="46"/>
    </row>
    <row r="2066">
      <c r="A2066" s="45"/>
      <c r="B2066" s="9">
        <f>IFERROR(__xludf.DUMMYFUNCTION("""COMPUTED_VALUE"""),45661.40885497685)</f>
        <v>45661.40885</v>
      </c>
      <c r="C2066" s="9"/>
      <c r="D2066" s="10">
        <f>IFERROR(__xludf.DUMMYFUNCTION("""COMPUTED_VALUE"""),45688.0)</f>
        <v>45688</v>
      </c>
      <c r="E2066" s="10" t="str">
        <f>IFERROR(__xludf.DUMMYFUNCTION("""COMPUTED_VALUE"""),"01Jan")</f>
        <v>01Jan</v>
      </c>
      <c r="F2066" s="10" t="str">
        <f>IFERROR(__xludf.DUMMYFUNCTION("""COMPUTED_VALUE"""),"2025")</f>
        <v>2025</v>
      </c>
      <c r="G2066" s="9" t="str">
        <f>IFERROR(__xludf.DUMMYFUNCTION("""COMPUTED_VALUE"""),"YULIA PRATIWI")</f>
        <v>YULIA PRATIWI</v>
      </c>
      <c r="H2066" s="35" t="str">
        <f>IFERROR(__xludf.DUMMYFUNCTION("""COMPUTED_VALUE"""),"Y9625019716")</f>
        <v>Y9625019716</v>
      </c>
      <c r="I2066" s="35">
        <f>IFERROR(__xludf.DUMMYFUNCTION("""COMPUTED_VALUE"""),29.0)</f>
        <v>29</v>
      </c>
      <c r="J2066" s="35" t="str">
        <f>IFERROR(__xludf.DUMMYFUNCTION("""COMPUTED_VALUE"""),"25-34 tahun")</f>
        <v>25-34 tahun</v>
      </c>
      <c r="K2066" s="19" t="str">
        <f>IFERROR(__xludf.DUMMYFUNCTION("""COMPUTED_VALUE"""),"30/10/1996")</f>
        <v>30/10/1996</v>
      </c>
      <c r="L2066" s="19" t="str">
        <f>IFERROR(__xludf.DUMMYFUNCTION("""COMPUTED_VALUE"""),"PEREMPUAN")</f>
        <v>PEREMPUAN</v>
      </c>
      <c r="M2066" s="36" t="str">
        <f>IFERROR(__xludf.DUMMYFUNCTION("""COMPUTED_VALUE"""),"AYANI 2 SUPADIO GG. RINGI SARI 1")</f>
        <v>AYANI 2 SUPADIO GG. RINGI SARI 1</v>
      </c>
      <c r="N2066" s="16" t="str">
        <f>IFERROR(__xludf.DUMMYFUNCTION("""COMPUTED_VALUE"""),"ARANG LIMBUNG")</f>
        <v>ARANG LIMBUNG</v>
      </c>
      <c r="O2066" s="16" t="str">
        <f>IFERROR(__xludf.DUMMYFUNCTION("""COMPUTED_VALUE"""),"SUI.RAYA")</f>
        <v>SUI.RAYA</v>
      </c>
      <c r="P2066" s="16" t="str">
        <f>IFERROR(__xludf.DUMMYFUNCTION("""COMPUTED_VALUE"""),"KUBU RAYA")</f>
        <v>KUBU RAYA</v>
      </c>
      <c r="Q2066" s="16" t="str">
        <f>IFERROR(__xludf.DUMMYFUNCTION("""COMPUTED_VALUE"""),"KALIMANTAN BARAT")</f>
        <v>KALIMANTAN BARAT</v>
      </c>
      <c r="R2066" s="19" t="str">
        <f>IFERROR(__xludf.DUMMYFUNCTION("""COMPUTED_VALUE"""),"ISLAM")</f>
        <v>ISLAM</v>
      </c>
      <c r="S2066" s="16" t="str">
        <f>IFERROR(__xludf.DUMMYFUNCTION("""COMPUTED_VALUE"""),"SWASTA")</f>
        <v>SWASTA</v>
      </c>
      <c r="T2066" s="16" t="str">
        <f>IFERROR(__xludf.DUMMYFUNCTION("""COMPUTED_VALUE"""),"MEMPUNYAI ANAK YANG HIPERAKTIF DAN TELAT BICARA")</f>
        <v>MEMPUNYAI ANAK YANG HIPERAKTIF DAN TELAT BICARA</v>
      </c>
      <c r="U2066" s="16" t="str">
        <f>IFERROR(__xludf.DUMMYFUNCTION("""COMPUTED_VALUE"""),"BERMAIN , DAN SULIT UNTUK FOKUS")</f>
        <v>BERMAIN , DAN SULIT UNTUK FOKUS</v>
      </c>
      <c r="V2066" s="11" t="str">
        <f>IFERROR(__xludf.DUMMYFUNCTION("""COMPUTED_VALUE"""),"89694799716")</f>
        <v>89694799716</v>
      </c>
      <c r="W2066" s="46"/>
    </row>
    <row r="2067">
      <c r="A2067" s="45"/>
      <c r="B2067" s="9">
        <f>IFERROR(__xludf.DUMMYFUNCTION("""COMPUTED_VALUE"""),45661.49196604166)</f>
        <v>45661.49197</v>
      </c>
      <c r="C2067" s="9"/>
      <c r="D2067" s="10">
        <f>IFERROR(__xludf.DUMMYFUNCTION("""COMPUTED_VALUE"""),45688.0)</f>
        <v>45688</v>
      </c>
      <c r="E2067" s="10" t="str">
        <f>IFERROR(__xludf.DUMMYFUNCTION("""COMPUTED_VALUE"""),"01Jan")</f>
        <v>01Jan</v>
      </c>
      <c r="F2067" s="10" t="str">
        <f>IFERROR(__xludf.DUMMYFUNCTION("""COMPUTED_VALUE"""),"2025")</f>
        <v>2025</v>
      </c>
      <c r="G2067" s="9" t="str">
        <f>IFERROR(__xludf.DUMMYFUNCTION("""COMPUTED_VALUE"""),"LIAN DAMERO")</f>
        <v>LIAN DAMERO</v>
      </c>
      <c r="H2067" s="35" t="str">
        <f>IFERROR(__xludf.DUMMYFUNCTION("""COMPUTED_VALUE"""),"L9025012644")</f>
        <v>L9025012644</v>
      </c>
      <c r="I2067" s="35">
        <f>IFERROR(__xludf.DUMMYFUNCTION("""COMPUTED_VALUE"""),36.0)</f>
        <v>36</v>
      </c>
      <c r="J2067" s="35" t="str">
        <f>IFERROR(__xludf.DUMMYFUNCTION("""COMPUTED_VALUE"""),"35-44 tahun")</f>
        <v>35-44 tahun</v>
      </c>
      <c r="K2067" s="19" t="str">
        <f>IFERROR(__xludf.DUMMYFUNCTION("""COMPUTED_VALUE"""),"07/02/1990")</f>
        <v>07/02/1990</v>
      </c>
      <c r="L2067" s="19" t="str">
        <f>IFERROR(__xludf.DUMMYFUNCTION("""COMPUTED_VALUE"""),"LAKI-LAKI")</f>
        <v>LAKI-LAKI</v>
      </c>
      <c r="M2067" s="36" t="str">
        <f>IFERROR(__xludf.DUMMYFUNCTION("""COMPUTED_VALUE"""),"JL. PERDANA GG. IKHLAS NO.8")</f>
        <v>JL. PERDANA GG. IKHLAS NO.8</v>
      </c>
      <c r="N2067" s="16" t="str">
        <f>IFERROR(__xludf.DUMMYFUNCTION("""COMPUTED_VALUE"""),"BANSIR DARAT")</f>
        <v>BANSIR DARAT</v>
      </c>
      <c r="O2067" s="16" t="str">
        <f>IFERROR(__xludf.DUMMYFUNCTION("""COMPUTED_VALUE"""),"PONTIANAK TENGGARA")</f>
        <v>PONTIANAK TENGGARA</v>
      </c>
      <c r="P2067" s="16" t="str">
        <f>IFERROR(__xludf.DUMMYFUNCTION("""COMPUTED_VALUE"""),"PONTIANAK KOTA")</f>
        <v>PONTIANAK KOTA</v>
      </c>
      <c r="Q2067" s="16" t="str">
        <f>IFERROR(__xludf.DUMMYFUNCTION("""COMPUTED_VALUE"""),"KALIMANTAN BARAT")</f>
        <v>KALIMANTAN BARAT</v>
      </c>
      <c r="R2067" s="19" t="str">
        <f>IFERROR(__xludf.DUMMYFUNCTION("""COMPUTED_VALUE"""),"ISLAM")</f>
        <v>ISLAM</v>
      </c>
      <c r="S2067" s="16" t="str">
        <f>IFERROR(__xludf.DUMMYFUNCTION("""COMPUTED_VALUE"""),"SWASTA")</f>
        <v>SWASTA</v>
      </c>
      <c r="T2067" s="16" t="str">
        <f>IFERROR(__xludf.DUMMYFUNCTION("""COMPUTED_VALUE"""),"- SIKU KIRI KANAN SAKIT || TANGAN SAKIT SAAT LATIHAN BEBAN")</f>
        <v>- SIKU KIRI KANAN SAKIT || TANGAN SAKIT SAAT LATIHAN BEBAN</v>
      </c>
      <c r="U2067" s="16" t="str">
        <f>IFERROR(__xludf.DUMMYFUNCTION("""COMPUTED_VALUE"""),"GYM")</f>
        <v>GYM</v>
      </c>
      <c r="V2067" s="11" t="str">
        <f>IFERROR(__xludf.DUMMYFUNCTION("""COMPUTED_VALUE"""),"089644062644")</f>
        <v>089644062644</v>
      </c>
      <c r="W2067" s="46"/>
    </row>
    <row r="2068">
      <c r="A2068" s="45"/>
      <c r="B2068" s="9"/>
      <c r="C2068" s="9"/>
      <c r="D2068" s="10">
        <f>IFERROR(__xludf.DUMMYFUNCTION("""COMPUTED_VALUE"""),45675.0)</f>
        <v>45675</v>
      </c>
      <c r="E2068" s="10" t="str">
        <f>IFERROR(__xludf.DUMMYFUNCTION("""COMPUTED_VALUE"""),"01Jan")</f>
        <v>01Jan</v>
      </c>
      <c r="F2068" s="10" t="str">
        <f>IFERROR(__xludf.DUMMYFUNCTION("""COMPUTED_VALUE"""),"2025")</f>
        <v>2025</v>
      </c>
      <c r="G2068" s="9" t="str">
        <f>IFERROR(__xludf.DUMMYFUNCTION("""COMPUTED_VALUE"""),"OMNIAH M. BASRI")</f>
        <v>OMNIAH M. BASRI</v>
      </c>
      <c r="H2068" s="35" t="str">
        <f>IFERROR(__xludf.DUMMYFUNCTION("""COMPUTED_VALUE"""),"O4625012228")</f>
        <v>O4625012228</v>
      </c>
      <c r="I2068" s="35">
        <f>IFERROR(__xludf.DUMMYFUNCTION("""COMPUTED_VALUE"""),79.0)</f>
        <v>79</v>
      </c>
      <c r="J2068" s="35" t="str">
        <f>IFERROR(__xludf.DUMMYFUNCTION("""COMPUTED_VALUE"""),"&gt; 44 tahun")</f>
        <v>&gt; 44 tahun</v>
      </c>
      <c r="K2068" s="19" t="str">
        <f>IFERROR(__xludf.DUMMYFUNCTION("""COMPUTED_VALUE"""),"10/08/1946")</f>
        <v>10/08/1946</v>
      </c>
      <c r="L2068" s="19" t="str">
        <f>IFERROR(__xludf.DUMMYFUNCTION("""COMPUTED_VALUE"""),"PEREMPUAN")</f>
        <v>PEREMPUAN</v>
      </c>
      <c r="M2068" s="36" t="str">
        <f>IFERROR(__xludf.DUMMYFUNCTION("""COMPUTED_VALUE"""),"JL. ADI SUCIPTO, BTN TELUK MULUS G.14")</f>
        <v>JL. ADI SUCIPTO, BTN TELUK MULUS G.14</v>
      </c>
      <c r="N2068" s="16" t="str">
        <f>IFERROR(__xludf.DUMMYFUNCTION("""COMPUTED_VALUE"""),"TELUK KAPUAS")</f>
        <v>TELUK KAPUAS</v>
      </c>
      <c r="O2068" s="16" t="str">
        <f>IFERROR(__xludf.DUMMYFUNCTION("""COMPUTED_VALUE"""),"SUNGAI RAYA")</f>
        <v>SUNGAI RAYA</v>
      </c>
      <c r="P2068" s="16" t="str">
        <f>IFERROR(__xludf.DUMMYFUNCTION("""COMPUTED_VALUE"""),"KUBU RAYA")</f>
        <v>KUBU RAYA</v>
      </c>
      <c r="Q2068" s="16" t="str">
        <f>IFERROR(__xludf.DUMMYFUNCTION("""COMPUTED_VALUE"""),"KALBAR")</f>
        <v>KALBAR</v>
      </c>
      <c r="R2068" s="19" t="str">
        <f>IFERROR(__xludf.DUMMYFUNCTION("""COMPUTED_VALUE"""),"ISLAM")</f>
        <v>ISLAM</v>
      </c>
      <c r="S2068" s="16" t="str">
        <f>IFERROR(__xludf.DUMMYFUNCTION("""COMPUTED_VALUE"""),"TIDAK ADA")</f>
        <v>TIDAK ADA</v>
      </c>
      <c r="T2068" s="16" t="str">
        <f>IFERROR(__xludf.DUMMYFUNCTION("""COMPUTED_VALUE"""),"BANGUN PAGI BAHU/BELIKAT TERASA NYERI")</f>
        <v>BANGUN PAGI BAHU/BELIKAT TERASA NYERI</v>
      </c>
      <c r="U2068" s="16" t="str">
        <f>IFERROR(__xludf.DUMMYFUNCTION("""COMPUTED_VALUE"""),"DIRUMAH SAJA")</f>
        <v>DIRUMAH SAJA</v>
      </c>
      <c r="V2068" s="11" t="str">
        <f>IFERROR(__xludf.DUMMYFUNCTION("""COMPUTED_VALUE"""),"081258092228")</f>
        <v>081258092228</v>
      </c>
      <c r="W2068" s="46"/>
    </row>
    <row r="2069">
      <c r="A2069" s="45"/>
      <c r="B2069" s="9">
        <f>IFERROR(__xludf.DUMMYFUNCTION("""COMPUTED_VALUE"""),45659.81819871528)</f>
        <v>45659.8182</v>
      </c>
      <c r="C2069" s="9"/>
      <c r="D2069" s="10">
        <f>IFERROR(__xludf.DUMMYFUNCTION("""COMPUTED_VALUE"""),45676.0)</f>
        <v>45676</v>
      </c>
      <c r="E2069" s="10" t="str">
        <f>IFERROR(__xludf.DUMMYFUNCTION("""COMPUTED_VALUE"""),"01Jan")</f>
        <v>01Jan</v>
      </c>
      <c r="F2069" s="10" t="str">
        <f>IFERROR(__xludf.DUMMYFUNCTION("""COMPUTED_VALUE"""),"2025")</f>
        <v>2025</v>
      </c>
      <c r="G2069" s="9" t="str">
        <f>IFERROR(__xludf.DUMMYFUNCTION("""COMPUTED_VALUE"""),"ROBBI MUHAMMAD ILHAMI")</f>
        <v>ROBBI MUHAMMAD ILHAMI</v>
      </c>
      <c r="H2069" s="35" t="str">
        <f>IFERROR(__xludf.DUMMYFUNCTION("""COMPUTED_VALUE"""),"R9725012256")</f>
        <v>R9725012256</v>
      </c>
      <c r="I2069" s="35">
        <f>IFERROR(__xludf.DUMMYFUNCTION("""COMPUTED_VALUE"""),28.0)</f>
        <v>28</v>
      </c>
      <c r="J2069" s="35" t="str">
        <f>IFERROR(__xludf.DUMMYFUNCTION("""COMPUTED_VALUE"""),"25-34 tahun")</f>
        <v>25-34 tahun</v>
      </c>
      <c r="K2069" s="19">
        <f>IFERROR(__xludf.DUMMYFUNCTION("""COMPUTED_VALUE"""),35656.0)</f>
        <v>35656</v>
      </c>
      <c r="L2069" s="19" t="str">
        <f>IFERROR(__xludf.DUMMYFUNCTION("""COMPUTED_VALUE"""),"LAKI-LAKI")</f>
        <v>LAKI-LAKI</v>
      </c>
      <c r="M2069" s="36" t="str">
        <f>IFERROR(__xludf.DUMMYFUNCTION("""COMPUTED_VALUE"""),"DUSUN SEMBATU")</f>
        <v>DUSUN SEMBATU</v>
      </c>
      <c r="N2069" s="16" t="str">
        <f>IFERROR(__xludf.DUMMYFUNCTION("""COMPUTED_VALUE"""),"HILIR")</f>
        <v>HILIR</v>
      </c>
      <c r="O2069" s="16" t="str">
        <f>IFERROR(__xludf.DUMMYFUNCTION("""COMPUTED_VALUE"""),"BALAI")</f>
        <v>BALAI</v>
      </c>
      <c r="P2069" s="16" t="str">
        <f>IFERROR(__xludf.DUMMYFUNCTION("""COMPUTED_VALUE"""),"SANGGAU")</f>
        <v>SANGGAU</v>
      </c>
      <c r="Q2069" s="16" t="str">
        <f>IFERROR(__xludf.DUMMYFUNCTION("""COMPUTED_VALUE"""),"KALIMANTAN BARAT")</f>
        <v>KALIMANTAN BARAT</v>
      </c>
      <c r="R2069" s="19" t="str">
        <f>IFERROR(__xludf.DUMMYFUNCTION("""COMPUTED_VALUE"""),"ISLAM")</f>
        <v>ISLAM</v>
      </c>
      <c r="S2069" s="16" t="str">
        <f>IFERROR(__xludf.DUMMYFUNCTION("""COMPUTED_VALUE"""),"ASN")</f>
        <v>ASN</v>
      </c>
      <c r="T2069" s="16" t="str">
        <f>IFERROR(__xludf.DUMMYFUNCTION("""COMPUTED_VALUE"""),"CIDERA LUTUT")</f>
        <v>CIDERA LUTUT</v>
      </c>
      <c r="U2069" s="16" t="str">
        <f>IFERROR(__xludf.DUMMYFUNCTION("""COMPUTED_VALUE"""),"MAIN MINISOCCER")</f>
        <v>MAIN MINISOCCER</v>
      </c>
      <c r="V2069" s="11" t="str">
        <f>IFERROR(__xludf.DUMMYFUNCTION("""COMPUTED_VALUE"""),"089652382256")</f>
        <v>089652382256</v>
      </c>
      <c r="W2069" s="46"/>
    </row>
    <row r="2070">
      <c r="A2070" s="45"/>
      <c r="B2070" s="9">
        <f>IFERROR(__xludf.DUMMYFUNCTION("""COMPUTED_VALUE"""),45661.671218125004)</f>
        <v>45661.67122</v>
      </c>
      <c r="C2070" s="9"/>
      <c r="D2070" s="10">
        <f>IFERROR(__xludf.DUMMYFUNCTION("""COMPUTED_VALUE"""),45676.0)</f>
        <v>45676</v>
      </c>
      <c r="E2070" s="10" t="str">
        <f>IFERROR(__xludf.DUMMYFUNCTION("""COMPUTED_VALUE"""),"01Jan")</f>
        <v>01Jan</v>
      </c>
      <c r="F2070" s="10" t="str">
        <f>IFERROR(__xludf.DUMMYFUNCTION("""COMPUTED_VALUE"""),"2025")</f>
        <v>2025</v>
      </c>
      <c r="G2070" s="9" t="str">
        <f>IFERROR(__xludf.DUMMYFUNCTION("""COMPUTED_VALUE"""),"ETHAN ORLANDO")</f>
        <v>ETHAN ORLANDO</v>
      </c>
      <c r="H2070" s="35" t="str">
        <f>IFERROR(__xludf.DUMMYFUNCTION("""COMPUTED_VALUE"""),"E1525018209")</f>
        <v>E1525018209</v>
      </c>
      <c r="I2070" s="35">
        <f>IFERROR(__xludf.DUMMYFUNCTION("""COMPUTED_VALUE"""),10.0)</f>
        <v>10</v>
      </c>
      <c r="J2070" s="35" t="str">
        <f>IFERROR(__xludf.DUMMYFUNCTION("""COMPUTED_VALUE"""),"&lt; 18 tahun")</f>
        <v>&lt; 18 tahun</v>
      </c>
      <c r="K2070" s="19" t="str">
        <f>IFERROR(__xludf.DUMMYFUNCTION("""COMPUTED_VALUE"""),"21/10/2015")</f>
        <v>21/10/2015</v>
      </c>
      <c r="L2070" s="19" t="str">
        <f>IFERROR(__xludf.DUMMYFUNCTION("""COMPUTED_VALUE"""),"LAKI-LAKI")</f>
        <v>LAKI-LAKI</v>
      </c>
      <c r="M2070" s="36" t="str">
        <f>IFERROR(__xludf.DUMMYFUNCTION("""COMPUTED_VALUE"""),"JL KH AHMAD DAHLAN GG MARGOSARI NO 20")</f>
        <v>JL KH AHMAD DAHLAN GG MARGOSARI NO 20</v>
      </c>
      <c r="N2070" s="16" t="str">
        <f>IFERROR(__xludf.DUMMYFUNCTION("""COMPUTED_VALUE"""),"SEI BANGKONG")</f>
        <v>SEI BANGKONG</v>
      </c>
      <c r="O2070" s="16" t="str">
        <f>IFERROR(__xludf.DUMMYFUNCTION("""COMPUTED_VALUE"""),"PONTIANAK KOTA")</f>
        <v>PONTIANAK KOTA</v>
      </c>
      <c r="P2070" s="16" t="str">
        <f>IFERROR(__xludf.DUMMYFUNCTION("""COMPUTED_VALUE"""),"KOTA PONTIANAK")</f>
        <v>KOTA PONTIANAK</v>
      </c>
      <c r="Q2070" s="16" t="str">
        <f>IFERROR(__xludf.DUMMYFUNCTION("""COMPUTED_VALUE"""),"KALIMANTAN BARAT")</f>
        <v>KALIMANTAN BARAT</v>
      </c>
      <c r="R2070" s="19" t="str">
        <f>IFERROR(__xludf.DUMMYFUNCTION("""COMPUTED_VALUE"""),"KATOLIK")</f>
        <v>KATOLIK</v>
      </c>
      <c r="S2070" s="16" t="str">
        <f>IFERROR(__xludf.DUMMYFUNCTION("""COMPUTED_VALUE"""),"PELAJAR/MAHASISWA")</f>
        <v>PELAJAR/MAHASISWA</v>
      </c>
      <c r="T2070" s="16" t="str">
        <f>IFERROR(__xludf.DUMMYFUNCTION("""COMPUTED_VALUE"""),"KAKI KANAN TERKILIR")</f>
        <v>KAKI KANAN TERKILIR</v>
      </c>
      <c r="U2070" s="16" t="str">
        <f>IFERROR(__xludf.DUMMYFUNCTION("""COMPUTED_VALUE"""),"FUTSAL, SKUTER, LARI")</f>
        <v>FUTSAL, SKUTER, LARI</v>
      </c>
      <c r="V2070" s="11" t="str">
        <f>IFERROR(__xludf.DUMMYFUNCTION("""COMPUTED_VALUE"""),"085795728209")</f>
        <v>085795728209</v>
      </c>
      <c r="W2070" s="46"/>
    </row>
    <row r="2071">
      <c r="A2071" s="45"/>
      <c r="B2071" s="9">
        <f>IFERROR(__xludf.DUMMYFUNCTION("""COMPUTED_VALUE"""),45666.58856884259)</f>
        <v>45666.58857</v>
      </c>
      <c r="C2071" s="9"/>
      <c r="D2071" s="10">
        <f>IFERROR(__xludf.DUMMYFUNCTION("""COMPUTED_VALUE"""),45676.0)</f>
        <v>45676</v>
      </c>
      <c r="E2071" s="10" t="str">
        <f>IFERROR(__xludf.DUMMYFUNCTION("""COMPUTED_VALUE"""),"01Jan")</f>
        <v>01Jan</v>
      </c>
      <c r="F2071" s="10" t="str">
        <f>IFERROR(__xludf.DUMMYFUNCTION("""COMPUTED_VALUE"""),"2025")</f>
        <v>2025</v>
      </c>
      <c r="G2071" s="9" t="str">
        <f>IFERROR(__xludf.DUMMYFUNCTION("""COMPUTED_VALUE"""),"RERY KURNIAWAN")</f>
        <v>RERY KURNIAWAN</v>
      </c>
      <c r="H2071" s="35" t="str">
        <f>IFERROR(__xludf.DUMMYFUNCTION("""COMPUTED_VALUE"""),"R9425012977")</f>
        <v>R9425012977</v>
      </c>
      <c r="I2071" s="35">
        <f>IFERROR(__xludf.DUMMYFUNCTION("""COMPUTED_VALUE"""),31.0)</f>
        <v>31</v>
      </c>
      <c r="J2071" s="35" t="str">
        <f>IFERROR(__xludf.DUMMYFUNCTION("""COMPUTED_VALUE"""),"25-34 tahun")</f>
        <v>25-34 tahun</v>
      </c>
      <c r="K2071" s="19" t="str">
        <f>IFERROR(__xludf.DUMMYFUNCTION("""COMPUTED_VALUE"""),"12/12/1994")</f>
        <v>12/12/1994</v>
      </c>
      <c r="L2071" s="19" t="str">
        <f>IFERROR(__xludf.DUMMYFUNCTION("""COMPUTED_VALUE"""),"LAKI-LAKI")</f>
        <v>LAKI-LAKI</v>
      </c>
      <c r="M2071" s="36" t="str">
        <f>IFERROR(__xludf.DUMMYFUNCTION("""COMPUTED_VALUE"""),"JALAN SAFEI NO. 20")</f>
        <v>JALAN SAFEI NO. 20</v>
      </c>
      <c r="N2071" s="16" t="str">
        <f>IFERROR(__xludf.DUMMYFUNCTION("""COMPUTED_VALUE"""),"AKCAYA")</f>
        <v>AKCAYA</v>
      </c>
      <c r="O2071" s="16" t="str">
        <f>IFERROR(__xludf.DUMMYFUNCTION("""COMPUTED_VALUE"""),"PONTIANAK SELATAN")</f>
        <v>PONTIANAK SELATAN</v>
      </c>
      <c r="P2071" s="16" t="str">
        <f>IFERROR(__xludf.DUMMYFUNCTION("""COMPUTED_VALUE"""),"KOTA PONTIANAK")</f>
        <v>KOTA PONTIANAK</v>
      </c>
      <c r="Q2071" s="16" t="str">
        <f>IFERROR(__xludf.DUMMYFUNCTION("""COMPUTED_VALUE"""),"KALIMANTAN BARAT")</f>
        <v>KALIMANTAN BARAT</v>
      </c>
      <c r="R2071" s="19" t="str">
        <f>IFERROR(__xludf.DUMMYFUNCTION("""COMPUTED_VALUE"""),"ISLAM")</f>
        <v>ISLAM</v>
      </c>
      <c r="S2071" s="16" t="str">
        <f>IFERROR(__xludf.DUMMYFUNCTION("""COMPUTED_VALUE"""),"ASN")</f>
        <v>ASN</v>
      </c>
      <c r="T2071" s="16" t="str">
        <f>IFERROR(__xludf.DUMMYFUNCTION("""COMPUTED_VALUE"""),"CEDERA PADA ENGKEL.")</f>
        <v>CEDERA PADA ENGKEL.</v>
      </c>
      <c r="U2071" s="16" t="str">
        <f>IFERROR(__xludf.DUMMYFUNCTION("""COMPUTED_VALUE"""),"SEPAKBOLA")</f>
        <v>SEPAKBOLA</v>
      </c>
      <c r="V2071" s="11" t="str">
        <f>IFERROR(__xludf.DUMMYFUNCTION("""COMPUTED_VALUE"""),"085391362977")</f>
        <v>085391362977</v>
      </c>
      <c r="W2071" s="46"/>
    </row>
    <row r="2072">
      <c r="A2072" s="45"/>
      <c r="B2072" s="9">
        <f>IFERROR(__xludf.DUMMYFUNCTION("""COMPUTED_VALUE"""),45660.8209203125)</f>
        <v>45660.82092</v>
      </c>
      <c r="C2072" s="9"/>
      <c r="D2072" s="10">
        <f>IFERROR(__xludf.DUMMYFUNCTION("""COMPUTED_VALUE"""),45676.0)</f>
        <v>45676</v>
      </c>
      <c r="E2072" s="10" t="str">
        <f>IFERROR(__xludf.DUMMYFUNCTION("""COMPUTED_VALUE"""),"01Jan")</f>
        <v>01Jan</v>
      </c>
      <c r="F2072" s="10" t="str">
        <f>IFERROR(__xludf.DUMMYFUNCTION("""COMPUTED_VALUE"""),"2025")</f>
        <v>2025</v>
      </c>
      <c r="G2072" s="9" t="str">
        <f>IFERROR(__xludf.DUMMYFUNCTION("""COMPUTED_VALUE"""),"M DZAKI NUR FAKHRI")</f>
        <v>M DZAKI NUR FAKHRI</v>
      </c>
      <c r="H2072" s="35" t="str">
        <f>IFERROR(__xludf.DUMMYFUNCTION("""COMPUTED_VALUE"""),"M0625012662")</f>
        <v>M0625012662</v>
      </c>
      <c r="I2072" s="35">
        <f>IFERROR(__xludf.DUMMYFUNCTION("""COMPUTED_VALUE"""),20.0)</f>
        <v>20</v>
      </c>
      <c r="J2072" s="35" t="str">
        <f>IFERROR(__xludf.DUMMYFUNCTION("""COMPUTED_VALUE"""),"18-24 tahun")</f>
        <v>18-24 tahun</v>
      </c>
      <c r="K2072" s="19" t="str">
        <f>IFERROR(__xludf.DUMMYFUNCTION("""COMPUTED_VALUE"""),"02/05/2006")</f>
        <v>02/05/2006</v>
      </c>
      <c r="L2072" s="19" t="str">
        <f>IFERROR(__xludf.DUMMYFUNCTION("""COMPUTED_VALUE"""),"LAKI-LAKI")</f>
        <v>LAKI-LAKI</v>
      </c>
      <c r="M2072" s="36" t="str">
        <f>IFERROR(__xludf.DUMMYFUNCTION("""COMPUTED_VALUE"""),"JL. TRANS KALIMANTAN KOMP ALAMBHANA MKAMUR C.3 SUI AMBAWANG")</f>
        <v>JL. TRANS KALIMANTAN KOMP ALAMBHANA MKAMUR C.3 SUI AMBAWANG</v>
      </c>
      <c r="N2072" s="16" t="str">
        <f>IFERROR(__xludf.DUMMYFUNCTION("""COMPUTED_VALUE"""),"SUI AMBAWANG KUALA")</f>
        <v>SUI AMBAWANG KUALA</v>
      </c>
      <c r="O2072" s="16" t="str">
        <f>IFERROR(__xludf.DUMMYFUNCTION("""COMPUTED_VALUE"""),"SUI AMBAWANG")</f>
        <v>SUI AMBAWANG</v>
      </c>
      <c r="P2072" s="16" t="str">
        <f>IFERROR(__xludf.DUMMYFUNCTION("""COMPUTED_VALUE"""),"KUBU RAYA")</f>
        <v>KUBU RAYA</v>
      </c>
      <c r="Q2072" s="16" t="str">
        <f>IFERROR(__xludf.DUMMYFUNCTION("""COMPUTED_VALUE"""),"KALIMANTAN BARAT")</f>
        <v>KALIMANTAN BARAT</v>
      </c>
      <c r="R2072" s="19" t="str">
        <f>IFERROR(__xludf.DUMMYFUNCTION("""COMPUTED_VALUE"""),"ISLAM")</f>
        <v>ISLAM</v>
      </c>
      <c r="S2072" s="16" t="str">
        <f>IFERROR(__xludf.DUMMYFUNCTION("""COMPUTED_VALUE"""),"PELAJAR/MAHASISWA")</f>
        <v>PELAJAR/MAHASISWA</v>
      </c>
      <c r="T2072" s="16" t="str">
        <f>IFERROR(__xludf.DUMMYFUNCTION("""COMPUTED_VALUE"""),"KAKI O")</f>
        <v>KAKI O</v>
      </c>
      <c r="U2072" s="16" t="str">
        <f>IFERROR(__xludf.DUMMYFUNCTION("""COMPUTED_VALUE"""),"LARI DAN BASKET")</f>
        <v>LARI DAN BASKET</v>
      </c>
      <c r="V2072" s="11" t="str">
        <f>IFERROR(__xludf.DUMMYFUNCTION("""COMPUTED_VALUE"""),"089650122662")</f>
        <v>089650122662</v>
      </c>
      <c r="W2072" s="46"/>
    </row>
    <row r="2073">
      <c r="A2073" s="45"/>
      <c r="B2073" s="9">
        <f>IFERROR(__xludf.DUMMYFUNCTION("""COMPUTED_VALUE"""),45654.438835520836)</f>
        <v>45654.43884</v>
      </c>
      <c r="C2073" s="9"/>
      <c r="D2073" s="10">
        <f>IFERROR(__xludf.DUMMYFUNCTION("""COMPUTED_VALUE"""),45676.0)</f>
        <v>45676</v>
      </c>
      <c r="E2073" s="10" t="str">
        <f>IFERROR(__xludf.DUMMYFUNCTION("""COMPUTED_VALUE"""),"01Jan")</f>
        <v>01Jan</v>
      </c>
      <c r="F2073" s="10" t="str">
        <f>IFERROR(__xludf.DUMMYFUNCTION("""COMPUTED_VALUE"""),"2025")</f>
        <v>2025</v>
      </c>
      <c r="G2073" s="9" t="str">
        <f>IFERROR(__xludf.DUMMYFUNCTION("""COMPUTED_VALUE"""),"AYI SEBASTIAN")</f>
        <v>AYI SEBASTIAN</v>
      </c>
      <c r="H2073" s="35" t="str">
        <f>IFERROR(__xludf.DUMMYFUNCTION("""COMPUTED_VALUE"""),"A0025017268")</f>
        <v>A0025017268</v>
      </c>
      <c r="I2073" s="35">
        <f>IFERROR(__xludf.DUMMYFUNCTION("""COMPUTED_VALUE"""),25.0)</f>
        <v>25</v>
      </c>
      <c r="J2073" s="35" t="str">
        <f>IFERROR(__xludf.DUMMYFUNCTION("""COMPUTED_VALUE"""),"25-34 tahun")</f>
        <v>25-34 tahun</v>
      </c>
      <c r="K2073" s="19" t="str">
        <f>IFERROR(__xludf.DUMMYFUNCTION("""COMPUTED_VALUE"""),"27/12/2000")</f>
        <v>27/12/2000</v>
      </c>
      <c r="L2073" s="19" t="str">
        <f>IFERROR(__xludf.DUMMYFUNCTION("""COMPUTED_VALUE"""),"PEREMPUAN")</f>
        <v>PEREMPUAN</v>
      </c>
      <c r="M2073" s="36" t="str">
        <f>IFERROR(__xludf.DUMMYFUNCTION("""COMPUTED_VALUE"""),"GG RUKUN NO 14")</f>
        <v>GG RUKUN NO 14</v>
      </c>
      <c r="N2073" s="16" t="str">
        <f>IFERROR(__xludf.DUMMYFUNCTION("""COMPUTED_VALUE"""),"SUNGAI BANGKONG")</f>
        <v>SUNGAI BANGKONG</v>
      </c>
      <c r="O2073" s="16" t="str">
        <f>IFERROR(__xludf.DUMMYFUNCTION("""COMPUTED_VALUE"""),"PONTIANAK KOTA")</f>
        <v>PONTIANAK KOTA</v>
      </c>
      <c r="P2073" s="16" t="str">
        <f>IFERROR(__xludf.DUMMYFUNCTION("""COMPUTED_VALUE"""),"KOTA PINTU AK")</f>
        <v>KOTA PINTU AK</v>
      </c>
      <c r="Q2073" s="16" t="str">
        <f>IFERROR(__xludf.DUMMYFUNCTION("""COMPUTED_VALUE"""),"KALIMANTAN BARAT")</f>
        <v>KALIMANTAN BARAT</v>
      </c>
      <c r="R2073" s="19" t="str">
        <f>IFERROR(__xludf.DUMMYFUNCTION("""COMPUTED_VALUE"""),"ISLAM")</f>
        <v>ISLAM</v>
      </c>
      <c r="S2073" s="16" t="str">
        <f>IFERROR(__xludf.DUMMYFUNCTION("""COMPUTED_VALUE"""),"RUMAH TANGGA")</f>
        <v>RUMAH TANGGA</v>
      </c>
      <c r="T2073" s="16" t="str">
        <f>IFERROR(__xludf.DUMMYFUNCTION("""COMPUTED_VALUE"""),"ENGKEL KAKI")</f>
        <v>ENGKEL KAKI</v>
      </c>
      <c r="U2073" s="16" t="str">
        <f>IFERROR(__xludf.DUMMYFUNCTION("""COMPUTED_VALUE"""),"OLAH RAGA")</f>
        <v>OLAH RAGA</v>
      </c>
      <c r="V2073" s="11" t="str">
        <f>IFERROR(__xludf.DUMMYFUNCTION("""COMPUTED_VALUE"""),"0821811817268")</f>
        <v>0821811817268</v>
      </c>
      <c r="W2073" s="46"/>
    </row>
    <row r="2074">
      <c r="A2074" s="45"/>
      <c r="B2074" s="9">
        <f>IFERROR(__xludf.DUMMYFUNCTION("""COMPUTED_VALUE"""),45662.326977453704)</f>
        <v>45662.32698</v>
      </c>
      <c r="C2074" s="9"/>
      <c r="D2074" s="10">
        <f>IFERROR(__xludf.DUMMYFUNCTION("""COMPUTED_VALUE"""),45677.0)</f>
        <v>45677</v>
      </c>
      <c r="E2074" s="10" t="str">
        <f>IFERROR(__xludf.DUMMYFUNCTION("""COMPUTED_VALUE"""),"01Jan")</f>
        <v>01Jan</v>
      </c>
      <c r="F2074" s="10" t="str">
        <f>IFERROR(__xludf.DUMMYFUNCTION("""COMPUTED_VALUE"""),"2025")</f>
        <v>2025</v>
      </c>
      <c r="G2074" s="9" t="str">
        <f>IFERROR(__xludf.DUMMYFUNCTION("""COMPUTED_VALUE"""),"RACHMI WULAN")</f>
        <v>RACHMI WULAN</v>
      </c>
      <c r="H2074" s="35" t="str">
        <f>IFERROR(__xludf.DUMMYFUNCTION("""COMPUTED_VALUE"""),"R9625012853")</f>
        <v>R9625012853</v>
      </c>
      <c r="I2074" s="35">
        <f>IFERROR(__xludf.DUMMYFUNCTION("""COMPUTED_VALUE"""),30.0)</f>
        <v>30</v>
      </c>
      <c r="J2074" s="35" t="str">
        <f>IFERROR(__xludf.DUMMYFUNCTION("""COMPUTED_VALUE"""),"25-34 tahun")</f>
        <v>25-34 tahun</v>
      </c>
      <c r="K2074" s="19" t="str">
        <f>IFERROR(__xludf.DUMMYFUNCTION("""COMPUTED_VALUE"""),"25/01/1996")</f>
        <v>25/01/1996</v>
      </c>
      <c r="L2074" s="19" t="str">
        <f>IFERROR(__xludf.DUMMYFUNCTION("""COMPUTED_VALUE"""),"PEREMPUAN")</f>
        <v>PEREMPUAN</v>
      </c>
      <c r="M2074" s="36" t="str">
        <f>IFERROR(__xludf.DUMMYFUNCTION("""COMPUTED_VALUE"""),"JLN NUSA INDAH RT 05 RW 02 DSN KRANDEGAN")</f>
        <v>JLN NUSA INDAH RT 05 RW 02 DSN KRANDEGAN</v>
      </c>
      <c r="N2074" s="16" t="str">
        <f>IFERROR(__xludf.DUMMYFUNCTION("""COMPUTED_VALUE"""),"KALIDAWIR")</f>
        <v>KALIDAWIR</v>
      </c>
      <c r="O2074" s="16" t="str">
        <f>IFERROR(__xludf.DUMMYFUNCTION("""COMPUTED_VALUE"""),"KALIDAWIR")</f>
        <v>KALIDAWIR</v>
      </c>
      <c r="P2074" s="16" t="str">
        <f>IFERROR(__xludf.DUMMYFUNCTION("""COMPUTED_VALUE"""),"TULUNGAGUNG")</f>
        <v>TULUNGAGUNG</v>
      </c>
      <c r="Q2074" s="16" t="str">
        <f>IFERROR(__xludf.DUMMYFUNCTION("""COMPUTED_VALUE"""),"JAWA TIMUR")</f>
        <v>JAWA TIMUR</v>
      </c>
      <c r="R2074" s="19" t="str">
        <f>IFERROR(__xludf.DUMMYFUNCTION("""COMPUTED_VALUE"""),"ISLAM")</f>
        <v>ISLAM</v>
      </c>
      <c r="S2074" s="16" t="str">
        <f>IFERROR(__xludf.DUMMYFUNCTION("""COMPUTED_VALUE"""),"ASN")</f>
        <v>ASN</v>
      </c>
      <c r="T2074" s="16" t="str">
        <f>IFERROR(__xludf.DUMMYFUNCTION("""COMPUTED_VALUE"""),"NYERI BAGIAN LUTUT SETIAP SETELAH LARI DIATAS 6KM")</f>
        <v>NYERI BAGIAN LUTUT SETIAP SETELAH LARI DIATAS 6KM</v>
      </c>
      <c r="U2074" s="16" t="str">
        <f>IFERROR(__xludf.DUMMYFUNCTION("""COMPUTED_VALUE"""),"LARI")</f>
        <v>LARI</v>
      </c>
      <c r="V2074" s="11" t="str">
        <f>IFERROR(__xludf.DUMMYFUNCTION("""COMPUTED_VALUE"""),"082228882853")</f>
        <v>082228882853</v>
      </c>
      <c r="W2074" s="46"/>
    </row>
    <row r="2075">
      <c r="A2075" s="45"/>
      <c r="B2075" s="9">
        <f>IFERROR(__xludf.DUMMYFUNCTION("""COMPUTED_VALUE"""),45662.455221041666)</f>
        <v>45662.45522</v>
      </c>
      <c r="C2075" s="9"/>
      <c r="D2075" s="10">
        <f>IFERROR(__xludf.DUMMYFUNCTION("""COMPUTED_VALUE"""),45677.0)</f>
        <v>45677</v>
      </c>
      <c r="E2075" s="10" t="str">
        <f>IFERROR(__xludf.DUMMYFUNCTION("""COMPUTED_VALUE"""),"01Jan")</f>
        <v>01Jan</v>
      </c>
      <c r="F2075" s="10" t="str">
        <f>IFERROR(__xludf.DUMMYFUNCTION("""COMPUTED_VALUE"""),"2025")</f>
        <v>2025</v>
      </c>
      <c r="G2075" s="9" t="str">
        <f>IFERROR(__xludf.DUMMYFUNCTION("""COMPUTED_VALUE"""),"M.RAFI ALFAID")</f>
        <v>M.RAFI ALFAID</v>
      </c>
      <c r="H2075" s="35" t="str">
        <f>IFERROR(__xludf.DUMMYFUNCTION("""COMPUTED_VALUE"""),"M1425012130")</f>
        <v>M1425012130</v>
      </c>
      <c r="I2075" s="35">
        <f>IFERROR(__xludf.DUMMYFUNCTION("""COMPUTED_VALUE"""),12.0)</f>
        <v>12</v>
      </c>
      <c r="J2075" s="35" t="str">
        <f>IFERROR(__xludf.DUMMYFUNCTION("""COMPUTED_VALUE"""),"&lt; 18 tahun")</f>
        <v>&lt; 18 tahun</v>
      </c>
      <c r="K2075" s="19" t="str">
        <f>IFERROR(__xludf.DUMMYFUNCTION("""COMPUTED_VALUE"""),"09/03/2014")</f>
        <v>09/03/2014</v>
      </c>
      <c r="L2075" s="19" t="str">
        <f>IFERROR(__xludf.DUMMYFUNCTION("""COMPUTED_VALUE"""),"LAKI-LAKI")</f>
        <v>LAKI-LAKI</v>
      </c>
      <c r="M2075" s="36" t="str">
        <f>IFERROR(__xludf.DUMMYFUNCTION("""COMPUTED_VALUE"""),"JLN.KARET ,KOMP.SEJAHTERA 2 NOMOR E7")</f>
        <v>JLN.KARET ,KOMP.SEJAHTERA 2 NOMOR E7</v>
      </c>
      <c r="N2075" s="16" t="str">
        <f>IFERROR(__xludf.DUMMYFUNCTION("""COMPUTED_VALUE"""),"SUI BELIUNG")</f>
        <v>SUI BELIUNG</v>
      </c>
      <c r="O2075" s="16" t="str">
        <f>IFERROR(__xludf.DUMMYFUNCTION("""COMPUTED_VALUE"""),"PONTIANAK BARAT")</f>
        <v>PONTIANAK BARAT</v>
      </c>
      <c r="P2075" s="16" t="str">
        <f>IFERROR(__xludf.DUMMYFUNCTION("""COMPUTED_VALUE"""),"PONTIANAK")</f>
        <v>PONTIANAK</v>
      </c>
      <c r="Q2075" s="16" t="str">
        <f>IFERROR(__xludf.DUMMYFUNCTION("""COMPUTED_VALUE"""),"KALIMANTAN BARAT")</f>
        <v>KALIMANTAN BARAT</v>
      </c>
      <c r="R2075" s="19" t="str">
        <f>IFERROR(__xludf.DUMMYFUNCTION("""COMPUTED_VALUE"""),"ISLAM")</f>
        <v>ISLAM</v>
      </c>
      <c r="S2075" s="16" t="str">
        <f>IFERROR(__xludf.DUMMYFUNCTION("""COMPUTED_VALUE"""),"PELAJAR/MAHASISWA")</f>
        <v>PELAJAR/MAHASISWA</v>
      </c>
      <c r="T2075" s="16" t="str">
        <f>IFERROR(__xludf.DUMMYFUNCTION("""COMPUTED_VALUE"""),"SAKIT KAKI SEBELAH KANAN, DARI PAHA SAMPAI KE ENGKEL KAKI")</f>
        <v>SAKIT KAKI SEBELAH KANAN, DARI PAHA SAMPAI KE ENGKEL KAKI</v>
      </c>
      <c r="U2075" s="16" t="str">
        <f>IFERROR(__xludf.DUMMYFUNCTION("""COMPUTED_VALUE"""),"BERMAIN BOLA")</f>
        <v>BERMAIN BOLA</v>
      </c>
      <c r="V2075" s="11" t="str">
        <f>IFERROR(__xludf.DUMMYFUNCTION("""COMPUTED_VALUE"""),"082157792130")</f>
        <v>082157792130</v>
      </c>
      <c r="W2075" s="46"/>
    </row>
    <row r="2076">
      <c r="A2076" s="45"/>
      <c r="B2076" s="9">
        <f>IFERROR(__xludf.DUMMYFUNCTION("""COMPUTED_VALUE"""),45662.76382385417)</f>
        <v>45662.76382</v>
      </c>
      <c r="C2076" s="9"/>
      <c r="D2076" s="10">
        <f>IFERROR(__xludf.DUMMYFUNCTION("""COMPUTED_VALUE"""),45678.0)</f>
        <v>45678</v>
      </c>
      <c r="E2076" s="10" t="str">
        <f>IFERROR(__xludf.DUMMYFUNCTION("""COMPUTED_VALUE"""),"01Jan")</f>
        <v>01Jan</v>
      </c>
      <c r="F2076" s="10" t="str">
        <f>IFERROR(__xludf.DUMMYFUNCTION("""COMPUTED_VALUE"""),"2025")</f>
        <v>2025</v>
      </c>
      <c r="G2076" s="9" t="str">
        <f>IFERROR(__xludf.DUMMYFUNCTION("""COMPUTED_VALUE"""),"EGI KARYANTO")</f>
        <v>EGI KARYANTO</v>
      </c>
      <c r="H2076" s="35" t="str">
        <f>IFERROR(__xludf.DUMMYFUNCTION("""COMPUTED_VALUE"""),"E9425013599")</f>
        <v>E9425013599</v>
      </c>
      <c r="I2076" s="35">
        <f>IFERROR(__xludf.DUMMYFUNCTION("""COMPUTED_VALUE"""),31.0)</f>
        <v>31</v>
      </c>
      <c r="J2076" s="35" t="str">
        <f>IFERROR(__xludf.DUMMYFUNCTION("""COMPUTED_VALUE"""),"25-34 tahun")</f>
        <v>25-34 tahun</v>
      </c>
      <c r="K2076" s="19">
        <f>IFERROR(__xludf.DUMMYFUNCTION("""COMPUTED_VALUE"""),34692.0)</f>
        <v>34692</v>
      </c>
      <c r="L2076" s="19" t="str">
        <f>IFERROR(__xludf.DUMMYFUNCTION("""COMPUTED_VALUE"""),"LAKI-LAKI")</f>
        <v>LAKI-LAKI</v>
      </c>
      <c r="M2076" s="36" t="str">
        <f>IFERROR(__xludf.DUMMYFUNCTION("""COMPUTED_VALUE"""),"JL. P GIRI MUSTIKA")</f>
        <v>JL. P GIRI MUSTIKA</v>
      </c>
      <c r="N2076" s="16" t="str">
        <f>IFERROR(__xludf.DUMMYFUNCTION("""COMPUTED_VALUE"""),"KAUMAN")</f>
        <v>KAUMAN</v>
      </c>
      <c r="O2076" s="16" t="str">
        <f>IFERROR(__xludf.DUMMYFUNCTION("""COMPUTED_VALUE"""),"BENUA KAYONG")</f>
        <v>BENUA KAYONG</v>
      </c>
      <c r="P2076" s="16" t="str">
        <f>IFERROR(__xludf.DUMMYFUNCTION("""COMPUTED_VALUE"""),"KETAPANG")</f>
        <v>KETAPANG</v>
      </c>
      <c r="Q2076" s="16" t="str">
        <f>IFERROR(__xludf.DUMMYFUNCTION("""COMPUTED_VALUE"""),"KALIMANTAN BARAT")</f>
        <v>KALIMANTAN BARAT</v>
      </c>
      <c r="R2076" s="19" t="str">
        <f>IFERROR(__xludf.DUMMYFUNCTION("""COMPUTED_VALUE"""),"ISLAM")</f>
        <v>ISLAM</v>
      </c>
      <c r="S2076" s="16" t="str">
        <f>IFERROR(__xludf.DUMMYFUNCTION("""COMPUTED_VALUE"""),"TENAGA KONTRAK")</f>
        <v>TENAGA KONTRAK</v>
      </c>
      <c r="T2076" s="16" t="str">
        <f>IFERROR(__xludf.DUMMYFUNCTION("""COMPUTED_VALUE"""),"HABIS OPERASI TANDON ARCHILLES")</f>
        <v>HABIS OPERASI TANDON ARCHILLES</v>
      </c>
      <c r="U2076" s="16" t="str">
        <f>IFERROR(__xludf.DUMMYFUNCTION("""COMPUTED_VALUE"""),"SEPAK BOLA")</f>
        <v>SEPAK BOLA</v>
      </c>
      <c r="V2076" s="11" t="str">
        <f>IFERROR(__xludf.DUMMYFUNCTION("""COMPUTED_VALUE"""),"85252323599")</f>
        <v>85252323599</v>
      </c>
      <c r="W2076" s="46"/>
    </row>
    <row r="2077">
      <c r="A2077" s="45"/>
      <c r="B2077" s="9">
        <f>IFERROR(__xludf.DUMMYFUNCTION("""COMPUTED_VALUE"""),45663.322244027775)</f>
        <v>45663.32224</v>
      </c>
      <c r="C2077" s="9"/>
      <c r="D2077" s="10">
        <f>IFERROR(__xludf.DUMMYFUNCTION("""COMPUTED_VALUE"""),45678.0)</f>
        <v>45678</v>
      </c>
      <c r="E2077" s="10" t="str">
        <f>IFERROR(__xludf.DUMMYFUNCTION("""COMPUTED_VALUE"""),"01Jan")</f>
        <v>01Jan</v>
      </c>
      <c r="F2077" s="10" t="str">
        <f>IFERROR(__xludf.DUMMYFUNCTION("""COMPUTED_VALUE"""),"2025")</f>
        <v>2025</v>
      </c>
      <c r="G2077" s="9" t="str">
        <f>IFERROR(__xludf.DUMMYFUNCTION("""COMPUTED_VALUE"""),"RYANTO HARTONO")</f>
        <v>RYANTO HARTONO</v>
      </c>
      <c r="H2077" s="35" t="str">
        <f>IFERROR(__xludf.DUMMYFUNCTION("""COMPUTED_VALUE"""),"R9325015851")</f>
        <v>R9325015851</v>
      </c>
      <c r="I2077" s="35">
        <f>IFERROR(__xludf.DUMMYFUNCTION("""COMPUTED_VALUE"""),32.0)</f>
        <v>32</v>
      </c>
      <c r="J2077" s="35" t="str">
        <f>IFERROR(__xludf.DUMMYFUNCTION("""COMPUTED_VALUE"""),"25-34 tahun")</f>
        <v>25-34 tahun</v>
      </c>
      <c r="K2077" s="19" t="str">
        <f>IFERROR(__xludf.DUMMYFUNCTION("""COMPUTED_VALUE"""),"25/10/1993")</f>
        <v>25/10/1993</v>
      </c>
      <c r="L2077" s="19" t="str">
        <f>IFERROR(__xludf.DUMMYFUNCTION("""COMPUTED_VALUE"""),"LAKI-LAKI")</f>
        <v>LAKI-LAKI</v>
      </c>
      <c r="M2077" s="36" t="str">
        <f>IFERROR(__xludf.DUMMYFUNCTION("""COMPUTED_VALUE"""),"JL. PUTRI CANDRAMIDI NO.26B")</f>
        <v>JL. PUTRI CANDRAMIDI NO.26B</v>
      </c>
      <c r="N2077" s="16" t="str">
        <f>IFERROR(__xludf.DUMMYFUNCTION("""COMPUTED_VALUE"""),"SEI BANGKONG")</f>
        <v>SEI BANGKONG</v>
      </c>
      <c r="O2077" s="16" t="str">
        <f>IFERROR(__xludf.DUMMYFUNCTION("""COMPUTED_VALUE"""),"PONTIANAK KOTA")</f>
        <v>PONTIANAK KOTA</v>
      </c>
      <c r="P2077" s="16" t="str">
        <f>IFERROR(__xludf.DUMMYFUNCTION("""COMPUTED_VALUE"""),"KOTA PONTIANAK")</f>
        <v>KOTA PONTIANAK</v>
      </c>
      <c r="Q2077" s="16" t="str">
        <f>IFERROR(__xludf.DUMMYFUNCTION("""COMPUTED_VALUE"""),"KALIMANTAN BARAT")</f>
        <v>KALIMANTAN BARAT</v>
      </c>
      <c r="R2077" s="19" t="str">
        <f>IFERROR(__xludf.DUMMYFUNCTION("""COMPUTED_VALUE"""),"KATOLIK")</f>
        <v>KATOLIK</v>
      </c>
      <c r="S2077" s="16" t="str">
        <f>IFERROR(__xludf.DUMMYFUNCTION("""COMPUTED_VALUE"""),"WIRASWASTA")</f>
        <v>WIRASWASTA</v>
      </c>
      <c r="T2077" s="16" t="str">
        <f>IFERROR(__xludf.DUMMYFUNCTION("""COMPUTED_VALUE"""),"CEDERA LUTUT")</f>
        <v>CEDERA LUTUT</v>
      </c>
      <c r="U2077" s="16" t="str">
        <f>IFERROR(__xludf.DUMMYFUNCTION("""COMPUTED_VALUE"""),"SEPAK BOLA")</f>
        <v>SEPAK BOLA</v>
      </c>
      <c r="V2077" s="11" t="str">
        <f>IFERROR(__xludf.DUMMYFUNCTION("""COMPUTED_VALUE"""),"081513035851")</f>
        <v>081513035851</v>
      </c>
      <c r="W2077" s="46"/>
    </row>
    <row r="2078">
      <c r="A2078" s="45"/>
      <c r="B2078" s="9">
        <f>IFERROR(__xludf.DUMMYFUNCTION("""COMPUTED_VALUE"""),45663.45704760417)</f>
        <v>45663.45705</v>
      </c>
      <c r="C2078" s="9"/>
      <c r="D2078" s="10">
        <f>IFERROR(__xludf.DUMMYFUNCTION("""COMPUTED_VALUE"""),45678.0)</f>
        <v>45678</v>
      </c>
      <c r="E2078" s="10" t="str">
        <f>IFERROR(__xludf.DUMMYFUNCTION("""COMPUTED_VALUE"""),"01Jan")</f>
        <v>01Jan</v>
      </c>
      <c r="F2078" s="10" t="str">
        <f>IFERROR(__xludf.DUMMYFUNCTION("""COMPUTED_VALUE"""),"2025")</f>
        <v>2025</v>
      </c>
      <c r="G2078" s="9" t="str">
        <f>IFERROR(__xludf.DUMMYFUNCTION("""COMPUTED_VALUE"""),"SITI RUKASIH")</f>
        <v>SITI RUKASIH</v>
      </c>
      <c r="H2078" s="35" t="str">
        <f>IFERROR(__xludf.DUMMYFUNCTION("""COMPUTED_VALUE"""),"S5925017897")</f>
        <v>S5925017897</v>
      </c>
      <c r="I2078" s="35">
        <f>IFERROR(__xludf.DUMMYFUNCTION("""COMPUTED_VALUE"""),67.0)</f>
        <v>67</v>
      </c>
      <c r="J2078" s="35" t="str">
        <f>IFERROR(__xludf.DUMMYFUNCTION("""COMPUTED_VALUE"""),"&gt; 44 tahun")</f>
        <v>&gt; 44 tahun</v>
      </c>
      <c r="K2078" s="19" t="str">
        <f>IFERROR(__xludf.DUMMYFUNCTION("""COMPUTED_VALUE"""),"05/05/1959")</f>
        <v>05/05/1959</v>
      </c>
      <c r="L2078" s="19" t="str">
        <f>IFERROR(__xludf.DUMMYFUNCTION("""COMPUTED_VALUE"""),"PEREMPUAN")</f>
        <v>PEREMPUAN</v>
      </c>
      <c r="M2078" s="36" t="str">
        <f>IFERROR(__xludf.DUMMYFUNCTION("""COMPUTED_VALUE"""),"KHALAN 28 OKTOBER")</f>
        <v>KHALAN 28 OKTOBER</v>
      </c>
      <c r="N2078" s="16" t="str">
        <f>IFERROR(__xludf.DUMMYFUNCTION("""COMPUTED_VALUE"""),"SIANTAN HULU")</f>
        <v>SIANTAN HULU</v>
      </c>
      <c r="O2078" s="16" t="str">
        <f>IFERROR(__xludf.DUMMYFUNCTION("""COMPUTED_VALUE"""),"PONTINAK UTARA")</f>
        <v>PONTINAK UTARA</v>
      </c>
      <c r="P2078" s="16" t="str">
        <f>IFERROR(__xludf.DUMMYFUNCTION("""COMPUTED_VALUE"""),"PONTIANAK")</f>
        <v>PONTIANAK</v>
      </c>
      <c r="Q2078" s="16" t="str">
        <f>IFERROR(__xludf.DUMMYFUNCTION("""COMPUTED_VALUE"""),"KALIMANTAN BARAT")</f>
        <v>KALIMANTAN BARAT</v>
      </c>
      <c r="R2078" s="19" t="str">
        <f>IFERROR(__xludf.DUMMYFUNCTION("""COMPUTED_VALUE"""),"ISLAM")</f>
        <v>ISLAM</v>
      </c>
      <c r="S2078" s="16" t="str">
        <f>IFERROR(__xludf.DUMMYFUNCTION("""COMPUTED_VALUE"""),"DEWAN DPRD KOTA PONTIANAK")</f>
        <v>DEWAN DPRD KOTA PONTIANAK</v>
      </c>
      <c r="T2078" s="16" t="str">
        <f>IFERROR(__xludf.DUMMYFUNCTION("""COMPUTED_VALUE"""),"SAKIT PADA BAGIAN PAHAN")</f>
        <v>SAKIT PADA BAGIAN PAHAN</v>
      </c>
      <c r="U2078" s="16" t="str">
        <f>IFERROR(__xludf.DUMMYFUNCTION("""COMPUTED_VALUE"""),"BEKEMAS RUMAH")</f>
        <v>BEKEMAS RUMAH</v>
      </c>
      <c r="V2078" s="11" t="str">
        <f>IFERROR(__xludf.DUMMYFUNCTION("""COMPUTED_VALUE"""),"089676587897")</f>
        <v>089676587897</v>
      </c>
      <c r="W2078" s="46"/>
    </row>
    <row r="2079">
      <c r="A2079" s="45"/>
      <c r="B2079" s="9">
        <f>IFERROR(__xludf.DUMMYFUNCTION("""COMPUTED_VALUE"""),45663.864529224535)</f>
        <v>45663.86453</v>
      </c>
      <c r="C2079" s="9"/>
      <c r="D2079" s="10">
        <f>IFERROR(__xludf.DUMMYFUNCTION("""COMPUTED_VALUE"""),45678.0)</f>
        <v>45678</v>
      </c>
      <c r="E2079" s="10" t="str">
        <f>IFERROR(__xludf.DUMMYFUNCTION("""COMPUTED_VALUE"""),"01Jan")</f>
        <v>01Jan</v>
      </c>
      <c r="F2079" s="10" t="str">
        <f>IFERROR(__xludf.DUMMYFUNCTION("""COMPUTED_VALUE"""),"2025")</f>
        <v>2025</v>
      </c>
      <c r="G2079" s="9" t="str">
        <f>IFERROR(__xludf.DUMMYFUNCTION("""COMPUTED_VALUE"""),"AHLUN NAZHA DE'AIRLANGGA")</f>
        <v>AHLUN NAZHA DE'AIRLANGGA</v>
      </c>
      <c r="H2079" s="35" t="str">
        <f>IFERROR(__xludf.DUMMYFUNCTION("""COMPUTED_VALUE"""),"A0225013775")</f>
        <v>A0225013775</v>
      </c>
      <c r="I2079" s="35">
        <f>IFERROR(__xludf.DUMMYFUNCTION("""COMPUTED_VALUE"""),23.0)</f>
        <v>23</v>
      </c>
      <c r="J2079" s="35" t="str">
        <f>IFERROR(__xludf.DUMMYFUNCTION("""COMPUTED_VALUE"""),"18-24 tahun")</f>
        <v>18-24 tahun</v>
      </c>
      <c r="K2079" s="19" t="str">
        <f>IFERROR(__xludf.DUMMYFUNCTION("""COMPUTED_VALUE"""),"23/07/2002")</f>
        <v>23/07/2002</v>
      </c>
      <c r="L2079" s="19" t="str">
        <f>IFERROR(__xludf.DUMMYFUNCTION("""COMPUTED_VALUE"""),"LAKI-LAKI")</f>
        <v>LAKI-LAKI</v>
      </c>
      <c r="M2079" s="36" t="str">
        <f>IFERROR(__xludf.DUMMYFUNCTION("""COMPUTED_VALUE"""),"JL. DANAU SENTARUM GG. PAK MAJID 1 NO. 1")</f>
        <v>JL. DANAU SENTARUM GG. PAK MAJID 1 NO. 1</v>
      </c>
      <c r="N2079" s="16" t="str">
        <f>IFERROR(__xludf.DUMMYFUNCTION("""COMPUTED_VALUE"""),"SUNGAI BANGKONG")</f>
        <v>SUNGAI BANGKONG</v>
      </c>
      <c r="O2079" s="16" t="str">
        <f>IFERROR(__xludf.DUMMYFUNCTION("""COMPUTED_VALUE"""),"PONTIANAK KOTA")</f>
        <v>PONTIANAK KOTA</v>
      </c>
      <c r="P2079" s="16" t="str">
        <f>IFERROR(__xludf.DUMMYFUNCTION("""COMPUTED_VALUE"""),"KOTA PONTIANAK")</f>
        <v>KOTA PONTIANAK</v>
      </c>
      <c r="Q2079" s="16" t="str">
        <f>IFERROR(__xludf.DUMMYFUNCTION("""COMPUTED_VALUE"""),"KALIMANTAN BARAT")</f>
        <v>KALIMANTAN BARAT</v>
      </c>
      <c r="R2079" s="19" t="str">
        <f>IFERROR(__xludf.DUMMYFUNCTION("""COMPUTED_VALUE"""),"ISLAM")</f>
        <v>ISLAM</v>
      </c>
      <c r="S2079" s="16" t="str">
        <f>IFERROR(__xludf.DUMMYFUNCTION("""COMPUTED_VALUE"""),"PELAJAR/MAHASISWA")</f>
        <v>PELAJAR/MAHASISWA</v>
      </c>
      <c r="T2079" s="16" t="str">
        <f>IFERROR(__xludf.DUMMYFUNCTION("""COMPUTED_VALUE"""),"SAKIT TULANG PUNGGUNG ATAS")</f>
        <v>SAKIT TULANG PUNGGUNG ATAS</v>
      </c>
      <c r="U2079" s="16" t="str">
        <f>IFERROR(__xludf.DUMMYFUNCTION("""COMPUTED_VALUE"""),"OLAHRAGA DAN NARI")</f>
        <v>OLAHRAGA DAN NARI</v>
      </c>
      <c r="V2079" s="11" t="str">
        <f>IFERROR(__xludf.DUMMYFUNCTION("""COMPUTED_VALUE"""),"089694013775")</f>
        <v>089694013775</v>
      </c>
      <c r="W2079" s="46"/>
    </row>
    <row r="2080">
      <c r="A2080" s="45"/>
      <c r="B2080" s="9">
        <f>IFERROR(__xludf.DUMMYFUNCTION("""COMPUTED_VALUE"""),45664.453273935185)</f>
        <v>45664.45327</v>
      </c>
      <c r="C2080" s="9"/>
      <c r="D2080" s="10">
        <f>IFERROR(__xludf.DUMMYFUNCTION("""COMPUTED_VALUE"""),45678.0)</f>
        <v>45678</v>
      </c>
      <c r="E2080" s="10" t="str">
        <f>IFERROR(__xludf.DUMMYFUNCTION("""COMPUTED_VALUE"""),"01Jan")</f>
        <v>01Jan</v>
      </c>
      <c r="F2080" s="10" t="str">
        <f>IFERROR(__xludf.DUMMYFUNCTION("""COMPUTED_VALUE"""),"2025")</f>
        <v>2025</v>
      </c>
      <c r="G2080" s="9" t="str">
        <f>IFERROR(__xludf.DUMMYFUNCTION("""COMPUTED_VALUE"""),"YANTI")</f>
        <v>YANTI</v>
      </c>
      <c r="H2080" s="35" t="str">
        <f>IFERROR(__xludf.DUMMYFUNCTION("""COMPUTED_VALUE"""),"Y6225011402")</f>
        <v>Y6225011402</v>
      </c>
      <c r="I2080" s="35">
        <f>IFERROR(__xludf.DUMMYFUNCTION("""COMPUTED_VALUE"""),64.0)</f>
        <v>64</v>
      </c>
      <c r="J2080" s="35" t="str">
        <f>IFERROR(__xludf.DUMMYFUNCTION("""COMPUTED_VALUE"""),"&gt; 44 tahun")</f>
        <v>&gt; 44 tahun</v>
      </c>
      <c r="K2080" s="19" t="str">
        <f>IFERROR(__xludf.DUMMYFUNCTION("""COMPUTED_VALUE"""),"16/05/1962")</f>
        <v>16/05/1962</v>
      </c>
      <c r="L2080" s="19" t="str">
        <f>IFERROR(__xludf.DUMMYFUNCTION("""COMPUTED_VALUE"""),"PEREMPUAN")</f>
        <v>PEREMPUAN</v>
      </c>
      <c r="M2080" s="36" t="str">
        <f>IFERROR(__xludf.DUMMYFUNCTION("""COMPUTED_VALUE"""),"PEMANGKAT")</f>
        <v>PEMANGKAT</v>
      </c>
      <c r="N2080" s="16" t="str">
        <f>IFERROR(__xludf.DUMMYFUNCTION("""COMPUTED_VALUE"""),"PEMANGKAT")</f>
        <v>PEMANGKAT</v>
      </c>
      <c r="O2080" s="16" t="str">
        <f>IFERROR(__xludf.DUMMYFUNCTION("""COMPUTED_VALUE"""),"PEMNGKAT")</f>
        <v>PEMNGKAT</v>
      </c>
      <c r="P2080" s="16" t="str">
        <f>IFERROR(__xludf.DUMMYFUNCTION("""COMPUTED_VALUE"""),"KAB. SAMBAS")</f>
        <v>KAB. SAMBAS</v>
      </c>
      <c r="Q2080" s="16" t="str">
        <f>IFERROR(__xludf.DUMMYFUNCTION("""COMPUTED_VALUE"""),"KALIMANTAN BARAT")</f>
        <v>KALIMANTAN BARAT</v>
      </c>
      <c r="R2080" s="19" t="str">
        <f>IFERROR(__xludf.DUMMYFUNCTION("""COMPUTED_VALUE"""),"ISLAM")</f>
        <v>ISLAM</v>
      </c>
      <c r="S2080" s="16" t="str">
        <f>IFERROR(__xludf.DUMMYFUNCTION("""COMPUTED_VALUE"""),"ASN")</f>
        <v>ASN</v>
      </c>
      <c r="T2080" s="16" t="str">
        <f>IFERROR(__xludf.DUMMYFUNCTION("""COMPUTED_VALUE"""),"BAHU")</f>
        <v>BAHU</v>
      </c>
      <c r="U2080" s="16" t="str">
        <f>IFERROR(__xludf.DUMMYFUNCTION("""COMPUTED_VALUE"""),"KERJA")</f>
        <v>KERJA</v>
      </c>
      <c r="V2080" s="11" t="str">
        <f>IFERROR(__xludf.DUMMYFUNCTION("""COMPUTED_VALUE"""),"081346841402")</f>
        <v>081346841402</v>
      </c>
      <c r="W2080" s="46"/>
    </row>
    <row r="2081">
      <c r="A2081" s="45"/>
      <c r="B2081" s="9">
        <f>IFERROR(__xludf.DUMMYFUNCTION("""COMPUTED_VALUE"""),45665.447516851855)</f>
        <v>45665.44752</v>
      </c>
      <c r="C2081" s="9"/>
      <c r="D2081" s="10">
        <f>IFERROR(__xludf.DUMMYFUNCTION("""COMPUTED_VALUE"""),45678.0)</f>
        <v>45678</v>
      </c>
      <c r="E2081" s="10" t="str">
        <f>IFERROR(__xludf.DUMMYFUNCTION("""COMPUTED_VALUE"""),"01Jan")</f>
        <v>01Jan</v>
      </c>
      <c r="F2081" s="10" t="str">
        <f>IFERROR(__xludf.DUMMYFUNCTION("""COMPUTED_VALUE"""),"2025")</f>
        <v>2025</v>
      </c>
      <c r="G2081" s="9" t="str">
        <f>IFERROR(__xludf.DUMMYFUNCTION("""COMPUTED_VALUE"""),"SUDIRMAN")</f>
        <v>SUDIRMAN</v>
      </c>
      <c r="H2081" s="35" t="str">
        <f>IFERROR(__xludf.DUMMYFUNCTION("""COMPUTED_VALUE"""),"S8225012500")</f>
        <v>S8225012500</v>
      </c>
      <c r="I2081" s="35">
        <f>IFERROR(__xludf.DUMMYFUNCTION("""COMPUTED_VALUE"""),44.0)</f>
        <v>44</v>
      </c>
      <c r="J2081" s="35" t="str">
        <f>IFERROR(__xludf.DUMMYFUNCTION("""COMPUTED_VALUE"""),"35-44 tahun")</f>
        <v>35-44 tahun</v>
      </c>
      <c r="K2081" s="19" t="str">
        <f>IFERROR(__xludf.DUMMYFUNCTION("""COMPUTED_VALUE"""),"10/02/1982")</f>
        <v>10/02/1982</v>
      </c>
      <c r="L2081" s="19" t="str">
        <f>IFERROR(__xludf.DUMMYFUNCTION("""COMPUTED_VALUE"""),"LAKI-LAKI")</f>
        <v>LAKI-LAKI</v>
      </c>
      <c r="M2081" s="36" t="str">
        <f>IFERROR(__xludf.DUMMYFUNCTION("""COMPUTED_VALUE"""),"JL. URAY BAWADI GG. TIZIA NO 57")</f>
        <v>JL. URAY BAWADI GG. TIZIA NO 57</v>
      </c>
      <c r="N2081" s="16" t="str">
        <f>IFERROR(__xludf.DUMMYFUNCTION("""COMPUTED_VALUE"""),"PONTIANAK")</f>
        <v>PONTIANAK</v>
      </c>
      <c r="O2081" s="16" t="str">
        <f>IFERROR(__xludf.DUMMYFUNCTION("""COMPUTED_VALUE"""),"PONTIANAK")</f>
        <v>PONTIANAK</v>
      </c>
      <c r="P2081" s="16" t="str">
        <f>IFERROR(__xludf.DUMMYFUNCTION("""COMPUTED_VALUE"""),"KOTA PONTIANAK")</f>
        <v>KOTA PONTIANAK</v>
      </c>
      <c r="Q2081" s="16" t="str">
        <f>IFERROR(__xludf.DUMMYFUNCTION("""COMPUTED_VALUE"""),"KALIMANTAN BARAT")</f>
        <v>KALIMANTAN BARAT</v>
      </c>
      <c r="R2081" s="19" t="str">
        <f>IFERROR(__xludf.DUMMYFUNCTION("""COMPUTED_VALUE"""),"ISLAM")</f>
        <v>ISLAM</v>
      </c>
      <c r="S2081" s="16" t="str">
        <f>IFERROR(__xludf.DUMMYFUNCTION("""COMPUTED_VALUE"""),"WIRASWASTA")</f>
        <v>WIRASWASTA</v>
      </c>
      <c r="T2081" s="16" t="str">
        <f>IFERROR(__xludf.DUMMYFUNCTION("""COMPUTED_VALUE"""),"PINGGANG")</f>
        <v>PINGGANG</v>
      </c>
      <c r="U2081" s="16" t="str">
        <f>IFERROR(__xludf.DUMMYFUNCTION("""COMPUTED_VALUE"""),"KERJA")</f>
        <v>KERJA</v>
      </c>
      <c r="V2081" s="11" t="str">
        <f>IFERROR(__xludf.DUMMYFUNCTION("""COMPUTED_VALUE"""),"081350162500")</f>
        <v>081350162500</v>
      </c>
      <c r="W2081" s="46"/>
    </row>
    <row r="2082">
      <c r="A2082" s="45"/>
      <c r="B2082" s="9" t="str">
        <f>IFERROR(__xludf.DUMMYFUNCTION("""COMPUTED_VALUE"""),"08/01/2025 11:07:26")</f>
        <v>08/01/2025 11:07:26</v>
      </c>
      <c r="C2082" s="9"/>
      <c r="D2082" s="10">
        <f>IFERROR(__xludf.DUMMYFUNCTION("""COMPUTED_VALUE"""),45679.0)</f>
        <v>45679</v>
      </c>
      <c r="E2082" s="10" t="str">
        <f>IFERROR(__xludf.DUMMYFUNCTION("""COMPUTED_VALUE"""),"01Jan")</f>
        <v>01Jan</v>
      </c>
      <c r="F2082" s="10" t="str">
        <f>IFERROR(__xludf.DUMMYFUNCTION("""COMPUTED_VALUE"""),"2025")</f>
        <v>2025</v>
      </c>
      <c r="G2082" s="9" t="str">
        <f>IFERROR(__xludf.DUMMYFUNCTION("""COMPUTED_VALUE"""),"HARYA PAMUNGKAS")</f>
        <v>HARYA PAMUNGKAS</v>
      </c>
      <c r="H2082" s="35" t="str">
        <f>IFERROR(__xludf.DUMMYFUNCTION("""COMPUTED_VALUE"""),"H9225017791")</f>
        <v>H9225017791</v>
      </c>
      <c r="I2082" s="35">
        <f>IFERROR(__xludf.DUMMYFUNCTION("""COMPUTED_VALUE"""),33.0)</f>
        <v>33</v>
      </c>
      <c r="J2082" s="35" t="str">
        <f>IFERROR(__xludf.DUMMYFUNCTION("""COMPUTED_VALUE"""),"25-34 tahun")</f>
        <v>25-34 tahun</v>
      </c>
      <c r="K2082" s="19" t="str">
        <f>IFERROR(__xludf.DUMMYFUNCTION("""COMPUTED_VALUE"""),"31/12/1992")</f>
        <v>31/12/1992</v>
      </c>
      <c r="L2082" s="19" t="str">
        <f>IFERROR(__xludf.DUMMYFUNCTION("""COMPUTED_VALUE"""),"LAKI-LAKI")</f>
        <v>LAKI-LAKI</v>
      </c>
      <c r="M2082" s="36" t="str">
        <f>IFERROR(__xludf.DUMMYFUNCTION("""COMPUTED_VALUE"""),"APT. SUDIRMAN PARK B05AE")</f>
        <v>APT. SUDIRMAN PARK B05AE</v>
      </c>
      <c r="N2082" s="16" t="str">
        <f>IFERROR(__xludf.DUMMYFUNCTION("""COMPUTED_VALUE"""),"KARET TENGSIN")</f>
        <v>KARET TENGSIN</v>
      </c>
      <c r="O2082" s="16" t="str">
        <f>IFERROR(__xludf.DUMMYFUNCTION("""COMPUTED_VALUE"""),"TANAH ABANG")</f>
        <v>TANAH ABANG</v>
      </c>
      <c r="P2082" s="16" t="str">
        <f>IFERROR(__xludf.DUMMYFUNCTION("""COMPUTED_VALUE"""),"JAKARTA PUSAT")</f>
        <v>JAKARTA PUSAT</v>
      </c>
      <c r="Q2082" s="16" t="str">
        <f>IFERROR(__xludf.DUMMYFUNCTION("""COMPUTED_VALUE"""),"KALIMANTAN BARAT")</f>
        <v>KALIMANTAN BARAT</v>
      </c>
      <c r="R2082" s="19" t="str">
        <f>IFERROR(__xludf.DUMMYFUNCTION("""COMPUTED_VALUE"""),"ISLAM")</f>
        <v>ISLAM</v>
      </c>
      <c r="S2082" s="16" t="str">
        <f>IFERROR(__xludf.DUMMYFUNCTION("""COMPUTED_VALUE"""),"BUMN")</f>
        <v>BUMN</v>
      </c>
      <c r="T2082" s="16" t="str">
        <f>IFERROR(__xludf.DUMMYFUNCTION("""COMPUTED_VALUE"""),"POST-OP ACL")</f>
        <v>POST-OP ACL</v>
      </c>
      <c r="U2082" s="16" t="str">
        <f>IFERROR(__xludf.DUMMYFUNCTION("""COMPUTED_VALUE"""),"LARI, LOMPAT")</f>
        <v>LARI, LOMPAT</v>
      </c>
      <c r="V2082" s="11" t="str">
        <f>IFERROR(__xludf.DUMMYFUNCTION("""COMPUTED_VALUE"""),"082132337791")</f>
        <v>082132337791</v>
      </c>
      <c r="W2082" s="46"/>
    </row>
    <row r="2083">
      <c r="A2083" s="45"/>
      <c r="B2083" s="9" t="str">
        <f>IFERROR(__xludf.DUMMYFUNCTION("""COMPUTED_VALUE"""),"08/01/2025 15:51:32")</f>
        <v>08/01/2025 15:51:32</v>
      </c>
      <c r="C2083" s="9"/>
      <c r="D2083" s="10">
        <f>IFERROR(__xludf.DUMMYFUNCTION("""COMPUTED_VALUE"""),45679.0)</f>
        <v>45679</v>
      </c>
      <c r="E2083" s="10" t="str">
        <f>IFERROR(__xludf.DUMMYFUNCTION("""COMPUTED_VALUE"""),"01Jan")</f>
        <v>01Jan</v>
      </c>
      <c r="F2083" s="10" t="str">
        <f>IFERROR(__xludf.DUMMYFUNCTION("""COMPUTED_VALUE"""),"2025")</f>
        <v>2025</v>
      </c>
      <c r="G2083" s="9" t="str">
        <f>IFERROR(__xludf.DUMMYFUNCTION("""COMPUTED_VALUE"""),"LOUIS GERALDO LAYARDA")</f>
        <v>LOUIS GERALDO LAYARDA</v>
      </c>
      <c r="H2083" s="35" t="str">
        <f>IFERROR(__xludf.DUMMYFUNCTION("""COMPUTED_VALUE"""),"L0425016507")</f>
        <v>L0425016507</v>
      </c>
      <c r="I2083" s="35">
        <f>IFERROR(__xludf.DUMMYFUNCTION("""COMPUTED_VALUE"""),21.0)</f>
        <v>21</v>
      </c>
      <c r="J2083" s="35" t="str">
        <f>IFERROR(__xludf.DUMMYFUNCTION("""COMPUTED_VALUE"""),"18-24 tahun")</f>
        <v>18-24 tahun</v>
      </c>
      <c r="K2083" s="19" t="str">
        <f>IFERROR(__xludf.DUMMYFUNCTION("""COMPUTED_VALUE"""),"15/07/2004")</f>
        <v>15/07/2004</v>
      </c>
      <c r="L2083" s="19" t="str">
        <f>IFERROR(__xludf.DUMMYFUNCTION("""COMPUTED_VALUE"""),"LAKI-LAKI")</f>
        <v>LAKI-LAKI</v>
      </c>
      <c r="M2083" s="36" t="str">
        <f>IFERROR(__xludf.DUMMYFUNCTION("""COMPUTED_VALUE"""),"JL. PURNAMA KOMP. PURNAMA SEMPURNA NO. E.10")</f>
        <v>JL. PURNAMA KOMP. PURNAMA SEMPURNA NO. E.10</v>
      </c>
      <c r="N2083" s="16" t="str">
        <f>IFERROR(__xludf.DUMMYFUNCTION("""COMPUTED_VALUE"""),"AKCAYA")</f>
        <v>AKCAYA</v>
      </c>
      <c r="O2083" s="16" t="str">
        <f>IFERROR(__xludf.DUMMYFUNCTION("""COMPUTED_VALUE"""),"PONTIANAK SELATAN")</f>
        <v>PONTIANAK SELATAN</v>
      </c>
      <c r="P2083" s="16" t="str">
        <f>IFERROR(__xludf.DUMMYFUNCTION("""COMPUTED_VALUE"""),"PONTIANAK")</f>
        <v>PONTIANAK</v>
      </c>
      <c r="Q2083" s="16" t="str">
        <f>IFERROR(__xludf.DUMMYFUNCTION("""COMPUTED_VALUE"""),"KALIMANTAN BARAT")</f>
        <v>KALIMANTAN BARAT</v>
      </c>
      <c r="R2083" s="19" t="str">
        <f>IFERROR(__xludf.DUMMYFUNCTION("""COMPUTED_VALUE"""),"KATOLIK")</f>
        <v>KATOLIK</v>
      </c>
      <c r="S2083" s="16" t="str">
        <f>IFERROR(__xludf.DUMMYFUNCTION("""COMPUTED_VALUE"""),"PELAJAR/MAHASISWA")</f>
        <v>PELAJAR/MAHASISWA</v>
      </c>
      <c r="T2083" s="16" t="str">
        <f>IFERROR(__xludf.DUMMYFUNCTION("""COMPUTED_VALUE"""),"LOWER BACK")</f>
        <v>LOWER BACK</v>
      </c>
      <c r="U2083" s="16" t="str">
        <f>IFERROR(__xludf.DUMMYFUNCTION("""COMPUTED_VALUE"""),"GYM")</f>
        <v>GYM</v>
      </c>
      <c r="V2083" s="11" t="str">
        <f>IFERROR(__xludf.DUMMYFUNCTION("""COMPUTED_VALUE"""),"0421966507")</f>
        <v>0421966507</v>
      </c>
      <c r="W2083" s="46"/>
    </row>
    <row r="2084">
      <c r="A2084" s="45"/>
      <c r="B2084" s="9" t="str">
        <f>IFERROR(__xludf.DUMMYFUNCTION("""COMPUTED_VALUE"""),"08/01/2025 16:23:11")</f>
        <v>08/01/2025 16:23:11</v>
      </c>
      <c r="C2084" s="9"/>
      <c r="D2084" s="10">
        <f>IFERROR(__xludf.DUMMYFUNCTION("""COMPUTED_VALUE"""),45679.0)</f>
        <v>45679</v>
      </c>
      <c r="E2084" s="10" t="str">
        <f>IFERROR(__xludf.DUMMYFUNCTION("""COMPUTED_VALUE"""),"01Jan")</f>
        <v>01Jan</v>
      </c>
      <c r="F2084" s="10" t="str">
        <f>IFERROR(__xludf.DUMMYFUNCTION("""COMPUTED_VALUE"""),"2025")</f>
        <v>2025</v>
      </c>
      <c r="G2084" s="9" t="str">
        <f>IFERROR(__xludf.DUMMYFUNCTION("""COMPUTED_VALUE"""),"MUHAMMAD VIKI SYURIANSAH")</f>
        <v>MUHAMMAD VIKI SYURIANSAH</v>
      </c>
      <c r="H2084" s="35" t="str">
        <f>IFERROR(__xludf.DUMMYFUNCTION("""COMPUTED_VALUE"""),"M8625010468")</f>
        <v>M8625010468</v>
      </c>
      <c r="I2084" s="35">
        <f>IFERROR(__xludf.DUMMYFUNCTION("""COMPUTED_VALUE"""),39.0)</f>
        <v>39</v>
      </c>
      <c r="J2084" s="35" t="str">
        <f>IFERROR(__xludf.DUMMYFUNCTION("""COMPUTED_VALUE"""),"35-44 tahun")</f>
        <v>35-44 tahun</v>
      </c>
      <c r="K2084" s="19" t="str">
        <f>IFERROR(__xludf.DUMMYFUNCTION("""COMPUTED_VALUE"""),"08/08/1986")</f>
        <v>08/08/1986</v>
      </c>
      <c r="L2084" s="19" t="str">
        <f>IFERROR(__xludf.DUMMYFUNCTION("""COMPUTED_VALUE"""),"LAKI-LAKI")</f>
        <v>LAKI-LAKI</v>
      </c>
      <c r="M2084" s="36" t="str">
        <f>IFERROR(__xludf.DUMMYFUNCTION("""COMPUTED_VALUE"""),"JL. H. RAIS A. RAHMAN GG. WASPADA 2 NO 11")</f>
        <v>JL. H. RAIS A. RAHMAN GG. WASPADA 2 NO 11</v>
      </c>
      <c r="N2084" s="16" t="str">
        <f>IFERROR(__xludf.DUMMYFUNCTION("""COMPUTED_VALUE"""),"SUNGAI JAWI")</f>
        <v>SUNGAI JAWI</v>
      </c>
      <c r="O2084" s="16" t="str">
        <f>IFERROR(__xludf.DUMMYFUNCTION("""COMPUTED_VALUE"""),"PONTIANAK KOTA")</f>
        <v>PONTIANAK KOTA</v>
      </c>
      <c r="P2084" s="16" t="str">
        <f>IFERROR(__xludf.DUMMYFUNCTION("""COMPUTED_VALUE"""),"PONTIANAK")</f>
        <v>PONTIANAK</v>
      </c>
      <c r="Q2084" s="16" t="str">
        <f>IFERROR(__xludf.DUMMYFUNCTION("""COMPUTED_VALUE"""),"KALIMANTAN BARAT")</f>
        <v>KALIMANTAN BARAT</v>
      </c>
      <c r="R2084" s="19" t="str">
        <f>IFERROR(__xludf.DUMMYFUNCTION("""COMPUTED_VALUE"""),"ISLAM")</f>
        <v>ISLAM</v>
      </c>
      <c r="S2084" s="16" t="str">
        <f>IFERROR(__xludf.DUMMYFUNCTION("""COMPUTED_VALUE"""),"WIRASWASTA")</f>
        <v>WIRASWASTA</v>
      </c>
      <c r="T2084" s="16" t="str">
        <f>IFERROR(__xludf.DUMMYFUNCTION("""COMPUTED_VALUE"""),"SAYA HABIS OLAH RAGA JALAN KAKI DAN SQUAT DI SENIN PAGI HARI ,SIANGNYA PERGELANGAN KAKI KIRI SAKIT. SORE MULAI SULIT BERJALAN,MALAM BENGKAK, BESOKNYA PERGELANGAN KAKI BGIAN BELAKANG JUGA SAKIT [22/1, 07.41] M. VIKI. S: SAKITNYA MENJALAT KE BETIS SAMPAI BG"&amp;"IAN PANTAT KANAN [22/1, 07.41] M. VIKI. S: SEBELUMNY MEMANG UDH AD MASALAH DITUMIT KAKI SERING SAKIT")</f>
        <v>SAYA HABIS OLAH RAGA JALAN KAKI DAN SQUAT DI SENIN PAGI HARI ,SIANGNYA PERGELANGAN KAKI KIRI SAKIT. SORE MULAI SULIT BERJALAN,MALAM BENGKAK, BESOKNYA PERGELANGAN KAKI BGIAN BELAKANG JUGA SAKIT [22/1, 07.41] M. VIKI. S: SAKITNYA MENJALAT KE BETIS SAMPAI BGIAN PANTAT KANAN [22/1, 07.41] M. VIKI. S: SEBELUMNY MEMANG UDH AD MASALAH DITUMIT KAKI SERING SAKIT</v>
      </c>
      <c r="U2084" s="16" t="str">
        <f>IFERROR(__xludf.DUMMYFUNCTION("""COMPUTED_VALUE"""),"OLAH RAGA JALAN KAKI DAN SQUAT")</f>
        <v>OLAH RAGA JALAN KAKI DAN SQUAT</v>
      </c>
      <c r="V2084" s="11" t="str">
        <f>IFERROR(__xludf.DUMMYFUNCTION("""COMPUTED_VALUE"""),"08993330468")</f>
        <v>08993330468</v>
      </c>
      <c r="W2084" s="46"/>
    </row>
    <row r="2085">
      <c r="A2085" s="45"/>
      <c r="B2085" s="9" t="str">
        <f>IFERROR(__xludf.DUMMYFUNCTION("""COMPUTED_VALUE"""),"08/01/2025 18:54:08")</f>
        <v>08/01/2025 18:54:08</v>
      </c>
      <c r="C2085" s="9"/>
      <c r="D2085" s="10">
        <f>IFERROR(__xludf.DUMMYFUNCTION("""COMPUTED_VALUE"""),45680.0)</f>
        <v>45680</v>
      </c>
      <c r="E2085" s="10" t="str">
        <f>IFERROR(__xludf.DUMMYFUNCTION("""COMPUTED_VALUE"""),"01Jan")</f>
        <v>01Jan</v>
      </c>
      <c r="F2085" s="10" t="str">
        <f>IFERROR(__xludf.DUMMYFUNCTION("""COMPUTED_VALUE"""),"2025")</f>
        <v>2025</v>
      </c>
      <c r="G2085" s="9" t="str">
        <f>IFERROR(__xludf.DUMMYFUNCTION("""COMPUTED_VALUE"""),"YOGI DANAR KARISMANTO")</f>
        <v>YOGI DANAR KARISMANTO</v>
      </c>
      <c r="H2085" s="35" t="str">
        <f>IFERROR(__xludf.DUMMYFUNCTION("""COMPUTED_VALUE"""),"Y0025018210")</f>
        <v>Y0025018210</v>
      </c>
      <c r="I2085" s="35">
        <f>IFERROR(__xludf.DUMMYFUNCTION("""COMPUTED_VALUE"""),26.0)</f>
        <v>26</v>
      </c>
      <c r="J2085" s="35" t="str">
        <f>IFERROR(__xludf.DUMMYFUNCTION("""COMPUTED_VALUE"""),"25-34 tahun")</f>
        <v>25-34 tahun</v>
      </c>
      <c r="K2085" s="19" t="str">
        <f>IFERROR(__xludf.DUMMYFUNCTION("""COMPUTED_VALUE"""),"31/05/2000")</f>
        <v>31/05/2000</v>
      </c>
      <c r="L2085" s="19" t="str">
        <f>IFERROR(__xludf.DUMMYFUNCTION("""COMPUTED_VALUE"""),"LAKI-LAKI")</f>
        <v>LAKI-LAKI</v>
      </c>
      <c r="M2085" s="36" t="str">
        <f>IFERROR(__xludf.DUMMYFUNCTION("""COMPUTED_VALUE"""),"SEMARANG")</f>
        <v>SEMARANG</v>
      </c>
      <c r="N2085" s="16" t="str">
        <f>IFERROR(__xludf.DUMMYFUNCTION("""COMPUTED_VALUE"""),"GETASAN")</f>
        <v>GETASAN</v>
      </c>
      <c r="O2085" s="16" t="str">
        <f>IFERROR(__xludf.DUMMYFUNCTION("""COMPUTED_VALUE"""),"GETASAN")</f>
        <v>GETASAN</v>
      </c>
      <c r="P2085" s="16" t="str">
        <f>IFERROR(__xludf.DUMMYFUNCTION("""COMPUTED_VALUE"""),"SEMARANG")</f>
        <v>SEMARANG</v>
      </c>
      <c r="Q2085" s="16" t="str">
        <f>IFERROR(__xludf.DUMMYFUNCTION("""COMPUTED_VALUE"""),"KALIMANTAN BARAT")</f>
        <v>KALIMANTAN BARAT</v>
      </c>
      <c r="R2085" s="19" t="str">
        <f>IFERROR(__xludf.DUMMYFUNCTION("""COMPUTED_VALUE"""),"PROTESTAN")</f>
        <v>PROTESTAN</v>
      </c>
      <c r="S2085" s="16" t="str">
        <f>IFERROR(__xludf.DUMMYFUNCTION("""COMPUTED_VALUE"""),"BUMN")</f>
        <v>BUMN</v>
      </c>
      <c r="T2085" s="16" t="str">
        <f>IFERROR(__xludf.DUMMYFUNCTION("""COMPUTED_VALUE"""),"SAKIT DI ENGSEL PINGGUL, SAMPAI SATU KAKI")</f>
        <v>SAKIT DI ENGSEL PINGGUL, SAMPAI SATU KAKI</v>
      </c>
      <c r="U2085" s="16" t="str">
        <f>IFERROR(__xludf.DUMMYFUNCTION("""COMPUTED_VALUE"""),"SEPAKBOLA")</f>
        <v>SEPAKBOLA</v>
      </c>
      <c r="V2085" s="11" t="str">
        <f>IFERROR(__xludf.DUMMYFUNCTION("""COMPUTED_VALUE"""),"082223618210")</f>
        <v>082223618210</v>
      </c>
      <c r="W2085" s="46"/>
    </row>
    <row r="2086">
      <c r="A2086" s="45"/>
      <c r="B2086" s="9">
        <f>IFERROR(__xludf.DUMMYFUNCTION("""COMPUTED_VALUE"""),45076.386406736114)</f>
        <v>45076.38641</v>
      </c>
      <c r="C2086" s="9"/>
      <c r="D2086" s="10">
        <f>IFERROR(__xludf.DUMMYFUNCTION("""COMPUTED_VALUE"""),45680.0)</f>
        <v>45680</v>
      </c>
      <c r="E2086" s="10" t="str">
        <f>IFERROR(__xludf.DUMMYFUNCTION("""COMPUTED_VALUE"""),"01Jan")</f>
        <v>01Jan</v>
      </c>
      <c r="F2086" s="10" t="str">
        <f>IFERROR(__xludf.DUMMYFUNCTION("""COMPUTED_VALUE"""),"2025")</f>
        <v>2025</v>
      </c>
      <c r="G2086" s="9" t="str">
        <f>IFERROR(__xludf.DUMMYFUNCTION("""COMPUTED_VALUE"""),"Muhammad Oktafiriandi")</f>
        <v>Muhammad Oktafiriandi</v>
      </c>
      <c r="H2086" s="35" t="str">
        <f>IFERROR(__xludf.DUMMYFUNCTION("""COMPUTED_VALUE"""),"M0425018638")</f>
        <v>M0425018638</v>
      </c>
      <c r="I2086" s="35">
        <f>IFERROR(__xludf.DUMMYFUNCTION("""COMPUTED_VALUE"""),21.0)</f>
        <v>21</v>
      </c>
      <c r="J2086" s="35" t="str">
        <f>IFERROR(__xludf.DUMMYFUNCTION("""COMPUTED_VALUE"""),"18-24 tahun")</f>
        <v>18-24 tahun</v>
      </c>
      <c r="K2086" s="19">
        <f>IFERROR(__xludf.DUMMYFUNCTION("""COMPUTED_VALUE"""),38271.0)</f>
        <v>38271</v>
      </c>
      <c r="L2086" s="19" t="str">
        <f>IFERROR(__xludf.DUMMYFUNCTION("""COMPUTED_VALUE"""),"LAKI-LAKI")</f>
        <v>LAKI-LAKI</v>
      </c>
      <c r="M2086" s="36" t="str">
        <f>IFERROR(__xludf.DUMMYFUNCTION("""COMPUTED_VALUE"""),"Jl. Puskesmas Pal 3 Gang. Sejati 1. No.42")</f>
        <v>Jl. Puskesmas Pal 3 Gang. Sejati 1. No.42</v>
      </c>
      <c r="N2086" s="16" t="str">
        <f>IFERROR(__xludf.DUMMYFUNCTION("""COMPUTED_VALUE"""),"Sungai Jawi")</f>
        <v>Sungai Jawi</v>
      </c>
      <c r="O2086" s="16" t="str">
        <f>IFERROR(__xludf.DUMMYFUNCTION("""COMPUTED_VALUE"""),"Pontianak Kota")</f>
        <v>Pontianak Kota</v>
      </c>
      <c r="P2086" s="16" t="str">
        <f>IFERROR(__xludf.DUMMYFUNCTION("""COMPUTED_VALUE"""),"Pontianak")</f>
        <v>Pontianak</v>
      </c>
      <c r="Q2086" s="16" t="str">
        <f>IFERROR(__xludf.DUMMYFUNCTION("""COMPUTED_VALUE"""),"KALIMANTAN BARAT")</f>
        <v>KALIMANTAN BARAT</v>
      </c>
      <c r="R2086" s="19" t="str">
        <f>IFERROR(__xludf.DUMMYFUNCTION("""COMPUTED_VALUE"""),"ISLAM")</f>
        <v>ISLAM</v>
      </c>
      <c r="S2086" s="16" t="str">
        <f>IFERROR(__xludf.DUMMYFUNCTION("""COMPUTED_VALUE"""),"TIDAK ADA")</f>
        <v>TIDAK ADA</v>
      </c>
      <c r="T2086" s="16" t="str">
        <f>IFERROR(__xludf.DUMMYFUNCTION("""COMPUTED_VALUE"""),"Rahang Kiri Sakit")</f>
        <v>Rahang Kiri Sakit</v>
      </c>
      <c r="U2086" s="16" t="str">
        <f>IFERROR(__xludf.DUMMYFUNCTION("""COMPUTED_VALUE"""),"Olah Raga")</f>
        <v>Olah Raga</v>
      </c>
      <c r="V2086" s="11" t="str">
        <f>IFERROR(__xludf.DUMMYFUNCTION("""COMPUTED_VALUE"""),"081255858638")</f>
        <v>081255858638</v>
      </c>
      <c r="W2086" s="46"/>
    </row>
    <row r="2087">
      <c r="A2087" s="45"/>
      <c r="B2087" s="9" t="str">
        <f>IFERROR(__xludf.DUMMYFUNCTION("""COMPUTED_VALUE"""),"09/01/2025 17:04:24")</f>
        <v>09/01/2025 17:04:24</v>
      </c>
      <c r="C2087" s="9"/>
      <c r="D2087" s="10">
        <f>IFERROR(__xludf.DUMMYFUNCTION("""COMPUTED_VALUE"""),45680.0)</f>
        <v>45680</v>
      </c>
      <c r="E2087" s="10" t="str">
        <f>IFERROR(__xludf.DUMMYFUNCTION("""COMPUTED_VALUE"""),"01Jan")</f>
        <v>01Jan</v>
      </c>
      <c r="F2087" s="10" t="str">
        <f>IFERROR(__xludf.DUMMYFUNCTION("""COMPUTED_VALUE"""),"2025")</f>
        <v>2025</v>
      </c>
      <c r="G2087" s="9" t="str">
        <f>IFERROR(__xludf.DUMMYFUNCTION("""COMPUTED_VALUE"""),"SLAMET")</f>
        <v>SLAMET</v>
      </c>
      <c r="H2087" s="35" t="str">
        <f>IFERROR(__xludf.DUMMYFUNCTION("""COMPUTED_VALUE"""),"S632501")</f>
        <v>S632501</v>
      </c>
      <c r="I2087" s="35">
        <f>IFERROR(__xludf.DUMMYFUNCTION("""COMPUTED_VALUE"""),62.0)</f>
        <v>62</v>
      </c>
      <c r="J2087" s="35" t="str">
        <f>IFERROR(__xludf.DUMMYFUNCTION("""COMPUTED_VALUE"""),"&gt; 44 tahun")</f>
        <v>&gt; 44 tahun</v>
      </c>
      <c r="K2087" s="19">
        <f>IFERROR(__xludf.DUMMYFUNCTION("""COMPUTED_VALUE"""),23231.0)</f>
        <v>23231</v>
      </c>
      <c r="L2087" s="19" t="str">
        <f>IFERROR(__xludf.DUMMYFUNCTION("""COMPUTED_VALUE"""),"LAKI-LAKI")</f>
        <v>LAKI-LAKI</v>
      </c>
      <c r="M2087" s="36" t="str">
        <f>IFERROR(__xludf.DUMMYFUNCTION("""COMPUTED_VALUE"""),"JL. WONOBARU GANG MADYASARI 3")</f>
        <v>JL. WONOBARU GANG MADYASARI 3</v>
      </c>
      <c r="N2087" s="16"/>
      <c r="O2087" s="16"/>
      <c r="P2087" s="16"/>
      <c r="Q2087" s="16" t="str">
        <f>IFERROR(__xludf.DUMMYFUNCTION("""COMPUTED_VALUE"""),"KALIMANTAN BARAT")</f>
        <v>KALIMANTAN BARAT</v>
      </c>
      <c r="R2087" s="19" t="str">
        <f>IFERROR(__xludf.DUMMYFUNCTION("""COMPUTED_VALUE"""),"ISLAM")</f>
        <v>ISLAM</v>
      </c>
      <c r="S2087" s="16" t="str">
        <f>IFERROR(__xludf.DUMMYFUNCTION("""COMPUTED_VALUE"""),"SWASTA")</f>
        <v>SWASTA</v>
      </c>
      <c r="T2087" s="16" t="str">
        <f>IFERROR(__xludf.DUMMYFUNCTION("""COMPUTED_VALUE"""),"PINGGANG")</f>
        <v>PINGGANG</v>
      </c>
      <c r="U2087" s="16"/>
      <c r="V2087" s="16"/>
      <c r="W2087" s="46"/>
    </row>
    <row r="2088">
      <c r="A2088" s="45"/>
      <c r="B2088" s="9">
        <f>IFERROR(__xludf.DUMMYFUNCTION("""COMPUTED_VALUE"""),45667.39781733796)</f>
        <v>45667.39782</v>
      </c>
      <c r="C2088" s="9"/>
      <c r="D2088" s="10">
        <f>IFERROR(__xludf.DUMMYFUNCTION("""COMPUTED_VALUE"""),45680.0)</f>
        <v>45680</v>
      </c>
      <c r="E2088" s="10" t="str">
        <f>IFERROR(__xludf.DUMMYFUNCTION("""COMPUTED_VALUE"""),"01Jan")</f>
        <v>01Jan</v>
      </c>
      <c r="F2088" s="10" t="str">
        <f>IFERROR(__xludf.DUMMYFUNCTION("""COMPUTED_VALUE"""),"2025")</f>
        <v>2025</v>
      </c>
      <c r="G2088" s="9" t="str">
        <f>IFERROR(__xludf.DUMMYFUNCTION("""COMPUTED_VALUE"""),"PHANDYA GRIYA HANDARU")</f>
        <v>PHANDYA GRIYA HANDARU</v>
      </c>
      <c r="H2088" s="35" t="str">
        <f>IFERROR(__xludf.DUMMYFUNCTION("""COMPUTED_VALUE"""),"P0025013445")</f>
        <v>P0025013445</v>
      </c>
      <c r="I2088" s="35">
        <f>IFERROR(__xludf.DUMMYFUNCTION("""COMPUTED_VALUE"""),26.0)</f>
        <v>26</v>
      </c>
      <c r="J2088" s="35" t="str">
        <f>IFERROR(__xludf.DUMMYFUNCTION("""COMPUTED_VALUE"""),"25-34 tahun")</f>
        <v>25-34 tahun</v>
      </c>
      <c r="K2088" s="19" t="str">
        <f>IFERROR(__xludf.DUMMYFUNCTION("""COMPUTED_VALUE"""),"04/05/2000")</f>
        <v>04/05/2000</v>
      </c>
      <c r="L2088" s="19" t="str">
        <f>IFERROR(__xludf.DUMMYFUNCTION("""COMPUTED_VALUE"""),"LAKI-LAKI")</f>
        <v>LAKI-LAKI</v>
      </c>
      <c r="M2088" s="36" t="str">
        <f>IFERROR(__xludf.DUMMYFUNCTION("""COMPUTED_VALUE"""),"ASPOL BHAYANGKARA 1 MEMPAWAH HILIR")</f>
        <v>ASPOL BHAYANGKARA 1 MEMPAWAH HILIR</v>
      </c>
      <c r="N2088" s="16" t="str">
        <f>IFERROR(__xludf.DUMMYFUNCTION("""COMPUTED_VALUE"""),"TERUSAN")</f>
        <v>TERUSAN</v>
      </c>
      <c r="O2088" s="16" t="str">
        <f>IFERROR(__xludf.DUMMYFUNCTION("""COMPUTED_VALUE"""),"MEMPAWAH HILIR")</f>
        <v>MEMPAWAH HILIR</v>
      </c>
      <c r="P2088" s="16" t="str">
        <f>IFERROR(__xludf.DUMMYFUNCTION("""COMPUTED_VALUE"""),"MEMPAWAH")</f>
        <v>MEMPAWAH</v>
      </c>
      <c r="Q2088" s="16" t="str">
        <f>IFERROR(__xludf.DUMMYFUNCTION("""COMPUTED_VALUE"""),"KALIMANTAN BARAT")</f>
        <v>KALIMANTAN BARAT</v>
      </c>
      <c r="R2088" s="19" t="str">
        <f>IFERROR(__xludf.DUMMYFUNCTION("""COMPUTED_VALUE"""),"ISLAM")</f>
        <v>ISLAM</v>
      </c>
      <c r="S2088" s="16" t="str">
        <f>IFERROR(__xludf.DUMMYFUNCTION("""COMPUTED_VALUE"""),"TNI/POLRI")</f>
        <v>TNI/POLRI</v>
      </c>
      <c r="T2088" s="16" t="str">
        <f>IFERROR(__xludf.DUMMYFUNCTION("""COMPUTED_VALUE"""),"LUTUT BENGKAK")</f>
        <v>LUTUT BENGKAK</v>
      </c>
      <c r="U2088" s="16" t="str">
        <f>IFERROR(__xludf.DUMMYFUNCTION("""COMPUTED_VALUE"""),"AKTIVITAS SEHARI HARI KERJA DI LAPANGAN SEHINGGA KAKI TIBA2 BENGKAK")</f>
        <v>AKTIVITAS SEHARI HARI KERJA DI LAPANGAN SEHINGGA KAKI TIBA2 BENGKAK</v>
      </c>
      <c r="V2088" s="11" t="str">
        <f>IFERROR(__xludf.DUMMYFUNCTION("""COMPUTED_VALUE"""),"0895327393445")</f>
        <v>0895327393445</v>
      </c>
      <c r="W2088" s="46"/>
    </row>
    <row r="2089">
      <c r="A2089" s="45"/>
      <c r="B2089" s="9">
        <f>IFERROR(__xludf.DUMMYFUNCTION("""COMPUTED_VALUE"""),45665.70122491899)</f>
        <v>45665.70122</v>
      </c>
      <c r="C2089" s="9"/>
      <c r="D2089" s="10">
        <f>IFERROR(__xludf.DUMMYFUNCTION("""COMPUTED_VALUE"""),45680.0)</f>
        <v>45680</v>
      </c>
      <c r="E2089" s="10" t="str">
        <f>IFERROR(__xludf.DUMMYFUNCTION("""COMPUTED_VALUE"""),"01Jan")</f>
        <v>01Jan</v>
      </c>
      <c r="F2089" s="10" t="str">
        <f>IFERROR(__xludf.DUMMYFUNCTION("""COMPUTED_VALUE"""),"2025")</f>
        <v>2025</v>
      </c>
      <c r="G2089" s="9" t="str">
        <f>IFERROR(__xludf.DUMMYFUNCTION("""COMPUTED_VALUE"""),"RICKY ALEXANDER KAM")</f>
        <v>RICKY ALEXANDER KAM</v>
      </c>
      <c r="H2089" s="35" t="str">
        <f>IFERROR(__xludf.DUMMYFUNCTION("""COMPUTED_VALUE"""),"R9425011160")</f>
        <v>R9425011160</v>
      </c>
      <c r="I2089" s="35">
        <f>IFERROR(__xludf.DUMMYFUNCTION("""COMPUTED_VALUE"""),31.0)</f>
        <v>31</v>
      </c>
      <c r="J2089" s="35" t="str">
        <f>IFERROR(__xludf.DUMMYFUNCTION("""COMPUTED_VALUE"""),"25-34 tahun")</f>
        <v>25-34 tahun</v>
      </c>
      <c r="K2089" s="19" t="str">
        <f>IFERROR(__xludf.DUMMYFUNCTION("""COMPUTED_VALUE"""),"07/09/1994")</f>
        <v>07/09/1994</v>
      </c>
      <c r="L2089" s="19" t="str">
        <f>IFERROR(__xludf.DUMMYFUNCTION("""COMPUTED_VALUE"""),"LAKI-LAKI")</f>
        <v>LAKI-LAKI</v>
      </c>
      <c r="M2089" s="36" t="str">
        <f>IFERROR(__xludf.DUMMYFUNCTION("""COMPUTED_VALUE"""),"JL. PARIT H. HUSIN II KP. GREEN HILL RESIDENCE C32")</f>
        <v>JL. PARIT H. HUSIN II KP. GREEN HILL RESIDENCE C32</v>
      </c>
      <c r="N2089" s="16" t="str">
        <f>IFERROR(__xludf.DUMMYFUNCTION("""COMPUTED_VALUE"""),"BANSIR DARAT")</f>
        <v>BANSIR DARAT</v>
      </c>
      <c r="O2089" s="16" t="str">
        <f>IFERROR(__xludf.DUMMYFUNCTION("""COMPUTED_VALUE"""),"PONTIANAK TENGGARA")</f>
        <v>PONTIANAK TENGGARA</v>
      </c>
      <c r="P2089" s="16" t="str">
        <f>IFERROR(__xludf.DUMMYFUNCTION("""COMPUTED_VALUE"""),"PONTIANAK")</f>
        <v>PONTIANAK</v>
      </c>
      <c r="Q2089" s="16" t="str">
        <f>IFERROR(__xludf.DUMMYFUNCTION("""COMPUTED_VALUE"""),"KALIMANTAN BARAT")</f>
        <v>KALIMANTAN BARAT</v>
      </c>
      <c r="R2089" s="19" t="str">
        <f>IFERROR(__xludf.DUMMYFUNCTION("""COMPUTED_VALUE"""),"KATOLIK")</f>
        <v>KATOLIK</v>
      </c>
      <c r="S2089" s="16" t="str">
        <f>IFERROR(__xludf.DUMMYFUNCTION("""COMPUTED_VALUE"""),"SWASTA")</f>
        <v>SWASTA</v>
      </c>
      <c r="T2089" s="16" t="str">
        <f>IFERROR(__xludf.DUMMYFUNCTION("""COMPUTED_VALUE"""),"NYERI AREA BELIKAT KE LEHER")</f>
        <v>NYERI AREA BELIKAT KE LEHER</v>
      </c>
      <c r="U2089" s="16" t="str">
        <f>IFERROR(__xludf.DUMMYFUNCTION("""COMPUTED_VALUE"""),"TERLALU LAMA DUDUK SAAT BEKERJA, JARANG OLAHRAGA")</f>
        <v>TERLALU LAMA DUDUK SAAT BEKERJA, JARANG OLAHRAGA</v>
      </c>
      <c r="V2089" s="11" t="str">
        <f>IFERROR(__xludf.DUMMYFUNCTION("""COMPUTED_VALUE"""),"08115751160")</f>
        <v>08115751160</v>
      </c>
      <c r="W2089" s="46"/>
    </row>
    <row r="2090">
      <c r="A2090" s="45"/>
      <c r="B2090" s="9">
        <f>IFERROR(__xludf.DUMMYFUNCTION("""COMPUTED_VALUE"""),45667.56669278935)</f>
        <v>45667.56669</v>
      </c>
      <c r="C2090" s="9"/>
      <c r="D2090" s="10">
        <f>IFERROR(__xludf.DUMMYFUNCTION("""COMPUTED_VALUE"""),45682.0)</f>
        <v>45682</v>
      </c>
      <c r="E2090" s="10" t="str">
        <f>IFERROR(__xludf.DUMMYFUNCTION("""COMPUTED_VALUE"""),"01Jan")</f>
        <v>01Jan</v>
      </c>
      <c r="F2090" s="10" t="str">
        <f>IFERROR(__xludf.DUMMYFUNCTION("""COMPUTED_VALUE"""),"2025")</f>
        <v>2025</v>
      </c>
      <c r="G2090" s="9" t="str">
        <f>IFERROR(__xludf.DUMMYFUNCTION("""COMPUTED_VALUE"""),"LUCKY ARYA SUMANTRI")</f>
        <v>LUCKY ARYA SUMANTRI</v>
      </c>
      <c r="H2090" s="35" t="str">
        <f>IFERROR(__xludf.DUMMYFUNCTION("""COMPUTED_VALUE"""),"L1725010840")</f>
        <v>L1725010840</v>
      </c>
      <c r="I2090" s="35">
        <f>IFERROR(__xludf.DUMMYFUNCTION("""COMPUTED_VALUE"""),8.0)</f>
        <v>8</v>
      </c>
      <c r="J2090" s="35" t="str">
        <f>IFERROR(__xludf.DUMMYFUNCTION("""COMPUTED_VALUE"""),"&lt; 18 tahun")</f>
        <v>&lt; 18 tahun</v>
      </c>
      <c r="K2090" s="19" t="str">
        <f>IFERROR(__xludf.DUMMYFUNCTION("""COMPUTED_VALUE"""),"14/12/2017")</f>
        <v>14/12/2017</v>
      </c>
      <c r="L2090" s="19" t="str">
        <f>IFERROR(__xludf.DUMMYFUNCTION("""COMPUTED_VALUE"""),"LAKI-LAKI")</f>
        <v>LAKI-LAKI</v>
      </c>
      <c r="M2090" s="36" t="str">
        <f>IFERROR(__xludf.DUMMYFUNCTION("""COMPUTED_VALUE"""),"JLN HRA RAHMAN GG SEBUKIT NO 18")</f>
        <v>JLN HRA RAHMAN GG SEBUKIT NO 18</v>
      </c>
      <c r="N2090" s="16" t="str">
        <f>IFERROR(__xludf.DUMMYFUNCTION("""COMPUTED_VALUE"""),"SUNGAI JAWI DALAM")</f>
        <v>SUNGAI JAWI DALAM</v>
      </c>
      <c r="O2090" s="16" t="str">
        <f>IFERROR(__xludf.DUMMYFUNCTION("""COMPUTED_VALUE"""),"PONTIANAK BARAT")</f>
        <v>PONTIANAK BARAT</v>
      </c>
      <c r="P2090" s="16" t="str">
        <f>IFERROR(__xludf.DUMMYFUNCTION("""COMPUTED_VALUE"""),"PONTIANAK")</f>
        <v>PONTIANAK</v>
      </c>
      <c r="Q2090" s="16" t="str">
        <f>IFERROR(__xludf.DUMMYFUNCTION("""COMPUTED_VALUE"""),"KALIMANTAN BARAT")</f>
        <v>KALIMANTAN BARAT</v>
      </c>
      <c r="R2090" s="19" t="str">
        <f>IFERROR(__xludf.DUMMYFUNCTION("""COMPUTED_VALUE"""),"ISLAM")</f>
        <v>ISLAM</v>
      </c>
      <c r="S2090" s="16" t="str">
        <f>IFERROR(__xludf.DUMMYFUNCTION("""COMPUTED_VALUE"""),"PELAJAR/MAHASISWA")</f>
        <v>PELAJAR/MAHASISWA</v>
      </c>
      <c r="T2090" s="16" t="str">
        <f>IFERROR(__xludf.DUMMYFUNCTION("""COMPUTED_VALUE"""),"SAKIT DI LUTUT SEBELAH KIRI, TIDAK BISA DI GERAKAN KANAN KIRI, BERDIRI JUGA TIDAK BISA")</f>
        <v>SAKIT DI LUTUT SEBELAH KIRI, TIDAK BISA DI GERAKAN KANAN KIRI, BERDIRI JUGA TIDAK BISA</v>
      </c>
      <c r="U2090" s="16" t="str">
        <f>IFERROR(__xludf.DUMMYFUNCTION("""COMPUTED_VALUE"""),"BERLARI², BERMAIN SEPAK BOLA")</f>
        <v>BERLARI², BERMAIN SEPAK BOLA</v>
      </c>
      <c r="V2090" s="11" t="str">
        <f>IFERROR(__xludf.DUMMYFUNCTION("""COMPUTED_VALUE"""),"085828250840")</f>
        <v>085828250840</v>
      </c>
      <c r="W2090" s="46"/>
    </row>
    <row r="2091">
      <c r="A2091" s="45"/>
      <c r="B2091" s="9" t="str">
        <f>IFERROR(__xludf.DUMMYFUNCTION("""COMPUTED_VALUE"""),"10/01/2025 15:07:17")</f>
        <v>10/01/2025 15:07:17</v>
      </c>
      <c r="C2091" s="9"/>
      <c r="D2091" s="10">
        <f>IFERROR(__xludf.DUMMYFUNCTION("""COMPUTED_VALUE"""),45682.0)</f>
        <v>45682</v>
      </c>
      <c r="E2091" s="10" t="str">
        <f>IFERROR(__xludf.DUMMYFUNCTION("""COMPUTED_VALUE"""),"01Jan")</f>
        <v>01Jan</v>
      </c>
      <c r="F2091" s="10" t="str">
        <f>IFERROR(__xludf.DUMMYFUNCTION("""COMPUTED_VALUE"""),"2025")</f>
        <v>2025</v>
      </c>
      <c r="G2091" s="9" t="str">
        <f>IFERROR(__xludf.DUMMYFUNCTION("""COMPUTED_VALUE"""),"ARY CANDRA")</f>
        <v>ARY CANDRA</v>
      </c>
      <c r="H2091" s="35" t="str">
        <f>IFERROR(__xludf.DUMMYFUNCTION("""COMPUTED_VALUE"""),"A0125012070")</f>
        <v>A0125012070</v>
      </c>
      <c r="I2091" s="35">
        <f>IFERROR(__xludf.DUMMYFUNCTION("""COMPUTED_VALUE"""),25.0)</f>
        <v>25</v>
      </c>
      <c r="J2091" s="35" t="str">
        <f>IFERROR(__xludf.DUMMYFUNCTION("""COMPUTED_VALUE"""),"25-34 tahun")</f>
        <v>25-34 tahun</v>
      </c>
      <c r="K2091" s="19" t="str">
        <f>IFERROR(__xludf.DUMMYFUNCTION("""COMPUTED_VALUE"""),"01/01/2001")</f>
        <v>01/01/2001</v>
      </c>
      <c r="L2091" s="19" t="str">
        <f>IFERROR(__xludf.DUMMYFUNCTION("""COMPUTED_VALUE"""),"LAKI-LAKI")</f>
        <v>LAKI-LAKI</v>
      </c>
      <c r="M2091" s="36" t="str">
        <f>IFERROR(__xludf.DUMMYFUNCTION("""COMPUTED_VALUE"""),"JL HUSIEN HAMZAH GG THAYIBAH NO 21")</f>
        <v>JL HUSIEN HAMZAH GG THAYIBAH NO 21</v>
      </c>
      <c r="N2091" s="16" t="str">
        <f>IFERROR(__xludf.DUMMYFUNCTION("""COMPUTED_VALUE"""),"SUI JAWI")</f>
        <v>SUI JAWI</v>
      </c>
      <c r="O2091" s="16" t="str">
        <f>IFERROR(__xludf.DUMMYFUNCTION("""COMPUTED_VALUE"""),"PONTIANAK KOTA")</f>
        <v>PONTIANAK KOTA</v>
      </c>
      <c r="P2091" s="16" t="str">
        <f>IFERROR(__xludf.DUMMYFUNCTION("""COMPUTED_VALUE"""),"KOTA PONTIANAK")</f>
        <v>KOTA PONTIANAK</v>
      </c>
      <c r="Q2091" s="16" t="str">
        <f>IFERROR(__xludf.DUMMYFUNCTION("""COMPUTED_VALUE"""),"KALIMANTAN BARAT")</f>
        <v>KALIMANTAN BARAT</v>
      </c>
      <c r="R2091" s="19" t="str">
        <f>IFERROR(__xludf.DUMMYFUNCTION("""COMPUTED_VALUE"""),"ISLAM")</f>
        <v>ISLAM</v>
      </c>
      <c r="S2091" s="16" t="str">
        <f>IFERROR(__xludf.DUMMYFUNCTION("""COMPUTED_VALUE"""),"SWASTA")</f>
        <v>SWASTA</v>
      </c>
      <c r="T2091" s="16" t="str">
        <f>IFERROR(__xludf.DUMMYFUNCTION("""COMPUTED_VALUE"""),"PINGGANG")</f>
        <v>PINGGANG</v>
      </c>
      <c r="U2091" s="16" t="str">
        <f>IFERROR(__xludf.DUMMYFUNCTION("""COMPUTED_VALUE"""),"KERJA")</f>
        <v>KERJA</v>
      </c>
      <c r="V2091" s="11" t="str">
        <f>IFERROR(__xludf.DUMMYFUNCTION("""COMPUTED_VALUE"""),"081998092070")</f>
        <v>081998092070</v>
      </c>
      <c r="W2091" s="46"/>
    </row>
    <row r="2092">
      <c r="A2092" s="45"/>
      <c r="B2092" s="9">
        <f>IFERROR(__xludf.DUMMYFUNCTION("""COMPUTED_VALUE"""),45668.69881289352)</f>
        <v>45668.69881</v>
      </c>
      <c r="C2092" s="9"/>
      <c r="D2092" s="10">
        <f>IFERROR(__xludf.DUMMYFUNCTION("""COMPUTED_VALUE"""),45683.0)</f>
        <v>45683</v>
      </c>
      <c r="E2092" s="10" t="str">
        <f>IFERROR(__xludf.DUMMYFUNCTION("""COMPUTED_VALUE"""),"01Jan")</f>
        <v>01Jan</v>
      </c>
      <c r="F2092" s="10" t="str">
        <f>IFERROR(__xludf.DUMMYFUNCTION("""COMPUTED_VALUE"""),"2025")</f>
        <v>2025</v>
      </c>
      <c r="G2092" s="9" t="str">
        <f>IFERROR(__xludf.DUMMYFUNCTION("""COMPUTED_VALUE"""),"FAIZ DHIYAUL HAQ NURMANDA")</f>
        <v>FAIZ DHIYAUL HAQ NURMANDA</v>
      </c>
      <c r="H2092" s="35" t="str">
        <f>IFERROR(__xludf.DUMMYFUNCTION("""COMPUTED_VALUE"""),"F9425010404")</f>
        <v>F9425010404</v>
      </c>
      <c r="I2092" s="35">
        <f>IFERROR(__xludf.DUMMYFUNCTION("""COMPUTED_VALUE"""),31.0)</f>
        <v>31</v>
      </c>
      <c r="J2092" s="35" t="str">
        <f>IFERROR(__xludf.DUMMYFUNCTION("""COMPUTED_VALUE"""),"25-34 tahun")</f>
        <v>25-34 tahun</v>
      </c>
      <c r="K2092" s="19" t="str">
        <f>IFERROR(__xludf.DUMMYFUNCTION("""COMPUTED_VALUE"""),"30/07/1994")</f>
        <v>30/07/1994</v>
      </c>
      <c r="L2092" s="19" t="str">
        <f>IFERROR(__xludf.DUMMYFUNCTION("""COMPUTED_VALUE"""),"LAKI-LAKI")</f>
        <v>LAKI-LAKI</v>
      </c>
      <c r="M2092" s="36" t="str">
        <f>IFERROR(__xludf.DUMMYFUNCTION("""COMPUTED_VALUE"""),"JL. DANAU SENTARUM GG. NURHADI 3 NO. 52")</f>
        <v>JL. DANAU SENTARUM GG. NURHADI 3 NO. 52</v>
      </c>
      <c r="N2092" s="16" t="str">
        <f>IFERROR(__xludf.DUMMYFUNCTION("""COMPUTED_VALUE"""),"KELURAHAN SEI BANGKONG")</f>
        <v>KELURAHAN SEI BANGKONG</v>
      </c>
      <c r="O2092" s="16" t="str">
        <f>IFERROR(__xludf.DUMMYFUNCTION("""COMPUTED_VALUE"""),"PONTIANAK KOTA")</f>
        <v>PONTIANAK KOTA</v>
      </c>
      <c r="P2092" s="16" t="str">
        <f>IFERROR(__xludf.DUMMYFUNCTION("""COMPUTED_VALUE"""),"KOTA PONTIANAKA")</f>
        <v>KOTA PONTIANAKA</v>
      </c>
      <c r="Q2092" s="16" t="str">
        <f>IFERROR(__xludf.DUMMYFUNCTION("""COMPUTED_VALUE"""),"KALIMANTAN BARAT")</f>
        <v>KALIMANTAN BARAT</v>
      </c>
      <c r="R2092" s="19" t="str">
        <f>IFERROR(__xludf.DUMMYFUNCTION("""COMPUTED_VALUE"""),"ISLAM")</f>
        <v>ISLAM</v>
      </c>
      <c r="S2092" s="16" t="str">
        <f>IFERROR(__xludf.DUMMYFUNCTION("""COMPUTED_VALUE"""),"ASN")</f>
        <v>ASN</v>
      </c>
      <c r="T2092" s="16" t="str">
        <f>IFERROR(__xludf.DUMMYFUNCTION("""COMPUTED_VALUE"""),"JEMPOL TANGAN KIRI NYERI SAAT BERAKTIVITAS")</f>
        <v>JEMPOL TANGAN KIRI NYERI SAAT BERAKTIVITAS</v>
      </c>
      <c r="U2092" s="16" t="str">
        <f>IFERROR(__xludf.DUMMYFUNCTION("""COMPUTED_VALUE"""),"MENGENDARAI MOTOR/VESPA")</f>
        <v>MENGENDARAI MOTOR/VESPA</v>
      </c>
      <c r="V2092" s="11" t="str">
        <f>IFERROR(__xludf.DUMMYFUNCTION("""COMPUTED_VALUE"""),"082157850404")</f>
        <v>082157850404</v>
      </c>
      <c r="W2092" s="46"/>
    </row>
    <row r="2093">
      <c r="A2093" s="45"/>
      <c r="B2093" s="9">
        <f>IFERROR(__xludf.DUMMYFUNCTION("""COMPUTED_VALUE"""),45668.4086578125)</f>
        <v>45668.40866</v>
      </c>
      <c r="C2093" s="9"/>
      <c r="D2093" s="10">
        <f>IFERROR(__xludf.DUMMYFUNCTION("""COMPUTED_VALUE"""),45683.0)</f>
        <v>45683</v>
      </c>
      <c r="E2093" s="10" t="str">
        <f>IFERROR(__xludf.DUMMYFUNCTION("""COMPUTED_VALUE"""),"01Jan")</f>
        <v>01Jan</v>
      </c>
      <c r="F2093" s="10" t="str">
        <f>IFERROR(__xludf.DUMMYFUNCTION("""COMPUTED_VALUE"""),"2025")</f>
        <v>2025</v>
      </c>
      <c r="G2093" s="9" t="str">
        <f>IFERROR(__xludf.DUMMYFUNCTION("""COMPUTED_VALUE"""),"YOSEP")</f>
        <v>YOSEP</v>
      </c>
      <c r="H2093" s="35" t="str">
        <f>IFERROR(__xludf.DUMMYFUNCTION("""COMPUTED_VALUE"""),"Y8425016286")</f>
        <v>Y8425016286</v>
      </c>
      <c r="I2093" s="35">
        <f>IFERROR(__xludf.DUMMYFUNCTION("""COMPUTED_VALUE"""),41.0)</f>
        <v>41</v>
      </c>
      <c r="J2093" s="35" t="str">
        <f>IFERROR(__xludf.DUMMYFUNCTION("""COMPUTED_VALUE"""),"35-44 tahun")</f>
        <v>35-44 tahun</v>
      </c>
      <c r="K2093" s="19" t="str">
        <f>IFERROR(__xludf.DUMMYFUNCTION("""COMPUTED_VALUE"""),"16/09/1984")</f>
        <v>16/09/1984</v>
      </c>
      <c r="L2093" s="19" t="str">
        <f>IFERROR(__xludf.DUMMYFUNCTION("""COMPUTED_VALUE"""),"LAKI-LAKI")</f>
        <v>LAKI-LAKI</v>
      </c>
      <c r="M2093" s="36" t="str">
        <f>IFERROR(__xludf.DUMMYFUNCTION("""COMPUTED_VALUE"""),"JLN WR SUPRATMAN NO 40A")</f>
        <v>JLN WR SUPRATMAN NO 40A</v>
      </c>
      <c r="N2093" s="16" t="str">
        <f>IFERROR(__xludf.DUMMYFUNCTION("""COMPUTED_VALUE"""),"BENUA MELAYU DARAT")</f>
        <v>BENUA MELAYU DARAT</v>
      </c>
      <c r="O2093" s="16" t="str">
        <f>IFERROR(__xludf.DUMMYFUNCTION("""COMPUTED_VALUE"""),"PONTIANAK SELATAN")</f>
        <v>PONTIANAK SELATAN</v>
      </c>
      <c r="P2093" s="16" t="str">
        <f>IFERROR(__xludf.DUMMYFUNCTION("""COMPUTED_VALUE"""),"PONTIANAK")</f>
        <v>PONTIANAK</v>
      </c>
      <c r="Q2093" s="16" t="str">
        <f>IFERROR(__xludf.DUMMYFUNCTION("""COMPUTED_VALUE"""),"KALIMANTAN BARAT")</f>
        <v>KALIMANTAN BARAT</v>
      </c>
      <c r="R2093" s="19" t="str">
        <f>IFERROR(__xludf.DUMMYFUNCTION("""COMPUTED_VALUE"""),"KATOLIK")</f>
        <v>KATOLIK</v>
      </c>
      <c r="S2093" s="16" t="str">
        <f>IFERROR(__xludf.DUMMYFUNCTION("""COMPUTED_VALUE"""),"WIRASWASTA")</f>
        <v>WIRASWASTA</v>
      </c>
      <c r="T2093" s="16" t="str">
        <f>IFERROR(__xludf.DUMMYFUNCTION("""COMPUTED_VALUE"""),"CIDERA SAAT OLAHRAGA")</f>
        <v>CIDERA SAAT OLAHRAGA</v>
      </c>
      <c r="U2093" s="16" t="str">
        <f>IFERROR(__xludf.DUMMYFUNCTION("""COMPUTED_VALUE"""),"MINI SOCCER")</f>
        <v>MINI SOCCER</v>
      </c>
      <c r="V2093" s="11" t="str">
        <f>IFERROR(__xludf.DUMMYFUNCTION("""COMPUTED_VALUE"""),"082155786286")</f>
        <v>082155786286</v>
      </c>
      <c r="W2093" s="46"/>
    </row>
    <row r="2094">
      <c r="A2094" s="45"/>
      <c r="B2094" s="9" t="str">
        <f>IFERROR(__xludf.DUMMYFUNCTION("""COMPUTED_VALUE"""),"12/01/2025 16:20:50")</f>
        <v>12/01/2025 16:20:50</v>
      </c>
      <c r="C2094" s="9"/>
      <c r="D2094" s="10">
        <f>IFERROR(__xludf.DUMMYFUNCTION("""COMPUTED_VALUE"""),45683.0)</f>
        <v>45683</v>
      </c>
      <c r="E2094" s="10" t="str">
        <f>IFERROR(__xludf.DUMMYFUNCTION("""COMPUTED_VALUE"""),"01Jan")</f>
        <v>01Jan</v>
      </c>
      <c r="F2094" s="10" t="str">
        <f>IFERROR(__xludf.DUMMYFUNCTION("""COMPUTED_VALUE"""),"2025")</f>
        <v>2025</v>
      </c>
      <c r="G2094" s="9" t="str">
        <f>IFERROR(__xludf.DUMMYFUNCTION("""COMPUTED_VALUE"""),"FENY ARYANI")</f>
        <v>FENY ARYANI</v>
      </c>
      <c r="H2094" s="35" t="str">
        <f>IFERROR(__xludf.DUMMYFUNCTION("""COMPUTED_VALUE"""),"F9525010167")</f>
        <v>F9525010167</v>
      </c>
      <c r="I2094" s="35">
        <f>IFERROR(__xludf.DUMMYFUNCTION("""COMPUTED_VALUE"""),31.0)</f>
        <v>31</v>
      </c>
      <c r="J2094" s="35" t="str">
        <f>IFERROR(__xludf.DUMMYFUNCTION("""COMPUTED_VALUE"""),"25-34 tahun")</f>
        <v>25-34 tahun</v>
      </c>
      <c r="K2094" s="19" t="str">
        <f>IFERROR(__xludf.DUMMYFUNCTION("""COMPUTED_VALUE"""),"21/01/1995")</f>
        <v>21/01/1995</v>
      </c>
      <c r="L2094" s="19" t="str">
        <f>IFERROR(__xludf.DUMMYFUNCTION("""COMPUTED_VALUE"""),"PEREMPUAN")</f>
        <v>PEREMPUAN</v>
      </c>
      <c r="M2094" s="36" t="str">
        <f>IFERROR(__xludf.DUMMYFUNCTION("""COMPUTED_VALUE"""),"JL SUKAMULYA, GG SUKMA 18 NO A4")</f>
        <v>JL SUKAMULYA, GG SUKMA 18 NO A4</v>
      </c>
      <c r="N2094" s="16" t="str">
        <f>IFERROR(__xludf.DUMMYFUNCTION("""COMPUTED_VALUE"""),"SUNGAI JAWI")</f>
        <v>SUNGAI JAWI</v>
      </c>
      <c r="O2094" s="16" t="str">
        <f>IFERROR(__xludf.DUMMYFUNCTION("""COMPUTED_VALUE"""),"PONTIANAK KOTA")</f>
        <v>PONTIANAK KOTA</v>
      </c>
      <c r="P2094" s="16" t="str">
        <f>IFERROR(__xludf.DUMMYFUNCTION("""COMPUTED_VALUE"""),"PONTIANAK")</f>
        <v>PONTIANAK</v>
      </c>
      <c r="Q2094" s="16" t="str">
        <f>IFERROR(__xludf.DUMMYFUNCTION("""COMPUTED_VALUE"""),"KALIMANTAN BARAT")</f>
        <v>KALIMANTAN BARAT</v>
      </c>
      <c r="R2094" s="19" t="str">
        <f>IFERROR(__xludf.DUMMYFUNCTION("""COMPUTED_VALUE"""),"ISLAM")</f>
        <v>ISLAM</v>
      </c>
      <c r="S2094" s="16" t="str">
        <f>IFERROR(__xludf.DUMMYFUNCTION("""COMPUTED_VALUE"""),"SWASTA")</f>
        <v>SWASTA</v>
      </c>
      <c r="T2094" s="16" t="str">
        <f>IFERROR(__xludf.DUMMYFUNCTION("""COMPUTED_VALUE"""),"SAKIT RAHANG, SAAT MAKAN, KETAWA DAN NGUAP ( TIDAK BISA BUKA LEBAR)")</f>
        <v>SAKIT RAHANG, SAAT MAKAN, KETAWA DAN NGUAP ( TIDAK BISA BUKA LEBAR)</v>
      </c>
      <c r="U2094" s="16" t="str">
        <f>IFERROR(__xludf.DUMMYFUNCTION("""COMPUTED_VALUE"""),"TIDAK TAU")</f>
        <v>TIDAK TAU</v>
      </c>
      <c r="V2094" s="11" t="str">
        <f>IFERROR(__xludf.DUMMYFUNCTION("""COMPUTED_VALUE"""),"089694320167")</f>
        <v>089694320167</v>
      </c>
      <c r="W2094" s="46"/>
    </row>
    <row r="2095">
      <c r="A2095" s="45"/>
      <c r="B2095" s="9">
        <f>IFERROR(__xludf.DUMMYFUNCTION("""COMPUTED_VALUE"""),45669.59105362269)</f>
        <v>45669.59105</v>
      </c>
      <c r="C2095" s="9"/>
      <c r="D2095" s="10">
        <f>IFERROR(__xludf.DUMMYFUNCTION("""COMPUTED_VALUE"""),45683.0)</f>
        <v>45683</v>
      </c>
      <c r="E2095" s="10" t="str">
        <f>IFERROR(__xludf.DUMMYFUNCTION("""COMPUTED_VALUE"""),"01Jan")</f>
        <v>01Jan</v>
      </c>
      <c r="F2095" s="10" t="str">
        <f>IFERROR(__xludf.DUMMYFUNCTION("""COMPUTED_VALUE"""),"2025")</f>
        <v>2025</v>
      </c>
      <c r="G2095" s="9" t="str">
        <f>IFERROR(__xludf.DUMMYFUNCTION("""COMPUTED_VALUE"""),"RANDY EKO JULIANTO")</f>
        <v>RANDY EKO JULIANTO</v>
      </c>
      <c r="H2095" s="35" t="str">
        <f>IFERROR(__xludf.DUMMYFUNCTION("""COMPUTED_VALUE"""),"R0225015617")</f>
        <v>R0225015617</v>
      </c>
      <c r="I2095" s="35">
        <f>IFERROR(__xludf.DUMMYFUNCTION("""COMPUTED_VALUE"""),23.0)</f>
        <v>23</v>
      </c>
      <c r="J2095" s="35" t="str">
        <f>IFERROR(__xludf.DUMMYFUNCTION("""COMPUTED_VALUE"""),"18-24 tahun")</f>
        <v>18-24 tahun</v>
      </c>
      <c r="K2095" s="19" t="str">
        <f>IFERROR(__xludf.DUMMYFUNCTION("""COMPUTED_VALUE"""),"16/07/2002")</f>
        <v>16/07/2002</v>
      </c>
      <c r="L2095" s="19" t="str">
        <f>IFERROR(__xludf.DUMMYFUNCTION("""COMPUTED_VALUE"""),"LAKI-LAKI")</f>
        <v>LAKI-LAKI</v>
      </c>
      <c r="M2095" s="36" t="str">
        <f>IFERROR(__xludf.DUMMYFUNCTION("""COMPUTED_VALUE"""),"JL.GATOT SUBROTO BTN MENTE PERMAISURI")</f>
        <v>JL.GATOT SUBROTO BTN MENTE PERMAISURI</v>
      </c>
      <c r="N2095" s="16" t="str">
        <f>IFERROR(__xludf.DUMMYFUNCTION("""COMPUTED_VALUE"""),"PAYA KUMANG")</f>
        <v>PAYA KUMANG</v>
      </c>
      <c r="O2095" s="16" t="str">
        <f>IFERROR(__xludf.DUMMYFUNCTION("""COMPUTED_VALUE"""),"DELTA PAWAN")</f>
        <v>DELTA PAWAN</v>
      </c>
      <c r="P2095" s="16" t="str">
        <f>IFERROR(__xludf.DUMMYFUNCTION("""COMPUTED_VALUE"""),"KETAPANG")</f>
        <v>KETAPANG</v>
      </c>
      <c r="Q2095" s="16" t="str">
        <f>IFERROR(__xludf.DUMMYFUNCTION("""COMPUTED_VALUE"""),"KALIMANTAN BARAT")</f>
        <v>KALIMANTAN BARAT</v>
      </c>
      <c r="R2095" s="19" t="str">
        <f>IFERROR(__xludf.DUMMYFUNCTION("""COMPUTED_VALUE"""),"ISLAM")</f>
        <v>ISLAM</v>
      </c>
      <c r="S2095" s="16" t="str">
        <f>IFERROR(__xludf.DUMMYFUNCTION("""COMPUTED_VALUE"""),"TNI/POLRI")</f>
        <v>TNI/POLRI</v>
      </c>
      <c r="T2095" s="16" t="str">
        <f>IFERROR(__xludf.DUMMYFUNCTION("""COMPUTED_VALUE"""),"ENGKEL")</f>
        <v>ENGKEL</v>
      </c>
      <c r="U2095" s="16" t="str">
        <f>IFERROR(__xludf.DUMMYFUNCTION("""COMPUTED_VALUE"""),"FUTSAL / SEPAKBOLA")</f>
        <v>FUTSAL / SEPAKBOLA</v>
      </c>
      <c r="V2095" s="11" t="str">
        <f>IFERROR(__xludf.DUMMYFUNCTION("""COMPUTED_VALUE"""),"081347715617")</f>
        <v>081347715617</v>
      </c>
      <c r="W2095" s="46"/>
    </row>
    <row r="2096">
      <c r="A2096" s="45"/>
      <c r="B2096" s="9" t="str">
        <f>IFERROR(__xludf.DUMMYFUNCTION("""COMPUTED_VALUE"""),"13/01/2025 9:24:24")</f>
        <v>13/01/2025 9:24:24</v>
      </c>
      <c r="C2096" s="35"/>
      <c r="D2096" s="10">
        <f>IFERROR(__xludf.DUMMYFUNCTION("""COMPUTED_VALUE"""),45683.0)</f>
        <v>45683</v>
      </c>
      <c r="E2096" s="35" t="str">
        <f>IFERROR(__xludf.DUMMYFUNCTION("""COMPUTED_VALUE"""),"01Jan")</f>
        <v>01Jan</v>
      </c>
      <c r="F2096" s="34" t="str">
        <f>IFERROR(__xludf.DUMMYFUNCTION("""COMPUTED_VALUE"""),"2025")</f>
        <v>2025</v>
      </c>
      <c r="G2096" s="9" t="str">
        <f>IFERROR(__xludf.DUMMYFUNCTION("""COMPUTED_VALUE"""),"ALDI RANDY YUDO")</f>
        <v>ALDI RANDY YUDO</v>
      </c>
      <c r="H2096" s="35" t="str">
        <f>IFERROR(__xludf.DUMMYFUNCTION("""COMPUTED_VALUE"""),"A9225012020")</f>
        <v>A9225012020</v>
      </c>
      <c r="I2096" s="35">
        <f>IFERROR(__xludf.DUMMYFUNCTION("""COMPUTED_VALUE"""),34.0)</f>
        <v>34</v>
      </c>
      <c r="J2096" s="35" t="str">
        <f>IFERROR(__xludf.DUMMYFUNCTION("""COMPUTED_VALUE"""),"25-34 tahun")</f>
        <v>25-34 tahun</v>
      </c>
      <c r="K2096" s="19" t="str">
        <f>IFERROR(__xludf.DUMMYFUNCTION("""COMPUTED_VALUE"""),"09/02/1992")</f>
        <v>09/02/1992</v>
      </c>
      <c r="L2096" s="19" t="str">
        <f>IFERROR(__xludf.DUMMYFUNCTION("""COMPUTED_VALUE"""),"LAKI-LAKI")</f>
        <v>LAKI-LAKI</v>
      </c>
      <c r="M2096" s="36" t="str">
        <f>IFERROR(__xludf.DUMMYFUNCTION("""COMPUTED_VALUE"""),"JL. PERDANA KOMPLEK BALI AGUNG 2 BLOK F NO. 1")</f>
        <v>JL. PERDANA KOMPLEK BALI AGUNG 2 BLOK F NO. 1</v>
      </c>
      <c r="N2096" s="16" t="str">
        <f>IFERROR(__xludf.DUMMYFUNCTION("""COMPUTED_VALUE"""),"PARIT TOKAYA")</f>
        <v>PARIT TOKAYA</v>
      </c>
      <c r="O2096" s="16" t="str">
        <f>IFERROR(__xludf.DUMMYFUNCTION("""COMPUTED_VALUE"""),"PONTIANAK SELATAN")</f>
        <v>PONTIANAK SELATAN</v>
      </c>
      <c r="P2096" s="16" t="str">
        <f>IFERROR(__xludf.DUMMYFUNCTION("""COMPUTED_VALUE"""),"KOTA PONTIANAK")</f>
        <v>KOTA PONTIANAK</v>
      </c>
      <c r="Q2096" s="16" t="str">
        <f>IFERROR(__xludf.DUMMYFUNCTION("""COMPUTED_VALUE"""),"KALIMANTAN BARAT")</f>
        <v>KALIMANTAN BARAT</v>
      </c>
      <c r="R2096" s="19" t="str">
        <f>IFERROR(__xludf.DUMMYFUNCTION("""COMPUTED_VALUE"""),"ISLAM")</f>
        <v>ISLAM</v>
      </c>
      <c r="S2096" s="16" t="str">
        <f>IFERROR(__xludf.DUMMYFUNCTION("""COMPUTED_VALUE"""),"BUMD")</f>
        <v>BUMD</v>
      </c>
      <c r="T2096" s="16" t="str">
        <f>IFERROR(__xludf.DUMMYFUNCTION("""COMPUTED_VALUE"""),"TENNIS ELBOW DAN NYERI DENGKUL KANAN")</f>
        <v>TENNIS ELBOW DAN NYERI DENGKUL KANAN</v>
      </c>
      <c r="U2096" s="16" t="str">
        <f>IFERROR(__xludf.DUMMYFUNCTION("""COMPUTED_VALUE"""),"OLAH RAGA TENIS")</f>
        <v>OLAH RAGA TENIS</v>
      </c>
      <c r="V2096" s="11" t="str">
        <f>IFERROR(__xludf.DUMMYFUNCTION("""COMPUTED_VALUE"""),"08115732020")</f>
        <v>08115732020</v>
      </c>
      <c r="W2096" s="46"/>
    </row>
    <row r="2097">
      <c r="A2097" s="45"/>
      <c r="B2097" s="9" t="str">
        <f>IFERROR(__xludf.DUMMYFUNCTION("""COMPUTED_VALUE"""),"13/01/2025 11:44:50")</f>
        <v>13/01/2025 11:44:50</v>
      </c>
      <c r="C2097" s="9"/>
      <c r="D2097" s="10">
        <f>IFERROR(__xludf.DUMMYFUNCTION("""COMPUTED_VALUE"""),45683.0)</f>
        <v>45683</v>
      </c>
      <c r="E2097" s="10" t="str">
        <f>IFERROR(__xludf.DUMMYFUNCTION("""COMPUTED_VALUE"""),"01Jan")</f>
        <v>01Jan</v>
      </c>
      <c r="F2097" s="10" t="str">
        <f>IFERROR(__xludf.DUMMYFUNCTION("""COMPUTED_VALUE"""),"2025")</f>
        <v>2025</v>
      </c>
      <c r="G2097" s="9" t="str">
        <f>IFERROR(__xludf.DUMMYFUNCTION("""COMPUTED_VALUE"""),"ELI HERLINA")</f>
        <v>ELI HERLINA</v>
      </c>
      <c r="H2097" s="35" t="str">
        <f>IFERROR(__xludf.DUMMYFUNCTION("""COMPUTED_VALUE"""),"E6025018936")</f>
        <v>E6025018936</v>
      </c>
      <c r="I2097" s="35">
        <f>IFERROR(__xludf.DUMMYFUNCTION("""COMPUTED_VALUE"""),66.0)</f>
        <v>66</v>
      </c>
      <c r="J2097" s="35" t="str">
        <f>IFERROR(__xludf.DUMMYFUNCTION("""COMPUTED_VALUE"""),"&gt; 44 tahun")</f>
        <v>&gt; 44 tahun</v>
      </c>
      <c r="K2097" s="19">
        <f>IFERROR(__xludf.DUMMYFUNCTION("""COMPUTED_VALUE"""),22004.0)</f>
        <v>22004</v>
      </c>
      <c r="L2097" s="19" t="str">
        <f>IFERROR(__xludf.DUMMYFUNCTION("""COMPUTED_VALUE"""),"PEREMPUAN")</f>
        <v>PEREMPUAN</v>
      </c>
      <c r="M2097" s="36" t="str">
        <f>IFERROR(__xludf.DUMMYFUNCTION("""COMPUTED_VALUE"""),"JL. SUNGAI RAYA DALAM BUMI BATARA 2 NOMOR 03")</f>
        <v>JL. SUNGAI RAYA DALAM BUMI BATARA 2 NOMOR 03</v>
      </c>
      <c r="N2097" s="16" t="str">
        <f>IFERROR(__xludf.DUMMYFUNCTION("""COMPUTED_VALUE"""),"SUNGAI RAYA DALAM")</f>
        <v>SUNGAI RAYA DALAM</v>
      </c>
      <c r="O2097" s="16" t="str">
        <f>IFERROR(__xludf.DUMMYFUNCTION("""COMPUTED_VALUE"""),"SUNGAI RAYA")</f>
        <v>SUNGAI RAYA</v>
      </c>
      <c r="P2097" s="16" t="str">
        <f>IFERROR(__xludf.DUMMYFUNCTION("""COMPUTED_VALUE"""),"KAB. KUBURAYA")</f>
        <v>KAB. KUBURAYA</v>
      </c>
      <c r="Q2097" s="16" t="str">
        <f>IFERROR(__xludf.DUMMYFUNCTION("""COMPUTED_VALUE"""),"KALIMANTAN BARAT")</f>
        <v>KALIMANTAN BARAT</v>
      </c>
      <c r="R2097" s="19" t="str">
        <f>IFERROR(__xludf.DUMMYFUNCTION("""COMPUTED_VALUE"""),"ISLAM")</f>
        <v>ISLAM</v>
      </c>
      <c r="S2097" s="16" t="str">
        <f>IFERROR(__xludf.DUMMYFUNCTION("""COMPUTED_VALUE"""),"RUMAH TANGGA")</f>
        <v>RUMAH TANGGA</v>
      </c>
      <c r="T2097" s="16" t="str">
        <f>IFERROR(__xludf.DUMMYFUNCTION("""COMPUTED_VALUE"""),"PAHA KEBAWAH")</f>
        <v>PAHA KEBAWAH</v>
      </c>
      <c r="U2097" s="16" t="str">
        <f>IFERROR(__xludf.DUMMYFUNCTION("""COMPUTED_VALUE"""),"-")</f>
        <v>-</v>
      </c>
      <c r="V2097" s="11" t="str">
        <f>IFERROR(__xludf.DUMMYFUNCTION("""COMPUTED_VALUE"""),"8961698936")</f>
        <v>8961698936</v>
      </c>
      <c r="W2097" s="46"/>
    </row>
    <row r="2098">
      <c r="A2098" s="45"/>
      <c r="B2098" s="9" t="str">
        <f>IFERROR(__xludf.DUMMYFUNCTION("""COMPUTED_VALUE"""),"13/01/2025 11:37:19")</f>
        <v>13/01/2025 11:37:19</v>
      </c>
      <c r="C2098" s="9"/>
      <c r="D2098" s="10">
        <f>IFERROR(__xludf.DUMMYFUNCTION("""COMPUTED_VALUE"""),45701.0)</f>
        <v>45701</v>
      </c>
      <c r="E2098" s="10" t="str">
        <f>IFERROR(__xludf.DUMMYFUNCTION("""COMPUTED_VALUE"""),"02Feb")</f>
        <v>02Feb</v>
      </c>
      <c r="F2098" s="10" t="str">
        <f>IFERROR(__xludf.DUMMYFUNCTION("""COMPUTED_VALUE"""),"2025")</f>
        <v>2025</v>
      </c>
      <c r="G2098" s="9" t="str">
        <f>IFERROR(__xludf.DUMMYFUNCTION("""COMPUTED_VALUE"""),"YADI RUSTANDI, SH")</f>
        <v>YADI RUSTANDI, SH</v>
      </c>
      <c r="H2098" s="35" t="str">
        <f>IFERROR(__xludf.DUMMYFUNCTION("""COMPUTED_VALUE"""),"Y7525028393")</f>
        <v>Y7525028393</v>
      </c>
      <c r="I2098" s="35">
        <f>IFERROR(__xludf.DUMMYFUNCTION("""COMPUTED_VALUE"""),50.0)</f>
        <v>50</v>
      </c>
      <c r="J2098" s="35" t="str">
        <f>IFERROR(__xludf.DUMMYFUNCTION("""COMPUTED_VALUE"""),"&gt; 44 tahun")</f>
        <v>&gt; 44 tahun</v>
      </c>
      <c r="K2098" s="19" t="str">
        <f>IFERROR(__xludf.DUMMYFUNCTION("""COMPUTED_VALUE"""),"07/08/1975")</f>
        <v>07/08/1975</v>
      </c>
      <c r="L2098" s="19" t="str">
        <f>IFERROR(__xludf.DUMMYFUNCTION("""COMPUTED_VALUE"""),"LAKI-LAKI")</f>
        <v>LAKI-LAKI</v>
      </c>
      <c r="M2098" s="36" t="str">
        <f>IFERROR(__xludf.DUMMYFUNCTION("""COMPUTED_VALUE"""),"JL. WR. SUPRATMAN NO. 41")</f>
        <v>JL. WR. SUPRATMAN NO. 41</v>
      </c>
      <c r="N2098" s="16" t="str">
        <f>IFERROR(__xludf.DUMMYFUNCTION("""COMPUTED_VALUE"""),"PUTUSSIBAU KOTA")</f>
        <v>PUTUSSIBAU KOTA</v>
      </c>
      <c r="O2098" s="16" t="str">
        <f>IFERROR(__xludf.DUMMYFUNCTION("""COMPUTED_VALUE"""),"PUTUSSIBAU KOTA")</f>
        <v>PUTUSSIBAU KOTA</v>
      </c>
      <c r="P2098" s="16" t="str">
        <f>IFERROR(__xludf.DUMMYFUNCTION("""COMPUTED_VALUE"""),"KAPUAS HULU")</f>
        <v>KAPUAS HULU</v>
      </c>
      <c r="Q2098" s="16" t="str">
        <f>IFERROR(__xludf.DUMMYFUNCTION("""COMPUTED_VALUE"""),"KALIMANTAN BARAT")</f>
        <v>KALIMANTAN BARAT</v>
      </c>
      <c r="R2098" s="19" t="str">
        <f>IFERROR(__xludf.DUMMYFUNCTION("""COMPUTED_VALUE"""),"ISLAM")</f>
        <v>ISLAM</v>
      </c>
      <c r="S2098" s="16" t="str">
        <f>IFERROR(__xludf.DUMMYFUNCTION("""COMPUTED_VALUE"""),"POLRI")</f>
        <v>POLRI</v>
      </c>
      <c r="T2098" s="16" t="str">
        <f>IFERROR(__xludf.DUMMYFUNCTION("""COMPUTED_VALUE"""),"KETIKA BARING DAN SETELAH BANGUN TIDUR PINGGANG TERASA PEGAL-PEGAL, NYERIL")</f>
        <v>KETIKA BARING DAN SETELAH BANGUN TIDUR PINGGANG TERASA PEGAL-PEGAL, NYERIL</v>
      </c>
      <c r="U2098" s="16" t="str">
        <f>IFERROR(__xludf.DUMMYFUNCTION("""COMPUTED_VALUE"""),"BEKERJA KANTORAN")</f>
        <v>BEKERJA KANTORAN</v>
      </c>
      <c r="V2098" s="11" t="str">
        <f>IFERROR(__xludf.DUMMYFUNCTION("""COMPUTED_VALUE"""),"082152248393")</f>
        <v>082152248393</v>
      </c>
      <c r="W2098" s="46"/>
    </row>
    <row r="2099">
      <c r="A2099" s="45"/>
      <c r="B2099" s="9"/>
      <c r="C2099" s="9"/>
      <c r="D2099" s="10">
        <f>IFERROR(__xludf.DUMMYFUNCTION("""COMPUTED_VALUE"""),45685.0)</f>
        <v>45685</v>
      </c>
      <c r="E2099" s="10" t="str">
        <f>IFERROR(__xludf.DUMMYFUNCTION("""COMPUTED_VALUE"""),"01Jan")</f>
        <v>01Jan</v>
      </c>
      <c r="F2099" s="10" t="str">
        <f>IFERROR(__xludf.DUMMYFUNCTION("""COMPUTED_VALUE"""),"2025")</f>
        <v>2025</v>
      </c>
      <c r="G2099" s="9" t="str">
        <f>IFERROR(__xludf.DUMMYFUNCTION("""COMPUTED_VALUE"""),"ADAM SURYA")</f>
        <v>ADAM SURYA</v>
      </c>
      <c r="H2099" s="35" t="str">
        <f>IFERROR(__xludf.DUMMYFUNCTION("""COMPUTED_VALUE"""),"A9825014940")</f>
        <v>A9825014940</v>
      </c>
      <c r="I2099" s="35">
        <f>IFERROR(__xludf.DUMMYFUNCTION("""COMPUTED_VALUE"""),27.0)</f>
        <v>27</v>
      </c>
      <c r="J2099" s="35" t="str">
        <f>IFERROR(__xludf.DUMMYFUNCTION("""COMPUTED_VALUE"""),"25-34 tahun")</f>
        <v>25-34 tahun</v>
      </c>
      <c r="K2099" s="19" t="str">
        <f>IFERROR(__xludf.DUMMYFUNCTION("""COMPUTED_VALUE"""),"16/11/1998")</f>
        <v>16/11/1998</v>
      </c>
      <c r="L2099" s="19" t="str">
        <f>IFERROR(__xludf.DUMMYFUNCTION("""COMPUTED_VALUE"""),"LAKI-LAKI")</f>
        <v>LAKI-LAKI</v>
      </c>
      <c r="M2099" s="36" t="str">
        <f>IFERROR(__xludf.DUMMYFUNCTION("""COMPUTED_VALUE"""),"JL UJUNG PANDANG GG HANURA 2")</f>
        <v>JL UJUNG PANDANG GG HANURA 2</v>
      </c>
      <c r="N2099" s="16" t="str">
        <f>IFERROR(__xludf.DUMMYFUNCTION("""COMPUTED_VALUE"""),"SUNGAI JAWI")</f>
        <v>SUNGAI JAWI</v>
      </c>
      <c r="O2099" s="16" t="str">
        <f>IFERROR(__xludf.DUMMYFUNCTION("""COMPUTED_VALUE"""),"PONTIANAK KOTA")</f>
        <v>PONTIANAK KOTA</v>
      </c>
      <c r="P2099" s="16" t="str">
        <f>IFERROR(__xludf.DUMMYFUNCTION("""COMPUTED_VALUE"""),"PONTIANAK KOTA")</f>
        <v>PONTIANAK KOTA</v>
      </c>
      <c r="Q2099" s="16" t="str">
        <f>IFERROR(__xludf.DUMMYFUNCTION("""COMPUTED_VALUE"""),"KALIMANTAN BARAT")</f>
        <v>KALIMANTAN BARAT</v>
      </c>
      <c r="R2099" s="19" t="str">
        <f>IFERROR(__xludf.DUMMYFUNCTION("""COMPUTED_VALUE"""),"ISLAM")</f>
        <v>ISLAM</v>
      </c>
      <c r="S2099" s="16" t="str">
        <f>IFERROR(__xludf.DUMMYFUNCTION("""COMPUTED_VALUE"""),"WIRASWASTA")</f>
        <v>WIRASWASTA</v>
      </c>
      <c r="T2099" s="16" t="str">
        <f>IFERROR(__xludf.DUMMYFUNCTION("""COMPUTED_VALUE"""),"NYERI PADA ANGKEL")</f>
        <v>NYERI PADA ANGKEL</v>
      </c>
      <c r="U2099" s="16" t="str">
        <f>IFERROR(__xludf.DUMMYFUNCTION("""COMPUTED_VALUE"""),"MAIN BOLA/ KERJA")</f>
        <v>MAIN BOLA/ KERJA</v>
      </c>
      <c r="V2099" s="11" t="str">
        <f>IFERROR(__xludf.DUMMYFUNCTION("""COMPUTED_VALUE"""),"085845164940")</f>
        <v>085845164940</v>
      </c>
      <c r="W2099" s="46"/>
    </row>
    <row r="2100">
      <c r="A2100" s="45"/>
      <c r="B2100" s="9"/>
      <c r="C2100" s="9"/>
      <c r="D2100" s="10">
        <f>IFERROR(__xludf.DUMMYFUNCTION("""COMPUTED_VALUE"""),45685.0)</f>
        <v>45685</v>
      </c>
      <c r="E2100" s="10" t="str">
        <f>IFERROR(__xludf.DUMMYFUNCTION("""COMPUTED_VALUE"""),"01Jan")</f>
        <v>01Jan</v>
      </c>
      <c r="F2100" s="10" t="str">
        <f>IFERROR(__xludf.DUMMYFUNCTION("""COMPUTED_VALUE"""),"2025")</f>
        <v>2025</v>
      </c>
      <c r="G2100" s="9" t="str">
        <f>IFERROR(__xludf.DUMMYFUNCTION("""COMPUTED_VALUE"""),"AGUS BUDIARTI")</f>
        <v>AGUS BUDIARTI</v>
      </c>
      <c r="H2100" s="35" t="str">
        <f>IFERROR(__xludf.DUMMYFUNCTION("""COMPUTED_VALUE"""),"A7625011477")</f>
        <v>A7625011477</v>
      </c>
      <c r="I2100" s="35">
        <f>IFERROR(__xludf.DUMMYFUNCTION("""COMPUTED_VALUE"""),49.0)</f>
        <v>49</v>
      </c>
      <c r="J2100" s="35" t="str">
        <f>IFERROR(__xludf.DUMMYFUNCTION("""COMPUTED_VALUE"""),"&gt; 44 tahun")</f>
        <v>&gt; 44 tahun</v>
      </c>
      <c r="K2100" s="19" t="str">
        <f>IFERROR(__xludf.DUMMYFUNCTION("""COMPUTED_VALUE"""),"18/08/1976")</f>
        <v>18/08/1976</v>
      </c>
      <c r="L2100" s="19" t="str">
        <f>IFERROR(__xludf.DUMMYFUNCTION("""COMPUTED_VALUE"""),"PEREMPUAN")</f>
        <v>PEREMPUAN</v>
      </c>
      <c r="M2100" s="36" t="str">
        <f>IFERROR(__xludf.DUMMYFUNCTION("""COMPUTED_VALUE"""),"JL. H. M SUWIGNYO GG. SUDIHARJO IV NO. 8A")</f>
        <v>JL. H. M SUWIGNYO GG. SUDIHARJO IV NO. 8A</v>
      </c>
      <c r="N2100" s="16" t="str">
        <f>IFERROR(__xludf.DUMMYFUNCTION("""COMPUTED_VALUE"""),"SUNGAI KAWI")</f>
        <v>SUNGAI KAWI</v>
      </c>
      <c r="O2100" s="16" t="str">
        <f>IFERROR(__xludf.DUMMYFUNCTION("""COMPUTED_VALUE"""),"PONTIANAK KOTA")</f>
        <v>PONTIANAK KOTA</v>
      </c>
      <c r="P2100" s="16" t="str">
        <f>IFERROR(__xludf.DUMMYFUNCTION("""COMPUTED_VALUE"""),"KOTA PONTIANAL")</f>
        <v>KOTA PONTIANAL</v>
      </c>
      <c r="Q2100" s="16" t="str">
        <f>IFERROR(__xludf.DUMMYFUNCTION("""COMPUTED_VALUE"""),"KALIMANTAN BARAT")</f>
        <v>KALIMANTAN BARAT</v>
      </c>
      <c r="R2100" s="19" t="str">
        <f>IFERROR(__xludf.DUMMYFUNCTION("""COMPUTED_VALUE"""),"ISLAM")</f>
        <v>ISLAM</v>
      </c>
      <c r="S2100" s="16" t="str">
        <f>IFERROR(__xludf.DUMMYFUNCTION("""COMPUTED_VALUE"""),"RUMAH TANGGA")</f>
        <v>RUMAH TANGGA</v>
      </c>
      <c r="T2100" s="16" t="str">
        <f>IFERROR(__xludf.DUMMYFUNCTION("""COMPUTED_VALUE"""),"KAKI MASIH LEMAH DAN KALAU BERJALAN BELUM TEGAK, JARI KAKI BELUM BISA CENGKERAM SEBAGAIMANA MESTINYA DAN TELAPAK KAKI BAGIAN UJUNG KE JARI MASIH BELUM BISA DATAR. TANGAN KIRI MASIH LEMAH DAN BAGIAN KIRI TERASA KEBAS.")</f>
        <v>KAKI MASIH LEMAH DAN KALAU BERJALAN BELUM TEGAK, JARI KAKI BELUM BISA CENGKERAM SEBAGAIMANA MESTINYA DAN TELAPAK KAKI BAGIAN UJUNG KE JARI MASIH BELUM BISA DATAR. TANGAN KIRI MASIH LEMAH DAN BAGIAN KIRI TERASA KEBAS.</v>
      </c>
      <c r="U2100" s="16" t="str">
        <f>IFERROR(__xludf.DUMMYFUNCTION("""COMPUTED_VALUE"""),"RUMAH TANGGA")</f>
        <v>RUMAH TANGGA</v>
      </c>
      <c r="V2100" s="11" t="str">
        <f>IFERROR(__xludf.DUMMYFUNCTION("""COMPUTED_VALUE"""),"085754081477")</f>
        <v>085754081477</v>
      </c>
      <c r="W2100" s="46"/>
    </row>
    <row r="2101">
      <c r="A2101" s="45"/>
      <c r="B2101" s="9" t="str">
        <f>IFERROR(__xludf.DUMMYFUNCTION("""COMPUTED_VALUE"""),"10/01/2025 20:28:48")</f>
        <v>10/01/2025 20:28:48</v>
      </c>
      <c r="C2101" s="9"/>
      <c r="D2101" s="10">
        <f>IFERROR(__xludf.DUMMYFUNCTION("""COMPUTED_VALUE"""),45685.0)</f>
        <v>45685</v>
      </c>
      <c r="E2101" s="10" t="str">
        <f>IFERROR(__xludf.DUMMYFUNCTION("""COMPUTED_VALUE"""),"01Jan")</f>
        <v>01Jan</v>
      </c>
      <c r="F2101" s="10" t="str">
        <f>IFERROR(__xludf.DUMMYFUNCTION("""COMPUTED_VALUE"""),"2025")</f>
        <v>2025</v>
      </c>
      <c r="G2101" s="9" t="str">
        <f>IFERROR(__xludf.DUMMYFUNCTION("""COMPUTED_VALUE"""),"ROSSY MARVITA")</f>
        <v>ROSSY MARVITA</v>
      </c>
      <c r="H2101" s="35" t="str">
        <f>IFERROR(__xludf.DUMMYFUNCTION("""COMPUTED_VALUE"""),"R9325015150")</f>
        <v>R9325015150</v>
      </c>
      <c r="I2101" s="35">
        <f>IFERROR(__xludf.DUMMYFUNCTION("""COMPUTED_VALUE"""),33.0)</f>
        <v>33</v>
      </c>
      <c r="J2101" s="35" t="str">
        <f>IFERROR(__xludf.DUMMYFUNCTION("""COMPUTED_VALUE"""),"25-34 tahun")</f>
        <v>25-34 tahun</v>
      </c>
      <c r="K2101" s="19" t="str">
        <f>IFERROR(__xludf.DUMMYFUNCTION("""COMPUTED_VALUE"""),"24/03/1993")</f>
        <v>24/03/1993</v>
      </c>
      <c r="L2101" s="19" t="str">
        <f>IFERROR(__xludf.DUMMYFUNCTION("""COMPUTED_VALUE"""),"PEREMPUAN")</f>
        <v>PEREMPUAN</v>
      </c>
      <c r="M2101" s="36" t="str">
        <f>IFERROR(__xludf.DUMMYFUNCTION("""COMPUTED_VALUE"""),"JL ADI SUCIPTO GG FITRAH NO B1")</f>
        <v>JL ADI SUCIPTO GG FITRAH NO B1</v>
      </c>
      <c r="N2101" s="16" t="str">
        <f>IFERROR(__xludf.DUMMYFUNCTION("""COMPUTED_VALUE"""),"BANGKA BELITUNG LAUT")</f>
        <v>BANGKA BELITUNG LAUT</v>
      </c>
      <c r="O2101" s="16" t="str">
        <f>IFERROR(__xludf.DUMMYFUNCTION("""COMPUTED_VALUE"""),"PONTIANAK TENGGARA")</f>
        <v>PONTIANAK TENGGARA</v>
      </c>
      <c r="P2101" s="16" t="str">
        <f>IFERROR(__xludf.DUMMYFUNCTION("""COMPUTED_VALUE"""),"PONTIANAK")</f>
        <v>PONTIANAK</v>
      </c>
      <c r="Q2101" s="16" t="str">
        <f>IFERROR(__xludf.DUMMYFUNCTION("""COMPUTED_VALUE"""),"KALIMANTAN BARAT")</f>
        <v>KALIMANTAN BARAT</v>
      </c>
      <c r="R2101" s="19" t="str">
        <f>IFERROR(__xludf.DUMMYFUNCTION("""COMPUTED_VALUE"""),"PROTESTAN")</f>
        <v>PROTESTAN</v>
      </c>
      <c r="S2101" s="16" t="str">
        <f>IFERROR(__xludf.DUMMYFUNCTION("""COMPUTED_VALUE"""),"SWASTA")</f>
        <v>SWASTA</v>
      </c>
      <c r="T2101" s="16" t="str">
        <f>IFERROR(__xludf.DUMMYFUNCTION("""COMPUTED_VALUE"""),"PINGGANG DAN LUTUT SAKIT")</f>
        <v>PINGGANG DAN LUTUT SAKIT</v>
      </c>
      <c r="U2101" s="16" t="str">
        <f>IFERROR(__xludf.DUMMYFUNCTION("""COMPUTED_VALUE"""),"KERJA DAN IRT")</f>
        <v>KERJA DAN IRT</v>
      </c>
      <c r="V2101" s="11" t="str">
        <f>IFERROR(__xludf.DUMMYFUNCTION("""COMPUTED_VALUE"""),"089652845150")</f>
        <v>089652845150</v>
      </c>
      <c r="W2101" s="46"/>
    </row>
    <row r="2102">
      <c r="A2102" s="45"/>
      <c r="B2102" s="9" t="str">
        <f>IFERROR(__xludf.DUMMYFUNCTION("""COMPUTED_VALUE"""),"14/01/2025 17:34:44")</f>
        <v>14/01/2025 17:34:44</v>
      </c>
      <c r="C2102" s="9"/>
      <c r="D2102" s="10">
        <f>IFERROR(__xludf.DUMMYFUNCTION("""COMPUTED_VALUE"""),45685.0)</f>
        <v>45685</v>
      </c>
      <c r="E2102" s="10" t="str">
        <f>IFERROR(__xludf.DUMMYFUNCTION("""COMPUTED_VALUE"""),"01Jan")</f>
        <v>01Jan</v>
      </c>
      <c r="F2102" s="10" t="str">
        <f>IFERROR(__xludf.DUMMYFUNCTION("""COMPUTED_VALUE"""),"2025")</f>
        <v>2025</v>
      </c>
      <c r="G2102" s="9" t="str">
        <f>IFERROR(__xludf.DUMMYFUNCTION("""COMPUTED_VALUE"""),"ANITA")</f>
        <v>ANITA</v>
      </c>
      <c r="H2102" s="35" t="str">
        <f>IFERROR(__xludf.DUMMYFUNCTION("""COMPUTED_VALUE"""),"A6925019797")</f>
        <v>A6925019797</v>
      </c>
      <c r="I2102" s="35">
        <f>IFERROR(__xludf.DUMMYFUNCTION("""COMPUTED_VALUE"""),56.0)</f>
        <v>56</v>
      </c>
      <c r="J2102" s="35" t="str">
        <f>IFERROR(__xludf.DUMMYFUNCTION("""COMPUTED_VALUE"""),"&gt; 44 tahun")</f>
        <v>&gt; 44 tahun</v>
      </c>
      <c r="K2102" s="19" t="str">
        <f>IFERROR(__xludf.DUMMYFUNCTION("""COMPUTED_VALUE"""),"14/12/1969")</f>
        <v>14/12/1969</v>
      </c>
      <c r="L2102" s="19" t="str">
        <f>IFERROR(__xludf.DUMMYFUNCTION("""COMPUTED_VALUE"""),"PEREMPUAN")</f>
        <v>PEREMPUAN</v>
      </c>
      <c r="M2102" s="36" t="str">
        <f>IFERROR(__xludf.DUMMYFUNCTION("""COMPUTED_VALUE"""),"JL.GATOT SUBROTO BTN.MENTE PERMAI C.1")</f>
        <v>JL.GATOT SUBROTO BTN.MENTE PERMAI C.1</v>
      </c>
      <c r="N2102" s="16" t="str">
        <f>IFERROR(__xludf.DUMMYFUNCTION("""COMPUTED_VALUE"""),"KEL PAYA KUMANG")</f>
        <v>KEL PAYA KUMANG</v>
      </c>
      <c r="O2102" s="16" t="str">
        <f>IFERROR(__xludf.DUMMYFUNCTION("""COMPUTED_VALUE"""),"DELTA PAWAN")</f>
        <v>DELTA PAWAN</v>
      </c>
      <c r="P2102" s="16" t="str">
        <f>IFERROR(__xludf.DUMMYFUNCTION("""COMPUTED_VALUE"""),"KETAPANG")</f>
        <v>KETAPANG</v>
      </c>
      <c r="Q2102" s="16" t="str">
        <f>IFERROR(__xludf.DUMMYFUNCTION("""COMPUTED_VALUE"""),"KALIMANTAN BARAT")</f>
        <v>KALIMANTAN BARAT</v>
      </c>
      <c r="R2102" s="19" t="str">
        <f>IFERROR(__xludf.DUMMYFUNCTION("""COMPUTED_VALUE"""),"ISLAM")</f>
        <v>ISLAM</v>
      </c>
      <c r="S2102" s="16" t="str">
        <f>IFERROR(__xludf.DUMMYFUNCTION("""COMPUTED_VALUE"""),"RUMAH TANGGA")</f>
        <v>RUMAH TANGGA</v>
      </c>
      <c r="T2102" s="16" t="str">
        <f>IFERROR(__xludf.DUMMYFUNCTION("""COMPUTED_VALUE"""),"LUTUT")</f>
        <v>LUTUT</v>
      </c>
      <c r="U2102" s="16" t="str">
        <f>IFERROR(__xludf.DUMMYFUNCTION("""COMPUTED_VALUE"""),"NGEMASKAN RUMAH")</f>
        <v>NGEMASKAN RUMAH</v>
      </c>
      <c r="V2102" s="11" t="str">
        <f>IFERROR(__xludf.DUMMYFUNCTION("""COMPUTED_VALUE"""),"085252679797")</f>
        <v>085252679797</v>
      </c>
      <c r="W2102" s="46"/>
    </row>
    <row r="2103">
      <c r="A2103" s="45"/>
      <c r="B2103" s="9" t="str">
        <f>IFERROR(__xludf.DUMMYFUNCTION("""COMPUTED_VALUE"""),"14/01/2025 23:26:45")</f>
        <v>14/01/2025 23:26:45</v>
      </c>
      <c r="C2103" s="9"/>
      <c r="D2103" s="10">
        <f>IFERROR(__xludf.DUMMYFUNCTION("""COMPUTED_VALUE"""),45685.0)</f>
        <v>45685</v>
      </c>
      <c r="E2103" s="10" t="str">
        <f>IFERROR(__xludf.DUMMYFUNCTION("""COMPUTED_VALUE"""),"01Jan")</f>
        <v>01Jan</v>
      </c>
      <c r="F2103" s="10" t="str">
        <f>IFERROR(__xludf.DUMMYFUNCTION("""COMPUTED_VALUE"""),"2025")</f>
        <v>2025</v>
      </c>
      <c r="G2103" s="9" t="str">
        <f>IFERROR(__xludf.DUMMYFUNCTION("""COMPUTED_VALUE"""),"NOVA KASIANTO")</f>
        <v>NOVA KASIANTO</v>
      </c>
      <c r="H2103" s="35" t="str">
        <f>IFERROR(__xludf.DUMMYFUNCTION("""COMPUTED_VALUE"""),"N9025011999")</f>
        <v>N9025011999</v>
      </c>
      <c r="I2103" s="35">
        <f>IFERROR(__xludf.DUMMYFUNCTION("""COMPUTED_VALUE"""),35.0)</f>
        <v>35</v>
      </c>
      <c r="J2103" s="35" t="str">
        <f>IFERROR(__xludf.DUMMYFUNCTION("""COMPUTED_VALUE"""),"35-44 tahun")</f>
        <v>35-44 tahun</v>
      </c>
      <c r="K2103" s="19" t="str">
        <f>IFERROR(__xludf.DUMMYFUNCTION("""COMPUTED_VALUE"""),"29/11/1990")</f>
        <v>29/11/1990</v>
      </c>
      <c r="L2103" s="19" t="str">
        <f>IFERROR(__xludf.DUMMYFUNCTION("""COMPUTED_VALUE"""),"LAKI-LAKI")</f>
        <v>LAKI-LAKI</v>
      </c>
      <c r="M2103" s="36" t="str">
        <f>IFERROR(__xludf.DUMMYFUNCTION("""COMPUTED_VALUE"""),"JL SERAM 2")</f>
        <v>JL SERAM 2</v>
      </c>
      <c r="N2103" s="16" t="str">
        <f>IFERROR(__xludf.DUMMYFUNCTION("""COMPUTED_VALUE"""),"AKCAYA")</f>
        <v>AKCAYA</v>
      </c>
      <c r="O2103" s="16" t="str">
        <f>IFERROR(__xludf.DUMMYFUNCTION("""COMPUTED_VALUE"""),"PONTIANAK SELATAN")</f>
        <v>PONTIANAK SELATAN</v>
      </c>
      <c r="P2103" s="16" t="str">
        <f>IFERROR(__xludf.DUMMYFUNCTION("""COMPUTED_VALUE"""),"PONTIANAK")</f>
        <v>PONTIANAK</v>
      </c>
      <c r="Q2103" s="16" t="str">
        <f>IFERROR(__xludf.DUMMYFUNCTION("""COMPUTED_VALUE"""),"KALIMANTAN BARAT")</f>
        <v>KALIMANTAN BARAT</v>
      </c>
      <c r="R2103" s="19" t="str">
        <f>IFERROR(__xludf.DUMMYFUNCTION("""COMPUTED_VALUE"""),"ISLAM")</f>
        <v>ISLAM</v>
      </c>
      <c r="S2103" s="16" t="str">
        <f>IFERROR(__xludf.DUMMYFUNCTION("""COMPUTED_VALUE"""),"WIRASWASTA")</f>
        <v>WIRASWASTA</v>
      </c>
      <c r="T2103" s="16" t="str">
        <f>IFERROR(__xludf.DUMMYFUNCTION("""COMPUTED_VALUE"""),"SAKIT DI BAGIAN BELAKANG DENGKUL ( KIRI ) &amp; SAKIT BELAKANG MATA KAKI BAGIAN KANAN")</f>
        <v>SAKIT DI BAGIAN BELAKANG DENGKUL ( KIRI ) &amp; SAKIT BELAKANG MATA KAKI BAGIAN KANAN</v>
      </c>
      <c r="U2103" s="16" t="str">
        <f>IFERROR(__xludf.DUMMYFUNCTION("""COMPUTED_VALUE"""),"TENIS")</f>
        <v>TENIS</v>
      </c>
      <c r="V2103" s="11" t="str">
        <f>IFERROR(__xludf.DUMMYFUNCTION("""COMPUTED_VALUE"""),"08115781999")</f>
        <v>08115781999</v>
      </c>
      <c r="W2103" s="46"/>
    </row>
    <row r="2104">
      <c r="A2104" s="45"/>
      <c r="B2104" s="9" t="str">
        <f>IFERROR(__xludf.DUMMYFUNCTION("""COMPUTED_VALUE"""),"15/01/2025 9:22:24")</f>
        <v>15/01/2025 9:22:24</v>
      </c>
      <c r="C2104" s="9"/>
      <c r="D2104" s="10">
        <f>IFERROR(__xludf.DUMMYFUNCTION("""COMPUTED_VALUE"""),45685.0)</f>
        <v>45685</v>
      </c>
      <c r="E2104" s="10" t="str">
        <f>IFERROR(__xludf.DUMMYFUNCTION("""COMPUTED_VALUE"""),"01Jan")</f>
        <v>01Jan</v>
      </c>
      <c r="F2104" s="10" t="str">
        <f>IFERROR(__xludf.DUMMYFUNCTION("""COMPUTED_VALUE"""),"2025")</f>
        <v>2025</v>
      </c>
      <c r="G2104" s="9" t="str">
        <f>IFERROR(__xludf.DUMMYFUNCTION("""COMPUTED_VALUE"""),"SYA'BAN PRATAMA VADLI")</f>
        <v>SYA'BAN PRATAMA VADLI</v>
      </c>
      <c r="H2104" s="35" t="str">
        <f>IFERROR(__xludf.DUMMYFUNCTION("""COMPUTED_VALUE"""),"S9225019677")</f>
        <v>S9225019677</v>
      </c>
      <c r="I2104" s="35">
        <f>IFERROR(__xludf.DUMMYFUNCTION("""COMPUTED_VALUE"""),34.0)</f>
        <v>34</v>
      </c>
      <c r="J2104" s="35" t="str">
        <f>IFERROR(__xludf.DUMMYFUNCTION("""COMPUTED_VALUE"""),"25-34 tahun")</f>
        <v>25-34 tahun</v>
      </c>
      <c r="K2104" s="19" t="str">
        <f>IFERROR(__xludf.DUMMYFUNCTION("""COMPUTED_VALUE"""),"01/03/1992")</f>
        <v>01/03/1992</v>
      </c>
      <c r="L2104" s="19" t="str">
        <f>IFERROR(__xludf.DUMMYFUNCTION("""COMPUTED_VALUE"""),"LAKI-LAKI")</f>
        <v>LAKI-LAKI</v>
      </c>
      <c r="M2104" s="36" t="str">
        <f>IFERROR(__xludf.DUMMYFUNCTION("""COMPUTED_VALUE"""),"KOMPLEK PTP N VI SARIAK")</f>
        <v>KOMPLEK PTP N VI SARIAK</v>
      </c>
      <c r="N2104" s="16" t="str">
        <f>IFERROR(__xludf.DUMMYFUNCTION("""COMPUTED_VALUE"""),"KOTO BARU")</f>
        <v>KOTO BARU</v>
      </c>
      <c r="O2104" s="16" t="str">
        <f>IFERROR(__xludf.DUMMYFUNCTION("""COMPUTED_VALUE"""),"LUHAK NAN DUO")</f>
        <v>LUHAK NAN DUO</v>
      </c>
      <c r="P2104" s="16" t="str">
        <f>IFERROR(__xludf.DUMMYFUNCTION("""COMPUTED_VALUE"""),"PASAMAN BARAT")</f>
        <v>PASAMAN BARAT</v>
      </c>
      <c r="Q2104" s="16" t="str">
        <f>IFERROR(__xludf.DUMMYFUNCTION("""COMPUTED_VALUE"""),"SUMATERA BARAT")</f>
        <v>SUMATERA BARAT</v>
      </c>
      <c r="R2104" s="19" t="str">
        <f>IFERROR(__xludf.DUMMYFUNCTION("""COMPUTED_VALUE"""),"ISLAM")</f>
        <v>ISLAM</v>
      </c>
      <c r="S2104" s="16" t="str">
        <f>IFERROR(__xludf.DUMMYFUNCTION("""COMPUTED_VALUE"""),"SWASTA")</f>
        <v>SWASTA</v>
      </c>
      <c r="T2104" s="16" t="str">
        <f>IFERROR(__xludf.DUMMYFUNCTION("""COMPUTED_VALUE"""),"BUNYI PADA PERSENDIAN PANGKAL PAHA")</f>
        <v>BUNYI PADA PERSENDIAN PANGKAL PAHA</v>
      </c>
      <c r="U2104" s="16" t="str">
        <f>IFERROR(__xludf.DUMMYFUNCTION("""COMPUTED_VALUE"""),"WORKOUT (OLAHRAGA), SHOLAT")</f>
        <v>WORKOUT (OLAHRAGA), SHOLAT</v>
      </c>
      <c r="V2104" s="11" t="str">
        <f>IFERROR(__xludf.DUMMYFUNCTION("""COMPUTED_VALUE"""),"085364119677")</f>
        <v>085364119677</v>
      </c>
      <c r="W2104" s="46"/>
    </row>
    <row r="2105">
      <c r="A2105" s="45"/>
      <c r="B2105" s="9" t="str">
        <f>IFERROR(__xludf.DUMMYFUNCTION("""COMPUTED_VALUE"""),"15/01/2025 10:05:03")</f>
        <v>15/01/2025 10:05:03</v>
      </c>
      <c r="C2105" s="9"/>
      <c r="D2105" s="10">
        <f>IFERROR(__xludf.DUMMYFUNCTION("""COMPUTED_VALUE"""),45690.0)</f>
        <v>45690</v>
      </c>
      <c r="E2105" s="10" t="str">
        <f>IFERROR(__xludf.DUMMYFUNCTION("""COMPUTED_VALUE"""),"02Feb")</f>
        <v>02Feb</v>
      </c>
      <c r="F2105" s="10" t="str">
        <f>IFERROR(__xludf.DUMMYFUNCTION("""COMPUTED_VALUE"""),"2025")</f>
        <v>2025</v>
      </c>
      <c r="G2105" s="9" t="str">
        <f>IFERROR(__xludf.DUMMYFUNCTION("""COMPUTED_VALUE"""),"DIAN NOVITA IRIANI, S.STP")</f>
        <v>DIAN NOVITA IRIANI, S.STP</v>
      </c>
      <c r="H2105" s="35" t="str">
        <f>IFERROR(__xludf.DUMMYFUNCTION("""COMPUTED_VALUE"""),"D8625021898")</f>
        <v>D8625021898</v>
      </c>
      <c r="I2105" s="35">
        <f>IFERROR(__xludf.DUMMYFUNCTION("""COMPUTED_VALUE"""),40.0)</f>
        <v>40</v>
      </c>
      <c r="J2105" s="35" t="str">
        <f>IFERROR(__xludf.DUMMYFUNCTION("""COMPUTED_VALUE"""),"35-44 tahun")</f>
        <v>35-44 tahun</v>
      </c>
      <c r="K2105" s="19" t="str">
        <f>IFERROR(__xludf.DUMMYFUNCTION("""COMPUTED_VALUE"""),"24/03/1986")</f>
        <v>24/03/1986</v>
      </c>
      <c r="L2105" s="19" t="str">
        <f>IFERROR(__xludf.DUMMYFUNCTION("""COMPUTED_VALUE"""),"PEREMPUAN")</f>
        <v>PEREMPUAN</v>
      </c>
      <c r="M2105" s="36" t="str">
        <f>IFERROR(__xludf.DUMMYFUNCTION("""COMPUTED_VALUE"""),"JL. AMPERA KOMPLEK CENDANA MULIA NO. A10")</f>
        <v>JL. AMPERA KOMPLEK CENDANA MULIA NO. A10</v>
      </c>
      <c r="N2105" s="16" t="str">
        <f>IFERROR(__xludf.DUMMYFUNCTION("""COMPUTED_VALUE"""),"SUNGAI BANGKONG")</f>
        <v>SUNGAI BANGKONG</v>
      </c>
      <c r="O2105" s="16" t="str">
        <f>IFERROR(__xludf.DUMMYFUNCTION("""COMPUTED_VALUE"""),"PONTIANAK KOTA")</f>
        <v>PONTIANAK KOTA</v>
      </c>
      <c r="P2105" s="16" t="str">
        <f>IFERROR(__xludf.DUMMYFUNCTION("""COMPUTED_VALUE"""),"KOTA PONTIANAK")</f>
        <v>KOTA PONTIANAK</v>
      </c>
      <c r="Q2105" s="16" t="str">
        <f>IFERROR(__xludf.DUMMYFUNCTION("""COMPUTED_VALUE"""),"KALIMANTAN BARAT")</f>
        <v>KALIMANTAN BARAT</v>
      </c>
      <c r="R2105" s="19" t="str">
        <f>IFERROR(__xludf.DUMMYFUNCTION("""COMPUTED_VALUE"""),"ISLAM")</f>
        <v>ISLAM</v>
      </c>
      <c r="S2105" s="16" t="str">
        <f>IFERROR(__xludf.DUMMYFUNCTION("""COMPUTED_VALUE"""),"ASN")</f>
        <v>ASN</v>
      </c>
      <c r="T2105" s="16" t="str">
        <f>IFERROR(__xludf.DUMMYFUNCTION("""COMPUTED_VALUE"""),"NYERI PADA PAHA LUAR BAGIAN KIRI")</f>
        <v>NYERI PADA PAHA LUAR BAGIAN KIRI</v>
      </c>
      <c r="U2105" s="16" t="str">
        <f>IFERROR(__xludf.DUMMYFUNCTION("""COMPUTED_VALUE"""),"SERING BERAKTIVITAS LARI / RUNNING")</f>
        <v>SERING BERAKTIVITAS LARI / RUNNING</v>
      </c>
      <c r="V2105" s="11" t="str">
        <f>IFERROR(__xludf.DUMMYFUNCTION("""COMPUTED_VALUE"""),"081254261898")</f>
        <v>081254261898</v>
      </c>
      <c r="W2105" s="46"/>
    </row>
    <row r="2106">
      <c r="A2106" s="45"/>
      <c r="B2106" s="9" t="str">
        <f>IFERROR(__xludf.DUMMYFUNCTION("""COMPUTED_VALUE"""),"14/01/2025 10:19:15")</f>
        <v>14/01/2025 10:19:15</v>
      </c>
      <c r="C2106" s="9"/>
      <c r="D2106" s="10">
        <f>IFERROR(__xludf.DUMMYFUNCTION("""COMPUTED_VALUE"""),45690.0)</f>
        <v>45690</v>
      </c>
      <c r="E2106" s="10" t="str">
        <f>IFERROR(__xludf.DUMMYFUNCTION("""COMPUTED_VALUE"""),"02Feb")</f>
        <v>02Feb</v>
      </c>
      <c r="F2106" s="10" t="str">
        <f>IFERROR(__xludf.DUMMYFUNCTION("""COMPUTED_VALUE"""),"2025")</f>
        <v>2025</v>
      </c>
      <c r="G2106" s="9" t="str">
        <f>IFERROR(__xludf.DUMMYFUNCTION("""COMPUTED_VALUE"""),"RADITYA GEMILANG ARYANDA")</f>
        <v>RADITYA GEMILANG ARYANDA</v>
      </c>
      <c r="H2106" s="35" t="str">
        <f>IFERROR(__xludf.DUMMYFUNCTION("""COMPUTED_VALUE"""),"R9125021636")</f>
        <v>R9125021636</v>
      </c>
      <c r="I2106" s="35">
        <f>IFERROR(__xludf.DUMMYFUNCTION("""COMPUTED_VALUE"""),35.0)</f>
        <v>35</v>
      </c>
      <c r="J2106" s="35" t="str">
        <f>IFERROR(__xludf.DUMMYFUNCTION("""COMPUTED_VALUE"""),"35-44 tahun")</f>
        <v>35-44 tahun</v>
      </c>
      <c r="K2106" s="19" t="str">
        <f>IFERROR(__xludf.DUMMYFUNCTION("""COMPUTED_VALUE"""),"16/01/1991")</f>
        <v>16/01/1991</v>
      </c>
      <c r="L2106" s="19" t="str">
        <f>IFERROR(__xludf.DUMMYFUNCTION("""COMPUTED_VALUE"""),"LAKI-LAKI")</f>
        <v>LAKI-LAKI</v>
      </c>
      <c r="M2106" s="36" t="str">
        <f>IFERROR(__xludf.DUMMYFUNCTION("""COMPUTED_VALUE"""),"JL UJUNGPANDANG GG KELAPA HIJAU NO 25B")</f>
        <v>JL UJUNGPANDANG GG KELAPA HIJAU NO 25B</v>
      </c>
      <c r="N2106" s="16" t="str">
        <f>IFERROR(__xludf.DUMMYFUNCTION("""COMPUTED_VALUE"""),"SUNGAI JAWI")</f>
        <v>SUNGAI JAWI</v>
      </c>
      <c r="O2106" s="16" t="str">
        <f>IFERROR(__xludf.DUMMYFUNCTION("""COMPUTED_VALUE"""),"PONTIANAK KOTA")</f>
        <v>PONTIANAK KOTA</v>
      </c>
      <c r="P2106" s="16" t="str">
        <f>IFERROR(__xludf.DUMMYFUNCTION("""COMPUTED_VALUE"""),"PONTIANAK")</f>
        <v>PONTIANAK</v>
      </c>
      <c r="Q2106" s="16" t="str">
        <f>IFERROR(__xludf.DUMMYFUNCTION("""COMPUTED_VALUE"""),"KALIMANTAN BARAT")</f>
        <v>KALIMANTAN BARAT</v>
      </c>
      <c r="R2106" s="19" t="str">
        <f>IFERROR(__xludf.DUMMYFUNCTION("""COMPUTED_VALUE"""),"ISLAM")</f>
        <v>ISLAM</v>
      </c>
      <c r="S2106" s="16" t="str">
        <f>IFERROR(__xludf.DUMMYFUNCTION("""COMPUTED_VALUE"""),"SWASTA")</f>
        <v>SWASTA</v>
      </c>
      <c r="T2106" s="16" t="str">
        <f>IFERROR(__xludf.DUMMYFUNCTION("""COMPUTED_VALUE"""),"SARAF KEJEPIT DI C5-C6, PUNDAK BEKU KRN SARAF KEJEPIT, TERJADI PENGAPURAN DI SENDI OTOT BELIKAT")</f>
        <v>SARAF KEJEPIT DI C5-C6, PUNDAK BEKU KRN SARAF KEJEPIT, TERJADI PENGAPURAN DI SENDI OTOT BELIKAT</v>
      </c>
      <c r="U2106" s="16" t="str">
        <f>IFERROR(__xludf.DUMMYFUNCTION("""COMPUTED_VALUE"""),"DUDUK LAMA")</f>
        <v>DUDUK LAMA</v>
      </c>
      <c r="V2106" s="11" t="str">
        <f>IFERROR(__xludf.DUMMYFUNCTION("""COMPUTED_VALUE"""),"082158281636")</f>
        <v>082158281636</v>
      </c>
      <c r="W2106" s="46"/>
    </row>
    <row r="2107">
      <c r="A2107" s="45"/>
      <c r="B2107" s="9" t="str">
        <f>IFERROR(__xludf.DUMMYFUNCTION("""COMPUTED_VALUE"""),"16/01/2025 8:07:17")</f>
        <v>16/01/2025 8:07:17</v>
      </c>
      <c r="C2107" s="35"/>
      <c r="D2107" s="10">
        <f>IFERROR(__xludf.DUMMYFUNCTION("""COMPUTED_VALUE"""),45690.0)</f>
        <v>45690</v>
      </c>
      <c r="E2107" s="35" t="str">
        <f>IFERROR(__xludf.DUMMYFUNCTION("""COMPUTED_VALUE"""),"02Feb")</f>
        <v>02Feb</v>
      </c>
      <c r="F2107" s="34" t="str">
        <f>IFERROR(__xludf.DUMMYFUNCTION("""COMPUTED_VALUE"""),"2025")</f>
        <v>2025</v>
      </c>
      <c r="G2107" s="9" t="str">
        <f>IFERROR(__xludf.DUMMYFUNCTION("""COMPUTED_VALUE"""),"WAHDIYATI")</f>
        <v>WAHDIYATI</v>
      </c>
      <c r="H2107" s="35" t="str">
        <f>IFERROR(__xludf.DUMMYFUNCTION("""COMPUTED_VALUE"""),"W6225027911")</f>
        <v>W6225027911</v>
      </c>
      <c r="I2107" s="35">
        <f>IFERROR(__xludf.DUMMYFUNCTION("""COMPUTED_VALUE"""),64.0)</f>
        <v>64</v>
      </c>
      <c r="J2107" s="35" t="str">
        <f>IFERROR(__xludf.DUMMYFUNCTION("""COMPUTED_VALUE"""),"&gt; 44 tahun")</f>
        <v>&gt; 44 tahun</v>
      </c>
      <c r="K2107" s="19" t="str">
        <f>IFERROR(__xludf.DUMMYFUNCTION("""COMPUTED_VALUE"""),"02/04/1962")</f>
        <v>02/04/1962</v>
      </c>
      <c r="L2107" s="19" t="str">
        <f>IFERROR(__xludf.DUMMYFUNCTION("""COMPUTED_VALUE"""),"PEREMPUAN")</f>
        <v>PEREMPUAN</v>
      </c>
      <c r="M2107" s="36" t="str">
        <f>IFERROR(__xludf.DUMMYFUNCTION("""COMPUTED_VALUE"""),"JL. HUSEIN HAMZAH KOMP. KARYA INDAH LESTARI NO. 16B")</f>
        <v>JL. HUSEIN HAMZAH KOMP. KARYA INDAH LESTARI NO. 16B</v>
      </c>
      <c r="N2107" s="16" t="str">
        <f>IFERROR(__xludf.DUMMYFUNCTION("""COMPUTED_VALUE"""),"PAL LIMA")</f>
        <v>PAL LIMA</v>
      </c>
      <c r="O2107" s="16" t="str">
        <f>IFERROR(__xludf.DUMMYFUNCTION("""COMPUTED_VALUE"""),"PONTIANAK BARAT")</f>
        <v>PONTIANAK BARAT</v>
      </c>
      <c r="P2107" s="16" t="str">
        <f>IFERROR(__xludf.DUMMYFUNCTION("""COMPUTED_VALUE"""),"KOTA PONTIANAK")</f>
        <v>KOTA PONTIANAK</v>
      </c>
      <c r="Q2107" s="16" t="str">
        <f>IFERROR(__xludf.DUMMYFUNCTION("""COMPUTED_VALUE"""),"KALIMANTAN BARAT")</f>
        <v>KALIMANTAN BARAT</v>
      </c>
      <c r="R2107" s="19" t="str">
        <f>IFERROR(__xludf.DUMMYFUNCTION("""COMPUTED_VALUE"""),"ISLAM")</f>
        <v>ISLAM</v>
      </c>
      <c r="S2107" s="16" t="str">
        <f>IFERROR(__xludf.DUMMYFUNCTION("""COMPUTED_VALUE"""),"PENSIUN")</f>
        <v>PENSIUN</v>
      </c>
      <c r="T2107" s="35" t="str">
        <f>IFERROR(__xludf.DUMMYFUNCTION("""COMPUTED_VALUE"""),"SAKIT BAHU KANAN HINGGA SUSAH DIANGKAT, PERSENDIAN JARI TANGAN KAKU DAN SUSAH DIGENGGAM")</f>
        <v>SAKIT BAHU KANAN HINGGA SUSAH DIANGKAT, PERSENDIAN JARI TANGAN KAKU DAN SUSAH DIGENGGAM</v>
      </c>
      <c r="U2107" s="35" t="str">
        <f>IFERROR(__xludf.DUMMYFUNCTION("""COMPUTED_VALUE"""),".")</f>
        <v>.</v>
      </c>
      <c r="V2107" s="37" t="str">
        <f>IFERROR(__xludf.DUMMYFUNCTION("""COMPUTED_VALUE"""),"081649297911")</f>
        <v>081649297911</v>
      </c>
      <c r="W2107" s="46"/>
    </row>
    <row r="2108">
      <c r="A2108" s="45"/>
      <c r="B2108" s="24" t="str">
        <f>IFERROR(__xludf.DUMMYFUNCTION("""COMPUTED_VALUE"""),"16/01/2025 10:56:14")</f>
        <v>16/01/2025 10:56:14</v>
      </c>
      <c r="C2108" s="35"/>
      <c r="D2108" s="10">
        <f>IFERROR(__xludf.DUMMYFUNCTION("""COMPUTED_VALUE"""),45690.0)</f>
        <v>45690</v>
      </c>
      <c r="E2108" s="35" t="str">
        <f>IFERROR(__xludf.DUMMYFUNCTION("""COMPUTED_VALUE"""),"02Feb")</f>
        <v>02Feb</v>
      </c>
      <c r="F2108" s="34" t="str">
        <f>IFERROR(__xludf.DUMMYFUNCTION("""COMPUTED_VALUE"""),"2025")</f>
        <v>2025</v>
      </c>
      <c r="G2108" s="9" t="str">
        <f>IFERROR(__xludf.DUMMYFUNCTION("""COMPUTED_VALUE"""),"RAFFY PRATAMA PUTRA")</f>
        <v>RAFFY PRATAMA PUTRA</v>
      </c>
      <c r="H2108" s="35" t="str">
        <f>IFERROR(__xludf.DUMMYFUNCTION("""COMPUTED_VALUE"""),"R9725029709")</f>
        <v>R9725029709</v>
      </c>
      <c r="I2108" s="35">
        <f>IFERROR(__xludf.DUMMYFUNCTION("""COMPUTED_VALUE"""),28.0)</f>
        <v>28</v>
      </c>
      <c r="J2108" s="35" t="str">
        <f>IFERROR(__xludf.DUMMYFUNCTION("""COMPUTED_VALUE"""),"25-34 tahun")</f>
        <v>25-34 tahun</v>
      </c>
      <c r="K2108" s="21" t="str">
        <f>IFERROR(__xludf.DUMMYFUNCTION("""COMPUTED_VALUE"""),"27/06/1997")</f>
        <v>27/06/1997</v>
      </c>
      <c r="L2108" s="21" t="str">
        <f>IFERROR(__xludf.DUMMYFUNCTION("""COMPUTED_VALUE"""),"LAKI-LAKI")</f>
        <v>LAKI-LAKI</v>
      </c>
      <c r="M2108" s="35" t="str">
        <f>IFERROR(__xludf.DUMMYFUNCTION("""COMPUTED_VALUE"""),"SUHAID KAPUAS HULU")</f>
        <v>SUHAID KAPUAS HULU</v>
      </c>
      <c r="N2108" s="35" t="str">
        <f>IFERROR(__xludf.DUMMYFUNCTION("""COMPUTED_VALUE"""),"SUHAID")</f>
        <v>SUHAID</v>
      </c>
      <c r="O2108" s="35" t="str">
        <f>IFERROR(__xludf.DUMMYFUNCTION("""COMPUTED_VALUE"""),"SUHAID")</f>
        <v>SUHAID</v>
      </c>
      <c r="P2108" s="35" t="str">
        <f>IFERROR(__xludf.DUMMYFUNCTION("""COMPUTED_VALUE"""),"KAPUAS HULU")</f>
        <v>KAPUAS HULU</v>
      </c>
      <c r="Q2108" s="35" t="str">
        <f>IFERROR(__xludf.DUMMYFUNCTION("""COMPUTED_VALUE"""),"KALIMANTAN BARAT")</f>
        <v>KALIMANTAN BARAT</v>
      </c>
      <c r="R2108" s="21" t="str">
        <f>IFERROR(__xludf.DUMMYFUNCTION("""COMPUTED_VALUE"""),"ISLAM")</f>
        <v>ISLAM</v>
      </c>
      <c r="S2108" s="35" t="str">
        <f>IFERROR(__xludf.DUMMYFUNCTION("""COMPUTED_VALUE"""),"SWASTA")</f>
        <v>SWASTA</v>
      </c>
      <c r="T2108" s="35" t="str">
        <f>IFERROR(__xludf.DUMMYFUNCTION("""COMPUTED_VALUE"""),"LUTUT SEBELAH KANAN")</f>
        <v>LUTUT SEBELAH KANAN</v>
      </c>
      <c r="U2108" s="35" t="str">
        <f>IFERROR(__xludf.DUMMYFUNCTION("""COMPUTED_VALUE"""),"BERMAIN BOLA")</f>
        <v>BERMAIN BOLA</v>
      </c>
      <c r="V2108" s="37" t="str">
        <f>IFERROR(__xludf.DUMMYFUNCTION("""COMPUTED_VALUE"""),"081254199709")</f>
        <v>081254199709</v>
      </c>
      <c r="W2108" s="46"/>
    </row>
    <row r="2109">
      <c r="A2109" s="45"/>
      <c r="B2109" s="24" t="str">
        <f>IFERROR(__xludf.DUMMYFUNCTION("""COMPUTED_VALUE"""),"16/01/2025 9:52:01")</f>
        <v>16/01/2025 9:52:01</v>
      </c>
      <c r="C2109" s="35"/>
      <c r="D2109" s="10">
        <f>IFERROR(__xludf.DUMMYFUNCTION("""COMPUTED_VALUE"""),45690.0)</f>
        <v>45690</v>
      </c>
      <c r="E2109" s="35" t="str">
        <f>IFERROR(__xludf.DUMMYFUNCTION("""COMPUTED_VALUE"""),"02Feb")</f>
        <v>02Feb</v>
      </c>
      <c r="F2109" s="34" t="str">
        <f>IFERROR(__xludf.DUMMYFUNCTION("""COMPUTED_VALUE"""),"2025")</f>
        <v>2025</v>
      </c>
      <c r="G2109" s="9" t="str">
        <f>IFERROR(__xludf.DUMMYFUNCTION("""COMPUTED_VALUE"""),"SURYA MAULANA TANJUNG")</f>
        <v>SURYA MAULANA TANJUNG</v>
      </c>
      <c r="H2109" s="35" t="str">
        <f>IFERROR(__xludf.DUMMYFUNCTION("""COMPUTED_VALUE"""),"S2525024647")</f>
        <v>S2525024647</v>
      </c>
      <c r="I2109" s="35">
        <f>IFERROR(__xludf.DUMMYFUNCTION("""COMPUTED_VALUE"""),1.0)</f>
        <v>1</v>
      </c>
      <c r="J2109" s="35" t="str">
        <f>IFERROR(__xludf.DUMMYFUNCTION("""COMPUTED_VALUE"""),"&lt; 18 tahun")</f>
        <v>&lt; 18 tahun</v>
      </c>
      <c r="K2109" s="21" t="str">
        <f>IFERROR(__xludf.DUMMYFUNCTION("""COMPUTED_VALUE"""),"02/02/2025")</f>
        <v>02/02/2025</v>
      </c>
      <c r="L2109" s="21" t="str">
        <f>IFERROR(__xludf.DUMMYFUNCTION("""COMPUTED_VALUE"""),"LAKI-LAKI")</f>
        <v>LAKI-LAKI</v>
      </c>
      <c r="M2109" s="35" t="str">
        <f>IFERROR(__xludf.DUMMYFUNCTION("""COMPUTED_VALUE"""),"JL. KARNA SOSIAL GG. PURWOSARI V")</f>
        <v>JL. KARNA SOSIAL GG. PURWOSARI V</v>
      </c>
      <c r="N2109" s="35" t="str">
        <f>IFERROR(__xludf.DUMMYFUNCTION("""COMPUTED_VALUE"""),"AKCAYA")</f>
        <v>AKCAYA</v>
      </c>
      <c r="O2109" s="35" t="str">
        <f>IFERROR(__xludf.DUMMYFUNCTION("""COMPUTED_VALUE"""),"PONTIANAK SELATAN")</f>
        <v>PONTIANAK SELATAN</v>
      </c>
      <c r="P2109" s="35" t="str">
        <f>IFERROR(__xludf.DUMMYFUNCTION("""COMPUTED_VALUE"""),"KOTA PONTIANAK")</f>
        <v>KOTA PONTIANAK</v>
      </c>
      <c r="Q2109" s="35" t="str">
        <f>IFERROR(__xludf.DUMMYFUNCTION("""COMPUTED_VALUE"""),"KALIMANTAN BARAT")</f>
        <v>KALIMANTAN BARAT</v>
      </c>
      <c r="R2109" s="21" t="str">
        <f>IFERROR(__xludf.DUMMYFUNCTION("""COMPUTED_VALUE"""),"ISLAM")</f>
        <v>ISLAM</v>
      </c>
      <c r="S2109" s="16" t="str">
        <f>IFERROR(__xludf.DUMMYFUNCTION("""COMPUTED_VALUE"""),"SWASTA")</f>
        <v>SWASTA</v>
      </c>
      <c r="T2109" s="35" t="str">
        <f>IFERROR(__xludf.DUMMYFUNCTION("""COMPUTED_VALUE"""),"OTOT PAHA BELAKANG KETARIK")</f>
        <v>OTOT PAHA BELAKANG KETARIK</v>
      </c>
      <c r="U2109" s="35" t="str">
        <f>IFERROR(__xludf.DUMMYFUNCTION("""COMPUTED_VALUE"""),"OLAHRAGA")</f>
        <v>OLAHRAGA</v>
      </c>
      <c r="V2109" s="37" t="str">
        <f>IFERROR(__xludf.DUMMYFUNCTION("""COMPUTED_VALUE"""),"0895702144647")</f>
        <v>0895702144647</v>
      </c>
      <c r="W2109" s="46"/>
    </row>
    <row r="2110">
      <c r="A2110" s="45"/>
      <c r="B2110" s="24" t="str">
        <f>IFERROR(__xludf.DUMMYFUNCTION("""COMPUTED_VALUE"""),"17/01/2025 9:06:42")</f>
        <v>17/01/2025 9:06:42</v>
      </c>
      <c r="C2110" s="35"/>
      <c r="D2110" s="10">
        <f>IFERROR(__xludf.DUMMYFUNCTION("""COMPUTED_VALUE"""),45692.0)</f>
        <v>45692</v>
      </c>
      <c r="E2110" s="35" t="str">
        <f>IFERROR(__xludf.DUMMYFUNCTION("""COMPUTED_VALUE"""),"02Feb")</f>
        <v>02Feb</v>
      </c>
      <c r="F2110" s="34" t="str">
        <f>IFERROR(__xludf.DUMMYFUNCTION("""COMPUTED_VALUE"""),"2025")</f>
        <v>2025</v>
      </c>
      <c r="G2110" s="9" t="str">
        <f>IFERROR(__xludf.DUMMYFUNCTION("""COMPUTED_VALUE"""),"DWI SANTHIKA")</f>
        <v>DWI SANTHIKA</v>
      </c>
      <c r="H2110" s="35" t="str">
        <f>IFERROR(__xludf.DUMMYFUNCTION("""COMPUTED_VALUE"""),"D7225029198")</f>
        <v>D7225029198</v>
      </c>
      <c r="I2110" s="35">
        <f>IFERROR(__xludf.DUMMYFUNCTION("""COMPUTED_VALUE"""),54.0)</f>
        <v>54</v>
      </c>
      <c r="J2110" s="35" t="str">
        <f>IFERROR(__xludf.DUMMYFUNCTION("""COMPUTED_VALUE"""),"&gt; 44 tahun")</f>
        <v>&gt; 44 tahun</v>
      </c>
      <c r="K2110" s="21" t="str">
        <f>IFERROR(__xludf.DUMMYFUNCTION("""COMPUTED_VALUE"""),"28/03/1972")</f>
        <v>28/03/1972</v>
      </c>
      <c r="L2110" s="21" t="str">
        <f>IFERROR(__xludf.DUMMYFUNCTION("""COMPUTED_VALUE"""),"PEREMPUAN")</f>
        <v>PEREMPUAN</v>
      </c>
      <c r="M2110" s="35" t="str">
        <f>IFERROR(__xludf.DUMMYFUNCTION("""COMPUTED_VALUE"""),"JL SUNGAI RAYA DALAM, KOMP VILLA KELAPA GADING PERMAI")</f>
        <v>JL SUNGAI RAYA DALAM, KOMP VILLA KELAPA GADING PERMAI</v>
      </c>
      <c r="N2110" s="35" t="str">
        <f>IFERROR(__xludf.DUMMYFUNCTION("""COMPUTED_VALUE"""),"BANGKA BELITUNG DARAT")</f>
        <v>BANGKA BELITUNG DARAT</v>
      </c>
      <c r="O2110" s="35" t="str">
        <f>IFERROR(__xludf.DUMMYFUNCTION("""COMPUTED_VALUE"""),"PONTIANAK TENGGARA")</f>
        <v>PONTIANAK TENGGARA</v>
      </c>
      <c r="P2110" s="35" t="str">
        <f>IFERROR(__xludf.DUMMYFUNCTION("""COMPUTED_VALUE"""),"KOTA PONTIANAK")</f>
        <v>KOTA PONTIANAK</v>
      </c>
      <c r="Q2110" s="35" t="str">
        <f>IFERROR(__xludf.DUMMYFUNCTION("""COMPUTED_VALUE"""),"KALIMANTAN BARAT")</f>
        <v>KALIMANTAN BARAT</v>
      </c>
      <c r="R2110" s="21" t="str">
        <f>IFERROR(__xludf.DUMMYFUNCTION("""COMPUTED_VALUE"""),"ISLAM")</f>
        <v>ISLAM</v>
      </c>
      <c r="S2110" s="16" t="str">
        <f>IFERROR(__xludf.DUMMYFUNCTION("""COMPUTED_VALUE"""),"RUMAH TANGGA")</f>
        <v>RUMAH TANGGA</v>
      </c>
      <c r="T2110" s="35" t="str">
        <f>IFERROR(__xludf.DUMMYFUNCTION("""COMPUTED_VALUE"""),"LUTUT SAKIT BIKIN SUSAH JALAN")</f>
        <v>LUTUT SAKIT BIKIN SUSAH JALAN</v>
      </c>
      <c r="U2110" s="35" t="str">
        <f>IFERROR(__xludf.DUMMYFUNCTION("""COMPUTED_VALUE"""),"SERING BERGERAK")</f>
        <v>SERING BERGERAK</v>
      </c>
      <c r="V2110" s="37" t="str">
        <f>IFERROR(__xludf.DUMMYFUNCTION("""COMPUTED_VALUE"""),"082148619198")</f>
        <v>082148619198</v>
      </c>
      <c r="W2110" s="46"/>
    </row>
    <row r="2111">
      <c r="A2111" s="45"/>
      <c r="B2111" s="24" t="str">
        <f>IFERROR(__xludf.DUMMYFUNCTION("""COMPUTED_VALUE"""),"17/01/2025 14:32:39")</f>
        <v>17/01/2025 14:32:39</v>
      </c>
      <c r="C2111" s="35"/>
      <c r="D2111" s="10">
        <f>IFERROR(__xludf.DUMMYFUNCTION("""COMPUTED_VALUE"""),45690.0)</f>
        <v>45690</v>
      </c>
      <c r="E2111" s="35" t="str">
        <f>IFERROR(__xludf.DUMMYFUNCTION("""COMPUTED_VALUE"""),"02Feb")</f>
        <v>02Feb</v>
      </c>
      <c r="F2111" s="34" t="str">
        <f>IFERROR(__xludf.DUMMYFUNCTION("""COMPUTED_VALUE"""),"2025")</f>
        <v>2025</v>
      </c>
      <c r="G2111" s="9" t="str">
        <f>IFERROR(__xludf.DUMMYFUNCTION("""COMPUTED_VALUE"""),"DODI WISDIANSYAH")</f>
        <v>DODI WISDIANSYAH</v>
      </c>
      <c r="H2111" s="35" t="str">
        <f>IFERROR(__xludf.DUMMYFUNCTION("""COMPUTED_VALUE"""),"D9525020410")</f>
        <v>D9525020410</v>
      </c>
      <c r="I2111" s="35">
        <f>IFERROR(__xludf.DUMMYFUNCTION("""COMPUTED_VALUE"""),31.0)</f>
        <v>31</v>
      </c>
      <c r="J2111" s="35" t="str">
        <f>IFERROR(__xludf.DUMMYFUNCTION("""COMPUTED_VALUE"""),"25-34 tahun")</f>
        <v>25-34 tahun</v>
      </c>
      <c r="K2111" s="21" t="str">
        <f>IFERROR(__xludf.DUMMYFUNCTION("""COMPUTED_VALUE"""),"30/03/1995")</f>
        <v>30/03/1995</v>
      </c>
      <c r="L2111" s="21" t="str">
        <f>IFERROR(__xludf.DUMMYFUNCTION("""COMPUTED_VALUE"""),"LAKI-LAKI")</f>
        <v>LAKI-LAKI</v>
      </c>
      <c r="M2111" s="35" t="str">
        <f>IFERROR(__xludf.DUMMYFUNCTION("""COMPUTED_VALUE"""),"LINGKAS UJUNG RT 2 RW 3")</f>
        <v>LINGKAS UJUNG RT 2 RW 3</v>
      </c>
      <c r="N2111" s="35" t="str">
        <f>IFERROR(__xludf.DUMMYFUNCTION("""COMPUTED_VALUE"""),"LINGKAS UJUNG")</f>
        <v>LINGKAS UJUNG</v>
      </c>
      <c r="O2111" s="35" t="str">
        <f>IFERROR(__xludf.DUMMYFUNCTION("""COMPUTED_VALUE"""),"LINGKAS UJUNG")</f>
        <v>LINGKAS UJUNG</v>
      </c>
      <c r="P2111" s="35" t="str">
        <f>IFERROR(__xludf.DUMMYFUNCTION("""COMPUTED_VALUE"""),"TARAKAN")</f>
        <v>TARAKAN</v>
      </c>
      <c r="Q2111" s="35" t="str">
        <f>IFERROR(__xludf.DUMMYFUNCTION("""COMPUTED_VALUE"""),"KALIMANTAN UTARA")</f>
        <v>KALIMANTAN UTARA</v>
      </c>
      <c r="R2111" s="21" t="str">
        <f>IFERROR(__xludf.DUMMYFUNCTION("""COMPUTED_VALUE"""),"ISLAM")</f>
        <v>ISLAM</v>
      </c>
      <c r="S2111" s="35" t="str">
        <f>IFERROR(__xludf.DUMMYFUNCTION("""COMPUTED_VALUE"""),"SWASTA")</f>
        <v>SWASTA</v>
      </c>
      <c r="T2111" s="35" t="str">
        <f>IFERROR(__xludf.DUMMYFUNCTION("""COMPUTED_VALUE"""),"MEMAR KAKI KIRI")</f>
        <v>MEMAR KAKI KIRI</v>
      </c>
      <c r="U2111" s="35" t="str">
        <f>IFERROR(__xludf.DUMMYFUNCTION("""COMPUTED_VALUE"""),"SEPAK BOLA")</f>
        <v>SEPAK BOLA</v>
      </c>
      <c r="V2111" s="37" t="str">
        <f>IFERROR(__xludf.DUMMYFUNCTION("""COMPUTED_VALUE"""),"085251440410")</f>
        <v>085251440410</v>
      </c>
      <c r="W2111" s="46"/>
    </row>
    <row r="2112">
      <c r="A2112" s="46"/>
      <c r="B2112" s="9" t="str">
        <f>IFERROR(__xludf.DUMMYFUNCTION("""COMPUTED_VALUE"""),"17/01/2025 15:16:33")</f>
        <v>17/01/2025 15:16:33</v>
      </c>
      <c r="C2112" s="9"/>
      <c r="D2112" s="10">
        <f>IFERROR(__xludf.DUMMYFUNCTION("""COMPUTED_VALUE"""),45692.0)</f>
        <v>45692</v>
      </c>
      <c r="E2112" s="9" t="str">
        <f>IFERROR(__xludf.DUMMYFUNCTION("""COMPUTED_VALUE"""),"02Feb")</f>
        <v>02Feb</v>
      </c>
      <c r="F2112" s="9" t="str">
        <f>IFERROR(__xludf.DUMMYFUNCTION("""COMPUTED_VALUE"""),"2025")</f>
        <v>2025</v>
      </c>
      <c r="G2112" s="9" t="str">
        <f>IFERROR(__xludf.DUMMYFUNCTION("""COMPUTED_VALUE"""),"MARIO EXSEL SIAHAAN")</f>
        <v>MARIO EXSEL SIAHAAN</v>
      </c>
      <c r="H2112" s="35" t="str">
        <f>IFERROR(__xludf.DUMMYFUNCTION("""COMPUTED_VALUE"""),"M0625023012")</f>
        <v>M0625023012</v>
      </c>
      <c r="I2112" s="35">
        <f>IFERROR(__xludf.DUMMYFUNCTION("""COMPUTED_VALUE"""),19.0)</f>
        <v>19</v>
      </c>
      <c r="J2112" s="35" t="str">
        <f>IFERROR(__xludf.DUMMYFUNCTION("""COMPUTED_VALUE"""),"18-24 tahun")</f>
        <v>18-24 tahun</v>
      </c>
      <c r="K2112" s="19" t="str">
        <f>IFERROR(__xludf.DUMMYFUNCTION("""COMPUTED_VALUE"""),"27/10/2006")</f>
        <v>27/10/2006</v>
      </c>
      <c r="L2112" s="19" t="str">
        <f>IFERROR(__xludf.DUMMYFUNCTION("""COMPUTED_VALUE"""),"LAKI-LAKI")</f>
        <v>LAKI-LAKI</v>
      </c>
      <c r="M2112" s="36" t="str">
        <f>IFERROR(__xludf.DUMMYFUNCTION("""COMPUTED_VALUE"""),"PAHAUMAN")</f>
        <v>PAHAUMAN</v>
      </c>
      <c r="N2112" s="70" t="str">
        <f>IFERROR(__xludf.DUMMYFUNCTION("""COMPUTED_VALUE"""),"DESA PAHAUMAN")</f>
        <v>DESA PAHAUMAN</v>
      </c>
      <c r="O2112" s="70" t="str">
        <f>IFERROR(__xludf.DUMMYFUNCTION("""COMPUTED_VALUE"""),"SETENGAH TEMILA")</f>
        <v>SETENGAH TEMILA</v>
      </c>
      <c r="P2112" s="70" t="str">
        <f>IFERROR(__xludf.DUMMYFUNCTION("""COMPUTED_VALUE"""),"LANDAK")</f>
        <v>LANDAK</v>
      </c>
      <c r="Q2112" s="70" t="str">
        <f>IFERROR(__xludf.DUMMYFUNCTION("""COMPUTED_VALUE"""),"KALIMANTAN BARAT")</f>
        <v>KALIMANTAN BARAT</v>
      </c>
      <c r="R2112" s="19" t="str">
        <f>IFERROR(__xludf.DUMMYFUNCTION("""COMPUTED_VALUE"""),"PROTESTAN")</f>
        <v>PROTESTAN</v>
      </c>
      <c r="S2112" s="16" t="str">
        <f>IFERROR(__xludf.DUMMYFUNCTION("""COMPUTED_VALUE"""),"TIDAK ADA")</f>
        <v>TIDAK ADA</v>
      </c>
      <c r="T2112" s="16" t="str">
        <f>IFERROR(__xludf.DUMMYFUNCTION("""COMPUTED_VALUE"""),"KAKI.")</f>
        <v>KAKI.</v>
      </c>
      <c r="U2112" s="16" t="str">
        <f>IFERROR(__xludf.DUMMYFUNCTION("""COMPUTED_VALUE"""),"LARI")</f>
        <v>LARI</v>
      </c>
      <c r="V2112" s="11" t="str">
        <f>IFERROR(__xludf.DUMMYFUNCTION("""COMPUTED_VALUE"""),"0895702043012")</f>
        <v>0895702043012</v>
      </c>
      <c r="W2112" s="46"/>
    </row>
    <row r="2113">
      <c r="A2113" s="45"/>
      <c r="B2113" s="24" t="str">
        <f>IFERROR(__xludf.DUMMYFUNCTION("""COMPUTED_VALUE"""),"16/01/2025 12:59:53")</f>
        <v>16/01/2025 12:59:53</v>
      </c>
      <c r="C2113" s="35"/>
      <c r="D2113" s="10">
        <f>IFERROR(__xludf.DUMMYFUNCTION("""COMPUTED_VALUE"""),45692.0)</f>
        <v>45692</v>
      </c>
      <c r="E2113" s="35" t="str">
        <f>IFERROR(__xludf.DUMMYFUNCTION("""COMPUTED_VALUE"""),"02Feb")</f>
        <v>02Feb</v>
      </c>
      <c r="F2113" s="34" t="str">
        <f>IFERROR(__xludf.DUMMYFUNCTION("""COMPUTED_VALUE"""),"2025")</f>
        <v>2025</v>
      </c>
      <c r="G2113" s="9" t="str">
        <f>IFERROR(__xludf.DUMMYFUNCTION("""COMPUTED_VALUE"""),"INDRA WIBOWO")</f>
        <v>INDRA WIBOWO</v>
      </c>
      <c r="H2113" s="35" t="str">
        <f>IFERROR(__xludf.DUMMYFUNCTION("""COMPUTED_VALUE"""),"I9825029801")</f>
        <v>I9825029801</v>
      </c>
      <c r="I2113" s="35">
        <f>IFERROR(__xludf.DUMMYFUNCTION("""COMPUTED_VALUE"""),28.0)</f>
        <v>28</v>
      </c>
      <c r="J2113" s="35" t="str">
        <f>IFERROR(__xludf.DUMMYFUNCTION("""COMPUTED_VALUE"""),"25-34 tahun")</f>
        <v>25-34 tahun</v>
      </c>
      <c r="K2113" s="21" t="str">
        <f>IFERROR(__xludf.DUMMYFUNCTION("""COMPUTED_VALUE"""),"11/03/1998")</f>
        <v>11/03/1998</v>
      </c>
      <c r="L2113" s="21" t="str">
        <f>IFERROR(__xludf.DUMMYFUNCTION("""COMPUTED_VALUE"""),"LAKI-LAKI")</f>
        <v>LAKI-LAKI</v>
      </c>
      <c r="M2113" s="35" t="str">
        <f>IFERROR(__xludf.DUMMYFUNCTION("""COMPUTED_VALUE"""),"JL. KARYA, KOTA BARU UJUNG")</f>
        <v>JL. KARYA, KOTA BARU UJUNG</v>
      </c>
      <c r="N2113" s="35" t="str">
        <f>IFERROR(__xludf.DUMMYFUNCTION("""COMPUTED_VALUE"""),"PAL SEMBILAN")</f>
        <v>PAL SEMBILAN</v>
      </c>
      <c r="O2113" s="35" t="str">
        <f>IFERROR(__xludf.DUMMYFUNCTION("""COMPUTED_VALUE"""),"SUNGAI KAKAP")</f>
        <v>SUNGAI KAKAP</v>
      </c>
      <c r="P2113" s="35" t="str">
        <f>IFERROR(__xludf.DUMMYFUNCTION("""COMPUTED_VALUE"""),"KUBU RAYA")</f>
        <v>KUBU RAYA</v>
      </c>
      <c r="Q2113" s="35" t="str">
        <f>IFERROR(__xludf.DUMMYFUNCTION("""COMPUTED_VALUE"""),"KALIMANTAN BARAT")</f>
        <v>KALIMANTAN BARAT</v>
      </c>
      <c r="R2113" s="21" t="str">
        <f>IFERROR(__xludf.DUMMYFUNCTION("""COMPUTED_VALUE"""),"ISLAM")</f>
        <v>ISLAM</v>
      </c>
      <c r="S2113" s="16" t="str">
        <f>IFERROR(__xludf.DUMMYFUNCTION("""COMPUTED_VALUE"""),"FREELANCE")</f>
        <v>FREELANCE</v>
      </c>
      <c r="T2113" s="35" t="str">
        <f>IFERROR(__xludf.DUMMYFUNCTION("""COMPUTED_VALUE"""),"SAKIT PERGELANGAN KAKI DAN TUMIT SEHABIS OLAHRAGA")</f>
        <v>SAKIT PERGELANGAN KAKI DAN TUMIT SEHABIS OLAHRAGA</v>
      </c>
      <c r="U2113" s="35" t="str">
        <f>IFERROR(__xludf.DUMMYFUNCTION("""COMPUTED_VALUE"""),"SEPAKBOLA")</f>
        <v>SEPAKBOLA</v>
      </c>
      <c r="V2113" s="37" t="str">
        <f>IFERROR(__xludf.DUMMYFUNCTION("""COMPUTED_VALUE"""),"085750889801")</f>
        <v>085750889801</v>
      </c>
      <c r="W2113" s="46"/>
    </row>
    <row r="2114">
      <c r="A2114" s="45"/>
      <c r="B2114" s="9" t="str">
        <f>IFERROR(__xludf.DUMMYFUNCTION("""COMPUTED_VALUE"""),"18/01/2025 10:30:39")</f>
        <v>18/01/2025 10:30:39</v>
      </c>
      <c r="C2114" s="35"/>
      <c r="D2114" s="10">
        <f>IFERROR(__xludf.DUMMYFUNCTION("""COMPUTED_VALUE"""),45692.0)</f>
        <v>45692</v>
      </c>
      <c r="E2114" s="35" t="str">
        <f>IFERROR(__xludf.DUMMYFUNCTION("""COMPUTED_VALUE"""),"02Feb")</f>
        <v>02Feb</v>
      </c>
      <c r="F2114" s="34" t="str">
        <f>IFERROR(__xludf.DUMMYFUNCTION("""COMPUTED_VALUE"""),"2025")</f>
        <v>2025</v>
      </c>
      <c r="G2114" s="9" t="str">
        <f>IFERROR(__xludf.DUMMYFUNCTION("""COMPUTED_VALUE"""),"MEGAWATI LANIA VIDYA")</f>
        <v>MEGAWATI LANIA VIDYA</v>
      </c>
      <c r="H2114" s="35" t="str">
        <f>IFERROR(__xludf.DUMMYFUNCTION("""COMPUTED_VALUE"""),"M9825020363")</f>
        <v>M9825020363</v>
      </c>
      <c r="I2114" s="35">
        <f>IFERROR(__xludf.DUMMYFUNCTION("""COMPUTED_VALUE"""),27.0)</f>
        <v>27</v>
      </c>
      <c r="J2114" s="35" t="str">
        <f>IFERROR(__xludf.DUMMYFUNCTION("""COMPUTED_VALUE"""),"25-34 tahun")</f>
        <v>25-34 tahun</v>
      </c>
      <c r="K2114" s="19" t="str">
        <f>IFERROR(__xludf.DUMMYFUNCTION("""COMPUTED_VALUE"""),"23/10/1998")</f>
        <v>23/10/1998</v>
      </c>
      <c r="L2114" s="19" t="str">
        <f>IFERROR(__xludf.DUMMYFUNCTION("""COMPUTED_VALUE"""),"PEREMPUAN")</f>
        <v>PEREMPUAN</v>
      </c>
      <c r="M2114" s="36" t="str">
        <f>IFERROR(__xludf.DUMMYFUNCTION("""COMPUTED_VALUE"""),"JL. APEL GG. PISANG")</f>
        <v>JL. APEL GG. PISANG</v>
      </c>
      <c r="N2114" s="16" t="str">
        <f>IFERROR(__xludf.DUMMYFUNCTION("""COMPUTED_VALUE"""),"SUI JAWI LUAR")</f>
        <v>SUI JAWI LUAR</v>
      </c>
      <c r="O2114" s="16" t="str">
        <f>IFERROR(__xludf.DUMMYFUNCTION("""COMPUTED_VALUE"""),"PONTIANAK BARAT")</f>
        <v>PONTIANAK BARAT</v>
      </c>
      <c r="P2114" s="16" t="str">
        <f>IFERROR(__xludf.DUMMYFUNCTION("""COMPUTED_VALUE"""),"PONTIANAK")</f>
        <v>PONTIANAK</v>
      </c>
      <c r="Q2114" s="16" t="str">
        <f>IFERROR(__xludf.DUMMYFUNCTION("""COMPUTED_VALUE"""),"KALIMANTAN BARAT")</f>
        <v>KALIMANTAN BARAT</v>
      </c>
      <c r="R2114" s="19" t="str">
        <f>IFERROR(__xludf.DUMMYFUNCTION("""COMPUTED_VALUE"""),"ISLAM")</f>
        <v>ISLAM</v>
      </c>
      <c r="S2114" s="16" t="str">
        <f>IFERROR(__xludf.DUMMYFUNCTION("""COMPUTED_VALUE"""),"APOTEKER")</f>
        <v>APOTEKER</v>
      </c>
      <c r="T2114" s="16" t="str">
        <f>IFERROR(__xludf.DUMMYFUNCTION("""COMPUTED_VALUE"""),"SAKIT DI BAGIAN BELAKANG KANAN NYERI HINGGA KE PAHA DAN PERNAH SAMPAI KE TANGAN")</f>
        <v>SAKIT DI BAGIAN BELAKANG KANAN NYERI HINGGA KE PAHA DAN PERNAH SAMPAI KE TANGAN</v>
      </c>
      <c r="U2114" s="16" t="str">
        <f>IFERROR(__xludf.DUMMYFUNCTION("""COMPUTED_VALUE"""),"OLAHRAGA POUNDFIT")</f>
        <v>OLAHRAGA POUNDFIT</v>
      </c>
      <c r="V2114" s="11" t="str">
        <f>IFERROR(__xludf.DUMMYFUNCTION("""COMPUTED_VALUE"""),"089693490363")</f>
        <v>089693490363</v>
      </c>
      <c r="W2114" s="46"/>
    </row>
    <row r="2115">
      <c r="A2115" s="45"/>
      <c r="B2115" s="9" t="str">
        <f>IFERROR(__xludf.DUMMYFUNCTION("""COMPUTED_VALUE"""),"18/01/2025 11:56:08")</f>
        <v>18/01/2025 11:56:08</v>
      </c>
      <c r="C2115" s="35"/>
      <c r="D2115" s="10">
        <f>IFERROR(__xludf.DUMMYFUNCTION("""COMPUTED_VALUE"""),45693.0)</f>
        <v>45693</v>
      </c>
      <c r="E2115" s="35" t="str">
        <f>IFERROR(__xludf.DUMMYFUNCTION("""COMPUTED_VALUE"""),"02Feb")</f>
        <v>02Feb</v>
      </c>
      <c r="F2115" s="34" t="str">
        <f>IFERROR(__xludf.DUMMYFUNCTION("""COMPUTED_VALUE"""),"2025")</f>
        <v>2025</v>
      </c>
      <c r="G2115" s="9" t="str">
        <f>IFERROR(__xludf.DUMMYFUNCTION("""COMPUTED_VALUE"""),"ANISA B.SIMARE-MARE")</f>
        <v>ANISA B.SIMARE-MARE</v>
      </c>
      <c r="H2115" s="35" t="str">
        <f>IFERROR(__xludf.DUMMYFUNCTION("""COMPUTED_VALUE"""),"A0225027764")</f>
        <v>A0225027764</v>
      </c>
      <c r="I2115" s="35">
        <f>IFERROR(__xludf.DUMMYFUNCTION("""COMPUTED_VALUE"""),23.0)</f>
        <v>23</v>
      </c>
      <c r="J2115" s="35" t="str">
        <f>IFERROR(__xludf.DUMMYFUNCTION("""COMPUTED_VALUE"""),"18-24 tahun")</f>
        <v>18-24 tahun</v>
      </c>
      <c r="K2115" s="19">
        <f>IFERROR(__xludf.DUMMYFUNCTION("""COMPUTED_VALUE"""),37519.0)</f>
        <v>37519</v>
      </c>
      <c r="L2115" s="19" t="str">
        <f>IFERROR(__xludf.DUMMYFUNCTION("""COMPUTED_VALUE"""),"PEREMPUAN")</f>
        <v>PEREMPUAN</v>
      </c>
      <c r="M2115" s="36" t="str">
        <f>IFERROR(__xludf.DUMMYFUNCTION("""COMPUTED_VALUE"""),"JL ADI MUSTAPA KM 4")</f>
        <v>JL ADI MUSTAPA KM 4</v>
      </c>
      <c r="N2115" s="16" t="str">
        <f>IFERROR(__xludf.DUMMYFUNCTION("""COMPUTED_VALUE"""),"PAAL")</f>
        <v>PAAL</v>
      </c>
      <c r="O2115" s="16" t="str">
        <f>IFERROR(__xludf.DUMMYFUNCTION("""COMPUTED_VALUE"""),"NANGA PINOH")</f>
        <v>NANGA PINOH</v>
      </c>
      <c r="P2115" s="16" t="str">
        <f>IFERROR(__xludf.DUMMYFUNCTION("""COMPUTED_VALUE"""),"MELAWI")</f>
        <v>MELAWI</v>
      </c>
      <c r="Q2115" s="16" t="str">
        <f>IFERROR(__xludf.DUMMYFUNCTION("""COMPUTED_VALUE"""),"KALIMANTAN BARAT")</f>
        <v>KALIMANTAN BARAT</v>
      </c>
      <c r="R2115" s="19" t="str">
        <f>IFERROR(__xludf.DUMMYFUNCTION("""COMPUTED_VALUE"""),"PROTESTAN")</f>
        <v>PROTESTAN</v>
      </c>
      <c r="S2115" s="16" t="str">
        <f>IFERROR(__xludf.DUMMYFUNCTION("""COMPUTED_VALUE"""),"BUMN")</f>
        <v>BUMN</v>
      </c>
      <c r="T2115" s="16" t="str">
        <f>IFERROR(__xludf.DUMMYFUNCTION("""COMPUTED_VALUE"""),"NYERI PUNGGUNG BELAKANG SUDAH 4 HARI")</f>
        <v>NYERI PUNGGUNG BELAKANG SUDAH 4 HARI</v>
      </c>
      <c r="U2115" s="16" t="str">
        <f>IFERROR(__xludf.DUMMYFUNCTION("""COMPUTED_VALUE"""),"KEBANYAKAN AKTIVITAS DUDUK DI KANTOR")</f>
        <v>KEBANYAKAN AKTIVITAS DUDUK DI KANTOR</v>
      </c>
      <c r="V2115" s="11" t="str">
        <f>IFERROR(__xludf.DUMMYFUNCTION("""COMPUTED_VALUE"""),"085821987764")</f>
        <v>085821987764</v>
      </c>
      <c r="W2115" s="46"/>
    </row>
    <row r="2116">
      <c r="A2116" s="45"/>
      <c r="B2116" s="9" t="str">
        <f>IFERROR(__xludf.DUMMYFUNCTION("""COMPUTED_VALUE"""),"28/01/2025 17:24:05")</f>
        <v>28/01/2025 17:24:05</v>
      </c>
      <c r="C2116" s="35"/>
      <c r="D2116" s="10">
        <f>IFERROR(__xludf.DUMMYFUNCTION("""COMPUTED_VALUE"""),45693.0)</f>
        <v>45693</v>
      </c>
      <c r="E2116" s="35" t="str">
        <f>IFERROR(__xludf.DUMMYFUNCTION("""COMPUTED_VALUE"""),"02Feb")</f>
        <v>02Feb</v>
      </c>
      <c r="F2116" s="34" t="str">
        <f>IFERROR(__xludf.DUMMYFUNCTION("""COMPUTED_VALUE"""),"2025")</f>
        <v>2025</v>
      </c>
      <c r="G2116" s="9" t="str">
        <f>IFERROR(__xludf.DUMMYFUNCTION("""COMPUTED_VALUE"""),"RACHEL HANNY AULIA SILALAHI")</f>
        <v>RACHEL HANNY AULIA SILALAHI</v>
      </c>
      <c r="H2116" s="35" t="str">
        <f>IFERROR(__xludf.DUMMYFUNCTION("""COMPUTED_VALUE"""),"R0725025855")</f>
        <v>R0725025855</v>
      </c>
      <c r="I2116" s="35">
        <f>IFERROR(__xludf.DUMMYFUNCTION("""COMPUTED_VALUE"""),19.0)</f>
        <v>19</v>
      </c>
      <c r="J2116" s="35" t="str">
        <f>IFERROR(__xludf.DUMMYFUNCTION("""COMPUTED_VALUE"""),"18-24 tahun")</f>
        <v>18-24 tahun</v>
      </c>
      <c r="K2116" s="19" t="str">
        <f>IFERROR(__xludf.DUMMYFUNCTION("""COMPUTED_VALUE"""),"17/05/2007")</f>
        <v>17/05/2007</v>
      </c>
      <c r="L2116" s="19" t="str">
        <f>IFERROR(__xludf.DUMMYFUNCTION("""COMPUTED_VALUE"""),"PEREMPUAN")</f>
        <v>PEREMPUAN</v>
      </c>
      <c r="M2116" s="36" t="str">
        <f>IFERROR(__xludf.DUMMYFUNCTION("""COMPUTED_VALUE"""),"BTN GRIYA WISATA PERMAI BLOK G NO 2")</f>
        <v>BTN GRIYA WISATA PERMAI BLOK G NO 2</v>
      </c>
      <c r="N2116" s="16" t="str">
        <f>IFERROR(__xludf.DUMMYFUNCTION("""COMPUTED_VALUE"""),"SUNGAI ANA")</f>
        <v>SUNGAI ANA</v>
      </c>
      <c r="O2116" s="16" t="str">
        <f>IFERROR(__xludf.DUMMYFUNCTION("""COMPUTED_VALUE"""),"SINTANG")</f>
        <v>SINTANG</v>
      </c>
      <c r="P2116" s="16" t="str">
        <f>IFERROR(__xludf.DUMMYFUNCTION("""COMPUTED_VALUE"""),"SINTANG")</f>
        <v>SINTANG</v>
      </c>
      <c r="Q2116" s="16" t="str">
        <f>IFERROR(__xludf.DUMMYFUNCTION("""COMPUTED_VALUE"""),"KALIMANTAN BARAT")</f>
        <v>KALIMANTAN BARAT</v>
      </c>
      <c r="R2116" s="19" t="str">
        <f>IFERROR(__xludf.DUMMYFUNCTION("""COMPUTED_VALUE"""),"KATOLIK")</f>
        <v>KATOLIK</v>
      </c>
      <c r="S2116" s="16" t="str">
        <f>IFERROR(__xludf.DUMMYFUNCTION("""COMPUTED_VALUE"""),"PELAJAR/MAHASISWA")</f>
        <v>PELAJAR/MAHASISWA</v>
      </c>
      <c r="T2116" s="16" t="str">
        <f>IFERROR(__xludf.DUMMYFUNCTION("""COMPUTED_VALUE"""),"SKOLIOSIS")</f>
        <v>SKOLIOSIS</v>
      </c>
      <c r="U2116" s="16" t="str">
        <f>IFERROR(__xludf.DUMMYFUNCTION("""COMPUTED_VALUE"""),"OLAHRAGA RINGAN")</f>
        <v>OLAHRAGA RINGAN</v>
      </c>
      <c r="V2116" s="11" t="str">
        <f>IFERROR(__xludf.DUMMYFUNCTION("""COMPUTED_VALUE"""),"085652125855")</f>
        <v>085652125855</v>
      </c>
      <c r="W2116" s="46"/>
    </row>
    <row r="2117">
      <c r="A2117" s="45"/>
      <c r="B2117" s="24" t="str">
        <f>IFERROR(__xludf.DUMMYFUNCTION("""COMPUTED_VALUE"""),"28/01/2025 20:13:45")</f>
        <v>28/01/2025 20:13:45</v>
      </c>
      <c r="C2117" s="35"/>
      <c r="D2117" s="10">
        <f>IFERROR(__xludf.DUMMYFUNCTION("""COMPUTED_VALUE"""),45693.0)</f>
        <v>45693</v>
      </c>
      <c r="E2117" s="35" t="str">
        <f>IFERROR(__xludf.DUMMYFUNCTION("""COMPUTED_VALUE"""),"02Feb")</f>
        <v>02Feb</v>
      </c>
      <c r="F2117" s="34" t="str">
        <f>IFERROR(__xludf.DUMMYFUNCTION("""COMPUTED_VALUE"""),"2025")</f>
        <v>2025</v>
      </c>
      <c r="G2117" s="9" t="str">
        <f>IFERROR(__xludf.DUMMYFUNCTION("""COMPUTED_VALUE"""),"VIOLET PUTRI ANGELIE")</f>
        <v>VIOLET PUTRI ANGELIE</v>
      </c>
      <c r="H2117" s="35" t="str">
        <f>IFERROR(__xludf.DUMMYFUNCTION("""COMPUTED_VALUE"""),"V0825023480")</f>
        <v>V0825023480</v>
      </c>
      <c r="I2117" s="35">
        <f>IFERROR(__xludf.DUMMYFUNCTION("""COMPUTED_VALUE"""),18.0)</f>
        <v>18</v>
      </c>
      <c r="J2117" s="35" t="str">
        <f>IFERROR(__xludf.DUMMYFUNCTION("""COMPUTED_VALUE"""),"&lt; 18 tahun")</f>
        <v>&lt; 18 tahun</v>
      </c>
      <c r="K2117" s="21" t="str">
        <f>IFERROR(__xludf.DUMMYFUNCTION("""COMPUTED_VALUE"""),"24/05/2008")</f>
        <v>24/05/2008</v>
      </c>
      <c r="L2117" s="21" t="str">
        <f>IFERROR(__xludf.DUMMYFUNCTION("""COMPUTED_VALUE"""),"PEREMPUAN")</f>
        <v>PEREMPUAN</v>
      </c>
      <c r="M2117" s="35" t="str">
        <f>IFERROR(__xludf.DUMMYFUNCTION("""COMPUTED_VALUE"""),"JL AYANI 2 GG EXTRA JOSS")</f>
        <v>JL AYANI 2 GG EXTRA JOSS</v>
      </c>
      <c r="N2117" s="35" t="str">
        <f>IFERROR(__xludf.DUMMYFUNCTION("""COMPUTED_VALUE"""),"SUNGAI RAYA")</f>
        <v>SUNGAI RAYA</v>
      </c>
      <c r="O2117" s="35" t="str">
        <f>IFERROR(__xludf.DUMMYFUNCTION("""COMPUTED_VALUE"""),"SUNGAI RAYA")</f>
        <v>SUNGAI RAYA</v>
      </c>
      <c r="P2117" s="35" t="str">
        <f>IFERROR(__xludf.DUMMYFUNCTION("""COMPUTED_VALUE"""),"KUBU RAYA")</f>
        <v>KUBU RAYA</v>
      </c>
      <c r="Q2117" s="35" t="str">
        <f>IFERROR(__xludf.DUMMYFUNCTION("""COMPUTED_VALUE"""),"KALIMANTAN BARAT")</f>
        <v>KALIMANTAN BARAT</v>
      </c>
      <c r="R2117" s="21" t="str">
        <f>IFERROR(__xludf.DUMMYFUNCTION("""COMPUTED_VALUE"""),"KATOLIK")</f>
        <v>KATOLIK</v>
      </c>
      <c r="S2117" s="35" t="str">
        <f>IFERROR(__xludf.DUMMYFUNCTION("""COMPUTED_VALUE"""),"PELAJAR/MAHASISWA")</f>
        <v>PELAJAR/MAHASISWA</v>
      </c>
      <c r="T2117" s="35" t="str">
        <f>IFERROR(__xludf.DUMMYFUNCTION("""COMPUTED_VALUE"""),"TULANG BELAKANG KADANG TERASA SAKIT NYERI, BAHU TINGGI SEBELAH")</f>
        <v>TULANG BELAKANG KADANG TERASA SAKIT NYERI, BAHU TINGGI SEBELAH</v>
      </c>
      <c r="U2117" s="35" t="str">
        <f>IFERROR(__xludf.DUMMYFUNCTION("""COMPUTED_VALUE"""),"SEKOLAH")</f>
        <v>SEKOLAH</v>
      </c>
      <c r="V2117" s="37" t="str">
        <f>IFERROR(__xludf.DUMMYFUNCTION("""COMPUTED_VALUE"""),"089531043480")</f>
        <v>089531043480</v>
      </c>
      <c r="W2117" s="46"/>
    </row>
    <row r="2118">
      <c r="A2118" s="45"/>
      <c r="B2118" s="9" t="str">
        <f>IFERROR(__xludf.DUMMYFUNCTION("""COMPUTED_VALUE"""),"30/01/2025 10:11:42")</f>
        <v>30/01/2025 10:11:42</v>
      </c>
      <c r="C2118" s="35"/>
      <c r="D2118" s="10">
        <f>IFERROR(__xludf.DUMMYFUNCTION("""COMPUTED_VALUE"""),45693.0)</f>
        <v>45693</v>
      </c>
      <c r="E2118" s="35" t="str">
        <f>IFERROR(__xludf.DUMMYFUNCTION("""COMPUTED_VALUE"""),"02Feb")</f>
        <v>02Feb</v>
      </c>
      <c r="F2118" s="34" t="str">
        <f>IFERROR(__xludf.DUMMYFUNCTION("""COMPUTED_VALUE"""),"2025")</f>
        <v>2025</v>
      </c>
      <c r="G2118" s="9" t="str">
        <f>IFERROR(__xludf.DUMMYFUNCTION("""COMPUTED_VALUE"""),"SAMUEL SETIAWAN")</f>
        <v>SAMUEL SETIAWAN</v>
      </c>
      <c r="H2118" s="35" t="str">
        <f>IFERROR(__xludf.DUMMYFUNCTION("""COMPUTED_VALUE"""),"S9225021055")</f>
        <v>S9225021055</v>
      </c>
      <c r="I2118" s="35">
        <f>IFERROR(__xludf.DUMMYFUNCTION("""COMPUTED_VALUE"""),33.0)</f>
        <v>33</v>
      </c>
      <c r="J2118" s="35" t="str">
        <f>IFERROR(__xludf.DUMMYFUNCTION("""COMPUTED_VALUE"""),"25-34 tahun")</f>
        <v>25-34 tahun</v>
      </c>
      <c r="K2118" s="19" t="str">
        <f>IFERROR(__xludf.DUMMYFUNCTION("""COMPUTED_VALUE"""),"10/08/1992")</f>
        <v>10/08/1992</v>
      </c>
      <c r="L2118" s="19" t="str">
        <f>IFERROR(__xludf.DUMMYFUNCTION("""COMPUTED_VALUE"""),"LAKI-LAKI")</f>
        <v>LAKI-LAKI</v>
      </c>
      <c r="M2118" s="36" t="str">
        <f>IFERROR(__xludf.DUMMYFUNCTION("""COMPUTED_VALUE"""),"PRAPATAN 5")</f>
        <v>PRAPATAN 5</v>
      </c>
      <c r="N2118" s="16" t="str">
        <f>IFERROR(__xludf.DUMMYFUNCTION("""COMPUTED_VALUE"""),"JAKARTA")</f>
        <v>JAKARTA</v>
      </c>
      <c r="O2118" s="16" t="str">
        <f>IFERROR(__xludf.DUMMYFUNCTION("""COMPUTED_VALUE"""),"JAKARTA")</f>
        <v>JAKARTA</v>
      </c>
      <c r="P2118" s="16" t="str">
        <f>IFERROR(__xludf.DUMMYFUNCTION("""COMPUTED_VALUE"""),"JAKARTA PUSAT")</f>
        <v>JAKARTA PUSAT</v>
      </c>
      <c r="Q2118" s="16" t="str">
        <f>IFERROR(__xludf.DUMMYFUNCTION("""COMPUTED_VALUE"""),"JAKARTA")</f>
        <v>JAKARTA</v>
      </c>
      <c r="R2118" s="19" t="str">
        <f>IFERROR(__xludf.DUMMYFUNCTION("""COMPUTED_VALUE"""),"PROTESTAN")</f>
        <v>PROTESTAN</v>
      </c>
      <c r="S2118" s="16" t="str">
        <f>IFERROR(__xludf.DUMMYFUNCTION("""COMPUTED_VALUE"""),"SWASTA")</f>
        <v>SWASTA</v>
      </c>
      <c r="T2118" s="16" t="str">
        <f>IFERROR(__xludf.DUMMYFUNCTION("""COMPUTED_VALUE"""),"NYERI PINGGANG")</f>
        <v>NYERI PINGGANG</v>
      </c>
      <c r="U2118" s="16" t="str">
        <f>IFERROR(__xludf.DUMMYFUNCTION("""COMPUTED_VALUE"""),"FUTSAL, DUDUK DI KANTOR")</f>
        <v>FUTSAL, DUDUK DI KANTOR</v>
      </c>
      <c r="V2118" s="11" t="str">
        <f>IFERROR(__xludf.DUMMYFUNCTION("""COMPUTED_VALUE"""),"081311441055")</f>
        <v>081311441055</v>
      </c>
      <c r="W2118" s="46"/>
    </row>
    <row r="2119">
      <c r="A2119" s="45"/>
      <c r="B2119" s="9" t="str">
        <f>IFERROR(__xludf.DUMMYFUNCTION("""COMPUTED_VALUE"""),"30/01/2025 14:14:35")</f>
        <v>30/01/2025 14:14:35</v>
      </c>
      <c r="C2119" s="35"/>
      <c r="D2119" s="10">
        <f>IFERROR(__xludf.DUMMYFUNCTION("""COMPUTED_VALUE"""),45694.0)</f>
        <v>45694</v>
      </c>
      <c r="E2119" s="35" t="str">
        <f>IFERROR(__xludf.DUMMYFUNCTION("""COMPUTED_VALUE"""),"02Feb")</f>
        <v>02Feb</v>
      </c>
      <c r="F2119" s="34" t="str">
        <f>IFERROR(__xludf.DUMMYFUNCTION("""COMPUTED_VALUE"""),"2025")</f>
        <v>2025</v>
      </c>
      <c r="G2119" s="9" t="str">
        <f>IFERROR(__xludf.DUMMYFUNCTION("""COMPUTED_VALUE"""),"RAMADHAN 9402")</f>
        <v>RAMADHAN 9402</v>
      </c>
      <c r="H2119" s="35" t="str">
        <f>IFERROR(__xludf.DUMMYFUNCTION("""COMPUTED_VALUE"""),"R9425021905")</f>
        <v>R9425021905</v>
      </c>
      <c r="I2119" s="35">
        <f>IFERROR(__xludf.DUMMYFUNCTION("""COMPUTED_VALUE"""),32.0)</f>
        <v>32</v>
      </c>
      <c r="J2119" s="35" t="str">
        <f>IFERROR(__xludf.DUMMYFUNCTION("""COMPUTED_VALUE"""),"25-34 tahun")</f>
        <v>25-34 tahun</v>
      </c>
      <c r="K2119" s="19" t="str">
        <f>IFERROR(__xludf.DUMMYFUNCTION("""COMPUTED_VALUE"""),"02/02/1994")</f>
        <v>02/02/1994</v>
      </c>
      <c r="L2119" s="19" t="str">
        <f>IFERROR(__xludf.DUMMYFUNCTION("""COMPUTED_VALUE"""),"LAKI-LAKI")</f>
        <v>LAKI-LAKI</v>
      </c>
      <c r="M2119" s="36" t="str">
        <f>IFERROR(__xludf.DUMMYFUNCTION("""COMPUTED_VALUE"""),"JL. TANJUNG PULAU")</f>
        <v>JL. TANJUNG PULAU</v>
      </c>
      <c r="N2119" s="16" t="str">
        <f>IFERROR(__xludf.DUMMYFUNCTION("""COMPUTED_VALUE"""),"DALAM BUGIS")</f>
        <v>DALAM BUGIS</v>
      </c>
      <c r="O2119" s="16" t="str">
        <f>IFERROR(__xludf.DUMMYFUNCTION("""COMPUTED_VALUE"""),"PONTIANAK TIMUR")</f>
        <v>PONTIANAK TIMUR</v>
      </c>
      <c r="P2119" s="16" t="str">
        <f>IFERROR(__xludf.DUMMYFUNCTION("""COMPUTED_VALUE"""),"PONTIANAK")</f>
        <v>PONTIANAK</v>
      </c>
      <c r="Q2119" s="16" t="str">
        <f>IFERROR(__xludf.DUMMYFUNCTION("""COMPUTED_VALUE"""),"KALIMANTAN BARAT")</f>
        <v>KALIMANTAN BARAT</v>
      </c>
      <c r="R2119" s="19" t="str">
        <f>IFERROR(__xludf.DUMMYFUNCTION("""COMPUTED_VALUE"""),"ISLAM")</f>
        <v>ISLAM</v>
      </c>
      <c r="S2119" s="16" t="str">
        <f>IFERROR(__xludf.DUMMYFUNCTION("""COMPUTED_VALUE"""),"TUKANG")</f>
        <v>TUKANG</v>
      </c>
      <c r="T2119" s="16" t="str">
        <f>IFERROR(__xludf.DUMMYFUNCTION("""COMPUTED_VALUE"""),"SAKIT PINGGANG")</f>
        <v>SAKIT PINGGANG</v>
      </c>
      <c r="U2119" s="16" t="str">
        <f>IFERROR(__xludf.DUMMYFUNCTION("""COMPUTED_VALUE"""),"MENGANGKAT LEMARI")</f>
        <v>MENGANGKAT LEMARI</v>
      </c>
      <c r="V2119" s="11" t="str">
        <f>IFERROR(__xludf.DUMMYFUNCTION("""COMPUTED_VALUE"""),"085820911905")</f>
        <v>085820911905</v>
      </c>
      <c r="W2119" s="46"/>
    </row>
    <row r="2120">
      <c r="A2120" s="45"/>
      <c r="B2120" s="24" t="str">
        <f>IFERROR(__xludf.DUMMYFUNCTION("""COMPUTED_VALUE"""),"28/01/2025 10:40:24")</f>
        <v>28/01/2025 10:40:24</v>
      </c>
      <c r="C2120" s="35"/>
      <c r="D2120" s="10">
        <f>IFERROR(__xludf.DUMMYFUNCTION("""COMPUTED_VALUE"""),45695.0)</f>
        <v>45695</v>
      </c>
      <c r="E2120" s="35" t="str">
        <f>IFERROR(__xludf.DUMMYFUNCTION("""COMPUTED_VALUE"""),"02Feb")</f>
        <v>02Feb</v>
      </c>
      <c r="F2120" s="34" t="str">
        <f>IFERROR(__xludf.DUMMYFUNCTION("""COMPUTED_VALUE"""),"2025")</f>
        <v>2025</v>
      </c>
      <c r="G2120" s="9" t="str">
        <f>IFERROR(__xludf.DUMMYFUNCTION("""COMPUTED_VALUE"""),"HADINATA SAPUTRA LIM")</f>
        <v>HADINATA SAPUTRA LIM</v>
      </c>
      <c r="H2120" s="35" t="str">
        <f>IFERROR(__xludf.DUMMYFUNCTION("""COMPUTED_VALUE"""),"H9125028670")</f>
        <v>H9125028670</v>
      </c>
      <c r="I2120" s="35">
        <f>IFERROR(__xludf.DUMMYFUNCTION("""COMPUTED_VALUE"""),34.0)</f>
        <v>34</v>
      </c>
      <c r="J2120" s="35" t="str">
        <f>IFERROR(__xludf.DUMMYFUNCTION("""COMPUTED_VALUE"""),"25-34 tahun")</f>
        <v>25-34 tahun</v>
      </c>
      <c r="K2120" s="21" t="str">
        <f>IFERROR(__xludf.DUMMYFUNCTION("""COMPUTED_VALUE"""),"04/10/1991")</f>
        <v>04/10/1991</v>
      </c>
      <c r="L2120" s="21" t="str">
        <f>IFERROR(__xludf.DUMMYFUNCTION("""COMPUTED_VALUE"""),"LAKI-LAKI")</f>
        <v>LAKI-LAKI</v>
      </c>
      <c r="M2120" s="35" t="str">
        <f>IFERROR(__xludf.DUMMYFUNCTION("""COMPUTED_VALUE"""),"JL. BHAYANGKARA")</f>
        <v>JL. BHAYANGKARA</v>
      </c>
      <c r="N2120" s="35" t="str">
        <f>IFERROR(__xludf.DUMMYFUNCTION("""COMPUTED_VALUE"""),"SUTERA")</f>
        <v>SUTERA</v>
      </c>
      <c r="O2120" s="35" t="str">
        <f>IFERROR(__xludf.DUMMYFUNCTION("""COMPUTED_VALUE"""),"SUKADANA")</f>
        <v>SUKADANA</v>
      </c>
      <c r="P2120" s="35" t="str">
        <f>IFERROR(__xludf.DUMMYFUNCTION("""COMPUTED_VALUE"""),"KAYONG UTARA")</f>
        <v>KAYONG UTARA</v>
      </c>
      <c r="Q2120" s="35" t="str">
        <f>IFERROR(__xludf.DUMMYFUNCTION("""COMPUTED_VALUE"""),"KALIMANTAN BARAT")</f>
        <v>KALIMANTAN BARAT</v>
      </c>
      <c r="R2120" s="21" t="str">
        <f>IFERROR(__xludf.DUMMYFUNCTION("""COMPUTED_VALUE"""),"KHONGHUCU")</f>
        <v>KHONGHUCU</v>
      </c>
      <c r="S2120" s="35" t="str">
        <f>IFERROR(__xludf.DUMMYFUNCTION("""COMPUTED_VALUE"""),"SWASTA")</f>
        <v>SWASTA</v>
      </c>
      <c r="T2120" s="35" t="str">
        <f>IFERROR(__xludf.DUMMYFUNCTION("""COMPUTED_VALUE"""),"KEMUNGKINAN SYARAF TERJEPIT")</f>
        <v>KEMUNGKINAN SYARAF TERJEPIT</v>
      </c>
      <c r="U2120" s="35" t="str">
        <f>IFERROR(__xludf.DUMMYFUNCTION("""COMPUTED_VALUE"""),"ANGKAT BARANG")</f>
        <v>ANGKAT BARANG</v>
      </c>
      <c r="V2120" s="37" t="str">
        <f>IFERROR(__xludf.DUMMYFUNCTION("""COMPUTED_VALUE"""),"081284588670")</f>
        <v>081284588670</v>
      </c>
      <c r="W2120" s="46"/>
    </row>
    <row r="2121">
      <c r="A2121" s="45"/>
      <c r="B2121" s="9">
        <f>IFERROR(__xludf.DUMMYFUNCTION("""COMPUTED_VALUE"""),45614.888178298614)</f>
        <v>45614.88818</v>
      </c>
      <c r="C2121" s="35"/>
      <c r="D2121" s="10">
        <f>IFERROR(__xludf.DUMMYFUNCTION("""COMPUTED_VALUE"""),45695.0)</f>
        <v>45695</v>
      </c>
      <c r="E2121" s="35" t="str">
        <f>IFERROR(__xludf.DUMMYFUNCTION("""COMPUTED_VALUE"""),"02Feb")</f>
        <v>02Feb</v>
      </c>
      <c r="F2121" s="34" t="str">
        <f>IFERROR(__xludf.DUMMYFUNCTION("""COMPUTED_VALUE"""),"2025")</f>
        <v>2025</v>
      </c>
      <c r="G2121" s="9" t="str">
        <f>IFERROR(__xludf.DUMMYFUNCTION("""COMPUTED_VALUE"""),"PIETER ANDAS PARINATHA")</f>
        <v>PIETER ANDAS PARINATHA</v>
      </c>
      <c r="H2121" s="35" t="str">
        <f>IFERROR(__xludf.DUMMYFUNCTION("""COMPUTED_VALUE"""),"P8925028614")</f>
        <v>P8925028614</v>
      </c>
      <c r="I2121" s="35">
        <f>IFERROR(__xludf.DUMMYFUNCTION("""COMPUTED_VALUE"""),36.0)</f>
        <v>36</v>
      </c>
      <c r="J2121" s="35" t="str">
        <f>IFERROR(__xludf.DUMMYFUNCTION("""COMPUTED_VALUE"""),"35-44 tahun")</f>
        <v>35-44 tahun</v>
      </c>
      <c r="K2121" s="19">
        <f>IFERROR(__xludf.DUMMYFUNCTION("""COMPUTED_VALUE"""),32689.0)</f>
        <v>32689</v>
      </c>
      <c r="L2121" s="19" t="str">
        <f>IFERROR(__xludf.DUMMYFUNCTION("""COMPUTED_VALUE"""),"LAKI-LAKI")</f>
        <v>LAKI-LAKI</v>
      </c>
      <c r="M2121" s="36" t="str">
        <f>IFERROR(__xludf.DUMMYFUNCTION("""COMPUTED_VALUE"""),"JL. AMPERA GANG 8 SAUDARA NOMOR 8")</f>
        <v>JL. AMPERA GANG 8 SAUDARA NOMOR 8</v>
      </c>
      <c r="N2121" s="16"/>
      <c r="O2121" s="16"/>
      <c r="P2121" s="16" t="str">
        <f>IFERROR(__xludf.DUMMYFUNCTION("""COMPUTED_VALUE"""),"KOTA PONTIANAK")</f>
        <v>KOTA PONTIANAK</v>
      </c>
      <c r="Q2121" s="16" t="str">
        <f>IFERROR(__xludf.DUMMYFUNCTION("""COMPUTED_VALUE"""),"KALIMANTAN BARAT")</f>
        <v>KALIMANTAN BARAT</v>
      </c>
      <c r="R2121" s="19" t="str">
        <f>IFERROR(__xludf.DUMMYFUNCTION("""COMPUTED_VALUE"""),"KATOLIK")</f>
        <v>KATOLIK</v>
      </c>
      <c r="S2121" s="16" t="str">
        <f>IFERROR(__xludf.DUMMYFUNCTION("""COMPUTED_VALUE"""),"ARTIST")</f>
        <v>ARTIST</v>
      </c>
      <c r="T2121" s="16" t="str">
        <f>IFERROR(__xludf.DUMMYFUNCTION("""COMPUTED_VALUE"""),"PINGGANG")</f>
        <v>PINGGANG</v>
      </c>
      <c r="U2121" s="16" t="str">
        <f>IFERROR(__xludf.DUMMYFUNCTION("""COMPUTED_VALUE"""),"SENIMAN")</f>
        <v>SENIMAN</v>
      </c>
      <c r="V2121" s="11" t="str">
        <f>IFERROR(__xludf.DUMMYFUNCTION("""COMPUTED_VALUE"""),"85654468614")</f>
        <v>85654468614</v>
      </c>
      <c r="W2121" s="46"/>
    </row>
    <row r="2122">
      <c r="A2122" s="45"/>
      <c r="B2122" s="24" t="str">
        <f>IFERROR(__xludf.DUMMYFUNCTION("""COMPUTED_VALUE"""),"28/01/2025 17:10:44")</f>
        <v>28/01/2025 17:10:44</v>
      </c>
      <c r="C2122" s="35"/>
      <c r="D2122" s="10">
        <f>IFERROR(__xludf.DUMMYFUNCTION("""COMPUTED_VALUE"""),45695.0)</f>
        <v>45695</v>
      </c>
      <c r="E2122" s="35" t="str">
        <f>IFERROR(__xludf.DUMMYFUNCTION("""COMPUTED_VALUE"""),"02Feb")</f>
        <v>02Feb</v>
      </c>
      <c r="F2122" s="34" t="str">
        <f>IFERROR(__xludf.DUMMYFUNCTION("""COMPUTED_VALUE"""),"2025")</f>
        <v>2025</v>
      </c>
      <c r="G2122" s="35" t="str">
        <f>IFERROR(__xludf.DUMMYFUNCTION("""COMPUTED_VALUE"""),"SUGITO 6304")</f>
        <v>SUGITO 6304</v>
      </c>
      <c r="H2122" s="35" t="str">
        <f>IFERROR(__xludf.DUMMYFUNCTION("""COMPUTED_VALUE"""),"S6325021205")</f>
        <v>S6325021205</v>
      </c>
      <c r="I2122" s="35">
        <f>IFERROR(__xludf.DUMMYFUNCTION("""COMPUTED_VALUE"""),63.0)</f>
        <v>63</v>
      </c>
      <c r="J2122" s="35" t="str">
        <f>IFERROR(__xludf.DUMMYFUNCTION("""COMPUTED_VALUE"""),"&gt; 44 tahun")</f>
        <v>&gt; 44 tahun</v>
      </c>
      <c r="K2122" s="21" t="str">
        <f>IFERROR(__xludf.DUMMYFUNCTION("""COMPUTED_VALUE"""),"11/04/1963")</f>
        <v>11/04/1963</v>
      </c>
      <c r="L2122" s="21" t="str">
        <f>IFERROR(__xludf.DUMMYFUNCTION("""COMPUTED_VALUE"""),"LAKI-LAKI")</f>
        <v>LAKI-LAKI</v>
      </c>
      <c r="M2122" s="35" t="str">
        <f>IFERROR(__xludf.DUMMYFUNCTION("""COMPUTED_VALUE"""),"JL. KARNA SOSIAL GG. PURWOSARI 1 NO 24A")</f>
        <v>JL. KARNA SOSIAL GG. PURWOSARI 1 NO 24A</v>
      </c>
      <c r="N2122" s="35" t="str">
        <f>IFERROR(__xludf.DUMMYFUNCTION("""COMPUTED_VALUE"""),"AKCAYA")</f>
        <v>AKCAYA</v>
      </c>
      <c r="O2122" s="35" t="str">
        <f>IFERROR(__xludf.DUMMYFUNCTION("""COMPUTED_VALUE"""),"PONTIANAK SELATAN")</f>
        <v>PONTIANAK SELATAN</v>
      </c>
      <c r="P2122" s="35" t="str">
        <f>IFERROR(__xludf.DUMMYFUNCTION("""COMPUTED_VALUE"""),"KOTA PONTIANAK")</f>
        <v>KOTA PONTIANAK</v>
      </c>
      <c r="Q2122" s="35" t="str">
        <f>IFERROR(__xludf.DUMMYFUNCTION("""COMPUTED_VALUE"""),"KALIMANTAN BARAT")</f>
        <v>KALIMANTAN BARAT</v>
      </c>
      <c r="R2122" s="21" t="str">
        <f>IFERROR(__xludf.DUMMYFUNCTION("""COMPUTED_VALUE"""),"ISLAM")</f>
        <v>ISLAM</v>
      </c>
      <c r="S2122" s="35" t="str">
        <f>IFERROR(__xludf.DUMMYFUNCTION("""COMPUTED_VALUE"""),"WIRASWASTA")</f>
        <v>WIRASWASTA</v>
      </c>
      <c r="T2122" s="35" t="str">
        <f>IFERROR(__xludf.DUMMYFUNCTION("""COMPUTED_VALUE"""),"NYERI DI BAGIAN PINGGANG SAAT BANGUN DARI DUDUK KE BERDIRI")</f>
        <v>NYERI DI BAGIAN PINGGANG SAAT BANGUN DARI DUDUK KE BERDIRI</v>
      </c>
      <c r="U2122" s="35" t="str">
        <f>IFERROR(__xludf.DUMMYFUNCTION("""COMPUTED_VALUE"""),"HABIS MOTORAN MULAI NYERI PINGGANG")</f>
        <v>HABIS MOTORAN MULAI NYERI PINGGANG</v>
      </c>
      <c r="V2122" s="37" t="str">
        <f>IFERROR(__xludf.DUMMYFUNCTION("""COMPUTED_VALUE"""),"081345261205")</f>
        <v>081345261205</v>
      </c>
      <c r="W2122" s="46"/>
    </row>
    <row r="2123">
      <c r="A2123" s="45"/>
      <c r="B2123" s="24" t="str">
        <f>IFERROR(__xludf.DUMMYFUNCTION("""COMPUTED_VALUE"""),"21/01/2025 13:47:35")</f>
        <v>21/01/2025 13:47:35</v>
      </c>
      <c r="C2123" s="35"/>
      <c r="D2123" s="10">
        <f>IFERROR(__xludf.DUMMYFUNCTION("""COMPUTED_VALUE"""),45696.0)</f>
        <v>45696</v>
      </c>
      <c r="E2123" s="35" t="str">
        <f>IFERROR(__xludf.DUMMYFUNCTION("""COMPUTED_VALUE"""),"02Feb")</f>
        <v>02Feb</v>
      </c>
      <c r="F2123" s="34" t="str">
        <f>IFERROR(__xludf.DUMMYFUNCTION("""COMPUTED_VALUE"""),"2025")</f>
        <v>2025</v>
      </c>
      <c r="G2123" s="35" t="str">
        <f>IFERROR(__xludf.DUMMYFUNCTION("""COMPUTED_VALUE"""),"FAJAR KURNIANINGSIH")</f>
        <v>FAJAR KURNIANINGSIH</v>
      </c>
      <c r="H2123" s="35" t="str">
        <f>IFERROR(__xludf.DUMMYFUNCTION("""COMPUTED_VALUE"""),"F7725026500")</f>
        <v>F7725026500</v>
      </c>
      <c r="I2123" s="35">
        <f>IFERROR(__xludf.DUMMYFUNCTION("""COMPUTED_VALUE"""),48.0)</f>
        <v>48</v>
      </c>
      <c r="J2123" s="35" t="str">
        <f>IFERROR(__xludf.DUMMYFUNCTION("""COMPUTED_VALUE"""),"&gt; 44 tahun")</f>
        <v>&gt; 44 tahun</v>
      </c>
      <c r="K2123" s="21" t="str">
        <f>IFERROR(__xludf.DUMMYFUNCTION("""COMPUTED_VALUE"""),"01/07/1977")</f>
        <v>01/07/1977</v>
      </c>
      <c r="L2123" s="21" t="str">
        <f>IFERROR(__xludf.DUMMYFUNCTION("""COMPUTED_VALUE"""),"PEREMPUAN")</f>
        <v>PEREMPUAN</v>
      </c>
      <c r="M2123" s="35" t="str">
        <f>IFERROR(__xludf.DUMMYFUNCTION("""COMPUTED_VALUE"""),"JALAN KARNA SOSIAL GANG PURWOSARI 2 NO 27 A")</f>
        <v>JALAN KARNA SOSIAL GANG PURWOSARI 2 NO 27 A</v>
      </c>
      <c r="N2123" s="35" t="str">
        <f>IFERROR(__xludf.DUMMYFUNCTION("""COMPUTED_VALUE"""),"AKCAYA")</f>
        <v>AKCAYA</v>
      </c>
      <c r="O2123" s="35" t="str">
        <f>IFERROR(__xludf.DUMMYFUNCTION("""COMPUTED_VALUE"""),"PONTIANAK SELATAN")</f>
        <v>PONTIANAK SELATAN</v>
      </c>
      <c r="P2123" s="35" t="str">
        <f>IFERROR(__xludf.DUMMYFUNCTION("""COMPUTED_VALUE"""),"KOTA PONTIANAK")</f>
        <v>KOTA PONTIANAK</v>
      </c>
      <c r="Q2123" s="35" t="str">
        <f>IFERROR(__xludf.DUMMYFUNCTION("""COMPUTED_VALUE"""),"KALIMANTAN BARAT")</f>
        <v>KALIMANTAN BARAT</v>
      </c>
      <c r="R2123" s="21" t="str">
        <f>IFERROR(__xludf.DUMMYFUNCTION("""COMPUTED_VALUE"""),"ISLAM")</f>
        <v>ISLAM</v>
      </c>
      <c r="S2123" s="16" t="str">
        <f>IFERROR(__xludf.DUMMYFUNCTION("""COMPUTED_VALUE"""),"ASN")</f>
        <v>ASN</v>
      </c>
      <c r="T2123" s="35" t="str">
        <f>IFERROR(__xludf.DUMMYFUNCTION("""COMPUTED_VALUE"""),"LENGAN KANAN NYERI JIKA DIGUNAKAN UNTUK BERAKTIVITAS")</f>
        <v>LENGAN KANAN NYERI JIKA DIGUNAKAN UNTUK BERAKTIVITAS</v>
      </c>
      <c r="U2123" s="35" t="str">
        <f>IFERROR(__xludf.DUMMYFUNCTION("""COMPUTED_VALUE"""),"PEKERJAAN RT SEHARI2 AKTIVITAS BERMOTOR SENDIRI BOLAK BALIK")</f>
        <v>PEKERJAAN RT SEHARI2 AKTIVITAS BERMOTOR SENDIRI BOLAK BALIK</v>
      </c>
      <c r="V2123" s="37" t="str">
        <f>IFERROR(__xludf.DUMMYFUNCTION("""COMPUTED_VALUE"""),"081329016500")</f>
        <v>081329016500</v>
      </c>
      <c r="W2123" s="45"/>
    </row>
    <row r="2124">
      <c r="A2124" s="45"/>
      <c r="B2124" s="24" t="str">
        <f>IFERROR(__xludf.DUMMYFUNCTION("""COMPUTED_VALUE"""),"28/01/2025 14:28:17")</f>
        <v>28/01/2025 14:28:17</v>
      </c>
      <c r="C2124" s="35"/>
      <c r="D2124" s="10">
        <f>IFERROR(__xludf.DUMMYFUNCTION("""COMPUTED_VALUE"""),45696.0)</f>
        <v>45696</v>
      </c>
      <c r="E2124" s="35" t="str">
        <f>IFERROR(__xludf.DUMMYFUNCTION("""COMPUTED_VALUE"""),"02Feb")</f>
        <v>02Feb</v>
      </c>
      <c r="F2124" s="34" t="str">
        <f>IFERROR(__xludf.DUMMYFUNCTION("""COMPUTED_VALUE"""),"2025")</f>
        <v>2025</v>
      </c>
      <c r="G2124" s="35" t="str">
        <f>IFERROR(__xludf.DUMMYFUNCTION("""COMPUTED_VALUE"""),"MEIDI AHDIYAT KARUNIA")</f>
        <v>MEIDI AHDIYAT KARUNIA</v>
      </c>
      <c r="H2124" s="35" t="str">
        <f>IFERROR(__xludf.DUMMYFUNCTION("""COMPUTED_VALUE"""),"M9325024140")</f>
        <v>M9325024140</v>
      </c>
      <c r="I2124" s="35">
        <f>IFERROR(__xludf.DUMMYFUNCTION("""COMPUTED_VALUE"""),33.0)</f>
        <v>33</v>
      </c>
      <c r="J2124" s="35" t="str">
        <f>IFERROR(__xludf.DUMMYFUNCTION("""COMPUTED_VALUE"""),"25-34 tahun")</f>
        <v>25-34 tahun</v>
      </c>
      <c r="K2124" s="21" t="str">
        <f>IFERROR(__xludf.DUMMYFUNCTION("""COMPUTED_VALUE"""),"13/05/1993")</f>
        <v>13/05/1993</v>
      </c>
      <c r="L2124" s="21" t="str">
        <f>IFERROR(__xludf.DUMMYFUNCTION("""COMPUTED_VALUE"""),"LAKI-LAKI")</f>
        <v>LAKI-LAKI</v>
      </c>
      <c r="M2124" s="35" t="str">
        <f>IFERROR(__xludf.DUMMYFUNCTION("""COMPUTED_VALUE"""),"JALAN NIPAH KUNING DALAM GG BERKAH")</f>
        <v>JALAN NIPAH KUNING DALAM GG BERKAH</v>
      </c>
      <c r="N2124" s="35" t="str">
        <f>IFERROR(__xludf.DUMMYFUNCTION("""COMPUTED_VALUE"""),"SUNGAI BELIUNG")</f>
        <v>SUNGAI BELIUNG</v>
      </c>
      <c r="O2124" s="35" t="str">
        <f>IFERROR(__xludf.DUMMYFUNCTION("""COMPUTED_VALUE"""),"PONTIANAK BARAT")</f>
        <v>PONTIANAK BARAT</v>
      </c>
      <c r="P2124" s="35" t="str">
        <f>IFERROR(__xludf.DUMMYFUNCTION("""COMPUTED_VALUE"""),"KOTA PONTIANAK")</f>
        <v>KOTA PONTIANAK</v>
      </c>
      <c r="Q2124" s="35" t="str">
        <f>IFERROR(__xludf.DUMMYFUNCTION("""COMPUTED_VALUE"""),"KALIMANTAN BARAT")</f>
        <v>KALIMANTAN BARAT</v>
      </c>
      <c r="R2124" s="21" t="str">
        <f>IFERROR(__xludf.DUMMYFUNCTION("""COMPUTED_VALUE"""),"ISLAM")</f>
        <v>ISLAM</v>
      </c>
      <c r="S2124" s="35" t="str">
        <f>IFERROR(__xludf.DUMMYFUNCTION("""COMPUTED_VALUE"""),"ASN")</f>
        <v>ASN</v>
      </c>
      <c r="T2124" s="35" t="str">
        <f>IFERROR(__xludf.DUMMYFUNCTION("""COMPUTED_VALUE"""),"SAKIT TELAPAK KAKI")</f>
        <v>SAKIT TELAPAK KAKI</v>
      </c>
      <c r="U2124" s="35" t="str">
        <f>IFERROR(__xludf.DUMMYFUNCTION("""COMPUTED_VALUE"""),"RUNNING")</f>
        <v>RUNNING</v>
      </c>
      <c r="V2124" s="37" t="str">
        <f>IFERROR(__xludf.DUMMYFUNCTION("""COMPUTED_VALUE"""),"08997684140")</f>
        <v>08997684140</v>
      </c>
      <c r="W2124" s="45"/>
    </row>
    <row r="2125">
      <c r="A2125" s="45"/>
      <c r="B2125" s="24" t="str">
        <f>IFERROR(__xludf.DUMMYFUNCTION("""COMPUTED_VALUE"""),"31/01/2025 10:32:28")</f>
        <v>31/01/2025 10:32:28</v>
      </c>
      <c r="C2125" s="35"/>
      <c r="D2125" s="10">
        <f>IFERROR(__xludf.DUMMYFUNCTION("""COMPUTED_VALUE"""),45696.0)</f>
        <v>45696</v>
      </c>
      <c r="E2125" s="35" t="str">
        <f>IFERROR(__xludf.DUMMYFUNCTION("""COMPUTED_VALUE"""),"02Feb")</f>
        <v>02Feb</v>
      </c>
      <c r="F2125" s="34" t="str">
        <f>IFERROR(__xludf.DUMMYFUNCTION("""COMPUTED_VALUE"""),"2025")</f>
        <v>2025</v>
      </c>
      <c r="G2125" s="16" t="str">
        <f>IFERROR(__xludf.DUMMYFUNCTION("""COMPUTED_VALUE"""),"EKO DARMADI")</f>
        <v>EKO DARMADI</v>
      </c>
      <c r="H2125" s="35" t="str">
        <f>IFERROR(__xludf.DUMMYFUNCTION("""COMPUTED_VALUE"""),"E8825027712")</f>
        <v>E8825027712</v>
      </c>
      <c r="I2125" s="35">
        <f>IFERROR(__xludf.DUMMYFUNCTION("""COMPUTED_VALUE"""),37.0)</f>
        <v>37</v>
      </c>
      <c r="J2125" s="35" t="str">
        <f>IFERROR(__xludf.DUMMYFUNCTION("""COMPUTED_VALUE"""),"35-44 tahun")</f>
        <v>35-44 tahun</v>
      </c>
      <c r="K2125" s="21" t="str">
        <f>IFERROR(__xludf.DUMMYFUNCTION("""COMPUTED_VALUE"""),"29/12/1988")</f>
        <v>29/12/1988</v>
      </c>
      <c r="L2125" s="19" t="str">
        <f>IFERROR(__xludf.DUMMYFUNCTION("""COMPUTED_VALUE"""),"LAKI-LAKI")</f>
        <v>LAKI-LAKI</v>
      </c>
      <c r="M2125" s="16" t="str">
        <f>IFERROR(__xludf.DUMMYFUNCTION("""COMPUTED_VALUE"""),"JL.PARIT HAJI MUKSIN 2.VILLA ANUGERAH PERMAI 3")</f>
        <v>JL.PARIT HAJI MUKSIN 2.VILLA ANUGERAH PERMAI 3</v>
      </c>
      <c r="N2125" s="35" t="str">
        <f>IFERROR(__xludf.DUMMYFUNCTION("""COMPUTED_VALUE"""),"SUNGAI RAYA")</f>
        <v>SUNGAI RAYA</v>
      </c>
      <c r="O2125" s="35" t="str">
        <f>IFERROR(__xludf.DUMMYFUNCTION("""COMPUTED_VALUE"""),"SUNGAI RAYA")</f>
        <v>SUNGAI RAYA</v>
      </c>
      <c r="P2125" s="35" t="str">
        <f>IFERROR(__xludf.DUMMYFUNCTION("""COMPUTED_VALUE"""),"KOTA PONTIANAK")</f>
        <v>KOTA PONTIANAK</v>
      </c>
      <c r="Q2125" s="35" t="str">
        <f>IFERROR(__xludf.DUMMYFUNCTION("""COMPUTED_VALUE"""),"KALIMANTAN BARAT")</f>
        <v>KALIMANTAN BARAT</v>
      </c>
      <c r="R2125" s="21" t="str">
        <f>IFERROR(__xludf.DUMMYFUNCTION("""COMPUTED_VALUE"""),"ISLAM")</f>
        <v>ISLAM</v>
      </c>
      <c r="S2125" s="16" t="str">
        <f>IFERROR(__xludf.DUMMYFUNCTION("""COMPUTED_VALUE"""),"SWASTA")</f>
        <v>SWASTA</v>
      </c>
      <c r="T2125" s="16" t="str">
        <f>IFERROR(__xludf.DUMMYFUNCTION("""COMPUTED_VALUE"""),"CEDRA LUTUT BENGKAK SUDAH 5 BULAN &amp; SUSAH DITEKUK,SAKIT NYA SAMPAI KE PINGGANG")</f>
        <v>CEDRA LUTUT BENGKAK SUDAH 5 BULAN &amp; SUSAH DITEKUK,SAKIT NYA SAMPAI KE PINGGANG</v>
      </c>
      <c r="U2125" s="35" t="str">
        <f>IFERROR(__xludf.DUMMYFUNCTION("""COMPUTED_VALUE"""),"HOBI OLAH RAGA/ AKTIFITAS BEKERJA")</f>
        <v>HOBI OLAH RAGA/ AKTIFITAS BEKERJA</v>
      </c>
      <c r="V2125" s="37" t="str">
        <f>IFERROR(__xludf.DUMMYFUNCTION("""COMPUTED_VALUE"""),"085252217712")</f>
        <v>085252217712</v>
      </c>
      <c r="W2125" s="45"/>
    </row>
    <row r="2126">
      <c r="A2126" s="45"/>
      <c r="B2126" s="24" t="str">
        <f>IFERROR(__xludf.DUMMYFUNCTION("""COMPUTED_VALUE"""),"31/01/2025 13:06:50")</f>
        <v>31/01/2025 13:06:50</v>
      </c>
      <c r="C2126" s="35"/>
      <c r="D2126" s="10">
        <f>IFERROR(__xludf.DUMMYFUNCTION("""COMPUTED_VALUE"""),45696.0)</f>
        <v>45696</v>
      </c>
      <c r="E2126" s="35" t="str">
        <f>IFERROR(__xludf.DUMMYFUNCTION("""COMPUTED_VALUE"""),"02Feb")</f>
        <v>02Feb</v>
      </c>
      <c r="F2126" s="34" t="str">
        <f>IFERROR(__xludf.DUMMYFUNCTION("""COMPUTED_VALUE"""),"2025")</f>
        <v>2025</v>
      </c>
      <c r="G2126" s="16" t="str">
        <f>IFERROR(__xludf.DUMMYFUNCTION("""COMPUTED_VALUE"""),"JAFAR MUSTOPA")</f>
        <v>JAFAR MUSTOPA</v>
      </c>
      <c r="H2126" s="35" t="str">
        <f>IFERROR(__xludf.DUMMYFUNCTION("""COMPUTED_VALUE"""),"J872502")</f>
        <v>J872502</v>
      </c>
      <c r="I2126" s="35">
        <f>IFERROR(__xludf.DUMMYFUNCTION("""COMPUTED_VALUE"""),38.0)</f>
        <v>38</v>
      </c>
      <c r="J2126" s="35" t="str">
        <f>IFERROR(__xludf.DUMMYFUNCTION("""COMPUTED_VALUE"""),"35-44 tahun")</f>
        <v>35-44 tahun</v>
      </c>
      <c r="K2126" s="44">
        <f>IFERROR(__xludf.DUMMYFUNCTION("""COMPUTED_VALUE"""),32019.0)</f>
        <v>32019</v>
      </c>
      <c r="L2126" s="19" t="str">
        <f>IFERROR(__xludf.DUMMYFUNCTION("""COMPUTED_VALUE"""),"LAKI-LAKI")</f>
        <v>LAKI-LAKI</v>
      </c>
      <c r="M2126" s="16" t="str">
        <f>IFERROR(__xludf.DUMMYFUNCTION("""COMPUTED_VALUE"""),"JL. 28 OKTOBER")</f>
        <v>JL. 28 OKTOBER</v>
      </c>
      <c r="N2126" s="35" t="str">
        <f>IFERROR(__xludf.DUMMYFUNCTION("""COMPUTED_VALUE"""),"SIANTAN HULU")</f>
        <v>SIANTAN HULU</v>
      </c>
      <c r="O2126" s="35" t="str">
        <f>IFERROR(__xludf.DUMMYFUNCTION("""COMPUTED_VALUE"""),"PONTIANAK UTARA")</f>
        <v>PONTIANAK UTARA</v>
      </c>
      <c r="P2126" s="35" t="str">
        <f>IFERROR(__xludf.DUMMYFUNCTION("""COMPUTED_VALUE"""),"KOTA PONTIANAK")</f>
        <v>KOTA PONTIANAK</v>
      </c>
      <c r="Q2126" s="35" t="str">
        <f>IFERROR(__xludf.DUMMYFUNCTION("""COMPUTED_VALUE"""),"KALIMANTAN BARAT")</f>
        <v>KALIMANTAN BARAT</v>
      </c>
      <c r="R2126" s="21" t="str">
        <f>IFERROR(__xludf.DUMMYFUNCTION("""COMPUTED_VALUE"""),"ISLAM")</f>
        <v>ISLAM</v>
      </c>
      <c r="S2126" s="16" t="str">
        <f>IFERROR(__xludf.DUMMYFUNCTION("""COMPUTED_VALUE"""),"WIRASWASTA")</f>
        <v>WIRASWASTA</v>
      </c>
      <c r="T2126" s="16" t="str">
        <f>IFERROR(__xludf.DUMMYFUNCTION("""COMPUTED_VALUE"""),"PINGGANG")</f>
        <v>PINGGANG</v>
      </c>
      <c r="U2126" s="16"/>
      <c r="V2126" s="16"/>
      <c r="W2126" s="45"/>
    </row>
    <row r="2127">
      <c r="A2127" s="45"/>
      <c r="B2127" s="24" t="str">
        <f>IFERROR(__xludf.DUMMYFUNCTION("""COMPUTED_VALUE"""),"26/01/2025 18:00:17")</f>
        <v>26/01/2025 18:00:17</v>
      </c>
      <c r="C2127" s="35"/>
      <c r="D2127" s="10">
        <f>IFERROR(__xludf.DUMMYFUNCTION("""COMPUTED_VALUE"""),45697.0)</f>
        <v>45697</v>
      </c>
      <c r="E2127" s="35" t="str">
        <f>IFERROR(__xludf.DUMMYFUNCTION("""COMPUTED_VALUE"""),"02Feb")</f>
        <v>02Feb</v>
      </c>
      <c r="F2127" s="34" t="str">
        <f>IFERROR(__xludf.DUMMYFUNCTION("""COMPUTED_VALUE"""),"2025")</f>
        <v>2025</v>
      </c>
      <c r="G2127" s="35" t="str">
        <f>IFERROR(__xludf.DUMMYFUNCTION("""COMPUTED_VALUE"""),"EKO WAHYUDI")</f>
        <v>EKO WAHYUDI</v>
      </c>
      <c r="H2127" s="35" t="str">
        <f>IFERROR(__xludf.DUMMYFUNCTION("""COMPUTED_VALUE"""),"E9825027790")</f>
        <v>E9825027790</v>
      </c>
      <c r="I2127" s="35">
        <f>IFERROR(__xludf.DUMMYFUNCTION("""COMPUTED_VALUE"""),27.0)</f>
        <v>27</v>
      </c>
      <c r="J2127" s="35" t="str">
        <f>IFERROR(__xludf.DUMMYFUNCTION("""COMPUTED_VALUE"""),"25-34 tahun")</f>
        <v>25-34 tahun</v>
      </c>
      <c r="K2127" s="21" t="str">
        <f>IFERROR(__xludf.DUMMYFUNCTION("""COMPUTED_VALUE"""),"27/12/1998")</f>
        <v>27/12/1998</v>
      </c>
      <c r="L2127" s="21" t="str">
        <f>IFERROR(__xludf.DUMMYFUNCTION("""COMPUTED_VALUE"""),"LAKI-LAKI")</f>
        <v>LAKI-LAKI</v>
      </c>
      <c r="M2127" s="35" t="str">
        <f>IFERROR(__xludf.DUMMYFUNCTION("""COMPUTED_VALUE"""),"JL RAYA KAPUR GG LESTARI")</f>
        <v>JL RAYA KAPUR GG LESTARI</v>
      </c>
      <c r="N2127" s="35" t="str">
        <f>IFERROR(__xludf.DUMMYFUNCTION("""COMPUTED_VALUE"""),"MEKAR BARU")</f>
        <v>MEKAR BARU</v>
      </c>
      <c r="O2127" s="35" t="str">
        <f>IFERROR(__xludf.DUMMYFUNCTION("""COMPUTED_VALUE"""),"SUNGAI RAYA")</f>
        <v>SUNGAI RAYA</v>
      </c>
      <c r="P2127" s="35" t="str">
        <f>IFERROR(__xludf.DUMMYFUNCTION("""COMPUTED_VALUE"""),"KUBU RAYA")</f>
        <v>KUBU RAYA</v>
      </c>
      <c r="Q2127" s="35" t="str">
        <f>IFERROR(__xludf.DUMMYFUNCTION("""COMPUTED_VALUE"""),"KALIMANTAN BARAT")</f>
        <v>KALIMANTAN BARAT</v>
      </c>
      <c r="R2127" s="21" t="str">
        <f>IFERROR(__xludf.DUMMYFUNCTION("""COMPUTED_VALUE"""),"ISLAM")</f>
        <v>ISLAM</v>
      </c>
      <c r="S2127" s="16" t="str">
        <f>IFERROR(__xludf.DUMMYFUNCTION("""COMPUTED_VALUE"""),"SWASTA")</f>
        <v>SWASTA</v>
      </c>
      <c r="T2127" s="16" t="str">
        <f>IFERROR(__xludf.DUMMYFUNCTION("""COMPUTED_VALUE"""),"LUTUT BENGKAK")</f>
        <v>LUTUT BENGKAK</v>
      </c>
      <c r="U2127" s="35" t="str">
        <f>IFERROR(__xludf.DUMMYFUNCTION("""COMPUTED_VALUE"""),"SEPAK BOLA")</f>
        <v>SEPAK BOLA</v>
      </c>
      <c r="V2127" s="37" t="str">
        <f>IFERROR(__xludf.DUMMYFUNCTION("""COMPUTED_VALUE"""),"081522807790")</f>
        <v>081522807790</v>
      </c>
      <c r="W2127" s="45"/>
    </row>
    <row r="2128">
      <c r="A2128" s="45"/>
      <c r="B2128" s="24" t="str">
        <f>IFERROR(__xludf.DUMMYFUNCTION("""COMPUTED_VALUE"""),"27/01/2025 22:16:56")</f>
        <v>27/01/2025 22:16:56</v>
      </c>
      <c r="C2128" s="35"/>
      <c r="D2128" s="10">
        <f>IFERROR(__xludf.DUMMYFUNCTION("""COMPUTED_VALUE"""),45697.0)</f>
        <v>45697</v>
      </c>
      <c r="E2128" s="35" t="str">
        <f>IFERROR(__xludf.DUMMYFUNCTION("""COMPUTED_VALUE"""),"02Feb")</f>
        <v>02Feb</v>
      </c>
      <c r="F2128" s="34" t="str">
        <f>IFERROR(__xludf.DUMMYFUNCTION("""COMPUTED_VALUE"""),"2025")</f>
        <v>2025</v>
      </c>
      <c r="G2128" s="35" t="str">
        <f>IFERROR(__xludf.DUMMYFUNCTION("""COMPUTED_VALUE"""),"IKHSAN SYAMSI")</f>
        <v>IKHSAN SYAMSI</v>
      </c>
      <c r="H2128" s="35" t="str">
        <f>IFERROR(__xludf.DUMMYFUNCTION("""COMPUTED_VALUE"""),"I7225027415")</f>
        <v>I7225027415</v>
      </c>
      <c r="I2128" s="35">
        <f>IFERROR(__xludf.DUMMYFUNCTION("""COMPUTED_VALUE"""),53.0)</f>
        <v>53</v>
      </c>
      <c r="J2128" s="35" t="str">
        <f>IFERROR(__xludf.DUMMYFUNCTION("""COMPUTED_VALUE"""),"&gt; 44 tahun")</f>
        <v>&gt; 44 tahun</v>
      </c>
      <c r="K2128" s="21" t="str">
        <f>IFERROR(__xludf.DUMMYFUNCTION("""COMPUTED_VALUE"""),"22/10/1972")</f>
        <v>22/10/1972</v>
      </c>
      <c r="L2128" s="21" t="str">
        <f>IFERROR(__xludf.DUMMYFUNCTION("""COMPUTED_VALUE"""),"LAKI-LAKI")</f>
        <v>LAKI-LAKI</v>
      </c>
      <c r="M2128" s="35" t="str">
        <f>IFERROR(__xludf.DUMMYFUNCTION("""COMPUTED_VALUE"""),"DR. WAHIDIN NO 2")</f>
        <v>DR. WAHIDIN NO 2</v>
      </c>
      <c r="N2128" s="35" t="str">
        <f>IFERROR(__xludf.DUMMYFUNCTION("""COMPUTED_VALUE"""),"SUNGAI JAWI")</f>
        <v>SUNGAI JAWI</v>
      </c>
      <c r="O2128" s="35" t="str">
        <f>IFERROR(__xludf.DUMMYFUNCTION("""COMPUTED_VALUE"""),"PONTIANAK KOTA")</f>
        <v>PONTIANAK KOTA</v>
      </c>
      <c r="P2128" s="35" t="str">
        <f>IFERROR(__xludf.DUMMYFUNCTION("""COMPUTED_VALUE"""),"PONTIANAK")</f>
        <v>PONTIANAK</v>
      </c>
      <c r="Q2128" s="35" t="str">
        <f>IFERROR(__xludf.DUMMYFUNCTION("""COMPUTED_VALUE"""),"KALIMANTAN BARAT")</f>
        <v>KALIMANTAN BARAT</v>
      </c>
      <c r="R2128" s="21" t="str">
        <f>IFERROR(__xludf.DUMMYFUNCTION("""COMPUTED_VALUE"""),"ISLAM")</f>
        <v>ISLAM</v>
      </c>
      <c r="S2128" s="35" t="str">
        <f>IFERROR(__xludf.DUMMYFUNCTION("""COMPUTED_VALUE"""),"SWASTA")</f>
        <v>SWASTA</v>
      </c>
      <c r="T2128" s="35" t="str">
        <f>IFERROR(__xludf.DUMMYFUNCTION("""COMPUTED_VALUE"""),"LUTUT NGILU")</f>
        <v>LUTUT NGILU</v>
      </c>
      <c r="U2128" s="35" t="str">
        <f>IFERROR(__xludf.DUMMYFUNCTION("""COMPUTED_VALUE"""),"BELA DIRI")</f>
        <v>BELA DIRI</v>
      </c>
      <c r="V2128" s="37" t="str">
        <f>IFERROR(__xludf.DUMMYFUNCTION("""COMPUTED_VALUE"""),"085386167415")</f>
        <v>085386167415</v>
      </c>
      <c r="W2128" s="45"/>
    </row>
    <row r="2129">
      <c r="A2129" s="45"/>
      <c r="B2129" s="24" t="str">
        <f>IFERROR(__xludf.DUMMYFUNCTION("""COMPUTED_VALUE"""),"18/01/2025 12:27:31")</f>
        <v>18/01/2025 12:27:31</v>
      </c>
      <c r="C2129" s="35"/>
      <c r="D2129" s="10">
        <f>IFERROR(__xludf.DUMMYFUNCTION("""COMPUTED_VALUE"""),45697.0)</f>
        <v>45697</v>
      </c>
      <c r="E2129" s="35" t="str">
        <f>IFERROR(__xludf.DUMMYFUNCTION("""COMPUTED_VALUE"""),"02Feb")</f>
        <v>02Feb</v>
      </c>
      <c r="F2129" s="34" t="str">
        <f>IFERROR(__xludf.DUMMYFUNCTION("""COMPUTED_VALUE"""),"2025")</f>
        <v>2025</v>
      </c>
      <c r="G2129" s="35" t="str">
        <f>IFERROR(__xludf.DUMMYFUNCTION("""COMPUTED_VALUE"""),"RIFQI AUNUR RAHMAN")</f>
        <v>RIFQI AUNUR RAHMAN</v>
      </c>
      <c r="H2129" s="35" t="str">
        <f>IFERROR(__xludf.DUMMYFUNCTION("""COMPUTED_VALUE"""),"R1125029192")</f>
        <v>R1125029192</v>
      </c>
      <c r="I2129" s="35">
        <f>IFERROR(__xludf.DUMMYFUNCTION("""COMPUTED_VALUE"""),14.0)</f>
        <v>14</v>
      </c>
      <c r="J2129" s="35" t="str">
        <f>IFERROR(__xludf.DUMMYFUNCTION("""COMPUTED_VALUE"""),"&lt; 18 tahun")</f>
        <v>&lt; 18 tahun</v>
      </c>
      <c r="K2129" s="21">
        <f>IFERROR(__xludf.DUMMYFUNCTION("""COMPUTED_VALUE"""),40832.0)</f>
        <v>40832</v>
      </c>
      <c r="L2129" s="21" t="str">
        <f>IFERROR(__xludf.DUMMYFUNCTION("""COMPUTED_VALUE"""),"LAKI-LAKI")</f>
        <v>LAKI-LAKI</v>
      </c>
      <c r="M2129" s="35" t="str">
        <f>IFERROR(__xludf.DUMMYFUNCTION("""COMPUTED_VALUE"""),"Jl. A. YANI SEPAKAT 2 KOMPL. VILLA SEPAKAT NO. 4-D")</f>
        <v>Jl. A. YANI SEPAKAT 2 KOMPL. VILLA SEPAKAT NO. 4-D</v>
      </c>
      <c r="N2129" s="35" t="str">
        <f>IFERROR(__xludf.DUMMYFUNCTION("""COMPUTED_VALUE"""),"BANSIR DARAT")</f>
        <v>BANSIR DARAT</v>
      </c>
      <c r="O2129" s="35" t="str">
        <f>IFERROR(__xludf.DUMMYFUNCTION("""COMPUTED_VALUE"""),"PONTIANAK TENGGARA")</f>
        <v>PONTIANAK TENGGARA</v>
      </c>
      <c r="P2129" s="35" t="str">
        <f>IFERROR(__xludf.DUMMYFUNCTION("""COMPUTED_VALUE"""),"KOTA PONTIANAK")</f>
        <v>KOTA PONTIANAK</v>
      </c>
      <c r="Q2129" s="35" t="str">
        <f>IFERROR(__xludf.DUMMYFUNCTION("""COMPUTED_VALUE"""),"KALIMANTAN BARAT")</f>
        <v>KALIMANTAN BARAT</v>
      </c>
      <c r="R2129" s="21" t="str">
        <f>IFERROR(__xludf.DUMMYFUNCTION("""COMPUTED_VALUE"""),"ISLAM")</f>
        <v>ISLAM</v>
      </c>
      <c r="S2129" s="35" t="str">
        <f>IFERROR(__xludf.DUMMYFUNCTION("""COMPUTED_VALUE"""),"PELAJAR/MAHASISWA")</f>
        <v>PELAJAR/MAHASISWA</v>
      </c>
      <c r="T2129" s="35" t="str">
        <f>IFERROR(__xludf.DUMMYFUNCTION("""COMPUTED_VALUE"""),"JARI KESELEO")</f>
        <v>JARI KESELEO</v>
      </c>
      <c r="U2129" s="35" t="str">
        <f>IFERROR(__xludf.DUMMYFUNCTION("""COMPUTED_VALUE"""),"BOLA/FUTSAL")</f>
        <v>BOLA/FUTSAL</v>
      </c>
      <c r="V2129" s="37" t="str">
        <f>IFERROR(__xludf.DUMMYFUNCTION("""COMPUTED_VALUE"""),"081257459192")</f>
        <v>081257459192</v>
      </c>
      <c r="W2129" s="45"/>
    </row>
    <row r="2130">
      <c r="A2130" s="45"/>
      <c r="B2130" s="24">
        <f>IFERROR(__xludf.DUMMYFUNCTION("""COMPUTED_VALUE"""),45672.42017224537)</f>
        <v>45672.42017</v>
      </c>
      <c r="C2130" s="35"/>
      <c r="D2130" s="10">
        <f>IFERROR(__xludf.DUMMYFUNCTION("""COMPUTED_VALUE"""),45699.0)</f>
        <v>45699</v>
      </c>
      <c r="E2130" s="35" t="str">
        <f>IFERROR(__xludf.DUMMYFUNCTION("""COMPUTED_VALUE"""),"02Feb")</f>
        <v>02Feb</v>
      </c>
      <c r="F2130" s="34" t="str">
        <f>IFERROR(__xludf.DUMMYFUNCTION("""COMPUTED_VALUE"""),"2025")</f>
        <v>2025</v>
      </c>
      <c r="G2130" s="35" t="str">
        <f>IFERROR(__xludf.DUMMYFUNCTION("""COMPUTED_VALUE"""),"RIO HARIS SETIAWAN")</f>
        <v>RIO HARIS SETIAWAN</v>
      </c>
      <c r="H2130" s="35" t="str">
        <f>IFERROR(__xludf.DUMMYFUNCTION("""COMPUTED_VALUE"""),"R8825027949")</f>
        <v>R8825027949</v>
      </c>
      <c r="I2130" s="35">
        <f>IFERROR(__xludf.DUMMYFUNCTION("""COMPUTED_VALUE"""),37.0)</f>
        <v>37</v>
      </c>
      <c r="J2130" s="35" t="str">
        <f>IFERROR(__xludf.DUMMYFUNCTION("""COMPUTED_VALUE"""),"35-44 tahun")</f>
        <v>35-44 tahun</v>
      </c>
      <c r="K2130" s="21">
        <f>IFERROR(__xludf.DUMMYFUNCTION("""COMPUTED_VALUE"""),32336.0)</f>
        <v>32336</v>
      </c>
      <c r="L2130" s="21" t="str">
        <f>IFERROR(__xludf.DUMMYFUNCTION("""COMPUTED_VALUE"""),"LAKI-LAKI")</f>
        <v>LAKI-LAKI</v>
      </c>
      <c r="M2130" s="35" t="str">
        <f>IFERROR(__xludf.DUMMYFUNCTION("""COMPUTED_VALUE"""),"JL. PUTRI CANDRAMIDI GG. NURCAHAYA NO. 42")</f>
        <v>JL. PUTRI CANDRAMIDI GG. NURCAHAYA NO. 42</v>
      </c>
      <c r="N2130" s="35" t="str">
        <f>IFERROR(__xludf.DUMMYFUNCTION("""COMPUTED_VALUE"""),"SUNGAI BANGKONG")</f>
        <v>SUNGAI BANGKONG</v>
      </c>
      <c r="O2130" s="35" t="str">
        <f>IFERROR(__xludf.DUMMYFUNCTION("""COMPUTED_VALUE"""),"PONTIANAK KOTA")</f>
        <v>PONTIANAK KOTA</v>
      </c>
      <c r="P2130" s="35" t="str">
        <f>IFERROR(__xludf.DUMMYFUNCTION("""COMPUTED_VALUE"""),"PONTIANAK")</f>
        <v>PONTIANAK</v>
      </c>
      <c r="Q2130" s="35" t="str">
        <f>IFERROR(__xludf.DUMMYFUNCTION("""COMPUTED_VALUE"""),"KALIMANTAN BARAT")</f>
        <v>KALIMANTAN BARAT</v>
      </c>
      <c r="R2130" s="21" t="str">
        <f>IFERROR(__xludf.DUMMYFUNCTION("""COMPUTED_VALUE"""),"ISLAM")</f>
        <v>ISLAM</v>
      </c>
      <c r="S2130" s="35" t="str">
        <f>IFERROR(__xludf.DUMMYFUNCTION("""COMPUTED_VALUE"""),"BUMD")</f>
        <v>BUMD</v>
      </c>
      <c r="T2130" s="35" t="str">
        <f>IFERROR(__xludf.DUMMYFUNCTION("""COMPUTED_VALUE"""),"OTOT PAHA KIRI SEKITARAN LUTUT KEATAS TEGANG")</f>
        <v>OTOT PAHA KIRI SEKITARAN LUTUT KEATAS TEGANG</v>
      </c>
      <c r="U2130" s="35" t="str">
        <f>IFERROR(__xludf.DUMMYFUNCTION("""COMPUTED_VALUE"""),"OLAH RAGA")</f>
        <v>OLAH RAGA</v>
      </c>
      <c r="V2130" s="37" t="str">
        <f>IFERROR(__xludf.DUMMYFUNCTION("""COMPUTED_VALUE"""),"85245557949")</f>
        <v>85245557949</v>
      </c>
      <c r="W2130" s="45"/>
    </row>
    <row r="2131">
      <c r="A2131" s="45"/>
      <c r="B2131" s="24">
        <f>IFERROR(__xludf.DUMMYFUNCTION("""COMPUTED_VALUE"""),45676.43229210648)</f>
        <v>45676.43229</v>
      </c>
      <c r="C2131" s="35"/>
      <c r="D2131" s="10">
        <f>IFERROR(__xludf.DUMMYFUNCTION("""COMPUTED_VALUE"""),45699.0)</f>
        <v>45699</v>
      </c>
      <c r="E2131" s="35" t="str">
        <f>IFERROR(__xludf.DUMMYFUNCTION("""COMPUTED_VALUE"""),"02Feb")</f>
        <v>02Feb</v>
      </c>
      <c r="F2131" s="34" t="str">
        <f>IFERROR(__xludf.DUMMYFUNCTION("""COMPUTED_VALUE"""),"2025")</f>
        <v>2025</v>
      </c>
      <c r="G2131" s="35" t="str">
        <f>IFERROR(__xludf.DUMMYFUNCTION("""COMPUTED_VALUE"""),"ZULKIFLI 9302")</f>
        <v>ZULKIFLI 9302</v>
      </c>
      <c r="H2131" s="35" t="str">
        <f>IFERROR(__xludf.DUMMYFUNCTION("""COMPUTED_VALUE"""),"Z9325021191")</f>
        <v>Z9325021191</v>
      </c>
      <c r="I2131" s="35">
        <f>IFERROR(__xludf.DUMMYFUNCTION("""COMPUTED_VALUE"""),33.0)</f>
        <v>33</v>
      </c>
      <c r="J2131" s="35" t="str">
        <f>IFERROR(__xludf.DUMMYFUNCTION("""COMPUTED_VALUE"""),"25-34 tahun")</f>
        <v>25-34 tahun</v>
      </c>
      <c r="K2131" s="21" t="str">
        <f>IFERROR(__xludf.DUMMYFUNCTION("""COMPUTED_VALUE"""),"01/02/1993")</f>
        <v>01/02/1993</v>
      </c>
      <c r="L2131" s="21" t="str">
        <f>IFERROR(__xludf.DUMMYFUNCTION("""COMPUTED_VALUE"""),"LAKI-LAKI")</f>
        <v>LAKI-LAKI</v>
      </c>
      <c r="M2131" s="35" t="str">
        <f>IFERROR(__xludf.DUMMYFUNCTION("""COMPUTED_VALUE"""),"JL. KH WAHID HASYIM NO.182")</f>
        <v>JL. KH WAHID HASYIM NO.182</v>
      </c>
      <c r="N2131" s="35" t="str">
        <f>IFERROR(__xludf.DUMMYFUNCTION("""COMPUTED_VALUE"""),"SUNGAI JAWI")</f>
        <v>SUNGAI JAWI</v>
      </c>
      <c r="O2131" s="35" t="str">
        <f>IFERROR(__xludf.DUMMYFUNCTION("""COMPUTED_VALUE"""),"PONTIANAK KOTA")</f>
        <v>PONTIANAK KOTA</v>
      </c>
      <c r="P2131" s="35" t="str">
        <f>IFERROR(__xludf.DUMMYFUNCTION("""COMPUTED_VALUE"""),"PONTIANAK")</f>
        <v>PONTIANAK</v>
      </c>
      <c r="Q2131" s="35" t="str">
        <f>IFERROR(__xludf.DUMMYFUNCTION("""COMPUTED_VALUE"""),"KALIMANTAN BARAT")</f>
        <v>KALIMANTAN BARAT</v>
      </c>
      <c r="R2131" s="21" t="str">
        <f>IFERROR(__xludf.DUMMYFUNCTION("""COMPUTED_VALUE"""),"ISLAM")</f>
        <v>ISLAM</v>
      </c>
      <c r="S2131" s="35" t="str">
        <f>IFERROR(__xludf.DUMMYFUNCTION("""COMPUTED_VALUE"""),"SWASTA")</f>
        <v>SWASTA</v>
      </c>
      <c r="T2131" s="35" t="str">
        <f>IFERROR(__xludf.DUMMYFUNCTION("""COMPUTED_VALUE"""),"NYERI HABIS HALF MARATHON")</f>
        <v>NYERI HABIS HALF MARATHON</v>
      </c>
      <c r="U2131" s="35" t="str">
        <f>IFERROR(__xludf.DUMMYFUNCTION("""COMPUTED_VALUE"""),"LARI")</f>
        <v>LARI</v>
      </c>
      <c r="V2131" s="37" t="str">
        <f>IFERROR(__xludf.DUMMYFUNCTION("""COMPUTED_VALUE"""),"085242111191")</f>
        <v>085242111191</v>
      </c>
      <c r="W2131" s="45"/>
    </row>
    <row r="2132">
      <c r="A2132" s="45"/>
      <c r="B2132" s="24" t="str">
        <f>IFERROR(__xludf.DUMMYFUNCTION("""COMPUTED_VALUE"""),"17/01/2025 10:13:35")</f>
        <v>17/01/2025 10:13:35</v>
      </c>
      <c r="C2132" s="35"/>
      <c r="D2132" s="10">
        <f>IFERROR(__xludf.DUMMYFUNCTION("""COMPUTED_VALUE"""),45699.0)</f>
        <v>45699</v>
      </c>
      <c r="E2132" s="35" t="str">
        <f>IFERROR(__xludf.DUMMYFUNCTION("""COMPUTED_VALUE"""),"02Feb")</f>
        <v>02Feb</v>
      </c>
      <c r="F2132" s="34" t="str">
        <f>IFERROR(__xludf.DUMMYFUNCTION("""COMPUTED_VALUE"""),"2025")</f>
        <v>2025</v>
      </c>
      <c r="G2132" s="35" t="str">
        <f>IFERROR(__xludf.DUMMYFUNCTION("""COMPUTED_VALUE"""),"SHANE VICILIA SIM")</f>
        <v>SHANE VICILIA SIM</v>
      </c>
      <c r="H2132" s="35" t="str">
        <f>IFERROR(__xludf.DUMMYFUNCTION("""COMPUTED_VALUE"""),"S1525026960")</f>
        <v>S1525026960</v>
      </c>
      <c r="I2132" s="35">
        <f>IFERROR(__xludf.DUMMYFUNCTION("""COMPUTED_VALUE"""),10.0)</f>
        <v>10</v>
      </c>
      <c r="J2132" s="35" t="str">
        <f>IFERROR(__xludf.DUMMYFUNCTION("""COMPUTED_VALUE"""),"&lt; 18 tahun")</f>
        <v>&lt; 18 tahun</v>
      </c>
      <c r="K2132" s="21" t="str">
        <f>IFERROR(__xludf.DUMMYFUNCTION("""COMPUTED_VALUE"""),"25/09/2015")</f>
        <v>25/09/2015</v>
      </c>
      <c r="L2132" s="21" t="str">
        <f>IFERROR(__xludf.DUMMYFUNCTION("""COMPUTED_VALUE"""),"PEREMPUAN")</f>
        <v>PEREMPUAN</v>
      </c>
      <c r="M2132" s="35" t="str">
        <f>IFERROR(__xludf.DUMMYFUNCTION("""COMPUTED_VALUE"""),"KOMPLEK ASABRI PERMAI A18")</f>
        <v>KOMPLEK ASABRI PERMAI A18</v>
      </c>
      <c r="N2132" s="35" t="str">
        <f>IFERROR(__xludf.DUMMYFUNCTION("""COMPUTED_VALUE"""),"SEI RAYA DALAM")</f>
        <v>SEI RAYA DALAM</v>
      </c>
      <c r="O2132" s="35" t="str">
        <f>IFERROR(__xludf.DUMMYFUNCTION("""COMPUTED_VALUE"""),"SEI RAYA")</f>
        <v>SEI RAYA</v>
      </c>
      <c r="P2132" s="35" t="str">
        <f>IFERROR(__xludf.DUMMYFUNCTION("""COMPUTED_VALUE"""),"KUBU RAYA")</f>
        <v>KUBU RAYA</v>
      </c>
      <c r="Q2132" s="35" t="str">
        <f>IFERROR(__xludf.DUMMYFUNCTION("""COMPUTED_VALUE"""),"KALIMANTAN BARAT")</f>
        <v>KALIMANTAN BARAT</v>
      </c>
      <c r="R2132" s="21" t="str">
        <f>IFERROR(__xludf.DUMMYFUNCTION("""COMPUTED_VALUE"""),"KATOLIK")</f>
        <v>KATOLIK</v>
      </c>
      <c r="S2132" s="35" t="str">
        <f>IFERROR(__xludf.DUMMYFUNCTION("""COMPUTED_VALUE"""),"PELAJAR/MAHASISWA")</f>
        <v>PELAJAR/MAHASISWA</v>
      </c>
      <c r="T2132" s="35" t="str">
        <f>IFERROR(__xludf.DUMMYFUNCTION("""COMPUTED_VALUE"""),"SEPERTI GEJALA BELL PALSY, MUKA KURANG BISA SENYUM SDBELAH KIRI, MATA TIDAK BISA TUTUP RAPAT SEBELAH KIRI")</f>
        <v>SEPERTI GEJALA BELL PALSY, MUKA KURANG BISA SENYUM SDBELAH KIRI, MATA TIDAK BISA TUTUP RAPAT SEBELAH KIRI</v>
      </c>
      <c r="U2132" s="35" t="str">
        <f>IFERROR(__xludf.DUMMYFUNCTION("""COMPUTED_VALUE"""),"BERNYANYI DAN CELOTEH")</f>
        <v>BERNYANYI DAN CELOTEH</v>
      </c>
      <c r="V2132" s="37" t="str">
        <f>IFERROR(__xludf.DUMMYFUNCTION("""COMPUTED_VALUE"""),"081345666960")</f>
        <v>081345666960</v>
      </c>
      <c r="W2132" s="45"/>
    </row>
    <row r="2133">
      <c r="A2133" s="45"/>
      <c r="B2133" s="24" t="str">
        <f>IFERROR(__xludf.DUMMYFUNCTION("""COMPUTED_VALUE"""),"19/01/2025 11:23:21")</f>
        <v>19/01/2025 11:23:21</v>
      </c>
      <c r="C2133" s="35"/>
      <c r="D2133" s="10">
        <f>IFERROR(__xludf.DUMMYFUNCTION("""COMPUTED_VALUE"""),45699.0)</f>
        <v>45699</v>
      </c>
      <c r="E2133" s="35" t="str">
        <f>IFERROR(__xludf.DUMMYFUNCTION("""COMPUTED_VALUE"""),"02Feb")</f>
        <v>02Feb</v>
      </c>
      <c r="F2133" s="34" t="str">
        <f>IFERROR(__xludf.DUMMYFUNCTION("""COMPUTED_VALUE"""),"2025")</f>
        <v>2025</v>
      </c>
      <c r="G2133" s="35" t="str">
        <f>IFERROR(__xludf.DUMMYFUNCTION("""COMPUTED_VALUE"""),"HENDI GUSNADI")</f>
        <v>HENDI GUSNADI</v>
      </c>
      <c r="H2133" s="35" t="str">
        <f>IFERROR(__xludf.DUMMYFUNCTION("""COMPUTED_VALUE"""),"H0025022473")</f>
        <v>H0025022473</v>
      </c>
      <c r="I2133" s="35">
        <f>IFERROR(__xludf.DUMMYFUNCTION("""COMPUTED_VALUE"""),26.0)</f>
        <v>26</v>
      </c>
      <c r="J2133" s="35" t="str">
        <f>IFERROR(__xludf.DUMMYFUNCTION("""COMPUTED_VALUE"""),"25-34 tahun")</f>
        <v>25-34 tahun</v>
      </c>
      <c r="K2133" s="21" t="str">
        <f>IFERROR(__xludf.DUMMYFUNCTION("""COMPUTED_VALUE"""),"03/06/2000")</f>
        <v>03/06/2000</v>
      </c>
      <c r="L2133" s="21" t="str">
        <f>IFERROR(__xludf.DUMMYFUNCTION("""COMPUTED_VALUE"""),"LAKI-LAKI")</f>
        <v>LAKI-LAKI</v>
      </c>
      <c r="M2133" s="35" t="str">
        <f>IFERROR(__xludf.DUMMYFUNCTION("""COMPUTED_VALUE"""),"JL. PAK BENCENG KOMPLEK KOTA VILLA 2 NO A6")</f>
        <v>JL. PAK BENCENG KOMPLEK KOTA VILLA 2 NO A6</v>
      </c>
      <c r="N2133" s="35" t="str">
        <f>IFERROR(__xludf.DUMMYFUNCTION("""COMPUTED_VALUE"""),"SUI BANGKONG")</f>
        <v>SUI BANGKONG</v>
      </c>
      <c r="O2133" s="35" t="str">
        <f>IFERROR(__xludf.DUMMYFUNCTION("""COMPUTED_VALUE"""),"PONTIANAK KOTA")</f>
        <v>PONTIANAK KOTA</v>
      </c>
      <c r="P2133" s="35" t="str">
        <f>IFERROR(__xludf.DUMMYFUNCTION("""COMPUTED_VALUE"""),"PONTIANAK")</f>
        <v>PONTIANAK</v>
      </c>
      <c r="Q2133" s="35" t="str">
        <f>IFERROR(__xludf.DUMMYFUNCTION("""COMPUTED_VALUE"""),"KALIMANTAN BARAT")</f>
        <v>KALIMANTAN BARAT</v>
      </c>
      <c r="R2133" s="21" t="str">
        <f>IFERROR(__xludf.DUMMYFUNCTION("""COMPUTED_VALUE"""),"ISLAM")</f>
        <v>ISLAM</v>
      </c>
      <c r="S2133" s="16" t="str">
        <f>IFERROR(__xludf.DUMMYFUNCTION("""COMPUTED_VALUE"""),"SWASTA")</f>
        <v>SWASTA</v>
      </c>
      <c r="T2133" s="35" t="str">
        <f>IFERROR(__xludf.DUMMYFUNCTION("""COMPUTED_VALUE"""),"FISIOTERAPI")</f>
        <v>FISIOTERAPI</v>
      </c>
      <c r="U2133" s="35" t="str">
        <f>IFERROR(__xludf.DUMMYFUNCTION("""COMPUTED_VALUE"""),"DUDUK BERJAM2 DI DEPAN LAPTOP DENGAN POSISI SALAH")</f>
        <v>DUDUK BERJAM2 DI DEPAN LAPTOP DENGAN POSISI SALAH</v>
      </c>
      <c r="V2133" s="37" t="str">
        <f>IFERROR(__xludf.DUMMYFUNCTION("""COMPUTED_VALUE"""),"08985722473")</f>
        <v>08985722473</v>
      </c>
      <c r="W2133" s="45"/>
    </row>
    <row r="2134">
      <c r="A2134" s="45"/>
      <c r="B2134" s="24" t="str">
        <f>IFERROR(__xludf.DUMMYFUNCTION("""COMPUTED_VALUE"""),"19/01/2025 20:42:50")</f>
        <v>19/01/2025 20:42:50</v>
      </c>
      <c r="C2134" s="35"/>
      <c r="D2134" s="10">
        <f>IFERROR(__xludf.DUMMYFUNCTION("""COMPUTED_VALUE"""),45700.0)</f>
        <v>45700</v>
      </c>
      <c r="E2134" s="35" t="str">
        <f>IFERROR(__xludf.DUMMYFUNCTION("""COMPUTED_VALUE"""),"02Feb")</f>
        <v>02Feb</v>
      </c>
      <c r="F2134" s="34" t="str">
        <f>IFERROR(__xludf.DUMMYFUNCTION("""COMPUTED_VALUE"""),"2025")</f>
        <v>2025</v>
      </c>
      <c r="G2134" s="35" t="str">
        <f>IFERROR(__xludf.DUMMYFUNCTION("""COMPUTED_VALUE"""),"ANGGITA WAHYUNINGRUM")</f>
        <v>ANGGITA WAHYUNINGRUM</v>
      </c>
      <c r="H2134" s="35" t="str">
        <f>IFERROR(__xludf.DUMMYFUNCTION("""COMPUTED_VALUE"""),"A0125026454")</f>
        <v>A0125026454</v>
      </c>
      <c r="I2134" s="35">
        <f>IFERROR(__xludf.DUMMYFUNCTION("""COMPUTED_VALUE"""),25.0)</f>
        <v>25</v>
      </c>
      <c r="J2134" s="35" t="str">
        <f>IFERROR(__xludf.DUMMYFUNCTION("""COMPUTED_VALUE"""),"25-34 tahun")</f>
        <v>25-34 tahun</v>
      </c>
      <c r="K2134" s="21" t="str">
        <f>IFERROR(__xludf.DUMMYFUNCTION("""COMPUTED_VALUE"""),"09/01/2001")</f>
        <v>09/01/2001</v>
      </c>
      <c r="L2134" s="21" t="str">
        <f>IFERROR(__xludf.DUMMYFUNCTION("""COMPUTED_VALUE"""),"PEREMPUAN")</f>
        <v>PEREMPUAN</v>
      </c>
      <c r="M2134" s="35" t="str">
        <f>IFERROR(__xludf.DUMMYFUNCTION("""COMPUTED_VALUE"""),"JL. WONOBARU GG. MADYOSARI 2")</f>
        <v>JL. WONOBARU GG. MADYOSARI 2</v>
      </c>
      <c r="N2134" s="35" t="str">
        <f>IFERROR(__xludf.DUMMYFUNCTION("""COMPUTED_VALUE"""),"AKCAYA")</f>
        <v>AKCAYA</v>
      </c>
      <c r="O2134" s="35" t="str">
        <f>IFERROR(__xludf.DUMMYFUNCTION("""COMPUTED_VALUE"""),"PONTIANAK SELATAN")</f>
        <v>PONTIANAK SELATAN</v>
      </c>
      <c r="P2134" s="35" t="str">
        <f>IFERROR(__xludf.DUMMYFUNCTION("""COMPUTED_VALUE"""),"KOTA PONTIANAK")</f>
        <v>KOTA PONTIANAK</v>
      </c>
      <c r="Q2134" s="35" t="str">
        <f>IFERROR(__xludf.DUMMYFUNCTION("""COMPUTED_VALUE"""),"KALIMANTAN BARAT")</f>
        <v>KALIMANTAN BARAT</v>
      </c>
      <c r="R2134" s="21" t="str">
        <f>IFERROR(__xludf.DUMMYFUNCTION("""COMPUTED_VALUE"""),"ISLAM")</f>
        <v>ISLAM</v>
      </c>
      <c r="S2134" s="16" t="str">
        <f>IFERROR(__xludf.DUMMYFUNCTION("""COMPUTED_VALUE"""),"SWASTA")</f>
        <v>SWASTA</v>
      </c>
      <c r="T2134" s="35" t="str">
        <f>IFERROR(__xludf.DUMMYFUNCTION("""COMPUTED_VALUE"""),"SAKIT PUNGGUNG BAGIAN ATAS SEBELAH KIRI")</f>
        <v>SAKIT PUNGGUNG BAGIAN ATAS SEBELAH KIRI</v>
      </c>
      <c r="U2134" s="35" t="str">
        <f>IFERROR(__xludf.DUMMYFUNCTION("""COMPUTED_VALUE"""),"HANYA AKTIVITAS BIASA TIDAK BERLEBIHAN")</f>
        <v>HANYA AKTIVITAS BIASA TIDAK BERLEBIHAN</v>
      </c>
      <c r="V2134" s="37" t="str">
        <f>IFERROR(__xludf.DUMMYFUNCTION("""COMPUTED_VALUE"""),"089614796454")</f>
        <v>089614796454</v>
      </c>
      <c r="W2134" s="45"/>
    </row>
    <row r="2135">
      <c r="A2135" s="45"/>
      <c r="B2135" s="24" t="str">
        <f>IFERROR(__xludf.DUMMYFUNCTION("""COMPUTED_VALUE"""),"20/01/2025 8:31:14")</f>
        <v>20/01/2025 8:31:14</v>
      </c>
      <c r="C2135" s="35"/>
      <c r="D2135" s="10">
        <f>IFERROR(__xludf.DUMMYFUNCTION("""COMPUTED_VALUE"""),45700.0)</f>
        <v>45700</v>
      </c>
      <c r="E2135" s="35" t="str">
        <f>IFERROR(__xludf.DUMMYFUNCTION("""COMPUTED_VALUE"""),"02Feb")</f>
        <v>02Feb</v>
      </c>
      <c r="F2135" s="34" t="str">
        <f>IFERROR(__xludf.DUMMYFUNCTION("""COMPUTED_VALUE"""),"2025")</f>
        <v>2025</v>
      </c>
      <c r="G2135" s="35" t="str">
        <f>IFERROR(__xludf.DUMMYFUNCTION("""COMPUTED_VALUE"""),"EKA NOVI D")</f>
        <v>EKA NOVI D</v>
      </c>
      <c r="H2135" s="35" t="str">
        <f>IFERROR(__xludf.DUMMYFUNCTION("""COMPUTED_VALUE"""),"E9925029678")</f>
        <v>E9925029678</v>
      </c>
      <c r="I2135" s="35" t="str">
        <f>IFERROR(__xludf.DUMMYFUNCTION("""COMPUTED_VALUE"""),"")</f>
        <v/>
      </c>
      <c r="J2135" s="35" t="str">
        <f>IFERROR(__xludf.DUMMYFUNCTION("""COMPUTED_VALUE"""),"")</f>
        <v/>
      </c>
      <c r="K2135" s="35"/>
      <c r="L2135" s="21" t="str">
        <f>IFERROR(__xludf.DUMMYFUNCTION("""COMPUTED_VALUE"""),"LAKI-LAKI")</f>
        <v>LAKI-LAKI</v>
      </c>
      <c r="M2135" s="35" t="str">
        <f>IFERROR(__xludf.DUMMYFUNCTION("""COMPUTED_VALUE"""),"JL. KOMYOS SUDARSO JERUJU")</f>
        <v>JL. KOMYOS SUDARSO JERUJU</v>
      </c>
      <c r="N2135" s="35"/>
      <c r="O2135" s="35"/>
      <c r="P2135" s="35"/>
      <c r="Q2135" s="35"/>
      <c r="R2135" s="21" t="str">
        <f>IFERROR(__xludf.DUMMYFUNCTION("""COMPUTED_VALUE"""),"ISLAM")</f>
        <v>ISLAM</v>
      </c>
      <c r="S2135" s="35" t="str">
        <f>IFERROR(__xludf.DUMMYFUNCTION("""COMPUTED_VALUE"""),"SWASTA")</f>
        <v>SWASTA</v>
      </c>
      <c r="T2135" s="35" t="str">
        <f>IFERROR(__xludf.DUMMYFUNCTION("""COMPUTED_VALUE"""),"LEHER KAKI LEMAH")</f>
        <v>LEHER KAKI LEMAH</v>
      </c>
      <c r="U2135" s="35"/>
      <c r="V2135" s="37" t="str">
        <f>IFERROR(__xludf.DUMMYFUNCTION("""COMPUTED_VALUE"""),"81346509678")</f>
        <v>81346509678</v>
      </c>
      <c r="W2135" s="45"/>
    </row>
    <row r="2136">
      <c r="A2136" s="45"/>
      <c r="B2136" s="24" t="str">
        <f>IFERROR(__xludf.DUMMYFUNCTION("""COMPUTED_VALUE"""),"20/01/2025 9:25:45")</f>
        <v>20/01/2025 9:25:45</v>
      </c>
      <c r="C2136" s="35"/>
      <c r="D2136" s="10">
        <f>IFERROR(__xludf.DUMMYFUNCTION("""COMPUTED_VALUE"""),45701.0)</f>
        <v>45701</v>
      </c>
      <c r="E2136" s="35" t="str">
        <f>IFERROR(__xludf.DUMMYFUNCTION("""COMPUTED_VALUE"""),"02Feb")</f>
        <v>02Feb</v>
      </c>
      <c r="F2136" s="34" t="str">
        <f>IFERROR(__xludf.DUMMYFUNCTION("""COMPUTED_VALUE"""),"2025")</f>
        <v>2025</v>
      </c>
      <c r="G2136" s="35" t="str">
        <f>IFERROR(__xludf.DUMMYFUNCTION("""COMPUTED_VALUE"""),"HAFIZLY")</f>
        <v>HAFIZLY</v>
      </c>
      <c r="H2136" s="35" t="str">
        <f>IFERROR(__xludf.DUMMYFUNCTION("""COMPUTED_VALUE"""),"H9525023848")</f>
        <v>H9525023848</v>
      </c>
      <c r="I2136" s="35">
        <f>IFERROR(__xludf.DUMMYFUNCTION("""COMPUTED_VALUE"""),30.0)</f>
        <v>30</v>
      </c>
      <c r="J2136" s="35" t="str">
        <f>IFERROR(__xludf.DUMMYFUNCTION("""COMPUTED_VALUE"""),"25-34 tahun")</f>
        <v>25-34 tahun</v>
      </c>
      <c r="K2136" s="21" t="str">
        <f>IFERROR(__xludf.DUMMYFUNCTION("""COMPUTED_VALUE"""),"03/12/1995")</f>
        <v>03/12/1995</v>
      </c>
      <c r="L2136" s="21" t="str">
        <f>IFERROR(__xludf.DUMMYFUNCTION("""COMPUTED_VALUE"""),"LAKI-LAKI")</f>
        <v>LAKI-LAKI</v>
      </c>
      <c r="M2136" s="35" t="str">
        <f>IFERROR(__xludf.DUMMYFUNCTION("""COMPUTED_VALUE"""),"DUSUN DOYOT RT.03")</f>
        <v>DUSUN DOYOT RT.03</v>
      </c>
      <c r="N2136" s="35" t="str">
        <f>IFERROR(__xludf.DUMMYFUNCTION("""COMPUTED_VALUE"""),"DESA MAGMAGAN KARYA")</f>
        <v>DESA MAGMAGAN KARYA</v>
      </c>
      <c r="O2136" s="35" t="str">
        <f>IFERROR(__xludf.DUMMYFUNCTION("""COMPUTED_VALUE"""),"LUMAR")</f>
        <v>LUMAR</v>
      </c>
      <c r="P2136" s="35" t="str">
        <f>IFERROR(__xludf.DUMMYFUNCTION("""COMPUTED_VALUE"""),"BENGKAYANG")</f>
        <v>BENGKAYANG</v>
      </c>
      <c r="Q2136" s="35" t="str">
        <f>IFERROR(__xludf.DUMMYFUNCTION("""COMPUTED_VALUE"""),"KALIMANTAN BARAT")</f>
        <v>KALIMANTAN BARAT</v>
      </c>
      <c r="R2136" s="21" t="str">
        <f>IFERROR(__xludf.DUMMYFUNCTION("""COMPUTED_VALUE"""),"ISLAM")</f>
        <v>ISLAM</v>
      </c>
      <c r="S2136" s="35" t="str">
        <f>IFERROR(__xludf.DUMMYFUNCTION("""COMPUTED_VALUE"""),"GURU")</f>
        <v>GURU</v>
      </c>
      <c r="T2136" s="35" t="str">
        <f>IFERROR(__xludf.DUMMYFUNCTION("""COMPUTED_VALUE"""),"SAKIT DI ENGKEL KIRI DAN LUTUT KANAN")</f>
        <v>SAKIT DI ENGKEL KIRI DAN LUTUT KANAN</v>
      </c>
      <c r="U2136" s="35" t="str">
        <f>IFERROR(__xludf.DUMMYFUNCTION("""COMPUTED_VALUE"""),"LARI DAN STRENGTH TRAINING BIASA")</f>
        <v>LARI DAN STRENGTH TRAINING BIASA</v>
      </c>
      <c r="V2136" s="37" t="str">
        <f>IFERROR(__xludf.DUMMYFUNCTION("""COMPUTED_VALUE"""),"0895611363848")</f>
        <v>0895611363848</v>
      </c>
      <c r="W2136" s="45"/>
    </row>
    <row r="2137">
      <c r="A2137" s="45"/>
      <c r="B2137" s="24" t="str">
        <f>IFERROR(__xludf.DUMMYFUNCTION("""COMPUTED_VALUE"""),"20/01/2025 14:36:36")</f>
        <v>20/01/2025 14:36:36</v>
      </c>
      <c r="C2137" s="35"/>
      <c r="D2137" s="10">
        <f>IFERROR(__xludf.DUMMYFUNCTION("""COMPUTED_VALUE"""),45701.0)</f>
        <v>45701</v>
      </c>
      <c r="E2137" s="35" t="str">
        <f>IFERROR(__xludf.DUMMYFUNCTION("""COMPUTED_VALUE"""),"02Feb")</f>
        <v>02Feb</v>
      </c>
      <c r="F2137" s="34" t="str">
        <f>IFERROR(__xludf.DUMMYFUNCTION("""COMPUTED_VALUE"""),"2025")</f>
        <v>2025</v>
      </c>
      <c r="G2137" s="35" t="str">
        <f>IFERROR(__xludf.DUMMYFUNCTION("""COMPUTED_VALUE"""),"SUSANTO")</f>
        <v>SUSANTO</v>
      </c>
      <c r="H2137" s="35" t="str">
        <f>IFERROR(__xludf.DUMMYFUNCTION("""COMPUTED_VALUE"""),"S8625023996")</f>
        <v>S8625023996</v>
      </c>
      <c r="I2137" s="35">
        <f>IFERROR(__xludf.DUMMYFUNCTION("""COMPUTED_VALUE"""),39.0)</f>
        <v>39</v>
      </c>
      <c r="J2137" s="35" t="str">
        <f>IFERROR(__xludf.DUMMYFUNCTION("""COMPUTED_VALUE"""),"35-44 tahun")</f>
        <v>35-44 tahun</v>
      </c>
      <c r="K2137" s="21" t="str">
        <f>IFERROR(__xludf.DUMMYFUNCTION("""COMPUTED_VALUE"""),"31/08/1986")</f>
        <v>31/08/1986</v>
      </c>
      <c r="L2137" s="21" t="str">
        <f>IFERROR(__xludf.DUMMYFUNCTION("""COMPUTED_VALUE"""),"LAKI-LAKI")</f>
        <v>LAKI-LAKI</v>
      </c>
      <c r="M2137" s="35" t="str">
        <f>IFERROR(__xludf.DUMMYFUNCTION("""COMPUTED_VALUE"""),"JLN PANGLIMA AIM B4")</f>
        <v>JLN PANGLIMA AIM B4</v>
      </c>
      <c r="N2137" s="35" t="str">
        <f>IFERROR(__xludf.DUMMYFUNCTION("""COMPUTED_VALUE"""),"TANJUNG HULU")</f>
        <v>TANJUNG HULU</v>
      </c>
      <c r="O2137" s="35" t="str">
        <f>IFERROR(__xludf.DUMMYFUNCTION("""COMPUTED_VALUE"""),"PONTIANAK TIMUR")</f>
        <v>PONTIANAK TIMUR</v>
      </c>
      <c r="P2137" s="35" t="str">
        <f>IFERROR(__xludf.DUMMYFUNCTION("""COMPUTED_VALUE"""),"PONTIANAK")</f>
        <v>PONTIANAK</v>
      </c>
      <c r="Q2137" s="35" t="str">
        <f>IFERROR(__xludf.DUMMYFUNCTION("""COMPUTED_VALUE"""),"KALIMANTAN BARAT")</f>
        <v>KALIMANTAN BARAT</v>
      </c>
      <c r="R2137" s="21" t="str">
        <f>IFERROR(__xludf.DUMMYFUNCTION("""COMPUTED_VALUE"""),"KATOLIK")</f>
        <v>KATOLIK</v>
      </c>
      <c r="S2137" s="35" t="str">
        <f>IFERROR(__xludf.DUMMYFUNCTION("""COMPUTED_VALUE"""),"WIRASWASTA")</f>
        <v>WIRASWASTA</v>
      </c>
      <c r="T2137" s="35" t="str">
        <f>IFERROR(__xludf.DUMMYFUNCTION("""COMPUTED_VALUE"""),"NYERI LUTUT")</f>
        <v>NYERI LUTUT</v>
      </c>
      <c r="U2137" s="35" t="str">
        <f>IFERROR(__xludf.DUMMYFUNCTION("""COMPUTED_VALUE"""),"LARI, FUTSAL")</f>
        <v>LARI, FUTSAL</v>
      </c>
      <c r="V2137" s="37" t="str">
        <f>IFERROR(__xludf.DUMMYFUNCTION("""COMPUTED_VALUE"""),"085245083996")</f>
        <v>085245083996</v>
      </c>
      <c r="W2137" s="45"/>
    </row>
    <row r="2138">
      <c r="A2138" s="45"/>
      <c r="B2138" s="24">
        <f>IFERROR(__xludf.DUMMYFUNCTION("""COMPUTED_VALUE"""),45677.552824074075)</f>
        <v>45677.55282</v>
      </c>
      <c r="C2138" s="35"/>
      <c r="D2138" s="10">
        <f>IFERROR(__xludf.DUMMYFUNCTION("""COMPUTED_VALUE"""),45701.0)</f>
        <v>45701</v>
      </c>
      <c r="E2138" s="35" t="str">
        <f>IFERROR(__xludf.DUMMYFUNCTION("""COMPUTED_VALUE"""),"02Feb")</f>
        <v>02Feb</v>
      </c>
      <c r="F2138" s="34" t="str">
        <f>IFERROR(__xludf.DUMMYFUNCTION("""COMPUTED_VALUE"""),"2025")</f>
        <v>2025</v>
      </c>
      <c r="G2138" s="35" t="str">
        <f>IFERROR(__xludf.DUMMYFUNCTION("""COMPUTED_VALUE"""),"ALHIQNA SHOLIHIN")</f>
        <v>ALHIQNA SHOLIHIN</v>
      </c>
      <c r="H2138" s="35" t="str">
        <f>IFERROR(__xludf.DUMMYFUNCTION("""COMPUTED_VALUE"""),"A0925020044")</f>
        <v>A0925020044</v>
      </c>
      <c r="I2138" s="35">
        <f>IFERROR(__xludf.DUMMYFUNCTION("""COMPUTED_VALUE"""),17.0)</f>
        <v>17</v>
      </c>
      <c r="J2138" s="35" t="str">
        <f>IFERROR(__xludf.DUMMYFUNCTION("""COMPUTED_VALUE"""),"&lt; 18 tahun")</f>
        <v>&lt; 18 tahun</v>
      </c>
      <c r="K2138" s="21" t="str">
        <f>IFERROR(__xludf.DUMMYFUNCTION("""COMPUTED_VALUE"""),"04/04/2009")</f>
        <v>04/04/2009</v>
      </c>
      <c r="L2138" s="21" t="str">
        <f>IFERROR(__xludf.DUMMYFUNCTION("""COMPUTED_VALUE"""),"LAKI-LAKI")</f>
        <v>LAKI-LAKI</v>
      </c>
      <c r="M2138" s="35" t="str">
        <f>IFERROR(__xludf.DUMMYFUNCTION("""COMPUTED_VALUE"""),"JALAN NIPAH KUNING, GANG PASU-PASU KOMPLEK PONDOK INDAH RIYADI BLOK C 11")</f>
        <v>JALAN NIPAH KUNING, GANG PASU-PASU KOMPLEK PONDOK INDAH RIYADI BLOK C 11</v>
      </c>
      <c r="N2138" s="35" t="str">
        <f>IFERROR(__xludf.DUMMYFUNCTION("""COMPUTED_VALUE"""),"SUNGAI BELIUNG")</f>
        <v>SUNGAI BELIUNG</v>
      </c>
      <c r="O2138" s="35" t="str">
        <f>IFERROR(__xludf.DUMMYFUNCTION("""COMPUTED_VALUE"""),"PONTIANAK BARAT")</f>
        <v>PONTIANAK BARAT</v>
      </c>
      <c r="P2138" s="35" t="str">
        <f>IFERROR(__xludf.DUMMYFUNCTION("""COMPUTED_VALUE"""),"KOTA PONTIANAK")</f>
        <v>KOTA PONTIANAK</v>
      </c>
      <c r="Q2138" s="35" t="str">
        <f>IFERROR(__xludf.DUMMYFUNCTION("""COMPUTED_VALUE"""),"KALIMANTAN BARAT")</f>
        <v>KALIMANTAN BARAT</v>
      </c>
      <c r="R2138" s="21" t="str">
        <f>IFERROR(__xludf.DUMMYFUNCTION("""COMPUTED_VALUE"""),"ISLAM")</f>
        <v>ISLAM</v>
      </c>
      <c r="S2138" s="35" t="str">
        <f>IFERROR(__xludf.DUMMYFUNCTION("""COMPUTED_VALUE"""),"PELAJAR")</f>
        <v>PELAJAR</v>
      </c>
      <c r="T2138" s="35" t="str">
        <f>IFERROR(__xludf.DUMMYFUNCTION("""COMPUTED_VALUE"""),"LUTUT NYERI DAN SUSAH DITEKUK")</f>
        <v>LUTUT NYERI DAN SUSAH DITEKUK</v>
      </c>
      <c r="U2138" s="35" t="str">
        <f>IFERROR(__xludf.DUMMYFUNCTION("""COMPUTED_VALUE"""),"-")</f>
        <v>-</v>
      </c>
      <c r="V2138" s="37" t="str">
        <f>IFERROR(__xludf.DUMMYFUNCTION("""COMPUTED_VALUE"""),"082253190044")</f>
        <v>082253190044</v>
      </c>
      <c r="W2138" s="45"/>
    </row>
    <row r="2139">
      <c r="A2139" s="45"/>
      <c r="B2139" s="24" t="str">
        <f>IFERROR(__xludf.DUMMYFUNCTION("""COMPUTED_VALUE"""),"20/01/2025 20:58:09")</f>
        <v>20/01/2025 20:58:09</v>
      </c>
      <c r="C2139" s="35"/>
      <c r="D2139" s="10">
        <f>IFERROR(__xludf.DUMMYFUNCTION("""COMPUTED_VALUE"""),45701.0)</f>
        <v>45701</v>
      </c>
      <c r="E2139" s="35" t="str">
        <f>IFERROR(__xludf.DUMMYFUNCTION("""COMPUTED_VALUE"""),"02Feb")</f>
        <v>02Feb</v>
      </c>
      <c r="F2139" s="34" t="str">
        <f>IFERROR(__xludf.DUMMYFUNCTION("""COMPUTED_VALUE"""),"2025")</f>
        <v>2025</v>
      </c>
      <c r="G2139" s="35" t="str">
        <f>IFERROR(__xludf.DUMMYFUNCTION("""COMPUTED_VALUE"""),"MEILANI")</f>
        <v>MEILANI</v>
      </c>
      <c r="H2139" s="35" t="str">
        <f>IFERROR(__xludf.DUMMYFUNCTION("""COMPUTED_VALUE"""),"M9925029894")</f>
        <v>M9925029894</v>
      </c>
      <c r="I2139" s="35">
        <f>IFERROR(__xludf.DUMMYFUNCTION("""COMPUTED_VALUE"""),27.0)</f>
        <v>27</v>
      </c>
      <c r="J2139" s="35" t="str">
        <f>IFERROR(__xludf.DUMMYFUNCTION("""COMPUTED_VALUE"""),"25-34 tahun")</f>
        <v>25-34 tahun</v>
      </c>
      <c r="K2139" s="21" t="str">
        <f>IFERROR(__xludf.DUMMYFUNCTION("""COMPUTED_VALUE"""),"11/05/1999")</f>
        <v>11/05/1999</v>
      </c>
      <c r="L2139" s="21" t="str">
        <f>IFERROR(__xludf.DUMMYFUNCTION("""COMPUTED_VALUE"""),"PEREMPUAN")</f>
        <v>PEREMPUAN</v>
      </c>
      <c r="M2139" s="35" t="str">
        <f>IFERROR(__xludf.DUMMYFUNCTION("""COMPUTED_VALUE"""),"DSN JAGOI, RT 002/RW 001, DESA JAGOI KECAMATAN JAGOI BABANG KABUPATEN BENGKAYANG")</f>
        <v>DSN JAGOI, RT 002/RW 001, DESA JAGOI KECAMATAN JAGOI BABANG KABUPATEN BENGKAYANG</v>
      </c>
      <c r="N2139" s="35" t="str">
        <f>IFERROR(__xludf.DUMMYFUNCTION("""COMPUTED_VALUE"""),"JAGOI")</f>
        <v>JAGOI</v>
      </c>
      <c r="O2139" s="35" t="str">
        <f>IFERROR(__xludf.DUMMYFUNCTION("""COMPUTED_VALUE"""),"JAGOI BABANG")</f>
        <v>JAGOI BABANG</v>
      </c>
      <c r="P2139" s="35" t="str">
        <f>IFERROR(__xludf.DUMMYFUNCTION("""COMPUTED_VALUE"""),"BENGKAYANG")</f>
        <v>BENGKAYANG</v>
      </c>
      <c r="Q2139" s="35" t="str">
        <f>IFERROR(__xludf.DUMMYFUNCTION("""COMPUTED_VALUE"""),"KALIMANTAN BARAT")</f>
        <v>KALIMANTAN BARAT</v>
      </c>
      <c r="R2139" s="21" t="str">
        <f>IFERROR(__xludf.DUMMYFUNCTION("""COMPUTED_VALUE"""),"KATOLIK")</f>
        <v>KATOLIK</v>
      </c>
      <c r="S2139" s="35" t="str">
        <f>IFERROR(__xludf.DUMMYFUNCTION("""COMPUTED_VALUE"""),"GURU HONORER")</f>
        <v>GURU HONORER</v>
      </c>
      <c r="T2139" s="35" t="str">
        <f>IFERROR(__xludf.DUMMYFUNCTION("""COMPUTED_VALUE"""),"PATAH TULANG")</f>
        <v>PATAH TULANG</v>
      </c>
      <c r="U2139" s="35" t="str">
        <f>IFERROR(__xludf.DUMMYFUNCTION("""COMPUTED_VALUE"""),"MENGAJAR")</f>
        <v>MENGAJAR</v>
      </c>
      <c r="V2139" s="37" t="str">
        <f>IFERROR(__xludf.DUMMYFUNCTION("""COMPUTED_VALUE"""),"082251159894")</f>
        <v>082251159894</v>
      </c>
      <c r="W2139" s="45"/>
    </row>
    <row r="2140">
      <c r="A2140" s="45"/>
      <c r="B2140" s="24" t="str">
        <f>IFERROR(__xludf.DUMMYFUNCTION("""COMPUTED_VALUE"""),"17/01/2025 20:48:14")</f>
        <v>17/01/2025 20:48:14</v>
      </c>
      <c r="C2140" s="35"/>
      <c r="D2140" s="10">
        <f>IFERROR(__xludf.DUMMYFUNCTION("""COMPUTED_VALUE"""),45701.0)</f>
        <v>45701</v>
      </c>
      <c r="E2140" s="35" t="str">
        <f>IFERROR(__xludf.DUMMYFUNCTION("""COMPUTED_VALUE"""),"02Feb")</f>
        <v>02Feb</v>
      </c>
      <c r="F2140" s="34" t="str">
        <f>IFERROR(__xludf.DUMMYFUNCTION("""COMPUTED_VALUE"""),"2025")</f>
        <v>2025</v>
      </c>
      <c r="G2140" s="35" t="str">
        <f>IFERROR(__xludf.DUMMYFUNCTION("""COMPUTED_VALUE"""),"AGUNG WAHYU SUPRIONO")</f>
        <v>AGUNG WAHYU SUPRIONO</v>
      </c>
      <c r="H2140" s="35" t="str">
        <f>IFERROR(__xludf.DUMMYFUNCTION("""COMPUTED_VALUE"""),"A9325026893")</f>
        <v>A9325026893</v>
      </c>
      <c r="I2140" s="35">
        <f>IFERROR(__xludf.DUMMYFUNCTION("""COMPUTED_VALUE"""),32.0)</f>
        <v>32</v>
      </c>
      <c r="J2140" s="35" t="str">
        <f>IFERROR(__xludf.DUMMYFUNCTION("""COMPUTED_VALUE"""),"25-34 tahun")</f>
        <v>25-34 tahun</v>
      </c>
      <c r="K2140" s="21" t="str">
        <f>IFERROR(__xludf.DUMMYFUNCTION("""COMPUTED_VALUE"""),"26/08/1993")</f>
        <v>26/08/1993</v>
      </c>
      <c r="L2140" s="21" t="str">
        <f>IFERROR(__xludf.DUMMYFUNCTION("""COMPUTED_VALUE"""),"LAKI-LAKI")</f>
        <v>LAKI-LAKI</v>
      </c>
      <c r="M2140" s="35" t="str">
        <f>IFERROR(__xludf.DUMMYFUNCTION("""COMPUTED_VALUE"""),"JALAN ADISUCIPTO GANG KELUARGA RT/RW 003/003 KEL BANGKA BELITUNG LAUT KEC PTK TENGGARA")</f>
        <v>JALAN ADISUCIPTO GANG KELUARGA RT/RW 003/003 KEL BANGKA BELITUNG LAUT KEC PTK TENGGARA</v>
      </c>
      <c r="N2140" s="35" t="str">
        <f>IFERROR(__xludf.DUMMYFUNCTION("""COMPUTED_VALUE"""),"KEL BANGKA BELITUNG LAUT")</f>
        <v>KEL BANGKA BELITUNG LAUT</v>
      </c>
      <c r="O2140" s="35" t="str">
        <f>IFERROR(__xludf.DUMMYFUNCTION("""COMPUTED_VALUE"""),"KEC PONTIANAK TENGGARA")</f>
        <v>KEC PONTIANAK TENGGARA</v>
      </c>
      <c r="P2140" s="35" t="str">
        <f>IFERROR(__xludf.DUMMYFUNCTION("""COMPUTED_VALUE"""),"KOTA PONTIANAK")</f>
        <v>KOTA PONTIANAK</v>
      </c>
      <c r="Q2140" s="35" t="str">
        <f>IFERROR(__xludf.DUMMYFUNCTION("""COMPUTED_VALUE"""),"KALIMANTAN BARAT")</f>
        <v>KALIMANTAN BARAT</v>
      </c>
      <c r="R2140" s="21" t="str">
        <f>IFERROR(__xludf.DUMMYFUNCTION("""COMPUTED_VALUE"""),"ISLAM")</f>
        <v>ISLAM</v>
      </c>
      <c r="S2140" s="35" t="str">
        <f>IFERROR(__xludf.DUMMYFUNCTION("""COMPUTED_VALUE"""),"POLRI")</f>
        <v>POLRI</v>
      </c>
      <c r="T2140" s="35" t="str">
        <f>IFERROR(__xludf.DUMMYFUNCTION("""COMPUTED_VALUE"""),"NYERI DI BUAH ZAKAR SEBELAH KANAN")</f>
        <v>NYERI DI BUAH ZAKAR SEBELAH KANAN</v>
      </c>
      <c r="U2140" s="35" t="str">
        <f>IFERROR(__xludf.DUMMYFUNCTION("""COMPUTED_VALUE"""),"GYM")</f>
        <v>GYM</v>
      </c>
      <c r="V2140" s="37" t="str">
        <f>IFERROR(__xludf.DUMMYFUNCTION("""COMPUTED_VALUE"""),"08115626893")</f>
        <v>08115626893</v>
      </c>
      <c r="W2140" s="45"/>
    </row>
    <row r="2141">
      <c r="A2141" s="45"/>
      <c r="B2141" s="24" t="str">
        <f>IFERROR(__xludf.DUMMYFUNCTION("""COMPUTED_VALUE"""),"21/01/2025 9:30:05")</f>
        <v>21/01/2025 9:30:05</v>
      </c>
      <c r="C2141" s="35"/>
      <c r="D2141" s="10">
        <f>IFERROR(__xludf.DUMMYFUNCTION("""COMPUTED_VALUE"""),45702.0)</f>
        <v>45702</v>
      </c>
      <c r="E2141" s="35" t="str">
        <f>IFERROR(__xludf.DUMMYFUNCTION("""COMPUTED_VALUE"""),"02Feb")</f>
        <v>02Feb</v>
      </c>
      <c r="F2141" s="34" t="str">
        <f>IFERROR(__xludf.DUMMYFUNCTION("""COMPUTED_VALUE"""),"2025")</f>
        <v>2025</v>
      </c>
      <c r="G2141" s="35" t="str">
        <f>IFERROR(__xludf.DUMMYFUNCTION("""COMPUTED_VALUE"""),"JESSI MIRANDA")</f>
        <v>JESSI MIRANDA</v>
      </c>
      <c r="H2141" s="35" t="str">
        <f>IFERROR(__xludf.DUMMYFUNCTION("""COMPUTED_VALUE"""),"J9725028777")</f>
        <v>J9725028777</v>
      </c>
      <c r="I2141" s="35">
        <f>IFERROR(__xludf.DUMMYFUNCTION("""COMPUTED_VALUE"""),28.0)</f>
        <v>28</v>
      </c>
      <c r="J2141" s="35" t="str">
        <f>IFERROR(__xludf.DUMMYFUNCTION("""COMPUTED_VALUE"""),"25-34 tahun")</f>
        <v>25-34 tahun</v>
      </c>
      <c r="K2141" s="21" t="str">
        <f>IFERROR(__xludf.DUMMYFUNCTION("""COMPUTED_VALUE"""),"26/06/1997")</f>
        <v>26/06/1997</v>
      </c>
      <c r="L2141" s="21" t="str">
        <f>IFERROR(__xludf.DUMMYFUNCTION("""COMPUTED_VALUE"""),"PEREMPUAN")</f>
        <v>PEREMPUAN</v>
      </c>
      <c r="M2141" s="35" t="str">
        <f>IFERROR(__xludf.DUMMYFUNCTION("""COMPUTED_VALUE"""),"PERUMNAS 2 GG KUBU 1 NO 21")</f>
        <v>PERUMNAS 2 GG KUBU 1 NO 21</v>
      </c>
      <c r="N2141" s="35" t="str">
        <f>IFERROR(__xludf.DUMMYFUNCTION("""COMPUTED_VALUE"""),"SUI BELIUNG")</f>
        <v>SUI BELIUNG</v>
      </c>
      <c r="O2141" s="35" t="str">
        <f>IFERROR(__xludf.DUMMYFUNCTION("""COMPUTED_VALUE"""),"PONTIANAK BARAT")</f>
        <v>PONTIANAK BARAT</v>
      </c>
      <c r="P2141" s="35" t="str">
        <f>IFERROR(__xludf.DUMMYFUNCTION("""COMPUTED_VALUE"""),"PONTIANAK")</f>
        <v>PONTIANAK</v>
      </c>
      <c r="Q2141" s="35" t="str">
        <f>IFERROR(__xludf.DUMMYFUNCTION("""COMPUTED_VALUE"""),"KALIMANTAN BARAT")</f>
        <v>KALIMANTAN BARAT</v>
      </c>
      <c r="R2141" s="21" t="str">
        <f>IFERROR(__xludf.DUMMYFUNCTION("""COMPUTED_VALUE"""),"ISLAM")</f>
        <v>ISLAM</v>
      </c>
      <c r="S2141" s="35" t="str">
        <f>IFERROR(__xludf.DUMMYFUNCTION("""COMPUTED_VALUE"""),"WIRASWATA")</f>
        <v>WIRASWATA</v>
      </c>
      <c r="T2141" s="35" t="str">
        <f>IFERROR(__xludf.DUMMYFUNCTION("""COMPUTED_VALUE"""),"SAKIT DI BAGIAN LENGAN PASCA JATUH")</f>
        <v>SAKIT DI BAGIAN LENGAN PASCA JATUH</v>
      </c>
      <c r="U2141" s="35" t="str">
        <f>IFERROR(__xludf.DUMMYFUNCTION("""COMPUTED_VALUE"""),"-")</f>
        <v>-</v>
      </c>
      <c r="V2141" s="37" t="str">
        <f>IFERROR(__xludf.DUMMYFUNCTION("""COMPUTED_VALUE"""),"087744418777")</f>
        <v>087744418777</v>
      </c>
      <c r="W2141" s="45"/>
    </row>
    <row r="2142">
      <c r="A2142" s="45"/>
      <c r="B2142" s="24" t="str">
        <f>IFERROR(__xludf.DUMMYFUNCTION("""COMPUTED_VALUE"""),"21/01/2025 12:18:18")</f>
        <v>21/01/2025 12:18:18</v>
      </c>
      <c r="C2142" s="35"/>
      <c r="D2142" s="10">
        <f>IFERROR(__xludf.DUMMYFUNCTION("""COMPUTED_VALUE"""),45702.0)</f>
        <v>45702</v>
      </c>
      <c r="E2142" s="35" t="str">
        <f>IFERROR(__xludf.DUMMYFUNCTION("""COMPUTED_VALUE"""),"02Feb")</f>
        <v>02Feb</v>
      </c>
      <c r="F2142" s="34" t="str">
        <f>IFERROR(__xludf.DUMMYFUNCTION("""COMPUTED_VALUE"""),"2025")</f>
        <v>2025</v>
      </c>
      <c r="G2142" s="35" t="str">
        <f>IFERROR(__xludf.DUMMYFUNCTION("""COMPUTED_VALUE"""),"YUNI HERDIANAWATI")</f>
        <v>YUNI HERDIANAWATI</v>
      </c>
      <c r="H2142" s="35" t="str">
        <f>IFERROR(__xludf.DUMMYFUNCTION("""COMPUTED_VALUE"""),"Y8325029600")</f>
        <v>Y8325029600</v>
      </c>
      <c r="I2142" s="35">
        <f>IFERROR(__xludf.DUMMYFUNCTION("""COMPUTED_VALUE"""),43.0)</f>
        <v>43</v>
      </c>
      <c r="J2142" s="35" t="str">
        <f>IFERROR(__xludf.DUMMYFUNCTION("""COMPUTED_VALUE"""),"35-44 tahun")</f>
        <v>35-44 tahun</v>
      </c>
      <c r="K2142" s="21" t="str">
        <f>IFERROR(__xludf.DUMMYFUNCTION("""COMPUTED_VALUE"""),"12/03/1983")</f>
        <v>12/03/1983</v>
      </c>
      <c r="L2142" s="21" t="str">
        <f>IFERROR(__xludf.DUMMYFUNCTION("""COMPUTED_VALUE"""),"PEREMPUAN")</f>
        <v>PEREMPUAN</v>
      </c>
      <c r="M2142" s="35" t="str">
        <f>IFERROR(__xludf.DUMMYFUNCTION("""COMPUTED_VALUE"""),"JL.TANJUNG RAYA 2 KOMP.CENDANA PERMAI NO.D1 PONTIANAK TIMUR")</f>
        <v>JL.TANJUNG RAYA 2 KOMP.CENDANA PERMAI NO.D1 PONTIANAK TIMUR</v>
      </c>
      <c r="N2142" s="35" t="str">
        <f>IFERROR(__xludf.DUMMYFUNCTION("""COMPUTED_VALUE"""),"SAIGON")</f>
        <v>SAIGON</v>
      </c>
      <c r="O2142" s="35" t="str">
        <f>IFERROR(__xludf.DUMMYFUNCTION("""COMPUTED_VALUE"""),"PONTIANAK TIMUR")</f>
        <v>PONTIANAK TIMUR</v>
      </c>
      <c r="P2142" s="35" t="str">
        <f>IFERROR(__xludf.DUMMYFUNCTION("""COMPUTED_VALUE"""),"PONTIANAK")</f>
        <v>PONTIANAK</v>
      </c>
      <c r="Q2142" s="35" t="str">
        <f>IFERROR(__xludf.DUMMYFUNCTION("""COMPUTED_VALUE"""),"KALIMANTAN BARAT")</f>
        <v>KALIMANTAN BARAT</v>
      </c>
      <c r="R2142" s="21" t="str">
        <f>IFERROR(__xludf.DUMMYFUNCTION("""COMPUTED_VALUE"""),"ISLAM")</f>
        <v>ISLAM</v>
      </c>
      <c r="S2142" s="16" t="str">
        <f>IFERROR(__xludf.DUMMYFUNCTION("""COMPUTED_VALUE"""),"ASN")</f>
        <v>ASN</v>
      </c>
      <c r="T2142" s="35" t="str">
        <f>IFERROR(__xludf.DUMMYFUNCTION("""COMPUTED_VALUE"""),"NYERI LUTUT")</f>
        <v>NYERI LUTUT</v>
      </c>
      <c r="U2142" s="35" t="str">
        <f>IFERROR(__xludf.DUMMYFUNCTION("""COMPUTED_VALUE"""),"OLAHRAGA")</f>
        <v>OLAHRAGA</v>
      </c>
      <c r="V2142" s="37" t="str">
        <f>IFERROR(__xludf.DUMMYFUNCTION("""COMPUTED_VALUE"""),"081256669600")</f>
        <v>081256669600</v>
      </c>
      <c r="W2142" s="45"/>
    </row>
    <row r="2143">
      <c r="A2143" s="45"/>
      <c r="B2143" s="24" t="str">
        <f>IFERROR(__xludf.DUMMYFUNCTION("""COMPUTED_VALUE"""),"21/01/2025 13:47:35")</f>
        <v>21/01/2025 13:47:35</v>
      </c>
      <c r="C2143" s="35"/>
      <c r="D2143" s="10">
        <f>IFERROR(__xludf.DUMMYFUNCTION("""COMPUTED_VALUE"""),45702.0)</f>
        <v>45702</v>
      </c>
      <c r="E2143" s="35" t="str">
        <f>IFERROR(__xludf.DUMMYFUNCTION("""COMPUTED_VALUE"""),"02Feb")</f>
        <v>02Feb</v>
      </c>
      <c r="F2143" s="34" t="str">
        <f>IFERROR(__xludf.DUMMYFUNCTION("""COMPUTED_VALUE"""),"2025")</f>
        <v>2025</v>
      </c>
      <c r="G2143" s="35" t="str">
        <f>IFERROR(__xludf.DUMMYFUNCTION("""COMPUTED_VALUE"""),"FAJAR FITRIYANTO")</f>
        <v>FAJAR FITRIYANTO</v>
      </c>
      <c r="H2143" s="35" t="str">
        <f>IFERROR(__xludf.DUMMYFUNCTION("""COMPUTED_VALUE"""),"F8625020983")</f>
        <v>F8625020983</v>
      </c>
      <c r="I2143" s="35">
        <f>IFERROR(__xludf.DUMMYFUNCTION("""COMPUTED_VALUE"""),40.0)</f>
        <v>40</v>
      </c>
      <c r="J2143" s="35" t="str">
        <f>IFERROR(__xludf.DUMMYFUNCTION("""COMPUTED_VALUE"""),"35-44 tahun")</f>
        <v>35-44 tahun</v>
      </c>
      <c r="K2143" s="21" t="str">
        <f>IFERROR(__xludf.DUMMYFUNCTION("""COMPUTED_VALUE"""),"11/06/1986")</f>
        <v>11/06/1986</v>
      </c>
      <c r="L2143" s="21" t="str">
        <f>IFERROR(__xludf.DUMMYFUNCTION("""COMPUTED_VALUE"""),"LAKI-LAKI")</f>
        <v>LAKI-LAKI</v>
      </c>
      <c r="M2143" s="35" t="str">
        <f>IFERROR(__xludf.DUMMYFUNCTION("""COMPUTED_VALUE"""),"JL PEMDA KOMPLEK EDESLWIES NO B2")</f>
        <v>JL PEMDA KOMPLEK EDESLWIES NO B2</v>
      </c>
      <c r="N2143" s="35" t="str">
        <f>IFERROR(__xludf.DUMMYFUNCTION("""COMPUTED_VALUE"""),"SAIGON")</f>
        <v>SAIGON</v>
      </c>
      <c r="O2143" s="35" t="str">
        <f>IFERROR(__xludf.DUMMYFUNCTION("""COMPUTED_VALUE"""),"PONTIANAK TIMUR")</f>
        <v>PONTIANAK TIMUR</v>
      </c>
      <c r="P2143" s="35" t="str">
        <f>IFERROR(__xludf.DUMMYFUNCTION("""COMPUTED_VALUE"""),"PONTIANAK")</f>
        <v>PONTIANAK</v>
      </c>
      <c r="Q2143" s="35" t="str">
        <f>IFERROR(__xludf.DUMMYFUNCTION("""COMPUTED_VALUE"""),"KALIMANTAN BARAT")</f>
        <v>KALIMANTAN BARAT</v>
      </c>
      <c r="R2143" s="21" t="str">
        <f>IFERROR(__xludf.DUMMYFUNCTION("""COMPUTED_VALUE"""),"ISLAM")</f>
        <v>ISLAM</v>
      </c>
      <c r="S2143" s="35" t="str">
        <f>IFERROR(__xludf.DUMMYFUNCTION("""COMPUTED_VALUE"""),"POLRI")</f>
        <v>POLRI</v>
      </c>
      <c r="T2143" s="35" t="str">
        <f>IFERROR(__xludf.DUMMYFUNCTION("""COMPUTED_VALUE"""),"LUTUT KIRI NYERI")</f>
        <v>LUTUT KIRI NYERI</v>
      </c>
      <c r="U2143" s="35" t="str">
        <f>IFERROR(__xludf.DUMMYFUNCTION("""COMPUTED_VALUE"""),"BERDIRI TERLALU LAMA")</f>
        <v>BERDIRI TERLALU LAMA</v>
      </c>
      <c r="V2143" s="37" t="str">
        <f>IFERROR(__xludf.DUMMYFUNCTION("""COMPUTED_VALUE"""),"081254100983")</f>
        <v>081254100983</v>
      </c>
      <c r="W2143" s="45"/>
    </row>
    <row r="2144">
      <c r="A2144" s="45"/>
      <c r="B2144" s="24" t="str">
        <f>IFERROR(__xludf.DUMMYFUNCTION("""COMPUTED_VALUE"""),"21/01/2025 20:52:41")</f>
        <v>21/01/2025 20:52:41</v>
      </c>
      <c r="C2144" s="35"/>
      <c r="D2144" s="10">
        <f>IFERROR(__xludf.DUMMYFUNCTION("""COMPUTED_VALUE"""),45703.0)</f>
        <v>45703</v>
      </c>
      <c r="E2144" s="35" t="str">
        <f>IFERROR(__xludf.DUMMYFUNCTION("""COMPUTED_VALUE"""),"02Feb")</f>
        <v>02Feb</v>
      </c>
      <c r="F2144" s="34" t="str">
        <f>IFERROR(__xludf.DUMMYFUNCTION("""COMPUTED_VALUE"""),"2025")</f>
        <v>2025</v>
      </c>
      <c r="G2144" s="35" t="str">
        <f>IFERROR(__xludf.DUMMYFUNCTION("""COMPUTED_VALUE"""),"MUHAMMAD ALI HUSEIN")</f>
        <v>MUHAMMAD ALI HUSEIN</v>
      </c>
      <c r="H2144" s="35" t="str">
        <f>IFERROR(__xludf.DUMMYFUNCTION("""COMPUTED_VALUE"""),"M2325026481")</f>
        <v>M2325026481</v>
      </c>
      <c r="I2144" s="35">
        <f>IFERROR(__xludf.DUMMYFUNCTION("""COMPUTED_VALUE"""),2.0)</f>
        <v>2</v>
      </c>
      <c r="J2144" s="35" t="str">
        <f>IFERROR(__xludf.DUMMYFUNCTION("""COMPUTED_VALUE"""),"&lt; 18 tahun")</f>
        <v>&lt; 18 tahun</v>
      </c>
      <c r="K2144" s="21" t="str">
        <f>IFERROR(__xludf.DUMMYFUNCTION("""COMPUTED_VALUE"""),"17/10/2023")</f>
        <v>17/10/2023</v>
      </c>
      <c r="L2144" s="21" t="str">
        <f>IFERROR(__xludf.DUMMYFUNCTION("""COMPUTED_VALUE"""),"LAKI-LAKI")</f>
        <v>LAKI-LAKI</v>
      </c>
      <c r="M2144" s="35" t="str">
        <f>IFERROR(__xludf.DUMMYFUNCTION("""COMPUTED_VALUE"""),"DUSUN SEPAKAT MAJU")</f>
        <v>DUSUN SEPAKAT MAJU</v>
      </c>
      <c r="N2144" s="35" t="str">
        <f>IFERROR(__xludf.DUMMYFUNCTION("""COMPUTED_VALUE"""),"DESA PEMATANG TUJUH")</f>
        <v>DESA PEMATANG TUJUH</v>
      </c>
      <c r="O2144" s="35" t="str">
        <f>IFERROR(__xludf.DUMMYFUNCTION("""COMPUTED_VALUE"""),"RASAU JAYA")</f>
        <v>RASAU JAYA</v>
      </c>
      <c r="P2144" s="35" t="str">
        <f>IFERROR(__xludf.DUMMYFUNCTION("""COMPUTED_VALUE"""),"KUBU RAYA")</f>
        <v>KUBU RAYA</v>
      </c>
      <c r="Q2144" s="35" t="str">
        <f>IFERROR(__xludf.DUMMYFUNCTION("""COMPUTED_VALUE"""),"KALBAR")</f>
        <v>KALBAR</v>
      </c>
      <c r="R2144" s="21" t="str">
        <f>IFERROR(__xludf.DUMMYFUNCTION("""COMPUTED_VALUE"""),"ISLAM")</f>
        <v>ISLAM</v>
      </c>
      <c r="S2144" s="16" t="str">
        <f>IFERROR(__xludf.DUMMYFUNCTION("""COMPUTED_VALUE"""),"MM")</f>
        <v>MM</v>
      </c>
      <c r="T2144" s="35" t="str">
        <f>IFERROR(__xludf.DUMMYFUNCTION("""COMPUTED_VALUE"""),"SAAT BERJALAN KAKI SEBELAH KANAN BENTUKNYA BERBEDA DENGAN KAKI SEBELAHNYA")</f>
        <v>SAAT BERJALAN KAKI SEBELAH KANAN BENTUKNYA BERBEDA DENGAN KAKI SEBELAHNYA</v>
      </c>
      <c r="U2144" s="35" t="str">
        <f>IFERROR(__xludf.DUMMYFUNCTION("""COMPUTED_VALUE"""),"MM")</f>
        <v>MM</v>
      </c>
      <c r="V2144" s="37" t="str">
        <f>IFERROR(__xludf.DUMMYFUNCTION("""COMPUTED_VALUE"""),"081345646481")</f>
        <v>081345646481</v>
      </c>
      <c r="W2144" s="45"/>
    </row>
    <row r="2145">
      <c r="A2145" s="45"/>
      <c r="B2145" s="24" t="str">
        <f>IFERROR(__xludf.DUMMYFUNCTION("""COMPUTED_VALUE"""),"21/01/2025 20:54:37")</f>
        <v>21/01/2025 20:54:37</v>
      </c>
      <c r="C2145" s="35"/>
      <c r="D2145" s="10">
        <f>IFERROR(__xludf.DUMMYFUNCTION("""COMPUTED_VALUE"""),45703.0)</f>
        <v>45703</v>
      </c>
      <c r="E2145" s="35" t="str">
        <f>IFERROR(__xludf.DUMMYFUNCTION("""COMPUTED_VALUE"""),"02Feb")</f>
        <v>02Feb</v>
      </c>
      <c r="F2145" s="34" t="str">
        <f>IFERROR(__xludf.DUMMYFUNCTION("""COMPUTED_VALUE"""),"2025")</f>
        <v>2025</v>
      </c>
      <c r="G2145" s="35" t="str">
        <f>IFERROR(__xludf.DUMMYFUNCTION("""COMPUTED_VALUE"""),"SYAKIRAH")</f>
        <v>SYAKIRAH</v>
      </c>
      <c r="H2145" s="35" t="str">
        <f>IFERROR(__xludf.DUMMYFUNCTION("""COMPUTED_VALUE"""),"S1525023428")</f>
        <v>S1525023428</v>
      </c>
      <c r="I2145" s="35">
        <f>IFERROR(__xludf.DUMMYFUNCTION("""COMPUTED_VALUE"""),11.0)</f>
        <v>11</v>
      </c>
      <c r="J2145" s="35" t="str">
        <f>IFERROR(__xludf.DUMMYFUNCTION("""COMPUTED_VALUE"""),"&lt; 18 tahun")</f>
        <v>&lt; 18 tahun</v>
      </c>
      <c r="K2145" s="21" t="str">
        <f>IFERROR(__xludf.DUMMYFUNCTION("""COMPUTED_VALUE"""),"30/04/2015")</f>
        <v>30/04/2015</v>
      </c>
      <c r="L2145" s="21" t="str">
        <f>IFERROR(__xludf.DUMMYFUNCTION("""COMPUTED_VALUE"""),"PEREMPUAN")</f>
        <v>PEREMPUAN</v>
      </c>
      <c r="M2145" s="35" t="str">
        <f>IFERROR(__xludf.DUMMYFUNCTION("""COMPUTED_VALUE"""),"AMPERA MANSION")</f>
        <v>AMPERA MANSION</v>
      </c>
      <c r="N2145" s="35" t="str">
        <f>IFERROR(__xludf.DUMMYFUNCTION("""COMPUTED_VALUE"""),"PONTIANAK KOTA")</f>
        <v>PONTIANAK KOTA</v>
      </c>
      <c r="O2145" s="35" t="str">
        <f>IFERROR(__xludf.DUMMYFUNCTION("""COMPUTED_VALUE"""),"SUNGAI BANGKONG")</f>
        <v>SUNGAI BANGKONG</v>
      </c>
      <c r="P2145" s="35" t="str">
        <f>IFERROR(__xludf.DUMMYFUNCTION("""COMPUTED_VALUE"""),"PONTIANAK")</f>
        <v>PONTIANAK</v>
      </c>
      <c r="Q2145" s="35" t="str">
        <f>IFERROR(__xludf.DUMMYFUNCTION("""COMPUTED_VALUE"""),"KALBAR")</f>
        <v>KALBAR</v>
      </c>
      <c r="R2145" s="21" t="str">
        <f>IFERROR(__xludf.DUMMYFUNCTION("""COMPUTED_VALUE"""),"ISLAM")</f>
        <v>ISLAM</v>
      </c>
      <c r="S2145" s="16" t="str">
        <f>IFERROR(__xludf.DUMMYFUNCTION("""COMPUTED_VALUE"""),"PELAJAR")</f>
        <v>PELAJAR</v>
      </c>
      <c r="T2145" s="35" t="str">
        <f>IFERROR(__xludf.DUMMYFUNCTION("""COMPUTED_VALUE"""),"MAU KONSUL DULU KAK, ANAK SY, CEWEK UMUR 9 TAHUN, KELUHAN LUTUT NYA SAKIT, ADA SEDIKIT BENGKAK, KATANYA HARI SABTU LALU JATUH JEMPOL KAKI KANANNYA KETARIK.")</f>
        <v>MAU KONSUL DULU KAK, ANAK SY, CEWEK UMUR 9 TAHUN, KELUHAN LUTUT NYA SAKIT, ADA SEDIKIT BENGKAK, KATANYA HARI SABTU LALU JATUH JEMPOL KAKI KANANNYA KETARIK.</v>
      </c>
      <c r="U2145" s="35" t="str">
        <f>IFERROR(__xludf.DUMMYFUNCTION("""COMPUTED_VALUE"""),"HABIS LATIHAN KARATE")</f>
        <v>HABIS LATIHAN KARATE</v>
      </c>
      <c r="V2145" s="37" t="str">
        <f>IFERROR(__xludf.DUMMYFUNCTION("""COMPUTED_VALUE"""),"089694383428")</f>
        <v>089694383428</v>
      </c>
      <c r="W2145" s="45"/>
    </row>
    <row r="2146">
      <c r="A2146" s="45"/>
      <c r="B2146" s="24" t="str">
        <f>IFERROR(__xludf.DUMMYFUNCTION("""COMPUTED_VALUE"""),"22/01/2025 10:37:34")</f>
        <v>22/01/2025 10:37:34</v>
      </c>
      <c r="C2146" s="35"/>
      <c r="D2146" s="10">
        <f>IFERROR(__xludf.DUMMYFUNCTION("""COMPUTED_VALUE"""),45703.0)</f>
        <v>45703</v>
      </c>
      <c r="E2146" s="35" t="str">
        <f>IFERROR(__xludf.DUMMYFUNCTION("""COMPUTED_VALUE"""),"02Feb")</f>
        <v>02Feb</v>
      </c>
      <c r="F2146" s="34" t="str">
        <f>IFERROR(__xludf.DUMMYFUNCTION("""COMPUTED_VALUE"""),"2025")</f>
        <v>2025</v>
      </c>
      <c r="G2146" s="35" t="str">
        <f>IFERROR(__xludf.DUMMYFUNCTION("""COMPUTED_VALUE"""),"SUSIANTI")</f>
        <v>SUSIANTI</v>
      </c>
      <c r="H2146" s="35" t="str">
        <f>IFERROR(__xludf.DUMMYFUNCTION("""COMPUTED_VALUE"""),"S8225023258")</f>
        <v>S8225023258</v>
      </c>
      <c r="I2146" s="35">
        <f>IFERROR(__xludf.DUMMYFUNCTION("""COMPUTED_VALUE"""),43.0)</f>
        <v>43</v>
      </c>
      <c r="J2146" s="35" t="str">
        <f>IFERROR(__xludf.DUMMYFUNCTION("""COMPUTED_VALUE"""),"35-44 tahun")</f>
        <v>35-44 tahun</v>
      </c>
      <c r="K2146" s="21" t="str">
        <f>IFERROR(__xludf.DUMMYFUNCTION("""COMPUTED_VALUE"""),"28/06/1982")</f>
        <v>28/06/1982</v>
      </c>
      <c r="L2146" s="21" t="str">
        <f>IFERROR(__xludf.DUMMYFUNCTION("""COMPUTED_VALUE"""),"PEREMPUAN")</f>
        <v>PEREMPUAN</v>
      </c>
      <c r="M2146" s="35" t="str">
        <f>IFERROR(__xludf.DUMMYFUNCTION("""COMPUTED_VALUE"""),"JL BUDI KARYA KOMP.WADUK NO 26")</f>
        <v>JL BUDI KARYA KOMP.WADUK NO 26</v>
      </c>
      <c r="N2146" s="35" t="str">
        <f>IFERROR(__xludf.DUMMYFUNCTION("""COMPUTED_VALUE"""),"BENUA MELAYU DARAT")</f>
        <v>BENUA MELAYU DARAT</v>
      </c>
      <c r="O2146" s="35" t="str">
        <f>IFERROR(__xludf.DUMMYFUNCTION("""COMPUTED_VALUE"""),"PONTIANAK SELATAN")</f>
        <v>PONTIANAK SELATAN</v>
      </c>
      <c r="P2146" s="35" t="str">
        <f>IFERROR(__xludf.DUMMYFUNCTION("""COMPUTED_VALUE"""),"PONTIANAK")</f>
        <v>PONTIANAK</v>
      </c>
      <c r="Q2146" s="35" t="str">
        <f>IFERROR(__xludf.DUMMYFUNCTION("""COMPUTED_VALUE"""),"KALIMANTAN BARAT")</f>
        <v>KALIMANTAN BARAT</v>
      </c>
      <c r="R2146" s="21" t="str">
        <f>IFERROR(__xludf.DUMMYFUNCTION("""COMPUTED_VALUE"""),"KATOLIK")</f>
        <v>KATOLIK</v>
      </c>
      <c r="S2146" s="16" t="str">
        <f>IFERROR(__xludf.DUMMYFUNCTION("""COMPUTED_VALUE"""),"SWASTA")</f>
        <v>SWASTA</v>
      </c>
      <c r="T2146" s="35" t="str">
        <f>IFERROR(__xludf.DUMMYFUNCTION("""COMPUTED_VALUE"""),"KELUHAN BAGIAN GLUTE")</f>
        <v>KELUHAN BAGIAN GLUTE</v>
      </c>
      <c r="U2146" s="35" t="str">
        <f>IFERROR(__xludf.DUMMYFUNCTION("""COMPUTED_VALUE"""),"RUNNING")</f>
        <v>RUNNING</v>
      </c>
      <c r="V2146" s="37" t="str">
        <f>IFERROR(__xludf.DUMMYFUNCTION("""COMPUTED_VALUE"""),"089637933258")</f>
        <v>089637933258</v>
      </c>
      <c r="W2146" s="45"/>
    </row>
    <row r="2147">
      <c r="A2147" s="45"/>
      <c r="B2147" s="9" t="str">
        <f>IFERROR(__xludf.DUMMYFUNCTION("""COMPUTED_VALUE"""),"18/01/2025 12:59:24")</f>
        <v>18/01/2025 12:59:24</v>
      </c>
      <c r="C2147" s="35"/>
      <c r="D2147" s="10">
        <f>IFERROR(__xludf.DUMMYFUNCTION("""COMPUTED_VALUE"""),45705.0)</f>
        <v>45705</v>
      </c>
      <c r="E2147" s="35" t="str">
        <f>IFERROR(__xludf.DUMMYFUNCTION("""COMPUTED_VALUE"""),"02Feb")</f>
        <v>02Feb</v>
      </c>
      <c r="F2147" s="34" t="str">
        <f>IFERROR(__xludf.DUMMYFUNCTION("""COMPUTED_VALUE"""),"2025")</f>
        <v>2025</v>
      </c>
      <c r="G2147" s="16" t="str">
        <f>IFERROR(__xludf.DUMMYFUNCTION("""COMPUTED_VALUE"""),"EDGAR SYARU AZIM")</f>
        <v>EDGAR SYARU AZIM</v>
      </c>
      <c r="H2147" s="35" t="str">
        <f>IFERROR(__xludf.DUMMYFUNCTION("""COMPUTED_VALUE"""),"E1925020223")</f>
        <v>E1925020223</v>
      </c>
      <c r="I2147" s="35">
        <f>IFERROR(__xludf.DUMMYFUNCTION("""COMPUTED_VALUE"""),7.0)</f>
        <v>7</v>
      </c>
      <c r="J2147" s="35" t="str">
        <f>IFERROR(__xludf.DUMMYFUNCTION("""COMPUTED_VALUE"""),"&lt; 18 tahun")</f>
        <v>&lt; 18 tahun</v>
      </c>
      <c r="K2147" s="19" t="str">
        <f>IFERROR(__xludf.DUMMYFUNCTION("""COMPUTED_VALUE"""),"02/05/2019")</f>
        <v>02/05/2019</v>
      </c>
      <c r="L2147" s="19" t="str">
        <f>IFERROR(__xludf.DUMMYFUNCTION("""COMPUTED_VALUE"""),"LAKI-LAKI")</f>
        <v>LAKI-LAKI</v>
      </c>
      <c r="M2147" s="16" t="str">
        <f>IFERROR(__xludf.DUMMYFUNCTION("""COMPUTED_VALUE"""),"SUNGAI RAYA DALAM")</f>
        <v>SUNGAI RAYA DALAM</v>
      </c>
      <c r="N2147" s="16" t="str">
        <f>IFERROR(__xludf.DUMMYFUNCTION("""COMPUTED_VALUE"""),"PAHA BELAKANG SAMPAI DEPAN")</f>
        <v>PAHA BELAKANG SAMPAI DEPAN</v>
      </c>
      <c r="O2147" s="16" t="str">
        <f>IFERROR(__xludf.DUMMYFUNCTION("""COMPUTED_VALUE"""),"PONTIANAK TENGGARA")</f>
        <v>PONTIANAK TENGGARA</v>
      </c>
      <c r="P2147" s="16" t="str">
        <f>IFERROR(__xludf.DUMMYFUNCTION("""COMPUTED_VALUE"""),"PONTIANAK")</f>
        <v>PONTIANAK</v>
      </c>
      <c r="Q2147" s="16" t="str">
        <f>IFERROR(__xludf.DUMMYFUNCTION("""COMPUTED_VALUE"""),"KALIMANTAN BARAT")</f>
        <v>KALIMANTAN BARAT</v>
      </c>
      <c r="R2147" s="19" t="str">
        <f>IFERROR(__xludf.DUMMYFUNCTION("""COMPUTED_VALUE"""),"ISLAM")</f>
        <v>ISLAM</v>
      </c>
      <c r="S2147" s="16" t="str">
        <f>IFERROR(__xludf.DUMMYFUNCTION("""COMPUTED_VALUE"""),"SISWA")</f>
        <v>SISWA</v>
      </c>
      <c r="T2147" s="16" t="str">
        <f>IFERROR(__xludf.DUMMYFUNCTION("""COMPUTED_VALUE"""),"SAKIT PAHA BELAKANG")</f>
        <v>SAKIT PAHA BELAKANG</v>
      </c>
      <c r="U2147" s="16" t="str">
        <f>IFERROR(__xludf.DUMMYFUNCTION("""COMPUTED_VALUE"""),"BASKET")</f>
        <v>BASKET</v>
      </c>
      <c r="V2147" s="11" t="str">
        <f>IFERROR(__xludf.DUMMYFUNCTION("""COMPUTED_VALUE"""),"089648020223")</f>
        <v>089648020223</v>
      </c>
      <c r="W2147" s="45"/>
    </row>
    <row r="2148">
      <c r="A2148" s="45"/>
      <c r="B2148" s="24" t="str">
        <f>IFERROR(__xludf.DUMMYFUNCTION("""COMPUTED_VALUE"""),"22/01/2025 11:16:05")</f>
        <v>22/01/2025 11:16:05</v>
      </c>
      <c r="C2148" s="35"/>
      <c r="D2148" s="10">
        <f>IFERROR(__xludf.DUMMYFUNCTION("""COMPUTED_VALUE"""),45705.0)</f>
        <v>45705</v>
      </c>
      <c r="E2148" s="35" t="str">
        <f>IFERROR(__xludf.DUMMYFUNCTION("""COMPUTED_VALUE"""),"02Feb")</f>
        <v>02Feb</v>
      </c>
      <c r="F2148" s="34" t="str">
        <f>IFERROR(__xludf.DUMMYFUNCTION("""COMPUTED_VALUE"""),"2025")</f>
        <v>2025</v>
      </c>
      <c r="G2148" s="35" t="str">
        <f>IFERROR(__xludf.DUMMYFUNCTION("""COMPUTED_VALUE"""),"SUWINDA KUSRINI")</f>
        <v>SUWINDA KUSRINI</v>
      </c>
      <c r="H2148" s="35" t="str">
        <f>IFERROR(__xludf.DUMMYFUNCTION("""COMPUTED_VALUE"""),"S8225023252")</f>
        <v>S8225023252</v>
      </c>
      <c r="I2148" s="35">
        <f>IFERROR(__xludf.DUMMYFUNCTION("""COMPUTED_VALUE"""),44.0)</f>
        <v>44</v>
      </c>
      <c r="J2148" s="35" t="str">
        <f>IFERROR(__xludf.DUMMYFUNCTION("""COMPUTED_VALUE"""),"35-44 tahun")</f>
        <v>35-44 tahun</v>
      </c>
      <c r="K2148" s="21" t="str">
        <f>IFERROR(__xludf.DUMMYFUNCTION("""COMPUTED_VALUE"""),"15/05/1982")</f>
        <v>15/05/1982</v>
      </c>
      <c r="L2148" s="21" t="str">
        <f>IFERROR(__xludf.DUMMYFUNCTION("""COMPUTED_VALUE"""),"PEREMPUAN")</f>
        <v>PEREMPUAN</v>
      </c>
      <c r="M2148" s="35" t="str">
        <f>IFERROR(__xludf.DUMMYFUNCTION("""COMPUTED_VALUE"""),"JL AMPERA KOMPLEK PERMATA AMPERA BLOK F 10")</f>
        <v>JL AMPERA KOMPLEK PERMATA AMPERA BLOK F 10</v>
      </c>
      <c r="N2148" s="35" t="str">
        <f>IFERROR(__xludf.DUMMYFUNCTION("""COMPUTED_VALUE"""),"SUNGAI JAWI")</f>
        <v>SUNGAI JAWI</v>
      </c>
      <c r="O2148" s="35" t="str">
        <f>IFERROR(__xludf.DUMMYFUNCTION("""COMPUTED_VALUE"""),"PONTIANAK KOTA")</f>
        <v>PONTIANAK KOTA</v>
      </c>
      <c r="P2148" s="35" t="str">
        <f>IFERROR(__xludf.DUMMYFUNCTION("""COMPUTED_VALUE"""),"KOTA PONTIANAK")</f>
        <v>KOTA PONTIANAK</v>
      </c>
      <c r="Q2148" s="35" t="str">
        <f>IFERROR(__xludf.DUMMYFUNCTION("""COMPUTED_VALUE"""),"KALIMANTAN BARAT")</f>
        <v>KALIMANTAN BARAT</v>
      </c>
      <c r="R2148" s="21" t="str">
        <f>IFERROR(__xludf.DUMMYFUNCTION("""COMPUTED_VALUE"""),"ISLAM")</f>
        <v>ISLAM</v>
      </c>
      <c r="S2148" s="16" t="str">
        <f>IFERROR(__xludf.DUMMYFUNCTION("""COMPUTED_VALUE"""),"KARYAWAN SWASTA")</f>
        <v>KARYAWAN SWASTA</v>
      </c>
      <c r="T2148" s="35" t="str">
        <f>IFERROR(__xludf.DUMMYFUNCTION("""COMPUTED_VALUE"""),"NYERI DISIKU TANGAN KANAN SAMPAI MENJALAR KE LENGAN TANGAN")</f>
        <v>NYERI DISIKU TANGAN KANAN SAMPAI MENJALAR KE LENGAN TANGAN</v>
      </c>
      <c r="U2148" s="35" t="str">
        <f>IFERROR(__xludf.DUMMYFUNCTION("""COMPUTED_VALUE"""),"BANYAK AKTIVITAS SEBELAH KANAN")</f>
        <v>BANYAK AKTIVITAS SEBELAH KANAN</v>
      </c>
      <c r="V2148" s="37" t="str">
        <f>IFERROR(__xludf.DUMMYFUNCTION("""COMPUTED_VALUE"""),"082158413252")</f>
        <v>082158413252</v>
      </c>
      <c r="W2148" s="45"/>
    </row>
    <row r="2149">
      <c r="A2149" s="45"/>
      <c r="B2149" s="24" t="str">
        <f>IFERROR(__xludf.DUMMYFUNCTION("""COMPUTED_VALUE"""),"23/01/2025 8:24:36")</f>
        <v>23/01/2025 8:24:36</v>
      </c>
      <c r="C2149" s="35"/>
      <c r="D2149" s="10">
        <f>IFERROR(__xludf.DUMMYFUNCTION("""COMPUTED_VALUE"""),45705.0)</f>
        <v>45705</v>
      </c>
      <c r="E2149" s="35" t="str">
        <f>IFERROR(__xludf.DUMMYFUNCTION("""COMPUTED_VALUE"""),"02Feb")</f>
        <v>02Feb</v>
      </c>
      <c r="F2149" s="34" t="str">
        <f>IFERROR(__xludf.DUMMYFUNCTION("""COMPUTED_VALUE"""),"2025")</f>
        <v>2025</v>
      </c>
      <c r="G2149" s="35" t="str">
        <f>IFERROR(__xludf.DUMMYFUNCTION("""COMPUTED_VALUE"""),"GEMA KHATULISTIWA")</f>
        <v>GEMA KHATULISTIWA</v>
      </c>
      <c r="H2149" s="35" t="str">
        <f>IFERROR(__xludf.DUMMYFUNCTION("""COMPUTED_VALUE"""),"G9325026982")</f>
        <v>G9325026982</v>
      </c>
      <c r="I2149" s="35">
        <f>IFERROR(__xludf.DUMMYFUNCTION("""COMPUTED_VALUE"""),32.0)</f>
        <v>32</v>
      </c>
      <c r="J2149" s="35" t="str">
        <f>IFERROR(__xludf.DUMMYFUNCTION("""COMPUTED_VALUE"""),"25-34 tahun")</f>
        <v>25-34 tahun</v>
      </c>
      <c r="K2149" s="21" t="str">
        <f>IFERROR(__xludf.DUMMYFUNCTION("""COMPUTED_VALUE"""),"26/07/1993")</f>
        <v>26/07/1993</v>
      </c>
      <c r="L2149" s="21" t="str">
        <f>IFERROR(__xludf.DUMMYFUNCTION("""COMPUTED_VALUE"""),"LAKI-LAKI")</f>
        <v>LAKI-LAKI</v>
      </c>
      <c r="M2149" s="35" t="str">
        <f>IFERROR(__xludf.DUMMYFUNCTION("""COMPUTED_VALUE"""),"KOMP BATARA INDAH 1 Q23")</f>
        <v>KOMP BATARA INDAH 1 Q23</v>
      </c>
      <c r="N2149" s="35" t="str">
        <f>IFERROR(__xludf.DUMMYFUNCTION("""COMPUTED_VALUE"""),"SUNGAI BANGKONG")</f>
        <v>SUNGAI BANGKONG</v>
      </c>
      <c r="O2149" s="35" t="str">
        <f>IFERROR(__xludf.DUMMYFUNCTION("""COMPUTED_VALUE"""),"PONTIANAK KOTA")</f>
        <v>PONTIANAK KOTA</v>
      </c>
      <c r="P2149" s="35" t="str">
        <f>IFERROR(__xludf.DUMMYFUNCTION("""COMPUTED_VALUE"""),"KOTA PONTIANAK")</f>
        <v>KOTA PONTIANAK</v>
      </c>
      <c r="Q2149" s="35" t="str">
        <f>IFERROR(__xludf.DUMMYFUNCTION("""COMPUTED_VALUE"""),"KALIMANTAN BARAT")</f>
        <v>KALIMANTAN BARAT</v>
      </c>
      <c r="R2149" s="21" t="str">
        <f>IFERROR(__xludf.DUMMYFUNCTION("""COMPUTED_VALUE"""),"ISLAM")</f>
        <v>ISLAM</v>
      </c>
      <c r="S2149" s="16" t="str">
        <f>IFERROR(__xludf.DUMMYFUNCTION("""COMPUTED_VALUE"""),"KARYAWAN")</f>
        <v>KARYAWAN</v>
      </c>
      <c r="T2149" s="35" t="str">
        <f>IFERROR(__xludf.DUMMYFUNCTION("""COMPUTED_VALUE"""),"SAKIT DI PAHA")</f>
        <v>SAKIT DI PAHA</v>
      </c>
      <c r="U2149" s="35" t="str">
        <f>IFERROR(__xludf.DUMMYFUNCTION("""COMPUTED_VALUE"""),"BOLA")</f>
        <v>BOLA</v>
      </c>
      <c r="V2149" s="37" t="str">
        <f>IFERROR(__xludf.DUMMYFUNCTION("""COMPUTED_VALUE"""),"081258356982")</f>
        <v>081258356982</v>
      </c>
      <c r="W2149" s="45"/>
    </row>
    <row r="2150">
      <c r="A2150" s="45"/>
      <c r="B2150" s="24">
        <f>IFERROR(__xludf.DUMMYFUNCTION("""COMPUTED_VALUE"""),44857.73925293981)</f>
        <v>44857.73925</v>
      </c>
      <c r="C2150" s="35"/>
      <c r="D2150" s="10">
        <f>IFERROR(__xludf.DUMMYFUNCTION("""COMPUTED_VALUE"""),45705.0)</f>
        <v>45705</v>
      </c>
      <c r="E2150" s="35" t="str">
        <f>IFERROR(__xludf.DUMMYFUNCTION("""COMPUTED_VALUE"""),"02Feb")</f>
        <v>02Feb</v>
      </c>
      <c r="F2150" s="34" t="str">
        <f>IFERROR(__xludf.DUMMYFUNCTION("""COMPUTED_VALUE"""),"2025")</f>
        <v>2025</v>
      </c>
      <c r="G2150" s="35" t="str">
        <f>IFERROR(__xludf.DUMMYFUNCTION("""COMPUTED_VALUE"""),"SYARIF M FARIS")</f>
        <v>SYARIF M FARIS</v>
      </c>
      <c r="H2150" s="35" t="str">
        <f>IFERROR(__xludf.DUMMYFUNCTION("""COMPUTED_VALUE"""),"S8225020635")</f>
        <v>S8225020635</v>
      </c>
      <c r="I2150" s="35">
        <f>IFERROR(__xludf.DUMMYFUNCTION("""COMPUTED_VALUE"""),43.0)</f>
        <v>43</v>
      </c>
      <c r="J2150" s="35" t="str">
        <f>IFERROR(__xludf.DUMMYFUNCTION("""COMPUTED_VALUE"""),"35-44 tahun")</f>
        <v>35-44 tahun</v>
      </c>
      <c r="K2150" s="21">
        <f>IFERROR(__xludf.DUMMYFUNCTION("""COMPUTED_VALUE"""),30154.0)</f>
        <v>30154</v>
      </c>
      <c r="L2150" s="21" t="str">
        <f>IFERROR(__xludf.DUMMYFUNCTION("""COMPUTED_VALUE"""),"LAKI-LAKI")</f>
        <v>LAKI-LAKI</v>
      </c>
      <c r="M2150" s="35" t="str">
        <f>IFERROR(__xludf.DUMMYFUNCTION("""COMPUTED_VALUE"""),"JALAN TANJUNG PURA GANG LANDAK NO 19")</f>
        <v>JALAN TANJUNG PURA GANG LANDAK NO 19</v>
      </c>
      <c r="N2150" s="35" t="str">
        <f>IFERROR(__xludf.DUMMYFUNCTION("""COMPUTED_VALUE"""),"BENUA MELAYU LAUT")</f>
        <v>BENUA MELAYU LAUT</v>
      </c>
      <c r="O2150" s="35" t="str">
        <f>IFERROR(__xludf.DUMMYFUNCTION("""COMPUTED_VALUE"""),"PONTIANAK SELATAN")</f>
        <v>PONTIANAK SELATAN</v>
      </c>
      <c r="P2150" s="35" t="str">
        <f>IFERROR(__xludf.DUMMYFUNCTION("""COMPUTED_VALUE"""),"PONTIANAK")</f>
        <v>PONTIANAK</v>
      </c>
      <c r="Q2150" s="35" t="str">
        <f>IFERROR(__xludf.DUMMYFUNCTION("""COMPUTED_VALUE"""),"KALIMANTAN BARAT")</f>
        <v>KALIMANTAN BARAT</v>
      </c>
      <c r="R2150" s="21" t="str">
        <f>IFERROR(__xludf.DUMMYFUNCTION("""COMPUTED_VALUE"""),"ISLAM")</f>
        <v>ISLAM</v>
      </c>
      <c r="S2150" s="16" t="str">
        <f>IFERROR(__xludf.DUMMYFUNCTION("""COMPUTED_VALUE"""),"WIRASWASTA")</f>
        <v>WIRASWASTA</v>
      </c>
      <c r="T2150" s="35" t="str">
        <f>IFERROR(__xludf.DUMMYFUNCTION("""COMPUTED_VALUE"""),"NGILU DI BAGIAN LUTUT")</f>
        <v>NGILU DI BAGIAN LUTUT</v>
      </c>
      <c r="U2150" s="35" t="str">
        <f>IFERROR(__xludf.DUMMYFUNCTION("""COMPUTED_VALUE"""),"SEPAK BOLA")</f>
        <v>SEPAK BOLA</v>
      </c>
      <c r="V2150" s="37" t="str">
        <f>IFERROR(__xludf.DUMMYFUNCTION("""COMPUTED_VALUE"""),"0811560635")</f>
        <v>0811560635</v>
      </c>
      <c r="W2150" s="45"/>
    </row>
    <row r="2151">
      <c r="A2151" s="45"/>
      <c r="B2151" s="24">
        <f>IFERROR(__xludf.DUMMYFUNCTION("""COMPUTED_VALUE"""),45678.75749694444)</f>
        <v>45678.7575</v>
      </c>
      <c r="C2151" s="35"/>
      <c r="D2151" s="10">
        <f>IFERROR(__xludf.DUMMYFUNCTION("""COMPUTED_VALUE"""),45705.0)</f>
        <v>45705</v>
      </c>
      <c r="E2151" s="35" t="str">
        <f>IFERROR(__xludf.DUMMYFUNCTION("""COMPUTED_VALUE"""),"02Feb")</f>
        <v>02Feb</v>
      </c>
      <c r="F2151" s="34" t="str">
        <f>IFERROR(__xludf.DUMMYFUNCTION("""COMPUTED_VALUE"""),"2025")</f>
        <v>2025</v>
      </c>
      <c r="G2151" s="35" t="str">
        <f>IFERROR(__xludf.DUMMYFUNCTION("""COMPUTED_VALUE"""),"RENDY ARYADY PUTRA")</f>
        <v>RENDY ARYADY PUTRA</v>
      </c>
      <c r="H2151" s="35" t="str">
        <f>IFERROR(__xludf.DUMMYFUNCTION("""COMPUTED_VALUE"""),"R0425029757")</f>
        <v>R0425029757</v>
      </c>
      <c r="I2151" s="35">
        <f>IFERROR(__xludf.DUMMYFUNCTION("""COMPUTED_VALUE"""),21.0)</f>
        <v>21</v>
      </c>
      <c r="J2151" s="35" t="str">
        <f>IFERROR(__xludf.DUMMYFUNCTION("""COMPUTED_VALUE"""),"18-24 tahun")</f>
        <v>18-24 tahun</v>
      </c>
      <c r="K2151" s="21" t="str">
        <f>IFERROR(__xludf.DUMMYFUNCTION("""COMPUTED_VALUE"""),"29/06/2004")</f>
        <v>29/06/2004</v>
      </c>
      <c r="L2151" s="21" t="str">
        <f>IFERROR(__xludf.DUMMYFUNCTION("""COMPUTED_VALUE"""),"LAKI-LAKI")</f>
        <v>LAKI-LAKI</v>
      </c>
      <c r="M2151" s="35" t="str">
        <f>IFERROR(__xludf.DUMMYFUNCTION("""COMPUTED_VALUE"""),"JL PADAT KARYA GG KARYA 1")</f>
        <v>JL PADAT KARYA GG KARYA 1</v>
      </c>
      <c r="N2151" s="35" t="str">
        <f>IFERROR(__xludf.DUMMYFUNCTION("""COMPUTED_VALUE"""),"SUNGAI BELIUNG")</f>
        <v>SUNGAI BELIUNG</v>
      </c>
      <c r="O2151" s="35" t="str">
        <f>IFERROR(__xludf.DUMMYFUNCTION("""COMPUTED_VALUE"""),"PONTIANAK BARAT")</f>
        <v>PONTIANAK BARAT</v>
      </c>
      <c r="P2151" s="35" t="str">
        <f>IFERROR(__xludf.DUMMYFUNCTION("""COMPUTED_VALUE"""),"PONTIANAK")</f>
        <v>PONTIANAK</v>
      </c>
      <c r="Q2151" s="35" t="str">
        <f>IFERROR(__xludf.DUMMYFUNCTION("""COMPUTED_VALUE"""),"KALIMANTAN BARAT")</f>
        <v>KALIMANTAN BARAT</v>
      </c>
      <c r="R2151" s="21" t="str">
        <f>IFERROR(__xludf.DUMMYFUNCTION("""COMPUTED_VALUE"""),"ISLAM")</f>
        <v>ISLAM</v>
      </c>
      <c r="S2151" s="16" t="str">
        <f>IFERROR(__xludf.DUMMYFUNCTION("""COMPUTED_VALUE"""),"-")</f>
        <v>-</v>
      </c>
      <c r="T2151" s="35" t="str">
        <f>IFERROR(__xludf.DUMMYFUNCTION("""COMPUTED_VALUE"""),"KAKI NYERI NYERI")</f>
        <v>KAKI NYERI NYERI</v>
      </c>
      <c r="U2151" s="35" t="str">
        <f>IFERROR(__xludf.DUMMYFUNCTION("""COMPUTED_VALUE"""),"BERLARI")</f>
        <v>BERLARI</v>
      </c>
      <c r="V2151" s="37" t="str">
        <f>IFERROR(__xludf.DUMMYFUNCTION("""COMPUTED_VALUE"""),"081545419757")</f>
        <v>081545419757</v>
      </c>
      <c r="W2151" s="45"/>
    </row>
    <row r="2152">
      <c r="A2152" s="45"/>
      <c r="B2152" s="35"/>
      <c r="C2152" s="35"/>
      <c r="D2152" s="10">
        <f>IFERROR(__xludf.DUMMYFUNCTION("""COMPUTED_VALUE"""),45705.0)</f>
        <v>45705</v>
      </c>
      <c r="E2152" s="35" t="str">
        <f>IFERROR(__xludf.DUMMYFUNCTION("""COMPUTED_VALUE"""),"02Feb")</f>
        <v>02Feb</v>
      </c>
      <c r="F2152" s="34" t="str">
        <f>IFERROR(__xludf.DUMMYFUNCTION("""COMPUTED_VALUE"""),"2025")</f>
        <v>2025</v>
      </c>
      <c r="G2152" s="35" t="str">
        <f>IFERROR(__xludf.DUMMYFUNCTION("""COMPUTED_VALUE"""),"BONG SI KHIUN")</f>
        <v>BONG SI KHIUN</v>
      </c>
      <c r="H2152" s="35" t="str">
        <f>IFERROR(__xludf.DUMMYFUNCTION("""COMPUTED_VALUE"""),"B992502")</f>
        <v>B992502</v>
      </c>
      <c r="I2152" s="35" t="str">
        <f>IFERROR(__xludf.DUMMYFUNCTION("""COMPUTED_VALUE"""),"")</f>
        <v/>
      </c>
      <c r="J2152" s="35" t="str">
        <f>IFERROR(__xludf.DUMMYFUNCTION("""COMPUTED_VALUE"""),"")</f>
        <v/>
      </c>
      <c r="K2152" s="35"/>
      <c r="L2152" s="21" t="str">
        <f>IFERROR(__xludf.DUMMYFUNCTION("""COMPUTED_VALUE"""),"PEREMPUAN")</f>
        <v>PEREMPUAN</v>
      </c>
      <c r="M2152" s="35"/>
      <c r="N2152" s="35"/>
      <c r="O2152" s="35"/>
      <c r="P2152" s="35"/>
      <c r="Q2152" s="35"/>
      <c r="R2152" s="35"/>
      <c r="S2152" s="35"/>
      <c r="T2152" s="35"/>
      <c r="U2152" s="35"/>
      <c r="V2152" s="35"/>
      <c r="W2152" s="45"/>
    </row>
    <row r="2153">
      <c r="A2153" s="45"/>
      <c r="B2153" s="24" t="str">
        <f>IFERROR(__xludf.DUMMYFUNCTION("""COMPUTED_VALUE"""),"23/01/2025 17:24:16")</f>
        <v>23/01/2025 17:24:16</v>
      </c>
      <c r="C2153" s="35"/>
      <c r="D2153" s="10">
        <f>IFERROR(__xludf.DUMMYFUNCTION("""COMPUTED_VALUE"""),45705.0)</f>
        <v>45705</v>
      </c>
      <c r="E2153" s="35" t="str">
        <f>IFERROR(__xludf.DUMMYFUNCTION("""COMPUTED_VALUE"""),"02Feb")</f>
        <v>02Feb</v>
      </c>
      <c r="F2153" s="34" t="str">
        <f>IFERROR(__xludf.DUMMYFUNCTION("""COMPUTED_VALUE"""),"2025")</f>
        <v>2025</v>
      </c>
      <c r="G2153" s="35" t="str">
        <f>IFERROR(__xludf.DUMMYFUNCTION("""COMPUTED_VALUE"""),"DIAZ MUHAMMAD FADEL")</f>
        <v>DIAZ MUHAMMAD FADEL</v>
      </c>
      <c r="H2153" s="35" t="str">
        <f>IFERROR(__xludf.DUMMYFUNCTION("""COMPUTED_VALUE"""),"D9225026374")</f>
        <v>D9225026374</v>
      </c>
      <c r="I2153" s="35">
        <f>IFERROR(__xludf.DUMMYFUNCTION("""COMPUTED_VALUE"""),33.0)</f>
        <v>33</v>
      </c>
      <c r="J2153" s="35" t="str">
        <f>IFERROR(__xludf.DUMMYFUNCTION("""COMPUTED_VALUE"""),"25-34 tahun")</f>
        <v>25-34 tahun</v>
      </c>
      <c r="K2153" s="21" t="str">
        <f>IFERROR(__xludf.DUMMYFUNCTION("""COMPUTED_VALUE"""),"16/11/1992")</f>
        <v>16/11/1992</v>
      </c>
      <c r="L2153" s="21" t="str">
        <f>IFERROR(__xludf.DUMMYFUNCTION("""COMPUTED_VALUE"""),"LAKI-LAKI")</f>
        <v>LAKI-LAKI</v>
      </c>
      <c r="M2153" s="35" t="str">
        <f>IFERROR(__xludf.DUMMYFUNCTION("""COMPUTED_VALUE"""),"JL SELAT PANJANG NO.93")</f>
        <v>JL SELAT PANJANG NO.93</v>
      </c>
      <c r="N2153" s="35" t="str">
        <f>IFERROR(__xludf.DUMMYFUNCTION("""COMPUTED_VALUE"""),"SIANTAN HULU")</f>
        <v>SIANTAN HULU</v>
      </c>
      <c r="O2153" s="35" t="str">
        <f>IFERROR(__xludf.DUMMYFUNCTION("""COMPUTED_VALUE"""),"PONTIANAK UTARA")</f>
        <v>PONTIANAK UTARA</v>
      </c>
      <c r="P2153" s="35" t="str">
        <f>IFERROR(__xludf.DUMMYFUNCTION("""COMPUTED_VALUE"""),"PONTIANAK")</f>
        <v>PONTIANAK</v>
      </c>
      <c r="Q2153" s="35" t="str">
        <f>IFERROR(__xludf.DUMMYFUNCTION("""COMPUTED_VALUE"""),"KALIMANTAN BARAT")</f>
        <v>KALIMANTAN BARAT</v>
      </c>
      <c r="R2153" s="21" t="str">
        <f>IFERROR(__xludf.DUMMYFUNCTION("""COMPUTED_VALUE"""),"ISLAM")</f>
        <v>ISLAM</v>
      </c>
      <c r="S2153" s="16" t="str">
        <f>IFERROR(__xludf.DUMMYFUNCTION("""COMPUTED_VALUE"""),"SENIMAN")</f>
        <v>SENIMAN</v>
      </c>
      <c r="T2153" s="35" t="str">
        <f>IFERROR(__xludf.DUMMYFUNCTION("""COMPUTED_VALUE"""),"NYERI DI BAGIAN BELAKANG, DIAKIBATKAN SALAH POSTUR SEWAKTU ANGKAT BEBAN/GYM.")</f>
        <v>NYERI DI BAGIAN BELAKANG, DIAKIBATKAN SALAH POSTUR SEWAKTU ANGKAT BEBAN/GYM.</v>
      </c>
      <c r="U2153" s="35" t="str">
        <f>IFERROR(__xludf.DUMMYFUNCTION("""COMPUTED_VALUE"""),"FITNESS 4-5 KALI SEMINGGU")</f>
        <v>FITNESS 4-5 KALI SEMINGGU</v>
      </c>
      <c r="V2153" s="37" t="str">
        <f>IFERROR(__xludf.DUMMYFUNCTION("""COMPUTED_VALUE"""),"081289686374")</f>
        <v>081289686374</v>
      </c>
      <c r="W2153" s="45"/>
    </row>
    <row r="2154">
      <c r="A2154" s="45"/>
      <c r="B2154" s="24" t="str">
        <f>IFERROR(__xludf.DUMMYFUNCTION("""COMPUTED_VALUE"""),"24/01/2025 17:10:47")</f>
        <v>24/01/2025 17:10:47</v>
      </c>
      <c r="C2154" s="35"/>
      <c r="D2154" s="10">
        <f>IFERROR(__xludf.DUMMYFUNCTION("""COMPUTED_VALUE"""),45711.0)</f>
        <v>45711</v>
      </c>
      <c r="E2154" s="35" t="str">
        <f>IFERROR(__xludf.DUMMYFUNCTION("""COMPUTED_VALUE"""),"02Feb")</f>
        <v>02Feb</v>
      </c>
      <c r="F2154" s="34" t="str">
        <f>IFERROR(__xludf.DUMMYFUNCTION("""COMPUTED_VALUE"""),"2025")</f>
        <v>2025</v>
      </c>
      <c r="G2154" s="35" t="str">
        <f>IFERROR(__xludf.DUMMYFUNCTION("""COMPUTED_VALUE"""),"MURTI JULIANDARI")</f>
        <v>MURTI JULIANDARI</v>
      </c>
      <c r="H2154" s="35" t="str">
        <f>IFERROR(__xludf.DUMMYFUNCTION("""COMPUTED_VALUE"""),"M9025021870")</f>
        <v>M9025021870</v>
      </c>
      <c r="I2154" s="35">
        <f>IFERROR(__xludf.DUMMYFUNCTION("""COMPUTED_VALUE"""),35.0)</f>
        <v>35</v>
      </c>
      <c r="J2154" s="35" t="str">
        <f>IFERROR(__xludf.DUMMYFUNCTION("""COMPUTED_VALUE"""),"35-44 tahun")</f>
        <v>35-44 tahun</v>
      </c>
      <c r="K2154" s="21" t="str">
        <f>IFERROR(__xludf.DUMMYFUNCTION("""COMPUTED_VALUE"""),"07/07/1990")</f>
        <v>07/07/1990</v>
      </c>
      <c r="L2154" s="21" t="str">
        <f>IFERROR(__xludf.DUMMYFUNCTION("""COMPUTED_VALUE"""),"PEREMPUAN")</f>
        <v>PEREMPUAN</v>
      </c>
      <c r="M2154" s="35" t="str">
        <f>IFERROR(__xludf.DUMMYFUNCTION("""COMPUTED_VALUE"""),"JL KOMODOR YOS SUDARSO GG KENARI 1 NOMOR 26 PONTIANAK")</f>
        <v>JL KOMODOR YOS SUDARSO GG KENARI 1 NOMOR 26 PONTIANAK</v>
      </c>
      <c r="N2154" s="35" t="str">
        <f>IFERROR(__xludf.DUMMYFUNCTION("""COMPUTED_VALUE"""),"KELURAHAN SUI JAWI LUAR")</f>
        <v>KELURAHAN SUI JAWI LUAR</v>
      </c>
      <c r="O2154" s="35" t="str">
        <f>IFERROR(__xludf.DUMMYFUNCTION("""COMPUTED_VALUE"""),"PONTIANAK BARAT")</f>
        <v>PONTIANAK BARAT</v>
      </c>
      <c r="P2154" s="35" t="str">
        <f>IFERROR(__xludf.DUMMYFUNCTION("""COMPUTED_VALUE"""),"PONTIANAK")</f>
        <v>PONTIANAK</v>
      </c>
      <c r="Q2154" s="35" t="str">
        <f>IFERROR(__xludf.DUMMYFUNCTION("""COMPUTED_VALUE"""),"KALBAR")</f>
        <v>KALBAR</v>
      </c>
      <c r="R2154" s="21" t="str">
        <f>IFERROR(__xludf.DUMMYFUNCTION("""COMPUTED_VALUE"""),"ISLAM")</f>
        <v>ISLAM</v>
      </c>
      <c r="S2154" s="35" t="str">
        <f>IFERROR(__xludf.DUMMYFUNCTION("""COMPUTED_VALUE"""),"PNS")</f>
        <v>PNS</v>
      </c>
      <c r="T2154" s="35" t="str">
        <f>IFERROR(__xludf.DUMMYFUNCTION("""COMPUTED_VALUE"""),"SARAF PINGGANG KEJEPIT ATAU CIDERA OTOT PINGGANG")</f>
        <v>SARAF PINGGANG KEJEPIT ATAU CIDERA OTOT PINGGANG</v>
      </c>
      <c r="U2154" s="35" t="str">
        <f>IFERROR(__xludf.DUMMYFUNCTION("""COMPUTED_VALUE"""),"JOGGING / RUNNING")</f>
        <v>JOGGING / RUNNING</v>
      </c>
      <c r="V2154" s="37" t="str">
        <f>IFERROR(__xludf.DUMMYFUNCTION("""COMPUTED_VALUE"""),"085750811870")</f>
        <v>085750811870</v>
      </c>
      <c r="W2154" s="45"/>
    </row>
    <row r="2155">
      <c r="A2155" s="45"/>
      <c r="B2155" s="24" t="str">
        <f>IFERROR(__xludf.DUMMYFUNCTION("""COMPUTED_VALUE"""),"25/01/2025 15:10:14")</f>
        <v>25/01/2025 15:10:14</v>
      </c>
      <c r="C2155" s="35"/>
      <c r="D2155" s="10">
        <f>IFERROR(__xludf.DUMMYFUNCTION("""COMPUTED_VALUE"""),45711.0)</f>
        <v>45711</v>
      </c>
      <c r="E2155" s="35" t="str">
        <f>IFERROR(__xludf.DUMMYFUNCTION("""COMPUTED_VALUE"""),"02Feb")</f>
        <v>02Feb</v>
      </c>
      <c r="F2155" s="34" t="str">
        <f>IFERROR(__xludf.DUMMYFUNCTION("""COMPUTED_VALUE"""),"2025")</f>
        <v>2025</v>
      </c>
      <c r="G2155" s="35" t="str">
        <f>IFERROR(__xludf.DUMMYFUNCTION("""COMPUTED_VALUE"""),"IRAMAYATI")</f>
        <v>IRAMAYATI</v>
      </c>
      <c r="H2155" s="35" t="str">
        <f>IFERROR(__xludf.DUMMYFUNCTION("""COMPUTED_VALUE"""),"I6925023190")</f>
        <v>I6925023190</v>
      </c>
      <c r="I2155" s="35">
        <f>IFERROR(__xludf.DUMMYFUNCTION("""COMPUTED_VALUE"""),57.0)</f>
        <v>57</v>
      </c>
      <c r="J2155" s="35" t="str">
        <f>IFERROR(__xludf.DUMMYFUNCTION("""COMPUTED_VALUE"""),"&gt; 44 tahun")</f>
        <v>&gt; 44 tahun</v>
      </c>
      <c r="K2155" s="21" t="str">
        <f>IFERROR(__xludf.DUMMYFUNCTION("""COMPUTED_VALUE"""),"30/01/1969")</f>
        <v>30/01/1969</v>
      </c>
      <c r="L2155" s="21" t="str">
        <f>IFERROR(__xludf.DUMMYFUNCTION("""COMPUTED_VALUE"""),"PEREMPUAN")</f>
        <v>PEREMPUAN</v>
      </c>
      <c r="M2155" s="35" t="str">
        <f>IFERROR(__xludf.DUMMYFUNCTION("""COMPUTED_VALUE"""),"MUNGGU MAS")</f>
        <v>MUNGGU MAS</v>
      </c>
      <c r="N2155" s="35" t="str">
        <f>IFERROR(__xludf.DUMMYFUNCTION("""COMPUTED_VALUE"""),"SUNGAI ENAU")</f>
        <v>SUNGAI ENAU</v>
      </c>
      <c r="O2155" s="35" t="str">
        <f>IFERROR(__xludf.DUMMYFUNCTION("""COMPUTED_VALUE"""),"KUALA MANDOR B")</f>
        <v>KUALA MANDOR B</v>
      </c>
      <c r="P2155" s="35" t="str">
        <f>IFERROR(__xludf.DUMMYFUNCTION("""COMPUTED_VALUE"""),"KUBURAYA")</f>
        <v>KUBURAYA</v>
      </c>
      <c r="Q2155" s="35" t="str">
        <f>IFERROR(__xludf.DUMMYFUNCTION("""COMPUTED_VALUE"""),"KALIMANTAN BARAT")</f>
        <v>KALIMANTAN BARAT</v>
      </c>
      <c r="R2155" s="21" t="str">
        <f>IFERROR(__xludf.DUMMYFUNCTION("""COMPUTED_VALUE"""),"ISLAM")</f>
        <v>ISLAM</v>
      </c>
      <c r="S2155" s="16" t="str">
        <f>IFERROR(__xludf.DUMMYFUNCTION("""COMPUTED_VALUE"""),"IBU RUMAH TANGGA")</f>
        <v>IBU RUMAH TANGGA</v>
      </c>
      <c r="T2155" s="35" t="str">
        <f>IFERROR(__xludf.DUMMYFUNCTION("""COMPUTED_VALUE"""),"BENGKAK BERISI CAIRAN DI BELAKANG LUTUT")</f>
        <v>BENGKAK BERISI CAIRAN DI BELAKANG LUTUT</v>
      </c>
      <c r="U2155" s="35" t="str">
        <f>IFERROR(__xludf.DUMMYFUNCTION("""COMPUTED_VALUE"""),"BERSIH - BERSIH RUMAH BERLEBIHAN")</f>
        <v>BERSIH - BERSIH RUMAH BERLEBIHAN</v>
      </c>
      <c r="V2155" s="37" t="str">
        <f>IFERROR(__xludf.DUMMYFUNCTION("""COMPUTED_VALUE"""),"085845883190")</f>
        <v>085845883190</v>
      </c>
      <c r="W2155" s="45"/>
    </row>
    <row r="2156">
      <c r="A2156" s="45"/>
      <c r="B2156" s="9" t="str">
        <f>IFERROR(__xludf.DUMMYFUNCTION("""COMPUTED_VALUE"""),"24/01/2025 20:50:49")</f>
        <v>24/01/2025 20:50:49</v>
      </c>
      <c r="C2156" s="35"/>
      <c r="D2156" s="10">
        <f>IFERROR(__xludf.DUMMYFUNCTION("""COMPUTED_VALUE"""),45711.0)</f>
        <v>45711</v>
      </c>
      <c r="E2156" s="35" t="str">
        <f>IFERROR(__xludf.DUMMYFUNCTION("""COMPUTED_VALUE"""),"02Feb")</f>
        <v>02Feb</v>
      </c>
      <c r="F2156" s="34" t="str">
        <f>IFERROR(__xludf.DUMMYFUNCTION("""COMPUTED_VALUE"""),"2025")</f>
        <v>2025</v>
      </c>
      <c r="G2156" s="16" t="str">
        <f>IFERROR(__xludf.DUMMYFUNCTION("""COMPUTED_VALUE"""),"DENI ACHMAD NURULAEN")</f>
        <v>DENI ACHMAD NURULAEN</v>
      </c>
      <c r="H2156" s="35" t="str">
        <f>IFERROR(__xludf.DUMMYFUNCTION("""COMPUTED_VALUE"""),"D7025021749")</f>
        <v>D7025021749</v>
      </c>
      <c r="I2156" s="35">
        <f>IFERROR(__xludf.DUMMYFUNCTION("""COMPUTED_VALUE"""),56.0)</f>
        <v>56</v>
      </c>
      <c r="J2156" s="35" t="str">
        <f>IFERROR(__xludf.DUMMYFUNCTION("""COMPUTED_VALUE"""),"&gt; 44 tahun")</f>
        <v>&gt; 44 tahun</v>
      </c>
      <c r="K2156" s="19" t="str">
        <f>IFERROR(__xludf.DUMMYFUNCTION("""COMPUTED_VALUE"""),"09/04/1970")</f>
        <v>09/04/1970</v>
      </c>
      <c r="L2156" s="19" t="str">
        <f>IFERROR(__xludf.DUMMYFUNCTION("""COMPUTED_VALUE"""),"LAKI-LAKI")</f>
        <v>LAKI-LAKI</v>
      </c>
      <c r="M2156" s="16" t="str">
        <f>IFERROR(__xludf.DUMMYFUNCTION("""COMPUTED_VALUE"""),"JL BAKTI NO. 2 RT 06 RW 12")</f>
        <v>JL BAKTI NO. 2 RT 06 RW 12</v>
      </c>
      <c r="N2156" s="16" t="str">
        <f>IFERROR(__xludf.DUMMYFUNCTION("""COMPUTED_VALUE"""),"JATI RAHAYU")</f>
        <v>JATI RAHAYU</v>
      </c>
      <c r="O2156" s="16" t="str">
        <f>IFERROR(__xludf.DUMMYFUNCTION("""COMPUTED_VALUE"""),"PONDOK MELATI")</f>
        <v>PONDOK MELATI</v>
      </c>
      <c r="P2156" s="16" t="str">
        <f>IFERROR(__xludf.DUMMYFUNCTION("""COMPUTED_VALUE"""),"KOTA BEKASI")</f>
        <v>KOTA BEKASI</v>
      </c>
      <c r="Q2156" s="16" t="str">
        <f>IFERROR(__xludf.DUMMYFUNCTION("""COMPUTED_VALUE"""),"JAWA BARAT")</f>
        <v>JAWA BARAT</v>
      </c>
      <c r="R2156" s="19" t="str">
        <f>IFERROR(__xludf.DUMMYFUNCTION("""COMPUTED_VALUE"""),"ISLAM")</f>
        <v>ISLAM</v>
      </c>
      <c r="S2156" s="16" t="str">
        <f>IFERROR(__xludf.DUMMYFUNCTION("""COMPUTED_VALUE"""),"PNS")</f>
        <v>PNS</v>
      </c>
      <c r="T2156" s="16" t="str">
        <f>IFERROR(__xludf.DUMMYFUNCTION("""COMPUTED_VALUE"""),"TENIS ELBOW")</f>
        <v>TENIS ELBOW</v>
      </c>
      <c r="U2156" s="16" t="str">
        <f>IFERROR(__xludf.DUMMYFUNCTION("""COMPUTED_VALUE"""),"TENIS LAPANGAN DAN TENIS MEJA")</f>
        <v>TENIS LAPANGAN DAN TENIS MEJA</v>
      </c>
      <c r="V2156" s="11" t="str">
        <f>IFERROR(__xludf.DUMMYFUNCTION("""COMPUTED_VALUE"""),"087886701749")</f>
        <v>087886701749</v>
      </c>
      <c r="W2156" s="45"/>
    </row>
    <row r="2157">
      <c r="A2157" s="45"/>
      <c r="B2157" s="9" t="str">
        <f>IFERROR(__xludf.DUMMYFUNCTION("""COMPUTED_VALUE"""),"26/01/2025 11:00:15")</f>
        <v>26/01/2025 11:00:15</v>
      </c>
      <c r="C2157" s="35"/>
      <c r="D2157" s="10">
        <f>IFERROR(__xludf.DUMMYFUNCTION("""COMPUTED_VALUE"""),45711.0)</f>
        <v>45711</v>
      </c>
      <c r="E2157" s="35" t="str">
        <f>IFERROR(__xludf.DUMMYFUNCTION("""COMPUTED_VALUE"""),"02Feb")</f>
        <v>02Feb</v>
      </c>
      <c r="F2157" s="34" t="str">
        <f>IFERROR(__xludf.DUMMYFUNCTION("""COMPUTED_VALUE"""),"2025")</f>
        <v>2025</v>
      </c>
      <c r="G2157" s="16" t="str">
        <f>IFERROR(__xludf.DUMMYFUNCTION("""COMPUTED_VALUE"""),"6171016609550002")</f>
        <v>6171016609550002</v>
      </c>
      <c r="H2157" s="35" t="str">
        <f>IFERROR(__xludf.DUMMYFUNCTION("""COMPUTED_VALUE"""),"65525028384")</f>
        <v>65525028384</v>
      </c>
      <c r="I2157" s="35">
        <f>IFERROR(__xludf.DUMMYFUNCTION("""COMPUTED_VALUE"""),70.0)</f>
        <v>70</v>
      </c>
      <c r="J2157" s="35" t="str">
        <f>IFERROR(__xludf.DUMMYFUNCTION("""COMPUTED_VALUE"""),"&gt; 44 tahun")</f>
        <v>&gt; 44 tahun</v>
      </c>
      <c r="K2157" s="19" t="str">
        <f>IFERROR(__xludf.DUMMYFUNCTION("""COMPUTED_VALUE"""),"26/09/1955")</f>
        <v>26/09/1955</v>
      </c>
      <c r="L2157" s="19" t="str">
        <f>IFERROR(__xludf.DUMMYFUNCTION("""COMPUTED_VALUE"""),"PEREMPUAN")</f>
        <v>PEREMPUAN</v>
      </c>
      <c r="M2157" s="16" t="str">
        <f>IFERROR(__xludf.DUMMYFUNCTION("""COMPUTED_VALUE"""),"JLN TANJUNG PURA GG IRAMA 40")</f>
        <v>JLN TANJUNG PURA GG IRAMA 40</v>
      </c>
      <c r="N2157" s="16" t="str">
        <f>IFERROR(__xludf.DUMMYFUNCTION("""COMPUTED_VALUE"""),"BENUA MELAYU DARAT")</f>
        <v>BENUA MELAYU DARAT</v>
      </c>
      <c r="O2157" s="16" t="str">
        <f>IFERROR(__xludf.DUMMYFUNCTION("""COMPUTED_VALUE"""),"PONTIANAK SELATAN")</f>
        <v>PONTIANAK SELATAN</v>
      </c>
      <c r="P2157" s="16" t="str">
        <f>IFERROR(__xludf.DUMMYFUNCTION("""COMPUTED_VALUE"""),"PONTIANAK")</f>
        <v>PONTIANAK</v>
      </c>
      <c r="Q2157" s="16" t="str">
        <f>IFERROR(__xludf.DUMMYFUNCTION("""COMPUTED_VALUE"""),"KALBAR")</f>
        <v>KALBAR</v>
      </c>
      <c r="R2157" s="19" t="str">
        <f>IFERROR(__xludf.DUMMYFUNCTION("""COMPUTED_VALUE"""),"KHONGHUCU")</f>
        <v>KHONGHUCU</v>
      </c>
      <c r="S2157" s="16" t="str">
        <f>IFERROR(__xludf.DUMMYFUNCTION("""COMPUTED_VALUE"""),"IRT")</f>
        <v>IRT</v>
      </c>
      <c r="T2157" s="16" t="str">
        <f>IFERROR(__xludf.DUMMYFUNCTION("""COMPUTED_VALUE"""),"SAKIT PINGGANG")</f>
        <v>SAKIT PINGGANG</v>
      </c>
      <c r="U2157" s="16" t="str">
        <f>IFERROR(__xludf.DUMMYFUNCTION("""COMPUTED_VALUE"""),"SAKIT SAAT POSISI DUDUK KE BERDIRI")</f>
        <v>SAKIT SAAT POSISI DUDUK KE BERDIRI</v>
      </c>
      <c r="V2157" s="11" t="str">
        <f>IFERROR(__xludf.DUMMYFUNCTION("""COMPUTED_VALUE"""),"081311128384")</f>
        <v>081311128384</v>
      </c>
      <c r="W2157" s="45"/>
    </row>
    <row r="2158">
      <c r="A2158" s="45"/>
      <c r="B2158" s="24" t="str">
        <f>IFERROR(__xludf.DUMMYFUNCTION("""COMPUTED_VALUE"""),"26/01/2025 14:12:52")</f>
        <v>26/01/2025 14:12:52</v>
      </c>
      <c r="C2158" s="35"/>
      <c r="D2158" s="10">
        <f>IFERROR(__xludf.DUMMYFUNCTION("""COMPUTED_VALUE"""),45711.0)</f>
        <v>45711</v>
      </c>
      <c r="E2158" s="35" t="str">
        <f>IFERROR(__xludf.DUMMYFUNCTION("""COMPUTED_VALUE"""),"02Feb")</f>
        <v>02Feb</v>
      </c>
      <c r="F2158" s="34" t="str">
        <f>IFERROR(__xludf.DUMMYFUNCTION("""COMPUTED_VALUE"""),"2025")</f>
        <v>2025</v>
      </c>
      <c r="G2158" s="35" t="str">
        <f>IFERROR(__xludf.DUMMYFUNCTION("""COMPUTED_VALUE"""),"IRWANDA")</f>
        <v>IRWANDA</v>
      </c>
      <c r="H2158" s="35" t="str">
        <f>IFERROR(__xludf.DUMMYFUNCTION("""COMPUTED_VALUE"""),"I9525021880")</f>
        <v>I9525021880</v>
      </c>
      <c r="I2158" s="35">
        <f>IFERROR(__xludf.DUMMYFUNCTION("""COMPUTED_VALUE"""),30.0)</f>
        <v>30</v>
      </c>
      <c r="J2158" s="35" t="str">
        <f>IFERROR(__xludf.DUMMYFUNCTION("""COMPUTED_VALUE"""),"25-34 tahun")</f>
        <v>25-34 tahun</v>
      </c>
      <c r="K2158" s="21" t="str">
        <f>IFERROR(__xludf.DUMMYFUNCTION("""COMPUTED_VALUE"""),"31/08/1995")</f>
        <v>31/08/1995</v>
      </c>
      <c r="L2158" s="21" t="str">
        <f>IFERROR(__xludf.DUMMYFUNCTION("""COMPUTED_VALUE"""),"LAKI-LAKI")</f>
        <v>LAKI-LAKI</v>
      </c>
      <c r="M2158" s="35" t="str">
        <f>IFERROR(__xludf.DUMMYFUNCTION("""COMPUTED_VALUE"""),"JALAN PANGSUMA")</f>
        <v>JALAN PANGSUMA</v>
      </c>
      <c r="N2158" s="35" t="str">
        <f>IFERROR(__xludf.DUMMYFUNCTION("""COMPUTED_VALUE"""),"ANTIBAR")</f>
        <v>ANTIBAR</v>
      </c>
      <c r="O2158" s="35" t="str">
        <f>IFERROR(__xludf.DUMMYFUNCTION("""COMPUTED_VALUE"""),"MEMPAWAH TIMUR")</f>
        <v>MEMPAWAH TIMUR</v>
      </c>
      <c r="P2158" s="35" t="str">
        <f>IFERROR(__xludf.DUMMYFUNCTION("""COMPUTED_VALUE"""),"MEMPAWAH")</f>
        <v>MEMPAWAH</v>
      </c>
      <c r="Q2158" s="35" t="str">
        <f>IFERROR(__xludf.DUMMYFUNCTION("""COMPUTED_VALUE"""),"KALIMANTAN BARAT")</f>
        <v>KALIMANTAN BARAT</v>
      </c>
      <c r="R2158" s="21" t="str">
        <f>IFERROR(__xludf.DUMMYFUNCTION("""COMPUTED_VALUE"""),"ISLAM")</f>
        <v>ISLAM</v>
      </c>
      <c r="S2158" s="16" t="str">
        <f>IFERROR(__xludf.DUMMYFUNCTION("""COMPUTED_VALUE"""),"SWASTA")</f>
        <v>SWASTA</v>
      </c>
      <c r="T2158" s="35" t="str">
        <f>IFERROR(__xludf.DUMMYFUNCTION("""COMPUTED_VALUE"""),"BAHU KESELEO, PINGGANG TERASA SAKIT DAN LUTUT SEBELAH KANAN KADANG BIASA TERASA KEMBANG PADAHAL TIDAK ADA MELAKUKAN OLAHRAGA ATAU LAINNYA")</f>
        <v>BAHU KESELEO, PINGGANG TERASA SAKIT DAN LUTUT SEBELAH KANAN KADANG BIASA TERASA KEMBANG PADAHAL TIDAK ADA MELAKUKAN OLAHRAGA ATAU LAINNYA</v>
      </c>
      <c r="U2158" s="35" t="str">
        <f>IFERROR(__xludf.DUMMYFUNCTION("""COMPUTED_VALUE"""),"HOBBY FUTSAL DAN JOGGING")</f>
        <v>HOBBY FUTSAL DAN JOGGING</v>
      </c>
      <c r="V2158" s="37" t="str">
        <f>IFERROR(__xludf.DUMMYFUNCTION("""COMPUTED_VALUE"""),"089693481880")</f>
        <v>089693481880</v>
      </c>
      <c r="W2158" s="45"/>
    </row>
    <row r="2159">
      <c r="A2159" s="45"/>
      <c r="B2159" s="24" t="str">
        <f>IFERROR(__xludf.DUMMYFUNCTION("""COMPUTED_VALUE"""),"26/01/2025 13:15:23")</f>
        <v>26/01/2025 13:15:23</v>
      </c>
      <c r="C2159" s="35"/>
      <c r="D2159" s="10">
        <f>IFERROR(__xludf.DUMMYFUNCTION("""COMPUTED_VALUE"""),45711.0)</f>
        <v>45711</v>
      </c>
      <c r="E2159" s="35" t="str">
        <f>IFERROR(__xludf.DUMMYFUNCTION("""COMPUTED_VALUE"""),"02Feb")</f>
        <v>02Feb</v>
      </c>
      <c r="F2159" s="34" t="str">
        <f>IFERROR(__xludf.DUMMYFUNCTION("""COMPUTED_VALUE"""),"2025")</f>
        <v>2025</v>
      </c>
      <c r="G2159" s="35" t="str">
        <f>IFERROR(__xludf.DUMMYFUNCTION("""COMPUTED_VALUE"""),"ABDURRACHMAN")</f>
        <v>ABDURRACHMAN</v>
      </c>
      <c r="H2159" s="35" t="str">
        <f>IFERROR(__xludf.DUMMYFUNCTION("""COMPUTED_VALUE"""),"A5925029667")</f>
        <v>A5925029667</v>
      </c>
      <c r="I2159" s="35">
        <f>IFERROR(__xludf.DUMMYFUNCTION("""COMPUTED_VALUE"""),66.0)</f>
        <v>66</v>
      </c>
      <c r="J2159" s="35" t="str">
        <f>IFERROR(__xludf.DUMMYFUNCTION("""COMPUTED_VALUE"""),"&gt; 44 tahun")</f>
        <v>&gt; 44 tahun</v>
      </c>
      <c r="K2159" s="21" t="str">
        <f>IFERROR(__xludf.DUMMYFUNCTION("""COMPUTED_VALUE"""),"23/11/1959")</f>
        <v>23/11/1959</v>
      </c>
      <c r="L2159" s="21" t="str">
        <f>IFERROR(__xludf.DUMMYFUNCTION("""COMPUTED_VALUE"""),"LAKI-LAKI")</f>
        <v>LAKI-LAKI</v>
      </c>
      <c r="M2159" s="35" t="str">
        <f>IFERROR(__xludf.DUMMYFUNCTION("""COMPUTED_VALUE"""),"JL ALIANYANG GG. KENCANA 2, NO 15")</f>
        <v>JL ALIANYANG GG. KENCANA 2, NO 15</v>
      </c>
      <c r="N2159" s="35" t="str">
        <f>IFERROR(__xludf.DUMMYFUNCTION("""COMPUTED_VALUE"""),"SEI BANGKONG")</f>
        <v>SEI BANGKONG</v>
      </c>
      <c r="O2159" s="35" t="str">
        <f>IFERROR(__xludf.DUMMYFUNCTION("""COMPUTED_VALUE"""),"PONTIANAK KOTA")</f>
        <v>PONTIANAK KOTA</v>
      </c>
      <c r="P2159" s="35" t="str">
        <f>IFERROR(__xludf.DUMMYFUNCTION("""COMPUTED_VALUE"""),"KOTA PONTIANAK")</f>
        <v>KOTA PONTIANAK</v>
      </c>
      <c r="Q2159" s="35" t="str">
        <f>IFERROR(__xludf.DUMMYFUNCTION("""COMPUTED_VALUE"""),"KALIMANTAN BARAT")</f>
        <v>KALIMANTAN BARAT</v>
      </c>
      <c r="R2159" s="21" t="str">
        <f>IFERROR(__xludf.DUMMYFUNCTION("""COMPUTED_VALUE"""),"ISLAM")</f>
        <v>ISLAM</v>
      </c>
      <c r="S2159" s="16" t="str">
        <f>IFERROR(__xludf.DUMMYFUNCTION("""COMPUTED_VALUE"""),"PENSIUNAN PNS")</f>
        <v>PENSIUNAN PNS</v>
      </c>
      <c r="T2159" s="35" t="str">
        <f>IFERROR(__xludf.DUMMYFUNCTION("""COMPUTED_VALUE"""),"SAKIT DI LUTUT")</f>
        <v>SAKIT DI LUTUT</v>
      </c>
      <c r="U2159" s="35" t="str">
        <f>IFERROR(__xludf.DUMMYFUNCTION("""COMPUTED_VALUE"""),"HANYA AKTIVITAS BIASA, TIDAK ADA OLAHRAGA")</f>
        <v>HANYA AKTIVITAS BIASA, TIDAK ADA OLAHRAGA</v>
      </c>
      <c r="V2159" s="37" t="str">
        <f>IFERROR(__xludf.DUMMYFUNCTION("""COMPUTED_VALUE"""),"+6281351279667")</f>
        <v>+6281351279667</v>
      </c>
      <c r="W2159" s="45"/>
    </row>
    <row r="2160">
      <c r="A2160" s="45"/>
      <c r="B2160" s="24" t="str">
        <f>IFERROR(__xludf.DUMMYFUNCTION("""COMPUTED_VALUE"""),"25/01/2025 15:33:46")</f>
        <v>25/01/2025 15:33:46</v>
      </c>
      <c r="C2160" s="35"/>
      <c r="D2160" s="10">
        <f>IFERROR(__xludf.DUMMYFUNCTION("""COMPUTED_VALUE"""),45711.0)</f>
        <v>45711</v>
      </c>
      <c r="E2160" s="35" t="str">
        <f>IFERROR(__xludf.DUMMYFUNCTION("""COMPUTED_VALUE"""),"02Feb")</f>
        <v>02Feb</v>
      </c>
      <c r="F2160" s="34" t="str">
        <f>IFERROR(__xludf.DUMMYFUNCTION("""COMPUTED_VALUE"""),"2025")</f>
        <v>2025</v>
      </c>
      <c r="G2160" s="35" t="str">
        <f>IFERROR(__xludf.DUMMYFUNCTION("""COMPUTED_VALUE"""),"ADAM GHAFFAR QURNIA")</f>
        <v>ADAM GHAFFAR QURNIA</v>
      </c>
      <c r="H2160" s="35" t="str">
        <f>IFERROR(__xludf.DUMMYFUNCTION("""COMPUTED_VALUE"""),"A1725020042")</f>
        <v>A1725020042</v>
      </c>
      <c r="I2160" s="35">
        <f>IFERROR(__xludf.DUMMYFUNCTION("""COMPUTED_VALUE"""),8.0)</f>
        <v>8</v>
      </c>
      <c r="J2160" s="35" t="str">
        <f>IFERROR(__xludf.DUMMYFUNCTION("""COMPUTED_VALUE"""),"&lt; 18 tahun")</f>
        <v>&lt; 18 tahun</v>
      </c>
      <c r="K2160" s="21" t="str">
        <f>IFERROR(__xludf.DUMMYFUNCTION("""COMPUTED_VALUE"""),"18/07/2017")</f>
        <v>18/07/2017</v>
      </c>
      <c r="L2160" s="21" t="str">
        <f>IFERROR(__xludf.DUMMYFUNCTION("""COMPUTED_VALUE"""),"LAKI-LAKI")</f>
        <v>LAKI-LAKI</v>
      </c>
      <c r="M2160" s="35" t="str">
        <f>IFERROR(__xludf.DUMMYFUNCTION("""COMPUTED_VALUE"""),"JL NIRBAYA GG NIRBAYA 4")</f>
        <v>JL NIRBAYA GG NIRBAYA 4</v>
      </c>
      <c r="N2160" s="35" t="str">
        <f>IFERROR(__xludf.DUMMYFUNCTION("""COMPUTED_VALUE"""),"KOTABARU")</f>
        <v>KOTABARU</v>
      </c>
      <c r="O2160" s="35" t="str">
        <f>IFERROR(__xludf.DUMMYFUNCTION("""COMPUTED_VALUE"""),"PONTIANAK SELATAN")</f>
        <v>PONTIANAK SELATAN</v>
      </c>
      <c r="P2160" s="35" t="str">
        <f>IFERROR(__xludf.DUMMYFUNCTION("""COMPUTED_VALUE"""),"KOTA PONTIANAK")</f>
        <v>KOTA PONTIANAK</v>
      </c>
      <c r="Q2160" s="35" t="str">
        <f>IFERROR(__xludf.DUMMYFUNCTION("""COMPUTED_VALUE"""),"KALIMANTAN BARAT")</f>
        <v>KALIMANTAN BARAT</v>
      </c>
      <c r="R2160" s="21" t="str">
        <f>IFERROR(__xludf.DUMMYFUNCTION("""COMPUTED_VALUE"""),"ISLAM")</f>
        <v>ISLAM</v>
      </c>
      <c r="S2160" s="16" t="str">
        <f>IFERROR(__xludf.DUMMYFUNCTION("""COMPUTED_VALUE"""),"PELAJAR")</f>
        <v>PELAJAR</v>
      </c>
      <c r="T2160" s="35" t="str">
        <f>IFERROR(__xludf.DUMMYFUNCTION("""COMPUTED_VALUE"""),"TERJATUH PADA SAAT MAIN BOLA, TANGAN TERKILIR")</f>
        <v>TERJATUH PADA SAAT MAIN BOLA, TANGAN TERKILIR</v>
      </c>
      <c r="U2160" s="35" t="str">
        <f>IFERROR(__xludf.DUMMYFUNCTION("""COMPUTED_VALUE"""),"SEPAK BOLA")</f>
        <v>SEPAK BOLA</v>
      </c>
      <c r="V2160" s="37" t="str">
        <f>IFERROR(__xludf.DUMMYFUNCTION("""COMPUTED_VALUE"""),"082134400042")</f>
        <v>082134400042</v>
      </c>
      <c r="W2160" s="45"/>
    </row>
    <row r="2161">
      <c r="A2161" s="45"/>
      <c r="B2161" s="35"/>
      <c r="C2161" s="35"/>
      <c r="D2161" s="10">
        <f>IFERROR(__xludf.DUMMYFUNCTION("""COMPUTED_VALUE"""),45711.0)</f>
        <v>45711</v>
      </c>
      <c r="E2161" s="35" t="str">
        <f>IFERROR(__xludf.DUMMYFUNCTION("""COMPUTED_VALUE"""),"02Feb")</f>
        <v>02Feb</v>
      </c>
      <c r="F2161" s="34" t="str">
        <f>IFERROR(__xludf.DUMMYFUNCTION("""COMPUTED_VALUE"""),"2025")</f>
        <v>2025</v>
      </c>
      <c r="G2161" s="35" t="str">
        <f>IFERROR(__xludf.DUMMYFUNCTION("""COMPUTED_VALUE"""),"HJ. ASNAH")</f>
        <v>HJ. ASNAH</v>
      </c>
      <c r="H2161" s="35" t="str">
        <f>IFERROR(__xludf.DUMMYFUNCTION("""COMPUTED_VALUE"""),"H5725022666")</f>
        <v>H5725022666</v>
      </c>
      <c r="I2161" s="35">
        <f>IFERROR(__xludf.DUMMYFUNCTION("""COMPUTED_VALUE"""),69.0)</f>
        <v>69</v>
      </c>
      <c r="J2161" s="35" t="str">
        <f>IFERROR(__xludf.DUMMYFUNCTION("""COMPUTED_VALUE"""),"&gt; 44 tahun")</f>
        <v>&gt; 44 tahun</v>
      </c>
      <c r="K2161" s="21" t="str">
        <f>IFERROR(__xludf.DUMMYFUNCTION("""COMPUTED_VALUE"""),"07/05/1957")</f>
        <v>07/05/1957</v>
      </c>
      <c r="L2161" s="21" t="str">
        <f>IFERROR(__xludf.DUMMYFUNCTION("""COMPUTED_VALUE"""),"PEREMPUAN")</f>
        <v>PEREMPUAN</v>
      </c>
      <c r="M2161" s="35" t="str">
        <f>IFERROR(__xludf.DUMMYFUNCTION("""COMPUTED_VALUE"""),"JL. KOM YOS SUDARSO GG. ALPOKAT INDAH 1A NO. 23")</f>
        <v>JL. KOM YOS SUDARSO GG. ALPOKAT INDAH 1A NO. 23</v>
      </c>
      <c r="N2161" s="35" t="str">
        <f>IFERROR(__xludf.DUMMYFUNCTION("""COMPUTED_VALUE"""),"SUI. BELIUNG")</f>
        <v>SUI. BELIUNG</v>
      </c>
      <c r="O2161" s="35" t="str">
        <f>IFERROR(__xludf.DUMMYFUNCTION("""COMPUTED_VALUE"""),"PONTIANAK BARAT")</f>
        <v>PONTIANAK BARAT</v>
      </c>
      <c r="P2161" s="35" t="str">
        <f>IFERROR(__xludf.DUMMYFUNCTION("""COMPUTED_VALUE"""),"KOTA PONTIANAK")</f>
        <v>KOTA PONTIANAK</v>
      </c>
      <c r="Q2161" s="35" t="str">
        <f>IFERROR(__xludf.DUMMYFUNCTION("""COMPUTED_VALUE"""),"KALIMANTAN BARAT")</f>
        <v>KALIMANTAN BARAT</v>
      </c>
      <c r="R2161" s="21" t="str">
        <f>IFERROR(__xludf.DUMMYFUNCTION("""COMPUTED_VALUE"""),"ISLAM")</f>
        <v>ISLAM</v>
      </c>
      <c r="S2161" s="16" t="str">
        <f>IFERROR(__xludf.DUMMYFUNCTION("""COMPUTED_VALUE"""),"IRT")</f>
        <v>IRT</v>
      </c>
      <c r="T2161" s="35" t="str">
        <f>IFERROR(__xludf.DUMMYFUNCTION("""COMPUTED_VALUE"""),"SAKIT PADA BAGIAN PINGGANG")</f>
        <v>SAKIT PADA BAGIAN PINGGANG</v>
      </c>
      <c r="U2161" s="35" t="str">
        <f>IFERROR(__xludf.DUMMYFUNCTION("""COMPUTED_VALUE"""),"IRT")</f>
        <v>IRT</v>
      </c>
      <c r="V2161" s="37" t="str">
        <f>IFERROR(__xludf.DUMMYFUNCTION("""COMPUTED_VALUE"""),"085349212666")</f>
        <v>085349212666</v>
      </c>
      <c r="W2161" s="45"/>
    </row>
    <row r="2162">
      <c r="A2162" s="45"/>
      <c r="B2162" s="24" t="str">
        <f>IFERROR(__xludf.DUMMYFUNCTION("""COMPUTED_VALUE"""),"13/02/2025 16:33:41")</f>
        <v>13/02/2025 16:33:41</v>
      </c>
      <c r="C2162" s="35"/>
      <c r="D2162" s="10">
        <f>IFERROR(__xludf.DUMMYFUNCTION("""COMPUTED_VALUE"""),45711.0)</f>
        <v>45711</v>
      </c>
      <c r="E2162" s="35" t="str">
        <f>IFERROR(__xludf.DUMMYFUNCTION("""COMPUTED_VALUE"""),"02Feb")</f>
        <v>02Feb</v>
      </c>
      <c r="F2162" s="34" t="str">
        <f>IFERROR(__xludf.DUMMYFUNCTION("""COMPUTED_VALUE"""),"2025")</f>
        <v>2025</v>
      </c>
      <c r="G2162" s="35" t="str">
        <f>IFERROR(__xludf.DUMMYFUNCTION("""COMPUTED_VALUE"""),"ZAID MUHAMMAD DZAKI RAKHIM")</f>
        <v>ZAID MUHAMMAD DZAKI RAKHIM</v>
      </c>
      <c r="H2162" s="35" t="str">
        <f>IFERROR(__xludf.DUMMYFUNCTION("""COMPUTED_VALUE"""),"Z1225023682")</f>
        <v>Z1225023682</v>
      </c>
      <c r="I2162" s="35">
        <f>IFERROR(__xludf.DUMMYFUNCTION("""COMPUTED_VALUE"""),14.0)</f>
        <v>14</v>
      </c>
      <c r="J2162" s="35" t="str">
        <f>IFERROR(__xludf.DUMMYFUNCTION("""COMPUTED_VALUE"""),"&lt; 18 tahun")</f>
        <v>&lt; 18 tahun</v>
      </c>
      <c r="K2162" s="21" t="str">
        <f>IFERROR(__xludf.DUMMYFUNCTION("""COMPUTED_VALUE"""),"25/05/2012")</f>
        <v>25/05/2012</v>
      </c>
      <c r="L2162" s="21" t="str">
        <f>IFERROR(__xludf.DUMMYFUNCTION("""COMPUTED_VALUE"""),"LAKI-LAKI")</f>
        <v>LAKI-LAKI</v>
      </c>
      <c r="M2162" s="35" t="str">
        <f>IFERROR(__xludf.DUMMYFUNCTION("""COMPUTED_VALUE"""),"JL.PERDAMAIAN KOMPLEK ARI KARYA INDAH 4")</f>
        <v>JL.PERDAMAIAN KOMPLEK ARI KARYA INDAH 4</v>
      </c>
      <c r="N2162" s="35" t="str">
        <f>IFERROR(__xludf.DUMMYFUNCTION("""COMPUTED_VALUE"""),"PAL 9")</f>
        <v>PAL 9</v>
      </c>
      <c r="O2162" s="35" t="str">
        <f>IFERROR(__xludf.DUMMYFUNCTION("""COMPUTED_VALUE"""),"KAKAP")</f>
        <v>KAKAP</v>
      </c>
      <c r="P2162" s="35" t="str">
        <f>IFERROR(__xludf.DUMMYFUNCTION("""COMPUTED_VALUE"""),"KUBU RAYA")</f>
        <v>KUBU RAYA</v>
      </c>
      <c r="Q2162" s="35" t="str">
        <f>IFERROR(__xludf.DUMMYFUNCTION("""COMPUTED_VALUE"""),"KALIMANTAN BARAT")</f>
        <v>KALIMANTAN BARAT</v>
      </c>
      <c r="R2162" s="21" t="str">
        <f>IFERROR(__xludf.DUMMYFUNCTION("""COMPUTED_VALUE"""),"ISLAM")</f>
        <v>ISLAM</v>
      </c>
      <c r="S2162" s="16" t="str">
        <f>IFERROR(__xludf.DUMMYFUNCTION("""COMPUTED_VALUE"""),"PELAJAR")</f>
        <v>PELAJAR</v>
      </c>
      <c r="T2162" s="35" t="str">
        <f>IFERROR(__xludf.DUMMYFUNCTION("""COMPUTED_VALUE"""),"NYERI BAGIAN TELAPAK KAKI")</f>
        <v>NYERI BAGIAN TELAPAK KAKI</v>
      </c>
      <c r="U2162" s="35" t="str">
        <f>IFERROR(__xludf.DUMMYFUNCTION("""COMPUTED_VALUE"""),"OLAHRAGA FUTSAL")</f>
        <v>OLAHRAGA FUTSAL</v>
      </c>
      <c r="V2162" s="37" t="str">
        <f>IFERROR(__xludf.DUMMYFUNCTION("""COMPUTED_VALUE"""),"082152183682")</f>
        <v>082152183682</v>
      </c>
      <c r="W2162" s="45"/>
    </row>
    <row r="2163">
      <c r="A2163" s="45"/>
      <c r="B2163" s="24" t="str">
        <f>IFERROR(__xludf.DUMMYFUNCTION("""COMPUTED_VALUE"""),"27/01/2025 15:44:58")</f>
        <v>27/01/2025 15:44:58</v>
      </c>
      <c r="C2163" s="35"/>
      <c r="D2163" s="10">
        <f>IFERROR(__xludf.DUMMYFUNCTION("""COMPUTED_VALUE"""),45712.0)</f>
        <v>45712</v>
      </c>
      <c r="E2163" s="35" t="str">
        <f>IFERROR(__xludf.DUMMYFUNCTION("""COMPUTED_VALUE"""),"02Feb")</f>
        <v>02Feb</v>
      </c>
      <c r="F2163" s="34" t="str">
        <f>IFERROR(__xludf.DUMMYFUNCTION("""COMPUTED_VALUE"""),"2025")</f>
        <v>2025</v>
      </c>
      <c r="G2163" s="35" t="str">
        <f>IFERROR(__xludf.DUMMYFUNCTION("""COMPUTED_VALUE"""),"WAHYU WIRA PRATAMA")</f>
        <v>WAHYU WIRA PRATAMA</v>
      </c>
      <c r="H2163" s="35" t="str">
        <f>IFERROR(__xludf.DUMMYFUNCTION("""COMPUTED_VALUE"""),"W9125025566")</f>
        <v>W9125025566</v>
      </c>
      <c r="I2163" s="35">
        <f>IFERROR(__xludf.DUMMYFUNCTION("""COMPUTED_VALUE"""),35.0)</f>
        <v>35</v>
      </c>
      <c r="J2163" s="35" t="str">
        <f>IFERROR(__xludf.DUMMYFUNCTION("""COMPUTED_VALUE"""),"35-44 tahun")</f>
        <v>35-44 tahun</v>
      </c>
      <c r="K2163" s="21" t="str">
        <f>IFERROR(__xludf.DUMMYFUNCTION("""COMPUTED_VALUE"""),"11/03/1991")</f>
        <v>11/03/1991</v>
      </c>
      <c r="L2163" s="21" t="str">
        <f>IFERROR(__xludf.DUMMYFUNCTION("""COMPUTED_VALUE"""),"LAKI-LAKI")</f>
        <v>LAKI-LAKI</v>
      </c>
      <c r="M2163" s="35" t="str">
        <f>IFERROR(__xludf.DUMMYFUNCTION("""COMPUTED_VALUE"""),"JL ADI SUCIPTO GG CEMPAKA PUTIH NO 17")</f>
        <v>JL ADI SUCIPTO GG CEMPAKA PUTIH NO 17</v>
      </c>
      <c r="N2163" s="35" t="str">
        <f>IFERROR(__xludf.DUMMYFUNCTION("""COMPUTED_VALUE"""),"PARIT BARU")</f>
        <v>PARIT BARU</v>
      </c>
      <c r="O2163" s="35" t="str">
        <f>IFERROR(__xludf.DUMMYFUNCTION("""COMPUTED_VALUE"""),"SUNGAI RAYA")</f>
        <v>SUNGAI RAYA</v>
      </c>
      <c r="P2163" s="35" t="str">
        <f>IFERROR(__xludf.DUMMYFUNCTION("""COMPUTED_VALUE"""),"KUBU RAYA")</f>
        <v>KUBU RAYA</v>
      </c>
      <c r="Q2163" s="35" t="str">
        <f>IFERROR(__xludf.DUMMYFUNCTION("""COMPUTED_VALUE"""),"KALIMANTAM BARAT")</f>
        <v>KALIMANTAM BARAT</v>
      </c>
      <c r="R2163" s="21" t="str">
        <f>IFERROR(__xludf.DUMMYFUNCTION("""COMPUTED_VALUE"""),"ISLAM")</f>
        <v>ISLAM</v>
      </c>
      <c r="S2163" s="16" t="str">
        <f>IFERROR(__xludf.DUMMYFUNCTION("""COMPUTED_VALUE"""),"PENGAJAR")</f>
        <v>PENGAJAR</v>
      </c>
      <c r="T2163" s="35" t="str">
        <f>IFERROR(__xludf.DUMMYFUNCTION("""COMPUTED_VALUE"""),"SAKIT PINGGANG LOWER BACK")</f>
        <v>SAKIT PINGGANG LOWER BACK</v>
      </c>
      <c r="U2163" s="35" t="str">
        <f>IFERROR(__xludf.DUMMYFUNCTION("""COMPUTED_VALUE"""),"ANGKAT BEBAN FITNES, SERING DUDUK DALAM WAKTU LAMA")</f>
        <v>ANGKAT BEBAN FITNES, SERING DUDUK DALAM WAKTU LAMA</v>
      </c>
      <c r="V2163" s="37" t="str">
        <f>IFERROR(__xludf.DUMMYFUNCTION("""COMPUTED_VALUE"""),"082132615566")</f>
        <v>082132615566</v>
      </c>
      <c r="W2163" s="45"/>
    </row>
    <row r="2164">
      <c r="A2164" s="45"/>
      <c r="B2164" s="71" t="str">
        <f>IFERROR(__xludf.DUMMYFUNCTION("""COMPUTED_VALUE"""),"27/01/2025 21:30:53")</f>
        <v>27/01/2025 21:30:53</v>
      </c>
      <c r="C2164" s="35"/>
      <c r="D2164" s="10">
        <f>IFERROR(__xludf.DUMMYFUNCTION("""COMPUTED_VALUE"""),45712.0)</f>
        <v>45712</v>
      </c>
      <c r="E2164" s="35" t="str">
        <f>IFERROR(__xludf.DUMMYFUNCTION("""COMPUTED_VALUE"""),"02Feb")</f>
        <v>02Feb</v>
      </c>
      <c r="F2164" s="34" t="str">
        <f>IFERROR(__xludf.DUMMYFUNCTION("""COMPUTED_VALUE"""),"2025")</f>
        <v>2025</v>
      </c>
      <c r="G2164" s="16" t="str">
        <f>IFERROR(__xludf.DUMMYFUNCTION("""COMPUTED_VALUE"""),"ROMY KAPILANI")</f>
        <v>ROMY KAPILANI</v>
      </c>
      <c r="H2164" s="35" t="str">
        <f>IFERROR(__xludf.DUMMYFUNCTION("""COMPUTED_VALUE"""),"R8525027743")</f>
        <v>R8525027743</v>
      </c>
      <c r="I2164" s="35">
        <f>IFERROR(__xludf.DUMMYFUNCTION("""COMPUTED_VALUE"""),41.0)</f>
        <v>41</v>
      </c>
      <c r="J2164" s="35" t="str">
        <f>IFERROR(__xludf.DUMMYFUNCTION("""COMPUTED_VALUE"""),"35-44 tahun")</f>
        <v>35-44 tahun</v>
      </c>
      <c r="K2164" s="72" t="str">
        <f>IFERROR(__xludf.DUMMYFUNCTION("""COMPUTED_VALUE"""),"11/05/1985")</f>
        <v>11/05/1985</v>
      </c>
      <c r="L2164" s="19" t="str">
        <f>IFERROR(__xludf.DUMMYFUNCTION("""COMPUTED_VALUE"""),"LAKI-LAKI")</f>
        <v>LAKI-LAKI</v>
      </c>
      <c r="M2164" s="16" t="str">
        <f>IFERROR(__xludf.DUMMYFUNCTION("""COMPUTED_VALUE"""),"JALAN UJUNG PANDANG")</f>
        <v>JALAN UJUNG PANDANG</v>
      </c>
      <c r="N2164" s="16" t="str">
        <f>IFERROR(__xludf.DUMMYFUNCTION("""COMPUTED_VALUE"""),"SUNGAI JAWI")</f>
        <v>SUNGAI JAWI</v>
      </c>
      <c r="O2164" s="16" t="str">
        <f>IFERROR(__xludf.DUMMYFUNCTION("""COMPUTED_VALUE"""),"PONTIANAK KOTA")</f>
        <v>PONTIANAK KOTA</v>
      </c>
      <c r="P2164" s="16" t="str">
        <f>IFERROR(__xludf.DUMMYFUNCTION("""COMPUTED_VALUE"""),"KOTA PONTIANAK")</f>
        <v>KOTA PONTIANAK</v>
      </c>
      <c r="Q2164" s="35" t="str">
        <f>IFERROR(__xludf.DUMMYFUNCTION("""COMPUTED_VALUE"""),"KALIMANTAN BARAT")</f>
        <v>KALIMANTAN BARAT</v>
      </c>
      <c r="R2164" s="19" t="str">
        <f>IFERROR(__xludf.DUMMYFUNCTION("""COMPUTED_VALUE"""),"ISLAM")</f>
        <v>ISLAM</v>
      </c>
      <c r="S2164" s="16" t="str">
        <f>IFERROR(__xludf.DUMMYFUNCTION("""COMPUTED_VALUE"""),"BUMN")</f>
        <v>BUMN</v>
      </c>
      <c r="T2164" s="16" t="str">
        <f>IFERROR(__xludf.DUMMYFUNCTION("""COMPUTED_VALUE"""),"BAHU DAN LENGAN SAKIT")</f>
        <v>BAHU DAN LENGAN SAKIT</v>
      </c>
      <c r="U2164" s="16" t="str">
        <f>IFERROR(__xludf.DUMMYFUNCTION("""COMPUTED_VALUE"""),"OLAHRAGA")</f>
        <v>OLAHRAGA</v>
      </c>
      <c r="V2164" s="11" t="str">
        <f>IFERROR(__xludf.DUMMYFUNCTION("""COMPUTED_VALUE"""),"081328227743")</f>
        <v>081328227743</v>
      </c>
      <c r="W2164" s="45"/>
    </row>
    <row r="2165">
      <c r="A2165" s="45"/>
      <c r="B2165" s="24" t="str">
        <f>IFERROR(__xludf.DUMMYFUNCTION("""COMPUTED_VALUE"""),"27/01/2025 22:16:56")</f>
        <v>27/01/2025 22:16:56</v>
      </c>
      <c r="C2165" s="35"/>
      <c r="D2165" s="10">
        <f>IFERROR(__xludf.DUMMYFUNCTION("""COMPUTED_VALUE"""),45712.0)</f>
        <v>45712</v>
      </c>
      <c r="E2165" s="35" t="str">
        <f>IFERROR(__xludf.DUMMYFUNCTION("""COMPUTED_VALUE"""),"02Feb")</f>
        <v>02Feb</v>
      </c>
      <c r="F2165" s="34" t="str">
        <f>IFERROR(__xludf.DUMMYFUNCTION("""COMPUTED_VALUE"""),"2025")</f>
        <v>2025</v>
      </c>
      <c r="G2165" s="35" t="str">
        <f>IFERROR(__xludf.DUMMYFUNCTION("""COMPUTED_VALUE"""),"ABDUL RAZAQ AZWI")</f>
        <v>ABDUL RAZAQ AZWI</v>
      </c>
      <c r="H2165" s="35" t="str">
        <f>IFERROR(__xludf.DUMMYFUNCTION("""COMPUTED_VALUE"""),"A9625022196")</f>
        <v>A9625022196</v>
      </c>
      <c r="I2165" s="35">
        <f>IFERROR(__xludf.DUMMYFUNCTION("""COMPUTED_VALUE"""),29.0)</f>
        <v>29</v>
      </c>
      <c r="J2165" s="35" t="str">
        <f>IFERROR(__xludf.DUMMYFUNCTION("""COMPUTED_VALUE"""),"25-34 tahun")</f>
        <v>25-34 tahun</v>
      </c>
      <c r="K2165" s="21" t="str">
        <f>IFERROR(__xludf.DUMMYFUNCTION("""COMPUTED_VALUE"""),"21/07/1996")</f>
        <v>21/07/1996</v>
      </c>
      <c r="L2165" s="21" t="str">
        <f>IFERROR(__xludf.DUMMYFUNCTION("""COMPUTED_VALUE"""),"LAKI-LAKI")</f>
        <v>LAKI-LAKI</v>
      </c>
      <c r="M2165" s="35" t="str">
        <f>IFERROR(__xludf.DUMMYFUNCTION("""COMPUTED_VALUE"""),"JALAN FLAMBOYAN KENCANA NO 24")</f>
        <v>JALAN FLAMBOYAN KENCANA NO 24</v>
      </c>
      <c r="N2165" s="35" t="str">
        <f>IFERROR(__xludf.DUMMYFUNCTION("""COMPUTED_VALUE"""),"REMPOA")</f>
        <v>REMPOA</v>
      </c>
      <c r="O2165" s="35" t="str">
        <f>IFERROR(__xludf.DUMMYFUNCTION("""COMPUTED_VALUE"""),"REMPOA")</f>
        <v>REMPOA</v>
      </c>
      <c r="P2165" s="35" t="str">
        <f>IFERROR(__xludf.DUMMYFUNCTION("""COMPUTED_VALUE"""),"TANGGRANG SELATAN")</f>
        <v>TANGGRANG SELATAN</v>
      </c>
      <c r="Q2165" s="35" t="str">
        <f>IFERROR(__xludf.DUMMYFUNCTION("""COMPUTED_VALUE"""),"BANTEN")</f>
        <v>BANTEN</v>
      </c>
      <c r="R2165" s="21" t="str">
        <f>IFERROR(__xludf.DUMMYFUNCTION("""COMPUTED_VALUE"""),"ISLAM")</f>
        <v>ISLAM</v>
      </c>
      <c r="S2165" s="35" t="str">
        <f>IFERROR(__xludf.DUMMYFUNCTION("""COMPUTED_VALUE"""),"PENGUSAHA")</f>
        <v>PENGUSAHA</v>
      </c>
      <c r="T2165" s="35" t="str">
        <f>IFERROR(__xludf.DUMMYFUNCTION("""COMPUTED_VALUE"""),"NYERI")</f>
        <v>NYERI</v>
      </c>
      <c r="U2165" s="35" t="str">
        <f>IFERROR(__xludf.DUMMYFUNCTION("""COMPUTED_VALUE"""),"GYM")</f>
        <v>GYM</v>
      </c>
      <c r="V2165" s="37" t="str">
        <f>IFERROR(__xludf.DUMMYFUNCTION("""COMPUTED_VALUE"""),"081808872196")</f>
        <v>081808872196</v>
      </c>
      <c r="W2165" s="45"/>
    </row>
    <row r="2166">
      <c r="A2166" s="45"/>
      <c r="B2166" s="24" t="str">
        <f>IFERROR(__xludf.DUMMYFUNCTION("""COMPUTED_VALUE"""),"27/01/2025 23:09:45")</f>
        <v>27/01/2025 23:09:45</v>
      </c>
      <c r="C2166" s="35"/>
      <c r="D2166" s="10">
        <f>IFERROR(__xludf.DUMMYFUNCTION("""COMPUTED_VALUE"""),45712.0)</f>
        <v>45712</v>
      </c>
      <c r="E2166" s="35" t="str">
        <f>IFERROR(__xludf.DUMMYFUNCTION("""COMPUTED_VALUE"""),"02Feb")</f>
        <v>02Feb</v>
      </c>
      <c r="F2166" s="34" t="str">
        <f>IFERROR(__xludf.DUMMYFUNCTION("""COMPUTED_VALUE"""),"2025")</f>
        <v>2025</v>
      </c>
      <c r="G2166" s="35" t="str">
        <f>IFERROR(__xludf.DUMMYFUNCTION("""COMPUTED_VALUE"""),"DHARMITA GINTING")</f>
        <v>DHARMITA GINTING</v>
      </c>
      <c r="H2166" s="35" t="str">
        <f>IFERROR(__xludf.DUMMYFUNCTION("""COMPUTED_VALUE"""),"D8525023558")</f>
        <v>D8525023558</v>
      </c>
      <c r="I2166" s="35">
        <f>IFERROR(__xludf.DUMMYFUNCTION("""COMPUTED_VALUE"""),41.0)</f>
        <v>41</v>
      </c>
      <c r="J2166" s="35" t="str">
        <f>IFERROR(__xludf.DUMMYFUNCTION("""COMPUTED_VALUE"""),"35-44 tahun")</f>
        <v>35-44 tahun</v>
      </c>
      <c r="K2166" s="21" t="str">
        <f>IFERROR(__xludf.DUMMYFUNCTION("""COMPUTED_VALUE"""),"14/04/1985")</f>
        <v>14/04/1985</v>
      </c>
      <c r="L2166" s="21" t="str">
        <f>IFERROR(__xludf.DUMMYFUNCTION("""COMPUTED_VALUE"""),"PEREMPUAN")</f>
        <v>PEREMPUAN</v>
      </c>
      <c r="M2166" s="35" t="str">
        <f>IFERROR(__xludf.DUMMYFUNCTION("""COMPUTED_VALUE"""),"JL. KESEHATAN GANG SUMBER AGUN 4 NO 2 A")</f>
        <v>JL. KESEHATAN GANG SUMBER AGUN 4 NO 2 A</v>
      </c>
      <c r="N2166" s="35" t="str">
        <f>IFERROR(__xludf.DUMMYFUNCTION("""COMPUTED_VALUE"""),"-")</f>
        <v>-</v>
      </c>
      <c r="O2166" s="35" t="str">
        <f>IFERROR(__xludf.DUMMYFUNCTION("""COMPUTED_VALUE"""),"-")</f>
        <v>-</v>
      </c>
      <c r="P2166" s="35" t="str">
        <f>IFERROR(__xludf.DUMMYFUNCTION("""COMPUTED_VALUE"""),"KOTA PONTIANAK")</f>
        <v>KOTA PONTIANAK</v>
      </c>
      <c r="Q2166" s="35" t="str">
        <f>IFERROR(__xludf.DUMMYFUNCTION("""COMPUTED_VALUE"""),"KALIMANTAN BARAT")</f>
        <v>KALIMANTAN BARAT</v>
      </c>
      <c r="R2166" s="21" t="str">
        <f>IFERROR(__xludf.DUMMYFUNCTION("""COMPUTED_VALUE"""),"ISLAM")</f>
        <v>ISLAM</v>
      </c>
      <c r="S2166" s="35" t="str">
        <f>IFERROR(__xludf.DUMMYFUNCTION("""COMPUTED_VALUE"""),"RUMAH TANGGA")</f>
        <v>RUMAH TANGGA</v>
      </c>
      <c r="T2166" s="35" t="str">
        <f>IFERROR(__xludf.DUMMYFUNCTION("""COMPUTED_VALUE"""),"BAHU")</f>
        <v>BAHU</v>
      </c>
      <c r="U2166" s="35" t="str">
        <f>IFERROR(__xludf.DUMMYFUNCTION("""COMPUTED_VALUE"""),"IRT")</f>
        <v>IRT</v>
      </c>
      <c r="V2166" s="37" t="str">
        <f>IFERROR(__xludf.DUMMYFUNCTION("""COMPUTED_VALUE"""),"081255673558")</f>
        <v>081255673558</v>
      </c>
      <c r="W2166" s="45"/>
    </row>
    <row r="2167">
      <c r="A2167" s="45"/>
      <c r="B2167" s="24" t="str">
        <f>IFERROR(__xludf.DUMMYFUNCTION("""COMPUTED_VALUE"""),"28/01/2025 9:52:26")</f>
        <v>28/01/2025 9:52:26</v>
      </c>
      <c r="C2167" s="35"/>
      <c r="D2167" s="10">
        <f>IFERROR(__xludf.DUMMYFUNCTION("""COMPUTED_VALUE"""),45713.0)</f>
        <v>45713</v>
      </c>
      <c r="E2167" s="35" t="str">
        <f>IFERROR(__xludf.DUMMYFUNCTION("""COMPUTED_VALUE"""),"02Feb")</f>
        <v>02Feb</v>
      </c>
      <c r="F2167" s="34" t="str">
        <f>IFERROR(__xludf.DUMMYFUNCTION("""COMPUTED_VALUE"""),"2025")</f>
        <v>2025</v>
      </c>
      <c r="G2167" s="35" t="str">
        <f>IFERROR(__xludf.DUMMYFUNCTION("""COMPUTED_VALUE"""),"SULAIMAN 6407")</f>
        <v>SULAIMAN 6407</v>
      </c>
      <c r="H2167" s="35" t="str">
        <f>IFERROR(__xludf.DUMMYFUNCTION("""COMPUTED_VALUE"""),"S6425029234")</f>
        <v>S6425029234</v>
      </c>
      <c r="I2167" s="35">
        <f>IFERROR(__xludf.DUMMYFUNCTION("""COMPUTED_VALUE"""),61.0)</f>
        <v>61</v>
      </c>
      <c r="J2167" s="35" t="str">
        <f>IFERROR(__xludf.DUMMYFUNCTION("""COMPUTED_VALUE"""),"&gt; 44 tahun")</f>
        <v>&gt; 44 tahun</v>
      </c>
      <c r="K2167" s="21" t="str">
        <f>IFERROR(__xludf.DUMMYFUNCTION("""COMPUTED_VALUE"""),"04/07/1964")</f>
        <v>04/07/1964</v>
      </c>
      <c r="L2167" s="21" t="str">
        <f>IFERROR(__xludf.DUMMYFUNCTION("""COMPUTED_VALUE"""),"LAKI-LAKI")</f>
        <v>LAKI-LAKI</v>
      </c>
      <c r="M2167" s="35" t="str">
        <f>IFERROR(__xludf.DUMMYFUNCTION("""COMPUTED_VALUE"""),"JLN UJUNG PANDANG 2 KOMPLEK AMPERA HARMONI NO. B. 8 PONTIANAK")</f>
        <v>JLN UJUNG PANDANG 2 KOMPLEK AMPERA HARMONI NO. B. 8 PONTIANAK</v>
      </c>
      <c r="N2167" s="35" t="str">
        <f>IFERROR(__xludf.DUMMYFUNCTION("""COMPUTED_VALUE"""),"SUNGAI JAWI")</f>
        <v>SUNGAI JAWI</v>
      </c>
      <c r="O2167" s="35" t="str">
        <f>IFERROR(__xludf.DUMMYFUNCTION("""COMPUTED_VALUE"""),"PONTIANAK KOTA")</f>
        <v>PONTIANAK KOTA</v>
      </c>
      <c r="P2167" s="35" t="str">
        <f>IFERROR(__xludf.DUMMYFUNCTION("""COMPUTED_VALUE"""),"KOTA PONTIANAK")</f>
        <v>KOTA PONTIANAK</v>
      </c>
      <c r="Q2167" s="35" t="str">
        <f>IFERROR(__xludf.DUMMYFUNCTION("""COMPUTED_VALUE"""),"KALIMANTAN BARAT")</f>
        <v>KALIMANTAN BARAT</v>
      </c>
      <c r="R2167" s="21" t="str">
        <f>IFERROR(__xludf.DUMMYFUNCTION("""COMPUTED_VALUE"""),"ISLAM")</f>
        <v>ISLAM</v>
      </c>
      <c r="S2167" s="35" t="str">
        <f>IFERROR(__xludf.DUMMYFUNCTION("""COMPUTED_VALUE"""),"PENSIUNAN")</f>
        <v>PENSIUNAN</v>
      </c>
      <c r="T2167" s="35" t="str">
        <f>IFERROR(__xludf.DUMMYFUNCTION("""COMPUTED_VALUE"""),"SAKIT NYERI PADA TANGAN KANAN")</f>
        <v>SAKIT NYERI PADA TANGAN KANAN</v>
      </c>
      <c r="U2167" s="35" t="str">
        <f>IFERROR(__xludf.DUMMYFUNCTION("""COMPUTED_VALUE"""),"PEKERJAAN")</f>
        <v>PEKERJAAN</v>
      </c>
      <c r="V2167" s="37" t="str">
        <f>IFERROR(__xludf.DUMMYFUNCTION("""COMPUTED_VALUE"""),"085245609234")</f>
        <v>085245609234</v>
      </c>
      <c r="W2167" s="45"/>
    </row>
    <row r="2168">
      <c r="A2168" s="45"/>
      <c r="B2168" s="24" t="str">
        <f>IFERROR(__xludf.DUMMYFUNCTION("""COMPUTED_VALUE"""),"28/01/2025 10:51:28")</f>
        <v>28/01/2025 10:51:28</v>
      </c>
      <c r="C2168" s="35"/>
      <c r="D2168" s="10">
        <f>IFERROR(__xludf.DUMMYFUNCTION("""COMPUTED_VALUE"""),45713.0)</f>
        <v>45713</v>
      </c>
      <c r="E2168" s="35" t="str">
        <f>IFERROR(__xludf.DUMMYFUNCTION("""COMPUTED_VALUE"""),"02Feb")</f>
        <v>02Feb</v>
      </c>
      <c r="F2168" s="34" t="str">
        <f>IFERROR(__xludf.DUMMYFUNCTION("""COMPUTED_VALUE"""),"2025")</f>
        <v>2025</v>
      </c>
      <c r="G2168" s="35" t="str">
        <f>IFERROR(__xludf.DUMMYFUNCTION("""COMPUTED_VALUE"""),"NI NI LO")</f>
        <v>NI NI LO</v>
      </c>
      <c r="H2168" s="35" t="str">
        <f>IFERROR(__xludf.DUMMYFUNCTION("""COMPUTED_VALUE"""),"N8225029009")</f>
        <v>N8225029009</v>
      </c>
      <c r="I2168" s="35">
        <f>IFERROR(__xludf.DUMMYFUNCTION("""COMPUTED_VALUE"""),43.0)</f>
        <v>43</v>
      </c>
      <c r="J2168" s="35" t="str">
        <f>IFERROR(__xludf.DUMMYFUNCTION("""COMPUTED_VALUE"""),"35-44 tahun")</f>
        <v>35-44 tahun</v>
      </c>
      <c r="K2168" s="21">
        <f>IFERROR(__xludf.DUMMYFUNCTION("""COMPUTED_VALUE"""),30177.0)</f>
        <v>30177</v>
      </c>
      <c r="L2168" s="21" t="str">
        <f>IFERROR(__xludf.DUMMYFUNCTION("""COMPUTED_VALUE"""),"PEREMPUAN")</f>
        <v>PEREMPUAN</v>
      </c>
      <c r="M2168" s="35" t="str">
        <f>IFERROR(__xludf.DUMMYFUNCTION("""COMPUTED_VALUE"""),"JALAN PUYUH GANG PUYUH 3")</f>
        <v>JALAN PUYUH GANG PUYUH 3</v>
      </c>
      <c r="N2168" s="35" t="str">
        <f>IFERROR(__xludf.DUMMYFUNCTION("""COMPUTED_VALUE"""),"MARIANA")</f>
        <v>MARIANA</v>
      </c>
      <c r="O2168" s="35" t="str">
        <f>IFERROR(__xludf.DUMMYFUNCTION("""COMPUTED_VALUE"""),"PONTIANAK KOTA")</f>
        <v>PONTIANAK KOTA</v>
      </c>
      <c r="P2168" s="35" t="str">
        <f>IFERROR(__xludf.DUMMYFUNCTION("""COMPUTED_VALUE"""),"PONTIANAK")</f>
        <v>PONTIANAK</v>
      </c>
      <c r="Q2168" s="35" t="str">
        <f>IFERROR(__xludf.DUMMYFUNCTION("""COMPUTED_VALUE"""),"KALIMANTAN BARAT")</f>
        <v>KALIMANTAN BARAT</v>
      </c>
      <c r="R2168" s="21" t="str">
        <f>IFERROR(__xludf.DUMMYFUNCTION("""COMPUTED_VALUE"""),"BUDDHA")</f>
        <v>BUDDHA</v>
      </c>
      <c r="S2168" s="16" t="str">
        <f>IFERROR(__xludf.DUMMYFUNCTION("""COMPUTED_VALUE"""),"IBU RUMAHTANGGA")</f>
        <v>IBU RUMAHTANGGA</v>
      </c>
      <c r="T2168" s="35" t="str">
        <f>IFERROR(__xludf.DUMMYFUNCTION("""COMPUTED_VALUE"""),"SARAF KETARIK DARI PINGGANG SAMPAI KE KAKI")</f>
        <v>SARAF KETARIK DARI PINGGANG SAMPAI KE KAKI</v>
      </c>
      <c r="U2168" s="35" t="str">
        <f>IFERROR(__xludf.DUMMYFUNCTION("""COMPUTED_VALUE"""),"SENAM")</f>
        <v>SENAM</v>
      </c>
      <c r="V2168" s="37" t="str">
        <f>IFERROR(__xludf.DUMMYFUNCTION("""COMPUTED_VALUE"""),"085224779009")</f>
        <v>085224779009</v>
      </c>
      <c r="W2168" s="45"/>
    </row>
    <row r="2169">
      <c r="A2169" s="45"/>
      <c r="B2169" s="24" t="str">
        <f>IFERROR(__xludf.DUMMYFUNCTION("""COMPUTED_VALUE"""),"28/01/2025 13:36:10")</f>
        <v>28/01/2025 13:36:10</v>
      </c>
      <c r="C2169" s="35"/>
      <c r="D2169" s="10">
        <f>IFERROR(__xludf.DUMMYFUNCTION("""COMPUTED_VALUE"""),45714.0)</f>
        <v>45714</v>
      </c>
      <c r="E2169" s="35" t="str">
        <f>IFERROR(__xludf.DUMMYFUNCTION("""COMPUTED_VALUE"""),"02Feb")</f>
        <v>02Feb</v>
      </c>
      <c r="F2169" s="34" t="str">
        <f>IFERROR(__xludf.DUMMYFUNCTION("""COMPUTED_VALUE"""),"2025")</f>
        <v>2025</v>
      </c>
      <c r="G2169" s="35" t="str">
        <f>IFERROR(__xludf.DUMMYFUNCTION("""COMPUTED_VALUE"""),"AHMAD WAGEANSYAH")</f>
        <v>AHMAD WAGEANSYAH</v>
      </c>
      <c r="H2169" s="35" t="str">
        <f>IFERROR(__xludf.DUMMYFUNCTION("""COMPUTED_VALUE"""),"A9425025683")</f>
        <v>A9425025683</v>
      </c>
      <c r="I2169" s="35">
        <f>IFERROR(__xludf.DUMMYFUNCTION("""COMPUTED_VALUE"""),31.0)</f>
        <v>31</v>
      </c>
      <c r="J2169" s="35" t="str">
        <f>IFERROR(__xludf.DUMMYFUNCTION("""COMPUTED_VALUE"""),"25-34 tahun")</f>
        <v>25-34 tahun</v>
      </c>
      <c r="K2169" s="21" t="str">
        <f>IFERROR(__xludf.DUMMYFUNCTION("""COMPUTED_VALUE"""),"11/11/1994")</f>
        <v>11/11/1994</v>
      </c>
      <c r="L2169" s="21" t="str">
        <f>IFERROR(__xludf.DUMMYFUNCTION("""COMPUTED_VALUE"""),"LAKI-LAKI")</f>
        <v>LAKI-LAKI</v>
      </c>
      <c r="M2169" s="35" t="str">
        <f>IFERROR(__xludf.DUMMYFUNCTION("""COMPUTED_VALUE"""),"JL PENDIDIKAN DUSUN KELOLA JAYA DESA TELUK EMPENING")</f>
        <v>JL PENDIDIKAN DUSUN KELOLA JAYA DESA TELUK EMPENING</v>
      </c>
      <c r="N2169" s="35" t="str">
        <f>IFERROR(__xludf.DUMMYFUNCTION("""COMPUTED_VALUE"""),"DESA TELUK EMPENING")</f>
        <v>DESA TELUK EMPENING</v>
      </c>
      <c r="O2169" s="35" t="str">
        <f>IFERROR(__xludf.DUMMYFUNCTION("""COMPUTED_VALUE"""),"TERENTANG")</f>
        <v>TERENTANG</v>
      </c>
      <c r="P2169" s="35" t="str">
        <f>IFERROR(__xludf.DUMMYFUNCTION("""COMPUTED_VALUE"""),"KUBU RAYA")</f>
        <v>KUBU RAYA</v>
      </c>
      <c r="Q2169" s="35" t="str">
        <f>IFERROR(__xludf.DUMMYFUNCTION("""COMPUTED_VALUE"""),"KALIMANTAN BARAT")</f>
        <v>KALIMANTAN BARAT</v>
      </c>
      <c r="R2169" s="21" t="str">
        <f>IFERROR(__xludf.DUMMYFUNCTION("""COMPUTED_VALUE"""),"ISLAM")</f>
        <v>ISLAM</v>
      </c>
      <c r="S2169" s="16" t="str">
        <f>IFERROR(__xludf.DUMMYFUNCTION("""COMPUTED_VALUE"""),"SWASTA")</f>
        <v>SWASTA</v>
      </c>
      <c r="T2169" s="35" t="str">
        <f>IFERROR(__xludf.DUMMYFUNCTION("""COMPUTED_VALUE"""),"SAKIT DI BAGIAN PINGGANG DAN TULANG BELAKANG SAMPAI KE KAKI")</f>
        <v>SAKIT DI BAGIAN PINGGANG DAN TULANG BELAKANG SAMPAI KE KAKI</v>
      </c>
      <c r="U2169" s="35" t="str">
        <f>IFERROR(__xludf.DUMMYFUNCTION("""COMPUTED_VALUE"""),"SEPAK BOLA")</f>
        <v>SEPAK BOLA</v>
      </c>
      <c r="V2169" s="37" t="str">
        <f>IFERROR(__xludf.DUMMYFUNCTION("""COMPUTED_VALUE"""),"085845165683")</f>
        <v>085845165683</v>
      </c>
      <c r="W2169" s="45"/>
    </row>
    <row r="2170">
      <c r="A2170" s="45"/>
      <c r="B2170" s="24" t="str">
        <f>IFERROR(__xludf.DUMMYFUNCTION("""COMPUTED_VALUE"""),"28/01/2025 14:28:17")</f>
        <v>28/01/2025 14:28:17</v>
      </c>
      <c r="C2170" s="35"/>
      <c r="D2170" s="10">
        <f>IFERROR(__xludf.DUMMYFUNCTION("""COMPUTED_VALUE"""),45714.0)</f>
        <v>45714</v>
      </c>
      <c r="E2170" s="35" t="str">
        <f>IFERROR(__xludf.DUMMYFUNCTION("""COMPUTED_VALUE"""),"02Feb")</f>
        <v>02Feb</v>
      </c>
      <c r="F2170" s="34" t="str">
        <f>IFERROR(__xludf.DUMMYFUNCTION("""COMPUTED_VALUE"""),"2025")</f>
        <v>2025</v>
      </c>
      <c r="G2170" s="35" t="str">
        <f>IFERROR(__xludf.DUMMYFUNCTION("""COMPUTED_VALUE"""),"HARIANI")</f>
        <v>HARIANI</v>
      </c>
      <c r="H2170" s="35" t="str">
        <f>IFERROR(__xludf.DUMMYFUNCTION("""COMPUTED_VALUE"""),"H6225028455")</f>
        <v>H6225028455</v>
      </c>
      <c r="I2170" s="35">
        <f>IFERROR(__xludf.DUMMYFUNCTION("""COMPUTED_VALUE"""),64.0)</f>
        <v>64</v>
      </c>
      <c r="J2170" s="35" t="str">
        <f>IFERROR(__xludf.DUMMYFUNCTION("""COMPUTED_VALUE"""),"&gt; 44 tahun")</f>
        <v>&gt; 44 tahun</v>
      </c>
      <c r="K2170" s="21" t="str">
        <f>IFERROR(__xludf.DUMMYFUNCTION("""COMPUTED_VALUE"""),"05/06/0062")</f>
        <v>05/06/0062</v>
      </c>
      <c r="L2170" s="21" t="str">
        <f>IFERROR(__xludf.DUMMYFUNCTION("""COMPUTED_VALUE"""),"PEREMPUAN")</f>
        <v>PEREMPUAN</v>
      </c>
      <c r="M2170" s="35" t="str">
        <f>IFERROR(__xludf.DUMMYFUNCTION("""COMPUTED_VALUE"""),"THE MANSION 3 NO 56")</f>
        <v>THE MANSION 3 NO 56</v>
      </c>
      <c r="N2170" s="35" t="str">
        <f>IFERROR(__xludf.DUMMYFUNCTION("""COMPUTED_VALUE"""),"LONTAR")</f>
        <v>LONTAR</v>
      </c>
      <c r="O2170" s="35" t="str">
        <f>IFERROR(__xludf.DUMMYFUNCTION("""COMPUTED_VALUE"""),"SAMBIKEREP")</f>
        <v>SAMBIKEREP</v>
      </c>
      <c r="P2170" s="35" t="str">
        <f>IFERROR(__xludf.DUMMYFUNCTION("""COMPUTED_VALUE"""),"SURABAYA")</f>
        <v>SURABAYA</v>
      </c>
      <c r="Q2170" s="35" t="str">
        <f>IFERROR(__xludf.DUMMYFUNCTION("""COMPUTED_VALUE"""),"JATIM")</f>
        <v>JATIM</v>
      </c>
      <c r="R2170" s="21" t="str">
        <f>IFERROR(__xludf.DUMMYFUNCTION("""COMPUTED_VALUE"""),"ISLAM")</f>
        <v>ISLAM</v>
      </c>
      <c r="S2170" s="16" t="str">
        <f>IFERROR(__xludf.DUMMYFUNCTION("""COMPUTED_VALUE"""),"IBU RT")</f>
        <v>IBU RT</v>
      </c>
      <c r="T2170" s="35" t="str">
        <f>IFERROR(__xludf.DUMMYFUNCTION("""COMPUTED_VALUE"""),"PINGGANG DAN LEHER")</f>
        <v>PINGGANG DAN LEHER</v>
      </c>
      <c r="U2170" s="35" t="str">
        <f>IFERROR(__xludf.DUMMYFUNCTION("""COMPUTED_VALUE"""),"BACA")</f>
        <v>BACA</v>
      </c>
      <c r="V2170" s="37" t="str">
        <f>IFERROR(__xludf.DUMMYFUNCTION("""COMPUTED_VALUE"""),"8563008455")</f>
        <v>8563008455</v>
      </c>
      <c r="W2170" s="45"/>
    </row>
    <row r="2171">
      <c r="A2171" s="45"/>
      <c r="B2171" s="24" t="str">
        <f>IFERROR(__xludf.DUMMYFUNCTION("""COMPUTED_VALUE"""),"28/01/2025 17:10:44")</f>
        <v>28/01/2025 17:10:44</v>
      </c>
      <c r="C2171" s="35"/>
      <c r="D2171" s="10">
        <f>IFERROR(__xludf.DUMMYFUNCTION("""COMPUTED_VALUE"""),45714.0)</f>
        <v>45714</v>
      </c>
      <c r="E2171" s="35" t="str">
        <f>IFERROR(__xludf.DUMMYFUNCTION("""COMPUTED_VALUE"""),"02Feb")</f>
        <v>02Feb</v>
      </c>
      <c r="F2171" s="34" t="str">
        <f>IFERROR(__xludf.DUMMYFUNCTION("""COMPUTED_VALUE"""),"2025")</f>
        <v>2025</v>
      </c>
      <c r="G2171" s="35" t="str">
        <f>IFERROR(__xludf.DUMMYFUNCTION("""COMPUTED_VALUE"""),"ARIF PARABI")</f>
        <v>ARIF PARABI</v>
      </c>
      <c r="H2171" s="35" t="str">
        <f>IFERROR(__xludf.DUMMYFUNCTION("""COMPUTED_VALUE"""),"A6825027525")</f>
        <v>A6825027525</v>
      </c>
      <c r="I2171" s="35">
        <f>IFERROR(__xludf.DUMMYFUNCTION("""COMPUTED_VALUE"""),57.0)</f>
        <v>57</v>
      </c>
      <c r="J2171" s="35" t="str">
        <f>IFERROR(__xludf.DUMMYFUNCTION("""COMPUTED_VALUE"""),"&gt; 44 tahun")</f>
        <v>&gt; 44 tahun</v>
      </c>
      <c r="K2171" s="21">
        <f>IFERROR(__xludf.DUMMYFUNCTION("""COMPUTED_VALUE"""),25183.0)</f>
        <v>25183</v>
      </c>
      <c r="L2171" s="21" t="str">
        <f>IFERROR(__xludf.DUMMYFUNCTION("""COMPUTED_VALUE"""),"LAKI-LAKI")</f>
        <v>LAKI-LAKI</v>
      </c>
      <c r="M2171" s="35" t="str">
        <f>IFERROR(__xludf.DUMMYFUNCTION("""COMPUTED_VALUE"""),"JL. PUTRI CANDRA MIDI GG. DWIJAYA NO. 7")</f>
        <v>JL. PUTRI CANDRA MIDI GG. DWIJAYA NO. 7</v>
      </c>
      <c r="N2171" s="35" t="str">
        <f>IFERROR(__xludf.DUMMYFUNCTION("""COMPUTED_VALUE"""),"SUNGAI BANGKONG")</f>
        <v>SUNGAI BANGKONG</v>
      </c>
      <c r="O2171" s="35" t="str">
        <f>IFERROR(__xludf.DUMMYFUNCTION("""COMPUTED_VALUE"""),"PONTIANAK KOTA")</f>
        <v>PONTIANAK KOTA</v>
      </c>
      <c r="P2171" s="35" t="str">
        <f>IFERROR(__xludf.DUMMYFUNCTION("""COMPUTED_VALUE"""),"PONTIANAK")</f>
        <v>PONTIANAK</v>
      </c>
      <c r="Q2171" s="35" t="str">
        <f>IFERROR(__xludf.DUMMYFUNCTION("""COMPUTED_VALUE"""),"KALIMANTAN BARAT")</f>
        <v>KALIMANTAN BARAT</v>
      </c>
      <c r="R2171" s="21" t="str">
        <f>IFERROR(__xludf.DUMMYFUNCTION("""COMPUTED_VALUE"""),"ISLAM")</f>
        <v>ISLAM</v>
      </c>
      <c r="S2171" s="35" t="str">
        <f>IFERROR(__xludf.DUMMYFUNCTION("""COMPUTED_VALUE"""),"PNS")</f>
        <v>PNS</v>
      </c>
      <c r="T2171" s="35" t="str">
        <f>IFERROR(__xludf.DUMMYFUNCTION("""COMPUTED_VALUE"""),"PINGGANG SAMPAI KAKI")</f>
        <v>PINGGANG SAMPAI KAKI</v>
      </c>
      <c r="U2171" s="35" t="str">
        <f>IFERROR(__xludf.DUMMYFUNCTION("""COMPUTED_VALUE"""),"KERJA SAMBIL BARING")</f>
        <v>KERJA SAMBIL BARING</v>
      </c>
      <c r="V2171" s="37" t="str">
        <f>IFERROR(__xludf.DUMMYFUNCTION("""COMPUTED_VALUE"""),"8115777525")</f>
        <v>8115777525</v>
      </c>
      <c r="W2171" s="45"/>
    </row>
    <row r="2172">
      <c r="A2172" s="45"/>
      <c r="B2172" s="24" t="str">
        <f>IFERROR(__xludf.DUMMYFUNCTION("""COMPUTED_VALUE"""),"28/01/2025 17:24:05")</f>
        <v>28/01/2025 17:24:05</v>
      </c>
      <c r="C2172" s="35"/>
      <c r="D2172" s="10">
        <f>IFERROR(__xludf.DUMMYFUNCTION("""COMPUTED_VALUE"""),45714.0)</f>
        <v>45714</v>
      </c>
      <c r="E2172" s="35" t="str">
        <f>IFERROR(__xludf.DUMMYFUNCTION("""COMPUTED_VALUE"""),"02Feb")</f>
        <v>02Feb</v>
      </c>
      <c r="F2172" s="34" t="str">
        <f>IFERROR(__xludf.DUMMYFUNCTION("""COMPUTED_VALUE"""),"2025")</f>
        <v>2025</v>
      </c>
      <c r="G2172" s="35" t="str">
        <f>IFERROR(__xludf.DUMMYFUNCTION("""COMPUTED_VALUE"""),"ABDUL HAFIDH, SE")</f>
        <v>ABDUL HAFIDH, SE</v>
      </c>
      <c r="H2172" s="35" t="str">
        <f>IFERROR(__xludf.DUMMYFUNCTION("""COMPUTED_VALUE"""),"A7625028278")</f>
        <v>A7625028278</v>
      </c>
      <c r="I2172" s="35">
        <f>IFERROR(__xludf.DUMMYFUNCTION("""COMPUTED_VALUE"""),50.0)</f>
        <v>50</v>
      </c>
      <c r="J2172" s="35" t="str">
        <f>IFERROR(__xludf.DUMMYFUNCTION("""COMPUTED_VALUE"""),"&gt; 44 tahun")</f>
        <v>&gt; 44 tahun</v>
      </c>
      <c r="K2172" s="21" t="str">
        <f>IFERROR(__xludf.DUMMYFUNCTION("""COMPUTED_VALUE"""),"23/04/1976")</f>
        <v>23/04/1976</v>
      </c>
      <c r="L2172" s="21" t="str">
        <f>IFERROR(__xludf.DUMMYFUNCTION("""COMPUTED_VALUE"""),"LAKI-LAKI")</f>
        <v>LAKI-LAKI</v>
      </c>
      <c r="M2172" s="35" t="str">
        <f>IFERROR(__xludf.DUMMYFUNCTION("""COMPUTED_VALUE"""),"JL. SUNGAI RAYA DALAM GG. RAYA 5 NOMOR 4.A")</f>
        <v>JL. SUNGAI RAYA DALAM GG. RAYA 5 NOMOR 4.A</v>
      </c>
      <c r="N2172" s="35" t="str">
        <f>IFERROR(__xludf.DUMMYFUNCTION("""COMPUTED_VALUE"""),"SUNGAI RAYA")</f>
        <v>SUNGAI RAYA</v>
      </c>
      <c r="O2172" s="35" t="str">
        <f>IFERROR(__xludf.DUMMYFUNCTION("""COMPUTED_VALUE"""),"SUNGAI RAYA")</f>
        <v>SUNGAI RAYA</v>
      </c>
      <c r="P2172" s="35" t="str">
        <f>IFERROR(__xludf.DUMMYFUNCTION("""COMPUTED_VALUE"""),"KUBU RAYA")</f>
        <v>KUBU RAYA</v>
      </c>
      <c r="Q2172" s="35" t="str">
        <f>IFERROR(__xludf.DUMMYFUNCTION("""COMPUTED_VALUE"""),"KALIMANTAN BARAT")</f>
        <v>KALIMANTAN BARAT</v>
      </c>
      <c r="R2172" s="21" t="str">
        <f>IFERROR(__xludf.DUMMYFUNCTION("""COMPUTED_VALUE"""),"ISLAM")</f>
        <v>ISLAM</v>
      </c>
      <c r="S2172" s="16" t="str">
        <f>IFERROR(__xludf.DUMMYFUNCTION("""COMPUTED_VALUE"""),"PNS")</f>
        <v>PNS</v>
      </c>
      <c r="T2172" s="35" t="str">
        <f>IFERROR(__xludf.DUMMYFUNCTION("""COMPUTED_VALUE"""),"LENGAN KANAN SERING NYERI")</f>
        <v>LENGAN KANAN SERING NYERI</v>
      </c>
      <c r="U2172" s="35" t="str">
        <f>IFERROR(__xludf.DUMMYFUNCTION("""COMPUTED_VALUE"""),"-")</f>
        <v>-</v>
      </c>
      <c r="V2172" s="37" t="str">
        <f>IFERROR(__xludf.DUMMYFUNCTION("""COMPUTED_VALUE"""),"08125778278")</f>
        <v>08125778278</v>
      </c>
      <c r="W2172" s="45"/>
    </row>
    <row r="2173">
      <c r="A2173" s="45"/>
      <c r="B2173" s="24" t="str">
        <f>IFERROR(__xludf.DUMMYFUNCTION("""COMPUTED_VALUE"""),"02/02/2025 9:00:52")</f>
        <v>02/02/2025 9:00:52</v>
      </c>
      <c r="C2173" s="35"/>
      <c r="D2173" s="10">
        <f>IFERROR(__xludf.DUMMYFUNCTION("""COMPUTED_VALUE"""),45714.0)</f>
        <v>45714</v>
      </c>
      <c r="E2173" s="35" t="str">
        <f>IFERROR(__xludf.DUMMYFUNCTION("""COMPUTED_VALUE"""),"02Feb")</f>
        <v>02Feb</v>
      </c>
      <c r="F2173" s="34" t="str">
        <f>IFERROR(__xludf.DUMMYFUNCTION("""COMPUTED_VALUE"""),"2025")</f>
        <v>2025</v>
      </c>
      <c r="G2173" s="35" t="str">
        <f>IFERROR(__xludf.DUMMYFUNCTION("""COMPUTED_VALUE"""),"HENDRY")</f>
        <v>HENDRY</v>
      </c>
      <c r="H2173" s="35" t="str">
        <f>IFERROR(__xludf.DUMMYFUNCTION("""COMPUTED_VALUE"""),"H8725027680")</f>
        <v>H8725027680</v>
      </c>
      <c r="I2173" s="35">
        <f>IFERROR(__xludf.DUMMYFUNCTION("""COMPUTED_VALUE"""),39.0)</f>
        <v>39</v>
      </c>
      <c r="J2173" s="35" t="str">
        <f>IFERROR(__xludf.DUMMYFUNCTION("""COMPUTED_VALUE"""),"35-44 tahun")</f>
        <v>35-44 tahun</v>
      </c>
      <c r="K2173" s="21" t="str">
        <f>IFERROR(__xludf.DUMMYFUNCTION("""COMPUTED_VALUE"""),"04/03/1987")</f>
        <v>04/03/1987</v>
      </c>
      <c r="L2173" s="21" t="str">
        <f>IFERROR(__xludf.DUMMYFUNCTION("""COMPUTED_VALUE"""),"LAKI-LAKI")</f>
        <v>LAKI-LAKI</v>
      </c>
      <c r="M2173" s="35" t="str">
        <f>IFERROR(__xludf.DUMMYFUNCTION("""COMPUTED_VALUE"""),"BALI AGUNG 2")</f>
        <v>BALI AGUNG 2</v>
      </c>
      <c r="N2173" s="35" t="str">
        <f>IFERROR(__xludf.DUMMYFUNCTION("""COMPUTED_VALUE"""),"PARIT TOKAYA")</f>
        <v>PARIT TOKAYA</v>
      </c>
      <c r="O2173" s="35" t="str">
        <f>IFERROR(__xludf.DUMMYFUNCTION("""COMPUTED_VALUE"""),"PONTIANAK SELATAN")</f>
        <v>PONTIANAK SELATAN</v>
      </c>
      <c r="P2173" s="35" t="str">
        <f>IFERROR(__xludf.DUMMYFUNCTION("""COMPUTED_VALUE"""),"PONTIANAK")</f>
        <v>PONTIANAK</v>
      </c>
      <c r="Q2173" s="35" t="str">
        <f>IFERROR(__xludf.DUMMYFUNCTION("""COMPUTED_VALUE"""),"KALIMANTAN BARAT")</f>
        <v>KALIMANTAN BARAT</v>
      </c>
      <c r="R2173" s="21" t="str">
        <f>IFERROR(__xludf.DUMMYFUNCTION("""COMPUTED_VALUE"""),"KATOLIK")</f>
        <v>KATOLIK</v>
      </c>
      <c r="S2173" s="16" t="str">
        <f>IFERROR(__xludf.DUMMYFUNCTION("""COMPUTED_VALUE"""),"KARYAWAN")</f>
        <v>KARYAWAN</v>
      </c>
      <c r="T2173" s="35" t="str">
        <f>IFERROR(__xludf.DUMMYFUNCTION("""COMPUTED_VALUE"""),"SAKIT DI SIKU, LUTUT, PINGGANG")</f>
        <v>SAKIT DI SIKU, LUTUT, PINGGANG</v>
      </c>
      <c r="U2173" s="35" t="str">
        <f>IFERROR(__xludf.DUMMYFUNCTION("""COMPUTED_VALUE"""),"BADMINTON")</f>
        <v>BADMINTON</v>
      </c>
      <c r="V2173" s="37" t="str">
        <f>IFERROR(__xludf.DUMMYFUNCTION("""COMPUTED_VALUE"""),"085391907680")</f>
        <v>085391907680</v>
      </c>
      <c r="W2173" s="45"/>
    </row>
    <row r="2174">
      <c r="A2174" s="45"/>
      <c r="B2174" s="24" t="str">
        <f>IFERROR(__xludf.DUMMYFUNCTION("""COMPUTED_VALUE"""),"02/02/2025 9:20:10")</f>
        <v>02/02/2025 9:20:10</v>
      </c>
      <c r="C2174" s="35"/>
      <c r="D2174" s="10">
        <f>IFERROR(__xludf.DUMMYFUNCTION("""COMPUTED_VALUE"""),45715.0)</f>
        <v>45715</v>
      </c>
      <c r="E2174" s="35" t="str">
        <f>IFERROR(__xludf.DUMMYFUNCTION("""COMPUTED_VALUE"""),"02Feb")</f>
        <v>02Feb</v>
      </c>
      <c r="F2174" s="34" t="str">
        <f>IFERROR(__xludf.DUMMYFUNCTION("""COMPUTED_VALUE"""),"2025")</f>
        <v>2025</v>
      </c>
      <c r="G2174" s="35" t="str">
        <f>IFERROR(__xludf.DUMMYFUNCTION("""COMPUTED_VALUE"""),"ANGGARA APRIYAN PRADANA")</f>
        <v>ANGGARA APRIYAN PRADANA</v>
      </c>
      <c r="H2174" s="35" t="str">
        <f>IFERROR(__xludf.DUMMYFUNCTION("""COMPUTED_VALUE"""),"A8925021574")</f>
        <v>A8925021574</v>
      </c>
      <c r="I2174" s="35">
        <f>IFERROR(__xludf.DUMMYFUNCTION("""COMPUTED_VALUE"""),36.0)</f>
        <v>36</v>
      </c>
      <c r="J2174" s="35" t="str">
        <f>IFERROR(__xludf.DUMMYFUNCTION("""COMPUTED_VALUE"""),"35-44 tahun")</f>
        <v>35-44 tahun</v>
      </c>
      <c r="K2174" s="21" t="str">
        <f>IFERROR(__xludf.DUMMYFUNCTION("""COMPUTED_VALUE"""),"19/10/1989")</f>
        <v>19/10/1989</v>
      </c>
      <c r="L2174" s="21" t="str">
        <f>IFERROR(__xludf.DUMMYFUNCTION("""COMPUTED_VALUE"""),"LAKI-LAKI")</f>
        <v>LAKI-LAKI</v>
      </c>
      <c r="M2174" s="35" t="str">
        <f>IFERROR(__xludf.DUMMYFUNCTION("""COMPUTED_VALUE"""),"GONDANGMANIS")</f>
        <v>GONDANGMANIS</v>
      </c>
      <c r="N2174" s="35" t="str">
        <f>IFERROR(__xludf.DUMMYFUNCTION("""COMPUTED_VALUE"""),"GONDANGMANIS")</f>
        <v>GONDANGMANIS</v>
      </c>
      <c r="O2174" s="35" t="str">
        <f>IFERROR(__xludf.DUMMYFUNCTION("""COMPUTED_VALUE"""),"BAE")</f>
        <v>BAE</v>
      </c>
      <c r="P2174" s="35" t="str">
        <f>IFERROR(__xludf.DUMMYFUNCTION("""COMPUTED_VALUE"""),"MAGETAN")</f>
        <v>MAGETAN</v>
      </c>
      <c r="Q2174" s="35" t="str">
        <f>IFERROR(__xludf.DUMMYFUNCTION("""COMPUTED_VALUE"""),"JAWA TENGAH")</f>
        <v>JAWA TENGAH</v>
      </c>
      <c r="R2174" s="21" t="str">
        <f>IFERROR(__xludf.DUMMYFUNCTION("""COMPUTED_VALUE"""),"ISLAM")</f>
        <v>ISLAM</v>
      </c>
      <c r="S2174" s="16" t="str">
        <f>IFERROR(__xludf.DUMMYFUNCTION("""COMPUTED_VALUE"""),"PNS")</f>
        <v>PNS</v>
      </c>
      <c r="T2174" s="35" t="str">
        <f>IFERROR(__xludf.DUMMYFUNCTION("""COMPUTED_VALUE"""),"SAKIT DI DAERAH LUTUT")</f>
        <v>SAKIT DI DAERAH LUTUT</v>
      </c>
      <c r="U2174" s="35" t="str">
        <f>IFERROR(__xludf.DUMMYFUNCTION("""COMPUTED_VALUE"""),"KEPELESET")</f>
        <v>KEPELESET</v>
      </c>
      <c r="V2174" s="37" t="str">
        <f>IFERROR(__xludf.DUMMYFUNCTION("""COMPUTED_VALUE"""),"085752361574")</f>
        <v>085752361574</v>
      </c>
      <c r="W2174" s="45"/>
    </row>
    <row r="2175">
      <c r="A2175" s="45"/>
      <c r="B2175" s="24" t="str">
        <f>IFERROR(__xludf.DUMMYFUNCTION("""COMPUTED_VALUE"""),"02/02/2025 13:48:55")</f>
        <v>02/02/2025 13:48:55</v>
      </c>
      <c r="C2175" s="35"/>
      <c r="D2175" s="10">
        <f>IFERROR(__xludf.DUMMYFUNCTION("""COMPUTED_VALUE"""),45715.0)</f>
        <v>45715</v>
      </c>
      <c r="E2175" s="35" t="str">
        <f>IFERROR(__xludf.DUMMYFUNCTION("""COMPUTED_VALUE"""),"02Feb")</f>
        <v>02Feb</v>
      </c>
      <c r="F2175" s="34" t="str">
        <f>IFERROR(__xludf.DUMMYFUNCTION("""COMPUTED_VALUE"""),"2025")</f>
        <v>2025</v>
      </c>
      <c r="G2175" s="35" t="str">
        <f>IFERROR(__xludf.DUMMYFUNCTION("""COMPUTED_VALUE"""),"SITI KHAIRUZIA LAZUWARDINI")</f>
        <v>SITI KHAIRUZIA LAZUWARDINI</v>
      </c>
      <c r="H2175" s="35" t="str">
        <f>IFERROR(__xludf.DUMMYFUNCTION("""COMPUTED_VALUE"""),"S9925028925")</f>
        <v>S9925028925</v>
      </c>
      <c r="I2175" s="35">
        <f>IFERROR(__xludf.DUMMYFUNCTION("""COMPUTED_VALUE"""),26.0)</f>
        <v>26</v>
      </c>
      <c r="J2175" s="35" t="str">
        <f>IFERROR(__xludf.DUMMYFUNCTION("""COMPUTED_VALUE"""),"25-34 tahun")</f>
        <v>25-34 tahun</v>
      </c>
      <c r="K2175" s="21" t="str">
        <f>IFERROR(__xludf.DUMMYFUNCTION("""COMPUTED_VALUE"""),"19/07/1999")</f>
        <v>19/07/1999</v>
      </c>
      <c r="L2175" s="21" t="str">
        <f>IFERROR(__xludf.DUMMYFUNCTION("""COMPUTED_VALUE"""),"PEREMPUAN")</f>
        <v>PEREMPUAN</v>
      </c>
      <c r="M2175" s="35" t="str">
        <f>IFERROR(__xludf.DUMMYFUNCTION("""COMPUTED_VALUE"""),"JL. LAPAN KOMP. GRAND ZAUJATI NO.13")</f>
        <v>JL. LAPAN KOMP. GRAND ZAUJATI NO.13</v>
      </c>
      <c r="N2175" s="35" t="str">
        <f>IFERROR(__xludf.DUMMYFUNCTION("""COMPUTED_VALUE"""),"SIANTAN HULU")</f>
        <v>SIANTAN HULU</v>
      </c>
      <c r="O2175" s="35" t="str">
        <f>IFERROR(__xludf.DUMMYFUNCTION("""COMPUTED_VALUE"""),"PONTIANAK UTARA")</f>
        <v>PONTIANAK UTARA</v>
      </c>
      <c r="P2175" s="35" t="str">
        <f>IFERROR(__xludf.DUMMYFUNCTION("""COMPUTED_VALUE"""),"KOTA PONTIANAK")</f>
        <v>KOTA PONTIANAK</v>
      </c>
      <c r="Q2175" s="35" t="str">
        <f>IFERROR(__xludf.DUMMYFUNCTION("""COMPUTED_VALUE"""),"KALIMANTAN BARAT")</f>
        <v>KALIMANTAN BARAT</v>
      </c>
      <c r="R2175" s="21" t="str">
        <f>IFERROR(__xludf.DUMMYFUNCTION("""COMPUTED_VALUE"""),"ISLAM")</f>
        <v>ISLAM</v>
      </c>
      <c r="S2175" s="16" t="str">
        <f>IFERROR(__xludf.DUMMYFUNCTION("""COMPUTED_VALUE"""),"KARYAWAN SWASTA")</f>
        <v>KARYAWAN SWASTA</v>
      </c>
      <c r="T2175" s="35" t="str">
        <f>IFERROR(__xludf.DUMMYFUNCTION("""COMPUTED_VALUE"""),"SAKIT PUNGGUNG KIRI DAN PUNDAK KANAN")</f>
        <v>SAKIT PUNGGUNG KIRI DAN PUNDAK KANAN</v>
      </c>
      <c r="U2175" s="35" t="str">
        <f>IFERROR(__xludf.DUMMYFUNCTION("""COMPUTED_VALUE"""),"BEKERJA DENGAN DURASI DUDUK YANG LAMA, TIDUR DENGAN POSISI MIRING")</f>
        <v>BEKERJA DENGAN DURASI DUDUK YANG LAMA, TIDUR DENGAN POSISI MIRING</v>
      </c>
      <c r="V2175" s="37" t="str">
        <f>IFERROR(__xludf.DUMMYFUNCTION("""COMPUTED_VALUE"""),"085163028925")</f>
        <v>085163028925</v>
      </c>
      <c r="W2175" s="45"/>
    </row>
    <row r="2176">
      <c r="A2176" s="68"/>
      <c r="B2176" s="24" t="str">
        <f>IFERROR(__xludf.DUMMYFUNCTION("""COMPUTED_VALUE"""),"02/02/2025 12:01:10")</f>
        <v>02/02/2025 12:01:10</v>
      </c>
      <c r="C2176" s="24"/>
      <c r="D2176" s="10">
        <f>IFERROR(__xludf.DUMMYFUNCTION("""COMPUTED_VALUE"""),45715.0)</f>
        <v>45715</v>
      </c>
      <c r="E2176" s="24" t="str">
        <f>IFERROR(__xludf.DUMMYFUNCTION("""COMPUTED_VALUE"""),"02Feb")</f>
        <v>02Feb</v>
      </c>
      <c r="F2176" s="24" t="str">
        <f>IFERROR(__xludf.DUMMYFUNCTION("""COMPUTED_VALUE"""),"2025")</f>
        <v>2025</v>
      </c>
      <c r="G2176" s="35" t="str">
        <f>IFERROR(__xludf.DUMMYFUNCTION("""COMPUTED_VALUE"""),"ONGKY SURYADI")</f>
        <v>ONGKY SURYADI</v>
      </c>
      <c r="H2176" s="35" t="str">
        <f>IFERROR(__xludf.DUMMYFUNCTION("""COMPUTED_VALUE"""),"O9525023593")</f>
        <v>O9525023593</v>
      </c>
      <c r="I2176" s="35">
        <f>IFERROR(__xludf.DUMMYFUNCTION("""COMPUTED_VALUE"""),30.0)</f>
        <v>30</v>
      </c>
      <c r="J2176" s="35" t="str">
        <f>IFERROR(__xludf.DUMMYFUNCTION("""COMPUTED_VALUE"""),"25-34 tahun")</f>
        <v>25-34 tahun</v>
      </c>
      <c r="K2176" s="13" t="str">
        <f>IFERROR(__xludf.DUMMYFUNCTION("""COMPUTED_VALUE"""),"16/10/1995")</f>
        <v>16/10/1995</v>
      </c>
      <c r="L2176" s="21" t="str">
        <f>IFERROR(__xludf.DUMMYFUNCTION("""COMPUTED_VALUE"""),"LAKI-LAKI")</f>
        <v>LAKI-LAKI</v>
      </c>
      <c r="M2176" s="35" t="str">
        <f>IFERROR(__xludf.DUMMYFUNCTION("""COMPUTED_VALUE"""),"JL DESA KAPUR NO A9")</f>
        <v>JL DESA KAPUR NO A9</v>
      </c>
      <c r="N2176" s="70" t="str">
        <f>IFERROR(__xludf.DUMMYFUNCTION("""COMPUTED_VALUE"""),"KUBU RAYA")</f>
        <v>KUBU RAYA</v>
      </c>
      <c r="O2176" s="70" t="str">
        <f>IFERROR(__xludf.DUMMYFUNCTION("""COMPUTED_VALUE"""),"KUBU RAYA")</f>
        <v>KUBU RAYA</v>
      </c>
      <c r="P2176" s="70" t="str">
        <f>IFERROR(__xludf.DUMMYFUNCTION("""COMPUTED_VALUE"""),"KUBU RAYA")</f>
        <v>KUBU RAYA</v>
      </c>
      <c r="Q2176" s="35" t="str">
        <f>IFERROR(__xludf.DUMMYFUNCTION("""COMPUTED_VALUE"""),"KALIMANTAN BARAT")</f>
        <v>KALIMANTAN BARAT</v>
      </c>
      <c r="R2176" s="21" t="str">
        <f>IFERROR(__xludf.DUMMYFUNCTION("""COMPUTED_VALUE"""),"PROTESTAN")</f>
        <v>PROTESTAN</v>
      </c>
      <c r="S2176" s="16" t="str">
        <f>IFERROR(__xludf.DUMMYFUNCTION("""COMPUTED_VALUE"""),"SWASTA")</f>
        <v>SWASTA</v>
      </c>
      <c r="T2176" s="16" t="str">
        <f>IFERROR(__xludf.DUMMYFUNCTION("""COMPUTED_VALUE"""),"SAKIT BAGIAN LUTUT KIRI")</f>
        <v>SAKIT BAGIAN LUTUT KIRI</v>
      </c>
      <c r="U2176" s="35" t="str">
        <f>IFERROR(__xludf.DUMMYFUNCTION("""COMPUTED_VALUE"""),"SEPAK BOLA")</f>
        <v>SEPAK BOLA</v>
      </c>
      <c r="V2176" s="14" t="str">
        <f>IFERROR(__xludf.DUMMYFUNCTION("""COMPUTED_VALUE"""),"081255173593")</f>
        <v>081255173593</v>
      </c>
      <c r="W2176" s="45"/>
    </row>
    <row r="2177">
      <c r="A2177" s="45"/>
      <c r="B2177" s="9" t="str">
        <f>IFERROR(__xludf.DUMMYFUNCTION("""COMPUTED_VALUE"""),"02/02/2025 14:37:20")</f>
        <v>02/02/2025 14:37:20</v>
      </c>
      <c r="C2177" s="35"/>
      <c r="D2177" s="10">
        <f>IFERROR(__xludf.DUMMYFUNCTION("""COMPUTED_VALUE"""),45715.0)</f>
        <v>45715</v>
      </c>
      <c r="E2177" s="35" t="str">
        <f>IFERROR(__xludf.DUMMYFUNCTION("""COMPUTED_VALUE"""),"02Feb")</f>
        <v>02Feb</v>
      </c>
      <c r="F2177" s="34" t="str">
        <f>IFERROR(__xludf.DUMMYFUNCTION("""COMPUTED_VALUE"""),"2025")</f>
        <v>2025</v>
      </c>
      <c r="G2177" s="16" t="str">
        <f>IFERROR(__xludf.DUMMYFUNCTION("""COMPUTED_VALUE"""),"HENDRA MAULANA")</f>
        <v>HENDRA MAULANA</v>
      </c>
      <c r="H2177" s="35" t="str">
        <f>IFERROR(__xludf.DUMMYFUNCTION("""COMPUTED_VALUE"""),"H8025020268")</f>
        <v>H8025020268</v>
      </c>
      <c r="I2177" s="35">
        <f>IFERROR(__xludf.DUMMYFUNCTION("""COMPUTED_VALUE"""),46.0)</f>
        <v>46</v>
      </c>
      <c r="J2177" s="35" t="str">
        <f>IFERROR(__xludf.DUMMYFUNCTION("""COMPUTED_VALUE"""),"&gt; 44 tahun")</f>
        <v>&gt; 44 tahun</v>
      </c>
      <c r="K2177" s="19" t="str">
        <f>IFERROR(__xludf.DUMMYFUNCTION("""COMPUTED_VALUE"""),"02/02/1980")</f>
        <v>02/02/1980</v>
      </c>
      <c r="L2177" s="19" t="str">
        <f>IFERROR(__xludf.DUMMYFUNCTION("""COMPUTED_VALUE"""),"LAKI-LAKI")</f>
        <v>LAKI-LAKI</v>
      </c>
      <c r="M2177" s="16" t="str">
        <f>IFERROR(__xludf.DUMMYFUNCTION("""COMPUTED_VALUE"""),"PUTUSIBAU")</f>
        <v>PUTUSIBAU</v>
      </c>
      <c r="N2177" s="16" t="str">
        <f>IFERROR(__xludf.DUMMYFUNCTION("""COMPUTED_VALUE"""),"-")</f>
        <v>-</v>
      </c>
      <c r="O2177" s="16" t="str">
        <f>IFERROR(__xludf.DUMMYFUNCTION("""COMPUTED_VALUE"""),"-")</f>
        <v>-</v>
      </c>
      <c r="P2177" s="16" t="str">
        <f>IFERROR(__xludf.DUMMYFUNCTION("""COMPUTED_VALUE"""),"KAB. PUTUSIBAU")</f>
        <v>KAB. PUTUSIBAU</v>
      </c>
      <c r="Q2177" s="35" t="str">
        <f>IFERROR(__xludf.DUMMYFUNCTION("""COMPUTED_VALUE"""),"KALIMANTAN BARAT")</f>
        <v>KALIMANTAN BARAT</v>
      </c>
      <c r="R2177" s="19" t="str">
        <f>IFERROR(__xludf.DUMMYFUNCTION("""COMPUTED_VALUE"""),"ISLAM")</f>
        <v>ISLAM</v>
      </c>
      <c r="S2177" s="16" t="str">
        <f>IFERROR(__xludf.DUMMYFUNCTION("""COMPUTED_VALUE"""),"POLRI")</f>
        <v>POLRI</v>
      </c>
      <c r="T2177" s="16" t="str">
        <f>IFERROR(__xludf.DUMMYFUNCTION("""COMPUTED_VALUE"""),"LUTUT")</f>
        <v>LUTUT</v>
      </c>
      <c r="U2177" s="16" t="str">
        <f>IFERROR(__xludf.DUMMYFUNCTION("""COMPUTED_VALUE"""),"-")</f>
        <v>-</v>
      </c>
      <c r="V2177" s="11" t="str">
        <f>IFERROR(__xludf.DUMMYFUNCTION("""COMPUTED_VALUE"""),"081352630268")</f>
        <v>081352630268</v>
      </c>
      <c r="W2177" s="45"/>
    </row>
    <row r="2178">
      <c r="A2178" s="45"/>
      <c r="B2178" s="9" t="str">
        <f>IFERROR(__xludf.DUMMYFUNCTION("""COMPUTED_VALUE"""),"02/02/2025 7:02:12")</f>
        <v>02/02/2025 7:02:12</v>
      </c>
      <c r="C2178" s="35"/>
      <c r="D2178" s="10">
        <f>IFERROR(__xludf.DUMMYFUNCTION("""COMPUTED_VALUE"""),45715.0)</f>
        <v>45715</v>
      </c>
      <c r="E2178" s="35" t="str">
        <f>IFERROR(__xludf.DUMMYFUNCTION("""COMPUTED_VALUE"""),"02Feb")</f>
        <v>02Feb</v>
      </c>
      <c r="F2178" s="34" t="str">
        <f>IFERROR(__xludf.DUMMYFUNCTION("""COMPUTED_VALUE"""),"2025")</f>
        <v>2025</v>
      </c>
      <c r="G2178" s="16" t="str">
        <f>IFERROR(__xludf.DUMMYFUNCTION("""COMPUTED_VALUE"""),"MARADIEN MILANIE")</f>
        <v>MARADIEN MILANIE</v>
      </c>
      <c r="H2178" s="35" t="str">
        <f>IFERROR(__xludf.DUMMYFUNCTION("""COMPUTED_VALUE"""),"M8125029436")</f>
        <v>M8125029436</v>
      </c>
      <c r="I2178" s="35">
        <f>IFERROR(__xludf.DUMMYFUNCTION("""COMPUTED_VALUE"""),45.0)</f>
        <v>45</v>
      </c>
      <c r="J2178" s="35" t="str">
        <f>IFERROR(__xludf.DUMMYFUNCTION("""COMPUTED_VALUE"""),"&gt; 44 tahun")</f>
        <v>&gt; 44 tahun</v>
      </c>
      <c r="K2178" s="19" t="str">
        <f>IFERROR(__xludf.DUMMYFUNCTION("""COMPUTED_VALUE"""),"15/05/1981")</f>
        <v>15/05/1981</v>
      </c>
      <c r="L2178" s="19" t="str">
        <f>IFERROR(__xludf.DUMMYFUNCTION("""COMPUTED_VALUE"""),"LAKI-LAKI")</f>
        <v>LAKI-LAKI</v>
      </c>
      <c r="M2178" s="16" t="str">
        <f>IFERROR(__xludf.DUMMYFUNCTION("""COMPUTED_VALUE"""),"JL PURNAMA GG KELUARGA NO.99")</f>
        <v>JL PURNAMA GG KELUARGA NO.99</v>
      </c>
      <c r="N2178" s="16" t="str">
        <f>IFERROR(__xludf.DUMMYFUNCTION("""COMPUTED_VALUE"""),"AKCAYA")</f>
        <v>AKCAYA</v>
      </c>
      <c r="O2178" s="16" t="str">
        <f>IFERROR(__xludf.DUMMYFUNCTION("""COMPUTED_VALUE"""),"PONTIANAK SELATAN")</f>
        <v>PONTIANAK SELATAN</v>
      </c>
      <c r="P2178" s="16" t="str">
        <f>IFERROR(__xludf.DUMMYFUNCTION("""COMPUTED_VALUE"""),"KOTA PONTIANAK")</f>
        <v>KOTA PONTIANAK</v>
      </c>
      <c r="Q2178" s="35" t="str">
        <f>IFERROR(__xludf.DUMMYFUNCTION("""COMPUTED_VALUE"""),"KALIMANTAN BARAT")</f>
        <v>KALIMANTAN BARAT</v>
      </c>
      <c r="R2178" s="19" t="str">
        <f>IFERROR(__xludf.DUMMYFUNCTION("""COMPUTED_VALUE"""),"ISLAM")</f>
        <v>ISLAM</v>
      </c>
      <c r="S2178" s="16" t="str">
        <f>IFERROR(__xludf.DUMMYFUNCTION("""COMPUTED_VALUE"""),"BUMD")</f>
        <v>BUMD</v>
      </c>
      <c r="T2178" s="16" t="str">
        <f>IFERROR(__xludf.DUMMYFUNCTION("""COMPUTED_VALUE"""),"KAKI TERASA SAKIT SAAT MELANGKAH")</f>
        <v>KAKI TERASA SAKIT SAAT MELANGKAH</v>
      </c>
      <c r="U2178" s="16" t="str">
        <f>IFERROR(__xludf.DUMMYFUNCTION("""COMPUTED_VALUE"""),"LARI JARAK JAUH 5 KALI SEMINGGU")</f>
        <v>LARI JARAK JAUH 5 KALI SEMINGGU</v>
      </c>
      <c r="V2178" s="11" t="str">
        <f>IFERROR(__xludf.DUMMYFUNCTION("""COMPUTED_VALUE"""),"085245959436")</f>
        <v>085245959436</v>
      </c>
      <c r="W2178" s="45"/>
    </row>
    <row r="2179">
      <c r="A2179" s="45"/>
      <c r="B2179" s="24" t="str">
        <f>IFERROR(__xludf.DUMMYFUNCTION("""COMPUTED_VALUE"""),"02/02/2025 18:50:35")</f>
        <v>02/02/2025 18:50:35</v>
      </c>
      <c r="C2179" s="35"/>
      <c r="D2179" s="73">
        <f>IFERROR(__xludf.DUMMYFUNCTION("""COMPUTED_VALUE"""),45715.0)</f>
        <v>45715</v>
      </c>
      <c r="E2179" s="35" t="str">
        <f>IFERROR(__xludf.DUMMYFUNCTION("""COMPUTED_VALUE"""),"02Feb")</f>
        <v>02Feb</v>
      </c>
      <c r="F2179" s="34" t="str">
        <f>IFERROR(__xludf.DUMMYFUNCTION("""COMPUTED_VALUE"""),"2025")</f>
        <v>2025</v>
      </c>
      <c r="G2179" s="35" t="str">
        <f>IFERROR(__xludf.DUMMYFUNCTION("""COMPUTED_VALUE"""),"BUDI PRASETYO")</f>
        <v>BUDI PRASETYO</v>
      </c>
      <c r="H2179" s="35" t="str">
        <f>IFERROR(__xludf.DUMMYFUNCTION("""COMPUTED_VALUE"""),"B9225021410")</f>
        <v>B9225021410</v>
      </c>
      <c r="I2179" s="35">
        <f>IFERROR(__xludf.DUMMYFUNCTION("""COMPUTED_VALUE"""),34.0)</f>
        <v>34</v>
      </c>
      <c r="J2179" s="35" t="str">
        <f>IFERROR(__xludf.DUMMYFUNCTION("""COMPUTED_VALUE"""),"25-34 tahun")</f>
        <v>25-34 tahun</v>
      </c>
      <c r="K2179" s="21" t="str">
        <f>IFERROR(__xludf.DUMMYFUNCTION("""COMPUTED_VALUE"""),"01/01/1992")</f>
        <v>01/01/1992</v>
      </c>
      <c r="L2179" s="21" t="str">
        <f>IFERROR(__xludf.DUMMYFUNCTION("""COMPUTED_VALUE"""),"LAKI-LAKI")</f>
        <v>LAKI-LAKI</v>
      </c>
      <c r="M2179" s="35" t="str">
        <f>IFERROR(__xludf.DUMMYFUNCTION("""COMPUTED_VALUE"""),"JL GUSTI KHAIDIR MEMPAWAH")</f>
        <v>JL GUSTI KHAIDIR MEMPAWAH</v>
      </c>
      <c r="N2179" s="35" t="str">
        <f>IFERROR(__xludf.DUMMYFUNCTION("""COMPUTED_VALUE"""),"ANTIBAR")</f>
        <v>ANTIBAR</v>
      </c>
      <c r="O2179" s="35" t="str">
        <f>IFERROR(__xludf.DUMMYFUNCTION("""COMPUTED_VALUE"""),"MEMPAWAH TIMUR")</f>
        <v>MEMPAWAH TIMUR</v>
      </c>
      <c r="P2179" s="35" t="str">
        <f>IFERROR(__xludf.DUMMYFUNCTION("""COMPUTED_VALUE"""),"MEMPAWAH")</f>
        <v>MEMPAWAH</v>
      </c>
      <c r="Q2179" s="35" t="str">
        <f>IFERROR(__xludf.DUMMYFUNCTION("""COMPUTED_VALUE"""),"KALIMANTAN BARAT")</f>
        <v>KALIMANTAN BARAT</v>
      </c>
      <c r="R2179" s="21" t="str">
        <f>IFERROR(__xludf.DUMMYFUNCTION("""COMPUTED_VALUE"""),"ISLAM")</f>
        <v>ISLAM</v>
      </c>
      <c r="S2179" s="16" t="str">
        <f>IFERROR(__xludf.DUMMYFUNCTION("""COMPUTED_VALUE"""),"SWASTA")</f>
        <v>SWASTA</v>
      </c>
      <c r="T2179" s="35" t="str">
        <f>IFERROR(__xludf.DUMMYFUNCTION("""COMPUTED_VALUE"""),"SAKIT DARI TULANG BELAKANG SAMPAI KE LUTUT")</f>
        <v>SAKIT DARI TULANG BELAKANG SAMPAI KE LUTUT</v>
      </c>
      <c r="U2179" s="35" t="str">
        <f>IFERROR(__xludf.DUMMYFUNCTION("""COMPUTED_VALUE"""),"JALAN PAGI, BADMINTON")</f>
        <v>JALAN PAGI, BADMINTON</v>
      </c>
      <c r="V2179" s="37" t="str">
        <f>IFERROR(__xludf.DUMMYFUNCTION("""COMPUTED_VALUE"""),"085348011410")</f>
        <v>085348011410</v>
      </c>
      <c r="W2179" s="45"/>
    </row>
    <row r="2180">
      <c r="A2180" s="45"/>
      <c r="B2180" s="24" t="str">
        <f>IFERROR(__xludf.DUMMYFUNCTION("""COMPUTED_VALUE"""),"02/02/2025 19:07:29")</f>
        <v>02/02/2025 19:07:29</v>
      </c>
      <c r="C2180" s="35"/>
      <c r="D2180" s="73">
        <f>IFERROR(__xludf.DUMMYFUNCTION("""COMPUTED_VALUE"""),45715.0)</f>
        <v>45715</v>
      </c>
      <c r="E2180" s="35" t="str">
        <f>IFERROR(__xludf.DUMMYFUNCTION("""COMPUTED_VALUE"""),"02Feb")</f>
        <v>02Feb</v>
      </c>
      <c r="F2180" s="34" t="str">
        <f>IFERROR(__xludf.DUMMYFUNCTION("""COMPUTED_VALUE"""),"2025")</f>
        <v>2025</v>
      </c>
      <c r="G2180" s="35" t="str">
        <f>IFERROR(__xludf.DUMMYFUNCTION("""COMPUTED_VALUE"""),"SAID ABY HUSNI")</f>
        <v>SAID ABY HUSNI</v>
      </c>
      <c r="H2180" s="35" t="str">
        <f>IFERROR(__xludf.DUMMYFUNCTION("""COMPUTED_VALUE"""),"S9325022893")</f>
        <v>S9325022893</v>
      </c>
      <c r="I2180" s="35">
        <f>IFERROR(__xludf.DUMMYFUNCTION("""COMPUTED_VALUE"""),32.0)</f>
        <v>32</v>
      </c>
      <c r="J2180" s="35" t="str">
        <f>IFERROR(__xludf.DUMMYFUNCTION("""COMPUTED_VALUE"""),"25-34 tahun")</f>
        <v>25-34 tahun</v>
      </c>
      <c r="K2180" s="21" t="str">
        <f>IFERROR(__xludf.DUMMYFUNCTION("""COMPUTED_VALUE"""),"16/09/1993")</f>
        <v>16/09/1993</v>
      </c>
      <c r="L2180" s="21" t="str">
        <f>IFERROR(__xludf.DUMMYFUNCTION("""COMPUTED_VALUE"""),"LAKI-LAKI")</f>
        <v>LAKI-LAKI</v>
      </c>
      <c r="M2180" s="35" t="str">
        <f>IFERROR(__xludf.DUMMYFUNCTION("""COMPUTED_VALUE"""),"JL PROF M YAMIN GG ATLAS NO 59")</f>
        <v>JL PROF M YAMIN GG ATLAS NO 59</v>
      </c>
      <c r="N2180" s="35" t="str">
        <f>IFERROR(__xludf.DUMMYFUNCTION("""COMPUTED_VALUE"""),"PONTIANAK SELATAN")</f>
        <v>PONTIANAK SELATAN</v>
      </c>
      <c r="O2180" s="35" t="str">
        <f>IFERROR(__xludf.DUMMYFUNCTION("""COMPUTED_VALUE"""),"PONTIANAK KONTA")</f>
        <v>PONTIANAK KONTA</v>
      </c>
      <c r="P2180" s="35" t="str">
        <f>IFERROR(__xludf.DUMMYFUNCTION("""COMPUTED_VALUE"""),"PONTIANAK")</f>
        <v>PONTIANAK</v>
      </c>
      <c r="Q2180" s="35" t="str">
        <f>IFERROR(__xludf.DUMMYFUNCTION("""COMPUTED_VALUE"""),"KALIMANTAN BARAT")</f>
        <v>KALIMANTAN BARAT</v>
      </c>
      <c r="R2180" s="21" t="str">
        <f>IFERROR(__xludf.DUMMYFUNCTION("""COMPUTED_VALUE"""),"ISLAM")</f>
        <v>ISLAM</v>
      </c>
      <c r="S2180" s="16" t="str">
        <f>IFERROR(__xludf.DUMMYFUNCTION("""COMPUTED_VALUE"""),"WIRASWASTA")</f>
        <v>WIRASWASTA</v>
      </c>
      <c r="T2180" s="35" t="str">
        <f>IFERROR(__xludf.DUMMYFUNCTION("""COMPUTED_VALUE"""),"BIQUUWERAINDROM")</f>
        <v>BIQUUWERAINDROM</v>
      </c>
      <c r="U2180" s="35" t="str">
        <f>IFERROR(__xludf.DUMMYFUNCTION("""COMPUTED_VALUE"""),"MENYAYI")</f>
        <v>MENYAYI</v>
      </c>
      <c r="V2180" s="37" t="str">
        <f>IFERROR(__xludf.DUMMYFUNCTION("""COMPUTED_VALUE"""),"081280902893")</f>
        <v>081280902893</v>
      </c>
      <c r="W2180" s="45"/>
    </row>
    <row r="2181">
      <c r="A2181" s="45"/>
      <c r="B2181" s="24" t="str">
        <f>IFERROR(__xludf.DUMMYFUNCTION("""COMPUTED_VALUE"""),"03/02/2025 19:29:36")</f>
        <v>03/02/2025 19:29:36</v>
      </c>
      <c r="C2181" s="35"/>
      <c r="D2181" s="10">
        <f>IFERROR(__xludf.DUMMYFUNCTION("""COMPUTED_VALUE"""),45715.0)</f>
        <v>45715</v>
      </c>
      <c r="E2181" s="35" t="str">
        <f>IFERROR(__xludf.DUMMYFUNCTION("""COMPUTED_VALUE"""),"02Feb")</f>
        <v>02Feb</v>
      </c>
      <c r="F2181" s="34" t="str">
        <f>IFERROR(__xludf.DUMMYFUNCTION("""COMPUTED_VALUE"""),"2025")</f>
        <v>2025</v>
      </c>
      <c r="G2181" s="35" t="str">
        <f>IFERROR(__xludf.DUMMYFUNCTION("""COMPUTED_VALUE"""),"FERYAWAN")</f>
        <v>FERYAWAN</v>
      </c>
      <c r="H2181" s="35" t="str">
        <f>IFERROR(__xludf.DUMMYFUNCTION("""COMPUTED_VALUE"""),"F8325024685")</f>
        <v>F8325024685</v>
      </c>
      <c r="I2181" s="35">
        <f>IFERROR(__xludf.DUMMYFUNCTION("""COMPUTED_VALUE"""),43.0)</f>
        <v>43</v>
      </c>
      <c r="J2181" s="35" t="str">
        <f>IFERROR(__xludf.DUMMYFUNCTION("""COMPUTED_VALUE"""),"35-44 tahun")</f>
        <v>35-44 tahun</v>
      </c>
      <c r="K2181" s="21" t="str">
        <f>IFERROR(__xludf.DUMMYFUNCTION("""COMPUTED_VALUE"""),"18/02/1983")</f>
        <v>18/02/1983</v>
      </c>
      <c r="L2181" s="21" t="str">
        <f>IFERROR(__xludf.DUMMYFUNCTION("""COMPUTED_VALUE"""),"LAKI-LAKI")</f>
        <v>LAKI-LAKI</v>
      </c>
      <c r="M2181" s="35" t="str">
        <f>IFERROR(__xludf.DUMMYFUNCTION("""COMPUTED_VALUE"""),"JL. PERDANA")</f>
        <v>JL. PERDANA</v>
      </c>
      <c r="N2181" s="35" t="str">
        <f>IFERROR(__xludf.DUMMYFUNCTION("""COMPUTED_VALUE"""),"-")</f>
        <v>-</v>
      </c>
      <c r="O2181" s="35" t="str">
        <f>IFERROR(__xludf.DUMMYFUNCTION("""COMPUTED_VALUE"""),"-")</f>
        <v>-</v>
      </c>
      <c r="P2181" s="35" t="str">
        <f>IFERROR(__xludf.DUMMYFUNCTION("""COMPUTED_VALUE"""),"KOTA PONTIANAK")</f>
        <v>KOTA PONTIANAK</v>
      </c>
      <c r="Q2181" s="35" t="str">
        <f>IFERROR(__xludf.DUMMYFUNCTION("""COMPUTED_VALUE"""),"KALIMANTAN BARAT")</f>
        <v>KALIMANTAN BARAT</v>
      </c>
      <c r="R2181" s="21" t="str">
        <f>IFERROR(__xludf.DUMMYFUNCTION("""COMPUTED_VALUE"""),"BUDDHA")</f>
        <v>BUDDHA</v>
      </c>
      <c r="S2181" s="16" t="str">
        <f>IFERROR(__xludf.DUMMYFUNCTION("""COMPUTED_VALUE"""),"-")</f>
        <v>-</v>
      </c>
      <c r="T2181" s="35" t="str">
        <f>IFERROR(__xludf.DUMMYFUNCTION("""COMPUTED_VALUE"""),"LUTUT")</f>
        <v>LUTUT</v>
      </c>
      <c r="U2181" s="35" t="str">
        <f>IFERROR(__xludf.DUMMYFUNCTION("""COMPUTED_VALUE"""),"BOLA")</f>
        <v>BOLA</v>
      </c>
      <c r="V2181" s="37" t="str">
        <f>IFERROR(__xludf.DUMMYFUNCTION("""COMPUTED_VALUE"""),"082157744685")</f>
        <v>082157744685</v>
      </c>
      <c r="W2181" s="45"/>
    </row>
    <row r="2182">
      <c r="A2182" s="45"/>
      <c r="B2182" s="24" t="str">
        <f>IFERROR(__xludf.DUMMYFUNCTION("""COMPUTED_VALUE"""),"04/02/2025 14:14:51")</f>
        <v>04/02/2025 14:14:51</v>
      </c>
      <c r="C2182" s="35"/>
      <c r="D2182" s="10">
        <f>IFERROR(__xludf.DUMMYFUNCTION("""COMPUTED_VALUE"""),45715.0)</f>
        <v>45715</v>
      </c>
      <c r="E2182" s="35" t="str">
        <f>IFERROR(__xludf.DUMMYFUNCTION("""COMPUTED_VALUE"""),"02Feb")</f>
        <v>02Feb</v>
      </c>
      <c r="F2182" s="34" t="str">
        <f>IFERROR(__xludf.DUMMYFUNCTION("""COMPUTED_VALUE"""),"2025")</f>
        <v>2025</v>
      </c>
      <c r="G2182" s="35" t="str">
        <f>IFERROR(__xludf.DUMMYFUNCTION("""COMPUTED_VALUE"""),"ANGGIAT JUNIAR")</f>
        <v>ANGGIAT JUNIAR</v>
      </c>
      <c r="H2182" s="35" t="str">
        <f>IFERROR(__xludf.DUMMYFUNCTION("""COMPUTED_VALUE"""),"A9025022018")</f>
        <v>A9025022018</v>
      </c>
      <c r="I2182" s="35">
        <f>IFERROR(__xludf.DUMMYFUNCTION("""COMPUTED_VALUE"""),36.0)</f>
        <v>36</v>
      </c>
      <c r="J2182" s="35" t="str">
        <f>IFERROR(__xludf.DUMMYFUNCTION("""COMPUTED_VALUE"""),"35-44 tahun")</f>
        <v>35-44 tahun</v>
      </c>
      <c r="K2182" s="21" t="str">
        <f>IFERROR(__xludf.DUMMYFUNCTION("""COMPUTED_VALUE"""),"15/06/1990")</f>
        <v>15/06/1990</v>
      </c>
      <c r="L2182" s="21" t="str">
        <f>IFERROR(__xludf.DUMMYFUNCTION("""COMPUTED_VALUE"""),"LAKI-LAKI")</f>
        <v>LAKI-LAKI</v>
      </c>
      <c r="M2182" s="35" t="str">
        <f>IFERROR(__xludf.DUMMYFUNCTION("""COMPUTED_VALUE"""),"JL. PROF M.YAMIN NO 77")</f>
        <v>JL. PROF M.YAMIN NO 77</v>
      </c>
      <c r="N2182" s="35" t="str">
        <f>IFERROR(__xludf.DUMMYFUNCTION("""COMPUTED_VALUE"""),"-")</f>
        <v>-</v>
      </c>
      <c r="O2182" s="35" t="str">
        <f>IFERROR(__xludf.DUMMYFUNCTION("""COMPUTED_VALUE"""),"-")</f>
        <v>-</v>
      </c>
      <c r="P2182" s="35" t="str">
        <f>IFERROR(__xludf.DUMMYFUNCTION("""COMPUTED_VALUE"""),"KOTA PONTIANAK")</f>
        <v>KOTA PONTIANAK</v>
      </c>
      <c r="Q2182" s="35" t="str">
        <f>IFERROR(__xludf.DUMMYFUNCTION("""COMPUTED_VALUE"""),"KALIMANTAN BARAT")</f>
        <v>KALIMANTAN BARAT</v>
      </c>
      <c r="R2182" s="21" t="str">
        <f>IFERROR(__xludf.DUMMYFUNCTION("""COMPUTED_VALUE"""),"LAINNYA")</f>
        <v>LAINNYA</v>
      </c>
      <c r="S2182" s="35" t="str">
        <f>IFERROR(__xludf.DUMMYFUNCTION("""COMPUTED_VALUE"""),"POLRI")</f>
        <v>POLRI</v>
      </c>
      <c r="T2182" s="35" t="str">
        <f>IFERROR(__xludf.DUMMYFUNCTION("""COMPUTED_VALUE"""),"PINGGANG DAN KAKI")</f>
        <v>PINGGANG DAN KAKI</v>
      </c>
      <c r="U2182" s="35" t="str">
        <f>IFERROR(__xludf.DUMMYFUNCTION("""COMPUTED_VALUE"""),"KERJA")</f>
        <v>KERJA</v>
      </c>
      <c r="V2182" s="37" t="str">
        <f>IFERROR(__xludf.DUMMYFUNCTION("""COMPUTED_VALUE"""),"081235452018")</f>
        <v>081235452018</v>
      </c>
      <c r="W2182" s="45"/>
    </row>
    <row r="2183">
      <c r="A2183" s="45"/>
      <c r="B2183" s="24" t="str">
        <f>IFERROR(__xludf.DUMMYFUNCTION("""COMPUTED_VALUE"""),"2/4/2025 16:13:33")</f>
        <v>2/4/2025 16:13:33</v>
      </c>
      <c r="C2183" s="35"/>
      <c r="D2183" s="10">
        <f>IFERROR(__xludf.DUMMYFUNCTION("""COMPUTED_VALUE"""),45716.0)</f>
        <v>45716</v>
      </c>
      <c r="E2183" s="35" t="str">
        <f>IFERROR(__xludf.DUMMYFUNCTION("""COMPUTED_VALUE"""),"02Feb")</f>
        <v>02Feb</v>
      </c>
      <c r="F2183" s="34" t="str">
        <f>IFERROR(__xludf.DUMMYFUNCTION("""COMPUTED_VALUE"""),"2025")</f>
        <v>2025</v>
      </c>
      <c r="G2183" s="35" t="str">
        <f>IFERROR(__xludf.DUMMYFUNCTION("""COMPUTED_VALUE"""),"KALEO JAVAS LIANDRA")</f>
        <v>KALEO JAVAS LIANDRA</v>
      </c>
      <c r="H2183" s="35" t="str">
        <f>IFERROR(__xludf.DUMMYFUNCTION("""COMPUTED_VALUE"""),"K1025027455")</f>
        <v>K1025027455</v>
      </c>
      <c r="I2183" s="35">
        <f>IFERROR(__xludf.DUMMYFUNCTION("""COMPUTED_VALUE"""),16.0)</f>
        <v>16</v>
      </c>
      <c r="J2183" s="35" t="str">
        <f>IFERROR(__xludf.DUMMYFUNCTION("""COMPUTED_VALUE"""),"&lt; 18 tahun")</f>
        <v>&lt; 18 tahun</v>
      </c>
      <c r="K2183" s="21" t="str">
        <f>IFERROR(__xludf.DUMMYFUNCTION("""COMPUTED_VALUE"""),"09/02/2010")</f>
        <v>09/02/2010</v>
      </c>
      <c r="L2183" s="21" t="str">
        <f>IFERROR(__xludf.DUMMYFUNCTION("""COMPUTED_VALUE"""),"LAKI-LAKI")</f>
        <v>LAKI-LAKI</v>
      </c>
      <c r="M2183" s="35" t="str">
        <f>IFERROR(__xludf.DUMMYFUNCTION("""COMPUTED_VALUE"""),"KOMPLEK CITRA WISATA BLOK VI NO.17 LK XIV")</f>
        <v>KOMPLEK CITRA WISATA BLOK VI NO.17 LK XIV</v>
      </c>
      <c r="N2183" s="35" t="str">
        <f>IFERROR(__xludf.DUMMYFUNCTION("""COMPUTED_VALUE"""),"PANGKALAN MANSYUR")</f>
        <v>PANGKALAN MANSYUR</v>
      </c>
      <c r="O2183" s="35" t="str">
        <f>IFERROR(__xludf.DUMMYFUNCTION("""COMPUTED_VALUE"""),"MEDAN JOHOR")</f>
        <v>MEDAN JOHOR</v>
      </c>
      <c r="P2183" s="35" t="str">
        <f>IFERROR(__xludf.DUMMYFUNCTION("""COMPUTED_VALUE"""),"KOTA MEDAN")</f>
        <v>KOTA MEDAN</v>
      </c>
      <c r="Q2183" s="35" t="str">
        <f>IFERROR(__xludf.DUMMYFUNCTION("""COMPUTED_VALUE"""),"SUMATERA UTARA")</f>
        <v>SUMATERA UTARA</v>
      </c>
      <c r="R2183" s="21" t="str">
        <f>IFERROR(__xludf.DUMMYFUNCTION("""COMPUTED_VALUE"""),"ISLAM")</f>
        <v>ISLAM</v>
      </c>
      <c r="S2183" s="16" t="str">
        <f>IFERROR(__xludf.DUMMYFUNCTION("""COMPUTED_VALUE"""),"PELAJAR")</f>
        <v>PELAJAR</v>
      </c>
      <c r="T2183" s="35" t="str">
        <f>IFERROR(__xludf.DUMMYFUNCTION("""COMPUTED_VALUE"""),"KAKI O")</f>
        <v>KAKI O</v>
      </c>
      <c r="U2183" s="35" t="str">
        <f>IFERROR(__xludf.DUMMYFUNCTION("""COMPUTED_VALUE"""),"TIDAK ADA")</f>
        <v>TIDAK ADA</v>
      </c>
      <c r="V2183" s="37" t="str">
        <f>IFERROR(__xludf.DUMMYFUNCTION("""COMPUTED_VALUE"""),"081345807455")</f>
        <v>081345807455</v>
      </c>
      <c r="W2183" s="45"/>
    </row>
    <row r="2184">
      <c r="A2184" s="45"/>
      <c r="B2184" s="24" t="str">
        <f>IFERROR(__xludf.DUMMYFUNCTION("""COMPUTED_VALUE"""),"05/02/2025 11:02:46")</f>
        <v>05/02/2025 11:02:46</v>
      </c>
      <c r="C2184" s="35"/>
      <c r="D2184" s="10">
        <f>IFERROR(__xludf.DUMMYFUNCTION("""COMPUTED_VALUE"""),45717.0)</f>
        <v>45717</v>
      </c>
      <c r="E2184" s="35" t="str">
        <f>IFERROR(__xludf.DUMMYFUNCTION("""COMPUTED_VALUE"""),"03Mar")</f>
        <v>03Mar</v>
      </c>
      <c r="F2184" s="34" t="str">
        <f>IFERROR(__xludf.DUMMYFUNCTION("""COMPUTED_VALUE"""),"2025")</f>
        <v>2025</v>
      </c>
      <c r="G2184" s="35" t="str">
        <f>IFERROR(__xludf.DUMMYFUNCTION("""COMPUTED_VALUE"""),"RISA AUDINA")</f>
        <v>RISA AUDINA</v>
      </c>
      <c r="H2184" s="35" t="str">
        <f>IFERROR(__xludf.DUMMYFUNCTION("""COMPUTED_VALUE"""),"R9625037907")</f>
        <v>R9625037907</v>
      </c>
      <c r="I2184" s="35">
        <f>IFERROR(__xludf.DUMMYFUNCTION("""COMPUTED_VALUE"""),30.0)</f>
        <v>30</v>
      </c>
      <c r="J2184" s="35" t="str">
        <f>IFERROR(__xludf.DUMMYFUNCTION("""COMPUTED_VALUE"""),"25-34 tahun")</f>
        <v>25-34 tahun</v>
      </c>
      <c r="K2184" s="21" t="str">
        <f>IFERROR(__xludf.DUMMYFUNCTION("""COMPUTED_VALUE"""),"07/06/1996")</f>
        <v>07/06/1996</v>
      </c>
      <c r="L2184" s="21" t="str">
        <f>IFERROR(__xludf.DUMMYFUNCTION("""COMPUTED_VALUE"""),"PEREMPUAN")</f>
        <v>PEREMPUAN</v>
      </c>
      <c r="M2184" s="35" t="str">
        <f>IFERROR(__xludf.DUMMYFUNCTION("""COMPUTED_VALUE"""),"JL. SUKA MULIA GG. SUKMA 19A")</f>
        <v>JL. SUKA MULIA GG. SUKMA 19A</v>
      </c>
      <c r="N2184" s="35" t="str">
        <f>IFERROR(__xludf.DUMMYFUNCTION("""COMPUTED_VALUE"""),"SUNGAI JAWI")</f>
        <v>SUNGAI JAWI</v>
      </c>
      <c r="O2184" s="35" t="str">
        <f>IFERROR(__xludf.DUMMYFUNCTION("""COMPUTED_VALUE"""),"PONTIANAK KOTA")</f>
        <v>PONTIANAK KOTA</v>
      </c>
      <c r="P2184" s="35" t="str">
        <f>IFERROR(__xludf.DUMMYFUNCTION("""COMPUTED_VALUE"""),"KOTA PONTIANAK")</f>
        <v>KOTA PONTIANAK</v>
      </c>
      <c r="Q2184" s="35" t="str">
        <f>IFERROR(__xludf.DUMMYFUNCTION("""COMPUTED_VALUE"""),"KALIMANTAN BARAT")</f>
        <v>KALIMANTAN BARAT</v>
      </c>
      <c r="R2184" s="21" t="str">
        <f>IFERROR(__xludf.DUMMYFUNCTION("""COMPUTED_VALUE"""),"ISLAM")</f>
        <v>ISLAM</v>
      </c>
      <c r="S2184" s="35" t="str">
        <f>IFERROR(__xludf.DUMMYFUNCTION("""COMPUTED_VALUE"""),"ASN")</f>
        <v>ASN</v>
      </c>
      <c r="T2184" s="35" t="str">
        <f>IFERROR(__xludf.DUMMYFUNCTION("""COMPUTED_VALUE"""),"SAKIT BAGIAN DENGKUL")</f>
        <v>SAKIT BAGIAN DENGKUL</v>
      </c>
      <c r="U2184" s="35" t="str">
        <f>IFERROR(__xludf.DUMMYFUNCTION("""COMPUTED_VALUE"""),"GENDONG ANAK")</f>
        <v>GENDONG ANAK</v>
      </c>
      <c r="V2184" s="37" t="str">
        <f>IFERROR(__xludf.DUMMYFUNCTION("""COMPUTED_VALUE"""),"089693517907")</f>
        <v>089693517907</v>
      </c>
      <c r="W2184" s="45"/>
    </row>
    <row r="2185">
      <c r="A2185" s="45"/>
      <c r="B2185" s="24" t="str">
        <f>IFERROR(__xludf.DUMMYFUNCTION("""COMPUTED_VALUE"""),"04/02/2025 15:57:12")</f>
        <v>04/02/2025 15:57:12</v>
      </c>
      <c r="C2185" s="35"/>
      <c r="D2185" s="10">
        <f>IFERROR(__xludf.DUMMYFUNCTION("""COMPUTED_VALUE"""),45717.0)</f>
        <v>45717</v>
      </c>
      <c r="E2185" s="35" t="str">
        <f>IFERROR(__xludf.DUMMYFUNCTION("""COMPUTED_VALUE"""),"03Mar")</f>
        <v>03Mar</v>
      </c>
      <c r="F2185" s="34" t="str">
        <f>IFERROR(__xludf.DUMMYFUNCTION("""COMPUTED_VALUE"""),"2025")</f>
        <v>2025</v>
      </c>
      <c r="G2185" s="35" t="str">
        <f>IFERROR(__xludf.DUMMYFUNCTION("""COMPUTED_VALUE"""),"SUNARDI")</f>
        <v>SUNARDI</v>
      </c>
      <c r="H2185" s="35" t="str">
        <f>IFERROR(__xludf.DUMMYFUNCTION("""COMPUTED_VALUE"""),"S6825032444")</f>
        <v>S6825032444</v>
      </c>
      <c r="I2185" s="35">
        <f>IFERROR(__xludf.DUMMYFUNCTION("""COMPUTED_VALUE"""),57.0)</f>
        <v>57</v>
      </c>
      <c r="J2185" s="35" t="str">
        <f>IFERROR(__xludf.DUMMYFUNCTION("""COMPUTED_VALUE"""),"&gt; 44 tahun")</f>
        <v>&gt; 44 tahun</v>
      </c>
      <c r="K2185" s="21" t="str">
        <f>IFERROR(__xludf.DUMMYFUNCTION("""COMPUTED_VALUE"""),"09/09/1968")</f>
        <v>09/09/1968</v>
      </c>
      <c r="L2185" s="21" t="str">
        <f>IFERROR(__xludf.DUMMYFUNCTION("""COMPUTED_VALUE"""),"LAKI-LAKI")</f>
        <v>LAKI-LAKI</v>
      </c>
      <c r="M2185" s="35" t="str">
        <f>IFERROR(__xludf.DUMMYFUNCTION("""COMPUTED_VALUE"""),"SUNGAI BAKAU BESAU LAUT")</f>
        <v>SUNGAI BAKAU BESAU LAUT</v>
      </c>
      <c r="N2185" s="35" t="str">
        <f>IFERROR(__xludf.DUMMYFUNCTION("""COMPUTED_VALUE"""),"SUNGAI BAKAU BESAR LAUT")</f>
        <v>SUNGAI BAKAU BESAR LAUT</v>
      </c>
      <c r="O2185" s="35" t="str">
        <f>IFERROR(__xludf.DUMMYFUNCTION("""COMPUTED_VALUE"""),"SUNGAI PINYUH")</f>
        <v>SUNGAI PINYUH</v>
      </c>
      <c r="P2185" s="35" t="str">
        <f>IFERROR(__xludf.DUMMYFUNCTION("""COMPUTED_VALUE"""),"MEMPAWAH")</f>
        <v>MEMPAWAH</v>
      </c>
      <c r="Q2185" s="35" t="str">
        <f>IFERROR(__xludf.DUMMYFUNCTION("""COMPUTED_VALUE"""),"KALBAR")</f>
        <v>KALBAR</v>
      </c>
      <c r="R2185" s="21" t="str">
        <f>IFERROR(__xludf.DUMMYFUNCTION("""COMPUTED_VALUE"""),"ISLAM")</f>
        <v>ISLAM</v>
      </c>
      <c r="S2185" s="16" t="str">
        <f>IFERROR(__xludf.DUMMYFUNCTION("""COMPUTED_VALUE"""),"PNS")</f>
        <v>PNS</v>
      </c>
      <c r="T2185" s="35" t="str">
        <f>IFERROR(__xludf.DUMMYFUNCTION("""COMPUTED_VALUE"""),"SAKIT BAHU")</f>
        <v>SAKIT BAHU</v>
      </c>
      <c r="U2185" s="35" t="str">
        <f>IFERROR(__xludf.DUMMYFUNCTION("""COMPUTED_VALUE"""),"NGAJAR")</f>
        <v>NGAJAR</v>
      </c>
      <c r="V2185" s="37" t="str">
        <f>IFERROR(__xludf.DUMMYFUNCTION("""COMPUTED_VALUE"""),"089629542444")</f>
        <v>089629542444</v>
      </c>
      <c r="W2185" s="45"/>
    </row>
    <row r="2186">
      <c r="A2186" s="45"/>
      <c r="B2186" s="24" t="str">
        <f>IFERROR(__xludf.DUMMYFUNCTION("""COMPUTED_VALUE"""),"02/02/2025 14:07:51")</f>
        <v>02/02/2025 14:07:51</v>
      </c>
      <c r="C2186" s="35"/>
      <c r="D2186" s="10">
        <f>IFERROR(__xludf.DUMMYFUNCTION("""COMPUTED_VALUE"""),45717.0)</f>
        <v>45717</v>
      </c>
      <c r="E2186" s="35" t="str">
        <f>IFERROR(__xludf.DUMMYFUNCTION("""COMPUTED_VALUE"""),"03Mar")</f>
        <v>03Mar</v>
      </c>
      <c r="F2186" s="34" t="str">
        <f>IFERROR(__xludf.DUMMYFUNCTION("""COMPUTED_VALUE"""),"2025")</f>
        <v>2025</v>
      </c>
      <c r="G2186" s="35" t="str">
        <f>IFERROR(__xludf.DUMMYFUNCTION("""COMPUTED_VALUE"""),"JULIANTO 8807")</f>
        <v>JULIANTO 8807</v>
      </c>
      <c r="H2186" s="35" t="str">
        <f>IFERROR(__xludf.DUMMYFUNCTION("""COMPUTED_VALUE"""),"J8825034075")</f>
        <v>J8825034075</v>
      </c>
      <c r="I2186" s="35">
        <f>IFERROR(__xludf.DUMMYFUNCTION("""COMPUTED_VALUE"""),37.0)</f>
        <v>37</v>
      </c>
      <c r="J2186" s="35" t="str">
        <f>IFERROR(__xludf.DUMMYFUNCTION("""COMPUTED_VALUE"""),"35-44 tahun")</f>
        <v>35-44 tahun</v>
      </c>
      <c r="K2186" s="21" t="str">
        <f>IFERROR(__xludf.DUMMYFUNCTION("""COMPUTED_VALUE"""),"07/07/1988")</f>
        <v>07/07/1988</v>
      </c>
      <c r="L2186" s="21" t="str">
        <f>IFERROR(__xludf.DUMMYFUNCTION("""COMPUTED_VALUE"""),"LAKI-LAKI")</f>
        <v>LAKI-LAKI</v>
      </c>
      <c r="M2186" s="35" t="str">
        <f>IFERROR(__xludf.DUMMYFUNCTION("""COMPUTED_VALUE"""),"JALAN TANJUNG RAYA 2, KOMPLEKS BALI LESTARI NO I 15")</f>
        <v>JALAN TANJUNG RAYA 2, KOMPLEKS BALI LESTARI NO I 15</v>
      </c>
      <c r="N2186" s="35" t="str">
        <f>IFERROR(__xludf.DUMMYFUNCTION("""COMPUTED_VALUE"""),"SAIGON")</f>
        <v>SAIGON</v>
      </c>
      <c r="O2186" s="35" t="str">
        <f>IFERROR(__xludf.DUMMYFUNCTION("""COMPUTED_VALUE"""),"PONTIANAK TIMUR")</f>
        <v>PONTIANAK TIMUR</v>
      </c>
      <c r="P2186" s="35" t="str">
        <f>IFERROR(__xludf.DUMMYFUNCTION("""COMPUTED_VALUE"""),"PONTIANAK")</f>
        <v>PONTIANAK</v>
      </c>
      <c r="Q2186" s="35" t="str">
        <f>IFERROR(__xludf.DUMMYFUNCTION("""COMPUTED_VALUE"""),"KALIMANTAN BARAT")</f>
        <v>KALIMANTAN BARAT</v>
      </c>
      <c r="R2186" s="21" t="str">
        <f>IFERROR(__xludf.DUMMYFUNCTION("""COMPUTED_VALUE"""),"BUDDHA")</f>
        <v>BUDDHA</v>
      </c>
      <c r="S2186" s="16" t="str">
        <f>IFERROR(__xludf.DUMMYFUNCTION("""COMPUTED_VALUE"""),"KARYAWAN SWASTA")</f>
        <v>KARYAWAN SWASTA</v>
      </c>
      <c r="T2186" s="35" t="str">
        <f>IFERROR(__xludf.DUMMYFUNCTION("""COMPUTED_VALUE"""),"BAHU SEBELAH KIRI SAKIT")</f>
        <v>BAHU SEBELAH KIRI SAKIT</v>
      </c>
      <c r="U2186" s="35" t="str">
        <f>IFERROR(__xludf.DUMMYFUNCTION("""COMPUTED_VALUE"""),"SERING ANGKAT BEBAN BERAT")</f>
        <v>SERING ANGKAT BEBAN BERAT</v>
      </c>
      <c r="V2186" s="37" t="str">
        <f>IFERROR(__xludf.DUMMYFUNCTION("""COMPUTED_VALUE"""),"085828354075")</f>
        <v>085828354075</v>
      </c>
      <c r="W2186" s="45"/>
    </row>
    <row r="2187">
      <c r="A2187" s="45"/>
      <c r="B2187" s="24" t="str">
        <f>IFERROR(__xludf.DUMMYFUNCTION("""COMPUTED_VALUE"""),"06/02/2025 8:35:05")</f>
        <v>06/02/2025 8:35:05</v>
      </c>
      <c r="C2187" s="35"/>
      <c r="D2187" s="10">
        <f>IFERROR(__xludf.DUMMYFUNCTION("""COMPUTED_VALUE"""),45717.0)</f>
        <v>45717</v>
      </c>
      <c r="E2187" s="35" t="str">
        <f>IFERROR(__xludf.DUMMYFUNCTION("""COMPUTED_VALUE"""),"03Mar")</f>
        <v>03Mar</v>
      </c>
      <c r="F2187" s="34" t="str">
        <f>IFERROR(__xludf.DUMMYFUNCTION("""COMPUTED_VALUE"""),"2025")</f>
        <v>2025</v>
      </c>
      <c r="G2187" s="35" t="str">
        <f>IFERROR(__xludf.DUMMYFUNCTION("""COMPUTED_VALUE"""),"ANDAS DJIE")</f>
        <v>ANDAS DJIE</v>
      </c>
      <c r="H2187" s="35" t="str">
        <f>IFERROR(__xludf.DUMMYFUNCTION("""COMPUTED_VALUE"""),"A7225038989")</f>
        <v>A7225038989</v>
      </c>
      <c r="I2187" s="35">
        <f>IFERROR(__xludf.DUMMYFUNCTION("""COMPUTED_VALUE"""),53.0)</f>
        <v>53</v>
      </c>
      <c r="J2187" s="35" t="str">
        <f>IFERROR(__xludf.DUMMYFUNCTION("""COMPUTED_VALUE"""),"&gt; 44 tahun")</f>
        <v>&gt; 44 tahun</v>
      </c>
      <c r="K2187" s="21" t="str">
        <f>IFERROR(__xludf.DUMMYFUNCTION("""COMPUTED_VALUE"""),"18/08/1972")</f>
        <v>18/08/1972</v>
      </c>
      <c r="L2187" s="21" t="str">
        <f>IFERROR(__xludf.DUMMYFUNCTION("""COMPUTED_VALUE"""),"LAKI-LAKI")</f>
        <v>LAKI-LAKI</v>
      </c>
      <c r="M2187" s="35" t="str">
        <f>IFERROR(__xludf.DUMMYFUNCTION("""COMPUTED_VALUE"""),"MARTADINATA NO. 4B SUNGAI JAWI DALAM")</f>
        <v>MARTADINATA NO. 4B SUNGAI JAWI DALAM</v>
      </c>
      <c r="N2187" s="35" t="str">
        <f>IFERROR(__xludf.DUMMYFUNCTION("""COMPUTED_VALUE"""),"SUNGAI JAWI DALAM")</f>
        <v>SUNGAI JAWI DALAM</v>
      </c>
      <c r="O2187" s="35" t="str">
        <f>IFERROR(__xludf.DUMMYFUNCTION("""COMPUTED_VALUE"""),"PONTIANAK BARAT")</f>
        <v>PONTIANAK BARAT</v>
      </c>
      <c r="P2187" s="35" t="str">
        <f>IFERROR(__xludf.DUMMYFUNCTION("""COMPUTED_VALUE"""),"KOTA PONTIANAK")</f>
        <v>KOTA PONTIANAK</v>
      </c>
      <c r="Q2187" s="35" t="str">
        <f>IFERROR(__xludf.DUMMYFUNCTION("""COMPUTED_VALUE"""),"KALIMANTAN BARAT")</f>
        <v>KALIMANTAN BARAT</v>
      </c>
      <c r="R2187" s="21" t="str">
        <f>IFERROR(__xludf.DUMMYFUNCTION("""COMPUTED_VALUE"""),"BUDDHA")</f>
        <v>BUDDHA</v>
      </c>
      <c r="S2187" s="35" t="str">
        <f>IFERROR(__xludf.DUMMYFUNCTION("""COMPUTED_VALUE"""),"WIRAUSAHA")</f>
        <v>WIRAUSAHA</v>
      </c>
      <c r="T2187" s="35" t="str">
        <f>IFERROR(__xludf.DUMMYFUNCTION("""COMPUTED_VALUE"""),"PERGELANGAN TANGAN KADANG NGILU,")</f>
        <v>PERGELANGAN TANGAN KADANG NGILU,</v>
      </c>
      <c r="U2187" s="35" t="str">
        <f>IFERROR(__xludf.DUMMYFUNCTION("""COMPUTED_VALUE"""),"TUMBANG DARI MOTOR")</f>
        <v>TUMBANG DARI MOTOR</v>
      </c>
      <c r="V2187" s="37" t="str">
        <f>IFERROR(__xludf.DUMMYFUNCTION("""COMPUTED_VALUE"""),"081345678989")</f>
        <v>081345678989</v>
      </c>
      <c r="W2187" s="45"/>
    </row>
    <row r="2188">
      <c r="A2188" s="45"/>
      <c r="B2188" s="24" t="str">
        <f>IFERROR(__xludf.DUMMYFUNCTION("""COMPUTED_VALUE"""),"04/02/2025 16:42:23")</f>
        <v>04/02/2025 16:42:23</v>
      </c>
      <c r="C2188" s="35"/>
      <c r="D2188" s="10">
        <f>IFERROR(__xludf.DUMMYFUNCTION("""COMPUTED_VALUE"""),45717.0)</f>
        <v>45717</v>
      </c>
      <c r="E2188" s="35" t="str">
        <f>IFERROR(__xludf.DUMMYFUNCTION("""COMPUTED_VALUE"""),"03Mar")</f>
        <v>03Mar</v>
      </c>
      <c r="F2188" s="34" t="str">
        <f>IFERROR(__xludf.DUMMYFUNCTION("""COMPUTED_VALUE"""),"2025")</f>
        <v>2025</v>
      </c>
      <c r="G2188" s="16" t="str">
        <f>IFERROR(__xludf.DUMMYFUNCTION("""COMPUTED_VALUE"""),"KASIPAH")</f>
        <v>KASIPAH</v>
      </c>
      <c r="H2188" s="35" t="str">
        <f>IFERROR(__xludf.DUMMYFUNCTION("""COMPUTED_VALUE"""),"K5425031410")</f>
        <v>K5425031410</v>
      </c>
      <c r="I2188" s="35">
        <f>IFERROR(__xludf.DUMMYFUNCTION("""COMPUTED_VALUE"""),71.0)</f>
        <v>71</v>
      </c>
      <c r="J2188" s="35" t="str">
        <f>IFERROR(__xludf.DUMMYFUNCTION("""COMPUTED_VALUE"""),"&gt; 44 tahun")</f>
        <v>&gt; 44 tahun</v>
      </c>
      <c r="K2188" s="44" t="str">
        <f>IFERROR(__xludf.DUMMYFUNCTION("""COMPUTED_VALUE"""),"01/07/1954")</f>
        <v>01/07/1954</v>
      </c>
      <c r="L2188" s="19" t="str">
        <f>IFERROR(__xludf.DUMMYFUNCTION("""COMPUTED_VALUE"""),"PEREMPUAN")</f>
        <v>PEREMPUAN</v>
      </c>
      <c r="M2188" s="16" t="str">
        <f>IFERROR(__xludf.DUMMYFUNCTION("""COMPUTED_VALUE"""),"SANGGAU")</f>
        <v>SANGGAU</v>
      </c>
      <c r="N2188" s="35" t="str">
        <f>IFERROR(__xludf.DUMMYFUNCTION("""COMPUTED_VALUE"""),"PENYELADI HULU")</f>
        <v>PENYELADI HULU</v>
      </c>
      <c r="O2188" s="16" t="str">
        <f>IFERROR(__xludf.DUMMYFUNCTION("""COMPUTED_VALUE"""),"KAPUAS")</f>
        <v>KAPUAS</v>
      </c>
      <c r="P2188" s="16" t="str">
        <f>IFERROR(__xludf.DUMMYFUNCTION("""COMPUTED_VALUE"""),"SANGGAU")</f>
        <v>SANGGAU</v>
      </c>
      <c r="Q2188" s="35" t="str">
        <f>IFERROR(__xludf.DUMMYFUNCTION("""COMPUTED_VALUE"""),"KALIMANTAN BARAT")</f>
        <v>KALIMANTAN BARAT</v>
      </c>
      <c r="R2188" s="19" t="str">
        <f>IFERROR(__xludf.DUMMYFUNCTION("""COMPUTED_VALUE"""),"ISLAM")</f>
        <v>ISLAM</v>
      </c>
      <c r="S2188" s="16" t="str">
        <f>IFERROR(__xludf.DUMMYFUNCTION("""COMPUTED_VALUE"""),"PETANI")</f>
        <v>PETANI</v>
      </c>
      <c r="T2188" s="16" t="str">
        <f>IFERROR(__xludf.DUMMYFUNCTION("""COMPUTED_VALUE"""),"SARAF KEJEPIT (SAAT INI HANYA BISA BARING)")</f>
        <v>SARAF KEJEPIT (SAAT INI HANYA BISA BARING)</v>
      </c>
      <c r="U2188" s="16" t="str">
        <f>IFERROR(__xludf.DUMMYFUNCTION("""COMPUTED_VALUE"""),"BERTANI")</f>
        <v>BERTANI</v>
      </c>
      <c r="V2188" s="11" t="str">
        <f>IFERROR(__xludf.DUMMYFUNCTION("""COMPUTED_VALUE"""),"085348011410")</f>
        <v>085348011410</v>
      </c>
      <c r="W2188" s="45"/>
    </row>
    <row r="2189">
      <c r="A2189" s="45"/>
      <c r="B2189" s="35"/>
      <c r="C2189" s="35"/>
      <c r="D2189" s="10">
        <f>IFERROR(__xludf.DUMMYFUNCTION("""COMPUTED_VALUE"""),45717.0)</f>
        <v>45717</v>
      </c>
      <c r="E2189" s="35" t="str">
        <f>IFERROR(__xludf.DUMMYFUNCTION("""COMPUTED_VALUE"""),"03Mar")</f>
        <v>03Mar</v>
      </c>
      <c r="F2189" s="34" t="str">
        <f>IFERROR(__xludf.DUMMYFUNCTION("""COMPUTED_VALUE"""),"2025")</f>
        <v>2025</v>
      </c>
      <c r="G2189" s="35" t="str">
        <f>IFERROR(__xludf.DUMMYFUNCTION("""COMPUTED_VALUE"""),"MELVERN AARON SANJAYA")</f>
        <v>MELVERN AARON SANJAYA</v>
      </c>
      <c r="H2189" s="35" t="str">
        <f>IFERROR(__xludf.DUMMYFUNCTION("""COMPUTED_VALUE"""),"M0925036212")</f>
        <v>M0925036212</v>
      </c>
      <c r="I2189" s="35">
        <f>IFERROR(__xludf.DUMMYFUNCTION("""COMPUTED_VALUE"""),17.0)</f>
        <v>17</v>
      </c>
      <c r="J2189" s="35" t="str">
        <f>IFERROR(__xludf.DUMMYFUNCTION("""COMPUTED_VALUE"""),"&lt; 18 tahun")</f>
        <v>&lt; 18 tahun</v>
      </c>
      <c r="K2189" s="21" t="str">
        <f>IFERROR(__xludf.DUMMYFUNCTION("""COMPUTED_VALUE"""),"08/01/2009")</f>
        <v>08/01/2009</v>
      </c>
      <c r="L2189" s="21" t="str">
        <f>IFERROR(__xludf.DUMMYFUNCTION("""COMPUTED_VALUE"""),"LAKI-LAKI")</f>
        <v>LAKI-LAKI</v>
      </c>
      <c r="M2189" s="35" t="str">
        <f>IFERROR(__xludf.DUMMYFUNCTION("""COMPUTED_VALUE"""),"JL.APEL.NO 8A")</f>
        <v>JL.APEL.NO 8A</v>
      </c>
      <c r="N2189" s="35" t="str">
        <f>IFERROR(__xludf.DUMMYFUNCTION("""COMPUTED_VALUE"""),"SUNGAI JAWI LUAR")</f>
        <v>SUNGAI JAWI LUAR</v>
      </c>
      <c r="O2189" s="35" t="str">
        <f>IFERROR(__xludf.DUMMYFUNCTION("""COMPUTED_VALUE"""),"PONTIANAK BARAT")</f>
        <v>PONTIANAK BARAT</v>
      </c>
      <c r="P2189" s="35" t="str">
        <f>IFERROR(__xludf.DUMMYFUNCTION("""COMPUTED_VALUE"""),"PONTIANAK")</f>
        <v>PONTIANAK</v>
      </c>
      <c r="Q2189" s="35" t="str">
        <f>IFERROR(__xludf.DUMMYFUNCTION("""COMPUTED_VALUE"""),"KALIMANTAN BARAT")</f>
        <v>KALIMANTAN BARAT</v>
      </c>
      <c r="R2189" s="21" t="str">
        <f>IFERROR(__xludf.DUMMYFUNCTION("""COMPUTED_VALUE"""),"PROTESTAN")</f>
        <v>PROTESTAN</v>
      </c>
      <c r="S2189" s="35" t="str">
        <f>IFERROR(__xludf.DUMMYFUNCTION("""COMPUTED_VALUE"""),"SISWA")</f>
        <v>SISWA</v>
      </c>
      <c r="T2189" s="35" t="str">
        <f>IFERROR(__xludf.DUMMYFUNCTION("""COMPUTED_VALUE"""),"LUTUT MINISKUS")</f>
        <v>LUTUT MINISKUS</v>
      </c>
      <c r="U2189" s="35" t="str">
        <f>IFERROR(__xludf.DUMMYFUNCTION("""COMPUTED_VALUE"""),"BASKET")</f>
        <v>BASKET</v>
      </c>
      <c r="V2189" s="37" t="str">
        <f>IFERROR(__xludf.DUMMYFUNCTION("""COMPUTED_VALUE"""),"082340276212")</f>
        <v>082340276212</v>
      </c>
      <c r="W2189" s="45"/>
    </row>
    <row r="2190">
      <c r="A2190" s="45"/>
      <c r="B2190" s="24" t="str">
        <f>IFERROR(__xludf.DUMMYFUNCTION("""COMPUTED_VALUE"""),"06/02/2025 20:58:58")</f>
        <v>06/02/2025 20:58:58</v>
      </c>
      <c r="C2190" s="35"/>
      <c r="D2190" s="10">
        <f>IFERROR(__xludf.DUMMYFUNCTION("""COMPUTED_VALUE"""),45718.0)</f>
        <v>45718</v>
      </c>
      <c r="E2190" s="35" t="str">
        <f>IFERROR(__xludf.DUMMYFUNCTION("""COMPUTED_VALUE"""),"03Mar")</f>
        <v>03Mar</v>
      </c>
      <c r="F2190" s="34" t="str">
        <f>IFERROR(__xludf.DUMMYFUNCTION("""COMPUTED_VALUE"""),"2025")</f>
        <v>2025</v>
      </c>
      <c r="G2190" s="35" t="str">
        <f>IFERROR(__xludf.DUMMYFUNCTION("""COMPUTED_VALUE"""),"ALYA GHAISANI")</f>
        <v>ALYA GHAISANI</v>
      </c>
      <c r="H2190" s="35" t="str">
        <f>IFERROR(__xludf.DUMMYFUNCTION("""COMPUTED_VALUE"""),"A1625031346")</f>
        <v>A1625031346</v>
      </c>
      <c r="I2190" s="35">
        <f>IFERROR(__xludf.DUMMYFUNCTION("""COMPUTED_VALUE"""),9.0)</f>
        <v>9</v>
      </c>
      <c r="J2190" s="35" t="str">
        <f>IFERROR(__xludf.DUMMYFUNCTION("""COMPUTED_VALUE"""),"&lt; 18 tahun")</f>
        <v>&lt; 18 tahun</v>
      </c>
      <c r="K2190" s="21" t="str">
        <f>IFERROR(__xludf.DUMMYFUNCTION("""COMPUTED_VALUE"""),"28/11/2016")</f>
        <v>28/11/2016</v>
      </c>
      <c r="L2190" s="19" t="str">
        <f>IFERROR(__xludf.DUMMYFUNCTION("""COMPUTED_VALUE"""),"PEREMPUAN")</f>
        <v>PEREMPUAN</v>
      </c>
      <c r="M2190" s="35" t="str">
        <f>IFERROR(__xludf.DUMMYFUNCTION("""COMPUTED_VALUE"""),"JL HUSEIN HAMZAH GG RUMPUT PERMAI NO 3 B")</f>
        <v>JL HUSEIN HAMZAH GG RUMPUT PERMAI NO 3 B</v>
      </c>
      <c r="N2190" s="35" t="str">
        <f>IFERROR(__xludf.DUMMYFUNCTION("""COMPUTED_VALUE"""),"SUNGAI JAWI DALAM")</f>
        <v>SUNGAI JAWI DALAM</v>
      </c>
      <c r="O2190" s="35" t="str">
        <f>IFERROR(__xludf.DUMMYFUNCTION("""COMPUTED_VALUE"""),"PONTIANAK BARAT")</f>
        <v>PONTIANAK BARAT</v>
      </c>
      <c r="P2190" s="35" t="str">
        <f>IFERROR(__xludf.DUMMYFUNCTION("""COMPUTED_VALUE"""),"KOTA PONTIANAK")</f>
        <v>KOTA PONTIANAK</v>
      </c>
      <c r="Q2190" s="35" t="str">
        <f>IFERROR(__xludf.DUMMYFUNCTION("""COMPUTED_VALUE"""),"KALIMANTAN BARAT")</f>
        <v>KALIMANTAN BARAT</v>
      </c>
      <c r="R2190" s="21" t="str">
        <f>IFERROR(__xludf.DUMMYFUNCTION("""COMPUTED_VALUE"""),"ISLAM")</f>
        <v>ISLAM</v>
      </c>
      <c r="S2190" s="16" t="str">
        <f>IFERROR(__xludf.DUMMYFUNCTION("""COMPUTED_VALUE"""),"-")</f>
        <v>-</v>
      </c>
      <c r="T2190" s="35" t="str">
        <f>IFERROR(__xludf.DUMMYFUNCTION("""COMPUTED_VALUE"""),"NYERI DI TELAPAK KAKI KETIKA CAPEK")</f>
        <v>NYERI DI TELAPAK KAKI KETIKA CAPEK</v>
      </c>
      <c r="U2190" s="35" t="str">
        <f>IFERROR(__xludf.DUMMYFUNCTION("""COMPUTED_VALUE"""),"-")</f>
        <v>-</v>
      </c>
      <c r="V2190" s="37" t="str">
        <f>IFERROR(__xludf.DUMMYFUNCTION("""COMPUTED_VALUE"""),"081350161346")</f>
        <v>081350161346</v>
      </c>
      <c r="W2190" s="45"/>
    </row>
    <row r="2191">
      <c r="A2191" s="45"/>
      <c r="B2191" s="24" t="str">
        <f>IFERROR(__xludf.DUMMYFUNCTION("""COMPUTED_VALUE"""),"07/02/2025 17:46:37")</f>
        <v>07/02/2025 17:46:37</v>
      </c>
      <c r="C2191" s="35"/>
      <c r="D2191" s="10">
        <f>IFERROR(__xludf.DUMMYFUNCTION("""COMPUTED_VALUE"""),45718.0)</f>
        <v>45718</v>
      </c>
      <c r="E2191" s="35" t="str">
        <f>IFERROR(__xludf.DUMMYFUNCTION("""COMPUTED_VALUE"""),"03Mar")</f>
        <v>03Mar</v>
      </c>
      <c r="F2191" s="34" t="str">
        <f>IFERROR(__xludf.DUMMYFUNCTION("""COMPUTED_VALUE"""),"2025")</f>
        <v>2025</v>
      </c>
      <c r="G2191" s="35" t="str">
        <f>IFERROR(__xludf.DUMMYFUNCTION("""COMPUTED_VALUE"""),"ANGGA")</f>
        <v>ANGGA</v>
      </c>
      <c r="H2191" s="35" t="str">
        <f>IFERROR(__xludf.DUMMYFUNCTION("""COMPUTED_VALUE"""),"A9225032065")</f>
        <v>A9225032065</v>
      </c>
      <c r="I2191" s="35">
        <f>IFERROR(__xludf.DUMMYFUNCTION("""COMPUTED_VALUE"""),33.0)</f>
        <v>33</v>
      </c>
      <c r="J2191" s="35" t="str">
        <f>IFERROR(__xludf.DUMMYFUNCTION("""COMPUTED_VALUE"""),"25-34 tahun")</f>
        <v>25-34 tahun</v>
      </c>
      <c r="K2191" s="21" t="str">
        <f>IFERROR(__xludf.DUMMYFUNCTION("""COMPUTED_VALUE"""),"18/07/1992")</f>
        <v>18/07/1992</v>
      </c>
      <c r="L2191" s="21" t="str">
        <f>IFERROR(__xludf.DUMMYFUNCTION("""COMPUTED_VALUE"""),"LAKI-LAKI")</f>
        <v>LAKI-LAKI</v>
      </c>
      <c r="M2191" s="35" t="str">
        <f>IFERROR(__xludf.DUMMYFUNCTION("""COMPUTED_VALUE"""),"JL. GUSTI IBRAHIM SYAFIUDDIN, GG. AKCAYA NO. 14")</f>
        <v>JL. GUSTI IBRAHIM SYAFIUDDIN, GG. AKCAYA NO. 14</v>
      </c>
      <c r="N2191" s="35" t="str">
        <f>IFERROR(__xludf.DUMMYFUNCTION("""COMPUTED_VALUE"""),"TERUSAN")</f>
        <v>TERUSAN</v>
      </c>
      <c r="O2191" s="35" t="str">
        <f>IFERROR(__xludf.DUMMYFUNCTION("""COMPUTED_VALUE"""),"MEMPAWAH HILIR")</f>
        <v>MEMPAWAH HILIR</v>
      </c>
      <c r="P2191" s="35" t="str">
        <f>IFERROR(__xludf.DUMMYFUNCTION("""COMPUTED_VALUE"""),"MEMPAWAH")</f>
        <v>MEMPAWAH</v>
      </c>
      <c r="Q2191" s="35" t="str">
        <f>IFERROR(__xludf.DUMMYFUNCTION("""COMPUTED_VALUE"""),"KALIMANTAN BARAT")</f>
        <v>KALIMANTAN BARAT</v>
      </c>
      <c r="R2191" s="21" t="str">
        <f>IFERROR(__xludf.DUMMYFUNCTION("""COMPUTED_VALUE"""),"ISLAM")</f>
        <v>ISLAM</v>
      </c>
      <c r="S2191" s="35" t="str">
        <f>IFERROR(__xludf.DUMMYFUNCTION("""COMPUTED_VALUE"""),"PNS")</f>
        <v>PNS</v>
      </c>
      <c r="T2191" s="35" t="str">
        <f>IFERROR(__xludf.DUMMYFUNCTION("""COMPUTED_VALUE"""),"SAKIT/NYERI DI PINGGANG BELAKANG")</f>
        <v>SAKIT/NYERI DI PINGGANG BELAKANG</v>
      </c>
      <c r="U2191" s="35" t="str">
        <f>IFERROR(__xludf.DUMMYFUNCTION("""COMPUTED_VALUE"""),"MOTORAN SEMINGGU 2X PONTIANAK-MANDOR")</f>
        <v>MOTORAN SEMINGGU 2X PONTIANAK-MANDOR</v>
      </c>
      <c r="V2191" s="37" t="str">
        <f>IFERROR(__xludf.DUMMYFUNCTION("""COMPUTED_VALUE"""),"085232232065")</f>
        <v>085232232065</v>
      </c>
      <c r="W2191" s="45"/>
    </row>
    <row r="2192">
      <c r="A2192" s="45"/>
      <c r="B2192" s="24" t="str">
        <f>IFERROR(__xludf.DUMMYFUNCTION("""COMPUTED_VALUE"""),"07/02/2025 20:57:25")</f>
        <v>07/02/2025 20:57:25</v>
      </c>
      <c r="C2192" s="35"/>
      <c r="D2192" s="10">
        <f>IFERROR(__xludf.DUMMYFUNCTION("""COMPUTED_VALUE"""),45718.0)</f>
        <v>45718</v>
      </c>
      <c r="E2192" s="35" t="str">
        <f>IFERROR(__xludf.DUMMYFUNCTION("""COMPUTED_VALUE"""),"03Mar")</f>
        <v>03Mar</v>
      </c>
      <c r="F2192" s="34" t="str">
        <f>IFERROR(__xludf.DUMMYFUNCTION("""COMPUTED_VALUE"""),"2025")</f>
        <v>2025</v>
      </c>
      <c r="G2192" s="35" t="str">
        <f>IFERROR(__xludf.DUMMYFUNCTION("""COMPUTED_VALUE"""),"INDRAWATY")</f>
        <v>INDRAWATY</v>
      </c>
      <c r="H2192" s="35" t="str">
        <f>IFERROR(__xludf.DUMMYFUNCTION("""COMPUTED_VALUE"""),"I7525033289")</f>
        <v>I7525033289</v>
      </c>
      <c r="I2192" s="35">
        <f>IFERROR(__xludf.DUMMYFUNCTION("""COMPUTED_VALUE"""),50.0)</f>
        <v>50</v>
      </c>
      <c r="J2192" s="35" t="str">
        <f>IFERROR(__xludf.DUMMYFUNCTION("""COMPUTED_VALUE"""),"&gt; 44 tahun")</f>
        <v>&gt; 44 tahun</v>
      </c>
      <c r="K2192" s="21" t="str">
        <f>IFERROR(__xludf.DUMMYFUNCTION("""COMPUTED_VALUE"""),"11/11/1975")</f>
        <v>11/11/1975</v>
      </c>
      <c r="L2192" s="21" t="str">
        <f>IFERROR(__xludf.DUMMYFUNCTION("""COMPUTED_VALUE"""),"PEREMPUAN")</f>
        <v>PEREMPUAN</v>
      </c>
      <c r="M2192" s="35" t="str">
        <f>IFERROR(__xludf.DUMMYFUNCTION("""COMPUTED_VALUE"""),"BALIKPAPAN")</f>
        <v>BALIKPAPAN</v>
      </c>
      <c r="N2192" s="35" t="str">
        <f>IFERROR(__xludf.DUMMYFUNCTION("""COMPUTED_VALUE"""),"BALIKPAPAN")</f>
        <v>BALIKPAPAN</v>
      </c>
      <c r="O2192" s="35" t="str">
        <f>IFERROR(__xludf.DUMMYFUNCTION("""COMPUTED_VALUE"""),"BALIKPAPAN")</f>
        <v>BALIKPAPAN</v>
      </c>
      <c r="P2192" s="35" t="str">
        <f>IFERROR(__xludf.DUMMYFUNCTION("""COMPUTED_VALUE"""),"KOTA BALIKPAPAN")</f>
        <v>KOTA BALIKPAPAN</v>
      </c>
      <c r="Q2192" s="35" t="str">
        <f>IFERROR(__xludf.DUMMYFUNCTION("""COMPUTED_VALUE"""),"KALIMANTAN BARAT")</f>
        <v>KALIMANTAN BARAT</v>
      </c>
      <c r="R2192" s="21" t="str">
        <f>IFERROR(__xludf.DUMMYFUNCTION("""COMPUTED_VALUE"""),"LAINNYA")</f>
        <v>LAINNYA</v>
      </c>
      <c r="S2192" s="35" t="str">
        <f>IFERROR(__xludf.DUMMYFUNCTION("""COMPUTED_VALUE"""),"IRT")</f>
        <v>IRT</v>
      </c>
      <c r="T2192" s="35" t="str">
        <f>IFERROR(__xludf.DUMMYFUNCTION("""COMPUTED_VALUE"""),"BAHU &amp; LENGAN")</f>
        <v>BAHU &amp; LENGAN</v>
      </c>
      <c r="U2192" s="35" t="str">
        <f>IFERROR(__xludf.DUMMYFUNCTION("""COMPUTED_VALUE"""),"GYM")</f>
        <v>GYM</v>
      </c>
      <c r="V2192" s="37" t="str">
        <f>IFERROR(__xludf.DUMMYFUNCTION("""COMPUTED_VALUE"""),"085885523289")</f>
        <v>085885523289</v>
      </c>
      <c r="W2192" s="45"/>
    </row>
    <row r="2193">
      <c r="A2193" s="45"/>
      <c r="B2193" s="24" t="str">
        <f>IFERROR(__xludf.DUMMYFUNCTION("""COMPUTED_VALUE"""),"08/02/2025 9:15:10")</f>
        <v>08/02/2025 9:15:10</v>
      </c>
      <c r="C2193" s="35"/>
      <c r="D2193" s="10">
        <f>IFERROR(__xludf.DUMMYFUNCTION("""COMPUTED_VALUE"""),45718.0)</f>
        <v>45718</v>
      </c>
      <c r="E2193" s="35" t="str">
        <f>IFERROR(__xludf.DUMMYFUNCTION("""COMPUTED_VALUE"""),"03Mar")</f>
        <v>03Mar</v>
      </c>
      <c r="F2193" s="34" t="str">
        <f>IFERROR(__xludf.DUMMYFUNCTION("""COMPUTED_VALUE"""),"2025")</f>
        <v>2025</v>
      </c>
      <c r="G2193" s="35" t="str">
        <f>IFERROR(__xludf.DUMMYFUNCTION("""COMPUTED_VALUE"""),"RASMINAH")</f>
        <v>RASMINAH</v>
      </c>
      <c r="H2193" s="35" t="str">
        <f>IFERROR(__xludf.DUMMYFUNCTION("""COMPUTED_VALUE"""),"R5225032022")</f>
        <v>R5225032022</v>
      </c>
      <c r="I2193" s="35">
        <f>IFERROR(__xludf.DUMMYFUNCTION("""COMPUTED_VALUE"""),73.0)</f>
        <v>73</v>
      </c>
      <c r="J2193" s="35" t="str">
        <f>IFERROR(__xludf.DUMMYFUNCTION("""COMPUTED_VALUE"""),"&gt; 44 tahun")</f>
        <v>&gt; 44 tahun</v>
      </c>
      <c r="K2193" s="21" t="str">
        <f>IFERROR(__xludf.DUMMYFUNCTION("""COMPUTED_VALUE"""),"22/07/1952")</f>
        <v>22/07/1952</v>
      </c>
      <c r="L2193" s="21" t="str">
        <f>IFERROR(__xludf.DUMMYFUNCTION("""COMPUTED_VALUE"""),"PEREMPUAN")</f>
        <v>PEREMPUAN</v>
      </c>
      <c r="M2193" s="35" t="str">
        <f>IFERROR(__xludf.DUMMYFUNCTION("""COMPUTED_VALUE"""),"JL. CEMPAKA NO 1 SANGGAU")</f>
        <v>JL. CEMPAKA NO 1 SANGGAU</v>
      </c>
      <c r="N2193" s="35" t="str">
        <f>IFERROR(__xludf.DUMMYFUNCTION("""COMPUTED_VALUE"""),"SANGGAU")</f>
        <v>SANGGAU</v>
      </c>
      <c r="O2193" s="35" t="str">
        <f>IFERROR(__xludf.DUMMYFUNCTION("""COMPUTED_VALUE"""),"SANGGAU")</f>
        <v>SANGGAU</v>
      </c>
      <c r="P2193" s="35" t="str">
        <f>IFERROR(__xludf.DUMMYFUNCTION("""COMPUTED_VALUE"""),"KAB. SANGGAU")</f>
        <v>KAB. SANGGAU</v>
      </c>
      <c r="Q2193" s="35" t="str">
        <f>IFERROR(__xludf.DUMMYFUNCTION("""COMPUTED_VALUE"""),"KALIMANTAN BARAT")</f>
        <v>KALIMANTAN BARAT</v>
      </c>
      <c r="R2193" s="21" t="str">
        <f>IFERROR(__xludf.DUMMYFUNCTION("""COMPUTED_VALUE"""),"ISLAM")</f>
        <v>ISLAM</v>
      </c>
      <c r="S2193" s="16" t="str">
        <f>IFERROR(__xludf.DUMMYFUNCTION("""COMPUTED_VALUE"""),"-")</f>
        <v>-</v>
      </c>
      <c r="T2193" s="35" t="str">
        <f>IFERROR(__xludf.DUMMYFUNCTION("""COMPUTED_VALUE"""),"PINGGANG KAKI")</f>
        <v>PINGGANG KAKI</v>
      </c>
      <c r="U2193" s="35" t="str">
        <f>IFERROR(__xludf.DUMMYFUNCTION("""COMPUTED_VALUE"""),"-")</f>
        <v>-</v>
      </c>
      <c r="V2193" s="37" t="str">
        <f>IFERROR(__xludf.DUMMYFUNCTION("""COMPUTED_VALUE"""),"085245992022")</f>
        <v>085245992022</v>
      </c>
      <c r="W2193" s="45"/>
    </row>
    <row r="2194">
      <c r="A2194" s="45"/>
      <c r="B2194" s="35"/>
      <c r="C2194" s="35"/>
      <c r="D2194" s="10">
        <f>IFERROR(__xludf.DUMMYFUNCTION("""COMPUTED_VALUE"""),45718.0)</f>
        <v>45718</v>
      </c>
      <c r="E2194" s="35" t="str">
        <f>IFERROR(__xludf.DUMMYFUNCTION("""COMPUTED_VALUE"""),"03Mar")</f>
        <v>03Mar</v>
      </c>
      <c r="F2194" s="34" t="str">
        <f>IFERROR(__xludf.DUMMYFUNCTION("""COMPUTED_VALUE"""),"2025")</f>
        <v>2025</v>
      </c>
      <c r="G2194" s="35" t="str">
        <f>IFERROR(__xludf.DUMMYFUNCTION("""COMPUTED_VALUE"""),"TULUS GOVER SIRINGORINGO")</f>
        <v>TULUS GOVER SIRINGORINGO</v>
      </c>
      <c r="H2194" s="35" t="str">
        <f>IFERROR(__xludf.DUMMYFUNCTION("""COMPUTED_VALUE"""),"T7225037288")</f>
        <v>T7225037288</v>
      </c>
      <c r="I2194" s="35">
        <f>IFERROR(__xludf.DUMMYFUNCTION("""COMPUTED_VALUE"""),54.0)</f>
        <v>54</v>
      </c>
      <c r="J2194" s="35" t="str">
        <f>IFERROR(__xludf.DUMMYFUNCTION("""COMPUTED_VALUE"""),"&gt; 44 tahun")</f>
        <v>&gt; 44 tahun</v>
      </c>
      <c r="K2194" s="21" t="str">
        <f>IFERROR(__xludf.DUMMYFUNCTION("""COMPUTED_VALUE"""),"31/03/1972")</f>
        <v>31/03/1972</v>
      </c>
      <c r="L2194" s="21" t="str">
        <f>IFERROR(__xludf.DUMMYFUNCTION("""COMPUTED_VALUE"""),"LAKI-LAKI")</f>
        <v>LAKI-LAKI</v>
      </c>
      <c r="M2194" s="35" t="str">
        <f>IFERROR(__xludf.DUMMYFUNCTION("""COMPUTED_VALUE"""),"JLN SEI RAYA DALAM KOMPLEK VILLA GADING MANSION 1 NOMOR B 26 PONTIANAK")</f>
        <v>JLN SEI RAYA DALAM KOMPLEK VILLA GADING MANSION 1 NOMOR B 26 PONTIANAK</v>
      </c>
      <c r="N2194" s="35" t="str">
        <f>IFERROR(__xludf.DUMMYFUNCTION("""COMPUTED_VALUE"""),"BANGKA BELITUNG DARAT")</f>
        <v>BANGKA BELITUNG DARAT</v>
      </c>
      <c r="O2194" s="35" t="str">
        <f>IFERROR(__xludf.DUMMYFUNCTION("""COMPUTED_VALUE"""),"PONTIANAK TENGGARA")</f>
        <v>PONTIANAK TENGGARA</v>
      </c>
      <c r="P2194" s="35" t="str">
        <f>IFERROR(__xludf.DUMMYFUNCTION("""COMPUTED_VALUE"""),"PONTIANAK")</f>
        <v>PONTIANAK</v>
      </c>
      <c r="Q2194" s="35" t="str">
        <f>IFERROR(__xludf.DUMMYFUNCTION("""COMPUTED_VALUE"""),"KALBAR")</f>
        <v>KALBAR</v>
      </c>
      <c r="R2194" s="21" t="str">
        <f>IFERROR(__xludf.DUMMYFUNCTION("""COMPUTED_VALUE"""),"PROTESTAN")</f>
        <v>PROTESTAN</v>
      </c>
      <c r="S2194" s="16" t="str">
        <f>IFERROR(__xludf.DUMMYFUNCTION("""COMPUTED_VALUE"""),"PNS")</f>
        <v>PNS</v>
      </c>
      <c r="T2194" s="35" t="str">
        <f>IFERROR(__xludf.DUMMYFUNCTION("""COMPUTED_VALUE"""),"LEMAH SETENGAH BADAN. TERUTAMA KAKI KANAN GAK BISA DI GERAKKAN SAMA SEKALI")</f>
        <v>LEMAH SETENGAH BADAN. TERUTAMA KAKI KANAN GAK BISA DI GERAKKAN SAMA SEKALI</v>
      </c>
      <c r="U2194" s="35" t="str">
        <f>IFERROR(__xludf.DUMMYFUNCTION("""COMPUTED_VALUE"""),"PEROKOK KUAT DAN MINUM TUAK DAN BIR")</f>
        <v>PEROKOK KUAT DAN MINUM TUAK DAN BIR</v>
      </c>
      <c r="V2194" s="37" t="str">
        <f>IFERROR(__xludf.DUMMYFUNCTION("""COMPUTED_VALUE"""),"085332907288")</f>
        <v>085332907288</v>
      </c>
      <c r="W2194" s="45"/>
    </row>
    <row r="2195">
      <c r="A2195" s="45"/>
      <c r="B2195" s="24" t="str">
        <f>IFERROR(__xludf.DUMMYFUNCTION("""COMPUTED_VALUE"""),"09/02/2025 9:00:57")</f>
        <v>09/02/2025 9:00:57</v>
      </c>
      <c r="C2195" s="35"/>
      <c r="D2195" s="10">
        <f>IFERROR(__xludf.DUMMYFUNCTION("""COMPUTED_VALUE"""),45719.0)</f>
        <v>45719</v>
      </c>
      <c r="E2195" s="35" t="str">
        <f>IFERROR(__xludf.DUMMYFUNCTION("""COMPUTED_VALUE"""),"03Mar")</f>
        <v>03Mar</v>
      </c>
      <c r="F2195" s="34" t="str">
        <f>IFERROR(__xludf.DUMMYFUNCTION("""COMPUTED_VALUE"""),"2025")</f>
        <v>2025</v>
      </c>
      <c r="G2195" s="35" t="str">
        <f>IFERROR(__xludf.DUMMYFUNCTION("""COMPUTED_VALUE"""),"JAP HUI KHENG")</f>
        <v>JAP HUI KHENG</v>
      </c>
      <c r="H2195" s="35" t="str">
        <f>IFERROR(__xludf.DUMMYFUNCTION("""COMPUTED_VALUE"""),"J5325031312")</f>
        <v>J5325031312</v>
      </c>
      <c r="I2195" s="35">
        <f>IFERROR(__xludf.DUMMYFUNCTION("""COMPUTED_VALUE"""),72.0)</f>
        <v>72</v>
      </c>
      <c r="J2195" s="35" t="str">
        <f>IFERROR(__xludf.DUMMYFUNCTION("""COMPUTED_VALUE"""),"&gt; 44 tahun")</f>
        <v>&gt; 44 tahun</v>
      </c>
      <c r="K2195" s="21" t="str">
        <f>IFERROR(__xludf.DUMMYFUNCTION("""COMPUTED_VALUE"""),"11/10/1953")</f>
        <v>11/10/1953</v>
      </c>
      <c r="L2195" s="21" t="str">
        <f>IFERROR(__xludf.DUMMYFUNCTION("""COMPUTED_VALUE"""),"PEREMPUAN")</f>
        <v>PEREMPUAN</v>
      </c>
      <c r="M2195" s="35" t="str">
        <f>IFERROR(__xludf.DUMMYFUNCTION("""COMPUTED_VALUE"""),"JL.H ABBAS 1 GG.KELANTAN 1 NO 17")</f>
        <v>JL.H ABBAS 1 GG.KELANTAN 1 NO 17</v>
      </c>
      <c r="N2195" s="35" t="str">
        <f>IFERROR(__xludf.DUMMYFUNCTION("""COMPUTED_VALUE"""),"BENUA MELAYU DARAT")</f>
        <v>BENUA MELAYU DARAT</v>
      </c>
      <c r="O2195" s="35" t="str">
        <f>IFERROR(__xludf.DUMMYFUNCTION("""COMPUTED_VALUE"""),"PONTIANAK SELATAN")</f>
        <v>PONTIANAK SELATAN</v>
      </c>
      <c r="P2195" s="35" t="str">
        <f>IFERROR(__xludf.DUMMYFUNCTION("""COMPUTED_VALUE"""),"KOTA PONTIANAK")</f>
        <v>KOTA PONTIANAK</v>
      </c>
      <c r="Q2195" s="35" t="str">
        <f>IFERROR(__xludf.DUMMYFUNCTION("""COMPUTED_VALUE"""),"KALIMANTAN BARAT")</f>
        <v>KALIMANTAN BARAT</v>
      </c>
      <c r="R2195" s="21" t="str">
        <f>IFERROR(__xludf.DUMMYFUNCTION("""COMPUTED_VALUE"""),"KATOLIK")</f>
        <v>KATOLIK</v>
      </c>
      <c r="S2195" s="16" t="str">
        <f>IFERROR(__xludf.DUMMYFUNCTION("""COMPUTED_VALUE"""),"IBU RUMAH TANGGA")</f>
        <v>IBU RUMAH TANGGA</v>
      </c>
      <c r="T2195" s="35" t="str">
        <f>IFERROR(__xludf.DUMMYFUNCTION("""COMPUTED_VALUE"""),"KAKINYA TIDAK BISA JALAN LAMA ( TIDAK ADA TENAGA )")</f>
        <v>KAKINYA TIDAK BISA JALAN LAMA ( TIDAK ADA TENAGA )</v>
      </c>
      <c r="U2195" s="35" t="str">
        <f>IFERROR(__xludf.DUMMYFUNCTION("""COMPUTED_VALUE"""),"-")</f>
        <v>-</v>
      </c>
      <c r="V2195" s="37" t="str">
        <f>IFERROR(__xludf.DUMMYFUNCTION("""COMPUTED_VALUE"""),"089515881312")</f>
        <v>089515881312</v>
      </c>
      <c r="W2195" s="45"/>
    </row>
    <row r="2196">
      <c r="A2196" s="45"/>
      <c r="B2196" s="24" t="str">
        <f>IFERROR(__xludf.DUMMYFUNCTION("""COMPUTED_VALUE"""),"09/02/2025 9:01:06")</f>
        <v>09/02/2025 9:01:06</v>
      </c>
      <c r="C2196" s="35"/>
      <c r="D2196" s="10">
        <f>IFERROR(__xludf.DUMMYFUNCTION("""COMPUTED_VALUE"""),45719.0)</f>
        <v>45719</v>
      </c>
      <c r="E2196" s="35" t="str">
        <f>IFERROR(__xludf.DUMMYFUNCTION("""COMPUTED_VALUE"""),"03Mar")</f>
        <v>03Mar</v>
      </c>
      <c r="F2196" s="34" t="str">
        <f>IFERROR(__xludf.DUMMYFUNCTION("""COMPUTED_VALUE"""),"2025")</f>
        <v>2025</v>
      </c>
      <c r="G2196" s="35" t="str">
        <f>IFERROR(__xludf.DUMMYFUNCTION("""COMPUTED_VALUE"""),"WIDYA RINI")</f>
        <v>WIDYA RINI</v>
      </c>
      <c r="H2196" s="35" t="str">
        <f>IFERROR(__xludf.DUMMYFUNCTION("""COMPUTED_VALUE"""),"W7625032999")</f>
        <v>W7625032999</v>
      </c>
      <c r="I2196" s="35">
        <f>IFERROR(__xludf.DUMMYFUNCTION("""COMPUTED_VALUE"""),49.0)</f>
        <v>49</v>
      </c>
      <c r="J2196" s="35" t="str">
        <f>IFERROR(__xludf.DUMMYFUNCTION("""COMPUTED_VALUE"""),"&gt; 44 tahun")</f>
        <v>&gt; 44 tahun</v>
      </c>
      <c r="K2196" s="21" t="str">
        <f>IFERROR(__xludf.DUMMYFUNCTION("""COMPUTED_VALUE"""),"31/07/1976")</f>
        <v>31/07/1976</v>
      </c>
      <c r="L2196" s="21" t="str">
        <f>IFERROR(__xludf.DUMMYFUNCTION("""COMPUTED_VALUE"""),"PEREMPUAN")</f>
        <v>PEREMPUAN</v>
      </c>
      <c r="M2196" s="35" t="str">
        <f>IFERROR(__xludf.DUMMYFUNCTION("""COMPUTED_VALUE"""),"KOMP. CITRA GRAHA INDAH")</f>
        <v>KOMP. CITRA GRAHA INDAH</v>
      </c>
      <c r="N2196" s="35" t="str">
        <f>IFERROR(__xludf.DUMMYFUNCTION("""COMPUTED_VALUE"""),"-")</f>
        <v>-</v>
      </c>
      <c r="O2196" s="35" t="str">
        <f>IFERROR(__xludf.DUMMYFUNCTION("""COMPUTED_VALUE"""),"-")</f>
        <v>-</v>
      </c>
      <c r="P2196" s="35" t="str">
        <f>IFERROR(__xludf.DUMMYFUNCTION("""COMPUTED_VALUE"""),"KAB. KUBURAYA")</f>
        <v>KAB. KUBURAYA</v>
      </c>
      <c r="Q2196" s="35" t="str">
        <f>IFERROR(__xludf.DUMMYFUNCTION("""COMPUTED_VALUE"""),"KALIMANTAN BARAT")</f>
        <v>KALIMANTAN BARAT</v>
      </c>
      <c r="R2196" s="21" t="str">
        <f>IFERROR(__xludf.DUMMYFUNCTION("""COMPUTED_VALUE"""),"ISLAM")</f>
        <v>ISLAM</v>
      </c>
      <c r="S2196" s="16" t="str">
        <f>IFERROR(__xludf.DUMMYFUNCTION("""COMPUTED_VALUE"""),"PNS")</f>
        <v>PNS</v>
      </c>
      <c r="T2196" s="35" t="str">
        <f>IFERROR(__xludf.DUMMYFUNCTION("""COMPUTED_VALUE"""),"PINGGANG")</f>
        <v>PINGGANG</v>
      </c>
      <c r="U2196" s="35" t="str">
        <f>IFERROR(__xludf.DUMMYFUNCTION("""COMPUTED_VALUE"""),"KERJA")</f>
        <v>KERJA</v>
      </c>
      <c r="V2196" s="37" t="str">
        <f>IFERROR(__xludf.DUMMYFUNCTION("""COMPUTED_VALUE"""),"082149862999")</f>
        <v>082149862999</v>
      </c>
      <c r="W2196" s="45"/>
    </row>
    <row r="2197">
      <c r="A2197" s="45"/>
      <c r="B2197" s="24">
        <f>IFERROR(__xludf.DUMMYFUNCTION("""COMPUTED_VALUE"""),45697.616283483796)</f>
        <v>45697.61628</v>
      </c>
      <c r="C2197" s="35"/>
      <c r="D2197" s="10">
        <f>IFERROR(__xludf.DUMMYFUNCTION("""COMPUTED_VALUE"""),45719.0)</f>
        <v>45719</v>
      </c>
      <c r="E2197" s="35" t="str">
        <f>IFERROR(__xludf.DUMMYFUNCTION("""COMPUTED_VALUE"""),"03Mar")</f>
        <v>03Mar</v>
      </c>
      <c r="F2197" s="34" t="str">
        <f>IFERROR(__xludf.DUMMYFUNCTION("""COMPUTED_VALUE"""),"2025")</f>
        <v>2025</v>
      </c>
      <c r="G2197" s="35" t="str">
        <f>IFERROR(__xludf.DUMMYFUNCTION("""COMPUTED_VALUE"""),"SURY")</f>
        <v>SURY</v>
      </c>
      <c r="H2197" s="35" t="str">
        <f>IFERROR(__xludf.DUMMYFUNCTION("""COMPUTED_VALUE"""),"S9625036365")</f>
        <v>S9625036365</v>
      </c>
      <c r="I2197" s="35">
        <f>IFERROR(__xludf.DUMMYFUNCTION("""COMPUTED_VALUE"""),30.0)</f>
        <v>30</v>
      </c>
      <c r="J2197" s="35" t="str">
        <f>IFERROR(__xludf.DUMMYFUNCTION("""COMPUTED_VALUE"""),"25-34 tahun")</f>
        <v>25-34 tahun</v>
      </c>
      <c r="K2197" s="21" t="str">
        <f>IFERROR(__xludf.DUMMYFUNCTION("""COMPUTED_VALUE"""),"16/01/1996")</f>
        <v>16/01/1996</v>
      </c>
      <c r="L2197" s="21" t="str">
        <f>IFERROR(__xludf.DUMMYFUNCTION("""COMPUTED_VALUE"""),"LAKI-LAKI")</f>
        <v>LAKI-LAKI</v>
      </c>
      <c r="M2197" s="35" t="str">
        <f>IFERROR(__xludf.DUMMYFUNCTION("""COMPUTED_VALUE"""),"KOTA BARU")</f>
        <v>KOTA BARU</v>
      </c>
      <c r="N2197" s="35" t="str">
        <f>IFERROR(__xludf.DUMMYFUNCTION("""COMPUTED_VALUE"""),"-")</f>
        <v>-</v>
      </c>
      <c r="O2197" s="35" t="str">
        <f>IFERROR(__xludf.DUMMYFUNCTION("""COMPUTED_VALUE"""),"-")</f>
        <v>-</v>
      </c>
      <c r="P2197" s="35" t="str">
        <f>IFERROR(__xludf.DUMMYFUNCTION("""COMPUTED_VALUE"""),"KOTA PONTIANAK")</f>
        <v>KOTA PONTIANAK</v>
      </c>
      <c r="Q2197" s="35" t="str">
        <f>IFERROR(__xludf.DUMMYFUNCTION("""COMPUTED_VALUE"""),"KALIMANTAN BARAT")</f>
        <v>KALIMANTAN BARAT</v>
      </c>
      <c r="R2197" s="21" t="str">
        <f>IFERROR(__xludf.DUMMYFUNCTION("""COMPUTED_VALUE"""),"LAINNYA")</f>
        <v>LAINNYA</v>
      </c>
      <c r="S2197" s="16" t="str">
        <f>IFERROR(__xludf.DUMMYFUNCTION("""COMPUTED_VALUE"""),"SALES")</f>
        <v>SALES</v>
      </c>
      <c r="T2197" s="35" t="str">
        <f>IFERROR(__xludf.DUMMYFUNCTION("""COMPUTED_VALUE"""),"TELAPAK KAKI, PAHA, LUTUT")</f>
        <v>TELAPAK KAKI, PAHA, LUTUT</v>
      </c>
      <c r="U2197" s="35" t="str">
        <f>IFERROR(__xludf.DUMMYFUNCTION("""COMPUTED_VALUE"""),"-")</f>
        <v>-</v>
      </c>
      <c r="V2197" s="37" t="str">
        <f>IFERROR(__xludf.DUMMYFUNCTION("""COMPUTED_VALUE"""),"081315746365")</f>
        <v>081315746365</v>
      </c>
      <c r="W2197" s="45"/>
    </row>
    <row r="2198">
      <c r="A2198" s="45"/>
      <c r="B2198" s="24">
        <f>IFERROR(__xludf.DUMMYFUNCTION("""COMPUTED_VALUE"""),45698.412986111114)</f>
        <v>45698.41299</v>
      </c>
      <c r="C2198" s="35"/>
      <c r="D2198" s="10">
        <f>IFERROR(__xludf.DUMMYFUNCTION("""COMPUTED_VALUE"""),45719.0)</f>
        <v>45719</v>
      </c>
      <c r="E2198" s="35" t="str">
        <f>IFERROR(__xludf.DUMMYFUNCTION("""COMPUTED_VALUE"""),"03Mar")</f>
        <v>03Mar</v>
      </c>
      <c r="F2198" s="34" t="str">
        <f>IFERROR(__xludf.DUMMYFUNCTION("""COMPUTED_VALUE"""),"2025")</f>
        <v>2025</v>
      </c>
      <c r="G2198" s="35" t="str">
        <f>IFERROR(__xludf.DUMMYFUNCTION("""COMPUTED_VALUE"""),"NUR DAMAYANTI")</f>
        <v>NUR DAMAYANTI</v>
      </c>
      <c r="H2198" s="35" t="str">
        <f>IFERROR(__xludf.DUMMYFUNCTION("""COMPUTED_VALUE"""),"N6925037736")</f>
        <v>N6925037736</v>
      </c>
      <c r="I2198" s="35">
        <f>IFERROR(__xludf.DUMMYFUNCTION("""COMPUTED_VALUE"""),56.0)</f>
        <v>56</v>
      </c>
      <c r="J2198" s="35" t="str">
        <f>IFERROR(__xludf.DUMMYFUNCTION("""COMPUTED_VALUE"""),"&gt; 44 tahun")</f>
        <v>&gt; 44 tahun</v>
      </c>
      <c r="K2198" s="21" t="str">
        <f>IFERROR(__xludf.DUMMYFUNCTION("""COMPUTED_VALUE"""),"25/12/1969")</f>
        <v>25/12/1969</v>
      </c>
      <c r="L2198" s="21" t="str">
        <f>IFERROR(__xludf.DUMMYFUNCTION("""COMPUTED_VALUE"""),"PEREMPUAN")</f>
        <v>PEREMPUAN</v>
      </c>
      <c r="M2198" s="35" t="str">
        <f>IFERROR(__xludf.DUMMYFUNCTION("""COMPUTED_VALUE"""),"JL MARTADINATA GG. SENTOSA N0.2")</f>
        <v>JL MARTADINATA GG. SENTOSA N0.2</v>
      </c>
      <c r="N2198" s="35" t="str">
        <f>IFERROR(__xludf.DUMMYFUNCTION("""COMPUTED_VALUE"""),"-")</f>
        <v>-</v>
      </c>
      <c r="O2198" s="35" t="str">
        <f>IFERROR(__xludf.DUMMYFUNCTION("""COMPUTED_VALUE"""),"-")</f>
        <v>-</v>
      </c>
      <c r="P2198" s="35" t="str">
        <f>IFERROR(__xludf.DUMMYFUNCTION("""COMPUTED_VALUE"""),"KOTA PONTIANAK")</f>
        <v>KOTA PONTIANAK</v>
      </c>
      <c r="Q2198" s="35" t="str">
        <f>IFERROR(__xludf.DUMMYFUNCTION("""COMPUTED_VALUE"""),"KALIMANTAN BARAT")</f>
        <v>KALIMANTAN BARAT</v>
      </c>
      <c r="R2198" s="21" t="str">
        <f>IFERROR(__xludf.DUMMYFUNCTION("""COMPUTED_VALUE"""),"ISLAM")</f>
        <v>ISLAM</v>
      </c>
      <c r="S2198" s="16" t="str">
        <f>IFERROR(__xludf.DUMMYFUNCTION("""COMPUTED_VALUE"""),"-")</f>
        <v>-</v>
      </c>
      <c r="T2198" s="35" t="str">
        <f>IFERROR(__xludf.DUMMYFUNCTION("""COMPUTED_VALUE"""),"SYARAF KEJEPIT")</f>
        <v>SYARAF KEJEPIT</v>
      </c>
      <c r="U2198" s="35" t="str">
        <f>IFERROR(__xludf.DUMMYFUNCTION("""COMPUTED_VALUE"""),"-")</f>
        <v>-</v>
      </c>
      <c r="V2198" s="37" t="str">
        <f>IFERROR(__xludf.DUMMYFUNCTION("""COMPUTED_VALUE"""),"085711347736")</f>
        <v>085711347736</v>
      </c>
      <c r="W2198" s="45"/>
    </row>
    <row r="2199">
      <c r="A2199" s="45"/>
      <c r="B2199" s="24" t="str">
        <f>IFERROR(__xludf.DUMMYFUNCTION("""COMPUTED_VALUE"""),"09/02/2025 21:58:29")</f>
        <v>09/02/2025 21:58:29</v>
      </c>
      <c r="C2199" s="35"/>
      <c r="D2199" s="10">
        <f>IFERROR(__xludf.DUMMYFUNCTION("""COMPUTED_VALUE"""),45719.0)</f>
        <v>45719</v>
      </c>
      <c r="E2199" s="35" t="str">
        <f>IFERROR(__xludf.DUMMYFUNCTION("""COMPUTED_VALUE"""),"03Mar")</f>
        <v>03Mar</v>
      </c>
      <c r="F2199" s="34" t="str">
        <f>IFERROR(__xludf.DUMMYFUNCTION("""COMPUTED_VALUE"""),"2025")</f>
        <v>2025</v>
      </c>
      <c r="G2199" s="35" t="str">
        <f>IFERROR(__xludf.DUMMYFUNCTION("""COMPUTED_VALUE"""),"ADI RAHMANTO")</f>
        <v>ADI RAHMANTO</v>
      </c>
      <c r="H2199" s="35" t="str">
        <f>IFERROR(__xludf.DUMMYFUNCTION("""COMPUTED_VALUE"""),"A8425033201")</f>
        <v>A8425033201</v>
      </c>
      <c r="I2199" s="35">
        <f>IFERROR(__xludf.DUMMYFUNCTION("""COMPUTED_VALUE"""),42.0)</f>
        <v>42</v>
      </c>
      <c r="J2199" s="35" t="str">
        <f>IFERROR(__xludf.DUMMYFUNCTION("""COMPUTED_VALUE"""),"35-44 tahun")</f>
        <v>35-44 tahun</v>
      </c>
      <c r="K2199" s="21" t="str">
        <f>IFERROR(__xludf.DUMMYFUNCTION("""COMPUTED_VALUE"""),"02/04/1984")</f>
        <v>02/04/1984</v>
      </c>
      <c r="L2199" s="21" t="str">
        <f>IFERROR(__xludf.DUMMYFUNCTION("""COMPUTED_VALUE"""),"LAKI-LAKI")</f>
        <v>LAKI-LAKI</v>
      </c>
      <c r="M2199" s="35" t="str">
        <f>IFERROR(__xludf.DUMMYFUNCTION("""COMPUTED_VALUE"""),"JALAN SUKAMULIA GG.SUKMA 4 NO 7")</f>
        <v>JALAN SUKAMULIA GG.SUKMA 4 NO 7</v>
      </c>
      <c r="N2199" s="35" t="str">
        <f>IFERROR(__xludf.DUMMYFUNCTION("""COMPUTED_VALUE"""),"SEI JAWI")</f>
        <v>SEI JAWI</v>
      </c>
      <c r="O2199" s="35" t="str">
        <f>IFERROR(__xludf.DUMMYFUNCTION("""COMPUTED_VALUE"""),"PONTIANAK KOTA")</f>
        <v>PONTIANAK KOTA</v>
      </c>
      <c r="P2199" s="35" t="str">
        <f>IFERROR(__xludf.DUMMYFUNCTION("""COMPUTED_VALUE"""),"PONTIANAK")</f>
        <v>PONTIANAK</v>
      </c>
      <c r="Q2199" s="35" t="str">
        <f>IFERROR(__xludf.DUMMYFUNCTION("""COMPUTED_VALUE"""),"KALBAR")</f>
        <v>KALBAR</v>
      </c>
      <c r="R2199" s="21" t="str">
        <f>IFERROR(__xludf.DUMMYFUNCTION("""COMPUTED_VALUE"""),"ISLAM")</f>
        <v>ISLAM</v>
      </c>
      <c r="S2199" s="16" t="str">
        <f>IFERROR(__xludf.DUMMYFUNCTION("""COMPUTED_VALUE"""),"ASN")</f>
        <v>ASN</v>
      </c>
      <c r="T2199" s="35" t="str">
        <f>IFERROR(__xludf.DUMMYFUNCTION("""COMPUTED_VALUE"""),"NYERI PADA ANGKLE")</f>
        <v>NYERI PADA ANGKLE</v>
      </c>
      <c r="U2199" s="35" t="str">
        <f>IFERROR(__xludf.DUMMYFUNCTION("""COMPUTED_VALUE"""),"MAIN SEPAK.BOLA")</f>
        <v>MAIN SEPAK.BOLA</v>
      </c>
      <c r="V2199" s="37" t="str">
        <f>IFERROR(__xludf.DUMMYFUNCTION("""COMPUTED_VALUE"""),"082157593201")</f>
        <v>082157593201</v>
      </c>
      <c r="W2199" s="45"/>
    </row>
    <row r="2200">
      <c r="A2200" s="45"/>
      <c r="B2200" s="24" t="str">
        <f>IFERROR(__xludf.DUMMYFUNCTION("""COMPUTED_VALUE"""),"10/02/2025 12:10:08")</f>
        <v>10/02/2025 12:10:08</v>
      </c>
      <c r="C2200" s="35"/>
      <c r="D2200" s="10">
        <f>IFERROR(__xludf.DUMMYFUNCTION("""COMPUTED_VALUE"""),45719.0)</f>
        <v>45719</v>
      </c>
      <c r="E2200" s="35" t="str">
        <f>IFERROR(__xludf.DUMMYFUNCTION("""COMPUTED_VALUE"""),"03Mar")</f>
        <v>03Mar</v>
      </c>
      <c r="F2200" s="34" t="str">
        <f>IFERROR(__xludf.DUMMYFUNCTION("""COMPUTED_VALUE"""),"2025")</f>
        <v>2025</v>
      </c>
      <c r="G2200" s="35" t="str">
        <f>IFERROR(__xludf.DUMMYFUNCTION("""COMPUTED_VALUE"""),"M ROFIQ")</f>
        <v>M ROFIQ</v>
      </c>
      <c r="H2200" s="35" t="str">
        <f>IFERROR(__xludf.DUMMYFUNCTION("""COMPUTED_VALUE"""),"M0025036480")</f>
        <v>M0025036480</v>
      </c>
      <c r="I2200" s="35">
        <f>IFERROR(__xludf.DUMMYFUNCTION("""COMPUTED_VALUE"""),26.0)</f>
        <v>26</v>
      </c>
      <c r="J2200" s="35" t="str">
        <f>IFERROR(__xludf.DUMMYFUNCTION("""COMPUTED_VALUE"""),"25-34 tahun")</f>
        <v>25-34 tahun</v>
      </c>
      <c r="K2200" s="21" t="str">
        <f>IFERROR(__xludf.DUMMYFUNCTION("""COMPUTED_VALUE"""),"15/03/2000")</f>
        <v>15/03/2000</v>
      </c>
      <c r="L2200" s="21" t="str">
        <f>IFERROR(__xludf.DUMMYFUNCTION("""COMPUTED_VALUE"""),"LAKI-LAKI")</f>
        <v>LAKI-LAKI</v>
      </c>
      <c r="M2200" s="35" t="str">
        <f>IFERROR(__xludf.DUMMYFUNCTION("""COMPUTED_VALUE"""),"JL H RAIS A RACHMAN GG SELAMAT 1 DALAM NO 69")</f>
        <v>JL H RAIS A RACHMAN GG SELAMAT 1 DALAM NO 69</v>
      </c>
      <c r="N2200" s="35" t="str">
        <f>IFERROR(__xludf.DUMMYFUNCTION("""COMPUTED_VALUE"""),"SUNGAI JAWI DALAM")</f>
        <v>SUNGAI JAWI DALAM</v>
      </c>
      <c r="O2200" s="35" t="str">
        <f>IFERROR(__xludf.DUMMYFUNCTION("""COMPUTED_VALUE"""),"PONTIANAK BARAT")</f>
        <v>PONTIANAK BARAT</v>
      </c>
      <c r="P2200" s="35" t="str">
        <f>IFERROR(__xludf.DUMMYFUNCTION("""COMPUTED_VALUE"""),"PONTIANAK")</f>
        <v>PONTIANAK</v>
      </c>
      <c r="Q2200" s="35" t="str">
        <f>IFERROR(__xludf.DUMMYFUNCTION("""COMPUTED_VALUE"""),"KALIMANTAN BARAT")</f>
        <v>KALIMANTAN BARAT</v>
      </c>
      <c r="R2200" s="21" t="str">
        <f>IFERROR(__xludf.DUMMYFUNCTION("""COMPUTED_VALUE"""),"ISLAM")</f>
        <v>ISLAM</v>
      </c>
      <c r="S2200" s="16" t="str">
        <f>IFERROR(__xludf.DUMMYFUNCTION("""COMPUTED_VALUE"""),"SWASTA")</f>
        <v>SWASTA</v>
      </c>
      <c r="T2200" s="35" t="str">
        <f>IFERROR(__xludf.DUMMYFUNCTION("""COMPUTED_VALUE"""),"PEGAL DARI LEHER SAMPE KE PINGGANG")</f>
        <v>PEGAL DARI LEHER SAMPE KE PINGGANG</v>
      </c>
      <c r="U2200" s="35" t="str">
        <f>IFERROR(__xludf.DUMMYFUNCTION("""COMPUTED_VALUE"""),"FUTSAL")</f>
        <v>FUTSAL</v>
      </c>
      <c r="V2200" s="37" t="str">
        <f>IFERROR(__xludf.DUMMYFUNCTION("""COMPUTED_VALUE"""),"085750176480")</f>
        <v>085750176480</v>
      </c>
      <c r="W2200" s="45"/>
    </row>
    <row r="2201">
      <c r="A2201" s="45"/>
      <c r="B2201" s="24" t="str">
        <f>IFERROR(__xludf.DUMMYFUNCTION("""COMPUTED_VALUE"""),"10/02/2025 18:25:46")</f>
        <v>10/02/2025 18:25:46</v>
      </c>
      <c r="C2201" s="35"/>
      <c r="D2201" s="10">
        <f>IFERROR(__xludf.DUMMYFUNCTION("""COMPUTED_VALUE"""),45719.0)</f>
        <v>45719</v>
      </c>
      <c r="E2201" s="35" t="str">
        <f>IFERROR(__xludf.DUMMYFUNCTION("""COMPUTED_VALUE"""),"03Mar")</f>
        <v>03Mar</v>
      </c>
      <c r="F2201" s="34" t="str">
        <f>IFERROR(__xludf.DUMMYFUNCTION("""COMPUTED_VALUE"""),"2025")</f>
        <v>2025</v>
      </c>
      <c r="G2201" s="35" t="str">
        <f>IFERROR(__xludf.DUMMYFUNCTION("""COMPUTED_VALUE"""),"YUSSY IRZATI MARDANI")</f>
        <v>YUSSY IRZATI MARDANI</v>
      </c>
      <c r="H2201" s="35" t="str">
        <f>IFERROR(__xludf.DUMMYFUNCTION("""COMPUTED_VALUE"""),"Y0725037043")</f>
        <v>Y0725037043</v>
      </c>
      <c r="I2201" s="35">
        <f>IFERROR(__xludf.DUMMYFUNCTION("""COMPUTED_VALUE"""),19.0)</f>
        <v>19</v>
      </c>
      <c r="J2201" s="35" t="str">
        <f>IFERROR(__xludf.DUMMYFUNCTION("""COMPUTED_VALUE"""),"18-24 tahun")</f>
        <v>18-24 tahun</v>
      </c>
      <c r="K2201" s="21" t="str">
        <f>IFERROR(__xludf.DUMMYFUNCTION("""COMPUTED_VALUE"""),"03/03/2007")</f>
        <v>03/03/2007</v>
      </c>
      <c r="L2201" s="21" t="str">
        <f>IFERROR(__xludf.DUMMYFUNCTION("""COMPUTED_VALUE"""),"PEREMPUAN")</f>
        <v>PEREMPUAN</v>
      </c>
      <c r="M2201" s="35" t="str">
        <f>IFERROR(__xludf.DUMMYFUNCTION("""COMPUTED_VALUE"""),"JALAN KOMYOS SUDARSO GG.OKTA MULIA NO.1")</f>
        <v>JALAN KOMYOS SUDARSO GG.OKTA MULIA NO.1</v>
      </c>
      <c r="N2201" s="35" t="str">
        <f>IFERROR(__xludf.DUMMYFUNCTION("""COMPUTED_VALUE"""),"SUNGAI BELIUNG")</f>
        <v>SUNGAI BELIUNG</v>
      </c>
      <c r="O2201" s="35" t="str">
        <f>IFERROR(__xludf.DUMMYFUNCTION("""COMPUTED_VALUE"""),"PONTIANAK BARAT")</f>
        <v>PONTIANAK BARAT</v>
      </c>
      <c r="P2201" s="35" t="str">
        <f>IFERROR(__xludf.DUMMYFUNCTION("""COMPUTED_VALUE"""),"PONTIANAK")</f>
        <v>PONTIANAK</v>
      </c>
      <c r="Q2201" s="35" t="str">
        <f>IFERROR(__xludf.DUMMYFUNCTION("""COMPUTED_VALUE"""),"KALIMANTAN BARAT")</f>
        <v>KALIMANTAN BARAT</v>
      </c>
      <c r="R2201" s="21" t="str">
        <f>IFERROR(__xludf.DUMMYFUNCTION("""COMPUTED_VALUE"""),"ISLAM")</f>
        <v>ISLAM</v>
      </c>
      <c r="S2201" s="16" t="str">
        <f>IFERROR(__xludf.DUMMYFUNCTION("""COMPUTED_VALUE"""),"PELAJAR")</f>
        <v>PELAJAR</v>
      </c>
      <c r="T2201" s="35" t="str">
        <f>IFERROR(__xludf.DUMMYFUNCTION("""COMPUTED_VALUE"""),"PATAH TULANG")</f>
        <v>PATAH TULANG</v>
      </c>
      <c r="U2201" s="35" t="str">
        <f>IFERROR(__xludf.DUMMYFUNCTION("""COMPUTED_VALUE"""),"NONTON")</f>
        <v>NONTON</v>
      </c>
      <c r="V2201" s="37" t="str">
        <f>IFERROR(__xludf.DUMMYFUNCTION("""COMPUTED_VALUE"""),"081283707043")</f>
        <v>081283707043</v>
      </c>
      <c r="W2201" s="45"/>
    </row>
    <row r="2202">
      <c r="A2202" s="45"/>
      <c r="B2202" s="24" t="str">
        <f>IFERROR(__xludf.DUMMYFUNCTION("""COMPUTED_VALUE"""),"11/02/2025 19:19:15")</f>
        <v>11/02/2025 19:19:15</v>
      </c>
      <c r="C2202" s="35"/>
      <c r="D2202" s="10">
        <f>IFERROR(__xludf.DUMMYFUNCTION("""COMPUTED_VALUE"""),45720.0)</f>
        <v>45720</v>
      </c>
      <c r="E2202" s="35" t="str">
        <f>IFERROR(__xludf.DUMMYFUNCTION("""COMPUTED_VALUE"""),"03Mar")</f>
        <v>03Mar</v>
      </c>
      <c r="F2202" s="34" t="str">
        <f>IFERROR(__xludf.DUMMYFUNCTION("""COMPUTED_VALUE"""),"2025")</f>
        <v>2025</v>
      </c>
      <c r="G2202" s="35" t="str">
        <f>IFERROR(__xludf.DUMMYFUNCTION("""COMPUTED_VALUE"""),"WASKITHA ADI WIBOWO")</f>
        <v>WASKITHA ADI WIBOWO</v>
      </c>
      <c r="H2202" s="35" t="str">
        <f>IFERROR(__xludf.DUMMYFUNCTION("""COMPUTED_VALUE"""),"W8925035671")</f>
        <v>W8925035671</v>
      </c>
      <c r="I2202" s="35">
        <f>IFERROR(__xludf.DUMMYFUNCTION("""COMPUTED_VALUE"""),37.0)</f>
        <v>37</v>
      </c>
      <c r="J2202" s="35" t="str">
        <f>IFERROR(__xludf.DUMMYFUNCTION("""COMPUTED_VALUE"""),"35-44 tahun")</f>
        <v>35-44 tahun</v>
      </c>
      <c r="K2202" s="21" t="str">
        <f>IFERROR(__xludf.DUMMYFUNCTION("""COMPUTED_VALUE"""),"21/04/1989")</f>
        <v>21/04/1989</v>
      </c>
      <c r="L2202" s="21" t="str">
        <f>IFERROR(__xludf.DUMMYFUNCTION("""COMPUTED_VALUE"""),"LAKI-LAKI")</f>
        <v>LAKI-LAKI</v>
      </c>
      <c r="M2202" s="35" t="str">
        <f>IFERROR(__xludf.DUMMYFUNCTION("""COMPUTED_VALUE"""),"JL DR WAHIDIN S GG SEPAKAT VI")</f>
        <v>JL DR WAHIDIN S GG SEPAKAT VI</v>
      </c>
      <c r="N2202" s="35" t="str">
        <f>IFERROR(__xludf.DUMMYFUNCTION("""COMPUTED_VALUE"""),"SUNGAI JAWI")</f>
        <v>SUNGAI JAWI</v>
      </c>
      <c r="O2202" s="35" t="str">
        <f>IFERROR(__xludf.DUMMYFUNCTION("""COMPUTED_VALUE"""),"PONTIANAK KOTA")</f>
        <v>PONTIANAK KOTA</v>
      </c>
      <c r="P2202" s="35" t="str">
        <f>IFERROR(__xludf.DUMMYFUNCTION("""COMPUTED_VALUE"""),"PONTIANAK")</f>
        <v>PONTIANAK</v>
      </c>
      <c r="Q2202" s="35" t="str">
        <f>IFERROR(__xludf.DUMMYFUNCTION("""COMPUTED_VALUE"""),"KALIMANTAN BARAT")</f>
        <v>KALIMANTAN BARAT</v>
      </c>
      <c r="R2202" s="21" t="str">
        <f>IFERROR(__xludf.DUMMYFUNCTION("""COMPUTED_VALUE"""),"ISLAM")</f>
        <v>ISLAM</v>
      </c>
      <c r="S2202" s="16" t="str">
        <f>IFERROR(__xludf.DUMMYFUNCTION("""COMPUTED_VALUE"""),"WIRAUSAHA")</f>
        <v>WIRAUSAHA</v>
      </c>
      <c r="T2202" s="35" t="str">
        <f>IFERROR(__xludf.DUMMYFUNCTION("""COMPUTED_VALUE"""),"NYERI PINGGANG SEBELAH KANAN BELAKANG DARI PANTAT SAMPAI KE KAKI")</f>
        <v>NYERI PINGGANG SEBELAH KANAN BELAKANG DARI PANTAT SAMPAI KE KAKI</v>
      </c>
      <c r="U2202" s="35" t="str">
        <f>IFERROR(__xludf.DUMMYFUNCTION("""COMPUTED_VALUE"""),"TIDAK ADA")</f>
        <v>TIDAK ADA</v>
      </c>
      <c r="V2202" s="37" t="str">
        <f>IFERROR(__xludf.DUMMYFUNCTION("""COMPUTED_VALUE"""),"083125655671")</f>
        <v>083125655671</v>
      </c>
      <c r="W2202" s="45"/>
    </row>
    <row r="2203">
      <c r="A2203" s="45"/>
      <c r="B2203" s="24" t="str">
        <f>IFERROR(__xludf.DUMMYFUNCTION("""COMPUTED_VALUE"""),"12/02/2025 10:50:59")</f>
        <v>12/02/2025 10:50:59</v>
      </c>
      <c r="C2203" s="35"/>
      <c r="D2203" s="10">
        <f>IFERROR(__xludf.DUMMYFUNCTION("""COMPUTED_VALUE"""),45720.0)</f>
        <v>45720</v>
      </c>
      <c r="E2203" s="35" t="str">
        <f>IFERROR(__xludf.DUMMYFUNCTION("""COMPUTED_VALUE"""),"03Mar")</f>
        <v>03Mar</v>
      </c>
      <c r="F2203" s="34" t="str">
        <f>IFERROR(__xludf.DUMMYFUNCTION("""COMPUTED_VALUE"""),"2025")</f>
        <v>2025</v>
      </c>
      <c r="G2203" s="35" t="str">
        <f>IFERROR(__xludf.DUMMYFUNCTION("""COMPUTED_VALUE"""),"DIGO SAPUTRA")</f>
        <v>DIGO SAPUTRA</v>
      </c>
      <c r="H2203" s="35" t="str">
        <f>IFERROR(__xludf.DUMMYFUNCTION("""COMPUTED_VALUE"""),"D0825035630")</f>
        <v>D0825035630</v>
      </c>
      <c r="I2203" s="35">
        <f>IFERROR(__xludf.DUMMYFUNCTION("""COMPUTED_VALUE"""),17.0)</f>
        <v>17</v>
      </c>
      <c r="J2203" s="35" t="str">
        <f>IFERROR(__xludf.DUMMYFUNCTION("""COMPUTED_VALUE"""),"&lt; 18 tahun")</f>
        <v>&lt; 18 tahun</v>
      </c>
      <c r="K2203" s="21" t="str">
        <f>IFERROR(__xludf.DUMMYFUNCTION("""COMPUTED_VALUE"""),"23/10/2008")</f>
        <v>23/10/2008</v>
      </c>
      <c r="L2203" s="21" t="str">
        <f>IFERROR(__xludf.DUMMYFUNCTION("""COMPUTED_VALUE"""),"LAKI-LAKI")</f>
        <v>LAKI-LAKI</v>
      </c>
      <c r="M2203" s="35" t="str">
        <f>IFERROR(__xludf.DUMMYFUNCTION("""COMPUTED_VALUE"""),"JL. TRITURA GG. ANGKET")</f>
        <v>JL. TRITURA GG. ANGKET</v>
      </c>
      <c r="N2203" s="35" t="str">
        <f>IFERROR(__xludf.DUMMYFUNCTION("""COMPUTED_VALUE"""),"TANJUNG HILIR")</f>
        <v>TANJUNG HILIR</v>
      </c>
      <c r="O2203" s="35" t="str">
        <f>IFERROR(__xludf.DUMMYFUNCTION("""COMPUTED_VALUE"""),"PONTIANAK TIMUR")</f>
        <v>PONTIANAK TIMUR</v>
      </c>
      <c r="P2203" s="35" t="str">
        <f>IFERROR(__xludf.DUMMYFUNCTION("""COMPUTED_VALUE"""),"PONTIANAK KOTA")</f>
        <v>PONTIANAK KOTA</v>
      </c>
      <c r="Q2203" s="35" t="str">
        <f>IFERROR(__xludf.DUMMYFUNCTION("""COMPUTED_VALUE"""),"KALIMANTAN BARAT")</f>
        <v>KALIMANTAN BARAT</v>
      </c>
      <c r="R2203" s="21" t="str">
        <f>IFERROR(__xludf.DUMMYFUNCTION("""COMPUTED_VALUE"""),"ISLAM")</f>
        <v>ISLAM</v>
      </c>
      <c r="S2203" s="16" t="str">
        <f>IFERROR(__xludf.DUMMYFUNCTION("""COMPUTED_VALUE"""),"ATLET")</f>
        <v>ATLET</v>
      </c>
      <c r="T2203" s="35" t="str">
        <f>IFERROR(__xludf.DUMMYFUNCTION("""COMPUTED_VALUE"""),"LUTUT")</f>
        <v>LUTUT</v>
      </c>
      <c r="U2203" s="35" t="str">
        <f>IFERROR(__xludf.DUMMYFUNCTION("""COMPUTED_VALUE"""),"BADMINTON")</f>
        <v>BADMINTON</v>
      </c>
      <c r="V2203" s="37" t="str">
        <f>IFERROR(__xludf.DUMMYFUNCTION("""COMPUTED_VALUE"""),"088975925630")</f>
        <v>088975925630</v>
      </c>
      <c r="W2203" s="45"/>
    </row>
    <row r="2204">
      <c r="A2204" s="45"/>
      <c r="B2204" s="35"/>
      <c r="C2204" s="35"/>
      <c r="D2204" s="10">
        <f>IFERROR(__xludf.DUMMYFUNCTION("""COMPUTED_VALUE"""),45721.0)</f>
        <v>45721</v>
      </c>
      <c r="E2204" s="35" t="str">
        <f>IFERROR(__xludf.DUMMYFUNCTION("""COMPUTED_VALUE"""),"03Mar")</f>
        <v>03Mar</v>
      </c>
      <c r="F2204" s="34" t="str">
        <f>IFERROR(__xludf.DUMMYFUNCTION("""COMPUTED_VALUE"""),"2025")</f>
        <v>2025</v>
      </c>
      <c r="G2204" s="35" t="str">
        <f>IFERROR(__xludf.DUMMYFUNCTION("""COMPUTED_VALUE"""),"MULYADI HALIM KRISNO")</f>
        <v>MULYADI HALIM KRISNO</v>
      </c>
      <c r="H2204" s="35" t="str">
        <f>IFERROR(__xludf.DUMMYFUNCTION("""COMPUTED_VALUE"""),"M8525033556")</f>
        <v>M8525033556</v>
      </c>
      <c r="I2204" s="35">
        <f>IFERROR(__xludf.DUMMYFUNCTION("""COMPUTED_VALUE"""),40.0)</f>
        <v>40</v>
      </c>
      <c r="J2204" s="35" t="str">
        <f>IFERROR(__xludf.DUMMYFUNCTION("""COMPUTED_VALUE"""),"35-44 tahun")</f>
        <v>35-44 tahun</v>
      </c>
      <c r="K2204" s="21" t="str">
        <f>IFERROR(__xludf.DUMMYFUNCTION("""COMPUTED_VALUE"""),"25/08/1985")</f>
        <v>25/08/1985</v>
      </c>
      <c r="L2204" s="21" t="str">
        <f>IFERROR(__xludf.DUMMYFUNCTION("""COMPUTED_VALUE"""),"LAKI-LAKI")</f>
        <v>LAKI-LAKI</v>
      </c>
      <c r="M2204" s="35" t="str">
        <f>IFERROR(__xludf.DUMMYFUNCTION("""COMPUTED_VALUE"""),"JL. SUNGAI RAYA DALAM KOMP. CENDANA RAYA NO.E8")</f>
        <v>JL. SUNGAI RAYA DALAM KOMP. CENDANA RAYA NO.E8</v>
      </c>
      <c r="N2204" s="35" t="str">
        <f>IFERROR(__xludf.DUMMYFUNCTION("""COMPUTED_VALUE"""),"SUNGAI RAYA DALAM")</f>
        <v>SUNGAI RAYA DALAM</v>
      </c>
      <c r="O2204" s="35" t="str">
        <f>IFERROR(__xludf.DUMMYFUNCTION("""COMPUTED_VALUE"""),"SUNGAI RAYA")</f>
        <v>SUNGAI RAYA</v>
      </c>
      <c r="P2204" s="35" t="str">
        <f>IFERROR(__xludf.DUMMYFUNCTION("""COMPUTED_VALUE"""),"KUBU RAYA")</f>
        <v>KUBU RAYA</v>
      </c>
      <c r="Q2204" s="35" t="str">
        <f>IFERROR(__xludf.DUMMYFUNCTION("""COMPUTED_VALUE"""),"KALIMANTAN BARAT")</f>
        <v>KALIMANTAN BARAT</v>
      </c>
      <c r="R2204" s="21" t="str">
        <f>IFERROR(__xludf.DUMMYFUNCTION("""COMPUTED_VALUE"""),"BUDDHA")</f>
        <v>BUDDHA</v>
      </c>
      <c r="S2204" s="16" t="str">
        <f>IFERROR(__xludf.DUMMYFUNCTION("""COMPUTED_VALUE"""),"WIRASWASTA")</f>
        <v>WIRASWASTA</v>
      </c>
      <c r="T2204" s="35" t="str">
        <f>IFERROR(__xludf.DUMMYFUNCTION("""COMPUTED_VALUE"""),"LOW BACK PAIN")</f>
        <v>LOW BACK PAIN</v>
      </c>
      <c r="U2204" s="35" t="str">
        <f>IFERROR(__xludf.DUMMYFUNCTION("""COMPUTED_VALUE"""),"DUDUK DI KURSI TERLALU LAMA")</f>
        <v>DUDUK DI KURSI TERLALU LAMA</v>
      </c>
      <c r="V2204" s="37" t="str">
        <f>IFERROR(__xludf.DUMMYFUNCTION("""COMPUTED_VALUE"""),"081257963556")</f>
        <v>081257963556</v>
      </c>
      <c r="W2204" s="45"/>
    </row>
    <row r="2205">
      <c r="A2205" s="45"/>
      <c r="B2205" s="24" t="str">
        <f>IFERROR(__xludf.DUMMYFUNCTION("""COMPUTED_VALUE"""),"13/02/2025 2:42:18")</f>
        <v>13/02/2025 2:42:18</v>
      </c>
      <c r="C2205" s="35"/>
      <c r="D2205" s="10">
        <f>IFERROR(__xludf.DUMMYFUNCTION("""COMPUTED_VALUE"""),45721.0)</f>
        <v>45721</v>
      </c>
      <c r="E2205" s="35" t="str">
        <f>IFERROR(__xludf.DUMMYFUNCTION("""COMPUTED_VALUE"""),"03Mar")</f>
        <v>03Mar</v>
      </c>
      <c r="F2205" s="34" t="str">
        <f>IFERROR(__xludf.DUMMYFUNCTION("""COMPUTED_VALUE"""),"2025")</f>
        <v>2025</v>
      </c>
      <c r="G2205" s="35" t="str">
        <f>IFERROR(__xludf.DUMMYFUNCTION("""COMPUTED_VALUE"""),"HENDRI GUNAWAN9208")</f>
        <v>HENDRI GUNAWAN9208</v>
      </c>
      <c r="H2205" s="35" t="str">
        <f>IFERROR(__xludf.DUMMYFUNCTION("""COMPUTED_VALUE"""),"H9225034996")</f>
        <v>H9225034996</v>
      </c>
      <c r="I2205" s="35">
        <f>IFERROR(__xludf.DUMMYFUNCTION("""COMPUTED_VALUE"""),33.0)</f>
        <v>33</v>
      </c>
      <c r="J2205" s="35" t="str">
        <f>IFERROR(__xludf.DUMMYFUNCTION("""COMPUTED_VALUE"""),"25-34 tahun")</f>
        <v>25-34 tahun</v>
      </c>
      <c r="K2205" s="21" t="str">
        <f>IFERROR(__xludf.DUMMYFUNCTION("""COMPUTED_VALUE"""),"07/08/1992")</f>
        <v>07/08/1992</v>
      </c>
      <c r="L2205" s="21" t="str">
        <f>IFERROR(__xludf.DUMMYFUNCTION("""COMPUTED_VALUE"""),"LAKI-LAKI")</f>
        <v>LAKI-LAKI</v>
      </c>
      <c r="M2205" s="35" t="str">
        <f>IFERROR(__xludf.DUMMYFUNCTION("""COMPUTED_VALUE"""),"JALAN IMAM BONJOL . GANG RAWA BATU NO 8")</f>
        <v>JALAN IMAM BONJOL . GANG RAWA BATU NO 8</v>
      </c>
      <c r="N2205" s="35" t="str">
        <f>IFERROR(__xludf.DUMMYFUNCTION("""COMPUTED_VALUE"""),"KEL. BENUA MELAYU DARAT")</f>
        <v>KEL. BENUA MELAYU DARAT</v>
      </c>
      <c r="O2205" s="35" t="str">
        <f>IFERROR(__xludf.DUMMYFUNCTION("""COMPUTED_VALUE"""),"PONTIANAK SELATAN")</f>
        <v>PONTIANAK SELATAN</v>
      </c>
      <c r="P2205" s="35" t="str">
        <f>IFERROR(__xludf.DUMMYFUNCTION("""COMPUTED_VALUE"""),"KOTA PONTIANAK")</f>
        <v>KOTA PONTIANAK</v>
      </c>
      <c r="Q2205" s="35" t="str">
        <f>IFERROR(__xludf.DUMMYFUNCTION("""COMPUTED_VALUE"""),"KALIMANTAN BARAT")</f>
        <v>KALIMANTAN BARAT</v>
      </c>
      <c r="R2205" s="21" t="str">
        <f>IFERROR(__xludf.DUMMYFUNCTION("""COMPUTED_VALUE"""),"KATOLIK")</f>
        <v>KATOLIK</v>
      </c>
      <c r="S2205" s="35" t="str">
        <f>IFERROR(__xludf.DUMMYFUNCTION("""COMPUTED_VALUE"""),"PRODUCT SPESIALIS")</f>
        <v>PRODUCT SPESIALIS</v>
      </c>
      <c r="T2205" s="35" t="str">
        <f>IFERROR(__xludf.DUMMYFUNCTION("""COMPUTED_VALUE"""),"LUTUT NYERI")</f>
        <v>LUTUT NYERI</v>
      </c>
      <c r="U2205" s="35" t="str">
        <f>IFERROR(__xludf.DUMMYFUNCTION("""COMPUTED_VALUE"""),"MAIN BASKET")</f>
        <v>MAIN BASKET</v>
      </c>
      <c r="V2205" s="37" t="str">
        <f>IFERROR(__xludf.DUMMYFUNCTION("""COMPUTED_VALUE"""),"085249924996")</f>
        <v>085249924996</v>
      </c>
      <c r="W2205" s="45"/>
    </row>
    <row r="2206">
      <c r="A2206" s="45"/>
      <c r="B2206" s="24" t="str">
        <f>IFERROR(__xludf.DUMMYFUNCTION("""COMPUTED_VALUE"""),"13/02/2025 7:45:28")</f>
        <v>13/02/2025 7:45:28</v>
      </c>
      <c r="C2206" s="35"/>
      <c r="D2206" s="10">
        <f>IFERROR(__xludf.DUMMYFUNCTION("""COMPUTED_VALUE"""),45722.0)</f>
        <v>45722</v>
      </c>
      <c r="E2206" s="35" t="str">
        <f>IFERROR(__xludf.DUMMYFUNCTION("""COMPUTED_VALUE"""),"03Mar")</f>
        <v>03Mar</v>
      </c>
      <c r="F2206" s="34" t="str">
        <f>IFERROR(__xludf.DUMMYFUNCTION("""COMPUTED_VALUE"""),"2025")</f>
        <v>2025</v>
      </c>
      <c r="G2206" s="35" t="str">
        <f>IFERROR(__xludf.DUMMYFUNCTION("""COMPUTED_VALUE"""),"SUTRISNO WICAKSONO SIM")</f>
        <v>SUTRISNO WICAKSONO SIM</v>
      </c>
      <c r="H2206" s="35" t="str">
        <f>IFERROR(__xludf.DUMMYFUNCTION("""COMPUTED_VALUE"""),"S8825033513")</f>
        <v>S8825033513</v>
      </c>
      <c r="I2206" s="35">
        <f>IFERROR(__xludf.DUMMYFUNCTION("""COMPUTED_VALUE"""),38.0)</f>
        <v>38</v>
      </c>
      <c r="J2206" s="35" t="str">
        <f>IFERROR(__xludf.DUMMYFUNCTION("""COMPUTED_VALUE"""),"35-44 tahun")</f>
        <v>35-44 tahun</v>
      </c>
      <c r="K2206" s="21" t="str">
        <f>IFERROR(__xludf.DUMMYFUNCTION("""COMPUTED_VALUE"""),"07/04/1988")</f>
        <v>07/04/1988</v>
      </c>
      <c r="L2206" s="21" t="str">
        <f>IFERROR(__xludf.DUMMYFUNCTION("""COMPUTED_VALUE"""),"LAKI-LAKI")</f>
        <v>LAKI-LAKI</v>
      </c>
      <c r="M2206" s="35" t="str">
        <f>IFERROR(__xludf.DUMMYFUNCTION("""COMPUTED_VALUE"""),"JL MT HARYONO NO 8")</f>
        <v>JL MT HARYONO NO 8</v>
      </c>
      <c r="N2206" s="35" t="str">
        <f>IFERROR(__xludf.DUMMYFUNCTION("""COMPUTED_VALUE"""),"AKCAYA")</f>
        <v>AKCAYA</v>
      </c>
      <c r="O2206" s="35" t="str">
        <f>IFERROR(__xludf.DUMMYFUNCTION("""COMPUTED_VALUE"""),"PONTIANAK SELATAN")</f>
        <v>PONTIANAK SELATAN</v>
      </c>
      <c r="P2206" s="35" t="str">
        <f>IFERROR(__xludf.DUMMYFUNCTION("""COMPUTED_VALUE"""),"PONTIANAK")</f>
        <v>PONTIANAK</v>
      </c>
      <c r="Q2206" s="35" t="str">
        <f>IFERROR(__xludf.DUMMYFUNCTION("""COMPUTED_VALUE"""),"KALBAR")</f>
        <v>KALBAR</v>
      </c>
      <c r="R2206" s="21" t="str">
        <f>IFERROR(__xludf.DUMMYFUNCTION("""COMPUTED_VALUE"""),"BUDDHA")</f>
        <v>BUDDHA</v>
      </c>
      <c r="S2206" s="16" t="str">
        <f>IFERROR(__xludf.DUMMYFUNCTION("""COMPUTED_VALUE"""),"SWASTA")</f>
        <v>SWASTA</v>
      </c>
      <c r="T2206" s="35" t="str">
        <f>IFERROR(__xludf.DUMMYFUNCTION("""COMPUTED_VALUE"""),"SENDI JEMPOL KAKI SAKIT AKIBAT LARI")</f>
        <v>SENDI JEMPOL KAKI SAKIT AKIBAT LARI</v>
      </c>
      <c r="U2206" s="35" t="str">
        <f>IFERROR(__xludf.DUMMYFUNCTION("""COMPUTED_VALUE"""),"LARI 1 SAMPAI 1,5 JAM SETIAP HARI SEBANYK 10KM SAMPAI 12KM")</f>
        <v>LARI 1 SAMPAI 1,5 JAM SETIAP HARI SEBANYK 10KM SAMPAI 12KM</v>
      </c>
      <c r="V2206" s="37" t="str">
        <f>IFERROR(__xludf.DUMMYFUNCTION("""COMPUTED_VALUE"""),"085245983513")</f>
        <v>085245983513</v>
      </c>
      <c r="W2206" s="45"/>
    </row>
    <row r="2207">
      <c r="A2207" s="45"/>
      <c r="B2207" s="24" t="str">
        <f>IFERROR(__xludf.DUMMYFUNCTION("""COMPUTED_VALUE"""),"13/02/2025 10:32:28")</f>
        <v>13/02/2025 10:32:28</v>
      </c>
      <c r="C2207" s="35"/>
      <c r="D2207" s="10">
        <f>IFERROR(__xludf.DUMMYFUNCTION("""COMPUTED_VALUE"""),45730.0)</f>
        <v>45730</v>
      </c>
      <c r="E2207" s="35" t="str">
        <f>IFERROR(__xludf.DUMMYFUNCTION("""COMPUTED_VALUE"""),"03Mar")</f>
        <v>03Mar</v>
      </c>
      <c r="F2207" s="34" t="str">
        <f>IFERROR(__xludf.DUMMYFUNCTION("""COMPUTED_VALUE"""),"2025")</f>
        <v>2025</v>
      </c>
      <c r="G2207" s="35" t="str">
        <f>IFERROR(__xludf.DUMMYFUNCTION("""COMPUTED_VALUE"""),"IBNUR RASYID")</f>
        <v>IBNUR RASYID</v>
      </c>
      <c r="H2207" s="35" t="str">
        <f>IFERROR(__xludf.DUMMYFUNCTION("""COMPUTED_VALUE"""),"I9325036593")</f>
        <v>I9325036593</v>
      </c>
      <c r="I2207" s="35">
        <f>IFERROR(__xludf.DUMMYFUNCTION("""COMPUTED_VALUE"""),32.0)</f>
        <v>32</v>
      </c>
      <c r="J2207" s="35" t="str">
        <f>IFERROR(__xludf.DUMMYFUNCTION("""COMPUTED_VALUE"""),"25-34 tahun")</f>
        <v>25-34 tahun</v>
      </c>
      <c r="K2207" s="21" t="str">
        <f>IFERROR(__xludf.DUMMYFUNCTION("""COMPUTED_VALUE"""),"23/09/1993")</f>
        <v>23/09/1993</v>
      </c>
      <c r="L2207" s="21" t="str">
        <f>IFERROR(__xludf.DUMMYFUNCTION("""COMPUTED_VALUE"""),"LAKI-LAKI")</f>
        <v>LAKI-LAKI</v>
      </c>
      <c r="M2207" s="35" t="str">
        <f>IFERROR(__xludf.DUMMYFUNCTION("""COMPUTED_VALUE"""),"JALAN NAWAWI HASAN NO 80")</f>
        <v>JALAN NAWAWI HASAN NO 80</v>
      </c>
      <c r="N2207" s="35" t="str">
        <f>IFERROR(__xludf.DUMMYFUNCTION("""COMPUTED_VALUE"""),"SUNGAI BELIUNG")</f>
        <v>SUNGAI BELIUNG</v>
      </c>
      <c r="O2207" s="35" t="str">
        <f>IFERROR(__xludf.DUMMYFUNCTION("""COMPUTED_VALUE"""),"PONTIANAK BARAT")</f>
        <v>PONTIANAK BARAT</v>
      </c>
      <c r="P2207" s="35" t="str">
        <f>IFERROR(__xludf.DUMMYFUNCTION("""COMPUTED_VALUE"""),"PONTIANAK")</f>
        <v>PONTIANAK</v>
      </c>
      <c r="Q2207" s="35" t="str">
        <f>IFERROR(__xludf.DUMMYFUNCTION("""COMPUTED_VALUE"""),"KALIMANTAN BARAT")</f>
        <v>KALIMANTAN BARAT</v>
      </c>
      <c r="R2207" s="21" t="str">
        <f>IFERROR(__xludf.DUMMYFUNCTION("""COMPUTED_VALUE"""),"ISLAM")</f>
        <v>ISLAM</v>
      </c>
      <c r="S2207" s="16" t="str">
        <f>IFERROR(__xludf.DUMMYFUNCTION("""COMPUTED_VALUE"""),"SWASTA")</f>
        <v>SWASTA</v>
      </c>
      <c r="T2207" s="35" t="str">
        <f>IFERROR(__xludf.DUMMYFUNCTION("""COMPUTED_VALUE"""),"KELUHAN DI BAGIAN LUTUT KANAN")</f>
        <v>KELUHAN DI BAGIAN LUTUT KANAN</v>
      </c>
      <c r="U2207" s="35" t="str">
        <f>IFERROR(__xludf.DUMMYFUNCTION("""COMPUTED_VALUE"""),"MINISOCCER")</f>
        <v>MINISOCCER</v>
      </c>
      <c r="V2207" s="37" t="str">
        <f>IFERROR(__xludf.DUMMYFUNCTION("""COMPUTED_VALUE"""),"082159836593")</f>
        <v>082159836593</v>
      </c>
      <c r="W2207" s="45"/>
    </row>
    <row r="2208">
      <c r="A2208" s="45"/>
      <c r="B2208" s="24" t="str">
        <f>IFERROR(__xludf.DUMMYFUNCTION("""COMPUTED_VALUE"""),"13/02/2025 16:33:41")</f>
        <v>13/02/2025 16:33:41</v>
      </c>
      <c r="C2208" s="35"/>
      <c r="D2208" s="10">
        <f>IFERROR(__xludf.DUMMYFUNCTION("""COMPUTED_VALUE"""),45722.0)</f>
        <v>45722</v>
      </c>
      <c r="E2208" s="35" t="str">
        <f>IFERROR(__xludf.DUMMYFUNCTION("""COMPUTED_VALUE"""),"03Mar")</f>
        <v>03Mar</v>
      </c>
      <c r="F2208" s="34" t="str">
        <f>IFERROR(__xludf.DUMMYFUNCTION("""COMPUTED_VALUE"""),"2025")</f>
        <v>2025</v>
      </c>
      <c r="G2208" s="35" t="str">
        <f>IFERROR(__xludf.DUMMYFUNCTION("""COMPUTED_VALUE"""),"DESTRIANDY")</f>
        <v>DESTRIANDY</v>
      </c>
      <c r="H2208" s="35" t="str">
        <f>IFERROR(__xludf.DUMMYFUNCTION("""COMPUTED_VALUE"""),"D8625031328")</f>
        <v>D8625031328</v>
      </c>
      <c r="I2208" s="35">
        <f>IFERROR(__xludf.DUMMYFUNCTION("""COMPUTED_VALUE"""),39.0)</f>
        <v>39</v>
      </c>
      <c r="J2208" s="35" t="str">
        <f>IFERROR(__xludf.DUMMYFUNCTION("""COMPUTED_VALUE"""),"35-44 tahun")</f>
        <v>35-44 tahun</v>
      </c>
      <c r="K2208" s="21" t="str">
        <f>IFERROR(__xludf.DUMMYFUNCTION("""COMPUTED_VALUE"""),"23/12/1986")</f>
        <v>23/12/1986</v>
      </c>
      <c r="L2208" s="21" t="str">
        <f>IFERROR(__xludf.DUMMYFUNCTION("""COMPUTED_VALUE"""),"LAKI-LAKI")</f>
        <v>LAKI-LAKI</v>
      </c>
      <c r="M2208" s="35" t="str">
        <f>IFERROR(__xludf.DUMMYFUNCTION("""COMPUTED_VALUE"""),"JL APEL NO. 11")</f>
        <v>JL APEL NO. 11</v>
      </c>
      <c r="N2208" s="35" t="str">
        <f>IFERROR(__xludf.DUMMYFUNCTION("""COMPUTED_VALUE"""),"SUNGAI JAWI LUAR")</f>
        <v>SUNGAI JAWI LUAR</v>
      </c>
      <c r="O2208" s="35" t="str">
        <f>IFERROR(__xludf.DUMMYFUNCTION("""COMPUTED_VALUE"""),"PONTIANAK BARAT")</f>
        <v>PONTIANAK BARAT</v>
      </c>
      <c r="P2208" s="35" t="str">
        <f>IFERROR(__xludf.DUMMYFUNCTION("""COMPUTED_VALUE"""),"KOTA PONTIANAK")</f>
        <v>KOTA PONTIANAK</v>
      </c>
      <c r="Q2208" s="35" t="str">
        <f>IFERROR(__xludf.DUMMYFUNCTION("""COMPUTED_VALUE"""),"KALIMANTAN BARAT")</f>
        <v>KALIMANTAN BARAT</v>
      </c>
      <c r="R2208" s="21" t="str">
        <f>IFERROR(__xludf.DUMMYFUNCTION("""COMPUTED_VALUE"""),"ISLAM")</f>
        <v>ISLAM</v>
      </c>
      <c r="S2208" s="35" t="str">
        <f>IFERROR(__xludf.DUMMYFUNCTION("""COMPUTED_VALUE"""),"HONORER")</f>
        <v>HONORER</v>
      </c>
      <c r="T2208" s="35" t="str">
        <f>IFERROR(__xludf.DUMMYFUNCTION("""COMPUTED_VALUE"""),"MAU CEK GANGGUAN VESTIBULAR KAREN SERING SAKIT KEPALA N KLIYENGAN AKIBAT ANXIETY DISORDER")</f>
        <v>MAU CEK GANGGUAN VESTIBULAR KAREN SERING SAKIT KEPALA N KLIYENGAN AKIBAT ANXIETY DISORDER</v>
      </c>
      <c r="U2208" s="35" t="str">
        <f>IFERROR(__xludf.DUMMYFUNCTION("""COMPUTED_VALUE"""),"KERJA")</f>
        <v>KERJA</v>
      </c>
      <c r="V2208" s="37" t="str">
        <f>IFERROR(__xludf.DUMMYFUNCTION("""COMPUTED_VALUE"""),"081317231328")</f>
        <v>081317231328</v>
      </c>
      <c r="W2208" s="45"/>
    </row>
    <row r="2209">
      <c r="A2209" s="45"/>
      <c r="B2209" s="24" t="str">
        <f>IFERROR(__xludf.DUMMYFUNCTION("""COMPUTED_VALUE"""),"13/02/2025 18:30:39")</f>
        <v>13/02/2025 18:30:39</v>
      </c>
      <c r="C2209" s="35"/>
      <c r="D2209" s="10">
        <f>IFERROR(__xludf.DUMMYFUNCTION("""COMPUTED_VALUE"""),45722.0)</f>
        <v>45722</v>
      </c>
      <c r="E2209" s="35" t="str">
        <f>IFERROR(__xludf.DUMMYFUNCTION("""COMPUTED_VALUE"""),"03Mar")</f>
        <v>03Mar</v>
      </c>
      <c r="F2209" s="34" t="str">
        <f>IFERROR(__xludf.DUMMYFUNCTION("""COMPUTED_VALUE"""),"2025")</f>
        <v>2025</v>
      </c>
      <c r="G2209" s="35" t="str">
        <f>IFERROR(__xludf.DUMMYFUNCTION("""COMPUTED_VALUE"""),"LIM CHAI SENG")</f>
        <v>LIM CHAI SENG</v>
      </c>
      <c r="H2209" s="35" t="str">
        <f>IFERROR(__xludf.DUMMYFUNCTION("""COMPUTED_VALUE"""),"L0025039768")</f>
        <v>L0025039768</v>
      </c>
      <c r="I2209" s="35">
        <f>IFERROR(__xludf.DUMMYFUNCTION("""COMPUTED_VALUE"""),25.0)</f>
        <v>25</v>
      </c>
      <c r="J2209" s="35" t="str">
        <f>IFERROR(__xludf.DUMMYFUNCTION("""COMPUTED_VALUE"""),"25-34 tahun")</f>
        <v>25-34 tahun</v>
      </c>
      <c r="K2209" s="44" t="str">
        <f>IFERROR(__xludf.DUMMYFUNCTION("""COMPUTED_VALUE"""),"02/12/2000")</f>
        <v>02/12/2000</v>
      </c>
      <c r="L2209" s="21" t="str">
        <f>IFERROR(__xludf.DUMMYFUNCTION("""COMPUTED_VALUE"""),"LAKI-LAKI")</f>
        <v>LAKI-LAKI</v>
      </c>
      <c r="M2209" s="35" t="str">
        <f>IFERROR(__xludf.DUMMYFUNCTION("""COMPUTED_VALUE"""),"PERUM PT. KSK")</f>
        <v>PERUM PT. KSK</v>
      </c>
      <c r="N2209" s="35" t="str">
        <f>IFERROR(__xludf.DUMMYFUNCTION("""COMPUTED_VALUE"""),"BANGUN JAYA")</f>
        <v>BANGUN JAYA</v>
      </c>
      <c r="O2209" s="35" t="str">
        <f>IFERROR(__xludf.DUMMYFUNCTION("""COMPUTED_VALUE"""),"BALAI RIAM")</f>
        <v>BALAI RIAM</v>
      </c>
      <c r="P2209" s="35" t="str">
        <f>IFERROR(__xludf.DUMMYFUNCTION("""COMPUTED_VALUE"""),"SUKAMARA")</f>
        <v>SUKAMARA</v>
      </c>
      <c r="Q2209" s="35" t="str">
        <f>IFERROR(__xludf.DUMMYFUNCTION("""COMPUTED_VALUE"""),"KALIMANTAN TENGAH")</f>
        <v>KALIMANTAN TENGAH</v>
      </c>
      <c r="R2209" s="21" t="str">
        <f>IFERROR(__xludf.DUMMYFUNCTION("""COMPUTED_VALUE"""),"KATOLIK")</f>
        <v>KATOLIK</v>
      </c>
      <c r="S2209" s="16" t="str">
        <f>IFERROR(__xludf.DUMMYFUNCTION("""COMPUTED_VALUE"""),"KARYAWAN SWASTA")</f>
        <v>KARYAWAN SWASTA</v>
      </c>
      <c r="T2209" s="35" t="str">
        <f>IFERROR(__xludf.DUMMYFUNCTION("""COMPUTED_VALUE"""),"CIDERA ENGKEL")</f>
        <v>CIDERA ENGKEL</v>
      </c>
      <c r="U2209" s="35" t="str">
        <f>IFERROR(__xludf.DUMMYFUNCTION("""COMPUTED_VALUE"""),"BULUTANGKIS, FUTSAL DAN LARI")</f>
        <v>BULUTANGKIS, FUTSAL DAN LARI</v>
      </c>
      <c r="V2209" s="37" t="str">
        <f>IFERROR(__xludf.DUMMYFUNCTION("""COMPUTED_VALUE"""),"081351039768")</f>
        <v>081351039768</v>
      </c>
      <c r="W2209" s="45"/>
    </row>
    <row r="2210">
      <c r="A2210" s="45"/>
      <c r="B2210" s="24" t="str">
        <f>IFERROR(__xludf.DUMMYFUNCTION("""COMPUTED_VALUE"""),"13/02/2025 13:43:14")</f>
        <v>13/02/2025 13:43:14</v>
      </c>
      <c r="C2210" s="35"/>
      <c r="D2210" s="10">
        <f>IFERROR(__xludf.DUMMYFUNCTION("""COMPUTED_VALUE"""),45722.0)</f>
        <v>45722</v>
      </c>
      <c r="E2210" s="35" t="str">
        <f>IFERROR(__xludf.DUMMYFUNCTION("""COMPUTED_VALUE"""),"03Mar")</f>
        <v>03Mar</v>
      </c>
      <c r="F2210" s="34" t="str">
        <f>IFERROR(__xludf.DUMMYFUNCTION("""COMPUTED_VALUE"""),"2025")</f>
        <v>2025</v>
      </c>
      <c r="G2210" s="35" t="str">
        <f>IFERROR(__xludf.DUMMYFUNCTION("""COMPUTED_VALUE"""),"DWI BARI LUTHFIANUR")</f>
        <v>DWI BARI LUTHFIANUR</v>
      </c>
      <c r="H2210" s="35" t="str">
        <f>IFERROR(__xludf.DUMMYFUNCTION("""COMPUTED_VALUE"""),"D8825037244")</f>
        <v>D8825037244</v>
      </c>
      <c r="I2210" s="35">
        <f>IFERROR(__xludf.DUMMYFUNCTION("""COMPUTED_VALUE"""),37.0)</f>
        <v>37</v>
      </c>
      <c r="J2210" s="35" t="str">
        <f>IFERROR(__xludf.DUMMYFUNCTION("""COMPUTED_VALUE"""),"35-44 tahun")</f>
        <v>35-44 tahun</v>
      </c>
      <c r="K2210" s="21" t="str">
        <f>IFERROR(__xludf.DUMMYFUNCTION("""COMPUTED_VALUE"""),"06/07/1988")</f>
        <v>06/07/1988</v>
      </c>
      <c r="L2210" s="21" t="str">
        <f>IFERROR(__xludf.DUMMYFUNCTION("""COMPUTED_VALUE"""),"PEREMPUAN")</f>
        <v>PEREMPUAN</v>
      </c>
      <c r="M2210" s="35" t="str">
        <f>IFERROR(__xludf.DUMMYFUNCTION("""COMPUTED_VALUE"""),"JL. ST. SYAHRIR GG RAWASARI 1 NO 48")</f>
        <v>JL. ST. SYAHRIR GG RAWASARI 1 NO 48</v>
      </c>
      <c r="N2210" s="35" t="str">
        <f>IFERROR(__xludf.DUMMYFUNCTION("""COMPUTED_VALUE"""),"SUNGAI BANGKONG")</f>
        <v>SUNGAI BANGKONG</v>
      </c>
      <c r="O2210" s="35" t="str">
        <f>IFERROR(__xludf.DUMMYFUNCTION("""COMPUTED_VALUE"""),"PONTIANAK KOTA")</f>
        <v>PONTIANAK KOTA</v>
      </c>
      <c r="P2210" s="35" t="str">
        <f>IFERROR(__xludf.DUMMYFUNCTION("""COMPUTED_VALUE"""),"KOTA PONTIANAK")</f>
        <v>KOTA PONTIANAK</v>
      </c>
      <c r="Q2210" s="35" t="str">
        <f>IFERROR(__xludf.DUMMYFUNCTION("""COMPUTED_VALUE"""),"KALIMANTAN BARAT")</f>
        <v>KALIMANTAN BARAT</v>
      </c>
      <c r="R2210" s="21" t="str">
        <f>IFERROR(__xludf.DUMMYFUNCTION("""COMPUTED_VALUE"""),"ISLAM")</f>
        <v>ISLAM</v>
      </c>
      <c r="S2210" s="16" t="str">
        <f>IFERROR(__xludf.DUMMYFUNCTION("""COMPUTED_VALUE"""),"GURU PPPK")</f>
        <v>GURU PPPK</v>
      </c>
      <c r="T2210" s="35" t="str">
        <f>IFERROR(__xludf.DUMMYFUNCTION("""COMPUTED_VALUE"""),"SPUR DI TUMIT, SAKIT HINGGA BOKONG")</f>
        <v>SPUR DI TUMIT, SAKIT HINGGA BOKONG</v>
      </c>
      <c r="U2210" s="35" t="str">
        <f>IFERROR(__xludf.DUMMYFUNCTION("""COMPUTED_VALUE"""),"BERKENDARA MOTOR, GERAKAN SEHARI HARI")</f>
        <v>BERKENDARA MOTOR, GERAKAN SEHARI HARI</v>
      </c>
      <c r="V2210" s="37" t="str">
        <f>IFERROR(__xludf.DUMMYFUNCTION("""COMPUTED_VALUE"""),"085252027244")</f>
        <v>085252027244</v>
      </c>
      <c r="W2210" s="45"/>
    </row>
    <row r="2211">
      <c r="A2211" s="45"/>
      <c r="B2211" s="24" t="str">
        <f>IFERROR(__xludf.DUMMYFUNCTION("""COMPUTED_VALUE"""),"14/02/2025 0:15:22")</f>
        <v>14/02/2025 0:15:22</v>
      </c>
      <c r="C2211" s="35"/>
      <c r="D2211" s="10">
        <f>IFERROR(__xludf.DUMMYFUNCTION("""COMPUTED_VALUE"""),45722.0)</f>
        <v>45722</v>
      </c>
      <c r="E2211" s="35" t="str">
        <f>IFERROR(__xludf.DUMMYFUNCTION("""COMPUTED_VALUE"""),"03Mar")</f>
        <v>03Mar</v>
      </c>
      <c r="F2211" s="34" t="str">
        <f>IFERROR(__xludf.DUMMYFUNCTION("""COMPUTED_VALUE"""),"2025")</f>
        <v>2025</v>
      </c>
      <c r="G2211" s="35" t="str">
        <f>IFERROR(__xludf.DUMMYFUNCTION("""COMPUTED_VALUE"""),"HAJIJAH")</f>
        <v>HAJIJAH</v>
      </c>
      <c r="H2211" s="35" t="str">
        <f>IFERROR(__xludf.DUMMYFUNCTION("""COMPUTED_VALUE"""),"H6125034253")</f>
        <v>H6125034253</v>
      </c>
      <c r="I2211" s="35">
        <f>IFERROR(__xludf.DUMMYFUNCTION("""COMPUTED_VALUE"""),65.0)</f>
        <v>65</v>
      </c>
      <c r="J2211" s="35" t="str">
        <f>IFERROR(__xludf.DUMMYFUNCTION("""COMPUTED_VALUE"""),"&gt; 44 tahun")</f>
        <v>&gt; 44 tahun</v>
      </c>
      <c r="K2211" s="21" t="str">
        <f>IFERROR(__xludf.DUMMYFUNCTION("""COMPUTED_VALUE"""),"29/03/1961")</f>
        <v>29/03/1961</v>
      </c>
      <c r="L2211" s="21" t="str">
        <f>IFERROR(__xludf.DUMMYFUNCTION("""COMPUTED_VALUE"""),"PEREMPUAN")</f>
        <v>PEREMPUAN</v>
      </c>
      <c r="M2211" s="35" t="str">
        <f>IFERROR(__xludf.DUMMYFUNCTION("""COMPUTED_VALUE"""),"JL. KARET KOMP PATRA PERMAI B10")</f>
        <v>JL. KARET KOMP PATRA PERMAI B10</v>
      </c>
      <c r="N2211" s="35" t="str">
        <f>IFERROR(__xludf.DUMMYFUNCTION("""COMPUTED_VALUE"""),"SUNGAI BELIUNG")</f>
        <v>SUNGAI BELIUNG</v>
      </c>
      <c r="O2211" s="35" t="str">
        <f>IFERROR(__xludf.DUMMYFUNCTION("""COMPUTED_VALUE"""),"PONTIANAK BARAT")</f>
        <v>PONTIANAK BARAT</v>
      </c>
      <c r="P2211" s="35" t="str">
        <f>IFERROR(__xludf.DUMMYFUNCTION("""COMPUTED_VALUE"""),"PONTIANAK")</f>
        <v>PONTIANAK</v>
      </c>
      <c r="Q2211" s="35" t="str">
        <f>IFERROR(__xludf.DUMMYFUNCTION("""COMPUTED_VALUE"""),"KALIMANTAN BARAT")</f>
        <v>KALIMANTAN BARAT</v>
      </c>
      <c r="R2211" s="21" t="str">
        <f>IFERROR(__xludf.DUMMYFUNCTION("""COMPUTED_VALUE"""),"ISLAM")</f>
        <v>ISLAM</v>
      </c>
      <c r="S2211" s="16" t="str">
        <f>IFERROR(__xludf.DUMMYFUNCTION("""COMPUTED_VALUE"""),"IBU RUMAH TANGGA")</f>
        <v>IBU RUMAH TANGGA</v>
      </c>
      <c r="T2211" s="35" t="str">
        <f>IFERROR(__xludf.DUMMYFUNCTION("""COMPUTED_VALUE"""),"SAKIT PADA AREA PINGGANG, PINGGUL. SERING TERTARIK SAMPAI BAGIAN BAWAH KAKI, SERING KRAM DAN KESEMUTAN")</f>
        <v>SAKIT PADA AREA PINGGANG, PINGGUL. SERING TERTARIK SAMPAI BAGIAN BAWAH KAKI, SERING KRAM DAN KESEMUTAN</v>
      </c>
      <c r="U2211" s="35" t="str">
        <f>IFERROR(__xludf.DUMMYFUNCTION("""COMPUTED_VALUE"""),"TIDAK ADA")</f>
        <v>TIDAK ADA</v>
      </c>
      <c r="V2211" s="37" t="str">
        <f>IFERROR(__xludf.DUMMYFUNCTION("""COMPUTED_VALUE"""),"089681004253")</f>
        <v>089681004253</v>
      </c>
      <c r="W2211" s="45"/>
    </row>
    <row r="2212">
      <c r="A2212" s="45"/>
      <c r="B2212" s="24" t="str">
        <f>IFERROR(__xludf.DUMMYFUNCTION("""COMPUTED_VALUE"""),"14/02/2025 10:12:57")</f>
        <v>14/02/2025 10:12:57</v>
      </c>
      <c r="C2212" s="35"/>
      <c r="D2212" s="10">
        <f>IFERROR(__xludf.DUMMYFUNCTION("""COMPUTED_VALUE"""),45722.0)</f>
        <v>45722</v>
      </c>
      <c r="E2212" s="35" t="str">
        <f>IFERROR(__xludf.DUMMYFUNCTION("""COMPUTED_VALUE"""),"03Mar")</f>
        <v>03Mar</v>
      </c>
      <c r="F2212" s="34" t="str">
        <f>IFERROR(__xludf.DUMMYFUNCTION("""COMPUTED_VALUE"""),"2025")</f>
        <v>2025</v>
      </c>
      <c r="G2212" s="35" t="str">
        <f>IFERROR(__xludf.DUMMYFUNCTION("""COMPUTED_VALUE"""),"FEBRANS FERNANDO SITORUS")</f>
        <v>FEBRANS FERNANDO SITORUS</v>
      </c>
      <c r="H2212" s="35" t="str">
        <f>IFERROR(__xludf.DUMMYFUNCTION("""COMPUTED_VALUE"""),"F9525035304")</f>
        <v>F9525035304</v>
      </c>
      <c r="I2212" s="35">
        <f>IFERROR(__xludf.DUMMYFUNCTION("""COMPUTED_VALUE"""),31.0)</f>
        <v>31</v>
      </c>
      <c r="J2212" s="35" t="str">
        <f>IFERROR(__xludf.DUMMYFUNCTION("""COMPUTED_VALUE"""),"25-34 tahun")</f>
        <v>25-34 tahun</v>
      </c>
      <c r="K2212" s="21" t="str">
        <f>IFERROR(__xludf.DUMMYFUNCTION("""COMPUTED_VALUE"""),"25/01/1995")</f>
        <v>25/01/1995</v>
      </c>
      <c r="L2212" s="21" t="str">
        <f>IFERROR(__xludf.DUMMYFUNCTION("""COMPUTED_VALUE"""),"LAKI-LAKI")</f>
        <v>LAKI-LAKI</v>
      </c>
      <c r="M2212" s="35" t="str">
        <f>IFERROR(__xludf.DUMMYFUNCTION("""COMPUTED_VALUE"""),"KOMPLEK PONDOK INDAH LESTARI D5 NO3")</f>
        <v>KOMPLEK PONDOK INDAH LESTARI D5 NO3</v>
      </c>
      <c r="N2212" s="35" t="str">
        <f>IFERROR(__xludf.DUMMYFUNCTION("""COMPUTED_VALUE"""),"PARIT BARU")</f>
        <v>PARIT BARU</v>
      </c>
      <c r="O2212" s="35" t="str">
        <f>IFERROR(__xludf.DUMMYFUNCTION("""COMPUTED_VALUE"""),"SUNGAI RAYA")</f>
        <v>SUNGAI RAYA</v>
      </c>
      <c r="P2212" s="35" t="str">
        <f>IFERROR(__xludf.DUMMYFUNCTION("""COMPUTED_VALUE"""),"KUBURAYA")</f>
        <v>KUBURAYA</v>
      </c>
      <c r="Q2212" s="35" t="str">
        <f>IFERROR(__xludf.DUMMYFUNCTION("""COMPUTED_VALUE"""),"KALIMANTAN BARAT")</f>
        <v>KALIMANTAN BARAT</v>
      </c>
      <c r="R2212" s="21" t="str">
        <f>IFERROR(__xludf.DUMMYFUNCTION("""COMPUTED_VALUE"""),"PROTESTAN")</f>
        <v>PROTESTAN</v>
      </c>
      <c r="S2212" s="16" t="str">
        <f>IFERROR(__xludf.DUMMYFUNCTION("""COMPUTED_VALUE"""),"SWASTA")</f>
        <v>SWASTA</v>
      </c>
      <c r="T2212" s="35" t="str">
        <f>IFERROR(__xludf.DUMMYFUNCTION("""COMPUTED_VALUE"""),"LEHER PUNDAK KAKI KANAN TERASA PEGAL NYERI")</f>
        <v>LEHER PUNDAK KAKI KANAN TERASA PEGAL NYERI</v>
      </c>
      <c r="U2212" s="35" t="str">
        <f>IFERROR(__xludf.DUMMYFUNCTION("""COMPUTED_VALUE"""),"DUDUK BANYAK MENGHADAP LAPTOP, PERJALANAN KELUAR KOTA PAKAI MOTOR")</f>
        <v>DUDUK BANYAK MENGHADAP LAPTOP, PERJALANAN KELUAR KOTA PAKAI MOTOR</v>
      </c>
      <c r="V2212" s="37" t="str">
        <f>IFERROR(__xludf.DUMMYFUNCTION("""COMPUTED_VALUE"""),"089693525304")</f>
        <v>089693525304</v>
      </c>
      <c r="W2212" s="45"/>
    </row>
    <row r="2213">
      <c r="A2213" s="45"/>
      <c r="B2213" s="24" t="str">
        <f>IFERROR(__xludf.DUMMYFUNCTION("""COMPUTED_VALUE"""),"14/02/2025 19:35:06")</f>
        <v>14/02/2025 19:35:06</v>
      </c>
      <c r="C2213" s="35"/>
      <c r="D2213" s="10">
        <f>IFERROR(__xludf.DUMMYFUNCTION("""COMPUTED_VALUE"""),45722.0)</f>
        <v>45722</v>
      </c>
      <c r="E2213" s="35" t="str">
        <f>IFERROR(__xludf.DUMMYFUNCTION("""COMPUTED_VALUE"""),"03Mar")</f>
        <v>03Mar</v>
      </c>
      <c r="F2213" s="34" t="str">
        <f>IFERROR(__xludf.DUMMYFUNCTION("""COMPUTED_VALUE"""),"2025")</f>
        <v>2025</v>
      </c>
      <c r="G2213" s="35" t="str">
        <f>IFERROR(__xludf.DUMMYFUNCTION("""COMPUTED_VALUE"""),"ZAINUDIN")</f>
        <v>ZAINUDIN</v>
      </c>
      <c r="H2213" s="35" t="str">
        <f>IFERROR(__xludf.DUMMYFUNCTION("""COMPUTED_VALUE"""),"Z9825039148")</f>
        <v>Z9825039148</v>
      </c>
      <c r="I2213" s="35">
        <f>IFERROR(__xludf.DUMMYFUNCTION("""COMPUTED_VALUE"""),28.0)</f>
        <v>28</v>
      </c>
      <c r="J2213" s="35" t="str">
        <f>IFERROR(__xludf.DUMMYFUNCTION("""COMPUTED_VALUE"""),"25-34 tahun")</f>
        <v>25-34 tahun</v>
      </c>
      <c r="K2213" s="21" t="str">
        <f>IFERROR(__xludf.DUMMYFUNCTION("""COMPUTED_VALUE"""),"25/01/1998")</f>
        <v>25/01/1998</v>
      </c>
      <c r="L2213" s="21" t="str">
        <f>IFERROR(__xludf.DUMMYFUNCTION("""COMPUTED_VALUE"""),"LAKI-LAKI")</f>
        <v>LAKI-LAKI</v>
      </c>
      <c r="M2213" s="35" t="str">
        <f>IFERROR(__xludf.DUMMYFUNCTION("""COMPUTED_VALUE"""),"JALAN PADAT KARYA KOMPLEK MITRA KELUARGA 4 NOMOR C18")</f>
        <v>JALAN PADAT KARYA KOMPLEK MITRA KELUARGA 4 NOMOR C18</v>
      </c>
      <c r="N2213" s="35" t="str">
        <f>IFERROR(__xludf.DUMMYFUNCTION("""COMPUTED_VALUE"""),"SAIGO")</f>
        <v>SAIGO</v>
      </c>
      <c r="O2213" s="35" t="str">
        <f>IFERROR(__xludf.DUMMYFUNCTION("""COMPUTED_VALUE"""),"PONTIANAK TIMUR")</f>
        <v>PONTIANAK TIMUR</v>
      </c>
      <c r="P2213" s="35" t="str">
        <f>IFERROR(__xludf.DUMMYFUNCTION("""COMPUTED_VALUE"""),"PONTIANAK")</f>
        <v>PONTIANAK</v>
      </c>
      <c r="Q2213" s="16" t="str">
        <f>IFERROR(__xludf.DUMMYFUNCTION("""COMPUTED_VALUE"""),"KALIMANTAN BARAT")</f>
        <v>KALIMANTAN BARAT</v>
      </c>
      <c r="R2213" s="21" t="str">
        <f>IFERROR(__xludf.DUMMYFUNCTION("""COMPUTED_VALUE"""),"ISLAM")</f>
        <v>ISLAM</v>
      </c>
      <c r="S2213" s="35" t="str">
        <f>IFERROR(__xludf.DUMMYFUNCTION("""COMPUTED_VALUE"""),"SWASTA")</f>
        <v>SWASTA</v>
      </c>
      <c r="T2213" s="35" t="str">
        <f>IFERROR(__xludf.DUMMYFUNCTION("""COMPUTED_VALUE"""),"SAKIT LUTUT")</f>
        <v>SAKIT LUTUT</v>
      </c>
      <c r="U2213" s="35" t="str">
        <f>IFERROR(__xludf.DUMMYFUNCTION("""COMPUTED_VALUE"""),"OLAHRAGA")</f>
        <v>OLAHRAGA</v>
      </c>
      <c r="V2213" s="37" t="str">
        <f>IFERROR(__xludf.DUMMYFUNCTION("""COMPUTED_VALUE"""),"085705039148")</f>
        <v>085705039148</v>
      </c>
      <c r="W2213" s="45"/>
    </row>
    <row r="2214">
      <c r="A2214" s="45"/>
      <c r="B2214" s="24" t="str">
        <f>IFERROR(__xludf.DUMMYFUNCTION("""COMPUTED_VALUE"""),"15/02/2025 8:31:23")</f>
        <v>15/02/2025 8:31:23</v>
      </c>
      <c r="C2214" s="35"/>
      <c r="D2214" s="10">
        <f>IFERROR(__xludf.DUMMYFUNCTION("""COMPUTED_VALUE"""),45722.0)</f>
        <v>45722</v>
      </c>
      <c r="E2214" s="35" t="str">
        <f>IFERROR(__xludf.DUMMYFUNCTION("""COMPUTED_VALUE"""),"03Mar")</f>
        <v>03Mar</v>
      </c>
      <c r="F2214" s="34" t="str">
        <f>IFERROR(__xludf.DUMMYFUNCTION("""COMPUTED_VALUE"""),"2025")</f>
        <v>2025</v>
      </c>
      <c r="G2214" s="35" t="str">
        <f>IFERROR(__xludf.DUMMYFUNCTION("""COMPUTED_VALUE"""),"AZHARI")</f>
        <v>AZHARI</v>
      </c>
      <c r="H2214" s="35" t="str">
        <f>IFERROR(__xludf.DUMMYFUNCTION("""COMPUTED_VALUE"""),"A6025032388")</f>
        <v>A6025032388</v>
      </c>
      <c r="I2214" s="35">
        <f>IFERROR(__xludf.DUMMYFUNCTION("""COMPUTED_VALUE"""),65.0)</f>
        <v>65</v>
      </c>
      <c r="J2214" s="35" t="str">
        <f>IFERROR(__xludf.DUMMYFUNCTION("""COMPUTED_VALUE"""),"&gt; 44 tahun")</f>
        <v>&gt; 44 tahun</v>
      </c>
      <c r="K2214" s="21" t="str">
        <f>IFERROR(__xludf.DUMMYFUNCTION("""COMPUTED_VALUE"""),"23/10/1960")</f>
        <v>23/10/1960</v>
      </c>
      <c r="L2214" s="21" t="str">
        <f>IFERROR(__xludf.DUMMYFUNCTION("""COMPUTED_VALUE"""),"LAKI-LAKI")</f>
        <v>LAKI-LAKI</v>
      </c>
      <c r="M2214" s="35" t="str">
        <f>IFERROR(__xludf.DUMMYFUNCTION("""COMPUTED_VALUE"""),"JLN HUSEIN HAMZAH GG.HASANAH NO.22")</f>
        <v>JLN HUSEIN HAMZAH GG.HASANAH NO.22</v>
      </c>
      <c r="N2214" s="35" t="str">
        <f>IFERROR(__xludf.DUMMYFUNCTION("""COMPUTED_VALUE"""),"SUNGAI JAWI LUAR")</f>
        <v>SUNGAI JAWI LUAR</v>
      </c>
      <c r="O2214" s="35" t="str">
        <f>IFERROR(__xludf.DUMMYFUNCTION("""COMPUTED_VALUE"""),"PONTIANAK BARAT")</f>
        <v>PONTIANAK BARAT</v>
      </c>
      <c r="P2214" s="35" t="str">
        <f>IFERROR(__xludf.DUMMYFUNCTION("""COMPUTED_VALUE"""),"KOTA PONTIANAK")</f>
        <v>KOTA PONTIANAK</v>
      </c>
      <c r="Q2214" s="16" t="str">
        <f>IFERROR(__xludf.DUMMYFUNCTION("""COMPUTED_VALUE"""),"KALIMANTAN BARAT")</f>
        <v>KALIMANTAN BARAT</v>
      </c>
      <c r="R2214" s="21" t="str">
        <f>IFERROR(__xludf.DUMMYFUNCTION("""COMPUTED_VALUE"""),"ISLAM")</f>
        <v>ISLAM</v>
      </c>
      <c r="S2214" s="35" t="str">
        <f>IFERROR(__xludf.DUMMYFUNCTION("""COMPUTED_VALUE"""),"WIRASWASTA")</f>
        <v>WIRASWASTA</v>
      </c>
      <c r="T2214" s="35" t="str">
        <f>IFERROR(__xludf.DUMMYFUNCTION("""COMPUTED_VALUE"""),"SAKIT PINGGANG (SARAF KEJEPIT)")</f>
        <v>SAKIT PINGGANG (SARAF KEJEPIT)</v>
      </c>
      <c r="U2214" s="35" t="str">
        <f>IFERROR(__xludf.DUMMYFUNCTION("""COMPUTED_VALUE"""),"PENSIUNAN")</f>
        <v>PENSIUNAN</v>
      </c>
      <c r="V2214" s="37" t="str">
        <f>IFERROR(__xludf.DUMMYFUNCTION("""COMPUTED_VALUE"""),"082351082388")</f>
        <v>082351082388</v>
      </c>
      <c r="W2214" s="45"/>
    </row>
    <row r="2215">
      <c r="A2215" s="45"/>
      <c r="B2215" s="24" t="str">
        <f>IFERROR(__xludf.DUMMYFUNCTION("""COMPUTED_VALUE"""),"15/02/2025 8:41:40")</f>
        <v>15/02/2025 8:41:40</v>
      </c>
      <c r="C2215" s="35"/>
      <c r="D2215" s="10">
        <f>IFERROR(__xludf.DUMMYFUNCTION("""COMPUTED_VALUE"""),45723.0)</f>
        <v>45723</v>
      </c>
      <c r="E2215" s="35" t="str">
        <f>IFERROR(__xludf.DUMMYFUNCTION("""COMPUTED_VALUE"""),"03Mar")</f>
        <v>03Mar</v>
      </c>
      <c r="F2215" s="34" t="str">
        <f>IFERROR(__xludf.DUMMYFUNCTION("""COMPUTED_VALUE"""),"2025")</f>
        <v>2025</v>
      </c>
      <c r="G2215" s="16" t="str">
        <f>IFERROR(__xludf.DUMMYFUNCTION("""COMPUTED_VALUE"""),"DEDE SUBANDI N")</f>
        <v>DEDE SUBANDI N</v>
      </c>
      <c r="H2215" s="35" t="str">
        <f>IFERROR(__xludf.DUMMYFUNCTION("""COMPUTED_VALUE"""),"D8925037556")</f>
        <v>D8925037556</v>
      </c>
      <c r="I2215" s="35">
        <f>IFERROR(__xludf.DUMMYFUNCTION("""COMPUTED_VALUE"""),36.0)</f>
        <v>36</v>
      </c>
      <c r="J2215" s="35" t="str">
        <f>IFERROR(__xludf.DUMMYFUNCTION("""COMPUTED_VALUE"""),"35-44 tahun")</f>
        <v>35-44 tahun</v>
      </c>
      <c r="K2215" s="44" t="str">
        <f>IFERROR(__xludf.DUMMYFUNCTION("""COMPUTED_VALUE"""),"22/07/1989")</f>
        <v>22/07/1989</v>
      </c>
      <c r="L2215" s="19" t="str">
        <f>IFERROR(__xludf.DUMMYFUNCTION("""COMPUTED_VALUE"""),"LAKI-LAKI")</f>
        <v>LAKI-LAKI</v>
      </c>
      <c r="M2215" s="16" t="str">
        <f>IFERROR(__xludf.DUMMYFUNCTION("""COMPUTED_VALUE"""),"KOMP. PERMATA KHATULISTIWA BLOK E5")</f>
        <v>KOMP. PERMATA KHATULISTIWA BLOK E5</v>
      </c>
      <c r="N2215" s="35" t="str">
        <f>IFERROR(__xludf.DUMMYFUNCTION("""COMPUTED_VALUE"""),"")</f>
        <v/>
      </c>
      <c r="O2215" s="35" t="str">
        <f>IFERROR(__xludf.DUMMYFUNCTION("""COMPUTED_VALUE"""),"")</f>
        <v/>
      </c>
      <c r="P2215" s="35" t="str">
        <f>IFERROR(__xludf.DUMMYFUNCTION("""COMPUTED_VALUE"""),"")</f>
        <v/>
      </c>
      <c r="Q2215" s="16" t="str">
        <f>IFERROR(__xludf.DUMMYFUNCTION("""COMPUTED_VALUE"""),"")</f>
        <v/>
      </c>
      <c r="R2215" s="19" t="str">
        <f>IFERROR(__xludf.DUMMYFUNCTION("""COMPUTED_VALUE"""),"ISLAM")</f>
        <v>ISLAM</v>
      </c>
      <c r="S2215" s="16" t="str">
        <f>IFERROR(__xludf.DUMMYFUNCTION("""COMPUTED_VALUE"""),"SWASTA")</f>
        <v>SWASTA</v>
      </c>
      <c r="T2215" s="16" t="str">
        <f>IFERROR(__xludf.DUMMYFUNCTION("""COMPUTED_VALUE"""),"NYERI OTOT TANGAN")</f>
        <v>NYERI OTOT TANGAN</v>
      </c>
      <c r="U2215" s="16" t="str">
        <f>IFERROR(__xludf.DUMMYFUNCTION("""COMPUTED_VALUE"""),"BADMINTON/FUTSAL")</f>
        <v>BADMINTON/FUTSAL</v>
      </c>
      <c r="V2215" s="11" t="str">
        <f>IFERROR(__xludf.DUMMYFUNCTION("""COMPUTED_VALUE"""),"085213247556")</f>
        <v>085213247556</v>
      </c>
      <c r="W2215" s="45"/>
    </row>
    <row r="2216">
      <c r="A2216" s="45"/>
      <c r="B2216" s="24" t="str">
        <f>IFERROR(__xludf.DUMMYFUNCTION("""COMPUTED_VALUE"""),"16/02/2025 11:47:41")</f>
        <v>16/02/2025 11:47:41</v>
      </c>
      <c r="C2216" s="35"/>
      <c r="D2216" s="10">
        <f>IFERROR(__xludf.DUMMYFUNCTION("""COMPUTED_VALUE"""),45723.0)</f>
        <v>45723</v>
      </c>
      <c r="E2216" s="35" t="str">
        <f>IFERROR(__xludf.DUMMYFUNCTION("""COMPUTED_VALUE"""),"03Mar")</f>
        <v>03Mar</v>
      </c>
      <c r="F2216" s="34" t="str">
        <f>IFERROR(__xludf.DUMMYFUNCTION("""COMPUTED_VALUE"""),"2025")</f>
        <v>2025</v>
      </c>
      <c r="G2216" s="35" t="str">
        <f>IFERROR(__xludf.DUMMYFUNCTION("""COMPUTED_VALUE"""),"DIANA")</f>
        <v>DIANA</v>
      </c>
      <c r="H2216" s="35" t="str">
        <f>IFERROR(__xludf.DUMMYFUNCTION("""COMPUTED_VALUE"""),"D6925037525")</f>
        <v>D6925037525</v>
      </c>
      <c r="I2216" s="35">
        <f>IFERROR(__xludf.DUMMYFUNCTION("""COMPUTED_VALUE"""),57.0)</f>
        <v>57</v>
      </c>
      <c r="J2216" s="35" t="str">
        <f>IFERROR(__xludf.DUMMYFUNCTION("""COMPUTED_VALUE"""),"&gt; 44 tahun")</f>
        <v>&gt; 44 tahun</v>
      </c>
      <c r="K2216" s="21" t="str">
        <f>IFERROR(__xludf.DUMMYFUNCTION("""COMPUTED_VALUE"""),"01/01/1969")</f>
        <v>01/01/1969</v>
      </c>
      <c r="L2216" s="21" t="str">
        <f>IFERROR(__xludf.DUMMYFUNCTION("""COMPUTED_VALUE"""),"PEREMPUAN")</f>
        <v>PEREMPUAN</v>
      </c>
      <c r="M2216" s="35" t="str">
        <f>IFERROR(__xludf.DUMMYFUNCTION("""COMPUTED_VALUE"""),"JL. PUTRI CANDRA MIDI GG. WIJAYA NO. 7")</f>
        <v>JL. PUTRI CANDRA MIDI GG. WIJAYA NO. 7</v>
      </c>
      <c r="N2216" s="35" t="str">
        <f>IFERROR(__xludf.DUMMYFUNCTION("""COMPUTED_VALUE"""),"-")</f>
        <v>-</v>
      </c>
      <c r="O2216" s="35" t="str">
        <f>IFERROR(__xludf.DUMMYFUNCTION("""COMPUTED_VALUE"""),"-")</f>
        <v>-</v>
      </c>
      <c r="P2216" s="35" t="str">
        <f>IFERROR(__xludf.DUMMYFUNCTION("""COMPUTED_VALUE"""),"KOTA PONTIANAK")</f>
        <v>KOTA PONTIANAK</v>
      </c>
      <c r="Q2216" s="16" t="str">
        <f>IFERROR(__xludf.DUMMYFUNCTION("""COMPUTED_VALUE"""),"KALIMANTAN BARAT")</f>
        <v>KALIMANTAN BARAT</v>
      </c>
      <c r="R2216" s="21" t="str">
        <f>IFERROR(__xludf.DUMMYFUNCTION("""COMPUTED_VALUE"""),"ISLAM")</f>
        <v>ISLAM</v>
      </c>
      <c r="S2216" s="35" t="str">
        <f>IFERROR(__xludf.DUMMYFUNCTION("""COMPUTED_VALUE"""),"RUMAH TANGGA")</f>
        <v>RUMAH TANGGA</v>
      </c>
      <c r="T2216" s="35" t="str">
        <f>IFERROR(__xludf.DUMMYFUNCTION("""COMPUTED_VALUE"""),"BAHU DAN KAKI")</f>
        <v>BAHU DAN KAKI</v>
      </c>
      <c r="U2216" s="35" t="str">
        <f>IFERROR(__xludf.DUMMYFUNCTION("""COMPUTED_VALUE"""),"-")</f>
        <v>-</v>
      </c>
      <c r="V2216" s="37" t="str">
        <f>IFERROR(__xludf.DUMMYFUNCTION("""COMPUTED_VALUE"""),"08115777525")</f>
        <v>08115777525</v>
      </c>
      <c r="W2216" s="45"/>
    </row>
    <row r="2217">
      <c r="A2217" s="45"/>
      <c r="B2217" s="24" t="str">
        <f>IFERROR(__xludf.DUMMYFUNCTION("""COMPUTED_VALUE"""),"16/02/2025 21:05:41")</f>
        <v>16/02/2025 21:05:41</v>
      </c>
      <c r="C2217" s="35"/>
      <c r="D2217" s="10">
        <f>IFERROR(__xludf.DUMMYFUNCTION("""COMPUTED_VALUE"""),45724.0)</f>
        <v>45724</v>
      </c>
      <c r="E2217" s="35" t="str">
        <f>IFERROR(__xludf.DUMMYFUNCTION("""COMPUTED_VALUE"""),"03Mar")</f>
        <v>03Mar</v>
      </c>
      <c r="F2217" s="34" t="str">
        <f>IFERROR(__xludf.DUMMYFUNCTION("""COMPUTED_VALUE"""),"2025")</f>
        <v>2025</v>
      </c>
      <c r="G2217" s="35" t="str">
        <f>IFERROR(__xludf.DUMMYFUNCTION("""COMPUTED_VALUE"""),"DICKY KUSUMA SAKTI")</f>
        <v>DICKY KUSUMA SAKTI</v>
      </c>
      <c r="H2217" s="35" t="str">
        <f>IFERROR(__xludf.DUMMYFUNCTION("""COMPUTED_VALUE"""),"D9525039860")</f>
        <v>D9525039860</v>
      </c>
      <c r="I2217" s="35">
        <f>IFERROR(__xludf.DUMMYFUNCTION("""COMPUTED_VALUE"""),31.0)</f>
        <v>31</v>
      </c>
      <c r="J2217" s="35" t="str">
        <f>IFERROR(__xludf.DUMMYFUNCTION("""COMPUTED_VALUE"""),"25-34 tahun")</f>
        <v>25-34 tahun</v>
      </c>
      <c r="K2217" s="21" t="str">
        <f>IFERROR(__xludf.DUMMYFUNCTION("""COMPUTED_VALUE"""),"11/01/1995")</f>
        <v>11/01/1995</v>
      </c>
      <c r="L2217" s="21" t="str">
        <f>IFERROR(__xludf.DUMMYFUNCTION("""COMPUTED_VALUE"""),"LAKI-LAKI")</f>
        <v>LAKI-LAKI</v>
      </c>
      <c r="M2217" s="35" t="str">
        <f>IFERROR(__xludf.DUMMYFUNCTION("""COMPUTED_VALUE"""),"JALAN SUNGAI RAYA DALAM VILLA KELAPA GADING PERMAI NO. B-14")</f>
        <v>JALAN SUNGAI RAYA DALAM VILLA KELAPA GADING PERMAI NO. B-14</v>
      </c>
      <c r="N2217" s="35" t="str">
        <f>IFERROR(__xludf.DUMMYFUNCTION("""COMPUTED_VALUE"""),"BANGKA BELITUNG DARAT")</f>
        <v>BANGKA BELITUNG DARAT</v>
      </c>
      <c r="O2217" s="35" t="str">
        <f>IFERROR(__xludf.DUMMYFUNCTION("""COMPUTED_VALUE"""),"PONTIANAK TENGGARA")</f>
        <v>PONTIANAK TENGGARA</v>
      </c>
      <c r="P2217" s="35" t="str">
        <f>IFERROR(__xludf.DUMMYFUNCTION("""COMPUTED_VALUE"""),"KOTA PONTIANAK")</f>
        <v>KOTA PONTIANAK</v>
      </c>
      <c r="Q2217" s="16" t="str">
        <f>IFERROR(__xludf.DUMMYFUNCTION("""COMPUTED_VALUE"""),"KALIMANTAN BARAT")</f>
        <v>KALIMANTAN BARAT</v>
      </c>
      <c r="R2217" s="21" t="str">
        <f>IFERROR(__xludf.DUMMYFUNCTION("""COMPUTED_VALUE"""),"ISLAM")</f>
        <v>ISLAM</v>
      </c>
      <c r="S2217" s="16" t="str">
        <f>IFERROR(__xludf.DUMMYFUNCTION("""COMPUTED_VALUE"""),"SWASTA")</f>
        <v>SWASTA</v>
      </c>
      <c r="T2217" s="35" t="str">
        <f>IFERROR(__xludf.DUMMYFUNCTION("""COMPUTED_VALUE"""),"SAKIT DI PUNGGUNG KE BAWAH")</f>
        <v>SAKIT DI PUNGGUNG KE BAWAH</v>
      </c>
      <c r="U2217" s="35" t="str">
        <f>IFERROR(__xludf.DUMMYFUNCTION("""COMPUTED_VALUE"""),"OLAHRAGA")</f>
        <v>OLAHRAGA</v>
      </c>
      <c r="V2217" s="37" t="str">
        <f>IFERROR(__xludf.DUMMYFUNCTION("""COMPUTED_VALUE"""),"085391779860")</f>
        <v>085391779860</v>
      </c>
      <c r="W2217" s="45"/>
    </row>
    <row r="2218">
      <c r="A2218" s="45"/>
      <c r="B2218" s="24" t="str">
        <f>IFERROR(__xludf.DUMMYFUNCTION("""COMPUTED_VALUE"""),"17/02/2025 8:03:31")</f>
        <v>17/02/2025 8:03:31</v>
      </c>
      <c r="C2218" s="35"/>
      <c r="D2218" s="10">
        <f>IFERROR(__xludf.DUMMYFUNCTION("""COMPUTED_VALUE"""),45724.0)</f>
        <v>45724</v>
      </c>
      <c r="E2218" s="35" t="str">
        <f>IFERROR(__xludf.DUMMYFUNCTION("""COMPUTED_VALUE"""),"03Mar")</f>
        <v>03Mar</v>
      </c>
      <c r="F2218" s="34" t="str">
        <f>IFERROR(__xludf.DUMMYFUNCTION("""COMPUTED_VALUE"""),"2025")</f>
        <v>2025</v>
      </c>
      <c r="G2218" s="35" t="str">
        <f>IFERROR(__xludf.DUMMYFUNCTION("""COMPUTED_VALUE"""),"ELMON UTOMO")</f>
        <v>ELMON UTOMO</v>
      </c>
      <c r="H2218" s="35" t="str">
        <f>IFERROR(__xludf.DUMMYFUNCTION("""COMPUTED_VALUE"""),"E8825039292")</f>
        <v>E8825039292</v>
      </c>
      <c r="I2218" s="35">
        <f>IFERROR(__xludf.DUMMYFUNCTION("""COMPUTED_VALUE"""),37.0)</f>
        <v>37</v>
      </c>
      <c r="J2218" s="35" t="str">
        <f>IFERROR(__xludf.DUMMYFUNCTION("""COMPUTED_VALUE"""),"35-44 tahun")</f>
        <v>35-44 tahun</v>
      </c>
      <c r="K2218" s="21" t="str">
        <f>IFERROR(__xludf.DUMMYFUNCTION("""COMPUTED_VALUE"""),"23/07/1988")</f>
        <v>23/07/1988</v>
      </c>
      <c r="L2218" s="21" t="str">
        <f>IFERROR(__xludf.DUMMYFUNCTION("""COMPUTED_VALUE"""),"LAKI-LAKI")</f>
        <v>LAKI-LAKI</v>
      </c>
      <c r="M2218" s="35" t="str">
        <f>IFERROR(__xludf.DUMMYFUNCTION("""COMPUTED_VALUE"""),"6171012307880006")</f>
        <v>6171012307880006</v>
      </c>
      <c r="N2218" s="35" t="str">
        <f>IFERROR(__xludf.DUMMYFUNCTION("""COMPUTED_VALUE"""),"AKCAYA")</f>
        <v>AKCAYA</v>
      </c>
      <c r="O2218" s="35" t="str">
        <f>IFERROR(__xludf.DUMMYFUNCTION("""COMPUTED_VALUE"""),"PONTIANAK SELATAN")</f>
        <v>PONTIANAK SELATAN</v>
      </c>
      <c r="P2218" s="35" t="str">
        <f>IFERROR(__xludf.DUMMYFUNCTION("""COMPUTED_VALUE"""),"PONTIANAK")</f>
        <v>PONTIANAK</v>
      </c>
      <c r="Q2218" s="16" t="str">
        <f>IFERROR(__xludf.DUMMYFUNCTION("""COMPUTED_VALUE"""),"KALIMANTAN BARAT")</f>
        <v>KALIMANTAN BARAT</v>
      </c>
      <c r="R2218" s="21" t="str">
        <f>IFERROR(__xludf.DUMMYFUNCTION("""COMPUTED_VALUE"""),"KATOLIK")</f>
        <v>KATOLIK</v>
      </c>
      <c r="S2218" s="35" t="str">
        <f>IFERROR(__xludf.DUMMYFUNCTION("""COMPUTED_VALUE"""),"KARYAWAN SWASTA")</f>
        <v>KARYAWAN SWASTA</v>
      </c>
      <c r="T2218" s="35" t="str">
        <f>IFERROR(__xludf.DUMMYFUNCTION("""COMPUTED_VALUE"""),"RUPTURE PATTELAR TENDON")</f>
        <v>RUPTURE PATTELAR TENDON</v>
      </c>
      <c r="U2218" s="35" t="str">
        <f>IFERROR(__xludf.DUMMYFUNCTION("""COMPUTED_VALUE"""),"BASKET")</f>
        <v>BASKET</v>
      </c>
      <c r="V2218" s="37" t="str">
        <f>IFERROR(__xludf.DUMMYFUNCTION("""COMPUTED_VALUE"""),"081284849292")</f>
        <v>081284849292</v>
      </c>
      <c r="W2218" s="45"/>
    </row>
    <row r="2219">
      <c r="A2219" s="45"/>
      <c r="B2219" s="24" t="str">
        <f>IFERROR(__xludf.DUMMYFUNCTION("""COMPUTED_VALUE"""),"17/02/2025 10:23:36")</f>
        <v>17/02/2025 10:23:36</v>
      </c>
      <c r="C2219" s="35"/>
      <c r="D2219" s="10">
        <f>IFERROR(__xludf.DUMMYFUNCTION("""COMPUTED_VALUE"""),45724.0)</f>
        <v>45724</v>
      </c>
      <c r="E2219" s="35" t="str">
        <f>IFERROR(__xludf.DUMMYFUNCTION("""COMPUTED_VALUE"""),"03Mar")</f>
        <v>03Mar</v>
      </c>
      <c r="F2219" s="34" t="str">
        <f>IFERROR(__xludf.DUMMYFUNCTION("""COMPUTED_VALUE"""),"2025")</f>
        <v>2025</v>
      </c>
      <c r="G2219" s="35" t="str">
        <f>IFERROR(__xludf.DUMMYFUNCTION("""COMPUTED_VALUE"""),"TERA VICIANI")</f>
        <v>TERA VICIANI</v>
      </c>
      <c r="H2219" s="35" t="str">
        <f>IFERROR(__xludf.DUMMYFUNCTION("""COMPUTED_VALUE"""),"T8825037433")</f>
        <v>T8825037433</v>
      </c>
      <c r="I2219" s="35">
        <f>IFERROR(__xludf.DUMMYFUNCTION("""COMPUTED_VALUE"""),37.0)</f>
        <v>37</v>
      </c>
      <c r="J2219" s="35" t="str">
        <f>IFERROR(__xludf.DUMMYFUNCTION("""COMPUTED_VALUE"""),"35-44 tahun")</f>
        <v>35-44 tahun</v>
      </c>
      <c r="K2219" s="21" t="str">
        <f>IFERROR(__xludf.DUMMYFUNCTION("""COMPUTED_VALUE"""),"16/12/1988")</f>
        <v>16/12/1988</v>
      </c>
      <c r="L2219" s="21" t="str">
        <f>IFERROR(__xludf.DUMMYFUNCTION("""COMPUTED_VALUE"""),"PEREMPUAN")</f>
        <v>PEREMPUAN</v>
      </c>
      <c r="M2219" s="35" t="str">
        <f>IFERROR(__xludf.DUMMYFUNCTION("""COMPUTED_VALUE"""),"JALAN DANAU SENTARUM GANG WONOSOBO KOMP WONOASRI")</f>
        <v>JALAN DANAU SENTARUM GANG WONOSOBO KOMP WONOASRI</v>
      </c>
      <c r="N2219" s="35" t="str">
        <f>IFERROR(__xludf.DUMMYFUNCTION("""COMPUTED_VALUE"""),"SUNGAI JAWI")</f>
        <v>SUNGAI JAWI</v>
      </c>
      <c r="O2219" s="35" t="str">
        <f>IFERROR(__xludf.DUMMYFUNCTION("""COMPUTED_VALUE"""),"PONTIANAK KOTA")</f>
        <v>PONTIANAK KOTA</v>
      </c>
      <c r="P2219" s="35" t="str">
        <f>IFERROR(__xludf.DUMMYFUNCTION("""COMPUTED_VALUE"""),"PONTIANAK")</f>
        <v>PONTIANAK</v>
      </c>
      <c r="Q2219" s="16" t="str">
        <f>IFERROR(__xludf.DUMMYFUNCTION("""COMPUTED_VALUE"""),"KALIMANTAN BARAT")</f>
        <v>KALIMANTAN BARAT</v>
      </c>
      <c r="R2219" s="21" t="str">
        <f>IFERROR(__xludf.DUMMYFUNCTION("""COMPUTED_VALUE"""),"ISLAM")</f>
        <v>ISLAM</v>
      </c>
      <c r="S2219" s="35" t="str">
        <f>IFERROR(__xludf.DUMMYFUNCTION("""COMPUTED_VALUE"""),"PNS")</f>
        <v>PNS</v>
      </c>
      <c r="T2219" s="35" t="str">
        <f>IFERROR(__xludf.DUMMYFUNCTION("""COMPUTED_VALUE"""),"NYERI PERGELANGAN TANGAN DAN TELAPAK KAKI")</f>
        <v>NYERI PERGELANGAN TANGAN DAN TELAPAK KAKI</v>
      </c>
      <c r="U2219" s="35" t="str">
        <f>IFERROR(__xludf.DUMMYFUNCTION("""COMPUTED_VALUE"""),"NAIK SEPEDA MOTOR")</f>
        <v>NAIK SEPEDA MOTOR</v>
      </c>
      <c r="V2219" s="37" t="str">
        <f>IFERROR(__xludf.DUMMYFUNCTION("""COMPUTED_VALUE"""),"082152477433")</f>
        <v>082152477433</v>
      </c>
      <c r="W2219" s="45"/>
    </row>
    <row r="2220">
      <c r="A2220" s="45"/>
      <c r="B2220" s="24" t="str">
        <f>IFERROR(__xludf.DUMMYFUNCTION("""COMPUTED_VALUE"""),"17/02/2025 8:24:47")</f>
        <v>17/02/2025 8:24:47</v>
      </c>
      <c r="C2220" s="35"/>
      <c r="D2220" s="10">
        <f>IFERROR(__xludf.DUMMYFUNCTION("""COMPUTED_VALUE"""),45724.0)</f>
        <v>45724</v>
      </c>
      <c r="E2220" s="35" t="str">
        <f>IFERROR(__xludf.DUMMYFUNCTION("""COMPUTED_VALUE"""),"03Mar")</f>
        <v>03Mar</v>
      </c>
      <c r="F2220" s="34" t="str">
        <f>IFERROR(__xludf.DUMMYFUNCTION("""COMPUTED_VALUE"""),"2025")</f>
        <v>2025</v>
      </c>
      <c r="G2220" s="16" t="str">
        <f>IFERROR(__xludf.DUMMYFUNCTION("""COMPUTED_VALUE"""),"ABROORZA AHMAD YUSRA")</f>
        <v>ABROORZA AHMAD YUSRA</v>
      </c>
      <c r="H2220" s="35" t="str">
        <f>IFERROR(__xludf.DUMMYFUNCTION("""COMPUTED_VALUE"""),"A8725031614")</f>
        <v>A8725031614</v>
      </c>
      <c r="I2220" s="35">
        <f>IFERROR(__xludf.DUMMYFUNCTION("""COMPUTED_VALUE"""),39.0)</f>
        <v>39</v>
      </c>
      <c r="J2220" s="35" t="str">
        <f>IFERROR(__xludf.DUMMYFUNCTION("""COMPUTED_VALUE"""),"35-44 tahun")</f>
        <v>35-44 tahun</v>
      </c>
      <c r="K2220" s="44" t="str">
        <f>IFERROR(__xludf.DUMMYFUNCTION("""COMPUTED_VALUE"""),"03/01/1987")</f>
        <v>03/01/1987</v>
      </c>
      <c r="L2220" s="19" t="str">
        <f>IFERROR(__xludf.DUMMYFUNCTION("""COMPUTED_VALUE"""),"LAKI-LAKI")</f>
        <v>LAKI-LAKI</v>
      </c>
      <c r="M2220" s="16" t="str">
        <f>IFERROR(__xludf.DUMMYFUNCTION("""COMPUTED_VALUE"""),"JLN. NYIUR GADING BTN AGUNG LESTARI BLOK B NO 22")</f>
        <v>JLN. NYIUR GADING BTN AGUNG LESTARI BLOK B NO 22</v>
      </c>
      <c r="N2220" s="16" t="str">
        <f>IFERROR(__xludf.DUMMYFUNCTION("""COMPUTED_VALUE"""),"SEI WIE")</f>
        <v>SEI WIE</v>
      </c>
      <c r="O2220" s="16" t="str">
        <f>IFERROR(__xludf.DUMMYFUNCTION("""COMPUTED_VALUE"""),"SINGKAWANG TENGAH")</f>
        <v>SINGKAWANG TENGAH</v>
      </c>
      <c r="P2220" s="35" t="str">
        <f>IFERROR(__xludf.DUMMYFUNCTION("""COMPUTED_VALUE"""),"SINGKAWANG")</f>
        <v>SINGKAWANG</v>
      </c>
      <c r="Q2220" s="16" t="str">
        <f>IFERROR(__xludf.DUMMYFUNCTION("""COMPUTED_VALUE"""),"KALIMANTAN BARAT")</f>
        <v>KALIMANTAN BARAT</v>
      </c>
      <c r="R2220" s="19" t="str">
        <f>IFERROR(__xludf.DUMMYFUNCTION("""COMPUTED_VALUE"""),"ISLAM")</f>
        <v>ISLAM</v>
      </c>
      <c r="S2220" s="16" t="str">
        <f>IFERROR(__xludf.DUMMYFUNCTION("""COMPUTED_VALUE"""),"SWASTA")</f>
        <v>SWASTA</v>
      </c>
      <c r="T2220" s="16" t="str">
        <f>IFERROR(__xludf.DUMMYFUNCTION("""COMPUTED_VALUE"""),"ANGKLE KAKI KANAN DAN SIKUT TANGAN KANAN")</f>
        <v>ANGKLE KAKI KANAN DAN SIKUT TANGAN KANAN</v>
      </c>
      <c r="U2220" s="35" t="str">
        <f>IFERROR(__xludf.DUMMYFUNCTION("""COMPUTED_VALUE"""),"SEPAKBOLA, WILDLIFE WORK")</f>
        <v>SEPAKBOLA, WILDLIFE WORK</v>
      </c>
      <c r="V2220" s="37" t="str">
        <f>IFERROR(__xludf.DUMMYFUNCTION("""COMPUTED_VALUE"""),"085722941614")</f>
        <v>085722941614</v>
      </c>
      <c r="W2220" s="45"/>
    </row>
    <row r="2221">
      <c r="A2221" s="45"/>
      <c r="B2221" s="35"/>
      <c r="C2221" s="35"/>
      <c r="D2221" s="10">
        <f>IFERROR(__xludf.DUMMYFUNCTION("""COMPUTED_VALUE"""),45725.0)</f>
        <v>45725</v>
      </c>
      <c r="E2221" s="35" t="str">
        <f>IFERROR(__xludf.DUMMYFUNCTION("""COMPUTED_VALUE"""),"03Mar")</f>
        <v>03Mar</v>
      </c>
      <c r="F2221" s="34" t="str">
        <f>IFERROR(__xludf.DUMMYFUNCTION("""COMPUTED_VALUE"""),"2025")</f>
        <v>2025</v>
      </c>
      <c r="G2221" s="35" t="str">
        <f>IFERROR(__xludf.DUMMYFUNCTION("""COMPUTED_VALUE"""),"RENNY MARYUNI")</f>
        <v>RENNY MARYUNI</v>
      </c>
      <c r="H2221" s="35" t="str">
        <f>IFERROR(__xludf.DUMMYFUNCTION("""COMPUTED_VALUE"""),"R7625034547")</f>
        <v>R7625034547</v>
      </c>
      <c r="I2221" s="35">
        <f>IFERROR(__xludf.DUMMYFUNCTION("""COMPUTED_VALUE"""),50.0)</f>
        <v>50</v>
      </c>
      <c r="J2221" s="35" t="str">
        <f>IFERROR(__xludf.DUMMYFUNCTION("""COMPUTED_VALUE"""),"&gt; 44 tahun")</f>
        <v>&gt; 44 tahun</v>
      </c>
      <c r="K2221" s="21" t="str">
        <f>IFERROR(__xludf.DUMMYFUNCTION("""COMPUTED_VALUE"""),"02/03/1976")</f>
        <v>02/03/1976</v>
      </c>
      <c r="L2221" s="21" t="str">
        <f>IFERROR(__xludf.DUMMYFUNCTION("""COMPUTED_VALUE"""),"PEREMPUAN")</f>
        <v>PEREMPUAN</v>
      </c>
      <c r="M2221" s="35" t="str">
        <f>IFERROR(__xludf.DUMMYFUNCTION("""COMPUTED_VALUE"""),"JALAN P. H. HUSIN 2 KOMPLEK PARIS ROYAL RESIDANCE D3A")</f>
        <v>JALAN P. H. HUSIN 2 KOMPLEK PARIS ROYAL RESIDANCE D3A</v>
      </c>
      <c r="N2221" s="35" t="str">
        <f>IFERROR(__xludf.DUMMYFUNCTION("""COMPUTED_VALUE"""),"BANGKA BELITUNG DARAT")</f>
        <v>BANGKA BELITUNG DARAT</v>
      </c>
      <c r="O2221" s="35" t="str">
        <f>IFERROR(__xludf.DUMMYFUNCTION("""COMPUTED_VALUE"""),"PONTIANAK TENGGARA")</f>
        <v>PONTIANAK TENGGARA</v>
      </c>
      <c r="P2221" s="35" t="str">
        <f>IFERROR(__xludf.DUMMYFUNCTION("""COMPUTED_VALUE"""),"PONTIANAK")</f>
        <v>PONTIANAK</v>
      </c>
      <c r="Q2221" s="35" t="str">
        <f>IFERROR(__xludf.DUMMYFUNCTION("""COMPUTED_VALUE"""),"KALIMANTAN BARAT")</f>
        <v>KALIMANTAN BARAT</v>
      </c>
      <c r="R2221" s="21" t="str">
        <f>IFERROR(__xludf.DUMMYFUNCTION("""COMPUTED_VALUE"""),"ISLAM")</f>
        <v>ISLAM</v>
      </c>
      <c r="S2221" s="35" t="str">
        <f>IFERROR(__xludf.DUMMYFUNCTION("""COMPUTED_VALUE"""),"IRT")</f>
        <v>IRT</v>
      </c>
      <c r="T2221" s="35" t="str">
        <f>IFERROR(__xludf.DUMMYFUNCTION("""COMPUTED_VALUE"""),"SAKIT TANGAN BAGIAN SIKU KEBAWAH")</f>
        <v>SAKIT TANGAN BAGIAN SIKU KEBAWAH</v>
      </c>
      <c r="U2221" s="35" t="str">
        <f>IFERROR(__xludf.DUMMYFUNCTION("""COMPUTED_VALUE"""),"BULUTANGKIS")</f>
        <v>BULUTANGKIS</v>
      </c>
      <c r="V2221" s="37" t="str">
        <f>IFERROR(__xludf.DUMMYFUNCTION("""COMPUTED_VALUE"""),"08125644547")</f>
        <v>08125644547</v>
      </c>
      <c r="W2221" s="45"/>
    </row>
    <row r="2222">
      <c r="A2222" s="45"/>
      <c r="B2222" s="24" t="str">
        <f>IFERROR(__xludf.DUMMYFUNCTION("""COMPUTED_VALUE"""),"17/02/2025 11:25:57")</f>
        <v>17/02/2025 11:25:57</v>
      </c>
      <c r="C2222" s="35"/>
      <c r="D2222" s="10">
        <f>IFERROR(__xludf.DUMMYFUNCTION("""COMPUTED_VALUE"""),45725.0)</f>
        <v>45725</v>
      </c>
      <c r="E2222" s="35" t="str">
        <f>IFERROR(__xludf.DUMMYFUNCTION("""COMPUTED_VALUE"""),"03Mar")</f>
        <v>03Mar</v>
      </c>
      <c r="F2222" s="34" t="str">
        <f>IFERROR(__xludf.DUMMYFUNCTION("""COMPUTED_VALUE"""),"2025")</f>
        <v>2025</v>
      </c>
      <c r="G2222" s="35" t="str">
        <f>IFERROR(__xludf.DUMMYFUNCTION("""COMPUTED_VALUE"""),"WAHYU TITIANTO NUGROHO")</f>
        <v>WAHYU TITIANTO NUGROHO</v>
      </c>
      <c r="H2222" s="35" t="str">
        <f>IFERROR(__xludf.DUMMYFUNCTION("""COMPUTED_VALUE"""),"W9225037286")</f>
        <v>W9225037286</v>
      </c>
      <c r="I2222" s="35">
        <f>IFERROR(__xludf.DUMMYFUNCTION("""COMPUTED_VALUE"""),34.0)</f>
        <v>34</v>
      </c>
      <c r="J2222" s="35" t="str">
        <f>IFERROR(__xludf.DUMMYFUNCTION("""COMPUTED_VALUE"""),"25-34 tahun")</f>
        <v>25-34 tahun</v>
      </c>
      <c r="K2222" s="21" t="str">
        <f>IFERROR(__xludf.DUMMYFUNCTION("""COMPUTED_VALUE"""),"31/05/1992")</f>
        <v>31/05/1992</v>
      </c>
      <c r="L2222" s="21" t="str">
        <f>IFERROR(__xludf.DUMMYFUNCTION("""COMPUTED_VALUE"""),"LAKI-LAKI")</f>
        <v>LAKI-LAKI</v>
      </c>
      <c r="M2222" s="35" t="str">
        <f>IFERROR(__xludf.DUMMYFUNCTION("""COMPUTED_VALUE"""),"GG SWAKARYA 2 NO 05")</f>
        <v>GG SWAKARYA 2 NO 05</v>
      </c>
      <c r="N2222" s="35" t="str">
        <f>IFERROR(__xludf.DUMMYFUNCTION("""COMPUTED_VALUE"""),"KOTA BARU")</f>
        <v>KOTA BARU</v>
      </c>
      <c r="O2222" s="35" t="str">
        <f>IFERROR(__xludf.DUMMYFUNCTION("""COMPUTED_VALUE"""),"PONTIANAK KOTA")</f>
        <v>PONTIANAK KOTA</v>
      </c>
      <c r="P2222" s="35" t="str">
        <f>IFERROR(__xludf.DUMMYFUNCTION("""COMPUTED_VALUE"""),"PONTIANAK")</f>
        <v>PONTIANAK</v>
      </c>
      <c r="Q2222" s="35" t="str">
        <f>IFERROR(__xludf.DUMMYFUNCTION("""COMPUTED_VALUE"""),"KAL BAR")</f>
        <v>KAL BAR</v>
      </c>
      <c r="R2222" s="21" t="str">
        <f>IFERROR(__xludf.DUMMYFUNCTION("""COMPUTED_VALUE"""),"ISLAM")</f>
        <v>ISLAM</v>
      </c>
      <c r="S2222" s="35" t="str">
        <f>IFERROR(__xludf.DUMMYFUNCTION("""COMPUTED_VALUE"""),"GURU NGAJI KAMPUNG")</f>
        <v>GURU NGAJI KAMPUNG</v>
      </c>
      <c r="T2222" s="35" t="str">
        <f>IFERROR(__xludf.DUMMYFUNCTION("""COMPUTED_VALUE"""),"CIDERA LUTUT , SAKIT KETIKA DUDUK BERSILA DAN BEBERAPA KEADAAN")</f>
        <v>CIDERA LUTUT , SAKIT KETIKA DUDUK BERSILA DAN BEBERAPA KEADAAN</v>
      </c>
      <c r="U2222" s="35" t="str">
        <f>IFERROR(__xludf.DUMMYFUNCTION("""COMPUTED_VALUE"""),"FUTSAL")</f>
        <v>FUTSAL</v>
      </c>
      <c r="V2222" s="37" t="str">
        <f>IFERROR(__xludf.DUMMYFUNCTION("""COMPUTED_VALUE"""),"089610887286")</f>
        <v>089610887286</v>
      </c>
      <c r="W2222" s="45"/>
    </row>
    <row r="2223">
      <c r="A2223" s="45"/>
      <c r="B2223" s="9" t="str">
        <f>IFERROR(__xludf.DUMMYFUNCTION("""COMPUTED_VALUE"""),"17/02/2025 11:43:09")</f>
        <v>17/02/2025 11:43:09</v>
      </c>
      <c r="C2223" s="35"/>
      <c r="D2223" s="10">
        <f>IFERROR(__xludf.DUMMYFUNCTION("""COMPUTED_VALUE"""),45726.0)</f>
        <v>45726</v>
      </c>
      <c r="E2223" s="35" t="str">
        <f>IFERROR(__xludf.DUMMYFUNCTION("""COMPUTED_VALUE"""),"03Mar")</f>
        <v>03Mar</v>
      </c>
      <c r="F2223" s="34" t="str">
        <f>IFERROR(__xludf.DUMMYFUNCTION("""COMPUTED_VALUE"""),"2025")</f>
        <v>2025</v>
      </c>
      <c r="G2223" s="16" t="str">
        <f>IFERROR(__xludf.DUMMYFUNCTION("""COMPUTED_VALUE"""),"SYALSABILLA FARWA")</f>
        <v>SYALSABILLA FARWA</v>
      </c>
      <c r="H2223" s="35" t="str">
        <f>IFERROR(__xludf.DUMMYFUNCTION("""COMPUTED_VALUE"""),"S0225036749")</f>
        <v>S0225036749</v>
      </c>
      <c r="I2223" s="35">
        <f>IFERROR(__xludf.DUMMYFUNCTION("""COMPUTED_VALUE"""),24.0)</f>
        <v>24</v>
      </c>
      <c r="J2223" s="35" t="str">
        <f>IFERROR(__xludf.DUMMYFUNCTION("""COMPUTED_VALUE"""),"18-24 tahun")</f>
        <v>18-24 tahun</v>
      </c>
      <c r="K2223" s="19" t="str">
        <f>IFERROR(__xludf.DUMMYFUNCTION("""COMPUTED_VALUE"""),"19/03/2002")</f>
        <v>19/03/2002</v>
      </c>
      <c r="L2223" s="19" t="str">
        <f>IFERROR(__xludf.DUMMYFUNCTION("""COMPUTED_VALUE"""),"PEREMPUAN")</f>
        <v>PEREMPUAN</v>
      </c>
      <c r="M2223" s="16" t="str">
        <f>IFERROR(__xludf.DUMMYFUNCTION("""COMPUTED_VALUE"""),"JL. HUSIN HAMZAH GG MELDA NO 3")</f>
        <v>JL. HUSIN HAMZAH GG MELDA NO 3</v>
      </c>
      <c r="N2223" s="16" t="str">
        <f>IFERROR(__xludf.DUMMYFUNCTION("""COMPUTED_VALUE"""),"SUNGAI JAWI DALAM")</f>
        <v>SUNGAI JAWI DALAM</v>
      </c>
      <c r="O2223" s="16" t="str">
        <f>IFERROR(__xludf.DUMMYFUNCTION("""COMPUTED_VALUE"""),"PONTIANAK BARAT")</f>
        <v>PONTIANAK BARAT</v>
      </c>
      <c r="P2223" s="16" t="str">
        <f>IFERROR(__xludf.DUMMYFUNCTION("""COMPUTED_VALUE"""),"KOTA PONTIANAK")</f>
        <v>KOTA PONTIANAK</v>
      </c>
      <c r="Q2223" s="16" t="str">
        <f>IFERROR(__xludf.DUMMYFUNCTION("""COMPUTED_VALUE"""),"KALIMANTAN BARAT")</f>
        <v>KALIMANTAN BARAT</v>
      </c>
      <c r="R2223" s="19" t="str">
        <f>IFERROR(__xludf.DUMMYFUNCTION("""COMPUTED_VALUE"""),"ISLAM")</f>
        <v>ISLAM</v>
      </c>
      <c r="S2223" s="16" t="str">
        <f>IFERROR(__xludf.DUMMYFUNCTION("""COMPUTED_VALUE"""),"ANALIS KESEHATAN")</f>
        <v>ANALIS KESEHATAN</v>
      </c>
      <c r="T2223" s="16" t="str">
        <f>IFERROR(__xludf.DUMMYFUNCTION("""COMPUTED_VALUE"""),"BENGKAK DI LUTUT DAN ANKLE")</f>
        <v>BENGKAK DI LUTUT DAN ANKLE</v>
      </c>
      <c r="U2223" s="16" t="str">
        <f>IFERROR(__xludf.DUMMYFUNCTION("""COMPUTED_VALUE"""),"ANGKLE SUKA DIBUNYIKAN")</f>
        <v>ANGKLE SUKA DIBUNYIKAN</v>
      </c>
      <c r="V2223" s="11" t="str">
        <f>IFERROR(__xludf.DUMMYFUNCTION("""COMPUTED_VALUE"""),"089639676749")</f>
        <v>089639676749</v>
      </c>
      <c r="W2223" s="45"/>
    </row>
    <row r="2224">
      <c r="A2224" s="45"/>
      <c r="B2224" s="9" t="str">
        <f>IFERROR(__xludf.DUMMYFUNCTION("""COMPUTED_VALUE"""),"18/02/2025 22:24:29")</f>
        <v>18/02/2025 22:24:29</v>
      </c>
      <c r="C2224" s="35"/>
      <c r="D2224" s="10">
        <f>IFERROR(__xludf.DUMMYFUNCTION("""COMPUTED_VALUE"""),45726.0)</f>
        <v>45726</v>
      </c>
      <c r="E2224" s="35" t="str">
        <f>IFERROR(__xludf.DUMMYFUNCTION("""COMPUTED_VALUE"""),"03Mar")</f>
        <v>03Mar</v>
      </c>
      <c r="F2224" s="34" t="str">
        <f>IFERROR(__xludf.DUMMYFUNCTION("""COMPUTED_VALUE"""),"2025")</f>
        <v>2025</v>
      </c>
      <c r="G2224" s="16" t="str">
        <f>IFERROR(__xludf.DUMMYFUNCTION("""COMPUTED_VALUE"""),"DEWI RAHMI SALSABILLA CAHYANTO")</f>
        <v>DEWI RAHMI SALSABILLA CAHYANTO</v>
      </c>
      <c r="H2224" s="35" t="str">
        <f>IFERROR(__xludf.DUMMYFUNCTION("""COMPUTED_VALUE"""),"D0025032820")</f>
        <v>D0025032820</v>
      </c>
      <c r="I2224" s="35">
        <f>IFERROR(__xludf.DUMMYFUNCTION("""COMPUTED_VALUE"""),25.0)</f>
        <v>25</v>
      </c>
      <c r="J2224" s="35" t="str">
        <f>IFERROR(__xludf.DUMMYFUNCTION("""COMPUTED_VALUE"""),"25-34 tahun")</f>
        <v>25-34 tahun</v>
      </c>
      <c r="K2224" s="19" t="str">
        <f>IFERROR(__xludf.DUMMYFUNCTION("""COMPUTED_VALUE"""),"27/07/2000")</f>
        <v>27/07/2000</v>
      </c>
      <c r="L2224" s="19" t="str">
        <f>IFERROR(__xludf.DUMMYFUNCTION("""COMPUTED_VALUE"""),"PEREMPUAN")</f>
        <v>PEREMPUAN</v>
      </c>
      <c r="M2224" s="16" t="str">
        <f>IFERROR(__xludf.DUMMYFUNCTION("""COMPUTED_VALUE"""),"JL. SRIKAYA NO 28")</f>
        <v>JL. SRIKAYA NO 28</v>
      </c>
      <c r="N2224" s="16" t="str">
        <f>IFERROR(__xludf.DUMMYFUNCTION("""COMPUTED_VALUE"""),"SUNGAI JAWI LUAR")</f>
        <v>SUNGAI JAWI LUAR</v>
      </c>
      <c r="O2224" s="16" t="str">
        <f>IFERROR(__xludf.DUMMYFUNCTION("""COMPUTED_VALUE"""),"PONTIANAK BARAT")</f>
        <v>PONTIANAK BARAT</v>
      </c>
      <c r="P2224" s="16" t="str">
        <f>IFERROR(__xludf.DUMMYFUNCTION("""COMPUTED_VALUE"""),"KOTA PONTIANAK")</f>
        <v>KOTA PONTIANAK</v>
      </c>
      <c r="Q2224" s="16" t="str">
        <f>IFERROR(__xludf.DUMMYFUNCTION("""COMPUTED_VALUE"""),"KALIMANTAN BARAT")</f>
        <v>KALIMANTAN BARAT</v>
      </c>
      <c r="R2224" s="19" t="str">
        <f>IFERROR(__xludf.DUMMYFUNCTION("""COMPUTED_VALUE"""),"ISLAM")</f>
        <v>ISLAM</v>
      </c>
      <c r="S2224" s="16" t="str">
        <f>IFERROR(__xludf.DUMMYFUNCTION("""COMPUTED_VALUE"""),"KARYAWAN SWASTA")</f>
        <v>KARYAWAN SWASTA</v>
      </c>
      <c r="T2224" s="16" t="str">
        <f>IFERROR(__xludf.DUMMYFUNCTION("""COMPUTED_VALUE"""),"SAKIT (TUMPUL) PINGGANG BAGIAN BAWAH SEBELAH KIRI")</f>
        <v>SAKIT (TUMPUL) PINGGANG BAGIAN BAWAH SEBELAH KIRI</v>
      </c>
      <c r="U2224" s="16" t="str">
        <f>IFERROR(__xludf.DUMMYFUNCTION("""COMPUTED_VALUE"""),"DUDUK DALAM WAKTU LAMA, YOGA")</f>
        <v>DUDUK DALAM WAKTU LAMA, YOGA</v>
      </c>
      <c r="V2224" s="11" t="str">
        <f>IFERROR(__xludf.DUMMYFUNCTION("""COMPUTED_VALUE"""),"082256122820")</f>
        <v>082256122820</v>
      </c>
      <c r="W2224" s="45"/>
    </row>
    <row r="2225">
      <c r="A2225" s="45"/>
      <c r="B2225" s="24" t="str">
        <f>IFERROR(__xludf.DUMMYFUNCTION("""COMPUTED_VALUE"""),"19/02/2025 9:39:28")</f>
        <v>19/02/2025 9:39:28</v>
      </c>
      <c r="C2225" s="35"/>
      <c r="D2225" s="10">
        <f>IFERROR(__xludf.DUMMYFUNCTION("""COMPUTED_VALUE"""),45726.0)</f>
        <v>45726</v>
      </c>
      <c r="E2225" s="35" t="str">
        <f>IFERROR(__xludf.DUMMYFUNCTION("""COMPUTED_VALUE"""),"03Mar")</f>
        <v>03Mar</v>
      </c>
      <c r="F2225" s="34" t="str">
        <f>IFERROR(__xludf.DUMMYFUNCTION("""COMPUTED_VALUE"""),"2025")</f>
        <v>2025</v>
      </c>
      <c r="G2225" s="35" t="str">
        <f>IFERROR(__xludf.DUMMYFUNCTION("""COMPUTED_VALUE"""),"CELINE GUNAWAN")</f>
        <v>CELINE GUNAWAN</v>
      </c>
      <c r="H2225" s="35" t="str">
        <f>IFERROR(__xludf.DUMMYFUNCTION("""COMPUTED_VALUE"""),"C9825037715")</f>
        <v>C9825037715</v>
      </c>
      <c r="I2225" s="35">
        <f>IFERROR(__xludf.DUMMYFUNCTION("""COMPUTED_VALUE"""),28.0)</f>
        <v>28</v>
      </c>
      <c r="J2225" s="35" t="str">
        <f>IFERROR(__xludf.DUMMYFUNCTION("""COMPUTED_VALUE"""),"25-34 tahun")</f>
        <v>25-34 tahun</v>
      </c>
      <c r="K2225" s="21" t="str">
        <f>IFERROR(__xludf.DUMMYFUNCTION("""COMPUTED_VALUE"""),"15/06/1998")</f>
        <v>15/06/1998</v>
      </c>
      <c r="L2225" s="21" t="str">
        <f>IFERROR(__xludf.DUMMYFUNCTION("""COMPUTED_VALUE"""),"PEREMPUAN")</f>
        <v>PEREMPUAN</v>
      </c>
      <c r="M2225" s="35" t="str">
        <f>IFERROR(__xludf.DUMMYFUNCTION("""COMPUTED_VALUE"""),"JALAN HAJI ABAS 1 GANG KELANTAN 2 NO 118")</f>
        <v>JALAN HAJI ABAS 1 GANG KELANTAN 2 NO 118</v>
      </c>
      <c r="N2225" s="35" t="str">
        <f>IFERROR(__xludf.DUMMYFUNCTION("""COMPUTED_VALUE"""),"BENUA MELAYU DARAT")</f>
        <v>BENUA MELAYU DARAT</v>
      </c>
      <c r="O2225" s="35" t="str">
        <f>IFERROR(__xludf.DUMMYFUNCTION("""COMPUTED_VALUE"""),"PONTIANAK SELATAN")</f>
        <v>PONTIANAK SELATAN</v>
      </c>
      <c r="P2225" s="35" t="str">
        <f>IFERROR(__xludf.DUMMYFUNCTION("""COMPUTED_VALUE"""),"KOTA PONTIANAK")</f>
        <v>KOTA PONTIANAK</v>
      </c>
      <c r="Q2225" s="35" t="str">
        <f>IFERROR(__xludf.DUMMYFUNCTION("""COMPUTED_VALUE"""),"KALIMANTAN BARAT")</f>
        <v>KALIMANTAN BARAT</v>
      </c>
      <c r="R2225" s="21" t="str">
        <f>IFERROR(__xludf.DUMMYFUNCTION("""COMPUTED_VALUE"""),"PROTESTAN")</f>
        <v>PROTESTAN</v>
      </c>
      <c r="S2225" s="16" t="str">
        <f>IFERROR(__xludf.DUMMYFUNCTION("""COMPUTED_VALUE"""),"WIRASWASTA")</f>
        <v>WIRASWASTA</v>
      </c>
      <c r="T2225" s="35" t="str">
        <f>IFERROR(__xludf.DUMMYFUNCTION("""COMPUTED_VALUE"""),"JATUH DRI MOTOR. LUTUT KANAN MERASA NGILU DAN BAHU SEBELAH KANAN TERASA KEBAS DAN SUSAH DINAIKKAN TGNNYA")</f>
        <v>JATUH DRI MOTOR. LUTUT KANAN MERASA NGILU DAN BAHU SEBELAH KANAN TERASA KEBAS DAN SUSAH DINAIKKAN TGNNYA</v>
      </c>
      <c r="U2225" s="35" t="str">
        <f>IFERROR(__xludf.DUMMYFUNCTION("""COMPUTED_VALUE"""),"ZUMBA")</f>
        <v>ZUMBA</v>
      </c>
      <c r="V2225" s="37" t="str">
        <f>IFERROR(__xludf.DUMMYFUNCTION("""COMPUTED_VALUE"""),"081349657715")</f>
        <v>081349657715</v>
      </c>
      <c r="W2225" s="45"/>
    </row>
    <row r="2226">
      <c r="A2226" s="45"/>
      <c r="B2226" s="24" t="str">
        <f>IFERROR(__xludf.DUMMYFUNCTION("""COMPUTED_VALUE"""),"21/02/2025 15:37:51")</f>
        <v>21/02/2025 15:37:51</v>
      </c>
      <c r="C2226" s="35"/>
      <c r="D2226" s="10">
        <f>IFERROR(__xludf.DUMMYFUNCTION("""COMPUTED_VALUE"""),45726.0)</f>
        <v>45726</v>
      </c>
      <c r="E2226" s="35" t="str">
        <f>IFERROR(__xludf.DUMMYFUNCTION("""COMPUTED_VALUE"""),"03Mar")</f>
        <v>03Mar</v>
      </c>
      <c r="F2226" s="34" t="str">
        <f>IFERROR(__xludf.DUMMYFUNCTION("""COMPUTED_VALUE"""),"2025")</f>
        <v>2025</v>
      </c>
      <c r="G2226" s="35" t="str">
        <f>IFERROR(__xludf.DUMMYFUNCTION("""COMPUTED_VALUE"""),"ABELARD CAECAR NAMASKAR")</f>
        <v>ABELARD CAECAR NAMASKAR</v>
      </c>
      <c r="H2226" s="35" t="str">
        <f>IFERROR(__xludf.DUMMYFUNCTION("""COMPUTED_VALUE"""),"A0525033158")</f>
        <v>A0525033158</v>
      </c>
      <c r="I2226" s="35">
        <f>IFERROR(__xludf.DUMMYFUNCTION("""COMPUTED_VALUE"""),20.0)</f>
        <v>20</v>
      </c>
      <c r="J2226" s="35" t="str">
        <f>IFERROR(__xludf.DUMMYFUNCTION("""COMPUTED_VALUE"""),"18-24 tahun")</f>
        <v>18-24 tahun</v>
      </c>
      <c r="K2226" s="21" t="str">
        <f>IFERROR(__xludf.DUMMYFUNCTION("""COMPUTED_VALUE"""),"23/07/2005")</f>
        <v>23/07/2005</v>
      </c>
      <c r="L2226" s="21" t="str">
        <f>IFERROR(__xludf.DUMMYFUNCTION("""COMPUTED_VALUE"""),"LAKI-LAKI")</f>
        <v>LAKI-LAKI</v>
      </c>
      <c r="M2226" s="35" t="str">
        <f>IFERROR(__xludf.DUMMYFUNCTION("""COMPUTED_VALUE"""),"JALAN DR WAHIDIN GANG SILVA JAYA NO 17")</f>
        <v>JALAN DR WAHIDIN GANG SILVA JAYA NO 17</v>
      </c>
      <c r="N2226" s="35" t="str">
        <f>IFERROR(__xludf.DUMMYFUNCTION("""COMPUTED_VALUE"""),"SUNGAI JAWI")</f>
        <v>SUNGAI JAWI</v>
      </c>
      <c r="O2226" s="35" t="str">
        <f>IFERROR(__xludf.DUMMYFUNCTION("""COMPUTED_VALUE"""),"PONTIANAK KOTA")</f>
        <v>PONTIANAK KOTA</v>
      </c>
      <c r="P2226" s="35" t="str">
        <f>IFERROR(__xludf.DUMMYFUNCTION("""COMPUTED_VALUE"""),"PONTIANAK")</f>
        <v>PONTIANAK</v>
      </c>
      <c r="Q2226" s="35" t="str">
        <f>IFERROR(__xludf.DUMMYFUNCTION("""COMPUTED_VALUE"""),"KALIMANTAN BARAT")</f>
        <v>KALIMANTAN BARAT</v>
      </c>
      <c r="R2226" s="21" t="str">
        <f>IFERROR(__xludf.DUMMYFUNCTION("""COMPUTED_VALUE"""),"KATOLIK")</f>
        <v>KATOLIK</v>
      </c>
      <c r="S2226" s="35" t="str">
        <f>IFERROR(__xludf.DUMMYFUNCTION("""COMPUTED_VALUE"""),"ASK")</f>
        <v>ASK</v>
      </c>
      <c r="T2226" s="35" t="str">
        <f>IFERROR(__xludf.DUMMYFUNCTION("""COMPUTED_VALUE"""),"NYERI DI PINGGANG BELAKANG SEBELAH KANAN")</f>
        <v>NYERI DI PINGGANG BELAKANG SEBELAH KANAN</v>
      </c>
      <c r="U2226" s="35" t="str">
        <f>IFERROR(__xludf.DUMMYFUNCTION("""COMPUTED_VALUE"""),"KERJA DI LAPANGAN")</f>
        <v>KERJA DI LAPANGAN</v>
      </c>
      <c r="V2226" s="37" t="str">
        <f>IFERROR(__xludf.DUMMYFUNCTION("""COMPUTED_VALUE"""),"088216293158")</f>
        <v>088216293158</v>
      </c>
      <c r="W2226" s="45"/>
    </row>
    <row r="2227">
      <c r="A2227" s="45"/>
      <c r="B2227" s="24" t="str">
        <f>IFERROR(__xludf.DUMMYFUNCTION("""COMPUTED_VALUE"""),"22/02/2025 21:58:46")</f>
        <v>22/02/2025 21:58:46</v>
      </c>
      <c r="C2227" s="35"/>
      <c r="D2227" s="10">
        <f>IFERROR(__xludf.DUMMYFUNCTION("""COMPUTED_VALUE"""),45726.0)</f>
        <v>45726</v>
      </c>
      <c r="E2227" s="35" t="str">
        <f>IFERROR(__xludf.DUMMYFUNCTION("""COMPUTED_VALUE"""),"03Mar")</f>
        <v>03Mar</v>
      </c>
      <c r="F2227" s="34" t="str">
        <f>IFERROR(__xludf.DUMMYFUNCTION("""COMPUTED_VALUE"""),"2025")</f>
        <v>2025</v>
      </c>
      <c r="G2227" s="35" t="str">
        <f>IFERROR(__xludf.DUMMYFUNCTION("""COMPUTED_VALUE"""),"MAHDIANA")</f>
        <v>MAHDIANA</v>
      </c>
      <c r="H2227" s="35" t="str">
        <f>IFERROR(__xludf.DUMMYFUNCTION("""COMPUTED_VALUE"""),"M7725039998")</f>
        <v>M7725039998</v>
      </c>
      <c r="I2227" s="35">
        <f>IFERROR(__xludf.DUMMYFUNCTION("""COMPUTED_VALUE"""),48.0)</f>
        <v>48</v>
      </c>
      <c r="J2227" s="35" t="str">
        <f>IFERROR(__xludf.DUMMYFUNCTION("""COMPUTED_VALUE"""),"&gt; 44 tahun")</f>
        <v>&gt; 44 tahun</v>
      </c>
      <c r="K2227" s="21">
        <f>IFERROR(__xludf.DUMMYFUNCTION("""COMPUTED_VALUE"""),28313.0)</f>
        <v>28313</v>
      </c>
      <c r="L2227" s="21" t="str">
        <f>IFERROR(__xludf.DUMMYFUNCTION("""COMPUTED_VALUE"""),"PEREMPUAN")</f>
        <v>PEREMPUAN</v>
      </c>
      <c r="M2227" s="35" t="str">
        <f>IFERROR(__xludf.DUMMYFUNCTION("""COMPUTED_VALUE"""),"JALAN HAJI ABAS 1 GANG KELANTAN 2 NO 118")</f>
        <v>JALAN HAJI ABAS 1 GANG KELANTAN 2 NO 118</v>
      </c>
      <c r="N2227" s="35" t="str">
        <f>IFERROR(__xludf.DUMMYFUNCTION("""COMPUTED_VALUE"""),"BENUA MELAYU DARAT")</f>
        <v>BENUA MELAYU DARAT</v>
      </c>
      <c r="O2227" s="35" t="str">
        <f>IFERROR(__xludf.DUMMYFUNCTION("""COMPUTED_VALUE"""),"PONTIANAK SELATAN")</f>
        <v>PONTIANAK SELATAN</v>
      </c>
      <c r="P2227" s="35" t="str">
        <f>IFERROR(__xludf.DUMMYFUNCTION("""COMPUTED_VALUE"""),"KOTA PONTIANAK")</f>
        <v>KOTA PONTIANAK</v>
      </c>
      <c r="Q2227" s="35" t="str">
        <f>IFERROR(__xludf.DUMMYFUNCTION("""COMPUTED_VALUE"""),"KALIMANTAN BARAT")</f>
        <v>KALIMANTAN BARAT</v>
      </c>
      <c r="R2227" s="21" t="str">
        <f>IFERROR(__xludf.DUMMYFUNCTION("""COMPUTED_VALUE"""),"PROTESTAN")</f>
        <v>PROTESTAN</v>
      </c>
      <c r="S2227" s="16" t="str">
        <f>IFERROR(__xludf.DUMMYFUNCTION("""COMPUTED_VALUE"""),"WIRASWASTA")</f>
        <v>WIRASWASTA</v>
      </c>
      <c r="T2227" s="35" t="str">
        <f>IFERROR(__xludf.DUMMYFUNCTION("""COMPUTED_VALUE"""),"DRI PINGGUL KIRI SMP JEMPOL KAKI KIRI MERASA TERTARIK,JEMPOL KAKI KDANG KEBAS, BELAKANG LUTUT DAN SMPING LUTUT MERASA TERTARIK JIKA DUDUK TERLALU LAMA ,GK BS LGSG BERJALAN DAN KAKI GK BS LGSG LURUS")</f>
        <v>DRI PINGGUL KIRI SMP JEMPOL KAKI KIRI MERASA TERTARIK,JEMPOL KAKI KDANG KEBAS, BELAKANG LUTUT DAN SMPING LUTUT MERASA TERTARIK JIKA DUDUK TERLALU LAMA ,GK BS LGSG BERJALAN DAN KAKI GK BS LGSG LURUS</v>
      </c>
      <c r="U2227" s="35" t="str">
        <f>IFERROR(__xludf.DUMMYFUNCTION("""COMPUTED_VALUE"""),"ZUMBA, GYM")</f>
        <v>ZUMBA, GYM</v>
      </c>
      <c r="V2227" s="37" t="str">
        <f>IFERROR(__xludf.DUMMYFUNCTION("""COMPUTED_VALUE"""),"082311959998")</f>
        <v>082311959998</v>
      </c>
      <c r="W2227" s="45"/>
    </row>
    <row r="2228">
      <c r="A2228" s="45"/>
      <c r="B2228" s="24" t="str">
        <f>IFERROR(__xludf.DUMMYFUNCTION("""COMPUTED_VALUE"""),"22/02/2025 22:25:20")</f>
        <v>22/02/2025 22:25:20</v>
      </c>
      <c r="C2228" s="35"/>
      <c r="D2228" s="10">
        <f>IFERROR(__xludf.DUMMYFUNCTION("""COMPUTED_VALUE"""),45727.0)</f>
        <v>45727</v>
      </c>
      <c r="E2228" s="35" t="str">
        <f>IFERROR(__xludf.DUMMYFUNCTION("""COMPUTED_VALUE"""),"03Mar")</f>
        <v>03Mar</v>
      </c>
      <c r="F2228" s="34" t="str">
        <f>IFERROR(__xludf.DUMMYFUNCTION("""COMPUTED_VALUE"""),"2025")</f>
        <v>2025</v>
      </c>
      <c r="G2228" s="35" t="str">
        <f>IFERROR(__xludf.DUMMYFUNCTION("""COMPUTED_VALUE"""),"HASNUL BAKRI")</f>
        <v>HASNUL BAKRI</v>
      </c>
      <c r="H2228" s="35" t="str">
        <f>IFERROR(__xludf.DUMMYFUNCTION("""COMPUTED_VALUE"""),"H5625037772")</f>
        <v>H5625037772</v>
      </c>
      <c r="I2228" s="35">
        <f>IFERROR(__xludf.DUMMYFUNCTION("""COMPUTED_VALUE"""),70.0)</f>
        <v>70</v>
      </c>
      <c r="J2228" s="35" t="str">
        <f>IFERROR(__xludf.DUMMYFUNCTION("""COMPUTED_VALUE"""),"&gt; 44 tahun")</f>
        <v>&gt; 44 tahun</v>
      </c>
      <c r="K2228" s="21" t="str">
        <f>IFERROR(__xludf.DUMMYFUNCTION("""COMPUTED_VALUE"""),"03/01/1956")</f>
        <v>03/01/1956</v>
      </c>
      <c r="L2228" s="21" t="str">
        <f>IFERROR(__xludf.DUMMYFUNCTION("""COMPUTED_VALUE"""),"LAKI-LAKI")</f>
        <v>LAKI-LAKI</v>
      </c>
      <c r="M2228" s="35" t="str">
        <f>IFERROR(__xludf.DUMMYFUNCTION("""COMPUTED_VALUE"""),"JL. SURYA GANG SURYA JINGGA NO.20A")</f>
        <v>JL. SURYA GANG SURYA JINGGA NO.20A</v>
      </c>
      <c r="N2228" s="35" t="str">
        <f>IFERROR(__xludf.DUMMYFUNCTION("""COMPUTED_VALUE"""),"AKCAYA")</f>
        <v>AKCAYA</v>
      </c>
      <c r="O2228" s="35" t="str">
        <f>IFERROR(__xludf.DUMMYFUNCTION("""COMPUTED_VALUE"""),"PONTIANAK SELATAN")</f>
        <v>PONTIANAK SELATAN</v>
      </c>
      <c r="P2228" s="35" t="str">
        <f>IFERROR(__xludf.DUMMYFUNCTION("""COMPUTED_VALUE"""),"KOTA PONTIANAK")</f>
        <v>KOTA PONTIANAK</v>
      </c>
      <c r="Q2228" s="35" t="str">
        <f>IFERROR(__xludf.DUMMYFUNCTION("""COMPUTED_VALUE"""),"KALIMANTAN BARAT")</f>
        <v>KALIMANTAN BARAT</v>
      </c>
      <c r="R2228" s="21" t="str">
        <f>IFERROR(__xludf.DUMMYFUNCTION("""COMPUTED_VALUE"""),"ISLAM")</f>
        <v>ISLAM</v>
      </c>
      <c r="S2228" s="35" t="str">
        <f>IFERROR(__xludf.DUMMYFUNCTION("""COMPUTED_VALUE"""),"PENSIUN")</f>
        <v>PENSIUN</v>
      </c>
      <c r="T2228" s="35" t="str">
        <f>IFERROR(__xludf.DUMMYFUNCTION("""COMPUTED_VALUE"""),"NYERI DI PINGGANG KIRA KIRA 2 MINGGU YANG LALU KEMUDIAN SEKARANG JADI KEBAGIAN PAHA DAN KAKI SEHINGGA SUSAH UNTUK DUDUK DAN BERJALAN")</f>
        <v>NYERI DI PINGGANG KIRA KIRA 2 MINGGU YANG LALU KEMUDIAN SEKARANG JADI KEBAGIAN PAHA DAN KAKI SEHINGGA SUSAH UNTUK DUDUK DAN BERJALAN</v>
      </c>
      <c r="U2228" s="35" t="str">
        <f>IFERROR(__xludf.DUMMYFUNCTION("""COMPUTED_VALUE"""),"DIRUMAH SAJA")</f>
        <v>DIRUMAH SAJA</v>
      </c>
      <c r="V2228" s="37" t="str">
        <f>IFERROR(__xludf.DUMMYFUNCTION("""COMPUTED_VALUE"""),"081257537772")</f>
        <v>081257537772</v>
      </c>
      <c r="W2228" s="45"/>
    </row>
    <row r="2229">
      <c r="A2229" s="45"/>
      <c r="B2229" s="24" t="str">
        <f>IFERROR(__xludf.DUMMYFUNCTION("""COMPUTED_VALUE"""),"23/02/2025 6:05:44")</f>
        <v>23/02/2025 6:05:44</v>
      </c>
      <c r="C2229" s="35"/>
      <c r="D2229" s="10">
        <f>IFERROR(__xludf.DUMMYFUNCTION("""COMPUTED_VALUE"""),45728.0)</f>
        <v>45728</v>
      </c>
      <c r="E2229" s="35" t="str">
        <f>IFERROR(__xludf.DUMMYFUNCTION("""COMPUTED_VALUE"""),"03Mar")</f>
        <v>03Mar</v>
      </c>
      <c r="F2229" s="34" t="str">
        <f>IFERROR(__xludf.DUMMYFUNCTION("""COMPUTED_VALUE"""),"2025")</f>
        <v>2025</v>
      </c>
      <c r="G2229" s="35" t="str">
        <f>IFERROR(__xludf.DUMMYFUNCTION("""COMPUTED_VALUE"""),"SUNARTI")</f>
        <v>SUNARTI</v>
      </c>
      <c r="H2229" s="35" t="str">
        <f>IFERROR(__xludf.DUMMYFUNCTION("""COMPUTED_VALUE"""),"S8125033417")</f>
        <v>S8125033417</v>
      </c>
      <c r="I2229" s="35">
        <f>IFERROR(__xludf.DUMMYFUNCTION("""COMPUTED_VALUE"""),44.0)</f>
        <v>44</v>
      </c>
      <c r="J2229" s="35" t="str">
        <f>IFERROR(__xludf.DUMMYFUNCTION("""COMPUTED_VALUE"""),"35-44 tahun")</f>
        <v>35-44 tahun</v>
      </c>
      <c r="K2229" s="21" t="str">
        <f>IFERROR(__xludf.DUMMYFUNCTION("""COMPUTED_VALUE"""),"22/12/1981")</f>
        <v>22/12/1981</v>
      </c>
      <c r="L2229" s="21" t="str">
        <f>IFERROR(__xludf.DUMMYFUNCTION("""COMPUTED_VALUE"""),"PEREMPUAN")</f>
        <v>PEREMPUAN</v>
      </c>
      <c r="M2229" s="35" t="str">
        <f>IFERROR(__xludf.DUMMYFUNCTION("""COMPUTED_VALUE"""),"JALAN LINGKAR SUNGAI DURIAN")</f>
        <v>JALAN LINGKAR SUNGAI DURIAN</v>
      </c>
      <c r="N2229" s="35" t="str">
        <f>IFERROR(__xludf.DUMMYFUNCTION("""COMPUTED_VALUE"""),"KAPUAS KANAN HULU")</f>
        <v>KAPUAS KANAN HULU</v>
      </c>
      <c r="O2229" s="35" t="str">
        <f>IFERROR(__xludf.DUMMYFUNCTION("""COMPUTED_VALUE"""),"SINTANG")</f>
        <v>SINTANG</v>
      </c>
      <c r="P2229" s="35" t="str">
        <f>IFERROR(__xludf.DUMMYFUNCTION("""COMPUTED_VALUE"""),"SINTANG")</f>
        <v>SINTANG</v>
      </c>
      <c r="Q2229" s="35" t="str">
        <f>IFERROR(__xludf.DUMMYFUNCTION("""COMPUTED_VALUE"""),"KALIMANTAN BARAT")</f>
        <v>KALIMANTAN BARAT</v>
      </c>
      <c r="R2229" s="21" t="str">
        <f>IFERROR(__xludf.DUMMYFUNCTION("""COMPUTED_VALUE"""),"ISLAM")</f>
        <v>ISLAM</v>
      </c>
      <c r="S2229" s="35" t="str">
        <f>IFERROR(__xludf.DUMMYFUNCTION("""COMPUTED_VALUE"""),"IBU RUMAH TANGGA")</f>
        <v>IBU RUMAH TANGGA</v>
      </c>
      <c r="T2229" s="35" t="str">
        <f>IFERROR(__xludf.DUMMYFUNCTION("""COMPUTED_VALUE"""),"LEMAH SEBELAH KANAN, TIDAK MEMPUNYAI TENAGA ATAU KEKURANGAN TENAGA SEBELAH KANAN")</f>
        <v>LEMAH SEBELAH KANAN, TIDAK MEMPUNYAI TENAGA ATAU KEKURANGAN TENAGA SEBELAH KANAN</v>
      </c>
      <c r="U2229" s="35" t="str">
        <f>IFERROR(__xludf.DUMMYFUNCTION("""COMPUTED_VALUE"""),"MAIN VOLLY")</f>
        <v>MAIN VOLLY</v>
      </c>
      <c r="V2229" s="37" t="str">
        <f>IFERROR(__xludf.DUMMYFUNCTION("""COMPUTED_VALUE"""),"082256623417")</f>
        <v>082256623417</v>
      </c>
      <c r="W2229" s="45"/>
    </row>
    <row r="2230" hidden="1">
      <c r="A2230" s="45"/>
      <c r="B2230" s="24" t="str">
        <f>IFERROR(__xludf.DUMMYFUNCTION("""COMPUTED_VALUE"""),"23/02/2025 13:28:58")</f>
        <v>23/02/2025 13:28:58</v>
      </c>
      <c r="C2230" s="35"/>
      <c r="D2230" s="10">
        <f>IFERROR(__xludf.DUMMYFUNCTION("""COMPUTED_VALUE"""),45728.0)</f>
        <v>45728</v>
      </c>
      <c r="E2230" s="35" t="str">
        <f>IFERROR(__xludf.DUMMYFUNCTION("""COMPUTED_VALUE"""),"03Mar")</f>
        <v>03Mar</v>
      </c>
      <c r="F2230" s="34" t="str">
        <f>IFERROR(__xludf.DUMMYFUNCTION("""COMPUTED_VALUE"""),"2025")</f>
        <v>2025</v>
      </c>
      <c r="G2230" s="35" t="str">
        <f>IFERROR(__xludf.DUMMYFUNCTION("""COMPUTED_VALUE"""),"NENENG R")</f>
        <v>NENENG R</v>
      </c>
      <c r="H2230" s="35" t="str">
        <f>IFERROR(__xludf.DUMMYFUNCTION("""COMPUTED_VALUE"""),"N7725036621")</f>
        <v>N7725036621</v>
      </c>
      <c r="I2230" s="35">
        <f>IFERROR(__xludf.DUMMYFUNCTION("""COMPUTED_VALUE"""),49.0)</f>
        <v>49</v>
      </c>
      <c r="J2230" s="35" t="str">
        <f>IFERROR(__xludf.DUMMYFUNCTION("""COMPUTED_VALUE"""),"&gt; 44 tahun")</f>
        <v>&gt; 44 tahun</v>
      </c>
      <c r="K2230" s="21">
        <f>IFERROR(__xludf.DUMMYFUNCTION("""COMPUTED_VALUE"""),28221.0)</f>
        <v>28221</v>
      </c>
      <c r="L2230" s="21" t="str">
        <f>IFERROR(__xludf.DUMMYFUNCTION("""COMPUTED_VALUE"""),"PEREMPUAN")</f>
        <v>PEREMPUAN</v>
      </c>
      <c r="M2230" s="35" t="str">
        <f>IFERROR(__xludf.DUMMYFUNCTION("""COMPUTED_VALUE"""),"JALAN PERDAMAIAN, KALIMAS HULU, KOM. PENGALIMA RESIDENCE")</f>
        <v>JALAN PERDAMAIAN, KALIMAS HULU, KOM. PENGALIMA RESIDENCE</v>
      </c>
      <c r="N2230" s="35"/>
      <c r="O2230" s="35"/>
      <c r="P2230" s="35"/>
      <c r="Q2230" s="35"/>
      <c r="R2230" s="35"/>
      <c r="S2230" s="74" t="str">
        <f>IFERROR(__xludf.DUMMYFUNCTION("""COMPUTED_VALUE"""),"RUMAH TANGGA")</f>
        <v>RUMAH TANGGA</v>
      </c>
      <c r="T2230" s="35" t="str">
        <f>IFERROR(__xludf.DUMMYFUNCTION("""COMPUTED_VALUE"""),"BAHU SEBELAH KIRI SAKIT SETELAH JATUH")</f>
        <v>BAHU SEBELAH KIRI SAKIT SETELAH JATUH</v>
      </c>
      <c r="U2230" s="35" t="str">
        <f>IFERROR(__xludf.DUMMYFUNCTION("""COMPUTED_VALUE"""),"-")</f>
        <v>-</v>
      </c>
      <c r="V2230" s="37" t="str">
        <f>IFERROR(__xludf.DUMMYFUNCTION("""COMPUTED_VALUE"""),"089515966621")</f>
        <v>089515966621</v>
      </c>
      <c r="W2230" s="45"/>
    </row>
    <row r="2231">
      <c r="A2231" s="45"/>
      <c r="B2231" s="24" t="str">
        <f>IFERROR(__xludf.DUMMYFUNCTION("""COMPUTED_VALUE"""),"23/02/2025 13:39:12")</f>
        <v>23/02/2025 13:39:12</v>
      </c>
      <c r="C2231" s="35"/>
      <c r="D2231" s="10">
        <f>IFERROR(__xludf.DUMMYFUNCTION("""COMPUTED_VALUE"""),45728.0)</f>
        <v>45728</v>
      </c>
      <c r="E2231" s="35" t="str">
        <f>IFERROR(__xludf.DUMMYFUNCTION("""COMPUTED_VALUE"""),"03Mar")</f>
        <v>03Mar</v>
      </c>
      <c r="F2231" s="34" t="str">
        <f>IFERROR(__xludf.DUMMYFUNCTION("""COMPUTED_VALUE"""),"2025")</f>
        <v>2025</v>
      </c>
      <c r="G2231" s="35" t="str">
        <f>IFERROR(__xludf.DUMMYFUNCTION("""COMPUTED_VALUE"""),"INDA DHANIA")</f>
        <v>INDA DHANIA</v>
      </c>
      <c r="H2231" s="35" t="str">
        <f>IFERROR(__xludf.DUMMYFUNCTION("""COMPUTED_VALUE"""),"I9125033942")</f>
        <v>I9125033942</v>
      </c>
      <c r="I2231" s="35">
        <f>IFERROR(__xludf.DUMMYFUNCTION("""COMPUTED_VALUE"""),35.0)</f>
        <v>35</v>
      </c>
      <c r="J2231" s="35" t="str">
        <f>IFERROR(__xludf.DUMMYFUNCTION("""COMPUTED_VALUE"""),"35-44 tahun")</f>
        <v>35-44 tahun</v>
      </c>
      <c r="K2231" s="21" t="str">
        <f>IFERROR(__xludf.DUMMYFUNCTION("""COMPUTED_VALUE"""),"26/03/1991")</f>
        <v>26/03/1991</v>
      </c>
      <c r="L2231" s="21" t="str">
        <f>IFERROR(__xludf.DUMMYFUNCTION("""COMPUTED_VALUE"""),"PEREMPUAN")</f>
        <v>PEREMPUAN</v>
      </c>
      <c r="M2231" s="35" t="str">
        <f>IFERROR(__xludf.DUMMYFUNCTION("""COMPUTED_VALUE"""),"JL. PERINTIS, GG. MADRASAH NO EE5")</f>
        <v>JL. PERINTIS, GG. MADRASAH NO EE5</v>
      </c>
      <c r="N2231" s="35" t="str">
        <f>IFERROR(__xludf.DUMMYFUNCTION("""COMPUTED_VALUE"""),"-")</f>
        <v>-</v>
      </c>
      <c r="O2231" s="35" t="str">
        <f>IFERROR(__xludf.DUMMYFUNCTION("""COMPUTED_VALUE"""),"-")</f>
        <v>-</v>
      </c>
      <c r="P2231" s="35" t="str">
        <f>IFERROR(__xludf.DUMMYFUNCTION("""COMPUTED_VALUE"""),"KOTA PONTIANAK")</f>
        <v>KOTA PONTIANAK</v>
      </c>
      <c r="Q2231" s="35" t="str">
        <f>IFERROR(__xludf.DUMMYFUNCTION("""COMPUTED_VALUE"""),"KALIMANTAN BARAT")</f>
        <v>KALIMANTAN BARAT</v>
      </c>
      <c r="R2231" s="21" t="str">
        <f>IFERROR(__xludf.DUMMYFUNCTION("""COMPUTED_VALUE"""),"ISLAM")</f>
        <v>ISLAM</v>
      </c>
      <c r="S2231" s="74" t="str">
        <f>IFERROR(__xludf.DUMMYFUNCTION("""COMPUTED_VALUE"""),"PNS")</f>
        <v>PNS</v>
      </c>
      <c r="T2231" s="35" t="str">
        <f>IFERROR(__xludf.DUMMYFUNCTION("""COMPUTED_VALUE"""),"LENGAN TERKILIR")</f>
        <v>LENGAN TERKILIR</v>
      </c>
      <c r="U2231" s="35" t="str">
        <f>IFERROR(__xludf.DUMMYFUNCTION("""COMPUTED_VALUE"""),"BEKERJA")</f>
        <v>BEKERJA</v>
      </c>
      <c r="V2231" s="37" t="str">
        <f>IFERROR(__xludf.DUMMYFUNCTION("""COMPUTED_VALUE"""),"081254913942")</f>
        <v>081254913942</v>
      </c>
      <c r="W2231" s="45"/>
    </row>
    <row r="2232">
      <c r="A2232" s="45"/>
      <c r="B2232" s="24" t="str">
        <f>IFERROR(__xludf.DUMMYFUNCTION("""COMPUTED_VALUE"""),"23/02/2025 16:16:32")</f>
        <v>23/02/2025 16:16:32</v>
      </c>
      <c r="C2232" s="35"/>
      <c r="D2232" s="10">
        <f>IFERROR(__xludf.DUMMYFUNCTION("""COMPUTED_VALUE"""),45730.0)</f>
        <v>45730</v>
      </c>
      <c r="E2232" s="35" t="str">
        <f>IFERROR(__xludf.DUMMYFUNCTION("""COMPUTED_VALUE"""),"03Mar")</f>
        <v>03Mar</v>
      </c>
      <c r="F2232" s="34" t="str">
        <f>IFERROR(__xludf.DUMMYFUNCTION("""COMPUTED_VALUE"""),"2025")</f>
        <v>2025</v>
      </c>
      <c r="G2232" s="35" t="str">
        <f>IFERROR(__xludf.DUMMYFUNCTION("""COMPUTED_VALUE"""),"ALIU")</f>
        <v>ALIU</v>
      </c>
      <c r="H2232" s="35" t="str">
        <f>IFERROR(__xludf.DUMMYFUNCTION("""COMPUTED_VALUE"""),"A6225031027")</f>
        <v>A6225031027</v>
      </c>
      <c r="I2232" s="35">
        <f>IFERROR(__xludf.DUMMYFUNCTION("""COMPUTED_VALUE"""),63.0)</f>
        <v>63</v>
      </c>
      <c r="J2232" s="35" t="str">
        <f>IFERROR(__xludf.DUMMYFUNCTION("""COMPUTED_VALUE"""),"&gt; 44 tahun")</f>
        <v>&gt; 44 tahun</v>
      </c>
      <c r="K2232" s="21" t="str">
        <f>IFERROR(__xludf.DUMMYFUNCTION("""COMPUTED_VALUE"""),"10/09/1962")</f>
        <v>10/09/1962</v>
      </c>
      <c r="L2232" s="21" t="str">
        <f>IFERROR(__xludf.DUMMYFUNCTION("""COMPUTED_VALUE"""),"PEREMPUAN")</f>
        <v>PEREMPUAN</v>
      </c>
      <c r="M2232" s="35" t="str">
        <f>IFERROR(__xludf.DUMMYFUNCTION("""COMPUTED_VALUE"""),"JL PAK BENCENG KOMP KOTA VILLA 2 NO 46")</f>
        <v>JL PAK BENCENG KOMP KOTA VILLA 2 NO 46</v>
      </c>
      <c r="N2232" s="35" t="str">
        <f>IFERROR(__xludf.DUMMYFUNCTION("""COMPUTED_VALUE"""),"SEI BANGKONG")</f>
        <v>SEI BANGKONG</v>
      </c>
      <c r="O2232" s="35" t="str">
        <f>IFERROR(__xludf.DUMMYFUNCTION("""COMPUTED_VALUE"""),"PONTIANAK KOTA")</f>
        <v>PONTIANAK KOTA</v>
      </c>
      <c r="P2232" s="35" t="str">
        <f>IFERROR(__xludf.DUMMYFUNCTION("""COMPUTED_VALUE"""),"KOTA PONTIANAK")</f>
        <v>KOTA PONTIANAK</v>
      </c>
      <c r="Q2232" s="35" t="str">
        <f>IFERROR(__xludf.DUMMYFUNCTION("""COMPUTED_VALUE"""),"KALIMANTAN BARAT")</f>
        <v>KALIMANTAN BARAT</v>
      </c>
      <c r="R2232" s="21" t="str">
        <f>IFERROR(__xludf.DUMMYFUNCTION("""COMPUTED_VALUE"""),"KATOLIK")</f>
        <v>KATOLIK</v>
      </c>
      <c r="S2232" s="74" t="str">
        <f>IFERROR(__xludf.DUMMYFUNCTION("""COMPUTED_VALUE"""),"PENSIUNAN")</f>
        <v>PENSIUNAN</v>
      </c>
      <c r="T2232" s="35" t="str">
        <f>IFERROR(__xludf.DUMMYFUNCTION("""COMPUTED_VALUE"""),"NYERI PUNGGUNG")</f>
        <v>NYERI PUNGGUNG</v>
      </c>
      <c r="U2232" s="35" t="str">
        <f>IFERROR(__xludf.DUMMYFUNCTION("""COMPUTED_VALUE"""),"JALAN RINGAN PAGI HARI")</f>
        <v>JALAN RINGAN PAGI HARI</v>
      </c>
      <c r="V2232" s="37" t="str">
        <f>IFERROR(__xludf.DUMMYFUNCTION("""COMPUTED_VALUE"""),"0882022761027")</f>
        <v>0882022761027</v>
      </c>
      <c r="W2232" s="45"/>
    </row>
    <row r="2233">
      <c r="A2233" s="45"/>
      <c r="B2233" s="24" t="str">
        <f>IFERROR(__xludf.DUMMYFUNCTION("""COMPUTED_VALUE"""),"24/02/2025 10:55:25")</f>
        <v>24/02/2025 10:55:25</v>
      </c>
      <c r="C2233" s="35"/>
      <c r="D2233" s="10">
        <f>IFERROR(__xludf.DUMMYFUNCTION("""COMPUTED_VALUE"""),45730.0)</f>
        <v>45730</v>
      </c>
      <c r="E2233" s="35" t="str">
        <f>IFERROR(__xludf.DUMMYFUNCTION("""COMPUTED_VALUE"""),"03Mar")</f>
        <v>03Mar</v>
      </c>
      <c r="F2233" s="34" t="str">
        <f>IFERROR(__xludf.DUMMYFUNCTION("""COMPUTED_VALUE"""),"2025")</f>
        <v>2025</v>
      </c>
      <c r="G2233" s="35" t="str">
        <f>IFERROR(__xludf.DUMMYFUNCTION("""COMPUTED_VALUE"""),"RIDHO ARIHTA BANCIN")</f>
        <v>RIDHO ARIHTA BANCIN</v>
      </c>
      <c r="H2233" s="35" t="str">
        <f>IFERROR(__xludf.DUMMYFUNCTION("""COMPUTED_VALUE"""),"R0025032344")</f>
        <v>R0025032344</v>
      </c>
      <c r="I2233" s="35">
        <f>IFERROR(__xludf.DUMMYFUNCTION("""COMPUTED_VALUE"""),25.0)</f>
        <v>25</v>
      </c>
      <c r="J2233" s="35" t="str">
        <f>IFERROR(__xludf.DUMMYFUNCTION("""COMPUTED_VALUE"""),"25-34 tahun")</f>
        <v>25-34 tahun</v>
      </c>
      <c r="K2233" s="21" t="str">
        <f>IFERROR(__xludf.DUMMYFUNCTION("""COMPUTED_VALUE"""),"23/10/2000")</f>
        <v>23/10/2000</v>
      </c>
      <c r="L2233" s="21" t="str">
        <f>IFERROR(__xludf.DUMMYFUNCTION("""COMPUTED_VALUE"""),"LAKI-LAKI")</f>
        <v>LAKI-LAKI</v>
      </c>
      <c r="M2233" s="35" t="str">
        <f>IFERROR(__xludf.DUMMYFUNCTION("""COMPUTED_VALUE"""),"DUSUN DOHIK EMPANING")</f>
        <v>DUSUN DOHIK EMPANING</v>
      </c>
      <c r="N2233" s="35" t="str">
        <f>IFERROR(__xludf.DUMMYFUNCTION("""COMPUTED_VALUE"""),"BINJAI")</f>
        <v>BINJAI</v>
      </c>
      <c r="O2233" s="35" t="str">
        <f>IFERROR(__xludf.DUMMYFUNCTION("""COMPUTED_VALUE"""),"TAYAN HULU")</f>
        <v>TAYAN HULU</v>
      </c>
      <c r="P2233" s="35" t="str">
        <f>IFERROR(__xludf.DUMMYFUNCTION("""COMPUTED_VALUE"""),"SANGGAU")</f>
        <v>SANGGAU</v>
      </c>
      <c r="Q2233" s="35" t="str">
        <f>IFERROR(__xludf.DUMMYFUNCTION("""COMPUTED_VALUE"""),"KALIMANTAN BARAT")</f>
        <v>KALIMANTAN BARAT</v>
      </c>
      <c r="R2233" s="21" t="str">
        <f>IFERROR(__xludf.DUMMYFUNCTION("""COMPUTED_VALUE"""),"PROTESTAN")</f>
        <v>PROTESTAN</v>
      </c>
      <c r="S2233" s="74" t="str">
        <f>IFERROR(__xludf.DUMMYFUNCTION("""COMPUTED_VALUE"""),"PENGUSAHA")</f>
        <v>PENGUSAHA</v>
      </c>
      <c r="T2233" s="35" t="str">
        <f>IFERROR(__xludf.DUMMYFUNCTION("""COMPUTED_VALUE"""),"NYERI/NGILU DILUTUT KANAN SUDAH SEBULAN. DIMULAI SETELAH BERMAIN LAPANGAN BOLA BESAR, SEMPAT MEREDA SAAT DIKOMPRES DINGIN SELAMA SEMINGGU. TAPI KAMBUH LAGI SAAT BERMAIN MIMISOCCER TADI MALAM. TERASA LEBIH SAKIT DARI SEBELUMNYA.")</f>
        <v>NYERI/NGILU DILUTUT KANAN SUDAH SEBULAN. DIMULAI SETELAH BERMAIN LAPANGAN BOLA BESAR, SEMPAT MEREDA SAAT DIKOMPRES DINGIN SELAMA SEMINGGU. TAPI KAMBUH LAGI SAAT BERMAIN MIMISOCCER TADI MALAM. TERASA LEBIH SAKIT DARI SEBELUMNYA.</v>
      </c>
      <c r="U2233" s="35" t="str">
        <f>IFERROR(__xludf.DUMMYFUNCTION("""COMPUTED_VALUE"""),"BERMAIN FUTSAL/MINISOCCER/SEPAKBOLA")</f>
        <v>BERMAIN FUTSAL/MINISOCCER/SEPAKBOLA</v>
      </c>
      <c r="V2233" s="37" t="str">
        <f>IFERROR(__xludf.DUMMYFUNCTION("""COMPUTED_VALUE"""),"081254042344")</f>
        <v>081254042344</v>
      </c>
      <c r="W2233" s="45"/>
    </row>
    <row r="2234">
      <c r="A2234" s="45"/>
      <c r="B2234" s="24" t="str">
        <f>IFERROR(__xludf.DUMMYFUNCTION("""COMPUTED_VALUE"""),"24/02/2025 11:31:10")</f>
        <v>24/02/2025 11:31:10</v>
      </c>
      <c r="C2234" s="35"/>
      <c r="D2234" s="10">
        <f>IFERROR(__xludf.DUMMYFUNCTION("""COMPUTED_VALUE"""),45730.0)</f>
        <v>45730</v>
      </c>
      <c r="E2234" s="35" t="str">
        <f>IFERROR(__xludf.DUMMYFUNCTION("""COMPUTED_VALUE"""),"03Mar")</f>
        <v>03Mar</v>
      </c>
      <c r="F2234" s="34" t="str">
        <f>IFERROR(__xludf.DUMMYFUNCTION("""COMPUTED_VALUE"""),"2025")</f>
        <v>2025</v>
      </c>
      <c r="G2234" s="35" t="str">
        <f>IFERROR(__xludf.DUMMYFUNCTION("""COMPUTED_VALUE"""),"HERMAN SALIM")</f>
        <v>HERMAN SALIM</v>
      </c>
      <c r="H2234" s="35" t="str">
        <f>IFERROR(__xludf.DUMMYFUNCTION("""COMPUTED_VALUE"""),"H7825036900")</f>
        <v>H7825036900</v>
      </c>
      <c r="I2234" s="35">
        <f>IFERROR(__xludf.DUMMYFUNCTION("""COMPUTED_VALUE"""),47.0)</f>
        <v>47</v>
      </c>
      <c r="J2234" s="35" t="str">
        <f>IFERROR(__xludf.DUMMYFUNCTION("""COMPUTED_VALUE"""),"&gt; 44 tahun")</f>
        <v>&gt; 44 tahun</v>
      </c>
      <c r="K2234" s="21" t="str">
        <f>IFERROR(__xludf.DUMMYFUNCTION("""COMPUTED_VALUE"""),"30/06/1978")</f>
        <v>30/06/1978</v>
      </c>
      <c r="L2234" s="21" t="str">
        <f>IFERROR(__xludf.DUMMYFUNCTION("""COMPUTED_VALUE"""),"LAKI-LAKI")</f>
        <v>LAKI-LAKI</v>
      </c>
      <c r="M2234" s="35" t="str">
        <f>IFERROR(__xludf.DUMMYFUNCTION("""COMPUTED_VALUE"""),"JLN. TANJUNG PURA GG. TIGA NO.10")</f>
        <v>JLN. TANJUNG PURA GG. TIGA NO.10</v>
      </c>
      <c r="N2234" s="35" t="str">
        <f>IFERROR(__xludf.DUMMYFUNCTION("""COMPUTED_VALUE"""),"BENUA MELAYU LAUT")</f>
        <v>BENUA MELAYU LAUT</v>
      </c>
      <c r="O2234" s="35" t="str">
        <f>IFERROR(__xludf.DUMMYFUNCTION("""COMPUTED_VALUE"""),"PONTIANAK SELATAN")</f>
        <v>PONTIANAK SELATAN</v>
      </c>
      <c r="P2234" s="35" t="str">
        <f>IFERROR(__xludf.DUMMYFUNCTION("""COMPUTED_VALUE"""),"PONTIANAK")</f>
        <v>PONTIANAK</v>
      </c>
      <c r="Q2234" s="35" t="str">
        <f>IFERROR(__xludf.DUMMYFUNCTION("""COMPUTED_VALUE"""),"KALIMANTAN BARAT")</f>
        <v>KALIMANTAN BARAT</v>
      </c>
      <c r="R2234" s="21" t="str">
        <f>IFERROR(__xludf.DUMMYFUNCTION("""COMPUTED_VALUE"""),"BUDDHA")</f>
        <v>BUDDHA</v>
      </c>
      <c r="S2234" s="74" t="str">
        <f>IFERROR(__xludf.DUMMYFUNCTION("""COMPUTED_VALUE"""),"SWASTA")</f>
        <v>SWASTA</v>
      </c>
      <c r="T2234" s="35" t="str">
        <f>IFERROR(__xludf.DUMMYFUNCTION("""COMPUTED_VALUE"""),"TENNIS ELBOW")</f>
        <v>TENNIS ELBOW</v>
      </c>
      <c r="U2234" s="35" t="str">
        <f>IFERROR(__xludf.DUMMYFUNCTION("""COMPUTED_VALUE"""),"MASIH BINGUNG")</f>
        <v>MASIH BINGUNG</v>
      </c>
      <c r="V2234" s="37" t="str">
        <f>IFERROR(__xludf.DUMMYFUNCTION("""COMPUTED_VALUE"""),"085388286900")</f>
        <v>085388286900</v>
      </c>
      <c r="W2234" s="45"/>
    </row>
    <row r="2235">
      <c r="A2235" s="45"/>
      <c r="B2235" s="24" t="str">
        <f>IFERROR(__xludf.DUMMYFUNCTION("""COMPUTED_VALUE"""),"24/02/2025 15:23:07")</f>
        <v>24/02/2025 15:23:07</v>
      </c>
      <c r="C2235" s="35"/>
      <c r="D2235" s="10">
        <f>IFERROR(__xludf.DUMMYFUNCTION("""COMPUTED_VALUE"""),45731.0)</f>
        <v>45731</v>
      </c>
      <c r="E2235" s="35" t="str">
        <f>IFERROR(__xludf.DUMMYFUNCTION("""COMPUTED_VALUE"""),"03Mar")</f>
        <v>03Mar</v>
      </c>
      <c r="F2235" s="34" t="str">
        <f>IFERROR(__xludf.DUMMYFUNCTION("""COMPUTED_VALUE"""),"2025")</f>
        <v>2025</v>
      </c>
      <c r="G2235" s="35" t="str">
        <f>IFERROR(__xludf.DUMMYFUNCTION("""COMPUTED_VALUE"""),"EVAN FERNANDO")</f>
        <v>EVAN FERNANDO</v>
      </c>
      <c r="H2235" s="35" t="str">
        <f>IFERROR(__xludf.DUMMYFUNCTION("""COMPUTED_VALUE"""),"E9725035374")</f>
        <v>E9725035374</v>
      </c>
      <c r="I2235" s="35">
        <f>IFERROR(__xludf.DUMMYFUNCTION("""COMPUTED_VALUE"""),29.0)</f>
        <v>29</v>
      </c>
      <c r="J2235" s="35" t="str">
        <f>IFERROR(__xludf.DUMMYFUNCTION("""COMPUTED_VALUE"""),"25-34 tahun")</f>
        <v>25-34 tahun</v>
      </c>
      <c r="K2235" s="21" t="str">
        <f>IFERROR(__xludf.DUMMYFUNCTION("""COMPUTED_VALUE"""),"02/04/1997")</f>
        <v>02/04/1997</v>
      </c>
      <c r="L2235" s="21" t="str">
        <f>IFERROR(__xludf.DUMMYFUNCTION("""COMPUTED_VALUE"""),"LAKI-LAKI")</f>
        <v>LAKI-LAKI</v>
      </c>
      <c r="M2235" s="35" t="str">
        <f>IFERROR(__xludf.DUMMYFUNCTION("""COMPUTED_VALUE"""),"JL, SERDAM, KOMP. BATARA 3, NO. B18")</f>
        <v>JL, SERDAM, KOMP. BATARA 3, NO. B18</v>
      </c>
      <c r="N2235" s="35" t="str">
        <f>IFERROR(__xludf.DUMMYFUNCTION("""COMPUTED_VALUE"""),"SUNGAI RAYA")</f>
        <v>SUNGAI RAYA</v>
      </c>
      <c r="O2235" s="35" t="str">
        <f>IFERROR(__xludf.DUMMYFUNCTION("""COMPUTED_VALUE"""),"SUNGAI RAYA")</f>
        <v>SUNGAI RAYA</v>
      </c>
      <c r="P2235" s="35" t="str">
        <f>IFERROR(__xludf.DUMMYFUNCTION("""COMPUTED_VALUE"""),"KUBU RAYA")</f>
        <v>KUBU RAYA</v>
      </c>
      <c r="Q2235" s="35" t="str">
        <f>IFERROR(__xludf.DUMMYFUNCTION("""COMPUTED_VALUE"""),"KALBAR")</f>
        <v>KALBAR</v>
      </c>
      <c r="R2235" s="21" t="str">
        <f>IFERROR(__xludf.DUMMYFUNCTION("""COMPUTED_VALUE"""),"BUDDHA")</f>
        <v>BUDDHA</v>
      </c>
      <c r="S2235" s="74" t="str">
        <f>IFERROR(__xludf.DUMMYFUNCTION("""COMPUTED_VALUE"""),"WIRASWASTA")</f>
        <v>WIRASWASTA</v>
      </c>
      <c r="T2235" s="35" t="str">
        <f>IFERROR(__xludf.DUMMYFUNCTION("""COMPUTED_VALUE"""),"TEMPURUNG LUTUT BERGESER BUTUH PEMULIHAN KARENA TIDAK ADA TENAGA ATAU LEMAH")</f>
        <v>TEMPURUNG LUTUT BERGESER BUTUH PEMULIHAN KARENA TIDAK ADA TENAGA ATAU LEMAH</v>
      </c>
      <c r="U2235" s="35" t="str">
        <f>IFERROR(__xludf.DUMMYFUNCTION("""COMPUTED_VALUE"""),"INSIDEN")</f>
        <v>INSIDEN</v>
      </c>
      <c r="V2235" s="37" t="str">
        <f>IFERROR(__xludf.DUMMYFUNCTION("""COMPUTED_VALUE"""),"081281685374")</f>
        <v>081281685374</v>
      </c>
      <c r="W2235" s="45"/>
    </row>
    <row r="2236">
      <c r="A2236" s="45"/>
      <c r="B2236" s="24" t="str">
        <f>IFERROR(__xludf.DUMMYFUNCTION("""COMPUTED_VALUE"""),"24/02/2025 21:15:23")</f>
        <v>24/02/2025 21:15:23</v>
      </c>
      <c r="C2236" s="35"/>
      <c r="D2236" s="10">
        <f>IFERROR(__xludf.DUMMYFUNCTION("""COMPUTED_VALUE"""),45731.0)</f>
        <v>45731</v>
      </c>
      <c r="E2236" s="35" t="str">
        <f>IFERROR(__xludf.DUMMYFUNCTION("""COMPUTED_VALUE"""),"03Mar")</f>
        <v>03Mar</v>
      </c>
      <c r="F2236" s="34" t="str">
        <f>IFERROR(__xludf.DUMMYFUNCTION("""COMPUTED_VALUE"""),"2025")</f>
        <v>2025</v>
      </c>
      <c r="G2236" s="35" t="str">
        <f>IFERROR(__xludf.DUMMYFUNCTION("""COMPUTED_VALUE"""),"GHALIB IBNU HAADY")</f>
        <v>GHALIB IBNU HAADY</v>
      </c>
      <c r="H2236" s="35" t="str">
        <f>IFERROR(__xludf.DUMMYFUNCTION("""COMPUTED_VALUE"""),"G0925037845")</f>
        <v>G0925037845</v>
      </c>
      <c r="I2236" s="35">
        <f>IFERROR(__xludf.DUMMYFUNCTION("""COMPUTED_VALUE"""),16.0)</f>
        <v>16</v>
      </c>
      <c r="J2236" s="35" t="str">
        <f>IFERROR(__xludf.DUMMYFUNCTION("""COMPUTED_VALUE"""),"&lt; 18 tahun")</f>
        <v>&lt; 18 tahun</v>
      </c>
      <c r="K2236" s="21" t="str">
        <f>IFERROR(__xludf.DUMMYFUNCTION("""COMPUTED_VALUE"""),"01/11/2009")</f>
        <v>01/11/2009</v>
      </c>
      <c r="L2236" s="21" t="str">
        <f>IFERROR(__xludf.DUMMYFUNCTION("""COMPUTED_VALUE"""),"LAKI-LAKI")</f>
        <v>LAKI-LAKI</v>
      </c>
      <c r="M2236" s="35" t="str">
        <f>IFERROR(__xludf.DUMMYFUNCTION("""COMPUTED_VALUE"""),"JLN. TABRANI AHMAD GG. BERLIAN")</f>
        <v>JLN. TABRANI AHMAD GG. BERLIAN</v>
      </c>
      <c r="N2236" s="35" t="str">
        <f>IFERROR(__xludf.DUMMYFUNCTION("""COMPUTED_VALUE"""),".")</f>
        <v>.</v>
      </c>
      <c r="O2236" s="35" t="str">
        <f>IFERROR(__xludf.DUMMYFUNCTION("""COMPUTED_VALUE"""),".")</f>
        <v>.</v>
      </c>
      <c r="P2236" s="35" t="str">
        <f>IFERROR(__xludf.DUMMYFUNCTION("""COMPUTED_VALUE"""),"PONTIANAK")</f>
        <v>PONTIANAK</v>
      </c>
      <c r="Q2236" s="35" t="str">
        <f>IFERROR(__xludf.DUMMYFUNCTION("""COMPUTED_VALUE"""),"KALIMANTAN BARAT")</f>
        <v>KALIMANTAN BARAT</v>
      </c>
      <c r="R2236" s="21" t="str">
        <f>IFERROR(__xludf.DUMMYFUNCTION("""COMPUTED_VALUE"""),"ISLAM")</f>
        <v>ISLAM</v>
      </c>
      <c r="S2236" s="74" t="str">
        <f>IFERROR(__xludf.DUMMYFUNCTION("""COMPUTED_VALUE"""),"-")</f>
        <v>-</v>
      </c>
      <c r="T2236" s="35" t="str">
        <f>IFERROR(__xludf.DUMMYFUNCTION("""COMPUTED_VALUE"""),"SIKU SAKIT")</f>
        <v>SIKU SAKIT</v>
      </c>
      <c r="U2236" s="35" t="str">
        <f>IFERROR(__xludf.DUMMYFUNCTION("""COMPUTED_VALUE"""),"BADMINTON")</f>
        <v>BADMINTON</v>
      </c>
      <c r="V2236" s="37" t="str">
        <f>IFERROR(__xludf.DUMMYFUNCTION("""COMPUTED_VALUE"""),"089506137845")</f>
        <v>089506137845</v>
      </c>
      <c r="W2236" s="45"/>
    </row>
    <row r="2237">
      <c r="A2237" s="45"/>
      <c r="B2237" s="24" t="str">
        <f>IFERROR(__xludf.DUMMYFUNCTION("""COMPUTED_VALUE"""),"25/02/2025 8:34:02")</f>
        <v>25/02/2025 8:34:02</v>
      </c>
      <c r="C2237" s="35"/>
      <c r="D2237" s="10">
        <f>IFERROR(__xludf.DUMMYFUNCTION("""COMPUTED_VALUE"""),45731.0)</f>
        <v>45731</v>
      </c>
      <c r="E2237" s="35" t="str">
        <f>IFERROR(__xludf.DUMMYFUNCTION("""COMPUTED_VALUE"""),"03Mar")</f>
        <v>03Mar</v>
      </c>
      <c r="F2237" s="34" t="str">
        <f>IFERROR(__xludf.DUMMYFUNCTION("""COMPUTED_VALUE"""),"2025")</f>
        <v>2025</v>
      </c>
      <c r="G2237" s="35" t="str">
        <f>IFERROR(__xludf.DUMMYFUNCTION("""COMPUTED_VALUE"""),"YENI ROSDIANA")</f>
        <v>YENI ROSDIANA</v>
      </c>
      <c r="H2237" s="35" t="str">
        <f>IFERROR(__xludf.DUMMYFUNCTION("""COMPUTED_VALUE"""),"Y7525039091")</f>
        <v>Y7525039091</v>
      </c>
      <c r="I2237" s="35">
        <f>IFERROR(__xludf.DUMMYFUNCTION("""COMPUTED_VALUE"""),50.0)</f>
        <v>50</v>
      </c>
      <c r="J2237" s="35" t="str">
        <f>IFERROR(__xludf.DUMMYFUNCTION("""COMPUTED_VALUE"""),"&gt; 44 tahun")</f>
        <v>&gt; 44 tahun</v>
      </c>
      <c r="K2237" s="21" t="str">
        <f>IFERROR(__xludf.DUMMYFUNCTION("""COMPUTED_VALUE"""),"06/08/1975")</f>
        <v>06/08/1975</v>
      </c>
      <c r="L2237" s="21" t="str">
        <f>IFERROR(__xludf.DUMMYFUNCTION("""COMPUTED_VALUE"""),"PEREMPUAN")</f>
        <v>PEREMPUAN</v>
      </c>
      <c r="M2237" s="35" t="str">
        <f>IFERROR(__xludf.DUMMYFUNCTION("""COMPUTED_VALUE"""),"JALAN SERDAM KOMP. PALEM RAYA NO6.B")</f>
        <v>JALAN SERDAM KOMP. PALEM RAYA NO6.B</v>
      </c>
      <c r="N2237" s="35" t="str">
        <f>IFERROR(__xludf.DUMMYFUNCTION("""COMPUTED_VALUE"""),"SUNGAI RAYA")</f>
        <v>SUNGAI RAYA</v>
      </c>
      <c r="O2237" s="35" t="str">
        <f>IFERROR(__xludf.DUMMYFUNCTION("""COMPUTED_VALUE"""),"SUNGAI RAYA DALAM")</f>
        <v>SUNGAI RAYA DALAM</v>
      </c>
      <c r="P2237" s="35" t="str">
        <f>IFERROR(__xludf.DUMMYFUNCTION("""COMPUTED_VALUE"""),"KUBURAYA")</f>
        <v>KUBURAYA</v>
      </c>
      <c r="Q2237" s="35" t="str">
        <f>IFERROR(__xludf.DUMMYFUNCTION("""COMPUTED_VALUE"""),"KALIMANTAN BARAT")</f>
        <v>KALIMANTAN BARAT</v>
      </c>
      <c r="R2237" s="21" t="str">
        <f>IFERROR(__xludf.DUMMYFUNCTION("""COMPUTED_VALUE"""),"ISLAM")</f>
        <v>ISLAM</v>
      </c>
      <c r="S2237" s="74" t="str">
        <f>IFERROR(__xludf.DUMMYFUNCTION("""COMPUTED_VALUE"""),"IRT")</f>
        <v>IRT</v>
      </c>
      <c r="T2237" s="35" t="str">
        <f>IFERROR(__xludf.DUMMYFUNCTION("""COMPUTED_VALUE"""),"SAKIT PINGGANG, TANGAN KAKU SAKIT DIBENGKOKKAN")</f>
        <v>SAKIT PINGGANG, TANGAN KAKU SAKIT DIBENGKOKKAN</v>
      </c>
      <c r="U2237" s="35" t="str">
        <f>IFERROR(__xludf.DUMMYFUNCTION("""COMPUTED_VALUE"""),"BERJUALAN DAN MASAK")</f>
        <v>BERJUALAN DAN MASAK</v>
      </c>
      <c r="V2237" s="37" t="str">
        <f>IFERROR(__xludf.DUMMYFUNCTION("""COMPUTED_VALUE"""),"081256909091")</f>
        <v>081256909091</v>
      </c>
      <c r="W2237" s="45"/>
    </row>
    <row r="2238">
      <c r="A2238" s="45"/>
      <c r="B2238" s="24" t="str">
        <f>IFERROR(__xludf.DUMMYFUNCTION("""COMPUTED_VALUE"""),"25/02/2025 9:49:47")</f>
        <v>25/02/2025 9:49:47</v>
      </c>
      <c r="C2238" s="35"/>
      <c r="D2238" s="10">
        <f>IFERROR(__xludf.DUMMYFUNCTION("""COMPUTED_VALUE"""),45731.0)</f>
        <v>45731</v>
      </c>
      <c r="E2238" s="35" t="str">
        <f>IFERROR(__xludf.DUMMYFUNCTION("""COMPUTED_VALUE"""),"03Mar")</f>
        <v>03Mar</v>
      </c>
      <c r="F2238" s="34" t="str">
        <f>IFERROR(__xludf.DUMMYFUNCTION("""COMPUTED_VALUE"""),"2025")</f>
        <v>2025</v>
      </c>
      <c r="G2238" s="35" t="str">
        <f>IFERROR(__xludf.DUMMYFUNCTION("""COMPUTED_VALUE"""),"SYIFA HAYATUN NURTAQWA")</f>
        <v>SYIFA HAYATUN NURTAQWA</v>
      </c>
      <c r="H2238" s="35" t="str">
        <f>IFERROR(__xludf.DUMMYFUNCTION("""COMPUTED_VALUE"""),"S9925035218")</f>
        <v>S9925035218</v>
      </c>
      <c r="I2238" s="35">
        <f>IFERROR(__xludf.DUMMYFUNCTION("""COMPUTED_VALUE"""),26.0)</f>
        <v>26</v>
      </c>
      <c r="J2238" s="35" t="str">
        <f>IFERROR(__xludf.DUMMYFUNCTION("""COMPUTED_VALUE"""),"25-34 tahun")</f>
        <v>25-34 tahun</v>
      </c>
      <c r="K2238" s="21" t="str">
        <f>IFERROR(__xludf.DUMMYFUNCTION("""COMPUTED_VALUE"""),"01/11/1999")</f>
        <v>01/11/1999</v>
      </c>
      <c r="L2238" s="21" t="str">
        <f>IFERROR(__xludf.DUMMYFUNCTION("""COMPUTED_VALUE"""),"PEREMPUAN")</f>
        <v>PEREMPUAN</v>
      </c>
      <c r="M2238" s="35" t="str">
        <f>IFERROR(__xludf.DUMMYFUNCTION("""COMPUTED_VALUE"""),"JL. PARIT DEMANG")</f>
        <v>JL. PARIT DEMANG</v>
      </c>
      <c r="N2238" s="35" t="str">
        <f>IFERROR(__xludf.DUMMYFUNCTION("""COMPUTED_VALUE"""),"-")</f>
        <v>-</v>
      </c>
      <c r="O2238" s="35" t="str">
        <f>IFERROR(__xludf.DUMMYFUNCTION("""COMPUTED_VALUE"""),"-")</f>
        <v>-</v>
      </c>
      <c r="P2238" s="35" t="str">
        <f>IFERROR(__xludf.DUMMYFUNCTION("""COMPUTED_VALUE"""),"KOTA PONTIANAK")</f>
        <v>KOTA PONTIANAK</v>
      </c>
      <c r="Q2238" s="35" t="str">
        <f>IFERROR(__xludf.DUMMYFUNCTION("""COMPUTED_VALUE"""),"KALIMANTAN BARAT")</f>
        <v>KALIMANTAN BARAT</v>
      </c>
      <c r="R2238" s="21" t="str">
        <f>IFERROR(__xludf.DUMMYFUNCTION("""COMPUTED_VALUE"""),"ISLAM")</f>
        <v>ISLAM</v>
      </c>
      <c r="S2238" s="74" t="str">
        <f>IFERROR(__xludf.DUMMYFUNCTION("""COMPUTED_VALUE"""),"MAHASISWA")</f>
        <v>MAHASISWA</v>
      </c>
      <c r="T2238" s="35" t="str">
        <f>IFERROR(__xludf.DUMMYFUNCTION("""COMPUTED_VALUE"""),"SKOLIOSIS")</f>
        <v>SKOLIOSIS</v>
      </c>
      <c r="U2238" s="35" t="str">
        <f>IFERROR(__xludf.DUMMYFUNCTION("""COMPUTED_VALUE"""),"DUDUK")</f>
        <v>DUDUK</v>
      </c>
      <c r="V2238" s="37" t="str">
        <f>IFERROR(__xludf.DUMMYFUNCTION("""COMPUTED_VALUE"""),"085754525218")</f>
        <v>085754525218</v>
      </c>
      <c r="W2238" s="45"/>
    </row>
    <row r="2239">
      <c r="A2239" s="45"/>
      <c r="B2239" s="24" t="str">
        <f>IFERROR(__xludf.DUMMYFUNCTION("""COMPUTED_VALUE"""),"25/02/2025 9:49:33")</f>
        <v>25/02/2025 9:49:33</v>
      </c>
      <c r="C2239" s="35"/>
      <c r="D2239" s="10">
        <f>IFERROR(__xludf.DUMMYFUNCTION("""COMPUTED_VALUE"""),45731.0)</f>
        <v>45731</v>
      </c>
      <c r="E2239" s="35" t="str">
        <f>IFERROR(__xludf.DUMMYFUNCTION("""COMPUTED_VALUE"""),"03Mar")</f>
        <v>03Mar</v>
      </c>
      <c r="F2239" s="34" t="str">
        <f>IFERROR(__xludf.DUMMYFUNCTION("""COMPUTED_VALUE"""),"2025")</f>
        <v>2025</v>
      </c>
      <c r="G2239" s="35" t="str">
        <f>IFERROR(__xludf.DUMMYFUNCTION("""COMPUTED_VALUE"""),"ASPARAYATI")</f>
        <v>ASPARAYATI</v>
      </c>
      <c r="H2239" s="35" t="str">
        <f>IFERROR(__xludf.DUMMYFUNCTION("""COMPUTED_VALUE"""),"A6825034878")</f>
        <v>A6825034878</v>
      </c>
      <c r="I2239" s="35">
        <f>IFERROR(__xludf.DUMMYFUNCTION("""COMPUTED_VALUE"""),58.0)</f>
        <v>58</v>
      </c>
      <c r="J2239" s="35" t="str">
        <f>IFERROR(__xludf.DUMMYFUNCTION("""COMPUTED_VALUE"""),"&gt; 44 tahun")</f>
        <v>&gt; 44 tahun</v>
      </c>
      <c r="K2239" s="21" t="str">
        <f>IFERROR(__xludf.DUMMYFUNCTION("""COMPUTED_VALUE"""),"03/06/1968")</f>
        <v>03/06/1968</v>
      </c>
      <c r="L2239" s="21" t="str">
        <f>IFERROR(__xludf.DUMMYFUNCTION("""COMPUTED_VALUE"""),"PEREMPUAN")</f>
        <v>PEREMPUAN</v>
      </c>
      <c r="M2239" s="35" t="str">
        <f>IFERROR(__xludf.DUMMYFUNCTION("""COMPUTED_VALUE"""),"JL TANJUNG RAYA II KOMP BALI LESTARI NO H5")</f>
        <v>JL TANJUNG RAYA II KOMP BALI LESTARI NO H5</v>
      </c>
      <c r="N2239" s="35" t="str">
        <f>IFERROR(__xludf.DUMMYFUNCTION("""COMPUTED_VALUE"""),"SAIGON")</f>
        <v>SAIGON</v>
      </c>
      <c r="O2239" s="35" t="str">
        <f>IFERROR(__xludf.DUMMYFUNCTION("""COMPUTED_VALUE"""),"PONTIANAK TIMUR")</f>
        <v>PONTIANAK TIMUR</v>
      </c>
      <c r="P2239" s="35" t="str">
        <f>IFERROR(__xludf.DUMMYFUNCTION("""COMPUTED_VALUE"""),"PONTIANAK")</f>
        <v>PONTIANAK</v>
      </c>
      <c r="Q2239" s="35" t="str">
        <f>IFERROR(__xludf.DUMMYFUNCTION("""COMPUTED_VALUE"""),"KALIMANTAN BARAT")</f>
        <v>KALIMANTAN BARAT</v>
      </c>
      <c r="R2239" s="21" t="str">
        <f>IFERROR(__xludf.DUMMYFUNCTION("""COMPUTED_VALUE"""),"ISLAM")</f>
        <v>ISLAM</v>
      </c>
      <c r="S2239" s="74" t="str">
        <f>IFERROR(__xludf.DUMMYFUNCTION("""COMPUTED_VALUE"""),"PNS")</f>
        <v>PNS</v>
      </c>
      <c r="T2239" s="35" t="str">
        <f>IFERROR(__xludf.DUMMYFUNCTION("""COMPUTED_VALUE"""),"NYERI DI BAGIAN PERGELANGAN TANGAN KANAN DAN SERING TERASA KEBAS")</f>
        <v>NYERI DI BAGIAN PERGELANGAN TANGAN KANAN DAN SERING TERASA KEBAS</v>
      </c>
      <c r="U2239" s="35" t="str">
        <f>IFERROR(__xludf.DUMMYFUNCTION("""COMPUTED_VALUE"""),"KARNA DI BAGIAN TANGAN KANAN YG PALING SERING DI PAKAI UNTUK BERAKTIFITAS JD TIDAK BISA SEPERTI NYAPU MENGEMASKAN RUMAH TANGGA LAINNYA")</f>
        <v>KARNA DI BAGIAN TANGAN KANAN YG PALING SERING DI PAKAI UNTUK BERAKTIFITAS JD TIDAK BISA SEPERTI NYAPU MENGEMASKAN RUMAH TANGGA LAINNYA</v>
      </c>
      <c r="V2239" s="37" t="str">
        <f>IFERROR(__xludf.DUMMYFUNCTION("""COMPUTED_VALUE"""),"087716804878")</f>
        <v>087716804878</v>
      </c>
      <c r="W2239" s="45"/>
    </row>
    <row r="2240">
      <c r="A2240" s="45"/>
      <c r="B2240" s="24" t="str">
        <f>IFERROR(__xludf.DUMMYFUNCTION("""COMPUTED_VALUE"""),"26/02/2025 11:05:21")</f>
        <v>26/02/2025 11:05:21</v>
      </c>
      <c r="C2240" s="35"/>
      <c r="D2240" s="10">
        <f>IFERROR(__xludf.DUMMYFUNCTION("""COMPUTED_VALUE"""),45731.0)</f>
        <v>45731</v>
      </c>
      <c r="E2240" s="35" t="str">
        <f>IFERROR(__xludf.DUMMYFUNCTION("""COMPUTED_VALUE"""),"03Mar")</f>
        <v>03Mar</v>
      </c>
      <c r="F2240" s="34" t="str">
        <f>IFERROR(__xludf.DUMMYFUNCTION("""COMPUTED_VALUE"""),"2025")</f>
        <v>2025</v>
      </c>
      <c r="G2240" s="35" t="str">
        <f>IFERROR(__xludf.DUMMYFUNCTION("""COMPUTED_VALUE"""),"MARSITA WINANDA")</f>
        <v>MARSITA WINANDA</v>
      </c>
      <c r="H2240" s="35" t="str">
        <f>IFERROR(__xludf.DUMMYFUNCTION("""COMPUTED_VALUE"""),"M0025039227")</f>
        <v>M0025039227</v>
      </c>
      <c r="I2240" s="35">
        <f>IFERROR(__xludf.DUMMYFUNCTION("""COMPUTED_VALUE"""),26.0)</f>
        <v>26</v>
      </c>
      <c r="J2240" s="35" t="str">
        <f>IFERROR(__xludf.DUMMYFUNCTION("""COMPUTED_VALUE"""),"25-34 tahun")</f>
        <v>25-34 tahun</v>
      </c>
      <c r="K2240" s="21" t="str">
        <f>IFERROR(__xludf.DUMMYFUNCTION("""COMPUTED_VALUE"""),"19/03/2000")</f>
        <v>19/03/2000</v>
      </c>
      <c r="L2240" s="21" t="str">
        <f>IFERROR(__xludf.DUMMYFUNCTION("""COMPUTED_VALUE"""),"PEREMPUAN")</f>
        <v>PEREMPUAN</v>
      </c>
      <c r="M2240" s="35" t="str">
        <f>IFERROR(__xludf.DUMMYFUNCTION("""COMPUTED_VALUE"""),"KABUPATEN SEKADAU")</f>
        <v>KABUPATEN SEKADAU</v>
      </c>
      <c r="N2240" s="35" t="str">
        <f>IFERROR(__xludf.DUMMYFUNCTION("""COMPUTED_VALUE"""),"RAWAK HILIR")</f>
        <v>RAWAK HILIR</v>
      </c>
      <c r="O2240" s="35" t="str">
        <f>IFERROR(__xludf.DUMMYFUNCTION("""COMPUTED_VALUE"""),"SEKADAU HULU")</f>
        <v>SEKADAU HULU</v>
      </c>
      <c r="P2240" s="35" t="str">
        <f>IFERROR(__xludf.DUMMYFUNCTION("""COMPUTED_VALUE"""),"SEKADAU")</f>
        <v>SEKADAU</v>
      </c>
      <c r="Q2240" s="35" t="str">
        <f>IFERROR(__xludf.DUMMYFUNCTION("""COMPUTED_VALUE"""),"KALIMANTAN BARAT")</f>
        <v>KALIMANTAN BARAT</v>
      </c>
      <c r="R2240" s="21" t="str">
        <f>IFERROR(__xludf.DUMMYFUNCTION("""COMPUTED_VALUE"""),"ISLAM")</f>
        <v>ISLAM</v>
      </c>
      <c r="S2240" s="74" t="str">
        <f>IFERROR(__xludf.DUMMYFUNCTION("""COMPUTED_VALUE"""),"PEGAWAI")</f>
        <v>PEGAWAI</v>
      </c>
      <c r="T2240" s="35" t="str">
        <f>IFERROR(__xludf.DUMMYFUNCTION("""COMPUTED_VALUE"""),"SANGGAU")</f>
        <v>SANGGAU</v>
      </c>
      <c r="U2240" s="35" t="str">
        <f>IFERROR(__xludf.DUMMYFUNCTION("""COMPUTED_VALUE"""),"DUDUK DAN MENGETIK")</f>
        <v>DUDUK DAN MENGETIK</v>
      </c>
      <c r="V2240" s="37" t="str">
        <f>IFERROR(__xludf.DUMMYFUNCTION("""COMPUTED_VALUE"""),"085754369227")</f>
        <v>085754369227</v>
      </c>
      <c r="W2240" s="45"/>
    </row>
    <row r="2241">
      <c r="A2241" s="45"/>
      <c r="B2241" s="35"/>
      <c r="C2241" s="35"/>
      <c r="D2241" s="10">
        <f>IFERROR(__xludf.DUMMYFUNCTION("""COMPUTED_VALUE"""),45732.0)</f>
        <v>45732</v>
      </c>
      <c r="E2241" s="35" t="str">
        <f>IFERROR(__xludf.DUMMYFUNCTION("""COMPUTED_VALUE"""),"03Mar")</f>
        <v>03Mar</v>
      </c>
      <c r="F2241" s="34" t="str">
        <f>IFERROR(__xludf.DUMMYFUNCTION("""COMPUTED_VALUE"""),"2025")</f>
        <v>2025</v>
      </c>
      <c r="G2241" s="35" t="str">
        <f>IFERROR(__xludf.DUMMYFUNCTION("""COMPUTED_VALUE"""),"FEBRIANTO EKA PRASTYO")</f>
        <v>FEBRIANTO EKA PRASTYO</v>
      </c>
      <c r="H2241" s="35" t="str">
        <f>IFERROR(__xludf.DUMMYFUNCTION("""COMPUTED_VALUE"""),"F0025032002")</f>
        <v>F0025032002</v>
      </c>
      <c r="I2241" s="35">
        <f>IFERROR(__xludf.DUMMYFUNCTION("""COMPUTED_VALUE"""),26.0)</f>
        <v>26</v>
      </c>
      <c r="J2241" s="35" t="str">
        <f>IFERROR(__xludf.DUMMYFUNCTION("""COMPUTED_VALUE"""),"25-34 tahun")</f>
        <v>25-34 tahun</v>
      </c>
      <c r="K2241" s="21" t="str">
        <f>IFERROR(__xludf.DUMMYFUNCTION("""COMPUTED_VALUE"""),"04/02/2000")</f>
        <v>04/02/2000</v>
      </c>
      <c r="L2241" s="21" t="str">
        <f>IFERROR(__xludf.DUMMYFUNCTION("""COMPUTED_VALUE"""),"LAKI-LAKI")</f>
        <v>LAKI-LAKI</v>
      </c>
      <c r="M2241" s="35" t="str">
        <f>IFERROR(__xludf.DUMMYFUNCTION("""COMPUTED_VALUE"""),"JL.PRAMUKA GG.II")</f>
        <v>JL.PRAMUKA GG.II</v>
      </c>
      <c r="N2241" s="35" t="str">
        <f>IFERROR(__xludf.DUMMYFUNCTION("""COMPUTED_VALUE"""),"JL.PRAMUKA GG.II")</f>
        <v>JL.PRAMUKA GG.II</v>
      </c>
      <c r="O2241" s="35" t="str">
        <f>IFERROR(__xludf.DUMMYFUNCTION("""COMPUTED_VALUE"""),"SIMAN")</f>
        <v>SIMAN</v>
      </c>
      <c r="P2241" s="35" t="str">
        <f>IFERROR(__xludf.DUMMYFUNCTION("""COMPUTED_VALUE"""),"PONOROGO")</f>
        <v>PONOROGO</v>
      </c>
      <c r="Q2241" s="35" t="str">
        <f>IFERROR(__xludf.DUMMYFUNCTION("""COMPUTED_VALUE"""),"JAWA TIMUR")</f>
        <v>JAWA TIMUR</v>
      </c>
      <c r="R2241" s="21" t="str">
        <f>IFERROR(__xludf.DUMMYFUNCTION("""COMPUTED_VALUE"""),"ISLAM")</f>
        <v>ISLAM</v>
      </c>
      <c r="S2241" s="74" t="str">
        <f>IFERROR(__xludf.DUMMYFUNCTION("""COMPUTED_VALUE"""),"-")</f>
        <v>-</v>
      </c>
      <c r="T2241" s="35" t="str">
        <f>IFERROR(__xludf.DUMMYFUNCTION("""COMPUTED_VALUE"""),"MANGUNSUMAN")</f>
        <v>MANGUNSUMAN</v>
      </c>
      <c r="U2241" s="35" t="str">
        <f>IFERROR(__xludf.DUMMYFUNCTION("""COMPUTED_VALUE"""),"RUNNING")</f>
        <v>RUNNING</v>
      </c>
      <c r="V2241" s="37" t="str">
        <f>IFERROR(__xludf.DUMMYFUNCTION("""COMPUTED_VALUE"""),"085238052002")</f>
        <v>085238052002</v>
      </c>
      <c r="W2241" s="45"/>
    </row>
    <row r="2242">
      <c r="A2242" s="45"/>
      <c r="B2242" s="24" t="str">
        <f>IFERROR(__xludf.DUMMYFUNCTION("""COMPUTED_VALUE"""),"26/02/2025 13:40:01")</f>
        <v>26/02/2025 13:40:01</v>
      </c>
      <c r="C2242" s="35"/>
      <c r="D2242" s="10">
        <f>IFERROR(__xludf.DUMMYFUNCTION("""COMPUTED_VALUE"""),45732.0)</f>
        <v>45732</v>
      </c>
      <c r="E2242" s="35" t="str">
        <f>IFERROR(__xludf.DUMMYFUNCTION("""COMPUTED_VALUE"""),"03Mar")</f>
        <v>03Mar</v>
      </c>
      <c r="F2242" s="34" t="str">
        <f>IFERROR(__xludf.DUMMYFUNCTION("""COMPUTED_VALUE"""),"2025")</f>
        <v>2025</v>
      </c>
      <c r="G2242" s="35" t="str">
        <f>IFERROR(__xludf.DUMMYFUNCTION("""COMPUTED_VALUE"""),"POLINA A")</f>
        <v>POLINA A</v>
      </c>
      <c r="H2242" s="35" t="str">
        <f>IFERROR(__xludf.DUMMYFUNCTION("""COMPUTED_VALUE"""),"P7725034262")</f>
        <v>P7725034262</v>
      </c>
      <c r="I2242" s="35">
        <f>IFERROR(__xludf.DUMMYFUNCTION("""COMPUTED_VALUE"""),48.0)</f>
        <v>48</v>
      </c>
      <c r="J2242" s="35" t="str">
        <f>IFERROR(__xludf.DUMMYFUNCTION("""COMPUTED_VALUE"""),"&gt; 44 tahun")</f>
        <v>&gt; 44 tahun</v>
      </c>
      <c r="K2242" s="21" t="str">
        <f>IFERROR(__xludf.DUMMYFUNCTION("""COMPUTED_VALUE"""),"13/11/1977")</f>
        <v>13/11/1977</v>
      </c>
      <c r="L2242" s="21" t="str">
        <f>IFERROR(__xludf.DUMMYFUNCTION("""COMPUTED_VALUE"""),"PEREMPUAN")</f>
        <v>PEREMPUAN</v>
      </c>
      <c r="M2242" s="35" t="str">
        <f>IFERROR(__xludf.DUMMYFUNCTION("""COMPUTED_VALUE"""),"JLN. ST. ABDURAHMAN. GG SUKAMULYA NO 16 A")</f>
        <v>JLN. ST. ABDURAHMAN. GG SUKAMULYA NO 16 A</v>
      </c>
      <c r="N2242" s="35" t="str">
        <f>IFERROR(__xludf.DUMMYFUNCTION("""COMPUTED_VALUE"""),"SUI BANGKONG")</f>
        <v>SUI BANGKONG</v>
      </c>
      <c r="O2242" s="35" t="str">
        <f>IFERROR(__xludf.DUMMYFUNCTION("""COMPUTED_VALUE"""),"PONTIANAK KOTA")</f>
        <v>PONTIANAK KOTA</v>
      </c>
      <c r="P2242" s="35" t="str">
        <f>IFERROR(__xludf.DUMMYFUNCTION("""COMPUTED_VALUE"""),"PONTIANAK")</f>
        <v>PONTIANAK</v>
      </c>
      <c r="Q2242" s="35" t="str">
        <f>IFERROR(__xludf.DUMMYFUNCTION("""COMPUTED_VALUE"""),"KALIMANTAN BARAT")</f>
        <v>KALIMANTAN BARAT</v>
      </c>
      <c r="R2242" s="21" t="str">
        <f>IFERROR(__xludf.DUMMYFUNCTION("""COMPUTED_VALUE"""),"PROTESTAN")</f>
        <v>PROTESTAN</v>
      </c>
      <c r="S2242" s="74" t="str">
        <f>IFERROR(__xludf.DUMMYFUNCTION("""COMPUTED_VALUE"""),"IBU RUMAH TANGGQ")</f>
        <v>IBU RUMAH TANGGQ</v>
      </c>
      <c r="T2242" s="35" t="str">
        <f>IFERROR(__xludf.DUMMYFUNCTION("""COMPUTED_VALUE"""),"STROKE SEBELAH KANAN. KAKI DAN TANGAN")</f>
        <v>STROKE SEBELAH KANAN. KAKI DAN TANGAN</v>
      </c>
      <c r="U2242" s="35" t="str">
        <f>IFERROR(__xludf.DUMMYFUNCTION("""COMPUTED_VALUE"""),"HANYA BISA JALAN. CUMAN BLM JALAN NORMAL. TANGAN BLM AD PERUBAHAN.")</f>
        <v>HANYA BISA JALAN. CUMAN BLM JALAN NORMAL. TANGAN BLM AD PERUBAHAN.</v>
      </c>
      <c r="V2242" s="37" t="str">
        <f>IFERROR(__xludf.DUMMYFUNCTION("""COMPUTED_VALUE"""),"082213484262")</f>
        <v>082213484262</v>
      </c>
      <c r="W2242" s="45"/>
    </row>
    <row r="2243">
      <c r="A2243" s="45"/>
      <c r="B2243" s="24" t="str">
        <f>IFERROR(__xludf.DUMMYFUNCTION("""COMPUTED_VALUE"""),"26/02/2025 13:40:35")</f>
        <v>26/02/2025 13:40:35</v>
      </c>
      <c r="C2243" s="35"/>
      <c r="D2243" s="10">
        <f>IFERROR(__xludf.DUMMYFUNCTION("""COMPUTED_VALUE"""),45733.0)</f>
        <v>45733</v>
      </c>
      <c r="E2243" s="35" t="str">
        <f>IFERROR(__xludf.DUMMYFUNCTION("""COMPUTED_VALUE"""),"03Mar")</f>
        <v>03Mar</v>
      </c>
      <c r="F2243" s="34" t="str">
        <f>IFERROR(__xludf.DUMMYFUNCTION("""COMPUTED_VALUE"""),"2025")</f>
        <v>2025</v>
      </c>
      <c r="G2243" s="35" t="str">
        <f>IFERROR(__xludf.DUMMYFUNCTION("""COMPUTED_VALUE"""),"JULIANA EDWYN")</f>
        <v>JULIANA EDWYN</v>
      </c>
      <c r="H2243" s="35" t="str">
        <f>IFERROR(__xludf.DUMMYFUNCTION("""COMPUTED_VALUE"""),"J6925031006")</f>
        <v>J6925031006</v>
      </c>
      <c r="I2243" s="35">
        <f>IFERROR(__xludf.DUMMYFUNCTION("""COMPUTED_VALUE"""),57.0)</f>
        <v>57</v>
      </c>
      <c r="J2243" s="35" t="str">
        <f>IFERROR(__xludf.DUMMYFUNCTION("""COMPUTED_VALUE"""),"&gt; 44 tahun")</f>
        <v>&gt; 44 tahun</v>
      </c>
      <c r="K2243" s="21" t="str">
        <f>IFERROR(__xludf.DUMMYFUNCTION("""COMPUTED_VALUE"""),"27/05/1969")</f>
        <v>27/05/1969</v>
      </c>
      <c r="L2243" s="21" t="str">
        <f>IFERROR(__xludf.DUMMYFUNCTION("""COMPUTED_VALUE"""),"PEREMPUAN")</f>
        <v>PEREMPUAN</v>
      </c>
      <c r="M2243" s="35" t="str">
        <f>IFERROR(__xludf.DUMMYFUNCTION("""COMPUTED_VALUE"""),"JL PURNAMA MADYA NO 29")</f>
        <v>JL PURNAMA MADYA NO 29</v>
      </c>
      <c r="N2243" s="35" t="str">
        <f>IFERROR(__xludf.DUMMYFUNCTION("""COMPUTED_VALUE"""),"AKCAYA")</f>
        <v>AKCAYA</v>
      </c>
      <c r="O2243" s="35" t="str">
        <f>IFERROR(__xludf.DUMMYFUNCTION("""COMPUTED_VALUE"""),"PONTIANAK SELATAN")</f>
        <v>PONTIANAK SELATAN</v>
      </c>
      <c r="P2243" s="35" t="str">
        <f>IFERROR(__xludf.DUMMYFUNCTION("""COMPUTED_VALUE"""),"PONTIANAK")</f>
        <v>PONTIANAK</v>
      </c>
      <c r="Q2243" s="35" t="str">
        <f>IFERROR(__xludf.DUMMYFUNCTION("""COMPUTED_VALUE"""),"KALIMANTAN BARAT")</f>
        <v>KALIMANTAN BARAT</v>
      </c>
      <c r="R2243" s="21" t="str">
        <f>IFERROR(__xludf.DUMMYFUNCTION("""COMPUTED_VALUE"""),"KATOLIK")</f>
        <v>KATOLIK</v>
      </c>
      <c r="S2243" s="74" t="str">
        <f>IFERROR(__xludf.DUMMYFUNCTION("""COMPUTED_VALUE"""),"IBU RUMAH TANGGA")</f>
        <v>IBU RUMAH TANGGA</v>
      </c>
      <c r="T2243" s="35" t="str">
        <f>IFERROR(__xludf.DUMMYFUNCTION("""COMPUTED_VALUE"""),"SAKIT BAHU")</f>
        <v>SAKIT BAHU</v>
      </c>
      <c r="U2243" s="35" t="str">
        <f>IFERROR(__xludf.DUMMYFUNCTION("""COMPUTED_VALUE"""),"IBU RUMAH TANGGA")</f>
        <v>IBU RUMAH TANGGA</v>
      </c>
      <c r="V2243" s="37" t="str">
        <f>IFERROR(__xludf.DUMMYFUNCTION("""COMPUTED_VALUE"""),"08981391006")</f>
        <v>08981391006</v>
      </c>
      <c r="W2243" s="45"/>
    </row>
    <row r="2244">
      <c r="A2244" s="45"/>
      <c r="B2244" s="24" t="str">
        <f>IFERROR(__xludf.DUMMYFUNCTION("""COMPUTED_VALUE"""),"26/02/2025 16:04:46")</f>
        <v>26/02/2025 16:04:46</v>
      </c>
      <c r="C2244" s="35"/>
      <c r="D2244" s="10">
        <f>IFERROR(__xludf.DUMMYFUNCTION("""COMPUTED_VALUE"""),45733.0)</f>
        <v>45733</v>
      </c>
      <c r="E2244" s="35" t="str">
        <f>IFERROR(__xludf.DUMMYFUNCTION("""COMPUTED_VALUE"""),"03Mar")</f>
        <v>03Mar</v>
      </c>
      <c r="F2244" s="34" t="str">
        <f>IFERROR(__xludf.DUMMYFUNCTION("""COMPUTED_VALUE"""),"2025")</f>
        <v>2025</v>
      </c>
      <c r="G2244" s="35" t="str">
        <f>IFERROR(__xludf.DUMMYFUNCTION("""COMPUTED_VALUE"""),"YULIANA APIN")</f>
        <v>YULIANA APIN</v>
      </c>
      <c r="H2244" s="35" t="str">
        <f>IFERROR(__xludf.DUMMYFUNCTION("""COMPUTED_VALUE"""),"Y6125037171")</f>
        <v>Y6125037171</v>
      </c>
      <c r="I2244" s="35">
        <f>IFERROR(__xludf.DUMMYFUNCTION("""COMPUTED_VALUE"""),64.0)</f>
        <v>64</v>
      </c>
      <c r="J2244" s="35" t="str">
        <f>IFERROR(__xludf.DUMMYFUNCTION("""COMPUTED_VALUE"""),"&gt; 44 tahun")</f>
        <v>&gt; 44 tahun</v>
      </c>
      <c r="K2244" s="21" t="str">
        <f>IFERROR(__xludf.DUMMYFUNCTION("""COMPUTED_VALUE"""),"26/07/1961")</f>
        <v>26/07/1961</v>
      </c>
      <c r="L2244" s="21" t="str">
        <f>IFERROR(__xludf.DUMMYFUNCTION("""COMPUTED_VALUE"""),"PEREMPUAN")</f>
        <v>PEREMPUAN</v>
      </c>
      <c r="M2244" s="35" t="str">
        <f>IFERROR(__xludf.DUMMYFUNCTION("""COMPUTED_VALUE"""),"DSN TAPANG PULAU RT/RW 001/001")</f>
        <v>DSN TAPANG PULAU RT/RW 001/001</v>
      </c>
      <c r="N2244" s="35" t="str">
        <f>IFERROR(__xludf.DUMMYFUNCTION("""COMPUTED_VALUE"""),"TAPANG PULAU")</f>
        <v>TAPANG PULAU</v>
      </c>
      <c r="O2244" s="35" t="str">
        <f>IFERROR(__xludf.DUMMYFUNCTION("""COMPUTED_VALUE"""),"BELITANG HILIR")</f>
        <v>BELITANG HILIR</v>
      </c>
      <c r="P2244" s="35" t="str">
        <f>IFERROR(__xludf.DUMMYFUNCTION("""COMPUTED_VALUE"""),"SEKADAU")</f>
        <v>SEKADAU</v>
      </c>
      <c r="Q2244" s="35" t="str">
        <f>IFERROR(__xludf.DUMMYFUNCTION("""COMPUTED_VALUE"""),"KALIMANTAN BARAT")</f>
        <v>KALIMANTAN BARAT</v>
      </c>
      <c r="R2244" s="21" t="str">
        <f>IFERROR(__xludf.DUMMYFUNCTION("""COMPUTED_VALUE"""),"KATOLIK")</f>
        <v>KATOLIK</v>
      </c>
      <c r="S2244" s="74" t="str">
        <f>IFERROR(__xludf.DUMMYFUNCTION("""COMPUTED_VALUE"""),"IBU RUMAH TANGGA")</f>
        <v>IBU RUMAH TANGGA</v>
      </c>
      <c r="T2244" s="35" t="str">
        <f>IFERROR(__xludf.DUMMYFUNCTION("""COMPUTED_VALUE"""),"NYERI LUTUT")</f>
        <v>NYERI LUTUT</v>
      </c>
      <c r="U2244" s="35" t="str">
        <f>IFERROR(__xludf.DUMMYFUNCTION("""COMPUTED_VALUE"""),"KADANG KE KEBUN, AKTIVITAS DIRUMAH JUALAN SEMBAKO.")</f>
        <v>KADANG KE KEBUN, AKTIVITAS DIRUMAH JUALAN SEMBAKO.</v>
      </c>
      <c r="V2244" s="37" t="str">
        <f>IFERROR(__xludf.DUMMYFUNCTION("""COMPUTED_VALUE"""),"082351767171")</f>
        <v>082351767171</v>
      </c>
      <c r="W2244" s="45"/>
    </row>
    <row r="2245">
      <c r="A2245" s="45"/>
      <c r="B2245" s="24" t="str">
        <f>IFERROR(__xludf.DUMMYFUNCTION("""COMPUTED_VALUE"""),"26/02/2025 16:56:31")</f>
        <v>26/02/2025 16:56:31</v>
      </c>
      <c r="C2245" s="35"/>
      <c r="D2245" s="10">
        <f>IFERROR(__xludf.DUMMYFUNCTION("""COMPUTED_VALUE"""),45733.0)</f>
        <v>45733</v>
      </c>
      <c r="E2245" s="35" t="str">
        <f>IFERROR(__xludf.DUMMYFUNCTION("""COMPUTED_VALUE"""),"03Mar")</f>
        <v>03Mar</v>
      </c>
      <c r="F2245" s="34" t="str">
        <f>IFERROR(__xludf.DUMMYFUNCTION("""COMPUTED_VALUE"""),"2025")</f>
        <v>2025</v>
      </c>
      <c r="G2245" s="35" t="str">
        <f>IFERROR(__xludf.DUMMYFUNCTION("""COMPUTED_VALUE"""),"KASIDINI RAMADHANI")</f>
        <v>KASIDINI RAMADHANI</v>
      </c>
      <c r="H2245" s="35" t="str">
        <f>IFERROR(__xludf.DUMMYFUNCTION("""COMPUTED_VALUE"""),"K9725036022")</f>
        <v>K9725036022</v>
      </c>
      <c r="I2245" s="35">
        <f>IFERROR(__xludf.DUMMYFUNCTION("""COMPUTED_VALUE"""),29.0)</f>
        <v>29</v>
      </c>
      <c r="J2245" s="35" t="str">
        <f>IFERROR(__xludf.DUMMYFUNCTION("""COMPUTED_VALUE"""),"25-34 tahun")</f>
        <v>25-34 tahun</v>
      </c>
      <c r="K2245" s="21" t="str">
        <f>IFERROR(__xludf.DUMMYFUNCTION("""COMPUTED_VALUE"""),"15/01/1997")</f>
        <v>15/01/1997</v>
      </c>
      <c r="L2245" s="21" t="str">
        <f>IFERROR(__xludf.DUMMYFUNCTION("""COMPUTED_VALUE"""),"PEREMPUAN")</f>
        <v>PEREMPUAN</v>
      </c>
      <c r="M2245" s="35" t="str">
        <f>IFERROR(__xludf.DUMMYFUNCTION("""COMPUTED_VALUE"""),"GG LEMBAH MURAI")</f>
        <v>GG LEMBAH MURAI</v>
      </c>
      <c r="N2245" s="35" t="str">
        <f>IFERROR(__xludf.DUMMYFUNCTION("""COMPUTED_VALUE"""),"MARIANA")</f>
        <v>MARIANA</v>
      </c>
      <c r="O2245" s="35" t="str">
        <f>IFERROR(__xludf.DUMMYFUNCTION("""COMPUTED_VALUE"""),"MARIANA")</f>
        <v>MARIANA</v>
      </c>
      <c r="P2245" s="35" t="str">
        <f>IFERROR(__xludf.DUMMYFUNCTION("""COMPUTED_VALUE"""),"PONTIANAK KOTA")</f>
        <v>PONTIANAK KOTA</v>
      </c>
      <c r="Q2245" s="35" t="str">
        <f>IFERROR(__xludf.DUMMYFUNCTION("""COMPUTED_VALUE"""),"KALIMANTAN BARAT")</f>
        <v>KALIMANTAN BARAT</v>
      </c>
      <c r="R2245" s="21" t="str">
        <f>IFERROR(__xludf.DUMMYFUNCTION("""COMPUTED_VALUE"""),"ISLAM")</f>
        <v>ISLAM</v>
      </c>
      <c r="S2245" s="74" t="str">
        <f>IFERROR(__xludf.DUMMYFUNCTION("""COMPUTED_VALUE"""),"KARYAWAN SWASTA")</f>
        <v>KARYAWAN SWASTA</v>
      </c>
      <c r="T2245" s="35" t="str">
        <f>IFERROR(__xludf.DUMMYFUNCTION("""COMPUTED_VALUE"""),"LUTUT NGILU")</f>
        <v>LUTUT NGILU</v>
      </c>
      <c r="U2245" s="35" t="str">
        <f>IFERROR(__xludf.DUMMYFUNCTION("""COMPUTED_VALUE"""),"GYM, JOGGING")</f>
        <v>GYM, JOGGING</v>
      </c>
      <c r="V2245" s="37" t="str">
        <f>IFERROR(__xludf.DUMMYFUNCTION("""COMPUTED_VALUE"""),"089520956022")</f>
        <v>089520956022</v>
      </c>
      <c r="W2245" s="45"/>
    </row>
    <row r="2246">
      <c r="A2246" s="45"/>
      <c r="B2246" s="24" t="str">
        <f>IFERROR(__xludf.DUMMYFUNCTION("""COMPUTED_VALUE"""),"26/02/2025 17:40:06")</f>
        <v>26/02/2025 17:40:06</v>
      </c>
      <c r="C2246" s="35"/>
      <c r="D2246" s="10">
        <f>IFERROR(__xludf.DUMMYFUNCTION("""COMPUTED_VALUE"""),45733.0)</f>
        <v>45733</v>
      </c>
      <c r="E2246" s="35" t="str">
        <f>IFERROR(__xludf.DUMMYFUNCTION("""COMPUTED_VALUE"""),"03Mar")</f>
        <v>03Mar</v>
      </c>
      <c r="F2246" s="34" t="str">
        <f>IFERROR(__xludf.DUMMYFUNCTION("""COMPUTED_VALUE"""),"2025")</f>
        <v>2025</v>
      </c>
      <c r="G2246" s="35" t="str">
        <f>IFERROR(__xludf.DUMMYFUNCTION("""COMPUTED_VALUE"""),"CICI")</f>
        <v>CICI</v>
      </c>
      <c r="H2246" s="35" t="str">
        <f>IFERROR(__xludf.DUMMYFUNCTION("""COMPUTED_VALUE"""),"C8125036535")</f>
        <v>C8125036535</v>
      </c>
      <c r="I2246" s="35">
        <f>IFERROR(__xludf.DUMMYFUNCTION("""COMPUTED_VALUE"""),45.0)</f>
        <v>45</v>
      </c>
      <c r="J2246" s="35" t="str">
        <f>IFERROR(__xludf.DUMMYFUNCTION("""COMPUTED_VALUE"""),"&gt; 44 tahun")</f>
        <v>&gt; 44 tahun</v>
      </c>
      <c r="K2246" s="21" t="str">
        <f>IFERROR(__xludf.DUMMYFUNCTION("""COMPUTED_VALUE"""),"01/01/1981")</f>
        <v>01/01/1981</v>
      </c>
      <c r="L2246" s="21" t="str">
        <f>IFERROR(__xludf.DUMMYFUNCTION("""COMPUTED_VALUE"""),"PEREMPUAN")</f>
        <v>PEREMPUAN</v>
      </c>
      <c r="M2246" s="35" t="str">
        <f>IFERROR(__xludf.DUMMYFUNCTION("""COMPUTED_VALUE"""),"TANJUNG PULAU")</f>
        <v>TANJUNG PULAU</v>
      </c>
      <c r="N2246" s="35" t="str">
        <f>IFERROR(__xludf.DUMMYFUNCTION("""COMPUTED_VALUE"""),"-")</f>
        <v>-</v>
      </c>
      <c r="O2246" s="35" t="str">
        <f>IFERROR(__xludf.DUMMYFUNCTION("""COMPUTED_VALUE"""),"-")</f>
        <v>-</v>
      </c>
      <c r="P2246" s="35" t="str">
        <f>IFERROR(__xludf.DUMMYFUNCTION("""COMPUTED_VALUE"""),"KOTA PONTIANAK")</f>
        <v>KOTA PONTIANAK</v>
      </c>
      <c r="Q2246" s="35" t="str">
        <f>IFERROR(__xludf.DUMMYFUNCTION("""COMPUTED_VALUE"""),"KALIMANTAN BARAT")</f>
        <v>KALIMANTAN BARAT</v>
      </c>
      <c r="R2246" s="21" t="str">
        <f>IFERROR(__xludf.DUMMYFUNCTION("""COMPUTED_VALUE"""),"ISLAM")</f>
        <v>ISLAM</v>
      </c>
      <c r="S2246" s="74" t="str">
        <f>IFERROR(__xludf.DUMMYFUNCTION("""COMPUTED_VALUE"""),"IRT")</f>
        <v>IRT</v>
      </c>
      <c r="T2246" s="35" t="str">
        <f>IFERROR(__xludf.DUMMYFUNCTION("""COMPUTED_VALUE"""),"LUTUT")</f>
        <v>LUTUT</v>
      </c>
      <c r="U2246" s="35" t="str">
        <f>IFERROR(__xludf.DUMMYFUNCTION("""COMPUTED_VALUE"""),"-")</f>
        <v>-</v>
      </c>
      <c r="V2246" s="37" t="str">
        <f>IFERROR(__xludf.DUMMYFUNCTION("""COMPUTED_VALUE"""),"089502046535")</f>
        <v>089502046535</v>
      </c>
      <c r="W2246" s="45"/>
    </row>
    <row r="2247">
      <c r="A2247" s="45"/>
      <c r="B2247" s="24" t="str">
        <f>IFERROR(__xludf.DUMMYFUNCTION("""COMPUTED_VALUE"""),"26/02/2025 21:11:49")</f>
        <v>26/02/2025 21:11:49</v>
      </c>
      <c r="C2247" s="35"/>
      <c r="D2247" s="10">
        <f>IFERROR(__xludf.DUMMYFUNCTION("""COMPUTED_VALUE"""),45734.0)</f>
        <v>45734</v>
      </c>
      <c r="E2247" s="35" t="str">
        <f>IFERROR(__xludf.DUMMYFUNCTION("""COMPUTED_VALUE"""),"03Mar")</f>
        <v>03Mar</v>
      </c>
      <c r="F2247" s="34" t="str">
        <f>IFERROR(__xludf.DUMMYFUNCTION("""COMPUTED_VALUE"""),"2025")</f>
        <v>2025</v>
      </c>
      <c r="G2247" s="35" t="str">
        <f>IFERROR(__xludf.DUMMYFUNCTION("""COMPUTED_VALUE"""),"LINDA SUSANTI")</f>
        <v>LINDA SUSANTI</v>
      </c>
      <c r="H2247" s="35" t="str">
        <f>IFERROR(__xludf.DUMMYFUNCTION("""COMPUTED_VALUE"""),"L8225031617")</f>
        <v>L8225031617</v>
      </c>
      <c r="I2247" s="35">
        <f>IFERROR(__xludf.DUMMYFUNCTION("""COMPUTED_VALUE"""),43.0)</f>
        <v>43</v>
      </c>
      <c r="J2247" s="35" t="str">
        <f>IFERROR(__xludf.DUMMYFUNCTION("""COMPUTED_VALUE"""),"35-44 tahun")</f>
        <v>35-44 tahun</v>
      </c>
      <c r="K2247" s="21" t="str">
        <f>IFERROR(__xludf.DUMMYFUNCTION("""COMPUTED_VALUE"""),"10/09/1982")</f>
        <v>10/09/1982</v>
      </c>
      <c r="L2247" s="21" t="str">
        <f>IFERROR(__xludf.DUMMYFUNCTION("""COMPUTED_VALUE"""),"PEREMPUAN")</f>
        <v>PEREMPUAN</v>
      </c>
      <c r="M2247" s="35" t="str">
        <f>IFERROR(__xludf.DUMMYFUNCTION("""COMPUTED_VALUE"""),"JL TANI MAKMUR 28")</f>
        <v>JL TANI MAKMUR 28</v>
      </c>
      <c r="N2247" s="35" t="str">
        <f>IFERROR(__xludf.DUMMYFUNCTION("""COMPUTED_VALUE"""),"AKCAYA")</f>
        <v>AKCAYA</v>
      </c>
      <c r="O2247" s="35" t="str">
        <f>IFERROR(__xludf.DUMMYFUNCTION("""COMPUTED_VALUE"""),"PONTIANAK SELATAN")</f>
        <v>PONTIANAK SELATAN</v>
      </c>
      <c r="P2247" s="35" t="str">
        <f>IFERROR(__xludf.DUMMYFUNCTION("""COMPUTED_VALUE"""),"KOTA PONTIANAK")</f>
        <v>KOTA PONTIANAK</v>
      </c>
      <c r="Q2247" s="35" t="str">
        <f>IFERROR(__xludf.DUMMYFUNCTION("""COMPUTED_VALUE"""),"KALIMANTAN BARAT")</f>
        <v>KALIMANTAN BARAT</v>
      </c>
      <c r="R2247" s="21" t="str">
        <f>IFERROR(__xludf.DUMMYFUNCTION("""COMPUTED_VALUE"""),"ISLAM")</f>
        <v>ISLAM</v>
      </c>
      <c r="S2247" s="74" t="str">
        <f>IFERROR(__xludf.DUMMYFUNCTION("""COMPUTED_VALUE"""),"WIRASWASTA")</f>
        <v>WIRASWASTA</v>
      </c>
      <c r="T2247" s="35" t="str">
        <f>IFERROR(__xludf.DUMMYFUNCTION("""COMPUTED_VALUE"""),"BAHU DAN LENGAN KIRI TIDAK BISA DI ANGKAT DAN SAKIT")</f>
        <v>BAHU DAN LENGAN KIRI TIDAK BISA DI ANGKAT DAN SAKIT</v>
      </c>
      <c r="U2247" s="35" t="str">
        <f>IFERROR(__xludf.DUMMYFUNCTION("""COMPUTED_VALUE"""),"-")</f>
        <v>-</v>
      </c>
      <c r="V2247" s="37" t="str">
        <f>IFERROR(__xludf.DUMMYFUNCTION("""COMPUTED_VALUE"""),"085828251617")</f>
        <v>085828251617</v>
      </c>
      <c r="W2247" s="45"/>
    </row>
    <row r="2248">
      <c r="A2248" s="45"/>
      <c r="B2248" s="24" t="str">
        <f>IFERROR(__xludf.DUMMYFUNCTION("""COMPUTED_VALUE"""),"26/02/2025 15:07:49")</f>
        <v>26/02/2025 15:07:49</v>
      </c>
      <c r="C2248" s="35"/>
      <c r="D2248" s="10">
        <f>IFERROR(__xludf.DUMMYFUNCTION("""COMPUTED_VALUE"""),45735.0)</f>
        <v>45735</v>
      </c>
      <c r="E2248" s="35" t="str">
        <f>IFERROR(__xludf.DUMMYFUNCTION("""COMPUTED_VALUE"""),"03Mar")</f>
        <v>03Mar</v>
      </c>
      <c r="F2248" s="34" t="str">
        <f>IFERROR(__xludf.DUMMYFUNCTION("""COMPUTED_VALUE"""),"2025")</f>
        <v>2025</v>
      </c>
      <c r="G2248" s="35" t="str">
        <f>IFERROR(__xludf.DUMMYFUNCTION("""COMPUTED_VALUE"""),"HERI SUWARDI")</f>
        <v>HERI SUWARDI</v>
      </c>
      <c r="H2248" s="35" t="str">
        <f>IFERROR(__xludf.DUMMYFUNCTION("""COMPUTED_VALUE"""),"H8825037111")</f>
        <v>H8825037111</v>
      </c>
      <c r="I2248" s="35">
        <f>IFERROR(__xludf.DUMMYFUNCTION("""COMPUTED_VALUE"""),37.0)</f>
        <v>37</v>
      </c>
      <c r="J2248" s="35" t="str">
        <f>IFERROR(__xludf.DUMMYFUNCTION("""COMPUTED_VALUE"""),"35-44 tahun")</f>
        <v>35-44 tahun</v>
      </c>
      <c r="K2248" s="21" t="str">
        <f>IFERROR(__xludf.DUMMYFUNCTION("""COMPUTED_VALUE"""),"26/10/1988")</f>
        <v>26/10/1988</v>
      </c>
      <c r="L2248" s="21" t="str">
        <f>IFERROR(__xludf.DUMMYFUNCTION("""COMPUTED_VALUE"""),"LAKI-LAKI")</f>
        <v>LAKI-LAKI</v>
      </c>
      <c r="M2248" s="35" t="str">
        <f>IFERROR(__xludf.DUMMYFUNCTION("""COMPUTED_VALUE"""),"GG BOIGENVILLE")</f>
        <v>GG BOIGENVILLE</v>
      </c>
      <c r="N2248" s="35" t="str">
        <f>IFERROR(__xludf.DUMMYFUNCTION("""COMPUTED_VALUE"""),"SUNGAI JAWI LUAR")</f>
        <v>SUNGAI JAWI LUAR</v>
      </c>
      <c r="O2248" s="35" t="str">
        <f>IFERROR(__xludf.DUMMYFUNCTION("""COMPUTED_VALUE"""),"PONTIANAK BARAT")</f>
        <v>PONTIANAK BARAT</v>
      </c>
      <c r="P2248" s="35" t="str">
        <f>IFERROR(__xludf.DUMMYFUNCTION("""COMPUTED_VALUE"""),"KOTA PONTIANAK")</f>
        <v>KOTA PONTIANAK</v>
      </c>
      <c r="Q2248" s="35" t="str">
        <f>IFERROR(__xludf.DUMMYFUNCTION("""COMPUTED_VALUE"""),"KALIMANTAN BARAT")</f>
        <v>KALIMANTAN BARAT</v>
      </c>
      <c r="R2248" s="21" t="str">
        <f>IFERROR(__xludf.DUMMYFUNCTION("""COMPUTED_VALUE"""),"ISLAM")</f>
        <v>ISLAM</v>
      </c>
      <c r="S2248" s="74" t="str">
        <f>IFERROR(__xludf.DUMMYFUNCTION("""COMPUTED_VALUE"""),"PEGAWAI")</f>
        <v>PEGAWAI</v>
      </c>
      <c r="T2248" s="35" t="str">
        <f>IFERROR(__xludf.DUMMYFUNCTION("""COMPUTED_VALUE"""),"OTOT KAKI KIRI SAKIT")</f>
        <v>OTOT KAKI KIRI SAKIT</v>
      </c>
      <c r="U2248" s="35" t="str">
        <f>IFERROR(__xludf.DUMMYFUNCTION("""COMPUTED_VALUE"""),"OLAHRAGA")</f>
        <v>OLAHRAGA</v>
      </c>
      <c r="V2248" s="37" t="str">
        <f>IFERROR(__xludf.DUMMYFUNCTION("""COMPUTED_VALUE"""),"085245707111")</f>
        <v>085245707111</v>
      </c>
      <c r="W2248" s="45"/>
    </row>
    <row r="2249">
      <c r="A2249" s="45"/>
      <c r="B2249" s="24" t="str">
        <f>IFERROR(__xludf.DUMMYFUNCTION("""COMPUTED_VALUE"""),"27/02/2025 11:08:50")</f>
        <v>27/02/2025 11:08:50</v>
      </c>
      <c r="C2249" s="35"/>
      <c r="D2249" s="10">
        <f>IFERROR(__xludf.DUMMYFUNCTION("""COMPUTED_VALUE"""),45735.0)</f>
        <v>45735</v>
      </c>
      <c r="E2249" s="35" t="str">
        <f>IFERROR(__xludf.DUMMYFUNCTION("""COMPUTED_VALUE"""),"03Mar")</f>
        <v>03Mar</v>
      </c>
      <c r="F2249" s="34" t="str">
        <f>IFERROR(__xludf.DUMMYFUNCTION("""COMPUTED_VALUE"""),"2025")</f>
        <v>2025</v>
      </c>
      <c r="G2249" s="35" t="str">
        <f>IFERROR(__xludf.DUMMYFUNCTION("""COMPUTED_VALUE"""),"BUTI’AH")</f>
        <v>BUTI’AH</v>
      </c>
      <c r="H2249" s="35" t="str">
        <f>IFERROR(__xludf.DUMMYFUNCTION("""COMPUTED_VALUE"""),"B6125039680")</f>
        <v>B6125039680</v>
      </c>
      <c r="I2249" s="35">
        <f>IFERROR(__xludf.DUMMYFUNCTION("""COMPUTED_VALUE"""),64.0)</f>
        <v>64</v>
      </c>
      <c r="J2249" s="35" t="str">
        <f>IFERROR(__xludf.DUMMYFUNCTION("""COMPUTED_VALUE"""),"&gt; 44 tahun")</f>
        <v>&gt; 44 tahun</v>
      </c>
      <c r="K2249" s="21" t="str">
        <f>IFERROR(__xludf.DUMMYFUNCTION("""COMPUTED_VALUE"""),"19/12/1961")</f>
        <v>19/12/1961</v>
      </c>
      <c r="L2249" s="21" t="str">
        <f>IFERROR(__xludf.DUMMYFUNCTION("""COMPUTED_VALUE"""),"PEREMPUAN")</f>
        <v>PEREMPUAN</v>
      </c>
      <c r="M2249" s="35" t="str">
        <f>IFERROR(__xludf.DUMMYFUNCTION("""COMPUTED_VALUE"""),"JL.DR.SUTOMO GG ORDE BARU DALAM NO 14")</f>
        <v>JL.DR.SUTOMO GG ORDE BARU DALAM NO 14</v>
      </c>
      <c r="N2249" s="35" t="str">
        <f>IFERROR(__xludf.DUMMYFUNCTION("""COMPUTED_VALUE"""),"SEI BANGKONG")</f>
        <v>SEI BANGKONG</v>
      </c>
      <c r="O2249" s="35" t="str">
        <f>IFERROR(__xludf.DUMMYFUNCTION("""COMPUTED_VALUE"""),"PONTIANAK KOTA")</f>
        <v>PONTIANAK KOTA</v>
      </c>
      <c r="P2249" s="35" t="str">
        <f>IFERROR(__xludf.DUMMYFUNCTION("""COMPUTED_VALUE"""),"KOTA PONTIANAK")</f>
        <v>KOTA PONTIANAK</v>
      </c>
      <c r="Q2249" s="35" t="str">
        <f>IFERROR(__xludf.DUMMYFUNCTION("""COMPUTED_VALUE"""),"KALIMANTAN BARAT")</f>
        <v>KALIMANTAN BARAT</v>
      </c>
      <c r="R2249" s="21" t="str">
        <f>IFERROR(__xludf.DUMMYFUNCTION("""COMPUTED_VALUE"""),"ISLAM")</f>
        <v>ISLAM</v>
      </c>
      <c r="S2249" s="74" t="str">
        <f>IFERROR(__xludf.DUMMYFUNCTION("""COMPUTED_VALUE"""),"MENGURUS RUMAH RANGGA")</f>
        <v>MENGURUS RUMAH RANGGA</v>
      </c>
      <c r="T2249" s="35" t="str">
        <f>IFERROR(__xludf.DUMMYFUNCTION("""COMPUTED_VALUE"""),"•SARAF KEJEPIT")</f>
        <v>•SARAF KEJEPIT</v>
      </c>
      <c r="U2249" s="35" t="str">
        <f>IFERROR(__xludf.DUMMYFUNCTION("""COMPUTED_VALUE"""),"MEMASAK")</f>
        <v>MEMASAK</v>
      </c>
      <c r="V2249" s="37" t="str">
        <f>IFERROR(__xludf.DUMMYFUNCTION("""COMPUTED_VALUE"""),"085849959680")</f>
        <v>085849959680</v>
      </c>
      <c r="W2249" s="45"/>
    </row>
    <row r="2250">
      <c r="A2250" s="45"/>
      <c r="B2250" s="24" t="str">
        <f>IFERROR(__xludf.DUMMYFUNCTION("""COMPUTED_VALUE"""),"27/02/2025 10:48:58")</f>
        <v>27/02/2025 10:48:58</v>
      </c>
      <c r="C2250" s="35"/>
      <c r="D2250" s="10">
        <f>IFERROR(__xludf.DUMMYFUNCTION("""COMPUTED_VALUE"""),45735.0)</f>
        <v>45735</v>
      </c>
      <c r="E2250" s="35" t="str">
        <f>IFERROR(__xludf.DUMMYFUNCTION("""COMPUTED_VALUE"""),"03Mar")</f>
        <v>03Mar</v>
      </c>
      <c r="F2250" s="34" t="str">
        <f>IFERROR(__xludf.DUMMYFUNCTION("""COMPUTED_VALUE"""),"2025")</f>
        <v>2025</v>
      </c>
      <c r="G2250" s="35" t="str">
        <f>IFERROR(__xludf.DUMMYFUNCTION("""COMPUTED_VALUE"""),"SYF SIFAH")</f>
        <v>SYF SIFAH</v>
      </c>
      <c r="H2250" s="35" t="str">
        <f>IFERROR(__xludf.DUMMYFUNCTION("""COMPUTED_VALUE"""),"S6025038415")</f>
        <v>S6025038415</v>
      </c>
      <c r="I2250" s="35">
        <f>IFERROR(__xludf.DUMMYFUNCTION("""COMPUTED_VALUE"""),66.0)</f>
        <v>66</v>
      </c>
      <c r="J2250" s="35" t="str">
        <f>IFERROR(__xludf.DUMMYFUNCTION("""COMPUTED_VALUE"""),"&gt; 44 tahun")</f>
        <v>&gt; 44 tahun</v>
      </c>
      <c r="K2250" s="21" t="str">
        <f>IFERROR(__xludf.DUMMYFUNCTION("""COMPUTED_VALUE"""),"05/04/1960")</f>
        <v>05/04/1960</v>
      </c>
      <c r="L2250" s="21" t="str">
        <f>IFERROR(__xludf.DUMMYFUNCTION("""COMPUTED_VALUE"""),"PEREMPUAN")</f>
        <v>PEREMPUAN</v>
      </c>
      <c r="M2250" s="35" t="str">
        <f>IFERROR(__xludf.DUMMYFUNCTION("""COMPUTED_VALUE"""),"DUSUN KUALA AMBAWANG")</f>
        <v>DUSUN KUALA AMBAWANG</v>
      </c>
      <c r="N2250" s="35" t="str">
        <f>IFERROR(__xludf.DUMMYFUNCTION("""COMPUTED_VALUE"""),"AMBAWANG")</f>
        <v>AMBAWANG</v>
      </c>
      <c r="O2250" s="35" t="str">
        <f>IFERROR(__xludf.DUMMYFUNCTION("""COMPUTED_VALUE"""),"KUBU")</f>
        <v>KUBU</v>
      </c>
      <c r="P2250" s="35" t="str">
        <f>IFERROR(__xludf.DUMMYFUNCTION("""COMPUTED_VALUE"""),"KUBU RAYA")</f>
        <v>KUBU RAYA</v>
      </c>
      <c r="Q2250" s="35" t="str">
        <f>IFERROR(__xludf.DUMMYFUNCTION("""COMPUTED_VALUE"""),"KALIMANTAN BARAT")</f>
        <v>KALIMANTAN BARAT</v>
      </c>
      <c r="R2250" s="21" t="str">
        <f>IFERROR(__xludf.DUMMYFUNCTION("""COMPUTED_VALUE"""),"ISLAM")</f>
        <v>ISLAM</v>
      </c>
      <c r="S2250" s="74" t="str">
        <f>IFERROR(__xludf.DUMMYFUNCTION("""COMPUTED_VALUE"""),"IBU RUMAH TANGGA")</f>
        <v>IBU RUMAH TANGGA</v>
      </c>
      <c r="T2250" s="35" t="str">
        <f>IFERROR(__xludf.DUMMYFUNCTION("""COMPUTED_VALUE"""),"SAFAR KEJEPIT")</f>
        <v>SAFAR KEJEPIT</v>
      </c>
      <c r="U2250" s="35" t="str">
        <f>IFERROR(__xludf.DUMMYFUNCTION("""COMPUTED_VALUE"""),"MEMASAK")</f>
        <v>MEMASAK</v>
      </c>
      <c r="V2250" s="37" t="str">
        <f>IFERROR(__xludf.DUMMYFUNCTION("""COMPUTED_VALUE"""),"0882021528415")</f>
        <v>0882021528415</v>
      </c>
      <c r="W2250" s="45"/>
    </row>
    <row r="2251">
      <c r="A2251" s="45"/>
      <c r="B2251" s="24" t="str">
        <f>IFERROR(__xludf.DUMMYFUNCTION("""COMPUTED_VALUE"""),"27/02/2025 21:06:04")</f>
        <v>27/02/2025 21:06:04</v>
      </c>
      <c r="C2251" s="35"/>
      <c r="D2251" s="10">
        <f>IFERROR(__xludf.DUMMYFUNCTION("""COMPUTED_VALUE"""),45736.0)</f>
        <v>45736</v>
      </c>
      <c r="E2251" s="35" t="str">
        <f>IFERROR(__xludf.DUMMYFUNCTION("""COMPUTED_VALUE"""),"03Mar")</f>
        <v>03Mar</v>
      </c>
      <c r="F2251" s="34" t="str">
        <f>IFERROR(__xludf.DUMMYFUNCTION("""COMPUTED_VALUE"""),"2025")</f>
        <v>2025</v>
      </c>
      <c r="G2251" s="35" t="str">
        <f>IFERROR(__xludf.DUMMYFUNCTION("""COMPUTED_VALUE"""),"FERONIKA ROSMA ROTUA P")</f>
        <v>FERONIKA ROSMA ROTUA P</v>
      </c>
      <c r="H2251" s="35" t="str">
        <f>IFERROR(__xludf.DUMMYFUNCTION("""COMPUTED_VALUE"""),"F9625039988")</f>
        <v>F9625039988</v>
      </c>
      <c r="I2251" s="35">
        <f>IFERROR(__xludf.DUMMYFUNCTION("""COMPUTED_VALUE"""),29.0)</f>
        <v>29</v>
      </c>
      <c r="J2251" s="35" t="str">
        <f>IFERROR(__xludf.DUMMYFUNCTION("""COMPUTED_VALUE"""),"25-34 tahun")</f>
        <v>25-34 tahun</v>
      </c>
      <c r="K2251" s="21" t="str">
        <f>IFERROR(__xludf.DUMMYFUNCTION("""COMPUTED_VALUE"""),"22/10/1996")</f>
        <v>22/10/1996</v>
      </c>
      <c r="L2251" s="21" t="str">
        <f>IFERROR(__xludf.DUMMYFUNCTION("""COMPUTED_VALUE"""),"PEREMPUAN")</f>
        <v>PEREMPUAN</v>
      </c>
      <c r="M2251" s="35" t="str">
        <f>IFERROR(__xludf.DUMMYFUNCTION("""COMPUTED_VALUE"""),"GG BANDARIA KEL TENGAH KEC MEMPAWAH HILIR KAB MEMPAWAH")</f>
        <v>GG BANDARIA KEL TENGAH KEC MEMPAWAH HILIR KAB MEMPAWAH</v>
      </c>
      <c r="N2251" s="35" t="str">
        <f>IFERROR(__xludf.DUMMYFUNCTION("""COMPUTED_VALUE"""),"TENGAH")</f>
        <v>TENGAH</v>
      </c>
      <c r="O2251" s="35" t="str">
        <f>IFERROR(__xludf.DUMMYFUNCTION("""COMPUTED_VALUE"""),"MEMPAWAH HILIR")</f>
        <v>MEMPAWAH HILIR</v>
      </c>
      <c r="P2251" s="35" t="str">
        <f>IFERROR(__xludf.DUMMYFUNCTION("""COMPUTED_VALUE"""),"MEMPAWAH")</f>
        <v>MEMPAWAH</v>
      </c>
      <c r="Q2251" s="35" t="str">
        <f>IFERROR(__xludf.DUMMYFUNCTION("""COMPUTED_VALUE"""),"KALBAR")</f>
        <v>KALBAR</v>
      </c>
      <c r="R2251" s="21" t="str">
        <f>IFERROR(__xludf.DUMMYFUNCTION("""COMPUTED_VALUE"""),"PROTESTAN")</f>
        <v>PROTESTAN</v>
      </c>
      <c r="S2251" s="74" t="str">
        <f>IFERROR(__xludf.DUMMYFUNCTION("""COMPUTED_VALUE"""),"POLRI")</f>
        <v>POLRI</v>
      </c>
      <c r="T2251" s="35" t="str">
        <f>IFERROR(__xludf.DUMMYFUNCTION("""COMPUTED_VALUE"""),"SAKIT DI BAGIAN PINGGANG BELAKANG")</f>
        <v>SAKIT DI BAGIAN PINGGANG BELAKANG</v>
      </c>
      <c r="U2251" s="35" t="str">
        <f>IFERROR(__xludf.DUMMYFUNCTION("""COMPUTED_VALUE"""),"ANGKAT BEBAN BERAT")</f>
        <v>ANGKAT BEBAN BERAT</v>
      </c>
      <c r="V2251" s="37" t="str">
        <f>IFERROR(__xludf.DUMMYFUNCTION("""COMPUTED_VALUE"""),"085217229988")</f>
        <v>085217229988</v>
      </c>
      <c r="W2251" s="45"/>
    </row>
    <row r="2252">
      <c r="A2252" s="45"/>
      <c r="B2252" s="24" t="str">
        <f>IFERROR(__xludf.DUMMYFUNCTION("""COMPUTED_VALUE"""),"27/02/2025 21:08:15")</f>
        <v>27/02/2025 21:08:15</v>
      </c>
      <c r="C2252" s="35"/>
      <c r="D2252" s="10">
        <f>IFERROR(__xludf.DUMMYFUNCTION("""COMPUTED_VALUE"""),45736.0)</f>
        <v>45736</v>
      </c>
      <c r="E2252" s="35" t="str">
        <f>IFERROR(__xludf.DUMMYFUNCTION("""COMPUTED_VALUE"""),"03Mar")</f>
        <v>03Mar</v>
      </c>
      <c r="F2252" s="34" t="str">
        <f>IFERROR(__xludf.DUMMYFUNCTION("""COMPUTED_VALUE"""),"2025")</f>
        <v>2025</v>
      </c>
      <c r="G2252" s="35" t="str">
        <f>IFERROR(__xludf.DUMMYFUNCTION("""COMPUTED_VALUE"""),"MARDIANA 5706")</f>
        <v>MARDIANA 5706</v>
      </c>
      <c r="H2252" s="35" t="str">
        <f>IFERROR(__xludf.DUMMYFUNCTION("""COMPUTED_VALUE"""),"M5725037674")</f>
        <v>M5725037674</v>
      </c>
      <c r="I2252" s="35">
        <f>IFERROR(__xludf.DUMMYFUNCTION("""COMPUTED_VALUE"""),69.0)</f>
        <v>69</v>
      </c>
      <c r="J2252" s="35" t="str">
        <f>IFERROR(__xludf.DUMMYFUNCTION("""COMPUTED_VALUE"""),"&gt; 44 tahun")</f>
        <v>&gt; 44 tahun</v>
      </c>
      <c r="K2252" s="21" t="str">
        <f>IFERROR(__xludf.DUMMYFUNCTION("""COMPUTED_VALUE"""),"01/06/1957")</f>
        <v>01/06/1957</v>
      </c>
      <c r="L2252" s="21" t="str">
        <f>IFERROR(__xludf.DUMMYFUNCTION("""COMPUTED_VALUE"""),"PEREMPUAN")</f>
        <v>PEREMPUAN</v>
      </c>
      <c r="M2252" s="35" t="str">
        <f>IFERROR(__xludf.DUMMYFUNCTION("""COMPUTED_VALUE"""),"JL SUPRAPTO NO. 56")</f>
        <v>JL SUPRAPTO NO. 56</v>
      </c>
      <c r="N2252" s="35" t="str">
        <f>IFERROR(__xludf.DUMMYFUNCTION("""COMPUTED_VALUE"""),"DELTA PAWAN")</f>
        <v>DELTA PAWAN</v>
      </c>
      <c r="O2252" s="35" t="str">
        <f>IFERROR(__xludf.DUMMYFUNCTION("""COMPUTED_VALUE"""),"JL SUPRAPTO")</f>
        <v>JL SUPRAPTO</v>
      </c>
      <c r="P2252" s="35" t="str">
        <f>IFERROR(__xludf.DUMMYFUNCTION("""COMPUTED_VALUE"""),"KETAPANG")</f>
        <v>KETAPANG</v>
      </c>
      <c r="Q2252" s="35" t="str">
        <f>IFERROR(__xludf.DUMMYFUNCTION("""COMPUTED_VALUE"""),"KALIMANTAN BARAT")</f>
        <v>KALIMANTAN BARAT</v>
      </c>
      <c r="R2252" s="21" t="str">
        <f>IFERROR(__xludf.DUMMYFUNCTION("""COMPUTED_VALUE"""),"ISLAM")</f>
        <v>ISLAM</v>
      </c>
      <c r="S2252" s="74" t="str">
        <f>IFERROR(__xludf.DUMMYFUNCTION("""COMPUTED_VALUE"""),"IRT")</f>
        <v>IRT</v>
      </c>
      <c r="T2252" s="35" t="str">
        <f>IFERROR(__xludf.DUMMYFUNCTION("""COMPUTED_VALUE"""),"BAHU")</f>
        <v>BAHU</v>
      </c>
      <c r="U2252" s="35" t="str">
        <f>IFERROR(__xludf.DUMMYFUNCTION("""COMPUTED_VALUE"""),"PEKERJAAN RUMAH")</f>
        <v>PEKERJAAN RUMAH</v>
      </c>
      <c r="V2252" s="37" t="str">
        <f>IFERROR(__xludf.DUMMYFUNCTION("""COMPUTED_VALUE"""),"81254357674")</f>
        <v>81254357674</v>
      </c>
      <c r="W2252" s="45"/>
    </row>
    <row r="2253">
      <c r="A2253" s="45"/>
      <c r="B2253" s="24" t="str">
        <f>IFERROR(__xludf.DUMMYFUNCTION("""COMPUTED_VALUE"""),"28/02/2025 12:13:41")</f>
        <v>28/02/2025 12:13:41</v>
      </c>
      <c r="C2253" s="35"/>
      <c r="D2253" s="10">
        <f>IFERROR(__xludf.DUMMYFUNCTION("""COMPUTED_VALUE"""),45737.0)</f>
        <v>45737</v>
      </c>
      <c r="E2253" s="35" t="str">
        <f>IFERROR(__xludf.DUMMYFUNCTION("""COMPUTED_VALUE"""),"03Mar")</f>
        <v>03Mar</v>
      </c>
      <c r="F2253" s="34" t="str">
        <f>IFERROR(__xludf.DUMMYFUNCTION("""COMPUTED_VALUE"""),"2025")</f>
        <v>2025</v>
      </c>
      <c r="G2253" s="35" t="str">
        <f>IFERROR(__xludf.DUMMYFUNCTION("""COMPUTED_VALUE"""),"DIVO")</f>
        <v>DIVO</v>
      </c>
      <c r="H2253" s="35" t="str">
        <f>IFERROR(__xludf.DUMMYFUNCTION("""COMPUTED_VALUE"""),"D0925034440")</f>
        <v>D0925034440</v>
      </c>
      <c r="I2253" s="35">
        <f>IFERROR(__xludf.DUMMYFUNCTION("""COMPUTED_VALUE"""),17.0)</f>
        <v>17</v>
      </c>
      <c r="J2253" s="35" t="str">
        <f>IFERROR(__xludf.DUMMYFUNCTION("""COMPUTED_VALUE"""),"&lt; 18 tahun")</f>
        <v>&lt; 18 tahun</v>
      </c>
      <c r="K2253" s="21" t="str">
        <f>IFERROR(__xludf.DUMMYFUNCTION("""COMPUTED_VALUE"""),"28/03/2009")</f>
        <v>28/03/2009</v>
      </c>
      <c r="L2253" s="21" t="str">
        <f>IFERROR(__xludf.DUMMYFUNCTION("""COMPUTED_VALUE"""),"LAKI-LAKI")</f>
        <v>LAKI-LAKI</v>
      </c>
      <c r="M2253" s="35" t="str">
        <f>IFERROR(__xludf.DUMMYFUNCTION("""COMPUTED_VALUE"""),"JL. PANGLIMA AIM GG. KOMPLEK SERUNI INDAH III E4")</f>
        <v>JL. PANGLIMA AIM GG. KOMPLEK SERUNI INDAH III E4</v>
      </c>
      <c r="N2253" s="35" t="str">
        <f>IFERROR(__xludf.DUMMYFUNCTION("""COMPUTED_VALUE"""),"DALAM BUGIS")</f>
        <v>DALAM BUGIS</v>
      </c>
      <c r="O2253" s="35" t="str">
        <f>IFERROR(__xludf.DUMMYFUNCTION("""COMPUTED_VALUE"""),"PONTIANAK TIMUR")</f>
        <v>PONTIANAK TIMUR</v>
      </c>
      <c r="P2253" s="35" t="str">
        <f>IFERROR(__xludf.DUMMYFUNCTION("""COMPUTED_VALUE"""),"KOTA PONTIANAK")</f>
        <v>KOTA PONTIANAK</v>
      </c>
      <c r="Q2253" s="35" t="str">
        <f>IFERROR(__xludf.DUMMYFUNCTION("""COMPUTED_VALUE"""),"KALIMANTAN BARAT")</f>
        <v>KALIMANTAN BARAT</v>
      </c>
      <c r="R2253" s="21" t="str">
        <f>IFERROR(__xludf.DUMMYFUNCTION("""COMPUTED_VALUE"""),"KATOLIK")</f>
        <v>KATOLIK</v>
      </c>
      <c r="S2253" s="74" t="str">
        <f>IFERROR(__xludf.DUMMYFUNCTION("""COMPUTED_VALUE"""),"PELAJAR")</f>
        <v>PELAJAR</v>
      </c>
      <c r="T2253" s="35" t="str">
        <f>IFERROR(__xludf.DUMMYFUNCTION("""COMPUTED_VALUE"""),"TANGAN KANAN DAN KIRI KURANG LURUS DARI LAHIR")</f>
        <v>TANGAN KANAN DAN KIRI KURANG LURUS DARI LAHIR</v>
      </c>
      <c r="U2253" s="35" t="str">
        <f>IFERROR(__xludf.DUMMYFUNCTION("""COMPUTED_VALUE"""),"JOGING")</f>
        <v>JOGING</v>
      </c>
      <c r="V2253" s="37" t="str">
        <f>IFERROR(__xludf.DUMMYFUNCTION("""COMPUTED_VALUE"""),"082156154440")</f>
        <v>082156154440</v>
      </c>
      <c r="W2253" s="45"/>
    </row>
    <row r="2254">
      <c r="A2254" s="45"/>
      <c r="B2254" s="24" t="str">
        <f>IFERROR(__xludf.DUMMYFUNCTION("""COMPUTED_VALUE"""),"27/02/2025 17:32:28")</f>
        <v>27/02/2025 17:32:28</v>
      </c>
      <c r="C2254" s="35"/>
      <c r="D2254" s="10">
        <f>IFERROR(__xludf.DUMMYFUNCTION("""COMPUTED_VALUE"""),45737.0)</f>
        <v>45737</v>
      </c>
      <c r="E2254" s="35" t="str">
        <f>IFERROR(__xludf.DUMMYFUNCTION("""COMPUTED_VALUE"""),"03Mar")</f>
        <v>03Mar</v>
      </c>
      <c r="F2254" s="34" t="str">
        <f>IFERROR(__xludf.DUMMYFUNCTION("""COMPUTED_VALUE"""),"2025")</f>
        <v>2025</v>
      </c>
      <c r="G2254" s="35" t="str">
        <f>IFERROR(__xludf.DUMMYFUNCTION("""COMPUTED_VALUE"""),"PANDU ANDRI LIESTYANTO NUGROGO")</f>
        <v>PANDU ANDRI LIESTYANTO NUGROGO</v>
      </c>
      <c r="H2254" s="35" t="str">
        <f>IFERROR(__xludf.DUMMYFUNCTION("""COMPUTED_VALUE"""),"P9725036493")</f>
        <v>P9725036493</v>
      </c>
      <c r="I2254" s="35">
        <f>IFERROR(__xludf.DUMMYFUNCTION("""COMPUTED_VALUE"""),28.0)</f>
        <v>28</v>
      </c>
      <c r="J2254" s="35" t="str">
        <f>IFERROR(__xludf.DUMMYFUNCTION("""COMPUTED_VALUE"""),"25-34 tahun")</f>
        <v>25-34 tahun</v>
      </c>
      <c r="K2254" s="21" t="str">
        <f>IFERROR(__xludf.DUMMYFUNCTION("""COMPUTED_VALUE"""),"26/11/1997")</f>
        <v>26/11/1997</v>
      </c>
      <c r="L2254" s="21" t="str">
        <f>IFERROR(__xludf.DUMMYFUNCTION("""COMPUTED_VALUE"""),"LAKI-LAKI")</f>
        <v>LAKI-LAKI</v>
      </c>
      <c r="M2254" s="35" t="str">
        <f>IFERROR(__xludf.DUMMYFUNCTION("""COMPUTED_VALUE"""),"CINDEREJO LOR, RT 03 RW 05")</f>
        <v>CINDEREJO LOR, RT 03 RW 05</v>
      </c>
      <c r="N2254" s="35" t="str">
        <f>IFERROR(__xludf.DUMMYFUNCTION("""COMPUTED_VALUE"""),"GILINGAN")</f>
        <v>GILINGAN</v>
      </c>
      <c r="O2254" s="35" t="str">
        <f>IFERROR(__xludf.DUMMYFUNCTION("""COMPUTED_VALUE"""),"BANJARSARI")</f>
        <v>BANJARSARI</v>
      </c>
      <c r="P2254" s="35" t="str">
        <f>IFERROR(__xludf.DUMMYFUNCTION("""COMPUTED_VALUE"""),"SURAKARTA")</f>
        <v>SURAKARTA</v>
      </c>
      <c r="Q2254" s="35" t="str">
        <f>IFERROR(__xludf.DUMMYFUNCTION("""COMPUTED_VALUE"""),"JAWA TENGAH")</f>
        <v>JAWA TENGAH</v>
      </c>
      <c r="R2254" s="21" t="str">
        <f>IFERROR(__xludf.DUMMYFUNCTION("""COMPUTED_VALUE"""),"ISLAM")</f>
        <v>ISLAM</v>
      </c>
      <c r="S2254" s="74" t="str">
        <f>IFERROR(__xludf.DUMMYFUNCTION("""COMPUTED_VALUE"""),"PELAJAR / MAHASISWA")</f>
        <v>PELAJAR / MAHASISWA</v>
      </c>
      <c r="T2254" s="35" t="str">
        <f>IFERROR(__xludf.DUMMYFUNCTION("""COMPUTED_VALUE"""),"ANKLE")</f>
        <v>ANKLE</v>
      </c>
      <c r="U2254" s="35" t="str">
        <f>IFERROR(__xludf.DUMMYFUNCTION("""COMPUTED_VALUE"""),"SEPAK BOLA")</f>
        <v>SEPAK BOLA</v>
      </c>
      <c r="V2254" s="37" t="str">
        <f>IFERROR(__xludf.DUMMYFUNCTION("""COMPUTED_VALUE"""),"081239836493")</f>
        <v>081239836493</v>
      </c>
      <c r="W2254" s="45"/>
    </row>
    <row r="2255">
      <c r="A2255" s="45"/>
      <c r="B2255" s="24" t="str">
        <f>IFERROR(__xludf.DUMMYFUNCTION("""COMPUTED_VALUE"""),"01/03/2025 9:08:26")</f>
        <v>01/03/2025 9:08:26</v>
      </c>
      <c r="C2255" s="35"/>
      <c r="D2255" s="10">
        <f>IFERROR(__xludf.DUMMYFUNCTION("""COMPUTED_VALUE"""),45738.0)</f>
        <v>45738</v>
      </c>
      <c r="E2255" s="35" t="str">
        <f>IFERROR(__xludf.DUMMYFUNCTION("""COMPUTED_VALUE"""),"03Mar")</f>
        <v>03Mar</v>
      </c>
      <c r="F2255" s="34" t="str">
        <f>IFERROR(__xludf.DUMMYFUNCTION("""COMPUTED_VALUE"""),"2025")</f>
        <v>2025</v>
      </c>
      <c r="G2255" s="35" t="str">
        <f>IFERROR(__xludf.DUMMYFUNCTION("""COMPUTED_VALUE"""),"M. RAFI 'IE RINALDI")</f>
        <v>M. RAFI 'IE RINALDI</v>
      </c>
      <c r="H2255" s="35" t="str">
        <f>IFERROR(__xludf.DUMMYFUNCTION("""COMPUTED_VALUE"""),"M9625039977")</f>
        <v>M9625039977</v>
      </c>
      <c r="I2255" s="35">
        <f>IFERROR(__xludf.DUMMYFUNCTION("""COMPUTED_VALUE"""),30.0)</f>
        <v>30</v>
      </c>
      <c r="J2255" s="35" t="str">
        <f>IFERROR(__xludf.DUMMYFUNCTION("""COMPUTED_VALUE"""),"25-34 tahun")</f>
        <v>25-34 tahun</v>
      </c>
      <c r="K2255" s="21" t="str">
        <f>IFERROR(__xludf.DUMMYFUNCTION("""COMPUTED_VALUE"""),"15/05/1996")</f>
        <v>15/05/1996</v>
      </c>
      <c r="L2255" s="21" t="str">
        <f>IFERROR(__xludf.DUMMYFUNCTION("""COMPUTED_VALUE"""),"LAKI-LAKI")</f>
        <v>LAKI-LAKI</v>
      </c>
      <c r="M2255" s="35" t="str">
        <f>IFERROR(__xludf.DUMMYFUNCTION("""COMPUTED_VALUE"""),"GG. HARAPAN NO 75 B")</f>
        <v>GG. HARAPAN NO 75 B</v>
      </c>
      <c r="N2255" s="35" t="str">
        <f>IFERROR(__xludf.DUMMYFUNCTION("""COMPUTED_VALUE"""),"SUNGAI JAWI DALAM")</f>
        <v>SUNGAI JAWI DALAM</v>
      </c>
      <c r="O2255" s="35" t="str">
        <f>IFERROR(__xludf.DUMMYFUNCTION("""COMPUTED_VALUE"""),"PONTIANAK BARAT")</f>
        <v>PONTIANAK BARAT</v>
      </c>
      <c r="P2255" s="35" t="str">
        <f>IFERROR(__xludf.DUMMYFUNCTION("""COMPUTED_VALUE"""),"KOTA PONTIANAK")</f>
        <v>KOTA PONTIANAK</v>
      </c>
      <c r="Q2255" s="35" t="str">
        <f>IFERROR(__xludf.DUMMYFUNCTION("""COMPUTED_VALUE"""),"KALIMANTAN BARAT")</f>
        <v>KALIMANTAN BARAT</v>
      </c>
      <c r="R2255" s="21" t="str">
        <f>IFERROR(__xludf.DUMMYFUNCTION("""COMPUTED_VALUE"""),"ISLAM")</f>
        <v>ISLAM</v>
      </c>
      <c r="S2255" s="74" t="str">
        <f>IFERROR(__xludf.DUMMYFUNCTION("""COMPUTED_VALUE"""),"SWASTA")</f>
        <v>SWASTA</v>
      </c>
      <c r="T2255" s="35" t="str">
        <f>IFERROR(__xludf.DUMMYFUNCTION("""COMPUTED_VALUE"""),"CEDERA ENGKEL")</f>
        <v>CEDERA ENGKEL</v>
      </c>
      <c r="U2255" s="35" t="str">
        <f>IFERROR(__xludf.DUMMYFUNCTION("""COMPUTED_VALUE"""),"PEKERJAAN LAPANGAN DAN OLAHRAGA")</f>
        <v>PEKERJAAN LAPANGAN DAN OLAHRAGA</v>
      </c>
      <c r="V2255" s="37" t="str">
        <f>IFERROR(__xludf.DUMMYFUNCTION("""COMPUTED_VALUE"""),"081553919977")</f>
        <v>081553919977</v>
      </c>
      <c r="W2255" s="45"/>
    </row>
    <row r="2256">
      <c r="A2256" s="45"/>
      <c r="B2256" s="24" t="str">
        <f>IFERROR(__xludf.DUMMYFUNCTION("""COMPUTED_VALUE"""),"01/03/2025 10:27:26")</f>
        <v>01/03/2025 10:27:26</v>
      </c>
      <c r="C2256" s="35"/>
      <c r="D2256" s="10">
        <f>IFERROR(__xludf.DUMMYFUNCTION("""COMPUTED_VALUE"""),45739.0)</f>
        <v>45739</v>
      </c>
      <c r="E2256" s="35" t="str">
        <f>IFERROR(__xludf.DUMMYFUNCTION("""COMPUTED_VALUE"""),"03Mar")</f>
        <v>03Mar</v>
      </c>
      <c r="F2256" s="34" t="str">
        <f>IFERROR(__xludf.DUMMYFUNCTION("""COMPUTED_VALUE"""),"2025")</f>
        <v>2025</v>
      </c>
      <c r="G2256" s="35" t="str">
        <f>IFERROR(__xludf.DUMMYFUNCTION("""COMPUTED_VALUE"""),"HENDRA.M")</f>
        <v>HENDRA.M</v>
      </c>
      <c r="H2256" s="35" t="str">
        <f>IFERROR(__xludf.DUMMYFUNCTION("""COMPUTED_VALUE"""),"H7725039177")</f>
        <v>H7725039177</v>
      </c>
      <c r="I2256" s="35">
        <f>IFERROR(__xludf.DUMMYFUNCTION("""COMPUTED_VALUE"""),48.0)</f>
        <v>48</v>
      </c>
      <c r="J2256" s="35" t="str">
        <f>IFERROR(__xludf.DUMMYFUNCTION("""COMPUTED_VALUE"""),"&gt; 44 tahun")</f>
        <v>&gt; 44 tahun</v>
      </c>
      <c r="K2256" s="21" t="str">
        <f>IFERROR(__xludf.DUMMYFUNCTION("""COMPUTED_VALUE"""),"01/07/0077")</f>
        <v>01/07/0077</v>
      </c>
      <c r="L2256" s="21" t="str">
        <f>IFERROR(__xludf.DUMMYFUNCTION("""COMPUTED_VALUE"""),"LAKI-LAKI")</f>
        <v>LAKI-LAKI</v>
      </c>
      <c r="M2256" s="35" t="str">
        <f>IFERROR(__xludf.DUMMYFUNCTION("""COMPUTED_VALUE"""),"JL.KETAPANG NO,88.D")</f>
        <v>JL.KETAPANG NO,88.D</v>
      </c>
      <c r="N2256" s="35" t="str">
        <f>IFERROR(__xludf.DUMMYFUNCTION("""COMPUTED_VALUE"""),"BENUA MELAYU DARAT")</f>
        <v>BENUA MELAYU DARAT</v>
      </c>
      <c r="O2256" s="35" t="str">
        <f>IFERROR(__xludf.DUMMYFUNCTION("""COMPUTED_VALUE"""),"PONTIANAK SELATAN")</f>
        <v>PONTIANAK SELATAN</v>
      </c>
      <c r="P2256" s="35" t="str">
        <f>IFERROR(__xludf.DUMMYFUNCTION("""COMPUTED_VALUE"""),"PONTIANAK")</f>
        <v>PONTIANAK</v>
      </c>
      <c r="Q2256" s="35" t="str">
        <f>IFERROR(__xludf.DUMMYFUNCTION("""COMPUTED_VALUE"""),"KALIMANTAN BARAT")</f>
        <v>KALIMANTAN BARAT</v>
      </c>
      <c r="R2256" s="21" t="str">
        <f>IFERROR(__xludf.DUMMYFUNCTION("""COMPUTED_VALUE"""),"BUDDHA")</f>
        <v>BUDDHA</v>
      </c>
      <c r="S2256" s="74" t="str">
        <f>IFERROR(__xludf.DUMMYFUNCTION("""COMPUTED_VALUE"""),"SWASTA")</f>
        <v>SWASTA</v>
      </c>
      <c r="T2256" s="35" t="str">
        <f>IFERROR(__xludf.DUMMYFUNCTION("""COMPUTED_VALUE"""),"SAKIT DI PANGKAL PAHA")</f>
        <v>SAKIT DI PANGKAL PAHA</v>
      </c>
      <c r="U2256" s="35" t="str">
        <f>IFERROR(__xludf.DUMMYFUNCTION("""COMPUTED_VALUE"""),"TIDAK ADA")</f>
        <v>TIDAK ADA</v>
      </c>
      <c r="V2256" s="37" t="str">
        <f>IFERROR(__xludf.DUMMYFUNCTION("""COMPUTED_VALUE"""),"0811569177")</f>
        <v>0811569177</v>
      </c>
      <c r="W2256" s="45"/>
    </row>
    <row r="2257">
      <c r="A2257" s="45"/>
      <c r="B2257" s="24" t="str">
        <f>IFERROR(__xludf.DUMMYFUNCTION("""COMPUTED_VALUE"""),"01/03/2025 10:31:17")</f>
        <v>01/03/2025 10:31:17</v>
      </c>
      <c r="C2257" s="35"/>
      <c r="D2257" s="10">
        <f>IFERROR(__xludf.DUMMYFUNCTION("""COMPUTED_VALUE"""),45739.0)</f>
        <v>45739</v>
      </c>
      <c r="E2257" s="35" t="str">
        <f>IFERROR(__xludf.DUMMYFUNCTION("""COMPUTED_VALUE"""),"03Mar")</f>
        <v>03Mar</v>
      </c>
      <c r="F2257" s="34" t="str">
        <f>IFERROR(__xludf.DUMMYFUNCTION("""COMPUTED_VALUE"""),"2025")</f>
        <v>2025</v>
      </c>
      <c r="G2257" s="35" t="str">
        <f>IFERROR(__xludf.DUMMYFUNCTION("""COMPUTED_VALUE"""),"MUHAMMAD SUTAN ARIIQ FARREL")</f>
        <v>MUHAMMAD SUTAN ARIIQ FARREL</v>
      </c>
      <c r="H2257" s="35" t="str">
        <f>IFERROR(__xludf.DUMMYFUNCTION("""COMPUTED_VALUE"""),"M0425033778")</f>
        <v>M0425033778</v>
      </c>
      <c r="I2257" s="35">
        <f>IFERROR(__xludf.DUMMYFUNCTION("""COMPUTED_VALUE"""),21.0)</f>
        <v>21</v>
      </c>
      <c r="J2257" s="35" t="str">
        <f>IFERROR(__xludf.DUMMYFUNCTION("""COMPUTED_VALUE"""),"18-24 tahun")</f>
        <v>18-24 tahun</v>
      </c>
      <c r="K2257" s="21" t="str">
        <f>IFERROR(__xludf.DUMMYFUNCTION("""COMPUTED_VALUE"""),"09/10/2004")</f>
        <v>09/10/2004</v>
      </c>
      <c r="L2257" s="21" t="str">
        <f>IFERROR(__xludf.DUMMYFUNCTION("""COMPUTED_VALUE"""),"LAKI-LAKI")</f>
        <v>LAKI-LAKI</v>
      </c>
      <c r="M2257" s="35" t="str">
        <f>IFERROR(__xludf.DUMMYFUNCTION("""COMPUTED_VALUE"""),"JALAN SUNGAI RAYA DALAM KOMP MITRA INDAH UTAMA 5 NO B14")</f>
        <v>JALAN SUNGAI RAYA DALAM KOMP MITRA INDAH UTAMA 5 NO B14</v>
      </c>
      <c r="N2257" s="35" t="str">
        <f>IFERROR(__xludf.DUMMYFUNCTION("""COMPUTED_VALUE"""),"BANGKA BELITUNG DARAT")</f>
        <v>BANGKA BELITUNG DARAT</v>
      </c>
      <c r="O2257" s="35" t="str">
        <f>IFERROR(__xludf.DUMMYFUNCTION("""COMPUTED_VALUE"""),"PONTIANAK TENGGARA")</f>
        <v>PONTIANAK TENGGARA</v>
      </c>
      <c r="P2257" s="35" t="str">
        <f>IFERROR(__xludf.DUMMYFUNCTION("""COMPUTED_VALUE"""),"KOTA PONTIANAK")</f>
        <v>KOTA PONTIANAK</v>
      </c>
      <c r="Q2257" s="35" t="str">
        <f>IFERROR(__xludf.DUMMYFUNCTION("""COMPUTED_VALUE"""),"KALIMANTAN BARAT")</f>
        <v>KALIMANTAN BARAT</v>
      </c>
      <c r="R2257" s="21" t="str">
        <f>IFERROR(__xludf.DUMMYFUNCTION("""COMPUTED_VALUE"""),"ISLAM")</f>
        <v>ISLAM</v>
      </c>
      <c r="S2257" s="74" t="str">
        <f>IFERROR(__xludf.DUMMYFUNCTION("""COMPUTED_VALUE"""),"MAHASISWA")</f>
        <v>MAHASISWA</v>
      </c>
      <c r="T2257" s="35" t="str">
        <f>IFERROR(__xludf.DUMMYFUNCTION("""COMPUTED_VALUE"""),"NYERI PADA AREA BELIKAT KIRI DAN KANAN")</f>
        <v>NYERI PADA AREA BELIKAT KIRI DAN KANAN</v>
      </c>
      <c r="U2257" s="35" t="str">
        <f>IFERROR(__xludf.DUMMYFUNCTION("""COMPUTED_VALUE"""),"KULIAH DAN OLAHRAGA")</f>
        <v>KULIAH DAN OLAHRAGA</v>
      </c>
      <c r="V2257" s="37" t="str">
        <f>IFERROR(__xludf.DUMMYFUNCTION("""COMPUTED_VALUE"""),"085245213778")</f>
        <v>085245213778</v>
      </c>
      <c r="W2257" s="45"/>
    </row>
    <row r="2258">
      <c r="A2258" s="45"/>
      <c r="B2258" s="24" t="str">
        <f>IFERROR(__xludf.DUMMYFUNCTION("""COMPUTED_VALUE"""),"01/03/2025 11:43:56")</f>
        <v>01/03/2025 11:43:56</v>
      </c>
      <c r="C2258" s="35"/>
      <c r="D2258" s="10">
        <f>IFERROR(__xludf.DUMMYFUNCTION("""COMPUTED_VALUE"""),45739.0)</f>
        <v>45739</v>
      </c>
      <c r="E2258" s="35" t="str">
        <f>IFERROR(__xludf.DUMMYFUNCTION("""COMPUTED_VALUE"""),"03Mar")</f>
        <v>03Mar</v>
      </c>
      <c r="F2258" s="34" t="str">
        <f>IFERROR(__xludf.DUMMYFUNCTION("""COMPUTED_VALUE"""),"2025")</f>
        <v>2025</v>
      </c>
      <c r="G2258" s="35" t="str">
        <f>IFERROR(__xludf.DUMMYFUNCTION("""COMPUTED_VALUE"""),"ASEP KURNIAWAN")</f>
        <v>ASEP KURNIAWAN</v>
      </c>
      <c r="H2258" s="35" t="str">
        <f>IFERROR(__xludf.DUMMYFUNCTION("""COMPUTED_VALUE"""),"A8725038799")</f>
        <v>A8725038799</v>
      </c>
      <c r="I2258" s="35">
        <f>IFERROR(__xludf.DUMMYFUNCTION("""COMPUTED_VALUE"""),39.0)</f>
        <v>39</v>
      </c>
      <c r="J2258" s="35" t="str">
        <f>IFERROR(__xludf.DUMMYFUNCTION("""COMPUTED_VALUE"""),"35-44 tahun")</f>
        <v>35-44 tahun</v>
      </c>
      <c r="K2258" s="21" t="str">
        <f>IFERROR(__xludf.DUMMYFUNCTION("""COMPUTED_VALUE"""),"19/06/1987")</f>
        <v>19/06/1987</v>
      </c>
      <c r="L2258" s="21" t="str">
        <f>IFERROR(__xludf.DUMMYFUNCTION("""COMPUTED_VALUE"""),"LAKI-LAKI")</f>
        <v>LAKI-LAKI</v>
      </c>
      <c r="M2258" s="35" t="str">
        <f>IFERROR(__xludf.DUMMYFUNCTION("""COMPUTED_VALUE"""),"JALAN KOM YOS SUDARSO GANG SRIKAYA 2")</f>
        <v>JALAN KOM YOS SUDARSO GANG SRIKAYA 2</v>
      </c>
      <c r="N2258" s="35" t="str">
        <f>IFERROR(__xludf.DUMMYFUNCTION("""COMPUTED_VALUE"""),"SUNGAI JAWI DALAM")</f>
        <v>SUNGAI JAWI DALAM</v>
      </c>
      <c r="O2258" s="35" t="str">
        <f>IFERROR(__xludf.DUMMYFUNCTION("""COMPUTED_VALUE"""),"PONTIANAK BARAT")</f>
        <v>PONTIANAK BARAT</v>
      </c>
      <c r="P2258" s="35" t="str">
        <f>IFERROR(__xludf.DUMMYFUNCTION("""COMPUTED_VALUE"""),"PONTIANAK")</f>
        <v>PONTIANAK</v>
      </c>
      <c r="Q2258" s="35" t="str">
        <f>IFERROR(__xludf.DUMMYFUNCTION("""COMPUTED_VALUE"""),"KALIMANTAN BARAT")</f>
        <v>KALIMANTAN BARAT</v>
      </c>
      <c r="R2258" s="21" t="str">
        <f>IFERROR(__xludf.DUMMYFUNCTION("""COMPUTED_VALUE"""),"ISLAM")</f>
        <v>ISLAM</v>
      </c>
      <c r="S2258" s="74" t="str">
        <f>IFERROR(__xludf.DUMMYFUNCTION("""COMPUTED_VALUE"""),"PNS")</f>
        <v>PNS</v>
      </c>
      <c r="T2258" s="35" t="str">
        <f>IFERROR(__xludf.DUMMYFUNCTION("""COMPUTED_VALUE"""),"CIDERA PANGKAL PAHA DAN JARI TANGAN")</f>
        <v>CIDERA PANGKAL PAHA DAN JARI TANGAN</v>
      </c>
      <c r="U2258" s="35" t="str">
        <f>IFERROR(__xludf.DUMMYFUNCTION("""COMPUTED_VALUE"""),"OLAHRAGA (BASKET, SEPEDA, LARI)")</f>
        <v>OLAHRAGA (BASKET, SEPEDA, LARI)</v>
      </c>
      <c r="V2258" s="37" t="str">
        <f>IFERROR(__xludf.DUMMYFUNCTION("""COMPUTED_VALUE"""),"085245998799")</f>
        <v>085245998799</v>
      </c>
      <c r="W2258" s="45"/>
    </row>
    <row r="2259">
      <c r="A2259" s="45"/>
      <c r="B2259" s="24" t="str">
        <f>IFERROR(__xludf.DUMMYFUNCTION("""COMPUTED_VALUE"""),"01/03/2025 16:55:22")</f>
        <v>01/03/2025 16:55:22</v>
      </c>
      <c r="C2259" s="35"/>
      <c r="D2259" s="10">
        <f>IFERROR(__xludf.DUMMYFUNCTION("""COMPUTED_VALUE"""),45739.0)</f>
        <v>45739</v>
      </c>
      <c r="E2259" s="35" t="str">
        <f>IFERROR(__xludf.DUMMYFUNCTION("""COMPUTED_VALUE"""),"03Mar")</f>
        <v>03Mar</v>
      </c>
      <c r="F2259" s="34" t="str">
        <f>IFERROR(__xludf.DUMMYFUNCTION("""COMPUTED_VALUE"""),"2025")</f>
        <v>2025</v>
      </c>
      <c r="G2259" s="35" t="str">
        <f>IFERROR(__xludf.DUMMYFUNCTION("""COMPUTED_VALUE"""),"EDY DARMAWAN")</f>
        <v>EDY DARMAWAN</v>
      </c>
      <c r="H2259" s="35" t="str">
        <f>IFERROR(__xludf.DUMMYFUNCTION("""COMPUTED_VALUE"""),"E0225030144")</f>
        <v>E0225030144</v>
      </c>
      <c r="I2259" s="35">
        <f>IFERROR(__xludf.DUMMYFUNCTION("""COMPUTED_VALUE"""),23.0)</f>
        <v>23</v>
      </c>
      <c r="J2259" s="35" t="str">
        <f>IFERROR(__xludf.DUMMYFUNCTION("""COMPUTED_VALUE"""),"18-24 tahun")</f>
        <v>18-24 tahun</v>
      </c>
      <c r="K2259" s="21" t="str">
        <f>IFERROR(__xludf.DUMMYFUNCTION("""COMPUTED_VALUE"""),"18/11/2002")</f>
        <v>18/11/2002</v>
      </c>
      <c r="L2259" s="21" t="str">
        <f>IFERROR(__xludf.DUMMYFUNCTION("""COMPUTED_VALUE"""),"LAKI-LAKI")</f>
        <v>LAKI-LAKI</v>
      </c>
      <c r="M2259" s="35" t="str">
        <f>IFERROR(__xludf.DUMMYFUNCTION("""COMPUTED_VALUE"""),"JL. PROF DR HANKA GG. NILAM V NO:4")</f>
        <v>JL. PROF DR HANKA GG. NILAM V NO:4</v>
      </c>
      <c r="N2259" s="35" t="str">
        <f>IFERROR(__xludf.DUMMYFUNCTION("""COMPUTED_VALUE"""),"SUNGAI JAWI")</f>
        <v>SUNGAI JAWI</v>
      </c>
      <c r="O2259" s="35" t="str">
        <f>IFERROR(__xludf.DUMMYFUNCTION("""COMPUTED_VALUE"""),"PONTIANAK KOTA")</f>
        <v>PONTIANAK KOTA</v>
      </c>
      <c r="P2259" s="35" t="str">
        <f>IFERROR(__xludf.DUMMYFUNCTION("""COMPUTED_VALUE"""),"PONTIANAK")</f>
        <v>PONTIANAK</v>
      </c>
      <c r="Q2259" s="35" t="str">
        <f>IFERROR(__xludf.DUMMYFUNCTION("""COMPUTED_VALUE"""),"KALIMANTAN BARAT")</f>
        <v>KALIMANTAN BARAT</v>
      </c>
      <c r="R2259" s="21" t="str">
        <f>IFERROR(__xludf.DUMMYFUNCTION("""COMPUTED_VALUE"""),"BUDDHA")</f>
        <v>BUDDHA</v>
      </c>
      <c r="S2259" s="74" t="str">
        <f>IFERROR(__xludf.DUMMYFUNCTION("""COMPUTED_VALUE"""),"TUKANG LAS")</f>
        <v>TUKANG LAS</v>
      </c>
      <c r="T2259" s="35" t="str">
        <f>IFERROR(__xludf.DUMMYFUNCTION("""COMPUTED_VALUE"""),"NYERI PINGGANG MENJALAR KE KAKI KIRI")</f>
        <v>NYERI PINGGANG MENJALAR KE KAKI KIRI</v>
      </c>
      <c r="U2259" s="35" t="str">
        <f>IFERROR(__xludf.DUMMYFUNCTION("""COMPUTED_VALUE"""),"BANYAK ANGKAT BERAT/BESI")</f>
        <v>BANYAK ANGKAT BERAT/BESI</v>
      </c>
      <c r="V2259" s="37" t="str">
        <f>IFERROR(__xludf.DUMMYFUNCTION("""COMPUTED_VALUE"""),"087804050144")</f>
        <v>087804050144</v>
      </c>
      <c r="W2259" s="45"/>
    </row>
    <row r="2260">
      <c r="A2260" s="45"/>
      <c r="B2260" s="24" t="str">
        <f>IFERROR(__xludf.DUMMYFUNCTION("""COMPUTED_VALUE"""),"02/03/2025 8:44:39")</f>
        <v>02/03/2025 8:44:39</v>
      </c>
      <c r="C2260" s="35"/>
      <c r="D2260" s="10">
        <f>IFERROR(__xludf.DUMMYFUNCTION("""COMPUTED_VALUE"""),45739.0)</f>
        <v>45739</v>
      </c>
      <c r="E2260" s="35" t="str">
        <f>IFERROR(__xludf.DUMMYFUNCTION("""COMPUTED_VALUE"""),"03Mar")</f>
        <v>03Mar</v>
      </c>
      <c r="F2260" s="34" t="str">
        <f>IFERROR(__xludf.DUMMYFUNCTION("""COMPUTED_VALUE"""),"2025")</f>
        <v>2025</v>
      </c>
      <c r="G2260" s="35" t="str">
        <f>IFERROR(__xludf.DUMMYFUNCTION("""COMPUTED_VALUE"""),"SITI RINA APRILIANI")</f>
        <v>SITI RINA APRILIANI</v>
      </c>
      <c r="H2260" s="35" t="str">
        <f>IFERROR(__xludf.DUMMYFUNCTION("""COMPUTED_VALUE"""),"S9625030245")</f>
        <v>S9625030245</v>
      </c>
      <c r="I2260" s="35">
        <f>IFERROR(__xludf.DUMMYFUNCTION("""COMPUTED_VALUE"""),30.0)</f>
        <v>30</v>
      </c>
      <c r="J2260" s="35" t="str">
        <f>IFERROR(__xludf.DUMMYFUNCTION("""COMPUTED_VALUE"""),"25-34 tahun")</f>
        <v>25-34 tahun</v>
      </c>
      <c r="K2260" s="21" t="str">
        <f>IFERROR(__xludf.DUMMYFUNCTION("""COMPUTED_VALUE"""),"18/04/1996")</f>
        <v>18/04/1996</v>
      </c>
      <c r="L2260" s="21" t="str">
        <f>IFERROR(__xludf.DUMMYFUNCTION("""COMPUTED_VALUE"""),"PEREMPUAN")</f>
        <v>PEREMPUAN</v>
      </c>
      <c r="M2260" s="35" t="str">
        <f>IFERROR(__xludf.DUMMYFUNCTION("""COMPUTED_VALUE"""),"JL. IMAM BONJOL NO. 30")</f>
        <v>JL. IMAM BONJOL NO. 30</v>
      </c>
      <c r="N2260" s="35" t="str">
        <f>IFERROR(__xludf.DUMMYFUNCTION("""COMPUTED_VALUE"""),"TANJUNG PURI")</f>
        <v>TANJUNG PURI</v>
      </c>
      <c r="O2260" s="35" t="str">
        <f>IFERROR(__xludf.DUMMYFUNCTION("""COMPUTED_VALUE"""),"SINTANG")</f>
        <v>SINTANG</v>
      </c>
      <c r="P2260" s="35" t="str">
        <f>IFERROR(__xludf.DUMMYFUNCTION("""COMPUTED_VALUE"""),"SINTANG")</f>
        <v>SINTANG</v>
      </c>
      <c r="Q2260" s="35" t="str">
        <f>IFERROR(__xludf.DUMMYFUNCTION("""COMPUTED_VALUE"""),"KALIMANTAN BARAT")</f>
        <v>KALIMANTAN BARAT</v>
      </c>
      <c r="R2260" s="21" t="str">
        <f>IFERROR(__xludf.DUMMYFUNCTION("""COMPUTED_VALUE"""),"ISLAM")</f>
        <v>ISLAM</v>
      </c>
      <c r="S2260" s="74" t="str">
        <f>IFERROR(__xludf.DUMMYFUNCTION("""COMPUTED_VALUE"""),"SWASTA")</f>
        <v>SWASTA</v>
      </c>
      <c r="T2260" s="35" t="str">
        <f>IFERROR(__xludf.DUMMYFUNCTION("""COMPUTED_VALUE"""),"SARAF KECETIT")</f>
        <v>SARAF KECETIT</v>
      </c>
      <c r="U2260" s="35" t="str">
        <f>IFERROR(__xludf.DUMMYFUNCTION("""COMPUTED_VALUE"""),"BEBERES RUMAH")</f>
        <v>BEBERES RUMAH</v>
      </c>
      <c r="V2260" s="37" t="str">
        <f>IFERROR(__xludf.DUMMYFUNCTION("""COMPUTED_VALUE"""),"081257540245")</f>
        <v>081257540245</v>
      </c>
      <c r="W2260" s="45"/>
    </row>
    <row r="2261">
      <c r="A2261" s="45"/>
      <c r="B2261" s="24" t="str">
        <f>IFERROR(__xludf.DUMMYFUNCTION("""COMPUTED_VALUE"""),"02/03/2025 11:14:43")</f>
        <v>02/03/2025 11:14:43</v>
      </c>
      <c r="C2261" s="35"/>
      <c r="D2261" s="10">
        <f>IFERROR(__xludf.DUMMYFUNCTION("""COMPUTED_VALUE"""),45739.0)</f>
        <v>45739</v>
      </c>
      <c r="E2261" s="35" t="str">
        <f>IFERROR(__xludf.DUMMYFUNCTION("""COMPUTED_VALUE"""),"03Mar")</f>
        <v>03Mar</v>
      </c>
      <c r="F2261" s="34" t="str">
        <f>IFERROR(__xludf.DUMMYFUNCTION("""COMPUTED_VALUE"""),"2025")</f>
        <v>2025</v>
      </c>
      <c r="G2261" s="35" t="str">
        <f>IFERROR(__xludf.DUMMYFUNCTION("""COMPUTED_VALUE"""),"ISKANDAR 8209")</f>
        <v>ISKANDAR 8209</v>
      </c>
      <c r="H2261" s="35" t="str">
        <f>IFERROR(__xludf.DUMMYFUNCTION("""COMPUTED_VALUE"""),"I8225038889")</f>
        <v>I8225038889</v>
      </c>
      <c r="I2261" s="35">
        <f>IFERROR(__xludf.DUMMYFUNCTION("""COMPUTED_VALUE"""),43.0)</f>
        <v>43</v>
      </c>
      <c r="J2261" s="35" t="str">
        <f>IFERROR(__xludf.DUMMYFUNCTION("""COMPUTED_VALUE"""),"35-44 tahun")</f>
        <v>35-44 tahun</v>
      </c>
      <c r="K2261" s="21" t="str">
        <f>IFERROR(__xludf.DUMMYFUNCTION("""COMPUTED_VALUE"""),"13/09/1982")</f>
        <v>13/09/1982</v>
      </c>
      <c r="L2261" s="21" t="str">
        <f>IFERROR(__xludf.DUMMYFUNCTION("""COMPUTED_VALUE"""),"LAKI-LAKI")</f>
        <v>LAKI-LAKI</v>
      </c>
      <c r="M2261" s="35" t="str">
        <f>IFERROR(__xludf.DUMMYFUNCTION("""COMPUTED_VALUE"""),"JL. HOS COKROAMINOTO GG JARAK NO 6A")</f>
        <v>JL. HOS COKROAMINOTO GG JARAK NO 6A</v>
      </c>
      <c r="N2261" s="35" t="str">
        <f>IFERROR(__xludf.DUMMYFUNCTION("""COMPUTED_VALUE"""),"DARAT SEKIP")</f>
        <v>DARAT SEKIP</v>
      </c>
      <c r="O2261" s="35" t="str">
        <f>IFERROR(__xludf.DUMMYFUNCTION("""COMPUTED_VALUE"""),"PONTIANAK KOTA")</f>
        <v>PONTIANAK KOTA</v>
      </c>
      <c r="P2261" s="35" t="str">
        <f>IFERROR(__xludf.DUMMYFUNCTION("""COMPUTED_VALUE"""),"KOTA PONTIANAK")</f>
        <v>KOTA PONTIANAK</v>
      </c>
      <c r="Q2261" s="35" t="str">
        <f>IFERROR(__xludf.DUMMYFUNCTION("""COMPUTED_VALUE"""),"KALIMANTAN BARAT")</f>
        <v>KALIMANTAN BARAT</v>
      </c>
      <c r="R2261" s="21" t="str">
        <f>IFERROR(__xludf.DUMMYFUNCTION("""COMPUTED_VALUE"""),"ISLAM")</f>
        <v>ISLAM</v>
      </c>
      <c r="S2261" s="74" t="str">
        <f>IFERROR(__xludf.DUMMYFUNCTION("""COMPUTED_VALUE"""),"PERTAMINA PATRA NIAGA")</f>
        <v>PERTAMINA PATRA NIAGA</v>
      </c>
      <c r="T2261" s="35" t="str">
        <f>IFERROR(__xludf.DUMMYFUNCTION("""COMPUTED_VALUE"""),"TUMIT KAKI PAS BANGUN TIDUR NYERI")</f>
        <v>TUMIT KAKI PAS BANGUN TIDUR NYERI</v>
      </c>
      <c r="U2261" s="35" t="str">
        <f>IFERROR(__xludf.DUMMYFUNCTION("""COMPUTED_VALUE"""),"MINI SOCCER, BADMINTON, RUNNING")</f>
        <v>MINI SOCCER, BADMINTON, RUNNING</v>
      </c>
      <c r="V2261" s="37" t="str">
        <f>IFERROR(__xludf.DUMMYFUNCTION("""COMPUTED_VALUE"""),"081352308889")</f>
        <v>081352308889</v>
      </c>
      <c r="W2261" s="45"/>
    </row>
    <row r="2262">
      <c r="A2262" s="45"/>
      <c r="B2262" s="24" t="str">
        <f>IFERROR(__xludf.DUMMYFUNCTION("""COMPUTED_VALUE"""),"02/03/2025 14:05:01")</f>
        <v>02/03/2025 14:05:01</v>
      </c>
      <c r="C2262" s="35"/>
      <c r="D2262" s="10">
        <f>IFERROR(__xludf.DUMMYFUNCTION("""COMPUTED_VALUE"""),45740.0)</f>
        <v>45740</v>
      </c>
      <c r="E2262" s="35" t="str">
        <f>IFERROR(__xludf.DUMMYFUNCTION("""COMPUTED_VALUE"""),"03Mar")</f>
        <v>03Mar</v>
      </c>
      <c r="F2262" s="34" t="str">
        <f>IFERROR(__xludf.DUMMYFUNCTION("""COMPUTED_VALUE"""),"2025")</f>
        <v>2025</v>
      </c>
      <c r="G2262" s="35" t="str">
        <f>IFERROR(__xludf.DUMMYFUNCTION("""COMPUTED_VALUE"""),"ANTONI")</f>
        <v>ANTONI</v>
      </c>
      <c r="H2262" s="35" t="str">
        <f>IFERROR(__xludf.DUMMYFUNCTION("""COMPUTED_VALUE"""),"A0325033157")</f>
        <v>A0325033157</v>
      </c>
      <c r="I2262" s="35">
        <f>IFERROR(__xludf.DUMMYFUNCTION("""COMPUTED_VALUE"""),23.0)</f>
        <v>23</v>
      </c>
      <c r="J2262" s="35" t="str">
        <f>IFERROR(__xludf.DUMMYFUNCTION("""COMPUTED_VALUE"""),"18-24 tahun")</f>
        <v>18-24 tahun</v>
      </c>
      <c r="K2262" s="21" t="str">
        <f>IFERROR(__xludf.DUMMYFUNCTION("""COMPUTED_VALUE"""),"29/01/2003")</f>
        <v>29/01/2003</v>
      </c>
      <c r="L2262" s="21" t="str">
        <f>IFERROR(__xludf.DUMMYFUNCTION("""COMPUTED_VALUE"""),"LAKI-LAKI")</f>
        <v>LAKI-LAKI</v>
      </c>
      <c r="M2262" s="35" t="str">
        <f>IFERROR(__xludf.DUMMYFUNCTION("""COMPUTED_VALUE"""),"JL KHATULISTIWA GG BERINGIN 2")</f>
        <v>JL KHATULISTIWA GG BERINGIN 2</v>
      </c>
      <c r="N2262" s="35" t="str">
        <f>IFERROR(__xludf.DUMMYFUNCTION("""COMPUTED_VALUE"""),"BATU LAYANG")</f>
        <v>BATU LAYANG</v>
      </c>
      <c r="O2262" s="35" t="str">
        <f>IFERROR(__xludf.DUMMYFUNCTION("""COMPUTED_VALUE"""),"PONTIANAK UTARA")</f>
        <v>PONTIANAK UTARA</v>
      </c>
      <c r="P2262" s="35" t="str">
        <f>IFERROR(__xludf.DUMMYFUNCTION("""COMPUTED_VALUE"""),"PONTIANAK UTARA")</f>
        <v>PONTIANAK UTARA</v>
      </c>
      <c r="Q2262" s="35" t="str">
        <f>IFERROR(__xludf.DUMMYFUNCTION("""COMPUTED_VALUE"""),"KALIMANTAN BARAT")</f>
        <v>KALIMANTAN BARAT</v>
      </c>
      <c r="R2262" s="21" t="str">
        <f>IFERROR(__xludf.DUMMYFUNCTION("""COMPUTED_VALUE"""),"BUDDHA")</f>
        <v>BUDDHA</v>
      </c>
      <c r="S2262" s="74" t="str">
        <f>IFERROR(__xludf.DUMMYFUNCTION("""COMPUTED_VALUE"""),"ADMIN")</f>
        <v>ADMIN</v>
      </c>
      <c r="T2262" s="35" t="str">
        <f>IFERROR(__xludf.DUMMYFUNCTION("""COMPUTED_VALUE"""),"SAKIT DI BAGIAN LUTUT")</f>
        <v>SAKIT DI BAGIAN LUTUT</v>
      </c>
      <c r="U2262" s="35" t="str">
        <f>IFERROR(__xludf.DUMMYFUNCTION("""COMPUTED_VALUE"""),"MAIN BOLA")</f>
        <v>MAIN BOLA</v>
      </c>
      <c r="V2262" s="37" t="str">
        <f>IFERROR(__xludf.DUMMYFUNCTION("""COMPUTED_VALUE"""),"089694363157")</f>
        <v>089694363157</v>
      </c>
      <c r="W2262" s="45"/>
    </row>
    <row r="2263">
      <c r="A2263" s="45"/>
      <c r="B2263" s="24" t="str">
        <f>IFERROR(__xludf.DUMMYFUNCTION("""COMPUTED_VALUE"""),"02/03/2025 14:10:11")</f>
        <v>02/03/2025 14:10:11</v>
      </c>
      <c r="C2263" s="35"/>
      <c r="D2263" s="10">
        <f>IFERROR(__xludf.DUMMYFUNCTION("""COMPUTED_VALUE"""),45740.0)</f>
        <v>45740</v>
      </c>
      <c r="E2263" s="35" t="str">
        <f>IFERROR(__xludf.DUMMYFUNCTION("""COMPUTED_VALUE"""),"03Mar")</f>
        <v>03Mar</v>
      </c>
      <c r="F2263" s="34" t="str">
        <f>IFERROR(__xludf.DUMMYFUNCTION("""COMPUTED_VALUE"""),"2025")</f>
        <v>2025</v>
      </c>
      <c r="G2263" s="35" t="str">
        <f>IFERROR(__xludf.DUMMYFUNCTION("""COMPUTED_VALUE"""),"NADIWATA")</f>
        <v>NADIWATA</v>
      </c>
      <c r="H2263" s="35" t="str">
        <f>IFERROR(__xludf.DUMMYFUNCTION("""COMPUTED_VALUE"""),"N7725031111")</f>
        <v>N7725031111</v>
      </c>
      <c r="I2263" s="35">
        <f>IFERROR(__xludf.DUMMYFUNCTION("""COMPUTED_VALUE"""),48.0)</f>
        <v>48</v>
      </c>
      <c r="J2263" s="35" t="str">
        <f>IFERROR(__xludf.DUMMYFUNCTION("""COMPUTED_VALUE"""),"&gt; 44 tahun")</f>
        <v>&gt; 44 tahun</v>
      </c>
      <c r="K2263" s="21" t="str">
        <f>IFERROR(__xludf.DUMMYFUNCTION("""COMPUTED_VALUE"""),"13/11/1977")</f>
        <v>13/11/1977</v>
      </c>
      <c r="L2263" s="21" t="str">
        <f>IFERROR(__xludf.DUMMYFUNCTION("""COMPUTED_VALUE"""),"LAKI-LAKI")</f>
        <v>LAKI-LAKI</v>
      </c>
      <c r="M2263" s="35" t="str">
        <f>IFERROR(__xludf.DUMMYFUNCTION("""COMPUTED_VALUE"""),"DENPASAR")</f>
        <v>DENPASAR</v>
      </c>
      <c r="N2263" s="35" t="str">
        <f>IFERROR(__xludf.DUMMYFUNCTION("""COMPUTED_VALUE"""),"PEMECUTAN KELOD")</f>
        <v>PEMECUTAN KELOD</v>
      </c>
      <c r="O2263" s="35" t="str">
        <f>IFERROR(__xludf.DUMMYFUNCTION("""COMPUTED_VALUE"""),"MARGAYA")</f>
        <v>MARGAYA</v>
      </c>
      <c r="P2263" s="35" t="str">
        <f>IFERROR(__xludf.DUMMYFUNCTION("""COMPUTED_VALUE"""),"DENPASAR")</f>
        <v>DENPASAR</v>
      </c>
      <c r="Q2263" s="35" t="str">
        <f>IFERROR(__xludf.DUMMYFUNCTION("""COMPUTED_VALUE"""),"BALI")</f>
        <v>BALI</v>
      </c>
      <c r="R2263" s="21" t="str">
        <f>IFERROR(__xludf.DUMMYFUNCTION("""COMPUTED_VALUE"""),"LAINNYA")</f>
        <v>LAINNYA</v>
      </c>
      <c r="S2263" s="74" t="str">
        <f>IFERROR(__xludf.DUMMYFUNCTION("""COMPUTED_VALUE"""),"WIRASWASTA")</f>
        <v>WIRASWASTA</v>
      </c>
      <c r="T2263" s="35" t="str">
        <f>IFERROR(__xludf.DUMMYFUNCTION("""COMPUTED_VALUE"""),"NYERI PADA BAHU KIRI DAN KANAN")</f>
        <v>NYERI PADA BAHU KIRI DAN KANAN</v>
      </c>
      <c r="U2263" s="35" t="str">
        <f>IFERROR(__xludf.DUMMYFUNCTION("""COMPUTED_VALUE"""),"OLAHRAGA,")</f>
        <v>OLAHRAGA,</v>
      </c>
      <c r="V2263" s="37" t="str">
        <f>IFERROR(__xludf.DUMMYFUNCTION("""COMPUTED_VALUE"""),"081558461111")</f>
        <v>081558461111</v>
      </c>
      <c r="W2263" s="45"/>
    </row>
    <row r="2264">
      <c r="A2264" s="45"/>
      <c r="B2264" s="24" t="str">
        <f>IFERROR(__xludf.DUMMYFUNCTION("""COMPUTED_VALUE"""),"02/03/2025 17:14:36")</f>
        <v>02/03/2025 17:14:36</v>
      </c>
      <c r="C2264" s="35"/>
      <c r="D2264" s="10">
        <f>IFERROR(__xludf.DUMMYFUNCTION("""COMPUTED_VALUE"""),45741.0)</f>
        <v>45741</v>
      </c>
      <c r="E2264" s="35" t="str">
        <f>IFERROR(__xludf.DUMMYFUNCTION("""COMPUTED_VALUE"""),"03Mar")</f>
        <v>03Mar</v>
      </c>
      <c r="F2264" s="34" t="str">
        <f>IFERROR(__xludf.DUMMYFUNCTION("""COMPUTED_VALUE"""),"2025")</f>
        <v>2025</v>
      </c>
      <c r="G2264" s="35" t="str">
        <f>IFERROR(__xludf.DUMMYFUNCTION("""COMPUTED_VALUE"""),"FERY KURNIADI")</f>
        <v>FERY KURNIADI</v>
      </c>
      <c r="H2264" s="35" t="str">
        <f>IFERROR(__xludf.DUMMYFUNCTION("""COMPUTED_VALUE"""),"F8325034303")</f>
        <v>F8325034303</v>
      </c>
      <c r="I2264" s="35">
        <f>IFERROR(__xludf.DUMMYFUNCTION("""COMPUTED_VALUE"""),43.0)</f>
        <v>43</v>
      </c>
      <c r="J2264" s="35" t="str">
        <f>IFERROR(__xludf.DUMMYFUNCTION("""COMPUTED_VALUE"""),"35-44 tahun")</f>
        <v>35-44 tahun</v>
      </c>
      <c r="K2264" s="21" t="str">
        <f>IFERROR(__xludf.DUMMYFUNCTION("""COMPUTED_VALUE"""),"03/02/1983")</f>
        <v>03/02/1983</v>
      </c>
      <c r="L2264" s="21" t="str">
        <f>IFERROR(__xludf.DUMMYFUNCTION("""COMPUTED_VALUE"""),"LAKI-LAKI")</f>
        <v>LAKI-LAKI</v>
      </c>
      <c r="M2264" s="35" t="str">
        <f>IFERROR(__xludf.DUMMYFUNCTION("""COMPUTED_VALUE"""),"JL PARIT BUGIS GG. MALINDO NO33")</f>
        <v>JL PARIT BUGIS GG. MALINDO NO33</v>
      </c>
      <c r="N2264" s="35" t="str">
        <f>IFERROR(__xludf.DUMMYFUNCTION("""COMPUTED_VALUE"""),"ARANG LIMBUNG")</f>
        <v>ARANG LIMBUNG</v>
      </c>
      <c r="O2264" s="35" t="str">
        <f>IFERROR(__xludf.DUMMYFUNCTION("""COMPUTED_VALUE"""),"SUNGAI RAYA")</f>
        <v>SUNGAI RAYA</v>
      </c>
      <c r="P2264" s="35" t="str">
        <f>IFERROR(__xludf.DUMMYFUNCTION("""COMPUTED_VALUE"""),"KUBURAYA")</f>
        <v>KUBURAYA</v>
      </c>
      <c r="Q2264" s="35" t="str">
        <f>IFERROR(__xludf.DUMMYFUNCTION("""COMPUTED_VALUE"""),"KALBAR")</f>
        <v>KALBAR</v>
      </c>
      <c r="R2264" s="21" t="str">
        <f>IFERROR(__xludf.DUMMYFUNCTION("""COMPUTED_VALUE"""),"ISLAM")</f>
        <v>ISLAM</v>
      </c>
      <c r="S2264" s="74" t="str">
        <f>IFERROR(__xludf.DUMMYFUNCTION("""COMPUTED_VALUE"""),"PNS")</f>
        <v>PNS</v>
      </c>
      <c r="T2264" s="35" t="str">
        <f>IFERROR(__xludf.DUMMYFUNCTION("""COMPUTED_VALUE"""),"DARI PINGGANG/ BOKONG SAMPAI KAKI PEGAL/ KEBAS. KELUHAN SUDAH DIRASAKAN DUA PEKAN TERAKHIR. DIMULAI KARENA MENGANGKAT BARANG BERAT.")</f>
        <v>DARI PINGGANG/ BOKONG SAMPAI KAKI PEGAL/ KEBAS. KELUHAN SUDAH DIRASAKAN DUA PEKAN TERAKHIR. DIMULAI KARENA MENGANGKAT BARANG BERAT.</v>
      </c>
      <c r="U2264" s="35" t="str">
        <f>IFERROR(__xludf.DUMMYFUNCTION("""COMPUTED_VALUE"""),"-")</f>
        <v>-</v>
      </c>
      <c r="V2264" s="37" t="str">
        <f>IFERROR(__xludf.DUMMYFUNCTION("""COMPUTED_VALUE"""),"085754664303")</f>
        <v>085754664303</v>
      </c>
      <c r="W2264" s="45"/>
    </row>
    <row r="2265">
      <c r="A2265" s="45"/>
      <c r="B2265" s="24" t="str">
        <f>IFERROR(__xludf.DUMMYFUNCTION("""COMPUTED_VALUE"""),"03/03/2025 9:03:08")</f>
        <v>03/03/2025 9:03:08</v>
      </c>
      <c r="C2265" s="35"/>
      <c r="D2265" s="10">
        <f>IFERROR(__xludf.DUMMYFUNCTION("""COMPUTED_VALUE"""),45741.0)</f>
        <v>45741</v>
      </c>
      <c r="E2265" s="35" t="str">
        <f>IFERROR(__xludf.DUMMYFUNCTION("""COMPUTED_VALUE"""),"03Mar")</f>
        <v>03Mar</v>
      </c>
      <c r="F2265" s="34" t="str">
        <f>IFERROR(__xludf.DUMMYFUNCTION("""COMPUTED_VALUE"""),"2025")</f>
        <v>2025</v>
      </c>
      <c r="G2265" s="35" t="str">
        <f>IFERROR(__xludf.DUMMYFUNCTION("""COMPUTED_VALUE"""),"SUSILO HARTATI")</f>
        <v>SUSILO HARTATI</v>
      </c>
      <c r="H2265" s="35" t="str">
        <f>IFERROR(__xludf.DUMMYFUNCTION("""COMPUTED_VALUE"""),"S8425039305")</f>
        <v>S8425039305</v>
      </c>
      <c r="I2265" s="35">
        <f>IFERROR(__xludf.DUMMYFUNCTION("""COMPUTED_VALUE"""),41.0)</f>
        <v>41</v>
      </c>
      <c r="J2265" s="35" t="str">
        <f>IFERROR(__xludf.DUMMYFUNCTION("""COMPUTED_VALUE"""),"35-44 tahun")</f>
        <v>35-44 tahun</v>
      </c>
      <c r="K2265" s="21" t="str">
        <f>IFERROR(__xludf.DUMMYFUNCTION("""COMPUTED_VALUE"""),"05/09/1984")</f>
        <v>05/09/1984</v>
      </c>
      <c r="L2265" s="21" t="str">
        <f>IFERROR(__xludf.DUMMYFUNCTION("""COMPUTED_VALUE"""),"PEREMPUAN")</f>
        <v>PEREMPUAN</v>
      </c>
      <c r="M2265" s="35" t="str">
        <f>IFERROR(__xludf.DUMMYFUNCTION("""COMPUTED_VALUE"""),"JL KACANG PERUM AMETHYS RESIDENCE NO B5")</f>
        <v>JL KACANG PERUM AMETHYS RESIDENCE NO B5</v>
      </c>
      <c r="N2265" s="35" t="str">
        <f>IFERROR(__xludf.DUMMYFUNCTION("""COMPUTED_VALUE"""),"SEKIP LAMA")</f>
        <v>SEKIP LAMA</v>
      </c>
      <c r="O2265" s="35" t="str">
        <f>IFERROR(__xludf.DUMMYFUNCTION("""COMPUTED_VALUE"""),"SINGKAWANG TENGAH")</f>
        <v>SINGKAWANG TENGAH</v>
      </c>
      <c r="P2265" s="35" t="str">
        <f>IFERROR(__xludf.DUMMYFUNCTION("""COMPUTED_VALUE"""),"SINGKAWANG")</f>
        <v>SINGKAWANG</v>
      </c>
      <c r="Q2265" s="35" t="str">
        <f>IFERROR(__xludf.DUMMYFUNCTION("""COMPUTED_VALUE"""),"KALIMANTAN BARAT")</f>
        <v>KALIMANTAN BARAT</v>
      </c>
      <c r="R2265" s="21" t="str">
        <f>IFERROR(__xludf.DUMMYFUNCTION("""COMPUTED_VALUE"""),"ISLAM")</f>
        <v>ISLAM</v>
      </c>
      <c r="S2265" s="74" t="str">
        <f>IFERROR(__xludf.DUMMYFUNCTION("""COMPUTED_VALUE"""),"IRT")</f>
        <v>IRT</v>
      </c>
      <c r="T2265" s="35" t="str">
        <f>IFERROR(__xludf.DUMMYFUNCTION("""COMPUTED_VALUE"""),"NYERI DR PINGGANG KIRI KE LUTUT")</f>
        <v>NYERI DR PINGGANG KIRI KE LUTUT</v>
      </c>
      <c r="U2265" s="35" t="str">
        <f>IFERROR(__xludf.DUMMYFUNCTION("""COMPUTED_VALUE"""),"BERGERAK TRLALU CEPAT")</f>
        <v>BERGERAK TRLALU CEPAT</v>
      </c>
      <c r="V2265" s="37" t="str">
        <f>IFERROR(__xludf.DUMMYFUNCTION("""COMPUTED_VALUE"""),"085345539305")</f>
        <v>085345539305</v>
      </c>
      <c r="W2265" s="45"/>
    </row>
    <row r="2266">
      <c r="A2266" s="45"/>
      <c r="B2266" s="24" t="str">
        <f>IFERROR(__xludf.DUMMYFUNCTION("""COMPUTED_VALUE"""),"03/03/2025 11:18:00")</f>
        <v>03/03/2025 11:18:00</v>
      </c>
      <c r="C2266" s="35"/>
      <c r="D2266" s="10">
        <f>IFERROR(__xludf.DUMMYFUNCTION("""COMPUTED_VALUE"""),45741.0)</f>
        <v>45741</v>
      </c>
      <c r="E2266" s="35" t="str">
        <f>IFERROR(__xludf.DUMMYFUNCTION("""COMPUTED_VALUE"""),"03Mar")</f>
        <v>03Mar</v>
      </c>
      <c r="F2266" s="34" t="str">
        <f>IFERROR(__xludf.DUMMYFUNCTION("""COMPUTED_VALUE"""),"2025")</f>
        <v>2025</v>
      </c>
      <c r="G2266" s="35" t="str">
        <f>IFERROR(__xludf.DUMMYFUNCTION("""COMPUTED_VALUE"""),"BIMA ADITYA")</f>
        <v>BIMA ADITYA</v>
      </c>
      <c r="H2266" s="35" t="str">
        <f>IFERROR(__xludf.DUMMYFUNCTION("""COMPUTED_VALUE"""),"B9625030865")</f>
        <v>B9625030865</v>
      </c>
      <c r="I2266" s="35">
        <f>IFERROR(__xludf.DUMMYFUNCTION("""COMPUTED_VALUE"""),29.0)</f>
        <v>29</v>
      </c>
      <c r="J2266" s="35" t="str">
        <f>IFERROR(__xludf.DUMMYFUNCTION("""COMPUTED_VALUE"""),"25-34 tahun")</f>
        <v>25-34 tahun</v>
      </c>
      <c r="K2266" s="21" t="str">
        <f>IFERROR(__xludf.DUMMYFUNCTION("""COMPUTED_VALUE"""),"28/10/1996")</f>
        <v>28/10/1996</v>
      </c>
      <c r="L2266" s="21" t="str">
        <f>IFERROR(__xludf.DUMMYFUNCTION("""COMPUTED_VALUE"""),"LAKI-LAKI")</f>
        <v>LAKI-LAKI</v>
      </c>
      <c r="M2266" s="35" t="str">
        <f>IFERROR(__xludf.DUMMYFUNCTION("""COMPUTED_VALUE"""),"JALAN DANAU SENTARUM GANG NURHADI 3 BLOK M NO 3")</f>
        <v>JALAN DANAU SENTARUM GANG NURHADI 3 BLOK M NO 3</v>
      </c>
      <c r="N2266" s="35" t="str">
        <f>IFERROR(__xludf.DUMMYFUNCTION("""COMPUTED_VALUE"""),"SUNGAI BANGKONG")</f>
        <v>SUNGAI BANGKONG</v>
      </c>
      <c r="O2266" s="35" t="str">
        <f>IFERROR(__xludf.DUMMYFUNCTION("""COMPUTED_VALUE"""),"PONTIANAK KOTA")</f>
        <v>PONTIANAK KOTA</v>
      </c>
      <c r="P2266" s="35" t="str">
        <f>IFERROR(__xludf.DUMMYFUNCTION("""COMPUTED_VALUE"""),"PONTIANAK")</f>
        <v>PONTIANAK</v>
      </c>
      <c r="Q2266" s="35" t="str">
        <f>IFERROR(__xludf.DUMMYFUNCTION("""COMPUTED_VALUE"""),"KALIMANTAN BARAT")</f>
        <v>KALIMANTAN BARAT</v>
      </c>
      <c r="R2266" s="21" t="str">
        <f>IFERROR(__xludf.DUMMYFUNCTION("""COMPUTED_VALUE"""),"ISLAM")</f>
        <v>ISLAM</v>
      </c>
      <c r="S2266" s="74" t="str">
        <f>IFERROR(__xludf.DUMMYFUNCTION("""COMPUTED_VALUE"""),"PELAJAR")</f>
        <v>PELAJAR</v>
      </c>
      <c r="T2266" s="35" t="str">
        <f>IFERROR(__xludf.DUMMYFUNCTION("""COMPUTED_VALUE"""),"SAKIT BAGIAN LUTUT TERUTAMA DI SEBELAH KIRI.0")</f>
        <v>SAKIT BAGIAN LUTUT TERUTAMA DI SEBELAH KIRI.0</v>
      </c>
      <c r="U2266" s="35" t="str">
        <f>IFERROR(__xludf.DUMMYFUNCTION("""COMPUTED_VALUE"""),"BERLARI")</f>
        <v>BERLARI</v>
      </c>
      <c r="V2266" s="37" t="str">
        <f>IFERROR(__xludf.DUMMYFUNCTION("""COMPUTED_VALUE"""),"087845330865")</f>
        <v>087845330865</v>
      </c>
      <c r="W2266" s="45"/>
    </row>
    <row r="2267">
      <c r="A2267" s="45"/>
      <c r="B2267" s="24" t="str">
        <f>IFERROR(__xludf.DUMMYFUNCTION("""COMPUTED_VALUE"""),"03/03/2025 12:47:43")</f>
        <v>03/03/2025 12:47:43</v>
      </c>
      <c r="C2267" s="35"/>
      <c r="D2267" s="10">
        <f>IFERROR(__xludf.DUMMYFUNCTION("""COMPUTED_VALUE"""),45741.0)</f>
        <v>45741</v>
      </c>
      <c r="E2267" s="35" t="str">
        <f>IFERROR(__xludf.DUMMYFUNCTION("""COMPUTED_VALUE"""),"03Mar")</f>
        <v>03Mar</v>
      </c>
      <c r="F2267" s="34" t="str">
        <f>IFERROR(__xludf.DUMMYFUNCTION("""COMPUTED_VALUE"""),"2025")</f>
        <v>2025</v>
      </c>
      <c r="G2267" s="35" t="str">
        <f>IFERROR(__xludf.DUMMYFUNCTION("""COMPUTED_VALUE"""),"MUHAMAD RAFFANI SYAWAL")</f>
        <v>MUHAMAD RAFFANI SYAWAL</v>
      </c>
      <c r="H2267" s="35" t="str">
        <f>IFERROR(__xludf.DUMMYFUNCTION("""COMPUTED_VALUE"""),"M0325037749")</f>
        <v>M0325037749</v>
      </c>
      <c r="I2267" s="35">
        <f>IFERROR(__xludf.DUMMYFUNCTION("""COMPUTED_VALUE"""),22.0)</f>
        <v>22</v>
      </c>
      <c r="J2267" s="35" t="str">
        <f>IFERROR(__xludf.DUMMYFUNCTION("""COMPUTED_VALUE"""),"18-24 tahun")</f>
        <v>18-24 tahun</v>
      </c>
      <c r="K2267" s="21" t="str">
        <f>IFERROR(__xludf.DUMMYFUNCTION("""COMPUTED_VALUE"""),"16/12/2003")</f>
        <v>16/12/2003</v>
      </c>
      <c r="L2267" s="21" t="str">
        <f>IFERROR(__xludf.DUMMYFUNCTION("""COMPUTED_VALUE"""),"LAKI-LAKI")</f>
        <v>LAKI-LAKI</v>
      </c>
      <c r="M2267" s="35" t="str">
        <f>IFERROR(__xludf.DUMMYFUNCTION("""COMPUTED_VALUE"""),"JL. AMPERA KOMPLEK BALI ASRI 1 BLOK B. NO 8")</f>
        <v>JL. AMPERA KOMPLEK BALI ASRI 1 BLOK B. NO 8</v>
      </c>
      <c r="N2267" s="35" t="str">
        <f>IFERROR(__xludf.DUMMYFUNCTION("""COMPUTED_VALUE"""),"SUI. BANGKONG")</f>
        <v>SUI. BANGKONG</v>
      </c>
      <c r="O2267" s="35" t="str">
        <f>IFERROR(__xludf.DUMMYFUNCTION("""COMPUTED_VALUE"""),"PONTIANAK KOTA")</f>
        <v>PONTIANAK KOTA</v>
      </c>
      <c r="P2267" s="35" t="str">
        <f>IFERROR(__xludf.DUMMYFUNCTION("""COMPUTED_VALUE"""),"PONTIANAK")</f>
        <v>PONTIANAK</v>
      </c>
      <c r="Q2267" s="35" t="str">
        <f>IFERROR(__xludf.DUMMYFUNCTION("""COMPUTED_VALUE"""),"KALBAR")</f>
        <v>KALBAR</v>
      </c>
      <c r="R2267" s="21" t="str">
        <f>IFERROR(__xludf.DUMMYFUNCTION("""COMPUTED_VALUE"""),"ISLAM")</f>
        <v>ISLAM</v>
      </c>
      <c r="S2267" s="74" t="str">
        <f>IFERROR(__xludf.DUMMYFUNCTION("""COMPUTED_VALUE"""),"MAHASISWA")</f>
        <v>MAHASISWA</v>
      </c>
      <c r="T2267" s="35" t="str">
        <f>IFERROR(__xludf.DUMMYFUNCTION("""COMPUTED_VALUE"""),"CEDERA KAKI")</f>
        <v>CEDERA KAKI</v>
      </c>
      <c r="U2267" s="35" t="str">
        <f>IFERROR(__xludf.DUMMYFUNCTION("""COMPUTED_VALUE"""),"-")</f>
        <v>-</v>
      </c>
      <c r="V2267" s="37" t="str">
        <f>IFERROR(__xludf.DUMMYFUNCTION("""COMPUTED_VALUE"""),"081347427749")</f>
        <v>081347427749</v>
      </c>
      <c r="W2267" s="45"/>
    </row>
    <row r="2268">
      <c r="A2268" s="45"/>
      <c r="B2268" s="24" t="str">
        <f>IFERROR(__xludf.DUMMYFUNCTION("""COMPUTED_VALUE"""),"03/03/2025 12:49:23")</f>
        <v>03/03/2025 12:49:23</v>
      </c>
      <c r="C2268" s="35"/>
      <c r="D2268" s="10">
        <f>IFERROR(__xludf.DUMMYFUNCTION("""COMPUTED_VALUE"""),45742.0)</f>
        <v>45742</v>
      </c>
      <c r="E2268" s="35" t="str">
        <f>IFERROR(__xludf.DUMMYFUNCTION("""COMPUTED_VALUE"""),"03Mar")</f>
        <v>03Mar</v>
      </c>
      <c r="F2268" s="34" t="str">
        <f>IFERROR(__xludf.DUMMYFUNCTION("""COMPUTED_VALUE"""),"2025")</f>
        <v>2025</v>
      </c>
      <c r="G2268" s="35" t="str">
        <f>IFERROR(__xludf.DUMMYFUNCTION("""COMPUTED_VALUE"""),"SHANDY ANGGIAN")</f>
        <v>SHANDY ANGGIAN</v>
      </c>
      <c r="H2268" s="35" t="str">
        <f>IFERROR(__xludf.DUMMYFUNCTION("""COMPUTED_VALUE"""),"S9825036649")</f>
        <v>S9825036649</v>
      </c>
      <c r="I2268" s="35">
        <f>IFERROR(__xludf.DUMMYFUNCTION("""COMPUTED_VALUE"""),28.0)</f>
        <v>28</v>
      </c>
      <c r="J2268" s="35" t="str">
        <f>IFERROR(__xludf.DUMMYFUNCTION("""COMPUTED_VALUE"""),"25-34 tahun")</f>
        <v>25-34 tahun</v>
      </c>
      <c r="K2268" s="21" t="str">
        <f>IFERROR(__xludf.DUMMYFUNCTION("""COMPUTED_VALUE"""),"25/05/1998")</f>
        <v>25/05/1998</v>
      </c>
      <c r="L2268" s="21" t="str">
        <f>IFERROR(__xludf.DUMMYFUNCTION("""COMPUTED_VALUE"""),"LAKI-LAKI")</f>
        <v>LAKI-LAKI</v>
      </c>
      <c r="M2268" s="35" t="str">
        <f>IFERROR(__xludf.DUMMYFUNCTION("""COMPUTED_VALUE"""),"SUNGAI KAKAP")</f>
        <v>SUNGAI KAKAP</v>
      </c>
      <c r="N2268" s="35" t="str">
        <f>IFERROR(__xludf.DUMMYFUNCTION("""COMPUTED_VALUE"""),"PUNGGUR")</f>
        <v>PUNGGUR</v>
      </c>
      <c r="O2268" s="35" t="str">
        <f>IFERROR(__xludf.DUMMYFUNCTION("""COMPUTED_VALUE"""),"SUNGAI KAKAP")</f>
        <v>SUNGAI KAKAP</v>
      </c>
      <c r="P2268" s="35" t="str">
        <f>IFERROR(__xludf.DUMMYFUNCTION("""COMPUTED_VALUE"""),"KAB. KUBU RAYA")</f>
        <v>KAB. KUBU RAYA</v>
      </c>
      <c r="Q2268" s="35" t="str">
        <f>IFERROR(__xludf.DUMMYFUNCTION("""COMPUTED_VALUE"""),"KALIMANTAN BARAT")</f>
        <v>KALIMANTAN BARAT</v>
      </c>
      <c r="R2268" s="21" t="str">
        <f>IFERROR(__xludf.DUMMYFUNCTION("""COMPUTED_VALUE"""),"LAINNYA")</f>
        <v>LAINNYA</v>
      </c>
      <c r="S2268" s="74" t="str">
        <f>IFERROR(__xludf.DUMMYFUNCTION("""COMPUTED_VALUE"""),"HONORER")</f>
        <v>HONORER</v>
      </c>
      <c r="T2268" s="35" t="str">
        <f>IFERROR(__xludf.DUMMYFUNCTION("""COMPUTED_VALUE"""),"TANGAN")</f>
        <v>TANGAN</v>
      </c>
      <c r="U2268" s="35" t="str">
        <f>IFERROR(__xludf.DUMMYFUNCTION("""COMPUTED_VALUE"""),"-")</f>
        <v>-</v>
      </c>
      <c r="V2268" s="37" t="str">
        <f>IFERROR(__xludf.DUMMYFUNCTION("""COMPUTED_VALUE"""),"089532186649")</f>
        <v>089532186649</v>
      </c>
      <c r="W2268" s="45"/>
    </row>
    <row r="2269">
      <c r="A2269" s="45"/>
      <c r="B2269" s="24" t="str">
        <f>IFERROR(__xludf.DUMMYFUNCTION("""COMPUTED_VALUE"""),"03/03/2025 13:51:41")</f>
        <v>03/03/2025 13:51:41</v>
      </c>
      <c r="C2269" s="35"/>
      <c r="D2269" s="10">
        <f>IFERROR(__xludf.DUMMYFUNCTION("""COMPUTED_VALUE"""),45743.0)</f>
        <v>45743</v>
      </c>
      <c r="E2269" s="35" t="str">
        <f>IFERROR(__xludf.DUMMYFUNCTION("""COMPUTED_VALUE"""),"03Mar")</f>
        <v>03Mar</v>
      </c>
      <c r="F2269" s="34" t="str">
        <f>IFERROR(__xludf.DUMMYFUNCTION("""COMPUTED_VALUE"""),"2025")</f>
        <v>2025</v>
      </c>
      <c r="G2269" s="35" t="str">
        <f>IFERROR(__xludf.DUMMYFUNCTION("""COMPUTED_VALUE"""),"SALMAWATI")</f>
        <v>SALMAWATI</v>
      </c>
      <c r="H2269" s="35" t="str">
        <f>IFERROR(__xludf.DUMMYFUNCTION("""COMPUTED_VALUE"""),"S5925039081")</f>
        <v>S5925039081</v>
      </c>
      <c r="I2269" s="35">
        <f>IFERROR(__xludf.DUMMYFUNCTION("""COMPUTED_VALUE"""),66.0)</f>
        <v>66</v>
      </c>
      <c r="J2269" s="35" t="str">
        <f>IFERROR(__xludf.DUMMYFUNCTION("""COMPUTED_VALUE"""),"&gt; 44 tahun")</f>
        <v>&gt; 44 tahun</v>
      </c>
      <c r="K2269" s="21" t="str">
        <f>IFERROR(__xludf.DUMMYFUNCTION("""COMPUTED_VALUE"""),"12/12/1959")</f>
        <v>12/12/1959</v>
      </c>
      <c r="L2269" s="21" t="str">
        <f>IFERROR(__xludf.DUMMYFUNCTION("""COMPUTED_VALUE"""),"PEREMPUAN")</f>
        <v>PEREMPUAN</v>
      </c>
      <c r="M2269" s="35" t="str">
        <f>IFERROR(__xludf.DUMMYFUNCTION("""COMPUTED_VALUE"""),"JL. DARUNAJAH")</f>
        <v>JL. DARUNAJAH</v>
      </c>
      <c r="N2269" s="35" t="str">
        <f>IFERROR(__xludf.DUMMYFUNCTION("""COMPUTED_VALUE"""),"BANING KOTA")</f>
        <v>BANING KOTA</v>
      </c>
      <c r="O2269" s="35" t="str">
        <f>IFERROR(__xludf.DUMMYFUNCTION("""COMPUTED_VALUE"""),"SINTANG")</f>
        <v>SINTANG</v>
      </c>
      <c r="P2269" s="35" t="str">
        <f>IFERROR(__xludf.DUMMYFUNCTION("""COMPUTED_VALUE"""),"SINTANG")</f>
        <v>SINTANG</v>
      </c>
      <c r="Q2269" s="35" t="str">
        <f>IFERROR(__xludf.DUMMYFUNCTION("""COMPUTED_VALUE"""),"KALIMANTAN BARAT")</f>
        <v>KALIMANTAN BARAT</v>
      </c>
      <c r="R2269" s="21" t="str">
        <f>IFERROR(__xludf.DUMMYFUNCTION("""COMPUTED_VALUE"""),"ISLAM")</f>
        <v>ISLAM</v>
      </c>
      <c r="S2269" s="74" t="str">
        <f>IFERROR(__xludf.DUMMYFUNCTION("""COMPUTED_VALUE"""),"MENGURUS RUMAH TANGGA")</f>
        <v>MENGURUS RUMAH TANGGA</v>
      </c>
      <c r="T2269" s="35" t="str">
        <f>IFERROR(__xludf.DUMMYFUNCTION("""COMPUTED_VALUE"""),"NYERI TANGAN KIRI SEKITAR PERGELANGAN TANGAN, BENGKAK, DAN KEBIRUAN")</f>
        <v>NYERI TANGAN KIRI SEKITAR PERGELANGAN TANGAN, BENGKAK, DAN KEBIRUAN</v>
      </c>
      <c r="U2269" s="35" t="str">
        <f>IFERROR(__xludf.DUMMYFUNCTION("""COMPUTED_VALUE"""),"KELUHAN TERJADI SETELAH AKTIVITAS BERAT")</f>
        <v>KELUHAN TERJADI SETELAH AKTIVITAS BERAT</v>
      </c>
      <c r="V2269" s="37" t="str">
        <f>IFERROR(__xludf.DUMMYFUNCTION("""COMPUTED_VALUE"""),"089694039081")</f>
        <v>089694039081</v>
      </c>
      <c r="W2269" s="45"/>
    </row>
    <row r="2270">
      <c r="A2270" s="45"/>
      <c r="B2270" s="24" t="str">
        <f>IFERROR(__xludf.DUMMYFUNCTION("""COMPUTED_VALUE"""),"03/03/2025 15:14:17")</f>
        <v>03/03/2025 15:14:17</v>
      </c>
      <c r="C2270" s="35"/>
      <c r="D2270" s="10">
        <f>IFERROR(__xludf.DUMMYFUNCTION("""COMPUTED_VALUE"""),45743.0)</f>
        <v>45743</v>
      </c>
      <c r="E2270" s="35" t="str">
        <f>IFERROR(__xludf.DUMMYFUNCTION("""COMPUTED_VALUE"""),"03Mar")</f>
        <v>03Mar</v>
      </c>
      <c r="F2270" s="34" t="str">
        <f>IFERROR(__xludf.DUMMYFUNCTION("""COMPUTED_VALUE"""),"2025")</f>
        <v>2025</v>
      </c>
      <c r="G2270" s="35" t="str">
        <f>IFERROR(__xludf.DUMMYFUNCTION("""COMPUTED_VALUE"""),"FIRDAUS LIMAN")</f>
        <v>FIRDAUS LIMAN</v>
      </c>
      <c r="H2270" s="35" t="str">
        <f>IFERROR(__xludf.DUMMYFUNCTION("""COMPUTED_VALUE"""),"F9225032817")</f>
        <v>F9225032817</v>
      </c>
      <c r="I2270" s="35">
        <f>IFERROR(__xludf.DUMMYFUNCTION("""COMPUTED_VALUE"""),33.0)</f>
        <v>33</v>
      </c>
      <c r="J2270" s="35" t="str">
        <f>IFERROR(__xludf.DUMMYFUNCTION("""COMPUTED_VALUE"""),"25-34 tahun")</f>
        <v>25-34 tahun</v>
      </c>
      <c r="K2270" s="21" t="str">
        <f>IFERROR(__xludf.DUMMYFUNCTION("""COMPUTED_VALUE"""),"21/09/1992")</f>
        <v>21/09/1992</v>
      </c>
      <c r="L2270" s="21" t="str">
        <f>IFERROR(__xludf.DUMMYFUNCTION("""COMPUTED_VALUE"""),"LAKI-LAKI")</f>
        <v>LAKI-LAKI</v>
      </c>
      <c r="M2270" s="35" t="str">
        <f>IFERROR(__xludf.DUMMYFUNCTION("""COMPUTED_VALUE"""),"JL. PARIT H HUSIN I GG. KURNIA NO. 5")</f>
        <v>JL. PARIT H HUSIN I GG. KURNIA NO. 5</v>
      </c>
      <c r="N2270" s="35" t="str">
        <f>IFERROR(__xludf.DUMMYFUNCTION("""COMPUTED_VALUE"""),"BANGKA BELITUNG LAUT")</f>
        <v>BANGKA BELITUNG LAUT</v>
      </c>
      <c r="O2270" s="35" t="str">
        <f>IFERROR(__xludf.DUMMYFUNCTION("""COMPUTED_VALUE"""),"PONTIANAK TENGGARA")</f>
        <v>PONTIANAK TENGGARA</v>
      </c>
      <c r="P2270" s="35" t="str">
        <f>IFERROR(__xludf.DUMMYFUNCTION("""COMPUTED_VALUE"""),"PONTIANAK")</f>
        <v>PONTIANAK</v>
      </c>
      <c r="Q2270" s="35" t="str">
        <f>IFERROR(__xludf.DUMMYFUNCTION("""COMPUTED_VALUE"""),"KALIMANTAN BARAT")</f>
        <v>KALIMANTAN BARAT</v>
      </c>
      <c r="R2270" s="21" t="str">
        <f>IFERROR(__xludf.DUMMYFUNCTION("""COMPUTED_VALUE"""),"KATOLIK")</f>
        <v>KATOLIK</v>
      </c>
      <c r="S2270" s="74" t="str">
        <f>IFERROR(__xludf.DUMMYFUNCTION("""COMPUTED_VALUE"""),"KARYAWAN SWASTA")</f>
        <v>KARYAWAN SWASTA</v>
      </c>
      <c r="T2270" s="35" t="str">
        <f>IFERROR(__xludf.DUMMYFUNCTION("""COMPUTED_VALUE"""),"CEDERA PADA LUTUT")</f>
        <v>CEDERA PADA LUTUT</v>
      </c>
      <c r="U2270" s="35" t="str">
        <f>IFERROR(__xludf.DUMMYFUNCTION("""COMPUTED_VALUE"""),"BULU TANGKIS")</f>
        <v>BULU TANGKIS</v>
      </c>
      <c r="V2270" s="37" t="str">
        <f>IFERROR(__xludf.DUMMYFUNCTION("""COMPUTED_VALUE"""),"082150862817")</f>
        <v>082150862817</v>
      </c>
      <c r="W2270" s="45"/>
    </row>
    <row r="2271">
      <c r="A2271" s="45"/>
      <c r="B2271" s="24" t="str">
        <f>IFERROR(__xludf.DUMMYFUNCTION("""COMPUTED_VALUE"""),"03/03/2025 21:17:05")</f>
        <v>03/03/2025 21:17:05</v>
      </c>
      <c r="C2271" s="35"/>
      <c r="D2271" s="10">
        <f>IFERROR(__xludf.DUMMYFUNCTION("""COMPUTED_VALUE"""),45743.0)</f>
        <v>45743</v>
      </c>
      <c r="E2271" s="35" t="str">
        <f>IFERROR(__xludf.DUMMYFUNCTION("""COMPUTED_VALUE"""),"03Mar")</f>
        <v>03Mar</v>
      </c>
      <c r="F2271" s="34" t="str">
        <f>IFERROR(__xludf.DUMMYFUNCTION("""COMPUTED_VALUE"""),"2025")</f>
        <v>2025</v>
      </c>
      <c r="G2271" s="35" t="str">
        <f>IFERROR(__xludf.DUMMYFUNCTION("""COMPUTED_VALUE"""),"PUSPITA RAHMASARI")</f>
        <v>PUSPITA RAHMASARI</v>
      </c>
      <c r="H2271" s="35" t="str">
        <f>IFERROR(__xludf.DUMMYFUNCTION("""COMPUTED_VALUE"""),"P9425035723")</f>
        <v>P9425035723</v>
      </c>
      <c r="I2271" s="35">
        <f>IFERROR(__xludf.DUMMYFUNCTION("""COMPUTED_VALUE"""),31.0)</f>
        <v>31</v>
      </c>
      <c r="J2271" s="35" t="str">
        <f>IFERROR(__xludf.DUMMYFUNCTION("""COMPUTED_VALUE"""),"25-34 tahun")</f>
        <v>25-34 tahun</v>
      </c>
      <c r="K2271" s="21">
        <f>IFERROR(__xludf.DUMMYFUNCTION("""COMPUTED_VALUE"""),34599.0)</f>
        <v>34599</v>
      </c>
      <c r="L2271" s="21" t="str">
        <f>IFERROR(__xludf.DUMMYFUNCTION("""COMPUTED_VALUE"""),"PEREMPUAN")</f>
        <v>PEREMPUAN</v>
      </c>
      <c r="M2271" s="35" t="str">
        <f>IFERROR(__xludf.DUMMYFUNCTION("""COMPUTED_VALUE"""),"JL. SURYA")</f>
        <v>JL. SURYA</v>
      </c>
      <c r="N2271" s="35"/>
      <c r="O2271" s="35" t="str">
        <f>IFERROR(__xludf.DUMMYFUNCTION("""COMPUTED_VALUE"""),"PONTIANAK")</f>
        <v>PONTIANAK</v>
      </c>
      <c r="P2271" s="35" t="str">
        <f>IFERROR(__xludf.DUMMYFUNCTION("""COMPUTED_VALUE"""),"PONTIANAK")</f>
        <v>PONTIANAK</v>
      </c>
      <c r="Q2271" s="35" t="str">
        <f>IFERROR(__xludf.DUMMYFUNCTION("""COMPUTED_VALUE"""),"KALIMANTAN BARAT")</f>
        <v>KALIMANTAN BARAT</v>
      </c>
      <c r="R2271" s="21" t="str">
        <f>IFERROR(__xludf.DUMMYFUNCTION("""COMPUTED_VALUE"""),"ISLAM")</f>
        <v>ISLAM</v>
      </c>
      <c r="S2271" s="74" t="str">
        <f>IFERROR(__xludf.DUMMYFUNCTION("""COMPUTED_VALUE"""),"PNS")</f>
        <v>PNS</v>
      </c>
      <c r="T2271" s="35" t="str">
        <f>IFERROR(__xludf.DUMMYFUNCTION("""COMPUTED_VALUE"""),"BOKONG SAKIT")</f>
        <v>BOKONG SAKIT</v>
      </c>
      <c r="U2271" s="35" t="str">
        <f>IFERROR(__xludf.DUMMYFUNCTION("""COMPUTED_VALUE"""),"-")</f>
        <v>-</v>
      </c>
      <c r="V2271" s="37" t="str">
        <f>IFERROR(__xludf.DUMMYFUNCTION("""COMPUTED_VALUE"""),"89616645723")</f>
        <v>89616645723</v>
      </c>
      <c r="W2271" s="45"/>
    </row>
    <row r="2272">
      <c r="A2272" s="45"/>
      <c r="B2272" s="24" t="str">
        <f>IFERROR(__xludf.DUMMYFUNCTION("""COMPUTED_VALUE"""),"04/03/2025 17:44:31")</f>
        <v>04/03/2025 17:44:31</v>
      </c>
      <c r="C2272" s="35"/>
      <c r="D2272" s="10">
        <f>IFERROR(__xludf.DUMMYFUNCTION("""COMPUTED_VALUE"""),45743.0)</f>
        <v>45743</v>
      </c>
      <c r="E2272" s="35" t="str">
        <f>IFERROR(__xludf.DUMMYFUNCTION("""COMPUTED_VALUE"""),"03Mar")</f>
        <v>03Mar</v>
      </c>
      <c r="F2272" s="34" t="str">
        <f>IFERROR(__xludf.DUMMYFUNCTION("""COMPUTED_VALUE"""),"2025")</f>
        <v>2025</v>
      </c>
      <c r="G2272" s="35" t="str">
        <f>IFERROR(__xludf.DUMMYFUNCTION("""COMPUTED_VALUE"""),"FAHRIZA")</f>
        <v>FAHRIZA</v>
      </c>
      <c r="H2272" s="35" t="str">
        <f>IFERROR(__xludf.DUMMYFUNCTION("""COMPUTED_VALUE"""),"F9725034300")</f>
        <v>F9725034300</v>
      </c>
      <c r="I2272" s="35">
        <f>IFERROR(__xludf.DUMMYFUNCTION("""COMPUTED_VALUE"""),28.0)</f>
        <v>28</v>
      </c>
      <c r="J2272" s="35" t="str">
        <f>IFERROR(__xludf.DUMMYFUNCTION("""COMPUTED_VALUE"""),"25-34 tahun")</f>
        <v>25-34 tahun</v>
      </c>
      <c r="K2272" s="21" t="str">
        <f>IFERROR(__xludf.DUMMYFUNCTION("""COMPUTED_VALUE"""),"28/08/1997")</f>
        <v>28/08/1997</v>
      </c>
      <c r="L2272" s="21" t="str">
        <f>IFERROR(__xludf.DUMMYFUNCTION("""COMPUTED_VALUE"""),"PEREMPUAN")</f>
        <v>PEREMPUAN</v>
      </c>
      <c r="M2272" s="35" t="str">
        <f>IFERROR(__xludf.DUMMYFUNCTION("""COMPUTED_VALUE"""),"JALAN BABURAZAK TIMUR")</f>
        <v>JALAN BABURAZAK TIMUR</v>
      </c>
      <c r="N2272" s="35" t="str">
        <f>IFERROR(__xludf.DUMMYFUNCTION("""COMPUTED_VALUE"""),"PADANG TIKAR DUA")</f>
        <v>PADANG TIKAR DUA</v>
      </c>
      <c r="O2272" s="35" t="str">
        <f>IFERROR(__xludf.DUMMYFUNCTION("""COMPUTED_VALUE"""),"BATU AMPAR")</f>
        <v>BATU AMPAR</v>
      </c>
      <c r="P2272" s="35" t="str">
        <f>IFERROR(__xludf.DUMMYFUNCTION("""COMPUTED_VALUE"""),"KUBU RAYA")</f>
        <v>KUBU RAYA</v>
      </c>
      <c r="Q2272" s="35" t="str">
        <f>IFERROR(__xludf.DUMMYFUNCTION("""COMPUTED_VALUE"""),"KALIMANTAN BARAT")</f>
        <v>KALIMANTAN BARAT</v>
      </c>
      <c r="R2272" s="21" t="str">
        <f>IFERROR(__xludf.DUMMYFUNCTION("""COMPUTED_VALUE"""),"ISLAM")</f>
        <v>ISLAM</v>
      </c>
      <c r="S2272" s="74" t="str">
        <f>IFERROR(__xludf.DUMMYFUNCTION("""COMPUTED_VALUE"""),"ASN")</f>
        <v>ASN</v>
      </c>
      <c r="T2272" s="35" t="str">
        <f>IFERROR(__xludf.DUMMYFUNCTION("""COMPUTED_VALUE"""),"PERNAH KESELEO ENGKEL SUDAH LAMA, JIKA DIBAWA HIKING SAKIT DAN NYERI")</f>
        <v>PERNAH KESELEO ENGKEL SUDAH LAMA, JIKA DIBAWA HIKING SAKIT DAN NYERI</v>
      </c>
      <c r="U2272" s="35" t="str">
        <f>IFERROR(__xludf.DUMMYFUNCTION("""COMPUTED_VALUE"""),"LARI HIKING")</f>
        <v>LARI HIKING</v>
      </c>
      <c r="V2272" s="37" t="str">
        <f>IFERROR(__xludf.DUMMYFUNCTION("""COMPUTED_VALUE"""),"082131514300")</f>
        <v>082131514300</v>
      </c>
      <c r="W2272" s="45"/>
    </row>
    <row r="2273">
      <c r="A2273" s="45"/>
      <c r="B2273" s="24" t="str">
        <f>IFERROR(__xludf.DUMMYFUNCTION("""COMPUTED_VALUE"""),"04/03/2025 14:42:23")</f>
        <v>04/03/2025 14:42:23</v>
      </c>
      <c r="C2273" s="35"/>
      <c r="D2273" s="10">
        <f>IFERROR(__xludf.DUMMYFUNCTION("""COMPUTED_VALUE"""),45752.0)</f>
        <v>45752</v>
      </c>
      <c r="E2273" s="35" t="str">
        <f>IFERROR(__xludf.DUMMYFUNCTION("""COMPUTED_VALUE"""),"04Apr")</f>
        <v>04Apr</v>
      </c>
      <c r="F2273" s="34" t="str">
        <f>IFERROR(__xludf.DUMMYFUNCTION("""COMPUTED_VALUE"""),"2025")</f>
        <v>2025</v>
      </c>
      <c r="G2273" s="35" t="str">
        <f>IFERROR(__xludf.DUMMYFUNCTION("""COMPUTED_VALUE"""),"ADI SETIAWAN")</f>
        <v>ADI SETIAWAN</v>
      </c>
      <c r="H2273" s="35" t="str">
        <f>IFERROR(__xludf.DUMMYFUNCTION("""COMPUTED_VALUE"""),"A7925041303")</f>
        <v>A7925041303</v>
      </c>
      <c r="I2273" s="35">
        <f>IFERROR(__xludf.DUMMYFUNCTION("""COMPUTED_VALUE"""),47.0)</f>
        <v>47</v>
      </c>
      <c r="J2273" s="35" t="str">
        <f>IFERROR(__xludf.DUMMYFUNCTION("""COMPUTED_VALUE"""),"&gt; 44 tahun")</f>
        <v>&gt; 44 tahun</v>
      </c>
      <c r="K2273" s="21" t="str">
        <f>IFERROR(__xludf.DUMMYFUNCTION("""COMPUTED_VALUE"""),"14/04/1979")</f>
        <v>14/04/1979</v>
      </c>
      <c r="L2273" s="21" t="str">
        <f>IFERROR(__xludf.DUMMYFUNCTION("""COMPUTED_VALUE"""),"LAKI-LAKI")</f>
        <v>LAKI-LAKI</v>
      </c>
      <c r="M2273" s="35" t="str">
        <f>IFERROR(__xludf.DUMMYFUNCTION("""COMPUTED_VALUE"""),"DUSUN NATAL JELUTUNG")</f>
        <v>DUSUN NATAL JELUTUNG</v>
      </c>
      <c r="N2273" s="35" t="str">
        <f>IFERROR(__xludf.DUMMYFUNCTION("""COMPUTED_VALUE"""),"LIMPANG")</f>
        <v>LIMPANG</v>
      </c>
      <c r="O2273" s="35" t="str">
        <f>IFERROR(__xludf.DUMMYFUNCTION("""COMPUTED_VALUE"""),"JELAI HULU")</f>
        <v>JELAI HULU</v>
      </c>
      <c r="P2273" s="35" t="str">
        <f>IFERROR(__xludf.DUMMYFUNCTION("""COMPUTED_VALUE"""),"KETAPANG")</f>
        <v>KETAPANG</v>
      </c>
      <c r="Q2273" s="35" t="str">
        <f>IFERROR(__xludf.DUMMYFUNCTION("""COMPUTED_VALUE"""),"KALIMANTAN BARAT")</f>
        <v>KALIMANTAN BARAT</v>
      </c>
      <c r="R2273" s="21" t="str">
        <f>IFERROR(__xludf.DUMMYFUNCTION("""COMPUTED_VALUE"""),"PROTESTAN")</f>
        <v>PROTESTAN</v>
      </c>
      <c r="S2273" s="74" t="str">
        <f>IFERROR(__xludf.DUMMYFUNCTION("""COMPUTED_VALUE"""),"WIRASWASTA")</f>
        <v>WIRASWASTA</v>
      </c>
      <c r="T2273" s="35" t="str">
        <f>IFERROR(__xludf.DUMMYFUNCTION("""COMPUTED_VALUE"""),"SAKIT PINGGANG")</f>
        <v>SAKIT PINGGANG</v>
      </c>
      <c r="U2273" s="35" t="str">
        <f>IFERROR(__xludf.DUMMYFUNCTION("""COMPUTED_VALUE"""),"NGANGKAT BERAT")</f>
        <v>NGANGKAT BERAT</v>
      </c>
      <c r="V2273" s="37" t="str">
        <f>IFERROR(__xludf.DUMMYFUNCTION("""COMPUTED_VALUE"""),"081299621303")</f>
        <v>081299621303</v>
      </c>
      <c r="W2273" s="45"/>
    </row>
    <row r="2274">
      <c r="A2274" s="45"/>
      <c r="B2274" s="24" t="str">
        <f>IFERROR(__xludf.DUMMYFUNCTION("""COMPUTED_VALUE"""),"05/03/2025 15:15:37")</f>
        <v>05/03/2025 15:15:37</v>
      </c>
      <c r="C2274" s="35"/>
      <c r="D2274" s="10">
        <f>IFERROR(__xludf.DUMMYFUNCTION("""COMPUTED_VALUE"""),45752.0)</f>
        <v>45752</v>
      </c>
      <c r="E2274" s="35" t="str">
        <f>IFERROR(__xludf.DUMMYFUNCTION("""COMPUTED_VALUE"""),"04Apr")</f>
        <v>04Apr</v>
      </c>
      <c r="F2274" s="34" t="str">
        <f>IFERROR(__xludf.DUMMYFUNCTION("""COMPUTED_VALUE"""),"2025")</f>
        <v>2025</v>
      </c>
      <c r="G2274" s="35" t="str">
        <f>IFERROR(__xludf.DUMMYFUNCTION("""COMPUTED_VALUE"""),"MELANI")</f>
        <v>MELANI</v>
      </c>
      <c r="H2274" s="35" t="str">
        <f>IFERROR(__xludf.DUMMYFUNCTION("""COMPUTED_VALUE"""),"M7925042960")</f>
        <v>M7925042960</v>
      </c>
      <c r="I2274" s="35">
        <f>IFERROR(__xludf.DUMMYFUNCTION("""COMPUTED_VALUE"""),47.0)</f>
        <v>47</v>
      </c>
      <c r="J2274" s="35" t="str">
        <f>IFERROR(__xludf.DUMMYFUNCTION("""COMPUTED_VALUE"""),"&gt; 44 tahun")</f>
        <v>&gt; 44 tahun</v>
      </c>
      <c r="K2274" s="21" t="str">
        <f>IFERROR(__xludf.DUMMYFUNCTION("""COMPUTED_VALUE"""),"10/03/1979")</f>
        <v>10/03/1979</v>
      </c>
      <c r="L2274" s="21" t="str">
        <f>IFERROR(__xludf.DUMMYFUNCTION("""COMPUTED_VALUE"""),"PEREMPUAN")</f>
        <v>PEREMPUAN</v>
      </c>
      <c r="M2274" s="35" t="str">
        <f>IFERROR(__xludf.DUMMYFUNCTION("""COMPUTED_VALUE"""),"DUSUN NATAL JELUTUNG")</f>
        <v>DUSUN NATAL JELUTUNG</v>
      </c>
      <c r="N2274" s="35" t="str">
        <f>IFERROR(__xludf.DUMMYFUNCTION("""COMPUTED_VALUE"""),"LIMPANG")</f>
        <v>LIMPANG</v>
      </c>
      <c r="O2274" s="35" t="str">
        <f>IFERROR(__xludf.DUMMYFUNCTION("""COMPUTED_VALUE"""),"JELAI HULU")</f>
        <v>JELAI HULU</v>
      </c>
      <c r="P2274" s="35" t="str">
        <f>IFERROR(__xludf.DUMMYFUNCTION("""COMPUTED_VALUE"""),"KETAPANG")</f>
        <v>KETAPANG</v>
      </c>
      <c r="Q2274" s="35" t="str">
        <f>IFERROR(__xludf.DUMMYFUNCTION("""COMPUTED_VALUE"""),"KALIMANTAN BARAT")</f>
        <v>KALIMANTAN BARAT</v>
      </c>
      <c r="R2274" s="21" t="str">
        <f>IFERROR(__xludf.DUMMYFUNCTION("""COMPUTED_VALUE"""),"PROTESTAN")</f>
        <v>PROTESTAN</v>
      </c>
      <c r="S2274" s="74" t="str">
        <f>IFERROR(__xludf.DUMMYFUNCTION("""COMPUTED_VALUE"""),"WIRASWASTA")</f>
        <v>WIRASWASTA</v>
      </c>
      <c r="T2274" s="35" t="str">
        <f>IFERROR(__xludf.DUMMYFUNCTION("""COMPUTED_VALUE"""),"SAKIT PINGGANG")</f>
        <v>SAKIT PINGGANG</v>
      </c>
      <c r="U2274" s="35" t="str">
        <f>IFERROR(__xludf.DUMMYFUNCTION("""COMPUTED_VALUE"""),"DUDUK DALAM JANGKA WAKTU LAMA")</f>
        <v>DUDUK DALAM JANGKA WAKTU LAMA</v>
      </c>
      <c r="V2274" s="37" t="str">
        <f>IFERROR(__xludf.DUMMYFUNCTION("""COMPUTED_VALUE"""),"082195132960")</f>
        <v>082195132960</v>
      </c>
      <c r="W2274" s="45"/>
    </row>
    <row r="2275">
      <c r="A2275" s="45"/>
      <c r="B2275" s="24" t="str">
        <f>IFERROR(__xludf.DUMMYFUNCTION("""COMPUTED_VALUE"""),"05/03/2025 20:43:33")</f>
        <v>05/03/2025 20:43:33</v>
      </c>
      <c r="C2275" s="35"/>
      <c r="D2275" s="10">
        <f>IFERROR(__xludf.DUMMYFUNCTION("""COMPUTED_VALUE"""),45752.0)</f>
        <v>45752</v>
      </c>
      <c r="E2275" s="35" t="str">
        <f>IFERROR(__xludf.DUMMYFUNCTION("""COMPUTED_VALUE"""),"04Apr")</f>
        <v>04Apr</v>
      </c>
      <c r="F2275" s="34" t="str">
        <f>IFERROR(__xludf.DUMMYFUNCTION("""COMPUTED_VALUE"""),"2025")</f>
        <v>2025</v>
      </c>
      <c r="G2275" s="35" t="str">
        <f>IFERROR(__xludf.DUMMYFUNCTION("""COMPUTED_VALUE"""),"RUBY NADHIRA SUBEKTI")</f>
        <v>RUBY NADHIRA SUBEKTI</v>
      </c>
      <c r="H2275" s="35" t="str">
        <f>IFERROR(__xludf.DUMMYFUNCTION("""COMPUTED_VALUE"""),"R0725041904")</f>
        <v>R0725041904</v>
      </c>
      <c r="I2275" s="35">
        <f>IFERROR(__xludf.DUMMYFUNCTION("""COMPUTED_VALUE"""),19.0)</f>
        <v>19</v>
      </c>
      <c r="J2275" s="35" t="str">
        <f>IFERROR(__xludf.DUMMYFUNCTION("""COMPUTED_VALUE"""),"18-24 tahun")</f>
        <v>18-24 tahun</v>
      </c>
      <c r="K2275" s="21" t="str">
        <f>IFERROR(__xludf.DUMMYFUNCTION("""COMPUTED_VALUE"""),"26/03/2007")</f>
        <v>26/03/2007</v>
      </c>
      <c r="L2275" s="21" t="str">
        <f>IFERROR(__xludf.DUMMYFUNCTION("""COMPUTED_VALUE"""),"PEREMPUAN")</f>
        <v>PEREMPUAN</v>
      </c>
      <c r="M2275" s="35" t="str">
        <f>IFERROR(__xludf.DUMMYFUNCTION("""COMPUTED_VALUE"""),"DUSUN TUNAS JAYA")</f>
        <v>DUSUN TUNAS JAYA</v>
      </c>
      <c r="N2275" s="35" t="str">
        <f>IFERROR(__xludf.DUMMYFUNCTION("""COMPUTED_VALUE"""),"BALAI AGUNG")</f>
        <v>BALAI AGUNG</v>
      </c>
      <c r="O2275" s="35" t="str">
        <f>IFERROR(__xludf.DUMMYFUNCTION("""COMPUTED_VALUE"""),"SUNGAI TEBELIAN")</f>
        <v>SUNGAI TEBELIAN</v>
      </c>
      <c r="P2275" s="35" t="str">
        <f>IFERROR(__xludf.DUMMYFUNCTION("""COMPUTED_VALUE"""),"SINTANG")</f>
        <v>SINTANG</v>
      </c>
      <c r="Q2275" s="35" t="str">
        <f>IFERROR(__xludf.DUMMYFUNCTION("""COMPUTED_VALUE"""),"KALIMANTAN BARAT")</f>
        <v>KALIMANTAN BARAT</v>
      </c>
      <c r="R2275" s="21" t="str">
        <f>IFERROR(__xludf.DUMMYFUNCTION("""COMPUTED_VALUE"""),"ISLAM")</f>
        <v>ISLAM</v>
      </c>
      <c r="S2275" s="74" t="str">
        <f>IFERROR(__xludf.DUMMYFUNCTION("""COMPUTED_VALUE"""),"PELAJAR")</f>
        <v>PELAJAR</v>
      </c>
      <c r="T2275" s="35" t="str">
        <f>IFERROR(__xludf.DUMMYFUNCTION("""COMPUTED_VALUE"""),"KELUHAN TULANG BELAKANG DAN KAKI BERBENTUK X")</f>
        <v>KELUHAN TULANG BELAKANG DAN KAKI BERBENTUK X</v>
      </c>
      <c r="U2275" s="35" t="str">
        <f>IFERROR(__xludf.DUMMYFUNCTION("""COMPUTED_VALUE"""),"OLAHRAGA")</f>
        <v>OLAHRAGA</v>
      </c>
      <c r="V2275" s="37" t="str">
        <f>IFERROR(__xludf.DUMMYFUNCTION("""COMPUTED_VALUE"""),"081347501904")</f>
        <v>081347501904</v>
      </c>
      <c r="W2275" s="45"/>
    </row>
    <row r="2276">
      <c r="A2276" s="45"/>
      <c r="B2276" s="24" t="str">
        <f>IFERROR(__xludf.DUMMYFUNCTION("""COMPUTED_VALUE"""),"14/03/2025 9:34:15")</f>
        <v>14/03/2025 9:34:15</v>
      </c>
      <c r="C2276" s="35"/>
      <c r="D2276" s="10">
        <f>IFERROR(__xludf.DUMMYFUNCTION("""COMPUTED_VALUE"""),45752.0)</f>
        <v>45752</v>
      </c>
      <c r="E2276" s="35" t="str">
        <f>IFERROR(__xludf.DUMMYFUNCTION("""COMPUTED_VALUE"""),"04Apr")</f>
        <v>04Apr</v>
      </c>
      <c r="F2276" s="34" t="str">
        <f>IFERROR(__xludf.DUMMYFUNCTION("""COMPUTED_VALUE"""),"2025")</f>
        <v>2025</v>
      </c>
      <c r="G2276" s="35" t="str">
        <f>IFERROR(__xludf.DUMMYFUNCTION("""COMPUTED_VALUE"""),"ERWIN")</f>
        <v>ERWIN</v>
      </c>
      <c r="H2276" s="35" t="str">
        <f>IFERROR(__xludf.DUMMYFUNCTION("""COMPUTED_VALUE"""),"E7825046700")</f>
        <v>E7825046700</v>
      </c>
      <c r="I2276" s="35">
        <f>IFERROR(__xludf.DUMMYFUNCTION("""COMPUTED_VALUE"""),47.0)</f>
        <v>47</v>
      </c>
      <c r="J2276" s="35" t="str">
        <f>IFERROR(__xludf.DUMMYFUNCTION("""COMPUTED_VALUE"""),"&gt; 44 tahun")</f>
        <v>&gt; 44 tahun</v>
      </c>
      <c r="K2276" s="21" t="str">
        <f>IFERROR(__xludf.DUMMYFUNCTION("""COMPUTED_VALUE"""),"25/08/1978")</f>
        <v>25/08/1978</v>
      </c>
      <c r="L2276" s="21" t="str">
        <f>IFERROR(__xludf.DUMMYFUNCTION("""COMPUTED_VALUE"""),"LAKI-LAKI")</f>
        <v>LAKI-LAKI</v>
      </c>
      <c r="M2276" s="35" t="str">
        <f>IFERROR(__xludf.DUMMYFUNCTION("""COMPUTED_VALUE"""),"KARYA BARU 6 NO A2")</f>
        <v>KARYA BARU 6 NO A2</v>
      </c>
      <c r="N2276" s="35" t="str">
        <f>IFERROR(__xludf.DUMMYFUNCTION("""COMPUTED_VALUE"""),"PARIT TOKAYA")</f>
        <v>PARIT TOKAYA</v>
      </c>
      <c r="O2276" s="35" t="str">
        <f>IFERROR(__xludf.DUMMYFUNCTION("""COMPUTED_VALUE"""),"PONTIANAK SELATAN")</f>
        <v>PONTIANAK SELATAN</v>
      </c>
      <c r="P2276" s="35" t="str">
        <f>IFERROR(__xludf.DUMMYFUNCTION("""COMPUTED_VALUE"""),"PONTIANAK")</f>
        <v>PONTIANAK</v>
      </c>
      <c r="Q2276" s="35" t="str">
        <f>IFERROR(__xludf.DUMMYFUNCTION("""COMPUTED_VALUE"""),"KALBAR")</f>
        <v>KALBAR</v>
      </c>
      <c r="R2276" s="21" t="str">
        <f>IFERROR(__xludf.DUMMYFUNCTION("""COMPUTED_VALUE"""),"KATOLIK")</f>
        <v>KATOLIK</v>
      </c>
      <c r="S2276" s="74" t="str">
        <f>IFERROR(__xludf.DUMMYFUNCTION("""COMPUTED_VALUE"""),"SALESMAN")</f>
        <v>SALESMAN</v>
      </c>
      <c r="T2276" s="35" t="str">
        <f>IFERROR(__xludf.DUMMYFUNCTION("""COMPUTED_VALUE"""),"TERAPAK KAKI KEBAS2")</f>
        <v>TERAPAK KAKI KEBAS2</v>
      </c>
      <c r="U2276" s="35" t="str">
        <f>IFERROR(__xludf.DUMMYFUNCTION("""COMPUTED_VALUE"""),"BABMINTON")</f>
        <v>BABMINTON</v>
      </c>
      <c r="V2276" s="37" t="str">
        <f>IFERROR(__xludf.DUMMYFUNCTION("""COMPUTED_VALUE"""),"082250426700")</f>
        <v>082250426700</v>
      </c>
      <c r="W2276" s="45"/>
    </row>
    <row r="2277">
      <c r="A2277" s="45"/>
      <c r="B2277" s="24" t="str">
        <f>IFERROR(__xludf.DUMMYFUNCTION("""COMPUTED_VALUE"""),"06/03/2025 9:19:47")</f>
        <v>06/03/2025 9:19:47</v>
      </c>
      <c r="C2277" s="35"/>
      <c r="D2277" s="10">
        <f>IFERROR(__xludf.DUMMYFUNCTION("""COMPUTED_VALUE"""),45752.0)</f>
        <v>45752</v>
      </c>
      <c r="E2277" s="35" t="str">
        <f>IFERROR(__xludf.DUMMYFUNCTION("""COMPUTED_VALUE"""),"04Apr")</f>
        <v>04Apr</v>
      </c>
      <c r="F2277" s="34" t="str">
        <f>IFERROR(__xludf.DUMMYFUNCTION("""COMPUTED_VALUE"""),"2025")</f>
        <v>2025</v>
      </c>
      <c r="G2277" s="35" t="str">
        <f>IFERROR(__xludf.DUMMYFUNCTION("""COMPUTED_VALUE"""),"FELIX FERNANDES")</f>
        <v>FELIX FERNANDES</v>
      </c>
      <c r="H2277" s="35" t="str">
        <f>IFERROR(__xludf.DUMMYFUNCTION("""COMPUTED_VALUE"""),"F9925043339")</f>
        <v>F9925043339</v>
      </c>
      <c r="I2277" s="35">
        <f>IFERROR(__xludf.DUMMYFUNCTION("""COMPUTED_VALUE"""),27.0)</f>
        <v>27</v>
      </c>
      <c r="J2277" s="35" t="str">
        <f>IFERROR(__xludf.DUMMYFUNCTION("""COMPUTED_VALUE"""),"25-34 tahun")</f>
        <v>25-34 tahun</v>
      </c>
      <c r="K2277" s="21" t="str">
        <f>IFERROR(__xludf.DUMMYFUNCTION("""COMPUTED_VALUE"""),"16/05/1999")</f>
        <v>16/05/1999</v>
      </c>
      <c r="L2277" s="21" t="str">
        <f>IFERROR(__xludf.DUMMYFUNCTION("""COMPUTED_VALUE"""),"LAKI-LAKI")</f>
        <v>LAKI-LAKI</v>
      </c>
      <c r="M2277" s="35" t="str">
        <f>IFERROR(__xludf.DUMMYFUNCTION("""COMPUTED_VALUE"""),"JL.HUSEIM HAMZAH KOMP PALMASS RESIDENCE NO B.20")</f>
        <v>JL.HUSEIM HAMZAH KOMP PALMASS RESIDENCE NO B.20</v>
      </c>
      <c r="N2277" s="35" t="str">
        <f>IFERROR(__xludf.DUMMYFUNCTION("""COMPUTED_VALUE"""),"PAL 9")</f>
        <v>PAL 9</v>
      </c>
      <c r="O2277" s="35" t="str">
        <f>IFERROR(__xludf.DUMMYFUNCTION("""COMPUTED_VALUE"""),"SUNGAI KAKAP")</f>
        <v>SUNGAI KAKAP</v>
      </c>
      <c r="P2277" s="35" t="str">
        <f>IFERROR(__xludf.DUMMYFUNCTION("""COMPUTED_VALUE"""),"KUBU RAYA")</f>
        <v>KUBU RAYA</v>
      </c>
      <c r="Q2277" s="35" t="str">
        <f>IFERROR(__xludf.DUMMYFUNCTION("""COMPUTED_VALUE"""),"KALIMANTAN BARAT")</f>
        <v>KALIMANTAN BARAT</v>
      </c>
      <c r="R2277" s="21" t="str">
        <f>IFERROR(__xludf.DUMMYFUNCTION("""COMPUTED_VALUE"""),"KATOLIK")</f>
        <v>KATOLIK</v>
      </c>
      <c r="S2277" s="74" t="str">
        <f>IFERROR(__xludf.DUMMYFUNCTION("""COMPUTED_VALUE"""),"SWASTA")</f>
        <v>SWASTA</v>
      </c>
      <c r="T2277" s="35" t="str">
        <f>IFERROR(__xludf.DUMMYFUNCTION("""COMPUTED_VALUE"""),"BAGIAN LEHER DAN PUNDAK")</f>
        <v>BAGIAN LEHER DAN PUNDAK</v>
      </c>
      <c r="U2277" s="35" t="str">
        <f>IFERROR(__xludf.DUMMYFUNCTION("""COMPUTED_VALUE"""),"BADMINTON")</f>
        <v>BADMINTON</v>
      </c>
      <c r="V2277" s="37" t="str">
        <f>IFERROR(__xludf.DUMMYFUNCTION("""COMPUTED_VALUE"""),"081351903339")</f>
        <v>081351903339</v>
      </c>
      <c r="W2277" s="45"/>
    </row>
    <row r="2278">
      <c r="A2278" s="45"/>
      <c r="B2278" s="24" t="str">
        <f>IFERROR(__xludf.DUMMYFUNCTION("""COMPUTED_VALUE"""),"06/03/2025 9:57:04")</f>
        <v>06/03/2025 9:57:04</v>
      </c>
      <c r="C2278" s="35"/>
      <c r="D2278" s="10">
        <f>IFERROR(__xludf.DUMMYFUNCTION("""COMPUTED_VALUE"""),45752.0)</f>
        <v>45752</v>
      </c>
      <c r="E2278" s="35" t="str">
        <f>IFERROR(__xludf.DUMMYFUNCTION("""COMPUTED_VALUE"""),"04Apr")</f>
        <v>04Apr</v>
      </c>
      <c r="F2278" s="34" t="str">
        <f>IFERROR(__xludf.DUMMYFUNCTION("""COMPUTED_VALUE"""),"2025")</f>
        <v>2025</v>
      </c>
      <c r="G2278" s="35" t="str">
        <f>IFERROR(__xludf.DUMMYFUNCTION("""COMPUTED_VALUE"""),"DEWI RAHAYU")</f>
        <v>DEWI RAHAYU</v>
      </c>
      <c r="H2278" s="35" t="str">
        <f>IFERROR(__xludf.DUMMYFUNCTION("""COMPUTED_VALUE"""),"D9125048938")</f>
        <v>D9125048938</v>
      </c>
      <c r="I2278" s="35">
        <f>IFERROR(__xludf.DUMMYFUNCTION("""COMPUTED_VALUE"""),35.0)</f>
        <v>35</v>
      </c>
      <c r="J2278" s="35" t="str">
        <f>IFERROR(__xludf.DUMMYFUNCTION("""COMPUTED_VALUE"""),"35-44 tahun")</f>
        <v>35-44 tahun</v>
      </c>
      <c r="K2278" s="21" t="str">
        <f>IFERROR(__xludf.DUMMYFUNCTION("""COMPUTED_VALUE"""),"21/03/1991")</f>
        <v>21/03/1991</v>
      </c>
      <c r="L2278" s="21" t="str">
        <f>IFERROR(__xludf.DUMMYFUNCTION("""COMPUTED_VALUE"""),"PEREMPUAN")</f>
        <v>PEREMPUAN</v>
      </c>
      <c r="M2278" s="35" t="str">
        <f>IFERROR(__xludf.DUMMYFUNCTION("""COMPUTED_VALUE"""),"JL. CENDANA RAYA,KOMPLEK CENDANA RAYA NO.E8")</f>
        <v>JL. CENDANA RAYA,KOMPLEK CENDANA RAYA NO.E8</v>
      </c>
      <c r="N2278" s="35" t="str">
        <f>IFERROR(__xludf.DUMMYFUNCTION("""COMPUTED_VALUE"""),"SUNGAI RAYA DALAM")</f>
        <v>SUNGAI RAYA DALAM</v>
      </c>
      <c r="O2278" s="35" t="str">
        <f>IFERROR(__xludf.DUMMYFUNCTION("""COMPUTED_VALUE"""),"SUNGAI RAYA")</f>
        <v>SUNGAI RAYA</v>
      </c>
      <c r="P2278" s="35" t="str">
        <f>IFERROR(__xludf.DUMMYFUNCTION("""COMPUTED_VALUE"""),"KUBU RAYA")</f>
        <v>KUBU RAYA</v>
      </c>
      <c r="Q2278" s="35" t="str">
        <f>IFERROR(__xludf.DUMMYFUNCTION("""COMPUTED_VALUE"""),"KALIMANTAN BARAT")</f>
        <v>KALIMANTAN BARAT</v>
      </c>
      <c r="R2278" s="21" t="str">
        <f>IFERROR(__xludf.DUMMYFUNCTION("""COMPUTED_VALUE"""),"BUDDHA")</f>
        <v>BUDDHA</v>
      </c>
      <c r="S2278" s="74" t="str">
        <f>IFERROR(__xludf.DUMMYFUNCTION("""COMPUTED_VALUE"""),"KARYAWAN SWASTA")</f>
        <v>KARYAWAN SWASTA</v>
      </c>
      <c r="T2278" s="35" t="str">
        <f>IFERROR(__xludf.DUMMYFUNCTION("""COMPUTED_VALUE"""),"BAHU KANAN SERING KESEMUTAN")</f>
        <v>BAHU KANAN SERING KESEMUTAN</v>
      </c>
      <c r="U2278" s="35" t="str">
        <f>IFERROR(__xludf.DUMMYFUNCTION("""COMPUTED_VALUE"""),"SERING BEKERJA DI DEPAN KOMPUTER")</f>
        <v>SERING BEKERJA DI DEPAN KOMPUTER</v>
      </c>
      <c r="V2278" s="37" t="str">
        <f>IFERROR(__xludf.DUMMYFUNCTION("""COMPUTED_VALUE"""),"085252528938")</f>
        <v>085252528938</v>
      </c>
      <c r="W2278" s="45"/>
    </row>
    <row r="2279">
      <c r="A2279" s="45"/>
      <c r="B2279" s="24" t="str">
        <f>IFERROR(__xludf.DUMMYFUNCTION("""COMPUTED_VALUE"""),"06/03/2025 10:14:37")</f>
        <v>06/03/2025 10:14:37</v>
      </c>
      <c r="C2279" s="35"/>
      <c r="D2279" s="10">
        <f>IFERROR(__xludf.DUMMYFUNCTION("""COMPUTED_VALUE"""),45752.0)</f>
        <v>45752</v>
      </c>
      <c r="E2279" s="35" t="str">
        <f>IFERROR(__xludf.DUMMYFUNCTION("""COMPUTED_VALUE"""),"04Apr")</f>
        <v>04Apr</v>
      </c>
      <c r="F2279" s="34" t="str">
        <f>IFERROR(__xludf.DUMMYFUNCTION("""COMPUTED_VALUE"""),"2025")</f>
        <v>2025</v>
      </c>
      <c r="G2279" s="35" t="str">
        <f>IFERROR(__xludf.DUMMYFUNCTION("""COMPUTED_VALUE"""),"TOMI FACHRURRAZI")</f>
        <v>TOMI FACHRURRAZI</v>
      </c>
      <c r="H2279" s="35" t="str">
        <f>IFERROR(__xludf.DUMMYFUNCTION("""COMPUTED_VALUE"""),"T8525047357")</f>
        <v>T8525047357</v>
      </c>
      <c r="I2279" s="35">
        <f>IFERROR(__xludf.DUMMYFUNCTION("""COMPUTED_VALUE"""),41.0)</f>
        <v>41</v>
      </c>
      <c r="J2279" s="35" t="str">
        <f>IFERROR(__xludf.DUMMYFUNCTION("""COMPUTED_VALUE"""),"35-44 tahun")</f>
        <v>35-44 tahun</v>
      </c>
      <c r="K2279" s="21" t="str">
        <f>IFERROR(__xludf.DUMMYFUNCTION("""COMPUTED_VALUE"""),"24/02/1985")</f>
        <v>24/02/1985</v>
      </c>
      <c r="L2279" s="21" t="str">
        <f>IFERROR(__xludf.DUMMYFUNCTION("""COMPUTED_VALUE"""),"LAKI-LAKI")</f>
        <v>LAKI-LAKI</v>
      </c>
      <c r="M2279" s="35" t="str">
        <f>IFERROR(__xludf.DUMMYFUNCTION("""COMPUTED_VALUE"""),"JL WONOBARU GG. REMAJA 1 NO 7")</f>
        <v>JL WONOBARU GG. REMAJA 1 NO 7</v>
      </c>
      <c r="N2279" s="35" t="str">
        <f>IFERROR(__xludf.DUMMYFUNCTION("""COMPUTED_VALUE"""),"AKCAYA")</f>
        <v>AKCAYA</v>
      </c>
      <c r="O2279" s="35" t="str">
        <f>IFERROR(__xludf.DUMMYFUNCTION("""COMPUTED_VALUE"""),"PONTIANAK SELATAN")</f>
        <v>PONTIANAK SELATAN</v>
      </c>
      <c r="P2279" s="35" t="str">
        <f>IFERROR(__xludf.DUMMYFUNCTION("""COMPUTED_VALUE"""),"PONTIANAK")</f>
        <v>PONTIANAK</v>
      </c>
      <c r="Q2279" s="35" t="str">
        <f>IFERROR(__xludf.DUMMYFUNCTION("""COMPUTED_VALUE"""),"KALIMANTAN BARAT")</f>
        <v>KALIMANTAN BARAT</v>
      </c>
      <c r="R2279" s="21" t="str">
        <f>IFERROR(__xludf.DUMMYFUNCTION("""COMPUTED_VALUE"""),"ISLAM")</f>
        <v>ISLAM</v>
      </c>
      <c r="S2279" s="74" t="str">
        <f>IFERROR(__xludf.DUMMYFUNCTION("""COMPUTED_VALUE"""),"BUMD")</f>
        <v>BUMD</v>
      </c>
      <c r="T2279" s="35" t="str">
        <f>IFERROR(__xludf.DUMMYFUNCTION("""COMPUTED_VALUE"""),"SAKIT PADA LUTUT KIRI")</f>
        <v>SAKIT PADA LUTUT KIRI</v>
      </c>
      <c r="U2279" s="35" t="str">
        <f>IFERROR(__xludf.DUMMYFUNCTION("""COMPUTED_VALUE"""),"MINI SOCCER, TENIS, LARI")</f>
        <v>MINI SOCCER, TENIS, LARI</v>
      </c>
      <c r="V2279" s="37" t="str">
        <f>IFERROR(__xludf.DUMMYFUNCTION("""COMPUTED_VALUE"""),"08988357357")</f>
        <v>08988357357</v>
      </c>
      <c r="W2279" s="45"/>
    </row>
    <row r="2280">
      <c r="A2280" s="45"/>
      <c r="B2280" s="24" t="str">
        <f>IFERROR(__xludf.DUMMYFUNCTION("""COMPUTED_VALUE"""),"06/03/2025 10:34:01")</f>
        <v>06/03/2025 10:34:01</v>
      </c>
      <c r="C2280" s="35"/>
      <c r="D2280" s="10">
        <f>IFERROR(__xludf.DUMMYFUNCTION("""COMPUTED_VALUE"""),45752.0)</f>
        <v>45752</v>
      </c>
      <c r="E2280" s="35" t="str">
        <f>IFERROR(__xludf.DUMMYFUNCTION("""COMPUTED_VALUE"""),"04Apr")</f>
        <v>04Apr</v>
      </c>
      <c r="F2280" s="34" t="str">
        <f>IFERROR(__xludf.DUMMYFUNCTION("""COMPUTED_VALUE"""),"2025")</f>
        <v>2025</v>
      </c>
      <c r="G2280" s="35" t="str">
        <f>IFERROR(__xludf.DUMMYFUNCTION("""COMPUTED_VALUE"""),"RYAN ACHMAD BASIR")</f>
        <v>RYAN ACHMAD BASIR</v>
      </c>
      <c r="H2280" s="35" t="str">
        <f>IFERROR(__xludf.DUMMYFUNCTION("""COMPUTED_VALUE"""),"R0225042129")</f>
        <v>R0225042129</v>
      </c>
      <c r="I2280" s="35">
        <f>IFERROR(__xludf.DUMMYFUNCTION("""COMPUTED_VALUE"""),23.0)</f>
        <v>23</v>
      </c>
      <c r="J2280" s="35" t="str">
        <f>IFERROR(__xludf.DUMMYFUNCTION("""COMPUTED_VALUE"""),"18-24 tahun")</f>
        <v>18-24 tahun</v>
      </c>
      <c r="K2280" s="21" t="str">
        <f>IFERROR(__xludf.DUMMYFUNCTION("""COMPUTED_VALUE"""),"26/06/2002")</f>
        <v>26/06/2002</v>
      </c>
      <c r="L2280" s="21" t="str">
        <f>IFERROR(__xludf.DUMMYFUNCTION("""COMPUTED_VALUE"""),"LAKI-LAKI")</f>
        <v>LAKI-LAKI</v>
      </c>
      <c r="M2280" s="35" t="str">
        <f>IFERROR(__xludf.DUMMYFUNCTION("""COMPUTED_VALUE"""),"JL TJ RAYA 2 GG H.A. SAMAD")</f>
        <v>JL TJ RAYA 2 GG H.A. SAMAD</v>
      </c>
      <c r="N2280" s="35" t="str">
        <f>IFERROR(__xludf.DUMMYFUNCTION("""COMPUTED_VALUE"""),"SAIGON")</f>
        <v>SAIGON</v>
      </c>
      <c r="O2280" s="35" t="str">
        <f>IFERROR(__xludf.DUMMYFUNCTION("""COMPUTED_VALUE"""),"PONTIANAK TIMUR")</f>
        <v>PONTIANAK TIMUR</v>
      </c>
      <c r="P2280" s="35" t="str">
        <f>IFERROR(__xludf.DUMMYFUNCTION("""COMPUTED_VALUE"""),"KOTA PONTIANAK")</f>
        <v>KOTA PONTIANAK</v>
      </c>
      <c r="Q2280" s="35" t="str">
        <f>IFERROR(__xludf.DUMMYFUNCTION("""COMPUTED_VALUE"""),"KALIMANTAN BARAT")</f>
        <v>KALIMANTAN BARAT</v>
      </c>
      <c r="R2280" s="21" t="str">
        <f>IFERROR(__xludf.DUMMYFUNCTION("""COMPUTED_VALUE"""),"ISLAM")</f>
        <v>ISLAM</v>
      </c>
      <c r="S2280" s="74" t="str">
        <f>IFERROR(__xludf.DUMMYFUNCTION("""COMPUTED_VALUE"""),"FREELANCER")</f>
        <v>FREELANCER</v>
      </c>
      <c r="T2280" s="35" t="str">
        <f>IFERROR(__xludf.DUMMYFUNCTION("""COMPUTED_VALUE"""),"TIDAK ADA")</f>
        <v>TIDAK ADA</v>
      </c>
      <c r="U2280" s="35" t="str">
        <f>IFERROR(__xludf.DUMMYFUNCTION("""COMPUTED_VALUE"""),"GYM/FITNESS")</f>
        <v>GYM/FITNESS</v>
      </c>
      <c r="V2280" s="37" t="str">
        <f>IFERROR(__xludf.DUMMYFUNCTION("""COMPUTED_VALUE"""),"087735272129")</f>
        <v>087735272129</v>
      </c>
      <c r="W2280" s="45"/>
    </row>
    <row r="2281">
      <c r="A2281" s="45"/>
      <c r="B2281" s="24" t="str">
        <f>IFERROR(__xludf.DUMMYFUNCTION("""COMPUTED_VALUE"""),"06/03/2025 11:47:17")</f>
        <v>06/03/2025 11:47:17</v>
      </c>
      <c r="C2281" s="35"/>
      <c r="D2281" s="10">
        <f>IFERROR(__xludf.DUMMYFUNCTION("""COMPUTED_VALUE"""),45752.0)</f>
        <v>45752</v>
      </c>
      <c r="E2281" s="35" t="str">
        <f>IFERROR(__xludf.DUMMYFUNCTION("""COMPUTED_VALUE"""),"04Apr")</f>
        <v>04Apr</v>
      </c>
      <c r="F2281" s="34" t="str">
        <f>IFERROR(__xludf.DUMMYFUNCTION("""COMPUTED_VALUE"""),"2025")</f>
        <v>2025</v>
      </c>
      <c r="G2281" s="35" t="str">
        <f>IFERROR(__xludf.DUMMYFUNCTION("""COMPUTED_VALUE"""),"BION SALIM")</f>
        <v>BION SALIM</v>
      </c>
      <c r="H2281" s="35" t="str">
        <f>IFERROR(__xludf.DUMMYFUNCTION("""COMPUTED_VALUE"""),"B8925045599")</f>
        <v>B8925045599</v>
      </c>
      <c r="I2281" s="35">
        <f>IFERROR(__xludf.DUMMYFUNCTION("""COMPUTED_VALUE"""),37.0)</f>
        <v>37</v>
      </c>
      <c r="J2281" s="35" t="str">
        <f>IFERROR(__xludf.DUMMYFUNCTION("""COMPUTED_VALUE"""),"35-44 tahun")</f>
        <v>35-44 tahun</v>
      </c>
      <c r="K2281" s="21" t="str">
        <f>IFERROR(__xludf.DUMMYFUNCTION("""COMPUTED_VALUE"""),"20/03/1989")</f>
        <v>20/03/1989</v>
      </c>
      <c r="L2281" s="21" t="str">
        <f>IFERROR(__xludf.DUMMYFUNCTION("""COMPUTED_VALUE"""),"LAKI-LAKI")</f>
        <v>LAKI-LAKI</v>
      </c>
      <c r="M2281" s="35" t="str">
        <f>IFERROR(__xludf.DUMMYFUNCTION("""COMPUTED_VALUE"""),"JALAN TANJUNG PERMAI NO 21")</f>
        <v>JALAN TANJUNG PERMAI NO 21</v>
      </c>
      <c r="N2281" s="35" t="str">
        <f>IFERROR(__xludf.DUMMYFUNCTION("""COMPUTED_VALUE"""),"BANSIR LAUT")</f>
        <v>BANSIR LAUT</v>
      </c>
      <c r="O2281" s="35" t="str">
        <f>IFERROR(__xludf.DUMMYFUNCTION("""COMPUTED_VALUE"""),"PONTIANAK TENGGARA")</f>
        <v>PONTIANAK TENGGARA</v>
      </c>
      <c r="P2281" s="35" t="str">
        <f>IFERROR(__xludf.DUMMYFUNCTION("""COMPUTED_VALUE"""),"PONTIANAK")</f>
        <v>PONTIANAK</v>
      </c>
      <c r="Q2281" s="35" t="str">
        <f>IFERROR(__xludf.DUMMYFUNCTION("""COMPUTED_VALUE"""),"KALBAR")</f>
        <v>KALBAR</v>
      </c>
      <c r="R2281" s="21" t="str">
        <f>IFERROR(__xludf.DUMMYFUNCTION("""COMPUTED_VALUE"""),"KATOLIK")</f>
        <v>KATOLIK</v>
      </c>
      <c r="S2281" s="74" t="str">
        <f>IFERROR(__xludf.DUMMYFUNCTION("""COMPUTED_VALUE"""),"SWASTA")</f>
        <v>SWASTA</v>
      </c>
      <c r="T2281" s="35" t="str">
        <f>IFERROR(__xludf.DUMMYFUNCTION("""COMPUTED_VALUE"""),"NYERI SEBELAH LUTUT AKIBAT LARI")</f>
        <v>NYERI SEBELAH LUTUT AKIBAT LARI</v>
      </c>
      <c r="U2281" s="35" t="str">
        <f>IFERROR(__xludf.DUMMYFUNCTION("""COMPUTED_VALUE"""),"LARI")</f>
        <v>LARI</v>
      </c>
      <c r="V2281" s="37" t="str">
        <f>IFERROR(__xludf.DUMMYFUNCTION("""COMPUTED_VALUE"""),"081251205599")</f>
        <v>081251205599</v>
      </c>
      <c r="W2281" s="45"/>
    </row>
    <row r="2282">
      <c r="A2282" s="45"/>
      <c r="B2282" s="24" t="str">
        <f>IFERROR(__xludf.DUMMYFUNCTION("""COMPUTED_VALUE"""),"06/03/2025 14:01:50")</f>
        <v>06/03/2025 14:01:50</v>
      </c>
      <c r="C2282" s="35"/>
      <c r="D2282" s="10">
        <f>IFERROR(__xludf.DUMMYFUNCTION("""COMPUTED_VALUE"""),45752.0)</f>
        <v>45752</v>
      </c>
      <c r="E2282" s="35" t="str">
        <f>IFERROR(__xludf.DUMMYFUNCTION("""COMPUTED_VALUE"""),"04Apr")</f>
        <v>04Apr</v>
      </c>
      <c r="F2282" s="34" t="str">
        <f>IFERROR(__xludf.DUMMYFUNCTION("""COMPUTED_VALUE"""),"2025")</f>
        <v>2025</v>
      </c>
      <c r="G2282" s="35" t="str">
        <f>IFERROR(__xludf.DUMMYFUNCTION("""COMPUTED_VALUE"""),"ERVA SURIYANTI")</f>
        <v>ERVA SURIYANTI</v>
      </c>
      <c r="H2282" s="35" t="str">
        <f>IFERROR(__xludf.DUMMYFUNCTION("""COMPUTED_VALUE"""),"E9025044888")</f>
        <v>E9025044888</v>
      </c>
      <c r="I2282" s="35">
        <f>IFERROR(__xludf.DUMMYFUNCTION("""COMPUTED_VALUE"""),36.0)</f>
        <v>36</v>
      </c>
      <c r="J2282" s="35" t="str">
        <f>IFERROR(__xludf.DUMMYFUNCTION("""COMPUTED_VALUE"""),"35-44 tahun")</f>
        <v>35-44 tahun</v>
      </c>
      <c r="K2282" s="21" t="str">
        <f>IFERROR(__xludf.DUMMYFUNCTION("""COMPUTED_VALUE"""),"06/06/1990")</f>
        <v>06/06/1990</v>
      </c>
      <c r="L2282" s="21" t="str">
        <f>IFERROR(__xludf.DUMMYFUNCTION("""COMPUTED_VALUE"""),"LAKI-LAKI")</f>
        <v>LAKI-LAKI</v>
      </c>
      <c r="M2282" s="35" t="str">
        <f>IFERROR(__xludf.DUMMYFUNCTION("""COMPUTED_VALUE"""),"JL PARIS 2 KOMP. DAZHIL SIMPHONY NO. B8")</f>
        <v>JL PARIS 2 KOMP. DAZHIL SIMPHONY NO. B8</v>
      </c>
      <c r="N2282" s="35" t="str">
        <f>IFERROR(__xludf.DUMMYFUNCTION("""COMPUTED_VALUE"""),"PONTIANAK")</f>
        <v>PONTIANAK</v>
      </c>
      <c r="O2282" s="35" t="str">
        <f>IFERROR(__xludf.DUMMYFUNCTION("""COMPUTED_VALUE"""),"PONTIANAK")</f>
        <v>PONTIANAK</v>
      </c>
      <c r="P2282" s="35" t="str">
        <f>IFERROR(__xludf.DUMMYFUNCTION("""COMPUTED_VALUE"""),"PONTIANAK")</f>
        <v>PONTIANAK</v>
      </c>
      <c r="Q2282" s="35" t="str">
        <f>IFERROR(__xludf.DUMMYFUNCTION("""COMPUTED_VALUE"""),"KALIMANTAN BARAT")</f>
        <v>KALIMANTAN BARAT</v>
      </c>
      <c r="R2282" s="21" t="str">
        <f>IFERROR(__xludf.DUMMYFUNCTION("""COMPUTED_VALUE"""),"PROTESTAN")</f>
        <v>PROTESTAN</v>
      </c>
      <c r="S2282" s="74" t="str">
        <f>IFERROR(__xludf.DUMMYFUNCTION("""COMPUTED_VALUE"""),"KONSULTAN")</f>
        <v>KONSULTAN</v>
      </c>
      <c r="T2282" s="35" t="str">
        <f>IFERROR(__xludf.DUMMYFUNCTION("""COMPUTED_VALUE"""),"TANGAN")</f>
        <v>TANGAN</v>
      </c>
      <c r="U2282" s="35" t="str">
        <f>IFERROR(__xludf.DUMMYFUNCTION("""COMPUTED_VALUE"""),"KONSULTAN")</f>
        <v>KONSULTAN</v>
      </c>
      <c r="V2282" s="37" t="str">
        <f>IFERROR(__xludf.DUMMYFUNCTION("""COMPUTED_VALUE"""),"0895624004888")</f>
        <v>0895624004888</v>
      </c>
      <c r="W2282" s="45"/>
    </row>
    <row r="2283">
      <c r="A2283" s="45"/>
      <c r="B2283" s="24" t="str">
        <f>IFERROR(__xludf.DUMMYFUNCTION("""COMPUTED_VALUE"""),"05/03/2025 17:14:55")</f>
        <v>05/03/2025 17:14:55</v>
      </c>
      <c r="C2283" s="35"/>
      <c r="D2283" s="10">
        <f>IFERROR(__xludf.DUMMYFUNCTION("""COMPUTED_VALUE"""),45746.0)</f>
        <v>45746</v>
      </c>
      <c r="E2283" s="35" t="str">
        <f>IFERROR(__xludf.DUMMYFUNCTION("""COMPUTED_VALUE"""),"03Mar")</f>
        <v>03Mar</v>
      </c>
      <c r="F2283" s="34" t="str">
        <f>IFERROR(__xludf.DUMMYFUNCTION("""COMPUTED_VALUE"""),"2025")</f>
        <v>2025</v>
      </c>
      <c r="G2283" s="35" t="str">
        <f>IFERROR(__xludf.DUMMYFUNCTION("""COMPUTED_VALUE"""),"AFRIANTO TEGUH WIBOWO")</f>
        <v>AFRIANTO TEGUH WIBOWO</v>
      </c>
      <c r="H2283" s="35" t="str">
        <f>IFERROR(__xludf.DUMMYFUNCTION("""COMPUTED_VALUE"""),"A8525032200")</f>
        <v>A8525032200</v>
      </c>
      <c r="I2283" s="35">
        <f>IFERROR(__xludf.DUMMYFUNCTION("""COMPUTED_VALUE"""),41.0)</f>
        <v>41</v>
      </c>
      <c r="J2283" s="35" t="str">
        <f>IFERROR(__xludf.DUMMYFUNCTION("""COMPUTED_VALUE"""),"35-44 tahun")</f>
        <v>35-44 tahun</v>
      </c>
      <c r="K2283" s="21" t="str">
        <f>IFERROR(__xludf.DUMMYFUNCTION("""COMPUTED_VALUE"""),"12/04/1985")</f>
        <v>12/04/1985</v>
      </c>
      <c r="L2283" s="21" t="str">
        <f>IFERROR(__xludf.DUMMYFUNCTION("""COMPUTED_VALUE"""),"LAKI-LAKI")</f>
        <v>LAKI-LAKI</v>
      </c>
      <c r="M2283" s="35" t="str">
        <f>IFERROR(__xludf.DUMMYFUNCTION("""COMPUTED_VALUE"""),"JALAN DR. WAHIDIN S KOMP. BATARA INDAH I BLOK M RT 002 RW 005")</f>
        <v>JALAN DR. WAHIDIN S KOMP. BATARA INDAH I BLOK M RT 002 RW 005</v>
      </c>
      <c r="N2283" s="35" t="str">
        <f>IFERROR(__xludf.DUMMYFUNCTION("""COMPUTED_VALUE"""),"SUNGAI JAWI")</f>
        <v>SUNGAI JAWI</v>
      </c>
      <c r="O2283" s="35" t="str">
        <f>IFERROR(__xludf.DUMMYFUNCTION("""COMPUTED_VALUE"""),"PONTIANAK KOTA")</f>
        <v>PONTIANAK KOTA</v>
      </c>
      <c r="P2283" s="35" t="str">
        <f>IFERROR(__xludf.DUMMYFUNCTION("""COMPUTED_VALUE"""),"PONTIANAK")</f>
        <v>PONTIANAK</v>
      </c>
      <c r="Q2283" s="35" t="str">
        <f>IFERROR(__xludf.DUMMYFUNCTION("""COMPUTED_VALUE"""),"KALIMANTAN BARAT")</f>
        <v>KALIMANTAN BARAT</v>
      </c>
      <c r="R2283" s="21" t="str">
        <f>IFERROR(__xludf.DUMMYFUNCTION("""COMPUTED_VALUE"""),"ISLAM")</f>
        <v>ISLAM</v>
      </c>
      <c r="S2283" s="74" t="str">
        <f>IFERROR(__xludf.DUMMYFUNCTION("""COMPUTED_VALUE"""),"PNS")</f>
        <v>PNS</v>
      </c>
      <c r="T2283" s="35" t="str">
        <f>IFERROR(__xludf.DUMMYFUNCTION("""COMPUTED_VALUE"""),"NYERI PUNGGUNG KAKI KANAN")</f>
        <v>NYERI PUNGGUNG KAKI KANAN</v>
      </c>
      <c r="U2283" s="35" t="str">
        <f>IFERROR(__xludf.DUMMYFUNCTION("""COMPUTED_VALUE"""),"SEPAK BOLA")</f>
        <v>SEPAK BOLA</v>
      </c>
      <c r="V2283" s="37" t="str">
        <f>IFERROR(__xludf.DUMMYFUNCTION("""COMPUTED_VALUE"""),"085750872200")</f>
        <v>085750872200</v>
      </c>
      <c r="W2283" s="45"/>
    </row>
    <row r="2284">
      <c r="A2284" s="45"/>
      <c r="B2284" s="24" t="str">
        <f>IFERROR(__xludf.DUMMYFUNCTION("""COMPUTED_VALUE"""),"06/03/2025 21:55:22")</f>
        <v>06/03/2025 21:55:22</v>
      </c>
      <c r="C2284" s="35"/>
      <c r="D2284" s="10">
        <f>IFERROR(__xludf.DUMMYFUNCTION("""COMPUTED_VALUE"""),45754.0)</f>
        <v>45754</v>
      </c>
      <c r="E2284" s="35" t="str">
        <f>IFERROR(__xludf.DUMMYFUNCTION("""COMPUTED_VALUE"""),"04Apr")</f>
        <v>04Apr</v>
      </c>
      <c r="F2284" s="34" t="str">
        <f>IFERROR(__xludf.DUMMYFUNCTION("""COMPUTED_VALUE"""),"2025")</f>
        <v>2025</v>
      </c>
      <c r="G2284" s="35" t="str">
        <f>IFERROR(__xludf.DUMMYFUNCTION("""COMPUTED_VALUE"""),"VALENTINUS WONGSO")</f>
        <v>VALENTINUS WONGSO</v>
      </c>
      <c r="H2284" s="35" t="str">
        <f>IFERROR(__xludf.DUMMYFUNCTION("""COMPUTED_VALUE"""),"V0125043049")</f>
        <v>V0125043049</v>
      </c>
      <c r="I2284" s="35">
        <f>IFERROR(__xludf.DUMMYFUNCTION("""COMPUTED_VALUE"""),25.0)</f>
        <v>25</v>
      </c>
      <c r="J2284" s="35" t="str">
        <f>IFERROR(__xludf.DUMMYFUNCTION("""COMPUTED_VALUE"""),"25-34 tahun")</f>
        <v>25-34 tahun</v>
      </c>
      <c r="K2284" s="21" t="str">
        <f>IFERROR(__xludf.DUMMYFUNCTION("""COMPUTED_VALUE"""),"10/02/2001")</f>
        <v>10/02/2001</v>
      </c>
      <c r="L2284" s="21" t="str">
        <f>IFERROR(__xludf.DUMMYFUNCTION("""COMPUTED_VALUE"""),"LAKI-LAKI")</f>
        <v>LAKI-LAKI</v>
      </c>
      <c r="M2284" s="35" t="str">
        <f>IFERROR(__xludf.DUMMYFUNCTION("""COMPUTED_VALUE"""),"JL. PUTRICANDRA MIDI GG. PODOMORO INDAH NO. 28")</f>
        <v>JL. PUTRICANDRA MIDI GG. PODOMORO INDAH NO. 28</v>
      </c>
      <c r="N2284" s="35" t="str">
        <f>IFERROR(__xludf.DUMMYFUNCTION("""COMPUTED_VALUE"""),"SUNGAI BANGKONG")</f>
        <v>SUNGAI BANGKONG</v>
      </c>
      <c r="O2284" s="35" t="str">
        <f>IFERROR(__xludf.DUMMYFUNCTION("""COMPUTED_VALUE"""),"PONTIANAK KOTA")</f>
        <v>PONTIANAK KOTA</v>
      </c>
      <c r="P2284" s="35" t="str">
        <f>IFERROR(__xludf.DUMMYFUNCTION("""COMPUTED_VALUE"""),"KOTA PONTIANAK")</f>
        <v>KOTA PONTIANAK</v>
      </c>
      <c r="Q2284" s="35" t="str">
        <f>IFERROR(__xludf.DUMMYFUNCTION("""COMPUTED_VALUE"""),"KALIMANTAN BARAT")</f>
        <v>KALIMANTAN BARAT</v>
      </c>
      <c r="R2284" s="21" t="str">
        <f>IFERROR(__xludf.DUMMYFUNCTION("""COMPUTED_VALUE"""),"KATOLIK")</f>
        <v>KATOLIK</v>
      </c>
      <c r="S2284" s="74" t="str">
        <f>IFERROR(__xludf.DUMMYFUNCTION("""COMPUTED_VALUE"""),"ATLIT")</f>
        <v>ATLIT</v>
      </c>
      <c r="T2284" s="35" t="str">
        <f>IFERROR(__xludf.DUMMYFUNCTION("""COMPUTED_VALUE"""),"PASCA OPERASI MENISCUS 2 BULAN")</f>
        <v>PASCA OPERASI MENISCUS 2 BULAN</v>
      </c>
      <c r="U2284" s="35" t="str">
        <f>IFERROR(__xludf.DUMMYFUNCTION("""COMPUTED_VALUE"""),"HOBI BASKET")</f>
        <v>HOBI BASKET</v>
      </c>
      <c r="V2284" s="37" t="str">
        <f>IFERROR(__xludf.DUMMYFUNCTION("""COMPUTED_VALUE"""),"081349653049")</f>
        <v>081349653049</v>
      </c>
      <c r="W2284" s="45"/>
    </row>
    <row r="2285">
      <c r="A2285" s="45"/>
      <c r="B2285" s="24" t="str">
        <f>IFERROR(__xludf.DUMMYFUNCTION("""COMPUTED_VALUE"""),"10/04/2023 2:02:53")</f>
        <v>10/04/2023 2:02:53</v>
      </c>
      <c r="C2285" s="35"/>
      <c r="D2285" s="10">
        <f>IFERROR(__xludf.DUMMYFUNCTION("""COMPUTED_VALUE"""),45754.0)</f>
        <v>45754</v>
      </c>
      <c r="E2285" s="35" t="str">
        <f>IFERROR(__xludf.DUMMYFUNCTION("""COMPUTED_VALUE"""),"04Apr")</f>
        <v>04Apr</v>
      </c>
      <c r="F2285" s="34" t="str">
        <f>IFERROR(__xludf.DUMMYFUNCTION("""COMPUTED_VALUE"""),"2025")</f>
        <v>2025</v>
      </c>
      <c r="G2285" s="35" t="str">
        <f>IFERROR(__xludf.DUMMYFUNCTION("""COMPUTED_VALUE"""),"MUHAMMAD DZAKI PRATAMA")</f>
        <v>MUHAMMAD DZAKI PRATAMA</v>
      </c>
      <c r="H2285" s="35" t="str">
        <f>IFERROR(__xludf.DUMMYFUNCTION("""COMPUTED_VALUE"""),"M9925046487")</f>
        <v>M9925046487</v>
      </c>
      <c r="I2285" s="35">
        <f>IFERROR(__xludf.DUMMYFUNCTION("""COMPUTED_VALUE"""),26.0)</f>
        <v>26</v>
      </c>
      <c r="J2285" s="35" t="str">
        <f>IFERROR(__xludf.DUMMYFUNCTION("""COMPUTED_VALUE"""),"25-34 tahun")</f>
        <v>25-34 tahun</v>
      </c>
      <c r="K2285" s="21" t="str">
        <f>IFERROR(__xludf.DUMMYFUNCTION("""COMPUTED_VALUE"""),"08/12/1999")</f>
        <v>08/12/1999</v>
      </c>
      <c r="L2285" s="21" t="str">
        <f>IFERROR(__xludf.DUMMYFUNCTION("""COMPUTED_VALUE"""),"LAKI-LAKI")</f>
        <v>LAKI-LAKI</v>
      </c>
      <c r="M2285" s="35" t="str">
        <f>IFERROR(__xludf.DUMMYFUNCTION("""COMPUTED_VALUE"""),"JL GERILYA 36")</f>
        <v>JL GERILYA 36</v>
      </c>
      <c r="N2285" s="35" t="str">
        <f>IFERROR(__xludf.DUMMYFUNCTION("""COMPUTED_VALUE"""),"KOWANGAN")</f>
        <v>KOWANGAN</v>
      </c>
      <c r="O2285" s="35" t="str">
        <f>IFERROR(__xludf.DUMMYFUNCTION("""COMPUTED_VALUE"""),"TEMANGGUNG")</f>
        <v>TEMANGGUNG</v>
      </c>
      <c r="P2285" s="35" t="str">
        <f>IFERROR(__xludf.DUMMYFUNCTION("""COMPUTED_VALUE"""),"TEMANGGUNG")</f>
        <v>TEMANGGUNG</v>
      </c>
      <c r="Q2285" s="35" t="str">
        <f>IFERROR(__xludf.DUMMYFUNCTION("""COMPUTED_VALUE"""),"JAWA TENGAH")</f>
        <v>JAWA TENGAH</v>
      </c>
      <c r="R2285" s="21" t="str">
        <f>IFERROR(__xludf.DUMMYFUNCTION("""COMPUTED_VALUE"""),"ISLAM")</f>
        <v>ISLAM</v>
      </c>
      <c r="S2285" s="74" t="str">
        <f>IFERROR(__xludf.DUMMYFUNCTION("""COMPUTED_VALUE"""),"MAHASISWA")</f>
        <v>MAHASISWA</v>
      </c>
      <c r="T2285" s="35" t="str">
        <f>IFERROR(__xludf.DUMMYFUNCTION("""COMPUTED_VALUE"""),"SAKIT PINGGANG")</f>
        <v>SAKIT PINGGANG</v>
      </c>
      <c r="U2285" s="35" t="str">
        <f>IFERROR(__xludf.DUMMYFUNCTION("""COMPUTED_VALUE"""),"JALAN KAKI")</f>
        <v>JALAN KAKI</v>
      </c>
      <c r="V2285" s="37" t="str">
        <f>IFERROR(__xludf.DUMMYFUNCTION("""COMPUTED_VALUE"""),"085714356487")</f>
        <v>085714356487</v>
      </c>
      <c r="W2285" s="45"/>
    </row>
    <row r="2286">
      <c r="A2286" s="45"/>
      <c r="B2286" s="24" t="str">
        <f>IFERROR(__xludf.DUMMYFUNCTION("""COMPUTED_VALUE"""),"07/03/2025 9:38:19")</f>
        <v>07/03/2025 9:38:19</v>
      </c>
      <c r="C2286" s="35"/>
      <c r="D2286" s="10">
        <f>IFERROR(__xludf.DUMMYFUNCTION("""COMPUTED_VALUE"""),45754.0)</f>
        <v>45754</v>
      </c>
      <c r="E2286" s="35" t="str">
        <f>IFERROR(__xludf.DUMMYFUNCTION("""COMPUTED_VALUE"""),"04Apr")</f>
        <v>04Apr</v>
      </c>
      <c r="F2286" s="34" t="str">
        <f>IFERROR(__xludf.DUMMYFUNCTION("""COMPUTED_VALUE"""),"2025")</f>
        <v>2025</v>
      </c>
      <c r="G2286" s="35" t="str">
        <f>IFERROR(__xludf.DUMMYFUNCTION("""COMPUTED_VALUE"""),"AHMAD FAHRULLAH")</f>
        <v>AHMAD FAHRULLAH</v>
      </c>
      <c r="H2286" s="35" t="str">
        <f>IFERROR(__xludf.DUMMYFUNCTION("""COMPUTED_VALUE"""),"A9125043332")</f>
        <v>A9125043332</v>
      </c>
      <c r="I2286" s="35">
        <f>IFERROR(__xludf.DUMMYFUNCTION("""COMPUTED_VALUE"""),34.0)</f>
        <v>34</v>
      </c>
      <c r="J2286" s="35" t="str">
        <f>IFERROR(__xludf.DUMMYFUNCTION("""COMPUTED_VALUE"""),"25-34 tahun")</f>
        <v>25-34 tahun</v>
      </c>
      <c r="K2286" s="21" t="str">
        <f>IFERROR(__xludf.DUMMYFUNCTION("""COMPUTED_VALUE"""),"19/09/1991")</f>
        <v>19/09/1991</v>
      </c>
      <c r="L2286" s="21" t="str">
        <f>IFERROR(__xludf.DUMMYFUNCTION("""COMPUTED_VALUE"""),"LAKI-LAKI")</f>
        <v>LAKI-LAKI</v>
      </c>
      <c r="M2286" s="35" t="str">
        <f>IFERROR(__xludf.DUMMYFUNCTION("""COMPUTED_VALUE"""),"JL. WONOBARU GG MELDA")</f>
        <v>JL. WONOBARU GG MELDA</v>
      </c>
      <c r="N2286" s="35" t="str">
        <f>IFERROR(__xludf.DUMMYFUNCTION("""COMPUTED_VALUE"""),"KOTA BARU")</f>
        <v>KOTA BARU</v>
      </c>
      <c r="O2286" s="35" t="str">
        <f>IFERROR(__xludf.DUMMYFUNCTION("""COMPUTED_VALUE"""),"PONTIANAK SELATAN")</f>
        <v>PONTIANAK SELATAN</v>
      </c>
      <c r="P2286" s="35" t="str">
        <f>IFERROR(__xludf.DUMMYFUNCTION("""COMPUTED_VALUE"""),"KOTA PONTIANAK")</f>
        <v>KOTA PONTIANAK</v>
      </c>
      <c r="Q2286" s="35" t="str">
        <f>IFERROR(__xludf.DUMMYFUNCTION("""COMPUTED_VALUE"""),"KALIMANTAN BARAT")</f>
        <v>KALIMANTAN BARAT</v>
      </c>
      <c r="R2286" s="21" t="str">
        <f>IFERROR(__xludf.DUMMYFUNCTION("""COMPUTED_VALUE"""),"ISLAM")</f>
        <v>ISLAM</v>
      </c>
      <c r="S2286" s="74" t="str">
        <f>IFERROR(__xludf.DUMMYFUNCTION("""COMPUTED_VALUE"""),"KAYMRYAWAN")</f>
        <v>KAYMRYAWAN</v>
      </c>
      <c r="T2286" s="35" t="str">
        <f>IFERROR(__xludf.DUMMYFUNCTION("""COMPUTED_VALUE"""),"- LEHER SERING PEGAL/TEGANG - LUTUT JIKA MAIN BOLA/RUNNING AGAK NGILU - PERGELANGAN TANGAN SAKIT")</f>
        <v>- LEHER SERING PEGAL/TEGANG - LUTUT JIKA MAIN BOLA/RUNNING AGAK NGILU - PERGELANGAN TANGAN SAKIT</v>
      </c>
      <c r="U2286" s="35" t="str">
        <f>IFERROR(__xludf.DUMMYFUNCTION("""COMPUTED_VALUE"""),"SEPAKBOLA")</f>
        <v>SEPAKBOLA</v>
      </c>
      <c r="V2286" s="37" t="str">
        <f>IFERROR(__xludf.DUMMYFUNCTION("""COMPUTED_VALUE"""),"081254913332")</f>
        <v>081254913332</v>
      </c>
      <c r="W2286" s="45"/>
    </row>
    <row r="2287">
      <c r="A2287" s="45"/>
      <c r="B2287" s="24" t="str">
        <f>IFERROR(__xludf.DUMMYFUNCTION("""COMPUTED_VALUE"""),"08/03/2025 8:50:00")</f>
        <v>08/03/2025 8:50:00</v>
      </c>
      <c r="C2287" s="35"/>
      <c r="D2287" s="10">
        <f>IFERROR(__xludf.DUMMYFUNCTION("""COMPUTED_VALUE"""),45755.0)</f>
        <v>45755</v>
      </c>
      <c r="E2287" s="35" t="str">
        <f>IFERROR(__xludf.DUMMYFUNCTION("""COMPUTED_VALUE"""),"04Apr")</f>
        <v>04Apr</v>
      </c>
      <c r="F2287" s="34" t="str">
        <f>IFERROR(__xludf.DUMMYFUNCTION("""COMPUTED_VALUE"""),"2025")</f>
        <v>2025</v>
      </c>
      <c r="G2287" s="35" t="str">
        <f>IFERROR(__xludf.DUMMYFUNCTION("""COMPUTED_VALUE"""),"NAIM IKSAN NUDIN")</f>
        <v>NAIM IKSAN NUDIN</v>
      </c>
      <c r="H2287" s="35" t="str">
        <f>IFERROR(__xludf.DUMMYFUNCTION("""COMPUTED_VALUE"""),"N0125048970")</f>
        <v>N0125048970</v>
      </c>
      <c r="I2287" s="35">
        <f>IFERROR(__xludf.DUMMYFUNCTION("""COMPUTED_VALUE"""),25.0)</f>
        <v>25</v>
      </c>
      <c r="J2287" s="35" t="str">
        <f>IFERROR(__xludf.DUMMYFUNCTION("""COMPUTED_VALUE"""),"25-34 tahun")</f>
        <v>25-34 tahun</v>
      </c>
      <c r="K2287" s="21" t="str">
        <f>IFERROR(__xludf.DUMMYFUNCTION("""COMPUTED_VALUE"""),"06/01/2001")</f>
        <v>06/01/2001</v>
      </c>
      <c r="L2287" s="21" t="str">
        <f>IFERROR(__xludf.DUMMYFUNCTION("""COMPUTED_VALUE"""),"LAKI-LAKI")</f>
        <v>LAKI-LAKI</v>
      </c>
      <c r="M2287" s="35" t="str">
        <f>IFERROR(__xludf.DUMMYFUNCTION("""COMPUTED_VALUE"""),"JL. TANJUNG RAYA 2 GG. H. MARTASYAH")</f>
        <v>JL. TANJUNG RAYA 2 GG. H. MARTASYAH</v>
      </c>
      <c r="N2287" s="35" t="str">
        <f>IFERROR(__xludf.DUMMYFUNCTION("""COMPUTED_VALUE"""),"SAIGON")</f>
        <v>SAIGON</v>
      </c>
      <c r="O2287" s="35" t="str">
        <f>IFERROR(__xludf.DUMMYFUNCTION("""COMPUTED_VALUE"""),"PONTIANAK TIMUR")</f>
        <v>PONTIANAK TIMUR</v>
      </c>
      <c r="P2287" s="35" t="str">
        <f>IFERROR(__xludf.DUMMYFUNCTION("""COMPUTED_VALUE"""),"KOTA PONTIANAK")</f>
        <v>KOTA PONTIANAK</v>
      </c>
      <c r="Q2287" s="35" t="str">
        <f>IFERROR(__xludf.DUMMYFUNCTION("""COMPUTED_VALUE"""),"KALIMANTAN BARAT")</f>
        <v>KALIMANTAN BARAT</v>
      </c>
      <c r="R2287" s="21" t="str">
        <f>IFERROR(__xludf.DUMMYFUNCTION("""COMPUTED_VALUE"""),"ISLAM")</f>
        <v>ISLAM</v>
      </c>
      <c r="S2287" s="74" t="str">
        <f>IFERROR(__xludf.DUMMYFUNCTION("""COMPUTED_VALUE"""),"-")</f>
        <v>-</v>
      </c>
      <c r="T2287" s="35" t="str">
        <f>IFERROR(__xludf.DUMMYFUNCTION("""COMPUTED_VALUE"""),"-")</f>
        <v>-</v>
      </c>
      <c r="U2287" s="35" t="str">
        <f>IFERROR(__xludf.DUMMYFUNCTION("""COMPUTED_VALUE"""),"-")</f>
        <v>-</v>
      </c>
      <c r="V2287" s="37" t="str">
        <f>IFERROR(__xludf.DUMMYFUNCTION("""COMPUTED_VALUE"""),"083132008970")</f>
        <v>083132008970</v>
      </c>
      <c r="W2287" s="45"/>
    </row>
    <row r="2288">
      <c r="A2288" s="45"/>
      <c r="B2288" s="24" t="str">
        <f>IFERROR(__xludf.DUMMYFUNCTION("""COMPUTED_VALUE"""),"08/03/2025 10:19:15")</f>
        <v>08/03/2025 10:19:15</v>
      </c>
      <c r="C2288" s="35"/>
      <c r="D2288" s="10">
        <f>IFERROR(__xludf.DUMMYFUNCTION("""COMPUTED_VALUE"""),45755.0)</f>
        <v>45755</v>
      </c>
      <c r="E2288" s="35" t="str">
        <f>IFERROR(__xludf.DUMMYFUNCTION("""COMPUTED_VALUE"""),"04Apr")</f>
        <v>04Apr</v>
      </c>
      <c r="F2288" s="34" t="str">
        <f>IFERROR(__xludf.DUMMYFUNCTION("""COMPUTED_VALUE"""),"2025")</f>
        <v>2025</v>
      </c>
      <c r="G2288" s="35" t="str">
        <f>IFERROR(__xludf.DUMMYFUNCTION("""COMPUTED_VALUE"""),"ALEX RENALDY")</f>
        <v>ALEX RENALDY</v>
      </c>
      <c r="H2288" s="35" t="str">
        <f>IFERROR(__xludf.DUMMYFUNCTION("""COMPUTED_VALUE"""),"A0125047404")</f>
        <v>A0125047404</v>
      </c>
      <c r="I2288" s="35">
        <f>IFERROR(__xludf.DUMMYFUNCTION("""COMPUTED_VALUE"""),24.0)</f>
        <v>24</v>
      </c>
      <c r="J2288" s="35" t="str">
        <f>IFERROR(__xludf.DUMMYFUNCTION("""COMPUTED_VALUE"""),"18-24 tahun")</f>
        <v>18-24 tahun</v>
      </c>
      <c r="K2288" s="21" t="str">
        <f>IFERROR(__xludf.DUMMYFUNCTION("""COMPUTED_VALUE"""),"14/12/2001")</f>
        <v>14/12/2001</v>
      </c>
      <c r="L2288" s="21" t="str">
        <f>IFERROR(__xludf.DUMMYFUNCTION("""COMPUTED_VALUE"""),"LAKI-LAKI")</f>
        <v>LAKI-LAKI</v>
      </c>
      <c r="M2288" s="35" t="str">
        <f>IFERROR(__xludf.DUMMYFUNCTION("""COMPUTED_VALUE"""),"TANJUNG RAYA 2")</f>
        <v>TANJUNG RAYA 2</v>
      </c>
      <c r="N2288" s="35" t="str">
        <f>IFERROR(__xludf.DUMMYFUNCTION("""COMPUTED_VALUE"""),"SAIGON")</f>
        <v>SAIGON</v>
      </c>
      <c r="O2288" s="35" t="str">
        <f>IFERROR(__xludf.DUMMYFUNCTION("""COMPUTED_VALUE"""),"PONTIANAK TIMUR")</f>
        <v>PONTIANAK TIMUR</v>
      </c>
      <c r="P2288" s="35" t="str">
        <f>IFERROR(__xludf.DUMMYFUNCTION("""COMPUTED_VALUE"""),"KOTA PONTIANAK")</f>
        <v>KOTA PONTIANAK</v>
      </c>
      <c r="Q2288" s="35" t="str">
        <f>IFERROR(__xludf.DUMMYFUNCTION("""COMPUTED_VALUE"""),"KALIMANTAN BARAT")</f>
        <v>KALIMANTAN BARAT</v>
      </c>
      <c r="R2288" s="21" t="str">
        <f>IFERROR(__xludf.DUMMYFUNCTION("""COMPUTED_VALUE"""),"LAINNYA")</f>
        <v>LAINNYA</v>
      </c>
      <c r="S2288" s="74" t="str">
        <f>IFERROR(__xludf.DUMMYFUNCTION("""COMPUTED_VALUE"""),"PERAWAT")</f>
        <v>PERAWAT</v>
      </c>
      <c r="T2288" s="35" t="str">
        <f>IFERROR(__xludf.DUMMYFUNCTION("""COMPUTED_VALUE"""),"PINGGANG")</f>
        <v>PINGGANG</v>
      </c>
      <c r="U2288" s="35" t="str">
        <f>IFERROR(__xludf.DUMMYFUNCTION("""COMPUTED_VALUE"""),"-")</f>
        <v>-</v>
      </c>
      <c r="V2288" s="37" t="str">
        <f>IFERROR(__xludf.DUMMYFUNCTION("""COMPUTED_VALUE"""),"085787217404")</f>
        <v>085787217404</v>
      </c>
      <c r="W2288" s="45"/>
    </row>
    <row r="2289">
      <c r="A2289" s="45"/>
      <c r="B2289" s="24" t="str">
        <f>IFERROR(__xludf.DUMMYFUNCTION("""COMPUTED_VALUE"""),"08/03/2025 15:30:57")</f>
        <v>08/03/2025 15:30:57</v>
      </c>
      <c r="C2289" s="35"/>
      <c r="D2289" s="10">
        <f>IFERROR(__xludf.DUMMYFUNCTION("""COMPUTED_VALUE"""),45753.0)</f>
        <v>45753</v>
      </c>
      <c r="E2289" s="35" t="str">
        <f>IFERROR(__xludf.DUMMYFUNCTION("""COMPUTED_VALUE"""),"04Apr")</f>
        <v>04Apr</v>
      </c>
      <c r="F2289" s="34" t="str">
        <f>IFERROR(__xludf.DUMMYFUNCTION("""COMPUTED_VALUE"""),"2025")</f>
        <v>2025</v>
      </c>
      <c r="G2289" s="35" t="str">
        <f>IFERROR(__xludf.DUMMYFUNCTION("""COMPUTED_VALUE"""),"DASWATI")</f>
        <v>DASWATI</v>
      </c>
      <c r="H2289" s="35" t="str">
        <f>IFERROR(__xludf.DUMMYFUNCTION("""COMPUTED_VALUE"""),"D6125047020")</f>
        <v>D6125047020</v>
      </c>
      <c r="I2289" s="35">
        <f>IFERROR(__xludf.DUMMYFUNCTION("""COMPUTED_VALUE"""),64.0)</f>
        <v>64</v>
      </c>
      <c r="J2289" s="35" t="str">
        <f>IFERROR(__xludf.DUMMYFUNCTION("""COMPUTED_VALUE"""),"&gt; 44 tahun")</f>
        <v>&gt; 44 tahun</v>
      </c>
      <c r="K2289" s="21" t="str">
        <f>IFERROR(__xludf.DUMMYFUNCTION("""COMPUTED_VALUE"""),"15/11/1961")</f>
        <v>15/11/1961</v>
      </c>
      <c r="L2289" s="21" t="str">
        <f>IFERROR(__xludf.DUMMYFUNCTION("""COMPUTED_VALUE"""),"PEREMPUAN")</f>
        <v>PEREMPUAN</v>
      </c>
      <c r="M2289" s="35" t="str">
        <f>IFERROR(__xludf.DUMMYFUNCTION("""COMPUTED_VALUE"""),"JL. M. YAMIN")</f>
        <v>JL. M. YAMIN</v>
      </c>
      <c r="N2289" s="35" t="str">
        <f>IFERROR(__xludf.DUMMYFUNCTION("""COMPUTED_VALUE"""),"KOTA BARU")</f>
        <v>KOTA BARU</v>
      </c>
      <c r="O2289" s="35" t="str">
        <f>IFERROR(__xludf.DUMMYFUNCTION("""COMPUTED_VALUE"""),"PONTIANAK SELATAN")</f>
        <v>PONTIANAK SELATAN</v>
      </c>
      <c r="P2289" s="35" t="str">
        <f>IFERROR(__xludf.DUMMYFUNCTION("""COMPUTED_VALUE"""),"KOTA PONTIANAK")</f>
        <v>KOTA PONTIANAK</v>
      </c>
      <c r="Q2289" s="35" t="str">
        <f>IFERROR(__xludf.DUMMYFUNCTION("""COMPUTED_VALUE"""),"KALIMANTAN BARAT")</f>
        <v>KALIMANTAN BARAT</v>
      </c>
      <c r="R2289" s="21" t="str">
        <f>IFERROR(__xludf.DUMMYFUNCTION("""COMPUTED_VALUE"""),"ISLAM")</f>
        <v>ISLAM</v>
      </c>
      <c r="S2289" s="74" t="str">
        <f>IFERROR(__xludf.DUMMYFUNCTION("""COMPUTED_VALUE"""),"IRT")</f>
        <v>IRT</v>
      </c>
      <c r="T2289" s="35" t="str">
        <f>IFERROR(__xludf.DUMMYFUNCTION("""COMPUTED_VALUE"""),"LUTUT")</f>
        <v>LUTUT</v>
      </c>
      <c r="U2289" s="35" t="str">
        <f>IFERROR(__xludf.DUMMYFUNCTION("""COMPUTED_VALUE"""),"-")</f>
        <v>-</v>
      </c>
      <c r="V2289" s="37" t="str">
        <f>IFERROR(__xludf.DUMMYFUNCTION("""COMPUTED_VALUE"""),"0895321307020")</f>
        <v>0895321307020</v>
      </c>
      <c r="W2289" s="45"/>
    </row>
    <row r="2290">
      <c r="A2290" s="45"/>
      <c r="B2290" s="24" t="str">
        <f>IFERROR(__xludf.DUMMYFUNCTION("""COMPUTED_VALUE"""),"08/03/2025 14:56:25")</f>
        <v>08/03/2025 14:56:25</v>
      </c>
      <c r="C2290" s="35"/>
      <c r="D2290" s="10">
        <f>IFERROR(__xludf.DUMMYFUNCTION("""COMPUTED_VALUE"""),45755.0)</f>
        <v>45755</v>
      </c>
      <c r="E2290" s="35" t="str">
        <f>IFERROR(__xludf.DUMMYFUNCTION("""COMPUTED_VALUE"""),"04Apr")</f>
        <v>04Apr</v>
      </c>
      <c r="F2290" s="34" t="str">
        <f>IFERROR(__xludf.DUMMYFUNCTION("""COMPUTED_VALUE"""),"2025")</f>
        <v>2025</v>
      </c>
      <c r="G2290" s="35" t="str">
        <f>IFERROR(__xludf.DUMMYFUNCTION("""COMPUTED_VALUE"""),"HENDRI MIN")</f>
        <v>HENDRI MIN</v>
      </c>
      <c r="H2290" s="35" t="str">
        <f>IFERROR(__xludf.DUMMYFUNCTION("""COMPUTED_VALUE"""),"H6325042095")</f>
        <v>H6325042095</v>
      </c>
      <c r="I2290" s="35">
        <f>IFERROR(__xludf.DUMMYFUNCTION("""COMPUTED_VALUE"""),63.0)</f>
        <v>63</v>
      </c>
      <c r="J2290" s="35" t="str">
        <f>IFERROR(__xludf.DUMMYFUNCTION("""COMPUTED_VALUE"""),"&gt; 44 tahun")</f>
        <v>&gt; 44 tahun</v>
      </c>
      <c r="K2290" s="21" t="str">
        <f>IFERROR(__xludf.DUMMYFUNCTION("""COMPUTED_VALUE"""),"23/06/1963")</f>
        <v>23/06/1963</v>
      </c>
      <c r="L2290" s="21" t="str">
        <f>IFERROR(__xludf.DUMMYFUNCTION("""COMPUTED_VALUE"""),"LAKI-LAKI")</f>
        <v>LAKI-LAKI</v>
      </c>
      <c r="M2290" s="35" t="str">
        <f>IFERROR(__xludf.DUMMYFUNCTION("""COMPUTED_VALUE"""),"JL. PUTRI CHANDRAMIDI GG. DWI JAYA NO. 1A")</f>
        <v>JL. PUTRI CHANDRAMIDI GG. DWI JAYA NO. 1A</v>
      </c>
      <c r="N2290" s="35" t="str">
        <f>IFERROR(__xludf.DUMMYFUNCTION("""COMPUTED_VALUE"""),"SUNGAI BANGKONG")</f>
        <v>SUNGAI BANGKONG</v>
      </c>
      <c r="O2290" s="35" t="str">
        <f>IFERROR(__xludf.DUMMYFUNCTION("""COMPUTED_VALUE"""),"PONTIANAK BARAT")</f>
        <v>PONTIANAK BARAT</v>
      </c>
      <c r="P2290" s="35" t="str">
        <f>IFERROR(__xludf.DUMMYFUNCTION("""COMPUTED_VALUE"""),"KOTA PONTIANAK")</f>
        <v>KOTA PONTIANAK</v>
      </c>
      <c r="Q2290" s="35" t="str">
        <f>IFERROR(__xludf.DUMMYFUNCTION("""COMPUTED_VALUE"""),"KALIMANTAN BARAT")</f>
        <v>KALIMANTAN BARAT</v>
      </c>
      <c r="R2290" s="21" t="str">
        <f>IFERROR(__xludf.DUMMYFUNCTION("""COMPUTED_VALUE"""),"KATOLIK")</f>
        <v>KATOLIK</v>
      </c>
      <c r="S2290" s="74" t="str">
        <f>IFERROR(__xludf.DUMMYFUNCTION("""COMPUTED_VALUE"""),"SWASTA")</f>
        <v>SWASTA</v>
      </c>
      <c r="T2290" s="35" t="str">
        <f>IFERROR(__xludf.DUMMYFUNCTION("""COMPUTED_VALUE"""),"STROKE SIKIT HAHAHA")</f>
        <v>STROKE SIKIT HAHAHA</v>
      </c>
      <c r="U2290" s="35" t="str">
        <f>IFERROR(__xludf.DUMMYFUNCTION("""COMPUTED_VALUE"""),"MENGHASILKAN CUAN")</f>
        <v>MENGHASILKAN CUAN</v>
      </c>
      <c r="V2290" s="37" t="str">
        <f>IFERROR(__xludf.DUMMYFUNCTION("""COMPUTED_VALUE"""),"081254152095")</f>
        <v>081254152095</v>
      </c>
      <c r="W2290" s="45"/>
    </row>
    <row r="2291">
      <c r="A2291" s="45"/>
      <c r="B2291" s="24" t="str">
        <f>IFERROR(__xludf.DUMMYFUNCTION("""COMPUTED_VALUE"""),"08/03/2025 21:00:05")</f>
        <v>08/03/2025 21:00:05</v>
      </c>
      <c r="C2291" s="35"/>
      <c r="D2291" s="10">
        <f>IFERROR(__xludf.DUMMYFUNCTION("""COMPUTED_VALUE"""),45755.0)</f>
        <v>45755</v>
      </c>
      <c r="E2291" s="35" t="str">
        <f>IFERROR(__xludf.DUMMYFUNCTION("""COMPUTED_VALUE"""),"04Apr")</f>
        <v>04Apr</v>
      </c>
      <c r="F2291" s="34" t="str">
        <f>IFERROR(__xludf.DUMMYFUNCTION("""COMPUTED_VALUE"""),"2025")</f>
        <v>2025</v>
      </c>
      <c r="G2291" s="35" t="str">
        <f>IFERROR(__xludf.DUMMYFUNCTION("""COMPUTED_VALUE"""),"JUNIARDI")</f>
        <v>JUNIARDI</v>
      </c>
      <c r="H2291" s="35" t="str">
        <f>IFERROR(__xludf.DUMMYFUNCTION("""COMPUTED_VALUE"""),"J9425047717")</f>
        <v>J9425047717</v>
      </c>
      <c r="I2291" s="35">
        <f>IFERROR(__xludf.DUMMYFUNCTION("""COMPUTED_VALUE"""),31.0)</f>
        <v>31</v>
      </c>
      <c r="J2291" s="35" t="str">
        <f>IFERROR(__xludf.DUMMYFUNCTION("""COMPUTED_VALUE"""),"25-34 tahun")</f>
        <v>25-34 tahun</v>
      </c>
      <c r="K2291" s="21" t="str">
        <f>IFERROR(__xludf.DUMMYFUNCTION("""COMPUTED_VALUE"""),"23/06/1994")</f>
        <v>23/06/1994</v>
      </c>
      <c r="L2291" s="21" t="str">
        <f>IFERROR(__xludf.DUMMYFUNCTION("""COMPUTED_VALUE"""),"LAKI-LAKI")</f>
        <v>LAKI-LAKI</v>
      </c>
      <c r="M2291" s="35" t="str">
        <f>IFERROR(__xludf.DUMMYFUNCTION("""COMPUTED_VALUE"""),"SUNGAI PINYUH")</f>
        <v>SUNGAI PINYUH</v>
      </c>
      <c r="N2291" s="35" t="str">
        <f>IFERROR(__xludf.DUMMYFUNCTION("""COMPUTED_VALUE"""),"SUNGAI PINYUH")</f>
        <v>SUNGAI PINYUH</v>
      </c>
      <c r="O2291" s="35" t="str">
        <f>IFERROR(__xludf.DUMMYFUNCTION("""COMPUTED_VALUE"""),"SUNGAI PINYUH")</f>
        <v>SUNGAI PINYUH</v>
      </c>
      <c r="P2291" s="35" t="str">
        <f>IFERROR(__xludf.DUMMYFUNCTION("""COMPUTED_VALUE"""),"MEMPAWAH")</f>
        <v>MEMPAWAH</v>
      </c>
      <c r="Q2291" s="35" t="str">
        <f>IFERROR(__xludf.DUMMYFUNCTION("""COMPUTED_VALUE"""),"KALIMANTAN BARAT")</f>
        <v>KALIMANTAN BARAT</v>
      </c>
      <c r="R2291" s="21" t="str">
        <f>IFERROR(__xludf.DUMMYFUNCTION("""COMPUTED_VALUE"""),"BUDDHA")</f>
        <v>BUDDHA</v>
      </c>
      <c r="S2291" s="74" t="str">
        <f>IFERROR(__xludf.DUMMYFUNCTION("""COMPUTED_VALUE"""),"SWASTA")</f>
        <v>SWASTA</v>
      </c>
      <c r="T2291" s="35" t="str">
        <f>IFERROR(__xludf.DUMMYFUNCTION("""COMPUTED_VALUE"""),"SAKIT DI PINGGUL SAMPAI KAKI")</f>
        <v>SAKIT DI PINGGUL SAMPAI KAKI</v>
      </c>
      <c r="U2291" s="35" t="str">
        <f>IFERROR(__xludf.DUMMYFUNCTION("""COMPUTED_VALUE"""),"DUDUK 12 JAM KANTOR")</f>
        <v>DUDUK 12 JAM KANTOR</v>
      </c>
      <c r="V2291" s="37" t="str">
        <f>IFERROR(__xludf.DUMMYFUNCTION("""COMPUTED_VALUE"""),"082252337717")</f>
        <v>082252337717</v>
      </c>
      <c r="W2291" s="45"/>
    </row>
    <row r="2292">
      <c r="A2292" s="45"/>
      <c r="B2292" s="24" t="str">
        <f>IFERROR(__xludf.DUMMYFUNCTION("""COMPUTED_VALUE"""),"09/03/2025 15:02:58")</f>
        <v>09/03/2025 15:02:58</v>
      </c>
      <c r="C2292" s="35"/>
      <c r="D2292" s="10">
        <f>IFERROR(__xludf.DUMMYFUNCTION("""COMPUTED_VALUE"""),45756.0)</f>
        <v>45756</v>
      </c>
      <c r="E2292" s="35" t="str">
        <f>IFERROR(__xludf.DUMMYFUNCTION("""COMPUTED_VALUE"""),"04Apr")</f>
        <v>04Apr</v>
      </c>
      <c r="F2292" s="34" t="str">
        <f>IFERROR(__xludf.DUMMYFUNCTION("""COMPUTED_VALUE"""),"2025")</f>
        <v>2025</v>
      </c>
      <c r="G2292" s="35" t="str">
        <f>IFERROR(__xludf.DUMMYFUNCTION("""COMPUTED_VALUE"""),"ANGGRAINI AUGUSTA")</f>
        <v>ANGGRAINI AUGUSTA</v>
      </c>
      <c r="H2292" s="35" t="str">
        <f>IFERROR(__xludf.DUMMYFUNCTION("""COMPUTED_VALUE"""),"A9125041169")</f>
        <v>A9125041169</v>
      </c>
      <c r="I2292" s="35">
        <f>IFERROR(__xludf.DUMMYFUNCTION("""COMPUTED_VALUE"""),34.0)</f>
        <v>34</v>
      </c>
      <c r="J2292" s="35" t="str">
        <f>IFERROR(__xludf.DUMMYFUNCTION("""COMPUTED_VALUE"""),"25-34 tahun")</f>
        <v>25-34 tahun</v>
      </c>
      <c r="K2292" s="21" t="str">
        <f>IFERROR(__xludf.DUMMYFUNCTION("""COMPUTED_VALUE"""),"26/08/1991")</f>
        <v>26/08/1991</v>
      </c>
      <c r="L2292" s="21" t="str">
        <f>IFERROR(__xludf.DUMMYFUNCTION("""COMPUTED_VALUE"""),"PEREMPUAN")</f>
        <v>PEREMPUAN</v>
      </c>
      <c r="M2292" s="35" t="str">
        <f>IFERROR(__xludf.DUMMYFUNCTION("""COMPUTED_VALUE"""),"JL KUTILANG GG KUTILANG")</f>
        <v>JL KUTILANG GG KUTILANG</v>
      </c>
      <c r="N2292" s="35" t="str">
        <f>IFERROR(__xludf.DUMMYFUNCTION("""COMPUTED_VALUE"""),"KELURAHAN MARIANA")</f>
        <v>KELURAHAN MARIANA</v>
      </c>
      <c r="O2292" s="35" t="str">
        <f>IFERROR(__xludf.DUMMYFUNCTION("""COMPUTED_VALUE"""),"PONTIANAK KOTA")</f>
        <v>PONTIANAK KOTA</v>
      </c>
      <c r="P2292" s="35" t="str">
        <f>IFERROR(__xludf.DUMMYFUNCTION("""COMPUTED_VALUE"""),"KOTA PONTIANAK")</f>
        <v>KOTA PONTIANAK</v>
      </c>
      <c r="Q2292" s="35" t="str">
        <f>IFERROR(__xludf.DUMMYFUNCTION("""COMPUTED_VALUE"""),"KALIMANTAN BARAT")</f>
        <v>KALIMANTAN BARAT</v>
      </c>
      <c r="R2292" s="21" t="str">
        <f>IFERROR(__xludf.DUMMYFUNCTION("""COMPUTED_VALUE"""),"KATOLIK")</f>
        <v>KATOLIK</v>
      </c>
      <c r="S2292" s="74" t="str">
        <f>IFERROR(__xludf.DUMMYFUNCTION("""COMPUTED_VALUE"""),"WIRASWASTA")</f>
        <v>WIRASWASTA</v>
      </c>
      <c r="T2292" s="35" t="str">
        <f>IFERROR(__xludf.DUMMYFUNCTION("""COMPUTED_VALUE"""),"TANGAN SERING KESEMUTAN")</f>
        <v>TANGAN SERING KESEMUTAN</v>
      </c>
      <c r="U2292" s="35" t="str">
        <f>IFERROR(__xludf.DUMMYFUNCTION("""COMPUTED_VALUE"""),"PEKERJAAN SEBAGAI KOKI")</f>
        <v>PEKERJAAN SEBAGAI KOKI</v>
      </c>
      <c r="V2292" s="37" t="str">
        <f>IFERROR(__xludf.DUMMYFUNCTION("""COMPUTED_VALUE"""),"082117701169")</f>
        <v>082117701169</v>
      </c>
      <c r="W2292" s="45"/>
    </row>
    <row r="2293">
      <c r="A2293" s="45"/>
      <c r="B2293" s="24" t="str">
        <f>IFERROR(__xludf.DUMMYFUNCTION("""COMPUTED_VALUE"""),"09/03/2025 16:15:55")</f>
        <v>09/03/2025 16:15:55</v>
      </c>
      <c r="C2293" s="35"/>
      <c r="D2293" s="10">
        <f>IFERROR(__xludf.DUMMYFUNCTION("""COMPUTED_VALUE"""),45756.0)</f>
        <v>45756</v>
      </c>
      <c r="E2293" s="35" t="str">
        <f>IFERROR(__xludf.DUMMYFUNCTION("""COMPUTED_VALUE"""),"04Apr")</f>
        <v>04Apr</v>
      </c>
      <c r="F2293" s="34" t="str">
        <f>IFERROR(__xludf.DUMMYFUNCTION("""COMPUTED_VALUE"""),"2025")</f>
        <v>2025</v>
      </c>
      <c r="G2293" s="35" t="str">
        <f>IFERROR(__xludf.DUMMYFUNCTION("""COMPUTED_VALUE"""),"SYARIFAH NURLAILA")</f>
        <v>SYARIFAH NURLAILA</v>
      </c>
      <c r="H2293" s="35" t="str">
        <f>IFERROR(__xludf.DUMMYFUNCTION("""COMPUTED_VALUE"""),"S8625041003")</f>
        <v>S8625041003</v>
      </c>
      <c r="I2293" s="35">
        <f>IFERROR(__xludf.DUMMYFUNCTION("""COMPUTED_VALUE"""),39.0)</f>
        <v>39</v>
      </c>
      <c r="J2293" s="35" t="str">
        <f>IFERROR(__xludf.DUMMYFUNCTION("""COMPUTED_VALUE"""),"35-44 tahun")</f>
        <v>35-44 tahun</v>
      </c>
      <c r="K2293" s="21" t="str">
        <f>IFERROR(__xludf.DUMMYFUNCTION("""COMPUTED_VALUE"""),"28/10/1986")</f>
        <v>28/10/1986</v>
      </c>
      <c r="L2293" s="21" t="str">
        <f>IFERROR(__xludf.DUMMYFUNCTION("""COMPUTED_VALUE"""),"PEREMPUAN")</f>
        <v>PEREMPUAN</v>
      </c>
      <c r="M2293" s="35" t="str">
        <f>IFERROR(__xludf.DUMMYFUNCTION("""COMPUTED_VALUE"""),"JL. PROF. M. YAMIN GG. DARUL FALAH DALAM NO. 57")</f>
        <v>JL. PROF. M. YAMIN GG. DARUL FALAH DALAM NO. 57</v>
      </c>
      <c r="N2293" s="35" t="str">
        <f>IFERROR(__xludf.DUMMYFUNCTION("""COMPUTED_VALUE"""),"SUI BANGKONG")</f>
        <v>SUI BANGKONG</v>
      </c>
      <c r="O2293" s="35" t="str">
        <f>IFERROR(__xludf.DUMMYFUNCTION("""COMPUTED_VALUE"""),"PONTIANAK KOTA")</f>
        <v>PONTIANAK KOTA</v>
      </c>
      <c r="P2293" s="35" t="str">
        <f>IFERROR(__xludf.DUMMYFUNCTION("""COMPUTED_VALUE"""),"PONTIANAK")</f>
        <v>PONTIANAK</v>
      </c>
      <c r="Q2293" s="35" t="str">
        <f>IFERROR(__xludf.DUMMYFUNCTION("""COMPUTED_VALUE"""),"KALBAR")</f>
        <v>KALBAR</v>
      </c>
      <c r="R2293" s="21" t="str">
        <f>IFERROR(__xludf.DUMMYFUNCTION("""COMPUTED_VALUE"""),"ISLAM")</f>
        <v>ISLAM</v>
      </c>
      <c r="S2293" s="74" t="str">
        <f>IFERROR(__xludf.DUMMYFUNCTION("""COMPUTED_VALUE"""),"IBU RT")</f>
        <v>IBU RT</v>
      </c>
      <c r="T2293" s="35" t="str">
        <f>IFERROR(__xludf.DUMMYFUNCTION("""COMPUTED_VALUE"""),"SAKIT DI LIPATAN BAWAH LUTUT KAKI KIRI, BETIS DAN PINGGUL KANAN")</f>
        <v>SAKIT DI LIPATAN BAWAH LUTUT KAKI KIRI, BETIS DAN PINGGUL KANAN</v>
      </c>
      <c r="U2293" s="35" t="str">
        <f>IFERROR(__xludf.DUMMYFUNCTION("""COMPUTED_VALUE"""),"KEBANYAKAN BERDIRI")</f>
        <v>KEBANYAKAN BERDIRI</v>
      </c>
      <c r="V2293" s="37" t="str">
        <f>IFERROR(__xludf.DUMMYFUNCTION("""COMPUTED_VALUE"""),"085754311003")</f>
        <v>085754311003</v>
      </c>
      <c r="W2293" s="45"/>
    </row>
    <row r="2294">
      <c r="A2294" s="45"/>
      <c r="B2294" s="24" t="str">
        <f>IFERROR(__xludf.DUMMYFUNCTION("""COMPUTED_VALUE"""),"10/03/2025 8:54:38")</f>
        <v>10/03/2025 8:54:38</v>
      </c>
      <c r="C2294" s="35"/>
      <c r="D2294" s="10">
        <f>IFERROR(__xludf.DUMMYFUNCTION("""COMPUTED_VALUE"""),45757.0)</f>
        <v>45757</v>
      </c>
      <c r="E2294" s="35" t="str">
        <f>IFERROR(__xludf.DUMMYFUNCTION("""COMPUTED_VALUE"""),"04Apr")</f>
        <v>04Apr</v>
      </c>
      <c r="F2294" s="34" t="str">
        <f>IFERROR(__xludf.DUMMYFUNCTION("""COMPUTED_VALUE"""),"2025")</f>
        <v>2025</v>
      </c>
      <c r="G2294" s="35" t="str">
        <f>IFERROR(__xludf.DUMMYFUNCTION("""COMPUTED_VALUE"""),"KUNTI LESTARI")</f>
        <v>KUNTI LESTARI</v>
      </c>
      <c r="H2294" s="35" t="str">
        <f>IFERROR(__xludf.DUMMYFUNCTION("""COMPUTED_VALUE"""),"K6225048028")</f>
        <v>K6225048028</v>
      </c>
      <c r="I2294" s="35">
        <f>IFERROR(__xludf.DUMMYFUNCTION("""COMPUTED_VALUE"""),63.0)</f>
        <v>63</v>
      </c>
      <c r="J2294" s="35" t="str">
        <f>IFERROR(__xludf.DUMMYFUNCTION("""COMPUTED_VALUE"""),"&gt; 44 tahun")</f>
        <v>&gt; 44 tahun</v>
      </c>
      <c r="K2294" s="21" t="str">
        <f>IFERROR(__xludf.DUMMYFUNCTION("""COMPUTED_VALUE"""),"15/09/1962")</f>
        <v>15/09/1962</v>
      </c>
      <c r="L2294" s="21" t="str">
        <f>IFERROR(__xludf.DUMMYFUNCTION("""COMPUTED_VALUE"""),"PEREMPUAN")</f>
        <v>PEREMPUAN</v>
      </c>
      <c r="M2294" s="35" t="str">
        <f>IFERROR(__xludf.DUMMYFUNCTION("""COMPUTED_VALUE"""),"JL. DANAU SENTARUM GG. MATRAMAN NO. 11")</f>
        <v>JL. DANAU SENTARUM GG. MATRAMAN NO. 11</v>
      </c>
      <c r="N2294" s="35" t="str">
        <f>IFERROR(__xludf.DUMMYFUNCTION("""COMPUTED_VALUE"""),"SUNGAI BANGKONG")</f>
        <v>SUNGAI BANGKONG</v>
      </c>
      <c r="O2294" s="35" t="str">
        <f>IFERROR(__xludf.DUMMYFUNCTION("""COMPUTED_VALUE"""),"PONTIANAK KOTA")</f>
        <v>PONTIANAK KOTA</v>
      </c>
      <c r="P2294" s="35" t="str">
        <f>IFERROR(__xludf.DUMMYFUNCTION("""COMPUTED_VALUE"""),"KOTA PONTIANAK")</f>
        <v>KOTA PONTIANAK</v>
      </c>
      <c r="Q2294" s="35" t="str">
        <f>IFERROR(__xludf.DUMMYFUNCTION("""COMPUTED_VALUE"""),"KALIMANTAN BARAT")</f>
        <v>KALIMANTAN BARAT</v>
      </c>
      <c r="R2294" s="21" t="str">
        <f>IFERROR(__xludf.DUMMYFUNCTION("""COMPUTED_VALUE"""),"ISLAM")</f>
        <v>ISLAM</v>
      </c>
      <c r="S2294" s="74" t="str">
        <f>IFERROR(__xludf.DUMMYFUNCTION("""COMPUTED_VALUE"""),"PENSIUNAN GURU")</f>
        <v>PENSIUNAN GURU</v>
      </c>
      <c r="T2294" s="35" t="str">
        <f>IFERROR(__xludf.DUMMYFUNCTION("""COMPUTED_VALUE"""),"TULANG BELIKAT, LEHER, PUNDAK")</f>
        <v>TULANG BELIKAT, LEHER, PUNDAK</v>
      </c>
      <c r="U2294" s="35" t="str">
        <f>IFERROR(__xludf.DUMMYFUNCTION("""COMPUTED_VALUE"""),"TIDAK ADA HUBUNGAN DENGAN HOBBY")</f>
        <v>TIDAK ADA HUBUNGAN DENGAN HOBBY</v>
      </c>
      <c r="V2294" s="37" t="str">
        <f>IFERROR(__xludf.DUMMYFUNCTION("""COMPUTED_VALUE"""),"085246598028")</f>
        <v>085246598028</v>
      </c>
      <c r="W2294" s="45"/>
    </row>
    <row r="2295">
      <c r="A2295" s="45"/>
      <c r="B2295" s="24" t="str">
        <f>IFERROR(__xludf.DUMMYFUNCTION("""COMPUTED_VALUE"""),"10/03/2025 13:54:04")</f>
        <v>10/03/2025 13:54:04</v>
      </c>
      <c r="C2295" s="35"/>
      <c r="D2295" s="10">
        <f>IFERROR(__xludf.DUMMYFUNCTION("""COMPUTED_VALUE"""),45757.0)</f>
        <v>45757</v>
      </c>
      <c r="E2295" s="35" t="str">
        <f>IFERROR(__xludf.DUMMYFUNCTION("""COMPUTED_VALUE"""),"04Apr")</f>
        <v>04Apr</v>
      </c>
      <c r="F2295" s="34" t="str">
        <f>IFERROR(__xludf.DUMMYFUNCTION("""COMPUTED_VALUE"""),"2025")</f>
        <v>2025</v>
      </c>
      <c r="G2295" s="35" t="str">
        <f>IFERROR(__xludf.DUMMYFUNCTION("""COMPUTED_VALUE"""),"JAILANI")</f>
        <v>JAILANI</v>
      </c>
      <c r="H2295" s="35" t="str">
        <f>IFERROR(__xludf.DUMMYFUNCTION("""COMPUTED_VALUE"""),"J7225046710")</f>
        <v>J7225046710</v>
      </c>
      <c r="I2295" s="35">
        <f>IFERROR(__xludf.DUMMYFUNCTION("""COMPUTED_VALUE"""),53.0)</f>
        <v>53</v>
      </c>
      <c r="J2295" s="35" t="str">
        <f>IFERROR(__xludf.DUMMYFUNCTION("""COMPUTED_VALUE"""),"&gt; 44 tahun")</f>
        <v>&gt; 44 tahun</v>
      </c>
      <c r="K2295" s="21" t="str">
        <f>IFERROR(__xludf.DUMMYFUNCTION("""COMPUTED_VALUE"""),"13/11/1972")</f>
        <v>13/11/1972</v>
      </c>
      <c r="L2295" s="21" t="str">
        <f>IFERROR(__xludf.DUMMYFUNCTION("""COMPUTED_VALUE"""),"LAKI-LAKI")</f>
        <v>LAKI-LAKI</v>
      </c>
      <c r="M2295" s="35" t="str">
        <f>IFERROR(__xludf.DUMMYFUNCTION("""COMPUTED_VALUE"""),"GANG KARYA BARU NO 38")</f>
        <v>GANG KARYA BARU NO 38</v>
      </c>
      <c r="N2295" s="35" t="str">
        <f>IFERROR(__xludf.DUMMYFUNCTION("""COMPUTED_VALUE"""),"PARIT TOKAKAYA")</f>
        <v>PARIT TOKAKAYA</v>
      </c>
      <c r="O2295" s="35" t="str">
        <f>IFERROR(__xludf.DUMMYFUNCTION("""COMPUTED_VALUE"""),"PONTIANAK TENGGARA")</f>
        <v>PONTIANAK TENGGARA</v>
      </c>
      <c r="P2295" s="35" t="str">
        <f>IFERROR(__xludf.DUMMYFUNCTION("""COMPUTED_VALUE"""),"KOTA PONTIANAK")</f>
        <v>KOTA PONTIANAK</v>
      </c>
      <c r="Q2295" s="35" t="str">
        <f>IFERROR(__xludf.DUMMYFUNCTION("""COMPUTED_VALUE"""),"KALIMANTAN BARAT")</f>
        <v>KALIMANTAN BARAT</v>
      </c>
      <c r="R2295" s="21" t="str">
        <f>IFERROR(__xludf.DUMMYFUNCTION("""COMPUTED_VALUE"""),"ISLAM")</f>
        <v>ISLAM</v>
      </c>
      <c r="S2295" s="74" t="str">
        <f>IFERROR(__xludf.DUMMYFUNCTION("""COMPUTED_VALUE"""),"SWASTA")</f>
        <v>SWASTA</v>
      </c>
      <c r="T2295" s="35" t="str">
        <f>IFERROR(__xludf.DUMMYFUNCTION("""COMPUTED_VALUE"""),"NYERI DI BAHU DAN KAKI")</f>
        <v>NYERI DI BAHU DAN KAKI</v>
      </c>
      <c r="U2295" s="35" t="str">
        <f>IFERROR(__xludf.DUMMYFUNCTION("""COMPUTED_VALUE"""),"JALAN PAGI")</f>
        <v>JALAN PAGI</v>
      </c>
      <c r="V2295" s="37" t="str">
        <f>IFERROR(__xludf.DUMMYFUNCTION("""COMPUTED_VALUE"""),"08125726710")</f>
        <v>08125726710</v>
      </c>
      <c r="W2295" s="45"/>
    </row>
    <row r="2296">
      <c r="A2296" s="45"/>
      <c r="B2296" s="24" t="str">
        <f>IFERROR(__xludf.DUMMYFUNCTION("""COMPUTED_VALUE"""),"10/03/2025 15:04:14")</f>
        <v>10/03/2025 15:04:14</v>
      </c>
      <c r="C2296" s="35"/>
      <c r="D2296" s="10">
        <f>IFERROR(__xludf.DUMMYFUNCTION("""COMPUTED_VALUE"""),45757.0)</f>
        <v>45757</v>
      </c>
      <c r="E2296" s="35" t="str">
        <f>IFERROR(__xludf.DUMMYFUNCTION("""COMPUTED_VALUE"""),"04Apr")</f>
        <v>04Apr</v>
      </c>
      <c r="F2296" s="34" t="str">
        <f>IFERROR(__xludf.DUMMYFUNCTION("""COMPUTED_VALUE"""),"2025")</f>
        <v>2025</v>
      </c>
      <c r="G2296" s="35" t="str">
        <f>IFERROR(__xludf.DUMMYFUNCTION("""COMPUTED_VALUE"""),"SANINTEN")</f>
        <v>SANINTEN</v>
      </c>
      <c r="H2296" s="35" t="str">
        <f>IFERROR(__xludf.DUMMYFUNCTION("""COMPUTED_VALUE"""),"S6325047278")</f>
        <v>S6325047278</v>
      </c>
      <c r="I2296" s="35">
        <f>IFERROR(__xludf.DUMMYFUNCTION("""COMPUTED_VALUE"""),62.0)</f>
        <v>62</v>
      </c>
      <c r="J2296" s="35" t="str">
        <f>IFERROR(__xludf.DUMMYFUNCTION("""COMPUTED_VALUE"""),"&gt; 44 tahun")</f>
        <v>&gt; 44 tahun</v>
      </c>
      <c r="K2296" s="21" t="str">
        <f>IFERROR(__xludf.DUMMYFUNCTION("""COMPUTED_VALUE"""),"01/07/1963")</f>
        <v>01/07/1963</v>
      </c>
      <c r="L2296" s="21" t="str">
        <f>IFERROR(__xludf.DUMMYFUNCTION("""COMPUTED_VALUE"""),"PEREMPUAN")</f>
        <v>PEREMPUAN</v>
      </c>
      <c r="M2296" s="35" t="str">
        <f>IFERROR(__xludf.DUMMYFUNCTION("""COMPUTED_VALUE"""),"DUSUN KARYA USAHA")</f>
        <v>DUSUN KARYA USAHA</v>
      </c>
      <c r="N2296" s="35" t="str">
        <f>IFERROR(__xludf.DUMMYFUNCTION("""COMPUTED_VALUE"""),"KUALA MANDOR A")</f>
        <v>KUALA MANDOR A</v>
      </c>
      <c r="O2296" s="35" t="str">
        <f>IFERROR(__xludf.DUMMYFUNCTION("""COMPUTED_VALUE"""),"KUALA MANDOR B")</f>
        <v>KUALA MANDOR B</v>
      </c>
      <c r="P2296" s="35" t="str">
        <f>IFERROR(__xludf.DUMMYFUNCTION("""COMPUTED_VALUE"""),"KUBU RAYA")</f>
        <v>KUBU RAYA</v>
      </c>
      <c r="Q2296" s="35" t="str">
        <f>IFERROR(__xludf.DUMMYFUNCTION("""COMPUTED_VALUE"""),"KALIMANTAN BARAT")</f>
        <v>KALIMANTAN BARAT</v>
      </c>
      <c r="R2296" s="21" t="str">
        <f>IFERROR(__xludf.DUMMYFUNCTION("""COMPUTED_VALUE"""),"ISLAM")</f>
        <v>ISLAM</v>
      </c>
      <c r="S2296" s="74" t="str">
        <f>IFERROR(__xludf.DUMMYFUNCTION("""COMPUTED_VALUE"""),"SWASTA")</f>
        <v>SWASTA</v>
      </c>
      <c r="T2296" s="35" t="str">
        <f>IFERROR(__xludf.DUMMYFUNCTION("""COMPUTED_VALUE"""),"SAKIT DI BAGIAN PINGGANG DAN PAHA")</f>
        <v>SAKIT DI BAGIAN PINGGANG DAN PAHA</v>
      </c>
      <c r="U2296" s="35" t="str">
        <f>IFERROR(__xludf.DUMMYFUNCTION("""COMPUTED_VALUE"""),"DI RUMAH SAJA")</f>
        <v>DI RUMAH SAJA</v>
      </c>
      <c r="V2296" s="37" t="str">
        <f>IFERROR(__xludf.DUMMYFUNCTION("""COMPUTED_VALUE"""),"089693697278")</f>
        <v>089693697278</v>
      </c>
      <c r="W2296" s="45"/>
    </row>
    <row r="2297">
      <c r="A2297" s="45"/>
      <c r="B2297" s="24" t="str">
        <f>IFERROR(__xludf.DUMMYFUNCTION("""COMPUTED_VALUE"""),"10/03/2025 15:08:18")</f>
        <v>10/03/2025 15:08:18</v>
      </c>
      <c r="C2297" s="35"/>
      <c r="D2297" s="10">
        <f>IFERROR(__xludf.DUMMYFUNCTION("""COMPUTED_VALUE"""),45758.0)</f>
        <v>45758</v>
      </c>
      <c r="E2297" s="35" t="str">
        <f>IFERROR(__xludf.DUMMYFUNCTION("""COMPUTED_VALUE"""),"04Apr")</f>
        <v>04Apr</v>
      </c>
      <c r="F2297" s="34" t="str">
        <f>IFERROR(__xludf.DUMMYFUNCTION("""COMPUTED_VALUE"""),"2025")</f>
        <v>2025</v>
      </c>
      <c r="G2297" s="35" t="str">
        <f>IFERROR(__xludf.DUMMYFUNCTION("""COMPUTED_VALUE"""),"ISNAN LUTHFI")</f>
        <v>ISNAN LUTHFI</v>
      </c>
      <c r="H2297" s="35" t="str">
        <f>IFERROR(__xludf.DUMMYFUNCTION("""COMPUTED_VALUE"""),"I9825044864")</f>
        <v>I9825044864</v>
      </c>
      <c r="I2297" s="35">
        <f>IFERROR(__xludf.DUMMYFUNCTION("""COMPUTED_VALUE"""),28.0)</f>
        <v>28</v>
      </c>
      <c r="J2297" s="35" t="str">
        <f>IFERROR(__xludf.DUMMYFUNCTION("""COMPUTED_VALUE"""),"25-34 tahun")</f>
        <v>25-34 tahun</v>
      </c>
      <c r="K2297" s="21" t="str">
        <f>IFERROR(__xludf.DUMMYFUNCTION("""COMPUTED_VALUE"""),"05/05/1998")</f>
        <v>05/05/1998</v>
      </c>
      <c r="L2297" s="21" t="str">
        <f>IFERROR(__xludf.DUMMYFUNCTION("""COMPUTED_VALUE"""),"LAKI-LAKI")</f>
        <v>LAKI-LAKI</v>
      </c>
      <c r="M2297" s="35" t="str">
        <f>IFERROR(__xludf.DUMMYFUNCTION("""COMPUTED_VALUE"""),"SUNGAI DURIAN KUBU RAYA")</f>
        <v>SUNGAI DURIAN KUBU RAYA</v>
      </c>
      <c r="N2297" s="35" t="str">
        <f>IFERROR(__xludf.DUMMYFUNCTION("""COMPUTED_VALUE"""),"LIMBUNG")</f>
        <v>LIMBUNG</v>
      </c>
      <c r="O2297" s="35" t="str">
        <f>IFERROR(__xludf.DUMMYFUNCTION("""COMPUTED_VALUE"""),"SUNGAI RAYA")</f>
        <v>SUNGAI RAYA</v>
      </c>
      <c r="P2297" s="35" t="str">
        <f>IFERROR(__xludf.DUMMYFUNCTION("""COMPUTED_VALUE"""),"KUBU RAYA")</f>
        <v>KUBU RAYA</v>
      </c>
      <c r="Q2297" s="35" t="str">
        <f>IFERROR(__xludf.DUMMYFUNCTION("""COMPUTED_VALUE"""),"KALIMANTAN BARAT")</f>
        <v>KALIMANTAN BARAT</v>
      </c>
      <c r="R2297" s="21" t="str">
        <f>IFERROR(__xludf.DUMMYFUNCTION("""COMPUTED_VALUE"""),"ISLAM")</f>
        <v>ISLAM</v>
      </c>
      <c r="S2297" s="74" t="str">
        <f>IFERROR(__xludf.DUMMYFUNCTION("""COMPUTED_VALUE"""),"PEGAWAI")</f>
        <v>PEGAWAI</v>
      </c>
      <c r="T2297" s="35" t="str">
        <f>IFERROR(__xludf.DUMMYFUNCTION("""COMPUTED_VALUE"""),"SAKIT LUTUT")</f>
        <v>SAKIT LUTUT</v>
      </c>
      <c r="U2297" s="35" t="str">
        <f>IFERROR(__xludf.DUMMYFUNCTION("""COMPUTED_VALUE"""),"FUTSAL SEPAK BILA TENNIS LARI")</f>
        <v>FUTSAL SEPAK BILA TENNIS LARI</v>
      </c>
      <c r="V2297" s="37" t="str">
        <f>IFERROR(__xludf.DUMMYFUNCTION("""COMPUTED_VALUE"""),"087700114864")</f>
        <v>087700114864</v>
      </c>
      <c r="W2297" s="45"/>
    </row>
    <row r="2298">
      <c r="A2298" s="45"/>
      <c r="B2298" s="24" t="str">
        <f>IFERROR(__xludf.DUMMYFUNCTION("""COMPUTED_VALUE"""),"10/03/2025 15:52:37")</f>
        <v>10/03/2025 15:52:37</v>
      </c>
      <c r="C2298" s="35"/>
      <c r="D2298" s="10">
        <f>IFERROR(__xludf.DUMMYFUNCTION("""COMPUTED_VALUE"""),45757.0)</f>
        <v>45757</v>
      </c>
      <c r="E2298" s="35" t="str">
        <f>IFERROR(__xludf.DUMMYFUNCTION("""COMPUTED_VALUE"""),"04Apr")</f>
        <v>04Apr</v>
      </c>
      <c r="F2298" s="34" t="str">
        <f>IFERROR(__xludf.DUMMYFUNCTION("""COMPUTED_VALUE"""),"2025")</f>
        <v>2025</v>
      </c>
      <c r="G2298" s="35" t="str">
        <f>IFERROR(__xludf.DUMMYFUNCTION("""COMPUTED_VALUE"""),"MAURA MEILYA DE ANDALUSU")</f>
        <v>MAURA MEILYA DE ANDALUSU</v>
      </c>
      <c r="H2298" s="35" t="str">
        <f>IFERROR(__xludf.DUMMYFUNCTION("""COMPUTED_VALUE"""),"M0625044829")</f>
        <v>M0625044829</v>
      </c>
      <c r="I2298" s="35">
        <f>IFERROR(__xludf.DUMMYFUNCTION("""COMPUTED_VALUE"""),20.0)</f>
        <v>20</v>
      </c>
      <c r="J2298" s="35" t="str">
        <f>IFERROR(__xludf.DUMMYFUNCTION("""COMPUTED_VALUE"""),"18-24 tahun")</f>
        <v>18-24 tahun</v>
      </c>
      <c r="K2298" s="21" t="str">
        <f>IFERROR(__xludf.DUMMYFUNCTION("""COMPUTED_VALUE"""),"09/05/2006")</f>
        <v>09/05/2006</v>
      </c>
      <c r="L2298" s="21" t="str">
        <f>IFERROR(__xludf.DUMMYFUNCTION("""COMPUTED_VALUE"""),"PEREMPUAN")</f>
        <v>PEREMPUAN</v>
      </c>
      <c r="M2298" s="35" t="str">
        <f>IFERROR(__xludf.DUMMYFUNCTION("""COMPUTED_VALUE"""),"KOMP. MITRA UTAMA 1 BLOK A 11")</f>
        <v>KOMP. MITRA UTAMA 1 BLOK A 11</v>
      </c>
      <c r="N2298" s="35" t="str">
        <f>IFERROR(__xludf.DUMMYFUNCTION("""COMPUTED_VALUE"""),"KELURAHAN PAL. LIMA")</f>
        <v>KELURAHAN PAL. LIMA</v>
      </c>
      <c r="O2298" s="35" t="str">
        <f>IFERROR(__xludf.DUMMYFUNCTION("""COMPUTED_VALUE"""),"KECAMATAN PONTIANAK")</f>
        <v>KECAMATAN PONTIANAK</v>
      </c>
      <c r="P2298" s="35" t="str">
        <f>IFERROR(__xludf.DUMMYFUNCTION("""COMPUTED_VALUE"""),"KOTA PONTIANAK")</f>
        <v>KOTA PONTIANAK</v>
      </c>
      <c r="Q2298" s="35" t="str">
        <f>IFERROR(__xludf.DUMMYFUNCTION("""COMPUTED_VALUE"""),"KALIMANTAN BARAT")</f>
        <v>KALIMANTAN BARAT</v>
      </c>
      <c r="R2298" s="21" t="str">
        <f>IFERROR(__xludf.DUMMYFUNCTION("""COMPUTED_VALUE"""),"KATOLIK")</f>
        <v>KATOLIK</v>
      </c>
      <c r="S2298" s="74" t="str">
        <f>IFERROR(__xludf.DUMMYFUNCTION("""COMPUTED_VALUE"""),"MAHASISWA")</f>
        <v>MAHASISWA</v>
      </c>
      <c r="T2298" s="35" t="str">
        <f>IFERROR(__xludf.DUMMYFUNCTION("""COMPUTED_VALUE"""),"INGIN MENAMBAH TINGGI")</f>
        <v>INGIN MENAMBAH TINGGI</v>
      </c>
      <c r="U2298" s="35" t="str">
        <f>IFERROR(__xludf.DUMMYFUNCTION("""COMPUTED_VALUE"""),"BELUM TAU")</f>
        <v>BELUM TAU</v>
      </c>
      <c r="V2298" s="37" t="str">
        <f>IFERROR(__xludf.DUMMYFUNCTION("""COMPUTED_VALUE"""),"089630194829")</f>
        <v>089630194829</v>
      </c>
      <c r="W2298" s="45"/>
    </row>
    <row r="2299">
      <c r="A2299" s="45"/>
      <c r="B2299" s="24" t="str">
        <f>IFERROR(__xludf.DUMMYFUNCTION("""COMPUTED_VALUE"""),"11/03/2025 13:47:11")</f>
        <v>11/03/2025 13:47:11</v>
      </c>
      <c r="C2299" s="35"/>
      <c r="D2299" s="10">
        <f>IFERROR(__xludf.DUMMYFUNCTION("""COMPUTED_VALUE"""),45757.0)</f>
        <v>45757</v>
      </c>
      <c r="E2299" s="35" t="str">
        <f>IFERROR(__xludf.DUMMYFUNCTION("""COMPUTED_VALUE"""),"04Apr")</f>
        <v>04Apr</v>
      </c>
      <c r="F2299" s="34" t="str">
        <f>IFERROR(__xludf.DUMMYFUNCTION("""COMPUTED_VALUE"""),"2025")</f>
        <v>2025</v>
      </c>
      <c r="G2299" s="35" t="str">
        <f>IFERROR(__xludf.DUMMYFUNCTION("""COMPUTED_VALUE"""),"RUSNAINI")</f>
        <v>RUSNAINI</v>
      </c>
      <c r="H2299" s="35" t="str">
        <f>IFERROR(__xludf.DUMMYFUNCTION("""COMPUTED_VALUE"""),"R6925046024")</f>
        <v>R6925046024</v>
      </c>
      <c r="I2299" s="35">
        <f>IFERROR(__xludf.DUMMYFUNCTION("""COMPUTED_VALUE"""),56.0)</f>
        <v>56</v>
      </c>
      <c r="J2299" s="35" t="str">
        <f>IFERROR(__xludf.DUMMYFUNCTION("""COMPUTED_VALUE"""),"&gt; 44 tahun")</f>
        <v>&gt; 44 tahun</v>
      </c>
      <c r="K2299" s="21" t="str">
        <f>IFERROR(__xludf.DUMMYFUNCTION("""COMPUTED_VALUE"""),"27/10/1969")</f>
        <v>27/10/1969</v>
      </c>
      <c r="L2299" s="21" t="str">
        <f>IFERROR(__xludf.DUMMYFUNCTION("""COMPUTED_VALUE"""),"LAKI-LAKI")</f>
        <v>LAKI-LAKI</v>
      </c>
      <c r="M2299" s="35" t="str">
        <f>IFERROR(__xludf.DUMMYFUNCTION("""COMPUTED_VALUE"""),"JALAN KESEHATAN GG BUNTU INDAH")</f>
        <v>JALAN KESEHATAN GG BUNTU INDAH</v>
      </c>
      <c r="N2299" s="35" t="str">
        <f>IFERROR(__xludf.DUMMYFUNCTION("""COMPUTED_VALUE"""),"KOTABARU")</f>
        <v>KOTABARU</v>
      </c>
      <c r="O2299" s="35" t="str">
        <f>IFERROR(__xludf.DUMMYFUNCTION("""COMPUTED_VALUE"""),"PONTIANAK SELATAN")</f>
        <v>PONTIANAK SELATAN</v>
      </c>
      <c r="P2299" s="35" t="str">
        <f>IFERROR(__xludf.DUMMYFUNCTION("""COMPUTED_VALUE"""),"KOTA PONTIANAK")</f>
        <v>KOTA PONTIANAK</v>
      </c>
      <c r="Q2299" s="35" t="str">
        <f>IFERROR(__xludf.DUMMYFUNCTION("""COMPUTED_VALUE"""),"KALBAR")</f>
        <v>KALBAR</v>
      </c>
      <c r="R2299" s="21" t="str">
        <f>IFERROR(__xludf.DUMMYFUNCTION("""COMPUTED_VALUE"""),"ISLAM")</f>
        <v>ISLAM</v>
      </c>
      <c r="S2299" s="74" t="str">
        <f>IFERROR(__xludf.DUMMYFUNCTION("""COMPUTED_VALUE"""),"PEGAWAI")</f>
        <v>PEGAWAI</v>
      </c>
      <c r="T2299" s="35" t="str">
        <f>IFERROR(__xludf.DUMMYFUNCTION("""COMPUTED_VALUE"""),"SAKIT PINGGANG")</f>
        <v>SAKIT PINGGANG</v>
      </c>
      <c r="U2299" s="35" t="str">
        <f>IFERROR(__xludf.DUMMYFUNCTION("""COMPUTED_VALUE"""),"BEKERJA")</f>
        <v>BEKERJA</v>
      </c>
      <c r="V2299" s="37" t="str">
        <f>IFERROR(__xludf.DUMMYFUNCTION("""COMPUTED_VALUE"""),"081345206024")</f>
        <v>081345206024</v>
      </c>
      <c r="W2299" s="45"/>
    </row>
    <row r="2300">
      <c r="A2300" s="45"/>
      <c r="B2300" s="24" t="str">
        <f>IFERROR(__xludf.DUMMYFUNCTION("""COMPUTED_VALUE"""),"12/03/2025 9:40:39")</f>
        <v>12/03/2025 9:40:39</v>
      </c>
      <c r="C2300" s="35"/>
      <c r="D2300" s="10">
        <f>IFERROR(__xludf.DUMMYFUNCTION("""COMPUTED_VALUE"""),45758.0)</f>
        <v>45758</v>
      </c>
      <c r="E2300" s="35" t="str">
        <f>IFERROR(__xludf.DUMMYFUNCTION("""COMPUTED_VALUE"""),"04Apr")</f>
        <v>04Apr</v>
      </c>
      <c r="F2300" s="34" t="str">
        <f>IFERROR(__xludf.DUMMYFUNCTION("""COMPUTED_VALUE"""),"2025")</f>
        <v>2025</v>
      </c>
      <c r="G2300" s="35" t="str">
        <f>IFERROR(__xludf.DUMMYFUNCTION("""COMPUTED_VALUE"""),"RIKY REYNALDI")</f>
        <v>RIKY REYNALDI</v>
      </c>
      <c r="H2300" s="35" t="str">
        <f>IFERROR(__xludf.DUMMYFUNCTION("""COMPUTED_VALUE"""),"R0025046707")</f>
        <v>R0025046707</v>
      </c>
      <c r="I2300" s="35">
        <f>IFERROR(__xludf.DUMMYFUNCTION("""COMPUTED_VALUE"""),26.0)</f>
        <v>26</v>
      </c>
      <c r="J2300" s="35" t="str">
        <f>IFERROR(__xludf.DUMMYFUNCTION("""COMPUTED_VALUE"""),"25-34 tahun")</f>
        <v>25-34 tahun</v>
      </c>
      <c r="K2300" s="21" t="str">
        <f>IFERROR(__xludf.DUMMYFUNCTION("""COMPUTED_VALUE"""),"07/02/2000")</f>
        <v>07/02/2000</v>
      </c>
      <c r="L2300" s="21" t="str">
        <f>IFERROR(__xludf.DUMMYFUNCTION("""COMPUTED_VALUE"""),"LAKI-LAKI")</f>
        <v>LAKI-LAKI</v>
      </c>
      <c r="M2300" s="35" t="str">
        <f>IFERROR(__xludf.DUMMYFUNCTION("""COMPUTED_VALUE"""),"DUSUN FAJAR KARYA")</f>
        <v>DUSUN FAJAR KARYA</v>
      </c>
      <c r="N2300" s="35" t="str">
        <f>IFERROR(__xludf.DUMMYFUNCTION("""COMPUTED_VALUE"""),"KUBU")</f>
        <v>KUBU</v>
      </c>
      <c r="O2300" s="35" t="str">
        <f>IFERROR(__xludf.DUMMYFUNCTION("""COMPUTED_VALUE"""),"KUBU")</f>
        <v>KUBU</v>
      </c>
      <c r="P2300" s="35" t="str">
        <f>IFERROR(__xludf.DUMMYFUNCTION("""COMPUTED_VALUE"""),"KUBU RAYA")</f>
        <v>KUBU RAYA</v>
      </c>
      <c r="Q2300" s="35" t="str">
        <f>IFERROR(__xludf.DUMMYFUNCTION("""COMPUTED_VALUE"""),"KALIMANTAN BARAT")</f>
        <v>KALIMANTAN BARAT</v>
      </c>
      <c r="R2300" s="21" t="str">
        <f>IFERROR(__xludf.DUMMYFUNCTION("""COMPUTED_VALUE"""),"BUDDHA")</f>
        <v>BUDDHA</v>
      </c>
      <c r="S2300" s="74" t="str">
        <f>IFERROR(__xludf.DUMMYFUNCTION("""COMPUTED_VALUE"""),"TIDAK ADA")</f>
        <v>TIDAK ADA</v>
      </c>
      <c r="T2300" s="35" t="str">
        <f>IFERROR(__xludf.DUMMYFUNCTION("""COMPUTED_VALUE"""),"BAHU KIRI DAN KANAN SAYA SAKIT, YANG KIRI KALAU DIGERAKIN ADA BUNYINYA")</f>
        <v>BAHU KIRI DAN KANAN SAYA SAKIT, YANG KIRI KALAU DIGERAKIN ADA BUNYINYA</v>
      </c>
      <c r="U2300" s="35" t="str">
        <f>IFERROR(__xludf.DUMMYFUNCTION("""COMPUTED_VALUE"""),"MAIN FUTSAL(KIPER)")</f>
        <v>MAIN FUTSAL(KIPER)</v>
      </c>
      <c r="V2300" s="37" t="str">
        <f>IFERROR(__xludf.DUMMYFUNCTION("""COMPUTED_VALUE"""),"082254086707")</f>
        <v>082254086707</v>
      </c>
      <c r="W2300" s="45"/>
    </row>
    <row r="2301">
      <c r="A2301" s="45"/>
      <c r="B2301" s="35"/>
      <c r="C2301" s="35"/>
      <c r="D2301" s="10">
        <f>IFERROR(__xludf.DUMMYFUNCTION("""COMPUTED_VALUE"""),45758.0)</f>
        <v>45758</v>
      </c>
      <c r="E2301" s="35" t="str">
        <f>IFERROR(__xludf.DUMMYFUNCTION("""COMPUTED_VALUE"""),"04Apr")</f>
        <v>04Apr</v>
      </c>
      <c r="F2301" s="34" t="str">
        <f>IFERROR(__xludf.DUMMYFUNCTION("""COMPUTED_VALUE"""),"2025")</f>
        <v>2025</v>
      </c>
      <c r="G2301" s="35" t="str">
        <f>IFERROR(__xludf.DUMMYFUNCTION("""COMPUTED_VALUE"""),"M. AHZA SYAHMI ARDI")</f>
        <v>M. AHZA SYAHMI ARDI</v>
      </c>
      <c r="H2301" s="35" t="str">
        <f>IFERROR(__xludf.DUMMYFUNCTION("""COMPUTED_VALUE"""),"M1025044555")</f>
        <v>M1025044555</v>
      </c>
      <c r="I2301" s="35">
        <f>IFERROR(__xludf.DUMMYFUNCTION("""COMPUTED_VALUE"""),15.0)</f>
        <v>15</v>
      </c>
      <c r="J2301" s="35" t="str">
        <f>IFERROR(__xludf.DUMMYFUNCTION("""COMPUTED_VALUE"""),"&lt; 18 tahun")</f>
        <v>&lt; 18 tahun</v>
      </c>
      <c r="K2301" s="21" t="str">
        <f>IFERROR(__xludf.DUMMYFUNCTION("""COMPUTED_VALUE"""),"03/07/2010")</f>
        <v>03/07/2010</v>
      </c>
      <c r="L2301" s="21" t="str">
        <f>IFERROR(__xludf.DUMMYFUNCTION("""COMPUTED_VALUE"""),"LAKI-LAKI")</f>
        <v>LAKI-LAKI</v>
      </c>
      <c r="M2301" s="35" t="str">
        <f>IFERROR(__xludf.DUMMYFUNCTION("""COMPUTED_VALUE"""),"JL. SEJARAH, GG. SEJARAH NO.21")</f>
        <v>JL. SEJARAH, GG. SEJARAH NO.21</v>
      </c>
      <c r="N2301" s="35" t="str">
        <f>IFERROR(__xludf.DUMMYFUNCTION("""COMPUTED_VALUE"""),"PONTIANAK")</f>
        <v>PONTIANAK</v>
      </c>
      <c r="O2301" s="35" t="str">
        <f>IFERROR(__xludf.DUMMYFUNCTION("""COMPUTED_VALUE"""),"PONTIANAK")</f>
        <v>PONTIANAK</v>
      </c>
      <c r="P2301" s="35" t="str">
        <f>IFERROR(__xludf.DUMMYFUNCTION("""COMPUTED_VALUE"""),"KOTA PONTIANAK")</f>
        <v>KOTA PONTIANAK</v>
      </c>
      <c r="Q2301" s="35" t="str">
        <f>IFERROR(__xludf.DUMMYFUNCTION("""COMPUTED_VALUE"""),"KALIMANTAN BARAT")</f>
        <v>KALIMANTAN BARAT</v>
      </c>
      <c r="R2301" s="21" t="str">
        <f>IFERROR(__xludf.DUMMYFUNCTION("""COMPUTED_VALUE"""),"ISLAM")</f>
        <v>ISLAM</v>
      </c>
      <c r="S2301" s="74" t="str">
        <f>IFERROR(__xludf.DUMMYFUNCTION("""COMPUTED_VALUE"""),"PELAJAR")</f>
        <v>PELAJAR</v>
      </c>
      <c r="T2301" s="35" t="str">
        <f>IFERROR(__xludf.DUMMYFUNCTION("""COMPUTED_VALUE"""),"ANKLE KESELEO")</f>
        <v>ANKLE KESELEO</v>
      </c>
      <c r="U2301" s="35" t="str">
        <f>IFERROR(__xludf.DUMMYFUNCTION("""COMPUTED_VALUE"""),"VOLLY")</f>
        <v>VOLLY</v>
      </c>
      <c r="V2301" s="37" t="str">
        <f>IFERROR(__xludf.DUMMYFUNCTION("""COMPUTED_VALUE"""),"085250734555")</f>
        <v>085250734555</v>
      </c>
      <c r="W2301" s="45"/>
    </row>
    <row r="2302">
      <c r="A2302" s="45"/>
      <c r="B2302" s="24" t="str">
        <f>IFERROR(__xludf.DUMMYFUNCTION("""COMPUTED_VALUE"""),"13/03/2025 20:51:39")</f>
        <v>13/03/2025 20:51:39</v>
      </c>
      <c r="C2302" s="35"/>
      <c r="D2302" s="10">
        <f>IFERROR(__xludf.DUMMYFUNCTION("""COMPUTED_VALUE"""),45758.0)</f>
        <v>45758</v>
      </c>
      <c r="E2302" s="35" t="str">
        <f>IFERROR(__xludf.DUMMYFUNCTION("""COMPUTED_VALUE"""),"04Apr")</f>
        <v>04Apr</v>
      </c>
      <c r="F2302" s="34" t="str">
        <f>IFERROR(__xludf.DUMMYFUNCTION("""COMPUTED_VALUE"""),"2025")</f>
        <v>2025</v>
      </c>
      <c r="G2302" s="35" t="str">
        <f>IFERROR(__xludf.DUMMYFUNCTION("""COMPUTED_VALUE"""),"LICA")</f>
        <v>LICA</v>
      </c>
      <c r="H2302" s="35" t="str">
        <f>IFERROR(__xludf.DUMMYFUNCTION("""COMPUTED_VALUE"""),"L9925048099")</f>
        <v>L9925048099</v>
      </c>
      <c r="I2302" s="35">
        <f>IFERROR(__xludf.DUMMYFUNCTION("""COMPUTED_VALUE"""),26.0)</f>
        <v>26</v>
      </c>
      <c r="J2302" s="35" t="str">
        <f>IFERROR(__xludf.DUMMYFUNCTION("""COMPUTED_VALUE"""),"25-34 tahun")</f>
        <v>25-34 tahun</v>
      </c>
      <c r="K2302" s="21" t="str">
        <f>IFERROR(__xludf.DUMMYFUNCTION("""COMPUTED_VALUE"""),"21/08/1999")</f>
        <v>21/08/1999</v>
      </c>
      <c r="L2302" s="21" t="str">
        <f>IFERROR(__xludf.DUMMYFUNCTION("""COMPUTED_VALUE"""),"PEREMPUAN")</f>
        <v>PEREMPUAN</v>
      </c>
      <c r="M2302" s="35" t="str">
        <f>IFERROR(__xludf.DUMMYFUNCTION("""COMPUTED_VALUE"""),"JL TANJUNG PURA, GG. ASEAN NO. 40")</f>
        <v>JL TANJUNG PURA, GG. ASEAN NO. 40</v>
      </c>
      <c r="N2302" s="35" t="str">
        <f>IFERROR(__xludf.DUMMYFUNCTION("""COMPUTED_VALUE"""),"KELURAHAN BENUA MELAYU LAUT")</f>
        <v>KELURAHAN BENUA MELAYU LAUT</v>
      </c>
      <c r="O2302" s="35" t="str">
        <f>IFERROR(__xludf.DUMMYFUNCTION("""COMPUTED_VALUE"""),"PONTIANAK SELATAN")</f>
        <v>PONTIANAK SELATAN</v>
      </c>
      <c r="P2302" s="35" t="str">
        <f>IFERROR(__xludf.DUMMYFUNCTION("""COMPUTED_VALUE"""),"KOTA PONTIANAK")</f>
        <v>KOTA PONTIANAK</v>
      </c>
      <c r="Q2302" s="35" t="str">
        <f>IFERROR(__xludf.DUMMYFUNCTION("""COMPUTED_VALUE"""),"KALIMANTAN BARAT")</f>
        <v>KALIMANTAN BARAT</v>
      </c>
      <c r="R2302" s="21" t="str">
        <f>IFERROR(__xludf.DUMMYFUNCTION("""COMPUTED_VALUE"""),"KATOLIK")</f>
        <v>KATOLIK</v>
      </c>
      <c r="S2302" s="74" t="str">
        <f>IFERROR(__xludf.DUMMYFUNCTION("""COMPUTED_VALUE"""),"ACCOUNTING")</f>
        <v>ACCOUNTING</v>
      </c>
      <c r="T2302" s="35" t="str">
        <f>IFERROR(__xludf.DUMMYFUNCTION("""COMPUTED_VALUE"""),"NYERI TULANG BELAKANG SAMPAI KAKI, NYERI DI BAGIAN LUTUT JUGA")</f>
        <v>NYERI TULANG BELAKANG SAMPAI KAKI, NYERI DI BAGIAN LUTUT JUGA</v>
      </c>
      <c r="U2302" s="35" t="str">
        <f>IFERROR(__xludf.DUMMYFUNCTION("""COMPUTED_VALUE"""),"BANYAK DUDUK")</f>
        <v>BANYAK DUDUK</v>
      </c>
      <c r="V2302" s="37" t="str">
        <f>IFERROR(__xludf.DUMMYFUNCTION("""COMPUTED_VALUE"""),"085158678099")</f>
        <v>085158678099</v>
      </c>
      <c r="W2302" s="45"/>
    </row>
    <row r="2303">
      <c r="A2303" s="45"/>
      <c r="B2303" s="24" t="str">
        <f>IFERROR(__xludf.DUMMYFUNCTION("""COMPUTED_VALUE"""),"14/03/2025 11:04:48")</f>
        <v>14/03/2025 11:04:48</v>
      </c>
      <c r="C2303" s="35"/>
      <c r="D2303" s="10">
        <f>IFERROR(__xludf.DUMMYFUNCTION("""COMPUTED_VALUE"""),45758.0)</f>
        <v>45758</v>
      </c>
      <c r="E2303" s="35" t="str">
        <f>IFERROR(__xludf.DUMMYFUNCTION("""COMPUTED_VALUE"""),"04Apr")</f>
        <v>04Apr</v>
      </c>
      <c r="F2303" s="34" t="str">
        <f>IFERROR(__xludf.DUMMYFUNCTION("""COMPUTED_VALUE"""),"2025")</f>
        <v>2025</v>
      </c>
      <c r="G2303" s="35" t="str">
        <f>IFERROR(__xludf.DUMMYFUNCTION("""COMPUTED_VALUE"""),"ARDI TAQWQDI")</f>
        <v>ARDI TAQWQDI</v>
      </c>
      <c r="H2303" s="35" t="str">
        <f>IFERROR(__xludf.DUMMYFUNCTION("""COMPUTED_VALUE"""),"A9225048766")</f>
        <v>A9225048766</v>
      </c>
      <c r="I2303" s="35">
        <f>IFERROR(__xludf.DUMMYFUNCTION("""COMPUTED_VALUE"""),34.0)</f>
        <v>34</v>
      </c>
      <c r="J2303" s="35" t="str">
        <f>IFERROR(__xludf.DUMMYFUNCTION("""COMPUTED_VALUE"""),"25-34 tahun")</f>
        <v>25-34 tahun</v>
      </c>
      <c r="K2303" s="21" t="str">
        <f>IFERROR(__xludf.DUMMYFUNCTION("""COMPUTED_VALUE"""),"01/02/1992")</f>
        <v>01/02/1992</v>
      </c>
      <c r="L2303" s="21" t="str">
        <f>IFERROR(__xludf.DUMMYFUNCTION("""COMPUTED_VALUE"""),"LAKI-LAKI")</f>
        <v>LAKI-LAKI</v>
      </c>
      <c r="M2303" s="35" t="str">
        <f>IFERROR(__xludf.DUMMYFUNCTION("""COMPUTED_VALUE"""),"KOMP. GRIYA PRATAMA I")</f>
        <v>KOMP. GRIYA PRATAMA I</v>
      </c>
      <c r="N2303" s="35" t="str">
        <f>IFERROR(__xludf.DUMMYFUNCTION("""COMPUTED_VALUE"""),"SAIGON")</f>
        <v>SAIGON</v>
      </c>
      <c r="O2303" s="35" t="str">
        <f>IFERROR(__xludf.DUMMYFUNCTION("""COMPUTED_VALUE"""),"PONTIANAK TIMUR")</f>
        <v>PONTIANAK TIMUR</v>
      </c>
      <c r="P2303" s="35" t="str">
        <f>IFERROR(__xludf.DUMMYFUNCTION("""COMPUTED_VALUE"""),"PONTIANAK")</f>
        <v>PONTIANAK</v>
      </c>
      <c r="Q2303" s="35" t="str">
        <f>IFERROR(__xludf.DUMMYFUNCTION("""COMPUTED_VALUE"""),"KALIMANTAN BARAT")</f>
        <v>KALIMANTAN BARAT</v>
      </c>
      <c r="R2303" s="21" t="str">
        <f>IFERROR(__xludf.DUMMYFUNCTION("""COMPUTED_VALUE"""),"ISLAM")</f>
        <v>ISLAM</v>
      </c>
      <c r="S2303" s="74" t="str">
        <f>IFERROR(__xludf.DUMMYFUNCTION("""COMPUTED_VALUE"""),"BADAN PUBLIK")</f>
        <v>BADAN PUBLIK</v>
      </c>
      <c r="T2303" s="35" t="str">
        <f>IFERROR(__xludf.DUMMYFUNCTION("""COMPUTED_VALUE"""),"SAKIT PINGGANG SY KAMBUH, SUDAH SEBULAN INI TIDAK KUNJUNG REDA TERUTAMA PADA BAGIAN KIRI YG MENJALAR HINGGA KAKI JIKA KAKI KIRI DI ANGKAT")</f>
        <v>SAKIT PINGGANG SY KAMBUH, SUDAH SEBULAN INI TIDAK KUNJUNG REDA TERUTAMA PADA BAGIAN KIRI YG MENJALAR HINGGA KAKI JIKA KAKI KIRI DI ANGKAT</v>
      </c>
      <c r="U2303" s="35" t="str">
        <f>IFERROR(__xludf.DUMMYFUNCTION("""COMPUTED_VALUE"""),"DUDUK LAMA KETIKA BEKERJA, HOBI FUTSAL")</f>
        <v>DUDUK LAMA KETIKA BEKERJA, HOBI FUTSAL</v>
      </c>
      <c r="V2303" s="37" t="str">
        <f>IFERROR(__xludf.DUMMYFUNCTION("""COMPUTED_VALUE"""),"0811558766")</f>
        <v>0811558766</v>
      </c>
      <c r="W2303" s="45"/>
    </row>
    <row r="2304">
      <c r="A2304" s="45"/>
      <c r="B2304" s="24" t="str">
        <f>IFERROR(__xludf.DUMMYFUNCTION("""COMPUTED_VALUE"""),"14/03/2025 13:37:16")</f>
        <v>14/03/2025 13:37:16</v>
      </c>
      <c r="C2304" s="35"/>
      <c r="D2304" s="10">
        <f>IFERROR(__xludf.DUMMYFUNCTION("""COMPUTED_VALUE"""),45758.0)</f>
        <v>45758</v>
      </c>
      <c r="E2304" s="35" t="str">
        <f>IFERROR(__xludf.DUMMYFUNCTION("""COMPUTED_VALUE"""),"04Apr")</f>
        <v>04Apr</v>
      </c>
      <c r="F2304" s="34" t="str">
        <f>IFERROR(__xludf.DUMMYFUNCTION("""COMPUTED_VALUE"""),"2025")</f>
        <v>2025</v>
      </c>
      <c r="G2304" s="35" t="str">
        <f>IFERROR(__xludf.DUMMYFUNCTION("""COMPUTED_VALUE"""),"JOSE")</f>
        <v>JOSE</v>
      </c>
      <c r="H2304" s="35" t="str">
        <f>IFERROR(__xludf.DUMMYFUNCTION("""COMPUTED_VALUE"""),"J1225042193")</f>
        <v>J1225042193</v>
      </c>
      <c r="I2304" s="35">
        <f>IFERROR(__xludf.DUMMYFUNCTION("""COMPUTED_VALUE"""),13.0)</f>
        <v>13</v>
      </c>
      <c r="J2304" s="35" t="str">
        <f>IFERROR(__xludf.DUMMYFUNCTION("""COMPUTED_VALUE"""),"&lt; 18 tahun")</f>
        <v>&lt; 18 tahun</v>
      </c>
      <c r="K2304" s="21" t="str">
        <f>IFERROR(__xludf.DUMMYFUNCTION("""COMPUTED_VALUE"""),"30/10/2012")</f>
        <v>30/10/2012</v>
      </c>
      <c r="L2304" s="21" t="str">
        <f>IFERROR(__xludf.DUMMYFUNCTION("""COMPUTED_VALUE"""),"LAKI-LAKI")</f>
        <v>LAKI-LAKI</v>
      </c>
      <c r="M2304" s="35" t="str">
        <f>IFERROR(__xludf.DUMMYFUNCTION("""COMPUTED_VALUE"""),"JL. PERDAMAIAN ARI KARYA INDAH 4 KOMP. KURNIA 8 NO.A2")</f>
        <v>JL. PERDAMAIAN ARI KARYA INDAH 4 KOMP. KURNIA 8 NO.A2</v>
      </c>
      <c r="N2304" s="35" t="str">
        <f>IFERROR(__xludf.DUMMYFUNCTION("""COMPUTED_VALUE"""),"SUNGAI KAKAP")</f>
        <v>SUNGAI KAKAP</v>
      </c>
      <c r="O2304" s="35" t="str">
        <f>IFERROR(__xludf.DUMMYFUNCTION("""COMPUTED_VALUE"""),"PAL 9")</f>
        <v>PAL 9</v>
      </c>
      <c r="P2304" s="35" t="str">
        <f>IFERROR(__xludf.DUMMYFUNCTION("""COMPUTED_VALUE"""),"KUBU RAYA")</f>
        <v>KUBU RAYA</v>
      </c>
      <c r="Q2304" s="35" t="str">
        <f>IFERROR(__xludf.DUMMYFUNCTION("""COMPUTED_VALUE"""),"KALIMANTAN BARAT")</f>
        <v>KALIMANTAN BARAT</v>
      </c>
      <c r="R2304" s="21" t="str">
        <f>IFERROR(__xludf.DUMMYFUNCTION("""COMPUTED_VALUE"""),"PROTESTAN")</f>
        <v>PROTESTAN</v>
      </c>
      <c r="S2304" s="74" t="str">
        <f>IFERROR(__xludf.DUMMYFUNCTION("""COMPUTED_VALUE"""),"PELAJAR")</f>
        <v>PELAJAR</v>
      </c>
      <c r="T2304" s="35" t="str">
        <f>IFERROR(__xludf.DUMMYFUNCTION("""COMPUTED_VALUE"""),"LEHER TERKILIR")</f>
        <v>LEHER TERKILIR</v>
      </c>
      <c r="U2304" s="35" t="str">
        <f>IFERROR(__xludf.DUMMYFUNCTION("""COMPUTED_VALUE"""),"PELAJAR")</f>
        <v>PELAJAR</v>
      </c>
      <c r="V2304" s="37" t="str">
        <f>IFERROR(__xludf.DUMMYFUNCTION("""COMPUTED_VALUE"""),"082150732193")</f>
        <v>082150732193</v>
      </c>
      <c r="W2304" s="45"/>
    </row>
    <row r="2305">
      <c r="A2305" s="45"/>
      <c r="B2305" s="24" t="str">
        <f>IFERROR(__xludf.DUMMYFUNCTION("""COMPUTED_VALUE"""),"10/03/2025 14:31:15")</f>
        <v>10/03/2025 14:31:15</v>
      </c>
      <c r="C2305" s="35"/>
      <c r="D2305" s="10">
        <f>IFERROR(__xludf.DUMMYFUNCTION("""COMPUTED_VALUE"""),45759.0)</f>
        <v>45759</v>
      </c>
      <c r="E2305" s="35" t="str">
        <f>IFERROR(__xludf.DUMMYFUNCTION("""COMPUTED_VALUE"""),"04Apr")</f>
        <v>04Apr</v>
      </c>
      <c r="F2305" s="34" t="str">
        <f>IFERROR(__xludf.DUMMYFUNCTION("""COMPUTED_VALUE"""),"2025")</f>
        <v>2025</v>
      </c>
      <c r="G2305" s="35" t="str">
        <f>IFERROR(__xludf.DUMMYFUNCTION("""COMPUTED_VALUE"""),"KUSUMAWATI")</f>
        <v>KUSUMAWATI</v>
      </c>
      <c r="H2305" s="35" t="str">
        <f>IFERROR(__xludf.DUMMYFUNCTION("""COMPUTED_VALUE"""),"K7025044099")</f>
        <v>K7025044099</v>
      </c>
      <c r="I2305" s="35">
        <f>IFERROR(__xludf.DUMMYFUNCTION("""COMPUTED_VALUE"""),55.0)</f>
        <v>55</v>
      </c>
      <c r="J2305" s="35" t="str">
        <f>IFERROR(__xludf.DUMMYFUNCTION("""COMPUTED_VALUE"""),"&gt; 44 tahun")</f>
        <v>&gt; 44 tahun</v>
      </c>
      <c r="K2305" s="21" t="str">
        <f>IFERROR(__xludf.DUMMYFUNCTION("""COMPUTED_VALUE"""),"05/08/1970")</f>
        <v>05/08/1970</v>
      </c>
      <c r="L2305" s="21" t="str">
        <f>IFERROR(__xludf.DUMMYFUNCTION("""COMPUTED_VALUE"""),"PEREMPUAN")</f>
        <v>PEREMPUAN</v>
      </c>
      <c r="M2305" s="35" t="str">
        <f>IFERROR(__xludf.DUMMYFUNCTION("""COMPUTED_VALUE"""),"JL. JURUSAN ANJUNGAN SUNGAI PINYUH")</f>
        <v>JL. JURUSAN ANJUNGAN SUNGAI PINYUH</v>
      </c>
      <c r="N2305" s="35" t="str">
        <f>IFERROR(__xludf.DUMMYFUNCTION("""COMPUTED_VALUE"""),"SUNGAI PINYUH")</f>
        <v>SUNGAI PINYUH</v>
      </c>
      <c r="O2305" s="35" t="str">
        <f>IFERROR(__xludf.DUMMYFUNCTION("""COMPUTED_VALUE"""),"SUNGAI PINYUH")</f>
        <v>SUNGAI PINYUH</v>
      </c>
      <c r="P2305" s="35" t="str">
        <f>IFERROR(__xludf.DUMMYFUNCTION("""COMPUTED_VALUE"""),"MEMPAWAH")</f>
        <v>MEMPAWAH</v>
      </c>
      <c r="Q2305" s="35" t="str">
        <f>IFERROR(__xludf.DUMMYFUNCTION("""COMPUTED_VALUE"""),"KALIMANTAN BARAT")</f>
        <v>KALIMANTAN BARAT</v>
      </c>
      <c r="R2305" s="21" t="str">
        <f>IFERROR(__xludf.DUMMYFUNCTION("""COMPUTED_VALUE"""),"BUDDHA")</f>
        <v>BUDDHA</v>
      </c>
      <c r="S2305" s="74" t="str">
        <f>IFERROR(__xludf.DUMMYFUNCTION("""COMPUTED_VALUE"""),"MENGURUS RUMAH TANGGA")</f>
        <v>MENGURUS RUMAH TANGGA</v>
      </c>
      <c r="T2305" s="35" t="str">
        <f>IFERROR(__xludf.DUMMYFUNCTION("""COMPUTED_VALUE"""),"FISIO SETELAH OPERASI")</f>
        <v>FISIO SETELAH OPERASI</v>
      </c>
      <c r="U2305" s="35" t="str">
        <f>IFERROR(__xludf.DUMMYFUNCTION("""COMPUTED_VALUE"""),"BERJALAN")</f>
        <v>BERJALAN</v>
      </c>
      <c r="V2305" s="37" t="str">
        <f>IFERROR(__xludf.DUMMYFUNCTION("""COMPUTED_VALUE"""),"082148494099")</f>
        <v>082148494099</v>
      </c>
      <c r="W2305" s="45"/>
    </row>
    <row r="2306">
      <c r="A2306" s="45"/>
      <c r="B2306" s="24" t="str">
        <f>IFERROR(__xludf.DUMMYFUNCTION("""COMPUTED_VALUE"""),"14/03/2025 9:34:15")</f>
        <v>14/03/2025 9:34:15</v>
      </c>
      <c r="C2306" s="35"/>
      <c r="D2306" s="10">
        <f>IFERROR(__xludf.DUMMYFUNCTION("""COMPUTED_VALUE"""),45759.0)</f>
        <v>45759</v>
      </c>
      <c r="E2306" s="35" t="str">
        <f>IFERROR(__xludf.DUMMYFUNCTION("""COMPUTED_VALUE"""),"04Apr")</f>
        <v>04Apr</v>
      </c>
      <c r="F2306" s="34" t="str">
        <f>IFERROR(__xludf.DUMMYFUNCTION("""COMPUTED_VALUE"""),"2025")</f>
        <v>2025</v>
      </c>
      <c r="G2306" s="35" t="str">
        <f>IFERROR(__xludf.DUMMYFUNCTION("""COMPUTED_VALUE"""),"SISKA VEDIYANTIKA")</f>
        <v>SISKA VEDIYANTIKA</v>
      </c>
      <c r="H2306" s="35" t="str">
        <f>IFERROR(__xludf.DUMMYFUNCTION("""COMPUTED_VALUE"""),"S8525048522")</f>
        <v>S8525048522</v>
      </c>
      <c r="I2306" s="35">
        <f>IFERROR(__xludf.DUMMYFUNCTION("""COMPUTED_VALUE"""),41.0)</f>
        <v>41</v>
      </c>
      <c r="J2306" s="35" t="str">
        <f>IFERROR(__xludf.DUMMYFUNCTION("""COMPUTED_VALUE"""),"35-44 tahun")</f>
        <v>35-44 tahun</v>
      </c>
      <c r="K2306" s="21" t="str">
        <f>IFERROR(__xludf.DUMMYFUNCTION("""COMPUTED_VALUE"""),"22/01/1985")</f>
        <v>22/01/1985</v>
      </c>
      <c r="L2306" s="21" t="str">
        <f>IFERROR(__xludf.DUMMYFUNCTION("""COMPUTED_VALUE"""),"PEREMPUAN")</f>
        <v>PEREMPUAN</v>
      </c>
      <c r="M2306" s="35" t="str">
        <f>IFERROR(__xludf.DUMMYFUNCTION("""COMPUTED_VALUE"""),"JLN RAYA SEKADAU SINTANG RT 03 RW 01")</f>
        <v>JLN RAYA SEKADAU SINTANG RT 03 RW 01</v>
      </c>
      <c r="N2306" s="35" t="str">
        <f>IFERROR(__xludf.DUMMYFUNCTION("""COMPUTED_VALUE"""),"MUNGGUK")</f>
        <v>MUNGGUK</v>
      </c>
      <c r="O2306" s="35" t="str">
        <f>IFERROR(__xludf.DUMMYFUNCTION("""COMPUTED_VALUE"""),"SEKADAU HILIR")</f>
        <v>SEKADAU HILIR</v>
      </c>
      <c r="P2306" s="35" t="str">
        <f>IFERROR(__xludf.DUMMYFUNCTION("""COMPUTED_VALUE"""),"SEKADAU")</f>
        <v>SEKADAU</v>
      </c>
      <c r="Q2306" s="35" t="str">
        <f>IFERROR(__xludf.DUMMYFUNCTION("""COMPUTED_VALUE"""),"KALIMANTAN BARAT")</f>
        <v>KALIMANTAN BARAT</v>
      </c>
      <c r="R2306" s="21" t="str">
        <f>IFERROR(__xludf.DUMMYFUNCTION("""COMPUTED_VALUE"""),"ISLAM")</f>
        <v>ISLAM</v>
      </c>
      <c r="S2306" s="74" t="str">
        <f>IFERROR(__xludf.DUMMYFUNCTION("""COMPUTED_VALUE"""),"PNS")</f>
        <v>PNS</v>
      </c>
      <c r="T2306" s="35" t="str">
        <f>IFERROR(__xludf.DUMMYFUNCTION("""COMPUTED_VALUE"""),"SAKIT PINGGANG")</f>
        <v>SAKIT PINGGANG</v>
      </c>
      <c r="U2306" s="35" t="str">
        <f>IFERROR(__xludf.DUMMYFUNCTION("""COMPUTED_VALUE"""),"PHOTOGRAPHY")</f>
        <v>PHOTOGRAPHY</v>
      </c>
      <c r="V2306" s="37" t="str">
        <f>IFERROR(__xludf.DUMMYFUNCTION("""COMPUTED_VALUE"""),"089661198522")</f>
        <v>089661198522</v>
      </c>
      <c r="W2306" s="45"/>
    </row>
    <row r="2307">
      <c r="A2307" s="45"/>
      <c r="B2307" s="24" t="str">
        <f>IFERROR(__xludf.DUMMYFUNCTION("""COMPUTED_VALUE"""),"15/03/2025 10:33:14")</f>
        <v>15/03/2025 10:33:14</v>
      </c>
      <c r="C2307" s="35"/>
      <c r="D2307" s="10">
        <f>IFERROR(__xludf.DUMMYFUNCTION("""COMPUTED_VALUE"""),45759.0)</f>
        <v>45759</v>
      </c>
      <c r="E2307" s="35" t="str">
        <f>IFERROR(__xludf.DUMMYFUNCTION("""COMPUTED_VALUE"""),"04Apr")</f>
        <v>04Apr</v>
      </c>
      <c r="F2307" s="34" t="str">
        <f>IFERROR(__xludf.DUMMYFUNCTION("""COMPUTED_VALUE"""),"2025")</f>
        <v>2025</v>
      </c>
      <c r="G2307" s="35" t="str">
        <f>IFERROR(__xludf.DUMMYFUNCTION("""COMPUTED_VALUE"""),"ELEAZAR MARPAUNG")</f>
        <v>ELEAZAR MARPAUNG</v>
      </c>
      <c r="H2307" s="35" t="str">
        <f>IFERROR(__xludf.DUMMYFUNCTION("""COMPUTED_VALUE"""),"E0425042106")</f>
        <v>E0425042106</v>
      </c>
      <c r="I2307" s="35">
        <f>IFERROR(__xludf.DUMMYFUNCTION("""COMPUTED_VALUE"""),22.0)</f>
        <v>22</v>
      </c>
      <c r="J2307" s="35" t="str">
        <f>IFERROR(__xludf.DUMMYFUNCTION("""COMPUTED_VALUE"""),"18-24 tahun")</f>
        <v>18-24 tahun</v>
      </c>
      <c r="K2307" s="21" t="str">
        <f>IFERROR(__xludf.DUMMYFUNCTION("""COMPUTED_VALUE"""),"22/02/2004")</f>
        <v>22/02/2004</v>
      </c>
      <c r="L2307" s="21" t="str">
        <f>IFERROR(__xludf.DUMMYFUNCTION("""COMPUTED_VALUE"""),"LAKI-LAKI")</f>
        <v>LAKI-LAKI</v>
      </c>
      <c r="M2307" s="35" t="str">
        <f>IFERROR(__xludf.DUMMYFUNCTION("""COMPUTED_VALUE"""),"JL. CHRISTINA MARTATIAHU NO.179")</f>
        <v>JL. CHRISTINA MARTATIAHU NO.179</v>
      </c>
      <c r="N2307" s="35" t="str">
        <f>IFERROR(__xludf.DUMMYFUNCTION("""COMPUTED_VALUE"""),"TANJUNG HULU")</f>
        <v>TANJUNG HULU</v>
      </c>
      <c r="O2307" s="35" t="str">
        <f>IFERROR(__xludf.DUMMYFUNCTION("""COMPUTED_VALUE"""),"PONTIANAK TIMUR")</f>
        <v>PONTIANAK TIMUR</v>
      </c>
      <c r="P2307" s="35" t="str">
        <f>IFERROR(__xludf.DUMMYFUNCTION("""COMPUTED_VALUE"""),"KOTA PONTIANAK")</f>
        <v>KOTA PONTIANAK</v>
      </c>
      <c r="Q2307" s="35" t="str">
        <f>IFERROR(__xludf.DUMMYFUNCTION("""COMPUTED_VALUE"""),"KALIMANTAN BARAT")</f>
        <v>KALIMANTAN BARAT</v>
      </c>
      <c r="R2307" s="21" t="str">
        <f>IFERROR(__xludf.DUMMYFUNCTION("""COMPUTED_VALUE"""),"PROTESTAN")</f>
        <v>PROTESTAN</v>
      </c>
      <c r="S2307" s="74" t="str">
        <f>IFERROR(__xludf.DUMMYFUNCTION("""COMPUTED_VALUE"""),"PELAJAR")</f>
        <v>PELAJAR</v>
      </c>
      <c r="T2307" s="35" t="str">
        <f>IFERROR(__xludf.DUMMYFUNCTION("""COMPUTED_VALUE"""),"SAKIT DI BAGIAN LUTUT KANAN")</f>
        <v>SAKIT DI BAGIAN LUTUT KANAN</v>
      </c>
      <c r="U2307" s="35" t="str">
        <f>IFERROR(__xludf.DUMMYFUNCTION("""COMPUTED_VALUE"""),"LARI DENGAN BASKET")</f>
        <v>LARI DENGAN BASKET</v>
      </c>
      <c r="V2307" s="37" t="str">
        <f>IFERROR(__xludf.DUMMYFUNCTION("""COMPUTED_VALUE"""),"0895614702106")</f>
        <v>0895614702106</v>
      </c>
      <c r="W2307" s="45"/>
    </row>
    <row r="2308">
      <c r="A2308" s="45"/>
      <c r="B2308" s="24" t="str">
        <f>IFERROR(__xludf.DUMMYFUNCTION("""COMPUTED_VALUE"""),"15/03/2025 13:23:28")</f>
        <v>15/03/2025 13:23:28</v>
      </c>
      <c r="C2308" s="35"/>
      <c r="D2308" s="10">
        <f>IFERROR(__xludf.DUMMYFUNCTION("""COMPUTED_VALUE"""),45759.0)</f>
        <v>45759</v>
      </c>
      <c r="E2308" s="35" t="str">
        <f>IFERROR(__xludf.DUMMYFUNCTION("""COMPUTED_VALUE"""),"04Apr")</f>
        <v>04Apr</v>
      </c>
      <c r="F2308" s="34" t="str">
        <f>IFERROR(__xludf.DUMMYFUNCTION("""COMPUTED_VALUE"""),"2025")</f>
        <v>2025</v>
      </c>
      <c r="G2308" s="35" t="str">
        <f>IFERROR(__xludf.DUMMYFUNCTION("""COMPUTED_VALUE"""),"MUHAMMAD HAVIZ RAMDHANI")</f>
        <v>MUHAMMAD HAVIZ RAMDHANI</v>
      </c>
      <c r="H2308" s="35" t="str">
        <f>IFERROR(__xludf.DUMMYFUNCTION("""COMPUTED_VALUE"""),"M0025049695")</f>
        <v>M0025049695</v>
      </c>
      <c r="I2308" s="35">
        <f>IFERROR(__xludf.DUMMYFUNCTION("""COMPUTED_VALUE"""),25.0)</f>
        <v>25</v>
      </c>
      <c r="J2308" s="35" t="str">
        <f>IFERROR(__xludf.DUMMYFUNCTION("""COMPUTED_VALUE"""),"25-34 tahun")</f>
        <v>25-34 tahun</v>
      </c>
      <c r="K2308" s="21" t="str">
        <f>IFERROR(__xludf.DUMMYFUNCTION("""COMPUTED_VALUE"""),"26/12/2000")</f>
        <v>26/12/2000</v>
      </c>
      <c r="L2308" s="21" t="str">
        <f>IFERROR(__xludf.DUMMYFUNCTION("""COMPUTED_VALUE"""),"LAKI-LAKI")</f>
        <v>LAKI-LAKI</v>
      </c>
      <c r="M2308" s="35" t="str">
        <f>IFERROR(__xludf.DUMMYFUNCTION("""COMPUTED_VALUE"""),"JL. SUNGAI RAYA DALAM, KOMP. SEJAHTERA INDAH NO B 12")</f>
        <v>JL. SUNGAI RAYA DALAM, KOMP. SEJAHTERA INDAH NO B 12</v>
      </c>
      <c r="N2308" s="35" t="str">
        <f>IFERROR(__xludf.DUMMYFUNCTION("""COMPUTED_VALUE"""),"SUNGAI RAYA DALAM")</f>
        <v>SUNGAI RAYA DALAM</v>
      </c>
      <c r="O2308" s="35" t="str">
        <f>IFERROR(__xludf.DUMMYFUNCTION("""COMPUTED_VALUE"""),"SUNGAI RAYA")</f>
        <v>SUNGAI RAYA</v>
      </c>
      <c r="P2308" s="35" t="str">
        <f>IFERROR(__xludf.DUMMYFUNCTION("""COMPUTED_VALUE"""),"KUBU RAYA")</f>
        <v>KUBU RAYA</v>
      </c>
      <c r="Q2308" s="35" t="str">
        <f>IFERROR(__xludf.DUMMYFUNCTION("""COMPUTED_VALUE"""),"KALIMANTAN BARAT")</f>
        <v>KALIMANTAN BARAT</v>
      </c>
      <c r="R2308" s="21" t="str">
        <f>IFERROR(__xludf.DUMMYFUNCTION("""COMPUTED_VALUE"""),"ISLAM")</f>
        <v>ISLAM</v>
      </c>
      <c r="S2308" s="74" t="str">
        <f>IFERROR(__xludf.DUMMYFUNCTION("""COMPUTED_VALUE"""),"PEGAWAI SWASTA")</f>
        <v>PEGAWAI SWASTA</v>
      </c>
      <c r="T2308" s="35" t="str">
        <f>IFERROR(__xludf.DUMMYFUNCTION("""COMPUTED_VALUE"""),"SKOLIOSIS")</f>
        <v>SKOLIOSIS</v>
      </c>
      <c r="U2308" s="35" t="str">
        <f>IFERROR(__xludf.DUMMYFUNCTION("""COMPUTED_VALUE"""),"BEKERJA DI DEPAN KOMPUTER")</f>
        <v>BEKERJA DI DEPAN KOMPUTER</v>
      </c>
      <c r="V2308" s="37" t="str">
        <f>IFERROR(__xludf.DUMMYFUNCTION("""COMPUTED_VALUE"""),"085972579695")</f>
        <v>085972579695</v>
      </c>
      <c r="W2308" s="45"/>
    </row>
    <row r="2309">
      <c r="A2309" s="45"/>
      <c r="B2309" s="24" t="str">
        <f>IFERROR(__xludf.DUMMYFUNCTION("""COMPUTED_VALUE"""),"15/03/2025 14:25:38")</f>
        <v>15/03/2025 14:25:38</v>
      </c>
      <c r="C2309" s="35"/>
      <c r="D2309" s="10">
        <f>IFERROR(__xludf.DUMMYFUNCTION("""COMPUTED_VALUE"""),45760.0)</f>
        <v>45760</v>
      </c>
      <c r="E2309" s="35" t="str">
        <f>IFERROR(__xludf.DUMMYFUNCTION("""COMPUTED_VALUE"""),"04Apr")</f>
        <v>04Apr</v>
      </c>
      <c r="F2309" s="34" t="str">
        <f>IFERROR(__xludf.DUMMYFUNCTION("""COMPUTED_VALUE"""),"2025")</f>
        <v>2025</v>
      </c>
      <c r="G2309" s="35" t="str">
        <f>IFERROR(__xludf.DUMMYFUNCTION("""COMPUTED_VALUE"""),"YUSANTIKA MAULUDINA RIYANTI")</f>
        <v>YUSANTIKA MAULUDINA RIYANTI</v>
      </c>
      <c r="H2309" s="35" t="str">
        <f>IFERROR(__xludf.DUMMYFUNCTION("""COMPUTED_VALUE"""),"Y9825044957")</f>
        <v>Y9825044957</v>
      </c>
      <c r="I2309" s="35">
        <f>IFERROR(__xludf.DUMMYFUNCTION("""COMPUTED_VALUE"""),27.0)</f>
        <v>27</v>
      </c>
      <c r="J2309" s="35" t="str">
        <f>IFERROR(__xludf.DUMMYFUNCTION("""COMPUTED_VALUE"""),"25-34 tahun")</f>
        <v>25-34 tahun</v>
      </c>
      <c r="K2309" s="21" t="str">
        <f>IFERROR(__xludf.DUMMYFUNCTION("""COMPUTED_VALUE"""),"24/06/1998")</f>
        <v>24/06/1998</v>
      </c>
      <c r="L2309" s="21" t="str">
        <f>IFERROR(__xludf.DUMMYFUNCTION("""COMPUTED_VALUE"""),"PEREMPUAN")</f>
        <v>PEREMPUAN</v>
      </c>
      <c r="M2309" s="35" t="str">
        <f>IFERROR(__xludf.DUMMYFUNCTION("""COMPUTED_VALUE"""),"PERUMNAS 1 GG. AMARILIS NO. 1")</f>
        <v>PERUMNAS 1 GG. AMARILIS NO. 1</v>
      </c>
      <c r="N2309" s="35" t="str">
        <f>IFERROR(__xludf.DUMMYFUNCTION("""COMPUTED_VALUE"""),"SUNGAI JAWI LUAR")</f>
        <v>SUNGAI JAWI LUAR</v>
      </c>
      <c r="O2309" s="35" t="str">
        <f>IFERROR(__xludf.DUMMYFUNCTION("""COMPUTED_VALUE"""),"PONTIANAK BARAT")</f>
        <v>PONTIANAK BARAT</v>
      </c>
      <c r="P2309" s="35" t="str">
        <f>IFERROR(__xludf.DUMMYFUNCTION("""COMPUTED_VALUE"""),"KOTA PONTIANAK")</f>
        <v>KOTA PONTIANAK</v>
      </c>
      <c r="Q2309" s="35" t="str">
        <f>IFERROR(__xludf.DUMMYFUNCTION("""COMPUTED_VALUE"""),"KALIMANTAN BARAT")</f>
        <v>KALIMANTAN BARAT</v>
      </c>
      <c r="R2309" s="21" t="str">
        <f>IFERROR(__xludf.DUMMYFUNCTION("""COMPUTED_VALUE"""),"ISLAM")</f>
        <v>ISLAM</v>
      </c>
      <c r="S2309" s="74" t="str">
        <f>IFERROR(__xludf.DUMMYFUNCTION("""COMPUTED_VALUE"""),"BELUM BEKERJA")</f>
        <v>BELUM BEKERJA</v>
      </c>
      <c r="T2309" s="35" t="str">
        <f>IFERROR(__xludf.DUMMYFUNCTION("""COMPUTED_VALUE"""),"TANGAN TIDAK BISA D ANGKAT KESELEO HABIS JATUH")</f>
        <v>TANGAN TIDAK BISA D ANGKAT KESELEO HABIS JATUH</v>
      </c>
      <c r="U2309" s="35" t="str">
        <f>IFERROR(__xludf.DUMMYFUNCTION("""COMPUTED_VALUE"""),"TIDAK ADA")</f>
        <v>TIDAK ADA</v>
      </c>
      <c r="V2309" s="37" t="str">
        <f>IFERROR(__xludf.DUMMYFUNCTION("""COMPUTED_VALUE"""),"081953994957")</f>
        <v>081953994957</v>
      </c>
      <c r="W2309" s="45"/>
    </row>
    <row r="2310">
      <c r="A2310" s="45"/>
      <c r="B2310" s="24" t="str">
        <f>IFERROR(__xludf.DUMMYFUNCTION("""COMPUTED_VALUE"""),"15/03/2025 14:47:07")</f>
        <v>15/03/2025 14:47:07</v>
      </c>
      <c r="C2310" s="35"/>
      <c r="D2310" s="10">
        <f>IFERROR(__xludf.DUMMYFUNCTION("""COMPUTED_VALUE"""),45760.0)</f>
        <v>45760</v>
      </c>
      <c r="E2310" s="35" t="str">
        <f>IFERROR(__xludf.DUMMYFUNCTION("""COMPUTED_VALUE"""),"04Apr")</f>
        <v>04Apr</v>
      </c>
      <c r="F2310" s="34" t="str">
        <f>IFERROR(__xludf.DUMMYFUNCTION("""COMPUTED_VALUE"""),"2025")</f>
        <v>2025</v>
      </c>
      <c r="G2310" s="35" t="str">
        <f>IFERROR(__xludf.DUMMYFUNCTION("""COMPUTED_VALUE"""),"SYARIF BAHARI")</f>
        <v>SYARIF BAHARI</v>
      </c>
      <c r="H2310" s="35" t="str">
        <f>IFERROR(__xludf.DUMMYFUNCTION("""COMPUTED_VALUE"""),"S9225041553")</f>
        <v>S9225041553</v>
      </c>
      <c r="I2310" s="35">
        <f>IFERROR(__xludf.DUMMYFUNCTION("""COMPUTED_VALUE"""),33.0)</f>
        <v>33</v>
      </c>
      <c r="J2310" s="35" t="str">
        <f>IFERROR(__xludf.DUMMYFUNCTION("""COMPUTED_VALUE"""),"25-34 tahun")</f>
        <v>25-34 tahun</v>
      </c>
      <c r="K2310" s="21" t="str">
        <f>IFERROR(__xludf.DUMMYFUNCTION("""COMPUTED_VALUE"""),"29/08/1992")</f>
        <v>29/08/1992</v>
      </c>
      <c r="L2310" s="21" t="str">
        <f>IFERROR(__xludf.DUMMYFUNCTION("""COMPUTED_VALUE"""),"LAKI-LAKI")</f>
        <v>LAKI-LAKI</v>
      </c>
      <c r="M2310" s="35" t="str">
        <f>IFERROR(__xludf.DUMMYFUNCTION("""COMPUTED_VALUE"""),"JL.ADI SUCIPTO GG.BELITUNG 1")</f>
        <v>JL.ADI SUCIPTO GG.BELITUNG 1</v>
      </c>
      <c r="N2310" s="35" t="str">
        <f>IFERROR(__xludf.DUMMYFUNCTION("""COMPUTED_VALUE"""),"BANGKA BELITUNG LAUT")</f>
        <v>BANGKA BELITUNG LAUT</v>
      </c>
      <c r="O2310" s="35" t="str">
        <f>IFERROR(__xludf.DUMMYFUNCTION("""COMPUTED_VALUE"""),"PONTIANAK TENGGARA")</f>
        <v>PONTIANAK TENGGARA</v>
      </c>
      <c r="P2310" s="35" t="str">
        <f>IFERROR(__xludf.DUMMYFUNCTION("""COMPUTED_VALUE"""),"KOTA PONTIANAK")</f>
        <v>KOTA PONTIANAK</v>
      </c>
      <c r="Q2310" s="35" t="str">
        <f>IFERROR(__xludf.DUMMYFUNCTION("""COMPUTED_VALUE"""),"KALIMANTAN BARAT")</f>
        <v>KALIMANTAN BARAT</v>
      </c>
      <c r="R2310" s="21" t="str">
        <f>IFERROR(__xludf.DUMMYFUNCTION("""COMPUTED_VALUE"""),"ISLAM")</f>
        <v>ISLAM</v>
      </c>
      <c r="S2310" s="74" t="str">
        <f>IFERROR(__xludf.DUMMYFUNCTION("""COMPUTED_VALUE"""),"SWASTA")</f>
        <v>SWASTA</v>
      </c>
      <c r="T2310" s="35" t="str">
        <f>IFERROR(__xludf.DUMMYFUNCTION("""COMPUTED_VALUE"""),"KURANG TINGGI BADAN")</f>
        <v>KURANG TINGGI BADAN</v>
      </c>
      <c r="U2310" s="35" t="str">
        <f>IFERROR(__xludf.DUMMYFUNCTION("""COMPUTED_VALUE"""),"MAIN BOLA")</f>
        <v>MAIN BOLA</v>
      </c>
      <c r="V2310" s="37" t="str">
        <f>IFERROR(__xludf.DUMMYFUNCTION("""COMPUTED_VALUE"""),"081214141553")</f>
        <v>081214141553</v>
      </c>
      <c r="W2310" s="45"/>
    </row>
    <row r="2311">
      <c r="A2311" s="45"/>
      <c r="B2311" s="24" t="str">
        <f>IFERROR(__xludf.DUMMYFUNCTION("""COMPUTED_VALUE"""),"15/03/2025 20:26:08")</f>
        <v>15/03/2025 20:26:08</v>
      </c>
      <c r="C2311" s="35"/>
      <c r="D2311" s="10">
        <f>IFERROR(__xludf.DUMMYFUNCTION("""COMPUTED_VALUE"""),45760.0)</f>
        <v>45760</v>
      </c>
      <c r="E2311" s="35" t="str">
        <f>IFERROR(__xludf.DUMMYFUNCTION("""COMPUTED_VALUE"""),"04Apr")</f>
        <v>04Apr</v>
      </c>
      <c r="F2311" s="34" t="str">
        <f>IFERROR(__xludf.DUMMYFUNCTION("""COMPUTED_VALUE"""),"2025")</f>
        <v>2025</v>
      </c>
      <c r="G2311" s="35" t="str">
        <f>IFERROR(__xludf.DUMMYFUNCTION("""COMPUTED_VALUE"""),"NOVI SISILIA PINA")</f>
        <v>NOVI SISILIA PINA</v>
      </c>
      <c r="H2311" s="35" t="str">
        <f>IFERROR(__xludf.DUMMYFUNCTION("""COMPUTED_VALUE"""),"N9325049928")</f>
        <v>N9325049928</v>
      </c>
      <c r="I2311" s="35">
        <f>IFERROR(__xludf.DUMMYFUNCTION("""COMPUTED_VALUE"""),32.0)</f>
        <v>32</v>
      </c>
      <c r="J2311" s="35" t="str">
        <f>IFERROR(__xludf.DUMMYFUNCTION("""COMPUTED_VALUE"""),"25-34 tahun")</f>
        <v>25-34 tahun</v>
      </c>
      <c r="K2311" s="21" t="str">
        <f>IFERROR(__xludf.DUMMYFUNCTION("""COMPUTED_VALUE"""),"13/11/1993")</f>
        <v>13/11/1993</v>
      </c>
      <c r="L2311" s="21" t="str">
        <f>IFERROR(__xludf.DUMMYFUNCTION("""COMPUTED_VALUE"""),"PEREMPUAN")</f>
        <v>PEREMPUAN</v>
      </c>
      <c r="M2311" s="35" t="str">
        <f>IFERROR(__xludf.DUMMYFUNCTION("""COMPUTED_VALUE"""),"JL KARET KOMP KARTIKA INDAH NO B5")</f>
        <v>JL KARET KOMP KARTIKA INDAH NO B5</v>
      </c>
      <c r="N2311" s="35" t="str">
        <f>IFERROR(__xludf.DUMMYFUNCTION("""COMPUTED_VALUE"""),"SUNGAI BELIUNG")</f>
        <v>SUNGAI BELIUNG</v>
      </c>
      <c r="O2311" s="35" t="str">
        <f>IFERROR(__xludf.DUMMYFUNCTION("""COMPUTED_VALUE"""),"PONTIANAK BARAT")</f>
        <v>PONTIANAK BARAT</v>
      </c>
      <c r="P2311" s="35" t="str">
        <f>IFERROR(__xludf.DUMMYFUNCTION("""COMPUTED_VALUE"""),"KOTA PONTIANAK")</f>
        <v>KOTA PONTIANAK</v>
      </c>
      <c r="Q2311" s="35" t="str">
        <f>IFERROR(__xludf.DUMMYFUNCTION("""COMPUTED_VALUE"""),"KALIMANTAM BARAT")</f>
        <v>KALIMANTAM BARAT</v>
      </c>
      <c r="R2311" s="21" t="str">
        <f>IFERROR(__xludf.DUMMYFUNCTION("""COMPUTED_VALUE"""),"PROTESTAN")</f>
        <v>PROTESTAN</v>
      </c>
      <c r="S2311" s="74" t="str">
        <f>IFERROR(__xludf.DUMMYFUNCTION("""COMPUTED_VALUE"""),"IBU RUMAH TANGGA")</f>
        <v>IBU RUMAH TANGGA</v>
      </c>
      <c r="T2311" s="35" t="str">
        <f>IFERROR(__xludf.DUMMYFUNCTION("""COMPUTED_VALUE"""),"NYERI DITANGAN KANAN YG TERUS MENERUS")</f>
        <v>NYERI DITANGAN KANAN YG TERUS MENERUS</v>
      </c>
      <c r="U2311" s="35" t="str">
        <f>IFERROR(__xludf.DUMMYFUNCTION("""COMPUTED_VALUE"""),"MENGENDONG ANAK")</f>
        <v>MENGENDONG ANAK</v>
      </c>
      <c r="V2311" s="37" t="str">
        <f>IFERROR(__xludf.DUMMYFUNCTION("""COMPUTED_VALUE"""),"081345689928")</f>
        <v>081345689928</v>
      </c>
      <c r="W2311" s="45"/>
    </row>
    <row r="2312">
      <c r="A2312" s="45"/>
      <c r="B2312" s="24" t="str">
        <f>IFERROR(__xludf.DUMMYFUNCTION("""COMPUTED_VALUE"""),"16/03/2025 12:12:00")</f>
        <v>16/03/2025 12:12:00</v>
      </c>
      <c r="C2312" s="35"/>
      <c r="D2312" s="10">
        <f>IFERROR(__xludf.DUMMYFUNCTION("""COMPUTED_VALUE"""),45760.0)</f>
        <v>45760</v>
      </c>
      <c r="E2312" s="35" t="str">
        <f>IFERROR(__xludf.DUMMYFUNCTION("""COMPUTED_VALUE"""),"04Apr")</f>
        <v>04Apr</v>
      </c>
      <c r="F2312" s="34" t="str">
        <f>IFERROR(__xludf.DUMMYFUNCTION("""COMPUTED_VALUE"""),"2025")</f>
        <v>2025</v>
      </c>
      <c r="G2312" s="35" t="str">
        <f>IFERROR(__xludf.DUMMYFUNCTION("""COMPUTED_VALUE"""),"ELKJAER")</f>
        <v>ELKJAER</v>
      </c>
      <c r="H2312" s="35" t="str">
        <f>IFERROR(__xludf.DUMMYFUNCTION("""COMPUTED_VALUE"""),"E2525044910")</f>
        <v>E2525044910</v>
      </c>
      <c r="I2312" s="35">
        <f>IFERROR(__xludf.DUMMYFUNCTION("""COMPUTED_VALUE"""),1.0)</f>
        <v>1</v>
      </c>
      <c r="J2312" s="35" t="str">
        <f>IFERROR(__xludf.DUMMYFUNCTION("""COMPUTED_VALUE"""),"&lt; 18 tahun")</f>
        <v>&lt; 18 tahun</v>
      </c>
      <c r="K2312" s="21" t="str">
        <f>IFERROR(__xludf.DUMMYFUNCTION("""COMPUTED_VALUE"""),"13/04/2025")</f>
        <v>13/04/2025</v>
      </c>
      <c r="L2312" s="21" t="str">
        <f>IFERROR(__xludf.DUMMYFUNCTION("""COMPUTED_VALUE"""),"LAKI-LAKI")</f>
        <v>LAKI-LAKI</v>
      </c>
      <c r="M2312" s="35" t="str">
        <f>IFERROR(__xludf.DUMMYFUNCTION("""COMPUTED_VALUE"""),"JL. H. SAMANHUDI NO 23")</f>
        <v>JL. H. SAMANHUDI NO 23</v>
      </c>
      <c r="N2312" s="35" t="str">
        <f>IFERROR(__xludf.DUMMYFUNCTION("""COMPUTED_VALUE"""),"KAUMAN")</f>
        <v>KAUMAN</v>
      </c>
      <c r="O2312" s="35" t="str">
        <f>IFERROR(__xludf.DUMMYFUNCTION("""COMPUTED_VALUE"""),"BENUA KAYONG")</f>
        <v>BENUA KAYONG</v>
      </c>
      <c r="P2312" s="35" t="str">
        <f>IFERROR(__xludf.DUMMYFUNCTION("""COMPUTED_VALUE"""),"KETAPANG")</f>
        <v>KETAPANG</v>
      </c>
      <c r="Q2312" s="35" t="str">
        <f>IFERROR(__xludf.DUMMYFUNCTION("""COMPUTED_VALUE"""),"KALIMANTAN BARAT")</f>
        <v>KALIMANTAN BARAT</v>
      </c>
      <c r="R2312" s="21" t="str">
        <f>IFERROR(__xludf.DUMMYFUNCTION("""COMPUTED_VALUE"""),"ISLAM")</f>
        <v>ISLAM</v>
      </c>
      <c r="S2312" s="74" t="str">
        <f>IFERROR(__xludf.DUMMYFUNCTION("""COMPUTED_VALUE"""),"ASN")</f>
        <v>ASN</v>
      </c>
      <c r="T2312" s="35" t="str">
        <f>IFERROR(__xludf.DUMMYFUNCTION("""COMPUTED_VALUE"""),"ANKLE KAKI KANAN SAKIT SAAT SHOOTING BOLA")</f>
        <v>ANKLE KAKI KANAN SAKIT SAAT SHOOTING BOLA</v>
      </c>
      <c r="U2312" s="35" t="str">
        <f>IFERROR(__xludf.DUMMYFUNCTION("""COMPUTED_VALUE"""),"BERMAIN FUTSAL DAN SEPAK BOLA")</f>
        <v>BERMAIN FUTSAL DAN SEPAK BOLA</v>
      </c>
      <c r="V2312" s="37" t="str">
        <f>IFERROR(__xludf.DUMMYFUNCTION("""COMPUTED_VALUE"""),"085245564910")</f>
        <v>085245564910</v>
      </c>
      <c r="W2312" s="45"/>
    </row>
    <row r="2313">
      <c r="A2313" s="45"/>
      <c r="B2313" s="24" t="str">
        <f>IFERROR(__xludf.DUMMYFUNCTION("""COMPUTED_VALUE"""),"16/03/2025 14:04:41")</f>
        <v>16/03/2025 14:04:41</v>
      </c>
      <c r="C2313" s="35"/>
      <c r="D2313" s="10">
        <f>IFERROR(__xludf.DUMMYFUNCTION("""COMPUTED_VALUE"""),45760.0)</f>
        <v>45760</v>
      </c>
      <c r="E2313" s="35" t="str">
        <f>IFERROR(__xludf.DUMMYFUNCTION("""COMPUTED_VALUE"""),"04Apr")</f>
        <v>04Apr</v>
      </c>
      <c r="F2313" s="34" t="str">
        <f>IFERROR(__xludf.DUMMYFUNCTION("""COMPUTED_VALUE"""),"2025")</f>
        <v>2025</v>
      </c>
      <c r="G2313" s="35" t="str">
        <f>IFERROR(__xludf.DUMMYFUNCTION("""COMPUTED_VALUE"""),"SY. AHMAD ZEIN")</f>
        <v>SY. AHMAD ZEIN</v>
      </c>
      <c r="H2313" s="35" t="str">
        <f>IFERROR(__xludf.DUMMYFUNCTION("""COMPUTED_VALUE"""),"S7325047610")</f>
        <v>S7325047610</v>
      </c>
      <c r="I2313" s="35">
        <f>IFERROR(__xludf.DUMMYFUNCTION("""COMPUTED_VALUE"""),52.0)</f>
        <v>52</v>
      </c>
      <c r="J2313" s="35" t="str">
        <f>IFERROR(__xludf.DUMMYFUNCTION("""COMPUTED_VALUE"""),"&gt; 44 tahun")</f>
        <v>&gt; 44 tahun</v>
      </c>
      <c r="K2313" s="21" t="str">
        <f>IFERROR(__xludf.DUMMYFUNCTION("""COMPUTED_VALUE"""),"11/12/1973")</f>
        <v>11/12/1973</v>
      </c>
      <c r="L2313" s="21" t="str">
        <f>IFERROR(__xludf.DUMMYFUNCTION("""COMPUTED_VALUE"""),"LAKI-LAKI")</f>
        <v>LAKI-LAKI</v>
      </c>
      <c r="M2313" s="35" t="str">
        <f>IFERROR(__xludf.DUMMYFUNCTION("""COMPUTED_VALUE"""),"JL. YA'M SABRAN")</f>
        <v>JL. YA'M SABRAN</v>
      </c>
      <c r="N2313" s="35" t="str">
        <f>IFERROR(__xludf.DUMMYFUNCTION("""COMPUTED_VALUE"""),"KEL. PARIT MAYOR")</f>
        <v>KEL. PARIT MAYOR</v>
      </c>
      <c r="O2313" s="35" t="str">
        <f>IFERROR(__xludf.DUMMYFUNCTION("""COMPUTED_VALUE"""),"PONTIANAK TIMUR")</f>
        <v>PONTIANAK TIMUR</v>
      </c>
      <c r="P2313" s="35" t="str">
        <f>IFERROR(__xludf.DUMMYFUNCTION("""COMPUTED_VALUE"""),"KOTA PONTIANAK")</f>
        <v>KOTA PONTIANAK</v>
      </c>
      <c r="Q2313" s="35" t="str">
        <f>IFERROR(__xludf.DUMMYFUNCTION("""COMPUTED_VALUE"""),"KALIMANTAN BARAT")</f>
        <v>KALIMANTAN BARAT</v>
      </c>
      <c r="R2313" s="21" t="str">
        <f>IFERROR(__xludf.DUMMYFUNCTION("""COMPUTED_VALUE"""),"ISLAM")</f>
        <v>ISLAM</v>
      </c>
      <c r="S2313" s="74" t="str">
        <f>IFERROR(__xludf.DUMMYFUNCTION("""COMPUTED_VALUE"""),"SWASTA")</f>
        <v>SWASTA</v>
      </c>
      <c r="T2313" s="35" t="str">
        <f>IFERROR(__xludf.DUMMYFUNCTION("""COMPUTED_VALUE"""),"TANGAN KESEMUTAN")</f>
        <v>TANGAN KESEMUTAN</v>
      </c>
      <c r="U2313" s="35" t="str">
        <f>IFERROR(__xludf.DUMMYFUNCTION("""COMPUTED_VALUE"""),"KERJA")</f>
        <v>KERJA</v>
      </c>
      <c r="V2313" s="37" t="str">
        <f>IFERROR(__xludf.DUMMYFUNCTION("""COMPUTED_VALUE"""),"081350107610")</f>
        <v>081350107610</v>
      </c>
      <c r="W2313" s="45"/>
    </row>
    <row r="2314">
      <c r="A2314" s="45"/>
      <c r="B2314" s="24" t="str">
        <f>IFERROR(__xludf.DUMMYFUNCTION("""COMPUTED_VALUE"""),"16/03/2025 21:59:18")</f>
        <v>16/03/2025 21:59:18</v>
      </c>
      <c r="C2314" s="35"/>
      <c r="D2314" s="10">
        <f>IFERROR(__xludf.DUMMYFUNCTION("""COMPUTED_VALUE"""),45760.0)</f>
        <v>45760</v>
      </c>
      <c r="E2314" s="35" t="str">
        <f>IFERROR(__xludf.DUMMYFUNCTION("""COMPUTED_VALUE"""),"04Apr")</f>
        <v>04Apr</v>
      </c>
      <c r="F2314" s="34" t="str">
        <f>IFERROR(__xludf.DUMMYFUNCTION("""COMPUTED_VALUE"""),"2025")</f>
        <v>2025</v>
      </c>
      <c r="G2314" s="35" t="str">
        <f>IFERROR(__xludf.DUMMYFUNCTION("""COMPUTED_VALUE"""),"LIM BUN LIANG")</f>
        <v>LIM BUN LIANG</v>
      </c>
      <c r="H2314" s="35" t="str">
        <f>IFERROR(__xludf.DUMMYFUNCTION("""COMPUTED_VALUE"""),"L5725044448")</f>
        <v>L5725044448</v>
      </c>
      <c r="I2314" s="35">
        <f>IFERROR(__xludf.DUMMYFUNCTION("""COMPUTED_VALUE"""),68.0)</f>
        <v>68</v>
      </c>
      <c r="J2314" s="35" t="str">
        <f>IFERROR(__xludf.DUMMYFUNCTION("""COMPUTED_VALUE"""),"&gt; 44 tahun")</f>
        <v>&gt; 44 tahun</v>
      </c>
      <c r="K2314" s="21" t="str">
        <f>IFERROR(__xludf.DUMMYFUNCTION("""COMPUTED_VALUE"""),"07/07/1957")</f>
        <v>07/07/1957</v>
      </c>
      <c r="L2314" s="21" t="str">
        <f>IFERROR(__xludf.DUMMYFUNCTION("""COMPUTED_VALUE"""),"LAKI-LAKI")</f>
        <v>LAKI-LAKI</v>
      </c>
      <c r="M2314" s="35" t="str">
        <f>IFERROR(__xludf.DUMMYFUNCTION("""COMPUTED_VALUE"""),"PONTIANAK")</f>
        <v>PONTIANAK</v>
      </c>
      <c r="N2314" s="35" t="str">
        <f>IFERROR(__xludf.DUMMYFUNCTION("""COMPUTED_VALUE"""),"PONTIANAK")</f>
        <v>PONTIANAK</v>
      </c>
      <c r="O2314" s="35" t="str">
        <f>IFERROR(__xludf.DUMMYFUNCTION("""COMPUTED_VALUE"""),"PONTIANAK")</f>
        <v>PONTIANAK</v>
      </c>
      <c r="P2314" s="35" t="str">
        <f>IFERROR(__xludf.DUMMYFUNCTION("""COMPUTED_VALUE"""),"KOTA PONTIANAK")</f>
        <v>KOTA PONTIANAK</v>
      </c>
      <c r="Q2314" s="35" t="str">
        <f>IFERROR(__xludf.DUMMYFUNCTION("""COMPUTED_VALUE"""),"KALIMANTAN BARAT")</f>
        <v>KALIMANTAN BARAT</v>
      </c>
      <c r="R2314" s="21" t="str">
        <f>IFERROR(__xludf.DUMMYFUNCTION("""COMPUTED_VALUE"""),"BUDDHA")</f>
        <v>BUDDHA</v>
      </c>
      <c r="S2314" s="74" t="str">
        <f>IFERROR(__xludf.DUMMYFUNCTION("""COMPUTED_VALUE"""),"WIRASWASTA")</f>
        <v>WIRASWASTA</v>
      </c>
      <c r="T2314" s="35" t="str">
        <f>IFERROR(__xludf.DUMMYFUNCTION("""COMPUTED_VALUE"""),"-")</f>
        <v>-</v>
      </c>
      <c r="U2314" s="35" t="str">
        <f>IFERROR(__xludf.DUMMYFUNCTION("""COMPUTED_VALUE"""),"-")</f>
        <v>-</v>
      </c>
      <c r="V2314" s="37" t="str">
        <f>IFERROR(__xludf.DUMMYFUNCTION("""COMPUTED_VALUE"""),"082111844448")</f>
        <v>082111844448</v>
      </c>
      <c r="W2314" s="45"/>
    </row>
    <row r="2315">
      <c r="A2315" s="45"/>
      <c r="B2315" s="24" t="str">
        <f>IFERROR(__xludf.DUMMYFUNCTION("""COMPUTED_VALUE"""),"18/03/2025 10:36:09")</f>
        <v>18/03/2025 10:36:09</v>
      </c>
      <c r="C2315" s="35"/>
      <c r="D2315" s="10">
        <f>IFERROR(__xludf.DUMMYFUNCTION("""COMPUTED_VALUE"""),45761.0)</f>
        <v>45761</v>
      </c>
      <c r="E2315" s="35" t="str">
        <f>IFERROR(__xludf.DUMMYFUNCTION("""COMPUTED_VALUE"""),"04Apr")</f>
        <v>04Apr</v>
      </c>
      <c r="F2315" s="34" t="str">
        <f>IFERROR(__xludf.DUMMYFUNCTION("""COMPUTED_VALUE"""),"2025")</f>
        <v>2025</v>
      </c>
      <c r="G2315" s="35" t="str">
        <f>IFERROR(__xludf.DUMMYFUNCTION("""COMPUTED_VALUE"""),"DESY MARITA")</f>
        <v>DESY MARITA</v>
      </c>
      <c r="H2315" s="35" t="str">
        <f>IFERROR(__xludf.DUMMYFUNCTION("""COMPUTED_VALUE"""),"D8025043130")</f>
        <v>D8025043130</v>
      </c>
      <c r="I2315" s="35">
        <f>IFERROR(__xludf.DUMMYFUNCTION("""COMPUTED_VALUE"""),45.0)</f>
        <v>45</v>
      </c>
      <c r="J2315" s="35" t="str">
        <f>IFERROR(__xludf.DUMMYFUNCTION("""COMPUTED_VALUE"""),"&gt; 44 tahun")</f>
        <v>&gt; 44 tahun</v>
      </c>
      <c r="K2315" s="21" t="str">
        <f>IFERROR(__xludf.DUMMYFUNCTION("""COMPUTED_VALUE"""),"05/12/1980")</f>
        <v>05/12/1980</v>
      </c>
      <c r="L2315" s="21" t="str">
        <f>IFERROR(__xludf.DUMMYFUNCTION("""COMPUTED_VALUE"""),"PEREMPUAN")</f>
        <v>PEREMPUAN</v>
      </c>
      <c r="M2315" s="35" t="str">
        <f>IFERROR(__xludf.DUMMYFUNCTION("""COMPUTED_VALUE"""),"JL. PURNAMA II GG. PURNA ARANI RT. 004 RW . 011")</f>
        <v>JL. PURNAMA II GG. PURNA ARANI RT. 004 RW . 011</v>
      </c>
      <c r="N2315" s="35" t="str">
        <f>IFERROR(__xludf.DUMMYFUNCTION("""COMPUTED_VALUE"""),"KOTA BARU")</f>
        <v>KOTA BARU</v>
      </c>
      <c r="O2315" s="35" t="str">
        <f>IFERROR(__xludf.DUMMYFUNCTION("""COMPUTED_VALUE"""),"PONTIANAK SELATAN")</f>
        <v>PONTIANAK SELATAN</v>
      </c>
      <c r="P2315" s="35" t="str">
        <f>IFERROR(__xludf.DUMMYFUNCTION("""COMPUTED_VALUE"""),"KOTA PONTIANAK")</f>
        <v>KOTA PONTIANAK</v>
      </c>
      <c r="Q2315" s="35" t="str">
        <f>IFERROR(__xludf.DUMMYFUNCTION("""COMPUTED_VALUE"""),"KALIMANTAN BARAT")</f>
        <v>KALIMANTAN BARAT</v>
      </c>
      <c r="R2315" s="21" t="str">
        <f>IFERROR(__xludf.DUMMYFUNCTION("""COMPUTED_VALUE"""),"ISLAM")</f>
        <v>ISLAM</v>
      </c>
      <c r="S2315" s="74" t="str">
        <f>IFERROR(__xludf.DUMMYFUNCTION("""COMPUTED_VALUE"""),"PNS")</f>
        <v>PNS</v>
      </c>
      <c r="T2315" s="35" t="str">
        <f>IFERROR(__xludf.DUMMYFUNCTION("""COMPUTED_VALUE"""),"NYERI DITULANG EKOR KARENA TERPELESET DAN JATUH TERDU")</f>
        <v>NYERI DITULANG EKOR KARENA TERPELESET DAN JATUH TERDU</v>
      </c>
      <c r="U2315" s="35" t="str">
        <f>IFERROR(__xludf.DUMMYFUNCTION("""COMPUTED_VALUE"""),"TIDAK ADA")</f>
        <v>TIDAK ADA</v>
      </c>
      <c r="V2315" s="37" t="str">
        <f>IFERROR(__xludf.DUMMYFUNCTION("""COMPUTED_VALUE"""),"081345103130")</f>
        <v>081345103130</v>
      </c>
      <c r="W2315" s="45"/>
    </row>
    <row r="2316">
      <c r="A2316" s="45"/>
      <c r="B2316" s="24" t="str">
        <f>IFERROR(__xludf.DUMMYFUNCTION("""COMPUTED_VALUE"""),"18/03/2025 12:12:54")</f>
        <v>18/03/2025 12:12:54</v>
      </c>
      <c r="C2316" s="35"/>
      <c r="D2316" s="10">
        <f>IFERROR(__xludf.DUMMYFUNCTION("""COMPUTED_VALUE"""),45761.0)</f>
        <v>45761</v>
      </c>
      <c r="E2316" s="35" t="str">
        <f>IFERROR(__xludf.DUMMYFUNCTION("""COMPUTED_VALUE"""),"04Apr")</f>
        <v>04Apr</v>
      </c>
      <c r="F2316" s="34" t="str">
        <f>IFERROR(__xludf.DUMMYFUNCTION("""COMPUTED_VALUE"""),"2025")</f>
        <v>2025</v>
      </c>
      <c r="G2316" s="35" t="str">
        <f>IFERROR(__xludf.DUMMYFUNCTION("""COMPUTED_VALUE"""),"RADINDA FARIDZYA FITRIYANTO")</f>
        <v>RADINDA FARIDZYA FITRIYANTO</v>
      </c>
      <c r="H2316" s="35" t="str">
        <f>IFERROR(__xludf.DUMMYFUNCTION("""COMPUTED_VALUE"""),"R0125045992")</f>
        <v>R0125045992</v>
      </c>
      <c r="I2316" s="35">
        <f>IFERROR(__xludf.DUMMYFUNCTION("""COMPUTED_VALUE"""),25.0)</f>
        <v>25</v>
      </c>
      <c r="J2316" s="35" t="str">
        <f>IFERROR(__xludf.DUMMYFUNCTION("""COMPUTED_VALUE"""),"25-34 tahun")</f>
        <v>25-34 tahun</v>
      </c>
      <c r="K2316" s="21" t="str">
        <f>IFERROR(__xludf.DUMMYFUNCTION("""COMPUTED_VALUE"""),"28/03/2001")</f>
        <v>28/03/2001</v>
      </c>
      <c r="L2316" s="21" t="str">
        <f>IFERROR(__xludf.DUMMYFUNCTION("""COMPUTED_VALUE"""),"PEREMPUAN")</f>
        <v>PEREMPUAN</v>
      </c>
      <c r="M2316" s="35" t="str">
        <f>IFERROR(__xludf.DUMMYFUNCTION("""COMPUTED_VALUE"""),"JL. ALIANYANG GANG HASAN YUSUF NO 3")</f>
        <v>JL. ALIANYANG GANG HASAN YUSUF NO 3</v>
      </c>
      <c r="N2316" s="35" t="str">
        <f>IFERROR(__xludf.DUMMYFUNCTION("""COMPUTED_VALUE"""),"SUNGAI BANGKONG")</f>
        <v>SUNGAI BANGKONG</v>
      </c>
      <c r="O2316" s="35" t="str">
        <f>IFERROR(__xludf.DUMMYFUNCTION("""COMPUTED_VALUE"""),"PONTIANAK KOTA")</f>
        <v>PONTIANAK KOTA</v>
      </c>
      <c r="P2316" s="35" t="str">
        <f>IFERROR(__xludf.DUMMYFUNCTION("""COMPUTED_VALUE"""),"KOTA PONTIANAK")</f>
        <v>KOTA PONTIANAK</v>
      </c>
      <c r="Q2316" s="35" t="str">
        <f>IFERROR(__xludf.DUMMYFUNCTION("""COMPUTED_VALUE"""),"KALIMANTAN BARAT")</f>
        <v>KALIMANTAN BARAT</v>
      </c>
      <c r="R2316" s="21" t="str">
        <f>IFERROR(__xludf.DUMMYFUNCTION("""COMPUTED_VALUE"""),"ISLAM")</f>
        <v>ISLAM</v>
      </c>
      <c r="S2316" s="74" t="str">
        <f>IFERROR(__xludf.DUMMYFUNCTION("""COMPUTED_VALUE"""),"-")</f>
        <v>-</v>
      </c>
      <c r="T2316" s="35" t="str">
        <f>IFERROR(__xludf.DUMMYFUNCTION("""COMPUTED_VALUE"""),"SKOLIOSIS")</f>
        <v>SKOLIOSIS</v>
      </c>
      <c r="U2316" s="35" t="str">
        <f>IFERROR(__xludf.DUMMYFUNCTION("""COMPUTED_VALUE"""),"PEKERJAAN")</f>
        <v>PEKERJAAN</v>
      </c>
      <c r="V2316" s="37" t="str">
        <f>IFERROR(__xludf.DUMMYFUNCTION("""COMPUTED_VALUE"""),"08115705992")</f>
        <v>08115705992</v>
      </c>
      <c r="W2316" s="45"/>
    </row>
    <row r="2317">
      <c r="A2317" s="45"/>
      <c r="B2317" s="24" t="str">
        <f>IFERROR(__xludf.DUMMYFUNCTION("""COMPUTED_VALUE"""),"18/03/2025 13:52:13")</f>
        <v>18/03/2025 13:52:13</v>
      </c>
      <c r="C2317" s="35"/>
      <c r="D2317" s="10">
        <f>IFERROR(__xludf.DUMMYFUNCTION("""COMPUTED_VALUE"""),45761.0)</f>
        <v>45761</v>
      </c>
      <c r="E2317" s="35" t="str">
        <f>IFERROR(__xludf.DUMMYFUNCTION("""COMPUTED_VALUE"""),"04Apr")</f>
        <v>04Apr</v>
      </c>
      <c r="F2317" s="34" t="str">
        <f>IFERROR(__xludf.DUMMYFUNCTION("""COMPUTED_VALUE"""),"2025")</f>
        <v>2025</v>
      </c>
      <c r="G2317" s="35" t="str">
        <f>IFERROR(__xludf.DUMMYFUNCTION("""COMPUTED_VALUE"""),"MEISYA FITRI")</f>
        <v>MEISYA FITRI</v>
      </c>
      <c r="H2317" s="35" t="str">
        <f>IFERROR(__xludf.DUMMYFUNCTION("""COMPUTED_VALUE"""),"M8925040551")</f>
        <v>M8925040551</v>
      </c>
      <c r="I2317" s="35">
        <f>IFERROR(__xludf.DUMMYFUNCTION("""COMPUTED_VALUE"""),37.0)</f>
        <v>37</v>
      </c>
      <c r="J2317" s="35" t="str">
        <f>IFERROR(__xludf.DUMMYFUNCTION("""COMPUTED_VALUE"""),"35-44 tahun")</f>
        <v>35-44 tahun</v>
      </c>
      <c r="K2317" s="21" t="str">
        <f>IFERROR(__xludf.DUMMYFUNCTION("""COMPUTED_VALUE"""),"09/05/1989")</f>
        <v>09/05/1989</v>
      </c>
      <c r="L2317" s="21" t="str">
        <f>IFERROR(__xludf.DUMMYFUNCTION("""COMPUTED_VALUE"""),"PEREMPUAN")</f>
        <v>PEREMPUAN</v>
      </c>
      <c r="M2317" s="35" t="str">
        <f>IFERROR(__xludf.DUMMYFUNCTION("""COMPUTED_VALUE"""),"JALAN UMUT THALIB BLOK L1 NO 6")</f>
        <v>JALAN UMUT THALIB BLOK L1 NO 6</v>
      </c>
      <c r="N2317" s="35" t="str">
        <f>IFERROR(__xludf.DUMMYFUNCTION("""COMPUTED_VALUE"""),"SEIJAWI LUAR")</f>
        <v>SEIJAWI LUAR</v>
      </c>
      <c r="O2317" s="35" t="str">
        <f>IFERROR(__xludf.DUMMYFUNCTION("""COMPUTED_VALUE"""),"PONTIANAK BARAT")</f>
        <v>PONTIANAK BARAT</v>
      </c>
      <c r="P2317" s="35" t="str">
        <f>IFERROR(__xludf.DUMMYFUNCTION("""COMPUTED_VALUE"""),"KOTA PONTIANAK")</f>
        <v>KOTA PONTIANAK</v>
      </c>
      <c r="Q2317" s="35" t="str">
        <f>IFERROR(__xludf.DUMMYFUNCTION("""COMPUTED_VALUE"""),"KALIMANTAN BARAT")</f>
        <v>KALIMANTAN BARAT</v>
      </c>
      <c r="R2317" s="21" t="str">
        <f>IFERROR(__xludf.DUMMYFUNCTION("""COMPUTED_VALUE"""),"-")</f>
        <v>-</v>
      </c>
      <c r="S2317" s="74" t="str">
        <f>IFERROR(__xludf.DUMMYFUNCTION("""COMPUTED_VALUE"""),"PNS")</f>
        <v>PNS</v>
      </c>
      <c r="T2317" s="35" t="str">
        <f>IFERROR(__xludf.DUMMYFUNCTION("""COMPUTED_VALUE"""),"SAKIT DI TUMIT BAGIAN TENGAH TELAPAK KAKI, KAKI KANAN. KADANG TERASA HANGAT/PANAS")</f>
        <v>SAKIT DI TUMIT BAGIAN TENGAH TELAPAK KAKI, KAKI KANAN. KADANG TERASA HANGAT/PANAS</v>
      </c>
      <c r="U2317" s="35" t="str">
        <f>IFERROR(__xludf.DUMMYFUNCTION("""COMPUTED_VALUE"""),"JALAN PAGI")</f>
        <v>JALAN PAGI</v>
      </c>
      <c r="V2317" s="37" t="str">
        <f>IFERROR(__xludf.DUMMYFUNCTION("""COMPUTED_VALUE"""),"085245710551")</f>
        <v>085245710551</v>
      </c>
      <c r="W2317" s="45"/>
    </row>
    <row r="2318">
      <c r="A2318" s="45"/>
      <c r="B2318" s="24" t="str">
        <f>IFERROR(__xludf.DUMMYFUNCTION("""COMPUTED_VALUE"""),"18/03/2025 14:06:42")</f>
        <v>18/03/2025 14:06:42</v>
      </c>
      <c r="C2318" s="35"/>
      <c r="D2318" s="10">
        <f>IFERROR(__xludf.DUMMYFUNCTION("""COMPUTED_VALUE"""),45761.0)</f>
        <v>45761</v>
      </c>
      <c r="E2318" s="35" t="str">
        <f>IFERROR(__xludf.DUMMYFUNCTION("""COMPUTED_VALUE"""),"04Apr")</f>
        <v>04Apr</v>
      </c>
      <c r="F2318" s="34" t="str">
        <f>IFERROR(__xludf.DUMMYFUNCTION("""COMPUTED_VALUE"""),"2025")</f>
        <v>2025</v>
      </c>
      <c r="G2318" s="35" t="str">
        <f>IFERROR(__xludf.DUMMYFUNCTION("""COMPUTED_VALUE"""),"GUSTI AZLAN KHALID AYYUBI")</f>
        <v>GUSTI AZLAN KHALID AYYUBI</v>
      </c>
      <c r="H2318" s="35" t="str">
        <f>IFERROR(__xludf.DUMMYFUNCTION("""COMPUTED_VALUE"""),"G1525041290")</f>
        <v>G1525041290</v>
      </c>
      <c r="I2318" s="35">
        <f>IFERROR(__xludf.DUMMYFUNCTION("""COMPUTED_VALUE"""),11.0)</f>
        <v>11</v>
      </c>
      <c r="J2318" s="35" t="str">
        <f>IFERROR(__xludf.DUMMYFUNCTION("""COMPUTED_VALUE"""),"&lt; 18 tahun")</f>
        <v>&lt; 18 tahun</v>
      </c>
      <c r="K2318" s="21" t="str">
        <f>IFERROR(__xludf.DUMMYFUNCTION("""COMPUTED_VALUE"""),"07/05/2015")</f>
        <v>07/05/2015</v>
      </c>
      <c r="L2318" s="21" t="str">
        <f>IFERROR(__xludf.DUMMYFUNCTION("""COMPUTED_VALUE"""),"LAKI-LAKI")</f>
        <v>LAKI-LAKI</v>
      </c>
      <c r="M2318" s="35" t="str">
        <f>IFERROR(__xludf.DUMMYFUNCTION("""COMPUTED_VALUE"""),"JL. PARIS 2 KOMP MITRA INDAH UTAMA 4 NO. B22")</f>
        <v>JL. PARIS 2 KOMP MITRA INDAH UTAMA 4 NO. B22</v>
      </c>
      <c r="N2318" s="35" t="str">
        <f>IFERROR(__xludf.DUMMYFUNCTION("""COMPUTED_VALUE"""),"BANSIR DARAT")</f>
        <v>BANSIR DARAT</v>
      </c>
      <c r="O2318" s="35" t="str">
        <f>IFERROR(__xludf.DUMMYFUNCTION("""COMPUTED_VALUE"""),"PONTIANAK TENGGARA")</f>
        <v>PONTIANAK TENGGARA</v>
      </c>
      <c r="P2318" s="35" t="str">
        <f>IFERROR(__xludf.DUMMYFUNCTION("""COMPUTED_VALUE"""),"PONTIANAK")</f>
        <v>PONTIANAK</v>
      </c>
      <c r="Q2318" s="35" t="str">
        <f>IFERROR(__xludf.DUMMYFUNCTION("""COMPUTED_VALUE"""),"KALIMANTAN BARAT")</f>
        <v>KALIMANTAN BARAT</v>
      </c>
      <c r="R2318" s="21" t="str">
        <f>IFERROR(__xludf.DUMMYFUNCTION("""COMPUTED_VALUE"""),"ISLAM")</f>
        <v>ISLAM</v>
      </c>
      <c r="S2318" s="74" t="str">
        <f>IFERROR(__xludf.DUMMYFUNCTION("""COMPUTED_VALUE"""),"PELAJAR")</f>
        <v>PELAJAR</v>
      </c>
      <c r="T2318" s="35" t="str">
        <f>IFERROR(__xludf.DUMMYFUNCTION("""COMPUTED_VALUE"""),"SAKIT / NYERI DI PERGELANGAN KAKI")</f>
        <v>SAKIT / NYERI DI PERGELANGAN KAKI</v>
      </c>
      <c r="U2318" s="35" t="str">
        <f>IFERROR(__xludf.DUMMYFUNCTION("""COMPUTED_VALUE"""),"SEPAKBOLA / FUTSAL")</f>
        <v>SEPAKBOLA / FUTSAL</v>
      </c>
      <c r="V2318" s="37" t="str">
        <f>IFERROR(__xludf.DUMMYFUNCTION("""COMPUTED_VALUE"""),"081345121290")</f>
        <v>081345121290</v>
      </c>
      <c r="W2318" s="45"/>
    </row>
    <row r="2319">
      <c r="A2319" s="45"/>
      <c r="B2319" s="24" t="str">
        <f>IFERROR(__xludf.DUMMYFUNCTION("""COMPUTED_VALUE"""),"18/03/2025 22:06:26")</f>
        <v>18/03/2025 22:06:26</v>
      </c>
      <c r="C2319" s="35"/>
      <c r="D2319" s="10">
        <f>IFERROR(__xludf.DUMMYFUNCTION("""COMPUTED_VALUE"""),45761.0)</f>
        <v>45761</v>
      </c>
      <c r="E2319" s="35" t="str">
        <f>IFERROR(__xludf.DUMMYFUNCTION("""COMPUTED_VALUE"""),"04Apr")</f>
        <v>04Apr</v>
      </c>
      <c r="F2319" s="34" t="str">
        <f>IFERROR(__xludf.DUMMYFUNCTION("""COMPUTED_VALUE"""),"2025")</f>
        <v>2025</v>
      </c>
      <c r="G2319" s="35" t="str">
        <f>IFERROR(__xludf.DUMMYFUNCTION("""COMPUTED_VALUE"""),"PUTRI NABILAH")</f>
        <v>PUTRI NABILAH</v>
      </c>
      <c r="H2319" s="35" t="str">
        <f>IFERROR(__xludf.DUMMYFUNCTION("""COMPUTED_VALUE"""),"P9825048208")</f>
        <v>P9825048208</v>
      </c>
      <c r="I2319" s="35">
        <f>IFERROR(__xludf.DUMMYFUNCTION("""COMPUTED_VALUE"""),27.0)</f>
        <v>27</v>
      </c>
      <c r="J2319" s="35" t="str">
        <f>IFERROR(__xludf.DUMMYFUNCTION("""COMPUTED_VALUE"""),"25-34 tahun")</f>
        <v>25-34 tahun</v>
      </c>
      <c r="K2319" s="21" t="str">
        <f>IFERROR(__xludf.DUMMYFUNCTION("""COMPUTED_VALUE"""),"15/07/1998")</f>
        <v>15/07/1998</v>
      </c>
      <c r="L2319" s="21" t="str">
        <f>IFERROR(__xludf.DUMMYFUNCTION("""COMPUTED_VALUE"""),"PEREMPUAN")</f>
        <v>PEREMPUAN</v>
      </c>
      <c r="M2319" s="35" t="str">
        <f>IFERROR(__xludf.DUMMYFUNCTION("""COMPUTED_VALUE"""),"JL KELUARGA")</f>
        <v>JL KELUARGA</v>
      </c>
      <c r="N2319" s="35" t="str">
        <f>IFERROR(__xludf.DUMMYFUNCTION("""COMPUTED_VALUE"""),"SUNGAI BURUNG")</f>
        <v>SUNGAI BURUNG</v>
      </c>
      <c r="O2319" s="35" t="str">
        <f>IFERROR(__xludf.DUMMYFUNCTION("""COMPUTED_VALUE"""),"SEGEDONG")</f>
        <v>SEGEDONG</v>
      </c>
      <c r="P2319" s="35" t="str">
        <f>IFERROR(__xludf.DUMMYFUNCTION("""COMPUTED_VALUE"""),"MEMPAWAH")</f>
        <v>MEMPAWAH</v>
      </c>
      <c r="Q2319" s="35" t="str">
        <f>IFERROR(__xludf.DUMMYFUNCTION("""COMPUTED_VALUE"""),"KALIMANTAN BARAT")</f>
        <v>KALIMANTAN BARAT</v>
      </c>
      <c r="R2319" s="21" t="str">
        <f>IFERROR(__xludf.DUMMYFUNCTION("""COMPUTED_VALUE"""),"ISLAM")</f>
        <v>ISLAM</v>
      </c>
      <c r="S2319" s="74" t="str">
        <f>IFERROR(__xludf.DUMMYFUNCTION("""COMPUTED_VALUE"""),"KARYAWAN SWASTA")</f>
        <v>KARYAWAN SWASTA</v>
      </c>
      <c r="T2319" s="35" t="str">
        <f>IFERROR(__xludf.DUMMYFUNCTION("""COMPUTED_VALUE"""),"TERKILIR")</f>
        <v>TERKILIR</v>
      </c>
      <c r="U2319" s="35" t="str">
        <f>IFERROR(__xludf.DUMMYFUNCTION("""COMPUTED_VALUE"""),"-")</f>
        <v>-</v>
      </c>
      <c r="V2319" s="37" t="str">
        <f>IFERROR(__xludf.DUMMYFUNCTION("""COMPUTED_VALUE"""),"089679768208")</f>
        <v>089679768208</v>
      </c>
      <c r="W2319" s="45"/>
    </row>
    <row r="2320">
      <c r="A2320" s="45"/>
      <c r="B2320" s="24" t="str">
        <f>IFERROR(__xludf.DUMMYFUNCTION("""COMPUTED_VALUE"""),"12/04/2025 11:18:39")</f>
        <v>12/04/2025 11:18:39</v>
      </c>
      <c r="C2320" s="35"/>
      <c r="D2320" s="10">
        <f>IFERROR(__xludf.DUMMYFUNCTION("""COMPUTED_VALUE"""),45761.0)</f>
        <v>45761</v>
      </c>
      <c r="E2320" s="35" t="str">
        <f>IFERROR(__xludf.DUMMYFUNCTION("""COMPUTED_VALUE"""),"04Apr")</f>
        <v>04Apr</v>
      </c>
      <c r="F2320" s="34" t="str">
        <f>IFERROR(__xludf.DUMMYFUNCTION("""COMPUTED_VALUE"""),"2025")</f>
        <v>2025</v>
      </c>
      <c r="G2320" s="35" t="str">
        <f>IFERROR(__xludf.DUMMYFUNCTION("""COMPUTED_VALUE"""),"HERRY")</f>
        <v>HERRY</v>
      </c>
      <c r="H2320" s="35" t="str">
        <f>IFERROR(__xludf.DUMMYFUNCTION("""COMPUTED_VALUE"""),"H9125041999")</f>
        <v>H9125041999</v>
      </c>
      <c r="I2320" s="35">
        <f>IFERROR(__xludf.DUMMYFUNCTION("""COMPUTED_VALUE"""),34.0)</f>
        <v>34</v>
      </c>
      <c r="J2320" s="35" t="str">
        <f>IFERROR(__xludf.DUMMYFUNCTION("""COMPUTED_VALUE"""),"25-34 tahun")</f>
        <v>25-34 tahun</v>
      </c>
      <c r="K2320" s="21" t="str">
        <f>IFERROR(__xludf.DUMMYFUNCTION("""COMPUTED_VALUE"""),"11/09/1991")</f>
        <v>11/09/1991</v>
      </c>
      <c r="L2320" s="21" t="str">
        <f>IFERROR(__xludf.DUMMYFUNCTION("""COMPUTED_VALUE"""),"LAKI-LAKI")</f>
        <v>LAKI-LAKI</v>
      </c>
      <c r="M2320" s="35" t="str">
        <f>IFERROR(__xludf.DUMMYFUNCTION("""COMPUTED_VALUE"""),"JALAN SELAT SUMBA 3,GANG MANTUKA")</f>
        <v>JALAN SELAT SUMBA 3,GANG MANTUKA</v>
      </c>
      <c r="N2320" s="35" t="str">
        <f>IFERROR(__xludf.DUMMYFUNCTION("""COMPUTED_VALUE"""),"SIANTAN TENGAH")</f>
        <v>SIANTAN TENGAH</v>
      </c>
      <c r="O2320" s="35" t="str">
        <f>IFERROR(__xludf.DUMMYFUNCTION("""COMPUTED_VALUE"""),"PONTIANAK UTARA")</f>
        <v>PONTIANAK UTARA</v>
      </c>
      <c r="P2320" s="35" t="str">
        <f>IFERROR(__xludf.DUMMYFUNCTION("""COMPUTED_VALUE"""),"KOTA PONTIANAK")</f>
        <v>KOTA PONTIANAK</v>
      </c>
      <c r="Q2320" s="35" t="str">
        <f>IFERROR(__xludf.DUMMYFUNCTION("""COMPUTED_VALUE"""),"KALIMANTAN BARAT")</f>
        <v>KALIMANTAN BARAT</v>
      </c>
      <c r="R2320" s="21" t="str">
        <f>IFERROR(__xludf.DUMMYFUNCTION("""COMPUTED_VALUE"""),"LAINNYA")</f>
        <v>LAINNYA</v>
      </c>
      <c r="S2320" s="74" t="str">
        <f>IFERROR(__xludf.DUMMYFUNCTION("""COMPUTED_VALUE"""),"SWASTA")</f>
        <v>SWASTA</v>
      </c>
      <c r="T2320" s="35" t="str">
        <f>IFERROR(__xludf.DUMMYFUNCTION("""COMPUTED_VALUE"""),"LUTUT SEBELAH KIRI TIDAK BISA DITEKUK/JONGKOK")</f>
        <v>LUTUT SEBELAH KIRI TIDAK BISA DITEKUK/JONGKOK</v>
      </c>
      <c r="U2320" s="35" t="str">
        <f>IFERROR(__xludf.DUMMYFUNCTION("""COMPUTED_VALUE"""),"SEPAKBOLA ATAU FUTSAL")</f>
        <v>SEPAKBOLA ATAU FUTSAL</v>
      </c>
      <c r="V2320" s="37" t="str">
        <f>IFERROR(__xludf.DUMMYFUNCTION("""COMPUTED_VALUE"""),"089607831999")</f>
        <v>089607831999</v>
      </c>
      <c r="W2320" s="45"/>
    </row>
    <row r="2321">
      <c r="A2321" s="45"/>
      <c r="B2321" s="24" t="str">
        <f>IFERROR(__xludf.DUMMYFUNCTION("""COMPUTED_VALUE"""),"19/03/2025 8:13:19")</f>
        <v>19/03/2025 8:13:19</v>
      </c>
      <c r="C2321" s="35"/>
      <c r="D2321" s="10">
        <f>IFERROR(__xludf.DUMMYFUNCTION("""COMPUTED_VALUE"""),45762.0)</f>
        <v>45762</v>
      </c>
      <c r="E2321" s="35" t="str">
        <f>IFERROR(__xludf.DUMMYFUNCTION("""COMPUTED_VALUE"""),"04Apr")</f>
        <v>04Apr</v>
      </c>
      <c r="F2321" s="34" t="str">
        <f>IFERROR(__xludf.DUMMYFUNCTION("""COMPUTED_VALUE"""),"2025")</f>
        <v>2025</v>
      </c>
      <c r="G2321" s="35" t="str">
        <f>IFERROR(__xludf.DUMMYFUNCTION("""COMPUTED_VALUE"""),"JANI HARI BOWO")</f>
        <v>JANI HARI BOWO</v>
      </c>
      <c r="H2321" s="35" t="str">
        <f>IFERROR(__xludf.DUMMYFUNCTION("""COMPUTED_VALUE"""),"J9025040906")</f>
        <v>J9025040906</v>
      </c>
      <c r="I2321" s="35">
        <f>IFERROR(__xludf.DUMMYFUNCTION("""COMPUTED_VALUE"""),36.0)</f>
        <v>36</v>
      </c>
      <c r="J2321" s="35" t="str">
        <f>IFERROR(__xludf.DUMMYFUNCTION("""COMPUTED_VALUE"""),"35-44 tahun")</f>
        <v>35-44 tahun</v>
      </c>
      <c r="K2321" s="21" t="str">
        <f>IFERROR(__xludf.DUMMYFUNCTION("""COMPUTED_VALUE"""),"10/01/1990")</f>
        <v>10/01/1990</v>
      </c>
      <c r="L2321" s="21" t="str">
        <f>IFERROR(__xludf.DUMMYFUNCTION("""COMPUTED_VALUE"""),"LAKI-LAKI")</f>
        <v>LAKI-LAKI</v>
      </c>
      <c r="M2321" s="35" t="str">
        <f>IFERROR(__xludf.DUMMYFUNCTION("""COMPUTED_VALUE"""),"JELEKONG RT 05/04")</f>
        <v>JELEKONG RT 05/04</v>
      </c>
      <c r="N2321" s="35" t="str">
        <f>IFERROR(__xludf.DUMMYFUNCTION("""COMPUTED_VALUE"""),"JELEKONG")</f>
        <v>JELEKONG</v>
      </c>
      <c r="O2321" s="35" t="str">
        <f>IFERROR(__xludf.DUMMYFUNCTION("""COMPUTED_VALUE"""),"BALEENDAH")</f>
        <v>BALEENDAH</v>
      </c>
      <c r="P2321" s="35" t="str">
        <f>IFERROR(__xludf.DUMMYFUNCTION("""COMPUTED_VALUE"""),"BANDUNG")</f>
        <v>BANDUNG</v>
      </c>
      <c r="Q2321" s="35" t="str">
        <f>IFERROR(__xludf.DUMMYFUNCTION("""COMPUTED_VALUE"""),"JAWA BARAT")</f>
        <v>JAWA BARAT</v>
      </c>
      <c r="R2321" s="21" t="str">
        <f>IFERROR(__xludf.DUMMYFUNCTION("""COMPUTED_VALUE"""),"ISLAM")</f>
        <v>ISLAM</v>
      </c>
      <c r="S2321" s="74" t="str">
        <f>IFERROR(__xludf.DUMMYFUNCTION("""COMPUTED_VALUE"""),"KARYAWAN SWASTA")</f>
        <v>KARYAWAN SWASTA</v>
      </c>
      <c r="T2321" s="35" t="str">
        <f>IFERROR(__xludf.DUMMYFUNCTION("""COMPUTED_VALUE"""),"NYERI TUMIT PASCA OLAHRAGA")</f>
        <v>NYERI TUMIT PASCA OLAHRAGA</v>
      </c>
      <c r="U2321" s="35" t="str">
        <f>IFERROR(__xludf.DUMMYFUNCTION("""COMPUTED_VALUE"""),"BADMINTON")</f>
        <v>BADMINTON</v>
      </c>
      <c r="V2321" s="37" t="str">
        <f>IFERROR(__xludf.DUMMYFUNCTION("""COMPUTED_VALUE"""),"081912380906")</f>
        <v>081912380906</v>
      </c>
      <c r="W2321" s="45"/>
    </row>
    <row r="2322">
      <c r="A2322" s="45"/>
      <c r="B2322" s="24" t="str">
        <f>IFERROR(__xludf.DUMMYFUNCTION("""COMPUTED_VALUE"""),"19/03/2025 19:25:04")</f>
        <v>19/03/2025 19:25:04</v>
      </c>
      <c r="C2322" s="35"/>
      <c r="D2322" s="10">
        <f>IFERROR(__xludf.DUMMYFUNCTION("""COMPUTED_VALUE"""),45762.0)</f>
        <v>45762</v>
      </c>
      <c r="E2322" s="35" t="str">
        <f>IFERROR(__xludf.DUMMYFUNCTION("""COMPUTED_VALUE"""),"04Apr")</f>
        <v>04Apr</v>
      </c>
      <c r="F2322" s="34" t="str">
        <f>IFERROR(__xludf.DUMMYFUNCTION("""COMPUTED_VALUE"""),"2025")</f>
        <v>2025</v>
      </c>
      <c r="G2322" s="35" t="str">
        <f>IFERROR(__xludf.DUMMYFUNCTION("""COMPUTED_VALUE"""),"MEIDI9305")</f>
        <v>MEIDI9305</v>
      </c>
      <c r="H2322" s="35" t="str">
        <f>IFERROR(__xludf.DUMMYFUNCTION("""COMPUTED_VALUE"""),"M9325048884")</f>
        <v>M9325048884</v>
      </c>
      <c r="I2322" s="35">
        <f>IFERROR(__xludf.DUMMYFUNCTION("""COMPUTED_VALUE"""),33.0)</f>
        <v>33</v>
      </c>
      <c r="J2322" s="35" t="str">
        <f>IFERROR(__xludf.DUMMYFUNCTION("""COMPUTED_VALUE"""),"25-34 tahun")</f>
        <v>25-34 tahun</v>
      </c>
      <c r="K2322" s="21" t="str">
        <f>IFERROR(__xludf.DUMMYFUNCTION("""COMPUTED_VALUE"""),"13/05/1993")</f>
        <v>13/05/1993</v>
      </c>
      <c r="L2322" s="21" t="str">
        <f>IFERROR(__xludf.DUMMYFUNCTION("""COMPUTED_VALUE"""),"LAKI-LAKI")</f>
        <v>LAKI-LAKI</v>
      </c>
      <c r="M2322" s="35" t="str">
        <f>IFERROR(__xludf.DUMMYFUNCTION("""COMPUTED_VALUE"""),"JL NIPAH KUNING DALAM")</f>
        <v>JL NIPAH KUNING DALAM</v>
      </c>
      <c r="N2322" s="35" t="str">
        <f>IFERROR(__xludf.DUMMYFUNCTION("""COMPUTED_VALUE"""),"SUGAI BELIUNG")</f>
        <v>SUGAI BELIUNG</v>
      </c>
      <c r="O2322" s="35" t="str">
        <f>IFERROR(__xludf.DUMMYFUNCTION("""COMPUTED_VALUE"""),"PONTIANAK BARAT")</f>
        <v>PONTIANAK BARAT</v>
      </c>
      <c r="P2322" s="35" t="str">
        <f>IFERROR(__xludf.DUMMYFUNCTION("""COMPUTED_VALUE"""),"PONTIANAK")</f>
        <v>PONTIANAK</v>
      </c>
      <c r="Q2322" s="35" t="str">
        <f>IFERROR(__xludf.DUMMYFUNCTION("""COMPUTED_VALUE"""),"KALBAR")</f>
        <v>KALBAR</v>
      </c>
      <c r="R2322" s="21" t="str">
        <f>IFERROR(__xludf.DUMMYFUNCTION("""COMPUTED_VALUE"""),"ISLAM")</f>
        <v>ISLAM</v>
      </c>
      <c r="S2322" s="74" t="str">
        <f>IFERROR(__xludf.DUMMYFUNCTION("""COMPUTED_VALUE"""),"ASN")</f>
        <v>ASN</v>
      </c>
      <c r="T2322" s="35" t="str">
        <f>IFERROR(__xludf.DUMMYFUNCTION("""COMPUTED_VALUE"""),"PLANTAR PACITIS")</f>
        <v>PLANTAR PACITIS</v>
      </c>
      <c r="U2322" s="35" t="str">
        <f>IFERROR(__xludf.DUMMYFUNCTION("""COMPUTED_VALUE"""),"RUNNING")</f>
        <v>RUNNING</v>
      </c>
      <c r="V2322" s="37" t="str">
        <f>IFERROR(__xludf.DUMMYFUNCTION("""COMPUTED_VALUE"""),"081254458884")</f>
        <v>081254458884</v>
      </c>
      <c r="W2322" s="45"/>
    </row>
    <row r="2323">
      <c r="A2323" s="45"/>
      <c r="B2323" s="24" t="str">
        <f>IFERROR(__xludf.DUMMYFUNCTION("""COMPUTED_VALUE"""),"17/03/2025 21:00:49")</f>
        <v>17/03/2025 21:00:49</v>
      </c>
      <c r="C2323" s="35"/>
      <c r="D2323" s="10">
        <f>IFERROR(__xludf.DUMMYFUNCTION("""COMPUTED_VALUE"""),45762.0)</f>
        <v>45762</v>
      </c>
      <c r="E2323" s="35" t="str">
        <f>IFERROR(__xludf.DUMMYFUNCTION("""COMPUTED_VALUE"""),"04Apr")</f>
        <v>04Apr</v>
      </c>
      <c r="F2323" s="34" t="str">
        <f>IFERROR(__xludf.DUMMYFUNCTION("""COMPUTED_VALUE"""),"2025")</f>
        <v>2025</v>
      </c>
      <c r="G2323" s="35" t="str">
        <f>IFERROR(__xludf.DUMMYFUNCTION("""COMPUTED_VALUE"""),"SELENA")</f>
        <v>SELENA</v>
      </c>
      <c r="H2323" s="35" t="str">
        <f>IFERROR(__xludf.DUMMYFUNCTION("""COMPUTED_VALUE"""),"S1225046229")</f>
        <v>S1225046229</v>
      </c>
      <c r="I2323" s="35">
        <f>IFERROR(__xludf.DUMMYFUNCTION("""COMPUTED_VALUE"""),14.0)</f>
        <v>14</v>
      </c>
      <c r="J2323" s="35" t="str">
        <f>IFERROR(__xludf.DUMMYFUNCTION("""COMPUTED_VALUE"""),"&lt; 18 tahun")</f>
        <v>&lt; 18 tahun</v>
      </c>
      <c r="K2323" s="21" t="str">
        <f>IFERROR(__xludf.DUMMYFUNCTION("""COMPUTED_VALUE"""),"25/03/2012")</f>
        <v>25/03/2012</v>
      </c>
      <c r="L2323" s="21" t="str">
        <f>IFERROR(__xludf.DUMMYFUNCTION("""COMPUTED_VALUE"""),"PEREMPUAN")</f>
        <v>PEREMPUAN</v>
      </c>
      <c r="M2323" s="35" t="str">
        <f>IFERROR(__xludf.DUMMYFUNCTION("""COMPUTED_VALUE"""),"JL. SUNGAI SELAMAT")</f>
        <v>JL. SUNGAI SELAMAT</v>
      </c>
      <c r="N2323" s="35" t="str">
        <f>IFERROR(__xludf.DUMMYFUNCTION("""COMPUTED_VALUE"""),"SIANTAN HILIR")</f>
        <v>SIANTAN HILIR</v>
      </c>
      <c r="O2323" s="35" t="str">
        <f>IFERROR(__xludf.DUMMYFUNCTION("""COMPUTED_VALUE"""),"PONTIANAK UTARA")</f>
        <v>PONTIANAK UTARA</v>
      </c>
      <c r="P2323" s="35" t="str">
        <f>IFERROR(__xludf.DUMMYFUNCTION("""COMPUTED_VALUE"""),"PONTIANAK")</f>
        <v>PONTIANAK</v>
      </c>
      <c r="Q2323" s="35" t="str">
        <f>IFERROR(__xludf.DUMMYFUNCTION("""COMPUTED_VALUE"""),"KALIMANTAN BARAT")</f>
        <v>KALIMANTAN BARAT</v>
      </c>
      <c r="R2323" s="21" t="str">
        <f>IFERROR(__xludf.DUMMYFUNCTION("""COMPUTED_VALUE"""),"BUDDHA")</f>
        <v>BUDDHA</v>
      </c>
      <c r="S2323" s="74" t="str">
        <f>IFERROR(__xludf.DUMMYFUNCTION("""COMPUTED_VALUE"""),"PELAJAR")</f>
        <v>PELAJAR</v>
      </c>
      <c r="T2323" s="35" t="str">
        <f>IFERROR(__xludf.DUMMYFUNCTION("""COMPUTED_VALUE"""),"SCOLIOSIS DAN WINGED SCAPULA")</f>
        <v>SCOLIOSIS DAN WINGED SCAPULA</v>
      </c>
      <c r="U2323" s="35" t="str">
        <f>IFERROR(__xludf.DUMMYFUNCTION("""COMPUTED_VALUE"""),"CARA DUDUK DI SEKOLAH")</f>
        <v>CARA DUDUK DI SEKOLAH</v>
      </c>
      <c r="V2323" s="37" t="str">
        <f>IFERROR(__xludf.DUMMYFUNCTION("""COMPUTED_VALUE"""),"082351266229")</f>
        <v>082351266229</v>
      </c>
      <c r="W2323" s="45"/>
    </row>
    <row r="2324">
      <c r="A2324" s="45"/>
      <c r="B2324" s="24" t="str">
        <f>IFERROR(__xludf.DUMMYFUNCTION("""COMPUTED_VALUE"""),"20/03/2025 15:11:01")</f>
        <v>20/03/2025 15:11:01</v>
      </c>
      <c r="C2324" s="35"/>
      <c r="D2324" s="10">
        <f>IFERROR(__xludf.DUMMYFUNCTION("""COMPUTED_VALUE"""),45763.0)</f>
        <v>45763</v>
      </c>
      <c r="E2324" s="35" t="str">
        <f>IFERROR(__xludf.DUMMYFUNCTION("""COMPUTED_VALUE"""),"04Apr")</f>
        <v>04Apr</v>
      </c>
      <c r="F2324" s="34" t="str">
        <f>IFERROR(__xludf.DUMMYFUNCTION("""COMPUTED_VALUE"""),"2025")</f>
        <v>2025</v>
      </c>
      <c r="G2324" s="35" t="str">
        <f>IFERROR(__xludf.DUMMYFUNCTION("""COMPUTED_VALUE"""),"SOPIYA UMMI")</f>
        <v>SOPIYA UMMI</v>
      </c>
      <c r="H2324" s="35" t="str">
        <f>IFERROR(__xludf.DUMMYFUNCTION("""COMPUTED_VALUE"""),"S0525044977")</f>
        <v>S0525044977</v>
      </c>
      <c r="I2324" s="35">
        <f>IFERROR(__xludf.DUMMYFUNCTION("""COMPUTED_VALUE"""),20.0)</f>
        <v>20</v>
      </c>
      <c r="J2324" s="35" t="str">
        <f>IFERROR(__xludf.DUMMYFUNCTION("""COMPUTED_VALUE"""),"18-24 tahun")</f>
        <v>18-24 tahun</v>
      </c>
      <c r="K2324" s="21" t="str">
        <f>IFERROR(__xludf.DUMMYFUNCTION("""COMPUTED_VALUE"""),"23/06/2005")</f>
        <v>23/06/2005</v>
      </c>
      <c r="L2324" s="21" t="str">
        <f>IFERROR(__xludf.DUMMYFUNCTION("""COMPUTED_VALUE"""),"PEREMPUAN")</f>
        <v>PEREMPUAN</v>
      </c>
      <c r="M2324" s="35" t="str">
        <f>IFERROR(__xludf.DUMMYFUNCTION("""COMPUTED_VALUE"""),"RASAU JAYA")</f>
        <v>RASAU JAYA</v>
      </c>
      <c r="N2324" s="35" t="str">
        <f>IFERROR(__xludf.DUMMYFUNCTION("""COMPUTED_VALUE"""),"RASAU JAYA")</f>
        <v>RASAU JAYA</v>
      </c>
      <c r="O2324" s="35" t="str">
        <f>IFERROR(__xludf.DUMMYFUNCTION("""COMPUTED_VALUE"""),"RASAU JAYA")</f>
        <v>RASAU JAYA</v>
      </c>
      <c r="P2324" s="35" t="str">
        <f>IFERROR(__xludf.DUMMYFUNCTION("""COMPUTED_VALUE"""),"KAB. KUBU RAYA")</f>
        <v>KAB. KUBU RAYA</v>
      </c>
      <c r="Q2324" s="35" t="str">
        <f>IFERROR(__xludf.DUMMYFUNCTION("""COMPUTED_VALUE"""),"KALIMANTAN BARAT")</f>
        <v>KALIMANTAN BARAT</v>
      </c>
      <c r="R2324" s="21" t="str">
        <f>IFERROR(__xludf.DUMMYFUNCTION("""COMPUTED_VALUE"""),"ISLAM")</f>
        <v>ISLAM</v>
      </c>
      <c r="S2324" s="74" t="str">
        <f>IFERROR(__xludf.DUMMYFUNCTION("""COMPUTED_VALUE"""),"MAHASISWA")</f>
        <v>MAHASISWA</v>
      </c>
      <c r="T2324" s="35" t="str">
        <f>IFERROR(__xludf.DUMMYFUNCTION("""COMPUTED_VALUE"""),"GBS")</f>
        <v>GBS</v>
      </c>
      <c r="U2324" s="35" t="str">
        <f>IFERROR(__xludf.DUMMYFUNCTION("""COMPUTED_VALUE"""),"-")</f>
        <v>-</v>
      </c>
      <c r="V2324" s="37" t="str">
        <f>IFERROR(__xludf.DUMMYFUNCTION("""COMPUTED_VALUE"""),"085252094977")</f>
        <v>085252094977</v>
      </c>
      <c r="W2324" s="45"/>
    </row>
    <row r="2325">
      <c r="A2325" s="45"/>
      <c r="B2325" s="24" t="str">
        <f>IFERROR(__xludf.DUMMYFUNCTION("""COMPUTED_VALUE"""),"21/03/2025 11:13:39")</f>
        <v>21/03/2025 11:13:39</v>
      </c>
      <c r="C2325" s="35"/>
      <c r="D2325" s="10">
        <f>IFERROR(__xludf.DUMMYFUNCTION("""COMPUTED_VALUE"""),45763.0)</f>
        <v>45763</v>
      </c>
      <c r="E2325" s="35" t="str">
        <f>IFERROR(__xludf.DUMMYFUNCTION("""COMPUTED_VALUE"""),"04Apr")</f>
        <v>04Apr</v>
      </c>
      <c r="F2325" s="34" t="str">
        <f>IFERROR(__xludf.DUMMYFUNCTION("""COMPUTED_VALUE"""),"2025")</f>
        <v>2025</v>
      </c>
      <c r="G2325" s="35" t="str">
        <f>IFERROR(__xludf.DUMMYFUNCTION("""COMPUTED_VALUE"""),"DWI ARIFYANDI")</f>
        <v>DWI ARIFYANDI</v>
      </c>
      <c r="H2325" s="35" t="str">
        <f>IFERROR(__xludf.DUMMYFUNCTION("""COMPUTED_VALUE"""),"D9925044697")</f>
        <v>D9925044697</v>
      </c>
      <c r="I2325" s="35">
        <f>IFERROR(__xludf.DUMMYFUNCTION("""COMPUTED_VALUE"""),27.0)</f>
        <v>27</v>
      </c>
      <c r="J2325" s="35" t="str">
        <f>IFERROR(__xludf.DUMMYFUNCTION("""COMPUTED_VALUE"""),"25-34 tahun")</f>
        <v>25-34 tahun</v>
      </c>
      <c r="K2325" s="21" t="str">
        <f>IFERROR(__xludf.DUMMYFUNCTION("""COMPUTED_VALUE"""),"16/03/1999")</f>
        <v>16/03/1999</v>
      </c>
      <c r="L2325" s="21" t="str">
        <f>IFERROR(__xludf.DUMMYFUNCTION("""COMPUTED_VALUE"""),"LAKI-LAKI")</f>
        <v>LAKI-LAKI</v>
      </c>
      <c r="M2325" s="35" t="str">
        <f>IFERROR(__xludf.DUMMYFUNCTION("""COMPUTED_VALUE"""),"JL. TEBU")</f>
        <v>JL. TEBU</v>
      </c>
      <c r="N2325" s="35" t="str">
        <f>IFERROR(__xludf.DUMMYFUNCTION("""COMPUTED_VALUE"""),"SUNGAI BELIUNG")</f>
        <v>SUNGAI BELIUNG</v>
      </c>
      <c r="O2325" s="35" t="str">
        <f>IFERROR(__xludf.DUMMYFUNCTION("""COMPUTED_VALUE"""),"PONTIANAK BARAT")</f>
        <v>PONTIANAK BARAT</v>
      </c>
      <c r="P2325" s="35" t="str">
        <f>IFERROR(__xludf.DUMMYFUNCTION("""COMPUTED_VALUE"""),"KOTA PONTIANAK")</f>
        <v>KOTA PONTIANAK</v>
      </c>
      <c r="Q2325" s="35" t="str">
        <f>IFERROR(__xludf.DUMMYFUNCTION("""COMPUTED_VALUE"""),"KALIMANTAN BARAT")</f>
        <v>KALIMANTAN BARAT</v>
      </c>
      <c r="R2325" s="21" t="str">
        <f>IFERROR(__xludf.DUMMYFUNCTION("""COMPUTED_VALUE"""),"PROTESTAN")</f>
        <v>PROTESTAN</v>
      </c>
      <c r="S2325" s="74" t="str">
        <f>IFERROR(__xludf.DUMMYFUNCTION("""COMPUTED_VALUE"""),"SWASTA")</f>
        <v>SWASTA</v>
      </c>
      <c r="T2325" s="35" t="str">
        <f>IFERROR(__xludf.DUMMYFUNCTION("""COMPUTED_VALUE"""),"NYERI LUTUT")</f>
        <v>NYERI LUTUT</v>
      </c>
      <c r="U2325" s="35" t="str">
        <f>IFERROR(__xludf.DUMMYFUNCTION("""COMPUTED_VALUE"""),"JOGGING, GYM")</f>
        <v>JOGGING, GYM</v>
      </c>
      <c r="V2325" s="37" t="str">
        <f>IFERROR(__xludf.DUMMYFUNCTION("""COMPUTED_VALUE"""),"089693694697")</f>
        <v>089693694697</v>
      </c>
      <c r="W2325" s="45"/>
    </row>
    <row r="2326">
      <c r="A2326" s="45"/>
      <c r="B2326" s="24" t="str">
        <f>IFERROR(__xludf.DUMMYFUNCTION("""COMPUTED_VALUE"""),"21/03/2025 14:27:57")</f>
        <v>21/03/2025 14:27:57</v>
      </c>
      <c r="C2326" s="35"/>
      <c r="D2326" s="10">
        <f>IFERROR(__xludf.DUMMYFUNCTION("""COMPUTED_VALUE"""),45763.0)</f>
        <v>45763</v>
      </c>
      <c r="E2326" s="35" t="str">
        <f>IFERROR(__xludf.DUMMYFUNCTION("""COMPUTED_VALUE"""),"04Apr")</f>
        <v>04Apr</v>
      </c>
      <c r="F2326" s="34" t="str">
        <f>IFERROR(__xludf.DUMMYFUNCTION("""COMPUTED_VALUE"""),"2025")</f>
        <v>2025</v>
      </c>
      <c r="G2326" s="35" t="str">
        <f>IFERROR(__xludf.DUMMYFUNCTION("""COMPUTED_VALUE"""),"ERITA FITRIANI")</f>
        <v>ERITA FITRIANI</v>
      </c>
      <c r="H2326" s="35" t="str">
        <f>IFERROR(__xludf.DUMMYFUNCTION("""COMPUTED_VALUE"""),"E7025044684")</f>
        <v>E7025044684</v>
      </c>
      <c r="I2326" s="35">
        <f>IFERROR(__xludf.DUMMYFUNCTION("""COMPUTED_VALUE"""),55.0)</f>
        <v>55</v>
      </c>
      <c r="J2326" s="35" t="str">
        <f>IFERROR(__xludf.DUMMYFUNCTION("""COMPUTED_VALUE"""),"&gt; 44 tahun")</f>
        <v>&gt; 44 tahun</v>
      </c>
      <c r="K2326" s="21" t="str">
        <f>IFERROR(__xludf.DUMMYFUNCTION("""COMPUTED_VALUE"""),"11/12/1970")</f>
        <v>11/12/1970</v>
      </c>
      <c r="L2326" s="21" t="str">
        <f>IFERROR(__xludf.DUMMYFUNCTION("""COMPUTED_VALUE"""),"PEREMPUAN")</f>
        <v>PEREMPUAN</v>
      </c>
      <c r="M2326" s="35" t="str">
        <f>IFERROR(__xludf.DUMMYFUNCTION("""COMPUTED_VALUE"""),"JL PURNAMA AGUNG VII KOMP PURNAMA AGUNG ZIRA B6")</f>
        <v>JL PURNAMA AGUNG VII KOMP PURNAMA AGUNG ZIRA B6</v>
      </c>
      <c r="N2326" s="35" t="str">
        <f>IFERROR(__xludf.DUMMYFUNCTION("""COMPUTED_VALUE"""),"PARIT TOKAYA")</f>
        <v>PARIT TOKAYA</v>
      </c>
      <c r="O2326" s="35" t="str">
        <f>IFERROR(__xludf.DUMMYFUNCTION("""COMPUTED_VALUE"""),"PONTIANAK SELATAN")</f>
        <v>PONTIANAK SELATAN</v>
      </c>
      <c r="P2326" s="35" t="str">
        <f>IFERROR(__xludf.DUMMYFUNCTION("""COMPUTED_VALUE"""),"PONTIANAK")</f>
        <v>PONTIANAK</v>
      </c>
      <c r="Q2326" s="35" t="str">
        <f>IFERROR(__xludf.DUMMYFUNCTION("""COMPUTED_VALUE"""),"KALIMANTAN BARAT")</f>
        <v>KALIMANTAN BARAT</v>
      </c>
      <c r="R2326" s="21" t="str">
        <f>IFERROR(__xludf.DUMMYFUNCTION("""COMPUTED_VALUE"""),"ISLAM")</f>
        <v>ISLAM</v>
      </c>
      <c r="S2326" s="74" t="str">
        <f>IFERROR(__xludf.DUMMYFUNCTION("""COMPUTED_VALUE"""),"ASN")</f>
        <v>ASN</v>
      </c>
      <c r="T2326" s="35" t="str">
        <f>IFERROR(__xludf.DUMMYFUNCTION("""COMPUTED_VALUE"""),"NYERI PADA BAWAH PINGGANG SEBELAH KIRI")</f>
        <v>NYERI PADA BAWAH PINGGANG SEBELAH KIRI</v>
      </c>
      <c r="U2326" s="35" t="str">
        <f>IFERROR(__xludf.DUMMYFUNCTION("""COMPUTED_VALUE"""),"BEKERJA DI KANTOR")</f>
        <v>BEKERJA DI KANTOR</v>
      </c>
      <c r="V2326" s="37" t="str">
        <f>IFERROR(__xludf.DUMMYFUNCTION("""COMPUTED_VALUE"""),"082153434684")</f>
        <v>082153434684</v>
      </c>
      <c r="W2326" s="45"/>
    </row>
    <row r="2327">
      <c r="A2327" s="45"/>
      <c r="B2327" s="24" t="str">
        <f>IFERROR(__xludf.DUMMYFUNCTION("""COMPUTED_VALUE"""),"22/03/2025 12:50:28")</f>
        <v>22/03/2025 12:50:28</v>
      </c>
      <c r="C2327" s="35"/>
      <c r="D2327" s="10">
        <f>IFERROR(__xludf.DUMMYFUNCTION("""COMPUTED_VALUE"""),45763.0)</f>
        <v>45763</v>
      </c>
      <c r="E2327" s="35" t="str">
        <f>IFERROR(__xludf.DUMMYFUNCTION("""COMPUTED_VALUE"""),"04Apr")</f>
        <v>04Apr</v>
      </c>
      <c r="F2327" s="34" t="str">
        <f>IFERROR(__xludf.DUMMYFUNCTION("""COMPUTED_VALUE"""),"2025")</f>
        <v>2025</v>
      </c>
      <c r="G2327" s="35" t="str">
        <f>IFERROR(__xludf.DUMMYFUNCTION("""COMPUTED_VALUE"""),"ARIEF SAPTA WENDRIANTO")</f>
        <v>ARIEF SAPTA WENDRIANTO</v>
      </c>
      <c r="H2327" s="35" t="str">
        <f>IFERROR(__xludf.DUMMYFUNCTION("""COMPUTED_VALUE"""),"A6025048900")</f>
        <v>A6025048900</v>
      </c>
      <c r="I2327" s="35">
        <f>IFERROR(__xludf.DUMMYFUNCTION("""COMPUTED_VALUE"""),66.0)</f>
        <v>66</v>
      </c>
      <c r="J2327" s="35" t="str">
        <f>IFERROR(__xludf.DUMMYFUNCTION("""COMPUTED_VALUE"""),"&gt; 44 tahun")</f>
        <v>&gt; 44 tahun</v>
      </c>
      <c r="K2327" s="21" t="str">
        <f>IFERROR(__xludf.DUMMYFUNCTION("""COMPUTED_VALUE"""),"31/03/1960")</f>
        <v>31/03/1960</v>
      </c>
      <c r="L2327" s="21" t="str">
        <f>IFERROR(__xludf.DUMMYFUNCTION("""COMPUTED_VALUE"""),"LAKI-LAKI")</f>
        <v>LAKI-LAKI</v>
      </c>
      <c r="M2327" s="35" t="str">
        <f>IFERROR(__xludf.DUMMYFUNCTION("""COMPUTED_VALUE"""),"JL KARYABARU GG KARYABARU 3 NO 6")</f>
        <v>JL KARYABARU GG KARYABARU 3 NO 6</v>
      </c>
      <c r="N2327" s="35" t="str">
        <f>IFERROR(__xludf.DUMMYFUNCTION("""COMPUTED_VALUE"""),"PARIT TOKAYA")</f>
        <v>PARIT TOKAYA</v>
      </c>
      <c r="O2327" s="35" t="str">
        <f>IFERROR(__xludf.DUMMYFUNCTION("""COMPUTED_VALUE"""),"PONTIANAK SELATAN")</f>
        <v>PONTIANAK SELATAN</v>
      </c>
      <c r="P2327" s="35" t="str">
        <f>IFERROR(__xludf.DUMMYFUNCTION("""COMPUTED_VALUE"""),"KOTA PONTIANAK")</f>
        <v>KOTA PONTIANAK</v>
      </c>
      <c r="Q2327" s="35" t="str">
        <f>IFERROR(__xludf.DUMMYFUNCTION("""COMPUTED_VALUE"""),"KALBAR")</f>
        <v>KALBAR</v>
      </c>
      <c r="R2327" s="21" t="str">
        <f>IFERROR(__xludf.DUMMYFUNCTION("""COMPUTED_VALUE"""),"KHONGHUCU")</f>
        <v>KHONGHUCU</v>
      </c>
      <c r="S2327" s="74" t="str">
        <f>IFERROR(__xludf.DUMMYFUNCTION("""COMPUTED_VALUE"""),"KONSULTAN PAJAK")</f>
        <v>KONSULTAN PAJAK</v>
      </c>
      <c r="T2327" s="35" t="str">
        <f>IFERROR(__xludf.DUMMYFUNCTION("""COMPUTED_VALUE"""),"SAKET LEHER")</f>
        <v>SAKET LEHER</v>
      </c>
      <c r="U2327" s="35" t="str">
        <f>IFERROR(__xludf.DUMMYFUNCTION("""COMPUTED_VALUE"""),"KERJE KERJE KERJE !!!!")</f>
        <v>KERJE KERJE KERJE !!!!</v>
      </c>
      <c r="V2327" s="37" t="str">
        <f>IFERROR(__xludf.DUMMYFUNCTION("""COMPUTED_VALUE"""),"0811578900")</f>
        <v>0811578900</v>
      </c>
      <c r="W2327" s="45"/>
    </row>
    <row r="2328">
      <c r="A2328" s="45"/>
      <c r="B2328" s="24" t="str">
        <f>IFERROR(__xludf.DUMMYFUNCTION("""COMPUTED_VALUE"""),"22/03/2025 22:18:30")</f>
        <v>22/03/2025 22:18:30</v>
      </c>
      <c r="C2328" s="35"/>
      <c r="D2328" s="10">
        <f>IFERROR(__xludf.DUMMYFUNCTION("""COMPUTED_VALUE"""),45763.0)</f>
        <v>45763</v>
      </c>
      <c r="E2328" s="35" t="str">
        <f>IFERROR(__xludf.DUMMYFUNCTION("""COMPUTED_VALUE"""),"04Apr")</f>
        <v>04Apr</v>
      </c>
      <c r="F2328" s="34" t="str">
        <f>IFERROR(__xludf.DUMMYFUNCTION("""COMPUTED_VALUE"""),"2025")</f>
        <v>2025</v>
      </c>
      <c r="G2328" s="35" t="str">
        <f>IFERROR(__xludf.DUMMYFUNCTION("""COMPUTED_VALUE"""),"DEWI MASHARANI")</f>
        <v>DEWI MASHARANI</v>
      </c>
      <c r="H2328" s="35" t="str">
        <f>IFERROR(__xludf.DUMMYFUNCTION("""COMPUTED_VALUE"""),"D6325049536")</f>
        <v>D6325049536</v>
      </c>
      <c r="I2328" s="35">
        <f>IFERROR(__xludf.DUMMYFUNCTION("""COMPUTED_VALUE"""),63.0)</f>
        <v>63</v>
      </c>
      <c r="J2328" s="35" t="str">
        <f>IFERROR(__xludf.DUMMYFUNCTION("""COMPUTED_VALUE"""),"&gt; 44 tahun")</f>
        <v>&gt; 44 tahun</v>
      </c>
      <c r="K2328" s="21" t="str">
        <f>IFERROR(__xludf.DUMMYFUNCTION("""COMPUTED_VALUE"""),"01/04/1963")</f>
        <v>01/04/1963</v>
      </c>
      <c r="L2328" s="21" t="str">
        <f>IFERROR(__xludf.DUMMYFUNCTION("""COMPUTED_VALUE"""),"PEREMPUAN")</f>
        <v>PEREMPUAN</v>
      </c>
      <c r="M2328" s="35" t="str">
        <f>IFERROR(__xludf.DUMMYFUNCTION("""COMPUTED_VALUE"""),"JL. KOMYOS SUDARSO GG. TENGKAWANG")</f>
        <v>JL. KOMYOS SUDARSO GG. TENGKAWANG</v>
      </c>
      <c r="N2328" s="35" t="str">
        <f>IFERROR(__xludf.DUMMYFUNCTION("""COMPUTED_VALUE"""),"SUNGAI BELIUNG")</f>
        <v>SUNGAI BELIUNG</v>
      </c>
      <c r="O2328" s="35" t="str">
        <f>IFERROR(__xludf.DUMMYFUNCTION("""COMPUTED_VALUE"""),"PONTIANAK BARAT")</f>
        <v>PONTIANAK BARAT</v>
      </c>
      <c r="P2328" s="35" t="str">
        <f>IFERROR(__xludf.DUMMYFUNCTION("""COMPUTED_VALUE"""),"PONTIANAK")</f>
        <v>PONTIANAK</v>
      </c>
      <c r="Q2328" s="35" t="str">
        <f>IFERROR(__xludf.DUMMYFUNCTION("""COMPUTED_VALUE"""),"KALIMANTAN BARAT")</f>
        <v>KALIMANTAN BARAT</v>
      </c>
      <c r="R2328" s="21" t="str">
        <f>IFERROR(__xludf.DUMMYFUNCTION("""COMPUTED_VALUE"""),"ISLAM")</f>
        <v>ISLAM</v>
      </c>
      <c r="S2328" s="74" t="str">
        <f>IFERROR(__xludf.DUMMYFUNCTION("""COMPUTED_VALUE"""),"IRT")</f>
        <v>IRT</v>
      </c>
      <c r="T2328" s="35" t="str">
        <f>IFERROR(__xludf.DUMMYFUNCTION("""COMPUTED_VALUE"""),"PINGGANG SMPE KE BETIS")</f>
        <v>PINGGANG SMPE KE BETIS</v>
      </c>
      <c r="U2328" s="35" t="str">
        <f>IFERROR(__xludf.DUMMYFUNCTION("""COMPUTED_VALUE"""),"SERING MENGERJAKAN PEKERJAAN RUMAH TANGGA")</f>
        <v>SERING MENGERJAKAN PEKERJAAN RUMAH TANGGA</v>
      </c>
      <c r="V2328" s="37" t="str">
        <f>IFERROR(__xludf.DUMMYFUNCTION("""COMPUTED_VALUE"""),"081256079536")</f>
        <v>081256079536</v>
      </c>
      <c r="W2328" s="45"/>
    </row>
    <row r="2329">
      <c r="A2329" s="45"/>
      <c r="B2329" s="24" t="str">
        <f>IFERROR(__xludf.DUMMYFUNCTION("""COMPUTED_VALUE"""),"23/03/2025 10:39:36")</f>
        <v>23/03/2025 10:39:36</v>
      </c>
      <c r="C2329" s="35"/>
      <c r="D2329" s="10">
        <f>IFERROR(__xludf.DUMMYFUNCTION("""COMPUTED_VALUE"""),45763.0)</f>
        <v>45763</v>
      </c>
      <c r="E2329" s="35" t="str">
        <f>IFERROR(__xludf.DUMMYFUNCTION("""COMPUTED_VALUE"""),"04Apr")</f>
        <v>04Apr</v>
      </c>
      <c r="F2329" s="34" t="str">
        <f>IFERROR(__xludf.DUMMYFUNCTION("""COMPUTED_VALUE"""),"2025")</f>
        <v>2025</v>
      </c>
      <c r="G2329" s="35" t="str">
        <f>IFERROR(__xludf.DUMMYFUNCTION("""COMPUTED_VALUE"""),"SATRIYANTO")</f>
        <v>SATRIYANTO</v>
      </c>
      <c r="H2329" s="35" t="str">
        <f>IFERROR(__xludf.DUMMYFUNCTION("""COMPUTED_VALUE"""),"S9625040113")</f>
        <v>S9625040113</v>
      </c>
      <c r="I2329" s="35">
        <f>IFERROR(__xludf.DUMMYFUNCTION("""COMPUTED_VALUE"""),30.0)</f>
        <v>30</v>
      </c>
      <c r="J2329" s="35" t="str">
        <f>IFERROR(__xludf.DUMMYFUNCTION("""COMPUTED_VALUE"""),"25-34 tahun")</f>
        <v>25-34 tahun</v>
      </c>
      <c r="K2329" s="21" t="str">
        <f>IFERROR(__xludf.DUMMYFUNCTION("""COMPUTED_VALUE"""),"26/03/1996")</f>
        <v>26/03/1996</v>
      </c>
      <c r="L2329" s="21" t="str">
        <f>IFERROR(__xludf.DUMMYFUNCTION("""COMPUTED_VALUE"""),"LAKI-LAKI")</f>
        <v>LAKI-LAKI</v>
      </c>
      <c r="M2329" s="35" t="str">
        <f>IFERROR(__xludf.DUMMYFUNCTION("""COMPUTED_VALUE"""),"JALAN PAHLAWAN")</f>
        <v>JALAN PAHLAWAN</v>
      </c>
      <c r="N2329" s="35" t="str">
        <f>IFERROR(__xludf.DUMMYFUNCTION("""COMPUTED_VALUE"""),"PONTIANAK")</f>
        <v>PONTIANAK</v>
      </c>
      <c r="O2329" s="35" t="str">
        <f>IFERROR(__xludf.DUMMYFUNCTION("""COMPUTED_VALUE"""),"PONTIANAK")</f>
        <v>PONTIANAK</v>
      </c>
      <c r="P2329" s="35" t="str">
        <f>IFERROR(__xludf.DUMMYFUNCTION("""COMPUTED_VALUE"""),"PONTIANAK")</f>
        <v>PONTIANAK</v>
      </c>
      <c r="Q2329" s="35" t="str">
        <f>IFERROR(__xludf.DUMMYFUNCTION("""COMPUTED_VALUE"""),"KALIMANTAN BARAT")</f>
        <v>KALIMANTAN BARAT</v>
      </c>
      <c r="R2329" s="21" t="str">
        <f>IFERROR(__xludf.DUMMYFUNCTION("""COMPUTED_VALUE"""),"ISLAM")</f>
        <v>ISLAM</v>
      </c>
      <c r="S2329" s="74" t="str">
        <f>IFERROR(__xludf.DUMMYFUNCTION("""COMPUTED_VALUE"""),"KARYAWAN SWASTA")</f>
        <v>KARYAWAN SWASTA</v>
      </c>
      <c r="T2329" s="35" t="str">
        <f>IFERROR(__xludf.DUMMYFUNCTION("""COMPUTED_VALUE"""),"PERGELANGAN TANGAN SAKIT")</f>
        <v>PERGELANGAN TANGAN SAKIT</v>
      </c>
      <c r="U2329" s="35" t="str">
        <f>IFERROR(__xludf.DUMMYFUNCTION("""COMPUTED_VALUE"""),"BEKERJA/FUTSAL")</f>
        <v>BEKERJA/FUTSAL</v>
      </c>
      <c r="V2329" s="37" t="str">
        <f>IFERROR(__xludf.DUMMYFUNCTION("""COMPUTED_VALUE"""),"082148060113")</f>
        <v>082148060113</v>
      </c>
      <c r="W2329" s="45"/>
    </row>
    <row r="2330">
      <c r="A2330" s="45"/>
      <c r="B2330" s="24" t="str">
        <f>IFERROR(__xludf.DUMMYFUNCTION("""COMPUTED_VALUE"""),"23/03/2025 16:11:48")</f>
        <v>23/03/2025 16:11:48</v>
      </c>
      <c r="C2330" s="35"/>
      <c r="D2330" s="10">
        <f>IFERROR(__xludf.DUMMYFUNCTION("""COMPUTED_VALUE"""),45763.0)</f>
        <v>45763</v>
      </c>
      <c r="E2330" s="35" t="str">
        <f>IFERROR(__xludf.DUMMYFUNCTION("""COMPUTED_VALUE"""),"04Apr")</f>
        <v>04Apr</v>
      </c>
      <c r="F2330" s="34" t="str">
        <f>IFERROR(__xludf.DUMMYFUNCTION("""COMPUTED_VALUE"""),"2025")</f>
        <v>2025</v>
      </c>
      <c r="G2330" s="35" t="str">
        <f>IFERROR(__xludf.DUMMYFUNCTION("""COMPUTED_VALUE"""),"FATHAN AYATURROHMAN")</f>
        <v>FATHAN AYATURROHMAN</v>
      </c>
      <c r="H2330" s="35" t="str">
        <f>IFERROR(__xludf.DUMMYFUNCTION("""COMPUTED_VALUE"""),"F0425040311")</f>
        <v>F0425040311</v>
      </c>
      <c r="I2330" s="35">
        <f>IFERROR(__xludf.DUMMYFUNCTION("""COMPUTED_VALUE"""),21.0)</f>
        <v>21</v>
      </c>
      <c r="J2330" s="35" t="str">
        <f>IFERROR(__xludf.DUMMYFUNCTION("""COMPUTED_VALUE"""),"18-24 tahun")</f>
        <v>18-24 tahun</v>
      </c>
      <c r="K2330" s="21">
        <f>IFERROR(__xludf.DUMMYFUNCTION("""COMPUTED_VALUE"""),38351.0)</f>
        <v>38351</v>
      </c>
      <c r="L2330" s="21" t="str">
        <f>IFERROR(__xludf.DUMMYFUNCTION("""COMPUTED_VALUE"""),"LAKI-LAKI")</f>
        <v>LAKI-LAKI</v>
      </c>
      <c r="M2330" s="35" t="str">
        <f>IFERROR(__xludf.DUMMYFUNCTION("""COMPUTED_VALUE"""),"JL, BRIGJEN KATAMSO GG SALAK")</f>
        <v>JL, BRIGJEN KATAMSO GG SALAK</v>
      </c>
      <c r="N2330" s="35" t="str">
        <f>IFERROR(__xludf.DUMMYFUNCTION("""COMPUTED_VALUE"""),"SUKEHARJA")</f>
        <v>SUKEHARJA</v>
      </c>
      <c r="O2330" s="35" t="str">
        <f>IFERROR(__xludf.DUMMYFUNCTION("""COMPUTED_VALUE"""),"DELTA PAWAN")</f>
        <v>DELTA PAWAN</v>
      </c>
      <c r="P2330" s="35" t="str">
        <f>IFERROR(__xludf.DUMMYFUNCTION("""COMPUTED_VALUE"""),"KETAPANG")</f>
        <v>KETAPANG</v>
      </c>
      <c r="Q2330" s="35" t="str">
        <f>IFERROR(__xludf.DUMMYFUNCTION("""COMPUTED_VALUE"""),"KALIMANTAN BARAT")</f>
        <v>KALIMANTAN BARAT</v>
      </c>
      <c r="R2330" s="21" t="str">
        <f>IFERROR(__xludf.DUMMYFUNCTION("""COMPUTED_VALUE"""),"ISLAM")</f>
        <v>ISLAM</v>
      </c>
      <c r="S2330" s="74" t="str">
        <f>IFERROR(__xludf.DUMMYFUNCTION("""COMPUTED_VALUE"""),"MAHASISWA")</f>
        <v>MAHASISWA</v>
      </c>
      <c r="T2330" s="35" t="str">
        <f>IFERROR(__xludf.DUMMYFUNCTION("""COMPUTED_VALUE"""),"CIDERA LUTUT")</f>
        <v>CIDERA LUTUT</v>
      </c>
      <c r="U2330" s="35" t="str">
        <f>IFERROR(__xludf.DUMMYFUNCTION("""COMPUTED_VALUE"""),"JOGING, FUTSAL")</f>
        <v>JOGING, FUTSAL</v>
      </c>
      <c r="V2330" s="37" t="str">
        <f>IFERROR(__xludf.DUMMYFUNCTION("""COMPUTED_VALUE"""),"0895326170311")</f>
        <v>0895326170311</v>
      </c>
      <c r="W2330" s="45"/>
    </row>
    <row r="2331">
      <c r="A2331" s="45"/>
      <c r="B2331" s="24" t="str">
        <f>IFERROR(__xludf.DUMMYFUNCTION("""COMPUTED_VALUE"""),"20/03/2025 19:23:19")</f>
        <v>20/03/2025 19:23:19</v>
      </c>
      <c r="C2331" s="35"/>
      <c r="D2331" s="10">
        <f>IFERROR(__xludf.DUMMYFUNCTION("""COMPUTED_VALUE"""),45763.0)</f>
        <v>45763</v>
      </c>
      <c r="E2331" s="35" t="str">
        <f>IFERROR(__xludf.DUMMYFUNCTION("""COMPUTED_VALUE"""),"04Apr")</f>
        <v>04Apr</v>
      </c>
      <c r="F2331" s="34" t="str">
        <f>IFERROR(__xludf.DUMMYFUNCTION("""COMPUTED_VALUE"""),"2025")</f>
        <v>2025</v>
      </c>
      <c r="G2331" s="35" t="str">
        <f>IFERROR(__xludf.DUMMYFUNCTION("""COMPUTED_VALUE"""),"WARNO YULISTIO")</f>
        <v>WARNO YULISTIO</v>
      </c>
      <c r="H2331" s="35" t="str">
        <f>IFERROR(__xludf.DUMMYFUNCTION("""COMPUTED_VALUE"""),"W9325043069")</f>
        <v>W9325043069</v>
      </c>
      <c r="I2331" s="35">
        <f>IFERROR(__xludf.DUMMYFUNCTION("""COMPUTED_VALUE"""),32.0)</f>
        <v>32</v>
      </c>
      <c r="J2331" s="35" t="str">
        <f>IFERROR(__xludf.DUMMYFUNCTION("""COMPUTED_VALUE"""),"25-34 tahun")</f>
        <v>25-34 tahun</v>
      </c>
      <c r="K2331" s="21" t="str">
        <f>IFERROR(__xludf.DUMMYFUNCTION("""COMPUTED_VALUE"""),"24/07/0093")</f>
        <v>24/07/0093</v>
      </c>
      <c r="L2331" s="21" t="str">
        <f>IFERROR(__xludf.DUMMYFUNCTION("""COMPUTED_VALUE"""),"LAKI-LAKI")</f>
        <v>LAKI-LAKI</v>
      </c>
      <c r="M2331" s="35" t="str">
        <f>IFERROR(__xludf.DUMMYFUNCTION("""COMPUTED_VALUE"""),"GRAHA KIRANA 11 NO.A19")</f>
        <v>GRAHA KIRANA 11 NO.A19</v>
      </c>
      <c r="N2331" s="35" t="str">
        <f>IFERROR(__xludf.DUMMYFUNCTION("""COMPUTED_VALUE"""),"SUNGAI BELIUNG")</f>
        <v>SUNGAI BELIUNG</v>
      </c>
      <c r="O2331" s="35" t="str">
        <f>IFERROR(__xludf.DUMMYFUNCTION("""COMPUTED_VALUE"""),"PONTIANAK BARAT")</f>
        <v>PONTIANAK BARAT</v>
      </c>
      <c r="P2331" s="35" t="str">
        <f>IFERROR(__xludf.DUMMYFUNCTION("""COMPUTED_VALUE"""),"PONTIANAK")</f>
        <v>PONTIANAK</v>
      </c>
      <c r="Q2331" s="35" t="str">
        <f>IFERROR(__xludf.DUMMYFUNCTION("""COMPUTED_VALUE"""),"KALIMANTAN BARAT")</f>
        <v>KALIMANTAN BARAT</v>
      </c>
      <c r="R2331" s="21" t="str">
        <f>IFERROR(__xludf.DUMMYFUNCTION("""COMPUTED_VALUE"""),"KATOLIK")</f>
        <v>KATOLIK</v>
      </c>
      <c r="S2331" s="74" t="str">
        <f>IFERROR(__xludf.DUMMYFUNCTION("""COMPUTED_VALUE"""),"PEGAWAI SWASTA")</f>
        <v>PEGAWAI SWASTA</v>
      </c>
      <c r="T2331" s="35" t="str">
        <f>IFERROR(__xludf.DUMMYFUNCTION("""COMPUTED_VALUE"""),"PHYSIOTHERAPY")</f>
        <v>PHYSIOTHERAPY</v>
      </c>
      <c r="U2331" s="35" t="str">
        <f>IFERROR(__xludf.DUMMYFUNCTION("""COMPUTED_VALUE"""),"BASKET")</f>
        <v>BASKET</v>
      </c>
      <c r="V2331" s="37" t="str">
        <f>IFERROR(__xludf.DUMMYFUNCTION("""COMPUTED_VALUE"""),"083816473069")</f>
        <v>083816473069</v>
      </c>
      <c r="W2331" s="45"/>
    </row>
    <row r="2332">
      <c r="A2332" s="45"/>
      <c r="B2332" s="24" t="str">
        <f>IFERROR(__xludf.DUMMYFUNCTION("""COMPUTED_VALUE"""),"23/03/2025 16:11:48")</f>
        <v>23/03/2025 16:11:48</v>
      </c>
      <c r="C2332" s="35"/>
      <c r="D2332" s="10">
        <f>IFERROR(__xludf.DUMMYFUNCTION("""COMPUTED_VALUE"""),45764.0)</f>
        <v>45764</v>
      </c>
      <c r="E2332" s="35" t="str">
        <f>IFERROR(__xludf.DUMMYFUNCTION("""COMPUTED_VALUE"""),"04Apr")</f>
        <v>04Apr</v>
      </c>
      <c r="F2332" s="34" t="str">
        <f>IFERROR(__xludf.DUMMYFUNCTION("""COMPUTED_VALUE"""),"2025")</f>
        <v>2025</v>
      </c>
      <c r="G2332" s="35" t="str">
        <f>IFERROR(__xludf.DUMMYFUNCTION("""COMPUTED_VALUE"""),"HASAN")</f>
        <v>HASAN</v>
      </c>
      <c r="H2332" s="35" t="str">
        <f>IFERROR(__xludf.DUMMYFUNCTION("""COMPUTED_VALUE"""),"H7825048850")</f>
        <v>H7825048850</v>
      </c>
      <c r="I2332" s="35">
        <f>IFERROR(__xludf.DUMMYFUNCTION("""COMPUTED_VALUE"""),48.0)</f>
        <v>48</v>
      </c>
      <c r="J2332" s="35" t="str">
        <f>IFERROR(__xludf.DUMMYFUNCTION("""COMPUTED_VALUE"""),"&gt; 44 tahun")</f>
        <v>&gt; 44 tahun</v>
      </c>
      <c r="K2332" s="21" t="str">
        <f>IFERROR(__xludf.DUMMYFUNCTION("""COMPUTED_VALUE"""),"08/05/1978")</f>
        <v>08/05/1978</v>
      </c>
      <c r="L2332" s="21" t="str">
        <f>IFERROR(__xludf.DUMMYFUNCTION("""COMPUTED_VALUE"""),"LAKI-LAKI")</f>
        <v>LAKI-LAKI</v>
      </c>
      <c r="M2332" s="35" t="str">
        <f>IFERROR(__xludf.DUMMYFUNCTION("""COMPUTED_VALUE"""),"RUNGKUTA ASRI UTARA II")</f>
        <v>RUNGKUTA ASRI UTARA II</v>
      </c>
      <c r="N2332" s="35" t="str">
        <f>IFERROR(__xludf.DUMMYFUNCTION("""COMPUTED_VALUE"""),"KALI RUNGKUT")</f>
        <v>KALI RUNGKUT</v>
      </c>
      <c r="O2332" s="35" t="str">
        <f>IFERROR(__xludf.DUMMYFUNCTION("""COMPUTED_VALUE"""),"RUNGKUT")</f>
        <v>RUNGKUT</v>
      </c>
      <c r="P2332" s="35" t="str">
        <f>IFERROR(__xludf.DUMMYFUNCTION("""COMPUTED_VALUE"""),"SURABAYA")</f>
        <v>SURABAYA</v>
      </c>
      <c r="Q2332" s="35" t="str">
        <f>IFERROR(__xludf.DUMMYFUNCTION("""COMPUTED_VALUE"""),"JAWA TIMUR")</f>
        <v>JAWA TIMUR</v>
      </c>
      <c r="R2332" s="21" t="str">
        <f>IFERROR(__xludf.DUMMYFUNCTION("""COMPUTED_VALUE"""),"ISLAM")</f>
        <v>ISLAM</v>
      </c>
      <c r="S2332" s="74" t="str">
        <f>IFERROR(__xludf.DUMMYFUNCTION("""COMPUTED_VALUE"""),"TNI AL")</f>
        <v>TNI AL</v>
      </c>
      <c r="T2332" s="35" t="str">
        <f>IFERROR(__xludf.DUMMYFUNCTION("""COMPUTED_VALUE"""),"SARAF KEJEPIT DI LEHER")</f>
        <v>SARAF KEJEPIT DI LEHER</v>
      </c>
      <c r="U2332" s="35" t="str">
        <f>IFERROR(__xludf.DUMMYFUNCTION("""COMPUTED_VALUE"""),"OLAH RAGA GYM/FITNESS")</f>
        <v>OLAH RAGA GYM/FITNESS</v>
      </c>
      <c r="V2332" s="37" t="str">
        <f>IFERROR(__xludf.DUMMYFUNCTION("""COMPUTED_VALUE"""),"081252358850")</f>
        <v>081252358850</v>
      </c>
      <c r="W2332" s="45"/>
    </row>
    <row r="2333">
      <c r="A2333" s="45"/>
      <c r="B2333" s="24" t="str">
        <f>IFERROR(__xludf.DUMMYFUNCTION("""COMPUTED_VALUE"""),"23/03/2025 17:44:24")</f>
        <v>23/03/2025 17:44:24</v>
      </c>
      <c r="C2333" s="35"/>
      <c r="D2333" s="10">
        <f>IFERROR(__xludf.DUMMYFUNCTION("""COMPUTED_VALUE"""),45772.0)</f>
        <v>45772</v>
      </c>
      <c r="E2333" s="35" t="str">
        <f>IFERROR(__xludf.DUMMYFUNCTION("""COMPUTED_VALUE"""),"04Apr")</f>
        <v>04Apr</v>
      </c>
      <c r="F2333" s="34" t="str">
        <f>IFERROR(__xludf.DUMMYFUNCTION("""COMPUTED_VALUE"""),"2025")</f>
        <v>2025</v>
      </c>
      <c r="G2333" s="35" t="str">
        <f>IFERROR(__xludf.DUMMYFUNCTION("""COMPUTED_VALUE"""),"TIFANI FARISKA")</f>
        <v>TIFANI FARISKA</v>
      </c>
      <c r="H2333" s="35" t="str">
        <f>IFERROR(__xludf.DUMMYFUNCTION("""COMPUTED_VALUE"""),"T9325043895")</f>
        <v>T9325043895</v>
      </c>
      <c r="I2333" s="35">
        <f>IFERROR(__xludf.DUMMYFUNCTION("""COMPUTED_VALUE"""),33.0)</f>
        <v>33</v>
      </c>
      <c r="J2333" s="35" t="str">
        <f>IFERROR(__xludf.DUMMYFUNCTION("""COMPUTED_VALUE"""),"25-34 tahun")</f>
        <v>25-34 tahun</v>
      </c>
      <c r="K2333" s="21" t="str">
        <f>IFERROR(__xludf.DUMMYFUNCTION("""COMPUTED_VALUE"""),"11/01/1993")</f>
        <v>11/01/1993</v>
      </c>
      <c r="L2333" s="21" t="str">
        <f>IFERROR(__xludf.DUMMYFUNCTION("""COMPUTED_VALUE"""),"PEREMPUAN")</f>
        <v>PEREMPUAN</v>
      </c>
      <c r="M2333" s="35" t="str">
        <f>IFERROR(__xludf.DUMMYFUNCTION("""COMPUTED_VALUE"""),"MEKAR AYU")</f>
        <v>MEKAR AYU</v>
      </c>
      <c r="N2333" s="35" t="str">
        <f>IFERROR(__xludf.DUMMYFUNCTION("""COMPUTED_VALUE"""),"MEKAR AYU")</f>
        <v>MEKAR AYU</v>
      </c>
      <c r="O2333" s="35" t="str">
        <f>IFERROR(__xludf.DUMMYFUNCTION("""COMPUTED_VALUE"""),"TIMANG GAJAH")</f>
        <v>TIMANG GAJAH</v>
      </c>
      <c r="P2333" s="35" t="str">
        <f>IFERROR(__xludf.DUMMYFUNCTION("""COMPUTED_VALUE"""),"BENER MERIAH")</f>
        <v>BENER MERIAH</v>
      </c>
      <c r="Q2333" s="35" t="str">
        <f>IFERROR(__xludf.DUMMYFUNCTION("""COMPUTED_VALUE"""),"ACEH")</f>
        <v>ACEH</v>
      </c>
      <c r="R2333" s="21" t="str">
        <f>IFERROR(__xludf.DUMMYFUNCTION("""COMPUTED_VALUE"""),"ISLAM")</f>
        <v>ISLAM</v>
      </c>
      <c r="S2333" s="74" t="str">
        <f>IFERROR(__xludf.DUMMYFUNCTION("""COMPUTED_VALUE"""),"IRT")</f>
        <v>IRT</v>
      </c>
      <c r="T2333" s="35" t="str">
        <f>IFERROR(__xludf.DUMMYFUNCTION("""COMPUTED_VALUE"""),"SAKIT BAGIAN PINGGANG DAN PINGGUL")</f>
        <v>SAKIT BAGIAN PINGGANG DAN PINGGUL</v>
      </c>
      <c r="U2333" s="35" t="str">
        <f>IFERROR(__xludf.DUMMYFUNCTION("""COMPUTED_VALUE"""),"GENDONG BAYI DAN BERES-BERES RUMAH")</f>
        <v>GENDONG BAYI DAN BERES-BERES RUMAH</v>
      </c>
      <c r="V2333" s="37" t="str">
        <f>IFERROR(__xludf.DUMMYFUNCTION("""COMPUTED_VALUE"""),"082260333895")</f>
        <v>082260333895</v>
      </c>
      <c r="W2333" s="45"/>
    </row>
    <row r="2334">
      <c r="A2334" s="45"/>
      <c r="B2334" s="24" t="str">
        <f>IFERROR(__xludf.DUMMYFUNCTION("""COMPUTED_VALUE"""),"24/03/2025 9:35:01")</f>
        <v>24/03/2025 9:35:01</v>
      </c>
      <c r="C2334" s="35"/>
      <c r="D2334" s="10">
        <f>IFERROR(__xludf.DUMMYFUNCTION("""COMPUTED_VALUE"""),45764.0)</f>
        <v>45764</v>
      </c>
      <c r="E2334" s="35" t="str">
        <f>IFERROR(__xludf.DUMMYFUNCTION("""COMPUTED_VALUE"""),"04Apr")</f>
        <v>04Apr</v>
      </c>
      <c r="F2334" s="34" t="str">
        <f>IFERROR(__xludf.DUMMYFUNCTION("""COMPUTED_VALUE"""),"2025")</f>
        <v>2025</v>
      </c>
      <c r="G2334" s="35" t="str">
        <f>IFERROR(__xludf.DUMMYFUNCTION("""COMPUTED_VALUE"""),"IWAN SETIAWAN8204")</f>
        <v>IWAN SETIAWAN8204</v>
      </c>
      <c r="H2334" s="35" t="str">
        <f>IFERROR(__xludf.DUMMYFUNCTION("""COMPUTED_VALUE"""),"I8225042012")</f>
        <v>I8225042012</v>
      </c>
      <c r="I2334" s="35">
        <f>IFERROR(__xludf.DUMMYFUNCTION("""COMPUTED_VALUE"""),44.0)</f>
        <v>44</v>
      </c>
      <c r="J2334" s="35" t="str">
        <f>IFERROR(__xludf.DUMMYFUNCTION("""COMPUTED_VALUE"""),"35-44 tahun")</f>
        <v>35-44 tahun</v>
      </c>
      <c r="K2334" s="21" t="str">
        <f>IFERROR(__xludf.DUMMYFUNCTION("""COMPUTED_VALUE"""),"27/04/1982")</f>
        <v>27/04/1982</v>
      </c>
      <c r="L2334" s="21" t="str">
        <f>IFERROR(__xludf.DUMMYFUNCTION("""COMPUTED_VALUE"""),"LAKI-LAKI")</f>
        <v>LAKI-LAKI</v>
      </c>
      <c r="M2334" s="35" t="str">
        <f>IFERROR(__xludf.DUMMYFUNCTION("""COMPUTED_VALUE"""),"JLN KARYA BARU GG KARYA BARU 1")</f>
        <v>JLN KARYA BARU GG KARYA BARU 1</v>
      </c>
      <c r="N2334" s="35" t="str">
        <f>IFERROR(__xludf.DUMMYFUNCTION("""COMPUTED_VALUE"""),"PARIT TOKAYA")</f>
        <v>PARIT TOKAYA</v>
      </c>
      <c r="O2334" s="35" t="str">
        <f>IFERROR(__xludf.DUMMYFUNCTION("""COMPUTED_VALUE"""),"PONTIANAK SELATAN")</f>
        <v>PONTIANAK SELATAN</v>
      </c>
      <c r="P2334" s="35" t="str">
        <f>IFERROR(__xludf.DUMMYFUNCTION("""COMPUTED_VALUE"""),"KOTA PONTIANAK")</f>
        <v>KOTA PONTIANAK</v>
      </c>
      <c r="Q2334" s="35" t="str">
        <f>IFERROR(__xludf.DUMMYFUNCTION("""COMPUTED_VALUE"""),"KALBAR")</f>
        <v>KALBAR</v>
      </c>
      <c r="R2334" s="21" t="str">
        <f>IFERROR(__xludf.DUMMYFUNCTION("""COMPUTED_VALUE"""),"ISLAM")</f>
        <v>ISLAM</v>
      </c>
      <c r="S2334" s="74" t="str">
        <f>IFERROR(__xludf.DUMMYFUNCTION("""COMPUTED_VALUE"""),"KARYAWAN SWASTA")</f>
        <v>KARYAWAN SWASTA</v>
      </c>
      <c r="T2334" s="35" t="str">
        <f>IFERROR(__xludf.DUMMYFUNCTION("""COMPUTED_VALUE"""),"SAKIT PINGGANG")</f>
        <v>SAKIT PINGGANG</v>
      </c>
      <c r="U2334" s="35" t="str">
        <f>IFERROR(__xludf.DUMMYFUNCTION("""COMPUTED_VALUE"""),"BILYAR")</f>
        <v>BILYAR</v>
      </c>
      <c r="V2334" s="37" t="str">
        <f>IFERROR(__xludf.DUMMYFUNCTION("""COMPUTED_VALUE"""),"081256012012")</f>
        <v>081256012012</v>
      </c>
      <c r="W2334" s="45"/>
    </row>
    <row r="2335">
      <c r="A2335" s="45"/>
      <c r="B2335" s="24" t="str">
        <f>IFERROR(__xludf.DUMMYFUNCTION("""COMPUTED_VALUE"""),"24/03/2025 13:15:25")</f>
        <v>24/03/2025 13:15:25</v>
      </c>
      <c r="C2335" s="35"/>
      <c r="D2335" s="10">
        <f>IFERROR(__xludf.DUMMYFUNCTION("""COMPUTED_VALUE"""),45764.0)</f>
        <v>45764</v>
      </c>
      <c r="E2335" s="35" t="str">
        <f>IFERROR(__xludf.DUMMYFUNCTION("""COMPUTED_VALUE"""),"04Apr")</f>
        <v>04Apr</v>
      </c>
      <c r="F2335" s="34" t="str">
        <f>IFERROR(__xludf.DUMMYFUNCTION("""COMPUTED_VALUE"""),"2025")</f>
        <v>2025</v>
      </c>
      <c r="G2335" s="35" t="str">
        <f>IFERROR(__xludf.DUMMYFUNCTION("""COMPUTED_VALUE"""),"ADIL")</f>
        <v>ADIL</v>
      </c>
      <c r="H2335" s="35" t="str">
        <f>IFERROR(__xludf.DUMMYFUNCTION("""COMPUTED_VALUE"""),"A9425045500")</f>
        <v>A9425045500</v>
      </c>
      <c r="I2335" s="35">
        <f>IFERROR(__xludf.DUMMYFUNCTION("""COMPUTED_VALUE"""),32.0)</f>
        <v>32</v>
      </c>
      <c r="J2335" s="35" t="str">
        <f>IFERROR(__xludf.DUMMYFUNCTION("""COMPUTED_VALUE"""),"25-34 tahun")</f>
        <v>25-34 tahun</v>
      </c>
      <c r="K2335" s="21" t="str">
        <f>IFERROR(__xludf.DUMMYFUNCTION("""COMPUTED_VALUE"""),"20/04/1994")</f>
        <v>20/04/1994</v>
      </c>
      <c r="L2335" s="21" t="str">
        <f>IFERROR(__xludf.DUMMYFUNCTION("""COMPUTED_VALUE"""),"LAKI-LAKI")</f>
        <v>LAKI-LAKI</v>
      </c>
      <c r="M2335" s="35" t="str">
        <f>IFERROR(__xludf.DUMMYFUNCTION("""COMPUTED_VALUE"""),"PERUMNAS III GG BAKAU DALAM NO 81")</f>
        <v>PERUMNAS III GG BAKAU DALAM NO 81</v>
      </c>
      <c r="N2335" s="35" t="str">
        <f>IFERROR(__xludf.DUMMYFUNCTION("""COMPUTED_VALUE"""),"TANJUNG HULU")</f>
        <v>TANJUNG HULU</v>
      </c>
      <c r="O2335" s="35" t="str">
        <f>IFERROR(__xludf.DUMMYFUNCTION("""COMPUTED_VALUE"""),"PONTIANAK TIMUR")</f>
        <v>PONTIANAK TIMUR</v>
      </c>
      <c r="P2335" s="35" t="str">
        <f>IFERROR(__xludf.DUMMYFUNCTION("""COMPUTED_VALUE"""),"KOTA PONTIANAK")</f>
        <v>KOTA PONTIANAK</v>
      </c>
      <c r="Q2335" s="35" t="str">
        <f>IFERROR(__xludf.DUMMYFUNCTION("""COMPUTED_VALUE"""),"KALIMANTAN BARAT")</f>
        <v>KALIMANTAN BARAT</v>
      </c>
      <c r="R2335" s="21" t="str">
        <f>IFERROR(__xludf.DUMMYFUNCTION("""COMPUTED_VALUE"""),"ISLAM")</f>
        <v>ISLAM</v>
      </c>
      <c r="S2335" s="74" t="str">
        <f>IFERROR(__xludf.DUMMYFUNCTION("""COMPUTED_VALUE"""),"KARYAWAN")</f>
        <v>KARYAWAN</v>
      </c>
      <c r="T2335" s="35" t="str">
        <f>IFERROR(__xludf.DUMMYFUNCTION("""COMPUTED_VALUE"""),"LUTUT SEBELAH KIRI NYERI")</f>
        <v>LUTUT SEBELAH KIRI NYERI</v>
      </c>
      <c r="U2335" s="35" t="str">
        <f>IFERROR(__xludf.DUMMYFUNCTION("""COMPUTED_VALUE"""),"LARI, BADMINTON, HIKING")</f>
        <v>LARI, BADMINTON, HIKING</v>
      </c>
      <c r="V2335" s="37" t="str">
        <f>IFERROR(__xludf.DUMMYFUNCTION("""COMPUTED_VALUE"""),"081294025500")</f>
        <v>081294025500</v>
      </c>
      <c r="W2335" s="45"/>
    </row>
    <row r="2336">
      <c r="A2336" s="45"/>
      <c r="B2336" s="24" t="str">
        <f>IFERROR(__xludf.DUMMYFUNCTION("""COMPUTED_VALUE"""),"24/03/2025 16:58:43")</f>
        <v>24/03/2025 16:58:43</v>
      </c>
      <c r="C2336" s="35"/>
      <c r="D2336" s="10">
        <f>IFERROR(__xludf.DUMMYFUNCTION("""COMPUTED_VALUE"""),45766.0)</f>
        <v>45766</v>
      </c>
      <c r="E2336" s="35" t="str">
        <f>IFERROR(__xludf.DUMMYFUNCTION("""COMPUTED_VALUE"""),"04Apr")</f>
        <v>04Apr</v>
      </c>
      <c r="F2336" s="34" t="str">
        <f>IFERROR(__xludf.DUMMYFUNCTION("""COMPUTED_VALUE"""),"2025")</f>
        <v>2025</v>
      </c>
      <c r="G2336" s="35" t="str">
        <f>IFERROR(__xludf.DUMMYFUNCTION("""COMPUTED_VALUE"""),"HANAPI")</f>
        <v>HANAPI</v>
      </c>
      <c r="H2336" s="35" t="str">
        <f>IFERROR(__xludf.DUMMYFUNCTION("""COMPUTED_VALUE"""),"H6725049807")</f>
        <v>H6725049807</v>
      </c>
      <c r="I2336" s="35">
        <f>IFERROR(__xludf.DUMMYFUNCTION("""COMPUTED_VALUE"""),59.0)</f>
        <v>59</v>
      </c>
      <c r="J2336" s="35" t="str">
        <f>IFERROR(__xludf.DUMMYFUNCTION("""COMPUTED_VALUE"""),"&gt; 44 tahun")</f>
        <v>&gt; 44 tahun</v>
      </c>
      <c r="K2336" s="21">
        <f>IFERROR(__xludf.DUMMYFUNCTION("""COMPUTED_VALUE"""),24544.0)</f>
        <v>24544</v>
      </c>
      <c r="L2336" s="21" t="str">
        <f>IFERROR(__xludf.DUMMYFUNCTION("""COMPUTED_VALUE"""),"LAKI-LAKI")</f>
        <v>LAKI-LAKI</v>
      </c>
      <c r="M2336" s="35" t="str">
        <f>IFERROR(__xludf.DUMMYFUNCTION("""COMPUTED_VALUE"""),"JL H RAIS ARAHMAN GG NUSA NO 55")</f>
        <v>JL H RAIS ARAHMAN GG NUSA NO 55</v>
      </c>
      <c r="N2336" s="35" t="str">
        <f>IFERROR(__xludf.DUMMYFUNCTION("""COMPUTED_VALUE"""),"SUNGAI JAWI")</f>
        <v>SUNGAI JAWI</v>
      </c>
      <c r="O2336" s="35" t="str">
        <f>IFERROR(__xludf.DUMMYFUNCTION("""COMPUTED_VALUE"""),"PONTIANAK KOTA")</f>
        <v>PONTIANAK KOTA</v>
      </c>
      <c r="P2336" s="35" t="str">
        <f>IFERROR(__xludf.DUMMYFUNCTION("""COMPUTED_VALUE"""),"PONTIANAK")</f>
        <v>PONTIANAK</v>
      </c>
      <c r="Q2336" s="35" t="str">
        <f>IFERROR(__xludf.DUMMYFUNCTION("""COMPUTED_VALUE"""),"KALIMANTAN BARAT")</f>
        <v>KALIMANTAN BARAT</v>
      </c>
      <c r="R2336" s="21" t="str">
        <f>IFERROR(__xludf.DUMMYFUNCTION("""COMPUTED_VALUE"""),"ISLAM")</f>
        <v>ISLAM</v>
      </c>
      <c r="S2336" s="74" t="str">
        <f>IFERROR(__xludf.DUMMYFUNCTION("""COMPUTED_VALUE"""),"PENSIUNAN PNS")</f>
        <v>PENSIUNAN PNS</v>
      </c>
      <c r="T2336" s="35" t="str">
        <f>IFERROR(__xludf.DUMMYFUNCTION("""COMPUTED_VALUE"""),"SUSAH BERJALAN")</f>
        <v>SUSAH BERJALAN</v>
      </c>
      <c r="U2336" s="35" t="str">
        <f>IFERROR(__xludf.DUMMYFUNCTION("""COMPUTED_VALUE"""),"JALAN2 BAWA MOTOR")</f>
        <v>JALAN2 BAWA MOTOR</v>
      </c>
      <c r="V2336" s="37" t="str">
        <f>IFERROR(__xludf.DUMMYFUNCTION("""COMPUTED_VALUE"""),"0895701769807")</f>
        <v>0895701769807</v>
      </c>
      <c r="W2336" s="45"/>
    </row>
    <row r="2337">
      <c r="A2337" s="45"/>
      <c r="B2337" s="24" t="str">
        <f>IFERROR(__xludf.DUMMYFUNCTION("""COMPUTED_VALUE"""),"25/03/2025 14:57:34")</f>
        <v>25/03/2025 14:57:34</v>
      </c>
      <c r="C2337" s="35"/>
      <c r="D2337" s="10">
        <f>IFERROR(__xludf.DUMMYFUNCTION("""COMPUTED_VALUE"""),45766.0)</f>
        <v>45766</v>
      </c>
      <c r="E2337" s="35" t="str">
        <f>IFERROR(__xludf.DUMMYFUNCTION("""COMPUTED_VALUE"""),"04Apr")</f>
        <v>04Apr</v>
      </c>
      <c r="F2337" s="34" t="str">
        <f>IFERROR(__xludf.DUMMYFUNCTION("""COMPUTED_VALUE"""),"2025")</f>
        <v>2025</v>
      </c>
      <c r="G2337" s="35" t="str">
        <f>IFERROR(__xludf.DUMMYFUNCTION("""COMPUTED_VALUE"""),"DIMAS WAHYU PRASETYO")</f>
        <v>DIMAS WAHYU PRASETYO</v>
      </c>
      <c r="H2337" s="35" t="str">
        <f>IFERROR(__xludf.DUMMYFUNCTION("""COMPUTED_VALUE"""),"D9925044006")</f>
        <v>D9925044006</v>
      </c>
      <c r="I2337" s="35">
        <f>IFERROR(__xludf.DUMMYFUNCTION("""COMPUTED_VALUE"""),26.0)</f>
        <v>26</v>
      </c>
      <c r="J2337" s="35" t="str">
        <f>IFERROR(__xludf.DUMMYFUNCTION("""COMPUTED_VALUE"""),"25-34 tahun")</f>
        <v>25-34 tahun</v>
      </c>
      <c r="K2337" s="21" t="str">
        <f>IFERROR(__xludf.DUMMYFUNCTION("""COMPUTED_VALUE"""),"20/09/1999")</f>
        <v>20/09/1999</v>
      </c>
      <c r="L2337" s="21" t="str">
        <f>IFERROR(__xludf.DUMMYFUNCTION("""COMPUTED_VALUE"""),"LAKI-LAKI")</f>
        <v>LAKI-LAKI</v>
      </c>
      <c r="M2337" s="35" t="str">
        <f>IFERROR(__xludf.DUMMYFUNCTION("""COMPUTED_VALUE"""),"JALAN H. NGADIO NO 9")</f>
        <v>JALAN H. NGADIO NO 9</v>
      </c>
      <c r="N2337" s="35" t="str">
        <f>IFERROR(__xludf.DUMMYFUNCTION("""COMPUTED_VALUE"""),"SUNGAI BANGKONG")</f>
        <v>SUNGAI BANGKONG</v>
      </c>
      <c r="O2337" s="35" t="str">
        <f>IFERROR(__xludf.DUMMYFUNCTION("""COMPUTED_VALUE"""),"PONTIANAK KOTA")</f>
        <v>PONTIANAK KOTA</v>
      </c>
      <c r="P2337" s="35" t="str">
        <f>IFERROR(__xludf.DUMMYFUNCTION("""COMPUTED_VALUE"""),"PONTIANAK")</f>
        <v>PONTIANAK</v>
      </c>
      <c r="Q2337" s="35" t="str">
        <f>IFERROR(__xludf.DUMMYFUNCTION("""COMPUTED_VALUE"""),"KALIMANTN BARAT")</f>
        <v>KALIMANTN BARAT</v>
      </c>
      <c r="R2337" s="21" t="str">
        <f>IFERROR(__xludf.DUMMYFUNCTION("""COMPUTED_VALUE"""),"ISLAM")</f>
        <v>ISLAM</v>
      </c>
      <c r="S2337" s="74" t="str">
        <f>IFERROR(__xludf.DUMMYFUNCTION("""COMPUTED_VALUE"""),"SWASTA")</f>
        <v>SWASTA</v>
      </c>
      <c r="T2337" s="35" t="str">
        <f>IFERROR(__xludf.DUMMYFUNCTION("""COMPUTED_VALUE"""),"NYERI DIBELAKANG LUTUT")</f>
        <v>NYERI DIBELAKANG LUTUT</v>
      </c>
      <c r="U2337" s="35" t="str">
        <f>IFERROR(__xludf.DUMMYFUNCTION("""COMPUTED_VALUE"""),"HABIS URUT BEBERAPA BULAN LALU DAN TERASA NYERI DI BELAKANG LUTUT")</f>
        <v>HABIS URUT BEBERAPA BULAN LALU DAN TERASA NYERI DI BELAKANG LUTUT</v>
      </c>
      <c r="V2337" s="37" t="str">
        <f>IFERROR(__xludf.DUMMYFUNCTION("""COMPUTED_VALUE"""),"085346804006")</f>
        <v>085346804006</v>
      </c>
      <c r="W2337" s="45"/>
    </row>
    <row r="2338">
      <c r="A2338" s="45"/>
      <c r="B2338" s="24" t="str">
        <f>IFERROR(__xludf.DUMMYFUNCTION("""COMPUTED_VALUE"""),"25/03/2025 15:41:00")</f>
        <v>25/03/2025 15:41:00</v>
      </c>
      <c r="C2338" s="35"/>
      <c r="D2338" s="10">
        <f>IFERROR(__xludf.DUMMYFUNCTION("""COMPUTED_VALUE"""),45766.0)</f>
        <v>45766</v>
      </c>
      <c r="E2338" s="35" t="str">
        <f>IFERROR(__xludf.DUMMYFUNCTION("""COMPUTED_VALUE"""),"04Apr")</f>
        <v>04Apr</v>
      </c>
      <c r="F2338" s="34" t="str">
        <f>IFERROR(__xludf.DUMMYFUNCTION("""COMPUTED_VALUE"""),"2025")</f>
        <v>2025</v>
      </c>
      <c r="G2338" s="35" t="str">
        <f>IFERROR(__xludf.DUMMYFUNCTION("""COMPUTED_VALUE"""),"WAHYU HIDAYATI")</f>
        <v>WAHYU HIDAYATI</v>
      </c>
      <c r="H2338" s="35" t="str">
        <f>IFERROR(__xludf.DUMMYFUNCTION("""COMPUTED_VALUE"""),"W8525044141")</f>
        <v>W8525044141</v>
      </c>
      <c r="I2338" s="35">
        <f>IFERROR(__xludf.DUMMYFUNCTION("""COMPUTED_VALUE"""),41.0)</f>
        <v>41</v>
      </c>
      <c r="J2338" s="35" t="str">
        <f>IFERROR(__xludf.DUMMYFUNCTION("""COMPUTED_VALUE"""),"35-44 tahun")</f>
        <v>35-44 tahun</v>
      </c>
      <c r="K2338" s="21" t="str">
        <f>IFERROR(__xludf.DUMMYFUNCTION("""COMPUTED_VALUE"""),"01/01/1985")</f>
        <v>01/01/1985</v>
      </c>
      <c r="L2338" s="21" t="str">
        <f>IFERROR(__xludf.DUMMYFUNCTION("""COMPUTED_VALUE"""),"PEREMPUAN")</f>
        <v>PEREMPUAN</v>
      </c>
      <c r="M2338" s="35" t="str">
        <f>IFERROR(__xludf.DUMMYFUNCTION("""COMPUTED_VALUE"""),"DSN RSAU JAYA")</f>
        <v>DSN RSAU JAYA</v>
      </c>
      <c r="N2338" s="35" t="str">
        <f>IFERROR(__xludf.DUMMYFUNCTION("""COMPUTED_VALUE"""),"PINOH")</f>
        <v>PINOH</v>
      </c>
      <c r="O2338" s="35" t="str">
        <f>IFERROR(__xludf.DUMMYFUNCTION("""COMPUTED_VALUE"""),"PINOH BARAT")</f>
        <v>PINOH BARAT</v>
      </c>
      <c r="P2338" s="35" t="str">
        <f>IFERROR(__xludf.DUMMYFUNCTION("""COMPUTED_VALUE"""),"MELAWI")</f>
        <v>MELAWI</v>
      </c>
      <c r="Q2338" s="35" t="str">
        <f>IFERROR(__xludf.DUMMYFUNCTION("""COMPUTED_VALUE"""),"KALIMANTAN BARAT")</f>
        <v>KALIMANTAN BARAT</v>
      </c>
      <c r="R2338" s="21" t="str">
        <f>IFERROR(__xludf.DUMMYFUNCTION("""COMPUTED_VALUE"""),"BUDDHA")</f>
        <v>BUDDHA</v>
      </c>
      <c r="S2338" s="74" t="str">
        <f>IFERROR(__xludf.DUMMYFUNCTION("""COMPUTED_VALUE"""),"-")</f>
        <v>-</v>
      </c>
      <c r="T2338" s="35" t="str">
        <f>IFERROR(__xludf.DUMMYFUNCTION("""COMPUTED_VALUE"""),"PINGGANG")</f>
        <v>PINGGANG</v>
      </c>
      <c r="U2338" s="35" t="str">
        <f>IFERROR(__xludf.DUMMYFUNCTION("""COMPUTED_VALUE"""),"-")</f>
        <v>-</v>
      </c>
      <c r="V2338" s="37" t="str">
        <f>IFERROR(__xludf.DUMMYFUNCTION("""COMPUTED_VALUE"""),"082352204141")</f>
        <v>082352204141</v>
      </c>
      <c r="W2338" s="45"/>
    </row>
    <row r="2339">
      <c r="A2339" s="45"/>
      <c r="B2339" s="24" t="str">
        <f>IFERROR(__xludf.DUMMYFUNCTION("""COMPUTED_VALUE"""),"26/03/2025 12:53:00")</f>
        <v>26/03/2025 12:53:00</v>
      </c>
      <c r="C2339" s="35"/>
      <c r="D2339" s="10">
        <f>IFERROR(__xludf.DUMMYFUNCTION("""COMPUTED_VALUE"""),45766.0)</f>
        <v>45766</v>
      </c>
      <c r="E2339" s="35" t="str">
        <f>IFERROR(__xludf.DUMMYFUNCTION("""COMPUTED_VALUE"""),"04Apr")</f>
        <v>04Apr</v>
      </c>
      <c r="F2339" s="34" t="str">
        <f>IFERROR(__xludf.DUMMYFUNCTION("""COMPUTED_VALUE"""),"2025")</f>
        <v>2025</v>
      </c>
      <c r="G2339" s="35" t="str">
        <f>IFERROR(__xludf.DUMMYFUNCTION("""COMPUTED_VALUE"""),"BRIAN AFRIANSYAH")</f>
        <v>BRIAN AFRIANSYAH</v>
      </c>
      <c r="H2339" s="35" t="str">
        <f>IFERROR(__xludf.DUMMYFUNCTION("""COMPUTED_VALUE"""),"B0625048038")</f>
        <v>B0625048038</v>
      </c>
      <c r="I2339" s="35">
        <f>IFERROR(__xludf.DUMMYFUNCTION("""COMPUTED_VALUE"""),20.0)</f>
        <v>20</v>
      </c>
      <c r="J2339" s="35" t="str">
        <f>IFERROR(__xludf.DUMMYFUNCTION("""COMPUTED_VALUE"""),"18-24 tahun")</f>
        <v>18-24 tahun</v>
      </c>
      <c r="K2339" s="21" t="str">
        <f>IFERROR(__xludf.DUMMYFUNCTION("""COMPUTED_VALUE"""),"31/03/2006")</f>
        <v>31/03/2006</v>
      </c>
      <c r="L2339" s="21" t="str">
        <f>IFERROR(__xludf.DUMMYFUNCTION("""COMPUTED_VALUE"""),"LAKI-LAKI")</f>
        <v>LAKI-LAKI</v>
      </c>
      <c r="M2339" s="35" t="str">
        <f>IFERROR(__xludf.DUMMYFUNCTION("""COMPUTED_VALUE"""),"DUSUN LEDO")</f>
        <v>DUSUN LEDO</v>
      </c>
      <c r="N2339" s="35" t="str">
        <f>IFERROR(__xludf.DUMMYFUNCTION("""COMPUTED_VALUE"""),"LESABELA")</f>
        <v>LESABELA</v>
      </c>
      <c r="O2339" s="35" t="str">
        <f>IFERROR(__xludf.DUMMYFUNCTION("""COMPUTED_VALUE"""),"LEDO")</f>
        <v>LEDO</v>
      </c>
      <c r="P2339" s="35" t="str">
        <f>IFERROR(__xludf.DUMMYFUNCTION("""COMPUTED_VALUE"""),"BENGKAYANG")</f>
        <v>BENGKAYANG</v>
      </c>
      <c r="Q2339" s="35" t="str">
        <f>IFERROR(__xludf.DUMMYFUNCTION("""COMPUTED_VALUE"""),"KALIMANTAN BARAT")</f>
        <v>KALIMANTAN BARAT</v>
      </c>
      <c r="R2339" s="21" t="str">
        <f>IFERROR(__xludf.DUMMYFUNCTION("""COMPUTED_VALUE"""),"ISLAM")</f>
        <v>ISLAM</v>
      </c>
      <c r="S2339" s="74" t="str">
        <f>IFERROR(__xludf.DUMMYFUNCTION("""COMPUTED_VALUE"""),"PELAJAR")</f>
        <v>PELAJAR</v>
      </c>
      <c r="T2339" s="35" t="str">
        <f>IFERROR(__xludf.DUMMYFUNCTION("""COMPUTED_VALUE"""),"SAKIT BELAKANG")</f>
        <v>SAKIT BELAKANG</v>
      </c>
      <c r="U2339" s="35" t="str">
        <f>IFERROR(__xludf.DUMMYFUNCTION("""COMPUTED_VALUE"""),"OLAHRAGA")</f>
        <v>OLAHRAGA</v>
      </c>
      <c r="V2339" s="37" t="str">
        <f>IFERROR(__xludf.DUMMYFUNCTION("""COMPUTED_VALUE"""),"081244068038")</f>
        <v>081244068038</v>
      </c>
      <c r="W2339" s="45"/>
    </row>
    <row r="2340">
      <c r="A2340" s="45"/>
      <c r="B2340" s="24" t="str">
        <f>IFERROR(__xludf.DUMMYFUNCTION("""COMPUTED_VALUE"""),"26/03/2025 14:33:27")</f>
        <v>26/03/2025 14:33:27</v>
      </c>
      <c r="C2340" s="35"/>
      <c r="D2340" s="10">
        <f>IFERROR(__xludf.DUMMYFUNCTION("""COMPUTED_VALUE"""),45771.0)</f>
        <v>45771</v>
      </c>
      <c r="E2340" s="35" t="str">
        <f>IFERROR(__xludf.DUMMYFUNCTION("""COMPUTED_VALUE"""),"04Apr")</f>
        <v>04Apr</v>
      </c>
      <c r="F2340" s="34" t="str">
        <f>IFERROR(__xludf.DUMMYFUNCTION("""COMPUTED_VALUE"""),"2025")</f>
        <v>2025</v>
      </c>
      <c r="G2340" s="35" t="str">
        <f>IFERROR(__xludf.DUMMYFUNCTION("""COMPUTED_VALUE"""),"DWI DAYU SAMPURNA")</f>
        <v>DWI DAYU SAMPURNA</v>
      </c>
      <c r="H2340" s="35" t="str">
        <f>IFERROR(__xludf.DUMMYFUNCTION("""COMPUTED_VALUE"""),"D9925042118")</f>
        <v>D9925042118</v>
      </c>
      <c r="I2340" s="35">
        <f>IFERROR(__xludf.DUMMYFUNCTION("""COMPUTED_VALUE"""),27.0)</f>
        <v>27</v>
      </c>
      <c r="J2340" s="35" t="str">
        <f>IFERROR(__xludf.DUMMYFUNCTION("""COMPUTED_VALUE"""),"25-34 tahun")</f>
        <v>25-34 tahun</v>
      </c>
      <c r="K2340" s="21" t="str">
        <f>IFERROR(__xludf.DUMMYFUNCTION("""COMPUTED_VALUE"""),"27/02/1999")</f>
        <v>27/02/1999</v>
      </c>
      <c r="L2340" s="21" t="str">
        <f>IFERROR(__xludf.DUMMYFUNCTION("""COMPUTED_VALUE"""),"LAKI-LAKI")</f>
        <v>LAKI-LAKI</v>
      </c>
      <c r="M2340" s="35" t="str">
        <f>IFERROR(__xludf.DUMMYFUNCTION("""COMPUTED_VALUE"""),"JL. ADISUCIPTO GANG. BERSAMA NOMOR 42")</f>
        <v>JL. ADISUCIPTO GANG. BERSAMA NOMOR 42</v>
      </c>
      <c r="N2340" s="35" t="str">
        <f>IFERROR(__xludf.DUMMYFUNCTION("""COMPUTED_VALUE"""),"DESA LIMBUNG")</f>
        <v>DESA LIMBUNG</v>
      </c>
      <c r="O2340" s="35" t="str">
        <f>IFERROR(__xludf.DUMMYFUNCTION("""COMPUTED_VALUE"""),"SUNGAI RAYA")</f>
        <v>SUNGAI RAYA</v>
      </c>
      <c r="P2340" s="35" t="str">
        <f>IFERROR(__xludf.DUMMYFUNCTION("""COMPUTED_VALUE"""),"KUBU RAYA")</f>
        <v>KUBU RAYA</v>
      </c>
      <c r="Q2340" s="35" t="str">
        <f>IFERROR(__xludf.DUMMYFUNCTION("""COMPUTED_VALUE"""),"KALIMANTAN BARAT")</f>
        <v>KALIMANTAN BARAT</v>
      </c>
      <c r="R2340" s="21" t="str">
        <f>IFERROR(__xludf.DUMMYFUNCTION("""COMPUTED_VALUE"""),"ISLAM")</f>
        <v>ISLAM</v>
      </c>
      <c r="S2340" s="74" t="str">
        <f>IFERROR(__xludf.DUMMYFUNCTION("""COMPUTED_VALUE"""),"KARYAWAN SWASTA")</f>
        <v>KARYAWAN SWASTA</v>
      </c>
      <c r="T2340" s="35" t="str">
        <f>IFERROR(__xludf.DUMMYFUNCTION("""COMPUTED_VALUE"""),"KELUHAN PADA TELAPAK KAKI KANAN YANG SULIT GERAK YG MENGAKIBATKAN JALAN MENJADI PINCANG")</f>
        <v>KELUHAN PADA TELAPAK KAKI KANAN YANG SULIT GERAK YG MENGAKIBATKAN JALAN MENJADI PINCANG</v>
      </c>
      <c r="U2340" s="35" t="str">
        <f>IFERROR(__xludf.DUMMYFUNCTION("""COMPUTED_VALUE"""),"OLAHRAGA / SEPEDA")</f>
        <v>OLAHRAGA / SEPEDA</v>
      </c>
      <c r="V2340" s="37" t="str">
        <f>IFERROR(__xludf.DUMMYFUNCTION("""COMPUTED_VALUE"""),"0895701682118")</f>
        <v>0895701682118</v>
      </c>
      <c r="W2340" s="45"/>
    </row>
    <row r="2341">
      <c r="A2341" s="45"/>
      <c r="B2341" s="24" t="str">
        <f>IFERROR(__xludf.DUMMYFUNCTION("""COMPUTED_VALUE"""),"27/03/2025 9:48:40")</f>
        <v>27/03/2025 9:48:40</v>
      </c>
      <c r="C2341" s="35"/>
      <c r="D2341" s="10">
        <f>IFERROR(__xludf.DUMMYFUNCTION("""COMPUTED_VALUE"""),45768.0)</f>
        <v>45768</v>
      </c>
      <c r="E2341" s="35" t="str">
        <f>IFERROR(__xludf.DUMMYFUNCTION("""COMPUTED_VALUE"""),"04Apr")</f>
        <v>04Apr</v>
      </c>
      <c r="F2341" s="34" t="str">
        <f>IFERROR(__xludf.DUMMYFUNCTION("""COMPUTED_VALUE"""),"2025")</f>
        <v>2025</v>
      </c>
      <c r="G2341" s="35" t="str">
        <f>IFERROR(__xludf.DUMMYFUNCTION("""COMPUTED_VALUE"""),"TIUR MANURUNG")</f>
        <v>TIUR MANURUNG</v>
      </c>
      <c r="H2341" s="35" t="str">
        <f>IFERROR(__xludf.DUMMYFUNCTION("""COMPUTED_VALUE"""),"T7425044460")</f>
        <v>T7425044460</v>
      </c>
      <c r="I2341" s="35">
        <f>IFERROR(__xludf.DUMMYFUNCTION("""COMPUTED_VALUE"""),51.0)</f>
        <v>51</v>
      </c>
      <c r="J2341" s="35" t="str">
        <f>IFERROR(__xludf.DUMMYFUNCTION("""COMPUTED_VALUE"""),"&gt; 44 tahun")</f>
        <v>&gt; 44 tahun</v>
      </c>
      <c r="K2341" s="21" t="str">
        <f>IFERROR(__xludf.DUMMYFUNCTION("""COMPUTED_VALUE"""),"03/09/1974")</f>
        <v>03/09/1974</v>
      </c>
      <c r="L2341" s="21" t="str">
        <f>IFERROR(__xludf.DUMMYFUNCTION("""COMPUTED_VALUE"""),"PEREMPUAN")</f>
        <v>PEREMPUAN</v>
      </c>
      <c r="M2341" s="35" t="str">
        <f>IFERROR(__xludf.DUMMYFUNCTION("""COMPUTED_VALUE"""),"JL YUSTITIA MANIAMAS NO 26")</f>
        <v>JL YUSTITIA MANIAMAS NO 26</v>
      </c>
      <c r="N2341" s="35" t="str">
        <f>IFERROR(__xludf.DUMMYFUNCTION("""COMPUTED_VALUE"""),"HILIR TENGAH")</f>
        <v>HILIR TENGAH</v>
      </c>
      <c r="O2341" s="35" t="str">
        <f>IFERROR(__xludf.DUMMYFUNCTION("""COMPUTED_VALUE"""),"NGABANG")</f>
        <v>NGABANG</v>
      </c>
      <c r="P2341" s="35" t="str">
        <f>IFERROR(__xludf.DUMMYFUNCTION("""COMPUTED_VALUE"""),"LANDAK")</f>
        <v>LANDAK</v>
      </c>
      <c r="Q2341" s="35" t="str">
        <f>IFERROR(__xludf.DUMMYFUNCTION("""COMPUTED_VALUE"""),"KALBAR")</f>
        <v>KALBAR</v>
      </c>
      <c r="R2341" s="21" t="str">
        <f>IFERROR(__xludf.DUMMYFUNCTION("""COMPUTED_VALUE"""),"KATOLIK")</f>
        <v>KATOLIK</v>
      </c>
      <c r="S2341" s="74" t="str">
        <f>IFERROR(__xludf.DUMMYFUNCTION("""COMPUTED_VALUE"""),"IRT")</f>
        <v>IRT</v>
      </c>
      <c r="T2341" s="35" t="str">
        <f>IFERROR(__xludf.DUMMYFUNCTION("""COMPUTED_VALUE"""),"LUTUT KAKI")</f>
        <v>LUTUT KAKI</v>
      </c>
      <c r="U2341" s="35" t="str">
        <f>IFERROR(__xludf.DUMMYFUNCTION("""COMPUTED_VALUE"""),"JALAN")</f>
        <v>JALAN</v>
      </c>
      <c r="V2341" s="37" t="str">
        <f>IFERROR(__xludf.DUMMYFUNCTION("""COMPUTED_VALUE"""),"081345904460")</f>
        <v>081345904460</v>
      </c>
      <c r="W2341" s="45"/>
    </row>
    <row r="2342">
      <c r="A2342" s="45"/>
      <c r="B2342" s="24" t="str">
        <f>IFERROR(__xludf.DUMMYFUNCTION("""COMPUTED_VALUE"""),"26/03/2025 21:21:58")</f>
        <v>26/03/2025 21:21:58</v>
      </c>
      <c r="C2342" s="35"/>
      <c r="D2342" s="10">
        <f>IFERROR(__xludf.DUMMYFUNCTION("""COMPUTED_VALUE"""),45774.0)</f>
        <v>45774</v>
      </c>
      <c r="E2342" s="35" t="str">
        <f>IFERROR(__xludf.DUMMYFUNCTION("""COMPUTED_VALUE"""),"04Apr")</f>
        <v>04Apr</v>
      </c>
      <c r="F2342" s="34" t="str">
        <f>IFERROR(__xludf.DUMMYFUNCTION("""COMPUTED_VALUE"""),"2025")</f>
        <v>2025</v>
      </c>
      <c r="G2342" s="35" t="str">
        <f>IFERROR(__xludf.DUMMYFUNCTION("""COMPUTED_VALUE"""),"ZAINAL")</f>
        <v>ZAINAL</v>
      </c>
      <c r="H2342" s="35" t="str">
        <f>IFERROR(__xludf.DUMMYFUNCTION("""COMPUTED_VALUE"""),"Z7325041282")</f>
        <v>Z7325041282</v>
      </c>
      <c r="I2342" s="35">
        <f>IFERROR(__xludf.DUMMYFUNCTION("""COMPUTED_VALUE"""),52.0)</f>
        <v>52</v>
      </c>
      <c r="J2342" s="35" t="str">
        <f>IFERROR(__xludf.DUMMYFUNCTION("""COMPUTED_VALUE"""),"&gt; 44 tahun")</f>
        <v>&gt; 44 tahun</v>
      </c>
      <c r="K2342" s="21" t="str">
        <f>IFERROR(__xludf.DUMMYFUNCTION("""COMPUTED_VALUE"""),"10/09/1973")</f>
        <v>10/09/1973</v>
      </c>
      <c r="L2342" s="21" t="str">
        <f>IFERROR(__xludf.DUMMYFUNCTION("""COMPUTED_VALUE"""),"LAKI-LAKI")</f>
        <v>LAKI-LAKI</v>
      </c>
      <c r="M2342" s="35" t="str">
        <f>IFERROR(__xludf.DUMMYFUNCTION("""COMPUTED_VALUE"""),"JALAN MERDEKA TIMUR GG. SEKAWAN")</f>
        <v>JALAN MERDEKA TIMUR GG. SEKAWAN</v>
      </c>
      <c r="N2342" s="35" t="str">
        <f>IFERROR(__xludf.DUMMYFUNCTION("""COMPUTED_VALUE"""),"MUNGGUK")</f>
        <v>MUNGGUK</v>
      </c>
      <c r="O2342" s="35" t="str">
        <f>IFERROR(__xludf.DUMMYFUNCTION("""COMPUTED_VALUE"""),"SEKADAU HILIR")</f>
        <v>SEKADAU HILIR</v>
      </c>
      <c r="P2342" s="35" t="str">
        <f>IFERROR(__xludf.DUMMYFUNCTION("""COMPUTED_VALUE"""),"SEKADAU")</f>
        <v>SEKADAU</v>
      </c>
      <c r="Q2342" s="35" t="str">
        <f>IFERROR(__xludf.DUMMYFUNCTION("""COMPUTED_VALUE"""),"KALIMANTAN BARAT")</f>
        <v>KALIMANTAN BARAT</v>
      </c>
      <c r="R2342" s="21" t="str">
        <f>IFERROR(__xludf.DUMMYFUNCTION("""COMPUTED_VALUE"""),"ISLAM")</f>
        <v>ISLAM</v>
      </c>
      <c r="S2342" s="74" t="str">
        <f>IFERROR(__xludf.DUMMYFUNCTION("""COMPUTED_VALUE"""),"KARYAWAN SWASTA")</f>
        <v>KARYAWAN SWASTA</v>
      </c>
      <c r="T2342" s="35" t="str">
        <f>IFERROR(__xludf.DUMMYFUNCTION("""COMPUTED_VALUE"""),"SAKIT DI PERSENDIHAN KELAPAK KAKI")</f>
        <v>SAKIT DI PERSENDIHAN KELAPAK KAKI</v>
      </c>
      <c r="U2342" s="35" t="str">
        <f>IFERROR(__xludf.DUMMYFUNCTION("""COMPUTED_VALUE"""),"JOGING")</f>
        <v>JOGING</v>
      </c>
      <c r="V2342" s="37" t="str">
        <f>IFERROR(__xludf.DUMMYFUNCTION("""COMPUTED_VALUE"""),"081257071282")</f>
        <v>081257071282</v>
      </c>
      <c r="W2342" s="45"/>
    </row>
    <row r="2343">
      <c r="A2343" s="45"/>
      <c r="B2343" s="24" t="str">
        <f>IFERROR(__xludf.DUMMYFUNCTION("""COMPUTED_VALUE"""),"27/03/2025 11:02:33")</f>
        <v>27/03/2025 11:02:33</v>
      </c>
      <c r="C2343" s="35"/>
      <c r="D2343" s="10">
        <f>IFERROR(__xludf.DUMMYFUNCTION("""COMPUTED_VALUE"""),45769.0)</f>
        <v>45769</v>
      </c>
      <c r="E2343" s="35" t="str">
        <f>IFERROR(__xludf.DUMMYFUNCTION("""COMPUTED_VALUE"""),"04Apr")</f>
        <v>04Apr</v>
      </c>
      <c r="F2343" s="34" t="str">
        <f>IFERROR(__xludf.DUMMYFUNCTION("""COMPUTED_VALUE"""),"2025")</f>
        <v>2025</v>
      </c>
      <c r="G2343" s="35" t="str">
        <f>IFERROR(__xludf.DUMMYFUNCTION("""COMPUTED_VALUE"""),"AHMAN")</f>
        <v>AHMAN</v>
      </c>
      <c r="H2343" s="35" t="str">
        <f>IFERROR(__xludf.DUMMYFUNCTION("""COMPUTED_VALUE"""),"A7625049356")</f>
        <v>A7625049356</v>
      </c>
      <c r="I2343" s="35">
        <f>IFERROR(__xludf.DUMMYFUNCTION("""COMPUTED_VALUE"""),50.0)</f>
        <v>50</v>
      </c>
      <c r="J2343" s="35" t="str">
        <f>IFERROR(__xludf.DUMMYFUNCTION("""COMPUTED_VALUE"""),"&gt; 44 tahun")</f>
        <v>&gt; 44 tahun</v>
      </c>
      <c r="K2343" s="21" t="str">
        <f>IFERROR(__xludf.DUMMYFUNCTION("""COMPUTED_VALUE"""),"21/02/1976")</f>
        <v>21/02/1976</v>
      </c>
      <c r="L2343" s="21" t="str">
        <f>IFERROR(__xludf.DUMMYFUNCTION("""COMPUTED_VALUE"""),"PEREMPUAN")</f>
        <v>PEREMPUAN</v>
      </c>
      <c r="M2343" s="35" t="str">
        <f>IFERROR(__xludf.DUMMYFUNCTION("""COMPUTED_VALUE"""),"DSN BUKIT INDAH, RT 11/RW 001")</f>
        <v>DSN BUKIT INDAH, RT 11/RW 001</v>
      </c>
      <c r="N2343" s="35" t="str">
        <f>IFERROR(__xludf.DUMMYFUNCTION("""COMPUTED_VALUE"""),"SAPAK HULU TRANS")</f>
        <v>SAPAK HULU TRANS</v>
      </c>
      <c r="O2343" s="35" t="str">
        <f>IFERROR(__xludf.DUMMYFUNCTION("""COMPUTED_VALUE"""),"SUBAH")</f>
        <v>SUBAH</v>
      </c>
      <c r="P2343" s="35" t="str">
        <f>IFERROR(__xludf.DUMMYFUNCTION("""COMPUTED_VALUE"""),"SAMBAS")</f>
        <v>SAMBAS</v>
      </c>
      <c r="Q2343" s="35" t="str">
        <f>IFERROR(__xludf.DUMMYFUNCTION("""COMPUTED_VALUE"""),"KALIMANTAN BARAT")</f>
        <v>KALIMANTAN BARAT</v>
      </c>
      <c r="R2343" s="21" t="str">
        <f>IFERROR(__xludf.DUMMYFUNCTION("""COMPUTED_VALUE"""),"ISLAM")</f>
        <v>ISLAM</v>
      </c>
      <c r="S2343" s="74" t="str">
        <f>IFERROR(__xludf.DUMMYFUNCTION("""COMPUTED_VALUE"""),"IBU RUMAH TANGGA")</f>
        <v>IBU RUMAH TANGGA</v>
      </c>
      <c r="T2343" s="35" t="str">
        <f>IFERROR(__xludf.DUMMYFUNCTION("""COMPUTED_VALUE"""),"SARAF KEJEPIT")</f>
        <v>SARAF KEJEPIT</v>
      </c>
      <c r="U2343" s="35" t="str">
        <f>IFERROR(__xludf.DUMMYFUNCTION("""COMPUTED_VALUE"""),"AKTIVITAS BERAT")</f>
        <v>AKTIVITAS BERAT</v>
      </c>
      <c r="V2343" s="37" t="str">
        <f>IFERROR(__xludf.DUMMYFUNCTION("""COMPUTED_VALUE"""),"082251529356")</f>
        <v>082251529356</v>
      </c>
      <c r="W2343" s="45"/>
    </row>
    <row r="2344">
      <c r="A2344" s="45"/>
      <c r="B2344" s="24" t="str">
        <f>IFERROR(__xludf.DUMMYFUNCTION("""COMPUTED_VALUE"""),"27/03/2025 8:03:23")</f>
        <v>27/03/2025 8:03:23</v>
      </c>
      <c r="C2344" s="35"/>
      <c r="D2344" s="10">
        <f>IFERROR(__xludf.DUMMYFUNCTION("""COMPUTED_VALUE"""),45769.0)</f>
        <v>45769</v>
      </c>
      <c r="E2344" s="35" t="str">
        <f>IFERROR(__xludf.DUMMYFUNCTION("""COMPUTED_VALUE"""),"04Apr")</f>
        <v>04Apr</v>
      </c>
      <c r="F2344" s="34" t="str">
        <f>IFERROR(__xludf.DUMMYFUNCTION("""COMPUTED_VALUE"""),"2025")</f>
        <v>2025</v>
      </c>
      <c r="G2344" s="35" t="str">
        <f>IFERROR(__xludf.DUMMYFUNCTION("""COMPUTED_VALUE"""),"MUHSON NURROCHMAT")</f>
        <v>MUHSON NURROCHMAT</v>
      </c>
      <c r="H2344" s="35" t="str">
        <f>IFERROR(__xludf.DUMMYFUNCTION("""COMPUTED_VALUE"""),"M7325046255")</f>
        <v>M7325046255</v>
      </c>
      <c r="I2344" s="35">
        <f>IFERROR(__xludf.DUMMYFUNCTION("""COMPUTED_VALUE"""),52.0)</f>
        <v>52</v>
      </c>
      <c r="J2344" s="35" t="str">
        <f>IFERROR(__xludf.DUMMYFUNCTION("""COMPUTED_VALUE"""),"&gt; 44 tahun")</f>
        <v>&gt; 44 tahun</v>
      </c>
      <c r="K2344" s="21" t="str">
        <f>IFERROR(__xludf.DUMMYFUNCTION("""COMPUTED_VALUE"""),"06/11/1973")</f>
        <v>06/11/1973</v>
      </c>
      <c r="L2344" s="21" t="str">
        <f>IFERROR(__xludf.DUMMYFUNCTION("""COMPUTED_VALUE"""),"LAKI-LAKI")</f>
        <v>LAKI-LAKI</v>
      </c>
      <c r="M2344" s="35" t="str">
        <f>IFERROR(__xludf.DUMMYFUNCTION("""COMPUTED_VALUE"""),"JL MENOREH RAYA NO 96")</f>
        <v>JL MENOREH RAYA NO 96</v>
      </c>
      <c r="N2344" s="35" t="str">
        <f>IFERROR(__xludf.DUMMYFUNCTION("""COMPUTED_VALUE"""),"SAMPANGAN")</f>
        <v>SAMPANGAN</v>
      </c>
      <c r="O2344" s="35" t="str">
        <f>IFERROR(__xludf.DUMMYFUNCTION("""COMPUTED_VALUE"""),"GAJAH MUNGKUR")</f>
        <v>GAJAH MUNGKUR</v>
      </c>
      <c r="P2344" s="35" t="str">
        <f>IFERROR(__xludf.DUMMYFUNCTION("""COMPUTED_VALUE"""),"SEMARANG")</f>
        <v>SEMARANG</v>
      </c>
      <c r="Q2344" s="35" t="str">
        <f>IFERROR(__xludf.DUMMYFUNCTION("""COMPUTED_VALUE"""),"JATENG")</f>
        <v>JATENG</v>
      </c>
      <c r="R2344" s="21" t="str">
        <f>IFERROR(__xludf.DUMMYFUNCTION("""COMPUTED_VALUE"""),"ISLAM")</f>
        <v>ISLAM</v>
      </c>
      <c r="S2344" s="74" t="str">
        <f>IFERROR(__xludf.DUMMYFUNCTION("""COMPUTED_VALUE"""),"KARYAWAN")</f>
        <v>KARYAWAN</v>
      </c>
      <c r="T2344" s="35" t="str">
        <f>IFERROR(__xludf.DUMMYFUNCTION("""COMPUTED_VALUE"""),"KESEMUTAN DI UJUNG JARI MANIS, TENGAH TELUNJUK KANAN")</f>
        <v>KESEMUTAN DI UJUNG JARI MANIS, TENGAH TELUNJUK KANAN</v>
      </c>
      <c r="U2344" s="35" t="str">
        <f>IFERROR(__xludf.DUMMYFUNCTION("""COMPUTED_VALUE"""),"DEPAN LAPTOP")</f>
        <v>DEPAN LAPTOP</v>
      </c>
      <c r="V2344" s="37" t="str">
        <f>IFERROR(__xludf.DUMMYFUNCTION("""COMPUTED_VALUE"""),"081347196255")</f>
        <v>081347196255</v>
      </c>
      <c r="W2344" s="45"/>
    </row>
    <row r="2345">
      <c r="A2345" s="45"/>
      <c r="B2345" s="35"/>
      <c r="C2345" s="35"/>
      <c r="D2345" s="10">
        <f>IFERROR(__xludf.DUMMYFUNCTION("""COMPUTED_VALUE"""),45769.0)</f>
        <v>45769</v>
      </c>
      <c r="E2345" s="35" t="str">
        <f>IFERROR(__xludf.DUMMYFUNCTION("""COMPUTED_VALUE"""),"04Apr")</f>
        <v>04Apr</v>
      </c>
      <c r="F2345" s="34" t="str">
        <f>IFERROR(__xludf.DUMMYFUNCTION("""COMPUTED_VALUE"""),"2025")</f>
        <v>2025</v>
      </c>
      <c r="G2345" s="35" t="str">
        <f>IFERROR(__xludf.DUMMYFUNCTION("""COMPUTED_VALUE"""),"HJ. RAMLAH")</f>
        <v>HJ. RAMLAH</v>
      </c>
      <c r="H2345" s="35" t="str">
        <f>IFERROR(__xludf.DUMMYFUNCTION("""COMPUTED_VALUE"""),"H5625047624")</f>
        <v>H5625047624</v>
      </c>
      <c r="I2345" s="35">
        <f>IFERROR(__xludf.DUMMYFUNCTION("""COMPUTED_VALUE"""),69.0)</f>
        <v>69</v>
      </c>
      <c r="J2345" s="35" t="str">
        <f>IFERROR(__xludf.DUMMYFUNCTION("""COMPUTED_VALUE"""),"&gt; 44 tahun")</f>
        <v>&gt; 44 tahun</v>
      </c>
      <c r="K2345" s="21" t="str">
        <f>IFERROR(__xludf.DUMMYFUNCTION("""COMPUTED_VALUE"""),"23/09/1956")</f>
        <v>23/09/1956</v>
      </c>
      <c r="L2345" s="21" t="str">
        <f>IFERROR(__xludf.DUMMYFUNCTION("""COMPUTED_VALUE"""),"PEREMPUAN")</f>
        <v>PEREMPUAN</v>
      </c>
      <c r="M2345" s="35" t="str">
        <f>IFERROR(__xludf.DUMMYFUNCTION("""COMPUTED_VALUE"""),"JL. ADI SUCIPTO KM. 9,4")</f>
        <v>JL. ADI SUCIPTO KM. 9,4</v>
      </c>
      <c r="N2345" s="35" t="str">
        <f>IFERROR(__xludf.DUMMYFUNCTION("""COMPUTED_VALUE"""),"PARIT BARU")</f>
        <v>PARIT BARU</v>
      </c>
      <c r="O2345" s="35" t="str">
        <f>IFERROR(__xludf.DUMMYFUNCTION("""COMPUTED_VALUE"""),"SUNGAI RAYA")</f>
        <v>SUNGAI RAYA</v>
      </c>
      <c r="P2345" s="35" t="str">
        <f>IFERROR(__xludf.DUMMYFUNCTION("""COMPUTED_VALUE"""),"KUBU RAYA")</f>
        <v>KUBU RAYA</v>
      </c>
      <c r="Q2345" s="35" t="str">
        <f>IFERROR(__xludf.DUMMYFUNCTION("""COMPUTED_VALUE"""),"KALIMANTAN BARAT")</f>
        <v>KALIMANTAN BARAT</v>
      </c>
      <c r="R2345" s="21" t="str">
        <f>IFERROR(__xludf.DUMMYFUNCTION("""COMPUTED_VALUE"""),"ISLAM")</f>
        <v>ISLAM</v>
      </c>
      <c r="S2345" s="74" t="str">
        <f>IFERROR(__xludf.DUMMYFUNCTION("""COMPUTED_VALUE"""),"IRT")</f>
        <v>IRT</v>
      </c>
      <c r="T2345" s="35" t="str">
        <f>IFERROR(__xludf.DUMMYFUNCTION("""COMPUTED_VALUE"""),"NYERI PINGGANG SAMPAI KE KAKI DAN LUTUT")</f>
        <v>NYERI PINGGANG SAMPAI KE KAKI DAN LUTUT</v>
      </c>
      <c r="U2345" s="35" t="str">
        <f>IFERROR(__xludf.DUMMYFUNCTION("""COMPUTED_VALUE"""),"MASAK")</f>
        <v>MASAK</v>
      </c>
      <c r="V2345" s="37" t="str">
        <f>IFERROR(__xludf.DUMMYFUNCTION("""COMPUTED_VALUE"""),"081347637624")</f>
        <v>081347637624</v>
      </c>
      <c r="W2345" s="45"/>
    </row>
    <row r="2346">
      <c r="A2346" s="45"/>
      <c r="B2346" s="24" t="str">
        <f>IFERROR(__xludf.DUMMYFUNCTION("""COMPUTED_VALUE"""),"27/03/2025 13:07:08")</f>
        <v>27/03/2025 13:07:08</v>
      </c>
      <c r="C2346" s="35"/>
      <c r="D2346" s="10">
        <f>IFERROR(__xludf.DUMMYFUNCTION("""COMPUTED_VALUE"""),45769.0)</f>
        <v>45769</v>
      </c>
      <c r="E2346" s="35" t="str">
        <f>IFERROR(__xludf.DUMMYFUNCTION("""COMPUTED_VALUE"""),"04Apr")</f>
        <v>04Apr</v>
      </c>
      <c r="F2346" s="34" t="str">
        <f>IFERROR(__xludf.DUMMYFUNCTION("""COMPUTED_VALUE"""),"2025")</f>
        <v>2025</v>
      </c>
      <c r="G2346" s="35" t="str">
        <f>IFERROR(__xludf.DUMMYFUNCTION("""COMPUTED_VALUE"""),"INDRIANUS")</f>
        <v>INDRIANUS</v>
      </c>
      <c r="H2346" s="35" t="str">
        <f>IFERROR(__xludf.DUMMYFUNCTION("""COMPUTED_VALUE"""),"I7525045977")</f>
        <v>I7525045977</v>
      </c>
      <c r="I2346" s="35">
        <f>IFERROR(__xludf.DUMMYFUNCTION("""COMPUTED_VALUE"""),51.0)</f>
        <v>51</v>
      </c>
      <c r="J2346" s="35" t="str">
        <f>IFERROR(__xludf.DUMMYFUNCTION("""COMPUTED_VALUE"""),"&gt; 44 tahun")</f>
        <v>&gt; 44 tahun</v>
      </c>
      <c r="K2346" s="21">
        <f>IFERROR(__xludf.DUMMYFUNCTION("""COMPUTED_VALUE"""),27463.0)</f>
        <v>27463</v>
      </c>
      <c r="L2346" s="21" t="str">
        <f>IFERROR(__xludf.DUMMYFUNCTION("""COMPUTED_VALUE"""),"LAKI-LAKI")</f>
        <v>LAKI-LAKI</v>
      </c>
      <c r="M2346" s="35" t="str">
        <f>IFERROR(__xludf.DUMMYFUNCTION("""COMPUTED_VALUE"""),"DUSUN SUNGAI PUTAU")</f>
        <v>DUSUN SUNGAI PUTAU</v>
      </c>
      <c r="N2346" s="35" t="str">
        <f>IFERROR(__xludf.DUMMYFUNCTION("""COMPUTED_VALUE"""),"DESA KEBONG")</f>
        <v>DESA KEBONG</v>
      </c>
      <c r="O2346" s="35" t="str">
        <f>IFERROR(__xludf.DUMMYFUNCTION("""COMPUTED_VALUE"""),"KELAM PERMAI")</f>
        <v>KELAM PERMAI</v>
      </c>
      <c r="P2346" s="35" t="str">
        <f>IFERROR(__xludf.DUMMYFUNCTION("""COMPUTED_VALUE"""),"SINTANG")</f>
        <v>SINTANG</v>
      </c>
      <c r="Q2346" s="35" t="str">
        <f>IFERROR(__xludf.DUMMYFUNCTION("""COMPUTED_VALUE"""),"KALIMANTAN BARAT")</f>
        <v>KALIMANTAN BARAT</v>
      </c>
      <c r="R2346" s="21" t="str">
        <f>IFERROR(__xludf.DUMMYFUNCTION("""COMPUTED_VALUE"""),"KATOLIK")</f>
        <v>KATOLIK</v>
      </c>
      <c r="S2346" s="74" t="str">
        <f>IFERROR(__xludf.DUMMYFUNCTION("""COMPUTED_VALUE"""),"SWASTA")</f>
        <v>SWASTA</v>
      </c>
      <c r="T2346" s="35" t="str">
        <f>IFERROR(__xludf.DUMMYFUNCTION("""COMPUTED_VALUE"""),"PEGAL-PEGAL PADA SENDI")</f>
        <v>PEGAL-PEGAL PADA SENDI</v>
      </c>
      <c r="U2346" s="35" t="str">
        <f>IFERROR(__xludf.DUMMYFUNCTION("""COMPUTED_VALUE"""),"BADAN TERASA BERAT UNTUK BERDIRI")</f>
        <v>BADAN TERASA BERAT UNTUK BERDIRI</v>
      </c>
      <c r="V2346" s="37" t="str">
        <f>IFERROR(__xludf.DUMMYFUNCTION("""COMPUTED_VALUE"""),"085347835977")</f>
        <v>085347835977</v>
      </c>
      <c r="W2346" s="45"/>
    </row>
    <row r="2347">
      <c r="A2347" s="45"/>
      <c r="B2347" s="24" t="str">
        <f>IFERROR(__xludf.DUMMYFUNCTION("""COMPUTED_VALUE"""),"27/03/2025 16:28:08")</f>
        <v>27/03/2025 16:28:08</v>
      </c>
      <c r="C2347" s="35"/>
      <c r="D2347" s="10">
        <f>IFERROR(__xludf.DUMMYFUNCTION("""COMPUTED_VALUE"""),45769.0)</f>
        <v>45769</v>
      </c>
      <c r="E2347" s="35" t="str">
        <f>IFERROR(__xludf.DUMMYFUNCTION("""COMPUTED_VALUE"""),"04Apr")</f>
        <v>04Apr</v>
      </c>
      <c r="F2347" s="34" t="str">
        <f>IFERROR(__xludf.DUMMYFUNCTION("""COMPUTED_VALUE"""),"2025")</f>
        <v>2025</v>
      </c>
      <c r="G2347" s="35" t="str">
        <f>IFERROR(__xludf.DUMMYFUNCTION("""COMPUTED_VALUE"""),"IDA WIDIYASTUTI")</f>
        <v>IDA WIDIYASTUTI</v>
      </c>
      <c r="H2347" s="35" t="str">
        <f>IFERROR(__xludf.DUMMYFUNCTION("""COMPUTED_VALUE"""),"I7525045099")</f>
        <v>I7525045099</v>
      </c>
      <c r="I2347" s="35">
        <f>IFERROR(__xludf.DUMMYFUNCTION("""COMPUTED_VALUE"""),51.0)</f>
        <v>51</v>
      </c>
      <c r="J2347" s="35" t="str">
        <f>IFERROR(__xludf.DUMMYFUNCTION("""COMPUTED_VALUE"""),"&gt; 44 tahun")</f>
        <v>&gt; 44 tahun</v>
      </c>
      <c r="K2347" s="21" t="str">
        <f>IFERROR(__xludf.DUMMYFUNCTION("""COMPUTED_VALUE"""),"13/05/1975")</f>
        <v>13/05/1975</v>
      </c>
      <c r="L2347" s="21" t="str">
        <f>IFERROR(__xludf.DUMMYFUNCTION("""COMPUTED_VALUE"""),"PEREMPUAN")</f>
        <v>PEREMPUAN</v>
      </c>
      <c r="M2347" s="35" t="str">
        <f>IFERROR(__xludf.DUMMYFUNCTION("""COMPUTED_VALUE"""),"JL.KEMAKMURAN GG. KELUARGA")</f>
        <v>JL.KEMAKMURAN GG. KELUARGA</v>
      </c>
      <c r="N2347" s="35" t="str">
        <f>IFERROR(__xludf.DUMMYFUNCTION("""COMPUTED_VALUE"""),"SEI JAWI")</f>
        <v>SEI JAWI</v>
      </c>
      <c r="O2347" s="35" t="str">
        <f>IFERROR(__xludf.DUMMYFUNCTION("""COMPUTED_VALUE"""),"PONTIANAK KOTA")</f>
        <v>PONTIANAK KOTA</v>
      </c>
      <c r="P2347" s="35" t="str">
        <f>IFERROR(__xludf.DUMMYFUNCTION("""COMPUTED_VALUE"""),"PONTIANAK")</f>
        <v>PONTIANAK</v>
      </c>
      <c r="Q2347" s="35" t="str">
        <f>IFERROR(__xludf.DUMMYFUNCTION("""COMPUTED_VALUE"""),"KALIMANTAN BARAT")</f>
        <v>KALIMANTAN BARAT</v>
      </c>
      <c r="R2347" s="21" t="str">
        <f>IFERROR(__xludf.DUMMYFUNCTION("""COMPUTED_VALUE"""),"ISLAM")</f>
        <v>ISLAM</v>
      </c>
      <c r="S2347" s="74" t="str">
        <f>IFERROR(__xludf.DUMMYFUNCTION("""COMPUTED_VALUE"""),"PNS")</f>
        <v>PNS</v>
      </c>
      <c r="T2347" s="35" t="str">
        <f>IFERROR(__xludf.DUMMYFUNCTION("""COMPUTED_VALUE"""),"SAKIT PADA TELAPAK KAKI")</f>
        <v>SAKIT PADA TELAPAK KAKI</v>
      </c>
      <c r="U2347" s="35" t="str">
        <f>IFERROR(__xludf.DUMMYFUNCTION("""COMPUTED_VALUE"""),"-")</f>
        <v>-</v>
      </c>
      <c r="V2347" s="37" t="str">
        <f>IFERROR(__xludf.DUMMYFUNCTION("""COMPUTED_VALUE"""),"085386915099")</f>
        <v>085386915099</v>
      </c>
      <c r="W2347" s="45"/>
    </row>
    <row r="2348">
      <c r="A2348" s="45"/>
      <c r="B2348" s="24" t="str">
        <f>IFERROR(__xludf.DUMMYFUNCTION("""COMPUTED_VALUE"""),"04/04/2025 9:09:28")</f>
        <v>04/04/2025 9:09:28</v>
      </c>
      <c r="C2348" s="35"/>
      <c r="D2348" s="10">
        <f>IFERROR(__xludf.DUMMYFUNCTION("""COMPUTED_VALUE"""),45770.0)</f>
        <v>45770</v>
      </c>
      <c r="E2348" s="35" t="str">
        <f>IFERROR(__xludf.DUMMYFUNCTION("""COMPUTED_VALUE"""),"04Apr")</f>
        <v>04Apr</v>
      </c>
      <c r="F2348" s="34" t="str">
        <f>IFERROR(__xludf.DUMMYFUNCTION("""COMPUTED_VALUE"""),"2025")</f>
        <v>2025</v>
      </c>
      <c r="G2348" s="35" t="str">
        <f>IFERROR(__xludf.DUMMYFUNCTION("""COMPUTED_VALUE"""),"AIKO ZINKY")</f>
        <v>AIKO ZINKY</v>
      </c>
      <c r="H2348" s="35" t="str">
        <f>IFERROR(__xludf.DUMMYFUNCTION("""COMPUTED_VALUE"""),"A1225043715")</f>
        <v>A1225043715</v>
      </c>
      <c r="I2348" s="35">
        <f>IFERROR(__xludf.DUMMYFUNCTION("""COMPUTED_VALUE"""),14.0)</f>
        <v>14</v>
      </c>
      <c r="J2348" s="35" t="str">
        <f>IFERROR(__xludf.DUMMYFUNCTION("""COMPUTED_VALUE"""),"&lt; 18 tahun")</f>
        <v>&lt; 18 tahun</v>
      </c>
      <c r="K2348" s="21" t="str">
        <f>IFERROR(__xludf.DUMMYFUNCTION("""COMPUTED_VALUE"""),"01/04/2012")</f>
        <v>01/04/2012</v>
      </c>
      <c r="L2348" s="21" t="str">
        <f>IFERROR(__xludf.DUMMYFUNCTION("""COMPUTED_VALUE"""),"PEREMPUAN")</f>
        <v>PEREMPUAN</v>
      </c>
      <c r="M2348" s="35" t="str">
        <f>IFERROR(__xludf.DUMMYFUNCTION("""COMPUTED_VALUE"""),"JL DR WAHIDIN")</f>
        <v>JL DR WAHIDIN</v>
      </c>
      <c r="N2348" s="35" t="str">
        <f>IFERROR(__xludf.DUMMYFUNCTION("""COMPUTED_VALUE"""),"SUNGAI JAWI")</f>
        <v>SUNGAI JAWI</v>
      </c>
      <c r="O2348" s="35" t="str">
        <f>IFERROR(__xludf.DUMMYFUNCTION("""COMPUTED_VALUE"""),"PONTIANAK KOTA")</f>
        <v>PONTIANAK KOTA</v>
      </c>
      <c r="P2348" s="35" t="str">
        <f>IFERROR(__xludf.DUMMYFUNCTION("""COMPUTED_VALUE"""),"PONTIANAK")</f>
        <v>PONTIANAK</v>
      </c>
      <c r="Q2348" s="35" t="str">
        <f>IFERROR(__xludf.DUMMYFUNCTION("""COMPUTED_VALUE"""),"KALIMANTAN BARAT")</f>
        <v>KALIMANTAN BARAT</v>
      </c>
      <c r="R2348" s="21" t="str">
        <f>IFERROR(__xludf.DUMMYFUNCTION("""COMPUTED_VALUE"""),"ISLAM")</f>
        <v>ISLAM</v>
      </c>
      <c r="S2348" s="74" t="str">
        <f>IFERROR(__xludf.DUMMYFUNCTION("""COMPUTED_VALUE"""),"BELUM BEKERJA")</f>
        <v>BELUM BEKERJA</v>
      </c>
      <c r="T2348" s="35" t="str">
        <f>IFERROR(__xludf.DUMMYFUNCTION("""COMPUTED_VALUE"""),"TULANG EKOR NYERI SAAT DUDUK")</f>
        <v>TULANG EKOR NYERI SAAT DUDUK</v>
      </c>
      <c r="U2348" s="35" t="str">
        <f>IFERROR(__xludf.DUMMYFUNCTION("""COMPUTED_VALUE"""),"HOBBY")</f>
        <v>HOBBY</v>
      </c>
      <c r="V2348" s="37" t="str">
        <f>IFERROR(__xludf.DUMMYFUNCTION("""COMPUTED_VALUE"""),"082153533715")</f>
        <v>082153533715</v>
      </c>
      <c r="W2348" s="45"/>
    </row>
    <row r="2349">
      <c r="A2349" s="45"/>
      <c r="B2349" s="24" t="str">
        <f>IFERROR(__xludf.DUMMYFUNCTION("""COMPUTED_VALUE"""),"04/04/2025 9:12:57")</f>
        <v>04/04/2025 9:12:57</v>
      </c>
      <c r="C2349" s="35"/>
      <c r="D2349" s="10">
        <f>IFERROR(__xludf.DUMMYFUNCTION("""COMPUTED_VALUE"""),45770.0)</f>
        <v>45770</v>
      </c>
      <c r="E2349" s="35" t="str">
        <f>IFERROR(__xludf.DUMMYFUNCTION("""COMPUTED_VALUE"""),"04Apr")</f>
        <v>04Apr</v>
      </c>
      <c r="F2349" s="34" t="str">
        <f>IFERROR(__xludf.DUMMYFUNCTION("""COMPUTED_VALUE"""),"2025")</f>
        <v>2025</v>
      </c>
      <c r="G2349" s="35" t="str">
        <f>IFERROR(__xludf.DUMMYFUNCTION("""COMPUTED_VALUE"""),"PUTRI MIRANDA")</f>
        <v>PUTRI MIRANDA</v>
      </c>
      <c r="H2349" s="35" t="str">
        <f>IFERROR(__xludf.DUMMYFUNCTION("""COMPUTED_VALUE"""),"P0125047300")</f>
        <v>P0125047300</v>
      </c>
      <c r="I2349" s="35">
        <f>IFERROR(__xludf.DUMMYFUNCTION("""COMPUTED_VALUE"""),25.0)</f>
        <v>25</v>
      </c>
      <c r="J2349" s="35" t="str">
        <f>IFERROR(__xludf.DUMMYFUNCTION("""COMPUTED_VALUE"""),"25-34 tahun")</f>
        <v>25-34 tahun</v>
      </c>
      <c r="K2349" s="21" t="str">
        <f>IFERROR(__xludf.DUMMYFUNCTION("""COMPUTED_VALUE"""),"04/05/2001")</f>
        <v>04/05/2001</v>
      </c>
      <c r="L2349" s="21" t="str">
        <f>IFERROR(__xludf.DUMMYFUNCTION("""COMPUTED_VALUE"""),"PEREMPUAN")</f>
        <v>PEREMPUAN</v>
      </c>
      <c r="M2349" s="35" t="str">
        <f>IFERROR(__xludf.DUMMYFUNCTION("""COMPUTED_VALUE"""),"JALAN HASANUDIN")</f>
        <v>JALAN HASANUDIN</v>
      </c>
      <c r="N2349" s="35" t="str">
        <f>IFERROR(__xludf.DUMMYFUNCTION("""COMPUTED_VALUE"""),"HILIR KANTOR")</f>
        <v>HILIR KANTOR</v>
      </c>
      <c r="O2349" s="35" t="str">
        <f>IFERROR(__xludf.DUMMYFUNCTION("""COMPUTED_VALUE"""),"PUTUSSIBAU UTARA")</f>
        <v>PUTUSSIBAU UTARA</v>
      </c>
      <c r="P2349" s="35" t="str">
        <f>IFERROR(__xludf.DUMMYFUNCTION("""COMPUTED_VALUE"""),"KAPUAS HULU / PUTUSSIBAU")</f>
        <v>KAPUAS HULU / PUTUSSIBAU</v>
      </c>
      <c r="Q2349" s="35" t="str">
        <f>IFERROR(__xludf.DUMMYFUNCTION("""COMPUTED_VALUE"""),"KALIMANTAN BARAT")</f>
        <v>KALIMANTAN BARAT</v>
      </c>
      <c r="R2349" s="21" t="str">
        <f>IFERROR(__xludf.DUMMYFUNCTION("""COMPUTED_VALUE"""),"ISLAM")</f>
        <v>ISLAM</v>
      </c>
      <c r="S2349" s="74" t="str">
        <f>IFERROR(__xludf.DUMMYFUNCTION("""COMPUTED_VALUE"""),"FREELANCE")</f>
        <v>FREELANCE</v>
      </c>
      <c r="T2349" s="35" t="str">
        <f>IFERROR(__xludf.DUMMYFUNCTION("""COMPUTED_VALUE"""),"SAKIT PINGGANG")</f>
        <v>SAKIT PINGGANG</v>
      </c>
      <c r="U2349" s="35" t="str">
        <f>IFERROR(__xludf.DUMMYFUNCTION("""COMPUTED_VALUE"""),"GYM")</f>
        <v>GYM</v>
      </c>
      <c r="V2349" s="37" t="str">
        <f>IFERROR(__xludf.DUMMYFUNCTION("""COMPUTED_VALUE"""),"082125897300")</f>
        <v>082125897300</v>
      </c>
      <c r="W2349" s="45"/>
    </row>
    <row r="2350">
      <c r="A2350" s="45"/>
      <c r="B2350" s="24" t="str">
        <f>IFERROR(__xludf.DUMMYFUNCTION("""COMPUTED_VALUE"""),"05/04/2025 8:33:34")</f>
        <v>05/04/2025 8:33:34</v>
      </c>
      <c r="C2350" s="35"/>
      <c r="D2350" s="10">
        <f>IFERROR(__xludf.DUMMYFUNCTION("""COMPUTED_VALUE"""),45770.0)</f>
        <v>45770</v>
      </c>
      <c r="E2350" s="35" t="str">
        <f>IFERROR(__xludf.DUMMYFUNCTION("""COMPUTED_VALUE"""),"04Apr")</f>
        <v>04Apr</v>
      </c>
      <c r="F2350" s="34" t="str">
        <f>IFERROR(__xludf.DUMMYFUNCTION("""COMPUTED_VALUE"""),"2025")</f>
        <v>2025</v>
      </c>
      <c r="G2350" s="35" t="str">
        <f>IFERROR(__xludf.DUMMYFUNCTION("""COMPUTED_VALUE"""),"ARI YANUARIF")</f>
        <v>ARI YANUARIF</v>
      </c>
      <c r="H2350" s="35" t="str">
        <f>IFERROR(__xludf.DUMMYFUNCTION("""COMPUTED_VALUE"""),"A6825042168")</f>
        <v>A6825042168</v>
      </c>
      <c r="I2350" s="35">
        <f>IFERROR(__xludf.DUMMYFUNCTION("""COMPUTED_VALUE"""),58.0)</f>
        <v>58</v>
      </c>
      <c r="J2350" s="35" t="str">
        <f>IFERROR(__xludf.DUMMYFUNCTION("""COMPUTED_VALUE"""),"&gt; 44 tahun")</f>
        <v>&gt; 44 tahun</v>
      </c>
      <c r="K2350" s="21" t="str">
        <f>IFERROR(__xludf.DUMMYFUNCTION("""COMPUTED_VALUE"""),"21/01/1968")</f>
        <v>21/01/1968</v>
      </c>
      <c r="L2350" s="21" t="str">
        <f>IFERROR(__xludf.DUMMYFUNCTION("""COMPUTED_VALUE"""),"LAKI-LAKI")</f>
        <v>LAKI-LAKI</v>
      </c>
      <c r="M2350" s="35" t="str">
        <f>IFERROR(__xludf.DUMMYFUNCTION("""COMPUTED_VALUE"""),"PH. HUSIN 2 GG H. DEMAK NO 10")</f>
        <v>PH. HUSIN 2 GG H. DEMAK NO 10</v>
      </c>
      <c r="N2350" s="35" t="str">
        <f>IFERROR(__xludf.DUMMYFUNCTION("""COMPUTED_VALUE"""),"BANSIR DARAT")</f>
        <v>BANSIR DARAT</v>
      </c>
      <c r="O2350" s="35" t="str">
        <f>IFERROR(__xludf.DUMMYFUNCTION("""COMPUTED_VALUE"""),"PONTIANAK TENGGARA")</f>
        <v>PONTIANAK TENGGARA</v>
      </c>
      <c r="P2350" s="35" t="str">
        <f>IFERROR(__xludf.DUMMYFUNCTION("""COMPUTED_VALUE"""),"PONTIANAK")</f>
        <v>PONTIANAK</v>
      </c>
      <c r="Q2350" s="35" t="str">
        <f>IFERROR(__xludf.DUMMYFUNCTION("""COMPUTED_VALUE"""),"KALIMANTAN BARAT")</f>
        <v>KALIMANTAN BARAT</v>
      </c>
      <c r="R2350" s="21" t="str">
        <f>IFERROR(__xludf.DUMMYFUNCTION("""COMPUTED_VALUE"""),"ISLAM")</f>
        <v>ISLAM</v>
      </c>
      <c r="S2350" s="74" t="str">
        <f>IFERROR(__xludf.DUMMYFUNCTION("""COMPUTED_VALUE"""),"ONS")</f>
        <v>ONS</v>
      </c>
      <c r="T2350" s="35" t="str">
        <f>IFERROR(__xludf.DUMMYFUNCTION("""COMPUTED_VALUE"""),"STROKE, DIABETES")</f>
        <v>STROKE, DIABETES</v>
      </c>
      <c r="U2350" s="35" t="str">
        <f>IFERROR(__xludf.DUMMYFUNCTION("""COMPUTED_VALUE"""),"KURANG OLAHRAGA, TIDAK KONTROL MAKAN")</f>
        <v>KURANG OLAHRAGA, TIDAK KONTROL MAKAN</v>
      </c>
      <c r="V2350" s="37" t="str">
        <f>IFERROR(__xludf.DUMMYFUNCTION("""COMPUTED_VALUE"""),"08115752168")</f>
        <v>08115752168</v>
      </c>
      <c r="W2350" s="45"/>
    </row>
    <row r="2351">
      <c r="A2351" s="45"/>
      <c r="B2351" s="24" t="str">
        <f>IFERROR(__xludf.DUMMYFUNCTION("""COMPUTED_VALUE"""),"05/04/2025 10:35:48")</f>
        <v>05/04/2025 10:35:48</v>
      </c>
      <c r="C2351" s="35"/>
      <c r="D2351" s="10">
        <f>IFERROR(__xludf.DUMMYFUNCTION("""COMPUTED_VALUE"""),45770.0)</f>
        <v>45770</v>
      </c>
      <c r="E2351" s="35" t="str">
        <f>IFERROR(__xludf.DUMMYFUNCTION("""COMPUTED_VALUE"""),"04Apr")</f>
        <v>04Apr</v>
      </c>
      <c r="F2351" s="34" t="str">
        <f>IFERROR(__xludf.DUMMYFUNCTION("""COMPUTED_VALUE"""),"2025")</f>
        <v>2025</v>
      </c>
      <c r="G2351" s="35" t="str">
        <f>IFERROR(__xludf.DUMMYFUNCTION("""COMPUTED_VALUE"""),"RENDI ARDIAN")</f>
        <v>RENDI ARDIAN</v>
      </c>
      <c r="H2351" s="35" t="str">
        <f>IFERROR(__xludf.DUMMYFUNCTION("""COMPUTED_VALUE"""),"R8525040080")</f>
        <v>R8525040080</v>
      </c>
      <c r="I2351" s="35">
        <f>IFERROR(__xludf.DUMMYFUNCTION("""COMPUTED_VALUE"""),41.0)</f>
        <v>41</v>
      </c>
      <c r="J2351" s="35" t="str">
        <f>IFERROR(__xludf.DUMMYFUNCTION("""COMPUTED_VALUE"""),"35-44 tahun")</f>
        <v>35-44 tahun</v>
      </c>
      <c r="K2351" s="21" t="str">
        <f>IFERROR(__xludf.DUMMYFUNCTION("""COMPUTED_VALUE"""),"02/04/1985")</f>
        <v>02/04/1985</v>
      </c>
      <c r="L2351" s="21" t="str">
        <f>IFERROR(__xludf.DUMMYFUNCTION("""COMPUTED_VALUE"""),"LAKI-LAKI")</f>
        <v>LAKI-LAKI</v>
      </c>
      <c r="M2351" s="35" t="str">
        <f>IFERROR(__xludf.DUMMYFUNCTION("""COMPUTED_VALUE"""),"JL DANAU SENTARUM NO 2")</f>
        <v>JL DANAU SENTARUM NO 2</v>
      </c>
      <c r="N2351" s="35" t="str">
        <f>IFERROR(__xludf.DUMMYFUNCTION("""COMPUTED_VALUE"""),"SUI. BANGKONG")</f>
        <v>SUI. BANGKONG</v>
      </c>
      <c r="O2351" s="35" t="str">
        <f>IFERROR(__xludf.DUMMYFUNCTION("""COMPUTED_VALUE"""),"PONTIANAK KOTA")</f>
        <v>PONTIANAK KOTA</v>
      </c>
      <c r="P2351" s="35" t="str">
        <f>IFERROR(__xludf.DUMMYFUNCTION("""COMPUTED_VALUE"""),"PONTIANAK")</f>
        <v>PONTIANAK</v>
      </c>
      <c r="Q2351" s="35" t="str">
        <f>IFERROR(__xludf.DUMMYFUNCTION("""COMPUTED_VALUE"""),"KALIMANTAN BARAT")</f>
        <v>KALIMANTAN BARAT</v>
      </c>
      <c r="R2351" s="21" t="str">
        <f>IFERROR(__xludf.DUMMYFUNCTION("""COMPUTED_VALUE"""),"ISLAM")</f>
        <v>ISLAM</v>
      </c>
      <c r="S2351" s="74" t="str">
        <f>IFERROR(__xludf.DUMMYFUNCTION("""COMPUTED_VALUE"""),"PEGAWAI BUMD")</f>
        <v>PEGAWAI BUMD</v>
      </c>
      <c r="T2351" s="35" t="str">
        <f>IFERROR(__xludf.DUMMYFUNCTION("""COMPUTED_VALUE"""),"NYERI PINGGANG DAN LEHER")</f>
        <v>NYERI PINGGANG DAN LEHER</v>
      </c>
      <c r="U2351" s="35" t="str">
        <f>IFERROR(__xludf.DUMMYFUNCTION("""COMPUTED_VALUE"""),"BASKET")</f>
        <v>BASKET</v>
      </c>
      <c r="V2351" s="37" t="str">
        <f>IFERROR(__xludf.DUMMYFUNCTION("""COMPUTED_VALUE"""),"0811570080")</f>
        <v>0811570080</v>
      </c>
      <c r="W2351" s="45"/>
    </row>
    <row r="2352">
      <c r="A2352" s="45"/>
      <c r="B2352" s="24" t="str">
        <f>IFERROR(__xludf.DUMMYFUNCTION("""COMPUTED_VALUE"""),"05/04/2025 10:46:00")</f>
        <v>05/04/2025 10:46:00</v>
      </c>
      <c r="C2352" s="35"/>
      <c r="D2352" s="10">
        <f>IFERROR(__xludf.DUMMYFUNCTION("""COMPUTED_VALUE"""),45770.0)</f>
        <v>45770</v>
      </c>
      <c r="E2352" s="35" t="str">
        <f>IFERROR(__xludf.DUMMYFUNCTION("""COMPUTED_VALUE"""),"04Apr")</f>
        <v>04Apr</v>
      </c>
      <c r="F2352" s="34" t="str">
        <f>IFERROR(__xludf.DUMMYFUNCTION("""COMPUTED_VALUE"""),"2025")</f>
        <v>2025</v>
      </c>
      <c r="G2352" s="35" t="str">
        <f>IFERROR(__xludf.DUMMYFUNCTION("""COMPUTED_VALUE"""),"FIDLIS MERING")</f>
        <v>FIDLIS MERING</v>
      </c>
      <c r="H2352" s="35" t="str">
        <f>IFERROR(__xludf.DUMMYFUNCTION("""COMPUTED_VALUE"""),"F8525043145")</f>
        <v>F8525043145</v>
      </c>
      <c r="I2352" s="35">
        <f>IFERROR(__xludf.DUMMYFUNCTION("""COMPUTED_VALUE"""),40.0)</f>
        <v>40</v>
      </c>
      <c r="J2352" s="35" t="str">
        <f>IFERROR(__xludf.DUMMYFUNCTION("""COMPUTED_VALUE"""),"35-44 tahun")</f>
        <v>35-44 tahun</v>
      </c>
      <c r="K2352" s="21" t="str">
        <f>IFERROR(__xludf.DUMMYFUNCTION("""COMPUTED_VALUE"""),"17/08/1985")</f>
        <v>17/08/1985</v>
      </c>
      <c r="L2352" s="21" t="str">
        <f>IFERROR(__xludf.DUMMYFUNCTION("""COMPUTED_VALUE"""),"LAKI-LAKI")</f>
        <v>LAKI-LAKI</v>
      </c>
      <c r="M2352" s="35" t="str">
        <f>IFERROR(__xludf.DUMMYFUNCTION("""COMPUTED_VALUE"""),"JALAN TANJUNG RAYA 2, KOMP PARIT MAYOR PERMAI NO 12A")</f>
        <v>JALAN TANJUNG RAYA 2, KOMP PARIT MAYOR PERMAI NO 12A</v>
      </c>
      <c r="N2352" s="35" t="str">
        <f>IFERROR(__xludf.DUMMYFUNCTION("""COMPUTED_VALUE"""),"PARIT MAYOR")</f>
        <v>PARIT MAYOR</v>
      </c>
      <c r="O2352" s="35" t="str">
        <f>IFERROR(__xludf.DUMMYFUNCTION("""COMPUTED_VALUE"""),"PONTIANAK TIMUR")</f>
        <v>PONTIANAK TIMUR</v>
      </c>
      <c r="P2352" s="35" t="str">
        <f>IFERROR(__xludf.DUMMYFUNCTION("""COMPUTED_VALUE"""),"PONTIANAK")</f>
        <v>PONTIANAK</v>
      </c>
      <c r="Q2352" s="35" t="str">
        <f>IFERROR(__xludf.DUMMYFUNCTION("""COMPUTED_VALUE"""),"KALIMANTAN BARAT")</f>
        <v>KALIMANTAN BARAT</v>
      </c>
      <c r="R2352" s="21" t="str">
        <f>IFERROR(__xludf.DUMMYFUNCTION("""COMPUTED_VALUE"""),"KATOLIK")</f>
        <v>KATOLIK</v>
      </c>
      <c r="S2352" s="74" t="str">
        <f>IFERROR(__xludf.DUMMYFUNCTION("""COMPUTED_VALUE"""),"PEGAWAI KANTOR")</f>
        <v>PEGAWAI KANTOR</v>
      </c>
      <c r="T2352" s="35" t="str">
        <f>IFERROR(__xludf.DUMMYFUNCTION("""COMPUTED_VALUE"""),"SAKIT PINGGANG BAGIAN KANAN KARENA BERMAIN BULU TANGKIS")</f>
        <v>SAKIT PINGGANG BAGIAN KANAN KARENA BERMAIN BULU TANGKIS</v>
      </c>
      <c r="U2352" s="35" t="str">
        <f>IFERROR(__xludf.DUMMYFUNCTION("""COMPUTED_VALUE"""),"OLAH RAGA")</f>
        <v>OLAH RAGA</v>
      </c>
      <c r="V2352" s="37" t="str">
        <f>IFERROR(__xludf.DUMMYFUNCTION("""COMPUTED_VALUE"""),"0853333145")</f>
        <v>0853333145</v>
      </c>
      <c r="W2352" s="45"/>
    </row>
    <row r="2353">
      <c r="A2353" s="45"/>
      <c r="B2353" s="24" t="str">
        <f>IFERROR(__xludf.DUMMYFUNCTION("""COMPUTED_VALUE"""),"05/04/2025 12:14:35")</f>
        <v>05/04/2025 12:14:35</v>
      </c>
      <c r="C2353" s="35"/>
      <c r="D2353" s="10">
        <f>IFERROR(__xludf.DUMMYFUNCTION("""COMPUTED_VALUE"""),45771.0)</f>
        <v>45771</v>
      </c>
      <c r="E2353" s="35" t="str">
        <f>IFERROR(__xludf.DUMMYFUNCTION("""COMPUTED_VALUE"""),"04Apr")</f>
        <v>04Apr</v>
      </c>
      <c r="F2353" s="34" t="str">
        <f>IFERROR(__xludf.DUMMYFUNCTION("""COMPUTED_VALUE"""),"2025")</f>
        <v>2025</v>
      </c>
      <c r="G2353" s="35" t="str">
        <f>IFERROR(__xludf.DUMMYFUNCTION("""COMPUTED_VALUE"""),"FAHRUR HAMZAH")</f>
        <v>FAHRUR HAMZAH</v>
      </c>
      <c r="H2353" s="35" t="str">
        <f>IFERROR(__xludf.DUMMYFUNCTION("""COMPUTED_VALUE"""),"F8125046644")</f>
        <v>F8125046644</v>
      </c>
      <c r="I2353" s="35">
        <f>IFERROR(__xludf.DUMMYFUNCTION("""COMPUTED_VALUE"""),44.0)</f>
        <v>44</v>
      </c>
      <c r="J2353" s="35" t="str">
        <f>IFERROR(__xludf.DUMMYFUNCTION("""COMPUTED_VALUE"""),"35-44 tahun")</f>
        <v>35-44 tahun</v>
      </c>
      <c r="K2353" s="21" t="str">
        <f>IFERROR(__xludf.DUMMYFUNCTION("""COMPUTED_VALUE"""),"09/09/1981")</f>
        <v>09/09/1981</v>
      </c>
      <c r="L2353" s="21" t="str">
        <f>IFERROR(__xludf.DUMMYFUNCTION("""COMPUTED_VALUE"""),"LAKI-LAKI")</f>
        <v>LAKI-LAKI</v>
      </c>
      <c r="M2353" s="35" t="str">
        <f>IFERROR(__xludf.DUMMYFUNCTION("""COMPUTED_VALUE"""),"JL. HUSIN HAMZAH KOMPLEK BERDIKARI INDAH 2 NO C 15")</f>
        <v>JL. HUSIN HAMZAH KOMPLEK BERDIKARI INDAH 2 NO C 15</v>
      </c>
      <c r="N2353" s="35" t="str">
        <f>IFERROR(__xludf.DUMMYFUNCTION("""COMPUTED_VALUE"""),"PAL.5")</f>
        <v>PAL.5</v>
      </c>
      <c r="O2353" s="35" t="str">
        <f>IFERROR(__xludf.DUMMYFUNCTION("""COMPUTED_VALUE"""),"PONTIANAK BARAT")</f>
        <v>PONTIANAK BARAT</v>
      </c>
      <c r="P2353" s="35" t="str">
        <f>IFERROR(__xludf.DUMMYFUNCTION("""COMPUTED_VALUE"""),"PONTIANAK")</f>
        <v>PONTIANAK</v>
      </c>
      <c r="Q2353" s="35" t="str">
        <f>IFERROR(__xludf.DUMMYFUNCTION("""COMPUTED_VALUE"""),"KALIMANTAN BARAT")</f>
        <v>KALIMANTAN BARAT</v>
      </c>
      <c r="R2353" s="21" t="str">
        <f>IFERROR(__xludf.DUMMYFUNCTION("""COMPUTED_VALUE"""),"ISLAM")</f>
        <v>ISLAM</v>
      </c>
      <c r="S2353" s="74" t="str">
        <f>IFERROR(__xludf.DUMMYFUNCTION("""COMPUTED_VALUE"""),"PNS")</f>
        <v>PNS</v>
      </c>
      <c r="T2353" s="35" t="str">
        <f>IFERROR(__xludf.DUMMYFUNCTION("""COMPUTED_VALUE"""),"CIDERA LUTUT KANAN")</f>
        <v>CIDERA LUTUT KANAN</v>
      </c>
      <c r="U2353" s="35" t="str">
        <f>IFERROR(__xludf.DUMMYFUNCTION("""COMPUTED_VALUE"""),"OLAHRAGA BASKET")</f>
        <v>OLAHRAGA BASKET</v>
      </c>
      <c r="V2353" s="37" t="str">
        <f>IFERROR(__xludf.DUMMYFUNCTION("""COMPUTED_VALUE"""),"085252266644")</f>
        <v>085252266644</v>
      </c>
      <c r="W2353" s="45"/>
    </row>
    <row r="2354">
      <c r="A2354" s="45"/>
      <c r="B2354" s="24" t="str">
        <f>IFERROR(__xludf.DUMMYFUNCTION("""COMPUTED_VALUE"""),"05/04/2025 14:20:12")</f>
        <v>05/04/2025 14:20:12</v>
      </c>
      <c r="C2354" s="35"/>
      <c r="D2354" s="10">
        <f>IFERROR(__xludf.DUMMYFUNCTION("""COMPUTED_VALUE"""),45771.0)</f>
        <v>45771</v>
      </c>
      <c r="E2354" s="35" t="str">
        <f>IFERROR(__xludf.DUMMYFUNCTION("""COMPUTED_VALUE"""),"04Apr")</f>
        <v>04Apr</v>
      </c>
      <c r="F2354" s="34" t="str">
        <f>IFERROR(__xludf.DUMMYFUNCTION("""COMPUTED_VALUE"""),"2025")</f>
        <v>2025</v>
      </c>
      <c r="G2354" s="35" t="str">
        <f>IFERROR(__xludf.DUMMYFUNCTION("""COMPUTED_VALUE"""),"DEWI MUSTIKA")</f>
        <v>DEWI MUSTIKA</v>
      </c>
      <c r="H2354" s="35" t="str">
        <f>IFERROR(__xludf.DUMMYFUNCTION("""COMPUTED_VALUE"""),"D7125046555")</f>
        <v>D7125046555</v>
      </c>
      <c r="I2354" s="35">
        <f>IFERROR(__xludf.DUMMYFUNCTION("""COMPUTED_VALUE"""),54.0)</f>
        <v>54</v>
      </c>
      <c r="J2354" s="35" t="str">
        <f>IFERROR(__xludf.DUMMYFUNCTION("""COMPUTED_VALUE"""),"&gt; 44 tahun")</f>
        <v>&gt; 44 tahun</v>
      </c>
      <c r="K2354" s="21" t="str">
        <f>IFERROR(__xludf.DUMMYFUNCTION("""COMPUTED_VALUE"""),"05/10/1971")</f>
        <v>05/10/1971</v>
      </c>
      <c r="L2354" s="21" t="str">
        <f>IFERROR(__xludf.DUMMYFUNCTION("""COMPUTED_VALUE"""),"PEREMPUAN")</f>
        <v>PEREMPUAN</v>
      </c>
      <c r="M2354" s="35" t="str">
        <f>IFERROR(__xludf.DUMMYFUNCTION("""COMPUTED_VALUE"""),"JL. PERDANA, BALI AGUNG III B14")</f>
        <v>JL. PERDANA, BALI AGUNG III B14</v>
      </c>
      <c r="N2354" s="35" t="str">
        <f>IFERROR(__xludf.DUMMYFUNCTION("""COMPUTED_VALUE"""),"PARITTOKAYA")</f>
        <v>PARITTOKAYA</v>
      </c>
      <c r="O2354" s="35" t="str">
        <f>IFERROR(__xludf.DUMMYFUNCTION("""COMPUTED_VALUE"""),"PONTIANAK SELATAN")</f>
        <v>PONTIANAK SELATAN</v>
      </c>
      <c r="P2354" s="35" t="str">
        <f>IFERROR(__xludf.DUMMYFUNCTION("""COMPUTED_VALUE"""),"KOTA PONTIANAK")</f>
        <v>KOTA PONTIANAK</v>
      </c>
      <c r="Q2354" s="35" t="str">
        <f>IFERROR(__xludf.DUMMYFUNCTION("""COMPUTED_VALUE"""),"KALIMANTAN BARAT")</f>
        <v>KALIMANTAN BARAT</v>
      </c>
      <c r="R2354" s="21" t="str">
        <f>IFERROR(__xludf.DUMMYFUNCTION("""COMPUTED_VALUE"""),"ISLAM")</f>
        <v>ISLAM</v>
      </c>
      <c r="S2354" s="74" t="str">
        <f>IFERROR(__xludf.DUMMYFUNCTION("""COMPUTED_VALUE"""),"IBU RUMAH TANGGA")</f>
        <v>IBU RUMAH TANGGA</v>
      </c>
      <c r="T2354" s="35" t="str">
        <f>IFERROR(__xludf.DUMMYFUNCTION("""COMPUTED_VALUE"""),"NYERI PINGGANG")</f>
        <v>NYERI PINGGANG</v>
      </c>
      <c r="U2354" s="35" t="str">
        <f>IFERROR(__xludf.DUMMYFUNCTION("""COMPUTED_VALUE"""),"SENAM, MEMBERSIHKAN RUMAH")</f>
        <v>SENAM, MEMBERSIHKAN RUMAH</v>
      </c>
      <c r="V2354" s="37" t="str">
        <f>IFERROR(__xludf.DUMMYFUNCTION("""COMPUTED_VALUE"""),"085793466555")</f>
        <v>085793466555</v>
      </c>
      <c r="W2354" s="45"/>
    </row>
    <row r="2355">
      <c r="A2355" s="45"/>
      <c r="B2355" s="24" t="str">
        <f>IFERROR(__xludf.DUMMYFUNCTION("""COMPUTED_VALUE"""),"05/04/2025 14:41:55")</f>
        <v>05/04/2025 14:41:55</v>
      </c>
      <c r="C2355" s="35"/>
      <c r="D2355" s="10">
        <f>IFERROR(__xludf.DUMMYFUNCTION("""COMPUTED_VALUE"""),45771.0)</f>
        <v>45771</v>
      </c>
      <c r="E2355" s="35" t="str">
        <f>IFERROR(__xludf.DUMMYFUNCTION("""COMPUTED_VALUE"""),"04Apr")</f>
        <v>04Apr</v>
      </c>
      <c r="F2355" s="34" t="str">
        <f>IFERROR(__xludf.DUMMYFUNCTION("""COMPUTED_VALUE"""),"2025")</f>
        <v>2025</v>
      </c>
      <c r="G2355" s="35" t="str">
        <f>IFERROR(__xludf.DUMMYFUNCTION("""COMPUTED_VALUE"""),"CHRISTINA SUDARTI")</f>
        <v>CHRISTINA SUDARTI</v>
      </c>
      <c r="H2355" s="35" t="str">
        <f>IFERROR(__xludf.DUMMYFUNCTION("""COMPUTED_VALUE"""),"C6425047200")</f>
        <v>C6425047200</v>
      </c>
      <c r="I2355" s="35">
        <f>IFERROR(__xludf.DUMMYFUNCTION("""COMPUTED_VALUE"""),61.0)</f>
        <v>61</v>
      </c>
      <c r="J2355" s="35" t="str">
        <f>IFERROR(__xludf.DUMMYFUNCTION("""COMPUTED_VALUE"""),"&gt; 44 tahun")</f>
        <v>&gt; 44 tahun</v>
      </c>
      <c r="K2355" s="21" t="str">
        <f>IFERROR(__xludf.DUMMYFUNCTION("""COMPUTED_VALUE"""),"22/07/1964")</f>
        <v>22/07/1964</v>
      </c>
      <c r="L2355" s="21" t="str">
        <f>IFERROR(__xludf.DUMMYFUNCTION("""COMPUTED_VALUE"""),"PEREMPUAN")</f>
        <v>PEREMPUAN</v>
      </c>
      <c r="M2355" s="35" t="str">
        <f>IFERROR(__xludf.DUMMYFUNCTION("""COMPUTED_VALUE"""),"KOMP. BHAYANGKARA PERMAI BLOK A1 NO.8")</f>
        <v>KOMP. BHAYANGKARA PERMAI BLOK A1 NO.8</v>
      </c>
      <c r="N2355" s="35" t="str">
        <f>IFERROR(__xludf.DUMMYFUNCTION("""COMPUTED_VALUE"""),"SUNGAI RAYA")</f>
        <v>SUNGAI RAYA</v>
      </c>
      <c r="O2355" s="35" t="str">
        <f>IFERROR(__xludf.DUMMYFUNCTION("""COMPUTED_VALUE"""),"SUNGAI RAYA")</f>
        <v>SUNGAI RAYA</v>
      </c>
      <c r="P2355" s="35" t="str">
        <f>IFERROR(__xludf.DUMMYFUNCTION("""COMPUTED_VALUE"""),"KUBU RAYA")</f>
        <v>KUBU RAYA</v>
      </c>
      <c r="Q2355" s="35" t="str">
        <f>IFERROR(__xludf.DUMMYFUNCTION("""COMPUTED_VALUE"""),"KALIMANTAN BARAT")</f>
        <v>KALIMANTAN BARAT</v>
      </c>
      <c r="R2355" s="21" t="str">
        <f>IFERROR(__xludf.DUMMYFUNCTION("""COMPUTED_VALUE"""),"KATOLIK")</f>
        <v>KATOLIK</v>
      </c>
      <c r="S2355" s="74" t="str">
        <f>IFERROR(__xludf.DUMMYFUNCTION("""COMPUTED_VALUE"""),"IRT")</f>
        <v>IRT</v>
      </c>
      <c r="T2355" s="35" t="str">
        <f>IFERROR(__xludf.DUMMYFUNCTION("""COMPUTED_VALUE"""),"NYERI DAN SAKIT DI SENDI BAHU")</f>
        <v>NYERI DAN SAKIT DI SENDI BAHU</v>
      </c>
      <c r="U2355" s="35" t="str">
        <f>IFERROR(__xludf.DUMMYFUNCTION("""COMPUTED_VALUE"""),"AKTIFITAS IRT SEHARI2 DIRUMAH")</f>
        <v>AKTIFITAS IRT SEHARI2 DIRUMAH</v>
      </c>
      <c r="V2355" s="37" t="str">
        <f>IFERROR(__xludf.DUMMYFUNCTION("""COMPUTED_VALUE"""),"089694047200")</f>
        <v>089694047200</v>
      </c>
      <c r="W2355" s="45"/>
    </row>
    <row r="2356">
      <c r="A2356" s="45"/>
      <c r="B2356" s="24" t="str">
        <f>IFERROR(__xludf.DUMMYFUNCTION("""COMPUTED_VALUE"""),"05/04/2025 20:14:37")</f>
        <v>05/04/2025 20:14:37</v>
      </c>
      <c r="C2356" s="35"/>
      <c r="D2356" s="10">
        <f>IFERROR(__xludf.DUMMYFUNCTION("""COMPUTED_VALUE"""),45773.0)</f>
        <v>45773</v>
      </c>
      <c r="E2356" s="35" t="str">
        <f>IFERROR(__xludf.DUMMYFUNCTION("""COMPUTED_VALUE"""),"04Apr")</f>
        <v>04Apr</v>
      </c>
      <c r="F2356" s="34" t="str">
        <f>IFERROR(__xludf.DUMMYFUNCTION("""COMPUTED_VALUE"""),"2025")</f>
        <v>2025</v>
      </c>
      <c r="G2356" s="35" t="str">
        <f>IFERROR(__xludf.DUMMYFUNCTION("""COMPUTED_VALUE"""),"SRI RIZQY AMALIA")</f>
        <v>SRI RIZQY AMALIA</v>
      </c>
      <c r="H2356" s="35" t="str">
        <f>IFERROR(__xludf.DUMMYFUNCTION("""COMPUTED_VALUE"""),"S0025047393")</f>
        <v>S0025047393</v>
      </c>
      <c r="I2356" s="35">
        <f>IFERROR(__xludf.DUMMYFUNCTION("""COMPUTED_VALUE"""),25.0)</f>
        <v>25</v>
      </c>
      <c r="J2356" s="35" t="str">
        <f>IFERROR(__xludf.DUMMYFUNCTION("""COMPUTED_VALUE"""),"25-34 tahun")</f>
        <v>25-34 tahun</v>
      </c>
      <c r="K2356" s="21" t="str">
        <f>IFERROR(__xludf.DUMMYFUNCTION("""COMPUTED_VALUE"""),"20/06/2000")</f>
        <v>20/06/2000</v>
      </c>
      <c r="L2356" s="21" t="str">
        <f>IFERROR(__xludf.DUMMYFUNCTION("""COMPUTED_VALUE"""),"PEREMPUAN")</f>
        <v>PEREMPUAN</v>
      </c>
      <c r="M2356" s="35" t="str">
        <f>IFERROR(__xludf.DUMMYFUNCTION("""COMPUTED_VALUE"""),"KOMP. PHK GG. PELOPOR NO E 29, RT/RW 001/006")</f>
        <v>KOMP. PHK GG. PELOPOR NO E 29, RT/RW 001/006</v>
      </c>
      <c r="N2356" s="35" t="str">
        <f>IFERROR(__xludf.DUMMYFUNCTION("""COMPUTED_VALUE"""),"RENGAS KAPUAS")</f>
        <v>RENGAS KAPUAS</v>
      </c>
      <c r="O2356" s="35" t="str">
        <f>IFERROR(__xludf.DUMMYFUNCTION("""COMPUTED_VALUE"""),"SUNGAI KAKAP")</f>
        <v>SUNGAI KAKAP</v>
      </c>
      <c r="P2356" s="35" t="str">
        <f>IFERROR(__xludf.DUMMYFUNCTION("""COMPUTED_VALUE"""),"KUBU RAYA")</f>
        <v>KUBU RAYA</v>
      </c>
      <c r="Q2356" s="35" t="str">
        <f>IFERROR(__xludf.DUMMYFUNCTION("""COMPUTED_VALUE"""),"KALIMANTAN BARAT")</f>
        <v>KALIMANTAN BARAT</v>
      </c>
      <c r="R2356" s="21" t="str">
        <f>IFERROR(__xludf.DUMMYFUNCTION("""COMPUTED_VALUE"""),"ISLAM")</f>
        <v>ISLAM</v>
      </c>
      <c r="S2356" s="74" t="str">
        <f>IFERROR(__xludf.DUMMYFUNCTION("""COMPUTED_VALUE"""),"IRT")</f>
        <v>IRT</v>
      </c>
      <c r="T2356" s="35" t="str">
        <f>IFERROR(__xludf.DUMMYFUNCTION("""COMPUTED_VALUE"""),"KESELEO DI PERGELANGAN KAKI")</f>
        <v>KESELEO DI PERGELANGAN KAKI</v>
      </c>
      <c r="U2356" s="35" t="str">
        <f>IFERROR(__xludf.DUMMYFUNCTION("""COMPUTED_VALUE"""),"VOLLY")</f>
        <v>VOLLY</v>
      </c>
      <c r="V2356" s="37" t="str">
        <f>IFERROR(__xludf.DUMMYFUNCTION("""COMPUTED_VALUE"""),"089694797393")</f>
        <v>089694797393</v>
      </c>
      <c r="W2356" s="45"/>
    </row>
    <row r="2357">
      <c r="A2357" s="45"/>
      <c r="B2357" s="24" t="str">
        <f>IFERROR(__xludf.DUMMYFUNCTION("""COMPUTED_VALUE"""),"06/04/2025 7:00:00")</f>
        <v>06/04/2025 7:00:00</v>
      </c>
      <c r="C2357" s="35"/>
      <c r="D2357" s="10">
        <f>IFERROR(__xludf.DUMMYFUNCTION("""COMPUTED_VALUE"""),45773.0)</f>
        <v>45773</v>
      </c>
      <c r="E2357" s="35" t="str">
        <f>IFERROR(__xludf.DUMMYFUNCTION("""COMPUTED_VALUE"""),"04Apr")</f>
        <v>04Apr</v>
      </c>
      <c r="F2357" s="34" t="str">
        <f>IFERROR(__xludf.DUMMYFUNCTION("""COMPUTED_VALUE"""),"2025")</f>
        <v>2025</v>
      </c>
      <c r="G2357" s="35" t="str">
        <f>IFERROR(__xludf.DUMMYFUNCTION("""COMPUTED_VALUE"""),"ALGI FAHRI")</f>
        <v>ALGI FAHRI</v>
      </c>
      <c r="H2357" s="35" t="str">
        <f>IFERROR(__xludf.DUMMYFUNCTION("""COMPUTED_VALUE"""),"A0825042223")</f>
        <v>A0825042223</v>
      </c>
      <c r="I2357" s="35">
        <f>IFERROR(__xludf.DUMMYFUNCTION("""COMPUTED_VALUE"""),18.0)</f>
        <v>18</v>
      </c>
      <c r="J2357" s="35" t="str">
        <f>IFERROR(__xludf.DUMMYFUNCTION("""COMPUTED_VALUE"""),"&lt; 18 tahun")</f>
        <v>&lt; 18 tahun</v>
      </c>
      <c r="K2357" s="21" t="str">
        <f>IFERROR(__xludf.DUMMYFUNCTION("""COMPUTED_VALUE"""),"16/02/2008")</f>
        <v>16/02/2008</v>
      </c>
      <c r="L2357" s="21" t="str">
        <f>IFERROR(__xludf.DUMMYFUNCTION("""COMPUTED_VALUE"""),"LAKI-LAKI")</f>
        <v>LAKI-LAKI</v>
      </c>
      <c r="M2357" s="35" t="str">
        <f>IFERROR(__xludf.DUMMYFUNCTION("""COMPUTED_VALUE"""),"JL RAYA WAJOK HULU KM 11")</f>
        <v>JL RAYA WAJOK HULU KM 11</v>
      </c>
      <c r="N2357" s="35" t="str">
        <f>IFERROR(__xludf.DUMMYFUNCTION("""COMPUTED_VALUE"""),"WAJOK HULU")</f>
        <v>WAJOK HULU</v>
      </c>
      <c r="O2357" s="35" t="str">
        <f>IFERROR(__xludf.DUMMYFUNCTION("""COMPUTED_VALUE"""),"KECAMATAN SIANTAN")</f>
        <v>KECAMATAN SIANTAN</v>
      </c>
      <c r="P2357" s="35" t="str">
        <f>IFERROR(__xludf.DUMMYFUNCTION("""COMPUTED_VALUE"""),"KABUPATEN MEMPAWAH")</f>
        <v>KABUPATEN MEMPAWAH</v>
      </c>
      <c r="Q2357" s="35" t="str">
        <f>IFERROR(__xludf.DUMMYFUNCTION("""COMPUTED_VALUE"""),"KALIMANTAN BARAT")</f>
        <v>KALIMANTAN BARAT</v>
      </c>
      <c r="R2357" s="21" t="str">
        <f>IFERROR(__xludf.DUMMYFUNCTION("""COMPUTED_VALUE"""),"ISLAM")</f>
        <v>ISLAM</v>
      </c>
      <c r="S2357" s="74" t="str">
        <f>IFERROR(__xludf.DUMMYFUNCTION("""COMPUTED_VALUE"""),"PELAJAR")</f>
        <v>PELAJAR</v>
      </c>
      <c r="T2357" s="35" t="str">
        <f>IFERROR(__xludf.DUMMYFUNCTION("""COMPUTED_VALUE"""),"NDA BISA MENGANGKAT BEBAN BERAT DI BAGIAN SIKU TANGAN KIRI")</f>
        <v>NDA BISA MENGANGKAT BEBAN BERAT DI BAGIAN SIKU TANGAN KIRI</v>
      </c>
      <c r="U2357" s="35" t="str">
        <f>IFERROR(__xludf.DUMMYFUNCTION("""COMPUTED_VALUE"""),"OLAHRAGA")</f>
        <v>OLAHRAGA</v>
      </c>
      <c r="V2357" s="37" t="str">
        <f>IFERROR(__xludf.DUMMYFUNCTION("""COMPUTED_VALUE"""),"0895611342223")</f>
        <v>0895611342223</v>
      </c>
      <c r="W2357" s="45"/>
    </row>
    <row r="2358">
      <c r="A2358" s="45"/>
      <c r="B2358" s="24" t="str">
        <f>IFERROR(__xludf.DUMMYFUNCTION("""COMPUTED_VALUE"""),"05/04/2025 20:48:22")</f>
        <v>05/04/2025 20:48:22</v>
      </c>
      <c r="C2358" s="35"/>
      <c r="D2358" s="10">
        <f>IFERROR(__xludf.DUMMYFUNCTION("""COMPUTED_VALUE"""),45773.0)</f>
        <v>45773</v>
      </c>
      <c r="E2358" s="35" t="str">
        <f>IFERROR(__xludf.DUMMYFUNCTION("""COMPUTED_VALUE"""),"04Apr")</f>
        <v>04Apr</v>
      </c>
      <c r="F2358" s="34" t="str">
        <f>IFERROR(__xludf.DUMMYFUNCTION("""COMPUTED_VALUE"""),"2025")</f>
        <v>2025</v>
      </c>
      <c r="G2358" s="35" t="str">
        <f>IFERROR(__xludf.DUMMYFUNCTION("""COMPUTED_VALUE"""),"MUAMMAR HAFIZI")</f>
        <v>MUAMMAR HAFIZI</v>
      </c>
      <c r="H2358" s="35" t="str">
        <f>IFERROR(__xludf.DUMMYFUNCTION("""COMPUTED_VALUE"""),"M8625049884")</f>
        <v>M8625049884</v>
      </c>
      <c r="I2358" s="35">
        <f>IFERROR(__xludf.DUMMYFUNCTION("""COMPUTED_VALUE"""),39.0)</f>
        <v>39</v>
      </c>
      <c r="J2358" s="35" t="str">
        <f>IFERROR(__xludf.DUMMYFUNCTION("""COMPUTED_VALUE"""),"35-44 tahun")</f>
        <v>35-44 tahun</v>
      </c>
      <c r="K2358" s="21" t="str">
        <f>IFERROR(__xludf.DUMMYFUNCTION("""COMPUTED_VALUE"""),"23/12/1986")</f>
        <v>23/12/1986</v>
      </c>
      <c r="L2358" s="21" t="str">
        <f>IFERROR(__xludf.DUMMYFUNCTION("""COMPUTED_VALUE"""),"LAKI-LAKI")</f>
        <v>LAKI-LAKI</v>
      </c>
      <c r="M2358" s="35" t="str">
        <f>IFERROR(__xludf.DUMMYFUNCTION("""COMPUTED_VALUE"""),"KOMP ARI KARYA INDAH 4, JALUR 5 BLOK. C. 20")</f>
        <v>KOMP ARI KARYA INDAH 4, JALUR 5 BLOK. C. 20</v>
      </c>
      <c r="N2358" s="35" t="str">
        <f>IFERROR(__xludf.DUMMYFUNCTION("""COMPUTED_VALUE"""),"PAL IX")</f>
        <v>PAL IX</v>
      </c>
      <c r="O2358" s="35" t="str">
        <f>IFERROR(__xludf.DUMMYFUNCTION("""COMPUTED_VALUE"""),"SUNGAI KAKAP")</f>
        <v>SUNGAI KAKAP</v>
      </c>
      <c r="P2358" s="35" t="str">
        <f>IFERROR(__xludf.DUMMYFUNCTION("""COMPUTED_VALUE"""),"KUBURAYA")</f>
        <v>KUBURAYA</v>
      </c>
      <c r="Q2358" s="35" t="str">
        <f>IFERROR(__xludf.DUMMYFUNCTION("""COMPUTED_VALUE"""),"KALIMANTAN BARAT")</f>
        <v>KALIMANTAN BARAT</v>
      </c>
      <c r="R2358" s="21" t="str">
        <f>IFERROR(__xludf.DUMMYFUNCTION("""COMPUTED_VALUE"""),"ISLAM")</f>
        <v>ISLAM</v>
      </c>
      <c r="S2358" s="74" t="str">
        <f>IFERROR(__xludf.DUMMYFUNCTION("""COMPUTED_VALUE"""),"PNS")</f>
        <v>PNS</v>
      </c>
      <c r="T2358" s="35" t="str">
        <f>IFERROR(__xludf.DUMMYFUNCTION("""COMPUTED_VALUE"""),"SETELAH OLAH RAGA, SAKIT PADA TUMIT DAN LUTUT")</f>
        <v>SETELAH OLAH RAGA, SAKIT PADA TUMIT DAN LUTUT</v>
      </c>
      <c r="U2358" s="35" t="str">
        <f>IFERROR(__xludf.DUMMYFUNCTION("""COMPUTED_VALUE"""),"OLAHRAGA")</f>
        <v>OLAHRAGA</v>
      </c>
      <c r="V2358" s="37" t="str">
        <f>IFERROR(__xludf.DUMMYFUNCTION("""COMPUTED_VALUE"""),"081345639884")</f>
        <v>081345639884</v>
      </c>
      <c r="W2358" s="45"/>
    </row>
    <row r="2359">
      <c r="A2359" s="45"/>
      <c r="B2359" s="24" t="str">
        <f>IFERROR(__xludf.DUMMYFUNCTION("""COMPUTED_VALUE"""),"06/04/2025 12:12:02")</f>
        <v>06/04/2025 12:12:02</v>
      </c>
      <c r="C2359" s="35"/>
      <c r="D2359" s="10">
        <f>IFERROR(__xludf.DUMMYFUNCTION("""COMPUTED_VALUE"""),45751.0)</f>
        <v>45751</v>
      </c>
      <c r="E2359" s="35" t="str">
        <f>IFERROR(__xludf.DUMMYFUNCTION("""COMPUTED_VALUE"""),"04Apr")</f>
        <v>04Apr</v>
      </c>
      <c r="F2359" s="34" t="str">
        <f>IFERROR(__xludf.DUMMYFUNCTION("""COMPUTED_VALUE"""),"2025")</f>
        <v>2025</v>
      </c>
      <c r="G2359" s="35" t="str">
        <f>IFERROR(__xludf.DUMMYFUNCTION("""COMPUTED_VALUE"""),"JAMALUDIN7406")</f>
        <v>JAMALUDIN7406</v>
      </c>
      <c r="H2359" s="35" t="str">
        <f>IFERROR(__xludf.DUMMYFUNCTION("""COMPUTED_VALUE"""),"J7425044865")</f>
        <v>J7425044865</v>
      </c>
      <c r="I2359" s="35">
        <f>IFERROR(__xludf.DUMMYFUNCTION("""COMPUTED_VALUE"""),52.0)</f>
        <v>52</v>
      </c>
      <c r="J2359" s="35" t="str">
        <f>IFERROR(__xludf.DUMMYFUNCTION("""COMPUTED_VALUE"""),"&gt; 44 tahun")</f>
        <v>&gt; 44 tahun</v>
      </c>
      <c r="K2359" s="21" t="str">
        <f>IFERROR(__xludf.DUMMYFUNCTION("""COMPUTED_VALUE"""),"06/06/1974")</f>
        <v>06/06/1974</v>
      </c>
      <c r="L2359" s="21" t="str">
        <f>IFERROR(__xludf.DUMMYFUNCTION("""COMPUTED_VALUE"""),"LAKI-LAKI")</f>
        <v>LAKI-LAKI</v>
      </c>
      <c r="M2359" s="35" t="str">
        <f>IFERROR(__xludf.DUMMYFUNCTION("""COMPUTED_VALUE"""),"JL. ADISUCIPTO GANG. MASJID")</f>
        <v>JL. ADISUCIPTO GANG. MASJID</v>
      </c>
      <c r="N2359" s="35" t="str">
        <f>IFERROR(__xludf.DUMMYFUNCTION("""COMPUTED_VALUE"""),"ARANG LIMBUNG")</f>
        <v>ARANG LIMBUNG</v>
      </c>
      <c r="O2359" s="35" t="str">
        <f>IFERROR(__xludf.DUMMYFUNCTION("""COMPUTED_VALUE"""),"SUNGAI RAYA")</f>
        <v>SUNGAI RAYA</v>
      </c>
      <c r="P2359" s="35" t="str">
        <f>IFERROR(__xludf.DUMMYFUNCTION("""COMPUTED_VALUE"""),"KUBU RAYA")</f>
        <v>KUBU RAYA</v>
      </c>
      <c r="Q2359" s="35" t="str">
        <f>IFERROR(__xludf.DUMMYFUNCTION("""COMPUTED_VALUE"""),"KALIMANTAN BARAT")</f>
        <v>KALIMANTAN BARAT</v>
      </c>
      <c r="R2359" s="21" t="str">
        <f>IFERROR(__xludf.DUMMYFUNCTION("""COMPUTED_VALUE"""),"ISLAM")</f>
        <v>ISLAM</v>
      </c>
      <c r="S2359" s="74" t="str">
        <f>IFERROR(__xludf.DUMMYFUNCTION("""COMPUTED_VALUE"""),"WIRASWASTA")</f>
        <v>WIRASWASTA</v>
      </c>
      <c r="T2359" s="35" t="str">
        <f>IFERROR(__xludf.DUMMYFUNCTION("""COMPUTED_VALUE"""),"SARAF TERJEPIT DIBAGIAN PINGGUL SAMPAI KE PERGELANGAN KAKI KANAN")</f>
        <v>SARAF TERJEPIT DIBAGIAN PINGGUL SAMPAI KE PERGELANGAN KAKI KANAN</v>
      </c>
      <c r="U2359" s="35" t="str">
        <f>IFERROR(__xludf.DUMMYFUNCTION("""COMPUTED_VALUE"""),"NYETIR PULANG PERGI PTK-SANGGAU, ANTAR BELANJA KEBUTUHAN POKOK PERUSAHAAN")</f>
        <v>NYETIR PULANG PERGI PTK-SANGGAU, ANTAR BELANJA KEBUTUHAN POKOK PERUSAHAAN</v>
      </c>
      <c r="V2359" s="37" t="str">
        <f>IFERROR(__xludf.DUMMYFUNCTION("""COMPUTED_VALUE"""),"082158884865")</f>
        <v>082158884865</v>
      </c>
      <c r="W2359" s="45"/>
    </row>
    <row r="2360">
      <c r="A2360" s="45"/>
      <c r="B2360" s="24" t="str">
        <f>IFERROR(__xludf.DUMMYFUNCTION("""COMPUTED_VALUE"""),"07/04/2025 11:39:42")</f>
        <v>07/04/2025 11:39:42</v>
      </c>
      <c r="C2360" s="35"/>
      <c r="D2360" s="10">
        <f>IFERROR(__xludf.DUMMYFUNCTION("""COMPUTED_VALUE"""),45773.0)</f>
        <v>45773</v>
      </c>
      <c r="E2360" s="35" t="str">
        <f>IFERROR(__xludf.DUMMYFUNCTION("""COMPUTED_VALUE"""),"04Apr")</f>
        <v>04Apr</v>
      </c>
      <c r="F2360" s="34" t="str">
        <f>IFERROR(__xludf.DUMMYFUNCTION("""COMPUTED_VALUE"""),"2025")</f>
        <v>2025</v>
      </c>
      <c r="G2360" s="35" t="str">
        <f>IFERROR(__xludf.DUMMYFUNCTION("""COMPUTED_VALUE"""),"ENI KUAMIATI")</f>
        <v>ENI KUAMIATI</v>
      </c>
      <c r="H2360" s="35" t="str">
        <f>IFERROR(__xludf.DUMMYFUNCTION("""COMPUTED_VALUE"""),"E7525042936")</f>
        <v>E7525042936</v>
      </c>
      <c r="I2360" s="35">
        <f>IFERROR(__xludf.DUMMYFUNCTION("""COMPUTED_VALUE"""),50.0)</f>
        <v>50</v>
      </c>
      <c r="J2360" s="35" t="str">
        <f>IFERROR(__xludf.DUMMYFUNCTION("""COMPUTED_VALUE"""),"&gt; 44 tahun")</f>
        <v>&gt; 44 tahun</v>
      </c>
      <c r="K2360" s="21" t="str">
        <f>IFERROR(__xludf.DUMMYFUNCTION("""COMPUTED_VALUE"""),"26/06/1975")</f>
        <v>26/06/1975</v>
      </c>
      <c r="L2360" s="21" t="str">
        <f>IFERROR(__xludf.DUMMYFUNCTION("""COMPUTED_VALUE"""),"PEREMPUAN")</f>
        <v>PEREMPUAN</v>
      </c>
      <c r="M2360" s="35" t="str">
        <f>IFERROR(__xludf.DUMMYFUNCTION("""COMPUTED_VALUE"""),"JL. TABRANI AHAMAD GG. GN. RINJANI 2")</f>
        <v>JL. TABRANI AHAMAD GG. GN. RINJANI 2</v>
      </c>
      <c r="N2360" s="35" t="str">
        <f>IFERROR(__xludf.DUMMYFUNCTION("""COMPUTED_VALUE"""),"SUNGAI JAWI DALAM")</f>
        <v>SUNGAI JAWI DALAM</v>
      </c>
      <c r="O2360" s="35" t="str">
        <f>IFERROR(__xludf.DUMMYFUNCTION("""COMPUTED_VALUE"""),"PONTIANAK BARAT")</f>
        <v>PONTIANAK BARAT</v>
      </c>
      <c r="P2360" s="35" t="str">
        <f>IFERROR(__xludf.DUMMYFUNCTION("""COMPUTED_VALUE"""),"KOTA PONTIANAK")</f>
        <v>KOTA PONTIANAK</v>
      </c>
      <c r="Q2360" s="35" t="str">
        <f>IFERROR(__xludf.DUMMYFUNCTION("""COMPUTED_VALUE"""),"KALBAR")</f>
        <v>KALBAR</v>
      </c>
      <c r="R2360" s="21" t="str">
        <f>IFERROR(__xludf.DUMMYFUNCTION("""COMPUTED_VALUE"""),"ISLAM")</f>
        <v>ISLAM</v>
      </c>
      <c r="S2360" s="74" t="str">
        <f>IFERROR(__xludf.DUMMYFUNCTION("""COMPUTED_VALUE"""),"PNS")</f>
        <v>PNS</v>
      </c>
      <c r="T2360" s="35" t="str">
        <f>IFERROR(__xludf.DUMMYFUNCTION("""COMPUTED_VALUE"""),"TERASA KAKU DAN NYERI DI PANGKAL IBU JARI TANGAN")</f>
        <v>TERASA KAKU DAN NYERI DI PANGKAL IBU JARI TANGAN</v>
      </c>
      <c r="U2360" s="35" t="str">
        <f>IFERROR(__xludf.DUMMYFUNCTION("""COMPUTED_VALUE"""),"TIDAK ADA")</f>
        <v>TIDAK ADA</v>
      </c>
      <c r="V2360" s="37" t="str">
        <f>IFERROR(__xludf.DUMMYFUNCTION("""COMPUTED_VALUE"""),"082149812936")</f>
        <v>082149812936</v>
      </c>
      <c r="W2360" s="45"/>
    </row>
    <row r="2361">
      <c r="A2361" s="45"/>
      <c r="B2361" s="24" t="str">
        <f>IFERROR(__xludf.DUMMYFUNCTION("""COMPUTED_VALUE"""),"07/04/2025 16:39:34")</f>
        <v>07/04/2025 16:39:34</v>
      </c>
      <c r="C2361" s="35"/>
      <c r="D2361" s="10">
        <f>IFERROR(__xludf.DUMMYFUNCTION("""COMPUTED_VALUE"""),45773.0)</f>
        <v>45773</v>
      </c>
      <c r="E2361" s="35" t="str">
        <f>IFERROR(__xludf.DUMMYFUNCTION("""COMPUTED_VALUE"""),"04Apr")</f>
        <v>04Apr</v>
      </c>
      <c r="F2361" s="34" t="str">
        <f>IFERROR(__xludf.DUMMYFUNCTION("""COMPUTED_VALUE"""),"2025")</f>
        <v>2025</v>
      </c>
      <c r="G2361" s="35" t="str">
        <f>IFERROR(__xludf.DUMMYFUNCTION("""COMPUTED_VALUE"""),"ISKANDAR ZULKARNAEN")</f>
        <v>ISKANDAR ZULKARNAEN</v>
      </c>
      <c r="H2361" s="35" t="str">
        <f>IFERROR(__xludf.DUMMYFUNCTION("""COMPUTED_VALUE"""),"I7525042292")</f>
        <v>I7525042292</v>
      </c>
      <c r="I2361" s="35">
        <f>IFERROR(__xludf.DUMMYFUNCTION("""COMPUTED_VALUE"""),50.0)</f>
        <v>50</v>
      </c>
      <c r="J2361" s="35" t="str">
        <f>IFERROR(__xludf.DUMMYFUNCTION("""COMPUTED_VALUE"""),"&gt; 44 tahun")</f>
        <v>&gt; 44 tahun</v>
      </c>
      <c r="K2361" s="21" t="str">
        <f>IFERROR(__xludf.DUMMYFUNCTION("""COMPUTED_VALUE"""),"22/07/1975")</f>
        <v>22/07/1975</v>
      </c>
      <c r="L2361" s="21" t="str">
        <f>IFERROR(__xludf.DUMMYFUNCTION("""COMPUTED_VALUE"""),"LAKI-LAKI")</f>
        <v>LAKI-LAKI</v>
      </c>
      <c r="M2361" s="35" t="str">
        <f>IFERROR(__xludf.DUMMYFUNCTION("""COMPUTED_VALUE"""),"JL. TABRANI AHMAD GG. GN. RINJANI 2")</f>
        <v>JL. TABRANI AHMAD GG. GN. RINJANI 2</v>
      </c>
      <c r="N2361" s="35" t="str">
        <f>IFERROR(__xludf.DUMMYFUNCTION("""COMPUTED_VALUE"""),"SUNGAI JAWI DALAM")</f>
        <v>SUNGAI JAWI DALAM</v>
      </c>
      <c r="O2361" s="35" t="str">
        <f>IFERROR(__xludf.DUMMYFUNCTION("""COMPUTED_VALUE"""),"PONTIANAK BARAT")</f>
        <v>PONTIANAK BARAT</v>
      </c>
      <c r="P2361" s="35" t="str">
        <f>IFERROR(__xludf.DUMMYFUNCTION("""COMPUTED_VALUE"""),"KOTA PONTIANAK")</f>
        <v>KOTA PONTIANAK</v>
      </c>
      <c r="Q2361" s="35" t="str">
        <f>IFERROR(__xludf.DUMMYFUNCTION("""COMPUTED_VALUE"""),"KALBAR")</f>
        <v>KALBAR</v>
      </c>
      <c r="R2361" s="21" t="str">
        <f>IFERROR(__xludf.DUMMYFUNCTION("""COMPUTED_VALUE"""),"ISLAM")</f>
        <v>ISLAM</v>
      </c>
      <c r="S2361" s="74" t="str">
        <f>IFERROR(__xludf.DUMMYFUNCTION("""COMPUTED_VALUE"""),"PNS")</f>
        <v>PNS</v>
      </c>
      <c r="T2361" s="35" t="str">
        <f>IFERROR(__xludf.DUMMYFUNCTION("""COMPUTED_VALUE"""),"NYERI DIBAHU SEBELAH KANAN")</f>
        <v>NYERI DIBAHU SEBELAH KANAN</v>
      </c>
      <c r="U2361" s="35" t="str">
        <f>IFERROR(__xludf.DUMMYFUNCTION("""COMPUTED_VALUE"""),"MAIN TENNIS")</f>
        <v>MAIN TENNIS</v>
      </c>
      <c r="V2361" s="37" t="str">
        <f>IFERROR(__xludf.DUMMYFUNCTION("""COMPUTED_VALUE"""),"085349212292")</f>
        <v>085349212292</v>
      </c>
      <c r="W2361" s="45"/>
    </row>
    <row r="2362">
      <c r="A2362" s="45"/>
      <c r="B2362" s="24" t="str">
        <f>IFERROR(__xludf.DUMMYFUNCTION("""COMPUTED_VALUE"""),"07/04/2025 18:18:48")</f>
        <v>07/04/2025 18:18:48</v>
      </c>
      <c r="C2362" s="35"/>
      <c r="D2362" s="10">
        <f>IFERROR(__xludf.DUMMYFUNCTION("""COMPUTED_VALUE"""),45773.0)</f>
        <v>45773</v>
      </c>
      <c r="E2362" s="35" t="str">
        <f>IFERROR(__xludf.DUMMYFUNCTION("""COMPUTED_VALUE"""),"04Apr")</f>
        <v>04Apr</v>
      </c>
      <c r="F2362" s="34" t="str">
        <f>IFERROR(__xludf.DUMMYFUNCTION("""COMPUTED_VALUE"""),"2025")</f>
        <v>2025</v>
      </c>
      <c r="G2362" s="35" t="str">
        <f>IFERROR(__xludf.DUMMYFUNCTION("""COMPUTED_VALUE"""),"DYNA LIESTARI")</f>
        <v>DYNA LIESTARI</v>
      </c>
      <c r="H2362" s="35" t="str">
        <f>IFERROR(__xludf.DUMMYFUNCTION("""COMPUTED_VALUE"""),"D8625044371")</f>
        <v>D8625044371</v>
      </c>
      <c r="I2362" s="35">
        <f>IFERROR(__xludf.DUMMYFUNCTION("""COMPUTED_VALUE"""),39.0)</f>
        <v>39</v>
      </c>
      <c r="J2362" s="35" t="str">
        <f>IFERROR(__xludf.DUMMYFUNCTION("""COMPUTED_VALUE"""),"35-44 tahun")</f>
        <v>35-44 tahun</v>
      </c>
      <c r="K2362" s="21" t="str">
        <f>IFERROR(__xludf.DUMMYFUNCTION("""COMPUTED_VALUE"""),"17/11/1986")</f>
        <v>17/11/1986</v>
      </c>
      <c r="L2362" s="21" t="str">
        <f>IFERROR(__xludf.DUMMYFUNCTION("""COMPUTED_VALUE"""),"PEREMPUAN")</f>
        <v>PEREMPUAN</v>
      </c>
      <c r="M2362" s="35" t="str">
        <f>IFERROR(__xludf.DUMMYFUNCTION("""COMPUTED_VALUE"""),"JL. SUKAMULIA KOMP SEPAKAT MULIA NO.10")</f>
        <v>JL. SUKAMULIA KOMP SEPAKAT MULIA NO.10</v>
      </c>
      <c r="N2362" s="35" t="str">
        <f>IFERROR(__xludf.DUMMYFUNCTION("""COMPUTED_VALUE"""),"SUNGAI JAWI")</f>
        <v>SUNGAI JAWI</v>
      </c>
      <c r="O2362" s="35" t="str">
        <f>IFERROR(__xludf.DUMMYFUNCTION("""COMPUTED_VALUE"""),"SUNGAI JAWI")</f>
        <v>SUNGAI JAWI</v>
      </c>
      <c r="P2362" s="35" t="str">
        <f>IFERROR(__xludf.DUMMYFUNCTION("""COMPUTED_VALUE"""),"PONTIANAK KOTA")</f>
        <v>PONTIANAK KOTA</v>
      </c>
      <c r="Q2362" s="35" t="str">
        <f>IFERROR(__xludf.DUMMYFUNCTION("""COMPUTED_VALUE"""),"KALIMANTAN BARAT")</f>
        <v>KALIMANTAN BARAT</v>
      </c>
      <c r="R2362" s="21" t="str">
        <f>IFERROR(__xludf.DUMMYFUNCTION("""COMPUTED_VALUE"""),"ISLAM")</f>
        <v>ISLAM</v>
      </c>
      <c r="S2362" s="74" t="str">
        <f>IFERROR(__xludf.DUMMYFUNCTION("""COMPUTED_VALUE"""),"IRT")</f>
        <v>IRT</v>
      </c>
      <c r="T2362" s="35" t="str">
        <f>IFERROR(__xludf.DUMMYFUNCTION("""COMPUTED_VALUE"""),"SAKIT PINGGANG")</f>
        <v>SAKIT PINGGANG</v>
      </c>
      <c r="U2362" s="35" t="str">
        <f>IFERROR(__xludf.DUMMYFUNCTION("""COMPUTED_VALUE"""),"MENJAHIT")</f>
        <v>MENJAHIT</v>
      </c>
      <c r="V2362" s="37" t="str">
        <f>IFERROR(__xludf.DUMMYFUNCTION("""COMPUTED_VALUE"""),"089622244371")</f>
        <v>089622244371</v>
      </c>
      <c r="W2362" s="45"/>
    </row>
    <row r="2363">
      <c r="A2363" s="45"/>
      <c r="B2363" s="24" t="str">
        <f>IFERROR(__xludf.DUMMYFUNCTION("""COMPUTED_VALUE"""),"08/04/2025 9:26:38")</f>
        <v>08/04/2025 9:26:38</v>
      </c>
      <c r="C2363" s="35"/>
      <c r="D2363" s="10">
        <f>IFERROR(__xludf.DUMMYFUNCTION("""COMPUTED_VALUE"""),45774.0)</f>
        <v>45774</v>
      </c>
      <c r="E2363" s="35" t="str">
        <f>IFERROR(__xludf.DUMMYFUNCTION("""COMPUTED_VALUE"""),"04Apr")</f>
        <v>04Apr</v>
      </c>
      <c r="F2363" s="34" t="str">
        <f>IFERROR(__xludf.DUMMYFUNCTION("""COMPUTED_VALUE"""),"2025")</f>
        <v>2025</v>
      </c>
      <c r="G2363" s="35" t="str">
        <f>IFERROR(__xludf.DUMMYFUNCTION("""COMPUTED_VALUE"""),"MUHAMAD ZAIN AL FARIZI")</f>
        <v>MUHAMAD ZAIN AL FARIZI</v>
      </c>
      <c r="H2363" s="35" t="str">
        <f>IFERROR(__xludf.DUMMYFUNCTION("""COMPUTED_VALUE"""),"M0425046594")</f>
        <v>M0425046594</v>
      </c>
      <c r="I2363" s="35">
        <f>IFERROR(__xludf.DUMMYFUNCTION("""COMPUTED_VALUE"""),22.0)</f>
        <v>22</v>
      </c>
      <c r="J2363" s="35" t="str">
        <f>IFERROR(__xludf.DUMMYFUNCTION("""COMPUTED_VALUE"""),"18-24 tahun")</f>
        <v>18-24 tahun</v>
      </c>
      <c r="K2363" s="21" t="str">
        <f>IFERROR(__xludf.DUMMYFUNCTION("""COMPUTED_VALUE"""),"15/04/2004")</f>
        <v>15/04/2004</v>
      </c>
      <c r="L2363" s="21" t="str">
        <f>IFERROR(__xludf.DUMMYFUNCTION("""COMPUTED_VALUE"""),"LAKI-LAKI")</f>
        <v>LAKI-LAKI</v>
      </c>
      <c r="M2363" s="35" t="str">
        <f>IFERROR(__xludf.DUMMYFUNCTION("""COMPUTED_VALUE"""),"JL.PRAKUSUMA YUDHA RT.019 KEL.MENDAWAI KEC.ARUT SELATAN KAB.KOTAWARINGIN BARAT")</f>
        <v>JL.PRAKUSUMA YUDHA RT.019 KEL.MENDAWAI KEC.ARUT SELATAN KAB.KOTAWARINGIN BARAT</v>
      </c>
      <c r="N2363" s="35" t="str">
        <f>IFERROR(__xludf.DUMMYFUNCTION("""COMPUTED_VALUE"""),"MENDAWAI")</f>
        <v>MENDAWAI</v>
      </c>
      <c r="O2363" s="35" t="str">
        <f>IFERROR(__xludf.DUMMYFUNCTION("""COMPUTED_VALUE"""),"ARUT SELATAN")</f>
        <v>ARUT SELATAN</v>
      </c>
      <c r="P2363" s="35" t="str">
        <f>IFERROR(__xludf.DUMMYFUNCTION("""COMPUTED_VALUE"""),"KOTAWARINGIN BARAT")</f>
        <v>KOTAWARINGIN BARAT</v>
      </c>
      <c r="Q2363" s="35" t="str">
        <f>IFERROR(__xludf.DUMMYFUNCTION("""COMPUTED_VALUE"""),"KALIMANTAN TENGAH")</f>
        <v>KALIMANTAN TENGAH</v>
      </c>
      <c r="R2363" s="21" t="str">
        <f>IFERROR(__xludf.DUMMYFUNCTION("""COMPUTED_VALUE"""),"ISLAM")</f>
        <v>ISLAM</v>
      </c>
      <c r="S2363" s="74" t="str">
        <f>IFERROR(__xludf.DUMMYFUNCTION("""COMPUTED_VALUE"""),"MAHASISWA")</f>
        <v>MAHASISWA</v>
      </c>
      <c r="T2363" s="35" t="str">
        <f>IFERROR(__xludf.DUMMYFUNCTION("""COMPUTED_VALUE"""),"KAKI SEBELAH KIRI SAKIT SAAT BERJALAN LURUS NORMAL")</f>
        <v>KAKI SEBELAH KIRI SAKIT SAAT BERJALAN LURUS NORMAL</v>
      </c>
      <c r="U2363" s="35" t="str">
        <f>IFERROR(__xludf.DUMMYFUNCTION("""COMPUTED_VALUE"""),"OLAHRAGA LARI")</f>
        <v>OLAHRAGA LARI</v>
      </c>
      <c r="V2363" s="37" t="str">
        <f>IFERROR(__xludf.DUMMYFUNCTION("""COMPUTED_VALUE"""),"082252756594")</f>
        <v>082252756594</v>
      </c>
      <c r="W2363" s="45"/>
    </row>
    <row r="2364">
      <c r="A2364" s="45"/>
      <c r="B2364" s="24" t="str">
        <f>IFERROR(__xludf.DUMMYFUNCTION("""COMPUTED_VALUE"""),"08/04/2025 10:33:34")</f>
        <v>08/04/2025 10:33:34</v>
      </c>
      <c r="C2364" s="35"/>
      <c r="D2364" s="10">
        <f>IFERROR(__xludf.DUMMYFUNCTION("""COMPUTED_VALUE"""),45774.0)</f>
        <v>45774</v>
      </c>
      <c r="E2364" s="35" t="str">
        <f>IFERROR(__xludf.DUMMYFUNCTION("""COMPUTED_VALUE"""),"04Apr")</f>
        <v>04Apr</v>
      </c>
      <c r="F2364" s="34" t="str">
        <f>IFERROR(__xludf.DUMMYFUNCTION("""COMPUTED_VALUE"""),"2025")</f>
        <v>2025</v>
      </c>
      <c r="G2364" s="35" t="str">
        <f>IFERROR(__xludf.DUMMYFUNCTION("""COMPUTED_VALUE"""),"SUZY INGKIRIWANG")</f>
        <v>SUZY INGKIRIWANG</v>
      </c>
      <c r="H2364" s="35" t="str">
        <f>IFERROR(__xludf.DUMMYFUNCTION("""COMPUTED_VALUE"""),"S6925041888")</f>
        <v>S6925041888</v>
      </c>
      <c r="I2364" s="35">
        <f>IFERROR(__xludf.DUMMYFUNCTION("""COMPUTED_VALUE"""),56.0)</f>
        <v>56</v>
      </c>
      <c r="J2364" s="35" t="str">
        <f>IFERROR(__xludf.DUMMYFUNCTION("""COMPUTED_VALUE"""),"&gt; 44 tahun")</f>
        <v>&gt; 44 tahun</v>
      </c>
      <c r="K2364" s="21" t="str">
        <f>IFERROR(__xludf.DUMMYFUNCTION("""COMPUTED_VALUE"""),"18/11/1969")</f>
        <v>18/11/1969</v>
      </c>
      <c r="L2364" s="21" t="str">
        <f>IFERROR(__xludf.DUMMYFUNCTION("""COMPUTED_VALUE"""),"PEREMPUAN")</f>
        <v>PEREMPUAN</v>
      </c>
      <c r="M2364" s="35" t="str">
        <f>IFERROR(__xludf.DUMMYFUNCTION("""COMPUTED_VALUE"""),"PURNAMA AGUNG 7 BLOK V PNO 25")</f>
        <v>PURNAMA AGUNG 7 BLOK V PNO 25</v>
      </c>
      <c r="N2364" s="35" t="str">
        <f>IFERROR(__xludf.DUMMYFUNCTION("""COMPUTED_VALUE"""),"PARIT TOKAYA")</f>
        <v>PARIT TOKAYA</v>
      </c>
      <c r="O2364" s="35" t="str">
        <f>IFERROR(__xludf.DUMMYFUNCTION("""COMPUTED_VALUE"""),"PONTIANAK SELATAN")</f>
        <v>PONTIANAK SELATAN</v>
      </c>
      <c r="P2364" s="35" t="str">
        <f>IFERROR(__xludf.DUMMYFUNCTION("""COMPUTED_VALUE"""),"PONTIANAK")</f>
        <v>PONTIANAK</v>
      </c>
      <c r="Q2364" s="35" t="str">
        <f>IFERROR(__xludf.DUMMYFUNCTION("""COMPUTED_VALUE"""),"KALIMANTAN BARAT")</f>
        <v>KALIMANTAN BARAT</v>
      </c>
      <c r="R2364" s="21" t="str">
        <f>IFERROR(__xludf.DUMMYFUNCTION("""COMPUTED_VALUE"""),"KATOLIK")</f>
        <v>KATOLIK</v>
      </c>
      <c r="S2364" s="74" t="str">
        <f>IFERROR(__xludf.DUMMYFUNCTION("""COMPUTED_VALUE"""),"-")</f>
        <v>-</v>
      </c>
      <c r="T2364" s="35" t="str">
        <f>IFERROR(__xludf.DUMMYFUNCTION("""COMPUTED_VALUE"""),"RAHANG PATAH")</f>
        <v>RAHANG PATAH</v>
      </c>
      <c r="U2364" s="35" t="str">
        <f>IFERROR(__xludf.DUMMYFUNCTION("""COMPUTED_VALUE"""),"TIDAK ADA")</f>
        <v>TIDAK ADA</v>
      </c>
      <c r="V2364" s="37" t="str">
        <f>IFERROR(__xludf.DUMMYFUNCTION("""COMPUTED_VALUE"""),"085245901888")</f>
        <v>085245901888</v>
      </c>
      <c r="W2364" s="45"/>
    </row>
    <row r="2365">
      <c r="A2365" s="45"/>
      <c r="B2365" s="24" t="str">
        <f>IFERROR(__xludf.DUMMYFUNCTION("""COMPUTED_VALUE"""),"08/04/2025 11:01:56")</f>
        <v>08/04/2025 11:01:56</v>
      </c>
      <c r="C2365" s="35"/>
      <c r="D2365" s="10">
        <f>IFERROR(__xludf.DUMMYFUNCTION("""COMPUTED_VALUE"""),45774.0)</f>
        <v>45774</v>
      </c>
      <c r="E2365" s="35" t="str">
        <f>IFERROR(__xludf.DUMMYFUNCTION("""COMPUTED_VALUE"""),"04Apr")</f>
        <v>04Apr</v>
      </c>
      <c r="F2365" s="34" t="str">
        <f>IFERROR(__xludf.DUMMYFUNCTION("""COMPUTED_VALUE"""),"2025")</f>
        <v>2025</v>
      </c>
      <c r="G2365" s="35" t="str">
        <f>IFERROR(__xludf.DUMMYFUNCTION("""COMPUTED_VALUE"""),"DAYANG KARINA MAULIDIA")</f>
        <v>DAYANG KARINA MAULIDIA</v>
      </c>
      <c r="H2365" s="35" t="str">
        <f>IFERROR(__xludf.DUMMYFUNCTION("""COMPUTED_VALUE"""),"D9625049610")</f>
        <v>D9625049610</v>
      </c>
      <c r="I2365" s="35">
        <f>IFERROR(__xludf.DUMMYFUNCTION("""COMPUTED_VALUE"""),29.0)</f>
        <v>29</v>
      </c>
      <c r="J2365" s="35" t="str">
        <f>IFERROR(__xludf.DUMMYFUNCTION("""COMPUTED_VALUE"""),"25-34 tahun")</f>
        <v>25-34 tahun</v>
      </c>
      <c r="K2365" s="21" t="str">
        <f>IFERROR(__xludf.DUMMYFUNCTION("""COMPUTED_VALUE"""),"25/07/1996")</f>
        <v>25/07/1996</v>
      </c>
      <c r="L2365" s="21" t="str">
        <f>IFERROR(__xludf.DUMMYFUNCTION("""COMPUTED_VALUE"""),"PEREMPUAN")</f>
        <v>PEREMPUAN</v>
      </c>
      <c r="M2365" s="35" t="str">
        <f>IFERROR(__xludf.DUMMYFUNCTION("""COMPUTED_VALUE"""),"JL. RAYA DESA KAPUR")</f>
        <v>JL. RAYA DESA KAPUR</v>
      </c>
      <c r="N2365" s="35" t="str">
        <f>IFERROR(__xludf.DUMMYFUNCTION("""COMPUTED_VALUE"""),"MEKAR BARU")</f>
        <v>MEKAR BARU</v>
      </c>
      <c r="O2365" s="35" t="str">
        <f>IFERROR(__xludf.DUMMYFUNCTION("""COMPUTED_VALUE"""),"SUNGAI RAYAB")</f>
        <v>SUNGAI RAYAB</v>
      </c>
      <c r="P2365" s="35" t="str">
        <f>IFERROR(__xludf.DUMMYFUNCTION("""COMPUTED_VALUE"""),"KUBURAYA")</f>
        <v>KUBURAYA</v>
      </c>
      <c r="Q2365" s="35" t="str">
        <f>IFERROR(__xludf.DUMMYFUNCTION("""COMPUTED_VALUE"""),"KALBAR")</f>
        <v>KALBAR</v>
      </c>
      <c r="R2365" s="21" t="str">
        <f>IFERROR(__xludf.DUMMYFUNCTION("""COMPUTED_VALUE"""),"ISLAM")</f>
        <v>ISLAM</v>
      </c>
      <c r="S2365" s="74" t="str">
        <f>IFERROR(__xludf.DUMMYFUNCTION("""COMPUTED_VALUE"""),"IRT")</f>
        <v>IRT</v>
      </c>
      <c r="T2365" s="35" t="str">
        <f>IFERROR(__xludf.DUMMYFUNCTION("""COMPUTED_VALUE"""),"TUBA TERSUMBAT")</f>
        <v>TUBA TERSUMBAT</v>
      </c>
      <c r="U2365" s="35" t="str">
        <f>IFERROR(__xludf.DUMMYFUNCTION("""COMPUTED_VALUE"""),"SEDANG PROGRAM HAMIL")</f>
        <v>SEDANG PROGRAM HAMIL</v>
      </c>
      <c r="V2365" s="37" t="str">
        <f>IFERROR(__xludf.DUMMYFUNCTION("""COMPUTED_VALUE"""),"085249769610")</f>
        <v>085249769610</v>
      </c>
      <c r="W2365" s="45"/>
    </row>
    <row r="2366">
      <c r="A2366" s="45"/>
      <c r="B2366" s="24" t="str">
        <f>IFERROR(__xludf.DUMMYFUNCTION("""COMPUTED_VALUE"""),"08/04/2025 13:51:03")</f>
        <v>08/04/2025 13:51:03</v>
      </c>
      <c r="C2366" s="35"/>
      <c r="D2366" s="10">
        <f>IFERROR(__xludf.DUMMYFUNCTION("""COMPUTED_VALUE"""),45775.0)</f>
        <v>45775</v>
      </c>
      <c r="E2366" s="35" t="str">
        <f>IFERROR(__xludf.DUMMYFUNCTION("""COMPUTED_VALUE"""),"04Apr")</f>
        <v>04Apr</v>
      </c>
      <c r="F2366" s="34" t="str">
        <f>IFERROR(__xludf.DUMMYFUNCTION("""COMPUTED_VALUE"""),"2025")</f>
        <v>2025</v>
      </c>
      <c r="G2366" s="35" t="str">
        <f>IFERROR(__xludf.DUMMYFUNCTION("""COMPUTED_VALUE"""),"ANUGRAH PRATAMA")</f>
        <v>ANUGRAH PRATAMA</v>
      </c>
      <c r="H2366" s="35" t="str">
        <f>IFERROR(__xludf.DUMMYFUNCTION("""COMPUTED_VALUE"""),"A1225046490")</f>
        <v>A1225046490</v>
      </c>
      <c r="I2366" s="35">
        <f>IFERROR(__xludf.DUMMYFUNCTION("""COMPUTED_VALUE"""),14.0)</f>
        <v>14</v>
      </c>
      <c r="J2366" s="35" t="str">
        <f>IFERROR(__xludf.DUMMYFUNCTION("""COMPUTED_VALUE"""),"&lt; 18 tahun")</f>
        <v>&lt; 18 tahun</v>
      </c>
      <c r="K2366" s="21" t="str">
        <f>IFERROR(__xludf.DUMMYFUNCTION("""COMPUTED_VALUE"""),"01/03/2012")</f>
        <v>01/03/2012</v>
      </c>
      <c r="L2366" s="21" t="str">
        <f>IFERROR(__xludf.DUMMYFUNCTION("""COMPUTED_VALUE"""),"LAKI-LAKI")</f>
        <v>LAKI-LAKI</v>
      </c>
      <c r="M2366" s="35" t="str">
        <f>IFERROR(__xludf.DUMMYFUNCTION("""COMPUTED_VALUE"""),"JL KOMYOS SUDARSO GG SAMBAS 4 NO 41")</f>
        <v>JL KOMYOS SUDARSO GG SAMBAS 4 NO 41</v>
      </c>
      <c r="N2366" s="35" t="str">
        <f>IFERROR(__xludf.DUMMYFUNCTION("""COMPUTED_VALUE"""),"SUNGAI BELIUNG")</f>
        <v>SUNGAI BELIUNG</v>
      </c>
      <c r="O2366" s="35" t="str">
        <f>IFERROR(__xludf.DUMMYFUNCTION("""COMPUTED_VALUE"""),"PONTIANAK BARAT")</f>
        <v>PONTIANAK BARAT</v>
      </c>
      <c r="P2366" s="35" t="str">
        <f>IFERROR(__xludf.DUMMYFUNCTION("""COMPUTED_VALUE"""),"PONTIANAK")</f>
        <v>PONTIANAK</v>
      </c>
      <c r="Q2366" s="35" t="str">
        <f>IFERROR(__xludf.DUMMYFUNCTION("""COMPUTED_VALUE"""),"KALIMANTAN BARAT")</f>
        <v>KALIMANTAN BARAT</v>
      </c>
      <c r="R2366" s="21" t="str">
        <f>IFERROR(__xludf.DUMMYFUNCTION("""COMPUTED_VALUE"""),"ISLAM")</f>
        <v>ISLAM</v>
      </c>
      <c r="S2366" s="74" t="str">
        <f>IFERROR(__xludf.DUMMYFUNCTION("""COMPUTED_VALUE"""),"PELAJAR")</f>
        <v>PELAJAR</v>
      </c>
      <c r="T2366" s="35" t="str">
        <f>IFERROR(__xludf.DUMMYFUNCTION("""COMPUTED_VALUE"""),"ANKLE")</f>
        <v>ANKLE</v>
      </c>
      <c r="U2366" s="35" t="str">
        <f>IFERROR(__xludf.DUMMYFUNCTION("""COMPUTED_VALUE"""),"FUTSAL")</f>
        <v>FUTSAL</v>
      </c>
      <c r="V2366" s="37" t="str">
        <f>IFERROR(__xludf.DUMMYFUNCTION("""COMPUTED_VALUE"""),"089618256490")</f>
        <v>089618256490</v>
      </c>
      <c r="W2366" s="45"/>
    </row>
    <row r="2367">
      <c r="A2367" s="45"/>
      <c r="B2367" s="24" t="str">
        <f>IFERROR(__xludf.DUMMYFUNCTION("""COMPUTED_VALUE"""),"08/04/2025 14:22:55")</f>
        <v>08/04/2025 14:22:55</v>
      </c>
      <c r="C2367" s="35"/>
      <c r="D2367" s="10">
        <f>IFERROR(__xludf.DUMMYFUNCTION("""COMPUTED_VALUE"""),45776.0)</f>
        <v>45776</v>
      </c>
      <c r="E2367" s="35" t="str">
        <f>IFERROR(__xludf.DUMMYFUNCTION("""COMPUTED_VALUE"""),"04Apr")</f>
        <v>04Apr</v>
      </c>
      <c r="F2367" s="34" t="str">
        <f>IFERROR(__xludf.DUMMYFUNCTION("""COMPUTED_VALUE"""),"2025")</f>
        <v>2025</v>
      </c>
      <c r="G2367" s="35" t="str">
        <f>IFERROR(__xludf.DUMMYFUNCTION("""COMPUTED_VALUE"""),"MARTONO")</f>
        <v>MARTONO</v>
      </c>
      <c r="H2367" s="35" t="str">
        <f>IFERROR(__xludf.DUMMYFUNCTION("""COMPUTED_VALUE"""),"M7225041593")</f>
        <v>M7225041593</v>
      </c>
      <c r="I2367" s="35">
        <f>IFERROR(__xludf.DUMMYFUNCTION("""COMPUTED_VALUE"""),54.0)</f>
        <v>54</v>
      </c>
      <c r="J2367" s="35" t="str">
        <f>IFERROR(__xludf.DUMMYFUNCTION("""COMPUTED_VALUE"""),"&gt; 44 tahun")</f>
        <v>&gt; 44 tahun</v>
      </c>
      <c r="K2367" s="21" t="str">
        <f>IFERROR(__xludf.DUMMYFUNCTION("""COMPUTED_VALUE"""),"15/01/1972")</f>
        <v>15/01/1972</v>
      </c>
      <c r="L2367" s="21" t="str">
        <f>IFERROR(__xludf.DUMMYFUNCTION("""COMPUTED_VALUE"""),"LAKI-LAKI")</f>
        <v>LAKI-LAKI</v>
      </c>
      <c r="M2367" s="35" t="str">
        <f>IFERROR(__xludf.DUMMYFUNCTION("""COMPUTED_VALUE"""),"JL. M. YAMIN GG. EKA DAYA 60A")</f>
        <v>JL. M. YAMIN GG. EKA DAYA 60A</v>
      </c>
      <c r="N2367" s="35" t="str">
        <f>IFERROR(__xludf.DUMMYFUNCTION("""COMPUTED_VALUE"""),"KOTA BARU")</f>
        <v>KOTA BARU</v>
      </c>
      <c r="O2367" s="35" t="str">
        <f>IFERROR(__xludf.DUMMYFUNCTION("""COMPUTED_VALUE"""),"PONTIANAK SELATAN")</f>
        <v>PONTIANAK SELATAN</v>
      </c>
      <c r="P2367" s="35" t="str">
        <f>IFERROR(__xludf.DUMMYFUNCTION("""COMPUTED_VALUE"""),"KOTA PONTIANAK")</f>
        <v>KOTA PONTIANAK</v>
      </c>
      <c r="Q2367" s="35" t="str">
        <f>IFERROR(__xludf.DUMMYFUNCTION("""COMPUTED_VALUE"""),"KAL-BAR")</f>
        <v>KAL-BAR</v>
      </c>
      <c r="R2367" s="21" t="str">
        <f>IFERROR(__xludf.DUMMYFUNCTION("""COMPUTED_VALUE"""),"ISLAM")</f>
        <v>ISLAM</v>
      </c>
      <c r="S2367" s="74" t="str">
        <f>IFERROR(__xludf.DUMMYFUNCTION("""COMPUTED_VALUE"""),"PNS")</f>
        <v>PNS</v>
      </c>
      <c r="T2367" s="35" t="str">
        <f>IFERROR(__xludf.DUMMYFUNCTION("""COMPUTED_VALUE"""),"NEURO KAKI")</f>
        <v>NEURO KAKI</v>
      </c>
      <c r="U2367" s="35" t="str">
        <f>IFERROR(__xludf.DUMMYFUNCTION("""COMPUTED_VALUE"""),"OLAHRAGA JALAN KAKI")</f>
        <v>OLAHRAGA JALAN KAKI</v>
      </c>
      <c r="V2367" s="37" t="str">
        <f>IFERROR(__xludf.DUMMYFUNCTION("""COMPUTED_VALUE"""),"085750151593")</f>
        <v>085750151593</v>
      </c>
      <c r="W2367" s="45"/>
    </row>
    <row r="2368">
      <c r="A2368" s="45"/>
      <c r="B2368" s="24" t="str">
        <f>IFERROR(__xludf.DUMMYFUNCTION("""COMPUTED_VALUE"""),"07/04/2025 10:25:30")</f>
        <v>07/04/2025 10:25:30</v>
      </c>
      <c r="C2368" s="35"/>
      <c r="D2368" s="10">
        <f>IFERROR(__xludf.DUMMYFUNCTION("""COMPUTED_VALUE"""),45776.0)</f>
        <v>45776</v>
      </c>
      <c r="E2368" s="35" t="str">
        <f>IFERROR(__xludf.DUMMYFUNCTION("""COMPUTED_VALUE"""),"04Apr")</f>
        <v>04Apr</v>
      </c>
      <c r="F2368" s="34" t="str">
        <f>IFERROR(__xludf.DUMMYFUNCTION("""COMPUTED_VALUE"""),"2025")</f>
        <v>2025</v>
      </c>
      <c r="G2368" s="35" t="str">
        <f>IFERROR(__xludf.DUMMYFUNCTION("""COMPUTED_VALUE"""),"H MUHAMMAD BIN H ABDULLAH")</f>
        <v>H MUHAMMAD BIN H ABDULLAH</v>
      </c>
      <c r="H2368" s="35" t="str">
        <f>IFERROR(__xludf.DUMMYFUNCTION("""COMPUTED_VALUE"""),"H5125045553")</f>
        <v>H5125045553</v>
      </c>
      <c r="I2368" s="35">
        <f>IFERROR(__xludf.DUMMYFUNCTION("""COMPUTED_VALUE"""),75.0)</f>
        <v>75</v>
      </c>
      <c r="J2368" s="35" t="str">
        <f>IFERROR(__xludf.DUMMYFUNCTION("""COMPUTED_VALUE"""),"&gt; 44 tahun")</f>
        <v>&gt; 44 tahun</v>
      </c>
      <c r="K2368" s="21" t="str">
        <f>IFERROR(__xludf.DUMMYFUNCTION("""COMPUTED_VALUE"""),"13/02/1951")</f>
        <v>13/02/1951</v>
      </c>
      <c r="L2368" s="21" t="str">
        <f>IFERROR(__xludf.DUMMYFUNCTION("""COMPUTED_VALUE"""),"LAKI-LAKI")</f>
        <v>LAKI-LAKI</v>
      </c>
      <c r="M2368" s="35" t="str">
        <f>IFERROR(__xludf.DUMMYFUNCTION("""COMPUTED_VALUE"""),"JL PURNAMA I GG PURNAMA 3B NO.35")</f>
        <v>JL PURNAMA I GG PURNAMA 3B NO.35</v>
      </c>
      <c r="N2368" s="35" t="str">
        <f>IFERROR(__xludf.DUMMYFUNCTION("""COMPUTED_VALUE"""),"AKCAYA")</f>
        <v>AKCAYA</v>
      </c>
      <c r="O2368" s="35" t="str">
        <f>IFERROR(__xludf.DUMMYFUNCTION("""COMPUTED_VALUE"""),"PONTIANAK SELATAN")</f>
        <v>PONTIANAK SELATAN</v>
      </c>
      <c r="P2368" s="35" t="str">
        <f>IFERROR(__xludf.DUMMYFUNCTION("""COMPUTED_VALUE"""),"PONTIANAK")</f>
        <v>PONTIANAK</v>
      </c>
      <c r="Q2368" s="35" t="str">
        <f>IFERROR(__xludf.DUMMYFUNCTION("""COMPUTED_VALUE"""),"KALIMANTAN BARAT")</f>
        <v>KALIMANTAN BARAT</v>
      </c>
      <c r="R2368" s="21" t="str">
        <f>IFERROR(__xludf.DUMMYFUNCTION("""COMPUTED_VALUE"""),"ISLAM")</f>
        <v>ISLAM</v>
      </c>
      <c r="S2368" s="74" t="str">
        <f>IFERROR(__xludf.DUMMYFUNCTION("""COMPUTED_VALUE"""),"PENSIUNAN")</f>
        <v>PENSIUNAN</v>
      </c>
      <c r="T2368" s="35" t="str">
        <f>IFERROR(__xludf.DUMMYFUNCTION("""COMPUTED_VALUE"""),"BAHU KANAN NYERI")</f>
        <v>BAHU KANAN NYERI</v>
      </c>
      <c r="U2368" s="35" t="str">
        <f>IFERROR(__xludf.DUMMYFUNCTION("""COMPUTED_VALUE"""),"BERTUKANG")</f>
        <v>BERTUKANG</v>
      </c>
      <c r="V2368" s="37" t="str">
        <f>IFERROR(__xludf.DUMMYFUNCTION("""COMPUTED_VALUE"""),"082148435553")</f>
        <v>082148435553</v>
      </c>
      <c r="W2368" s="45"/>
    </row>
    <row r="2369">
      <c r="A2369" s="45"/>
      <c r="B2369" s="24" t="str">
        <f>IFERROR(__xludf.DUMMYFUNCTION("""COMPUTED_VALUE"""),"08/04/2025 20:55:43")</f>
        <v>08/04/2025 20:55:43</v>
      </c>
      <c r="C2369" s="35"/>
      <c r="D2369" s="10">
        <f>IFERROR(__xludf.DUMMYFUNCTION("""COMPUTED_VALUE"""),45776.0)</f>
        <v>45776</v>
      </c>
      <c r="E2369" s="35" t="str">
        <f>IFERROR(__xludf.DUMMYFUNCTION("""COMPUTED_VALUE"""),"04Apr")</f>
        <v>04Apr</v>
      </c>
      <c r="F2369" s="34" t="str">
        <f>IFERROR(__xludf.DUMMYFUNCTION("""COMPUTED_VALUE"""),"2025")</f>
        <v>2025</v>
      </c>
      <c r="G2369" s="35" t="str">
        <f>IFERROR(__xludf.DUMMYFUNCTION("""COMPUTED_VALUE"""),"MARTHEN IECHUANDA")</f>
        <v>MARTHEN IECHUANDA</v>
      </c>
      <c r="H2369" s="35" t="str">
        <f>IFERROR(__xludf.DUMMYFUNCTION("""COMPUTED_VALUE"""),"M0725049095")</f>
        <v>M0725049095</v>
      </c>
      <c r="I2369" s="35">
        <f>IFERROR(__xludf.DUMMYFUNCTION("""COMPUTED_VALUE"""),19.0)</f>
        <v>19</v>
      </c>
      <c r="J2369" s="35" t="str">
        <f>IFERROR(__xludf.DUMMYFUNCTION("""COMPUTED_VALUE"""),"18-24 tahun")</f>
        <v>18-24 tahun</v>
      </c>
      <c r="K2369" s="21" t="str">
        <f>IFERROR(__xludf.DUMMYFUNCTION("""COMPUTED_VALUE"""),"15/03/2007")</f>
        <v>15/03/2007</v>
      </c>
      <c r="L2369" s="21" t="str">
        <f>IFERROR(__xludf.DUMMYFUNCTION("""COMPUTED_VALUE"""),"LAKI-LAKI")</f>
        <v>LAKI-LAKI</v>
      </c>
      <c r="M2369" s="35" t="str">
        <f>IFERROR(__xludf.DUMMYFUNCTION("""COMPUTED_VALUE"""),"JL PROF M YAMIN")</f>
        <v>JL PROF M YAMIN</v>
      </c>
      <c r="N2369" s="35" t="str">
        <f>IFERROR(__xludf.DUMMYFUNCTION("""COMPUTED_VALUE"""),"SUNGAI BANGKONG")</f>
        <v>SUNGAI BANGKONG</v>
      </c>
      <c r="O2369" s="35" t="str">
        <f>IFERROR(__xludf.DUMMYFUNCTION("""COMPUTED_VALUE"""),"AKCAYA")</f>
        <v>AKCAYA</v>
      </c>
      <c r="P2369" s="35" t="str">
        <f>IFERROR(__xludf.DUMMYFUNCTION("""COMPUTED_VALUE"""),"PONTIANAK")</f>
        <v>PONTIANAK</v>
      </c>
      <c r="Q2369" s="35" t="str">
        <f>IFERROR(__xludf.DUMMYFUNCTION("""COMPUTED_VALUE"""),"KALIMANTAN BARAT")</f>
        <v>KALIMANTAN BARAT</v>
      </c>
      <c r="R2369" s="21" t="str">
        <f>IFERROR(__xludf.DUMMYFUNCTION("""COMPUTED_VALUE"""),"BUDDHA")</f>
        <v>BUDDHA</v>
      </c>
      <c r="S2369" s="74" t="str">
        <f>IFERROR(__xludf.DUMMYFUNCTION("""COMPUTED_VALUE"""),"SISWA")</f>
        <v>SISWA</v>
      </c>
      <c r="T2369" s="35" t="str">
        <f>IFERROR(__xludf.DUMMYFUNCTION("""COMPUTED_VALUE"""),"KAKI O")</f>
        <v>KAKI O</v>
      </c>
      <c r="U2369" s="35" t="str">
        <f>IFERROR(__xludf.DUMMYFUNCTION("""COMPUTED_VALUE"""),"JALAN")</f>
        <v>JALAN</v>
      </c>
      <c r="V2369" s="37" t="str">
        <f>IFERROR(__xludf.DUMMYFUNCTION("""COMPUTED_VALUE"""),"089693579095")</f>
        <v>089693579095</v>
      </c>
      <c r="W2369" s="45"/>
    </row>
    <row r="2370">
      <c r="A2370" s="45"/>
      <c r="B2370" s="24" t="str">
        <f>IFERROR(__xludf.DUMMYFUNCTION("""COMPUTED_VALUE"""),"09/04/2025 14:52:35")</f>
        <v>09/04/2025 14:52:35</v>
      </c>
      <c r="C2370" s="35"/>
      <c r="D2370" s="10">
        <f>IFERROR(__xludf.DUMMYFUNCTION("""COMPUTED_VALUE"""),45776.0)</f>
        <v>45776</v>
      </c>
      <c r="E2370" s="35" t="str">
        <f>IFERROR(__xludf.DUMMYFUNCTION("""COMPUTED_VALUE"""),"04Apr")</f>
        <v>04Apr</v>
      </c>
      <c r="F2370" s="34" t="str">
        <f>IFERROR(__xludf.DUMMYFUNCTION("""COMPUTED_VALUE"""),"2025")</f>
        <v>2025</v>
      </c>
      <c r="G2370" s="35" t="str">
        <f>IFERROR(__xludf.DUMMYFUNCTION("""COMPUTED_VALUE"""),"ZULKIFLI 8105")</f>
        <v>ZULKIFLI 8105</v>
      </c>
      <c r="H2370" s="35" t="str">
        <f>IFERROR(__xludf.DUMMYFUNCTION("""COMPUTED_VALUE"""),"Z8125047588")</f>
        <v>Z8125047588</v>
      </c>
      <c r="I2370" s="35">
        <f>IFERROR(__xludf.DUMMYFUNCTION("""COMPUTED_VALUE"""),45.0)</f>
        <v>45</v>
      </c>
      <c r="J2370" s="35" t="str">
        <f>IFERROR(__xludf.DUMMYFUNCTION("""COMPUTED_VALUE"""),"&gt; 44 tahun")</f>
        <v>&gt; 44 tahun</v>
      </c>
      <c r="K2370" s="21" t="str">
        <f>IFERROR(__xludf.DUMMYFUNCTION("""COMPUTED_VALUE"""),"22/05/1981")</f>
        <v>22/05/1981</v>
      </c>
      <c r="L2370" s="21" t="str">
        <f>IFERROR(__xludf.DUMMYFUNCTION("""COMPUTED_VALUE"""),"LAKI-LAKI")</f>
        <v>LAKI-LAKI</v>
      </c>
      <c r="M2370" s="35" t="str">
        <f>IFERROR(__xludf.DUMMYFUNCTION("""COMPUTED_VALUE"""),"JLN.UJUNG PANDANG2 KOMP.GADING BEVERLY NO.A4")</f>
        <v>JLN.UJUNG PANDANG2 KOMP.GADING BEVERLY NO.A4</v>
      </c>
      <c r="N2370" s="35" t="str">
        <f>IFERROR(__xludf.DUMMYFUNCTION("""COMPUTED_VALUE"""),"KELURAHAN SUI.JAWI")</f>
        <v>KELURAHAN SUI.JAWI</v>
      </c>
      <c r="O2370" s="35" t="str">
        <f>IFERROR(__xludf.DUMMYFUNCTION("""COMPUTED_VALUE"""),"PONTIANAK KOTA")</f>
        <v>PONTIANAK KOTA</v>
      </c>
      <c r="P2370" s="35" t="str">
        <f>IFERROR(__xludf.DUMMYFUNCTION("""COMPUTED_VALUE"""),"PONTIANAK")</f>
        <v>PONTIANAK</v>
      </c>
      <c r="Q2370" s="35" t="str">
        <f>IFERROR(__xludf.DUMMYFUNCTION("""COMPUTED_VALUE"""),"KALIMANTAN BARAT")</f>
        <v>KALIMANTAN BARAT</v>
      </c>
      <c r="R2370" s="21" t="str">
        <f>IFERROR(__xludf.DUMMYFUNCTION("""COMPUTED_VALUE"""),"ISLAM")</f>
        <v>ISLAM</v>
      </c>
      <c r="S2370" s="74" t="str">
        <f>IFERROR(__xludf.DUMMYFUNCTION("""COMPUTED_VALUE"""),"WIRASWASYA")</f>
        <v>WIRASWASYA</v>
      </c>
      <c r="T2370" s="35" t="str">
        <f>IFERROR(__xludf.DUMMYFUNCTION("""COMPUTED_VALUE"""),"SERING NYERI DIBAGIAN TENGKUK SEBELAH KIRI")</f>
        <v>SERING NYERI DIBAGIAN TENGKUK SEBELAH KIRI</v>
      </c>
      <c r="U2370" s="35" t="str">
        <f>IFERROR(__xludf.DUMMYFUNCTION("""COMPUTED_VALUE"""),"MANCING")</f>
        <v>MANCING</v>
      </c>
      <c r="V2370" s="37" t="str">
        <f>IFERROR(__xludf.DUMMYFUNCTION("""COMPUTED_VALUE"""),"081345537588")</f>
        <v>081345537588</v>
      </c>
      <c r="W2370" s="45"/>
    </row>
    <row r="2371">
      <c r="A2371" s="45"/>
      <c r="B2371" s="24" t="str">
        <f>IFERROR(__xludf.DUMMYFUNCTION("""COMPUTED_VALUE"""),"10/04/2025 9:28:07")</f>
        <v>10/04/2025 9:28:07</v>
      </c>
      <c r="C2371" s="35"/>
      <c r="D2371" s="10">
        <f>IFERROR(__xludf.DUMMYFUNCTION("""COMPUTED_VALUE"""),45776.0)</f>
        <v>45776</v>
      </c>
      <c r="E2371" s="35" t="str">
        <f>IFERROR(__xludf.DUMMYFUNCTION("""COMPUTED_VALUE"""),"04Apr")</f>
        <v>04Apr</v>
      </c>
      <c r="F2371" s="34" t="str">
        <f>IFERROR(__xludf.DUMMYFUNCTION("""COMPUTED_VALUE"""),"2025")</f>
        <v>2025</v>
      </c>
      <c r="G2371" s="35" t="str">
        <f>IFERROR(__xludf.DUMMYFUNCTION("""COMPUTED_VALUE"""),"ELVIRA NAURA SASMITA")</f>
        <v>ELVIRA NAURA SASMITA</v>
      </c>
      <c r="H2371" s="35" t="str">
        <f>IFERROR(__xludf.DUMMYFUNCTION("""COMPUTED_VALUE"""),"E1125041282")</f>
        <v>E1125041282</v>
      </c>
      <c r="I2371" s="35">
        <f>IFERROR(__xludf.DUMMYFUNCTION("""COMPUTED_VALUE"""),14.0)</f>
        <v>14</v>
      </c>
      <c r="J2371" s="35" t="str">
        <f>IFERROR(__xludf.DUMMYFUNCTION("""COMPUTED_VALUE"""),"&lt; 18 tahun")</f>
        <v>&lt; 18 tahun</v>
      </c>
      <c r="K2371" s="21" t="str">
        <f>IFERROR(__xludf.DUMMYFUNCTION("""COMPUTED_VALUE"""),"30/10/2011")</f>
        <v>30/10/2011</v>
      </c>
      <c r="L2371" s="21" t="str">
        <f>IFERROR(__xludf.DUMMYFUNCTION("""COMPUTED_VALUE"""),"PEREMPUAN")</f>
        <v>PEREMPUAN</v>
      </c>
      <c r="M2371" s="35" t="str">
        <f>IFERROR(__xludf.DUMMYFUNCTION("""COMPUTED_VALUE"""),"JLN.MARDELA TIMUR,GG SEKAWAN.")</f>
        <v>JLN.MARDELA TIMUR,GG SEKAWAN.</v>
      </c>
      <c r="N2371" s="35" t="str">
        <f>IFERROR(__xludf.DUMMYFUNCTION("""COMPUTED_VALUE"""),"MUNGGUK")</f>
        <v>MUNGGUK</v>
      </c>
      <c r="O2371" s="35" t="str">
        <f>IFERROR(__xludf.DUMMYFUNCTION("""COMPUTED_VALUE"""),"SEKADAU HILIR")</f>
        <v>SEKADAU HILIR</v>
      </c>
      <c r="P2371" s="35" t="str">
        <f>IFERROR(__xludf.DUMMYFUNCTION("""COMPUTED_VALUE"""),"SEKADAU")</f>
        <v>SEKADAU</v>
      </c>
      <c r="Q2371" s="35" t="str">
        <f>IFERROR(__xludf.DUMMYFUNCTION("""COMPUTED_VALUE"""),"KALIMANTAN BARAT")</f>
        <v>KALIMANTAN BARAT</v>
      </c>
      <c r="R2371" s="21" t="str">
        <f>IFERROR(__xludf.DUMMYFUNCTION("""COMPUTED_VALUE"""),"ISLAM")</f>
        <v>ISLAM</v>
      </c>
      <c r="S2371" s="74" t="str">
        <f>IFERROR(__xludf.DUMMYFUNCTION("""COMPUTED_VALUE"""),"PELAJAR")</f>
        <v>PELAJAR</v>
      </c>
      <c r="T2371" s="35" t="str">
        <f>IFERROR(__xludf.DUMMYFUNCTION("""COMPUTED_VALUE"""),"SAKIT DI PINGGUL/PINGGANG")</f>
        <v>SAKIT DI PINGGUL/PINGGANG</v>
      </c>
      <c r="U2371" s="35" t="str">
        <f>IFERROR(__xludf.DUMMYFUNCTION("""COMPUTED_VALUE"""),"JOGING")</f>
        <v>JOGING</v>
      </c>
      <c r="V2371" s="37" t="str">
        <f>IFERROR(__xludf.DUMMYFUNCTION("""COMPUTED_VALUE"""),"081257071282")</f>
        <v>081257071282</v>
      </c>
      <c r="W2371" s="45"/>
    </row>
    <row r="2372">
      <c r="A2372" s="45"/>
      <c r="B2372" s="24" t="str">
        <f>IFERROR(__xludf.DUMMYFUNCTION("""COMPUTED_VALUE"""),"10/04/2025 11:48:46")</f>
        <v>10/04/2025 11:48:46</v>
      </c>
      <c r="C2372" s="35"/>
      <c r="D2372" s="10">
        <f>IFERROR(__xludf.DUMMYFUNCTION("""COMPUTED_VALUE"""),45776.0)</f>
        <v>45776</v>
      </c>
      <c r="E2372" s="35" t="str">
        <f>IFERROR(__xludf.DUMMYFUNCTION("""COMPUTED_VALUE"""),"04Apr")</f>
        <v>04Apr</v>
      </c>
      <c r="F2372" s="34" t="str">
        <f>IFERROR(__xludf.DUMMYFUNCTION("""COMPUTED_VALUE"""),"2025")</f>
        <v>2025</v>
      </c>
      <c r="G2372" s="35" t="str">
        <f>IFERROR(__xludf.DUMMYFUNCTION("""COMPUTED_VALUE"""),"LOUW MENG TJU ALS ENNY")</f>
        <v>LOUW MENG TJU ALS ENNY</v>
      </c>
      <c r="H2372" s="35" t="str">
        <f>IFERROR(__xludf.DUMMYFUNCTION("""COMPUTED_VALUE"""),"L5025045140")</f>
        <v>L5025045140</v>
      </c>
      <c r="I2372" s="35">
        <f>IFERROR(__xludf.DUMMYFUNCTION("""COMPUTED_VALUE"""),75.0)</f>
        <v>75</v>
      </c>
      <c r="J2372" s="35" t="str">
        <f>IFERROR(__xludf.DUMMYFUNCTION("""COMPUTED_VALUE"""),"&gt; 44 tahun")</f>
        <v>&gt; 44 tahun</v>
      </c>
      <c r="K2372" s="21" t="str">
        <f>IFERROR(__xludf.DUMMYFUNCTION("""COMPUTED_VALUE"""),"28/11/1950")</f>
        <v>28/11/1950</v>
      </c>
      <c r="L2372" s="21" t="str">
        <f>IFERROR(__xludf.DUMMYFUNCTION("""COMPUTED_VALUE"""),"PEREMPUAN")</f>
        <v>PEREMPUAN</v>
      </c>
      <c r="M2372" s="35" t="str">
        <f>IFERROR(__xludf.DUMMYFUNCTION("""COMPUTED_VALUE"""),"JL SEI RAYA DALAM KOMP NUSA INDAH NO E9")</f>
        <v>JL SEI RAYA DALAM KOMP NUSA INDAH NO E9</v>
      </c>
      <c r="N2372" s="35" t="str">
        <f>IFERROR(__xludf.DUMMYFUNCTION("""COMPUTED_VALUE"""),"SUNGAI RAYA DALAM")</f>
        <v>SUNGAI RAYA DALAM</v>
      </c>
      <c r="O2372" s="35" t="str">
        <f>IFERROR(__xludf.DUMMYFUNCTION("""COMPUTED_VALUE"""),"SUNGAI RAYA")</f>
        <v>SUNGAI RAYA</v>
      </c>
      <c r="P2372" s="35" t="str">
        <f>IFERROR(__xludf.DUMMYFUNCTION("""COMPUTED_VALUE"""),"KUBU RAYA")</f>
        <v>KUBU RAYA</v>
      </c>
      <c r="Q2372" s="35" t="str">
        <f>IFERROR(__xludf.DUMMYFUNCTION("""COMPUTED_VALUE"""),"KALIMANTAN BARAT")</f>
        <v>KALIMANTAN BARAT</v>
      </c>
      <c r="R2372" s="21" t="str">
        <f>IFERROR(__xludf.DUMMYFUNCTION("""COMPUTED_VALUE"""),"BUDDHA")</f>
        <v>BUDDHA</v>
      </c>
      <c r="S2372" s="74" t="str">
        <f>IFERROR(__xludf.DUMMYFUNCTION("""COMPUTED_VALUE"""),"MENGURUS RUMAH TANGGA")</f>
        <v>MENGURUS RUMAH TANGGA</v>
      </c>
      <c r="T2372" s="35" t="str">
        <f>IFERROR(__xludf.DUMMYFUNCTION("""COMPUTED_VALUE"""),"SAKIT PINGGANG")</f>
        <v>SAKIT PINGGANG</v>
      </c>
      <c r="U2372" s="35" t="str">
        <f>IFERROR(__xludf.DUMMYFUNCTION("""COMPUTED_VALUE"""),"-")</f>
        <v>-</v>
      </c>
      <c r="V2372" s="37" t="str">
        <f>IFERROR(__xludf.DUMMYFUNCTION("""COMPUTED_VALUE"""),"089680065140")</f>
        <v>089680065140</v>
      </c>
      <c r="W2372" s="45"/>
    </row>
    <row r="2373">
      <c r="A2373" s="45"/>
      <c r="B2373" s="24" t="str">
        <f>IFERROR(__xludf.DUMMYFUNCTION("""COMPUTED_VALUE"""),"11/04/2025 13:36:22")</f>
        <v>11/04/2025 13:36:22</v>
      </c>
      <c r="C2373" s="35"/>
      <c r="D2373" s="10">
        <f>IFERROR(__xludf.DUMMYFUNCTION("""COMPUTED_VALUE"""),45777.0)</f>
        <v>45777</v>
      </c>
      <c r="E2373" s="35" t="str">
        <f>IFERROR(__xludf.DUMMYFUNCTION("""COMPUTED_VALUE"""),"04Apr")</f>
        <v>04Apr</v>
      </c>
      <c r="F2373" s="34" t="str">
        <f>IFERROR(__xludf.DUMMYFUNCTION("""COMPUTED_VALUE"""),"2025")</f>
        <v>2025</v>
      </c>
      <c r="G2373" s="35" t="str">
        <f>IFERROR(__xludf.DUMMYFUNCTION("""COMPUTED_VALUE"""),"NETTY HASTUTI")</f>
        <v>NETTY HASTUTI</v>
      </c>
      <c r="H2373" s="35" t="str">
        <f>IFERROR(__xludf.DUMMYFUNCTION("""COMPUTED_VALUE"""),"N7425041601")</f>
        <v>N7425041601</v>
      </c>
      <c r="I2373" s="35">
        <f>IFERROR(__xludf.DUMMYFUNCTION("""COMPUTED_VALUE"""),51.0)</f>
        <v>51</v>
      </c>
      <c r="J2373" s="35" t="str">
        <f>IFERROR(__xludf.DUMMYFUNCTION("""COMPUTED_VALUE"""),"&gt; 44 tahun")</f>
        <v>&gt; 44 tahun</v>
      </c>
      <c r="K2373" s="21" t="str">
        <f>IFERROR(__xludf.DUMMYFUNCTION("""COMPUTED_VALUE"""),"26/06/1974")</f>
        <v>26/06/1974</v>
      </c>
      <c r="L2373" s="21" t="str">
        <f>IFERROR(__xludf.DUMMYFUNCTION("""COMPUTED_VALUE"""),"PEREMPUAN")</f>
        <v>PEREMPUAN</v>
      </c>
      <c r="M2373" s="35" t="str">
        <f>IFERROR(__xludf.DUMMYFUNCTION("""COMPUTED_VALUE"""),"JALAN MERDEKA SELATAN NO.18 RT 19 RW 07")</f>
        <v>JALAN MERDEKA SELATAN NO.18 RT 19 RW 07</v>
      </c>
      <c r="N2373" s="35" t="str">
        <f>IFERROR(__xludf.DUMMYFUNCTION("""COMPUTED_VALUE"""),"SEI RINCIN")</f>
        <v>SEI RINCIN</v>
      </c>
      <c r="O2373" s="35" t="str">
        <f>IFERROR(__xludf.DUMMYFUNCTION("""COMPUTED_VALUE"""),"SEKADAU HILIR")</f>
        <v>SEKADAU HILIR</v>
      </c>
      <c r="P2373" s="35" t="str">
        <f>IFERROR(__xludf.DUMMYFUNCTION("""COMPUTED_VALUE"""),"SEKADAU")</f>
        <v>SEKADAU</v>
      </c>
      <c r="Q2373" s="35" t="str">
        <f>IFERROR(__xludf.DUMMYFUNCTION("""COMPUTED_VALUE"""),"KALIMANTAN BARAT")</f>
        <v>KALIMANTAN BARAT</v>
      </c>
      <c r="R2373" s="21" t="str">
        <f>IFERROR(__xludf.DUMMYFUNCTION("""COMPUTED_VALUE"""),"ISLAM")</f>
        <v>ISLAM</v>
      </c>
      <c r="S2373" s="74" t="str">
        <f>IFERROR(__xludf.DUMMYFUNCTION("""COMPUTED_VALUE"""),"IRT")</f>
        <v>IRT</v>
      </c>
      <c r="T2373" s="35" t="str">
        <f>IFERROR(__xludf.DUMMYFUNCTION("""COMPUTED_VALUE"""),"LUTU DAN PAHA TIBA TIBA KRAM, LUTUT SUSAH DI TEKUK, PAHA NYERI DIBAWA BERJALAN")</f>
        <v>LUTU DAN PAHA TIBA TIBA KRAM, LUTUT SUSAH DI TEKUK, PAHA NYERI DIBAWA BERJALAN</v>
      </c>
      <c r="U2373" s="35" t="str">
        <f>IFERROR(__xludf.DUMMYFUNCTION("""COMPUTED_VALUE"""),"MEMBUAT KUE")</f>
        <v>MEMBUAT KUE</v>
      </c>
      <c r="V2373" s="37" t="str">
        <f>IFERROR(__xludf.DUMMYFUNCTION("""COMPUTED_VALUE"""),"089502671601")</f>
        <v>089502671601</v>
      </c>
      <c r="W2373" s="45"/>
    </row>
    <row r="2374">
      <c r="A2374" s="45"/>
      <c r="B2374" s="24" t="str">
        <f>IFERROR(__xludf.DUMMYFUNCTION("""COMPUTED_VALUE"""),"10/04/2025 13:50:16")</f>
        <v>10/04/2025 13:50:16</v>
      </c>
      <c r="C2374" s="35"/>
      <c r="D2374" s="10">
        <f>IFERROR(__xludf.DUMMYFUNCTION("""COMPUTED_VALUE"""),45776.0)</f>
        <v>45776</v>
      </c>
      <c r="E2374" s="35" t="str">
        <f>IFERROR(__xludf.DUMMYFUNCTION("""COMPUTED_VALUE"""),"04Apr")</f>
        <v>04Apr</v>
      </c>
      <c r="F2374" s="34" t="str">
        <f>IFERROR(__xludf.DUMMYFUNCTION("""COMPUTED_VALUE"""),"2025")</f>
        <v>2025</v>
      </c>
      <c r="G2374" s="35" t="str">
        <f>IFERROR(__xludf.DUMMYFUNCTION("""COMPUTED_VALUE"""),"SUHARSONO")</f>
        <v>SUHARSONO</v>
      </c>
      <c r="H2374" s="35" t="str">
        <f>IFERROR(__xludf.DUMMYFUNCTION("""COMPUTED_VALUE"""),"S5625047949")</f>
        <v>S5625047949</v>
      </c>
      <c r="I2374" s="35">
        <f>IFERROR(__xludf.DUMMYFUNCTION("""COMPUTED_VALUE"""),69.0)</f>
        <v>69</v>
      </c>
      <c r="J2374" s="35" t="str">
        <f>IFERROR(__xludf.DUMMYFUNCTION("""COMPUTED_VALUE"""),"&gt; 44 tahun")</f>
        <v>&gt; 44 tahun</v>
      </c>
      <c r="K2374" s="21" t="str">
        <f>IFERROR(__xludf.DUMMYFUNCTION("""COMPUTED_VALUE"""),"29/07/1956")</f>
        <v>29/07/1956</v>
      </c>
      <c r="L2374" s="21" t="str">
        <f>IFERROR(__xludf.DUMMYFUNCTION("""COMPUTED_VALUE"""),"LAKI-LAKI")</f>
        <v>LAKI-LAKI</v>
      </c>
      <c r="M2374" s="35" t="str">
        <f>IFERROR(__xludf.DUMMYFUNCTION("""COMPUTED_VALUE"""),"JL WONO BARU GANG GG REMAJA 2")</f>
        <v>JL WONO BARU GANG GG REMAJA 2</v>
      </c>
      <c r="N2374" s="35" t="str">
        <f>IFERROR(__xludf.DUMMYFUNCTION("""COMPUTED_VALUE"""),"-")</f>
        <v>-</v>
      </c>
      <c r="O2374" s="35" t="str">
        <f>IFERROR(__xludf.DUMMYFUNCTION("""COMPUTED_VALUE"""),"-")</f>
        <v>-</v>
      </c>
      <c r="P2374" s="35" t="str">
        <f>IFERROR(__xludf.DUMMYFUNCTION("""COMPUTED_VALUE"""),"KOTA PONTIANAK")</f>
        <v>KOTA PONTIANAK</v>
      </c>
      <c r="Q2374" s="35" t="str">
        <f>IFERROR(__xludf.DUMMYFUNCTION("""COMPUTED_VALUE"""),"KALIMANTAN BARAT")</f>
        <v>KALIMANTAN BARAT</v>
      </c>
      <c r="R2374" s="21" t="str">
        <f>IFERROR(__xludf.DUMMYFUNCTION("""COMPUTED_VALUE"""),"ISLAM")</f>
        <v>ISLAM</v>
      </c>
      <c r="S2374" s="74" t="str">
        <f>IFERROR(__xludf.DUMMYFUNCTION("""COMPUTED_VALUE"""),"-")</f>
        <v>-</v>
      </c>
      <c r="T2374" s="35" t="str">
        <f>IFERROR(__xludf.DUMMYFUNCTION("""COMPUTED_VALUE"""),"LEHER")</f>
        <v>LEHER</v>
      </c>
      <c r="U2374" s="35" t="str">
        <f>IFERROR(__xludf.DUMMYFUNCTION("""COMPUTED_VALUE"""),"-")</f>
        <v>-</v>
      </c>
      <c r="V2374" s="37" t="str">
        <f>IFERROR(__xludf.DUMMYFUNCTION("""COMPUTED_VALUE"""),"081256447949")</f>
        <v>081256447949</v>
      </c>
      <c r="W2374" s="45"/>
    </row>
    <row r="2375">
      <c r="A2375" s="45"/>
      <c r="B2375" s="24" t="str">
        <f>IFERROR(__xludf.DUMMYFUNCTION("""COMPUTED_VALUE"""),"10/04/2025 14:27:51")</f>
        <v>10/04/2025 14:27:51</v>
      </c>
      <c r="C2375" s="35"/>
      <c r="D2375" s="10">
        <f>IFERROR(__xludf.DUMMYFUNCTION("""COMPUTED_VALUE"""),45779.0)</f>
        <v>45779</v>
      </c>
      <c r="E2375" s="35" t="str">
        <f>IFERROR(__xludf.DUMMYFUNCTION("""COMPUTED_VALUE"""),"05Mei")</f>
        <v>05Mei</v>
      </c>
      <c r="F2375" s="34" t="str">
        <f>IFERROR(__xludf.DUMMYFUNCTION("""COMPUTED_VALUE"""),"2025")</f>
        <v>2025</v>
      </c>
      <c r="G2375" s="35" t="str">
        <f>IFERROR(__xludf.DUMMYFUNCTION("""COMPUTED_VALUE"""),"CALISTA MARIBELL")</f>
        <v>CALISTA MARIBELL</v>
      </c>
      <c r="H2375" s="35" t="str">
        <f>IFERROR(__xludf.DUMMYFUNCTION("""COMPUTED_VALUE"""),"C0925055444")</f>
        <v>C0925055444</v>
      </c>
      <c r="I2375" s="35">
        <f>IFERROR(__xludf.DUMMYFUNCTION("""COMPUTED_VALUE"""),16.0)</f>
        <v>16</v>
      </c>
      <c r="J2375" s="35" t="str">
        <f>IFERROR(__xludf.DUMMYFUNCTION("""COMPUTED_VALUE"""),"&lt; 18 tahun")</f>
        <v>&lt; 18 tahun</v>
      </c>
      <c r="K2375" s="21" t="str">
        <f>IFERROR(__xludf.DUMMYFUNCTION("""COMPUTED_VALUE"""),"18/10/2009")</f>
        <v>18/10/2009</v>
      </c>
      <c r="L2375" s="21" t="str">
        <f>IFERROR(__xludf.DUMMYFUNCTION("""COMPUTED_VALUE"""),"PEREMPUAN")</f>
        <v>PEREMPUAN</v>
      </c>
      <c r="M2375" s="35" t="str">
        <f>IFERROR(__xludf.DUMMYFUNCTION("""COMPUTED_VALUE"""),"PURNAMA AGUNG 7 BLOK F 10")</f>
        <v>PURNAMA AGUNG 7 BLOK F 10</v>
      </c>
      <c r="N2375" s="35" t="str">
        <f>IFERROR(__xludf.DUMMYFUNCTION("""COMPUTED_VALUE"""),"PARIT TOKAYA")</f>
        <v>PARIT TOKAYA</v>
      </c>
      <c r="O2375" s="35" t="str">
        <f>IFERROR(__xludf.DUMMYFUNCTION("""COMPUTED_VALUE"""),"PONTIANAK SELATAN")</f>
        <v>PONTIANAK SELATAN</v>
      </c>
      <c r="P2375" s="35" t="str">
        <f>IFERROR(__xludf.DUMMYFUNCTION("""COMPUTED_VALUE"""),"PONTIANAK")</f>
        <v>PONTIANAK</v>
      </c>
      <c r="Q2375" s="35" t="str">
        <f>IFERROR(__xludf.DUMMYFUNCTION("""COMPUTED_VALUE"""),"KALIMANTAN BARAT")</f>
        <v>KALIMANTAN BARAT</v>
      </c>
      <c r="R2375" s="21" t="str">
        <f>IFERROR(__xludf.DUMMYFUNCTION("""COMPUTED_VALUE"""),"PROTESTAN")</f>
        <v>PROTESTAN</v>
      </c>
      <c r="S2375" s="74" t="str">
        <f>IFERROR(__xludf.DUMMYFUNCTION("""COMPUTED_VALUE"""),"PELAJAR")</f>
        <v>PELAJAR</v>
      </c>
      <c r="T2375" s="35" t="str">
        <f>IFERROR(__xludf.DUMMYFUNCTION("""COMPUTED_VALUE"""),"SCOLIOSIS 37 DERAJAT")</f>
        <v>SCOLIOSIS 37 DERAJAT</v>
      </c>
      <c r="U2375" s="35" t="str">
        <f>IFERROR(__xludf.DUMMYFUNCTION("""COMPUTED_VALUE"""),"AKTIVAS OLAHRAGA")</f>
        <v>AKTIVAS OLAHRAGA</v>
      </c>
      <c r="V2375" s="37" t="str">
        <f>IFERROR(__xludf.DUMMYFUNCTION("""COMPUTED_VALUE"""),"085386305444")</f>
        <v>085386305444</v>
      </c>
      <c r="W2375" s="45"/>
    </row>
    <row r="2376">
      <c r="A2376" s="45"/>
      <c r="B2376" s="24" t="str">
        <f>IFERROR(__xludf.DUMMYFUNCTION("""COMPUTED_VALUE"""),"10/04/2025 15:44:05")</f>
        <v>10/04/2025 15:44:05</v>
      </c>
      <c r="C2376" s="35"/>
      <c r="D2376" s="10">
        <f>IFERROR(__xludf.DUMMYFUNCTION("""COMPUTED_VALUE"""),45779.0)</f>
        <v>45779</v>
      </c>
      <c r="E2376" s="35" t="str">
        <f>IFERROR(__xludf.DUMMYFUNCTION("""COMPUTED_VALUE"""),"05Mei")</f>
        <v>05Mei</v>
      </c>
      <c r="F2376" s="34" t="str">
        <f>IFERROR(__xludf.DUMMYFUNCTION("""COMPUTED_VALUE"""),"2025")</f>
        <v>2025</v>
      </c>
      <c r="G2376" s="35" t="str">
        <f>IFERROR(__xludf.DUMMYFUNCTION("""COMPUTED_VALUE"""),"A . HALIM PERDANA")</f>
        <v>A . HALIM PERDANA</v>
      </c>
      <c r="H2376" s="35" t="str">
        <f>IFERROR(__xludf.DUMMYFUNCTION("""COMPUTED_VALUE"""),"A9725057359")</f>
        <v>A9725057359</v>
      </c>
      <c r="I2376" s="35">
        <f>IFERROR(__xludf.DUMMYFUNCTION("""COMPUTED_VALUE"""),28.0)</f>
        <v>28</v>
      </c>
      <c r="J2376" s="35" t="str">
        <f>IFERROR(__xludf.DUMMYFUNCTION("""COMPUTED_VALUE"""),"25-34 tahun")</f>
        <v>25-34 tahun</v>
      </c>
      <c r="K2376" s="21" t="str">
        <f>IFERROR(__xludf.DUMMYFUNCTION("""COMPUTED_VALUE"""),"19/11/1997")</f>
        <v>19/11/1997</v>
      </c>
      <c r="L2376" s="21" t="str">
        <f>IFERROR(__xludf.DUMMYFUNCTION("""COMPUTED_VALUE"""),"LAKI-LAKI")</f>
        <v>LAKI-LAKI</v>
      </c>
      <c r="M2376" s="35" t="str">
        <f>IFERROR(__xludf.DUMMYFUNCTION("""COMPUTED_VALUE"""),"JL HM SUWIGNYO GG SUWIGNYO 1 NO.28 RT/RW 004/003")</f>
        <v>JL HM SUWIGNYO GG SUWIGNYO 1 NO.28 RT/RW 004/003</v>
      </c>
      <c r="N2376" s="35" t="str">
        <f>IFERROR(__xludf.DUMMYFUNCTION("""COMPUTED_VALUE"""),"SUNGAI BANGKONG")</f>
        <v>SUNGAI BANGKONG</v>
      </c>
      <c r="O2376" s="35" t="str">
        <f>IFERROR(__xludf.DUMMYFUNCTION("""COMPUTED_VALUE"""),"PONTIANAK KOTA")</f>
        <v>PONTIANAK KOTA</v>
      </c>
      <c r="P2376" s="35" t="str">
        <f>IFERROR(__xludf.DUMMYFUNCTION("""COMPUTED_VALUE"""),"PONTIANAK")</f>
        <v>PONTIANAK</v>
      </c>
      <c r="Q2376" s="35" t="str">
        <f>IFERROR(__xludf.DUMMYFUNCTION("""COMPUTED_VALUE"""),"KALIMANTAN BARAT")</f>
        <v>KALIMANTAN BARAT</v>
      </c>
      <c r="R2376" s="21" t="str">
        <f>IFERROR(__xludf.DUMMYFUNCTION("""COMPUTED_VALUE"""),"ISLAM")</f>
        <v>ISLAM</v>
      </c>
      <c r="S2376" s="74" t="str">
        <f>IFERROR(__xludf.DUMMYFUNCTION("""COMPUTED_VALUE"""),"KARYAWAN SWASTA")</f>
        <v>KARYAWAN SWASTA</v>
      </c>
      <c r="T2376" s="35" t="str">
        <f>IFERROR(__xludf.DUMMYFUNCTION("""COMPUTED_VALUE"""),"CEDERA ANKLE / ANKLE KESELEO")</f>
        <v>CEDERA ANKLE / ANKLE KESELEO</v>
      </c>
      <c r="U2376" s="35" t="str">
        <f>IFERROR(__xludf.DUMMYFUNCTION("""COMPUTED_VALUE"""),"KEMBALI NYERI SETELAH MAIN BOLA")</f>
        <v>KEMBALI NYERI SETELAH MAIN BOLA</v>
      </c>
      <c r="V2376" s="37" t="str">
        <f>IFERROR(__xludf.DUMMYFUNCTION("""COMPUTED_VALUE"""),"085157877359")</f>
        <v>085157877359</v>
      </c>
      <c r="W2376" s="45"/>
    </row>
    <row r="2377">
      <c r="A2377" s="45"/>
      <c r="B2377" s="24" t="str">
        <f>IFERROR(__xludf.DUMMYFUNCTION("""COMPUTED_VALUE"""),"10/04/2025 19:26:41")</f>
        <v>10/04/2025 19:26:41</v>
      </c>
      <c r="C2377" s="35"/>
      <c r="D2377" s="10">
        <f>IFERROR(__xludf.DUMMYFUNCTION("""COMPUTED_VALUE"""),45780.0)</f>
        <v>45780</v>
      </c>
      <c r="E2377" s="35" t="str">
        <f>IFERROR(__xludf.DUMMYFUNCTION("""COMPUTED_VALUE"""),"05Mei")</f>
        <v>05Mei</v>
      </c>
      <c r="F2377" s="34" t="str">
        <f>IFERROR(__xludf.DUMMYFUNCTION("""COMPUTED_VALUE"""),"2025")</f>
        <v>2025</v>
      </c>
      <c r="G2377" s="35" t="str">
        <f>IFERROR(__xludf.DUMMYFUNCTION("""COMPUTED_VALUE"""),"ANDI WAHYU ENDRIYANTO")</f>
        <v>ANDI WAHYU ENDRIYANTO</v>
      </c>
      <c r="H2377" s="35" t="str">
        <f>IFERROR(__xludf.DUMMYFUNCTION("""COMPUTED_VALUE"""),"A9325050486")</f>
        <v>A9325050486</v>
      </c>
      <c r="I2377" s="35">
        <f>IFERROR(__xludf.DUMMYFUNCTION("""COMPUTED_VALUE"""),33.0)</f>
        <v>33</v>
      </c>
      <c r="J2377" s="35" t="str">
        <f>IFERROR(__xludf.DUMMYFUNCTION("""COMPUTED_VALUE"""),"25-34 tahun")</f>
        <v>25-34 tahun</v>
      </c>
      <c r="K2377" s="21" t="str">
        <f>IFERROR(__xludf.DUMMYFUNCTION("""COMPUTED_VALUE"""),"16/02/1993")</f>
        <v>16/02/1993</v>
      </c>
      <c r="L2377" s="21" t="str">
        <f>IFERROR(__xludf.DUMMYFUNCTION("""COMPUTED_VALUE"""),"LAKI-LAKI")</f>
        <v>LAKI-LAKI</v>
      </c>
      <c r="M2377" s="35" t="str">
        <f>IFERROR(__xludf.DUMMYFUNCTION("""COMPUTED_VALUE"""),"JL PADAT KARYA KOMP ZAUJATI RESIDENCE 1 BLOK I 14")</f>
        <v>JL PADAT KARYA KOMP ZAUJATI RESIDENCE 1 BLOK I 14</v>
      </c>
      <c r="N2377" s="35" t="str">
        <f>IFERROR(__xludf.DUMMYFUNCTION("""COMPUTED_VALUE"""),"PARIT MAYOR")</f>
        <v>PARIT MAYOR</v>
      </c>
      <c r="O2377" s="35" t="str">
        <f>IFERROR(__xludf.DUMMYFUNCTION("""COMPUTED_VALUE"""),"PONTIANAK TIMUR")</f>
        <v>PONTIANAK TIMUR</v>
      </c>
      <c r="P2377" s="35" t="str">
        <f>IFERROR(__xludf.DUMMYFUNCTION("""COMPUTED_VALUE"""),"KOTA PONTIANAK")</f>
        <v>KOTA PONTIANAK</v>
      </c>
      <c r="Q2377" s="35" t="str">
        <f>IFERROR(__xludf.DUMMYFUNCTION("""COMPUTED_VALUE"""),"KALIMANTAN BARAT")</f>
        <v>KALIMANTAN BARAT</v>
      </c>
      <c r="R2377" s="21" t="str">
        <f>IFERROR(__xludf.DUMMYFUNCTION("""COMPUTED_VALUE"""),"ISLAM")</f>
        <v>ISLAM</v>
      </c>
      <c r="S2377" s="74" t="str">
        <f>IFERROR(__xludf.DUMMYFUNCTION("""COMPUTED_VALUE"""),"PNS")</f>
        <v>PNS</v>
      </c>
      <c r="T2377" s="35" t="str">
        <f>IFERROR(__xludf.DUMMYFUNCTION("""COMPUTED_VALUE"""),"SAKIT PINGGANG KETIKA DUDUK BERSILA DAN KETIKA BANGUN DARI DUDUK TULANG BELAKANG SAKIT")</f>
        <v>SAKIT PINGGANG KETIKA DUDUK BERSILA DAN KETIKA BANGUN DARI DUDUK TULANG BELAKANG SAKIT</v>
      </c>
      <c r="U2377" s="35" t="str">
        <f>IFERROR(__xludf.DUMMYFUNCTION("""COMPUTED_VALUE"""),"BULU TANGKIS/JOGING")</f>
        <v>BULU TANGKIS/JOGING</v>
      </c>
      <c r="V2377" s="37" t="str">
        <f>IFERROR(__xludf.DUMMYFUNCTION("""COMPUTED_VALUE"""),"085349340486")</f>
        <v>085349340486</v>
      </c>
      <c r="W2377" s="45"/>
    </row>
    <row r="2378">
      <c r="A2378" s="45"/>
      <c r="B2378" s="24" t="str">
        <f>IFERROR(__xludf.DUMMYFUNCTION("""COMPUTED_VALUE"""),"10/04/2025 19:43:01")</f>
        <v>10/04/2025 19:43:01</v>
      </c>
      <c r="C2378" s="35"/>
      <c r="D2378" s="10">
        <f>IFERROR(__xludf.DUMMYFUNCTION("""COMPUTED_VALUE"""),45780.0)</f>
        <v>45780</v>
      </c>
      <c r="E2378" s="35" t="str">
        <f>IFERROR(__xludf.DUMMYFUNCTION("""COMPUTED_VALUE"""),"05Mei")</f>
        <v>05Mei</v>
      </c>
      <c r="F2378" s="34" t="str">
        <f>IFERROR(__xludf.DUMMYFUNCTION("""COMPUTED_VALUE"""),"2025")</f>
        <v>2025</v>
      </c>
      <c r="G2378" s="35" t="str">
        <f>IFERROR(__xludf.DUMMYFUNCTION("""COMPUTED_VALUE"""),"MUHAMMAD RUSTAM")</f>
        <v>MUHAMMAD RUSTAM</v>
      </c>
      <c r="H2378" s="35" t="str">
        <f>IFERROR(__xludf.DUMMYFUNCTION("""COMPUTED_VALUE"""),"M2525053348")</f>
        <v>M2525053348</v>
      </c>
      <c r="I2378" s="35">
        <f>IFERROR(__xludf.DUMMYFUNCTION("""COMPUTED_VALUE"""),1.0)</f>
        <v>1</v>
      </c>
      <c r="J2378" s="35" t="str">
        <f>IFERROR(__xludf.DUMMYFUNCTION("""COMPUTED_VALUE"""),"&lt; 18 tahun")</f>
        <v>&lt; 18 tahun</v>
      </c>
      <c r="K2378" s="21" t="str">
        <f>IFERROR(__xludf.DUMMYFUNCTION("""COMPUTED_VALUE"""),"22/05/2025")</f>
        <v>22/05/2025</v>
      </c>
      <c r="L2378" s="21" t="str">
        <f>IFERROR(__xludf.DUMMYFUNCTION("""COMPUTED_VALUE"""),"LAKI-LAKI")</f>
        <v>LAKI-LAKI</v>
      </c>
      <c r="M2378" s="35" t="str">
        <f>IFERROR(__xludf.DUMMYFUNCTION("""COMPUTED_VALUE"""),"JALAN UJUNG PANDANG KOMPLEK JANUR ASRI NO A6")</f>
        <v>JALAN UJUNG PANDANG KOMPLEK JANUR ASRI NO A6</v>
      </c>
      <c r="N2378" s="35" t="str">
        <f>IFERROR(__xludf.DUMMYFUNCTION("""COMPUTED_VALUE"""),"SUNGAI JAWI")</f>
        <v>SUNGAI JAWI</v>
      </c>
      <c r="O2378" s="35" t="str">
        <f>IFERROR(__xludf.DUMMYFUNCTION("""COMPUTED_VALUE"""),"PONTIANAK KOTA")</f>
        <v>PONTIANAK KOTA</v>
      </c>
      <c r="P2378" s="35" t="str">
        <f>IFERROR(__xludf.DUMMYFUNCTION("""COMPUTED_VALUE"""),"PONTIANAK")</f>
        <v>PONTIANAK</v>
      </c>
      <c r="Q2378" s="35" t="str">
        <f>IFERROR(__xludf.DUMMYFUNCTION("""COMPUTED_VALUE"""),"KALIMANTAN BARAT")</f>
        <v>KALIMANTAN BARAT</v>
      </c>
      <c r="R2378" s="21" t="str">
        <f>IFERROR(__xludf.DUMMYFUNCTION("""COMPUTED_VALUE"""),"ISLAM")</f>
        <v>ISLAM</v>
      </c>
      <c r="S2378" s="74" t="str">
        <f>IFERROR(__xludf.DUMMYFUNCTION("""COMPUTED_VALUE"""),"ASN")</f>
        <v>ASN</v>
      </c>
      <c r="T2378" s="35" t="str">
        <f>IFERROR(__xludf.DUMMYFUNCTION("""COMPUTED_VALUE"""),"NYERI DI BAHU DAN LUTUT")</f>
        <v>NYERI DI BAHU DAN LUTUT</v>
      </c>
      <c r="U2378" s="35" t="str">
        <f>IFERROR(__xludf.DUMMYFUNCTION("""COMPUTED_VALUE"""),"JOGGING DAN BADMINTON")</f>
        <v>JOGGING DAN BADMINTON</v>
      </c>
      <c r="V2378" s="37" t="str">
        <f>IFERROR(__xludf.DUMMYFUNCTION("""COMPUTED_VALUE"""),"082292783348")</f>
        <v>082292783348</v>
      </c>
      <c r="W2378" s="45"/>
    </row>
    <row r="2379">
      <c r="A2379" s="45"/>
      <c r="B2379" s="24" t="str">
        <f>IFERROR(__xludf.DUMMYFUNCTION("""COMPUTED_VALUE"""),"11/04/2025 8:08:58")</f>
        <v>11/04/2025 8:08:58</v>
      </c>
      <c r="C2379" s="35"/>
      <c r="D2379" s="10">
        <f>IFERROR(__xludf.DUMMYFUNCTION("""COMPUTED_VALUE"""),45780.0)</f>
        <v>45780</v>
      </c>
      <c r="E2379" s="35" t="str">
        <f>IFERROR(__xludf.DUMMYFUNCTION("""COMPUTED_VALUE"""),"05Mei")</f>
        <v>05Mei</v>
      </c>
      <c r="F2379" s="34" t="str">
        <f>IFERROR(__xludf.DUMMYFUNCTION("""COMPUTED_VALUE"""),"2025")</f>
        <v>2025</v>
      </c>
      <c r="G2379" s="35" t="str">
        <f>IFERROR(__xludf.DUMMYFUNCTION("""COMPUTED_VALUE"""),"MUHIDDIN")</f>
        <v>MUHIDDIN</v>
      </c>
      <c r="H2379" s="35" t="str">
        <f>IFERROR(__xludf.DUMMYFUNCTION("""COMPUTED_VALUE"""),"M6625053102")</f>
        <v>M6625053102</v>
      </c>
      <c r="I2379" s="35">
        <f>IFERROR(__xludf.DUMMYFUNCTION("""COMPUTED_VALUE"""),60.0)</f>
        <v>60</v>
      </c>
      <c r="J2379" s="35" t="str">
        <f>IFERROR(__xludf.DUMMYFUNCTION("""COMPUTED_VALUE"""),"&gt; 44 tahun")</f>
        <v>&gt; 44 tahun</v>
      </c>
      <c r="K2379" s="21" t="str">
        <f>IFERROR(__xludf.DUMMYFUNCTION("""COMPUTED_VALUE"""),"09/04/1966")</f>
        <v>09/04/1966</v>
      </c>
      <c r="L2379" s="21" t="str">
        <f>IFERROR(__xludf.DUMMYFUNCTION("""COMPUTED_VALUE"""),"LAKI-LAKI")</f>
        <v>LAKI-LAKI</v>
      </c>
      <c r="M2379" s="35" t="str">
        <f>IFERROR(__xludf.DUMMYFUNCTION("""COMPUTED_VALUE"""),"JL. TJ RAYA 2 GG. H.A. SAMAD")</f>
        <v>JL. TJ RAYA 2 GG. H.A. SAMAD</v>
      </c>
      <c r="N2379" s="35" t="str">
        <f>IFERROR(__xludf.DUMMYFUNCTION("""COMPUTED_VALUE"""),"SAIGON")</f>
        <v>SAIGON</v>
      </c>
      <c r="O2379" s="35" t="str">
        <f>IFERROR(__xludf.DUMMYFUNCTION("""COMPUTED_VALUE"""),"PONTIANAK TIMUR")</f>
        <v>PONTIANAK TIMUR</v>
      </c>
      <c r="P2379" s="35" t="str">
        <f>IFERROR(__xludf.DUMMYFUNCTION("""COMPUTED_VALUE"""),"KOTA PONTIANAK")</f>
        <v>KOTA PONTIANAK</v>
      </c>
      <c r="Q2379" s="35" t="str">
        <f>IFERROR(__xludf.DUMMYFUNCTION("""COMPUTED_VALUE"""),"KALIMANTAN BARAT")</f>
        <v>KALIMANTAN BARAT</v>
      </c>
      <c r="R2379" s="21" t="str">
        <f>IFERROR(__xludf.DUMMYFUNCTION("""COMPUTED_VALUE"""),"ISLAM")</f>
        <v>ISLAM</v>
      </c>
      <c r="S2379" s="74" t="str">
        <f>IFERROR(__xludf.DUMMYFUNCTION("""COMPUTED_VALUE"""),"SWASTA")</f>
        <v>SWASTA</v>
      </c>
      <c r="T2379" s="35" t="str">
        <f>IFERROR(__xludf.DUMMYFUNCTION("""COMPUTED_VALUE"""),"NYERI PINGGANG")</f>
        <v>NYERI PINGGANG</v>
      </c>
      <c r="U2379" s="35" t="str">
        <f>IFERROR(__xludf.DUMMYFUNCTION("""COMPUTED_VALUE"""),"HOBI MANCING DAN KELAMAAN DUDUK")</f>
        <v>HOBI MANCING DAN KELAMAAN DUDUK</v>
      </c>
      <c r="V2379" s="37" t="str">
        <f>IFERROR(__xludf.DUMMYFUNCTION("""COMPUTED_VALUE"""),"081349293102")</f>
        <v>081349293102</v>
      </c>
      <c r="W2379" s="45"/>
    </row>
    <row r="2380">
      <c r="A2380" s="45"/>
      <c r="B2380" s="24" t="str">
        <f>IFERROR(__xludf.DUMMYFUNCTION("""COMPUTED_VALUE"""),"11/04/2025 17:33:15")</f>
        <v>11/04/2025 17:33:15</v>
      </c>
      <c r="C2380" s="35"/>
      <c r="D2380" s="10">
        <f>IFERROR(__xludf.DUMMYFUNCTION("""COMPUTED_VALUE"""),45780.0)</f>
        <v>45780</v>
      </c>
      <c r="E2380" s="35" t="str">
        <f>IFERROR(__xludf.DUMMYFUNCTION("""COMPUTED_VALUE"""),"05Mei")</f>
        <v>05Mei</v>
      </c>
      <c r="F2380" s="34" t="str">
        <f>IFERROR(__xludf.DUMMYFUNCTION("""COMPUTED_VALUE"""),"2025")</f>
        <v>2025</v>
      </c>
      <c r="G2380" s="35" t="str">
        <f>IFERROR(__xludf.DUMMYFUNCTION("""COMPUTED_VALUE"""),"ISRA WAHYUNI")</f>
        <v>ISRA WAHYUNI</v>
      </c>
      <c r="H2380" s="35" t="str">
        <f>IFERROR(__xludf.DUMMYFUNCTION("""COMPUTED_VALUE"""),"I9525054075")</f>
        <v>I9525054075</v>
      </c>
      <c r="I2380" s="35">
        <f>IFERROR(__xludf.DUMMYFUNCTION("""COMPUTED_VALUE"""),30.0)</f>
        <v>30</v>
      </c>
      <c r="J2380" s="35" t="str">
        <f>IFERROR(__xludf.DUMMYFUNCTION("""COMPUTED_VALUE"""),"25-34 tahun")</f>
        <v>25-34 tahun</v>
      </c>
      <c r="K2380" s="21" t="str">
        <f>IFERROR(__xludf.DUMMYFUNCTION("""COMPUTED_VALUE"""),"20/12/1995")</f>
        <v>20/12/1995</v>
      </c>
      <c r="L2380" s="21" t="str">
        <f>IFERROR(__xludf.DUMMYFUNCTION("""COMPUTED_VALUE"""),"PEREMPUAN")</f>
        <v>PEREMPUAN</v>
      </c>
      <c r="M2380" s="35" t="str">
        <f>IFERROR(__xludf.DUMMYFUNCTION("""COMPUTED_VALUE"""),"DUSUN JANUR KUNING")</f>
        <v>DUSUN JANUR KUNING</v>
      </c>
      <c r="N2380" s="35" t="str">
        <f>IFERROR(__xludf.DUMMYFUNCTION("""COMPUTED_VALUE"""),"SEMPERIUK A")</f>
        <v>SEMPERIUK A</v>
      </c>
      <c r="O2380" s="35" t="str">
        <f>IFERROR(__xludf.DUMMYFUNCTION("""COMPUTED_VALUE"""),"JAWAI SELATAN")</f>
        <v>JAWAI SELATAN</v>
      </c>
      <c r="P2380" s="35" t="str">
        <f>IFERROR(__xludf.DUMMYFUNCTION("""COMPUTED_VALUE"""),"SAMBAS")</f>
        <v>SAMBAS</v>
      </c>
      <c r="Q2380" s="35" t="str">
        <f>IFERROR(__xludf.DUMMYFUNCTION("""COMPUTED_VALUE"""),"KALIMANTAN BARAT")</f>
        <v>KALIMANTAN BARAT</v>
      </c>
      <c r="R2380" s="21" t="str">
        <f>IFERROR(__xludf.DUMMYFUNCTION("""COMPUTED_VALUE"""),"ISLAM")</f>
        <v>ISLAM</v>
      </c>
      <c r="S2380" s="74" t="str">
        <f>IFERROR(__xludf.DUMMYFUNCTION("""COMPUTED_VALUE"""),"WIRASWASTA")</f>
        <v>WIRASWASTA</v>
      </c>
      <c r="T2380" s="35" t="str">
        <f>IFERROR(__xludf.DUMMYFUNCTION("""COMPUTED_VALUE"""),"KEKAKUAN OTOT PINGGANG DAN PENGAPURAN DI TULANG BELAKANG")</f>
        <v>KEKAKUAN OTOT PINGGANG DAN PENGAPURAN DI TULANG BELAKANG</v>
      </c>
      <c r="U2380" s="35" t="str">
        <f>IFERROR(__xludf.DUMMYFUNCTION("""COMPUTED_VALUE"""),"AKTIVITAS IBU RUMAH TANGGA")</f>
        <v>AKTIVITAS IBU RUMAH TANGGA</v>
      </c>
      <c r="V2380" s="37" t="str">
        <f>IFERROR(__xludf.DUMMYFUNCTION("""COMPUTED_VALUE"""),"08970474075")</f>
        <v>08970474075</v>
      </c>
      <c r="W2380" s="45"/>
    </row>
    <row r="2381">
      <c r="A2381" s="45"/>
      <c r="B2381" s="24" t="str">
        <f>IFERROR(__xludf.DUMMYFUNCTION("""COMPUTED_VALUE"""),"11/04/2025 10:32:56")</f>
        <v>11/04/2025 10:32:56</v>
      </c>
      <c r="C2381" s="35"/>
      <c r="D2381" s="10">
        <f>IFERROR(__xludf.DUMMYFUNCTION("""COMPUTED_VALUE"""),45780.0)</f>
        <v>45780</v>
      </c>
      <c r="E2381" s="35" t="str">
        <f>IFERROR(__xludf.DUMMYFUNCTION("""COMPUTED_VALUE"""),"05Mei")</f>
        <v>05Mei</v>
      </c>
      <c r="F2381" s="34" t="str">
        <f>IFERROR(__xludf.DUMMYFUNCTION("""COMPUTED_VALUE"""),"2025")</f>
        <v>2025</v>
      </c>
      <c r="G2381" s="35" t="str">
        <f>IFERROR(__xludf.DUMMYFUNCTION("""COMPUTED_VALUE"""),"MUHAMMAD FAISAL LUBIS")</f>
        <v>MUHAMMAD FAISAL LUBIS</v>
      </c>
      <c r="H2381" s="35" t="str">
        <f>IFERROR(__xludf.DUMMYFUNCTION("""COMPUTED_VALUE"""),"M9725052929")</f>
        <v>M9725052929</v>
      </c>
      <c r="I2381" s="35">
        <f>IFERROR(__xludf.DUMMYFUNCTION("""COMPUTED_VALUE"""),29.0)</f>
        <v>29</v>
      </c>
      <c r="J2381" s="35" t="str">
        <f>IFERROR(__xludf.DUMMYFUNCTION("""COMPUTED_VALUE"""),"25-34 tahun")</f>
        <v>25-34 tahun</v>
      </c>
      <c r="K2381" s="21" t="str">
        <f>IFERROR(__xludf.DUMMYFUNCTION("""COMPUTED_VALUE"""),"22/05/1997")</f>
        <v>22/05/1997</v>
      </c>
      <c r="L2381" s="21" t="str">
        <f>IFERROR(__xludf.DUMMYFUNCTION("""COMPUTED_VALUE"""),"LAKI-LAKI")</f>
        <v>LAKI-LAKI</v>
      </c>
      <c r="M2381" s="35" t="str">
        <f>IFERROR(__xludf.DUMMYFUNCTION("""COMPUTED_VALUE"""),"LINGKUNGAN 1 PASAR GUNUNGTUA")</f>
        <v>LINGKUNGAN 1 PASAR GUNUNGTUA</v>
      </c>
      <c r="N2381" s="35" t="str">
        <f>IFERROR(__xludf.DUMMYFUNCTION("""COMPUTED_VALUE"""),"PASAR GUNUNGTUA")</f>
        <v>PASAR GUNUNGTUA</v>
      </c>
      <c r="O2381" s="35" t="str">
        <f>IFERROR(__xludf.DUMMYFUNCTION("""COMPUTED_VALUE"""),"PADANG BOLAK")</f>
        <v>PADANG BOLAK</v>
      </c>
      <c r="P2381" s="35" t="str">
        <f>IFERROR(__xludf.DUMMYFUNCTION("""COMPUTED_VALUE"""),"PADANG LAWAS UTARA")</f>
        <v>PADANG LAWAS UTARA</v>
      </c>
      <c r="Q2381" s="35" t="str">
        <f>IFERROR(__xludf.DUMMYFUNCTION("""COMPUTED_VALUE"""),"SUMATERA UTARA")</f>
        <v>SUMATERA UTARA</v>
      </c>
      <c r="R2381" s="21" t="str">
        <f>IFERROR(__xludf.DUMMYFUNCTION("""COMPUTED_VALUE"""),"ISLAM")</f>
        <v>ISLAM</v>
      </c>
      <c r="S2381" s="74" t="str">
        <f>IFERROR(__xludf.DUMMYFUNCTION("""COMPUTED_VALUE"""),"KARYAWAN SWASTA")</f>
        <v>KARYAWAN SWASTA</v>
      </c>
      <c r="T2381" s="35" t="str">
        <f>IFERROR(__xludf.DUMMYFUNCTION("""COMPUTED_VALUE"""),"KETIMPAH BESI DAN SAKIT PINGGANG")</f>
        <v>KETIMPAH BESI DAN SAKIT PINGGANG</v>
      </c>
      <c r="U2381" s="35" t="str">
        <f>IFERROR(__xludf.DUMMYFUNCTION("""COMPUTED_VALUE"""),"BEKERJA")</f>
        <v>BEKERJA</v>
      </c>
      <c r="V2381" s="37" t="str">
        <f>IFERROR(__xludf.DUMMYFUNCTION("""COMPUTED_VALUE"""),"087865992929")</f>
        <v>087865992929</v>
      </c>
      <c r="W2381" s="45"/>
    </row>
    <row r="2382">
      <c r="A2382" s="45"/>
      <c r="B2382" s="24" t="str">
        <f>IFERROR(__xludf.DUMMYFUNCTION("""COMPUTED_VALUE"""),"11/04/2025 20:48:12")</f>
        <v>11/04/2025 20:48:12</v>
      </c>
      <c r="C2382" s="35"/>
      <c r="D2382" s="10">
        <f>IFERROR(__xludf.DUMMYFUNCTION("""COMPUTED_VALUE"""),45781.0)</f>
        <v>45781</v>
      </c>
      <c r="E2382" s="35" t="str">
        <f>IFERROR(__xludf.DUMMYFUNCTION("""COMPUTED_VALUE"""),"05Mei")</f>
        <v>05Mei</v>
      </c>
      <c r="F2382" s="34" t="str">
        <f>IFERROR(__xludf.DUMMYFUNCTION("""COMPUTED_VALUE"""),"2025")</f>
        <v>2025</v>
      </c>
      <c r="G2382" s="35" t="str">
        <f>IFERROR(__xludf.DUMMYFUNCTION("""COMPUTED_VALUE"""),"PANCA DRIA")</f>
        <v>PANCA DRIA</v>
      </c>
      <c r="H2382" s="35" t="str">
        <f>IFERROR(__xludf.DUMMYFUNCTION("""COMPUTED_VALUE"""),"P8425050000")</f>
        <v>P8425050000</v>
      </c>
      <c r="I2382" s="35">
        <f>IFERROR(__xludf.DUMMYFUNCTION("""COMPUTED_VALUE"""),42.0)</f>
        <v>42</v>
      </c>
      <c r="J2382" s="35" t="str">
        <f>IFERROR(__xludf.DUMMYFUNCTION("""COMPUTED_VALUE"""),"35-44 tahun")</f>
        <v>35-44 tahun</v>
      </c>
      <c r="K2382" s="21" t="str">
        <f>IFERROR(__xludf.DUMMYFUNCTION("""COMPUTED_VALUE"""),"11/06/1984")</f>
        <v>11/06/1984</v>
      </c>
      <c r="L2382" s="21" t="str">
        <f>IFERROR(__xludf.DUMMYFUNCTION("""COMPUTED_VALUE"""),"LAKI-LAKI")</f>
        <v>LAKI-LAKI</v>
      </c>
      <c r="M2382" s="35" t="str">
        <f>IFERROR(__xludf.DUMMYFUNCTION("""COMPUTED_VALUE"""),"JL URAY BAWADI")</f>
        <v>JL URAY BAWADI</v>
      </c>
      <c r="N2382" s="35" t="str">
        <f>IFERROR(__xludf.DUMMYFUNCTION("""COMPUTED_VALUE"""),"-")</f>
        <v>-</v>
      </c>
      <c r="O2382" s="35" t="str">
        <f>IFERROR(__xludf.DUMMYFUNCTION("""COMPUTED_VALUE"""),"-")</f>
        <v>-</v>
      </c>
      <c r="P2382" s="35" t="str">
        <f>IFERROR(__xludf.DUMMYFUNCTION("""COMPUTED_VALUE"""),"PONTANAK")</f>
        <v>PONTANAK</v>
      </c>
      <c r="Q2382" s="35" t="str">
        <f>IFERROR(__xludf.DUMMYFUNCTION("""COMPUTED_VALUE"""),"KALIMANTAN BARAT")</f>
        <v>KALIMANTAN BARAT</v>
      </c>
      <c r="R2382" s="21" t="str">
        <f>IFERROR(__xludf.DUMMYFUNCTION("""COMPUTED_VALUE"""),"ISLAM")</f>
        <v>ISLAM</v>
      </c>
      <c r="S2382" s="74" t="str">
        <f>IFERROR(__xludf.DUMMYFUNCTION("""COMPUTED_VALUE"""),"KARYAWAN SWASTA")</f>
        <v>KARYAWAN SWASTA</v>
      </c>
      <c r="T2382" s="35" t="str">
        <f>IFERROR(__xludf.DUMMYFUNCTION("""COMPUTED_VALUE"""),"SAKIT TUMIT KIRI")</f>
        <v>SAKIT TUMIT KIRI</v>
      </c>
      <c r="U2382" s="35" t="str">
        <f>IFERROR(__xludf.DUMMYFUNCTION("""COMPUTED_VALUE"""),"LARI &amp; TENIS")</f>
        <v>LARI &amp; TENIS</v>
      </c>
      <c r="V2382" s="37" t="str">
        <f>IFERROR(__xludf.DUMMYFUNCTION("""COMPUTED_VALUE"""),"085245540000")</f>
        <v>085245540000</v>
      </c>
      <c r="W2382" s="45"/>
    </row>
    <row r="2383">
      <c r="A2383" s="45"/>
      <c r="B2383" s="24" t="str">
        <f>IFERROR(__xludf.DUMMYFUNCTION("""COMPUTED_VALUE"""),"12/04/2025 12:54:37")</f>
        <v>12/04/2025 12:54:37</v>
      </c>
      <c r="C2383" s="35"/>
      <c r="D2383" s="10">
        <f>IFERROR(__xludf.DUMMYFUNCTION("""COMPUTED_VALUE"""),45782.0)</f>
        <v>45782</v>
      </c>
      <c r="E2383" s="35" t="str">
        <f>IFERROR(__xludf.DUMMYFUNCTION("""COMPUTED_VALUE"""),"05Mei")</f>
        <v>05Mei</v>
      </c>
      <c r="F2383" s="34" t="str">
        <f>IFERROR(__xludf.DUMMYFUNCTION("""COMPUTED_VALUE"""),"2025")</f>
        <v>2025</v>
      </c>
      <c r="G2383" s="35" t="str">
        <f>IFERROR(__xludf.DUMMYFUNCTION("""COMPUTED_VALUE"""),"SITI RUMIYATI")</f>
        <v>SITI RUMIYATI</v>
      </c>
      <c r="H2383" s="35" t="str">
        <f>IFERROR(__xludf.DUMMYFUNCTION("""COMPUTED_VALUE"""),"S5225059977")</f>
        <v>S5225059977</v>
      </c>
      <c r="I2383" s="35">
        <f>IFERROR(__xludf.DUMMYFUNCTION("""COMPUTED_VALUE"""),74.0)</f>
        <v>74</v>
      </c>
      <c r="J2383" s="35" t="str">
        <f>IFERROR(__xludf.DUMMYFUNCTION("""COMPUTED_VALUE"""),"&gt; 44 tahun")</f>
        <v>&gt; 44 tahun</v>
      </c>
      <c r="K2383" s="21" t="str">
        <f>IFERROR(__xludf.DUMMYFUNCTION("""COMPUTED_VALUE"""),"02/04/1952")</f>
        <v>02/04/1952</v>
      </c>
      <c r="L2383" s="21" t="str">
        <f>IFERROR(__xludf.DUMMYFUNCTION("""COMPUTED_VALUE"""),"PEREMPUAN")</f>
        <v>PEREMPUAN</v>
      </c>
      <c r="M2383" s="35" t="str">
        <f>IFERROR(__xludf.DUMMYFUNCTION("""COMPUTED_VALUE"""),"JL M YAMIN GG MORODADI 2 15")</f>
        <v>JL M YAMIN GG MORODADI 2 15</v>
      </c>
      <c r="N2383" s="35" t="str">
        <f>IFERROR(__xludf.DUMMYFUNCTION("""COMPUTED_VALUE"""),"SUI BANGKONG")</f>
        <v>SUI BANGKONG</v>
      </c>
      <c r="O2383" s="35" t="str">
        <f>IFERROR(__xludf.DUMMYFUNCTION("""COMPUTED_VALUE"""),"PONTIANAK KOTA")</f>
        <v>PONTIANAK KOTA</v>
      </c>
      <c r="P2383" s="35" t="str">
        <f>IFERROR(__xludf.DUMMYFUNCTION("""COMPUTED_VALUE"""),"KOTA PONTIANAK")</f>
        <v>KOTA PONTIANAK</v>
      </c>
      <c r="Q2383" s="35" t="str">
        <f>IFERROR(__xludf.DUMMYFUNCTION("""COMPUTED_VALUE"""),"KALBAR")</f>
        <v>KALBAR</v>
      </c>
      <c r="R2383" s="21" t="str">
        <f>IFERROR(__xludf.DUMMYFUNCTION("""COMPUTED_VALUE"""),"ISLAM")</f>
        <v>ISLAM</v>
      </c>
      <c r="S2383" s="74" t="str">
        <f>IFERROR(__xludf.DUMMYFUNCTION("""COMPUTED_VALUE"""),"PENSIUNAN")</f>
        <v>PENSIUNAN</v>
      </c>
      <c r="T2383" s="35" t="str">
        <f>IFERROR(__xludf.DUMMYFUNCTION("""COMPUTED_VALUE"""),"NYERI DI BAG BAHU")</f>
        <v>NYERI DI BAG BAHU</v>
      </c>
      <c r="U2383" s="35" t="str">
        <f>IFERROR(__xludf.DUMMYFUNCTION("""COMPUTED_VALUE"""),"MEMASAK,MEMAKAI PAKAIAN")</f>
        <v>MEMASAK,MEMAKAI PAKAIAN</v>
      </c>
      <c r="V2383" s="37" t="str">
        <f>IFERROR(__xludf.DUMMYFUNCTION("""COMPUTED_VALUE"""),"08115709977")</f>
        <v>08115709977</v>
      </c>
      <c r="W2383" s="45"/>
    </row>
    <row r="2384">
      <c r="A2384" s="45"/>
      <c r="B2384" s="24" t="str">
        <f>IFERROR(__xludf.DUMMYFUNCTION("""COMPUTED_VALUE"""),"12/04/2025 19:14:14")</f>
        <v>12/04/2025 19:14:14</v>
      </c>
      <c r="C2384" s="35"/>
      <c r="D2384" s="10">
        <f>IFERROR(__xludf.DUMMYFUNCTION("""COMPUTED_VALUE"""),45782.0)</f>
        <v>45782</v>
      </c>
      <c r="E2384" s="35" t="str">
        <f>IFERROR(__xludf.DUMMYFUNCTION("""COMPUTED_VALUE"""),"05Mei")</f>
        <v>05Mei</v>
      </c>
      <c r="F2384" s="34" t="str">
        <f>IFERROR(__xludf.DUMMYFUNCTION("""COMPUTED_VALUE"""),"2025")</f>
        <v>2025</v>
      </c>
      <c r="G2384" s="35" t="str">
        <f>IFERROR(__xludf.DUMMYFUNCTION("""COMPUTED_VALUE"""),"PUJI WIRANTI")</f>
        <v>PUJI WIRANTI</v>
      </c>
      <c r="H2384" s="35" t="str">
        <f>IFERROR(__xludf.DUMMYFUNCTION("""COMPUTED_VALUE"""),"P9625056007")</f>
        <v>P9625056007</v>
      </c>
      <c r="I2384" s="35">
        <f>IFERROR(__xludf.DUMMYFUNCTION("""COMPUTED_VALUE"""),29.0)</f>
        <v>29</v>
      </c>
      <c r="J2384" s="35" t="str">
        <f>IFERROR(__xludf.DUMMYFUNCTION("""COMPUTED_VALUE"""),"25-34 tahun")</f>
        <v>25-34 tahun</v>
      </c>
      <c r="K2384" s="21" t="str">
        <f>IFERROR(__xludf.DUMMYFUNCTION("""COMPUTED_VALUE"""),"01/11/1996")</f>
        <v>01/11/1996</v>
      </c>
      <c r="L2384" s="21" t="str">
        <f>IFERROR(__xludf.DUMMYFUNCTION("""COMPUTED_VALUE"""),"PEREMPUAN")</f>
        <v>PEREMPUAN</v>
      </c>
      <c r="M2384" s="35" t="str">
        <f>IFERROR(__xludf.DUMMYFUNCTION("""COMPUTED_VALUE"""),"JLN. WONOBARU, GG. REMAJA 1 NO. 23")</f>
        <v>JLN. WONOBARU, GG. REMAJA 1 NO. 23</v>
      </c>
      <c r="N2384" s="35" t="str">
        <f>IFERROR(__xludf.DUMMYFUNCTION("""COMPUTED_VALUE"""),"AKCAYA")</f>
        <v>AKCAYA</v>
      </c>
      <c r="O2384" s="35" t="str">
        <f>IFERROR(__xludf.DUMMYFUNCTION("""COMPUTED_VALUE"""),"PONTIANAK SELATAN")</f>
        <v>PONTIANAK SELATAN</v>
      </c>
      <c r="P2384" s="35" t="str">
        <f>IFERROR(__xludf.DUMMYFUNCTION("""COMPUTED_VALUE"""),"KOTA PONTIANAK")</f>
        <v>KOTA PONTIANAK</v>
      </c>
      <c r="Q2384" s="35" t="str">
        <f>IFERROR(__xludf.DUMMYFUNCTION("""COMPUTED_VALUE"""),"KALIMANTAN BARAT")</f>
        <v>KALIMANTAN BARAT</v>
      </c>
      <c r="R2384" s="21" t="str">
        <f>IFERROR(__xludf.DUMMYFUNCTION("""COMPUTED_VALUE"""),"ISLAM")</f>
        <v>ISLAM</v>
      </c>
      <c r="S2384" s="74" t="str">
        <f>IFERROR(__xludf.DUMMYFUNCTION("""COMPUTED_VALUE"""),"IBU RUMAH TANGGA")</f>
        <v>IBU RUMAH TANGGA</v>
      </c>
      <c r="T2384" s="35" t="str">
        <f>IFERROR(__xludf.DUMMYFUNCTION("""COMPUTED_VALUE"""),"KAKI NYERI, NGILU BAGIAN TELAPAK KAKI, KAKI BENGKAK")</f>
        <v>KAKI NYERI, NGILU BAGIAN TELAPAK KAKI, KAKI BENGKAK</v>
      </c>
      <c r="U2384" s="35" t="str">
        <f>IFERROR(__xludf.DUMMYFUNCTION("""COMPUTED_VALUE"""),"BELANJA")</f>
        <v>BELANJA</v>
      </c>
      <c r="V2384" s="37" t="str">
        <f>IFERROR(__xludf.DUMMYFUNCTION("""COMPUTED_VALUE"""),"089523226007")</f>
        <v>089523226007</v>
      </c>
      <c r="W2384" s="45"/>
    </row>
    <row r="2385">
      <c r="A2385" s="45"/>
      <c r="B2385" s="24" t="str">
        <f>IFERROR(__xludf.DUMMYFUNCTION("""COMPUTED_VALUE"""),"12/04/2025 18:52:43")</f>
        <v>12/04/2025 18:52:43</v>
      </c>
      <c r="C2385" s="35"/>
      <c r="D2385" s="10">
        <f>IFERROR(__xludf.DUMMYFUNCTION("""COMPUTED_VALUE"""),45782.0)</f>
        <v>45782</v>
      </c>
      <c r="E2385" s="35" t="str">
        <f>IFERROR(__xludf.DUMMYFUNCTION("""COMPUTED_VALUE"""),"05Mei")</f>
        <v>05Mei</v>
      </c>
      <c r="F2385" s="34" t="str">
        <f>IFERROR(__xludf.DUMMYFUNCTION("""COMPUTED_VALUE"""),"2025")</f>
        <v>2025</v>
      </c>
      <c r="G2385" s="35" t="str">
        <f>IFERROR(__xludf.DUMMYFUNCTION("""COMPUTED_VALUE"""),"SAFRI ADAM")</f>
        <v>SAFRI ADAM</v>
      </c>
      <c r="H2385" s="35" t="str">
        <f>IFERROR(__xludf.DUMMYFUNCTION("""COMPUTED_VALUE"""),"S9425051801")</f>
        <v>S9425051801</v>
      </c>
      <c r="I2385" s="35">
        <f>IFERROR(__xludf.DUMMYFUNCTION("""COMPUTED_VALUE"""),31.0)</f>
        <v>31</v>
      </c>
      <c r="J2385" s="35" t="str">
        <f>IFERROR(__xludf.DUMMYFUNCTION("""COMPUTED_VALUE"""),"25-34 tahun")</f>
        <v>25-34 tahun</v>
      </c>
      <c r="K2385" s="21" t="str">
        <f>IFERROR(__xludf.DUMMYFUNCTION("""COMPUTED_VALUE"""),"16/07/1994")</f>
        <v>16/07/1994</v>
      </c>
      <c r="L2385" s="21" t="str">
        <f>IFERROR(__xludf.DUMMYFUNCTION("""COMPUTED_VALUE"""),"LAKI-LAKI")</f>
        <v>LAKI-LAKI</v>
      </c>
      <c r="M2385" s="35" t="str">
        <f>IFERROR(__xludf.DUMMYFUNCTION("""COMPUTED_VALUE"""),"JL.PURNAMA 2")</f>
        <v>JL.PURNAMA 2</v>
      </c>
      <c r="N2385" s="35" t="str">
        <f>IFERROR(__xludf.DUMMYFUNCTION("""COMPUTED_VALUE"""),"KOTA BARU")</f>
        <v>KOTA BARU</v>
      </c>
      <c r="O2385" s="35" t="str">
        <f>IFERROR(__xludf.DUMMYFUNCTION("""COMPUTED_VALUE"""),"PONTIANAK SELATAN")</f>
        <v>PONTIANAK SELATAN</v>
      </c>
      <c r="P2385" s="35" t="str">
        <f>IFERROR(__xludf.DUMMYFUNCTION("""COMPUTED_VALUE"""),"PONTIANAK")</f>
        <v>PONTIANAK</v>
      </c>
      <c r="Q2385" s="35" t="str">
        <f>IFERROR(__xludf.DUMMYFUNCTION("""COMPUTED_VALUE"""),"KALBAR")</f>
        <v>KALBAR</v>
      </c>
      <c r="R2385" s="21" t="str">
        <f>IFERROR(__xludf.DUMMYFUNCTION("""COMPUTED_VALUE"""),"ISLAM")</f>
        <v>ISLAM</v>
      </c>
      <c r="S2385" s="74" t="str">
        <f>IFERROR(__xludf.DUMMYFUNCTION("""COMPUTED_VALUE"""),"DOSEN")</f>
        <v>DOSEN</v>
      </c>
      <c r="T2385" s="35" t="str">
        <f>IFERROR(__xludf.DUMMYFUNCTION("""COMPUTED_VALUE"""),"BETIS KANAN NYERI, DI TEKUK SAKIT.")</f>
        <v>BETIS KANAN NYERI, DI TEKUK SAKIT.</v>
      </c>
      <c r="U2385" s="35" t="str">
        <f>IFERROR(__xludf.DUMMYFUNCTION("""COMPUTED_VALUE"""),"BADMINTON")</f>
        <v>BADMINTON</v>
      </c>
      <c r="V2385" s="37" t="str">
        <f>IFERROR(__xludf.DUMMYFUNCTION("""COMPUTED_VALUE"""),"081258811801")</f>
        <v>081258811801</v>
      </c>
      <c r="W2385" s="45"/>
    </row>
    <row r="2386">
      <c r="A2386" s="45"/>
      <c r="B2386" s="24" t="str">
        <f>IFERROR(__xludf.DUMMYFUNCTION("""COMPUTED_VALUE"""),"12/04/2025 20:43:13")</f>
        <v>12/04/2025 20:43:13</v>
      </c>
      <c r="C2386" s="35"/>
      <c r="D2386" s="10">
        <f>IFERROR(__xludf.DUMMYFUNCTION("""COMPUTED_VALUE"""),45782.0)</f>
        <v>45782</v>
      </c>
      <c r="E2386" s="35" t="str">
        <f>IFERROR(__xludf.DUMMYFUNCTION("""COMPUTED_VALUE"""),"05Mei")</f>
        <v>05Mei</v>
      </c>
      <c r="F2386" s="34" t="str">
        <f>IFERROR(__xludf.DUMMYFUNCTION("""COMPUTED_VALUE"""),"2025")</f>
        <v>2025</v>
      </c>
      <c r="G2386" s="35" t="str">
        <f>IFERROR(__xludf.DUMMYFUNCTION("""COMPUTED_VALUE"""),"AZMI")</f>
        <v>AZMI</v>
      </c>
      <c r="H2386" s="35" t="str">
        <f>IFERROR(__xludf.DUMMYFUNCTION("""COMPUTED_VALUE"""),"A9425050290")</f>
        <v>A9425050290</v>
      </c>
      <c r="I2386" s="35">
        <f>IFERROR(__xludf.DUMMYFUNCTION("""COMPUTED_VALUE"""),32.0)</f>
        <v>32</v>
      </c>
      <c r="J2386" s="35" t="str">
        <f>IFERROR(__xludf.DUMMYFUNCTION("""COMPUTED_VALUE"""),"25-34 tahun")</f>
        <v>25-34 tahun</v>
      </c>
      <c r="K2386" s="21" t="str">
        <f>IFERROR(__xludf.DUMMYFUNCTION("""COMPUTED_VALUE"""),"02/06/1994")</f>
        <v>02/06/1994</v>
      </c>
      <c r="L2386" s="21" t="str">
        <f>IFERROR(__xludf.DUMMYFUNCTION("""COMPUTED_VALUE"""),"LAKI-LAKI")</f>
        <v>LAKI-LAKI</v>
      </c>
      <c r="M2386" s="35" t="str">
        <f>IFERROR(__xludf.DUMMYFUNCTION("""COMPUTED_VALUE"""),"JL TANJUNG RAYA 2 GANG SEKTOR RAYA NO 13")</f>
        <v>JL TANJUNG RAYA 2 GANG SEKTOR RAYA NO 13</v>
      </c>
      <c r="N2386" s="35" t="str">
        <f>IFERROR(__xludf.DUMMYFUNCTION("""COMPUTED_VALUE"""),"SAIGON")</f>
        <v>SAIGON</v>
      </c>
      <c r="O2386" s="35" t="str">
        <f>IFERROR(__xludf.DUMMYFUNCTION("""COMPUTED_VALUE"""),"PONTIANAK TIMUR")</f>
        <v>PONTIANAK TIMUR</v>
      </c>
      <c r="P2386" s="35" t="str">
        <f>IFERROR(__xludf.DUMMYFUNCTION("""COMPUTED_VALUE"""),"KOTA PONTIANAK")</f>
        <v>KOTA PONTIANAK</v>
      </c>
      <c r="Q2386" s="35" t="str">
        <f>IFERROR(__xludf.DUMMYFUNCTION("""COMPUTED_VALUE"""),"KALIMANTAN BARAT")</f>
        <v>KALIMANTAN BARAT</v>
      </c>
      <c r="R2386" s="21" t="str">
        <f>IFERROR(__xludf.DUMMYFUNCTION("""COMPUTED_VALUE"""),"ISLAM")</f>
        <v>ISLAM</v>
      </c>
      <c r="S2386" s="74" t="str">
        <f>IFERROR(__xludf.DUMMYFUNCTION("""COMPUTED_VALUE"""),"SWASTA")</f>
        <v>SWASTA</v>
      </c>
      <c r="T2386" s="35" t="str">
        <f>IFERROR(__xludf.DUMMYFUNCTION("""COMPUTED_VALUE"""),"LEHER")</f>
        <v>LEHER</v>
      </c>
      <c r="U2386" s="35" t="str">
        <f>IFERROR(__xludf.DUMMYFUNCTION("""COMPUTED_VALUE"""),"SALAH TIDUR SAKIT LEHER")</f>
        <v>SALAH TIDUR SAKIT LEHER</v>
      </c>
      <c r="V2386" s="37" t="str">
        <f>IFERROR(__xludf.DUMMYFUNCTION("""COMPUTED_VALUE"""),"087750560290")</f>
        <v>087750560290</v>
      </c>
      <c r="W2386" s="45"/>
    </row>
    <row r="2387">
      <c r="A2387" s="45"/>
      <c r="B2387" s="24" t="str">
        <f>IFERROR(__xludf.DUMMYFUNCTION("""COMPUTED_VALUE"""),"13/04/2025 7:58:08")</f>
        <v>13/04/2025 7:58:08</v>
      </c>
      <c r="C2387" s="35"/>
      <c r="D2387" s="10">
        <f>IFERROR(__xludf.DUMMYFUNCTION("""COMPUTED_VALUE"""),45782.0)</f>
        <v>45782</v>
      </c>
      <c r="E2387" s="35" t="str">
        <f>IFERROR(__xludf.DUMMYFUNCTION("""COMPUTED_VALUE"""),"05Mei")</f>
        <v>05Mei</v>
      </c>
      <c r="F2387" s="34" t="str">
        <f>IFERROR(__xludf.DUMMYFUNCTION("""COMPUTED_VALUE"""),"2025")</f>
        <v>2025</v>
      </c>
      <c r="G2387" s="35" t="str">
        <f>IFERROR(__xludf.DUMMYFUNCTION("""COMPUTED_VALUE"""),"RENDRA NOVITO, SP")</f>
        <v>RENDRA NOVITO, SP</v>
      </c>
      <c r="H2387" s="35" t="str">
        <f>IFERROR(__xludf.DUMMYFUNCTION("""COMPUTED_VALUE"""),"R7625057125")</f>
        <v>R7625057125</v>
      </c>
      <c r="I2387" s="35">
        <f>IFERROR(__xludf.DUMMYFUNCTION("""COMPUTED_VALUE"""),49.0)</f>
        <v>49</v>
      </c>
      <c r="J2387" s="35" t="str">
        <f>IFERROR(__xludf.DUMMYFUNCTION("""COMPUTED_VALUE"""),"&gt; 44 tahun")</f>
        <v>&gt; 44 tahun</v>
      </c>
      <c r="K2387" s="21" t="str">
        <f>IFERROR(__xludf.DUMMYFUNCTION("""COMPUTED_VALUE"""),"17/11/1976")</f>
        <v>17/11/1976</v>
      </c>
      <c r="L2387" s="21" t="str">
        <f>IFERROR(__xludf.DUMMYFUNCTION("""COMPUTED_VALUE"""),"LAKI-LAKI")</f>
        <v>LAKI-LAKI</v>
      </c>
      <c r="M2387" s="35" t="str">
        <f>IFERROR(__xludf.DUMMYFUNCTION("""COMPUTED_VALUE"""),"JL KHW GG USAHA 2 NO 8 PONTIANAK")</f>
        <v>JL KHW GG USAHA 2 NO 8 PONTIANAK</v>
      </c>
      <c r="N2387" s="35" t="str">
        <f>IFERROR(__xludf.DUMMYFUNCTION("""COMPUTED_VALUE"""),"SUNGAI JAWI")</f>
        <v>SUNGAI JAWI</v>
      </c>
      <c r="O2387" s="35" t="str">
        <f>IFERROR(__xludf.DUMMYFUNCTION("""COMPUTED_VALUE"""),"PONTIANAK KOTA")</f>
        <v>PONTIANAK KOTA</v>
      </c>
      <c r="P2387" s="35" t="str">
        <f>IFERROR(__xludf.DUMMYFUNCTION("""COMPUTED_VALUE"""),"KOTA PONTIANAK")</f>
        <v>KOTA PONTIANAK</v>
      </c>
      <c r="Q2387" s="35" t="str">
        <f>IFERROR(__xludf.DUMMYFUNCTION("""COMPUTED_VALUE"""),"KALIMANTAN BARAT")</f>
        <v>KALIMANTAN BARAT</v>
      </c>
      <c r="R2387" s="21" t="str">
        <f>IFERROR(__xludf.DUMMYFUNCTION("""COMPUTED_VALUE"""),"ISLAM")</f>
        <v>ISLAM</v>
      </c>
      <c r="S2387" s="74" t="str">
        <f>IFERROR(__xludf.DUMMYFUNCTION("""COMPUTED_VALUE"""),"WIRASWASTA")</f>
        <v>WIRASWASTA</v>
      </c>
      <c r="T2387" s="35" t="str">
        <f>IFERROR(__xludf.DUMMYFUNCTION("""COMPUTED_VALUE"""),"SAKIT PINGGANG BELAKANG KANAN")</f>
        <v>SAKIT PINGGANG BELAKANG KANAN</v>
      </c>
      <c r="U2387" s="35" t="str">
        <f>IFERROR(__xludf.DUMMYFUNCTION("""COMPUTED_VALUE"""),"-")</f>
        <v>-</v>
      </c>
      <c r="V2387" s="37" t="str">
        <f>IFERROR(__xludf.DUMMYFUNCTION("""COMPUTED_VALUE"""),"085252517125")</f>
        <v>085252517125</v>
      </c>
      <c r="W2387" s="45"/>
    </row>
    <row r="2388">
      <c r="A2388" s="45"/>
      <c r="B2388" s="24" t="str">
        <f>IFERROR(__xludf.DUMMYFUNCTION("""COMPUTED_VALUE"""),"13/04/2025 11:41:23")</f>
        <v>13/04/2025 11:41:23</v>
      </c>
      <c r="C2388" s="35"/>
      <c r="D2388" s="10">
        <f>IFERROR(__xludf.DUMMYFUNCTION("""COMPUTED_VALUE"""),45783.0)</f>
        <v>45783</v>
      </c>
      <c r="E2388" s="35" t="str">
        <f>IFERROR(__xludf.DUMMYFUNCTION("""COMPUTED_VALUE"""),"05Mei")</f>
        <v>05Mei</v>
      </c>
      <c r="F2388" s="34" t="str">
        <f>IFERROR(__xludf.DUMMYFUNCTION("""COMPUTED_VALUE"""),"2025")</f>
        <v>2025</v>
      </c>
      <c r="G2388" s="35" t="str">
        <f>IFERROR(__xludf.DUMMYFUNCTION("""COMPUTED_VALUE"""),"NILAM SANTIKA")</f>
        <v>NILAM SANTIKA</v>
      </c>
      <c r="H2388" s="35" t="str">
        <f>IFERROR(__xludf.DUMMYFUNCTION("""COMPUTED_VALUE"""),"N7225053377")</f>
        <v>N7225053377</v>
      </c>
      <c r="I2388" s="35">
        <f>IFERROR(__xludf.DUMMYFUNCTION("""COMPUTED_VALUE"""),54.0)</f>
        <v>54</v>
      </c>
      <c r="J2388" s="35" t="str">
        <f>IFERROR(__xludf.DUMMYFUNCTION("""COMPUTED_VALUE"""),"&gt; 44 tahun")</f>
        <v>&gt; 44 tahun</v>
      </c>
      <c r="K2388" s="21" t="str">
        <f>IFERROR(__xludf.DUMMYFUNCTION("""COMPUTED_VALUE"""),"09/03/1972")</f>
        <v>09/03/1972</v>
      </c>
      <c r="L2388" s="21" t="str">
        <f>IFERROR(__xludf.DUMMYFUNCTION("""COMPUTED_VALUE"""),"PEREMPUAN")</f>
        <v>PEREMPUAN</v>
      </c>
      <c r="M2388" s="35" t="str">
        <f>IFERROR(__xludf.DUMMYFUNCTION("""COMPUTED_VALUE"""),"JL NIRBAYA")</f>
        <v>JL NIRBAYA</v>
      </c>
      <c r="N2388" s="35" t="str">
        <f>IFERROR(__xludf.DUMMYFUNCTION("""COMPUTED_VALUE"""),"KOTA BARU")</f>
        <v>KOTA BARU</v>
      </c>
      <c r="O2388" s="35" t="str">
        <f>IFERROR(__xludf.DUMMYFUNCTION("""COMPUTED_VALUE"""),"PONTIANAK SELATAN")</f>
        <v>PONTIANAK SELATAN</v>
      </c>
      <c r="P2388" s="35" t="str">
        <f>IFERROR(__xludf.DUMMYFUNCTION("""COMPUTED_VALUE"""),"KOTA PONTIANAK")</f>
        <v>KOTA PONTIANAK</v>
      </c>
      <c r="Q2388" s="35" t="str">
        <f>IFERROR(__xludf.DUMMYFUNCTION("""COMPUTED_VALUE"""),"KALIMANTAN BARAT")</f>
        <v>KALIMANTAN BARAT</v>
      </c>
      <c r="R2388" s="21" t="str">
        <f>IFERROR(__xludf.DUMMYFUNCTION("""COMPUTED_VALUE"""),"ISLAM")</f>
        <v>ISLAM</v>
      </c>
      <c r="S2388" s="74" t="str">
        <f>IFERROR(__xludf.DUMMYFUNCTION("""COMPUTED_VALUE"""),"IBU RUMAH TANGGA")</f>
        <v>IBU RUMAH TANGGA</v>
      </c>
      <c r="T2388" s="35" t="str">
        <f>IFERROR(__xludf.DUMMYFUNCTION("""COMPUTED_VALUE"""),"SAKIT KAKI SAMPAI KEPINGGANG")</f>
        <v>SAKIT KAKI SAMPAI KEPINGGANG</v>
      </c>
      <c r="U2388" s="35" t="str">
        <f>IFERROR(__xludf.DUMMYFUNCTION("""COMPUTED_VALUE"""),"MASAK")</f>
        <v>MASAK</v>
      </c>
      <c r="V2388" s="37" t="str">
        <f>IFERROR(__xludf.DUMMYFUNCTION("""COMPUTED_VALUE"""),"0895374053377")</f>
        <v>0895374053377</v>
      </c>
      <c r="W2388" s="45"/>
    </row>
    <row r="2389">
      <c r="A2389" s="45"/>
      <c r="B2389" s="24" t="str">
        <f>IFERROR(__xludf.DUMMYFUNCTION("""COMPUTED_VALUE"""),"13/04/2025 20:12:01")</f>
        <v>13/04/2025 20:12:01</v>
      </c>
      <c r="C2389" s="35"/>
      <c r="D2389" s="10">
        <f>IFERROR(__xludf.DUMMYFUNCTION("""COMPUTED_VALUE"""),45783.0)</f>
        <v>45783</v>
      </c>
      <c r="E2389" s="35" t="str">
        <f>IFERROR(__xludf.DUMMYFUNCTION("""COMPUTED_VALUE"""),"05Mei")</f>
        <v>05Mei</v>
      </c>
      <c r="F2389" s="34" t="str">
        <f>IFERROR(__xludf.DUMMYFUNCTION("""COMPUTED_VALUE"""),"2025")</f>
        <v>2025</v>
      </c>
      <c r="G2389" s="35" t="str">
        <f>IFERROR(__xludf.DUMMYFUNCTION("""COMPUTED_VALUE"""),"SITI HADIJAH 6201")</f>
        <v>SITI HADIJAH 6201</v>
      </c>
      <c r="H2389" s="35" t="str">
        <f>IFERROR(__xludf.DUMMYFUNCTION("""COMPUTED_VALUE"""),"S6225058540")</f>
        <v>S6225058540</v>
      </c>
      <c r="I2389" s="35">
        <f>IFERROR(__xludf.DUMMYFUNCTION("""COMPUTED_VALUE"""),64.0)</f>
        <v>64</v>
      </c>
      <c r="J2389" s="35" t="str">
        <f>IFERROR(__xludf.DUMMYFUNCTION("""COMPUTED_VALUE"""),"&gt; 44 tahun")</f>
        <v>&gt; 44 tahun</v>
      </c>
      <c r="K2389" s="21" t="str">
        <f>IFERROR(__xludf.DUMMYFUNCTION("""COMPUTED_VALUE"""),"06/01/1962")</f>
        <v>06/01/1962</v>
      </c>
      <c r="L2389" s="21" t="str">
        <f>IFERROR(__xludf.DUMMYFUNCTION("""COMPUTED_VALUE"""),"PEREMPUAN")</f>
        <v>PEREMPUAN</v>
      </c>
      <c r="M2389" s="35" t="str">
        <f>IFERROR(__xludf.DUMMYFUNCTION("""COMPUTED_VALUE"""),"JL ILHAM GG ILHAM 2")</f>
        <v>JL ILHAM GG ILHAM 2</v>
      </c>
      <c r="N2389" s="35" t="str">
        <f>IFERROR(__xludf.DUMMYFUNCTION("""COMPUTED_VALUE"""),"SEI BANGKONG")</f>
        <v>SEI BANGKONG</v>
      </c>
      <c r="O2389" s="35" t="str">
        <f>IFERROR(__xludf.DUMMYFUNCTION("""COMPUTED_VALUE"""),"PONTIANAK KOTA")</f>
        <v>PONTIANAK KOTA</v>
      </c>
      <c r="P2389" s="35" t="str">
        <f>IFERROR(__xludf.DUMMYFUNCTION("""COMPUTED_VALUE"""),"PONTIANAK")</f>
        <v>PONTIANAK</v>
      </c>
      <c r="Q2389" s="35" t="str">
        <f>IFERROR(__xludf.DUMMYFUNCTION("""COMPUTED_VALUE"""),"KALIMANTAN BARAT")</f>
        <v>KALIMANTAN BARAT</v>
      </c>
      <c r="R2389" s="21" t="str">
        <f>IFERROR(__xludf.DUMMYFUNCTION("""COMPUTED_VALUE"""),"ISLAM")</f>
        <v>ISLAM</v>
      </c>
      <c r="S2389" s="74" t="str">
        <f>IFERROR(__xludf.DUMMYFUNCTION("""COMPUTED_VALUE"""),"PENSIUN")</f>
        <v>PENSIUN</v>
      </c>
      <c r="T2389" s="35" t="str">
        <f>IFERROR(__xludf.DUMMYFUNCTION("""COMPUTED_VALUE"""),"SAKIT KAKi")</f>
        <v>SAKIT KAKi</v>
      </c>
      <c r="U2389" s="35" t="str">
        <f>IFERROR(__xludf.DUMMYFUNCTION("""COMPUTED_VALUE"""),"MEMASAK BERDIRI LAMA")</f>
        <v>MEMASAK BERDIRI LAMA</v>
      </c>
      <c r="V2389" s="37" t="str">
        <f>IFERROR(__xludf.DUMMYFUNCTION("""COMPUTED_VALUE"""),"089611118540")</f>
        <v>089611118540</v>
      </c>
      <c r="W2389" s="45"/>
    </row>
    <row r="2390">
      <c r="A2390" s="45"/>
      <c r="B2390" s="24" t="str">
        <f>IFERROR(__xludf.DUMMYFUNCTION("""COMPUTED_VALUE"""),"13/04/2025 20:13:34")</f>
        <v>13/04/2025 20:13:34</v>
      </c>
      <c r="C2390" s="35"/>
      <c r="D2390" s="10">
        <f>IFERROR(__xludf.DUMMYFUNCTION("""COMPUTED_VALUE"""),45784.0)</f>
        <v>45784</v>
      </c>
      <c r="E2390" s="35" t="str">
        <f>IFERROR(__xludf.DUMMYFUNCTION("""COMPUTED_VALUE"""),"05Mei")</f>
        <v>05Mei</v>
      </c>
      <c r="F2390" s="34" t="str">
        <f>IFERROR(__xludf.DUMMYFUNCTION("""COMPUTED_VALUE"""),"2025")</f>
        <v>2025</v>
      </c>
      <c r="G2390" s="35" t="str">
        <f>IFERROR(__xludf.DUMMYFUNCTION("""COMPUTED_VALUE"""),"KHANSA ATALLAH PURUHITA")</f>
        <v>KHANSA ATALLAH PURUHITA</v>
      </c>
      <c r="H2390" s="35" t="str">
        <f>IFERROR(__xludf.DUMMYFUNCTION("""COMPUTED_VALUE"""),"K0025055631")</f>
        <v>K0025055631</v>
      </c>
      <c r="I2390" s="35">
        <f>IFERROR(__xludf.DUMMYFUNCTION("""COMPUTED_VALUE"""),25.0)</f>
        <v>25</v>
      </c>
      <c r="J2390" s="35" t="str">
        <f>IFERROR(__xludf.DUMMYFUNCTION("""COMPUTED_VALUE"""),"25-34 tahun")</f>
        <v>25-34 tahun</v>
      </c>
      <c r="K2390" s="21" t="str">
        <f>IFERROR(__xludf.DUMMYFUNCTION("""COMPUTED_VALUE"""),"10/10/2000")</f>
        <v>10/10/2000</v>
      </c>
      <c r="L2390" s="21" t="str">
        <f>IFERROR(__xludf.DUMMYFUNCTION("""COMPUTED_VALUE"""),"LAKI-LAKI")</f>
        <v>LAKI-LAKI</v>
      </c>
      <c r="M2390" s="35" t="str">
        <f>IFERROR(__xludf.DUMMYFUNCTION("""COMPUTED_VALUE"""),"JL. FLAMBOYAN, SANGGAU PERMAI")</f>
        <v>JL. FLAMBOYAN, SANGGAU PERMAI</v>
      </c>
      <c r="N2390" s="35" t="str">
        <f>IFERROR(__xludf.DUMMYFUNCTION("""COMPUTED_VALUE"""),"SUNGAI SENGKUANG")</f>
        <v>SUNGAI SENGKUANG</v>
      </c>
      <c r="O2390" s="35" t="str">
        <f>IFERROR(__xludf.DUMMYFUNCTION("""COMPUTED_VALUE"""),"KAPUAS")</f>
        <v>KAPUAS</v>
      </c>
      <c r="P2390" s="35" t="str">
        <f>IFERROR(__xludf.DUMMYFUNCTION("""COMPUTED_VALUE"""),"SANGGAU")</f>
        <v>SANGGAU</v>
      </c>
      <c r="Q2390" s="35" t="str">
        <f>IFERROR(__xludf.DUMMYFUNCTION("""COMPUTED_VALUE"""),"KALIMANTAN BARAT")</f>
        <v>KALIMANTAN BARAT</v>
      </c>
      <c r="R2390" s="21" t="str">
        <f>IFERROR(__xludf.DUMMYFUNCTION("""COMPUTED_VALUE"""),"ISLAM")</f>
        <v>ISLAM</v>
      </c>
      <c r="S2390" s="74" t="str">
        <f>IFERROR(__xludf.DUMMYFUNCTION("""COMPUTED_VALUE"""),"KARYAWAN")</f>
        <v>KARYAWAN</v>
      </c>
      <c r="T2390" s="35" t="str">
        <f>IFERROR(__xludf.DUMMYFUNCTION("""COMPUTED_VALUE"""),"RIWAYAT HNP L4-L5")</f>
        <v>RIWAYAT HNP L4-L5</v>
      </c>
      <c r="U2390" s="35" t="str">
        <f>IFERROR(__xludf.DUMMYFUNCTION("""COMPUTED_VALUE"""),"BEKERJA DI DEPAN KOMPUTER DALAM KEADAAN DUDUK DI KURSI LEBIH DARI 8 JAM/HARI")</f>
        <v>BEKERJA DI DEPAN KOMPUTER DALAM KEADAAN DUDUK DI KURSI LEBIH DARI 8 JAM/HARI</v>
      </c>
      <c r="V2390" s="37" t="str">
        <f>IFERROR(__xludf.DUMMYFUNCTION("""COMPUTED_VALUE"""),"085156935631")</f>
        <v>085156935631</v>
      </c>
      <c r="W2390" s="45"/>
    </row>
    <row r="2391">
      <c r="A2391" s="45"/>
      <c r="B2391" s="24" t="str">
        <f>IFERROR(__xludf.DUMMYFUNCTION("""COMPUTED_VALUE"""),"14/04/2025 10:06:22")</f>
        <v>14/04/2025 10:06:22</v>
      </c>
      <c r="C2391" s="35"/>
      <c r="D2391" s="10">
        <f>IFERROR(__xludf.DUMMYFUNCTION("""COMPUTED_VALUE"""),45784.0)</f>
        <v>45784</v>
      </c>
      <c r="E2391" s="35" t="str">
        <f>IFERROR(__xludf.DUMMYFUNCTION("""COMPUTED_VALUE"""),"05Mei")</f>
        <v>05Mei</v>
      </c>
      <c r="F2391" s="34" t="str">
        <f>IFERROR(__xludf.DUMMYFUNCTION("""COMPUTED_VALUE"""),"2025")</f>
        <v>2025</v>
      </c>
      <c r="G2391" s="35" t="str">
        <f>IFERROR(__xludf.DUMMYFUNCTION("""COMPUTED_VALUE"""),"SATIMAN")</f>
        <v>SATIMAN</v>
      </c>
      <c r="H2391" s="35" t="str">
        <f>IFERROR(__xludf.DUMMYFUNCTION("""COMPUTED_VALUE"""),"S7525054125")</f>
        <v>S7525054125</v>
      </c>
      <c r="I2391" s="35">
        <f>IFERROR(__xludf.DUMMYFUNCTION("""COMPUTED_VALUE"""),50.0)</f>
        <v>50</v>
      </c>
      <c r="J2391" s="35" t="str">
        <f>IFERROR(__xludf.DUMMYFUNCTION("""COMPUTED_VALUE"""),"&gt; 44 tahun")</f>
        <v>&gt; 44 tahun</v>
      </c>
      <c r="K2391" s="21" t="str">
        <f>IFERROR(__xludf.DUMMYFUNCTION("""COMPUTED_VALUE"""),"18/08/1975")</f>
        <v>18/08/1975</v>
      </c>
      <c r="L2391" s="21" t="str">
        <f>IFERROR(__xludf.DUMMYFUNCTION("""COMPUTED_VALUE"""),"LAKI-LAKI")</f>
        <v>LAKI-LAKI</v>
      </c>
      <c r="M2391" s="35" t="str">
        <f>IFERROR(__xludf.DUMMYFUNCTION("""COMPUTED_VALUE"""),"JALAN KARYA BARU.GANG KARYA BARU.1 NO .29")</f>
        <v>JALAN KARYA BARU.GANG KARYA BARU.1 NO .29</v>
      </c>
      <c r="N2391" s="35" t="str">
        <f>IFERROR(__xludf.DUMMYFUNCTION("""COMPUTED_VALUE"""),"PARITOKAYA")</f>
        <v>PARITOKAYA</v>
      </c>
      <c r="O2391" s="35" t="str">
        <f>IFERROR(__xludf.DUMMYFUNCTION("""COMPUTED_VALUE"""),"PONTIANAK SELATAN")</f>
        <v>PONTIANAK SELATAN</v>
      </c>
      <c r="P2391" s="35" t="str">
        <f>IFERROR(__xludf.DUMMYFUNCTION("""COMPUTED_VALUE"""),"KOTA PONTIANAK")</f>
        <v>KOTA PONTIANAK</v>
      </c>
      <c r="Q2391" s="35" t="str">
        <f>IFERROR(__xludf.DUMMYFUNCTION("""COMPUTED_VALUE"""),"KALIMANTAN BARAT")</f>
        <v>KALIMANTAN BARAT</v>
      </c>
      <c r="R2391" s="21" t="str">
        <f>IFERROR(__xludf.DUMMYFUNCTION("""COMPUTED_VALUE"""),"ISLAM")</f>
        <v>ISLAM</v>
      </c>
      <c r="S2391" s="74" t="str">
        <f>IFERROR(__xludf.DUMMYFUNCTION("""COMPUTED_VALUE"""),"SWASTA")</f>
        <v>SWASTA</v>
      </c>
      <c r="T2391" s="35" t="str">
        <f>IFERROR(__xludf.DUMMYFUNCTION("""COMPUTED_VALUE"""),"PERGESERAN TULANG DI LUTUT SAMA BAGIAN BAHU")</f>
        <v>PERGESERAN TULANG DI LUTUT SAMA BAGIAN BAHU</v>
      </c>
      <c r="U2391" s="35" t="str">
        <f>IFERROR(__xludf.DUMMYFUNCTION("""COMPUTED_VALUE"""),"SEPAK BOLA")</f>
        <v>SEPAK BOLA</v>
      </c>
      <c r="V2391" s="37" t="str">
        <f>IFERROR(__xludf.DUMMYFUNCTION("""COMPUTED_VALUE"""),"081345744125")</f>
        <v>081345744125</v>
      </c>
      <c r="W2391" s="45"/>
    </row>
    <row r="2392">
      <c r="A2392" s="45"/>
      <c r="B2392" s="24" t="str">
        <f>IFERROR(__xludf.DUMMYFUNCTION("""COMPUTED_VALUE"""),"11/04/2025 17:04:13")</f>
        <v>11/04/2025 17:04:13</v>
      </c>
      <c r="C2392" s="35"/>
      <c r="D2392" s="10">
        <f>IFERROR(__xludf.DUMMYFUNCTION("""COMPUTED_VALUE"""),45784.0)</f>
        <v>45784</v>
      </c>
      <c r="E2392" s="35" t="str">
        <f>IFERROR(__xludf.DUMMYFUNCTION("""COMPUTED_VALUE"""),"05Mei")</f>
        <v>05Mei</v>
      </c>
      <c r="F2392" s="34" t="str">
        <f>IFERROR(__xludf.DUMMYFUNCTION("""COMPUTED_VALUE"""),"2025")</f>
        <v>2025</v>
      </c>
      <c r="G2392" s="35" t="str">
        <f>IFERROR(__xludf.DUMMYFUNCTION("""COMPUTED_VALUE"""),"HERDI SETIAWAN JAYA")</f>
        <v>HERDI SETIAWAN JAYA</v>
      </c>
      <c r="H2392" s="35" t="str">
        <f>IFERROR(__xludf.DUMMYFUNCTION("""COMPUTED_VALUE"""),"H9125059720")</f>
        <v>H9125059720</v>
      </c>
      <c r="I2392" s="35">
        <f>IFERROR(__xludf.DUMMYFUNCTION("""COMPUTED_VALUE"""),35.0)</f>
        <v>35</v>
      </c>
      <c r="J2392" s="35" t="str">
        <f>IFERROR(__xludf.DUMMYFUNCTION("""COMPUTED_VALUE"""),"35-44 tahun")</f>
        <v>35-44 tahun</v>
      </c>
      <c r="K2392" s="21" t="str">
        <f>IFERROR(__xludf.DUMMYFUNCTION("""COMPUTED_VALUE"""),"04/03/1991")</f>
        <v>04/03/1991</v>
      </c>
      <c r="L2392" s="21" t="str">
        <f>IFERROR(__xludf.DUMMYFUNCTION("""COMPUTED_VALUE"""),"LAKI-LAKI")</f>
        <v>LAKI-LAKI</v>
      </c>
      <c r="M2392" s="35" t="str">
        <f>IFERROR(__xludf.DUMMYFUNCTION("""COMPUTED_VALUE"""),"GG GOTONG ROYONG NO. 12")</f>
        <v>GG GOTONG ROYONG NO. 12</v>
      </c>
      <c r="N2392" s="35" t="str">
        <f>IFERROR(__xludf.DUMMYFUNCTION("""COMPUTED_VALUE"""),"SIANTAN TENGAH")</f>
        <v>SIANTAN TENGAH</v>
      </c>
      <c r="O2392" s="35" t="str">
        <f>IFERROR(__xludf.DUMMYFUNCTION("""COMPUTED_VALUE"""),"PONTIANAK SELATAN")</f>
        <v>PONTIANAK SELATAN</v>
      </c>
      <c r="P2392" s="35" t="str">
        <f>IFERROR(__xludf.DUMMYFUNCTION("""COMPUTED_VALUE"""),"PONTIANAK")</f>
        <v>PONTIANAK</v>
      </c>
      <c r="Q2392" s="35" t="str">
        <f>IFERROR(__xludf.DUMMYFUNCTION("""COMPUTED_VALUE"""),"KALIMANTAN BARAT")</f>
        <v>KALIMANTAN BARAT</v>
      </c>
      <c r="R2392" s="21" t="str">
        <f>IFERROR(__xludf.DUMMYFUNCTION("""COMPUTED_VALUE"""),"KATOLIK")</f>
        <v>KATOLIK</v>
      </c>
      <c r="S2392" s="74" t="str">
        <f>IFERROR(__xludf.DUMMYFUNCTION("""COMPUTED_VALUE"""),"KARYAWAN SWASTA")</f>
        <v>KARYAWAN SWASTA</v>
      </c>
      <c r="T2392" s="35" t="str">
        <f>IFERROR(__xludf.DUMMYFUNCTION("""COMPUTED_VALUE"""),"ANKLE DAN HEEL SAKIT")</f>
        <v>ANKLE DAN HEEL SAKIT</v>
      </c>
      <c r="U2392" s="35" t="str">
        <f>IFERROR(__xludf.DUMMYFUNCTION("""COMPUTED_VALUE"""),"HOBI LARI MARATHON")</f>
        <v>HOBI LARI MARATHON</v>
      </c>
      <c r="V2392" s="37" t="str">
        <f>IFERROR(__xludf.DUMMYFUNCTION("""COMPUTED_VALUE"""),"081310309720")</f>
        <v>081310309720</v>
      </c>
      <c r="W2392" s="45"/>
    </row>
    <row r="2393">
      <c r="A2393" s="45"/>
      <c r="B2393" s="24" t="str">
        <f>IFERROR(__xludf.DUMMYFUNCTION("""COMPUTED_VALUE"""),"14/04/2025 15:01:12")</f>
        <v>14/04/2025 15:01:12</v>
      </c>
      <c r="C2393" s="35"/>
      <c r="D2393" s="10">
        <f>IFERROR(__xludf.DUMMYFUNCTION("""COMPUTED_VALUE"""),45784.0)</f>
        <v>45784</v>
      </c>
      <c r="E2393" s="35" t="str">
        <f>IFERROR(__xludf.DUMMYFUNCTION("""COMPUTED_VALUE"""),"05Mei")</f>
        <v>05Mei</v>
      </c>
      <c r="F2393" s="34" t="str">
        <f>IFERROR(__xludf.DUMMYFUNCTION("""COMPUTED_VALUE"""),"2025")</f>
        <v>2025</v>
      </c>
      <c r="G2393" s="35" t="str">
        <f>IFERROR(__xludf.DUMMYFUNCTION("""COMPUTED_VALUE"""),"BENI BURHAN")</f>
        <v>BENI BURHAN</v>
      </c>
      <c r="H2393" s="35" t="str">
        <f>IFERROR(__xludf.DUMMYFUNCTION("""COMPUTED_VALUE"""),"B6225056543")</f>
        <v>B6225056543</v>
      </c>
      <c r="I2393" s="35">
        <f>IFERROR(__xludf.DUMMYFUNCTION("""COMPUTED_VALUE"""),64.0)</f>
        <v>64</v>
      </c>
      <c r="J2393" s="35" t="str">
        <f>IFERROR(__xludf.DUMMYFUNCTION("""COMPUTED_VALUE"""),"&gt; 44 tahun")</f>
        <v>&gt; 44 tahun</v>
      </c>
      <c r="K2393" s="21" t="str">
        <f>IFERROR(__xludf.DUMMYFUNCTION("""COMPUTED_VALUE"""),"02/02/1962")</f>
        <v>02/02/1962</v>
      </c>
      <c r="L2393" s="21" t="str">
        <f>IFERROR(__xludf.DUMMYFUNCTION("""COMPUTED_VALUE"""),"LAKI-LAKI")</f>
        <v>LAKI-LAKI</v>
      </c>
      <c r="M2393" s="35" t="str">
        <f>IFERROR(__xludf.DUMMYFUNCTION("""COMPUTED_VALUE"""),"JL SERDAM KOMP MITRA INDAH UTAMA 5 NO A 7 PONTIANAK TENGGARA")</f>
        <v>JL SERDAM KOMP MITRA INDAH UTAMA 5 NO A 7 PONTIANAK TENGGARA</v>
      </c>
      <c r="N2393" s="35" t="str">
        <f>IFERROR(__xludf.DUMMYFUNCTION("""COMPUTED_VALUE"""),"BANGKA BELITUNG")</f>
        <v>BANGKA BELITUNG</v>
      </c>
      <c r="O2393" s="35" t="str">
        <f>IFERROR(__xludf.DUMMYFUNCTION("""COMPUTED_VALUE"""),"PONTIANAK TENGGARA")</f>
        <v>PONTIANAK TENGGARA</v>
      </c>
      <c r="P2393" s="35" t="str">
        <f>IFERROR(__xludf.DUMMYFUNCTION("""COMPUTED_VALUE"""),"KOTA PONTIANAK")</f>
        <v>KOTA PONTIANAK</v>
      </c>
      <c r="Q2393" s="35" t="str">
        <f>IFERROR(__xludf.DUMMYFUNCTION("""COMPUTED_VALUE"""),"KALIMANTAN BARAT")</f>
        <v>KALIMANTAN BARAT</v>
      </c>
      <c r="R2393" s="21" t="str">
        <f>IFERROR(__xludf.DUMMYFUNCTION("""COMPUTED_VALUE"""),"PROTESTAN")</f>
        <v>PROTESTAN</v>
      </c>
      <c r="S2393" s="74" t="str">
        <f>IFERROR(__xludf.DUMMYFUNCTION("""COMPUTED_VALUE"""),"SWASTA")</f>
        <v>SWASTA</v>
      </c>
      <c r="T2393" s="35" t="str">
        <f>IFERROR(__xludf.DUMMYFUNCTION("""COMPUTED_VALUE"""),"STRUK RINGAN, SEMBAK DI TANGAN KANAN DAN PIPI KANAN, TANGAN KANAN BEKAS KESELEO")</f>
        <v>STRUK RINGAN, SEMBAK DI TANGAN KANAN DAN PIPI KANAN, TANGAN KANAN BEKAS KESELEO</v>
      </c>
      <c r="U2393" s="35" t="str">
        <f>IFERROR(__xludf.DUMMYFUNCTION("""COMPUTED_VALUE"""),"KERJA KTR")</f>
        <v>KERJA KTR</v>
      </c>
      <c r="V2393" s="37" t="str">
        <f>IFERROR(__xludf.DUMMYFUNCTION("""COMPUTED_VALUE"""),"082152446543")</f>
        <v>082152446543</v>
      </c>
      <c r="W2393" s="45"/>
    </row>
    <row r="2394">
      <c r="A2394" s="45"/>
      <c r="B2394" s="24" t="str">
        <f>IFERROR(__xludf.DUMMYFUNCTION("""COMPUTED_VALUE"""),"14/04/2025 15:59:59")</f>
        <v>14/04/2025 15:59:59</v>
      </c>
      <c r="C2394" s="35"/>
      <c r="D2394" s="10">
        <f>IFERROR(__xludf.DUMMYFUNCTION("""COMPUTED_VALUE"""),45785.0)</f>
        <v>45785</v>
      </c>
      <c r="E2394" s="35" t="str">
        <f>IFERROR(__xludf.DUMMYFUNCTION("""COMPUTED_VALUE"""),"05Mei")</f>
        <v>05Mei</v>
      </c>
      <c r="F2394" s="34" t="str">
        <f>IFERROR(__xludf.DUMMYFUNCTION("""COMPUTED_VALUE"""),"2025")</f>
        <v>2025</v>
      </c>
      <c r="G2394" s="35" t="str">
        <f>IFERROR(__xludf.DUMMYFUNCTION("""COMPUTED_VALUE"""),"ASRUL FEBRA")</f>
        <v>ASRUL FEBRA</v>
      </c>
      <c r="H2394" s="35" t="str">
        <f>IFERROR(__xludf.DUMMYFUNCTION("""COMPUTED_VALUE"""),"A7625059626")</f>
        <v>A7625059626</v>
      </c>
      <c r="I2394" s="35">
        <f>IFERROR(__xludf.DUMMYFUNCTION("""COMPUTED_VALUE"""),50.0)</f>
        <v>50</v>
      </c>
      <c r="J2394" s="35" t="str">
        <f>IFERROR(__xludf.DUMMYFUNCTION("""COMPUTED_VALUE"""),"&gt; 44 tahun")</f>
        <v>&gt; 44 tahun</v>
      </c>
      <c r="K2394" s="21" t="str">
        <f>IFERROR(__xludf.DUMMYFUNCTION("""COMPUTED_VALUE"""),"14/02/1976")</f>
        <v>14/02/1976</v>
      </c>
      <c r="L2394" s="21" t="str">
        <f>IFERROR(__xludf.DUMMYFUNCTION("""COMPUTED_VALUE"""),"LAKI-LAKI")</f>
        <v>LAKI-LAKI</v>
      </c>
      <c r="M2394" s="35" t="str">
        <f>IFERROR(__xludf.DUMMYFUNCTION("""COMPUTED_VALUE"""),"JL KESEHATAN GG SUMBER AGUNG III")</f>
        <v>JL KESEHATAN GG SUMBER AGUNG III</v>
      </c>
      <c r="N2394" s="35" t="str">
        <f>IFERROR(__xludf.DUMMYFUNCTION("""COMPUTED_VALUE"""),"KELURAHAN KOTA BARU")</f>
        <v>KELURAHAN KOTA BARU</v>
      </c>
      <c r="O2394" s="35" t="str">
        <f>IFERROR(__xludf.DUMMYFUNCTION("""COMPUTED_VALUE"""),"PONTIANAK SELATAN")</f>
        <v>PONTIANAK SELATAN</v>
      </c>
      <c r="P2394" s="35" t="str">
        <f>IFERROR(__xludf.DUMMYFUNCTION("""COMPUTED_VALUE"""),"PONTIANAK")</f>
        <v>PONTIANAK</v>
      </c>
      <c r="Q2394" s="35" t="str">
        <f>IFERROR(__xludf.DUMMYFUNCTION("""COMPUTED_VALUE"""),"KALIMANTAN BARAT")</f>
        <v>KALIMANTAN BARAT</v>
      </c>
      <c r="R2394" s="21" t="str">
        <f>IFERROR(__xludf.DUMMYFUNCTION("""COMPUTED_VALUE"""),"ISLAM")</f>
        <v>ISLAM</v>
      </c>
      <c r="S2394" s="74" t="str">
        <f>IFERROR(__xludf.DUMMYFUNCTION("""COMPUTED_VALUE"""),"WIRASWASTA")</f>
        <v>WIRASWASTA</v>
      </c>
      <c r="T2394" s="35" t="str">
        <f>IFERROR(__xludf.DUMMYFUNCTION("""COMPUTED_VALUE"""),"SAKIT PINGGANG")</f>
        <v>SAKIT PINGGANG</v>
      </c>
      <c r="U2394" s="35" t="str">
        <f>IFERROR(__xludf.DUMMYFUNCTION("""COMPUTED_VALUE"""),"PEKING BARANG")</f>
        <v>PEKING BARANG</v>
      </c>
      <c r="V2394" s="37" t="str">
        <f>IFERROR(__xludf.DUMMYFUNCTION("""COMPUTED_VALUE"""),"081332559626")</f>
        <v>081332559626</v>
      </c>
      <c r="W2394" s="45"/>
    </row>
    <row r="2395">
      <c r="A2395" s="45"/>
      <c r="B2395" s="24" t="str">
        <f>IFERROR(__xludf.DUMMYFUNCTION("""COMPUTED_VALUE"""),"14/04/2025 18:50:46")</f>
        <v>14/04/2025 18:50:46</v>
      </c>
      <c r="C2395" s="35"/>
      <c r="D2395" s="10">
        <f>IFERROR(__xludf.DUMMYFUNCTION("""COMPUTED_VALUE"""),45785.0)</f>
        <v>45785</v>
      </c>
      <c r="E2395" s="35" t="str">
        <f>IFERROR(__xludf.DUMMYFUNCTION("""COMPUTED_VALUE"""),"05Mei")</f>
        <v>05Mei</v>
      </c>
      <c r="F2395" s="34" t="str">
        <f>IFERROR(__xludf.DUMMYFUNCTION("""COMPUTED_VALUE"""),"2025")</f>
        <v>2025</v>
      </c>
      <c r="G2395" s="35" t="str">
        <f>IFERROR(__xludf.DUMMYFUNCTION("""COMPUTED_VALUE"""),"RIZQA KHAIRUNNISA")</f>
        <v>RIZQA KHAIRUNNISA</v>
      </c>
      <c r="H2395" s="35" t="str">
        <f>IFERROR(__xludf.DUMMYFUNCTION("""COMPUTED_VALUE"""),"R0025055284")</f>
        <v>R0025055284</v>
      </c>
      <c r="I2395" s="35">
        <f>IFERROR(__xludf.DUMMYFUNCTION("""COMPUTED_VALUE"""),26.0)</f>
        <v>26</v>
      </c>
      <c r="J2395" s="35" t="str">
        <f>IFERROR(__xludf.DUMMYFUNCTION("""COMPUTED_VALUE"""),"25-34 tahun")</f>
        <v>25-34 tahun</v>
      </c>
      <c r="K2395" s="21" t="str">
        <f>IFERROR(__xludf.DUMMYFUNCTION("""COMPUTED_VALUE"""),"24/04/2000")</f>
        <v>24/04/2000</v>
      </c>
      <c r="L2395" s="21" t="str">
        <f>IFERROR(__xludf.DUMMYFUNCTION("""COMPUTED_VALUE"""),"PEREMPUAN")</f>
        <v>PEREMPUAN</v>
      </c>
      <c r="M2395" s="35" t="str">
        <f>IFERROR(__xludf.DUMMYFUNCTION("""COMPUTED_VALUE"""),"JLN.NUSA INDAH NO 11")</f>
        <v>JLN.NUSA INDAH NO 11</v>
      </c>
      <c r="N2395" s="35" t="str">
        <f>IFERROR(__xludf.DUMMYFUNCTION("""COMPUTED_VALUE"""),"KELURAHAN TERUSAN")</f>
        <v>KELURAHAN TERUSAN</v>
      </c>
      <c r="O2395" s="35" t="str">
        <f>IFERROR(__xludf.DUMMYFUNCTION("""COMPUTED_VALUE"""),"KECAMATAN MEMPAWAH HILIR")</f>
        <v>KECAMATAN MEMPAWAH HILIR</v>
      </c>
      <c r="P2395" s="35" t="str">
        <f>IFERROR(__xludf.DUMMYFUNCTION("""COMPUTED_VALUE"""),"MEMPAWAH")</f>
        <v>MEMPAWAH</v>
      </c>
      <c r="Q2395" s="35" t="str">
        <f>IFERROR(__xludf.DUMMYFUNCTION("""COMPUTED_VALUE"""),"KALIMANTAN BARAT")</f>
        <v>KALIMANTAN BARAT</v>
      </c>
      <c r="R2395" s="21" t="str">
        <f>IFERROR(__xludf.DUMMYFUNCTION("""COMPUTED_VALUE"""),"ISLAM")</f>
        <v>ISLAM</v>
      </c>
      <c r="S2395" s="74" t="str">
        <f>IFERROR(__xludf.DUMMYFUNCTION("""COMPUTED_VALUE"""),"SWASFA")</f>
        <v>SWASFA</v>
      </c>
      <c r="T2395" s="35" t="str">
        <f>IFERROR(__xludf.DUMMYFUNCTION("""COMPUTED_VALUE"""),"ANGKLE KAKI DAN TULANG BELAKANG")</f>
        <v>ANGKLE KAKI DAN TULANG BELAKANG</v>
      </c>
      <c r="U2395" s="35" t="str">
        <f>IFERROR(__xludf.DUMMYFUNCTION("""COMPUTED_VALUE"""),"OLAHRAGA ( BOLA TANGAN DAN BADMINTON)")</f>
        <v>OLAHRAGA ( BOLA TANGAN DAN BADMINTON)</v>
      </c>
      <c r="V2395" s="37" t="str">
        <f>IFERROR(__xludf.DUMMYFUNCTION("""COMPUTED_VALUE"""),"082151455284")</f>
        <v>082151455284</v>
      </c>
      <c r="W2395" s="45"/>
    </row>
    <row r="2396">
      <c r="A2396" s="45"/>
      <c r="B2396" s="24" t="str">
        <f>IFERROR(__xludf.DUMMYFUNCTION("""COMPUTED_VALUE"""),"14/04/2025 19:26:12")</f>
        <v>14/04/2025 19:26:12</v>
      </c>
      <c r="C2396" s="35"/>
      <c r="D2396" s="10">
        <f>IFERROR(__xludf.DUMMYFUNCTION("""COMPUTED_VALUE"""),45785.0)</f>
        <v>45785</v>
      </c>
      <c r="E2396" s="35" t="str">
        <f>IFERROR(__xludf.DUMMYFUNCTION("""COMPUTED_VALUE"""),"05Mei")</f>
        <v>05Mei</v>
      </c>
      <c r="F2396" s="34" t="str">
        <f>IFERROR(__xludf.DUMMYFUNCTION("""COMPUTED_VALUE"""),"2025")</f>
        <v>2025</v>
      </c>
      <c r="G2396" s="35" t="str">
        <f>IFERROR(__xludf.DUMMYFUNCTION("""COMPUTED_VALUE"""),"PEBRI GIANTO")</f>
        <v>PEBRI GIANTO</v>
      </c>
      <c r="H2396" s="35" t="str">
        <f>IFERROR(__xludf.DUMMYFUNCTION("""COMPUTED_VALUE"""),"P9625052580")</f>
        <v>P9625052580</v>
      </c>
      <c r="I2396" s="35">
        <f>IFERROR(__xludf.DUMMYFUNCTION("""COMPUTED_VALUE"""),29.0)</f>
        <v>29</v>
      </c>
      <c r="J2396" s="35" t="str">
        <f>IFERROR(__xludf.DUMMYFUNCTION("""COMPUTED_VALUE"""),"25-34 tahun")</f>
        <v>25-34 tahun</v>
      </c>
      <c r="K2396" s="21" t="str">
        <f>IFERROR(__xludf.DUMMYFUNCTION("""COMPUTED_VALUE"""),"02/08/1996")</f>
        <v>02/08/1996</v>
      </c>
      <c r="L2396" s="21" t="str">
        <f>IFERROR(__xludf.DUMMYFUNCTION("""COMPUTED_VALUE"""),"LAKI-LAKI")</f>
        <v>LAKI-LAKI</v>
      </c>
      <c r="M2396" s="35" t="str">
        <f>IFERROR(__xludf.DUMMYFUNCTION("""COMPUTED_VALUE"""),"SARIJADI BLOK 18 NO 137")</f>
        <v>SARIJADI BLOK 18 NO 137</v>
      </c>
      <c r="N2396" s="35" t="str">
        <f>IFERROR(__xludf.DUMMYFUNCTION("""COMPUTED_VALUE"""),"SUKASARI")</f>
        <v>SUKASARI</v>
      </c>
      <c r="O2396" s="35" t="str">
        <f>IFERROR(__xludf.DUMMYFUNCTION("""COMPUTED_VALUE"""),"SARIJADI")</f>
        <v>SARIJADI</v>
      </c>
      <c r="P2396" s="35" t="str">
        <f>IFERROR(__xludf.DUMMYFUNCTION("""COMPUTED_VALUE"""),"BANDUNG")</f>
        <v>BANDUNG</v>
      </c>
      <c r="Q2396" s="35" t="str">
        <f>IFERROR(__xludf.DUMMYFUNCTION("""COMPUTED_VALUE"""),"JAWA BARAT")</f>
        <v>JAWA BARAT</v>
      </c>
      <c r="R2396" s="21" t="str">
        <f>IFERROR(__xludf.DUMMYFUNCTION("""COMPUTED_VALUE"""),"PROTESTAN")</f>
        <v>PROTESTAN</v>
      </c>
      <c r="S2396" s="74" t="str">
        <f>IFERROR(__xludf.DUMMYFUNCTION("""COMPUTED_VALUE"""),"BUMN")</f>
        <v>BUMN</v>
      </c>
      <c r="T2396" s="35" t="str">
        <f>IFERROR(__xludf.DUMMYFUNCTION("""COMPUTED_VALUE"""),"SAKIT PUNGGUNG")</f>
        <v>SAKIT PUNGGUNG</v>
      </c>
      <c r="U2396" s="35" t="str">
        <f>IFERROR(__xludf.DUMMYFUNCTION("""COMPUTED_VALUE"""),"NGANGKAT ANAK KECIL")</f>
        <v>NGANGKAT ANAK KECIL</v>
      </c>
      <c r="V2396" s="37" t="str">
        <f>IFERROR(__xludf.DUMMYFUNCTION("""COMPUTED_VALUE"""),"082170002580")</f>
        <v>082170002580</v>
      </c>
      <c r="W2396" s="45"/>
    </row>
    <row r="2397">
      <c r="A2397" s="45"/>
      <c r="B2397" s="24" t="str">
        <f>IFERROR(__xludf.DUMMYFUNCTION("""COMPUTED_VALUE"""),"15/04/2025 9:59:36")</f>
        <v>15/04/2025 9:59:36</v>
      </c>
      <c r="C2397" s="35"/>
      <c r="D2397" s="10">
        <f>IFERROR(__xludf.DUMMYFUNCTION("""COMPUTED_VALUE"""),45784.0)</f>
        <v>45784</v>
      </c>
      <c r="E2397" s="35" t="str">
        <f>IFERROR(__xludf.DUMMYFUNCTION("""COMPUTED_VALUE"""),"05Mei")</f>
        <v>05Mei</v>
      </c>
      <c r="F2397" s="34" t="str">
        <f>IFERROR(__xludf.DUMMYFUNCTION("""COMPUTED_VALUE"""),"2025")</f>
        <v>2025</v>
      </c>
      <c r="G2397" s="35" t="str">
        <f>IFERROR(__xludf.DUMMYFUNCTION("""COMPUTED_VALUE"""),"STEFANO")</f>
        <v>STEFANO</v>
      </c>
      <c r="H2397" s="35" t="str">
        <f>IFERROR(__xludf.DUMMYFUNCTION("""COMPUTED_VALUE"""),"S9025059890")</f>
        <v>S9025059890</v>
      </c>
      <c r="I2397" s="35">
        <f>IFERROR(__xludf.DUMMYFUNCTION("""COMPUTED_VALUE"""),35.0)</f>
        <v>35</v>
      </c>
      <c r="J2397" s="35" t="str">
        <f>IFERROR(__xludf.DUMMYFUNCTION("""COMPUTED_VALUE"""),"35-44 tahun")</f>
        <v>35-44 tahun</v>
      </c>
      <c r="K2397" s="21" t="str">
        <f>IFERROR(__xludf.DUMMYFUNCTION("""COMPUTED_VALUE"""),"18/09/1990")</f>
        <v>18/09/1990</v>
      </c>
      <c r="L2397" s="21" t="str">
        <f>IFERROR(__xludf.DUMMYFUNCTION("""COMPUTED_VALUE"""),"LAKI-LAKI")</f>
        <v>LAKI-LAKI</v>
      </c>
      <c r="M2397" s="35" t="str">
        <f>IFERROR(__xludf.DUMMYFUNCTION("""COMPUTED_VALUE"""),"GG USAHA MAJU NO B1")</f>
        <v>GG USAHA MAJU NO B1</v>
      </c>
      <c r="N2397" s="35" t="str">
        <f>IFERROR(__xludf.DUMMYFUNCTION("""COMPUTED_VALUE"""),"KOTA BARU")</f>
        <v>KOTA BARU</v>
      </c>
      <c r="O2397" s="35" t="str">
        <f>IFERROR(__xludf.DUMMYFUNCTION("""COMPUTED_VALUE"""),"PONTIANAK SELATAN")</f>
        <v>PONTIANAK SELATAN</v>
      </c>
      <c r="P2397" s="35" t="str">
        <f>IFERROR(__xludf.DUMMYFUNCTION("""COMPUTED_VALUE"""),"KOTA PONTIANAK")</f>
        <v>KOTA PONTIANAK</v>
      </c>
      <c r="Q2397" s="35" t="str">
        <f>IFERROR(__xludf.DUMMYFUNCTION("""COMPUTED_VALUE"""),"KALIMANTAN BARAT")</f>
        <v>KALIMANTAN BARAT</v>
      </c>
      <c r="R2397" s="21" t="str">
        <f>IFERROR(__xludf.DUMMYFUNCTION("""COMPUTED_VALUE"""),"KATOLIK")</f>
        <v>KATOLIK</v>
      </c>
      <c r="S2397" s="74" t="str">
        <f>IFERROR(__xludf.DUMMYFUNCTION("""COMPUTED_VALUE"""),"WIRASWASTA")</f>
        <v>WIRASWASTA</v>
      </c>
      <c r="T2397" s="35" t="str">
        <f>IFERROR(__xludf.DUMMYFUNCTION("""COMPUTED_VALUE"""),"-")</f>
        <v>-</v>
      </c>
      <c r="U2397" s="35" t="str">
        <f>IFERROR(__xludf.DUMMYFUNCTION("""COMPUTED_VALUE"""),"-")</f>
        <v>-</v>
      </c>
      <c r="V2397" s="37" t="str">
        <f>IFERROR(__xludf.DUMMYFUNCTION("""COMPUTED_VALUE"""),"08998089890")</f>
        <v>08998089890</v>
      </c>
      <c r="W2397" s="45"/>
    </row>
    <row r="2398">
      <c r="A2398" s="45"/>
      <c r="B2398" s="24" t="str">
        <f>IFERROR(__xludf.DUMMYFUNCTION("""COMPUTED_VALUE"""),"15/04/2025 12:12:52")</f>
        <v>15/04/2025 12:12:52</v>
      </c>
      <c r="C2398" s="35"/>
      <c r="D2398" s="10">
        <f>IFERROR(__xludf.DUMMYFUNCTION("""COMPUTED_VALUE"""),45784.0)</f>
        <v>45784</v>
      </c>
      <c r="E2398" s="35" t="str">
        <f>IFERROR(__xludf.DUMMYFUNCTION("""COMPUTED_VALUE"""),"05Mei")</f>
        <v>05Mei</v>
      </c>
      <c r="F2398" s="34" t="str">
        <f>IFERROR(__xludf.DUMMYFUNCTION("""COMPUTED_VALUE"""),"2025")</f>
        <v>2025</v>
      </c>
      <c r="G2398" s="35" t="str">
        <f>IFERROR(__xludf.DUMMYFUNCTION("""COMPUTED_VALUE"""),"FIDIA SOFIYANTI")</f>
        <v>FIDIA SOFIYANTI</v>
      </c>
      <c r="H2398" s="35" t="str">
        <f>IFERROR(__xludf.DUMMYFUNCTION("""COMPUTED_VALUE"""),"F7725050")</f>
        <v>F7725050</v>
      </c>
      <c r="I2398" s="35">
        <f>IFERROR(__xludf.DUMMYFUNCTION("""COMPUTED_VALUE"""),49.0)</f>
        <v>49</v>
      </c>
      <c r="J2398" s="35" t="str">
        <f>IFERROR(__xludf.DUMMYFUNCTION("""COMPUTED_VALUE"""),"&gt; 44 tahun")</f>
        <v>&gt; 44 tahun</v>
      </c>
      <c r="K2398" s="21" t="str">
        <f>IFERROR(__xludf.DUMMYFUNCTION("""COMPUTED_VALUE"""),"14/01/1977")</f>
        <v>14/01/1977</v>
      </c>
      <c r="L2398" s="21" t="str">
        <f>IFERROR(__xludf.DUMMYFUNCTION("""COMPUTED_VALUE"""),"PEREMPUAN")</f>
        <v>PEREMPUAN</v>
      </c>
      <c r="M2398" s="35" t="str">
        <f>IFERROR(__xludf.DUMMYFUNCTION("""COMPUTED_VALUE"""),"SINTANG")</f>
        <v>SINTANG</v>
      </c>
      <c r="N2398" s="35" t="str">
        <f>IFERROR(__xludf.DUMMYFUNCTION("""COMPUTED_VALUE"""),"SINTANG")</f>
        <v>SINTANG</v>
      </c>
      <c r="O2398" s="35" t="str">
        <f>IFERROR(__xludf.DUMMYFUNCTION("""COMPUTED_VALUE"""),"SINTANG")</f>
        <v>SINTANG</v>
      </c>
      <c r="P2398" s="35" t="str">
        <f>IFERROR(__xludf.DUMMYFUNCTION("""COMPUTED_VALUE"""),"KAB. SINTANG")</f>
        <v>KAB. SINTANG</v>
      </c>
      <c r="Q2398" s="35" t="str">
        <f>IFERROR(__xludf.DUMMYFUNCTION("""COMPUTED_VALUE"""),"KALIMANTAN BARAT")</f>
        <v>KALIMANTAN BARAT</v>
      </c>
      <c r="R2398" s="21" t="str">
        <f>IFERROR(__xludf.DUMMYFUNCTION("""COMPUTED_VALUE"""),"ISLAM")</f>
        <v>ISLAM</v>
      </c>
      <c r="S2398" s="74" t="str">
        <f>IFERROR(__xludf.DUMMYFUNCTION("""COMPUTED_VALUE"""),"PNS")</f>
        <v>PNS</v>
      </c>
      <c r="T2398" s="35" t="str">
        <f>IFERROR(__xludf.DUMMYFUNCTION("""COMPUTED_VALUE"""),"-")</f>
        <v>-</v>
      </c>
      <c r="U2398" s="35" t="str">
        <f>IFERROR(__xludf.DUMMYFUNCTION("""COMPUTED_VALUE"""),"-")</f>
        <v>-</v>
      </c>
      <c r="V2398" s="37" t="str">
        <f>IFERROR(__xludf.DUMMYFUNCTION("""COMPUTED_VALUE"""),"0")</f>
        <v>0</v>
      </c>
      <c r="W2398" s="45"/>
    </row>
    <row r="2399">
      <c r="A2399" s="45"/>
      <c r="B2399" s="24" t="str">
        <f>IFERROR(__xludf.DUMMYFUNCTION("""COMPUTED_VALUE"""),"15/04/2025 17:43:57")</f>
        <v>15/04/2025 17:43:57</v>
      </c>
      <c r="C2399" s="35"/>
      <c r="D2399" s="10">
        <f>IFERROR(__xludf.DUMMYFUNCTION("""COMPUTED_VALUE"""),45786.0)</f>
        <v>45786</v>
      </c>
      <c r="E2399" s="35" t="str">
        <f>IFERROR(__xludf.DUMMYFUNCTION("""COMPUTED_VALUE"""),"05Mei")</f>
        <v>05Mei</v>
      </c>
      <c r="F2399" s="34" t="str">
        <f>IFERROR(__xludf.DUMMYFUNCTION("""COMPUTED_VALUE"""),"2025")</f>
        <v>2025</v>
      </c>
      <c r="G2399" s="35" t="str">
        <f>IFERROR(__xludf.DUMMYFUNCTION("""COMPUTED_VALUE"""),"LENA6404")</f>
        <v>LENA6404</v>
      </c>
      <c r="H2399" s="35" t="str">
        <f>IFERROR(__xludf.DUMMYFUNCTION("""COMPUTED_VALUE"""),"L6425056487")</f>
        <v>L6425056487</v>
      </c>
      <c r="I2399" s="35">
        <f>IFERROR(__xludf.DUMMYFUNCTION("""COMPUTED_VALUE"""),62.0)</f>
        <v>62</v>
      </c>
      <c r="J2399" s="35" t="str">
        <f>IFERROR(__xludf.DUMMYFUNCTION("""COMPUTED_VALUE"""),"&gt; 44 tahun")</f>
        <v>&gt; 44 tahun</v>
      </c>
      <c r="K2399" s="21" t="str">
        <f>IFERROR(__xludf.DUMMYFUNCTION("""COMPUTED_VALUE"""),"16/04/1964")</f>
        <v>16/04/1964</v>
      </c>
      <c r="L2399" s="21" t="str">
        <f>IFERROR(__xludf.DUMMYFUNCTION("""COMPUTED_VALUE"""),"PEREMPUAN")</f>
        <v>PEREMPUAN</v>
      </c>
      <c r="M2399" s="35" t="str">
        <f>IFERROR(__xludf.DUMMYFUNCTION("""COMPUTED_VALUE"""),"JL KARET KOMP KARTIKA INDAH NO B5")</f>
        <v>JL KARET KOMP KARTIKA INDAH NO B5</v>
      </c>
      <c r="N2399" s="35" t="str">
        <f>IFERROR(__xludf.DUMMYFUNCTION("""COMPUTED_VALUE"""),"SUI BELIUNG")</f>
        <v>SUI BELIUNG</v>
      </c>
      <c r="O2399" s="35" t="str">
        <f>IFERROR(__xludf.DUMMYFUNCTION("""COMPUTED_VALUE"""),"PONTIANAK BARAT")</f>
        <v>PONTIANAK BARAT</v>
      </c>
      <c r="P2399" s="35" t="str">
        <f>IFERROR(__xludf.DUMMYFUNCTION("""COMPUTED_VALUE"""),"PONTIANAK")</f>
        <v>PONTIANAK</v>
      </c>
      <c r="Q2399" s="35" t="str">
        <f>IFERROR(__xludf.DUMMYFUNCTION("""COMPUTED_VALUE"""),"KALIMANTAN BARAT")</f>
        <v>KALIMANTAN BARAT</v>
      </c>
      <c r="R2399" s="21" t="str">
        <f>IFERROR(__xludf.DUMMYFUNCTION("""COMPUTED_VALUE"""),"PROTESTAN")</f>
        <v>PROTESTAN</v>
      </c>
      <c r="S2399" s="74" t="str">
        <f>IFERROR(__xludf.DUMMYFUNCTION("""COMPUTED_VALUE"""),"IBU RUMAH TANGGA")</f>
        <v>IBU RUMAH TANGGA</v>
      </c>
      <c r="T2399" s="35" t="str">
        <f>IFERROR(__xludf.DUMMYFUNCTION("""COMPUTED_VALUE"""),"JARI JEMPOL TANGAN TIDAK BISA DITEKUK")</f>
        <v>JARI JEMPOL TANGAN TIDAK BISA DITEKUK</v>
      </c>
      <c r="U2399" s="35" t="str">
        <f>IFERROR(__xludf.DUMMYFUNCTION("""COMPUTED_VALUE"""),"MASAK, MENCUCI")</f>
        <v>MASAK, MENCUCI</v>
      </c>
      <c r="V2399" s="37" t="str">
        <f>IFERROR(__xludf.DUMMYFUNCTION("""COMPUTED_VALUE"""),"081345496487")</f>
        <v>081345496487</v>
      </c>
      <c r="W2399" s="45"/>
    </row>
    <row r="2400">
      <c r="A2400" s="45"/>
      <c r="B2400" s="24" t="str">
        <f>IFERROR(__xludf.DUMMYFUNCTION("""COMPUTED_VALUE"""),"15/04/2025 17:04:29")</f>
        <v>15/04/2025 17:04:29</v>
      </c>
      <c r="C2400" s="35"/>
      <c r="D2400" s="10">
        <f>IFERROR(__xludf.DUMMYFUNCTION("""COMPUTED_VALUE"""),45786.0)</f>
        <v>45786</v>
      </c>
      <c r="E2400" s="35" t="str">
        <f>IFERROR(__xludf.DUMMYFUNCTION("""COMPUTED_VALUE"""),"05Mei")</f>
        <v>05Mei</v>
      </c>
      <c r="F2400" s="34" t="str">
        <f>IFERROR(__xludf.DUMMYFUNCTION("""COMPUTED_VALUE"""),"2025")</f>
        <v>2025</v>
      </c>
      <c r="G2400" s="35" t="str">
        <f>IFERROR(__xludf.DUMMYFUNCTION("""COMPUTED_VALUE"""),"ARIFIN 73")</f>
        <v>ARIFIN 73</v>
      </c>
      <c r="H2400" s="35" t="str">
        <f>IFERROR(__xludf.DUMMYFUNCTION("""COMPUTED_VALUE"""),"A7325053389")</f>
        <v>A7325053389</v>
      </c>
      <c r="I2400" s="35">
        <f>IFERROR(__xludf.DUMMYFUNCTION("""COMPUTED_VALUE"""),53.0)</f>
        <v>53</v>
      </c>
      <c r="J2400" s="35" t="str">
        <f>IFERROR(__xludf.DUMMYFUNCTION("""COMPUTED_VALUE"""),"&gt; 44 tahun")</f>
        <v>&gt; 44 tahun</v>
      </c>
      <c r="K2400" s="21">
        <f>IFERROR(__xludf.DUMMYFUNCTION("""COMPUTED_VALUE"""),26794.0)</f>
        <v>26794</v>
      </c>
      <c r="L2400" s="21" t="str">
        <f>IFERROR(__xludf.DUMMYFUNCTION("""COMPUTED_VALUE"""),"LAKI-LAKI")</f>
        <v>LAKI-LAKI</v>
      </c>
      <c r="M2400" s="35" t="str">
        <f>IFERROR(__xludf.DUMMYFUNCTION("""COMPUTED_VALUE"""),"JL M YAMIN NO 1")</f>
        <v>JL M YAMIN NO 1</v>
      </c>
      <c r="N2400" s="35" t="str">
        <f>IFERROR(__xludf.DUMMYFUNCTION("""COMPUTED_VALUE"""),"KOTA BARU")</f>
        <v>KOTA BARU</v>
      </c>
      <c r="O2400" s="35" t="str">
        <f>IFERROR(__xludf.DUMMYFUNCTION("""COMPUTED_VALUE"""),"PONTIANAK SELATAN")</f>
        <v>PONTIANAK SELATAN</v>
      </c>
      <c r="P2400" s="35" t="str">
        <f>IFERROR(__xludf.DUMMYFUNCTION("""COMPUTED_VALUE"""),"PONTIANAK")</f>
        <v>PONTIANAK</v>
      </c>
      <c r="Q2400" s="35" t="str">
        <f>IFERROR(__xludf.DUMMYFUNCTION("""COMPUTED_VALUE"""),"KAL-BAR")</f>
        <v>KAL-BAR</v>
      </c>
      <c r="R2400" s="21" t="str">
        <f>IFERROR(__xludf.DUMMYFUNCTION("""COMPUTED_VALUE"""),"BUDDHA")</f>
        <v>BUDDHA</v>
      </c>
      <c r="S2400" s="74" t="str">
        <f>IFERROR(__xludf.DUMMYFUNCTION("""COMPUTED_VALUE"""),"SWASTA")</f>
        <v>SWASTA</v>
      </c>
      <c r="T2400" s="35" t="str">
        <f>IFERROR(__xludf.DUMMYFUNCTION("""COMPUTED_VALUE"""),"NYERI PERNAH JATUH DARI MOTOR")</f>
        <v>NYERI PERNAH JATUH DARI MOTOR</v>
      </c>
      <c r="U2400" s="35" t="str">
        <f>IFERROR(__xludf.DUMMYFUNCTION("""COMPUTED_VALUE"""),"TIDAK ADA")</f>
        <v>TIDAK ADA</v>
      </c>
      <c r="V2400" s="37" t="str">
        <f>IFERROR(__xludf.DUMMYFUNCTION("""COMPUTED_VALUE"""),"081257783389")</f>
        <v>081257783389</v>
      </c>
      <c r="W2400" s="45"/>
    </row>
    <row r="2401">
      <c r="A2401" s="45"/>
      <c r="B2401" s="24" t="str">
        <f>IFERROR(__xludf.DUMMYFUNCTION("""COMPUTED_VALUE"""),"15/04/2025 19:28:11")</f>
        <v>15/04/2025 19:28:11</v>
      </c>
      <c r="C2401" s="35"/>
      <c r="D2401" s="10">
        <f>IFERROR(__xludf.DUMMYFUNCTION("""COMPUTED_VALUE"""),45031.0)</f>
        <v>45031</v>
      </c>
      <c r="E2401" s="35" t="str">
        <f>IFERROR(__xludf.DUMMYFUNCTION("""COMPUTED_VALUE"""),"04Apr")</f>
        <v>04Apr</v>
      </c>
      <c r="F2401" s="34" t="str">
        <f>IFERROR(__xludf.DUMMYFUNCTION("""COMPUTED_VALUE"""),"2023")</f>
        <v>2023</v>
      </c>
      <c r="G2401" s="35" t="str">
        <f>IFERROR(__xludf.DUMMYFUNCTION("""COMPUTED_VALUE"""),"FELICIA ANNABELLE")</f>
        <v>FELICIA ANNABELLE</v>
      </c>
      <c r="H2401" s="35" t="str">
        <f>IFERROR(__xludf.DUMMYFUNCTION("""COMPUTED_VALUE"""),"F1223043218")</f>
        <v>F1223043218</v>
      </c>
      <c r="I2401" s="35">
        <f>IFERROR(__xludf.DUMMYFUNCTION("""COMPUTED_VALUE"""),13.0)</f>
        <v>13</v>
      </c>
      <c r="J2401" s="35" t="str">
        <f>IFERROR(__xludf.DUMMYFUNCTION("""COMPUTED_VALUE"""),"&lt; 18 tahun")</f>
        <v>&lt; 18 tahun</v>
      </c>
      <c r="K2401" s="21">
        <f>IFERROR(__xludf.DUMMYFUNCTION("""COMPUTED_VALUE"""),41200.0)</f>
        <v>41200</v>
      </c>
      <c r="L2401" s="21" t="str">
        <f>IFERROR(__xludf.DUMMYFUNCTION("""COMPUTED_VALUE"""),"PEREMPUAN")</f>
        <v>PEREMPUAN</v>
      </c>
      <c r="M2401" s="35" t="str">
        <f>IFERROR(__xludf.DUMMYFUNCTION("""COMPUTED_VALUE"""),"JL SUPRAPTO 5 NO 9")</f>
        <v>JL SUPRAPTO 5 NO 9</v>
      </c>
      <c r="N2401" s="35" t="str">
        <f>IFERROR(__xludf.DUMMYFUNCTION("""COMPUTED_VALUE"""),"BENUA MELAYU DARAT")</f>
        <v>BENUA MELAYU DARAT</v>
      </c>
      <c r="O2401" s="35" t="str">
        <f>IFERROR(__xludf.DUMMYFUNCTION("""COMPUTED_VALUE"""),"PONTIANAK SELATAN")</f>
        <v>PONTIANAK SELATAN</v>
      </c>
      <c r="P2401" s="35" t="str">
        <f>IFERROR(__xludf.DUMMYFUNCTION("""COMPUTED_VALUE"""),"PONTIANAK")</f>
        <v>PONTIANAK</v>
      </c>
      <c r="Q2401" s="35" t="str">
        <f>IFERROR(__xludf.DUMMYFUNCTION("""COMPUTED_VALUE"""),"KALIMANTAN BARAT")</f>
        <v>KALIMANTAN BARAT</v>
      </c>
      <c r="R2401" s="21" t="str">
        <f>IFERROR(__xludf.DUMMYFUNCTION("""COMPUTED_VALUE"""),"KATOLIK")</f>
        <v>KATOLIK</v>
      </c>
      <c r="S2401" s="74" t="str">
        <f>IFERROR(__xludf.DUMMYFUNCTION("""COMPUTED_VALUE"""),"PELAJAR/MAHASISWA")</f>
        <v>PELAJAR/MAHASISWA</v>
      </c>
      <c r="T2401" s="35" t="str">
        <f>IFERROR(__xludf.DUMMYFUNCTION("""COMPUTED_VALUE"""),"KESELEO")</f>
        <v>KESELEO</v>
      </c>
      <c r="U2401" s="35" t="str">
        <f>IFERROR(__xludf.DUMMYFUNCTION("""COMPUTED_VALUE"""),"RENANG")</f>
        <v>RENANG</v>
      </c>
      <c r="V2401" s="37" t="str">
        <f>IFERROR(__xludf.DUMMYFUNCTION("""COMPUTED_VALUE"""),"081283283218")</f>
        <v>081283283218</v>
      </c>
      <c r="W2401" s="45"/>
    </row>
    <row r="2402">
      <c r="A2402" s="45"/>
      <c r="B2402" s="24" t="str">
        <f>IFERROR(__xludf.DUMMYFUNCTION("""COMPUTED_VALUE"""),"15/04/2025 19:55:37")</f>
        <v>15/04/2025 19:55:37</v>
      </c>
      <c r="C2402" s="35"/>
      <c r="D2402" s="10">
        <f>IFERROR(__xludf.DUMMYFUNCTION("""COMPUTED_VALUE"""),45787.0)</f>
        <v>45787</v>
      </c>
      <c r="E2402" s="35" t="str">
        <f>IFERROR(__xludf.DUMMYFUNCTION("""COMPUTED_VALUE"""),"05Mei")</f>
        <v>05Mei</v>
      </c>
      <c r="F2402" s="34" t="str">
        <f>IFERROR(__xludf.DUMMYFUNCTION("""COMPUTED_VALUE"""),"2025")</f>
        <v>2025</v>
      </c>
      <c r="G2402" s="35" t="str">
        <f>IFERROR(__xludf.DUMMYFUNCTION("""COMPUTED_VALUE"""),"MUHAMMAD ZAKI")</f>
        <v>MUHAMMAD ZAKI</v>
      </c>
      <c r="H2402" s="35" t="str">
        <f>IFERROR(__xludf.DUMMYFUNCTION("""COMPUTED_VALUE"""),"M0425056491")</f>
        <v>M0425056491</v>
      </c>
      <c r="I2402" s="35">
        <f>IFERROR(__xludf.DUMMYFUNCTION("""COMPUTED_VALUE"""),21.0)</f>
        <v>21</v>
      </c>
      <c r="J2402" s="35" t="str">
        <f>IFERROR(__xludf.DUMMYFUNCTION("""COMPUTED_VALUE"""),"18-24 tahun")</f>
        <v>18-24 tahun</v>
      </c>
      <c r="K2402" s="21" t="str">
        <f>IFERROR(__xludf.DUMMYFUNCTION("""COMPUTED_VALUE"""),"06/10/2004")</f>
        <v>06/10/2004</v>
      </c>
      <c r="L2402" s="21" t="str">
        <f>IFERROR(__xludf.DUMMYFUNCTION("""COMPUTED_VALUE"""),"LAKI-LAKI")</f>
        <v>LAKI-LAKI</v>
      </c>
      <c r="M2402" s="35" t="str">
        <f>IFERROR(__xludf.DUMMYFUNCTION("""COMPUTED_VALUE"""),"DUSUN JOKA MITRA")</f>
        <v>DUSUN JOKA MITRA</v>
      </c>
      <c r="N2402" s="35" t="str">
        <f>IFERROR(__xludf.DUMMYFUNCTION("""COMPUTED_VALUE"""),"JONGKONG KANAN")</f>
        <v>JONGKONG KANAN</v>
      </c>
      <c r="O2402" s="35" t="str">
        <f>IFERROR(__xludf.DUMMYFUNCTION("""COMPUTED_VALUE"""),"JONGKONG")</f>
        <v>JONGKONG</v>
      </c>
      <c r="P2402" s="35" t="str">
        <f>IFERROR(__xludf.DUMMYFUNCTION("""COMPUTED_VALUE"""),"KAPUAS HULU")</f>
        <v>KAPUAS HULU</v>
      </c>
      <c r="Q2402" s="35" t="str">
        <f>IFERROR(__xludf.DUMMYFUNCTION("""COMPUTED_VALUE"""),"KALIMANTAN BARAT")</f>
        <v>KALIMANTAN BARAT</v>
      </c>
      <c r="R2402" s="21" t="str">
        <f>IFERROR(__xludf.DUMMYFUNCTION("""COMPUTED_VALUE"""),"ISLAM")</f>
        <v>ISLAM</v>
      </c>
      <c r="S2402" s="74" t="str">
        <f>IFERROR(__xludf.DUMMYFUNCTION("""COMPUTED_VALUE"""),"PELAJAR/MAHASISWA")</f>
        <v>PELAJAR/MAHASISWA</v>
      </c>
      <c r="T2402" s="35" t="str">
        <f>IFERROR(__xludf.DUMMYFUNCTION("""COMPUTED_VALUE"""),"LUTUT")</f>
        <v>LUTUT</v>
      </c>
      <c r="U2402" s="35" t="str">
        <f>IFERROR(__xludf.DUMMYFUNCTION("""COMPUTED_VALUE"""),"SEPAK BOLA")</f>
        <v>SEPAK BOLA</v>
      </c>
      <c r="V2402" s="37" t="str">
        <f>IFERROR(__xludf.DUMMYFUNCTION("""COMPUTED_VALUE"""),"085650836491")</f>
        <v>085650836491</v>
      </c>
      <c r="W2402" s="45"/>
    </row>
    <row r="2403">
      <c r="A2403" s="45"/>
      <c r="B2403" s="24" t="str">
        <f>IFERROR(__xludf.DUMMYFUNCTION("""COMPUTED_VALUE"""),"15/04/2025 20:55:22")</f>
        <v>15/04/2025 20:55:22</v>
      </c>
      <c r="C2403" s="35"/>
      <c r="D2403" s="10">
        <f>IFERROR(__xludf.DUMMYFUNCTION("""COMPUTED_VALUE"""),45787.0)</f>
        <v>45787</v>
      </c>
      <c r="E2403" s="35" t="str">
        <f>IFERROR(__xludf.DUMMYFUNCTION("""COMPUTED_VALUE"""),"05Mei")</f>
        <v>05Mei</v>
      </c>
      <c r="F2403" s="34" t="str">
        <f>IFERROR(__xludf.DUMMYFUNCTION("""COMPUTED_VALUE"""),"2025")</f>
        <v>2025</v>
      </c>
      <c r="G2403" s="35" t="str">
        <f>IFERROR(__xludf.DUMMYFUNCTION("""COMPUTED_VALUE"""),"SALMAN")</f>
        <v>SALMAN</v>
      </c>
      <c r="H2403" s="35" t="str">
        <f>IFERROR(__xludf.DUMMYFUNCTION("""COMPUTED_VALUE"""),"S8925051746")</f>
        <v>S8925051746</v>
      </c>
      <c r="I2403" s="35">
        <f>IFERROR(__xludf.DUMMYFUNCTION("""COMPUTED_VALUE"""),36.0)</f>
        <v>36</v>
      </c>
      <c r="J2403" s="35" t="str">
        <f>IFERROR(__xludf.DUMMYFUNCTION("""COMPUTED_VALUE"""),"35-44 tahun")</f>
        <v>35-44 tahun</v>
      </c>
      <c r="K2403" s="21" t="str">
        <f>IFERROR(__xludf.DUMMYFUNCTION("""COMPUTED_VALUE"""),"09/12/1989")</f>
        <v>09/12/1989</v>
      </c>
      <c r="L2403" s="21" t="str">
        <f>IFERROR(__xludf.DUMMYFUNCTION("""COMPUTED_VALUE"""),"LAKI-LAKI")</f>
        <v>LAKI-LAKI</v>
      </c>
      <c r="M2403" s="35" t="str">
        <f>IFERROR(__xludf.DUMMYFUNCTION("""COMPUTED_VALUE"""),"KOMP. CITRA ARINI RESIDENCE 1 NO A31")</f>
        <v>KOMP. CITRA ARINI RESIDENCE 1 NO A31</v>
      </c>
      <c r="N2403" s="35" t="str">
        <f>IFERROR(__xludf.DUMMYFUNCTION("""COMPUTED_VALUE"""),"DESA MEKAR BARU")</f>
        <v>DESA MEKAR BARU</v>
      </c>
      <c r="O2403" s="35" t="str">
        <f>IFERROR(__xludf.DUMMYFUNCTION("""COMPUTED_VALUE"""),"SUNGAI RAYA")</f>
        <v>SUNGAI RAYA</v>
      </c>
      <c r="P2403" s="35" t="str">
        <f>IFERROR(__xludf.DUMMYFUNCTION("""COMPUTED_VALUE"""),"KUBURAYA")</f>
        <v>KUBURAYA</v>
      </c>
      <c r="Q2403" s="35" t="str">
        <f>IFERROR(__xludf.DUMMYFUNCTION("""COMPUTED_VALUE"""),"KALBAR")</f>
        <v>KALBAR</v>
      </c>
      <c r="R2403" s="21" t="str">
        <f>IFERROR(__xludf.DUMMYFUNCTION("""COMPUTED_VALUE"""),"ISLAM")</f>
        <v>ISLAM</v>
      </c>
      <c r="S2403" s="74" t="str">
        <f>IFERROR(__xludf.DUMMYFUNCTION("""COMPUTED_VALUE"""),"SWASTA")</f>
        <v>SWASTA</v>
      </c>
      <c r="T2403" s="35" t="str">
        <f>IFERROR(__xludf.DUMMYFUNCTION("""COMPUTED_VALUE"""),"CIDERA DI SAMPING LUTUT")</f>
        <v>CIDERA DI SAMPING LUTUT</v>
      </c>
      <c r="U2403" s="35" t="str">
        <f>IFERROR(__xludf.DUMMYFUNCTION("""COMPUTED_VALUE"""),"MINI SOCCER")</f>
        <v>MINI SOCCER</v>
      </c>
      <c r="V2403" s="37" t="str">
        <f>IFERROR(__xludf.DUMMYFUNCTION("""COMPUTED_VALUE"""),"085350461746")</f>
        <v>085350461746</v>
      </c>
      <c r="W2403" s="45"/>
    </row>
    <row r="2404">
      <c r="A2404" s="45"/>
      <c r="B2404" s="24" t="str">
        <f>IFERROR(__xludf.DUMMYFUNCTION("""COMPUTED_VALUE"""),"15/04/2025 20:55:22")</f>
        <v>15/04/2025 20:55:22</v>
      </c>
      <c r="C2404" s="35"/>
      <c r="D2404" s="10">
        <f>IFERROR(__xludf.DUMMYFUNCTION("""COMPUTED_VALUE"""),45788.0)</f>
        <v>45788</v>
      </c>
      <c r="E2404" s="35" t="str">
        <f>IFERROR(__xludf.DUMMYFUNCTION("""COMPUTED_VALUE"""),"05Mei")</f>
        <v>05Mei</v>
      </c>
      <c r="F2404" s="34" t="str">
        <f>IFERROR(__xludf.DUMMYFUNCTION("""COMPUTED_VALUE"""),"2025")</f>
        <v>2025</v>
      </c>
      <c r="G2404" s="35" t="str">
        <f>IFERROR(__xludf.DUMMYFUNCTION("""COMPUTED_VALUE"""),"ADITYA MULYO HERJUNO")</f>
        <v>ADITYA MULYO HERJUNO</v>
      </c>
      <c r="H2404" s="35" t="str">
        <f>IFERROR(__xludf.DUMMYFUNCTION("""COMPUTED_VALUE"""),"A0725056290")</f>
        <v>A0725056290</v>
      </c>
      <c r="I2404" s="35">
        <f>IFERROR(__xludf.DUMMYFUNCTION("""COMPUTED_VALUE"""),19.0)</f>
        <v>19</v>
      </c>
      <c r="J2404" s="35" t="str">
        <f>IFERROR(__xludf.DUMMYFUNCTION("""COMPUTED_VALUE"""),"18-24 tahun")</f>
        <v>18-24 tahun</v>
      </c>
      <c r="K2404" s="21" t="str">
        <f>IFERROR(__xludf.DUMMYFUNCTION("""COMPUTED_VALUE"""),"25/04/2007")</f>
        <v>25/04/2007</v>
      </c>
      <c r="L2404" s="21" t="str">
        <f>IFERROR(__xludf.DUMMYFUNCTION("""COMPUTED_VALUE"""),"LAKI-LAKI")</f>
        <v>LAKI-LAKI</v>
      </c>
      <c r="M2404" s="35" t="str">
        <f>IFERROR(__xludf.DUMMYFUNCTION("""COMPUTED_VALUE"""),"JALAN ADISUCIPTO GG WANARA SAKTI JALUR 2B")</f>
        <v>JALAN ADISUCIPTO GG WANARA SAKTI JALUR 2B</v>
      </c>
      <c r="N2404" s="35" t="str">
        <f>IFERROR(__xludf.DUMMYFUNCTION("""COMPUTED_VALUE"""),"ARANG LIMBUNG")</f>
        <v>ARANG LIMBUNG</v>
      </c>
      <c r="O2404" s="35" t="str">
        <f>IFERROR(__xludf.DUMMYFUNCTION("""COMPUTED_VALUE"""),"SUNGAI RAYA")</f>
        <v>SUNGAI RAYA</v>
      </c>
      <c r="P2404" s="35" t="str">
        <f>IFERROR(__xludf.DUMMYFUNCTION("""COMPUTED_VALUE"""),"KUBU RAYA")</f>
        <v>KUBU RAYA</v>
      </c>
      <c r="Q2404" s="35" t="str">
        <f>IFERROR(__xludf.DUMMYFUNCTION("""COMPUTED_VALUE"""),"KALIMANTAN BARAT")</f>
        <v>KALIMANTAN BARAT</v>
      </c>
      <c r="R2404" s="21" t="str">
        <f>IFERROR(__xludf.DUMMYFUNCTION("""COMPUTED_VALUE"""),"ISLAM")</f>
        <v>ISLAM</v>
      </c>
      <c r="S2404" s="74" t="str">
        <f>IFERROR(__xludf.DUMMYFUNCTION("""COMPUTED_VALUE"""),"BELUM BEKERJA")</f>
        <v>BELUM BEKERJA</v>
      </c>
      <c r="T2404" s="35" t="str">
        <f>IFERROR(__xludf.DUMMYFUNCTION("""COMPUTED_VALUE"""),"OKE BAIK KAK BEGINI, JADI KELUHAN SAYA INI ADA DI LUTUT SAMPING KANAN DIATAS TULANG KERING, NAH JADI PADA SAAT SAYA LARI ITU SERING NGE GANJEL KAK ATAU MENGANGGU AKTIFITAS LARI SAYA DAN PROGRAM LATIHAN SAYA")</f>
        <v>OKE BAIK KAK BEGINI, JADI KELUHAN SAYA INI ADA DI LUTUT SAMPING KANAN DIATAS TULANG KERING, NAH JADI PADA SAAT SAYA LARI ITU SERING NGE GANJEL KAK ATAU MENGANGGU AKTIFITAS LARI SAYA DAN PROGRAM LATIHAN SAYA</v>
      </c>
      <c r="U2404" s="35" t="str">
        <f>IFERROR(__xludf.DUMMYFUNCTION("""COMPUTED_VALUE"""),"LARI")</f>
        <v>LARI</v>
      </c>
      <c r="V2404" s="37" t="str">
        <f>IFERROR(__xludf.DUMMYFUNCTION("""COMPUTED_VALUE"""),"081522946290")</f>
        <v>081522946290</v>
      </c>
      <c r="W2404" s="45"/>
    </row>
    <row r="2405">
      <c r="A2405" s="45"/>
      <c r="B2405" s="24" t="str">
        <f>IFERROR(__xludf.DUMMYFUNCTION("""COMPUTED_VALUE"""),"16/04/2025 9:30:00")</f>
        <v>16/04/2025 9:30:00</v>
      </c>
      <c r="C2405" s="35"/>
      <c r="D2405" s="10">
        <f>IFERROR(__xludf.DUMMYFUNCTION("""COMPUTED_VALUE"""),45788.0)</f>
        <v>45788</v>
      </c>
      <c r="E2405" s="35" t="str">
        <f>IFERROR(__xludf.DUMMYFUNCTION("""COMPUTED_VALUE"""),"05Mei")</f>
        <v>05Mei</v>
      </c>
      <c r="F2405" s="34" t="str">
        <f>IFERROR(__xludf.DUMMYFUNCTION("""COMPUTED_VALUE"""),"2025")</f>
        <v>2025</v>
      </c>
      <c r="G2405" s="35" t="str">
        <f>IFERROR(__xludf.DUMMYFUNCTION("""COMPUTED_VALUE"""),"JOHANNES")</f>
        <v>JOHANNES</v>
      </c>
      <c r="H2405" s="35" t="str">
        <f>IFERROR(__xludf.DUMMYFUNCTION("""COMPUTED_VALUE"""),"J8225052187")</f>
        <v>J8225052187</v>
      </c>
      <c r="I2405" s="35">
        <f>IFERROR(__xludf.DUMMYFUNCTION("""COMPUTED_VALUE"""),43.0)</f>
        <v>43</v>
      </c>
      <c r="J2405" s="35" t="str">
        <f>IFERROR(__xludf.DUMMYFUNCTION("""COMPUTED_VALUE"""),"35-44 tahun")</f>
        <v>35-44 tahun</v>
      </c>
      <c r="K2405" s="21" t="str">
        <f>IFERROR(__xludf.DUMMYFUNCTION("""COMPUTED_VALUE"""),"19/12/1982")</f>
        <v>19/12/1982</v>
      </c>
      <c r="L2405" s="21" t="str">
        <f>IFERROR(__xludf.DUMMYFUNCTION("""COMPUTED_VALUE"""),"LAKI-LAKI")</f>
        <v>LAKI-LAKI</v>
      </c>
      <c r="M2405" s="35" t="str">
        <f>IFERROR(__xludf.DUMMYFUNCTION("""COMPUTED_VALUE"""),"JLN. KARYA BARU KOMPLEK PURI GARDEN C9")</f>
        <v>JLN. KARYA BARU KOMPLEK PURI GARDEN C9</v>
      </c>
      <c r="N2405" s="35" t="str">
        <f>IFERROR(__xludf.DUMMYFUNCTION("""COMPUTED_VALUE"""),"PARIT TOKAYA")</f>
        <v>PARIT TOKAYA</v>
      </c>
      <c r="O2405" s="35" t="str">
        <f>IFERROR(__xludf.DUMMYFUNCTION("""COMPUTED_VALUE"""),"PONTIANAK SELATAN")</f>
        <v>PONTIANAK SELATAN</v>
      </c>
      <c r="P2405" s="35" t="str">
        <f>IFERROR(__xludf.DUMMYFUNCTION("""COMPUTED_VALUE"""),"PONTIANAK")</f>
        <v>PONTIANAK</v>
      </c>
      <c r="Q2405" s="35" t="str">
        <f>IFERROR(__xludf.DUMMYFUNCTION("""COMPUTED_VALUE"""),"KALIMANTAN BARAT")</f>
        <v>KALIMANTAN BARAT</v>
      </c>
      <c r="R2405" s="21" t="str">
        <f>IFERROR(__xludf.DUMMYFUNCTION("""COMPUTED_VALUE"""),"KHONGHUCU")</f>
        <v>KHONGHUCU</v>
      </c>
      <c r="S2405" s="74" t="str">
        <f>IFERROR(__xludf.DUMMYFUNCTION("""COMPUTED_VALUE"""),"WIRASWASTA")</f>
        <v>WIRASWASTA</v>
      </c>
      <c r="T2405" s="35" t="str">
        <f>IFERROR(__xludf.DUMMYFUNCTION("""COMPUTED_VALUE"""),"URAT SELANGKANGAN KE TARIK WAKTU MAIN MINISOCCER")</f>
        <v>URAT SELANGKANGAN KE TARIK WAKTU MAIN MINISOCCER</v>
      </c>
      <c r="U2405" s="35" t="str">
        <f>IFERROR(__xludf.DUMMYFUNCTION("""COMPUTED_VALUE"""),"LARI")</f>
        <v>LARI</v>
      </c>
      <c r="V2405" s="37" t="str">
        <f>IFERROR(__xludf.DUMMYFUNCTION("""COMPUTED_VALUE"""),"081250392187")</f>
        <v>081250392187</v>
      </c>
      <c r="W2405" s="45"/>
    </row>
    <row r="2406">
      <c r="A2406" s="45"/>
      <c r="B2406" s="24" t="str">
        <f>IFERROR(__xludf.DUMMYFUNCTION("""COMPUTED_VALUE"""),"16/04/2025 9:42:33")</f>
        <v>16/04/2025 9:42:33</v>
      </c>
      <c r="C2406" s="35"/>
      <c r="D2406" s="10">
        <f>IFERROR(__xludf.DUMMYFUNCTION("""COMPUTED_VALUE"""),45790.0)</f>
        <v>45790</v>
      </c>
      <c r="E2406" s="35" t="str">
        <f>IFERROR(__xludf.DUMMYFUNCTION("""COMPUTED_VALUE"""),"05Mei")</f>
        <v>05Mei</v>
      </c>
      <c r="F2406" s="34" t="str">
        <f>IFERROR(__xludf.DUMMYFUNCTION("""COMPUTED_VALUE"""),"2025")</f>
        <v>2025</v>
      </c>
      <c r="G2406" s="35" t="str">
        <f>IFERROR(__xludf.DUMMYFUNCTION("""COMPUTED_VALUE"""),"ARIF NURHADI")</f>
        <v>ARIF NURHADI</v>
      </c>
      <c r="H2406" s="35" t="str">
        <f>IFERROR(__xludf.DUMMYFUNCTION("""COMPUTED_VALUE"""),"A8925059898")</f>
        <v>A8925059898</v>
      </c>
      <c r="I2406" s="35">
        <f>IFERROR(__xludf.DUMMYFUNCTION("""COMPUTED_VALUE"""),36.0)</f>
        <v>36</v>
      </c>
      <c r="J2406" s="35" t="str">
        <f>IFERROR(__xludf.DUMMYFUNCTION("""COMPUTED_VALUE"""),"35-44 tahun")</f>
        <v>35-44 tahun</v>
      </c>
      <c r="K2406" s="21" t="str">
        <f>IFERROR(__xludf.DUMMYFUNCTION("""COMPUTED_VALUE"""),"21/09/1989")</f>
        <v>21/09/1989</v>
      </c>
      <c r="L2406" s="21" t="str">
        <f>IFERROR(__xludf.DUMMYFUNCTION("""COMPUTED_VALUE"""),"LAKI-LAKI")</f>
        <v>LAKI-LAKI</v>
      </c>
      <c r="M2406" s="35" t="str">
        <f>IFERROR(__xludf.DUMMYFUNCTION("""COMPUTED_VALUE"""),"JLN SUKA MULIA KOMPLEK SEPAKAT MULIA NO 8")</f>
        <v>JLN SUKA MULIA KOMPLEK SEPAKAT MULIA NO 8</v>
      </c>
      <c r="N2406" s="35" t="str">
        <f>IFERROR(__xludf.DUMMYFUNCTION("""COMPUTED_VALUE"""),"SEI JAWI")</f>
        <v>SEI JAWI</v>
      </c>
      <c r="O2406" s="35" t="str">
        <f>IFERROR(__xludf.DUMMYFUNCTION("""COMPUTED_VALUE"""),"PONTIANAK KOTA")</f>
        <v>PONTIANAK KOTA</v>
      </c>
      <c r="P2406" s="35" t="str">
        <f>IFERROR(__xludf.DUMMYFUNCTION("""COMPUTED_VALUE"""),"PONTIANAK")</f>
        <v>PONTIANAK</v>
      </c>
      <c r="Q2406" s="35" t="str">
        <f>IFERROR(__xludf.DUMMYFUNCTION("""COMPUTED_VALUE"""),"KALIMANTAN BARAT")</f>
        <v>KALIMANTAN BARAT</v>
      </c>
      <c r="R2406" s="21" t="str">
        <f>IFERROR(__xludf.DUMMYFUNCTION("""COMPUTED_VALUE"""),"ISLAM")</f>
        <v>ISLAM</v>
      </c>
      <c r="S2406" s="74" t="str">
        <f>IFERROR(__xludf.DUMMYFUNCTION("""COMPUTED_VALUE"""),"BUMN")</f>
        <v>BUMN</v>
      </c>
      <c r="T2406" s="35" t="str">
        <f>IFERROR(__xludf.DUMMYFUNCTION("""COMPUTED_VALUE"""),"NYERI PADA TUMIT KAKI SEBELAH KIRI")</f>
        <v>NYERI PADA TUMIT KAKI SEBELAH KIRI</v>
      </c>
      <c r="U2406" s="35" t="str">
        <f>IFERROR(__xludf.DUMMYFUNCTION("""COMPUTED_VALUE"""),"RUNNING")</f>
        <v>RUNNING</v>
      </c>
      <c r="V2406" s="37" t="str">
        <f>IFERROR(__xludf.DUMMYFUNCTION("""COMPUTED_VALUE"""),"082152599898")</f>
        <v>082152599898</v>
      </c>
      <c r="W2406" s="45"/>
    </row>
    <row r="2407">
      <c r="A2407" s="45"/>
      <c r="B2407" s="24" t="str">
        <f>IFERROR(__xludf.DUMMYFUNCTION("""COMPUTED_VALUE"""),"16/04/2025 10:26:03")</f>
        <v>16/04/2025 10:26:03</v>
      </c>
      <c r="C2407" s="35"/>
      <c r="D2407" s="10">
        <f>IFERROR(__xludf.DUMMYFUNCTION("""COMPUTED_VALUE"""),45790.0)</f>
        <v>45790</v>
      </c>
      <c r="E2407" s="35" t="str">
        <f>IFERROR(__xludf.DUMMYFUNCTION("""COMPUTED_VALUE"""),"05Mei")</f>
        <v>05Mei</v>
      </c>
      <c r="F2407" s="34" t="str">
        <f>IFERROR(__xludf.DUMMYFUNCTION("""COMPUTED_VALUE"""),"2025")</f>
        <v>2025</v>
      </c>
      <c r="G2407" s="35" t="str">
        <f>IFERROR(__xludf.DUMMYFUNCTION("""COMPUTED_VALUE"""),"INDRI ISYANTI")</f>
        <v>INDRI ISYANTI</v>
      </c>
      <c r="H2407" s="35" t="str">
        <f>IFERROR(__xludf.DUMMYFUNCTION("""COMPUTED_VALUE"""),"I6525058028")</f>
        <v>I6525058028</v>
      </c>
      <c r="I2407" s="35">
        <f>IFERROR(__xludf.DUMMYFUNCTION("""COMPUTED_VALUE"""),61.0)</f>
        <v>61</v>
      </c>
      <c r="J2407" s="35" t="str">
        <f>IFERROR(__xludf.DUMMYFUNCTION("""COMPUTED_VALUE"""),"&gt; 44 tahun")</f>
        <v>&gt; 44 tahun</v>
      </c>
      <c r="K2407" s="21" t="str">
        <f>IFERROR(__xludf.DUMMYFUNCTION("""COMPUTED_VALUE"""),"16/04/1965")</f>
        <v>16/04/1965</v>
      </c>
      <c r="L2407" s="21" t="str">
        <f>IFERROR(__xludf.DUMMYFUNCTION("""COMPUTED_VALUE"""),"LAKI-LAKI")</f>
        <v>LAKI-LAKI</v>
      </c>
      <c r="M2407" s="35" t="str">
        <f>IFERROR(__xludf.DUMMYFUNCTION("""COMPUTED_VALUE"""),"JALAN KOM YOS SUDARSO, GG.MANGGA 2, NO.14 A")</f>
        <v>JALAN KOM YOS SUDARSO, GG.MANGGA 2, NO.14 A</v>
      </c>
      <c r="N2407" s="35" t="str">
        <f>IFERROR(__xludf.DUMMYFUNCTION("""COMPUTED_VALUE"""),"SUNGAI JAWI LUAR")</f>
        <v>SUNGAI JAWI LUAR</v>
      </c>
      <c r="O2407" s="35" t="str">
        <f>IFERROR(__xludf.DUMMYFUNCTION("""COMPUTED_VALUE"""),"PONTIANAK BARAT")</f>
        <v>PONTIANAK BARAT</v>
      </c>
      <c r="P2407" s="35" t="str">
        <f>IFERROR(__xludf.DUMMYFUNCTION("""COMPUTED_VALUE"""),"KOTA PONTIANAK")</f>
        <v>KOTA PONTIANAK</v>
      </c>
      <c r="Q2407" s="35" t="str">
        <f>IFERROR(__xludf.DUMMYFUNCTION("""COMPUTED_VALUE"""),"KALIMANTAN BARAT")</f>
        <v>KALIMANTAN BARAT</v>
      </c>
      <c r="R2407" s="21" t="str">
        <f>IFERROR(__xludf.DUMMYFUNCTION("""COMPUTED_VALUE"""),"ISLAM")</f>
        <v>ISLAM</v>
      </c>
      <c r="S2407" s="74" t="str">
        <f>IFERROR(__xludf.DUMMYFUNCTION("""COMPUTED_VALUE"""),"PENSIUNAN PNS")</f>
        <v>PENSIUNAN PNS</v>
      </c>
      <c r="T2407" s="35" t="str">
        <f>IFERROR(__xludf.DUMMYFUNCTION("""COMPUTED_VALUE"""),"SAKIT PINGGANG SAMPAI BETIS")</f>
        <v>SAKIT PINGGANG SAMPAI BETIS</v>
      </c>
      <c r="U2407" s="35" t="str">
        <f>IFERROR(__xludf.DUMMYFUNCTION("""COMPUTED_VALUE"""),"BERDIRI TERLALU LAMA, BERGERAK TERLALU BANYAK")</f>
        <v>BERDIRI TERLALU LAMA, BERGERAK TERLALU BANYAK</v>
      </c>
      <c r="V2407" s="37" t="str">
        <f>IFERROR(__xludf.DUMMYFUNCTION("""COMPUTED_VALUE"""),"081251968028")</f>
        <v>081251968028</v>
      </c>
      <c r="W2407" s="45"/>
    </row>
    <row r="2408">
      <c r="A2408" s="45"/>
      <c r="B2408" s="24" t="str">
        <f>IFERROR(__xludf.DUMMYFUNCTION("""COMPUTED_VALUE"""),"16/04/2025 12:48:20")</f>
        <v>16/04/2025 12:48:20</v>
      </c>
      <c r="C2408" s="35"/>
      <c r="D2408" s="10">
        <f>IFERROR(__xludf.DUMMYFUNCTION("""COMPUTED_VALUE"""),45790.0)</f>
        <v>45790</v>
      </c>
      <c r="E2408" s="35" t="str">
        <f>IFERROR(__xludf.DUMMYFUNCTION("""COMPUTED_VALUE"""),"05Mei")</f>
        <v>05Mei</v>
      </c>
      <c r="F2408" s="34" t="str">
        <f>IFERROR(__xludf.DUMMYFUNCTION("""COMPUTED_VALUE"""),"2025")</f>
        <v>2025</v>
      </c>
      <c r="G2408" s="35" t="str">
        <f>IFERROR(__xludf.DUMMYFUNCTION("""COMPUTED_VALUE"""),"MUHAMMAD SATRIA WIBOWO")</f>
        <v>MUHAMMAD SATRIA WIBOWO</v>
      </c>
      <c r="H2408" s="35" t="str">
        <f>IFERROR(__xludf.DUMMYFUNCTION("""COMPUTED_VALUE"""),"M9925058511")</f>
        <v>M9925058511</v>
      </c>
      <c r="I2408" s="35">
        <f>IFERROR(__xludf.DUMMYFUNCTION("""COMPUTED_VALUE"""),26.0)</f>
        <v>26</v>
      </c>
      <c r="J2408" s="35" t="str">
        <f>IFERROR(__xludf.DUMMYFUNCTION("""COMPUTED_VALUE"""),"25-34 tahun")</f>
        <v>25-34 tahun</v>
      </c>
      <c r="K2408" s="21" t="str">
        <f>IFERROR(__xludf.DUMMYFUNCTION("""COMPUTED_VALUE"""),"29/08/1999")</f>
        <v>29/08/1999</v>
      </c>
      <c r="L2408" s="21" t="str">
        <f>IFERROR(__xludf.DUMMYFUNCTION("""COMPUTED_VALUE"""),"LAKI-LAKI")</f>
        <v>LAKI-LAKI</v>
      </c>
      <c r="M2408" s="35" t="str">
        <f>IFERROR(__xludf.DUMMYFUNCTION("""COMPUTED_VALUE"""),"JL. KOMYOS SUDARSO GG. SUKAPADI DALAM NO 8")</f>
        <v>JL. KOMYOS SUDARSO GG. SUKAPADI DALAM NO 8</v>
      </c>
      <c r="N2408" s="35" t="str">
        <f>IFERROR(__xludf.DUMMYFUNCTION("""COMPUTED_VALUE"""),"SUNGAI JAWI LUAR")</f>
        <v>SUNGAI JAWI LUAR</v>
      </c>
      <c r="O2408" s="35" t="str">
        <f>IFERROR(__xludf.DUMMYFUNCTION("""COMPUTED_VALUE"""),"PONTIANAK BARAT")</f>
        <v>PONTIANAK BARAT</v>
      </c>
      <c r="P2408" s="35" t="str">
        <f>IFERROR(__xludf.DUMMYFUNCTION("""COMPUTED_VALUE"""),"PONTIANAK")</f>
        <v>PONTIANAK</v>
      </c>
      <c r="Q2408" s="35" t="str">
        <f>IFERROR(__xludf.DUMMYFUNCTION("""COMPUTED_VALUE"""),"KALIMANTAN BARAT")</f>
        <v>KALIMANTAN BARAT</v>
      </c>
      <c r="R2408" s="21" t="str">
        <f>IFERROR(__xludf.DUMMYFUNCTION("""COMPUTED_VALUE"""),"ISLAM")</f>
        <v>ISLAM</v>
      </c>
      <c r="S2408" s="74" t="str">
        <f>IFERROR(__xludf.DUMMYFUNCTION("""COMPUTED_VALUE"""),"KARYAWAN SWASTA")</f>
        <v>KARYAWAN SWASTA</v>
      </c>
      <c r="T2408" s="35" t="str">
        <f>IFERROR(__xludf.DUMMYFUNCTION("""COMPUTED_VALUE"""),"SAKIT DI BAGIAN PUNGGUNG BAWAH")</f>
        <v>SAKIT DI BAGIAN PUNGGUNG BAWAH</v>
      </c>
      <c r="U2408" s="35" t="str">
        <f>IFERROR(__xludf.DUMMYFUNCTION("""COMPUTED_VALUE"""),"-")</f>
        <v>-</v>
      </c>
      <c r="V2408" s="37" t="str">
        <f>IFERROR(__xludf.DUMMYFUNCTION("""COMPUTED_VALUE"""),"0895327118511")</f>
        <v>0895327118511</v>
      </c>
      <c r="W2408" s="45"/>
    </row>
    <row r="2409">
      <c r="A2409" s="45"/>
      <c r="B2409" s="24" t="str">
        <f>IFERROR(__xludf.DUMMYFUNCTION("""COMPUTED_VALUE"""),"25/04/2025 9:52:44")</f>
        <v>25/04/2025 9:52:44</v>
      </c>
      <c r="C2409" s="35"/>
      <c r="D2409" s="10">
        <f>IFERROR(__xludf.DUMMYFUNCTION("""COMPUTED_VALUE"""),45790.0)</f>
        <v>45790</v>
      </c>
      <c r="E2409" s="35" t="str">
        <f>IFERROR(__xludf.DUMMYFUNCTION("""COMPUTED_VALUE"""),"05Mei")</f>
        <v>05Mei</v>
      </c>
      <c r="F2409" s="34" t="str">
        <f>IFERROR(__xludf.DUMMYFUNCTION("""COMPUTED_VALUE"""),"2025")</f>
        <v>2025</v>
      </c>
      <c r="G2409" s="35" t="str">
        <f>IFERROR(__xludf.DUMMYFUNCTION("""COMPUTED_VALUE"""),"RAMA DINASTY")</f>
        <v>RAMA DINASTY</v>
      </c>
      <c r="H2409" s="35" t="str">
        <f>IFERROR(__xludf.DUMMYFUNCTION("""COMPUTED_VALUE"""),"R9825057737")</f>
        <v>R9825057737</v>
      </c>
      <c r="I2409" s="35">
        <f>IFERROR(__xludf.DUMMYFUNCTION("""COMPUTED_VALUE"""),28.0)</f>
        <v>28</v>
      </c>
      <c r="J2409" s="35" t="str">
        <f>IFERROR(__xludf.DUMMYFUNCTION("""COMPUTED_VALUE"""),"25-34 tahun")</f>
        <v>25-34 tahun</v>
      </c>
      <c r="K2409" s="21" t="str">
        <f>IFERROR(__xludf.DUMMYFUNCTION("""COMPUTED_VALUE"""),"26/03/1998")</f>
        <v>26/03/1998</v>
      </c>
      <c r="L2409" s="21" t="str">
        <f>IFERROR(__xludf.DUMMYFUNCTION("""COMPUTED_VALUE"""),"LAKI-LAKI")</f>
        <v>LAKI-LAKI</v>
      </c>
      <c r="M2409" s="35" t="str">
        <f>IFERROR(__xludf.DUMMYFUNCTION("""COMPUTED_VALUE"""),"RT 011 RW 004")</f>
        <v>RT 011 RW 004</v>
      </c>
      <c r="N2409" s="35" t="str">
        <f>IFERROR(__xludf.DUMMYFUNCTION("""COMPUTED_VALUE"""),"KUALA DUA")</f>
        <v>KUALA DUA</v>
      </c>
      <c r="O2409" s="35" t="str">
        <f>IFERROR(__xludf.DUMMYFUNCTION("""COMPUTED_VALUE"""),"SUNGAI RAYA")</f>
        <v>SUNGAI RAYA</v>
      </c>
      <c r="P2409" s="35" t="str">
        <f>IFERROR(__xludf.DUMMYFUNCTION("""COMPUTED_VALUE"""),"KUBU RAYA")</f>
        <v>KUBU RAYA</v>
      </c>
      <c r="Q2409" s="35" t="str">
        <f>IFERROR(__xludf.DUMMYFUNCTION("""COMPUTED_VALUE"""),"KALIMANTAN BARAT")</f>
        <v>KALIMANTAN BARAT</v>
      </c>
      <c r="R2409" s="21" t="str">
        <f>IFERROR(__xludf.DUMMYFUNCTION("""COMPUTED_VALUE"""),"ISLAM")</f>
        <v>ISLAM</v>
      </c>
      <c r="S2409" s="74" t="str">
        <f>IFERROR(__xludf.DUMMYFUNCTION("""COMPUTED_VALUE"""),"RRI")</f>
        <v>RRI</v>
      </c>
      <c r="T2409" s="35" t="str">
        <f>IFERROR(__xludf.DUMMYFUNCTION("""COMPUTED_VALUE"""),"SAKIT PADA LUTUT")</f>
        <v>SAKIT PADA LUTUT</v>
      </c>
      <c r="U2409" s="35" t="str">
        <f>IFERROR(__xludf.DUMMYFUNCTION("""COMPUTED_VALUE"""),"MAIN SEPAK BOLA")</f>
        <v>MAIN SEPAK BOLA</v>
      </c>
      <c r="V2409" s="37" t="str">
        <f>IFERROR(__xludf.DUMMYFUNCTION("""COMPUTED_VALUE"""),"085750707737")</f>
        <v>085750707737</v>
      </c>
      <c r="W2409" s="45"/>
    </row>
    <row r="2410">
      <c r="A2410" s="45"/>
      <c r="B2410" s="24" t="str">
        <f>IFERROR(__xludf.DUMMYFUNCTION("""COMPUTED_VALUE"""),"16/04/2025 13:46:50")</f>
        <v>16/04/2025 13:46:50</v>
      </c>
      <c r="C2410" s="35"/>
      <c r="D2410" s="10">
        <f>IFERROR(__xludf.DUMMYFUNCTION("""COMPUTED_VALUE"""),45790.0)</f>
        <v>45790</v>
      </c>
      <c r="E2410" s="35" t="str">
        <f>IFERROR(__xludf.DUMMYFUNCTION("""COMPUTED_VALUE"""),"05Mei")</f>
        <v>05Mei</v>
      </c>
      <c r="F2410" s="34" t="str">
        <f>IFERROR(__xludf.DUMMYFUNCTION("""COMPUTED_VALUE"""),"2025")</f>
        <v>2025</v>
      </c>
      <c r="G2410" s="35" t="str">
        <f>IFERROR(__xludf.DUMMYFUNCTION("""COMPUTED_VALUE"""),"ANTONIUS")</f>
        <v>ANTONIUS</v>
      </c>
      <c r="H2410" s="35" t="str">
        <f>IFERROR(__xludf.DUMMYFUNCTION("""COMPUTED_VALUE"""),"A7425057345")</f>
        <v>A7425057345</v>
      </c>
      <c r="I2410" s="35">
        <f>IFERROR(__xludf.DUMMYFUNCTION("""COMPUTED_VALUE"""),51.0)</f>
        <v>51</v>
      </c>
      <c r="J2410" s="35" t="str">
        <f>IFERROR(__xludf.DUMMYFUNCTION("""COMPUTED_VALUE"""),"&gt; 44 tahun")</f>
        <v>&gt; 44 tahun</v>
      </c>
      <c r="K2410" s="21" t="str">
        <f>IFERROR(__xludf.DUMMYFUNCTION("""COMPUTED_VALUE"""),"31/07/1974")</f>
        <v>31/07/1974</v>
      </c>
      <c r="L2410" s="21" t="str">
        <f>IFERROR(__xludf.DUMMYFUNCTION("""COMPUTED_VALUE"""),"LAKI-LAKI")</f>
        <v>LAKI-LAKI</v>
      </c>
      <c r="M2410" s="35" t="str">
        <f>IFERROR(__xludf.DUMMYFUNCTION("""COMPUTED_VALUE"""),"DUSUN SEBON")</f>
        <v>DUSUN SEBON</v>
      </c>
      <c r="N2410" s="35" t="str">
        <f>IFERROR(__xludf.DUMMYFUNCTION("""COMPUTED_VALUE"""),"DESA DAMAI")</f>
        <v>DESA DAMAI</v>
      </c>
      <c r="O2410" s="35" t="str">
        <f>IFERROR(__xludf.DUMMYFUNCTION("""COMPUTED_VALUE"""),"KACAMATAN PARINDU")</f>
        <v>KACAMATAN PARINDU</v>
      </c>
      <c r="P2410" s="35" t="str">
        <f>IFERROR(__xludf.DUMMYFUNCTION("""COMPUTED_VALUE"""),"-")</f>
        <v>-</v>
      </c>
      <c r="Q2410" s="35" t="str">
        <f>IFERROR(__xludf.DUMMYFUNCTION("""COMPUTED_VALUE"""),"KALIMANTAN BARAT")</f>
        <v>KALIMANTAN BARAT</v>
      </c>
      <c r="R2410" s="21" t="str">
        <f>IFERROR(__xludf.DUMMYFUNCTION("""COMPUTED_VALUE"""),"KATOLIK")</f>
        <v>KATOLIK</v>
      </c>
      <c r="S2410" s="74" t="str">
        <f>IFERROR(__xludf.DUMMYFUNCTION("""COMPUTED_VALUE"""),"SWASTA")</f>
        <v>SWASTA</v>
      </c>
      <c r="T2410" s="35" t="str">
        <f>IFERROR(__xludf.DUMMYFUNCTION("""COMPUTED_VALUE"""),"SYARAF KEJEPIT")</f>
        <v>SYARAF KEJEPIT</v>
      </c>
      <c r="U2410" s="35" t="str">
        <f>IFERROR(__xludf.DUMMYFUNCTION("""COMPUTED_VALUE"""),"-")</f>
        <v>-</v>
      </c>
      <c r="V2410" s="37" t="str">
        <f>IFERROR(__xludf.DUMMYFUNCTION("""COMPUTED_VALUE"""),"081256437345")</f>
        <v>081256437345</v>
      </c>
      <c r="W2410" s="45"/>
    </row>
    <row r="2411">
      <c r="A2411" s="45"/>
      <c r="B2411" s="24" t="str">
        <f>IFERROR(__xludf.DUMMYFUNCTION("""COMPUTED_VALUE"""),"17/04/2025 9:04:35")</f>
        <v>17/04/2025 9:04:35</v>
      </c>
      <c r="C2411" s="35"/>
      <c r="D2411" s="10">
        <f>IFERROR(__xludf.DUMMYFUNCTION("""COMPUTED_VALUE"""),45791.0)</f>
        <v>45791</v>
      </c>
      <c r="E2411" s="35" t="str">
        <f>IFERROR(__xludf.DUMMYFUNCTION("""COMPUTED_VALUE"""),"05Mei")</f>
        <v>05Mei</v>
      </c>
      <c r="F2411" s="34" t="str">
        <f>IFERROR(__xludf.DUMMYFUNCTION("""COMPUTED_VALUE"""),"2025")</f>
        <v>2025</v>
      </c>
      <c r="G2411" s="35" t="str">
        <f>IFERROR(__xludf.DUMMYFUNCTION("""COMPUTED_VALUE"""),"TJHIN FA KHIONG")</f>
        <v>TJHIN FA KHIONG</v>
      </c>
      <c r="H2411" s="35" t="str">
        <f>IFERROR(__xludf.DUMMYFUNCTION("""COMPUTED_VALUE"""),"T5425058686")</f>
        <v>T5425058686</v>
      </c>
      <c r="I2411" s="35">
        <f>IFERROR(__xludf.DUMMYFUNCTION("""COMPUTED_VALUE"""),71.0)</f>
        <v>71</v>
      </c>
      <c r="J2411" s="35" t="str">
        <f>IFERROR(__xludf.DUMMYFUNCTION("""COMPUTED_VALUE"""),"&gt; 44 tahun")</f>
        <v>&gt; 44 tahun</v>
      </c>
      <c r="K2411" s="21" t="str">
        <f>IFERROR(__xludf.DUMMYFUNCTION("""COMPUTED_VALUE"""),"12/08/1954")</f>
        <v>12/08/1954</v>
      </c>
      <c r="L2411" s="21" t="str">
        <f>IFERROR(__xludf.DUMMYFUNCTION("""COMPUTED_VALUE"""),"LAKI-LAKI")</f>
        <v>LAKI-LAKI</v>
      </c>
      <c r="M2411" s="35" t="str">
        <f>IFERROR(__xludf.DUMMYFUNCTION("""COMPUTED_VALUE"""),"PEMANGKAT")</f>
        <v>PEMANGKAT</v>
      </c>
      <c r="N2411" s="35" t="str">
        <f>IFERROR(__xludf.DUMMYFUNCTION("""COMPUTED_VALUE"""),"SAMBAS")</f>
        <v>SAMBAS</v>
      </c>
      <c r="O2411" s="35" t="str">
        <f>IFERROR(__xludf.DUMMYFUNCTION("""COMPUTED_VALUE"""),"SAMBAS")</f>
        <v>SAMBAS</v>
      </c>
      <c r="P2411" s="35" t="str">
        <f>IFERROR(__xludf.DUMMYFUNCTION("""COMPUTED_VALUE"""),"KAB. SAMBAS")</f>
        <v>KAB. SAMBAS</v>
      </c>
      <c r="Q2411" s="35" t="str">
        <f>IFERROR(__xludf.DUMMYFUNCTION("""COMPUTED_VALUE"""),"KALIMANTAN BARAT")</f>
        <v>KALIMANTAN BARAT</v>
      </c>
      <c r="R2411" s="21" t="str">
        <f>IFERROR(__xludf.DUMMYFUNCTION("""COMPUTED_VALUE"""),"KHONGHUCU")</f>
        <v>KHONGHUCU</v>
      </c>
      <c r="S2411" s="74" t="str">
        <f>IFERROR(__xludf.DUMMYFUNCTION("""COMPUTED_VALUE"""),"SWASTA")</f>
        <v>SWASTA</v>
      </c>
      <c r="T2411" s="35" t="str">
        <f>IFERROR(__xludf.DUMMYFUNCTION("""COMPUTED_VALUE"""),"BADAN KAKU, KAKI SAKIT")</f>
        <v>BADAN KAKU, KAKI SAKIT</v>
      </c>
      <c r="U2411" s="35" t="str">
        <f>IFERROR(__xludf.DUMMYFUNCTION("""COMPUTED_VALUE"""),"-")</f>
        <v>-</v>
      </c>
      <c r="V2411" s="37" t="str">
        <f>IFERROR(__xludf.DUMMYFUNCTION("""COMPUTED_VALUE"""),"081213528686")</f>
        <v>081213528686</v>
      </c>
      <c r="W2411" s="45"/>
    </row>
    <row r="2412">
      <c r="A2412" s="45"/>
      <c r="B2412" s="24" t="str">
        <f>IFERROR(__xludf.DUMMYFUNCTION("""COMPUTED_VALUE"""),"17/04/2025 11:21:51")</f>
        <v>17/04/2025 11:21:51</v>
      </c>
      <c r="C2412" s="35"/>
      <c r="D2412" s="10">
        <f>IFERROR(__xludf.DUMMYFUNCTION("""COMPUTED_VALUE"""),45791.0)</f>
        <v>45791</v>
      </c>
      <c r="E2412" s="35" t="str">
        <f>IFERROR(__xludf.DUMMYFUNCTION("""COMPUTED_VALUE"""),"05Mei")</f>
        <v>05Mei</v>
      </c>
      <c r="F2412" s="34" t="str">
        <f>IFERROR(__xludf.DUMMYFUNCTION("""COMPUTED_VALUE"""),"2025")</f>
        <v>2025</v>
      </c>
      <c r="G2412" s="35" t="str">
        <f>IFERROR(__xludf.DUMMYFUNCTION("""COMPUTED_VALUE"""),"JO GEK TJU")</f>
        <v>JO GEK TJU</v>
      </c>
      <c r="H2412" s="35" t="str">
        <f>IFERROR(__xludf.DUMMYFUNCTION("""COMPUTED_VALUE"""),"J6125058686")</f>
        <v>J6125058686</v>
      </c>
      <c r="I2412" s="35">
        <f>IFERROR(__xludf.DUMMYFUNCTION("""COMPUTED_VALUE"""),64.0)</f>
        <v>64</v>
      </c>
      <c r="J2412" s="35" t="str">
        <f>IFERROR(__xludf.DUMMYFUNCTION("""COMPUTED_VALUE"""),"&gt; 44 tahun")</f>
        <v>&gt; 44 tahun</v>
      </c>
      <c r="K2412" s="21" t="str">
        <f>IFERROR(__xludf.DUMMYFUNCTION("""COMPUTED_VALUE"""),"12/08/1961")</f>
        <v>12/08/1961</v>
      </c>
      <c r="L2412" s="21" t="str">
        <f>IFERROR(__xludf.DUMMYFUNCTION("""COMPUTED_VALUE"""),"PEREMPUAN")</f>
        <v>PEREMPUAN</v>
      </c>
      <c r="M2412" s="35" t="str">
        <f>IFERROR(__xludf.DUMMYFUNCTION("""COMPUTED_VALUE"""),"PEMANGKAT")</f>
        <v>PEMANGKAT</v>
      </c>
      <c r="N2412" s="35" t="str">
        <f>IFERROR(__xludf.DUMMYFUNCTION("""COMPUTED_VALUE"""),"SAMBAS")</f>
        <v>SAMBAS</v>
      </c>
      <c r="O2412" s="35" t="str">
        <f>IFERROR(__xludf.DUMMYFUNCTION("""COMPUTED_VALUE"""),"SAMBAS")</f>
        <v>SAMBAS</v>
      </c>
      <c r="P2412" s="35" t="str">
        <f>IFERROR(__xludf.DUMMYFUNCTION("""COMPUTED_VALUE"""),"KAB. SAMBAS")</f>
        <v>KAB. SAMBAS</v>
      </c>
      <c r="Q2412" s="35" t="str">
        <f>IFERROR(__xludf.DUMMYFUNCTION("""COMPUTED_VALUE"""),"KALIMANTAN BARAT")</f>
        <v>KALIMANTAN BARAT</v>
      </c>
      <c r="R2412" s="21" t="str">
        <f>IFERROR(__xludf.DUMMYFUNCTION("""COMPUTED_VALUE"""),"KHONGHUCU")</f>
        <v>KHONGHUCU</v>
      </c>
      <c r="S2412" s="74" t="str">
        <f>IFERROR(__xludf.DUMMYFUNCTION("""COMPUTED_VALUE"""),"IRT")</f>
        <v>IRT</v>
      </c>
      <c r="T2412" s="35" t="str">
        <f>IFERROR(__xludf.DUMMYFUNCTION("""COMPUTED_VALUE"""),"KAKI")</f>
        <v>KAKI</v>
      </c>
      <c r="U2412" s="35" t="str">
        <f>IFERROR(__xludf.DUMMYFUNCTION("""COMPUTED_VALUE"""),"-")</f>
        <v>-</v>
      </c>
      <c r="V2412" s="37" t="str">
        <f>IFERROR(__xludf.DUMMYFUNCTION("""COMPUTED_VALUE"""),"081213528686")</f>
        <v>081213528686</v>
      </c>
      <c r="W2412" s="45"/>
    </row>
    <row r="2413">
      <c r="A2413" s="45"/>
      <c r="B2413" s="24" t="str">
        <f>IFERROR(__xludf.DUMMYFUNCTION("""COMPUTED_VALUE"""),"19/04/2025 11:36:28")</f>
        <v>19/04/2025 11:36:28</v>
      </c>
      <c r="C2413" s="35"/>
      <c r="D2413" s="10">
        <f>IFERROR(__xludf.DUMMYFUNCTION("""COMPUTED_VALUE"""),45792.0)</f>
        <v>45792</v>
      </c>
      <c r="E2413" s="35" t="str">
        <f>IFERROR(__xludf.DUMMYFUNCTION("""COMPUTED_VALUE"""),"05Mei")</f>
        <v>05Mei</v>
      </c>
      <c r="F2413" s="34" t="str">
        <f>IFERROR(__xludf.DUMMYFUNCTION("""COMPUTED_VALUE"""),"2025")</f>
        <v>2025</v>
      </c>
      <c r="G2413" s="35" t="str">
        <f>IFERROR(__xludf.DUMMYFUNCTION("""COMPUTED_VALUE"""),"MARDIANASARI")</f>
        <v>MARDIANASARI</v>
      </c>
      <c r="H2413" s="35" t="str">
        <f>IFERROR(__xludf.DUMMYFUNCTION("""COMPUTED_VALUE"""),"M7225050046")</f>
        <v>M7225050046</v>
      </c>
      <c r="I2413" s="35">
        <f>IFERROR(__xludf.DUMMYFUNCTION("""COMPUTED_VALUE"""),54.0)</f>
        <v>54</v>
      </c>
      <c r="J2413" s="35" t="str">
        <f>IFERROR(__xludf.DUMMYFUNCTION("""COMPUTED_VALUE"""),"&gt; 44 tahun")</f>
        <v>&gt; 44 tahun</v>
      </c>
      <c r="K2413" s="21">
        <f>IFERROR(__xludf.DUMMYFUNCTION("""COMPUTED_VALUE"""),26368.0)</f>
        <v>26368</v>
      </c>
      <c r="L2413" s="21" t="str">
        <f>IFERROR(__xludf.DUMMYFUNCTION("""COMPUTED_VALUE"""),"PEREMPUAN")</f>
        <v>PEREMPUAN</v>
      </c>
      <c r="M2413" s="35" t="str">
        <f>IFERROR(__xludf.DUMMYFUNCTION("""COMPUTED_VALUE"""),"KOMPLEK MITRA RAYA LESTARI 5 NO. B 11 PONTIANAK")</f>
        <v>KOMPLEK MITRA RAYA LESTARI 5 NO. B 11 PONTIANAK</v>
      </c>
      <c r="N2413" s="35" t="str">
        <f>IFERROR(__xludf.DUMMYFUNCTION("""COMPUTED_VALUE"""),"SEI JAWI")</f>
        <v>SEI JAWI</v>
      </c>
      <c r="O2413" s="35" t="str">
        <f>IFERROR(__xludf.DUMMYFUNCTION("""COMPUTED_VALUE"""),"PONTIANAK KOTA")</f>
        <v>PONTIANAK KOTA</v>
      </c>
      <c r="P2413" s="35" t="str">
        <f>IFERROR(__xludf.DUMMYFUNCTION("""COMPUTED_VALUE"""),"PONTIANAK")</f>
        <v>PONTIANAK</v>
      </c>
      <c r="Q2413" s="35" t="str">
        <f>IFERROR(__xludf.DUMMYFUNCTION("""COMPUTED_VALUE"""),"KALIMANTAN BARAT")</f>
        <v>KALIMANTAN BARAT</v>
      </c>
      <c r="R2413" s="21" t="str">
        <f>IFERROR(__xludf.DUMMYFUNCTION("""COMPUTED_VALUE"""),"ISLAM")</f>
        <v>ISLAM</v>
      </c>
      <c r="S2413" s="74" t="str">
        <f>IFERROR(__xludf.DUMMYFUNCTION("""COMPUTED_VALUE"""),"BUMN")</f>
        <v>BUMN</v>
      </c>
      <c r="T2413" s="35" t="str">
        <f>IFERROR(__xludf.DUMMYFUNCTION("""COMPUTED_VALUE"""),"SAKIT AREA TUMIT")</f>
        <v>SAKIT AREA TUMIT</v>
      </c>
      <c r="U2413" s="35" t="str">
        <f>IFERROR(__xludf.DUMMYFUNCTION("""COMPUTED_VALUE"""),"-")</f>
        <v>-</v>
      </c>
      <c r="V2413" s="37" t="str">
        <f>IFERROR(__xludf.DUMMYFUNCTION("""COMPUTED_VALUE"""),"082299990046")</f>
        <v>082299990046</v>
      </c>
      <c r="W2413" s="45"/>
    </row>
    <row r="2414">
      <c r="A2414" s="45"/>
      <c r="B2414" s="24" t="str">
        <f>IFERROR(__xludf.DUMMYFUNCTION("""COMPUTED_VALUE"""),"19/04/2025 11:22:19")</f>
        <v>19/04/2025 11:22:19</v>
      </c>
      <c r="C2414" s="35"/>
      <c r="D2414" s="10">
        <f>IFERROR(__xludf.DUMMYFUNCTION("""COMPUTED_VALUE"""),45792.0)</f>
        <v>45792</v>
      </c>
      <c r="E2414" s="35" t="str">
        <f>IFERROR(__xludf.DUMMYFUNCTION("""COMPUTED_VALUE"""),"05Mei")</f>
        <v>05Mei</v>
      </c>
      <c r="F2414" s="34" t="str">
        <f>IFERROR(__xludf.DUMMYFUNCTION("""COMPUTED_VALUE"""),"2025")</f>
        <v>2025</v>
      </c>
      <c r="G2414" s="35" t="str">
        <f>IFERROR(__xludf.DUMMYFUNCTION("""COMPUTED_VALUE"""),"ABDUL MALIK")</f>
        <v>ABDUL MALIK</v>
      </c>
      <c r="H2414" s="35" t="str">
        <f>IFERROR(__xludf.DUMMYFUNCTION("""COMPUTED_VALUE"""),"A8625057258")</f>
        <v>A8625057258</v>
      </c>
      <c r="I2414" s="35">
        <f>IFERROR(__xludf.DUMMYFUNCTION("""COMPUTED_VALUE"""),39.0)</f>
        <v>39</v>
      </c>
      <c r="J2414" s="35" t="str">
        <f>IFERROR(__xludf.DUMMYFUNCTION("""COMPUTED_VALUE"""),"35-44 tahun")</f>
        <v>35-44 tahun</v>
      </c>
      <c r="K2414" s="21" t="str">
        <f>IFERROR(__xludf.DUMMYFUNCTION("""COMPUTED_VALUE"""),"25/06/1986")</f>
        <v>25/06/1986</v>
      </c>
      <c r="L2414" s="21" t="str">
        <f>IFERROR(__xludf.DUMMYFUNCTION("""COMPUTED_VALUE"""),"LAKI-LAKI")</f>
        <v>LAKI-LAKI</v>
      </c>
      <c r="M2414" s="35" t="str">
        <f>IFERROR(__xludf.DUMMYFUNCTION("""COMPUTED_VALUE"""),"JL. DIPONEGORO RT. 003/004")</f>
        <v>JL. DIPONEGORO RT. 003/004</v>
      </c>
      <c r="N2414" s="35" t="str">
        <f>IFERROR(__xludf.DUMMYFUNCTION("""COMPUTED_VALUE"""),"KOTA UNENG")</f>
        <v>KOTA UNENG</v>
      </c>
      <c r="O2414" s="35" t="str">
        <f>IFERROR(__xludf.DUMMYFUNCTION("""COMPUTED_VALUE"""),"ALOK")</f>
        <v>ALOK</v>
      </c>
      <c r="P2414" s="35" t="str">
        <f>IFERROR(__xludf.DUMMYFUNCTION("""COMPUTED_VALUE"""),"SIKKA")</f>
        <v>SIKKA</v>
      </c>
      <c r="Q2414" s="35" t="str">
        <f>IFERROR(__xludf.DUMMYFUNCTION("""COMPUTED_VALUE"""),"NUSA TENGGARA TIMUR")</f>
        <v>NUSA TENGGARA TIMUR</v>
      </c>
      <c r="R2414" s="21" t="str">
        <f>IFERROR(__xludf.DUMMYFUNCTION("""COMPUTED_VALUE"""),"ISLAM")</f>
        <v>ISLAM</v>
      </c>
      <c r="S2414" s="74" t="str">
        <f>IFERROR(__xludf.DUMMYFUNCTION("""COMPUTED_VALUE"""),"KARYAWAN")</f>
        <v>KARYAWAN</v>
      </c>
      <c r="T2414" s="35" t="str">
        <f>IFERROR(__xludf.DUMMYFUNCTION("""COMPUTED_VALUE"""),"NYERI DI PINGGUL SEBELAH KIRI")</f>
        <v>NYERI DI PINGGUL SEBELAH KIRI</v>
      </c>
      <c r="U2414" s="35" t="str">
        <f>IFERROR(__xludf.DUMMYFUNCTION("""COMPUTED_VALUE"""),"-")</f>
        <v>-</v>
      </c>
      <c r="V2414" s="37" t="str">
        <f>IFERROR(__xludf.DUMMYFUNCTION("""COMPUTED_VALUE"""),"08113137258")</f>
        <v>08113137258</v>
      </c>
      <c r="W2414" s="45"/>
    </row>
    <row r="2415">
      <c r="A2415" s="45"/>
      <c r="B2415" s="24" t="str">
        <f>IFERROR(__xludf.DUMMYFUNCTION("""COMPUTED_VALUE"""),"19/04/2025 18:59:05")</f>
        <v>19/04/2025 18:59:05</v>
      </c>
      <c r="C2415" s="35"/>
      <c r="D2415" s="10">
        <f>IFERROR(__xludf.DUMMYFUNCTION("""COMPUTED_VALUE"""),45792.0)</f>
        <v>45792</v>
      </c>
      <c r="E2415" s="35" t="str">
        <f>IFERROR(__xludf.DUMMYFUNCTION("""COMPUTED_VALUE"""),"05Mei")</f>
        <v>05Mei</v>
      </c>
      <c r="F2415" s="34" t="str">
        <f>IFERROR(__xludf.DUMMYFUNCTION("""COMPUTED_VALUE"""),"2025")</f>
        <v>2025</v>
      </c>
      <c r="G2415" s="35" t="str">
        <f>IFERROR(__xludf.DUMMYFUNCTION("""COMPUTED_VALUE"""),"ANDRE GARRY MARCO")</f>
        <v>ANDRE GARRY MARCO</v>
      </c>
      <c r="H2415" s="35" t="str">
        <f>IFERROR(__xludf.DUMMYFUNCTION("""COMPUTED_VALUE"""),"A9725051214")</f>
        <v>A9725051214</v>
      </c>
      <c r="I2415" s="35">
        <f>IFERROR(__xludf.DUMMYFUNCTION("""COMPUTED_VALUE"""),29.0)</f>
        <v>29</v>
      </c>
      <c r="J2415" s="35" t="str">
        <f>IFERROR(__xludf.DUMMYFUNCTION("""COMPUTED_VALUE"""),"25-34 tahun")</f>
        <v>25-34 tahun</v>
      </c>
      <c r="K2415" s="21" t="str">
        <f>IFERROR(__xludf.DUMMYFUNCTION("""COMPUTED_VALUE"""),"05/04/1997")</f>
        <v>05/04/1997</v>
      </c>
      <c r="L2415" s="21" t="str">
        <f>IFERROR(__xludf.DUMMYFUNCTION("""COMPUTED_VALUE"""),"LAKI-LAKI")</f>
        <v>LAKI-LAKI</v>
      </c>
      <c r="M2415" s="35" t="str">
        <f>IFERROR(__xludf.DUMMYFUNCTION("""COMPUTED_VALUE"""),"JL G M SAID NO 36")</f>
        <v>JL G M SAID NO 36</v>
      </c>
      <c r="N2415" s="35" t="str">
        <f>IFERROR(__xludf.DUMMYFUNCTION("""COMPUTED_VALUE"""),"PONTIANAK")</f>
        <v>PONTIANAK</v>
      </c>
      <c r="O2415" s="35" t="str">
        <f>IFERROR(__xludf.DUMMYFUNCTION("""COMPUTED_VALUE"""),"PONTIANAK")</f>
        <v>PONTIANAK</v>
      </c>
      <c r="P2415" s="35" t="str">
        <f>IFERROR(__xludf.DUMMYFUNCTION("""COMPUTED_VALUE"""),"KOTA PONTIANAK")</f>
        <v>KOTA PONTIANAK</v>
      </c>
      <c r="Q2415" s="35" t="str">
        <f>IFERROR(__xludf.DUMMYFUNCTION("""COMPUTED_VALUE"""),"KALIMANTAN BARAT")</f>
        <v>KALIMANTAN BARAT</v>
      </c>
      <c r="R2415" s="21" t="str">
        <f>IFERROR(__xludf.DUMMYFUNCTION("""COMPUTED_VALUE"""),"KATOLIK")</f>
        <v>KATOLIK</v>
      </c>
      <c r="S2415" s="74" t="str">
        <f>IFERROR(__xludf.DUMMYFUNCTION("""COMPUTED_VALUE"""),"WIRASWASTA")</f>
        <v>WIRASWASTA</v>
      </c>
      <c r="T2415" s="35" t="str">
        <f>IFERROR(__xludf.DUMMYFUNCTION("""COMPUTED_VALUE"""),"PERGELANGAN KAKI")</f>
        <v>PERGELANGAN KAKI</v>
      </c>
      <c r="U2415" s="35" t="str">
        <f>IFERROR(__xludf.DUMMYFUNCTION("""COMPUTED_VALUE"""),"-")</f>
        <v>-</v>
      </c>
      <c r="V2415" s="37" t="str">
        <f>IFERROR(__xludf.DUMMYFUNCTION("""COMPUTED_VALUE"""),"081257391214")</f>
        <v>081257391214</v>
      </c>
      <c r="W2415" s="45"/>
    </row>
    <row r="2416">
      <c r="A2416" s="45"/>
      <c r="B2416" s="24" t="str">
        <f>IFERROR(__xludf.DUMMYFUNCTION("""COMPUTED_VALUE"""),"20/04/2025 16:02:22")</f>
        <v>20/04/2025 16:02:22</v>
      </c>
      <c r="C2416" s="35"/>
      <c r="D2416" s="10">
        <f>IFERROR(__xludf.DUMMYFUNCTION("""COMPUTED_VALUE"""),45792.0)</f>
        <v>45792</v>
      </c>
      <c r="E2416" s="35" t="str">
        <f>IFERROR(__xludf.DUMMYFUNCTION("""COMPUTED_VALUE"""),"05Mei")</f>
        <v>05Mei</v>
      </c>
      <c r="F2416" s="34" t="str">
        <f>IFERROR(__xludf.DUMMYFUNCTION("""COMPUTED_VALUE"""),"2025")</f>
        <v>2025</v>
      </c>
      <c r="G2416" s="35" t="str">
        <f>IFERROR(__xludf.DUMMYFUNCTION("""COMPUTED_VALUE"""),"SUBARIYAH")</f>
        <v>SUBARIYAH</v>
      </c>
      <c r="H2416" s="35" t="str">
        <f>IFERROR(__xludf.DUMMYFUNCTION("""COMPUTED_VALUE"""),"S5725052657")</f>
        <v>S5725052657</v>
      </c>
      <c r="I2416" s="35">
        <f>IFERROR(__xludf.DUMMYFUNCTION("""COMPUTED_VALUE"""),69.0)</f>
        <v>69</v>
      </c>
      <c r="J2416" s="35" t="str">
        <f>IFERROR(__xludf.DUMMYFUNCTION("""COMPUTED_VALUE"""),"&gt; 44 tahun")</f>
        <v>&gt; 44 tahun</v>
      </c>
      <c r="K2416" s="21" t="str">
        <f>IFERROR(__xludf.DUMMYFUNCTION("""COMPUTED_VALUE"""),"26/06/1957")</f>
        <v>26/06/1957</v>
      </c>
      <c r="L2416" s="21" t="str">
        <f>IFERROR(__xludf.DUMMYFUNCTION("""COMPUTED_VALUE"""),"PEREMPUAN")</f>
        <v>PEREMPUAN</v>
      </c>
      <c r="M2416" s="35" t="str">
        <f>IFERROR(__xludf.DUMMYFUNCTION("""COMPUTED_VALUE"""),"GG TELUK PAKEDAI NO5 KOTABARU")</f>
        <v>GG TELUK PAKEDAI NO5 KOTABARU</v>
      </c>
      <c r="N2416" s="35" t="str">
        <f>IFERROR(__xludf.DUMMYFUNCTION("""COMPUTED_VALUE"""),"PONTIANAK")</f>
        <v>PONTIANAK</v>
      </c>
      <c r="O2416" s="35" t="str">
        <f>IFERROR(__xludf.DUMMYFUNCTION("""COMPUTED_VALUE"""),"PONTIANAK KOTA")</f>
        <v>PONTIANAK KOTA</v>
      </c>
      <c r="P2416" s="35" t="str">
        <f>IFERROR(__xludf.DUMMYFUNCTION("""COMPUTED_VALUE"""),"KOT PONTIANAK")</f>
        <v>KOT PONTIANAK</v>
      </c>
      <c r="Q2416" s="35" t="str">
        <f>IFERROR(__xludf.DUMMYFUNCTION("""COMPUTED_VALUE"""),"KALIMANTAN BARAT")</f>
        <v>KALIMANTAN BARAT</v>
      </c>
      <c r="R2416" s="21" t="str">
        <f>IFERROR(__xludf.DUMMYFUNCTION("""COMPUTED_VALUE"""),"ISLAM")</f>
        <v>ISLAM</v>
      </c>
      <c r="S2416" s="74" t="str">
        <f>IFERROR(__xludf.DUMMYFUNCTION("""COMPUTED_VALUE"""),"PENSIUNAN")</f>
        <v>PENSIUNAN</v>
      </c>
      <c r="T2416" s="35" t="str">
        <f>IFERROR(__xludf.DUMMYFUNCTION("""COMPUTED_VALUE"""),"KAKI/ANGKLE")</f>
        <v>KAKI/ANGKLE</v>
      </c>
      <c r="U2416" s="35" t="str">
        <f>IFERROR(__xludf.DUMMYFUNCTION("""COMPUTED_VALUE"""),"-")</f>
        <v>-</v>
      </c>
      <c r="V2416" s="37" t="str">
        <f>IFERROR(__xludf.DUMMYFUNCTION("""COMPUTED_VALUE"""),"081251262657")</f>
        <v>081251262657</v>
      </c>
      <c r="W2416" s="45"/>
    </row>
    <row r="2417">
      <c r="A2417" s="45"/>
      <c r="B2417" s="24" t="str">
        <f>IFERROR(__xludf.DUMMYFUNCTION("""COMPUTED_VALUE"""),"21/04/2025 13:36:01")</f>
        <v>21/04/2025 13:36:01</v>
      </c>
      <c r="C2417" s="35"/>
      <c r="D2417" s="10">
        <f>IFERROR(__xludf.DUMMYFUNCTION("""COMPUTED_VALUE"""),45792.0)</f>
        <v>45792</v>
      </c>
      <c r="E2417" s="35" t="str">
        <f>IFERROR(__xludf.DUMMYFUNCTION("""COMPUTED_VALUE"""),"05Mei")</f>
        <v>05Mei</v>
      </c>
      <c r="F2417" s="34" t="str">
        <f>IFERROR(__xludf.DUMMYFUNCTION("""COMPUTED_VALUE"""),"2025")</f>
        <v>2025</v>
      </c>
      <c r="G2417" s="35" t="str">
        <f>IFERROR(__xludf.DUMMYFUNCTION("""COMPUTED_VALUE"""),"MASDIARTI")</f>
        <v>MASDIARTI</v>
      </c>
      <c r="H2417" s="35" t="str">
        <f>IFERROR(__xludf.DUMMYFUNCTION("""COMPUTED_VALUE"""),"M7525052841")</f>
        <v>M7525052841</v>
      </c>
      <c r="I2417" s="35">
        <f>IFERROR(__xludf.DUMMYFUNCTION("""COMPUTED_VALUE"""),50.0)</f>
        <v>50</v>
      </c>
      <c r="J2417" s="35" t="str">
        <f>IFERROR(__xludf.DUMMYFUNCTION("""COMPUTED_VALUE"""),"&gt; 44 tahun")</f>
        <v>&gt; 44 tahun</v>
      </c>
      <c r="K2417" s="21" t="str">
        <f>IFERROR(__xludf.DUMMYFUNCTION("""COMPUTED_VALUE"""),"17/08/1975")</f>
        <v>17/08/1975</v>
      </c>
      <c r="L2417" s="21" t="str">
        <f>IFERROR(__xludf.DUMMYFUNCTION("""COMPUTED_VALUE"""),"PEREMPUAN")</f>
        <v>PEREMPUAN</v>
      </c>
      <c r="M2417" s="35" t="str">
        <f>IFERROR(__xludf.DUMMYFUNCTION("""COMPUTED_VALUE"""),"KOMP. PONDOK HARAPAN KITA")</f>
        <v>KOMP. PONDOK HARAPAN KITA</v>
      </c>
      <c r="N2417" s="35" t="str">
        <f>IFERROR(__xludf.DUMMYFUNCTION("""COMPUTED_VALUE"""),"SUNGAI RENGAS")</f>
        <v>SUNGAI RENGAS</v>
      </c>
      <c r="O2417" s="35" t="str">
        <f>IFERROR(__xludf.DUMMYFUNCTION("""COMPUTED_VALUE"""),"SUNGAI KAKAP")</f>
        <v>SUNGAI KAKAP</v>
      </c>
      <c r="P2417" s="35" t="str">
        <f>IFERROR(__xludf.DUMMYFUNCTION("""COMPUTED_VALUE"""),"KUBU RAYA")</f>
        <v>KUBU RAYA</v>
      </c>
      <c r="Q2417" s="35" t="str">
        <f>IFERROR(__xludf.DUMMYFUNCTION("""COMPUTED_VALUE"""),"KALIMANTAN BARAT")</f>
        <v>KALIMANTAN BARAT</v>
      </c>
      <c r="R2417" s="21" t="str">
        <f>IFERROR(__xludf.DUMMYFUNCTION("""COMPUTED_VALUE"""),"ISLAM")</f>
        <v>ISLAM</v>
      </c>
      <c r="S2417" s="74" t="str">
        <f>IFERROR(__xludf.DUMMYFUNCTION("""COMPUTED_VALUE"""),"IBU RUMAH TANGGA")</f>
        <v>IBU RUMAH TANGGA</v>
      </c>
      <c r="T2417" s="35" t="str">
        <f>IFERROR(__xludf.DUMMYFUNCTION("""COMPUTED_VALUE"""),"RHUMBOID PAIN, CARPAL TUNNEL SYNDROME, PIRIFORMIS SYNDROME")</f>
        <v>RHUMBOID PAIN, CARPAL TUNNEL SYNDROME, PIRIFORMIS SYNDROME</v>
      </c>
      <c r="U2417" s="35" t="str">
        <f>IFERROR(__xludf.DUMMYFUNCTION("""COMPUTED_VALUE"""),"AKTIVITAS RUMAH TANGGA (CUCI DAN SETRIKA PAKAIAN)")</f>
        <v>AKTIVITAS RUMAH TANGGA (CUCI DAN SETRIKA PAKAIAN)</v>
      </c>
      <c r="V2417" s="37" t="str">
        <f>IFERROR(__xludf.DUMMYFUNCTION("""COMPUTED_VALUE"""),"089631692841")</f>
        <v>089631692841</v>
      </c>
      <c r="W2417" s="45"/>
    </row>
    <row r="2418">
      <c r="A2418" s="45"/>
      <c r="B2418" s="24" t="str">
        <f>IFERROR(__xludf.DUMMYFUNCTION("""COMPUTED_VALUE"""),"26/04/2025 20:09:56")</f>
        <v>26/04/2025 20:09:56</v>
      </c>
      <c r="C2418" s="35"/>
      <c r="D2418" s="10">
        <f>IFERROR(__xludf.DUMMYFUNCTION("""COMPUTED_VALUE"""),45791.0)</f>
        <v>45791</v>
      </c>
      <c r="E2418" s="35" t="str">
        <f>IFERROR(__xludf.DUMMYFUNCTION("""COMPUTED_VALUE"""),"05Mei")</f>
        <v>05Mei</v>
      </c>
      <c r="F2418" s="34" t="str">
        <f>IFERROR(__xludf.DUMMYFUNCTION("""COMPUTED_VALUE"""),"2025")</f>
        <v>2025</v>
      </c>
      <c r="G2418" s="35" t="str">
        <f>IFERROR(__xludf.DUMMYFUNCTION("""COMPUTED_VALUE"""),"RITA MUSTARI")</f>
        <v>RITA MUSTARI</v>
      </c>
      <c r="H2418" s="35" t="str">
        <f>IFERROR(__xludf.DUMMYFUNCTION("""COMPUTED_VALUE"""),"R6725050750")</f>
        <v>R6725050750</v>
      </c>
      <c r="I2418" s="35">
        <f>IFERROR(__xludf.DUMMYFUNCTION("""COMPUTED_VALUE"""),58.0)</f>
        <v>58</v>
      </c>
      <c r="J2418" s="35" t="str">
        <f>IFERROR(__xludf.DUMMYFUNCTION("""COMPUTED_VALUE"""),"&gt; 44 tahun")</f>
        <v>&gt; 44 tahun</v>
      </c>
      <c r="K2418" s="21" t="str">
        <f>IFERROR(__xludf.DUMMYFUNCTION("""COMPUTED_VALUE"""),"11/11/1967")</f>
        <v>11/11/1967</v>
      </c>
      <c r="L2418" s="21" t="str">
        <f>IFERROR(__xludf.DUMMYFUNCTION("""COMPUTED_VALUE"""),"PEREMPUAN")</f>
        <v>PEREMPUAN</v>
      </c>
      <c r="M2418" s="35" t="str">
        <f>IFERROR(__xludf.DUMMYFUNCTION("""COMPUTED_VALUE"""),"JALAN H. RAIS A. RAHMAN GG. GUNUNG PANDAN NO 64")</f>
        <v>JALAN H. RAIS A. RAHMAN GG. GUNUNG PANDAN NO 64</v>
      </c>
      <c r="N2418" s="35" t="str">
        <f>IFERROR(__xludf.DUMMYFUNCTION("""COMPUTED_VALUE"""),"PONTIANAK")</f>
        <v>PONTIANAK</v>
      </c>
      <c r="O2418" s="35" t="str">
        <f>IFERROR(__xludf.DUMMYFUNCTION("""COMPUTED_VALUE"""),"PONTIANAK KOTA")</f>
        <v>PONTIANAK KOTA</v>
      </c>
      <c r="P2418" s="35" t="str">
        <f>IFERROR(__xludf.DUMMYFUNCTION("""COMPUTED_VALUE"""),"KOTA PONTIANAK")</f>
        <v>KOTA PONTIANAK</v>
      </c>
      <c r="Q2418" s="35" t="str">
        <f>IFERROR(__xludf.DUMMYFUNCTION("""COMPUTED_VALUE"""),"KALIMANTAN BARAT")</f>
        <v>KALIMANTAN BARAT</v>
      </c>
      <c r="R2418" s="21" t="str">
        <f>IFERROR(__xludf.DUMMYFUNCTION("""COMPUTED_VALUE"""),"ISLAM")</f>
        <v>ISLAM</v>
      </c>
      <c r="S2418" s="74" t="str">
        <f>IFERROR(__xludf.DUMMYFUNCTION("""COMPUTED_VALUE"""),"PNS")</f>
        <v>PNS</v>
      </c>
      <c r="T2418" s="35" t="str">
        <f>IFERROR(__xludf.DUMMYFUNCTION("""COMPUTED_VALUE"""),"CTS")</f>
        <v>CTS</v>
      </c>
      <c r="U2418" s="35" t="str">
        <f>IFERROR(__xludf.DUMMYFUNCTION("""COMPUTED_VALUE"""),"-")</f>
        <v>-</v>
      </c>
      <c r="V2418" s="37" t="str">
        <f>IFERROR(__xludf.DUMMYFUNCTION("""COMPUTED_VALUE"""),"085252600750")</f>
        <v>085252600750</v>
      </c>
      <c r="W2418" s="45"/>
    </row>
    <row r="2419">
      <c r="A2419" s="45"/>
      <c r="B2419" s="24" t="str">
        <f>IFERROR(__xludf.DUMMYFUNCTION("""COMPUTED_VALUE"""),"21/04/2025 17:03:26")</f>
        <v>21/04/2025 17:03:26</v>
      </c>
      <c r="C2419" s="35"/>
      <c r="D2419" s="10">
        <f>IFERROR(__xludf.DUMMYFUNCTION("""COMPUTED_VALUE"""),45794.0)</f>
        <v>45794</v>
      </c>
      <c r="E2419" s="35" t="str">
        <f>IFERROR(__xludf.DUMMYFUNCTION("""COMPUTED_VALUE"""),"05Mei")</f>
        <v>05Mei</v>
      </c>
      <c r="F2419" s="34" t="str">
        <f>IFERROR(__xludf.DUMMYFUNCTION("""COMPUTED_VALUE"""),"2025")</f>
        <v>2025</v>
      </c>
      <c r="G2419" s="35" t="str">
        <f>IFERROR(__xludf.DUMMYFUNCTION("""COMPUTED_VALUE"""),"STELLA JESSICA")</f>
        <v>STELLA JESSICA</v>
      </c>
      <c r="H2419" s="35" t="str">
        <f>IFERROR(__xludf.DUMMYFUNCTION("""COMPUTED_VALUE"""),"S9425055188")</f>
        <v>S9425055188</v>
      </c>
      <c r="I2419" s="35">
        <f>IFERROR(__xludf.DUMMYFUNCTION("""COMPUTED_VALUE"""),32.0)</f>
        <v>32</v>
      </c>
      <c r="J2419" s="35" t="str">
        <f>IFERROR(__xludf.DUMMYFUNCTION("""COMPUTED_VALUE"""),"25-34 tahun")</f>
        <v>25-34 tahun</v>
      </c>
      <c r="K2419" s="21" t="str">
        <f>IFERROR(__xludf.DUMMYFUNCTION("""COMPUTED_VALUE"""),"18/01/1994")</f>
        <v>18/01/1994</v>
      </c>
      <c r="L2419" s="21" t="str">
        <f>IFERROR(__xludf.DUMMYFUNCTION("""COMPUTED_VALUE"""),"PEREMPUAN")</f>
        <v>PEREMPUAN</v>
      </c>
      <c r="M2419" s="35" t="str">
        <f>IFERROR(__xludf.DUMMYFUNCTION("""COMPUTED_VALUE"""),"JL.WONOBARU GG.WONODADI 1")</f>
        <v>JL.WONOBARU GG.WONODADI 1</v>
      </c>
      <c r="N2419" s="35" t="str">
        <f>IFERROR(__xludf.DUMMYFUNCTION("""COMPUTED_VALUE"""),"KOTABARU")</f>
        <v>KOTABARU</v>
      </c>
      <c r="O2419" s="35" t="str">
        <f>IFERROR(__xludf.DUMMYFUNCTION("""COMPUTED_VALUE"""),"PONTIANAK SELATAN")</f>
        <v>PONTIANAK SELATAN</v>
      </c>
      <c r="P2419" s="35" t="str">
        <f>IFERROR(__xludf.DUMMYFUNCTION("""COMPUTED_VALUE"""),"PONTIANAK")</f>
        <v>PONTIANAK</v>
      </c>
      <c r="Q2419" s="35" t="str">
        <f>IFERROR(__xludf.DUMMYFUNCTION("""COMPUTED_VALUE"""),"KALIMANTAN BARAT")</f>
        <v>KALIMANTAN BARAT</v>
      </c>
      <c r="R2419" s="21" t="str">
        <f>IFERROR(__xludf.DUMMYFUNCTION("""COMPUTED_VALUE"""),"KATOLIK")</f>
        <v>KATOLIK</v>
      </c>
      <c r="S2419" s="74" t="str">
        <f>IFERROR(__xludf.DUMMYFUNCTION("""COMPUTED_VALUE"""),"WIRASWASTA")</f>
        <v>WIRASWASTA</v>
      </c>
      <c r="T2419" s="35" t="str">
        <f>IFERROR(__xludf.DUMMYFUNCTION("""COMPUTED_VALUE"""),"ANKLE KAKI KIRI")</f>
        <v>ANKLE KAKI KIRI</v>
      </c>
      <c r="U2419" s="35" t="str">
        <f>IFERROR(__xludf.DUMMYFUNCTION("""COMPUTED_VALUE"""),"TIDAK ADA")</f>
        <v>TIDAK ADA</v>
      </c>
      <c r="V2419" s="37" t="str">
        <f>IFERROR(__xludf.DUMMYFUNCTION("""COMPUTED_VALUE"""),"081281115188")</f>
        <v>081281115188</v>
      </c>
      <c r="W2419" s="45"/>
    </row>
    <row r="2420">
      <c r="A2420" s="45"/>
      <c r="B2420" s="24" t="str">
        <f>IFERROR(__xludf.DUMMYFUNCTION("""COMPUTED_VALUE"""),"21/04/2025 20:47:28")</f>
        <v>21/04/2025 20:47:28</v>
      </c>
      <c r="C2420" s="35"/>
      <c r="D2420" s="10">
        <f>IFERROR(__xludf.DUMMYFUNCTION("""COMPUTED_VALUE"""),45794.0)</f>
        <v>45794</v>
      </c>
      <c r="E2420" s="35" t="str">
        <f>IFERROR(__xludf.DUMMYFUNCTION("""COMPUTED_VALUE"""),"05Mei")</f>
        <v>05Mei</v>
      </c>
      <c r="F2420" s="34" t="str">
        <f>IFERROR(__xludf.DUMMYFUNCTION("""COMPUTED_VALUE"""),"2025")</f>
        <v>2025</v>
      </c>
      <c r="G2420" s="35" t="str">
        <f>IFERROR(__xludf.DUMMYFUNCTION("""COMPUTED_VALUE"""),"HENDRA PRAYITNO")</f>
        <v>HENDRA PRAYITNO</v>
      </c>
      <c r="H2420" s="35" t="str">
        <f>IFERROR(__xludf.DUMMYFUNCTION("""COMPUTED_VALUE"""),"H8225054202")</f>
        <v>H8225054202</v>
      </c>
      <c r="I2420" s="35">
        <f>IFERROR(__xludf.DUMMYFUNCTION("""COMPUTED_VALUE"""),44.0)</f>
        <v>44</v>
      </c>
      <c r="J2420" s="35" t="str">
        <f>IFERROR(__xludf.DUMMYFUNCTION("""COMPUTED_VALUE"""),"35-44 tahun")</f>
        <v>35-44 tahun</v>
      </c>
      <c r="K2420" s="21" t="str">
        <f>IFERROR(__xludf.DUMMYFUNCTION("""COMPUTED_VALUE"""),"04/01/1982")</f>
        <v>04/01/1982</v>
      </c>
      <c r="L2420" s="21" t="str">
        <f>IFERROR(__xludf.DUMMYFUNCTION("""COMPUTED_VALUE"""),"LAKI-LAKI")</f>
        <v>LAKI-LAKI</v>
      </c>
      <c r="M2420" s="35" t="str">
        <f>IFERROR(__xludf.DUMMYFUNCTION("""COMPUTED_VALUE"""),"JL URAI BAWADI GG TRIA 4 NOMOR 61")</f>
        <v>JL URAI BAWADI GG TRIA 4 NOMOR 61</v>
      </c>
      <c r="N2420" s="35" t="str">
        <f>IFERROR(__xludf.DUMMYFUNCTION("""COMPUTED_VALUE"""),"SUNGAI BANGKONG")</f>
        <v>SUNGAI BANGKONG</v>
      </c>
      <c r="O2420" s="35" t="str">
        <f>IFERROR(__xludf.DUMMYFUNCTION("""COMPUTED_VALUE"""),"PONTIANAK KOTA")</f>
        <v>PONTIANAK KOTA</v>
      </c>
      <c r="P2420" s="35" t="str">
        <f>IFERROR(__xludf.DUMMYFUNCTION("""COMPUTED_VALUE"""),"KOTA PONTIANAK")</f>
        <v>KOTA PONTIANAK</v>
      </c>
      <c r="Q2420" s="35" t="str">
        <f>IFERROR(__xludf.DUMMYFUNCTION("""COMPUTED_VALUE"""),"KALIMANTAN BARAT")</f>
        <v>KALIMANTAN BARAT</v>
      </c>
      <c r="R2420" s="21" t="str">
        <f>IFERROR(__xludf.DUMMYFUNCTION("""COMPUTED_VALUE"""),"ISLAM")</f>
        <v>ISLAM</v>
      </c>
      <c r="S2420" s="74" t="str">
        <f>IFERROR(__xludf.DUMMYFUNCTION("""COMPUTED_VALUE"""),"PNS")</f>
        <v>PNS</v>
      </c>
      <c r="T2420" s="35" t="str">
        <f>IFERROR(__xludf.DUMMYFUNCTION("""COMPUTED_VALUE"""),"SAKIT LENGAN SEBDLAH KIRI")</f>
        <v>SAKIT LENGAN SEBDLAH KIRI</v>
      </c>
      <c r="U2420" s="35" t="str">
        <f>IFERROR(__xludf.DUMMYFUNCTION("""COMPUTED_VALUE"""),"SAKIT LENGAN SEBDLAH KIRI")</f>
        <v>SAKIT LENGAN SEBDLAH KIRI</v>
      </c>
      <c r="V2420" s="37" t="str">
        <f>IFERROR(__xludf.DUMMYFUNCTION("""COMPUTED_VALUE"""),"082351014202")</f>
        <v>082351014202</v>
      </c>
      <c r="W2420" s="45"/>
    </row>
    <row r="2421">
      <c r="A2421" s="45"/>
      <c r="B2421" s="24" t="str">
        <f>IFERROR(__xludf.DUMMYFUNCTION("""COMPUTED_VALUE"""),"22/04/2025 8:52:00")</f>
        <v>22/04/2025 8:52:00</v>
      </c>
      <c r="C2421" s="35"/>
      <c r="D2421" s="10">
        <f>IFERROR(__xludf.DUMMYFUNCTION("""COMPUTED_VALUE"""),45798.0)</f>
        <v>45798</v>
      </c>
      <c r="E2421" s="35" t="str">
        <f>IFERROR(__xludf.DUMMYFUNCTION("""COMPUTED_VALUE"""),"05Mei")</f>
        <v>05Mei</v>
      </c>
      <c r="F2421" s="34" t="str">
        <f>IFERROR(__xludf.DUMMYFUNCTION("""COMPUTED_VALUE"""),"2025")</f>
        <v>2025</v>
      </c>
      <c r="G2421" s="35" t="str">
        <f>IFERROR(__xludf.DUMMYFUNCTION("""COMPUTED_VALUE"""),"ABANG FATHIR USWANTO")</f>
        <v>ABANG FATHIR USWANTO</v>
      </c>
      <c r="H2421" s="35" t="str">
        <f>IFERROR(__xludf.DUMMYFUNCTION("""COMPUTED_VALUE"""),"A0725054890")</f>
        <v>A0725054890</v>
      </c>
      <c r="I2421" s="35">
        <f>IFERROR(__xludf.DUMMYFUNCTION("""COMPUTED_VALUE"""),18.0)</f>
        <v>18</v>
      </c>
      <c r="J2421" s="35" t="str">
        <f>IFERROR(__xludf.DUMMYFUNCTION("""COMPUTED_VALUE"""),"&lt; 18 tahun")</f>
        <v>&lt; 18 tahun</v>
      </c>
      <c r="K2421" s="21" t="str">
        <f>IFERROR(__xludf.DUMMYFUNCTION("""COMPUTED_VALUE"""),"19/07/2007")</f>
        <v>19/07/2007</v>
      </c>
      <c r="L2421" s="21" t="str">
        <f>IFERROR(__xludf.DUMMYFUNCTION("""COMPUTED_VALUE"""),"LAKI-LAKI")</f>
        <v>LAKI-LAKI</v>
      </c>
      <c r="M2421" s="35" t="str">
        <f>IFERROR(__xludf.DUMMYFUNCTION("""COMPUTED_VALUE"""),"JL 28 OKTOBER GANG MARGA UTAMA")</f>
        <v>JL 28 OKTOBER GANG MARGA UTAMA</v>
      </c>
      <c r="N2421" s="35" t="str">
        <f>IFERROR(__xludf.DUMMYFUNCTION("""COMPUTED_VALUE"""),"PONTIANAK UTARA")</f>
        <v>PONTIANAK UTARA</v>
      </c>
      <c r="O2421" s="35" t="str">
        <f>IFERROR(__xludf.DUMMYFUNCTION("""COMPUTED_VALUE"""),"SIANTAN HULU")</f>
        <v>SIANTAN HULU</v>
      </c>
      <c r="P2421" s="35" t="str">
        <f>IFERROR(__xludf.DUMMYFUNCTION("""COMPUTED_VALUE"""),"PONTIANAK")</f>
        <v>PONTIANAK</v>
      </c>
      <c r="Q2421" s="35" t="str">
        <f>IFERROR(__xludf.DUMMYFUNCTION("""COMPUTED_VALUE"""),"KALIMANTAN BARAT")</f>
        <v>KALIMANTAN BARAT</v>
      </c>
      <c r="R2421" s="21" t="str">
        <f>IFERROR(__xludf.DUMMYFUNCTION("""COMPUTED_VALUE"""),"ISLAM")</f>
        <v>ISLAM</v>
      </c>
      <c r="S2421" s="74" t="str">
        <f>IFERROR(__xludf.DUMMYFUNCTION("""COMPUTED_VALUE"""),"-")</f>
        <v>-</v>
      </c>
      <c r="T2421" s="35" t="str">
        <f>IFERROR(__xludf.DUMMYFUNCTION("""COMPUTED_VALUE"""),"LUTUT")</f>
        <v>LUTUT</v>
      </c>
      <c r="U2421" s="35" t="str">
        <f>IFERROR(__xludf.DUMMYFUNCTION("""COMPUTED_VALUE"""),"-")</f>
        <v>-</v>
      </c>
      <c r="V2421" s="37" t="str">
        <f>IFERROR(__xludf.DUMMYFUNCTION("""COMPUTED_VALUE"""),"08884284890")</f>
        <v>08884284890</v>
      </c>
      <c r="W2421" s="45"/>
    </row>
    <row r="2422">
      <c r="A2422" s="45"/>
      <c r="B2422" s="24" t="str">
        <f>IFERROR(__xludf.DUMMYFUNCTION("""COMPUTED_VALUE"""),"22/04/2025 9:43:04")</f>
        <v>22/04/2025 9:43:04</v>
      </c>
      <c r="C2422" s="35"/>
      <c r="D2422" s="10">
        <f>IFERROR(__xludf.DUMMYFUNCTION("""COMPUTED_VALUE"""),45794.0)</f>
        <v>45794</v>
      </c>
      <c r="E2422" s="35" t="str">
        <f>IFERROR(__xludf.DUMMYFUNCTION("""COMPUTED_VALUE"""),"05Mei")</f>
        <v>05Mei</v>
      </c>
      <c r="F2422" s="34" t="str">
        <f>IFERROR(__xludf.DUMMYFUNCTION("""COMPUTED_VALUE"""),"2025")</f>
        <v>2025</v>
      </c>
      <c r="G2422" s="35" t="str">
        <f>IFERROR(__xludf.DUMMYFUNCTION("""COMPUTED_VALUE"""),"SEKAR KINANTI HERPRADANTI")</f>
        <v>SEKAR KINANTI HERPRADANTI</v>
      </c>
      <c r="H2422" s="35" t="str">
        <f>IFERROR(__xludf.DUMMYFUNCTION("""COMPUTED_VALUE"""),"S9825058991")</f>
        <v>S9825058991</v>
      </c>
      <c r="I2422" s="35">
        <f>IFERROR(__xludf.DUMMYFUNCTION("""COMPUTED_VALUE"""),27.0)</f>
        <v>27</v>
      </c>
      <c r="J2422" s="35" t="str">
        <f>IFERROR(__xludf.DUMMYFUNCTION("""COMPUTED_VALUE"""),"25-34 tahun")</f>
        <v>25-34 tahun</v>
      </c>
      <c r="K2422" s="21" t="str">
        <f>IFERROR(__xludf.DUMMYFUNCTION("""COMPUTED_VALUE"""),"11/08/1998")</f>
        <v>11/08/1998</v>
      </c>
      <c r="L2422" s="21" t="str">
        <f>IFERROR(__xludf.DUMMYFUNCTION("""COMPUTED_VALUE"""),"PEREMPUAN")</f>
        <v>PEREMPUAN</v>
      </c>
      <c r="M2422" s="35" t="str">
        <f>IFERROR(__xludf.DUMMYFUNCTION("""COMPUTED_VALUE"""),"JL. PUTRI CANDRAMIDI GG. EKA JAYA NO. 53")</f>
        <v>JL. PUTRI CANDRAMIDI GG. EKA JAYA NO. 53</v>
      </c>
      <c r="N2422" s="35" t="str">
        <f>IFERROR(__xludf.DUMMYFUNCTION("""COMPUTED_VALUE"""),"KELURAHAN SUNGAI BANGKONG")</f>
        <v>KELURAHAN SUNGAI BANGKONG</v>
      </c>
      <c r="O2422" s="35" t="str">
        <f>IFERROR(__xludf.DUMMYFUNCTION("""COMPUTED_VALUE"""),"PONTIANAK KOTA")</f>
        <v>PONTIANAK KOTA</v>
      </c>
      <c r="P2422" s="35" t="str">
        <f>IFERROR(__xludf.DUMMYFUNCTION("""COMPUTED_VALUE"""),"KOTA PONTIANAK")</f>
        <v>KOTA PONTIANAK</v>
      </c>
      <c r="Q2422" s="35" t="str">
        <f>IFERROR(__xludf.DUMMYFUNCTION("""COMPUTED_VALUE"""),"PROVINSI KALIMANTAN BARAT")</f>
        <v>PROVINSI KALIMANTAN BARAT</v>
      </c>
      <c r="R2422" s="21" t="str">
        <f>IFERROR(__xludf.DUMMYFUNCTION("""COMPUTED_VALUE"""),"ISLAM")</f>
        <v>ISLAM</v>
      </c>
      <c r="S2422" s="74" t="str">
        <f>IFERROR(__xludf.DUMMYFUNCTION("""COMPUTED_VALUE"""),"SWASTA")</f>
        <v>SWASTA</v>
      </c>
      <c r="T2422" s="35" t="str">
        <f>IFERROR(__xludf.DUMMYFUNCTION("""COMPUTED_VALUE"""),"HNP LUMBAL/SARAF KEJEPIT")</f>
        <v>HNP LUMBAL/SARAF KEJEPIT</v>
      </c>
      <c r="U2422" s="35" t="str">
        <f>IFERROR(__xludf.DUMMYFUNCTION("""COMPUTED_VALUE"""),"BEKERJA KANTORAN")</f>
        <v>BEKERJA KANTORAN</v>
      </c>
      <c r="V2422" s="37" t="str">
        <f>IFERROR(__xludf.DUMMYFUNCTION("""COMPUTED_VALUE"""),"082137128991")</f>
        <v>082137128991</v>
      </c>
      <c r="W2422" s="45"/>
    </row>
    <row r="2423">
      <c r="A2423" s="45"/>
      <c r="B2423" s="24" t="str">
        <f>IFERROR(__xludf.DUMMYFUNCTION("""COMPUTED_VALUE"""),"22/04/2025 15:54:47")</f>
        <v>22/04/2025 15:54:47</v>
      </c>
      <c r="C2423" s="35"/>
      <c r="D2423" s="10">
        <f>IFERROR(__xludf.DUMMYFUNCTION("""COMPUTED_VALUE"""),45794.0)</f>
        <v>45794</v>
      </c>
      <c r="E2423" s="35" t="str">
        <f>IFERROR(__xludf.DUMMYFUNCTION("""COMPUTED_VALUE"""),"05Mei")</f>
        <v>05Mei</v>
      </c>
      <c r="F2423" s="34" t="str">
        <f>IFERROR(__xludf.DUMMYFUNCTION("""COMPUTED_VALUE"""),"2025")</f>
        <v>2025</v>
      </c>
      <c r="G2423" s="35" t="str">
        <f>IFERROR(__xludf.DUMMYFUNCTION("""COMPUTED_VALUE"""),"ARI WIBOWO")</f>
        <v>ARI WIBOWO</v>
      </c>
      <c r="H2423" s="35" t="str">
        <f>IFERROR(__xludf.DUMMYFUNCTION("""COMPUTED_VALUE"""),"A2425050699")</f>
        <v>A2425050699</v>
      </c>
      <c r="I2423" s="35">
        <f>IFERROR(__xludf.DUMMYFUNCTION("""COMPUTED_VALUE"""),2.0)</f>
        <v>2</v>
      </c>
      <c r="J2423" s="35" t="str">
        <f>IFERROR(__xludf.DUMMYFUNCTION("""COMPUTED_VALUE"""),"&lt; 18 tahun")</f>
        <v>&lt; 18 tahun</v>
      </c>
      <c r="K2423" s="21" t="str">
        <f>IFERROR(__xludf.DUMMYFUNCTION("""COMPUTED_VALUE"""),"01/01/2024")</f>
        <v>01/01/2024</v>
      </c>
      <c r="L2423" s="21" t="str">
        <f>IFERROR(__xludf.DUMMYFUNCTION("""COMPUTED_VALUE"""),"LAKI-LAKI")</f>
        <v>LAKI-LAKI</v>
      </c>
      <c r="M2423" s="35" t="str">
        <f>IFERROR(__xludf.DUMMYFUNCTION("""COMPUTED_VALUE"""),"KAYONG UTARA , KECAMATAN SIMPANG HILIR,DESA PEMANGKAT")</f>
        <v>KAYONG UTARA , KECAMATAN SIMPANG HILIR,DESA PEMANGKAT</v>
      </c>
      <c r="N2423" s="35" t="str">
        <f>IFERROR(__xludf.DUMMYFUNCTION("""COMPUTED_VALUE"""),"PEMANGKAT")</f>
        <v>PEMANGKAT</v>
      </c>
      <c r="O2423" s="35" t="str">
        <f>IFERROR(__xludf.DUMMYFUNCTION("""COMPUTED_VALUE"""),"SIMPANG HILIR")</f>
        <v>SIMPANG HILIR</v>
      </c>
      <c r="P2423" s="35" t="str">
        <f>IFERROR(__xludf.DUMMYFUNCTION("""COMPUTED_VALUE"""),"KAYONG UTARA")</f>
        <v>KAYONG UTARA</v>
      </c>
      <c r="Q2423" s="35" t="str">
        <f>IFERROR(__xludf.DUMMYFUNCTION("""COMPUTED_VALUE"""),"KALIMANTAN BARAT")</f>
        <v>KALIMANTAN BARAT</v>
      </c>
      <c r="R2423" s="21" t="str">
        <f>IFERROR(__xludf.DUMMYFUNCTION("""COMPUTED_VALUE"""),"BUDDHA")</f>
        <v>BUDDHA</v>
      </c>
      <c r="S2423" s="74" t="str">
        <f>IFERROR(__xludf.DUMMYFUNCTION("""COMPUTED_VALUE"""),"SALES")</f>
        <v>SALES</v>
      </c>
      <c r="T2423" s="35" t="str">
        <f>IFERROR(__xludf.DUMMYFUNCTION("""COMPUTED_VALUE"""),"SAKIT BAGIAN SHOULDER &amp; ARM")</f>
        <v>SAKIT BAGIAN SHOULDER &amp; ARM</v>
      </c>
      <c r="U2423" s="35" t="str">
        <f>IFERROR(__xludf.DUMMYFUNCTION("""COMPUTED_VALUE"""),"BAWA MOTOR JARAK JAUH")</f>
        <v>BAWA MOTOR JARAK JAUH</v>
      </c>
      <c r="V2423" s="37" t="str">
        <f>IFERROR(__xludf.DUMMYFUNCTION("""COMPUTED_VALUE"""),"082153030699")</f>
        <v>082153030699</v>
      </c>
      <c r="W2423" s="45"/>
    </row>
    <row r="2424">
      <c r="A2424" s="45"/>
      <c r="B2424" s="24" t="str">
        <f>IFERROR(__xludf.DUMMYFUNCTION("""COMPUTED_VALUE"""),"06/03/2025 9:57:04")</f>
        <v>06/03/2025 9:57:04</v>
      </c>
      <c r="C2424" s="35"/>
      <c r="D2424" s="10">
        <f>IFERROR(__xludf.DUMMYFUNCTION("""COMPUTED_VALUE"""),45794.0)</f>
        <v>45794</v>
      </c>
      <c r="E2424" s="35" t="str">
        <f>IFERROR(__xludf.DUMMYFUNCTION("""COMPUTED_VALUE"""),"05Mei")</f>
        <v>05Mei</v>
      </c>
      <c r="F2424" s="34" t="str">
        <f>IFERROR(__xludf.DUMMYFUNCTION("""COMPUTED_VALUE"""),"2025")</f>
        <v>2025</v>
      </c>
      <c r="G2424" s="35" t="str">
        <f>IFERROR(__xludf.DUMMYFUNCTION("""COMPUTED_VALUE"""),"ZALBAWU")</f>
        <v>ZALBAWU</v>
      </c>
      <c r="H2424" s="35" t="str">
        <f>IFERROR(__xludf.DUMMYFUNCTION("""COMPUTED_VALUE"""),"Z9125054401")</f>
        <v>Z9125054401</v>
      </c>
      <c r="I2424" s="35">
        <f>IFERROR(__xludf.DUMMYFUNCTION("""COMPUTED_VALUE"""),34.0)</f>
        <v>34</v>
      </c>
      <c r="J2424" s="35" t="str">
        <f>IFERROR(__xludf.DUMMYFUNCTION("""COMPUTED_VALUE"""),"25-34 tahun")</f>
        <v>25-34 tahun</v>
      </c>
      <c r="K2424" s="21" t="str">
        <f>IFERROR(__xludf.DUMMYFUNCTION("""COMPUTED_VALUE"""),"17/10/1991")</f>
        <v>17/10/1991</v>
      </c>
      <c r="L2424" s="21" t="str">
        <f>IFERROR(__xludf.DUMMYFUNCTION("""COMPUTED_VALUE"""),"LAKI-LAKI")</f>
        <v>LAKI-LAKI</v>
      </c>
      <c r="M2424" s="35" t="str">
        <f>IFERROR(__xludf.DUMMYFUNCTION("""COMPUTED_VALUE"""),"JL UJUNG PANDANG GG GAHARU NO 23")</f>
        <v>JL UJUNG PANDANG GG GAHARU NO 23</v>
      </c>
      <c r="N2424" s="35" t="str">
        <f>IFERROR(__xludf.DUMMYFUNCTION("""COMPUTED_VALUE"""),"SUNGAI JAWI")</f>
        <v>SUNGAI JAWI</v>
      </c>
      <c r="O2424" s="35" t="str">
        <f>IFERROR(__xludf.DUMMYFUNCTION("""COMPUTED_VALUE"""),"PONTIANAK KOTA")</f>
        <v>PONTIANAK KOTA</v>
      </c>
      <c r="P2424" s="35" t="str">
        <f>IFERROR(__xludf.DUMMYFUNCTION("""COMPUTED_VALUE"""),"KOTA PONTIANAK")</f>
        <v>KOTA PONTIANAK</v>
      </c>
      <c r="Q2424" s="35" t="str">
        <f>IFERROR(__xludf.DUMMYFUNCTION("""COMPUTED_VALUE"""),"KALIMANTAN BARAT")</f>
        <v>KALIMANTAN BARAT</v>
      </c>
      <c r="R2424" s="21" t="str">
        <f>IFERROR(__xludf.DUMMYFUNCTION("""COMPUTED_VALUE"""),"ISLAM")</f>
        <v>ISLAM</v>
      </c>
      <c r="S2424" s="74" t="str">
        <f>IFERROR(__xludf.DUMMYFUNCTION("""COMPUTED_VALUE"""),"BUMN")</f>
        <v>BUMN</v>
      </c>
      <c r="T2424" s="35" t="str">
        <f>IFERROR(__xludf.DUMMYFUNCTION("""COMPUTED_VALUE"""),"KAKI KESELEO")</f>
        <v>KAKI KESELEO</v>
      </c>
      <c r="U2424" s="35" t="str">
        <f>IFERROR(__xludf.DUMMYFUNCTION("""COMPUTED_VALUE"""),"BEKERJA")</f>
        <v>BEKERJA</v>
      </c>
      <c r="V2424" s="37" t="str">
        <f>IFERROR(__xludf.DUMMYFUNCTION("""COMPUTED_VALUE"""),"082251844401")</f>
        <v>082251844401</v>
      </c>
      <c r="W2424" s="45"/>
    </row>
    <row r="2425">
      <c r="A2425" s="45"/>
      <c r="B2425" s="24" t="str">
        <f>IFERROR(__xludf.DUMMYFUNCTION("""COMPUTED_VALUE"""),"23/04/2025 10:18:24")</f>
        <v>23/04/2025 10:18:24</v>
      </c>
      <c r="C2425" s="35"/>
      <c r="D2425" s="10">
        <f>IFERROR(__xludf.DUMMYFUNCTION("""COMPUTED_VALUE"""),45794.0)</f>
        <v>45794</v>
      </c>
      <c r="E2425" s="35" t="str">
        <f>IFERROR(__xludf.DUMMYFUNCTION("""COMPUTED_VALUE"""),"05Mei")</f>
        <v>05Mei</v>
      </c>
      <c r="F2425" s="34" t="str">
        <f>IFERROR(__xludf.DUMMYFUNCTION("""COMPUTED_VALUE"""),"2025")</f>
        <v>2025</v>
      </c>
      <c r="G2425" s="35" t="str">
        <f>IFERROR(__xludf.DUMMYFUNCTION("""COMPUTED_VALUE"""),"ERIK GUNAWAN")</f>
        <v>ERIK GUNAWAN</v>
      </c>
      <c r="H2425" s="35" t="str">
        <f>IFERROR(__xludf.DUMMYFUNCTION("""COMPUTED_VALUE"""),"E9525053208")</f>
        <v>E9525053208</v>
      </c>
      <c r="I2425" s="35">
        <f>IFERROR(__xludf.DUMMYFUNCTION("""COMPUTED_VALUE"""),31.0)</f>
        <v>31</v>
      </c>
      <c r="J2425" s="35" t="str">
        <f>IFERROR(__xludf.DUMMYFUNCTION("""COMPUTED_VALUE"""),"25-34 tahun")</f>
        <v>25-34 tahun</v>
      </c>
      <c r="K2425" s="21" t="str">
        <f>IFERROR(__xludf.DUMMYFUNCTION("""COMPUTED_VALUE"""),"20/03/1995")</f>
        <v>20/03/1995</v>
      </c>
      <c r="L2425" s="21" t="str">
        <f>IFERROR(__xludf.DUMMYFUNCTION("""COMPUTED_VALUE"""),"LAKI-LAKI")</f>
        <v>LAKI-LAKI</v>
      </c>
      <c r="M2425" s="35" t="str">
        <f>IFERROR(__xludf.DUMMYFUNCTION("""COMPUTED_VALUE"""),"JL.POLTEKKES KOMP.PONDOK MARISSA 4 BLOK D NO.11")</f>
        <v>JL.POLTEKKES KOMP.PONDOK MARISSA 4 BLOK D NO.11</v>
      </c>
      <c r="N2425" s="35" t="str">
        <f>IFERROR(__xludf.DUMMYFUNCTION("""COMPUTED_VALUE"""),"SIANTAN HULU")</f>
        <v>SIANTAN HULU</v>
      </c>
      <c r="O2425" s="35" t="str">
        <f>IFERROR(__xludf.DUMMYFUNCTION("""COMPUTED_VALUE"""),"PONTIANAK UTARA")</f>
        <v>PONTIANAK UTARA</v>
      </c>
      <c r="P2425" s="35" t="str">
        <f>IFERROR(__xludf.DUMMYFUNCTION("""COMPUTED_VALUE"""),"KOTA PONTIANAK")</f>
        <v>KOTA PONTIANAK</v>
      </c>
      <c r="Q2425" s="35" t="str">
        <f>IFERROR(__xludf.DUMMYFUNCTION("""COMPUTED_VALUE"""),"KALIMANTAN BARAT")</f>
        <v>KALIMANTAN BARAT</v>
      </c>
      <c r="R2425" s="21" t="str">
        <f>IFERROR(__xludf.DUMMYFUNCTION("""COMPUTED_VALUE"""),"PROTESTAN")</f>
        <v>PROTESTAN</v>
      </c>
      <c r="S2425" s="74" t="str">
        <f>IFERROR(__xludf.DUMMYFUNCTION("""COMPUTED_VALUE"""),"KARYAWAN SWASTA")</f>
        <v>KARYAWAN SWASTA</v>
      </c>
      <c r="T2425" s="35" t="str">
        <f>IFERROR(__xludf.DUMMYFUNCTION("""COMPUTED_VALUE"""),"DI BAGIAN DEPAN DAN BELAKANG LUTUT TERASA SAKIT, ADA BEBERAPA GERAKAN YANG MEMBUAT SAKIT, CEDERA KARNA KETIKA MENUMPU TERLALU TEGAK")</f>
        <v>DI BAGIAN DEPAN DAN BELAKANG LUTUT TERASA SAKIT, ADA BEBERAPA GERAKAN YANG MEMBUAT SAKIT, CEDERA KARNA KETIKA MENUMPU TERLALU TEGAK</v>
      </c>
      <c r="U2425" s="35" t="str">
        <f>IFERROR(__xludf.DUMMYFUNCTION("""COMPUTED_VALUE"""),"BERMAIN BOLA")</f>
        <v>BERMAIN BOLA</v>
      </c>
      <c r="V2425" s="37" t="str">
        <f>IFERROR(__xludf.DUMMYFUNCTION("""COMPUTED_VALUE"""),"089635313208")</f>
        <v>089635313208</v>
      </c>
      <c r="W2425" s="45"/>
    </row>
    <row r="2426">
      <c r="A2426" s="45"/>
      <c r="B2426" s="24" t="str">
        <f>IFERROR(__xludf.DUMMYFUNCTION("""COMPUTED_VALUE"""),"22/04/2025 9:59:11")</f>
        <v>22/04/2025 9:59:11</v>
      </c>
      <c r="C2426" s="35"/>
      <c r="D2426" s="10">
        <f>IFERROR(__xludf.DUMMYFUNCTION("""COMPUTED_VALUE"""),45794.0)</f>
        <v>45794</v>
      </c>
      <c r="E2426" s="35" t="str">
        <f>IFERROR(__xludf.DUMMYFUNCTION("""COMPUTED_VALUE"""),"05Mei")</f>
        <v>05Mei</v>
      </c>
      <c r="F2426" s="34" t="str">
        <f>IFERROR(__xludf.DUMMYFUNCTION("""COMPUTED_VALUE"""),"2025")</f>
        <v>2025</v>
      </c>
      <c r="G2426" s="35" t="str">
        <f>IFERROR(__xludf.DUMMYFUNCTION("""COMPUTED_VALUE"""),"SOFIA LINDI")</f>
        <v>SOFIA LINDI</v>
      </c>
      <c r="H2426" s="35" t="str">
        <f>IFERROR(__xludf.DUMMYFUNCTION("""COMPUTED_VALUE"""),"S4425059065")</f>
        <v>S4425059065</v>
      </c>
      <c r="I2426" s="35">
        <f>IFERROR(__xludf.DUMMYFUNCTION("""COMPUTED_VALUE"""),82.0)</f>
        <v>82</v>
      </c>
      <c r="J2426" s="35" t="str">
        <f>IFERROR(__xludf.DUMMYFUNCTION("""COMPUTED_VALUE"""),"&gt; 44 tahun")</f>
        <v>&gt; 44 tahun</v>
      </c>
      <c r="K2426" s="21" t="str">
        <f>IFERROR(__xludf.DUMMYFUNCTION("""COMPUTED_VALUE"""),"05/03/1944")</f>
        <v>05/03/1944</v>
      </c>
      <c r="L2426" s="21" t="str">
        <f>IFERROR(__xludf.DUMMYFUNCTION("""COMPUTED_VALUE"""),"PEREMPUAN")</f>
        <v>PEREMPUAN</v>
      </c>
      <c r="M2426" s="35" t="str">
        <f>IFERROR(__xludf.DUMMYFUNCTION("""COMPUTED_VALUE"""),"JL.PURNAMA, KOMP.PURNAMA SEMPURNA NO.2AA")</f>
        <v>JL.PURNAMA, KOMP.PURNAMA SEMPURNA NO.2AA</v>
      </c>
      <c r="N2426" s="35" t="str">
        <f>IFERROR(__xludf.DUMMYFUNCTION("""COMPUTED_VALUE"""),"AKCAYA")</f>
        <v>AKCAYA</v>
      </c>
      <c r="O2426" s="35" t="str">
        <f>IFERROR(__xludf.DUMMYFUNCTION("""COMPUTED_VALUE"""),"PONTIANAK SELATAN")</f>
        <v>PONTIANAK SELATAN</v>
      </c>
      <c r="P2426" s="35" t="str">
        <f>IFERROR(__xludf.DUMMYFUNCTION("""COMPUTED_VALUE"""),"PONTIANAK")</f>
        <v>PONTIANAK</v>
      </c>
      <c r="Q2426" s="35" t="str">
        <f>IFERROR(__xludf.DUMMYFUNCTION("""COMPUTED_VALUE"""),"KALIMANTAN BARAT")</f>
        <v>KALIMANTAN BARAT</v>
      </c>
      <c r="R2426" s="21" t="str">
        <f>IFERROR(__xludf.DUMMYFUNCTION("""COMPUTED_VALUE"""),"PROTESTAN")</f>
        <v>PROTESTAN</v>
      </c>
      <c r="S2426" s="74" t="str">
        <f>IFERROR(__xludf.DUMMYFUNCTION("""COMPUTED_VALUE"""),"IRT")</f>
        <v>IRT</v>
      </c>
      <c r="T2426" s="35" t="str">
        <f>IFERROR(__xludf.DUMMYFUNCTION("""COMPUTED_VALUE"""),"PINGGANG BELAKANG SAKIT, TERASA TEGANG")</f>
        <v>PINGGANG BELAKANG SAKIT, TERASA TEGANG</v>
      </c>
      <c r="U2426" s="35" t="str">
        <f>IFERROR(__xludf.DUMMYFUNCTION("""COMPUTED_VALUE"""),"HANYA JALAN SANTAI")</f>
        <v>HANYA JALAN SANTAI</v>
      </c>
      <c r="V2426" s="37" t="str">
        <f>IFERROR(__xludf.DUMMYFUNCTION("""COMPUTED_VALUE"""),"089520339065")</f>
        <v>089520339065</v>
      </c>
      <c r="W2426" s="45"/>
    </row>
    <row r="2427">
      <c r="A2427" s="45"/>
      <c r="B2427" s="24" t="str">
        <f>IFERROR(__xludf.DUMMYFUNCTION("""COMPUTED_VALUE"""),"23/04/2025 10:51:50")</f>
        <v>23/04/2025 10:51:50</v>
      </c>
      <c r="C2427" s="35"/>
      <c r="D2427" s="10">
        <f>IFERROR(__xludf.DUMMYFUNCTION("""COMPUTED_VALUE"""),45794.0)</f>
        <v>45794</v>
      </c>
      <c r="E2427" s="35" t="str">
        <f>IFERROR(__xludf.DUMMYFUNCTION("""COMPUTED_VALUE"""),"05Mei")</f>
        <v>05Mei</v>
      </c>
      <c r="F2427" s="34" t="str">
        <f>IFERROR(__xludf.DUMMYFUNCTION("""COMPUTED_VALUE"""),"2025")</f>
        <v>2025</v>
      </c>
      <c r="G2427" s="35" t="str">
        <f>IFERROR(__xludf.DUMMYFUNCTION("""COMPUTED_VALUE"""),"DAVID HERNANDO SIDABUTAR")</f>
        <v>DAVID HERNANDO SIDABUTAR</v>
      </c>
      <c r="H2427" s="35" t="str">
        <f>IFERROR(__xludf.DUMMYFUNCTION("""COMPUTED_VALUE"""),"D9825052611")</f>
        <v>D9825052611</v>
      </c>
      <c r="I2427" s="35">
        <f>IFERROR(__xludf.DUMMYFUNCTION("""COMPUTED_VALUE"""),27.0)</f>
        <v>27</v>
      </c>
      <c r="J2427" s="35" t="str">
        <f>IFERROR(__xludf.DUMMYFUNCTION("""COMPUTED_VALUE"""),"25-34 tahun")</f>
        <v>25-34 tahun</v>
      </c>
      <c r="K2427" s="21" t="str">
        <f>IFERROR(__xludf.DUMMYFUNCTION("""COMPUTED_VALUE"""),"24/10/1998")</f>
        <v>24/10/1998</v>
      </c>
      <c r="L2427" s="21" t="str">
        <f>IFERROR(__xludf.DUMMYFUNCTION("""COMPUTED_VALUE"""),"LAKI-LAKI")</f>
        <v>LAKI-LAKI</v>
      </c>
      <c r="M2427" s="35" t="str">
        <f>IFERROR(__xludf.DUMMYFUNCTION("""COMPUTED_VALUE"""),"JALAN DR SOEDARSO GG BALAI POM")</f>
        <v>JALAN DR SOEDARSO GG BALAI POM</v>
      </c>
      <c r="N2427" s="35" t="str">
        <f>IFERROR(__xludf.DUMMYFUNCTION("""COMPUTED_VALUE"""),"BANGKA BELITUNG DARAT")</f>
        <v>BANGKA BELITUNG DARAT</v>
      </c>
      <c r="O2427" s="35" t="str">
        <f>IFERROR(__xludf.DUMMYFUNCTION("""COMPUTED_VALUE"""),"PONTIANAK TENGGARA")</f>
        <v>PONTIANAK TENGGARA</v>
      </c>
      <c r="P2427" s="35" t="str">
        <f>IFERROR(__xludf.DUMMYFUNCTION("""COMPUTED_VALUE"""),"KOTA PONTIANAK")</f>
        <v>KOTA PONTIANAK</v>
      </c>
      <c r="Q2427" s="35" t="str">
        <f>IFERROR(__xludf.DUMMYFUNCTION("""COMPUTED_VALUE"""),"KALIMANTAN BARAT")</f>
        <v>KALIMANTAN BARAT</v>
      </c>
      <c r="R2427" s="21" t="str">
        <f>IFERROR(__xludf.DUMMYFUNCTION("""COMPUTED_VALUE"""),"PROTESTAN")</f>
        <v>PROTESTAN</v>
      </c>
      <c r="S2427" s="74" t="str">
        <f>IFERROR(__xludf.DUMMYFUNCTION("""COMPUTED_VALUE"""),"KARYAWAN SWASTA")</f>
        <v>KARYAWAN SWASTA</v>
      </c>
      <c r="T2427" s="35" t="str">
        <f>IFERROR(__xludf.DUMMYFUNCTION("""COMPUTED_VALUE"""),"SAKIT PINGGANG")</f>
        <v>SAKIT PINGGANG</v>
      </c>
      <c r="U2427" s="35" t="str">
        <f>IFERROR(__xludf.DUMMYFUNCTION("""COMPUTED_VALUE"""),"NYUPIR LUAR KOTA")</f>
        <v>NYUPIR LUAR KOTA</v>
      </c>
      <c r="V2427" s="37" t="str">
        <f>IFERROR(__xludf.DUMMYFUNCTION("""COMPUTED_VALUE"""),"081254362611")</f>
        <v>081254362611</v>
      </c>
      <c r="W2427" s="45"/>
    </row>
    <row r="2428">
      <c r="A2428" s="45"/>
      <c r="B2428" s="24" t="str">
        <f>IFERROR(__xludf.DUMMYFUNCTION("""COMPUTED_VALUE"""),"23/04/2025 10:51:51")</f>
        <v>23/04/2025 10:51:51</v>
      </c>
      <c r="C2428" s="35"/>
      <c r="D2428" s="10">
        <f>IFERROR(__xludf.DUMMYFUNCTION("""COMPUTED_VALUE"""),45795.0)</f>
        <v>45795</v>
      </c>
      <c r="E2428" s="35" t="str">
        <f>IFERROR(__xludf.DUMMYFUNCTION("""COMPUTED_VALUE"""),"05Mei")</f>
        <v>05Mei</v>
      </c>
      <c r="F2428" s="34" t="str">
        <f>IFERROR(__xludf.DUMMYFUNCTION("""COMPUTED_VALUE"""),"2025")</f>
        <v>2025</v>
      </c>
      <c r="G2428" s="35" t="str">
        <f>IFERROR(__xludf.DUMMYFUNCTION("""COMPUTED_VALUE"""),"ADHE MAHENDRA")</f>
        <v>ADHE MAHENDRA</v>
      </c>
      <c r="H2428" s="35" t="str">
        <f>IFERROR(__xludf.DUMMYFUNCTION("""COMPUTED_VALUE"""),"A9625052149")</f>
        <v>A9625052149</v>
      </c>
      <c r="I2428" s="35">
        <f>IFERROR(__xludf.DUMMYFUNCTION("""COMPUTED_VALUE"""),30.0)</f>
        <v>30</v>
      </c>
      <c r="J2428" s="35" t="str">
        <f>IFERROR(__xludf.DUMMYFUNCTION("""COMPUTED_VALUE"""),"25-34 tahun")</f>
        <v>25-34 tahun</v>
      </c>
      <c r="K2428" s="21">
        <f>IFERROR(__xludf.DUMMYFUNCTION("""COMPUTED_VALUE"""),35076.0)</f>
        <v>35076</v>
      </c>
      <c r="L2428" s="21" t="str">
        <f>IFERROR(__xludf.DUMMYFUNCTION("""COMPUTED_VALUE"""),"LAKI-LAKI")</f>
        <v>LAKI-LAKI</v>
      </c>
      <c r="M2428" s="35" t="str">
        <f>IFERROR(__xludf.DUMMYFUNCTION("""COMPUTED_VALUE"""),"JL UJUNG PANDANG KOMP THE GREEN BOULEVARD NO A7")</f>
        <v>JL UJUNG PANDANG KOMP THE GREEN BOULEVARD NO A7</v>
      </c>
      <c r="N2428" s="35" t="str">
        <f>IFERROR(__xludf.DUMMYFUNCTION("""COMPUTED_VALUE"""),"SUI JAWI")</f>
        <v>SUI JAWI</v>
      </c>
      <c r="O2428" s="35" t="str">
        <f>IFERROR(__xludf.DUMMYFUNCTION("""COMPUTED_VALUE"""),"KEC PONTIANAK KOTA")</f>
        <v>KEC PONTIANAK KOTA</v>
      </c>
      <c r="P2428" s="35" t="str">
        <f>IFERROR(__xludf.DUMMYFUNCTION("""COMPUTED_VALUE"""),"KOTA PONTIANAK")</f>
        <v>KOTA PONTIANAK</v>
      </c>
      <c r="Q2428" s="35" t="str">
        <f>IFERROR(__xludf.DUMMYFUNCTION("""COMPUTED_VALUE"""),"KALIMANTAN BARAT")</f>
        <v>KALIMANTAN BARAT</v>
      </c>
      <c r="R2428" s="21" t="str">
        <f>IFERROR(__xludf.DUMMYFUNCTION("""COMPUTED_VALUE"""),"ISLAM")</f>
        <v>ISLAM</v>
      </c>
      <c r="S2428" s="74" t="str">
        <f>IFERROR(__xludf.DUMMYFUNCTION("""COMPUTED_VALUE"""),"POLRI")</f>
        <v>POLRI</v>
      </c>
      <c r="T2428" s="35" t="str">
        <f>IFERROR(__xludf.DUMMYFUNCTION("""COMPUTED_VALUE"""),"RUSUK KITI SAKIT")</f>
        <v>RUSUK KITI SAKIT</v>
      </c>
      <c r="U2428" s="35" t="str">
        <f>IFERROR(__xludf.DUMMYFUNCTION("""COMPUTED_VALUE"""),"HABIS SPARING DAN TANDING BOXING")</f>
        <v>HABIS SPARING DAN TANDING BOXING</v>
      </c>
      <c r="V2428" s="37" t="str">
        <f>IFERROR(__xludf.DUMMYFUNCTION("""COMPUTED_VALUE"""),"089612332149")</f>
        <v>089612332149</v>
      </c>
      <c r="W2428" s="45"/>
    </row>
    <row r="2429">
      <c r="A2429" s="45"/>
      <c r="B2429" s="24" t="str">
        <f>IFERROR(__xludf.DUMMYFUNCTION("""COMPUTED_VALUE"""),"29/01/2024 16:06:08")</f>
        <v>29/01/2024 16:06:08</v>
      </c>
      <c r="C2429" s="35"/>
      <c r="D2429" s="10">
        <f>IFERROR(__xludf.DUMMYFUNCTION("""COMPUTED_VALUE"""),45795.0)</f>
        <v>45795</v>
      </c>
      <c r="E2429" s="35" t="str">
        <f>IFERROR(__xludf.DUMMYFUNCTION("""COMPUTED_VALUE"""),"05Mei")</f>
        <v>05Mei</v>
      </c>
      <c r="F2429" s="34" t="str">
        <f>IFERROR(__xludf.DUMMYFUNCTION("""COMPUTED_VALUE"""),"2025")</f>
        <v>2025</v>
      </c>
      <c r="G2429" s="35" t="str">
        <f>IFERROR(__xludf.DUMMYFUNCTION("""COMPUTED_VALUE"""),"MARSALINA NENE")</f>
        <v>MARSALINA NENE</v>
      </c>
      <c r="H2429" s="35" t="str">
        <f>IFERROR(__xludf.DUMMYFUNCTION("""COMPUTED_VALUE"""),"M8125059115")</f>
        <v>M8125059115</v>
      </c>
      <c r="I2429" s="35">
        <f>IFERROR(__xludf.DUMMYFUNCTION("""COMPUTED_VALUE"""),44.0)</f>
        <v>44</v>
      </c>
      <c r="J2429" s="35" t="str">
        <f>IFERROR(__xludf.DUMMYFUNCTION("""COMPUTED_VALUE"""),"35-44 tahun")</f>
        <v>35-44 tahun</v>
      </c>
      <c r="K2429" s="21" t="str">
        <f>IFERROR(__xludf.DUMMYFUNCTION("""COMPUTED_VALUE"""),"11/09/1981")</f>
        <v>11/09/1981</v>
      </c>
      <c r="L2429" s="21" t="str">
        <f>IFERROR(__xludf.DUMMYFUNCTION("""COMPUTED_VALUE"""),"PEREMPUAN")</f>
        <v>PEREMPUAN</v>
      </c>
      <c r="M2429" s="35" t="str">
        <f>IFERROR(__xludf.DUMMYFUNCTION("""COMPUTED_VALUE"""),"JL PANGLIMA AIM KOMPLEK SERUNI INDAH 3 BLOK E NO 4")</f>
        <v>JL PANGLIMA AIM KOMPLEK SERUNI INDAH 3 BLOK E NO 4</v>
      </c>
      <c r="N2429" s="35" t="str">
        <f>IFERROR(__xludf.DUMMYFUNCTION("""COMPUTED_VALUE"""),"DALAM BUGIS")</f>
        <v>DALAM BUGIS</v>
      </c>
      <c r="O2429" s="35" t="str">
        <f>IFERROR(__xludf.DUMMYFUNCTION("""COMPUTED_VALUE"""),"PONTIANAK TIMUR")</f>
        <v>PONTIANAK TIMUR</v>
      </c>
      <c r="P2429" s="35" t="str">
        <f>IFERROR(__xludf.DUMMYFUNCTION("""COMPUTED_VALUE"""),"PONTIANAK")</f>
        <v>PONTIANAK</v>
      </c>
      <c r="Q2429" s="35" t="str">
        <f>IFERROR(__xludf.DUMMYFUNCTION("""COMPUTED_VALUE"""),"KALIMANTAN BARAT")</f>
        <v>KALIMANTAN BARAT</v>
      </c>
      <c r="R2429" s="21" t="str">
        <f>IFERROR(__xludf.DUMMYFUNCTION("""COMPUTED_VALUE"""),"KATOLIK")</f>
        <v>KATOLIK</v>
      </c>
      <c r="S2429" s="74" t="str">
        <f>IFERROR(__xludf.DUMMYFUNCTION("""COMPUTED_VALUE"""),"IBU RUMAH TANGA")</f>
        <v>IBU RUMAH TANGA</v>
      </c>
      <c r="T2429" s="35" t="str">
        <f>IFERROR(__xludf.DUMMYFUNCTION("""COMPUTED_VALUE"""),"NYERI DI KAKI")</f>
        <v>NYERI DI KAKI</v>
      </c>
      <c r="U2429" s="35" t="str">
        <f>IFERROR(__xludf.DUMMYFUNCTION("""COMPUTED_VALUE"""),"KL JALAN TERASA SAKIT")</f>
        <v>KL JALAN TERASA SAKIT</v>
      </c>
      <c r="V2429" s="37" t="str">
        <f>IFERROR(__xludf.DUMMYFUNCTION("""COMPUTED_VALUE"""),"081345149115")</f>
        <v>081345149115</v>
      </c>
      <c r="W2429" s="45"/>
    </row>
    <row r="2430">
      <c r="A2430" s="45"/>
      <c r="B2430" s="24" t="str">
        <f>IFERROR(__xludf.DUMMYFUNCTION("""COMPUTED_VALUE"""),"23/04/2025 13:43:34")</f>
        <v>23/04/2025 13:43:34</v>
      </c>
      <c r="C2430" s="35"/>
      <c r="D2430" s="10">
        <f>IFERROR(__xludf.DUMMYFUNCTION("""COMPUTED_VALUE"""),45795.0)</f>
        <v>45795</v>
      </c>
      <c r="E2430" s="35" t="str">
        <f>IFERROR(__xludf.DUMMYFUNCTION("""COMPUTED_VALUE"""),"05Mei")</f>
        <v>05Mei</v>
      </c>
      <c r="F2430" s="34" t="str">
        <f>IFERROR(__xludf.DUMMYFUNCTION("""COMPUTED_VALUE"""),"2025")</f>
        <v>2025</v>
      </c>
      <c r="G2430" s="35" t="str">
        <f>IFERROR(__xludf.DUMMYFUNCTION("""COMPUTED_VALUE"""),"ROBI NUR FAHMI")</f>
        <v>ROBI NUR FAHMI</v>
      </c>
      <c r="H2430" s="35" t="str">
        <f>IFERROR(__xludf.DUMMYFUNCTION("""COMPUTED_VALUE"""),"R9625054528")</f>
        <v>R9625054528</v>
      </c>
      <c r="I2430" s="35">
        <f>IFERROR(__xludf.DUMMYFUNCTION("""COMPUTED_VALUE"""),29.0)</f>
        <v>29</v>
      </c>
      <c r="J2430" s="35" t="str">
        <f>IFERROR(__xludf.DUMMYFUNCTION("""COMPUTED_VALUE"""),"25-34 tahun")</f>
        <v>25-34 tahun</v>
      </c>
      <c r="K2430" s="21" t="str">
        <f>IFERROR(__xludf.DUMMYFUNCTION("""COMPUTED_VALUE"""),"28/08/1996")</f>
        <v>28/08/1996</v>
      </c>
      <c r="L2430" s="21" t="str">
        <f>IFERROR(__xludf.DUMMYFUNCTION("""COMPUTED_VALUE"""),"LAKI-LAKI")</f>
        <v>LAKI-LAKI</v>
      </c>
      <c r="M2430" s="35" t="str">
        <f>IFERROR(__xludf.DUMMYFUNCTION("""COMPUTED_VALUE"""),"JL H. SYAIP NO 96 RT 005/001 GANDARIA SELATAN, KEC. CILANDAK, JAKARTA SELATAN")</f>
        <v>JL H. SYAIP NO 96 RT 005/001 GANDARIA SELATAN, KEC. CILANDAK, JAKARTA SELATAN</v>
      </c>
      <c r="N2430" s="35" t="str">
        <f>IFERROR(__xludf.DUMMYFUNCTION("""COMPUTED_VALUE"""),"GANDARIA SELATAN")</f>
        <v>GANDARIA SELATAN</v>
      </c>
      <c r="O2430" s="35" t="str">
        <f>IFERROR(__xludf.DUMMYFUNCTION("""COMPUTED_VALUE"""),"CILANDAK")</f>
        <v>CILANDAK</v>
      </c>
      <c r="P2430" s="35" t="str">
        <f>IFERROR(__xludf.DUMMYFUNCTION("""COMPUTED_VALUE"""),"JAKARTA SELATAN")</f>
        <v>JAKARTA SELATAN</v>
      </c>
      <c r="Q2430" s="35" t="str">
        <f>IFERROR(__xludf.DUMMYFUNCTION("""COMPUTED_VALUE"""),"DKI JAKARTA")</f>
        <v>DKI JAKARTA</v>
      </c>
      <c r="R2430" s="21" t="str">
        <f>IFERROR(__xludf.DUMMYFUNCTION("""COMPUTED_VALUE"""),"ISLAM")</f>
        <v>ISLAM</v>
      </c>
      <c r="S2430" s="74" t="str">
        <f>IFERROR(__xludf.DUMMYFUNCTION("""COMPUTED_VALUE"""),"KARYAWAN SWASTA")</f>
        <v>KARYAWAN SWASTA</v>
      </c>
      <c r="T2430" s="35" t="str">
        <f>IFERROR(__xludf.DUMMYFUNCTION("""COMPUTED_VALUE"""),"SARAF KEJEPIT")</f>
        <v>SARAF KEJEPIT</v>
      </c>
      <c r="U2430" s="35" t="str">
        <f>IFERROR(__xludf.DUMMYFUNCTION("""COMPUTED_VALUE"""),"OLAHRAGA")</f>
        <v>OLAHRAGA</v>
      </c>
      <c r="V2430" s="37" t="str">
        <f>IFERROR(__xludf.DUMMYFUNCTION("""COMPUTED_VALUE"""),"081281754528")</f>
        <v>081281754528</v>
      </c>
      <c r="W2430" s="45"/>
    </row>
    <row r="2431">
      <c r="A2431" s="45"/>
      <c r="B2431" s="24" t="str">
        <f>IFERROR(__xludf.DUMMYFUNCTION("""COMPUTED_VALUE"""),"24/04/2025 11:20:54")</f>
        <v>24/04/2025 11:20:54</v>
      </c>
      <c r="C2431" s="35"/>
      <c r="D2431" s="10">
        <f>IFERROR(__xludf.DUMMYFUNCTION("""COMPUTED_VALUE"""),45795.0)</f>
        <v>45795</v>
      </c>
      <c r="E2431" s="35" t="str">
        <f>IFERROR(__xludf.DUMMYFUNCTION("""COMPUTED_VALUE"""),"05Mei")</f>
        <v>05Mei</v>
      </c>
      <c r="F2431" s="34" t="str">
        <f>IFERROR(__xludf.DUMMYFUNCTION("""COMPUTED_VALUE"""),"2025")</f>
        <v>2025</v>
      </c>
      <c r="G2431" s="35" t="str">
        <f>IFERROR(__xludf.DUMMYFUNCTION("""COMPUTED_VALUE"""),"GENEVIE VALESKA")</f>
        <v>GENEVIE VALESKA</v>
      </c>
      <c r="H2431" s="35" t="str">
        <f>IFERROR(__xludf.DUMMYFUNCTION("""COMPUTED_VALUE"""),"G0925053655")</f>
        <v>G0925053655</v>
      </c>
      <c r="I2431" s="35">
        <f>IFERROR(__xludf.DUMMYFUNCTION("""COMPUTED_VALUE"""),16.0)</f>
        <v>16</v>
      </c>
      <c r="J2431" s="35" t="str">
        <f>IFERROR(__xludf.DUMMYFUNCTION("""COMPUTED_VALUE"""),"&lt; 18 tahun")</f>
        <v>&lt; 18 tahun</v>
      </c>
      <c r="K2431" s="21" t="str">
        <f>IFERROR(__xludf.DUMMYFUNCTION("""COMPUTED_VALUE"""),"14/06/2009")</f>
        <v>14/06/2009</v>
      </c>
      <c r="L2431" s="21" t="str">
        <f>IFERROR(__xludf.DUMMYFUNCTION("""COMPUTED_VALUE"""),"PEREMPUAN")</f>
        <v>PEREMPUAN</v>
      </c>
      <c r="M2431" s="35" t="str">
        <f>IFERROR(__xludf.DUMMYFUNCTION("""COMPUTED_VALUE"""),"SUNGAI PINYUH")</f>
        <v>SUNGAI PINYUH</v>
      </c>
      <c r="N2431" s="35" t="str">
        <f>IFERROR(__xludf.DUMMYFUNCTION("""COMPUTED_VALUE"""),"SUNGAI PINYUH")</f>
        <v>SUNGAI PINYUH</v>
      </c>
      <c r="O2431" s="35" t="str">
        <f>IFERROR(__xludf.DUMMYFUNCTION("""COMPUTED_VALUE"""),"SUNGAI PINYUH")</f>
        <v>SUNGAI PINYUH</v>
      </c>
      <c r="P2431" s="35" t="str">
        <f>IFERROR(__xludf.DUMMYFUNCTION("""COMPUTED_VALUE"""),"MEMPAWAH")</f>
        <v>MEMPAWAH</v>
      </c>
      <c r="Q2431" s="35" t="str">
        <f>IFERROR(__xludf.DUMMYFUNCTION("""COMPUTED_VALUE"""),"KALIMANTAN BARAT")</f>
        <v>KALIMANTAN BARAT</v>
      </c>
      <c r="R2431" s="21" t="str">
        <f>IFERROR(__xludf.DUMMYFUNCTION("""COMPUTED_VALUE"""),"BUDDHA")</f>
        <v>BUDDHA</v>
      </c>
      <c r="S2431" s="74" t="str">
        <f>IFERROR(__xludf.DUMMYFUNCTION("""COMPUTED_VALUE"""),"PELAJAR/ATLET BASKET")</f>
        <v>PELAJAR/ATLET BASKET</v>
      </c>
      <c r="T2431" s="35" t="str">
        <f>IFERROR(__xludf.DUMMYFUNCTION("""COMPUTED_VALUE"""),"NYERI DI BAGIAN BELAKANG LUTUT")</f>
        <v>NYERI DI BAGIAN BELAKANG LUTUT</v>
      </c>
      <c r="U2431" s="35" t="str">
        <f>IFERROR(__xludf.DUMMYFUNCTION("""COMPUTED_VALUE"""),"BASKET")</f>
        <v>BASKET</v>
      </c>
      <c r="V2431" s="37" t="str">
        <f>IFERROR(__xludf.DUMMYFUNCTION("""COMPUTED_VALUE"""),"082150213655")</f>
        <v>082150213655</v>
      </c>
      <c r="W2431" s="45"/>
    </row>
    <row r="2432">
      <c r="A2432" s="45"/>
      <c r="B2432" s="24" t="str">
        <f>IFERROR(__xludf.DUMMYFUNCTION("""COMPUTED_VALUE"""),"24/04/2025 10:15:06")</f>
        <v>24/04/2025 10:15:06</v>
      </c>
      <c r="C2432" s="35"/>
      <c r="D2432" s="10">
        <f>IFERROR(__xludf.DUMMYFUNCTION("""COMPUTED_VALUE"""),45795.0)</f>
        <v>45795</v>
      </c>
      <c r="E2432" s="35" t="str">
        <f>IFERROR(__xludf.DUMMYFUNCTION("""COMPUTED_VALUE"""),"05Mei")</f>
        <v>05Mei</v>
      </c>
      <c r="F2432" s="34" t="str">
        <f>IFERROR(__xludf.DUMMYFUNCTION("""COMPUTED_VALUE"""),"2025")</f>
        <v>2025</v>
      </c>
      <c r="G2432" s="35" t="str">
        <f>IFERROR(__xludf.DUMMYFUNCTION("""COMPUTED_VALUE"""),"HANDAYANI")</f>
        <v>HANDAYANI</v>
      </c>
      <c r="H2432" s="35" t="str">
        <f>IFERROR(__xludf.DUMMYFUNCTION("""COMPUTED_VALUE"""),"H0125056559")</f>
        <v>H0125056559</v>
      </c>
      <c r="I2432" s="35">
        <f>IFERROR(__xludf.DUMMYFUNCTION("""COMPUTED_VALUE"""),25.0)</f>
        <v>25</v>
      </c>
      <c r="J2432" s="35" t="str">
        <f>IFERROR(__xludf.DUMMYFUNCTION("""COMPUTED_VALUE"""),"25-34 tahun")</f>
        <v>25-34 tahun</v>
      </c>
      <c r="K2432" s="21" t="str">
        <f>IFERROR(__xludf.DUMMYFUNCTION("""COMPUTED_VALUE"""),"12/03/2001")</f>
        <v>12/03/2001</v>
      </c>
      <c r="L2432" s="21" t="str">
        <f>IFERROR(__xludf.DUMMYFUNCTION("""COMPUTED_VALUE"""),"LAKI-LAKI")</f>
        <v>LAKI-LAKI</v>
      </c>
      <c r="M2432" s="35" t="str">
        <f>IFERROR(__xludf.DUMMYFUNCTION("""COMPUTED_VALUE"""),"JL SEPAKAT DUSUN SEPAKAT JAYA. RT 02 RW 02")</f>
        <v>JL SEPAKAT DUSUN SEPAKAT JAYA. RT 02 RW 02</v>
      </c>
      <c r="N2432" s="35" t="str">
        <f>IFERROR(__xludf.DUMMYFUNCTION("""COMPUTED_VALUE"""),"DESA TELUK BAYUR")</f>
        <v>DESA TELUK BAYUR</v>
      </c>
      <c r="O2432" s="35" t="str">
        <f>IFERROR(__xludf.DUMMYFUNCTION("""COMPUTED_VALUE"""),"TERENTANG")</f>
        <v>TERENTANG</v>
      </c>
      <c r="P2432" s="35" t="str">
        <f>IFERROR(__xludf.DUMMYFUNCTION("""COMPUTED_VALUE"""),"KUBU RAYA")</f>
        <v>KUBU RAYA</v>
      </c>
      <c r="Q2432" s="35" t="str">
        <f>IFERROR(__xludf.DUMMYFUNCTION("""COMPUTED_VALUE"""),"KALIMANTAN BARAT")</f>
        <v>KALIMANTAN BARAT</v>
      </c>
      <c r="R2432" s="21" t="str">
        <f>IFERROR(__xludf.DUMMYFUNCTION("""COMPUTED_VALUE"""),"ISLAM")</f>
        <v>ISLAM</v>
      </c>
      <c r="S2432" s="74" t="str">
        <f>IFERROR(__xludf.DUMMYFUNCTION("""COMPUTED_VALUE"""),"MAHASISWA")</f>
        <v>MAHASISWA</v>
      </c>
      <c r="T2432" s="35" t="str">
        <f>IFERROR(__xludf.DUMMYFUNCTION("""COMPUTED_VALUE"""),"CIDERA LUTUT")</f>
        <v>CIDERA LUTUT</v>
      </c>
      <c r="U2432" s="35" t="str">
        <f>IFERROR(__xludf.DUMMYFUNCTION("""COMPUTED_VALUE"""),"KENAK PAS MAIN BADMINTON")</f>
        <v>KENAK PAS MAIN BADMINTON</v>
      </c>
      <c r="V2432" s="37" t="str">
        <f>IFERROR(__xludf.DUMMYFUNCTION("""COMPUTED_VALUE"""),"085753036559")</f>
        <v>085753036559</v>
      </c>
      <c r="W2432" s="45"/>
    </row>
    <row r="2433">
      <c r="A2433" s="45"/>
      <c r="B2433" s="24" t="str">
        <f>IFERROR(__xludf.DUMMYFUNCTION("""COMPUTED_VALUE"""),"24/04/2025 14:44:15")</f>
        <v>24/04/2025 14:44:15</v>
      </c>
      <c r="C2433" s="35"/>
      <c r="D2433" s="10">
        <f>IFERROR(__xludf.DUMMYFUNCTION("""COMPUTED_VALUE"""),45796.0)</f>
        <v>45796</v>
      </c>
      <c r="E2433" s="35" t="str">
        <f>IFERROR(__xludf.DUMMYFUNCTION("""COMPUTED_VALUE"""),"05Mei")</f>
        <v>05Mei</v>
      </c>
      <c r="F2433" s="34" t="str">
        <f>IFERROR(__xludf.DUMMYFUNCTION("""COMPUTED_VALUE"""),"2025")</f>
        <v>2025</v>
      </c>
      <c r="G2433" s="35" t="str">
        <f>IFERROR(__xludf.DUMMYFUNCTION("""COMPUTED_VALUE"""),"YESI FARADITA")</f>
        <v>YESI FARADITA</v>
      </c>
      <c r="H2433" s="35" t="str">
        <f>IFERROR(__xludf.DUMMYFUNCTION("""COMPUTED_VALUE"""),"Y9525051776")</f>
        <v>Y9525051776</v>
      </c>
      <c r="I2433" s="35">
        <f>IFERROR(__xludf.DUMMYFUNCTION("""COMPUTED_VALUE"""),30.0)</f>
        <v>30</v>
      </c>
      <c r="J2433" s="35" t="str">
        <f>IFERROR(__xludf.DUMMYFUNCTION("""COMPUTED_VALUE"""),"25-34 tahun")</f>
        <v>25-34 tahun</v>
      </c>
      <c r="K2433" s="21" t="str">
        <f>IFERROR(__xludf.DUMMYFUNCTION("""COMPUTED_VALUE"""),"04/12/1995")</f>
        <v>04/12/1995</v>
      </c>
      <c r="L2433" s="21" t="str">
        <f>IFERROR(__xludf.DUMMYFUNCTION("""COMPUTED_VALUE"""),"PEREMPUAN")</f>
        <v>PEREMPUAN</v>
      </c>
      <c r="M2433" s="35" t="str">
        <f>IFERROR(__xludf.DUMMYFUNCTION("""COMPUTED_VALUE"""),"JL TEKAM KOMP GRIYA PRATAMA")</f>
        <v>JL TEKAM KOMP GRIYA PRATAMA</v>
      </c>
      <c r="N2433" s="35" t="str">
        <f>IFERROR(__xludf.DUMMYFUNCTION("""COMPUTED_VALUE"""),"SAIGON")</f>
        <v>SAIGON</v>
      </c>
      <c r="O2433" s="35" t="str">
        <f>IFERROR(__xludf.DUMMYFUNCTION("""COMPUTED_VALUE"""),"PONTIANAK TIMUR")</f>
        <v>PONTIANAK TIMUR</v>
      </c>
      <c r="P2433" s="35" t="str">
        <f>IFERROR(__xludf.DUMMYFUNCTION("""COMPUTED_VALUE"""),"PONTIANAK")</f>
        <v>PONTIANAK</v>
      </c>
      <c r="Q2433" s="35" t="str">
        <f>IFERROR(__xludf.DUMMYFUNCTION("""COMPUTED_VALUE"""),"KALBAR")</f>
        <v>KALBAR</v>
      </c>
      <c r="R2433" s="21" t="str">
        <f>IFERROR(__xludf.DUMMYFUNCTION("""COMPUTED_VALUE"""),"ISLAM")</f>
        <v>ISLAM</v>
      </c>
      <c r="S2433" s="74" t="str">
        <f>IFERROR(__xludf.DUMMYFUNCTION("""COMPUTED_VALUE"""),"BUMN")</f>
        <v>BUMN</v>
      </c>
      <c r="T2433" s="35" t="str">
        <f>IFERROR(__xludf.DUMMYFUNCTION("""COMPUTED_VALUE"""),"NYERI PUNDAK SEBELAH KIRI HINGGA LEHER")</f>
        <v>NYERI PUNDAK SEBELAH KIRI HINGGA LEHER</v>
      </c>
      <c r="U2433" s="35" t="str">
        <f>IFERROR(__xludf.DUMMYFUNCTION("""COMPUTED_VALUE"""),"DUDUK LEBIH DARI 12 JAM")</f>
        <v>DUDUK LEBIH DARI 12 JAM</v>
      </c>
      <c r="V2433" s="37" t="str">
        <f>IFERROR(__xludf.DUMMYFUNCTION("""COMPUTED_VALUE"""),"082332641776")</f>
        <v>082332641776</v>
      </c>
      <c r="W2433" s="45"/>
    </row>
    <row r="2434">
      <c r="A2434" s="45"/>
      <c r="B2434" s="24" t="str">
        <f>IFERROR(__xludf.DUMMYFUNCTION("""COMPUTED_VALUE"""),"24/04/2025 14:48:01")</f>
        <v>24/04/2025 14:48:01</v>
      </c>
      <c r="C2434" s="35"/>
      <c r="D2434" s="10">
        <f>IFERROR(__xludf.DUMMYFUNCTION("""COMPUTED_VALUE"""),45796.0)</f>
        <v>45796</v>
      </c>
      <c r="E2434" s="35" t="str">
        <f>IFERROR(__xludf.DUMMYFUNCTION("""COMPUTED_VALUE"""),"05Mei")</f>
        <v>05Mei</v>
      </c>
      <c r="F2434" s="34" t="str">
        <f>IFERROR(__xludf.DUMMYFUNCTION("""COMPUTED_VALUE"""),"2025")</f>
        <v>2025</v>
      </c>
      <c r="G2434" s="35" t="str">
        <f>IFERROR(__xludf.DUMMYFUNCTION("""COMPUTED_VALUE"""),"HENDRI 8902")</f>
        <v>HENDRI 8902</v>
      </c>
      <c r="H2434" s="35" t="str">
        <f>IFERROR(__xludf.DUMMYFUNCTION("""COMPUTED_VALUE"""),"H8925054905")</f>
        <v>H8925054905</v>
      </c>
      <c r="I2434" s="35">
        <f>IFERROR(__xludf.DUMMYFUNCTION("""COMPUTED_VALUE"""),37.0)</f>
        <v>37</v>
      </c>
      <c r="J2434" s="35" t="str">
        <f>IFERROR(__xludf.DUMMYFUNCTION("""COMPUTED_VALUE"""),"35-44 tahun")</f>
        <v>35-44 tahun</v>
      </c>
      <c r="K2434" s="21" t="str">
        <f>IFERROR(__xludf.DUMMYFUNCTION("""COMPUTED_VALUE"""),"23/02/1989")</f>
        <v>23/02/1989</v>
      </c>
      <c r="L2434" s="21" t="str">
        <f>IFERROR(__xludf.DUMMYFUNCTION("""COMPUTED_VALUE"""),"LAKI-LAKI")</f>
        <v>LAKI-LAKI</v>
      </c>
      <c r="M2434" s="35" t="str">
        <f>IFERROR(__xludf.DUMMYFUNCTION("""COMPUTED_VALUE"""),"JL. YA’M SABRAN GG. PENTAGON KOMP. HANNA GRIYA NO B.15")</f>
        <v>JL. YA’M SABRAN GG. PENTAGON KOMP. HANNA GRIYA NO B.15</v>
      </c>
      <c r="N2434" s="35" t="str">
        <f>IFERROR(__xludf.DUMMYFUNCTION("""COMPUTED_VALUE"""),"TANJUNG HULU")</f>
        <v>TANJUNG HULU</v>
      </c>
      <c r="O2434" s="35" t="str">
        <f>IFERROR(__xludf.DUMMYFUNCTION("""COMPUTED_VALUE"""),"PONTIANAK TIMUR")</f>
        <v>PONTIANAK TIMUR</v>
      </c>
      <c r="P2434" s="35" t="str">
        <f>IFERROR(__xludf.DUMMYFUNCTION("""COMPUTED_VALUE"""),"KOTA PONTIANAK")</f>
        <v>KOTA PONTIANAK</v>
      </c>
      <c r="Q2434" s="35" t="str">
        <f>IFERROR(__xludf.DUMMYFUNCTION("""COMPUTED_VALUE"""),"KALIMANTAN BARAT")</f>
        <v>KALIMANTAN BARAT</v>
      </c>
      <c r="R2434" s="21" t="str">
        <f>IFERROR(__xludf.DUMMYFUNCTION("""COMPUTED_VALUE"""),"ISLAM")</f>
        <v>ISLAM</v>
      </c>
      <c r="S2434" s="74" t="str">
        <f>IFERROR(__xludf.DUMMYFUNCTION("""COMPUTED_VALUE"""),"GURU")</f>
        <v>GURU</v>
      </c>
      <c r="T2434" s="35" t="str">
        <f>IFERROR(__xludf.DUMMYFUNCTION("""COMPUTED_VALUE"""),"RASA NYERI/SAKIT DI BAGIAN PINGANG, BOKONG, PAHA DAN BETIS SEBELAH KANAN")</f>
        <v>RASA NYERI/SAKIT DI BAGIAN PINGANG, BOKONG, PAHA DAN BETIS SEBELAH KANAN</v>
      </c>
      <c r="U2434" s="35" t="str">
        <f>IFERROR(__xludf.DUMMYFUNCTION("""COMPUTED_VALUE"""),"MINI SOCCER, GYM, MENGAJAR OLAHRAGA")</f>
        <v>MINI SOCCER, GYM, MENGAJAR OLAHRAGA</v>
      </c>
      <c r="V2434" s="37" t="str">
        <f>IFERROR(__xludf.DUMMYFUNCTION("""COMPUTED_VALUE"""),"085705624905")</f>
        <v>085705624905</v>
      </c>
      <c r="W2434" s="45"/>
    </row>
    <row r="2435">
      <c r="A2435" s="45"/>
      <c r="B2435" s="24" t="str">
        <f>IFERROR(__xludf.DUMMYFUNCTION("""COMPUTED_VALUE"""),"25/04/2025 13:55:42")</f>
        <v>25/04/2025 13:55:42</v>
      </c>
      <c r="C2435" s="35"/>
      <c r="D2435" s="10">
        <f>IFERROR(__xludf.DUMMYFUNCTION("""COMPUTED_VALUE"""),45797.0)</f>
        <v>45797</v>
      </c>
      <c r="E2435" s="35" t="str">
        <f>IFERROR(__xludf.DUMMYFUNCTION("""COMPUTED_VALUE"""),"05Mei")</f>
        <v>05Mei</v>
      </c>
      <c r="F2435" s="34" t="str">
        <f>IFERROR(__xludf.DUMMYFUNCTION("""COMPUTED_VALUE"""),"2025")</f>
        <v>2025</v>
      </c>
      <c r="G2435" s="35" t="str">
        <f>IFERROR(__xludf.DUMMYFUNCTION("""COMPUTED_VALUE"""),"GRATIA MOCHALINA")</f>
        <v>GRATIA MOCHALINA</v>
      </c>
      <c r="H2435" s="35" t="str">
        <f>IFERROR(__xludf.DUMMYFUNCTION("""COMPUTED_VALUE"""),"G0625056807")</f>
        <v>G0625056807</v>
      </c>
      <c r="I2435" s="35">
        <f>IFERROR(__xludf.DUMMYFUNCTION("""COMPUTED_VALUE"""),19.0)</f>
        <v>19</v>
      </c>
      <c r="J2435" s="35" t="str">
        <f>IFERROR(__xludf.DUMMYFUNCTION("""COMPUTED_VALUE"""),"18-24 tahun")</f>
        <v>18-24 tahun</v>
      </c>
      <c r="K2435" s="21" t="str">
        <f>IFERROR(__xludf.DUMMYFUNCTION("""COMPUTED_VALUE"""),"17/08/2006")</f>
        <v>17/08/2006</v>
      </c>
      <c r="L2435" s="21" t="str">
        <f>IFERROR(__xludf.DUMMYFUNCTION("""COMPUTED_VALUE"""),"PEREMPUAN")</f>
        <v>PEREMPUAN</v>
      </c>
      <c r="M2435" s="35" t="str">
        <f>IFERROR(__xludf.DUMMYFUNCTION("""COMPUTED_VALUE"""),"MEKAR SARI II")</f>
        <v>MEKAR SARI II</v>
      </c>
      <c r="N2435" s="35" t="str">
        <f>IFERROR(__xludf.DUMMYFUNCTION("""COMPUTED_VALUE"""),"PAAL")</f>
        <v>PAAL</v>
      </c>
      <c r="O2435" s="35" t="str">
        <f>IFERROR(__xludf.DUMMYFUNCTION("""COMPUTED_VALUE"""),"NANGA PINOH")</f>
        <v>NANGA PINOH</v>
      </c>
      <c r="P2435" s="35" t="str">
        <f>IFERROR(__xludf.DUMMYFUNCTION("""COMPUTED_VALUE"""),"MELAWI")</f>
        <v>MELAWI</v>
      </c>
      <c r="Q2435" s="35" t="str">
        <f>IFERROR(__xludf.DUMMYFUNCTION("""COMPUTED_VALUE"""),"KALIMANTAN BARAT")</f>
        <v>KALIMANTAN BARAT</v>
      </c>
      <c r="R2435" s="21" t="str">
        <f>IFERROR(__xludf.DUMMYFUNCTION("""COMPUTED_VALUE"""),"PROTESTAN")</f>
        <v>PROTESTAN</v>
      </c>
      <c r="S2435" s="74" t="str">
        <f>IFERROR(__xludf.DUMMYFUNCTION("""COMPUTED_VALUE"""),"PELAJAR")</f>
        <v>PELAJAR</v>
      </c>
      <c r="T2435" s="35" t="str">
        <f>IFERROR(__xludf.DUMMYFUNCTION("""COMPUTED_VALUE"""),"SAKIT PINGGANG, SUSAH BERJALAN DAN POSISI PINGGANG SEDIKIT MIRING")</f>
        <v>SAKIT PINGGANG, SUSAH BERJALAN DAN POSISI PINGGANG SEDIKIT MIRING</v>
      </c>
      <c r="U2435" s="35" t="str">
        <f>IFERROR(__xludf.DUMMYFUNCTION("""COMPUTED_VALUE"""),"TIDAK ADA")</f>
        <v>TIDAK ADA</v>
      </c>
      <c r="V2435" s="37" t="str">
        <f>IFERROR(__xludf.DUMMYFUNCTION("""COMPUTED_VALUE"""),"085787226807")</f>
        <v>085787226807</v>
      </c>
      <c r="W2435" s="45"/>
    </row>
    <row r="2436">
      <c r="A2436" s="45"/>
      <c r="B2436" s="24" t="str">
        <f>IFERROR(__xludf.DUMMYFUNCTION("""COMPUTED_VALUE"""),"23/04/2025 17:02:43")</f>
        <v>23/04/2025 17:02:43</v>
      </c>
      <c r="C2436" s="35"/>
      <c r="D2436" s="10">
        <f>IFERROR(__xludf.DUMMYFUNCTION("""COMPUTED_VALUE"""),45797.0)</f>
        <v>45797</v>
      </c>
      <c r="E2436" s="35" t="str">
        <f>IFERROR(__xludf.DUMMYFUNCTION("""COMPUTED_VALUE"""),"05Mei")</f>
        <v>05Mei</v>
      </c>
      <c r="F2436" s="34" t="str">
        <f>IFERROR(__xludf.DUMMYFUNCTION("""COMPUTED_VALUE"""),"2025")</f>
        <v>2025</v>
      </c>
      <c r="G2436" s="35" t="str">
        <f>IFERROR(__xludf.DUMMYFUNCTION("""COMPUTED_VALUE"""),"SUWANRY")</f>
        <v>SUWANRY</v>
      </c>
      <c r="H2436" s="35" t="str">
        <f>IFERROR(__xludf.DUMMYFUNCTION("""COMPUTED_VALUE"""),"S6825050166")</f>
        <v>S6825050166</v>
      </c>
      <c r="I2436" s="35">
        <f>IFERROR(__xludf.DUMMYFUNCTION("""COMPUTED_VALUE"""),58.0)</f>
        <v>58</v>
      </c>
      <c r="J2436" s="35" t="str">
        <f>IFERROR(__xludf.DUMMYFUNCTION("""COMPUTED_VALUE"""),"&gt; 44 tahun")</f>
        <v>&gt; 44 tahun</v>
      </c>
      <c r="K2436" s="21" t="str">
        <f>IFERROR(__xludf.DUMMYFUNCTION("""COMPUTED_VALUE"""),"27/03/1968")</f>
        <v>27/03/1968</v>
      </c>
      <c r="L2436" s="21" t="str">
        <f>IFERROR(__xludf.DUMMYFUNCTION("""COMPUTED_VALUE"""),"LAKI-LAKI")</f>
        <v>LAKI-LAKI</v>
      </c>
      <c r="M2436" s="35" t="str">
        <f>IFERROR(__xludf.DUMMYFUNCTION("""COMPUTED_VALUE"""),"JALAN ILHAM KOMP. ILHAM")</f>
        <v>JALAN ILHAM KOMP. ILHAM</v>
      </c>
      <c r="N2436" s="35" t="str">
        <f>IFERROR(__xludf.DUMMYFUNCTION("""COMPUTED_VALUE"""),"PONTIANAK")</f>
        <v>PONTIANAK</v>
      </c>
      <c r="O2436" s="35" t="str">
        <f>IFERROR(__xludf.DUMMYFUNCTION("""COMPUTED_VALUE"""),"PONTIANAK KOTA")</f>
        <v>PONTIANAK KOTA</v>
      </c>
      <c r="P2436" s="35" t="str">
        <f>IFERROR(__xludf.DUMMYFUNCTION("""COMPUTED_VALUE"""),"KOTA PONTIANAK")</f>
        <v>KOTA PONTIANAK</v>
      </c>
      <c r="Q2436" s="35" t="str">
        <f>IFERROR(__xludf.DUMMYFUNCTION("""COMPUTED_VALUE"""),"KALIMANTAN BARAT")</f>
        <v>KALIMANTAN BARAT</v>
      </c>
      <c r="R2436" s="21" t="str">
        <f>IFERROR(__xludf.DUMMYFUNCTION("""COMPUTED_VALUE"""),"ISLAM")</f>
        <v>ISLAM</v>
      </c>
      <c r="S2436" s="74" t="str">
        <f>IFERROR(__xludf.DUMMYFUNCTION("""COMPUTED_VALUE"""),"PNS")</f>
        <v>PNS</v>
      </c>
      <c r="T2436" s="35" t="str">
        <f>IFERROR(__xludf.DUMMYFUNCTION("""COMPUTED_VALUE"""),"SYARAF KEJEPIT")</f>
        <v>SYARAF KEJEPIT</v>
      </c>
      <c r="U2436" s="35" t="str">
        <f>IFERROR(__xludf.DUMMYFUNCTION("""COMPUTED_VALUE"""),"-")</f>
        <v>-</v>
      </c>
      <c r="V2436" s="37" t="str">
        <f>IFERROR(__xludf.DUMMYFUNCTION("""COMPUTED_VALUE"""),"082254670166")</f>
        <v>082254670166</v>
      </c>
      <c r="W2436" s="45"/>
    </row>
    <row r="2437">
      <c r="A2437" s="45"/>
      <c r="B2437" s="24" t="str">
        <f>IFERROR(__xludf.DUMMYFUNCTION("""COMPUTED_VALUE"""),"26/04/2025 9:18:45")</f>
        <v>26/04/2025 9:18:45</v>
      </c>
      <c r="C2437" s="35"/>
      <c r="D2437" s="10">
        <f>IFERROR(__xludf.DUMMYFUNCTION("""COMPUTED_VALUE"""),45798.0)</f>
        <v>45798</v>
      </c>
      <c r="E2437" s="35" t="str">
        <f>IFERROR(__xludf.DUMMYFUNCTION("""COMPUTED_VALUE"""),"05Mei")</f>
        <v>05Mei</v>
      </c>
      <c r="F2437" s="34" t="str">
        <f>IFERROR(__xludf.DUMMYFUNCTION("""COMPUTED_VALUE"""),"2025")</f>
        <v>2025</v>
      </c>
      <c r="G2437" s="35" t="str">
        <f>IFERROR(__xludf.DUMMYFUNCTION("""COMPUTED_VALUE"""),"MUHAMMAD NAUFAL ARYOSTIA PRATAMA")</f>
        <v>MUHAMMAD NAUFAL ARYOSTIA PRATAMA</v>
      </c>
      <c r="H2437" s="35" t="str">
        <f>IFERROR(__xludf.DUMMYFUNCTION("""COMPUTED_VALUE"""),"M0725054401")</f>
        <v>M0725054401</v>
      </c>
      <c r="I2437" s="35">
        <f>IFERROR(__xludf.DUMMYFUNCTION("""COMPUTED_VALUE"""),18.0)</f>
        <v>18</v>
      </c>
      <c r="J2437" s="35" t="str">
        <f>IFERROR(__xludf.DUMMYFUNCTION("""COMPUTED_VALUE"""),"&lt; 18 tahun")</f>
        <v>&lt; 18 tahun</v>
      </c>
      <c r="K2437" s="21" t="str">
        <f>IFERROR(__xludf.DUMMYFUNCTION("""COMPUTED_VALUE"""),"25/11/2007")</f>
        <v>25/11/2007</v>
      </c>
      <c r="L2437" s="21" t="str">
        <f>IFERROR(__xludf.DUMMYFUNCTION("""COMPUTED_VALUE"""),"LAKI-LAKI")</f>
        <v>LAKI-LAKI</v>
      </c>
      <c r="M2437" s="35" t="str">
        <f>IFERROR(__xludf.DUMMYFUNCTION("""COMPUTED_VALUE"""),"JL TRANS KALIMANTAN")</f>
        <v>JL TRANS KALIMANTAN</v>
      </c>
      <c r="N2437" s="35" t="str">
        <f>IFERROR(__xludf.DUMMYFUNCTION("""COMPUTED_VALUE"""),"PARIT ADAM")</f>
        <v>PARIT ADAM</v>
      </c>
      <c r="O2437" s="35" t="str">
        <f>IFERROR(__xludf.DUMMYFUNCTION("""COMPUTED_VALUE"""),"AMBAWANG")</f>
        <v>AMBAWANG</v>
      </c>
      <c r="P2437" s="35" t="str">
        <f>IFERROR(__xludf.DUMMYFUNCTION("""COMPUTED_VALUE"""),"KUBU RAYA")</f>
        <v>KUBU RAYA</v>
      </c>
      <c r="Q2437" s="35" t="str">
        <f>IFERROR(__xludf.DUMMYFUNCTION("""COMPUTED_VALUE"""),"KALIMANTAN BARAT")</f>
        <v>KALIMANTAN BARAT</v>
      </c>
      <c r="R2437" s="21" t="str">
        <f>IFERROR(__xludf.DUMMYFUNCTION("""COMPUTED_VALUE"""),"ISLAM")</f>
        <v>ISLAM</v>
      </c>
      <c r="S2437" s="74" t="str">
        <f>IFERROR(__xludf.DUMMYFUNCTION("""COMPUTED_VALUE"""),"SISWA")</f>
        <v>SISWA</v>
      </c>
      <c r="T2437" s="35" t="str">
        <f>IFERROR(__xludf.DUMMYFUNCTION("""COMPUTED_VALUE"""),"TUMIT TIDAK BISA DITEKU")</f>
        <v>TUMIT TIDAK BISA DITEKU</v>
      </c>
      <c r="U2437" s="35" t="str">
        <f>IFERROR(__xludf.DUMMYFUNCTION("""COMPUTED_VALUE"""),"TIDAK ADA")</f>
        <v>TIDAK ADA</v>
      </c>
      <c r="V2437" s="37" t="str">
        <f>IFERROR(__xludf.DUMMYFUNCTION("""COMPUTED_VALUE"""),"085391754401")</f>
        <v>085391754401</v>
      </c>
      <c r="W2437" s="45"/>
    </row>
    <row r="2438">
      <c r="A2438" s="45"/>
      <c r="B2438" s="24" t="str">
        <f>IFERROR(__xludf.DUMMYFUNCTION("""COMPUTED_VALUE"""),"26/04/2025 10:40:14")</f>
        <v>26/04/2025 10:40:14</v>
      </c>
      <c r="C2438" s="35"/>
      <c r="D2438" s="10">
        <f>IFERROR(__xludf.DUMMYFUNCTION("""COMPUTED_VALUE"""),45798.0)</f>
        <v>45798</v>
      </c>
      <c r="E2438" s="35" t="str">
        <f>IFERROR(__xludf.DUMMYFUNCTION("""COMPUTED_VALUE"""),"05Mei")</f>
        <v>05Mei</v>
      </c>
      <c r="F2438" s="34" t="str">
        <f>IFERROR(__xludf.DUMMYFUNCTION("""COMPUTED_VALUE"""),"2025")</f>
        <v>2025</v>
      </c>
      <c r="G2438" s="35" t="str">
        <f>IFERROR(__xludf.DUMMYFUNCTION("""COMPUTED_VALUE"""),"SUWANDI 7609")</f>
        <v>SUWANDI 7609</v>
      </c>
      <c r="H2438" s="35" t="str">
        <f>IFERROR(__xludf.DUMMYFUNCTION("""COMPUTED_VALUE"""),"S7625058881")</f>
        <v>S7625058881</v>
      </c>
      <c r="I2438" s="35">
        <f>IFERROR(__xludf.DUMMYFUNCTION("""COMPUTED_VALUE"""),49.0)</f>
        <v>49</v>
      </c>
      <c r="J2438" s="35" t="str">
        <f>IFERROR(__xludf.DUMMYFUNCTION("""COMPUTED_VALUE"""),"&gt; 44 tahun")</f>
        <v>&gt; 44 tahun</v>
      </c>
      <c r="K2438" s="21" t="str">
        <f>IFERROR(__xludf.DUMMYFUNCTION("""COMPUTED_VALUE"""),"20/09/1976")</f>
        <v>20/09/1976</v>
      </c>
      <c r="L2438" s="21" t="str">
        <f>IFERROR(__xludf.DUMMYFUNCTION("""COMPUTED_VALUE"""),"LAKI-LAKI")</f>
        <v>LAKI-LAKI</v>
      </c>
      <c r="M2438" s="35" t="str">
        <f>IFERROR(__xludf.DUMMYFUNCTION("""COMPUTED_VALUE"""),"GG GUNUNG PALONG 1 NO 3A")</f>
        <v>GG GUNUNG PALONG 1 NO 3A</v>
      </c>
      <c r="N2438" s="35" t="str">
        <f>IFERROR(__xludf.DUMMYFUNCTION("""COMPUTED_VALUE"""),"SEI JAWI")</f>
        <v>SEI JAWI</v>
      </c>
      <c r="O2438" s="35" t="str">
        <f>IFERROR(__xludf.DUMMYFUNCTION("""COMPUTED_VALUE"""),"PONTIANAK KOTA")</f>
        <v>PONTIANAK KOTA</v>
      </c>
      <c r="P2438" s="35" t="str">
        <f>IFERROR(__xludf.DUMMYFUNCTION("""COMPUTED_VALUE"""),"PONTIANAK")</f>
        <v>PONTIANAK</v>
      </c>
      <c r="Q2438" s="35" t="str">
        <f>IFERROR(__xludf.DUMMYFUNCTION("""COMPUTED_VALUE"""),"KALBAR")</f>
        <v>KALBAR</v>
      </c>
      <c r="R2438" s="21" t="str">
        <f>IFERROR(__xludf.DUMMYFUNCTION("""COMPUTED_VALUE"""),"ISLAM")</f>
        <v>ISLAM</v>
      </c>
      <c r="S2438" s="74" t="str">
        <f>IFERROR(__xludf.DUMMYFUNCTION("""COMPUTED_VALUE"""),"SWASTA")</f>
        <v>SWASTA</v>
      </c>
      <c r="T2438" s="35" t="str">
        <f>IFERROR(__xludf.DUMMYFUNCTION("""COMPUTED_VALUE"""),"KEBAS KAKI TANGAN")</f>
        <v>KEBAS KAKI TANGAN</v>
      </c>
      <c r="U2438" s="35" t="str">
        <f>IFERROR(__xludf.DUMMYFUNCTION("""COMPUTED_VALUE"""),"DEPAN KOMPUTER")</f>
        <v>DEPAN KOMPUTER</v>
      </c>
      <c r="V2438" s="37" t="str">
        <f>IFERROR(__xludf.DUMMYFUNCTION("""COMPUTED_VALUE"""),"085252098881")</f>
        <v>085252098881</v>
      </c>
      <c r="W2438" s="45"/>
    </row>
    <row r="2439">
      <c r="A2439" s="45"/>
      <c r="B2439" s="24" t="str">
        <f>IFERROR(__xludf.DUMMYFUNCTION("""COMPUTED_VALUE"""),"26/04/2025 14:16:09")</f>
        <v>26/04/2025 14:16:09</v>
      </c>
      <c r="C2439" s="35"/>
      <c r="D2439" s="10">
        <f>IFERROR(__xludf.DUMMYFUNCTION("""COMPUTED_VALUE"""),45799.0)</f>
        <v>45799</v>
      </c>
      <c r="E2439" s="35" t="str">
        <f>IFERROR(__xludf.DUMMYFUNCTION("""COMPUTED_VALUE"""),"05Mei")</f>
        <v>05Mei</v>
      </c>
      <c r="F2439" s="34" t="str">
        <f>IFERROR(__xludf.DUMMYFUNCTION("""COMPUTED_VALUE"""),"2025")</f>
        <v>2025</v>
      </c>
      <c r="G2439" s="35" t="str">
        <f>IFERROR(__xludf.DUMMYFUNCTION("""COMPUTED_VALUE"""),"SHELLA NOVIYANSHE")</f>
        <v>SHELLA NOVIYANSHE</v>
      </c>
      <c r="H2439" s="35" t="str">
        <f>IFERROR(__xludf.DUMMYFUNCTION("""COMPUTED_VALUE"""),"S9725054040")</f>
        <v>S9725054040</v>
      </c>
      <c r="I2439" s="35">
        <f>IFERROR(__xludf.DUMMYFUNCTION("""COMPUTED_VALUE"""),28.0)</f>
        <v>28</v>
      </c>
      <c r="J2439" s="35" t="str">
        <f>IFERROR(__xludf.DUMMYFUNCTION("""COMPUTED_VALUE"""),"25-34 tahun")</f>
        <v>25-34 tahun</v>
      </c>
      <c r="K2439" s="21" t="str">
        <f>IFERROR(__xludf.DUMMYFUNCTION("""COMPUTED_VALUE"""),"09/11/1997")</f>
        <v>09/11/1997</v>
      </c>
      <c r="L2439" s="21" t="str">
        <f>IFERROR(__xludf.DUMMYFUNCTION("""COMPUTED_VALUE"""),"PEREMPUAN")</f>
        <v>PEREMPUAN</v>
      </c>
      <c r="M2439" s="35" t="str">
        <f>IFERROR(__xludf.DUMMYFUNCTION("""COMPUTED_VALUE"""),"JL. PARIT H.HUSIN II KOMP.MITRA PARIS NO.B1 RT. 002 RW.08")</f>
        <v>JL. PARIT H.HUSIN II KOMP.MITRA PARIS NO.B1 RT. 002 RW.08</v>
      </c>
      <c r="N2439" s="35" t="str">
        <f>IFERROR(__xludf.DUMMYFUNCTION("""COMPUTED_VALUE"""),"KEL. BANSIR DARAT")</f>
        <v>KEL. BANSIR DARAT</v>
      </c>
      <c r="O2439" s="35" t="str">
        <f>IFERROR(__xludf.DUMMYFUNCTION("""COMPUTED_VALUE"""),"KEC. PONTIANAK TENGGARA.")</f>
        <v>KEC. PONTIANAK TENGGARA.</v>
      </c>
      <c r="P2439" s="35" t="str">
        <f>IFERROR(__xludf.DUMMYFUNCTION("""COMPUTED_VALUE"""),"KOTA PONTIANAK.")</f>
        <v>KOTA PONTIANAK.</v>
      </c>
      <c r="Q2439" s="35" t="str">
        <f>IFERROR(__xludf.DUMMYFUNCTION("""COMPUTED_VALUE"""),"KALIMANTAN BARAT")</f>
        <v>KALIMANTAN BARAT</v>
      </c>
      <c r="R2439" s="21" t="str">
        <f>IFERROR(__xludf.DUMMYFUNCTION("""COMPUTED_VALUE"""),"ISLAM")</f>
        <v>ISLAM</v>
      </c>
      <c r="S2439" s="74" t="str">
        <f>IFERROR(__xludf.DUMMYFUNCTION("""COMPUTED_VALUE"""),"SWASTA")</f>
        <v>SWASTA</v>
      </c>
      <c r="T2439" s="35" t="str">
        <f>IFERROR(__xludf.DUMMYFUNCTION("""COMPUTED_VALUE"""),"THIGHT DI OTOT TRAPEZIUM")</f>
        <v>THIGHT DI OTOT TRAPEZIUM</v>
      </c>
      <c r="U2439" s="35" t="str">
        <f>IFERROR(__xludf.DUMMYFUNCTION("""COMPUTED_VALUE"""),"SALAH TIDUR")</f>
        <v>SALAH TIDUR</v>
      </c>
      <c r="V2439" s="37" t="str">
        <f>IFERROR(__xludf.DUMMYFUNCTION("""COMPUTED_VALUE"""),"08115754040")</f>
        <v>08115754040</v>
      </c>
      <c r="W2439" s="45"/>
    </row>
    <row r="2440">
      <c r="A2440" s="45"/>
      <c r="B2440" s="24" t="str">
        <f>IFERROR(__xludf.DUMMYFUNCTION("""COMPUTED_VALUE"""),"26/04/2025 15:02:08")</f>
        <v>26/04/2025 15:02:08</v>
      </c>
      <c r="C2440" s="35"/>
      <c r="D2440" s="10">
        <f>IFERROR(__xludf.DUMMYFUNCTION("""COMPUTED_VALUE"""),45800.0)</f>
        <v>45800</v>
      </c>
      <c r="E2440" s="35" t="str">
        <f>IFERROR(__xludf.DUMMYFUNCTION("""COMPUTED_VALUE"""),"05Mei")</f>
        <v>05Mei</v>
      </c>
      <c r="F2440" s="34" t="str">
        <f>IFERROR(__xludf.DUMMYFUNCTION("""COMPUTED_VALUE"""),"2025")</f>
        <v>2025</v>
      </c>
      <c r="G2440" s="35" t="str">
        <f>IFERROR(__xludf.DUMMYFUNCTION("""COMPUTED_VALUE"""),"NOEVAL")</f>
        <v>NOEVAL</v>
      </c>
      <c r="H2440" s="35" t="str">
        <f>IFERROR(__xludf.DUMMYFUNCTION("""COMPUTED_VALUE"""),"N0425055874")</f>
        <v>N0425055874</v>
      </c>
      <c r="I2440" s="35">
        <f>IFERROR(__xludf.DUMMYFUNCTION("""COMPUTED_VALUE"""),22.0)</f>
        <v>22</v>
      </c>
      <c r="J2440" s="35" t="str">
        <f>IFERROR(__xludf.DUMMYFUNCTION("""COMPUTED_VALUE"""),"18-24 tahun")</f>
        <v>18-24 tahun</v>
      </c>
      <c r="K2440" s="21" t="str">
        <f>IFERROR(__xludf.DUMMYFUNCTION("""COMPUTED_VALUE"""),"13/01/2004")</f>
        <v>13/01/2004</v>
      </c>
      <c r="L2440" s="21" t="str">
        <f>IFERROR(__xludf.DUMMYFUNCTION("""COMPUTED_VALUE"""),"LAKI-LAKI")</f>
        <v>LAKI-LAKI</v>
      </c>
      <c r="M2440" s="35" t="str">
        <f>IFERROR(__xludf.DUMMYFUNCTION("""COMPUTED_VALUE"""),"JLN TABRANI AHMAD GG BERKIAN")</f>
        <v>JLN TABRANI AHMAD GG BERKIAN</v>
      </c>
      <c r="N2440" s="35" t="str">
        <f>IFERROR(__xludf.DUMMYFUNCTION("""COMPUTED_VALUE"""),"PAL LIMA")</f>
        <v>PAL LIMA</v>
      </c>
      <c r="O2440" s="35" t="str">
        <f>IFERROR(__xludf.DUMMYFUNCTION("""COMPUTED_VALUE"""),"PONTIANAK BARAT")</f>
        <v>PONTIANAK BARAT</v>
      </c>
      <c r="P2440" s="35" t="str">
        <f>IFERROR(__xludf.DUMMYFUNCTION("""COMPUTED_VALUE"""),"PONTIANAK")</f>
        <v>PONTIANAK</v>
      </c>
      <c r="Q2440" s="35" t="str">
        <f>IFERROR(__xludf.DUMMYFUNCTION("""COMPUTED_VALUE"""),"KALIMANTAN")</f>
        <v>KALIMANTAN</v>
      </c>
      <c r="R2440" s="21" t="str">
        <f>IFERROR(__xludf.DUMMYFUNCTION("""COMPUTED_VALUE"""),"ISLAM")</f>
        <v>ISLAM</v>
      </c>
      <c r="S2440" s="74" t="str">
        <f>IFERROR(__xludf.DUMMYFUNCTION("""COMPUTED_VALUE"""),"-")</f>
        <v>-</v>
      </c>
      <c r="T2440" s="35" t="str">
        <f>IFERROR(__xludf.DUMMYFUNCTION("""COMPUTED_VALUE"""),"SAKIT DI BAHU")</f>
        <v>SAKIT DI BAHU</v>
      </c>
      <c r="U2440" s="35" t="str">
        <f>IFERROR(__xludf.DUMMYFUNCTION("""COMPUTED_VALUE"""),"BADMINTON")</f>
        <v>BADMINTON</v>
      </c>
      <c r="V2440" s="37" t="str">
        <f>IFERROR(__xludf.DUMMYFUNCTION("""COMPUTED_VALUE"""),"082213405874")</f>
        <v>082213405874</v>
      </c>
      <c r="W2440" s="45"/>
    </row>
    <row r="2441">
      <c r="A2441" s="45"/>
      <c r="B2441" s="24" t="str">
        <f>IFERROR(__xludf.DUMMYFUNCTION("""COMPUTED_VALUE"""),"26/04/2025 16:17:03")</f>
        <v>26/04/2025 16:17:03</v>
      </c>
      <c r="C2441" s="35"/>
      <c r="D2441" s="10">
        <f>IFERROR(__xludf.DUMMYFUNCTION("""COMPUTED_VALUE"""),45800.0)</f>
        <v>45800</v>
      </c>
      <c r="E2441" s="35" t="str">
        <f>IFERROR(__xludf.DUMMYFUNCTION("""COMPUTED_VALUE"""),"05Mei")</f>
        <v>05Mei</v>
      </c>
      <c r="F2441" s="34" t="str">
        <f>IFERROR(__xludf.DUMMYFUNCTION("""COMPUTED_VALUE"""),"2025")</f>
        <v>2025</v>
      </c>
      <c r="G2441" s="35" t="str">
        <f>IFERROR(__xludf.DUMMYFUNCTION("""COMPUTED_VALUE"""),"ADE RIDHANTO")</f>
        <v>ADE RIDHANTO</v>
      </c>
      <c r="H2441" s="35" t="str">
        <f>IFERROR(__xludf.DUMMYFUNCTION("""COMPUTED_VALUE"""),"A9725052312")</f>
        <v>A9725052312</v>
      </c>
      <c r="I2441" s="35">
        <f>IFERROR(__xludf.DUMMYFUNCTION("""COMPUTED_VALUE"""),28.0)</f>
        <v>28</v>
      </c>
      <c r="J2441" s="35" t="str">
        <f>IFERROR(__xludf.DUMMYFUNCTION("""COMPUTED_VALUE"""),"25-34 tahun")</f>
        <v>25-34 tahun</v>
      </c>
      <c r="K2441" s="21" t="str">
        <f>IFERROR(__xludf.DUMMYFUNCTION("""COMPUTED_VALUE"""),"25/07/1997")</f>
        <v>25/07/1997</v>
      </c>
      <c r="L2441" s="21" t="str">
        <f>IFERROR(__xludf.DUMMYFUNCTION("""COMPUTED_VALUE"""),"LAKI-LAKI")</f>
        <v>LAKI-LAKI</v>
      </c>
      <c r="M2441" s="35" t="str">
        <f>IFERROR(__xludf.DUMMYFUNCTION("""COMPUTED_VALUE"""),"JALAN VETERAN GG ANUGRAH NO 22")</f>
        <v>JALAN VETERAN GG ANUGRAH NO 22</v>
      </c>
      <c r="N2441" s="35" t="str">
        <f>IFERROR(__xludf.DUMMYFUNCTION("""COMPUTED_VALUE"""),"ROBAN")</f>
        <v>ROBAN</v>
      </c>
      <c r="O2441" s="35" t="str">
        <f>IFERROR(__xludf.DUMMYFUNCTION("""COMPUTED_VALUE"""),"SINGKAWANG TENGAH")</f>
        <v>SINGKAWANG TENGAH</v>
      </c>
      <c r="P2441" s="35" t="str">
        <f>IFERROR(__xludf.DUMMYFUNCTION("""COMPUTED_VALUE"""),"SINGKAWANG")</f>
        <v>SINGKAWANG</v>
      </c>
      <c r="Q2441" s="35" t="str">
        <f>IFERROR(__xludf.DUMMYFUNCTION("""COMPUTED_VALUE"""),"KALIMANTAN BARAT")</f>
        <v>KALIMANTAN BARAT</v>
      </c>
      <c r="R2441" s="21" t="str">
        <f>IFERROR(__xludf.DUMMYFUNCTION("""COMPUTED_VALUE"""),"ISLAM")</f>
        <v>ISLAM</v>
      </c>
      <c r="S2441" s="74" t="str">
        <f>IFERROR(__xludf.DUMMYFUNCTION("""COMPUTED_VALUE"""),"POLRI")</f>
        <v>POLRI</v>
      </c>
      <c r="T2441" s="35" t="str">
        <f>IFERROR(__xludf.DUMMYFUNCTION("""COMPUTED_VALUE"""),"SAKIT DI TULANG BELAKANG PINGGANG")</f>
        <v>SAKIT DI TULANG BELAKANG PINGGANG</v>
      </c>
      <c r="U2441" s="35" t="str">
        <f>IFERROR(__xludf.DUMMYFUNCTION("""COMPUTED_VALUE"""),"GYM")</f>
        <v>GYM</v>
      </c>
      <c r="V2441" s="37" t="str">
        <f>IFERROR(__xludf.DUMMYFUNCTION("""COMPUTED_VALUE"""),"081346112312")</f>
        <v>081346112312</v>
      </c>
      <c r="W2441" s="45"/>
    </row>
    <row r="2442">
      <c r="A2442" s="45"/>
      <c r="B2442" s="24" t="str">
        <f>IFERROR(__xludf.DUMMYFUNCTION("""COMPUTED_VALUE"""),"25/04/2025 9:52:44")</f>
        <v>25/04/2025 9:52:44</v>
      </c>
      <c r="C2442" s="35"/>
      <c r="D2442" s="10">
        <f>IFERROR(__xludf.DUMMYFUNCTION("""COMPUTED_VALUE"""),45801.0)</f>
        <v>45801</v>
      </c>
      <c r="E2442" s="35" t="str">
        <f>IFERROR(__xludf.DUMMYFUNCTION("""COMPUTED_VALUE"""),"05Mei")</f>
        <v>05Mei</v>
      </c>
      <c r="F2442" s="34" t="str">
        <f>IFERROR(__xludf.DUMMYFUNCTION("""COMPUTED_VALUE"""),"2025")</f>
        <v>2025</v>
      </c>
      <c r="G2442" s="35" t="str">
        <f>IFERROR(__xludf.DUMMYFUNCTION("""COMPUTED_VALUE"""),"WELDA OCTAVIANNI")</f>
        <v>WELDA OCTAVIANNI</v>
      </c>
      <c r="H2442" s="35" t="str">
        <f>IFERROR(__xludf.DUMMYFUNCTION("""COMPUTED_VALUE"""),"W9425059670")</f>
        <v>W9425059670</v>
      </c>
      <c r="I2442" s="35">
        <f>IFERROR(__xludf.DUMMYFUNCTION("""COMPUTED_VALUE"""),31.0)</f>
        <v>31</v>
      </c>
      <c r="J2442" s="35" t="str">
        <f>IFERROR(__xludf.DUMMYFUNCTION("""COMPUTED_VALUE"""),"25-34 tahun")</f>
        <v>25-34 tahun</v>
      </c>
      <c r="K2442" s="21" t="str">
        <f>IFERROR(__xludf.DUMMYFUNCTION("""COMPUTED_VALUE"""),"17/10/1994")</f>
        <v>17/10/1994</v>
      </c>
      <c r="L2442" s="21" t="str">
        <f>IFERROR(__xludf.DUMMYFUNCTION("""COMPUTED_VALUE"""),"PEREMPUAN")</f>
        <v>PEREMPUAN</v>
      </c>
      <c r="M2442" s="35" t="str">
        <f>IFERROR(__xludf.DUMMYFUNCTION("""COMPUTED_VALUE"""),"RT 05 RW 03")</f>
        <v>RT 05 RW 03</v>
      </c>
      <c r="N2442" s="35" t="str">
        <f>IFERROR(__xludf.DUMMYFUNCTION("""COMPUTED_VALUE"""),"DESA KAMPUNG HILIR")</f>
        <v>DESA KAMPUNG HILIR</v>
      </c>
      <c r="O2442" s="35" t="str">
        <f>IFERROR(__xludf.DUMMYFUNCTION("""COMPUTED_VALUE"""),"SERASAN")</f>
        <v>SERASAN</v>
      </c>
      <c r="P2442" s="35" t="str">
        <f>IFERROR(__xludf.DUMMYFUNCTION("""COMPUTED_VALUE"""),"NATUNA")</f>
        <v>NATUNA</v>
      </c>
      <c r="Q2442" s="35" t="str">
        <f>IFERROR(__xludf.DUMMYFUNCTION("""COMPUTED_VALUE"""),"KEPULAUAN RIAU")</f>
        <v>KEPULAUAN RIAU</v>
      </c>
      <c r="R2442" s="21" t="str">
        <f>IFERROR(__xludf.DUMMYFUNCTION("""COMPUTED_VALUE"""),"ISLAM")</f>
        <v>ISLAM</v>
      </c>
      <c r="S2442" s="74" t="str">
        <f>IFERROR(__xludf.DUMMYFUNCTION("""COMPUTED_VALUE"""),"PNS")</f>
        <v>PNS</v>
      </c>
      <c r="T2442" s="35" t="str">
        <f>IFERROR(__xludf.DUMMYFUNCTION("""COMPUTED_VALUE"""),"NYERI BAHU BELAKANG KANAN KIRI SAMPAI KEPALA DAN TANGAN SAMA NYERI SENDI TANGAN KAKI")</f>
        <v>NYERI BAHU BELAKANG KANAN KIRI SAMPAI KEPALA DAN TANGAN SAMA NYERI SENDI TANGAN KAKI</v>
      </c>
      <c r="U2442" s="35" t="str">
        <f>IFERROR(__xludf.DUMMYFUNCTION("""COMPUTED_VALUE"""),"TIDAK ADA")</f>
        <v>TIDAK ADA</v>
      </c>
      <c r="V2442" s="37" t="str">
        <f>IFERROR(__xludf.DUMMYFUNCTION("""COMPUTED_VALUE"""),"081268699670")</f>
        <v>081268699670</v>
      </c>
      <c r="W2442" s="45"/>
    </row>
    <row r="2443">
      <c r="A2443" s="45"/>
      <c r="B2443" s="24" t="str">
        <f>IFERROR(__xludf.DUMMYFUNCTION("""COMPUTED_VALUE"""),"27/04/2025 9:54:39")</f>
        <v>27/04/2025 9:54:39</v>
      </c>
      <c r="C2443" s="35"/>
      <c r="D2443" s="10">
        <f>IFERROR(__xludf.DUMMYFUNCTION("""COMPUTED_VALUE"""),45801.0)</f>
        <v>45801</v>
      </c>
      <c r="E2443" s="35" t="str">
        <f>IFERROR(__xludf.DUMMYFUNCTION("""COMPUTED_VALUE"""),"05Mei")</f>
        <v>05Mei</v>
      </c>
      <c r="F2443" s="34" t="str">
        <f>IFERROR(__xludf.DUMMYFUNCTION("""COMPUTED_VALUE"""),"2025")</f>
        <v>2025</v>
      </c>
      <c r="G2443" s="35" t="str">
        <f>IFERROR(__xludf.DUMMYFUNCTION("""COMPUTED_VALUE"""),"BELLY")</f>
        <v>BELLY</v>
      </c>
      <c r="H2443" s="35" t="str">
        <f>IFERROR(__xludf.DUMMYFUNCTION("""COMPUTED_VALUE"""),"B8825057611")</f>
        <v>B8825057611</v>
      </c>
      <c r="I2443" s="35">
        <f>IFERROR(__xludf.DUMMYFUNCTION("""COMPUTED_VALUE"""),37.0)</f>
        <v>37</v>
      </c>
      <c r="J2443" s="35" t="str">
        <f>IFERROR(__xludf.DUMMYFUNCTION("""COMPUTED_VALUE"""),"35-44 tahun")</f>
        <v>35-44 tahun</v>
      </c>
      <c r="K2443" s="21" t="str">
        <f>IFERROR(__xludf.DUMMYFUNCTION("""COMPUTED_VALUE"""),"24/09/1988")</f>
        <v>24/09/1988</v>
      </c>
      <c r="L2443" s="21" t="str">
        <f>IFERROR(__xludf.DUMMYFUNCTION("""COMPUTED_VALUE"""),"LAKI-LAKI")</f>
        <v>LAKI-LAKI</v>
      </c>
      <c r="M2443" s="35" t="str">
        <f>IFERROR(__xludf.DUMMYFUNCTION("""COMPUTED_VALUE"""),"JL WR SUPRATMAN GG SWADAYA NO2")</f>
        <v>JL WR SUPRATMAN GG SWADAYA NO2</v>
      </c>
      <c r="N2443" s="35" t="str">
        <f>IFERROR(__xludf.DUMMYFUNCTION("""COMPUTED_VALUE"""),"PARIT TOKAYA")</f>
        <v>PARIT TOKAYA</v>
      </c>
      <c r="O2443" s="35" t="str">
        <f>IFERROR(__xludf.DUMMYFUNCTION("""COMPUTED_VALUE"""),"PONTIANAK SELATAN")</f>
        <v>PONTIANAK SELATAN</v>
      </c>
      <c r="P2443" s="35" t="str">
        <f>IFERROR(__xludf.DUMMYFUNCTION("""COMPUTED_VALUE"""),"PONTIANAK")</f>
        <v>PONTIANAK</v>
      </c>
      <c r="Q2443" s="35" t="str">
        <f>IFERROR(__xludf.DUMMYFUNCTION("""COMPUTED_VALUE"""),"KALBAR")</f>
        <v>KALBAR</v>
      </c>
      <c r="R2443" s="21" t="str">
        <f>IFERROR(__xludf.DUMMYFUNCTION("""COMPUTED_VALUE"""),"LAINNYA")</f>
        <v>LAINNYA</v>
      </c>
      <c r="S2443" s="74" t="str">
        <f>IFERROR(__xludf.DUMMYFUNCTION("""COMPUTED_VALUE"""),"SWASTA")</f>
        <v>SWASTA</v>
      </c>
      <c r="T2443" s="35" t="str">
        <f>IFERROR(__xludf.DUMMYFUNCTION("""COMPUTED_VALUE"""),"SAKIT KAKI")</f>
        <v>SAKIT KAKI</v>
      </c>
      <c r="U2443" s="35" t="str">
        <f>IFERROR(__xludf.DUMMYFUNCTION("""COMPUTED_VALUE"""),"SEPAK BOLA")</f>
        <v>SEPAK BOLA</v>
      </c>
      <c r="V2443" s="37" t="str">
        <f>IFERROR(__xludf.DUMMYFUNCTION("""COMPUTED_VALUE"""),"082150017611")</f>
        <v>082150017611</v>
      </c>
      <c r="W2443" s="45"/>
    </row>
    <row r="2444">
      <c r="A2444" s="45"/>
      <c r="B2444" s="24" t="str">
        <f>IFERROR(__xludf.DUMMYFUNCTION("""COMPUTED_VALUE"""),"27/04/2025 11:33:46")</f>
        <v>27/04/2025 11:33:46</v>
      </c>
      <c r="C2444" s="35"/>
      <c r="D2444" s="10">
        <f>IFERROR(__xludf.DUMMYFUNCTION("""COMPUTED_VALUE"""),45801.0)</f>
        <v>45801</v>
      </c>
      <c r="E2444" s="35" t="str">
        <f>IFERROR(__xludf.DUMMYFUNCTION("""COMPUTED_VALUE"""),"05Mei")</f>
        <v>05Mei</v>
      </c>
      <c r="F2444" s="34" t="str">
        <f>IFERROR(__xludf.DUMMYFUNCTION("""COMPUTED_VALUE"""),"2025")</f>
        <v>2025</v>
      </c>
      <c r="G2444" s="35" t="str">
        <f>IFERROR(__xludf.DUMMYFUNCTION("""COMPUTED_VALUE"""),"ULIANA SARA MARPAUNG")</f>
        <v>ULIANA SARA MARPAUNG</v>
      </c>
      <c r="H2444" s="35" t="str">
        <f>IFERROR(__xludf.DUMMYFUNCTION("""COMPUTED_VALUE"""),"U9625058921")</f>
        <v>U9625058921</v>
      </c>
      <c r="I2444" s="35">
        <f>IFERROR(__xludf.DUMMYFUNCTION("""COMPUTED_VALUE"""),29.0)</f>
        <v>29</v>
      </c>
      <c r="J2444" s="35" t="str">
        <f>IFERROR(__xludf.DUMMYFUNCTION("""COMPUTED_VALUE"""),"25-34 tahun")</f>
        <v>25-34 tahun</v>
      </c>
      <c r="K2444" s="21" t="str">
        <f>IFERROR(__xludf.DUMMYFUNCTION("""COMPUTED_VALUE"""),"21/09/1996")</f>
        <v>21/09/1996</v>
      </c>
      <c r="L2444" s="21" t="str">
        <f>IFERROR(__xludf.DUMMYFUNCTION("""COMPUTED_VALUE"""),"PEREMPUAN")</f>
        <v>PEREMPUAN</v>
      </c>
      <c r="M2444" s="35" t="str">
        <f>IFERROR(__xludf.DUMMYFUNCTION("""COMPUTED_VALUE"""),"JL. KRISTINA MARTA NO. 179")</f>
        <v>JL. KRISTINA MARTA NO. 179</v>
      </c>
      <c r="N2444" s="35" t="str">
        <f>IFERROR(__xludf.DUMMYFUNCTION("""COMPUTED_VALUE"""),"TANJUNG HULU")</f>
        <v>TANJUNG HULU</v>
      </c>
      <c r="O2444" s="35" t="str">
        <f>IFERROR(__xludf.DUMMYFUNCTION("""COMPUTED_VALUE"""),"PONTIANAK TIMUR")</f>
        <v>PONTIANAK TIMUR</v>
      </c>
      <c r="P2444" s="35" t="str">
        <f>IFERROR(__xludf.DUMMYFUNCTION("""COMPUTED_VALUE"""),"KOTA PONTIANAK")</f>
        <v>KOTA PONTIANAK</v>
      </c>
      <c r="Q2444" s="35" t="str">
        <f>IFERROR(__xludf.DUMMYFUNCTION("""COMPUTED_VALUE"""),"KALIMANTAN BARAT")</f>
        <v>KALIMANTAN BARAT</v>
      </c>
      <c r="R2444" s="21" t="str">
        <f>IFERROR(__xludf.DUMMYFUNCTION("""COMPUTED_VALUE"""),"PROTESTAN")</f>
        <v>PROTESTAN</v>
      </c>
      <c r="S2444" s="74" t="str">
        <f>IFERROR(__xludf.DUMMYFUNCTION("""COMPUTED_VALUE"""),"KARYAWAN SWASTA")</f>
        <v>KARYAWAN SWASTA</v>
      </c>
      <c r="T2444" s="35" t="str">
        <f>IFERROR(__xludf.DUMMYFUNCTION("""COMPUTED_VALUE"""),"KAKI KETARIK. TANGAN PASCA PASANG PEN")</f>
        <v>KAKI KETARIK. TANGAN PASCA PASANG PEN</v>
      </c>
      <c r="U2444" s="35" t="str">
        <f>IFERROR(__xludf.DUMMYFUNCTION("""COMPUTED_VALUE"""),"OLAHRAGA")</f>
        <v>OLAHRAGA</v>
      </c>
      <c r="V2444" s="37" t="str">
        <f>IFERROR(__xludf.DUMMYFUNCTION("""COMPUTED_VALUE"""),"081348888921")</f>
        <v>081348888921</v>
      </c>
      <c r="W2444" s="45"/>
    </row>
    <row r="2445">
      <c r="A2445" s="45"/>
      <c r="B2445" s="24" t="str">
        <f>IFERROR(__xludf.DUMMYFUNCTION("""COMPUTED_VALUE"""),"27/04/2025 20:56:40")</f>
        <v>27/04/2025 20:56:40</v>
      </c>
      <c r="C2445" s="35"/>
      <c r="D2445" s="10">
        <f>IFERROR(__xludf.DUMMYFUNCTION("""COMPUTED_VALUE"""),45802.0)</f>
        <v>45802</v>
      </c>
      <c r="E2445" s="35" t="str">
        <f>IFERROR(__xludf.DUMMYFUNCTION("""COMPUTED_VALUE"""),"05Mei")</f>
        <v>05Mei</v>
      </c>
      <c r="F2445" s="34" t="str">
        <f>IFERROR(__xludf.DUMMYFUNCTION("""COMPUTED_VALUE"""),"2025")</f>
        <v>2025</v>
      </c>
      <c r="G2445" s="35" t="str">
        <f>IFERROR(__xludf.DUMMYFUNCTION("""COMPUTED_VALUE"""),"AGUS SETIADI")</f>
        <v>AGUS SETIADI</v>
      </c>
      <c r="H2445" s="35" t="str">
        <f>IFERROR(__xludf.DUMMYFUNCTION("""COMPUTED_VALUE"""),"A8525055150")</f>
        <v>A8525055150</v>
      </c>
      <c r="I2445" s="35">
        <f>IFERROR(__xludf.DUMMYFUNCTION("""COMPUTED_VALUE"""),40.0)</f>
        <v>40</v>
      </c>
      <c r="J2445" s="35" t="str">
        <f>IFERROR(__xludf.DUMMYFUNCTION("""COMPUTED_VALUE"""),"35-44 tahun")</f>
        <v>35-44 tahun</v>
      </c>
      <c r="K2445" s="21" t="str">
        <f>IFERROR(__xludf.DUMMYFUNCTION("""COMPUTED_VALUE"""),"26/08/1985")</f>
        <v>26/08/1985</v>
      </c>
      <c r="L2445" s="21" t="str">
        <f>IFERROR(__xludf.DUMMYFUNCTION("""COMPUTED_VALUE"""),"LAKI-LAKI")</f>
        <v>LAKI-LAKI</v>
      </c>
      <c r="M2445" s="35" t="str">
        <f>IFERROR(__xludf.DUMMYFUNCTION("""COMPUTED_VALUE"""),"JL ISRAIL MARZUKI NO 44D")</f>
        <v>JL ISRAIL MARZUKI NO 44D</v>
      </c>
      <c r="N2445" s="35" t="str">
        <f>IFERROR(__xludf.DUMMYFUNCTION("""COMPUTED_VALUE"""),"-")</f>
        <v>-</v>
      </c>
      <c r="O2445" s="35" t="str">
        <f>IFERROR(__xludf.DUMMYFUNCTION("""COMPUTED_VALUE"""),"-")</f>
        <v>-</v>
      </c>
      <c r="P2445" s="35" t="str">
        <f>IFERROR(__xludf.DUMMYFUNCTION("""COMPUTED_VALUE"""),"PONTIANAK")</f>
        <v>PONTIANAK</v>
      </c>
      <c r="Q2445" s="35" t="str">
        <f>IFERROR(__xludf.DUMMYFUNCTION("""COMPUTED_VALUE"""),"KALIMANTAN BARAT")</f>
        <v>KALIMANTAN BARAT</v>
      </c>
      <c r="R2445" s="21" t="str">
        <f>IFERROR(__xludf.DUMMYFUNCTION("""COMPUTED_VALUE"""),"BUDDHA")</f>
        <v>BUDDHA</v>
      </c>
      <c r="S2445" s="74" t="str">
        <f>IFERROR(__xludf.DUMMYFUNCTION("""COMPUTED_VALUE"""),"SWASTA")</f>
        <v>SWASTA</v>
      </c>
      <c r="T2445" s="35" t="str">
        <f>IFERROR(__xludf.DUMMYFUNCTION("""COMPUTED_VALUE"""),"LEHER")</f>
        <v>LEHER</v>
      </c>
      <c r="U2445" s="35" t="str">
        <f>IFERROR(__xludf.DUMMYFUNCTION("""COMPUTED_VALUE"""),"-")</f>
        <v>-</v>
      </c>
      <c r="V2445" s="37" t="str">
        <f>IFERROR(__xludf.DUMMYFUNCTION("""COMPUTED_VALUE"""),"08115705150")</f>
        <v>08115705150</v>
      </c>
      <c r="W2445" s="45"/>
    </row>
    <row r="2446">
      <c r="A2446" s="45"/>
      <c r="B2446" s="24" t="str">
        <f>IFERROR(__xludf.DUMMYFUNCTION("""COMPUTED_VALUE"""),"28/04/2025 11:02:49")</f>
        <v>28/04/2025 11:02:49</v>
      </c>
      <c r="C2446" s="35"/>
      <c r="D2446" s="10">
        <f>IFERROR(__xludf.DUMMYFUNCTION("""COMPUTED_VALUE"""),45803.0)</f>
        <v>45803</v>
      </c>
      <c r="E2446" s="35" t="str">
        <f>IFERROR(__xludf.DUMMYFUNCTION("""COMPUTED_VALUE"""),"05Mei")</f>
        <v>05Mei</v>
      </c>
      <c r="F2446" s="34" t="str">
        <f>IFERROR(__xludf.DUMMYFUNCTION("""COMPUTED_VALUE"""),"2025")</f>
        <v>2025</v>
      </c>
      <c r="G2446" s="35" t="str">
        <f>IFERROR(__xludf.DUMMYFUNCTION("""COMPUTED_VALUE"""),"BOENG LIN FAH")</f>
        <v>BOENG LIN FAH</v>
      </c>
      <c r="H2446" s="35" t="str">
        <f>IFERROR(__xludf.DUMMYFUNCTION("""COMPUTED_VALUE"""),"B4825051059")</f>
        <v>B4825051059</v>
      </c>
      <c r="I2446" s="35">
        <f>IFERROR(__xludf.DUMMYFUNCTION("""COMPUTED_VALUE"""),77.0)</f>
        <v>77</v>
      </c>
      <c r="J2446" s="35" t="str">
        <f>IFERROR(__xludf.DUMMYFUNCTION("""COMPUTED_VALUE"""),"&gt; 44 tahun")</f>
        <v>&gt; 44 tahun</v>
      </c>
      <c r="K2446" s="21" t="str">
        <f>IFERROR(__xludf.DUMMYFUNCTION("""COMPUTED_VALUE"""),"20/08/1948")</f>
        <v>20/08/1948</v>
      </c>
      <c r="L2446" s="21" t="str">
        <f>IFERROR(__xludf.DUMMYFUNCTION("""COMPUTED_VALUE"""),"LAKI-LAKI")</f>
        <v>LAKI-LAKI</v>
      </c>
      <c r="M2446" s="35" t="str">
        <f>IFERROR(__xludf.DUMMYFUNCTION("""COMPUTED_VALUE"""),"JL. WOLTER MONGINSIDI NO. 229")</f>
        <v>JL. WOLTER MONGINSIDI NO. 229</v>
      </c>
      <c r="N2446" s="35" t="str">
        <f>IFERROR(__xludf.DUMMYFUNCTION("""COMPUTED_VALUE"""),"DARAT SEKIP")</f>
        <v>DARAT SEKIP</v>
      </c>
      <c r="O2446" s="35" t="str">
        <f>IFERROR(__xludf.DUMMYFUNCTION("""COMPUTED_VALUE"""),"PONTIANAK KOTA")</f>
        <v>PONTIANAK KOTA</v>
      </c>
      <c r="P2446" s="35" t="str">
        <f>IFERROR(__xludf.DUMMYFUNCTION("""COMPUTED_VALUE"""),"PONTIANAK")</f>
        <v>PONTIANAK</v>
      </c>
      <c r="Q2446" s="35" t="str">
        <f>IFERROR(__xludf.DUMMYFUNCTION("""COMPUTED_VALUE"""),"KALIMANTAN BARAT")</f>
        <v>KALIMANTAN BARAT</v>
      </c>
      <c r="R2446" s="21" t="str">
        <f>IFERROR(__xludf.DUMMYFUNCTION("""COMPUTED_VALUE"""),"KATOLIK")</f>
        <v>KATOLIK</v>
      </c>
      <c r="S2446" s="74" t="str">
        <f>IFERROR(__xludf.DUMMYFUNCTION("""COMPUTED_VALUE"""),"WIRASWASTA")</f>
        <v>WIRASWASTA</v>
      </c>
      <c r="T2446" s="35" t="str">
        <f>IFERROR(__xludf.DUMMYFUNCTION("""COMPUTED_VALUE"""),"STROKE RINGAN")</f>
        <v>STROKE RINGAN</v>
      </c>
      <c r="U2446" s="35" t="str">
        <f>IFERROR(__xludf.DUMMYFUNCTION("""COMPUTED_VALUE"""),"TIDAK ADA")</f>
        <v>TIDAK ADA</v>
      </c>
      <c r="V2446" s="37" t="str">
        <f>IFERROR(__xludf.DUMMYFUNCTION("""COMPUTED_VALUE"""),"08125611059")</f>
        <v>08125611059</v>
      </c>
      <c r="W2446" s="45"/>
    </row>
    <row r="2447">
      <c r="A2447" s="45"/>
      <c r="B2447" s="24" t="str">
        <f>IFERROR(__xludf.DUMMYFUNCTION("""COMPUTED_VALUE"""),"28/04/2025 17:52:55")</f>
        <v>28/04/2025 17:52:55</v>
      </c>
      <c r="C2447" s="35"/>
      <c r="D2447" s="10">
        <f>IFERROR(__xludf.DUMMYFUNCTION("""COMPUTED_VALUE"""),45803.0)</f>
        <v>45803</v>
      </c>
      <c r="E2447" s="35" t="str">
        <f>IFERROR(__xludf.DUMMYFUNCTION("""COMPUTED_VALUE"""),"05Mei")</f>
        <v>05Mei</v>
      </c>
      <c r="F2447" s="34" t="str">
        <f>IFERROR(__xludf.DUMMYFUNCTION("""COMPUTED_VALUE"""),"2025")</f>
        <v>2025</v>
      </c>
      <c r="G2447" s="35" t="str">
        <f>IFERROR(__xludf.DUMMYFUNCTION("""COMPUTED_VALUE"""),"ENDANG SUGIARTI")</f>
        <v>ENDANG SUGIARTI</v>
      </c>
      <c r="H2447" s="35" t="str">
        <f>IFERROR(__xludf.DUMMYFUNCTION("""COMPUTED_VALUE"""),"E6425050218")</f>
        <v>E6425050218</v>
      </c>
      <c r="I2447" s="35">
        <f>IFERROR(__xludf.DUMMYFUNCTION("""COMPUTED_VALUE"""),61.0)</f>
        <v>61</v>
      </c>
      <c r="J2447" s="35" t="str">
        <f>IFERROR(__xludf.DUMMYFUNCTION("""COMPUTED_VALUE"""),"&gt; 44 tahun")</f>
        <v>&gt; 44 tahun</v>
      </c>
      <c r="K2447" s="21" t="str">
        <f>IFERROR(__xludf.DUMMYFUNCTION("""COMPUTED_VALUE"""),"03/07/1964")</f>
        <v>03/07/1964</v>
      </c>
      <c r="L2447" s="21" t="str">
        <f>IFERROR(__xludf.DUMMYFUNCTION("""COMPUTED_VALUE"""),"PEREMPUAN")</f>
        <v>PEREMPUAN</v>
      </c>
      <c r="M2447" s="35" t="str">
        <f>IFERROR(__xludf.DUMMYFUNCTION("""COMPUTED_VALUE"""),"JL PURNAMA GG. PURNAMA DALAM NO. 30")</f>
        <v>JL PURNAMA GG. PURNAMA DALAM NO. 30</v>
      </c>
      <c r="N2447" s="35" t="str">
        <f>IFERROR(__xludf.DUMMYFUNCTION("""COMPUTED_VALUE"""),"-")</f>
        <v>-</v>
      </c>
      <c r="O2447" s="35" t="str">
        <f>IFERROR(__xludf.DUMMYFUNCTION("""COMPUTED_VALUE"""),"-")</f>
        <v>-</v>
      </c>
      <c r="P2447" s="35" t="str">
        <f>IFERROR(__xludf.DUMMYFUNCTION("""COMPUTED_VALUE"""),"PONTIANAK")</f>
        <v>PONTIANAK</v>
      </c>
      <c r="Q2447" s="35" t="str">
        <f>IFERROR(__xludf.DUMMYFUNCTION("""COMPUTED_VALUE"""),"KALIMANTAN BARAT")</f>
        <v>KALIMANTAN BARAT</v>
      </c>
      <c r="R2447" s="21" t="str">
        <f>IFERROR(__xludf.DUMMYFUNCTION("""COMPUTED_VALUE"""),"ISLAM")</f>
        <v>ISLAM</v>
      </c>
      <c r="S2447" s="74" t="str">
        <f>IFERROR(__xludf.DUMMYFUNCTION("""COMPUTED_VALUE"""),"-")</f>
        <v>-</v>
      </c>
      <c r="T2447" s="35" t="str">
        <f>IFERROR(__xludf.DUMMYFUNCTION("""COMPUTED_VALUE"""),"TANGAN DAN KAKI")</f>
        <v>TANGAN DAN KAKI</v>
      </c>
      <c r="U2447" s="35" t="str">
        <f>IFERROR(__xludf.DUMMYFUNCTION("""COMPUTED_VALUE"""),"-")</f>
        <v>-</v>
      </c>
      <c r="V2447" s="37" t="str">
        <f>IFERROR(__xludf.DUMMYFUNCTION("""COMPUTED_VALUE"""),"08994470218")</f>
        <v>08994470218</v>
      </c>
      <c r="W2447" s="45"/>
    </row>
    <row r="2448">
      <c r="A2448" s="45"/>
      <c r="B2448" s="24" t="str">
        <f>IFERROR(__xludf.DUMMYFUNCTION("""COMPUTED_VALUE"""),"28/04/2025 21:43:06")</f>
        <v>28/04/2025 21:43:06</v>
      </c>
      <c r="C2448" s="35"/>
      <c r="D2448" s="10">
        <f>IFERROR(__xludf.DUMMYFUNCTION("""COMPUTED_VALUE"""),45804.0)</f>
        <v>45804</v>
      </c>
      <c r="E2448" s="35" t="str">
        <f>IFERROR(__xludf.DUMMYFUNCTION("""COMPUTED_VALUE"""),"05Mei")</f>
        <v>05Mei</v>
      </c>
      <c r="F2448" s="34" t="str">
        <f>IFERROR(__xludf.DUMMYFUNCTION("""COMPUTED_VALUE"""),"2025")</f>
        <v>2025</v>
      </c>
      <c r="G2448" s="35" t="str">
        <f>IFERROR(__xludf.DUMMYFUNCTION("""COMPUTED_VALUE"""),"FIRMAN MULYANA")</f>
        <v>FIRMAN MULYANA</v>
      </c>
      <c r="H2448" s="35" t="str">
        <f>IFERROR(__xludf.DUMMYFUNCTION("""COMPUTED_VALUE"""),"F7825058577")</f>
        <v>F7825058577</v>
      </c>
      <c r="I2448" s="35">
        <f>IFERROR(__xludf.DUMMYFUNCTION("""COMPUTED_VALUE"""),48.0)</f>
        <v>48</v>
      </c>
      <c r="J2448" s="35" t="str">
        <f>IFERROR(__xludf.DUMMYFUNCTION("""COMPUTED_VALUE"""),"&gt; 44 tahun")</f>
        <v>&gt; 44 tahun</v>
      </c>
      <c r="K2448" s="21" t="str">
        <f>IFERROR(__xludf.DUMMYFUNCTION("""COMPUTED_VALUE"""),"13/05/1978")</f>
        <v>13/05/1978</v>
      </c>
      <c r="L2448" s="21" t="str">
        <f>IFERROR(__xludf.DUMMYFUNCTION("""COMPUTED_VALUE"""),"LAKI-LAKI")</f>
        <v>LAKI-LAKI</v>
      </c>
      <c r="M2448" s="35" t="str">
        <f>IFERROR(__xludf.DUMMYFUNCTION("""COMPUTED_VALUE"""),"KP BABAKAN RT 002/005")</f>
        <v>KP BABAKAN RT 002/005</v>
      </c>
      <c r="N2448" s="35" t="str">
        <f>IFERROR(__xludf.DUMMYFUNCTION("""COMPUTED_VALUE"""),"CILUAR")</f>
        <v>CILUAR</v>
      </c>
      <c r="O2448" s="35" t="str">
        <f>IFERROR(__xludf.DUMMYFUNCTION("""COMPUTED_VALUE"""),"BOGOR UTARA")</f>
        <v>BOGOR UTARA</v>
      </c>
      <c r="P2448" s="35" t="str">
        <f>IFERROR(__xludf.DUMMYFUNCTION("""COMPUTED_VALUE"""),"KOTA BOGOR")</f>
        <v>KOTA BOGOR</v>
      </c>
      <c r="Q2448" s="35" t="str">
        <f>IFERROR(__xludf.DUMMYFUNCTION("""COMPUTED_VALUE"""),"JAWA BARAT")</f>
        <v>JAWA BARAT</v>
      </c>
      <c r="R2448" s="21" t="str">
        <f>IFERROR(__xludf.DUMMYFUNCTION("""COMPUTED_VALUE"""),"ISLAM")</f>
        <v>ISLAM</v>
      </c>
      <c r="S2448" s="74" t="str">
        <f>IFERROR(__xludf.DUMMYFUNCTION("""COMPUTED_VALUE"""),"KARYAWAN SWASTA")</f>
        <v>KARYAWAN SWASTA</v>
      </c>
      <c r="T2448" s="35" t="str">
        <f>IFERROR(__xludf.DUMMYFUNCTION("""COMPUTED_VALUE"""),"1. PERGELANGAN TANGAN KIRI LINU DAN TIDAK BISA DI GERAKIN LELUASA SETELAH TERTABRAK MOTOR, 2. KONDISI PINGGAG SAKIT TERUTAMA SAAT PAGI HARI, UTK RUKUK SAJA TDK BISA")</f>
        <v>1. PERGELANGAN TANGAN KIRI LINU DAN TIDAK BISA DI GERAKIN LELUASA SETELAH TERTABRAK MOTOR, 2. KONDISI PINGGAG SAKIT TERUTAMA SAAT PAGI HARI, UTK RUKUK SAJA TDK BISA</v>
      </c>
      <c r="U2448" s="35" t="str">
        <f>IFERROR(__xludf.DUMMYFUNCTION("""COMPUTED_VALUE"""),"AKTIFITAS KERJA DI KANTOR")</f>
        <v>AKTIFITAS KERJA DI KANTOR</v>
      </c>
      <c r="V2448" s="37" t="str">
        <f>IFERROR(__xludf.DUMMYFUNCTION("""COMPUTED_VALUE"""),"087839708577")</f>
        <v>087839708577</v>
      </c>
      <c r="W2448" s="45"/>
    </row>
    <row r="2449">
      <c r="A2449" s="45"/>
      <c r="B2449" s="24" t="str">
        <f>IFERROR(__xludf.DUMMYFUNCTION("""COMPUTED_VALUE"""),"21/04/2025 19:04:50")</f>
        <v>21/04/2025 19:04:50</v>
      </c>
      <c r="C2449" s="35"/>
      <c r="D2449" s="10">
        <f>IFERROR(__xludf.DUMMYFUNCTION("""COMPUTED_VALUE"""),45804.0)</f>
        <v>45804</v>
      </c>
      <c r="E2449" s="35" t="str">
        <f>IFERROR(__xludf.DUMMYFUNCTION("""COMPUTED_VALUE"""),"05Mei")</f>
        <v>05Mei</v>
      </c>
      <c r="F2449" s="34" t="str">
        <f>IFERROR(__xludf.DUMMYFUNCTION("""COMPUTED_VALUE"""),"2025")</f>
        <v>2025</v>
      </c>
      <c r="G2449" s="35" t="str">
        <f>IFERROR(__xludf.DUMMYFUNCTION("""COMPUTED_VALUE"""),"FEBRI PRIBADI SETYO")</f>
        <v>FEBRI PRIBADI SETYO</v>
      </c>
      <c r="H2449" s="35" t="str">
        <f>IFERROR(__xludf.DUMMYFUNCTION("""COMPUTED_VALUE"""),"F9525050229")</f>
        <v>F9525050229</v>
      </c>
      <c r="I2449" s="35">
        <f>IFERROR(__xludf.DUMMYFUNCTION("""COMPUTED_VALUE"""),31.0)</f>
        <v>31</v>
      </c>
      <c r="J2449" s="35" t="str">
        <f>IFERROR(__xludf.DUMMYFUNCTION("""COMPUTED_VALUE"""),"25-34 tahun")</f>
        <v>25-34 tahun</v>
      </c>
      <c r="K2449" s="21" t="str">
        <f>IFERROR(__xludf.DUMMYFUNCTION("""COMPUTED_VALUE"""),"09/02/1995")</f>
        <v>09/02/1995</v>
      </c>
      <c r="L2449" s="21" t="str">
        <f>IFERROR(__xludf.DUMMYFUNCTION("""COMPUTED_VALUE"""),"LAKI-LAKI")</f>
        <v>LAKI-LAKI</v>
      </c>
      <c r="M2449" s="35" t="str">
        <f>IFERROR(__xludf.DUMMYFUNCTION("""COMPUTED_VALUE"""),"JALAN PARIT HUSIN 2 KOMPLEK IMIGRASI NO.12")</f>
        <v>JALAN PARIT HUSIN 2 KOMPLEK IMIGRASI NO.12</v>
      </c>
      <c r="N2449" s="35" t="str">
        <f>IFERROR(__xludf.DUMMYFUNCTION("""COMPUTED_VALUE"""),"BANSIR DARAT")</f>
        <v>BANSIR DARAT</v>
      </c>
      <c r="O2449" s="35" t="str">
        <f>IFERROR(__xludf.DUMMYFUNCTION("""COMPUTED_VALUE"""),"PONTIANAK TENGGARA")</f>
        <v>PONTIANAK TENGGARA</v>
      </c>
      <c r="P2449" s="35" t="str">
        <f>IFERROR(__xludf.DUMMYFUNCTION("""COMPUTED_VALUE"""),"KOTA PONTIANAK")</f>
        <v>KOTA PONTIANAK</v>
      </c>
      <c r="Q2449" s="35" t="str">
        <f>IFERROR(__xludf.DUMMYFUNCTION("""COMPUTED_VALUE"""),"KALIMANTAN BARAT")</f>
        <v>KALIMANTAN BARAT</v>
      </c>
      <c r="R2449" s="21" t="str">
        <f>IFERROR(__xludf.DUMMYFUNCTION("""COMPUTED_VALUE"""),"ISLAM")</f>
        <v>ISLAM</v>
      </c>
      <c r="S2449" s="74" t="str">
        <f>IFERROR(__xludf.DUMMYFUNCTION("""COMPUTED_VALUE"""),"SWASTA")</f>
        <v>SWASTA</v>
      </c>
      <c r="T2449" s="35" t="str">
        <f>IFERROR(__xludf.DUMMYFUNCTION("""COMPUTED_VALUE"""),"LEHER TEGANG, KEPALA PUSING,")</f>
        <v>LEHER TEGANG, KEPALA PUSING,</v>
      </c>
      <c r="U2449" s="35" t="str">
        <f>IFERROR(__xludf.DUMMYFUNCTION("""COMPUTED_VALUE"""),"DUDUK, BASKET,")</f>
        <v>DUDUK, BASKET,</v>
      </c>
      <c r="V2449" s="37" t="str">
        <f>IFERROR(__xludf.DUMMYFUNCTION("""COMPUTED_VALUE"""),"08111090229")</f>
        <v>08111090229</v>
      </c>
      <c r="W2449" s="45"/>
    </row>
    <row r="2450">
      <c r="A2450" s="45"/>
      <c r="B2450" s="24" t="str">
        <f>IFERROR(__xludf.DUMMYFUNCTION("""COMPUTED_VALUE"""),"29/04/2025 20:01:15")</f>
        <v>29/04/2025 20:01:15</v>
      </c>
      <c r="C2450" s="35"/>
      <c r="D2450" s="10">
        <f>IFERROR(__xludf.DUMMYFUNCTION("""COMPUTED_VALUE"""),45804.0)</f>
        <v>45804</v>
      </c>
      <c r="E2450" s="35" t="str">
        <f>IFERROR(__xludf.DUMMYFUNCTION("""COMPUTED_VALUE"""),"05Mei")</f>
        <v>05Mei</v>
      </c>
      <c r="F2450" s="34" t="str">
        <f>IFERROR(__xludf.DUMMYFUNCTION("""COMPUTED_VALUE"""),"2025")</f>
        <v>2025</v>
      </c>
      <c r="G2450" s="35" t="str">
        <f>IFERROR(__xludf.DUMMYFUNCTION("""COMPUTED_VALUE"""),"TIMOTIUS HARTANTO")</f>
        <v>TIMOTIUS HARTANTO</v>
      </c>
      <c r="H2450" s="35" t="str">
        <f>IFERROR(__xludf.DUMMYFUNCTION("""COMPUTED_VALUE"""),"T6225057369")</f>
        <v>T6225057369</v>
      </c>
      <c r="I2450" s="35">
        <f>IFERROR(__xludf.DUMMYFUNCTION("""COMPUTED_VALUE"""),64.0)</f>
        <v>64</v>
      </c>
      <c r="J2450" s="35" t="str">
        <f>IFERROR(__xludf.DUMMYFUNCTION("""COMPUTED_VALUE"""),"&gt; 44 tahun")</f>
        <v>&gt; 44 tahun</v>
      </c>
      <c r="K2450" s="21" t="str">
        <f>IFERROR(__xludf.DUMMYFUNCTION("""COMPUTED_VALUE"""),"26/02/1962")</f>
        <v>26/02/1962</v>
      </c>
      <c r="L2450" s="21" t="str">
        <f>IFERROR(__xludf.DUMMYFUNCTION("""COMPUTED_VALUE"""),"LAKI-LAKI")</f>
        <v>LAKI-LAKI</v>
      </c>
      <c r="M2450" s="35" t="str">
        <f>IFERROR(__xludf.DUMMYFUNCTION("""COMPUTED_VALUE"""),"DUSUN BANDARAN")</f>
        <v>DUSUN BANDARAN</v>
      </c>
      <c r="N2450" s="35" t="str">
        <f>IFERROR(__xludf.DUMMYFUNCTION("""COMPUTED_VALUE"""),"KENDAWANGAN KIRI")</f>
        <v>KENDAWANGAN KIRI</v>
      </c>
      <c r="O2450" s="35" t="str">
        <f>IFERROR(__xludf.DUMMYFUNCTION("""COMPUTED_VALUE"""),"KENDAWANGAN")</f>
        <v>KENDAWANGAN</v>
      </c>
      <c r="P2450" s="35" t="str">
        <f>IFERROR(__xludf.DUMMYFUNCTION("""COMPUTED_VALUE"""),"KETAPANG")</f>
        <v>KETAPANG</v>
      </c>
      <c r="Q2450" s="35" t="str">
        <f>IFERROR(__xludf.DUMMYFUNCTION("""COMPUTED_VALUE"""),"KALIMANTAN BARAT")</f>
        <v>KALIMANTAN BARAT</v>
      </c>
      <c r="R2450" s="21" t="str">
        <f>IFERROR(__xludf.DUMMYFUNCTION("""COMPUTED_VALUE"""),"BUDDHA")</f>
        <v>BUDDHA</v>
      </c>
      <c r="S2450" s="74" t="str">
        <f>IFERROR(__xludf.DUMMYFUNCTION("""COMPUTED_VALUE"""),"SWASTA")</f>
        <v>SWASTA</v>
      </c>
      <c r="T2450" s="35" t="str">
        <f>IFERROR(__xludf.DUMMYFUNCTION("""COMPUTED_VALUE"""),"SAKIT DI BETIS SD PAHA")</f>
        <v>SAKIT DI BETIS SD PAHA</v>
      </c>
      <c r="U2450" s="35" t="str">
        <f>IFERROR(__xludf.DUMMYFUNCTION("""COMPUTED_VALUE"""),"BAWA KENDARAAN JAUH")</f>
        <v>BAWA KENDARAAN JAUH</v>
      </c>
      <c r="V2450" s="37" t="str">
        <f>IFERROR(__xludf.DUMMYFUNCTION("""COMPUTED_VALUE"""),"081381327369")</f>
        <v>081381327369</v>
      </c>
      <c r="W2450" s="45"/>
    </row>
    <row r="2451">
      <c r="A2451" s="45"/>
      <c r="B2451" s="24" t="str">
        <f>IFERROR(__xludf.DUMMYFUNCTION("""COMPUTED_VALUE"""),"29/04/2025 21:05:21")</f>
        <v>29/04/2025 21:05:21</v>
      </c>
      <c r="C2451" s="35"/>
      <c r="D2451" s="10">
        <f>IFERROR(__xludf.DUMMYFUNCTION("""COMPUTED_VALUE"""),45804.0)</f>
        <v>45804</v>
      </c>
      <c r="E2451" s="35" t="str">
        <f>IFERROR(__xludf.DUMMYFUNCTION("""COMPUTED_VALUE"""),"05Mei")</f>
        <v>05Mei</v>
      </c>
      <c r="F2451" s="34" t="str">
        <f>IFERROR(__xludf.DUMMYFUNCTION("""COMPUTED_VALUE"""),"2025")</f>
        <v>2025</v>
      </c>
      <c r="G2451" s="35" t="str">
        <f>IFERROR(__xludf.DUMMYFUNCTION("""COMPUTED_VALUE"""),"RUSMINI")</f>
        <v>RUSMINI</v>
      </c>
      <c r="H2451" s="35" t="str">
        <f>IFERROR(__xludf.DUMMYFUNCTION("""COMPUTED_VALUE"""),"R6125052762")</f>
        <v>R6125052762</v>
      </c>
      <c r="I2451" s="35">
        <f>IFERROR(__xludf.DUMMYFUNCTION("""COMPUTED_VALUE"""),64.0)</f>
        <v>64</v>
      </c>
      <c r="J2451" s="35" t="str">
        <f>IFERROR(__xludf.DUMMYFUNCTION("""COMPUTED_VALUE"""),"&gt; 44 tahun")</f>
        <v>&gt; 44 tahun</v>
      </c>
      <c r="K2451" s="21" t="str">
        <f>IFERROR(__xludf.DUMMYFUNCTION("""COMPUTED_VALUE"""),"12/12/1961")</f>
        <v>12/12/1961</v>
      </c>
      <c r="L2451" s="21" t="str">
        <f>IFERROR(__xludf.DUMMYFUNCTION("""COMPUTED_VALUE"""),"PEREMPUAN")</f>
        <v>PEREMPUAN</v>
      </c>
      <c r="M2451" s="35" t="str">
        <f>IFERROR(__xludf.DUMMYFUNCTION("""COMPUTED_VALUE"""),"JL. CEMPAKA NO. 03")</f>
        <v>JL. CEMPAKA NO. 03</v>
      </c>
      <c r="N2451" s="35" t="str">
        <f>IFERROR(__xludf.DUMMYFUNCTION("""COMPUTED_VALUE"""),"JAWA")</f>
        <v>JAWA</v>
      </c>
      <c r="O2451" s="35" t="str">
        <f>IFERROR(__xludf.DUMMYFUNCTION("""COMPUTED_VALUE"""),"SINGKAWANG TENGAH")</f>
        <v>SINGKAWANG TENGAH</v>
      </c>
      <c r="P2451" s="35" t="str">
        <f>IFERROR(__xludf.DUMMYFUNCTION("""COMPUTED_VALUE"""),"SINGKAWANG")</f>
        <v>SINGKAWANG</v>
      </c>
      <c r="Q2451" s="35" t="str">
        <f>IFERROR(__xludf.DUMMYFUNCTION("""COMPUTED_VALUE"""),"KALIMANTAN BARAT")</f>
        <v>KALIMANTAN BARAT</v>
      </c>
      <c r="R2451" s="21" t="str">
        <f>IFERROR(__xludf.DUMMYFUNCTION("""COMPUTED_VALUE"""),"ISLAM")</f>
        <v>ISLAM</v>
      </c>
      <c r="S2451" s="74" t="str">
        <f>IFERROR(__xludf.DUMMYFUNCTION("""COMPUTED_VALUE"""),"PENSIUNAN")</f>
        <v>PENSIUNAN</v>
      </c>
      <c r="T2451" s="35" t="str">
        <f>IFERROR(__xludf.DUMMYFUNCTION("""COMPUTED_VALUE"""),"SYARAF KEJEPIT")</f>
        <v>SYARAF KEJEPIT</v>
      </c>
      <c r="U2451" s="35" t="str">
        <f>IFERROR(__xludf.DUMMYFUNCTION("""COMPUTED_VALUE"""),"-")</f>
        <v>-</v>
      </c>
      <c r="V2451" s="37" t="str">
        <f>IFERROR(__xludf.DUMMYFUNCTION("""COMPUTED_VALUE"""),"0896936052762")</f>
        <v>0896936052762</v>
      </c>
      <c r="W2451" s="45"/>
    </row>
    <row r="2452">
      <c r="A2452" s="45"/>
      <c r="B2452" s="24" t="str">
        <f>IFERROR(__xludf.DUMMYFUNCTION("""COMPUTED_VALUE"""),"30/04/2025 13:00:20")</f>
        <v>30/04/2025 13:00:20</v>
      </c>
      <c r="C2452" s="35"/>
      <c r="D2452" s="10">
        <f>IFERROR(__xludf.DUMMYFUNCTION("""COMPUTED_VALUE"""),45804.0)</f>
        <v>45804</v>
      </c>
      <c r="E2452" s="35" t="str">
        <f>IFERROR(__xludf.DUMMYFUNCTION("""COMPUTED_VALUE"""),"05Mei")</f>
        <v>05Mei</v>
      </c>
      <c r="F2452" s="34" t="str">
        <f>IFERROR(__xludf.DUMMYFUNCTION("""COMPUTED_VALUE"""),"2025")</f>
        <v>2025</v>
      </c>
      <c r="G2452" s="35" t="str">
        <f>IFERROR(__xludf.DUMMYFUNCTION("""COMPUTED_VALUE"""),"K. E. ANANTA UTAMI")</f>
        <v>K. E. ANANTA UTAMI</v>
      </c>
      <c r="H2452" s="35" t="str">
        <f>IFERROR(__xludf.DUMMYFUNCTION("""COMPUTED_VALUE"""),"K6925057763")</f>
        <v>K6925057763</v>
      </c>
      <c r="I2452" s="35">
        <f>IFERROR(__xludf.DUMMYFUNCTION("""COMPUTED_VALUE"""),56.0)</f>
        <v>56</v>
      </c>
      <c r="J2452" s="35" t="str">
        <f>IFERROR(__xludf.DUMMYFUNCTION("""COMPUTED_VALUE"""),"&gt; 44 tahun")</f>
        <v>&gt; 44 tahun</v>
      </c>
      <c r="K2452" s="21" t="str">
        <f>IFERROR(__xludf.DUMMYFUNCTION("""COMPUTED_VALUE"""),"05/12/1969")</f>
        <v>05/12/1969</v>
      </c>
      <c r="L2452" s="21" t="str">
        <f>IFERROR(__xludf.DUMMYFUNCTION("""COMPUTED_VALUE"""),"PEREMPUAN")</f>
        <v>PEREMPUAN</v>
      </c>
      <c r="M2452" s="35" t="str">
        <f>IFERROR(__xludf.DUMMYFUNCTION("""COMPUTED_VALUE"""),"JL DR SUTOMO GG KARYA 1 NO 23")</f>
        <v>JL DR SUTOMO GG KARYA 1 NO 23</v>
      </c>
      <c r="N2452" s="35" t="str">
        <f>IFERROR(__xludf.DUMMYFUNCTION("""COMPUTED_VALUE"""),"SEI BANGKONG")</f>
        <v>SEI BANGKONG</v>
      </c>
      <c r="O2452" s="35" t="str">
        <f>IFERROR(__xludf.DUMMYFUNCTION("""COMPUTED_VALUE"""),"PONTIANAK KOTA")</f>
        <v>PONTIANAK KOTA</v>
      </c>
      <c r="P2452" s="35" t="str">
        <f>IFERROR(__xludf.DUMMYFUNCTION("""COMPUTED_VALUE"""),"PONTIANAK")</f>
        <v>PONTIANAK</v>
      </c>
      <c r="Q2452" s="35" t="str">
        <f>IFERROR(__xludf.DUMMYFUNCTION("""COMPUTED_VALUE"""),"KALIMANTAN BARAT")</f>
        <v>KALIMANTAN BARAT</v>
      </c>
      <c r="R2452" s="21" t="str">
        <f>IFERROR(__xludf.DUMMYFUNCTION("""COMPUTED_VALUE"""),"KATOLIK")</f>
        <v>KATOLIK</v>
      </c>
      <c r="S2452" s="74" t="str">
        <f>IFERROR(__xludf.DUMMYFUNCTION("""COMPUTED_VALUE"""),"PNS")</f>
        <v>PNS</v>
      </c>
      <c r="T2452" s="35" t="str">
        <f>IFERROR(__xludf.DUMMYFUNCTION("""COMPUTED_VALUE"""),"TANGAN KIRI NYERI OTOT PAHA SAKIT")</f>
        <v>TANGAN KIRI NYERI OTOT PAHA SAKIT</v>
      </c>
      <c r="U2452" s="35" t="str">
        <f>IFERROR(__xludf.DUMMYFUNCTION("""COMPUTED_VALUE"""),"POSISI TIDUR")</f>
        <v>POSISI TIDUR</v>
      </c>
      <c r="V2452" s="37" t="str">
        <f>IFERROR(__xludf.DUMMYFUNCTION("""COMPUTED_VALUE"""),"08125637763")</f>
        <v>08125637763</v>
      </c>
      <c r="W2452" s="45"/>
    </row>
    <row r="2453">
      <c r="A2453" s="45"/>
      <c r="B2453" s="24" t="str">
        <f>IFERROR(__xludf.DUMMYFUNCTION("""COMPUTED_VALUE"""),"29/04/2025 21:26:33")</f>
        <v>29/04/2025 21:26:33</v>
      </c>
      <c r="C2453" s="35"/>
      <c r="D2453" s="10">
        <f>IFERROR(__xludf.DUMMYFUNCTION("""COMPUTED_VALUE"""),45805.0)</f>
        <v>45805</v>
      </c>
      <c r="E2453" s="35" t="str">
        <f>IFERROR(__xludf.DUMMYFUNCTION("""COMPUTED_VALUE"""),"05Mei")</f>
        <v>05Mei</v>
      </c>
      <c r="F2453" s="34" t="str">
        <f>IFERROR(__xludf.DUMMYFUNCTION("""COMPUTED_VALUE"""),"2025")</f>
        <v>2025</v>
      </c>
      <c r="G2453" s="35" t="str">
        <f>IFERROR(__xludf.DUMMYFUNCTION("""COMPUTED_VALUE"""),"JUWAIRIYAH")</f>
        <v>JUWAIRIYAH</v>
      </c>
      <c r="H2453" s="35" t="str">
        <f>IFERROR(__xludf.DUMMYFUNCTION("""COMPUTED_VALUE"""),"J6825051908")</f>
        <v>J6825051908</v>
      </c>
      <c r="I2453" s="35">
        <f>IFERROR(__xludf.DUMMYFUNCTION("""COMPUTED_VALUE"""),58.0)</f>
        <v>58</v>
      </c>
      <c r="J2453" s="35" t="str">
        <f>IFERROR(__xludf.DUMMYFUNCTION("""COMPUTED_VALUE"""),"&gt; 44 tahun")</f>
        <v>&gt; 44 tahun</v>
      </c>
      <c r="K2453" s="21" t="str">
        <f>IFERROR(__xludf.DUMMYFUNCTION("""COMPUTED_VALUE"""),"01/05/1968")</f>
        <v>01/05/1968</v>
      </c>
      <c r="L2453" s="21" t="str">
        <f>IFERROR(__xludf.DUMMYFUNCTION("""COMPUTED_VALUE"""),"PEREMPUAN")</f>
        <v>PEREMPUAN</v>
      </c>
      <c r="M2453" s="35" t="str">
        <f>IFERROR(__xludf.DUMMYFUNCTION("""COMPUTED_VALUE"""),"JL PURNAMA GG PERINTIS 1 NO 35")</f>
        <v>JL PURNAMA GG PERINTIS 1 NO 35</v>
      </c>
      <c r="N2453" s="35" t="str">
        <f>IFERROR(__xludf.DUMMYFUNCTION("""COMPUTED_VALUE"""),"KELURAHAN AKCAYA")</f>
        <v>KELURAHAN AKCAYA</v>
      </c>
      <c r="O2453" s="35" t="str">
        <f>IFERROR(__xludf.DUMMYFUNCTION("""COMPUTED_VALUE"""),"KECAMATAN PONTIANAK SELATAN")</f>
        <v>KECAMATAN PONTIANAK SELATAN</v>
      </c>
      <c r="P2453" s="35" t="str">
        <f>IFERROR(__xludf.DUMMYFUNCTION("""COMPUTED_VALUE"""),"KOTA PONTIANAK")</f>
        <v>KOTA PONTIANAK</v>
      </c>
      <c r="Q2453" s="35" t="str">
        <f>IFERROR(__xludf.DUMMYFUNCTION("""COMPUTED_VALUE"""),"KALBAR")</f>
        <v>KALBAR</v>
      </c>
      <c r="R2453" s="21" t="str">
        <f>IFERROR(__xludf.DUMMYFUNCTION("""COMPUTED_VALUE"""),"ISLAM")</f>
        <v>ISLAM</v>
      </c>
      <c r="S2453" s="74" t="str">
        <f>IFERROR(__xludf.DUMMYFUNCTION("""COMPUTED_VALUE"""),"GURU")</f>
        <v>GURU</v>
      </c>
      <c r="T2453" s="35" t="str">
        <f>IFERROR(__xludf.DUMMYFUNCTION("""COMPUTED_VALUE"""),"TIBA2 LEMAS SEBELAH KANAN")</f>
        <v>TIBA2 LEMAS SEBELAH KANAN</v>
      </c>
      <c r="U2453" s="35" t="str">
        <f>IFERROR(__xludf.DUMMYFUNCTION("""COMPUTED_VALUE"""),"BEKERJA DISETIAP HARINYA")</f>
        <v>BEKERJA DISETIAP HARINYA</v>
      </c>
      <c r="V2453" s="37" t="str">
        <f>IFERROR(__xludf.DUMMYFUNCTION("""COMPUTED_VALUE"""),"089653931908")</f>
        <v>089653931908</v>
      </c>
      <c r="W2453" s="45"/>
    </row>
    <row r="2454">
      <c r="A2454" s="45"/>
      <c r="B2454" s="24" t="str">
        <f>IFERROR(__xludf.DUMMYFUNCTION("""COMPUTED_VALUE"""),"29/04/2025 11:40:44")</f>
        <v>29/04/2025 11:40:44</v>
      </c>
      <c r="C2454" s="35"/>
      <c r="D2454" s="10">
        <f>IFERROR(__xludf.DUMMYFUNCTION("""COMPUTED_VALUE"""),45805.0)</f>
        <v>45805</v>
      </c>
      <c r="E2454" s="35" t="str">
        <f>IFERROR(__xludf.DUMMYFUNCTION("""COMPUTED_VALUE"""),"05Mei")</f>
        <v>05Mei</v>
      </c>
      <c r="F2454" s="34" t="str">
        <f>IFERROR(__xludf.DUMMYFUNCTION("""COMPUTED_VALUE"""),"2025")</f>
        <v>2025</v>
      </c>
      <c r="G2454" s="35" t="str">
        <f>IFERROR(__xludf.DUMMYFUNCTION("""COMPUTED_VALUE"""),"BAMBANG WARDANI")</f>
        <v>BAMBANG WARDANI</v>
      </c>
      <c r="H2454" s="35" t="str">
        <f>IFERROR(__xludf.DUMMYFUNCTION("""COMPUTED_VALUE"""),"B6025057727")</f>
        <v>B6025057727</v>
      </c>
      <c r="I2454" s="35">
        <f>IFERROR(__xludf.DUMMYFUNCTION("""COMPUTED_VALUE"""),65.0)</f>
        <v>65</v>
      </c>
      <c r="J2454" s="35" t="str">
        <f>IFERROR(__xludf.DUMMYFUNCTION("""COMPUTED_VALUE"""),"&gt; 44 tahun")</f>
        <v>&gt; 44 tahun</v>
      </c>
      <c r="K2454" s="21" t="str">
        <f>IFERROR(__xludf.DUMMYFUNCTION("""COMPUTED_VALUE"""),"20/12/1960")</f>
        <v>20/12/1960</v>
      </c>
      <c r="L2454" s="21" t="str">
        <f>IFERROR(__xludf.DUMMYFUNCTION("""COMPUTED_VALUE"""),"LAKI-LAKI")</f>
        <v>LAKI-LAKI</v>
      </c>
      <c r="M2454" s="35" t="str">
        <f>IFERROR(__xludf.DUMMYFUNCTION("""COMPUTED_VALUE"""),"JLN AYANI 2 TELUK KAPUAS")</f>
        <v>JLN AYANI 2 TELUK KAPUAS</v>
      </c>
      <c r="N2454" s="35" t="str">
        <f>IFERROR(__xludf.DUMMYFUNCTION("""COMPUTED_VALUE"""),"TELUK KAPUAS")</f>
        <v>TELUK KAPUAS</v>
      </c>
      <c r="O2454" s="35" t="str">
        <f>IFERROR(__xludf.DUMMYFUNCTION("""COMPUTED_VALUE"""),"SUNGAI RAYA")</f>
        <v>SUNGAI RAYA</v>
      </c>
      <c r="P2454" s="35" t="str">
        <f>IFERROR(__xludf.DUMMYFUNCTION("""COMPUTED_VALUE"""),"KUBURAYA")</f>
        <v>KUBURAYA</v>
      </c>
      <c r="Q2454" s="35" t="str">
        <f>IFERROR(__xludf.DUMMYFUNCTION("""COMPUTED_VALUE"""),"KALIMANTAN BARAT")</f>
        <v>KALIMANTAN BARAT</v>
      </c>
      <c r="R2454" s="21" t="str">
        <f>IFERROR(__xludf.DUMMYFUNCTION("""COMPUTED_VALUE"""),"ISLAM")</f>
        <v>ISLAM</v>
      </c>
      <c r="S2454" s="74" t="str">
        <f>IFERROR(__xludf.DUMMYFUNCTION("""COMPUTED_VALUE"""),"PENSIUNAN")</f>
        <v>PENSIUNAN</v>
      </c>
      <c r="T2454" s="35" t="str">
        <f>IFERROR(__xludf.DUMMYFUNCTION("""COMPUTED_VALUE"""),"LEMAH DITANGAN KANGAN.. DAN BADAN AGAK KAKU")</f>
        <v>LEMAH DITANGAN KANGAN.. DAN BADAN AGAK KAKU</v>
      </c>
      <c r="U2454" s="35" t="str">
        <f>IFERROR(__xludf.DUMMYFUNCTION("""COMPUTED_VALUE"""),"KARENA HABIS OPNAME")</f>
        <v>KARENA HABIS OPNAME</v>
      </c>
      <c r="V2454" s="37" t="str">
        <f>IFERROR(__xludf.DUMMYFUNCTION("""COMPUTED_VALUE"""),"895370767727")</f>
        <v>895370767727</v>
      </c>
      <c r="W2454" s="45"/>
    </row>
    <row r="2455">
      <c r="A2455" s="45"/>
      <c r="B2455" s="24" t="str">
        <f>IFERROR(__xludf.DUMMYFUNCTION("""COMPUTED_VALUE"""),"22/04/2025 9:43:04")</f>
        <v>22/04/2025 9:43:04</v>
      </c>
      <c r="C2455" s="35"/>
      <c r="D2455" s="10">
        <f>IFERROR(__xludf.DUMMYFUNCTION("""COMPUTED_VALUE"""),45805.0)</f>
        <v>45805</v>
      </c>
      <c r="E2455" s="35" t="str">
        <f>IFERROR(__xludf.DUMMYFUNCTION("""COMPUTED_VALUE"""),"05Mei")</f>
        <v>05Mei</v>
      </c>
      <c r="F2455" s="34" t="str">
        <f>IFERROR(__xludf.DUMMYFUNCTION("""COMPUTED_VALUE"""),"2025")</f>
        <v>2025</v>
      </c>
      <c r="G2455" s="35" t="str">
        <f>IFERROR(__xludf.DUMMYFUNCTION("""COMPUTED_VALUE"""),"E. SUGINI")</f>
        <v>E. SUGINI</v>
      </c>
      <c r="H2455" s="35" t="str">
        <f>IFERROR(__xludf.DUMMYFUNCTION("""COMPUTED_VALUE"""),"E5125059981")</f>
        <v>E5125059981</v>
      </c>
      <c r="I2455" s="35">
        <f>IFERROR(__xludf.DUMMYFUNCTION("""COMPUTED_VALUE"""),74.0)</f>
        <v>74</v>
      </c>
      <c r="J2455" s="35" t="str">
        <f>IFERROR(__xludf.DUMMYFUNCTION("""COMPUTED_VALUE"""),"&gt; 44 tahun")</f>
        <v>&gt; 44 tahun</v>
      </c>
      <c r="K2455" s="21" t="str">
        <f>IFERROR(__xludf.DUMMYFUNCTION("""COMPUTED_VALUE"""),"04/09/1951")</f>
        <v>04/09/1951</v>
      </c>
      <c r="L2455" s="21" t="str">
        <f>IFERROR(__xludf.DUMMYFUNCTION("""COMPUTED_VALUE"""),"PEREMPUAN")</f>
        <v>PEREMPUAN</v>
      </c>
      <c r="M2455" s="35" t="str">
        <f>IFERROR(__xludf.DUMMYFUNCTION("""COMPUTED_VALUE"""),"JL. PROF. M. YAMIN GG. TELADAN NO. 10")</f>
        <v>JL. PROF. M. YAMIN GG. TELADAN NO. 10</v>
      </c>
      <c r="N2455" s="35" t="str">
        <f>IFERROR(__xludf.DUMMYFUNCTION("""COMPUTED_VALUE"""),"KOTA BARU")</f>
        <v>KOTA BARU</v>
      </c>
      <c r="O2455" s="35" t="str">
        <f>IFERROR(__xludf.DUMMYFUNCTION("""COMPUTED_VALUE"""),"PONTIANAK SELATAN")</f>
        <v>PONTIANAK SELATAN</v>
      </c>
      <c r="P2455" s="35" t="str">
        <f>IFERROR(__xludf.DUMMYFUNCTION("""COMPUTED_VALUE"""),"KOTA PONTIANAK")</f>
        <v>KOTA PONTIANAK</v>
      </c>
      <c r="Q2455" s="35" t="str">
        <f>IFERROR(__xludf.DUMMYFUNCTION("""COMPUTED_VALUE"""),"KALIMANTAN BARAT")</f>
        <v>KALIMANTAN BARAT</v>
      </c>
      <c r="R2455" s="21" t="str">
        <f>IFERROR(__xludf.DUMMYFUNCTION("""COMPUTED_VALUE"""),"ISLAM")</f>
        <v>ISLAM</v>
      </c>
      <c r="S2455" s="74" t="str">
        <f>IFERROR(__xludf.DUMMYFUNCTION("""COMPUTED_VALUE"""),"PENSIUNAN GURU")</f>
        <v>PENSIUNAN GURU</v>
      </c>
      <c r="T2455" s="35" t="str">
        <f>IFERROR(__xludf.DUMMYFUNCTION("""COMPUTED_VALUE"""),"DIAGNOSA DARI DOKTER: SARAF KEJEPIT")</f>
        <v>DIAGNOSA DARI DOKTER: SARAF KEJEPIT</v>
      </c>
      <c r="U2455" s="35" t="str">
        <f>IFERROR(__xludf.DUMMYFUNCTION("""COMPUTED_VALUE"""),"MERAWAT TANAMAN, BERJALAN KAKI")</f>
        <v>MERAWAT TANAMAN, BERJALAN KAKI</v>
      </c>
      <c r="V2455" s="37" t="str">
        <f>IFERROR(__xludf.DUMMYFUNCTION("""COMPUTED_VALUE"""),"082159459981")</f>
        <v>082159459981</v>
      </c>
      <c r="W2455" s="45"/>
    </row>
    <row r="2456">
      <c r="A2456" s="45"/>
      <c r="B2456" s="24" t="str">
        <f>IFERROR(__xludf.DUMMYFUNCTION("""COMPUTED_VALUE"""),"02/05/2025 13:47:47")</f>
        <v>02/05/2025 13:47:47</v>
      </c>
      <c r="C2456" s="35"/>
      <c r="D2456" s="10">
        <f>IFERROR(__xludf.DUMMYFUNCTION("""COMPUTED_VALUE"""),45805.0)</f>
        <v>45805</v>
      </c>
      <c r="E2456" s="35" t="str">
        <f>IFERROR(__xludf.DUMMYFUNCTION("""COMPUTED_VALUE"""),"05Mei")</f>
        <v>05Mei</v>
      </c>
      <c r="F2456" s="34" t="str">
        <f>IFERROR(__xludf.DUMMYFUNCTION("""COMPUTED_VALUE"""),"2025")</f>
        <v>2025</v>
      </c>
      <c r="G2456" s="35" t="str">
        <f>IFERROR(__xludf.DUMMYFUNCTION("""COMPUTED_VALUE"""),"NOVI GUNADI")</f>
        <v>NOVI GUNADI</v>
      </c>
      <c r="H2456" s="35" t="str">
        <f>IFERROR(__xludf.DUMMYFUNCTION("""COMPUTED_VALUE"""),"N9625054742")</f>
        <v>N9625054742</v>
      </c>
      <c r="I2456" s="35">
        <f>IFERROR(__xludf.DUMMYFUNCTION("""COMPUTED_VALUE"""),29.0)</f>
        <v>29</v>
      </c>
      <c r="J2456" s="35" t="str">
        <f>IFERROR(__xludf.DUMMYFUNCTION("""COMPUTED_VALUE"""),"25-34 tahun")</f>
        <v>25-34 tahun</v>
      </c>
      <c r="K2456" s="21" t="str">
        <f>IFERROR(__xludf.DUMMYFUNCTION("""COMPUTED_VALUE"""),"09/11/1996")</f>
        <v>09/11/1996</v>
      </c>
      <c r="L2456" s="21" t="str">
        <f>IFERROR(__xludf.DUMMYFUNCTION("""COMPUTED_VALUE"""),"PEREMPUAN")</f>
        <v>PEREMPUAN</v>
      </c>
      <c r="M2456" s="35" t="str">
        <f>IFERROR(__xludf.DUMMYFUNCTION("""COMPUTED_VALUE"""),"JL. KH. HASYIM ASHARI NO. 21")</f>
        <v>JL. KH. HASYIM ASHARI NO. 21</v>
      </c>
      <c r="N2456" s="35" t="str">
        <f>IFERROR(__xludf.DUMMYFUNCTION("""COMPUTED_VALUE"""),"-")</f>
        <v>-</v>
      </c>
      <c r="O2456" s="35" t="str">
        <f>IFERROR(__xludf.DUMMYFUNCTION("""COMPUTED_VALUE"""),"-")</f>
        <v>-</v>
      </c>
      <c r="P2456" s="35" t="str">
        <f>IFERROR(__xludf.DUMMYFUNCTION("""COMPUTED_VALUE"""),"PONTIANAK")</f>
        <v>PONTIANAK</v>
      </c>
      <c r="Q2456" s="35" t="str">
        <f>IFERROR(__xludf.DUMMYFUNCTION("""COMPUTED_VALUE"""),"KALIMANTAN BARAT")</f>
        <v>KALIMANTAN BARAT</v>
      </c>
      <c r="R2456" s="21" t="str">
        <f>IFERROR(__xludf.DUMMYFUNCTION("""COMPUTED_VALUE"""),"KATOLIK")</f>
        <v>KATOLIK</v>
      </c>
      <c r="S2456" s="74" t="str">
        <f>IFERROR(__xludf.DUMMYFUNCTION("""COMPUTED_VALUE"""),"PEGAWAI SWASTA")</f>
        <v>PEGAWAI SWASTA</v>
      </c>
      <c r="T2456" s="35" t="str">
        <f>IFERROR(__xludf.DUMMYFUNCTION("""COMPUTED_VALUE"""),"SYARAF KEJEPIT")</f>
        <v>SYARAF KEJEPIT</v>
      </c>
      <c r="U2456" s="35" t="str">
        <f>IFERROR(__xludf.DUMMYFUNCTION("""COMPUTED_VALUE"""),"-")</f>
        <v>-</v>
      </c>
      <c r="V2456" s="37" t="str">
        <f>IFERROR(__xludf.DUMMYFUNCTION("""COMPUTED_VALUE"""),"089631724742")</f>
        <v>089631724742</v>
      </c>
      <c r="W2456" s="45"/>
    </row>
    <row r="2457">
      <c r="A2457" s="45"/>
      <c r="B2457" s="24" t="str">
        <f>IFERROR(__xludf.DUMMYFUNCTION("""COMPUTED_VALUE"""),"02/05/2025 23:18:13")</f>
        <v>02/05/2025 23:18:13</v>
      </c>
      <c r="C2457" s="35"/>
      <c r="D2457" s="10">
        <f>IFERROR(__xludf.DUMMYFUNCTION("""COMPUTED_VALUE"""),45805.0)</f>
        <v>45805</v>
      </c>
      <c r="E2457" s="35" t="str">
        <f>IFERROR(__xludf.DUMMYFUNCTION("""COMPUTED_VALUE"""),"05Mei")</f>
        <v>05Mei</v>
      </c>
      <c r="F2457" s="34" t="str">
        <f>IFERROR(__xludf.DUMMYFUNCTION("""COMPUTED_VALUE"""),"2025")</f>
        <v>2025</v>
      </c>
      <c r="G2457" s="35" t="str">
        <f>IFERROR(__xludf.DUMMYFUNCTION("""COMPUTED_VALUE"""),"TRACY")</f>
        <v>TRACY</v>
      </c>
      <c r="H2457" s="35" t="str">
        <f>IFERROR(__xludf.DUMMYFUNCTION("""COMPUTED_VALUE"""),"T0225053119")</f>
        <v>T0225053119</v>
      </c>
      <c r="I2457" s="35">
        <f>IFERROR(__xludf.DUMMYFUNCTION("""COMPUTED_VALUE"""),23.0)</f>
        <v>23</v>
      </c>
      <c r="J2457" s="35" t="str">
        <f>IFERROR(__xludf.DUMMYFUNCTION("""COMPUTED_VALUE"""),"18-24 tahun")</f>
        <v>18-24 tahun</v>
      </c>
      <c r="K2457" s="21" t="str">
        <f>IFERROR(__xludf.DUMMYFUNCTION("""COMPUTED_VALUE"""),"19/06/2002")</f>
        <v>19/06/2002</v>
      </c>
      <c r="L2457" s="21" t="str">
        <f>IFERROR(__xludf.DUMMYFUNCTION("""COMPUTED_VALUE"""),"PEREMPUAN")</f>
        <v>PEREMPUAN</v>
      </c>
      <c r="M2457" s="35" t="str">
        <f>IFERROR(__xludf.DUMMYFUNCTION("""COMPUTED_VALUE"""),"JL PUTRI CANDRAMIDI NO 34C")</f>
        <v>JL PUTRI CANDRAMIDI NO 34C</v>
      </c>
      <c r="N2457" s="35" t="str">
        <f>IFERROR(__xludf.DUMMYFUNCTION("""COMPUTED_VALUE"""),"SEI BANGKONG")</f>
        <v>SEI BANGKONG</v>
      </c>
      <c r="O2457" s="35" t="str">
        <f>IFERROR(__xludf.DUMMYFUNCTION("""COMPUTED_VALUE"""),"PONTIANAK KOTA")</f>
        <v>PONTIANAK KOTA</v>
      </c>
      <c r="P2457" s="35" t="str">
        <f>IFERROR(__xludf.DUMMYFUNCTION("""COMPUTED_VALUE"""),"PONTIANAK")</f>
        <v>PONTIANAK</v>
      </c>
      <c r="Q2457" s="35" t="str">
        <f>IFERROR(__xludf.DUMMYFUNCTION("""COMPUTED_VALUE"""),"KALIMANTAN BARAT")</f>
        <v>KALIMANTAN BARAT</v>
      </c>
      <c r="R2457" s="21" t="str">
        <f>IFERROR(__xludf.DUMMYFUNCTION("""COMPUTED_VALUE"""),"KHONGHUCU")</f>
        <v>KHONGHUCU</v>
      </c>
      <c r="S2457" s="74" t="str">
        <f>IFERROR(__xludf.DUMMYFUNCTION("""COMPUTED_VALUE"""),"MAHASISWA")</f>
        <v>MAHASISWA</v>
      </c>
      <c r="T2457" s="35" t="str">
        <f>IFERROR(__xludf.DUMMYFUNCTION("""COMPUTED_VALUE"""),"SAKIT N BENGKAK DI PUNDAK")</f>
        <v>SAKIT N BENGKAK DI PUNDAK</v>
      </c>
      <c r="U2457" s="35" t="str">
        <f>IFERROR(__xludf.DUMMYFUNCTION("""COMPUTED_VALUE"""),"PILATES N YOGA")</f>
        <v>PILATES N YOGA</v>
      </c>
      <c r="V2457" s="37" t="str">
        <f>IFERROR(__xludf.DUMMYFUNCTION("""COMPUTED_VALUE"""),"082155533119")</f>
        <v>082155533119</v>
      </c>
      <c r="W2457" s="45"/>
    </row>
    <row r="2458">
      <c r="A2458" s="45"/>
      <c r="B2458" s="24" t="str">
        <f>IFERROR(__xludf.DUMMYFUNCTION("""COMPUTED_VALUE"""),"02/05/2025 15:44:57")</f>
        <v>02/05/2025 15:44:57</v>
      </c>
      <c r="C2458" s="35"/>
      <c r="D2458" s="10">
        <f>IFERROR(__xludf.DUMMYFUNCTION("""COMPUTED_VALUE"""),45805.0)</f>
        <v>45805</v>
      </c>
      <c r="E2458" s="35" t="str">
        <f>IFERROR(__xludf.DUMMYFUNCTION("""COMPUTED_VALUE"""),"05Mei")</f>
        <v>05Mei</v>
      </c>
      <c r="F2458" s="34" t="str">
        <f>IFERROR(__xludf.DUMMYFUNCTION("""COMPUTED_VALUE"""),"2025")</f>
        <v>2025</v>
      </c>
      <c r="G2458" s="35" t="str">
        <f>IFERROR(__xludf.DUMMYFUNCTION("""COMPUTED_VALUE"""),"LARAS SASTI PRATIWI")</f>
        <v>LARAS SASTI PRATIWI</v>
      </c>
      <c r="H2458" s="35" t="str">
        <f>IFERROR(__xludf.DUMMYFUNCTION("""COMPUTED_VALUE"""),"L9325058829")</f>
        <v>L9325058829</v>
      </c>
      <c r="I2458" s="35">
        <f>IFERROR(__xludf.DUMMYFUNCTION("""COMPUTED_VALUE"""),33.0)</f>
        <v>33</v>
      </c>
      <c r="J2458" s="35" t="str">
        <f>IFERROR(__xludf.DUMMYFUNCTION("""COMPUTED_VALUE"""),"25-34 tahun")</f>
        <v>25-34 tahun</v>
      </c>
      <c r="K2458" s="21" t="str">
        <f>IFERROR(__xludf.DUMMYFUNCTION("""COMPUTED_VALUE"""),"18/05/1993")</f>
        <v>18/05/1993</v>
      </c>
      <c r="L2458" s="21" t="str">
        <f>IFERROR(__xludf.DUMMYFUNCTION("""COMPUTED_VALUE"""),"PEREMPUAN")</f>
        <v>PEREMPUAN</v>
      </c>
      <c r="M2458" s="35" t="str">
        <f>IFERROR(__xludf.DUMMYFUNCTION("""COMPUTED_VALUE"""),"JL. DR. SUTOMO GG. KARYA A NO. 50 A")</f>
        <v>JL. DR. SUTOMO GG. KARYA A NO. 50 A</v>
      </c>
      <c r="N2458" s="35" t="str">
        <f>IFERROR(__xludf.DUMMYFUNCTION("""COMPUTED_VALUE"""),"SUNGAI BANGKONG")</f>
        <v>SUNGAI BANGKONG</v>
      </c>
      <c r="O2458" s="35" t="str">
        <f>IFERROR(__xludf.DUMMYFUNCTION("""COMPUTED_VALUE"""),"PONTIANAK KOTA")</f>
        <v>PONTIANAK KOTA</v>
      </c>
      <c r="P2458" s="35" t="str">
        <f>IFERROR(__xludf.DUMMYFUNCTION("""COMPUTED_VALUE"""),"KOTA PONTIANAK")</f>
        <v>KOTA PONTIANAK</v>
      </c>
      <c r="Q2458" s="35" t="str">
        <f>IFERROR(__xludf.DUMMYFUNCTION("""COMPUTED_VALUE"""),"KALIMANTAN BARAT")</f>
        <v>KALIMANTAN BARAT</v>
      </c>
      <c r="R2458" s="21" t="str">
        <f>IFERROR(__xludf.DUMMYFUNCTION("""COMPUTED_VALUE"""),"ISLAM")</f>
        <v>ISLAM</v>
      </c>
      <c r="S2458" s="74" t="str">
        <f>IFERROR(__xludf.DUMMYFUNCTION("""COMPUTED_VALUE"""),"IBU RUMAH TANGGA")</f>
        <v>IBU RUMAH TANGGA</v>
      </c>
      <c r="T2458" s="35" t="str">
        <f>IFERROR(__xludf.DUMMYFUNCTION("""COMPUTED_VALUE"""),"TEMPURUNG LUTUT SEMPAT GESER, KADANG NGILU KALAU TERLALU LAMA BERDIRI")</f>
        <v>TEMPURUNG LUTUT SEMPAT GESER, KADANG NGILU KALAU TERLALU LAMA BERDIRI</v>
      </c>
      <c r="U2458" s="35" t="str">
        <f>IFERROR(__xludf.DUMMYFUNCTION("""COMPUTED_VALUE"""),"JOGGING,MENCUCI PIRING BERDIRI")</f>
        <v>JOGGING,MENCUCI PIRING BERDIRI</v>
      </c>
      <c r="V2458" s="37" t="str">
        <f>IFERROR(__xludf.DUMMYFUNCTION("""COMPUTED_VALUE"""),"089694048829")</f>
        <v>089694048829</v>
      </c>
      <c r="W2458" s="45"/>
    </row>
    <row r="2459">
      <c r="A2459" s="45"/>
      <c r="B2459" s="24" t="str">
        <f>IFERROR(__xludf.DUMMYFUNCTION("""COMPUTED_VALUE"""),"03/05/2025 8:50:40")</f>
        <v>03/05/2025 8:50:40</v>
      </c>
      <c r="C2459" s="35"/>
      <c r="D2459" s="10">
        <f>IFERROR(__xludf.DUMMYFUNCTION("""COMPUTED_VALUE"""),45805.0)</f>
        <v>45805</v>
      </c>
      <c r="E2459" s="35" t="str">
        <f>IFERROR(__xludf.DUMMYFUNCTION("""COMPUTED_VALUE"""),"05Mei")</f>
        <v>05Mei</v>
      </c>
      <c r="F2459" s="34" t="str">
        <f>IFERROR(__xludf.DUMMYFUNCTION("""COMPUTED_VALUE"""),"2025")</f>
        <v>2025</v>
      </c>
      <c r="G2459" s="35" t="str">
        <f>IFERROR(__xludf.DUMMYFUNCTION("""COMPUTED_VALUE"""),"MUHAMMAD SARWANI")</f>
        <v>MUHAMMAD SARWANI</v>
      </c>
      <c r="H2459" s="35" t="str">
        <f>IFERROR(__xludf.DUMMYFUNCTION("""COMPUTED_VALUE"""),"M9925058467")</f>
        <v>M9925058467</v>
      </c>
      <c r="I2459" s="35">
        <f>IFERROR(__xludf.DUMMYFUNCTION("""COMPUTED_VALUE"""),26.0)</f>
        <v>26</v>
      </c>
      <c r="J2459" s="35" t="str">
        <f>IFERROR(__xludf.DUMMYFUNCTION("""COMPUTED_VALUE"""),"25-34 tahun")</f>
        <v>25-34 tahun</v>
      </c>
      <c r="K2459" s="21" t="str">
        <f>IFERROR(__xludf.DUMMYFUNCTION("""COMPUTED_VALUE"""),"21/09/1999")</f>
        <v>21/09/1999</v>
      </c>
      <c r="L2459" s="21" t="str">
        <f>IFERROR(__xludf.DUMMYFUNCTION("""COMPUTED_VALUE"""),"LAKI-LAKI")</f>
        <v>LAKI-LAKI</v>
      </c>
      <c r="M2459" s="35" t="str">
        <f>IFERROR(__xludf.DUMMYFUNCTION("""COMPUTED_VALUE"""),"JALAN RAYA DESA PEMATANG GADUNG")</f>
        <v>JALAN RAYA DESA PEMATANG GADUNG</v>
      </c>
      <c r="N2459" s="35" t="str">
        <f>IFERROR(__xludf.DUMMYFUNCTION("""COMPUTED_VALUE"""),"PEMATANG GADUNG")</f>
        <v>PEMATANG GADUNG</v>
      </c>
      <c r="O2459" s="35" t="str">
        <f>IFERROR(__xludf.DUMMYFUNCTION("""COMPUTED_VALUE"""),"MATAN HILIR SELATAN")</f>
        <v>MATAN HILIR SELATAN</v>
      </c>
      <c r="P2459" s="35" t="str">
        <f>IFERROR(__xludf.DUMMYFUNCTION("""COMPUTED_VALUE"""),"KETAPANG")</f>
        <v>KETAPANG</v>
      </c>
      <c r="Q2459" s="35" t="str">
        <f>IFERROR(__xludf.DUMMYFUNCTION("""COMPUTED_VALUE"""),"KALIMANTAN BARAT")</f>
        <v>KALIMANTAN BARAT</v>
      </c>
      <c r="R2459" s="21" t="str">
        <f>IFERROR(__xludf.DUMMYFUNCTION("""COMPUTED_VALUE"""),"ISLAM")</f>
        <v>ISLAM</v>
      </c>
      <c r="S2459" s="74" t="str">
        <f>IFERROR(__xludf.DUMMYFUNCTION("""COMPUTED_VALUE"""),"MEKANIK")</f>
        <v>MEKANIK</v>
      </c>
      <c r="T2459" s="35" t="str">
        <f>IFERROR(__xludf.DUMMYFUNCTION("""COMPUTED_VALUE"""),"BUNYI BAGIAN LUTUT DISERTAI NGILU DAN SAKIT")</f>
        <v>BUNYI BAGIAN LUTUT DISERTAI NGILU DAN SAKIT</v>
      </c>
      <c r="U2459" s="35" t="str">
        <f>IFERROR(__xludf.DUMMYFUNCTION("""COMPUTED_VALUE"""),"FUTSAL")</f>
        <v>FUTSAL</v>
      </c>
      <c r="V2459" s="37" t="str">
        <f>IFERROR(__xludf.DUMMYFUNCTION("""COMPUTED_VALUE"""),"085751738467")</f>
        <v>085751738467</v>
      </c>
      <c r="W2459" s="45"/>
    </row>
    <row r="2460">
      <c r="A2460" s="45"/>
      <c r="B2460" s="24" t="str">
        <f>IFERROR(__xludf.DUMMYFUNCTION("""COMPUTED_VALUE"""),"03/05/2025 9:44:38")</f>
        <v>03/05/2025 9:44:38</v>
      </c>
      <c r="C2460" s="35"/>
      <c r="D2460" s="10">
        <f>IFERROR(__xludf.DUMMYFUNCTION("""COMPUTED_VALUE"""),45809.0)</f>
        <v>45809</v>
      </c>
      <c r="E2460" s="35" t="str">
        <f>IFERROR(__xludf.DUMMYFUNCTION("""COMPUTED_VALUE"""),"06Jun")</f>
        <v>06Jun</v>
      </c>
      <c r="F2460" s="34" t="str">
        <f>IFERROR(__xludf.DUMMYFUNCTION("""COMPUTED_VALUE"""),"2025")</f>
        <v>2025</v>
      </c>
      <c r="G2460" s="35" t="str">
        <f>IFERROR(__xludf.DUMMYFUNCTION("""COMPUTED_VALUE"""),"HENDRO 95")</f>
        <v>HENDRO 95</v>
      </c>
      <c r="H2460" s="35" t="str">
        <f>IFERROR(__xludf.DUMMYFUNCTION("""COMPUTED_VALUE"""),"H9525069172")</f>
        <v>H9525069172</v>
      </c>
      <c r="I2460" s="35">
        <f>IFERROR(__xludf.DUMMYFUNCTION("""COMPUTED_VALUE"""),30.0)</f>
        <v>30</v>
      </c>
      <c r="J2460" s="35" t="str">
        <f>IFERROR(__xludf.DUMMYFUNCTION("""COMPUTED_VALUE"""),"25-34 tahun")</f>
        <v>25-34 tahun</v>
      </c>
      <c r="K2460" s="21" t="str">
        <f>IFERROR(__xludf.DUMMYFUNCTION("""COMPUTED_VALUE"""),"15/08/1995")</f>
        <v>15/08/1995</v>
      </c>
      <c r="L2460" s="21" t="str">
        <f>IFERROR(__xludf.DUMMYFUNCTION("""COMPUTED_VALUE"""),"LAKI-LAKI")</f>
        <v>LAKI-LAKI</v>
      </c>
      <c r="M2460" s="35" t="str">
        <f>IFERROR(__xludf.DUMMYFUNCTION("""COMPUTED_VALUE"""),"JL SUNGAI RAYA DALAM GG CERIA 2")</f>
        <v>JL SUNGAI RAYA DALAM GG CERIA 2</v>
      </c>
      <c r="N2460" s="35" t="str">
        <f>IFERROR(__xludf.DUMMYFUNCTION("""COMPUTED_VALUE"""),"SUNGAI RAYA")</f>
        <v>SUNGAI RAYA</v>
      </c>
      <c r="O2460" s="35" t="str">
        <f>IFERROR(__xludf.DUMMYFUNCTION("""COMPUTED_VALUE"""),"SUNGAI RAYA")</f>
        <v>SUNGAI RAYA</v>
      </c>
      <c r="P2460" s="35" t="str">
        <f>IFERROR(__xludf.DUMMYFUNCTION("""COMPUTED_VALUE"""),"KUBU RAYA")</f>
        <v>KUBU RAYA</v>
      </c>
      <c r="Q2460" s="35" t="str">
        <f>IFERROR(__xludf.DUMMYFUNCTION("""COMPUTED_VALUE"""),"KALIMANTAN BARAT")</f>
        <v>KALIMANTAN BARAT</v>
      </c>
      <c r="R2460" s="21" t="str">
        <f>IFERROR(__xludf.DUMMYFUNCTION("""COMPUTED_VALUE"""),"PROTESTAN")</f>
        <v>PROTESTAN</v>
      </c>
      <c r="S2460" s="74" t="str">
        <f>IFERROR(__xludf.DUMMYFUNCTION("""COMPUTED_VALUE"""),"KARYAWAN SWASTA")</f>
        <v>KARYAWAN SWASTA</v>
      </c>
      <c r="T2460" s="35" t="str">
        <f>IFERROR(__xludf.DUMMYFUNCTION("""COMPUTED_VALUE"""),"DISLOKASI BAHU")</f>
        <v>DISLOKASI BAHU</v>
      </c>
      <c r="U2460" s="35" t="str">
        <f>IFERROR(__xludf.DUMMYFUNCTION("""COMPUTED_VALUE"""),"FUTSAL")</f>
        <v>FUTSAL</v>
      </c>
      <c r="V2460" s="37" t="str">
        <f>IFERROR(__xludf.DUMMYFUNCTION("""COMPUTED_VALUE"""),"08971379172")</f>
        <v>08971379172</v>
      </c>
      <c r="W2460" s="45"/>
    </row>
    <row r="2461">
      <c r="A2461" s="45"/>
      <c r="B2461" s="24" t="str">
        <f>IFERROR(__xludf.DUMMYFUNCTION("""COMPUTED_VALUE"""),"03/05/2025 18:22:29")</f>
        <v>03/05/2025 18:22:29</v>
      </c>
      <c r="C2461" s="35"/>
      <c r="D2461" s="10">
        <f>IFERROR(__xludf.DUMMYFUNCTION("""COMPUTED_VALUE"""),45809.0)</f>
        <v>45809</v>
      </c>
      <c r="E2461" s="35" t="str">
        <f>IFERROR(__xludf.DUMMYFUNCTION("""COMPUTED_VALUE"""),"06Jun")</f>
        <v>06Jun</v>
      </c>
      <c r="F2461" s="34" t="str">
        <f>IFERROR(__xludf.DUMMYFUNCTION("""COMPUTED_VALUE"""),"2025")</f>
        <v>2025</v>
      </c>
      <c r="G2461" s="35" t="str">
        <f>IFERROR(__xludf.DUMMYFUNCTION("""COMPUTED_VALUE"""),"HERMAN")</f>
        <v>HERMAN</v>
      </c>
      <c r="H2461" s="35" t="str">
        <f>IFERROR(__xludf.DUMMYFUNCTION("""COMPUTED_VALUE"""),"H7825063633")</f>
        <v>H7825063633</v>
      </c>
      <c r="I2461" s="35">
        <f>IFERROR(__xludf.DUMMYFUNCTION("""COMPUTED_VALUE"""),48.0)</f>
        <v>48</v>
      </c>
      <c r="J2461" s="35" t="str">
        <f>IFERROR(__xludf.DUMMYFUNCTION("""COMPUTED_VALUE"""),"&gt; 44 tahun")</f>
        <v>&gt; 44 tahun</v>
      </c>
      <c r="K2461" s="21" t="str">
        <f>IFERROR(__xludf.DUMMYFUNCTION("""COMPUTED_VALUE"""),"11/02/1978")</f>
        <v>11/02/1978</v>
      </c>
      <c r="L2461" s="21" t="str">
        <f>IFERROR(__xludf.DUMMYFUNCTION("""COMPUTED_VALUE"""),"LAKI-LAKI")</f>
        <v>LAKI-LAKI</v>
      </c>
      <c r="M2461" s="35" t="str">
        <f>IFERROR(__xludf.DUMMYFUNCTION("""COMPUTED_VALUE"""),"RUKO TAMAN ANGGREK, JLN. DESA KAPUR RAYA")</f>
        <v>RUKO TAMAN ANGGREK, JLN. DESA KAPUR RAYA</v>
      </c>
      <c r="N2461" s="35" t="str">
        <f>IFERROR(__xludf.DUMMYFUNCTION("""COMPUTED_VALUE"""),"DESA KAPUR")</f>
        <v>DESA KAPUR</v>
      </c>
      <c r="O2461" s="35" t="str">
        <f>IFERROR(__xludf.DUMMYFUNCTION("""COMPUTED_VALUE"""),"SUNGAI RAYA")</f>
        <v>SUNGAI RAYA</v>
      </c>
      <c r="P2461" s="35" t="str">
        <f>IFERROR(__xludf.DUMMYFUNCTION("""COMPUTED_VALUE"""),"KUBU RAYA")</f>
        <v>KUBU RAYA</v>
      </c>
      <c r="Q2461" s="35" t="str">
        <f>IFERROR(__xludf.DUMMYFUNCTION("""COMPUTED_VALUE"""),"KALIMANTAN BARAT")</f>
        <v>KALIMANTAN BARAT</v>
      </c>
      <c r="R2461" s="21" t="str">
        <f>IFERROR(__xludf.DUMMYFUNCTION("""COMPUTED_VALUE"""),"BUDDHA")</f>
        <v>BUDDHA</v>
      </c>
      <c r="S2461" s="74" t="str">
        <f>IFERROR(__xludf.DUMMYFUNCTION("""COMPUTED_VALUE"""),"WIRASWASTA")</f>
        <v>WIRASWASTA</v>
      </c>
      <c r="T2461" s="35" t="str">
        <f>IFERROR(__xludf.DUMMYFUNCTION("""COMPUTED_VALUE"""),"SAKIT DI LOWER BACK DAN BAHU")</f>
        <v>SAKIT DI LOWER BACK DAN BAHU</v>
      </c>
      <c r="U2461" s="35" t="str">
        <f>IFERROR(__xludf.DUMMYFUNCTION("""COMPUTED_VALUE"""),"BADMINTON, DUDUK SEHARIAN DI PEKERJAAN, DAN POSISI TIDUR TIDAK BAGUS")</f>
        <v>BADMINTON, DUDUK SEHARIAN DI PEKERJAAN, DAN POSISI TIDUR TIDAK BAGUS</v>
      </c>
      <c r="V2461" s="37" t="str">
        <f>IFERROR(__xludf.DUMMYFUNCTION("""COMPUTED_VALUE"""),"082135893633")</f>
        <v>082135893633</v>
      </c>
      <c r="W2461" s="45"/>
    </row>
    <row r="2462">
      <c r="A2462" s="45"/>
      <c r="B2462" s="24" t="str">
        <f>IFERROR(__xludf.DUMMYFUNCTION("""COMPUTED_VALUE"""),"04/05/2025 9:51:27")</f>
        <v>04/05/2025 9:51:27</v>
      </c>
      <c r="C2462" s="35"/>
      <c r="D2462" s="10">
        <f>IFERROR(__xludf.DUMMYFUNCTION("""COMPUTED_VALUE"""),45810.0)</f>
        <v>45810</v>
      </c>
      <c r="E2462" s="35" t="str">
        <f>IFERROR(__xludf.DUMMYFUNCTION("""COMPUTED_VALUE"""),"06Jun")</f>
        <v>06Jun</v>
      </c>
      <c r="F2462" s="34" t="str">
        <f>IFERROR(__xludf.DUMMYFUNCTION("""COMPUTED_VALUE"""),"2025")</f>
        <v>2025</v>
      </c>
      <c r="G2462" s="35" t="str">
        <f>IFERROR(__xludf.DUMMYFUNCTION("""COMPUTED_VALUE"""),"IIN EKA PUTRI")</f>
        <v>IIN EKA PUTRI</v>
      </c>
      <c r="H2462" s="35" t="str">
        <f>IFERROR(__xludf.DUMMYFUNCTION("""COMPUTED_VALUE"""),"I8225066978")</f>
        <v>I8225066978</v>
      </c>
      <c r="I2462" s="35">
        <f>IFERROR(__xludf.DUMMYFUNCTION("""COMPUTED_VALUE"""),43.0)</f>
        <v>43</v>
      </c>
      <c r="J2462" s="35" t="str">
        <f>IFERROR(__xludf.DUMMYFUNCTION("""COMPUTED_VALUE"""),"35-44 tahun")</f>
        <v>35-44 tahun</v>
      </c>
      <c r="K2462" s="21" t="str">
        <f>IFERROR(__xludf.DUMMYFUNCTION("""COMPUTED_VALUE"""),"17/07/1982")</f>
        <v>17/07/1982</v>
      </c>
      <c r="L2462" s="21" t="str">
        <f>IFERROR(__xludf.DUMMYFUNCTION("""COMPUTED_VALUE"""),"PEREMPUAN")</f>
        <v>PEREMPUAN</v>
      </c>
      <c r="M2462" s="35" t="str">
        <f>IFERROR(__xludf.DUMMYFUNCTION("""COMPUTED_VALUE"""),"APT HAWAIIN KELAPA GADING")</f>
        <v>APT HAWAIIN KELAPA GADING</v>
      </c>
      <c r="N2462" s="35" t="str">
        <f>IFERROR(__xludf.DUMMYFUNCTION("""COMPUTED_VALUE"""),"KELAPA GADING")</f>
        <v>KELAPA GADING</v>
      </c>
      <c r="O2462" s="35" t="str">
        <f>IFERROR(__xludf.DUMMYFUNCTION("""COMPUTED_VALUE"""),"KELAPA GADING BARAT")</f>
        <v>KELAPA GADING BARAT</v>
      </c>
      <c r="P2462" s="35" t="str">
        <f>IFERROR(__xludf.DUMMYFUNCTION("""COMPUTED_VALUE"""),"JAKARTA UTARA")</f>
        <v>JAKARTA UTARA</v>
      </c>
      <c r="Q2462" s="35" t="str">
        <f>IFERROR(__xludf.DUMMYFUNCTION("""COMPUTED_VALUE"""),"DKI JAKARTA")</f>
        <v>DKI JAKARTA</v>
      </c>
      <c r="R2462" s="21" t="str">
        <f>IFERROR(__xludf.DUMMYFUNCTION("""COMPUTED_VALUE"""),"KATOLIK")</f>
        <v>KATOLIK</v>
      </c>
      <c r="S2462" s="74" t="str">
        <f>IFERROR(__xludf.DUMMYFUNCTION("""COMPUTED_VALUE"""),"IBU RT")</f>
        <v>IBU RT</v>
      </c>
      <c r="T2462" s="35" t="str">
        <f>IFERROR(__xludf.DUMMYFUNCTION("""COMPUTED_VALUE"""),"ANGKLE KESELEO")</f>
        <v>ANGKLE KESELEO</v>
      </c>
      <c r="U2462" s="35" t="str">
        <f>IFERROR(__xludf.DUMMYFUNCTION("""COMPUTED_VALUE"""),"JALAN")</f>
        <v>JALAN</v>
      </c>
      <c r="V2462" s="37" t="str">
        <f>IFERROR(__xludf.DUMMYFUNCTION("""COMPUTED_VALUE"""),"0811576978")</f>
        <v>0811576978</v>
      </c>
      <c r="W2462" s="45"/>
    </row>
    <row r="2463">
      <c r="A2463" s="45"/>
      <c r="B2463" s="24" t="str">
        <f>IFERROR(__xludf.DUMMYFUNCTION("""COMPUTED_VALUE"""),"03/05/2025 20:35:34")</f>
        <v>03/05/2025 20:35:34</v>
      </c>
      <c r="C2463" s="35"/>
      <c r="D2463" s="10">
        <f>IFERROR(__xludf.DUMMYFUNCTION("""COMPUTED_VALUE"""),45809.0)</f>
        <v>45809</v>
      </c>
      <c r="E2463" s="35" t="str">
        <f>IFERROR(__xludf.DUMMYFUNCTION("""COMPUTED_VALUE"""),"06Jun")</f>
        <v>06Jun</v>
      </c>
      <c r="F2463" s="34" t="str">
        <f>IFERROR(__xludf.DUMMYFUNCTION("""COMPUTED_VALUE"""),"2025")</f>
        <v>2025</v>
      </c>
      <c r="G2463" s="35" t="str">
        <f>IFERROR(__xludf.DUMMYFUNCTION("""COMPUTED_VALUE"""),"KAM TJIN TJON")</f>
        <v>KAM TJIN TJON</v>
      </c>
      <c r="H2463" s="35" t="str">
        <f>IFERROR(__xludf.DUMMYFUNCTION("""COMPUTED_VALUE"""),"K5125069057")</f>
        <v>K5125069057</v>
      </c>
      <c r="I2463" s="35">
        <f>IFERROR(__xludf.DUMMYFUNCTION("""COMPUTED_VALUE"""),74.0)</f>
        <v>74</v>
      </c>
      <c r="J2463" s="35" t="str">
        <f>IFERROR(__xludf.DUMMYFUNCTION("""COMPUTED_VALUE"""),"&gt; 44 tahun")</f>
        <v>&gt; 44 tahun</v>
      </c>
      <c r="K2463" s="21" t="str">
        <f>IFERROR(__xludf.DUMMYFUNCTION("""COMPUTED_VALUE"""),"01/08/1951")</f>
        <v>01/08/1951</v>
      </c>
      <c r="L2463" s="21" t="str">
        <f>IFERROR(__xludf.DUMMYFUNCTION("""COMPUTED_VALUE"""),"LAKI-LAKI")</f>
        <v>LAKI-LAKI</v>
      </c>
      <c r="M2463" s="35" t="str">
        <f>IFERROR(__xludf.DUMMYFUNCTION("""COMPUTED_VALUE"""),"JL. SULTAN SYAHRIR GG. WIDODO NO.39")</f>
        <v>JL. SULTAN SYAHRIR GG. WIDODO NO.39</v>
      </c>
      <c r="N2463" s="35" t="str">
        <f>IFERROR(__xludf.DUMMYFUNCTION("""COMPUTED_VALUE"""),"AKCAYA")</f>
        <v>AKCAYA</v>
      </c>
      <c r="O2463" s="35" t="str">
        <f>IFERROR(__xludf.DUMMYFUNCTION("""COMPUTED_VALUE"""),"PONTIANAK SELATAN")</f>
        <v>PONTIANAK SELATAN</v>
      </c>
      <c r="P2463" s="35" t="str">
        <f>IFERROR(__xludf.DUMMYFUNCTION("""COMPUTED_VALUE"""),"PONTIANAK")</f>
        <v>PONTIANAK</v>
      </c>
      <c r="Q2463" s="35" t="str">
        <f>IFERROR(__xludf.DUMMYFUNCTION("""COMPUTED_VALUE"""),"KALIMANTAN BARAT")</f>
        <v>KALIMANTAN BARAT</v>
      </c>
      <c r="R2463" s="21" t="str">
        <f>IFERROR(__xludf.DUMMYFUNCTION("""COMPUTED_VALUE"""),"BUDDHA")</f>
        <v>BUDDHA</v>
      </c>
      <c r="S2463" s="74" t="str">
        <f>IFERROR(__xludf.DUMMYFUNCTION("""COMPUTED_VALUE"""),"WIRASWASTA")</f>
        <v>WIRASWASTA</v>
      </c>
      <c r="T2463" s="35" t="str">
        <f>IFERROR(__xludf.DUMMYFUNCTION("""COMPUTED_VALUE"""),"NYERI ( SARAF KEJEPIT DI L4 L5 )")</f>
        <v>NYERI ( SARAF KEJEPIT DI L4 L5 )</v>
      </c>
      <c r="U2463" s="35" t="str">
        <f>IFERROR(__xludf.DUMMYFUNCTION("""COMPUTED_VALUE"""),"DULU SEORANG PENJAHIT ( DUDUK SEHARIAN )")</f>
        <v>DULU SEORANG PENJAHIT ( DUDUK SEHARIAN )</v>
      </c>
      <c r="V2463" s="37" t="str">
        <f>IFERROR(__xludf.DUMMYFUNCTION("""COMPUTED_VALUE"""),"082254599057")</f>
        <v>082254599057</v>
      </c>
      <c r="W2463" s="45"/>
    </row>
    <row r="2464">
      <c r="A2464" s="45"/>
      <c r="B2464" s="24" t="str">
        <f>IFERROR(__xludf.DUMMYFUNCTION("""COMPUTED_VALUE"""),"04/05/2025 12:18:07")</f>
        <v>04/05/2025 12:18:07</v>
      </c>
      <c r="C2464" s="35"/>
      <c r="D2464" s="10">
        <f>IFERROR(__xludf.DUMMYFUNCTION("""COMPUTED_VALUE"""),45809.0)</f>
        <v>45809</v>
      </c>
      <c r="E2464" s="35" t="str">
        <f>IFERROR(__xludf.DUMMYFUNCTION("""COMPUTED_VALUE"""),"06Jun")</f>
        <v>06Jun</v>
      </c>
      <c r="F2464" s="34" t="str">
        <f>IFERROR(__xludf.DUMMYFUNCTION("""COMPUTED_VALUE"""),"2025")</f>
        <v>2025</v>
      </c>
      <c r="G2464" s="35" t="str">
        <f>IFERROR(__xludf.DUMMYFUNCTION("""COMPUTED_VALUE"""),"FARHAN 0306")</f>
        <v>FARHAN 0306</v>
      </c>
      <c r="H2464" s="35" t="str">
        <f>IFERROR(__xludf.DUMMYFUNCTION("""COMPUTED_VALUE"""),"F0325067874")</f>
        <v>F0325067874</v>
      </c>
      <c r="I2464" s="35">
        <f>IFERROR(__xludf.DUMMYFUNCTION("""COMPUTED_VALUE"""),23.0)</f>
        <v>23</v>
      </c>
      <c r="J2464" s="35" t="str">
        <f>IFERROR(__xludf.DUMMYFUNCTION("""COMPUTED_VALUE"""),"18-24 tahun")</f>
        <v>18-24 tahun</v>
      </c>
      <c r="K2464" s="21">
        <f>IFERROR(__xludf.DUMMYFUNCTION("""COMPUTED_VALUE"""),37775.0)</f>
        <v>37775</v>
      </c>
      <c r="L2464" s="21" t="str">
        <f>IFERROR(__xludf.DUMMYFUNCTION("""COMPUTED_VALUE"""),"LAKI-LAKI")</f>
        <v>LAKI-LAKI</v>
      </c>
      <c r="M2464" s="35" t="str">
        <f>IFERROR(__xludf.DUMMYFUNCTION("""COMPUTED_VALUE"""),"JALAN MENDALAM 7 NO 154 PERUM 4")</f>
        <v>JALAN MENDALAM 7 NO 154 PERUM 4</v>
      </c>
      <c r="N2464" s="35" t="str">
        <f>IFERROR(__xludf.DUMMYFUNCTION("""COMPUTED_VALUE"""),"SAIGON")</f>
        <v>SAIGON</v>
      </c>
      <c r="O2464" s="35" t="str">
        <f>IFERROR(__xludf.DUMMYFUNCTION("""COMPUTED_VALUE"""),"PONTIANAK TIMUR")</f>
        <v>PONTIANAK TIMUR</v>
      </c>
      <c r="P2464" s="35" t="str">
        <f>IFERROR(__xludf.DUMMYFUNCTION("""COMPUTED_VALUE"""),"KOTA PONTIANAK")</f>
        <v>KOTA PONTIANAK</v>
      </c>
      <c r="Q2464" s="35" t="str">
        <f>IFERROR(__xludf.DUMMYFUNCTION("""COMPUTED_VALUE"""),"KALIMANTAN BARAT")</f>
        <v>KALIMANTAN BARAT</v>
      </c>
      <c r="R2464" s="21" t="str">
        <f>IFERROR(__xludf.DUMMYFUNCTION("""COMPUTED_VALUE"""),"ISLAM")</f>
        <v>ISLAM</v>
      </c>
      <c r="S2464" s="74" t="str">
        <f>IFERROR(__xludf.DUMMYFUNCTION("""COMPUTED_VALUE"""),"MAHASISWA")</f>
        <v>MAHASISWA</v>
      </c>
      <c r="T2464" s="35" t="str">
        <f>IFERROR(__xludf.DUMMYFUNCTION("""COMPUTED_VALUE"""),"ANKLE")</f>
        <v>ANKLE</v>
      </c>
      <c r="U2464" s="35" t="str">
        <f>IFERROR(__xludf.DUMMYFUNCTION("""COMPUTED_VALUE"""),"FUTSAL")</f>
        <v>FUTSAL</v>
      </c>
      <c r="V2464" s="37" t="str">
        <f>IFERROR(__xludf.DUMMYFUNCTION("""COMPUTED_VALUE"""),"089654137874")</f>
        <v>089654137874</v>
      </c>
      <c r="W2464" s="45"/>
    </row>
    <row r="2465">
      <c r="A2465" s="45"/>
      <c r="B2465" s="24" t="str">
        <f>IFERROR(__xludf.DUMMYFUNCTION("""COMPUTED_VALUE"""),"04/05/2025 21:23:41")</f>
        <v>04/05/2025 21:23:41</v>
      </c>
      <c r="C2465" s="35"/>
      <c r="D2465" s="10">
        <f>IFERROR(__xludf.DUMMYFUNCTION("""COMPUTED_VALUE"""),45810.0)</f>
        <v>45810</v>
      </c>
      <c r="E2465" s="35" t="str">
        <f>IFERROR(__xludf.DUMMYFUNCTION("""COMPUTED_VALUE"""),"06Jun")</f>
        <v>06Jun</v>
      </c>
      <c r="F2465" s="34" t="str">
        <f>IFERROR(__xludf.DUMMYFUNCTION("""COMPUTED_VALUE"""),"2025")</f>
        <v>2025</v>
      </c>
      <c r="G2465" s="35" t="str">
        <f>IFERROR(__xludf.DUMMYFUNCTION("""COMPUTED_VALUE"""),"WASITO")</f>
        <v>WASITO</v>
      </c>
      <c r="H2465" s="35" t="str">
        <f>IFERROR(__xludf.DUMMYFUNCTION("""COMPUTED_VALUE"""),"W5325063189")</f>
        <v>W5325063189</v>
      </c>
      <c r="I2465" s="35">
        <f>IFERROR(__xludf.DUMMYFUNCTION("""COMPUTED_VALUE"""),72.0)</f>
        <v>72</v>
      </c>
      <c r="J2465" s="35" t="str">
        <f>IFERROR(__xludf.DUMMYFUNCTION("""COMPUTED_VALUE"""),"&gt; 44 tahun")</f>
        <v>&gt; 44 tahun</v>
      </c>
      <c r="K2465" s="21" t="str">
        <f>IFERROR(__xludf.DUMMYFUNCTION("""COMPUTED_VALUE"""),"05/07/1953")</f>
        <v>05/07/1953</v>
      </c>
      <c r="L2465" s="21" t="str">
        <f>IFERROR(__xludf.DUMMYFUNCTION("""COMPUTED_VALUE"""),"LAKI-LAKI")</f>
        <v>LAKI-LAKI</v>
      </c>
      <c r="M2465" s="35" t="str">
        <f>IFERROR(__xludf.DUMMYFUNCTION("""COMPUTED_VALUE"""),"JL.PANGERAN NATAKUSUMA NO.187 A RT/RW.001/002")</f>
        <v>JL.PANGERAN NATAKUSUMA NO.187 A RT/RW.001/002</v>
      </c>
      <c r="N2465" s="35" t="str">
        <f>IFERROR(__xludf.DUMMYFUNCTION("""COMPUTED_VALUE"""),"SEI.BANGKONG")</f>
        <v>SEI.BANGKONG</v>
      </c>
      <c r="O2465" s="35" t="str">
        <f>IFERROR(__xludf.DUMMYFUNCTION("""COMPUTED_VALUE"""),"PONTIANAK KOTA")</f>
        <v>PONTIANAK KOTA</v>
      </c>
      <c r="P2465" s="35" t="str">
        <f>IFERROR(__xludf.DUMMYFUNCTION("""COMPUTED_VALUE"""),"KOTA PONTIANAK")</f>
        <v>KOTA PONTIANAK</v>
      </c>
      <c r="Q2465" s="35" t="str">
        <f>IFERROR(__xludf.DUMMYFUNCTION("""COMPUTED_VALUE"""),"KALIMANTAN BARAT")</f>
        <v>KALIMANTAN BARAT</v>
      </c>
      <c r="R2465" s="21" t="str">
        <f>IFERROR(__xludf.DUMMYFUNCTION("""COMPUTED_VALUE"""),"ISLAM")</f>
        <v>ISLAM</v>
      </c>
      <c r="S2465" s="74" t="str">
        <f>IFERROR(__xludf.DUMMYFUNCTION("""COMPUTED_VALUE"""),"PENSIUNAN PNS")</f>
        <v>PENSIUNAN PNS</v>
      </c>
      <c r="T2465" s="35" t="str">
        <f>IFERROR(__xludf.DUMMYFUNCTION("""COMPUTED_VALUE"""),"NYERI SENDI,,,SAKIT KAKI,,,,")</f>
        <v>NYERI SENDI,,,SAKIT KAKI,,,,</v>
      </c>
      <c r="U2465" s="35" t="str">
        <f>IFERROR(__xludf.DUMMYFUNCTION("""COMPUTED_VALUE"""),"-")</f>
        <v>-</v>
      </c>
      <c r="V2465" s="37" t="str">
        <f>IFERROR(__xludf.DUMMYFUNCTION("""COMPUTED_VALUE"""),"089504883189")</f>
        <v>089504883189</v>
      </c>
      <c r="W2465" s="45"/>
    </row>
    <row r="2466">
      <c r="A2466" s="45"/>
      <c r="B2466" s="24" t="str">
        <f>IFERROR(__xludf.DUMMYFUNCTION("""COMPUTED_VALUE"""),"05/05/2025 10:37:20")</f>
        <v>05/05/2025 10:37:20</v>
      </c>
      <c r="C2466" s="35"/>
      <c r="D2466" s="10">
        <f>IFERROR(__xludf.DUMMYFUNCTION("""COMPUTED_VALUE"""),45810.0)</f>
        <v>45810</v>
      </c>
      <c r="E2466" s="35" t="str">
        <f>IFERROR(__xludf.DUMMYFUNCTION("""COMPUTED_VALUE"""),"06Jun")</f>
        <v>06Jun</v>
      </c>
      <c r="F2466" s="34" t="str">
        <f>IFERROR(__xludf.DUMMYFUNCTION("""COMPUTED_VALUE"""),"2025")</f>
        <v>2025</v>
      </c>
      <c r="G2466" s="35" t="str">
        <f>IFERROR(__xludf.DUMMYFUNCTION("""COMPUTED_VALUE"""),"DONI ARI SETIANTO")</f>
        <v>DONI ARI SETIANTO</v>
      </c>
      <c r="H2466" s="35" t="str">
        <f>IFERROR(__xludf.DUMMYFUNCTION("""COMPUTED_VALUE"""),"D9625066495")</f>
        <v>D9625066495</v>
      </c>
      <c r="I2466" s="35">
        <f>IFERROR(__xludf.DUMMYFUNCTION("""COMPUTED_VALUE"""),29.0)</f>
        <v>29</v>
      </c>
      <c r="J2466" s="35" t="str">
        <f>IFERROR(__xludf.DUMMYFUNCTION("""COMPUTED_VALUE"""),"25-34 tahun")</f>
        <v>25-34 tahun</v>
      </c>
      <c r="K2466" s="21" t="str">
        <f>IFERROR(__xludf.DUMMYFUNCTION("""COMPUTED_VALUE"""),"21/09/1996")</f>
        <v>21/09/1996</v>
      </c>
      <c r="L2466" s="21" t="str">
        <f>IFERROR(__xludf.DUMMYFUNCTION("""COMPUTED_VALUE"""),"LAKI-LAKI")</f>
        <v>LAKI-LAKI</v>
      </c>
      <c r="M2466" s="35" t="str">
        <f>IFERROR(__xludf.DUMMYFUNCTION("""COMPUTED_VALUE"""),"JL DR SUTOMO KOKP MANDIRI 2 B-22")</f>
        <v>JL DR SUTOMO KOKP MANDIRI 2 B-22</v>
      </c>
      <c r="N2466" s="35" t="str">
        <f>IFERROR(__xludf.DUMMYFUNCTION("""COMPUTED_VALUE"""),"SUNGAI BANGKONG")</f>
        <v>SUNGAI BANGKONG</v>
      </c>
      <c r="O2466" s="35" t="str">
        <f>IFERROR(__xludf.DUMMYFUNCTION("""COMPUTED_VALUE"""),"PONTIANAK KOTA")</f>
        <v>PONTIANAK KOTA</v>
      </c>
      <c r="P2466" s="35" t="str">
        <f>IFERROR(__xludf.DUMMYFUNCTION("""COMPUTED_VALUE"""),"KOTA PONTIANAK")</f>
        <v>KOTA PONTIANAK</v>
      </c>
      <c r="Q2466" s="35" t="str">
        <f>IFERROR(__xludf.DUMMYFUNCTION("""COMPUTED_VALUE"""),"KALIMANTAN BARAT")</f>
        <v>KALIMANTAN BARAT</v>
      </c>
      <c r="R2466" s="21" t="str">
        <f>IFERROR(__xludf.DUMMYFUNCTION("""COMPUTED_VALUE"""),"ISLAM")</f>
        <v>ISLAM</v>
      </c>
      <c r="S2466" s="74" t="str">
        <f>IFERROR(__xludf.DUMMYFUNCTION("""COMPUTED_VALUE"""),"ASN")</f>
        <v>ASN</v>
      </c>
      <c r="T2466" s="35" t="str">
        <f>IFERROR(__xludf.DUMMYFUNCTION("""COMPUTED_VALUE"""),"SAKIT DI BAGIAN KAKI")</f>
        <v>SAKIT DI BAGIAN KAKI</v>
      </c>
      <c r="U2466" s="35" t="str">
        <f>IFERROR(__xludf.DUMMYFUNCTION("""COMPUTED_VALUE"""),"OLAH RAGA SEPERTI SEPAKBOLA DAN LARO")</f>
        <v>OLAH RAGA SEPERTI SEPAKBOLA DAN LARO</v>
      </c>
      <c r="V2466" s="37" t="str">
        <f>IFERROR(__xludf.DUMMYFUNCTION("""COMPUTED_VALUE"""),"08996936495")</f>
        <v>08996936495</v>
      </c>
      <c r="W2466" s="45"/>
    </row>
    <row r="2467">
      <c r="A2467" s="45"/>
      <c r="B2467" s="24" t="str">
        <f>IFERROR(__xludf.DUMMYFUNCTION("""COMPUTED_VALUE"""),"05/05/2025 15:15:26")</f>
        <v>05/05/2025 15:15:26</v>
      </c>
      <c r="C2467" s="35"/>
      <c r="D2467" s="10">
        <f>IFERROR(__xludf.DUMMYFUNCTION("""COMPUTED_VALUE"""),45810.0)</f>
        <v>45810</v>
      </c>
      <c r="E2467" s="35" t="str">
        <f>IFERROR(__xludf.DUMMYFUNCTION("""COMPUTED_VALUE"""),"06Jun")</f>
        <v>06Jun</v>
      </c>
      <c r="F2467" s="34" t="str">
        <f>IFERROR(__xludf.DUMMYFUNCTION("""COMPUTED_VALUE"""),"2025")</f>
        <v>2025</v>
      </c>
      <c r="G2467" s="35" t="str">
        <f>IFERROR(__xludf.DUMMYFUNCTION("""COMPUTED_VALUE"""),"TAN REVAN ADIWITYA")</f>
        <v>TAN REVAN ADIWITYA</v>
      </c>
      <c r="H2467" s="35" t="str">
        <f>IFERROR(__xludf.DUMMYFUNCTION("""COMPUTED_VALUE"""),"T0925064832")</f>
        <v>T0925064832</v>
      </c>
      <c r="I2467" s="35">
        <f>IFERROR(__xludf.DUMMYFUNCTION("""COMPUTED_VALUE"""),17.0)</f>
        <v>17</v>
      </c>
      <c r="J2467" s="35" t="str">
        <f>IFERROR(__xludf.DUMMYFUNCTION("""COMPUTED_VALUE"""),"&lt; 18 tahun")</f>
        <v>&lt; 18 tahun</v>
      </c>
      <c r="K2467" s="21" t="str">
        <f>IFERROR(__xludf.DUMMYFUNCTION("""COMPUTED_VALUE"""),"04/04/2009")</f>
        <v>04/04/2009</v>
      </c>
      <c r="L2467" s="21" t="str">
        <f>IFERROR(__xludf.DUMMYFUNCTION("""COMPUTED_VALUE"""),"LAKI-LAKI")</f>
        <v>LAKI-LAKI</v>
      </c>
      <c r="M2467" s="35" t="str">
        <f>IFERROR(__xludf.DUMMYFUNCTION("""COMPUTED_VALUE"""),"JL. KARYA BARU KOMPLEK BALI AGUNG 1 NO. A 31 PONTIANAK")</f>
        <v>JL. KARYA BARU KOMPLEK BALI AGUNG 1 NO. A 31 PONTIANAK</v>
      </c>
      <c r="N2467" s="35" t="str">
        <f>IFERROR(__xludf.DUMMYFUNCTION("""COMPUTED_VALUE"""),"PARIT TOKAYA")</f>
        <v>PARIT TOKAYA</v>
      </c>
      <c r="O2467" s="35" t="str">
        <f>IFERROR(__xludf.DUMMYFUNCTION("""COMPUTED_VALUE"""),"PONTIANAK SELATAN")</f>
        <v>PONTIANAK SELATAN</v>
      </c>
      <c r="P2467" s="35" t="str">
        <f>IFERROR(__xludf.DUMMYFUNCTION("""COMPUTED_VALUE"""),"PONTIANAK")</f>
        <v>PONTIANAK</v>
      </c>
      <c r="Q2467" s="35" t="str">
        <f>IFERROR(__xludf.DUMMYFUNCTION("""COMPUTED_VALUE"""),"KALIMANTAN BARAT")</f>
        <v>KALIMANTAN BARAT</v>
      </c>
      <c r="R2467" s="21" t="str">
        <f>IFERROR(__xludf.DUMMYFUNCTION("""COMPUTED_VALUE"""),"ISLAM")</f>
        <v>ISLAM</v>
      </c>
      <c r="S2467" s="74" t="str">
        <f>IFERROR(__xludf.DUMMYFUNCTION("""COMPUTED_VALUE"""),"PELAJAR")</f>
        <v>PELAJAR</v>
      </c>
      <c r="T2467" s="35" t="str">
        <f>IFERROR(__xludf.DUMMYFUNCTION("""COMPUTED_VALUE"""),"SAKIT BAGIAN PUNGGUNG TELAPAK KAKI")</f>
        <v>SAKIT BAGIAN PUNGGUNG TELAPAK KAKI</v>
      </c>
      <c r="U2467" s="35" t="str">
        <f>IFERROR(__xludf.DUMMYFUNCTION("""COMPUTED_VALUE"""),"FUTSAL DAN BOLA KAKI")</f>
        <v>FUTSAL DAN BOLA KAKI</v>
      </c>
      <c r="V2467" s="37" t="str">
        <f>IFERROR(__xludf.DUMMYFUNCTION("""COMPUTED_VALUE"""),"085220014832")</f>
        <v>085220014832</v>
      </c>
      <c r="W2467" s="45"/>
    </row>
    <row r="2468">
      <c r="A2468" s="45"/>
      <c r="B2468" s="24" t="str">
        <f>IFERROR(__xludf.DUMMYFUNCTION("""COMPUTED_VALUE"""),"04/05/2025 21:23:41")</f>
        <v>04/05/2025 21:23:41</v>
      </c>
      <c r="C2468" s="35"/>
      <c r="D2468" s="10">
        <f>IFERROR(__xludf.DUMMYFUNCTION("""COMPUTED_VALUE"""),45810.0)</f>
        <v>45810</v>
      </c>
      <c r="E2468" s="35" t="str">
        <f>IFERROR(__xludf.DUMMYFUNCTION("""COMPUTED_VALUE"""),"06Jun")</f>
        <v>06Jun</v>
      </c>
      <c r="F2468" s="34" t="str">
        <f>IFERROR(__xludf.DUMMYFUNCTION("""COMPUTED_VALUE"""),"2025")</f>
        <v>2025</v>
      </c>
      <c r="G2468" s="35" t="str">
        <f>IFERROR(__xludf.DUMMYFUNCTION("""COMPUTED_VALUE"""),"MAHILOT")</f>
        <v>MAHILOT</v>
      </c>
      <c r="H2468" s="35" t="str">
        <f>IFERROR(__xludf.DUMMYFUNCTION("""COMPUTED_VALUE"""),"M6025068934")</f>
        <v>M6025068934</v>
      </c>
      <c r="I2468" s="35">
        <f>IFERROR(__xludf.DUMMYFUNCTION("""COMPUTED_VALUE"""),65.0)</f>
        <v>65</v>
      </c>
      <c r="J2468" s="35" t="str">
        <f>IFERROR(__xludf.DUMMYFUNCTION("""COMPUTED_VALUE"""),"&gt; 44 tahun")</f>
        <v>&gt; 44 tahun</v>
      </c>
      <c r="K2468" s="21" t="str">
        <f>IFERROR(__xludf.DUMMYFUNCTION("""COMPUTED_VALUE"""),"11/10/1960")</f>
        <v>11/10/1960</v>
      </c>
      <c r="L2468" s="21" t="str">
        <f>IFERROR(__xludf.DUMMYFUNCTION("""COMPUTED_VALUE"""),"PEREMPUAN")</f>
        <v>PEREMPUAN</v>
      </c>
      <c r="M2468" s="35" t="str">
        <f>IFERROR(__xludf.DUMMYFUNCTION("""COMPUTED_VALUE"""),"JL YAM SABRAN GG NURUL BAKTI")</f>
        <v>JL YAM SABRAN GG NURUL BAKTI</v>
      </c>
      <c r="N2468" s="35" t="str">
        <f>IFERROR(__xludf.DUMMYFUNCTION("""COMPUTED_VALUE"""),"TANJUNG HULU")</f>
        <v>TANJUNG HULU</v>
      </c>
      <c r="O2468" s="35" t="str">
        <f>IFERROR(__xludf.DUMMYFUNCTION("""COMPUTED_VALUE"""),"PONTIANAK TIMUR")</f>
        <v>PONTIANAK TIMUR</v>
      </c>
      <c r="P2468" s="35" t="str">
        <f>IFERROR(__xludf.DUMMYFUNCTION("""COMPUTED_VALUE"""),"PONTIANAK")</f>
        <v>PONTIANAK</v>
      </c>
      <c r="Q2468" s="35" t="str">
        <f>IFERROR(__xludf.DUMMYFUNCTION("""COMPUTED_VALUE"""),"KALIMANTAN BARAT")</f>
        <v>KALIMANTAN BARAT</v>
      </c>
      <c r="R2468" s="21" t="str">
        <f>IFERROR(__xludf.DUMMYFUNCTION("""COMPUTED_VALUE"""),"ISLAM")</f>
        <v>ISLAM</v>
      </c>
      <c r="S2468" s="74" t="str">
        <f>IFERROR(__xludf.DUMMYFUNCTION("""COMPUTED_VALUE"""),"IRT")</f>
        <v>IRT</v>
      </c>
      <c r="T2468" s="35" t="str">
        <f>IFERROR(__xludf.DUMMYFUNCTION("""COMPUTED_VALUE"""),"LUTUT")</f>
        <v>LUTUT</v>
      </c>
      <c r="U2468" s="35" t="str">
        <f>IFERROR(__xludf.DUMMYFUNCTION("""COMPUTED_VALUE"""),"IRT")</f>
        <v>IRT</v>
      </c>
      <c r="V2468" s="37" t="str">
        <f>IFERROR(__xludf.DUMMYFUNCTION("""COMPUTED_VALUE"""),"085822568934")</f>
        <v>085822568934</v>
      </c>
      <c r="W2468" s="45"/>
    </row>
    <row r="2469">
      <c r="A2469" s="45"/>
      <c r="B2469" s="24" t="str">
        <f>IFERROR(__xludf.DUMMYFUNCTION("""COMPUTED_VALUE"""),"05/05/2025 17:47:52")</f>
        <v>05/05/2025 17:47:52</v>
      </c>
      <c r="C2469" s="35"/>
      <c r="D2469" s="10">
        <f>IFERROR(__xludf.DUMMYFUNCTION("""COMPUTED_VALUE"""),45811.0)</f>
        <v>45811</v>
      </c>
      <c r="E2469" s="35" t="str">
        <f>IFERROR(__xludf.DUMMYFUNCTION("""COMPUTED_VALUE"""),"06Jun")</f>
        <v>06Jun</v>
      </c>
      <c r="F2469" s="34" t="str">
        <f>IFERROR(__xludf.DUMMYFUNCTION("""COMPUTED_VALUE"""),"2025")</f>
        <v>2025</v>
      </c>
      <c r="G2469" s="35" t="str">
        <f>IFERROR(__xludf.DUMMYFUNCTION("""COMPUTED_VALUE"""),"RAHADIAN FARANDI")</f>
        <v>RAHADIAN FARANDI</v>
      </c>
      <c r="H2469" s="35" t="str">
        <f>IFERROR(__xludf.DUMMYFUNCTION("""COMPUTED_VALUE"""),"R9425066090")</f>
        <v>R9425066090</v>
      </c>
      <c r="I2469" s="35">
        <f>IFERROR(__xludf.DUMMYFUNCTION("""COMPUTED_VALUE"""),31.0)</f>
        <v>31</v>
      </c>
      <c r="J2469" s="35" t="str">
        <f>IFERROR(__xludf.DUMMYFUNCTION("""COMPUTED_VALUE"""),"25-34 tahun")</f>
        <v>25-34 tahun</v>
      </c>
      <c r="K2469" s="21" t="str">
        <f>IFERROR(__xludf.DUMMYFUNCTION("""COMPUTED_VALUE"""),"31/07/1994")</f>
        <v>31/07/1994</v>
      </c>
      <c r="L2469" s="21" t="str">
        <f>IFERROR(__xludf.DUMMYFUNCTION("""COMPUTED_VALUE"""),"LAKI-LAKI")</f>
        <v>LAKI-LAKI</v>
      </c>
      <c r="M2469" s="35" t="str">
        <f>IFERROR(__xludf.DUMMYFUNCTION("""COMPUTED_VALUE"""),"JL. HM SUWIGNYO GG. ARAFAH NO. 2")</f>
        <v>JL. HM SUWIGNYO GG. ARAFAH NO. 2</v>
      </c>
      <c r="N2469" s="35" t="str">
        <f>IFERROR(__xludf.DUMMYFUNCTION("""COMPUTED_VALUE"""),"SUNGAI JAWI")</f>
        <v>SUNGAI JAWI</v>
      </c>
      <c r="O2469" s="35" t="str">
        <f>IFERROR(__xludf.DUMMYFUNCTION("""COMPUTED_VALUE"""),"PONTIANAK KOTA")</f>
        <v>PONTIANAK KOTA</v>
      </c>
      <c r="P2469" s="35" t="str">
        <f>IFERROR(__xludf.DUMMYFUNCTION("""COMPUTED_VALUE"""),"KOTA PONTIANAK")</f>
        <v>KOTA PONTIANAK</v>
      </c>
      <c r="Q2469" s="35" t="str">
        <f>IFERROR(__xludf.DUMMYFUNCTION("""COMPUTED_VALUE"""),"KALIMANTAN BARAT")</f>
        <v>KALIMANTAN BARAT</v>
      </c>
      <c r="R2469" s="21" t="str">
        <f>IFERROR(__xludf.DUMMYFUNCTION("""COMPUTED_VALUE"""),"ISLAM")</f>
        <v>ISLAM</v>
      </c>
      <c r="S2469" s="74" t="str">
        <f>IFERROR(__xludf.DUMMYFUNCTION("""COMPUTED_VALUE"""),"KARYAWAN SWASTA")</f>
        <v>KARYAWAN SWASTA</v>
      </c>
      <c r="T2469" s="35" t="str">
        <f>IFERROR(__xludf.DUMMYFUNCTION("""COMPUTED_VALUE"""),"TIDAK BISA DUDUK LAMA KALAU TIDAK BERSANDAR DAN PENGECEKAN LUMBAR 4,5")</f>
        <v>TIDAK BISA DUDUK LAMA KALAU TIDAK BERSANDAR DAN PENGECEKAN LUMBAR 4,5</v>
      </c>
      <c r="U2469" s="35" t="str">
        <f>IFERROR(__xludf.DUMMYFUNCTION("""COMPUTED_VALUE"""),"PENGAWAS PROYEK")</f>
        <v>PENGAWAS PROYEK</v>
      </c>
      <c r="V2469" s="37" t="str">
        <f>IFERROR(__xludf.DUMMYFUNCTION("""COMPUTED_VALUE"""),"087839856090")</f>
        <v>087839856090</v>
      </c>
      <c r="W2469" s="45"/>
    </row>
    <row r="2470">
      <c r="A2470" s="45"/>
      <c r="B2470" s="24" t="str">
        <f>IFERROR(__xludf.DUMMYFUNCTION("""COMPUTED_VALUE"""),"07/05/2025 8:27:58")</f>
        <v>07/05/2025 8:27:58</v>
      </c>
      <c r="C2470" s="35"/>
      <c r="D2470" s="10">
        <f>IFERROR(__xludf.DUMMYFUNCTION("""COMPUTED_VALUE"""),45811.0)</f>
        <v>45811</v>
      </c>
      <c r="E2470" s="35" t="str">
        <f>IFERROR(__xludf.DUMMYFUNCTION("""COMPUTED_VALUE"""),"06Jun")</f>
        <v>06Jun</v>
      </c>
      <c r="F2470" s="34" t="str">
        <f>IFERROR(__xludf.DUMMYFUNCTION("""COMPUTED_VALUE"""),"2025")</f>
        <v>2025</v>
      </c>
      <c r="G2470" s="35" t="str">
        <f>IFERROR(__xludf.DUMMYFUNCTION("""COMPUTED_VALUE"""),"NURMEDITASARI")</f>
        <v>NURMEDITASARI</v>
      </c>
      <c r="H2470" s="35" t="str">
        <f>IFERROR(__xludf.DUMMYFUNCTION("""COMPUTED_VALUE"""),"N9625061460")</f>
        <v>N9625061460</v>
      </c>
      <c r="I2470" s="35">
        <f>IFERROR(__xludf.DUMMYFUNCTION("""COMPUTED_VALUE"""),30.0)</f>
        <v>30</v>
      </c>
      <c r="J2470" s="35" t="str">
        <f>IFERROR(__xludf.DUMMYFUNCTION("""COMPUTED_VALUE"""),"25-34 tahun")</f>
        <v>25-34 tahun</v>
      </c>
      <c r="K2470" s="21" t="str">
        <f>IFERROR(__xludf.DUMMYFUNCTION("""COMPUTED_VALUE"""),"16/04/1996")</f>
        <v>16/04/1996</v>
      </c>
      <c r="L2470" s="21" t="str">
        <f>IFERROR(__xludf.DUMMYFUNCTION("""COMPUTED_VALUE"""),"PEREMPUAN")</f>
        <v>PEREMPUAN</v>
      </c>
      <c r="M2470" s="35" t="str">
        <f>IFERROR(__xludf.DUMMYFUNCTION("""COMPUTED_VALUE"""),"JL. HM. SUWIGNYO GG. ARAFAH NO. 2")</f>
        <v>JL. HM. SUWIGNYO GG. ARAFAH NO. 2</v>
      </c>
      <c r="N2470" s="35" t="str">
        <f>IFERROR(__xludf.DUMMYFUNCTION("""COMPUTED_VALUE"""),"SUNGAI JAWI")</f>
        <v>SUNGAI JAWI</v>
      </c>
      <c r="O2470" s="35" t="str">
        <f>IFERROR(__xludf.DUMMYFUNCTION("""COMPUTED_VALUE"""),"PONTIANAK KOTA")</f>
        <v>PONTIANAK KOTA</v>
      </c>
      <c r="P2470" s="35" t="str">
        <f>IFERROR(__xludf.DUMMYFUNCTION("""COMPUTED_VALUE"""),"KOTA PONTIANAK")</f>
        <v>KOTA PONTIANAK</v>
      </c>
      <c r="Q2470" s="35" t="str">
        <f>IFERROR(__xludf.DUMMYFUNCTION("""COMPUTED_VALUE"""),"KALIMANTAN BARAT")</f>
        <v>KALIMANTAN BARAT</v>
      </c>
      <c r="R2470" s="21" t="str">
        <f>IFERROR(__xludf.DUMMYFUNCTION("""COMPUTED_VALUE"""),"ISLAM")</f>
        <v>ISLAM</v>
      </c>
      <c r="S2470" s="74" t="str">
        <f>IFERROR(__xludf.DUMMYFUNCTION("""COMPUTED_VALUE"""),"IBU RUMAH TANGGA")</f>
        <v>IBU RUMAH TANGGA</v>
      </c>
      <c r="T2470" s="35" t="str">
        <f>IFERROR(__xludf.DUMMYFUNCTION("""COMPUTED_VALUE"""),"KENDALA DI LUMBAR 4,5 DAN S2")</f>
        <v>KENDALA DI LUMBAR 4,5 DAN S2</v>
      </c>
      <c r="U2470" s="35" t="str">
        <f>IFERROR(__xludf.DUMMYFUNCTION("""COMPUTED_VALUE"""),"MUAI THAI DAN GYM")</f>
        <v>MUAI THAI DAN GYM</v>
      </c>
      <c r="V2470" s="37" t="str">
        <f>IFERROR(__xludf.DUMMYFUNCTION("""COMPUTED_VALUE"""),"08179331460")</f>
        <v>08179331460</v>
      </c>
      <c r="W2470" s="45"/>
    </row>
    <row r="2471">
      <c r="A2471" s="45"/>
      <c r="B2471" s="24" t="str">
        <f>IFERROR(__xludf.DUMMYFUNCTION("""COMPUTED_VALUE"""),"06/05/2025 20:15:16")</f>
        <v>06/05/2025 20:15:16</v>
      </c>
      <c r="C2471" s="35"/>
      <c r="D2471" s="10">
        <f>IFERROR(__xludf.DUMMYFUNCTION("""COMPUTED_VALUE"""),45811.0)</f>
        <v>45811</v>
      </c>
      <c r="E2471" s="35" t="str">
        <f>IFERROR(__xludf.DUMMYFUNCTION("""COMPUTED_VALUE"""),"06Jun")</f>
        <v>06Jun</v>
      </c>
      <c r="F2471" s="34" t="str">
        <f>IFERROR(__xludf.DUMMYFUNCTION("""COMPUTED_VALUE"""),"2025")</f>
        <v>2025</v>
      </c>
      <c r="G2471" s="35" t="str">
        <f>IFERROR(__xludf.DUMMYFUNCTION("""COMPUTED_VALUE"""),"MUHAMMAD AKMAL JADID KURNIAWAN")</f>
        <v>MUHAMMAD AKMAL JADID KURNIAWAN</v>
      </c>
      <c r="H2471" s="35" t="str">
        <f>IFERROR(__xludf.DUMMYFUNCTION("""COMPUTED_VALUE"""),"M0825068440")</f>
        <v>M0825068440</v>
      </c>
      <c r="I2471" s="35">
        <f>IFERROR(__xludf.DUMMYFUNCTION("""COMPUTED_VALUE"""),18.0)</f>
        <v>18</v>
      </c>
      <c r="J2471" s="35" t="str">
        <f>IFERROR(__xludf.DUMMYFUNCTION("""COMPUTED_VALUE"""),"&lt; 18 tahun")</f>
        <v>&lt; 18 tahun</v>
      </c>
      <c r="K2471" s="21" t="str">
        <f>IFERROR(__xludf.DUMMYFUNCTION("""COMPUTED_VALUE"""),"18/04/2008")</f>
        <v>18/04/2008</v>
      </c>
      <c r="L2471" s="21" t="str">
        <f>IFERROR(__xludf.DUMMYFUNCTION("""COMPUTED_VALUE"""),"LAKI-LAKI")</f>
        <v>LAKI-LAKI</v>
      </c>
      <c r="M2471" s="35" t="str">
        <f>IFERROR(__xludf.DUMMYFUNCTION("""COMPUTED_VALUE"""),"JL. TJ PULAU MASJID JAMI KERATON")</f>
        <v>JL. TJ PULAU MASJID JAMI KERATON</v>
      </c>
      <c r="N2471" s="35" t="str">
        <f>IFERROR(__xludf.DUMMYFUNCTION("""COMPUTED_VALUE"""),"TANJUNG RAYA 1")</f>
        <v>TANJUNG RAYA 1</v>
      </c>
      <c r="O2471" s="35" t="str">
        <f>IFERROR(__xludf.DUMMYFUNCTION("""COMPUTED_VALUE"""),"-")</f>
        <v>-</v>
      </c>
      <c r="P2471" s="35" t="str">
        <f>IFERROR(__xludf.DUMMYFUNCTION("""COMPUTED_VALUE"""),"PONTIANAK")</f>
        <v>PONTIANAK</v>
      </c>
      <c r="Q2471" s="35" t="str">
        <f>IFERROR(__xludf.DUMMYFUNCTION("""COMPUTED_VALUE"""),"KALIMANTAN BARAT")</f>
        <v>KALIMANTAN BARAT</v>
      </c>
      <c r="R2471" s="21" t="str">
        <f>IFERROR(__xludf.DUMMYFUNCTION("""COMPUTED_VALUE"""),"ISLAM")</f>
        <v>ISLAM</v>
      </c>
      <c r="S2471" s="74" t="str">
        <f>IFERROR(__xludf.DUMMYFUNCTION("""COMPUTED_VALUE"""),"PELAJAR")</f>
        <v>PELAJAR</v>
      </c>
      <c r="T2471" s="35" t="str">
        <f>IFERROR(__xludf.DUMMYFUNCTION("""COMPUTED_VALUE"""),"KAKI")</f>
        <v>KAKI</v>
      </c>
      <c r="U2471" s="35" t="str">
        <f>IFERROR(__xludf.DUMMYFUNCTION("""COMPUTED_VALUE"""),"OLAHRAGA")</f>
        <v>OLAHRAGA</v>
      </c>
      <c r="V2471" s="37" t="str">
        <f>IFERROR(__xludf.DUMMYFUNCTION("""COMPUTED_VALUE"""),"0853311818440")</f>
        <v>0853311818440</v>
      </c>
      <c r="W2471" s="45"/>
    </row>
    <row r="2472">
      <c r="A2472" s="45"/>
      <c r="B2472" s="24" t="str">
        <f>IFERROR(__xludf.DUMMYFUNCTION("""COMPUTED_VALUE"""),"07/05/2025 10:05:56")</f>
        <v>07/05/2025 10:05:56</v>
      </c>
      <c r="C2472" s="35"/>
      <c r="D2472" s="10">
        <f>IFERROR(__xludf.DUMMYFUNCTION("""COMPUTED_VALUE"""),45811.0)</f>
        <v>45811</v>
      </c>
      <c r="E2472" s="35" t="str">
        <f>IFERROR(__xludf.DUMMYFUNCTION("""COMPUTED_VALUE"""),"06Jun")</f>
        <v>06Jun</v>
      </c>
      <c r="F2472" s="34" t="str">
        <f>IFERROR(__xludf.DUMMYFUNCTION("""COMPUTED_VALUE"""),"2025")</f>
        <v>2025</v>
      </c>
      <c r="G2472" s="35" t="str">
        <f>IFERROR(__xludf.DUMMYFUNCTION("""COMPUTED_VALUE"""),"ERIK RADJALI")</f>
        <v>ERIK RADJALI</v>
      </c>
      <c r="H2472" s="35" t="str">
        <f>IFERROR(__xludf.DUMMYFUNCTION("""COMPUTED_VALUE"""),"E9125065078")</f>
        <v>E9125065078</v>
      </c>
      <c r="I2472" s="35">
        <f>IFERROR(__xludf.DUMMYFUNCTION("""COMPUTED_VALUE"""),35.0)</f>
        <v>35</v>
      </c>
      <c r="J2472" s="35" t="str">
        <f>IFERROR(__xludf.DUMMYFUNCTION("""COMPUTED_VALUE"""),"35-44 tahun")</f>
        <v>35-44 tahun</v>
      </c>
      <c r="K2472" s="21" t="str">
        <f>IFERROR(__xludf.DUMMYFUNCTION("""COMPUTED_VALUE"""),"05/03/1991")</f>
        <v>05/03/1991</v>
      </c>
      <c r="L2472" s="21" t="str">
        <f>IFERROR(__xludf.DUMMYFUNCTION("""COMPUTED_VALUE"""),"LAKI-LAKI")</f>
        <v>LAKI-LAKI</v>
      </c>
      <c r="M2472" s="35" t="str">
        <f>IFERROR(__xludf.DUMMYFUNCTION("""COMPUTED_VALUE"""),"JL NUSA INDAH BARU BLOK B-7")</f>
        <v>JL NUSA INDAH BARU BLOK B-7</v>
      </c>
      <c r="N2472" s="35" t="str">
        <f>IFERROR(__xludf.DUMMYFUNCTION("""COMPUTED_VALUE"""),"DARAT SEKIP")</f>
        <v>DARAT SEKIP</v>
      </c>
      <c r="O2472" s="35" t="str">
        <f>IFERROR(__xludf.DUMMYFUNCTION("""COMPUTED_VALUE"""),"PONTIANAK KOTA")</f>
        <v>PONTIANAK KOTA</v>
      </c>
      <c r="P2472" s="35" t="str">
        <f>IFERROR(__xludf.DUMMYFUNCTION("""COMPUTED_VALUE"""),"PONTIANAK KOTA")</f>
        <v>PONTIANAK KOTA</v>
      </c>
      <c r="Q2472" s="35" t="str">
        <f>IFERROR(__xludf.DUMMYFUNCTION("""COMPUTED_VALUE"""),"KALIMANTAN BARAT")</f>
        <v>KALIMANTAN BARAT</v>
      </c>
      <c r="R2472" s="21" t="str">
        <f>IFERROR(__xludf.DUMMYFUNCTION("""COMPUTED_VALUE"""),"KATOLIK")</f>
        <v>KATOLIK</v>
      </c>
      <c r="S2472" s="74" t="str">
        <f>IFERROR(__xludf.DUMMYFUNCTION("""COMPUTED_VALUE"""),"WIRASWASTA")</f>
        <v>WIRASWASTA</v>
      </c>
      <c r="T2472" s="35" t="str">
        <f>IFERROR(__xludf.DUMMYFUNCTION("""COMPUTED_VALUE"""),"LUTUT")</f>
        <v>LUTUT</v>
      </c>
      <c r="U2472" s="35" t="str">
        <f>IFERROR(__xludf.DUMMYFUNCTION("""COMPUTED_VALUE"""),"BERJUALAN")</f>
        <v>BERJUALAN</v>
      </c>
      <c r="V2472" s="37" t="str">
        <f>IFERROR(__xludf.DUMMYFUNCTION("""COMPUTED_VALUE"""),"081905525078")</f>
        <v>081905525078</v>
      </c>
      <c r="W2472" s="45"/>
    </row>
    <row r="2473">
      <c r="A2473" s="45"/>
      <c r="B2473" s="24" t="str">
        <f>IFERROR(__xludf.DUMMYFUNCTION("""COMPUTED_VALUE"""),"07/05/2025 11:39:55")</f>
        <v>07/05/2025 11:39:55</v>
      </c>
      <c r="C2473" s="35"/>
      <c r="D2473" s="10">
        <f>IFERROR(__xludf.DUMMYFUNCTION("""COMPUTED_VALUE"""),45812.0)</f>
        <v>45812</v>
      </c>
      <c r="E2473" s="35" t="str">
        <f>IFERROR(__xludf.DUMMYFUNCTION("""COMPUTED_VALUE"""),"06Jun")</f>
        <v>06Jun</v>
      </c>
      <c r="F2473" s="34" t="str">
        <f>IFERROR(__xludf.DUMMYFUNCTION("""COMPUTED_VALUE"""),"2025")</f>
        <v>2025</v>
      </c>
      <c r="G2473" s="35" t="str">
        <f>IFERROR(__xludf.DUMMYFUNCTION("""COMPUTED_VALUE"""),"SYARIF HANIF RAMADHAN")</f>
        <v>SYARIF HANIF RAMADHAN</v>
      </c>
      <c r="H2473" s="35" t="str">
        <f>IFERROR(__xludf.DUMMYFUNCTION("""COMPUTED_VALUE"""),"S1625067980")</f>
        <v>S1625067980</v>
      </c>
      <c r="I2473" s="35">
        <f>IFERROR(__xludf.DUMMYFUNCTION("""COMPUTED_VALUE"""),9.0)</f>
        <v>9</v>
      </c>
      <c r="J2473" s="35" t="str">
        <f>IFERROR(__xludf.DUMMYFUNCTION("""COMPUTED_VALUE"""),"&lt; 18 tahun")</f>
        <v>&lt; 18 tahun</v>
      </c>
      <c r="K2473" s="21" t="str">
        <f>IFERROR(__xludf.DUMMYFUNCTION("""COMPUTED_VALUE"""),"22/06/2016")</f>
        <v>22/06/2016</v>
      </c>
      <c r="L2473" s="21" t="str">
        <f>IFERROR(__xludf.DUMMYFUNCTION("""COMPUTED_VALUE"""),"LAKI-LAKI")</f>
        <v>LAKI-LAKI</v>
      </c>
      <c r="M2473" s="35" t="str">
        <f>IFERROR(__xludf.DUMMYFUNCTION("""COMPUTED_VALUE"""),"JL HUSIN HAMZAH KOMP VILLA ARTHALAND NO A7")</f>
        <v>JL HUSIN HAMZAH KOMP VILLA ARTHALAND NO A7</v>
      </c>
      <c r="N2473" s="35" t="str">
        <f>IFERROR(__xludf.DUMMYFUNCTION("""COMPUTED_VALUE"""),"PAL 5")</f>
        <v>PAL 5</v>
      </c>
      <c r="O2473" s="35" t="str">
        <f>IFERROR(__xludf.DUMMYFUNCTION("""COMPUTED_VALUE"""),"PONTIANAK BARAT")</f>
        <v>PONTIANAK BARAT</v>
      </c>
      <c r="P2473" s="35" t="str">
        <f>IFERROR(__xludf.DUMMYFUNCTION("""COMPUTED_VALUE"""),"KOTA PONTIANAK")</f>
        <v>KOTA PONTIANAK</v>
      </c>
      <c r="Q2473" s="35" t="str">
        <f>IFERROR(__xludf.DUMMYFUNCTION("""COMPUTED_VALUE"""),"KALIMANTAN BARAT")</f>
        <v>KALIMANTAN BARAT</v>
      </c>
      <c r="R2473" s="21" t="str">
        <f>IFERROR(__xludf.DUMMYFUNCTION("""COMPUTED_VALUE"""),"ISLAM")</f>
        <v>ISLAM</v>
      </c>
      <c r="S2473" s="74" t="str">
        <f>IFERROR(__xludf.DUMMYFUNCTION("""COMPUTED_VALUE"""),"PELAJAR")</f>
        <v>PELAJAR</v>
      </c>
      <c r="T2473" s="35" t="str">
        <f>IFERROR(__xludf.DUMMYFUNCTION("""COMPUTED_VALUE"""),"NYERI ENGKEL KAKI")</f>
        <v>NYERI ENGKEL KAKI</v>
      </c>
      <c r="U2473" s="35" t="str">
        <f>IFERROR(__xludf.DUMMYFUNCTION("""COMPUTED_VALUE"""),"SEPAKBOLA DAN FUTSAL")</f>
        <v>SEPAKBOLA DAN FUTSAL</v>
      </c>
      <c r="V2473" s="37" t="str">
        <f>IFERROR(__xludf.DUMMYFUNCTION("""COMPUTED_VALUE"""),"085388317980")</f>
        <v>085388317980</v>
      </c>
      <c r="W2473" s="45"/>
    </row>
    <row r="2474">
      <c r="A2474" s="45"/>
      <c r="B2474" s="24" t="str">
        <f>IFERROR(__xludf.DUMMYFUNCTION("""COMPUTED_VALUE"""),"08/05/2025 12:00:26")</f>
        <v>08/05/2025 12:00:26</v>
      </c>
      <c r="C2474" s="35"/>
      <c r="D2474" s="10">
        <f>IFERROR(__xludf.DUMMYFUNCTION("""COMPUTED_VALUE"""),45812.0)</f>
        <v>45812</v>
      </c>
      <c r="E2474" s="35" t="str">
        <f>IFERROR(__xludf.DUMMYFUNCTION("""COMPUTED_VALUE"""),"06Jun")</f>
        <v>06Jun</v>
      </c>
      <c r="F2474" s="34" t="str">
        <f>IFERROR(__xludf.DUMMYFUNCTION("""COMPUTED_VALUE"""),"2025")</f>
        <v>2025</v>
      </c>
      <c r="G2474" s="35" t="str">
        <f>IFERROR(__xludf.DUMMYFUNCTION("""COMPUTED_VALUE"""),"KATARINA APIN")</f>
        <v>KATARINA APIN</v>
      </c>
      <c r="H2474" s="35" t="str">
        <f>IFERROR(__xludf.DUMMYFUNCTION("""COMPUTED_VALUE"""),"K6025063145")</f>
        <v>K6025063145</v>
      </c>
      <c r="I2474" s="35">
        <f>IFERROR(__xludf.DUMMYFUNCTION("""COMPUTED_VALUE"""),66.0)</f>
        <v>66</v>
      </c>
      <c r="J2474" s="35" t="str">
        <f>IFERROR(__xludf.DUMMYFUNCTION("""COMPUTED_VALUE"""),"&gt; 44 tahun")</f>
        <v>&gt; 44 tahun</v>
      </c>
      <c r="K2474" s="21" t="str">
        <f>IFERROR(__xludf.DUMMYFUNCTION("""COMPUTED_VALUE"""),"07/04/1960")</f>
        <v>07/04/1960</v>
      </c>
      <c r="L2474" s="21" t="str">
        <f>IFERROR(__xludf.DUMMYFUNCTION("""COMPUTED_VALUE"""),"PEREMPUAN")</f>
        <v>PEREMPUAN</v>
      </c>
      <c r="M2474" s="35" t="str">
        <f>IFERROR(__xludf.DUMMYFUNCTION("""COMPUTED_VALUE"""),"JL PROF .M YAMIN GG USAHA MAJU NO 25")</f>
        <v>JL PROF .M YAMIN GG USAHA MAJU NO 25</v>
      </c>
      <c r="N2474" s="35" t="str">
        <f>IFERROR(__xludf.DUMMYFUNCTION("""COMPUTED_VALUE"""),"KOTA BARU")</f>
        <v>KOTA BARU</v>
      </c>
      <c r="O2474" s="35" t="str">
        <f>IFERROR(__xludf.DUMMYFUNCTION("""COMPUTED_VALUE"""),"PONTIANAK SELATAN")</f>
        <v>PONTIANAK SELATAN</v>
      </c>
      <c r="P2474" s="35" t="str">
        <f>IFERROR(__xludf.DUMMYFUNCTION("""COMPUTED_VALUE"""),"KOTA PONTIANAK")</f>
        <v>KOTA PONTIANAK</v>
      </c>
      <c r="Q2474" s="35" t="str">
        <f>IFERROR(__xludf.DUMMYFUNCTION("""COMPUTED_VALUE"""),"KALIMANTAN BARAT")</f>
        <v>KALIMANTAN BARAT</v>
      </c>
      <c r="R2474" s="21" t="str">
        <f>IFERROR(__xludf.DUMMYFUNCTION("""COMPUTED_VALUE"""),"KATOLIK")</f>
        <v>KATOLIK</v>
      </c>
      <c r="S2474" s="74" t="str">
        <f>IFERROR(__xludf.DUMMYFUNCTION("""COMPUTED_VALUE"""),"MENGURUS RUMAH TANGGA")</f>
        <v>MENGURUS RUMAH TANGGA</v>
      </c>
      <c r="T2474" s="35" t="str">
        <f>IFERROR(__xludf.DUMMYFUNCTION("""COMPUTED_VALUE"""),"TANGAN")</f>
        <v>TANGAN</v>
      </c>
      <c r="U2474" s="35" t="str">
        <f>IFERROR(__xludf.DUMMYFUNCTION("""COMPUTED_VALUE"""),"PEKERJA RUMAH TANGGA")</f>
        <v>PEKERJA RUMAH TANGGA</v>
      </c>
      <c r="V2474" s="37" t="str">
        <f>IFERROR(__xludf.DUMMYFUNCTION("""COMPUTED_VALUE"""),"085252353145")</f>
        <v>085252353145</v>
      </c>
      <c r="W2474" s="45"/>
    </row>
    <row r="2475">
      <c r="A2475" s="45"/>
      <c r="B2475" s="24" t="str">
        <f>IFERROR(__xludf.DUMMYFUNCTION("""COMPUTED_VALUE"""),"07/05/2025 7:41:57")</f>
        <v>07/05/2025 7:41:57</v>
      </c>
      <c r="C2475" s="35"/>
      <c r="D2475" s="10">
        <f>IFERROR(__xludf.DUMMYFUNCTION("""COMPUTED_VALUE"""),45812.0)</f>
        <v>45812</v>
      </c>
      <c r="E2475" s="35" t="str">
        <f>IFERROR(__xludf.DUMMYFUNCTION("""COMPUTED_VALUE"""),"06Jun")</f>
        <v>06Jun</v>
      </c>
      <c r="F2475" s="34" t="str">
        <f>IFERROR(__xludf.DUMMYFUNCTION("""COMPUTED_VALUE"""),"2025")</f>
        <v>2025</v>
      </c>
      <c r="G2475" s="35" t="str">
        <f>IFERROR(__xludf.DUMMYFUNCTION("""COMPUTED_VALUE"""),"KEVINSIUS ALDITYA .P")</f>
        <v>KEVINSIUS ALDITYA .P</v>
      </c>
      <c r="H2475" s="35" t="str">
        <f>IFERROR(__xludf.DUMMYFUNCTION("""COMPUTED_VALUE"""),"K0725061871")</f>
        <v>K0725061871</v>
      </c>
      <c r="I2475" s="35">
        <f>IFERROR(__xludf.DUMMYFUNCTION("""COMPUTED_VALUE"""),19.0)</f>
        <v>19</v>
      </c>
      <c r="J2475" s="35" t="str">
        <f>IFERROR(__xludf.DUMMYFUNCTION("""COMPUTED_VALUE"""),"18-24 tahun")</f>
        <v>18-24 tahun</v>
      </c>
      <c r="K2475" s="21" t="str">
        <f>IFERROR(__xludf.DUMMYFUNCTION("""COMPUTED_VALUE"""),"06/01/2007")</f>
        <v>06/01/2007</v>
      </c>
      <c r="L2475" s="21" t="str">
        <f>IFERROR(__xludf.DUMMYFUNCTION("""COMPUTED_VALUE"""),"LAKI-LAKI")</f>
        <v>LAKI-LAKI</v>
      </c>
      <c r="M2475" s="35" t="str">
        <f>IFERROR(__xludf.DUMMYFUNCTION("""COMPUTED_VALUE"""),"KAPUAS HULU")</f>
        <v>KAPUAS HULU</v>
      </c>
      <c r="N2475" s="35" t="str">
        <f>IFERROR(__xludf.DUMMYFUNCTION("""COMPUTED_VALUE"""),"RANTAU KALIS")</f>
        <v>RANTAU KALIS</v>
      </c>
      <c r="O2475" s="35" t="str">
        <f>IFERROR(__xludf.DUMMYFUNCTION("""COMPUTED_VALUE"""),"KALIS")</f>
        <v>KALIS</v>
      </c>
      <c r="P2475" s="35" t="str">
        <f>IFERROR(__xludf.DUMMYFUNCTION("""COMPUTED_VALUE"""),"PUTUSSIBAU")</f>
        <v>PUTUSSIBAU</v>
      </c>
      <c r="Q2475" s="35" t="str">
        <f>IFERROR(__xludf.DUMMYFUNCTION("""COMPUTED_VALUE"""),"KALBAR")</f>
        <v>KALBAR</v>
      </c>
      <c r="R2475" s="21" t="str">
        <f>IFERROR(__xludf.DUMMYFUNCTION("""COMPUTED_VALUE"""),"KATOLIK")</f>
        <v>KATOLIK</v>
      </c>
      <c r="S2475" s="74" t="str">
        <f>IFERROR(__xludf.DUMMYFUNCTION("""COMPUTED_VALUE"""),"PELAJAR")</f>
        <v>PELAJAR</v>
      </c>
      <c r="T2475" s="35" t="str">
        <f>IFERROR(__xludf.DUMMYFUNCTION("""COMPUTED_VALUE"""),"KESELEO PERGELANGAN TANGAN")</f>
        <v>KESELEO PERGELANGAN TANGAN</v>
      </c>
      <c r="U2475" s="35" t="str">
        <f>IFERROR(__xludf.DUMMYFUNCTION("""COMPUTED_VALUE"""),"FUTSAL")</f>
        <v>FUTSAL</v>
      </c>
      <c r="V2475" s="37" t="str">
        <f>IFERROR(__xludf.DUMMYFUNCTION("""COMPUTED_VALUE"""),"081347681871")</f>
        <v>081347681871</v>
      </c>
      <c r="W2475" s="45"/>
    </row>
    <row r="2476">
      <c r="A2476" s="45"/>
      <c r="B2476" s="24" t="str">
        <f>IFERROR(__xludf.DUMMYFUNCTION("""COMPUTED_VALUE"""),"08/05/2025 18:39:07")</f>
        <v>08/05/2025 18:39:07</v>
      </c>
      <c r="C2476" s="35"/>
      <c r="D2476" s="10">
        <f>IFERROR(__xludf.DUMMYFUNCTION("""COMPUTED_VALUE"""),45812.0)</f>
        <v>45812</v>
      </c>
      <c r="E2476" s="35" t="str">
        <f>IFERROR(__xludf.DUMMYFUNCTION("""COMPUTED_VALUE"""),"06Jun")</f>
        <v>06Jun</v>
      </c>
      <c r="F2476" s="34" t="str">
        <f>IFERROR(__xludf.DUMMYFUNCTION("""COMPUTED_VALUE"""),"2025")</f>
        <v>2025</v>
      </c>
      <c r="G2476" s="35" t="str">
        <f>IFERROR(__xludf.DUMMYFUNCTION("""COMPUTED_VALUE"""),"THE MOI HUN ALS TETTY YOSEPHINE")</f>
        <v>THE MOI HUN ALS TETTY YOSEPHINE</v>
      </c>
      <c r="H2476" s="35" t="str">
        <f>IFERROR(__xludf.DUMMYFUNCTION("""COMPUTED_VALUE"""),"T5825069990")</f>
        <v>T5825069990</v>
      </c>
      <c r="I2476" s="35">
        <f>IFERROR(__xludf.DUMMYFUNCTION("""COMPUTED_VALUE"""),68.0)</f>
        <v>68</v>
      </c>
      <c r="J2476" s="35" t="str">
        <f>IFERROR(__xludf.DUMMYFUNCTION("""COMPUTED_VALUE"""),"&gt; 44 tahun")</f>
        <v>&gt; 44 tahun</v>
      </c>
      <c r="K2476" s="21" t="str">
        <f>IFERROR(__xludf.DUMMYFUNCTION("""COMPUTED_VALUE"""),"27/01/1958")</f>
        <v>27/01/1958</v>
      </c>
      <c r="L2476" s="21" t="str">
        <f>IFERROR(__xludf.DUMMYFUNCTION("""COMPUTED_VALUE"""),"PEREMPUAN")</f>
        <v>PEREMPUAN</v>
      </c>
      <c r="M2476" s="35" t="str">
        <f>IFERROR(__xludf.DUMMYFUNCTION("""COMPUTED_VALUE"""),"JL IMAM BONJOL GG PALEMBANG NO 21")</f>
        <v>JL IMAM BONJOL GG PALEMBANG NO 21</v>
      </c>
      <c r="N2476" s="35" t="str">
        <f>IFERROR(__xludf.DUMMYFUNCTION("""COMPUTED_VALUE"""),"BENUA MELAYU DARAT")</f>
        <v>BENUA MELAYU DARAT</v>
      </c>
      <c r="O2476" s="35" t="str">
        <f>IFERROR(__xludf.DUMMYFUNCTION("""COMPUTED_VALUE"""),"PONTIANAK SELATAN")</f>
        <v>PONTIANAK SELATAN</v>
      </c>
      <c r="P2476" s="35" t="str">
        <f>IFERROR(__xludf.DUMMYFUNCTION("""COMPUTED_VALUE"""),"PONTIANAK")</f>
        <v>PONTIANAK</v>
      </c>
      <c r="Q2476" s="35" t="str">
        <f>IFERROR(__xludf.DUMMYFUNCTION("""COMPUTED_VALUE"""),"KALIMANTAN BARAT")</f>
        <v>KALIMANTAN BARAT</v>
      </c>
      <c r="R2476" s="21" t="str">
        <f>IFERROR(__xludf.DUMMYFUNCTION("""COMPUTED_VALUE"""),"KATOLIK")</f>
        <v>KATOLIK</v>
      </c>
      <c r="S2476" s="74" t="str">
        <f>IFERROR(__xludf.DUMMYFUNCTION("""COMPUTED_VALUE"""),"IRT")</f>
        <v>IRT</v>
      </c>
      <c r="T2476" s="35" t="str">
        <f>IFERROR(__xludf.DUMMYFUNCTION("""COMPUTED_VALUE"""),"SARAF NYERI")</f>
        <v>SARAF NYERI</v>
      </c>
      <c r="U2476" s="35" t="str">
        <f>IFERROR(__xludf.DUMMYFUNCTION("""COMPUTED_VALUE"""),"TIDAK ADA")</f>
        <v>TIDAK ADA</v>
      </c>
      <c r="V2476" s="37" t="str">
        <f>IFERROR(__xludf.DUMMYFUNCTION("""COMPUTED_VALUE"""),"082250219990")</f>
        <v>082250219990</v>
      </c>
      <c r="W2476" s="45"/>
    </row>
    <row r="2477">
      <c r="A2477" s="45"/>
      <c r="B2477" s="24" t="str">
        <f>IFERROR(__xludf.DUMMYFUNCTION("""COMPUTED_VALUE"""),"08/05/2025 19:12:52")</f>
        <v>08/05/2025 19:12:52</v>
      </c>
      <c r="C2477" s="35"/>
      <c r="D2477" s="10">
        <f>IFERROR(__xludf.DUMMYFUNCTION("""COMPUTED_VALUE"""),45812.0)</f>
        <v>45812</v>
      </c>
      <c r="E2477" s="35" t="str">
        <f>IFERROR(__xludf.DUMMYFUNCTION("""COMPUTED_VALUE"""),"06Jun")</f>
        <v>06Jun</v>
      </c>
      <c r="F2477" s="34" t="str">
        <f>IFERROR(__xludf.DUMMYFUNCTION("""COMPUTED_VALUE"""),"2025")</f>
        <v>2025</v>
      </c>
      <c r="G2477" s="35" t="str">
        <f>IFERROR(__xludf.DUMMYFUNCTION("""COMPUTED_VALUE"""),"AYDA RIANI JOHAR")</f>
        <v>AYDA RIANI JOHAR</v>
      </c>
      <c r="H2477" s="35" t="str">
        <f>IFERROR(__xludf.DUMMYFUNCTION("""COMPUTED_VALUE"""),"A0025068439")</f>
        <v>A0025068439</v>
      </c>
      <c r="I2477" s="35">
        <f>IFERROR(__xludf.DUMMYFUNCTION("""COMPUTED_VALUE"""),25.0)</f>
        <v>25</v>
      </c>
      <c r="J2477" s="35" t="str">
        <f>IFERROR(__xludf.DUMMYFUNCTION("""COMPUTED_VALUE"""),"25-34 tahun")</f>
        <v>25-34 tahun</v>
      </c>
      <c r="K2477" s="21" t="str">
        <f>IFERROR(__xludf.DUMMYFUNCTION("""COMPUTED_VALUE"""),"03/11/2000")</f>
        <v>03/11/2000</v>
      </c>
      <c r="L2477" s="21" t="str">
        <f>IFERROR(__xludf.DUMMYFUNCTION("""COMPUTED_VALUE"""),"PEREMPUAN")</f>
        <v>PEREMPUAN</v>
      </c>
      <c r="M2477" s="35" t="str">
        <f>IFERROR(__xludf.DUMMYFUNCTION("""COMPUTED_VALUE"""),"JL IMAM BONJOL, GG RAWA INDAH, NO. 1")</f>
        <v>JL IMAM BONJOL, GG RAWA INDAH, NO. 1</v>
      </c>
      <c r="N2477" s="35" t="str">
        <f>IFERROR(__xludf.DUMMYFUNCTION("""COMPUTED_VALUE"""),"BENUA MELAYU LAUT")</f>
        <v>BENUA MELAYU LAUT</v>
      </c>
      <c r="O2477" s="35" t="str">
        <f>IFERROR(__xludf.DUMMYFUNCTION("""COMPUTED_VALUE"""),"PONTIANAK SELATAN")</f>
        <v>PONTIANAK SELATAN</v>
      </c>
      <c r="P2477" s="35" t="str">
        <f>IFERROR(__xludf.DUMMYFUNCTION("""COMPUTED_VALUE"""),"KOTA PONTIANAK")</f>
        <v>KOTA PONTIANAK</v>
      </c>
      <c r="Q2477" s="35" t="str">
        <f>IFERROR(__xludf.DUMMYFUNCTION("""COMPUTED_VALUE"""),"KALIMANTAN BARAT")</f>
        <v>KALIMANTAN BARAT</v>
      </c>
      <c r="R2477" s="21" t="str">
        <f>IFERROR(__xludf.DUMMYFUNCTION("""COMPUTED_VALUE"""),"BUDDHA")</f>
        <v>BUDDHA</v>
      </c>
      <c r="S2477" s="74" t="str">
        <f>IFERROR(__xludf.DUMMYFUNCTION("""COMPUTED_VALUE"""),"PEKERJA LEPAS/ FREELANCE")</f>
        <v>PEKERJA LEPAS/ FREELANCE</v>
      </c>
      <c r="T2477" s="35" t="str">
        <f>IFERROR(__xludf.DUMMYFUNCTION("""COMPUTED_VALUE"""),"LUTUT SAKIT KARENA SALAH SQUAD/ JONGKOK DI OLAHRAGA/ GYM.")</f>
        <v>LUTUT SAKIT KARENA SALAH SQUAD/ JONGKOK DI OLAHRAGA/ GYM.</v>
      </c>
      <c r="U2477" s="35" t="str">
        <f>IFERROR(__xludf.DUMMYFUNCTION("""COMPUTED_VALUE"""),"OLAHRAGA FITNESS/ GYM, MENYETIR MOBIL (KEGIATAN YANG SERING MENGGUNAKAN KAKI KANAN)")</f>
        <v>OLAHRAGA FITNESS/ GYM, MENYETIR MOBIL (KEGIATAN YANG SERING MENGGUNAKAN KAKI KANAN)</v>
      </c>
      <c r="V2477" s="37" t="str">
        <f>IFERROR(__xludf.DUMMYFUNCTION("""COMPUTED_VALUE"""),"6589218439")</f>
        <v>6589218439</v>
      </c>
      <c r="W2477" s="45"/>
    </row>
    <row r="2478">
      <c r="A2478" s="45"/>
      <c r="B2478" s="24" t="str">
        <f>IFERROR(__xludf.DUMMYFUNCTION("""COMPUTED_VALUE"""),"08/05/2025 19:14:20")</f>
        <v>08/05/2025 19:14:20</v>
      </c>
      <c r="C2478" s="35"/>
      <c r="D2478" s="10">
        <f>IFERROR(__xludf.DUMMYFUNCTION("""COMPUTED_VALUE"""),45813.0)</f>
        <v>45813</v>
      </c>
      <c r="E2478" s="35" t="str">
        <f>IFERROR(__xludf.DUMMYFUNCTION("""COMPUTED_VALUE"""),"06Jun")</f>
        <v>06Jun</v>
      </c>
      <c r="F2478" s="34" t="str">
        <f>IFERROR(__xludf.DUMMYFUNCTION("""COMPUTED_VALUE"""),"2025")</f>
        <v>2025</v>
      </c>
      <c r="G2478" s="35" t="str">
        <f>IFERROR(__xludf.DUMMYFUNCTION("""COMPUTED_VALUE"""),"MUHAMMAD SUBHAN ILMI")</f>
        <v>MUHAMMAD SUBHAN ILMI</v>
      </c>
      <c r="H2478" s="35" t="str">
        <f>IFERROR(__xludf.DUMMYFUNCTION("""COMPUTED_VALUE"""),"M0125067791")</f>
        <v>M0125067791</v>
      </c>
      <c r="I2478" s="35">
        <f>IFERROR(__xludf.DUMMYFUNCTION("""COMPUTED_VALUE"""),25.0)</f>
        <v>25</v>
      </c>
      <c r="J2478" s="35" t="str">
        <f>IFERROR(__xludf.DUMMYFUNCTION("""COMPUTED_VALUE"""),"25-34 tahun")</f>
        <v>25-34 tahun</v>
      </c>
      <c r="K2478" s="21" t="str">
        <f>IFERROR(__xludf.DUMMYFUNCTION("""COMPUTED_VALUE"""),"07/02/2001")</f>
        <v>07/02/2001</v>
      </c>
      <c r="L2478" s="21" t="str">
        <f>IFERROR(__xludf.DUMMYFUNCTION("""COMPUTED_VALUE"""),"LAKI-LAKI")</f>
        <v>LAKI-LAKI</v>
      </c>
      <c r="M2478" s="35" t="str">
        <f>IFERROR(__xludf.DUMMYFUNCTION("""COMPUTED_VALUE"""),"GG. NURCAHAYA NO.5")</f>
        <v>GG. NURCAHAYA NO.5</v>
      </c>
      <c r="N2478" s="35" t="str">
        <f>IFERROR(__xludf.DUMMYFUNCTION("""COMPUTED_VALUE"""),"SUNGAI BANGKONG")</f>
        <v>SUNGAI BANGKONG</v>
      </c>
      <c r="O2478" s="35" t="str">
        <f>IFERROR(__xludf.DUMMYFUNCTION("""COMPUTED_VALUE"""),"PONTIANAK KOTA")</f>
        <v>PONTIANAK KOTA</v>
      </c>
      <c r="P2478" s="35" t="str">
        <f>IFERROR(__xludf.DUMMYFUNCTION("""COMPUTED_VALUE"""),"KOTA PONTIANAK")</f>
        <v>KOTA PONTIANAK</v>
      </c>
      <c r="Q2478" s="35" t="str">
        <f>IFERROR(__xludf.DUMMYFUNCTION("""COMPUTED_VALUE"""),"KALIMANTAN BARAT")</f>
        <v>KALIMANTAN BARAT</v>
      </c>
      <c r="R2478" s="21" t="str">
        <f>IFERROR(__xludf.DUMMYFUNCTION("""COMPUTED_VALUE"""),"ISLAM")</f>
        <v>ISLAM</v>
      </c>
      <c r="S2478" s="74" t="str">
        <f>IFERROR(__xludf.DUMMYFUNCTION("""COMPUTED_VALUE"""),"PEGAWAI NEGERI")</f>
        <v>PEGAWAI NEGERI</v>
      </c>
      <c r="T2478" s="35" t="str">
        <f>IFERROR(__xludf.DUMMYFUNCTION("""COMPUTED_VALUE"""),"NYERI PADA LUTUT KIRI")</f>
        <v>NYERI PADA LUTUT KIRI</v>
      </c>
      <c r="U2478" s="35" t="str">
        <f>IFERROR(__xludf.DUMMYFUNCTION("""COMPUTED_VALUE"""),"MINI SOCCER")</f>
        <v>MINI SOCCER</v>
      </c>
      <c r="V2478" s="37" t="str">
        <f>IFERROR(__xludf.DUMMYFUNCTION("""COMPUTED_VALUE"""),"085847307791")</f>
        <v>085847307791</v>
      </c>
      <c r="W2478" s="45"/>
    </row>
    <row r="2479">
      <c r="A2479" s="45"/>
      <c r="B2479" s="24" t="str">
        <f>IFERROR(__xludf.DUMMYFUNCTION("""COMPUTED_VALUE"""),"08/05/2025 19:54:26")</f>
        <v>08/05/2025 19:54:26</v>
      </c>
      <c r="C2479" s="35"/>
      <c r="D2479" s="10">
        <f>IFERROR(__xludf.DUMMYFUNCTION("""COMPUTED_VALUE"""),44941.0)</f>
        <v>44941</v>
      </c>
      <c r="E2479" s="35" t="str">
        <f>IFERROR(__xludf.DUMMYFUNCTION("""COMPUTED_VALUE"""),"01Jan")</f>
        <v>01Jan</v>
      </c>
      <c r="F2479" s="34" t="str">
        <f>IFERROR(__xludf.DUMMYFUNCTION("""COMPUTED_VALUE"""),"2023")</f>
        <v>2023</v>
      </c>
      <c r="G2479" s="35" t="str">
        <f>IFERROR(__xludf.DUMMYFUNCTION("""COMPUTED_VALUE"""),"MUHAMMAD JUANDA")</f>
        <v>MUHAMMAD JUANDA</v>
      </c>
      <c r="H2479" s="35" t="str">
        <f>IFERROR(__xludf.DUMMYFUNCTION("""COMPUTED_VALUE"""),"M9023017121")</f>
        <v>M9023017121</v>
      </c>
      <c r="I2479" s="35">
        <f>IFERROR(__xludf.DUMMYFUNCTION("""COMPUTED_VALUE"""),36.0)</f>
        <v>36</v>
      </c>
      <c r="J2479" s="35" t="str">
        <f>IFERROR(__xludf.DUMMYFUNCTION("""COMPUTED_VALUE"""),"35-44 tahun")</f>
        <v>35-44 tahun</v>
      </c>
      <c r="K2479" s="21" t="str">
        <f>IFERROR(__xludf.DUMMYFUNCTION("""COMPUTED_VALUE"""),"09/01/1990")</f>
        <v>09/01/1990</v>
      </c>
      <c r="L2479" s="21" t="str">
        <f>IFERROR(__xludf.DUMMYFUNCTION("""COMPUTED_VALUE"""),"LAKI-LAKI")</f>
        <v>LAKI-LAKI</v>
      </c>
      <c r="M2479" s="35" t="str">
        <f>IFERROR(__xludf.DUMMYFUNCTION("""COMPUTED_VALUE"""),"JL. PAK BENCENG KOMP. KOTA VILLA 2 NO.7A")</f>
        <v>JL. PAK BENCENG KOMP. KOTA VILLA 2 NO.7A</v>
      </c>
      <c r="N2479" s="35" t="str">
        <f>IFERROR(__xludf.DUMMYFUNCTION("""COMPUTED_VALUE"""),"SUNGAI BANGKONG")</f>
        <v>SUNGAI BANGKONG</v>
      </c>
      <c r="O2479" s="35" t="str">
        <f>IFERROR(__xludf.DUMMYFUNCTION("""COMPUTED_VALUE"""),"PONTIANAK KOTA")</f>
        <v>PONTIANAK KOTA</v>
      </c>
      <c r="P2479" s="35" t="str">
        <f>IFERROR(__xludf.DUMMYFUNCTION("""COMPUTED_VALUE"""),"PONTIANAK")</f>
        <v>PONTIANAK</v>
      </c>
      <c r="Q2479" s="35" t="str">
        <f>IFERROR(__xludf.DUMMYFUNCTION("""COMPUTED_VALUE"""),"KALIMANTAN BARAT")</f>
        <v>KALIMANTAN BARAT</v>
      </c>
      <c r="R2479" s="21" t="str">
        <f>IFERROR(__xludf.DUMMYFUNCTION("""COMPUTED_VALUE"""),"ISLAM")</f>
        <v>ISLAM</v>
      </c>
      <c r="S2479" s="74" t="str">
        <f>IFERROR(__xludf.DUMMYFUNCTION("""COMPUTED_VALUE"""),"KADIV MARKETING PERUMAHAN KREDIT SYAR’I TANPA DENDA")</f>
        <v>KADIV MARKETING PERUMAHAN KREDIT SYAR’I TANPA DENDA</v>
      </c>
      <c r="T2479" s="35" t="str">
        <f>IFERROR(__xludf.DUMMYFUNCTION("""COMPUTED_VALUE"""),"SAKIT DI BAGIAN LUTUT KANAN")</f>
        <v>SAKIT DI BAGIAN LUTUT KANAN</v>
      </c>
      <c r="U2479" s="35" t="str">
        <f>IFERROR(__xludf.DUMMYFUNCTION("""COMPUTED_VALUE"""),"OLAHRAGA FUTSAL DAN FOOTBALL")</f>
        <v>OLAHRAGA FUTSAL DAN FOOTBALL</v>
      </c>
      <c r="V2479" s="37" t="str">
        <f>IFERROR(__xludf.DUMMYFUNCTION("""COMPUTED_VALUE"""),"085290037121")</f>
        <v>085290037121</v>
      </c>
      <c r="W2479" s="45"/>
    </row>
    <row r="2480">
      <c r="A2480" s="45"/>
      <c r="B2480" s="24" t="str">
        <f>IFERROR(__xludf.DUMMYFUNCTION("""COMPUTED_VALUE"""),"09/05/2025 12:14:52")</f>
        <v>09/05/2025 12:14:52</v>
      </c>
      <c r="C2480" s="35"/>
      <c r="D2480" s="10">
        <f>IFERROR(__xludf.DUMMYFUNCTION("""COMPUTED_VALUE"""),45815.0)</f>
        <v>45815</v>
      </c>
      <c r="E2480" s="35" t="str">
        <f>IFERROR(__xludf.DUMMYFUNCTION("""COMPUTED_VALUE"""),"06Jun")</f>
        <v>06Jun</v>
      </c>
      <c r="F2480" s="34" t="str">
        <f>IFERROR(__xludf.DUMMYFUNCTION("""COMPUTED_VALUE"""),"2025")</f>
        <v>2025</v>
      </c>
      <c r="G2480" s="35" t="str">
        <f>IFERROR(__xludf.DUMMYFUNCTION("""COMPUTED_VALUE"""),"DECO DEMUS ASU")</f>
        <v>DECO DEMUS ASU</v>
      </c>
      <c r="H2480" s="35" t="str">
        <f>IFERROR(__xludf.DUMMYFUNCTION("""COMPUTED_VALUE"""),"D0625063400")</f>
        <v>D0625063400</v>
      </c>
      <c r="I2480" s="35">
        <f>IFERROR(__xludf.DUMMYFUNCTION("""COMPUTED_VALUE"""),20.0)</f>
        <v>20</v>
      </c>
      <c r="J2480" s="35" t="str">
        <f>IFERROR(__xludf.DUMMYFUNCTION("""COMPUTED_VALUE"""),"18-24 tahun")</f>
        <v>18-24 tahun</v>
      </c>
      <c r="K2480" s="21" t="str">
        <f>IFERROR(__xludf.DUMMYFUNCTION("""COMPUTED_VALUE"""),"09/06/2006")</f>
        <v>09/06/2006</v>
      </c>
      <c r="L2480" s="21" t="str">
        <f>IFERROR(__xludf.DUMMYFUNCTION("""COMPUTED_VALUE"""),"LAKI-LAKI")</f>
        <v>LAKI-LAKI</v>
      </c>
      <c r="M2480" s="35" t="str">
        <f>IFERROR(__xludf.DUMMYFUNCTION("""COMPUTED_VALUE"""),"DUSUN KORMA JAYA")</f>
        <v>DUSUN KORMA JAYA</v>
      </c>
      <c r="N2480" s="35" t="str">
        <f>IFERROR(__xludf.DUMMYFUNCTION("""COMPUTED_VALUE"""),"DESA KALIS RAYA")</f>
        <v>DESA KALIS RAYA</v>
      </c>
      <c r="O2480" s="35" t="str">
        <f>IFERROR(__xludf.DUMMYFUNCTION("""COMPUTED_VALUE"""),"KECAMATAN KALIS")</f>
        <v>KECAMATAN KALIS</v>
      </c>
      <c r="P2480" s="35" t="str">
        <f>IFERROR(__xludf.DUMMYFUNCTION("""COMPUTED_VALUE"""),"KABUPATEN KAPUAS HULU")</f>
        <v>KABUPATEN KAPUAS HULU</v>
      </c>
      <c r="Q2480" s="35" t="str">
        <f>IFERROR(__xludf.DUMMYFUNCTION("""COMPUTED_VALUE"""),"PROVINSI KALIMANTAN BARAT")</f>
        <v>PROVINSI KALIMANTAN BARAT</v>
      </c>
      <c r="R2480" s="21" t="str">
        <f>IFERROR(__xludf.DUMMYFUNCTION("""COMPUTED_VALUE"""),"KATOLIK")</f>
        <v>KATOLIK</v>
      </c>
      <c r="S2480" s="74" t="str">
        <f>IFERROR(__xludf.DUMMYFUNCTION("""COMPUTED_VALUE"""),"PELAJAR")</f>
        <v>PELAJAR</v>
      </c>
      <c r="T2480" s="35" t="str">
        <f>IFERROR(__xludf.DUMMYFUNCTION("""COMPUTED_VALUE"""),"SAKIT DI BAGIAN LUTUT")</f>
        <v>SAKIT DI BAGIAN LUTUT</v>
      </c>
      <c r="U2480" s="35" t="str">
        <f>IFERROR(__xludf.DUMMYFUNCTION("""COMPUTED_VALUE"""),"VOLLY DAN JOGGING")</f>
        <v>VOLLY DAN JOGGING</v>
      </c>
      <c r="V2480" s="37" t="str">
        <f>IFERROR(__xludf.DUMMYFUNCTION("""COMPUTED_VALUE"""),"0895326203400")</f>
        <v>0895326203400</v>
      </c>
      <c r="W2480" s="45"/>
    </row>
    <row r="2481">
      <c r="A2481" s="45"/>
      <c r="B2481" s="24" t="str">
        <f>IFERROR(__xludf.DUMMYFUNCTION("""COMPUTED_VALUE"""),"09/05/2025 12:14:52")</f>
        <v>09/05/2025 12:14:52</v>
      </c>
      <c r="C2481" s="35"/>
      <c r="D2481" s="10">
        <f>IFERROR(__xludf.DUMMYFUNCTION("""COMPUTED_VALUE"""),45815.0)</f>
        <v>45815</v>
      </c>
      <c r="E2481" s="35" t="str">
        <f>IFERROR(__xludf.DUMMYFUNCTION("""COMPUTED_VALUE"""),"06Jun")</f>
        <v>06Jun</v>
      </c>
      <c r="F2481" s="34" t="str">
        <f>IFERROR(__xludf.DUMMYFUNCTION("""COMPUTED_VALUE"""),"2025")</f>
        <v>2025</v>
      </c>
      <c r="G2481" s="35" t="str">
        <f>IFERROR(__xludf.DUMMYFUNCTION("""COMPUTED_VALUE"""),"SALSAALIAPUTRI")</f>
        <v>SALSAALIAPUTRI</v>
      </c>
      <c r="H2481" s="35" t="str">
        <f>IFERROR(__xludf.DUMMYFUNCTION("""COMPUTED_VALUE"""),"S0125066746")</f>
        <v>S0125066746</v>
      </c>
      <c r="I2481" s="35">
        <f>IFERROR(__xludf.DUMMYFUNCTION("""COMPUTED_VALUE"""),24.0)</f>
        <v>24</v>
      </c>
      <c r="J2481" s="35" t="str">
        <f>IFERROR(__xludf.DUMMYFUNCTION("""COMPUTED_VALUE"""),"18-24 tahun")</f>
        <v>18-24 tahun</v>
      </c>
      <c r="K2481" s="21">
        <f>IFERROR(__xludf.DUMMYFUNCTION("""COMPUTED_VALUE"""),37143.0)</f>
        <v>37143</v>
      </c>
      <c r="L2481" s="21" t="str">
        <f>IFERROR(__xludf.DUMMYFUNCTION("""COMPUTED_VALUE"""),"PEREMPUAN")</f>
        <v>PEREMPUAN</v>
      </c>
      <c r="M2481" s="35" t="str">
        <f>IFERROR(__xludf.DUMMYFUNCTION("""COMPUTED_VALUE"""),"JL APEL GG SUKAPADI NO 30")</f>
        <v>JL APEL GG SUKAPADI NO 30</v>
      </c>
      <c r="N2481" s="35" t="str">
        <f>IFERROR(__xludf.DUMMYFUNCTION("""COMPUTED_VALUE"""),"SUNGAI JAWI LUAR")</f>
        <v>SUNGAI JAWI LUAR</v>
      </c>
      <c r="O2481" s="35" t="str">
        <f>IFERROR(__xludf.DUMMYFUNCTION("""COMPUTED_VALUE"""),"PONTIANAK BARAT")</f>
        <v>PONTIANAK BARAT</v>
      </c>
      <c r="P2481" s="35" t="str">
        <f>IFERROR(__xludf.DUMMYFUNCTION("""COMPUTED_VALUE"""),"PONTIANAK")</f>
        <v>PONTIANAK</v>
      </c>
      <c r="Q2481" s="35" t="str">
        <f>IFERROR(__xludf.DUMMYFUNCTION("""COMPUTED_VALUE"""),"KALIMANTAN BARAT")</f>
        <v>KALIMANTAN BARAT</v>
      </c>
      <c r="R2481" s="21" t="str">
        <f>IFERROR(__xludf.DUMMYFUNCTION("""COMPUTED_VALUE"""),"ISLAM")</f>
        <v>ISLAM</v>
      </c>
      <c r="S2481" s="74" t="str">
        <f>IFERROR(__xludf.DUMMYFUNCTION("""COMPUTED_VALUE"""),"HONORER")</f>
        <v>HONORER</v>
      </c>
      <c r="T2481" s="35" t="str">
        <f>IFERROR(__xludf.DUMMYFUNCTION("""COMPUTED_VALUE"""),"BAHU DAN DADA")</f>
        <v>BAHU DAN DADA</v>
      </c>
      <c r="U2481" s="35" t="str">
        <f>IFERROR(__xludf.DUMMYFUNCTION("""COMPUTED_VALUE"""),"BASKET")</f>
        <v>BASKET</v>
      </c>
      <c r="V2481" s="37" t="str">
        <f>IFERROR(__xludf.DUMMYFUNCTION("""COMPUTED_VALUE"""),"085845146746")</f>
        <v>085845146746</v>
      </c>
      <c r="W2481" s="45"/>
    </row>
    <row r="2482">
      <c r="A2482" s="45"/>
      <c r="B2482" s="24" t="str">
        <f>IFERROR(__xludf.DUMMYFUNCTION("""COMPUTED_VALUE"""),"10/05/2025 12:13:46")</f>
        <v>10/05/2025 12:13:46</v>
      </c>
      <c r="C2482" s="35"/>
      <c r="D2482" s="10">
        <f>IFERROR(__xludf.DUMMYFUNCTION("""COMPUTED_VALUE"""),45815.0)</f>
        <v>45815</v>
      </c>
      <c r="E2482" s="35" t="str">
        <f>IFERROR(__xludf.DUMMYFUNCTION("""COMPUTED_VALUE"""),"06Jun")</f>
        <v>06Jun</v>
      </c>
      <c r="F2482" s="34" t="str">
        <f>IFERROR(__xludf.DUMMYFUNCTION("""COMPUTED_VALUE"""),"2025")</f>
        <v>2025</v>
      </c>
      <c r="G2482" s="35" t="str">
        <f>IFERROR(__xludf.DUMMYFUNCTION("""COMPUTED_VALUE"""),"IVONNY")</f>
        <v>IVONNY</v>
      </c>
      <c r="H2482" s="35" t="str">
        <f>IFERROR(__xludf.DUMMYFUNCTION("""COMPUTED_VALUE"""),"I8825068889")</f>
        <v>I8825068889</v>
      </c>
      <c r="I2482" s="35">
        <f>IFERROR(__xludf.DUMMYFUNCTION("""COMPUTED_VALUE"""),37.0)</f>
        <v>37</v>
      </c>
      <c r="J2482" s="35" t="str">
        <f>IFERROR(__xludf.DUMMYFUNCTION("""COMPUTED_VALUE"""),"35-44 tahun")</f>
        <v>35-44 tahun</v>
      </c>
      <c r="K2482" s="21" t="str">
        <f>IFERROR(__xludf.DUMMYFUNCTION("""COMPUTED_VALUE"""),"5/11/1988")</f>
        <v>5/11/1988</v>
      </c>
      <c r="L2482" s="21" t="str">
        <f>IFERROR(__xludf.DUMMYFUNCTION("""COMPUTED_VALUE"""),"PEREMPUAN")</f>
        <v>PEREMPUAN</v>
      </c>
      <c r="M2482" s="35" t="str">
        <f>IFERROR(__xludf.DUMMYFUNCTION("""COMPUTED_VALUE"""),"JL WR SUPRATMAN GG SWADAYA NO 2")</f>
        <v>JL WR SUPRATMAN GG SWADAYA NO 2</v>
      </c>
      <c r="N2482" s="35" t="str">
        <f>IFERROR(__xludf.DUMMYFUNCTION("""COMPUTED_VALUE"""),"PARIT TOKAYA")</f>
        <v>PARIT TOKAYA</v>
      </c>
      <c r="O2482" s="35" t="str">
        <f>IFERROR(__xludf.DUMMYFUNCTION("""COMPUTED_VALUE"""),"PONTIANAK SELATAN")</f>
        <v>PONTIANAK SELATAN</v>
      </c>
      <c r="P2482" s="35" t="str">
        <f>IFERROR(__xludf.DUMMYFUNCTION("""COMPUTED_VALUE"""),"PONTIANAK")</f>
        <v>PONTIANAK</v>
      </c>
      <c r="Q2482" s="35" t="str">
        <f>IFERROR(__xludf.DUMMYFUNCTION("""COMPUTED_VALUE"""),"KAL BAE")</f>
        <v>KAL BAE</v>
      </c>
      <c r="R2482" s="21" t="str">
        <f>IFERROR(__xludf.DUMMYFUNCTION("""COMPUTED_VALUE"""),"BUDDHA")</f>
        <v>BUDDHA</v>
      </c>
      <c r="S2482" s="74" t="str">
        <f>IFERROR(__xludf.DUMMYFUNCTION("""COMPUTED_VALUE"""),"SWASTA")</f>
        <v>SWASTA</v>
      </c>
      <c r="T2482" s="35" t="str">
        <f>IFERROR(__xludf.DUMMYFUNCTION("""COMPUTED_VALUE"""),"TANGAN SAKIT")</f>
        <v>TANGAN SAKIT</v>
      </c>
      <c r="U2482" s="35" t="str">
        <f>IFERROR(__xludf.DUMMYFUNCTION("""COMPUTED_VALUE"""),"GYM")</f>
        <v>GYM</v>
      </c>
      <c r="V2482" s="37" t="str">
        <f>IFERROR(__xludf.DUMMYFUNCTION("""COMPUTED_VALUE"""),"082351008889")</f>
        <v>082351008889</v>
      </c>
      <c r="W2482" s="45"/>
    </row>
    <row r="2483">
      <c r="A2483" s="45"/>
      <c r="B2483" s="24" t="str">
        <f>IFERROR(__xludf.DUMMYFUNCTION("""COMPUTED_VALUE"""),"10/05/2025 13:42:57")</f>
        <v>10/05/2025 13:42:57</v>
      </c>
      <c r="C2483" s="35"/>
      <c r="D2483" s="10">
        <f>IFERROR(__xludf.DUMMYFUNCTION("""COMPUTED_VALUE"""),45816.0)</f>
        <v>45816</v>
      </c>
      <c r="E2483" s="35" t="str">
        <f>IFERROR(__xludf.DUMMYFUNCTION("""COMPUTED_VALUE"""),"06Jun")</f>
        <v>06Jun</v>
      </c>
      <c r="F2483" s="34" t="str">
        <f>IFERROR(__xludf.DUMMYFUNCTION("""COMPUTED_VALUE"""),"2025")</f>
        <v>2025</v>
      </c>
      <c r="G2483" s="35" t="str">
        <f>IFERROR(__xludf.DUMMYFUNCTION("""COMPUTED_VALUE"""),"DIAZ KEMAL SHIHAB")</f>
        <v>DIAZ KEMAL SHIHAB</v>
      </c>
      <c r="H2483" s="35" t="str">
        <f>IFERROR(__xludf.DUMMYFUNCTION("""COMPUTED_VALUE"""),"D0925069602")</f>
        <v>D0925069602</v>
      </c>
      <c r="I2483" s="35">
        <f>IFERROR(__xludf.DUMMYFUNCTION("""COMPUTED_VALUE"""),16.0)</f>
        <v>16</v>
      </c>
      <c r="J2483" s="35" t="str">
        <f>IFERROR(__xludf.DUMMYFUNCTION("""COMPUTED_VALUE"""),"&lt; 18 tahun")</f>
        <v>&lt; 18 tahun</v>
      </c>
      <c r="K2483" s="21" t="str">
        <f>IFERROR(__xludf.DUMMYFUNCTION("""COMPUTED_VALUE"""),"18/11/2009")</f>
        <v>18/11/2009</v>
      </c>
      <c r="L2483" s="21" t="str">
        <f>IFERROR(__xludf.DUMMYFUNCTION("""COMPUTED_VALUE"""),"LAKI-LAKI")</f>
        <v>LAKI-LAKI</v>
      </c>
      <c r="M2483" s="35" t="str">
        <f>IFERROR(__xludf.DUMMYFUNCTION("""COMPUTED_VALUE"""),"JALAN SUNGAI MENGKUANG")</f>
        <v>JALAN SUNGAI MENGKUANG</v>
      </c>
      <c r="N2483" s="35" t="str">
        <f>IFERROR(__xludf.DUMMYFUNCTION("""COMPUTED_VALUE"""),"DESA PANGKALAN BUTON")</f>
        <v>DESA PANGKALAN BUTON</v>
      </c>
      <c r="O2483" s="35" t="str">
        <f>IFERROR(__xludf.DUMMYFUNCTION("""COMPUTED_VALUE"""),"SUKADANA")</f>
        <v>SUKADANA</v>
      </c>
      <c r="P2483" s="35" t="str">
        <f>IFERROR(__xludf.DUMMYFUNCTION("""COMPUTED_VALUE"""),"KABUPATEN KAYONG UTARA")</f>
        <v>KABUPATEN KAYONG UTARA</v>
      </c>
      <c r="Q2483" s="35" t="str">
        <f>IFERROR(__xludf.DUMMYFUNCTION("""COMPUTED_VALUE"""),"KALIMANTAN BARAT")</f>
        <v>KALIMANTAN BARAT</v>
      </c>
      <c r="R2483" s="21" t="str">
        <f>IFERROR(__xludf.DUMMYFUNCTION("""COMPUTED_VALUE"""),"ISLAM")</f>
        <v>ISLAM</v>
      </c>
      <c r="S2483" s="74" t="str">
        <f>IFERROR(__xludf.DUMMYFUNCTION("""COMPUTED_VALUE"""),"PELAJAR")</f>
        <v>PELAJAR</v>
      </c>
      <c r="T2483" s="35" t="str">
        <f>IFERROR(__xludf.DUMMYFUNCTION("""COMPUTED_VALUE"""),"NYERI SENDI DAN OTOT SERTA TULANG")</f>
        <v>NYERI SENDI DAN OTOT SERTA TULANG</v>
      </c>
      <c r="U2483" s="35" t="str">
        <f>IFERROR(__xludf.DUMMYFUNCTION("""COMPUTED_VALUE"""),"TURUN NAIK TANGGA")</f>
        <v>TURUN NAIK TANGGA</v>
      </c>
      <c r="V2483" s="37" t="str">
        <f>IFERROR(__xludf.DUMMYFUNCTION("""COMPUTED_VALUE"""),"085821009602")</f>
        <v>085821009602</v>
      </c>
      <c r="W2483" s="45"/>
    </row>
    <row r="2484">
      <c r="A2484" s="45"/>
      <c r="B2484" s="24" t="str">
        <f>IFERROR(__xludf.DUMMYFUNCTION("""COMPUTED_VALUE"""),"11/05/2025 9:58:40")</f>
        <v>11/05/2025 9:58:40</v>
      </c>
      <c r="C2484" s="35"/>
      <c r="D2484" s="10">
        <f>IFERROR(__xludf.DUMMYFUNCTION("""COMPUTED_VALUE"""),45816.0)</f>
        <v>45816</v>
      </c>
      <c r="E2484" s="35" t="str">
        <f>IFERROR(__xludf.DUMMYFUNCTION("""COMPUTED_VALUE"""),"06Jun")</f>
        <v>06Jun</v>
      </c>
      <c r="F2484" s="34" t="str">
        <f>IFERROR(__xludf.DUMMYFUNCTION("""COMPUTED_VALUE"""),"2025")</f>
        <v>2025</v>
      </c>
      <c r="G2484" s="35" t="str">
        <f>IFERROR(__xludf.DUMMYFUNCTION("""COMPUTED_VALUE"""),"ADE IWAN KURNIAWAN")</f>
        <v>ADE IWAN KURNIAWAN</v>
      </c>
      <c r="H2484" s="35" t="str">
        <f>IFERROR(__xludf.DUMMYFUNCTION("""COMPUTED_VALUE"""),"A9025060759")</f>
        <v>A9025060759</v>
      </c>
      <c r="I2484" s="35">
        <f>IFERROR(__xludf.DUMMYFUNCTION("""COMPUTED_VALUE"""),35.0)</f>
        <v>35</v>
      </c>
      <c r="J2484" s="35" t="str">
        <f>IFERROR(__xludf.DUMMYFUNCTION("""COMPUTED_VALUE"""),"35-44 tahun")</f>
        <v>35-44 tahun</v>
      </c>
      <c r="K2484" s="21" t="str">
        <f>IFERROR(__xludf.DUMMYFUNCTION("""COMPUTED_VALUE"""),"07/11/1990")</f>
        <v>07/11/1990</v>
      </c>
      <c r="L2484" s="21" t="str">
        <f>IFERROR(__xludf.DUMMYFUNCTION("""COMPUTED_VALUE"""),"LAKI-LAKI")</f>
        <v>LAKI-LAKI</v>
      </c>
      <c r="M2484" s="35" t="str">
        <f>IFERROR(__xludf.DUMMYFUNCTION("""COMPUTED_VALUE"""),"JL. PH. SULAIMAN NO. 8")</f>
        <v>JL. PH. SULAIMAN NO. 8</v>
      </c>
      <c r="N2484" s="35" t="str">
        <f>IFERROR(__xludf.DUMMYFUNCTION("""COMPUTED_VALUE"""),"KELURAHAN TANJUNG SEKAYAM")</f>
        <v>KELURAHAN TANJUNG SEKAYAM</v>
      </c>
      <c r="O2484" s="35" t="str">
        <f>IFERROR(__xludf.DUMMYFUNCTION("""COMPUTED_VALUE"""),"KECAMATAN KAPUAS")</f>
        <v>KECAMATAN KAPUAS</v>
      </c>
      <c r="P2484" s="35" t="str">
        <f>IFERROR(__xludf.DUMMYFUNCTION("""COMPUTED_VALUE"""),"KABUPATEN SANGGAU")</f>
        <v>KABUPATEN SANGGAU</v>
      </c>
      <c r="Q2484" s="35" t="str">
        <f>IFERROR(__xludf.DUMMYFUNCTION("""COMPUTED_VALUE"""),"KALIMANTAN BARAT")</f>
        <v>KALIMANTAN BARAT</v>
      </c>
      <c r="R2484" s="21" t="str">
        <f>IFERROR(__xludf.DUMMYFUNCTION("""COMPUTED_VALUE"""),"ISLAM")</f>
        <v>ISLAM</v>
      </c>
      <c r="S2484" s="74" t="str">
        <f>IFERROR(__xludf.DUMMYFUNCTION("""COMPUTED_VALUE"""),"ASN")</f>
        <v>ASN</v>
      </c>
      <c r="T2484" s="35" t="str">
        <f>IFERROR(__xludf.DUMMYFUNCTION("""COMPUTED_VALUE"""),"CIDERA KAKI")</f>
        <v>CIDERA KAKI</v>
      </c>
      <c r="U2484" s="35" t="str">
        <f>IFERROR(__xludf.DUMMYFUNCTION("""COMPUTED_VALUE"""),"LARI / JOGGING")</f>
        <v>LARI / JOGGING</v>
      </c>
      <c r="V2484" s="37" t="str">
        <f>IFERROR(__xludf.DUMMYFUNCTION("""COMPUTED_VALUE"""),"089694160759")</f>
        <v>089694160759</v>
      </c>
      <c r="W2484" s="45"/>
    </row>
    <row r="2485">
      <c r="A2485" s="45"/>
      <c r="B2485" s="24" t="str">
        <f>IFERROR(__xludf.DUMMYFUNCTION("""COMPUTED_VALUE"""),"11/05/2025 10:46:19")</f>
        <v>11/05/2025 10:46:19</v>
      </c>
      <c r="C2485" s="35"/>
      <c r="D2485" s="10">
        <f>IFERROR(__xludf.DUMMYFUNCTION("""COMPUTED_VALUE"""),45817.0)</f>
        <v>45817</v>
      </c>
      <c r="E2485" s="35" t="str">
        <f>IFERROR(__xludf.DUMMYFUNCTION("""COMPUTED_VALUE"""),"06Jun")</f>
        <v>06Jun</v>
      </c>
      <c r="F2485" s="34" t="str">
        <f>IFERROR(__xludf.DUMMYFUNCTION("""COMPUTED_VALUE"""),"2025")</f>
        <v>2025</v>
      </c>
      <c r="G2485" s="35" t="str">
        <f>IFERROR(__xludf.DUMMYFUNCTION("""COMPUTED_VALUE"""),"BUDIMAS TEGUH IMAN PERMATA")</f>
        <v>BUDIMAS TEGUH IMAN PERMATA</v>
      </c>
      <c r="H2485" s="35" t="str">
        <f>IFERROR(__xludf.DUMMYFUNCTION("""COMPUTED_VALUE"""),"B9525060808")</f>
        <v>B9525060808</v>
      </c>
      <c r="I2485" s="35">
        <f>IFERROR(__xludf.DUMMYFUNCTION("""COMPUTED_VALUE"""),30.0)</f>
        <v>30</v>
      </c>
      <c r="J2485" s="35" t="str">
        <f>IFERROR(__xludf.DUMMYFUNCTION("""COMPUTED_VALUE"""),"25-34 tahun")</f>
        <v>25-34 tahun</v>
      </c>
      <c r="K2485" s="21" t="str">
        <f>IFERROR(__xludf.DUMMYFUNCTION("""COMPUTED_VALUE"""),"03/09/1995")</f>
        <v>03/09/1995</v>
      </c>
      <c r="L2485" s="21" t="str">
        <f>IFERROR(__xludf.DUMMYFUNCTION("""COMPUTED_VALUE"""),"LAKI-LAKI")</f>
        <v>LAKI-LAKI</v>
      </c>
      <c r="M2485" s="35" t="str">
        <f>IFERROR(__xludf.DUMMYFUNCTION("""COMPUTED_VALUE"""),"JAKAN TABRANI AHMAD KOMPLEK MANDAU PERMAI BLOK M NO 4")</f>
        <v>JAKAN TABRANI AHMAD KOMPLEK MANDAU PERMAI BLOK M NO 4</v>
      </c>
      <c r="N2485" s="35" t="str">
        <f>IFERROR(__xludf.DUMMYFUNCTION("""COMPUTED_VALUE"""),"SUI JAWI")</f>
        <v>SUI JAWI</v>
      </c>
      <c r="O2485" s="35" t="str">
        <f>IFERROR(__xludf.DUMMYFUNCTION("""COMPUTED_VALUE"""),"PONTIANAK BARAT")</f>
        <v>PONTIANAK BARAT</v>
      </c>
      <c r="P2485" s="35" t="str">
        <f>IFERROR(__xludf.DUMMYFUNCTION("""COMPUTED_VALUE"""),"PONTIANKA KOTA")</f>
        <v>PONTIANKA KOTA</v>
      </c>
      <c r="Q2485" s="35" t="str">
        <f>IFERROR(__xludf.DUMMYFUNCTION("""COMPUTED_VALUE"""),"KALIMANTAN BARAT")</f>
        <v>KALIMANTAN BARAT</v>
      </c>
      <c r="R2485" s="21" t="str">
        <f>IFERROR(__xludf.DUMMYFUNCTION("""COMPUTED_VALUE"""),"ISLAM")</f>
        <v>ISLAM</v>
      </c>
      <c r="S2485" s="74" t="str">
        <f>IFERROR(__xludf.DUMMYFUNCTION("""COMPUTED_VALUE"""),"FREELANCE")</f>
        <v>FREELANCE</v>
      </c>
      <c r="T2485" s="35" t="str">
        <f>IFERROR(__xludf.DUMMYFUNCTION("""COMPUTED_VALUE"""),"NGILU PADA LUTUT BAGIAN BELAKANG")</f>
        <v>NGILU PADA LUTUT BAGIAN BELAKANG</v>
      </c>
      <c r="U2485" s="35" t="str">
        <f>IFERROR(__xludf.DUMMYFUNCTION("""COMPUTED_VALUE"""),"LARI")</f>
        <v>LARI</v>
      </c>
      <c r="V2485" s="37" t="str">
        <f>IFERROR(__xludf.DUMMYFUNCTION("""COMPUTED_VALUE"""),"089689590808")</f>
        <v>089689590808</v>
      </c>
      <c r="W2485" s="45"/>
    </row>
    <row r="2486">
      <c r="A2486" s="45"/>
      <c r="B2486" s="24" t="str">
        <f>IFERROR(__xludf.DUMMYFUNCTION("""COMPUTED_VALUE"""),"13/05/2025 7:04:57")</f>
        <v>13/05/2025 7:04:57</v>
      </c>
      <c r="C2486" s="35"/>
      <c r="D2486" s="10">
        <f>IFERROR(__xludf.DUMMYFUNCTION("""COMPUTED_VALUE"""),45817.0)</f>
        <v>45817</v>
      </c>
      <c r="E2486" s="35" t="str">
        <f>IFERROR(__xludf.DUMMYFUNCTION("""COMPUTED_VALUE"""),"06Jun")</f>
        <v>06Jun</v>
      </c>
      <c r="F2486" s="34" t="str">
        <f>IFERROR(__xludf.DUMMYFUNCTION("""COMPUTED_VALUE"""),"2025")</f>
        <v>2025</v>
      </c>
      <c r="G2486" s="35" t="str">
        <f>IFERROR(__xludf.DUMMYFUNCTION("""COMPUTED_VALUE"""),"SHERRY MARLITA")</f>
        <v>SHERRY MARLITA</v>
      </c>
      <c r="H2486" s="35" t="str">
        <f>IFERROR(__xludf.DUMMYFUNCTION("""COMPUTED_VALUE"""),"S8025065081")</f>
        <v>S8025065081</v>
      </c>
      <c r="I2486" s="35">
        <f>IFERROR(__xludf.DUMMYFUNCTION("""COMPUTED_VALUE"""),46.0)</f>
        <v>46</v>
      </c>
      <c r="J2486" s="35" t="str">
        <f>IFERROR(__xludf.DUMMYFUNCTION("""COMPUTED_VALUE"""),"&gt; 44 tahun")</f>
        <v>&gt; 44 tahun</v>
      </c>
      <c r="K2486" s="21" t="str">
        <f>IFERROR(__xludf.DUMMYFUNCTION("""COMPUTED_VALUE"""),"04/03/1980")</f>
        <v>04/03/1980</v>
      </c>
      <c r="L2486" s="21" t="str">
        <f>IFERROR(__xludf.DUMMYFUNCTION("""COMPUTED_VALUE"""),"PEREMPUAN")</f>
        <v>PEREMPUAN</v>
      </c>
      <c r="M2486" s="35" t="str">
        <f>IFERROR(__xludf.DUMMYFUNCTION("""COMPUTED_VALUE"""),"JL. PURNAMA 1 G. PURNAMA INDAH 1 NO 8")</f>
        <v>JL. PURNAMA 1 G. PURNAMA INDAH 1 NO 8</v>
      </c>
      <c r="N2486" s="35" t="str">
        <f>IFERROR(__xludf.DUMMYFUNCTION("""COMPUTED_VALUE"""),"-")</f>
        <v>-</v>
      </c>
      <c r="O2486" s="35" t="str">
        <f>IFERROR(__xludf.DUMMYFUNCTION("""COMPUTED_VALUE"""),"-")</f>
        <v>-</v>
      </c>
      <c r="P2486" s="35" t="str">
        <f>IFERROR(__xludf.DUMMYFUNCTION("""COMPUTED_VALUE"""),"PONTIANAK")</f>
        <v>PONTIANAK</v>
      </c>
      <c r="Q2486" s="35" t="str">
        <f>IFERROR(__xludf.DUMMYFUNCTION("""COMPUTED_VALUE"""),"KALIMANTAN BARAT")</f>
        <v>KALIMANTAN BARAT</v>
      </c>
      <c r="R2486" s="21" t="str">
        <f>IFERROR(__xludf.DUMMYFUNCTION("""COMPUTED_VALUE"""),"ISLAM")</f>
        <v>ISLAM</v>
      </c>
      <c r="S2486" s="74" t="str">
        <f>IFERROR(__xludf.DUMMYFUNCTION("""COMPUTED_VALUE"""),"WIRASWASTA")</f>
        <v>WIRASWASTA</v>
      </c>
      <c r="T2486" s="35" t="str">
        <f>IFERROR(__xludf.DUMMYFUNCTION("""COMPUTED_VALUE"""),"LENGAN")</f>
        <v>LENGAN</v>
      </c>
      <c r="U2486" s="35" t="str">
        <f>IFERROR(__xludf.DUMMYFUNCTION("""COMPUTED_VALUE"""),"-")</f>
        <v>-</v>
      </c>
      <c r="V2486" s="37" t="str">
        <f>IFERROR(__xludf.DUMMYFUNCTION("""COMPUTED_VALUE"""),"08125615081")</f>
        <v>08125615081</v>
      </c>
      <c r="W2486" s="45"/>
    </row>
    <row r="2487">
      <c r="A2487" s="45"/>
      <c r="B2487" s="24" t="str">
        <f>IFERROR(__xludf.DUMMYFUNCTION("""COMPUTED_VALUE"""),"11/05/2025 18:16:23")</f>
        <v>11/05/2025 18:16:23</v>
      </c>
      <c r="C2487" s="35"/>
      <c r="D2487" s="10">
        <f>IFERROR(__xludf.DUMMYFUNCTION("""COMPUTED_VALUE"""),45817.0)</f>
        <v>45817</v>
      </c>
      <c r="E2487" s="35" t="str">
        <f>IFERROR(__xludf.DUMMYFUNCTION("""COMPUTED_VALUE"""),"06Jun")</f>
        <v>06Jun</v>
      </c>
      <c r="F2487" s="34" t="str">
        <f>IFERROR(__xludf.DUMMYFUNCTION("""COMPUTED_VALUE"""),"2025")</f>
        <v>2025</v>
      </c>
      <c r="G2487" s="35" t="str">
        <f>IFERROR(__xludf.DUMMYFUNCTION("""COMPUTED_VALUE"""),"CANDRA EKA JAYA")</f>
        <v>CANDRA EKA JAYA</v>
      </c>
      <c r="H2487" s="35" t="str">
        <f>IFERROR(__xludf.DUMMYFUNCTION("""COMPUTED_VALUE"""),"C8525063300")</f>
        <v>C8525063300</v>
      </c>
      <c r="I2487" s="35">
        <f>IFERROR(__xludf.DUMMYFUNCTION("""COMPUTED_VALUE"""),41.0)</f>
        <v>41</v>
      </c>
      <c r="J2487" s="35" t="str">
        <f>IFERROR(__xludf.DUMMYFUNCTION("""COMPUTED_VALUE"""),"35-44 tahun")</f>
        <v>35-44 tahun</v>
      </c>
      <c r="K2487" s="21" t="str">
        <f>IFERROR(__xludf.DUMMYFUNCTION("""COMPUTED_VALUE"""),"27/02/1985")</f>
        <v>27/02/1985</v>
      </c>
      <c r="L2487" s="21" t="str">
        <f>IFERROR(__xludf.DUMMYFUNCTION("""COMPUTED_VALUE"""),"LAKI-LAKI")</f>
        <v>LAKI-LAKI</v>
      </c>
      <c r="M2487" s="35" t="str">
        <f>IFERROR(__xludf.DUMMYFUNCTION("""COMPUTED_VALUE"""),"JL.WONOBARU GG.WONODADI 1 NO.14")</f>
        <v>JL.WONOBARU GG.WONODADI 1 NO.14</v>
      </c>
      <c r="N2487" s="35" t="str">
        <f>IFERROR(__xludf.DUMMYFUNCTION("""COMPUTED_VALUE"""),"PARIT TOKAYA")</f>
        <v>PARIT TOKAYA</v>
      </c>
      <c r="O2487" s="35" t="str">
        <f>IFERROR(__xludf.DUMMYFUNCTION("""COMPUTED_VALUE"""),"PONTIANAK SELATAN")</f>
        <v>PONTIANAK SELATAN</v>
      </c>
      <c r="P2487" s="35" t="str">
        <f>IFERROR(__xludf.DUMMYFUNCTION("""COMPUTED_VALUE"""),"KOTA PONTIANAK")</f>
        <v>KOTA PONTIANAK</v>
      </c>
      <c r="Q2487" s="35" t="str">
        <f>IFERROR(__xludf.DUMMYFUNCTION("""COMPUTED_VALUE"""),"KALBAR")</f>
        <v>KALBAR</v>
      </c>
      <c r="R2487" s="21" t="str">
        <f>IFERROR(__xludf.DUMMYFUNCTION("""COMPUTED_VALUE"""),"ISLAM")</f>
        <v>ISLAM</v>
      </c>
      <c r="S2487" s="74" t="str">
        <f>IFERROR(__xludf.DUMMYFUNCTION("""COMPUTED_VALUE"""),"KARYAWAN")</f>
        <v>KARYAWAN</v>
      </c>
      <c r="T2487" s="35" t="str">
        <f>IFERROR(__xludf.DUMMYFUNCTION("""COMPUTED_VALUE"""),"KAKI KESELEO")</f>
        <v>KAKI KESELEO</v>
      </c>
      <c r="U2487" s="35" t="str">
        <f>IFERROR(__xludf.DUMMYFUNCTION("""COMPUTED_VALUE"""),"KESANDUNG BATU JADINYA KEPLECOK GAK SEMBUH SEMBUH")</f>
        <v>KESANDUNG BATU JADINYA KEPLECOK GAK SEMBUH SEMBUH</v>
      </c>
      <c r="V2487" s="37" t="str">
        <f>IFERROR(__xludf.DUMMYFUNCTION("""COMPUTED_VALUE"""),"085252153300")</f>
        <v>085252153300</v>
      </c>
      <c r="W2487" s="45"/>
    </row>
    <row r="2488">
      <c r="A2488" s="45"/>
      <c r="B2488" s="24" t="str">
        <f>IFERROR(__xludf.DUMMYFUNCTION("""COMPUTED_VALUE"""),"04/06/2025 21:33:43")</f>
        <v>04/06/2025 21:33:43</v>
      </c>
      <c r="C2488" s="35"/>
      <c r="D2488" s="10">
        <f>IFERROR(__xludf.DUMMYFUNCTION("""COMPUTED_VALUE"""),45818.0)</f>
        <v>45818</v>
      </c>
      <c r="E2488" s="35" t="str">
        <f>IFERROR(__xludf.DUMMYFUNCTION("""COMPUTED_VALUE"""),"06Jun")</f>
        <v>06Jun</v>
      </c>
      <c r="F2488" s="34" t="str">
        <f>IFERROR(__xludf.DUMMYFUNCTION("""COMPUTED_VALUE"""),"2025")</f>
        <v>2025</v>
      </c>
      <c r="G2488" s="35" t="str">
        <f>IFERROR(__xludf.DUMMYFUNCTION("""COMPUTED_VALUE"""),"JO MIAUW MUI")</f>
        <v>JO MIAUW MUI</v>
      </c>
      <c r="H2488" s="35" t="str">
        <f>IFERROR(__xludf.DUMMYFUNCTION("""COMPUTED_VALUE"""),"J5525063513")</f>
        <v>J5525063513</v>
      </c>
      <c r="I2488" s="35">
        <f>IFERROR(__xludf.DUMMYFUNCTION("""COMPUTED_VALUE"""),71.0)</f>
        <v>71</v>
      </c>
      <c r="J2488" s="35" t="str">
        <f>IFERROR(__xludf.DUMMYFUNCTION("""COMPUTED_VALUE"""),"&gt; 44 tahun")</f>
        <v>&gt; 44 tahun</v>
      </c>
      <c r="K2488" s="21" t="str">
        <f>IFERROR(__xludf.DUMMYFUNCTION("""COMPUTED_VALUE"""),"21/03/0055")</f>
        <v>21/03/0055</v>
      </c>
      <c r="L2488" s="21" t="str">
        <f>IFERROR(__xludf.DUMMYFUNCTION("""COMPUTED_VALUE"""),"PEREMPUAN")</f>
        <v>PEREMPUAN</v>
      </c>
      <c r="M2488" s="35" t="str">
        <f>IFERROR(__xludf.DUMMYFUNCTION("""COMPUTED_VALUE"""),"JL MT HARYONO NO 8")</f>
        <v>JL MT HARYONO NO 8</v>
      </c>
      <c r="N2488" s="35" t="str">
        <f>IFERROR(__xludf.DUMMYFUNCTION("""COMPUTED_VALUE"""),"AKCAYA")</f>
        <v>AKCAYA</v>
      </c>
      <c r="O2488" s="35" t="str">
        <f>IFERROR(__xludf.DUMMYFUNCTION("""COMPUTED_VALUE"""),"PONTIANAK SELATAN")</f>
        <v>PONTIANAK SELATAN</v>
      </c>
      <c r="P2488" s="35" t="str">
        <f>IFERROR(__xludf.DUMMYFUNCTION("""COMPUTED_VALUE"""),"PONTIANAK")</f>
        <v>PONTIANAK</v>
      </c>
      <c r="Q2488" s="35" t="str">
        <f>IFERROR(__xludf.DUMMYFUNCTION("""COMPUTED_VALUE"""),"KALIMANTAN BARAT")</f>
        <v>KALIMANTAN BARAT</v>
      </c>
      <c r="R2488" s="21" t="str">
        <f>IFERROR(__xludf.DUMMYFUNCTION("""COMPUTED_VALUE"""),"KATOLIK")</f>
        <v>KATOLIK</v>
      </c>
      <c r="S2488" s="74" t="str">
        <f>IFERROR(__xludf.DUMMYFUNCTION("""COMPUTED_VALUE"""),"IBU RUMAH TANGGA")</f>
        <v>IBU RUMAH TANGGA</v>
      </c>
      <c r="T2488" s="35" t="str">
        <f>IFERROR(__xludf.DUMMYFUNCTION("""COMPUTED_VALUE"""),"BAGIAN PANTAT SAKIT")</f>
        <v>BAGIAN PANTAT SAKIT</v>
      </c>
      <c r="U2488" s="35" t="str">
        <f>IFERROR(__xludf.DUMMYFUNCTION("""COMPUTED_VALUE"""),"BARU OPERASI TULANG SUMSUNG BELAKANG KARENA SARAF KEJEPIT 1 BULAN LALU")</f>
        <v>BARU OPERASI TULANG SUMSUNG BELAKANG KARENA SARAF KEJEPIT 1 BULAN LALU</v>
      </c>
      <c r="V2488" s="37" t="str">
        <f>IFERROR(__xludf.DUMMYFUNCTION("""COMPUTED_VALUE"""),"085245983513")</f>
        <v>085245983513</v>
      </c>
      <c r="W2488" s="45"/>
    </row>
    <row r="2489">
      <c r="A2489" s="45"/>
      <c r="B2489" s="24" t="str">
        <f>IFERROR(__xludf.DUMMYFUNCTION("""COMPUTED_VALUE"""),"10/06/2025 11:32:05")</f>
        <v>10/06/2025 11:32:05</v>
      </c>
      <c r="C2489" s="35"/>
      <c r="D2489" s="10">
        <f>IFERROR(__xludf.DUMMYFUNCTION("""COMPUTED_VALUE"""),45818.0)</f>
        <v>45818</v>
      </c>
      <c r="E2489" s="35" t="str">
        <f>IFERROR(__xludf.DUMMYFUNCTION("""COMPUTED_VALUE"""),"06Jun")</f>
        <v>06Jun</v>
      </c>
      <c r="F2489" s="34" t="str">
        <f>IFERROR(__xludf.DUMMYFUNCTION("""COMPUTED_VALUE"""),"2025")</f>
        <v>2025</v>
      </c>
      <c r="G2489" s="35" t="str">
        <f>IFERROR(__xludf.DUMMYFUNCTION("""COMPUTED_VALUE"""),"NIGITA KELIN")</f>
        <v>NIGITA KELIN</v>
      </c>
      <c r="H2489" s="35" t="str">
        <f>IFERROR(__xludf.DUMMYFUNCTION("""COMPUTED_VALUE"""),"N0125061553")</f>
        <v>N0125061553</v>
      </c>
      <c r="I2489" s="35">
        <f>IFERROR(__xludf.DUMMYFUNCTION("""COMPUTED_VALUE"""),25.0)</f>
        <v>25</v>
      </c>
      <c r="J2489" s="35" t="str">
        <f>IFERROR(__xludf.DUMMYFUNCTION("""COMPUTED_VALUE"""),"25-34 tahun")</f>
        <v>25-34 tahun</v>
      </c>
      <c r="K2489" s="21" t="str">
        <f>IFERROR(__xludf.DUMMYFUNCTION("""COMPUTED_VALUE"""),"13/01/2001")</f>
        <v>13/01/2001</v>
      </c>
      <c r="L2489" s="21" t="str">
        <f>IFERROR(__xludf.DUMMYFUNCTION("""COMPUTED_VALUE"""),"PEREMPUAN")</f>
        <v>PEREMPUAN</v>
      </c>
      <c r="M2489" s="35" t="str">
        <f>IFERROR(__xludf.DUMMYFUNCTION("""COMPUTED_VALUE"""),"DUSUN MALO")</f>
        <v>DUSUN MALO</v>
      </c>
      <c r="N2489" s="35" t="str">
        <f>IFERROR(__xludf.DUMMYFUNCTION("""COMPUTED_VALUE"""),"DESA SAHAN")</f>
        <v>DESA SAHAN</v>
      </c>
      <c r="O2489" s="35" t="str">
        <f>IFERROR(__xludf.DUMMYFUNCTION("""COMPUTED_VALUE"""),"KEC SELUAS")</f>
        <v>KEC SELUAS</v>
      </c>
      <c r="P2489" s="35" t="str">
        <f>IFERROR(__xludf.DUMMYFUNCTION("""COMPUTED_VALUE"""),"BENGKAYANG")</f>
        <v>BENGKAYANG</v>
      </c>
      <c r="Q2489" s="35" t="str">
        <f>IFERROR(__xludf.DUMMYFUNCTION("""COMPUTED_VALUE"""),"KALIMANTAN BARAT")</f>
        <v>KALIMANTAN BARAT</v>
      </c>
      <c r="R2489" s="21" t="str">
        <f>IFERROR(__xludf.DUMMYFUNCTION("""COMPUTED_VALUE"""),"KATOLIK")</f>
        <v>KATOLIK</v>
      </c>
      <c r="S2489" s="74" t="str">
        <f>IFERROR(__xludf.DUMMYFUNCTION("""COMPUTED_VALUE"""),"TIDAK ADA")</f>
        <v>TIDAK ADA</v>
      </c>
      <c r="T2489" s="35" t="str">
        <f>IFERROR(__xludf.DUMMYFUNCTION("""COMPUTED_VALUE"""),"PATAH KAKI")</f>
        <v>PATAH KAKI</v>
      </c>
      <c r="U2489" s="35" t="str">
        <f>IFERROR(__xludf.DUMMYFUNCTION("""COMPUTED_VALUE"""),"NGOPI DAN TRAVELING")</f>
        <v>NGOPI DAN TRAVELING</v>
      </c>
      <c r="V2489" s="37" t="str">
        <f>IFERROR(__xludf.DUMMYFUNCTION("""COMPUTED_VALUE"""),"082157941553")</f>
        <v>082157941553</v>
      </c>
      <c r="W2489" s="45"/>
    </row>
    <row r="2490">
      <c r="A2490" s="45"/>
      <c r="B2490" s="24" t="str">
        <f>IFERROR(__xludf.DUMMYFUNCTION("""COMPUTED_VALUE"""),"11/06/2025 9:28:11")</f>
        <v>11/06/2025 9:28:11</v>
      </c>
      <c r="C2490" s="35"/>
      <c r="D2490" s="10">
        <f>IFERROR(__xludf.DUMMYFUNCTION("""COMPUTED_VALUE"""),45819.0)</f>
        <v>45819</v>
      </c>
      <c r="E2490" s="35" t="str">
        <f>IFERROR(__xludf.DUMMYFUNCTION("""COMPUTED_VALUE"""),"06Jun")</f>
        <v>06Jun</v>
      </c>
      <c r="F2490" s="34" t="str">
        <f>IFERROR(__xludf.DUMMYFUNCTION("""COMPUTED_VALUE"""),"2025")</f>
        <v>2025</v>
      </c>
      <c r="G2490" s="35" t="str">
        <f>IFERROR(__xludf.DUMMYFUNCTION("""COMPUTED_VALUE"""),"RENSA S. AKTADIVIA, S.H., S.I.K., M.H.")</f>
        <v>RENSA S. AKTADIVIA, S.H., S.I.K., M.H.</v>
      </c>
      <c r="H2490" s="35" t="str">
        <f>IFERROR(__xludf.DUMMYFUNCTION("""COMPUTED_VALUE"""),"R8625061186")</f>
        <v>R8625061186</v>
      </c>
      <c r="I2490" s="35">
        <f>IFERROR(__xludf.DUMMYFUNCTION("""COMPUTED_VALUE"""),39.0)</f>
        <v>39</v>
      </c>
      <c r="J2490" s="35" t="str">
        <f>IFERROR(__xludf.DUMMYFUNCTION("""COMPUTED_VALUE"""),"35-44 tahun")</f>
        <v>35-44 tahun</v>
      </c>
      <c r="K2490" s="21" t="str">
        <f>IFERROR(__xludf.DUMMYFUNCTION("""COMPUTED_VALUE"""),"11/09/1986")</f>
        <v>11/09/1986</v>
      </c>
      <c r="L2490" s="21" t="str">
        <f>IFERROR(__xludf.DUMMYFUNCTION("""COMPUTED_VALUE"""),"LAKI-LAKI")</f>
        <v>LAKI-LAKI</v>
      </c>
      <c r="M2490" s="35" t="str">
        <f>IFERROR(__xludf.DUMMYFUNCTION("""COMPUTED_VALUE"""),"JL. AHMAD YANI POLDA KALBAR")</f>
        <v>JL. AHMAD YANI POLDA KALBAR</v>
      </c>
      <c r="N2490" s="35" t="str">
        <f>IFERROR(__xludf.DUMMYFUNCTION("""COMPUTED_VALUE"""),"BANGKA BELITUNG")</f>
        <v>BANGKA BELITUNG</v>
      </c>
      <c r="O2490" s="35" t="str">
        <f>IFERROR(__xludf.DUMMYFUNCTION("""COMPUTED_VALUE"""),"PONTIANAK TENGGARA")</f>
        <v>PONTIANAK TENGGARA</v>
      </c>
      <c r="P2490" s="35" t="str">
        <f>IFERROR(__xludf.DUMMYFUNCTION("""COMPUTED_VALUE"""),"KOTA PONTIANAK")</f>
        <v>KOTA PONTIANAK</v>
      </c>
      <c r="Q2490" s="35" t="str">
        <f>IFERROR(__xludf.DUMMYFUNCTION("""COMPUTED_VALUE"""),"KALIMANTAN BARAT")</f>
        <v>KALIMANTAN BARAT</v>
      </c>
      <c r="R2490" s="21" t="str">
        <f>IFERROR(__xludf.DUMMYFUNCTION("""COMPUTED_VALUE"""),"ISLAM")</f>
        <v>ISLAM</v>
      </c>
      <c r="S2490" s="74" t="str">
        <f>IFERROR(__xludf.DUMMYFUNCTION("""COMPUTED_VALUE"""),"POLRI")</f>
        <v>POLRI</v>
      </c>
      <c r="T2490" s="35" t="str">
        <f>IFERROR(__xludf.DUMMYFUNCTION("""COMPUTED_VALUE"""),"JARI TELUNJUK KANAN TERKILIR DAN TERASA SAKIT")</f>
        <v>JARI TELUNJUK KANAN TERKILIR DAN TERASA SAKIT</v>
      </c>
      <c r="U2490" s="35" t="str">
        <f>IFERROR(__xludf.DUMMYFUNCTION("""COMPUTED_VALUE"""),"BEKERJA")</f>
        <v>BEKERJA</v>
      </c>
      <c r="V2490" s="37" t="str">
        <f>IFERROR(__xludf.DUMMYFUNCTION("""COMPUTED_VALUE"""),"089508661186")</f>
        <v>089508661186</v>
      </c>
      <c r="W2490" s="45"/>
    </row>
    <row r="2491">
      <c r="A2491" s="45"/>
      <c r="B2491" s="24" t="str">
        <f>IFERROR(__xludf.DUMMYFUNCTION("""COMPUTED_VALUE"""),"11/06/2025 10:00:23")</f>
        <v>11/06/2025 10:00:23</v>
      </c>
      <c r="C2491" s="35"/>
      <c r="D2491" s="10">
        <f>IFERROR(__xludf.DUMMYFUNCTION("""COMPUTED_VALUE"""),45819.0)</f>
        <v>45819</v>
      </c>
      <c r="E2491" s="35" t="str">
        <f>IFERROR(__xludf.DUMMYFUNCTION("""COMPUTED_VALUE"""),"06Jun")</f>
        <v>06Jun</v>
      </c>
      <c r="F2491" s="34" t="str">
        <f>IFERROR(__xludf.DUMMYFUNCTION("""COMPUTED_VALUE"""),"2025")</f>
        <v>2025</v>
      </c>
      <c r="G2491" s="35" t="str">
        <f>IFERROR(__xludf.DUMMYFUNCTION("""COMPUTED_VALUE"""),"ASEP SETIAWAN")</f>
        <v>ASEP SETIAWAN</v>
      </c>
      <c r="H2491" s="35" t="str">
        <f>IFERROR(__xludf.DUMMYFUNCTION("""COMPUTED_VALUE"""),"A6825060057")</f>
        <v>A6825060057</v>
      </c>
      <c r="I2491" s="35">
        <f>IFERROR(__xludf.DUMMYFUNCTION("""COMPUTED_VALUE"""),58.0)</f>
        <v>58</v>
      </c>
      <c r="J2491" s="35" t="str">
        <f>IFERROR(__xludf.DUMMYFUNCTION("""COMPUTED_VALUE"""),"&gt; 44 tahun")</f>
        <v>&gt; 44 tahun</v>
      </c>
      <c r="K2491" s="21" t="str">
        <f>IFERROR(__xludf.DUMMYFUNCTION("""COMPUTED_VALUE"""),"03/02/1968")</f>
        <v>03/02/1968</v>
      </c>
      <c r="L2491" s="21" t="str">
        <f>IFERROR(__xludf.DUMMYFUNCTION("""COMPUTED_VALUE"""),"LAKI-LAKI")</f>
        <v>LAKI-LAKI</v>
      </c>
      <c r="M2491" s="35" t="str">
        <f>IFERROR(__xludf.DUMMYFUNCTION("""COMPUTED_VALUE"""),"KOMPLEK MEKAR SARI 3B NO.B12")</f>
        <v>KOMPLEK MEKAR SARI 3B NO.B12</v>
      </c>
      <c r="N2491" s="35" t="str">
        <f>IFERROR(__xludf.DUMMYFUNCTION("""COMPUTED_VALUE"""),"DESA KAPUR")</f>
        <v>DESA KAPUR</v>
      </c>
      <c r="O2491" s="35" t="str">
        <f>IFERROR(__xludf.DUMMYFUNCTION("""COMPUTED_VALUE"""),"SEI RAYA")</f>
        <v>SEI RAYA</v>
      </c>
      <c r="P2491" s="35" t="str">
        <f>IFERROR(__xludf.DUMMYFUNCTION("""COMPUTED_VALUE"""),"KUBURAYA")</f>
        <v>KUBURAYA</v>
      </c>
      <c r="Q2491" s="35" t="str">
        <f>IFERROR(__xludf.DUMMYFUNCTION("""COMPUTED_VALUE"""),"KALIMANTAN BARAT")</f>
        <v>KALIMANTAN BARAT</v>
      </c>
      <c r="R2491" s="21" t="str">
        <f>IFERROR(__xludf.DUMMYFUNCTION("""COMPUTED_VALUE"""),"ISLAM")</f>
        <v>ISLAM</v>
      </c>
      <c r="S2491" s="74" t="str">
        <f>IFERROR(__xludf.DUMMYFUNCTION("""COMPUTED_VALUE"""),"PENSIUNAN")</f>
        <v>PENSIUNAN</v>
      </c>
      <c r="T2491" s="35" t="str">
        <f>IFERROR(__xludf.DUMMYFUNCTION("""COMPUTED_VALUE"""),"NYERI DITUMIT DAN UJUNG TELAPAK KAKI")</f>
        <v>NYERI DITUMIT DAN UJUNG TELAPAK KAKI</v>
      </c>
      <c r="U2491" s="35" t="str">
        <f>IFERROR(__xludf.DUMMYFUNCTION("""COMPUTED_VALUE"""),"FITNES")</f>
        <v>FITNES</v>
      </c>
      <c r="V2491" s="37" t="str">
        <f>IFERROR(__xludf.DUMMYFUNCTION("""COMPUTED_VALUE"""),"08115670057")</f>
        <v>08115670057</v>
      </c>
      <c r="W2491" s="45"/>
    </row>
    <row r="2492">
      <c r="A2492" s="45"/>
      <c r="B2492" s="24" t="str">
        <f>IFERROR(__xludf.DUMMYFUNCTION("""COMPUTED_VALUE"""),"11/06/2025 11:06:43")</f>
        <v>11/06/2025 11:06:43</v>
      </c>
      <c r="C2492" s="35"/>
      <c r="D2492" s="10">
        <f>IFERROR(__xludf.DUMMYFUNCTION("""COMPUTED_VALUE"""),45819.0)</f>
        <v>45819</v>
      </c>
      <c r="E2492" s="35" t="str">
        <f>IFERROR(__xludf.DUMMYFUNCTION("""COMPUTED_VALUE"""),"06Jun")</f>
        <v>06Jun</v>
      </c>
      <c r="F2492" s="34" t="str">
        <f>IFERROR(__xludf.DUMMYFUNCTION("""COMPUTED_VALUE"""),"2025")</f>
        <v>2025</v>
      </c>
      <c r="G2492" s="35" t="str">
        <f>IFERROR(__xludf.DUMMYFUNCTION("""COMPUTED_VALUE"""),"HESTI LUKITANINGSIH")</f>
        <v>HESTI LUKITANINGSIH</v>
      </c>
      <c r="H2492" s="35" t="str">
        <f>IFERROR(__xludf.DUMMYFUNCTION("""COMPUTED_VALUE"""),"H6925067845")</f>
        <v>H6925067845</v>
      </c>
      <c r="I2492" s="35">
        <f>IFERROR(__xludf.DUMMYFUNCTION("""COMPUTED_VALUE"""),56.0)</f>
        <v>56</v>
      </c>
      <c r="J2492" s="35" t="str">
        <f>IFERROR(__xludf.DUMMYFUNCTION("""COMPUTED_VALUE"""),"&gt; 44 tahun")</f>
        <v>&gt; 44 tahun</v>
      </c>
      <c r="K2492" s="21" t="str">
        <f>IFERROR(__xludf.DUMMYFUNCTION("""COMPUTED_VALUE"""),"14/09/1969")</f>
        <v>14/09/1969</v>
      </c>
      <c r="L2492" s="21" t="str">
        <f>IFERROR(__xludf.DUMMYFUNCTION("""COMPUTED_VALUE"""),"PEREMPUAN")</f>
        <v>PEREMPUAN</v>
      </c>
      <c r="M2492" s="35" t="str">
        <f>IFERROR(__xludf.DUMMYFUNCTION("""COMPUTED_VALUE"""),"JL.PH SULAIMAN NO 08")</f>
        <v>JL.PH SULAIMAN NO 08</v>
      </c>
      <c r="N2492" s="35" t="str">
        <f>IFERROR(__xludf.DUMMYFUNCTION("""COMPUTED_VALUE"""),"TANJUNG SEKAYAM")</f>
        <v>TANJUNG SEKAYAM</v>
      </c>
      <c r="O2492" s="35" t="str">
        <f>IFERROR(__xludf.DUMMYFUNCTION("""COMPUTED_VALUE"""),"KAPUAS")</f>
        <v>KAPUAS</v>
      </c>
      <c r="P2492" s="35" t="str">
        <f>IFERROR(__xludf.DUMMYFUNCTION("""COMPUTED_VALUE"""),"SANGGAU")</f>
        <v>SANGGAU</v>
      </c>
      <c r="Q2492" s="35" t="str">
        <f>IFERROR(__xludf.DUMMYFUNCTION("""COMPUTED_VALUE"""),"KALIMANTAN BARAT")</f>
        <v>KALIMANTAN BARAT</v>
      </c>
      <c r="R2492" s="21" t="str">
        <f>IFERROR(__xludf.DUMMYFUNCTION("""COMPUTED_VALUE"""),"ISLAM")</f>
        <v>ISLAM</v>
      </c>
      <c r="S2492" s="74" t="str">
        <f>IFERROR(__xludf.DUMMYFUNCTION("""COMPUTED_VALUE"""),"PENGURUS RUMAH TANGGA")</f>
        <v>PENGURUS RUMAH TANGGA</v>
      </c>
      <c r="T2492" s="35" t="str">
        <f>IFERROR(__xludf.DUMMYFUNCTION("""COMPUTED_VALUE"""),"SAKIT BAGIAN PUNGGUNG DAN JARI JARI KAKU")</f>
        <v>SAKIT BAGIAN PUNGGUNG DAN JARI JARI KAKU</v>
      </c>
      <c r="U2492" s="35" t="str">
        <f>IFERROR(__xludf.DUMMYFUNCTION("""COMPUTED_VALUE"""),"MENGERJAKAN PEKERJAAN RUMAH TANGGA")</f>
        <v>MENGERJAKAN PEKERJAAN RUMAH TANGGA</v>
      </c>
      <c r="V2492" s="37" t="str">
        <f>IFERROR(__xludf.DUMMYFUNCTION("""COMPUTED_VALUE"""),"08990397845")</f>
        <v>08990397845</v>
      </c>
      <c r="W2492" s="45"/>
    </row>
    <row r="2493">
      <c r="A2493" s="45"/>
      <c r="B2493" s="24" t="str">
        <f>IFERROR(__xludf.DUMMYFUNCTION("""COMPUTED_VALUE"""),"09/06/2025 18:57:12")</f>
        <v>09/06/2025 18:57:12</v>
      </c>
      <c r="C2493" s="35"/>
      <c r="D2493" s="10">
        <f>IFERROR(__xludf.DUMMYFUNCTION("""COMPUTED_VALUE"""),45819.0)</f>
        <v>45819</v>
      </c>
      <c r="E2493" s="35" t="str">
        <f>IFERROR(__xludf.DUMMYFUNCTION("""COMPUTED_VALUE"""),"06Jun")</f>
        <v>06Jun</v>
      </c>
      <c r="F2493" s="34" t="str">
        <f>IFERROR(__xludf.DUMMYFUNCTION("""COMPUTED_VALUE"""),"2025")</f>
        <v>2025</v>
      </c>
      <c r="G2493" s="35" t="str">
        <f>IFERROR(__xludf.DUMMYFUNCTION("""COMPUTED_VALUE"""),"CATUR SEKAR DEWI")</f>
        <v>CATUR SEKAR DEWI</v>
      </c>
      <c r="H2493" s="35" t="str">
        <f>IFERROR(__xludf.DUMMYFUNCTION("""COMPUTED_VALUE"""),"C6825061613")</f>
        <v>C6825061613</v>
      </c>
      <c r="I2493" s="35">
        <f>IFERROR(__xludf.DUMMYFUNCTION("""COMPUTED_VALUE"""),57.0)</f>
        <v>57</v>
      </c>
      <c r="J2493" s="35" t="str">
        <f>IFERROR(__xludf.DUMMYFUNCTION("""COMPUTED_VALUE"""),"&gt; 44 tahun")</f>
        <v>&gt; 44 tahun</v>
      </c>
      <c r="K2493" s="21" t="str">
        <f>IFERROR(__xludf.DUMMYFUNCTION("""COMPUTED_VALUE"""),"23/07/1968")</f>
        <v>23/07/1968</v>
      </c>
      <c r="L2493" s="21" t="str">
        <f>IFERROR(__xludf.DUMMYFUNCTION("""COMPUTED_VALUE"""),"PEREMPUAN")</f>
        <v>PEREMPUAN</v>
      </c>
      <c r="M2493" s="35" t="str">
        <f>IFERROR(__xludf.DUMMYFUNCTION("""COMPUTED_VALUE"""),"NGABANG KABUPATEN LANDAK")</f>
        <v>NGABANG KABUPATEN LANDAK</v>
      </c>
      <c r="N2493" s="35" t="str">
        <f>IFERROR(__xludf.DUMMYFUNCTION("""COMPUTED_VALUE"""),"HILIR KANTOR")</f>
        <v>HILIR KANTOR</v>
      </c>
      <c r="O2493" s="35" t="str">
        <f>IFERROR(__xludf.DUMMYFUNCTION("""COMPUTED_VALUE"""),"NGABANG")</f>
        <v>NGABANG</v>
      </c>
      <c r="P2493" s="35" t="str">
        <f>IFERROR(__xludf.DUMMYFUNCTION("""COMPUTED_VALUE"""),"LANDAK")</f>
        <v>LANDAK</v>
      </c>
      <c r="Q2493" s="35" t="str">
        <f>IFERROR(__xludf.DUMMYFUNCTION("""COMPUTED_VALUE"""),"KALIMANTAN BARAT")</f>
        <v>KALIMANTAN BARAT</v>
      </c>
      <c r="R2493" s="21" t="str">
        <f>IFERROR(__xludf.DUMMYFUNCTION("""COMPUTED_VALUE"""),"PROTESTAN")</f>
        <v>PROTESTAN</v>
      </c>
      <c r="S2493" s="74" t="str">
        <f>IFERROR(__xludf.DUMMYFUNCTION("""COMPUTED_VALUE"""),"PEGAWAI NEGERI SIPIL")</f>
        <v>PEGAWAI NEGERI SIPIL</v>
      </c>
      <c r="T2493" s="35" t="str">
        <f>IFERROR(__xludf.DUMMYFUNCTION("""COMPUTED_VALUE"""),"NYERI TANGAN KIRI")</f>
        <v>NYERI TANGAN KIRI</v>
      </c>
      <c r="U2493" s="35" t="str">
        <f>IFERROR(__xludf.DUMMYFUNCTION("""COMPUTED_VALUE"""),"MEMBAWA TAS SAAT BERPERGIAN")</f>
        <v>MEMBAWA TAS SAAT BERPERGIAN</v>
      </c>
      <c r="V2493" s="37" t="str">
        <f>IFERROR(__xludf.DUMMYFUNCTION("""COMPUTED_VALUE"""),"089619451613")</f>
        <v>089619451613</v>
      </c>
      <c r="W2493" s="45"/>
    </row>
    <row r="2494">
      <c r="A2494" s="45"/>
      <c r="B2494" s="24" t="str">
        <f>IFERROR(__xludf.DUMMYFUNCTION("""COMPUTED_VALUE"""),"12/06/2025 9:38:03")</f>
        <v>12/06/2025 9:38:03</v>
      </c>
      <c r="C2494" s="35"/>
      <c r="D2494" s="10">
        <f>IFERROR(__xludf.DUMMYFUNCTION("""COMPUTED_VALUE"""),45820.0)</f>
        <v>45820</v>
      </c>
      <c r="E2494" s="35" t="str">
        <f>IFERROR(__xludf.DUMMYFUNCTION("""COMPUTED_VALUE"""),"06Jun")</f>
        <v>06Jun</v>
      </c>
      <c r="F2494" s="34" t="str">
        <f>IFERROR(__xludf.DUMMYFUNCTION("""COMPUTED_VALUE"""),"2025")</f>
        <v>2025</v>
      </c>
      <c r="G2494" s="35" t="str">
        <f>IFERROR(__xludf.DUMMYFUNCTION("""COMPUTED_VALUE"""),"SARDO MARTHIN")</f>
        <v>SARDO MARTHIN</v>
      </c>
      <c r="H2494" s="35" t="str">
        <f>IFERROR(__xludf.DUMMYFUNCTION("""COMPUTED_VALUE"""),"S8525066357")</f>
        <v>S8525066357</v>
      </c>
      <c r="I2494" s="35">
        <f>IFERROR(__xludf.DUMMYFUNCTION("""COMPUTED_VALUE"""),41.0)</f>
        <v>41</v>
      </c>
      <c r="J2494" s="35" t="str">
        <f>IFERROR(__xludf.DUMMYFUNCTION("""COMPUTED_VALUE"""),"35-44 tahun")</f>
        <v>35-44 tahun</v>
      </c>
      <c r="K2494" s="21" t="str">
        <f>IFERROR(__xludf.DUMMYFUNCTION("""COMPUTED_VALUE"""),"09/03/1985")</f>
        <v>09/03/1985</v>
      </c>
      <c r="L2494" s="21" t="str">
        <f>IFERROR(__xludf.DUMMYFUNCTION("""COMPUTED_VALUE"""),"LAKI-LAKI")</f>
        <v>LAKI-LAKI</v>
      </c>
      <c r="M2494" s="35" t="str">
        <f>IFERROR(__xludf.DUMMYFUNCTION("""COMPUTED_VALUE"""),"JL. DELTA TIMUR IX BLOK C NO. 65 DELTA PEKAYON JAYA")</f>
        <v>JL. DELTA TIMUR IX BLOK C NO. 65 DELTA PEKAYON JAYA</v>
      </c>
      <c r="N2494" s="35" t="str">
        <f>IFERROR(__xludf.DUMMYFUNCTION("""COMPUTED_VALUE"""),"PEKAYON JAYA")</f>
        <v>PEKAYON JAYA</v>
      </c>
      <c r="O2494" s="35" t="str">
        <f>IFERROR(__xludf.DUMMYFUNCTION("""COMPUTED_VALUE"""),"BEKASI SELATAN")</f>
        <v>BEKASI SELATAN</v>
      </c>
      <c r="P2494" s="35" t="str">
        <f>IFERROR(__xludf.DUMMYFUNCTION("""COMPUTED_VALUE"""),"BEKASI")</f>
        <v>BEKASI</v>
      </c>
      <c r="Q2494" s="35" t="str">
        <f>IFERROR(__xludf.DUMMYFUNCTION("""COMPUTED_VALUE"""),"JAWA BARAT")</f>
        <v>JAWA BARAT</v>
      </c>
      <c r="R2494" s="21" t="str">
        <f>IFERROR(__xludf.DUMMYFUNCTION("""COMPUTED_VALUE"""),"PROTESTAN")</f>
        <v>PROTESTAN</v>
      </c>
      <c r="S2494" s="74" t="str">
        <f>IFERROR(__xludf.DUMMYFUNCTION("""COMPUTED_VALUE"""),"PNS")</f>
        <v>PNS</v>
      </c>
      <c r="T2494" s="35" t="str">
        <f>IFERROR(__xludf.DUMMYFUNCTION("""COMPUTED_VALUE"""),"BAGIAN LEHER KIRI &amp; BAHU KIRI SAKIT")</f>
        <v>BAGIAN LEHER KIRI &amp; BAHU KIRI SAKIT</v>
      </c>
      <c r="U2494" s="35" t="str">
        <f>IFERROR(__xludf.DUMMYFUNCTION("""COMPUTED_VALUE"""),"GYM")</f>
        <v>GYM</v>
      </c>
      <c r="V2494" s="37" t="str">
        <f>IFERROR(__xludf.DUMMYFUNCTION("""COMPUTED_VALUE"""),"082122466357")</f>
        <v>082122466357</v>
      </c>
      <c r="W2494" s="45"/>
    </row>
    <row r="2495">
      <c r="A2495" s="45"/>
      <c r="B2495" s="24" t="str">
        <f>IFERROR(__xludf.DUMMYFUNCTION("""COMPUTED_VALUE"""),"12/06/2025 11:06:05")</f>
        <v>12/06/2025 11:06:05</v>
      </c>
      <c r="C2495" s="35"/>
      <c r="D2495" s="10">
        <f>IFERROR(__xludf.DUMMYFUNCTION("""COMPUTED_VALUE"""),45820.0)</f>
        <v>45820</v>
      </c>
      <c r="E2495" s="35" t="str">
        <f>IFERROR(__xludf.DUMMYFUNCTION("""COMPUTED_VALUE"""),"06Jun")</f>
        <v>06Jun</v>
      </c>
      <c r="F2495" s="34" t="str">
        <f>IFERROR(__xludf.DUMMYFUNCTION("""COMPUTED_VALUE"""),"2025")</f>
        <v>2025</v>
      </c>
      <c r="G2495" s="35" t="str">
        <f>IFERROR(__xludf.DUMMYFUNCTION("""COMPUTED_VALUE"""),"GAEL BENEDICT CHRISTAN")</f>
        <v>GAEL BENEDICT CHRISTAN</v>
      </c>
      <c r="H2495" s="35" t="str">
        <f>IFERROR(__xludf.DUMMYFUNCTION("""COMPUTED_VALUE"""),"G1125064924")</f>
        <v>G1125064924</v>
      </c>
      <c r="I2495" s="35">
        <f>IFERROR(__xludf.DUMMYFUNCTION("""COMPUTED_VALUE"""),15.0)</f>
        <v>15</v>
      </c>
      <c r="J2495" s="35" t="str">
        <f>IFERROR(__xludf.DUMMYFUNCTION("""COMPUTED_VALUE"""),"&lt; 18 tahun")</f>
        <v>&lt; 18 tahun</v>
      </c>
      <c r="K2495" s="21" t="str">
        <f>IFERROR(__xludf.DUMMYFUNCTION("""COMPUTED_VALUE"""),"18/01/2011")</f>
        <v>18/01/2011</v>
      </c>
      <c r="L2495" s="21" t="str">
        <f>IFERROR(__xludf.DUMMYFUNCTION("""COMPUTED_VALUE"""),"LAKI-LAKI")</f>
        <v>LAKI-LAKI</v>
      </c>
      <c r="M2495" s="35" t="str">
        <f>IFERROR(__xludf.DUMMYFUNCTION("""COMPUTED_VALUE"""),"JL. PURNAMA GG. PURNAMA DALAM NO. 25")</f>
        <v>JL. PURNAMA GG. PURNAMA DALAM NO. 25</v>
      </c>
      <c r="N2495" s="35" t="str">
        <f>IFERROR(__xludf.DUMMYFUNCTION("""COMPUTED_VALUE"""),"AKCAYA")</f>
        <v>AKCAYA</v>
      </c>
      <c r="O2495" s="35" t="str">
        <f>IFERROR(__xludf.DUMMYFUNCTION("""COMPUTED_VALUE"""),"PONTIANAK SELATAN")</f>
        <v>PONTIANAK SELATAN</v>
      </c>
      <c r="P2495" s="35" t="str">
        <f>IFERROR(__xludf.DUMMYFUNCTION("""COMPUTED_VALUE"""),"PONTIANAK KOTA")</f>
        <v>PONTIANAK KOTA</v>
      </c>
      <c r="Q2495" s="35" t="str">
        <f>IFERROR(__xludf.DUMMYFUNCTION("""COMPUTED_VALUE"""),"KALIMANTAN BARAT")</f>
        <v>KALIMANTAN BARAT</v>
      </c>
      <c r="R2495" s="21" t="str">
        <f>IFERROR(__xludf.DUMMYFUNCTION("""COMPUTED_VALUE"""),"KATOLIK")</f>
        <v>KATOLIK</v>
      </c>
      <c r="S2495" s="74" t="str">
        <f>IFERROR(__xludf.DUMMYFUNCTION("""COMPUTED_VALUE"""),"PELAJAR")</f>
        <v>PELAJAR</v>
      </c>
      <c r="T2495" s="35" t="str">
        <f>IFERROR(__xludf.DUMMYFUNCTION("""COMPUTED_VALUE"""),"BADAN AGAK BONGKOK")</f>
        <v>BADAN AGAK BONGKOK</v>
      </c>
      <c r="U2495" s="35" t="str">
        <f>IFERROR(__xludf.DUMMYFUNCTION("""COMPUTED_VALUE"""),"SERING MAIN GAME")</f>
        <v>SERING MAIN GAME</v>
      </c>
      <c r="V2495" s="37" t="str">
        <f>IFERROR(__xludf.DUMMYFUNCTION("""COMPUTED_VALUE"""),"085751384924")</f>
        <v>085751384924</v>
      </c>
      <c r="W2495" s="45"/>
    </row>
    <row r="2496">
      <c r="A2496" s="45"/>
      <c r="B2496" s="24" t="str">
        <f>IFERROR(__xludf.DUMMYFUNCTION("""COMPUTED_VALUE"""),"12/06/2025 14:14:03")</f>
        <v>12/06/2025 14:14:03</v>
      </c>
      <c r="C2496" s="35"/>
      <c r="D2496" s="10">
        <f>IFERROR(__xludf.DUMMYFUNCTION("""COMPUTED_VALUE"""),45820.0)</f>
        <v>45820</v>
      </c>
      <c r="E2496" s="35" t="str">
        <f>IFERROR(__xludf.DUMMYFUNCTION("""COMPUTED_VALUE"""),"06Jun")</f>
        <v>06Jun</v>
      </c>
      <c r="F2496" s="34" t="str">
        <f>IFERROR(__xludf.DUMMYFUNCTION("""COMPUTED_VALUE"""),"2025")</f>
        <v>2025</v>
      </c>
      <c r="G2496" s="35" t="str">
        <f>IFERROR(__xludf.DUMMYFUNCTION("""COMPUTED_VALUE"""),"JOKO LULONO")</f>
        <v>JOKO LULONO</v>
      </c>
      <c r="H2496" s="35" t="str">
        <f>IFERROR(__xludf.DUMMYFUNCTION("""COMPUTED_VALUE"""),"J7825069000")</f>
        <v>J7825069000</v>
      </c>
      <c r="I2496" s="35">
        <f>IFERROR(__xludf.DUMMYFUNCTION("""COMPUTED_VALUE"""),47.0)</f>
        <v>47</v>
      </c>
      <c r="J2496" s="35" t="str">
        <f>IFERROR(__xludf.DUMMYFUNCTION("""COMPUTED_VALUE"""),"&gt; 44 tahun")</f>
        <v>&gt; 44 tahun</v>
      </c>
      <c r="K2496" s="21" t="str">
        <f>IFERROR(__xludf.DUMMYFUNCTION("""COMPUTED_VALUE"""),"03/10/1978")</f>
        <v>03/10/1978</v>
      </c>
      <c r="L2496" s="21" t="str">
        <f>IFERROR(__xludf.DUMMYFUNCTION("""COMPUTED_VALUE"""),"LAKI-LAKI")</f>
        <v>LAKI-LAKI</v>
      </c>
      <c r="M2496" s="35" t="str">
        <f>IFERROR(__xludf.DUMMYFUNCTION("""COMPUTED_VALUE"""),"JL KHW HASYIM NO 42")</f>
        <v>JL KHW HASYIM NO 42</v>
      </c>
      <c r="N2496" s="35" t="str">
        <f>IFERROR(__xludf.DUMMYFUNCTION("""COMPUTED_VALUE"""),"TENGAH")</f>
        <v>TENGAH</v>
      </c>
      <c r="O2496" s="35" t="str">
        <f>IFERROR(__xludf.DUMMYFUNCTION("""COMPUTED_VALUE"""),"PONTIANAK KOTA")</f>
        <v>PONTIANAK KOTA</v>
      </c>
      <c r="P2496" s="35" t="str">
        <f>IFERROR(__xludf.DUMMYFUNCTION("""COMPUTED_VALUE"""),"KOTA PONTIANAK")</f>
        <v>KOTA PONTIANAK</v>
      </c>
      <c r="Q2496" s="35" t="str">
        <f>IFERROR(__xludf.DUMMYFUNCTION("""COMPUTED_VALUE"""),"KALBAR")</f>
        <v>KALBAR</v>
      </c>
      <c r="R2496" s="21" t="str">
        <f>IFERROR(__xludf.DUMMYFUNCTION("""COMPUTED_VALUE"""),"LAINNYA")</f>
        <v>LAINNYA</v>
      </c>
      <c r="S2496" s="74" t="str">
        <f>IFERROR(__xludf.DUMMYFUNCTION("""COMPUTED_VALUE"""),"SWASTA")</f>
        <v>SWASTA</v>
      </c>
      <c r="T2496" s="35" t="str">
        <f>IFERROR(__xludf.DUMMYFUNCTION("""COMPUTED_VALUE"""),"PINGGANG SAKIT")</f>
        <v>PINGGANG SAKIT</v>
      </c>
      <c r="U2496" s="35" t="str">
        <f>IFERROR(__xludf.DUMMYFUNCTION("""COMPUTED_VALUE"""),"BADMINTON")</f>
        <v>BADMINTON</v>
      </c>
      <c r="V2496" s="37" t="str">
        <f>IFERROR(__xludf.DUMMYFUNCTION("""COMPUTED_VALUE"""),"081345559000")</f>
        <v>081345559000</v>
      </c>
      <c r="W2496" s="45"/>
    </row>
    <row r="2497">
      <c r="A2497" s="45"/>
      <c r="B2497" s="24" t="str">
        <f>IFERROR(__xludf.DUMMYFUNCTION("""COMPUTED_VALUE"""),"12/06/2025 10:45:19")</f>
        <v>12/06/2025 10:45:19</v>
      </c>
      <c r="C2497" s="35"/>
      <c r="D2497" s="10">
        <f>IFERROR(__xludf.DUMMYFUNCTION("""COMPUTED_VALUE"""),45820.0)</f>
        <v>45820</v>
      </c>
      <c r="E2497" s="35" t="str">
        <f>IFERROR(__xludf.DUMMYFUNCTION("""COMPUTED_VALUE"""),"06Jun")</f>
        <v>06Jun</v>
      </c>
      <c r="F2497" s="34" t="str">
        <f>IFERROR(__xludf.DUMMYFUNCTION("""COMPUTED_VALUE"""),"2025")</f>
        <v>2025</v>
      </c>
      <c r="G2497" s="35" t="str">
        <f>IFERROR(__xludf.DUMMYFUNCTION("""COMPUTED_VALUE"""),"RIA NOVITA")</f>
        <v>RIA NOVITA</v>
      </c>
      <c r="H2497" s="35" t="str">
        <f>IFERROR(__xludf.DUMMYFUNCTION("""COMPUTED_VALUE"""),"R8225060222")</f>
        <v>R8225060222</v>
      </c>
      <c r="I2497" s="35">
        <f>IFERROR(__xludf.DUMMYFUNCTION("""COMPUTED_VALUE"""),43.0)</f>
        <v>43</v>
      </c>
      <c r="J2497" s="35" t="str">
        <f>IFERROR(__xludf.DUMMYFUNCTION("""COMPUTED_VALUE"""),"35-44 tahun")</f>
        <v>35-44 tahun</v>
      </c>
      <c r="K2497" s="21" t="str">
        <f>IFERROR(__xludf.DUMMYFUNCTION("""COMPUTED_VALUE"""),"30/11/1982")</f>
        <v>30/11/1982</v>
      </c>
      <c r="L2497" s="21" t="str">
        <f>IFERROR(__xludf.DUMMYFUNCTION("""COMPUTED_VALUE"""),"PEREMPUAN")</f>
        <v>PEREMPUAN</v>
      </c>
      <c r="M2497" s="35" t="str">
        <f>IFERROR(__xludf.DUMMYFUNCTION("""COMPUTED_VALUE"""),"JL. TABRANI AHMAD KOMP. BOROBUDUR NO. B1")</f>
        <v>JL. TABRANI AHMAD KOMP. BOROBUDUR NO. B1</v>
      </c>
      <c r="N2497" s="35" t="str">
        <f>IFERROR(__xludf.DUMMYFUNCTION("""COMPUTED_VALUE"""),"SUNGAI JAWI DALAM")</f>
        <v>SUNGAI JAWI DALAM</v>
      </c>
      <c r="O2497" s="35" t="str">
        <f>IFERROR(__xludf.DUMMYFUNCTION("""COMPUTED_VALUE"""),"PONTIANAK BARAT")</f>
        <v>PONTIANAK BARAT</v>
      </c>
      <c r="P2497" s="35" t="str">
        <f>IFERROR(__xludf.DUMMYFUNCTION("""COMPUTED_VALUE"""),"KOTA PONTIANAK")</f>
        <v>KOTA PONTIANAK</v>
      </c>
      <c r="Q2497" s="35" t="str">
        <f>IFERROR(__xludf.DUMMYFUNCTION("""COMPUTED_VALUE"""),"KALIMANTAN BARAT")</f>
        <v>KALIMANTAN BARAT</v>
      </c>
      <c r="R2497" s="21" t="str">
        <f>IFERROR(__xludf.DUMMYFUNCTION("""COMPUTED_VALUE"""),"ISLAM")</f>
        <v>ISLAM</v>
      </c>
      <c r="S2497" s="74" t="str">
        <f>IFERROR(__xludf.DUMMYFUNCTION("""COMPUTED_VALUE"""),"PNS")</f>
        <v>PNS</v>
      </c>
      <c r="T2497" s="35" t="str">
        <f>IFERROR(__xludf.DUMMYFUNCTION("""COMPUTED_VALUE"""),"NYERI BAHU")</f>
        <v>NYERI BAHU</v>
      </c>
      <c r="U2497" s="35" t="str">
        <f>IFERROR(__xludf.DUMMYFUNCTION("""COMPUTED_VALUE"""),"TIDAK ADA")</f>
        <v>TIDAK ADA</v>
      </c>
      <c r="V2497" s="37" t="str">
        <f>IFERROR(__xludf.DUMMYFUNCTION("""COMPUTED_VALUE"""),"081256330222")</f>
        <v>081256330222</v>
      </c>
      <c r="W2497" s="45"/>
    </row>
    <row r="2498">
      <c r="A2498" s="45"/>
      <c r="B2498" s="24" t="str">
        <f>IFERROR(__xludf.DUMMYFUNCTION("""COMPUTED_VALUE"""),"12/06/2025 19:57:27")</f>
        <v>12/06/2025 19:57:27</v>
      </c>
      <c r="C2498" s="35"/>
      <c r="D2498" s="10">
        <f>IFERROR(__xludf.DUMMYFUNCTION("""COMPUTED_VALUE"""),45820.0)</f>
        <v>45820</v>
      </c>
      <c r="E2498" s="35" t="str">
        <f>IFERROR(__xludf.DUMMYFUNCTION("""COMPUTED_VALUE"""),"06Jun")</f>
        <v>06Jun</v>
      </c>
      <c r="F2498" s="34" t="str">
        <f>IFERROR(__xludf.DUMMYFUNCTION("""COMPUTED_VALUE"""),"2025")</f>
        <v>2025</v>
      </c>
      <c r="G2498" s="35" t="str">
        <f>IFERROR(__xludf.DUMMYFUNCTION("""COMPUTED_VALUE"""),"IQLIMA AZ-ZAHRA CIERSYA")</f>
        <v>IQLIMA AZ-ZAHRA CIERSYA</v>
      </c>
      <c r="H2498" s="35" t="str">
        <f>IFERROR(__xludf.DUMMYFUNCTION("""COMPUTED_VALUE"""),"I0225061117")</f>
        <v>I0225061117</v>
      </c>
      <c r="I2498" s="35">
        <f>IFERROR(__xludf.DUMMYFUNCTION("""COMPUTED_VALUE"""),24.0)</f>
        <v>24</v>
      </c>
      <c r="J2498" s="35" t="str">
        <f>IFERROR(__xludf.DUMMYFUNCTION("""COMPUTED_VALUE"""),"18-24 tahun")</f>
        <v>18-24 tahun</v>
      </c>
      <c r="K2498" s="21" t="str">
        <f>IFERROR(__xludf.DUMMYFUNCTION("""COMPUTED_VALUE"""),"16/05/2002")</f>
        <v>16/05/2002</v>
      </c>
      <c r="L2498" s="21" t="str">
        <f>IFERROR(__xludf.DUMMYFUNCTION("""COMPUTED_VALUE"""),"PEREMPUAN")</f>
        <v>PEREMPUAN</v>
      </c>
      <c r="M2498" s="35" t="str">
        <f>IFERROR(__xludf.DUMMYFUNCTION("""COMPUTED_VALUE"""),"JL IMAM BONJOL GG TANJUNG DJAMBU NO 10")</f>
        <v>JL IMAM BONJOL GG TANJUNG DJAMBU NO 10</v>
      </c>
      <c r="N2498" s="35" t="str">
        <f>IFERROR(__xludf.DUMMYFUNCTION("""COMPUTED_VALUE"""),"BANSIR LAUT")</f>
        <v>BANSIR LAUT</v>
      </c>
      <c r="O2498" s="35" t="str">
        <f>IFERROR(__xludf.DUMMYFUNCTION("""COMPUTED_VALUE"""),"PONTIANAK TENGGARA")</f>
        <v>PONTIANAK TENGGARA</v>
      </c>
      <c r="P2498" s="35" t="str">
        <f>IFERROR(__xludf.DUMMYFUNCTION("""COMPUTED_VALUE"""),"KOTA PONTIANAK")</f>
        <v>KOTA PONTIANAK</v>
      </c>
      <c r="Q2498" s="35" t="str">
        <f>IFERROR(__xludf.DUMMYFUNCTION("""COMPUTED_VALUE"""),"KALIMANTAN BARAT")</f>
        <v>KALIMANTAN BARAT</v>
      </c>
      <c r="R2498" s="21" t="str">
        <f>IFERROR(__xludf.DUMMYFUNCTION("""COMPUTED_VALUE"""),"ISLAM")</f>
        <v>ISLAM</v>
      </c>
      <c r="S2498" s="74" t="str">
        <f>IFERROR(__xludf.DUMMYFUNCTION("""COMPUTED_VALUE"""),"MAHASISWA")</f>
        <v>MAHASISWA</v>
      </c>
      <c r="T2498" s="35" t="str">
        <f>IFERROR(__xludf.DUMMYFUNCTION("""COMPUTED_VALUE"""),"SAKIT PUNGGUNG")</f>
        <v>SAKIT PUNGGUNG</v>
      </c>
      <c r="U2498" s="35" t="str">
        <f>IFERROR(__xludf.DUMMYFUNCTION("""COMPUTED_VALUE"""),"BANYAK BARING DAN DUDUK")</f>
        <v>BANYAK BARING DAN DUDUK</v>
      </c>
      <c r="V2498" s="37" t="str">
        <f>IFERROR(__xludf.DUMMYFUNCTION("""COMPUTED_VALUE"""),"08565031117")</f>
        <v>08565031117</v>
      </c>
      <c r="W2498" s="45"/>
    </row>
    <row r="2499">
      <c r="A2499" s="45"/>
      <c r="B2499" s="24" t="str">
        <f>IFERROR(__xludf.DUMMYFUNCTION("""COMPUTED_VALUE"""),"13/06/2025 13:36:00")</f>
        <v>13/06/2025 13:36:00</v>
      </c>
      <c r="C2499" s="35"/>
      <c r="D2499" s="10">
        <f>IFERROR(__xludf.DUMMYFUNCTION("""COMPUTED_VALUE"""),45822.0)</f>
        <v>45822</v>
      </c>
      <c r="E2499" s="35" t="str">
        <f>IFERROR(__xludf.DUMMYFUNCTION("""COMPUTED_VALUE"""),"06Jun")</f>
        <v>06Jun</v>
      </c>
      <c r="F2499" s="34" t="str">
        <f>IFERROR(__xludf.DUMMYFUNCTION("""COMPUTED_VALUE"""),"2025")</f>
        <v>2025</v>
      </c>
      <c r="G2499" s="35" t="str">
        <f>IFERROR(__xludf.DUMMYFUNCTION("""COMPUTED_VALUE"""),"ZAIDAN KAFI RAHMAN")</f>
        <v>ZAIDAN KAFI RAHMAN</v>
      </c>
      <c r="H2499" s="35" t="str">
        <f>IFERROR(__xludf.DUMMYFUNCTION("""COMPUTED_VALUE"""),"Z1425067917")</f>
        <v>Z1425067917</v>
      </c>
      <c r="I2499" s="35">
        <f>IFERROR(__xludf.DUMMYFUNCTION("""COMPUTED_VALUE"""),12.0)</f>
        <v>12</v>
      </c>
      <c r="J2499" s="35" t="str">
        <f>IFERROR(__xludf.DUMMYFUNCTION("""COMPUTED_VALUE"""),"&lt; 18 tahun")</f>
        <v>&lt; 18 tahun</v>
      </c>
      <c r="K2499" s="21" t="str">
        <f>IFERROR(__xludf.DUMMYFUNCTION("""COMPUTED_VALUE"""),"07/02/2014")</f>
        <v>07/02/2014</v>
      </c>
      <c r="L2499" s="21" t="str">
        <f>IFERROR(__xludf.DUMMYFUNCTION("""COMPUTED_VALUE"""),"LAKI-LAKI")</f>
        <v>LAKI-LAKI</v>
      </c>
      <c r="M2499" s="35" t="str">
        <f>IFERROR(__xludf.DUMMYFUNCTION("""COMPUTED_VALUE"""),"JL.BUDI UTOMO NO.6")</f>
        <v>JL.BUDI UTOMO NO.6</v>
      </c>
      <c r="N2499" s="35" t="str">
        <f>IFERROR(__xludf.DUMMYFUNCTION("""COMPUTED_VALUE"""),"SIANTAN HILIR")</f>
        <v>SIANTAN HILIR</v>
      </c>
      <c r="O2499" s="35" t="str">
        <f>IFERROR(__xludf.DUMMYFUNCTION("""COMPUTED_VALUE"""),"PONTIANAK UTARA")</f>
        <v>PONTIANAK UTARA</v>
      </c>
      <c r="P2499" s="35" t="str">
        <f>IFERROR(__xludf.DUMMYFUNCTION("""COMPUTED_VALUE"""),"KOTA PONTIANAK")</f>
        <v>KOTA PONTIANAK</v>
      </c>
      <c r="Q2499" s="35" t="str">
        <f>IFERROR(__xludf.DUMMYFUNCTION("""COMPUTED_VALUE"""),"KALIMANTAN BARAT")</f>
        <v>KALIMANTAN BARAT</v>
      </c>
      <c r="R2499" s="21" t="str">
        <f>IFERROR(__xludf.DUMMYFUNCTION("""COMPUTED_VALUE"""),"ISLAM")</f>
        <v>ISLAM</v>
      </c>
      <c r="S2499" s="74" t="str">
        <f>IFERROR(__xludf.DUMMYFUNCTION("""COMPUTED_VALUE"""),"PELAJAR")</f>
        <v>PELAJAR</v>
      </c>
      <c r="T2499" s="35" t="str">
        <f>IFERROR(__xludf.DUMMYFUNCTION("""COMPUTED_VALUE"""),"NYERI DI BAGIAN LUTUT")</f>
        <v>NYERI DI BAGIAN LUTUT</v>
      </c>
      <c r="U2499" s="35" t="str">
        <f>IFERROR(__xludf.DUMMYFUNCTION("""COMPUTED_VALUE"""),"FUTSAL")</f>
        <v>FUTSAL</v>
      </c>
      <c r="V2499" s="37" t="str">
        <f>IFERROR(__xludf.DUMMYFUNCTION("""COMPUTED_VALUE"""),"089512627917")</f>
        <v>089512627917</v>
      </c>
      <c r="W2499" s="45"/>
    </row>
    <row r="2500">
      <c r="A2500" s="45"/>
      <c r="B2500" s="24" t="str">
        <f>IFERROR(__xludf.DUMMYFUNCTION("""COMPUTED_VALUE"""),"13/06/2025 10:16:24")</f>
        <v>13/06/2025 10:16:24</v>
      </c>
      <c r="C2500" s="35"/>
      <c r="D2500" s="10">
        <f>IFERROR(__xludf.DUMMYFUNCTION("""COMPUTED_VALUE"""),45822.0)</f>
        <v>45822</v>
      </c>
      <c r="E2500" s="35" t="str">
        <f>IFERROR(__xludf.DUMMYFUNCTION("""COMPUTED_VALUE"""),"06Jun")</f>
        <v>06Jun</v>
      </c>
      <c r="F2500" s="34" t="str">
        <f>IFERROR(__xludf.DUMMYFUNCTION("""COMPUTED_VALUE"""),"2025")</f>
        <v>2025</v>
      </c>
      <c r="G2500" s="35" t="str">
        <f>IFERROR(__xludf.DUMMYFUNCTION("""COMPUTED_VALUE"""),"SETYA AJI")</f>
        <v>SETYA AJI</v>
      </c>
      <c r="H2500" s="35" t="str">
        <f>IFERROR(__xludf.DUMMYFUNCTION("""COMPUTED_VALUE"""),"S7025063552")</f>
        <v>S7025063552</v>
      </c>
      <c r="I2500" s="35">
        <f>IFERROR(__xludf.DUMMYFUNCTION("""COMPUTED_VALUE"""),56.0)</f>
        <v>56</v>
      </c>
      <c r="J2500" s="35" t="str">
        <f>IFERROR(__xludf.DUMMYFUNCTION("""COMPUTED_VALUE"""),"&gt; 44 tahun")</f>
        <v>&gt; 44 tahun</v>
      </c>
      <c r="K2500" s="21" t="str">
        <f>IFERROR(__xludf.DUMMYFUNCTION("""COMPUTED_VALUE"""),"21/05/1970")</f>
        <v>21/05/1970</v>
      </c>
      <c r="L2500" s="21" t="str">
        <f>IFERROR(__xludf.DUMMYFUNCTION("""COMPUTED_VALUE"""),"LAKI-LAKI")</f>
        <v>LAKI-LAKI</v>
      </c>
      <c r="M2500" s="35" t="str">
        <f>IFERROR(__xludf.DUMMYFUNCTION("""COMPUTED_VALUE"""),"MAGELQNG")</f>
        <v>MAGELQNG</v>
      </c>
      <c r="N2500" s="35" t="str">
        <f>IFERROR(__xludf.DUMMYFUNCTION("""COMPUTED_VALUE"""),"DANUREJO")</f>
        <v>DANUREJO</v>
      </c>
      <c r="O2500" s="35" t="str">
        <f>IFERROR(__xludf.DUMMYFUNCTION("""COMPUTED_VALUE"""),"MERTOYUDAN")</f>
        <v>MERTOYUDAN</v>
      </c>
      <c r="P2500" s="35" t="str">
        <f>IFERROR(__xludf.DUMMYFUNCTION("""COMPUTED_VALUE"""),"MAGELANG")</f>
        <v>MAGELANG</v>
      </c>
      <c r="Q2500" s="35" t="str">
        <f>IFERROR(__xludf.DUMMYFUNCTION("""COMPUTED_VALUE"""),"JAWA TENGAH")</f>
        <v>JAWA TENGAH</v>
      </c>
      <c r="R2500" s="21" t="str">
        <f>IFERROR(__xludf.DUMMYFUNCTION("""COMPUTED_VALUE"""),"ISLAM")</f>
        <v>ISLAM</v>
      </c>
      <c r="S2500" s="74" t="str">
        <f>IFERROR(__xludf.DUMMYFUNCTION("""COMPUTED_VALUE"""),"ASN")</f>
        <v>ASN</v>
      </c>
      <c r="T2500" s="35" t="str">
        <f>IFERROR(__xludf.DUMMYFUNCTION("""COMPUTED_VALUE"""),"SAKIT DI PERGELANGAN TANGAN KANAN")</f>
        <v>SAKIT DI PERGELANGAN TANGAN KANAN</v>
      </c>
      <c r="U2500" s="35" t="str">
        <f>IFERROR(__xludf.DUMMYFUNCTION("""COMPUTED_VALUE"""),"TENIS DAN BULUTANGKIS")</f>
        <v>TENIS DAN BULUTANGKIS</v>
      </c>
      <c r="V2500" s="37" t="str">
        <f>IFERROR(__xludf.DUMMYFUNCTION("""COMPUTED_VALUE"""),"082233333552")</f>
        <v>082233333552</v>
      </c>
      <c r="W2500" s="45"/>
    </row>
    <row r="2501">
      <c r="A2501" s="45"/>
      <c r="B2501" s="24" t="str">
        <f>IFERROR(__xludf.DUMMYFUNCTION("""COMPUTED_VALUE"""),"14/06/2025 11:18:10")</f>
        <v>14/06/2025 11:18:10</v>
      </c>
      <c r="C2501" s="35"/>
      <c r="D2501" s="10">
        <f>IFERROR(__xludf.DUMMYFUNCTION("""COMPUTED_VALUE"""),45822.0)</f>
        <v>45822</v>
      </c>
      <c r="E2501" s="35" t="str">
        <f>IFERROR(__xludf.DUMMYFUNCTION("""COMPUTED_VALUE"""),"06Jun")</f>
        <v>06Jun</v>
      </c>
      <c r="F2501" s="34" t="str">
        <f>IFERROR(__xludf.DUMMYFUNCTION("""COMPUTED_VALUE"""),"2025")</f>
        <v>2025</v>
      </c>
      <c r="G2501" s="35" t="str">
        <f>IFERROR(__xludf.DUMMYFUNCTION("""COMPUTED_VALUE"""),"MUHAMMAD HAIDAR REDHA")</f>
        <v>MUHAMMAD HAIDAR REDHA</v>
      </c>
      <c r="H2501" s="35" t="str">
        <f>IFERROR(__xludf.DUMMYFUNCTION("""COMPUTED_VALUE"""),"M9025065907")</f>
        <v>M9025065907</v>
      </c>
      <c r="I2501" s="35">
        <f>IFERROR(__xludf.DUMMYFUNCTION("""COMPUTED_VALUE"""),35.0)</f>
        <v>35</v>
      </c>
      <c r="J2501" s="35" t="str">
        <f>IFERROR(__xludf.DUMMYFUNCTION("""COMPUTED_VALUE"""),"35-44 tahun")</f>
        <v>35-44 tahun</v>
      </c>
      <c r="K2501" s="21" t="str">
        <f>IFERROR(__xludf.DUMMYFUNCTION("""COMPUTED_VALUE"""),"01/10/1990")</f>
        <v>01/10/1990</v>
      </c>
      <c r="L2501" s="21" t="str">
        <f>IFERROR(__xludf.DUMMYFUNCTION("""COMPUTED_VALUE"""),"LAKI-LAKI")</f>
        <v>LAKI-LAKI</v>
      </c>
      <c r="M2501" s="35" t="str">
        <f>IFERROR(__xludf.DUMMYFUNCTION("""COMPUTED_VALUE"""),"JL RE MARTADINATA GG KEMBAR")</f>
        <v>JL RE MARTADINATA GG KEMBAR</v>
      </c>
      <c r="N2501" s="35" t="str">
        <f>IFERROR(__xludf.DUMMYFUNCTION("""COMPUTED_VALUE"""),"TANJUNG KAPUAS")</f>
        <v>TANJUNG KAPUAS</v>
      </c>
      <c r="O2501" s="35" t="str">
        <f>IFERROR(__xludf.DUMMYFUNCTION("""COMPUTED_VALUE"""),"KAPUAS")</f>
        <v>KAPUAS</v>
      </c>
      <c r="P2501" s="35" t="str">
        <f>IFERROR(__xludf.DUMMYFUNCTION("""COMPUTED_VALUE"""),"SANGGAU")</f>
        <v>SANGGAU</v>
      </c>
      <c r="Q2501" s="35" t="str">
        <f>IFERROR(__xludf.DUMMYFUNCTION("""COMPUTED_VALUE"""),"KALIMANTAN BARAT")</f>
        <v>KALIMANTAN BARAT</v>
      </c>
      <c r="R2501" s="21" t="str">
        <f>IFERROR(__xludf.DUMMYFUNCTION("""COMPUTED_VALUE"""),"ISLAM")</f>
        <v>ISLAM</v>
      </c>
      <c r="S2501" s="74" t="str">
        <f>IFERROR(__xludf.DUMMYFUNCTION("""COMPUTED_VALUE"""),"KARYAWAN")</f>
        <v>KARYAWAN</v>
      </c>
      <c r="T2501" s="35" t="str">
        <f>IFERROR(__xludf.DUMMYFUNCTION("""COMPUTED_VALUE"""),"LUTUT DAN PINGGANG NYERI")</f>
        <v>LUTUT DAN PINGGANG NYERI</v>
      </c>
      <c r="U2501" s="35" t="str">
        <f>IFERROR(__xludf.DUMMYFUNCTION("""COMPUTED_VALUE"""),"MAIN SEPEDA")</f>
        <v>MAIN SEPEDA</v>
      </c>
      <c r="V2501" s="37" t="str">
        <f>IFERROR(__xludf.DUMMYFUNCTION("""COMPUTED_VALUE"""),"085245225907")</f>
        <v>085245225907</v>
      </c>
      <c r="W2501" s="45"/>
    </row>
    <row r="2502">
      <c r="A2502" s="45"/>
      <c r="B2502" s="24" t="str">
        <f>IFERROR(__xludf.DUMMYFUNCTION("""COMPUTED_VALUE"""),"14/06/2025 11:46:32")</f>
        <v>14/06/2025 11:46:32</v>
      </c>
      <c r="C2502" s="35"/>
      <c r="D2502" s="10">
        <f>IFERROR(__xludf.DUMMYFUNCTION("""COMPUTED_VALUE"""),45822.0)</f>
        <v>45822</v>
      </c>
      <c r="E2502" s="35" t="str">
        <f>IFERROR(__xludf.DUMMYFUNCTION("""COMPUTED_VALUE"""),"06Jun")</f>
        <v>06Jun</v>
      </c>
      <c r="F2502" s="34" t="str">
        <f>IFERROR(__xludf.DUMMYFUNCTION("""COMPUTED_VALUE"""),"2025")</f>
        <v>2025</v>
      </c>
      <c r="G2502" s="35" t="str">
        <f>IFERROR(__xludf.DUMMYFUNCTION("""COMPUTED_VALUE"""),"DRI KARI RUSMIARTI")</f>
        <v>DRI KARI RUSMIARTI</v>
      </c>
      <c r="H2502" s="35" t="str">
        <f>IFERROR(__xludf.DUMMYFUNCTION("""COMPUTED_VALUE"""),"D6725061890")</f>
        <v>D6725061890</v>
      </c>
      <c r="I2502" s="35">
        <f>IFERROR(__xludf.DUMMYFUNCTION("""COMPUTED_VALUE"""),58.0)</f>
        <v>58</v>
      </c>
      <c r="J2502" s="35" t="str">
        <f>IFERROR(__xludf.DUMMYFUNCTION("""COMPUTED_VALUE"""),"&gt; 44 tahun")</f>
        <v>&gt; 44 tahun</v>
      </c>
      <c r="K2502" s="21" t="str">
        <f>IFERROR(__xludf.DUMMYFUNCTION("""COMPUTED_VALUE"""),"12/10/1967")</f>
        <v>12/10/1967</v>
      </c>
      <c r="L2502" s="21" t="str">
        <f>IFERROR(__xludf.DUMMYFUNCTION("""COMPUTED_VALUE"""),"PEREMPUAN")</f>
        <v>PEREMPUAN</v>
      </c>
      <c r="M2502" s="35" t="str">
        <f>IFERROR(__xludf.DUMMYFUNCTION("""COMPUTED_VALUE"""),"GG.RAWAMANGUN 2 NO 4")</f>
        <v>GG.RAWAMANGUN 2 NO 4</v>
      </c>
      <c r="N2502" s="35" t="str">
        <f>IFERROR(__xludf.DUMMYFUNCTION("""COMPUTED_VALUE"""),"SEI.BANGKONG")</f>
        <v>SEI.BANGKONG</v>
      </c>
      <c r="O2502" s="35" t="str">
        <f>IFERROR(__xludf.DUMMYFUNCTION("""COMPUTED_VALUE"""),"KOTA PONTIANAK")</f>
        <v>KOTA PONTIANAK</v>
      </c>
      <c r="P2502" s="35" t="str">
        <f>IFERROR(__xludf.DUMMYFUNCTION("""COMPUTED_VALUE"""),"PONTIANAK")</f>
        <v>PONTIANAK</v>
      </c>
      <c r="Q2502" s="35" t="str">
        <f>IFERROR(__xludf.DUMMYFUNCTION("""COMPUTED_VALUE"""),"KALBAR")</f>
        <v>KALBAR</v>
      </c>
      <c r="R2502" s="21" t="str">
        <f>IFERROR(__xludf.DUMMYFUNCTION("""COMPUTED_VALUE"""),"ISLAM")</f>
        <v>ISLAM</v>
      </c>
      <c r="S2502" s="74" t="str">
        <f>IFERROR(__xludf.DUMMYFUNCTION("""COMPUTED_VALUE"""),"IRT")</f>
        <v>IRT</v>
      </c>
      <c r="T2502" s="35" t="str">
        <f>IFERROR(__xludf.DUMMYFUNCTION("""COMPUTED_VALUE"""),"LENGAN TANGAN KIRI LEMAH, PUNDAK KANAN KIRI KAKU, KAKI KIRI BERAT MAU BERJALAN/MELANGKAH SUSAH")</f>
        <v>LENGAN TANGAN KIRI LEMAH, PUNDAK KANAN KIRI KAKU, KAKI KIRI BERAT MAU BERJALAN/MELANGKAH SUSAH</v>
      </c>
      <c r="U2502" s="35" t="str">
        <f>IFERROR(__xludf.DUMMYFUNCTION("""COMPUTED_VALUE"""),"PEKERJAAN RUMAH SEPERTI NYUCI PIRING, NYUCI BAJU ITU JUGA HANYA PAGI HARI UTK GERAK AKTIVITAS")</f>
        <v>PEKERJAAN RUMAH SEPERTI NYUCI PIRING, NYUCI BAJU ITU JUGA HANYA PAGI HARI UTK GERAK AKTIVITAS</v>
      </c>
      <c r="V2502" s="37" t="str">
        <f>IFERROR(__xludf.DUMMYFUNCTION("""COMPUTED_VALUE"""),"081818381890")</f>
        <v>081818381890</v>
      </c>
      <c r="W2502" s="45"/>
    </row>
    <row r="2503">
      <c r="A2503" s="45"/>
      <c r="B2503" s="24" t="str">
        <f>IFERROR(__xludf.DUMMYFUNCTION("""COMPUTED_VALUE"""),"14/06/2025 17:15:46")</f>
        <v>14/06/2025 17:15:46</v>
      </c>
      <c r="C2503" s="35"/>
      <c r="D2503" s="10">
        <f>IFERROR(__xludf.DUMMYFUNCTION("""COMPUTED_VALUE"""),45822.0)</f>
        <v>45822</v>
      </c>
      <c r="E2503" s="35" t="str">
        <f>IFERROR(__xludf.DUMMYFUNCTION("""COMPUTED_VALUE"""),"06Jun")</f>
        <v>06Jun</v>
      </c>
      <c r="F2503" s="34" t="str">
        <f>IFERROR(__xludf.DUMMYFUNCTION("""COMPUTED_VALUE"""),"2025")</f>
        <v>2025</v>
      </c>
      <c r="G2503" s="35" t="str">
        <f>IFERROR(__xludf.DUMMYFUNCTION("""COMPUTED_VALUE"""),"IRA FANIA")</f>
        <v>IRA FANIA</v>
      </c>
      <c r="H2503" s="35" t="str">
        <f>IFERROR(__xludf.DUMMYFUNCTION("""COMPUTED_VALUE"""),"I9625062006")</f>
        <v>I9625062006</v>
      </c>
      <c r="I2503" s="35">
        <f>IFERROR(__xludf.DUMMYFUNCTION("""COMPUTED_VALUE"""),29.0)</f>
        <v>29</v>
      </c>
      <c r="J2503" s="35" t="str">
        <f>IFERROR(__xludf.DUMMYFUNCTION("""COMPUTED_VALUE"""),"25-34 tahun")</f>
        <v>25-34 tahun</v>
      </c>
      <c r="K2503" s="21" t="str">
        <f>IFERROR(__xludf.DUMMYFUNCTION("""COMPUTED_VALUE"""),"23/07/1996")</f>
        <v>23/07/1996</v>
      </c>
      <c r="L2503" s="21" t="str">
        <f>IFERROR(__xludf.DUMMYFUNCTION("""COMPUTED_VALUE"""),"PEREMPUAN")</f>
        <v>PEREMPUAN</v>
      </c>
      <c r="M2503" s="35" t="str">
        <f>IFERROR(__xludf.DUMMYFUNCTION("""COMPUTED_VALUE"""),"KOMP GRIYA HUSADA F 21")</f>
        <v>KOMP GRIYA HUSADA F 21</v>
      </c>
      <c r="N2503" s="35" t="str">
        <f>IFERROR(__xludf.DUMMYFUNCTION("""COMPUTED_VALUE"""),"SUNGAI RAYA DALAM")</f>
        <v>SUNGAI RAYA DALAM</v>
      </c>
      <c r="O2503" s="35" t="str">
        <f>IFERROR(__xludf.DUMMYFUNCTION("""COMPUTED_VALUE"""),"SUNGAI RAYA")</f>
        <v>SUNGAI RAYA</v>
      </c>
      <c r="P2503" s="35" t="str">
        <f>IFERROR(__xludf.DUMMYFUNCTION("""COMPUTED_VALUE"""),"KABUPATEN KUBU RAYA")</f>
        <v>KABUPATEN KUBU RAYA</v>
      </c>
      <c r="Q2503" s="35" t="str">
        <f>IFERROR(__xludf.DUMMYFUNCTION("""COMPUTED_VALUE"""),"KALIMANTAN BARAT")</f>
        <v>KALIMANTAN BARAT</v>
      </c>
      <c r="R2503" s="21" t="str">
        <f>IFERROR(__xludf.DUMMYFUNCTION("""COMPUTED_VALUE"""),"ISLAM")</f>
        <v>ISLAM</v>
      </c>
      <c r="S2503" s="74" t="str">
        <f>IFERROR(__xludf.DUMMYFUNCTION("""COMPUTED_VALUE"""),"SWASTA")</f>
        <v>SWASTA</v>
      </c>
      <c r="T2503" s="35" t="str">
        <f>IFERROR(__xludf.DUMMYFUNCTION("""COMPUTED_VALUE"""),"BAGIAN DEKAT PANTAT TUH NYERI SAMPE AGAK SAKIT DIBAGIAN KAKINYA")</f>
        <v>BAGIAN DEKAT PANTAT TUH NYERI SAMPE AGAK SAKIT DIBAGIAN KAKINYA</v>
      </c>
      <c r="U2503" s="35" t="str">
        <f>IFERROR(__xludf.DUMMYFUNCTION("""COMPUTED_VALUE"""),"SEHABIS KERJA ANGKAT KAKI DALAM POSISI TIDURAN LGSG AREA PANTAT SAKIT")</f>
        <v>SEHABIS KERJA ANGKAT KAKI DALAM POSISI TIDURAN LGSG AREA PANTAT SAKIT</v>
      </c>
      <c r="V2503" s="37" t="str">
        <f>IFERROR(__xludf.DUMMYFUNCTION("""COMPUTED_VALUE"""),"081545582006")</f>
        <v>081545582006</v>
      </c>
      <c r="W2503" s="45"/>
    </row>
    <row r="2504">
      <c r="A2504" s="45"/>
      <c r="B2504" s="24" t="str">
        <f>IFERROR(__xludf.DUMMYFUNCTION("""COMPUTED_VALUE"""),"14/06/2025 16:51:46")</f>
        <v>14/06/2025 16:51:46</v>
      </c>
      <c r="C2504" s="35"/>
      <c r="D2504" s="10">
        <f>IFERROR(__xludf.DUMMYFUNCTION("""COMPUTED_VALUE"""),45822.0)</f>
        <v>45822</v>
      </c>
      <c r="E2504" s="35" t="str">
        <f>IFERROR(__xludf.DUMMYFUNCTION("""COMPUTED_VALUE"""),"06Jun")</f>
        <v>06Jun</v>
      </c>
      <c r="F2504" s="34" t="str">
        <f>IFERROR(__xludf.DUMMYFUNCTION("""COMPUTED_VALUE"""),"2025")</f>
        <v>2025</v>
      </c>
      <c r="G2504" s="35" t="str">
        <f>IFERROR(__xludf.DUMMYFUNCTION("""COMPUTED_VALUE"""),"WAHONO")</f>
        <v>WAHONO</v>
      </c>
      <c r="H2504" s="35" t="str">
        <f>IFERROR(__xludf.DUMMYFUNCTION("""COMPUTED_VALUE"""),"W5325062288")</f>
        <v>W5325062288</v>
      </c>
      <c r="I2504" s="35">
        <f>IFERROR(__xludf.DUMMYFUNCTION("""COMPUTED_VALUE"""),73.0)</f>
        <v>73</v>
      </c>
      <c r="J2504" s="35" t="str">
        <f>IFERROR(__xludf.DUMMYFUNCTION("""COMPUTED_VALUE"""),"&gt; 44 tahun")</f>
        <v>&gt; 44 tahun</v>
      </c>
      <c r="K2504" s="21" t="str">
        <f>IFERROR(__xludf.DUMMYFUNCTION("""COMPUTED_VALUE"""),"12/05/1953")</f>
        <v>12/05/1953</v>
      </c>
      <c r="L2504" s="21" t="str">
        <f>IFERROR(__xludf.DUMMYFUNCTION("""COMPUTED_VALUE"""),"LAKI-LAKI")</f>
        <v>LAKI-LAKI</v>
      </c>
      <c r="M2504" s="35" t="str">
        <f>IFERROR(__xludf.DUMMYFUNCTION("""COMPUTED_VALUE"""),"DUSUN LIMBUNG JAYA,RT 01/RW 02 LIMBUNG,SUNGAI RAYA,KAB KUBU RAYA")</f>
        <v>DUSUN LIMBUNG JAYA,RT 01/RW 02 LIMBUNG,SUNGAI RAYA,KAB KUBU RAYA</v>
      </c>
      <c r="N2504" s="35" t="str">
        <f>IFERROR(__xludf.DUMMYFUNCTION("""COMPUTED_VALUE"""),"LIMBUNG")</f>
        <v>LIMBUNG</v>
      </c>
      <c r="O2504" s="35" t="str">
        <f>IFERROR(__xludf.DUMMYFUNCTION("""COMPUTED_VALUE"""),"SUNGAI RAYA")</f>
        <v>SUNGAI RAYA</v>
      </c>
      <c r="P2504" s="35" t="str">
        <f>IFERROR(__xludf.DUMMYFUNCTION("""COMPUTED_VALUE"""),"KUBU RAYA")</f>
        <v>KUBU RAYA</v>
      </c>
      <c r="Q2504" s="35" t="str">
        <f>IFERROR(__xludf.DUMMYFUNCTION("""COMPUTED_VALUE"""),"KALBAR")</f>
        <v>KALBAR</v>
      </c>
      <c r="R2504" s="21" t="str">
        <f>IFERROR(__xludf.DUMMYFUNCTION("""COMPUTED_VALUE"""),"ISLAM")</f>
        <v>ISLAM</v>
      </c>
      <c r="S2504" s="74" t="str">
        <f>IFERROR(__xludf.DUMMYFUNCTION("""COMPUTED_VALUE"""),"PENSIUNAN")</f>
        <v>PENSIUNAN</v>
      </c>
      <c r="T2504" s="35" t="str">
        <f>IFERROR(__xludf.DUMMYFUNCTION("""COMPUTED_VALUE"""),"PASKA STROKE KAKI KANAN DAN TANGAN KANAN KURANG BISA DIGERAKKAN")</f>
        <v>PASKA STROKE KAKI KANAN DAN TANGAN KANAN KURANG BISA DIGERAKKAN</v>
      </c>
      <c r="U2504" s="35" t="str">
        <f>IFERROR(__xludf.DUMMYFUNCTION("""COMPUTED_VALUE"""),"-")</f>
        <v>-</v>
      </c>
      <c r="V2504" s="37" t="str">
        <f>IFERROR(__xludf.DUMMYFUNCTION("""COMPUTED_VALUE"""),"01345452288")</f>
        <v>01345452288</v>
      </c>
      <c r="W2504" s="45"/>
    </row>
    <row r="2505">
      <c r="A2505" s="45"/>
      <c r="B2505" s="24" t="str">
        <f>IFERROR(__xludf.DUMMYFUNCTION("""COMPUTED_VALUE"""),"14/06/2025 18:35:37")</f>
        <v>14/06/2025 18:35:37</v>
      </c>
      <c r="C2505" s="35"/>
      <c r="D2505" s="10">
        <f>IFERROR(__xludf.DUMMYFUNCTION("""COMPUTED_VALUE"""),45822.0)</f>
        <v>45822</v>
      </c>
      <c r="E2505" s="35" t="str">
        <f>IFERROR(__xludf.DUMMYFUNCTION("""COMPUTED_VALUE"""),"06Jun")</f>
        <v>06Jun</v>
      </c>
      <c r="F2505" s="34" t="str">
        <f>IFERROR(__xludf.DUMMYFUNCTION("""COMPUTED_VALUE"""),"2025")</f>
        <v>2025</v>
      </c>
      <c r="G2505" s="35" t="str">
        <f>IFERROR(__xludf.DUMMYFUNCTION("""COMPUTED_VALUE"""),"BRYAN CHIA PUTRA")</f>
        <v>BRYAN CHIA PUTRA</v>
      </c>
      <c r="H2505" s="35" t="str">
        <f>IFERROR(__xludf.DUMMYFUNCTION("""COMPUTED_VALUE"""),"B0625063076")</f>
        <v>B0625063076</v>
      </c>
      <c r="I2505" s="35">
        <f>IFERROR(__xludf.DUMMYFUNCTION("""COMPUTED_VALUE"""),20.0)</f>
        <v>20</v>
      </c>
      <c r="J2505" s="35" t="str">
        <f>IFERROR(__xludf.DUMMYFUNCTION("""COMPUTED_VALUE"""),"18-24 tahun")</f>
        <v>18-24 tahun</v>
      </c>
      <c r="K2505" s="21" t="str">
        <f>IFERROR(__xludf.DUMMYFUNCTION("""COMPUTED_VALUE"""),"26/04/2006")</f>
        <v>26/04/2006</v>
      </c>
      <c r="L2505" s="21" t="str">
        <f>IFERROR(__xludf.DUMMYFUNCTION("""COMPUTED_VALUE"""),"LAKI-LAKI")</f>
        <v>LAKI-LAKI</v>
      </c>
      <c r="M2505" s="35" t="str">
        <f>IFERROR(__xludf.DUMMYFUNCTION("""COMPUTED_VALUE"""),"JL GM SITUT NO 39")</f>
        <v>JL GM SITUT NO 39</v>
      </c>
      <c r="N2505" s="35" t="str">
        <f>IFERROR(__xludf.DUMMYFUNCTION("""COMPUTED_VALUE"""),"PASIRAN")</f>
        <v>PASIRAN</v>
      </c>
      <c r="O2505" s="35" t="str">
        <f>IFERROR(__xludf.DUMMYFUNCTION("""COMPUTED_VALUE"""),"SINGKAWANG BARAT")</f>
        <v>SINGKAWANG BARAT</v>
      </c>
      <c r="P2505" s="35" t="str">
        <f>IFERROR(__xludf.DUMMYFUNCTION("""COMPUTED_VALUE"""),"SINGKAWANG")</f>
        <v>SINGKAWANG</v>
      </c>
      <c r="Q2505" s="35" t="str">
        <f>IFERROR(__xludf.DUMMYFUNCTION("""COMPUTED_VALUE"""),"KALIMANTAN BARAT")</f>
        <v>KALIMANTAN BARAT</v>
      </c>
      <c r="R2505" s="21" t="str">
        <f>IFERROR(__xludf.DUMMYFUNCTION("""COMPUTED_VALUE"""),"BUDDHA")</f>
        <v>BUDDHA</v>
      </c>
      <c r="S2505" s="74" t="str">
        <f>IFERROR(__xludf.DUMMYFUNCTION("""COMPUTED_VALUE"""),"MAHASISWA")</f>
        <v>MAHASISWA</v>
      </c>
      <c r="T2505" s="35" t="str">
        <f>IFERROR(__xludf.DUMMYFUNCTION("""COMPUTED_VALUE"""),"MENISKUS GRADE 1")</f>
        <v>MENISKUS GRADE 1</v>
      </c>
      <c r="U2505" s="35" t="str">
        <f>IFERROR(__xludf.DUMMYFUNCTION("""COMPUTED_VALUE"""),"BASKET")</f>
        <v>BASKET</v>
      </c>
      <c r="V2505" s="37" t="str">
        <f>IFERROR(__xludf.DUMMYFUNCTION("""COMPUTED_VALUE"""),"082256833076")</f>
        <v>082256833076</v>
      </c>
      <c r="W2505" s="45"/>
    </row>
    <row r="2506">
      <c r="A2506" s="45"/>
      <c r="B2506" s="24" t="str">
        <f>IFERROR(__xludf.DUMMYFUNCTION("""COMPUTED_VALUE"""),"14/06/2025 19:26:43")</f>
        <v>14/06/2025 19:26:43</v>
      </c>
      <c r="C2506" s="35"/>
      <c r="D2506" s="10">
        <f>IFERROR(__xludf.DUMMYFUNCTION("""COMPUTED_VALUE"""),45822.0)</f>
        <v>45822</v>
      </c>
      <c r="E2506" s="35" t="str">
        <f>IFERROR(__xludf.DUMMYFUNCTION("""COMPUTED_VALUE"""),"06Jun")</f>
        <v>06Jun</v>
      </c>
      <c r="F2506" s="34" t="str">
        <f>IFERROR(__xludf.DUMMYFUNCTION("""COMPUTED_VALUE"""),"2025")</f>
        <v>2025</v>
      </c>
      <c r="G2506" s="35" t="str">
        <f>IFERROR(__xludf.DUMMYFUNCTION("""COMPUTED_VALUE"""),"M EKA PUTRA YUANDA")</f>
        <v>M EKA PUTRA YUANDA</v>
      </c>
      <c r="H2506" s="35" t="str">
        <f>IFERROR(__xludf.DUMMYFUNCTION("""COMPUTED_VALUE"""),"M8725065724")</f>
        <v>M8725065724</v>
      </c>
      <c r="I2506" s="35">
        <f>IFERROR(__xludf.DUMMYFUNCTION("""COMPUTED_VALUE"""),38.0)</f>
        <v>38</v>
      </c>
      <c r="J2506" s="35" t="str">
        <f>IFERROR(__xludf.DUMMYFUNCTION("""COMPUTED_VALUE"""),"35-44 tahun")</f>
        <v>35-44 tahun</v>
      </c>
      <c r="K2506" s="21" t="str">
        <f>IFERROR(__xludf.DUMMYFUNCTION("""COMPUTED_VALUE"""),"27/12/1987")</f>
        <v>27/12/1987</v>
      </c>
      <c r="L2506" s="21" t="str">
        <f>IFERROR(__xludf.DUMMYFUNCTION("""COMPUTED_VALUE"""),"LAKI-LAKI")</f>
        <v>LAKI-LAKI</v>
      </c>
      <c r="M2506" s="35" t="str">
        <f>IFERROR(__xludf.DUMMYFUNCTION("""COMPUTED_VALUE"""),"PONDOK INDAH LESTARI")</f>
        <v>PONDOK INDAH LESTARI</v>
      </c>
      <c r="N2506" s="35" t="str">
        <f>IFERROR(__xludf.DUMMYFUNCTION("""COMPUTED_VALUE"""),"PARIT BARU")</f>
        <v>PARIT BARU</v>
      </c>
      <c r="O2506" s="35" t="str">
        <f>IFERROR(__xludf.DUMMYFUNCTION("""COMPUTED_VALUE"""),"SINGAI RAYA")</f>
        <v>SINGAI RAYA</v>
      </c>
      <c r="P2506" s="35" t="str">
        <f>IFERROR(__xludf.DUMMYFUNCTION("""COMPUTED_VALUE"""),"KABUPATEN KUBU RAYA")</f>
        <v>KABUPATEN KUBU RAYA</v>
      </c>
      <c r="Q2506" s="35" t="str">
        <f>IFERROR(__xludf.DUMMYFUNCTION("""COMPUTED_VALUE"""),"KALIMANTAN BARAT")</f>
        <v>KALIMANTAN BARAT</v>
      </c>
      <c r="R2506" s="21" t="str">
        <f>IFERROR(__xludf.DUMMYFUNCTION("""COMPUTED_VALUE"""),"ISLAM")</f>
        <v>ISLAM</v>
      </c>
      <c r="S2506" s="74" t="str">
        <f>IFERROR(__xludf.DUMMYFUNCTION("""COMPUTED_VALUE"""),"WIRASWASTA")</f>
        <v>WIRASWASTA</v>
      </c>
      <c r="T2506" s="35" t="str">
        <f>IFERROR(__xludf.DUMMYFUNCTION("""COMPUTED_VALUE"""),"SAKIT BAGIAN KAKI")</f>
        <v>SAKIT BAGIAN KAKI</v>
      </c>
      <c r="U2506" s="35" t="str">
        <f>IFERROR(__xludf.DUMMYFUNCTION("""COMPUTED_VALUE"""),"KARNA BEKERJA")</f>
        <v>KARNA BEKERJA</v>
      </c>
      <c r="V2506" s="37" t="str">
        <f>IFERROR(__xludf.DUMMYFUNCTION("""COMPUTED_VALUE"""),"085921415724")</f>
        <v>085921415724</v>
      </c>
      <c r="W2506" s="45"/>
    </row>
    <row r="2507">
      <c r="A2507" s="45"/>
      <c r="B2507" s="24" t="str">
        <f>IFERROR(__xludf.DUMMYFUNCTION("""COMPUTED_VALUE"""),"15/06/2025 10:58:31")</f>
        <v>15/06/2025 10:58:31</v>
      </c>
      <c r="C2507" s="35"/>
      <c r="D2507" s="10">
        <f>IFERROR(__xludf.DUMMYFUNCTION("""COMPUTED_VALUE"""),45823.0)</f>
        <v>45823</v>
      </c>
      <c r="E2507" s="35" t="str">
        <f>IFERROR(__xludf.DUMMYFUNCTION("""COMPUTED_VALUE"""),"06Jun")</f>
        <v>06Jun</v>
      </c>
      <c r="F2507" s="34" t="str">
        <f>IFERROR(__xludf.DUMMYFUNCTION("""COMPUTED_VALUE"""),"2025")</f>
        <v>2025</v>
      </c>
      <c r="G2507" s="35" t="str">
        <f>IFERROR(__xludf.DUMMYFUNCTION("""COMPUTED_VALUE"""),"FAISAL")</f>
        <v>FAISAL</v>
      </c>
      <c r="H2507" s="35" t="str">
        <f>IFERROR(__xludf.DUMMYFUNCTION("""COMPUTED_VALUE"""),"F7325066880")</f>
        <v>F7325066880</v>
      </c>
      <c r="I2507" s="35">
        <f>IFERROR(__xludf.DUMMYFUNCTION("""COMPUTED_VALUE"""),52.0)</f>
        <v>52</v>
      </c>
      <c r="J2507" s="35" t="str">
        <f>IFERROR(__xludf.DUMMYFUNCTION("""COMPUTED_VALUE"""),"&gt; 44 tahun")</f>
        <v>&gt; 44 tahun</v>
      </c>
      <c r="K2507" s="21" t="str">
        <f>IFERROR(__xludf.DUMMYFUNCTION("""COMPUTED_VALUE"""),"12/12/1973")</f>
        <v>12/12/1973</v>
      </c>
      <c r="L2507" s="21" t="str">
        <f>IFERROR(__xludf.DUMMYFUNCTION("""COMPUTED_VALUE"""),"LAKI-LAKI")</f>
        <v>LAKI-LAKI</v>
      </c>
      <c r="M2507" s="35" t="str">
        <f>IFERROR(__xludf.DUMMYFUNCTION("""COMPUTED_VALUE"""),"JALAN PRAMUKA NO 3, DUSUN SINAR KODOTU")</f>
        <v>JALAN PRAMUKA NO 3, DUSUN SINAR KODOTU</v>
      </c>
      <c r="N2507" s="35" t="str">
        <f>IFERROR(__xludf.DUMMYFUNCTION("""COMPUTED_VALUE"""),"NANGA SERAWAI")</f>
        <v>NANGA SERAWAI</v>
      </c>
      <c r="O2507" s="35" t="str">
        <f>IFERROR(__xludf.DUMMYFUNCTION("""COMPUTED_VALUE"""),"SERAWAI")</f>
        <v>SERAWAI</v>
      </c>
      <c r="P2507" s="35" t="str">
        <f>IFERROR(__xludf.DUMMYFUNCTION("""COMPUTED_VALUE"""),"SINTANG")</f>
        <v>SINTANG</v>
      </c>
      <c r="Q2507" s="35" t="str">
        <f>IFERROR(__xludf.DUMMYFUNCTION("""COMPUTED_VALUE"""),"KALIMANTAN BARAT")</f>
        <v>KALIMANTAN BARAT</v>
      </c>
      <c r="R2507" s="21" t="str">
        <f>IFERROR(__xludf.DUMMYFUNCTION("""COMPUTED_VALUE"""),"ISLAM")</f>
        <v>ISLAM</v>
      </c>
      <c r="S2507" s="74" t="str">
        <f>IFERROR(__xludf.DUMMYFUNCTION("""COMPUTED_VALUE"""),"KARYAWAN")</f>
        <v>KARYAWAN</v>
      </c>
      <c r="T2507" s="35" t="str">
        <f>IFERROR(__xludf.DUMMYFUNCTION("""COMPUTED_VALUE"""),"ARTHRITIS, UNSPECIFIED")</f>
        <v>ARTHRITIS, UNSPECIFIED</v>
      </c>
      <c r="U2507" s="35" t="str">
        <f>IFERROR(__xludf.DUMMYFUNCTION("""COMPUTED_VALUE"""),"JALAN KAKI, FUTSAL")</f>
        <v>JALAN KAKI, FUTSAL</v>
      </c>
      <c r="V2507" s="37" t="str">
        <f>IFERROR(__xludf.DUMMYFUNCTION("""COMPUTED_VALUE"""),"081345356880")</f>
        <v>081345356880</v>
      </c>
      <c r="W2507" s="45"/>
    </row>
    <row r="2508">
      <c r="A2508" s="45"/>
      <c r="B2508" s="24" t="str">
        <f>IFERROR(__xludf.DUMMYFUNCTION("""COMPUTED_VALUE"""),"15/06/2025 10:59:17")</f>
        <v>15/06/2025 10:59:17</v>
      </c>
      <c r="C2508" s="35"/>
      <c r="D2508" s="10">
        <f>IFERROR(__xludf.DUMMYFUNCTION("""COMPUTED_VALUE"""),45823.0)</f>
        <v>45823</v>
      </c>
      <c r="E2508" s="35" t="str">
        <f>IFERROR(__xludf.DUMMYFUNCTION("""COMPUTED_VALUE"""),"06Jun")</f>
        <v>06Jun</v>
      </c>
      <c r="F2508" s="34" t="str">
        <f>IFERROR(__xludf.DUMMYFUNCTION("""COMPUTED_VALUE"""),"2025")</f>
        <v>2025</v>
      </c>
      <c r="G2508" s="35" t="str">
        <f>IFERROR(__xludf.DUMMYFUNCTION("""COMPUTED_VALUE"""),"SELVIANA EFEN")</f>
        <v>SELVIANA EFEN</v>
      </c>
      <c r="H2508" s="35" t="str">
        <f>IFERROR(__xludf.DUMMYFUNCTION("""COMPUTED_VALUE"""),"S8825065555")</f>
        <v>S8825065555</v>
      </c>
      <c r="I2508" s="35">
        <f>IFERROR(__xludf.DUMMYFUNCTION("""COMPUTED_VALUE"""),37.0)</f>
        <v>37</v>
      </c>
      <c r="J2508" s="35" t="str">
        <f>IFERROR(__xludf.DUMMYFUNCTION("""COMPUTED_VALUE"""),"35-44 tahun")</f>
        <v>35-44 tahun</v>
      </c>
      <c r="K2508" s="21" t="str">
        <f>IFERROR(__xludf.DUMMYFUNCTION("""COMPUTED_VALUE"""),"05/08/1988")</f>
        <v>05/08/1988</v>
      </c>
      <c r="L2508" s="21" t="str">
        <f>IFERROR(__xludf.DUMMYFUNCTION("""COMPUTED_VALUE"""),"PEREMPUAN")</f>
        <v>PEREMPUAN</v>
      </c>
      <c r="M2508" s="35" t="str">
        <f>IFERROR(__xludf.DUMMYFUNCTION("""COMPUTED_VALUE"""),"JL DUSUN PULAU BENDU NO.54")</f>
        <v>JL DUSUN PULAU BENDU NO.54</v>
      </c>
      <c r="N2508" s="35" t="str">
        <f>IFERROR(__xludf.DUMMYFUNCTION("""COMPUTED_VALUE"""),"HILIR TENGAH")</f>
        <v>HILIR TENGAH</v>
      </c>
      <c r="O2508" s="35" t="str">
        <f>IFERROR(__xludf.DUMMYFUNCTION("""COMPUTED_VALUE"""),"NGABANG")</f>
        <v>NGABANG</v>
      </c>
      <c r="P2508" s="35" t="str">
        <f>IFERROR(__xludf.DUMMYFUNCTION("""COMPUTED_VALUE"""),"LANDAK")</f>
        <v>LANDAK</v>
      </c>
      <c r="Q2508" s="35" t="str">
        <f>IFERROR(__xludf.DUMMYFUNCTION("""COMPUTED_VALUE"""),"KALIMATAN BARAT")</f>
        <v>KALIMATAN BARAT</v>
      </c>
      <c r="R2508" s="21" t="str">
        <f>IFERROR(__xludf.DUMMYFUNCTION("""COMPUTED_VALUE"""),"KATOLIK")</f>
        <v>KATOLIK</v>
      </c>
      <c r="S2508" s="74" t="str">
        <f>IFERROR(__xludf.DUMMYFUNCTION("""COMPUTED_VALUE"""),"SWASTA")</f>
        <v>SWASTA</v>
      </c>
      <c r="T2508" s="35" t="str">
        <f>IFERROR(__xludf.DUMMYFUNCTION("""COMPUTED_VALUE"""),"SAKIT D BAGIAN KAKI")</f>
        <v>SAKIT D BAGIAN KAKI</v>
      </c>
      <c r="U2508" s="35" t="str">
        <f>IFERROR(__xludf.DUMMYFUNCTION("""COMPUTED_VALUE"""),"BERDIRI, JOGGING")</f>
        <v>BERDIRI, JOGGING</v>
      </c>
      <c r="V2508" s="37" t="str">
        <f>IFERROR(__xludf.DUMMYFUNCTION("""COMPUTED_VALUE"""),"081347645555")</f>
        <v>081347645555</v>
      </c>
      <c r="W2508" s="45"/>
    </row>
    <row r="2509">
      <c r="A2509" s="45"/>
      <c r="B2509" s="24" t="str">
        <f>IFERROR(__xludf.DUMMYFUNCTION("""COMPUTED_VALUE"""),"15/06/2025 13:49:03")</f>
        <v>15/06/2025 13:49:03</v>
      </c>
      <c r="C2509" s="35"/>
      <c r="D2509" s="10">
        <f>IFERROR(__xludf.DUMMYFUNCTION("""COMPUTED_VALUE"""),45823.0)</f>
        <v>45823</v>
      </c>
      <c r="E2509" s="35" t="str">
        <f>IFERROR(__xludf.DUMMYFUNCTION("""COMPUTED_VALUE"""),"06Jun")</f>
        <v>06Jun</v>
      </c>
      <c r="F2509" s="34" t="str">
        <f>IFERROR(__xludf.DUMMYFUNCTION("""COMPUTED_VALUE"""),"2025")</f>
        <v>2025</v>
      </c>
      <c r="G2509" s="35" t="str">
        <f>IFERROR(__xludf.DUMMYFUNCTION("""COMPUTED_VALUE"""),"LIDIAWATI")</f>
        <v>LIDIAWATI</v>
      </c>
      <c r="H2509" s="35" t="str">
        <f>IFERROR(__xludf.DUMMYFUNCTION("""COMPUTED_VALUE"""),"L7425060706")</f>
        <v>L7425060706</v>
      </c>
      <c r="I2509" s="35">
        <f>IFERROR(__xludf.DUMMYFUNCTION("""COMPUTED_VALUE"""),52.0)</f>
        <v>52</v>
      </c>
      <c r="J2509" s="35" t="str">
        <f>IFERROR(__xludf.DUMMYFUNCTION("""COMPUTED_VALUE"""),"&gt; 44 tahun")</f>
        <v>&gt; 44 tahun</v>
      </c>
      <c r="K2509" s="21" t="str">
        <f>IFERROR(__xludf.DUMMYFUNCTION("""COMPUTED_VALUE"""),"11/02/1974")</f>
        <v>11/02/1974</v>
      </c>
      <c r="L2509" s="21" t="str">
        <f>IFERROR(__xludf.DUMMYFUNCTION("""COMPUTED_VALUE"""),"PEREMPUAN")</f>
        <v>PEREMPUAN</v>
      </c>
      <c r="M2509" s="35" t="str">
        <f>IFERROR(__xludf.DUMMYFUNCTION("""COMPUTED_VALUE"""),"JL.H.RAIS.ARAHMAN GG.IKRAR NO.70")</f>
        <v>JL.H.RAIS.ARAHMAN GG.IKRAR NO.70</v>
      </c>
      <c r="N2509" s="35" t="str">
        <f>IFERROR(__xludf.DUMMYFUNCTION("""COMPUTED_VALUE"""),"SUI.JAWI DALAM")</f>
        <v>SUI.JAWI DALAM</v>
      </c>
      <c r="O2509" s="35" t="str">
        <f>IFERROR(__xludf.DUMMYFUNCTION("""COMPUTED_VALUE"""),"PONTIANAK BARAT")</f>
        <v>PONTIANAK BARAT</v>
      </c>
      <c r="P2509" s="35" t="str">
        <f>IFERROR(__xludf.DUMMYFUNCTION("""COMPUTED_VALUE"""),"PONTIANAK")</f>
        <v>PONTIANAK</v>
      </c>
      <c r="Q2509" s="35" t="str">
        <f>IFERROR(__xludf.DUMMYFUNCTION("""COMPUTED_VALUE"""),"KALIMANTAN BARAT")</f>
        <v>KALIMANTAN BARAT</v>
      </c>
      <c r="R2509" s="21" t="str">
        <f>IFERROR(__xludf.DUMMYFUNCTION("""COMPUTED_VALUE"""),"PROTESTAN")</f>
        <v>PROTESTAN</v>
      </c>
      <c r="S2509" s="74" t="str">
        <f>IFERROR(__xludf.DUMMYFUNCTION("""COMPUTED_VALUE"""),"IBU RUMAH TANGGA")</f>
        <v>IBU RUMAH TANGGA</v>
      </c>
      <c r="T2509" s="35" t="str">
        <f>IFERROR(__xludf.DUMMYFUNCTION("""COMPUTED_VALUE"""),"KEBAS KESEMUTAN KAKI DAN TANGAN")</f>
        <v>KEBAS KESEMUTAN KAKI DAN TANGAN</v>
      </c>
      <c r="U2509" s="35" t="str">
        <f>IFERROR(__xludf.DUMMYFUNCTION("""COMPUTED_VALUE"""),"MEMILIKI RIWAYAT GULA DARAH, MELAKUKAN AKTIFITAS PEKERJAAN RUMAH TANGGA PADA UMUM NYA")</f>
        <v>MEMILIKI RIWAYAT GULA DARAH, MELAKUKAN AKTIFITAS PEKERJAAN RUMAH TANGGA PADA UMUM NYA</v>
      </c>
      <c r="V2509" s="37" t="str">
        <f>IFERROR(__xludf.DUMMYFUNCTION("""COMPUTED_VALUE"""),"083139140706")</f>
        <v>083139140706</v>
      </c>
      <c r="W2509" s="45"/>
    </row>
    <row r="2510">
      <c r="A2510" s="45"/>
      <c r="B2510" s="24" t="str">
        <f>IFERROR(__xludf.DUMMYFUNCTION("""COMPUTED_VALUE"""),"16/06/2025 15:38:08")</f>
        <v>16/06/2025 15:38:08</v>
      </c>
      <c r="C2510" s="35"/>
      <c r="D2510" s="10">
        <f>IFERROR(__xludf.DUMMYFUNCTION("""COMPUTED_VALUE"""),45824.0)</f>
        <v>45824</v>
      </c>
      <c r="E2510" s="35" t="str">
        <f>IFERROR(__xludf.DUMMYFUNCTION("""COMPUTED_VALUE"""),"06Jun")</f>
        <v>06Jun</v>
      </c>
      <c r="F2510" s="34" t="str">
        <f>IFERROR(__xludf.DUMMYFUNCTION("""COMPUTED_VALUE"""),"2025")</f>
        <v>2025</v>
      </c>
      <c r="G2510" s="35" t="str">
        <f>IFERROR(__xludf.DUMMYFUNCTION("""COMPUTED_VALUE"""),"BINA INDRI HAPSARI")</f>
        <v>BINA INDRI HAPSARI</v>
      </c>
      <c r="H2510" s="35" t="str">
        <f>IFERROR(__xludf.DUMMYFUNCTION("""COMPUTED_VALUE"""),"B9325069236")</f>
        <v>B9325069236</v>
      </c>
      <c r="I2510" s="35">
        <f>IFERROR(__xludf.DUMMYFUNCTION("""COMPUTED_VALUE"""),33.0)</f>
        <v>33</v>
      </c>
      <c r="J2510" s="35" t="str">
        <f>IFERROR(__xludf.DUMMYFUNCTION("""COMPUTED_VALUE"""),"25-34 tahun")</f>
        <v>25-34 tahun</v>
      </c>
      <c r="K2510" s="21" t="str">
        <f>IFERROR(__xludf.DUMMYFUNCTION("""COMPUTED_VALUE"""),"29/04/1993")</f>
        <v>29/04/1993</v>
      </c>
      <c r="L2510" s="21" t="str">
        <f>IFERROR(__xludf.DUMMYFUNCTION("""COMPUTED_VALUE"""),"PEREMPUAN")</f>
        <v>PEREMPUAN</v>
      </c>
      <c r="M2510" s="35" t="str">
        <f>IFERROR(__xludf.DUMMYFUNCTION("""COMPUTED_VALUE"""),"JL.M.YASIN")</f>
        <v>JL.M.YASIN</v>
      </c>
      <c r="N2510" s="35" t="str">
        <f>IFERROR(__xludf.DUMMYFUNCTION("""COMPUTED_VALUE"""),"HILIR KANTOR")</f>
        <v>HILIR KANTOR</v>
      </c>
      <c r="O2510" s="35" t="str">
        <f>IFERROR(__xludf.DUMMYFUNCTION("""COMPUTED_VALUE"""),"PUTUSSIBAU UTARA")</f>
        <v>PUTUSSIBAU UTARA</v>
      </c>
      <c r="P2510" s="35" t="str">
        <f>IFERROR(__xludf.DUMMYFUNCTION("""COMPUTED_VALUE"""),"KAPUAS HULU")</f>
        <v>KAPUAS HULU</v>
      </c>
      <c r="Q2510" s="35" t="str">
        <f>IFERROR(__xludf.DUMMYFUNCTION("""COMPUTED_VALUE"""),"KALIMANTAN BARAT")</f>
        <v>KALIMANTAN BARAT</v>
      </c>
      <c r="R2510" s="21" t="str">
        <f>IFERROR(__xludf.DUMMYFUNCTION("""COMPUTED_VALUE"""),"ISLAM")</f>
        <v>ISLAM</v>
      </c>
      <c r="S2510" s="74" t="str">
        <f>IFERROR(__xludf.DUMMYFUNCTION("""COMPUTED_VALUE"""),"PNS")</f>
        <v>PNS</v>
      </c>
      <c r="T2510" s="35" t="str">
        <f>IFERROR(__xludf.DUMMYFUNCTION("""COMPUTED_VALUE"""),"SAKIT PINGGANG")</f>
        <v>SAKIT PINGGANG</v>
      </c>
      <c r="U2510" s="35" t="str">
        <f>IFERROR(__xludf.DUMMYFUNCTION("""COMPUTED_VALUE"""),"OLAHRAGA")</f>
        <v>OLAHRAGA</v>
      </c>
      <c r="V2510" s="37" t="str">
        <f>IFERROR(__xludf.DUMMYFUNCTION("""COMPUTED_VALUE"""),"081253129236")</f>
        <v>081253129236</v>
      </c>
      <c r="W2510" s="45"/>
    </row>
    <row r="2511">
      <c r="A2511" s="45"/>
      <c r="B2511" s="24" t="str">
        <f>IFERROR(__xludf.DUMMYFUNCTION("""COMPUTED_VALUE"""),"16/06/2025 15:39:25")</f>
        <v>16/06/2025 15:39:25</v>
      </c>
      <c r="C2511" s="35"/>
      <c r="D2511" s="10">
        <f>IFERROR(__xludf.DUMMYFUNCTION("""COMPUTED_VALUE"""),45824.0)</f>
        <v>45824</v>
      </c>
      <c r="E2511" s="35" t="str">
        <f>IFERROR(__xludf.DUMMYFUNCTION("""COMPUTED_VALUE"""),"06Jun")</f>
        <v>06Jun</v>
      </c>
      <c r="F2511" s="34" t="str">
        <f>IFERROR(__xludf.DUMMYFUNCTION("""COMPUTED_VALUE"""),"2025")</f>
        <v>2025</v>
      </c>
      <c r="G2511" s="35" t="str">
        <f>IFERROR(__xludf.DUMMYFUNCTION("""COMPUTED_VALUE"""),"PARWANA")</f>
        <v>PARWANA</v>
      </c>
      <c r="H2511" s="35" t="str">
        <f>IFERROR(__xludf.DUMMYFUNCTION("""COMPUTED_VALUE"""),"P6525069010")</f>
        <v>P6525069010</v>
      </c>
      <c r="I2511" s="35">
        <f>IFERROR(__xludf.DUMMYFUNCTION("""COMPUTED_VALUE"""),60.0)</f>
        <v>60</v>
      </c>
      <c r="J2511" s="35" t="str">
        <f>IFERROR(__xludf.DUMMYFUNCTION("""COMPUTED_VALUE"""),"&gt; 44 tahun")</f>
        <v>&gt; 44 tahun</v>
      </c>
      <c r="K2511" s="21" t="str">
        <f>IFERROR(__xludf.DUMMYFUNCTION("""COMPUTED_VALUE"""),"05/10/1965")</f>
        <v>05/10/1965</v>
      </c>
      <c r="L2511" s="21" t="str">
        <f>IFERROR(__xludf.DUMMYFUNCTION("""COMPUTED_VALUE"""),"LAKI-LAKI")</f>
        <v>LAKI-LAKI</v>
      </c>
      <c r="M2511" s="35" t="str">
        <f>IFERROR(__xludf.DUMMYFUNCTION("""COMPUTED_VALUE"""),"JL.M.YASIN")</f>
        <v>JL.M.YASIN</v>
      </c>
      <c r="N2511" s="35" t="str">
        <f>IFERROR(__xludf.DUMMYFUNCTION("""COMPUTED_VALUE"""),"HILIR KANTOR")</f>
        <v>HILIR KANTOR</v>
      </c>
      <c r="O2511" s="35" t="str">
        <f>IFERROR(__xludf.DUMMYFUNCTION("""COMPUTED_VALUE"""),"PUTUSSIBAU UTARA")</f>
        <v>PUTUSSIBAU UTARA</v>
      </c>
      <c r="P2511" s="35" t="str">
        <f>IFERROR(__xludf.DUMMYFUNCTION("""COMPUTED_VALUE"""),"KAPUAS HULU")</f>
        <v>KAPUAS HULU</v>
      </c>
      <c r="Q2511" s="35" t="str">
        <f>IFERROR(__xludf.DUMMYFUNCTION("""COMPUTED_VALUE"""),"KALIMANTAN BARAT")</f>
        <v>KALIMANTAN BARAT</v>
      </c>
      <c r="R2511" s="21" t="str">
        <f>IFERROR(__xludf.DUMMYFUNCTION("""COMPUTED_VALUE"""),"ISLAM")</f>
        <v>ISLAM</v>
      </c>
      <c r="S2511" s="74" t="str">
        <f>IFERROR(__xludf.DUMMYFUNCTION("""COMPUTED_VALUE"""),"PENSIUNAN POLRI")</f>
        <v>PENSIUNAN POLRI</v>
      </c>
      <c r="T2511" s="35" t="str">
        <f>IFERROR(__xludf.DUMMYFUNCTION("""COMPUTED_VALUE"""),"SAKIT PINGGANG")</f>
        <v>SAKIT PINGGANG</v>
      </c>
      <c r="U2511" s="35" t="str">
        <f>IFERROR(__xludf.DUMMYFUNCTION("""COMPUTED_VALUE"""),"OLAHRAGA")</f>
        <v>OLAHRAGA</v>
      </c>
      <c r="V2511" s="37" t="str">
        <f>IFERROR(__xludf.DUMMYFUNCTION("""COMPUTED_VALUE"""),"081251519010")</f>
        <v>081251519010</v>
      </c>
      <c r="W2511" s="45"/>
    </row>
    <row r="2512">
      <c r="A2512" s="45"/>
      <c r="B2512" s="24" t="str">
        <f>IFERROR(__xludf.DUMMYFUNCTION("""COMPUTED_VALUE"""),"16/06/2025 15:39:18")</f>
        <v>16/06/2025 15:39:18</v>
      </c>
      <c r="C2512" s="35"/>
      <c r="D2512" s="10">
        <f>IFERROR(__xludf.DUMMYFUNCTION("""COMPUTED_VALUE"""),45824.0)</f>
        <v>45824</v>
      </c>
      <c r="E2512" s="35" t="str">
        <f>IFERROR(__xludf.DUMMYFUNCTION("""COMPUTED_VALUE"""),"06Jun")</f>
        <v>06Jun</v>
      </c>
      <c r="F2512" s="34" t="str">
        <f>IFERROR(__xludf.DUMMYFUNCTION("""COMPUTED_VALUE"""),"2025")</f>
        <v>2025</v>
      </c>
      <c r="G2512" s="35" t="str">
        <f>IFERROR(__xludf.DUMMYFUNCTION("""COMPUTED_VALUE"""),"P. OBANG")</f>
        <v>P. OBANG</v>
      </c>
      <c r="H2512" s="35" t="str">
        <f>IFERROR(__xludf.DUMMYFUNCTION("""COMPUTED_VALUE"""),"P5925063080")</f>
        <v>P5925063080</v>
      </c>
      <c r="I2512" s="35">
        <f>IFERROR(__xludf.DUMMYFUNCTION("""COMPUTED_VALUE"""),67.0)</f>
        <v>67</v>
      </c>
      <c r="J2512" s="35" t="str">
        <f>IFERROR(__xludf.DUMMYFUNCTION("""COMPUTED_VALUE"""),"&gt; 44 tahun")</f>
        <v>&gt; 44 tahun</v>
      </c>
      <c r="K2512" s="21" t="str">
        <f>IFERROR(__xludf.DUMMYFUNCTION("""COMPUTED_VALUE"""),"17/02/1959")</f>
        <v>17/02/1959</v>
      </c>
      <c r="L2512" s="21" t="str">
        <f>IFERROR(__xludf.DUMMYFUNCTION("""COMPUTED_VALUE"""),"LAKI-LAKI")</f>
        <v>LAKI-LAKI</v>
      </c>
      <c r="M2512" s="35" t="str">
        <f>IFERROR(__xludf.DUMMYFUNCTION("""COMPUTED_VALUE"""),"DUSUN BINJAI PERMAI")</f>
        <v>DUSUN BINJAI PERMAI</v>
      </c>
      <c r="N2512" s="35" t="str">
        <f>IFERROR(__xludf.DUMMYFUNCTION("""COMPUTED_VALUE"""),"RANTAU MALAM")</f>
        <v>RANTAU MALAM</v>
      </c>
      <c r="O2512" s="35" t="str">
        <f>IFERROR(__xludf.DUMMYFUNCTION("""COMPUTED_VALUE"""),"SERAWAI")</f>
        <v>SERAWAI</v>
      </c>
      <c r="P2512" s="35" t="str">
        <f>IFERROR(__xludf.DUMMYFUNCTION("""COMPUTED_VALUE"""),"SINTANG")</f>
        <v>SINTANG</v>
      </c>
      <c r="Q2512" s="35" t="str">
        <f>IFERROR(__xludf.DUMMYFUNCTION("""COMPUTED_VALUE"""),"KALIMANTAN BARAT")</f>
        <v>KALIMANTAN BARAT</v>
      </c>
      <c r="R2512" s="21" t="str">
        <f>IFERROR(__xludf.DUMMYFUNCTION("""COMPUTED_VALUE"""),"KATOLIK")</f>
        <v>KATOLIK</v>
      </c>
      <c r="S2512" s="74" t="str">
        <f>IFERROR(__xludf.DUMMYFUNCTION("""COMPUTED_VALUE"""),"SWASTA")</f>
        <v>SWASTA</v>
      </c>
      <c r="T2512" s="35" t="str">
        <f>IFERROR(__xludf.DUMMYFUNCTION("""COMPUTED_VALUE"""),"STORKE SUMBATAN RINGAN")</f>
        <v>STORKE SUMBATAN RINGAN</v>
      </c>
      <c r="U2512" s="35" t="str">
        <f>IFERROR(__xludf.DUMMYFUNCTION("""COMPUTED_VALUE"""),"LANSIA")</f>
        <v>LANSIA</v>
      </c>
      <c r="V2512" s="37" t="str">
        <f>IFERROR(__xludf.DUMMYFUNCTION("""COMPUTED_VALUE"""),"082351773080")</f>
        <v>082351773080</v>
      </c>
      <c r="W2512" s="45"/>
    </row>
    <row r="2513">
      <c r="A2513" s="45"/>
      <c r="B2513" s="24" t="str">
        <f>IFERROR(__xludf.DUMMYFUNCTION("""COMPUTED_VALUE"""),"16/06/2025 15:18:27")</f>
        <v>16/06/2025 15:18:27</v>
      </c>
      <c r="C2513" s="35"/>
      <c r="D2513" s="10">
        <f>IFERROR(__xludf.DUMMYFUNCTION("""COMPUTED_VALUE"""),45824.0)</f>
        <v>45824</v>
      </c>
      <c r="E2513" s="35" t="str">
        <f>IFERROR(__xludf.DUMMYFUNCTION("""COMPUTED_VALUE"""),"06Jun")</f>
        <v>06Jun</v>
      </c>
      <c r="F2513" s="34" t="str">
        <f>IFERROR(__xludf.DUMMYFUNCTION("""COMPUTED_VALUE"""),"2025")</f>
        <v>2025</v>
      </c>
      <c r="G2513" s="35" t="str">
        <f>IFERROR(__xludf.DUMMYFUNCTION("""COMPUTED_VALUE"""),"GERWYN ANDREA")</f>
        <v>GERWYN ANDREA</v>
      </c>
      <c r="H2513" s="35" t="str">
        <f>IFERROR(__xludf.DUMMYFUNCTION("""COMPUTED_VALUE"""),"G0025062792")</f>
        <v>G0025062792</v>
      </c>
      <c r="I2513" s="35">
        <f>IFERROR(__xludf.DUMMYFUNCTION("""COMPUTED_VALUE"""),25.0)</f>
        <v>25</v>
      </c>
      <c r="J2513" s="35" t="str">
        <f>IFERROR(__xludf.DUMMYFUNCTION("""COMPUTED_VALUE"""),"25-34 tahun")</f>
        <v>25-34 tahun</v>
      </c>
      <c r="K2513" s="21" t="str">
        <f>IFERROR(__xludf.DUMMYFUNCTION("""COMPUTED_VALUE"""),"07/11/2000")</f>
        <v>07/11/2000</v>
      </c>
      <c r="L2513" s="21" t="str">
        <f>IFERROR(__xludf.DUMMYFUNCTION("""COMPUTED_VALUE"""),"LAKI-LAKI")</f>
        <v>LAKI-LAKI</v>
      </c>
      <c r="M2513" s="35" t="str">
        <f>IFERROR(__xludf.DUMMYFUNCTION("""COMPUTED_VALUE"""),"JL. PERDANA")</f>
        <v>JL. PERDANA</v>
      </c>
      <c r="N2513" s="35" t="str">
        <f>IFERROR(__xludf.DUMMYFUNCTION("""COMPUTED_VALUE"""),"-")</f>
        <v>-</v>
      </c>
      <c r="O2513" s="35" t="str">
        <f>IFERROR(__xludf.DUMMYFUNCTION("""COMPUTED_VALUE"""),"-")</f>
        <v>-</v>
      </c>
      <c r="P2513" s="35" t="str">
        <f>IFERROR(__xludf.DUMMYFUNCTION("""COMPUTED_VALUE"""),"PONTIANAK")</f>
        <v>PONTIANAK</v>
      </c>
      <c r="Q2513" s="35" t="str">
        <f>IFERROR(__xludf.DUMMYFUNCTION("""COMPUTED_VALUE"""),"KALIMANTAN BARAT")</f>
        <v>KALIMANTAN BARAT</v>
      </c>
      <c r="R2513" s="21" t="str">
        <f>IFERROR(__xludf.DUMMYFUNCTION("""COMPUTED_VALUE"""),"LAINNYA")</f>
        <v>LAINNYA</v>
      </c>
      <c r="S2513" s="74" t="str">
        <f>IFERROR(__xludf.DUMMYFUNCTION("""COMPUTED_VALUE"""),"KARYAWAN")</f>
        <v>KARYAWAN</v>
      </c>
      <c r="T2513" s="35" t="str">
        <f>IFERROR(__xludf.DUMMYFUNCTION("""COMPUTED_VALUE"""),"ANKLE")</f>
        <v>ANKLE</v>
      </c>
      <c r="U2513" s="35" t="str">
        <f>IFERROR(__xludf.DUMMYFUNCTION("""COMPUTED_VALUE"""),"-")</f>
        <v>-</v>
      </c>
      <c r="V2513" s="37" t="str">
        <f>IFERROR(__xludf.DUMMYFUNCTION("""COMPUTED_VALUE"""),"0895603052792")</f>
        <v>0895603052792</v>
      </c>
      <c r="W2513" s="45"/>
    </row>
    <row r="2514">
      <c r="A2514" s="45"/>
      <c r="B2514" s="24" t="str">
        <f>IFERROR(__xludf.DUMMYFUNCTION("""COMPUTED_VALUE"""),"17/06/2025 14:31:23")</f>
        <v>17/06/2025 14:31:23</v>
      </c>
      <c r="C2514" s="35"/>
      <c r="D2514" s="10">
        <f>IFERROR(__xludf.DUMMYFUNCTION("""COMPUTED_VALUE"""),45825.0)</f>
        <v>45825</v>
      </c>
      <c r="E2514" s="35" t="str">
        <f>IFERROR(__xludf.DUMMYFUNCTION("""COMPUTED_VALUE"""),"06Jun")</f>
        <v>06Jun</v>
      </c>
      <c r="F2514" s="34" t="str">
        <f>IFERROR(__xludf.DUMMYFUNCTION("""COMPUTED_VALUE"""),"2025")</f>
        <v>2025</v>
      </c>
      <c r="G2514" s="35" t="str">
        <f>IFERROR(__xludf.DUMMYFUNCTION("""COMPUTED_VALUE"""),"UTIN NABILA")</f>
        <v>UTIN NABILA</v>
      </c>
      <c r="H2514" s="35" t="str">
        <f>IFERROR(__xludf.DUMMYFUNCTION("""COMPUTED_VALUE"""),"U0325060116")</f>
        <v>U0325060116</v>
      </c>
      <c r="I2514" s="35">
        <f>IFERROR(__xludf.DUMMYFUNCTION("""COMPUTED_VALUE"""),23.0)</f>
        <v>23</v>
      </c>
      <c r="J2514" s="35" t="str">
        <f>IFERROR(__xludf.DUMMYFUNCTION("""COMPUTED_VALUE"""),"18-24 tahun")</f>
        <v>18-24 tahun</v>
      </c>
      <c r="K2514" s="21" t="str">
        <f>IFERROR(__xludf.DUMMYFUNCTION("""COMPUTED_VALUE"""),"19/01/2003")</f>
        <v>19/01/2003</v>
      </c>
      <c r="L2514" s="21" t="str">
        <f>IFERROR(__xludf.DUMMYFUNCTION("""COMPUTED_VALUE"""),"PEREMPUAN")</f>
        <v>PEREMPUAN</v>
      </c>
      <c r="M2514" s="35" t="str">
        <f>IFERROR(__xludf.DUMMYFUNCTION("""COMPUTED_VALUE"""),"JL. MALINDO, TELUK KARANG")</f>
        <v>JL. MALINDO, TELUK KARANG</v>
      </c>
      <c r="N2514" s="35" t="str">
        <f>IFERROR(__xludf.DUMMYFUNCTION("""COMPUTED_VALUE"""),"SEDAU")</f>
        <v>SEDAU</v>
      </c>
      <c r="O2514" s="35" t="str">
        <f>IFERROR(__xludf.DUMMYFUNCTION("""COMPUTED_VALUE"""),"SINGKAWANG SELATAN")</f>
        <v>SINGKAWANG SELATAN</v>
      </c>
      <c r="P2514" s="35" t="str">
        <f>IFERROR(__xludf.DUMMYFUNCTION("""COMPUTED_VALUE"""),"SINGKAWANG")</f>
        <v>SINGKAWANG</v>
      </c>
      <c r="Q2514" s="35" t="str">
        <f>IFERROR(__xludf.DUMMYFUNCTION("""COMPUTED_VALUE"""),"KALIMANTAN BARAT")</f>
        <v>KALIMANTAN BARAT</v>
      </c>
      <c r="R2514" s="21" t="str">
        <f>IFERROR(__xludf.DUMMYFUNCTION("""COMPUTED_VALUE"""),"ISLAM")</f>
        <v>ISLAM</v>
      </c>
      <c r="S2514" s="74" t="str">
        <f>IFERROR(__xludf.DUMMYFUNCTION("""COMPUTED_VALUE"""),"MAHASISWA")</f>
        <v>MAHASISWA</v>
      </c>
      <c r="T2514" s="35" t="str">
        <f>IFERROR(__xludf.DUMMYFUNCTION("""COMPUTED_VALUE"""),"PATAH TULANG PAHA KANAN")</f>
        <v>PATAH TULANG PAHA KANAN</v>
      </c>
      <c r="U2514" s="35" t="str">
        <f>IFERROR(__xludf.DUMMYFUNCTION("""COMPUTED_VALUE"""),"JALAN")</f>
        <v>JALAN</v>
      </c>
      <c r="V2514" s="37" t="str">
        <f>IFERROR(__xludf.DUMMYFUNCTION("""COMPUTED_VALUE"""),"089507520116")</f>
        <v>089507520116</v>
      </c>
      <c r="W2514" s="45"/>
    </row>
    <row r="2515">
      <c r="A2515" s="45"/>
      <c r="B2515" s="24" t="str">
        <f>IFERROR(__xludf.DUMMYFUNCTION("""COMPUTED_VALUE"""),"17/06/2025 16:27:52")</f>
        <v>17/06/2025 16:27:52</v>
      </c>
      <c r="C2515" s="35"/>
      <c r="D2515" s="10">
        <f>IFERROR(__xludf.DUMMYFUNCTION("""COMPUTED_VALUE"""),45825.0)</f>
        <v>45825</v>
      </c>
      <c r="E2515" s="35" t="str">
        <f>IFERROR(__xludf.DUMMYFUNCTION("""COMPUTED_VALUE"""),"06Jun")</f>
        <v>06Jun</v>
      </c>
      <c r="F2515" s="34" t="str">
        <f>IFERROR(__xludf.DUMMYFUNCTION("""COMPUTED_VALUE"""),"2025")</f>
        <v>2025</v>
      </c>
      <c r="G2515" s="35" t="str">
        <f>IFERROR(__xludf.DUMMYFUNCTION("""COMPUTED_VALUE"""),"AGUS TRIYANA")</f>
        <v>AGUS TRIYANA</v>
      </c>
      <c r="H2515" s="35" t="str">
        <f>IFERROR(__xludf.DUMMYFUNCTION("""COMPUTED_VALUE"""),"A8325069005")</f>
        <v>A8325069005</v>
      </c>
      <c r="I2515" s="35">
        <f>IFERROR(__xludf.DUMMYFUNCTION("""COMPUTED_VALUE"""),42.0)</f>
        <v>42</v>
      </c>
      <c r="J2515" s="35" t="str">
        <f>IFERROR(__xludf.DUMMYFUNCTION("""COMPUTED_VALUE"""),"35-44 tahun")</f>
        <v>35-44 tahun</v>
      </c>
      <c r="K2515" s="21" t="str">
        <f>IFERROR(__xludf.DUMMYFUNCTION("""COMPUTED_VALUE"""),"27/08/1983")</f>
        <v>27/08/1983</v>
      </c>
      <c r="L2515" s="21" t="str">
        <f>IFERROR(__xludf.DUMMYFUNCTION("""COMPUTED_VALUE"""),"PEREMPUAN")</f>
        <v>PEREMPUAN</v>
      </c>
      <c r="M2515" s="35" t="str">
        <f>IFERROR(__xludf.DUMMYFUNCTION("""COMPUTED_VALUE"""),"JL AMPERA KOMPLEKS PERMATA AMPERA")</f>
        <v>JL AMPERA KOMPLEKS PERMATA AMPERA</v>
      </c>
      <c r="N2515" s="35" t="str">
        <f>IFERROR(__xludf.DUMMYFUNCTION("""COMPUTED_VALUE"""),"SUI JAWI")</f>
        <v>SUI JAWI</v>
      </c>
      <c r="O2515" s="35" t="str">
        <f>IFERROR(__xludf.DUMMYFUNCTION("""COMPUTED_VALUE"""),"PONTIANAK KOTA")</f>
        <v>PONTIANAK KOTA</v>
      </c>
      <c r="P2515" s="35" t="str">
        <f>IFERROR(__xludf.DUMMYFUNCTION("""COMPUTED_VALUE"""),"PONTIANAK")</f>
        <v>PONTIANAK</v>
      </c>
      <c r="Q2515" s="35" t="str">
        <f>IFERROR(__xludf.DUMMYFUNCTION("""COMPUTED_VALUE"""),"KALIMANTAN BARAT")</f>
        <v>KALIMANTAN BARAT</v>
      </c>
      <c r="R2515" s="21" t="str">
        <f>IFERROR(__xludf.DUMMYFUNCTION("""COMPUTED_VALUE"""),"ISLAM")</f>
        <v>ISLAM</v>
      </c>
      <c r="S2515" s="74" t="str">
        <f>IFERROR(__xludf.DUMMYFUNCTION("""COMPUTED_VALUE"""),"IRT")</f>
        <v>IRT</v>
      </c>
      <c r="T2515" s="35" t="str">
        <f>IFERROR(__xludf.DUMMYFUNCTION("""COMPUTED_VALUE"""),"LBP")</f>
        <v>LBP</v>
      </c>
      <c r="U2515" s="35" t="str">
        <f>IFERROR(__xludf.DUMMYFUNCTION("""COMPUTED_VALUE"""),"NYERI PINGGANG")</f>
        <v>NYERI PINGGANG</v>
      </c>
      <c r="V2515" s="37" t="str">
        <f>IFERROR(__xludf.DUMMYFUNCTION("""COMPUTED_VALUE"""),"081254469005")</f>
        <v>081254469005</v>
      </c>
      <c r="W2515" s="45"/>
    </row>
    <row r="2516">
      <c r="A2516" s="45"/>
      <c r="B2516" s="24" t="str">
        <f>IFERROR(__xludf.DUMMYFUNCTION("""COMPUTED_VALUE"""),"17/06/2025 18:24:29")</f>
        <v>17/06/2025 18:24:29</v>
      </c>
      <c r="C2516" s="35"/>
      <c r="D2516" s="10">
        <f>IFERROR(__xludf.DUMMYFUNCTION("""COMPUTED_VALUE"""),45825.0)</f>
        <v>45825</v>
      </c>
      <c r="E2516" s="35" t="str">
        <f>IFERROR(__xludf.DUMMYFUNCTION("""COMPUTED_VALUE"""),"06Jun")</f>
        <v>06Jun</v>
      </c>
      <c r="F2516" s="34" t="str">
        <f>IFERROR(__xludf.DUMMYFUNCTION("""COMPUTED_VALUE"""),"2025")</f>
        <v>2025</v>
      </c>
      <c r="G2516" s="35" t="str">
        <f>IFERROR(__xludf.DUMMYFUNCTION("""COMPUTED_VALUE"""),"SAWITRI HERSUSANTI")</f>
        <v>SAWITRI HERSUSANTI</v>
      </c>
      <c r="H2516" s="35" t="str">
        <f>IFERROR(__xludf.DUMMYFUNCTION("""COMPUTED_VALUE"""),"S6425068991")</f>
        <v>S6425068991</v>
      </c>
      <c r="I2516" s="35">
        <f>IFERROR(__xludf.DUMMYFUNCTION("""COMPUTED_VALUE"""),61.0)</f>
        <v>61</v>
      </c>
      <c r="J2516" s="35" t="str">
        <f>IFERROR(__xludf.DUMMYFUNCTION("""COMPUTED_VALUE"""),"&gt; 44 tahun")</f>
        <v>&gt; 44 tahun</v>
      </c>
      <c r="K2516" s="21" t="str">
        <f>IFERROR(__xludf.DUMMYFUNCTION("""COMPUTED_VALUE"""),"10/10/1964")</f>
        <v>10/10/1964</v>
      </c>
      <c r="L2516" s="21" t="str">
        <f>IFERROR(__xludf.DUMMYFUNCTION("""COMPUTED_VALUE"""),"PEREMPUAN")</f>
        <v>PEREMPUAN</v>
      </c>
      <c r="M2516" s="35" t="str">
        <f>IFERROR(__xludf.DUMMYFUNCTION("""COMPUTED_VALUE"""),"JL. PUTRI CANDRAMIDI GG. EKA JAYA NO. 53")</f>
        <v>JL. PUTRI CANDRAMIDI GG. EKA JAYA NO. 53</v>
      </c>
      <c r="N2516" s="35" t="str">
        <f>IFERROR(__xludf.DUMMYFUNCTION("""COMPUTED_VALUE"""),"SUNGAI BANGKONG")</f>
        <v>SUNGAI BANGKONG</v>
      </c>
      <c r="O2516" s="35" t="str">
        <f>IFERROR(__xludf.DUMMYFUNCTION("""COMPUTED_VALUE"""),"PONTIANAK KOTA")</f>
        <v>PONTIANAK KOTA</v>
      </c>
      <c r="P2516" s="35" t="str">
        <f>IFERROR(__xludf.DUMMYFUNCTION("""COMPUTED_VALUE"""),"PONTIANAK")</f>
        <v>PONTIANAK</v>
      </c>
      <c r="Q2516" s="35" t="str">
        <f>IFERROR(__xludf.DUMMYFUNCTION("""COMPUTED_VALUE"""),"KALIMANTAN BARAT")</f>
        <v>KALIMANTAN BARAT</v>
      </c>
      <c r="R2516" s="21" t="str">
        <f>IFERROR(__xludf.DUMMYFUNCTION("""COMPUTED_VALUE"""),"ISLAM")</f>
        <v>ISLAM</v>
      </c>
      <c r="S2516" s="74" t="str">
        <f>IFERROR(__xludf.DUMMYFUNCTION("""COMPUTED_VALUE"""),"PENSIUNAN")</f>
        <v>PENSIUNAN</v>
      </c>
      <c r="T2516" s="35" t="str">
        <f>IFERROR(__xludf.DUMMYFUNCTION("""COMPUTED_VALUE"""),"MUNCUL KETIDAKNYAMANAN YG MENGGANGGU AKTIVITAS DI LEHER DAN LENGAN SETELAH JATUH")</f>
        <v>MUNCUL KETIDAKNYAMANAN YG MENGGANGGU AKTIVITAS DI LEHER DAN LENGAN SETELAH JATUH</v>
      </c>
      <c r="U2516" s="35" t="str">
        <f>IFERROR(__xludf.DUMMYFUNCTION("""COMPUTED_VALUE"""),"TIDAK ADA")</f>
        <v>TIDAK ADA</v>
      </c>
      <c r="V2516" s="37" t="str">
        <f>IFERROR(__xludf.DUMMYFUNCTION("""COMPUTED_VALUE"""),"082137128991")</f>
        <v>082137128991</v>
      </c>
      <c r="W2516" s="45"/>
    </row>
    <row r="2517">
      <c r="A2517" s="45"/>
      <c r="B2517" s="24" t="str">
        <f>IFERROR(__xludf.DUMMYFUNCTION("""COMPUTED_VALUE"""),"17/06/2025 19:56:39")</f>
        <v>17/06/2025 19:56:39</v>
      </c>
      <c r="C2517" s="35"/>
      <c r="D2517" s="10">
        <f>IFERROR(__xludf.DUMMYFUNCTION("""COMPUTED_VALUE"""),45825.0)</f>
        <v>45825</v>
      </c>
      <c r="E2517" s="35" t="str">
        <f>IFERROR(__xludf.DUMMYFUNCTION("""COMPUTED_VALUE"""),"06Jun")</f>
        <v>06Jun</v>
      </c>
      <c r="F2517" s="34" t="str">
        <f>IFERROR(__xludf.DUMMYFUNCTION("""COMPUTED_VALUE"""),"2025")</f>
        <v>2025</v>
      </c>
      <c r="G2517" s="35" t="str">
        <f>IFERROR(__xludf.DUMMYFUNCTION("""COMPUTED_VALUE"""),"TERRA SAMIDDHA")</f>
        <v>TERRA SAMIDDHA</v>
      </c>
      <c r="H2517" s="35" t="str">
        <f>IFERROR(__xludf.DUMMYFUNCTION("""COMPUTED_VALUE"""),"T9325067779")</f>
        <v>T9325067779</v>
      </c>
      <c r="I2517" s="35">
        <f>IFERROR(__xludf.DUMMYFUNCTION("""COMPUTED_VALUE"""),33.0)</f>
        <v>33</v>
      </c>
      <c r="J2517" s="35" t="str">
        <f>IFERROR(__xludf.DUMMYFUNCTION("""COMPUTED_VALUE"""),"25-34 tahun")</f>
        <v>25-34 tahun</v>
      </c>
      <c r="K2517" s="21" t="str">
        <f>IFERROR(__xludf.DUMMYFUNCTION("""COMPUTED_VALUE"""),"11/06/1993")</f>
        <v>11/06/1993</v>
      </c>
      <c r="L2517" s="21" t="str">
        <f>IFERROR(__xludf.DUMMYFUNCTION("""COMPUTED_VALUE"""),"LAKI-LAKI")</f>
        <v>LAKI-LAKI</v>
      </c>
      <c r="M2517" s="35" t="str">
        <f>IFERROR(__xludf.DUMMYFUNCTION("""COMPUTED_VALUE"""),"JL. DANAU SENTARUM NO. 33")</f>
        <v>JL. DANAU SENTARUM NO. 33</v>
      </c>
      <c r="N2517" s="35" t="str">
        <f>IFERROR(__xludf.DUMMYFUNCTION("""COMPUTED_VALUE"""),"-")</f>
        <v>-</v>
      </c>
      <c r="O2517" s="35" t="str">
        <f>IFERROR(__xludf.DUMMYFUNCTION("""COMPUTED_VALUE"""),"-")</f>
        <v>-</v>
      </c>
      <c r="P2517" s="35" t="str">
        <f>IFERROR(__xludf.DUMMYFUNCTION("""COMPUTED_VALUE"""),"PONTIANAK")</f>
        <v>PONTIANAK</v>
      </c>
      <c r="Q2517" s="35" t="str">
        <f>IFERROR(__xludf.DUMMYFUNCTION("""COMPUTED_VALUE"""),"KALIMANTAN BARAT")</f>
        <v>KALIMANTAN BARAT</v>
      </c>
      <c r="R2517" s="21" t="str">
        <f>IFERROR(__xludf.DUMMYFUNCTION("""COMPUTED_VALUE"""),"BUDDHA")</f>
        <v>BUDDHA</v>
      </c>
      <c r="S2517" s="74" t="str">
        <f>IFERROR(__xludf.DUMMYFUNCTION("""COMPUTED_VALUE"""),"WIRASWASTA")</f>
        <v>WIRASWASTA</v>
      </c>
      <c r="T2517" s="35" t="str">
        <f>IFERROR(__xludf.DUMMYFUNCTION("""COMPUTED_VALUE"""),"PINGGANG")</f>
        <v>PINGGANG</v>
      </c>
      <c r="U2517" s="35" t="str">
        <f>IFERROR(__xludf.DUMMYFUNCTION("""COMPUTED_VALUE"""),"-")</f>
        <v>-</v>
      </c>
      <c r="V2517" s="37" t="str">
        <f>IFERROR(__xludf.DUMMYFUNCTION("""COMPUTED_VALUE"""),"087883037779")</f>
        <v>087883037779</v>
      </c>
      <c r="W2517" s="45"/>
    </row>
    <row r="2518">
      <c r="A2518" s="45"/>
      <c r="B2518" s="24" t="str">
        <f>IFERROR(__xludf.DUMMYFUNCTION("""COMPUTED_VALUE"""),"17/06/2025 20:12:48")</f>
        <v>17/06/2025 20:12:48</v>
      </c>
      <c r="C2518" s="35"/>
      <c r="D2518" s="10">
        <f>IFERROR(__xludf.DUMMYFUNCTION("""COMPUTED_VALUE"""),45825.0)</f>
        <v>45825</v>
      </c>
      <c r="E2518" s="35" t="str">
        <f>IFERROR(__xludf.DUMMYFUNCTION("""COMPUTED_VALUE"""),"06Jun")</f>
        <v>06Jun</v>
      </c>
      <c r="F2518" s="34" t="str">
        <f>IFERROR(__xludf.DUMMYFUNCTION("""COMPUTED_VALUE"""),"2025")</f>
        <v>2025</v>
      </c>
      <c r="G2518" s="35" t="str">
        <f>IFERROR(__xludf.DUMMYFUNCTION("""COMPUTED_VALUE"""),"TOBIAS")</f>
        <v>TOBIAS</v>
      </c>
      <c r="H2518" s="35" t="str">
        <f>IFERROR(__xludf.DUMMYFUNCTION("""COMPUTED_VALUE"""),"T1725066978")</f>
        <v>T1725066978</v>
      </c>
      <c r="I2518" s="35">
        <f>IFERROR(__xludf.DUMMYFUNCTION("""COMPUTED_VALUE"""),9.0)</f>
        <v>9</v>
      </c>
      <c r="J2518" s="35" t="str">
        <f>IFERROR(__xludf.DUMMYFUNCTION("""COMPUTED_VALUE"""),"&lt; 18 tahun")</f>
        <v>&lt; 18 tahun</v>
      </c>
      <c r="K2518" s="21" t="str">
        <f>IFERROR(__xludf.DUMMYFUNCTION("""COMPUTED_VALUE"""),"24/02/2017")</f>
        <v>24/02/2017</v>
      </c>
      <c r="L2518" s="21" t="str">
        <f>IFERROR(__xludf.DUMMYFUNCTION("""COMPUTED_VALUE"""),"LAKI-LAKI")</f>
        <v>LAKI-LAKI</v>
      </c>
      <c r="M2518" s="35" t="str">
        <f>IFERROR(__xludf.DUMMYFUNCTION("""COMPUTED_VALUE"""),"JL PURNAMA")</f>
        <v>JL PURNAMA</v>
      </c>
      <c r="N2518" s="35" t="str">
        <f>IFERROR(__xludf.DUMMYFUNCTION("""COMPUTED_VALUE"""),"-")</f>
        <v>-</v>
      </c>
      <c r="O2518" s="35" t="str">
        <f>IFERROR(__xludf.DUMMYFUNCTION("""COMPUTED_VALUE"""),"-")</f>
        <v>-</v>
      </c>
      <c r="P2518" s="35" t="str">
        <f>IFERROR(__xludf.DUMMYFUNCTION("""COMPUTED_VALUE"""),"PONTIANAK")</f>
        <v>PONTIANAK</v>
      </c>
      <c r="Q2518" s="35" t="str">
        <f>IFERROR(__xludf.DUMMYFUNCTION("""COMPUTED_VALUE"""),"KALIMANTAN BARAT")</f>
        <v>KALIMANTAN BARAT</v>
      </c>
      <c r="R2518" s="21" t="str">
        <f>IFERROR(__xludf.DUMMYFUNCTION("""COMPUTED_VALUE"""),"KATOLIK")</f>
        <v>KATOLIK</v>
      </c>
      <c r="S2518" s="74" t="str">
        <f>IFERROR(__xludf.DUMMYFUNCTION("""COMPUTED_VALUE"""),"PELAJAR")</f>
        <v>PELAJAR</v>
      </c>
      <c r="T2518" s="35" t="str">
        <f>IFERROR(__xludf.DUMMYFUNCTION("""COMPUTED_VALUE"""),"KAKI KESELEO")</f>
        <v>KAKI KESELEO</v>
      </c>
      <c r="U2518" s="35" t="str">
        <f>IFERROR(__xludf.DUMMYFUNCTION("""COMPUTED_VALUE"""),"-")</f>
        <v>-</v>
      </c>
      <c r="V2518" s="37" t="str">
        <f>IFERROR(__xludf.DUMMYFUNCTION("""COMPUTED_VALUE"""),"0811576978")</f>
        <v>0811576978</v>
      </c>
      <c r="W2518" s="45"/>
    </row>
    <row r="2519">
      <c r="A2519" s="45"/>
      <c r="B2519" s="24" t="str">
        <f>IFERROR(__xludf.DUMMYFUNCTION("""COMPUTED_VALUE"""),"18/06/2025 11:40:19")</f>
        <v>18/06/2025 11:40:19</v>
      </c>
      <c r="C2519" s="35"/>
      <c r="D2519" s="10">
        <f>IFERROR(__xludf.DUMMYFUNCTION("""COMPUTED_VALUE"""),45826.0)</f>
        <v>45826</v>
      </c>
      <c r="E2519" s="35" t="str">
        <f>IFERROR(__xludf.DUMMYFUNCTION("""COMPUTED_VALUE"""),"06Jun")</f>
        <v>06Jun</v>
      </c>
      <c r="F2519" s="34" t="str">
        <f>IFERROR(__xludf.DUMMYFUNCTION("""COMPUTED_VALUE"""),"2025")</f>
        <v>2025</v>
      </c>
      <c r="G2519" s="35" t="str">
        <f>IFERROR(__xludf.DUMMYFUNCTION("""COMPUTED_VALUE"""),"LUQMANUL HAKIM HARIS")</f>
        <v>LUQMANUL HAKIM HARIS</v>
      </c>
      <c r="H2519" s="35" t="str">
        <f>IFERROR(__xludf.DUMMYFUNCTION("""COMPUTED_VALUE"""),"L9725069360")</f>
        <v>L9725069360</v>
      </c>
      <c r="I2519" s="35">
        <f>IFERROR(__xludf.DUMMYFUNCTION("""COMPUTED_VALUE"""),29.0)</f>
        <v>29</v>
      </c>
      <c r="J2519" s="35" t="str">
        <f>IFERROR(__xludf.DUMMYFUNCTION("""COMPUTED_VALUE"""),"25-34 tahun")</f>
        <v>25-34 tahun</v>
      </c>
      <c r="K2519" s="21" t="str">
        <f>IFERROR(__xludf.DUMMYFUNCTION("""COMPUTED_VALUE"""),"15/05/1997")</f>
        <v>15/05/1997</v>
      </c>
      <c r="L2519" s="21" t="str">
        <f>IFERROR(__xludf.DUMMYFUNCTION("""COMPUTED_VALUE"""),"LAKI-LAKI")</f>
        <v>LAKI-LAKI</v>
      </c>
      <c r="M2519" s="35" t="str">
        <f>IFERROR(__xludf.DUMMYFUNCTION("""COMPUTED_VALUE"""),"JL. YOS SUDARSO NO 10")</f>
        <v>JL. YOS SUDARSO NO 10</v>
      </c>
      <c r="N2519" s="35" t="str">
        <f>IFERROR(__xludf.DUMMYFUNCTION("""COMPUTED_VALUE"""),"MELAYU")</f>
        <v>MELAYU</v>
      </c>
      <c r="O2519" s="35" t="str">
        <f>IFERROR(__xludf.DUMMYFUNCTION("""COMPUTED_VALUE"""),"SINGKAWANG BARAT")</f>
        <v>SINGKAWANG BARAT</v>
      </c>
      <c r="P2519" s="35" t="str">
        <f>IFERROR(__xludf.DUMMYFUNCTION("""COMPUTED_VALUE"""),"SINGKAWANG")</f>
        <v>SINGKAWANG</v>
      </c>
      <c r="Q2519" s="35" t="str">
        <f>IFERROR(__xludf.DUMMYFUNCTION("""COMPUTED_VALUE"""),"KALIMANTAN BARAT")</f>
        <v>KALIMANTAN BARAT</v>
      </c>
      <c r="R2519" s="21" t="str">
        <f>IFERROR(__xludf.DUMMYFUNCTION("""COMPUTED_VALUE"""),"ISLAM")</f>
        <v>ISLAM</v>
      </c>
      <c r="S2519" s="74" t="str">
        <f>IFERROR(__xludf.DUMMYFUNCTION("""COMPUTED_VALUE"""),"GURU")</f>
        <v>GURU</v>
      </c>
      <c r="T2519" s="35" t="str">
        <f>IFERROR(__xludf.DUMMYFUNCTION("""COMPUTED_VALUE"""),"ENGKEL KAKI, TUMIT, PINGGANG BUNYI DAN GESER")</f>
        <v>ENGKEL KAKI, TUMIT, PINGGANG BUNYI DAN GESER</v>
      </c>
      <c r="U2519" s="35" t="str">
        <f>IFERROR(__xludf.DUMMYFUNCTION("""COMPUTED_VALUE"""),"BERMAIN FUTSAL")</f>
        <v>BERMAIN FUTSAL</v>
      </c>
      <c r="V2519" s="37" t="str">
        <f>IFERROR(__xludf.DUMMYFUNCTION("""COMPUTED_VALUE"""),"08990719360")</f>
        <v>08990719360</v>
      </c>
      <c r="W2519" s="45"/>
    </row>
    <row r="2520">
      <c r="A2520" s="45"/>
      <c r="B2520" s="24" t="str">
        <f>IFERROR(__xludf.DUMMYFUNCTION("""COMPUTED_VALUE"""),"16/06/2025 20:01:54")</f>
        <v>16/06/2025 20:01:54</v>
      </c>
      <c r="C2520" s="35"/>
      <c r="D2520" s="10">
        <f>IFERROR(__xludf.DUMMYFUNCTION("""COMPUTED_VALUE"""),45826.0)</f>
        <v>45826</v>
      </c>
      <c r="E2520" s="35" t="str">
        <f>IFERROR(__xludf.DUMMYFUNCTION("""COMPUTED_VALUE"""),"06Jun")</f>
        <v>06Jun</v>
      </c>
      <c r="F2520" s="34" t="str">
        <f>IFERROR(__xludf.DUMMYFUNCTION("""COMPUTED_VALUE"""),"2025")</f>
        <v>2025</v>
      </c>
      <c r="G2520" s="35" t="str">
        <f>IFERROR(__xludf.DUMMYFUNCTION("""COMPUTED_VALUE"""),"DIDI MUSBENO SIBRANI")</f>
        <v>DIDI MUSBENO SIBRANI</v>
      </c>
      <c r="H2520" s="35" t="str">
        <f>IFERROR(__xludf.DUMMYFUNCTION("""COMPUTED_VALUE"""),"D8225069447")</f>
        <v>D8225069447</v>
      </c>
      <c r="I2520" s="35">
        <f>IFERROR(__xludf.DUMMYFUNCTION("""COMPUTED_VALUE"""),44.0)</f>
        <v>44</v>
      </c>
      <c r="J2520" s="35" t="str">
        <f>IFERROR(__xludf.DUMMYFUNCTION("""COMPUTED_VALUE"""),"35-44 tahun")</f>
        <v>35-44 tahun</v>
      </c>
      <c r="K2520" s="21" t="str">
        <f>IFERROR(__xludf.DUMMYFUNCTION("""COMPUTED_VALUE"""),"22/03/1982")</f>
        <v>22/03/1982</v>
      </c>
      <c r="L2520" s="21" t="str">
        <f>IFERROR(__xludf.DUMMYFUNCTION("""COMPUTED_VALUE"""),"LAKI-LAKI")</f>
        <v>LAKI-LAKI</v>
      </c>
      <c r="M2520" s="35" t="str">
        <f>IFERROR(__xludf.DUMMYFUNCTION("""COMPUTED_VALUE"""),"JLN. BUDIUTOMO GG. RATUBADIS KEC. PONTIANAK UTARA")</f>
        <v>JLN. BUDIUTOMO GG. RATUBADIS KEC. PONTIANAK UTARA</v>
      </c>
      <c r="N2520" s="35" t="str">
        <f>IFERROR(__xludf.DUMMYFUNCTION("""COMPUTED_VALUE"""),"SIANTAN HULU")</f>
        <v>SIANTAN HULU</v>
      </c>
      <c r="O2520" s="35" t="str">
        <f>IFERROR(__xludf.DUMMYFUNCTION("""COMPUTED_VALUE"""),"PONTIANAK HULU")</f>
        <v>PONTIANAK HULU</v>
      </c>
      <c r="P2520" s="35" t="str">
        <f>IFERROR(__xludf.DUMMYFUNCTION("""COMPUTED_VALUE"""),"PONTIANAK")</f>
        <v>PONTIANAK</v>
      </c>
      <c r="Q2520" s="35" t="str">
        <f>IFERROR(__xludf.DUMMYFUNCTION("""COMPUTED_VALUE"""),"KALIMANTAN BARAT")</f>
        <v>KALIMANTAN BARAT</v>
      </c>
      <c r="R2520" s="21" t="str">
        <f>IFERROR(__xludf.DUMMYFUNCTION("""COMPUTED_VALUE"""),"PROTESTAN")</f>
        <v>PROTESTAN</v>
      </c>
      <c r="S2520" s="74" t="str">
        <f>IFERROR(__xludf.DUMMYFUNCTION("""COMPUTED_VALUE"""),"SWASTA")</f>
        <v>SWASTA</v>
      </c>
      <c r="T2520" s="35" t="str">
        <f>IFERROR(__xludf.DUMMYFUNCTION("""COMPUTED_VALUE"""),"BAGIAN LUTUT SAKIT")</f>
        <v>BAGIAN LUTUT SAKIT</v>
      </c>
      <c r="U2520" s="35" t="str">
        <f>IFERROR(__xludf.DUMMYFUNCTION("""COMPUTED_VALUE"""),"BEKERJA DIPERKEBUNAN SAWIT")</f>
        <v>BEKERJA DIPERKEBUNAN SAWIT</v>
      </c>
      <c r="V2520" s="37" t="str">
        <f>IFERROR(__xludf.DUMMYFUNCTION("""COMPUTED_VALUE"""),"08125789447")</f>
        <v>08125789447</v>
      </c>
      <c r="W2520" s="45"/>
    </row>
    <row r="2521">
      <c r="A2521" s="45"/>
      <c r="B2521" s="24" t="str">
        <f>IFERROR(__xludf.DUMMYFUNCTION("""COMPUTED_VALUE"""),"18/06/2025 9:47:04")</f>
        <v>18/06/2025 9:47:04</v>
      </c>
      <c r="C2521" s="35"/>
      <c r="D2521" s="10">
        <f>IFERROR(__xludf.DUMMYFUNCTION("""COMPUTED_VALUE"""),45826.0)</f>
        <v>45826</v>
      </c>
      <c r="E2521" s="35" t="str">
        <f>IFERROR(__xludf.DUMMYFUNCTION("""COMPUTED_VALUE"""),"06Jun")</f>
        <v>06Jun</v>
      </c>
      <c r="F2521" s="34" t="str">
        <f>IFERROR(__xludf.DUMMYFUNCTION("""COMPUTED_VALUE"""),"2025")</f>
        <v>2025</v>
      </c>
      <c r="G2521" s="35" t="str">
        <f>IFERROR(__xludf.DUMMYFUNCTION("""COMPUTED_VALUE"""),"GOUW SOK HUN")</f>
        <v>GOUW SOK HUN</v>
      </c>
      <c r="H2521" s="35" t="str">
        <f>IFERROR(__xludf.DUMMYFUNCTION("""COMPUTED_VALUE"""),"G7125068416")</f>
        <v>G7125068416</v>
      </c>
      <c r="I2521" s="35">
        <f>IFERROR(__xludf.DUMMYFUNCTION("""COMPUTED_VALUE"""),55.0)</f>
        <v>55</v>
      </c>
      <c r="J2521" s="35" t="str">
        <f>IFERROR(__xludf.DUMMYFUNCTION("""COMPUTED_VALUE"""),"&gt; 44 tahun")</f>
        <v>&gt; 44 tahun</v>
      </c>
      <c r="K2521" s="21" t="str">
        <f>IFERROR(__xludf.DUMMYFUNCTION("""COMPUTED_VALUE"""),"31/03/1971")</f>
        <v>31/03/1971</v>
      </c>
      <c r="L2521" s="21" t="str">
        <f>IFERROR(__xludf.DUMMYFUNCTION("""COMPUTED_VALUE"""),"PEREMPUAN")</f>
        <v>PEREMPUAN</v>
      </c>
      <c r="M2521" s="35" t="str">
        <f>IFERROR(__xludf.DUMMYFUNCTION("""COMPUTED_VALUE"""),"GG. KELANTAN IV")</f>
        <v>GG. KELANTAN IV</v>
      </c>
      <c r="N2521" s="35" t="str">
        <f>IFERROR(__xludf.DUMMYFUNCTION("""COMPUTED_VALUE"""),"BENUA MELAYU DARAT")</f>
        <v>BENUA MELAYU DARAT</v>
      </c>
      <c r="O2521" s="35" t="str">
        <f>IFERROR(__xludf.DUMMYFUNCTION("""COMPUTED_VALUE"""),"PONTIANAK SELATAN")</f>
        <v>PONTIANAK SELATAN</v>
      </c>
      <c r="P2521" s="35" t="str">
        <f>IFERROR(__xludf.DUMMYFUNCTION("""COMPUTED_VALUE"""),"PONTIANAK")</f>
        <v>PONTIANAK</v>
      </c>
      <c r="Q2521" s="35" t="str">
        <f>IFERROR(__xludf.DUMMYFUNCTION("""COMPUTED_VALUE"""),"KALIMANTAN BARAT")</f>
        <v>KALIMANTAN BARAT</v>
      </c>
      <c r="R2521" s="21" t="str">
        <f>IFERROR(__xludf.DUMMYFUNCTION("""COMPUTED_VALUE"""),"BUDDHA")</f>
        <v>BUDDHA</v>
      </c>
      <c r="S2521" s="74" t="str">
        <f>IFERROR(__xludf.DUMMYFUNCTION("""COMPUTED_VALUE"""),"IRT")</f>
        <v>IRT</v>
      </c>
      <c r="T2521" s="35" t="str">
        <f>IFERROR(__xludf.DUMMYFUNCTION("""COMPUTED_VALUE"""),"SAKIT PUNGGUNG KIRI")</f>
        <v>SAKIT PUNGGUNG KIRI</v>
      </c>
      <c r="U2521" s="35" t="str">
        <f>IFERROR(__xludf.DUMMYFUNCTION("""COMPUTED_VALUE"""),"TIDAK ADA")</f>
        <v>TIDAK ADA</v>
      </c>
      <c r="V2521" s="37" t="str">
        <f>IFERROR(__xludf.DUMMYFUNCTION("""COMPUTED_VALUE"""),"089659968416")</f>
        <v>089659968416</v>
      </c>
      <c r="W2521" s="45"/>
    </row>
    <row r="2522">
      <c r="A2522" s="45"/>
      <c r="B2522" s="24" t="str">
        <f>IFERROR(__xludf.DUMMYFUNCTION("""COMPUTED_VALUE"""),"18/06/2025 16:35:22")</f>
        <v>18/06/2025 16:35:22</v>
      </c>
      <c r="C2522" s="35"/>
      <c r="D2522" s="10">
        <f>IFERROR(__xludf.DUMMYFUNCTION("""COMPUTED_VALUE"""),45826.0)</f>
        <v>45826</v>
      </c>
      <c r="E2522" s="35" t="str">
        <f>IFERROR(__xludf.DUMMYFUNCTION("""COMPUTED_VALUE"""),"06Jun")</f>
        <v>06Jun</v>
      </c>
      <c r="F2522" s="34" t="str">
        <f>IFERROR(__xludf.DUMMYFUNCTION("""COMPUTED_VALUE"""),"2025")</f>
        <v>2025</v>
      </c>
      <c r="G2522" s="35" t="str">
        <f>IFERROR(__xludf.DUMMYFUNCTION("""COMPUTED_VALUE"""),"AMINA")</f>
        <v>AMINA</v>
      </c>
      <c r="H2522" s="35" t="str">
        <f>IFERROR(__xludf.DUMMYFUNCTION("""COMPUTED_VALUE"""),"A7025060822")</f>
        <v>A7025060822</v>
      </c>
      <c r="I2522" s="35">
        <f>IFERROR(__xludf.DUMMYFUNCTION("""COMPUTED_VALUE"""),55.0)</f>
        <v>55</v>
      </c>
      <c r="J2522" s="35" t="str">
        <f>IFERROR(__xludf.DUMMYFUNCTION("""COMPUTED_VALUE"""),"&gt; 44 tahun")</f>
        <v>&gt; 44 tahun</v>
      </c>
      <c r="K2522" s="21" t="str">
        <f>IFERROR(__xludf.DUMMYFUNCTION("""COMPUTED_VALUE"""),"08/10/1970")</f>
        <v>08/10/1970</v>
      </c>
      <c r="L2522" s="21" t="str">
        <f>IFERROR(__xludf.DUMMYFUNCTION("""COMPUTED_VALUE"""),"PEREMPUAN")</f>
        <v>PEREMPUAN</v>
      </c>
      <c r="M2522" s="35" t="str">
        <f>IFERROR(__xludf.DUMMYFUNCTION("""COMPUTED_VALUE"""),"JL.PURNAMA KP. PURNAMA AGUNG 3 NO S1")</f>
        <v>JL.PURNAMA KP. PURNAMA AGUNG 3 NO S1</v>
      </c>
      <c r="N2522" s="35" t="str">
        <f>IFERROR(__xludf.DUMMYFUNCTION("""COMPUTED_VALUE"""),"PARIT TOKAYA")</f>
        <v>PARIT TOKAYA</v>
      </c>
      <c r="O2522" s="35" t="str">
        <f>IFERROR(__xludf.DUMMYFUNCTION("""COMPUTED_VALUE"""),"PONTIANAK SELATAN")</f>
        <v>PONTIANAK SELATAN</v>
      </c>
      <c r="P2522" s="35" t="str">
        <f>IFERROR(__xludf.DUMMYFUNCTION("""COMPUTED_VALUE"""),"PONTIANAK")</f>
        <v>PONTIANAK</v>
      </c>
      <c r="Q2522" s="35" t="str">
        <f>IFERROR(__xludf.DUMMYFUNCTION("""COMPUTED_VALUE"""),"KALIMANTAN BARAT")</f>
        <v>KALIMANTAN BARAT</v>
      </c>
      <c r="R2522" s="21" t="str">
        <f>IFERROR(__xludf.DUMMYFUNCTION("""COMPUTED_VALUE"""),"BUDDHA")</f>
        <v>BUDDHA</v>
      </c>
      <c r="S2522" s="74" t="str">
        <f>IFERROR(__xludf.DUMMYFUNCTION("""COMPUTED_VALUE"""),"IBU RUMAH TANGGA")</f>
        <v>IBU RUMAH TANGGA</v>
      </c>
      <c r="T2522" s="35" t="str">
        <f>IFERROR(__xludf.DUMMYFUNCTION("""COMPUTED_VALUE"""),"TEGANG SYARAF")</f>
        <v>TEGANG SYARAF</v>
      </c>
      <c r="U2522" s="35" t="str">
        <f>IFERROR(__xludf.DUMMYFUNCTION("""COMPUTED_VALUE"""),"SERING DI BAWAH AC DAN MENGGENDONG BAYI")</f>
        <v>SERING DI BAWAH AC DAN MENGGENDONG BAYI</v>
      </c>
      <c r="V2522" s="37" t="str">
        <f>IFERROR(__xludf.DUMMYFUNCTION("""COMPUTED_VALUE"""),"081254080822")</f>
        <v>081254080822</v>
      </c>
      <c r="W2522" s="45"/>
    </row>
    <row r="2523">
      <c r="A2523" s="45"/>
      <c r="B2523" s="24" t="str">
        <f>IFERROR(__xludf.DUMMYFUNCTION("""COMPUTED_VALUE"""),"18/06/2025 16:58:48")</f>
        <v>18/06/2025 16:58:48</v>
      </c>
      <c r="C2523" s="35"/>
      <c r="D2523" s="10">
        <f>IFERROR(__xludf.DUMMYFUNCTION("""COMPUTED_VALUE"""),45826.0)</f>
        <v>45826</v>
      </c>
      <c r="E2523" s="35" t="str">
        <f>IFERROR(__xludf.DUMMYFUNCTION("""COMPUTED_VALUE"""),"06Jun")</f>
        <v>06Jun</v>
      </c>
      <c r="F2523" s="34" t="str">
        <f>IFERROR(__xludf.DUMMYFUNCTION("""COMPUTED_VALUE"""),"2025")</f>
        <v>2025</v>
      </c>
      <c r="G2523" s="35" t="str">
        <f>IFERROR(__xludf.DUMMYFUNCTION("""COMPUTED_VALUE"""),"NATALIA ATA")</f>
        <v>NATALIA ATA</v>
      </c>
      <c r="H2523" s="35" t="str">
        <f>IFERROR(__xludf.DUMMYFUNCTION("""COMPUTED_VALUE"""),"N8225068799")</f>
        <v>N8225068799</v>
      </c>
      <c r="I2523" s="35">
        <f>IFERROR(__xludf.DUMMYFUNCTION("""COMPUTED_VALUE"""),43.0)</f>
        <v>43</v>
      </c>
      <c r="J2523" s="35" t="str">
        <f>IFERROR(__xludf.DUMMYFUNCTION("""COMPUTED_VALUE"""),"35-44 tahun")</f>
        <v>35-44 tahun</v>
      </c>
      <c r="K2523" s="21" t="str">
        <f>IFERROR(__xludf.DUMMYFUNCTION("""COMPUTED_VALUE"""),"20/12/1982")</f>
        <v>20/12/1982</v>
      </c>
      <c r="L2523" s="21" t="str">
        <f>IFERROR(__xludf.DUMMYFUNCTION("""COMPUTED_VALUE"""),"PEREMPUAN")</f>
        <v>PEREMPUAN</v>
      </c>
      <c r="M2523" s="35" t="str">
        <f>IFERROR(__xludf.DUMMYFUNCTION("""COMPUTED_VALUE"""),"JL KELAM NO 4B")</f>
        <v>JL KELAM NO 4B</v>
      </c>
      <c r="N2523" s="35" t="str">
        <f>IFERROR(__xludf.DUMMYFUNCTION("""COMPUTED_VALUE"""),"TANJUNG PURI")</f>
        <v>TANJUNG PURI</v>
      </c>
      <c r="O2523" s="35" t="str">
        <f>IFERROR(__xludf.DUMMYFUNCTION("""COMPUTED_VALUE"""),"SINTANG")</f>
        <v>SINTANG</v>
      </c>
      <c r="P2523" s="35" t="str">
        <f>IFERROR(__xludf.DUMMYFUNCTION("""COMPUTED_VALUE"""),"SINTANG")</f>
        <v>SINTANG</v>
      </c>
      <c r="Q2523" s="35" t="str">
        <f>IFERROR(__xludf.DUMMYFUNCTION("""COMPUTED_VALUE"""),"KALBAR")</f>
        <v>KALBAR</v>
      </c>
      <c r="R2523" s="21" t="str">
        <f>IFERROR(__xludf.DUMMYFUNCTION("""COMPUTED_VALUE"""),"KATOLIK")</f>
        <v>KATOLIK</v>
      </c>
      <c r="S2523" s="74" t="str">
        <f>IFERROR(__xludf.DUMMYFUNCTION("""COMPUTED_VALUE"""),"WIRASWASTA")</f>
        <v>WIRASWASTA</v>
      </c>
      <c r="T2523" s="35" t="str">
        <f>IFERROR(__xludf.DUMMYFUNCTION("""COMPUTED_VALUE"""),"SYARAF KEJEPIT")</f>
        <v>SYARAF KEJEPIT</v>
      </c>
      <c r="U2523" s="35" t="str">
        <f>IFERROR(__xludf.DUMMYFUNCTION("""COMPUTED_VALUE"""),"OLAHRAGA")</f>
        <v>OLAHRAGA</v>
      </c>
      <c r="V2523" s="37" t="str">
        <f>IFERROR(__xludf.DUMMYFUNCTION("""COMPUTED_VALUE"""),"085163658799")</f>
        <v>085163658799</v>
      </c>
      <c r="W2523" s="45"/>
    </row>
    <row r="2524">
      <c r="A2524" s="45"/>
      <c r="B2524" s="24" t="str">
        <f>IFERROR(__xludf.DUMMYFUNCTION("""COMPUTED_VALUE"""),"18/06/2025 20:16:25")</f>
        <v>18/06/2025 20:16:25</v>
      </c>
      <c r="C2524" s="35"/>
      <c r="D2524" s="10">
        <f>IFERROR(__xludf.DUMMYFUNCTION("""COMPUTED_VALUE"""),45826.0)</f>
        <v>45826</v>
      </c>
      <c r="E2524" s="35" t="str">
        <f>IFERROR(__xludf.DUMMYFUNCTION("""COMPUTED_VALUE"""),"06Jun")</f>
        <v>06Jun</v>
      </c>
      <c r="F2524" s="34" t="str">
        <f>IFERROR(__xludf.DUMMYFUNCTION("""COMPUTED_VALUE"""),"2025")</f>
        <v>2025</v>
      </c>
      <c r="G2524" s="35" t="str">
        <f>IFERROR(__xludf.DUMMYFUNCTION("""COMPUTED_VALUE"""),"ARMANSYAH")</f>
        <v>ARMANSYAH</v>
      </c>
      <c r="H2524" s="35" t="str">
        <f>IFERROR(__xludf.DUMMYFUNCTION("""COMPUTED_VALUE"""),"A6625060750")</f>
        <v>A6625060750</v>
      </c>
      <c r="I2524" s="35">
        <f>IFERROR(__xludf.DUMMYFUNCTION("""COMPUTED_VALUE"""),59.0)</f>
        <v>59</v>
      </c>
      <c r="J2524" s="35" t="str">
        <f>IFERROR(__xludf.DUMMYFUNCTION("""COMPUTED_VALUE"""),"&gt; 44 tahun")</f>
        <v>&gt; 44 tahun</v>
      </c>
      <c r="K2524" s="21" t="str">
        <f>IFERROR(__xludf.DUMMYFUNCTION("""COMPUTED_VALUE"""),"09/09/1966")</f>
        <v>09/09/1966</v>
      </c>
      <c r="L2524" s="21" t="str">
        <f>IFERROR(__xludf.DUMMYFUNCTION("""COMPUTED_VALUE"""),"LAKI-LAKI")</f>
        <v>LAKI-LAKI</v>
      </c>
      <c r="M2524" s="35" t="str">
        <f>IFERROR(__xludf.DUMMYFUNCTION("""COMPUTED_VALUE"""),"JL H RAIS ARAHMAN GG GUNUNG PANDAN NO 6A")</f>
        <v>JL H RAIS ARAHMAN GG GUNUNG PANDAN NO 6A</v>
      </c>
      <c r="N2524" s="35" t="str">
        <f>IFERROR(__xludf.DUMMYFUNCTION("""COMPUTED_VALUE"""),"SUNGAI JAWI DALAM")</f>
        <v>SUNGAI JAWI DALAM</v>
      </c>
      <c r="O2524" s="35" t="str">
        <f>IFERROR(__xludf.DUMMYFUNCTION("""COMPUTED_VALUE"""),"PONTIANAK BARAT")</f>
        <v>PONTIANAK BARAT</v>
      </c>
      <c r="P2524" s="35" t="str">
        <f>IFERROR(__xludf.DUMMYFUNCTION("""COMPUTED_VALUE"""),"PONTIANAK")</f>
        <v>PONTIANAK</v>
      </c>
      <c r="Q2524" s="35" t="str">
        <f>IFERROR(__xludf.DUMMYFUNCTION("""COMPUTED_VALUE"""),"KALIMANTAN BARAT")</f>
        <v>KALIMANTAN BARAT</v>
      </c>
      <c r="R2524" s="21" t="str">
        <f>IFERROR(__xludf.DUMMYFUNCTION("""COMPUTED_VALUE"""),"ISLAM")</f>
        <v>ISLAM</v>
      </c>
      <c r="S2524" s="74" t="str">
        <f>IFERROR(__xludf.DUMMYFUNCTION("""COMPUTED_VALUE"""),"PENSIUNAN")</f>
        <v>PENSIUNAN</v>
      </c>
      <c r="T2524" s="35" t="str">
        <f>IFERROR(__xludf.DUMMYFUNCTION("""COMPUTED_VALUE"""),"PASIEN RIWAYAT KLL LAKA TUNGGAL, CEDERA DI AREA SCAPULA (RO TERLAMPIR)")</f>
        <v>PASIEN RIWAYAT KLL LAKA TUNGGAL, CEDERA DI AREA SCAPULA (RO TERLAMPIR)</v>
      </c>
      <c r="U2524" s="35" t="str">
        <f>IFERROR(__xludf.DUMMYFUNCTION("""COMPUTED_VALUE"""),"BERKEBUN")</f>
        <v>BERKEBUN</v>
      </c>
      <c r="V2524" s="37" t="str">
        <f>IFERROR(__xludf.DUMMYFUNCTION("""COMPUTED_VALUE"""),"085252600750")</f>
        <v>085252600750</v>
      </c>
      <c r="W2524" s="45"/>
    </row>
    <row r="2525">
      <c r="A2525" s="45"/>
      <c r="B2525" s="24" t="str">
        <f>IFERROR(__xludf.DUMMYFUNCTION("""COMPUTED_VALUE"""),"19/06/2025 13:34:16")</f>
        <v>19/06/2025 13:34:16</v>
      </c>
      <c r="C2525" s="35"/>
      <c r="D2525" s="10">
        <f>IFERROR(__xludf.DUMMYFUNCTION("""COMPUTED_VALUE"""),45827.0)</f>
        <v>45827</v>
      </c>
      <c r="E2525" s="35" t="str">
        <f>IFERROR(__xludf.DUMMYFUNCTION("""COMPUTED_VALUE"""),"06Jun")</f>
        <v>06Jun</v>
      </c>
      <c r="F2525" s="34" t="str">
        <f>IFERROR(__xludf.DUMMYFUNCTION("""COMPUTED_VALUE"""),"2025")</f>
        <v>2025</v>
      </c>
      <c r="G2525" s="35" t="str">
        <f>IFERROR(__xludf.DUMMYFUNCTION("""COMPUTED_VALUE"""),"MAULANA MUHAMMAD THARIQ")</f>
        <v>MAULANA MUHAMMAD THARIQ</v>
      </c>
      <c r="H2525" s="35" t="str">
        <f>IFERROR(__xludf.DUMMYFUNCTION("""COMPUTED_VALUE"""),"M0125062135")</f>
        <v>M0125062135</v>
      </c>
      <c r="I2525" s="35">
        <f>IFERROR(__xludf.DUMMYFUNCTION("""COMPUTED_VALUE"""),24.0)</f>
        <v>24</v>
      </c>
      <c r="J2525" s="35" t="str">
        <f>IFERROR(__xludf.DUMMYFUNCTION("""COMPUTED_VALUE"""),"18-24 tahun")</f>
        <v>18-24 tahun</v>
      </c>
      <c r="K2525" s="21" t="str">
        <f>IFERROR(__xludf.DUMMYFUNCTION("""COMPUTED_VALUE"""),"11/07/2001")</f>
        <v>11/07/2001</v>
      </c>
      <c r="L2525" s="21" t="str">
        <f>IFERROR(__xludf.DUMMYFUNCTION("""COMPUTED_VALUE"""),"LAKI-LAKI")</f>
        <v>LAKI-LAKI</v>
      </c>
      <c r="M2525" s="35" t="str">
        <f>IFERROR(__xludf.DUMMYFUNCTION("""COMPUTED_VALUE"""),"JL. AMPERA GG. CAHAYA")</f>
        <v>JL. AMPERA GG. CAHAYA</v>
      </c>
      <c r="N2525" s="35" t="str">
        <f>IFERROR(__xludf.DUMMYFUNCTION("""COMPUTED_VALUE"""),"SUNGAI JAWI")</f>
        <v>SUNGAI JAWI</v>
      </c>
      <c r="O2525" s="35" t="str">
        <f>IFERROR(__xludf.DUMMYFUNCTION("""COMPUTED_VALUE"""),"PONTIANAK KOTA")</f>
        <v>PONTIANAK KOTA</v>
      </c>
      <c r="P2525" s="35" t="str">
        <f>IFERROR(__xludf.DUMMYFUNCTION("""COMPUTED_VALUE"""),"KOTA PONTIANAK")</f>
        <v>KOTA PONTIANAK</v>
      </c>
      <c r="Q2525" s="35" t="str">
        <f>IFERROR(__xludf.DUMMYFUNCTION("""COMPUTED_VALUE"""),"KALIMANTAN BARAT")</f>
        <v>KALIMANTAN BARAT</v>
      </c>
      <c r="R2525" s="21" t="str">
        <f>IFERROR(__xludf.DUMMYFUNCTION("""COMPUTED_VALUE"""),"ISLAM")</f>
        <v>ISLAM</v>
      </c>
      <c r="S2525" s="74" t="str">
        <f>IFERROR(__xludf.DUMMYFUNCTION("""COMPUTED_VALUE"""),"BELUM BEKERJA")</f>
        <v>BELUM BEKERJA</v>
      </c>
      <c r="T2525" s="35" t="str">
        <f>IFERROR(__xludf.DUMMYFUNCTION("""COMPUTED_VALUE"""),"NYERI PINGGANG DAN TULANG BELAKANG BAGIAN BAWAH")</f>
        <v>NYERI PINGGANG DAN TULANG BELAKANG BAGIAN BAWAH</v>
      </c>
      <c r="U2525" s="35" t="str">
        <f>IFERROR(__xludf.DUMMYFUNCTION("""COMPUTED_VALUE"""),"GYM, DUDUK LAMA")</f>
        <v>GYM, DUDUK LAMA</v>
      </c>
      <c r="V2525" s="37" t="str">
        <f>IFERROR(__xludf.DUMMYFUNCTION("""COMPUTED_VALUE"""),"089693802135")</f>
        <v>089693802135</v>
      </c>
      <c r="W2525" s="45"/>
    </row>
    <row r="2526">
      <c r="A2526" s="45"/>
      <c r="B2526" s="24" t="str">
        <f>IFERROR(__xludf.DUMMYFUNCTION("""COMPUTED_VALUE"""),"19/06/2025 15:56:17")</f>
        <v>19/06/2025 15:56:17</v>
      </c>
      <c r="C2526" s="35"/>
      <c r="D2526" s="10">
        <f>IFERROR(__xludf.DUMMYFUNCTION("""COMPUTED_VALUE"""),45827.0)</f>
        <v>45827</v>
      </c>
      <c r="E2526" s="35" t="str">
        <f>IFERROR(__xludf.DUMMYFUNCTION("""COMPUTED_VALUE"""),"06Jun")</f>
        <v>06Jun</v>
      </c>
      <c r="F2526" s="34" t="str">
        <f>IFERROR(__xludf.DUMMYFUNCTION("""COMPUTED_VALUE"""),"2025")</f>
        <v>2025</v>
      </c>
      <c r="G2526" s="35" t="str">
        <f>IFERROR(__xludf.DUMMYFUNCTION("""COMPUTED_VALUE"""),"MUCHTARUDIN")</f>
        <v>MUCHTARUDIN</v>
      </c>
      <c r="H2526" s="35" t="str">
        <f>IFERROR(__xludf.DUMMYFUNCTION("""COMPUTED_VALUE"""),"M8625063338")</f>
        <v>M8625063338</v>
      </c>
      <c r="I2526" s="35">
        <f>IFERROR(__xludf.DUMMYFUNCTION("""COMPUTED_VALUE"""),40.0)</f>
        <v>40</v>
      </c>
      <c r="J2526" s="35" t="str">
        <f>IFERROR(__xludf.DUMMYFUNCTION("""COMPUTED_VALUE"""),"35-44 tahun")</f>
        <v>35-44 tahun</v>
      </c>
      <c r="K2526" s="21" t="str">
        <f>IFERROR(__xludf.DUMMYFUNCTION("""COMPUTED_VALUE"""),"13/01/1986")</f>
        <v>13/01/1986</v>
      </c>
      <c r="L2526" s="21" t="str">
        <f>IFERROR(__xludf.DUMMYFUNCTION("""COMPUTED_VALUE"""),"LAKI-LAKI")</f>
        <v>LAKI-LAKI</v>
      </c>
      <c r="M2526" s="35" t="str">
        <f>IFERROR(__xludf.DUMMYFUNCTION("""COMPUTED_VALUE"""),"JALAN FADHILAH")</f>
        <v>JALAN FADHILAH</v>
      </c>
      <c r="N2526" s="35" t="str">
        <f>IFERROR(__xludf.DUMMYFUNCTION("""COMPUTED_VALUE"""),"KEDAMIN HILIR")</f>
        <v>KEDAMIN HILIR</v>
      </c>
      <c r="O2526" s="35" t="str">
        <f>IFERROR(__xludf.DUMMYFUNCTION("""COMPUTED_VALUE"""),"PUTUSSIBAU SELATAN")</f>
        <v>PUTUSSIBAU SELATAN</v>
      </c>
      <c r="P2526" s="35" t="str">
        <f>IFERROR(__xludf.DUMMYFUNCTION("""COMPUTED_VALUE"""),"KAPUAS HULU")</f>
        <v>KAPUAS HULU</v>
      </c>
      <c r="Q2526" s="35" t="str">
        <f>IFERROR(__xludf.DUMMYFUNCTION("""COMPUTED_VALUE"""),"KALIMANTAN BARAT")</f>
        <v>KALIMANTAN BARAT</v>
      </c>
      <c r="R2526" s="21" t="str">
        <f>IFERROR(__xludf.DUMMYFUNCTION("""COMPUTED_VALUE"""),"ISLAM")</f>
        <v>ISLAM</v>
      </c>
      <c r="S2526" s="74" t="str">
        <f>IFERROR(__xludf.DUMMYFUNCTION("""COMPUTED_VALUE"""),"SWASTA")</f>
        <v>SWASTA</v>
      </c>
      <c r="T2526" s="35" t="str">
        <f>IFERROR(__xludf.DUMMYFUNCTION("""COMPUTED_VALUE"""),"NYERI PADA LUTUT KIRI")</f>
        <v>NYERI PADA LUTUT KIRI</v>
      </c>
      <c r="U2526" s="35" t="str">
        <f>IFERROR(__xludf.DUMMYFUNCTION("""COMPUTED_VALUE"""),"LARI")</f>
        <v>LARI</v>
      </c>
      <c r="V2526" s="37" t="str">
        <f>IFERROR(__xludf.DUMMYFUNCTION("""COMPUTED_VALUE"""),"082255233338")</f>
        <v>082255233338</v>
      </c>
      <c r="W2526" s="45"/>
    </row>
    <row r="2527">
      <c r="A2527" s="45"/>
      <c r="B2527" s="24" t="str">
        <f>IFERROR(__xludf.DUMMYFUNCTION("""COMPUTED_VALUE"""),"19/06/2025 19:34:28")</f>
        <v>19/06/2025 19:34:28</v>
      </c>
      <c r="C2527" s="35"/>
      <c r="D2527" s="10">
        <f>IFERROR(__xludf.DUMMYFUNCTION("""COMPUTED_VALUE"""),45827.0)</f>
        <v>45827</v>
      </c>
      <c r="E2527" s="35" t="str">
        <f>IFERROR(__xludf.DUMMYFUNCTION("""COMPUTED_VALUE"""),"06Jun")</f>
        <v>06Jun</v>
      </c>
      <c r="F2527" s="34" t="str">
        <f>IFERROR(__xludf.DUMMYFUNCTION("""COMPUTED_VALUE"""),"2025")</f>
        <v>2025</v>
      </c>
      <c r="G2527" s="35" t="str">
        <f>IFERROR(__xludf.DUMMYFUNCTION("""COMPUTED_VALUE"""),"MIYO")</f>
        <v>MIYO</v>
      </c>
      <c r="H2527" s="35" t="str">
        <f>IFERROR(__xludf.DUMMYFUNCTION("""COMPUTED_VALUE"""),"M5825061742")</f>
        <v>M5825061742</v>
      </c>
      <c r="I2527" s="35">
        <f>IFERROR(__xludf.DUMMYFUNCTION("""COMPUTED_VALUE"""),68.0)</f>
        <v>68</v>
      </c>
      <c r="J2527" s="35" t="str">
        <f>IFERROR(__xludf.DUMMYFUNCTION("""COMPUTED_VALUE"""),"&gt; 44 tahun")</f>
        <v>&gt; 44 tahun</v>
      </c>
      <c r="K2527" s="21" t="str">
        <f>IFERROR(__xludf.DUMMYFUNCTION("""COMPUTED_VALUE"""),"12/02/1958")</f>
        <v>12/02/1958</v>
      </c>
      <c r="L2527" s="21" t="str">
        <f>IFERROR(__xludf.DUMMYFUNCTION("""COMPUTED_VALUE"""),"LAKI-LAKI")</f>
        <v>LAKI-LAKI</v>
      </c>
      <c r="M2527" s="35" t="str">
        <f>IFERROR(__xludf.DUMMYFUNCTION("""COMPUTED_VALUE"""),"KOMP. SOJA BUDI UTAMA BHAKTI BLOK AA1")</f>
        <v>KOMP. SOJA BUDI UTAMA BHAKTI BLOK AA1</v>
      </c>
      <c r="N2527" s="35" t="str">
        <f>IFERROR(__xludf.DUMMYFUNCTION("""COMPUTED_VALUE"""),"PAL SEMBILAN")</f>
        <v>PAL SEMBILAN</v>
      </c>
      <c r="O2527" s="35" t="str">
        <f>IFERROR(__xludf.DUMMYFUNCTION("""COMPUTED_VALUE"""),"SUNGAI KAKAP")</f>
        <v>SUNGAI KAKAP</v>
      </c>
      <c r="P2527" s="35" t="str">
        <f>IFERROR(__xludf.DUMMYFUNCTION("""COMPUTED_VALUE"""),"KUBU RAYA")</f>
        <v>KUBU RAYA</v>
      </c>
      <c r="Q2527" s="35" t="str">
        <f>IFERROR(__xludf.DUMMYFUNCTION("""COMPUTED_VALUE"""),"KALIMANTAN BARAT")</f>
        <v>KALIMANTAN BARAT</v>
      </c>
      <c r="R2527" s="21" t="str">
        <f>IFERROR(__xludf.DUMMYFUNCTION("""COMPUTED_VALUE"""),"ISLAM")</f>
        <v>ISLAM</v>
      </c>
      <c r="S2527" s="74" t="str">
        <f>IFERROR(__xludf.DUMMYFUNCTION("""COMPUTED_VALUE"""),"PENSIUNAN")</f>
        <v>PENSIUNAN</v>
      </c>
      <c r="T2527" s="35" t="str">
        <f>IFERROR(__xludf.DUMMYFUNCTION("""COMPUTED_VALUE"""),"TELAPAK KAKI SEBAL DAN TERASA BERAT JIKA BERJALAN")</f>
        <v>TELAPAK KAKI SEBAL DAN TERASA BERAT JIKA BERJALAN</v>
      </c>
      <c r="U2527" s="35" t="str">
        <f>IFERROR(__xludf.DUMMYFUNCTION("""COMPUTED_VALUE"""),"TIDAK ADA")</f>
        <v>TIDAK ADA</v>
      </c>
      <c r="V2527" s="37" t="str">
        <f>IFERROR(__xludf.DUMMYFUNCTION("""COMPUTED_VALUE"""),"085787111742")</f>
        <v>085787111742</v>
      </c>
      <c r="W2527" s="45"/>
    </row>
    <row r="2528">
      <c r="A2528" s="45"/>
      <c r="B2528" s="24" t="str">
        <f>IFERROR(__xludf.DUMMYFUNCTION("""COMPUTED_VALUE"""),"20/06/2025 14:42:43")</f>
        <v>20/06/2025 14:42:43</v>
      </c>
      <c r="C2528" s="35"/>
      <c r="D2528" s="10">
        <f>IFERROR(__xludf.DUMMYFUNCTION("""COMPUTED_VALUE"""),45828.0)</f>
        <v>45828</v>
      </c>
      <c r="E2528" s="35" t="str">
        <f>IFERROR(__xludf.DUMMYFUNCTION("""COMPUTED_VALUE"""),"06Jun")</f>
        <v>06Jun</v>
      </c>
      <c r="F2528" s="34" t="str">
        <f>IFERROR(__xludf.DUMMYFUNCTION("""COMPUTED_VALUE"""),"2025")</f>
        <v>2025</v>
      </c>
      <c r="G2528" s="35" t="str">
        <f>IFERROR(__xludf.DUMMYFUNCTION("""COMPUTED_VALUE"""),"PARNINGOTAN ALOGO")</f>
        <v>PARNINGOTAN ALOGO</v>
      </c>
      <c r="H2528" s="35" t="str">
        <f>IFERROR(__xludf.DUMMYFUNCTION("""COMPUTED_VALUE"""),"P9925068917")</f>
        <v>P9925068917</v>
      </c>
      <c r="I2528" s="35">
        <f>IFERROR(__xludf.DUMMYFUNCTION("""COMPUTED_VALUE"""),27.0)</f>
        <v>27</v>
      </c>
      <c r="J2528" s="35" t="str">
        <f>IFERROR(__xludf.DUMMYFUNCTION("""COMPUTED_VALUE"""),"25-34 tahun")</f>
        <v>25-34 tahun</v>
      </c>
      <c r="K2528" s="21" t="str">
        <f>IFERROR(__xludf.DUMMYFUNCTION("""COMPUTED_VALUE"""),"17/04/1999")</f>
        <v>17/04/1999</v>
      </c>
      <c r="L2528" s="21" t="str">
        <f>IFERROR(__xludf.DUMMYFUNCTION("""COMPUTED_VALUE"""),"LAKI-LAKI")</f>
        <v>LAKI-LAKI</v>
      </c>
      <c r="M2528" s="35" t="str">
        <f>IFERROR(__xludf.DUMMYFUNCTION("""COMPUTED_VALUE"""),"JALAN LINTAS SELATAN DESA KEDAMIN DARAT KEC. PUTUSSIBAU SELATAN KAB. KAPUAS HULU")</f>
        <v>JALAN LINTAS SELATAN DESA KEDAMIN DARAT KEC. PUTUSSIBAU SELATAN KAB. KAPUAS HULU</v>
      </c>
      <c r="N2528" s="35" t="str">
        <f>IFERROR(__xludf.DUMMYFUNCTION("""COMPUTED_VALUE"""),"DESA KEDAMIN DARAT")</f>
        <v>DESA KEDAMIN DARAT</v>
      </c>
      <c r="O2528" s="35" t="str">
        <f>IFERROR(__xludf.DUMMYFUNCTION("""COMPUTED_VALUE"""),"PUTUSSIBAU SELATAN")</f>
        <v>PUTUSSIBAU SELATAN</v>
      </c>
      <c r="P2528" s="35" t="str">
        <f>IFERROR(__xludf.DUMMYFUNCTION("""COMPUTED_VALUE"""),"KAPUAS HULU")</f>
        <v>KAPUAS HULU</v>
      </c>
      <c r="Q2528" s="35" t="str">
        <f>IFERROR(__xludf.DUMMYFUNCTION("""COMPUTED_VALUE"""),"KALIMANTAN BARAT")</f>
        <v>KALIMANTAN BARAT</v>
      </c>
      <c r="R2528" s="21" t="str">
        <f>IFERROR(__xludf.DUMMYFUNCTION("""COMPUTED_VALUE"""),"ISLAM")</f>
        <v>ISLAM</v>
      </c>
      <c r="S2528" s="74" t="str">
        <f>IFERROR(__xludf.DUMMYFUNCTION("""COMPUTED_VALUE"""),"POLRI")</f>
        <v>POLRI</v>
      </c>
      <c r="T2528" s="35" t="str">
        <f>IFERROR(__xludf.DUMMYFUNCTION("""COMPUTED_VALUE"""),"CEDERA LUTUT")</f>
        <v>CEDERA LUTUT</v>
      </c>
      <c r="U2528" s="35" t="str">
        <f>IFERROR(__xludf.DUMMYFUNCTION("""COMPUTED_VALUE"""),"ATLIT")</f>
        <v>ATLIT</v>
      </c>
      <c r="V2528" s="37" t="str">
        <f>IFERROR(__xludf.DUMMYFUNCTION("""COMPUTED_VALUE"""),"081257078917")</f>
        <v>081257078917</v>
      </c>
      <c r="W2528" s="45"/>
    </row>
    <row r="2529">
      <c r="A2529" s="45"/>
      <c r="B2529" s="24" t="str">
        <f>IFERROR(__xludf.DUMMYFUNCTION("""COMPUTED_VALUE"""),"20/06/2025 20:40:43")</f>
        <v>20/06/2025 20:40:43</v>
      </c>
      <c r="C2529" s="35"/>
      <c r="D2529" s="10">
        <f>IFERROR(__xludf.DUMMYFUNCTION("""COMPUTED_VALUE"""),45828.0)</f>
        <v>45828</v>
      </c>
      <c r="E2529" s="35" t="str">
        <f>IFERROR(__xludf.DUMMYFUNCTION("""COMPUTED_VALUE"""),"06Jun")</f>
        <v>06Jun</v>
      </c>
      <c r="F2529" s="34" t="str">
        <f>IFERROR(__xludf.DUMMYFUNCTION("""COMPUTED_VALUE"""),"2025")</f>
        <v>2025</v>
      </c>
      <c r="G2529" s="35" t="str">
        <f>IFERROR(__xludf.DUMMYFUNCTION("""COMPUTED_VALUE"""),"GRACIA CALLISTA VEGA")</f>
        <v>GRACIA CALLISTA VEGA</v>
      </c>
      <c r="H2529" s="35" t="str">
        <f>IFERROR(__xludf.DUMMYFUNCTION("""COMPUTED_VALUE"""),"G0725065625")</f>
        <v>G0725065625</v>
      </c>
      <c r="I2529" s="35">
        <f>IFERROR(__xludf.DUMMYFUNCTION("""COMPUTED_VALUE"""),19.0)</f>
        <v>19</v>
      </c>
      <c r="J2529" s="35" t="str">
        <f>IFERROR(__xludf.DUMMYFUNCTION("""COMPUTED_VALUE"""),"18-24 tahun")</f>
        <v>18-24 tahun</v>
      </c>
      <c r="K2529" s="21" t="str">
        <f>IFERROR(__xludf.DUMMYFUNCTION("""COMPUTED_VALUE"""),"09/03/2007")</f>
        <v>09/03/2007</v>
      </c>
      <c r="L2529" s="21" t="str">
        <f>IFERROR(__xludf.DUMMYFUNCTION("""COMPUTED_VALUE"""),"PEREMPUAN")</f>
        <v>PEREMPUAN</v>
      </c>
      <c r="M2529" s="35" t="str">
        <f>IFERROR(__xludf.DUMMYFUNCTION("""COMPUTED_VALUE"""),"DUSUN RAJA, RT/RW 002/001, DESA RAJA, KECAMATAN NGABANG, KABUPATEN LANDAK")</f>
        <v>DUSUN RAJA, RT/RW 002/001, DESA RAJA, KECAMATAN NGABANG, KABUPATEN LANDAK</v>
      </c>
      <c r="N2529" s="35" t="str">
        <f>IFERROR(__xludf.DUMMYFUNCTION("""COMPUTED_VALUE"""),"DESA RAJA")</f>
        <v>DESA RAJA</v>
      </c>
      <c r="O2529" s="35" t="str">
        <f>IFERROR(__xludf.DUMMYFUNCTION("""COMPUTED_VALUE"""),"KECAMATAN NGABANG")</f>
        <v>KECAMATAN NGABANG</v>
      </c>
      <c r="P2529" s="35" t="str">
        <f>IFERROR(__xludf.DUMMYFUNCTION("""COMPUTED_VALUE"""),"KABUPATEN LANDAK")</f>
        <v>KABUPATEN LANDAK</v>
      </c>
      <c r="Q2529" s="35" t="str">
        <f>IFERROR(__xludf.DUMMYFUNCTION("""COMPUTED_VALUE"""),"KALIMANTAN BARAT")</f>
        <v>KALIMANTAN BARAT</v>
      </c>
      <c r="R2529" s="21" t="str">
        <f>IFERROR(__xludf.DUMMYFUNCTION("""COMPUTED_VALUE"""),"KATOLIK")</f>
        <v>KATOLIK</v>
      </c>
      <c r="S2529" s="74" t="str">
        <f>IFERROR(__xludf.DUMMYFUNCTION("""COMPUTED_VALUE"""),"TIDAK ADA")</f>
        <v>TIDAK ADA</v>
      </c>
      <c r="T2529" s="35" t="str">
        <f>IFERROR(__xludf.DUMMYFUNCTION("""COMPUTED_VALUE"""),"SKOLIOSIS")</f>
        <v>SKOLIOSIS</v>
      </c>
      <c r="U2529" s="35" t="str">
        <f>IFERROR(__xludf.DUMMYFUNCTION("""COMPUTED_VALUE"""),"OLAHRAGA")</f>
        <v>OLAHRAGA</v>
      </c>
      <c r="V2529" s="37" t="str">
        <f>IFERROR(__xludf.DUMMYFUNCTION("""COMPUTED_VALUE"""),"0895380405625")</f>
        <v>0895380405625</v>
      </c>
      <c r="W2529" s="45"/>
    </row>
    <row r="2530">
      <c r="A2530" s="45"/>
      <c r="B2530" s="24" t="str">
        <f>IFERROR(__xludf.DUMMYFUNCTION("""COMPUTED_VALUE"""),"21/06/2025 11:32:39")</f>
        <v>21/06/2025 11:32:39</v>
      </c>
      <c r="C2530" s="35"/>
      <c r="D2530" s="10">
        <f>IFERROR(__xludf.DUMMYFUNCTION("""COMPUTED_VALUE"""),45829.0)</f>
        <v>45829</v>
      </c>
      <c r="E2530" s="35" t="str">
        <f>IFERROR(__xludf.DUMMYFUNCTION("""COMPUTED_VALUE"""),"06Jun")</f>
        <v>06Jun</v>
      </c>
      <c r="F2530" s="34" t="str">
        <f>IFERROR(__xludf.DUMMYFUNCTION("""COMPUTED_VALUE"""),"2025")</f>
        <v>2025</v>
      </c>
      <c r="G2530" s="35" t="str">
        <f>IFERROR(__xludf.DUMMYFUNCTION("""COMPUTED_VALUE"""),"HAMSATUN")</f>
        <v>HAMSATUN</v>
      </c>
      <c r="H2530" s="35" t="str">
        <f>IFERROR(__xludf.DUMMYFUNCTION("""COMPUTED_VALUE"""),"H6825069401")</f>
        <v>H6825069401</v>
      </c>
      <c r="I2530" s="35">
        <f>IFERROR(__xludf.DUMMYFUNCTION("""COMPUTED_VALUE"""),58.0)</f>
        <v>58</v>
      </c>
      <c r="J2530" s="35" t="str">
        <f>IFERROR(__xludf.DUMMYFUNCTION("""COMPUTED_VALUE"""),"&gt; 44 tahun")</f>
        <v>&gt; 44 tahun</v>
      </c>
      <c r="K2530" s="21" t="str">
        <f>IFERROR(__xludf.DUMMYFUNCTION("""COMPUTED_VALUE"""),"04/02/1968")</f>
        <v>04/02/1968</v>
      </c>
      <c r="L2530" s="21" t="str">
        <f>IFERROR(__xludf.DUMMYFUNCTION("""COMPUTED_VALUE"""),"PEREMPUAN")</f>
        <v>PEREMPUAN</v>
      </c>
      <c r="M2530" s="35" t="str">
        <f>IFERROR(__xludf.DUMMYFUNCTION("""COMPUTED_VALUE"""),"JL TANJUNG HARAPAN GG MUHAJIRIN")</f>
        <v>JL TANJUNG HARAPAN GG MUHAJIRIN</v>
      </c>
      <c r="N2530" s="35" t="str">
        <f>IFERROR(__xludf.DUMMYFUNCTION("""COMPUTED_VALUE"""),"KELURAHAN BANJAR SERASAN")</f>
        <v>KELURAHAN BANJAR SERASAN</v>
      </c>
      <c r="O2530" s="35" t="str">
        <f>IFERROR(__xludf.DUMMYFUNCTION("""COMPUTED_VALUE"""),"PONTIANAK TIMUR")</f>
        <v>PONTIANAK TIMUR</v>
      </c>
      <c r="P2530" s="35" t="str">
        <f>IFERROR(__xludf.DUMMYFUNCTION("""COMPUTED_VALUE"""),"PONTIANAK")</f>
        <v>PONTIANAK</v>
      </c>
      <c r="Q2530" s="35" t="str">
        <f>IFERROR(__xludf.DUMMYFUNCTION("""COMPUTED_VALUE"""),"KALIMANTAN BARAT")</f>
        <v>KALIMANTAN BARAT</v>
      </c>
      <c r="R2530" s="21" t="str">
        <f>IFERROR(__xludf.DUMMYFUNCTION("""COMPUTED_VALUE"""),"ISLAM")</f>
        <v>ISLAM</v>
      </c>
      <c r="S2530" s="74" t="str">
        <f>IFERROR(__xludf.DUMMYFUNCTION("""COMPUTED_VALUE"""),"GURU")</f>
        <v>GURU</v>
      </c>
      <c r="T2530" s="35" t="str">
        <f>IFERROR(__xludf.DUMMYFUNCTION("""COMPUTED_VALUE"""),"SAKIT DARI LUTUT HINGGA KE PINGGA, SUSAH BERJALAN DAN TIDAK BISA BERDIRI LAMA, TIDAK BISA POSISI RUKUK ATAU JONGKOK")</f>
        <v>SAKIT DARI LUTUT HINGGA KE PINGGA, SUSAH BERJALAN DAN TIDAK BISA BERDIRI LAMA, TIDAK BISA POSISI RUKUK ATAU JONGKOK</v>
      </c>
      <c r="U2530" s="35" t="str">
        <f>IFERROR(__xludf.DUMMYFUNCTION("""COMPUTED_VALUE"""),"JALAN KAKI")</f>
        <v>JALAN KAKI</v>
      </c>
      <c r="V2530" s="37" t="str">
        <f>IFERROR(__xludf.DUMMYFUNCTION("""COMPUTED_VALUE"""),"085960309401")</f>
        <v>085960309401</v>
      </c>
      <c r="W2530" s="45"/>
    </row>
    <row r="2531">
      <c r="A2531" s="45"/>
      <c r="B2531" s="24" t="str">
        <f>IFERROR(__xludf.DUMMYFUNCTION("""COMPUTED_VALUE"""),"21/06/2025 11:44:13")</f>
        <v>21/06/2025 11:44:13</v>
      </c>
      <c r="C2531" s="35"/>
      <c r="D2531" s="10">
        <f>IFERROR(__xludf.DUMMYFUNCTION("""COMPUTED_VALUE"""),45829.0)</f>
        <v>45829</v>
      </c>
      <c r="E2531" s="35" t="str">
        <f>IFERROR(__xludf.DUMMYFUNCTION("""COMPUTED_VALUE"""),"06Jun")</f>
        <v>06Jun</v>
      </c>
      <c r="F2531" s="34" t="str">
        <f>IFERROR(__xludf.DUMMYFUNCTION("""COMPUTED_VALUE"""),"2025")</f>
        <v>2025</v>
      </c>
      <c r="G2531" s="35" t="str">
        <f>IFERROR(__xludf.DUMMYFUNCTION("""COMPUTED_VALUE"""),"RIRIN SURYANI")</f>
        <v>RIRIN SURYANI</v>
      </c>
      <c r="H2531" s="35" t="str">
        <f>IFERROR(__xludf.DUMMYFUNCTION("""COMPUTED_VALUE"""),"R9325064715")</f>
        <v>R9325064715</v>
      </c>
      <c r="I2531" s="35">
        <f>IFERROR(__xludf.DUMMYFUNCTION("""COMPUTED_VALUE"""),33.0)</f>
        <v>33</v>
      </c>
      <c r="J2531" s="35" t="str">
        <f>IFERROR(__xludf.DUMMYFUNCTION("""COMPUTED_VALUE"""),"25-34 tahun")</f>
        <v>25-34 tahun</v>
      </c>
      <c r="K2531" s="21" t="str">
        <f>IFERROR(__xludf.DUMMYFUNCTION("""COMPUTED_VALUE"""),"22/02/1993")</f>
        <v>22/02/1993</v>
      </c>
      <c r="L2531" s="21" t="str">
        <f>IFERROR(__xludf.DUMMYFUNCTION("""COMPUTED_VALUE"""),"PEREMPUAN")</f>
        <v>PEREMPUAN</v>
      </c>
      <c r="M2531" s="35" t="str">
        <f>IFERROR(__xludf.DUMMYFUNCTION("""COMPUTED_VALUE"""),"JL. JEMBATAN BESI")</f>
        <v>JL. JEMBATAN BESI</v>
      </c>
      <c r="N2531" s="35" t="str">
        <f>IFERROR(__xludf.DUMMYFUNCTION("""COMPUTED_VALUE"""),"JEMBATAN BESI")</f>
        <v>JEMBATAN BESI</v>
      </c>
      <c r="O2531" s="35" t="str">
        <f>IFERROR(__xludf.DUMMYFUNCTION("""COMPUTED_VALUE"""),"TAMBORA")</f>
        <v>TAMBORA</v>
      </c>
      <c r="P2531" s="35" t="str">
        <f>IFERROR(__xludf.DUMMYFUNCTION("""COMPUTED_VALUE"""),"JAKARTA BARAT")</f>
        <v>JAKARTA BARAT</v>
      </c>
      <c r="Q2531" s="35" t="str">
        <f>IFERROR(__xludf.DUMMYFUNCTION("""COMPUTED_VALUE"""),"DKI JAKARTA")</f>
        <v>DKI JAKARTA</v>
      </c>
      <c r="R2531" s="21" t="str">
        <f>IFERROR(__xludf.DUMMYFUNCTION("""COMPUTED_VALUE"""),"BUDDHA")</f>
        <v>BUDDHA</v>
      </c>
      <c r="S2531" s="74" t="str">
        <f>IFERROR(__xludf.DUMMYFUNCTION("""COMPUTED_VALUE"""),"IBU RUMAH TANGGA")</f>
        <v>IBU RUMAH TANGGA</v>
      </c>
      <c r="T2531" s="35" t="str">
        <f>IFERROR(__xludf.DUMMYFUNCTION("""COMPUTED_VALUE"""),"KAKI KANAN KURANG LURUS DAN SKRINING BADAN")</f>
        <v>KAKI KANAN KURANG LURUS DAN SKRINING BADAN</v>
      </c>
      <c r="U2531" s="35" t="str">
        <f>IFERROR(__xludf.DUMMYFUNCTION("""COMPUTED_VALUE"""),"-")</f>
        <v>-</v>
      </c>
      <c r="V2531" s="37" t="str">
        <f>IFERROR(__xludf.DUMMYFUNCTION("""COMPUTED_VALUE"""),"089624344715")</f>
        <v>089624344715</v>
      </c>
      <c r="W2531" s="45"/>
    </row>
    <row r="2532">
      <c r="A2532" s="45"/>
      <c r="B2532" s="24" t="str">
        <f>IFERROR(__xludf.DUMMYFUNCTION("""COMPUTED_VALUE"""),"22/06/2025 15:03:56")</f>
        <v>22/06/2025 15:03:56</v>
      </c>
      <c r="C2532" s="35"/>
      <c r="D2532" s="10">
        <f>IFERROR(__xludf.DUMMYFUNCTION("""COMPUTED_VALUE"""),45830.0)</f>
        <v>45830</v>
      </c>
      <c r="E2532" s="35" t="str">
        <f>IFERROR(__xludf.DUMMYFUNCTION("""COMPUTED_VALUE"""),"06Jun")</f>
        <v>06Jun</v>
      </c>
      <c r="F2532" s="34" t="str">
        <f>IFERROR(__xludf.DUMMYFUNCTION("""COMPUTED_VALUE"""),"2025")</f>
        <v>2025</v>
      </c>
      <c r="G2532" s="35" t="str">
        <f>IFERROR(__xludf.DUMMYFUNCTION("""COMPUTED_VALUE"""),"FADLI ANUGRAH")</f>
        <v>FADLI ANUGRAH</v>
      </c>
      <c r="H2532" s="35" t="str">
        <f>IFERROR(__xludf.DUMMYFUNCTION("""COMPUTED_VALUE"""),"F9925067379")</f>
        <v>F9925067379</v>
      </c>
      <c r="I2532" s="35">
        <f>IFERROR(__xludf.DUMMYFUNCTION("""COMPUTED_VALUE"""),27.0)</f>
        <v>27</v>
      </c>
      <c r="J2532" s="35" t="str">
        <f>IFERROR(__xludf.DUMMYFUNCTION("""COMPUTED_VALUE"""),"25-34 tahun")</f>
        <v>25-34 tahun</v>
      </c>
      <c r="K2532" s="21" t="str">
        <f>IFERROR(__xludf.DUMMYFUNCTION("""COMPUTED_VALUE"""),"04/06/1999")</f>
        <v>04/06/1999</v>
      </c>
      <c r="L2532" s="21" t="str">
        <f>IFERROR(__xludf.DUMMYFUNCTION("""COMPUTED_VALUE"""),"LAKI-LAKI")</f>
        <v>LAKI-LAKI</v>
      </c>
      <c r="M2532" s="35" t="str">
        <f>IFERROR(__xludf.DUMMYFUNCTION("""COMPUTED_VALUE"""),"JL. KOMYOS SUDARSO GG. SAMBAS 2")</f>
        <v>JL. KOMYOS SUDARSO GG. SAMBAS 2</v>
      </c>
      <c r="N2532" s="35" t="str">
        <f>IFERROR(__xludf.DUMMYFUNCTION("""COMPUTED_VALUE"""),"SUI BELIUNG")</f>
        <v>SUI BELIUNG</v>
      </c>
      <c r="O2532" s="35" t="str">
        <f>IFERROR(__xludf.DUMMYFUNCTION("""COMPUTED_VALUE"""),"PONTIANAK BARAT")</f>
        <v>PONTIANAK BARAT</v>
      </c>
      <c r="P2532" s="35" t="str">
        <f>IFERROR(__xludf.DUMMYFUNCTION("""COMPUTED_VALUE"""),"KOTA PONTIANAK")</f>
        <v>KOTA PONTIANAK</v>
      </c>
      <c r="Q2532" s="35" t="str">
        <f>IFERROR(__xludf.DUMMYFUNCTION("""COMPUTED_VALUE"""),"KALIMANTAN BARAT")</f>
        <v>KALIMANTAN BARAT</v>
      </c>
      <c r="R2532" s="21" t="str">
        <f>IFERROR(__xludf.DUMMYFUNCTION("""COMPUTED_VALUE"""),"ISLAM")</f>
        <v>ISLAM</v>
      </c>
      <c r="S2532" s="74" t="str">
        <f>IFERROR(__xludf.DUMMYFUNCTION("""COMPUTED_VALUE"""),"FREELANCE")</f>
        <v>FREELANCE</v>
      </c>
      <c r="T2532" s="35" t="str">
        <f>IFERROR(__xludf.DUMMYFUNCTION("""COMPUTED_VALUE"""),"SAKIT KAKI")</f>
        <v>SAKIT KAKI</v>
      </c>
      <c r="U2532" s="35" t="str">
        <f>IFERROR(__xludf.DUMMYFUNCTION("""COMPUTED_VALUE"""),"BOLA FUTSAL")</f>
        <v>BOLA FUTSAL</v>
      </c>
      <c r="V2532" s="37" t="str">
        <f>IFERROR(__xludf.DUMMYFUNCTION("""COMPUTED_VALUE"""),"089693887379")</f>
        <v>089693887379</v>
      </c>
      <c r="W2532" s="45"/>
    </row>
    <row r="2533">
      <c r="A2533" s="45"/>
      <c r="B2533" s="24" t="str">
        <f>IFERROR(__xludf.DUMMYFUNCTION("""COMPUTED_VALUE"""),"23/06/2025 9:34:34")</f>
        <v>23/06/2025 9:34:34</v>
      </c>
      <c r="C2533" s="35"/>
      <c r="D2533" s="10">
        <f>IFERROR(__xludf.DUMMYFUNCTION("""COMPUTED_VALUE"""),45831.0)</f>
        <v>45831</v>
      </c>
      <c r="E2533" s="35" t="str">
        <f>IFERROR(__xludf.DUMMYFUNCTION("""COMPUTED_VALUE"""),"06Jun")</f>
        <v>06Jun</v>
      </c>
      <c r="F2533" s="34" t="str">
        <f>IFERROR(__xludf.DUMMYFUNCTION("""COMPUTED_VALUE"""),"2025")</f>
        <v>2025</v>
      </c>
      <c r="G2533" s="35" t="str">
        <f>IFERROR(__xludf.DUMMYFUNCTION("""COMPUTED_VALUE"""),"SUDIYANTI HO")</f>
        <v>SUDIYANTI HO</v>
      </c>
      <c r="H2533" s="35" t="str">
        <f>IFERROR(__xludf.DUMMYFUNCTION("""COMPUTED_VALUE"""),"S5325064712")</f>
        <v>S5325064712</v>
      </c>
      <c r="I2533" s="35">
        <f>IFERROR(__xludf.DUMMYFUNCTION("""COMPUTED_VALUE"""),72.0)</f>
        <v>72</v>
      </c>
      <c r="J2533" s="35" t="str">
        <f>IFERROR(__xludf.DUMMYFUNCTION("""COMPUTED_VALUE"""),"&gt; 44 tahun")</f>
        <v>&gt; 44 tahun</v>
      </c>
      <c r="K2533" s="21" t="str">
        <f>IFERROR(__xludf.DUMMYFUNCTION("""COMPUTED_VALUE"""),"23/07/1953")</f>
        <v>23/07/1953</v>
      </c>
      <c r="L2533" s="21" t="str">
        <f>IFERROR(__xludf.DUMMYFUNCTION("""COMPUTED_VALUE"""),"PEREMPUAN")</f>
        <v>PEREMPUAN</v>
      </c>
      <c r="M2533" s="35" t="str">
        <f>IFERROR(__xludf.DUMMYFUNCTION("""COMPUTED_VALUE"""),"JL ISMAIL MARZUKI NO.2")</f>
        <v>JL ISMAIL MARZUKI NO.2</v>
      </c>
      <c r="N2533" s="35" t="str">
        <f>IFERROR(__xludf.DUMMYFUNCTION("""COMPUTED_VALUE"""),"BENUA MELAYU DARAT")</f>
        <v>BENUA MELAYU DARAT</v>
      </c>
      <c r="O2533" s="35" t="str">
        <f>IFERROR(__xludf.DUMMYFUNCTION("""COMPUTED_VALUE"""),"PONTIANAK SELATAN")</f>
        <v>PONTIANAK SELATAN</v>
      </c>
      <c r="P2533" s="35" t="str">
        <f>IFERROR(__xludf.DUMMYFUNCTION("""COMPUTED_VALUE"""),"PONTIANAK")</f>
        <v>PONTIANAK</v>
      </c>
      <c r="Q2533" s="35" t="str">
        <f>IFERROR(__xludf.DUMMYFUNCTION("""COMPUTED_VALUE"""),"KALIMANTAN BARAT")</f>
        <v>KALIMANTAN BARAT</v>
      </c>
      <c r="R2533" s="21" t="str">
        <f>IFERROR(__xludf.DUMMYFUNCTION("""COMPUTED_VALUE"""),"BUDDHA")</f>
        <v>BUDDHA</v>
      </c>
      <c r="S2533" s="74" t="str">
        <f>IFERROR(__xludf.DUMMYFUNCTION("""COMPUTED_VALUE"""),"MENGURUS RUMAH TANGGA")</f>
        <v>MENGURUS RUMAH TANGGA</v>
      </c>
      <c r="T2533" s="35" t="str">
        <f>IFERROR(__xludf.DUMMYFUNCTION("""COMPUTED_VALUE"""),"LUTUT SAKIT")</f>
        <v>LUTUT SAKIT</v>
      </c>
      <c r="U2533" s="35" t="str">
        <f>IFERROR(__xludf.DUMMYFUNCTION("""COMPUTED_VALUE"""),"AKTIVITAS HARIAN")</f>
        <v>AKTIVITAS HARIAN</v>
      </c>
      <c r="V2533" s="37" t="str">
        <f>IFERROR(__xludf.DUMMYFUNCTION("""COMPUTED_VALUE"""),"081380734712")</f>
        <v>081380734712</v>
      </c>
      <c r="W2533" s="45"/>
    </row>
    <row r="2534">
      <c r="A2534" s="45"/>
      <c r="B2534" s="24" t="str">
        <f>IFERROR(__xludf.DUMMYFUNCTION("""COMPUTED_VALUE"""),"23/06/2025 16:36:22")</f>
        <v>23/06/2025 16:36:22</v>
      </c>
      <c r="C2534" s="35"/>
      <c r="D2534" s="10">
        <f>IFERROR(__xludf.DUMMYFUNCTION("""COMPUTED_VALUE"""),45831.0)</f>
        <v>45831</v>
      </c>
      <c r="E2534" s="35" t="str">
        <f>IFERROR(__xludf.DUMMYFUNCTION("""COMPUTED_VALUE"""),"06Jun")</f>
        <v>06Jun</v>
      </c>
      <c r="F2534" s="34" t="str">
        <f>IFERROR(__xludf.DUMMYFUNCTION("""COMPUTED_VALUE"""),"2025")</f>
        <v>2025</v>
      </c>
      <c r="G2534" s="35" t="str">
        <f>IFERROR(__xludf.DUMMYFUNCTION("""COMPUTED_VALUE"""),"SAMARIA PANGESTU")</f>
        <v>SAMARIA PANGESTU</v>
      </c>
      <c r="H2534" s="35" t="str">
        <f>IFERROR(__xludf.DUMMYFUNCTION("""COMPUTED_VALUE"""),"S1025068800")</f>
        <v>S1025068800</v>
      </c>
      <c r="I2534" s="35">
        <f>IFERROR(__xludf.DUMMYFUNCTION("""COMPUTED_VALUE"""),15.0)</f>
        <v>15</v>
      </c>
      <c r="J2534" s="35" t="str">
        <f>IFERROR(__xludf.DUMMYFUNCTION("""COMPUTED_VALUE"""),"&lt; 18 tahun")</f>
        <v>&lt; 18 tahun</v>
      </c>
      <c r="K2534" s="21" t="str">
        <f>IFERROR(__xludf.DUMMYFUNCTION("""COMPUTED_VALUE"""),"23/11/2010")</f>
        <v>23/11/2010</v>
      </c>
      <c r="L2534" s="21" t="str">
        <f>IFERROR(__xludf.DUMMYFUNCTION("""COMPUTED_VALUE"""),"PEREMPUAN")</f>
        <v>PEREMPUAN</v>
      </c>
      <c r="M2534" s="35" t="str">
        <f>IFERROR(__xludf.DUMMYFUNCTION("""COMPUTED_VALUE"""),"ANJONGAN")</f>
        <v>ANJONGAN</v>
      </c>
      <c r="N2534" s="35" t="str">
        <f>IFERROR(__xludf.DUMMYFUNCTION("""COMPUTED_VALUE"""),"-")</f>
        <v>-</v>
      </c>
      <c r="O2534" s="35" t="str">
        <f>IFERROR(__xludf.DUMMYFUNCTION("""COMPUTED_VALUE"""),"-")</f>
        <v>-</v>
      </c>
      <c r="P2534" s="35" t="str">
        <f>IFERROR(__xludf.DUMMYFUNCTION("""COMPUTED_VALUE"""),"PINYUH")</f>
        <v>PINYUH</v>
      </c>
      <c r="Q2534" s="35" t="str">
        <f>IFERROR(__xludf.DUMMYFUNCTION("""COMPUTED_VALUE"""),"KALIMANTAN BARAT")</f>
        <v>KALIMANTAN BARAT</v>
      </c>
      <c r="R2534" s="21" t="str">
        <f>IFERROR(__xludf.DUMMYFUNCTION("""COMPUTED_VALUE"""),"LAINNYA")</f>
        <v>LAINNYA</v>
      </c>
      <c r="S2534" s="74" t="str">
        <f>IFERROR(__xludf.DUMMYFUNCTION("""COMPUTED_VALUE"""),"PELAJAR")</f>
        <v>PELAJAR</v>
      </c>
      <c r="T2534" s="35" t="str">
        <f>IFERROR(__xludf.DUMMYFUNCTION("""COMPUTED_VALUE"""),"KAKI")</f>
        <v>KAKI</v>
      </c>
      <c r="U2534" s="35" t="str">
        <f>IFERROR(__xludf.DUMMYFUNCTION("""COMPUTED_VALUE"""),"ATLET")</f>
        <v>ATLET</v>
      </c>
      <c r="V2534" s="37" t="str">
        <f>IFERROR(__xludf.DUMMYFUNCTION("""COMPUTED_VALUE"""),"089629568800")</f>
        <v>089629568800</v>
      </c>
      <c r="W2534" s="45"/>
    </row>
    <row r="2535">
      <c r="A2535" s="45"/>
      <c r="B2535" s="24" t="str">
        <f>IFERROR(__xludf.DUMMYFUNCTION("""COMPUTED_VALUE"""),"23/06/2025 18:30:25")</f>
        <v>23/06/2025 18:30:25</v>
      </c>
      <c r="C2535" s="35"/>
      <c r="D2535" s="10">
        <f>IFERROR(__xludf.DUMMYFUNCTION("""COMPUTED_VALUE"""),45831.0)</f>
        <v>45831</v>
      </c>
      <c r="E2535" s="35" t="str">
        <f>IFERROR(__xludf.DUMMYFUNCTION("""COMPUTED_VALUE"""),"06Jun")</f>
        <v>06Jun</v>
      </c>
      <c r="F2535" s="34" t="str">
        <f>IFERROR(__xludf.DUMMYFUNCTION("""COMPUTED_VALUE"""),"2025")</f>
        <v>2025</v>
      </c>
      <c r="G2535" s="35" t="str">
        <f>IFERROR(__xludf.DUMMYFUNCTION("""COMPUTED_VALUE"""),"HERY 8410")</f>
        <v>HERY 8410</v>
      </c>
      <c r="H2535" s="35" t="str">
        <f>IFERROR(__xludf.DUMMYFUNCTION("""COMPUTED_VALUE"""),"H8425065535")</f>
        <v>H8425065535</v>
      </c>
      <c r="I2535" s="35">
        <f>IFERROR(__xludf.DUMMYFUNCTION("""COMPUTED_VALUE"""),41.0)</f>
        <v>41</v>
      </c>
      <c r="J2535" s="35" t="str">
        <f>IFERROR(__xludf.DUMMYFUNCTION("""COMPUTED_VALUE"""),"35-44 tahun")</f>
        <v>35-44 tahun</v>
      </c>
      <c r="K2535" s="21" t="str">
        <f>IFERROR(__xludf.DUMMYFUNCTION("""COMPUTED_VALUE"""),"20/10/1984")</f>
        <v>20/10/1984</v>
      </c>
      <c r="L2535" s="21" t="str">
        <f>IFERROR(__xludf.DUMMYFUNCTION("""COMPUTED_VALUE"""),"LAKI-LAKI")</f>
        <v>LAKI-LAKI</v>
      </c>
      <c r="M2535" s="35" t="str">
        <f>IFERROR(__xludf.DUMMYFUNCTION("""COMPUTED_VALUE"""),"PUTRICANDRAMIDI GANG PRAHAYA NO 4D")</f>
        <v>PUTRICANDRAMIDI GANG PRAHAYA NO 4D</v>
      </c>
      <c r="N2535" s="35" t="str">
        <f>IFERROR(__xludf.DUMMYFUNCTION("""COMPUTED_VALUE"""),"PARIT TOKAYA")</f>
        <v>PARIT TOKAYA</v>
      </c>
      <c r="O2535" s="35" t="str">
        <f>IFERROR(__xludf.DUMMYFUNCTION("""COMPUTED_VALUE"""),"PONTIANAK KOTA")</f>
        <v>PONTIANAK KOTA</v>
      </c>
      <c r="P2535" s="35" t="str">
        <f>IFERROR(__xludf.DUMMYFUNCTION("""COMPUTED_VALUE"""),"PONTIANAK")</f>
        <v>PONTIANAK</v>
      </c>
      <c r="Q2535" s="35" t="str">
        <f>IFERROR(__xludf.DUMMYFUNCTION("""COMPUTED_VALUE"""),"KALBAR")</f>
        <v>KALBAR</v>
      </c>
      <c r="R2535" s="21" t="str">
        <f>IFERROR(__xludf.DUMMYFUNCTION("""COMPUTED_VALUE"""),"KATOLIK")</f>
        <v>KATOLIK</v>
      </c>
      <c r="S2535" s="74" t="str">
        <f>IFERROR(__xludf.DUMMYFUNCTION("""COMPUTED_VALUE"""),"SWASTA")</f>
        <v>SWASTA</v>
      </c>
      <c r="T2535" s="35" t="str">
        <f>IFERROR(__xludf.DUMMYFUNCTION("""COMPUTED_VALUE"""),"PONTIANAK KOTA")</f>
        <v>PONTIANAK KOTA</v>
      </c>
      <c r="U2535" s="35" t="str">
        <f>IFERROR(__xludf.DUMMYFUNCTION("""COMPUTED_VALUE"""),"BILIARD")</f>
        <v>BILIARD</v>
      </c>
      <c r="V2535" s="37" t="str">
        <f>IFERROR(__xludf.DUMMYFUNCTION("""COMPUTED_VALUE"""),"085182825535")</f>
        <v>085182825535</v>
      </c>
      <c r="W2535" s="45"/>
    </row>
    <row r="2536">
      <c r="A2536" s="45"/>
      <c r="B2536" s="24" t="str">
        <f>IFERROR(__xludf.DUMMYFUNCTION("""COMPUTED_VALUE"""),"24/06/2025 13:01:36")</f>
        <v>24/06/2025 13:01:36</v>
      </c>
      <c r="C2536" s="35"/>
      <c r="D2536" s="10">
        <f>IFERROR(__xludf.DUMMYFUNCTION("""COMPUTED_VALUE"""),45832.0)</f>
        <v>45832</v>
      </c>
      <c r="E2536" s="35" t="str">
        <f>IFERROR(__xludf.DUMMYFUNCTION("""COMPUTED_VALUE"""),"06Jun")</f>
        <v>06Jun</v>
      </c>
      <c r="F2536" s="34" t="str">
        <f>IFERROR(__xludf.DUMMYFUNCTION("""COMPUTED_VALUE"""),"2025")</f>
        <v>2025</v>
      </c>
      <c r="G2536" s="35" t="str">
        <f>IFERROR(__xludf.DUMMYFUNCTION("""COMPUTED_VALUE"""),"DIAZ MUHAMMAD REZA")</f>
        <v>DIAZ MUHAMMAD REZA</v>
      </c>
      <c r="H2536" s="35" t="str">
        <f>IFERROR(__xludf.DUMMYFUNCTION("""COMPUTED_VALUE"""),"D8925065661")</f>
        <v>D8925065661</v>
      </c>
      <c r="I2536" s="35">
        <f>IFERROR(__xludf.DUMMYFUNCTION("""COMPUTED_VALUE"""),37.0)</f>
        <v>37</v>
      </c>
      <c r="J2536" s="35" t="str">
        <f>IFERROR(__xludf.DUMMYFUNCTION("""COMPUTED_VALUE"""),"35-44 tahun")</f>
        <v>35-44 tahun</v>
      </c>
      <c r="K2536" s="21" t="str">
        <f>IFERROR(__xludf.DUMMYFUNCTION("""COMPUTED_VALUE"""),"16/06/1989")</f>
        <v>16/06/1989</v>
      </c>
      <c r="L2536" s="21" t="str">
        <f>IFERROR(__xludf.DUMMYFUNCTION("""COMPUTED_VALUE"""),"LAKI-LAKI")</f>
        <v>LAKI-LAKI</v>
      </c>
      <c r="M2536" s="35" t="str">
        <f>IFERROR(__xludf.DUMMYFUNCTION("""COMPUTED_VALUE"""),"JALAN SELAT PANJANG")</f>
        <v>JALAN SELAT PANJANG</v>
      </c>
      <c r="N2536" s="35" t="str">
        <f>IFERROR(__xludf.DUMMYFUNCTION("""COMPUTED_VALUE"""),"SIANTAN HULU")</f>
        <v>SIANTAN HULU</v>
      </c>
      <c r="O2536" s="35" t="str">
        <f>IFERROR(__xludf.DUMMYFUNCTION("""COMPUTED_VALUE"""),"PONTIANAK UTARA")</f>
        <v>PONTIANAK UTARA</v>
      </c>
      <c r="P2536" s="35" t="str">
        <f>IFERROR(__xludf.DUMMYFUNCTION("""COMPUTED_VALUE"""),"PONTIANAK")</f>
        <v>PONTIANAK</v>
      </c>
      <c r="Q2536" s="35" t="str">
        <f>IFERROR(__xludf.DUMMYFUNCTION("""COMPUTED_VALUE"""),"KALBAR")</f>
        <v>KALBAR</v>
      </c>
      <c r="R2536" s="21" t="str">
        <f>IFERROR(__xludf.DUMMYFUNCTION("""COMPUTED_VALUE"""),"LAINNYA")</f>
        <v>LAINNYA</v>
      </c>
      <c r="S2536" s="74" t="str">
        <f>IFERROR(__xludf.DUMMYFUNCTION("""COMPUTED_VALUE"""),"WIRASWASTA")</f>
        <v>WIRASWASTA</v>
      </c>
      <c r="T2536" s="35" t="str">
        <f>IFERROR(__xludf.DUMMYFUNCTION("""COMPUTED_VALUE"""),"NYERI BAGIAN ANTARA BAWAH RUSUK DAN PINGGANG")</f>
        <v>NYERI BAGIAN ANTARA BAWAH RUSUK DAN PINGGANG</v>
      </c>
      <c r="U2536" s="35" t="str">
        <f>IFERROR(__xludf.DUMMYFUNCTION("""COMPUTED_VALUE"""),"GYM, SEPAK BOLA DAN LARI.")</f>
        <v>GYM, SEPAK BOLA DAN LARI.</v>
      </c>
      <c r="V2536" s="37" t="str">
        <f>IFERROR(__xludf.DUMMYFUNCTION("""COMPUTED_VALUE"""),"082153225661")</f>
        <v>082153225661</v>
      </c>
      <c r="W2536" s="45"/>
    </row>
    <row r="2537">
      <c r="A2537" s="45"/>
      <c r="B2537" s="24" t="str">
        <f>IFERROR(__xludf.DUMMYFUNCTION("""COMPUTED_VALUE"""),"24/06/2025 17:03:01")</f>
        <v>24/06/2025 17:03:01</v>
      </c>
      <c r="C2537" s="35"/>
      <c r="D2537" s="10">
        <f>IFERROR(__xludf.DUMMYFUNCTION("""COMPUTED_VALUE"""),45832.0)</f>
        <v>45832</v>
      </c>
      <c r="E2537" s="35" t="str">
        <f>IFERROR(__xludf.DUMMYFUNCTION("""COMPUTED_VALUE"""),"06Jun")</f>
        <v>06Jun</v>
      </c>
      <c r="F2537" s="34" t="str">
        <f>IFERROR(__xludf.DUMMYFUNCTION("""COMPUTED_VALUE"""),"2025")</f>
        <v>2025</v>
      </c>
      <c r="G2537" s="35" t="str">
        <f>IFERROR(__xludf.DUMMYFUNCTION("""COMPUTED_VALUE"""),"SYARIFAH UMMI KALTSUM")</f>
        <v>SYARIFAH UMMI KALTSUM</v>
      </c>
      <c r="H2537" s="35" t="str">
        <f>IFERROR(__xludf.DUMMYFUNCTION("""COMPUTED_VALUE"""),"S8325065820")</f>
        <v>S8325065820</v>
      </c>
      <c r="I2537" s="35">
        <f>IFERROR(__xludf.DUMMYFUNCTION("""COMPUTED_VALUE"""),42.0)</f>
        <v>42</v>
      </c>
      <c r="J2537" s="35" t="str">
        <f>IFERROR(__xludf.DUMMYFUNCTION("""COMPUTED_VALUE"""),"35-44 tahun")</f>
        <v>35-44 tahun</v>
      </c>
      <c r="K2537" s="21" t="str">
        <f>IFERROR(__xludf.DUMMYFUNCTION("""COMPUTED_VALUE"""),"19/11/1983")</f>
        <v>19/11/1983</v>
      </c>
      <c r="L2537" s="21" t="str">
        <f>IFERROR(__xludf.DUMMYFUNCTION("""COMPUTED_VALUE"""),"PEREMPUAN")</f>
        <v>PEREMPUAN</v>
      </c>
      <c r="M2537" s="35" t="str">
        <f>IFERROR(__xludf.DUMMYFUNCTION("""COMPUTED_VALUE"""),"JL.WONOBARU GG MADYOSARI 2 NO 19")</f>
        <v>JL.WONOBARU GG MADYOSARI 2 NO 19</v>
      </c>
      <c r="N2537" s="35" t="str">
        <f>IFERROR(__xludf.DUMMYFUNCTION("""COMPUTED_VALUE"""),"AKCAYA")</f>
        <v>AKCAYA</v>
      </c>
      <c r="O2537" s="35" t="str">
        <f>IFERROR(__xludf.DUMMYFUNCTION("""COMPUTED_VALUE"""),"PONTIANAK SELATAN")</f>
        <v>PONTIANAK SELATAN</v>
      </c>
      <c r="P2537" s="35" t="str">
        <f>IFERROR(__xludf.DUMMYFUNCTION("""COMPUTED_VALUE"""),"PONTIANAK")</f>
        <v>PONTIANAK</v>
      </c>
      <c r="Q2537" s="35" t="str">
        <f>IFERROR(__xludf.DUMMYFUNCTION("""COMPUTED_VALUE"""),"KALIMANTAN BARAT")</f>
        <v>KALIMANTAN BARAT</v>
      </c>
      <c r="R2537" s="21" t="str">
        <f>IFERROR(__xludf.DUMMYFUNCTION("""COMPUTED_VALUE"""),"ISLAM")</f>
        <v>ISLAM</v>
      </c>
      <c r="S2537" s="74" t="str">
        <f>IFERROR(__xludf.DUMMYFUNCTION("""COMPUTED_VALUE"""),"IRT")</f>
        <v>IRT</v>
      </c>
      <c r="T2537" s="35" t="str">
        <f>IFERROR(__xludf.DUMMYFUNCTION("""COMPUTED_VALUE"""),"SAKIT PINGGANG DAN TANGAN")</f>
        <v>SAKIT PINGGANG DAN TANGAN</v>
      </c>
      <c r="U2537" s="35" t="str">
        <f>IFERROR(__xludf.DUMMYFUNCTION("""COMPUTED_VALUE"""),"PEKERJAAN RUMAH TANGGA")</f>
        <v>PEKERJAAN RUMAH TANGGA</v>
      </c>
      <c r="V2537" s="37" t="str">
        <f>IFERROR(__xludf.DUMMYFUNCTION("""COMPUTED_VALUE"""),"081345435820")</f>
        <v>081345435820</v>
      </c>
      <c r="W2537" s="45"/>
    </row>
    <row r="2538">
      <c r="A2538" s="45"/>
      <c r="B2538" s="24" t="str">
        <f>IFERROR(__xludf.DUMMYFUNCTION("""COMPUTED_VALUE"""),"24/06/2025 19:59:14")</f>
        <v>24/06/2025 19:59:14</v>
      </c>
      <c r="C2538" s="35"/>
      <c r="D2538" s="10">
        <f>IFERROR(__xludf.DUMMYFUNCTION("""COMPUTED_VALUE"""),45832.0)</f>
        <v>45832</v>
      </c>
      <c r="E2538" s="35" t="str">
        <f>IFERROR(__xludf.DUMMYFUNCTION("""COMPUTED_VALUE"""),"06Jun")</f>
        <v>06Jun</v>
      </c>
      <c r="F2538" s="34" t="str">
        <f>IFERROR(__xludf.DUMMYFUNCTION("""COMPUTED_VALUE"""),"2025")</f>
        <v>2025</v>
      </c>
      <c r="G2538" s="35" t="str">
        <f>IFERROR(__xludf.DUMMYFUNCTION("""COMPUTED_VALUE"""),"FRANS IMMANUEL SIAHAAN")</f>
        <v>FRANS IMMANUEL SIAHAAN</v>
      </c>
      <c r="H2538" s="35" t="str">
        <f>IFERROR(__xludf.DUMMYFUNCTION("""COMPUTED_VALUE"""),"F0325067556")</f>
        <v>F0325067556</v>
      </c>
      <c r="I2538" s="35">
        <f>IFERROR(__xludf.DUMMYFUNCTION("""COMPUTED_VALUE"""),22.0)</f>
        <v>22</v>
      </c>
      <c r="J2538" s="35" t="str">
        <f>IFERROR(__xludf.DUMMYFUNCTION("""COMPUTED_VALUE"""),"18-24 tahun")</f>
        <v>18-24 tahun</v>
      </c>
      <c r="K2538" s="21" t="str">
        <f>IFERROR(__xludf.DUMMYFUNCTION("""COMPUTED_VALUE"""),"10/12/2003")</f>
        <v>10/12/2003</v>
      </c>
      <c r="L2538" s="21" t="str">
        <f>IFERROR(__xludf.DUMMYFUNCTION("""COMPUTED_VALUE"""),"LAKI-LAKI")</f>
        <v>LAKI-LAKI</v>
      </c>
      <c r="M2538" s="35" t="str">
        <f>IFERROR(__xludf.DUMMYFUNCTION("""COMPUTED_VALUE"""),"JALAN KARYA, KOMP. ARI KARYA INDAH 2 NO A18")</f>
        <v>JALAN KARYA, KOMP. ARI KARYA INDAH 2 NO A18</v>
      </c>
      <c r="N2538" s="35" t="str">
        <f>IFERROR(__xludf.DUMMYFUNCTION("""COMPUTED_VALUE"""),"PAL SEMBILAN")</f>
        <v>PAL SEMBILAN</v>
      </c>
      <c r="O2538" s="35" t="str">
        <f>IFERROR(__xludf.DUMMYFUNCTION("""COMPUTED_VALUE"""),"SUNGAI KAKAP")</f>
        <v>SUNGAI KAKAP</v>
      </c>
      <c r="P2538" s="35" t="str">
        <f>IFERROR(__xludf.DUMMYFUNCTION("""COMPUTED_VALUE"""),"KUBURAYA")</f>
        <v>KUBURAYA</v>
      </c>
      <c r="Q2538" s="35" t="str">
        <f>IFERROR(__xludf.DUMMYFUNCTION("""COMPUTED_VALUE"""),"KALIMANTAN BARAT")</f>
        <v>KALIMANTAN BARAT</v>
      </c>
      <c r="R2538" s="21" t="str">
        <f>IFERROR(__xludf.DUMMYFUNCTION("""COMPUTED_VALUE"""),"PROTESTAN")</f>
        <v>PROTESTAN</v>
      </c>
      <c r="S2538" s="74" t="str">
        <f>IFERROR(__xludf.DUMMYFUNCTION("""COMPUTED_VALUE"""),"MAHASISWA")</f>
        <v>MAHASISWA</v>
      </c>
      <c r="T2538" s="35" t="str">
        <f>IFERROR(__xludf.DUMMYFUNCTION("""COMPUTED_VALUE"""),"LUTUT TERTABRAK SEWAKTU PERTANDINGAN")</f>
        <v>LUTUT TERTABRAK SEWAKTU PERTANDINGAN</v>
      </c>
      <c r="U2538" s="35" t="str">
        <f>IFERROR(__xludf.DUMMYFUNCTION("""COMPUTED_VALUE"""),"-")</f>
        <v>-</v>
      </c>
      <c r="V2538" s="37" t="str">
        <f>IFERROR(__xludf.DUMMYFUNCTION("""COMPUTED_VALUE"""),"081383447556")</f>
        <v>081383447556</v>
      </c>
      <c r="W2538" s="45"/>
    </row>
    <row r="2539">
      <c r="A2539" s="45"/>
      <c r="B2539" s="24" t="str">
        <f>IFERROR(__xludf.DUMMYFUNCTION("""COMPUTED_VALUE"""),"25/06/2025 10:00:02")</f>
        <v>25/06/2025 10:00:02</v>
      </c>
      <c r="C2539" s="35"/>
      <c r="D2539" s="10">
        <f>IFERROR(__xludf.DUMMYFUNCTION("""COMPUTED_VALUE"""),45833.0)</f>
        <v>45833</v>
      </c>
      <c r="E2539" s="35" t="str">
        <f>IFERROR(__xludf.DUMMYFUNCTION("""COMPUTED_VALUE"""),"06Jun")</f>
        <v>06Jun</v>
      </c>
      <c r="F2539" s="34" t="str">
        <f>IFERROR(__xludf.DUMMYFUNCTION("""COMPUTED_VALUE"""),"2025")</f>
        <v>2025</v>
      </c>
      <c r="G2539" s="35" t="str">
        <f>IFERROR(__xludf.DUMMYFUNCTION("""COMPUTED_VALUE"""),"SEPTUTI MEGA POSROITO")</f>
        <v>SEPTUTI MEGA POSROITO</v>
      </c>
      <c r="H2539" s="35" t="str">
        <f>IFERROR(__xludf.DUMMYFUNCTION("""COMPUTED_VALUE"""),"S9325063633")</f>
        <v>S9325063633</v>
      </c>
      <c r="I2539" s="35">
        <f>IFERROR(__xludf.DUMMYFUNCTION("""COMPUTED_VALUE"""),32.0)</f>
        <v>32</v>
      </c>
      <c r="J2539" s="35" t="str">
        <f>IFERROR(__xludf.DUMMYFUNCTION("""COMPUTED_VALUE"""),"25-34 tahun")</f>
        <v>25-34 tahun</v>
      </c>
      <c r="K2539" s="21" t="str">
        <f>IFERROR(__xludf.DUMMYFUNCTION("""COMPUTED_VALUE"""),"29/09/1993")</f>
        <v>29/09/1993</v>
      </c>
      <c r="L2539" s="21" t="str">
        <f>IFERROR(__xludf.DUMMYFUNCTION("""COMPUTED_VALUE"""),"PEREMPUAN")</f>
        <v>PEREMPUAN</v>
      </c>
      <c r="M2539" s="35" t="str">
        <f>IFERROR(__xludf.DUMMYFUNCTION("""COMPUTED_VALUE"""),"JALAN KUSUMA UTARA X")</f>
        <v>JALAN KUSUMA UTARA X</v>
      </c>
      <c r="N2539" s="35" t="str">
        <f>IFERROR(__xludf.DUMMYFUNCTION("""COMPUTED_VALUE"""),"DUREN JAYA")</f>
        <v>DUREN JAYA</v>
      </c>
      <c r="O2539" s="35" t="str">
        <f>IFERROR(__xludf.DUMMYFUNCTION("""COMPUTED_VALUE"""),"BEKASI TIMUR")</f>
        <v>BEKASI TIMUR</v>
      </c>
      <c r="P2539" s="35" t="str">
        <f>IFERROR(__xludf.DUMMYFUNCTION("""COMPUTED_VALUE"""),"BEKASI")</f>
        <v>BEKASI</v>
      </c>
      <c r="Q2539" s="35" t="str">
        <f>IFERROR(__xludf.DUMMYFUNCTION("""COMPUTED_VALUE"""),"JAWA BARAT")</f>
        <v>JAWA BARAT</v>
      </c>
      <c r="R2539" s="21" t="str">
        <f>IFERROR(__xludf.DUMMYFUNCTION("""COMPUTED_VALUE"""),"PROTESTAN")</f>
        <v>PROTESTAN</v>
      </c>
      <c r="S2539" s="74" t="str">
        <f>IFERROR(__xludf.DUMMYFUNCTION("""COMPUTED_VALUE"""),"PEGAWAI BUMN")</f>
        <v>PEGAWAI BUMN</v>
      </c>
      <c r="T2539" s="35" t="str">
        <f>IFERROR(__xludf.DUMMYFUNCTION("""COMPUTED_VALUE"""),"PINGGANG DAN PUNGGUNG")</f>
        <v>PINGGANG DAN PUNGGUNG</v>
      </c>
      <c r="U2539" s="35" t="str">
        <f>IFERROR(__xludf.DUMMYFUNCTION("""COMPUTED_VALUE"""),"DUDUK DEPAN LAYAR KOMPUTER")</f>
        <v>DUDUK DEPAN LAYAR KOMPUTER</v>
      </c>
      <c r="V2539" s="37" t="str">
        <f>IFERROR(__xludf.DUMMYFUNCTION("""COMPUTED_VALUE"""),"081993333633")</f>
        <v>081993333633</v>
      </c>
      <c r="W2539" s="45"/>
    </row>
    <row r="2540">
      <c r="A2540" s="45"/>
      <c r="B2540" s="24" t="str">
        <f>IFERROR(__xludf.DUMMYFUNCTION("""COMPUTED_VALUE"""),"25/06/2025 16:06:41")</f>
        <v>25/06/2025 16:06:41</v>
      </c>
      <c r="C2540" s="35"/>
      <c r="D2540" s="10">
        <f>IFERROR(__xludf.DUMMYFUNCTION("""COMPUTED_VALUE"""),45833.0)</f>
        <v>45833</v>
      </c>
      <c r="E2540" s="35" t="str">
        <f>IFERROR(__xludf.DUMMYFUNCTION("""COMPUTED_VALUE"""),"06Jun")</f>
        <v>06Jun</v>
      </c>
      <c r="F2540" s="34" t="str">
        <f>IFERROR(__xludf.DUMMYFUNCTION("""COMPUTED_VALUE"""),"2025")</f>
        <v>2025</v>
      </c>
      <c r="G2540" s="35" t="str">
        <f>IFERROR(__xludf.DUMMYFUNCTION("""COMPUTED_VALUE"""),"GUNTUR SUTANTO")</f>
        <v>GUNTUR SUTANTO</v>
      </c>
      <c r="H2540" s="35" t="str">
        <f>IFERROR(__xludf.DUMMYFUNCTION("""COMPUTED_VALUE"""),"G9325067202")</f>
        <v>G9325067202</v>
      </c>
      <c r="I2540" s="35">
        <f>IFERROR(__xludf.DUMMYFUNCTION("""COMPUTED_VALUE"""),32.0)</f>
        <v>32</v>
      </c>
      <c r="J2540" s="35" t="str">
        <f>IFERROR(__xludf.DUMMYFUNCTION("""COMPUTED_VALUE"""),"25-34 tahun")</f>
        <v>25-34 tahun</v>
      </c>
      <c r="K2540" s="21" t="str">
        <f>IFERROR(__xludf.DUMMYFUNCTION("""COMPUTED_VALUE"""),"25/10/1993")</f>
        <v>25/10/1993</v>
      </c>
      <c r="L2540" s="21" t="str">
        <f>IFERROR(__xludf.DUMMYFUNCTION("""COMPUTED_VALUE"""),"LAKI-LAKI")</f>
        <v>LAKI-LAKI</v>
      </c>
      <c r="M2540" s="35" t="str">
        <f>IFERROR(__xludf.DUMMYFUNCTION("""COMPUTED_VALUE"""),"JL. VETERAN GG. SYUKUR IV NO. 83")</f>
        <v>JL. VETERAN GG. SYUKUR IV NO. 83</v>
      </c>
      <c r="N2540" s="35" t="str">
        <f>IFERROR(__xludf.DUMMYFUNCTION("""COMPUTED_VALUE"""),"BENUA MELAYU DARAT")</f>
        <v>BENUA MELAYU DARAT</v>
      </c>
      <c r="O2540" s="35" t="str">
        <f>IFERROR(__xludf.DUMMYFUNCTION("""COMPUTED_VALUE"""),"PONTIANAK SELATAN")</f>
        <v>PONTIANAK SELATAN</v>
      </c>
      <c r="P2540" s="35" t="str">
        <f>IFERROR(__xludf.DUMMYFUNCTION("""COMPUTED_VALUE"""),"KOTA PONTIANAK")</f>
        <v>KOTA PONTIANAK</v>
      </c>
      <c r="Q2540" s="35" t="str">
        <f>IFERROR(__xludf.DUMMYFUNCTION("""COMPUTED_VALUE"""),"KALIMANTAN BARAT")</f>
        <v>KALIMANTAN BARAT</v>
      </c>
      <c r="R2540" s="21" t="str">
        <f>IFERROR(__xludf.DUMMYFUNCTION("""COMPUTED_VALUE"""),"BUDDHA")</f>
        <v>BUDDHA</v>
      </c>
      <c r="S2540" s="74" t="str">
        <f>IFERROR(__xludf.DUMMYFUNCTION("""COMPUTED_VALUE"""),"SWASTA")</f>
        <v>SWASTA</v>
      </c>
      <c r="T2540" s="35" t="str">
        <f>IFERROR(__xludf.DUMMYFUNCTION("""COMPUTED_VALUE"""),"SAKIT TANGAN DI SEBELAH KANAN")</f>
        <v>SAKIT TANGAN DI SEBELAH KANAN</v>
      </c>
      <c r="U2540" s="35" t="str">
        <f>IFERROR(__xludf.DUMMYFUNCTION("""COMPUTED_VALUE"""),"HOBI BADMINTON")</f>
        <v>HOBI BADMINTON</v>
      </c>
      <c r="V2540" s="37" t="str">
        <f>IFERROR(__xludf.DUMMYFUNCTION("""COMPUTED_VALUE"""),"085753367202")</f>
        <v>085753367202</v>
      </c>
      <c r="W2540" s="45"/>
    </row>
    <row r="2541">
      <c r="A2541" s="45"/>
      <c r="B2541" s="24" t="str">
        <f>IFERROR(__xludf.DUMMYFUNCTION("""COMPUTED_VALUE"""),"25/06/2025 17:38:10")</f>
        <v>25/06/2025 17:38:10</v>
      </c>
      <c r="C2541" s="35"/>
      <c r="D2541" s="10">
        <f>IFERROR(__xludf.DUMMYFUNCTION("""COMPUTED_VALUE"""),45833.0)</f>
        <v>45833</v>
      </c>
      <c r="E2541" s="35" t="str">
        <f>IFERROR(__xludf.DUMMYFUNCTION("""COMPUTED_VALUE"""),"06Jun")</f>
        <v>06Jun</v>
      </c>
      <c r="F2541" s="34" t="str">
        <f>IFERROR(__xludf.DUMMYFUNCTION("""COMPUTED_VALUE"""),"2025")</f>
        <v>2025</v>
      </c>
      <c r="G2541" s="35" t="str">
        <f>IFERROR(__xludf.DUMMYFUNCTION("""COMPUTED_VALUE"""),"ANTONIO JANUARDI")</f>
        <v>ANTONIO JANUARDI</v>
      </c>
      <c r="H2541" s="35" t="str">
        <f>IFERROR(__xludf.DUMMYFUNCTION("""COMPUTED_VALUE"""),"A0325069944")</f>
        <v>A0325069944</v>
      </c>
      <c r="I2541" s="35">
        <f>IFERROR(__xludf.DUMMYFUNCTION("""COMPUTED_VALUE"""),23.0)</f>
        <v>23</v>
      </c>
      <c r="J2541" s="35" t="str">
        <f>IFERROR(__xludf.DUMMYFUNCTION("""COMPUTED_VALUE"""),"18-24 tahun")</f>
        <v>18-24 tahun</v>
      </c>
      <c r="K2541" s="21" t="str">
        <f>IFERROR(__xludf.DUMMYFUNCTION("""COMPUTED_VALUE"""),"02/01/2003")</f>
        <v>02/01/2003</v>
      </c>
      <c r="L2541" s="21" t="str">
        <f>IFERROR(__xludf.DUMMYFUNCTION("""COMPUTED_VALUE"""),"LAKI-LAKI")</f>
        <v>LAKI-LAKI</v>
      </c>
      <c r="M2541" s="35" t="str">
        <f>IFERROR(__xludf.DUMMYFUNCTION("""COMPUTED_VALUE"""),"JL. GUSTI SITUT MAHMUD, SELAT SUMBA III, GG. MANTUKA NO. 112")</f>
        <v>JL. GUSTI SITUT MAHMUD, SELAT SUMBA III, GG. MANTUKA NO. 112</v>
      </c>
      <c r="N2541" s="35" t="str">
        <f>IFERROR(__xludf.DUMMYFUNCTION("""COMPUTED_VALUE"""),"SIANTAN TENGAH")</f>
        <v>SIANTAN TENGAH</v>
      </c>
      <c r="O2541" s="35" t="str">
        <f>IFERROR(__xludf.DUMMYFUNCTION("""COMPUTED_VALUE"""),"PONTIANAK UTARA")</f>
        <v>PONTIANAK UTARA</v>
      </c>
      <c r="P2541" s="35" t="str">
        <f>IFERROR(__xludf.DUMMYFUNCTION("""COMPUTED_VALUE"""),"PONTIANAK")</f>
        <v>PONTIANAK</v>
      </c>
      <c r="Q2541" s="35" t="str">
        <f>IFERROR(__xludf.DUMMYFUNCTION("""COMPUTED_VALUE"""),"KALIMANTAN BARAT")</f>
        <v>KALIMANTAN BARAT</v>
      </c>
      <c r="R2541" s="21" t="str">
        <f>IFERROR(__xludf.DUMMYFUNCTION("""COMPUTED_VALUE"""),"LAINNYA")</f>
        <v>LAINNYA</v>
      </c>
      <c r="S2541" s="74" t="str">
        <f>IFERROR(__xludf.DUMMYFUNCTION("""COMPUTED_VALUE"""),"MAHASISWA")</f>
        <v>MAHASISWA</v>
      </c>
      <c r="T2541" s="35" t="str">
        <f>IFERROR(__xludf.DUMMYFUNCTION("""COMPUTED_VALUE"""),"LOW BACK PAIN (DUDUK KELAMAAN, BERDIRI KELAMAAN KADANG PEGAL). SELAIN ITU, KALAU BERBARING KADANG SAKIT LANGSUNG MEMUSAT KE PINGGANG")</f>
        <v>LOW BACK PAIN (DUDUK KELAMAAN, BERDIRI KELAMAAN KADANG PEGAL). SELAIN ITU, KALAU BERBARING KADANG SAKIT LANGSUNG MEMUSAT KE PINGGANG</v>
      </c>
      <c r="U2541" s="35" t="str">
        <f>IFERROR(__xludf.DUMMYFUNCTION("""COMPUTED_VALUE"""),"LATIHAN BEBAN")</f>
        <v>LATIHAN BEBAN</v>
      </c>
      <c r="V2541" s="37" t="str">
        <f>IFERROR(__xludf.DUMMYFUNCTION("""COMPUTED_VALUE"""),"089521239944")</f>
        <v>089521239944</v>
      </c>
      <c r="W2541" s="45"/>
    </row>
    <row r="2542">
      <c r="A2542" s="45"/>
      <c r="B2542" s="24" t="str">
        <f>IFERROR(__xludf.DUMMYFUNCTION("""COMPUTED_VALUE"""),"26/06/2025 9:01:52")</f>
        <v>26/06/2025 9:01:52</v>
      </c>
      <c r="C2542" s="35"/>
      <c r="D2542" s="10">
        <f>IFERROR(__xludf.DUMMYFUNCTION("""COMPUTED_VALUE"""),45834.0)</f>
        <v>45834</v>
      </c>
      <c r="E2542" s="35" t="str">
        <f>IFERROR(__xludf.DUMMYFUNCTION("""COMPUTED_VALUE"""),"06Jun")</f>
        <v>06Jun</v>
      </c>
      <c r="F2542" s="34" t="str">
        <f>IFERROR(__xludf.DUMMYFUNCTION("""COMPUTED_VALUE"""),"2025")</f>
        <v>2025</v>
      </c>
      <c r="G2542" s="35" t="str">
        <f>IFERROR(__xludf.DUMMYFUNCTION("""COMPUTED_VALUE"""),"CILVA NABILAH PUTRI DANISA")</f>
        <v>CILVA NABILAH PUTRI DANISA</v>
      </c>
      <c r="H2542" s="35" t="str">
        <f>IFERROR(__xludf.DUMMYFUNCTION("""COMPUTED_VALUE"""),"C1025067758")</f>
        <v>C1025067758</v>
      </c>
      <c r="I2542" s="35">
        <f>IFERROR(__xludf.DUMMYFUNCTION("""COMPUTED_VALUE"""),15.0)</f>
        <v>15</v>
      </c>
      <c r="J2542" s="35" t="str">
        <f>IFERROR(__xludf.DUMMYFUNCTION("""COMPUTED_VALUE"""),"&lt; 18 tahun")</f>
        <v>&lt; 18 tahun</v>
      </c>
      <c r="K2542" s="21" t="str">
        <f>IFERROR(__xludf.DUMMYFUNCTION("""COMPUTED_VALUE"""),"14/10/2010")</f>
        <v>14/10/2010</v>
      </c>
      <c r="L2542" s="21" t="str">
        <f>IFERROR(__xludf.DUMMYFUNCTION("""COMPUTED_VALUE"""),"PEREMPUAN")</f>
        <v>PEREMPUAN</v>
      </c>
      <c r="M2542" s="35" t="str">
        <f>IFERROR(__xludf.DUMMYFUNCTION("""COMPUTED_VALUE"""),"JL. HUSIN HAMZAH GG. H.M HUSIN NO.8")</f>
        <v>JL. HUSIN HAMZAH GG. H.M HUSIN NO.8</v>
      </c>
      <c r="N2542" s="35" t="str">
        <f>IFERROR(__xludf.DUMMYFUNCTION("""COMPUTED_VALUE"""),"SUI JAWI DALAM")</f>
        <v>SUI JAWI DALAM</v>
      </c>
      <c r="O2542" s="35" t="str">
        <f>IFERROR(__xludf.DUMMYFUNCTION("""COMPUTED_VALUE"""),"PONTIANAK BARAT")</f>
        <v>PONTIANAK BARAT</v>
      </c>
      <c r="P2542" s="35" t="str">
        <f>IFERROR(__xludf.DUMMYFUNCTION("""COMPUTED_VALUE"""),"PONTIANAK")</f>
        <v>PONTIANAK</v>
      </c>
      <c r="Q2542" s="35" t="str">
        <f>IFERROR(__xludf.DUMMYFUNCTION("""COMPUTED_VALUE"""),"KALBAR")</f>
        <v>KALBAR</v>
      </c>
      <c r="R2542" s="21" t="str">
        <f>IFERROR(__xludf.DUMMYFUNCTION("""COMPUTED_VALUE"""),"ISLAM")</f>
        <v>ISLAM</v>
      </c>
      <c r="S2542" s="74" t="str">
        <f>IFERROR(__xludf.DUMMYFUNCTION("""COMPUTED_VALUE"""),"SISWA")</f>
        <v>SISWA</v>
      </c>
      <c r="T2542" s="35" t="str">
        <f>IFERROR(__xludf.DUMMYFUNCTION("""COMPUTED_VALUE"""),"KAKI BENGKAK , CEDERA KARENA OLAHRAGA")</f>
        <v>KAKI BENGKAK , CEDERA KARENA OLAHRAGA</v>
      </c>
      <c r="U2542" s="35" t="str">
        <f>IFERROR(__xludf.DUMMYFUNCTION("""COMPUTED_VALUE"""),"OLAHRAGA BADMINTON")</f>
        <v>OLAHRAGA BADMINTON</v>
      </c>
      <c r="V2542" s="37" t="str">
        <f>IFERROR(__xludf.DUMMYFUNCTION("""COMPUTED_VALUE"""),"081352677758")</f>
        <v>081352677758</v>
      </c>
      <c r="W2542" s="45"/>
    </row>
    <row r="2543">
      <c r="A2543" s="45"/>
      <c r="B2543" s="24" t="str">
        <f>IFERROR(__xludf.DUMMYFUNCTION("""COMPUTED_VALUE"""),"26/06/2025 8:41:12")</f>
        <v>26/06/2025 8:41:12</v>
      </c>
      <c r="C2543" s="35"/>
      <c r="D2543" s="10">
        <f>IFERROR(__xludf.DUMMYFUNCTION("""COMPUTED_VALUE"""),45834.0)</f>
        <v>45834</v>
      </c>
      <c r="E2543" s="35" t="str">
        <f>IFERROR(__xludf.DUMMYFUNCTION("""COMPUTED_VALUE"""),"06Jun")</f>
        <v>06Jun</v>
      </c>
      <c r="F2543" s="34" t="str">
        <f>IFERROR(__xludf.DUMMYFUNCTION("""COMPUTED_VALUE"""),"2025")</f>
        <v>2025</v>
      </c>
      <c r="G2543" s="35" t="str">
        <f>IFERROR(__xludf.DUMMYFUNCTION("""COMPUTED_VALUE"""),"SYARIFAH NABILA AULIA RANTI")</f>
        <v>SYARIFAH NABILA AULIA RANTI</v>
      </c>
      <c r="H2543" s="35" t="str">
        <f>IFERROR(__xludf.DUMMYFUNCTION("""COMPUTED_VALUE"""),"S9425063337")</f>
        <v>S9425063337</v>
      </c>
      <c r="I2543" s="35">
        <f>IFERROR(__xludf.DUMMYFUNCTION("""COMPUTED_VALUE"""),32.0)</f>
        <v>32</v>
      </c>
      <c r="J2543" s="35" t="str">
        <f>IFERROR(__xludf.DUMMYFUNCTION("""COMPUTED_VALUE"""),"25-34 tahun")</f>
        <v>25-34 tahun</v>
      </c>
      <c r="K2543" s="21" t="str">
        <f>IFERROR(__xludf.DUMMYFUNCTION("""COMPUTED_VALUE"""),"21/01/1994")</f>
        <v>21/01/1994</v>
      </c>
      <c r="L2543" s="21" t="str">
        <f>IFERROR(__xludf.DUMMYFUNCTION("""COMPUTED_VALUE"""),"PEREMPUAN")</f>
        <v>PEREMPUAN</v>
      </c>
      <c r="M2543" s="35" t="str">
        <f>IFERROR(__xludf.DUMMYFUNCTION("""COMPUTED_VALUE"""),"JL MERDEKA GG PUNAI NO 1A")</f>
        <v>JL MERDEKA GG PUNAI NO 1A</v>
      </c>
      <c r="N2543" s="35" t="str">
        <f>IFERROR(__xludf.DUMMYFUNCTION("""COMPUTED_VALUE"""),"MARIANA")</f>
        <v>MARIANA</v>
      </c>
      <c r="O2543" s="35" t="str">
        <f>IFERROR(__xludf.DUMMYFUNCTION("""COMPUTED_VALUE"""),"PONTIANAK KOTA")</f>
        <v>PONTIANAK KOTA</v>
      </c>
      <c r="P2543" s="35" t="str">
        <f>IFERROR(__xludf.DUMMYFUNCTION("""COMPUTED_VALUE"""),"PONTIANAK")</f>
        <v>PONTIANAK</v>
      </c>
      <c r="Q2543" s="35" t="str">
        <f>IFERROR(__xludf.DUMMYFUNCTION("""COMPUTED_VALUE"""),"KALIMANTAN BARAT")</f>
        <v>KALIMANTAN BARAT</v>
      </c>
      <c r="R2543" s="21" t="str">
        <f>IFERROR(__xludf.DUMMYFUNCTION("""COMPUTED_VALUE"""),"ISLAM")</f>
        <v>ISLAM</v>
      </c>
      <c r="S2543" s="74" t="str">
        <f>IFERROR(__xludf.DUMMYFUNCTION("""COMPUTED_VALUE"""),"KARYAWAN BUMN")</f>
        <v>KARYAWAN BUMN</v>
      </c>
      <c r="T2543" s="35" t="str">
        <f>IFERROR(__xludf.DUMMYFUNCTION("""COMPUTED_VALUE"""),"SAKIT TULANG EKOE SEBELAH KANAN. SETIAP BERDIRI PINGGANGNYA KAKU, DAN JIKA LAMA DUDUK AKAN TERASA SAKIT.")</f>
        <v>SAKIT TULANG EKOE SEBELAH KANAN. SETIAP BERDIRI PINGGANGNYA KAKU, DAN JIKA LAMA DUDUK AKAN TERASA SAKIT.</v>
      </c>
      <c r="U2543" s="35" t="str">
        <f>IFERROR(__xludf.DUMMYFUNCTION("""COMPUTED_VALUE"""),"BEKERJA DI KANTOR, LEBIH BANYAK DUDUK")</f>
        <v>BEKERJA DI KANTOR, LEBIH BANYAK DUDUK</v>
      </c>
      <c r="V2543" s="37" t="str">
        <f>IFERROR(__xludf.DUMMYFUNCTION("""COMPUTED_VALUE"""),"085349073337")</f>
        <v>085349073337</v>
      </c>
      <c r="W2543" s="45"/>
    </row>
    <row r="2544">
      <c r="A2544" s="45"/>
      <c r="B2544" s="24" t="str">
        <f>IFERROR(__xludf.DUMMYFUNCTION("""COMPUTED_VALUE"""),"26/06/2025 11:48:24")</f>
        <v>26/06/2025 11:48:24</v>
      </c>
      <c r="C2544" s="35"/>
      <c r="D2544" s="10">
        <f>IFERROR(__xludf.DUMMYFUNCTION("""COMPUTED_VALUE"""),45834.0)</f>
        <v>45834</v>
      </c>
      <c r="E2544" s="35" t="str">
        <f>IFERROR(__xludf.DUMMYFUNCTION("""COMPUTED_VALUE"""),"06Jun")</f>
        <v>06Jun</v>
      </c>
      <c r="F2544" s="34" t="str">
        <f>IFERROR(__xludf.DUMMYFUNCTION("""COMPUTED_VALUE"""),"2025")</f>
        <v>2025</v>
      </c>
      <c r="G2544" s="35" t="str">
        <f>IFERROR(__xludf.DUMMYFUNCTION("""COMPUTED_VALUE"""),"GIYASMAN")</f>
        <v>GIYASMAN</v>
      </c>
      <c r="H2544" s="35" t="str">
        <f>IFERROR(__xludf.DUMMYFUNCTION("""COMPUTED_VALUE"""),"G7625060554")</f>
        <v>G7625060554</v>
      </c>
      <c r="I2544" s="35">
        <f>IFERROR(__xludf.DUMMYFUNCTION("""COMPUTED_VALUE"""),50.0)</f>
        <v>50</v>
      </c>
      <c r="J2544" s="35" t="str">
        <f>IFERROR(__xludf.DUMMYFUNCTION("""COMPUTED_VALUE"""),"&gt; 44 tahun")</f>
        <v>&gt; 44 tahun</v>
      </c>
      <c r="K2544" s="21" t="str">
        <f>IFERROR(__xludf.DUMMYFUNCTION("""COMPUTED_VALUE"""),"01/04/1976")</f>
        <v>01/04/1976</v>
      </c>
      <c r="L2544" s="21" t="str">
        <f>IFERROR(__xludf.DUMMYFUNCTION("""COMPUTED_VALUE"""),"LAKI-LAKI")</f>
        <v>LAKI-LAKI</v>
      </c>
      <c r="M2544" s="35" t="str">
        <f>IFERROR(__xludf.DUMMYFUNCTION("""COMPUTED_VALUE"""),"JALAN PARIT BUGIS GG BUDI UTOMO")</f>
        <v>JALAN PARIT BUGIS GG BUDI UTOMO</v>
      </c>
      <c r="N2544" s="35" t="str">
        <f>IFERROR(__xludf.DUMMYFUNCTION("""COMPUTED_VALUE"""),"SUNGAI RAYA")</f>
        <v>SUNGAI RAYA</v>
      </c>
      <c r="O2544" s="35" t="str">
        <f>IFERROR(__xludf.DUMMYFUNCTION("""COMPUTED_VALUE"""),"SUNGAI RAYA")</f>
        <v>SUNGAI RAYA</v>
      </c>
      <c r="P2544" s="35" t="str">
        <f>IFERROR(__xludf.DUMMYFUNCTION("""COMPUTED_VALUE"""),"KUBU RAYA")</f>
        <v>KUBU RAYA</v>
      </c>
      <c r="Q2544" s="35" t="str">
        <f>IFERROR(__xludf.DUMMYFUNCTION("""COMPUTED_VALUE"""),"KALIMANTAN BARAT")</f>
        <v>KALIMANTAN BARAT</v>
      </c>
      <c r="R2544" s="21" t="str">
        <f>IFERROR(__xludf.DUMMYFUNCTION("""COMPUTED_VALUE"""),"ISLAM")</f>
        <v>ISLAM</v>
      </c>
      <c r="S2544" s="74" t="str">
        <f>IFERROR(__xludf.DUMMYFUNCTION("""COMPUTED_VALUE"""),"TNI")</f>
        <v>TNI</v>
      </c>
      <c r="T2544" s="35" t="str">
        <f>IFERROR(__xludf.DUMMYFUNCTION("""COMPUTED_VALUE"""),"NYERI, TANGAN SUSAH DI GERAKKAN HABIS MAIN VOLLY")</f>
        <v>NYERI, TANGAN SUSAH DI GERAKKAN HABIS MAIN VOLLY</v>
      </c>
      <c r="U2544" s="35" t="str">
        <f>IFERROR(__xludf.DUMMYFUNCTION("""COMPUTED_VALUE"""),"VOLLY")</f>
        <v>VOLLY</v>
      </c>
      <c r="V2544" s="37" t="str">
        <f>IFERROR(__xludf.DUMMYFUNCTION("""COMPUTED_VALUE"""),"089694280554")</f>
        <v>089694280554</v>
      </c>
      <c r="W2544" s="45"/>
    </row>
    <row r="2545">
      <c r="A2545" s="45"/>
      <c r="B2545" s="24" t="str">
        <f>IFERROR(__xludf.DUMMYFUNCTION("""COMPUTED_VALUE"""),"28/06/2025 13:17:41")</f>
        <v>28/06/2025 13:17:41</v>
      </c>
      <c r="C2545" s="35"/>
      <c r="D2545" s="10">
        <f>IFERROR(__xludf.DUMMYFUNCTION("""COMPUTED_VALUE"""),45836.0)</f>
        <v>45836</v>
      </c>
      <c r="E2545" s="35" t="str">
        <f>IFERROR(__xludf.DUMMYFUNCTION("""COMPUTED_VALUE"""),"06Jun")</f>
        <v>06Jun</v>
      </c>
      <c r="F2545" s="34" t="str">
        <f>IFERROR(__xludf.DUMMYFUNCTION("""COMPUTED_VALUE"""),"2025")</f>
        <v>2025</v>
      </c>
      <c r="G2545" s="35" t="str">
        <f>IFERROR(__xludf.DUMMYFUNCTION("""COMPUTED_VALUE"""),"ANGELIQUE CHANDRA")</f>
        <v>ANGELIQUE CHANDRA</v>
      </c>
      <c r="H2545" s="35" t="str">
        <f>IFERROR(__xludf.DUMMYFUNCTION("""COMPUTED_VALUE"""),"A0225069051")</f>
        <v>A0225069051</v>
      </c>
      <c r="I2545" s="35">
        <f>IFERROR(__xludf.DUMMYFUNCTION("""COMPUTED_VALUE"""),23.0)</f>
        <v>23</v>
      </c>
      <c r="J2545" s="35" t="str">
        <f>IFERROR(__xludf.DUMMYFUNCTION("""COMPUTED_VALUE"""),"18-24 tahun")</f>
        <v>18-24 tahun</v>
      </c>
      <c r="K2545" s="21" t="str">
        <f>IFERROR(__xludf.DUMMYFUNCTION("""COMPUTED_VALUE"""),"18/07/2002")</f>
        <v>18/07/2002</v>
      </c>
      <c r="L2545" s="21" t="str">
        <f>IFERROR(__xludf.DUMMYFUNCTION("""COMPUTED_VALUE"""),"PEREMPUAN")</f>
        <v>PEREMPUAN</v>
      </c>
      <c r="M2545" s="35" t="str">
        <f>IFERROR(__xludf.DUMMYFUNCTION("""COMPUTED_VALUE"""),"JALAN SOEKARNO HATTA NO. 10-11")</f>
        <v>JALAN SOEKARNO HATTA NO. 10-11</v>
      </c>
      <c r="N2545" s="35" t="str">
        <f>IFERROR(__xludf.DUMMYFUNCTION("""COMPUTED_VALUE"""),"SUNGAI RAYA DALAM")</f>
        <v>SUNGAI RAYA DALAM</v>
      </c>
      <c r="O2545" s="35" t="str">
        <f>IFERROR(__xludf.DUMMYFUNCTION("""COMPUTED_VALUE"""),"SUNGAI RAYA")</f>
        <v>SUNGAI RAYA</v>
      </c>
      <c r="P2545" s="35" t="str">
        <f>IFERROR(__xludf.DUMMYFUNCTION("""COMPUTED_VALUE"""),"KUBU RAYA")</f>
        <v>KUBU RAYA</v>
      </c>
      <c r="Q2545" s="35" t="str">
        <f>IFERROR(__xludf.DUMMYFUNCTION("""COMPUTED_VALUE"""),"KALIMANTAN BARAT")</f>
        <v>KALIMANTAN BARAT</v>
      </c>
      <c r="R2545" s="21" t="str">
        <f>IFERROR(__xludf.DUMMYFUNCTION("""COMPUTED_VALUE"""),"KATOLIK")</f>
        <v>KATOLIK</v>
      </c>
      <c r="S2545" s="74" t="str">
        <f>IFERROR(__xludf.DUMMYFUNCTION("""COMPUTED_VALUE"""),"KARYAWAN")</f>
        <v>KARYAWAN</v>
      </c>
      <c r="T2545" s="35" t="str">
        <f>IFERROR(__xludf.DUMMYFUNCTION("""COMPUTED_VALUE"""),"1. LENGAN SAKIT 2. KALAU BADAN TEGAK DADANYA SAKIT")</f>
        <v>1. LENGAN SAKIT 2. KALAU BADAN TEGAK DADANYA SAKIT</v>
      </c>
      <c r="U2545" s="35" t="str">
        <f>IFERROR(__xludf.DUMMYFUNCTION("""COMPUTED_VALUE"""),"MENGGUNAKAN LAPTOP, MAIN HP")</f>
        <v>MENGGUNAKAN LAPTOP, MAIN HP</v>
      </c>
      <c r="V2545" s="37" t="str">
        <f>IFERROR(__xludf.DUMMYFUNCTION("""COMPUTED_VALUE"""),"081364829051")</f>
        <v>081364829051</v>
      </c>
      <c r="W2545" s="45"/>
    </row>
    <row r="2546">
      <c r="A2546" s="45"/>
      <c r="B2546" s="24" t="str">
        <f>IFERROR(__xludf.DUMMYFUNCTION("""COMPUTED_VALUE"""),"28/06/2025 15:14:59")</f>
        <v>28/06/2025 15:14:59</v>
      </c>
      <c r="C2546" s="35"/>
      <c r="D2546" s="10">
        <f>IFERROR(__xludf.DUMMYFUNCTION("""COMPUTED_VALUE"""),45836.0)</f>
        <v>45836</v>
      </c>
      <c r="E2546" s="35" t="str">
        <f>IFERROR(__xludf.DUMMYFUNCTION("""COMPUTED_VALUE"""),"06Jun")</f>
        <v>06Jun</v>
      </c>
      <c r="F2546" s="34" t="str">
        <f>IFERROR(__xludf.DUMMYFUNCTION("""COMPUTED_VALUE"""),"2025")</f>
        <v>2025</v>
      </c>
      <c r="G2546" s="35" t="str">
        <f>IFERROR(__xludf.DUMMYFUNCTION("""COMPUTED_VALUE"""),"FERRIJANTO")</f>
        <v>FERRIJANTO</v>
      </c>
      <c r="H2546" s="35" t="str">
        <f>IFERROR(__xludf.DUMMYFUNCTION("""COMPUTED_VALUE"""),"F8025064580")</f>
        <v>F8025064580</v>
      </c>
      <c r="I2546" s="35">
        <f>IFERROR(__xludf.DUMMYFUNCTION("""COMPUTED_VALUE"""),45.0)</f>
        <v>45</v>
      </c>
      <c r="J2546" s="35" t="str">
        <f>IFERROR(__xludf.DUMMYFUNCTION("""COMPUTED_VALUE"""),"&gt; 44 tahun")</f>
        <v>&gt; 44 tahun</v>
      </c>
      <c r="K2546" s="21" t="str">
        <f>IFERROR(__xludf.DUMMYFUNCTION("""COMPUTED_VALUE"""),"28/10/1980")</f>
        <v>28/10/1980</v>
      </c>
      <c r="L2546" s="21" t="str">
        <f>IFERROR(__xludf.DUMMYFUNCTION("""COMPUTED_VALUE"""),"LAKI-LAKI")</f>
        <v>LAKI-LAKI</v>
      </c>
      <c r="M2546" s="35" t="str">
        <f>IFERROR(__xludf.DUMMYFUNCTION("""COMPUTED_VALUE"""),"JALAN H RAIS A RAHMAN GG TIONGKANDANG 1 NO 41A")</f>
        <v>JALAN H RAIS A RAHMAN GG TIONGKANDANG 1 NO 41A</v>
      </c>
      <c r="N2546" s="35" t="str">
        <f>IFERROR(__xludf.DUMMYFUNCTION("""COMPUTED_VALUE"""),"SUI JAWI DALAM")</f>
        <v>SUI JAWI DALAM</v>
      </c>
      <c r="O2546" s="35" t="str">
        <f>IFERROR(__xludf.DUMMYFUNCTION("""COMPUTED_VALUE"""),"PONTIANAK KOTA")</f>
        <v>PONTIANAK KOTA</v>
      </c>
      <c r="P2546" s="35" t="str">
        <f>IFERROR(__xludf.DUMMYFUNCTION("""COMPUTED_VALUE"""),"KOTA PONTIANAK")</f>
        <v>KOTA PONTIANAK</v>
      </c>
      <c r="Q2546" s="35" t="str">
        <f>IFERROR(__xludf.DUMMYFUNCTION("""COMPUTED_VALUE"""),"KAL BAR")</f>
        <v>KAL BAR</v>
      </c>
      <c r="R2546" s="21" t="str">
        <f>IFERROR(__xludf.DUMMYFUNCTION("""COMPUTED_VALUE"""),"BUDDHA")</f>
        <v>BUDDHA</v>
      </c>
      <c r="S2546" s="74" t="str">
        <f>IFERROR(__xludf.DUMMYFUNCTION("""COMPUTED_VALUE"""),"SWASTA")</f>
        <v>SWASTA</v>
      </c>
      <c r="T2546" s="35" t="str">
        <f>IFERROR(__xludf.DUMMYFUNCTION("""COMPUTED_VALUE"""),"SAKIT DR PINGGANG SAMPAI KE PAHA SERTA BETIS")</f>
        <v>SAKIT DR PINGGANG SAMPAI KE PAHA SERTA BETIS</v>
      </c>
      <c r="U2546" s="35" t="str">
        <f>IFERROR(__xludf.DUMMYFUNCTION("""COMPUTED_VALUE"""),"AKTIVITAS PEKERJAAN")</f>
        <v>AKTIVITAS PEKERJAAN</v>
      </c>
      <c r="V2546" s="37" t="str">
        <f>IFERROR(__xludf.DUMMYFUNCTION("""COMPUTED_VALUE"""),"08125614580")</f>
        <v>08125614580</v>
      </c>
      <c r="W2546" s="45"/>
    </row>
    <row r="2547">
      <c r="A2547" s="45"/>
      <c r="B2547" s="24" t="str">
        <f>IFERROR(__xludf.DUMMYFUNCTION("""COMPUTED_VALUE"""),"28/06/2025 16:19:38")</f>
        <v>28/06/2025 16:19:38</v>
      </c>
      <c r="C2547" s="35"/>
      <c r="D2547" s="10">
        <f>IFERROR(__xludf.DUMMYFUNCTION("""COMPUTED_VALUE"""),45836.0)</f>
        <v>45836</v>
      </c>
      <c r="E2547" s="35" t="str">
        <f>IFERROR(__xludf.DUMMYFUNCTION("""COMPUTED_VALUE"""),"06Jun")</f>
        <v>06Jun</v>
      </c>
      <c r="F2547" s="34" t="str">
        <f>IFERROR(__xludf.DUMMYFUNCTION("""COMPUTED_VALUE"""),"2025")</f>
        <v>2025</v>
      </c>
      <c r="G2547" s="35" t="str">
        <f>IFERROR(__xludf.DUMMYFUNCTION("""COMPUTED_VALUE"""),"RHINO MADE S")</f>
        <v>RHINO MADE S</v>
      </c>
      <c r="H2547" s="35" t="str">
        <f>IFERROR(__xludf.DUMMYFUNCTION("""COMPUTED_VALUE"""),"R7225067974")</f>
        <v>R7225067974</v>
      </c>
      <c r="I2547" s="35">
        <f>IFERROR(__xludf.DUMMYFUNCTION("""COMPUTED_VALUE"""),54.0)</f>
        <v>54</v>
      </c>
      <c r="J2547" s="35" t="str">
        <f>IFERROR(__xludf.DUMMYFUNCTION("""COMPUTED_VALUE"""),"&gt; 44 tahun")</f>
        <v>&gt; 44 tahun</v>
      </c>
      <c r="K2547" s="21" t="str">
        <f>IFERROR(__xludf.DUMMYFUNCTION("""COMPUTED_VALUE"""),"08/05/1972")</f>
        <v>08/05/1972</v>
      </c>
      <c r="L2547" s="21" t="str">
        <f>IFERROR(__xludf.DUMMYFUNCTION("""COMPUTED_VALUE"""),"LAKI-LAKI")</f>
        <v>LAKI-LAKI</v>
      </c>
      <c r="M2547" s="35" t="str">
        <f>IFERROR(__xludf.DUMMYFUNCTION("""COMPUTED_VALUE"""),"JL. KOMYOS SUDARSO")</f>
        <v>JL. KOMYOS SUDARSO</v>
      </c>
      <c r="N2547" s="35" t="str">
        <f>IFERROR(__xludf.DUMMYFUNCTION("""COMPUTED_VALUE"""),"-")</f>
        <v>-</v>
      </c>
      <c r="O2547" s="35" t="str">
        <f>IFERROR(__xludf.DUMMYFUNCTION("""COMPUTED_VALUE"""),"-")</f>
        <v>-</v>
      </c>
      <c r="P2547" s="35" t="str">
        <f>IFERROR(__xludf.DUMMYFUNCTION("""COMPUTED_VALUE"""),"PONTIANAK")</f>
        <v>PONTIANAK</v>
      </c>
      <c r="Q2547" s="35" t="str">
        <f>IFERROR(__xludf.DUMMYFUNCTION("""COMPUTED_VALUE"""),"KALIMANTAN BARAT")</f>
        <v>KALIMANTAN BARAT</v>
      </c>
      <c r="R2547" s="21" t="str">
        <f>IFERROR(__xludf.DUMMYFUNCTION("""COMPUTED_VALUE"""),"HINDU")</f>
        <v>HINDU</v>
      </c>
      <c r="S2547" s="74" t="str">
        <f>IFERROR(__xludf.DUMMYFUNCTION("""COMPUTED_VALUE"""),"SWASTA")</f>
        <v>SWASTA</v>
      </c>
      <c r="T2547" s="35" t="str">
        <f>IFERROR(__xludf.DUMMYFUNCTION("""COMPUTED_VALUE"""),"BAHU DAN LEHER")</f>
        <v>BAHU DAN LEHER</v>
      </c>
      <c r="U2547" s="35" t="str">
        <f>IFERROR(__xludf.DUMMYFUNCTION("""COMPUTED_VALUE"""),"-")</f>
        <v>-</v>
      </c>
      <c r="V2547" s="37" t="str">
        <f>IFERROR(__xludf.DUMMYFUNCTION("""COMPUTED_VALUE"""),"085822417974")</f>
        <v>085822417974</v>
      </c>
      <c r="W2547" s="45"/>
    </row>
    <row r="2548">
      <c r="A2548" s="45"/>
      <c r="B2548" s="24" t="str">
        <f>IFERROR(__xludf.DUMMYFUNCTION("""COMPUTED_VALUE"""),"29/06/2025 7:42:18")</f>
        <v>29/06/2025 7:42:18</v>
      </c>
      <c r="C2548" s="35"/>
      <c r="D2548" s="10">
        <f>IFERROR(__xludf.DUMMYFUNCTION("""COMPUTED_VALUE"""),45836.0)</f>
        <v>45836</v>
      </c>
      <c r="E2548" s="35" t="str">
        <f>IFERROR(__xludf.DUMMYFUNCTION("""COMPUTED_VALUE"""),"06Jun")</f>
        <v>06Jun</v>
      </c>
      <c r="F2548" s="34" t="str">
        <f>IFERROR(__xludf.DUMMYFUNCTION("""COMPUTED_VALUE"""),"2025")</f>
        <v>2025</v>
      </c>
      <c r="G2548" s="35" t="str">
        <f>IFERROR(__xludf.DUMMYFUNCTION("""COMPUTED_VALUE"""),"TOMMY YANSENS")</f>
        <v>TOMMY YANSENS</v>
      </c>
      <c r="H2548" s="35" t="str">
        <f>IFERROR(__xludf.DUMMYFUNCTION("""COMPUTED_VALUE"""),"T5525065588")</f>
        <v>T5525065588</v>
      </c>
      <c r="I2548" s="35">
        <f>IFERROR(__xludf.DUMMYFUNCTION("""COMPUTED_VALUE"""),70.0)</f>
        <v>70</v>
      </c>
      <c r="J2548" s="35" t="str">
        <f>IFERROR(__xludf.DUMMYFUNCTION("""COMPUTED_VALUE"""),"&gt; 44 tahun")</f>
        <v>&gt; 44 tahun</v>
      </c>
      <c r="K2548" s="21" t="str">
        <f>IFERROR(__xludf.DUMMYFUNCTION("""COMPUTED_VALUE"""),"08/08/1955")</f>
        <v>08/08/1955</v>
      </c>
      <c r="L2548" s="21" t="str">
        <f>IFERROR(__xludf.DUMMYFUNCTION("""COMPUTED_VALUE"""),"LAKI-LAKI")</f>
        <v>LAKI-LAKI</v>
      </c>
      <c r="M2548" s="35" t="str">
        <f>IFERROR(__xludf.DUMMYFUNCTION("""COMPUTED_VALUE"""),"JL RE MARTADINATA GG BUNCIS")</f>
        <v>JL RE MARTADINATA GG BUNCIS</v>
      </c>
      <c r="N2548" s="35" t="str">
        <f>IFERROR(__xludf.DUMMYFUNCTION("""COMPUTED_VALUE"""),"SUNGAI JAWI LUAR")</f>
        <v>SUNGAI JAWI LUAR</v>
      </c>
      <c r="O2548" s="35" t="str">
        <f>IFERROR(__xludf.DUMMYFUNCTION("""COMPUTED_VALUE"""),"PONTIANAK BARAT")</f>
        <v>PONTIANAK BARAT</v>
      </c>
      <c r="P2548" s="35" t="str">
        <f>IFERROR(__xludf.DUMMYFUNCTION("""COMPUTED_VALUE"""),"PONTIANAK")</f>
        <v>PONTIANAK</v>
      </c>
      <c r="Q2548" s="35" t="str">
        <f>IFERROR(__xludf.DUMMYFUNCTION("""COMPUTED_VALUE"""),"KALIMANTAN BARAT")</f>
        <v>KALIMANTAN BARAT</v>
      </c>
      <c r="R2548" s="21" t="str">
        <f>IFERROR(__xludf.DUMMYFUNCTION("""COMPUTED_VALUE"""),"KATOLIK")</f>
        <v>KATOLIK</v>
      </c>
      <c r="S2548" s="74" t="str">
        <f>IFERROR(__xludf.DUMMYFUNCTION("""COMPUTED_VALUE"""),"KARYAWAN SWASTA")</f>
        <v>KARYAWAN SWASTA</v>
      </c>
      <c r="T2548" s="35" t="str">
        <f>IFERROR(__xludf.DUMMYFUNCTION("""COMPUTED_VALUE"""),"PINGGANG")</f>
        <v>PINGGANG</v>
      </c>
      <c r="U2548" s="35" t="str">
        <f>IFERROR(__xludf.DUMMYFUNCTION("""COMPUTED_VALUE"""),"-")</f>
        <v>-</v>
      </c>
      <c r="V2548" s="37" t="str">
        <f>IFERROR(__xludf.DUMMYFUNCTION("""COMPUTED_VALUE"""),"081649075588")</f>
        <v>081649075588</v>
      </c>
      <c r="W2548" s="45"/>
    </row>
    <row r="2549">
      <c r="A2549" s="45"/>
      <c r="B2549" s="24" t="str">
        <f>IFERROR(__xludf.DUMMYFUNCTION("""COMPUTED_VALUE"""),"29/06/2025 10:43:05")</f>
        <v>29/06/2025 10:43:05</v>
      </c>
      <c r="C2549" s="35"/>
      <c r="D2549" s="10">
        <f>IFERROR(__xludf.DUMMYFUNCTION("""COMPUTED_VALUE"""),45837.0)</f>
        <v>45837</v>
      </c>
      <c r="E2549" s="35" t="str">
        <f>IFERROR(__xludf.DUMMYFUNCTION("""COMPUTED_VALUE"""),"06Jun")</f>
        <v>06Jun</v>
      </c>
      <c r="F2549" s="34" t="str">
        <f>IFERROR(__xludf.DUMMYFUNCTION("""COMPUTED_VALUE"""),"2025")</f>
        <v>2025</v>
      </c>
      <c r="G2549" s="35" t="str">
        <f>IFERROR(__xludf.DUMMYFUNCTION("""COMPUTED_VALUE"""),"MUHAMMAD ALDHO SYAHPUTRA")</f>
        <v>MUHAMMAD ALDHO SYAHPUTRA</v>
      </c>
      <c r="H2549" s="35" t="str">
        <f>IFERROR(__xludf.DUMMYFUNCTION("""COMPUTED_VALUE"""),"M0325062614")</f>
        <v>M0325062614</v>
      </c>
      <c r="I2549" s="35">
        <f>IFERROR(__xludf.DUMMYFUNCTION("""COMPUTED_VALUE"""),22.0)</f>
        <v>22</v>
      </c>
      <c r="J2549" s="35" t="str">
        <f>IFERROR(__xludf.DUMMYFUNCTION("""COMPUTED_VALUE"""),"18-24 tahun")</f>
        <v>18-24 tahun</v>
      </c>
      <c r="K2549" s="21" t="str">
        <f>IFERROR(__xludf.DUMMYFUNCTION("""COMPUTED_VALUE"""),"12/09/2003")</f>
        <v>12/09/2003</v>
      </c>
      <c r="L2549" s="21" t="str">
        <f>IFERROR(__xludf.DUMMYFUNCTION("""COMPUTED_VALUE"""),"LAKI-LAKI")</f>
        <v>LAKI-LAKI</v>
      </c>
      <c r="M2549" s="35" t="str">
        <f>IFERROR(__xludf.DUMMYFUNCTION("""COMPUTED_VALUE"""),"JL. TABRANI AHMAD GG. GUNUNG RINJANI NO. B2")</f>
        <v>JL. TABRANI AHMAD GG. GUNUNG RINJANI NO. B2</v>
      </c>
      <c r="N2549" s="35" t="str">
        <f>IFERROR(__xludf.DUMMYFUNCTION("""COMPUTED_VALUE"""),"SUNGAI JAWI DALAM")</f>
        <v>SUNGAI JAWI DALAM</v>
      </c>
      <c r="O2549" s="35" t="str">
        <f>IFERROR(__xludf.DUMMYFUNCTION("""COMPUTED_VALUE"""),"PONTIANAK BARAT")</f>
        <v>PONTIANAK BARAT</v>
      </c>
      <c r="P2549" s="35" t="str">
        <f>IFERROR(__xludf.DUMMYFUNCTION("""COMPUTED_VALUE"""),"PONTIANAK")</f>
        <v>PONTIANAK</v>
      </c>
      <c r="Q2549" s="35" t="str">
        <f>IFERROR(__xludf.DUMMYFUNCTION("""COMPUTED_VALUE"""),"KALIMANTAN BARAT")</f>
        <v>KALIMANTAN BARAT</v>
      </c>
      <c r="R2549" s="21" t="str">
        <f>IFERROR(__xludf.DUMMYFUNCTION("""COMPUTED_VALUE"""),"ISLAM")</f>
        <v>ISLAM</v>
      </c>
      <c r="S2549" s="74" t="str">
        <f>IFERROR(__xludf.DUMMYFUNCTION("""COMPUTED_VALUE"""),"MAHASISWA")</f>
        <v>MAHASISWA</v>
      </c>
      <c r="T2549" s="35" t="str">
        <f>IFERROR(__xludf.DUMMYFUNCTION("""COMPUTED_VALUE"""),"LUTUT")</f>
        <v>LUTUT</v>
      </c>
      <c r="U2549" s="35" t="str">
        <f>IFERROR(__xludf.DUMMYFUNCTION("""COMPUTED_VALUE"""),"FUTSAL")</f>
        <v>FUTSAL</v>
      </c>
      <c r="V2549" s="37" t="str">
        <f>IFERROR(__xludf.DUMMYFUNCTION("""COMPUTED_VALUE"""),"089518342614")</f>
        <v>089518342614</v>
      </c>
      <c r="W2549" s="45"/>
    </row>
    <row r="2550">
      <c r="A2550" s="45"/>
      <c r="B2550" s="24" t="str">
        <f>IFERROR(__xludf.DUMMYFUNCTION("""COMPUTED_VALUE"""),"29/06/2025 12:05:16")</f>
        <v>29/06/2025 12:05:16</v>
      </c>
      <c r="C2550" s="35"/>
      <c r="D2550" s="10">
        <f>IFERROR(__xludf.DUMMYFUNCTION("""COMPUTED_VALUE"""),45837.0)</f>
        <v>45837</v>
      </c>
      <c r="E2550" s="35" t="str">
        <f>IFERROR(__xludf.DUMMYFUNCTION("""COMPUTED_VALUE"""),"06Jun")</f>
        <v>06Jun</v>
      </c>
      <c r="F2550" s="34" t="str">
        <f>IFERROR(__xludf.DUMMYFUNCTION("""COMPUTED_VALUE"""),"2025")</f>
        <v>2025</v>
      </c>
      <c r="G2550" s="35" t="str">
        <f>IFERROR(__xludf.DUMMYFUNCTION("""COMPUTED_VALUE"""),"M. TRI ARIANSYAH")</f>
        <v>M. TRI ARIANSYAH</v>
      </c>
      <c r="H2550" s="35" t="str">
        <f>IFERROR(__xludf.DUMMYFUNCTION("""COMPUTED_VALUE"""),"M9525067669")</f>
        <v>M9525067669</v>
      </c>
      <c r="I2550" s="35">
        <f>IFERROR(__xludf.DUMMYFUNCTION("""COMPUTED_VALUE"""),31.0)</f>
        <v>31</v>
      </c>
      <c r="J2550" s="35" t="str">
        <f>IFERROR(__xludf.DUMMYFUNCTION("""COMPUTED_VALUE"""),"25-34 tahun")</f>
        <v>25-34 tahun</v>
      </c>
      <c r="K2550" s="21" t="str">
        <f>IFERROR(__xludf.DUMMYFUNCTION("""COMPUTED_VALUE"""),"17/02/1995")</f>
        <v>17/02/1995</v>
      </c>
      <c r="L2550" s="21" t="str">
        <f>IFERROR(__xludf.DUMMYFUNCTION("""COMPUTED_VALUE"""),"LAKI-LAKI")</f>
        <v>LAKI-LAKI</v>
      </c>
      <c r="M2550" s="35" t="str">
        <f>IFERROR(__xludf.DUMMYFUNCTION("""COMPUTED_VALUE"""),"JL. DR. SUTOMO KOMP. SARIKATON DALAM 1")</f>
        <v>JL. DR. SUTOMO KOMP. SARIKATON DALAM 1</v>
      </c>
      <c r="N2550" s="35" t="str">
        <f>IFERROR(__xludf.DUMMYFUNCTION("""COMPUTED_VALUE"""),"SUNGAI BANGKONG")</f>
        <v>SUNGAI BANGKONG</v>
      </c>
      <c r="O2550" s="35" t="str">
        <f>IFERROR(__xludf.DUMMYFUNCTION("""COMPUTED_VALUE"""),"PONTIANAK KOTA")</f>
        <v>PONTIANAK KOTA</v>
      </c>
      <c r="P2550" s="35" t="str">
        <f>IFERROR(__xludf.DUMMYFUNCTION("""COMPUTED_VALUE"""),"KOTA PONTIANAK")</f>
        <v>KOTA PONTIANAK</v>
      </c>
      <c r="Q2550" s="35" t="str">
        <f>IFERROR(__xludf.DUMMYFUNCTION("""COMPUTED_VALUE"""),"KALIMANTAN BARAT")</f>
        <v>KALIMANTAN BARAT</v>
      </c>
      <c r="R2550" s="21" t="str">
        <f>IFERROR(__xludf.DUMMYFUNCTION("""COMPUTED_VALUE"""),"ISLAM")</f>
        <v>ISLAM</v>
      </c>
      <c r="S2550" s="74" t="str">
        <f>IFERROR(__xludf.DUMMYFUNCTION("""COMPUTED_VALUE"""),"KARYAWAN SWASTA")</f>
        <v>KARYAWAN SWASTA</v>
      </c>
      <c r="T2550" s="35" t="str">
        <f>IFERROR(__xludf.DUMMYFUNCTION("""COMPUTED_VALUE"""),"JARI KELINGKING TIDAK NYAMAN AKIBAT MAIN GOLF")</f>
        <v>JARI KELINGKING TIDAK NYAMAN AKIBAT MAIN GOLF</v>
      </c>
      <c r="U2550" s="35" t="str">
        <f>IFERROR(__xludf.DUMMYFUNCTION("""COMPUTED_VALUE"""),"GOLF")</f>
        <v>GOLF</v>
      </c>
      <c r="V2550" s="37" t="str">
        <f>IFERROR(__xludf.DUMMYFUNCTION("""COMPUTED_VALUE"""),"082256087669")</f>
        <v>082256087669</v>
      </c>
      <c r="W2550" s="45"/>
    </row>
    <row r="2551">
      <c r="A2551" s="45"/>
      <c r="B2551" s="24" t="str">
        <f>IFERROR(__xludf.DUMMYFUNCTION("""COMPUTED_VALUE"""),"29/06/2025 14:25:43")</f>
        <v>29/06/2025 14:25:43</v>
      </c>
      <c r="C2551" s="35"/>
      <c r="D2551" s="10">
        <f>IFERROR(__xludf.DUMMYFUNCTION("""COMPUTED_VALUE"""),45837.0)</f>
        <v>45837</v>
      </c>
      <c r="E2551" s="35" t="str">
        <f>IFERROR(__xludf.DUMMYFUNCTION("""COMPUTED_VALUE"""),"06Jun")</f>
        <v>06Jun</v>
      </c>
      <c r="F2551" s="34" t="str">
        <f>IFERROR(__xludf.DUMMYFUNCTION("""COMPUTED_VALUE"""),"2025")</f>
        <v>2025</v>
      </c>
      <c r="G2551" s="35" t="str">
        <f>IFERROR(__xludf.DUMMYFUNCTION("""COMPUTED_VALUE"""),"MARSALINA TAMPUBOLON")</f>
        <v>MARSALINA TAMPUBOLON</v>
      </c>
      <c r="H2551" s="35" t="str">
        <f>IFERROR(__xludf.DUMMYFUNCTION("""COMPUTED_VALUE"""),"M7225061366")</f>
        <v>M7225061366</v>
      </c>
      <c r="I2551" s="35">
        <f>IFERROR(__xludf.DUMMYFUNCTION("""COMPUTED_VALUE"""),54.0)</f>
        <v>54</v>
      </c>
      <c r="J2551" s="35" t="str">
        <f>IFERROR(__xludf.DUMMYFUNCTION("""COMPUTED_VALUE"""),"&gt; 44 tahun")</f>
        <v>&gt; 44 tahun</v>
      </c>
      <c r="K2551" s="21" t="str">
        <f>IFERROR(__xludf.DUMMYFUNCTION("""COMPUTED_VALUE"""),"25/01/1972")</f>
        <v>25/01/1972</v>
      </c>
      <c r="L2551" s="21" t="str">
        <f>IFERROR(__xludf.DUMMYFUNCTION("""COMPUTED_VALUE"""),"PEREMPUAN")</f>
        <v>PEREMPUAN</v>
      </c>
      <c r="M2551" s="35" t="str">
        <f>IFERROR(__xludf.DUMMYFUNCTION("""COMPUTED_VALUE"""),"JL. PURNAMA 2 GG. SEJAHTERA II")</f>
        <v>JL. PURNAMA 2 GG. SEJAHTERA II</v>
      </c>
      <c r="N2551" s="35" t="str">
        <f>IFERROR(__xludf.DUMMYFUNCTION("""COMPUTED_VALUE"""),"-")</f>
        <v>-</v>
      </c>
      <c r="O2551" s="35" t="str">
        <f>IFERROR(__xludf.DUMMYFUNCTION("""COMPUTED_VALUE"""),"-")</f>
        <v>-</v>
      </c>
      <c r="P2551" s="35" t="str">
        <f>IFERROR(__xludf.DUMMYFUNCTION("""COMPUTED_VALUE"""),"PONTIANAK")</f>
        <v>PONTIANAK</v>
      </c>
      <c r="Q2551" s="35" t="str">
        <f>IFERROR(__xludf.DUMMYFUNCTION("""COMPUTED_VALUE"""),"KALIMANTAN BARAT")</f>
        <v>KALIMANTAN BARAT</v>
      </c>
      <c r="R2551" s="21" t="str">
        <f>IFERROR(__xludf.DUMMYFUNCTION("""COMPUTED_VALUE"""),"LAINNYA")</f>
        <v>LAINNYA</v>
      </c>
      <c r="S2551" s="74" t="str">
        <f>IFERROR(__xludf.DUMMYFUNCTION("""COMPUTED_VALUE"""),"PNS")</f>
        <v>PNS</v>
      </c>
      <c r="T2551" s="35" t="str">
        <f>IFERROR(__xludf.DUMMYFUNCTION("""COMPUTED_VALUE"""),"BAHU")</f>
        <v>BAHU</v>
      </c>
      <c r="U2551" s="35" t="str">
        <f>IFERROR(__xludf.DUMMYFUNCTION("""COMPUTED_VALUE"""),"-")</f>
        <v>-</v>
      </c>
      <c r="V2551" s="37" t="str">
        <f>IFERROR(__xludf.DUMMYFUNCTION("""COMPUTED_VALUE"""),"081345161366")</f>
        <v>081345161366</v>
      </c>
      <c r="W2551" s="45"/>
    </row>
    <row r="2552">
      <c r="A2552" s="45"/>
      <c r="B2552" s="24" t="str">
        <f>IFERROR(__xludf.DUMMYFUNCTION("""COMPUTED_VALUE"""),"30/06/2025 8:49:06")</f>
        <v>30/06/2025 8:49:06</v>
      </c>
      <c r="C2552" s="35"/>
      <c r="D2552" s="10">
        <f>IFERROR(__xludf.DUMMYFUNCTION("""COMPUTED_VALUE"""),45838.0)</f>
        <v>45838</v>
      </c>
      <c r="E2552" s="35" t="str">
        <f>IFERROR(__xludf.DUMMYFUNCTION("""COMPUTED_VALUE"""),"06Jun")</f>
        <v>06Jun</v>
      </c>
      <c r="F2552" s="34" t="str">
        <f>IFERROR(__xludf.DUMMYFUNCTION("""COMPUTED_VALUE"""),"2025")</f>
        <v>2025</v>
      </c>
      <c r="G2552" s="35" t="str">
        <f>IFERROR(__xludf.DUMMYFUNCTION("""COMPUTED_VALUE"""),"HERI PRIYONO")</f>
        <v>HERI PRIYONO</v>
      </c>
      <c r="H2552" s="35" t="str">
        <f>IFERROR(__xludf.DUMMYFUNCTION("""COMPUTED_VALUE"""),"H8925064542")</f>
        <v>H8925064542</v>
      </c>
      <c r="I2552" s="35">
        <f>IFERROR(__xludf.DUMMYFUNCTION("""COMPUTED_VALUE"""),37.0)</f>
        <v>37</v>
      </c>
      <c r="J2552" s="35" t="str">
        <f>IFERROR(__xludf.DUMMYFUNCTION("""COMPUTED_VALUE"""),"35-44 tahun")</f>
        <v>35-44 tahun</v>
      </c>
      <c r="K2552" s="21" t="str">
        <f>IFERROR(__xludf.DUMMYFUNCTION("""COMPUTED_VALUE"""),"04/06/1989")</f>
        <v>04/06/1989</v>
      </c>
      <c r="L2552" s="21" t="str">
        <f>IFERROR(__xludf.DUMMYFUNCTION("""COMPUTED_VALUE"""),"LAKI-LAKI")</f>
        <v>LAKI-LAKI</v>
      </c>
      <c r="M2552" s="35" t="str">
        <f>IFERROR(__xludf.DUMMYFUNCTION("""COMPUTED_VALUE"""),"HERI PRIYONO")</f>
        <v>HERI PRIYONO</v>
      </c>
      <c r="N2552" s="35" t="str">
        <f>IFERROR(__xludf.DUMMYFUNCTION("""COMPUTED_VALUE"""),"LIMBUNG")</f>
        <v>LIMBUNG</v>
      </c>
      <c r="O2552" s="35" t="str">
        <f>IFERROR(__xludf.DUMMYFUNCTION("""COMPUTED_VALUE"""),"SUNGAI RAYA DALAM")</f>
        <v>SUNGAI RAYA DALAM</v>
      </c>
      <c r="P2552" s="35" t="str">
        <f>IFERROR(__xludf.DUMMYFUNCTION("""COMPUTED_VALUE"""),"KUBU RAYA")</f>
        <v>KUBU RAYA</v>
      </c>
      <c r="Q2552" s="35" t="str">
        <f>IFERROR(__xludf.DUMMYFUNCTION("""COMPUTED_VALUE"""),"KALIMANTAN BARAT")</f>
        <v>KALIMANTAN BARAT</v>
      </c>
      <c r="R2552" s="21" t="str">
        <f>IFERROR(__xludf.DUMMYFUNCTION("""COMPUTED_VALUE"""),"ISLAM")</f>
        <v>ISLAM</v>
      </c>
      <c r="S2552" s="74" t="str">
        <f>IFERROR(__xludf.DUMMYFUNCTION("""COMPUTED_VALUE"""),"SWASTA")</f>
        <v>SWASTA</v>
      </c>
      <c r="T2552" s="35" t="str">
        <f>IFERROR(__xludf.DUMMYFUNCTION("""COMPUTED_VALUE"""),"BAGIAN SEBELAH KANAN DARI TANGAN DAN KAKI LEMAH. PASCA OPERASI TUMOR DI KEPALA")</f>
        <v>BAGIAN SEBELAH KANAN DARI TANGAN DAN KAKI LEMAH. PASCA OPERASI TUMOR DI KEPALA</v>
      </c>
      <c r="U2552" s="35" t="str">
        <f>IFERROR(__xludf.DUMMYFUNCTION("""COMPUTED_VALUE"""),"MANCING, FUTSAL, BOLA")</f>
        <v>MANCING, FUTSAL, BOLA</v>
      </c>
      <c r="V2552" s="37" t="str">
        <f>IFERROR(__xludf.DUMMYFUNCTION("""COMPUTED_VALUE"""),"081345264542")</f>
        <v>081345264542</v>
      </c>
      <c r="W2552" s="45"/>
    </row>
    <row r="2553">
      <c r="A2553" s="45"/>
      <c r="B2553" s="24" t="str">
        <f>IFERROR(__xludf.DUMMYFUNCTION("""COMPUTED_VALUE"""),"30/06/2025 10:24:50")</f>
        <v>30/06/2025 10:24:50</v>
      </c>
      <c r="C2553" s="35"/>
      <c r="D2553" s="10">
        <f>IFERROR(__xludf.DUMMYFUNCTION("""COMPUTED_VALUE"""),45838.0)</f>
        <v>45838</v>
      </c>
      <c r="E2553" s="35" t="str">
        <f>IFERROR(__xludf.DUMMYFUNCTION("""COMPUTED_VALUE"""),"06Jun")</f>
        <v>06Jun</v>
      </c>
      <c r="F2553" s="34" t="str">
        <f>IFERROR(__xludf.DUMMYFUNCTION("""COMPUTED_VALUE"""),"2025")</f>
        <v>2025</v>
      </c>
      <c r="G2553" s="35" t="str">
        <f>IFERROR(__xludf.DUMMYFUNCTION("""COMPUTED_VALUE"""),"AGUD GUDIYAHMAN")</f>
        <v>AGUD GUDIYAHMAN</v>
      </c>
      <c r="H2553" s="35" t="str">
        <f>IFERROR(__xludf.DUMMYFUNCTION("""COMPUTED_VALUE"""),"A8625063000")</f>
        <v>A8625063000</v>
      </c>
      <c r="I2553" s="35">
        <f>IFERROR(__xludf.DUMMYFUNCTION("""COMPUTED_VALUE"""),39.0)</f>
        <v>39</v>
      </c>
      <c r="J2553" s="35" t="str">
        <f>IFERROR(__xludf.DUMMYFUNCTION("""COMPUTED_VALUE"""),"35-44 tahun")</f>
        <v>35-44 tahun</v>
      </c>
      <c r="K2553" s="21" t="str">
        <f>IFERROR(__xludf.DUMMYFUNCTION("""COMPUTED_VALUE"""),"25/08/1986")</f>
        <v>25/08/1986</v>
      </c>
      <c r="L2553" s="21" t="str">
        <f>IFERROR(__xludf.DUMMYFUNCTION("""COMPUTED_VALUE"""),"LAKI-LAKI")</f>
        <v>LAKI-LAKI</v>
      </c>
      <c r="M2553" s="35" t="str">
        <f>IFERROR(__xludf.DUMMYFUNCTION("""COMPUTED_VALUE"""),"KOM.NIRWANA NO.8")</f>
        <v>KOM.NIRWANA NO.8</v>
      </c>
      <c r="N2553" s="35" t="str">
        <f>IFERROR(__xludf.DUMMYFUNCTION("""COMPUTED_VALUE"""),"MEKAR BARU")</f>
        <v>MEKAR BARU</v>
      </c>
      <c r="O2553" s="35" t="str">
        <f>IFERROR(__xludf.DUMMYFUNCTION("""COMPUTED_VALUE"""),"DUI RAYA")</f>
        <v>DUI RAYA</v>
      </c>
      <c r="P2553" s="35" t="str">
        <f>IFERROR(__xludf.DUMMYFUNCTION("""COMPUTED_VALUE"""),"KUBU RAYA")</f>
        <v>KUBU RAYA</v>
      </c>
      <c r="Q2553" s="35" t="str">
        <f>IFERROR(__xludf.DUMMYFUNCTION("""COMPUTED_VALUE"""),"KALIMANTAN BARAT")</f>
        <v>KALIMANTAN BARAT</v>
      </c>
      <c r="R2553" s="21" t="str">
        <f>IFERROR(__xludf.DUMMYFUNCTION("""COMPUTED_VALUE"""),"ISLAM")</f>
        <v>ISLAM</v>
      </c>
      <c r="S2553" s="74" t="str">
        <f>IFERROR(__xludf.DUMMYFUNCTION("""COMPUTED_VALUE"""),"ASN")</f>
        <v>ASN</v>
      </c>
      <c r="T2553" s="35" t="str">
        <f>IFERROR(__xludf.DUMMYFUNCTION("""COMPUTED_VALUE"""),"KONSULTASI GERAK KAKO")</f>
        <v>KONSULTASI GERAK KAKO</v>
      </c>
      <c r="U2553" s="35" t="str">
        <f>IFERROR(__xludf.DUMMYFUNCTION("""COMPUTED_VALUE"""),"OLAHRAGA")</f>
        <v>OLAHRAGA</v>
      </c>
      <c r="V2553" s="37" t="str">
        <f>IFERROR(__xludf.DUMMYFUNCTION("""COMPUTED_VALUE"""),"08115713000")</f>
        <v>08115713000</v>
      </c>
      <c r="W2553" s="45"/>
    </row>
    <row r="2554">
      <c r="A2554" s="45"/>
      <c r="B2554" s="24" t="str">
        <f>IFERROR(__xludf.DUMMYFUNCTION("""COMPUTED_VALUE"""),"30/06/2025 14:37:17")</f>
        <v>30/06/2025 14:37:17</v>
      </c>
      <c r="C2554" s="35"/>
      <c r="D2554" s="10">
        <f>IFERROR(__xludf.DUMMYFUNCTION("""COMPUTED_VALUE"""),45838.0)</f>
        <v>45838</v>
      </c>
      <c r="E2554" s="35" t="str">
        <f>IFERROR(__xludf.DUMMYFUNCTION("""COMPUTED_VALUE"""),"06Jun")</f>
        <v>06Jun</v>
      </c>
      <c r="F2554" s="34" t="str">
        <f>IFERROR(__xludf.DUMMYFUNCTION("""COMPUTED_VALUE"""),"2025")</f>
        <v>2025</v>
      </c>
      <c r="G2554" s="35" t="str">
        <f>IFERROR(__xludf.DUMMYFUNCTION("""COMPUTED_VALUE"""),"IMAM MAULUDDIN")</f>
        <v>IMAM MAULUDDIN</v>
      </c>
      <c r="H2554" s="35" t="str">
        <f>IFERROR(__xludf.DUMMYFUNCTION("""COMPUTED_VALUE"""),"I0325069949")</f>
        <v>I0325069949</v>
      </c>
      <c r="I2554" s="35">
        <f>IFERROR(__xludf.DUMMYFUNCTION("""COMPUTED_VALUE"""),23.0)</f>
        <v>23</v>
      </c>
      <c r="J2554" s="35" t="str">
        <f>IFERROR(__xludf.DUMMYFUNCTION("""COMPUTED_VALUE"""),"18-24 tahun")</f>
        <v>18-24 tahun</v>
      </c>
      <c r="K2554" s="21" t="str">
        <f>IFERROR(__xludf.DUMMYFUNCTION("""COMPUTED_VALUE"""),"28/05/2003")</f>
        <v>28/05/2003</v>
      </c>
      <c r="L2554" s="21" t="str">
        <f>IFERROR(__xludf.DUMMYFUNCTION("""COMPUTED_VALUE"""),"LAKI-LAKI")</f>
        <v>LAKI-LAKI</v>
      </c>
      <c r="M2554" s="35" t="str">
        <f>IFERROR(__xludf.DUMMYFUNCTION("""COMPUTED_VALUE"""),"JALAN PARIT TENGAH GG MEKAR KURNIA")</f>
        <v>JALAN PARIT TENGAH GG MEKAR KURNIA</v>
      </c>
      <c r="N2554" s="35" t="str">
        <f>IFERROR(__xludf.DUMMYFUNCTION("""COMPUTED_VALUE"""),"SUNGAI BELIUNG")</f>
        <v>SUNGAI BELIUNG</v>
      </c>
      <c r="O2554" s="35" t="str">
        <f>IFERROR(__xludf.DUMMYFUNCTION("""COMPUTED_VALUE"""),"PONTIANAK BARAT")</f>
        <v>PONTIANAK BARAT</v>
      </c>
      <c r="P2554" s="35" t="str">
        <f>IFERROR(__xludf.DUMMYFUNCTION("""COMPUTED_VALUE"""),"PONTIANAK")</f>
        <v>PONTIANAK</v>
      </c>
      <c r="Q2554" s="35" t="str">
        <f>IFERROR(__xludf.DUMMYFUNCTION("""COMPUTED_VALUE"""),"KALIMANTAN BARAT")</f>
        <v>KALIMANTAN BARAT</v>
      </c>
      <c r="R2554" s="21" t="str">
        <f>IFERROR(__xludf.DUMMYFUNCTION("""COMPUTED_VALUE"""),"ISLAM")</f>
        <v>ISLAM</v>
      </c>
      <c r="S2554" s="74" t="str">
        <f>IFERROR(__xludf.DUMMYFUNCTION("""COMPUTED_VALUE"""),"TIDAK ADA")</f>
        <v>TIDAK ADA</v>
      </c>
      <c r="T2554" s="35" t="str">
        <f>IFERROR(__xludf.DUMMYFUNCTION("""COMPUTED_VALUE"""),"SAKIT DI LUTUT")</f>
        <v>SAKIT DI LUTUT</v>
      </c>
      <c r="U2554" s="35" t="str">
        <f>IFERROR(__xludf.DUMMYFUNCTION("""COMPUTED_VALUE"""),"BERMAIN FUTSAL")</f>
        <v>BERMAIN FUTSAL</v>
      </c>
      <c r="V2554" s="37" t="str">
        <f>IFERROR(__xludf.DUMMYFUNCTION("""COMPUTED_VALUE"""),"082157299949")</f>
        <v>082157299949</v>
      </c>
      <c r="W2554" s="45"/>
    </row>
    <row r="2555">
      <c r="A2555" s="45"/>
      <c r="B2555" s="24" t="str">
        <f>IFERROR(__xludf.DUMMYFUNCTION("""COMPUTED_VALUE"""),"30/06/2025 15:32:30")</f>
        <v>30/06/2025 15:32:30</v>
      </c>
      <c r="C2555" s="35"/>
      <c r="D2555" s="10">
        <f>IFERROR(__xludf.DUMMYFUNCTION("""COMPUTED_VALUE"""),45838.0)</f>
        <v>45838</v>
      </c>
      <c r="E2555" s="35" t="str">
        <f>IFERROR(__xludf.DUMMYFUNCTION("""COMPUTED_VALUE"""),"06Jun")</f>
        <v>06Jun</v>
      </c>
      <c r="F2555" s="34" t="str">
        <f>IFERROR(__xludf.DUMMYFUNCTION("""COMPUTED_VALUE"""),"2025")</f>
        <v>2025</v>
      </c>
      <c r="G2555" s="35" t="str">
        <f>IFERROR(__xludf.DUMMYFUNCTION("""COMPUTED_VALUE"""),"RESTU BINTANG NUGROHO")</f>
        <v>RESTU BINTANG NUGROHO</v>
      </c>
      <c r="H2555" s="35" t="str">
        <f>IFERROR(__xludf.DUMMYFUNCTION("""COMPUTED_VALUE"""),"R0625062913")</f>
        <v>R0625062913</v>
      </c>
      <c r="I2555" s="35">
        <f>IFERROR(__xludf.DUMMYFUNCTION("""COMPUTED_VALUE"""),19.0)</f>
        <v>19</v>
      </c>
      <c r="J2555" s="35" t="str">
        <f>IFERROR(__xludf.DUMMYFUNCTION("""COMPUTED_VALUE"""),"18-24 tahun")</f>
        <v>18-24 tahun</v>
      </c>
      <c r="K2555" s="21" t="str">
        <f>IFERROR(__xludf.DUMMYFUNCTION("""COMPUTED_VALUE"""),"12/11/2006")</f>
        <v>12/11/2006</v>
      </c>
      <c r="L2555" s="21" t="str">
        <f>IFERROR(__xludf.DUMMYFUNCTION("""COMPUTED_VALUE"""),"LAKI-LAKI")</f>
        <v>LAKI-LAKI</v>
      </c>
      <c r="M2555" s="35" t="str">
        <f>IFERROR(__xludf.DUMMYFUNCTION("""COMPUTED_VALUE"""),"JL.PANCABHAKTI")</f>
        <v>JL.PANCABHAKTI</v>
      </c>
      <c r="N2555" s="35" t="str">
        <f>IFERROR(__xludf.DUMMYFUNCTION("""COMPUTED_VALUE"""),"BATU LAYANG")</f>
        <v>BATU LAYANG</v>
      </c>
      <c r="O2555" s="35" t="str">
        <f>IFERROR(__xludf.DUMMYFUNCTION("""COMPUTED_VALUE"""),"PONTIANAK UTARA")</f>
        <v>PONTIANAK UTARA</v>
      </c>
      <c r="P2555" s="35" t="str">
        <f>IFERROR(__xludf.DUMMYFUNCTION("""COMPUTED_VALUE"""),"PONTIANAK")</f>
        <v>PONTIANAK</v>
      </c>
      <c r="Q2555" s="35" t="str">
        <f>IFERROR(__xludf.DUMMYFUNCTION("""COMPUTED_VALUE"""),"KALIMANTAN BARAT")</f>
        <v>KALIMANTAN BARAT</v>
      </c>
      <c r="R2555" s="21" t="str">
        <f>IFERROR(__xludf.DUMMYFUNCTION("""COMPUTED_VALUE"""),"PROTESTAN")</f>
        <v>PROTESTAN</v>
      </c>
      <c r="S2555" s="74" t="str">
        <f>IFERROR(__xludf.DUMMYFUNCTION("""COMPUTED_VALUE"""),"BELUM BEKERJA")</f>
        <v>BELUM BEKERJA</v>
      </c>
      <c r="T2555" s="35" t="str">
        <f>IFERROR(__xludf.DUMMYFUNCTION("""COMPUTED_VALUE"""),"KAKI X")</f>
        <v>KAKI X</v>
      </c>
      <c r="U2555" s="35" t="str">
        <f>IFERROR(__xludf.DUMMYFUNCTION("""COMPUTED_VALUE"""),"TIDAK ADA")</f>
        <v>TIDAK ADA</v>
      </c>
      <c r="V2555" s="37" t="str">
        <f>IFERROR(__xludf.DUMMYFUNCTION("""COMPUTED_VALUE"""),"089506872913")</f>
        <v>089506872913</v>
      </c>
      <c r="W2555" s="45"/>
    </row>
    <row r="2556">
      <c r="A2556" s="45"/>
      <c r="B2556" s="24" t="str">
        <f>IFERROR(__xludf.DUMMYFUNCTION("""COMPUTED_VALUE"""),"01/07/2025 10:34:45")</f>
        <v>01/07/2025 10:34:45</v>
      </c>
      <c r="C2556" s="35"/>
      <c r="D2556" s="10">
        <f>IFERROR(__xludf.DUMMYFUNCTION("""COMPUTED_VALUE"""),45839.0)</f>
        <v>45839</v>
      </c>
      <c r="E2556" s="35" t="str">
        <f>IFERROR(__xludf.DUMMYFUNCTION("""COMPUTED_VALUE"""),"07Jul")</f>
        <v>07Jul</v>
      </c>
      <c r="F2556" s="34" t="str">
        <f>IFERROR(__xludf.DUMMYFUNCTION("""COMPUTED_VALUE"""),"2025")</f>
        <v>2025</v>
      </c>
      <c r="G2556" s="35" t="str">
        <f>IFERROR(__xludf.DUMMYFUNCTION("""COMPUTED_VALUE"""),"RIRIN KURNIAWATI")</f>
        <v>RIRIN KURNIAWATI</v>
      </c>
      <c r="H2556" s="35" t="str">
        <f>IFERROR(__xludf.DUMMYFUNCTION("""COMPUTED_VALUE"""),"R0025077421")</f>
        <v>R0025077421</v>
      </c>
      <c r="I2556" s="35">
        <f>IFERROR(__xludf.DUMMYFUNCTION("""COMPUTED_VALUE"""),25.0)</f>
        <v>25</v>
      </c>
      <c r="J2556" s="35" t="str">
        <f>IFERROR(__xludf.DUMMYFUNCTION("""COMPUTED_VALUE"""),"25-34 tahun")</f>
        <v>25-34 tahun</v>
      </c>
      <c r="K2556" s="21" t="str">
        <f>IFERROR(__xludf.DUMMYFUNCTION("""COMPUTED_VALUE"""),"17/06/2000")</f>
        <v>17/06/2000</v>
      </c>
      <c r="L2556" s="21" t="str">
        <f>IFERROR(__xludf.DUMMYFUNCTION("""COMPUTED_VALUE"""),"PEREMPUAN")</f>
        <v>PEREMPUAN</v>
      </c>
      <c r="M2556" s="35" t="str">
        <f>IFERROR(__xludf.DUMMYFUNCTION("""COMPUTED_VALUE"""),"JL. DR. SUTOMO KOMP. BATARA INDAH 4 NO. 1A")</f>
        <v>JL. DR. SUTOMO KOMP. BATARA INDAH 4 NO. 1A</v>
      </c>
      <c r="N2556" s="35" t="str">
        <f>IFERROR(__xludf.DUMMYFUNCTION("""COMPUTED_VALUE"""),"SUNGAI BANGKONG")</f>
        <v>SUNGAI BANGKONG</v>
      </c>
      <c r="O2556" s="35" t="str">
        <f>IFERROR(__xludf.DUMMYFUNCTION("""COMPUTED_VALUE"""),"PONTIANAK KOTA")</f>
        <v>PONTIANAK KOTA</v>
      </c>
      <c r="P2556" s="35" t="str">
        <f>IFERROR(__xludf.DUMMYFUNCTION("""COMPUTED_VALUE"""),"KOTA PONTIANAK")</f>
        <v>KOTA PONTIANAK</v>
      </c>
      <c r="Q2556" s="35" t="str">
        <f>IFERROR(__xludf.DUMMYFUNCTION("""COMPUTED_VALUE"""),"KALIMANTAN BARAT")</f>
        <v>KALIMANTAN BARAT</v>
      </c>
      <c r="R2556" s="21" t="str">
        <f>IFERROR(__xludf.DUMMYFUNCTION("""COMPUTED_VALUE"""),"ISLAM")</f>
        <v>ISLAM</v>
      </c>
      <c r="S2556" s="74" t="str">
        <f>IFERROR(__xludf.DUMMYFUNCTION("""COMPUTED_VALUE"""),"KARYAWAN BUMD")</f>
        <v>KARYAWAN BUMD</v>
      </c>
      <c r="T2556" s="35" t="str">
        <f>IFERROR(__xludf.DUMMYFUNCTION("""COMPUTED_VALUE"""),"SAKIT PINGGANG")</f>
        <v>SAKIT PINGGANG</v>
      </c>
      <c r="U2556" s="35" t="str">
        <f>IFERROR(__xludf.DUMMYFUNCTION("""COMPUTED_VALUE"""),"SERING BANYAK DUDUK")</f>
        <v>SERING BANYAK DUDUK</v>
      </c>
      <c r="V2556" s="37" t="str">
        <f>IFERROR(__xludf.DUMMYFUNCTION("""COMPUTED_VALUE"""),"089626677421")</f>
        <v>089626677421</v>
      </c>
      <c r="W2556" s="45"/>
    </row>
    <row r="2557">
      <c r="A2557" s="45"/>
      <c r="B2557" s="24" t="str">
        <f>IFERROR(__xludf.DUMMYFUNCTION("""COMPUTED_VALUE"""),"01/07/2025 12:34:29")</f>
        <v>01/07/2025 12:34:29</v>
      </c>
      <c r="C2557" s="35"/>
      <c r="D2557" s="10">
        <f>IFERROR(__xludf.DUMMYFUNCTION("""COMPUTED_VALUE"""),45839.0)</f>
        <v>45839</v>
      </c>
      <c r="E2557" s="35" t="str">
        <f>IFERROR(__xludf.DUMMYFUNCTION("""COMPUTED_VALUE"""),"07Jul")</f>
        <v>07Jul</v>
      </c>
      <c r="F2557" s="34" t="str">
        <f>IFERROR(__xludf.DUMMYFUNCTION("""COMPUTED_VALUE"""),"2025")</f>
        <v>2025</v>
      </c>
      <c r="G2557" s="35" t="str">
        <f>IFERROR(__xludf.DUMMYFUNCTION("""COMPUTED_VALUE"""),"DRAJAT WAHYUDI")</f>
        <v>DRAJAT WAHYUDI</v>
      </c>
      <c r="H2557" s="35" t="str">
        <f>IFERROR(__xludf.DUMMYFUNCTION("""COMPUTED_VALUE"""),"D8825073113")</f>
        <v>D8825073113</v>
      </c>
      <c r="I2557" s="35">
        <f>IFERROR(__xludf.DUMMYFUNCTION("""COMPUTED_VALUE"""),38.0)</f>
        <v>38</v>
      </c>
      <c r="J2557" s="35" t="str">
        <f>IFERROR(__xludf.DUMMYFUNCTION("""COMPUTED_VALUE"""),"35-44 tahun")</f>
        <v>35-44 tahun</v>
      </c>
      <c r="K2557" s="21" t="str">
        <f>IFERROR(__xludf.DUMMYFUNCTION("""COMPUTED_VALUE"""),"16/03/1988")</f>
        <v>16/03/1988</v>
      </c>
      <c r="L2557" s="21" t="str">
        <f>IFERROR(__xludf.DUMMYFUNCTION("""COMPUTED_VALUE"""),"LAKI-LAKI")</f>
        <v>LAKI-LAKI</v>
      </c>
      <c r="M2557" s="35" t="str">
        <f>IFERROR(__xludf.DUMMYFUNCTION("""COMPUTED_VALUE"""),"JL. PROF. M. YAMIN GG. PERTIWI NO. 5")</f>
        <v>JL. PROF. M. YAMIN GG. PERTIWI NO. 5</v>
      </c>
      <c r="N2557" s="35" t="str">
        <f>IFERROR(__xludf.DUMMYFUNCTION("""COMPUTED_VALUE"""),"SUNGAI BANGKONG")</f>
        <v>SUNGAI BANGKONG</v>
      </c>
      <c r="O2557" s="35" t="str">
        <f>IFERROR(__xludf.DUMMYFUNCTION("""COMPUTED_VALUE"""),"PONTIANAK KOTA")</f>
        <v>PONTIANAK KOTA</v>
      </c>
      <c r="P2557" s="35" t="str">
        <f>IFERROR(__xludf.DUMMYFUNCTION("""COMPUTED_VALUE"""),"KOTA PONTIANAK")</f>
        <v>KOTA PONTIANAK</v>
      </c>
      <c r="Q2557" s="35" t="str">
        <f>IFERROR(__xludf.DUMMYFUNCTION("""COMPUTED_VALUE"""),"KALIMANTAN BARAT")</f>
        <v>KALIMANTAN BARAT</v>
      </c>
      <c r="R2557" s="21" t="str">
        <f>IFERROR(__xludf.DUMMYFUNCTION("""COMPUTED_VALUE"""),"ISLAM")</f>
        <v>ISLAM</v>
      </c>
      <c r="S2557" s="74" t="str">
        <f>IFERROR(__xludf.DUMMYFUNCTION("""COMPUTED_VALUE"""),"BPD")</f>
        <v>BPD</v>
      </c>
      <c r="T2557" s="35" t="str">
        <f>IFERROR(__xludf.DUMMYFUNCTION("""COMPUTED_VALUE"""),"NYERI BAHU KANAN")</f>
        <v>NYERI BAHU KANAN</v>
      </c>
      <c r="U2557" s="35" t="str">
        <f>IFERROR(__xludf.DUMMYFUNCTION("""COMPUTED_VALUE"""),"BADMINTON")</f>
        <v>BADMINTON</v>
      </c>
      <c r="V2557" s="37" t="str">
        <f>IFERROR(__xludf.DUMMYFUNCTION("""COMPUTED_VALUE"""),"081253593113")</f>
        <v>081253593113</v>
      </c>
      <c r="W2557" s="45"/>
    </row>
    <row r="2558">
      <c r="A2558" s="45"/>
      <c r="B2558" s="24" t="str">
        <f>IFERROR(__xludf.DUMMYFUNCTION("""COMPUTED_VALUE"""),"01/07/2025 13:06:50")</f>
        <v>01/07/2025 13:06:50</v>
      </c>
      <c r="C2558" s="35"/>
      <c r="D2558" s="10">
        <f>IFERROR(__xludf.DUMMYFUNCTION("""COMPUTED_VALUE"""),45839.0)</f>
        <v>45839</v>
      </c>
      <c r="E2558" s="35" t="str">
        <f>IFERROR(__xludf.DUMMYFUNCTION("""COMPUTED_VALUE"""),"07Jul")</f>
        <v>07Jul</v>
      </c>
      <c r="F2558" s="34" t="str">
        <f>IFERROR(__xludf.DUMMYFUNCTION("""COMPUTED_VALUE"""),"2025")</f>
        <v>2025</v>
      </c>
      <c r="G2558" s="35" t="str">
        <f>IFERROR(__xludf.DUMMYFUNCTION("""COMPUTED_VALUE"""),"SHELLA PRASETIA")</f>
        <v>SHELLA PRASETIA</v>
      </c>
      <c r="H2558" s="35" t="str">
        <f>IFERROR(__xludf.DUMMYFUNCTION("""COMPUTED_VALUE"""),"S9425072111")</f>
        <v>S9425072111</v>
      </c>
      <c r="I2558" s="35">
        <f>IFERROR(__xludf.DUMMYFUNCTION("""COMPUTED_VALUE"""),32.0)</f>
        <v>32</v>
      </c>
      <c r="J2558" s="35" t="str">
        <f>IFERROR(__xludf.DUMMYFUNCTION("""COMPUTED_VALUE"""),"25-34 tahun")</f>
        <v>25-34 tahun</v>
      </c>
      <c r="K2558" s="21" t="str">
        <f>IFERROR(__xludf.DUMMYFUNCTION("""COMPUTED_VALUE"""),"18/03/1994")</f>
        <v>18/03/1994</v>
      </c>
      <c r="L2558" s="21" t="str">
        <f>IFERROR(__xludf.DUMMYFUNCTION("""COMPUTED_VALUE"""),"PEREMPUAN")</f>
        <v>PEREMPUAN</v>
      </c>
      <c r="M2558" s="35" t="str">
        <f>IFERROR(__xludf.DUMMYFUNCTION("""COMPUTED_VALUE"""),"JL HAJI ABBAS 1 NO 52")</f>
        <v>JL HAJI ABBAS 1 NO 52</v>
      </c>
      <c r="N2558" s="35" t="str">
        <f>IFERROR(__xludf.DUMMYFUNCTION("""COMPUTED_VALUE"""),"BENUA MELAYU DARAT")</f>
        <v>BENUA MELAYU DARAT</v>
      </c>
      <c r="O2558" s="35" t="str">
        <f>IFERROR(__xludf.DUMMYFUNCTION("""COMPUTED_VALUE"""),"PONTIANAK SELATAN")</f>
        <v>PONTIANAK SELATAN</v>
      </c>
      <c r="P2558" s="35" t="str">
        <f>IFERROR(__xludf.DUMMYFUNCTION("""COMPUTED_VALUE"""),"KOTA PONTIANAK")</f>
        <v>KOTA PONTIANAK</v>
      </c>
      <c r="Q2558" s="35" t="str">
        <f>IFERROR(__xludf.DUMMYFUNCTION("""COMPUTED_VALUE"""),"KALIMANTAN BARAT")</f>
        <v>KALIMANTAN BARAT</v>
      </c>
      <c r="R2558" s="21" t="str">
        <f>IFERROR(__xludf.DUMMYFUNCTION("""COMPUTED_VALUE"""),"PROTESTAN")</f>
        <v>PROTESTAN</v>
      </c>
      <c r="S2558" s="74" t="str">
        <f>IFERROR(__xludf.DUMMYFUNCTION("""COMPUTED_VALUE"""),"IBU RUMAH TANGGA")</f>
        <v>IBU RUMAH TANGGA</v>
      </c>
      <c r="T2558" s="35" t="str">
        <f>IFERROR(__xludf.DUMMYFUNCTION("""COMPUTED_VALUE"""),"KESELEO ANKLE BENGKAK")</f>
        <v>KESELEO ANKLE BENGKAK</v>
      </c>
      <c r="U2558" s="35" t="str">
        <f>IFERROR(__xludf.DUMMYFUNCTION("""COMPUTED_VALUE"""),"LAGI DANCE , KAKI TERKILIR")</f>
        <v>LAGI DANCE , KAKI TERKILIR</v>
      </c>
      <c r="V2558" s="37" t="str">
        <f>IFERROR(__xludf.DUMMYFUNCTION("""COMPUTED_VALUE"""),"082281222111")</f>
        <v>082281222111</v>
      </c>
      <c r="W2558" s="45"/>
    </row>
    <row r="2559">
      <c r="A2559" s="45"/>
      <c r="B2559" s="24" t="str">
        <f>IFERROR(__xludf.DUMMYFUNCTION("""COMPUTED_VALUE"""),"25/06/2025 13:45:01")</f>
        <v>25/06/2025 13:45:01</v>
      </c>
      <c r="C2559" s="35"/>
      <c r="D2559" s="10">
        <f>IFERROR(__xludf.DUMMYFUNCTION("""COMPUTED_VALUE"""),45839.0)</f>
        <v>45839</v>
      </c>
      <c r="E2559" s="35" t="str">
        <f>IFERROR(__xludf.DUMMYFUNCTION("""COMPUTED_VALUE"""),"07Jul")</f>
        <v>07Jul</v>
      </c>
      <c r="F2559" s="34" t="str">
        <f>IFERROR(__xludf.DUMMYFUNCTION("""COMPUTED_VALUE"""),"2025")</f>
        <v>2025</v>
      </c>
      <c r="G2559" s="35" t="str">
        <f>IFERROR(__xludf.DUMMYFUNCTION("""COMPUTED_VALUE"""),"HENNY HO")</f>
        <v>HENNY HO</v>
      </c>
      <c r="H2559" s="35" t="str">
        <f>IFERROR(__xludf.DUMMYFUNCTION("""COMPUTED_VALUE"""),"H8325075759")</f>
        <v>H8325075759</v>
      </c>
      <c r="I2559" s="35">
        <f>IFERROR(__xludf.DUMMYFUNCTION("""COMPUTED_VALUE"""),43.0)</f>
        <v>43</v>
      </c>
      <c r="J2559" s="35" t="str">
        <f>IFERROR(__xludf.DUMMYFUNCTION("""COMPUTED_VALUE"""),"35-44 tahun")</f>
        <v>35-44 tahun</v>
      </c>
      <c r="K2559" s="21" t="str">
        <f>IFERROR(__xludf.DUMMYFUNCTION("""COMPUTED_VALUE"""),"08/01/1983")</f>
        <v>08/01/1983</v>
      </c>
      <c r="L2559" s="21" t="str">
        <f>IFERROR(__xludf.DUMMYFUNCTION("""COMPUTED_VALUE"""),"PEREMPUAN")</f>
        <v>PEREMPUAN</v>
      </c>
      <c r="M2559" s="35" t="str">
        <f>IFERROR(__xludf.DUMMYFUNCTION("""COMPUTED_VALUE"""),"JLN SETIABUDI NO 48AA")</f>
        <v>JLN SETIABUDI NO 48AA</v>
      </c>
      <c r="N2559" s="35" t="str">
        <f>IFERROR(__xludf.DUMMYFUNCTION("""COMPUTED_VALUE"""),"BENUA MELAYU SELATAN")</f>
        <v>BENUA MELAYU SELATAN</v>
      </c>
      <c r="O2559" s="35" t="str">
        <f>IFERROR(__xludf.DUMMYFUNCTION("""COMPUTED_VALUE"""),"DARAT SEKIP")</f>
        <v>DARAT SEKIP</v>
      </c>
      <c r="P2559" s="35" t="str">
        <f>IFERROR(__xludf.DUMMYFUNCTION("""COMPUTED_VALUE"""),"PONTIANAK KOTA")</f>
        <v>PONTIANAK KOTA</v>
      </c>
      <c r="Q2559" s="35" t="str">
        <f>IFERROR(__xludf.DUMMYFUNCTION("""COMPUTED_VALUE"""),"KALBAR")</f>
        <v>KALBAR</v>
      </c>
      <c r="R2559" s="21" t="str">
        <f>IFERROR(__xludf.DUMMYFUNCTION("""COMPUTED_VALUE"""),"PROTESTAN")</f>
        <v>PROTESTAN</v>
      </c>
      <c r="S2559" s="74" t="str">
        <f>IFERROR(__xludf.DUMMYFUNCTION("""COMPUTED_VALUE"""),"IRT")</f>
        <v>IRT</v>
      </c>
      <c r="T2559" s="35" t="str">
        <f>IFERROR(__xludf.DUMMYFUNCTION("""COMPUTED_VALUE"""),"SAKET PINGGANG")</f>
        <v>SAKET PINGGANG</v>
      </c>
      <c r="U2559" s="35" t="str">
        <f>IFERROR(__xludf.DUMMYFUNCTION("""COMPUTED_VALUE"""),"OLAHRAGA")</f>
        <v>OLAHRAGA</v>
      </c>
      <c r="V2559" s="37" t="str">
        <f>IFERROR(__xludf.DUMMYFUNCTION("""COMPUTED_VALUE"""),"0895411105759")</f>
        <v>0895411105759</v>
      </c>
      <c r="W2559" s="45"/>
    </row>
    <row r="2560">
      <c r="A2560" s="45"/>
      <c r="B2560" s="24" t="str">
        <f>IFERROR(__xludf.DUMMYFUNCTION("""COMPUTED_VALUE"""),"01/07/2025 17:32:14")</f>
        <v>01/07/2025 17:32:14</v>
      </c>
      <c r="C2560" s="35"/>
      <c r="D2560" s="10">
        <f>IFERROR(__xludf.DUMMYFUNCTION("""COMPUTED_VALUE"""),45839.0)</f>
        <v>45839</v>
      </c>
      <c r="E2560" s="35" t="str">
        <f>IFERROR(__xludf.DUMMYFUNCTION("""COMPUTED_VALUE"""),"07Jul")</f>
        <v>07Jul</v>
      </c>
      <c r="F2560" s="34" t="str">
        <f>IFERROR(__xludf.DUMMYFUNCTION("""COMPUTED_VALUE"""),"2025")</f>
        <v>2025</v>
      </c>
      <c r="G2560" s="35" t="str">
        <f>IFERROR(__xludf.DUMMYFUNCTION("""COMPUTED_VALUE"""),"OLIVIA NOVELIANTI")</f>
        <v>OLIVIA NOVELIANTI</v>
      </c>
      <c r="H2560" s="35" t="str">
        <f>IFERROR(__xludf.DUMMYFUNCTION("""COMPUTED_VALUE"""),"O0925070649")</f>
        <v>O0925070649</v>
      </c>
      <c r="I2560" s="35">
        <f>IFERROR(__xludf.DUMMYFUNCTION("""COMPUTED_VALUE"""),16.0)</f>
        <v>16</v>
      </c>
      <c r="J2560" s="35" t="str">
        <f>IFERROR(__xludf.DUMMYFUNCTION("""COMPUTED_VALUE"""),"&lt; 18 tahun")</f>
        <v>&lt; 18 tahun</v>
      </c>
      <c r="K2560" s="21" t="str">
        <f>IFERROR(__xludf.DUMMYFUNCTION("""COMPUTED_VALUE"""),"07/11/2009")</f>
        <v>07/11/2009</v>
      </c>
      <c r="L2560" s="21" t="str">
        <f>IFERROR(__xludf.DUMMYFUNCTION("""COMPUTED_VALUE"""),"PEREMPUAN")</f>
        <v>PEREMPUAN</v>
      </c>
      <c r="M2560" s="35" t="str">
        <f>IFERROR(__xludf.DUMMYFUNCTION("""COMPUTED_VALUE"""),"JL.KOMYOS SUDARSO.KOMP.GOLDEN BALI BLOK C .05")</f>
        <v>JL.KOMYOS SUDARSO.KOMP.GOLDEN BALI BLOK C .05</v>
      </c>
      <c r="N2560" s="35" t="str">
        <f>IFERROR(__xludf.DUMMYFUNCTION("""COMPUTED_VALUE"""),"SEI BELIUNG")</f>
        <v>SEI BELIUNG</v>
      </c>
      <c r="O2560" s="35" t="str">
        <f>IFERROR(__xludf.DUMMYFUNCTION("""COMPUTED_VALUE"""),"PONTIANAK BARAT")</f>
        <v>PONTIANAK BARAT</v>
      </c>
      <c r="P2560" s="35" t="str">
        <f>IFERROR(__xludf.DUMMYFUNCTION("""COMPUTED_VALUE"""),"PONTIANAK")</f>
        <v>PONTIANAK</v>
      </c>
      <c r="Q2560" s="35" t="str">
        <f>IFERROR(__xludf.DUMMYFUNCTION("""COMPUTED_VALUE"""),"KALIMANTAN BARAT")</f>
        <v>KALIMANTAN BARAT</v>
      </c>
      <c r="R2560" s="21" t="str">
        <f>IFERROR(__xludf.DUMMYFUNCTION("""COMPUTED_VALUE"""),"BUDDHA")</f>
        <v>BUDDHA</v>
      </c>
      <c r="S2560" s="74" t="str">
        <f>IFERROR(__xludf.DUMMYFUNCTION("""COMPUTED_VALUE"""),"PELAJAR")</f>
        <v>PELAJAR</v>
      </c>
      <c r="T2560" s="35" t="str">
        <f>IFERROR(__xludf.DUMMYFUNCTION("""COMPUTED_VALUE"""),"SKOLIOSIS")</f>
        <v>SKOLIOSIS</v>
      </c>
      <c r="U2560" s="35" t="str">
        <f>IFERROR(__xludf.DUMMYFUNCTION("""COMPUTED_VALUE"""),"TIDAK ADA")</f>
        <v>TIDAK ADA</v>
      </c>
      <c r="V2560" s="37" t="str">
        <f>IFERROR(__xludf.DUMMYFUNCTION("""COMPUTED_VALUE"""),"089616750649")</f>
        <v>089616750649</v>
      </c>
      <c r="W2560" s="45"/>
    </row>
    <row r="2561">
      <c r="A2561" s="45"/>
      <c r="B2561" s="24" t="str">
        <f>IFERROR(__xludf.DUMMYFUNCTION("""COMPUTED_VALUE"""),"01/07/2025 18:18:17")</f>
        <v>01/07/2025 18:18:17</v>
      </c>
      <c r="C2561" s="35"/>
      <c r="D2561" s="10">
        <f>IFERROR(__xludf.DUMMYFUNCTION("""COMPUTED_VALUE"""),45839.0)</f>
        <v>45839</v>
      </c>
      <c r="E2561" s="35" t="str">
        <f>IFERROR(__xludf.DUMMYFUNCTION("""COMPUTED_VALUE"""),"07Jul")</f>
        <v>07Jul</v>
      </c>
      <c r="F2561" s="34" t="str">
        <f>IFERROR(__xludf.DUMMYFUNCTION("""COMPUTED_VALUE"""),"2025")</f>
        <v>2025</v>
      </c>
      <c r="G2561" s="35" t="str">
        <f>IFERROR(__xludf.DUMMYFUNCTION("""COMPUTED_VALUE"""),"DAVID ACHMAD AFANDY")</f>
        <v>DAVID ACHMAD AFANDY</v>
      </c>
      <c r="H2561" s="35" t="str">
        <f>IFERROR(__xludf.DUMMYFUNCTION("""COMPUTED_VALUE"""),"D8825075568")</f>
        <v>D8825075568</v>
      </c>
      <c r="I2561" s="35">
        <f>IFERROR(__xludf.DUMMYFUNCTION("""COMPUTED_VALUE"""),38.0)</f>
        <v>38</v>
      </c>
      <c r="J2561" s="35" t="str">
        <f>IFERROR(__xludf.DUMMYFUNCTION("""COMPUTED_VALUE"""),"35-44 tahun")</f>
        <v>35-44 tahun</v>
      </c>
      <c r="K2561" s="21" t="str">
        <f>IFERROR(__xludf.DUMMYFUNCTION("""COMPUTED_VALUE"""),"24/03/1988")</f>
        <v>24/03/1988</v>
      </c>
      <c r="L2561" s="21" t="str">
        <f>IFERROR(__xludf.DUMMYFUNCTION("""COMPUTED_VALUE"""),"LAKI-LAKI")</f>
        <v>LAKI-LAKI</v>
      </c>
      <c r="M2561" s="35" t="str">
        <f>IFERROR(__xludf.DUMMYFUNCTION("""COMPUTED_VALUE"""),"JL.DR.SUTOMO GG.KARYA VI NO.7")</f>
        <v>JL.DR.SUTOMO GG.KARYA VI NO.7</v>
      </c>
      <c r="N2561" s="35" t="str">
        <f>IFERROR(__xludf.DUMMYFUNCTION("""COMPUTED_VALUE"""),"SEI BANGKONG")</f>
        <v>SEI BANGKONG</v>
      </c>
      <c r="O2561" s="35" t="str">
        <f>IFERROR(__xludf.DUMMYFUNCTION("""COMPUTED_VALUE"""),"PONTIANAK KOTA")</f>
        <v>PONTIANAK KOTA</v>
      </c>
      <c r="P2561" s="35" t="str">
        <f>IFERROR(__xludf.DUMMYFUNCTION("""COMPUTED_VALUE"""),"KOTA PONTIANAK")</f>
        <v>KOTA PONTIANAK</v>
      </c>
      <c r="Q2561" s="35" t="str">
        <f>IFERROR(__xludf.DUMMYFUNCTION("""COMPUTED_VALUE"""),"KALIMANTAN BARAT")</f>
        <v>KALIMANTAN BARAT</v>
      </c>
      <c r="R2561" s="21" t="str">
        <f>IFERROR(__xludf.DUMMYFUNCTION("""COMPUTED_VALUE"""),"ISLAM")</f>
        <v>ISLAM</v>
      </c>
      <c r="S2561" s="74" t="str">
        <f>IFERROR(__xludf.DUMMYFUNCTION("""COMPUTED_VALUE"""),"PNS")</f>
        <v>PNS</v>
      </c>
      <c r="T2561" s="35" t="str">
        <f>IFERROR(__xludf.DUMMYFUNCTION("""COMPUTED_VALUE"""),"SAKIT DIKAKI KANAN SEPERTI KETARIK OTOT")</f>
        <v>SAKIT DIKAKI KANAN SEPERTI KETARIK OTOT</v>
      </c>
      <c r="U2561" s="35" t="str">
        <f>IFERROR(__xludf.DUMMYFUNCTION("""COMPUTED_VALUE"""),"-")</f>
        <v>-</v>
      </c>
      <c r="V2561" s="37" t="str">
        <f>IFERROR(__xludf.DUMMYFUNCTION("""COMPUTED_VALUE"""),"082149025568")</f>
        <v>082149025568</v>
      </c>
      <c r="W2561" s="45"/>
    </row>
    <row r="2562">
      <c r="A2562" s="45"/>
      <c r="B2562" s="24" t="str">
        <f>IFERROR(__xludf.DUMMYFUNCTION("""COMPUTED_VALUE"""),"02/07/2025 7:59:04")</f>
        <v>02/07/2025 7:59:04</v>
      </c>
      <c r="C2562" s="35"/>
      <c r="D2562" s="10">
        <f>IFERROR(__xludf.DUMMYFUNCTION("""COMPUTED_VALUE"""),45840.0)</f>
        <v>45840</v>
      </c>
      <c r="E2562" s="35" t="str">
        <f>IFERROR(__xludf.DUMMYFUNCTION("""COMPUTED_VALUE"""),"07Jul")</f>
        <v>07Jul</v>
      </c>
      <c r="F2562" s="34" t="str">
        <f>IFERROR(__xludf.DUMMYFUNCTION("""COMPUTED_VALUE"""),"2025")</f>
        <v>2025</v>
      </c>
      <c r="G2562" s="35" t="str">
        <f>IFERROR(__xludf.DUMMYFUNCTION("""COMPUTED_VALUE"""),"NURZAINI")</f>
        <v>NURZAINI</v>
      </c>
      <c r="H2562" s="35" t="str">
        <f>IFERROR(__xludf.DUMMYFUNCTION("""COMPUTED_VALUE"""),"N5125073362")</f>
        <v>N5125073362</v>
      </c>
      <c r="I2562" s="35">
        <f>IFERROR(__xludf.DUMMYFUNCTION("""COMPUTED_VALUE"""),74.0)</f>
        <v>74</v>
      </c>
      <c r="J2562" s="35" t="str">
        <f>IFERROR(__xludf.DUMMYFUNCTION("""COMPUTED_VALUE"""),"&gt; 44 tahun")</f>
        <v>&gt; 44 tahun</v>
      </c>
      <c r="K2562" s="21">
        <f>IFERROR(__xludf.DUMMYFUNCTION("""COMPUTED_VALUE"""),18866.0)</f>
        <v>18866</v>
      </c>
      <c r="L2562" s="21" t="str">
        <f>IFERROR(__xludf.DUMMYFUNCTION("""COMPUTED_VALUE"""),"PEREMPUAN")</f>
        <v>PEREMPUAN</v>
      </c>
      <c r="M2562" s="35" t="str">
        <f>IFERROR(__xludf.DUMMYFUNCTION("""COMPUTED_VALUE"""),"JALAN KOM YOS SUDARSO NO 44 PUTUSSIBAU")</f>
        <v>JALAN KOM YOS SUDARSO NO 44 PUTUSSIBAU</v>
      </c>
      <c r="N2562" s="35" t="str">
        <f>IFERROR(__xludf.DUMMYFUNCTION("""COMPUTED_VALUE"""),"PUTUSSIBAU KOTA")</f>
        <v>PUTUSSIBAU KOTA</v>
      </c>
      <c r="O2562" s="35" t="str">
        <f>IFERROR(__xludf.DUMMYFUNCTION("""COMPUTED_VALUE"""),"PUTUSSIBAU UTARA")</f>
        <v>PUTUSSIBAU UTARA</v>
      </c>
      <c r="P2562" s="35" t="str">
        <f>IFERROR(__xludf.DUMMYFUNCTION("""COMPUTED_VALUE"""),"KAPUAS HULU")</f>
        <v>KAPUAS HULU</v>
      </c>
      <c r="Q2562" s="35" t="str">
        <f>IFERROR(__xludf.DUMMYFUNCTION("""COMPUTED_VALUE"""),"KALIMANTAN BARAT")</f>
        <v>KALIMANTAN BARAT</v>
      </c>
      <c r="R2562" s="21" t="str">
        <f>IFERROR(__xludf.DUMMYFUNCTION("""COMPUTED_VALUE"""),"ISLAM")</f>
        <v>ISLAM</v>
      </c>
      <c r="S2562" s="74" t="str">
        <f>IFERROR(__xludf.DUMMYFUNCTION("""COMPUTED_VALUE"""),"PENSIUNAN")</f>
        <v>PENSIUNAN</v>
      </c>
      <c r="T2562" s="35" t="str">
        <f>IFERROR(__xludf.DUMMYFUNCTION("""COMPUTED_VALUE"""),"SAKIT PADA LUTUT UNTUK JALAN")</f>
        <v>SAKIT PADA LUTUT UNTUK JALAN</v>
      </c>
      <c r="U2562" s="35" t="str">
        <f>IFERROR(__xludf.DUMMYFUNCTION("""COMPUTED_VALUE"""),"TIDAK ADA")</f>
        <v>TIDAK ADA</v>
      </c>
      <c r="V2562" s="37" t="str">
        <f>IFERROR(__xludf.DUMMYFUNCTION("""COMPUTED_VALUE"""),"081345923362")</f>
        <v>081345923362</v>
      </c>
      <c r="W2562" s="45"/>
    </row>
    <row r="2563">
      <c r="A2563" s="45"/>
      <c r="B2563" s="24" t="str">
        <f>IFERROR(__xludf.DUMMYFUNCTION("""COMPUTED_VALUE"""),"02/07/2025 8:54:35")</f>
        <v>02/07/2025 8:54:35</v>
      </c>
      <c r="C2563" s="35"/>
      <c r="D2563" s="10">
        <f>IFERROR(__xludf.DUMMYFUNCTION("""COMPUTED_VALUE"""),45840.0)</f>
        <v>45840</v>
      </c>
      <c r="E2563" s="35" t="str">
        <f>IFERROR(__xludf.DUMMYFUNCTION("""COMPUTED_VALUE"""),"07Jul")</f>
        <v>07Jul</v>
      </c>
      <c r="F2563" s="34" t="str">
        <f>IFERROR(__xludf.DUMMYFUNCTION("""COMPUTED_VALUE"""),"2025")</f>
        <v>2025</v>
      </c>
      <c r="G2563" s="35" t="str">
        <f>IFERROR(__xludf.DUMMYFUNCTION("""COMPUTED_VALUE"""),"MARTAGUS")</f>
        <v>MARTAGUS</v>
      </c>
      <c r="H2563" s="35" t="str">
        <f>IFERROR(__xludf.DUMMYFUNCTION("""COMPUTED_VALUE"""),"M6725078307")</f>
        <v>M6725078307</v>
      </c>
      <c r="I2563" s="35">
        <f>IFERROR(__xludf.DUMMYFUNCTION("""COMPUTED_VALUE"""),58.0)</f>
        <v>58</v>
      </c>
      <c r="J2563" s="35" t="str">
        <f>IFERROR(__xludf.DUMMYFUNCTION("""COMPUTED_VALUE"""),"&gt; 44 tahun")</f>
        <v>&gt; 44 tahun</v>
      </c>
      <c r="K2563" s="21" t="str">
        <f>IFERROR(__xludf.DUMMYFUNCTION("""COMPUTED_VALUE"""),"26/09/1967")</f>
        <v>26/09/1967</v>
      </c>
      <c r="L2563" s="21" t="str">
        <f>IFERROR(__xludf.DUMMYFUNCTION("""COMPUTED_VALUE"""),"LAKI-LAKI")</f>
        <v>LAKI-LAKI</v>
      </c>
      <c r="M2563" s="35" t="str">
        <f>IFERROR(__xludf.DUMMYFUNCTION("""COMPUTED_VALUE"""),"JLN DR SUTOMO GG SADAR")</f>
        <v>JLN DR SUTOMO GG SADAR</v>
      </c>
      <c r="N2563" s="35" t="str">
        <f>IFERROR(__xludf.DUMMYFUNCTION("""COMPUTED_VALUE"""),"SEI BANGKONG")</f>
        <v>SEI BANGKONG</v>
      </c>
      <c r="O2563" s="35" t="str">
        <f>IFERROR(__xludf.DUMMYFUNCTION("""COMPUTED_VALUE"""),"PONTIANAK KOTA")</f>
        <v>PONTIANAK KOTA</v>
      </c>
      <c r="P2563" s="35" t="str">
        <f>IFERROR(__xludf.DUMMYFUNCTION("""COMPUTED_VALUE"""),"KOTA PONTIANAK")</f>
        <v>KOTA PONTIANAK</v>
      </c>
      <c r="Q2563" s="35" t="str">
        <f>IFERROR(__xludf.DUMMYFUNCTION("""COMPUTED_VALUE"""),"KALIMANTAN BARAT")</f>
        <v>KALIMANTAN BARAT</v>
      </c>
      <c r="R2563" s="21" t="str">
        <f>IFERROR(__xludf.DUMMYFUNCTION("""COMPUTED_VALUE"""),"ISLAM")</f>
        <v>ISLAM</v>
      </c>
      <c r="S2563" s="74" t="str">
        <f>IFERROR(__xludf.DUMMYFUNCTION("""COMPUTED_VALUE"""),"PNS")</f>
        <v>PNS</v>
      </c>
      <c r="T2563" s="35" t="str">
        <f>IFERROR(__xludf.DUMMYFUNCTION("""COMPUTED_VALUE"""),"TANGAN LEMAH")</f>
        <v>TANGAN LEMAH</v>
      </c>
      <c r="U2563" s="35" t="str">
        <f>IFERROR(__xludf.DUMMYFUNCTION("""COMPUTED_VALUE"""),"KERJA")</f>
        <v>KERJA</v>
      </c>
      <c r="V2563" s="37" t="str">
        <f>IFERROR(__xludf.DUMMYFUNCTION("""COMPUTED_VALUE"""),"085347678307")</f>
        <v>085347678307</v>
      </c>
      <c r="W2563" s="45"/>
    </row>
    <row r="2564">
      <c r="A2564" s="45"/>
      <c r="B2564" s="24" t="str">
        <f>IFERROR(__xludf.DUMMYFUNCTION("""COMPUTED_VALUE"""),"02/07/2025 10:23:35")</f>
        <v>02/07/2025 10:23:35</v>
      </c>
      <c r="C2564" s="35"/>
      <c r="D2564" s="10">
        <f>IFERROR(__xludf.DUMMYFUNCTION("""COMPUTED_VALUE"""),45840.0)</f>
        <v>45840</v>
      </c>
      <c r="E2564" s="35" t="str">
        <f>IFERROR(__xludf.DUMMYFUNCTION("""COMPUTED_VALUE"""),"07Jul")</f>
        <v>07Jul</v>
      </c>
      <c r="F2564" s="34" t="str">
        <f>IFERROR(__xludf.DUMMYFUNCTION("""COMPUTED_VALUE"""),"2025")</f>
        <v>2025</v>
      </c>
      <c r="G2564" s="35" t="str">
        <f>IFERROR(__xludf.DUMMYFUNCTION("""COMPUTED_VALUE"""),"FADHILAH NUR ISLAMI MELINIA PUTRI")</f>
        <v>FADHILAH NUR ISLAMI MELINIA PUTRI</v>
      </c>
      <c r="H2564" s="35" t="str">
        <f>IFERROR(__xludf.DUMMYFUNCTION("""COMPUTED_VALUE"""),"F0025072040")</f>
        <v>F0025072040</v>
      </c>
      <c r="I2564" s="35">
        <f>IFERROR(__xludf.DUMMYFUNCTION("""COMPUTED_VALUE"""),26.0)</f>
        <v>26</v>
      </c>
      <c r="J2564" s="35" t="str">
        <f>IFERROR(__xludf.DUMMYFUNCTION("""COMPUTED_VALUE"""),"25-34 tahun")</f>
        <v>25-34 tahun</v>
      </c>
      <c r="K2564" s="21" t="str">
        <f>IFERROR(__xludf.DUMMYFUNCTION("""COMPUTED_VALUE"""),"05/06/2000")</f>
        <v>05/06/2000</v>
      </c>
      <c r="L2564" s="21" t="str">
        <f>IFERROR(__xludf.DUMMYFUNCTION("""COMPUTED_VALUE"""),"PEREMPUAN")</f>
        <v>PEREMPUAN</v>
      </c>
      <c r="M2564" s="35" t="str">
        <f>IFERROR(__xludf.DUMMYFUNCTION("""COMPUTED_VALUE"""),"JL. PROF. M. YAMIN GG. BARU NO. 33")</f>
        <v>JL. PROF. M. YAMIN GG. BARU NO. 33</v>
      </c>
      <c r="N2564" s="35" t="str">
        <f>IFERROR(__xludf.DUMMYFUNCTION("""COMPUTED_VALUE"""),"AKCAYA")</f>
        <v>AKCAYA</v>
      </c>
      <c r="O2564" s="35" t="str">
        <f>IFERROR(__xludf.DUMMYFUNCTION("""COMPUTED_VALUE"""),"PONTIANAK SELATAN")</f>
        <v>PONTIANAK SELATAN</v>
      </c>
      <c r="P2564" s="35" t="str">
        <f>IFERROR(__xludf.DUMMYFUNCTION("""COMPUTED_VALUE"""),"KOTA PONTIANAK")</f>
        <v>KOTA PONTIANAK</v>
      </c>
      <c r="Q2564" s="35" t="str">
        <f>IFERROR(__xludf.DUMMYFUNCTION("""COMPUTED_VALUE"""),"KALIMANTAN BARAT")</f>
        <v>KALIMANTAN BARAT</v>
      </c>
      <c r="R2564" s="21" t="str">
        <f>IFERROR(__xludf.DUMMYFUNCTION("""COMPUTED_VALUE"""),"ISLAM")</f>
        <v>ISLAM</v>
      </c>
      <c r="S2564" s="74" t="str">
        <f>IFERROR(__xludf.DUMMYFUNCTION("""COMPUTED_VALUE"""),"GURU")</f>
        <v>GURU</v>
      </c>
      <c r="T2564" s="35" t="str">
        <f>IFERROR(__xludf.DUMMYFUNCTION("""COMPUTED_VALUE"""),"BUNION, TANGAN PEGAL")</f>
        <v>BUNION, TANGAN PEGAL</v>
      </c>
      <c r="U2564" s="35" t="str">
        <f>IFERROR(__xludf.DUMMYFUNCTION("""COMPUTED_VALUE"""),"MAIN HP, OLAHRAGA JALAN KAKI")</f>
        <v>MAIN HP, OLAHRAGA JALAN KAKI</v>
      </c>
      <c r="V2564" s="37" t="str">
        <f>IFERROR(__xludf.DUMMYFUNCTION("""COMPUTED_VALUE"""),"089629162040")</f>
        <v>089629162040</v>
      </c>
      <c r="W2564" s="45"/>
    </row>
    <row r="2565">
      <c r="A2565" s="45"/>
      <c r="B2565" s="24" t="str">
        <f>IFERROR(__xludf.DUMMYFUNCTION("""COMPUTED_VALUE"""),"02/07/2025 10:40:18")</f>
        <v>02/07/2025 10:40:18</v>
      </c>
      <c r="C2565" s="35"/>
      <c r="D2565" s="10">
        <f>IFERROR(__xludf.DUMMYFUNCTION("""COMPUTED_VALUE"""),45840.0)</f>
        <v>45840</v>
      </c>
      <c r="E2565" s="35" t="str">
        <f>IFERROR(__xludf.DUMMYFUNCTION("""COMPUTED_VALUE"""),"07Jul")</f>
        <v>07Jul</v>
      </c>
      <c r="F2565" s="34" t="str">
        <f>IFERROR(__xludf.DUMMYFUNCTION("""COMPUTED_VALUE"""),"2025")</f>
        <v>2025</v>
      </c>
      <c r="G2565" s="35" t="str">
        <f>IFERROR(__xludf.DUMMYFUNCTION("""COMPUTED_VALUE"""),"AZRIL FADILLAH")</f>
        <v>AZRIL FADILLAH</v>
      </c>
      <c r="H2565" s="35" t="str">
        <f>IFERROR(__xludf.DUMMYFUNCTION("""COMPUTED_VALUE"""),"A0225075588")</f>
        <v>A0225075588</v>
      </c>
      <c r="I2565" s="35">
        <f>IFERROR(__xludf.DUMMYFUNCTION("""COMPUTED_VALUE"""),24.0)</f>
        <v>24</v>
      </c>
      <c r="J2565" s="35" t="str">
        <f>IFERROR(__xludf.DUMMYFUNCTION("""COMPUTED_VALUE"""),"18-24 tahun")</f>
        <v>18-24 tahun</v>
      </c>
      <c r="K2565" s="21" t="str">
        <f>IFERROR(__xludf.DUMMYFUNCTION("""COMPUTED_VALUE"""),"07/02/2002")</f>
        <v>07/02/2002</v>
      </c>
      <c r="L2565" s="21" t="str">
        <f>IFERROR(__xludf.DUMMYFUNCTION("""COMPUTED_VALUE"""),"LAKI-LAKI")</f>
        <v>LAKI-LAKI</v>
      </c>
      <c r="M2565" s="35" t="str">
        <f>IFERROR(__xludf.DUMMYFUNCTION("""COMPUTED_VALUE"""),"JL.TABRANI ACHMAD GG.TAKWA 1 NO 9")</f>
        <v>JL.TABRANI ACHMAD GG.TAKWA 1 NO 9</v>
      </c>
      <c r="N2565" s="35" t="str">
        <f>IFERROR(__xludf.DUMMYFUNCTION("""COMPUTED_VALUE"""),"SUNGAI JAWI DALAM")</f>
        <v>SUNGAI JAWI DALAM</v>
      </c>
      <c r="O2565" s="35" t="str">
        <f>IFERROR(__xludf.DUMMYFUNCTION("""COMPUTED_VALUE"""),"PONTIANAK BARAT")</f>
        <v>PONTIANAK BARAT</v>
      </c>
      <c r="P2565" s="35" t="str">
        <f>IFERROR(__xludf.DUMMYFUNCTION("""COMPUTED_VALUE"""),"KOTA PONTIANAK")</f>
        <v>KOTA PONTIANAK</v>
      </c>
      <c r="Q2565" s="35" t="str">
        <f>IFERROR(__xludf.DUMMYFUNCTION("""COMPUTED_VALUE"""),"KALIMANTAN BARAT")</f>
        <v>KALIMANTAN BARAT</v>
      </c>
      <c r="R2565" s="21" t="str">
        <f>IFERROR(__xludf.DUMMYFUNCTION("""COMPUTED_VALUE"""),"ISLAM")</f>
        <v>ISLAM</v>
      </c>
      <c r="S2565" s="74" t="str">
        <f>IFERROR(__xludf.DUMMYFUNCTION("""COMPUTED_VALUE"""),"MAHASISWA")</f>
        <v>MAHASISWA</v>
      </c>
      <c r="T2565" s="35" t="str">
        <f>IFERROR(__xludf.DUMMYFUNCTION("""COMPUTED_VALUE"""),"CEDERA LUTUT")</f>
        <v>CEDERA LUTUT</v>
      </c>
      <c r="U2565" s="35" t="str">
        <f>IFERROR(__xludf.DUMMYFUNCTION("""COMPUTED_VALUE"""),"BASKET")</f>
        <v>BASKET</v>
      </c>
      <c r="V2565" s="37" t="str">
        <f>IFERROR(__xludf.DUMMYFUNCTION("""COMPUTED_VALUE"""),"0895335805588")</f>
        <v>0895335805588</v>
      </c>
      <c r="W2565" s="45"/>
    </row>
    <row r="2566">
      <c r="A2566" s="45"/>
      <c r="B2566" s="24" t="str">
        <f>IFERROR(__xludf.DUMMYFUNCTION("""COMPUTED_VALUE"""),"02/07/2025 13:11:07")</f>
        <v>02/07/2025 13:11:07</v>
      </c>
      <c r="C2566" s="35"/>
      <c r="D2566" s="10">
        <f>IFERROR(__xludf.DUMMYFUNCTION("""COMPUTED_VALUE"""),45840.0)</f>
        <v>45840</v>
      </c>
      <c r="E2566" s="35" t="str">
        <f>IFERROR(__xludf.DUMMYFUNCTION("""COMPUTED_VALUE"""),"07Jul")</f>
        <v>07Jul</v>
      </c>
      <c r="F2566" s="34" t="str">
        <f>IFERROR(__xludf.DUMMYFUNCTION("""COMPUTED_VALUE"""),"2025")</f>
        <v>2025</v>
      </c>
      <c r="G2566" s="35" t="str">
        <f>IFERROR(__xludf.DUMMYFUNCTION("""COMPUTED_VALUE"""),"ELLISA RASIMIN")</f>
        <v>ELLISA RASIMIN</v>
      </c>
      <c r="H2566" s="35" t="str">
        <f>IFERROR(__xludf.DUMMYFUNCTION("""COMPUTED_VALUE"""),"E9325071431")</f>
        <v>E9325071431</v>
      </c>
      <c r="I2566" s="35">
        <f>IFERROR(__xludf.DUMMYFUNCTION("""COMPUTED_VALUE"""),33.0)</f>
        <v>33</v>
      </c>
      <c r="J2566" s="35" t="str">
        <f>IFERROR(__xludf.DUMMYFUNCTION("""COMPUTED_VALUE"""),"25-34 tahun")</f>
        <v>25-34 tahun</v>
      </c>
      <c r="K2566" s="21" t="str">
        <f>IFERROR(__xludf.DUMMYFUNCTION("""COMPUTED_VALUE"""),"10/03/1993")</f>
        <v>10/03/1993</v>
      </c>
      <c r="L2566" s="21" t="str">
        <f>IFERROR(__xludf.DUMMYFUNCTION("""COMPUTED_VALUE"""),"PEREMPUAN")</f>
        <v>PEREMPUAN</v>
      </c>
      <c r="M2566" s="35" t="str">
        <f>IFERROR(__xludf.DUMMYFUNCTION("""COMPUTED_VALUE"""),"JL. KHATULISTIWA NO 33")</f>
        <v>JL. KHATULISTIWA NO 33</v>
      </c>
      <c r="N2566" s="35" t="str">
        <f>IFERROR(__xludf.DUMMYFUNCTION("""COMPUTED_VALUE"""),"KEKURAHAN SIANTAN HULU")</f>
        <v>KEKURAHAN SIANTAN HULU</v>
      </c>
      <c r="O2566" s="35" t="str">
        <f>IFERROR(__xludf.DUMMYFUNCTION("""COMPUTED_VALUE"""),"PONTIANAK UTARA")</f>
        <v>PONTIANAK UTARA</v>
      </c>
      <c r="P2566" s="35" t="str">
        <f>IFERROR(__xludf.DUMMYFUNCTION("""COMPUTED_VALUE"""),"PONTIANAK")</f>
        <v>PONTIANAK</v>
      </c>
      <c r="Q2566" s="35" t="str">
        <f>IFERROR(__xludf.DUMMYFUNCTION("""COMPUTED_VALUE"""),"KALIMANTAN BARAT")</f>
        <v>KALIMANTAN BARAT</v>
      </c>
      <c r="R2566" s="21" t="str">
        <f>IFERROR(__xludf.DUMMYFUNCTION("""COMPUTED_VALUE"""),"BUDDHA")</f>
        <v>BUDDHA</v>
      </c>
      <c r="S2566" s="74" t="str">
        <f>IFERROR(__xludf.DUMMYFUNCTION("""COMPUTED_VALUE"""),"WIRASWASTA")</f>
        <v>WIRASWASTA</v>
      </c>
      <c r="T2566" s="35" t="str">
        <f>IFERROR(__xludf.DUMMYFUNCTION("""COMPUTED_VALUE"""),"PUNDAK PEGAL")</f>
        <v>PUNDAK PEGAL</v>
      </c>
      <c r="U2566" s="35" t="str">
        <f>IFERROR(__xludf.DUMMYFUNCTION("""COMPUTED_VALUE"""),"YOGA GYM")</f>
        <v>YOGA GYM</v>
      </c>
      <c r="V2566" s="37" t="str">
        <f>IFERROR(__xludf.DUMMYFUNCTION("""COMPUTED_VALUE"""),"624131211431")</f>
        <v>624131211431</v>
      </c>
      <c r="W2566" s="45"/>
    </row>
    <row r="2567">
      <c r="A2567" s="45"/>
      <c r="B2567" s="24" t="str">
        <f>IFERROR(__xludf.DUMMYFUNCTION("""COMPUTED_VALUE"""),"02/07/2025 16:46:07")</f>
        <v>02/07/2025 16:46:07</v>
      </c>
      <c r="C2567" s="35"/>
      <c r="D2567" s="10">
        <f>IFERROR(__xludf.DUMMYFUNCTION("""COMPUTED_VALUE"""),45840.0)</f>
        <v>45840</v>
      </c>
      <c r="E2567" s="35" t="str">
        <f>IFERROR(__xludf.DUMMYFUNCTION("""COMPUTED_VALUE"""),"07Jul")</f>
        <v>07Jul</v>
      </c>
      <c r="F2567" s="34" t="str">
        <f>IFERROR(__xludf.DUMMYFUNCTION("""COMPUTED_VALUE"""),"2025")</f>
        <v>2025</v>
      </c>
      <c r="G2567" s="35" t="str">
        <f>IFERROR(__xludf.DUMMYFUNCTION("""COMPUTED_VALUE"""),"RENOET ARI DIKA")</f>
        <v>RENOET ARI DIKA</v>
      </c>
      <c r="H2567" s="35" t="str">
        <f>IFERROR(__xludf.DUMMYFUNCTION("""COMPUTED_VALUE"""),"R9725077594")</f>
        <v>R9725077594</v>
      </c>
      <c r="I2567" s="35">
        <f>IFERROR(__xludf.DUMMYFUNCTION("""COMPUTED_VALUE"""),29.0)</f>
        <v>29</v>
      </c>
      <c r="J2567" s="35" t="str">
        <f>IFERROR(__xludf.DUMMYFUNCTION("""COMPUTED_VALUE"""),"25-34 tahun")</f>
        <v>25-34 tahun</v>
      </c>
      <c r="K2567" s="21" t="str">
        <f>IFERROR(__xludf.DUMMYFUNCTION("""COMPUTED_VALUE"""),"07/01/1997")</f>
        <v>07/01/1997</v>
      </c>
      <c r="L2567" s="21" t="str">
        <f>IFERROR(__xludf.DUMMYFUNCTION("""COMPUTED_VALUE"""),"LAKI-LAKI")</f>
        <v>LAKI-LAKI</v>
      </c>
      <c r="M2567" s="35" t="str">
        <f>IFERROR(__xludf.DUMMYFUNCTION("""COMPUTED_VALUE"""),"DESA SANDAI")</f>
        <v>DESA SANDAI</v>
      </c>
      <c r="N2567" s="35" t="str">
        <f>IFERROR(__xludf.DUMMYFUNCTION("""COMPUTED_VALUE"""),"SANDAI")</f>
        <v>SANDAI</v>
      </c>
      <c r="O2567" s="35" t="str">
        <f>IFERROR(__xludf.DUMMYFUNCTION("""COMPUTED_VALUE"""),"KECAMATAN SANDAI")</f>
        <v>KECAMATAN SANDAI</v>
      </c>
      <c r="P2567" s="35" t="str">
        <f>IFERROR(__xludf.DUMMYFUNCTION("""COMPUTED_VALUE"""),"KABUPATEN KETAPANG")</f>
        <v>KABUPATEN KETAPANG</v>
      </c>
      <c r="Q2567" s="35" t="str">
        <f>IFERROR(__xludf.DUMMYFUNCTION("""COMPUTED_VALUE"""),"KALIMANTAN BARAT")</f>
        <v>KALIMANTAN BARAT</v>
      </c>
      <c r="R2567" s="21" t="str">
        <f>IFERROR(__xludf.DUMMYFUNCTION("""COMPUTED_VALUE"""),"ISLAM")</f>
        <v>ISLAM</v>
      </c>
      <c r="S2567" s="74" t="str">
        <f>IFERROR(__xludf.DUMMYFUNCTION("""COMPUTED_VALUE"""),"KONTRAK")</f>
        <v>KONTRAK</v>
      </c>
      <c r="T2567" s="35" t="str">
        <f>IFERROR(__xludf.DUMMYFUNCTION("""COMPUTED_VALUE"""),"CEDRA LUTUT")</f>
        <v>CEDRA LUTUT</v>
      </c>
      <c r="U2567" s="35" t="str">
        <f>IFERROR(__xludf.DUMMYFUNCTION("""COMPUTED_VALUE"""),"SEPAK BOLA")</f>
        <v>SEPAK BOLA</v>
      </c>
      <c r="V2567" s="37" t="str">
        <f>IFERROR(__xludf.DUMMYFUNCTION("""COMPUTED_VALUE"""),"082148157594")</f>
        <v>082148157594</v>
      </c>
      <c r="W2567" s="45"/>
    </row>
    <row r="2568">
      <c r="A2568" s="45"/>
      <c r="B2568" s="24" t="str">
        <f>IFERROR(__xludf.DUMMYFUNCTION("""COMPUTED_VALUE"""),"02/07/2025 19:51:37")</f>
        <v>02/07/2025 19:51:37</v>
      </c>
      <c r="C2568" s="35"/>
      <c r="D2568" s="10">
        <f>IFERROR(__xludf.DUMMYFUNCTION("""COMPUTED_VALUE"""),45840.0)</f>
        <v>45840</v>
      </c>
      <c r="E2568" s="35" t="str">
        <f>IFERROR(__xludf.DUMMYFUNCTION("""COMPUTED_VALUE"""),"07Jul")</f>
        <v>07Jul</v>
      </c>
      <c r="F2568" s="34" t="str">
        <f>IFERROR(__xludf.DUMMYFUNCTION("""COMPUTED_VALUE"""),"2025")</f>
        <v>2025</v>
      </c>
      <c r="G2568" s="35" t="str">
        <f>IFERROR(__xludf.DUMMYFUNCTION("""COMPUTED_VALUE"""),"P. NENGSIH")</f>
        <v>P. NENGSIH</v>
      </c>
      <c r="H2568" s="35" t="str">
        <f>IFERROR(__xludf.DUMMYFUNCTION("""COMPUTED_VALUE"""),"P2525072448")</f>
        <v>P2525072448</v>
      </c>
      <c r="I2568" s="35">
        <f>IFERROR(__xludf.DUMMYFUNCTION("""COMPUTED_VALUE"""),0.0)</f>
        <v>0</v>
      </c>
      <c r="J2568" s="35" t="str">
        <f>IFERROR(__xludf.DUMMYFUNCTION("""COMPUTED_VALUE"""),"&lt; 18 tahun")</f>
        <v>&lt; 18 tahun</v>
      </c>
      <c r="K2568" s="21" t="str">
        <f>IFERROR(__xludf.DUMMYFUNCTION("""COMPUTED_VALUE"""),"25/07/2025")</f>
        <v>25/07/2025</v>
      </c>
      <c r="L2568" s="21" t="str">
        <f>IFERROR(__xludf.DUMMYFUNCTION("""COMPUTED_VALUE"""),"PEREMPUAN")</f>
        <v>PEREMPUAN</v>
      </c>
      <c r="M2568" s="35" t="str">
        <f>IFERROR(__xludf.DUMMYFUNCTION("""COMPUTED_VALUE"""),"JL. UJUNG PANDANG KOMP. CENDANA MURNI")</f>
        <v>JL. UJUNG PANDANG KOMP. CENDANA MURNI</v>
      </c>
      <c r="N2568" s="35" t="str">
        <f>IFERROR(__xludf.DUMMYFUNCTION("""COMPUTED_VALUE"""),"-")</f>
        <v>-</v>
      </c>
      <c r="O2568" s="35" t="str">
        <f>IFERROR(__xludf.DUMMYFUNCTION("""COMPUTED_VALUE"""),"-")</f>
        <v>-</v>
      </c>
      <c r="P2568" s="35" t="str">
        <f>IFERROR(__xludf.DUMMYFUNCTION("""COMPUTED_VALUE"""),"PONTIANAK")</f>
        <v>PONTIANAK</v>
      </c>
      <c r="Q2568" s="35" t="str">
        <f>IFERROR(__xludf.DUMMYFUNCTION("""COMPUTED_VALUE"""),"KALIMANTAN BARAT")</f>
        <v>KALIMANTAN BARAT</v>
      </c>
      <c r="R2568" s="21" t="str">
        <f>IFERROR(__xludf.DUMMYFUNCTION("""COMPUTED_VALUE"""),"ISLAM")</f>
        <v>ISLAM</v>
      </c>
      <c r="S2568" s="74" t="str">
        <f>IFERROR(__xludf.DUMMYFUNCTION("""COMPUTED_VALUE"""),"PNS")</f>
        <v>PNS</v>
      </c>
      <c r="T2568" s="35" t="str">
        <f>IFERROR(__xludf.DUMMYFUNCTION("""COMPUTED_VALUE"""),"PINGGANG")</f>
        <v>PINGGANG</v>
      </c>
      <c r="U2568" s="35" t="str">
        <f>IFERROR(__xludf.DUMMYFUNCTION("""COMPUTED_VALUE"""),"-")</f>
        <v>-</v>
      </c>
      <c r="V2568" s="37" t="str">
        <f>IFERROR(__xludf.DUMMYFUNCTION("""COMPUTED_VALUE"""),"082150642448")</f>
        <v>082150642448</v>
      </c>
      <c r="W2568" s="45"/>
    </row>
    <row r="2569">
      <c r="A2569" s="45"/>
      <c r="B2569" s="24" t="str">
        <f>IFERROR(__xludf.DUMMYFUNCTION("""COMPUTED_VALUE"""),"02/07/2025 11:17:17")</f>
        <v>02/07/2025 11:17:17</v>
      </c>
      <c r="C2569" s="35"/>
      <c r="D2569" s="10">
        <f>IFERROR(__xludf.DUMMYFUNCTION("""COMPUTED_VALUE"""),45841.0)</f>
        <v>45841</v>
      </c>
      <c r="E2569" s="35" t="str">
        <f>IFERROR(__xludf.DUMMYFUNCTION("""COMPUTED_VALUE"""),"07Jul")</f>
        <v>07Jul</v>
      </c>
      <c r="F2569" s="34" t="str">
        <f>IFERROR(__xludf.DUMMYFUNCTION("""COMPUTED_VALUE"""),"2025")</f>
        <v>2025</v>
      </c>
      <c r="G2569" s="35" t="str">
        <f>IFERROR(__xludf.DUMMYFUNCTION("""COMPUTED_VALUE"""),"ERITA GUNAWAN")</f>
        <v>ERITA GUNAWAN</v>
      </c>
      <c r="H2569" s="35" t="str">
        <f>IFERROR(__xludf.DUMMYFUNCTION("""COMPUTED_VALUE"""),"E8025071596")</f>
        <v>E8025071596</v>
      </c>
      <c r="I2569" s="35">
        <f>IFERROR(__xludf.DUMMYFUNCTION("""COMPUTED_VALUE"""),45.0)</f>
        <v>45</v>
      </c>
      <c r="J2569" s="35" t="str">
        <f>IFERROR(__xludf.DUMMYFUNCTION("""COMPUTED_VALUE"""),"&gt; 44 tahun")</f>
        <v>&gt; 44 tahun</v>
      </c>
      <c r="K2569" s="21" t="str">
        <f>IFERROR(__xludf.DUMMYFUNCTION("""COMPUTED_VALUE"""),"22/06/1980")</f>
        <v>22/06/1980</v>
      </c>
      <c r="L2569" s="21" t="str">
        <f>IFERROR(__xludf.DUMMYFUNCTION("""COMPUTED_VALUE"""),"PEREMPUAN")</f>
        <v>PEREMPUAN</v>
      </c>
      <c r="M2569" s="35" t="str">
        <f>IFERROR(__xludf.DUMMYFUNCTION("""COMPUTED_VALUE"""),"JALAN GAJAHMADA 10 NO 91")</f>
        <v>JALAN GAJAHMADA 10 NO 91</v>
      </c>
      <c r="N2569" s="35" t="str">
        <f>IFERROR(__xludf.DUMMYFUNCTION("""COMPUTED_VALUE"""),"BENUA MELAYU DARAT")</f>
        <v>BENUA MELAYU DARAT</v>
      </c>
      <c r="O2569" s="35" t="str">
        <f>IFERROR(__xludf.DUMMYFUNCTION("""COMPUTED_VALUE"""),"PONTIANAK SELATAN")</f>
        <v>PONTIANAK SELATAN</v>
      </c>
      <c r="P2569" s="35" t="str">
        <f>IFERROR(__xludf.DUMMYFUNCTION("""COMPUTED_VALUE"""),"KOTA PONTIANAK")</f>
        <v>KOTA PONTIANAK</v>
      </c>
      <c r="Q2569" s="35" t="str">
        <f>IFERROR(__xludf.DUMMYFUNCTION("""COMPUTED_VALUE"""),"KALIMANTAN BARAT")</f>
        <v>KALIMANTAN BARAT</v>
      </c>
      <c r="R2569" s="21" t="str">
        <f>IFERROR(__xludf.DUMMYFUNCTION("""COMPUTED_VALUE"""),"KATOLIK")</f>
        <v>KATOLIK</v>
      </c>
      <c r="S2569" s="74" t="str">
        <f>IFERROR(__xludf.DUMMYFUNCTION("""COMPUTED_VALUE"""),"IBU RUMAH TANGGA")</f>
        <v>IBU RUMAH TANGGA</v>
      </c>
      <c r="T2569" s="35" t="str">
        <f>IFERROR(__xludf.DUMMYFUNCTION("""COMPUTED_VALUE"""),"TULANG PUNGGU BAGIAN BAWAH SAKIT")</f>
        <v>TULANG PUNGGU BAGIAN BAWAH SAKIT</v>
      </c>
      <c r="U2569" s="35" t="str">
        <f>IFERROR(__xludf.DUMMYFUNCTION("""COMPUTED_VALUE"""),"YOGA")</f>
        <v>YOGA</v>
      </c>
      <c r="V2569" s="37" t="str">
        <f>IFERROR(__xludf.DUMMYFUNCTION("""COMPUTED_VALUE"""),"08125701596")</f>
        <v>08125701596</v>
      </c>
      <c r="W2569" s="45"/>
    </row>
    <row r="2570">
      <c r="A2570" s="45"/>
      <c r="B2570" s="24" t="str">
        <f>IFERROR(__xludf.DUMMYFUNCTION("""COMPUTED_VALUE"""),"03/07/2025 16:22:57")</f>
        <v>03/07/2025 16:22:57</v>
      </c>
      <c r="C2570" s="35"/>
      <c r="D2570" s="10">
        <f>IFERROR(__xludf.DUMMYFUNCTION("""COMPUTED_VALUE"""),45841.0)</f>
        <v>45841</v>
      </c>
      <c r="E2570" s="35" t="str">
        <f>IFERROR(__xludf.DUMMYFUNCTION("""COMPUTED_VALUE"""),"07Jul")</f>
        <v>07Jul</v>
      </c>
      <c r="F2570" s="34" t="str">
        <f>IFERROR(__xludf.DUMMYFUNCTION("""COMPUTED_VALUE"""),"2025")</f>
        <v>2025</v>
      </c>
      <c r="G2570" s="35" t="str">
        <f>IFERROR(__xludf.DUMMYFUNCTION("""COMPUTED_VALUE"""),"MICHAEL GIUSTI")</f>
        <v>MICHAEL GIUSTI</v>
      </c>
      <c r="H2570" s="35" t="str">
        <f>IFERROR(__xludf.DUMMYFUNCTION("""COMPUTED_VALUE"""),"M9525071318")</f>
        <v>M9525071318</v>
      </c>
      <c r="I2570" s="35">
        <f>IFERROR(__xludf.DUMMYFUNCTION("""COMPUTED_VALUE"""),31.0)</f>
        <v>31</v>
      </c>
      <c r="J2570" s="35" t="str">
        <f>IFERROR(__xludf.DUMMYFUNCTION("""COMPUTED_VALUE"""),"25-34 tahun")</f>
        <v>25-34 tahun</v>
      </c>
      <c r="K2570" s="21" t="str">
        <f>IFERROR(__xludf.DUMMYFUNCTION("""COMPUTED_VALUE"""),"15/02/1995")</f>
        <v>15/02/1995</v>
      </c>
      <c r="L2570" s="21" t="str">
        <f>IFERROR(__xludf.DUMMYFUNCTION("""COMPUTED_VALUE"""),"LAKI-LAKI")</f>
        <v>LAKI-LAKI</v>
      </c>
      <c r="M2570" s="35" t="str">
        <f>IFERROR(__xludf.DUMMYFUNCTION("""COMPUTED_VALUE"""),"PURNAMA AGUNG 4 NO T 1")</f>
        <v>PURNAMA AGUNG 4 NO T 1</v>
      </c>
      <c r="N2570" s="35" t="str">
        <f>IFERROR(__xludf.DUMMYFUNCTION("""COMPUTED_VALUE"""),"PARIT TAKOYA")</f>
        <v>PARIT TAKOYA</v>
      </c>
      <c r="O2570" s="35" t="str">
        <f>IFERROR(__xludf.DUMMYFUNCTION("""COMPUTED_VALUE"""),"PONTIANAK SELATAN")</f>
        <v>PONTIANAK SELATAN</v>
      </c>
      <c r="P2570" s="35" t="str">
        <f>IFERROR(__xludf.DUMMYFUNCTION("""COMPUTED_VALUE"""),"PONTIANAK")</f>
        <v>PONTIANAK</v>
      </c>
      <c r="Q2570" s="35" t="str">
        <f>IFERROR(__xludf.DUMMYFUNCTION("""COMPUTED_VALUE"""),"KALIMANTAN BARAT")</f>
        <v>KALIMANTAN BARAT</v>
      </c>
      <c r="R2570" s="21" t="str">
        <f>IFERROR(__xludf.DUMMYFUNCTION("""COMPUTED_VALUE"""),"KATOLIK")</f>
        <v>KATOLIK</v>
      </c>
      <c r="S2570" s="74" t="str">
        <f>IFERROR(__xludf.DUMMYFUNCTION("""COMPUTED_VALUE"""),"JUALAN ROTI")</f>
        <v>JUALAN ROTI</v>
      </c>
      <c r="T2570" s="35" t="str">
        <f>IFERROR(__xludf.DUMMYFUNCTION("""COMPUTED_VALUE"""),"SAKIT PINGGAN")</f>
        <v>SAKIT PINGGAN</v>
      </c>
      <c r="U2570" s="35" t="str">
        <f>IFERROR(__xludf.DUMMYFUNCTION("""COMPUTED_VALUE"""),"GA DA")</f>
        <v>GA DA</v>
      </c>
      <c r="V2570" s="37" t="str">
        <f>IFERROR(__xludf.DUMMYFUNCTION("""COMPUTED_VALUE"""),"081258201318")</f>
        <v>081258201318</v>
      </c>
      <c r="W2570" s="45"/>
    </row>
    <row r="2571">
      <c r="A2571" s="45"/>
      <c r="B2571" s="24" t="str">
        <f>IFERROR(__xludf.DUMMYFUNCTION("""COMPUTED_VALUE"""),"03/07/2025 19:22:35")</f>
        <v>03/07/2025 19:22:35</v>
      </c>
      <c r="C2571" s="35"/>
      <c r="D2571" s="10">
        <f>IFERROR(__xludf.DUMMYFUNCTION("""COMPUTED_VALUE"""),45841.0)</f>
        <v>45841</v>
      </c>
      <c r="E2571" s="35" t="str">
        <f>IFERROR(__xludf.DUMMYFUNCTION("""COMPUTED_VALUE"""),"07Jul")</f>
        <v>07Jul</v>
      </c>
      <c r="F2571" s="34" t="str">
        <f>IFERROR(__xludf.DUMMYFUNCTION("""COMPUTED_VALUE"""),"2025")</f>
        <v>2025</v>
      </c>
      <c r="G2571" s="35" t="str">
        <f>IFERROR(__xludf.DUMMYFUNCTION("""COMPUTED_VALUE"""),"SOFIA MARLINA")</f>
        <v>SOFIA MARLINA</v>
      </c>
      <c r="H2571" s="35" t="str">
        <f>IFERROR(__xludf.DUMMYFUNCTION("""COMPUTED_VALUE"""),"S9525071318")</f>
        <v>S9525071318</v>
      </c>
      <c r="I2571" s="35">
        <f>IFERROR(__xludf.DUMMYFUNCTION("""COMPUTED_VALUE"""),31.0)</f>
        <v>31</v>
      </c>
      <c r="J2571" s="35" t="str">
        <f>IFERROR(__xludf.DUMMYFUNCTION("""COMPUTED_VALUE"""),"25-34 tahun")</f>
        <v>25-34 tahun</v>
      </c>
      <c r="K2571" s="21" t="str">
        <f>IFERROR(__xludf.DUMMYFUNCTION("""COMPUTED_VALUE"""),"07/03/1995")</f>
        <v>07/03/1995</v>
      </c>
      <c r="L2571" s="21" t="str">
        <f>IFERROR(__xludf.DUMMYFUNCTION("""COMPUTED_VALUE"""),"PEREMPUAN")</f>
        <v>PEREMPUAN</v>
      </c>
      <c r="M2571" s="35" t="str">
        <f>IFERROR(__xludf.DUMMYFUNCTION("""COMPUTED_VALUE"""),"JALAN KETAPANG DALAM NO A7")</f>
        <v>JALAN KETAPANG DALAM NO A7</v>
      </c>
      <c r="N2571" s="35" t="str">
        <f>IFERROR(__xludf.DUMMYFUNCTION("""COMPUTED_VALUE"""),"BENUA MELAYU DARAT")</f>
        <v>BENUA MELAYU DARAT</v>
      </c>
      <c r="O2571" s="35" t="str">
        <f>IFERROR(__xludf.DUMMYFUNCTION("""COMPUTED_VALUE"""),"PONTIANAK SELATAN")</f>
        <v>PONTIANAK SELATAN</v>
      </c>
      <c r="P2571" s="35" t="str">
        <f>IFERROR(__xludf.DUMMYFUNCTION("""COMPUTED_VALUE"""),"PONTIANAK")</f>
        <v>PONTIANAK</v>
      </c>
      <c r="Q2571" s="35" t="str">
        <f>IFERROR(__xludf.DUMMYFUNCTION("""COMPUTED_VALUE"""),"KALIMANTAN BARAT")</f>
        <v>KALIMANTAN BARAT</v>
      </c>
      <c r="R2571" s="21" t="str">
        <f>IFERROR(__xludf.DUMMYFUNCTION("""COMPUTED_VALUE"""),"KATOLIK")</f>
        <v>KATOLIK</v>
      </c>
      <c r="S2571" s="74" t="str">
        <f>IFERROR(__xludf.DUMMYFUNCTION("""COMPUTED_VALUE"""),"IBU RUMAH TANGGA")</f>
        <v>IBU RUMAH TANGGA</v>
      </c>
      <c r="T2571" s="35" t="str">
        <f>IFERROR(__xludf.DUMMYFUNCTION("""COMPUTED_VALUE"""),"SAKIT LEHER")</f>
        <v>SAKIT LEHER</v>
      </c>
      <c r="U2571" s="35" t="str">
        <f>IFERROR(__xludf.DUMMYFUNCTION("""COMPUTED_VALUE"""),"NGEDIT VIDEO DUDUK DEPAN LAPTOP LAMA")</f>
        <v>NGEDIT VIDEO DUDUK DEPAN LAPTOP LAMA</v>
      </c>
      <c r="V2571" s="37" t="str">
        <f>IFERROR(__xludf.DUMMYFUNCTION("""COMPUTED_VALUE"""),"081258201318")</f>
        <v>081258201318</v>
      </c>
      <c r="W2571" s="45"/>
    </row>
    <row r="2572">
      <c r="A2572" s="45"/>
      <c r="B2572" s="24" t="str">
        <f>IFERROR(__xludf.DUMMYFUNCTION("""COMPUTED_VALUE"""),"03/07/2025 20:02:07")</f>
        <v>03/07/2025 20:02:07</v>
      </c>
      <c r="C2572" s="35"/>
      <c r="D2572" s="10">
        <f>IFERROR(__xludf.DUMMYFUNCTION("""COMPUTED_VALUE"""),45841.0)</f>
        <v>45841</v>
      </c>
      <c r="E2572" s="35" t="str">
        <f>IFERROR(__xludf.DUMMYFUNCTION("""COMPUTED_VALUE"""),"07Jul")</f>
        <v>07Jul</v>
      </c>
      <c r="F2572" s="34" t="str">
        <f>IFERROR(__xludf.DUMMYFUNCTION("""COMPUTED_VALUE"""),"2025")</f>
        <v>2025</v>
      </c>
      <c r="G2572" s="35" t="str">
        <f>IFERROR(__xludf.DUMMYFUNCTION("""COMPUTED_VALUE"""),"LIENA TJANDRA")</f>
        <v>LIENA TJANDRA</v>
      </c>
      <c r="H2572" s="35" t="str">
        <f>IFERROR(__xludf.DUMMYFUNCTION("""COMPUTED_VALUE"""),"L7225071788")</f>
        <v>L7225071788</v>
      </c>
      <c r="I2572" s="35">
        <f>IFERROR(__xludf.DUMMYFUNCTION("""COMPUTED_VALUE"""),53.0)</f>
        <v>53</v>
      </c>
      <c r="J2572" s="35" t="str">
        <f>IFERROR(__xludf.DUMMYFUNCTION("""COMPUTED_VALUE"""),"&gt; 44 tahun")</f>
        <v>&gt; 44 tahun</v>
      </c>
      <c r="K2572" s="21" t="str">
        <f>IFERROR(__xludf.DUMMYFUNCTION("""COMPUTED_VALUE"""),"19/08/1972")</f>
        <v>19/08/1972</v>
      </c>
      <c r="L2572" s="21" t="str">
        <f>IFERROR(__xludf.DUMMYFUNCTION("""COMPUTED_VALUE"""),"PEREMPUAN")</f>
        <v>PEREMPUAN</v>
      </c>
      <c r="M2572" s="35" t="str">
        <f>IFERROR(__xludf.DUMMYFUNCTION("""COMPUTED_VALUE"""),"JL DR SETIABUDI NO 225")</f>
        <v>JL DR SETIABUDI NO 225</v>
      </c>
      <c r="N2572" s="35" t="str">
        <f>IFERROR(__xludf.DUMMYFUNCTION("""COMPUTED_VALUE"""),"BENUA MELAYU DARAT")</f>
        <v>BENUA MELAYU DARAT</v>
      </c>
      <c r="O2572" s="35" t="str">
        <f>IFERROR(__xludf.DUMMYFUNCTION("""COMPUTED_VALUE"""),"PONTIANAK SELATAN")</f>
        <v>PONTIANAK SELATAN</v>
      </c>
      <c r="P2572" s="35" t="str">
        <f>IFERROR(__xludf.DUMMYFUNCTION("""COMPUTED_VALUE"""),"PONTIANAK")</f>
        <v>PONTIANAK</v>
      </c>
      <c r="Q2572" s="35" t="str">
        <f>IFERROR(__xludf.DUMMYFUNCTION("""COMPUTED_VALUE"""),"KAL BAR")</f>
        <v>KAL BAR</v>
      </c>
      <c r="R2572" s="21" t="str">
        <f>IFERROR(__xludf.DUMMYFUNCTION("""COMPUTED_VALUE"""),"KATOLIK")</f>
        <v>KATOLIK</v>
      </c>
      <c r="S2572" s="74" t="str">
        <f>IFERROR(__xludf.DUMMYFUNCTION("""COMPUTED_VALUE"""),"IBU RT")</f>
        <v>IBU RT</v>
      </c>
      <c r="T2572" s="35" t="str">
        <f>IFERROR(__xludf.DUMMYFUNCTION("""COMPUTED_VALUE"""),"BAHU KANAN DAN PINGGANG")</f>
        <v>BAHU KANAN DAN PINGGANG</v>
      </c>
      <c r="U2572" s="35" t="str">
        <f>IFERROR(__xludf.DUMMYFUNCTION("""COMPUTED_VALUE"""),"YOGA")</f>
        <v>YOGA</v>
      </c>
      <c r="V2572" s="37" t="str">
        <f>IFERROR(__xludf.DUMMYFUNCTION("""COMPUTED_VALUE"""),"082254671788")</f>
        <v>082254671788</v>
      </c>
      <c r="W2572" s="45"/>
    </row>
    <row r="2573">
      <c r="A2573" s="45"/>
      <c r="B2573" s="24" t="str">
        <f>IFERROR(__xludf.DUMMYFUNCTION("""COMPUTED_VALUE"""),"03/07/2025 20:42:51")</f>
        <v>03/07/2025 20:42:51</v>
      </c>
      <c r="C2573" s="35"/>
      <c r="D2573" s="10">
        <f>IFERROR(__xludf.DUMMYFUNCTION("""COMPUTED_VALUE"""),45842.0)</f>
        <v>45842</v>
      </c>
      <c r="E2573" s="35" t="str">
        <f>IFERROR(__xludf.DUMMYFUNCTION("""COMPUTED_VALUE"""),"07Jul")</f>
        <v>07Jul</v>
      </c>
      <c r="F2573" s="34" t="str">
        <f>IFERROR(__xludf.DUMMYFUNCTION("""COMPUTED_VALUE"""),"2025")</f>
        <v>2025</v>
      </c>
      <c r="G2573" s="35" t="str">
        <f>IFERROR(__xludf.DUMMYFUNCTION("""COMPUTED_VALUE"""),"VIVIANTY")</f>
        <v>VIVIANTY</v>
      </c>
      <c r="H2573" s="35" t="str">
        <f>IFERROR(__xludf.DUMMYFUNCTION("""COMPUTED_VALUE"""),"V9225074870")</f>
        <v>V9225074870</v>
      </c>
      <c r="I2573" s="35">
        <f>IFERROR(__xludf.DUMMYFUNCTION("""COMPUTED_VALUE"""),33.0)</f>
        <v>33</v>
      </c>
      <c r="J2573" s="35" t="str">
        <f>IFERROR(__xludf.DUMMYFUNCTION("""COMPUTED_VALUE"""),"25-34 tahun")</f>
        <v>25-34 tahun</v>
      </c>
      <c r="K2573" s="21" t="str">
        <f>IFERROR(__xludf.DUMMYFUNCTION("""COMPUTED_VALUE"""),"29/08/1992")</f>
        <v>29/08/1992</v>
      </c>
      <c r="L2573" s="21" t="str">
        <f>IFERROR(__xludf.DUMMYFUNCTION("""COMPUTED_VALUE"""),"PEREMPUAN")</f>
        <v>PEREMPUAN</v>
      </c>
      <c r="M2573" s="35" t="str">
        <f>IFERROR(__xludf.DUMMYFUNCTION("""COMPUTED_VALUE"""),"JL TABRANI AHMAD KOMPLEK PALEM INDAH NO A1")</f>
        <v>JL TABRANI AHMAD KOMPLEK PALEM INDAH NO A1</v>
      </c>
      <c r="N2573" s="35" t="str">
        <f>IFERROR(__xludf.DUMMYFUNCTION("""COMPUTED_VALUE"""),"PAL LIMA")</f>
        <v>PAL LIMA</v>
      </c>
      <c r="O2573" s="35" t="str">
        <f>IFERROR(__xludf.DUMMYFUNCTION("""COMPUTED_VALUE"""),"PONTIANAK BARAT")</f>
        <v>PONTIANAK BARAT</v>
      </c>
      <c r="P2573" s="35" t="str">
        <f>IFERROR(__xludf.DUMMYFUNCTION("""COMPUTED_VALUE"""),"KOTA PONTIANAK")</f>
        <v>KOTA PONTIANAK</v>
      </c>
      <c r="Q2573" s="35" t="str">
        <f>IFERROR(__xludf.DUMMYFUNCTION("""COMPUTED_VALUE"""),"KALIMANTAN BARAT")</f>
        <v>KALIMANTAN BARAT</v>
      </c>
      <c r="R2573" s="21" t="str">
        <f>IFERROR(__xludf.DUMMYFUNCTION("""COMPUTED_VALUE"""),"KATOLIK")</f>
        <v>KATOLIK</v>
      </c>
      <c r="S2573" s="74" t="str">
        <f>IFERROR(__xludf.DUMMYFUNCTION("""COMPUTED_VALUE"""),"IBU RUMAH TANGGA")</f>
        <v>IBU RUMAH TANGGA</v>
      </c>
      <c r="T2573" s="35" t="str">
        <f>IFERROR(__xludf.DUMMYFUNCTION("""COMPUTED_VALUE"""),"SAKIT PUNGGUNG DAN TULANG BELAKANG")</f>
        <v>SAKIT PUNGGUNG DAN TULANG BELAKANG</v>
      </c>
      <c r="U2573" s="35" t="str">
        <f>IFERROR(__xludf.DUMMYFUNCTION("""COMPUTED_VALUE"""),"DUDUK DAN PAKAI SANDAL TIPIS")</f>
        <v>DUDUK DAN PAKAI SANDAL TIPIS</v>
      </c>
      <c r="V2573" s="37" t="str">
        <f>IFERROR(__xludf.DUMMYFUNCTION("""COMPUTED_VALUE"""),"082151724870")</f>
        <v>082151724870</v>
      </c>
      <c r="W2573" s="45"/>
    </row>
    <row r="2574">
      <c r="A2574" s="45"/>
      <c r="B2574" s="24" t="str">
        <f>IFERROR(__xludf.DUMMYFUNCTION("""COMPUTED_VALUE"""),"03/07/2025 20:46:13")</f>
        <v>03/07/2025 20:46:13</v>
      </c>
      <c r="C2574" s="35"/>
      <c r="D2574" s="10">
        <f>IFERROR(__xludf.DUMMYFUNCTION("""COMPUTED_VALUE"""),45842.0)</f>
        <v>45842</v>
      </c>
      <c r="E2574" s="35" t="str">
        <f>IFERROR(__xludf.DUMMYFUNCTION("""COMPUTED_VALUE"""),"07Jul")</f>
        <v>07Jul</v>
      </c>
      <c r="F2574" s="34" t="str">
        <f>IFERROR(__xludf.DUMMYFUNCTION("""COMPUTED_VALUE"""),"2025")</f>
        <v>2025</v>
      </c>
      <c r="G2574" s="35" t="str">
        <f>IFERROR(__xludf.DUMMYFUNCTION("""COMPUTED_VALUE"""),"SUMITO WICAKSONO SIM")</f>
        <v>SUMITO WICAKSONO SIM</v>
      </c>
      <c r="H2574" s="35" t="str">
        <f>IFERROR(__xludf.DUMMYFUNCTION("""COMPUTED_VALUE"""),"S8825078486")</f>
        <v>S8825078486</v>
      </c>
      <c r="I2574" s="35">
        <f>IFERROR(__xludf.DUMMYFUNCTION("""COMPUTED_VALUE"""),38.0)</f>
        <v>38</v>
      </c>
      <c r="J2574" s="35" t="str">
        <f>IFERROR(__xludf.DUMMYFUNCTION("""COMPUTED_VALUE"""),"35-44 tahun")</f>
        <v>35-44 tahun</v>
      </c>
      <c r="K2574" s="21" t="str">
        <f>IFERROR(__xludf.DUMMYFUNCTION("""COMPUTED_VALUE"""),"07/04/1988")</f>
        <v>07/04/1988</v>
      </c>
      <c r="L2574" s="21" t="str">
        <f>IFERROR(__xludf.DUMMYFUNCTION("""COMPUTED_VALUE"""),"LAKI-LAKI")</f>
        <v>LAKI-LAKI</v>
      </c>
      <c r="M2574" s="35" t="str">
        <f>IFERROR(__xludf.DUMMYFUNCTION("""COMPUTED_VALUE"""),"JL TABRANI AHMAD KOMPLEK PALEM INDAH NO A1")</f>
        <v>JL TABRANI AHMAD KOMPLEK PALEM INDAH NO A1</v>
      </c>
      <c r="N2574" s="35" t="str">
        <f>IFERROR(__xludf.DUMMYFUNCTION("""COMPUTED_VALUE"""),"PAL LIMA")</f>
        <v>PAL LIMA</v>
      </c>
      <c r="O2574" s="35" t="str">
        <f>IFERROR(__xludf.DUMMYFUNCTION("""COMPUTED_VALUE"""),"PONTIANAK BARAT")</f>
        <v>PONTIANAK BARAT</v>
      </c>
      <c r="P2574" s="35" t="str">
        <f>IFERROR(__xludf.DUMMYFUNCTION("""COMPUTED_VALUE"""),"KOTA PONTIANAK")</f>
        <v>KOTA PONTIANAK</v>
      </c>
      <c r="Q2574" s="35" t="str">
        <f>IFERROR(__xludf.DUMMYFUNCTION("""COMPUTED_VALUE"""),"KALIMANTAN BARAT")</f>
        <v>KALIMANTAN BARAT</v>
      </c>
      <c r="R2574" s="21" t="str">
        <f>IFERROR(__xludf.DUMMYFUNCTION("""COMPUTED_VALUE"""),"KATOLIK")</f>
        <v>KATOLIK</v>
      </c>
      <c r="S2574" s="74" t="str">
        <f>IFERROR(__xludf.DUMMYFUNCTION("""COMPUTED_VALUE"""),"WIRASWASTA")</f>
        <v>WIRASWASTA</v>
      </c>
      <c r="T2574" s="35" t="str">
        <f>IFERROR(__xludf.DUMMYFUNCTION("""COMPUTED_VALUE"""),"SAKIT TULANG EKOR")</f>
        <v>SAKIT TULANG EKOR</v>
      </c>
      <c r="U2574" s="35" t="str">
        <f>IFERROR(__xludf.DUMMYFUNCTION("""COMPUTED_VALUE"""),"SERING NAIK MOTOR MELALUI JALAN YG JELEK JATUH DARI MOTOR")</f>
        <v>SERING NAIK MOTOR MELALUI JALAN YG JELEK JATUH DARI MOTOR</v>
      </c>
      <c r="V2574" s="37" t="str">
        <f>IFERROR(__xludf.DUMMYFUNCTION("""COMPUTED_VALUE"""),"081350398486")</f>
        <v>081350398486</v>
      </c>
      <c r="W2574" s="45"/>
    </row>
    <row r="2575">
      <c r="A2575" s="45"/>
      <c r="B2575" s="24" t="str">
        <f>IFERROR(__xludf.DUMMYFUNCTION("""COMPUTED_VALUE"""),"04/07/2025 13:39:55")</f>
        <v>04/07/2025 13:39:55</v>
      </c>
      <c r="C2575" s="35"/>
      <c r="D2575" s="10">
        <f>IFERROR(__xludf.DUMMYFUNCTION("""COMPUTED_VALUE"""),45842.0)</f>
        <v>45842</v>
      </c>
      <c r="E2575" s="35" t="str">
        <f>IFERROR(__xludf.DUMMYFUNCTION("""COMPUTED_VALUE"""),"07Jul")</f>
        <v>07Jul</v>
      </c>
      <c r="F2575" s="34" t="str">
        <f>IFERROR(__xludf.DUMMYFUNCTION("""COMPUTED_VALUE"""),"2025")</f>
        <v>2025</v>
      </c>
      <c r="G2575" s="35" t="str">
        <f>IFERROR(__xludf.DUMMYFUNCTION("""COMPUTED_VALUE"""),"SALIMUN")</f>
        <v>SALIMUN</v>
      </c>
      <c r="H2575" s="35" t="str">
        <f>IFERROR(__xludf.DUMMYFUNCTION("""COMPUTED_VALUE"""),"S5725071186")</f>
        <v>S5725071186</v>
      </c>
      <c r="I2575" s="35">
        <f>IFERROR(__xludf.DUMMYFUNCTION("""COMPUTED_VALUE"""),69.0)</f>
        <v>69</v>
      </c>
      <c r="J2575" s="35" t="str">
        <f>IFERROR(__xludf.DUMMYFUNCTION("""COMPUTED_VALUE"""),"&gt; 44 tahun")</f>
        <v>&gt; 44 tahun</v>
      </c>
      <c r="K2575" s="21" t="str">
        <f>IFERROR(__xludf.DUMMYFUNCTION("""COMPUTED_VALUE"""),"04/05/1957")</f>
        <v>04/05/1957</v>
      </c>
      <c r="L2575" s="21" t="str">
        <f>IFERROR(__xludf.DUMMYFUNCTION("""COMPUTED_VALUE"""),"LAKI-LAKI")</f>
        <v>LAKI-LAKI</v>
      </c>
      <c r="M2575" s="35" t="str">
        <f>IFERROR(__xludf.DUMMYFUNCTION("""COMPUTED_VALUE"""),"JALAN DR SUTOMO GG SARIKATON DALAM 1 NO 2")</f>
        <v>JALAN DR SUTOMO GG SARIKATON DALAM 1 NO 2</v>
      </c>
      <c r="N2575" s="35" t="str">
        <f>IFERROR(__xludf.DUMMYFUNCTION("""COMPUTED_VALUE"""),"SUI BANGKONG")</f>
        <v>SUI BANGKONG</v>
      </c>
      <c r="O2575" s="35" t="str">
        <f>IFERROR(__xludf.DUMMYFUNCTION("""COMPUTED_VALUE"""),"PONTIANAK KOTA")</f>
        <v>PONTIANAK KOTA</v>
      </c>
      <c r="P2575" s="35" t="str">
        <f>IFERROR(__xludf.DUMMYFUNCTION("""COMPUTED_VALUE"""),"PONTIANAK")</f>
        <v>PONTIANAK</v>
      </c>
      <c r="Q2575" s="35" t="str">
        <f>IFERROR(__xludf.DUMMYFUNCTION("""COMPUTED_VALUE"""),"KALIMANTAN BARAT")</f>
        <v>KALIMANTAN BARAT</v>
      </c>
      <c r="R2575" s="21" t="str">
        <f>IFERROR(__xludf.DUMMYFUNCTION("""COMPUTED_VALUE"""),"ISLAM")</f>
        <v>ISLAM</v>
      </c>
      <c r="S2575" s="74" t="str">
        <f>IFERROR(__xludf.DUMMYFUNCTION("""COMPUTED_VALUE"""),"PENSIUNAN POLRI")</f>
        <v>PENSIUNAN POLRI</v>
      </c>
      <c r="T2575" s="35" t="str">
        <f>IFERROR(__xludf.DUMMYFUNCTION("""COMPUTED_VALUE"""),"NYERI BAHU KIRI ADA RIWAYAT JATUH TERJEREMBAB")</f>
        <v>NYERI BAHU KIRI ADA RIWAYAT JATUH TERJEREMBAB</v>
      </c>
      <c r="U2575" s="35" t="str">
        <f>IFERROR(__xludf.DUMMYFUNCTION("""COMPUTED_VALUE"""),"TIDAK ADA")</f>
        <v>TIDAK ADA</v>
      </c>
      <c r="V2575" s="37" t="str">
        <f>IFERROR(__xludf.DUMMYFUNCTION("""COMPUTED_VALUE"""),"085750411186")</f>
        <v>085750411186</v>
      </c>
      <c r="W2575" s="45"/>
    </row>
    <row r="2576">
      <c r="A2576" s="45"/>
      <c r="B2576" s="24" t="str">
        <f>IFERROR(__xludf.DUMMYFUNCTION("""COMPUTED_VALUE"""),"05/07/2025 8:54:38")</f>
        <v>05/07/2025 8:54:38</v>
      </c>
      <c r="C2576" s="35"/>
      <c r="D2576" s="10">
        <f>IFERROR(__xludf.DUMMYFUNCTION("""COMPUTED_VALUE"""),45843.0)</f>
        <v>45843</v>
      </c>
      <c r="E2576" s="35" t="str">
        <f>IFERROR(__xludf.DUMMYFUNCTION("""COMPUTED_VALUE"""),"07Jul")</f>
        <v>07Jul</v>
      </c>
      <c r="F2576" s="34" t="str">
        <f>IFERROR(__xludf.DUMMYFUNCTION("""COMPUTED_VALUE"""),"2025")</f>
        <v>2025</v>
      </c>
      <c r="G2576" s="35" t="str">
        <f>IFERROR(__xludf.DUMMYFUNCTION("""COMPUTED_VALUE"""),"FILIPUS")</f>
        <v>FILIPUS</v>
      </c>
      <c r="H2576" s="35" t="str">
        <f>IFERROR(__xludf.DUMMYFUNCTION("""COMPUTED_VALUE"""),"F9125072332")</f>
        <v>F9125072332</v>
      </c>
      <c r="I2576" s="35">
        <f>IFERROR(__xludf.DUMMYFUNCTION("""COMPUTED_VALUE"""),35.0)</f>
        <v>35</v>
      </c>
      <c r="J2576" s="35" t="str">
        <f>IFERROR(__xludf.DUMMYFUNCTION("""COMPUTED_VALUE"""),"35-44 tahun")</f>
        <v>35-44 tahun</v>
      </c>
      <c r="K2576" s="21" t="str">
        <f>IFERROR(__xludf.DUMMYFUNCTION("""COMPUTED_VALUE"""),"17/05/1991")</f>
        <v>17/05/1991</v>
      </c>
      <c r="L2576" s="21" t="str">
        <f>IFERROR(__xludf.DUMMYFUNCTION("""COMPUTED_VALUE"""),"LAKI-LAKI")</f>
        <v>LAKI-LAKI</v>
      </c>
      <c r="M2576" s="35" t="str">
        <f>IFERROR(__xludf.DUMMYFUNCTION("""COMPUTED_VALUE"""),"JLN IMAM BONJOL GG H MURSYID NO 33")</f>
        <v>JLN IMAM BONJOL GG H MURSYID NO 33</v>
      </c>
      <c r="N2576" s="35" t="str">
        <f>IFERROR(__xludf.DUMMYFUNCTION("""COMPUTED_VALUE"""),"PONTIANAK SELATAN")</f>
        <v>PONTIANAK SELATAN</v>
      </c>
      <c r="O2576" s="35" t="str">
        <f>IFERROR(__xludf.DUMMYFUNCTION("""COMPUTED_VALUE"""),"BENUA MELAYU LAUT")</f>
        <v>BENUA MELAYU LAUT</v>
      </c>
      <c r="P2576" s="35" t="str">
        <f>IFERROR(__xludf.DUMMYFUNCTION("""COMPUTED_VALUE"""),"PONTIANAK")</f>
        <v>PONTIANAK</v>
      </c>
      <c r="Q2576" s="35" t="str">
        <f>IFERROR(__xludf.DUMMYFUNCTION("""COMPUTED_VALUE"""),"KALIMANTAN BARAT")</f>
        <v>KALIMANTAN BARAT</v>
      </c>
      <c r="R2576" s="21" t="str">
        <f>IFERROR(__xludf.DUMMYFUNCTION("""COMPUTED_VALUE"""),"ISLAM")</f>
        <v>ISLAM</v>
      </c>
      <c r="S2576" s="74" t="str">
        <f>IFERROR(__xludf.DUMMYFUNCTION("""COMPUTED_VALUE"""),"PNS")</f>
        <v>PNS</v>
      </c>
      <c r="T2576" s="35" t="str">
        <f>IFERROR(__xludf.DUMMYFUNCTION("""COMPUTED_VALUE"""),"PINGGANG, ENGKEL KAKI KIRI")</f>
        <v>PINGGANG, ENGKEL KAKI KIRI</v>
      </c>
      <c r="U2576" s="35" t="str">
        <f>IFERROR(__xludf.DUMMYFUNCTION("""COMPUTED_VALUE"""),"BASKET, MINSOC, TENIS LAPANGAN")</f>
        <v>BASKET, MINSOC, TENIS LAPANGAN</v>
      </c>
      <c r="V2576" s="37" t="str">
        <f>IFERROR(__xludf.DUMMYFUNCTION("""COMPUTED_VALUE"""),"085252352332")</f>
        <v>085252352332</v>
      </c>
      <c r="W2576" s="45"/>
    </row>
    <row r="2577">
      <c r="A2577" s="45"/>
      <c r="B2577" s="24" t="str">
        <f>IFERROR(__xludf.DUMMYFUNCTION("""COMPUTED_VALUE"""),"05/07/2025 9:40:52")</f>
        <v>05/07/2025 9:40:52</v>
      </c>
      <c r="C2577" s="35"/>
      <c r="D2577" s="10">
        <f>IFERROR(__xludf.DUMMYFUNCTION("""COMPUTED_VALUE"""),45843.0)</f>
        <v>45843</v>
      </c>
      <c r="E2577" s="35" t="str">
        <f>IFERROR(__xludf.DUMMYFUNCTION("""COMPUTED_VALUE"""),"07Jul")</f>
        <v>07Jul</v>
      </c>
      <c r="F2577" s="34" t="str">
        <f>IFERROR(__xludf.DUMMYFUNCTION("""COMPUTED_VALUE"""),"2025")</f>
        <v>2025</v>
      </c>
      <c r="G2577" s="35" t="str">
        <f>IFERROR(__xludf.DUMMYFUNCTION("""COMPUTED_VALUE"""),"MUHAMMAD ZAMZAM QOMARUZZAMAN")</f>
        <v>MUHAMMAD ZAMZAM QOMARUZZAMAN</v>
      </c>
      <c r="H2577" s="35" t="str">
        <f>IFERROR(__xludf.DUMMYFUNCTION("""COMPUTED_VALUE"""),"M8925070454")</f>
        <v>M8925070454</v>
      </c>
      <c r="I2577" s="35">
        <f>IFERROR(__xludf.DUMMYFUNCTION("""COMPUTED_VALUE"""),37.0)</f>
        <v>37</v>
      </c>
      <c r="J2577" s="35" t="str">
        <f>IFERROR(__xludf.DUMMYFUNCTION("""COMPUTED_VALUE"""),"35-44 tahun")</f>
        <v>35-44 tahun</v>
      </c>
      <c r="K2577" s="21" t="str">
        <f>IFERROR(__xludf.DUMMYFUNCTION("""COMPUTED_VALUE"""),"07/06/1989")</f>
        <v>07/06/1989</v>
      </c>
      <c r="L2577" s="21" t="str">
        <f>IFERROR(__xludf.DUMMYFUNCTION("""COMPUTED_VALUE"""),"LAKI-LAKI")</f>
        <v>LAKI-LAKI</v>
      </c>
      <c r="M2577" s="35" t="str">
        <f>IFERROR(__xludf.DUMMYFUNCTION("""COMPUTED_VALUE"""),"JL. H. HARUNA NO.7, PONTIANAK")</f>
        <v>JL. H. HARUNA NO.7, PONTIANAK</v>
      </c>
      <c r="N2577" s="35" t="str">
        <f>IFERROR(__xludf.DUMMYFUNCTION("""COMPUTED_VALUE"""),"SEIJAWI DALAM")</f>
        <v>SEIJAWI DALAM</v>
      </c>
      <c r="O2577" s="35" t="str">
        <f>IFERROR(__xludf.DUMMYFUNCTION("""COMPUTED_VALUE"""),"PONTIANAK BARAT")</f>
        <v>PONTIANAK BARAT</v>
      </c>
      <c r="P2577" s="35" t="str">
        <f>IFERROR(__xludf.DUMMYFUNCTION("""COMPUTED_VALUE"""),"PONTIANAK")</f>
        <v>PONTIANAK</v>
      </c>
      <c r="Q2577" s="35" t="str">
        <f>IFERROR(__xludf.DUMMYFUNCTION("""COMPUTED_VALUE"""),"KALIMANTAN BARAT")</f>
        <v>KALIMANTAN BARAT</v>
      </c>
      <c r="R2577" s="21" t="str">
        <f>IFERROR(__xludf.DUMMYFUNCTION("""COMPUTED_VALUE"""),"ISLAM")</f>
        <v>ISLAM</v>
      </c>
      <c r="S2577" s="74" t="str">
        <f>IFERROR(__xludf.DUMMYFUNCTION("""COMPUTED_VALUE"""),"SWASTA")</f>
        <v>SWASTA</v>
      </c>
      <c r="T2577" s="35" t="str">
        <f>IFERROR(__xludf.DUMMYFUNCTION("""COMPUTED_VALUE"""),"SAKIT DI BAGIAN LUTUT KIRI")</f>
        <v>SAKIT DI BAGIAN LUTUT KIRI</v>
      </c>
      <c r="U2577" s="35" t="str">
        <f>IFERROR(__xludf.DUMMYFUNCTION("""COMPUTED_VALUE"""),"SEPAK BOLA")</f>
        <v>SEPAK BOLA</v>
      </c>
      <c r="V2577" s="37" t="str">
        <f>IFERROR(__xludf.DUMMYFUNCTION("""COMPUTED_VALUE"""),"081254150454")</f>
        <v>081254150454</v>
      </c>
      <c r="W2577" s="45"/>
    </row>
    <row r="2578">
      <c r="A2578" s="45"/>
      <c r="B2578" s="24" t="str">
        <f>IFERROR(__xludf.DUMMYFUNCTION("""COMPUTED_VALUE"""),"05/07/2025 10:20:12")</f>
        <v>05/07/2025 10:20:12</v>
      </c>
      <c r="C2578" s="35"/>
      <c r="D2578" s="10">
        <f>IFERROR(__xludf.DUMMYFUNCTION("""COMPUTED_VALUE"""),45843.0)</f>
        <v>45843</v>
      </c>
      <c r="E2578" s="35" t="str">
        <f>IFERROR(__xludf.DUMMYFUNCTION("""COMPUTED_VALUE"""),"07Jul")</f>
        <v>07Jul</v>
      </c>
      <c r="F2578" s="34" t="str">
        <f>IFERROR(__xludf.DUMMYFUNCTION("""COMPUTED_VALUE"""),"2025")</f>
        <v>2025</v>
      </c>
      <c r="G2578" s="35" t="str">
        <f>IFERROR(__xludf.DUMMYFUNCTION("""COMPUTED_VALUE"""),"MOCHAMAD CHAFID")</f>
        <v>MOCHAMAD CHAFID</v>
      </c>
      <c r="H2578" s="35" t="str">
        <f>IFERROR(__xludf.DUMMYFUNCTION("""COMPUTED_VALUE"""),"M8525073410")</f>
        <v>M8525073410</v>
      </c>
      <c r="I2578" s="35">
        <f>IFERROR(__xludf.DUMMYFUNCTION("""COMPUTED_VALUE"""),40.0)</f>
        <v>40</v>
      </c>
      <c r="J2578" s="35" t="str">
        <f>IFERROR(__xludf.DUMMYFUNCTION("""COMPUTED_VALUE"""),"35-44 tahun")</f>
        <v>35-44 tahun</v>
      </c>
      <c r="K2578" s="21" t="str">
        <f>IFERROR(__xludf.DUMMYFUNCTION("""COMPUTED_VALUE"""),"21/07/1985")</f>
        <v>21/07/1985</v>
      </c>
      <c r="L2578" s="21" t="str">
        <f>IFERROR(__xludf.DUMMYFUNCTION("""COMPUTED_VALUE"""),"LAKI-LAKI")</f>
        <v>LAKI-LAKI</v>
      </c>
      <c r="M2578" s="35" t="str">
        <f>IFERROR(__xludf.DUMMYFUNCTION("""COMPUTED_VALUE"""),"GG. RAWAMANGUN 1 NO. 57")</f>
        <v>GG. RAWAMANGUN 1 NO. 57</v>
      </c>
      <c r="N2578" s="35" t="str">
        <f>IFERROR(__xludf.DUMMYFUNCTION("""COMPUTED_VALUE"""),"SUNGAI BANGKONG")</f>
        <v>SUNGAI BANGKONG</v>
      </c>
      <c r="O2578" s="35" t="str">
        <f>IFERROR(__xludf.DUMMYFUNCTION("""COMPUTED_VALUE"""),"PONTIANAK KOTA")</f>
        <v>PONTIANAK KOTA</v>
      </c>
      <c r="P2578" s="35" t="str">
        <f>IFERROR(__xludf.DUMMYFUNCTION("""COMPUTED_VALUE"""),"PONTIANAK")</f>
        <v>PONTIANAK</v>
      </c>
      <c r="Q2578" s="35" t="str">
        <f>IFERROR(__xludf.DUMMYFUNCTION("""COMPUTED_VALUE"""),"KALIMANTAN BARAT")</f>
        <v>KALIMANTAN BARAT</v>
      </c>
      <c r="R2578" s="21" t="str">
        <f>IFERROR(__xludf.DUMMYFUNCTION("""COMPUTED_VALUE"""),"ISLAM")</f>
        <v>ISLAM</v>
      </c>
      <c r="S2578" s="74" t="str">
        <f>IFERROR(__xludf.DUMMYFUNCTION("""COMPUTED_VALUE"""),"PNS")</f>
        <v>PNS</v>
      </c>
      <c r="T2578" s="35" t="str">
        <f>IFERROR(__xludf.DUMMYFUNCTION("""COMPUTED_VALUE"""),"SAKIT PINGGANG")</f>
        <v>SAKIT PINGGANG</v>
      </c>
      <c r="U2578" s="35" t="str">
        <f>IFERROR(__xludf.DUMMYFUNCTION("""COMPUTED_VALUE"""),"BERMOTOR HINGGA 2 JAM")</f>
        <v>BERMOTOR HINGGA 2 JAM</v>
      </c>
      <c r="V2578" s="37" t="str">
        <f>IFERROR(__xludf.DUMMYFUNCTION("""COMPUTED_VALUE"""),"085252543410")</f>
        <v>085252543410</v>
      </c>
      <c r="W2578" s="45"/>
    </row>
    <row r="2579">
      <c r="A2579" s="45"/>
      <c r="B2579" s="24" t="str">
        <f>IFERROR(__xludf.DUMMYFUNCTION("""COMPUTED_VALUE"""),"05/07/2025 11:21:30")</f>
        <v>05/07/2025 11:21:30</v>
      </c>
      <c r="C2579" s="35"/>
      <c r="D2579" s="10">
        <f>IFERROR(__xludf.DUMMYFUNCTION("""COMPUTED_VALUE"""),45843.0)</f>
        <v>45843</v>
      </c>
      <c r="E2579" s="35" t="str">
        <f>IFERROR(__xludf.DUMMYFUNCTION("""COMPUTED_VALUE"""),"07Jul")</f>
        <v>07Jul</v>
      </c>
      <c r="F2579" s="34" t="str">
        <f>IFERROR(__xludf.DUMMYFUNCTION("""COMPUTED_VALUE"""),"2025")</f>
        <v>2025</v>
      </c>
      <c r="G2579" s="35" t="str">
        <f>IFERROR(__xludf.DUMMYFUNCTION("""COMPUTED_VALUE"""),"TOGARDO AMANTA")</f>
        <v>TOGARDO AMANTA</v>
      </c>
      <c r="H2579" s="35" t="str">
        <f>IFERROR(__xludf.DUMMYFUNCTION("""COMPUTED_VALUE"""),"T9725072362")</f>
        <v>T9725072362</v>
      </c>
      <c r="I2579" s="35">
        <f>IFERROR(__xludf.DUMMYFUNCTION("""COMPUTED_VALUE"""),28.0)</f>
        <v>28</v>
      </c>
      <c r="J2579" s="35" t="str">
        <f>IFERROR(__xludf.DUMMYFUNCTION("""COMPUTED_VALUE"""),"25-34 tahun")</f>
        <v>25-34 tahun</v>
      </c>
      <c r="K2579" s="21" t="str">
        <f>IFERROR(__xludf.DUMMYFUNCTION("""COMPUTED_VALUE"""),"04/12/1997")</f>
        <v>04/12/1997</v>
      </c>
      <c r="L2579" s="21" t="str">
        <f>IFERROR(__xludf.DUMMYFUNCTION("""COMPUTED_VALUE"""),"LAKI-LAKI")</f>
        <v>LAKI-LAKI</v>
      </c>
      <c r="M2579" s="35" t="str">
        <f>IFERROR(__xludf.DUMMYFUNCTION("""COMPUTED_VALUE"""),"JALAN SUNGAI RAYA DALAM")</f>
        <v>JALAN SUNGAI RAYA DALAM</v>
      </c>
      <c r="N2579" s="35" t="str">
        <f>IFERROR(__xludf.DUMMYFUNCTION("""COMPUTED_VALUE"""),"BANGKA BELITUNG DARAT")</f>
        <v>BANGKA BELITUNG DARAT</v>
      </c>
      <c r="O2579" s="35" t="str">
        <f>IFERROR(__xludf.DUMMYFUNCTION("""COMPUTED_VALUE"""),"PONTIANAK TENGGARA")</f>
        <v>PONTIANAK TENGGARA</v>
      </c>
      <c r="P2579" s="35" t="str">
        <f>IFERROR(__xludf.DUMMYFUNCTION("""COMPUTED_VALUE"""),"KOTA PONTIANAK")</f>
        <v>KOTA PONTIANAK</v>
      </c>
      <c r="Q2579" s="35" t="str">
        <f>IFERROR(__xludf.DUMMYFUNCTION("""COMPUTED_VALUE"""),"KALIMANTAN BARAT")</f>
        <v>KALIMANTAN BARAT</v>
      </c>
      <c r="R2579" s="21" t="str">
        <f>IFERROR(__xludf.DUMMYFUNCTION("""COMPUTED_VALUE"""),"ISLAM")</f>
        <v>ISLAM</v>
      </c>
      <c r="S2579" s="74" t="str">
        <f>IFERROR(__xludf.DUMMYFUNCTION("""COMPUTED_VALUE"""),"PEGAWAI SWASTA")</f>
        <v>PEGAWAI SWASTA</v>
      </c>
      <c r="T2579" s="35" t="str">
        <f>IFERROR(__xludf.DUMMYFUNCTION("""COMPUTED_VALUE"""),"SAKIT DI TELAPAK KAKI")</f>
        <v>SAKIT DI TELAPAK KAKI</v>
      </c>
      <c r="U2579" s="35" t="str">
        <f>IFERROR(__xludf.DUMMYFUNCTION("""COMPUTED_VALUE"""),"OLAHRAGA")</f>
        <v>OLAHRAGA</v>
      </c>
      <c r="V2579" s="37" t="str">
        <f>IFERROR(__xludf.DUMMYFUNCTION("""COMPUTED_VALUE"""),"085787382362")</f>
        <v>085787382362</v>
      </c>
      <c r="W2579" s="45"/>
    </row>
    <row r="2580">
      <c r="A2580" s="45"/>
      <c r="B2580" s="24" t="str">
        <f>IFERROR(__xludf.DUMMYFUNCTION("""COMPUTED_VALUE"""),"05/07/2025 16:39:05")</f>
        <v>05/07/2025 16:39:05</v>
      </c>
      <c r="C2580" s="35"/>
      <c r="D2580" s="10">
        <f>IFERROR(__xludf.DUMMYFUNCTION("""COMPUTED_VALUE"""),45843.0)</f>
        <v>45843</v>
      </c>
      <c r="E2580" s="35" t="str">
        <f>IFERROR(__xludf.DUMMYFUNCTION("""COMPUTED_VALUE"""),"07Jul")</f>
        <v>07Jul</v>
      </c>
      <c r="F2580" s="34" t="str">
        <f>IFERROR(__xludf.DUMMYFUNCTION("""COMPUTED_VALUE"""),"2025")</f>
        <v>2025</v>
      </c>
      <c r="G2580" s="35" t="str">
        <f>IFERROR(__xludf.DUMMYFUNCTION("""COMPUTED_VALUE"""),"ERMA LESTARI")</f>
        <v>ERMA LESTARI</v>
      </c>
      <c r="H2580" s="35" t="str">
        <f>IFERROR(__xludf.DUMMYFUNCTION("""COMPUTED_VALUE"""),"E7125078890")</f>
        <v>E7125078890</v>
      </c>
      <c r="I2580" s="35">
        <f>IFERROR(__xludf.DUMMYFUNCTION("""COMPUTED_VALUE"""),54.0)</f>
        <v>54</v>
      </c>
      <c r="J2580" s="35" t="str">
        <f>IFERROR(__xludf.DUMMYFUNCTION("""COMPUTED_VALUE"""),"&gt; 44 tahun")</f>
        <v>&gt; 44 tahun</v>
      </c>
      <c r="K2580" s="21" t="str">
        <f>IFERROR(__xludf.DUMMYFUNCTION("""COMPUTED_VALUE"""),"21/09/1971")</f>
        <v>21/09/1971</v>
      </c>
      <c r="L2580" s="21" t="str">
        <f>IFERROR(__xludf.DUMMYFUNCTION("""COMPUTED_VALUE"""),"PEREMPUAN")</f>
        <v>PEREMPUAN</v>
      </c>
      <c r="M2580" s="35" t="str">
        <f>IFERROR(__xludf.DUMMYFUNCTION("""COMPUTED_VALUE"""),"JL. DR. WAHIDIN GG. SEPAKAT VII")</f>
        <v>JL. DR. WAHIDIN GG. SEPAKAT VII</v>
      </c>
      <c r="N2580" s="35" t="str">
        <f>IFERROR(__xludf.DUMMYFUNCTION("""COMPUTED_VALUE"""),"-")</f>
        <v>-</v>
      </c>
      <c r="O2580" s="35" t="str">
        <f>IFERROR(__xludf.DUMMYFUNCTION("""COMPUTED_VALUE"""),"-")</f>
        <v>-</v>
      </c>
      <c r="P2580" s="35" t="str">
        <f>IFERROR(__xludf.DUMMYFUNCTION("""COMPUTED_VALUE"""),"PONTIANAK")</f>
        <v>PONTIANAK</v>
      </c>
      <c r="Q2580" s="35" t="str">
        <f>IFERROR(__xludf.DUMMYFUNCTION("""COMPUTED_VALUE"""),"KALIMANTAN BARAT")</f>
        <v>KALIMANTAN BARAT</v>
      </c>
      <c r="R2580" s="21" t="str">
        <f>IFERROR(__xludf.DUMMYFUNCTION("""COMPUTED_VALUE"""),"KATOLIK")</f>
        <v>KATOLIK</v>
      </c>
      <c r="S2580" s="74" t="str">
        <f>IFERROR(__xludf.DUMMYFUNCTION("""COMPUTED_VALUE"""),"GURU")</f>
        <v>GURU</v>
      </c>
      <c r="T2580" s="35" t="str">
        <f>IFERROR(__xludf.DUMMYFUNCTION("""COMPUTED_VALUE"""),"LUTUT")</f>
        <v>LUTUT</v>
      </c>
      <c r="U2580" s="35" t="str">
        <f>IFERROR(__xludf.DUMMYFUNCTION("""COMPUTED_VALUE"""),"-")</f>
        <v>-</v>
      </c>
      <c r="V2580" s="37" t="str">
        <f>IFERROR(__xludf.DUMMYFUNCTION("""COMPUTED_VALUE"""),"085750448890")</f>
        <v>085750448890</v>
      </c>
      <c r="W2580" s="45"/>
    </row>
    <row r="2581">
      <c r="A2581" s="45"/>
      <c r="B2581" s="24" t="str">
        <f>IFERROR(__xludf.DUMMYFUNCTION("""COMPUTED_VALUE"""),"05/07/2025 17:50:16")</f>
        <v>05/07/2025 17:50:16</v>
      </c>
      <c r="C2581" s="35"/>
      <c r="D2581" s="10">
        <f>IFERROR(__xludf.DUMMYFUNCTION("""COMPUTED_VALUE"""),45843.0)</f>
        <v>45843</v>
      </c>
      <c r="E2581" s="35" t="str">
        <f>IFERROR(__xludf.DUMMYFUNCTION("""COMPUTED_VALUE"""),"07Jul")</f>
        <v>07Jul</v>
      </c>
      <c r="F2581" s="34" t="str">
        <f>IFERROR(__xludf.DUMMYFUNCTION("""COMPUTED_VALUE"""),"2025")</f>
        <v>2025</v>
      </c>
      <c r="G2581" s="35" t="str">
        <f>IFERROR(__xludf.DUMMYFUNCTION("""COMPUTED_VALUE"""),"MICHAEL EVANDER")</f>
        <v>MICHAEL EVANDER</v>
      </c>
      <c r="H2581" s="35" t="str">
        <f>IFERROR(__xludf.DUMMYFUNCTION("""COMPUTED_VALUE"""),"M1225072448")</f>
        <v>M1225072448</v>
      </c>
      <c r="I2581" s="35">
        <f>IFERROR(__xludf.DUMMYFUNCTION("""COMPUTED_VALUE"""),14.0)</f>
        <v>14</v>
      </c>
      <c r="J2581" s="35" t="str">
        <f>IFERROR(__xludf.DUMMYFUNCTION("""COMPUTED_VALUE"""),"&lt; 18 tahun")</f>
        <v>&lt; 18 tahun</v>
      </c>
      <c r="K2581" s="21" t="str">
        <f>IFERROR(__xludf.DUMMYFUNCTION("""COMPUTED_VALUE"""),"04/04/2012")</f>
        <v>04/04/2012</v>
      </c>
      <c r="L2581" s="21" t="str">
        <f>IFERROR(__xludf.DUMMYFUNCTION("""COMPUTED_VALUE"""),"LAKI-LAKI")</f>
        <v>LAKI-LAKI</v>
      </c>
      <c r="M2581" s="35" t="str">
        <f>IFERROR(__xludf.DUMMYFUNCTION("""COMPUTED_VALUE"""),"JALAN SUKAMULIA GANG SUKMA 18")</f>
        <v>JALAN SUKAMULIA GANG SUKMA 18</v>
      </c>
      <c r="N2581" s="35" t="str">
        <f>IFERROR(__xludf.DUMMYFUNCTION("""COMPUTED_VALUE"""),"KELURAHAN SUNGAI JAWI")</f>
        <v>KELURAHAN SUNGAI JAWI</v>
      </c>
      <c r="O2581" s="35" t="str">
        <f>IFERROR(__xludf.DUMMYFUNCTION("""COMPUTED_VALUE"""),"PONTIANAK KOTA")</f>
        <v>PONTIANAK KOTA</v>
      </c>
      <c r="P2581" s="35" t="str">
        <f>IFERROR(__xludf.DUMMYFUNCTION("""COMPUTED_VALUE"""),"KOTA PONTIANAK")</f>
        <v>KOTA PONTIANAK</v>
      </c>
      <c r="Q2581" s="35" t="str">
        <f>IFERROR(__xludf.DUMMYFUNCTION("""COMPUTED_VALUE"""),"KALIMANTAN BARAT")</f>
        <v>KALIMANTAN BARAT</v>
      </c>
      <c r="R2581" s="21" t="str">
        <f>IFERROR(__xludf.DUMMYFUNCTION("""COMPUTED_VALUE"""),"KATOLIK")</f>
        <v>KATOLIK</v>
      </c>
      <c r="S2581" s="74" t="str">
        <f>IFERROR(__xludf.DUMMYFUNCTION("""COMPUTED_VALUE"""),"PELAJAR")</f>
        <v>PELAJAR</v>
      </c>
      <c r="T2581" s="35" t="str">
        <f>IFERROR(__xludf.DUMMYFUNCTION("""COMPUTED_VALUE"""),"ENGKEL KAKI")</f>
        <v>ENGKEL KAKI</v>
      </c>
      <c r="U2581" s="35" t="str">
        <f>IFERROR(__xludf.DUMMYFUNCTION("""COMPUTED_VALUE"""),"BASKET")</f>
        <v>BASKET</v>
      </c>
      <c r="V2581" s="37" t="str">
        <f>IFERROR(__xludf.DUMMYFUNCTION("""COMPUTED_VALUE"""),"085245772448")</f>
        <v>085245772448</v>
      </c>
      <c r="W2581" s="45"/>
    </row>
    <row r="2582">
      <c r="A2582" s="45"/>
      <c r="B2582" s="24" t="str">
        <f>IFERROR(__xludf.DUMMYFUNCTION("""COMPUTED_VALUE"""),"06/07/2025 15:31:39")</f>
        <v>06/07/2025 15:31:39</v>
      </c>
      <c r="C2582" s="35"/>
      <c r="D2582" s="10">
        <f>IFERROR(__xludf.DUMMYFUNCTION("""COMPUTED_VALUE"""),45844.0)</f>
        <v>45844</v>
      </c>
      <c r="E2582" s="35" t="str">
        <f>IFERROR(__xludf.DUMMYFUNCTION("""COMPUTED_VALUE"""),"07Jul")</f>
        <v>07Jul</v>
      </c>
      <c r="F2582" s="34" t="str">
        <f>IFERROR(__xludf.DUMMYFUNCTION("""COMPUTED_VALUE"""),"2025")</f>
        <v>2025</v>
      </c>
      <c r="G2582" s="35" t="str">
        <f>IFERROR(__xludf.DUMMYFUNCTION("""COMPUTED_VALUE"""),"DANIEL CANDRA WIJAYA")</f>
        <v>DANIEL CANDRA WIJAYA</v>
      </c>
      <c r="H2582" s="35" t="str">
        <f>IFERROR(__xludf.DUMMYFUNCTION("""COMPUTED_VALUE"""),"D0625074544")</f>
        <v>D0625074544</v>
      </c>
      <c r="I2582" s="35">
        <f>IFERROR(__xludf.DUMMYFUNCTION("""COMPUTED_VALUE"""),19.0)</f>
        <v>19</v>
      </c>
      <c r="J2582" s="35" t="str">
        <f>IFERROR(__xludf.DUMMYFUNCTION("""COMPUTED_VALUE"""),"18-24 tahun")</f>
        <v>18-24 tahun</v>
      </c>
      <c r="K2582" s="21" t="str">
        <f>IFERROR(__xludf.DUMMYFUNCTION("""COMPUTED_VALUE"""),"08/07/2006")</f>
        <v>08/07/2006</v>
      </c>
      <c r="L2582" s="21" t="str">
        <f>IFERROR(__xludf.DUMMYFUNCTION("""COMPUTED_VALUE"""),"LAKI-LAKI")</f>
        <v>LAKI-LAKI</v>
      </c>
      <c r="M2582" s="35" t="str">
        <f>IFERROR(__xludf.DUMMYFUNCTION("""COMPUTED_VALUE"""),"JLN SUNGAI RAYA DALAM KOMPLEK CENDANA AGUNG NO B4")</f>
        <v>JLN SUNGAI RAYA DALAM KOMPLEK CENDANA AGUNG NO B4</v>
      </c>
      <c r="N2582" s="35" t="str">
        <f>IFERROR(__xludf.DUMMYFUNCTION("""COMPUTED_VALUE"""),"BANGKA BELITUNG DARAT")</f>
        <v>BANGKA BELITUNG DARAT</v>
      </c>
      <c r="O2582" s="35" t="str">
        <f>IFERROR(__xludf.DUMMYFUNCTION("""COMPUTED_VALUE"""),"PONTIANAK TENGGARA")</f>
        <v>PONTIANAK TENGGARA</v>
      </c>
      <c r="P2582" s="35" t="str">
        <f>IFERROR(__xludf.DUMMYFUNCTION("""COMPUTED_VALUE"""),"KOTA PONTIANAK")</f>
        <v>KOTA PONTIANAK</v>
      </c>
      <c r="Q2582" s="35" t="str">
        <f>IFERROR(__xludf.DUMMYFUNCTION("""COMPUTED_VALUE"""),"KALIMANTAN BARAT")</f>
        <v>KALIMANTAN BARAT</v>
      </c>
      <c r="R2582" s="21" t="str">
        <f>IFERROR(__xludf.DUMMYFUNCTION("""COMPUTED_VALUE"""),"ISLAM")</f>
        <v>ISLAM</v>
      </c>
      <c r="S2582" s="74" t="str">
        <f>IFERROR(__xludf.DUMMYFUNCTION("""COMPUTED_VALUE"""),"FRESHMEN KAMPUS")</f>
        <v>FRESHMEN KAMPUS</v>
      </c>
      <c r="T2582" s="35" t="str">
        <f>IFERROR(__xludf.DUMMYFUNCTION("""COMPUTED_VALUE"""),"CIDERA PAHA")</f>
        <v>CIDERA PAHA</v>
      </c>
      <c r="U2582" s="35" t="str">
        <f>IFERROR(__xludf.DUMMYFUNCTION("""COMPUTED_VALUE"""),"HOBI BASKET")</f>
        <v>HOBI BASKET</v>
      </c>
      <c r="V2582" s="37" t="str">
        <f>IFERROR(__xludf.DUMMYFUNCTION("""COMPUTED_VALUE"""),"085389704544")</f>
        <v>085389704544</v>
      </c>
      <c r="W2582" s="45"/>
    </row>
    <row r="2583">
      <c r="A2583" s="45"/>
      <c r="B2583" s="24" t="str">
        <f>IFERROR(__xludf.DUMMYFUNCTION("""COMPUTED_VALUE"""),"06/07/2025 20:46:33")</f>
        <v>06/07/2025 20:46:33</v>
      </c>
      <c r="C2583" s="35"/>
      <c r="D2583" s="10">
        <f>IFERROR(__xludf.DUMMYFUNCTION("""COMPUTED_VALUE"""),45844.0)</f>
        <v>45844</v>
      </c>
      <c r="E2583" s="35" t="str">
        <f>IFERROR(__xludf.DUMMYFUNCTION("""COMPUTED_VALUE"""),"07Jul")</f>
        <v>07Jul</v>
      </c>
      <c r="F2583" s="34" t="str">
        <f>IFERROR(__xludf.DUMMYFUNCTION("""COMPUTED_VALUE"""),"2025")</f>
        <v>2025</v>
      </c>
      <c r="G2583" s="35" t="str">
        <f>IFERROR(__xludf.DUMMYFUNCTION("""COMPUTED_VALUE"""),"LISA PUJI UTAMI")</f>
        <v>LISA PUJI UTAMI</v>
      </c>
      <c r="H2583" s="35" t="str">
        <f>IFERROR(__xludf.DUMMYFUNCTION("""COMPUTED_VALUE"""),"L9425074540")</f>
        <v>L9425074540</v>
      </c>
      <c r="I2583" s="35">
        <f>IFERROR(__xludf.DUMMYFUNCTION("""COMPUTED_VALUE"""),31.0)</f>
        <v>31</v>
      </c>
      <c r="J2583" s="35" t="str">
        <f>IFERROR(__xludf.DUMMYFUNCTION("""COMPUTED_VALUE"""),"25-34 tahun")</f>
        <v>25-34 tahun</v>
      </c>
      <c r="K2583" s="21" t="str">
        <f>IFERROR(__xludf.DUMMYFUNCTION("""COMPUTED_VALUE"""),"04/12/1994")</f>
        <v>04/12/1994</v>
      </c>
      <c r="L2583" s="21" t="str">
        <f>IFERROR(__xludf.DUMMYFUNCTION("""COMPUTED_VALUE"""),"PEREMPUAN")</f>
        <v>PEREMPUAN</v>
      </c>
      <c r="M2583" s="35" t="str">
        <f>IFERROR(__xludf.DUMMYFUNCTION("""COMPUTED_VALUE"""),"JL SWIGNYO GG MULIA NO A2")</f>
        <v>JL SWIGNYO GG MULIA NO A2</v>
      </c>
      <c r="N2583" s="35" t="str">
        <f>IFERROR(__xludf.DUMMYFUNCTION("""COMPUTED_VALUE"""),"SUI BANGKONG")</f>
        <v>SUI BANGKONG</v>
      </c>
      <c r="O2583" s="35" t="str">
        <f>IFERROR(__xludf.DUMMYFUNCTION("""COMPUTED_VALUE"""),"PONTIANAK KOTA")</f>
        <v>PONTIANAK KOTA</v>
      </c>
      <c r="P2583" s="35" t="str">
        <f>IFERROR(__xludf.DUMMYFUNCTION("""COMPUTED_VALUE"""),"PONTIANAK")</f>
        <v>PONTIANAK</v>
      </c>
      <c r="Q2583" s="35" t="str">
        <f>IFERROR(__xludf.DUMMYFUNCTION("""COMPUTED_VALUE"""),"KALBAR")</f>
        <v>KALBAR</v>
      </c>
      <c r="R2583" s="21" t="str">
        <f>IFERROR(__xludf.DUMMYFUNCTION("""COMPUTED_VALUE"""),"ISLAM")</f>
        <v>ISLAM</v>
      </c>
      <c r="S2583" s="74" t="str">
        <f>IFERROR(__xludf.DUMMYFUNCTION("""COMPUTED_VALUE"""),"IRT")</f>
        <v>IRT</v>
      </c>
      <c r="T2583" s="35" t="str">
        <f>IFERROR(__xludf.DUMMYFUNCTION("""COMPUTED_VALUE"""),"SAKIT PINGGANG ( LOWER BACK )")</f>
        <v>SAKIT PINGGANG ( LOWER BACK )</v>
      </c>
      <c r="U2583" s="35" t="str">
        <f>IFERROR(__xludf.DUMMYFUNCTION("""COMPUTED_VALUE"""),"POSTUR TUBUH BUNGKUK , SUKA LATIHAN BEBAN")</f>
        <v>POSTUR TUBUH BUNGKUK , SUKA LATIHAN BEBAN</v>
      </c>
      <c r="V2583" s="37" t="str">
        <f>IFERROR(__xludf.DUMMYFUNCTION("""COMPUTED_VALUE"""),"081350284540")</f>
        <v>081350284540</v>
      </c>
      <c r="W2583" s="45"/>
    </row>
    <row r="2584">
      <c r="A2584" s="45"/>
      <c r="B2584" s="24" t="str">
        <f>IFERROR(__xludf.DUMMYFUNCTION("""COMPUTED_VALUE"""),"07/07/2025 10:56:52")</f>
        <v>07/07/2025 10:56:52</v>
      </c>
      <c r="C2584" s="35"/>
      <c r="D2584" s="10">
        <f>IFERROR(__xludf.DUMMYFUNCTION("""COMPUTED_VALUE"""),45845.0)</f>
        <v>45845</v>
      </c>
      <c r="E2584" s="35" t="str">
        <f>IFERROR(__xludf.DUMMYFUNCTION("""COMPUTED_VALUE"""),"07Jul")</f>
        <v>07Jul</v>
      </c>
      <c r="F2584" s="34" t="str">
        <f>IFERROR(__xludf.DUMMYFUNCTION("""COMPUTED_VALUE"""),"2025")</f>
        <v>2025</v>
      </c>
      <c r="G2584" s="35" t="str">
        <f>IFERROR(__xludf.DUMMYFUNCTION("""COMPUTED_VALUE"""),"RUDI ABDI")</f>
        <v>RUDI ABDI</v>
      </c>
      <c r="H2584" s="35" t="str">
        <f>IFERROR(__xludf.DUMMYFUNCTION("""COMPUTED_VALUE"""),"R7925075957")</f>
        <v>R7925075957</v>
      </c>
      <c r="I2584" s="35">
        <f>IFERROR(__xludf.DUMMYFUNCTION("""COMPUTED_VALUE"""),47.0)</f>
        <v>47</v>
      </c>
      <c r="J2584" s="35" t="str">
        <f>IFERROR(__xludf.DUMMYFUNCTION("""COMPUTED_VALUE"""),"&gt; 44 tahun")</f>
        <v>&gt; 44 tahun</v>
      </c>
      <c r="K2584" s="21" t="str">
        <f>IFERROR(__xludf.DUMMYFUNCTION("""COMPUTED_VALUE"""),"14/05/1979")</f>
        <v>14/05/1979</v>
      </c>
      <c r="L2584" s="21" t="str">
        <f>IFERROR(__xludf.DUMMYFUNCTION("""COMPUTED_VALUE"""),"LAKI-LAKI")</f>
        <v>LAKI-LAKI</v>
      </c>
      <c r="M2584" s="35" t="str">
        <f>IFERROR(__xludf.DUMMYFUNCTION("""COMPUTED_VALUE"""),"JL PURNAMA 1 GG.PURNAMA 8 NO.88")</f>
        <v>JL PURNAMA 1 GG.PURNAMA 8 NO.88</v>
      </c>
      <c r="N2584" s="35" t="str">
        <f>IFERROR(__xludf.DUMMYFUNCTION("""COMPUTED_VALUE"""),"PARIT TOKAYA")</f>
        <v>PARIT TOKAYA</v>
      </c>
      <c r="O2584" s="35" t="str">
        <f>IFERROR(__xludf.DUMMYFUNCTION("""COMPUTED_VALUE"""),"PONTIANAK SELATAN")</f>
        <v>PONTIANAK SELATAN</v>
      </c>
      <c r="P2584" s="35" t="str">
        <f>IFERROR(__xludf.DUMMYFUNCTION("""COMPUTED_VALUE"""),"PONTIANAK")</f>
        <v>PONTIANAK</v>
      </c>
      <c r="Q2584" s="35" t="str">
        <f>IFERROR(__xludf.DUMMYFUNCTION("""COMPUTED_VALUE"""),"KALIMANTAN BARATA")</f>
        <v>KALIMANTAN BARATA</v>
      </c>
      <c r="R2584" s="21" t="str">
        <f>IFERROR(__xludf.DUMMYFUNCTION("""COMPUTED_VALUE"""),"KATOLIK")</f>
        <v>KATOLIK</v>
      </c>
      <c r="S2584" s="74" t="str">
        <f>IFERROR(__xludf.DUMMYFUNCTION("""COMPUTED_VALUE"""),"SWASTA")</f>
        <v>SWASTA</v>
      </c>
      <c r="T2584" s="35" t="str">
        <f>IFERROR(__xludf.DUMMYFUNCTION("""COMPUTED_VALUE"""),"SAKIT PADA BAHU")</f>
        <v>SAKIT PADA BAHU</v>
      </c>
      <c r="U2584" s="35" t="str">
        <f>IFERROR(__xludf.DUMMYFUNCTION("""COMPUTED_VALUE"""),"TENNIS")</f>
        <v>TENNIS</v>
      </c>
      <c r="V2584" s="37" t="str">
        <f>IFERROR(__xludf.DUMMYFUNCTION("""COMPUTED_VALUE"""),"0811575957")</f>
        <v>0811575957</v>
      </c>
      <c r="W2584" s="45"/>
    </row>
    <row r="2585">
      <c r="A2585" s="45"/>
      <c r="B2585" s="24" t="str">
        <f>IFERROR(__xludf.DUMMYFUNCTION("""COMPUTED_VALUE"""),"07/07/2025 14:02:20")</f>
        <v>07/07/2025 14:02:20</v>
      </c>
      <c r="C2585" s="35"/>
      <c r="D2585" s="10">
        <f>IFERROR(__xludf.DUMMYFUNCTION("""COMPUTED_VALUE"""),45845.0)</f>
        <v>45845</v>
      </c>
      <c r="E2585" s="35" t="str">
        <f>IFERROR(__xludf.DUMMYFUNCTION("""COMPUTED_VALUE"""),"07Jul")</f>
        <v>07Jul</v>
      </c>
      <c r="F2585" s="34" t="str">
        <f>IFERROR(__xludf.DUMMYFUNCTION("""COMPUTED_VALUE"""),"2025")</f>
        <v>2025</v>
      </c>
      <c r="G2585" s="35" t="str">
        <f>IFERROR(__xludf.DUMMYFUNCTION("""COMPUTED_VALUE"""),"CAROLINA")</f>
        <v>CAROLINA</v>
      </c>
      <c r="H2585" s="35" t="str">
        <f>IFERROR(__xludf.DUMMYFUNCTION("""COMPUTED_VALUE"""),"C8825079359")</f>
        <v>C8825079359</v>
      </c>
      <c r="I2585" s="35">
        <f>IFERROR(__xludf.DUMMYFUNCTION("""COMPUTED_VALUE"""),37.0)</f>
        <v>37</v>
      </c>
      <c r="J2585" s="35" t="str">
        <f>IFERROR(__xludf.DUMMYFUNCTION("""COMPUTED_VALUE"""),"35-44 tahun")</f>
        <v>35-44 tahun</v>
      </c>
      <c r="K2585" s="21" t="str">
        <f>IFERROR(__xludf.DUMMYFUNCTION("""COMPUTED_VALUE"""),"21/06/1988")</f>
        <v>21/06/1988</v>
      </c>
      <c r="L2585" s="21" t="str">
        <f>IFERROR(__xludf.DUMMYFUNCTION("""COMPUTED_VALUE"""),"PEREMPUAN")</f>
        <v>PEREMPUAN</v>
      </c>
      <c r="M2585" s="35" t="str">
        <f>IFERROR(__xludf.DUMMYFUNCTION("""COMPUTED_VALUE"""),"JL. KOMYOS SUDARSO GG. SUTAN NASIR NO. 68")</f>
        <v>JL. KOMYOS SUDARSO GG. SUTAN NASIR NO. 68</v>
      </c>
      <c r="N2585" s="35" t="str">
        <f>IFERROR(__xludf.DUMMYFUNCTION("""COMPUTED_VALUE"""),"-")</f>
        <v>-</v>
      </c>
      <c r="O2585" s="35" t="str">
        <f>IFERROR(__xludf.DUMMYFUNCTION("""COMPUTED_VALUE"""),"-")</f>
        <v>-</v>
      </c>
      <c r="P2585" s="35" t="str">
        <f>IFERROR(__xludf.DUMMYFUNCTION("""COMPUTED_VALUE"""),"PONTIANAK")</f>
        <v>PONTIANAK</v>
      </c>
      <c r="Q2585" s="35" t="str">
        <f>IFERROR(__xludf.DUMMYFUNCTION("""COMPUTED_VALUE"""),"KALIMANTAN BARAT")</f>
        <v>KALIMANTAN BARAT</v>
      </c>
      <c r="R2585" s="21" t="str">
        <f>IFERROR(__xludf.DUMMYFUNCTION("""COMPUTED_VALUE"""),"KATOLIK")</f>
        <v>KATOLIK</v>
      </c>
      <c r="S2585" s="74" t="str">
        <f>IFERROR(__xludf.DUMMYFUNCTION("""COMPUTED_VALUE"""),"PNS")</f>
        <v>PNS</v>
      </c>
      <c r="T2585" s="35" t="str">
        <f>IFERROR(__xludf.DUMMYFUNCTION("""COMPUTED_VALUE"""),"LEHER")</f>
        <v>LEHER</v>
      </c>
      <c r="U2585" s="35" t="str">
        <f>IFERROR(__xludf.DUMMYFUNCTION("""COMPUTED_VALUE"""),"-")</f>
        <v>-</v>
      </c>
      <c r="V2585" s="37" t="str">
        <f>IFERROR(__xludf.DUMMYFUNCTION("""COMPUTED_VALUE"""),"081294459359")</f>
        <v>081294459359</v>
      </c>
      <c r="W2585" s="45"/>
    </row>
    <row r="2586">
      <c r="A2586" s="45"/>
      <c r="B2586" s="24" t="str">
        <f>IFERROR(__xludf.DUMMYFUNCTION("""COMPUTED_VALUE"""),"07/07/2025 14:20:00")</f>
        <v>07/07/2025 14:20:00</v>
      </c>
      <c r="C2586" s="35"/>
      <c r="D2586" s="10">
        <f>IFERROR(__xludf.DUMMYFUNCTION("""COMPUTED_VALUE"""),45845.0)</f>
        <v>45845</v>
      </c>
      <c r="E2586" s="35" t="str">
        <f>IFERROR(__xludf.DUMMYFUNCTION("""COMPUTED_VALUE"""),"07Jul")</f>
        <v>07Jul</v>
      </c>
      <c r="F2586" s="34" t="str">
        <f>IFERROR(__xludf.DUMMYFUNCTION("""COMPUTED_VALUE"""),"2025")</f>
        <v>2025</v>
      </c>
      <c r="G2586" s="35" t="str">
        <f>IFERROR(__xludf.DUMMYFUNCTION("""COMPUTED_VALUE"""),"STEFANI")</f>
        <v>STEFANI</v>
      </c>
      <c r="H2586" s="35" t="str">
        <f>IFERROR(__xludf.DUMMYFUNCTION("""COMPUTED_VALUE"""),"S9425079998")</f>
        <v>S9425079998</v>
      </c>
      <c r="I2586" s="35">
        <f>IFERROR(__xludf.DUMMYFUNCTION("""COMPUTED_VALUE"""),31.0)</f>
        <v>31</v>
      </c>
      <c r="J2586" s="35" t="str">
        <f>IFERROR(__xludf.DUMMYFUNCTION("""COMPUTED_VALUE"""),"25-34 tahun")</f>
        <v>25-34 tahun</v>
      </c>
      <c r="K2586" s="21" t="str">
        <f>IFERROR(__xludf.DUMMYFUNCTION("""COMPUTED_VALUE"""),"11/09/1994")</f>
        <v>11/09/1994</v>
      </c>
      <c r="L2586" s="21" t="str">
        <f>IFERROR(__xludf.DUMMYFUNCTION("""COMPUTED_VALUE"""),"PEREMPUAN")</f>
        <v>PEREMPUAN</v>
      </c>
      <c r="M2586" s="35" t="str">
        <f>IFERROR(__xludf.DUMMYFUNCTION("""COMPUTED_VALUE"""),"JLN DI PANJAITAN NO 14")</f>
        <v>JLN DI PANJAITAN NO 14</v>
      </c>
      <c r="N2586" s="35" t="str">
        <f>IFERROR(__xludf.DUMMYFUNCTION("""COMPUTED_VALUE"""),"BENUA MELAYU DARAT")</f>
        <v>BENUA MELAYU DARAT</v>
      </c>
      <c r="O2586" s="35" t="str">
        <f>IFERROR(__xludf.DUMMYFUNCTION("""COMPUTED_VALUE"""),"PONTIANAK SELATAN")</f>
        <v>PONTIANAK SELATAN</v>
      </c>
      <c r="P2586" s="35" t="str">
        <f>IFERROR(__xludf.DUMMYFUNCTION("""COMPUTED_VALUE"""),"PONTIANAK")</f>
        <v>PONTIANAK</v>
      </c>
      <c r="Q2586" s="35" t="str">
        <f>IFERROR(__xludf.DUMMYFUNCTION("""COMPUTED_VALUE"""),"KALIMANTAN BARAT")</f>
        <v>KALIMANTAN BARAT</v>
      </c>
      <c r="R2586" s="21" t="str">
        <f>IFERROR(__xludf.DUMMYFUNCTION("""COMPUTED_VALUE"""),"KHONGHUCU")</f>
        <v>KHONGHUCU</v>
      </c>
      <c r="S2586" s="74" t="str">
        <f>IFERROR(__xludf.DUMMYFUNCTION("""COMPUTED_VALUE"""),"IRT")</f>
        <v>IRT</v>
      </c>
      <c r="T2586" s="35" t="str">
        <f>IFERROR(__xludf.DUMMYFUNCTION("""COMPUTED_VALUE"""),"LENGAN KANAN NYERI")</f>
        <v>LENGAN KANAN NYERI</v>
      </c>
      <c r="U2586" s="35" t="str">
        <f>IFERROR(__xludf.DUMMYFUNCTION("""COMPUTED_VALUE"""),"KEMARIN ADA ANGKAT BEBAN TERLALU BERAT")</f>
        <v>KEMARIN ADA ANGKAT BEBAN TERLALU BERAT</v>
      </c>
      <c r="V2586" s="37" t="str">
        <f>IFERROR(__xludf.DUMMYFUNCTION("""COMPUTED_VALUE"""),"082111899998")</f>
        <v>082111899998</v>
      </c>
      <c r="W2586" s="45"/>
    </row>
    <row r="2587">
      <c r="A2587" s="45"/>
      <c r="B2587" s="24" t="str">
        <f>IFERROR(__xludf.DUMMYFUNCTION("""COMPUTED_VALUE"""),"07/07/2025 14:26:06")</f>
        <v>07/07/2025 14:26:06</v>
      </c>
      <c r="C2587" s="35"/>
      <c r="D2587" s="10">
        <f>IFERROR(__xludf.DUMMYFUNCTION("""COMPUTED_VALUE"""),45845.0)</f>
        <v>45845</v>
      </c>
      <c r="E2587" s="35" t="str">
        <f>IFERROR(__xludf.DUMMYFUNCTION("""COMPUTED_VALUE"""),"07Jul")</f>
        <v>07Jul</v>
      </c>
      <c r="F2587" s="34" t="str">
        <f>IFERROR(__xludf.DUMMYFUNCTION("""COMPUTED_VALUE"""),"2025")</f>
        <v>2025</v>
      </c>
      <c r="G2587" s="35" t="str">
        <f>IFERROR(__xludf.DUMMYFUNCTION("""COMPUTED_VALUE"""),"SUKARDI. SH MM")</f>
        <v>SUKARDI. SH MM</v>
      </c>
      <c r="H2587" s="35" t="str">
        <f>IFERROR(__xludf.DUMMYFUNCTION("""COMPUTED_VALUE"""),"S732507")</f>
        <v>S732507</v>
      </c>
      <c r="I2587" s="35">
        <f>IFERROR(__xludf.DUMMYFUNCTION("""COMPUTED_VALUE"""),52.0)</f>
        <v>52</v>
      </c>
      <c r="J2587" s="35" t="str">
        <f>IFERROR(__xludf.DUMMYFUNCTION("""COMPUTED_VALUE"""),"&gt; 44 tahun")</f>
        <v>&gt; 44 tahun</v>
      </c>
      <c r="K2587" s="21" t="str">
        <f>IFERROR(__xludf.DUMMYFUNCTION("""COMPUTED_VALUE"""),"03/10/1973")</f>
        <v>03/10/1973</v>
      </c>
      <c r="L2587" s="21" t="str">
        <f>IFERROR(__xludf.DUMMYFUNCTION("""COMPUTED_VALUE"""),"LAKI-LAKI")</f>
        <v>LAKI-LAKI</v>
      </c>
      <c r="M2587" s="35" t="str">
        <f>IFERROR(__xludf.DUMMYFUNCTION("""COMPUTED_VALUE"""),"JL PEMBANGUNAN GG. SAMPANG PEMANGKAT")</f>
        <v>JL PEMBANGUNAN GG. SAMPANG PEMANGKAT</v>
      </c>
      <c r="N2587" s="35" t="str">
        <f>IFERROR(__xludf.DUMMYFUNCTION("""COMPUTED_VALUE"""),"LONAM")</f>
        <v>LONAM</v>
      </c>
      <c r="O2587" s="35" t="str">
        <f>IFERROR(__xludf.DUMMYFUNCTION("""COMPUTED_VALUE"""),"PEMANGKAT")</f>
        <v>PEMANGKAT</v>
      </c>
      <c r="P2587" s="35" t="str">
        <f>IFERROR(__xludf.DUMMYFUNCTION("""COMPUTED_VALUE"""),"SAMBAS")</f>
        <v>SAMBAS</v>
      </c>
      <c r="Q2587" s="35" t="str">
        <f>IFERROR(__xludf.DUMMYFUNCTION("""COMPUTED_VALUE"""),"KALBAR")</f>
        <v>KALBAR</v>
      </c>
      <c r="R2587" s="21" t="str">
        <f>IFERROR(__xludf.DUMMYFUNCTION("""COMPUTED_VALUE"""),"ISLAM")</f>
        <v>ISLAM</v>
      </c>
      <c r="S2587" s="74" t="str">
        <f>IFERROR(__xludf.DUMMYFUNCTION("""COMPUTED_VALUE"""),"BUMD")</f>
        <v>BUMD</v>
      </c>
      <c r="T2587" s="35" t="str">
        <f>IFERROR(__xludf.DUMMYFUNCTION("""COMPUTED_VALUE"""),"JARI-JARI TANGAN KAKU")</f>
        <v>JARI-JARI TANGAN KAKU</v>
      </c>
      <c r="U2587" s="35" t="str">
        <f>IFERROR(__xludf.DUMMYFUNCTION("""COMPUTED_VALUE"""),"-")</f>
        <v>-</v>
      </c>
      <c r="V2587" s="35"/>
      <c r="W2587" s="45"/>
    </row>
    <row r="2588">
      <c r="A2588" s="45"/>
      <c r="B2588" s="24" t="str">
        <f>IFERROR(__xludf.DUMMYFUNCTION("""COMPUTED_VALUE"""),"07/07/2025 18:33:11")</f>
        <v>07/07/2025 18:33:11</v>
      </c>
      <c r="C2588" s="35"/>
      <c r="D2588" s="10">
        <f>IFERROR(__xludf.DUMMYFUNCTION("""COMPUTED_VALUE"""),45845.0)</f>
        <v>45845</v>
      </c>
      <c r="E2588" s="35" t="str">
        <f>IFERROR(__xludf.DUMMYFUNCTION("""COMPUTED_VALUE"""),"07Jul")</f>
        <v>07Jul</v>
      </c>
      <c r="F2588" s="34" t="str">
        <f>IFERROR(__xludf.DUMMYFUNCTION("""COMPUTED_VALUE"""),"2025")</f>
        <v>2025</v>
      </c>
      <c r="G2588" s="35" t="str">
        <f>IFERROR(__xludf.DUMMYFUNCTION("""COMPUTED_VALUE"""),"OLYVIA NUR AFIANI")</f>
        <v>OLYVIA NUR AFIANI</v>
      </c>
      <c r="H2588" s="35" t="str">
        <f>IFERROR(__xludf.DUMMYFUNCTION("""COMPUTED_VALUE"""),"O9625078188")</f>
        <v>O9625078188</v>
      </c>
      <c r="I2588" s="35">
        <f>IFERROR(__xludf.DUMMYFUNCTION("""COMPUTED_VALUE"""),29.0)</f>
        <v>29</v>
      </c>
      <c r="J2588" s="35" t="str">
        <f>IFERROR(__xludf.DUMMYFUNCTION("""COMPUTED_VALUE"""),"25-34 tahun")</f>
        <v>25-34 tahun</v>
      </c>
      <c r="K2588" s="21" t="str">
        <f>IFERROR(__xludf.DUMMYFUNCTION("""COMPUTED_VALUE"""),"18/06/1996")</f>
        <v>18/06/1996</v>
      </c>
      <c r="L2588" s="21" t="str">
        <f>IFERROR(__xludf.DUMMYFUNCTION("""COMPUTED_VALUE"""),"PEREMPUAN")</f>
        <v>PEREMPUAN</v>
      </c>
      <c r="M2588" s="35" t="str">
        <f>IFERROR(__xludf.DUMMYFUNCTION("""COMPUTED_VALUE"""),"KOMP. PURWOSARI AGUNG NOA14")</f>
        <v>KOMP. PURWOSARI AGUNG NOA14</v>
      </c>
      <c r="N2588" s="35" t="str">
        <f>IFERROR(__xludf.DUMMYFUNCTION("""COMPUTED_VALUE"""),"AKCAYA")</f>
        <v>AKCAYA</v>
      </c>
      <c r="O2588" s="35" t="str">
        <f>IFERROR(__xludf.DUMMYFUNCTION("""COMPUTED_VALUE"""),"PONTIANAK SELATAN")</f>
        <v>PONTIANAK SELATAN</v>
      </c>
      <c r="P2588" s="35" t="str">
        <f>IFERROR(__xludf.DUMMYFUNCTION("""COMPUTED_VALUE"""),"KOTA PONTIANAK")</f>
        <v>KOTA PONTIANAK</v>
      </c>
      <c r="Q2588" s="35" t="str">
        <f>IFERROR(__xludf.DUMMYFUNCTION("""COMPUTED_VALUE"""),"KALIMANTAN BARAT")</f>
        <v>KALIMANTAN BARAT</v>
      </c>
      <c r="R2588" s="21" t="str">
        <f>IFERROR(__xludf.DUMMYFUNCTION("""COMPUTED_VALUE"""),"ISLAM")</f>
        <v>ISLAM</v>
      </c>
      <c r="S2588" s="74" t="str">
        <f>IFERROR(__xludf.DUMMYFUNCTION("""COMPUTED_VALUE"""),"IRT")</f>
        <v>IRT</v>
      </c>
      <c r="T2588" s="35" t="str">
        <f>IFERROR(__xludf.DUMMYFUNCTION("""COMPUTED_VALUE"""),"SERING SAKIT KEPALA TEGANG BAHU LEHER")</f>
        <v>SERING SAKIT KEPALA TEGANG BAHU LEHER</v>
      </c>
      <c r="U2588" s="35" t="str">
        <f>IFERROR(__xludf.DUMMYFUNCTION("""COMPUTED_VALUE"""),"AKTIVITAS BIASA SEHARI HARI")</f>
        <v>AKTIVITAS BIASA SEHARI HARI</v>
      </c>
      <c r="V2588" s="37" t="str">
        <f>IFERROR(__xludf.DUMMYFUNCTION("""COMPUTED_VALUE"""),"081288188188")</f>
        <v>081288188188</v>
      </c>
      <c r="W2588" s="45"/>
    </row>
    <row r="2589">
      <c r="A2589" s="45"/>
      <c r="B2589" s="24" t="str">
        <f>IFERROR(__xludf.DUMMYFUNCTION("""COMPUTED_VALUE"""),"08/07/2025 8:50:47")</f>
        <v>08/07/2025 8:50:47</v>
      </c>
      <c r="C2589" s="35"/>
      <c r="D2589" s="10">
        <f>IFERROR(__xludf.DUMMYFUNCTION("""COMPUTED_VALUE"""),45846.0)</f>
        <v>45846</v>
      </c>
      <c r="E2589" s="35" t="str">
        <f>IFERROR(__xludf.DUMMYFUNCTION("""COMPUTED_VALUE"""),"07Jul")</f>
        <v>07Jul</v>
      </c>
      <c r="F2589" s="34" t="str">
        <f>IFERROR(__xludf.DUMMYFUNCTION("""COMPUTED_VALUE"""),"2025")</f>
        <v>2025</v>
      </c>
      <c r="G2589" s="35" t="str">
        <f>IFERROR(__xludf.DUMMYFUNCTION("""COMPUTED_VALUE"""),"SHEREN WIYONA")</f>
        <v>SHEREN WIYONA</v>
      </c>
      <c r="H2589" s="35" t="str">
        <f>IFERROR(__xludf.DUMMYFUNCTION("""COMPUTED_VALUE"""),"S0225076469")</f>
        <v>S0225076469</v>
      </c>
      <c r="I2589" s="35">
        <f>IFERROR(__xludf.DUMMYFUNCTION("""COMPUTED_VALUE"""),23.0)</f>
        <v>23</v>
      </c>
      <c r="J2589" s="35" t="str">
        <f>IFERROR(__xludf.DUMMYFUNCTION("""COMPUTED_VALUE"""),"18-24 tahun")</f>
        <v>18-24 tahun</v>
      </c>
      <c r="K2589" s="21" t="str">
        <f>IFERROR(__xludf.DUMMYFUNCTION("""COMPUTED_VALUE"""),"15/11/2002")</f>
        <v>15/11/2002</v>
      </c>
      <c r="L2589" s="21" t="str">
        <f>IFERROR(__xludf.DUMMYFUNCTION("""COMPUTED_VALUE"""),"PEREMPUAN")</f>
        <v>PEREMPUAN</v>
      </c>
      <c r="M2589" s="35" t="str">
        <f>IFERROR(__xludf.DUMMYFUNCTION("""COMPUTED_VALUE"""),"JLN PURNAMA GG PURNAMA BARU NO 37")</f>
        <v>JLN PURNAMA GG PURNAMA BARU NO 37</v>
      </c>
      <c r="N2589" s="35" t="str">
        <f>IFERROR(__xludf.DUMMYFUNCTION("""COMPUTED_VALUE"""),"PARIT TOKAYA")</f>
        <v>PARIT TOKAYA</v>
      </c>
      <c r="O2589" s="35" t="str">
        <f>IFERROR(__xludf.DUMMYFUNCTION("""COMPUTED_VALUE"""),"PONTIANAK SELATAN")</f>
        <v>PONTIANAK SELATAN</v>
      </c>
      <c r="P2589" s="35" t="str">
        <f>IFERROR(__xludf.DUMMYFUNCTION("""COMPUTED_VALUE"""),"PONTIANAK")</f>
        <v>PONTIANAK</v>
      </c>
      <c r="Q2589" s="35" t="str">
        <f>IFERROR(__xludf.DUMMYFUNCTION("""COMPUTED_VALUE"""),"KALIMANTAN BARAT")</f>
        <v>KALIMANTAN BARAT</v>
      </c>
      <c r="R2589" s="21" t="str">
        <f>IFERROR(__xludf.DUMMYFUNCTION("""COMPUTED_VALUE"""),"KATOLIK")</f>
        <v>KATOLIK</v>
      </c>
      <c r="S2589" s="74" t="str">
        <f>IFERROR(__xludf.DUMMYFUNCTION("""COMPUTED_VALUE"""),"PELAJAR")</f>
        <v>PELAJAR</v>
      </c>
      <c r="T2589" s="35" t="str">
        <f>IFERROR(__xludf.DUMMYFUNCTION("""COMPUTED_VALUE"""),"LUTUT KESELEO")</f>
        <v>LUTUT KESELEO</v>
      </c>
      <c r="U2589" s="35" t="str">
        <f>IFERROR(__xludf.DUMMYFUNCTION("""COMPUTED_VALUE"""),"BADMIN")</f>
        <v>BADMIN</v>
      </c>
      <c r="V2589" s="37" t="str">
        <f>IFERROR(__xludf.DUMMYFUNCTION("""COMPUTED_VALUE"""),"083125626469")</f>
        <v>083125626469</v>
      </c>
      <c r="W2589" s="45"/>
    </row>
    <row r="2590">
      <c r="A2590" s="45"/>
      <c r="B2590" s="24" t="str">
        <f>IFERROR(__xludf.DUMMYFUNCTION("""COMPUTED_VALUE"""),"08/07/2025 11:58:46")</f>
        <v>08/07/2025 11:58:46</v>
      </c>
      <c r="C2590" s="35"/>
      <c r="D2590" s="10">
        <f>IFERROR(__xludf.DUMMYFUNCTION("""COMPUTED_VALUE"""),45846.0)</f>
        <v>45846</v>
      </c>
      <c r="E2590" s="35" t="str">
        <f>IFERROR(__xludf.DUMMYFUNCTION("""COMPUTED_VALUE"""),"07Jul")</f>
        <v>07Jul</v>
      </c>
      <c r="F2590" s="34" t="str">
        <f>IFERROR(__xludf.DUMMYFUNCTION("""COMPUTED_VALUE"""),"2025")</f>
        <v>2025</v>
      </c>
      <c r="G2590" s="35" t="str">
        <f>IFERROR(__xludf.DUMMYFUNCTION("""COMPUTED_VALUE"""),"OKTAVIANUS LIO")</f>
        <v>OKTAVIANUS LIO</v>
      </c>
      <c r="H2590" s="35" t="str">
        <f>IFERROR(__xludf.DUMMYFUNCTION("""COMPUTED_VALUE"""),"O9525075555")</f>
        <v>O9525075555</v>
      </c>
      <c r="I2590" s="35">
        <f>IFERROR(__xludf.DUMMYFUNCTION("""COMPUTED_VALUE"""),30.0)</f>
        <v>30</v>
      </c>
      <c r="J2590" s="35" t="str">
        <f>IFERROR(__xludf.DUMMYFUNCTION("""COMPUTED_VALUE"""),"25-34 tahun")</f>
        <v>25-34 tahun</v>
      </c>
      <c r="K2590" s="21" t="str">
        <f>IFERROR(__xludf.DUMMYFUNCTION("""COMPUTED_VALUE"""),"26/10/1995")</f>
        <v>26/10/1995</v>
      </c>
      <c r="L2590" s="21" t="str">
        <f>IFERROR(__xludf.DUMMYFUNCTION("""COMPUTED_VALUE"""),"LAKI-LAKI")</f>
        <v>LAKI-LAKI</v>
      </c>
      <c r="M2590" s="35" t="str">
        <f>IFERROR(__xludf.DUMMYFUNCTION("""COMPUTED_VALUE"""),"JALAN CENDRAWASIH NO 51A, 78111")</f>
        <v>JALAN CENDRAWASIH NO 51A, 78111</v>
      </c>
      <c r="N2590" s="35" t="str">
        <f>IFERROR(__xludf.DUMMYFUNCTION("""COMPUTED_VALUE"""),"TENGAH")</f>
        <v>TENGAH</v>
      </c>
      <c r="O2590" s="35" t="str">
        <f>IFERROR(__xludf.DUMMYFUNCTION("""COMPUTED_VALUE"""),"PONTIANAK KOTA")</f>
        <v>PONTIANAK KOTA</v>
      </c>
      <c r="P2590" s="35" t="str">
        <f>IFERROR(__xludf.DUMMYFUNCTION("""COMPUTED_VALUE"""),"KOTA PONTIANAK")</f>
        <v>KOTA PONTIANAK</v>
      </c>
      <c r="Q2590" s="35" t="str">
        <f>IFERROR(__xludf.DUMMYFUNCTION("""COMPUTED_VALUE"""),"KALIMANTAN BARAT")</f>
        <v>KALIMANTAN BARAT</v>
      </c>
      <c r="R2590" s="21" t="str">
        <f>IFERROR(__xludf.DUMMYFUNCTION("""COMPUTED_VALUE"""),"KATOLIK")</f>
        <v>KATOLIK</v>
      </c>
      <c r="S2590" s="74" t="str">
        <f>IFERROR(__xludf.DUMMYFUNCTION("""COMPUTED_VALUE"""),"PEGAWAI SWASTA")</f>
        <v>PEGAWAI SWASTA</v>
      </c>
      <c r="T2590" s="35" t="str">
        <f>IFERROR(__xludf.DUMMYFUNCTION("""COMPUTED_VALUE"""),"NYERI DI LUTUT SEBELAH KIRI")</f>
        <v>NYERI DI LUTUT SEBELAH KIRI</v>
      </c>
      <c r="U2590" s="35" t="str">
        <f>IFERROR(__xludf.DUMMYFUNCTION("""COMPUTED_VALUE"""),"SEPAK BOLA")</f>
        <v>SEPAK BOLA</v>
      </c>
      <c r="V2590" s="37" t="str">
        <f>IFERROR(__xludf.DUMMYFUNCTION("""COMPUTED_VALUE"""),"081350085555")</f>
        <v>081350085555</v>
      </c>
      <c r="W2590" s="45"/>
    </row>
    <row r="2591">
      <c r="A2591" s="45"/>
      <c r="B2591" s="24" t="str">
        <f>IFERROR(__xludf.DUMMYFUNCTION("""COMPUTED_VALUE"""),"08/07/2025 14:34:20")</f>
        <v>08/07/2025 14:34:20</v>
      </c>
      <c r="C2591" s="35"/>
      <c r="D2591" s="10">
        <f>IFERROR(__xludf.DUMMYFUNCTION("""COMPUTED_VALUE"""),45846.0)</f>
        <v>45846</v>
      </c>
      <c r="E2591" s="35" t="str">
        <f>IFERROR(__xludf.DUMMYFUNCTION("""COMPUTED_VALUE"""),"07Jul")</f>
        <v>07Jul</v>
      </c>
      <c r="F2591" s="34" t="str">
        <f>IFERROR(__xludf.DUMMYFUNCTION("""COMPUTED_VALUE"""),"2025")</f>
        <v>2025</v>
      </c>
      <c r="G2591" s="35" t="str">
        <f>IFERROR(__xludf.DUMMYFUNCTION("""COMPUTED_VALUE"""),"MERRY")</f>
        <v>MERRY</v>
      </c>
      <c r="H2591" s="35" t="str">
        <f>IFERROR(__xludf.DUMMYFUNCTION("""COMPUTED_VALUE"""),"M7625071479")</f>
        <v>M7625071479</v>
      </c>
      <c r="I2591" s="35">
        <f>IFERROR(__xludf.DUMMYFUNCTION("""COMPUTED_VALUE"""),50.0)</f>
        <v>50</v>
      </c>
      <c r="J2591" s="35" t="str">
        <f>IFERROR(__xludf.DUMMYFUNCTION("""COMPUTED_VALUE"""),"&gt; 44 tahun")</f>
        <v>&gt; 44 tahun</v>
      </c>
      <c r="K2591" s="21" t="str">
        <f>IFERROR(__xludf.DUMMYFUNCTION("""COMPUTED_VALUE"""),"21/02/1976")</f>
        <v>21/02/1976</v>
      </c>
      <c r="L2591" s="21" t="str">
        <f>IFERROR(__xludf.DUMMYFUNCTION("""COMPUTED_VALUE"""),"PEREMPUAN")</f>
        <v>PEREMPUAN</v>
      </c>
      <c r="M2591" s="35" t="str">
        <f>IFERROR(__xludf.DUMMYFUNCTION("""COMPUTED_VALUE"""),"JL. HUSEIN HAMZAH, PAL LIMA, KOMPLEK MITRA MAS 1, NO.A33")</f>
        <v>JL. HUSEIN HAMZAH, PAL LIMA, KOMPLEK MITRA MAS 1, NO.A33</v>
      </c>
      <c r="N2591" s="35" t="str">
        <f>IFERROR(__xludf.DUMMYFUNCTION("""COMPUTED_VALUE"""),"PAL LIMA")</f>
        <v>PAL LIMA</v>
      </c>
      <c r="O2591" s="35" t="str">
        <f>IFERROR(__xludf.DUMMYFUNCTION("""COMPUTED_VALUE"""),"PONTIANAK BARAT")</f>
        <v>PONTIANAK BARAT</v>
      </c>
      <c r="P2591" s="35" t="str">
        <f>IFERROR(__xludf.DUMMYFUNCTION("""COMPUTED_VALUE"""),"PONTIANAK")</f>
        <v>PONTIANAK</v>
      </c>
      <c r="Q2591" s="35" t="str">
        <f>IFERROR(__xludf.DUMMYFUNCTION("""COMPUTED_VALUE"""),"KALIMANTAN BARAT")</f>
        <v>KALIMANTAN BARAT</v>
      </c>
      <c r="R2591" s="21" t="str">
        <f>IFERROR(__xludf.DUMMYFUNCTION("""COMPUTED_VALUE"""),"ISLAM")</f>
        <v>ISLAM</v>
      </c>
      <c r="S2591" s="74" t="str">
        <f>IFERROR(__xludf.DUMMYFUNCTION("""COMPUTED_VALUE"""),"IBU RUMAH TANGGA")</f>
        <v>IBU RUMAH TANGGA</v>
      </c>
      <c r="T2591" s="35" t="str">
        <f>IFERROR(__xludf.DUMMYFUNCTION("""COMPUTED_VALUE"""),"STROKE")</f>
        <v>STROKE</v>
      </c>
      <c r="U2591" s="35" t="str">
        <f>IFERROR(__xludf.DUMMYFUNCTION("""COMPUTED_VALUE"""),"HIPERTENSI, KOLESTROL, DIABETES")</f>
        <v>HIPERTENSI, KOLESTROL, DIABETES</v>
      </c>
      <c r="V2591" s="37" t="str">
        <f>IFERROR(__xludf.DUMMYFUNCTION("""COMPUTED_VALUE"""),"08991291479")</f>
        <v>08991291479</v>
      </c>
      <c r="W2591" s="45"/>
    </row>
    <row r="2592">
      <c r="A2592" s="45"/>
      <c r="B2592" s="24" t="str">
        <f>IFERROR(__xludf.DUMMYFUNCTION("""COMPUTED_VALUE"""),"08/07/2025 14:49:24")</f>
        <v>08/07/2025 14:49:24</v>
      </c>
      <c r="C2592" s="35"/>
      <c r="D2592" s="10">
        <f>IFERROR(__xludf.DUMMYFUNCTION("""COMPUTED_VALUE"""),45846.0)</f>
        <v>45846</v>
      </c>
      <c r="E2592" s="35" t="str">
        <f>IFERROR(__xludf.DUMMYFUNCTION("""COMPUTED_VALUE"""),"07Jul")</f>
        <v>07Jul</v>
      </c>
      <c r="F2592" s="34" t="str">
        <f>IFERROR(__xludf.DUMMYFUNCTION("""COMPUTED_VALUE"""),"2025")</f>
        <v>2025</v>
      </c>
      <c r="G2592" s="35" t="str">
        <f>IFERROR(__xludf.DUMMYFUNCTION("""COMPUTED_VALUE"""),"ISYAK BOY LASIMAY MAIFA")</f>
        <v>ISYAK BOY LASIMAY MAIFA</v>
      </c>
      <c r="H2592" s="35" t="str">
        <f>IFERROR(__xludf.DUMMYFUNCTION("""COMPUTED_VALUE"""),"I8825076284")</f>
        <v>I8825076284</v>
      </c>
      <c r="I2592" s="35">
        <f>IFERROR(__xludf.DUMMYFUNCTION("""COMPUTED_VALUE"""),38.0)</f>
        <v>38</v>
      </c>
      <c r="J2592" s="35" t="str">
        <f>IFERROR(__xludf.DUMMYFUNCTION("""COMPUTED_VALUE"""),"35-44 tahun")</f>
        <v>35-44 tahun</v>
      </c>
      <c r="K2592" s="21" t="str">
        <f>IFERROR(__xludf.DUMMYFUNCTION("""COMPUTED_VALUE"""),"16/02/1988")</f>
        <v>16/02/1988</v>
      </c>
      <c r="L2592" s="21" t="str">
        <f>IFERROR(__xludf.DUMMYFUNCTION("""COMPUTED_VALUE"""),"LAKI-LAKI")</f>
        <v>LAKI-LAKI</v>
      </c>
      <c r="M2592" s="35" t="str">
        <f>IFERROR(__xludf.DUMMYFUNCTION("""COMPUTED_VALUE"""),"JL. KARET KOMP. SURYA KENCANA 1 D.17.")</f>
        <v>JL. KARET KOMP. SURYA KENCANA 1 D.17.</v>
      </c>
      <c r="N2592" s="35" t="str">
        <f>IFERROR(__xludf.DUMMYFUNCTION("""COMPUTED_VALUE"""),"SUNGAI BELIUNG")</f>
        <v>SUNGAI BELIUNG</v>
      </c>
      <c r="O2592" s="35" t="str">
        <f>IFERROR(__xludf.DUMMYFUNCTION("""COMPUTED_VALUE"""),"PONTIANAK BARAT")</f>
        <v>PONTIANAK BARAT</v>
      </c>
      <c r="P2592" s="35" t="str">
        <f>IFERROR(__xludf.DUMMYFUNCTION("""COMPUTED_VALUE"""),"PONTIANAK")</f>
        <v>PONTIANAK</v>
      </c>
      <c r="Q2592" s="35" t="str">
        <f>IFERROR(__xludf.DUMMYFUNCTION("""COMPUTED_VALUE"""),"KALIMANTAN BARAT")</f>
        <v>KALIMANTAN BARAT</v>
      </c>
      <c r="R2592" s="21" t="str">
        <f>IFERROR(__xludf.DUMMYFUNCTION("""COMPUTED_VALUE"""),"PROTESTAN")</f>
        <v>PROTESTAN</v>
      </c>
      <c r="S2592" s="74" t="str">
        <f>IFERROR(__xludf.DUMMYFUNCTION("""COMPUTED_VALUE"""),"GURU")</f>
        <v>GURU</v>
      </c>
      <c r="T2592" s="35" t="str">
        <f>IFERROR(__xludf.DUMMYFUNCTION("""COMPUTED_VALUE"""),"PERSENDIAN LUTUT")</f>
        <v>PERSENDIAN LUTUT</v>
      </c>
      <c r="U2592" s="35" t="str">
        <f>IFERROR(__xludf.DUMMYFUNCTION("""COMPUTED_VALUE"""),"OLAHRAGA")</f>
        <v>OLAHRAGA</v>
      </c>
      <c r="V2592" s="37" t="str">
        <f>IFERROR(__xludf.DUMMYFUNCTION("""COMPUTED_VALUE"""),"085252136284")</f>
        <v>085252136284</v>
      </c>
      <c r="W2592" s="45"/>
    </row>
    <row r="2593">
      <c r="A2593" s="45"/>
      <c r="B2593" s="24" t="str">
        <f>IFERROR(__xludf.DUMMYFUNCTION("""COMPUTED_VALUE"""),"08/07/2025 17:16:05")</f>
        <v>08/07/2025 17:16:05</v>
      </c>
      <c r="C2593" s="35"/>
      <c r="D2593" s="10">
        <f>IFERROR(__xludf.DUMMYFUNCTION("""COMPUTED_VALUE"""),45846.0)</f>
        <v>45846</v>
      </c>
      <c r="E2593" s="35" t="str">
        <f>IFERROR(__xludf.DUMMYFUNCTION("""COMPUTED_VALUE"""),"07Jul")</f>
        <v>07Jul</v>
      </c>
      <c r="F2593" s="34" t="str">
        <f>IFERROR(__xludf.DUMMYFUNCTION("""COMPUTED_VALUE"""),"2025")</f>
        <v>2025</v>
      </c>
      <c r="G2593" s="35" t="str">
        <f>IFERROR(__xludf.DUMMYFUNCTION("""COMPUTED_VALUE"""),"AFIF REFFYANDI")</f>
        <v>AFIF REFFYANDI</v>
      </c>
      <c r="H2593" s="35" t="str">
        <f>IFERROR(__xludf.DUMMYFUNCTION("""COMPUTED_VALUE"""),"A8725072306")</f>
        <v>A8725072306</v>
      </c>
      <c r="I2593" s="35">
        <f>IFERROR(__xludf.DUMMYFUNCTION("""COMPUTED_VALUE"""),38.0)</f>
        <v>38</v>
      </c>
      <c r="J2593" s="35" t="str">
        <f>IFERROR(__xludf.DUMMYFUNCTION("""COMPUTED_VALUE"""),"35-44 tahun")</f>
        <v>35-44 tahun</v>
      </c>
      <c r="K2593" s="21" t="str">
        <f>IFERROR(__xludf.DUMMYFUNCTION("""COMPUTED_VALUE"""),"22/07/1987")</f>
        <v>22/07/1987</v>
      </c>
      <c r="L2593" s="21" t="str">
        <f>IFERROR(__xludf.DUMMYFUNCTION("""COMPUTED_VALUE"""),"LAKI-LAKI")</f>
        <v>LAKI-LAKI</v>
      </c>
      <c r="M2593" s="35" t="str">
        <f>IFERROR(__xludf.DUMMYFUNCTION("""COMPUTED_VALUE"""),"JALAN ADISUCIPTO KM 14,1 GG. SABAR NO 1 KUBU RAYA")</f>
        <v>JALAN ADISUCIPTO KM 14,1 GG. SABAR NO 1 KUBU RAYA</v>
      </c>
      <c r="N2593" s="35" t="str">
        <f>IFERROR(__xludf.DUMMYFUNCTION("""COMPUTED_VALUE"""),"ARANG LIMBUNG")</f>
        <v>ARANG LIMBUNG</v>
      </c>
      <c r="O2593" s="35" t="str">
        <f>IFERROR(__xludf.DUMMYFUNCTION("""COMPUTED_VALUE"""),"SUNGAI RAYA")</f>
        <v>SUNGAI RAYA</v>
      </c>
      <c r="P2593" s="35" t="str">
        <f>IFERROR(__xludf.DUMMYFUNCTION("""COMPUTED_VALUE"""),"KUBU RAYA")</f>
        <v>KUBU RAYA</v>
      </c>
      <c r="Q2593" s="35" t="str">
        <f>IFERROR(__xludf.DUMMYFUNCTION("""COMPUTED_VALUE"""),"KALIMANTAN BARAT")</f>
        <v>KALIMANTAN BARAT</v>
      </c>
      <c r="R2593" s="21" t="str">
        <f>IFERROR(__xludf.DUMMYFUNCTION("""COMPUTED_VALUE"""),"ISLAM")</f>
        <v>ISLAM</v>
      </c>
      <c r="S2593" s="74" t="str">
        <f>IFERROR(__xludf.DUMMYFUNCTION("""COMPUTED_VALUE"""),"KARYAWAN BUMN")</f>
        <v>KARYAWAN BUMN</v>
      </c>
      <c r="T2593" s="35" t="str">
        <f>IFERROR(__xludf.DUMMYFUNCTION("""COMPUTED_VALUE"""),"SAKIT PINGGANG")</f>
        <v>SAKIT PINGGANG</v>
      </c>
      <c r="U2593" s="35" t="str">
        <f>IFERROR(__xludf.DUMMYFUNCTION("""COMPUTED_VALUE"""),"OLAH RAGA TENIS")</f>
        <v>OLAH RAGA TENIS</v>
      </c>
      <c r="V2593" s="37" t="str">
        <f>IFERROR(__xludf.DUMMYFUNCTION("""COMPUTED_VALUE"""),"085252662306")</f>
        <v>085252662306</v>
      </c>
      <c r="W2593" s="45"/>
    </row>
    <row r="2594">
      <c r="A2594" s="45"/>
      <c r="B2594" s="24" t="str">
        <f>IFERROR(__xludf.DUMMYFUNCTION("""COMPUTED_VALUE"""),"08/07/2025 18:47:15")</f>
        <v>08/07/2025 18:47:15</v>
      </c>
      <c r="C2594" s="35"/>
      <c r="D2594" s="10">
        <f>IFERROR(__xludf.DUMMYFUNCTION("""COMPUTED_VALUE"""),45846.0)</f>
        <v>45846</v>
      </c>
      <c r="E2594" s="35" t="str">
        <f>IFERROR(__xludf.DUMMYFUNCTION("""COMPUTED_VALUE"""),"07Jul")</f>
        <v>07Jul</v>
      </c>
      <c r="F2594" s="34" t="str">
        <f>IFERROR(__xludf.DUMMYFUNCTION("""COMPUTED_VALUE"""),"2025")</f>
        <v>2025</v>
      </c>
      <c r="G2594" s="35" t="str">
        <f>IFERROR(__xludf.DUMMYFUNCTION("""COMPUTED_VALUE"""),"MUHAMMAD FITHRAH AQBILLAH")</f>
        <v>MUHAMMAD FITHRAH AQBILLAH</v>
      </c>
      <c r="H2594" s="35" t="str">
        <f>IFERROR(__xludf.DUMMYFUNCTION("""COMPUTED_VALUE"""),"M9825072499")</f>
        <v>M9825072499</v>
      </c>
      <c r="I2594" s="35">
        <f>IFERROR(__xludf.DUMMYFUNCTION("""COMPUTED_VALUE"""),28.0)</f>
        <v>28</v>
      </c>
      <c r="J2594" s="35" t="str">
        <f>IFERROR(__xludf.DUMMYFUNCTION("""COMPUTED_VALUE"""),"25-34 tahun")</f>
        <v>25-34 tahun</v>
      </c>
      <c r="K2594" s="21" t="str">
        <f>IFERROR(__xludf.DUMMYFUNCTION("""COMPUTED_VALUE"""),"20/01/1998")</f>
        <v>20/01/1998</v>
      </c>
      <c r="L2594" s="21" t="str">
        <f>IFERROR(__xludf.DUMMYFUNCTION("""COMPUTED_VALUE"""),"LAKI-LAKI")</f>
        <v>LAKI-LAKI</v>
      </c>
      <c r="M2594" s="35" t="str">
        <f>IFERROR(__xludf.DUMMYFUNCTION("""COMPUTED_VALUE"""),"JALAN TABRANI AHMAD GANG ARKARIN IX")</f>
        <v>JALAN TABRANI AHMAD GANG ARKARIN IX</v>
      </c>
      <c r="N2594" s="35" t="str">
        <f>IFERROR(__xludf.DUMMYFUNCTION("""COMPUTED_VALUE"""),"PAL LIMA")</f>
        <v>PAL LIMA</v>
      </c>
      <c r="O2594" s="35" t="str">
        <f>IFERROR(__xludf.DUMMYFUNCTION("""COMPUTED_VALUE"""),"PONTIANAK BARAT")</f>
        <v>PONTIANAK BARAT</v>
      </c>
      <c r="P2594" s="35" t="str">
        <f>IFERROR(__xludf.DUMMYFUNCTION("""COMPUTED_VALUE"""),"PONTIANAK")</f>
        <v>PONTIANAK</v>
      </c>
      <c r="Q2594" s="35" t="str">
        <f>IFERROR(__xludf.DUMMYFUNCTION("""COMPUTED_VALUE"""),"KALIMANTAN BARAT")</f>
        <v>KALIMANTAN BARAT</v>
      </c>
      <c r="R2594" s="21" t="str">
        <f>IFERROR(__xludf.DUMMYFUNCTION("""COMPUTED_VALUE"""),"ISLAM")</f>
        <v>ISLAM</v>
      </c>
      <c r="S2594" s="74" t="str">
        <f>IFERROR(__xludf.DUMMYFUNCTION("""COMPUTED_VALUE"""),"KARYAWAN SWASTA")</f>
        <v>KARYAWAN SWASTA</v>
      </c>
      <c r="T2594" s="35" t="str">
        <f>IFERROR(__xludf.DUMMYFUNCTION("""COMPUTED_VALUE"""),"NYERI ATAU NGILU DI BAGIAN LUTUT KANAN")</f>
        <v>NYERI ATAU NGILU DI BAGIAN LUTUT KANAN</v>
      </c>
      <c r="U2594" s="35" t="str">
        <f>IFERROR(__xludf.DUMMYFUNCTION("""COMPUTED_VALUE"""),"LARI")</f>
        <v>LARI</v>
      </c>
      <c r="V2594" s="37" t="str">
        <f>IFERROR(__xludf.DUMMYFUNCTION("""COMPUTED_VALUE"""),"082154392499")</f>
        <v>082154392499</v>
      </c>
      <c r="W2594" s="45"/>
    </row>
    <row r="2595">
      <c r="A2595" s="45"/>
      <c r="B2595" s="24" t="str">
        <f>IFERROR(__xludf.DUMMYFUNCTION("""COMPUTED_VALUE"""),"09/07/2025 8:40:11")</f>
        <v>09/07/2025 8:40:11</v>
      </c>
      <c r="C2595" s="35"/>
      <c r="D2595" s="10">
        <f>IFERROR(__xludf.DUMMYFUNCTION("""COMPUTED_VALUE"""),45847.0)</f>
        <v>45847</v>
      </c>
      <c r="E2595" s="35" t="str">
        <f>IFERROR(__xludf.DUMMYFUNCTION("""COMPUTED_VALUE"""),"07Jul")</f>
        <v>07Jul</v>
      </c>
      <c r="F2595" s="34" t="str">
        <f>IFERROR(__xludf.DUMMYFUNCTION("""COMPUTED_VALUE"""),"2025")</f>
        <v>2025</v>
      </c>
      <c r="G2595" s="35" t="str">
        <f>IFERROR(__xludf.DUMMYFUNCTION("""COMPUTED_VALUE"""),"HENDRI 9205")</f>
        <v>HENDRI 9205</v>
      </c>
      <c r="H2595" s="35" t="str">
        <f>IFERROR(__xludf.DUMMYFUNCTION("""COMPUTED_VALUE"""),"H9225079902")</f>
        <v>H9225079902</v>
      </c>
      <c r="I2595" s="35">
        <f>IFERROR(__xludf.DUMMYFUNCTION("""COMPUTED_VALUE"""),34.0)</f>
        <v>34</v>
      </c>
      <c r="J2595" s="35" t="str">
        <f>IFERROR(__xludf.DUMMYFUNCTION("""COMPUTED_VALUE"""),"25-34 tahun")</f>
        <v>25-34 tahun</v>
      </c>
      <c r="K2595" s="21" t="str">
        <f>IFERROR(__xludf.DUMMYFUNCTION("""COMPUTED_VALUE"""),"25/05/1992")</f>
        <v>25/05/1992</v>
      </c>
      <c r="L2595" s="21" t="str">
        <f>IFERROR(__xludf.DUMMYFUNCTION("""COMPUTED_VALUE"""),"LAKI-LAKI")</f>
        <v>LAKI-LAKI</v>
      </c>
      <c r="M2595" s="35" t="str">
        <f>IFERROR(__xludf.DUMMYFUNCTION("""COMPUTED_VALUE"""),"JL P.CANDRAMIDI GG. WINDUJAYA NO. 3")</f>
        <v>JL P.CANDRAMIDI GG. WINDUJAYA NO. 3</v>
      </c>
      <c r="N2595" s="35" t="str">
        <f>IFERROR(__xludf.DUMMYFUNCTION("""COMPUTED_VALUE"""),"SEI BANGKONG")</f>
        <v>SEI BANGKONG</v>
      </c>
      <c r="O2595" s="35" t="str">
        <f>IFERROR(__xludf.DUMMYFUNCTION("""COMPUTED_VALUE"""),"PONTIANAK KOTA")</f>
        <v>PONTIANAK KOTA</v>
      </c>
      <c r="P2595" s="35" t="str">
        <f>IFERROR(__xludf.DUMMYFUNCTION("""COMPUTED_VALUE"""),"KOTA PONTIANAK")</f>
        <v>KOTA PONTIANAK</v>
      </c>
      <c r="Q2595" s="35" t="str">
        <f>IFERROR(__xludf.DUMMYFUNCTION("""COMPUTED_VALUE"""),"KALIMANTAN BARAT")</f>
        <v>KALIMANTAN BARAT</v>
      </c>
      <c r="R2595" s="21" t="str">
        <f>IFERROR(__xludf.DUMMYFUNCTION("""COMPUTED_VALUE"""),"BUDDHA")</f>
        <v>BUDDHA</v>
      </c>
      <c r="S2595" s="74" t="str">
        <f>IFERROR(__xludf.DUMMYFUNCTION("""COMPUTED_VALUE"""),"WIRASWASTA")</f>
        <v>WIRASWASTA</v>
      </c>
      <c r="T2595" s="35" t="str">
        <f>IFERROR(__xludf.DUMMYFUNCTION("""COMPUTED_VALUE"""),"SAKIT DI BAGIAN SIKU TANGAN KANAN KETIKA MENGANGKAT BEBAN")</f>
        <v>SAKIT DI BAGIAN SIKU TANGAN KANAN KETIKA MENGANGKAT BEBAN</v>
      </c>
      <c r="U2595" s="35" t="str">
        <f>IFERROR(__xludf.DUMMYFUNCTION("""COMPUTED_VALUE"""),"BADMINTON")</f>
        <v>BADMINTON</v>
      </c>
      <c r="V2595" s="37" t="str">
        <f>IFERROR(__xludf.DUMMYFUNCTION("""COMPUTED_VALUE"""),"082253909902")</f>
        <v>082253909902</v>
      </c>
      <c r="W2595" s="45"/>
    </row>
    <row r="2596">
      <c r="A2596" s="45"/>
      <c r="B2596" s="24" t="str">
        <f>IFERROR(__xludf.DUMMYFUNCTION("""COMPUTED_VALUE"""),"09/07/2025 9:03:28")</f>
        <v>09/07/2025 9:03:28</v>
      </c>
      <c r="C2596" s="35"/>
      <c r="D2596" s="10">
        <f>IFERROR(__xludf.DUMMYFUNCTION("""COMPUTED_VALUE"""),45847.0)</f>
        <v>45847</v>
      </c>
      <c r="E2596" s="35" t="str">
        <f>IFERROR(__xludf.DUMMYFUNCTION("""COMPUTED_VALUE"""),"07Jul")</f>
        <v>07Jul</v>
      </c>
      <c r="F2596" s="34" t="str">
        <f>IFERROR(__xludf.DUMMYFUNCTION("""COMPUTED_VALUE"""),"2025")</f>
        <v>2025</v>
      </c>
      <c r="G2596" s="35" t="str">
        <f>IFERROR(__xludf.DUMMYFUNCTION("""COMPUTED_VALUE"""),"MELLYANI")</f>
        <v>MELLYANI</v>
      </c>
      <c r="H2596" s="35" t="str">
        <f>IFERROR(__xludf.DUMMYFUNCTION("""COMPUTED_VALUE"""),"M0125072047")</f>
        <v>M0125072047</v>
      </c>
      <c r="I2596" s="35">
        <f>IFERROR(__xludf.DUMMYFUNCTION("""COMPUTED_VALUE"""),24.0)</f>
        <v>24</v>
      </c>
      <c r="J2596" s="35" t="str">
        <f>IFERROR(__xludf.DUMMYFUNCTION("""COMPUTED_VALUE"""),"18-24 tahun")</f>
        <v>18-24 tahun</v>
      </c>
      <c r="K2596" s="21" t="str">
        <f>IFERROR(__xludf.DUMMYFUNCTION("""COMPUTED_VALUE"""),"21/09/2001")</f>
        <v>21/09/2001</v>
      </c>
      <c r="L2596" s="21" t="str">
        <f>IFERROR(__xludf.DUMMYFUNCTION("""COMPUTED_VALUE"""),"PEREMPUAN")</f>
        <v>PEREMPUAN</v>
      </c>
      <c r="M2596" s="35" t="str">
        <f>IFERROR(__xludf.DUMMYFUNCTION("""COMPUTED_VALUE"""),"JL SUNGAI RAYA DALAM GG. CERIA VI NO 23")</f>
        <v>JL SUNGAI RAYA DALAM GG. CERIA VI NO 23</v>
      </c>
      <c r="N2596" s="35" t="str">
        <f>IFERROR(__xludf.DUMMYFUNCTION("""COMPUTED_VALUE"""),"SERDAM")</f>
        <v>SERDAM</v>
      </c>
      <c r="O2596" s="35" t="str">
        <f>IFERROR(__xludf.DUMMYFUNCTION("""COMPUTED_VALUE"""),"SUNGAI RAYA")</f>
        <v>SUNGAI RAYA</v>
      </c>
      <c r="P2596" s="35" t="str">
        <f>IFERROR(__xludf.DUMMYFUNCTION("""COMPUTED_VALUE"""),"KUBU RAYA")</f>
        <v>KUBU RAYA</v>
      </c>
      <c r="Q2596" s="35" t="str">
        <f>IFERROR(__xludf.DUMMYFUNCTION("""COMPUTED_VALUE"""),"KALIMANTAN BARAT")</f>
        <v>KALIMANTAN BARAT</v>
      </c>
      <c r="R2596" s="21" t="str">
        <f>IFERROR(__xludf.DUMMYFUNCTION("""COMPUTED_VALUE"""),"BUDDHA")</f>
        <v>BUDDHA</v>
      </c>
      <c r="S2596" s="74" t="str">
        <f>IFERROR(__xludf.DUMMYFUNCTION("""COMPUTED_VALUE"""),"PELAJAR/ MAHASISWA")</f>
        <v>PELAJAR/ MAHASISWA</v>
      </c>
      <c r="T2596" s="35" t="str">
        <f>IFERROR(__xludf.DUMMYFUNCTION("""COMPUTED_VALUE"""),"LUTUT SEBELAH KIRI CIDERA KARENA MAIN BASKET. SUSAH UNTUK DI TEKUK. NAIK TANGGA GAK BISA SAKIT")</f>
        <v>LUTUT SEBELAH KIRI CIDERA KARENA MAIN BASKET. SUSAH UNTUK DI TEKUK. NAIK TANGGA GAK BISA SAKIT</v>
      </c>
      <c r="U2596" s="35" t="str">
        <f>IFERROR(__xludf.DUMMYFUNCTION("""COMPUTED_VALUE"""),"BASKET")</f>
        <v>BASKET</v>
      </c>
      <c r="V2596" s="37" t="str">
        <f>IFERROR(__xludf.DUMMYFUNCTION("""COMPUTED_VALUE"""),"085750432047")</f>
        <v>085750432047</v>
      </c>
      <c r="W2596" s="45"/>
    </row>
    <row r="2597">
      <c r="A2597" s="45"/>
      <c r="B2597" s="24" t="str">
        <f>IFERROR(__xludf.DUMMYFUNCTION("""COMPUTED_VALUE"""),"09/07/2025 19:31:02")</f>
        <v>09/07/2025 19:31:02</v>
      </c>
      <c r="C2597" s="35"/>
      <c r="D2597" s="10">
        <f>IFERROR(__xludf.DUMMYFUNCTION("""COMPUTED_VALUE"""),45847.0)</f>
        <v>45847</v>
      </c>
      <c r="E2597" s="35" t="str">
        <f>IFERROR(__xludf.DUMMYFUNCTION("""COMPUTED_VALUE"""),"07Jul")</f>
        <v>07Jul</v>
      </c>
      <c r="F2597" s="34" t="str">
        <f>IFERROR(__xludf.DUMMYFUNCTION("""COMPUTED_VALUE"""),"2025")</f>
        <v>2025</v>
      </c>
      <c r="G2597" s="35" t="str">
        <f>IFERROR(__xludf.DUMMYFUNCTION("""COMPUTED_VALUE"""),"JAYANTA")</f>
        <v>JAYANTA</v>
      </c>
      <c r="H2597" s="35" t="str">
        <f>IFERROR(__xludf.DUMMYFUNCTION("""COMPUTED_VALUE"""),"J7825070033")</f>
        <v>J7825070033</v>
      </c>
      <c r="I2597" s="35">
        <f>IFERROR(__xludf.DUMMYFUNCTION("""COMPUTED_VALUE"""),48.0)</f>
        <v>48</v>
      </c>
      <c r="J2597" s="35" t="str">
        <f>IFERROR(__xludf.DUMMYFUNCTION("""COMPUTED_VALUE"""),"&gt; 44 tahun")</f>
        <v>&gt; 44 tahun</v>
      </c>
      <c r="K2597" s="21" t="str">
        <f>IFERROR(__xludf.DUMMYFUNCTION("""COMPUTED_VALUE"""),"07/01/1978")</f>
        <v>07/01/1978</v>
      </c>
      <c r="L2597" s="21" t="str">
        <f>IFERROR(__xludf.DUMMYFUNCTION("""COMPUTED_VALUE"""),"LAKI-LAKI")</f>
        <v>LAKI-LAKI</v>
      </c>
      <c r="M2597" s="35" t="str">
        <f>IFERROR(__xludf.DUMMYFUNCTION("""COMPUTED_VALUE"""),"PERUMAHAN BUMI ASRI MEDAN")</f>
        <v>PERUMAHAN BUMI ASRI MEDAN</v>
      </c>
      <c r="N2597" s="35" t="str">
        <f>IFERROR(__xludf.DUMMYFUNCTION("""COMPUTED_VALUE"""),"CINTA DAMAI")</f>
        <v>CINTA DAMAI</v>
      </c>
      <c r="O2597" s="35" t="str">
        <f>IFERROR(__xludf.DUMMYFUNCTION("""COMPUTED_VALUE"""),"HELVETIA")</f>
        <v>HELVETIA</v>
      </c>
      <c r="P2597" s="35" t="str">
        <f>IFERROR(__xludf.DUMMYFUNCTION("""COMPUTED_VALUE"""),"MEDAN")</f>
        <v>MEDAN</v>
      </c>
      <c r="Q2597" s="35" t="str">
        <f>IFERROR(__xludf.DUMMYFUNCTION("""COMPUTED_VALUE"""),"SUMATRA UTARA")</f>
        <v>SUMATRA UTARA</v>
      </c>
      <c r="R2597" s="21" t="str">
        <f>IFERROR(__xludf.DUMMYFUNCTION("""COMPUTED_VALUE"""),"ISLAM")</f>
        <v>ISLAM</v>
      </c>
      <c r="S2597" s="74" t="str">
        <f>IFERROR(__xludf.DUMMYFUNCTION("""COMPUTED_VALUE"""),"PNS")</f>
        <v>PNS</v>
      </c>
      <c r="T2597" s="35" t="str">
        <f>IFERROR(__xludf.DUMMYFUNCTION("""COMPUTED_VALUE"""),"PINGGANG")</f>
        <v>PINGGANG</v>
      </c>
      <c r="U2597" s="35" t="str">
        <f>IFERROR(__xludf.DUMMYFUNCTION("""COMPUTED_VALUE"""),"GOLF")</f>
        <v>GOLF</v>
      </c>
      <c r="V2597" s="37" t="str">
        <f>IFERROR(__xludf.DUMMYFUNCTION("""COMPUTED_VALUE"""),"082267500033")</f>
        <v>082267500033</v>
      </c>
      <c r="W2597" s="45"/>
    </row>
    <row r="2598">
      <c r="A2598" s="45"/>
      <c r="B2598" s="24" t="str">
        <f>IFERROR(__xludf.DUMMYFUNCTION("""COMPUTED_VALUE"""),"09/07/2025 19:39:11")</f>
        <v>09/07/2025 19:39:11</v>
      </c>
      <c r="C2598" s="35"/>
      <c r="D2598" s="10">
        <f>IFERROR(__xludf.DUMMYFUNCTION("""COMPUTED_VALUE"""),45847.0)</f>
        <v>45847</v>
      </c>
      <c r="E2598" s="35" t="str">
        <f>IFERROR(__xludf.DUMMYFUNCTION("""COMPUTED_VALUE"""),"07Jul")</f>
        <v>07Jul</v>
      </c>
      <c r="F2598" s="34" t="str">
        <f>IFERROR(__xludf.DUMMYFUNCTION("""COMPUTED_VALUE"""),"2025")</f>
        <v>2025</v>
      </c>
      <c r="G2598" s="35" t="str">
        <f>IFERROR(__xludf.DUMMYFUNCTION("""COMPUTED_VALUE"""),"TANIA 0202")</f>
        <v>TANIA 0202</v>
      </c>
      <c r="H2598" s="35" t="str">
        <f>IFERROR(__xludf.DUMMYFUNCTION("""COMPUTED_VALUE"""),"T0225078504")</f>
        <v>T0225078504</v>
      </c>
      <c r="I2598" s="35">
        <f>IFERROR(__xludf.DUMMYFUNCTION("""COMPUTED_VALUE"""),24.0)</f>
        <v>24</v>
      </c>
      <c r="J2598" s="35" t="str">
        <f>IFERROR(__xludf.DUMMYFUNCTION("""COMPUTED_VALUE"""),"18-24 tahun")</f>
        <v>18-24 tahun</v>
      </c>
      <c r="K2598" s="21" t="str">
        <f>IFERROR(__xludf.DUMMYFUNCTION("""COMPUTED_VALUE"""),"21/02/2002")</f>
        <v>21/02/2002</v>
      </c>
      <c r="L2598" s="21" t="str">
        <f>IFERROR(__xludf.DUMMYFUNCTION("""COMPUTED_VALUE"""),"PEREMPUAN")</f>
        <v>PEREMPUAN</v>
      </c>
      <c r="M2598" s="35" t="str">
        <f>IFERROR(__xludf.DUMMYFUNCTION("""COMPUTED_VALUE"""),"JL GUSTI LEKAR, MELIAU HILIR")</f>
        <v>JL GUSTI LEKAR, MELIAU HILIR</v>
      </c>
      <c r="N2598" s="35" t="str">
        <f>IFERROR(__xludf.DUMMYFUNCTION("""COMPUTED_VALUE"""),"MELIAU HILIR")</f>
        <v>MELIAU HILIR</v>
      </c>
      <c r="O2598" s="35" t="str">
        <f>IFERROR(__xludf.DUMMYFUNCTION("""COMPUTED_VALUE"""),"MELIAU")</f>
        <v>MELIAU</v>
      </c>
      <c r="P2598" s="35" t="str">
        <f>IFERROR(__xludf.DUMMYFUNCTION("""COMPUTED_VALUE"""),"MELIAU")</f>
        <v>MELIAU</v>
      </c>
      <c r="Q2598" s="35" t="str">
        <f>IFERROR(__xludf.DUMMYFUNCTION("""COMPUTED_VALUE"""),"KALIMANTAN BARAT")</f>
        <v>KALIMANTAN BARAT</v>
      </c>
      <c r="R2598" s="21" t="str">
        <f>IFERROR(__xludf.DUMMYFUNCTION("""COMPUTED_VALUE"""),"PROTESTAN")</f>
        <v>PROTESTAN</v>
      </c>
      <c r="S2598" s="74" t="str">
        <f>IFERROR(__xludf.DUMMYFUNCTION("""COMPUTED_VALUE"""),"PELAJAR")</f>
        <v>PELAJAR</v>
      </c>
      <c r="T2598" s="35" t="str">
        <f>IFERROR(__xludf.DUMMYFUNCTION("""COMPUTED_VALUE"""),"KAKI SAKIT SEHABIS JOGGING")</f>
        <v>KAKI SAKIT SEHABIS JOGGING</v>
      </c>
      <c r="U2598" s="35" t="str">
        <f>IFERROR(__xludf.DUMMYFUNCTION("""COMPUTED_VALUE"""),"JOGGING")</f>
        <v>JOGGING</v>
      </c>
      <c r="V2598" s="37" t="str">
        <f>IFERROR(__xludf.DUMMYFUNCTION("""COMPUTED_VALUE"""),"082152938504")</f>
        <v>082152938504</v>
      </c>
      <c r="W2598" s="45"/>
    </row>
    <row r="2599">
      <c r="A2599" s="45"/>
      <c r="B2599" s="24" t="str">
        <f>IFERROR(__xludf.DUMMYFUNCTION("""COMPUTED_VALUE"""),"09/07/2025 20:09:36")</f>
        <v>09/07/2025 20:09:36</v>
      </c>
      <c r="C2599" s="35"/>
      <c r="D2599" s="10">
        <f>IFERROR(__xludf.DUMMYFUNCTION("""COMPUTED_VALUE"""),45847.0)</f>
        <v>45847</v>
      </c>
      <c r="E2599" s="35" t="str">
        <f>IFERROR(__xludf.DUMMYFUNCTION("""COMPUTED_VALUE"""),"07Jul")</f>
        <v>07Jul</v>
      </c>
      <c r="F2599" s="34" t="str">
        <f>IFERROR(__xludf.DUMMYFUNCTION("""COMPUTED_VALUE"""),"2025")</f>
        <v>2025</v>
      </c>
      <c r="G2599" s="35" t="str">
        <f>IFERROR(__xludf.DUMMYFUNCTION("""COMPUTED_VALUE"""),"BUDI SANTOSO")</f>
        <v>BUDI SANTOSO</v>
      </c>
      <c r="H2599" s="35" t="str">
        <f>IFERROR(__xludf.DUMMYFUNCTION("""COMPUTED_VALUE"""),"B9025074942")</f>
        <v>B9025074942</v>
      </c>
      <c r="I2599" s="35">
        <f>IFERROR(__xludf.DUMMYFUNCTION("""COMPUTED_VALUE"""),35.0)</f>
        <v>35</v>
      </c>
      <c r="J2599" s="35" t="str">
        <f>IFERROR(__xludf.DUMMYFUNCTION("""COMPUTED_VALUE"""),"35-44 tahun")</f>
        <v>35-44 tahun</v>
      </c>
      <c r="K2599" s="21" t="str">
        <f>IFERROR(__xludf.DUMMYFUNCTION("""COMPUTED_VALUE"""),"07/12/1990")</f>
        <v>07/12/1990</v>
      </c>
      <c r="L2599" s="21" t="str">
        <f>IFERROR(__xludf.DUMMYFUNCTION("""COMPUTED_VALUE"""),"LAKI-LAKI")</f>
        <v>LAKI-LAKI</v>
      </c>
      <c r="M2599" s="35" t="str">
        <f>IFERROR(__xludf.DUMMYFUNCTION("""COMPUTED_VALUE"""),"JL. DANAU SENTARUM")</f>
        <v>JL. DANAU SENTARUM</v>
      </c>
      <c r="N2599" s="35" t="str">
        <f>IFERROR(__xludf.DUMMYFUNCTION("""COMPUTED_VALUE"""),"-")</f>
        <v>-</v>
      </c>
      <c r="O2599" s="35" t="str">
        <f>IFERROR(__xludf.DUMMYFUNCTION("""COMPUTED_VALUE"""),"-")</f>
        <v>-</v>
      </c>
      <c r="P2599" s="35" t="str">
        <f>IFERROR(__xludf.DUMMYFUNCTION("""COMPUTED_VALUE"""),"PONTIANAK")</f>
        <v>PONTIANAK</v>
      </c>
      <c r="Q2599" s="35" t="str">
        <f>IFERROR(__xludf.DUMMYFUNCTION("""COMPUTED_VALUE"""),"KALIMANTAN BARAT")</f>
        <v>KALIMANTAN BARAT</v>
      </c>
      <c r="R2599" s="21" t="str">
        <f>IFERROR(__xludf.DUMMYFUNCTION("""COMPUTED_VALUE"""),"ISLAM")</f>
        <v>ISLAM</v>
      </c>
      <c r="S2599" s="74" t="str">
        <f>IFERROR(__xludf.DUMMYFUNCTION("""COMPUTED_VALUE"""),"WIRASWASTA")</f>
        <v>WIRASWASTA</v>
      </c>
      <c r="T2599" s="35" t="str">
        <f>IFERROR(__xludf.DUMMYFUNCTION("""COMPUTED_VALUE"""),"LOWER BACK")</f>
        <v>LOWER BACK</v>
      </c>
      <c r="U2599" s="35" t="str">
        <f>IFERROR(__xludf.DUMMYFUNCTION("""COMPUTED_VALUE"""),"-")</f>
        <v>-</v>
      </c>
      <c r="V2599" s="37" t="str">
        <f>IFERROR(__xludf.DUMMYFUNCTION("""COMPUTED_VALUE"""),"089699914942")</f>
        <v>089699914942</v>
      </c>
      <c r="W2599" s="45"/>
    </row>
    <row r="2600">
      <c r="A2600" s="45"/>
      <c r="B2600" s="24" t="str">
        <f>IFERROR(__xludf.DUMMYFUNCTION("""COMPUTED_VALUE"""),"09/07/2025 20:59:20")</f>
        <v>09/07/2025 20:59:20</v>
      </c>
      <c r="C2600" s="35"/>
      <c r="D2600" s="10">
        <f>IFERROR(__xludf.DUMMYFUNCTION("""COMPUTED_VALUE"""),45847.0)</f>
        <v>45847</v>
      </c>
      <c r="E2600" s="35" t="str">
        <f>IFERROR(__xludf.DUMMYFUNCTION("""COMPUTED_VALUE"""),"07Jul")</f>
        <v>07Jul</v>
      </c>
      <c r="F2600" s="34" t="str">
        <f>IFERROR(__xludf.DUMMYFUNCTION("""COMPUTED_VALUE"""),"2025")</f>
        <v>2025</v>
      </c>
      <c r="G2600" s="35" t="str">
        <f>IFERROR(__xludf.DUMMYFUNCTION("""COMPUTED_VALUE"""),"SURYATI UMAYAH")</f>
        <v>SURYATI UMAYAH</v>
      </c>
      <c r="H2600" s="35" t="str">
        <f>IFERROR(__xludf.DUMMYFUNCTION("""COMPUTED_VALUE"""),"S5925076211")</f>
        <v>S5925076211</v>
      </c>
      <c r="I2600" s="35">
        <f>IFERROR(__xludf.DUMMYFUNCTION("""COMPUTED_VALUE"""),67.0)</f>
        <v>67</v>
      </c>
      <c r="J2600" s="35" t="str">
        <f>IFERROR(__xludf.DUMMYFUNCTION("""COMPUTED_VALUE"""),"&gt; 44 tahun")</f>
        <v>&gt; 44 tahun</v>
      </c>
      <c r="K2600" s="21" t="str">
        <f>IFERROR(__xludf.DUMMYFUNCTION("""COMPUTED_VALUE"""),"29/01/1959")</f>
        <v>29/01/1959</v>
      </c>
      <c r="L2600" s="21" t="str">
        <f>IFERROR(__xludf.DUMMYFUNCTION("""COMPUTED_VALUE"""),"PEREMPUAN")</f>
        <v>PEREMPUAN</v>
      </c>
      <c r="M2600" s="35" t="str">
        <f>IFERROR(__xludf.DUMMYFUNCTION("""COMPUTED_VALUE"""),"JL. WONOBARU GG. WONODADI 1 NO.14")</f>
        <v>JL. WONOBARU GG. WONODADI 1 NO.14</v>
      </c>
      <c r="N2600" s="35" t="str">
        <f>IFERROR(__xludf.DUMMYFUNCTION("""COMPUTED_VALUE"""),"KOTA BARU")</f>
        <v>KOTA BARU</v>
      </c>
      <c r="O2600" s="35" t="str">
        <f>IFERROR(__xludf.DUMMYFUNCTION("""COMPUTED_VALUE"""),"PONTIANAK SELATAN")</f>
        <v>PONTIANAK SELATAN</v>
      </c>
      <c r="P2600" s="35" t="str">
        <f>IFERROR(__xludf.DUMMYFUNCTION("""COMPUTED_VALUE"""),"PONTIANAK")</f>
        <v>PONTIANAK</v>
      </c>
      <c r="Q2600" s="35" t="str">
        <f>IFERROR(__xludf.DUMMYFUNCTION("""COMPUTED_VALUE"""),"KALIMANTAN BARAT")</f>
        <v>KALIMANTAN BARAT</v>
      </c>
      <c r="R2600" s="21" t="str">
        <f>IFERROR(__xludf.DUMMYFUNCTION("""COMPUTED_VALUE"""),"ISLAM")</f>
        <v>ISLAM</v>
      </c>
      <c r="S2600" s="74" t="str">
        <f>IFERROR(__xludf.DUMMYFUNCTION("""COMPUTED_VALUE"""),"PEDAGANG")</f>
        <v>PEDAGANG</v>
      </c>
      <c r="T2600" s="35" t="str">
        <f>IFERROR(__xludf.DUMMYFUNCTION("""COMPUTED_VALUE"""),"SUARA ILANG DATANG, SEHABIS OPERASI PADA LEHER")</f>
        <v>SUARA ILANG DATANG, SEHABIS OPERASI PADA LEHER</v>
      </c>
      <c r="U2600" s="35" t="str">
        <f>IFERROR(__xludf.DUMMYFUNCTION("""COMPUTED_VALUE"""),"-")</f>
        <v>-</v>
      </c>
      <c r="V2600" s="37" t="str">
        <f>IFERROR(__xludf.DUMMYFUNCTION("""COMPUTED_VALUE"""),"085348816211")</f>
        <v>085348816211</v>
      </c>
      <c r="W2600" s="45"/>
    </row>
    <row r="2601">
      <c r="A2601" s="45"/>
      <c r="B2601" s="24" t="str">
        <f>IFERROR(__xludf.DUMMYFUNCTION("""COMPUTED_VALUE"""),"11/07/2025 16:34:40")</f>
        <v>11/07/2025 16:34:40</v>
      </c>
      <c r="C2601" s="35"/>
      <c r="D2601" s="10">
        <f>IFERROR(__xludf.DUMMYFUNCTION("""COMPUTED_VALUE"""),45849.0)</f>
        <v>45849</v>
      </c>
      <c r="E2601" s="35" t="str">
        <f>IFERROR(__xludf.DUMMYFUNCTION("""COMPUTED_VALUE"""),"07Jul")</f>
        <v>07Jul</v>
      </c>
      <c r="F2601" s="34" t="str">
        <f>IFERROR(__xludf.DUMMYFUNCTION("""COMPUTED_VALUE"""),"2025")</f>
        <v>2025</v>
      </c>
      <c r="G2601" s="35" t="str">
        <f>IFERROR(__xludf.DUMMYFUNCTION("""COMPUTED_VALUE"""),"HILDA AZKIYA")</f>
        <v>HILDA AZKIYA</v>
      </c>
      <c r="H2601" s="35" t="str">
        <f>IFERROR(__xludf.DUMMYFUNCTION("""COMPUTED_VALUE"""),"H9225070708")</f>
        <v>H9225070708</v>
      </c>
      <c r="I2601" s="35">
        <f>IFERROR(__xludf.DUMMYFUNCTION("""COMPUTED_VALUE"""),33.0)</f>
        <v>33</v>
      </c>
      <c r="J2601" s="35" t="str">
        <f>IFERROR(__xludf.DUMMYFUNCTION("""COMPUTED_VALUE"""),"25-34 tahun")</f>
        <v>25-34 tahun</v>
      </c>
      <c r="K2601" s="21" t="str">
        <f>IFERROR(__xludf.DUMMYFUNCTION("""COMPUTED_VALUE"""),"28/10/1992")</f>
        <v>28/10/1992</v>
      </c>
      <c r="L2601" s="21" t="str">
        <f>IFERROR(__xludf.DUMMYFUNCTION("""COMPUTED_VALUE"""),"PEREMPUAN")</f>
        <v>PEREMPUAN</v>
      </c>
      <c r="M2601" s="35" t="str">
        <f>IFERROR(__xludf.DUMMYFUNCTION("""COMPUTED_VALUE"""),"JL. ALIANYANG GG. KENCANA DALAM NO. 20")</f>
        <v>JL. ALIANYANG GG. KENCANA DALAM NO. 20</v>
      </c>
      <c r="N2601" s="35" t="str">
        <f>IFERROR(__xludf.DUMMYFUNCTION("""COMPUTED_VALUE"""),"SUNGAI BANGKONG")</f>
        <v>SUNGAI BANGKONG</v>
      </c>
      <c r="O2601" s="35" t="str">
        <f>IFERROR(__xludf.DUMMYFUNCTION("""COMPUTED_VALUE"""),"PONTIANAK KOTA")</f>
        <v>PONTIANAK KOTA</v>
      </c>
      <c r="P2601" s="35" t="str">
        <f>IFERROR(__xludf.DUMMYFUNCTION("""COMPUTED_VALUE"""),"PONTIANAK")</f>
        <v>PONTIANAK</v>
      </c>
      <c r="Q2601" s="35" t="str">
        <f>IFERROR(__xludf.DUMMYFUNCTION("""COMPUTED_VALUE"""),"KALIMANTAN BARAT")</f>
        <v>KALIMANTAN BARAT</v>
      </c>
      <c r="R2601" s="21" t="str">
        <f>IFERROR(__xludf.DUMMYFUNCTION("""COMPUTED_VALUE"""),"ISLAM")</f>
        <v>ISLAM</v>
      </c>
      <c r="S2601" s="74" t="str">
        <f>IFERROR(__xludf.DUMMYFUNCTION("""COMPUTED_VALUE"""),"-")</f>
        <v>-</v>
      </c>
      <c r="T2601" s="35" t="str">
        <f>IFERROR(__xludf.DUMMYFUNCTION("""COMPUTED_VALUE"""),"SAKIT LEHER, SALAH TIDUR")</f>
        <v>SAKIT LEHER, SALAH TIDUR</v>
      </c>
      <c r="U2601" s="35" t="str">
        <f>IFERROR(__xludf.DUMMYFUNCTION("""COMPUTED_VALUE"""),"-")</f>
        <v>-</v>
      </c>
      <c r="V2601" s="37" t="str">
        <f>IFERROR(__xludf.DUMMYFUNCTION("""COMPUTED_VALUE"""),"08151680708")</f>
        <v>08151680708</v>
      </c>
      <c r="W2601" s="45"/>
    </row>
    <row r="2602">
      <c r="A2602" s="45"/>
      <c r="B2602" s="24" t="str">
        <f>IFERROR(__xludf.DUMMYFUNCTION("""COMPUTED_VALUE"""),"11/07/2025 18:57:48")</f>
        <v>11/07/2025 18:57:48</v>
      </c>
      <c r="C2602" s="35"/>
      <c r="D2602" s="10">
        <f>IFERROR(__xludf.DUMMYFUNCTION("""COMPUTED_VALUE"""),45849.0)</f>
        <v>45849</v>
      </c>
      <c r="E2602" s="35" t="str">
        <f>IFERROR(__xludf.DUMMYFUNCTION("""COMPUTED_VALUE"""),"07Jul")</f>
        <v>07Jul</v>
      </c>
      <c r="F2602" s="34" t="str">
        <f>IFERROR(__xludf.DUMMYFUNCTION("""COMPUTED_VALUE"""),"2025")</f>
        <v>2025</v>
      </c>
      <c r="G2602" s="35" t="str">
        <f>IFERROR(__xludf.DUMMYFUNCTION("""COMPUTED_VALUE"""),"JUNAIDI")</f>
        <v>JUNAIDI</v>
      </c>
      <c r="H2602" s="35" t="str">
        <f>IFERROR(__xludf.DUMMYFUNCTION("""COMPUTED_VALUE"""),"J7125077595")</f>
        <v>J7125077595</v>
      </c>
      <c r="I2602" s="35">
        <f>IFERROR(__xludf.DUMMYFUNCTION("""COMPUTED_VALUE"""),55.0)</f>
        <v>55</v>
      </c>
      <c r="J2602" s="35" t="str">
        <f>IFERROR(__xludf.DUMMYFUNCTION("""COMPUTED_VALUE"""),"&gt; 44 tahun")</f>
        <v>&gt; 44 tahun</v>
      </c>
      <c r="K2602" s="21" t="str">
        <f>IFERROR(__xludf.DUMMYFUNCTION("""COMPUTED_VALUE"""),"09/06/1971")</f>
        <v>09/06/1971</v>
      </c>
      <c r="L2602" s="21" t="str">
        <f>IFERROR(__xludf.DUMMYFUNCTION("""COMPUTED_VALUE"""),"LAKI-LAKI")</f>
        <v>LAKI-LAKI</v>
      </c>
      <c r="M2602" s="35" t="str">
        <f>IFERROR(__xludf.DUMMYFUNCTION("""COMPUTED_VALUE"""),"JL.TABRANI AHMAD GG.GUNUNG RINJANI 2")</f>
        <v>JL.TABRANI AHMAD GG.GUNUNG RINJANI 2</v>
      </c>
      <c r="N2602" s="35" t="str">
        <f>IFERROR(__xludf.DUMMYFUNCTION("""COMPUTED_VALUE"""),"SUNGAI JAWI DALAM")</f>
        <v>SUNGAI JAWI DALAM</v>
      </c>
      <c r="O2602" s="35" t="str">
        <f>IFERROR(__xludf.DUMMYFUNCTION("""COMPUTED_VALUE"""),"PONTIANAK BARAT")</f>
        <v>PONTIANAK BARAT</v>
      </c>
      <c r="P2602" s="35" t="str">
        <f>IFERROR(__xludf.DUMMYFUNCTION("""COMPUTED_VALUE"""),"KOTA PONTIANAK")</f>
        <v>KOTA PONTIANAK</v>
      </c>
      <c r="Q2602" s="35" t="str">
        <f>IFERROR(__xludf.DUMMYFUNCTION("""COMPUTED_VALUE"""),"KALIMANTAN BARAT")</f>
        <v>KALIMANTAN BARAT</v>
      </c>
      <c r="R2602" s="21" t="str">
        <f>IFERROR(__xludf.DUMMYFUNCTION("""COMPUTED_VALUE"""),"ISLAM")</f>
        <v>ISLAM</v>
      </c>
      <c r="S2602" s="74" t="str">
        <f>IFERROR(__xludf.DUMMYFUNCTION("""COMPUTED_VALUE"""),"WIRASWASTA")</f>
        <v>WIRASWASTA</v>
      </c>
      <c r="T2602" s="35" t="str">
        <f>IFERROR(__xludf.DUMMYFUNCTION("""COMPUTED_VALUE"""),"OTOT KAKI KANAN DARI PAHA SAMPAI BETIS")</f>
        <v>OTOT KAKI KANAN DARI PAHA SAMPAI BETIS</v>
      </c>
      <c r="U2602" s="35" t="str">
        <f>IFERROR(__xludf.DUMMYFUNCTION("""COMPUTED_VALUE"""),"-")</f>
        <v>-</v>
      </c>
      <c r="V2602" s="37" t="str">
        <f>IFERROR(__xludf.DUMMYFUNCTION("""COMPUTED_VALUE"""),"081345647595")</f>
        <v>081345647595</v>
      </c>
      <c r="W2602" s="45"/>
    </row>
    <row r="2603">
      <c r="A2603" s="45"/>
      <c r="B2603" s="24" t="str">
        <f>IFERROR(__xludf.DUMMYFUNCTION("""COMPUTED_VALUE"""),"11/07/2025 21:06:00")</f>
        <v>11/07/2025 21:06:00</v>
      </c>
      <c r="C2603" s="35"/>
      <c r="D2603" s="10">
        <f>IFERROR(__xludf.DUMMYFUNCTION("""COMPUTED_VALUE"""),45849.0)</f>
        <v>45849</v>
      </c>
      <c r="E2603" s="35" t="str">
        <f>IFERROR(__xludf.DUMMYFUNCTION("""COMPUTED_VALUE"""),"07Jul")</f>
        <v>07Jul</v>
      </c>
      <c r="F2603" s="34" t="str">
        <f>IFERROR(__xludf.DUMMYFUNCTION("""COMPUTED_VALUE"""),"2025")</f>
        <v>2025</v>
      </c>
      <c r="G2603" s="35" t="str">
        <f>IFERROR(__xludf.DUMMYFUNCTION("""COMPUTED_VALUE"""),"YULIANTI 8707")</f>
        <v>YULIANTI 8707</v>
      </c>
      <c r="H2603" s="35" t="str">
        <f>IFERROR(__xludf.DUMMYFUNCTION("""COMPUTED_VALUE"""),"Y8725078318")</f>
        <v>Y8725078318</v>
      </c>
      <c r="I2603" s="35">
        <f>IFERROR(__xludf.DUMMYFUNCTION("""COMPUTED_VALUE"""),38.0)</f>
        <v>38</v>
      </c>
      <c r="J2603" s="35" t="str">
        <f>IFERROR(__xludf.DUMMYFUNCTION("""COMPUTED_VALUE"""),"35-44 tahun")</f>
        <v>35-44 tahun</v>
      </c>
      <c r="K2603" s="21" t="str">
        <f>IFERROR(__xludf.DUMMYFUNCTION("""COMPUTED_VALUE"""),"23/07/1987")</f>
        <v>23/07/1987</v>
      </c>
      <c r="L2603" s="21" t="str">
        <f>IFERROR(__xludf.DUMMYFUNCTION("""COMPUTED_VALUE"""),"PEREMPUAN")</f>
        <v>PEREMPUAN</v>
      </c>
      <c r="M2603" s="35" t="str">
        <f>IFERROR(__xludf.DUMMYFUNCTION("""COMPUTED_VALUE"""),"JL KOMPLEK PURI INDAH BLOK B1 NO 9")</f>
        <v>JL KOMPLEK PURI INDAH BLOK B1 NO 9</v>
      </c>
      <c r="N2603" s="35" t="str">
        <f>IFERROR(__xludf.DUMMYFUNCTION("""COMPUTED_VALUE"""),"AKCAYA")</f>
        <v>AKCAYA</v>
      </c>
      <c r="O2603" s="35" t="str">
        <f>IFERROR(__xludf.DUMMYFUNCTION("""COMPUTED_VALUE"""),"PONTIANAK SELATAN")</f>
        <v>PONTIANAK SELATAN</v>
      </c>
      <c r="P2603" s="35" t="str">
        <f>IFERROR(__xludf.DUMMYFUNCTION("""COMPUTED_VALUE"""),"KOTA PONTIANAK")</f>
        <v>KOTA PONTIANAK</v>
      </c>
      <c r="Q2603" s="35" t="str">
        <f>IFERROR(__xludf.DUMMYFUNCTION("""COMPUTED_VALUE"""),"KALIMANTAN BARAT")</f>
        <v>KALIMANTAN BARAT</v>
      </c>
      <c r="R2603" s="21" t="str">
        <f>IFERROR(__xludf.DUMMYFUNCTION("""COMPUTED_VALUE"""),"KATOLIK")</f>
        <v>KATOLIK</v>
      </c>
      <c r="S2603" s="74" t="str">
        <f>IFERROR(__xludf.DUMMYFUNCTION("""COMPUTED_VALUE"""),"KARYAWAN SWASTA")</f>
        <v>KARYAWAN SWASTA</v>
      </c>
      <c r="T2603" s="35" t="str">
        <f>IFERROR(__xludf.DUMMYFUNCTION("""COMPUTED_VALUE"""),"SAKIT PINGANG DAN KAKI SUDAH 2 TAHUN")</f>
        <v>SAKIT PINGANG DAN KAKI SUDAH 2 TAHUN</v>
      </c>
      <c r="U2603" s="35" t="str">
        <f>IFERROR(__xludf.DUMMYFUNCTION("""COMPUTED_VALUE"""),"PERGI KERJA DAN NAIK TURUN TANGGA")</f>
        <v>PERGI KERJA DAN NAIK TURUN TANGGA</v>
      </c>
      <c r="V2603" s="37" t="str">
        <f>IFERROR(__xludf.DUMMYFUNCTION("""COMPUTED_VALUE"""),"08125738318")</f>
        <v>08125738318</v>
      </c>
      <c r="W2603" s="45"/>
    </row>
    <row r="2604">
      <c r="A2604" s="45"/>
      <c r="B2604" s="24" t="str">
        <f>IFERROR(__xludf.DUMMYFUNCTION("""COMPUTED_VALUE"""),"12/07/2025 12:28:38")</f>
        <v>12/07/2025 12:28:38</v>
      </c>
      <c r="C2604" s="35"/>
      <c r="D2604" s="10">
        <f>IFERROR(__xludf.DUMMYFUNCTION("""COMPUTED_VALUE"""),45850.0)</f>
        <v>45850</v>
      </c>
      <c r="E2604" s="35" t="str">
        <f>IFERROR(__xludf.DUMMYFUNCTION("""COMPUTED_VALUE"""),"07Jul")</f>
        <v>07Jul</v>
      </c>
      <c r="F2604" s="34" t="str">
        <f>IFERROR(__xludf.DUMMYFUNCTION("""COMPUTED_VALUE"""),"2025")</f>
        <v>2025</v>
      </c>
      <c r="G2604" s="35" t="str">
        <f>IFERROR(__xludf.DUMMYFUNCTION("""COMPUTED_VALUE"""),"RAKA MALDINI B")</f>
        <v>RAKA MALDINI B</v>
      </c>
      <c r="H2604" s="35" t="str">
        <f>IFERROR(__xludf.DUMMYFUNCTION("""COMPUTED_VALUE"""),"R0225070099")</f>
        <v>R0225070099</v>
      </c>
      <c r="I2604" s="35">
        <f>IFERROR(__xludf.DUMMYFUNCTION("""COMPUTED_VALUE"""),24.0)</f>
        <v>24</v>
      </c>
      <c r="J2604" s="35" t="str">
        <f>IFERROR(__xludf.DUMMYFUNCTION("""COMPUTED_VALUE"""),"18-24 tahun")</f>
        <v>18-24 tahun</v>
      </c>
      <c r="K2604" s="21" t="str">
        <f>IFERROR(__xludf.DUMMYFUNCTION("""COMPUTED_VALUE"""),"06/06/2002")</f>
        <v>06/06/2002</v>
      </c>
      <c r="L2604" s="21" t="str">
        <f>IFERROR(__xludf.DUMMYFUNCTION("""COMPUTED_VALUE"""),"LAKI-LAKI")</f>
        <v>LAKI-LAKI</v>
      </c>
      <c r="M2604" s="35" t="str">
        <f>IFERROR(__xludf.DUMMYFUNCTION("""COMPUTED_VALUE"""),"KOMP. MITRA RAYA LESTARI 5 NO. B 11")</f>
        <v>KOMP. MITRA RAYA LESTARI 5 NO. B 11</v>
      </c>
      <c r="N2604" s="35" t="str">
        <f>IFERROR(__xludf.DUMMYFUNCTION("""COMPUTED_VALUE"""),"SEI JAWI")</f>
        <v>SEI JAWI</v>
      </c>
      <c r="O2604" s="35" t="str">
        <f>IFERROR(__xludf.DUMMYFUNCTION("""COMPUTED_VALUE"""),"PONTIANAK KOTA")</f>
        <v>PONTIANAK KOTA</v>
      </c>
      <c r="P2604" s="35" t="str">
        <f>IFERROR(__xludf.DUMMYFUNCTION("""COMPUTED_VALUE"""),"KOTA PONTIANAK")</f>
        <v>KOTA PONTIANAK</v>
      </c>
      <c r="Q2604" s="35" t="str">
        <f>IFERROR(__xludf.DUMMYFUNCTION("""COMPUTED_VALUE"""),"KALBAR")</f>
        <v>KALBAR</v>
      </c>
      <c r="R2604" s="21" t="str">
        <f>IFERROR(__xludf.DUMMYFUNCTION("""COMPUTED_VALUE"""),"ISLAM")</f>
        <v>ISLAM</v>
      </c>
      <c r="S2604" s="74" t="str">
        <f>IFERROR(__xludf.DUMMYFUNCTION("""COMPUTED_VALUE"""),"SWASTA")</f>
        <v>SWASTA</v>
      </c>
      <c r="T2604" s="35" t="str">
        <f>IFERROR(__xludf.DUMMYFUNCTION("""COMPUTED_VALUE"""),"NYERI LEHER, BAHU KE TANGAN SEBELAH KIRI")</f>
        <v>NYERI LEHER, BAHU KE TANGAN SEBELAH KIRI</v>
      </c>
      <c r="U2604" s="35" t="str">
        <f>IFERROR(__xludf.DUMMYFUNCTION("""COMPUTED_VALUE"""),"MASAK DI CAFFE ( KERJA )")</f>
        <v>MASAK DI CAFFE ( KERJA )</v>
      </c>
      <c r="V2604" s="37" t="str">
        <f>IFERROR(__xludf.DUMMYFUNCTION("""COMPUTED_VALUE"""),"082299990099")</f>
        <v>082299990099</v>
      </c>
      <c r="W2604" s="45"/>
    </row>
    <row r="2605">
      <c r="A2605" s="45"/>
      <c r="B2605" s="24" t="str">
        <f>IFERROR(__xludf.DUMMYFUNCTION("""COMPUTED_VALUE"""),"12/07/2025 15:59:41")</f>
        <v>12/07/2025 15:59:41</v>
      </c>
      <c r="C2605" s="35"/>
      <c r="D2605" s="10">
        <f>IFERROR(__xludf.DUMMYFUNCTION("""COMPUTED_VALUE"""),45850.0)</f>
        <v>45850</v>
      </c>
      <c r="E2605" s="35" t="str">
        <f>IFERROR(__xludf.DUMMYFUNCTION("""COMPUTED_VALUE"""),"07Jul")</f>
        <v>07Jul</v>
      </c>
      <c r="F2605" s="34" t="str">
        <f>IFERROR(__xludf.DUMMYFUNCTION("""COMPUTED_VALUE"""),"2025")</f>
        <v>2025</v>
      </c>
      <c r="G2605" s="35" t="str">
        <f>IFERROR(__xludf.DUMMYFUNCTION("""COMPUTED_VALUE"""),"ELLEN ARIFIN")</f>
        <v>ELLEN ARIFIN</v>
      </c>
      <c r="H2605" s="35" t="str">
        <f>IFERROR(__xludf.DUMMYFUNCTION("""COMPUTED_VALUE"""),"E8925075615")</f>
        <v>E8925075615</v>
      </c>
      <c r="I2605" s="35">
        <f>IFERROR(__xludf.DUMMYFUNCTION("""COMPUTED_VALUE"""),36.0)</f>
        <v>36</v>
      </c>
      <c r="J2605" s="35" t="str">
        <f>IFERROR(__xludf.DUMMYFUNCTION("""COMPUTED_VALUE"""),"35-44 tahun")</f>
        <v>35-44 tahun</v>
      </c>
      <c r="K2605" s="21" t="str">
        <f>IFERROR(__xludf.DUMMYFUNCTION("""COMPUTED_VALUE"""),"06/07/1989")</f>
        <v>06/07/1989</v>
      </c>
      <c r="L2605" s="21" t="str">
        <f>IFERROR(__xludf.DUMMYFUNCTION("""COMPUTED_VALUE"""),"PEREMPUAN")</f>
        <v>PEREMPUAN</v>
      </c>
      <c r="M2605" s="35" t="str">
        <f>IFERROR(__xludf.DUMMYFUNCTION("""COMPUTED_VALUE"""),"JL. DIPONEGORO NO 229")</f>
        <v>JL. DIPONEGORO NO 229</v>
      </c>
      <c r="N2605" s="35" t="str">
        <f>IFERROR(__xludf.DUMMYFUNCTION("""COMPUTED_VALUE"""),"DARAT SEKIP")</f>
        <v>DARAT SEKIP</v>
      </c>
      <c r="O2605" s="35" t="str">
        <f>IFERROR(__xludf.DUMMYFUNCTION("""COMPUTED_VALUE"""),"PONTIANAK KOTA")</f>
        <v>PONTIANAK KOTA</v>
      </c>
      <c r="P2605" s="35" t="str">
        <f>IFERROR(__xludf.DUMMYFUNCTION("""COMPUTED_VALUE"""),"PONTIANAK")</f>
        <v>PONTIANAK</v>
      </c>
      <c r="Q2605" s="35" t="str">
        <f>IFERROR(__xludf.DUMMYFUNCTION("""COMPUTED_VALUE"""),"KALIMANTAN BARAT")</f>
        <v>KALIMANTAN BARAT</v>
      </c>
      <c r="R2605" s="21" t="str">
        <f>IFERROR(__xludf.DUMMYFUNCTION("""COMPUTED_VALUE"""),"KATOLIK")</f>
        <v>KATOLIK</v>
      </c>
      <c r="S2605" s="74" t="str">
        <f>IFERROR(__xludf.DUMMYFUNCTION("""COMPUTED_VALUE"""),"WIRASWASTA")</f>
        <v>WIRASWASTA</v>
      </c>
      <c r="T2605" s="35" t="str">
        <f>IFERROR(__xludf.DUMMYFUNCTION("""COMPUTED_VALUE"""),"BUNION")</f>
        <v>BUNION</v>
      </c>
      <c r="U2605" s="35" t="str">
        <f>IFERROR(__xludf.DUMMYFUNCTION("""COMPUTED_VALUE"""),"TENNIS")</f>
        <v>TENNIS</v>
      </c>
      <c r="V2605" s="37" t="str">
        <f>IFERROR(__xludf.DUMMYFUNCTION("""COMPUTED_VALUE"""),"08125615615")</f>
        <v>08125615615</v>
      </c>
      <c r="W2605" s="45"/>
    </row>
    <row r="2606">
      <c r="A2606" s="45"/>
      <c r="B2606" s="24" t="str">
        <f>IFERROR(__xludf.DUMMYFUNCTION("""COMPUTED_VALUE"""),"12/07/2025 16:49:46")</f>
        <v>12/07/2025 16:49:46</v>
      </c>
      <c r="C2606" s="35"/>
      <c r="D2606" s="10">
        <f>IFERROR(__xludf.DUMMYFUNCTION("""COMPUTED_VALUE"""),45850.0)</f>
        <v>45850</v>
      </c>
      <c r="E2606" s="35" t="str">
        <f>IFERROR(__xludf.DUMMYFUNCTION("""COMPUTED_VALUE"""),"07Jul")</f>
        <v>07Jul</v>
      </c>
      <c r="F2606" s="34" t="str">
        <f>IFERROR(__xludf.DUMMYFUNCTION("""COMPUTED_VALUE"""),"2025")</f>
        <v>2025</v>
      </c>
      <c r="G2606" s="35" t="str">
        <f>IFERROR(__xludf.DUMMYFUNCTION("""COMPUTED_VALUE"""),"RIKA RIYANTI")</f>
        <v>RIKA RIYANTI</v>
      </c>
      <c r="H2606" s="35" t="str">
        <f>IFERROR(__xludf.DUMMYFUNCTION("""COMPUTED_VALUE"""),"R9225072190")</f>
        <v>R9225072190</v>
      </c>
      <c r="I2606" s="35">
        <f>IFERROR(__xludf.DUMMYFUNCTION("""COMPUTED_VALUE"""),34.0)</f>
        <v>34</v>
      </c>
      <c r="J2606" s="35" t="str">
        <f>IFERROR(__xludf.DUMMYFUNCTION("""COMPUTED_VALUE"""),"25-34 tahun")</f>
        <v>25-34 tahun</v>
      </c>
      <c r="K2606" s="21" t="str">
        <f>IFERROR(__xludf.DUMMYFUNCTION("""COMPUTED_VALUE"""),"08/01/1992")</f>
        <v>08/01/1992</v>
      </c>
      <c r="L2606" s="21" t="str">
        <f>IFERROR(__xludf.DUMMYFUNCTION("""COMPUTED_VALUE"""),"PEREMPUAN")</f>
        <v>PEREMPUAN</v>
      </c>
      <c r="M2606" s="35" t="str">
        <f>IFERROR(__xludf.DUMMYFUNCTION("""COMPUTED_VALUE"""),"JALAN KOM YOS SUDARSO, GANG TENGKAWANG, NO 46A")</f>
        <v>JALAN KOM YOS SUDARSO, GANG TENGKAWANG, NO 46A</v>
      </c>
      <c r="N2606" s="35" t="str">
        <f>IFERROR(__xludf.DUMMYFUNCTION("""COMPUTED_VALUE"""),"SUNGAI BELIUNG")</f>
        <v>SUNGAI BELIUNG</v>
      </c>
      <c r="O2606" s="35" t="str">
        <f>IFERROR(__xludf.DUMMYFUNCTION("""COMPUTED_VALUE"""),"PONTIANAK BARAT")</f>
        <v>PONTIANAK BARAT</v>
      </c>
      <c r="P2606" s="35" t="str">
        <f>IFERROR(__xludf.DUMMYFUNCTION("""COMPUTED_VALUE"""),"KOTA PONTIANAK")</f>
        <v>KOTA PONTIANAK</v>
      </c>
      <c r="Q2606" s="35" t="str">
        <f>IFERROR(__xludf.DUMMYFUNCTION("""COMPUTED_VALUE"""),"KALIMANTAN BARAT")</f>
        <v>KALIMANTAN BARAT</v>
      </c>
      <c r="R2606" s="21" t="str">
        <f>IFERROR(__xludf.DUMMYFUNCTION("""COMPUTED_VALUE"""),"KATOLIK")</f>
        <v>KATOLIK</v>
      </c>
      <c r="S2606" s="74" t="str">
        <f>IFERROR(__xludf.DUMMYFUNCTION("""COMPUTED_VALUE"""),"KARYAWAN SWASTA")</f>
        <v>KARYAWAN SWASTA</v>
      </c>
      <c r="T2606" s="35" t="str">
        <f>IFERROR(__xludf.DUMMYFUNCTION("""COMPUTED_VALUE"""),"SAKIT PAS JINJIT")</f>
        <v>SAKIT PAS JINJIT</v>
      </c>
      <c r="U2606" s="35" t="str">
        <f>IFERROR(__xludf.DUMMYFUNCTION("""COMPUTED_VALUE"""),"BADMINTON")</f>
        <v>BADMINTON</v>
      </c>
      <c r="V2606" s="37" t="str">
        <f>IFERROR(__xludf.DUMMYFUNCTION("""COMPUTED_VALUE"""),"085245872190")</f>
        <v>085245872190</v>
      </c>
      <c r="W2606" s="45"/>
    </row>
    <row r="2607">
      <c r="A2607" s="45"/>
      <c r="B2607" s="24" t="str">
        <f>IFERROR(__xludf.DUMMYFUNCTION("""COMPUTED_VALUE"""),"12/07/2025 16:55:10")</f>
        <v>12/07/2025 16:55:10</v>
      </c>
      <c r="C2607" s="35"/>
      <c r="D2607" s="10">
        <f>IFERROR(__xludf.DUMMYFUNCTION("""COMPUTED_VALUE"""),45850.0)</f>
        <v>45850</v>
      </c>
      <c r="E2607" s="35" t="str">
        <f>IFERROR(__xludf.DUMMYFUNCTION("""COMPUTED_VALUE"""),"07Jul")</f>
        <v>07Jul</v>
      </c>
      <c r="F2607" s="34" t="str">
        <f>IFERROR(__xludf.DUMMYFUNCTION("""COMPUTED_VALUE"""),"2025")</f>
        <v>2025</v>
      </c>
      <c r="G2607" s="35" t="str">
        <f>IFERROR(__xludf.DUMMYFUNCTION("""COMPUTED_VALUE"""),"JULIANTO 9007")</f>
        <v>JULIANTO 9007</v>
      </c>
      <c r="H2607" s="35" t="str">
        <f>IFERROR(__xludf.DUMMYFUNCTION("""COMPUTED_VALUE"""),"J9025070228")</f>
        <v>J9025070228</v>
      </c>
      <c r="I2607" s="35">
        <f>IFERROR(__xludf.DUMMYFUNCTION("""COMPUTED_VALUE"""),35.0)</f>
        <v>35</v>
      </c>
      <c r="J2607" s="35" t="str">
        <f>IFERROR(__xludf.DUMMYFUNCTION("""COMPUTED_VALUE"""),"35-44 tahun")</f>
        <v>35-44 tahun</v>
      </c>
      <c r="K2607" s="21" t="str">
        <f>IFERROR(__xludf.DUMMYFUNCTION("""COMPUTED_VALUE"""),"13/07/1990")</f>
        <v>13/07/1990</v>
      </c>
      <c r="L2607" s="21" t="str">
        <f>IFERROR(__xludf.DUMMYFUNCTION("""COMPUTED_VALUE"""),"LAKI-LAKI")</f>
        <v>LAKI-LAKI</v>
      </c>
      <c r="M2607" s="35" t="str">
        <f>IFERROR(__xludf.DUMMYFUNCTION("""COMPUTED_VALUE"""),"JALAN KOM YOS SUDARSO, GANG TENGKAWANG, NO 46A")</f>
        <v>JALAN KOM YOS SUDARSO, GANG TENGKAWANG, NO 46A</v>
      </c>
      <c r="N2607" s="35" t="str">
        <f>IFERROR(__xludf.DUMMYFUNCTION("""COMPUTED_VALUE"""),"SUNGAI BELIUNG")</f>
        <v>SUNGAI BELIUNG</v>
      </c>
      <c r="O2607" s="35" t="str">
        <f>IFERROR(__xludf.DUMMYFUNCTION("""COMPUTED_VALUE"""),"PONTIANAK BARAT")</f>
        <v>PONTIANAK BARAT</v>
      </c>
      <c r="P2607" s="35" t="str">
        <f>IFERROR(__xludf.DUMMYFUNCTION("""COMPUTED_VALUE"""),"KOTA PONTIANAK")</f>
        <v>KOTA PONTIANAK</v>
      </c>
      <c r="Q2607" s="35" t="str">
        <f>IFERROR(__xludf.DUMMYFUNCTION("""COMPUTED_VALUE"""),"KALIMANTAN BARAT")</f>
        <v>KALIMANTAN BARAT</v>
      </c>
      <c r="R2607" s="21" t="str">
        <f>IFERROR(__xludf.DUMMYFUNCTION("""COMPUTED_VALUE"""),"KATOLIK")</f>
        <v>KATOLIK</v>
      </c>
      <c r="S2607" s="74" t="str">
        <f>IFERROR(__xludf.DUMMYFUNCTION("""COMPUTED_VALUE"""),"KARYAWAN SWASTA")</f>
        <v>KARYAWAN SWASTA</v>
      </c>
      <c r="T2607" s="35" t="str">
        <f>IFERROR(__xludf.DUMMYFUNCTION("""COMPUTED_VALUE"""),"SAKIT LUTUT")</f>
        <v>SAKIT LUTUT</v>
      </c>
      <c r="U2607" s="35" t="str">
        <f>IFERROR(__xludf.DUMMYFUNCTION("""COMPUTED_VALUE"""),"MINI SOCCER &amp; BADMINTON")</f>
        <v>MINI SOCCER &amp; BADMINTON</v>
      </c>
      <c r="V2607" s="37" t="str">
        <f>IFERROR(__xludf.DUMMYFUNCTION("""COMPUTED_VALUE"""),"085251750228")</f>
        <v>085251750228</v>
      </c>
      <c r="W2607" s="45"/>
    </row>
    <row r="2608">
      <c r="A2608" s="45"/>
      <c r="B2608" s="24" t="str">
        <f>IFERROR(__xludf.DUMMYFUNCTION("""COMPUTED_VALUE"""),"13/07/2025 8:19:23")</f>
        <v>13/07/2025 8:19:23</v>
      </c>
      <c r="C2608" s="35"/>
      <c r="D2608" s="10">
        <f>IFERROR(__xludf.DUMMYFUNCTION("""COMPUTED_VALUE"""),45851.0)</f>
        <v>45851</v>
      </c>
      <c r="E2608" s="35" t="str">
        <f>IFERROR(__xludf.DUMMYFUNCTION("""COMPUTED_VALUE"""),"07Jul")</f>
        <v>07Jul</v>
      </c>
      <c r="F2608" s="34" t="str">
        <f>IFERROR(__xludf.DUMMYFUNCTION("""COMPUTED_VALUE"""),"2025")</f>
        <v>2025</v>
      </c>
      <c r="G2608" s="35" t="str">
        <f>IFERROR(__xludf.DUMMYFUNCTION("""COMPUTED_VALUE"""),"RIVHANI JUNYANDARI")</f>
        <v>RIVHANI JUNYANDARI</v>
      </c>
      <c r="H2608" s="35" t="str">
        <f>IFERROR(__xludf.DUMMYFUNCTION("""COMPUTED_VALUE"""),"R8925076962")</f>
        <v>R8925076962</v>
      </c>
      <c r="I2608" s="35">
        <f>IFERROR(__xludf.DUMMYFUNCTION("""COMPUTED_VALUE"""),37.0)</f>
        <v>37</v>
      </c>
      <c r="J2608" s="35" t="str">
        <f>IFERROR(__xludf.DUMMYFUNCTION("""COMPUTED_VALUE"""),"35-44 tahun")</f>
        <v>35-44 tahun</v>
      </c>
      <c r="K2608" s="21" t="str">
        <f>IFERROR(__xludf.DUMMYFUNCTION("""COMPUTED_VALUE"""),"13/06/1989")</f>
        <v>13/06/1989</v>
      </c>
      <c r="L2608" s="21" t="str">
        <f>IFERROR(__xludf.DUMMYFUNCTION("""COMPUTED_VALUE"""),"PEREMPUAN")</f>
        <v>PEREMPUAN</v>
      </c>
      <c r="M2608" s="35" t="str">
        <f>IFERROR(__xludf.DUMMYFUNCTION("""COMPUTED_VALUE"""),"JALAN BUKIT BARISAN NO.13")</f>
        <v>JALAN BUKIT BARISAN NO.13</v>
      </c>
      <c r="N2608" s="35" t="str">
        <f>IFERROR(__xludf.DUMMYFUNCTION("""COMPUTED_VALUE"""),"SUNGAI JAWI")</f>
        <v>SUNGAI JAWI</v>
      </c>
      <c r="O2608" s="35" t="str">
        <f>IFERROR(__xludf.DUMMYFUNCTION("""COMPUTED_VALUE"""),"PONTIANAK KOTA")</f>
        <v>PONTIANAK KOTA</v>
      </c>
      <c r="P2608" s="35" t="str">
        <f>IFERROR(__xludf.DUMMYFUNCTION("""COMPUTED_VALUE"""),"PONTIANAK")</f>
        <v>PONTIANAK</v>
      </c>
      <c r="Q2608" s="35" t="str">
        <f>IFERROR(__xludf.DUMMYFUNCTION("""COMPUTED_VALUE"""),"KALIMANTAN BARAT")</f>
        <v>KALIMANTAN BARAT</v>
      </c>
      <c r="R2608" s="21" t="str">
        <f>IFERROR(__xludf.DUMMYFUNCTION("""COMPUTED_VALUE"""),"ISLAM")</f>
        <v>ISLAM</v>
      </c>
      <c r="S2608" s="74" t="str">
        <f>IFERROR(__xludf.DUMMYFUNCTION("""COMPUTED_VALUE"""),"IRT")</f>
        <v>IRT</v>
      </c>
      <c r="T2608" s="35" t="str">
        <f>IFERROR(__xludf.DUMMYFUNCTION("""COMPUTED_VALUE"""),"SAKIT PINGGANG SEBELAH KIRI, KESULITAN BERJALAN")</f>
        <v>SAKIT PINGGANG SEBELAH KIRI, KESULITAN BERJALAN</v>
      </c>
      <c r="U2608" s="35" t="str">
        <f>IFERROR(__xludf.DUMMYFUNCTION("""COMPUTED_VALUE"""),"BANYAK BERGERAK")</f>
        <v>BANYAK BERGERAK</v>
      </c>
      <c r="V2608" s="37" t="str">
        <f>IFERROR(__xludf.DUMMYFUNCTION("""COMPUTED_VALUE"""),"089667696962")</f>
        <v>089667696962</v>
      </c>
      <c r="W2608" s="45"/>
    </row>
    <row r="2609">
      <c r="A2609" s="45"/>
      <c r="B2609" s="24" t="str">
        <f>IFERROR(__xludf.DUMMYFUNCTION("""COMPUTED_VALUE"""),"13/07/2025 9:41:27")</f>
        <v>13/07/2025 9:41:27</v>
      </c>
      <c r="C2609" s="35"/>
      <c r="D2609" s="10">
        <f>IFERROR(__xludf.DUMMYFUNCTION("""COMPUTED_VALUE"""),45851.0)</f>
        <v>45851</v>
      </c>
      <c r="E2609" s="35" t="str">
        <f>IFERROR(__xludf.DUMMYFUNCTION("""COMPUTED_VALUE"""),"07Jul")</f>
        <v>07Jul</v>
      </c>
      <c r="F2609" s="34" t="str">
        <f>IFERROR(__xludf.DUMMYFUNCTION("""COMPUTED_VALUE"""),"2025")</f>
        <v>2025</v>
      </c>
      <c r="G2609" s="35" t="str">
        <f>IFERROR(__xludf.DUMMYFUNCTION("""COMPUTED_VALUE"""),"EVELYN")</f>
        <v>EVELYN</v>
      </c>
      <c r="H2609" s="35" t="str">
        <f>IFERROR(__xludf.DUMMYFUNCTION("""COMPUTED_VALUE"""),"E9225074142")</f>
        <v>E9225074142</v>
      </c>
      <c r="I2609" s="35">
        <f>IFERROR(__xludf.DUMMYFUNCTION("""COMPUTED_VALUE"""),33.0)</f>
        <v>33</v>
      </c>
      <c r="J2609" s="35" t="str">
        <f>IFERROR(__xludf.DUMMYFUNCTION("""COMPUTED_VALUE"""),"25-34 tahun")</f>
        <v>25-34 tahun</v>
      </c>
      <c r="K2609" s="21" t="str">
        <f>IFERROR(__xludf.DUMMYFUNCTION("""COMPUTED_VALUE"""),"28/10/1992")</f>
        <v>28/10/1992</v>
      </c>
      <c r="L2609" s="21" t="str">
        <f>IFERROR(__xludf.DUMMYFUNCTION("""COMPUTED_VALUE"""),"PEREMPUAN")</f>
        <v>PEREMPUAN</v>
      </c>
      <c r="M2609" s="35" t="str">
        <f>IFERROR(__xludf.DUMMYFUNCTION("""COMPUTED_VALUE"""),"JL RAYA DESA KAPUR KOMP STAR BORNEO REGENCY 2 NO D6")</f>
        <v>JL RAYA DESA KAPUR KOMP STAR BORNEO REGENCY 2 NO D6</v>
      </c>
      <c r="N2609" s="35" t="str">
        <f>IFERROR(__xludf.DUMMYFUNCTION("""COMPUTED_VALUE"""),"MEKAR SARI")</f>
        <v>MEKAR SARI</v>
      </c>
      <c r="O2609" s="35" t="str">
        <f>IFERROR(__xludf.DUMMYFUNCTION("""COMPUTED_VALUE"""),"SUNGAI RAYA")</f>
        <v>SUNGAI RAYA</v>
      </c>
      <c r="P2609" s="35" t="str">
        <f>IFERROR(__xludf.DUMMYFUNCTION("""COMPUTED_VALUE"""),"KUBU RAYA")</f>
        <v>KUBU RAYA</v>
      </c>
      <c r="Q2609" s="35" t="str">
        <f>IFERROR(__xludf.DUMMYFUNCTION("""COMPUTED_VALUE"""),"KALIMANTAN BARAT")</f>
        <v>KALIMANTAN BARAT</v>
      </c>
      <c r="R2609" s="21" t="str">
        <f>IFERROR(__xludf.DUMMYFUNCTION("""COMPUTED_VALUE"""),"PROTESTAN")</f>
        <v>PROTESTAN</v>
      </c>
      <c r="S2609" s="74" t="str">
        <f>IFERROR(__xludf.DUMMYFUNCTION("""COMPUTED_VALUE"""),"IBU RUMAH TANGGA")</f>
        <v>IBU RUMAH TANGGA</v>
      </c>
      <c r="T2609" s="35" t="str">
        <f>IFERROR(__xludf.DUMMYFUNCTION("""COMPUTED_VALUE"""),"SAKIT DARI BAHU SAMPAI KE PUNGGUNG")</f>
        <v>SAKIT DARI BAHU SAMPAI KE PUNGGUNG</v>
      </c>
      <c r="U2609" s="35" t="str">
        <f>IFERROR(__xludf.DUMMYFUNCTION("""COMPUTED_VALUE"""),"SALAH TIDUR")</f>
        <v>SALAH TIDUR</v>
      </c>
      <c r="V2609" s="37" t="str">
        <f>IFERROR(__xludf.DUMMYFUNCTION("""COMPUTED_VALUE"""),"081649314142")</f>
        <v>081649314142</v>
      </c>
      <c r="W2609" s="45"/>
    </row>
    <row r="2610">
      <c r="A2610" s="45"/>
      <c r="B2610" s="24" t="str">
        <f>IFERROR(__xludf.DUMMYFUNCTION("""COMPUTED_VALUE"""),"13/07/2025 9:53:36")</f>
        <v>13/07/2025 9:53:36</v>
      </c>
      <c r="C2610" s="35"/>
      <c r="D2610" s="10">
        <f>IFERROR(__xludf.DUMMYFUNCTION("""COMPUTED_VALUE"""),45851.0)</f>
        <v>45851</v>
      </c>
      <c r="E2610" s="35" t="str">
        <f>IFERROR(__xludf.DUMMYFUNCTION("""COMPUTED_VALUE"""),"07Jul")</f>
        <v>07Jul</v>
      </c>
      <c r="F2610" s="34" t="str">
        <f>IFERROR(__xludf.DUMMYFUNCTION("""COMPUTED_VALUE"""),"2025")</f>
        <v>2025</v>
      </c>
      <c r="G2610" s="35" t="str">
        <f>IFERROR(__xludf.DUMMYFUNCTION("""COMPUTED_VALUE"""),"AGUNG MULYONO PUTRA")</f>
        <v>AGUNG MULYONO PUTRA</v>
      </c>
      <c r="H2610" s="35" t="str">
        <f>IFERROR(__xludf.DUMMYFUNCTION("""COMPUTED_VALUE"""),"A0125076474")</f>
        <v>A0125076474</v>
      </c>
      <c r="I2610" s="35">
        <f>IFERROR(__xludf.DUMMYFUNCTION("""COMPUTED_VALUE"""),25.0)</f>
        <v>25</v>
      </c>
      <c r="J2610" s="35" t="str">
        <f>IFERROR(__xludf.DUMMYFUNCTION("""COMPUTED_VALUE"""),"25-34 tahun")</f>
        <v>25-34 tahun</v>
      </c>
      <c r="K2610" s="21" t="str">
        <f>IFERROR(__xludf.DUMMYFUNCTION("""COMPUTED_VALUE"""),"07/06/2001")</f>
        <v>07/06/2001</v>
      </c>
      <c r="L2610" s="21" t="str">
        <f>IFERROR(__xludf.DUMMYFUNCTION("""COMPUTED_VALUE"""),"LAKI-LAKI")</f>
        <v>LAKI-LAKI</v>
      </c>
      <c r="M2610" s="35" t="str">
        <f>IFERROR(__xludf.DUMMYFUNCTION("""COMPUTED_VALUE"""),"JL. ADISUCIPTO GG CEMPAKA PUTIH B.38")</f>
        <v>JL. ADISUCIPTO GG CEMPAKA PUTIH B.38</v>
      </c>
      <c r="N2610" s="35" t="str">
        <f>IFERROR(__xludf.DUMMYFUNCTION("""COMPUTED_VALUE"""),"PARIT BARU")</f>
        <v>PARIT BARU</v>
      </c>
      <c r="O2610" s="35" t="str">
        <f>IFERROR(__xludf.DUMMYFUNCTION("""COMPUTED_VALUE"""),"SUNGAI RAYA")</f>
        <v>SUNGAI RAYA</v>
      </c>
      <c r="P2610" s="35" t="str">
        <f>IFERROR(__xludf.DUMMYFUNCTION("""COMPUTED_VALUE"""),"KUBU RAYA")</f>
        <v>KUBU RAYA</v>
      </c>
      <c r="Q2610" s="35" t="str">
        <f>IFERROR(__xludf.DUMMYFUNCTION("""COMPUTED_VALUE"""),"KALIMANTAN BARAT")</f>
        <v>KALIMANTAN BARAT</v>
      </c>
      <c r="R2610" s="21" t="str">
        <f>IFERROR(__xludf.DUMMYFUNCTION("""COMPUTED_VALUE"""),"BUDDHA")</f>
        <v>BUDDHA</v>
      </c>
      <c r="S2610" s="74" t="str">
        <f>IFERROR(__xludf.DUMMYFUNCTION("""COMPUTED_VALUE"""),"SALES")</f>
        <v>SALES</v>
      </c>
      <c r="T2610" s="35" t="str">
        <f>IFERROR(__xludf.DUMMYFUNCTION("""COMPUTED_VALUE"""),"SAKIT KAKI")</f>
        <v>SAKIT KAKI</v>
      </c>
      <c r="U2610" s="35" t="str">
        <f>IFERROR(__xludf.DUMMYFUNCTION("""COMPUTED_VALUE"""),"MINISOCCER")</f>
        <v>MINISOCCER</v>
      </c>
      <c r="V2610" s="37" t="str">
        <f>IFERROR(__xludf.DUMMYFUNCTION("""COMPUTED_VALUE"""),"081351816474")</f>
        <v>081351816474</v>
      </c>
      <c r="W2610" s="45"/>
    </row>
    <row r="2611">
      <c r="A2611" s="45"/>
      <c r="B2611" s="24" t="str">
        <f>IFERROR(__xludf.DUMMYFUNCTION("""COMPUTED_VALUE"""),"13/07/2025 17:50:23")</f>
        <v>13/07/2025 17:50:23</v>
      </c>
      <c r="C2611" s="35"/>
      <c r="D2611" s="10">
        <f>IFERROR(__xludf.DUMMYFUNCTION("""COMPUTED_VALUE"""),45851.0)</f>
        <v>45851</v>
      </c>
      <c r="E2611" s="35" t="str">
        <f>IFERROR(__xludf.DUMMYFUNCTION("""COMPUTED_VALUE"""),"07Jul")</f>
        <v>07Jul</v>
      </c>
      <c r="F2611" s="34" t="str">
        <f>IFERROR(__xludf.DUMMYFUNCTION("""COMPUTED_VALUE"""),"2025")</f>
        <v>2025</v>
      </c>
      <c r="G2611" s="35" t="str">
        <f>IFERROR(__xludf.DUMMYFUNCTION("""COMPUTED_VALUE"""),"MARSALENA")</f>
        <v>MARSALENA</v>
      </c>
      <c r="H2611" s="35" t="str">
        <f>IFERROR(__xludf.DUMMYFUNCTION("""COMPUTED_VALUE"""),"M7125075867")</f>
        <v>M7125075867</v>
      </c>
      <c r="I2611" s="35">
        <f>IFERROR(__xludf.DUMMYFUNCTION("""COMPUTED_VALUE"""),54.0)</f>
        <v>54</v>
      </c>
      <c r="J2611" s="35" t="str">
        <f>IFERROR(__xludf.DUMMYFUNCTION("""COMPUTED_VALUE"""),"&gt; 44 tahun")</f>
        <v>&gt; 44 tahun</v>
      </c>
      <c r="K2611" s="21" t="str">
        <f>IFERROR(__xludf.DUMMYFUNCTION("""COMPUTED_VALUE"""),"11/12/1971")</f>
        <v>11/12/1971</v>
      </c>
      <c r="L2611" s="21" t="str">
        <f>IFERROR(__xludf.DUMMYFUNCTION("""COMPUTED_VALUE"""),"PEREMPUAN")</f>
        <v>PEREMPUAN</v>
      </c>
      <c r="M2611" s="35" t="str">
        <f>IFERROR(__xludf.DUMMYFUNCTION("""COMPUTED_VALUE"""),"JL M.SAID AIN PERUMNAS 1 BLOK F1 N0.09")</f>
        <v>JL M.SAID AIN PERUMNAS 1 BLOK F1 N0.09</v>
      </c>
      <c r="N2611" s="35" t="str">
        <f>IFERROR(__xludf.DUMMYFUNCTION("""COMPUTED_VALUE"""),"-")</f>
        <v>-</v>
      </c>
      <c r="O2611" s="35" t="str">
        <f>IFERROR(__xludf.DUMMYFUNCTION("""COMPUTED_VALUE"""),"-")</f>
        <v>-</v>
      </c>
      <c r="P2611" s="35" t="str">
        <f>IFERROR(__xludf.DUMMYFUNCTION("""COMPUTED_VALUE"""),"PONTIANAK")</f>
        <v>PONTIANAK</v>
      </c>
      <c r="Q2611" s="35" t="str">
        <f>IFERROR(__xludf.DUMMYFUNCTION("""COMPUTED_VALUE"""),"KALIMANTAN BARAT")</f>
        <v>KALIMANTAN BARAT</v>
      </c>
      <c r="R2611" s="21" t="str">
        <f>IFERROR(__xludf.DUMMYFUNCTION("""COMPUTED_VALUE"""),"LAINNYA")</f>
        <v>LAINNYA</v>
      </c>
      <c r="S2611" s="74" t="str">
        <f>IFERROR(__xludf.DUMMYFUNCTION("""COMPUTED_VALUE"""),"IBU RUMAH TANGGA")</f>
        <v>IBU RUMAH TANGGA</v>
      </c>
      <c r="T2611" s="35" t="str">
        <f>IFERROR(__xludf.DUMMYFUNCTION("""COMPUTED_VALUE"""),"STROKE")</f>
        <v>STROKE</v>
      </c>
      <c r="U2611" s="35" t="str">
        <f>IFERROR(__xludf.DUMMYFUNCTION("""COMPUTED_VALUE"""),"TIDAK ADA")</f>
        <v>TIDAK ADA</v>
      </c>
      <c r="V2611" s="37" t="str">
        <f>IFERROR(__xludf.DUMMYFUNCTION("""COMPUTED_VALUE"""),"085752385867")</f>
        <v>085752385867</v>
      </c>
      <c r="W2611" s="45"/>
    </row>
    <row r="2612">
      <c r="A2612" s="45"/>
      <c r="B2612" s="24" t="str">
        <f>IFERROR(__xludf.DUMMYFUNCTION("""COMPUTED_VALUE"""),"13/07/2025 20:03:57")</f>
        <v>13/07/2025 20:03:57</v>
      </c>
      <c r="C2612" s="35"/>
      <c r="D2612" s="10">
        <f>IFERROR(__xludf.DUMMYFUNCTION("""COMPUTED_VALUE"""),45851.0)</f>
        <v>45851</v>
      </c>
      <c r="E2612" s="35" t="str">
        <f>IFERROR(__xludf.DUMMYFUNCTION("""COMPUTED_VALUE"""),"07Jul")</f>
        <v>07Jul</v>
      </c>
      <c r="F2612" s="34" t="str">
        <f>IFERROR(__xludf.DUMMYFUNCTION("""COMPUTED_VALUE"""),"2025")</f>
        <v>2025</v>
      </c>
      <c r="G2612" s="35" t="str">
        <f>IFERROR(__xludf.DUMMYFUNCTION("""COMPUTED_VALUE"""),"DANIEL PRANATA LIM")</f>
        <v>DANIEL PRANATA LIM</v>
      </c>
      <c r="H2612" s="35" t="str">
        <f>IFERROR(__xludf.DUMMYFUNCTION("""COMPUTED_VALUE"""),"D9325075655")</f>
        <v>D9325075655</v>
      </c>
      <c r="I2612" s="35">
        <f>IFERROR(__xludf.DUMMYFUNCTION("""COMPUTED_VALUE"""),33.0)</f>
        <v>33</v>
      </c>
      <c r="J2612" s="35" t="str">
        <f>IFERROR(__xludf.DUMMYFUNCTION("""COMPUTED_VALUE"""),"25-34 tahun")</f>
        <v>25-34 tahun</v>
      </c>
      <c r="K2612" s="21" t="str">
        <f>IFERROR(__xludf.DUMMYFUNCTION("""COMPUTED_VALUE"""),"28/04/1993")</f>
        <v>28/04/1993</v>
      </c>
      <c r="L2612" s="21" t="str">
        <f>IFERROR(__xludf.DUMMYFUNCTION("""COMPUTED_VALUE"""),"LAKI-LAKI")</f>
        <v>LAKI-LAKI</v>
      </c>
      <c r="M2612" s="35" t="str">
        <f>IFERROR(__xludf.DUMMYFUNCTION("""COMPUTED_VALUE"""),"SINTANG")</f>
        <v>SINTANG</v>
      </c>
      <c r="N2612" s="35" t="str">
        <f>IFERROR(__xludf.DUMMYFUNCTION("""COMPUTED_VALUE"""),"BANING KOTA")</f>
        <v>BANING KOTA</v>
      </c>
      <c r="O2612" s="35" t="str">
        <f>IFERROR(__xludf.DUMMYFUNCTION("""COMPUTED_VALUE"""),"SINTANG")</f>
        <v>SINTANG</v>
      </c>
      <c r="P2612" s="35" t="str">
        <f>IFERROR(__xludf.DUMMYFUNCTION("""COMPUTED_VALUE"""),"SINTANG")</f>
        <v>SINTANG</v>
      </c>
      <c r="Q2612" s="35" t="str">
        <f>IFERROR(__xludf.DUMMYFUNCTION("""COMPUTED_VALUE"""),"KALBAR")</f>
        <v>KALBAR</v>
      </c>
      <c r="R2612" s="21" t="str">
        <f>IFERROR(__xludf.DUMMYFUNCTION("""COMPUTED_VALUE"""),"KHONGHUCU")</f>
        <v>KHONGHUCU</v>
      </c>
      <c r="S2612" s="74" t="str">
        <f>IFERROR(__xludf.DUMMYFUNCTION("""COMPUTED_VALUE"""),"SWASTA")</f>
        <v>SWASTA</v>
      </c>
      <c r="T2612" s="35" t="str">
        <f>IFERROR(__xludf.DUMMYFUNCTION("""COMPUTED_VALUE"""),"NYERI DI TELAPA KAKI")</f>
        <v>NYERI DI TELAPA KAKI</v>
      </c>
      <c r="U2612" s="35" t="str">
        <f>IFERROR(__xludf.DUMMYFUNCTION("""COMPUTED_VALUE"""),"JOGGING DAN BASKET")</f>
        <v>JOGGING DAN BASKET</v>
      </c>
      <c r="V2612" s="37" t="str">
        <f>IFERROR(__xludf.DUMMYFUNCTION("""COMPUTED_VALUE"""),"081254775655")</f>
        <v>081254775655</v>
      </c>
      <c r="W2612" s="45"/>
    </row>
    <row r="2613">
      <c r="A2613" s="45"/>
      <c r="B2613" s="24" t="str">
        <f>IFERROR(__xludf.DUMMYFUNCTION("""COMPUTED_VALUE"""),"14/07/2025 10:13:24")</f>
        <v>14/07/2025 10:13:24</v>
      </c>
      <c r="C2613" s="35"/>
      <c r="D2613" s="10">
        <f>IFERROR(__xludf.DUMMYFUNCTION("""COMPUTED_VALUE"""),45852.0)</f>
        <v>45852</v>
      </c>
      <c r="E2613" s="35" t="str">
        <f>IFERROR(__xludf.DUMMYFUNCTION("""COMPUTED_VALUE"""),"07Jul")</f>
        <v>07Jul</v>
      </c>
      <c r="F2613" s="34" t="str">
        <f>IFERROR(__xludf.DUMMYFUNCTION("""COMPUTED_VALUE"""),"2025")</f>
        <v>2025</v>
      </c>
      <c r="G2613" s="35" t="str">
        <f>IFERROR(__xludf.DUMMYFUNCTION("""COMPUTED_VALUE"""),"RAHMAD FADILAH")</f>
        <v>RAHMAD FADILAH</v>
      </c>
      <c r="H2613" s="35" t="str">
        <f>IFERROR(__xludf.DUMMYFUNCTION("""COMPUTED_VALUE"""),"R0125079414")</f>
        <v>R0125079414</v>
      </c>
      <c r="I2613" s="35">
        <f>IFERROR(__xludf.DUMMYFUNCTION("""COMPUTED_VALUE"""),24.0)</f>
        <v>24</v>
      </c>
      <c r="J2613" s="35" t="str">
        <f>IFERROR(__xludf.DUMMYFUNCTION("""COMPUTED_VALUE"""),"18-24 tahun")</f>
        <v>18-24 tahun</v>
      </c>
      <c r="K2613" s="21" t="str">
        <f>IFERROR(__xludf.DUMMYFUNCTION("""COMPUTED_VALUE"""),"03/09/2001")</f>
        <v>03/09/2001</v>
      </c>
      <c r="L2613" s="21" t="str">
        <f>IFERROR(__xludf.DUMMYFUNCTION("""COMPUTED_VALUE"""),"LAKI-LAKI")</f>
        <v>LAKI-LAKI</v>
      </c>
      <c r="M2613" s="35" t="str">
        <f>IFERROR(__xludf.DUMMYFUNCTION("""COMPUTED_VALUE"""),"JL LETJEN SUGIONO")</f>
        <v>JL LETJEN SUGIONO</v>
      </c>
      <c r="N2613" s="35" t="str">
        <f>IFERROR(__xludf.DUMMYFUNCTION("""COMPUTED_VALUE"""),"PARIT TOKAYA")</f>
        <v>PARIT TOKAYA</v>
      </c>
      <c r="O2613" s="35" t="str">
        <f>IFERROR(__xludf.DUMMYFUNCTION("""COMPUTED_VALUE"""),"PONTIANAK SELATAN")</f>
        <v>PONTIANAK SELATAN</v>
      </c>
      <c r="P2613" s="35" t="str">
        <f>IFERROR(__xludf.DUMMYFUNCTION("""COMPUTED_VALUE"""),"KOTA PONTIANAK")</f>
        <v>KOTA PONTIANAK</v>
      </c>
      <c r="Q2613" s="35" t="str">
        <f>IFERROR(__xludf.DUMMYFUNCTION("""COMPUTED_VALUE"""),"KALIMANTAN BARAT")</f>
        <v>KALIMANTAN BARAT</v>
      </c>
      <c r="R2613" s="21" t="str">
        <f>IFERROR(__xludf.DUMMYFUNCTION("""COMPUTED_VALUE"""),"ISLAM")</f>
        <v>ISLAM</v>
      </c>
      <c r="S2613" s="74" t="str">
        <f>IFERROR(__xludf.DUMMYFUNCTION("""COMPUTED_VALUE"""),"KARYAWAN")</f>
        <v>KARYAWAN</v>
      </c>
      <c r="T2613" s="35" t="str">
        <f>IFERROR(__xludf.DUMMYFUNCTION("""COMPUTED_VALUE"""),"NYERI DIBAGIAN LUTUT")</f>
        <v>NYERI DIBAGIAN LUTUT</v>
      </c>
      <c r="U2613" s="35" t="str">
        <f>IFERROR(__xludf.DUMMYFUNCTION("""COMPUTED_VALUE"""),"LARI")</f>
        <v>LARI</v>
      </c>
      <c r="V2613" s="37" t="str">
        <f>IFERROR(__xludf.DUMMYFUNCTION("""COMPUTED_VALUE"""),"082256519414")</f>
        <v>082256519414</v>
      </c>
      <c r="W2613" s="45"/>
    </row>
    <row r="2614">
      <c r="A2614" s="45"/>
      <c r="B2614" s="24" t="str">
        <f>IFERROR(__xludf.DUMMYFUNCTION("""COMPUTED_VALUE"""),"14/07/2025 12:41:15")</f>
        <v>14/07/2025 12:41:15</v>
      </c>
      <c r="C2614" s="35"/>
      <c r="D2614" s="10">
        <f>IFERROR(__xludf.DUMMYFUNCTION("""COMPUTED_VALUE"""),45852.0)</f>
        <v>45852</v>
      </c>
      <c r="E2614" s="35" t="str">
        <f>IFERROR(__xludf.DUMMYFUNCTION("""COMPUTED_VALUE"""),"07Jul")</f>
        <v>07Jul</v>
      </c>
      <c r="F2614" s="34" t="str">
        <f>IFERROR(__xludf.DUMMYFUNCTION("""COMPUTED_VALUE"""),"2025")</f>
        <v>2025</v>
      </c>
      <c r="G2614" s="35" t="str">
        <f>IFERROR(__xludf.DUMMYFUNCTION("""COMPUTED_VALUE"""),"ANNA ROSIYANTI")</f>
        <v>ANNA ROSIYANTI</v>
      </c>
      <c r="H2614" s="35" t="str">
        <f>IFERROR(__xludf.DUMMYFUNCTION("""COMPUTED_VALUE"""),"A6625072226")</f>
        <v>A6625072226</v>
      </c>
      <c r="I2614" s="35">
        <f>IFERROR(__xludf.DUMMYFUNCTION("""COMPUTED_VALUE"""),60.0)</f>
        <v>60</v>
      </c>
      <c r="J2614" s="35" t="str">
        <f>IFERROR(__xludf.DUMMYFUNCTION("""COMPUTED_VALUE"""),"&gt; 44 tahun")</f>
        <v>&gt; 44 tahun</v>
      </c>
      <c r="K2614" s="21" t="str">
        <f>IFERROR(__xludf.DUMMYFUNCTION("""COMPUTED_VALUE"""),"11/04/1966")</f>
        <v>11/04/1966</v>
      </c>
      <c r="L2614" s="21" t="str">
        <f>IFERROR(__xludf.DUMMYFUNCTION("""COMPUTED_VALUE"""),"PEREMPUAN")</f>
        <v>PEREMPUAN</v>
      </c>
      <c r="M2614" s="35" t="str">
        <f>IFERROR(__xludf.DUMMYFUNCTION("""COMPUTED_VALUE"""),"JL. K.H.W HASYIM GG. AMAL NO. 23")</f>
        <v>JL. K.H.W HASYIM GG. AMAL NO. 23</v>
      </c>
      <c r="N2614" s="35" t="str">
        <f>IFERROR(__xludf.DUMMYFUNCTION("""COMPUTED_VALUE"""),"TENGAH")</f>
        <v>TENGAH</v>
      </c>
      <c r="O2614" s="35" t="str">
        <f>IFERROR(__xludf.DUMMYFUNCTION("""COMPUTED_VALUE"""),"PONTIANAK KOTA")</f>
        <v>PONTIANAK KOTA</v>
      </c>
      <c r="P2614" s="35" t="str">
        <f>IFERROR(__xludf.DUMMYFUNCTION("""COMPUTED_VALUE"""),"KOTA PONTIANAK")</f>
        <v>KOTA PONTIANAK</v>
      </c>
      <c r="Q2614" s="35" t="str">
        <f>IFERROR(__xludf.DUMMYFUNCTION("""COMPUTED_VALUE"""),"KALIMANTAN BARAT")</f>
        <v>KALIMANTAN BARAT</v>
      </c>
      <c r="R2614" s="21" t="str">
        <f>IFERROR(__xludf.DUMMYFUNCTION("""COMPUTED_VALUE"""),"ISLAM")</f>
        <v>ISLAM</v>
      </c>
      <c r="S2614" s="74" t="str">
        <f>IFERROR(__xludf.DUMMYFUNCTION("""COMPUTED_VALUE"""),"PNS")</f>
        <v>PNS</v>
      </c>
      <c r="T2614" s="35" t="str">
        <f>IFERROR(__xludf.DUMMYFUNCTION("""COMPUTED_VALUE"""),"KAKI TERASA LEMAH DAN LEMAS")</f>
        <v>KAKI TERASA LEMAH DAN LEMAS</v>
      </c>
      <c r="U2614" s="35" t="str">
        <f>IFERROR(__xludf.DUMMYFUNCTION("""COMPUTED_VALUE"""),"JALAN KAKI TIAP PAGI. DAN HANGOUT 😅")</f>
        <v>JALAN KAKI TIAP PAGI. DAN HANGOUT 😅</v>
      </c>
      <c r="V2614" s="37" t="str">
        <f>IFERROR(__xludf.DUMMYFUNCTION("""COMPUTED_VALUE"""),"085346062226")</f>
        <v>085346062226</v>
      </c>
      <c r="W2614" s="45"/>
    </row>
    <row r="2615">
      <c r="A2615" s="45"/>
      <c r="B2615" s="24" t="str">
        <f>IFERROR(__xludf.DUMMYFUNCTION("""COMPUTED_VALUE"""),"14/07/2025 13:14:41")</f>
        <v>14/07/2025 13:14:41</v>
      </c>
      <c r="C2615" s="35"/>
      <c r="D2615" s="10">
        <f>IFERROR(__xludf.DUMMYFUNCTION("""COMPUTED_VALUE"""),45852.0)</f>
        <v>45852</v>
      </c>
      <c r="E2615" s="35" t="str">
        <f>IFERROR(__xludf.DUMMYFUNCTION("""COMPUTED_VALUE"""),"07Jul")</f>
        <v>07Jul</v>
      </c>
      <c r="F2615" s="34" t="str">
        <f>IFERROR(__xludf.DUMMYFUNCTION("""COMPUTED_VALUE"""),"2025")</f>
        <v>2025</v>
      </c>
      <c r="G2615" s="35" t="str">
        <f>IFERROR(__xludf.DUMMYFUNCTION("""COMPUTED_VALUE"""),"URAY DJAHARANI")</f>
        <v>URAY DJAHARANI</v>
      </c>
      <c r="H2615" s="35" t="str">
        <f>IFERROR(__xludf.DUMMYFUNCTION("""COMPUTED_VALUE"""),"U6025070873")</f>
        <v>U6025070873</v>
      </c>
      <c r="I2615" s="35">
        <f>IFERROR(__xludf.DUMMYFUNCTION("""COMPUTED_VALUE"""),66.0)</f>
        <v>66</v>
      </c>
      <c r="J2615" s="35" t="str">
        <f>IFERROR(__xludf.DUMMYFUNCTION("""COMPUTED_VALUE"""),"&gt; 44 tahun")</f>
        <v>&gt; 44 tahun</v>
      </c>
      <c r="K2615" s="21">
        <f>IFERROR(__xludf.DUMMYFUNCTION("""COMPUTED_VALUE"""),21930.0)</f>
        <v>21930</v>
      </c>
      <c r="L2615" s="21" t="str">
        <f>IFERROR(__xludf.DUMMYFUNCTION("""COMPUTED_VALUE"""),"PEREMPUAN")</f>
        <v>PEREMPUAN</v>
      </c>
      <c r="M2615" s="35" t="str">
        <f>IFERROR(__xludf.DUMMYFUNCTION("""COMPUTED_VALUE"""),"JLN HUSEIN HAMZAH, KOMP BATARA INDAH 3 BLOK B NO 4")</f>
        <v>JLN HUSEIN HAMZAH, KOMP BATARA INDAH 3 BLOK B NO 4</v>
      </c>
      <c r="N2615" s="35" t="str">
        <f>IFERROR(__xludf.DUMMYFUNCTION("""COMPUTED_VALUE"""),"SUNGAI JAWI DALAM")</f>
        <v>SUNGAI JAWI DALAM</v>
      </c>
      <c r="O2615" s="35" t="str">
        <f>IFERROR(__xludf.DUMMYFUNCTION("""COMPUTED_VALUE"""),"PONTIANAK BARAT")</f>
        <v>PONTIANAK BARAT</v>
      </c>
      <c r="P2615" s="35" t="str">
        <f>IFERROR(__xludf.DUMMYFUNCTION("""COMPUTED_VALUE"""),"PONTIANAK")</f>
        <v>PONTIANAK</v>
      </c>
      <c r="Q2615" s="35" t="str">
        <f>IFERROR(__xludf.DUMMYFUNCTION("""COMPUTED_VALUE"""),"KALIMANTAN BARAT")</f>
        <v>KALIMANTAN BARAT</v>
      </c>
      <c r="R2615" s="21" t="str">
        <f>IFERROR(__xludf.DUMMYFUNCTION("""COMPUTED_VALUE"""),"ISLAM")</f>
        <v>ISLAM</v>
      </c>
      <c r="S2615" s="74" t="str">
        <f>IFERROR(__xludf.DUMMYFUNCTION("""COMPUTED_VALUE"""),"PENSIUNAN")</f>
        <v>PENSIUNAN</v>
      </c>
      <c r="T2615" s="35" t="str">
        <f>IFERROR(__xludf.DUMMYFUNCTION("""COMPUTED_VALUE"""),"KAKI SEDIKIT TERIK")</f>
        <v>KAKI SEDIKIT TERIK</v>
      </c>
      <c r="U2615" s="35" t="str">
        <f>IFERROR(__xludf.DUMMYFUNCTION("""COMPUTED_VALUE"""),"KEGIATAN DIRUMAH")</f>
        <v>KEGIATAN DIRUMAH</v>
      </c>
      <c r="V2615" s="37" t="str">
        <f>IFERROR(__xludf.DUMMYFUNCTION("""COMPUTED_VALUE"""),"085828720873")</f>
        <v>085828720873</v>
      </c>
      <c r="W2615" s="45"/>
    </row>
    <row r="2616">
      <c r="A2616" s="45"/>
      <c r="B2616" s="24" t="str">
        <f>IFERROR(__xludf.DUMMYFUNCTION("""COMPUTED_VALUE"""),"14/07/2025 14:18:30")</f>
        <v>14/07/2025 14:18:30</v>
      </c>
      <c r="C2616" s="35"/>
      <c r="D2616" s="10">
        <f>IFERROR(__xludf.DUMMYFUNCTION("""COMPUTED_VALUE"""),45852.0)</f>
        <v>45852</v>
      </c>
      <c r="E2616" s="35" t="str">
        <f>IFERROR(__xludf.DUMMYFUNCTION("""COMPUTED_VALUE"""),"07Jul")</f>
        <v>07Jul</v>
      </c>
      <c r="F2616" s="34" t="str">
        <f>IFERROR(__xludf.DUMMYFUNCTION("""COMPUTED_VALUE"""),"2025")</f>
        <v>2025</v>
      </c>
      <c r="G2616" s="35" t="str">
        <f>IFERROR(__xludf.DUMMYFUNCTION("""COMPUTED_VALUE"""),"SUWARNI")</f>
        <v>SUWARNI</v>
      </c>
      <c r="H2616" s="35" t="str">
        <f>IFERROR(__xludf.DUMMYFUNCTION("""COMPUTED_VALUE"""),"S6225076415")</f>
        <v>S6225076415</v>
      </c>
      <c r="I2616" s="35">
        <f>IFERROR(__xludf.DUMMYFUNCTION("""COMPUTED_VALUE"""),64.0)</f>
        <v>64</v>
      </c>
      <c r="J2616" s="35" t="str">
        <f>IFERROR(__xludf.DUMMYFUNCTION("""COMPUTED_VALUE"""),"&gt; 44 tahun")</f>
        <v>&gt; 44 tahun</v>
      </c>
      <c r="K2616" s="21" t="str">
        <f>IFERROR(__xludf.DUMMYFUNCTION("""COMPUTED_VALUE"""),"10/05/1962")</f>
        <v>10/05/1962</v>
      </c>
      <c r="L2616" s="21" t="str">
        <f>IFERROR(__xludf.DUMMYFUNCTION("""COMPUTED_VALUE"""),"PEREMPUAN")</f>
        <v>PEREMPUAN</v>
      </c>
      <c r="M2616" s="35" t="str">
        <f>IFERROR(__xludf.DUMMYFUNCTION("""COMPUTED_VALUE"""),"JL. WONOBARU GG. MADYOSARI")</f>
        <v>JL. WONOBARU GG. MADYOSARI</v>
      </c>
      <c r="N2616" s="35" t="str">
        <f>IFERROR(__xludf.DUMMYFUNCTION("""COMPUTED_VALUE"""),"AKCAYA")</f>
        <v>AKCAYA</v>
      </c>
      <c r="O2616" s="35" t="str">
        <f>IFERROR(__xludf.DUMMYFUNCTION("""COMPUTED_VALUE"""),"PONTIANAK SELATAN")</f>
        <v>PONTIANAK SELATAN</v>
      </c>
      <c r="P2616" s="35" t="str">
        <f>IFERROR(__xludf.DUMMYFUNCTION("""COMPUTED_VALUE"""),"KOTA PONTIANAK")</f>
        <v>KOTA PONTIANAK</v>
      </c>
      <c r="Q2616" s="35" t="str">
        <f>IFERROR(__xludf.DUMMYFUNCTION("""COMPUTED_VALUE"""),"KALIMANTAN BARAT")</f>
        <v>KALIMANTAN BARAT</v>
      </c>
      <c r="R2616" s="21" t="str">
        <f>IFERROR(__xludf.DUMMYFUNCTION("""COMPUTED_VALUE"""),"ISLAM")</f>
        <v>ISLAM</v>
      </c>
      <c r="S2616" s="74" t="str">
        <f>IFERROR(__xludf.DUMMYFUNCTION("""COMPUTED_VALUE"""),"PENSIUNAN PNS")</f>
        <v>PENSIUNAN PNS</v>
      </c>
      <c r="T2616" s="35" t="str">
        <f>IFERROR(__xludf.DUMMYFUNCTION("""COMPUTED_VALUE"""),"SAKIT BAHU SAMPAI LENGAN")</f>
        <v>SAKIT BAHU SAMPAI LENGAN</v>
      </c>
      <c r="U2616" s="35" t="str">
        <f>IFERROR(__xludf.DUMMYFUNCTION("""COMPUTED_VALUE"""),"MENGURUS RUMAH")</f>
        <v>MENGURUS RUMAH</v>
      </c>
      <c r="V2616" s="37" t="str">
        <f>IFERROR(__xludf.DUMMYFUNCTION("""COMPUTED_VALUE"""),"089618626415")</f>
        <v>089618626415</v>
      </c>
      <c r="W2616" s="45"/>
    </row>
    <row r="2617">
      <c r="A2617" s="45"/>
      <c r="B2617" s="24" t="str">
        <f>IFERROR(__xludf.DUMMYFUNCTION("""COMPUTED_VALUE"""),"14/07/2025 13:54:59")</f>
        <v>14/07/2025 13:54:59</v>
      </c>
      <c r="C2617" s="35"/>
      <c r="D2617" s="10">
        <f>IFERROR(__xludf.DUMMYFUNCTION("""COMPUTED_VALUE"""),45852.0)</f>
        <v>45852</v>
      </c>
      <c r="E2617" s="35" t="str">
        <f>IFERROR(__xludf.DUMMYFUNCTION("""COMPUTED_VALUE"""),"07Jul")</f>
        <v>07Jul</v>
      </c>
      <c r="F2617" s="34" t="str">
        <f>IFERROR(__xludf.DUMMYFUNCTION("""COMPUTED_VALUE"""),"2025")</f>
        <v>2025</v>
      </c>
      <c r="G2617" s="35" t="str">
        <f>IFERROR(__xludf.DUMMYFUNCTION("""COMPUTED_VALUE"""),"SELVIA RATNA SARIWEDI")</f>
        <v>SELVIA RATNA SARIWEDI</v>
      </c>
      <c r="H2617" s="35" t="str">
        <f>IFERROR(__xludf.DUMMYFUNCTION("""COMPUTED_VALUE"""),"S4525075406")</f>
        <v>S4525075406</v>
      </c>
      <c r="I2617" s="35">
        <f>IFERROR(__xludf.DUMMYFUNCTION("""COMPUTED_VALUE"""),80.0)</f>
        <v>80</v>
      </c>
      <c r="J2617" s="35" t="str">
        <f>IFERROR(__xludf.DUMMYFUNCTION("""COMPUTED_VALUE"""),"&gt; 44 tahun")</f>
        <v>&gt; 44 tahun</v>
      </c>
      <c r="K2617" s="21" t="str">
        <f>IFERROR(__xludf.DUMMYFUNCTION("""COMPUTED_VALUE"""),"08/12/1945")</f>
        <v>08/12/1945</v>
      </c>
      <c r="L2617" s="21" t="str">
        <f>IFERROR(__xludf.DUMMYFUNCTION("""COMPUTED_VALUE"""),"PEREMPUAN")</f>
        <v>PEREMPUAN</v>
      </c>
      <c r="M2617" s="35" t="str">
        <f>IFERROR(__xludf.DUMMYFUNCTION("""COMPUTED_VALUE"""),"JL.SISINGAMANGARAJA NO.26/47")</f>
        <v>JL.SISINGAMANGARAJA NO.26/47</v>
      </c>
      <c r="N2617" s="35" t="str">
        <f>IFERROR(__xludf.DUMMYFUNCTION("""COMPUTED_VALUE"""),"DARAT SEKIP.")</f>
        <v>DARAT SEKIP.</v>
      </c>
      <c r="O2617" s="35" t="str">
        <f>IFERROR(__xludf.DUMMYFUNCTION("""COMPUTED_VALUE"""),"PONTIANAK KOTA")</f>
        <v>PONTIANAK KOTA</v>
      </c>
      <c r="P2617" s="35" t="str">
        <f>IFERROR(__xludf.DUMMYFUNCTION("""COMPUTED_VALUE"""),"KOTA PONTIANAK")</f>
        <v>KOTA PONTIANAK</v>
      </c>
      <c r="Q2617" s="35" t="str">
        <f>IFERROR(__xludf.DUMMYFUNCTION("""COMPUTED_VALUE"""),"KALIMANTAN BARAT")</f>
        <v>KALIMANTAN BARAT</v>
      </c>
      <c r="R2617" s="21" t="str">
        <f>IFERROR(__xludf.DUMMYFUNCTION("""COMPUTED_VALUE"""),"KATOLIK")</f>
        <v>KATOLIK</v>
      </c>
      <c r="S2617" s="74" t="str">
        <f>IFERROR(__xludf.DUMMYFUNCTION("""COMPUTED_VALUE"""),"PENGURUS RUMAH TANGGA")</f>
        <v>PENGURUS RUMAH TANGGA</v>
      </c>
      <c r="T2617" s="35" t="str">
        <f>IFERROR(__xludf.DUMMYFUNCTION("""COMPUTED_VALUE"""),"DARAT SEKIP")</f>
        <v>DARAT SEKIP</v>
      </c>
      <c r="U2617" s="35" t="str">
        <f>IFERROR(__xludf.DUMMYFUNCTION("""COMPUTED_VALUE"""),"LATIHAN JALAN KELUAR MASUK DALAM RUMAH")</f>
        <v>LATIHAN JALAN KELUAR MASUK DALAM RUMAH</v>
      </c>
      <c r="V2617" s="37" t="str">
        <f>IFERROR(__xludf.DUMMYFUNCTION("""COMPUTED_VALUE"""),"081385785406")</f>
        <v>081385785406</v>
      </c>
      <c r="W2617" s="45"/>
    </row>
    <row r="2618">
      <c r="A2618" s="45"/>
      <c r="B2618" s="24" t="str">
        <f>IFERROR(__xludf.DUMMYFUNCTION("""COMPUTED_VALUE"""),"14/07/2025 15:48:25")</f>
        <v>14/07/2025 15:48:25</v>
      </c>
      <c r="C2618" s="35"/>
      <c r="D2618" s="10">
        <f>IFERROR(__xludf.DUMMYFUNCTION("""COMPUTED_VALUE"""),45852.0)</f>
        <v>45852</v>
      </c>
      <c r="E2618" s="35" t="str">
        <f>IFERROR(__xludf.DUMMYFUNCTION("""COMPUTED_VALUE"""),"07Jul")</f>
        <v>07Jul</v>
      </c>
      <c r="F2618" s="34" t="str">
        <f>IFERROR(__xludf.DUMMYFUNCTION("""COMPUTED_VALUE"""),"2025")</f>
        <v>2025</v>
      </c>
      <c r="G2618" s="35" t="str">
        <f>IFERROR(__xludf.DUMMYFUNCTION("""COMPUTED_VALUE"""),"VERA WARAWATY")</f>
        <v>VERA WARAWATY</v>
      </c>
      <c r="H2618" s="35" t="str">
        <f>IFERROR(__xludf.DUMMYFUNCTION("""COMPUTED_VALUE"""),"V8025076847")</f>
        <v>V8025076847</v>
      </c>
      <c r="I2618" s="35">
        <f>IFERROR(__xludf.DUMMYFUNCTION("""COMPUTED_VALUE"""),46.0)</f>
        <v>46</v>
      </c>
      <c r="J2618" s="35" t="str">
        <f>IFERROR(__xludf.DUMMYFUNCTION("""COMPUTED_VALUE"""),"&gt; 44 tahun")</f>
        <v>&gt; 44 tahun</v>
      </c>
      <c r="K2618" s="21" t="str">
        <f>IFERROR(__xludf.DUMMYFUNCTION("""COMPUTED_VALUE"""),"26/02/1980")</f>
        <v>26/02/1980</v>
      </c>
      <c r="L2618" s="21" t="str">
        <f>IFERROR(__xludf.DUMMYFUNCTION("""COMPUTED_VALUE"""),"PEREMPUAN")</f>
        <v>PEREMPUAN</v>
      </c>
      <c r="M2618" s="35" t="str">
        <f>IFERROR(__xludf.DUMMYFUNCTION("""COMPUTED_VALUE"""),"JL PULAU TEMIANG RAYA NO 7 KOMPLEK TNI AL")</f>
        <v>JL PULAU TEMIANG RAYA NO 7 KOMPLEK TNI AL</v>
      </c>
      <c r="N2618" s="35" t="str">
        <f>IFERROR(__xludf.DUMMYFUNCTION("""COMPUTED_VALUE"""),"KELAPA GADING BARAT")</f>
        <v>KELAPA GADING BARAT</v>
      </c>
      <c r="O2618" s="35" t="str">
        <f>IFERROR(__xludf.DUMMYFUNCTION("""COMPUTED_VALUE"""),"KELAPA GADING")</f>
        <v>KELAPA GADING</v>
      </c>
      <c r="P2618" s="35" t="str">
        <f>IFERROR(__xludf.DUMMYFUNCTION("""COMPUTED_VALUE"""),"JAKARTA UTARA")</f>
        <v>JAKARTA UTARA</v>
      </c>
      <c r="Q2618" s="35" t="str">
        <f>IFERROR(__xludf.DUMMYFUNCTION("""COMPUTED_VALUE"""),"DKI JAKARTA")</f>
        <v>DKI JAKARTA</v>
      </c>
      <c r="R2618" s="21" t="str">
        <f>IFERROR(__xludf.DUMMYFUNCTION("""COMPUTED_VALUE"""),"ISLAM")</f>
        <v>ISLAM</v>
      </c>
      <c r="S2618" s="74" t="str">
        <f>IFERROR(__xludf.DUMMYFUNCTION("""COMPUTED_VALUE"""),"IBU RUMAH TANGGA")</f>
        <v>IBU RUMAH TANGGA</v>
      </c>
      <c r="T2618" s="35" t="str">
        <f>IFERROR(__xludf.DUMMYFUNCTION("""COMPUTED_VALUE"""),"TANGAN KIRI SERING KRAM, TIDAK BISA BEBAN BERAT")</f>
        <v>TANGAN KIRI SERING KRAM, TIDAK BISA BEBAN BERAT</v>
      </c>
      <c r="U2618" s="35" t="str">
        <f>IFERROR(__xludf.DUMMYFUNCTION("""COMPUTED_VALUE"""),"-")</f>
        <v>-</v>
      </c>
      <c r="V2618" s="37" t="str">
        <f>IFERROR(__xludf.DUMMYFUNCTION("""COMPUTED_VALUE"""),"081270076847")</f>
        <v>081270076847</v>
      </c>
      <c r="W2618" s="45"/>
    </row>
    <row r="2619">
      <c r="A2619" s="45"/>
      <c r="B2619" s="24" t="str">
        <f>IFERROR(__xludf.DUMMYFUNCTION("""COMPUTED_VALUE"""),"14/07/2025 19:41:58")</f>
        <v>14/07/2025 19:41:58</v>
      </c>
      <c r="C2619" s="35"/>
      <c r="D2619" s="10">
        <f>IFERROR(__xludf.DUMMYFUNCTION("""COMPUTED_VALUE"""),45852.0)</f>
        <v>45852</v>
      </c>
      <c r="E2619" s="35" t="str">
        <f>IFERROR(__xludf.DUMMYFUNCTION("""COMPUTED_VALUE"""),"07Jul")</f>
        <v>07Jul</v>
      </c>
      <c r="F2619" s="34" t="str">
        <f>IFERROR(__xludf.DUMMYFUNCTION("""COMPUTED_VALUE"""),"2025")</f>
        <v>2025</v>
      </c>
      <c r="G2619" s="35" t="str">
        <f>IFERROR(__xludf.DUMMYFUNCTION("""COMPUTED_VALUE"""),"JONI")</f>
        <v>JONI</v>
      </c>
      <c r="H2619" s="35" t="str">
        <f>IFERROR(__xludf.DUMMYFUNCTION("""COMPUTED_VALUE"""),"J7725076552")</f>
        <v>J7725076552</v>
      </c>
      <c r="I2619" s="35">
        <f>IFERROR(__xludf.DUMMYFUNCTION("""COMPUTED_VALUE"""),48.0)</f>
        <v>48</v>
      </c>
      <c r="J2619" s="35" t="str">
        <f>IFERROR(__xludf.DUMMYFUNCTION("""COMPUTED_VALUE"""),"&gt; 44 tahun")</f>
        <v>&gt; 44 tahun</v>
      </c>
      <c r="K2619" s="21" t="str">
        <f>IFERROR(__xludf.DUMMYFUNCTION("""COMPUTED_VALUE"""),"25/12/1977")</f>
        <v>25/12/1977</v>
      </c>
      <c r="L2619" s="21" t="str">
        <f>IFERROR(__xludf.DUMMYFUNCTION("""COMPUTED_VALUE"""),"LAKI-LAKI")</f>
        <v>LAKI-LAKI</v>
      </c>
      <c r="M2619" s="35" t="str">
        <f>IFERROR(__xludf.DUMMYFUNCTION("""COMPUTED_VALUE"""),"JALAN RAYA DESA SELANGE")</f>
        <v>JALAN RAYA DESA SELANGE</v>
      </c>
      <c r="N2619" s="35" t="str">
        <f>IFERROR(__xludf.DUMMYFUNCTION("""COMPUTED_VALUE"""),"DESA. SELANGE")</f>
        <v>DESA. SELANGE</v>
      </c>
      <c r="O2619" s="35" t="str">
        <f>IFERROR(__xludf.DUMMYFUNCTION("""COMPUTED_VALUE"""),"KEC.MERANTI")</f>
        <v>KEC.MERANTI</v>
      </c>
      <c r="P2619" s="35" t="str">
        <f>IFERROR(__xludf.DUMMYFUNCTION("""COMPUTED_VALUE"""),"KAB.LANDAK")</f>
        <v>KAB.LANDAK</v>
      </c>
      <c r="Q2619" s="35" t="str">
        <f>IFERROR(__xludf.DUMMYFUNCTION("""COMPUTED_VALUE"""),"KALIMANTAN BARAT")</f>
        <v>KALIMANTAN BARAT</v>
      </c>
      <c r="R2619" s="21" t="str">
        <f>IFERROR(__xludf.DUMMYFUNCTION("""COMPUTED_VALUE"""),"PROTESTAN")</f>
        <v>PROTESTAN</v>
      </c>
      <c r="S2619" s="74" t="str">
        <f>IFERROR(__xludf.DUMMYFUNCTION("""COMPUTED_VALUE"""),"PETANI")</f>
        <v>PETANI</v>
      </c>
      <c r="T2619" s="35" t="str">
        <f>IFERROR(__xludf.DUMMYFUNCTION("""COMPUTED_VALUE"""),"SETROK,BADAN BAGIAN KANA,KANI DAN KANA TIDAK BISA DI GERAKAN")</f>
        <v>SETROK,BADAN BAGIAN KANA,KANI DAN KANA TIDAK BISA DI GERAKAN</v>
      </c>
      <c r="U2619" s="35" t="str">
        <f>IFERROR(__xludf.DUMMYFUNCTION("""COMPUTED_VALUE"""),"PERKERJAAN BENAT")</f>
        <v>PERKERJAAN BENAT</v>
      </c>
      <c r="V2619" s="37" t="str">
        <f>IFERROR(__xludf.DUMMYFUNCTION("""COMPUTED_VALUE"""),"082352496552")</f>
        <v>082352496552</v>
      </c>
      <c r="W2619" s="45"/>
    </row>
    <row r="2620">
      <c r="A2620" s="45"/>
      <c r="B2620" s="24" t="str">
        <f>IFERROR(__xludf.DUMMYFUNCTION("""COMPUTED_VALUE"""),"14/07/2025 21:13:07")</f>
        <v>14/07/2025 21:13:07</v>
      </c>
      <c r="C2620" s="35"/>
      <c r="D2620" s="10">
        <f>IFERROR(__xludf.DUMMYFUNCTION("""COMPUTED_VALUE"""),45852.0)</f>
        <v>45852</v>
      </c>
      <c r="E2620" s="35" t="str">
        <f>IFERROR(__xludf.DUMMYFUNCTION("""COMPUTED_VALUE"""),"07Jul")</f>
        <v>07Jul</v>
      </c>
      <c r="F2620" s="34" t="str">
        <f>IFERROR(__xludf.DUMMYFUNCTION("""COMPUTED_VALUE"""),"2025")</f>
        <v>2025</v>
      </c>
      <c r="G2620" s="35" t="str">
        <f>IFERROR(__xludf.DUMMYFUNCTION("""COMPUTED_VALUE"""),"MIKTAMI CHRISTOFEN TANG")</f>
        <v>MIKTAMI CHRISTOFEN TANG</v>
      </c>
      <c r="H2620" s="35" t="str">
        <f>IFERROR(__xludf.DUMMYFUNCTION("""COMPUTED_VALUE"""),"M9525072439")</f>
        <v>M9525072439</v>
      </c>
      <c r="I2620" s="35">
        <f>IFERROR(__xludf.DUMMYFUNCTION("""COMPUTED_VALUE"""),31.0)</f>
        <v>31</v>
      </c>
      <c r="J2620" s="35" t="str">
        <f>IFERROR(__xludf.DUMMYFUNCTION("""COMPUTED_VALUE"""),"25-34 tahun")</f>
        <v>25-34 tahun</v>
      </c>
      <c r="K2620" s="21" t="str">
        <f>IFERROR(__xludf.DUMMYFUNCTION("""COMPUTED_VALUE"""),"22/04/1995")</f>
        <v>22/04/1995</v>
      </c>
      <c r="L2620" s="21" t="str">
        <f>IFERROR(__xludf.DUMMYFUNCTION("""COMPUTED_VALUE"""),"PEREMPUAN")</f>
        <v>PEREMPUAN</v>
      </c>
      <c r="M2620" s="35" t="str">
        <f>IFERROR(__xludf.DUMMYFUNCTION("""COMPUTED_VALUE"""),"JL SUTOMO GG PLN NO C1")</f>
        <v>JL SUTOMO GG PLN NO C1</v>
      </c>
      <c r="N2620" s="35" t="str">
        <f>IFERROR(__xludf.DUMMYFUNCTION("""COMPUTED_VALUE"""),"SEKIP")</f>
        <v>SEKIP</v>
      </c>
      <c r="O2620" s="35" t="str">
        <f>IFERROR(__xludf.DUMMYFUNCTION("""COMPUTED_VALUE"""),"LIMA PULUH")</f>
        <v>LIMA PULUH</v>
      </c>
      <c r="P2620" s="35" t="str">
        <f>IFERROR(__xludf.DUMMYFUNCTION("""COMPUTED_VALUE"""),"PEKANBARU")</f>
        <v>PEKANBARU</v>
      </c>
      <c r="Q2620" s="35" t="str">
        <f>IFERROR(__xludf.DUMMYFUNCTION("""COMPUTED_VALUE"""),"RIAU")</f>
        <v>RIAU</v>
      </c>
      <c r="R2620" s="21" t="str">
        <f>IFERROR(__xludf.DUMMYFUNCTION("""COMPUTED_VALUE"""),"PROTESTAN")</f>
        <v>PROTESTAN</v>
      </c>
      <c r="S2620" s="74" t="str">
        <f>IFERROR(__xludf.DUMMYFUNCTION("""COMPUTED_VALUE"""),"GURU")</f>
        <v>GURU</v>
      </c>
      <c r="T2620" s="35" t="str">
        <f>IFERROR(__xludf.DUMMYFUNCTION("""COMPUTED_VALUE"""),"BELIKAT BERMASALAH")</f>
        <v>BELIKAT BERMASALAH</v>
      </c>
      <c r="U2620" s="35" t="str">
        <f>IFERROR(__xludf.DUMMYFUNCTION("""COMPUTED_VALUE"""),"NGAJAR PIANO, NGEGYM")</f>
        <v>NGAJAR PIANO, NGEGYM</v>
      </c>
      <c r="V2620" s="37" t="str">
        <f>IFERROR(__xludf.DUMMYFUNCTION("""COMPUTED_VALUE"""),"081358942439")</f>
        <v>081358942439</v>
      </c>
      <c r="W2620" s="45"/>
    </row>
    <row r="2621">
      <c r="A2621" s="45"/>
      <c r="B2621" s="24" t="str">
        <f>IFERROR(__xludf.DUMMYFUNCTION("""COMPUTED_VALUE"""),"15/07/2025 11:08:37")</f>
        <v>15/07/2025 11:08:37</v>
      </c>
      <c r="C2621" s="35"/>
      <c r="D2621" s="10">
        <f>IFERROR(__xludf.DUMMYFUNCTION("""COMPUTED_VALUE"""),45853.0)</f>
        <v>45853</v>
      </c>
      <c r="E2621" s="35" t="str">
        <f>IFERROR(__xludf.DUMMYFUNCTION("""COMPUTED_VALUE"""),"07Jul")</f>
        <v>07Jul</v>
      </c>
      <c r="F2621" s="34" t="str">
        <f>IFERROR(__xludf.DUMMYFUNCTION("""COMPUTED_VALUE"""),"2025")</f>
        <v>2025</v>
      </c>
      <c r="G2621" s="35" t="str">
        <f>IFERROR(__xludf.DUMMYFUNCTION("""COMPUTED_VALUE"""),"MARZUKI")</f>
        <v>MARZUKI</v>
      </c>
      <c r="H2621" s="35" t="str">
        <f>IFERROR(__xludf.DUMMYFUNCTION("""COMPUTED_VALUE"""),"M6425072111")</f>
        <v>M6425072111</v>
      </c>
      <c r="I2621" s="35">
        <f>IFERROR(__xludf.DUMMYFUNCTION("""COMPUTED_VALUE"""),61.0)</f>
        <v>61</v>
      </c>
      <c r="J2621" s="35" t="str">
        <f>IFERROR(__xludf.DUMMYFUNCTION("""COMPUTED_VALUE"""),"&gt; 44 tahun")</f>
        <v>&gt; 44 tahun</v>
      </c>
      <c r="K2621" s="21" t="str">
        <f>IFERROR(__xludf.DUMMYFUNCTION("""COMPUTED_VALUE"""),"26/07/1964")</f>
        <v>26/07/1964</v>
      </c>
      <c r="L2621" s="21" t="str">
        <f>IFERROR(__xludf.DUMMYFUNCTION("""COMPUTED_VALUE"""),"LAKI-LAKI")</f>
        <v>LAKI-LAKI</v>
      </c>
      <c r="M2621" s="35" t="str">
        <f>IFERROR(__xludf.DUMMYFUNCTION("""COMPUTED_VALUE"""),"SINTANG")</f>
        <v>SINTANG</v>
      </c>
      <c r="N2621" s="35" t="str">
        <f>IFERROR(__xludf.DUMMYFUNCTION("""COMPUTED_VALUE"""),"SINTANG")</f>
        <v>SINTANG</v>
      </c>
      <c r="O2621" s="35" t="str">
        <f>IFERROR(__xludf.DUMMYFUNCTION("""COMPUTED_VALUE"""),"SINTANG")</f>
        <v>SINTANG</v>
      </c>
      <c r="P2621" s="35" t="str">
        <f>IFERROR(__xludf.DUMMYFUNCTION("""COMPUTED_VALUE"""),"SINTANG")</f>
        <v>SINTANG</v>
      </c>
      <c r="Q2621" s="35" t="str">
        <f>IFERROR(__xludf.DUMMYFUNCTION("""COMPUTED_VALUE"""),"KALBAR")</f>
        <v>KALBAR</v>
      </c>
      <c r="R2621" s="21" t="str">
        <f>IFERROR(__xludf.DUMMYFUNCTION("""COMPUTED_VALUE"""),"KHONGHUCU")</f>
        <v>KHONGHUCU</v>
      </c>
      <c r="S2621" s="74" t="str">
        <f>IFERROR(__xludf.DUMMYFUNCTION("""COMPUTED_VALUE"""),"SWASTA")</f>
        <v>SWASTA</v>
      </c>
      <c r="T2621" s="35" t="str">
        <f>IFERROR(__xludf.DUMMYFUNCTION("""COMPUTED_VALUE"""),"KAKIBKANAN BAGIAN LUTUT")</f>
        <v>KAKIBKANAN BAGIAN LUTUT</v>
      </c>
      <c r="U2621" s="35" t="str">
        <f>IFERROR(__xludf.DUMMYFUNCTION("""COMPUTED_VALUE"""),"JALAN PAGJ")</f>
        <v>JALAN PAGJ</v>
      </c>
      <c r="V2621" s="37" t="str">
        <f>IFERROR(__xludf.DUMMYFUNCTION("""COMPUTED_VALUE"""),"081252222111")</f>
        <v>081252222111</v>
      </c>
      <c r="W2621" s="45"/>
    </row>
    <row r="2622">
      <c r="A2622" s="45"/>
      <c r="B2622" s="24" t="str">
        <f>IFERROR(__xludf.DUMMYFUNCTION("""COMPUTED_VALUE"""),"15/07/2025 13:15:01")</f>
        <v>15/07/2025 13:15:01</v>
      </c>
      <c r="C2622" s="35"/>
      <c r="D2622" s="10">
        <f>IFERROR(__xludf.DUMMYFUNCTION("""COMPUTED_VALUE"""),45853.0)</f>
        <v>45853</v>
      </c>
      <c r="E2622" s="35" t="str">
        <f>IFERROR(__xludf.DUMMYFUNCTION("""COMPUTED_VALUE"""),"07Jul")</f>
        <v>07Jul</v>
      </c>
      <c r="F2622" s="34" t="str">
        <f>IFERROR(__xludf.DUMMYFUNCTION("""COMPUTED_VALUE"""),"2025")</f>
        <v>2025</v>
      </c>
      <c r="G2622" s="35" t="str">
        <f>IFERROR(__xludf.DUMMYFUNCTION("""COMPUTED_VALUE"""),"SALIMAN")</f>
        <v>SALIMAN</v>
      </c>
      <c r="H2622" s="35" t="str">
        <f>IFERROR(__xludf.DUMMYFUNCTION("""COMPUTED_VALUE"""),"S7425075731")</f>
        <v>S7425075731</v>
      </c>
      <c r="I2622" s="35">
        <f>IFERROR(__xludf.DUMMYFUNCTION("""COMPUTED_VALUE"""),52.0)</f>
        <v>52</v>
      </c>
      <c r="J2622" s="35" t="str">
        <f>IFERROR(__xludf.DUMMYFUNCTION("""COMPUTED_VALUE"""),"&gt; 44 tahun")</f>
        <v>&gt; 44 tahun</v>
      </c>
      <c r="K2622" s="21" t="str">
        <f>IFERROR(__xludf.DUMMYFUNCTION("""COMPUTED_VALUE"""),"29/01/1974")</f>
        <v>29/01/1974</v>
      </c>
      <c r="L2622" s="21" t="str">
        <f>IFERROR(__xludf.DUMMYFUNCTION("""COMPUTED_VALUE"""),"LAKI-LAKI")</f>
        <v>LAKI-LAKI</v>
      </c>
      <c r="M2622" s="35" t="str">
        <f>IFERROR(__xludf.DUMMYFUNCTION("""COMPUTED_VALUE"""),"JL SELAT SUMBA DALAM GG MELATI 2")</f>
        <v>JL SELAT SUMBA DALAM GG MELATI 2</v>
      </c>
      <c r="N2622" s="35" t="str">
        <f>IFERROR(__xludf.DUMMYFUNCTION("""COMPUTED_VALUE"""),"SIANTAN TENGAH")</f>
        <v>SIANTAN TENGAH</v>
      </c>
      <c r="O2622" s="35" t="str">
        <f>IFERROR(__xludf.DUMMYFUNCTION("""COMPUTED_VALUE"""),"PONTIANAK UTARA")</f>
        <v>PONTIANAK UTARA</v>
      </c>
      <c r="P2622" s="35" t="str">
        <f>IFERROR(__xludf.DUMMYFUNCTION("""COMPUTED_VALUE"""),"PONTIANAK")</f>
        <v>PONTIANAK</v>
      </c>
      <c r="Q2622" s="35" t="str">
        <f>IFERROR(__xludf.DUMMYFUNCTION("""COMPUTED_VALUE"""),"KALIMANTAN BARAT")</f>
        <v>KALIMANTAN BARAT</v>
      </c>
      <c r="R2622" s="21" t="str">
        <f>IFERROR(__xludf.DUMMYFUNCTION("""COMPUTED_VALUE"""),"ISLAM")</f>
        <v>ISLAM</v>
      </c>
      <c r="S2622" s="74" t="str">
        <f>IFERROR(__xludf.DUMMYFUNCTION("""COMPUTED_VALUE"""),"SUPIR")</f>
        <v>SUPIR</v>
      </c>
      <c r="T2622" s="35" t="str">
        <f>IFERROR(__xludf.DUMMYFUNCTION("""COMPUTED_VALUE"""),"LENGAN TERASA NGILU")</f>
        <v>LENGAN TERASA NGILU</v>
      </c>
      <c r="U2622" s="35" t="str">
        <f>IFERROR(__xludf.DUMMYFUNCTION("""COMPUTED_VALUE"""),"SUPIR DAN ANGKUT BERAT")</f>
        <v>SUPIR DAN ANGKUT BERAT</v>
      </c>
      <c r="V2622" s="37" t="str">
        <f>IFERROR(__xludf.DUMMYFUNCTION("""COMPUTED_VALUE"""),"087771745731")</f>
        <v>087771745731</v>
      </c>
      <c r="W2622" s="45"/>
    </row>
    <row r="2623">
      <c r="A2623" s="45"/>
      <c r="B2623" s="24" t="str">
        <f>IFERROR(__xludf.DUMMYFUNCTION("""COMPUTED_VALUE"""),"15/07/2025 13:25:06")</f>
        <v>15/07/2025 13:25:06</v>
      </c>
      <c r="C2623" s="35"/>
      <c r="D2623" s="10">
        <f>IFERROR(__xludf.DUMMYFUNCTION("""COMPUTED_VALUE"""),45853.0)</f>
        <v>45853</v>
      </c>
      <c r="E2623" s="35" t="str">
        <f>IFERROR(__xludf.DUMMYFUNCTION("""COMPUTED_VALUE"""),"07Jul")</f>
        <v>07Jul</v>
      </c>
      <c r="F2623" s="34" t="str">
        <f>IFERROR(__xludf.DUMMYFUNCTION("""COMPUTED_VALUE"""),"2025")</f>
        <v>2025</v>
      </c>
      <c r="G2623" s="35" t="str">
        <f>IFERROR(__xludf.DUMMYFUNCTION("""COMPUTED_VALUE"""),"M. NUR")</f>
        <v>M. NUR</v>
      </c>
      <c r="H2623" s="35" t="str">
        <f>IFERROR(__xludf.DUMMYFUNCTION("""COMPUTED_VALUE"""),"M5625071964")</f>
        <v>M5625071964</v>
      </c>
      <c r="I2623" s="35">
        <f>IFERROR(__xludf.DUMMYFUNCTION("""COMPUTED_VALUE"""),69.0)</f>
        <v>69</v>
      </c>
      <c r="J2623" s="35" t="str">
        <f>IFERROR(__xludf.DUMMYFUNCTION("""COMPUTED_VALUE"""),"&gt; 44 tahun")</f>
        <v>&gt; 44 tahun</v>
      </c>
      <c r="K2623" s="21" t="str">
        <f>IFERROR(__xludf.DUMMYFUNCTION("""COMPUTED_VALUE"""),"18/12/1956")</f>
        <v>18/12/1956</v>
      </c>
      <c r="L2623" s="21" t="str">
        <f>IFERROR(__xludf.DUMMYFUNCTION("""COMPUTED_VALUE"""),"LAKI-LAKI")</f>
        <v>LAKI-LAKI</v>
      </c>
      <c r="M2623" s="35" t="str">
        <f>IFERROR(__xludf.DUMMYFUNCTION("""COMPUTED_VALUE"""),"JLN PURNAMA GG PURNAMA 1 NO. 11")</f>
        <v>JLN PURNAMA GG PURNAMA 1 NO. 11</v>
      </c>
      <c r="N2623" s="35" t="str">
        <f>IFERROR(__xludf.DUMMYFUNCTION("""COMPUTED_VALUE"""),"PARIT TOKAYA")</f>
        <v>PARIT TOKAYA</v>
      </c>
      <c r="O2623" s="35" t="str">
        <f>IFERROR(__xludf.DUMMYFUNCTION("""COMPUTED_VALUE"""),"PONTIANAK SELATAN")</f>
        <v>PONTIANAK SELATAN</v>
      </c>
      <c r="P2623" s="35" t="str">
        <f>IFERROR(__xludf.DUMMYFUNCTION("""COMPUTED_VALUE"""),"PONTIANAK")</f>
        <v>PONTIANAK</v>
      </c>
      <c r="Q2623" s="35" t="str">
        <f>IFERROR(__xludf.DUMMYFUNCTION("""COMPUTED_VALUE"""),"KALIMANTAN BARAT")</f>
        <v>KALIMANTAN BARAT</v>
      </c>
      <c r="R2623" s="21" t="str">
        <f>IFERROR(__xludf.DUMMYFUNCTION("""COMPUTED_VALUE"""),"ISLAM")</f>
        <v>ISLAM</v>
      </c>
      <c r="S2623" s="74" t="str">
        <f>IFERROR(__xludf.DUMMYFUNCTION("""COMPUTED_VALUE"""),"PENSIUNAN")</f>
        <v>PENSIUNAN</v>
      </c>
      <c r="T2623" s="35" t="str">
        <f>IFERROR(__xludf.DUMMYFUNCTION("""COMPUTED_VALUE"""),"PIRIFORMIS SYNDROME")</f>
        <v>PIRIFORMIS SYNDROME</v>
      </c>
      <c r="U2623" s="35" t="str">
        <f>IFERROR(__xludf.DUMMYFUNCTION("""COMPUTED_VALUE"""),"-")</f>
        <v>-</v>
      </c>
      <c r="V2623" s="37" t="str">
        <f>IFERROR(__xludf.DUMMYFUNCTION("""COMPUTED_VALUE"""),"082194261964")</f>
        <v>082194261964</v>
      </c>
      <c r="W2623" s="45"/>
    </row>
    <row r="2624">
      <c r="A2624" s="45"/>
      <c r="B2624" s="24" t="str">
        <f>IFERROR(__xludf.DUMMYFUNCTION("""COMPUTED_VALUE"""),"15/07/2025 13:38:07")</f>
        <v>15/07/2025 13:38:07</v>
      </c>
      <c r="C2624" s="35"/>
      <c r="D2624" s="10">
        <f>IFERROR(__xludf.DUMMYFUNCTION("""COMPUTED_VALUE"""),45853.0)</f>
        <v>45853</v>
      </c>
      <c r="E2624" s="35" t="str">
        <f>IFERROR(__xludf.DUMMYFUNCTION("""COMPUTED_VALUE"""),"07Jul")</f>
        <v>07Jul</v>
      </c>
      <c r="F2624" s="34" t="str">
        <f>IFERROR(__xludf.DUMMYFUNCTION("""COMPUTED_VALUE"""),"2025")</f>
        <v>2025</v>
      </c>
      <c r="G2624" s="35" t="str">
        <f>IFERROR(__xludf.DUMMYFUNCTION("""COMPUTED_VALUE"""),"KURNIYAWATI")</f>
        <v>KURNIYAWATI</v>
      </c>
      <c r="H2624" s="35" t="str">
        <f>IFERROR(__xludf.DUMMYFUNCTION("""COMPUTED_VALUE"""),"K0325071771")</f>
        <v>K0325071771</v>
      </c>
      <c r="I2624" s="35">
        <f>IFERROR(__xludf.DUMMYFUNCTION("""COMPUTED_VALUE"""),22.0)</f>
        <v>22</v>
      </c>
      <c r="J2624" s="35" t="str">
        <f>IFERROR(__xludf.DUMMYFUNCTION("""COMPUTED_VALUE"""),"18-24 tahun")</f>
        <v>18-24 tahun</v>
      </c>
      <c r="K2624" s="21" t="str">
        <f>IFERROR(__xludf.DUMMYFUNCTION("""COMPUTED_VALUE"""),"27/11/2003")</f>
        <v>27/11/2003</v>
      </c>
      <c r="L2624" s="21" t="str">
        <f>IFERROR(__xludf.DUMMYFUNCTION("""COMPUTED_VALUE"""),"PEREMPUAN")</f>
        <v>PEREMPUAN</v>
      </c>
      <c r="M2624" s="35" t="str">
        <f>IFERROR(__xludf.DUMMYFUNCTION("""COMPUTED_VALUE"""),"DSN. GALA")</f>
        <v>DSN. GALA</v>
      </c>
      <c r="N2624" s="35" t="str">
        <f>IFERROR(__xludf.DUMMYFUNCTION("""COMPUTED_VALUE"""),"LANDAU TUBUN")</f>
        <v>LANDAU TUBUN</v>
      </c>
      <c r="O2624" s="35" t="str">
        <f>IFERROR(__xludf.DUMMYFUNCTION("""COMPUTED_VALUE"""),"PINOH SELATAN")</f>
        <v>PINOH SELATAN</v>
      </c>
      <c r="P2624" s="35" t="str">
        <f>IFERROR(__xludf.DUMMYFUNCTION("""COMPUTED_VALUE"""),"KAB. MELAWI")</f>
        <v>KAB. MELAWI</v>
      </c>
      <c r="Q2624" s="35" t="str">
        <f>IFERROR(__xludf.DUMMYFUNCTION("""COMPUTED_VALUE"""),"KALIMANTAN BARAT")</f>
        <v>KALIMANTAN BARAT</v>
      </c>
      <c r="R2624" s="21" t="str">
        <f>IFERROR(__xludf.DUMMYFUNCTION("""COMPUTED_VALUE"""),"ISLAM")</f>
        <v>ISLAM</v>
      </c>
      <c r="S2624" s="74" t="str">
        <f>IFERROR(__xludf.DUMMYFUNCTION("""COMPUTED_VALUE"""),"PELAJAR/MAHASISWA")</f>
        <v>PELAJAR/MAHASISWA</v>
      </c>
      <c r="T2624" s="35" t="str">
        <f>IFERROR(__xludf.DUMMYFUNCTION("""COMPUTED_VALUE"""),"LUTUT KANAN")</f>
        <v>LUTUT KANAN</v>
      </c>
      <c r="U2624" s="35" t="str">
        <f>IFERROR(__xludf.DUMMYFUNCTION("""COMPUTED_VALUE"""),"FUTSAL")</f>
        <v>FUTSAL</v>
      </c>
      <c r="V2624" s="37" t="str">
        <f>IFERROR(__xludf.DUMMYFUNCTION("""COMPUTED_VALUE"""),"085389061771")</f>
        <v>085389061771</v>
      </c>
      <c r="W2624" s="45"/>
    </row>
    <row r="2625">
      <c r="A2625" s="45"/>
      <c r="B2625" s="24" t="str">
        <f>IFERROR(__xludf.DUMMYFUNCTION("""COMPUTED_VALUE"""),"16/07/2025 9:06:33")</f>
        <v>16/07/2025 9:06:33</v>
      </c>
      <c r="C2625" s="35"/>
      <c r="D2625" s="10">
        <f>IFERROR(__xludf.DUMMYFUNCTION("""COMPUTED_VALUE"""),45854.0)</f>
        <v>45854</v>
      </c>
      <c r="E2625" s="35" t="str">
        <f>IFERROR(__xludf.DUMMYFUNCTION("""COMPUTED_VALUE"""),"07Jul")</f>
        <v>07Jul</v>
      </c>
      <c r="F2625" s="34" t="str">
        <f>IFERROR(__xludf.DUMMYFUNCTION("""COMPUTED_VALUE"""),"2025")</f>
        <v>2025</v>
      </c>
      <c r="G2625" s="35" t="str">
        <f>IFERROR(__xludf.DUMMYFUNCTION("""COMPUTED_VALUE"""),"ILHAM MUTTAKIN")</f>
        <v>ILHAM MUTTAKIN</v>
      </c>
      <c r="H2625" s="35" t="str">
        <f>IFERROR(__xludf.DUMMYFUNCTION("""COMPUTED_VALUE"""),"I9925074687")</f>
        <v>I9925074687</v>
      </c>
      <c r="I2625" s="35">
        <f>IFERROR(__xludf.DUMMYFUNCTION("""COMPUTED_VALUE"""),26.0)</f>
        <v>26</v>
      </c>
      <c r="J2625" s="35" t="str">
        <f>IFERROR(__xludf.DUMMYFUNCTION("""COMPUTED_VALUE"""),"25-34 tahun")</f>
        <v>25-34 tahun</v>
      </c>
      <c r="K2625" s="21" t="str">
        <f>IFERROR(__xludf.DUMMYFUNCTION("""COMPUTED_VALUE"""),"31/07/1999")</f>
        <v>31/07/1999</v>
      </c>
      <c r="L2625" s="21" t="str">
        <f>IFERROR(__xludf.DUMMYFUNCTION("""COMPUTED_VALUE"""),"LAKI-LAKI")</f>
        <v>LAKI-LAKI</v>
      </c>
      <c r="M2625" s="35" t="str">
        <f>IFERROR(__xludf.DUMMYFUNCTION("""COMPUTED_VALUE"""),"JLN TANJUNG HARAPAN GG M TAUFIK")</f>
        <v>JLN TANJUNG HARAPAN GG M TAUFIK</v>
      </c>
      <c r="N2625" s="35" t="str">
        <f>IFERROR(__xludf.DUMMYFUNCTION("""COMPUTED_VALUE"""),"BANJAR SERASAN")</f>
        <v>BANJAR SERASAN</v>
      </c>
      <c r="O2625" s="35" t="str">
        <f>IFERROR(__xludf.DUMMYFUNCTION("""COMPUTED_VALUE"""),"PONTIANAK TIMUR")</f>
        <v>PONTIANAK TIMUR</v>
      </c>
      <c r="P2625" s="35" t="str">
        <f>IFERROR(__xludf.DUMMYFUNCTION("""COMPUTED_VALUE"""),"PONTIANAK")</f>
        <v>PONTIANAK</v>
      </c>
      <c r="Q2625" s="35" t="str">
        <f>IFERROR(__xludf.DUMMYFUNCTION("""COMPUTED_VALUE"""),"KALIMANTAN BARAT")</f>
        <v>KALIMANTAN BARAT</v>
      </c>
      <c r="R2625" s="21" t="str">
        <f>IFERROR(__xludf.DUMMYFUNCTION("""COMPUTED_VALUE"""),"ISLAM")</f>
        <v>ISLAM</v>
      </c>
      <c r="S2625" s="74" t="str">
        <f>IFERROR(__xludf.DUMMYFUNCTION("""COMPUTED_VALUE"""),"SATPAM")</f>
        <v>SATPAM</v>
      </c>
      <c r="T2625" s="35" t="str">
        <f>IFERROR(__xludf.DUMMYFUNCTION("""COMPUTED_VALUE"""),"SUSAH BERNAPAS BAGIAN DADA")</f>
        <v>SUSAH BERNAPAS BAGIAN DADA</v>
      </c>
      <c r="U2625" s="35" t="str">
        <f>IFERROR(__xludf.DUMMYFUNCTION("""COMPUTED_VALUE"""),"OLAHRAGA")</f>
        <v>OLAHRAGA</v>
      </c>
      <c r="V2625" s="37" t="str">
        <f>IFERROR(__xludf.DUMMYFUNCTION("""COMPUTED_VALUE"""),"0895346784687")</f>
        <v>0895346784687</v>
      </c>
      <c r="W2625" s="45"/>
    </row>
    <row r="2626">
      <c r="A2626" s="45"/>
      <c r="B2626" s="24" t="str">
        <f>IFERROR(__xludf.DUMMYFUNCTION("""COMPUTED_VALUE"""),"16/07/2025 10:01:12")</f>
        <v>16/07/2025 10:01:12</v>
      </c>
      <c r="C2626" s="35"/>
      <c r="D2626" s="10">
        <f>IFERROR(__xludf.DUMMYFUNCTION("""COMPUTED_VALUE"""),45854.0)</f>
        <v>45854</v>
      </c>
      <c r="E2626" s="35" t="str">
        <f>IFERROR(__xludf.DUMMYFUNCTION("""COMPUTED_VALUE"""),"07Jul")</f>
        <v>07Jul</v>
      </c>
      <c r="F2626" s="34" t="str">
        <f>IFERROR(__xludf.DUMMYFUNCTION("""COMPUTED_VALUE"""),"2025")</f>
        <v>2025</v>
      </c>
      <c r="G2626" s="35" t="str">
        <f>IFERROR(__xludf.DUMMYFUNCTION("""COMPUTED_VALUE"""),"FAJAR RIYANTO")</f>
        <v>FAJAR RIYANTO</v>
      </c>
      <c r="H2626" s="35" t="str">
        <f>IFERROR(__xludf.DUMMYFUNCTION("""COMPUTED_VALUE"""),"F8425079993")</f>
        <v>F8425079993</v>
      </c>
      <c r="I2626" s="35">
        <f>IFERROR(__xludf.DUMMYFUNCTION("""COMPUTED_VALUE"""),41.0)</f>
        <v>41</v>
      </c>
      <c r="J2626" s="35" t="str">
        <f>IFERROR(__xludf.DUMMYFUNCTION("""COMPUTED_VALUE"""),"35-44 tahun")</f>
        <v>35-44 tahun</v>
      </c>
      <c r="K2626" s="21" t="str">
        <f>IFERROR(__xludf.DUMMYFUNCTION("""COMPUTED_VALUE"""),"27/10/1984")</f>
        <v>27/10/1984</v>
      </c>
      <c r="L2626" s="21" t="str">
        <f>IFERROR(__xludf.DUMMYFUNCTION("""COMPUTED_VALUE"""),"LAKI-LAKI")</f>
        <v>LAKI-LAKI</v>
      </c>
      <c r="M2626" s="35" t="str">
        <f>IFERROR(__xludf.DUMMYFUNCTION("""COMPUTED_VALUE"""),"JLN AMPERA GG AMPERA")</f>
        <v>JLN AMPERA GG AMPERA</v>
      </c>
      <c r="N2626" s="35" t="str">
        <f>IFERROR(__xludf.DUMMYFUNCTION("""COMPUTED_VALUE"""),"SEI BANGKONG")</f>
        <v>SEI BANGKONG</v>
      </c>
      <c r="O2626" s="35" t="str">
        <f>IFERROR(__xludf.DUMMYFUNCTION("""COMPUTED_VALUE"""),"PONTIANAK KOTA")</f>
        <v>PONTIANAK KOTA</v>
      </c>
      <c r="P2626" s="35" t="str">
        <f>IFERROR(__xludf.DUMMYFUNCTION("""COMPUTED_VALUE"""),"KOTA PONTIANAK")</f>
        <v>KOTA PONTIANAK</v>
      </c>
      <c r="Q2626" s="35" t="str">
        <f>IFERROR(__xludf.DUMMYFUNCTION("""COMPUTED_VALUE"""),"KALIMANTAN BARAT")</f>
        <v>KALIMANTAN BARAT</v>
      </c>
      <c r="R2626" s="21" t="str">
        <f>IFERROR(__xludf.DUMMYFUNCTION("""COMPUTED_VALUE"""),"ISLAM")</f>
        <v>ISLAM</v>
      </c>
      <c r="S2626" s="74" t="str">
        <f>IFERROR(__xludf.DUMMYFUNCTION("""COMPUTED_VALUE"""),"SWASTA")</f>
        <v>SWASTA</v>
      </c>
      <c r="T2626" s="35" t="str">
        <f>IFERROR(__xludf.DUMMYFUNCTION("""COMPUTED_VALUE"""),"CIDERA DI BELAKANG LUTUT SAMA TUMIT SUKA SAKIT")</f>
        <v>CIDERA DI BELAKANG LUTUT SAMA TUMIT SUKA SAKIT</v>
      </c>
      <c r="U2626" s="35" t="str">
        <f>IFERROR(__xludf.DUMMYFUNCTION("""COMPUTED_VALUE"""),"SEPAK BOLA")</f>
        <v>SEPAK BOLA</v>
      </c>
      <c r="V2626" s="37" t="str">
        <f>IFERROR(__xludf.DUMMYFUNCTION("""COMPUTED_VALUE"""),"081345639993")</f>
        <v>081345639993</v>
      </c>
      <c r="W2626" s="45"/>
    </row>
    <row r="2627">
      <c r="A2627" s="45"/>
      <c r="B2627" s="24" t="str">
        <f>IFERROR(__xludf.DUMMYFUNCTION("""COMPUTED_VALUE"""),"16/07/2025 10:07:08")</f>
        <v>16/07/2025 10:07:08</v>
      </c>
      <c r="C2627" s="35"/>
      <c r="D2627" s="10">
        <f>IFERROR(__xludf.DUMMYFUNCTION("""COMPUTED_VALUE"""),45854.0)</f>
        <v>45854</v>
      </c>
      <c r="E2627" s="35" t="str">
        <f>IFERROR(__xludf.DUMMYFUNCTION("""COMPUTED_VALUE"""),"07Jul")</f>
        <v>07Jul</v>
      </c>
      <c r="F2627" s="34" t="str">
        <f>IFERROR(__xludf.DUMMYFUNCTION("""COMPUTED_VALUE"""),"2025")</f>
        <v>2025</v>
      </c>
      <c r="G2627" s="35" t="str">
        <f>IFERROR(__xludf.DUMMYFUNCTION("""COMPUTED_VALUE"""),"NURHASIAH")</f>
        <v>NURHASIAH</v>
      </c>
      <c r="H2627" s="35" t="str">
        <f>IFERROR(__xludf.DUMMYFUNCTION("""COMPUTED_VALUE"""),"N5525070477")</f>
        <v>N5525070477</v>
      </c>
      <c r="I2627" s="35">
        <f>IFERROR(__xludf.DUMMYFUNCTION("""COMPUTED_VALUE"""),71.0)</f>
        <v>71</v>
      </c>
      <c r="J2627" s="35" t="str">
        <f>IFERROR(__xludf.DUMMYFUNCTION("""COMPUTED_VALUE"""),"&gt; 44 tahun")</f>
        <v>&gt; 44 tahun</v>
      </c>
      <c r="K2627" s="21" t="str">
        <f>IFERROR(__xludf.DUMMYFUNCTION("""COMPUTED_VALUE"""),"20/05/1955")</f>
        <v>20/05/1955</v>
      </c>
      <c r="L2627" s="21" t="str">
        <f>IFERROR(__xludf.DUMMYFUNCTION("""COMPUTED_VALUE"""),"PEREMPUAN")</f>
        <v>PEREMPUAN</v>
      </c>
      <c r="M2627" s="35" t="str">
        <f>IFERROR(__xludf.DUMMYFUNCTION("""COMPUTED_VALUE"""),"JALAN PROF DR HAMKA GANG NILAM 1")</f>
        <v>JALAN PROF DR HAMKA GANG NILAM 1</v>
      </c>
      <c r="N2627" s="35" t="str">
        <f>IFERROR(__xludf.DUMMYFUNCTION("""COMPUTED_VALUE"""),"KELURAHAN SUNGAI JAWI")</f>
        <v>KELURAHAN SUNGAI JAWI</v>
      </c>
      <c r="O2627" s="35" t="str">
        <f>IFERROR(__xludf.DUMMYFUNCTION("""COMPUTED_VALUE"""),"PONTIANAK KOTA")</f>
        <v>PONTIANAK KOTA</v>
      </c>
      <c r="P2627" s="35" t="str">
        <f>IFERROR(__xludf.DUMMYFUNCTION("""COMPUTED_VALUE"""),"KOTA PONTIANAK")</f>
        <v>KOTA PONTIANAK</v>
      </c>
      <c r="Q2627" s="35" t="str">
        <f>IFERROR(__xludf.DUMMYFUNCTION("""COMPUTED_VALUE"""),"KALIMANTAN BARAT")</f>
        <v>KALIMANTAN BARAT</v>
      </c>
      <c r="R2627" s="21" t="str">
        <f>IFERROR(__xludf.DUMMYFUNCTION("""COMPUTED_VALUE"""),"ISLAM")</f>
        <v>ISLAM</v>
      </c>
      <c r="S2627" s="74" t="str">
        <f>IFERROR(__xludf.DUMMYFUNCTION("""COMPUTED_VALUE"""),"MENGURUS RUMAH TANGGA")</f>
        <v>MENGURUS RUMAH TANGGA</v>
      </c>
      <c r="T2627" s="35" t="str">
        <f>IFERROR(__xludf.DUMMYFUNCTION("""COMPUTED_VALUE"""),"PINGGANG SELALU SAKIT , SAKIT KEPALA PASCA STROKE")</f>
        <v>PINGGANG SELALU SAKIT , SAKIT KEPALA PASCA STROKE</v>
      </c>
      <c r="U2627" s="35" t="str">
        <f>IFERROR(__xludf.DUMMYFUNCTION("""COMPUTED_VALUE"""),"TIDAK ADA")</f>
        <v>TIDAK ADA</v>
      </c>
      <c r="V2627" s="37" t="str">
        <f>IFERROR(__xludf.DUMMYFUNCTION("""COMPUTED_VALUE"""),"089624040477")</f>
        <v>089624040477</v>
      </c>
      <c r="W2627" s="45"/>
    </row>
    <row r="2628">
      <c r="A2628" s="45"/>
      <c r="B2628" s="24" t="str">
        <f>IFERROR(__xludf.DUMMYFUNCTION("""COMPUTED_VALUE"""),"16/07/2025 10:14:57")</f>
        <v>16/07/2025 10:14:57</v>
      </c>
      <c r="C2628" s="35"/>
      <c r="D2628" s="10">
        <f>IFERROR(__xludf.DUMMYFUNCTION("""COMPUTED_VALUE"""),45854.0)</f>
        <v>45854</v>
      </c>
      <c r="E2628" s="35" t="str">
        <f>IFERROR(__xludf.DUMMYFUNCTION("""COMPUTED_VALUE"""),"07Jul")</f>
        <v>07Jul</v>
      </c>
      <c r="F2628" s="34" t="str">
        <f>IFERROR(__xludf.DUMMYFUNCTION("""COMPUTED_VALUE"""),"2025")</f>
        <v>2025</v>
      </c>
      <c r="G2628" s="35" t="str">
        <f>IFERROR(__xludf.DUMMYFUNCTION("""COMPUTED_VALUE"""),"NELLY MARLINA AMD.KG")</f>
        <v>NELLY MARLINA AMD.KG</v>
      </c>
      <c r="H2628" s="35" t="str">
        <f>IFERROR(__xludf.DUMMYFUNCTION("""COMPUTED_VALUE"""),"N7725070477")</f>
        <v>N7725070477</v>
      </c>
      <c r="I2628" s="35">
        <f>IFERROR(__xludf.DUMMYFUNCTION("""COMPUTED_VALUE"""),49.0)</f>
        <v>49</v>
      </c>
      <c r="J2628" s="35" t="str">
        <f>IFERROR(__xludf.DUMMYFUNCTION("""COMPUTED_VALUE"""),"&gt; 44 tahun")</f>
        <v>&gt; 44 tahun</v>
      </c>
      <c r="K2628" s="21" t="str">
        <f>IFERROR(__xludf.DUMMYFUNCTION("""COMPUTED_VALUE"""),"04/04/1977")</f>
        <v>04/04/1977</v>
      </c>
      <c r="L2628" s="21" t="str">
        <f>IFERROR(__xludf.DUMMYFUNCTION("""COMPUTED_VALUE"""),"PEREMPUAN")</f>
        <v>PEREMPUAN</v>
      </c>
      <c r="M2628" s="35" t="str">
        <f>IFERROR(__xludf.DUMMYFUNCTION("""COMPUTED_VALUE"""),"BTN GERBANG MUTIARA BLOK G.12")</f>
        <v>BTN GERBANG MUTIARA BLOK G.12</v>
      </c>
      <c r="N2628" s="35" t="str">
        <f>IFERROR(__xludf.DUMMYFUNCTION("""COMPUTED_VALUE"""),"KELURAHAN KAUMAN")</f>
        <v>KELURAHAN KAUMAN</v>
      </c>
      <c r="O2628" s="35" t="str">
        <f>IFERROR(__xludf.DUMMYFUNCTION("""COMPUTED_VALUE"""),"BENUA KAYONG")</f>
        <v>BENUA KAYONG</v>
      </c>
      <c r="P2628" s="35" t="str">
        <f>IFERROR(__xludf.DUMMYFUNCTION("""COMPUTED_VALUE"""),"KABUPATEN KETAPANG")</f>
        <v>KABUPATEN KETAPANG</v>
      </c>
      <c r="Q2628" s="35" t="str">
        <f>IFERROR(__xludf.DUMMYFUNCTION("""COMPUTED_VALUE"""),"KALIMANTAN BARAT")</f>
        <v>KALIMANTAN BARAT</v>
      </c>
      <c r="R2628" s="21" t="str">
        <f>IFERROR(__xludf.DUMMYFUNCTION("""COMPUTED_VALUE"""),"ISLAM")</f>
        <v>ISLAM</v>
      </c>
      <c r="S2628" s="74" t="str">
        <f>IFERROR(__xludf.DUMMYFUNCTION("""COMPUTED_VALUE"""),"PEGAWAI NEGERI SIPIL")</f>
        <v>PEGAWAI NEGERI SIPIL</v>
      </c>
      <c r="T2628" s="35" t="str">
        <f>IFERROR(__xludf.DUMMYFUNCTION("""COMPUTED_VALUE"""),"SAKIT LUTUT PERNAH DI SUNTIK, SAKIT KEPALA DAN")</f>
        <v>SAKIT LUTUT PERNAH DI SUNTIK, SAKIT KEPALA DAN</v>
      </c>
      <c r="U2628" s="35" t="str">
        <f>IFERROR(__xludf.DUMMYFUNCTION("""COMPUTED_VALUE"""),"PEGAWAI NEGERI SIPIL")</f>
        <v>PEGAWAI NEGERI SIPIL</v>
      </c>
      <c r="V2628" s="37" t="str">
        <f>IFERROR(__xludf.DUMMYFUNCTION("""COMPUTED_VALUE"""),"089624040477")</f>
        <v>089624040477</v>
      </c>
      <c r="W2628" s="45"/>
    </row>
    <row r="2629">
      <c r="A2629" s="45"/>
      <c r="B2629" s="24" t="str">
        <f>IFERROR(__xludf.DUMMYFUNCTION("""COMPUTED_VALUE"""),"16/07/2025 11:43:22")</f>
        <v>16/07/2025 11:43:22</v>
      </c>
      <c r="C2629" s="35"/>
      <c r="D2629" s="10">
        <f>IFERROR(__xludf.DUMMYFUNCTION("""COMPUTED_VALUE"""),45854.0)</f>
        <v>45854</v>
      </c>
      <c r="E2629" s="35" t="str">
        <f>IFERROR(__xludf.DUMMYFUNCTION("""COMPUTED_VALUE"""),"07Jul")</f>
        <v>07Jul</v>
      </c>
      <c r="F2629" s="34" t="str">
        <f>IFERROR(__xludf.DUMMYFUNCTION("""COMPUTED_VALUE"""),"2025")</f>
        <v>2025</v>
      </c>
      <c r="G2629" s="35" t="str">
        <f>IFERROR(__xludf.DUMMYFUNCTION("""COMPUTED_VALUE"""),"SRI YULI ASTUTI")</f>
        <v>SRI YULI ASTUTI</v>
      </c>
      <c r="H2629" s="35" t="str">
        <f>IFERROR(__xludf.DUMMYFUNCTION("""COMPUTED_VALUE"""),"S7225076622")</f>
        <v>S7225076622</v>
      </c>
      <c r="I2629" s="35">
        <f>IFERROR(__xludf.DUMMYFUNCTION("""COMPUTED_VALUE"""),53.0)</f>
        <v>53</v>
      </c>
      <c r="J2629" s="35" t="str">
        <f>IFERROR(__xludf.DUMMYFUNCTION("""COMPUTED_VALUE"""),"&gt; 44 tahun")</f>
        <v>&gt; 44 tahun</v>
      </c>
      <c r="K2629" s="21" t="str">
        <f>IFERROR(__xludf.DUMMYFUNCTION("""COMPUTED_VALUE"""),"02/07/1972")</f>
        <v>02/07/1972</v>
      </c>
      <c r="L2629" s="21" t="str">
        <f>IFERROR(__xludf.DUMMYFUNCTION("""COMPUTED_VALUE"""),"PEREMPUAN")</f>
        <v>PEREMPUAN</v>
      </c>
      <c r="M2629" s="35" t="str">
        <f>IFERROR(__xludf.DUMMYFUNCTION("""COMPUTED_VALUE"""),"JLN KARYA KOMPLEK KARYA INDAH 3 BLOK AB NR 31 A")</f>
        <v>JLN KARYA KOMPLEK KARYA INDAH 3 BLOK AB NR 31 A</v>
      </c>
      <c r="N2629" s="35" t="str">
        <f>IFERROR(__xludf.DUMMYFUNCTION("""COMPUTED_VALUE"""),"PAL 9")</f>
        <v>PAL 9</v>
      </c>
      <c r="O2629" s="35" t="str">
        <f>IFERROR(__xludf.DUMMYFUNCTION("""COMPUTED_VALUE"""),"SUNGAI KAKAP")</f>
        <v>SUNGAI KAKAP</v>
      </c>
      <c r="P2629" s="35" t="str">
        <f>IFERROR(__xludf.DUMMYFUNCTION("""COMPUTED_VALUE"""),"KUBU RAYA")</f>
        <v>KUBU RAYA</v>
      </c>
      <c r="Q2629" s="35" t="str">
        <f>IFERROR(__xludf.DUMMYFUNCTION("""COMPUTED_VALUE"""),"KALIMANTAN BARAT")</f>
        <v>KALIMANTAN BARAT</v>
      </c>
      <c r="R2629" s="21" t="str">
        <f>IFERROR(__xludf.DUMMYFUNCTION("""COMPUTED_VALUE"""),"ISLAM")</f>
        <v>ISLAM</v>
      </c>
      <c r="S2629" s="74" t="str">
        <f>IFERROR(__xludf.DUMMYFUNCTION("""COMPUTED_VALUE"""),"GURU TK ADHYAKSA X1")</f>
        <v>GURU TK ADHYAKSA X1</v>
      </c>
      <c r="T2629" s="35" t="str">
        <f>IFERROR(__xludf.DUMMYFUNCTION("""COMPUTED_VALUE"""),"AKCAYA")</f>
        <v>AKCAYA</v>
      </c>
      <c r="U2629" s="35" t="str">
        <f>IFERROR(__xludf.DUMMYFUNCTION("""COMPUTED_VALUE"""),"DARI BAWAH PANTAN KE PAHA SEBELAH KIRI")</f>
        <v>DARI BAWAH PANTAN KE PAHA SEBELAH KIRI</v>
      </c>
      <c r="V2629" s="37" t="str">
        <f>IFERROR(__xludf.DUMMYFUNCTION("""COMPUTED_VALUE"""),"082154096622")</f>
        <v>082154096622</v>
      </c>
      <c r="W2629" s="45"/>
    </row>
    <row r="2630">
      <c r="A2630" s="45"/>
      <c r="B2630" s="24" t="str">
        <f>IFERROR(__xludf.DUMMYFUNCTION("""COMPUTED_VALUE"""),"16/07/2025 19:07:06")</f>
        <v>16/07/2025 19:07:06</v>
      </c>
      <c r="C2630" s="35"/>
      <c r="D2630" s="10">
        <f>IFERROR(__xludf.DUMMYFUNCTION("""COMPUTED_VALUE"""),45854.0)</f>
        <v>45854</v>
      </c>
      <c r="E2630" s="35" t="str">
        <f>IFERROR(__xludf.DUMMYFUNCTION("""COMPUTED_VALUE"""),"07Jul")</f>
        <v>07Jul</v>
      </c>
      <c r="F2630" s="34" t="str">
        <f>IFERROR(__xludf.DUMMYFUNCTION("""COMPUTED_VALUE"""),"2025")</f>
        <v>2025</v>
      </c>
      <c r="G2630" s="35" t="str">
        <f>IFERROR(__xludf.DUMMYFUNCTION("""COMPUTED_VALUE"""),"RICHARD HAMONANGAN SAMOSIR")</f>
        <v>RICHARD HAMONANGAN SAMOSIR</v>
      </c>
      <c r="H2630" s="35" t="str">
        <f>IFERROR(__xludf.DUMMYFUNCTION("""COMPUTED_VALUE"""),"R0425076187")</f>
        <v>R0425076187</v>
      </c>
      <c r="I2630" s="35">
        <f>IFERROR(__xludf.DUMMYFUNCTION("""COMPUTED_VALUE"""),22.0)</f>
        <v>22</v>
      </c>
      <c r="J2630" s="35" t="str">
        <f>IFERROR(__xludf.DUMMYFUNCTION("""COMPUTED_VALUE"""),"18-24 tahun")</f>
        <v>18-24 tahun</v>
      </c>
      <c r="K2630" s="21" t="str">
        <f>IFERROR(__xludf.DUMMYFUNCTION("""COMPUTED_VALUE"""),"22/05/2004")</f>
        <v>22/05/2004</v>
      </c>
      <c r="L2630" s="21" t="str">
        <f>IFERROR(__xludf.DUMMYFUNCTION("""COMPUTED_VALUE"""),"LAKI-LAKI")</f>
        <v>LAKI-LAKI</v>
      </c>
      <c r="M2630" s="35" t="str">
        <f>IFERROR(__xludf.DUMMYFUNCTION("""COMPUTED_VALUE"""),"KOMP. PERMAI MAS III BLOK D NO 1F")</f>
        <v>KOMP. PERMAI MAS III BLOK D NO 1F</v>
      </c>
      <c r="N2630" s="35" t="str">
        <f>IFERROR(__xludf.DUMMYFUNCTION("""COMPUTED_VALUE"""),"-")</f>
        <v>-</v>
      </c>
      <c r="O2630" s="35" t="str">
        <f>IFERROR(__xludf.DUMMYFUNCTION("""COMPUTED_VALUE"""),"-")</f>
        <v>-</v>
      </c>
      <c r="P2630" s="35" t="str">
        <f>IFERROR(__xludf.DUMMYFUNCTION("""COMPUTED_VALUE"""),"PONTIANAK")</f>
        <v>PONTIANAK</v>
      </c>
      <c r="Q2630" s="35" t="str">
        <f>IFERROR(__xludf.DUMMYFUNCTION("""COMPUTED_VALUE"""),"KALIMANTAN BARAT")</f>
        <v>KALIMANTAN BARAT</v>
      </c>
      <c r="R2630" s="21" t="str">
        <f>IFERROR(__xludf.DUMMYFUNCTION("""COMPUTED_VALUE"""),"LAINNYA")</f>
        <v>LAINNYA</v>
      </c>
      <c r="S2630" s="74" t="str">
        <f>IFERROR(__xludf.DUMMYFUNCTION("""COMPUTED_VALUE"""),"MAHASISWA")</f>
        <v>MAHASISWA</v>
      </c>
      <c r="T2630" s="35" t="str">
        <f>IFERROR(__xludf.DUMMYFUNCTION("""COMPUTED_VALUE"""),"TANGAB")</f>
        <v>TANGAB</v>
      </c>
      <c r="U2630" s="35" t="str">
        <f>IFERROR(__xludf.DUMMYFUNCTION("""COMPUTED_VALUE"""),"-")</f>
        <v>-</v>
      </c>
      <c r="V2630" s="37" t="str">
        <f>IFERROR(__xludf.DUMMYFUNCTION("""COMPUTED_VALUE"""),"089677006187")</f>
        <v>089677006187</v>
      </c>
      <c r="W2630" s="45"/>
    </row>
    <row r="2631">
      <c r="A2631" s="45"/>
      <c r="B2631" s="24" t="str">
        <f>IFERROR(__xludf.DUMMYFUNCTION("""COMPUTED_VALUE"""),"17/07/2025 10:30:06")</f>
        <v>17/07/2025 10:30:06</v>
      </c>
      <c r="C2631" s="35"/>
      <c r="D2631" s="10">
        <f>IFERROR(__xludf.DUMMYFUNCTION("""COMPUTED_VALUE"""),45855.0)</f>
        <v>45855</v>
      </c>
      <c r="E2631" s="35" t="str">
        <f>IFERROR(__xludf.DUMMYFUNCTION("""COMPUTED_VALUE"""),"07Jul")</f>
        <v>07Jul</v>
      </c>
      <c r="F2631" s="34" t="str">
        <f>IFERROR(__xludf.DUMMYFUNCTION("""COMPUTED_VALUE"""),"2025")</f>
        <v>2025</v>
      </c>
      <c r="G2631" s="35" t="str">
        <f>IFERROR(__xludf.DUMMYFUNCTION("""COMPUTED_VALUE"""),"IMMANUEL STEVE HASIHOLAN LUMBANTORUAN")</f>
        <v>IMMANUEL STEVE HASIHOLAN LUMBANTORUAN</v>
      </c>
      <c r="H2631" s="35" t="str">
        <f>IFERROR(__xludf.DUMMYFUNCTION("""COMPUTED_VALUE"""),"I0325070012")</f>
        <v>I0325070012</v>
      </c>
      <c r="I2631" s="35">
        <f>IFERROR(__xludf.DUMMYFUNCTION("""COMPUTED_VALUE"""),23.0)</f>
        <v>23</v>
      </c>
      <c r="J2631" s="35" t="str">
        <f>IFERROR(__xludf.DUMMYFUNCTION("""COMPUTED_VALUE"""),"18-24 tahun")</f>
        <v>18-24 tahun</v>
      </c>
      <c r="K2631" s="21" t="str">
        <f>IFERROR(__xludf.DUMMYFUNCTION("""COMPUTED_VALUE"""),"06/05/2003")</f>
        <v>06/05/2003</v>
      </c>
      <c r="L2631" s="21" t="str">
        <f>IFERROR(__xludf.DUMMYFUNCTION("""COMPUTED_VALUE"""),"LAKI-LAKI")</f>
        <v>LAKI-LAKI</v>
      </c>
      <c r="M2631" s="35" t="str">
        <f>IFERROR(__xludf.DUMMYFUNCTION("""COMPUTED_VALUE"""),"JL. DHARMA BAKTI KOMP. BALI PERMAI")</f>
        <v>JL. DHARMA BAKTI KOMP. BALI PERMAI</v>
      </c>
      <c r="N2631" s="35" t="str">
        <f>IFERROR(__xludf.DUMMYFUNCTION("""COMPUTED_VALUE"""),"DESA TELUK KAPUAS")</f>
        <v>DESA TELUK KAPUAS</v>
      </c>
      <c r="O2631" s="35" t="str">
        <f>IFERROR(__xludf.DUMMYFUNCTION("""COMPUTED_VALUE"""),"KECAMATAN SUNGAI RAYA")</f>
        <v>KECAMATAN SUNGAI RAYA</v>
      </c>
      <c r="P2631" s="35" t="str">
        <f>IFERROR(__xludf.DUMMYFUNCTION("""COMPUTED_VALUE"""),"KUBU RAYA")</f>
        <v>KUBU RAYA</v>
      </c>
      <c r="Q2631" s="35" t="str">
        <f>IFERROR(__xludf.DUMMYFUNCTION("""COMPUTED_VALUE"""),"KALIMANTAN BARAT")</f>
        <v>KALIMANTAN BARAT</v>
      </c>
      <c r="R2631" s="21" t="str">
        <f>IFERROR(__xludf.DUMMYFUNCTION("""COMPUTED_VALUE"""),"PROTESTAN")</f>
        <v>PROTESTAN</v>
      </c>
      <c r="S2631" s="74" t="str">
        <f>IFERROR(__xludf.DUMMYFUNCTION("""COMPUTED_VALUE"""),"MAHASISWA")</f>
        <v>MAHASISWA</v>
      </c>
      <c r="T2631" s="35" t="str">
        <f>IFERROR(__xludf.DUMMYFUNCTION("""COMPUTED_VALUE"""),"HNP/ SYARAF KEJEPIT")</f>
        <v>HNP/ SYARAF KEJEPIT</v>
      </c>
      <c r="U2631" s="35" t="str">
        <f>IFERROR(__xludf.DUMMYFUNCTION("""COMPUTED_VALUE"""),"PEKERJAAN DUDUK LAMA DENGAN LAPTOP DAN AKTIF FITNESS")</f>
        <v>PEKERJAAN DUDUK LAMA DENGAN LAPTOP DAN AKTIF FITNESS</v>
      </c>
      <c r="V2631" s="37" t="str">
        <f>IFERROR(__xludf.DUMMYFUNCTION("""COMPUTED_VALUE"""),"081945440012")</f>
        <v>081945440012</v>
      </c>
      <c r="W2631" s="45"/>
    </row>
    <row r="2632">
      <c r="A2632" s="45"/>
      <c r="B2632" s="24" t="str">
        <f>IFERROR(__xludf.DUMMYFUNCTION("""COMPUTED_VALUE"""),"17/07/2025 19:05:42")</f>
        <v>17/07/2025 19:05:42</v>
      </c>
      <c r="C2632" s="35"/>
      <c r="D2632" s="10">
        <f>IFERROR(__xludf.DUMMYFUNCTION("""COMPUTED_VALUE"""),45855.0)</f>
        <v>45855</v>
      </c>
      <c r="E2632" s="35" t="str">
        <f>IFERROR(__xludf.DUMMYFUNCTION("""COMPUTED_VALUE"""),"07Jul")</f>
        <v>07Jul</v>
      </c>
      <c r="F2632" s="34" t="str">
        <f>IFERROR(__xludf.DUMMYFUNCTION("""COMPUTED_VALUE"""),"2025")</f>
        <v>2025</v>
      </c>
      <c r="G2632" s="35" t="str">
        <f>IFERROR(__xludf.DUMMYFUNCTION("""COMPUTED_VALUE"""),"MEMBER RADIT")</f>
        <v>MEMBER RADIT</v>
      </c>
      <c r="H2632" s="35" t="str">
        <f>IFERROR(__xludf.DUMMYFUNCTION("""COMPUTED_VALUE"""),"M2525079811")</f>
        <v>M2525079811</v>
      </c>
      <c r="I2632" s="35">
        <f>IFERROR(__xludf.DUMMYFUNCTION("""COMPUTED_VALUE"""),1.0)</f>
        <v>1</v>
      </c>
      <c r="J2632" s="35" t="str">
        <f>IFERROR(__xludf.DUMMYFUNCTION("""COMPUTED_VALUE"""),"&lt; 18 tahun")</f>
        <v>&lt; 18 tahun</v>
      </c>
      <c r="K2632" s="21" t="str">
        <f>IFERROR(__xludf.DUMMYFUNCTION("""COMPUTED_VALUE"""),"27/03/2025")</f>
        <v>27/03/2025</v>
      </c>
      <c r="L2632" s="21" t="str">
        <f>IFERROR(__xludf.DUMMYFUNCTION("""COMPUTED_VALUE"""),"LAKI-LAKI")</f>
        <v>LAKI-LAKI</v>
      </c>
      <c r="M2632" s="35" t="str">
        <f>IFERROR(__xludf.DUMMYFUNCTION("""COMPUTED_VALUE"""),"MEMBER RADIT")</f>
        <v>MEMBER RADIT</v>
      </c>
      <c r="N2632" s="35" t="str">
        <f>IFERROR(__xludf.DUMMYFUNCTION("""COMPUTED_VALUE"""),"_")</f>
        <v>_</v>
      </c>
      <c r="O2632" s="35" t="str">
        <f>IFERROR(__xludf.DUMMYFUNCTION("""COMPUTED_VALUE"""),"_")</f>
        <v>_</v>
      </c>
      <c r="P2632" s="35" t="str">
        <f>IFERROR(__xludf.DUMMYFUNCTION("""COMPUTED_VALUE"""),"_")</f>
        <v>_</v>
      </c>
      <c r="Q2632" s="35" t="str">
        <f>IFERROR(__xludf.DUMMYFUNCTION("""COMPUTED_VALUE"""),"_")</f>
        <v>_</v>
      </c>
      <c r="R2632" s="21" t="str">
        <f>IFERROR(__xludf.DUMMYFUNCTION("""COMPUTED_VALUE"""),"ISLAM")</f>
        <v>ISLAM</v>
      </c>
      <c r="S2632" s="74" t="str">
        <f>IFERROR(__xludf.DUMMYFUNCTION("""COMPUTED_VALUE"""),"-")</f>
        <v>-</v>
      </c>
      <c r="T2632" s="35" t="str">
        <f>IFERROR(__xludf.DUMMYFUNCTION("""COMPUTED_VALUE"""),"CEDERA ANGKEL LUTUT")</f>
        <v>CEDERA ANGKEL LUTUT</v>
      </c>
      <c r="U2632" s="35" t="str">
        <f>IFERROR(__xludf.DUMMYFUNCTION("""COMPUTED_VALUE"""),"FUTSAL")</f>
        <v>FUTSAL</v>
      </c>
      <c r="V2632" s="37" t="str">
        <f>IFERROR(__xludf.DUMMYFUNCTION("""COMPUTED_VALUE"""),"082155359811")</f>
        <v>082155359811</v>
      </c>
      <c r="W2632" s="45"/>
    </row>
    <row r="2633">
      <c r="A2633" s="45"/>
      <c r="B2633" s="24" t="str">
        <f>IFERROR(__xludf.DUMMYFUNCTION("""COMPUTED_VALUE"""),"17/07/2025 19:13:47")</f>
        <v>17/07/2025 19:13:47</v>
      </c>
      <c r="C2633" s="35"/>
      <c r="D2633" s="10">
        <f>IFERROR(__xludf.DUMMYFUNCTION("""COMPUTED_VALUE"""),45855.0)</f>
        <v>45855</v>
      </c>
      <c r="E2633" s="35" t="str">
        <f>IFERROR(__xludf.DUMMYFUNCTION("""COMPUTED_VALUE"""),"07Jul")</f>
        <v>07Jul</v>
      </c>
      <c r="F2633" s="34" t="str">
        <f>IFERROR(__xludf.DUMMYFUNCTION("""COMPUTED_VALUE"""),"2025")</f>
        <v>2025</v>
      </c>
      <c r="G2633" s="35" t="str">
        <f>IFERROR(__xludf.DUMMYFUNCTION("""COMPUTED_VALUE"""),"RAMADHAN 9604")</f>
        <v>RAMADHAN 9604</v>
      </c>
      <c r="H2633" s="35" t="str">
        <f>IFERROR(__xludf.DUMMYFUNCTION("""COMPUTED_VALUE"""),"R9625074119")</f>
        <v>R9625074119</v>
      </c>
      <c r="I2633" s="35">
        <f>IFERROR(__xludf.DUMMYFUNCTION("""COMPUTED_VALUE"""),30.0)</f>
        <v>30</v>
      </c>
      <c r="J2633" s="35" t="str">
        <f>IFERROR(__xludf.DUMMYFUNCTION("""COMPUTED_VALUE"""),"25-34 tahun")</f>
        <v>25-34 tahun</v>
      </c>
      <c r="K2633" s="21" t="str">
        <f>IFERROR(__xludf.DUMMYFUNCTION("""COMPUTED_VALUE"""),"08/04/1996")</f>
        <v>08/04/1996</v>
      </c>
      <c r="L2633" s="21" t="str">
        <f>IFERROR(__xludf.DUMMYFUNCTION("""COMPUTED_VALUE"""),"LAKI-LAKI")</f>
        <v>LAKI-LAKI</v>
      </c>
      <c r="M2633" s="35" t="str">
        <f>IFERROR(__xludf.DUMMYFUNCTION("""COMPUTED_VALUE"""),"GG.SEDERHANA")</f>
        <v>GG.SEDERHANA</v>
      </c>
      <c r="N2633" s="35" t="str">
        <f>IFERROR(__xludf.DUMMYFUNCTION("""COMPUTED_VALUE"""),"AKCAYA")</f>
        <v>AKCAYA</v>
      </c>
      <c r="O2633" s="35" t="str">
        <f>IFERROR(__xludf.DUMMYFUNCTION("""COMPUTED_VALUE"""),"PONTIANAK SELATAN")</f>
        <v>PONTIANAK SELATAN</v>
      </c>
      <c r="P2633" s="35" t="str">
        <f>IFERROR(__xludf.DUMMYFUNCTION("""COMPUTED_VALUE"""),"KOTA PONTIANAK")</f>
        <v>KOTA PONTIANAK</v>
      </c>
      <c r="Q2633" s="35" t="str">
        <f>IFERROR(__xludf.DUMMYFUNCTION("""COMPUTED_VALUE"""),"KALIMANTAN BARAT")</f>
        <v>KALIMANTAN BARAT</v>
      </c>
      <c r="R2633" s="21" t="str">
        <f>IFERROR(__xludf.DUMMYFUNCTION("""COMPUTED_VALUE"""),"ISLAM")</f>
        <v>ISLAM</v>
      </c>
      <c r="S2633" s="74" t="str">
        <f>IFERROR(__xludf.DUMMYFUNCTION("""COMPUTED_VALUE"""),"KARYAWAN SWASTA")</f>
        <v>KARYAWAN SWASTA</v>
      </c>
      <c r="T2633" s="35" t="str">
        <f>IFERROR(__xludf.DUMMYFUNCTION("""COMPUTED_VALUE"""),"NYERI DI TENDON PAHA DEKAT LUTUT")</f>
        <v>NYERI DI TENDON PAHA DEKAT LUTUT</v>
      </c>
      <c r="U2633" s="35" t="str">
        <f>IFERROR(__xludf.DUMMYFUNCTION("""COMPUTED_VALUE"""),"FUTSAL")</f>
        <v>FUTSAL</v>
      </c>
      <c r="V2633" s="37" t="str">
        <f>IFERROR(__xludf.DUMMYFUNCTION("""COMPUTED_VALUE"""),"0895701864119")</f>
        <v>0895701864119</v>
      </c>
      <c r="W2633" s="45"/>
    </row>
    <row r="2634">
      <c r="A2634" s="45"/>
      <c r="B2634" s="24" t="str">
        <f>IFERROR(__xludf.DUMMYFUNCTION("""COMPUTED_VALUE"""),"17/07/2025 19:15:10")</f>
        <v>17/07/2025 19:15:10</v>
      </c>
      <c r="C2634" s="35"/>
      <c r="D2634" s="10">
        <f>IFERROR(__xludf.DUMMYFUNCTION("""COMPUTED_VALUE"""),45855.0)</f>
        <v>45855</v>
      </c>
      <c r="E2634" s="35" t="str">
        <f>IFERROR(__xludf.DUMMYFUNCTION("""COMPUTED_VALUE"""),"07Jul")</f>
        <v>07Jul</v>
      </c>
      <c r="F2634" s="34" t="str">
        <f>IFERROR(__xludf.DUMMYFUNCTION("""COMPUTED_VALUE"""),"2025")</f>
        <v>2025</v>
      </c>
      <c r="G2634" s="35" t="str">
        <f>IFERROR(__xludf.DUMMYFUNCTION("""COMPUTED_VALUE"""),"SANDY SHEVA JULIAN")</f>
        <v>SANDY SHEVA JULIAN</v>
      </c>
      <c r="H2634" s="35" t="str">
        <f>IFERROR(__xludf.DUMMYFUNCTION("""COMPUTED_VALUE"""),"S0825078376")</f>
        <v>S0825078376</v>
      </c>
      <c r="I2634" s="35">
        <f>IFERROR(__xludf.DUMMYFUNCTION("""COMPUTED_VALUE"""),17.0)</f>
        <v>17</v>
      </c>
      <c r="J2634" s="35" t="str">
        <f>IFERROR(__xludf.DUMMYFUNCTION("""COMPUTED_VALUE"""),"&lt; 18 tahun")</f>
        <v>&lt; 18 tahun</v>
      </c>
      <c r="K2634" s="21" t="str">
        <f>IFERROR(__xludf.DUMMYFUNCTION("""COMPUTED_VALUE"""),"14/07/2008")</f>
        <v>14/07/2008</v>
      </c>
      <c r="L2634" s="21" t="str">
        <f>IFERROR(__xludf.DUMMYFUNCTION("""COMPUTED_VALUE"""),"LAKI-LAKI")</f>
        <v>LAKI-LAKI</v>
      </c>
      <c r="M2634" s="35" t="str">
        <f>IFERROR(__xludf.DUMMYFUNCTION("""COMPUTED_VALUE"""),"JLN MARTADINATA")</f>
        <v>JLN MARTADINATA</v>
      </c>
      <c r="N2634" s="35" t="str">
        <f>IFERROR(__xludf.DUMMYFUNCTION("""COMPUTED_VALUE"""),"SUNGAI JAWI LUAR")</f>
        <v>SUNGAI JAWI LUAR</v>
      </c>
      <c r="O2634" s="35" t="str">
        <f>IFERROR(__xludf.DUMMYFUNCTION("""COMPUTED_VALUE"""),"PONTIANAK BARAT")</f>
        <v>PONTIANAK BARAT</v>
      </c>
      <c r="P2634" s="35" t="str">
        <f>IFERROR(__xludf.DUMMYFUNCTION("""COMPUTED_VALUE"""),"KOTA PONTIANAK")</f>
        <v>KOTA PONTIANAK</v>
      </c>
      <c r="Q2634" s="35" t="str">
        <f>IFERROR(__xludf.DUMMYFUNCTION("""COMPUTED_VALUE"""),"KALIMANTAN BARAT")</f>
        <v>KALIMANTAN BARAT</v>
      </c>
      <c r="R2634" s="21" t="str">
        <f>IFERROR(__xludf.DUMMYFUNCTION("""COMPUTED_VALUE"""),"ISLAM")</f>
        <v>ISLAM</v>
      </c>
      <c r="S2634" s="74" t="str">
        <f>IFERROR(__xludf.DUMMYFUNCTION("""COMPUTED_VALUE"""),"BLM BEKERJA")</f>
        <v>BLM BEKERJA</v>
      </c>
      <c r="T2634" s="35" t="str">
        <f>IFERROR(__xludf.DUMMYFUNCTION("""COMPUTED_VALUE"""),"LUTUT SERING SAKIT")</f>
        <v>LUTUT SERING SAKIT</v>
      </c>
      <c r="U2634" s="35" t="str">
        <f>IFERROR(__xludf.DUMMYFUNCTION("""COMPUTED_VALUE"""),"BERMAIN FUTSAL")</f>
        <v>BERMAIN FUTSAL</v>
      </c>
      <c r="V2634" s="37" t="str">
        <f>IFERROR(__xludf.DUMMYFUNCTION("""COMPUTED_VALUE"""),"0895619318376")</f>
        <v>0895619318376</v>
      </c>
      <c r="W2634" s="45"/>
    </row>
    <row r="2635">
      <c r="A2635" s="45"/>
      <c r="B2635" s="24" t="str">
        <f>IFERROR(__xludf.DUMMYFUNCTION("""COMPUTED_VALUE"""),"17/07/2025 19:20:23")</f>
        <v>17/07/2025 19:20:23</v>
      </c>
      <c r="C2635" s="35"/>
      <c r="D2635" s="10">
        <f>IFERROR(__xludf.DUMMYFUNCTION("""COMPUTED_VALUE"""),45855.0)</f>
        <v>45855</v>
      </c>
      <c r="E2635" s="35" t="str">
        <f>IFERROR(__xludf.DUMMYFUNCTION("""COMPUTED_VALUE"""),"07Jul")</f>
        <v>07Jul</v>
      </c>
      <c r="F2635" s="34" t="str">
        <f>IFERROR(__xludf.DUMMYFUNCTION("""COMPUTED_VALUE"""),"2025")</f>
        <v>2025</v>
      </c>
      <c r="G2635" s="35" t="str">
        <f>IFERROR(__xludf.DUMMYFUNCTION("""COMPUTED_VALUE"""),"MUHAMMAD RISKY FIRMANSYAH")</f>
        <v>MUHAMMAD RISKY FIRMANSYAH</v>
      </c>
      <c r="H2635" s="35" t="str">
        <f>IFERROR(__xludf.DUMMYFUNCTION("""COMPUTED_VALUE"""),"M0425076023")</f>
        <v>M0425076023</v>
      </c>
      <c r="I2635" s="35">
        <f>IFERROR(__xludf.DUMMYFUNCTION("""COMPUTED_VALUE"""),21.0)</f>
        <v>21</v>
      </c>
      <c r="J2635" s="35" t="str">
        <f>IFERROR(__xludf.DUMMYFUNCTION("""COMPUTED_VALUE"""),"18-24 tahun")</f>
        <v>18-24 tahun</v>
      </c>
      <c r="K2635" s="21" t="str">
        <f>IFERROR(__xludf.DUMMYFUNCTION("""COMPUTED_VALUE"""),"16/07/2004")</f>
        <v>16/07/2004</v>
      </c>
      <c r="L2635" s="21" t="str">
        <f>IFERROR(__xludf.DUMMYFUNCTION("""COMPUTED_VALUE"""),"LAKI-LAKI")</f>
        <v>LAKI-LAKI</v>
      </c>
      <c r="M2635" s="35" t="str">
        <f>IFERROR(__xludf.DUMMYFUNCTION("""COMPUTED_VALUE"""),"JL. RAYA DESA KAPUR KOMP TAMAN MEKAR ASRI NO.A8")</f>
        <v>JL. RAYA DESA KAPUR KOMP TAMAN MEKAR ASRI NO.A8</v>
      </c>
      <c r="N2635" s="35" t="str">
        <f>IFERROR(__xludf.DUMMYFUNCTION("""COMPUTED_VALUE"""),"MEKAR BARU")</f>
        <v>MEKAR BARU</v>
      </c>
      <c r="O2635" s="35" t="str">
        <f>IFERROR(__xludf.DUMMYFUNCTION("""COMPUTED_VALUE"""),"SUNGAI RAYA")</f>
        <v>SUNGAI RAYA</v>
      </c>
      <c r="P2635" s="35" t="str">
        <f>IFERROR(__xludf.DUMMYFUNCTION("""COMPUTED_VALUE"""),"KUBU RAYA")</f>
        <v>KUBU RAYA</v>
      </c>
      <c r="Q2635" s="35" t="str">
        <f>IFERROR(__xludf.DUMMYFUNCTION("""COMPUTED_VALUE"""),"KALIMANTAN BARAT")</f>
        <v>KALIMANTAN BARAT</v>
      </c>
      <c r="R2635" s="21" t="str">
        <f>IFERROR(__xludf.DUMMYFUNCTION("""COMPUTED_VALUE"""),"ISLAM")</f>
        <v>ISLAM</v>
      </c>
      <c r="S2635" s="74" t="str">
        <f>IFERROR(__xludf.DUMMYFUNCTION("""COMPUTED_VALUE"""),"BELUM/TIDAK BEKERJA")</f>
        <v>BELUM/TIDAK BEKERJA</v>
      </c>
      <c r="T2635" s="35" t="str">
        <f>IFERROR(__xludf.DUMMYFUNCTION("""COMPUTED_VALUE"""),"KENA ENGKEL SAAT LATIHAN DAN LUTUT KADANG BERBUNYI SAAT SALAH TUMPUAN")</f>
        <v>KENA ENGKEL SAAT LATIHAN DAN LUTUT KADANG BERBUNYI SAAT SALAH TUMPUAN</v>
      </c>
      <c r="U2635" s="35" t="str">
        <f>IFERROR(__xludf.DUMMYFUNCTION("""COMPUTED_VALUE"""),"LATIHAN FUTSAL")</f>
        <v>LATIHAN FUTSAL</v>
      </c>
      <c r="V2635" s="37" t="str">
        <f>IFERROR(__xludf.DUMMYFUNCTION("""COMPUTED_VALUE"""),"08551956023")</f>
        <v>08551956023</v>
      </c>
      <c r="W2635" s="45"/>
    </row>
    <row r="2636">
      <c r="A2636" s="45"/>
      <c r="B2636" s="24" t="str">
        <f>IFERROR(__xludf.DUMMYFUNCTION("""COMPUTED_VALUE"""),"17/07/2025 21:06:01")</f>
        <v>17/07/2025 21:06:01</v>
      </c>
      <c r="C2636" s="35"/>
      <c r="D2636" s="10">
        <f>IFERROR(__xludf.DUMMYFUNCTION("""COMPUTED_VALUE"""),45855.0)</f>
        <v>45855</v>
      </c>
      <c r="E2636" s="35" t="str">
        <f>IFERROR(__xludf.DUMMYFUNCTION("""COMPUTED_VALUE"""),"07Jul")</f>
        <v>07Jul</v>
      </c>
      <c r="F2636" s="34" t="str">
        <f>IFERROR(__xludf.DUMMYFUNCTION("""COMPUTED_VALUE"""),"2025")</f>
        <v>2025</v>
      </c>
      <c r="G2636" s="35" t="str">
        <f>IFERROR(__xludf.DUMMYFUNCTION("""COMPUTED_VALUE"""),"BOBY ANTA MAULANA")</f>
        <v>BOBY ANTA MAULANA</v>
      </c>
      <c r="H2636" s="35" t="str">
        <f>IFERROR(__xludf.DUMMYFUNCTION("""COMPUTED_VALUE"""),"B8525075344")</f>
        <v>B8525075344</v>
      </c>
      <c r="I2636" s="35">
        <f>IFERROR(__xludf.DUMMYFUNCTION("""COMPUTED_VALUE"""),40.0)</f>
        <v>40</v>
      </c>
      <c r="J2636" s="35" t="str">
        <f>IFERROR(__xludf.DUMMYFUNCTION("""COMPUTED_VALUE"""),"35-44 tahun")</f>
        <v>35-44 tahun</v>
      </c>
      <c r="K2636" s="21" t="str">
        <f>IFERROR(__xludf.DUMMYFUNCTION("""COMPUTED_VALUE"""),"19/08/1985")</f>
        <v>19/08/1985</v>
      </c>
      <c r="L2636" s="21" t="str">
        <f>IFERROR(__xludf.DUMMYFUNCTION("""COMPUTED_VALUE"""),"LAKI-LAKI")</f>
        <v>LAKI-LAKI</v>
      </c>
      <c r="M2636" s="35" t="str">
        <f>IFERROR(__xludf.DUMMYFUNCTION("""COMPUTED_VALUE"""),"JALAN SELAYAR NO. 7")</f>
        <v>JALAN SELAYAR NO. 7</v>
      </c>
      <c r="N2636" s="35" t="str">
        <f>IFERROR(__xludf.DUMMYFUNCTION("""COMPUTED_VALUE"""),"AKCAYA")</f>
        <v>AKCAYA</v>
      </c>
      <c r="O2636" s="35" t="str">
        <f>IFERROR(__xludf.DUMMYFUNCTION("""COMPUTED_VALUE"""),"PONTIANAK SELATAN")</f>
        <v>PONTIANAK SELATAN</v>
      </c>
      <c r="P2636" s="35" t="str">
        <f>IFERROR(__xludf.DUMMYFUNCTION("""COMPUTED_VALUE"""),"PONTIANAK")</f>
        <v>PONTIANAK</v>
      </c>
      <c r="Q2636" s="35" t="str">
        <f>IFERROR(__xludf.DUMMYFUNCTION("""COMPUTED_VALUE"""),"KALIMANTAN BARAT")</f>
        <v>KALIMANTAN BARAT</v>
      </c>
      <c r="R2636" s="21" t="str">
        <f>IFERROR(__xludf.DUMMYFUNCTION("""COMPUTED_VALUE"""),"ISLAM")</f>
        <v>ISLAM</v>
      </c>
      <c r="S2636" s="74" t="str">
        <f>IFERROR(__xludf.DUMMYFUNCTION("""COMPUTED_VALUE"""),"WIRAUSAHA")</f>
        <v>WIRAUSAHA</v>
      </c>
      <c r="T2636" s="35" t="str">
        <f>IFERROR(__xludf.DUMMYFUNCTION("""COMPUTED_VALUE"""),"NYERI LUTUT")</f>
        <v>NYERI LUTUT</v>
      </c>
      <c r="U2636" s="35" t="str">
        <f>IFERROR(__xludf.DUMMYFUNCTION("""COMPUTED_VALUE"""),"JOGGING")</f>
        <v>JOGGING</v>
      </c>
      <c r="V2636" s="37" t="str">
        <f>IFERROR(__xludf.DUMMYFUNCTION("""COMPUTED_VALUE"""),"81253225344")</f>
        <v>81253225344</v>
      </c>
      <c r="W2636" s="45"/>
    </row>
    <row r="2637">
      <c r="A2637" s="45"/>
      <c r="B2637" s="24" t="str">
        <f>IFERROR(__xludf.DUMMYFUNCTION("""COMPUTED_VALUE"""),"18/07/2025 6:43:13")</f>
        <v>18/07/2025 6:43:13</v>
      </c>
      <c r="C2637" s="35"/>
      <c r="D2637" s="10">
        <f>IFERROR(__xludf.DUMMYFUNCTION("""COMPUTED_VALUE"""),45856.0)</f>
        <v>45856</v>
      </c>
      <c r="E2637" s="35" t="str">
        <f>IFERROR(__xludf.DUMMYFUNCTION("""COMPUTED_VALUE"""),"07Jul")</f>
        <v>07Jul</v>
      </c>
      <c r="F2637" s="34" t="str">
        <f>IFERROR(__xludf.DUMMYFUNCTION("""COMPUTED_VALUE"""),"2025")</f>
        <v>2025</v>
      </c>
      <c r="G2637" s="35" t="str">
        <f>IFERROR(__xludf.DUMMYFUNCTION("""COMPUTED_VALUE"""),"MUHAMMAD NADLY ALNOV")</f>
        <v>MUHAMMAD NADLY ALNOV</v>
      </c>
      <c r="H2637" s="35" t="str">
        <f>IFERROR(__xludf.DUMMYFUNCTION("""COMPUTED_VALUE"""),"M0825073380")</f>
        <v>M0825073380</v>
      </c>
      <c r="I2637" s="35">
        <f>IFERROR(__xludf.DUMMYFUNCTION("""COMPUTED_VALUE"""),17.0)</f>
        <v>17</v>
      </c>
      <c r="J2637" s="35" t="str">
        <f>IFERROR(__xludf.DUMMYFUNCTION("""COMPUTED_VALUE"""),"&lt; 18 tahun")</f>
        <v>&lt; 18 tahun</v>
      </c>
      <c r="K2637" s="21" t="str">
        <f>IFERROR(__xludf.DUMMYFUNCTION("""COMPUTED_VALUE"""),"24/10/2008")</f>
        <v>24/10/2008</v>
      </c>
      <c r="L2637" s="21" t="str">
        <f>IFERROR(__xludf.DUMMYFUNCTION("""COMPUTED_VALUE"""),"LAKI-LAKI")</f>
        <v>LAKI-LAKI</v>
      </c>
      <c r="M2637" s="35" t="str">
        <f>IFERROR(__xludf.DUMMYFUNCTION("""COMPUTED_VALUE"""),"JALAN TABRANI ACHMAD KOMPLEK MITRA UTAMA 2 NO 39C")</f>
        <v>JALAN TABRANI ACHMAD KOMPLEK MITRA UTAMA 2 NO 39C</v>
      </c>
      <c r="N2637" s="35" t="str">
        <f>IFERROR(__xludf.DUMMYFUNCTION("""COMPUTED_VALUE"""),"PAL5")</f>
        <v>PAL5</v>
      </c>
      <c r="O2637" s="35" t="str">
        <f>IFERROR(__xludf.DUMMYFUNCTION("""COMPUTED_VALUE"""),"PONTIANAK BARAT")</f>
        <v>PONTIANAK BARAT</v>
      </c>
      <c r="P2637" s="35" t="str">
        <f>IFERROR(__xludf.DUMMYFUNCTION("""COMPUTED_VALUE"""),"PONTIANAK")</f>
        <v>PONTIANAK</v>
      </c>
      <c r="Q2637" s="35" t="str">
        <f>IFERROR(__xludf.DUMMYFUNCTION("""COMPUTED_VALUE"""),"KALIMANTAN BARAT")</f>
        <v>KALIMANTAN BARAT</v>
      </c>
      <c r="R2637" s="21" t="str">
        <f>IFERROR(__xludf.DUMMYFUNCTION("""COMPUTED_VALUE"""),"ISLAM")</f>
        <v>ISLAM</v>
      </c>
      <c r="S2637" s="74" t="str">
        <f>IFERROR(__xludf.DUMMYFUNCTION("""COMPUTED_VALUE"""),"BLUM ADA")</f>
        <v>BLUM ADA</v>
      </c>
      <c r="T2637" s="35" t="str">
        <f>IFERROR(__xludf.DUMMYFUNCTION("""COMPUTED_VALUE"""),"KAKI")</f>
        <v>KAKI</v>
      </c>
      <c r="U2637" s="35" t="str">
        <f>IFERROR(__xludf.DUMMYFUNCTION("""COMPUTED_VALUE"""),"OLAHRAGA")</f>
        <v>OLAHRAGA</v>
      </c>
      <c r="V2637" s="37" t="str">
        <f>IFERROR(__xludf.DUMMYFUNCTION("""COMPUTED_VALUE"""),"0895370483380")</f>
        <v>0895370483380</v>
      </c>
      <c r="W2637" s="45"/>
    </row>
    <row r="2638">
      <c r="A2638" s="45"/>
      <c r="B2638" s="24" t="str">
        <f>IFERROR(__xludf.DUMMYFUNCTION("""COMPUTED_VALUE"""),"18/07/2025 9:20:23")</f>
        <v>18/07/2025 9:20:23</v>
      </c>
      <c r="C2638" s="35"/>
      <c r="D2638" s="10">
        <f>IFERROR(__xludf.DUMMYFUNCTION("""COMPUTED_VALUE"""),45856.0)</f>
        <v>45856</v>
      </c>
      <c r="E2638" s="35" t="str">
        <f>IFERROR(__xludf.DUMMYFUNCTION("""COMPUTED_VALUE"""),"07Jul")</f>
        <v>07Jul</v>
      </c>
      <c r="F2638" s="34" t="str">
        <f>IFERROR(__xludf.DUMMYFUNCTION("""COMPUTED_VALUE"""),"2025")</f>
        <v>2025</v>
      </c>
      <c r="G2638" s="35" t="str">
        <f>IFERROR(__xludf.DUMMYFUNCTION("""COMPUTED_VALUE"""),"MISNAWATI")</f>
        <v>MISNAWATI</v>
      </c>
      <c r="H2638" s="35" t="str">
        <f>IFERROR(__xludf.DUMMYFUNCTION("""COMPUTED_VALUE"""),"M8525072053")</f>
        <v>M8525072053</v>
      </c>
      <c r="I2638" s="35">
        <f>IFERROR(__xludf.DUMMYFUNCTION("""COMPUTED_VALUE"""),41.0)</f>
        <v>41</v>
      </c>
      <c r="J2638" s="35" t="str">
        <f>IFERROR(__xludf.DUMMYFUNCTION("""COMPUTED_VALUE"""),"35-44 tahun")</f>
        <v>35-44 tahun</v>
      </c>
      <c r="K2638" s="21" t="str">
        <f>IFERROR(__xludf.DUMMYFUNCTION("""COMPUTED_VALUE"""),"08/01/1985")</f>
        <v>08/01/1985</v>
      </c>
      <c r="L2638" s="21" t="str">
        <f>IFERROR(__xludf.DUMMYFUNCTION("""COMPUTED_VALUE"""),"PEREMPUAN")</f>
        <v>PEREMPUAN</v>
      </c>
      <c r="M2638" s="35" t="str">
        <f>IFERROR(__xludf.DUMMYFUNCTION("""COMPUTED_VALUE"""),"JL BABURAZAK BARAT")</f>
        <v>JL BABURAZAK BARAT</v>
      </c>
      <c r="N2638" s="35" t="str">
        <f>IFERROR(__xludf.DUMMYFUNCTION("""COMPUTED_VALUE"""),"PADANG TIKAR SATU")</f>
        <v>PADANG TIKAR SATU</v>
      </c>
      <c r="O2638" s="35" t="str">
        <f>IFERROR(__xludf.DUMMYFUNCTION("""COMPUTED_VALUE"""),"BATU AMPAR")</f>
        <v>BATU AMPAR</v>
      </c>
      <c r="P2638" s="35" t="str">
        <f>IFERROR(__xludf.DUMMYFUNCTION("""COMPUTED_VALUE"""),"KUBU RAYA")</f>
        <v>KUBU RAYA</v>
      </c>
      <c r="Q2638" s="35" t="str">
        <f>IFERROR(__xludf.DUMMYFUNCTION("""COMPUTED_VALUE"""),"KALIMANTAN BARAT")</f>
        <v>KALIMANTAN BARAT</v>
      </c>
      <c r="R2638" s="21" t="str">
        <f>IFERROR(__xludf.DUMMYFUNCTION("""COMPUTED_VALUE"""),"ISLAM")</f>
        <v>ISLAM</v>
      </c>
      <c r="S2638" s="74" t="str">
        <f>IFERROR(__xludf.DUMMYFUNCTION("""COMPUTED_VALUE"""),"IBU RUMAH TANGGA")</f>
        <v>IBU RUMAH TANGGA</v>
      </c>
      <c r="T2638" s="35" t="str">
        <f>IFERROR(__xludf.DUMMYFUNCTION("""COMPUTED_VALUE"""),"SARAP KEJEPIT")</f>
        <v>SARAP KEJEPIT</v>
      </c>
      <c r="U2638" s="35" t="str">
        <f>IFERROR(__xludf.DUMMYFUNCTION("""COMPUTED_VALUE"""),"MEMASAK")</f>
        <v>MEMASAK</v>
      </c>
      <c r="V2638" s="37" t="str">
        <f>IFERROR(__xludf.DUMMYFUNCTION("""COMPUTED_VALUE"""),"085250732053")</f>
        <v>085250732053</v>
      </c>
      <c r="W2638" s="45"/>
    </row>
    <row r="2639">
      <c r="A2639" s="45"/>
      <c r="B2639" s="24" t="str">
        <f>IFERROR(__xludf.DUMMYFUNCTION("""COMPUTED_VALUE"""),"18/07/2025 13:07:00")</f>
        <v>18/07/2025 13:07:00</v>
      </c>
      <c r="C2639" s="35"/>
      <c r="D2639" s="10">
        <f>IFERROR(__xludf.DUMMYFUNCTION("""COMPUTED_VALUE"""),45856.0)</f>
        <v>45856</v>
      </c>
      <c r="E2639" s="35" t="str">
        <f>IFERROR(__xludf.DUMMYFUNCTION("""COMPUTED_VALUE"""),"07Jul")</f>
        <v>07Jul</v>
      </c>
      <c r="F2639" s="34" t="str">
        <f>IFERROR(__xludf.DUMMYFUNCTION("""COMPUTED_VALUE"""),"2025")</f>
        <v>2025</v>
      </c>
      <c r="G2639" s="35" t="str">
        <f>IFERROR(__xludf.DUMMYFUNCTION("""COMPUTED_VALUE"""),"WELY")</f>
        <v>WELY</v>
      </c>
      <c r="H2639" s="35" t="str">
        <f>IFERROR(__xludf.DUMMYFUNCTION("""COMPUTED_VALUE"""),"W8025078200")</f>
        <v>W8025078200</v>
      </c>
      <c r="I2639" s="35">
        <f>IFERROR(__xludf.DUMMYFUNCTION("""COMPUTED_VALUE"""),45.0)</f>
        <v>45</v>
      </c>
      <c r="J2639" s="35" t="str">
        <f>IFERROR(__xludf.DUMMYFUNCTION("""COMPUTED_VALUE"""),"&gt; 44 tahun")</f>
        <v>&gt; 44 tahun</v>
      </c>
      <c r="K2639" s="21" t="str">
        <f>IFERROR(__xludf.DUMMYFUNCTION("""COMPUTED_VALUE"""),"27/08/1980")</f>
        <v>27/08/1980</v>
      </c>
      <c r="L2639" s="21" t="str">
        <f>IFERROR(__xludf.DUMMYFUNCTION("""COMPUTED_VALUE"""),"LAKI-LAKI")</f>
        <v>LAKI-LAKI</v>
      </c>
      <c r="M2639" s="35" t="str">
        <f>IFERROR(__xludf.DUMMYFUNCTION("""COMPUTED_VALUE"""),"JL. ADI SUCIPTO GG. BUANA NO. 4")</f>
        <v>JL. ADI SUCIPTO GG. BUANA NO. 4</v>
      </c>
      <c r="N2639" s="35" t="str">
        <f>IFERROR(__xludf.DUMMYFUNCTION("""COMPUTED_VALUE"""),"SUNGAI RAYA")</f>
        <v>SUNGAI RAYA</v>
      </c>
      <c r="O2639" s="35" t="str">
        <f>IFERROR(__xludf.DUMMYFUNCTION("""COMPUTED_VALUE"""),"SUNGAI RAYA")</f>
        <v>SUNGAI RAYA</v>
      </c>
      <c r="P2639" s="35" t="str">
        <f>IFERROR(__xludf.DUMMYFUNCTION("""COMPUTED_VALUE"""),"KUBU RAYA")</f>
        <v>KUBU RAYA</v>
      </c>
      <c r="Q2639" s="35" t="str">
        <f>IFERROR(__xludf.DUMMYFUNCTION("""COMPUTED_VALUE"""),"KALIMANTAN BARAT")</f>
        <v>KALIMANTAN BARAT</v>
      </c>
      <c r="R2639" s="21" t="str">
        <f>IFERROR(__xludf.DUMMYFUNCTION("""COMPUTED_VALUE"""),"KATOLIK")</f>
        <v>KATOLIK</v>
      </c>
      <c r="S2639" s="74" t="str">
        <f>IFERROR(__xludf.DUMMYFUNCTION("""COMPUTED_VALUE"""),"KARYAWAN SWASTA")</f>
        <v>KARYAWAN SWASTA</v>
      </c>
      <c r="T2639" s="35" t="str">
        <f>IFERROR(__xludf.DUMMYFUNCTION("""COMPUTED_VALUE"""),"DAERAH BELAKANG LUTUT KAKI KANAN SAKIT")</f>
        <v>DAERAH BELAKANG LUTUT KAKI KANAN SAKIT</v>
      </c>
      <c r="U2639" s="35" t="str">
        <f>IFERROR(__xludf.DUMMYFUNCTION("""COMPUTED_VALUE"""),"SEPAK BOLA")</f>
        <v>SEPAK BOLA</v>
      </c>
      <c r="V2639" s="37" t="str">
        <f>IFERROR(__xludf.DUMMYFUNCTION("""COMPUTED_VALUE"""),"085252528200")</f>
        <v>085252528200</v>
      </c>
      <c r="W2639" s="45"/>
    </row>
    <row r="2640">
      <c r="A2640" s="45"/>
      <c r="B2640" s="24" t="str">
        <f>IFERROR(__xludf.DUMMYFUNCTION("""COMPUTED_VALUE"""),"19/07/2025 10:46:28")</f>
        <v>19/07/2025 10:46:28</v>
      </c>
      <c r="C2640" s="35"/>
      <c r="D2640" s="10">
        <f>IFERROR(__xludf.DUMMYFUNCTION("""COMPUTED_VALUE"""),45857.0)</f>
        <v>45857</v>
      </c>
      <c r="E2640" s="35" t="str">
        <f>IFERROR(__xludf.DUMMYFUNCTION("""COMPUTED_VALUE"""),"07Jul")</f>
        <v>07Jul</v>
      </c>
      <c r="F2640" s="34" t="str">
        <f>IFERROR(__xludf.DUMMYFUNCTION("""COMPUTED_VALUE"""),"2025")</f>
        <v>2025</v>
      </c>
      <c r="G2640" s="35" t="str">
        <f>IFERROR(__xludf.DUMMYFUNCTION("""COMPUTED_VALUE"""),"MARDIAH")</f>
        <v>MARDIAH</v>
      </c>
      <c r="H2640" s="35" t="str">
        <f>IFERROR(__xludf.DUMMYFUNCTION("""COMPUTED_VALUE"""),"M9525074050")</f>
        <v>M9525074050</v>
      </c>
      <c r="I2640" s="35">
        <f>IFERROR(__xludf.DUMMYFUNCTION("""COMPUTED_VALUE"""),30.0)</f>
        <v>30</v>
      </c>
      <c r="J2640" s="35" t="str">
        <f>IFERROR(__xludf.DUMMYFUNCTION("""COMPUTED_VALUE"""),"25-34 tahun")</f>
        <v>25-34 tahun</v>
      </c>
      <c r="K2640" s="21" t="str">
        <f>IFERROR(__xludf.DUMMYFUNCTION("""COMPUTED_VALUE"""),"02/07/1995")</f>
        <v>02/07/1995</v>
      </c>
      <c r="L2640" s="21" t="str">
        <f>IFERROR(__xludf.DUMMYFUNCTION("""COMPUTED_VALUE"""),"PEREMPUAN")</f>
        <v>PEREMPUAN</v>
      </c>
      <c r="M2640" s="35" t="str">
        <f>IFERROR(__xludf.DUMMYFUNCTION("""COMPUTED_VALUE"""),"DUSUN SUNGAI AYAK")</f>
        <v>DUSUN SUNGAI AYAK</v>
      </c>
      <c r="N2640" s="35" t="str">
        <f>IFERROR(__xludf.DUMMYFUNCTION("""COMPUTED_VALUE"""),"SUNGAI AYAK 2")</f>
        <v>SUNGAI AYAK 2</v>
      </c>
      <c r="O2640" s="35" t="str">
        <f>IFERROR(__xludf.DUMMYFUNCTION("""COMPUTED_VALUE"""),"BELITANG HILIR")</f>
        <v>BELITANG HILIR</v>
      </c>
      <c r="P2640" s="35" t="str">
        <f>IFERROR(__xludf.DUMMYFUNCTION("""COMPUTED_VALUE"""),"SEKADAU")</f>
        <v>SEKADAU</v>
      </c>
      <c r="Q2640" s="35" t="str">
        <f>IFERROR(__xludf.DUMMYFUNCTION("""COMPUTED_VALUE"""),"KALIMANTAN BARAT")</f>
        <v>KALIMANTAN BARAT</v>
      </c>
      <c r="R2640" s="21" t="str">
        <f>IFERROR(__xludf.DUMMYFUNCTION("""COMPUTED_VALUE"""),"ISLAM")</f>
        <v>ISLAM</v>
      </c>
      <c r="S2640" s="74" t="str">
        <f>IFERROR(__xludf.DUMMYFUNCTION("""COMPUTED_VALUE"""),"IBU RUMAH TANGGA")</f>
        <v>IBU RUMAH TANGGA</v>
      </c>
      <c r="T2640" s="35" t="str">
        <f>IFERROR(__xludf.DUMMYFUNCTION("""COMPUTED_VALUE"""),"TREMOR DI BAGIAN LEHER")</f>
        <v>TREMOR DI BAGIAN LEHER</v>
      </c>
      <c r="U2640" s="35" t="str">
        <f>IFERROR(__xludf.DUMMYFUNCTION("""COMPUTED_VALUE"""),"HANYA IBU RUMAH TANGGA BIASA")</f>
        <v>HANYA IBU RUMAH TANGGA BIASA</v>
      </c>
      <c r="V2640" s="37" t="str">
        <f>IFERROR(__xludf.DUMMYFUNCTION("""COMPUTED_VALUE"""),"082157064050")</f>
        <v>082157064050</v>
      </c>
      <c r="W2640" s="45"/>
    </row>
    <row r="2641">
      <c r="A2641" s="45"/>
      <c r="B2641" s="24" t="str">
        <f>IFERROR(__xludf.DUMMYFUNCTION("""COMPUTED_VALUE"""),"19/07/2025 10:09:22")</f>
        <v>19/07/2025 10:09:22</v>
      </c>
      <c r="C2641" s="35"/>
      <c r="D2641" s="10">
        <f>IFERROR(__xludf.DUMMYFUNCTION("""COMPUTED_VALUE"""),45857.0)</f>
        <v>45857</v>
      </c>
      <c r="E2641" s="35" t="str">
        <f>IFERROR(__xludf.DUMMYFUNCTION("""COMPUTED_VALUE"""),"07Jul")</f>
        <v>07Jul</v>
      </c>
      <c r="F2641" s="34" t="str">
        <f>IFERROR(__xludf.DUMMYFUNCTION("""COMPUTED_VALUE"""),"2025")</f>
        <v>2025</v>
      </c>
      <c r="G2641" s="35" t="str">
        <f>IFERROR(__xludf.DUMMYFUNCTION("""COMPUTED_VALUE"""),"EKA LESTARI")</f>
        <v>EKA LESTARI</v>
      </c>
      <c r="H2641" s="35" t="str">
        <f>IFERROR(__xludf.DUMMYFUNCTION("""COMPUTED_VALUE"""),"E8825071979")</f>
        <v>E8825071979</v>
      </c>
      <c r="I2641" s="35">
        <f>IFERROR(__xludf.DUMMYFUNCTION("""COMPUTED_VALUE"""),37.0)</f>
        <v>37</v>
      </c>
      <c r="J2641" s="35" t="str">
        <f>IFERROR(__xludf.DUMMYFUNCTION("""COMPUTED_VALUE"""),"35-44 tahun")</f>
        <v>35-44 tahun</v>
      </c>
      <c r="K2641" s="21" t="str">
        <f>IFERROR(__xludf.DUMMYFUNCTION("""COMPUTED_VALUE"""),"09/10/1988")</f>
        <v>09/10/1988</v>
      </c>
      <c r="L2641" s="21" t="str">
        <f>IFERROR(__xludf.DUMMYFUNCTION("""COMPUTED_VALUE"""),"PEREMPUAN")</f>
        <v>PEREMPUAN</v>
      </c>
      <c r="M2641" s="35" t="str">
        <f>IFERROR(__xludf.DUMMYFUNCTION("""COMPUTED_VALUE"""),"JL. DR. WAHIDIN GG. SEPAKAT 4 NO 6")</f>
        <v>JL. DR. WAHIDIN GG. SEPAKAT 4 NO 6</v>
      </c>
      <c r="N2641" s="35" t="str">
        <f>IFERROR(__xludf.DUMMYFUNCTION("""COMPUTED_VALUE"""),"SUNGAI JAWI")</f>
        <v>SUNGAI JAWI</v>
      </c>
      <c r="O2641" s="35" t="str">
        <f>IFERROR(__xludf.DUMMYFUNCTION("""COMPUTED_VALUE"""),"PONTIANAK KOTA")</f>
        <v>PONTIANAK KOTA</v>
      </c>
      <c r="P2641" s="35" t="str">
        <f>IFERROR(__xludf.DUMMYFUNCTION("""COMPUTED_VALUE"""),"KOTA PONTIANAK")</f>
        <v>KOTA PONTIANAK</v>
      </c>
      <c r="Q2641" s="35" t="str">
        <f>IFERROR(__xludf.DUMMYFUNCTION("""COMPUTED_VALUE"""),"KALIMANTAN BARAT")</f>
        <v>KALIMANTAN BARAT</v>
      </c>
      <c r="R2641" s="21" t="str">
        <f>IFERROR(__xludf.DUMMYFUNCTION("""COMPUTED_VALUE"""),"ISLAM")</f>
        <v>ISLAM</v>
      </c>
      <c r="S2641" s="74" t="str">
        <f>IFERROR(__xludf.DUMMYFUNCTION("""COMPUTED_VALUE"""),"PNS")</f>
        <v>PNS</v>
      </c>
      <c r="T2641" s="35" t="str">
        <f>IFERROR(__xludf.DUMMYFUNCTION("""COMPUTED_VALUE"""),"PERSENDIAN BAHU KAKU, TERASA SAKIT APABILA TANGAN TIDAK BISA DI ANGKAT")</f>
        <v>PERSENDIAN BAHU KAKU, TERASA SAKIT APABILA TANGAN TIDAK BISA DI ANGKAT</v>
      </c>
      <c r="U2641" s="35" t="str">
        <f>IFERROR(__xludf.DUMMYFUNCTION("""COMPUTED_VALUE"""),"-")</f>
        <v>-</v>
      </c>
      <c r="V2641" s="37" t="str">
        <f>IFERROR(__xludf.DUMMYFUNCTION("""COMPUTED_VALUE"""),"085797191979")</f>
        <v>085797191979</v>
      </c>
      <c r="W2641" s="45"/>
    </row>
    <row r="2642">
      <c r="A2642" s="45"/>
      <c r="B2642" s="24" t="str">
        <f>IFERROR(__xludf.DUMMYFUNCTION("""COMPUTED_VALUE"""),"19/07/2025 12:55:15")</f>
        <v>19/07/2025 12:55:15</v>
      </c>
      <c r="C2642" s="35"/>
      <c r="D2642" s="10">
        <f>IFERROR(__xludf.DUMMYFUNCTION("""COMPUTED_VALUE"""),45857.0)</f>
        <v>45857</v>
      </c>
      <c r="E2642" s="35" t="str">
        <f>IFERROR(__xludf.DUMMYFUNCTION("""COMPUTED_VALUE"""),"07Jul")</f>
        <v>07Jul</v>
      </c>
      <c r="F2642" s="34" t="str">
        <f>IFERROR(__xludf.DUMMYFUNCTION("""COMPUTED_VALUE"""),"2025")</f>
        <v>2025</v>
      </c>
      <c r="G2642" s="35" t="str">
        <f>IFERROR(__xludf.DUMMYFUNCTION("""COMPUTED_VALUE"""),"MARDIANA 6909")</f>
        <v>MARDIANA 6909</v>
      </c>
      <c r="H2642" s="35" t="str">
        <f>IFERROR(__xludf.DUMMYFUNCTION("""COMPUTED_VALUE"""),"M6925074405")</f>
        <v>M6925074405</v>
      </c>
      <c r="I2642" s="35">
        <f>IFERROR(__xludf.DUMMYFUNCTION("""COMPUTED_VALUE"""),56.0)</f>
        <v>56</v>
      </c>
      <c r="J2642" s="35" t="str">
        <f>IFERROR(__xludf.DUMMYFUNCTION("""COMPUTED_VALUE"""),"&gt; 44 tahun")</f>
        <v>&gt; 44 tahun</v>
      </c>
      <c r="K2642" s="21" t="str">
        <f>IFERROR(__xludf.DUMMYFUNCTION("""COMPUTED_VALUE"""),"08/09/1969")</f>
        <v>08/09/1969</v>
      </c>
      <c r="L2642" s="21" t="str">
        <f>IFERROR(__xludf.DUMMYFUNCTION("""COMPUTED_VALUE"""),"PEREMPUAN")</f>
        <v>PEREMPUAN</v>
      </c>
      <c r="M2642" s="35" t="str">
        <f>IFERROR(__xludf.DUMMYFUNCTION("""COMPUTED_VALUE"""),"KOMP. PIL BLOK E3 NO 10-11")</f>
        <v>KOMP. PIL BLOK E3 NO 10-11</v>
      </c>
      <c r="N2642" s="35" t="str">
        <f>IFERROR(__xludf.DUMMYFUNCTION("""COMPUTED_VALUE"""),"PARIT BARU")</f>
        <v>PARIT BARU</v>
      </c>
      <c r="O2642" s="35" t="str">
        <f>IFERROR(__xludf.DUMMYFUNCTION("""COMPUTED_VALUE"""),"SUNGAI RAYA")</f>
        <v>SUNGAI RAYA</v>
      </c>
      <c r="P2642" s="35" t="str">
        <f>IFERROR(__xludf.DUMMYFUNCTION("""COMPUTED_VALUE"""),"KUBU RAYA")</f>
        <v>KUBU RAYA</v>
      </c>
      <c r="Q2642" s="35" t="str">
        <f>IFERROR(__xludf.DUMMYFUNCTION("""COMPUTED_VALUE"""),"KALIMANTAN BARAT")</f>
        <v>KALIMANTAN BARAT</v>
      </c>
      <c r="R2642" s="21" t="str">
        <f>IFERROR(__xludf.DUMMYFUNCTION("""COMPUTED_VALUE"""),"ISLAM")</f>
        <v>ISLAM</v>
      </c>
      <c r="S2642" s="74" t="str">
        <f>IFERROR(__xludf.DUMMYFUNCTION("""COMPUTED_VALUE"""),"WIRAUSAHA")</f>
        <v>WIRAUSAHA</v>
      </c>
      <c r="T2642" s="35" t="str">
        <f>IFERROR(__xludf.DUMMYFUNCTION("""COMPUTED_VALUE"""),"NYERI DI BAGIAN LUTUT")</f>
        <v>NYERI DI BAGIAN LUTUT</v>
      </c>
      <c r="U2642" s="35" t="str">
        <f>IFERROR(__xludf.DUMMYFUNCTION("""COMPUTED_VALUE"""),"TERLALU LAMA BERDIRI SAAT MEMASAK")</f>
        <v>TERLALU LAMA BERDIRI SAAT MEMASAK</v>
      </c>
      <c r="V2642" s="37" t="str">
        <f>IFERROR(__xludf.DUMMYFUNCTION("""COMPUTED_VALUE"""),"089526584405")</f>
        <v>089526584405</v>
      </c>
      <c r="W2642" s="45"/>
    </row>
    <row r="2643">
      <c r="A2643" s="45"/>
      <c r="B2643" s="24" t="str">
        <f>IFERROR(__xludf.DUMMYFUNCTION("""COMPUTED_VALUE"""),"19/07/2025 12:58:23")</f>
        <v>19/07/2025 12:58:23</v>
      </c>
      <c r="C2643" s="35"/>
      <c r="D2643" s="10">
        <f>IFERROR(__xludf.DUMMYFUNCTION("""COMPUTED_VALUE"""),45857.0)</f>
        <v>45857</v>
      </c>
      <c r="E2643" s="35" t="str">
        <f>IFERROR(__xludf.DUMMYFUNCTION("""COMPUTED_VALUE"""),"07Jul")</f>
        <v>07Jul</v>
      </c>
      <c r="F2643" s="34" t="str">
        <f>IFERROR(__xludf.DUMMYFUNCTION("""COMPUTED_VALUE"""),"2025")</f>
        <v>2025</v>
      </c>
      <c r="G2643" s="35" t="str">
        <f>IFERROR(__xludf.DUMMYFUNCTION("""COMPUTED_VALUE"""),"CECILIA SULISTIANI")</f>
        <v>CECILIA SULISTIANI</v>
      </c>
      <c r="H2643" s="35" t="str">
        <f>IFERROR(__xludf.DUMMYFUNCTION("""COMPUTED_VALUE"""),"C9425077017")</f>
        <v>C9425077017</v>
      </c>
      <c r="I2643" s="35">
        <f>IFERROR(__xludf.DUMMYFUNCTION("""COMPUTED_VALUE"""),32.0)</f>
        <v>32</v>
      </c>
      <c r="J2643" s="35" t="str">
        <f>IFERROR(__xludf.DUMMYFUNCTION("""COMPUTED_VALUE"""),"25-34 tahun")</f>
        <v>25-34 tahun</v>
      </c>
      <c r="K2643" s="21" t="str">
        <f>IFERROR(__xludf.DUMMYFUNCTION("""COMPUTED_VALUE"""),"29/04/1994")</f>
        <v>29/04/1994</v>
      </c>
      <c r="L2643" s="21" t="str">
        <f>IFERROR(__xludf.DUMMYFUNCTION("""COMPUTED_VALUE"""),"PEREMPUAN")</f>
        <v>PEREMPUAN</v>
      </c>
      <c r="M2643" s="35" t="str">
        <f>IFERROR(__xludf.DUMMYFUNCTION("""COMPUTED_VALUE"""),"JL. PELITA 1")</f>
        <v>JL. PELITA 1</v>
      </c>
      <c r="N2643" s="35" t="str">
        <f>IFERROR(__xludf.DUMMYFUNCTION("""COMPUTED_VALUE"""),"PUNGGUR KECIL")</f>
        <v>PUNGGUR KECIL</v>
      </c>
      <c r="O2643" s="35" t="str">
        <f>IFERROR(__xludf.DUMMYFUNCTION("""COMPUTED_VALUE"""),"SUNGAI KAKAP")</f>
        <v>SUNGAI KAKAP</v>
      </c>
      <c r="P2643" s="35" t="str">
        <f>IFERROR(__xludf.DUMMYFUNCTION("""COMPUTED_VALUE"""),"PONTIANAK")</f>
        <v>PONTIANAK</v>
      </c>
      <c r="Q2643" s="35" t="str">
        <f>IFERROR(__xludf.DUMMYFUNCTION("""COMPUTED_VALUE"""),"KALIMANTAN BARAT")</f>
        <v>KALIMANTAN BARAT</v>
      </c>
      <c r="R2643" s="21" t="str">
        <f>IFERROR(__xludf.DUMMYFUNCTION("""COMPUTED_VALUE"""),"KATOLIK")</f>
        <v>KATOLIK</v>
      </c>
      <c r="S2643" s="74" t="str">
        <f>IFERROR(__xludf.DUMMYFUNCTION("""COMPUTED_VALUE"""),"KARYAWAN SWASTA")</f>
        <v>KARYAWAN SWASTA</v>
      </c>
      <c r="T2643" s="35" t="str">
        <f>IFERROR(__xludf.DUMMYFUNCTION("""COMPUTED_VALUE"""),"TANGAN KANAN SAKIT/PEGAL")</f>
        <v>TANGAN KANAN SAKIT/PEGAL</v>
      </c>
      <c r="U2643" s="35" t="str">
        <f>IFERROR(__xludf.DUMMYFUNCTION("""COMPUTED_VALUE"""),"BADMINTON")</f>
        <v>BADMINTON</v>
      </c>
      <c r="V2643" s="37" t="str">
        <f>IFERROR(__xludf.DUMMYFUNCTION("""COMPUTED_VALUE"""),"081258507017")</f>
        <v>081258507017</v>
      </c>
      <c r="W2643" s="45"/>
    </row>
    <row r="2644">
      <c r="A2644" s="45"/>
      <c r="B2644" s="24" t="str">
        <f>IFERROR(__xludf.DUMMYFUNCTION("""COMPUTED_VALUE"""),"19/07/2025 14:16:53")</f>
        <v>19/07/2025 14:16:53</v>
      </c>
      <c r="C2644" s="35"/>
      <c r="D2644" s="10">
        <f>IFERROR(__xludf.DUMMYFUNCTION("""COMPUTED_VALUE"""),45857.0)</f>
        <v>45857</v>
      </c>
      <c r="E2644" s="35" t="str">
        <f>IFERROR(__xludf.DUMMYFUNCTION("""COMPUTED_VALUE"""),"07Jul")</f>
        <v>07Jul</v>
      </c>
      <c r="F2644" s="34" t="str">
        <f>IFERROR(__xludf.DUMMYFUNCTION("""COMPUTED_VALUE"""),"2025")</f>
        <v>2025</v>
      </c>
      <c r="G2644" s="35" t="str">
        <f>IFERROR(__xludf.DUMMYFUNCTION("""COMPUTED_VALUE"""),"AB. IQBAL PRATAMA")</f>
        <v>AB. IQBAL PRATAMA</v>
      </c>
      <c r="H2644" s="35" t="str">
        <f>IFERROR(__xludf.DUMMYFUNCTION("""COMPUTED_VALUE"""),"A0625072853")</f>
        <v>A0625072853</v>
      </c>
      <c r="I2644" s="35">
        <f>IFERROR(__xludf.DUMMYFUNCTION("""COMPUTED_VALUE"""),20.0)</f>
        <v>20</v>
      </c>
      <c r="J2644" s="35" t="str">
        <f>IFERROR(__xludf.DUMMYFUNCTION("""COMPUTED_VALUE"""),"18-24 tahun")</f>
        <v>18-24 tahun</v>
      </c>
      <c r="K2644" s="21" t="str">
        <f>IFERROR(__xludf.DUMMYFUNCTION("""COMPUTED_VALUE"""),"27/05/2006")</f>
        <v>27/05/2006</v>
      </c>
      <c r="L2644" s="21" t="str">
        <f>IFERROR(__xludf.DUMMYFUNCTION("""COMPUTED_VALUE"""),"LAKI-LAKI")</f>
        <v>LAKI-LAKI</v>
      </c>
      <c r="M2644" s="35" t="str">
        <f>IFERROR(__xludf.DUMMYFUNCTION("""COMPUTED_VALUE"""),"GANG BAROKAH")</f>
        <v>GANG BAROKAH</v>
      </c>
      <c r="N2644" s="35" t="str">
        <f>IFERROR(__xludf.DUMMYFUNCTION("""COMPUTED_VALUE"""),"MUNGGUK")</f>
        <v>MUNGGUK</v>
      </c>
      <c r="O2644" s="35" t="str">
        <f>IFERROR(__xludf.DUMMYFUNCTION("""COMPUTED_VALUE"""),"SEKADAU HILIR")</f>
        <v>SEKADAU HILIR</v>
      </c>
      <c r="P2644" s="35" t="str">
        <f>IFERROR(__xludf.DUMMYFUNCTION("""COMPUTED_VALUE"""),"SEKADAU")</f>
        <v>SEKADAU</v>
      </c>
      <c r="Q2644" s="35" t="str">
        <f>IFERROR(__xludf.DUMMYFUNCTION("""COMPUTED_VALUE"""),"KALIMANTAN BARAT")</f>
        <v>KALIMANTAN BARAT</v>
      </c>
      <c r="R2644" s="21" t="str">
        <f>IFERROR(__xludf.DUMMYFUNCTION("""COMPUTED_VALUE"""),"ISLAM")</f>
        <v>ISLAM</v>
      </c>
      <c r="S2644" s="74" t="str">
        <f>IFERROR(__xludf.DUMMYFUNCTION("""COMPUTED_VALUE"""),"PELAJAR/MAHASISWA")</f>
        <v>PELAJAR/MAHASISWA</v>
      </c>
      <c r="T2644" s="35" t="str">
        <f>IFERROR(__xludf.DUMMYFUNCTION("""COMPUTED_VALUE"""),"DISLOCATION")</f>
        <v>DISLOCATION</v>
      </c>
      <c r="U2644" s="35" t="str">
        <f>IFERROR(__xludf.DUMMYFUNCTION("""COMPUTED_VALUE"""),"FUTSAL")</f>
        <v>FUTSAL</v>
      </c>
      <c r="V2644" s="37" t="str">
        <f>IFERROR(__xludf.DUMMYFUNCTION("""COMPUTED_VALUE"""),"085654952853")</f>
        <v>085654952853</v>
      </c>
      <c r="W2644" s="45"/>
    </row>
    <row r="2645">
      <c r="A2645" s="45"/>
      <c r="B2645" s="24" t="str">
        <f>IFERROR(__xludf.DUMMYFUNCTION("""COMPUTED_VALUE"""),"19/07/2025 15:33:19")</f>
        <v>19/07/2025 15:33:19</v>
      </c>
      <c r="C2645" s="35"/>
      <c r="D2645" s="10">
        <f>IFERROR(__xludf.DUMMYFUNCTION("""COMPUTED_VALUE"""),45857.0)</f>
        <v>45857</v>
      </c>
      <c r="E2645" s="35" t="str">
        <f>IFERROR(__xludf.DUMMYFUNCTION("""COMPUTED_VALUE"""),"07Jul")</f>
        <v>07Jul</v>
      </c>
      <c r="F2645" s="34" t="str">
        <f>IFERROR(__xludf.DUMMYFUNCTION("""COMPUTED_VALUE"""),"2025")</f>
        <v>2025</v>
      </c>
      <c r="G2645" s="35" t="str">
        <f>IFERROR(__xludf.DUMMYFUNCTION("""COMPUTED_VALUE"""),"YANNI")</f>
        <v>YANNI</v>
      </c>
      <c r="H2645" s="35" t="str">
        <f>IFERROR(__xludf.DUMMYFUNCTION("""COMPUTED_VALUE"""),"Y7425070607")</f>
        <v>Y7425070607</v>
      </c>
      <c r="I2645" s="35">
        <f>IFERROR(__xludf.DUMMYFUNCTION("""COMPUTED_VALUE"""),52.0)</f>
        <v>52</v>
      </c>
      <c r="J2645" s="35" t="str">
        <f>IFERROR(__xludf.DUMMYFUNCTION("""COMPUTED_VALUE"""),"&gt; 44 tahun")</f>
        <v>&gt; 44 tahun</v>
      </c>
      <c r="K2645" s="21" t="str">
        <f>IFERROR(__xludf.DUMMYFUNCTION("""COMPUTED_VALUE"""),"22/03/1974")</f>
        <v>22/03/1974</v>
      </c>
      <c r="L2645" s="21" t="str">
        <f>IFERROR(__xludf.DUMMYFUNCTION("""COMPUTED_VALUE"""),"PEREMPUAN")</f>
        <v>PEREMPUAN</v>
      </c>
      <c r="M2645" s="35" t="str">
        <f>IFERROR(__xludf.DUMMYFUNCTION("""COMPUTED_VALUE"""),"JL.KOMYOS SUDARSO KOMP.GOLDEN BALI BLOK C.05")</f>
        <v>JL.KOMYOS SUDARSO KOMP.GOLDEN BALI BLOK C.05</v>
      </c>
      <c r="N2645" s="35" t="str">
        <f>IFERROR(__xludf.DUMMYFUNCTION("""COMPUTED_VALUE"""),"SEI BELIUNG")</f>
        <v>SEI BELIUNG</v>
      </c>
      <c r="O2645" s="35" t="str">
        <f>IFERROR(__xludf.DUMMYFUNCTION("""COMPUTED_VALUE"""),"PONTIANAK BARAT")</f>
        <v>PONTIANAK BARAT</v>
      </c>
      <c r="P2645" s="35" t="str">
        <f>IFERROR(__xludf.DUMMYFUNCTION("""COMPUTED_VALUE"""),"PONTIANAK")</f>
        <v>PONTIANAK</v>
      </c>
      <c r="Q2645" s="35" t="str">
        <f>IFERROR(__xludf.DUMMYFUNCTION("""COMPUTED_VALUE"""),"KALIMANTAN BARAT")</f>
        <v>KALIMANTAN BARAT</v>
      </c>
      <c r="R2645" s="21" t="str">
        <f>IFERROR(__xludf.DUMMYFUNCTION("""COMPUTED_VALUE"""),"BUDDHA")</f>
        <v>BUDDHA</v>
      </c>
      <c r="S2645" s="74" t="str">
        <f>IFERROR(__xludf.DUMMYFUNCTION("""COMPUTED_VALUE"""),"IBU RMH TANGGA")</f>
        <v>IBU RMH TANGGA</v>
      </c>
      <c r="T2645" s="35" t="str">
        <f>IFERROR(__xludf.DUMMYFUNCTION("""COMPUTED_VALUE"""),"NYERI D PUNDAK")</f>
        <v>NYERI D PUNDAK</v>
      </c>
      <c r="U2645" s="35" t="str">
        <f>IFERROR(__xludf.DUMMYFUNCTION("""COMPUTED_VALUE"""),"NYUCI")</f>
        <v>NYUCI</v>
      </c>
      <c r="V2645" s="37" t="str">
        <f>IFERROR(__xludf.DUMMYFUNCTION("""COMPUTED_VALUE"""),"0895374060607")</f>
        <v>0895374060607</v>
      </c>
      <c r="W2645" s="45"/>
    </row>
    <row r="2646">
      <c r="A2646" s="45"/>
      <c r="B2646" s="24" t="str">
        <f>IFERROR(__xludf.DUMMYFUNCTION("""COMPUTED_VALUE"""),"19/07/2025 19:46:19")</f>
        <v>19/07/2025 19:46:19</v>
      </c>
      <c r="C2646" s="35"/>
      <c r="D2646" s="10">
        <f>IFERROR(__xludf.DUMMYFUNCTION("""COMPUTED_VALUE"""),45857.0)</f>
        <v>45857</v>
      </c>
      <c r="E2646" s="35" t="str">
        <f>IFERROR(__xludf.DUMMYFUNCTION("""COMPUTED_VALUE"""),"07Jul")</f>
        <v>07Jul</v>
      </c>
      <c r="F2646" s="34" t="str">
        <f>IFERROR(__xludf.DUMMYFUNCTION("""COMPUTED_VALUE"""),"2025")</f>
        <v>2025</v>
      </c>
      <c r="G2646" s="35" t="str">
        <f>IFERROR(__xludf.DUMMYFUNCTION("""COMPUTED_VALUE"""),"RIKA YOLANDA HUTAGAOL")</f>
        <v>RIKA YOLANDA HUTAGAOL</v>
      </c>
      <c r="H2646" s="35" t="str">
        <f>IFERROR(__xludf.DUMMYFUNCTION("""COMPUTED_VALUE"""),"R9525070095")</f>
        <v>R9525070095</v>
      </c>
      <c r="I2646" s="35">
        <f>IFERROR(__xludf.DUMMYFUNCTION("""COMPUTED_VALUE"""),30.0)</f>
        <v>30</v>
      </c>
      <c r="J2646" s="35" t="str">
        <f>IFERROR(__xludf.DUMMYFUNCTION("""COMPUTED_VALUE"""),"25-34 tahun")</f>
        <v>25-34 tahun</v>
      </c>
      <c r="K2646" s="21" t="str">
        <f>IFERROR(__xludf.DUMMYFUNCTION("""COMPUTED_VALUE"""),"31/08/1995")</f>
        <v>31/08/1995</v>
      </c>
      <c r="L2646" s="21" t="str">
        <f>IFERROR(__xludf.DUMMYFUNCTION("""COMPUTED_VALUE"""),"PEREMPUAN")</f>
        <v>PEREMPUAN</v>
      </c>
      <c r="M2646" s="35" t="str">
        <f>IFERROR(__xludf.DUMMYFUNCTION("""COMPUTED_VALUE"""),"JL PUTRI CANDRAMIDI GG EKAJAYA NO 2")</f>
        <v>JL PUTRI CANDRAMIDI GG EKAJAYA NO 2</v>
      </c>
      <c r="N2646" s="35" t="str">
        <f>IFERROR(__xludf.DUMMYFUNCTION("""COMPUTED_VALUE"""),"SUNGAI BANGKONG")</f>
        <v>SUNGAI BANGKONG</v>
      </c>
      <c r="O2646" s="35" t="str">
        <f>IFERROR(__xludf.DUMMYFUNCTION("""COMPUTED_VALUE"""),"PONTIANAK KOTA")</f>
        <v>PONTIANAK KOTA</v>
      </c>
      <c r="P2646" s="35" t="str">
        <f>IFERROR(__xludf.DUMMYFUNCTION("""COMPUTED_VALUE"""),"KOTA PONTIANAK")</f>
        <v>KOTA PONTIANAK</v>
      </c>
      <c r="Q2646" s="35" t="str">
        <f>IFERROR(__xludf.DUMMYFUNCTION("""COMPUTED_VALUE"""),"KALIMANTAN BARAT")</f>
        <v>KALIMANTAN BARAT</v>
      </c>
      <c r="R2646" s="21" t="str">
        <f>IFERROR(__xludf.DUMMYFUNCTION("""COMPUTED_VALUE"""),"PROTESTAN")</f>
        <v>PROTESTAN</v>
      </c>
      <c r="S2646" s="74" t="str">
        <f>IFERROR(__xludf.DUMMYFUNCTION("""COMPUTED_VALUE"""),"SWASTA")</f>
        <v>SWASTA</v>
      </c>
      <c r="T2646" s="35" t="str">
        <f>IFERROR(__xludf.DUMMYFUNCTION("""COMPUTED_VALUE"""),"HABIS JATUH BADMINTON")</f>
        <v>HABIS JATUH BADMINTON</v>
      </c>
      <c r="U2646" s="35" t="str">
        <f>IFERROR(__xludf.DUMMYFUNCTION("""COMPUTED_VALUE"""),"BADMINTON")</f>
        <v>BADMINTON</v>
      </c>
      <c r="V2646" s="37" t="str">
        <f>IFERROR(__xludf.DUMMYFUNCTION("""COMPUTED_VALUE"""),"081253440095")</f>
        <v>081253440095</v>
      </c>
      <c r="W2646" s="45"/>
    </row>
    <row r="2647">
      <c r="A2647" s="45"/>
      <c r="B2647" s="24" t="str">
        <f>IFERROR(__xludf.DUMMYFUNCTION("""COMPUTED_VALUE"""),"20/07/2025 12:47:45")</f>
        <v>20/07/2025 12:47:45</v>
      </c>
      <c r="C2647" s="35"/>
      <c r="D2647" s="10">
        <f>IFERROR(__xludf.DUMMYFUNCTION("""COMPUTED_VALUE"""),45858.0)</f>
        <v>45858</v>
      </c>
      <c r="E2647" s="35" t="str">
        <f>IFERROR(__xludf.DUMMYFUNCTION("""COMPUTED_VALUE"""),"07Jul")</f>
        <v>07Jul</v>
      </c>
      <c r="F2647" s="34" t="str">
        <f>IFERROR(__xludf.DUMMYFUNCTION("""COMPUTED_VALUE"""),"2025")</f>
        <v>2025</v>
      </c>
      <c r="G2647" s="35" t="str">
        <f>IFERROR(__xludf.DUMMYFUNCTION("""COMPUTED_VALUE"""),"ETA NOVITA ARSANTY")</f>
        <v>ETA NOVITA ARSANTY</v>
      </c>
      <c r="H2647" s="35" t="str">
        <f>IFERROR(__xludf.DUMMYFUNCTION("""COMPUTED_VALUE"""),"E7625070157")</f>
        <v>E7625070157</v>
      </c>
      <c r="I2647" s="35">
        <f>IFERROR(__xludf.DUMMYFUNCTION("""COMPUTED_VALUE"""),49.0)</f>
        <v>49</v>
      </c>
      <c r="J2647" s="35" t="str">
        <f>IFERROR(__xludf.DUMMYFUNCTION("""COMPUTED_VALUE"""),"&gt; 44 tahun")</f>
        <v>&gt; 44 tahun</v>
      </c>
      <c r="K2647" s="21" t="str">
        <f>IFERROR(__xludf.DUMMYFUNCTION("""COMPUTED_VALUE"""),"27/12/1976")</f>
        <v>27/12/1976</v>
      </c>
      <c r="L2647" s="21" t="str">
        <f>IFERROR(__xludf.DUMMYFUNCTION("""COMPUTED_VALUE"""),"PEREMPUAN")</f>
        <v>PEREMPUAN</v>
      </c>
      <c r="M2647" s="35" t="str">
        <f>IFERROR(__xludf.DUMMYFUNCTION("""COMPUTED_VALUE"""),"JL. P. NATA KUSUMA GG. BAMBU NO. 3")</f>
        <v>JL. P. NATA KUSUMA GG. BAMBU NO. 3</v>
      </c>
      <c r="N2647" s="35" t="str">
        <f>IFERROR(__xludf.DUMMYFUNCTION("""COMPUTED_VALUE"""),"SEI BANGKONG")</f>
        <v>SEI BANGKONG</v>
      </c>
      <c r="O2647" s="35" t="str">
        <f>IFERROR(__xludf.DUMMYFUNCTION("""COMPUTED_VALUE"""),"PONTIANAK KOTA")</f>
        <v>PONTIANAK KOTA</v>
      </c>
      <c r="P2647" s="35" t="str">
        <f>IFERROR(__xludf.DUMMYFUNCTION("""COMPUTED_VALUE"""),"KOTA PONTIANAK")</f>
        <v>KOTA PONTIANAK</v>
      </c>
      <c r="Q2647" s="35" t="str">
        <f>IFERROR(__xludf.DUMMYFUNCTION("""COMPUTED_VALUE"""),"KALIMANTAN BARAT")</f>
        <v>KALIMANTAN BARAT</v>
      </c>
      <c r="R2647" s="21" t="str">
        <f>IFERROR(__xludf.DUMMYFUNCTION("""COMPUTED_VALUE"""),"ISLAM")</f>
        <v>ISLAM</v>
      </c>
      <c r="S2647" s="74" t="str">
        <f>IFERROR(__xludf.DUMMYFUNCTION("""COMPUTED_VALUE"""),"KARYAWAN BUMN")</f>
        <v>KARYAWAN BUMN</v>
      </c>
      <c r="T2647" s="35" t="str">
        <f>IFERROR(__xludf.DUMMYFUNCTION("""COMPUTED_VALUE"""),"PERGELANGAN TANGAN SAMPAI KE JEMPOL")</f>
        <v>PERGELANGAN TANGAN SAMPAI KE JEMPOL</v>
      </c>
      <c r="U2647" s="35" t="str">
        <f>IFERROR(__xludf.DUMMYFUNCTION("""COMPUTED_VALUE"""),"TIDAK ADA")</f>
        <v>TIDAK ADA</v>
      </c>
      <c r="V2647" s="37" t="str">
        <f>IFERROR(__xludf.DUMMYFUNCTION("""COMPUTED_VALUE"""),"085820660157")</f>
        <v>085820660157</v>
      </c>
      <c r="W2647" s="45"/>
    </row>
    <row r="2648">
      <c r="A2648" s="45"/>
      <c r="B2648" s="24" t="str">
        <f>IFERROR(__xludf.DUMMYFUNCTION("""COMPUTED_VALUE"""),"20/07/2025 11:19:20")</f>
        <v>20/07/2025 11:19:20</v>
      </c>
      <c r="C2648" s="35"/>
      <c r="D2648" s="10">
        <f>IFERROR(__xludf.DUMMYFUNCTION("""COMPUTED_VALUE"""),45858.0)</f>
        <v>45858</v>
      </c>
      <c r="E2648" s="35" t="str">
        <f>IFERROR(__xludf.DUMMYFUNCTION("""COMPUTED_VALUE"""),"07Jul")</f>
        <v>07Jul</v>
      </c>
      <c r="F2648" s="34" t="str">
        <f>IFERROR(__xludf.DUMMYFUNCTION("""COMPUTED_VALUE"""),"2025")</f>
        <v>2025</v>
      </c>
      <c r="G2648" s="35" t="str">
        <f>IFERROR(__xludf.DUMMYFUNCTION("""COMPUTED_VALUE"""),"STEFFI")</f>
        <v>STEFFI</v>
      </c>
      <c r="H2648" s="35" t="str">
        <f>IFERROR(__xludf.DUMMYFUNCTION("""COMPUTED_VALUE"""),"S9225075336")</f>
        <v>S9225075336</v>
      </c>
      <c r="I2648" s="35">
        <f>IFERROR(__xludf.DUMMYFUNCTION("""COMPUTED_VALUE"""),33.0)</f>
        <v>33</v>
      </c>
      <c r="J2648" s="35" t="str">
        <f>IFERROR(__xludf.DUMMYFUNCTION("""COMPUTED_VALUE"""),"25-34 tahun")</f>
        <v>25-34 tahun</v>
      </c>
      <c r="K2648" s="21" t="str">
        <f>IFERROR(__xludf.DUMMYFUNCTION("""COMPUTED_VALUE"""),"09/09/1992")</f>
        <v>09/09/1992</v>
      </c>
      <c r="L2648" s="21" t="str">
        <f>IFERROR(__xludf.DUMMYFUNCTION("""COMPUTED_VALUE"""),"PEREMPUAN")</f>
        <v>PEREMPUAN</v>
      </c>
      <c r="M2648" s="35" t="str">
        <f>IFERROR(__xludf.DUMMYFUNCTION("""COMPUTED_VALUE"""),"JL. PURNAMA AGUNG V NO. CC9")</f>
        <v>JL. PURNAMA AGUNG V NO. CC9</v>
      </c>
      <c r="N2648" s="35" t="str">
        <f>IFERROR(__xludf.DUMMYFUNCTION("""COMPUTED_VALUE"""),"-")</f>
        <v>-</v>
      </c>
      <c r="O2648" s="35" t="str">
        <f>IFERROR(__xludf.DUMMYFUNCTION("""COMPUTED_VALUE"""),"-")</f>
        <v>-</v>
      </c>
      <c r="P2648" s="35" t="str">
        <f>IFERROR(__xludf.DUMMYFUNCTION("""COMPUTED_VALUE"""),"PONTIANAK")</f>
        <v>PONTIANAK</v>
      </c>
      <c r="Q2648" s="35" t="str">
        <f>IFERROR(__xludf.DUMMYFUNCTION("""COMPUTED_VALUE"""),"KALIMANTAN BARAT")</f>
        <v>KALIMANTAN BARAT</v>
      </c>
      <c r="R2648" s="21" t="str">
        <f>IFERROR(__xludf.DUMMYFUNCTION("""COMPUTED_VALUE"""),"KATOLIK")</f>
        <v>KATOLIK</v>
      </c>
      <c r="S2648" s="74" t="str">
        <f>IFERROR(__xludf.DUMMYFUNCTION("""COMPUTED_VALUE"""),"IRT")</f>
        <v>IRT</v>
      </c>
      <c r="T2648" s="35" t="str">
        <f>IFERROR(__xludf.DUMMYFUNCTION("""COMPUTED_VALUE"""),"SAKIT PANGKAL PAHA")</f>
        <v>SAKIT PANGKAL PAHA</v>
      </c>
      <c r="U2648" s="35" t="str">
        <f>IFERROR(__xludf.DUMMYFUNCTION("""COMPUTED_VALUE"""),"-")</f>
        <v>-</v>
      </c>
      <c r="V2648" s="37" t="str">
        <f>IFERROR(__xludf.DUMMYFUNCTION("""COMPUTED_VALUE"""),"089693615336")</f>
        <v>089693615336</v>
      </c>
      <c r="W2648" s="45"/>
    </row>
    <row r="2649">
      <c r="A2649" s="45"/>
      <c r="B2649" s="24" t="str">
        <f>IFERROR(__xludf.DUMMYFUNCTION("""COMPUTED_VALUE"""),"20/07/2025 17:02:44")</f>
        <v>20/07/2025 17:02:44</v>
      </c>
      <c r="C2649" s="35"/>
      <c r="D2649" s="10">
        <f>IFERROR(__xludf.DUMMYFUNCTION("""COMPUTED_VALUE"""),45858.0)</f>
        <v>45858</v>
      </c>
      <c r="E2649" s="35" t="str">
        <f>IFERROR(__xludf.DUMMYFUNCTION("""COMPUTED_VALUE"""),"07Jul")</f>
        <v>07Jul</v>
      </c>
      <c r="F2649" s="34" t="str">
        <f>IFERROR(__xludf.DUMMYFUNCTION("""COMPUTED_VALUE"""),"2025")</f>
        <v>2025</v>
      </c>
      <c r="G2649" s="35" t="str">
        <f>IFERROR(__xludf.DUMMYFUNCTION("""COMPUTED_VALUE"""),"ANDREW KURNIAWAN")</f>
        <v>ANDREW KURNIAWAN</v>
      </c>
      <c r="H2649" s="35" t="str">
        <f>IFERROR(__xludf.DUMMYFUNCTION("""COMPUTED_VALUE"""),"A1125075396")</f>
        <v>A1125075396</v>
      </c>
      <c r="I2649" s="35">
        <f>IFERROR(__xludf.DUMMYFUNCTION("""COMPUTED_VALUE"""),15.0)</f>
        <v>15</v>
      </c>
      <c r="J2649" s="35" t="str">
        <f>IFERROR(__xludf.DUMMYFUNCTION("""COMPUTED_VALUE"""),"&lt; 18 tahun")</f>
        <v>&lt; 18 tahun</v>
      </c>
      <c r="K2649" s="21" t="str">
        <f>IFERROR(__xludf.DUMMYFUNCTION("""COMPUTED_VALUE"""),"04/02/2011")</f>
        <v>04/02/2011</v>
      </c>
      <c r="L2649" s="21" t="str">
        <f>IFERROR(__xludf.DUMMYFUNCTION("""COMPUTED_VALUE"""),"LAKI-LAKI")</f>
        <v>LAKI-LAKI</v>
      </c>
      <c r="M2649" s="35" t="str">
        <f>IFERROR(__xludf.DUMMYFUNCTION("""COMPUTED_VALUE"""),"DESA KAPUR GG. MEGA PARK")</f>
        <v>DESA KAPUR GG. MEGA PARK</v>
      </c>
      <c r="N2649" s="35" t="str">
        <f>IFERROR(__xludf.DUMMYFUNCTION("""COMPUTED_VALUE"""),"KAPUR")</f>
        <v>KAPUR</v>
      </c>
      <c r="O2649" s="35" t="str">
        <f>IFERROR(__xludf.DUMMYFUNCTION("""COMPUTED_VALUE"""),"PONTIANAK UTARA")</f>
        <v>PONTIANAK UTARA</v>
      </c>
      <c r="P2649" s="35" t="str">
        <f>IFERROR(__xludf.DUMMYFUNCTION("""COMPUTED_VALUE"""),"KAB. KUBU RAYA")</f>
        <v>KAB. KUBU RAYA</v>
      </c>
      <c r="Q2649" s="35" t="str">
        <f>IFERROR(__xludf.DUMMYFUNCTION("""COMPUTED_VALUE"""),"KALIMANTAN BARAT")</f>
        <v>KALIMANTAN BARAT</v>
      </c>
      <c r="R2649" s="21" t="str">
        <f>IFERROR(__xludf.DUMMYFUNCTION("""COMPUTED_VALUE"""),"ISLAM")</f>
        <v>ISLAM</v>
      </c>
      <c r="S2649" s="74" t="str">
        <f>IFERROR(__xludf.DUMMYFUNCTION("""COMPUTED_VALUE"""),"PELAJAR/MAHASISWA")</f>
        <v>PELAJAR/MAHASISWA</v>
      </c>
      <c r="T2649" s="35" t="str">
        <f>IFERROR(__xludf.DUMMYFUNCTION("""COMPUTED_VALUE"""),"ANKLE")</f>
        <v>ANKLE</v>
      </c>
      <c r="U2649" s="35" t="str">
        <f>IFERROR(__xludf.DUMMYFUNCTION("""COMPUTED_VALUE"""),"TIDAK ADA")</f>
        <v>TIDAK ADA</v>
      </c>
      <c r="V2649" s="37" t="str">
        <f>IFERROR(__xludf.DUMMYFUNCTION("""COMPUTED_VALUE"""),"085751115396")</f>
        <v>085751115396</v>
      </c>
      <c r="W2649" s="45"/>
    </row>
    <row r="2650">
      <c r="A2650" s="45"/>
      <c r="B2650" s="24" t="str">
        <f>IFERROR(__xludf.DUMMYFUNCTION("""COMPUTED_VALUE"""),"21/07/2025 10:52:08")</f>
        <v>21/07/2025 10:52:08</v>
      </c>
      <c r="C2650" s="35"/>
      <c r="D2650" s="10">
        <f>IFERROR(__xludf.DUMMYFUNCTION("""COMPUTED_VALUE"""),45859.0)</f>
        <v>45859</v>
      </c>
      <c r="E2650" s="35" t="str">
        <f>IFERROR(__xludf.DUMMYFUNCTION("""COMPUTED_VALUE"""),"07Jul")</f>
        <v>07Jul</v>
      </c>
      <c r="F2650" s="34" t="str">
        <f>IFERROR(__xludf.DUMMYFUNCTION("""COMPUTED_VALUE"""),"2025")</f>
        <v>2025</v>
      </c>
      <c r="G2650" s="35" t="str">
        <f>IFERROR(__xludf.DUMMYFUNCTION("""COMPUTED_VALUE"""),"NGAKAN MADE GOTAMA")</f>
        <v>NGAKAN MADE GOTAMA</v>
      </c>
      <c r="H2650" s="35" t="str">
        <f>IFERROR(__xludf.DUMMYFUNCTION("""COMPUTED_VALUE"""),"N7425071015")</f>
        <v>N7425071015</v>
      </c>
      <c r="I2650" s="35">
        <f>IFERROR(__xludf.DUMMYFUNCTION("""COMPUTED_VALUE"""),52.0)</f>
        <v>52</v>
      </c>
      <c r="J2650" s="35" t="str">
        <f>IFERROR(__xludf.DUMMYFUNCTION("""COMPUTED_VALUE"""),"&gt; 44 tahun")</f>
        <v>&gt; 44 tahun</v>
      </c>
      <c r="K2650" s="21" t="str">
        <f>IFERROR(__xludf.DUMMYFUNCTION("""COMPUTED_VALUE"""),"21/01/1974")</f>
        <v>21/01/1974</v>
      </c>
      <c r="L2650" s="21" t="str">
        <f>IFERROR(__xludf.DUMMYFUNCTION("""COMPUTED_VALUE"""),"LAKI-LAKI")</f>
        <v>LAKI-LAKI</v>
      </c>
      <c r="M2650" s="35" t="str">
        <f>IFERROR(__xludf.DUMMYFUNCTION("""COMPUTED_VALUE"""),"JL. G.M. SAID NO.2")</f>
        <v>JL. G.M. SAID NO.2</v>
      </c>
      <c r="N2650" s="35" t="str">
        <f>IFERROR(__xludf.DUMMYFUNCTION("""COMPUTED_VALUE"""),"AKCAYA")</f>
        <v>AKCAYA</v>
      </c>
      <c r="O2650" s="35" t="str">
        <f>IFERROR(__xludf.DUMMYFUNCTION("""COMPUTED_VALUE"""),"PONTIANAK SELATAN")</f>
        <v>PONTIANAK SELATAN</v>
      </c>
      <c r="P2650" s="35" t="str">
        <f>IFERROR(__xludf.DUMMYFUNCTION("""COMPUTED_VALUE"""),"PONTIANAK")</f>
        <v>PONTIANAK</v>
      </c>
      <c r="Q2650" s="35" t="str">
        <f>IFERROR(__xludf.DUMMYFUNCTION("""COMPUTED_VALUE"""),"KALIMANTAN BARAT")</f>
        <v>KALIMANTAN BARAT</v>
      </c>
      <c r="R2650" s="21" t="str">
        <f>IFERROR(__xludf.DUMMYFUNCTION("""COMPUTED_VALUE"""),"ISLAM")</f>
        <v>ISLAM</v>
      </c>
      <c r="S2650" s="74" t="str">
        <f>IFERROR(__xludf.DUMMYFUNCTION("""COMPUTED_VALUE"""),"SWASTA")</f>
        <v>SWASTA</v>
      </c>
      <c r="T2650" s="35" t="str">
        <f>IFERROR(__xludf.DUMMYFUNCTION("""COMPUTED_VALUE"""),"LOW BACK PAIN")</f>
        <v>LOW BACK PAIN</v>
      </c>
      <c r="U2650" s="35" t="str">
        <f>IFERROR(__xludf.DUMMYFUNCTION("""COMPUTED_VALUE"""),"SALAH POSISI GERAKAN")</f>
        <v>SALAH POSISI GERAKAN</v>
      </c>
      <c r="V2650" s="37" t="str">
        <f>IFERROR(__xludf.DUMMYFUNCTION("""COMPUTED_VALUE"""),"08152201015")</f>
        <v>08152201015</v>
      </c>
      <c r="W2650" s="45"/>
    </row>
    <row r="2651">
      <c r="A2651" s="45"/>
      <c r="B2651" s="24" t="str">
        <f>IFERROR(__xludf.DUMMYFUNCTION("""COMPUTED_VALUE"""),"21/07/2025 20:26:11")</f>
        <v>21/07/2025 20:26:11</v>
      </c>
      <c r="C2651" s="35"/>
      <c r="D2651" s="10">
        <f>IFERROR(__xludf.DUMMYFUNCTION("""COMPUTED_VALUE"""),45859.0)</f>
        <v>45859</v>
      </c>
      <c r="E2651" s="35" t="str">
        <f>IFERROR(__xludf.DUMMYFUNCTION("""COMPUTED_VALUE"""),"07Jul")</f>
        <v>07Jul</v>
      </c>
      <c r="F2651" s="34" t="str">
        <f>IFERROR(__xludf.DUMMYFUNCTION("""COMPUTED_VALUE"""),"2025")</f>
        <v>2025</v>
      </c>
      <c r="G2651" s="35" t="str">
        <f>IFERROR(__xludf.DUMMYFUNCTION("""COMPUTED_VALUE"""),"BAYU PUTRA NGUDI PERSADA")</f>
        <v>BAYU PUTRA NGUDI PERSADA</v>
      </c>
      <c r="H2651" s="35" t="str">
        <f>IFERROR(__xludf.DUMMYFUNCTION("""COMPUTED_VALUE"""),"B9925074472")</f>
        <v>B9925074472</v>
      </c>
      <c r="I2651" s="35">
        <f>IFERROR(__xludf.DUMMYFUNCTION("""COMPUTED_VALUE"""),26.0)</f>
        <v>26</v>
      </c>
      <c r="J2651" s="35" t="str">
        <f>IFERROR(__xludf.DUMMYFUNCTION("""COMPUTED_VALUE"""),"25-34 tahun")</f>
        <v>25-34 tahun</v>
      </c>
      <c r="K2651" s="21" t="str">
        <f>IFERROR(__xludf.DUMMYFUNCTION("""COMPUTED_VALUE"""),"29/06/1999")</f>
        <v>29/06/1999</v>
      </c>
      <c r="L2651" s="21" t="str">
        <f>IFERROR(__xludf.DUMMYFUNCTION("""COMPUTED_VALUE"""),"LAKI-LAKI")</f>
        <v>LAKI-LAKI</v>
      </c>
      <c r="M2651" s="35" t="str">
        <f>IFERROR(__xludf.DUMMYFUNCTION("""COMPUTED_VALUE"""),"JL. PANCASILA GG. SIDODADI NO. 10")</f>
        <v>JL. PANCASILA GG. SIDODADI NO. 10</v>
      </c>
      <c r="N2651" s="35" t="str">
        <f>IFERROR(__xludf.DUMMYFUNCTION("""COMPUTED_VALUE"""),"-")</f>
        <v>-</v>
      </c>
      <c r="O2651" s="35" t="str">
        <f>IFERROR(__xludf.DUMMYFUNCTION("""COMPUTED_VALUE"""),"-")</f>
        <v>-</v>
      </c>
      <c r="P2651" s="35" t="str">
        <f>IFERROR(__xludf.DUMMYFUNCTION("""COMPUTED_VALUE"""),"PONTIANAK")</f>
        <v>PONTIANAK</v>
      </c>
      <c r="Q2651" s="35" t="str">
        <f>IFERROR(__xludf.DUMMYFUNCTION("""COMPUTED_VALUE"""),"KALIMANTAN BARAT")</f>
        <v>KALIMANTAN BARAT</v>
      </c>
      <c r="R2651" s="21" t="str">
        <f>IFERROR(__xludf.DUMMYFUNCTION("""COMPUTED_VALUE"""),"ISLAM")</f>
        <v>ISLAM</v>
      </c>
      <c r="S2651" s="74" t="str">
        <f>IFERROR(__xludf.DUMMYFUNCTION("""COMPUTED_VALUE"""),"KARYAWAN SWASTA")</f>
        <v>KARYAWAN SWASTA</v>
      </c>
      <c r="T2651" s="35" t="str">
        <f>IFERROR(__xludf.DUMMYFUNCTION("""COMPUTED_VALUE"""),"ANKLE")</f>
        <v>ANKLE</v>
      </c>
      <c r="U2651" s="35" t="str">
        <f>IFERROR(__xludf.DUMMYFUNCTION("""COMPUTED_VALUE"""),"LARI")</f>
        <v>LARI</v>
      </c>
      <c r="V2651" s="37" t="str">
        <f>IFERROR(__xludf.DUMMYFUNCTION("""COMPUTED_VALUE"""),"081250764472")</f>
        <v>081250764472</v>
      </c>
      <c r="W2651" s="45"/>
    </row>
    <row r="2652">
      <c r="A2652" s="45"/>
      <c r="B2652" s="24" t="str">
        <f>IFERROR(__xludf.DUMMYFUNCTION("""COMPUTED_VALUE"""),"22/07/2025 9:25:43")</f>
        <v>22/07/2025 9:25:43</v>
      </c>
      <c r="C2652" s="35"/>
      <c r="D2652" s="10">
        <f>IFERROR(__xludf.DUMMYFUNCTION("""COMPUTED_VALUE"""),45860.0)</f>
        <v>45860</v>
      </c>
      <c r="E2652" s="35" t="str">
        <f>IFERROR(__xludf.DUMMYFUNCTION("""COMPUTED_VALUE"""),"07Jul")</f>
        <v>07Jul</v>
      </c>
      <c r="F2652" s="34" t="str">
        <f>IFERROR(__xludf.DUMMYFUNCTION("""COMPUTED_VALUE"""),"2025")</f>
        <v>2025</v>
      </c>
      <c r="G2652" s="35" t="str">
        <f>IFERROR(__xludf.DUMMYFUNCTION("""COMPUTED_VALUE"""),"BONITA DWI ANGGREINI")</f>
        <v>BONITA DWI ANGGREINI</v>
      </c>
      <c r="H2652" s="35" t="str">
        <f>IFERROR(__xludf.DUMMYFUNCTION("""COMPUTED_VALUE"""),"B9125074477")</f>
        <v>B9125074477</v>
      </c>
      <c r="I2652" s="35">
        <f>IFERROR(__xludf.DUMMYFUNCTION("""COMPUTED_VALUE"""),35.0)</f>
        <v>35</v>
      </c>
      <c r="J2652" s="35" t="str">
        <f>IFERROR(__xludf.DUMMYFUNCTION("""COMPUTED_VALUE"""),"35-44 tahun")</f>
        <v>35-44 tahun</v>
      </c>
      <c r="K2652" s="21" t="str">
        <f>IFERROR(__xludf.DUMMYFUNCTION("""COMPUTED_VALUE"""),"05/05/1991")</f>
        <v>05/05/1991</v>
      </c>
      <c r="L2652" s="21" t="str">
        <f>IFERROR(__xludf.DUMMYFUNCTION("""COMPUTED_VALUE"""),"PEREMPUAN")</f>
        <v>PEREMPUAN</v>
      </c>
      <c r="M2652" s="35" t="str">
        <f>IFERROR(__xludf.DUMMYFUNCTION("""COMPUTED_VALUE"""),"JALAN PAK BENCENG NO.5")</f>
        <v>JALAN PAK BENCENG NO.5</v>
      </c>
      <c r="N2652" s="35" t="str">
        <f>IFERROR(__xludf.DUMMYFUNCTION("""COMPUTED_VALUE"""),"SUNGAI BANGKONG")</f>
        <v>SUNGAI BANGKONG</v>
      </c>
      <c r="O2652" s="35" t="str">
        <f>IFERROR(__xludf.DUMMYFUNCTION("""COMPUTED_VALUE"""),"PONTIANAK KOTA")</f>
        <v>PONTIANAK KOTA</v>
      </c>
      <c r="P2652" s="35" t="str">
        <f>IFERROR(__xludf.DUMMYFUNCTION("""COMPUTED_VALUE"""),"PONTIANAK")</f>
        <v>PONTIANAK</v>
      </c>
      <c r="Q2652" s="35" t="str">
        <f>IFERROR(__xludf.DUMMYFUNCTION("""COMPUTED_VALUE"""),"KALIMANTAN BARAT")</f>
        <v>KALIMANTAN BARAT</v>
      </c>
      <c r="R2652" s="21" t="str">
        <f>IFERROR(__xludf.DUMMYFUNCTION("""COMPUTED_VALUE"""),"ISLAM")</f>
        <v>ISLAM</v>
      </c>
      <c r="S2652" s="74" t="str">
        <f>IFERROR(__xludf.DUMMYFUNCTION("""COMPUTED_VALUE"""),"APOTEKER")</f>
        <v>APOTEKER</v>
      </c>
      <c r="T2652" s="35" t="str">
        <f>IFERROR(__xludf.DUMMYFUNCTION("""COMPUTED_VALUE"""),"NYERI DI LUTUT")</f>
        <v>NYERI DI LUTUT</v>
      </c>
      <c r="U2652" s="35" t="str">
        <f>IFERROR(__xludf.DUMMYFUNCTION("""COMPUTED_VALUE"""),"OLAHRAGA")</f>
        <v>OLAHRAGA</v>
      </c>
      <c r="V2652" s="37" t="str">
        <f>IFERROR(__xludf.DUMMYFUNCTION("""COMPUTED_VALUE"""),"085751504477")</f>
        <v>085751504477</v>
      </c>
      <c r="W2652" s="45"/>
    </row>
    <row r="2653">
      <c r="A2653" s="45"/>
      <c r="B2653" s="24" t="str">
        <f>IFERROR(__xludf.DUMMYFUNCTION("""COMPUTED_VALUE"""),"22/07/2025 16:16:57")</f>
        <v>22/07/2025 16:16:57</v>
      </c>
      <c r="C2653" s="35"/>
      <c r="D2653" s="10">
        <f>IFERROR(__xludf.DUMMYFUNCTION("""COMPUTED_VALUE"""),45860.0)</f>
        <v>45860</v>
      </c>
      <c r="E2653" s="35" t="str">
        <f>IFERROR(__xludf.DUMMYFUNCTION("""COMPUTED_VALUE"""),"07Jul")</f>
        <v>07Jul</v>
      </c>
      <c r="F2653" s="34" t="str">
        <f>IFERROR(__xludf.DUMMYFUNCTION("""COMPUTED_VALUE"""),"2025")</f>
        <v>2025</v>
      </c>
      <c r="G2653" s="35" t="str">
        <f>IFERROR(__xludf.DUMMYFUNCTION("""COMPUTED_VALUE"""),"NABILA RIFDA WACHDANNISA")</f>
        <v>NABILA RIFDA WACHDANNISA</v>
      </c>
      <c r="H2653" s="35" t="str">
        <f>IFERROR(__xludf.DUMMYFUNCTION("""COMPUTED_VALUE"""),"N0225072830")</f>
        <v>N0225072830</v>
      </c>
      <c r="I2653" s="35">
        <f>IFERROR(__xludf.DUMMYFUNCTION("""COMPUTED_VALUE"""),23.0)</f>
        <v>23</v>
      </c>
      <c r="J2653" s="35" t="str">
        <f>IFERROR(__xludf.DUMMYFUNCTION("""COMPUTED_VALUE"""),"18-24 tahun")</f>
        <v>18-24 tahun</v>
      </c>
      <c r="K2653" s="21" t="str">
        <f>IFERROR(__xludf.DUMMYFUNCTION("""COMPUTED_VALUE"""),"19/09/2002")</f>
        <v>19/09/2002</v>
      </c>
      <c r="L2653" s="21" t="str">
        <f>IFERROR(__xludf.DUMMYFUNCTION("""COMPUTED_VALUE"""),"PEREMPUAN")</f>
        <v>PEREMPUAN</v>
      </c>
      <c r="M2653" s="35" t="str">
        <f>IFERROR(__xludf.DUMMYFUNCTION("""COMPUTED_VALUE"""),"DUSUN PULAU TAYAN BARAT")</f>
        <v>DUSUN PULAU TAYAN BARAT</v>
      </c>
      <c r="N2653" s="35" t="str">
        <f>IFERROR(__xludf.DUMMYFUNCTION("""COMPUTED_VALUE"""),"PULAU TAYAN UTARA")</f>
        <v>PULAU TAYAN UTARA</v>
      </c>
      <c r="O2653" s="35" t="str">
        <f>IFERROR(__xludf.DUMMYFUNCTION("""COMPUTED_VALUE"""),"TAYAN HILIR")</f>
        <v>TAYAN HILIR</v>
      </c>
      <c r="P2653" s="35" t="str">
        <f>IFERROR(__xludf.DUMMYFUNCTION("""COMPUTED_VALUE"""),"SANGGAU")</f>
        <v>SANGGAU</v>
      </c>
      <c r="Q2653" s="35" t="str">
        <f>IFERROR(__xludf.DUMMYFUNCTION("""COMPUTED_VALUE"""),"KALIMANTAN BARAT")</f>
        <v>KALIMANTAN BARAT</v>
      </c>
      <c r="R2653" s="21" t="str">
        <f>IFERROR(__xludf.DUMMYFUNCTION("""COMPUTED_VALUE"""),"ISLAM")</f>
        <v>ISLAM</v>
      </c>
      <c r="S2653" s="74" t="str">
        <f>IFERROR(__xludf.DUMMYFUNCTION("""COMPUTED_VALUE"""),"MAHASISWA")</f>
        <v>MAHASISWA</v>
      </c>
      <c r="T2653" s="35" t="str">
        <f>IFERROR(__xludf.DUMMYFUNCTION("""COMPUTED_VALUE"""),"NYERI DI BAGIAN PINGGANG BELAKANG (LEBIH NYERI DI SEBELAH KIRI)")</f>
        <v>NYERI DI BAGIAN PINGGANG BELAKANG (LEBIH NYERI DI SEBELAH KIRI)</v>
      </c>
      <c r="U2653" s="35" t="str">
        <f>IFERROR(__xludf.DUMMYFUNCTION("""COMPUTED_VALUE"""),"SERING DUDUK DAN LAMA")</f>
        <v>SERING DUDUK DAN LAMA</v>
      </c>
      <c r="V2653" s="37" t="str">
        <f>IFERROR(__xludf.DUMMYFUNCTION("""COMPUTED_VALUE"""),"089694322830")</f>
        <v>089694322830</v>
      </c>
      <c r="W2653" s="45"/>
    </row>
    <row r="2654">
      <c r="A2654" s="45"/>
      <c r="B2654" s="24" t="str">
        <f>IFERROR(__xludf.DUMMYFUNCTION("""COMPUTED_VALUE"""),"22/07/2025 18:53:43")</f>
        <v>22/07/2025 18:53:43</v>
      </c>
      <c r="C2654" s="35"/>
      <c r="D2654" s="10">
        <f>IFERROR(__xludf.DUMMYFUNCTION("""COMPUTED_VALUE"""),45860.0)</f>
        <v>45860</v>
      </c>
      <c r="E2654" s="35" t="str">
        <f>IFERROR(__xludf.DUMMYFUNCTION("""COMPUTED_VALUE"""),"07Jul")</f>
        <v>07Jul</v>
      </c>
      <c r="F2654" s="34" t="str">
        <f>IFERROR(__xludf.DUMMYFUNCTION("""COMPUTED_VALUE"""),"2025")</f>
        <v>2025</v>
      </c>
      <c r="G2654" s="35" t="str">
        <f>IFERROR(__xludf.DUMMYFUNCTION("""COMPUTED_VALUE"""),"MUHAMMAD ILYAS HASBI")</f>
        <v>MUHAMMAD ILYAS HASBI</v>
      </c>
      <c r="H2654" s="35" t="str">
        <f>IFERROR(__xludf.DUMMYFUNCTION("""COMPUTED_VALUE"""),"M0225070251")</f>
        <v>M0225070251</v>
      </c>
      <c r="I2654" s="35">
        <f>IFERROR(__xludf.DUMMYFUNCTION("""COMPUTED_VALUE"""),23.0)</f>
        <v>23</v>
      </c>
      <c r="J2654" s="35" t="str">
        <f>IFERROR(__xludf.DUMMYFUNCTION("""COMPUTED_VALUE"""),"18-24 tahun")</f>
        <v>18-24 tahun</v>
      </c>
      <c r="K2654" s="21" t="str">
        <f>IFERROR(__xludf.DUMMYFUNCTION("""COMPUTED_VALUE"""),"31/10/2002")</f>
        <v>31/10/2002</v>
      </c>
      <c r="L2654" s="21" t="str">
        <f>IFERROR(__xludf.DUMMYFUNCTION("""COMPUTED_VALUE"""),"LAKI-LAKI")</f>
        <v>LAKI-LAKI</v>
      </c>
      <c r="M2654" s="35" t="str">
        <f>IFERROR(__xludf.DUMMYFUNCTION("""COMPUTED_VALUE"""),"JALAN TANJUNG RAYA 1 GANG SAMPANG")</f>
        <v>JALAN TANJUNG RAYA 1 GANG SAMPANG</v>
      </c>
      <c r="N2654" s="35" t="str">
        <f>IFERROR(__xludf.DUMMYFUNCTION("""COMPUTED_VALUE"""),"DALAM BUGIS")</f>
        <v>DALAM BUGIS</v>
      </c>
      <c r="O2654" s="35" t="str">
        <f>IFERROR(__xludf.DUMMYFUNCTION("""COMPUTED_VALUE"""),"PONTIANAK TIMUR")</f>
        <v>PONTIANAK TIMUR</v>
      </c>
      <c r="P2654" s="35" t="str">
        <f>IFERROR(__xludf.DUMMYFUNCTION("""COMPUTED_VALUE"""),"PONTIANAK")</f>
        <v>PONTIANAK</v>
      </c>
      <c r="Q2654" s="35" t="str">
        <f>IFERROR(__xludf.DUMMYFUNCTION("""COMPUTED_VALUE"""),"KALIMANTAN BARAT")</f>
        <v>KALIMANTAN BARAT</v>
      </c>
      <c r="R2654" s="21" t="str">
        <f>IFERROR(__xludf.DUMMYFUNCTION("""COMPUTED_VALUE"""),"ISLAM")</f>
        <v>ISLAM</v>
      </c>
      <c r="S2654" s="74" t="str">
        <f>IFERROR(__xludf.DUMMYFUNCTION("""COMPUTED_VALUE"""),"BANTU ORANG TUA")</f>
        <v>BANTU ORANG TUA</v>
      </c>
      <c r="T2654" s="35" t="str">
        <f>IFERROR(__xludf.DUMMYFUNCTION("""COMPUTED_VALUE"""),"MASALAH DI ANGKLE KAKI")</f>
        <v>MASALAH DI ANGKLE KAKI</v>
      </c>
      <c r="U2654" s="35" t="str">
        <f>IFERROR(__xludf.DUMMYFUNCTION("""COMPUTED_VALUE"""),"SAKIT DI PERGELANGAN KALI")</f>
        <v>SAKIT DI PERGELANGAN KALI</v>
      </c>
      <c r="V2654" s="37" t="str">
        <f>IFERROR(__xludf.DUMMYFUNCTION("""COMPUTED_VALUE"""),"085732060251")</f>
        <v>085732060251</v>
      </c>
      <c r="W2654" s="45"/>
    </row>
    <row r="2655">
      <c r="A2655" s="45"/>
      <c r="B2655" s="24" t="str">
        <f>IFERROR(__xludf.DUMMYFUNCTION("""COMPUTED_VALUE"""),"23/07/2025 7:17:00")</f>
        <v>23/07/2025 7:17:00</v>
      </c>
      <c r="C2655" s="35"/>
      <c r="D2655" s="10">
        <f>IFERROR(__xludf.DUMMYFUNCTION("""COMPUTED_VALUE"""),45861.0)</f>
        <v>45861</v>
      </c>
      <c r="E2655" s="35" t="str">
        <f>IFERROR(__xludf.DUMMYFUNCTION("""COMPUTED_VALUE"""),"07Jul")</f>
        <v>07Jul</v>
      </c>
      <c r="F2655" s="34" t="str">
        <f>IFERROR(__xludf.DUMMYFUNCTION("""COMPUTED_VALUE"""),"2025")</f>
        <v>2025</v>
      </c>
      <c r="G2655" s="35" t="str">
        <f>IFERROR(__xludf.DUMMYFUNCTION("""COMPUTED_VALUE"""),"AJENG DWI SINTIYA DEWI")</f>
        <v>AJENG DWI SINTIYA DEWI</v>
      </c>
      <c r="H2655" s="35" t="str">
        <f>IFERROR(__xludf.DUMMYFUNCTION("""COMPUTED_VALUE"""),"A9625072535")</f>
        <v>A9625072535</v>
      </c>
      <c r="I2655" s="35">
        <f>IFERROR(__xludf.DUMMYFUNCTION("""COMPUTED_VALUE"""),29.0)</f>
        <v>29</v>
      </c>
      <c r="J2655" s="35" t="str">
        <f>IFERROR(__xludf.DUMMYFUNCTION("""COMPUTED_VALUE"""),"25-34 tahun")</f>
        <v>25-34 tahun</v>
      </c>
      <c r="K2655" s="21" t="str">
        <f>IFERROR(__xludf.DUMMYFUNCTION("""COMPUTED_VALUE"""),"12/09/1996")</f>
        <v>12/09/1996</v>
      </c>
      <c r="L2655" s="21" t="str">
        <f>IFERROR(__xludf.DUMMYFUNCTION("""COMPUTED_VALUE"""),"PEREMPUAN")</f>
        <v>PEREMPUAN</v>
      </c>
      <c r="M2655" s="35" t="str">
        <f>IFERROR(__xludf.DUMMYFUNCTION("""COMPUTED_VALUE"""),"JALAN PARIT HAJI HUSIN 2 KOMPLEK ALEX GRIYA 3 BLOK B40")</f>
        <v>JALAN PARIT HAJI HUSIN 2 KOMPLEK ALEX GRIYA 3 BLOK B40</v>
      </c>
      <c r="N2655" s="35" t="str">
        <f>IFERROR(__xludf.DUMMYFUNCTION("""COMPUTED_VALUE"""),"BANSIR DARAT")</f>
        <v>BANSIR DARAT</v>
      </c>
      <c r="O2655" s="35" t="str">
        <f>IFERROR(__xludf.DUMMYFUNCTION("""COMPUTED_VALUE"""),"PONTIANAK TENGGARA")</f>
        <v>PONTIANAK TENGGARA</v>
      </c>
      <c r="P2655" s="35" t="str">
        <f>IFERROR(__xludf.DUMMYFUNCTION("""COMPUTED_VALUE"""),"KOTA PONTIANAK")</f>
        <v>KOTA PONTIANAK</v>
      </c>
      <c r="Q2655" s="35" t="str">
        <f>IFERROR(__xludf.DUMMYFUNCTION("""COMPUTED_VALUE"""),"KALIMANTAN BARAT")</f>
        <v>KALIMANTAN BARAT</v>
      </c>
      <c r="R2655" s="21" t="str">
        <f>IFERROR(__xludf.DUMMYFUNCTION("""COMPUTED_VALUE"""),"ISLAM")</f>
        <v>ISLAM</v>
      </c>
      <c r="S2655" s="74" t="str">
        <f>IFERROR(__xludf.DUMMYFUNCTION("""COMPUTED_VALUE"""),"ARSITEK")</f>
        <v>ARSITEK</v>
      </c>
      <c r="T2655" s="35" t="str">
        <f>IFERROR(__xludf.DUMMYFUNCTION("""COMPUTED_VALUE"""),"PINGGANG SAKIT SEKALI, TIDAK BISA SUJUD DAN RUKUK, JALAN AGAK NGILU")</f>
        <v>PINGGANG SAKIT SEKALI, TIDAK BISA SUJUD DAN RUKUK, JALAN AGAK NGILU</v>
      </c>
      <c r="U2655" s="35" t="str">
        <f>IFERROR(__xludf.DUMMYFUNCTION("""COMPUTED_VALUE"""),"BEKERJA DI DEPAN LAPTOP, BIASA MENGANGKAT BARANG BERAT (TIDAK SERING)")</f>
        <v>BEKERJA DI DEPAN LAPTOP, BIASA MENGANGKAT BARANG BERAT (TIDAK SERING)</v>
      </c>
      <c r="V2655" s="37" t="str">
        <f>IFERROR(__xludf.DUMMYFUNCTION("""COMPUTED_VALUE"""),"081617682535")</f>
        <v>081617682535</v>
      </c>
      <c r="W2655" s="45"/>
    </row>
    <row r="2656">
      <c r="A2656" s="45"/>
      <c r="B2656" s="24" t="str">
        <f>IFERROR(__xludf.DUMMYFUNCTION("""COMPUTED_VALUE"""),"23/07/2025 11:44:51")</f>
        <v>23/07/2025 11:44:51</v>
      </c>
      <c r="C2656" s="35"/>
      <c r="D2656" s="10">
        <f>IFERROR(__xludf.DUMMYFUNCTION("""COMPUTED_VALUE"""),45861.0)</f>
        <v>45861</v>
      </c>
      <c r="E2656" s="35" t="str">
        <f>IFERROR(__xludf.DUMMYFUNCTION("""COMPUTED_VALUE"""),"07Jul")</f>
        <v>07Jul</v>
      </c>
      <c r="F2656" s="34" t="str">
        <f>IFERROR(__xludf.DUMMYFUNCTION("""COMPUTED_VALUE"""),"2025")</f>
        <v>2025</v>
      </c>
      <c r="G2656" s="35" t="str">
        <f>IFERROR(__xludf.DUMMYFUNCTION("""COMPUTED_VALUE"""),"ARDILES SANTOS JR")</f>
        <v>ARDILES SANTOS JR</v>
      </c>
      <c r="H2656" s="35" t="str">
        <f>IFERROR(__xludf.DUMMYFUNCTION("""COMPUTED_VALUE"""),"A7825078966")</f>
        <v>A7825078966</v>
      </c>
      <c r="I2656" s="35">
        <f>IFERROR(__xludf.DUMMYFUNCTION("""COMPUTED_VALUE"""),47.0)</f>
        <v>47</v>
      </c>
      <c r="J2656" s="35" t="str">
        <f>IFERROR(__xludf.DUMMYFUNCTION("""COMPUTED_VALUE"""),"&gt; 44 tahun")</f>
        <v>&gt; 44 tahun</v>
      </c>
      <c r="K2656" s="21" t="str">
        <f>IFERROR(__xludf.DUMMYFUNCTION("""COMPUTED_VALUE"""),"22/07/1978")</f>
        <v>22/07/1978</v>
      </c>
      <c r="L2656" s="21" t="str">
        <f>IFERROR(__xludf.DUMMYFUNCTION("""COMPUTED_VALUE"""),"LAKI-LAKI")</f>
        <v>LAKI-LAKI</v>
      </c>
      <c r="M2656" s="35" t="str">
        <f>IFERROR(__xludf.DUMMYFUNCTION("""COMPUTED_VALUE"""),"JLN.URAI BAWADI GANG SENTOSA NO. 10")</f>
        <v>JLN.URAI BAWADI GANG SENTOSA NO. 10</v>
      </c>
      <c r="N2656" s="35" t="str">
        <f>IFERROR(__xludf.DUMMYFUNCTION("""COMPUTED_VALUE"""),"SEI BANGKONG")</f>
        <v>SEI BANGKONG</v>
      </c>
      <c r="O2656" s="35" t="str">
        <f>IFERROR(__xludf.DUMMYFUNCTION("""COMPUTED_VALUE"""),"PONTIANAK KOTA")</f>
        <v>PONTIANAK KOTA</v>
      </c>
      <c r="P2656" s="35" t="str">
        <f>IFERROR(__xludf.DUMMYFUNCTION("""COMPUTED_VALUE"""),"KOTA PONTIANAK")</f>
        <v>KOTA PONTIANAK</v>
      </c>
      <c r="Q2656" s="35" t="str">
        <f>IFERROR(__xludf.DUMMYFUNCTION("""COMPUTED_VALUE"""),"KALIMANTAN BARAT")</f>
        <v>KALIMANTAN BARAT</v>
      </c>
      <c r="R2656" s="21" t="str">
        <f>IFERROR(__xludf.DUMMYFUNCTION("""COMPUTED_VALUE"""),"ISLAM")</f>
        <v>ISLAM</v>
      </c>
      <c r="S2656" s="74" t="str">
        <f>IFERROR(__xludf.DUMMYFUNCTION("""COMPUTED_VALUE"""),"KARYAWAN BUMD")</f>
        <v>KARYAWAN BUMD</v>
      </c>
      <c r="T2656" s="35" t="str">
        <f>IFERROR(__xludf.DUMMYFUNCTION("""COMPUTED_VALUE"""),"KAKI SEBELAH KIRI SAKIT")</f>
        <v>KAKI SEBELAH KIRI SAKIT</v>
      </c>
      <c r="U2656" s="35" t="str">
        <f>IFERROR(__xludf.DUMMYFUNCTION("""COMPUTED_VALUE"""),"BIASA OLAHRAGA,SKR DI BAWA JALAN SAKIT KAKI")</f>
        <v>BIASA OLAHRAGA,SKR DI BAWA JALAN SAKIT KAKI</v>
      </c>
      <c r="V2656" s="37" t="str">
        <f>IFERROR(__xludf.DUMMYFUNCTION("""COMPUTED_VALUE"""),"08115678966")</f>
        <v>08115678966</v>
      </c>
      <c r="W2656" s="45"/>
    </row>
    <row r="2657">
      <c r="A2657" s="45"/>
      <c r="B2657" s="24" t="str">
        <f>IFERROR(__xludf.DUMMYFUNCTION("""COMPUTED_VALUE"""),"23/07/2025 15:15:27")</f>
        <v>23/07/2025 15:15:27</v>
      </c>
      <c r="C2657" s="35"/>
      <c r="D2657" s="10">
        <f>IFERROR(__xludf.DUMMYFUNCTION("""COMPUTED_VALUE"""),45861.0)</f>
        <v>45861</v>
      </c>
      <c r="E2657" s="35" t="str">
        <f>IFERROR(__xludf.DUMMYFUNCTION("""COMPUTED_VALUE"""),"07Jul")</f>
        <v>07Jul</v>
      </c>
      <c r="F2657" s="34" t="str">
        <f>IFERROR(__xludf.DUMMYFUNCTION("""COMPUTED_VALUE"""),"2025")</f>
        <v>2025</v>
      </c>
      <c r="G2657" s="35" t="str">
        <f>IFERROR(__xludf.DUMMYFUNCTION("""COMPUTED_VALUE"""),"ASTIA")</f>
        <v>ASTIA</v>
      </c>
      <c r="H2657" s="35" t="str">
        <f>IFERROR(__xludf.DUMMYFUNCTION("""COMPUTED_VALUE"""),"A7525079700")</f>
        <v>A7525079700</v>
      </c>
      <c r="I2657" s="35">
        <f>IFERROR(__xludf.DUMMYFUNCTION("""COMPUTED_VALUE"""),50.0)</f>
        <v>50</v>
      </c>
      <c r="J2657" s="35" t="str">
        <f>IFERROR(__xludf.DUMMYFUNCTION("""COMPUTED_VALUE"""),"&gt; 44 tahun")</f>
        <v>&gt; 44 tahun</v>
      </c>
      <c r="K2657" s="21" t="str">
        <f>IFERROR(__xludf.DUMMYFUNCTION("""COMPUTED_VALUE"""),"02/10/1975")</f>
        <v>02/10/1975</v>
      </c>
      <c r="L2657" s="21" t="str">
        <f>IFERROR(__xludf.DUMMYFUNCTION("""COMPUTED_VALUE"""),"PEREMPUAN")</f>
        <v>PEREMPUAN</v>
      </c>
      <c r="M2657" s="35" t="str">
        <f>IFERROR(__xludf.DUMMYFUNCTION("""COMPUTED_VALUE"""),"JL. HUSEIN HAMZAH GG. MANDIRI")</f>
        <v>JL. HUSEIN HAMZAH GG. MANDIRI</v>
      </c>
      <c r="N2657" s="35" t="str">
        <f>IFERROR(__xludf.DUMMYFUNCTION("""COMPUTED_VALUE"""),"-")</f>
        <v>-</v>
      </c>
      <c r="O2657" s="35" t="str">
        <f>IFERROR(__xludf.DUMMYFUNCTION("""COMPUTED_VALUE"""),"-")</f>
        <v>-</v>
      </c>
      <c r="P2657" s="35" t="str">
        <f>IFERROR(__xludf.DUMMYFUNCTION("""COMPUTED_VALUE"""),"PONTIANAK")</f>
        <v>PONTIANAK</v>
      </c>
      <c r="Q2657" s="35" t="str">
        <f>IFERROR(__xludf.DUMMYFUNCTION("""COMPUTED_VALUE"""),"KALIMANTAN BARAT")</f>
        <v>KALIMANTAN BARAT</v>
      </c>
      <c r="R2657" s="21" t="str">
        <f>IFERROR(__xludf.DUMMYFUNCTION("""COMPUTED_VALUE"""),"ISLAM")</f>
        <v>ISLAM</v>
      </c>
      <c r="S2657" s="74" t="str">
        <f>IFERROR(__xludf.DUMMYFUNCTION("""COMPUTED_VALUE"""),"PNS")</f>
        <v>PNS</v>
      </c>
      <c r="T2657" s="35" t="str">
        <f>IFERROR(__xludf.DUMMYFUNCTION("""COMPUTED_VALUE"""),"RAHANG")</f>
        <v>RAHANG</v>
      </c>
      <c r="U2657" s="35" t="str">
        <f>IFERROR(__xludf.DUMMYFUNCTION("""COMPUTED_VALUE"""),"-")</f>
        <v>-</v>
      </c>
      <c r="V2657" s="37" t="str">
        <f>IFERROR(__xludf.DUMMYFUNCTION("""COMPUTED_VALUE"""),"082154379700")</f>
        <v>082154379700</v>
      </c>
      <c r="W2657" s="45"/>
    </row>
    <row r="2658">
      <c r="A2658" s="45"/>
      <c r="B2658" s="24" t="str">
        <f>IFERROR(__xludf.DUMMYFUNCTION("""COMPUTED_VALUE"""),"23/07/2025 16:53:11")</f>
        <v>23/07/2025 16:53:11</v>
      </c>
      <c r="C2658" s="35"/>
      <c r="D2658" s="10">
        <f>IFERROR(__xludf.DUMMYFUNCTION("""COMPUTED_VALUE"""),45861.0)</f>
        <v>45861</v>
      </c>
      <c r="E2658" s="35" t="str">
        <f>IFERROR(__xludf.DUMMYFUNCTION("""COMPUTED_VALUE"""),"07Jul")</f>
        <v>07Jul</v>
      </c>
      <c r="F2658" s="34" t="str">
        <f>IFERROR(__xludf.DUMMYFUNCTION("""COMPUTED_VALUE"""),"2025")</f>
        <v>2025</v>
      </c>
      <c r="G2658" s="35" t="str">
        <f>IFERROR(__xludf.DUMMYFUNCTION("""COMPUTED_VALUE"""),"YANTI TANTRA")</f>
        <v>YANTI TANTRA</v>
      </c>
      <c r="H2658" s="35" t="str">
        <f>IFERROR(__xludf.DUMMYFUNCTION("""COMPUTED_VALUE"""),"Y8225078319")</f>
        <v>Y8225078319</v>
      </c>
      <c r="I2658" s="35">
        <f>IFERROR(__xludf.DUMMYFUNCTION("""COMPUTED_VALUE"""),43.0)</f>
        <v>43</v>
      </c>
      <c r="J2658" s="35" t="str">
        <f>IFERROR(__xludf.DUMMYFUNCTION("""COMPUTED_VALUE"""),"35-44 tahun")</f>
        <v>35-44 tahun</v>
      </c>
      <c r="K2658" s="21" t="str">
        <f>IFERROR(__xludf.DUMMYFUNCTION("""COMPUTED_VALUE"""),"31/12/1982")</f>
        <v>31/12/1982</v>
      </c>
      <c r="L2658" s="21" t="str">
        <f>IFERROR(__xludf.DUMMYFUNCTION("""COMPUTED_VALUE"""),"PEREMPUAN")</f>
        <v>PEREMPUAN</v>
      </c>
      <c r="M2658" s="35" t="str">
        <f>IFERROR(__xludf.DUMMYFUNCTION("""COMPUTED_VALUE"""),"ISMAIL MARZUKI NO.2")</f>
        <v>ISMAIL MARZUKI NO.2</v>
      </c>
      <c r="N2658" s="35" t="str">
        <f>IFERROR(__xludf.DUMMYFUNCTION("""COMPUTED_VALUE"""),"BENUA MELAYU DARAT")</f>
        <v>BENUA MELAYU DARAT</v>
      </c>
      <c r="O2658" s="35" t="str">
        <f>IFERROR(__xludf.DUMMYFUNCTION("""COMPUTED_VALUE"""),"PONTIANAK SELATAN")</f>
        <v>PONTIANAK SELATAN</v>
      </c>
      <c r="P2658" s="35" t="str">
        <f>IFERROR(__xludf.DUMMYFUNCTION("""COMPUTED_VALUE"""),"PONTIANAK")</f>
        <v>PONTIANAK</v>
      </c>
      <c r="Q2658" s="35" t="str">
        <f>IFERROR(__xludf.DUMMYFUNCTION("""COMPUTED_VALUE"""),"KALIMANTAN BARAT")</f>
        <v>KALIMANTAN BARAT</v>
      </c>
      <c r="R2658" s="21" t="str">
        <f>IFERROR(__xludf.DUMMYFUNCTION("""COMPUTED_VALUE"""),"KATOLIK")</f>
        <v>KATOLIK</v>
      </c>
      <c r="S2658" s="74" t="str">
        <f>IFERROR(__xludf.DUMMYFUNCTION("""COMPUTED_VALUE"""),"ONLINE")</f>
        <v>ONLINE</v>
      </c>
      <c r="T2658" s="35" t="str">
        <f>IFERROR(__xludf.DUMMYFUNCTION("""COMPUTED_VALUE"""),"JEMPOL KAKI TERKILIR")</f>
        <v>JEMPOL KAKI TERKILIR</v>
      </c>
      <c r="U2658" s="35" t="str">
        <f>IFERROR(__xludf.DUMMYFUNCTION("""COMPUTED_VALUE"""),"JALAN TERSANDUNG SANDAL")</f>
        <v>JALAN TERSANDUNG SANDAL</v>
      </c>
      <c r="V2658" s="37" t="str">
        <f>IFERROR(__xludf.DUMMYFUNCTION("""COMPUTED_VALUE"""),"082110118319")</f>
        <v>082110118319</v>
      </c>
      <c r="W2658" s="45"/>
    </row>
    <row r="2659">
      <c r="A2659" s="45"/>
      <c r="B2659" s="24" t="str">
        <f>IFERROR(__xludf.DUMMYFUNCTION("""COMPUTED_VALUE"""),"24/07/2025 10:06:27")</f>
        <v>24/07/2025 10:06:27</v>
      </c>
      <c r="C2659" s="35"/>
      <c r="D2659" s="10">
        <f>IFERROR(__xludf.DUMMYFUNCTION("""COMPUTED_VALUE"""),45862.0)</f>
        <v>45862</v>
      </c>
      <c r="E2659" s="35" t="str">
        <f>IFERROR(__xludf.DUMMYFUNCTION("""COMPUTED_VALUE"""),"07Jul")</f>
        <v>07Jul</v>
      </c>
      <c r="F2659" s="34" t="str">
        <f>IFERROR(__xludf.DUMMYFUNCTION("""COMPUTED_VALUE"""),"2025")</f>
        <v>2025</v>
      </c>
      <c r="G2659" s="35" t="str">
        <f>IFERROR(__xludf.DUMMYFUNCTION("""COMPUTED_VALUE"""),"JAHFAL")</f>
        <v>JAHFAL</v>
      </c>
      <c r="H2659" s="35" t="str">
        <f>IFERROR(__xludf.DUMMYFUNCTION("""COMPUTED_VALUE"""),"J1025075435")</f>
        <v>J1025075435</v>
      </c>
      <c r="I2659" s="35">
        <f>IFERROR(__xludf.DUMMYFUNCTION("""COMPUTED_VALUE"""),15.0)</f>
        <v>15</v>
      </c>
      <c r="J2659" s="35" t="str">
        <f>IFERROR(__xludf.DUMMYFUNCTION("""COMPUTED_VALUE"""),"&lt; 18 tahun")</f>
        <v>&lt; 18 tahun</v>
      </c>
      <c r="K2659" s="21" t="str">
        <f>IFERROR(__xludf.DUMMYFUNCTION("""COMPUTED_VALUE"""),"14/09/2010")</f>
        <v>14/09/2010</v>
      </c>
      <c r="L2659" s="21" t="str">
        <f>IFERROR(__xludf.DUMMYFUNCTION("""COMPUTED_VALUE"""),"LAKI-LAKI")</f>
        <v>LAKI-LAKI</v>
      </c>
      <c r="M2659" s="35" t="str">
        <f>IFERROR(__xludf.DUMMYFUNCTION("""COMPUTED_VALUE"""),"JL. ATOT ACHMAD GG. SRIWIJAYA 5 NO 19 PERUMNAS 2")</f>
        <v>JL. ATOT ACHMAD GG. SRIWIJAYA 5 NO 19 PERUMNAS 2</v>
      </c>
      <c r="N2659" s="35" t="str">
        <f>IFERROR(__xludf.DUMMYFUNCTION("""COMPUTED_VALUE"""),"SUI BELIUNG")</f>
        <v>SUI BELIUNG</v>
      </c>
      <c r="O2659" s="35" t="str">
        <f>IFERROR(__xludf.DUMMYFUNCTION("""COMPUTED_VALUE"""),"PONTIANAK BARAT")</f>
        <v>PONTIANAK BARAT</v>
      </c>
      <c r="P2659" s="35" t="str">
        <f>IFERROR(__xludf.DUMMYFUNCTION("""COMPUTED_VALUE"""),"PONTIANAK")</f>
        <v>PONTIANAK</v>
      </c>
      <c r="Q2659" s="35" t="str">
        <f>IFERROR(__xludf.DUMMYFUNCTION("""COMPUTED_VALUE"""),"KALIMANTAN BARAT")</f>
        <v>KALIMANTAN BARAT</v>
      </c>
      <c r="R2659" s="21" t="str">
        <f>IFERROR(__xludf.DUMMYFUNCTION("""COMPUTED_VALUE"""),"ISLAM")</f>
        <v>ISLAM</v>
      </c>
      <c r="S2659" s="74" t="str">
        <f>IFERROR(__xludf.DUMMYFUNCTION("""COMPUTED_VALUE"""),"ATLET")</f>
        <v>ATLET</v>
      </c>
      <c r="T2659" s="35" t="str">
        <f>IFERROR(__xludf.DUMMYFUNCTION("""COMPUTED_VALUE"""),"CEDERA BAHU KANAN")</f>
        <v>CEDERA BAHU KANAN</v>
      </c>
      <c r="U2659" s="35" t="str">
        <f>IFERROR(__xludf.DUMMYFUNCTION("""COMPUTED_VALUE"""),"RENANG")</f>
        <v>RENANG</v>
      </c>
      <c r="V2659" s="37" t="str">
        <f>IFERROR(__xludf.DUMMYFUNCTION("""COMPUTED_VALUE"""),"081345275435")</f>
        <v>081345275435</v>
      </c>
      <c r="W2659" s="45"/>
    </row>
    <row r="2660">
      <c r="A2660" s="45"/>
      <c r="B2660" s="24" t="str">
        <f>IFERROR(__xludf.DUMMYFUNCTION("""COMPUTED_VALUE"""),"24/07/2025 11:04:45")</f>
        <v>24/07/2025 11:04:45</v>
      </c>
      <c r="C2660" s="35"/>
      <c r="D2660" s="10">
        <f>IFERROR(__xludf.DUMMYFUNCTION("""COMPUTED_VALUE"""),45862.0)</f>
        <v>45862</v>
      </c>
      <c r="E2660" s="35" t="str">
        <f>IFERROR(__xludf.DUMMYFUNCTION("""COMPUTED_VALUE"""),"07Jul")</f>
        <v>07Jul</v>
      </c>
      <c r="F2660" s="34" t="str">
        <f>IFERROR(__xludf.DUMMYFUNCTION("""COMPUTED_VALUE"""),"2025")</f>
        <v>2025</v>
      </c>
      <c r="G2660" s="35" t="str">
        <f>IFERROR(__xludf.DUMMYFUNCTION("""COMPUTED_VALUE"""),"NABEELA ARVYANI")</f>
        <v>NABEELA ARVYANI</v>
      </c>
      <c r="H2660" s="35" t="str">
        <f>IFERROR(__xludf.DUMMYFUNCTION("""COMPUTED_VALUE"""),"N0125076145")</f>
        <v>N0125076145</v>
      </c>
      <c r="I2660" s="35">
        <f>IFERROR(__xludf.DUMMYFUNCTION("""COMPUTED_VALUE"""),25.0)</f>
        <v>25</v>
      </c>
      <c r="J2660" s="35" t="str">
        <f>IFERROR(__xludf.DUMMYFUNCTION("""COMPUTED_VALUE"""),"25-34 tahun")</f>
        <v>25-34 tahun</v>
      </c>
      <c r="K2660" s="21" t="str">
        <f>IFERROR(__xludf.DUMMYFUNCTION("""COMPUTED_VALUE"""),"31/03/2001")</f>
        <v>31/03/2001</v>
      </c>
      <c r="L2660" s="21" t="str">
        <f>IFERROR(__xludf.DUMMYFUNCTION("""COMPUTED_VALUE"""),"PEREMPUAN")</f>
        <v>PEREMPUAN</v>
      </c>
      <c r="M2660" s="35" t="str">
        <f>IFERROR(__xludf.DUMMYFUNCTION("""COMPUTED_VALUE"""),"JL. HARUNA GG. BUKIT RAYA 3A NO. 3")</f>
        <v>JL. HARUNA GG. BUKIT RAYA 3A NO. 3</v>
      </c>
      <c r="N2660" s="35" t="str">
        <f>IFERROR(__xludf.DUMMYFUNCTION("""COMPUTED_VALUE"""),"SUNGAI JAWI DALAM")</f>
        <v>SUNGAI JAWI DALAM</v>
      </c>
      <c r="O2660" s="35" t="str">
        <f>IFERROR(__xludf.DUMMYFUNCTION("""COMPUTED_VALUE"""),"PONTIANAK BARAT")</f>
        <v>PONTIANAK BARAT</v>
      </c>
      <c r="P2660" s="35" t="str">
        <f>IFERROR(__xludf.DUMMYFUNCTION("""COMPUTED_VALUE"""),"KOTA PONTIANAK")</f>
        <v>KOTA PONTIANAK</v>
      </c>
      <c r="Q2660" s="35" t="str">
        <f>IFERROR(__xludf.DUMMYFUNCTION("""COMPUTED_VALUE"""),"KALIMANTAN BARAT")</f>
        <v>KALIMANTAN BARAT</v>
      </c>
      <c r="R2660" s="21" t="str">
        <f>IFERROR(__xludf.DUMMYFUNCTION("""COMPUTED_VALUE"""),"ISLAM")</f>
        <v>ISLAM</v>
      </c>
      <c r="S2660" s="74" t="str">
        <f>IFERROR(__xludf.DUMMYFUNCTION("""COMPUTED_VALUE"""),"KARYAWAN BUMD")</f>
        <v>KARYAWAN BUMD</v>
      </c>
      <c r="T2660" s="35" t="str">
        <f>IFERROR(__xludf.DUMMYFUNCTION("""COMPUTED_VALUE"""),"NYERI PINGGANG HINGGA KAKI KARENA SKOLIOSIS")</f>
        <v>NYERI PINGGANG HINGGA KAKI KARENA SKOLIOSIS</v>
      </c>
      <c r="U2660" s="35" t="str">
        <f>IFERROR(__xludf.DUMMYFUNCTION("""COMPUTED_VALUE"""),"DUDUK DEPAN LAPTOP 8-9 JAM NONSTOP, MEMBAWA TAS BERAT SEBELAH (TIDAK TAS BACKPACK)")</f>
        <v>DUDUK DEPAN LAPTOP 8-9 JAM NONSTOP, MEMBAWA TAS BERAT SEBELAH (TIDAK TAS BACKPACK)</v>
      </c>
      <c r="V2660" s="37" t="str">
        <f>IFERROR(__xludf.DUMMYFUNCTION("""COMPUTED_VALUE"""),"085246676145")</f>
        <v>085246676145</v>
      </c>
      <c r="W2660" s="45"/>
    </row>
    <row r="2661">
      <c r="A2661" s="45"/>
      <c r="B2661" s="24" t="str">
        <f>IFERROR(__xludf.DUMMYFUNCTION("""COMPUTED_VALUE"""),"24/07/2025 11:10:00")</f>
        <v>24/07/2025 11:10:00</v>
      </c>
      <c r="C2661" s="35"/>
      <c r="D2661" s="10">
        <f>IFERROR(__xludf.DUMMYFUNCTION("""COMPUTED_VALUE"""),45862.0)</f>
        <v>45862</v>
      </c>
      <c r="E2661" s="35" t="str">
        <f>IFERROR(__xludf.DUMMYFUNCTION("""COMPUTED_VALUE"""),"07Jul")</f>
        <v>07Jul</v>
      </c>
      <c r="F2661" s="34" t="str">
        <f>IFERROR(__xludf.DUMMYFUNCTION("""COMPUTED_VALUE"""),"2025")</f>
        <v>2025</v>
      </c>
      <c r="G2661" s="35" t="str">
        <f>IFERROR(__xludf.DUMMYFUNCTION("""COMPUTED_VALUE"""),"WAN REVALDO RIZKI NATAKUSUMA")</f>
        <v>WAN REVALDO RIZKI NATAKUSUMA</v>
      </c>
      <c r="H2661" s="35" t="str">
        <f>IFERROR(__xludf.DUMMYFUNCTION("""COMPUTED_VALUE"""),"W9625074211")</f>
        <v>W9625074211</v>
      </c>
      <c r="I2661" s="35">
        <f>IFERROR(__xludf.DUMMYFUNCTION("""COMPUTED_VALUE"""),30.0)</f>
        <v>30</v>
      </c>
      <c r="J2661" s="35" t="str">
        <f>IFERROR(__xludf.DUMMYFUNCTION("""COMPUTED_VALUE"""),"25-34 tahun")</f>
        <v>25-34 tahun</v>
      </c>
      <c r="K2661" s="21" t="str">
        <f>IFERROR(__xludf.DUMMYFUNCTION("""COMPUTED_VALUE"""),"13/04/1996")</f>
        <v>13/04/1996</v>
      </c>
      <c r="L2661" s="21" t="str">
        <f>IFERROR(__xludf.DUMMYFUNCTION("""COMPUTED_VALUE"""),"LAKI-LAKI")</f>
        <v>LAKI-LAKI</v>
      </c>
      <c r="M2661" s="35" t="str">
        <f>IFERROR(__xludf.DUMMYFUNCTION("""COMPUTED_VALUE"""),"JL. PARIT H. HUSIN 2 GG. H. DEMAK NO.1")</f>
        <v>JL. PARIT H. HUSIN 2 GG. H. DEMAK NO.1</v>
      </c>
      <c r="N2661" s="35" t="str">
        <f>IFERROR(__xludf.DUMMYFUNCTION("""COMPUTED_VALUE"""),"BANSIR DARAT")</f>
        <v>BANSIR DARAT</v>
      </c>
      <c r="O2661" s="35" t="str">
        <f>IFERROR(__xludf.DUMMYFUNCTION("""COMPUTED_VALUE"""),"PONTIANAK TENGGARA")</f>
        <v>PONTIANAK TENGGARA</v>
      </c>
      <c r="P2661" s="35" t="str">
        <f>IFERROR(__xludf.DUMMYFUNCTION("""COMPUTED_VALUE"""),"KOTA PONTIANAK")</f>
        <v>KOTA PONTIANAK</v>
      </c>
      <c r="Q2661" s="35" t="str">
        <f>IFERROR(__xludf.DUMMYFUNCTION("""COMPUTED_VALUE"""),"KALIMANTAN BARAT")</f>
        <v>KALIMANTAN BARAT</v>
      </c>
      <c r="R2661" s="21" t="str">
        <f>IFERROR(__xludf.DUMMYFUNCTION("""COMPUTED_VALUE"""),"ISLAM")</f>
        <v>ISLAM</v>
      </c>
      <c r="S2661" s="74" t="str">
        <f>IFERROR(__xludf.DUMMYFUNCTION("""COMPUTED_VALUE"""),"DESAIN GRAFIS")</f>
        <v>DESAIN GRAFIS</v>
      </c>
      <c r="T2661" s="35" t="str">
        <f>IFERROR(__xludf.DUMMYFUNCTION("""COMPUTED_VALUE"""),"PINGGANG, LEHER SY TERASA PEGAL DAN NGILU , DAN BAHU SAYA TINGGI SEBELEH SEPERTI MIRING SEBELAH")</f>
        <v>PINGGANG, LEHER SY TERASA PEGAL DAN NGILU , DAN BAHU SAYA TINGGI SEBELEH SEPERTI MIRING SEBELAH</v>
      </c>
      <c r="U2661" s="35" t="str">
        <f>IFERROR(__xludf.DUMMYFUNCTION("""COMPUTED_VALUE"""),"DUDUK DEPAN LAPTOP BERJAM JAM")</f>
        <v>DUDUK DEPAN LAPTOP BERJAM JAM</v>
      </c>
      <c r="V2661" s="37" t="str">
        <f>IFERROR(__xludf.DUMMYFUNCTION("""COMPUTED_VALUE"""),"085821724211")</f>
        <v>085821724211</v>
      </c>
      <c r="W2661" s="45"/>
    </row>
    <row r="2662">
      <c r="A2662" s="45"/>
      <c r="B2662" s="24" t="str">
        <f>IFERROR(__xludf.DUMMYFUNCTION("""COMPUTED_VALUE"""),"24/07/2025 14:42:44")</f>
        <v>24/07/2025 14:42:44</v>
      </c>
      <c r="C2662" s="35"/>
      <c r="D2662" s="10">
        <f>IFERROR(__xludf.DUMMYFUNCTION("""COMPUTED_VALUE"""),45862.0)</f>
        <v>45862</v>
      </c>
      <c r="E2662" s="35" t="str">
        <f>IFERROR(__xludf.DUMMYFUNCTION("""COMPUTED_VALUE"""),"07Jul")</f>
        <v>07Jul</v>
      </c>
      <c r="F2662" s="34" t="str">
        <f>IFERROR(__xludf.DUMMYFUNCTION("""COMPUTED_VALUE"""),"2025")</f>
        <v>2025</v>
      </c>
      <c r="G2662" s="35" t="str">
        <f>IFERROR(__xludf.DUMMYFUNCTION("""COMPUTED_VALUE"""),"MIMI RESTUTI")</f>
        <v>MIMI RESTUTI</v>
      </c>
      <c r="H2662" s="35" t="str">
        <f>IFERROR(__xludf.DUMMYFUNCTION("""COMPUTED_VALUE"""),"M7525070460")</f>
        <v>M7525070460</v>
      </c>
      <c r="I2662" s="35">
        <f>IFERROR(__xludf.DUMMYFUNCTION("""COMPUTED_VALUE"""),51.0)</f>
        <v>51</v>
      </c>
      <c r="J2662" s="35" t="str">
        <f>IFERROR(__xludf.DUMMYFUNCTION("""COMPUTED_VALUE"""),"&gt; 44 tahun")</f>
        <v>&gt; 44 tahun</v>
      </c>
      <c r="K2662" s="21" t="str">
        <f>IFERROR(__xludf.DUMMYFUNCTION("""COMPUTED_VALUE"""),"11/03/1975")</f>
        <v>11/03/1975</v>
      </c>
      <c r="L2662" s="21" t="str">
        <f>IFERROR(__xludf.DUMMYFUNCTION("""COMPUTED_VALUE"""),"PEREMPUAN")</f>
        <v>PEREMPUAN</v>
      </c>
      <c r="M2662" s="35" t="str">
        <f>IFERROR(__xludf.DUMMYFUNCTION("""COMPUTED_VALUE"""),"JL.PROF M YAMIN GG.KEMUNING JALUR 1 NO.4")</f>
        <v>JL.PROF M YAMIN GG.KEMUNING JALUR 1 NO.4</v>
      </c>
      <c r="N2662" s="35" t="str">
        <f>IFERROR(__xludf.DUMMYFUNCTION("""COMPUTED_VALUE"""),"SEI BANGKONG")</f>
        <v>SEI BANGKONG</v>
      </c>
      <c r="O2662" s="35" t="str">
        <f>IFERROR(__xludf.DUMMYFUNCTION("""COMPUTED_VALUE"""),"PONTIANAK KOTA")</f>
        <v>PONTIANAK KOTA</v>
      </c>
      <c r="P2662" s="35" t="str">
        <f>IFERROR(__xludf.DUMMYFUNCTION("""COMPUTED_VALUE"""),"KOTA PONTIANAK")</f>
        <v>KOTA PONTIANAK</v>
      </c>
      <c r="Q2662" s="35" t="str">
        <f>IFERROR(__xludf.DUMMYFUNCTION("""COMPUTED_VALUE"""),"KALIMANTAN BARAT")</f>
        <v>KALIMANTAN BARAT</v>
      </c>
      <c r="R2662" s="21" t="str">
        <f>IFERROR(__xludf.DUMMYFUNCTION("""COMPUTED_VALUE"""),"ISLAM")</f>
        <v>ISLAM</v>
      </c>
      <c r="S2662" s="74" t="str">
        <f>IFERROR(__xludf.DUMMYFUNCTION("""COMPUTED_VALUE"""),"IBU RUMAH TANGGAH")</f>
        <v>IBU RUMAH TANGGAH</v>
      </c>
      <c r="T2662" s="35" t="str">
        <f>IFERROR(__xludf.DUMMYFUNCTION("""COMPUTED_VALUE"""),"SAKIT PADA KAKI")</f>
        <v>SAKIT PADA KAKI</v>
      </c>
      <c r="U2662" s="35" t="str">
        <f>IFERROR(__xludf.DUMMYFUNCTION("""COMPUTED_VALUE"""),"OLAH RAGA SENAM DAN BADMINTON")</f>
        <v>OLAH RAGA SENAM DAN BADMINTON</v>
      </c>
      <c r="V2662" s="37" t="str">
        <f>IFERROR(__xludf.DUMMYFUNCTION("""COMPUTED_VALUE"""),"0895341690460")</f>
        <v>0895341690460</v>
      </c>
      <c r="W2662" s="45"/>
    </row>
    <row r="2663">
      <c r="A2663" s="45"/>
      <c r="B2663" s="24" t="str">
        <f>IFERROR(__xludf.DUMMYFUNCTION("""COMPUTED_VALUE"""),"26/07/2025 9:28:56")</f>
        <v>26/07/2025 9:28:56</v>
      </c>
      <c r="C2663" s="35"/>
      <c r="D2663" s="10">
        <f>IFERROR(__xludf.DUMMYFUNCTION("""COMPUTED_VALUE"""),45864.0)</f>
        <v>45864</v>
      </c>
      <c r="E2663" s="35" t="str">
        <f>IFERROR(__xludf.DUMMYFUNCTION("""COMPUTED_VALUE"""),"07Jul")</f>
        <v>07Jul</v>
      </c>
      <c r="F2663" s="34" t="str">
        <f>IFERROR(__xludf.DUMMYFUNCTION("""COMPUTED_VALUE"""),"2025")</f>
        <v>2025</v>
      </c>
      <c r="G2663" s="35" t="str">
        <f>IFERROR(__xludf.DUMMYFUNCTION("""COMPUTED_VALUE"""),"RAFI’AH 5508")</f>
        <v>RAFI’AH 5508</v>
      </c>
      <c r="H2663" s="35" t="str">
        <f>IFERROR(__xludf.DUMMYFUNCTION("""COMPUTED_VALUE"""),"R5525074162")</f>
        <v>R5525074162</v>
      </c>
      <c r="I2663" s="35">
        <f>IFERROR(__xludf.DUMMYFUNCTION("""COMPUTED_VALUE"""),70.0)</f>
        <v>70</v>
      </c>
      <c r="J2663" s="35" t="str">
        <f>IFERROR(__xludf.DUMMYFUNCTION("""COMPUTED_VALUE"""),"&gt; 44 tahun")</f>
        <v>&gt; 44 tahun</v>
      </c>
      <c r="K2663" s="21" t="str">
        <f>IFERROR(__xludf.DUMMYFUNCTION("""COMPUTED_VALUE"""),"15/08/1955")</f>
        <v>15/08/1955</v>
      </c>
      <c r="L2663" s="21" t="str">
        <f>IFERROR(__xludf.DUMMYFUNCTION("""COMPUTED_VALUE"""),"PEREMPUAN")</f>
        <v>PEREMPUAN</v>
      </c>
      <c r="M2663" s="35" t="str">
        <f>IFERROR(__xludf.DUMMYFUNCTION("""COMPUTED_VALUE"""),"JL. PROF. DR. M. YAMIN, GG. DARUL FALAH DALAM NO. 57")</f>
        <v>JL. PROF. DR. M. YAMIN, GG. DARUL FALAH DALAM NO. 57</v>
      </c>
      <c r="N2663" s="35" t="str">
        <f>IFERROR(__xludf.DUMMYFUNCTION("""COMPUTED_VALUE"""),"SUNGAI BANGKONG")</f>
        <v>SUNGAI BANGKONG</v>
      </c>
      <c r="O2663" s="35" t="str">
        <f>IFERROR(__xludf.DUMMYFUNCTION("""COMPUTED_VALUE"""),"PONTIANAK KOTA")</f>
        <v>PONTIANAK KOTA</v>
      </c>
      <c r="P2663" s="35" t="str">
        <f>IFERROR(__xludf.DUMMYFUNCTION("""COMPUTED_VALUE"""),"PONTIANAK")</f>
        <v>PONTIANAK</v>
      </c>
      <c r="Q2663" s="35" t="str">
        <f>IFERROR(__xludf.DUMMYFUNCTION("""COMPUTED_VALUE"""),"KALIMANTAN BARAT")</f>
        <v>KALIMANTAN BARAT</v>
      </c>
      <c r="R2663" s="21" t="str">
        <f>IFERROR(__xludf.DUMMYFUNCTION("""COMPUTED_VALUE"""),"ISLAM")</f>
        <v>ISLAM</v>
      </c>
      <c r="S2663" s="74" t="str">
        <f>IFERROR(__xludf.DUMMYFUNCTION("""COMPUTED_VALUE"""),"IBU RUMAH TANGGA")</f>
        <v>IBU RUMAH TANGGA</v>
      </c>
      <c r="T2663" s="35" t="str">
        <f>IFERROR(__xludf.DUMMYFUNCTION("""COMPUTED_VALUE"""),"NYERI PINGGANG")</f>
        <v>NYERI PINGGANG</v>
      </c>
      <c r="U2663" s="35" t="str">
        <f>IFERROR(__xludf.DUMMYFUNCTION("""COMPUTED_VALUE"""),"MEMASAK, BELANJA KE PASAR, MENANAM BUNGA")</f>
        <v>MEMASAK, BELANJA KE PASAR, MENANAM BUNGA</v>
      </c>
      <c r="V2663" s="37" t="str">
        <f>IFERROR(__xludf.DUMMYFUNCTION("""COMPUTED_VALUE"""),"085654404162")</f>
        <v>085654404162</v>
      </c>
      <c r="W2663" s="45"/>
    </row>
    <row r="2664">
      <c r="A2664" s="45"/>
      <c r="B2664" s="24" t="str">
        <f>IFERROR(__xludf.DUMMYFUNCTION("""COMPUTED_VALUE"""),"25/07/2025 14:09:57")</f>
        <v>25/07/2025 14:09:57</v>
      </c>
      <c r="C2664" s="35"/>
      <c r="D2664" s="10">
        <f>IFERROR(__xludf.DUMMYFUNCTION("""COMPUTED_VALUE"""),45864.0)</f>
        <v>45864</v>
      </c>
      <c r="E2664" s="35" t="str">
        <f>IFERROR(__xludf.DUMMYFUNCTION("""COMPUTED_VALUE"""),"07Jul")</f>
        <v>07Jul</v>
      </c>
      <c r="F2664" s="34" t="str">
        <f>IFERROR(__xludf.DUMMYFUNCTION("""COMPUTED_VALUE"""),"2025")</f>
        <v>2025</v>
      </c>
      <c r="G2664" s="35" t="str">
        <f>IFERROR(__xludf.DUMMYFUNCTION("""COMPUTED_VALUE"""),"WANDY TANDRA")</f>
        <v>WANDY TANDRA</v>
      </c>
      <c r="H2664" s="35" t="str">
        <f>IFERROR(__xludf.DUMMYFUNCTION("""COMPUTED_VALUE"""),"W2525077966")</f>
        <v>W2525077966</v>
      </c>
      <c r="I2664" s="35">
        <f>IFERROR(__xludf.DUMMYFUNCTION("""COMPUTED_VALUE"""),0.0)</f>
        <v>0</v>
      </c>
      <c r="J2664" s="35" t="str">
        <f>IFERROR(__xludf.DUMMYFUNCTION("""COMPUTED_VALUE"""),"&lt; 18 tahun")</f>
        <v>&lt; 18 tahun</v>
      </c>
      <c r="K2664" s="21" t="str">
        <f>IFERROR(__xludf.DUMMYFUNCTION("""COMPUTED_VALUE"""),"25/07/2025")</f>
        <v>25/07/2025</v>
      </c>
      <c r="L2664" s="21" t="str">
        <f>IFERROR(__xludf.DUMMYFUNCTION("""COMPUTED_VALUE"""),"LAKI-LAKI")</f>
        <v>LAKI-LAKI</v>
      </c>
      <c r="M2664" s="35" t="str">
        <f>IFERROR(__xludf.DUMMYFUNCTION("""COMPUTED_VALUE"""),"JL PUTRI CANDRAMIDI GG SAPTA JAYA NO 19B")</f>
        <v>JL PUTRI CANDRAMIDI GG SAPTA JAYA NO 19B</v>
      </c>
      <c r="N2664" s="35" t="str">
        <f>IFERROR(__xludf.DUMMYFUNCTION("""COMPUTED_VALUE"""),"SUNGAI BANGKONG")</f>
        <v>SUNGAI BANGKONG</v>
      </c>
      <c r="O2664" s="35" t="str">
        <f>IFERROR(__xludf.DUMMYFUNCTION("""COMPUTED_VALUE"""),"PONTIANAK KOTA")</f>
        <v>PONTIANAK KOTA</v>
      </c>
      <c r="P2664" s="35" t="str">
        <f>IFERROR(__xludf.DUMMYFUNCTION("""COMPUTED_VALUE"""),"PONTIANAK")</f>
        <v>PONTIANAK</v>
      </c>
      <c r="Q2664" s="35" t="str">
        <f>IFERROR(__xludf.DUMMYFUNCTION("""COMPUTED_VALUE"""),"KALIMANTAN BARAT")</f>
        <v>KALIMANTAN BARAT</v>
      </c>
      <c r="R2664" s="21" t="str">
        <f>IFERROR(__xludf.DUMMYFUNCTION("""COMPUTED_VALUE"""),"KHONGHUCU")</f>
        <v>KHONGHUCU</v>
      </c>
      <c r="S2664" s="74" t="str">
        <f>IFERROR(__xludf.DUMMYFUNCTION("""COMPUTED_VALUE"""),"SWASTA")</f>
        <v>SWASTA</v>
      </c>
      <c r="T2664" s="35" t="str">
        <f>IFERROR(__xludf.DUMMYFUNCTION("""COMPUTED_VALUE"""),"NYERI LEHER")</f>
        <v>NYERI LEHER</v>
      </c>
      <c r="U2664" s="35" t="str">
        <f>IFERROR(__xludf.DUMMYFUNCTION("""COMPUTED_VALUE"""),"KERJA")</f>
        <v>KERJA</v>
      </c>
      <c r="V2664" s="37" t="str">
        <f>IFERROR(__xludf.DUMMYFUNCTION("""COMPUTED_VALUE"""),"081231837966")</f>
        <v>081231837966</v>
      </c>
      <c r="W2664" s="45"/>
    </row>
    <row r="2665">
      <c r="A2665" s="45"/>
      <c r="B2665" s="24" t="str">
        <f>IFERROR(__xludf.DUMMYFUNCTION("""COMPUTED_VALUE"""),"26/07/2025 11:03:59")</f>
        <v>26/07/2025 11:03:59</v>
      </c>
      <c r="C2665" s="35"/>
      <c r="D2665" s="10">
        <f>IFERROR(__xludf.DUMMYFUNCTION("""COMPUTED_VALUE"""),45864.0)</f>
        <v>45864</v>
      </c>
      <c r="E2665" s="35" t="str">
        <f>IFERROR(__xludf.DUMMYFUNCTION("""COMPUTED_VALUE"""),"07Jul")</f>
        <v>07Jul</v>
      </c>
      <c r="F2665" s="34" t="str">
        <f>IFERROR(__xludf.DUMMYFUNCTION("""COMPUTED_VALUE"""),"2025")</f>
        <v>2025</v>
      </c>
      <c r="G2665" s="35" t="str">
        <f>IFERROR(__xludf.DUMMYFUNCTION("""COMPUTED_VALUE"""),"RAKHMAD")</f>
        <v>RAKHMAD</v>
      </c>
      <c r="H2665" s="35" t="str">
        <f>IFERROR(__xludf.DUMMYFUNCTION("""COMPUTED_VALUE"""),"R5325079977")</f>
        <v>R5325079977</v>
      </c>
      <c r="I2665" s="35">
        <f>IFERROR(__xludf.DUMMYFUNCTION("""COMPUTED_VALUE"""),73.0)</f>
        <v>73</v>
      </c>
      <c r="J2665" s="35" t="str">
        <f>IFERROR(__xludf.DUMMYFUNCTION("""COMPUTED_VALUE"""),"&gt; 44 tahun")</f>
        <v>&gt; 44 tahun</v>
      </c>
      <c r="K2665" s="21" t="str">
        <f>IFERROR(__xludf.DUMMYFUNCTION("""COMPUTED_VALUE"""),"12/04/1953")</f>
        <v>12/04/1953</v>
      </c>
      <c r="L2665" s="21" t="str">
        <f>IFERROR(__xludf.DUMMYFUNCTION("""COMPUTED_VALUE"""),"LAKI-LAKI")</f>
        <v>LAKI-LAKI</v>
      </c>
      <c r="M2665" s="35" t="str">
        <f>IFERROR(__xludf.DUMMYFUNCTION("""COMPUTED_VALUE"""),"JL M YAMIN GG.MORODADI 2 15")</f>
        <v>JL M YAMIN GG.MORODADI 2 15</v>
      </c>
      <c r="N2665" s="35" t="str">
        <f>IFERROR(__xludf.DUMMYFUNCTION("""COMPUTED_VALUE"""),"SUI BANGKONG")</f>
        <v>SUI BANGKONG</v>
      </c>
      <c r="O2665" s="35" t="str">
        <f>IFERROR(__xludf.DUMMYFUNCTION("""COMPUTED_VALUE"""),"PONTIANAK KOTA")</f>
        <v>PONTIANAK KOTA</v>
      </c>
      <c r="P2665" s="35" t="str">
        <f>IFERROR(__xludf.DUMMYFUNCTION("""COMPUTED_VALUE"""),"KOTA PONTIANAK")</f>
        <v>KOTA PONTIANAK</v>
      </c>
      <c r="Q2665" s="35" t="str">
        <f>IFERROR(__xludf.DUMMYFUNCTION("""COMPUTED_VALUE"""),"KALBAR")</f>
        <v>KALBAR</v>
      </c>
      <c r="R2665" s="21" t="str">
        <f>IFERROR(__xludf.DUMMYFUNCTION("""COMPUTED_VALUE"""),"ISLAM")</f>
        <v>ISLAM</v>
      </c>
      <c r="S2665" s="74" t="str">
        <f>IFERROR(__xludf.DUMMYFUNCTION("""COMPUTED_VALUE"""),"PENSIUNAN GURU")</f>
        <v>PENSIUNAN GURU</v>
      </c>
      <c r="T2665" s="35" t="str">
        <f>IFERROR(__xludf.DUMMYFUNCTION("""COMPUTED_VALUE"""),"NYERI DI PINGGANG")</f>
        <v>NYERI DI PINGGANG</v>
      </c>
      <c r="U2665" s="35" t="str">
        <f>IFERROR(__xludf.DUMMYFUNCTION("""COMPUTED_VALUE"""),"BEBERES HALAMAN")</f>
        <v>BEBERES HALAMAN</v>
      </c>
      <c r="V2665" s="37" t="str">
        <f>IFERROR(__xludf.DUMMYFUNCTION("""COMPUTED_VALUE"""),"08115709977")</f>
        <v>08115709977</v>
      </c>
      <c r="W2665" s="45"/>
    </row>
    <row r="2666">
      <c r="A2666" s="45"/>
      <c r="B2666" s="24" t="str">
        <f>IFERROR(__xludf.DUMMYFUNCTION("""COMPUTED_VALUE"""),"26/07/2025 18:57:32")</f>
        <v>26/07/2025 18:57:32</v>
      </c>
      <c r="C2666" s="35"/>
      <c r="D2666" s="10">
        <f>IFERROR(__xludf.DUMMYFUNCTION("""COMPUTED_VALUE"""),45864.0)</f>
        <v>45864</v>
      </c>
      <c r="E2666" s="35" t="str">
        <f>IFERROR(__xludf.DUMMYFUNCTION("""COMPUTED_VALUE"""),"07Jul")</f>
        <v>07Jul</v>
      </c>
      <c r="F2666" s="34" t="str">
        <f>IFERROR(__xludf.DUMMYFUNCTION("""COMPUTED_VALUE"""),"2025")</f>
        <v>2025</v>
      </c>
      <c r="G2666" s="35" t="str">
        <f>IFERROR(__xludf.DUMMYFUNCTION("""COMPUTED_VALUE"""),"HENI YULIKARWATI")</f>
        <v>HENI YULIKARWATI</v>
      </c>
      <c r="H2666" s="35" t="str">
        <f>IFERROR(__xludf.DUMMYFUNCTION("""COMPUTED_VALUE"""),"H6725078818")</f>
        <v>H6725078818</v>
      </c>
      <c r="I2666" s="35">
        <f>IFERROR(__xludf.DUMMYFUNCTION("""COMPUTED_VALUE"""),58.0)</f>
        <v>58</v>
      </c>
      <c r="J2666" s="35" t="str">
        <f>IFERROR(__xludf.DUMMYFUNCTION("""COMPUTED_VALUE"""),"&gt; 44 tahun")</f>
        <v>&gt; 44 tahun</v>
      </c>
      <c r="K2666" s="21" t="str">
        <f>IFERROR(__xludf.DUMMYFUNCTION("""COMPUTED_VALUE"""),"15/07/1967")</f>
        <v>15/07/1967</v>
      </c>
      <c r="L2666" s="21" t="str">
        <f>IFERROR(__xludf.DUMMYFUNCTION("""COMPUTED_VALUE"""),"PEREMPUAN")</f>
        <v>PEREMPUAN</v>
      </c>
      <c r="M2666" s="35" t="str">
        <f>IFERROR(__xludf.DUMMYFUNCTION("""COMPUTED_VALUE"""),"JL. RAYA BOGOR KM 27")</f>
        <v>JL. RAYA BOGOR KM 27</v>
      </c>
      <c r="N2666" s="35" t="str">
        <f>IFERROR(__xludf.DUMMYFUNCTION("""COMPUTED_VALUE"""),"PEKAYON")</f>
        <v>PEKAYON</v>
      </c>
      <c r="O2666" s="35" t="str">
        <f>IFERROR(__xludf.DUMMYFUNCTION("""COMPUTED_VALUE"""),"PASAR REBO")</f>
        <v>PASAR REBO</v>
      </c>
      <c r="P2666" s="35" t="str">
        <f>IFERROR(__xludf.DUMMYFUNCTION("""COMPUTED_VALUE"""),"JAKARTA TIMUR")</f>
        <v>JAKARTA TIMUR</v>
      </c>
      <c r="Q2666" s="35" t="str">
        <f>IFERROR(__xludf.DUMMYFUNCTION("""COMPUTED_VALUE"""),"JAKARTA")</f>
        <v>JAKARTA</v>
      </c>
      <c r="R2666" s="21" t="str">
        <f>IFERROR(__xludf.DUMMYFUNCTION("""COMPUTED_VALUE"""),"ISLAM")</f>
        <v>ISLAM</v>
      </c>
      <c r="S2666" s="74" t="str">
        <f>IFERROR(__xludf.DUMMYFUNCTION("""COMPUTED_VALUE"""),"IBU RUMAHTANGGA")</f>
        <v>IBU RUMAHTANGGA</v>
      </c>
      <c r="T2666" s="35" t="str">
        <f>IFERROR(__xludf.DUMMYFUNCTION("""COMPUTED_VALUE"""),"LUTUT KAKU")</f>
        <v>LUTUT KAKU</v>
      </c>
      <c r="U2666" s="35" t="str">
        <f>IFERROR(__xludf.DUMMYFUNCTION("""COMPUTED_VALUE"""),"AKTIVITAS BIASA")</f>
        <v>AKTIVITAS BIASA</v>
      </c>
      <c r="V2666" s="37" t="str">
        <f>IFERROR(__xludf.DUMMYFUNCTION("""COMPUTED_VALUE"""),"08115718818")</f>
        <v>08115718818</v>
      </c>
      <c r="W2666" s="45"/>
    </row>
    <row r="2667">
      <c r="A2667" s="45"/>
      <c r="B2667" s="24" t="str">
        <f>IFERROR(__xludf.DUMMYFUNCTION("""COMPUTED_VALUE"""),"26/07/2025 19:04:48")</f>
        <v>26/07/2025 19:04:48</v>
      </c>
      <c r="C2667" s="35"/>
      <c r="D2667" s="10">
        <f>IFERROR(__xludf.DUMMYFUNCTION("""COMPUTED_VALUE"""),45864.0)</f>
        <v>45864</v>
      </c>
      <c r="E2667" s="35" t="str">
        <f>IFERROR(__xludf.DUMMYFUNCTION("""COMPUTED_VALUE"""),"07Jul")</f>
        <v>07Jul</v>
      </c>
      <c r="F2667" s="34" t="str">
        <f>IFERROR(__xludf.DUMMYFUNCTION("""COMPUTED_VALUE"""),"2025")</f>
        <v>2025</v>
      </c>
      <c r="G2667" s="35" t="str">
        <f>IFERROR(__xludf.DUMMYFUNCTION("""COMPUTED_VALUE"""),"FAJRINA HASNI")</f>
        <v>FAJRINA HASNI</v>
      </c>
      <c r="H2667" s="35" t="str">
        <f>IFERROR(__xludf.DUMMYFUNCTION("""COMPUTED_VALUE"""),"F8525077772")</f>
        <v>F8525077772</v>
      </c>
      <c r="I2667" s="35">
        <f>IFERROR(__xludf.DUMMYFUNCTION("""COMPUTED_VALUE"""),41.0)</f>
        <v>41</v>
      </c>
      <c r="J2667" s="35" t="str">
        <f>IFERROR(__xludf.DUMMYFUNCTION("""COMPUTED_VALUE"""),"35-44 tahun")</f>
        <v>35-44 tahun</v>
      </c>
      <c r="K2667" s="21" t="str">
        <f>IFERROR(__xludf.DUMMYFUNCTION("""COMPUTED_VALUE"""),"16/02/1985")</f>
        <v>16/02/1985</v>
      </c>
      <c r="L2667" s="21" t="str">
        <f>IFERROR(__xludf.DUMMYFUNCTION("""COMPUTED_VALUE"""),"PEREMPUAN")</f>
        <v>PEREMPUAN</v>
      </c>
      <c r="M2667" s="35" t="str">
        <f>IFERROR(__xludf.DUMMYFUNCTION("""COMPUTED_VALUE"""),"JL.SURYA GANG SURYA JINGGA NO 20A")</f>
        <v>JL.SURYA GANG SURYA JINGGA NO 20A</v>
      </c>
      <c r="N2667" s="35" t="str">
        <f>IFERROR(__xludf.DUMMYFUNCTION("""COMPUTED_VALUE"""),"AKCAYA")</f>
        <v>AKCAYA</v>
      </c>
      <c r="O2667" s="35" t="str">
        <f>IFERROR(__xludf.DUMMYFUNCTION("""COMPUTED_VALUE"""),"PONTIANAK SELATAN")</f>
        <v>PONTIANAK SELATAN</v>
      </c>
      <c r="P2667" s="35" t="str">
        <f>IFERROR(__xludf.DUMMYFUNCTION("""COMPUTED_VALUE"""),"KOTA PONTIANAK")</f>
        <v>KOTA PONTIANAK</v>
      </c>
      <c r="Q2667" s="35" t="str">
        <f>IFERROR(__xludf.DUMMYFUNCTION("""COMPUTED_VALUE"""),"KALIMANTAN BARAT")</f>
        <v>KALIMANTAN BARAT</v>
      </c>
      <c r="R2667" s="21" t="str">
        <f>IFERROR(__xludf.DUMMYFUNCTION("""COMPUTED_VALUE"""),"ISLAM")</f>
        <v>ISLAM</v>
      </c>
      <c r="S2667" s="74" t="str">
        <f>IFERROR(__xludf.DUMMYFUNCTION("""COMPUTED_VALUE"""),"PNS (GURU)")</f>
        <v>PNS (GURU)</v>
      </c>
      <c r="T2667" s="35" t="str">
        <f>IFERROR(__xludf.DUMMYFUNCTION("""COMPUTED_VALUE"""),"BAGIAN PAHA DALAM SEPERTI ADA OTOT YANG KETARIK")</f>
        <v>BAGIAN PAHA DALAM SEPERTI ADA OTOT YANG KETARIK</v>
      </c>
      <c r="U2667" s="35" t="str">
        <f>IFERROR(__xludf.DUMMYFUNCTION("""COMPUTED_VALUE"""),"TIDAK ADA")</f>
        <v>TIDAK ADA</v>
      </c>
      <c r="V2667" s="37" t="str">
        <f>IFERROR(__xludf.DUMMYFUNCTION("""COMPUTED_VALUE"""),"081257537772")</f>
        <v>081257537772</v>
      </c>
      <c r="W2667" s="45"/>
    </row>
    <row r="2668">
      <c r="A2668" s="45"/>
      <c r="B2668" s="24" t="str">
        <f>IFERROR(__xludf.DUMMYFUNCTION("""COMPUTED_VALUE"""),"27/07/2025 8:57:08")</f>
        <v>27/07/2025 8:57:08</v>
      </c>
      <c r="C2668" s="35"/>
      <c r="D2668" s="10">
        <f>IFERROR(__xludf.DUMMYFUNCTION("""COMPUTED_VALUE"""),45865.0)</f>
        <v>45865</v>
      </c>
      <c r="E2668" s="35" t="str">
        <f>IFERROR(__xludf.DUMMYFUNCTION("""COMPUTED_VALUE"""),"07Jul")</f>
        <v>07Jul</v>
      </c>
      <c r="F2668" s="34" t="str">
        <f>IFERROR(__xludf.DUMMYFUNCTION("""COMPUTED_VALUE"""),"2025")</f>
        <v>2025</v>
      </c>
      <c r="G2668" s="35" t="str">
        <f>IFERROR(__xludf.DUMMYFUNCTION("""COMPUTED_VALUE"""),"NELLA FARAS")</f>
        <v>NELLA FARAS</v>
      </c>
      <c r="H2668" s="35" t="str">
        <f>IFERROR(__xludf.DUMMYFUNCTION("""COMPUTED_VALUE"""),"N9425071768")</f>
        <v>N9425071768</v>
      </c>
      <c r="I2668" s="35">
        <f>IFERROR(__xludf.DUMMYFUNCTION("""COMPUTED_VALUE"""),32.0)</f>
        <v>32</v>
      </c>
      <c r="J2668" s="35" t="str">
        <f>IFERROR(__xludf.DUMMYFUNCTION("""COMPUTED_VALUE"""),"25-34 tahun")</f>
        <v>25-34 tahun</v>
      </c>
      <c r="K2668" s="21" t="str">
        <f>IFERROR(__xludf.DUMMYFUNCTION("""COMPUTED_VALUE"""),"17/01/1994")</f>
        <v>17/01/1994</v>
      </c>
      <c r="L2668" s="21" t="str">
        <f>IFERROR(__xludf.DUMMYFUNCTION("""COMPUTED_VALUE"""),"PEREMPUAN")</f>
        <v>PEREMPUAN</v>
      </c>
      <c r="M2668" s="35" t="str">
        <f>IFERROR(__xludf.DUMMYFUNCTION("""COMPUTED_VALUE"""),"KOMP PEMDA JALUR 1 SIANTAN HULU")</f>
        <v>KOMP PEMDA JALUR 1 SIANTAN HULU</v>
      </c>
      <c r="N2668" s="35" t="str">
        <f>IFERROR(__xludf.DUMMYFUNCTION("""COMPUTED_VALUE"""),"SIANTAN HULU")</f>
        <v>SIANTAN HULU</v>
      </c>
      <c r="O2668" s="35" t="str">
        <f>IFERROR(__xludf.DUMMYFUNCTION("""COMPUTED_VALUE"""),"PONTIANAK UTARA")</f>
        <v>PONTIANAK UTARA</v>
      </c>
      <c r="P2668" s="35" t="str">
        <f>IFERROR(__xludf.DUMMYFUNCTION("""COMPUTED_VALUE"""),"PONTIANAK")</f>
        <v>PONTIANAK</v>
      </c>
      <c r="Q2668" s="35" t="str">
        <f>IFERROR(__xludf.DUMMYFUNCTION("""COMPUTED_VALUE"""),"KALIMANTAN BARAT")</f>
        <v>KALIMANTAN BARAT</v>
      </c>
      <c r="R2668" s="21" t="str">
        <f>IFERROR(__xludf.DUMMYFUNCTION("""COMPUTED_VALUE"""),"ISLAM")</f>
        <v>ISLAM</v>
      </c>
      <c r="S2668" s="74" t="str">
        <f>IFERROR(__xludf.DUMMYFUNCTION("""COMPUTED_VALUE"""),"GURU SWASTA")</f>
        <v>GURU SWASTA</v>
      </c>
      <c r="T2668" s="35" t="str">
        <f>IFERROR(__xludf.DUMMYFUNCTION("""COMPUTED_VALUE"""),"KALAU BERJALAN DAN BERDIRI LAMA, SERING KAKU DAN KAKI TIDAK BISA BERGERAK")</f>
        <v>KALAU BERJALAN DAN BERDIRI LAMA, SERING KAKU DAN KAKI TIDAK BISA BERGERAK</v>
      </c>
      <c r="U2668" s="35" t="str">
        <f>IFERROR(__xludf.DUMMYFUNCTION("""COMPUTED_VALUE"""),"TIDAK ADA")</f>
        <v>TIDAK ADA</v>
      </c>
      <c r="V2668" s="37" t="str">
        <f>IFERROR(__xludf.DUMMYFUNCTION("""COMPUTED_VALUE"""),"085135761768")</f>
        <v>085135761768</v>
      </c>
      <c r="W2668" s="45"/>
    </row>
    <row r="2669">
      <c r="A2669" s="45"/>
      <c r="B2669" s="24" t="str">
        <f>IFERROR(__xludf.DUMMYFUNCTION("""COMPUTED_VALUE"""),"27/07/2025 9:18:54")</f>
        <v>27/07/2025 9:18:54</v>
      </c>
      <c r="C2669" s="35"/>
      <c r="D2669" s="10">
        <f>IFERROR(__xludf.DUMMYFUNCTION("""COMPUTED_VALUE"""),45865.0)</f>
        <v>45865</v>
      </c>
      <c r="E2669" s="35" t="str">
        <f>IFERROR(__xludf.DUMMYFUNCTION("""COMPUTED_VALUE"""),"07Jul")</f>
        <v>07Jul</v>
      </c>
      <c r="F2669" s="34" t="str">
        <f>IFERROR(__xludf.DUMMYFUNCTION("""COMPUTED_VALUE"""),"2025")</f>
        <v>2025</v>
      </c>
      <c r="G2669" s="35" t="str">
        <f>IFERROR(__xludf.DUMMYFUNCTION("""COMPUTED_VALUE"""),"TANIA 0004")</f>
        <v>TANIA 0004</v>
      </c>
      <c r="H2669" s="35" t="str">
        <f>IFERROR(__xludf.DUMMYFUNCTION("""COMPUTED_VALUE"""),"T0025078451")</f>
        <v>T0025078451</v>
      </c>
      <c r="I2669" s="35">
        <f>IFERROR(__xludf.DUMMYFUNCTION("""COMPUTED_VALUE"""),26.0)</f>
        <v>26</v>
      </c>
      <c r="J2669" s="35" t="str">
        <f>IFERROR(__xludf.DUMMYFUNCTION("""COMPUTED_VALUE"""),"25-34 tahun")</f>
        <v>25-34 tahun</v>
      </c>
      <c r="K2669" s="21" t="str">
        <f>IFERROR(__xludf.DUMMYFUNCTION("""COMPUTED_VALUE"""),"19/04/2000")</f>
        <v>19/04/2000</v>
      </c>
      <c r="L2669" s="21" t="str">
        <f>IFERROR(__xludf.DUMMYFUNCTION("""COMPUTED_VALUE"""),"PEREMPUAN")</f>
        <v>PEREMPUAN</v>
      </c>
      <c r="M2669" s="35" t="str">
        <f>IFERROR(__xludf.DUMMYFUNCTION("""COMPUTED_VALUE"""),"GG.PATRIA KOMP.GRAND MANDIRI G20")</f>
        <v>GG.PATRIA KOMP.GRAND MANDIRI G20</v>
      </c>
      <c r="N2669" s="35" t="str">
        <f>IFERROR(__xludf.DUMMYFUNCTION("""COMPUTED_VALUE"""),"ARANG LIMBUNG")</f>
        <v>ARANG LIMBUNG</v>
      </c>
      <c r="O2669" s="35" t="str">
        <f>IFERROR(__xludf.DUMMYFUNCTION("""COMPUTED_VALUE"""),"SUNGAI RAYA")</f>
        <v>SUNGAI RAYA</v>
      </c>
      <c r="P2669" s="35" t="str">
        <f>IFERROR(__xludf.DUMMYFUNCTION("""COMPUTED_VALUE"""),"KUBU RAYA")</f>
        <v>KUBU RAYA</v>
      </c>
      <c r="Q2669" s="35" t="str">
        <f>IFERROR(__xludf.DUMMYFUNCTION("""COMPUTED_VALUE"""),"KALIMANTAN BARAT")</f>
        <v>KALIMANTAN BARAT</v>
      </c>
      <c r="R2669" s="21" t="str">
        <f>IFERROR(__xludf.DUMMYFUNCTION("""COMPUTED_VALUE"""),"BUDDHA")</f>
        <v>BUDDHA</v>
      </c>
      <c r="S2669" s="74" t="str">
        <f>IFERROR(__xludf.DUMMYFUNCTION("""COMPUTED_VALUE"""),"KASIR DI TOKO ATK")</f>
        <v>KASIR DI TOKO ATK</v>
      </c>
      <c r="T2669" s="35" t="str">
        <f>IFERROR(__xludf.DUMMYFUNCTION("""COMPUTED_VALUE"""),"SARAF KEJEPIT")</f>
        <v>SARAF KEJEPIT</v>
      </c>
      <c r="U2669" s="35" t="str">
        <f>IFERROR(__xludf.DUMMYFUNCTION("""COMPUTED_VALUE"""),"BANYAK BERJALAN DAN BERDIRI LAMA")</f>
        <v>BANYAK BERJALAN DAN BERDIRI LAMA</v>
      </c>
      <c r="V2669" s="37" t="str">
        <f>IFERROR(__xludf.DUMMYFUNCTION("""COMPUTED_VALUE"""),"085933528451")</f>
        <v>085933528451</v>
      </c>
      <c r="W2669" s="45"/>
    </row>
    <row r="2670">
      <c r="A2670" s="45"/>
      <c r="B2670" s="24" t="str">
        <f>IFERROR(__xludf.DUMMYFUNCTION("""COMPUTED_VALUE"""),"27/07/2025 14:05:26")</f>
        <v>27/07/2025 14:05:26</v>
      </c>
      <c r="C2670" s="35"/>
      <c r="D2670" s="10">
        <f>IFERROR(__xludf.DUMMYFUNCTION("""COMPUTED_VALUE"""),45865.0)</f>
        <v>45865</v>
      </c>
      <c r="E2670" s="35" t="str">
        <f>IFERROR(__xludf.DUMMYFUNCTION("""COMPUTED_VALUE"""),"07Jul")</f>
        <v>07Jul</v>
      </c>
      <c r="F2670" s="34" t="str">
        <f>IFERROR(__xludf.DUMMYFUNCTION("""COMPUTED_VALUE"""),"2025")</f>
        <v>2025</v>
      </c>
      <c r="G2670" s="35" t="str">
        <f>IFERROR(__xludf.DUMMYFUNCTION("""COMPUTED_VALUE"""),"NG IE BUI")</f>
        <v>NG IE BUI</v>
      </c>
      <c r="H2670" s="35" t="str">
        <f>IFERROR(__xludf.DUMMYFUNCTION("""COMPUTED_VALUE"""),"N6225074612")</f>
        <v>N6225074612</v>
      </c>
      <c r="I2670" s="35">
        <f>IFERROR(__xludf.DUMMYFUNCTION("""COMPUTED_VALUE"""),64.0)</f>
        <v>64</v>
      </c>
      <c r="J2670" s="35" t="str">
        <f>IFERROR(__xludf.DUMMYFUNCTION("""COMPUTED_VALUE"""),"&gt; 44 tahun")</f>
        <v>&gt; 44 tahun</v>
      </c>
      <c r="K2670" s="21" t="str">
        <f>IFERROR(__xludf.DUMMYFUNCTION("""COMPUTED_VALUE"""),"23/03/1962")</f>
        <v>23/03/1962</v>
      </c>
      <c r="L2670" s="21" t="str">
        <f>IFERROR(__xludf.DUMMYFUNCTION("""COMPUTED_VALUE"""),"PEREMPUAN")</f>
        <v>PEREMPUAN</v>
      </c>
      <c r="M2670" s="35" t="str">
        <f>IFERROR(__xludf.DUMMYFUNCTION("""COMPUTED_VALUE"""),"JL GAJAHMADA 9 NO 105")</f>
        <v>JL GAJAHMADA 9 NO 105</v>
      </c>
      <c r="N2670" s="35" t="str">
        <f>IFERROR(__xludf.DUMMYFUNCTION("""COMPUTED_VALUE"""),"BENUA MELAYU DARAT")</f>
        <v>BENUA MELAYU DARAT</v>
      </c>
      <c r="O2670" s="35" t="str">
        <f>IFERROR(__xludf.DUMMYFUNCTION("""COMPUTED_VALUE"""),"PONTIANAK SELATAN")</f>
        <v>PONTIANAK SELATAN</v>
      </c>
      <c r="P2670" s="35" t="str">
        <f>IFERROR(__xludf.DUMMYFUNCTION("""COMPUTED_VALUE"""),"PONTIANAK")</f>
        <v>PONTIANAK</v>
      </c>
      <c r="Q2670" s="35" t="str">
        <f>IFERROR(__xludf.DUMMYFUNCTION("""COMPUTED_VALUE"""),"KALIMANTAN BARAT")</f>
        <v>KALIMANTAN BARAT</v>
      </c>
      <c r="R2670" s="21" t="str">
        <f>IFERROR(__xludf.DUMMYFUNCTION("""COMPUTED_VALUE"""),"KHONGHUCU")</f>
        <v>KHONGHUCU</v>
      </c>
      <c r="S2670" s="74" t="str">
        <f>IFERROR(__xludf.DUMMYFUNCTION("""COMPUTED_VALUE"""),"IBU RUMAH TANGGA")</f>
        <v>IBU RUMAH TANGGA</v>
      </c>
      <c r="T2670" s="35" t="str">
        <f>IFERROR(__xludf.DUMMYFUNCTION("""COMPUTED_VALUE"""),"PERGELANGAN KAKI")</f>
        <v>PERGELANGAN KAKI</v>
      </c>
      <c r="U2670" s="35" t="str">
        <f>IFERROR(__xludf.DUMMYFUNCTION("""COMPUTED_VALUE"""),"FAKTOR USIA")</f>
        <v>FAKTOR USIA</v>
      </c>
      <c r="V2670" s="37" t="str">
        <f>IFERROR(__xludf.DUMMYFUNCTION("""COMPUTED_VALUE"""),"08125614612")</f>
        <v>08125614612</v>
      </c>
      <c r="W2670" s="45"/>
    </row>
    <row r="2671">
      <c r="A2671" s="45"/>
      <c r="B2671" s="24" t="str">
        <f>IFERROR(__xludf.DUMMYFUNCTION("""COMPUTED_VALUE"""),"27/07/2025 14:30:06")</f>
        <v>27/07/2025 14:30:06</v>
      </c>
      <c r="C2671" s="35"/>
      <c r="D2671" s="10">
        <f>IFERROR(__xludf.DUMMYFUNCTION("""COMPUTED_VALUE"""),45865.0)</f>
        <v>45865</v>
      </c>
      <c r="E2671" s="35" t="str">
        <f>IFERROR(__xludf.DUMMYFUNCTION("""COMPUTED_VALUE"""),"07Jul")</f>
        <v>07Jul</v>
      </c>
      <c r="F2671" s="34" t="str">
        <f>IFERROR(__xludf.DUMMYFUNCTION("""COMPUTED_VALUE"""),"2025")</f>
        <v>2025</v>
      </c>
      <c r="G2671" s="35" t="str">
        <f>IFERROR(__xludf.DUMMYFUNCTION("""COMPUTED_VALUE"""),"SISWADI")</f>
        <v>SISWADI</v>
      </c>
      <c r="H2671" s="35" t="str">
        <f>IFERROR(__xludf.DUMMYFUNCTION("""COMPUTED_VALUE"""),"S6125077278")</f>
        <v>S6125077278</v>
      </c>
      <c r="I2671" s="35">
        <f>IFERROR(__xludf.DUMMYFUNCTION("""COMPUTED_VALUE"""),65.0)</f>
        <v>65</v>
      </c>
      <c r="J2671" s="35" t="str">
        <f>IFERROR(__xludf.DUMMYFUNCTION("""COMPUTED_VALUE"""),"&gt; 44 tahun")</f>
        <v>&gt; 44 tahun</v>
      </c>
      <c r="K2671" s="21" t="str">
        <f>IFERROR(__xludf.DUMMYFUNCTION("""COMPUTED_VALUE"""),"22/05/1961")</f>
        <v>22/05/1961</v>
      </c>
      <c r="L2671" s="21" t="str">
        <f>IFERROR(__xludf.DUMMYFUNCTION("""COMPUTED_VALUE"""),"LAKI-LAKI")</f>
        <v>LAKI-LAKI</v>
      </c>
      <c r="M2671" s="35" t="str">
        <f>IFERROR(__xludf.DUMMYFUNCTION("""COMPUTED_VALUE"""),"JL.RAYA BOGOR KM 27 PS REBO JAKARTA TIMUR")</f>
        <v>JL.RAYA BOGOR KM 27 PS REBO JAKARTA TIMUR</v>
      </c>
      <c r="N2671" s="35" t="str">
        <f>IFERROR(__xludf.DUMMYFUNCTION("""COMPUTED_VALUE"""),"-")</f>
        <v>-</v>
      </c>
      <c r="O2671" s="35" t="str">
        <f>IFERROR(__xludf.DUMMYFUNCTION("""COMPUTED_VALUE"""),"-")</f>
        <v>-</v>
      </c>
      <c r="P2671" s="35" t="str">
        <f>IFERROR(__xludf.DUMMYFUNCTION("""COMPUTED_VALUE"""),"JAKARTA")</f>
        <v>JAKARTA</v>
      </c>
      <c r="Q2671" s="35" t="str">
        <f>IFERROR(__xludf.DUMMYFUNCTION("""COMPUTED_VALUE"""),"KALIMANTAN BARAT")</f>
        <v>KALIMANTAN BARAT</v>
      </c>
      <c r="R2671" s="21" t="str">
        <f>IFERROR(__xludf.DUMMYFUNCTION("""COMPUTED_VALUE"""),"ISLAM")</f>
        <v>ISLAM</v>
      </c>
      <c r="S2671" s="74" t="str">
        <f>IFERROR(__xludf.DUMMYFUNCTION("""COMPUTED_VALUE"""),"PENSIUNAN")</f>
        <v>PENSIUNAN</v>
      </c>
      <c r="T2671" s="35" t="str">
        <f>IFERROR(__xludf.DUMMYFUNCTION("""COMPUTED_VALUE"""),"PINGGANG")</f>
        <v>PINGGANG</v>
      </c>
      <c r="U2671" s="35" t="str">
        <f>IFERROR(__xludf.DUMMYFUNCTION("""COMPUTED_VALUE"""),"-")</f>
        <v>-</v>
      </c>
      <c r="V2671" s="37" t="str">
        <f>IFERROR(__xludf.DUMMYFUNCTION("""COMPUTED_VALUE"""),"08119777278")</f>
        <v>08119777278</v>
      </c>
      <c r="W2671" s="45"/>
    </row>
    <row r="2672">
      <c r="A2672" s="45"/>
      <c r="B2672" s="24" t="str">
        <f>IFERROR(__xludf.DUMMYFUNCTION("""COMPUTED_VALUE"""),"28/07/2025 9:46:18")</f>
        <v>28/07/2025 9:46:18</v>
      </c>
      <c r="C2672" s="35"/>
      <c r="D2672" s="10">
        <f>IFERROR(__xludf.DUMMYFUNCTION("""COMPUTED_VALUE"""),45866.0)</f>
        <v>45866</v>
      </c>
      <c r="E2672" s="35" t="str">
        <f>IFERROR(__xludf.DUMMYFUNCTION("""COMPUTED_VALUE"""),"07Jul")</f>
        <v>07Jul</v>
      </c>
      <c r="F2672" s="34" t="str">
        <f>IFERROR(__xludf.DUMMYFUNCTION("""COMPUTED_VALUE"""),"2025")</f>
        <v>2025</v>
      </c>
      <c r="G2672" s="35" t="str">
        <f>IFERROR(__xludf.DUMMYFUNCTION("""COMPUTED_VALUE"""),"M.BAGUS TOMY")</f>
        <v>M.BAGUS TOMY</v>
      </c>
      <c r="H2672" s="35" t="str">
        <f>IFERROR(__xludf.DUMMYFUNCTION("""COMPUTED_VALUE"""),"M0025073908")</f>
        <v>M0025073908</v>
      </c>
      <c r="I2672" s="35">
        <f>IFERROR(__xludf.DUMMYFUNCTION("""COMPUTED_VALUE"""),25.0)</f>
        <v>25</v>
      </c>
      <c r="J2672" s="35" t="str">
        <f>IFERROR(__xludf.DUMMYFUNCTION("""COMPUTED_VALUE"""),"25-34 tahun")</f>
        <v>25-34 tahun</v>
      </c>
      <c r="K2672" s="21" t="str">
        <f>IFERROR(__xludf.DUMMYFUNCTION("""COMPUTED_VALUE"""),"01/08/2000")</f>
        <v>01/08/2000</v>
      </c>
      <c r="L2672" s="21" t="str">
        <f>IFERROR(__xludf.DUMMYFUNCTION("""COMPUTED_VALUE"""),"LAKI-LAKI")</f>
        <v>LAKI-LAKI</v>
      </c>
      <c r="M2672" s="35" t="str">
        <f>IFERROR(__xludf.DUMMYFUNCTION("""COMPUTED_VALUE"""),"JLN HAMZAH 2 KEC TELUK PAKEDAI")</f>
        <v>JLN HAMZAH 2 KEC TELUK PAKEDAI</v>
      </c>
      <c r="N2672" s="35" t="str">
        <f>IFERROR(__xludf.DUMMYFUNCTION("""COMPUTED_VALUE"""),"DESA SELAT REMIS")</f>
        <v>DESA SELAT REMIS</v>
      </c>
      <c r="O2672" s="35" t="str">
        <f>IFERROR(__xludf.DUMMYFUNCTION("""COMPUTED_VALUE"""),"TELUK PAKEDAI")</f>
        <v>TELUK PAKEDAI</v>
      </c>
      <c r="P2672" s="35" t="str">
        <f>IFERROR(__xludf.DUMMYFUNCTION("""COMPUTED_VALUE"""),"KUBU RAYA")</f>
        <v>KUBU RAYA</v>
      </c>
      <c r="Q2672" s="35" t="str">
        <f>IFERROR(__xludf.DUMMYFUNCTION("""COMPUTED_VALUE"""),"KALBAR")</f>
        <v>KALBAR</v>
      </c>
      <c r="R2672" s="21" t="str">
        <f>IFERROR(__xludf.DUMMYFUNCTION("""COMPUTED_VALUE"""),"ISLAM")</f>
        <v>ISLAM</v>
      </c>
      <c r="S2672" s="74" t="str">
        <f>IFERROR(__xludf.DUMMYFUNCTION("""COMPUTED_VALUE"""),"SWASTA")</f>
        <v>SWASTA</v>
      </c>
      <c r="T2672" s="35" t="str">
        <f>IFERROR(__xludf.DUMMYFUNCTION("""COMPUTED_VALUE"""),"KALAU DI ANGKAT DIA NYERI KK, TRUS SUKA BUNYI2, WAKTU SAYA SMASH VOLY KK,ITU SAKIT BANGET MATI RASA TANGAN SAYA,SAMPAI 1 MENIT BARU BISA DI GERAKAN KK")</f>
        <v>KALAU DI ANGKAT DIA NYERI KK, TRUS SUKA BUNYI2, WAKTU SAYA SMASH VOLY KK,ITU SAKIT BANGET MATI RASA TANGAN SAYA,SAMPAI 1 MENIT BARU BISA DI GERAKAN KK</v>
      </c>
      <c r="U2672" s="35" t="str">
        <f>IFERROR(__xludf.DUMMYFUNCTION("""COMPUTED_VALUE"""),"VOLY,BADMINTON")</f>
        <v>VOLY,BADMINTON</v>
      </c>
      <c r="V2672" s="37" t="str">
        <f>IFERROR(__xludf.DUMMYFUNCTION("""COMPUTED_VALUE"""),"089693463908")</f>
        <v>089693463908</v>
      </c>
      <c r="W2672" s="45"/>
    </row>
    <row r="2673">
      <c r="A2673" s="45"/>
      <c r="B2673" s="24" t="str">
        <f>IFERROR(__xludf.DUMMYFUNCTION("""COMPUTED_VALUE"""),"28/07/2025 10:20:31")</f>
        <v>28/07/2025 10:20:31</v>
      </c>
      <c r="C2673" s="35"/>
      <c r="D2673" s="10">
        <f>IFERROR(__xludf.DUMMYFUNCTION("""COMPUTED_VALUE"""),45866.0)</f>
        <v>45866</v>
      </c>
      <c r="E2673" s="35" t="str">
        <f>IFERROR(__xludf.DUMMYFUNCTION("""COMPUTED_VALUE"""),"07Jul")</f>
        <v>07Jul</v>
      </c>
      <c r="F2673" s="34" t="str">
        <f>IFERROR(__xludf.DUMMYFUNCTION("""COMPUTED_VALUE"""),"2025")</f>
        <v>2025</v>
      </c>
      <c r="G2673" s="35" t="str">
        <f>IFERROR(__xludf.DUMMYFUNCTION("""COMPUTED_VALUE"""),"ZAMAL KENEDY")</f>
        <v>ZAMAL KENEDY</v>
      </c>
      <c r="H2673" s="35" t="str">
        <f>IFERROR(__xludf.DUMMYFUNCTION("""COMPUTED_VALUE"""),"Z5925079237")</f>
        <v>Z5925079237</v>
      </c>
      <c r="I2673" s="35">
        <f>IFERROR(__xludf.DUMMYFUNCTION("""COMPUTED_VALUE"""),66.0)</f>
        <v>66</v>
      </c>
      <c r="J2673" s="35" t="str">
        <f>IFERROR(__xludf.DUMMYFUNCTION("""COMPUTED_VALUE"""),"&gt; 44 tahun")</f>
        <v>&gt; 44 tahun</v>
      </c>
      <c r="K2673" s="21" t="str">
        <f>IFERROR(__xludf.DUMMYFUNCTION("""COMPUTED_VALUE"""),"19/09/1959")</f>
        <v>19/09/1959</v>
      </c>
      <c r="L2673" s="21" t="str">
        <f>IFERROR(__xludf.DUMMYFUNCTION("""COMPUTED_VALUE"""),"LAKI-LAKI")</f>
        <v>LAKI-LAKI</v>
      </c>
      <c r="M2673" s="35" t="str">
        <f>IFERROR(__xludf.DUMMYFUNCTION("""COMPUTED_VALUE"""),"JL. H. AGUS SALIM NO. 16")</f>
        <v>JL. H. AGUS SALIM NO. 16</v>
      </c>
      <c r="N2673" s="35" t="str">
        <f>IFERROR(__xludf.DUMMYFUNCTION("""COMPUTED_VALUE"""),"BENUA MELAYU DARAT")</f>
        <v>BENUA MELAYU DARAT</v>
      </c>
      <c r="O2673" s="35" t="str">
        <f>IFERROR(__xludf.DUMMYFUNCTION("""COMPUTED_VALUE"""),"PONTIANAK SELATAN")</f>
        <v>PONTIANAK SELATAN</v>
      </c>
      <c r="P2673" s="35" t="str">
        <f>IFERROR(__xludf.DUMMYFUNCTION("""COMPUTED_VALUE"""),"KOTA PONTIANAK")</f>
        <v>KOTA PONTIANAK</v>
      </c>
      <c r="Q2673" s="35" t="str">
        <f>IFERROR(__xludf.DUMMYFUNCTION("""COMPUTED_VALUE"""),"KALIMANTAN BARAT")</f>
        <v>KALIMANTAN BARAT</v>
      </c>
      <c r="R2673" s="21" t="str">
        <f>IFERROR(__xludf.DUMMYFUNCTION("""COMPUTED_VALUE"""),"BUDDHA")</f>
        <v>BUDDHA</v>
      </c>
      <c r="S2673" s="74" t="str">
        <f>IFERROR(__xludf.DUMMYFUNCTION("""COMPUTED_VALUE"""),"SWASTA")</f>
        <v>SWASTA</v>
      </c>
      <c r="T2673" s="35" t="str">
        <f>IFERROR(__xludf.DUMMYFUNCTION("""COMPUTED_VALUE"""),"NYERI LEHER")</f>
        <v>NYERI LEHER</v>
      </c>
      <c r="U2673" s="35" t="str">
        <f>IFERROR(__xludf.DUMMYFUNCTION("""COMPUTED_VALUE"""),"TIDAK ADA")</f>
        <v>TIDAK ADA</v>
      </c>
      <c r="V2673" s="37" t="str">
        <f>IFERROR(__xludf.DUMMYFUNCTION("""COMPUTED_VALUE"""),"0811569237")</f>
        <v>0811569237</v>
      </c>
      <c r="W2673" s="45"/>
    </row>
    <row r="2674">
      <c r="A2674" s="45"/>
      <c r="B2674" s="24" t="str">
        <f>IFERROR(__xludf.DUMMYFUNCTION("""COMPUTED_VALUE"""),"28/07/2025 13:53:38")</f>
        <v>28/07/2025 13:53:38</v>
      </c>
      <c r="C2674" s="35"/>
      <c r="D2674" s="10">
        <f>IFERROR(__xludf.DUMMYFUNCTION("""COMPUTED_VALUE"""),45866.0)</f>
        <v>45866</v>
      </c>
      <c r="E2674" s="35" t="str">
        <f>IFERROR(__xludf.DUMMYFUNCTION("""COMPUTED_VALUE"""),"07Jul")</f>
        <v>07Jul</v>
      </c>
      <c r="F2674" s="34" t="str">
        <f>IFERROR(__xludf.DUMMYFUNCTION("""COMPUTED_VALUE"""),"2025")</f>
        <v>2025</v>
      </c>
      <c r="G2674" s="35" t="str">
        <f>IFERROR(__xludf.DUMMYFUNCTION("""COMPUTED_VALUE"""),"WINDRO HALIM")</f>
        <v>WINDRO HALIM</v>
      </c>
      <c r="H2674" s="35" t="str">
        <f>IFERROR(__xludf.DUMMYFUNCTION("""COMPUTED_VALUE"""),"W0025070339")</f>
        <v>W0025070339</v>
      </c>
      <c r="I2674" s="35">
        <f>IFERROR(__xludf.DUMMYFUNCTION("""COMPUTED_VALUE"""),26.0)</f>
        <v>26</v>
      </c>
      <c r="J2674" s="35" t="str">
        <f>IFERROR(__xludf.DUMMYFUNCTION("""COMPUTED_VALUE"""),"25-34 tahun")</f>
        <v>25-34 tahun</v>
      </c>
      <c r="K2674" s="21" t="str">
        <f>IFERROR(__xludf.DUMMYFUNCTION("""COMPUTED_VALUE"""),"19/04/2000")</f>
        <v>19/04/2000</v>
      </c>
      <c r="L2674" s="21" t="str">
        <f>IFERROR(__xludf.DUMMYFUNCTION("""COMPUTED_VALUE"""),"LAKI-LAKI")</f>
        <v>LAKI-LAKI</v>
      </c>
      <c r="M2674" s="35" t="str">
        <f>IFERROR(__xludf.DUMMYFUNCTION("""COMPUTED_VALUE"""),"JL. TANJUNG PURA, GG SUEZ NO.50")</f>
        <v>JL. TANJUNG PURA, GG SUEZ NO.50</v>
      </c>
      <c r="N2674" s="35" t="str">
        <f>IFERROR(__xludf.DUMMYFUNCTION("""COMPUTED_VALUE"""),"BENUA MELAYU DARAT")</f>
        <v>BENUA MELAYU DARAT</v>
      </c>
      <c r="O2674" s="35" t="str">
        <f>IFERROR(__xludf.DUMMYFUNCTION("""COMPUTED_VALUE"""),"PONTIANAK SELATAN")</f>
        <v>PONTIANAK SELATAN</v>
      </c>
      <c r="P2674" s="35" t="str">
        <f>IFERROR(__xludf.DUMMYFUNCTION("""COMPUTED_VALUE"""),"PONTIANAK")</f>
        <v>PONTIANAK</v>
      </c>
      <c r="Q2674" s="35" t="str">
        <f>IFERROR(__xludf.DUMMYFUNCTION("""COMPUTED_VALUE"""),"PONTIANAK")</f>
        <v>PONTIANAK</v>
      </c>
      <c r="R2674" s="21" t="str">
        <f>IFERROR(__xludf.DUMMYFUNCTION("""COMPUTED_VALUE"""),"BUDDHA")</f>
        <v>BUDDHA</v>
      </c>
      <c r="S2674" s="74" t="str">
        <f>IFERROR(__xludf.DUMMYFUNCTION("""COMPUTED_VALUE"""),"MAHASISWA")</f>
        <v>MAHASISWA</v>
      </c>
      <c r="T2674" s="35" t="str">
        <f>IFERROR(__xludf.DUMMYFUNCTION("""COMPUTED_VALUE"""),"SAKIT PADA BAHU")</f>
        <v>SAKIT PADA BAHU</v>
      </c>
      <c r="U2674" s="35" t="str">
        <f>IFERROR(__xludf.DUMMYFUNCTION("""COMPUTED_VALUE"""),"BASKET MINISOC")</f>
        <v>BASKET MINISOC</v>
      </c>
      <c r="V2674" s="37" t="str">
        <f>IFERROR(__xludf.DUMMYFUNCTION("""COMPUTED_VALUE"""),"082155000339")</f>
        <v>082155000339</v>
      </c>
      <c r="W2674" s="45"/>
    </row>
    <row r="2675">
      <c r="A2675" s="45"/>
      <c r="B2675" s="24" t="str">
        <f>IFERROR(__xludf.DUMMYFUNCTION("""COMPUTED_VALUE"""),"28/07/2025 18:56:28")</f>
        <v>28/07/2025 18:56:28</v>
      </c>
      <c r="C2675" s="35"/>
      <c r="D2675" s="10">
        <f>IFERROR(__xludf.DUMMYFUNCTION("""COMPUTED_VALUE"""),45866.0)</f>
        <v>45866</v>
      </c>
      <c r="E2675" s="35" t="str">
        <f>IFERROR(__xludf.DUMMYFUNCTION("""COMPUTED_VALUE"""),"07Jul")</f>
        <v>07Jul</v>
      </c>
      <c r="F2675" s="34" t="str">
        <f>IFERROR(__xludf.DUMMYFUNCTION("""COMPUTED_VALUE"""),"2025")</f>
        <v>2025</v>
      </c>
      <c r="G2675" s="35" t="str">
        <f>IFERROR(__xludf.DUMMYFUNCTION("""COMPUTED_VALUE"""),"LIVIA TANIA PUTERI")</f>
        <v>LIVIA TANIA PUTERI</v>
      </c>
      <c r="H2675" s="35" t="str">
        <f>IFERROR(__xludf.DUMMYFUNCTION("""COMPUTED_VALUE"""),"L0025079190")</f>
        <v>L0025079190</v>
      </c>
      <c r="I2675" s="35">
        <f>IFERROR(__xludf.DUMMYFUNCTION("""COMPUTED_VALUE"""),25.0)</f>
        <v>25</v>
      </c>
      <c r="J2675" s="35" t="str">
        <f>IFERROR(__xludf.DUMMYFUNCTION("""COMPUTED_VALUE"""),"25-34 tahun")</f>
        <v>25-34 tahun</v>
      </c>
      <c r="K2675" s="21" t="str">
        <f>IFERROR(__xludf.DUMMYFUNCTION("""COMPUTED_VALUE"""),"09/08/2000")</f>
        <v>09/08/2000</v>
      </c>
      <c r="L2675" s="21" t="str">
        <f>IFERROR(__xludf.DUMMYFUNCTION("""COMPUTED_VALUE"""),"PEREMPUAN")</f>
        <v>PEREMPUAN</v>
      </c>
      <c r="M2675" s="35" t="str">
        <f>IFERROR(__xludf.DUMMYFUNCTION("""COMPUTED_VALUE"""),"JL SUI RAYA DALAM")</f>
        <v>JL SUI RAYA DALAM</v>
      </c>
      <c r="N2675" s="35" t="str">
        <f>IFERROR(__xludf.DUMMYFUNCTION("""COMPUTED_VALUE"""),"-")</f>
        <v>-</v>
      </c>
      <c r="O2675" s="35" t="str">
        <f>IFERROR(__xludf.DUMMYFUNCTION("""COMPUTED_VALUE"""),"-")</f>
        <v>-</v>
      </c>
      <c r="P2675" s="35" t="str">
        <f>IFERROR(__xludf.DUMMYFUNCTION("""COMPUTED_VALUE"""),"PONTIANAK")</f>
        <v>PONTIANAK</v>
      </c>
      <c r="Q2675" s="35" t="str">
        <f>IFERROR(__xludf.DUMMYFUNCTION("""COMPUTED_VALUE"""),"KALIMANTAN BARAT")</f>
        <v>KALIMANTAN BARAT</v>
      </c>
      <c r="R2675" s="21" t="str">
        <f>IFERROR(__xludf.DUMMYFUNCTION("""COMPUTED_VALUE"""),"ISLAM")</f>
        <v>ISLAM</v>
      </c>
      <c r="S2675" s="74" t="str">
        <f>IFERROR(__xludf.DUMMYFUNCTION("""COMPUTED_VALUE"""),"PNS")</f>
        <v>PNS</v>
      </c>
      <c r="T2675" s="35" t="str">
        <f>IFERROR(__xludf.DUMMYFUNCTION("""COMPUTED_VALUE"""),"TANGAN")</f>
        <v>TANGAN</v>
      </c>
      <c r="U2675" s="35" t="str">
        <f>IFERROR(__xludf.DUMMYFUNCTION("""COMPUTED_VALUE"""),"-")</f>
        <v>-</v>
      </c>
      <c r="V2675" s="37" t="str">
        <f>IFERROR(__xludf.DUMMYFUNCTION("""COMPUTED_VALUE"""),"085249429190")</f>
        <v>085249429190</v>
      </c>
      <c r="W2675" s="45"/>
    </row>
    <row r="2676">
      <c r="A2676" s="45"/>
      <c r="B2676" s="24" t="str">
        <f>IFERROR(__xludf.DUMMYFUNCTION("""COMPUTED_VALUE"""),"28/07/2025 19:27:42")</f>
        <v>28/07/2025 19:27:42</v>
      </c>
      <c r="C2676" s="35"/>
      <c r="D2676" s="10">
        <f>IFERROR(__xludf.DUMMYFUNCTION("""COMPUTED_VALUE"""),45866.0)</f>
        <v>45866</v>
      </c>
      <c r="E2676" s="35" t="str">
        <f>IFERROR(__xludf.DUMMYFUNCTION("""COMPUTED_VALUE"""),"07Jul")</f>
        <v>07Jul</v>
      </c>
      <c r="F2676" s="34" t="str">
        <f>IFERROR(__xludf.DUMMYFUNCTION("""COMPUTED_VALUE"""),"2025")</f>
        <v>2025</v>
      </c>
      <c r="G2676" s="35" t="str">
        <f>IFERROR(__xludf.DUMMYFUNCTION("""COMPUTED_VALUE"""),"MARSHERLA LOVESENZIA")</f>
        <v>MARSHERLA LOVESENZIA</v>
      </c>
      <c r="H2676" s="35" t="str">
        <f>IFERROR(__xludf.DUMMYFUNCTION("""COMPUTED_VALUE"""),"M0025078448")</f>
        <v>M0025078448</v>
      </c>
      <c r="I2676" s="35">
        <f>IFERROR(__xludf.DUMMYFUNCTION("""COMPUTED_VALUE"""),26.0)</f>
        <v>26</v>
      </c>
      <c r="J2676" s="35" t="str">
        <f>IFERROR(__xludf.DUMMYFUNCTION("""COMPUTED_VALUE"""),"25-34 tahun")</f>
        <v>25-34 tahun</v>
      </c>
      <c r="K2676" s="21" t="str">
        <f>IFERROR(__xludf.DUMMYFUNCTION("""COMPUTED_VALUE"""),"27/03/2000")</f>
        <v>27/03/2000</v>
      </c>
      <c r="L2676" s="21" t="str">
        <f>IFERROR(__xludf.DUMMYFUNCTION("""COMPUTED_VALUE"""),"PEREMPUAN")</f>
        <v>PEREMPUAN</v>
      </c>
      <c r="M2676" s="35" t="str">
        <f>IFERROR(__xludf.DUMMYFUNCTION("""COMPUTED_VALUE"""),"JLN ALIANYANG GG CANDI AGUNG 2 NO 6")</f>
        <v>JLN ALIANYANG GG CANDI AGUNG 2 NO 6</v>
      </c>
      <c r="N2676" s="35" t="str">
        <f>IFERROR(__xludf.DUMMYFUNCTION("""COMPUTED_VALUE"""),"SUNGAI BANGKONG")</f>
        <v>SUNGAI BANGKONG</v>
      </c>
      <c r="O2676" s="35" t="str">
        <f>IFERROR(__xludf.DUMMYFUNCTION("""COMPUTED_VALUE"""),"PONTIANAK KOTA")</f>
        <v>PONTIANAK KOTA</v>
      </c>
      <c r="P2676" s="35" t="str">
        <f>IFERROR(__xludf.DUMMYFUNCTION("""COMPUTED_VALUE"""),"PONTIANAK")</f>
        <v>PONTIANAK</v>
      </c>
      <c r="Q2676" s="35" t="str">
        <f>IFERROR(__xludf.DUMMYFUNCTION("""COMPUTED_VALUE"""),"KALIMANTAN BARAT")</f>
        <v>KALIMANTAN BARAT</v>
      </c>
      <c r="R2676" s="21" t="str">
        <f>IFERROR(__xludf.DUMMYFUNCTION("""COMPUTED_VALUE"""),"BUDDHA")</f>
        <v>BUDDHA</v>
      </c>
      <c r="S2676" s="74" t="str">
        <f>IFERROR(__xludf.DUMMYFUNCTION("""COMPUTED_VALUE"""),"MAKEUP ARTIS")</f>
        <v>MAKEUP ARTIS</v>
      </c>
      <c r="T2676" s="35" t="str">
        <f>IFERROR(__xludf.DUMMYFUNCTION("""COMPUTED_VALUE"""),"TANGAN KANAN SAKIT. PERGELANGAN TANGAN")</f>
        <v>TANGAN KANAN SAKIT. PERGELANGAN TANGAN</v>
      </c>
      <c r="U2676" s="35" t="str">
        <f>IFERROR(__xludf.DUMMYFUNCTION("""COMPUTED_VALUE"""),"TERKILIR PAS ANGKAT KOPER")</f>
        <v>TERKILIR PAS ANGKAT KOPER</v>
      </c>
      <c r="V2676" s="37" t="str">
        <f>IFERROR(__xludf.DUMMYFUNCTION("""COMPUTED_VALUE"""),"081345758448")</f>
        <v>081345758448</v>
      </c>
      <c r="W2676" s="45"/>
    </row>
    <row r="2677">
      <c r="A2677" s="45"/>
      <c r="B2677" s="24" t="str">
        <f>IFERROR(__xludf.DUMMYFUNCTION("""COMPUTED_VALUE"""),"28/07/2025 19:30:08")</f>
        <v>28/07/2025 19:30:08</v>
      </c>
      <c r="C2677" s="35"/>
      <c r="D2677" s="10">
        <f>IFERROR(__xludf.DUMMYFUNCTION("""COMPUTED_VALUE"""),45866.0)</f>
        <v>45866</v>
      </c>
      <c r="E2677" s="35" t="str">
        <f>IFERROR(__xludf.DUMMYFUNCTION("""COMPUTED_VALUE"""),"07Jul")</f>
        <v>07Jul</v>
      </c>
      <c r="F2677" s="34" t="str">
        <f>IFERROR(__xludf.DUMMYFUNCTION("""COMPUTED_VALUE"""),"2025")</f>
        <v>2025</v>
      </c>
      <c r="G2677" s="35" t="str">
        <f>IFERROR(__xludf.DUMMYFUNCTION("""COMPUTED_VALUE"""),"MARSHERLY LOVESENZIA")</f>
        <v>MARSHERLY LOVESENZIA</v>
      </c>
      <c r="H2677" s="35" t="str">
        <f>IFERROR(__xludf.DUMMYFUNCTION("""COMPUTED_VALUE"""),"M0025078448")</f>
        <v>M0025078448</v>
      </c>
      <c r="I2677" s="35">
        <f>IFERROR(__xludf.DUMMYFUNCTION("""COMPUTED_VALUE"""),26.0)</f>
        <v>26</v>
      </c>
      <c r="J2677" s="35" t="str">
        <f>IFERROR(__xludf.DUMMYFUNCTION("""COMPUTED_VALUE"""),"25-34 tahun")</f>
        <v>25-34 tahun</v>
      </c>
      <c r="K2677" s="21" t="str">
        <f>IFERROR(__xludf.DUMMYFUNCTION("""COMPUTED_VALUE"""),"27/03/2000")</f>
        <v>27/03/2000</v>
      </c>
      <c r="L2677" s="21" t="str">
        <f>IFERROR(__xludf.DUMMYFUNCTION("""COMPUTED_VALUE"""),"PEREMPUAN")</f>
        <v>PEREMPUAN</v>
      </c>
      <c r="M2677" s="35" t="str">
        <f>IFERROR(__xludf.DUMMYFUNCTION("""COMPUTED_VALUE"""),"JLN ALIANYANG GG CANDI AGUNG 2 NO 6")</f>
        <v>JLN ALIANYANG GG CANDI AGUNG 2 NO 6</v>
      </c>
      <c r="N2677" s="35" t="str">
        <f>IFERROR(__xludf.DUMMYFUNCTION("""COMPUTED_VALUE"""),"SUNGAI BANGKONG")</f>
        <v>SUNGAI BANGKONG</v>
      </c>
      <c r="O2677" s="35" t="str">
        <f>IFERROR(__xludf.DUMMYFUNCTION("""COMPUTED_VALUE"""),"PONTIANAK")</f>
        <v>PONTIANAK</v>
      </c>
      <c r="P2677" s="35" t="str">
        <f>IFERROR(__xludf.DUMMYFUNCTION("""COMPUTED_VALUE"""),"PONTIANAK KOTA")</f>
        <v>PONTIANAK KOTA</v>
      </c>
      <c r="Q2677" s="35" t="str">
        <f>IFERROR(__xludf.DUMMYFUNCTION("""COMPUTED_VALUE"""),"KALIMANTAN BARAT")</f>
        <v>KALIMANTAN BARAT</v>
      </c>
      <c r="R2677" s="21" t="str">
        <f>IFERROR(__xludf.DUMMYFUNCTION("""COMPUTED_VALUE"""),"BUDDHA")</f>
        <v>BUDDHA</v>
      </c>
      <c r="S2677" s="74" t="str">
        <f>IFERROR(__xludf.DUMMYFUNCTION("""COMPUTED_VALUE"""),"MAKEUP ARTIS")</f>
        <v>MAKEUP ARTIS</v>
      </c>
      <c r="T2677" s="35" t="str">
        <f>IFERROR(__xludf.DUMMYFUNCTION("""COMPUTED_VALUE"""),"TANGAN TERKILIR")</f>
        <v>TANGAN TERKILIR</v>
      </c>
      <c r="U2677" s="35" t="str">
        <f>IFERROR(__xludf.DUMMYFUNCTION("""COMPUTED_VALUE"""),"PAS ANGKAT BARANG")</f>
        <v>PAS ANGKAT BARANG</v>
      </c>
      <c r="V2677" s="37" t="str">
        <f>IFERROR(__xludf.DUMMYFUNCTION("""COMPUTED_VALUE"""),"081345758448")</f>
        <v>081345758448</v>
      </c>
      <c r="W2677" s="45"/>
    </row>
    <row r="2678">
      <c r="A2678" s="45"/>
      <c r="B2678" s="24" t="str">
        <f>IFERROR(__xludf.DUMMYFUNCTION("""COMPUTED_VALUE"""),"29/07/2025 10:26:16")</f>
        <v>29/07/2025 10:26:16</v>
      </c>
      <c r="C2678" s="35"/>
      <c r="D2678" s="10">
        <f>IFERROR(__xludf.DUMMYFUNCTION("""COMPUTED_VALUE"""),45867.0)</f>
        <v>45867</v>
      </c>
      <c r="E2678" s="35" t="str">
        <f>IFERROR(__xludf.DUMMYFUNCTION("""COMPUTED_VALUE"""),"07Jul")</f>
        <v>07Jul</v>
      </c>
      <c r="F2678" s="34" t="str">
        <f>IFERROR(__xludf.DUMMYFUNCTION("""COMPUTED_VALUE"""),"2025")</f>
        <v>2025</v>
      </c>
      <c r="G2678" s="35" t="str">
        <f>IFERROR(__xludf.DUMMYFUNCTION("""COMPUTED_VALUE"""),"ASTRI YULIANI")</f>
        <v>ASTRI YULIANI</v>
      </c>
      <c r="H2678" s="35" t="str">
        <f>IFERROR(__xludf.DUMMYFUNCTION("""COMPUTED_VALUE"""),"A0325072559")</f>
        <v>A0325072559</v>
      </c>
      <c r="I2678" s="35">
        <f>IFERROR(__xludf.DUMMYFUNCTION("""COMPUTED_VALUE"""),22.0)</f>
        <v>22</v>
      </c>
      <c r="J2678" s="35" t="str">
        <f>IFERROR(__xludf.DUMMYFUNCTION("""COMPUTED_VALUE"""),"18-24 tahun")</f>
        <v>18-24 tahun</v>
      </c>
      <c r="K2678" s="21" t="str">
        <f>IFERROR(__xludf.DUMMYFUNCTION("""COMPUTED_VALUE"""),"13/09/2003")</f>
        <v>13/09/2003</v>
      </c>
      <c r="L2678" s="21" t="str">
        <f>IFERROR(__xludf.DUMMYFUNCTION("""COMPUTED_VALUE"""),"PEREMPUAN")</f>
        <v>PEREMPUAN</v>
      </c>
      <c r="M2678" s="35" t="str">
        <f>IFERROR(__xludf.DUMMYFUNCTION("""COMPUTED_VALUE"""),"JL. TANJUNG HARAPAN GG. 99")</f>
        <v>JL. TANJUNG HARAPAN GG. 99</v>
      </c>
      <c r="N2678" s="35" t="str">
        <f>IFERROR(__xludf.DUMMYFUNCTION("""COMPUTED_VALUE"""),"BANJAR SERASAN")</f>
        <v>BANJAR SERASAN</v>
      </c>
      <c r="O2678" s="35" t="str">
        <f>IFERROR(__xludf.DUMMYFUNCTION("""COMPUTED_VALUE"""),"PONTIANAK TIMUR")</f>
        <v>PONTIANAK TIMUR</v>
      </c>
      <c r="P2678" s="35" t="str">
        <f>IFERROR(__xludf.DUMMYFUNCTION("""COMPUTED_VALUE"""),"KOTA PONTIANAK")</f>
        <v>KOTA PONTIANAK</v>
      </c>
      <c r="Q2678" s="35" t="str">
        <f>IFERROR(__xludf.DUMMYFUNCTION("""COMPUTED_VALUE"""),"KALIMANTAN BARAT")</f>
        <v>KALIMANTAN BARAT</v>
      </c>
      <c r="R2678" s="21" t="str">
        <f>IFERROR(__xludf.DUMMYFUNCTION("""COMPUTED_VALUE"""),"ISLAM")</f>
        <v>ISLAM</v>
      </c>
      <c r="S2678" s="74" t="str">
        <f>IFERROR(__xludf.DUMMYFUNCTION("""COMPUTED_VALUE"""),"KARYAWAN SWASTA")</f>
        <v>KARYAWAN SWASTA</v>
      </c>
      <c r="T2678" s="35" t="str">
        <f>IFERROR(__xludf.DUMMYFUNCTION("""COMPUTED_VALUE"""),"SAKIT BAHU")</f>
        <v>SAKIT BAHU</v>
      </c>
      <c r="U2678" s="35" t="str">
        <f>IFERROR(__xludf.DUMMYFUNCTION("""COMPUTED_VALUE"""),"BADMINTON")</f>
        <v>BADMINTON</v>
      </c>
      <c r="V2678" s="37" t="str">
        <f>IFERROR(__xludf.DUMMYFUNCTION("""COMPUTED_VALUE"""),"082255112559")</f>
        <v>082255112559</v>
      </c>
      <c r="W2678" s="45"/>
    </row>
    <row r="2679">
      <c r="A2679" s="45"/>
      <c r="B2679" s="24" t="str">
        <f>IFERROR(__xludf.DUMMYFUNCTION("""COMPUTED_VALUE"""),"29/07/2025 18:30:31")</f>
        <v>29/07/2025 18:30:31</v>
      </c>
      <c r="C2679" s="35"/>
      <c r="D2679" s="10">
        <f>IFERROR(__xludf.DUMMYFUNCTION("""COMPUTED_VALUE"""),45867.0)</f>
        <v>45867</v>
      </c>
      <c r="E2679" s="35" t="str">
        <f>IFERROR(__xludf.DUMMYFUNCTION("""COMPUTED_VALUE"""),"07Jul")</f>
        <v>07Jul</v>
      </c>
      <c r="F2679" s="34" t="str">
        <f>IFERROR(__xludf.DUMMYFUNCTION("""COMPUTED_VALUE"""),"2025")</f>
        <v>2025</v>
      </c>
      <c r="G2679" s="35" t="str">
        <f>IFERROR(__xludf.DUMMYFUNCTION("""COMPUTED_VALUE"""),"IGNATIUS PUSPO AJI WIDAGDO")</f>
        <v>IGNATIUS PUSPO AJI WIDAGDO</v>
      </c>
      <c r="H2679" s="35" t="str">
        <f>IFERROR(__xludf.DUMMYFUNCTION("""COMPUTED_VALUE"""),"I7925074734")</f>
        <v>I7925074734</v>
      </c>
      <c r="I2679" s="35">
        <f>IFERROR(__xludf.DUMMYFUNCTION("""COMPUTED_VALUE"""),47.0)</f>
        <v>47</v>
      </c>
      <c r="J2679" s="35" t="str">
        <f>IFERROR(__xludf.DUMMYFUNCTION("""COMPUTED_VALUE"""),"&gt; 44 tahun")</f>
        <v>&gt; 44 tahun</v>
      </c>
      <c r="K2679" s="21" t="str">
        <f>IFERROR(__xludf.DUMMYFUNCTION("""COMPUTED_VALUE"""),"05/04/1979")</f>
        <v>05/04/1979</v>
      </c>
      <c r="L2679" s="21" t="str">
        <f>IFERROR(__xludf.DUMMYFUNCTION("""COMPUTED_VALUE"""),"LAKI-LAKI")</f>
        <v>LAKI-LAKI</v>
      </c>
      <c r="M2679" s="35" t="str">
        <f>IFERROR(__xludf.DUMMYFUNCTION("""COMPUTED_VALUE"""),"JALAN RAYA PAHAUMAN, DUSUN BARATUS")</f>
        <v>JALAN RAYA PAHAUMAN, DUSUN BARATUS</v>
      </c>
      <c r="N2679" s="35" t="str">
        <f>IFERROR(__xludf.DUMMYFUNCTION("""COMPUTED_VALUE"""),"PAHAUMAN")</f>
        <v>PAHAUMAN</v>
      </c>
      <c r="O2679" s="35" t="str">
        <f>IFERROR(__xludf.DUMMYFUNCTION("""COMPUTED_VALUE"""),"SENGAH TEMILA")</f>
        <v>SENGAH TEMILA</v>
      </c>
      <c r="P2679" s="35" t="str">
        <f>IFERROR(__xludf.DUMMYFUNCTION("""COMPUTED_VALUE"""),"LANDAK")</f>
        <v>LANDAK</v>
      </c>
      <c r="Q2679" s="35" t="str">
        <f>IFERROR(__xludf.DUMMYFUNCTION("""COMPUTED_VALUE"""),"KALIMANTAN BARAT")</f>
        <v>KALIMANTAN BARAT</v>
      </c>
      <c r="R2679" s="21" t="str">
        <f>IFERROR(__xludf.DUMMYFUNCTION("""COMPUTED_VALUE"""),"KATOLIK")</f>
        <v>KATOLIK</v>
      </c>
      <c r="S2679" s="74" t="str">
        <f>IFERROR(__xludf.DUMMYFUNCTION("""COMPUTED_VALUE"""),"PETANI")</f>
        <v>PETANI</v>
      </c>
      <c r="T2679" s="35" t="str">
        <f>IFERROR(__xludf.DUMMYFUNCTION("""COMPUTED_VALUE"""),"NYERI DI LUTUT")</f>
        <v>NYERI DI LUTUT</v>
      </c>
      <c r="U2679" s="35" t="str">
        <f>IFERROR(__xludf.DUMMYFUNCTION("""COMPUTED_VALUE"""),"KE KEBUN")</f>
        <v>KE KEBUN</v>
      </c>
      <c r="V2679" s="37" t="str">
        <f>IFERROR(__xludf.DUMMYFUNCTION("""COMPUTED_VALUE"""),"6282253684734")</f>
        <v>6282253684734</v>
      </c>
      <c r="W2679" s="45"/>
    </row>
    <row r="2680">
      <c r="A2680" s="45"/>
      <c r="B2680" s="24" t="str">
        <f>IFERROR(__xludf.DUMMYFUNCTION("""COMPUTED_VALUE"""),"29/07/2025 20:09:05")</f>
        <v>29/07/2025 20:09:05</v>
      </c>
      <c r="C2680" s="35"/>
      <c r="D2680" s="10">
        <f>IFERROR(__xludf.DUMMYFUNCTION("""COMPUTED_VALUE"""),45867.0)</f>
        <v>45867</v>
      </c>
      <c r="E2680" s="35" t="str">
        <f>IFERROR(__xludf.DUMMYFUNCTION("""COMPUTED_VALUE"""),"07Jul")</f>
        <v>07Jul</v>
      </c>
      <c r="F2680" s="34" t="str">
        <f>IFERROR(__xludf.DUMMYFUNCTION("""COMPUTED_VALUE"""),"2025")</f>
        <v>2025</v>
      </c>
      <c r="G2680" s="35" t="str">
        <f>IFERROR(__xludf.DUMMYFUNCTION("""COMPUTED_VALUE"""),"SELOMITA SIGIRO")</f>
        <v>SELOMITA SIGIRO</v>
      </c>
      <c r="H2680" s="35" t="str">
        <f>IFERROR(__xludf.DUMMYFUNCTION("""COMPUTED_VALUE"""),"S1925071014")</f>
        <v>S1925071014</v>
      </c>
      <c r="I2680" s="35">
        <f>IFERROR(__xludf.DUMMYFUNCTION("""COMPUTED_VALUE"""),7.0)</f>
        <v>7</v>
      </c>
      <c r="J2680" s="35" t="str">
        <f>IFERROR(__xludf.DUMMYFUNCTION("""COMPUTED_VALUE"""),"&lt; 18 tahun")</f>
        <v>&lt; 18 tahun</v>
      </c>
      <c r="K2680" s="21" t="str">
        <f>IFERROR(__xludf.DUMMYFUNCTION("""COMPUTED_VALUE"""),"15/01/2019")</f>
        <v>15/01/2019</v>
      </c>
      <c r="L2680" s="21" t="str">
        <f>IFERROR(__xludf.DUMMYFUNCTION("""COMPUTED_VALUE"""),"PEREMPUAN")</f>
        <v>PEREMPUAN</v>
      </c>
      <c r="M2680" s="35" t="str">
        <f>IFERROR(__xludf.DUMMYFUNCTION("""COMPUTED_VALUE"""),"JL.DR SUTOMO KOM.BATARA INDAH 4 C-26")</f>
        <v>JL.DR SUTOMO KOM.BATARA INDAH 4 C-26</v>
      </c>
      <c r="N2680" s="35" t="str">
        <f>IFERROR(__xludf.DUMMYFUNCTION("""COMPUTED_VALUE"""),"-")</f>
        <v>-</v>
      </c>
      <c r="O2680" s="35" t="str">
        <f>IFERROR(__xludf.DUMMYFUNCTION("""COMPUTED_VALUE"""),"-")</f>
        <v>-</v>
      </c>
      <c r="P2680" s="35" t="str">
        <f>IFERROR(__xludf.DUMMYFUNCTION("""COMPUTED_VALUE"""),"PONTIANAK")</f>
        <v>PONTIANAK</v>
      </c>
      <c r="Q2680" s="35" t="str">
        <f>IFERROR(__xludf.DUMMYFUNCTION("""COMPUTED_VALUE"""),"KALIMANTAN BARAT")</f>
        <v>KALIMANTAN BARAT</v>
      </c>
      <c r="R2680" s="21" t="str">
        <f>IFERROR(__xludf.DUMMYFUNCTION("""COMPUTED_VALUE"""),"KATOLIK")</f>
        <v>KATOLIK</v>
      </c>
      <c r="S2680" s="74" t="str">
        <f>IFERROR(__xludf.DUMMYFUNCTION("""COMPUTED_VALUE"""),"PELAJAR")</f>
        <v>PELAJAR</v>
      </c>
      <c r="T2680" s="35" t="str">
        <f>IFERROR(__xludf.DUMMYFUNCTION("""COMPUTED_VALUE"""),"PAHA DAN BAWAH PERUT")</f>
        <v>PAHA DAN BAWAH PERUT</v>
      </c>
      <c r="U2680" s="35" t="str">
        <f>IFERROR(__xludf.DUMMYFUNCTION("""COMPUTED_VALUE"""),"-")</f>
        <v>-</v>
      </c>
      <c r="V2680" s="37" t="str">
        <f>IFERROR(__xludf.DUMMYFUNCTION("""COMPUTED_VALUE"""),"081287071014")</f>
        <v>081287071014</v>
      </c>
      <c r="W2680" s="45"/>
    </row>
    <row r="2681">
      <c r="A2681" s="45"/>
      <c r="B2681" s="24" t="str">
        <f>IFERROR(__xludf.DUMMYFUNCTION("""COMPUTED_VALUE"""),"30/07/2025 8:42:22")</f>
        <v>30/07/2025 8:42:22</v>
      </c>
      <c r="C2681" s="35"/>
      <c r="D2681" s="10">
        <f>IFERROR(__xludf.DUMMYFUNCTION("""COMPUTED_VALUE"""),45868.0)</f>
        <v>45868</v>
      </c>
      <c r="E2681" s="35" t="str">
        <f>IFERROR(__xludf.DUMMYFUNCTION("""COMPUTED_VALUE"""),"07Jul")</f>
        <v>07Jul</v>
      </c>
      <c r="F2681" s="34" t="str">
        <f>IFERROR(__xludf.DUMMYFUNCTION("""COMPUTED_VALUE"""),"2025")</f>
        <v>2025</v>
      </c>
      <c r="G2681" s="35" t="str">
        <f>IFERROR(__xludf.DUMMYFUNCTION("""COMPUTED_VALUE"""),"ELIANA")</f>
        <v>ELIANA</v>
      </c>
      <c r="H2681" s="35" t="str">
        <f>IFERROR(__xludf.DUMMYFUNCTION("""COMPUTED_VALUE"""),"E8025070020")</f>
        <v>E8025070020</v>
      </c>
      <c r="I2681" s="35">
        <f>IFERROR(__xludf.DUMMYFUNCTION("""COMPUTED_VALUE"""),45.0)</f>
        <v>45</v>
      </c>
      <c r="J2681" s="35" t="str">
        <f>IFERROR(__xludf.DUMMYFUNCTION("""COMPUTED_VALUE"""),"&gt; 44 tahun")</f>
        <v>&gt; 44 tahun</v>
      </c>
      <c r="K2681" s="21" t="str">
        <f>IFERROR(__xludf.DUMMYFUNCTION("""COMPUTED_VALUE"""),"21/09/1980")</f>
        <v>21/09/1980</v>
      </c>
      <c r="L2681" s="21" t="str">
        <f>IFERROR(__xludf.DUMMYFUNCTION("""COMPUTED_VALUE"""),"PEREMPUAN")</f>
        <v>PEREMPUAN</v>
      </c>
      <c r="M2681" s="35" t="str">
        <f>IFERROR(__xludf.DUMMYFUNCTION("""COMPUTED_VALUE"""),"JALAN RAYA PAHAUMAN, DUSUN BARATUS")</f>
        <v>JALAN RAYA PAHAUMAN, DUSUN BARATUS</v>
      </c>
      <c r="N2681" s="35" t="str">
        <f>IFERROR(__xludf.DUMMYFUNCTION("""COMPUTED_VALUE"""),"PAHAUMAN")</f>
        <v>PAHAUMAN</v>
      </c>
      <c r="O2681" s="35" t="str">
        <f>IFERROR(__xludf.DUMMYFUNCTION("""COMPUTED_VALUE"""),"SENGAH TEMILA")</f>
        <v>SENGAH TEMILA</v>
      </c>
      <c r="P2681" s="35" t="str">
        <f>IFERROR(__xludf.DUMMYFUNCTION("""COMPUTED_VALUE"""),"LANDAK")</f>
        <v>LANDAK</v>
      </c>
      <c r="Q2681" s="35" t="str">
        <f>IFERROR(__xludf.DUMMYFUNCTION("""COMPUTED_VALUE"""),"KALIMANTAN BARAT")</f>
        <v>KALIMANTAN BARAT</v>
      </c>
      <c r="R2681" s="21" t="str">
        <f>IFERROR(__xludf.DUMMYFUNCTION("""COMPUTED_VALUE"""),"KATOLIK")</f>
        <v>KATOLIK</v>
      </c>
      <c r="S2681" s="74" t="str">
        <f>IFERROR(__xludf.DUMMYFUNCTION("""COMPUTED_VALUE"""),"PNS")</f>
        <v>PNS</v>
      </c>
      <c r="T2681" s="35" t="str">
        <f>IFERROR(__xludf.DUMMYFUNCTION("""COMPUTED_VALUE"""),"NYERI DARI BAGIAN BOKONG HINGGA TELAPAK KAKI SEBELAH KIRI")</f>
        <v>NYERI DARI BAGIAN BOKONG HINGGA TELAPAK KAKI SEBELAH KIRI</v>
      </c>
      <c r="U2681" s="35" t="str">
        <f>IFERROR(__xludf.DUMMYFUNCTION("""COMPUTED_VALUE"""),"PEKERJAAN SEHARI HARI")</f>
        <v>PEKERJAAN SEHARI HARI</v>
      </c>
      <c r="V2681" s="37" t="str">
        <f>IFERROR(__xludf.DUMMYFUNCTION("""COMPUTED_VALUE"""),"089521540020")</f>
        <v>089521540020</v>
      </c>
      <c r="W2681" s="45"/>
    </row>
    <row r="2682">
      <c r="A2682" s="45"/>
      <c r="B2682" s="24" t="str">
        <f>IFERROR(__xludf.DUMMYFUNCTION("""COMPUTED_VALUE"""),"30/07/2025 16:20:37")</f>
        <v>30/07/2025 16:20:37</v>
      </c>
      <c r="C2682" s="35"/>
      <c r="D2682" s="10">
        <f>IFERROR(__xludf.DUMMYFUNCTION("""COMPUTED_VALUE"""),45868.0)</f>
        <v>45868</v>
      </c>
      <c r="E2682" s="35" t="str">
        <f>IFERROR(__xludf.DUMMYFUNCTION("""COMPUTED_VALUE"""),"07Jul")</f>
        <v>07Jul</v>
      </c>
      <c r="F2682" s="34" t="str">
        <f>IFERROR(__xludf.DUMMYFUNCTION("""COMPUTED_VALUE"""),"2025")</f>
        <v>2025</v>
      </c>
      <c r="G2682" s="35" t="str">
        <f>IFERROR(__xludf.DUMMYFUNCTION("""COMPUTED_VALUE"""),"NURSUAN HO")</f>
        <v>NURSUAN HO</v>
      </c>
      <c r="H2682" s="35" t="str">
        <f>IFERROR(__xludf.DUMMYFUNCTION("""COMPUTED_VALUE"""),"N6925072882")</f>
        <v>N6925072882</v>
      </c>
      <c r="I2682" s="35">
        <f>IFERROR(__xludf.DUMMYFUNCTION("""COMPUTED_VALUE"""),57.0)</f>
        <v>57</v>
      </c>
      <c r="J2682" s="35" t="str">
        <f>IFERROR(__xludf.DUMMYFUNCTION("""COMPUTED_VALUE"""),"&gt; 44 tahun")</f>
        <v>&gt; 44 tahun</v>
      </c>
      <c r="K2682" s="21" t="str">
        <f>IFERROR(__xludf.DUMMYFUNCTION("""COMPUTED_VALUE"""),"15/04/1969")</f>
        <v>15/04/1969</v>
      </c>
      <c r="L2682" s="21" t="str">
        <f>IFERROR(__xludf.DUMMYFUNCTION("""COMPUTED_VALUE"""),"PEREMPUAN")</f>
        <v>PEREMPUAN</v>
      </c>
      <c r="M2682" s="35" t="str">
        <f>IFERROR(__xludf.DUMMYFUNCTION("""COMPUTED_VALUE"""),"JL.TANJUNG SATAI")</f>
        <v>JL.TANJUNG SATAI</v>
      </c>
      <c r="N2682" s="35" t="str">
        <f>IFERROR(__xludf.DUMMYFUNCTION("""COMPUTED_VALUE"""),"AKCAYA")</f>
        <v>AKCAYA</v>
      </c>
      <c r="O2682" s="35" t="str">
        <f>IFERROR(__xludf.DUMMYFUNCTION("""COMPUTED_VALUE"""),"PONTIANAK SELATAN")</f>
        <v>PONTIANAK SELATAN</v>
      </c>
      <c r="P2682" s="35" t="str">
        <f>IFERROR(__xludf.DUMMYFUNCTION("""COMPUTED_VALUE"""),"PONTIANAK")</f>
        <v>PONTIANAK</v>
      </c>
      <c r="Q2682" s="35" t="str">
        <f>IFERROR(__xludf.DUMMYFUNCTION("""COMPUTED_VALUE"""),"KALIMANTAN BARAT")</f>
        <v>KALIMANTAN BARAT</v>
      </c>
      <c r="R2682" s="21" t="str">
        <f>IFERROR(__xludf.DUMMYFUNCTION("""COMPUTED_VALUE"""),"BUDDHA")</f>
        <v>BUDDHA</v>
      </c>
      <c r="S2682" s="74" t="str">
        <f>IFERROR(__xludf.DUMMYFUNCTION("""COMPUTED_VALUE"""),"IRT")</f>
        <v>IRT</v>
      </c>
      <c r="T2682" s="35" t="str">
        <f>IFERROR(__xludf.DUMMYFUNCTION("""COMPUTED_VALUE"""),"BAHU")</f>
        <v>BAHU</v>
      </c>
      <c r="U2682" s="35" t="str">
        <f>IFERROR(__xludf.DUMMYFUNCTION("""COMPUTED_VALUE"""),"-")</f>
        <v>-</v>
      </c>
      <c r="V2682" s="37" t="str">
        <f>IFERROR(__xludf.DUMMYFUNCTION("""COMPUTED_VALUE"""),"08781832882")</f>
        <v>08781832882</v>
      </c>
      <c r="W2682" s="45"/>
    </row>
    <row r="2683">
      <c r="A2683" s="45"/>
      <c r="B2683" s="24" t="str">
        <f>IFERROR(__xludf.DUMMYFUNCTION("""COMPUTED_VALUE"""),"30/07/2025 17:39:37")</f>
        <v>30/07/2025 17:39:37</v>
      </c>
      <c r="C2683" s="35"/>
      <c r="D2683" s="10">
        <f>IFERROR(__xludf.DUMMYFUNCTION("""COMPUTED_VALUE"""),45868.0)</f>
        <v>45868</v>
      </c>
      <c r="E2683" s="35" t="str">
        <f>IFERROR(__xludf.DUMMYFUNCTION("""COMPUTED_VALUE"""),"07Jul")</f>
        <v>07Jul</v>
      </c>
      <c r="F2683" s="34" t="str">
        <f>IFERROR(__xludf.DUMMYFUNCTION("""COMPUTED_VALUE"""),"2025")</f>
        <v>2025</v>
      </c>
      <c r="G2683" s="35" t="str">
        <f>IFERROR(__xludf.DUMMYFUNCTION("""COMPUTED_VALUE"""),"THE GWEK KHIAUW")</f>
        <v>THE GWEK KHIAUW</v>
      </c>
      <c r="H2683" s="35" t="str">
        <f>IFERROR(__xludf.DUMMYFUNCTION("""COMPUTED_VALUE"""),"T3625075669")</f>
        <v>T3625075669</v>
      </c>
      <c r="I2683" s="35">
        <f>IFERROR(__xludf.DUMMYFUNCTION("""COMPUTED_VALUE"""),89.0)</f>
        <v>89</v>
      </c>
      <c r="J2683" s="35" t="str">
        <f>IFERROR(__xludf.DUMMYFUNCTION("""COMPUTED_VALUE"""),"&gt; 44 tahun")</f>
        <v>&gt; 44 tahun</v>
      </c>
      <c r="K2683" s="21" t="str">
        <f>IFERROR(__xludf.DUMMYFUNCTION("""COMPUTED_VALUE"""),"12/08/1936")</f>
        <v>12/08/1936</v>
      </c>
      <c r="L2683" s="21" t="str">
        <f>IFERROR(__xludf.DUMMYFUNCTION("""COMPUTED_VALUE"""),"PEREMPUAN")</f>
        <v>PEREMPUAN</v>
      </c>
      <c r="M2683" s="35" t="str">
        <f>IFERROR(__xludf.DUMMYFUNCTION("""COMPUTED_VALUE"""),"KOMP LESTARI 2 NO B 29")</f>
        <v>KOMP LESTARI 2 NO B 29</v>
      </c>
      <c r="N2683" s="35" t="str">
        <f>IFERROR(__xludf.DUMMYFUNCTION("""COMPUTED_VALUE"""),"ARANG LIMBUNG")</f>
        <v>ARANG LIMBUNG</v>
      </c>
      <c r="O2683" s="35" t="str">
        <f>IFERROR(__xludf.DUMMYFUNCTION("""COMPUTED_VALUE"""),"SUNGAI RAYA")</f>
        <v>SUNGAI RAYA</v>
      </c>
      <c r="P2683" s="35" t="str">
        <f>IFERROR(__xludf.DUMMYFUNCTION("""COMPUTED_VALUE"""),"PONTIANAK")</f>
        <v>PONTIANAK</v>
      </c>
      <c r="Q2683" s="35" t="str">
        <f>IFERROR(__xludf.DUMMYFUNCTION("""COMPUTED_VALUE"""),"KALIMANTAN BARAT")</f>
        <v>KALIMANTAN BARAT</v>
      </c>
      <c r="R2683" s="21" t="str">
        <f>IFERROR(__xludf.DUMMYFUNCTION("""COMPUTED_VALUE"""),"KATOLIK")</f>
        <v>KATOLIK</v>
      </c>
      <c r="S2683" s="74" t="str">
        <f>IFERROR(__xludf.DUMMYFUNCTION("""COMPUTED_VALUE"""),"MENGURUS RUMAH TANGGA")</f>
        <v>MENGURUS RUMAH TANGGA</v>
      </c>
      <c r="T2683" s="35" t="str">
        <f>IFERROR(__xludf.DUMMYFUNCTION("""COMPUTED_VALUE"""),"SAKIT KAKI")</f>
        <v>SAKIT KAKI</v>
      </c>
      <c r="U2683" s="35" t="str">
        <f>IFERROR(__xludf.DUMMYFUNCTION("""COMPUTED_VALUE"""),"MENGURUS RUMAH")</f>
        <v>MENGURUS RUMAH</v>
      </c>
      <c r="V2683" s="37" t="str">
        <f>IFERROR(__xludf.DUMMYFUNCTION("""COMPUTED_VALUE"""),"082395325669")</f>
        <v>082395325669</v>
      </c>
      <c r="W2683" s="45"/>
    </row>
    <row r="2684">
      <c r="A2684" s="45"/>
      <c r="B2684" s="24" t="str">
        <f>IFERROR(__xludf.DUMMYFUNCTION("""COMPUTED_VALUE"""),"31/07/2025 14:46:49")</f>
        <v>31/07/2025 14:46:49</v>
      </c>
      <c r="C2684" s="35"/>
      <c r="D2684" s="10">
        <f>IFERROR(__xludf.DUMMYFUNCTION("""COMPUTED_VALUE"""),45869.0)</f>
        <v>45869</v>
      </c>
      <c r="E2684" s="35" t="str">
        <f>IFERROR(__xludf.DUMMYFUNCTION("""COMPUTED_VALUE"""),"07Jul")</f>
        <v>07Jul</v>
      </c>
      <c r="F2684" s="34" t="str">
        <f>IFERROR(__xludf.DUMMYFUNCTION("""COMPUTED_VALUE"""),"2025")</f>
        <v>2025</v>
      </c>
      <c r="G2684" s="35" t="str">
        <f>IFERROR(__xludf.DUMMYFUNCTION("""COMPUTED_VALUE"""),"DESI")</f>
        <v>DESI</v>
      </c>
      <c r="H2684" s="35" t="str">
        <f>IFERROR(__xludf.DUMMYFUNCTION("""COMPUTED_VALUE"""),"D9525070035")</f>
        <v>D9525070035</v>
      </c>
      <c r="I2684" s="35">
        <f>IFERROR(__xludf.DUMMYFUNCTION("""COMPUTED_VALUE"""),31.0)</f>
        <v>31</v>
      </c>
      <c r="J2684" s="35" t="str">
        <f>IFERROR(__xludf.DUMMYFUNCTION("""COMPUTED_VALUE"""),"25-34 tahun")</f>
        <v>25-34 tahun</v>
      </c>
      <c r="K2684" s="21" t="str">
        <f>IFERROR(__xludf.DUMMYFUNCTION("""COMPUTED_VALUE"""),"14/04/1995")</f>
        <v>14/04/1995</v>
      </c>
      <c r="L2684" s="21" t="str">
        <f>IFERROR(__xludf.DUMMYFUNCTION("""COMPUTED_VALUE"""),"PEREMPUAN")</f>
        <v>PEREMPUAN</v>
      </c>
      <c r="M2684" s="35" t="str">
        <f>IFERROR(__xludf.DUMMYFUNCTION("""COMPUTED_VALUE"""),"JALAN SELAT PANJANG GG KARYA KELUARGA")</f>
        <v>JALAN SELAT PANJANG GG KARYA KELUARGA</v>
      </c>
      <c r="N2684" s="35" t="str">
        <f>IFERROR(__xludf.DUMMYFUNCTION("""COMPUTED_VALUE"""),"SIANTAN HULU")</f>
        <v>SIANTAN HULU</v>
      </c>
      <c r="O2684" s="35" t="str">
        <f>IFERROR(__xludf.DUMMYFUNCTION("""COMPUTED_VALUE"""),"PONTIANAK UTARA")</f>
        <v>PONTIANAK UTARA</v>
      </c>
      <c r="P2684" s="35" t="str">
        <f>IFERROR(__xludf.DUMMYFUNCTION("""COMPUTED_VALUE"""),"PONTIANAK")</f>
        <v>PONTIANAK</v>
      </c>
      <c r="Q2684" s="35" t="str">
        <f>IFERROR(__xludf.DUMMYFUNCTION("""COMPUTED_VALUE"""),"KALIMANTAN BARAT")</f>
        <v>KALIMANTAN BARAT</v>
      </c>
      <c r="R2684" s="21" t="str">
        <f>IFERROR(__xludf.DUMMYFUNCTION("""COMPUTED_VALUE"""),"ISLAM")</f>
        <v>ISLAM</v>
      </c>
      <c r="S2684" s="74" t="str">
        <f>IFERROR(__xludf.DUMMYFUNCTION("""COMPUTED_VALUE"""),"WIRASWASTA")</f>
        <v>WIRASWASTA</v>
      </c>
      <c r="T2684" s="35" t="str">
        <f>IFERROR(__xludf.DUMMYFUNCTION("""COMPUTED_VALUE"""),"SAKIT DI TULANG EKOR PINGGANG BELAKANG")</f>
        <v>SAKIT DI TULANG EKOR PINGGANG BELAKANG</v>
      </c>
      <c r="U2684" s="35" t="str">
        <f>IFERROR(__xludf.DUMMYFUNCTION("""COMPUTED_VALUE"""),"GA ADA, SEMINGGU LALU JATUH AJA")</f>
        <v>GA ADA, SEMINGGU LALU JATUH AJA</v>
      </c>
      <c r="V2684" s="37" t="str">
        <f>IFERROR(__xludf.DUMMYFUNCTION("""COMPUTED_VALUE"""),"081253660035")</f>
        <v>081253660035</v>
      </c>
      <c r="W2684" s="45"/>
    </row>
    <row r="2685">
      <c r="A2685" s="45"/>
      <c r="B2685" s="24" t="str">
        <f>IFERROR(__xludf.DUMMYFUNCTION("""COMPUTED_VALUE"""),"31/07/2025 16:01:34")</f>
        <v>31/07/2025 16:01:34</v>
      </c>
      <c r="C2685" s="35"/>
      <c r="D2685" s="10">
        <f>IFERROR(__xludf.DUMMYFUNCTION("""COMPUTED_VALUE"""),45869.0)</f>
        <v>45869</v>
      </c>
      <c r="E2685" s="35" t="str">
        <f>IFERROR(__xludf.DUMMYFUNCTION("""COMPUTED_VALUE"""),"07Jul")</f>
        <v>07Jul</v>
      </c>
      <c r="F2685" s="34" t="str">
        <f>IFERROR(__xludf.DUMMYFUNCTION("""COMPUTED_VALUE"""),"2025")</f>
        <v>2025</v>
      </c>
      <c r="G2685" s="35" t="str">
        <f>IFERROR(__xludf.DUMMYFUNCTION("""COMPUTED_VALUE"""),"GAVRIEL")</f>
        <v>GAVRIEL</v>
      </c>
      <c r="H2685" s="35" t="str">
        <f>IFERROR(__xludf.DUMMYFUNCTION("""COMPUTED_VALUE"""),"G1425070067")</f>
        <v>G1425070067</v>
      </c>
      <c r="I2685" s="35">
        <f>IFERROR(__xludf.DUMMYFUNCTION("""COMPUTED_VALUE"""),12.0)</f>
        <v>12</v>
      </c>
      <c r="J2685" s="35" t="str">
        <f>IFERROR(__xludf.DUMMYFUNCTION("""COMPUTED_VALUE"""),"&lt; 18 tahun")</f>
        <v>&lt; 18 tahun</v>
      </c>
      <c r="K2685" s="21" t="str">
        <f>IFERROR(__xludf.DUMMYFUNCTION("""COMPUTED_VALUE"""),"08/01/2014")</f>
        <v>08/01/2014</v>
      </c>
      <c r="L2685" s="21" t="str">
        <f>IFERROR(__xludf.DUMMYFUNCTION("""COMPUTED_VALUE"""),"LAKI-LAKI")</f>
        <v>LAKI-LAKI</v>
      </c>
      <c r="M2685" s="35" t="str">
        <f>IFERROR(__xludf.DUMMYFUNCTION("""COMPUTED_VALUE"""),"JL. SUI RAYA DALAM KOMP VILLA LOSARI ASRI B12C")</f>
        <v>JL. SUI RAYA DALAM KOMP VILLA LOSARI ASRI B12C</v>
      </c>
      <c r="N2685" s="35" t="str">
        <f>IFERROR(__xludf.DUMMYFUNCTION("""COMPUTED_VALUE"""),"BANGKA BELITUNG DARAT")</f>
        <v>BANGKA BELITUNG DARAT</v>
      </c>
      <c r="O2685" s="35" t="str">
        <f>IFERROR(__xludf.DUMMYFUNCTION("""COMPUTED_VALUE"""),"PONTIANAK TENGGARA")</f>
        <v>PONTIANAK TENGGARA</v>
      </c>
      <c r="P2685" s="35" t="str">
        <f>IFERROR(__xludf.DUMMYFUNCTION("""COMPUTED_VALUE"""),"KOTA PONTIANAK")</f>
        <v>KOTA PONTIANAK</v>
      </c>
      <c r="Q2685" s="35" t="str">
        <f>IFERROR(__xludf.DUMMYFUNCTION("""COMPUTED_VALUE"""),"KALIMANTAN BARAT")</f>
        <v>KALIMANTAN BARAT</v>
      </c>
      <c r="R2685" s="21" t="str">
        <f>IFERROR(__xludf.DUMMYFUNCTION("""COMPUTED_VALUE"""),"PROTESTAN")</f>
        <v>PROTESTAN</v>
      </c>
      <c r="S2685" s="74" t="str">
        <f>IFERROR(__xludf.DUMMYFUNCTION("""COMPUTED_VALUE"""),"PELAJAR/MAHASISWA")</f>
        <v>PELAJAR/MAHASISWA</v>
      </c>
      <c r="T2685" s="35" t="str">
        <f>IFERROR(__xludf.DUMMYFUNCTION("""COMPUTED_VALUE"""),"LEHER KAKU")</f>
        <v>LEHER KAKU</v>
      </c>
      <c r="U2685" s="35" t="str">
        <f>IFERROR(__xludf.DUMMYFUNCTION("""COMPUTED_VALUE"""),"TIDAK ADA")</f>
        <v>TIDAK ADA</v>
      </c>
      <c r="V2685" s="37" t="str">
        <f>IFERROR(__xludf.DUMMYFUNCTION("""COMPUTED_VALUE"""),"081321060067")</f>
        <v>081321060067</v>
      </c>
      <c r="W2685" s="45"/>
    </row>
    <row r="2686">
      <c r="A2686" s="45"/>
      <c r="B2686" s="24" t="str">
        <f>IFERROR(__xludf.DUMMYFUNCTION("""COMPUTED_VALUE"""),"31/07/2025 18:52:59")</f>
        <v>31/07/2025 18:52:59</v>
      </c>
      <c r="C2686" s="35"/>
      <c r="D2686" s="10">
        <f>IFERROR(__xludf.DUMMYFUNCTION("""COMPUTED_VALUE"""),45869.0)</f>
        <v>45869</v>
      </c>
      <c r="E2686" s="35" t="str">
        <f>IFERROR(__xludf.DUMMYFUNCTION("""COMPUTED_VALUE"""),"07Jul")</f>
        <v>07Jul</v>
      </c>
      <c r="F2686" s="34" t="str">
        <f>IFERROR(__xludf.DUMMYFUNCTION("""COMPUTED_VALUE"""),"2025")</f>
        <v>2025</v>
      </c>
      <c r="G2686" s="35" t="str">
        <f>IFERROR(__xludf.DUMMYFUNCTION("""COMPUTED_VALUE"""),"WAHYU SATRIA")</f>
        <v>WAHYU SATRIA</v>
      </c>
      <c r="H2686" s="35" t="str">
        <f>IFERROR(__xludf.DUMMYFUNCTION("""COMPUTED_VALUE"""),"W0025075225")</f>
        <v>W0025075225</v>
      </c>
      <c r="I2686" s="35">
        <f>IFERROR(__xludf.DUMMYFUNCTION("""COMPUTED_VALUE"""),26.0)</f>
        <v>26</v>
      </c>
      <c r="J2686" s="35" t="str">
        <f>IFERROR(__xludf.DUMMYFUNCTION("""COMPUTED_VALUE"""),"25-34 tahun")</f>
        <v>25-34 tahun</v>
      </c>
      <c r="K2686" s="21" t="str">
        <f>IFERROR(__xludf.DUMMYFUNCTION("""COMPUTED_VALUE"""),"17/01/2000")</f>
        <v>17/01/2000</v>
      </c>
      <c r="L2686" s="21" t="str">
        <f>IFERROR(__xludf.DUMMYFUNCTION("""COMPUTED_VALUE"""),"LAKI-LAKI")</f>
        <v>LAKI-LAKI</v>
      </c>
      <c r="M2686" s="35" t="str">
        <f>IFERROR(__xludf.DUMMYFUNCTION("""COMPUTED_VALUE"""),"JL. HRA RAHMAN GG. BUKIT RAYA")</f>
        <v>JL. HRA RAHMAN GG. BUKIT RAYA</v>
      </c>
      <c r="N2686" s="35" t="str">
        <f>IFERROR(__xludf.DUMMYFUNCTION("""COMPUTED_VALUE"""),"SUNGAI JAWI DALAM")</f>
        <v>SUNGAI JAWI DALAM</v>
      </c>
      <c r="O2686" s="35" t="str">
        <f>IFERROR(__xludf.DUMMYFUNCTION("""COMPUTED_VALUE"""),"PONTIANAK BARAT")</f>
        <v>PONTIANAK BARAT</v>
      </c>
      <c r="P2686" s="35" t="str">
        <f>IFERROR(__xludf.DUMMYFUNCTION("""COMPUTED_VALUE"""),"PONTIANAK")</f>
        <v>PONTIANAK</v>
      </c>
      <c r="Q2686" s="35" t="str">
        <f>IFERROR(__xludf.DUMMYFUNCTION("""COMPUTED_VALUE"""),"KALIMANTAN BARAT")</f>
        <v>KALIMANTAN BARAT</v>
      </c>
      <c r="R2686" s="21" t="str">
        <f>IFERROR(__xludf.DUMMYFUNCTION("""COMPUTED_VALUE"""),"ISLAM")</f>
        <v>ISLAM</v>
      </c>
      <c r="S2686" s="74" t="str">
        <f>IFERROR(__xludf.DUMMYFUNCTION("""COMPUTED_VALUE"""),"PEGAWAI")</f>
        <v>PEGAWAI</v>
      </c>
      <c r="T2686" s="35" t="str">
        <f>IFERROR(__xludf.DUMMYFUNCTION("""COMPUTED_VALUE"""),"NYERI DI PUNGGUNG KIRI ATAS KETIKA MENGGERAKAN LEHER")</f>
        <v>NYERI DI PUNGGUNG KIRI ATAS KETIKA MENGGERAKAN LEHER</v>
      </c>
      <c r="U2686" s="35" t="str">
        <f>IFERROR(__xludf.DUMMYFUNCTION("""COMPUTED_VALUE"""),"GYM, TENNIS, DAN BEKERJA")</f>
        <v>GYM, TENNIS, DAN BEKERJA</v>
      </c>
      <c r="V2686" s="37" t="str">
        <f>IFERROR(__xludf.DUMMYFUNCTION("""COMPUTED_VALUE"""),"089694035225")</f>
        <v>089694035225</v>
      </c>
      <c r="W2686" s="45"/>
    </row>
    <row r="2687">
      <c r="A2687" s="45"/>
      <c r="B2687" s="24" t="str">
        <f>IFERROR(__xludf.DUMMYFUNCTION("""COMPUTED_VALUE"""),"01/08/2025 16:14:25")</f>
        <v>01/08/2025 16:14:25</v>
      </c>
      <c r="C2687" s="35"/>
      <c r="D2687" s="10">
        <f>IFERROR(__xludf.DUMMYFUNCTION("""COMPUTED_VALUE"""),45870.0)</f>
        <v>45870</v>
      </c>
      <c r="E2687" s="35" t="str">
        <f>IFERROR(__xludf.DUMMYFUNCTION("""COMPUTED_VALUE"""),"08Agu")</f>
        <v>08Agu</v>
      </c>
      <c r="F2687" s="34" t="str">
        <f>IFERROR(__xludf.DUMMYFUNCTION("""COMPUTED_VALUE"""),"2025")</f>
        <v>2025</v>
      </c>
      <c r="G2687" s="35" t="str">
        <f>IFERROR(__xludf.DUMMYFUNCTION("""COMPUTED_VALUE"""),"NOLLIE NOVELLA TANAJO")</f>
        <v>NOLLIE NOVELLA TANAJO</v>
      </c>
      <c r="H2687" s="35" t="str">
        <f>IFERROR(__xludf.DUMMYFUNCTION("""COMPUTED_VALUE"""),"N0725085070")</f>
        <v>N0725085070</v>
      </c>
      <c r="I2687" s="35">
        <f>IFERROR(__xludf.DUMMYFUNCTION("""COMPUTED_VALUE"""),18.0)</f>
        <v>18</v>
      </c>
      <c r="J2687" s="35" t="str">
        <f>IFERROR(__xludf.DUMMYFUNCTION("""COMPUTED_VALUE"""),"&lt; 18 tahun")</f>
        <v>&lt; 18 tahun</v>
      </c>
      <c r="K2687" s="21" t="str">
        <f>IFERROR(__xludf.DUMMYFUNCTION("""COMPUTED_VALUE"""),"10/11/2007")</f>
        <v>10/11/2007</v>
      </c>
      <c r="L2687" s="21" t="str">
        <f>IFERROR(__xludf.DUMMYFUNCTION("""COMPUTED_VALUE"""),"PEREMPUAN")</f>
        <v>PEREMPUAN</v>
      </c>
      <c r="M2687" s="35" t="str">
        <f>IFERROR(__xludf.DUMMYFUNCTION("""COMPUTED_VALUE"""),"JL YC OEVANG OERAY")</f>
        <v>JL YC OEVANG OERAY</v>
      </c>
      <c r="N2687" s="35" t="str">
        <f>IFERROR(__xludf.DUMMYFUNCTION("""COMPUTED_VALUE"""),"SUNGAI ANA")</f>
        <v>SUNGAI ANA</v>
      </c>
      <c r="O2687" s="35" t="str">
        <f>IFERROR(__xludf.DUMMYFUNCTION("""COMPUTED_VALUE"""),"SINTANG")</f>
        <v>SINTANG</v>
      </c>
      <c r="P2687" s="35" t="str">
        <f>IFERROR(__xludf.DUMMYFUNCTION("""COMPUTED_VALUE"""),"SINTANG")</f>
        <v>SINTANG</v>
      </c>
      <c r="Q2687" s="35" t="str">
        <f>IFERROR(__xludf.DUMMYFUNCTION("""COMPUTED_VALUE"""),"KAL BAR")</f>
        <v>KAL BAR</v>
      </c>
      <c r="R2687" s="21" t="str">
        <f>IFERROR(__xludf.DUMMYFUNCTION("""COMPUTED_VALUE"""),"BUDDHA")</f>
        <v>BUDDHA</v>
      </c>
      <c r="S2687" s="74" t="str">
        <f>IFERROR(__xludf.DUMMYFUNCTION("""COMPUTED_VALUE"""),"PELAJAR")</f>
        <v>PELAJAR</v>
      </c>
      <c r="T2687" s="35" t="str">
        <f>IFERROR(__xludf.DUMMYFUNCTION("""COMPUTED_VALUE"""),"SKOLIOSIS")</f>
        <v>SKOLIOSIS</v>
      </c>
      <c r="U2687" s="35" t="str">
        <f>IFERROR(__xludf.DUMMYFUNCTION("""COMPUTED_VALUE"""),"MELUKIS")</f>
        <v>MELUKIS</v>
      </c>
      <c r="V2687" s="37" t="str">
        <f>IFERROR(__xludf.DUMMYFUNCTION("""COMPUTED_VALUE"""),"081250915070")</f>
        <v>081250915070</v>
      </c>
      <c r="W2687" s="45"/>
    </row>
    <row r="2688">
      <c r="A2688" s="45"/>
      <c r="B2688" s="24" t="str">
        <f>IFERROR(__xludf.DUMMYFUNCTION("""COMPUTED_VALUE"""),"02/08/2025 16:46:30")</f>
        <v>02/08/2025 16:46:30</v>
      </c>
      <c r="C2688" s="35"/>
      <c r="D2688" s="10">
        <f>IFERROR(__xludf.DUMMYFUNCTION("""COMPUTED_VALUE"""),45870.0)</f>
        <v>45870</v>
      </c>
      <c r="E2688" s="35" t="str">
        <f>IFERROR(__xludf.DUMMYFUNCTION("""COMPUTED_VALUE"""),"08Agu")</f>
        <v>08Agu</v>
      </c>
      <c r="F2688" s="34" t="str">
        <f>IFERROR(__xludf.DUMMYFUNCTION("""COMPUTED_VALUE"""),"2025")</f>
        <v>2025</v>
      </c>
      <c r="G2688" s="35" t="str">
        <f>IFERROR(__xludf.DUMMYFUNCTION("""COMPUTED_VALUE"""),"CHOTIJAH")</f>
        <v>CHOTIJAH</v>
      </c>
      <c r="H2688" s="35" t="str">
        <f>IFERROR(__xludf.DUMMYFUNCTION("""COMPUTED_VALUE"""),"C5325089599")</f>
        <v>C5325089599</v>
      </c>
      <c r="I2688" s="35">
        <f>IFERROR(__xludf.DUMMYFUNCTION("""COMPUTED_VALUE"""),72.0)</f>
        <v>72</v>
      </c>
      <c r="J2688" s="35" t="str">
        <f>IFERROR(__xludf.DUMMYFUNCTION("""COMPUTED_VALUE"""),"&gt; 44 tahun")</f>
        <v>&gt; 44 tahun</v>
      </c>
      <c r="K2688" s="21" t="str">
        <f>IFERROR(__xludf.DUMMYFUNCTION("""COMPUTED_VALUE"""),"08/12/1953")</f>
        <v>08/12/1953</v>
      </c>
      <c r="L2688" s="21" t="str">
        <f>IFERROR(__xludf.DUMMYFUNCTION("""COMPUTED_VALUE"""),"PEREMPUAN")</f>
        <v>PEREMPUAN</v>
      </c>
      <c r="M2688" s="35" t="str">
        <f>IFERROR(__xludf.DUMMYFUNCTION("""COMPUTED_VALUE"""),"JLN.SULTAN SYAHRIR GG WIDODO JALUR 2")</f>
        <v>JLN.SULTAN SYAHRIR GG WIDODO JALUR 2</v>
      </c>
      <c r="N2688" s="35" t="str">
        <f>IFERROR(__xludf.DUMMYFUNCTION("""COMPUTED_VALUE"""),"AKCAYA")</f>
        <v>AKCAYA</v>
      </c>
      <c r="O2688" s="35" t="str">
        <f>IFERROR(__xludf.DUMMYFUNCTION("""COMPUTED_VALUE"""),"PONTIANAK SELATAN")</f>
        <v>PONTIANAK SELATAN</v>
      </c>
      <c r="P2688" s="35" t="str">
        <f>IFERROR(__xludf.DUMMYFUNCTION("""COMPUTED_VALUE"""),"PONTIANAK")</f>
        <v>PONTIANAK</v>
      </c>
      <c r="Q2688" s="35" t="str">
        <f>IFERROR(__xludf.DUMMYFUNCTION("""COMPUTED_VALUE"""),"KALIMANTAN BARAT")</f>
        <v>KALIMANTAN BARAT</v>
      </c>
      <c r="R2688" s="21" t="str">
        <f>IFERROR(__xludf.DUMMYFUNCTION("""COMPUTED_VALUE"""),"ISLAM")</f>
        <v>ISLAM</v>
      </c>
      <c r="S2688" s="74" t="str">
        <f>IFERROR(__xludf.DUMMYFUNCTION("""COMPUTED_VALUE"""),"WIRAUSAHA")</f>
        <v>WIRAUSAHA</v>
      </c>
      <c r="T2688" s="35" t="str">
        <f>IFERROR(__xludf.DUMMYFUNCTION("""COMPUTED_VALUE"""),"PINGGUL/PANGGUL TERASA SAKIT SAAT MAU BERDIRI")</f>
        <v>PINGGUL/PANGGUL TERASA SAKIT SAAT MAU BERDIRI</v>
      </c>
      <c r="U2688" s="35" t="str">
        <f>IFERROR(__xludf.DUMMYFUNCTION("""COMPUTED_VALUE"""),"MASAK")</f>
        <v>MASAK</v>
      </c>
      <c r="V2688" s="37" t="str">
        <f>IFERROR(__xludf.DUMMYFUNCTION("""COMPUTED_VALUE"""),"081345389599")</f>
        <v>081345389599</v>
      </c>
      <c r="W2688" s="45"/>
    </row>
    <row r="2689">
      <c r="A2689" s="45"/>
      <c r="B2689" s="24" t="str">
        <f>IFERROR(__xludf.DUMMYFUNCTION("""COMPUTED_VALUE"""),"03/08/2025 10:12:07")</f>
        <v>03/08/2025 10:12:07</v>
      </c>
      <c r="C2689" s="35"/>
      <c r="D2689" s="10">
        <f>IFERROR(__xludf.DUMMYFUNCTION("""COMPUTED_VALUE"""),45872.0)</f>
        <v>45872</v>
      </c>
      <c r="E2689" s="35" t="str">
        <f>IFERROR(__xludf.DUMMYFUNCTION("""COMPUTED_VALUE"""),"08Agu")</f>
        <v>08Agu</v>
      </c>
      <c r="F2689" s="34" t="str">
        <f>IFERROR(__xludf.DUMMYFUNCTION("""COMPUTED_VALUE"""),"2025")</f>
        <v>2025</v>
      </c>
      <c r="G2689" s="35" t="str">
        <f>IFERROR(__xludf.DUMMYFUNCTION("""COMPUTED_VALUE"""),"CHINTIA OKTAVIANY")</f>
        <v>CHINTIA OKTAVIANY</v>
      </c>
      <c r="H2689" s="35" t="str">
        <f>IFERROR(__xludf.DUMMYFUNCTION("""COMPUTED_VALUE"""),"C8525081338")</f>
        <v>C8525081338</v>
      </c>
      <c r="I2689" s="35">
        <f>IFERROR(__xludf.DUMMYFUNCTION("""COMPUTED_VALUE"""),40.0)</f>
        <v>40</v>
      </c>
      <c r="J2689" s="35" t="str">
        <f>IFERROR(__xludf.DUMMYFUNCTION("""COMPUTED_VALUE"""),"35-44 tahun")</f>
        <v>35-44 tahun</v>
      </c>
      <c r="K2689" s="21" t="str">
        <f>IFERROR(__xludf.DUMMYFUNCTION("""COMPUTED_VALUE"""),"20/10/1985")</f>
        <v>20/10/1985</v>
      </c>
      <c r="L2689" s="21" t="str">
        <f>IFERROR(__xludf.DUMMYFUNCTION("""COMPUTED_VALUE"""),"PEREMPUAN")</f>
        <v>PEREMPUAN</v>
      </c>
      <c r="M2689" s="35" t="str">
        <f>IFERROR(__xludf.DUMMYFUNCTION("""COMPUTED_VALUE"""),"JLN DANAU SENTARUM KOMPLEK BANK DUTA NO 1 B")</f>
        <v>JLN DANAU SENTARUM KOMPLEK BANK DUTA NO 1 B</v>
      </c>
      <c r="N2689" s="35" t="str">
        <f>IFERROR(__xludf.DUMMYFUNCTION("""COMPUTED_VALUE"""),"SUI BANGKONG")</f>
        <v>SUI BANGKONG</v>
      </c>
      <c r="O2689" s="35" t="str">
        <f>IFERROR(__xludf.DUMMYFUNCTION("""COMPUTED_VALUE"""),"PONTIANAK KOTA")</f>
        <v>PONTIANAK KOTA</v>
      </c>
      <c r="P2689" s="35" t="str">
        <f>IFERROR(__xludf.DUMMYFUNCTION("""COMPUTED_VALUE"""),"KOTA PONTIANAK")</f>
        <v>KOTA PONTIANAK</v>
      </c>
      <c r="Q2689" s="35" t="str">
        <f>IFERROR(__xludf.DUMMYFUNCTION("""COMPUTED_VALUE"""),"KALIMANTAN BARAT")</f>
        <v>KALIMANTAN BARAT</v>
      </c>
      <c r="R2689" s="21" t="str">
        <f>IFERROR(__xludf.DUMMYFUNCTION("""COMPUTED_VALUE"""),"ISLAM")</f>
        <v>ISLAM</v>
      </c>
      <c r="S2689" s="74" t="str">
        <f>IFERROR(__xludf.DUMMYFUNCTION("""COMPUTED_VALUE"""),"PNS")</f>
        <v>PNS</v>
      </c>
      <c r="T2689" s="35" t="str">
        <f>IFERROR(__xludf.DUMMYFUNCTION("""COMPUTED_VALUE"""),"KRAM KAKI KIRI SAMPAI PINGGANG")</f>
        <v>KRAM KAKI KIRI SAMPAI PINGGANG</v>
      </c>
      <c r="U2689" s="35" t="str">
        <f>IFERROR(__xludf.DUMMYFUNCTION("""COMPUTED_VALUE"""),"-")</f>
        <v>-</v>
      </c>
      <c r="V2689" s="37" t="str">
        <f>IFERROR(__xludf.DUMMYFUNCTION("""COMPUTED_VALUE"""),"085245101338")</f>
        <v>085245101338</v>
      </c>
      <c r="W2689" s="45"/>
    </row>
    <row r="2690">
      <c r="A2690" s="45"/>
      <c r="B2690" s="24" t="str">
        <f>IFERROR(__xludf.DUMMYFUNCTION("""COMPUTED_VALUE"""),"03/08/2025 10:46:50")</f>
        <v>03/08/2025 10:46:50</v>
      </c>
      <c r="C2690" s="35"/>
      <c r="D2690" s="10">
        <f>IFERROR(__xludf.DUMMYFUNCTION("""COMPUTED_VALUE"""),45872.0)</f>
        <v>45872</v>
      </c>
      <c r="E2690" s="35" t="str">
        <f>IFERROR(__xludf.DUMMYFUNCTION("""COMPUTED_VALUE"""),"08Agu")</f>
        <v>08Agu</v>
      </c>
      <c r="F2690" s="34" t="str">
        <f>IFERROR(__xludf.DUMMYFUNCTION("""COMPUTED_VALUE"""),"2025")</f>
        <v>2025</v>
      </c>
      <c r="G2690" s="35" t="str">
        <f>IFERROR(__xludf.DUMMYFUNCTION("""COMPUTED_VALUE"""),"GILANG MAULANA")</f>
        <v>GILANG MAULANA</v>
      </c>
      <c r="H2690" s="35" t="str">
        <f>IFERROR(__xludf.DUMMYFUNCTION("""COMPUTED_VALUE"""),"G0025085646")</f>
        <v>G0025085646</v>
      </c>
      <c r="I2690" s="35">
        <f>IFERROR(__xludf.DUMMYFUNCTION("""COMPUTED_VALUE"""),26.0)</f>
        <v>26</v>
      </c>
      <c r="J2690" s="35" t="str">
        <f>IFERROR(__xludf.DUMMYFUNCTION("""COMPUTED_VALUE"""),"25-34 tahun")</f>
        <v>25-34 tahun</v>
      </c>
      <c r="K2690" s="21" t="str">
        <f>IFERROR(__xludf.DUMMYFUNCTION("""COMPUTED_VALUE"""),"19/01/2000")</f>
        <v>19/01/2000</v>
      </c>
      <c r="L2690" s="21" t="str">
        <f>IFERROR(__xludf.DUMMYFUNCTION("""COMPUTED_VALUE"""),"LAKI-LAKI")</f>
        <v>LAKI-LAKI</v>
      </c>
      <c r="M2690" s="35" t="str">
        <f>IFERROR(__xludf.DUMMYFUNCTION("""COMPUTED_VALUE"""),"TANJUNG HULU JL. YA'M SABRAN GG KOPERASI")</f>
        <v>TANJUNG HULU JL. YA'M SABRAN GG KOPERASI</v>
      </c>
      <c r="N2690" s="35" t="str">
        <f>IFERROR(__xludf.DUMMYFUNCTION("""COMPUTED_VALUE"""),"SAIGON")</f>
        <v>SAIGON</v>
      </c>
      <c r="O2690" s="35" t="str">
        <f>IFERROR(__xludf.DUMMYFUNCTION("""COMPUTED_VALUE"""),"PONTIANAK TIMUR")</f>
        <v>PONTIANAK TIMUR</v>
      </c>
      <c r="P2690" s="35" t="str">
        <f>IFERROR(__xludf.DUMMYFUNCTION("""COMPUTED_VALUE"""),"PONTIANAK")</f>
        <v>PONTIANAK</v>
      </c>
      <c r="Q2690" s="35" t="str">
        <f>IFERROR(__xludf.DUMMYFUNCTION("""COMPUTED_VALUE"""),"KALIMANTAN BARAT")</f>
        <v>KALIMANTAN BARAT</v>
      </c>
      <c r="R2690" s="21" t="str">
        <f>IFERROR(__xludf.DUMMYFUNCTION("""COMPUTED_VALUE"""),"ISLAM")</f>
        <v>ISLAM</v>
      </c>
      <c r="S2690" s="74" t="str">
        <f>IFERROR(__xludf.DUMMYFUNCTION("""COMPUTED_VALUE"""),"KARYAWAN")</f>
        <v>KARYAWAN</v>
      </c>
      <c r="T2690" s="35" t="str">
        <f>IFERROR(__xludf.DUMMYFUNCTION("""COMPUTED_VALUE"""),"LUTUT")</f>
        <v>LUTUT</v>
      </c>
      <c r="U2690" s="35" t="str">
        <f>IFERROR(__xludf.DUMMYFUNCTION("""COMPUTED_VALUE"""),"BADMINTON")</f>
        <v>BADMINTON</v>
      </c>
      <c r="V2690" s="37" t="str">
        <f>IFERROR(__xludf.DUMMYFUNCTION("""COMPUTED_VALUE"""),"085651055646")</f>
        <v>085651055646</v>
      </c>
      <c r="W2690" s="45"/>
    </row>
    <row r="2691">
      <c r="A2691" s="45"/>
      <c r="B2691" s="24" t="str">
        <f>IFERROR(__xludf.DUMMYFUNCTION("""COMPUTED_VALUE"""),"03/08/2025 17:53:16")</f>
        <v>03/08/2025 17:53:16</v>
      </c>
      <c r="C2691" s="35"/>
      <c r="D2691" s="10">
        <f>IFERROR(__xludf.DUMMYFUNCTION("""COMPUTED_VALUE"""),45872.0)</f>
        <v>45872</v>
      </c>
      <c r="E2691" s="35" t="str">
        <f>IFERROR(__xludf.DUMMYFUNCTION("""COMPUTED_VALUE"""),"08Agu")</f>
        <v>08Agu</v>
      </c>
      <c r="F2691" s="34" t="str">
        <f>IFERROR(__xludf.DUMMYFUNCTION("""COMPUTED_VALUE"""),"2025")</f>
        <v>2025</v>
      </c>
      <c r="G2691" s="35" t="str">
        <f>IFERROR(__xludf.DUMMYFUNCTION("""COMPUTED_VALUE"""),"HAMDANI")</f>
        <v>HAMDANI</v>
      </c>
      <c r="H2691" s="35" t="str">
        <f>IFERROR(__xludf.DUMMYFUNCTION("""COMPUTED_VALUE"""),"H0625081751")</f>
        <v>H0625081751</v>
      </c>
      <c r="I2691" s="35">
        <f>IFERROR(__xludf.DUMMYFUNCTION("""COMPUTED_VALUE"""),19.0)</f>
        <v>19</v>
      </c>
      <c r="J2691" s="35" t="str">
        <f>IFERROR(__xludf.DUMMYFUNCTION("""COMPUTED_VALUE"""),"18-24 tahun")</f>
        <v>18-24 tahun</v>
      </c>
      <c r="K2691" s="21" t="str">
        <f>IFERROR(__xludf.DUMMYFUNCTION("""COMPUTED_VALUE"""),"06/12/2006")</f>
        <v>06/12/2006</v>
      </c>
      <c r="L2691" s="21" t="str">
        <f>IFERROR(__xludf.DUMMYFUNCTION("""COMPUTED_VALUE"""),"LAKI-LAKI")</f>
        <v>LAKI-LAKI</v>
      </c>
      <c r="M2691" s="35" t="str">
        <f>IFERROR(__xludf.DUMMYFUNCTION("""COMPUTED_VALUE"""),"DUSUN SELINTAH")</f>
        <v>DUSUN SELINTAH</v>
      </c>
      <c r="N2691" s="35" t="str">
        <f>IFERROR(__xludf.DUMMYFUNCTION("""COMPUTED_VALUE"""),"MENUA PRAMA")</f>
        <v>MENUA PRAMA</v>
      </c>
      <c r="O2691" s="35" t="str">
        <f>IFERROR(__xludf.DUMMYFUNCTION("""COMPUTED_VALUE"""),"BELITANG")</f>
        <v>BELITANG</v>
      </c>
      <c r="P2691" s="35" t="str">
        <f>IFERROR(__xludf.DUMMYFUNCTION("""COMPUTED_VALUE"""),"SEKADAU")</f>
        <v>SEKADAU</v>
      </c>
      <c r="Q2691" s="35" t="str">
        <f>IFERROR(__xludf.DUMMYFUNCTION("""COMPUTED_VALUE"""),"KALIMANTAN BARAT")</f>
        <v>KALIMANTAN BARAT</v>
      </c>
      <c r="R2691" s="21" t="str">
        <f>IFERROR(__xludf.DUMMYFUNCTION("""COMPUTED_VALUE"""),"ISLAM")</f>
        <v>ISLAM</v>
      </c>
      <c r="S2691" s="74" t="str">
        <f>IFERROR(__xludf.DUMMYFUNCTION("""COMPUTED_VALUE"""),"BELUM BEKERJA BARU LULUS SEKOLAH")</f>
        <v>BELUM BEKERJA BARU LULUS SEKOLAH</v>
      </c>
      <c r="T2691" s="35" t="str">
        <f>IFERROR(__xludf.DUMMYFUNCTION("""COMPUTED_VALUE"""),"SAKIT DI BAGIAN SELANGKANGAN DI BAWA DEKAT PAHA BAWA SAKIT NYA NUSUK SMPE BELAKANG EKOR")</f>
        <v>SAKIT DI BAGIAN SELANGKANGAN DI BAWA DEKAT PAHA BAWA SAKIT NYA NUSUK SMPE BELAKANG EKOR</v>
      </c>
      <c r="U2691" s="35" t="str">
        <f>IFERROR(__xludf.DUMMYFUNCTION("""COMPUTED_VALUE"""),"BERMAIN SEPAK BOLA")</f>
        <v>BERMAIN SEPAK BOLA</v>
      </c>
      <c r="V2691" s="37" t="str">
        <f>IFERROR(__xludf.DUMMYFUNCTION("""COMPUTED_VALUE"""),"085820861751")</f>
        <v>085820861751</v>
      </c>
      <c r="W2691" s="45"/>
    </row>
    <row r="2692">
      <c r="A2692" s="45"/>
      <c r="B2692" s="24" t="str">
        <f>IFERROR(__xludf.DUMMYFUNCTION("""COMPUTED_VALUE"""),"04/08/2025 3:44:48")</f>
        <v>04/08/2025 3:44:48</v>
      </c>
      <c r="C2692" s="35"/>
      <c r="D2692" s="10">
        <f>IFERROR(__xludf.DUMMYFUNCTION("""COMPUTED_VALUE"""),45873.0)</f>
        <v>45873</v>
      </c>
      <c r="E2692" s="35" t="str">
        <f>IFERROR(__xludf.DUMMYFUNCTION("""COMPUTED_VALUE"""),"08Agu")</f>
        <v>08Agu</v>
      </c>
      <c r="F2692" s="34" t="str">
        <f>IFERROR(__xludf.DUMMYFUNCTION("""COMPUTED_VALUE"""),"2025")</f>
        <v>2025</v>
      </c>
      <c r="G2692" s="35" t="str">
        <f>IFERROR(__xludf.DUMMYFUNCTION("""COMPUTED_VALUE"""),"ALFIAN BONE PUTRA")</f>
        <v>ALFIAN BONE PUTRA</v>
      </c>
      <c r="H2692" s="35" t="str">
        <f>IFERROR(__xludf.DUMMYFUNCTION("""COMPUTED_VALUE"""),"A8925087212")</f>
        <v>A8925087212</v>
      </c>
      <c r="I2692" s="35">
        <f>IFERROR(__xludf.DUMMYFUNCTION("""COMPUTED_VALUE"""),36.0)</f>
        <v>36</v>
      </c>
      <c r="J2692" s="35" t="str">
        <f>IFERROR(__xludf.DUMMYFUNCTION("""COMPUTED_VALUE"""),"35-44 tahun")</f>
        <v>35-44 tahun</v>
      </c>
      <c r="K2692" s="21" t="str">
        <f>IFERROR(__xludf.DUMMYFUNCTION("""COMPUTED_VALUE"""),"24/11/1989")</f>
        <v>24/11/1989</v>
      </c>
      <c r="L2692" s="21" t="str">
        <f>IFERROR(__xludf.DUMMYFUNCTION("""COMPUTED_VALUE"""),"LAKI-LAKI")</f>
        <v>LAKI-LAKI</v>
      </c>
      <c r="M2692" s="35" t="str">
        <f>IFERROR(__xludf.DUMMYFUNCTION("""COMPUTED_VALUE"""),"BINONG PERMAI C13 NO 11, TANGERANG")</f>
        <v>BINONG PERMAI C13 NO 11, TANGERANG</v>
      </c>
      <c r="N2692" s="35" t="str">
        <f>IFERROR(__xludf.DUMMYFUNCTION("""COMPUTED_VALUE"""),"BINONG")</f>
        <v>BINONG</v>
      </c>
      <c r="O2692" s="35" t="str">
        <f>IFERROR(__xludf.DUMMYFUNCTION("""COMPUTED_VALUE"""),"CURUG")</f>
        <v>CURUG</v>
      </c>
      <c r="P2692" s="35" t="str">
        <f>IFERROR(__xludf.DUMMYFUNCTION("""COMPUTED_VALUE"""),"TANGERANG")</f>
        <v>TANGERANG</v>
      </c>
      <c r="Q2692" s="35" t="str">
        <f>IFERROR(__xludf.DUMMYFUNCTION("""COMPUTED_VALUE"""),"BANTEN")</f>
        <v>BANTEN</v>
      </c>
      <c r="R2692" s="21" t="str">
        <f>IFERROR(__xludf.DUMMYFUNCTION("""COMPUTED_VALUE"""),"ISLAM")</f>
        <v>ISLAM</v>
      </c>
      <c r="S2692" s="74" t="str">
        <f>IFERROR(__xludf.DUMMYFUNCTION("""COMPUTED_VALUE"""),"PEGAWAI")</f>
        <v>PEGAWAI</v>
      </c>
      <c r="T2692" s="35" t="str">
        <f>IFERROR(__xludf.DUMMYFUNCTION("""COMPUTED_VALUE"""),"CIDERA LUTUT SAAT MAIN MINI SOCCER")</f>
        <v>CIDERA LUTUT SAAT MAIN MINI SOCCER</v>
      </c>
      <c r="U2692" s="35" t="str">
        <f>IFERROR(__xludf.DUMMYFUNCTION("""COMPUTED_VALUE"""),"GYM, LARI, SEPAK BOLA")</f>
        <v>GYM, LARI, SEPAK BOLA</v>
      </c>
      <c r="V2692" s="37" t="str">
        <f>IFERROR(__xludf.DUMMYFUNCTION("""COMPUTED_VALUE"""),"081289427212")</f>
        <v>081289427212</v>
      </c>
      <c r="W2692" s="45"/>
    </row>
    <row r="2693">
      <c r="A2693" s="45"/>
      <c r="B2693" s="24" t="str">
        <f>IFERROR(__xludf.DUMMYFUNCTION("""COMPUTED_VALUE"""),"04/08/2025 8:21:29")</f>
        <v>04/08/2025 8:21:29</v>
      </c>
      <c r="C2693" s="35"/>
      <c r="D2693" s="10">
        <f>IFERROR(__xludf.DUMMYFUNCTION("""COMPUTED_VALUE"""),45467.0)</f>
        <v>45467</v>
      </c>
      <c r="E2693" s="35" t="str">
        <f>IFERROR(__xludf.DUMMYFUNCTION("""COMPUTED_VALUE"""),"06Jun")</f>
        <v>06Jun</v>
      </c>
      <c r="F2693" s="34" t="str">
        <f>IFERROR(__xludf.DUMMYFUNCTION("""COMPUTED_VALUE"""),"2024")</f>
        <v>2024</v>
      </c>
      <c r="G2693" s="35" t="str">
        <f>IFERROR(__xludf.DUMMYFUNCTION("""COMPUTED_VALUE"""),"GUSTINAH")</f>
        <v>GUSTINAH</v>
      </c>
      <c r="H2693" s="35" t="str">
        <f>IFERROR(__xludf.DUMMYFUNCTION("""COMPUTED_VALUE"""),"G6024066302")</f>
        <v>G6024066302</v>
      </c>
      <c r="I2693" s="35">
        <f>IFERROR(__xludf.DUMMYFUNCTION("""COMPUTED_VALUE"""),65.0)</f>
        <v>65</v>
      </c>
      <c r="J2693" s="35" t="str">
        <f>IFERROR(__xludf.DUMMYFUNCTION("""COMPUTED_VALUE"""),"&gt; 44 tahun")</f>
        <v>&gt; 44 tahun</v>
      </c>
      <c r="K2693" s="21" t="str">
        <f>IFERROR(__xludf.DUMMYFUNCTION("""COMPUTED_VALUE"""),"13/08/1960")</f>
        <v>13/08/1960</v>
      </c>
      <c r="L2693" s="21" t="str">
        <f>IFERROR(__xludf.DUMMYFUNCTION("""COMPUTED_VALUE"""),"PEREMPUAN")</f>
        <v>PEREMPUAN</v>
      </c>
      <c r="M2693" s="35" t="str">
        <f>IFERROR(__xludf.DUMMYFUNCTION("""COMPUTED_VALUE"""),"JL. KESEHAGAN GG.SWAKARYA 1B NO.1")</f>
        <v>JL. KESEHAGAN GG.SWAKARYA 1B NO.1</v>
      </c>
      <c r="N2693" s="35" t="str">
        <f>IFERROR(__xludf.DUMMYFUNCTION("""COMPUTED_VALUE"""),"KOTA BARU")</f>
        <v>KOTA BARU</v>
      </c>
      <c r="O2693" s="35" t="str">
        <f>IFERROR(__xludf.DUMMYFUNCTION("""COMPUTED_VALUE"""),"PONTIANAK SELATAN")</f>
        <v>PONTIANAK SELATAN</v>
      </c>
      <c r="P2693" s="35" t="str">
        <f>IFERROR(__xludf.DUMMYFUNCTION("""COMPUTED_VALUE"""),"KOTA PONTIANAK")</f>
        <v>KOTA PONTIANAK</v>
      </c>
      <c r="Q2693" s="35" t="str">
        <f>IFERROR(__xludf.DUMMYFUNCTION("""COMPUTED_VALUE"""),"KALIMANTAN BARAT")</f>
        <v>KALIMANTAN BARAT</v>
      </c>
      <c r="R2693" s="21" t="str">
        <f>IFERROR(__xludf.DUMMYFUNCTION("""COMPUTED_VALUE"""),"ISLAM")</f>
        <v>ISLAM</v>
      </c>
      <c r="S2693" s="74" t="str">
        <f>IFERROR(__xludf.DUMMYFUNCTION("""COMPUTED_VALUE"""),"WIRASWASTA")</f>
        <v>WIRASWASTA</v>
      </c>
      <c r="T2693" s="35" t="str">
        <f>IFERROR(__xludf.DUMMYFUNCTION("""COMPUTED_VALUE"""),"SARAF KETARIK")</f>
        <v>SARAF KETARIK</v>
      </c>
      <c r="U2693" s="35" t="str">
        <f>IFERROR(__xludf.DUMMYFUNCTION("""COMPUTED_VALUE"""),"KELUHAN NYA DATANG TIBA-TIBA TIDAK SEDANG BERAKTIVITAS")</f>
        <v>KELUHAN NYA DATANG TIBA-TIBA TIDAK SEDANG BERAKTIVITAS</v>
      </c>
      <c r="V2693" s="37" t="str">
        <f>IFERROR(__xludf.DUMMYFUNCTION("""COMPUTED_VALUE"""),"08164986302")</f>
        <v>08164986302</v>
      </c>
      <c r="W2693" s="45"/>
    </row>
    <row r="2694">
      <c r="A2694" s="45"/>
      <c r="B2694" s="24" t="str">
        <f>IFERROR(__xludf.DUMMYFUNCTION("""COMPUTED_VALUE"""),"04/08/2025 12:56:58")</f>
        <v>04/08/2025 12:56:58</v>
      </c>
      <c r="C2694" s="35"/>
      <c r="D2694" s="10">
        <f>IFERROR(__xludf.DUMMYFUNCTION("""COMPUTED_VALUE"""),45873.0)</f>
        <v>45873</v>
      </c>
      <c r="E2694" s="35" t="str">
        <f>IFERROR(__xludf.DUMMYFUNCTION("""COMPUTED_VALUE"""),"08Agu")</f>
        <v>08Agu</v>
      </c>
      <c r="F2694" s="34" t="str">
        <f>IFERROR(__xludf.DUMMYFUNCTION("""COMPUTED_VALUE"""),"2025")</f>
        <v>2025</v>
      </c>
      <c r="G2694" s="35" t="str">
        <f>IFERROR(__xludf.DUMMYFUNCTION("""COMPUTED_VALUE"""),"LEONARDO DANENDRA")</f>
        <v>LEONARDO DANENDRA</v>
      </c>
      <c r="H2694" s="35" t="str">
        <f>IFERROR(__xludf.DUMMYFUNCTION("""COMPUTED_VALUE"""),"L0125089460")</f>
        <v>L0125089460</v>
      </c>
      <c r="I2694" s="35">
        <f>IFERROR(__xludf.DUMMYFUNCTION("""COMPUTED_VALUE"""),24.0)</f>
        <v>24</v>
      </c>
      <c r="J2694" s="35" t="str">
        <f>IFERROR(__xludf.DUMMYFUNCTION("""COMPUTED_VALUE"""),"18-24 tahun")</f>
        <v>18-24 tahun</v>
      </c>
      <c r="K2694" s="21" t="str">
        <f>IFERROR(__xludf.DUMMYFUNCTION("""COMPUTED_VALUE"""),"08/08/2001")</f>
        <v>08/08/2001</v>
      </c>
      <c r="L2694" s="21" t="str">
        <f>IFERROR(__xludf.DUMMYFUNCTION("""COMPUTED_VALUE"""),"LAKI-LAKI")</f>
        <v>LAKI-LAKI</v>
      </c>
      <c r="M2694" s="35" t="str">
        <f>IFERROR(__xludf.DUMMYFUNCTION("""COMPUTED_VALUE"""),"JL. PADAT KARYA 2")</f>
        <v>JL. PADAT KARYA 2</v>
      </c>
      <c r="N2694" s="35" t="str">
        <f>IFERROR(__xludf.DUMMYFUNCTION("""COMPUTED_VALUE"""),"SUNGAI WIE")</f>
        <v>SUNGAI WIE</v>
      </c>
      <c r="O2694" s="35" t="str">
        <f>IFERROR(__xludf.DUMMYFUNCTION("""COMPUTED_VALUE"""),"SINGKAWANG TENGAH")</f>
        <v>SINGKAWANG TENGAH</v>
      </c>
      <c r="P2694" s="35" t="str">
        <f>IFERROR(__xludf.DUMMYFUNCTION("""COMPUTED_VALUE"""),"KOTA SINGKAWANG")</f>
        <v>KOTA SINGKAWANG</v>
      </c>
      <c r="Q2694" s="35" t="str">
        <f>IFERROR(__xludf.DUMMYFUNCTION("""COMPUTED_VALUE"""),"KALIMANTAN BARAT")</f>
        <v>KALIMANTAN BARAT</v>
      </c>
      <c r="R2694" s="21" t="str">
        <f>IFERROR(__xludf.DUMMYFUNCTION("""COMPUTED_VALUE"""),"PROTESTAN")</f>
        <v>PROTESTAN</v>
      </c>
      <c r="S2694" s="74" t="str">
        <f>IFERROR(__xludf.DUMMYFUNCTION("""COMPUTED_VALUE"""),"WIRASWASTA")</f>
        <v>WIRASWASTA</v>
      </c>
      <c r="T2694" s="35" t="str">
        <f>IFERROR(__xludf.DUMMYFUNCTION("""COMPUTED_VALUE"""),"SAKIT NYERI LUTUT")</f>
        <v>SAKIT NYERI LUTUT</v>
      </c>
      <c r="U2694" s="35" t="str">
        <f>IFERROR(__xludf.DUMMYFUNCTION("""COMPUTED_VALUE"""),"OLAHRAGA FISIK")</f>
        <v>OLAHRAGA FISIK</v>
      </c>
      <c r="V2694" s="37" t="str">
        <f>IFERROR(__xludf.DUMMYFUNCTION("""COMPUTED_VALUE"""),"08989359460")</f>
        <v>08989359460</v>
      </c>
      <c r="W2694" s="45"/>
    </row>
    <row r="2695">
      <c r="A2695" s="45"/>
      <c r="B2695" s="24" t="str">
        <f>IFERROR(__xludf.DUMMYFUNCTION("""COMPUTED_VALUE"""),"04/08/2025 14:32:50")</f>
        <v>04/08/2025 14:32:50</v>
      </c>
      <c r="C2695" s="35"/>
      <c r="D2695" s="10">
        <f>IFERROR(__xludf.DUMMYFUNCTION("""COMPUTED_VALUE"""),45873.0)</f>
        <v>45873</v>
      </c>
      <c r="E2695" s="35" t="str">
        <f>IFERROR(__xludf.DUMMYFUNCTION("""COMPUTED_VALUE"""),"08Agu")</f>
        <v>08Agu</v>
      </c>
      <c r="F2695" s="34" t="str">
        <f>IFERROR(__xludf.DUMMYFUNCTION("""COMPUTED_VALUE"""),"2025")</f>
        <v>2025</v>
      </c>
      <c r="G2695" s="35" t="str">
        <f>IFERROR(__xludf.DUMMYFUNCTION("""COMPUTED_VALUE"""),"HJ. MARIA ULFAH")</f>
        <v>HJ. MARIA ULFAH</v>
      </c>
      <c r="H2695" s="35" t="str">
        <f>IFERROR(__xludf.DUMMYFUNCTION("""COMPUTED_VALUE"""),"H4825087125")</f>
        <v>H4825087125</v>
      </c>
      <c r="I2695" s="35">
        <f>IFERROR(__xludf.DUMMYFUNCTION("""COMPUTED_VALUE"""),78.0)</f>
        <v>78</v>
      </c>
      <c r="J2695" s="35" t="str">
        <f>IFERROR(__xludf.DUMMYFUNCTION("""COMPUTED_VALUE"""),"&gt; 44 tahun")</f>
        <v>&gt; 44 tahun</v>
      </c>
      <c r="K2695" s="21" t="str">
        <f>IFERROR(__xludf.DUMMYFUNCTION("""COMPUTED_VALUE"""),"11/06/1948")</f>
        <v>11/06/1948</v>
      </c>
      <c r="L2695" s="21" t="str">
        <f>IFERROR(__xludf.DUMMYFUNCTION("""COMPUTED_VALUE"""),"PEREMPUAN")</f>
        <v>PEREMPUAN</v>
      </c>
      <c r="M2695" s="35" t="str">
        <f>IFERROR(__xludf.DUMMYFUNCTION("""COMPUTED_VALUE"""),"JL KHW HASYIM GG USAHA II NO 27-C")</f>
        <v>JL KHW HASYIM GG USAHA II NO 27-C</v>
      </c>
      <c r="N2695" s="35" t="str">
        <f>IFERROR(__xludf.DUMMYFUNCTION("""COMPUTED_VALUE"""),"SUNGAI JAWI")</f>
        <v>SUNGAI JAWI</v>
      </c>
      <c r="O2695" s="35" t="str">
        <f>IFERROR(__xludf.DUMMYFUNCTION("""COMPUTED_VALUE"""),"PONTIANAK KOTA")</f>
        <v>PONTIANAK KOTA</v>
      </c>
      <c r="P2695" s="35" t="str">
        <f>IFERROR(__xludf.DUMMYFUNCTION("""COMPUTED_VALUE"""),"KOTA PONTIANAK")</f>
        <v>KOTA PONTIANAK</v>
      </c>
      <c r="Q2695" s="35" t="str">
        <f>IFERROR(__xludf.DUMMYFUNCTION("""COMPUTED_VALUE"""),"KALIMANTAN BARAT")</f>
        <v>KALIMANTAN BARAT</v>
      </c>
      <c r="R2695" s="21" t="str">
        <f>IFERROR(__xludf.DUMMYFUNCTION("""COMPUTED_VALUE"""),"ISLAM")</f>
        <v>ISLAM</v>
      </c>
      <c r="S2695" s="74" t="str">
        <f>IFERROR(__xludf.DUMMYFUNCTION("""COMPUTED_VALUE"""),"RUMAH TANGGA")</f>
        <v>RUMAH TANGGA</v>
      </c>
      <c r="T2695" s="35" t="str">
        <f>IFERROR(__xludf.DUMMYFUNCTION("""COMPUTED_VALUE"""),"TANGAN KIRI DAN KANAN KEBAS")</f>
        <v>TANGAN KIRI DAN KANAN KEBAS</v>
      </c>
      <c r="U2695" s="35" t="str">
        <f>IFERROR(__xludf.DUMMYFUNCTION("""COMPUTED_VALUE"""),"TIDAK ADA")</f>
        <v>TIDAK ADA</v>
      </c>
      <c r="V2695" s="37" t="str">
        <f>IFERROR(__xludf.DUMMYFUNCTION("""COMPUTED_VALUE"""),"085252517125")</f>
        <v>085252517125</v>
      </c>
      <c r="W2695" s="45"/>
    </row>
    <row r="2696">
      <c r="A2696" s="45"/>
      <c r="B2696" s="24" t="str">
        <f>IFERROR(__xludf.DUMMYFUNCTION("""COMPUTED_VALUE"""),"04/08/2025 15:03:06")</f>
        <v>04/08/2025 15:03:06</v>
      </c>
      <c r="C2696" s="35"/>
      <c r="D2696" s="10">
        <f>IFERROR(__xludf.DUMMYFUNCTION("""COMPUTED_VALUE"""),45873.0)</f>
        <v>45873</v>
      </c>
      <c r="E2696" s="35" t="str">
        <f>IFERROR(__xludf.DUMMYFUNCTION("""COMPUTED_VALUE"""),"08Agu")</f>
        <v>08Agu</v>
      </c>
      <c r="F2696" s="34" t="str">
        <f>IFERROR(__xludf.DUMMYFUNCTION("""COMPUTED_VALUE"""),"2025")</f>
        <v>2025</v>
      </c>
      <c r="G2696" s="35" t="str">
        <f>IFERROR(__xludf.DUMMYFUNCTION("""COMPUTED_VALUE"""),"JESSANDRA PUSPARANI")</f>
        <v>JESSANDRA PUSPARANI</v>
      </c>
      <c r="H2696" s="35" t="str">
        <f>IFERROR(__xludf.DUMMYFUNCTION("""COMPUTED_VALUE"""),"J9925081874")</f>
        <v>J9925081874</v>
      </c>
      <c r="I2696" s="35">
        <f>IFERROR(__xludf.DUMMYFUNCTION("""COMPUTED_VALUE"""),26.0)</f>
        <v>26</v>
      </c>
      <c r="J2696" s="35" t="str">
        <f>IFERROR(__xludf.DUMMYFUNCTION("""COMPUTED_VALUE"""),"25-34 tahun")</f>
        <v>25-34 tahun</v>
      </c>
      <c r="K2696" s="21" t="str">
        <f>IFERROR(__xludf.DUMMYFUNCTION("""COMPUTED_VALUE"""),"17/12/1999")</f>
        <v>17/12/1999</v>
      </c>
      <c r="L2696" s="21" t="str">
        <f>IFERROR(__xludf.DUMMYFUNCTION("""COMPUTED_VALUE"""),"PEREMPUAN")</f>
        <v>PEREMPUAN</v>
      </c>
      <c r="M2696" s="35" t="str">
        <f>IFERROR(__xludf.DUMMYFUNCTION("""COMPUTED_VALUE"""),"JALAN. KS. TUBUN NO.10")</f>
        <v>JALAN. KS. TUBUN NO.10</v>
      </c>
      <c r="N2696" s="35" t="str">
        <f>IFERROR(__xludf.DUMMYFUNCTION("""COMPUTED_VALUE"""),"AKCAYA")</f>
        <v>AKCAYA</v>
      </c>
      <c r="O2696" s="35" t="str">
        <f>IFERROR(__xludf.DUMMYFUNCTION("""COMPUTED_VALUE"""),"PONTIANAK SELATAN")</f>
        <v>PONTIANAK SELATAN</v>
      </c>
      <c r="P2696" s="35" t="str">
        <f>IFERROR(__xludf.DUMMYFUNCTION("""COMPUTED_VALUE"""),"KOTA PONTIANAK")</f>
        <v>KOTA PONTIANAK</v>
      </c>
      <c r="Q2696" s="35" t="str">
        <f>IFERROR(__xludf.DUMMYFUNCTION("""COMPUTED_VALUE"""),"KALIMANTAN BARAT")</f>
        <v>KALIMANTAN BARAT</v>
      </c>
      <c r="R2696" s="21" t="str">
        <f>IFERROR(__xludf.DUMMYFUNCTION("""COMPUTED_VALUE"""),"KATOLIK")</f>
        <v>KATOLIK</v>
      </c>
      <c r="S2696" s="74" t="str">
        <f>IFERROR(__xludf.DUMMYFUNCTION("""COMPUTED_VALUE"""),"WIRAUSAHA")</f>
        <v>WIRAUSAHA</v>
      </c>
      <c r="T2696" s="35" t="str">
        <f>IFERROR(__xludf.DUMMYFUNCTION("""COMPUTED_VALUE"""),"BELIKAT KANAN")</f>
        <v>BELIKAT KANAN</v>
      </c>
      <c r="U2696" s="35" t="str">
        <f>IFERROR(__xludf.DUMMYFUNCTION("""COMPUTED_VALUE"""),"TENNIS, GYM")</f>
        <v>TENNIS, GYM</v>
      </c>
      <c r="V2696" s="37" t="str">
        <f>IFERROR(__xludf.DUMMYFUNCTION("""COMPUTED_VALUE"""),"087818181874")</f>
        <v>087818181874</v>
      </c>
      <c r="W2696" s="45"/>
    </row>
    <row r="2697">
      <c r="A2697" s="45"/>
      <c r="B2697" s="24" t="str">
        <f>IFERROR(__xludf.DUMMYFUNCTION("""COMPUTED_VALUE"""),"05/08/2025 8:40:50")</f>
        <v>05/08/2025 8:40:50</v>
      </c>
      <c r="C2697" s="35"/>
      <c r="D2697" s="10">
        <f>IFERROR(__xludf.DUMMYFUNCTION("""COMPUTED_VALUE"""),45874.0)</f>
        <v>45874</v>
      </c>
      <c r="E2697" s="35" t="str">
        <f>IFERROR(__xludf.DUMMYFUNCTION("""COMPUTED_VALUE"""),"08Agu")</f>
        <v>08Agu</v>
      </c>
      <c r="F2697" s="34" t="str">
        <f>IFERROR(__xludf.DUMMYFUNCTION("""COMPUTED_VALUE"""),"2025")</f>
        <v>2025</v>
      </c>
      <c r="G2697" s="35" t="str">
        <f>IFERROR(__xludf.DUMMYFUNCTION("""COMPUTED_VALUE"""),"FLORENSIUS EFRENDI")</f>
        <v>FLORENSIUS EFRENDI</v>
      </c>
      <c r="H2697" s="35" t="str">
        <f>IFERROR(__xludf.DUMMYFUNCTION("""COMPUTED_VALUE"""),"F9125088080")</f>
        <v>F9125088080</v>
      </c>
      <c r="I2697" s="35">
        <f>IFERROR(__xludf.DUMMYFUNCTION("""COMPUTED_VALUE"""),35.0)</f>
        <v>35</v>
      </c>
      <c r="J2697" s="35" t="str">
        <f>IFERROR(__xludf.DUMMYFUNCTION("""COMPUTED_VALUE"""),"35-44 tahun")</f>
        <v>35-44 tahun</v>
      </c>
      <c r="K2697" s="21" t="str">
        <f>IFERROR(__xludf.DUMMYFUNCTION("""COMPUTED_VALUE"""),"14/04/1991")</f>
        <v>14/04/1991</v>
      </c>
      <c r="L2697" s="21" t="str">
        <f>IFERROR(__xludf.DUMMYFUNCTION("""COMPUTED_VALUE"""),"LAKI-LAKI")</f>
        <v>LAKI-LAKI</v>
      </c>
      <c r="M2697" s="35" t="str">
        <f>IFERROR(__xludf.DUMMYFUNCTION("""COMPUTED_VALUE"""),"JALAN M.SAAD GG.BINJAI 1")</f>
        <v>JALAN M.SAAD GG.BINJAI 1</v>
      </c>
      <c r="N2697" s="35" t="str">
        <f>IFERROR(__xludf.DUMMYFUNCTION("""COMPUTED_VALUE"""),"ALAI")</f>
        <v>ALAI</v>
      </c>
      <c r="O2697" s="35" t="str">
        <f>IFERROR(__xludf.DUMMYFUNCTION("""COMPUTED_VALUE"""),"SINTANG")</f>
        <v>SINTANG</v>
      </c>
      <c r="P2697" s="35" t="str">
        <f>IFERROR(__xludf.DUMMYFUNCTION("""COMPUTED_VALUE"""),"SINTANG")</f>
        <v>SINTANG</v>
      </c>
      <c r="Q2697" s="35" t="str">
        <f>IFERROR(__xludf.DUMMYFUNCTION("""COMPUTED_VALUE"""),"KALIMANTAN BARAT")</f>
        <v>KALIMANTAN BARAT</v>
      </c>
      <c r="R2697" s="21" t="str">
        <f>IFERROR(__xludf.DUMMYFUNCTION("""COMPUTED_VALUE"""),"KATOLIK")</f>
        <v>KATOLIK</v>
      </c>
      <c r="S2697" s="74" t="str">
        <f>IFERROR(__xludf.DUMMYFUNCTION("""COMPUTED_VALUE"""),"ASN")</f>
        <v>ASN</v>
      </c>
      <c r="T2697" s="35" t="str">
        <f>IFERROR(__xludf.DUMMYFUNCTION("""COMPUTED_VALUE"""),"TIDAK BISA MENEKUK FULL DAN BERJALAN, SETELAH OPERASI ACL")</f>
        <v>TIDAK BISA MENEKUK FULL DAN BERJALAN, SETELAH OPERASI ACL</v>
      </c>
      <c r="U2697" s="35" t="str">
        <f>IFERROR(__xludf.DUMMYFUNCTION("""COMPUTED_VALUE"""),"MINI SOCCER")</f>
        <v>MINI SOCCER</v>
      </c>
      <c r="V2697" s="37" t="str">
        <f>IFERROR(__xludf.DUMMYFUNCTION("""COMPUTED_VALUE"""),"085389338080")</f>
        <v>085389338080</v>
      </c>
      <c r="W2697" s="45"/>
    </row>
    <row r="2698">
      <c r="A2698" s="45"/>
      <c r="B2698" s="24" t="str">
        <f>IFERROR(__xludf.DUMMYFUNCTION("""COMPUTED_VALUE"""),"05/08/2025 11:07:45")</f>
        <v>05/08/2025 11:07:45</v>
      </c>
      <c r="C2698" s="35"/>
      <c r="D2698" s="10">
        <f>IFERROR(__xludf.DUMMYFUNCTION("""COMPUTED_VALUE"""),45874.0)</f>
        <v>45874</v>
      </c>
      <c r="E2698" s="35" t="str">
        <f>IFERROR(__xludf.DUMMYFUNCTION("""COMPUTED_VALUE"""),"08Agu")</f>
        <v>08Agu</v>
      </c>
      <c r="F2698" s="34" t="str">
        <f>IFERROR(__xludf.DUMMYFUNCTION("""COMPUTED_VALUE"""),"2025")</f>
        <v>2025</v>
      </c>
      <c r="G2698" s="35" t="str">
        <f>IFERROR(__xludf.DUMMYFUNCTION("""COMPUTED_VALUE"""),"SYAHRUL MUNIR")</f>
        <v>SYAHRUL MUNIR</v>
      </c>
      <c r="H2698" s="35" t="str">
        <f>IFERROR(__xludf.DUMMYFUNCTION("""COMPUTED_VALUE"""),"S8225088794")</f>
        <v>S8225088794</v>
      </c>
      <c r="I2698" s="35">
        <f>IFERROR(__xludf.DUMMYFUNCTION("""COMPUTED_VALUE"""),43.0)</f>
        <v>43</v>
      </c>
      <c r="J2698" s="35" t="str">
        <f>IFERROR(__xludf.DUMMYFUNCTION("""COMPUTED_VALUE"""),"35-44 tahun")</f>
        <v>35-44 tahun</v>
      </c>
      <c r="K2698" s="21" t="str">
        <f>IFERROR(__xludf.DUMMYFUNCTION("""COMPUTED_VALUE"""),"01/10/1982")</f>
        <v>01/10/1982</v>
      </c>
      <c r="L2698" s="21" t="str">
        <f>IFERROR(__xludf.DUMMYFUNCTION("""COMPUTED_VALUE"""),"LAKI-LAKI")</f>
        <v>LAKI-LAKI</v>
      </c>
      <c r="M2698" s="35" t="str">
        <f>IFERROR(__xludf.DUMMYFUNCTION("""COMPUTED_VALUE"""),"JL SUKA MULIA KOMP SUKMA MANSION NO 15A")</f>
        <v>JL SUKA MULIA KOMP SUKMA MANSION NO 15A</v>
      </c>
      <c r="N2698" s="35" t="str">
        <f>IFERROR(__xludf.DUMMYFUNCTION("""COMPUTED_VALUE"""),"SUNGAI JAWI")</f>
        <v>SUNGAI JAWI</v>
      </c>
      <c r="O2698" s="35" t="str">
        <f>IFERROR(__xludf.DUMMYFUNCTION("""COMPUTED_VALUE"""),"PONTIANAK KOTA")</f>
        <v>PONTIANAK KOTA</v>
      </c>
      <c r="P2698" s="35" t="str">
        <f>IFERROR(__xludf.DUMMYFUNCTION("""COMPUTED_VALUE"""),"KOTA PONTIANAK")</f>
        <v>KOTA PONTIANAK</v>
      </c>
      <c r="Q2698" s="35" t="str">
        <f>IFERROR(__xludf.DUMMYFUNCTION("""COMPUTED_VALUE"""),"KALIMANTAN BARAT")</f>
        <v>KALIMANTAN BARAT</v>
      </c>
      <c r="R2698" s="21" t="str">
        <f>IFERROR(__xludf.DUMMYFUNCTION("""COMPUTED_VALUE"""),"ISLAM")</f>
        <v>ISLAM</v>
      </c>
      <c r="S2698" s="74" t="str">
        <f>IFERROR(__xludf.DUMMYFUNCTION("""COMPUTED_VALUE"""),"KARYAWAN SWASTA")</f>
        <v>KARYAWAN SWASTA</v>
      </c>
      <c r="T2698" s="35" t="str">
        <f>IFERROR(__xludf.DUMMYFUNCTION("""COMPUTED_VALUE"""),"SAKIT LUTUT")</f>
        <v>SAKIT LUTUT</v>
      </c>
      <c r="U2698" s="35" t="str">
        <f>IFERROR(__xludf.DUMMYFUNCTION("""COMPUTED_VALUE"""),"MINI SOCCER")</f>
        <v>MINI SOCCER</v>
      </c>
      <c r="V2698" s="37" t="str">
        <f>IFERROR(__xludf.DUMMYFUNCTION("""COMPUTED_VALUE"""),"08115718794")</f>
        <v>08115718794</v>
      </c>
      <c r="W2698" s="45"/>
    </row>
    <row r="2699">
      <c r="A2699" s="45"/>
      <c r="B2699" s="24" t="str">
        <f>IFERROR(__xludf.DUMMYFUNCTION("""COMPUTED_VALUE"""),"05/08/2025 12:13:56")</f>
        <v>05/08/2025 12:13:56</v>
      </c>
      <c r="C2699" s="35"/>
      <c r="D2699" s="10">
        <f>IFERROR(__xludf.DUMMYFUNCTION("""COMPUTED_VALUE"""),45874.0)</f>
        <v>45874</v>
      </c>
      <c r="E2699" s="35" t="str">
        <f>IFERROR(__xludf.DUMMYFUNCTION("""COMPUTED_VALUE"""),"08Agu")</f>
        <v>08Agu</v>
      </c>
      <c r="F2699" s="34" t="str">
        <f>IFERROR(__xludf.DUMMYFUNCTION("""COMPUTED_VALUE"""),"2025")</f>
        <v>2025</v>
      </c>
      <c r="G2699" s="35" t="str">
        <f>IFERROR(__xludf.DUMMYFUNCTION("""COMPUTED_VALUE"""),"VIONY FRANSISKA")</f>
        <v>VIONY FRANSISKA</v>
      </c>
      <c r="H2699" s="35" t="str">
        <f>IFERROR(__xludf.DUMMYFUNCTION("""COMPUTED_VALUE"""),"V0225082178")</f>
        <v>V0225082178</v>
      </c>
      <c r="I2699" s="35">
        <f>IFERROR(__xludf.DUMMYFUNCTION("""COMPUTED_VALUE"""),23.0)</f>
        <v>23</v>
      </c>
      <c r="J2699" s="35" t="str">
        <f>IFERROR(__xludf.DUMMYFUNCTION("""COMPUTED_VALUE"""),"18-24 tahun")</f>
        <v>18-24 tahun</v>
      </c>
      <c r="K2699" s="21" t="str">
        <f>IFERROR(__xludf.DUMMYFUNCTION("""COMPUTED_VALUE"""),"26/12/2002")</f>
        <v>26/12/2002</v>
      </c>
      <c r="L2699" s="21" t="str">
        <f>IFERROR(__xludf.DUMMYFUNCTION("""COMPUTED_VALUE"""),"PEREMPUAN")</f>
        <v>PEREMPUAN</v>
      </c>
      <c r="M2699" s="35" t="str">
        <f>IFERROR(__xludf.DUMMYFUNCTION("""COMPUTED_VALUE"""),"JL LINGKAR SELATAN NO 8")</f>
        <v>JL LINGKAR SELATAN NO 8</v>
      </c>
      <c r="N2699" s="35" t="str">
        <f>IFERROR(__xludf.DUMMYFUNCTION("""COMPUTED_VALUE"""),"BOJONG")</f>
        <v>BOJONG</v>
      </c>
      <c r="O2699" s="35" t="str">
        <f>IFERROR(__xludf.DUMMYFUNCTION("""COMPUTED_VALUE"""),"KARANG TENGAH")</f>
        <v>KARANG TENGAH</v>
      </c>
      <c r="P2699" s="35" t="str">
        <f>IFERROR(__xludf.DUMMYFUNCTION("""COMPUTED_VALUE"""),"CIANJUR")</f>
        <v>CIANJUR</v>
      </c>
      <c r="Q2699" s="35" t="str">
        <f>IFERROR(__xludf.DUMMYFUNCTION("""COMPUTED_VALUE"""),"JAWA BARAT")</f>
        <v>JAWA BARAT</v>
      </c>
      <c r="R2699" s="21" t="str">
        <f>IFERROR(__xludf.DUMMYFUNCTION("""COMPUTED_VALUE"""),"KATOLIK")</f>
        <v>KATOLIK</v>
      </c>
      <c r="S2699" s="74" t="str">
        <f>IFERROR(__xludf.DUMMYFUNCTION("""COMPUTED_VALUE"""),"MAHASISWA")</f>
        <v>MAHASISWA</v>
      </c>
      <c r="T2699" s="35" t="str">
        <f>IFERROR(__xludf.DUMMYFUNCTION("""COMPUTED_VALUE"""),"LEHER TEGANG, GAK BISA SITUP LURUS (NUNPU KE KANAN)")</f>
        <v>LEHER TEGANG, GAK BISA SITUP LURUS (NUNPU KE KANAN)</v>
      </c>
      <c r="U2699" s="35" t="str">
        <f>IFERROR(__xludf.DUMMYFUNCTION("""COMPUTED_VALUE"""),"GAK TAU")</f>
        <v>GAK TAU</v>
      </c>
      <c r="V2699" s="37" t="str">
        <f>IFERROR(__xludf.DUMMYFUNCTION("""COMPUTED_VALUE"""),"087777432178")</f>
        <v>087777432178</v>
      </c>
      <c r="W2699" s="45"/>
    </row>
    <row r="2700">
      <c r="A2700" s="45"/>
      <c r="B2700" s="24" t="str">
        <f>IFERROR(__xludf.DUMMYFUNCTION("""COMPUTED_VALUE"""),"05/08/2025 16:41:15")</f>
        <v>05/08/2025 16:41:15</v>
      </c>
      <c r="C2700" s="35"/>
      <c r="D2700" s="10">
        <f>IFERROR(__xludf.DUMMYFUNCTION("""COMPUTED_VALUE"""),45874.0)</f>
        <v>45874</v>
      </c>
      <c r="E2700" s="35" t="str">
        <f>IFERROR(__xludf.DUMMYFUNCTION("""COMPUTED_VALUE"""),"08Agu")</f>
        <v>08Agu</v>
      </c>
      <c r="F2700" s="34" t="str">
        <f>IFERROR(__xludf.DUMMYFUNCTION("""COMPUTED_VALUE"""),"2025")</f>
        <v>2025</v>
      </c>
      <c r="G2700" s="35" t="str">
        <f>IFERROR(__xludf.DUMMYFUNCTION("""COMPUTED_VALUE"""),"JANNUAR WIN")</f>
        <v>JANNUAR WIN</v>
      </c>
      <c r="H2700" s="35" t="str">
        <f>IFERROR(__xludf.DUMMYFUNCTION("""COMPUTED_VALUE"""),"J8725080200")</f>
        <v>J8725080200</v>
      </c>
      <c r="I2700" s="35">
        <f>IFERROR(__xludf.DUMMYFUNCTION("""COMPUTED_VALUE"""),39.0)</f>
        <v>39</v>
      </c>
      <c r="J2700" s="35" t="str">
        <f>IFERROR(__xludf.DUMMYFUNCTION("""COMPUTED_VALUE"""),"35-44 tahun")</f>
        <v>35-44 tahun</v>
      </c>
      <c r="K2700" s="21" t="str">
        <f>IFERROR(__xludf.DUMMYFUNCTION("""COMPUTED_VALUE"""),"24/01/1987")</f>
        <v>24/01/1987</v>
      </c>
      <c r="L2700" s="21" t="str">
        <f>IFERROR(__xludf.DUMMYFUNCTION("""COMPUTED_VALUE"""),"LAKI-LAKI")</f>
        <v>LAKI-LAKI</v>
      </c>
      <c r="M2700" s="35" t="str">
        <f>IFERROR(__xludf.DUMMYFUNCTION("""COMPUTED_VALUE"""),"JL CHAIRIL ANWAR NO 54")</f>
        <v>JL CHAIRIL ANWAR NO 54</v>
      </c>
      <c r="N2700" s="35" t="str">
        <f>IFERROR(__xludf.DUMMYFUNCTION("""COMPUTED_VALUE"""),"BENUA MELAYU DARAT")</f>
        <v>BENUA MELAYU DARAT</v>
      </c>
      <c r="O2700" s="35" t="str">
        <f>IFERROR(__xludf.DUMMYFUNCTION("""COMPUTED_VALUE"""),"PONTIANAK SELATAN")</f>
        <v>PONTIANAK SELATAN</v>
      </c>
      <c r="P2700" s="35" t="str">
        <f>IFERROR(__xludf.DUMMYFUNCTION("""COMPUTED_VALUE"""),"PONTIANAK")</f>
        <v>PONTIANAK</v>
      </c>
      <c r="Q2700" s="35" t="str">
        <f>IFERROR(__xludf.DUMMYFUNCTION("""COMPUTED_VALUE"""),"KALIMANTAN BARAT")</f>
        <v>KALIMANTAN BARAT</v>
      </c>
      <c r="R2700" s="21" t="str">
        <f>IFERROR(__xludf.DUMMYFUNCTION("""COMPUTED_VALUE"""),"KHONGHUCU")</f>
        <v>KHONGHUCU</v>
      </c>
      <c r="S2700" s="74" t="str">
        <f>IFERROR(__xludf.DUMMYFUNCTION("""COMPUTED_VALUE"""),"SWASTA")</f>
        <v>SWASTA</v>
      </c>
      <c r="T2700" s="35" t="str">
        <f>IFERROR(__xludf.DUMMYFUNCTION("""COMPUTED_VALUE"""),"SAKIT PINGGANG")</f>
        <v>SAKIT PINGGANG</v>
      </c>
      <c r="U2700" s="35" t="str">
        <f>IFERROR(__xludf.DUMMYFUNCTION("""COMPUTED_VALUE"""),"KERJAAN")</f>
        <v>KERJAAN</v>
      </c>
      <c r="V2700" s="37" t="str">
        <f>IFERROR(__xludf.DUMMYFUNCTION("""COMPUTED_VALUE"""),"082154720200")</f>
        <v>082154720200</v>
      </c>
      <c r="W2700" s="45"/>
    </row>
    <row r="2701">
      <c r="A2701" s="45"/>
      <c r="B2701" s="24" t="str">
        <f>IFERROR(__xludf.DUMMYFUNCTION("""COMPUTED_VALUE"""),"05/08/2025 20:48:10")</f>
        <v>05/08/2025 20:48:10</v>
      </c>
      <c r="C2701" s="35"/>
      <c r="D2701" s="10">
        <f>IFERROR(__xludf.DUMMYFUNCTION("""COMPUTED_VALUE"""),45874.0)</f>
        <v>45874</v>
      </c>
      <c r="E2701" s="35" t="str">
        <f>IFERROR(__xludf.DUMMYFUNCTION("""COMPUTED_VALUE"""),"08Agu")</f>
        <v>08Agu</v>
      </c>
      <c r="F2701" s="34" t="str">
        <f>IFERROR(__xludf.DUMMYFUNCTION("""COMPUTED_VALUE"""),"2025")</f>
        <v>2025</v>
      </c>
      <c r="G2701" s="35" t="str">
        <f>IFERROR(__xludf.DUMMYFUNCTION("""COMPUTED_VALUE"""),"MARIVA")</f>
        <v>MARIVA</v>
      </c>
      <c r="H2701" s="35" t="str">
        <f>IFERROR(__xludf.DUMMYFUNCTION("""COMPUTED_VALUE"""),"M7925080330")</f>
        <v>M7925080330</v>
      </c>
      <c r="I2701" s="35">
        <f>IFERROR(__xludf.DUMMYFUNCTION("""COMPUTED_VALUE"""),46.0)</f>
        <v>46</v>
      </c>
      <c r="J2701" s="35" t="str">
        <f>IFERROR(__xludf.DUMMYFUNCTION("""COMPUTED_VALUE"""),"&gt; 44 tahun")</f>
        <v>&gt; 44 tahun</v>
      </c>
      <c r="K2701" s="21" t="str">
        <f>IFERROR(__xludf.DUMMYFUNCTION("""COMPUTED_VALUE"""),"23/06/1979")</f>
        <v>23/06/1979</v>
      </c>
      <c r="L2701" s="21" t="str">
        <f>IFERROR(__xludf.DUMMYFUNCTION("""COMPUTED_VALUE"""),"PEREMPUAN")</f>
        <v>PEREMPUAN</v>
      </c>
      <c r="M2701" s="35" t="str">
        <f>IFERROR(__xludf.DUMMYFUNCTION("""COMPUTED_VALUE"""),"JALAN SURYA GANG SURYA JINGGA NO 27")</f>
        <v>JALAN SURYA GANG SURYA JINGGA NO 27</v>
      </c>
      <c r="N2701" s="35" t="str">
        <f>IFERROR(__xludf.DUMMYFUNCTION("""COMPUTED_VALUE"""),"AKCAYA")</f>
        <v>AKCAYA</v>
      </c>
      <c r="O2701" s="35" t="str">
        <f>IFERROR(__xludf.DUMMYFUNCTION("""COMPUTED_VALUE"""),"PONTIANAK SELATAN")</f>
        <v>PONTIANAK SELATAN</v>
      </c>
      <c r="P2701" s="35" t="str">
        <f>IFERROR(__xludf.DUMMYFUNCTION("""COMPUTED_VALUE"""),"KOTA PONTIANAK")</f>
        <v>KOTA PONTIANAK</v>
      </c>
      <c r="Q2701" s="35" t="str">
        <f>IFERROR(__xludf.DUMMYFUNCTION("""COMPUTED_VALUE"""),"KALIMANTAN BARAT")</f>
        <v>KALIMANTAN BARAT</v>
      </c>
      <c r="R2701" s="21" t="str">
        <f>IFERROR(__xludf.DUMMYFUNCTION("""COMPUTED_VALUE"""),"KATOLIK")</f>
        <v>KATOLIK</v>
      </c>
      <c r="S2701" s="74" t="str">
        <f>IFERROR(__xludf.DUMMYFUNCTION("""COMPUTED_VALUE"""),"IBU RUMAH TANGGA")</f>
        <v>IBU RUMAH TANGGA</v>
      </c>
      <c r="T2701" s="35" t="str">
        <f>IFERROR(__xludf.DUMMYFUNCTION("""COMPUTED_VALUE"""),"LUTUT")</f>
        <v>LUTUT</v>
      </c>
      <c r="U2701" s="35" t="str">
        <f>IFERROR(__xludf.DUMMYFUNCTION("""COMPUTED_VALUE"""),"-")</f>
        <v>-</v>
      </c>
      <c r="V2701" s="37" t="str">
        <f>IFERROR(__xludf.DUMMYFUNCTION("""COMPUTED_VALUE"""),"08990000330")</f>
        <v>08990000330</v>
      </c>
      <c r="W2701" s="45"/>
    </row>
    <row r="2702">
      <c r="A2702" s="45"/>
      <c r="B2702" s="24" t="str">
        <f>IFERROR(__xludf.DUMMYFUNCTION("""COMPUTED_VALUE"""),"06/08/2025 9:14:09")</f>
        <v>06/08/2025 9:14:09</v>
      </c>
      <c r="C2702" s="35"/>
      <c r="D2702" s="10">
        <f>IFERROR(__xludf.DUMMYFUNCTION("""COMPUTED_VALUE"""),45875.0)</f>
        <v>45875</v>
      </c>
      <c r="E2702" s="35" t="str">
        <f>IFERROR(__xludf.DUMMYFUNCTION("""COMPUTED_VALUE"""),"08Agu")</f>
        <v>08Agu</v>
      </c>
      <c r="F2702" s="34" t="str">
        <f>IFERROR(__xludf.DUMMYFUNCTION("""COMPUTED_VALUE"""),"2025")</f>
        <v>2025</v>
      </c>
      <c r="G2702" s="35" t="str">
        <f>IFERROR(__xludf.DUMMYFUNCTION("""COMPUTED_VALUE"""),"VINI KURNIA NINGSIH")</f>
        <v>VINI KURNIA NINGSIH</v>
      </c>
      <c r="H2702" s="35" t="str">
        <f>IFERROR(__xludf.DUMMYFUNCTION("""COMPUTED_VALUE"""),"V9425088267")</f>
        <v>V9425088267</v>
      </c>
      <c r="I2702" s="35">
        <f>IFERROR(__xludf.DUMMYFUNCTION("""COMPUTED_VALUE"""),31.0)</f>
        <v>31</v>
      </c>
      <c r="J2702" s="35" t="str">
        <f>IFERROR(__xludf.DUMMYFUNCTION("""COMPUTED_VALUE"""),"25-34 tahun")</f>
        <v>25-34 tahun</v>
      </c>
      <c r="K2702" s="21" t="str">
        <f>IFERROR(__xludf.DUMMYFUNCTION("""COMPUTED_VALUE"""),"22/11/1994")</f>
        <v>22/11/1994</v>
      </c>
      <c r="L2702" s="21" t="str">
        <f>IFERROR(__xludf.DUMMYFUNCTION("""COMPUTED_VALUE"""),"PEREMPUAN")</f>
        <v>PEREMPUAN</v>
      </c>
      <c r="M2702" s="35" t="str">
        <f>IFERROR(__xludf.DUMMYFUNCTION("""COMPUTED_VALUE"""),"JALAN PELABUHAN RAKYAT GG KARYA TANI 2 JALUR 3 NO 7")</f>
        <v>JALAN PELABUHAN RAKYAT GG KARYA TANI 2 JALUR 3 NO 7</v>
      </c>
      <c r="N2702" s="35" t="str">
        <f>IFERROR(__xludf.DUMMYFUNCTION("""COMPUTED_VALUE"""),"SUNGAI BELIUNG")</f>
        <v>SUNGAI BELIUNG</v>
      </c>
      <c r="O2702" s="35" t="str">
        <f>IFERROR(__xludf.DUMMYFUNCTION("""COMPUTED_VALUE"""),"PONTIANAK BARAT")</f>
        <v>PONTIANAK BARAT</v>
      </c>
      <c r="P2702" s="35" t="str">
        <f>IFERROR(__xludf.DUMMYFUNCTION("""COMPUTED_VALUE"""),"PONTIANAK")</f>
        <v>PONTIANAK</v>
      </c>
      <c r="Q2702" s="35" t="str">
        <f>IFERROR(__xludf.DUMMYFUNCTION("""COMPUTED_VALUE"""),"KALIMANTAN BARAT")</f>
        <v>KALIMANTAN BARAT</v>
      </c>
      <c r="R2702" s="21" t="str">
        <f>IFERROR(__xludf.DUMMYFUNCTION("""COMPUTED_VALUE"""),"ISLAM")</f>
        <v>ISLAM</v>
      </c>
      <c r="S2702" s="74" t="str">
        <f>IFERROR(__xludf.DUMMYFUNCTION("""COMPUTED_VALUE"""),"PNS")</f>
        <v>PNS</v>
      </c>
      <c r="T2702" s="35" t="str">
        <f>IFERROR(__xludf.DUMMYFUNCTION("""COMPUTED_VALUE"""),"OTOT WAJAH SEBELAH KIRI KAKU, MATA TIDAK BISA DI PEJAMKAN, KELUAR AIR TERUS, NYERI BELAKANG TELINGA, HILANG INDERA PERASA, KALAU SENYUM ATAU KETAWA WAJAH TIDAK SINKRON")</f>
        <v>OTOT WAJAH SEBELAH KIRI KAKU, MATA TIDAK BISA DI PEJAMKAN, KELUAR AIR TERUS, NYERI BELAKANG TELINGA, HILANG INDERA PERASA, KALAU SENYUM ATAU KETAWA WAJAH TIDAK SINKRON</v>
      </c>
      <c r="U2702" s="35" t="str">
        <f>IFERROR(__xludf.DUMMYFUNCTION("""COMPUTED_VALUE"""),"-")</f>
        <v>-</v>
      </c>
      <c r="V2702" s="37" t="str">
        <f>IFERROR(__xludf.DUMMYFUNCTION("""COMPUTED_VALUE"""),"085348558267")</f>
        <v>085348558267</v>
      </c>
      <c r="W2702" s="45"/>
    </row>
    <row r="2703">
      <c r="A2703" s="45"/>
      <c r="B2703" s="24" t="str">
        <f>IFERROR(__xludf.DUMMYFUNCTION("""COMPUTED_VALUE"""),"06/08/2025 10:30:42")</f>
        <v>06/08/2025 10:30:42</v>
      </c>
      <c r="C2703" s="35"/>
      <c r="D2703" s="10">
        <f>IFERROR(__xludf.DUMMYFUNCTION("""COMPUTED_VALUE"""),45875.0)</f>
        <v>45875</v>
      </c>
      <c r="E2703" s="35" t="str">
        <f>IFERROR(__xludf.DUMMYFUNCTION("""COMPUTED_VALUE"""),"08Agu")</f>
        <v>08Agu</v>
      </c>
      <c r="F2703" s="34" t="str">
        <f>IFERROR(__xludf.DUMMYFUNCTION("""COMPUTED_VALUE"""),"2025")</f>
        <v>2025</v>
      </c>
      <c r="G2703" s="35" t="str">
        <f>IFERROR(__xludf.DUMMYFUNCTION("""COMPUTED_VALUE"""),"FELIX LUTHER DITYADI")</f>
        <v>FELIX LUTHER DITYADI</v>
      </c>
      <c r="H2703" s="35" t="str">
        <f>IFERROR(__xludf.DUMMYFUNCTION("""COMPUTED_VALUE"""),"F0325086499")</f>
        <v>F0325086499</v>
      </c>
      <c r="I2703" s="35">
        <f>IFERROR(__xludf.DUMMYFUNCTION("""COMPUTED_VALUE"""),23.0)</f>
        <v>23</v>
      </c>
      <c r="J2703" s="35" t="str">
        <f>IFERROR(__xludf.DUMMYFUNCTION("""COMPUTED_VALUE"""),"18-24 tahun")</f>
        <v>18-24 tahun</v>
      </c>
      <c r="K2703" s="21" t="str">
        <f>IFERROR(__xludf.DUMMYFUNCTION("""COMPUTED_VALUE"""),"02/05/2003")</f>
        <v>02/05/2003</v>
      </c>
      <c r="L2703" s="21" t="str">
        <f>IFERROR(__xludf.DUMMYFUNCTION("""COMPUTED_VALUE"""),"LAKI-LAKI")</f>
        <v>LAKI-LAKI</v>
      </c>
      <c r="M2703" s="35" t="str">
        <f>IFERROR(__xludf.DUMMYFUNCTION("""COMPUTED_VALUE"""),"DESA PLOSO")</f>
        <v>DESA PLOSO</v>
      </c>
      <c r="N2703" s="35" t="str">
        <f>IFERROR(__xludf.DUMMYFUNCTION("""COMPUTED_VALUE"""),"PLOSO")</f>
        <v>PLOSO</v>
      </c>
      <c r="O2703" s="35" t="str">
        <f>IFERROR(__xludf.DUMMYFUNCTION("""COMPUTED_VALUE"""),"JATI")</f>
        <v>JATI</v>
      </c>
      <c r="P2703" s="35" t="str">
        <f>IFERROR(__xludf.DUMMYFUNCTION("""COMPUTED_VALUE"""),"KUDUS")</f>
        <v>KUDUS</v>
      </c>
      <c r="Q2703" s="35" t="str">
        <f>IFERROR(__xludf.DUMMYFUNCTION("""COMPUTED_VALUE"""),"JAWA TENGAH")</f>
        <v>JAWA TENGAH</v>
      </c>
      <c r="R2703" s="21" t="str">
        <f>IFERROR(__xludf.DUMMYFUNCTION("""COMPUTED_VALUE"""),"PROTESTAN")</f>
        <v>PROTESTAN</v>
      </c>
      <c r="S2703" s="74" t="str">
        <f>IFERROR(__xludf.DUMMYFUNCTION("""COMPUTED_VALUE"""),"MAHASISWA")</f>
        <v>MAHASISWA</v>
      </c>
      <c r="T2703" s="35" t="str">
        <f>IFERROR(__xludf.DUMMYFUNCTION("""COMPUTED_VALUE"""),"SELANGKANGAN KANAN KETARIK")</f>
        <v>SELANGKANGAN KANAN KETARIK</v>
      </c>
      <c r="U2703" s="35" t="str">
        <f>IFERROR(__xludf.DUMMYFUNCTION("""COMPUTED_VALUE"""),"BASKET")</f>
        <v>BASKET</v>
      </c>
      <c r="V2703" s="37" t="str">
        <f>IFERROR(__xludf.DUMMYFUNCTION("""COMPUTED_VALUE"""),"088239176499")</f>
        <v>088239176499</v>
      </c>
      <c r="W2703" s="45"/>
    </row>
    <row r="2704">
      <c r="A2704" s="45"/>
      <c r="B2704" s="24" t="str">
        <f>IFERROR(__xludf.DUMMYFUNCTION("""COMPUTED_VALUE"""),"06/08/2025 12:07:53")</f>
        <v>06/08/2025 12:07:53</v>
      </c>
      <c r="C2704" s="35"/>
      <c r="D2704" s="10">
        <f>IFERROR(__xludf.DUMMYFUNCTION("""COMPUTED_VALUE"""),45875.0)</f>
        <v>45875</v>
      </c>
      <c r="E2704" s="35" t="str">
        <f>IFERROR(__xludf.DUMMYFUNCTION("""COMPUTED_VALUE"""),"08Agu")</f>
        <v>08Agu</v>
      </c>
      <c r="F2704" s="34" t="str">
        <f>IFERROR(__xludf.DUMMYFUNCTION("""COMPUTED_VALUE"""),"2025")</f>
        <v>2025</v>
      </c>
      <c r="G2704" s="35" t="str">
        <f>IFERROR(__xludf.DUMMYFUNCTION("""COMPUTED_VALUE"""),"YUBANADI")</f>
        <v>YUBANADI</v>
      </c>
      <c r="H2704" s="35" t="str">
        <f>IFERROR(__xludf.DUMMYFUNCTION("""COMPUTED_VALUE"""),"Y5125088477")</f>
        <v>Y5125088477</v>
      </c>
      <c r="I2704" s="35">
        <f>IFERROR(__xludf.DUMMYFUNCTION("""COMPUTED_VALUE"""),75.0)</f>
        <v>75</v>
      </c>
      <c r="J2704" s="35" t="str">
        <f>IFERROR(__xludf.DUMMYFUNCTION("""COMPUTED_VALUE"""),"&gt; 44 tahun")</f>
        <v>&gt; 44 tahun</v>
      </c>
      <c r="K2704" s="21" t="str">
        <f>IFERROR(__xludf.DUMMYFUNCTION("""COMPUTED_VALUE"""),"29/04/1951")</f>
        <v>29/04/1951</v>
      </c>
      <c r="L2704" s="21" t="str">
        <f>IFERROR(__xludf.DUMMYFUNCTION("""COMPUTED_VALUE"""),"LAKI-LAKI")</f>
        <v>LAKI-LAKI</v>
      </c>
      <c r="M2704" s="35" t="str">
        <f>IFERROR(__xludf.DUMMYFUNCTION("""COMPUTED_VALUE"""),"JL BUKIT BARISAN NO 12")</f>
        <v>JL BUKIT BARISAN NO 12</v>
      </c>
      <c r="N2704" s="35" t="str">
        <f>IFERROR(__xludf.DUMMYFUNCTION("""COMPUTED_VALUE"""),"SUNGAI JAWI")</f>
        <v>SUNGAI JAWI</v>
      </c>
      <c r="O2704" s="35" t="str">
        <f>IFERROR(__xludf.DUMMYFUNCTION("""COMPUTED_VALUE"""),"PONTIANAK KOTA")</f>
        <v>PONTIANAK KOTA</v>
      </c>
      <c r="P2704" s="35" t="str">
        <f>IFERROR(__xludf.DUMMYFUNCTION("""COMPUTED_VALUE"""),"KOTA PONTIANAK")</f>
        <v>KOTA PONTIANAK</v>
      </c>
      <c r="Q2704" s="35" t="str">
        <f>IFERROR(__xludf.DUMMYFUNCTION("""COMPUTED_VALUE"""),"KALIMANTAN BARAT")</f>
        <v>KALIMANTAN BARAT</v>
      </c>
      <c r="R2704" s="21" t="str">
        <f>IFERROR(__xludf.DUMMYFUNCTION("""COMPUTED_VALUE"""),"ISLAM")</f>
        <v>ISLAM</v>
      </c>
      <c r="S2704" s="74" t="str">
        <f>IFERROR(__xludf.DUMMYFUNCTION("""COMPUTED_VALUE"""),"PENSIUNAN PLN")</f>
        <v>PENSIUNAN PLN</v>
      </c>
      <c r="T2704" s="35" t="str">
        <f>IFERROR(__xludf.DUMMYFUNCTION("""COMPUTED_VALUE"""),"STROKE SEBELAH KANAN")</f>
        <v>STROKE SEBELAH KANAN</v>
      </c>
      <c r="U2704" s="35" t="str">
        <f>IFERROR(__xludf.DUMMYFUNCTION("""COMPUTED_VALUE"""),"TIDAK ADA")</f>
        <v>TIDAK ADA</v>
      </c>
      <c r="V2704" s="37" t="str">
        <f>IFERROR(__xludf.DUMMYFUNCTION("""COMPUTED_VALUE"""),"082177748477")</f>
        <v>082177748477</v>
      </c>
      <c r="W2704" s="45"/>
    </row>
    <row r="2705">
      <c r="A2705" s="45"/>
      <c r="B2705" s="24" t="str">
        <f>IFERROR(__xludf.DUMMYFUNCTION("""COMPUTED_VALUE"""),"06/08/2025 12:17:41")</f>
        <v>06/08/2025 12:17:41</v>
      </c>
      <c r="C2705" s="35"/>
      <c r="D2705" s="10">
        <f>IFERROR(__xludf.DUMMYFUNCTION("""COMPUTED_VALUE"""),45875.0)</f>
        <v>45875</v>
      </c>
      <c r="E2705" s="35" t="str">
        <f>IFERROR(__xludf.DUMMYFUNCTION("""COMPUTED_VALUE"""),"08Agu")</f>
        <v>08Agu</v>
      </c>
      <c r="F2705" s="34" t="str">
        <f>IFERROR(__xludf.DUMMYFUNCTION("""COMPUTED_VALUE"""),"2025")</f>
        <v>2025</v>
      </c>
      <c r="G2705" s="35" t="str">
        <f>IFERROR(__xludf.DUMMYFUNCTION("""COMPUTED_VALUE"""),"SUSY IRAWATY, NG")</f>
        <v>SUSY IRAWATY, NG</v>
      </c>
      <c r="H2705" s="35" t="str">
        <f>IFERROR(__xludf.DUMMYFUNCTION("""COMPUTED_VALUE"""),"S5825088319")</f>
        <v>S5825088319</v>
      </c>
      <c r="I2705" s="35">
        <f>IFERROR(__xludf.DUMMYFUNCTION("""COMPUTED_VALUE"""),68.0)</f>
        <v>68</v>
      </c>
      <c r="J2705" s="35" t="str">
        <f>IFERROR(__xludf.DUMMYFUNCTION("""COMPUTED_VALUE"""),"&gt; 44 tahun")</f>
        <v>&gt; 44 tahun</v>
      </c>
      <c r="K2705" s="21" t="str">
        <f>IFERROR(__xludf.DUMMYFUNCTION("""COMPUTED_VALUE"""),"23/03/1958")</f>
        <v>23/03/1958</v>
      </c>
      <c r="L2705" s="21" t="str">
        <f>IFERROR(__xludf.DUMMYFUNCTION("""COMPUTED_VALUE"""),"PEREMPUAN")</f>
        <v>PEREMPUAN</v>
      </c>
      <c r="M2705" s="35" t="str">
        <f>IFERROR(__xludf.DUMMYFUNCTION("""COMPUTED_VALUE"""),"JL.K.S.TUBUN 42")</f>
        <v>JL.K.S.TUBUN 42</v>
      </c>
      <c r="N2705" s="35" t="str">
        <f>IFERROR(__xludf.DUMMYFUNCTION("""COMPUTED_VALUE"""),"AKCAYA")</f>
        <v>AKCAYA</v>
      </c>
      <c r="O2705" s="35" t="str">
        <f>IFERROR(__xludf.DUMMYFUNCTION("""COMPUTED_VALUE"""),"PONTIANAK SELATAN")</f>
        <v>PONTIANAK SELATAN</v>
      </c>
      <c r="P2705" s="35" t="str">
        <f>IFERROR(__xludf.DUMMYFUNCTION("""COMPUTED_VALUE"""),"KOTA PONTIANAK")</f>
        <v>KOTA PONTIANAK</v>
      </c>
      <c r="Q2705" s="35" t="str">
        <f>IFERROR(__xludf.DUMMYFUNCTION("""COMPUTED_VALUE"""),"KALIMANTAN BARAT")</f>
        <v>KALIMANTAN BARAT</v>
      </c>
      <c r="R2705" s="21" t="str">
        <f>IFERROR(__xludf.DUMMYFUNCTION("""COMPUTED_VALUE"""),"KATOLIK")</f>
        <v>KATOLIK</v>
      </c>
      <c r="S2705" s="74" t="str">
        <f>IFERROR(__xludf.DUMMYFUNCTION("""COMPUTED_VALUE"""),"RUMAH TANGGA")</f>
        <v>RUMAH TANGGA</v>
      </c>
      <c r="T2705" s="35" t="str">
        <f>IFERROR(__xludf.DUMMYFUNCTION("""COMPUTED_VALUE"""),"TANGAN KIRI, JARI KANAN DAN PAHA KIRI")</f>
        <v>TANGAN KIRI, JARI KANAN DAN PAHA KIRI</v>
      </c>
      <c r="U2705" s="35" t="str">
        <f>IFERROR(__xludf.DUMMYFUNCTION("""COMPUTED_VALUE"""),"-")</f>
        <v>-</v>
      </c>
      <c r="V2705" s="37" t="str">
        <f>IFERROR(__xludf.DUMMYFUNCTION("""COMPUTED_VALUE"""),"082110118319")</f>
        <v>082110118319</v>
      </c>
      <c r="W2705" s="45"/>
    </row>
    <row r="2706">
      <c r="A2706" s="45"/>
      <c r="B2706" s="24" t="str">
        <f>IFERROR(__xludf.DUMMYFUNCTION("""COMPUTED_VALUE"""),"06/08/2025 12:42:45")</f>
        <v>06/08/2025 12:42:45</v>
      </c>
      <c r="C2706" s="35"/>
      <c r="D2706" s="10">
        <f>IFERROR(__xludf.DUMMYFUNCTION("""COMPUTED_VALUE"""),45875.0)</f>
        <v>45875</v>
      </c>
      <c r="E2706" s="35" t="str">
        <f>IFERROR(__xludf.DUMMYFUNCTION("""COMPUTED_VALUE"""),"08Agu")</f>
        <v>08Agu</v>
      </c>
      <c r="F2706" s="34" t="str">
        <f>IFERROR(__xludf.DUMMYFUNCTION("""COMPUTED_VALUE"""),"2025")</f>
        <v>2025</v>
      </c>
      <c r="G2706" s="35" t="str">
        <f>IFERROR(__xludf.DUMMYFUNCTION("""COMPUTED_VALUE"""),"ARPAN DWI CAHYA")</f>
        <v>ARPAN DWI CAHYA</v>
      </c>
      <c r="H2706" s="35" t="str">
        <f>IFERROR(__xludf.DUMMYFUNCTION("""COMPUTED_VALUE"""),"A9625083700")</f>
        <v>A9625083700</v>
      </c>
      <c r="I2706" s="35">
        <f>IFERROR(__xludf.DUMMYFUNCTION("""COMPUTED_VALUE"""),29.0)</f>
        <v>29</v>
      </c>
      <c r="J2706" s="35" t="str">
        <f>IFERROR(__xludf.DUMMYFUNCTION("""COMPUTED_VALUE"""),"25-34 tahun")</f>
        <v>25-34 tahun</v>
      </c>
      <c r="K2706" s="21" t="str">
        <f>IFERROR(__xludf.DUMMYFUNCTION("""COMPUTED_VALUE"""),"29/08/1996")</f>
        <v>29/08/1996</v>
      </c>
      <c r="L2706" s="21" t="str">
        <f>IFERROR(__xludf.DUMMYFUNCTION("""COMPUTED_VALUE"""),"LAKI-LAKI")</f>
        <v>LAKI-LAKI</v>
      </c>
      <c r="M2706" s="35" t="str">
        <f>IFERROR(__xludf.DUMMYFUNCTION("""COMPUTED_VALUE"""),"JL. KAPUAS")</f>
        <v>JL. KAPUAS</v>
      </c>
      <c r="N2706" s="35" t="str">
        <f>IFERROR(__xludf.DUMMYFUNCTION("""COMPUTED_VALUE"""),"KAWAT")</f>
        <v>KAWAT</v>
      </c>
      <c r="O2706" s="35" t="str">
        <f>IFERROR(__xludf.DUMMYFUNCTION("""COMPUTED_VALUE"""),"TAYAN HILIR")</f>
        <v>TAYAN HILIR</v>
      </c>
      <c r="P2706" s="35" t="str">
        <f>IFERROR(__xludf.DUMMYFUNCTION("""COMPUTED_VALUE"""),"SANGGAU")</f>
        <v>SANGGAU</v>
      </c>
      <c r="Q2706" s="35" t="str">
        <f>IFERROR(__xludf.DUMMYFUNCTION("""COMPUTED_VALUE"""),"KALIMANTAN BARAT")</f>
        <v>KALIMANTAN BARAT</v>
      </c>
      <c r="R2706" s="21" t="str">
        <f>IFERROR(__xludf.DUMMYFUNCTION("""COMPUTED_VALUE"""),"ISLAM")</f>
        <v>ISLAM</v>
      </c>
      <c r="S2706" s="74" t="str">
        <f>IFERROR(__xludf.DUMMYFUNCTION("""COMPUTED_VALUE"""),"KARYAWAN SWASTA")</f>
        <v>KARYAWAN SWASTA</v>
      </c>
      <c r="T2706" s="35" t="str">
        <f>IFERROR(__xludf.DUMMYFUNCTION("""COMPUTED_VALUE"""),"LUTUT TIDAK BISA DI TEKUK")</f>
        <v>LUTUT TIDAK BISA DI TEKUK</v>
      </c>
      <c r="U2706" s="35" t="str">
        <f>IFERROR(__xludf.DUMMYFUNCTION("""COMPUTED_VALUE"""),"MAIN BOLA")</f>
        <v>MAIN BOLA</v>
      </c>
      <c r="V2706" s="37" t="str">
        <f>IFERROR(__xludf.DUMMYFUNCTION("""COMPUTED_VALUE"""),"082156533700")</f>
        <v>082156533700</v>
      </c>
      <c r="W2706" s="45"/>
    </row>
    <row r="2707">
      <c r="A2707" s="45"/>
      <c r="B2707" s="24" t="str">
        <f>IFERROR(__xludf.DUMMYFUNCTION("""COMPUTED_VALUE"""),"06/08/2025 13:51:53")</f>
        <v>06/08/2025 13:51:53</v>
      </c>
      <c r="C2707" s="35"/>
      <c r="D2707" s="10">
        <f>IFERROR(__xludf.DUMMYFUNCTION("""COMPUTED_VALUE"""),45875.0)</f>
        <v>45875</v>
      </c>
      <c r="E2707" s="35" t="str">
        <f>IFERROR(__xludf.DUMMYFUNCTION("""COMPUTED_VALUE"""),"08Agu")</f>
        <v>08Agu</v>
      </c>
      <c r="F2707" s="34" t="str">
        <f>IFERROR(__xludf.DUMMYFUNCTION("""COMPUTED_VALUE"""),"2025")</f>
        <v>2025</v>
      </c>
      <c r="G2707" s="35" t="str">
        <f>IFERROR(__xludf.DUMMYFUNCTION("""COMPUTED_VALUE"""),"SYARIF MUHAMAAD RAHMAN")</f>
        <v>SYARIF MUHAMAAD RAHMAN</v>
      </c>
      <c r="H2707" s="35" t="str">
        <f>IFERROR(__xludf.DUMMYFUNCTION("""COMPUTED_VALUE"""),"S8225085959")</f>
        <v>S8225085959</v>
      </c>
      <c r="I2707" s="35">
        <f>IFERROR(__xludf.DUMMYFUNCTION("""COMPUTED_VALUE"""),43.0)</f>
        <v>43</v>
      </c>
      <c r="J2707" s="35" t="str">
        <f>IFERROR(__xludf.DUMMYFUNCTION("""COMPUTED_VALUE"""),"35-44 tahun")</f>
        <v>35-44 tahun</v>
      </c>
      <c r="K2707" s="21" t="str">
        <f>IFERROR(__xludf.DUMMYFUNCTION("""COMPUTED_VALUE"""),"09/12/1982")</f>
        <v>09/12/1982</v>
      </c>
      <c r="L2707" s="21" t="str">
        <f>IFERROR(__xludf.DUMMYFUNCTION("""COMPUTED_VALUE"""),"LAKI-LAKI")</f>
        <v>LAKI-LAKI</v>
      </c>
      <c r="M2707" s="35" t="str">
        <f>IFERROR(__xludf.DUMMYFUNCTION("""COMPUTED_VALUE"""),"JALAN PARALEL TOL")</f>
        <v>JALAN PARALEL TOL</v>
      </c>
      <c r="N2707" s="35" t="str">
        <f>IFERROR(__xludf.DUMMYFUNCTION("""COMPUTED_VALUE"""),"GANJUNG HILIR")</f>
        <v>GANJUNG HILIR</v>
      </c>
      <c r="O2707" s="35" t="str">
        <f>IFERROR(__xludf.DUMMYFUNCTION("""COMPUTED_VALUE"""),"PONTIANAK TIMUR")</f>
        <v>PONTIANAK TIMUR</v>
      </c>
      <c r="P2707" s="35" t="str">
        <f>IFERROR(__xludf.DUMMYFUNCTION("""COMPUTED_VALUE"""),"PONTIANAK")</f>
        <v>PONTIANAK</v>
      </c>
      <c r="Q2707" s="35" t="str">
        <f>IFERROR(__xludf.DUMMYFUNCTION("""COMPUTED_VALUE"""),"KALBAR")</f>
        <v>KALBAR</v>
      </c>
      <c r="R2707" s="21" t="str">
        <f>IFERROR(__xludf.DUMMYFUNCTION("""COMPUTED_VALUE"""),"ISLAM")</f>
        <v>ISLAM</v>
      </c>
      <c r="S2707" s="74" t="str">
        <f>IFERROR(__xludf.DUMMYFUNCTION("""COMPUTED_VALUE"""),"PNS")</f>
        <v>PNS</v>
      </c>
      <c r="T2707" s="35" t="str">
        <f>IFERROR(__xludf.DUMMYFUNCTION("""COMPUTED_VALUE"""),"LUTUT KAKI")</f>
        <v>LUTUT KAKI</v>
      </c>
      <c r="U2707" s="35" t="str">
        <f>IFERROR(__xludf.DUMMYFUNCTION("""COMPUTED_VALUE"""),"OLAHRAGA BASKET")</f>
        <v>OLAHRAGA BASKET</v>
      </c>
      <c r="V2707" s="37" t="str">
        <f>IFERROR(__xludf.DUMMYFUNCTION("""COMPUTED_VALUE"""),"081352445959")</f>
        <v>081352445959</v>
      </c>
      <c r="W2707" s="45"/>
    </row>
    <row r="2708">
      <c r="A2708" s="45"/>
      <c r="B2708" s="24" t="str">
        <f>IFERROR(__xludf.DUMMYFUNCTION("""COMPUTED_VALUE"""),"06/08/2025 17:16:15")</f>
        <v>06/08/2025 17:16:15</v>
      </c>
      <c r="C2708" s="35"/>
      <c r="D2708" s="10">
        <f>IFERROR(__xludf.DUMMYFUNCTION("""COMPUTED_VALUE"""),45875.0)</f>
        <v>45875</v>
      </c>
      <c r="E2708" s="35" t="str">
        <f>IFERROR(__xludf.DUMMYFUNCTION("""COMPUTED_VALUE"""),"08Agu")</f>
        <v>08Agu</v>
      </c>
      <c r="F2708" s="34" t="str">
        <f>IFERROR(__xludf.DUMMYFUNCTION("""COMPUTED_VALUE"""),"2025")</f>
        <v>2025</v>
      </c>
      <c r="G2708" s="35" t="str">
        <f>IFERROR(__xludf.DUMMYFUNCTION("""COMPUTED_VALUE"""),"ANDRIADI")</f>
        <v>ANDRIADI</v>
      </c>
      <c r="H2708" s="35" t="str">
        <f>IFERROR(__xludf.DUMMYFUNCTION("""COMPUTED_VALUE"""),"A8725088071")</f>
        <v>A8725088071</v>
      </c>
      <c r="I2708" s="35">
        <f>IFERROR(__xludf.DUMMYFUNCTION("""COMPUTED_VALUE"""),38.0)</f>
        <v>38</v>
      </c>
      <c r="J2708" s="35" t="str">
        <f>IFERROR(__xludf.DUMMYFUNCTION("""COMPUTED_VALUE"""),"35-44 tahun")</f>
        <v>35-44 tahun</v>
      </c>
      <c r="K2708" s="21" t="str">
        <f>IFERROR(__xludf.DUMMYFUNCTION("""COMPUTED_VALUE"""),"28/10/1987")</f>
        <v>28/10/1987</v>
      </c>
      <c r="L2708" s="21" t="str">
        <f>IFERROR(__xludf.DUMMYFUNCTION("""COMPUTED_VALUE"""),"LAKI-LAKI")</f>
        <v>LAKI-LAKI</v>
      </c>
      <c r="M2708" s="35" t="str">
        <f>IFERROR(__xludf.DUMMYFUNCTION("""COMPUTED_VALUE"""),"JALAN BINA JAYA GANG DAMAI 2. KOMP ALEA INDAH. F6")</f>
        <v>JALAN BINA JAYA GANG DAMAI 2. KOMP ALEA INDAH. F6</v>
      </c>
      <c r="N2708" s="35" t="str">
        <f>IFERROR(__xludf.DUMMYFUNCTION("""COMPUTED_VALUE"""),"KOTA BARU")</f>
        <v>KOTA BARU</v>
      </c>
      <c r="O2708" s="35" t="str">
        <f>IFERROR(__xludf.DUMMYFUNCTION("""COMPUTED_VALUE"""),"PONTIANAK SELATAN")</f>
        <v>PONTIANAK SELATAN</v>
      </c>
      <c r="P2708" s="35" t="str">
        <f>IFERROR(__xludf.DUMMYFUNCTION("""COMPUTED_VALUE"""),"PONTIANAK KOTA")</f>
        <v>PONTIANAK KOTA</v>
      </c>
      <c r="Q2708" s="35" t="str">
        <f>IFERROR(__xludf.DUMMYFUNCTION("""COMPUTED_VALUE"""),"KALIMANTAN BARAT")</f>
        <v>KALIMANTAN BARAT</v>
      </c>
      <c r="R2708" s="21" t="str">
        <f>IFERROR(__xludf.DUMMYFUNCTION("""COMPUTED_VALUE"""),"ISLAM")</f>
        <v>ISLAM</v>
      </c>
      <c r="S2708" s="74" t="str">
        <f>IFERROR(__xludf.DUMMYFUNCTION("""COMPUTED_VALUE"""),"SWASTA")</f>
        <v>SWASTA</v>
      </c>
      <c r="T2708" s="35" t="str">
        <f>IFERROR(__xludf.DUMMYFUNCTION("""COMPUTED_VALUE"""),"ENGKEL KAKI KANAN")</f>
        <v>ENGKEL KAKI KANAN</v>
      </c>
      <c r="U2708" s="35" t="str">
        <f>IFERROR(__xludf.DUMMYFUNCTION("""COMPUTED_VALUE"""),"-")</f>
        <v>-</v>
      </c>
      <c r="V2708" s="37" t="str">
        <f>IFERROR(__xludf.DUMMYFUNCTION("""COMPUTED_VALUE"""),"089510548071")</f>
        <v>089510548071</v>
      </c>
      <c r="W2708" s="45"/>
    </row>
    <row r="2709">
      <c r="A2709" s="45"/>
      <c r="B2709" s="24" t="str">
        <f>IFERROR(__xludf.DUMMYFUNCTION("""COMPUTED_VALUE"""),"06/08/2025 19:00:27")</f>
        <v>06/08/2025 19:00:27</v>
      </c>
      <c r="C2709" s="35"/>
      <c r="D2709" s="10">
        <f>IFERROR(__xludf.DUMMYFUNCTION("""COMPUTED_VALUE"""),45875.0)</f>
        <v>45875</v>
      </c>
      <c r="E2709" s="35" t="str">
        <f>IFERROR(__xludf.DUMMYFUNCTION("""COMPUTED_VALUE"""),"08Agu")</f>
        <v>08Agu</v>
      </c>
      <c r="F2709" s="34" t="str">
        <f>IFERROR(__xludf.DUMMYFUNCTION("""COMPUTED_VALUE"""),"2025")</f>
        <v>2025</v>
      </c>
      <c r="G2709" s="35" t="str">
        <f>IFERROR(__xludf.DUMMYFUNCTION("""COMPUTED_VALUE"""),"YAYUK SUKESI")</f>
        <v>YAYUK SUKESI</v>
      </c>
      <c r="H2709" s="35" t="str">
        <f>IFERROR(__xludf.DUMMYFUNCTION("""COMPUTED_VALUE"""),"Y7525084160")</f>
        <v>Y7525084160</v>
      </c>
      <c r="I2709" s="35">
        <f>IFERROR(__xludf.DUMMYFUNCTION("""COMPUTED_VALUE"""),50.0)</f>
        <v>50</v>
      </c>
      <c r="J2709" s="35" t="str">
        <f>IFERROR(__xludf.DUMMYFUNCTION("""COMPUTED_VALUE"""),"&gt; 44 tahun")</f>
        <v>&gt; 44 tahun</v>
      </c>
      <c r="K2709" s="21" t="str">
        <f>IFERROR(__xludf.DUMMYFUNCTION("""COMPUTED_VALUE"""),"03/10/1975")</f>
        <v>03/10/1975</v>
      </c>
      <c r="L2709" s="21" t="str">
        <f>IFERROR(__xludf.DUMMYFUNCTION("""COMPUTED_VALUE"""),"PEREMPUAN")</f>
        <v>PEREMPUAN</v>
      </c>
      <c r="M2709" s="35" t="str">
        <f>IFERROR(__xludf.DUMMYFUNCTION("""COMPUTED_VALUE"""),"JALAN BUJAMA KOMPLEK MANDIRI")</f>
        <v>JALAN BUJAMA KOMPLEK MANDIRI</v>
      </c>
      <c r="N2709" s="35" t="str">
        <f>IFERROR(__xludf.DUMMYFUNCTION("""COMPUTED_VALUE"""),"PAL SEMBILAN")</f>
        <v>PAL SEMBILAN</v>
      </c>
      <c r="O2709" s="35" t="str">
        <f>IFERROR(__xludf.DUMMYFUNCTION("""COMPUTED_VALUE"""),"SUNGAI KAKAP")</f>
        <v>SUNGAI KAKAP</v>
      </c>
      <c r="P2709" s="35" t="str">
        <f>IFERROR(__xludf.DUMMYFUNCTION("""COMPUTED_VALUE"""),"KOTA PONTIANAK")</f>
        <v>KOTA PONTIANAK</v>
      </c>
      <c r="Q2709" s="35" t="str">
        <f>IFERROR(__xludf.DUMMYFUNCTION("""COMPUTED_VALUE"""),"KALIMANTAN BARAT")</f>
        <v>KALIMANTAN BARAT</v>
      </c>
      <c r="R2709" s="21" t="str">
        <f>IFERROR(__xludf.DUMMYFUNCTION("""COMPUTED_VALUE"""),"ISLAM")</f>
        <v>ISLAM</v>
      </c>
      <c r="S2709" s="74" t="str">
        <f>IFERROR(__xludf.DUMMYFUNCTION("""COMPUTED_VALUE"""),"IBU RUMAH TANGGA")</f>
        <v>IBU RUMAH TANGGA</v>
      </c>
      <c r="T2709" s="35" t="str">
        <f>IFERROR(__xludf.DUMMYFUNCTION("""COMPUTED_VALUE"""),"BELL PALSY")</f>
        <v>BELL PALSY</v>
      </c>
      <c r="U2709" s="35" t="str">
        <f>IFERROR(__xludf.DUMMYFUNCTION("""COMPUTED_VALUE"""),"-")</f>
        <v>-</v>
      </c>
      <c r="V2709" s="37" t="str">
        <f>IFERROR(__xludf.DUMMYFUNCTION("""COMPUTED_VALUE"""),"082251354160")</f>
        <v>082251354160</v>
      </c>
      <c r="W2709" s="45"/>
    </row>
    <row r="2710">
      <c r="A2710" s="45"/>
      <c r="B2710" s="24" t="str">
        <f>IFERROR(__xludf.DUMMYFUNCTION("""COMPUTED_VALUE"""),"07/08/2025 11:17:38")</f>
        <v>07/08/2025 11:17:38</v>
      </c>
      <c r="C2710" s="35"/>
      <c r="D2710" s="10">
        <f>IFERROR(__xludf.DUMMYFUNCTION("""COMPUTED_VALUE"""),45876.0)</f>
        <v>45876</v>
      </c>
      <c r="E2710" s="35" t="str">
        <f>IFERROR(__xludf.DUMMYFUNCTION("""COMPUTED_VALUE"""),"08Agu")</f>
        <v>08Agu</v>
      </c>
      <c r="F2710" s="34" t="str">
        <f>IFERROR(__xludf.DUMMYFUNCTION("""COMPUTED_VALUE"""),"2025")</f>
        <v>2025</v>
      </c>
      <c r="G2710" s="35" t="str">
        <f>IFERROR(__xludf.DUMMYFUNCTION("""COMPUTED_VALUE"""),"AGIL VERNANDO")</f>
        <v>AGIL VERNANDO</v>
      </c>
      <c r="H2710" s="35" t="str">
        <f>IFERROR(__xludf.DUMMYFUNCTION("""COMPUTED_VALUE"""),"A0625083764")</f>
        <v>A0625083764</v>
      </c>
      <c r="I2710" s="35">
        <f>IFERROR(__xludf.DUMMYFUNCTION("""COMPUTED_VALUE"""),19.0)</f>
        <v>19</v>
      </c>
      <c r="J2710" s="35" t="str">
        <f>IFERROR(__xludf.DUMMYFUNCTION("""COMPUTED_VALUE"""),"18-24 tahun")</f>
        <v>18-24 tahun</v>
      </c>
      <c r="K2710" s="21" t="str">
        <f>IFERROR(__xludf.DUMMYFUNCTION("""COMPUTED_VALUE"""),"18/08/2006")</f>
        <v>18/08/2006</v>
      </c>
      <c r="L2710" s="21" t="str">
        <f>IFERROR(__xludf.DUMMYFUNCTION("""COMPUTED_VALUE"""),"LAKI-LAKI")</f>
        <v>LAKI-LAKI</v>
      </c>
      <c r="M2710" s="35" t="str">
        <f>IFERROR(__xludf.DUMMYFUNCTION("""COMPUTED_VALUE"""),"GANG M ZEIN")</f>
        <v>GANG M ZEIN</v>
      </c>
      <c r="N2710" s="35" t="str">
        <f>IFERROR(__xludf.DUMMYFUNCTION("""COMPUTED_VALUE"""),"PENJAJAP")</f>
        <v>PENJAJAP</v>
      </c>
      <c r="O2710" s="35" t="str">
        <f>IFERROR(__xludf.DUMMYFUNCTION("""COMPUTED_VALUE"""),"PEMANGKAT")</f>
        <v>PEMANGKAT</v>
      </c>
      <c r="P2710" s="35" t="str">
        <f>IFERROR(__xludf.DUMMYFUNCTION("""COMPUTED_VALUE"""),"SAMBAS")</f>
        <v>SAMBAS</v>
      </c>
      <c r="Q2710" s="35" t="str">
        <f>IFERROR(__xludf.DUMMYFUNCTION("""COMPUTED_VALUE"""),"KALIMANTAN BARAT")</f>
        <v>KALIMANTAN BARAT</v>
      </c>
      <c r="R2710" s="21" t="str">
        <f>IFERROR(__xludf.DUMMYFUNCTION("""COMPUTED_VALUE"""),"ISLAM")</f>
        <v>ISLAM</v>
      </c>
      <c r="S2710" s="74" t="str">
        <f>IFERROR(__xludf.DUMMYFUNCTION("""COMPUTED_VALUE"""),"MAHASISWA")</f>
        <v>MAHASISWA</v>
      </c>
      <c r="T2710" s="35" t="str">
        <f>IFERROR(__xludf.DUMMYFUNCTION("""COMPUTED_VALUE"""),"SPRAIN ANKLE")</f>
        <v>SPRAIN ANKLE</v>
      </c>
      <c r="U2710" s="35" t="str">
        <f>IFERROR(__xludf.DUMMYFUNCTION("""COMPUTED_VALUE"""),"FUTSAL DAN SEPAKBOLA")</f>
        <v>FUTSAL DAN SEPAKBOLA</v>
      </c>
      <c r="V2710" s="37" t="str">
        <f>IFERROR(__xludf.DUMMYFUNCTION("""COMPUTED_VALUE"""),"089513563764")</f>
        <v>089513563764</v>
      </c>
      <c r="W2710" s="45"/>
    </row>
    <row r="2711">
      <c r="A2711" s="45"/>
      <c r="B2711" s="24" t="str">
        <f>IFERROR(__xludf.DUMMYFUNCTION("""COMPUTED_VALUE"""),"06/08/2025 13:51:53")</f>
        <v>06/08/2025 13:51:53</v>
      </c>
      <c r="C2711" s="35"/>
      <c r="D2711" s="10">
        <f>IFERROR(__xludf.DUMMYFUNCTION("""COMPUTED_VALUE"""),45875.0)</f>
        <v>45875</v>
      </c>
      <c r="E2711" s="35" t="str">
        <f>IFERROR(__xludf.DUMMYFUNCTION("""COMPUTED_VALUE"""),"08Agu")</f>
        <v>08Agu</v>
      </c>
      <c r="F2711" s="34" t="str">
        <f>IFERROR(__xludf.DUMMYFUNCTION("""COMPUTED_VALUE"""),"2025")</f>
        <v>2025</v>
      </c>
      <c r="G2711" s="35" t="str">
        <f>IFERROR(__xludf.DUMMYFUNCTION("""COMPUTED_VALUE"""),"HAIFA")</f>
        <v>HAIFA</v>
      </c>
      <c r="H2711" s="35" t="str">
        <f>IFERROR(__xludf.DUMMYFUNCTION("""COMPUTED_VALUE"""),"H8525085959")</f>
        <v>H8525085959</v>
      </c>
      <c r="I2711" s="35">
        <f>IFERROR(__xludf.DUMMYFUNCTION("""COMPUTED_VALUE"""),40.0)</f>
        <v>40</v>
      </c>
      <c r="J2711" s="35" t="str">
        <f>IFERROR(__xludf.DUMMYFUNCTION("""COMPUTED_VALUE"""),"35-44 tahun")</f>
        <v>35-44 tahun</v>
      </c>
      <c r="K2711" s="21">
        <f>IFERROR(__xludf.DUMMYFUNCTION("""COMPUTED_VALUE"""),31390.0)</f>
        <v>31390</v>
      </c>
      <c r="L2711" s="21" t="str">
        <f>IFERROR(__xludf.DUMMYFUNCTION("""COMPUTED_VALUE"""),"PEREMPUAN")</f>
        <v>PEREMPUAN</v>
      </c>
      <c r="M2711" s="35" t="str">
        <f>IFERROR(__xludf.DUMMYFUNCTION("""COMPUTED_VALUE"""),"JALAN PARALEL TOL")</f>
        <v>JALAN PARALEL TOL</v>
      </c>
      <c r="N2711" s="35" t="str">
        <f>IFERROR(__xludf.DUMMYFUNCTION("""COMPUTED_VALUE"""),"GANJUNG HILIR")</f>
        <v>GANJUNG HILIR</v>
      </c>
      <c r="O2711" s="35" t="str">
        <f>IFERROR(__xludf.DUMMYFUNCTION("""COMPUTED_VALUE"""),"PONTIANAK TIMUR")</f>
        <v>PONTIANAK TIMUR</v>
      </c>
      <c r="P2711" s="35" t="str">
        <f>IFERROR(__xludf.DUMMYFUNCTION("""COMPUTED_VALUE"""),"PONTIANAK")</f>
        <v>PONTIANAK</v>
      </c>
      <c r="Q2711" s="35" t="str">
        <f>IFERROR(__xludf.DUMMYFUNCTION("""COMPUTED_VALUE"""),"KALBAR")</f>
        <v>KALBAR</v>
      </c>
      <c r="R2711" s="21" t="str">
        <f>IFERROR(__xludf.DUMMYFUNCTION("""COMPUTED_VALUE"""),"ISLAM")</f>
        <v>ISLAM</v>
      </c>
      <c r="S2711" s="74" t="str">
        <f>IFERROR(__xludf.DUMMYFUNCTION("""COMPUTED_VALUE"""),"PNS")</f>
        <v>PNS</v>
      </c>
      <c r="T2711" s="35" t="str">
        <f>IFERROR(__xludf.DUMMYFUNCTION("""COMPUTED_VALUE"""),"SAKIT PINGGANG")</f>
        <v>SAKIT PINGGANG</v>
      </c>
      <c r="U2711" s="35" t="str">
        <f>IFERROR(__xludf.DUMMYFUNCTION("""COMPUTED_VALUE"""),"TIDAK ADA")</f>
        <v>TIDAK ADA</v>
      </c>
      <c r="V2711" s="37" t="str">
        <f>IFERROR(__xludf.DUMMYFUNCTION("""COMPUTED_VALUE"""),"081352445959")</f>
        <v>081352445959</v>
      </c>
      <c r="W2711" s="45"/>
    </row>
    <row r="2712">
      <c r="A2712" s="45"/>
      <c r="B2712" s="24" t="str">
        <f>IFERROR(__xludf.DUMMYFUNCTION("""COMPUTED_VALUE"""),"07/08/2025 12:41:36")</f>
        <v>07/08/2025 12:41:36</v>
      </c>
      <c r="C2712" s="35"/>
      <c r="D2712" s="10">
        <f>IFERROR(__xludf.DUMMYFUNCTION("""COMPUTED_VALUE"""),45876.0)</f>
        <v>45876</v>
      </c>
      <c r="E2712" s="35" t="str">
        <f>IFERROR(__xludf.DUMMYFUNCTION("""COMPUTED_VALUE"""),"08Agu")</f>
        <v>08Agu</v>
      </c>
      <c r="F2712" s="34" t="str">
        <f>IFERROR(__xludf.DUMMYFUNCTION("""COMPUTED_VALUE"""),"2025")</f>
        <v>2025</v>
      </c>
      <c r="G2712" s="35" t="str">
        <f>IFERROR(__xludf.DUMMYFUNCTION("""COMPUTED_VALUE"""),"ANDRO BAO")</f>
        <v>ANDRO BAO</v>
      </c>
      <c r="H2712" s="35" t="str">
        <f>IFERROR(__xludf.DUMMYFUNCTION("""COMPUTED_VALUE"""),"A9925088893")</f>
        <v>A9925088893</v>
      </c>
      <c r="I2712" s="35">
        <f>IFERROR(__xludf.DUMMYFUNCTION("""COMPUTED_VALUE"""),26.0)</f>
        <v>26</v>
      </c>
      <c r="J2712" s="35" t="str">
        <f>IFERROR(__xludf.DUMMYFUNCTION("""COMPUTED_VALUE"""),"25-34 tahun")</f>
        <v>25-34 tahun</v>
      </c>
      <c r="K2712" s="21" t="str">
        <f>IFERROR(__xludf.DUMMYFUNCTION("""COMPUTED_VALUE"""),"26/10/1999")</f>
        <v>26/10/1999</v>
      </c>
      <c r="L2712" s="21" t="str">
        <f>IFERROR(__xludf.DUMMYFUNCTION("""COMPUTED_VALUE"""),"LAKI-LAKI")</f>
        <v>LAKI-LAKI</v>
      </c>
      <c r="M2712" s="35" t="str">
        <f>IFERROR(__xludf.DUMMYFUNCTION("""COMPUTED_VALUE"""),"JL TRANS KALIMANTAN SUI.AMBAWANG KUALA")</f>
        <v>JL TRANS KALIMANTAN SUI.AMBAWANG KUALA</v>
      </c>
      <c r="N2712" s="35" t="str">
        <f>IFERROR(__xludf.DUMMYFUNCTION("""COMPUTED_VALUE"""),"SUNGAI AMBAWANG")</f>
        <v>SUNGAI AMBAWANG</v>
      </c>
      <c r="O2712" s="35" t="str">
        <f>IFERROR(__xludf.DUMMYFUNCTION("""COMPUTED_VALUE"""),"SUNGAI AMBAWANG KUALA")</f>
        <v>SUNGAI AMBAWANG KUALA</v>
      </c>
      <c r="P2712" s="35" t="str">
        <f>IFERROR(__xludf.DUMMYFUNCTION("""COMPUTED_VALUE"""),"KUBU RAYA")</f>
        <v>KUBU RAYA</v>
      </c>
      <c r="Q2712" s="35" t="str">
        <f>IFERROR(__xludf.DUMMYFUNCTION("""COMPUTED_VALUE"""),"KALIMANTAN BARAT")</f>
        <v>KALIMANTAN BARAT</v>
      </c>
      <c r="R2712" s="21" t="str">
        <f>IFERROR(__xludf.DUMMYFUNCTION("""COMPUTED_VALUE"""),"BUDDHA")</f>
        <v>BUDDHA</v>
      </c>
      <c r="S2712" s="74" t="str">
        <f>IFERROR(__xludf.DUMMYFUNCTION("""COMPUTED_VALUE"""),"WIRASWASTA")</f>
        <v>WIRASWASTA</v>
      </c>
      <c r="T2712" s="35" t="str">
        <f>IFERROR(__xludf.DUMMYFUNCTION("""COMPUTED_VALUE"""),"PAHA SAKIT")</f>
        <v>PAHA SAKIT</v>
      </c>
      <c r="U2712" s="35" t="str">
        <f>IFERROR(__xludf.DUMMYFUNCTION("""COMPUTED_VALUE"""),"BERMAIN BOLA")</f>
        <v>BERMAIN BOLA</v>
      </c>
      <c r="V2712" s="37" t="str">
        <f>IFERROR(__xludf.DUMMYFUNCTION("""COMPUTED_VALUE"""),"082157758893")</f>
        <v>082157758893</v>
      </c>
      <c r="W2712" s="45"/>
    </row>
    <row r="2713">
      <c r="A2713" s="45"/>
      <c r="B2713" s="24" t="str">
        <f>IFERROR(__xludf.DUMMYFUNCTION("""COMPUTED_VALUE"""),"07/08/2025 16:54:43")</f>
        <v>07/08/2025 16:54:43</v>
      </c>
      <c r="C2713" s="35"/>
      <c r="D2713" s="10">
        <f>IFERROR(__xludf.DUMMYFUNCTION("""COMPUTED_VALUE"""),45876.0)</f>
        <v>45876</v>
      </c>
      <c r="E2713" s="35" t="str">
        <f>IFERROR(__xludf.DUMMYFUNCTION("""COMPUTED_VALUE"""),"08Agu")</f>
        <v>08Agu</v>
      </c>
      <c r="F2713" s="34" t="str">
        <f>IFERROR(__xludf.DUMMYFUNCTION("""COMPUTED_VALUE"""),"2025")</f>
        <v>2025</v>
      </c>
      <c r="G2713" s="35" t="str">
        <f>IFERROR(__xludf.DUMMYFUNCTION("""COMPUTED_VALUE"""),"ARRON")</f>
        <v>ARRON</v>
      </c>
      <c r="H2713" s="35" t="str">
        <f>IFERROR(__xludf.DUMMYFUNCTION("""COMPUTED_VALUE"""),"A9225082999")</f>
        <v>A9225082999</v>
      </c>
      <c r="I2713" s="35">
        <f>IFERROR(__xludf.DUMMYFUNCTION("""COMPUTED_VALUE"""),33.0)</f>
        <v>33</v>
      </c>
      <c r="J2713" s="35" t="str">
        <f>IFERROR(__xludf.DUMMYFUNCTION("""COMPUTED_VALUE"""),"25-34 tahun")</f>
        <v>25-34 tahun</v>
      </c>
      <c r="K2713" s="21" t="str">
        <f>IFERROR(__xludf.DUMMYFUNCTION("""COMPUTED_VALUE"""),"12/10/1992")</f>
        <v>12/10/1992</v>
      </c>
      <c r="L2713" s="21" t="str">
        <f>IFERROR(__xludf.DUMMYFUNCTION("""COMPUTED_VALUE"""),"LAKI-LAKI")</f>
        <v>LAKI-LAKI</v>
      </c>
      <c r="M2713" s="35" t="str">
        <f>IFERROR(__xludf.DUMMYFUNCTION("""COMPUTED_VALUE"""),"JL ISMAIL MARZUKI")</f>
        <v>JL ISMAIL MARZUKI</v>
      </c>
      <c r="N2713" s="35" t="str">
        <f>IFERROR(__xludf.DUMMYFUNCTION("""COMPUTED_VALUE"""),"PONTIANAK SELATAN")</f>
        <v>PONTIANAK SELATAN</v>
      </c>
      <c r="O2713" s="35" t="str">
        <f>IFERROR(__xludf.DUMMYFUNCTION("""COMPUTED_VALUE"""),"MELAYU DARAT")</f>
        <v>MELAYU DARAT</v>
      </c>
      <c r="P2713" s="35" t="str">
        <f>IFERROR(__xludf.DUMMYFUNCTION("""COMPUTED_VALUE"""),"PONTIANAK")</f>
        <v>PONTIANAK</v>
      </c>
      <c r="Q2713" s="35" t="str">
        <f>IFERROR(__xludf.DUMMYFUNCTION("""COMPUTED_VALUE"""),"KALIMANTAN BARAT")</f>
        <v>KALIMANTAN BARAT</v>
      </c>
      <c r="R2713" s="21" t="str">
        <f>IFERROR(__xludf.DUMMYFUNCTION("""COMPUTED_VALUE"""),"KATOLIK")</f>
        <v>KATOLIK</v>
      </c>
      <c r="S2713" s="74" t="str">
        <f>IFERROR(__xludf.DUMMYFUNCTION("""COMPUTED_VALUE"""),"WIRASWASTA")</f>
        <v>WIRASWASTA</v>
      </c>
      <c r="T2713" s="35" t="str">
        <f>IFERROR(__xludf.DUMMYFUNCTION("""COMPUTED_VALUE"""),"BAHU KAKU, SAKIT DI RHOMBOID YG MENJALAR KE KEPALA")</f>
        <v>BAHU KAKU, SAKIT DI RHOMBOID YG MENJALAR KE KEPALA</v>
      </c>
      <c r="U2713" s="35" t="str">
        <f>IFERROR(__xludf.DUMMYFUNCTION("""COMPUTED_VALUE"""),"GYM")</f>
        <v>GYM</v>
      </c>
      <c r="V2713" s="37" t="str">
        <f>IFERROR(__xludf.DUMMYFUNCTION("""COMPUTED_VALUE"""),"08125622999")</f>
        <v>08125622999</v>
      </c>
      <c r="W2713" s="45"/>
    </row>
    <row r="2714">
      <c r="A2714" s="45"/>
      <c r="B2714" s="24" t="str">
        <f>IFERROR(__xludf.DUMMYFUNCTION("""COMPUTED_VALUE"""),"07/08/2025 18:32:22")</f>
        <v>07/08/2025 18:32:22</v>
      </c>
      <c r="C2714" s="35"/>
      <c r="D2714" s="10">
        <f>IFERROR(__xludf.DUMMYFUNCTION("""COMPUTED_VALUE"""),45876.0)</f>
        <v>45876</v>
      </c>
      <c r="E2714" s="35" t="str">
        <f>IFERROR(__xludf.DUMMYFUNCTION("""COMPUTED_VALUE"""),"08Agu")</f>
        <v>08Agu</v>
      </c>
      <c r="F2714" s="34" t="str">
        <f>IFERROR(__xludf.DUMMYFUNCTION("""COMPUTED_VALUE"""),"2025")</f>
        <v>2025</v>
      </c>
      <c r="G2714" s="35" t="str">
        <f>IFERROR(__xludf.DUMMYFUNCTION("""COMPUTED_VALUE"""),"HENDRA GUNAWAN")</f>
        <v>HENDRA GUNAWAN</v>
      </c>
      <c r="H2714" s="35" t="str">
        <f>IFERROR(__xludf.DUMMYFUNCTION("""COMPUTED_VALUE"""),"H9525080524")</f>
        <v>H9525080524</v>
      </c>
      <c r="I2714" s="35">
        <f>IFERROR(__xludf.DUMMYFUNCTION("""COMPUTED_VALUE"""),30.0)</f>
        <v>30</v>
      </c>
      <c r="J2714" s="35" t="str">
        <f>IFERROR(__xludf.DUMMYFUNCTION("""COMPUTED_VALUE"""),"25-34 tahun")</f>
        <v>25-34 tahun</v>
      </c>
      <c r="K2714" s="21" t="str">
        <f>IFERROR(__xludf.DUMMYFUNCTION("""COMPUTED_VALUE"""),"22/10/1995")</f>
        <v>22/10/1995</v>
      </c>
      <c r="L2714" s="21" t="str">
        <f>IFERROR(__xludf.DUMMYFUNCTION("""COMPUTED_VALUE"""),"LAKI-LAKI")</f>
        <v>LAKI-LAKI</v>
      </c>
      <c r="M2714" s="35" t="str">
        <f>IFERROR(__xludf.DUMMYFUNCTION("""COMPUTED_VALUE"""),"DUSUN BANJAR SARI SELATAN")</f>
        <v>DUSUN BANJAR SARI SELATAN</v>
      </c>
      <c r="N2714" s="35" t="str">
        <f>IFERROR(__xludf.DUMMYFUNCTION("""COMPUTED_VALUE"""),"BANJAR SARI")</f>
        <v>BANJAR SARI</v>
      </c>
      <c r="O2714" s="35" t="str">
        <f>IFERROR(__xludf.DUMMYFUNCTION("""COMPUTED_VALUE"""),"KENDAWANGAN")</f>
        <v>KENDAWANGAN</v>
      </c>
      <c r="P2714" s="35" t="str">
        <f>IFERROR(__xludf.DUMMYFUNCTION("""COMPUTED_VALUE"""),"KETAPANG")</f>
        <v>KETAPANG</v>
      </c>
      <c r="Q2714" s="35" t="str">
        <f>IFERROR(__xludf.DUMMYFUNCTION("""COMPUTED_VALUE"""),"KALIMANTAN BARAT")</f>
        <v>KALIMANTAN BARAT</v>
      </c>
      <c r="R2714" s="21" t="str">
        <f>IFERROR(__xludf.DUMMYFUNCTION("""COMPUTED_VALUE"""),"ISLAM")</f>
        <v>ISLAM</v>
      </c>
      <c r="S2714" s="74" t="str">
        <f>IFERROR(__xludf.DUMMYFUNCTION("""COMPUTED_VALUE"""),"KARYAWAN SWASTA")</f>
        <v>KARYAWAN SWASTA</v>
      </c>
      <c r="T2714" s="35" t="str">
        <f>IFERROR(__xludf.DUMMYFUNCTION("""COMPUTED_VALUE"""),"CIDERA ACL LUTUT")</f>
        <v>CIDERA ACL LUTUT</v>
      </c>
      <c r="U2714" s="35" t="str">
        <f>IFERROR(__xludf.DUMMYFUNCTION("""COMPUTED_VALUE"""),"SEPAK BOLA &amp; FUTSAL")</f>
        <v>SEPAK BOLA &amp; FUTSAL</v>
      </c>
      <c r="V2714" s="37" t="str">
        <f>IFERROR(__xludf.DUMMYFUNCTION("""COMPUTED_VALUE"""),"082125440524")</f>
        <v>082125440524</v>
      </c>
      <c r="W2714" s="45"/>
    </row>
    <row r="2715">
      <c r="A2715" s="45"/>
      <c r="B2715" s="24" t="str">
        <f>IFERROR(__xludf.DUMMYFUNCTION("""COMPUTED_VALUE"""),"08/08/2025 19:06:21")</f>
        <v>08/08/2025 19:06:21</v>
      </c>
      <c r="C2715" s="35"/>
      <c r="D2715" s="10">
        <f>IFERROR(__xludf.DUMMYFUNCTION("""COMPUTED_VALUE"""),45878.0)</f>
        <v>45878</v>
      </c>
      <c r="E2715" s="35" t="str">
        <f>IFERROR(__xludf.DUMMYFUNCTION("""COMPUTED_VALUE"""),"08Agu")</f>
        <v>08Agu</v>
      </c>
      <c r="F2715" s="34" t="str">
        <f>IFERROR(__xludf.DUMMYFUNCTION("""COMPUTED_VALUE"""),"2025")</f>
        <v>2025</v>
      </c>
      <c r="G2715" s="35" t="str">
        <f>IFERROR(__xludf.DUMMYFUNCTION("""COMPUTED_VALUE"""),"NUR HAYATI 9611")</f>
        <v>NUR HAYATI 9611</v>
      </c>
      <c r="H2715" s="35" t="str">
        <f>IFERROR(__xludf.DUMMYFUNCTION("""COMPUTED_VALUE"""),"N9625083579")</f>
        <v>N9625083579</v>
      </c>
      <c r="I2715" s="35">
        <f>IFERROR(__xludf.DUMMYFUNCTION("""COMPUTED_VALUE"""),29.0)</f>
        <v>29</v>
      </c>
      <c r="J2715" s="35" t="str">
        <f>IFERROR(__xludf.DUMMYFUNCTION("""COMPUTED_VALUE"""),"25-34 tahun")</f>
        <v>25-34 tahun</v>
      </c>
      <c r="K2715" s="21" t="str">
        <f>IFERROR(__xludf.DUMMYFUNCTION("""COMPUTED_VALUE"""),"22/11/1996")</f>
        <v>22/11/1996</v>
      </c>
      <c r="L2715" s="21" t="str">
        <f>IFERROR(__xludf.DUMMYFUNCTION("""COMPUTED_VALUE"""),"PEREMPUAN")</f>
        <v>PEREMPUAN</v>
      </c>
      <c r="M2715" s="35" t="str">
        <f>IFERROR(__xludf.DUMMYFUNCTION("""COMPUTED_VALUE"""),"JL KS TUBUN")</f>
        <v>JL KS TUBUN</v>
      </c>
      <c r="N2715" s="35" t="str">
        <f>IFERROR(__xludf.DUMMYFUNCTION("""COMPUTED_VALUE"""),"TANJUNG PURI")</f>
        <v>TANJUNG PURI</v>
      </c>
      <c r="O2715" s="35" t="str">
        <f>IFERROR(__xludf.DUMMYFUNCTION("""COMPUTED_VALUE"""),"SINTANG")</f>
        <v>SINTANG</v>
      </c>
      <c r="P2715" s="35" t="str">
        <f>IFERROR(__xludf.DUMMYFUNCTION("""COMPUTED_VALUE"""),"SINTANG")</f>
        <v>SINTANG</v>
      </c>
      <c r="Q2715" s="35" t="str">
        <f>IFERROR(__xludf.DUMMYFUNCTION("""COMPUTED_VALUE"""),"KALBAR")</f>
        <v>KALBAR</v>
      </c>
      <c r="R2715" s="21" t="str">
        <f>IFERROR(__xludf.DUMMYFUNCTION("""COMPUTED_VALUE"""),"ISLAM")</f>
        <v>ISLAM</v>
      </c>
      <c r="S2715" s="74" t="str">
        <f>IFERROR(__xludf.DUMMYFUNCTION("""COMPUTED_VALUE"""),"SWASTA")</f>
        <v>SWASTA</v>
      </c>
      <c r="T2715" s="35" t="str">
        <f>IFERROR(__xludf.DUMMYFUNCTION("""COMPUTED_VALUE"""),"BELIKAT KANAN NYERI")</f>
        <v>BELIKAT KANAN NYERI</v>
      </c>
      <c r="U2715" s="35" t="str">
        <f>IFERROR(__xludf.DUMMYFUNCTION("""COMPUTED_VALUE"""),"12-15 JAM DUDUK DIDEPAN LAPTOP")</f>
        <v>12-15 JAM DUDUK DIDEPAN LAPTOP</v>
      </c>
      <c r="V2715" s="37" t="str">
        <f>IFERROR(__xludf.DUMMYFUNCTION("""COMPUTED_VALUE"""),"083125433579")</f>
        <v>083125433579</v>
      </c>
      <c r="W2715" s="45"/>
    </row>
    <row r="2716">
      <c r="A2716" s="45"/>
      <c r="B2716" s="24" t="str">
        <f>IFERROR(__xludf.DUMMYFUNCTION("""COMPUTED_VALUE"""),"09/08/2025 14:39:40")</f>
        <v>09/08/2025 14:39:40</v>
      </c>
      <c r="C2716" s="35"/>
      <c r="D2716" s="10">
        <f>IFERROR(__xludf.DUMMYFUNCTION("""COMPUTED_VALUE"""),45878.0)</f>
        <v>45878</v>
      </c>
      <c r="E2716" s="35" t="str">
        <f>IFERROR(__xludf.DUMMYFUNCTION("""COMPUTED_VALUE"""),"08Agu")</f>
        <v>08Agu</v>
      </c>
      <c r="F2716" s="34" t="str">
        <f>IFERROR(__xludf.DUMMYFUNCTION("""COMPUTED_VALUE"""),"2025")</f>
        <v>2025</v>
      </c>
      <c r="G2716" s="35" t="str">
        <f>IFERROR(__xludf.DUMMYFUNCTION("""COMPUTED_VALUE"""),"RAINASYA PUTRI KURNIAWAN")</f>
        <v>RAINASYA PUTRI KURNIAWAN</v>
      </c>
      <c r="H2716" s="35" t="str">
        <f>IFERROR(__xludf.DUMMYFUNCTION("""COMPUTED_VALUE"""),"R2525087850")</f>
        <v>R2525087850</v>
      </c>
      <c r="I2716" s="35">
        <f>IFERROR(__xludf.DUMMYFUNCTION("""COMPUTED_VALUE"""),0.0)</f>
        <v>0</v>
      </c>
      <c r="J2716" s="35" t="str">
        <f>IFERROR(__xludf.DUMMYFUNCTION("""COMPUTED_VALUE"""),"&lt; 18 tahun")</f>
        <v>&lt; 18 tahun</v>
      </c>
      <c r="K2716" s="21" t="str">
        <f>IFERROR(__xludf.DUMMYFUNCTION("""COMPUTED_VALUE"""),"09/08/2025")</f>
        <v>09/08/2025</v>
      </c>
      <c r="L2716" s="21" t="str">
        <f>IFERROR(__xludf.DUMMYFUNCTION("""COMPUTED_VALUE"""),"PEREMPUAN")</f>
        <v>PEREMPUAN</v>
      </c>
      <c r="M2716" s="35" t="str">
        <f>IFERROR(__xludf.DUMMYFUNCTION("""COMPUTED_VALUE"""),"JL DR SUTOMO KOMP RUKO LIDO NO 6B")</f>
        <v>JL DR SUTOMO KOMP RUKO LIDO NO 6B</v>
      </c>
      <c r="N2716" s="35" t="str">
        <f>IFERROR(__xludf.DUMMYFUNCTION("""COMPUTED_VALUE"""),"SUNGAI BANGKONG")</f>
        <v>SUNGAI BANGKONG</v>
      </c>
      <c r="O2716" s="35" t="str">
        <f>IFERROR(__xludf.DUMMYFUNCTION("""COMPUTED_VALUE"""),"PONTIANAK KOTA")</f>
        <v>PONTIANAK KOTA</v>
      </c>
      <c r="P2716" s="35" t="str">
        <f>IFERROR(__xludf.DUMMYFUNCTION("""COMPUTED_VALUE"""),"PONTIANAK KOTA")</f>
        <v>PONTIANAK KOTA</v>
      </c>
      <c r="Q2716" s="35" t="str">
        <f>IFERROR(__xludf.DUMMYFUNCTION("""COMPUTED_VALUE"""),"KALBAR")</f>
        <v>KALBAR</v>
      </c>
      <c r="R2716" s="21" t="str">
        <f>IFERROR(__xludf.DUMMYFUNCTION("""COMPUTED_VALUE"""),"ISLAM")</f>
        <v>ISLAM</v>
      </c>
      <c r="S2716" s="74" t="str">
        <f>IFERROR(__xludf.DUMMYFUNCTION("""COMPUTED_VALUE"""),"-")</f>
        <v>-</v>
      </c>
      <c r="T2716" s="35" t="str">
        <f>IFERROR(__xludf.DUMMYFUNCTION("""COMPUTED_VALUE"""),"SAKIT PINGGANG")</f>
        <v>SAKIT PINGGANG</v>
      </c>
      <c r="U2716" s="35" t="str">
        <f>IFERROR(__xludf.DUMMYFUNCTION("""COMPUTED_VALUE"""),"BAKSET")</f>
        <v>BAKSET</v>
      </c>
      <c r="V2716" s="37" t="str">
        <f>IFERROR(__xludf.DUMMYFUNCTION("""COMPUTED_VALUE"""),"081350627850")</f>
        <v>081350627850</v>
      </c>
      <c r="W2716" s="45"/>
    </row>
    <row r="2717">
      <c r="A2717" s="45"/>
      <c r="B2717" s="24" t="str">
        <f>IFERROR(__xludf.DUMMYFUNCTION("""COMPUTED_VALUE"""),"09/08/2025 13:41:14")</f>
        <v>09/08/2025 13:41:14</v>
      </c>
      <c r="C2717" s="35"/>
      <c r="D2717" s="10">
        <f>IFERROR(__xludf.DUMMYFUNCTION("""COMPUTED_VALUE"""),45878.0)</f>
        <v>45878</v>
      </c>
      <c r="E2717" s="35" t="str">
        <f>IFERROR(__xludf.DUMMYFUNCTION("""COMPUTED_VALUE"""),"08Agu")</f>
        <v>08Agu</v>
      </c>
      <c r="F2717" s="34" t="str">
        <f>IFERROR(__xludf.DUMMYFUNCTION("""COMPUTED_VALUE"""),"2025")</f>
        <v>2025</v>
      </c>
      <c r="G2717" s="35" t="str">
        <f>IFERROR(__xludf.DUMMYFUNCTION("""COMPUTED_VALUE"""),"DAFID")</f>
        <v>DAFID</v>
      </c>
      <c r="H2717" s="35" t="str">
        <f>IFERROR(__xludf.DUMMYFUNCTION("""COMPUTED_VALUE"""),"D8725087201")</f>
        <v>D8725087201</v>
      </c>
      <c r="I2717" s="35">
        <f>IFERROR(__xludf.DUMMYFUNCTION("""COMPUTED_VALUE"""),38.0)</f>
        <v>38</v>
      </c>
      <c r="J2717" s="35" t="str">
        <f>IFERROR(__xludf.DUMMYFUNCTION("""COMPUTED_VALUE"""),"35-44 tahun")</f>
        <v>35-44 tahun</v>
      </c>
      <c r="K2717" s="21" t="str">
        <f>IFERROR(__xludf.DUMMYFUNCTION("""COMPUTED_VALUE"""),"31/12/1987")</f>
        <v>31/12/1987</v>
      </c>
      <c r="L2717" s="21" t="str">
        <f>IFERROR(__xludf.DUMMYFUNCTION("""COMPUTED_VALUE"""),"LAKI-LAKI")</f>
        <v>LAKI-LAKI</v>
      </c>
      <c r="M2717" s="35" t="str">
        <f>IFERROR(__xludf.DUMMYFUNCTION("""COMPUTED_VALUE"""),"JLN HUSEIN HAMZAH, KOMPLEK DWI RATNA INDAH 3 NO 21 C")</f>
        <v>JLN HUSEIN HAMZAH, KOMPLEK DWI RATNA INDAH 3 NO 21 C</v>
      </c>
      <c r="N2717" s="35" t="str">
        <f>IFERROR(__xludf.DUMMYFUNCTION("""COMPUTED_VALUE"""),"PAL LIMA")</f>
        <v>PAL LIMA</v>
      </c>
      <c r="O2717" s="35" t="str">
        <f>IFERROR(__xludf.DUMMYFUNCTION("""COMPUTED_VALUE"""),"PONTIANAK BARAT")</f>
        <v>PONTIANAK BARAT</v>
      </c>
      <c r="P2717" s="35" t="str">
        <f>IFERROR(__xludf.DUMMYFUNCTION("""COMPUTED_VALUE"""),"PONTIANAK")</f>
        <v>PONTIANAK</v>
      </c>
      <c r="Q2717" s="35" t="str">
        <f>IFERROR(__xludf.DUMMYFUNCTION("""COMPUTED_VALUE"""),"KALIMANTAN BARAT")</f>
        <v>KALIMANTAN BARAT</v>
      </c>
      <c r="R2717" s="21" t="str">
        <f>IFERROR(__xludf.DUMMYFUNCTION("""COMPUTED_VALUE"""),"ISLAM")</f>
        <v>ISLAM</v>
      </c>
      <c r="S2717" s="74" t="str">
        <f>IFERROR(__xludf.DUMMYFUNCTION("""COMPUTED_VALUE"""),"POLRI")</f>
        <v>POLRI</v>
      </c>
      <c r="T2717" s="35" t="str">
        <f>IFERROR(__xludf.DUMMYFUNCTION("""COMPUTED_VALUE"""),"GERAK DI BAHU KIRI TERBATAS DAN OTOT KERAM")</f>
        <v>GERAK DI BAHU KIRI TERBATAS DAN OTOT KERAM</v>
      </c>
      <c r="U2717" s="35" t="str">
        <f>IFERROR(__xludf.DUMMYFUNCTION("""COMPUTED_VALUE"""),"FITNESS")</f>
        <v>FITNESS</v>
      </c>
      <c r="V2717" s="37" t="str">
        <f>IFERROR(__xludf.DUMMYFUNCTION("""COMPUTED_VALUE"""),"081345257201")</f>
        <v>081345257201</v>
      </c>
      <c r="W2717" s="45"/>
    </row>
    <row r="2718">
      <c r="A2718" s="45"/>
      <c r="B2718" s="24" t="str">
        <f>IFERROR(__xludf.DUMMYFUNCTION("""COMPUTED_VALUE"""),"09/08/2025 13:52:22")</f>
        <v>09/08/2025 13:52:22</v>
      </c>
      <c r="C2718" s="35"/>
      <c r="D2718" s="10">
        <f>IFERROR(__xludf.DUMMYFUNCTION("""COMPUTED_VALUE"""),45878.0)</f>
        <v>45878</v>
      </c>
      <c r="E2718" s="35" t="str">
        <f>IFERROR(__xludf.DUMMYFUNCTION("""COMPUTED_VALUE"""),"08Agu")</f>
        <v>08Agu</v>
      </c>
      <c r="F2718" s="34" t="str">
        <f>IFERROR(__xludf.DUMMYFUNCTION("""COMPUTED_VALUE"""),"2025")</f>
        <v>2025</v>
      </c>
      <c r="G2718" s="35" t="str">
        <f>IFERROR(__xludf.DUMMYFUNCTION("""COMPUTED_VALUE"""),"BAYU YOGA SEPTIAN")</f>
        <v>BAYU YOGA SEPTIAN</v>
      </c>
      <c r="H2718" s="35" t="str">
        <f>IFERROR(__xludf.DUMMYFUNCTION("""COMPUTED_VALUE"""),"B0025081615")</f>
        <v>B0025081615</v>
      </c>
      <c r="I2718" s="35">
        <f>IFERROR(__xludf.DUMMYFUNCTION("""COMPUTED_VALUE"""),25.0)</f>
        <v>25</v>
      </c>
      <c r="J2718" s="35" t="str">
        <f>IFERROR(__xludf.DUMMYFUNCTION("""COMPUTED_VALUE"""),"25-34 tahun")</f>
        <v>25-34 tahun</v>
      </c>
      <c r="K2718" s="21" t="str">
        <f>IFERROR(__xludf.DUMMYFUNCTION("""COMPUTED_VALUE"""),"28/09/2000")</f>
        <v>28/09/2000</v>
      </c>
      <c r="L2718" s="21" t="str">
        <f>IFERROR(__xludf.DUMMYFUNCTION("""COMPUTED_VALUE"""),"LAKI-LAKI")</f>
        <v>LAKI-LAKI</v>
      </c>
      <c r="M2718" s="35" t="str">
        <f>IFERROR(__xludf.DUMMYFUNCTION("""COMPUTED_VALUE"""),"KETANGGI 010/002")</f>
        <v>KETANGGI 010/002</v>
      </c>
      <c r="N2718" s="35" t="str">
        <f>IFERROR(__xludf.DUMMYFUNCTION("""COMPUTED_VALUE"""),"KETANGGI")</f>
        <v>KETANGGI</v>
      </c>
      <c r="O2718" s="35" t="str">
        <f>IFERROR(__xludf.DUMMYFUNCTION("""COMPUTED_VALUE"""),"REMBANG")</f>
        <v>REMBANG</v>
      </c>
      <c r="P2718" s="35" t="str">
        <f>IFERROR(__xludf.DUMMYFUNCTION("""COMPUTED_VALUE"""),"KAB. REMBANG")</f>
        <v>KAB. REMBANG</v>
      </c>
      <c r="Q2718" s="35" t="str">
        <f>IFERROR(__xludf.DUMMYFUNCTION("""COMPUTED_VALUE"""),"JAWA TENGAH")</f>
        <v>JAWA TENGAH</v>
      </c>
      <c r="R2718" s="21" t="str">
        <f>IFERROR(__xludf.DUMMYFUNCTION("""COMPUTED_VALUE"""),"ISLAM")</f>
        <v>ISLAM</v>
      </c>
      <c r="S2718" s="74" t="str">
        <f>IFERROR(__xludf.DUMMYFUNCTION("""COMPUTED_VALUE"""),"SWASTA")</f>
        <v>SWASTA</v>
      </c>
      <c r="T2718" s="35" t="str">
        <f>IFERROR(__xludf.DUMMYFUNCTION("""COMPUTED_VALUE"""),"SAKIT DI BAGIAN PINGGANG DAN BOKONG")</f>
        <v>SAKIT DI BAGIAN PINGGANG DAN BOKONG</v>
      </c>
      <c r="U2718" s="35" t="str">
        <f>IFERROR(__xludf.DUMMYFUNCTION("""COMPUTED_VALUE"""),"GYM")</f>
        <v>GYM</v>
      </c>
      <c r="V2718" s="37" t="str">
        <f>IFERROR(__xludf.DUMMYFUNCTION("""COMPUTED_VALUE"""),"081256061615")</f>
        <v>081256061615</v>
      </c>
      <c r="W2718" s="45"/>
    </row>
    <row r="2719">
      <c r="A2719" s="45"/>
      <c r="B2719" s="24" t="str">
        <f>IFERROR(__xludf.DUMMYFUNCTION("""COMPUTED_VALUE"""),"07/08/2025 22:38:55")</f>
        <v>07/08/2025 22:38:55</v>
      </c>
      <c r="C2719" s="35"/>
      <c r="D2719" s="10">
        <f>IFERROR(__xludf.DUMMYFUNCTION("""COMPUTED_VALUE"""),45879.0)</f>
        <v>45879</v>
      </c>
      <c r="E2719" s="35" t="str">
        <f>IFERROR(__xludf.DUMMYFUNCTION("""COMPUTED_VALUE"""),"08Agu")</f>
        <v>08Agu</v>
      </c>
      <c r="F2719" s="34" t="str">
        <f>IFERROR(__xludf.DUMMYFUNCTION("""COMPUTED_VALUE"""),"2025")</f>
        <v>2025</v>
      </c>
      <c r="G2719" s="35" t="str">
        <f>IFERROR(__xludf.DUMMYFUNCTION("""COMPUTED_VALUE"""),"DIEGO RUMANIA")</f>
        <v>DIEGO RUMANIA</v>
      </c>
      <c r="H2719" s="35" t="str">
        <f>IFERROR(__xludf.DUMMYFUNCTION("""COMPUTED_VALUE"""),"D9125084788")</f>
        <v>D9125084788</v>
      </c>
      <c r="I2719" s="35">
        <f>IFERROR(__xludf.DUMMYFUNCTION("""COMPUTED_VALUE"""),35.0)</f>
        <v>35</v>
      </c>
      <c r="J2719" s="35" t="str">
        <f>IFERROR(__xludf.DUMMYFUNCTION("""COMPUTED_VALUE"""),"35-44 tahun")</f>
        <v>35-44 tahun</v>
      </c>
      <c r="K2719" s="21" t="str">
        <f>IFERROR(__xludf.DUMMYFUNCTION("""COMPUTED_VALUE"""),"07/03/1991")</f>
        <v>07/03/1991</v>
      </c>
      <c r="L2719" s="21" t="str">
        <f>IFERROR(__xludf.DUMMYFUNCTION("""COMPUTED_VALUE"""),"LAKI-LAKI")</f>
        <v>LAKI-LAKI</v>
      </c>
      <c r="M2719" s="35" t="str">
        <f>IFERROR(__xludf.DUMMYFUNCTION("""COMPUTED_VALUE"""),"JL.KYAI TAPA")</f>
        <v>JL.KYAI TAPA</v>
      </c>
      <c r="N2719" s="35" t="str">
        <f>IFERROR(__xludf.DUMMYFUNCTION("""COMPUTED_VALUE"""),"KINJIL PESISIR")</f>
        <v>KINJIL PESISIR</v>
      </c>
      <c r="O2719" s="35" t="str">
        <f>IFERROR(__xludf.DUMMYFUNCTION("""COMPUTED_VALUE"""),"BENUA KAYONG")</f>
        <v>BENUA KAYONG</v>
      </c>
      <c r="P2719" s="35" t="str">
        <f>IFERROR(__xludf.DUMMYFUNCTION("""COMPUTED_VALUE"""),"KETAPANG")</f>
        <v>KETAPANG</v>
      </c>
      <c r="Q2719" s="35" t="str">
        <f>IFERROR(__xludf.DUMMYFUNCTION("""COMPUTED_VALUE"""),"KALIMANTAN BARAT")</f>
        <v>KALIMANTAN BARAT</v>
      </c>
      <c r="R2719" s="21" t="str">
        <f>IFERROR(__xludf.DUMMYFUNCTION("""COMPUTED_VALUE"""),"ISLAM")</f>
        <v>ISLAM</v>
      </c>
      <c r="S2719" s="74" t="str">
        <f>IFERROR(__xludf.DUMMYFUNCTION("""COMPUTED_VALUE"""),"SWASTA")</f>
        <v>SWASTA</v>
      </c>
      <c r="T2719" s="35" t="str">
        <f>IFERROR(__xludf.DUMMYFUNCTION("""COMPUTED_VALUE"""),"NYERI DADA")</f>
        <v>NYERI DADA</v>
      </c>
      <c r="U2719" s="35" t="str">
        <f>IFERROR(__xludf.DUMMYFUNCTION("""COMPUTED_VALUE"""),"LARI")</f>
        <v>LARI</v>
      </c>
      <c r="V2719" s="37" t="str">
        <f>IFERROR(__xludf.DUMMYFUNCTION("""COMPUTED_VALUE"""),"085252104788")</f>
        <v>085252104788</v>
      </c>
      <c r="W2719" s="45"/>
    </row>
    <row r="2720">
      <c r="A2720" s="45"/>
      <c r="B2720" s="24" t="str">
        <f>IFERROR(__xludf.DUMMYFUNCTION("""COMPUTED_VALUE"""),"10/08/2025 13:51:57")</f>
        <v>10/08/2025 13:51:57</v>
      </c>
      <c r="C2720" s="35"/>
      <c r="D2720" s="10">
        <f>IFERROR(__xludf.DUMMYFUNCTION("""COMPUTED_VALUE"""),45879.0)</f>
        <v>45879</v>
      </c>
      <c r="E2720" s="35" t="str">
        <f>IFERROR(__xludf.DUMMYFUNCTION("""COMPUTED_VALUE"""),"08Agu")</f>
        <v>08Agu</v>
      </c>
      <c r="F2720" s="34" t="str">
        <f>IFERROR(__xludf.DUMMYFUNCTION("""COMPUTED_VALUE"""),"2025")</f>
        <v>2025</v>
      </c>
      <c r="G2720" s="35" t="str">
        <f>IFERROR(__xludf.DUMMYFUNCTION("""COMPUTED_VALUE"""),"ZEA ARDELIA ALIKA JAUZA")</f>
        <v>ZEA ARDELIA ALIKA JAUZA</v>
      </c>
      <c r="H2720" s="35" t="str">
        <f>IFERROR(__xludf.DUMMYFUNCTION("""COMPUTED_VALUE"""),"Z0725083883")</f>
        <v>Z0725083883</v>
      </c>
      <c r="I2720" s="35">
        <f>IFERROR(__xludf.DUMMYFUNCTION("""COMPUTED_VALUE"""),18.0)</f>
        <v>18</v>
      </c>
      <c r="J2720" s="35" t="str">
        <f>IFERROR(__xludf.DUMMYFUNCTION("""COMPUTED_VALUE"""),"&lt; 18 tahun")</f>
        <v>&lt; 18 tahun</v>
      </c>
      <c r="K2720" s="21" t="str">
        <f>IFERROR(__xludf.DUMMYFUNCTION("""COMPUTED_VALUE"""),"14/12/2007")</f>
        <v>14/12/2007</v>
      </c>
      <c r="L2720" s="21" t="str">
        <f>IFERROR(__xludf.DUMMYFUNCTION("""COMPUTED_VALUE"""),"PEREMPUAN")</f>
        <v>PEREMPUAN</v>
      </c>
      <c r="M2720" s="35" t="str">
        <f>IFERROR(__xludf.DUMMYFUNCTION("""COMPUTED_VALUE"""),"JL. PERDAMAIAN KOMP TAMAN INSAN KAPUAS 5 NO 18A")</f>
        <v>JL. PERDAMAIAN KOMP TAMAN INSAN KAPUAS 5 NO 18A</v>
      </c>
      <c r="N2720" s="35" t="str">
        <f>IFERROR(__xludf.DUMMYFUNCTION("""COMPUTED_VALUE"""),"PUNGGUR KECIL")</f>
        <v>PUNGGUR KECIL</v>
      </c>
      <c r="O2720" s="35" t="str">
        <f>IFERROR(__xludf.DUMMYFUNCTION("""COMPUTED_VALUE"""),"SUI. KAKAP")</f>
        <v>SUI. KAKAP</v>
      </c>
      <c r="P2720" s="35" t="str">
        <f>IFERROR(__xludf.DUMMYFUNCTION("""COMPUTED_VALUE"""),"KUBU RAYA")</f>
        <v>KUBU RAYA</v>
      </c>
      <c r="Q2720" s="35" t="str">
        <f>IFERROR(__xludf.DUMMYFUNCTION("""COMPUTED_VALUE"""),"KALIMANTAN BARAT")</f>
        <v>KALIMANTAN BARAT</v>
      </c>
      <c r="R2720" s="21" t="str">
        <f>IFERROR(__xludf.DUMMYFUNCTION("""COMPUTED_VALUE"""),"ISLAM")</f>
        <v>ISLAM</v>
      </c>
      <c r="S2720" s="74" t="str">
        <f>IFERROR(__xludf.DUMMYFUNCTION("""COMPUTED_VALUE"""),"PELAJAR")</f>
        <v>PELAJAR</v>
      </c>
      <c r="T2720" s="35" t="str">
        <f>IFERROR(__xludf.DUMMYFUNCTION("""COMPUTED_VALUE"""),"PINGGANG-PANTAT")</f>
        <v>PINGGANG-PANTAT</v>
      </c>
      <c r="U2720" s="35" t="str">
        <f>IFERROR(__xludf.DUMMYFUNCTION("""COMPUTED_VALUE"""),"BASKET")</f>
        <v>BASKET</v>
      </c>
      <c r="V2720" s="37" t="str">
        <f>IFERROR(__xludf.DUMMYFUNCTION("""COMPUTED_VALUE"""),"082164693883")</f>
        <v>082164693883</v>
      </c>
      <c r="W2720" s="45"/>
    </row>
    <row r="2721">
      <c r="A2721" s="45"/>
      <c r="B2721" s="24" t="str">
        <f>IFERROR(__xludf.DUMMYFUNCTION("""COMPUTED_VALUE"""),"10/08/2025 16:55:36")</f>
        <v>10/08/2025 16:55:36</v>
      </c>
      <c r="C2721" s="35"/>
      <c r="D2721" s="10">
        <f>IFERROR(__xludf.DUMMYFUNCTION("""COMPUTED_VALUE"""),45879.0)</f>
        <v>45879</v>
      </c>
      <c r="E2721" s="35" t="str">
        <f>IFERROR(__xludf.DUMMYFUNCTION("""COMPUTED_VALUE"""),"08Agu")</f>
        <v>08Agu</v>
      </c>
      <c r="F2721" s="34" t="str">
        <f>IFERROR(__xludf.DUMMYFUNCTION("""COMPUTED_VALUE"""),"2025")</f>
        <v>2025</v>
      </c>
      <c r="G2721" s="35" t="str">
        <f>IFERROR(__xludf.DUMMYFUNCTION("""COMPUTED_VALUE"""),"YOVINKA")</f>
        <v>YOVINKA</v>
      </c>
      <c r="H2721" s="35" t="str">
        <f>IFERROR(__xludf.DUMMYFUNCTION("""COMPUTED_VALUE"""),"Y9525082999")</f>
        <v>Y9525082999</v>
      </c>
      <c r="I2721" s="35">
        <f>IFERROR(__xludf.DUMMYFUNCTION("""COMPUTED_VALUE"""),30.0)</f>
        <v>30</v>
      </c>
      <c r="J2721" s="35" t="str">
        <f>IFERROR(__xludf.DUMMYFUNCTION("""COMPUTED_VALUE"""),"25-34 tahun")</f>
        <v>25-34 tahun</v>
      </c>
      <c r="K2721" s="21" t="str">
        <f>IFERROR(__xludf.DUMMYFUNCTION("""COMPUTED_VALUE"""),"19/08/1995")</f>
        <v>19/08/1995</v>
      </c>
      <c r="L2721" s="21" t="str">
        <f>IFERROR(__xludf.DUMMYFUNCTION("""COMPUTED_VALUE"""),"PEREMPUAN")</f>
        <v>PEREMPUAN</v>
      </c>
      <c r="M2721" s="35" t="str">
        <f>IFERROR(__xludf.DUMMYFUNCTION("""COMPUTED_VALUE"""),"JL. ISMAIL MARZUKI")</f>
        <v>JL. ISMAIL MARZUKI</v>
      </c>
      <c r="N2721" s="35" t="str">
        <f>IFERROR(__xludf.DUMMYFUNCTION("""COMPUTED_VALUE"""),"BENUA MELAYU DARAT")</f>
        <v>BENUA MELAYU DARAT</v>
      </c>
      <c r="O2721" s="35" t="str">
        <f>IFERROR(__xludf.DUMMYFUNCTION("""COMPUTED_VALUE"""),"PONTIANAK SELATAN")</f>
        <v>PONTIANAK SELATAN</v>
      </c>
      <c r="P2721" s="35" t="str">
        <f>IFERROR(__xludf.DUMMYFUNCTION("""COMPUTED_VALUE"""),"PONTIANAK")</f>
        <v>PONTIANAK</v>
      </c>
      <c r="Q2721" s="35" t="str">
        <f>IFERROR(__xludf.DUMMYFUNCTION("""COMPUTED_VALUE"""),"KALIMANTAN BARAT")</f>
        <v>KALIMANTAN BARAT</v>
      </c>
      <c r="R2721" s="21" t="str">
        <f>IFERROR(__xludf.DUMMYFUNCTION("""COMPUTED_VALUE"""),"KATOLIK")</f>
        <v>KATOLIK</v>
      </c>
      <c r="S2721" s="74" t="str">
        <f>IFERROR(__xludf.DUMMYFUNCTION("""COMPUTED_VALUE"""),"IRT")</f>
        <v>IRT</v>
      </c>
      <c r="T2721" s="35" t="str">
        <f>IFERROR(__xludf.DUMMYFUNCTION("""COMPUTED_VALUE"""),"CEK UP")</f>
        <v>CEK UP</v>
      </c>
      <c r="U2721" s="35" t="str">
        <f>IFERROR(__xludf.DUMMYFUNCTION("""COMPUTED_VALUE"""),"GYM, TENNIS, PADEL")</f>
        <v>GYM, TENNIS, PADEL</v>
      </c>
      <c r="V2721" s="37" t="str">
        <f>IFERROR(__xludf.DUMMYFUNCTION("""COMPUTED_VALUE"""),"08125622999")</f>
        <v>08125622999</v>
      </c>
      <c r="W2721" s="45"/>
    </row>
    <row r="2722">
      <c r="A2722" s="45"/>
      <c r="B2722" s="24" t="str">
        <f>IFERROR(__xludf.DUMMYFUNCTION("""COMPUTED_VALUE"""),"10/08/2025 14:44:35")</f>
        <v>10/08/2025 14:44:35</v>
      </c>
      <c r="C2722" s="35"/>
      <c r="D2722" s="10">
        <f>IFERROR(__xludf.DUMMYFUNCTION("""COMPUTED_VALUE"""),45879.0)</f>
        <v>45879</v>
      </c>
      <c r="E2722" s="35" t="str">
        <f>IFERROR(__xludf.DUMMYFUNCTION("""COMPUTED_VALUE"""),"08Agu")</f>
        <v>08Agu</v>
      </c>
      <c r="F2722" s="34" t="str">
        <f>IFERROR(__xludf.DUMMYFUNCTION("""COMPUTED_VALUE"""),"2025")</f>
        <v>2025</v>
      </c>
      <c r="G2722" s="35" t="str">
        <f>IFERROR(__xludf.DUMMYFUNCTION("""COMPUTED_VALUE"""),"HERRI WASONO")</f>
        <v>HERRI WASONO</v>
      </c>
      <c r="H2722" s="35" t="str">
        <f>IFERROR(__xludf.DUMMYFUNCTION("""COMPUTED_VALUE"""),"H8425087651")</f>
        <v>H8425087651</v>
      </c>
      <c r="I2722" s="35">
        <f>IFERROR(__xludf.DUMMYFUNCTION("""COMPUTED_VALUE"""),42.0)</f>
        <v>42</v>
      </c>
      <c r="J2722" s="35" t="str">
        <f>IFERROR(__xludf.DUMMYFUNCTION("""COMPUTED_VALUE"""),"35-44 tahun")</f>
        <v>35-44 tahun</v>
      </c>
      <c r="K2722" s="21" t="str">
        <f>IFERROR(__xludf.DUMMYFUNCTION("""COMPUTED_VALUE"""),"21/03/1984")</f>
        <v>21/03/1984</v>
      </c>
      <c r="L2722" s="21" t="str">
        <f>IFERROR(__xludf.DUMMYFUNCTION("""COMPUTED_VALUE"""),"LAKI-LAKI")</f>
        <v>LAKI-LAKI</v>
      </c>
      <c r="M2722" s="35" t="str">
        <f>IFERROR(__xludf.DUMMYFUNCTION("""COMPUTED_VALUE"""),"JL. KARET GG. KARET INDAH NO. 28")</f>
        <v>JL. KARET GG. KARET INDAH NO. 28</v>
      </c>
      <c r="N2722" s="35" t="str">
        <f>IFERROR(__xludf.DUMMYFUNCTION("""COMPUTED_VALUE"""),"SUNGAI BELIUNG")</f>
        <v>SUNGAI BELIUNG</v>
      </c>
      <c r="O2722" s="35" t="str">
        <f>IFERROR(__xludf.DUMMYFUNCTION("""COMPUTED_VALUE"""),"PONTIANAK BARAT")</f>
        <v>PONTIANAK BARAT</v>
      </c>
      <c r="P2722" s="35" t="str">
        <f>IFERROR(__xludf.DUMMYFUNCTION("""COMPUTED_VALUE"""),"KOTA PONTIANAK")</f>
        <v>KOTA PONTIANAK</v>
      </c>
      <c r="Q2722" s="35" t="str">
        <f>IFERROR(__xludf.DUMMYFUNCTION("""COMPUTED_VALUE"""),"KALIMANTAN BARAT")</f>
        <v>KALIMANTAN BARAT</v>
      </c>
      <c r="R2722" s="21" t="str">
        <f>IFERROR(__xludf.DUMMYFUNCTION("""COMPUTED_VALUE"""),"ISLAM")</f>
        <v>ISLAM</v>
      </c>
      <c r="S2722" s="74" t="str">
        <f>IFERROR(__xludf.DUMMYFUNCTION("""COMPUTED_VALUE"""),"SWASTA")</f>
        <v>SWASTA</v>
      </c>
      <c r="T2722" s="35" t="str">
        <f>IFERROR(__xludf.DUMMYFUNCTION("""COMPUTED_VALUE"""),"SAKIT OTOT HAMSTRING")</f>
        <v>SAKIT OTOT HAMSTRING</v>
      </c>
      <c r="U2722" s="35" t="str">
        <f>IFERROR(__xludf.DUMMYFUNCTION("""COMPUTED_VALUE"""),"BEKERJA LAPANGAN")</f>
        <v>BEKERJA LAPANGAN</v>
      </c>
      <c r="V2722" s="37" t="str">
        <f>IFERROR(__xludf.DUMMYFUNCTION("""COMPUTED_VALUE"""),"081345517651")</f>
        <v>081345517651</v>
      </c>
      <c r="W2722" s="45"/>
    </row>
    <row r="2723">
      <c r="A2723" s="45"/>
      <c r="B2723" s="24" t="str">
        <f>IFERROR(__xludf.DUMMYFUNCTION("""COMPUTED_VALUE"""),"11/08/2025 9:35:43")</f>
        <v>11/08/2025 9:35:43</v>
      </c>
      <c r="C2723" s="35"/>
      <c r="D2723" s="10">
        <f>IFERROR(__xludf.DUMMYFUNCTION("""COMPUTED_VALUE"""),45880.0)</f>
        <v>45880</v>
      </c>
      <c r="E2723" s="35" t="str">
        <f>IFERROR(__xludf.DUMMYFUNCTION("""COMPUTED_VALUE"""),"08Agu")</f>
        <v>08Agu</v>
      </c>
      <c r="F2723" s="34" t="str">
        <f>IFERROR(__xludf.DUMMYFUNCTION("""COMPUTED_VALUE"""),"2025")</f>
        <v>2025</v>
      </c>
      <c r="G2723" s="35" t="str">
        <f>IFERROR(__xludf.DUMMYFUNCTION("""COMPUTED_VALUE"""),"I DEWA AYU SARIPUTRI")</f>
        <v>I DEWA AYU SARIPUTRI</v>
      </c>
      <c r="H2723" s="35" t="str">
        <f>IFERROR(__xludf.DUMMYFUNCTION("""COMPUTED_VALUE"""),"I9825088872")</f>
        <v>I9825088872</v>
      </c>
      <c r="I2723" s="35">
        <f>IFERROR(__xludf.DUMMYFUNCTION("""COMPUTED_VALUE"""),27.0)</f>
        <v>27</v>
      </c>
      <c r="J2723" s="35" t="str">
        <f>IFERROR(__xludf.DUMMYFUNCTION("""COMPUTED_VALUE"""),"25-34 tahun")</f>
        <v>25-34 tahun</v>
      </c>
      <c r="K2723" s="21" t="str">
        <f>IFERROR(__xludf.DUMMYFUNCTION("""COMPUTED_VALUE"""),"13/07/1998")</f>
        <v>13/07/1998</v>
      </c>
      <c r="L2723" s="21" t="str">
        <f>IFERROR(__xludf.DUMMYFUNCTION("""COMPUTED_VALUE"""),"PEREMPUAN")</f>
        <v>PEREMPUAN</v>
      </c>
      <c r="M2723" s="35" t="str">
        <f>IFERROR(__xludf.DUMMYFUNCTION("""COMPUTED_VALUE"""),"MALALAYANG")</f>
        <v>MALALAYANG</v>
      </c>
      <c r="N2723" s="35" t="str">
        <f>IFERROR(__xludf.DUMMYFUNCTION("""COMPUTED_VALUE"""),"MALALAYANG 2")</f>
        <v>MALALAYANG 2</v>
      </c>
      <c r="O2723" s="35" t="str">
        <f>IFERROR(__xludf.DUMMYFUNCTION("""COMPUTED_VALUE"""),"MALALAYANG 2")</f>
        <v>MALALAYANG 2</v>
      </c>
      <c r="P2723" s="35" t="str">
        <f>IFERROR(__xludf.DUMMYFUNCTION("""COMPUTED_VALUE"""),"MANADO")</f>
        <v>MANADO</v>
      </c>
      <c r="Q2723" s="35" t="str">
        <f>IFERROR(__xludf.DUMMYFUNCTION("""COMPUTED_VALUE"""),"SULAWESI UTARA")</f>
        <v>SULAWESI UTARA</v>
      </c>
      <c r="R2723" s="21" t="str">
        <f>IFERROR(__xludf.DUMMYFUNCTION("""COMPUTED_VALUE"""),"HINDU")</f>
        <v>HINDU</v>
      </c>
      <c r="S2723" s="74" t="str">
        <f>IFERROR(__xludf.DUMMYFUNCTION("""COMPUTED_VALUE"""),"PNS")</f>
        <v>PNS</v>
      </c>
      <c r="T2723" s="35" t="str">
        <f>IFERROR(__xludf.DUMMYFUNCTION("""COMPUTED_VALUE"""),"SPRAIN ANKLE")</f>
        <v>SPRAIN ANKLE</v>
      </c>
      <c r="U2723" s="35" t="str">
        <f>IFERROR(__xludf.DUMMYFUNCTION("""COMPUTED_VALUE"""),"LARI")</f>
        <v>LARI</v>
      </c>
      <c r="V2723" s="37" t="str">
        <f>IFERROR(__xludf.DUMMYFUNCTION("""COMPUTED_VALUE"""),"082343348872")</f>
        <v>082343348872</v>
      </c>
      <c r="W2723" s="45"/>
    </row>
    <row r="2724">
      <c r="A2724" s="45"/>
      <c r="B2724" s="24" t="str">
        <f>IFERROR(__xludf.DUMMYFUNCTION("""COMPUTED_VALUE"""),"11/08/2025 12:03:29")</f>
        <v>11/08/2025 12:03:29</v>
      </c>
      <c r="C2724" s="35"/>
      <c r="D2724" s="10">
        <f>IFERROR(__xludf.DUMMYFUNCTION("""COMPUTED_VALUE"""),45880.0)</f>
        <v>45880</v>
      </c>
      <c r="E2724" s="35" t="str">
        <f>IFERROR(__xludf.DUMMYFUNCTION("""COMPUTED_VALUE"""),"08Agu")</f>
        <v>08Agu</v>
      </c>
      <c r="F2724" s="34" t="str">
        <f>IFERROR(__xludf.DUMMYFUNCTION("""COMPUTED_VALUE"""),"2025")</f>
        <v>2025</v>
      </c>
      <c r="G2724" s="35" t="str">
        <f>IFERROR(__xludf.DUMMYFUNCTION("""COMPUTED_VALUE"""),"SOFHIA LEKA")</f>
        <v>SOFHIA LEKA</v>
      </c>
      <c r="H2724" s="35" t="str">
        <f>IFERROR(__xludf.DUMMYFUNCTION("""COMPUTED_VALUE"""),"S9025083777")</f>
        <v>S9025083777</v>
      </c>
      <c r="I2724" s="35">
        <f>IFERROR(__xludf.DUMMYFUNCTION("""COMPUTED_VALUE"""),35.0)</f>
        <v>35</v>
      </c>
      <c r="J2724" s="35" t="str">
        <f>IFERROR(__xludf.DUMMYFUNCTION("""COMPUTED_VALUE"""),"35-44 tahun")</f>
        <v>35-44 tahun</v>
      </c>
      <c r="K2724" s="21" t="str">
        <f>IFERROR(__xludf.DUMMYFUNCTION("""COMPUTED_VALUE"""),"08/07/1990")</f>
        <v>08/07/1990</v>
      </c>
      <c r="L2724" s="21" t="str">
        <f>IFERROR(__xludf.DUMMYFUNCTION("""COMPUTED_VALUE"""),"PEREMPUAN")</f>
        <v>PEREMPUAN</v>
      </c>
      <c r="M2724" s="35" t="str">
        <f>IFERROR(__xludf.DUMMYFUNCTION("""COMPUTED_VALUE"""),"JL. ADI SUCIPTO GG. PERMAI NO. 4")</f>
        <v>JL. ADI SUCIPTO GG. PERMAI NO. 4</v>
      </c>
      <c r="N2724" s="35" t="str">
        <f>IFERROR(__xludf.DUMMYFUNCTION("""COMPUTED_VALUE"""),"BANGKA BELITUNG LAUT")</f>
        <v>BANGKA BELITUNG LAUT</v>
      </c>
      <c r="O2724" s="35" t="str">
        <f>IFERROR(__xludf.DUMMYFUNCTION("""COMPUTED_VALUE"""),"PONTIANAK TENGGARA")</f>
        <v>PONTIANAK TENGGARA</v>
      </c>
      <c r="P2724" s="35" t="str">
        <f>IFERROR(__xludf.DUMMYFUNCTION("""COMPUTED_VALUE"""),"KOTA PONTIANAK")</f>
        <v>KOTA PONTIANAK</v>
      </c>
      <c r="Q2724" s="35" t="str">
        <f>IFERROR(__xludf.DUMMYFUNCTION("""COMPUTED_VALUE"""),"KALIMANTAN BARAT")</f>
        <v>KALIMANTAN BARAT</v>
      </c>
      <c r="R2724" s="21" t="str">
        <f>IFERROR(__xludf.DUMMYFUNCTION("""COMPUTED_VALUE"""),"PROTESTAN")</f>
        <v>PROTESTAN</v>
      </c>
      <c r="S2724" s="74" t="str">
        <f>IFERROR(__xludf.DUMMYFUNCTION("""COMPUTED_VALUE"""),"KARYAWAN SWASTA")</f>
        <v>KARYAWAN SWASTA</v>
      </c>
      <c r="T2724" s="35" t="str">
        <f>IFERROR(__xludf.DUMMYFUNCTION("""COMPUTED_VALUE"""),"SAKIT SIKU")</f>
        <v>SAKIT SIKU</v>
      </c>
      <c r="U2724" s="35" t="str">
        <f>IFERROR(__xludf.DUMMYFUNCTION("""COMPUTED_VALUE"""),"TENNIS")</f>
        <v>TENNIS</v>
      </c>
      <c r="V2724" s="37" t="str">
        <f>IFERROR(__xludf.DUMMYFUNCTION("""COMPUTED_VALUE"""),"087748113777")</f>
        <v>087748113777</v>
      </c>
      <c r="W2724" s="45"/>
    </row>
    <row r="2725">
      <c r="A2725" s="45"/>
      <c r="B2725" s="24" t="str">
        <f>IFERROR(__xludf.DUMMYFUNCTION("""COMPUTED_VALUE"""),"11/08/2025 12:14:42")</f>
        <v>11/08/2025 12:14:42</v>
      </c>
      <c r="C2725" s="35"/>
      <c r="D2725" s="10">
        <f>IFERROR(__xludf.DUMMYFUNCTION("""COMPUTED_VALUE"""),45880.0)</f>
        <v>45880</v>
      </c>
      <c r="E2725" s="35" t="str">
        <f>IFERROR(__xludf.DUMMYFUNCTION("""COMPUTED_VALUE"""),"08Agu")</f>
        <v>08Agu</v>
      </c>
      <c r="F2725" s="34" t="str">
        <f>IFERROR(__xludf.DUMMYFUNCTION("""COMPUTED_VALUE"""),"2025")</f>
        <v>2025</v>
      </c>
      <c r="G2725" s="35" t="str">
        <f>IFERROR(__xludf.DUMMYFUNCTION("""COMPUTED_VALUE"""),"BARRY EKA PUTRA")</f>
        <v>BARRY EKA PUTRA</v>
      </c>
      <c r="H2725" s="35" t="str">
        <f>IFERROR(__xludf.DUMMYFUNCTION("""COMPUTED_VALUE"""),"B9025083777")</f>
        <v>B9025083777</v>
      </c>
      <c r="I2725" s="35">
        <f>IFERROR(__xludf.DUMMYFUNCTION("""COMPUTED_VALUE"""),36.0)</f>
        <v>36</v>
      </c>
      <c r="J2725" s="35" t="str">
        <f>IFERROR(__xludf.DUMMYFUNCTION("""COMPUTED_VALUE"""),"35-44 tahun")</f>
        <v>35-44 tahun</v>
      </c>
      <c r="K2725" s="21" t="str">
        <f>IFERROR(__xludf.DUMMYFUNCTION("""COMPUTED_VALUE"""),"11/03/1990")</f>
        <v>11/03/1990</v>
      </c>
      <c r="L2725" s="21" t="str">
        <f>IFERROR(__xludf.DUMMYFUNCTION("""COMPUTED_VALUE"""),"LAKI-LAKI")</f>
        <v>LAKI-LAKI</v>
      </c>
      <c r="M2725" s="35" t="str">
        <f>IFERROR(__xludf.DUMMYFUNCTION("""COMPUTED_VALUE"""),"JL. DEWI SARTIKA NO.18")</f>
        <v>JL. DEWI SARTIKA NO.18</v>
      </c>
      <c r="N2725" s="35" t="str">
        <f>IFERROR(__xludf.DUMMYFUNCTION("""COMPUTED_VALUE"""),"BENUA MELAYU DARAT")</f>
        <v>BENUA MELAYU DARAT</v>
      </c>
      <c r="O2725" s="35" t="str">
        <f>IFERROR(__xludf.DUMMYFUNCTION("""COMPUTED_VALUE"""),"PONTIANAK SELATAN")</f>
        <v>PONTIANAK SELATAN</v>
      </c>
      <c r="P2725" s="35" t="str">
        <f>IFERROR(__xludf.DUMMYFUNCTION("""COMPUTED_VALUE"""),"KOTA PONTIANAK")</f>
        <v>KOTA PONTIANAK</v>
      </c>
      <c r="Q2725" s="35" t="str">
        <f>IFERROR(__xludf.DUMMYFUNCTION("""COMPUTED_VALUE"""),"KALIMANTAN BARAT")</f>
        <v>KALIMANTAN BARAT</v>
      </c>
      <c r="R2725" s="21" t="str">
        <f>IFERROR(__xludf.DUMMYFUNCTION("""COMPUTED_VALUE"""),"PROTESTAN")</f>
        <v>PROTESTAN</v>
      </c>
      <c r="S2725" s="74" t="str">
        <f>IFERROR(__xludf.DUMMYFUNCTION("""COMPUTED_VALUE"""),"WIRASWASTA")</f>
        <v>WIRASWASTA</v>
      </c>
      <c r="T2725" s="35" t="str">
        <f>IFERROR(__xludf.DUMMYFUNCTION("""COMPUTED_VALUE"""),"LEHER-PUNDAK")</f>
        <v>LEHER-PUNDAK</v>
      </c>
      <c r="U2725" s="35" t="str">
        <f>IFERROR(__xludf.DUMMYFUNCTION("""COMPUTED_VALUE"""),"BEKERJA DI DEPAN LAPTOP")</f>
        <v>BEKERJA DI DEPAN LAPTOP</v>
      </c>
      <c r="V2725" s="37" t="str">
        <f>IFERROR(__xludf.DUMMYFUNCTION("""COMPUTED_VALUE"""),"087748113777")</f>
        <v>087748113777</v>
      </c>
      <c r="W2725" s="45"/>
    </row>
    <row r="2726">
      <c r="A2726" s="45"/>
      <c r="B2726" s="24" t="str">
        <f>IFERROR(__xludf.DUMMYFUNCTION("""COMPUTED_VALUE"""),"11/08/2025 12:39:06")</f>
        <v>11/08/2025 12:39:06</v>
      </c>
      <c r="C2726" s="35"/>
      <c r="D2726" s="10">
        <f>IFERROR(__xludf.DUMMYFUNCTION("""COMPUTED_VALUE"""),45880.0)</f>
        <v>45880</v>
      </c>
      <c r="E2726" s="35" t="str">
        <f>IFERROR(__xludf.DUMMYFUNCTION("""COMPUTED_VALUE"""),"08Agu")</f>
        <v>08Agu</v>
      </c>
      <c r="F2726" s="34" t="str">
        <f>IFERROR(__xludf.DUMMYFUNCTION("""COMPUTED_VALUE"""),"2025")</f>
        <v>2025</v>
      </c>
      <c r="G2726" s="35" t="str">
        <f>IFERROR(__xludf.DUMMYFUNCTION("""COMPUTED_VALUE"""),"ALAMIN MZ")</f>
        <v>ALAMIN MZ</v>
      </c>
      <c r="H2726" s="35" t="str">
        <f>IFERROR(__xludf.DUMMYFUNCTION("""COMPUTED_VALUE"""),"A0125089175")</f>
        <v>A0125089175</v>
      </c>
      <c r="I2726" s="35">
        <f>IFERROR(__xludf.DUMMYFUNCTION("""COMPUTED_VALUE"""),24.0)</f>
        <v>24</v>
      </c>
      <c r="J2726" s="35" t="str">
        <f>IFERROR(__xludf.DUMMYFUNCTION("""COMPUTED_VALUE"""),"18-24 tahun")</f>
        <v>18-24 tahun</v>
      </c>
      <c r="K2726" s="21" t="str">
        <f>IFERROR(__xludf.DUMMYFUNCTION("""COMPUTED_VALUE"""),"30/10/2001")</f>
        <v>30/10/2001</v>
      </c>
      <c r="L2726" s="21" t="str">
        <f>IFERROR(__xludf.DUMMYFUNCTION("""COMPUTED_VALUE"""),"LAKI-LAKI")</f>
        <v>LAKI-LAKI</v>
      </c>
      <c r="M2726" s="35" t="str">
        <f>IFERROR(__xludf.DUMMYFUNCTION("""COMPUTED_VALUE"""),"JL. ADISUCIPTO GG. BUNGA")</f>
        <v>JL. ADISUCIPTO GG. BUNGA</v>
      </c>
      <c r="N2726" s="35" t="str">
        <f>IFERROR(__xludf.DUMMYFUNCTION("""COMPUTED_VALUE"""),"ARANG LIMBUNG")</f>
        <v>ARANG LIMBUNG</v>
      </c>
      <c r="O2726" s="35" t="str">
        <f>IFERROR(__xludf.DUMMYFUNCTION("""COMPUTED_VALUE"""),"SUNGAI RAYA")</f>
        <v>SUNGAI RAYA</v>
      </c>
      <c r="P2726" s="35" t="str">
        <f>IFERROR(__xludf.DUMMYFUNCTION("""COMPUTED_VALUE"""),"KUBU RAYA")</f>
        <v>KUBU RAYA</v>
      </c>
      <c r="Q2726" s="35" t="str">
        <f>IFERROR(__xludf.DUMMYFUNCTION("""COMPUTED_VALUE"""),"KALIMANTAN BARAT")</f>
        <v>KALIMANTAN BARAT</v>
      </c>
      <c r="R2726" s="21" t="str">
        <f>IFERROR(__xludf.DUMMYFUNCTION("""COMPUTED_VALUE"""),"ISLAM")</f>
        <v>ISLAM</v>
      </c>
      <c r="S2726" s="74" t="str">
        <f>IFERROR(__xludf.DUMMYFUNCTION("""COMPUTED_VALUE"""),"KARYAWAN BUMN")</f>
        <v>KARYAWAN BUMN</v>
      </c>
      <c r="T2726" s="35" t="str">
        <f>IFERROR(__xludf.DUMMYFUNCTION("""COMPUTED_VALUE"""),"SAKIT DI LUTUT")</f>
        <v>SAKIT DI LUTUT</v>
      </c>
      <c r="U2726" s="35" t="str">
        <f>IFERROR(__xludf.DUMMYFUNCTION("""COMPUTED_VALUE"""),"SETELAH LARI DAN TURUN NAIK TANGGA")</f>
        <v>SETELAH LARI DAN TURUN NAIK TANGGA</v>
      </c>
      <c r="V2726" s="37" t="str">
        <f>IFERROR(__xludf.DUMMYFUNCTION("""COMPUTED_VALUE"""),"085750049175")</f>
        <v>085750049175</v>
      </c>
      <c r="W2726" s="45"/>
    </row>
    <row r="2727">
      <c r="A2727" s="45"/>
      <c r="B2727" s="24" t="str">
        <f>IFERROR(__xludf.DUMMYFUNCTION("""COMPUTED_VALUE"""),"11/08/2025 13:19:57")</f>
        <v>11/08/2025 13:19:57</v>
      </c>
      <c r="C2727" s="35"/>
      <c r="D2727" s="10">
        <f>IFERROR(__xludf.DUMMYFUNCTION("""COMPUTED_VALUE"""),45626.0)</f>
        <v>45626</v>
      </c>
      <c r="E2727" s="35" t="str">
        <f>IFERROR(__xludf.DUMMYFUNCTION("""COMPUTED_VALUE"""),"11Nov")</f>
        <v>11Nov</v>
      </c>
      <c r="F2727" s="34" t="str">
        <f>IFERROR(__xludf.DUMMYFUNCTION("""COMPUTED_VALUE"""),"2024")</f>
        <v>2024</v>
      </c>
      <c r="G2727" s="35" t="str">
        <f>IFERROR(__xludf.DUMMYFUNCTION("""COMPUTED_VALUE"""),"YUNITA")</f>
        <v>YUNITA</v>
      </c>
      <c r="H2727" s="35" t="str">
        <f>IFERROR(__xludf.DUMMYFUNCTION("""COMPUTED_VALUE"""),"Y9524111515")</f>
        <v>Y9524111515</v>
      </c>
      <c r="I2727" s="35">
        <f>IFERROR(__xludf.DUMMYFUNCTION("""COMPUTED_VALUE"""),31.0)</f>
        <v>31</v>
      </c>
      <c r="J2727" s="35" t="str">
        <f>IFERROR(__xludf.DUMMYFUNCTION("""COMPUTED_VALUE"""),"25-34 tahun")</f>
        <v>25-34 tahun</v>
      </c>
      <c r="K2727" s="21" t="str">
        <f>IFERROR(__xludf.DUMMYFUNCTION("""COMPUTED_VALUE"""),"13/06/1995")</f>
        <v>13/06/1995</v>
      </c>
      <c r="L2727" s="21" t="str">
        <f>IFERROR(__xludf.DUMMYFUNCTION("""COMPUTED_VALUE"""),"PEREMPUAN")</f>
        <v>PEREMPUAN</v>
      </c>
      <c r="M2727" s="35" t="str">
        <f>IFERROR(__xludf.DUMMYFUNCTION("""COMPUTED_VALUE"""),"JL. SULTAN MUHAMMAD NO.139")</f>
        <v>JL. SULTAN MUHAMMAD NO.139</v>
      </c>
      <c r="N2727" s="35" t="str">
        <f>IFERROR(__xludf.DUMMYFUNCTION("""COMPUTED_VALUE"""),"KELURAHAN DARAT SEKIP")</f>
        <v>KELURAHAN DARAT SEKIP</v>
      </c>
      <c r="O2727" s="35" t="str">
        <f>IFERROR(__xludf.DUMMYFUNCTION("""COMPUTED_VALUE"""),"PONTIANAK KOTA")</f>
        <v>PONTIANAK KOTA</v>
      </c>
      <c r="P2727" s="35" t="str">
        <f>IFERROR(__xludf.DUMMYFUNCTION("""COMPUTED_VALUE"""),"KOTA PONTIANAKN")</f>
        <v>KOTA PONTIANAKN</v>
      </c>
      <c r="Q2727" s="35" t="str">
        <f>IFERROR(__xludf.DUMMYFUNCTION("""COMPUTED_VALUE"""),"KALIMANTAN BARAT")</f>
        <v>KALIMANTAN BARAT</v>
      </c>
      <c r="R2727" s="21" t="str">
        <f>IFERROR(__xludf.DUMMYFUNCTION("""COMPUTED_VALUE"""),"BUDDHA")</f>
        <v>BUDDHA</v>
      </c>
      <c r="S2727" s="74" t="str">
        <f>IFERROR(__xludf.DUMMYFUNCTION("""COMPUTED_VALUE"""),"WIRASWASTA")</f>
        <v>WIRASWASTA</v>
      </c>
      <c r="T2727" s="35" t="str">
        <f>IFERROR(__xludf.DUMMYFUNCTION("""COMPUTED_VALUE"""),"LOWER BACK PAIN")</f>
        <v>LOWER BACK PAIN</v>
      </c>
      <c r="U2727" s="35" t="str">
        <f>IFERROR(__xludf.DUMMYFUNCTION("""COMPUTED_VALUE"""),"PILATES DAN GYM")</f>
        <v>PILATES DAN GYM</v>
      </c>
      <c r="V2727" s="37" t="str">
        <f>IFERROR(__xludf.DUMMYFUNCTION("""COMPUTED_VALUE"""),"087818051515")</f>
        <v>087818051515</v>
      </c>
      <c r="W2727" s="45"/>
    </row>
    <row r="2728">
      <c r="A2728" s="45"/>
      <c r="B2728" s="24" t="str">
        <f>IFERROR(__xludf.DUMMYFUNCTION("""COMPUTED_VALUE"""),"11/08/2025 13:54:00")</f>
        <v>11/08/2025 13:54:00</v>
      </c>
      <c r="C2728" s="35"/>
      <c r="D2728" s="10">
        <f>IFERROR(__xludf.DUMMYFUNCTION("""COMPUTED_VALUE"""),45880.0)</f>
        <v>45880</v>
      </c>
      <c r="E2728" s="35" t="str">
        <f>IFERROR(__xludf.DUMMYFUNCTION("""COMPUTED_VALUE"""),"08Agu")</f>
        <v>08Agu</v>
      </c>
      <c r="F2728" s="34" t="str">
        <f>IFERROR(__xludf.DUMMYFUNCTION("""COMPUTED_VALUE"""),"2025")</f>
        <v>2025</v>
      </c>
      <c r="G2728" s="35" t="str">
        <f>IFERROR(__xludf.DUMMYFUNCTION("""COMPUTED_VALUE"""),"FRANSISKA MARIA NUR")</f>
        <v>FRANSISKA MARIA NUR</v>
      </c>
      <c r="H2728" s="35" t="str">
        <f>IFERROR(__xludf.DUMMYFUNCTION("""COMPUTED_VALUE"""),"F0425082598")</f>
        <v>F0425082598</v>
      </c>
      <c r="I2728" s="35">
        <f>IFERROR(__xludf.DUMMYFUNCTION("""COMPUTED_VALUE"""),21.0)</f>
        <v>21</v>
      </c>
      <c r="J2728" s="35" t="str">
        <f>IFERROR(__xludf.DUMMYFUNCTION("""COMPUTED_VALUE"""),"18-24 tahun")</f>
        <v>18-24 tahun</v>
      </c>
      <c r="K2728" s="21" t="str">
        <f>IFERROR(__xludf.DUMMYFUNCTION("""COMPUTED_VALUE"""),"28/06/2004")</f>
        <v>28/06/2004</v>
      </c>
      <c r="L2728" s="21" t="str">
        <f>IFERROR(__xludf.DUMMYFUNCTION("""COMPUTED_VALUE"""),"PEREMPUAN")</f>
        <v>PEREMPUAN</v>
      </c>
      <c r="M2728" s="35" t="str">
        <f>IFERROR(__xludf.DUMMYFUNCTION("""COMPUTED_VALUE"""),"JL. KESEHATAN KOMP. SEHAT SEJAHTERA NO. 4B")</f>
        <v>JL. KESEHATAN KOMP. SEHAT SEJAHTERA NO. 4B</v>
      </c>
      <c r="N2728" s="35" t="str">
        <f>IFERROR(__xludf.DUMMYFUNCTION("""COMPUTED_VALUE"""),"KOTA BARU")</f>
        <v>KOTA BARU</v>
      </c>
      <c r="O2728" s="35" t="str">
        <f>IFERROR(__xludf.DUMMYFUNCTION("""COMPUTED_VALUE"""),"PONTIANAK SELATAN")</f>
        <v>PONTIANAK SELATAN</v>
      </c>
      <c r="P2728" s="35" t="str">
        <f>IFERROR(__xludf.DUMMYFUNCTION("""COMPUTED_VALUE"""),"KOTA PONTIANAK")</f>
        <v>KOTA PONTIANAK</v>
      </c>
      <c r="Q2728" s="35" t="str">
        <f>IFERROR(__xludf.DUMMYFUNCTION("""COMPUTED_VALUE"""),"KALIMANTAN BARAT")</f>
        <v>KALIMANTAN BARAT</v>
      </c>
      <c r="R2728" s="21" t="str">
        <f>IFERROR(__xludf.DUMMYFUNCTION("""COMPUTED_VALUE"""),"KATOLIK")</f>
        <v>KATOLIK</v>
      </c>
      <c r="S2728" s="74" t="str">
        <f>IFERROR(__xludf.DUMMYFUNCTION("""COMPUTED_VALUE"""),"MAHASISWA")</f>
        <v>MAHASISWA</v>
      </c>
      <c r="T2728" s="35" t="str">
        <f>IFERROR(__xludf.DUMMYFUNCTION("""COMPUTED_VALUE"""),"PUNGGUNG BELAKANG DAN KAKI TERASA SAKIT")</f>
        <v>PUNGGUNG BELAKANG DAN KAKI TERASA SAKIT</v>
      </c>
      <c r="U2728" s="35" t="str">
        <f>IFERROR(__xludf.DUMMYFUNCTION("""COMPUTED_VALUE"""),"KERJA DI SALON")</f>
        <v>KERJA DI SALON</v>
      </c>
      <c r="V2728" s="37" t="str">
        <f>IFERROR(__xludf.DUMMYFUNCTION("""COMPUTED_VALUE"""),"0895702612598")</f>
        <v>0895702612598</v>
      </c>
      <c r="W2728" s="45"/>
    </row>
    <row r="2729">
      <c r="A2729" s="45"/>
      <c r="B2729" s="24" t="str">
        <f>IFERROR(__xludf.DUMMYFUNCTION("""COMPUTED_VALUE"""),"11/08/2025 13:12:20")</f>
        <v>11/08/2025 13:12:20</v>
      </c>
      <c r="C2729" s="35"/>
      <c r="D2729" s="10">
        <f>IFERROR(__xludf.DUMMYFUNCTION("""COMPUTED_VALUE"""),45880.0)</f>
        <v>45880</v>
      </c>
      <c r="E2729" s="35" t="str">
        <f>IFERROR(__xludf.DUMMYFUNCTION("""COMPUTED_VALUE"""),"08Agu")</f>
        <v>08Agu</v>
      </c>
      <c r="F2729" s="34" t="str">
        <f>IFERROR(__xludf.DUMMYFUNCTION("""COMPUTED_VALUE"""),"2025")</f>
        <v>2025</v>
      </c>
      <c r="G2729" s="35" t="str">
        <f>IFERROR(__xludf.DUMMYFUNCTION("""COMPUTED_VALUE"""),"ALIANSYAH")</f>
        <v>ALIANSYAH</v>
      </c>
      <c r="H2729" s="35" t="str">
        <f>IFERROR(__xludf.DUMMYFUNCTION("""COMPUTED_VALUE"""),"A9925083027")</f>
        <v>A9925083027</v>
      </c>
      <c r="I2729" s="35">
        <f>IFERROR(__xludf.DUMMYFUNCTION("""COMPUTED_VALUE"""),26.0)</f>
        <v>26</v>
      </c>
      <c r="J2729" s="35" t="str">
        <f>IFERROR(__xludf.DUMMYFUNCTION("""COMPUTED_VALUE"""),"25-34 tahun")</f>
        <v>25-34 tahun</v>
      </c>
      <c r="K2729" s="21" t="str">
        <f>IFERROR(__xludf.DUMMYFUNCTION("""COMPUTED_VALUE"""),"11/11/1999")</f>
        <v>11/11/1999</v>
      </c>
      <c r="L2729" s="21" t="str">
        <f>IFERROR(__xludf.DUMMYFUNCTION("""COMPUTED_VALUE"""),"LAKI-LAKI")</f>
        <v>LAKI-LAKI</v>
      </c>
      <c r="M2729" s="35" t="str">
        <f>IFERROR(__xludf.DUMMYFUNCTION("""COMPUTED_VALUE"""),"JALAN PADAT KARYA")</f>
        <v>JALAN PADAT KARYA</v>
      </c>
      <c r="N2729" s="35" t="str">
        <f>IFERROR(__xludf.DUMMYFUNCTION("""COMPUTED_VALUE"""),"SUNGAI DERAS")</f>
        <v>SUNGAI DERAS</v>
      </c>
      <c r="O2729" s="35" t="str">
        <f>IFERROR(__xludf.DUMMYFUNCTION("""COMPUTED_VALUE"""),"TELUK PAKEDAI")</f>
        <v>TELUK PAKEDAI</v>
      </c>
      <c r="P2729" s="35" t="str">
        <f>IFERROR(__xludf.DUMMYFUNCTION("""COMPUTED_VALUE"""),"KUBU RAYA")</f>
        <v>KUBU RAYA</v>
      </c>
      <c r="Q2729" s="35" t="str">
        <f>IFERROR(__xludf.DUMMYFUNCTION("""COMPUTED_VALUE"""),"KALIMANTAN BARAT")</f>
        <v>KALIMANTAN BARAT</v>
      </c>
      <c r="R2729" s="21" t="str">
        <f>IFERROR(__xludf.DUMMYFUNCTION("""COMPUTED_VALUE"""),"ISLAM")</f>
        <v>ISLAM</v>
      </c>
      <c r="S2729" s="74" t="str">
        <f>IFERROR(__xludf.DUMMYFUNCTION("""COMPUTED_VALUE"""),"PNS")</f>
        <v>PNS</v>
      </c>
      <c r="T2729" s="35" t="str">
        <f>IFERROR(__xludf.DUMMYFUNCTION("""COMPUTED_VALUE"""),"NYERI TANGAN")</f>
        <v>NYERI TANGAN</v>
      </c>
      <c r="U2729" s="35" t="str">
        <f>IFERROR(__xludf.DUMMYFUNCTION("""COMPUTED_VALUE"""),"PANCO DAN GYM")</f>
        <v>PANCO DAN GYM</v>
      </c>
      <c r="V2729" s="37" t="str">
        <f>IFERROR(__xludf.DUMMYFUNCTION("""COMPUTED_VALUE"""),"085821463027")</f>
        <v>085821463027</v>
      </c>
      <c r="W2729" s="45"/>
    </row>
    <row r="2730">
      <c r="A2730" s="45"/>
      <c r="B2730" s="24" t="str">
        <f>IFERROR(__xludf.DUMMYFUNCTION("""COMPUTED_VALUE"""),"11/08/2025 15:01:59")</f>
        <v>11/08/2025 15:01:59</v>
      </c>
      <c r="C2730" s="35"/>
      <c r="D2730" s="10">
        <f>IFERROR(__xludf.DUMMYFUNCTION("""COMPUTED_VALUE"""),45880.0)</f>
        <v>45880</v>
      </c>
      <c r="E2730" s="35" t="str">
        <f>IFERROR(__xludf.DUMMYFUNCTION("""COMPUTED_VALUE"""),"08Agu")</f>
        <v>08Agu</v>
      </c>
      <c r="F2730" s="34" t="str">
        <f>IFERROR(__xludf.DUMMYFUNCTION("""COMPUTED_VALUE"""),"2025")</f>
        <v>2025</v>
      </c>
      <c r="G2730" s="35" t="str">
        <f>IFERROR(__xludf.DUMMYFUNCTION("""COMPUTED_VALUE"""),"INDRA WIJAYA")</f>
        <v>INDRA WIJAYA</v>
      </c>
      <c r="H2730" s="35" t="str">
        <f>IFERROR(__xludf.DUMMYFUNCTION("""COMPUTED_VALUE"""),"I0425088859")</f>
        <v>I0425088859</v>
      </c>
      <c r="I2730" s="35">
        <f>IFERROR(__xludf.DUMMYFUNCTION("""COMPUTED_VALUE"""),21.0)</f>
        <v>21</v>
      </c>
      <c r="J2730" s="35" t="str">
        <f>IFERROR(__xludf.DUMMYFUNCTION("""COMPUTED_VALUE"""),"18-24 tahun")</f>
        <v>18-24 tahun</v>
      </c>
      <c r="K2730" s="21" t="str">
        <f>IFERROR(__xludf.DUMMYFUNCTION("""COMPUTED_VALUE"""),"26/10/2004")</f>
        <v>26/10/2004</v>
      </c>
      <c r="L2730" s="21" t="str">
        <f>IFERROR(__xludf.DUMMYFUNCTION("""COMPUTED_VALUE"""),"LAKI-LAKI")</f>
        <v>LAKI-LAKI</v>
      </c>
      <c r="M2730" s="35" t="str">
        <f>IFERROR(__xludf.DUMMYFUNCTION("""COMPUTED_VALUE"""),"JL. H. R ARAHMAN GG BUKIT SEGUNTANG")</f>
        <v>JL. H. R ARAHMAN GG BUKIT SEGUNTANG</v>
      </c>
      <c r="N2730" s="35" t="str">
        <f>IFERROR(__xludf.DUMMYFUNCTION("""COMPUTED_VALUE"""),"SUNGAI JAWI")</f>
        <v>SUNGAI JAWI</v>
      </c>
      <c r="O2730" s="35" t="str">
        <f>IFERROR(__xludf.DUMMYFUNCTION("""COMPUTED_VALUE"""),"PONTIANAK KOTA")</f>
        <v>PONTIANAK KOTA</v>
      </c>
      <c r="P2730" s="35" t="str">
        <f>IFERROR(__xludf.DUMMYFUNCTION("""COMPUTED_VALUE"""),"PONTIANAK")</f>
        <v>PONTIANAK</v>
      </c>
      <c r="Q2730" s="35" t="str">
        <f>IFERROR(__xludf.DUMMYFUNCTION("""COMPUTED_VALUE"""),"KALIMANTAN BARAT")</f>
        <v>KALIMANTAN BARAT</v>
      </c>
      <c r="R2730" s="21" t="str">
        <f>IFERROR(__xludf.DUMMYFUNCTION("""COMPUTED_VALUE"""),"BUDDHA")</f>
        <v>BUDDHA</v>
      </c>
      <c r="S2730" s="74" t="str">
        <f>IFERROR(__xludf.DUMMYFUNCTION("""COMPUTED_VALUE"""),"WIRASWASTA")</f>
        <v>WIRASWASTA</v>
      </c>
      <c r="T2730" s="35" t="str">
        <f>IFERROR(__xludf.DUMMYFUNCTION("""COMPUTED_VALUE"""),"MENISKUS")</f>
        <v>MENISKUS</v>
      </c>
      <c r="U2730" s="35" t="str">
        <f>IFERROR(__xludf.DUMMYFUNCTION("""COMPUTED_VALUE"""),"BASKET")</f>
        <v>BASKET</v>
      </c>
      <c r="V2730" s="37" t="str">
        <f>IFERROR(__xludf.DUMMYFUNCTION("""COMPUTED_VALUE"""),"089694188859")</f>
        <v>089694188859</v>
      </c>
      <c r="W2730" s="45"/>
    </row>
    <row r="2731">
      <c r="A2731" s="45"/>
      <c r="B2731" s="24" t="str">
        <f>IFERROR(__xludf.DUMMYFUNCTION("""COMPUTED_VALUE"""),"11/08/2025 15:13:46")</f>
        <v>11/08/2025 15:13:46</v>
      </c>
      <c r="C2731" s="35"/>
      <c r="D2731" s="10">
        <f>IFERROR(__xludf.DUMMYFUNCTION("""COMPUTED_VALUE"""),45880.0)</f>
        <v>45880</v>
      </c>
      <c r="E2731" s="35" t="str">
        <f>IFERROR(__xludf.DUMMYFUNCTION("""COMPUTED_VALUE"""),"08Agu")</f>
        <v>08Agu</v>
      </c>
      <c r="F2731" s="34" t="str">
        <f>IFERROR(__xludf.DUMMYFUNCTION("""COMPUTED_VALUE"""),"2025")</f>
        <v>2025</v>
      </c>
      <c r="G2731" s="35" t="str">
        <f>IFERROR(__xludf.DUMMYFUNCTION("""COMPUTED_VALUE"""),"ALEX ALSHEN")</f>
        <v>ALEX ALSHEN</v>
      </c>
      <c r="H2731" s="35" t="str">
        <f>IFERROR(__xludf.DUMMYFUNCTION("""COMPUTED_VALUE"""),"A0425086343")</f>
        <v>A0425086343</v>
      </c>
      <c r="I2731" s="35">
        <f>IFERROR(__xludf.DUMMYFUNCTION("""COMPUTED_VALUE"""),22.0)</f>
        <v>22</v>
      </c>
      <c r="J2731" s="35" t="str">
        <f>IFERROR(__xludf.DUMMYFUNCTION("""COMPUTED_VALUE"""),"18-24 tahun")</f>
        <v>18-24 tahun</v>
      </c>
      <c r="K2731" s="21" t="str">
        <f>IFERROR(__xludf.DUMMYFUNCTION("""COMPUTED_VALUE"""),"25/03/2004")</f>
        <v>25/03/2004</v>
      </c>
      <c r="L2731" s="21" t="str">
        <f>IFERROR(__xludf.DUMMYFUNCTION("""COMPUTED_VALUE"""),"LAKI-LAKI")</f>
        <v>LAKI-LAKI</v>
      </c>
      <c r="M2731" s="35" t="str">
        <f>IFERROR(__xludf.DUMMYFUNCTION("""COMPUTED_VALUE"""),"JL. PANGLIMA AIM KOMP PERMATA SERUNI 2 NO. A2")</f>
        <v>JL. PANGLIMA AIM KOMP PERMATA SERUNI 2 NO. A2</v>
      </c>
      <c r="N2731" s="35" t="str">
        <f>IFERROR(__xludf.DUMMYFUNCTION("""COMPUTED_VALUE"""),"TANJUNG HULU")</f>
        <v>TANJUNG HULU</v>
      </c>
      <c r="O2731" s="35" t="str">
        <f>IFERROR(__xludf.DUMMYFUNCTION("""COMPUTED_VALUE"""),"PONTIANAK TIMUR")</f>
        <v>PONTIANAK TIMUR</v>
      </c>
      <c r="P2731" s="35" t="str">
        <f>IFERROR(__xludf.DUMMYFUNCTION("""COMPUTED_VALUE"""),"KOTA PONTIANAK")</f>
        <v>KOTA PONTIANAK</v>
      </c>
      <c r="Q2731" s="35" t="str">
        <f>IFERROR(__xludf.DUMMYFUNCTION("""COMPUTED_VALUE"""),"KALIMANTAN BARAT")</f>
        <v>KALIMANTAN BARAT</v>
      </c>
      <c r="R2731" s="21" t="str">
        <f>IFERROR(__xludf.DUMMYFUNCTION("""COMPUTED_VALUE"""),"PROTESTAN")</f>
        <v>PROTESTAN</v>
      </c>
      <c r="S2731" s="74" t="str">
        <f>IFERROR(__xludf.DUMMYFUNCTION("""COMPUTED_VALUE"""),"MAHASISWA")</f>
        <v>MAHASISWA</v>
      </c>
      <c r="T2731" s="35" t="str">
        <f>IFERROR(__xludf.DUMMYFUNCTION("""COMPUTED_VALUE"""),"LOWER BACK PAIN")</f>
        <v>LOWER BACK PAIN</v>
      </c>
      <c r="U2731" s="35" t="str">
        <f>IFERROR(__xludf.DUMMYFUNCTION("""COMPUTED_VALUE"""),"MAIN BASKET")</f>
        <v>MAIN BASKET</v>
      </c>
      <c r="V2731" s="37" t="str">
        <f>IFERROR(__xludf.DUMMYFUNCTION("""COMPUTED_VALUE"""),"085828966343")</f>
        <v>085828966343</v>
      </c>
      <c r="W2731" s="45"/>
    </row>
    <row r="2732">
      <c r="A2732" s="45"/>
      <c r="B2732" s="24" t="str">
        <f>IFERROR(__xludf.DUMMYFUNCTION("""COMPUTED_VALUE"""),"12/08/2025 10:42:40")</f>
        <v>12/08/2025 10:42:40</v>
      </c>
      <c r="C2732" s="35"/>
      <c r="D2732" s="10">
        <f>IFERROR(__xludf.DUMMYFUNCTION("""COMPUTED_VALUE"""),45881.0)</f>
        <v>45881</v>
      </c>
      <c r="E2732" s="35" t="str">
        <f>IFERROR(__xludf.DUMMYFUNCTION("""COMPUTED_VALUE"""),"08Agu")</f>
        <v>08Agu</v>
      </c>
      <c r="F2732" s="34" t="str">
        <f>IFERROR(__xludf.DUMMYFUNCTION("""COMPUTED_VALUE"""),"2025")</f>
        <v>2025</v>
      </c>
      <c r="G2732" s="35" t="str">
        <f>IFERROR(__xludf.DUMMYFUNCTION("""COMPUTED_VALUE"""),"KHOE LIE HIA")</f>
        <v>KHOE LIE HIA</v>
      </c>
      <c r="H2732" s="35" t="str">
        <f>IFERROR(__xludf.DUMMYFUNCTION("""COMPUTED_VALUE"""),"K5625087628")</f>
        <v>K5625087628</v>
      </c>
      <c r="I2732" s="35">
        <f>IFERROR(__xludf.DUMMYFUNCTION("""COMPUTED_VALUE"""),69.0)</f>
        <v>69</v>
      </c>
      <c r="J2732" s="35" t="str">
        <f>IFERROR(__xludf.DUMMYFUNCTION("""COMPUTED_VALUE"""),"&gt; 44 tahun")</f>
        <v>&gt; 44 tahun</v>
      </c>
      <c r="K2732" s="21" t="str">
        <f>IFERROR(__xludf.DUMMYFUNCTION("""COMPUTED_VALUE"""),"19/09/1956")</f>
        <v>19/09/1956</v>
      </c>
      <c r="L2732" s="21" t="str">
        <f>IFERROR(__xludf.DUMMYFUNCTION("""COMPUTED_VALUE"""),"PEREMPUAN")</f>
        <v>PEREMPUAN</v>
      </c>
      <c r="M2732" s="35" t="str">
        <f>IFERROR(__xludf.DUMMYFUNCTION("""COMPUTED_VALUE"""),"JL PALAPA III B NO 12A")</f>
        <v>JL PALAPA III B NO 12A</v>
      </c>
      <c r="N2732" s="35" t="str">
        <f>IFERROR(__xludf.DUMMYFUNCTION("""COMPUTED_VALUE"""),"-")</f>
        <v>-</v>
      </c>
      <c r="O2732" s="35" t="str">
        <f>IFERROR(__xludf.DUMMYFUNCTION("""COMPUTED_VALUE"""),"PONTIANAK SELATAN")</f>
        <v>PONTIANAK SELATAN</v>
      </c>
      <c r="P2732" s="35" t="str">
        <f>IFERROR(__xludf.DUMMYFUNCTION("""COMPUTED_VALUE"""),"KOTA PONTIANAK")</f>
        <v>KOTA PONTIANAK</v>
      </c>
      <c r="Q2732" s="35" t="str">
        <f>IFERROR(__xludf.DUMMYFUNCTION("""COMPUTED_VALUE"""),"KALIMANTAN BARAT")</f>
        <v>KALIMANTAN BARAT</v>
      </c>
      <c r="R2732" s="21" t="str">
        <f>IFERROR(__xludf.DUMMYFUNCTION("""COMPUTED_VALUE"""),"LAINNYA")</f>
        <v>LAINNYA</v>
      </c>
      <c r="S2732" s="74" t="str">
        <f>IFERROR(__xludf.DUMMYFUNCTION("""COMPUTED_VALUE"""),"IBU RUMAH TANGGA")</f>
        <v>IBU RUMAH TANGGA</v>
      </c>
      <c r="T2732" s="35" t="str">
        <f>IFERROR(__xludf.DUMMYFUNCTION("""COMPUTED_VALUE"""),"PUNGGUNG KAKI SAKIT")</f>
        <v>PUNGGUNG KAKI SAKIT</v>
      </c>
      <c r="U2732" s="35" t="str">
        <f>IFERROR(__xludf.DUMMYFUNCTION("""COMPUTED_VALUE"""),"-")</f>
        <v>-</v>
      </c>
      <c r="V2732" s="37" t="str">
        <f>IFERROR(__xludf.DUMMYFUNCTION("""COMPUTED_VALUE"""),"0811567628")</f>
        <v>0811567628</v>
      </c>
      <c r="W2732" s="45"/>
    </row>
    <row r="2733">
      <c r="A2733" s="45"/>
      <c r="B2733" s="24" t="str">
        <f>IFERROR(__xludf.DUMMYFUNCTION("""COMPUTED_VALUE"""),"12/08/2025 11:43:13")</f>
        <v>12/08/2025 11:43:13</v>
      </c>
      <c r="C2733" s="35"/>
      <c r="D2733" s="10">
        <f>IFERROR(__xludf.DUMMYFUNCTION("""COMPUTED_VALUE"""),45881.0)</f>
        <v>45881</v>
      </c>
      <c r="E2733" s="35" t="str">
        <f>IFERROR(__xludf.DUMMYFUNCTION("""COMPUTED_VALUE"""),"08Agu")</f>
        <v>08Agu</v>
      </c>
      <c r="F2733" s="34" t="str">
        <f>IFERROR(__xludf.DUMMYFUNCTION("""COMPUTED_VALUE"""),"2025")</f>
        <v>2025</v>
      </c>
      <c r="G2733" s="35" t="str">
        <f>IFERROR(__xludf.DUMMYFUNCTION("""COMPUTED_VALUE"""),"YULIANA 9606")</f>
        <v>YULIANA 9606</v>
      </c>
      <c r="H2733" s="35" t="str">
        <f>IFERROR(__xludf.DUMMYFUNCTION("""COMPUTED_VALUE"""),"Y9625087682")</f>
        <v>Y9625087682</v>
      </c>
      <c r="I2733" s="35">
        <f>IFERROR(__xludf.DUMMYFUNCTION("""COMPUTED_VALUE"""),30.0)</f>
        <v>30</v>
      </c>
      <c r="J2733" s="35" t="str">
        <f>IFERROR(__xludf.DUMMYFUNCTION("""COMPUTED_VALUE"""),"25-34 tahun")</f>
        <v>25-34 tahun</v>
      </c>
      <c r="K2733" s="21" t="str">
        <f>IFERROR(__xludf.DUMMYFUNCTION("""COMPUTED_VALUE"""),"15/06/1996")</f>
        <v>15/06/1996</v>
      </c>
      <c r="L2733" s="21" t="str">
        <f>IFERROR(__xludf.DUMMYFUNCTION("""COMPUTED_VALUE"""),"PEREMPUAN")</f>
        <v>PEREMPUAN</v>
      </c>
      <c r="M2733" s="35" t="str">
        <f>IFERROR(__xludf.DUMMYFUNCTION("""COMPUTED_VALUE"""),"DUSUNSUKADANA")</f>
        <v>DUSUNSUKADANA</v>
      </c>
      <c r="N2733" s="35" t="str">
        <f>IFERROR(__xludf.DUMMYFUNCTION("""COMPUTED_VALUE"""),"PINANG LUAR")</f>
        <v>PINANG LUAR</v>
      </c>
      <c r="O2733" s="35" t="str">
        <f>IFERROR(__xludf.DUMMYFUNCTION("""COMPUTED_VALUE"""),"KUBU")</f>
        <v>KUBU</v>
      </c>
      <c r="P2733" s="35" t="str">
        <f>IFERROR(__xludf.DUMMYFUNCTION("""COMPUTED_VALUE"""),"KAB KUBU RAYA KOTA PONTIANAK")</f>
        <v>KAB KUBU RAYA KOTA PONTIANAK</v>
      </c>
      <c r="Q2733" s="35" t="str">
        <f>IFERROR(__xludf.DUMMYFUNCTION("""COMPUTED_VALUE"""),"KALIMANTAN BARAT")</f>
        <v>KALIMANTAN BARAT</v>
      </c>
      <c r="R2733" s="21" t="str">
        <f>IFERROR(__xludf.DUMMYFUNCTION("""COMPUTED_VALUE"""),"ISLAM")</f>
        <v>ISLAM</v>
      </c>
      <c r="S2733" s="74" t="str">
        <f>IFERROR(__xludf.DUMMYFUNCTION("""COMPUTED_VALUE"""),"MENGURUS RUMAH TANGGA")</f>
        <v>MENGURUS RUMAH TANGGA</v>
      </c>
      <c r="T2733" s="35" t="str">
        <f>IFERROR(__xludf.DUMMYFUNCTION("""COMPUTED_VALUE"""),"PINGGANG")</f>
        <v>PINGGANG</v>
      </c>
      <c r="U2733" s="35" t="str">
        <f>IFERROR(__xludf.DUMMYFUNCTION("""COMPUTED_VALUE"""),"-")</f>
        <v>-</v>
      </c>
      <c r="V2733" s="37" t="str">
        <f>IFERROR(__xludf.DUMMYFUNCTION("""COMPUTED_VALUE"""),"085750447682")</f>
        <v>085750447682</v>
      </c>
      <c r="W2733" s="45"/>
    </row>
    <row r="2734">
      <c r="A2734" s="45"/>
      <c r="B2734" s="24" t="str">
        <f>IFERROR(__xludf.DUMMYFUNCTION("""COMPUTED_VALUE"""),"12/08/2025 13:46:43")</f>
        <v>12/08/2025 13:46:43</v>
      </c>
      <c r="C2734" s="35"/>
      <c r="D2734" s="10">
        <f>IFERROR(__xludf.DUMMYFUNCTION("""COMPUTED_VALUE"""),45881.0)</f>
        <v>45881</v>
      </c>
      <c r="E2734" s="35" t="str">
        <f>IFERROR(__xludf.DUMMYFUNCTION("""COMPUTED_VALUE"""),"08Agu")</f>
        <v>08Agu</v>
      </c>
      <c r="F2734" s="34" t="str">
        <f>IFERROR(__xludf.DUMMYFUNCTION("""COMPUTED_VALUE"""),"2025")</f>
        <v>2025</v>
      </c>
      <c r="G2734" s="35" t="str">
        <f>IFERROR(__xludf.DUMMYFUNCTION("""COMPUTED_VALUE"""),"ANDRY LODIYANTO")</f>
        <v>ANDRY LODIYANTO</v>
      </c>
      <c r="H2734" s="35" t="str">
        <f>IFERROR(__xludf.DUMMYFUNCTION("""COMPUTED_VALUE"""),"A9125086876")</f>
        <v>A9125086876</v>
      </c>
      <c r="I2734" s="35">
        <f>IFERROR(__xludf.DUMMYFUNCTION("""COMPUTED_VALUE"""),35.0)</f>
        <v>35</v>
      </c>
      <c r="J2734" s="35" t="str">
        <f>IFERROR(__xludf.DUMMYFUNCTION("""COMPUTED_VALUE"""),"35-44 tahun")</f>
        <v>35-44 tahun</v>
      </c>
      <c r="K2734" s="21" t="str">
        <f>IFERROR(__xludf.DUMMYFUNCTION("""COMPUTED_VALUE"""),"21/02/1991")</f>
        <v>21/02/1991</v>
      </c>
      <c r="L2734" s="21" t="str">
        <f>IFERROR(__xludf.DUMMYFUNCTION("""COMPUTED_VALUE"""),"LAKI-LAKI")</f>
        <v>LAKI-LAKI</v>
      </c>
      <c r="M2734" s="35" t="str">
        <f>IFERROR(__xludf.DUMMYFUNCTION("""COMPUTED_VALUE"""),"BLKI TAMAN PERMANA INDAH NO. D1")</f>
        <v>BLKI TAMAN PERMANA INDAH NO. D1</v>
      </c>
      <c r="N2734" s="35" t="str">
        <f>IFERROR(__xludf.DUMMYFUNCTION("""COMPUTED_VALUE"""),"BANGKA BELITUNG LAUT")</f>
        <v>BANGKA BELITUNG LAUT</v>
      </c>
      <c r="O2734" s="35" t="str">
        <f>IFERROR(__xludf.DUMMYFUNCTION("""COMPUTED_VALUE"""),"PONTIANAK TENGGARA")</f>
        <v>PONTIANAK TENGGARA</v>
      </c>
      <c r="P2734" s="35" t="str">
        <f>IFERROR(__xludf.DUMMYFUNCTION("""COMPUTED_VALUE"""),"PONTIANAK")</f>
        <v>PONTIANAK</v>
      </c>
      <c r="Q2734" s="35" t="str">
        <f>IFERROR(__xludf.DUMMYFUNCTION("""COMPUTED_VALUE"""),"KALIMANTAN BARAT")</f>
        <v>KALIMANTAN BARAT</v>
      </c>
      <c r="R2734" s="21" t="str">
        <f>IFERROR(__xludf.DUMMYFUNCTION("""COMPUTED_VALUE"""),"PROTESTAN")</f>
        <v>PROTESTAN</v>
      </c>
      <c r="S2734" s="74" t="str">
        <f>IFERROR(__xludf.DUMMYFUNCTION("""COMPUTED_VALUE"""),"SWASTA")</f>
        <v>SWASTA</v>
      </c>
      <c r="T2734" s="35" t="str">
        <f>IFERROR(__xludf.DUMMYFUNCTION("""COMPUTED_VALUE"""),"KAKI")</f>
        <v>KAKI</v>
      </c>
      <c r="U2734" s="35" t="str">
        <f>IFERROR(__xludf.DUMMYFUNCTION("""COMPUTED_VALUE"""),"PERNAH CIDERA LUTUT")</f>
        <v>PERNAH CIDERA LUTUT</v>
      </c>
      <c r="V2734" s="37" t="str">
        <f>IFERROR(__xludf.DUMMYFUNCTION("""COMPUTED_VALUE"""),"081348066876")</f>
        <v>081348066876</v>
      </c>
      <c r="W2734" s="45"/>
    </row>
    <row r="2735">
      <c r="A2735" s="45"/>
      <c r="B2735" s="24" t="str">
        <f>IFERROR(__xludf.DUMMYFUNCTION("""COMPUTED_VALUE"""),"12/08/2025 13:41:23")</f>
        <v>12/08/2025 13:41:23</v>
      </c>
      <c r="C2735" s="35"/>
      <c r="D2735" s="10">
        <f>IFERROR(__xludf.DUMMYFUNCTION("""COMPUTED_VALUE"""),45881.0)</f>
        <v>45881</v>
      </c>
      <c r="E2735" s="35" t="str">
        <f>IFERROR(__xludf.DUMMYFUNCTION("""COMPUTED_VALUE"""),"08Agu")</f>
        <v>08Agu</v>
      </c>
      <c r="F2735" s="34" t="str">
        <f>IFERROR(__xludf.DUMMYFUNCTION("""COMPUTED_VALUE"""),"2025")</f>
        <v>2025</v>
      </c>
      <c r="G2735" s="35" t="str">
        <f>IFERROR(__xludf.DUMMYFUNCTION("""COMPUTED_VALUE"""),"STELLA NADIA GOWINDRA")</f>
        <v>STELLA NADIA GOWINDRA</v>
      </c>
      <c r="H2735" s="35" t="str">
        <f>IFERROR(__xludf.DUMMYFUNCTION("""COMPUTED_VALUE"""),"S8725087777")</f>
        <v>S8725087777</v>
      </c>
      <c r="I2735" s="35">
        <f>IFERROR(__xludf.DUMMYFUNCTION("""COMPUTED_VALUE"""),38.0)</f>
        <v>38</v>
      </c>
      <c r="J2735" s="35" t="str">
        <f>IFERROR(__xludf.DUMMYFUNCTION("""COMPUTED_VALUE"""),"35-44 tahun")</f>
        <v>35-44 tahun</v>
      </c>
      <c r="K2735" s="21" t="str">
        <f>IFERROR(__xludf.DUMMYFUNCTION("""COMPUTED_VALUE"""),"25/08/1987")</f>
        <v>25/08/1987</v>
      </c>
      <c r="L2735" s="21" t="str">
        <f>IFERROR(__xludf.DUMMYFUNCTION("""COMPUTED_VALUE"""),"PEREMPUAN")</f>
        <v>PEREMPUAN</v>
      </c>
      <c r="M2735" s="35" t="str">
        <f>IFERROR(__xludf.DUMMYFUNCTION("""COMPUTED_VALUE"""),"JL.INDRAGIRI TIMUR NO.5")</f>
        <v>JL.INDRAGIRI TIMUR NO.5</v>
      </c>
      <c r="N2735" s="35" t="str">
        <f>IFERROR(__xludf.DUMMYFUNCTION("""COMPUTED_VALUE"""),"BENUA MELAYU LAUT")</f>
        <v>BENUA MELAYU LAUT</v>
      </c>
      <c r="O2735" s="35" t="str">
        <f>IFERROR(__xludf.DUMMYFUNCTION("""COMPUTED_VALUE"""),"PONTIANAK SELATAN")</f>
        <v>PONTIANAK SELATAN</v>
      </c>
      <c r="P2735" s="35" t="str">
        <f>IFERROR(__xludf.DUMMYFUNCTION("""COMPUTED_VALUE"""),"PONTIANAK")</f>
        <v>PONTIANAK</v>
      </c>
      <c r="Q2735" s="35" t="str">
        <f>IFERROR(__xludf.DUMMYFUNCTION("""COMPUTED_VALUE"""),"KALIMANTAN BARAT")</f>
        <v>KALIMANTAN BARAT</v>
      </c>
      <c r="R2735" s="21" t="str">
        <f>IFERROR(__xludf.DUMMYFUNCTION("""COMPUTED_VALUE"""),"KATOLIK")</f>
        <v>KATOLIK</v>
      </c>
      <c r="S2735" s="74" t="str">
        <f>IFERROR(__xludf.DUMMYFUNCTION("""COMPUTED_VALUE"""),"WIRASWASTA")</f>
        <v>WIRASWASTA</v>
      </c>
      <c r="T2735" s="35" t="str">
        <f>IFERROR(__xludf.DUMMYFUNCTION("""COMPUTED_VALUE"""),"KAKI KESELEO")</f>
        <v>KAKI KESELEO</v>
      </c>
      <c r="U2735" s="35" t="str">
        <f>IFERROR(__xludf.DUMMYFUNCTION("""COMPUTED_VALUE"""),"OLAHRAGA JOGING")</f>
        <v>OLAHRAGA JOGING</v>
      </c>
      <c r="V2735" s="37" t="str">
        <f>IFERROR(__xludf.DUMMYFUNCTION("""COMPUTED_VALUE"""),"085346507777")</f>
        <v>085346507777</v>
      </c>
      <c r="W2735" s="45"/>
    </row>
    <row r="2736">
      <c r="A2736" s="45"/>
      <c r="B2736" s="24" t="str">
        <f>IFERROR(__xludf.DUMMYFUNCTION("""COMPUTED_VALUE"""),"12/08/2025 17:11:07")</f>
        <v>12/08/2025 17:11:07</v>
      </c>
      <c r="C2736" s="35"/>
      <c r="D2736" s="10">
        <f>IFERROR(__xludf.DUMMYFUNCTION("""COMPUTED_VALUE"""),45881.0)</f>
        <v>45881</v>
      </c>
      <c r="E2736" s="35" t="str">
        <f>IFERROR(__xludf.DUMMYFUNCTION("""COMPUTED_VALUE"""),"08Agu")</f>
        <v>08Agu</v>
      </c>
      <c r="F2736" s="34" t="str">
        <f>IFERROR(__xludf.DUMMYFUNCTION("""COMPUTED_VALUE"""),"2025")</f>
        <v>2025</v>
      </c>
      <c r="G2736" s="35" t="str">
        <f>IFERROR(__xludf.DUMMYFUNCTION("""COMPUTED_VALUE"""),"TAUPIQUR RAIHAN")</f>
        <v>TAUPIQUR RAIHAN</v>
      </c>
      <c r="H2736" s="35" t="str">
        <f>IFERROR(__xludf.DUMMYFUNCTION("""COMPUTED_VALUE"""),"T0525084617")</f>
        <v>T0525084617</v>
      </c>
      <c r="I2736" s="35">
        <f>IFERROR(__xludf.DUMMYFUNCTION("""COMPUTED_VALUE"""),21.0)</f>
        <v>21</v>
      </c>
      <c r="J2736" s="35" t="str">
        <f>IFERROR(__xludf.DUMMYFUNCTION("""COMPUTED_VALUE"""),"18-24 tahun")</f>
        <v>18-24 tahun</v>
      </c>
      <c r="K2736" s="21" t="str">
        <f>IFERROR(__xludf.DUMMYFUNCTION("""COMPUTED_VALUE"""),"05/04/2005")</f>
        <v>05/04/2005</v>
      </c>
      <c r="L2736" s="21" t="str">
        <f>IFERROR(__xludf.DUMMYFUNCTION("""COMPUTED_VALUE"""),"LAKI-LAKI")</f>
        <v>LAKI-LAKI</v>
      </c>
      <c r="M2736" s="35" t="str">
        <f>IFERROR(__xludf.DUMMYFUNCTION("""COMPUTED_VALUE"""),"DUSUN NANGA TAYAP")</f>
        <v>DUSUN NANGA TAYAP</v>
      </c>
      <c r="N2736" s="35" t="str">
        <f>IFERROR(__xludf.DUMMYFUNCTION("""COMPUTED_VALUE"""),"NANGA TAYAP")</f>
        <v>NANGA TAYAP</v>
      </c>
      <c r="O2736" s="35" t="str">
        <f>IFERROR(__xludf.DUMMYFUNCTION("""COMPUTED_VALUE"""),"NANGA TAYAP")</f>
        <v>NANGA TAYAP</v>
      </c>
      <c r="P2736" s="35" t="str">
        <f>IFERROR(__xludf.DUMMYFUNCTION("""COMPUTED_VALUE"""),"KABUPATEN KETAPANG")</f>
        <v>KABUPATEN KETAPANG</v>
      </c>
      <c r="Q2736" s="35" t="str">
        <f>IFERROR(__xludf.DUMMYFUNCTION("""COMPUTED_VALUE"""),"KALIMANTAN BARAT")</f>
        <v>KALIMANTAN BARAT</v>
      </c>
      <c r="R2736" s="21" t="str">
        <f>IFERROR(__xludf.DUMMYFUNCTION("""COMPUTED_VALUE"""),"ISLAM")</f>
        <v>ISLAM</v>
      </c>
      <c r="S2736" s="74" t="str">
        <f>IFERROR(__xludf.DUMMYFUNCTION("""COMPUTED_VALUE"""),"MAHASISWA")</f>
        <v>MAHASISWA</v>
      </c>
      <c r="T2736" s="35" t="str">
        <f>IFERROR(__xludf.DUMMYFUNCTION("""COMPUTED_VALUE"""),"KAKI")</f>
        <v>KAKI</v>
      </c>
      <c r="U2736" s="35" t="str">
        <f>IFERROR(__xludf.DUMMYFUNCTION("""COMPUTED_VALUE"""),"SEPAK BOLA")</f>
        <v>SEPAK BOLA</v>
      </c>
      <c r="V2736" s="37" t="str">
        <f>IFERROR(__xludf.DUMMYFUNCTION("""COMPUTED_VALUE"""),"85754444617")</f>
        <v>85754444617</v>
      </c>
      <c r="W2736" s="45"/>
    </row>
    <row r="2737">
      <c r="A2737" s="45"/>
      <c r="B2737" s="24" t="str">
        <f>IFERROR(__xludf.DUMMYFUNCTION("""COMPUTED_VALUE"""),"12/08/2025 18:47:56")</f>
        <v>12/08/2025 18:47:56</v>
      </c>
      <c r="C2737" s="35"/>
      <c r="D2737" s="10">
        <f>IFERROR(__xludf.DUMMYFUNCTION("""COMPUTED_VALUE"""),45881.0)</f>
        <v>45881</v>
      </c>
      <c r="E2737" s="35" t="str">
        <f>IFERROR(__xludf.DUMMYFUNCTION("""COMPUTED_VALUE"""),"08Agu")</f>
        <v>08Agu</v>
      </c>
      <c r="F2737" s="34" t="str">
        <f>IFERROR(__xludf.DUMMYFUNCTION("""COMPUTED_VALUE"""),"2025")</f>
        <v>2025</v>
      </c>
      <c r="G2737" s="35" t="str">
        <f>IFERROR(__xludf.DUMMYFUNCTION("""COMPUTED_VALUE"""),"NAILAH QEIZHA ALMAQHVIRA")</f>
        <v>NAILAH QEIZHA ALMAQHVIRA</v>
      </c>
      <c r="H2737" s="35" t="str">
        <f>IFERROR(__xludf.DUMMYFUNCTION("""COMPUTED_VALUE"""),"N0925081359")</f>
        <v>N0925081359</v>
      </c>
      <c r="I2737" s="35">
        <f>IFERROR(__xludf.DUMMYFUNCTION("""COMPUTED_VALUE"""),17.0)</f>
        <v>17</v>
      </c>
      <c r="J2737" s="35" t="str">
        <f>IFERROR(__xludf.DUMMYFUNCTION("""COMPUTED_VALUE"""),"&lt; 18 tahun")</f>
        <v>&lt; 18 tahun</v>
      </c>
      <c r="K2737" s="21" t="str">
        <f>IFERROR(__xludf.DUMMYFUNCTION("""COMPUTED_VALUE"""),"20/01/2009")</f>
        <v>20/01/2009</v>
      </c>
      <c r="L2737" s="21" t="str">
        <f>IFERROR(__xludf.DUMMYFUNCTION("""COMPUTED_VALUE"""),"PEREMPUAN")</f>
        <v>PEREMPUAN</v>
      </c>
      <c r="M2737" s="35" t="str">
        <f>IFERROR(__xludf.DUMMYFUNCTION("""COMPUTED_VALUE"""),"JLN. AMPERA KOMPLEK ARI KARYA INDAH 8 NO D6")</f>
        <v>JLN. AMPERA KOMPLEK ARI KARYA INDAH 8 NO D6</v>
      </c>
      <c r="N2737" s="35" t="str">
        <f>IFERROR(__xludf.DUMMYFUNCTION("""COMPUTED_VALUE"""),"SUNGAI BANGKONG")</f>
        <v>SUNGAI BANGKONG</v>
      </c>
      <c r="O2737" s="35" t="str">
        <f>IFERROR(__xludf.DUMMYFUNCTION("""COMPUTED_VALUE"""),"PONTIANAK KOTA")</f>
        <v>PONTIANAK KOTA</v>
      </c>
      <c r="P2737" s="35" t="str">
        <f>IFERROR(__xludf.DUMMYFUNCTION("""COMPUTED_VALUE"""),"KOTA PONTIANAK")</f>
        <v>KOTA PONTIANAK</v>
      </c>
      <c r="Q2737" s="35" t="str">
        <f>IFERROR(__xludf.DUMMYFUNCTION("""COMPUTED_VALUE"""),"KALIMANTAN BARAT")</f>
        <v>KALIMANTAN BARAT</v>
      </c>
      <c r="R2737" s="21" t="str">
        <f>IFERROR(__xludf.DUMMYFUNCTION("""COMPUTED_VALUE"""),"ISLAM")</f>
        <v>ISLAM</v>
      </c>
      <c r="S2737" s="74" t="str">
        <f>IFERROR(__xludf.DUMMYFUNCTION("""COMPUTED_VALUE"""),"PELAJAR")</f>
        <v>PELAJAR</v>
      </c>
      <c r="T2737" s="35" t="str">
        <f>IFERROR(__xludf.DUMMYFUNCTION("""COMPUTED_VALUE"""),"-")</f>
        <v>-</v>
      </c>
      <c r="U2737" s="35" t="str">
        <f>IFERROR(__xludf.DUMMYFUNCTION("""COMPUTED_VALUE"""),"-")</f>
        <v>-</v>
      </c>
      <c r="V2737" s="37" t="str">
        <f>IFERROR(__xludf.DUMMYFUNCTION("""COMPUTED_VALUE"""),"085245571359")</f>
        <v>085245571359</v>
      </c>
      <c r="W2737" s="45"/>
    </row>
    <row r="2738">
      <c r="A2738" s="45"/>
      <c r="B2738" s="24" t="str">
        <f>IFERROR(__xludf.DUMMYFUNCTION("""COMPUTED_VALUE"""),"12/08/2025 20:02:30")</f>
        <v>12/08/2025 20:02:30</v>
      </c>
      <c r="C2738" s="35"/>
      <c r="D2738" s="10">
        <f>IFERROR(__xludf.DUMMYFUNCTION("""COMPUTED_VALUE"""),45881.0)</f>
        <v>45881</v>
      </c>
      <c r="E2738" s="35" t="str">
        <f>IFERROR(__xludf.DUMMYFUNCTION("""COMPUTED_VALUE"""),"08Agu")</f>
        <v>08Agu</v>
      </c>
      <c r="F2738" s="34" t="str">
        <f>IFERROR(__xludf.DUMMYFUNCTION("""COMPUTED_VALUE"""),"2025")</f>
        <v>2025</v>
      </c>
      <c r="G2738" s="35" t="str">
        <f>IFERROR(__xludf.DUMMYFUNCTION("""COMPUTED_VALUE"""),"RUDIYANSYAH")</f>
        <v>RUDIYANSYAH</v>
      </c>
      <c r="H2738" s="35" t="str">
        <f>IFERROR(__xludf.DUMMYFUNCTION("""COMPUTED_VALUE"""),"R7925089659")</f>
        <v>R7925089659</v>
      </c>
      <c r="I2738" s="35">
        <f>IFERROR(__xludf.DUMMYFUNCTION("""COMPUTED_VALUE"""),47.0)</f>
        <v>47</v>
      </c>
      <c r="J2738" s="35" t="str">
        <f>IFERROR(__xludf.DUMMYFUNCTION("""COMPUTED_VALUE"""),"&gt; 44 tahun")</f>
        <v>&gt; 44 tahun</v>
      </c>
      <c r="K2738" s="21" t="str">
        <f>IFERROR(__xludf.DUMMYFUNCTION("""COMPUTED_VALUE"""),"16/03/1979")</f>
        <v>16/03/1979</v>
      </c>
      <c r="L2738" s="21" t="str">
        <f>IFERROR(__xludf.DUMMYFUNCTION("""COMPUTED_VALUE"""),"LAKI-LAKI")</f>
        <v>LAKI-LAKI</v>
      </c>
      <c r="M2738" s="35" t="str">
        <f>IFERROR(__xludf.DUMMYFUNCTION("""COMPUTED_VALUE"""),"JALAN SUNGAI RAYA DALAM KOMPLEK VILLA MUTIARA MAS 3")</f>
        <v>JALAN SUNGAI RAYA DALAM KOMPLEK VILLA MUTIARA MAS 3</v>
      </c>
      <c r="N2738" s="35" t="str">
        <f>IFERROR(__xludf.DUMMYFUNCTION("""COMPUTED_VALUE"""),"BANGKA BELITUNG DARAT")</f>
        <v>BANGKA BELITUNG DARAT</v>
      </c>
      <c r="O2738" s="35" t="str">
        <f>IFERROR(__xludf.DUMMYFUNCTION("""COMPUTED_VALUE"""),"PONTIANAK TENGGARA")</f>
        <v>PONTIANAK TENGGARA</v>
      </c>
      <c r="P2738" s="35" t="str">
        <f>IFERROR(__xludf.DUMMYFUNCTION("""COMPUTED_VALUE"""),"KOTA PONTIANAK")</f>
        <v>KOTA PONTIANAK</v>
      </c>
      <c r="Q2738" s="35" t="str">
        <f>IFERROR(__xludf.DUMMYFUNCTION("""COMPUTED_VALUE"""),"KALIMANTAN BARAT")</f>
        <v>KALIMANTAN BARAT</v>
      </c>
      <c r="R2738" s="21" t="str">
        <f>IFERROR(__xludf.DUMMYFUNCTION("""COMPUTED_VALUE"""),"ISLAM")</f>
        <v>ISLAM</v>
      </c>
      <c r="S2738" s="74" t="str">
        <f>IFERROR(__xludf.DUMMYFUNCTION("""COMPUTED_VALUE"""),"WIRASWASTA")</f>
        <v>WIRASWASTA</v>
      </c>
      <c r="T2738" s="35" t="str">
        <f>IFERROR(__xludf.DUMMYFUNCTION("""COMPUTED_VALUE"""),"BELLS PALSY")</f>
        <v>BELLS PALSY</v>
      </c>
      <c r="U2738" s="35" t="str">
        <f>IFERROR(__xludf.DUMMYFUNCTION("""COMPUTED_VALUE"""),"MAIN HP")</f>
        <v>MAIN HP</v>
      </c>
      <c r="V2738" s="37" t="str">
        <f>IFERROR(__xludf.DUMMYFUNCTION("""COMPUTED_VALUE"""),"081251799659")</f>
        <v>081251799659</v>
      </c>
      <c r="W2738" s="45"/>
    </row>
    <row r="2739">
      <c r="A2739" s="45"/>
      <c r="B2739" s="24" t="str">
        <f>IFERROR(__xludf.DUMMYFUNCTION("""COMPUTED_VALUE"""),"13/08/2025 11:48:05")</f>
        <v>13/08/2025 11:48:05</v>
      </c>
      <c r="C2739" s="35"/>
      <c r="D2739" s="10">
        <f>IFERROR(__xludf.DUMMYFUNCTION("""COMPUTED_VALUE"""),45882.0)</f>
        <v>45882</v>
      </c>
      <c r="E2739" s="35" t="str">
        <f>IFERROR(__xludf.DUMMYFUNCTION("""COMPUTED_VALUE"""),"08Agu")</f>
        <v>08Agu</v>
      </c>
      <c r="F2739" s="34" t="str">
        <f>IFERROR(__xludf.DUMMYFUNCTION("""COMPUTED_VALUE"""),"2025")</f>
        <v>2025</v>
      </c>
      <c r="G2739" s="35" t="str">
        <f>IFERROR(__xludf.DUMMYFUNCTION("""COMPUTED_VALUE"""),"KARMIN")</f>
        <v>KARMIN</v>
      </c>
      <c r="H2739" s="35" t="str">
        <f>IFERROR(__xludf.DUMMYFUNCTION("""COMPUTED_VALUE"""),"K6225088152")</f>
        <v>K6225088152</v>
      </c>
      <c r="I2739" s="35">
        <f>IFERROR(__xludf.DUMMYFUNCTION("""COMPUTED_VALUE"""),64.0)</f>
        <v>64</v>
      </c>
      <c r="J2739" s="35" t="str">
        <f>IFERROR(__xludf.DUMMYFUNCTION("""COMPUTED_VALUE"""),"&gt; 44 tahun")</f>
        <v>&gt; 44 tahun</v>
      </c>
      <c r="K2739" s="21" t="str">
        <f>IFERROR(__xludf.DUMMYFUNCTION("""COMPUTED_VALUE"""),"01/01/1962")</f>
        <v>01/01/1962</v>
      </c>
      <c r="L2739" s="21" t="str">
        <f>IFERROR(__xludf.DUMMYFUNCTION("""COMPUTED_VALUE"""),"LAKI-LAKI")</f>
        <v>LAKI-LAKI</v>
      </c>
      <c r="M2739" s="35" t="str">
        <f>IFERROR(__xludf.DUMMYFUNCTION("""COMPUTED_VALUE"""),"JL. PENDIDIKAN GG. KITA")</f>
        <v>JL. PENDIDIKAN GG. KITA</v>
      </c>
      <c r="N2739" s="35" t="str">
        <f>IFERROR(__xludf.DUMMYFUNCTION("""COMPUTED_VALUE"""),"ROBAN")</f>
        <v>ROBAN</v>
      </c>
      <c r="O2739" s="35" t="str">
        <f>IFERROR(__xludf.DUMMYFUNCTION("""COMPUTED_VALUE"""),"SINGKAWANG TENGAH")</f>
        <v>SINGKAWANG TENGAH</v>
      </c>
      <c r="P2739" s="35" t="str">
        <f>IFERROR(__xludf.DUMMYFUNCTION("""COMPUTED_VALUE"""),"KOTA SINGKAWANG")</f>
        <v>KOTA SINGKAWANG</v>
      </c>
      <c r="Q2739" s="35" t="str">
        <f>IFERROR(__xludf.DUMMYFUNCTION("""COMPUTED_VALUE"""),"KALIMANTAN BARAT")</f>
        <v>KALIMANTAN BARAT</v>
      </c>
      <c r="R2739" s="21" t="str">
        <f>IFERROR(__xludf.DUMMYFUNCTION("""COMPUTED_VALUE"""),"ISLAM")</f>
        <v>ISLAM</v>
      </c>
      <c r="S2739" s="74" t="str">
        <f>IFERROR(__xludf.DUMMYFUNCTION("""COMPUTED_VALUE"""),"PENSIUNAN")</f>
        <v>PENSIUNAN</v>
      </c>
      <c r="T2739" s="35" t="str">
        <f>IFERROR(__xludf.DUMMYFUNCTION("""COMPUTED_VALUE"""),"BELAKANG LUTUT SAMPAI KE BETIS")</f>
        <v>BELAKANG LUTUT SAMPAI KE BETIS</v>
      </c>
      <c r="U2739" s="35" t="str">
        <f>IFERROR(__xludf.DUMMYFUNCTION("""COMPUTED_VALUE"""),"TIDAK ADA")</f>
        <v>TIDAK ADA</v>
      </c>
      <c r="V2739" s="37" t="str">
        <f>IFERROR(__xludf.DUMMYFUNCTION("""COMPUTED_VALUE"""),"085245908152")</f>
        <v>085245908152</v>
      </c>
      <c r="W2739" s="45"/>
    </row>
    <row r="2740">
      <c r="A2740" s="45"/>
      <c r="B2740" s="24" t="str">
        <f>IFERROR(__xludf.DUMMYFUNCTION("""COMPUTED_VALUE"""),"13/08/2025 12:10:56")</f>
        <v>13/08/2025 12:10:56</v>
      </c>
      <c r="C2740" s="35"/>
      <c r="D2740" s="10">
        <f>IFERROR(__xludf.DUMMYFUNCTION("""COMPUTED_VALUE"""),45870.0)</f>
        <v>45870</v>
      </c>
      <c r="E2740" s="35" t="str">
        <f>IFERROR(__xludf.DUMMYFUNCTION("""COMPUTED_VALUE"""),"08Agu")</f>
        <v>08Agu</v>
      </c>
      <c r="F2740" s="34" t="str">
        <f>IFERROR(__xludf.DUMMYFUNCTION("""COMPUTED_VALUE"""),"2025")</f>
        <v>2025</v>
      </c>
      <c r="G2740" s="35" t="str">
        <f>IFERROR(__xludf.DUMMYFUNCTION("""COMPUTED_VALUE"""),"EVANTIO")</f>
        <v>EVANTIO</v>
      </c>
      <c r="H2740" s="35" t="str">
        <f>IFERROR(__xludf.DUMMYFUNCTION("""COMPUTED_VALUE"""),"E9625083582")</f>
        <v>E9625083582</v>
      </c>
      <c r="I2740" s="35">
        <f>IFERROR(__xludf.DUMMYFUNCTION("""COMPUTED_VALUE"""),30.0)</f>
        <v>30</v>
      </c>
      <c r="J2740" s="35" t="str">
        <f>IFERROR(__xludf.DUMMYFUNCTION("""COMPUTED_VALUE"""),"25-34 tahun")</f>
        <v>25-34 tahun</v>
      </c>
      <c r="K2740" s="21" t="str">
        <f>IFERROR(__xludf.DUMMYFUNCTION("""COMPUTED_VALUE"""),"22/04/1996")</f>
        <v>22/04/1996</v>
      </c>
      <c r="L2740" s="21" t="str">
        <f>IFERROR(__xludf.DUMMYFUNCTION("""COMPUTED_VALUE"""),"LAKI-LAKI")</f>
        <v>LAKI-LAKI</v>
      </c>
      <c r="M2740" s="35" t="str">
        <f>IFERROR(__xludf.DUMMYFUNCTION("""COMPUTED_VALUE"""),"JL. SUTAN SYAHRIR NO 15")</f>
        <v>JL. SUTAN SYAHRIR NO 15</v>
      </c>
      <c r="N2740" s="35" t="str">
        <f>IFERROR(__xludf.DUMMYFUNCTION("""COMPUTED_VALUE"""),"AKCAYA")</f>
        <v>AKCAYA</v>
      </c>
      <c r="O2740" s="35" t="str">
        <f>IFERROR(__xludf.DUMMYFUNCTION("""COMPUTED_VALUE"""),"PONTIANAK SELATAN")</f>
        <v>PONTIANAK SELATAN</v>
      </c>
      <c r="P2740" s="35" t="str">
        <f>IFERROR(__xludf.DUMMYFUNCTION("""COMPUTED_VALUE"""),"KOTA PONTIANAK")</f>
        <v>KOTA PONTIANAK</v>
      </c>
      <c r="Q2740" s="35" t="str">
        <f>IFERROR(__xludf.DUMMYFUNCTION("""COMPUTED_VALUE"""),"KALIMANTAN BARAT")</f>
        <v>KALIMANTAN BARAT</v>
      </c>
      <c r="R2740" s="21" t="str">
        <f>IFERROR(__xludf.DUMMYFUNCTION("""COMPUTED_VALUE"""),"ISLAM")</f>
        <v>ISLAM</v>
      </c>
      <c r="S2740" s="74" t="str">
        <f>IFERROR(__xludf.DUMMYFUNCTION("""COMPUTED_VALUE"""),"PELAJAR/MAHASISWA")</f>
        <v>PELAJAR/MAHASISWA</v>
      </c>
      <c r="T2740" s="35" t="str">
        <f>IFERROR(__xludf.DUMMYFUNCTION("""COMPUTED_VALUE"""),"SAKIT PINGGANG")</f>
        <v>SAKIT PINGGANG</v>
      </c>
      <c r="U2740" s="35" t="str">
        <f>IFERROR(__xludf.DUMMYFUNCTION("""COMPUTED_VALUE"""),"BANYAK BEDIRI")</f>
        <v>BANYAK BEDIRI</v>
      </c>
      <c r="V2740" s="37" t="str">
        <f>IFERROR(__xludf.DUMMYFUNCTION("""COMPUTED_VALUE"""),"081345673582")</f>
        <v>081345673582</v>
      </c>
      <c r="W2740" s="45"/>
    </row>
    <row r="2741">
      <c r="A2741" s="45"/>
      <c r="B2741" s="24" t="str">
        <f>IFERROR(__xludf.DUMMYFUNCTION("""COMPUTED_VALUE"""),"13/08/2025 11:18:01")</f>
        <v>13/08/2025 11:18:01</v>
      </c>
      <c r="C2741" s="35"/>
      <c r="D2741" s="10">
        <f>IFERROR(__xludf.DUMMYFUNCTION("""COMPUTED_VALUE"""),45882.0)</f>
        <v>45882</v>
      </c>
      <c r="E2741" s="35" t="str">
        <f>IFERROR(__xludf.DUMMYFUNCTION("""COMPUTED_VALUE"""),"08Agu")</f>
        <v>08Agu</v>
      </c>
      <c r="F2741" s="34" t="str">
        <f>IFERROR(__xludf.DUMMYFUNCTION("""COMPUTED_VALUE"""),"2025")</f>
        <v>2025</v>
      </c>
      <c r="G2741" s="35" t="str">
        <f>IFERROR(__xludf.DUMMYFUNCTION("""COMPUTED_VALUE"""),"WENNY YOSTIA")</f>
        <v>WENNY YOSTIA</v>
      </c>
      <c r="H2741" s="35" t="str">
        <f>IFERROR(__xludf.DUMMYFUNCTION("""COMPUTED_VALUE"""),"W9125089669")</f>
        <v>W9125089669</v>
      </c>
      <c r="I2741" s="35">
        <f>IFERROR(__xludf.DUMMYFUNCTION("""COMPUTED_VALUE"""),35.0)</f>
        <v>35</v>
      </c>
      <c r="J2741" s="35" t="str">
        <f>IFERROR(__xludf.DUMMYFUNCTION("""COMPUTED_VALUE"""),"35-44 tahun")</f>
        <v>35-44 tahun</v>
      </c>
      <c r="K2741" s="21" t="str">
        <f>IFERROR(__xludf.DUMMYFUNCTION("""COMPUTED_VALUE"""),"20/05/1991")</f>
        <v>20/05/1991</v>
      </c>
      <c r="L2741" s="21" t="str">
        <f>IFERROR(__xludf.DUMMYFUNCTION("""COMPUTED_VALUE"""),"PEREMPUAN")</f>
        <v>PEREMPUAN</v>
      </c>
      <c r="M2741" s="35" t="str">
        <f>IFERROR(__xludf.DUMMYFUNCTION("""COMPUTED_VALUE"""),"JALAN SETIA BUDI NO 58")</f>
        <v>JALAN SETIA BUDI NO 58</v>
      </c>
      <c r="N2741" s="35" t="str">
        <f>IFERROR(__xludf.DUMMYFUNCTION("""COMPUTED_VALUE"""),"BENUA MELAYU DARAT")</f>
        <v>BENUA MELAYU DARAT</v>
      </c>
      <c r="O2741" s="35" t="str">
        <f>IFERROR(__xludf.DUMMYFUNCTION("""COMPUTED_VALUE"""),"PONTIANAK KOTA")</f>
        <v>PONTIANAK KOTA</v>
      </c>
      <c r="P2741" s="35" t="str">
        <f>IFERROR(__xludf.DUMMYFUNCTION("""COMPUTED_VALUE"""),"PONTIANAK KOTA")</f>
        <v>PONTIANAK KOTA</v>
      </c>
      <c r="Q2741" s="35" t="str">
        <f>IFERROR(__xludf.DUMMYFUNCTION("""COMPUTED_VALUE"""),"KALIMANTAN BARAT")</f>
        <v>KALIMANTAN BARAT</v>
      </c>
      <c r="R2741" s="21" t="str">
        <f>IFERROR(__xludf.DUMMYFUNCTION("""COMPUTED_VALUE"""),"PROTESTAN")</f>
        <v>PROTESTAN</v>
      </c>
      <c r="S2741" s="74" t="str">
        <f>IFERROR(__xludf.DUMMYFUNCTION("""COMPUTED_VALUE"""),"IBU RUMAH TANGGA")</f>
        <v>IBU RUMAH TANGGA</v>
      </c>
      <c r="T2741" s="35" t="str">
        <f>IFERROR(__xludf.DUMMYFUNCTION("""COMPUTED_VALUE"""),"JARI TELUNJUK DAN TELAPAK SAKIT")</f>
        <v>JARI TELUNJUK DAN TELAPAK SAKIT</v>
      </c>
      <c r="U2741" s="35" t="str">
        <f>IFERROR(__xludf.DUMMYFUNCTION("""COMPUTED_VALUE"""),"KOCOK MATCHA &amp; MAIN TENNIS")</f>
        <v>KOCOK MATCHA &amp; MAIN TENNIS</v>
      </c>
      <c r="V2741" s="37" t="str">
        <f>IFERROR(__xludf.DUMMYFUNCTION("""COMPUTED_VALUE"""),"082152169669")</f>
        <v>082152169669</v>
      </c>
      <c r="W2741" s="45"/>
    </row>
    <row r="2742">
      <c r="A2742" s="45"/>
      <c r="B2742" s="24" t="str">
        <f>IFERROR(__xludf.DUMMYFUNCTION("""COMPUTED_VALUE"""),"13/08/2025 15:21:41")</f>
        <v>13/08/2025 15:21:41</v>
      </c>
      <c r="C2742" s="35"/>
      <c r="D2742" s="10">
        <f>IFERROR(__xludf.DUMMYFUNCTION("""COMPUTED_VALUE"""),45882.0)</f>
        <v>45882</v>
      </c>
      <c r="E2742" s="35" t="str">
        <f>IFERROR(__xludf.DUMMYFUNCTION("""COMPUTED_VALUE"""),"08Agu")</f>
        <v>08Agu</v>
      </c>
      <c r="F2742" s="34" t="str">
        <f>IFERROR(__xludf.DUMMYFUNCTION("""COMPUTED_VALUE"""),"2025")</f>
        <v>2025</v>
      </c>
      <c r="G2742" s="35" t="str">
        <f>IFERROR(__xludf.DUMMYFUNCTION("""COMPUTED_VALUE"""),"KHOU AI KHENG")</f>
        <v>KHOU AI KHENG</v>
      </c>
      <c r="H2742" s="35" t="str">
        <f>IFERROR(__xludf.DUMMYFUNCTION("""COMPUTED_VALUE"""),"K7525084719")</f>
        <v>K7525084719</v>
      </c>
      <c r="I2742" s="35">
        <f>IFERROR(__xludf.DUMMYFUNCTION("""COMPUTED_VALUE"""),50.0)</f>
        <v>50</v>
      </c>
      <c r="J2742" s="35" t="str">
        <f>IFERROR(__xludf.DUMMYFUNCTION("""COMPUTED_VALUE"""),"&gt; 44 tahun")</f>
        <v>&gt; 44 tahun</v>
      </c>
      <c r="K2742" s="21" t="str">
        <f>IFERROR(__xludf.DUMMYFUNCTION("""COMPUTED_VALUE"""),"14/12/1975")</f>
        <v>14/12/1975</v>
      </c>
      <c r="L2742" s="21" t="str">
        <f>IFERROR(__xludf.DUMMYFUNCTION("""COMPUTED_VALUE"""),"PEREMPUAN")</f>
        <v>PEREMPUAN</v>
      </c>
      <c r="M2742" s="35" t="str">
        <f>IFERROR(__xludf.DUMMYFUNCTION("""COMPUTED_VALUE"""),"JL. SULTAN ABDURRAHMAN NO. 12")</f>
        <v>JL. SULTAN ABDURRAHMAN NO. 12</v>
      </c>
      <c r="N2742" s="35" t="str">
        <f>IFERROR(__xludf.DUMMYFUNCTION("""COMPUTED_VALUE"""),"PARIT TOKAYA")</f>
        <v>PARIT TOKAYA</v>
      </c>
      <c r="O2742" s="35" t="str">
        <f>IFERROR(__xludf.DUMMYFUNCTION("""COMPUTED_VALUE"""),"PONTIANAK SELATAN")</f>
        <v>PONTIANAK SELATAN</v>
      </c>
      <c r="P2742" s="35" t="str">
        <f>IFERROR(__xludf.DUMMYFUNCTION("""COMPUTED_VALUE"""),"KOTA PONTIANAK")</f>
        <v>KOTA PONTIANAK</v>
      </c>
      <c r="Q2742" s="35" t="str">
        <f>IFERROR(__xludf.DUMMYFUNCTION("""COMPUTED_VALUE"""),"KALIMANTAN BARAT")</f>
        <v>KALIMANTAN BARAT</v>
      </c>
      <c r="R2742" s="21" t="str">
        <f>IFERROR(__xludf.DUMMYFUNCTION("""COMPUTED_VALUE"""),"KATOLIK")</f>
        <v>KATOLIK</v>
      </c>
      <c r="S2742" s="74" t="str">
        <f>IFERROR(__xludf.DUMMYFUNCTION("""COMPUTED_VALUE"""),"RUMAH TANGGA")</f>
        <v>RUMAH TANGGA</v>
      </c>
      <c r="T2742" s="35" t="str">
        <f>IFERROR(__xludf.DUMMYFUNCTION("""COMPUTED_VALUE"""),"PINGGANG DAN TANGAN")</f>
        <v>PINGGANG DAN TANGAN</v>
      </c>
      <c r="U2742" s="35" t="str">
        <f>IFERROR(__xludf.DUMMYFUNCTION("""COMPUTED_VALUE"""),"YOGA, JOGGING DAN PILATES")</f>
        <v>YOGA, JOGGING DAN PILATES</v>
      </c>
      <c r="V2742" s="37" t="str">
        <f>IFERROR(__xludf.DUMMYFUNCTION("""COMPUTED_VALUE"""),"081254864719")</f>
        <v>081254864719</v>
      </c>
      <c r="W2742" s="45"/>
    </row>
    <row r="2743">
      <c r="A2743" s="45"/>
      <c r="B2743" s="24" t="str">
        <f>IFERROR(__xludf.DUMMYFUNCTION("""COMPUTED_VALUE"""),"14/08/2025 8:48:04")</f>
        <v>14/08/2025 8:48:04</v>
      </c>
      <c r="C2743" s="35"/>
      <c r="D2743" s="10">
        <f>IFERROR(__xludf.DUMMYFUNCTION("""COMPUTED_VALUE"""),45883.0)</f>
        <v>45883</v>
      </c>
      <c r="E2743" s="35" t="str">
        <f>IFERROR(__xludf.DUMMYFUNCTION("""COMPUTED_VALUE"""),"08Agu")</f>
        <v>08Agu</v>
      </c>
      <c r="F2743" s="34" t="str">
        <f>IFERROR(__xludf.DUMMYFUNCTION("""COMPUTED_VALUE"""),"2025")</f>
        <v>2025</v>
      </c>
      <c r="G2743" s="35" t="str">
        <f>IFERROR(__xludf.DUMMYFUNCTION("""COMPUTED_VALUE"""),"ELBERT")</f>
        <v>ELBERT</v>
      </c>
      <c r="H2743" s="35" t="str">
        <f>IFERROR(__xludf.DUMMYFUNCTION("""COMPUTED_VALUE"""),"E9825083788")</f>
        <v>E9825083788</v>
      </c>
      <c r="I2743" s="35">
        <f>IFERROR(__xludf.DUMMYFUNCTION("""COMPUTED_VALUE"""),28.0)</f>
        <v>28</v>
      </c>
      <c r="J2743" s="35" t="str">
        <f>IFERROR(__xludf.DUMMYFUNCTION("""COMPUTED_VALUE"""),"25-34 tahun")</f>
        <v>25-34 tahun</v>
      </c>
      <c r="K2743" s="21" t="str">
        <f>IFERROR(__xludf.DUMMYFUNCTION("""COMPUTED_VALUE"""),"06/03/1998")</f>
        <v>06/03/1998</v>
      </c>
      <c r="L2743" s="21" t="str">
        <f>IFERROR(__xludf.DUMMYFUNCTION("""COMPUTED_VALUE"""),"LAKI-LAKI")</f>
        <v>LAKI-LAKI</v>
      </c>
      <c r="M2743" s="35" t="str">
        <f>IFERROR(__xludf.DUMMYFUNCTION("""COMPUTED_VALUE"""),"PERMATA PURNAMA NO A12")</f>
        <v>PERMATA PURNAMA NO A12</v>
      </c>
      <c r="N2743" s="35" t="str">
        <f>IFERROR(__xludf.DUMMYFUNCTION("""COMPUTED_VALUE"""),"PARIT TOKAYA")</f>
        <v>PARIT TOKAYA</v>
      </c>
      <c r="O2743" s="35" t="str">
        <f>IFERROR(__xludf.DUMMYFUNCTION("""COMPUTED_VALUE"""),"PONTIANAK SELATAN")</f>
        <v>PONTIANAK SELATAN</v>
      </c>
      <c r="P2743" s="35" t="str">
        <f>IFERROR(__xludf.DUMMYFUNCTION("""COMPUTED_VALUE"""),"KOTA PONTIANAK")</f>
        <v>KOTA PONTIANAK</v>
      </c>
      <c r="Q2743" s="35" t="str">
        <f>IFERROR(__xludf.DUMMYFUNCTION("""COMPUTED_VALUE"""),"KALIMANTAN BARAT")</f>
        <v>KALIMANTAN BARAT</v>
      </c>
      <c r="R2743" s="21" t="str">
        <f>IFERROR(__xludf.DUMMYFUNCTION("""COMPUTED_VALUE"""),"PROTESTAN")</f>
        <v>PROTESTAN</v>
      </c>
      <c r="S2743" s="74" t="str">
        <f>IFERROR(__xludf.DUMMYFUNCTION("""COMPUTED_VALUE"""),"MAHASISWA")</f>
        <v>MAHASISWA</v>
      </c>
      <c r="T2743" s="35" t="str">
        <f>IFERROR(__xludf.DUMMYFUNCTION("""COMPUTED_VALUE"""),"KAKI KANAN SEPERTI OTOT KETARIK")</f>
        <v>KAKI KANAN SEPERTI OTOT KETARIK</v>
      </c>
      <c r="U2743" s="35" t="str">
        <f>IFERROR(__xludf.DUMMYFUNCTION("""COMPUTED_VALUE"""),"BADMINTON")</f>
        <v>BADMINTON</v>
      </c>
      <c r="V2743" s="37" t="str">
        <f>IFERROR(__xludf.DUMMYFUNCTION("""COMPUTED_VALUE"""),"081351303788")</f>
        <v>081351303788</v>
      </c>
      <c r="W2743" s="45"/>
    </row>
    <row r="2744">
      <c r="A2744" s="45"/>
      <c r="B2744" s="24" t="str">
        <f>IFERROR(__xludf.DUMMYFUNCTION("""COMPUTED_VALUE"""),"14/08/2025 11:57:17")</f>
        <v>14/08/2025 11:57:17</v>
      </c>
      <c r="C2744" s="35"/>
      <c r="D2744" s="10">
        <f>IFERROR(__xludf.DUMMYFUNCTION("""COMPUTED_VALUE"""),45883.0)</f>
        <v>45883</v>
      </c>
      <c r="E2744" s="35" t="str">
        <f>IFERROR(__xludf.DUMMYFUNCTION("""COMPUTED_VALUE"""),"08Agu")</f>
        <v>08Agu</v>
      </c>
      <c r="F2744" s="34" t="str">
        <f>IFERROR(__xludf.DUMMYFUNCTION("""COMPUTED_VALUE"""),"2025")</f>
        <v>2025</v>
      </c>
      <c r="G2744" s="35" t="str">
        <f>IFERROR(__xludf.DUMMYFUNCTION("""COMPUTED_VALUE"""),"SAFIRA PUTRI WIBOWO")</f>
        <v>SAFIRA PUTRI WIBOWO</v>
      </c>
      <c r="H2744" s="35" t="str">
        <f>IFERROR(__xludf.DUMMYFUNCTION("""COMPUTED_VALUE"""),"S0825081575")</f>
        <v>S0825081575</v>
      </c>
      <c r="I2744" s="35">
        <f>IFERROR(__xludf.DUMMYFUNCTION("""COMPUTED_VALUE"""),17.0)</f>
        <v>17</v>
      </c>
      <c r="J2744" s="35" t="str">
        <f>IFERROR(__xludf.DUMMYFUNCTION("""COMPUTED_VALUE"""),"&lt; 18 tahun")</f>
        <v>&lt; 18 tahun</v>
      </c>
      <c r="K2744" s="21" t="str">
        <f>IFERROR(__xludf.DUMMYFUNCTION("""COMPUTED_VALUE"""),"27/12/2008")</f>
        <v>27/12/2008</v>
      </c>
      <c r="L2744" s="21" t="str">
        <f>IFERROR(__xludf.DUMMYFUNCTION("""COMPUTED_VALUE"""),"PEREMPUAN")</f>
        <v>PEREMPUAN</v>
      </c>
      <c r="M2744" s="35" t="str">
        <f>IFERROR(__xludf.DUMMYFUNCTION("""COMPUTED_VALUE"""),"JL. KARYA KOMPLEK DINA CITRA")</f>
        <v>JL. KARYA KOMPLEK DINA CITRA</v>
      </c>
      <c r="N2744" s="35" t="str">
        <f>IFERROR(__xludf.DUMMYFUNCTION("""COMPUTED_VALUE"""),"PAL SEMBILAN")</f>
        <v>PAL SEMBILAN</v>
      </c>
      <c r="O2744" s="35" t="str">
        <f>IFERROR(__xludf.DUMMYFUNCTION("""COMPUTED_VALUE"""),"SUNGAI KAKAP")</f>
        <v>SUNGAI KAKAP</v>
      </c>
      <c r="P2744" s="35" t="str">
        <f>IFERROR(__xludf.DUMMYFUNCTION("""COMPUTED_VALUE"""),"KUBU RAYA")</f>
        <v>KUBU RAYA</v>
      </c>
      <c r="Q2744" s="35" t="str">
        <f>IFERROR(__xludf.DUMMYFUNCTION("""COMPUTED_VALUE"""),"KALIMANTAN BARAT")</f>
        <v>KALIMANTAN BARAT</v>
      </c>
      <c r="R2744" s="21" t="str">
        <f>IFERROR(__xludf.DUMMYFUNCTION("""COMPUTED_VALUE"""),"ISLAM")</f>
        <v>ISLAM</v>
      </c>
      <c r="S2744" s="74" t="str">
        <f>IFERROR(__xludf.DUMMYFUNCTION("""COMPUTED_VALUE"""),"PELAJAR")</f>
        <v>PELAJAR</v>
      </c>
      <c r="T2744" s="35" t="str">
        <f>IFERROR(__xludf.DUMMYFUNCTION("""COMPUTED_VALUE"""),"KESELEO PERGELANGAN DAN SIKU KANAN")</f>
        <v>KESELEO PERGELANGAN DAN SIKU KANAN</v>
      </c>
      <c r="U2744" s="35" t="str">
        <f>IFERROR(__xludf.DUMMYFUNCTION("""COMPUTED_VALUE"""),"LATIHAN PASIKIBRA")</f>
        <v>LATIHAN PASIKIBRA</v>
      </c>
      <c r="V2744" s="37" t="str">
        <f>IFERROR(__xludf.DUMMYFUNCTION("""COMPUTED_VALUE"""),"081351211575")</f>
        <v>081351211575</v>
      </c>
      <c r="W2744" s="45"/>
    </row>
    <row r="2745">
      <c r="A2745" s="45"/>
      <c r="B2745" s="24" t="str">
        <f>IFERROR(__xludf.DUMMYFUNCTION("""COMPUTED_VALUE"""),"14/08/2025 14:38:54")</f>
        <v>14/08/2025 14:38:54</v>
      </c>
      <c r="C2745" s="35"/>
      <c r="D2745" s="10">
        <f>IFERROR(__xludf.DUMMYFUNCTION("""COMPUTED_VALUE"""),45883.0)</f>
        <v>45883</v>
      </c>
      <c r="E2745" s="35" t="str">
        <f>IFERROR(__xludf.DUMMYFUNCTION("""COMPUTED_VALUE"""),"08Agu")</f>
        <v>08Agu</v>
      </c>
      <c r="F2745" s="34" t="str">
        <f>IFERROR(__xludf.DUMMYFUNCTION("""COMPUTED_VALUE"""),"2025")</f>
        <v>2025</v>
      </c>
      <c r="G2745" s="35" t="str">
        <f>IFERROR(__xludf.DUMMYFUNCTION("""COMPUTED_VALUE"""),"DHIO ASRIL DWIYONO")</f>
        <v>DHIO ASRIL DWIYONO</v>
      </c>
      <c r="H2745" s="35" t="str">
        <f>IFERROR(__xludf.DUMMYFUNCTION("""COMPUTED_VALUE"""),"D9825088969")</f>
        <v>D9825088969</v>
      </c>
      <c r="I2745" s="35">
        <f>IFERROR(__xludf.DUMMYFUNCTION("""COMPUTED_VALUE"""),27.0)</f>
        <v>27</v>
      </c>
      <c r="J2745" s="35" t="str">
        <f>IFERROR(__xludf.DUMMYFUNCTION("""COMPUTED_VALUE"""),"25-34 tahun")</f>
        <v>25-34 tahun</v>
      </c>
      <c r="K2745" s="21" t="str">
        <f>IFERROR(__xludf.DUMMYFUNCTION("""COMPUTED_VALUE"""),"20/10/1998")</f>
        <v>20/10/1998</v>
      </c>
      <c r="L2745" s="21" t="str">
        <f>IFERROR(__xludf.DUMMYFUNCTION("""COMPUTED_VALUE"""),"LAKI-LAKI")</f>
        <v>LAKI-LAKI</v>
      </c>
      <c r="M2745" s="35" t="str">
        <f>IFERROR(__xludf.DUMMYFUNCTION("""COMPUTED_VALUE"""),"DUSUN MEKAR SARI")</f>
        <v>DUSUN MEKAR SARI</v>
      </c>
      <c r="N2745" s="35" t="str">
        <f>IFERROR(__xludf.DUMMYFUNCTION("""COMPUTED_VALUE"""),"DESA PAAL")</f>
        <v>DESA PAAL</v>
      </c>
      <c r="O2745" s="35" t="str">
        <f>IFERROR(__xludf.DUMMYFUNCTION("""COMPUTED_VALUE"""),"NANGA PINOH")</f>
        <v>NANGA PINOH</v>
      </c>
      <c r="P2745" s="35" t="str">
        <f>IFERROR(__xludf.DUMMYFUNCTION("""COMPUTED_VALUE"""),"MELAWI")</f>
        <v>MELAWI</v>
      </c>
      <c r="Q2745" s="35" t="str">
        <f>IFERROR(__xludf.DUMMYFUNCTION("""COMPUTED_VALUE"""),"KALIMANTAN BARAT")</f>
        <v>KALIMANTAN BARAT</v>
      </c>
      <c r="R2745" s="21" t="str">
        <f>IFERROR(__xludf.DUMMYFUNCTION("""COMPUTED_VALUE"""),"ISLAM")</f>
        <v>ISLAM</v>
      </c>
      <c r="S2745" s="74" t="str">
        <f>IFERROR(__xludf.DUMMYFUNCTION("""COMPUTED_VALUE"""),"PEGAWAI SWASTA")</f>
        <v>PEGAWAI SWASTA</v>
      </c>
      <c r="T2745" s="35" t="str">
        <f>IFERROR(__xludf.DUMMYFUNCTION("""COMPUTED_VALUE"""),"SAKIT PINGGANG")</f>
        <v>SAKIT PINGGANG</v>
      </c>
      <c r="U2745" s="35" t="str">
        <f>IFERROR(__xludf.DUMMYFUNCTION("""COMPUTED_VALUE"""),"BOLA BASKET")</f>
        <v>BOLA BASKET</v>
      </c>
      <c r="V2745" s="37" t="str">
        <f>IFERROR(__xludf.DUMMYFUNCTION("""COMPUTED_VALUE"""),"081257478969")</f>
        <v>081257478969</v>
      </c>
      <c r="W2745" s="45"/>
    </row>
    <row r="2746">
      <c r="A2746" s="45"/>
      <c r="B2746" s="24" t="str">
        <f>IFERROR(__xludf.DUMMYFUNCTION("""COMPUTED_VALUE"""),"14/08/2025 16:06:11")</f>
        <v>14/08/2025 16:06:11</v>
      </c>
      <c r="C2746" s="35"/>
      <c r="D2746" s="10">
        <f>IFERROR(__xludf.DUMMYFUNCTION("""COMPUTED_VALUE"""),45883.0)</f>
        <v>45883</v>
      </c>
      <c r="E2746" s="35" t="str">
        <f>IFERROR(__xludf.DUMMYFUNCTION("""COMPUTED_VALUE"""),"08Agu")</f>
        <v>08Agu</v>
      </c>
      <c r="F2746" s="34" t="str">
        <f>IFERROR(__xludf.DUMMYFUNCTION("""COMPUTED_VALUE"""),"2025")</f>
        <v>2025</v>
      </c>
      <c r="G2746" s="35" t="str">
        <f>IFERROR(__xludf.DUMMYFUNCTION("""COMPUTED_VALUE"""),"VIVO TORAS RAKONDA")</f>
        <v>VIVO TORAS RAKONDA</v>
      </c>
      <c r="H2746" s="35" t="str">
        <f>IFERROR(__xludf.DUMMYFUNCTION("""COMPUTED_VALUE"""),"V0125082642")</f>
        <v>V0125082642</v>
      </c>
      <c r="I2746" s="35">
        <f>IFERROR(__xludf.DUMMYFUNCTION("""COMPUTED_VALUE"""),24.0)</f>
        <v>24</v>
      </c>
      <c r="J2746" s="35" t="str">
        <f>IFERROR(__xludf.DUMMYFUNCTION("""COMPUTED_VALUE"""),"18-24 tahun")</f>
        <v>18-24 tahun</v>
      </c>
      <c r="K2746" s="21" t="str">
        <f>IFERROR(__xludf.DUMMYFUNCTION("""COMPUTED_VALUE"""),"30/12/2001")</f>
        <v>30/12/2001</v>
      </c>
      <c r="L2746" s="21" t="str">
        <f>IFERROR(__xludf.DUMMYFUNCTION("""COMPUTED_VALUE"""),"LAKI-LAKI")</f>
        <v>LAKI-LAKI</v>
      </c>
      <c r="M2746" s="35" t="str">
        <f>IFERROR(__xludf.DUMMYFUNCTION("""COMPUTED_VALUE"""),"DUSUN MEKAR SARI")</f>
        <v>DUSUN MEKAR SARI</v>
      </c>
      <c r="N2746" s="35" t="str">
        <f>IFERROR(__xludf.DUMMYFUNCTION("""COMPUTED_VALUE"""),"PAAL")</f>
        <v>PAAL</v>
      </c>
      <c r="O2746" s="35" t="str">
        <f>IFERROR(__xludf.DUMMYFUNCTION("""COMPUTED_VALUE"""),"NANGA PINOH")</f>
        <v>NANGA PINOH</v>
      </c>
      <c r="P2746" s="35" t="str">
        <f>IFERROR(__xludf.DUMMYFUNCTION("""COMPUTED_VALUE"""),"MELAWI")</f>
        <v>MELAWI</v>
      </c>
      <c r="Q2746" s="35" t="str">
        <f>IFERROR(__xludf.DUMMYFUNCTION("""COMPUTED_VALUE"""),"KALIMANTAN BARAT")</f>
        <v>KALIMANTAN BARAT</v>
      </c>
      <c r="R2746" s="21" t="str">
        <f>IFERROR(__xludf.DUMMYFUNCTION("""COMPUTED_VALUE"""),"PROTESTAN")</f>
        <v>PROTESTAN</v>
      </c>
      <c r="S2746" s="74" t="str">
        <f>IFERROR(__xludf.DUMMYFUNCTION("""COMPUTED_VALUE"""),"MAHASISWA")</f>
        <v>MAHASISWA</v>
      </c>
      <c r="T2746" s="35" t="str">
        <f>IFERROR(__xludf.DUMMYFUNCTION("""COMPUTED_VALUE"""),"ANKLE")</f>
        <v>ANKLE</v>
      </c>
      <c r="U2746" s="35" t="str">
        <f>IFERROR(__xludf.DUMMYFUNCTION("""COMPUTED_VALUE"""),"-")</f>
        <v>-</v>
      </c>
      <c r="V2746" s="37" t="str">
        <f>IFERROR(__xludf.DUMMYFUNCTION("""COMPUTED_VALUE"""),"081351902642")</f>
        <v>081351902642</v>
      </c>
      <c r="W2746" s="45"/>
    </row>
    <row r="2747">
      <c r="A2747" s="45"/>
      <c r="B2747" s="24" t="str">
        <f>IFERROR(__xludf.DUMMYFUNCTION("""COMPUTED_VALUE"""),"14/08/2025 19:38:47")</f>
        <v>14/08/2025 19:38:47</v>
      </c>
      <c r="C2747" s="35"/>
      <c r="D2747" s="10">
        <f>IFERROR(__xludf.DUMMYFUNCTION("""COMPUTED_VALUE"""),45883.0)</f>
        <v>45883</v>
      </c>
      <c r="E2747" s="35" t="str">
        <f>IFERROR(__xludf.DUMMYFUNCTION("""COMPUTED_VALUE"""),"08Agu")</f>
        <v>08Agu</v>
      </c>
      <c r="F2747" s="34" t="str">
        <f>IFERROR(__xludf.DUMMYFUNCTION("""COMPUTED_VALUE"""),"2025")</f>
        <v>2025</v>
      </c>
      <c r="G2747" s="35" t="str">
        <f>IFERROR(__xludf.DUMMYFUNCTION("""COMPUTED_VALUE"""),"FATIMAH 5612")</f>
        <v>FATIMAH 5612</v>
      </c>
      <c r="H2747" s="35" t="str">
        <f>IFERROR(__xludf.DUMMYFUNCTION("""COMPUTED_VALUE"""),"F5625080460")</f>
        <v>F5625080460</v>
      </c>
      <c r="I2747" s="35">
        <f>IFERROR(__xludf.DUMMYFUNCTION("""COMPUTED_VALUE"""),69.0)</f>
        <v>69</v>
      </c>
      <c r="J2747" s="35" t="str">
        <f>IFERROR(__xludf.DUMMYFUNCTION("""COMPUTED_VALUE"""),"&gt; 44 tahun")</f>
        <v>&gt; 44 tahun</v>
      </c>
      <c r="K2747" s="21" t="str">
        <f>IFERROR(__xludf.DUMMYFUNCTION("""COMPUTED_VALUE"""),"10/12/1956")</f>
        <v>10/12/1956</v>
      </c>
      <c r="L2747" s="21" t="str">
        <f>IFERROR(__xludf.DUMMYFUNCTION("""COMPUTED_VALUE"""),"PEREMPUAN")</f>
        <v>PEREMPUAN</v>
      </c>
      <c r="M2747" s="35" t="str">
        <f>IFERROR(__xludf.DUMMYFUNCTION("""COMPUTED_VALUE"""),"JL.HUSEIJ HANZAH GG.MELDA NO.5")</f>
        <v>JL.HUSEIJ HANZAH GG.MELDA NO.5</v>
      </c>
      <c r="N2747" s="35" t="str">
        <f>IFERROR(__xludf.DUMMYFUNCTION("""COMPUTED_VALUE"""),"SEI JAWI DALAM")</f>
        <v>SEI JAWI DALAM</v>
      </c>
      <c r="O2747" s="35" t="str">
        <f>IFERROR(__xludf.DUMMYFUNCTION("""COMPUTED_VALUE"""),"PONTIANAK BARAT")</f>
        <v>PONTIANAK BARAT</v>
      </c>
      <c r="P2747" s="35" t="str">
        <f>IFERROR(__xludf.DUMMYFUNCTION("""COMPUTED_VALUE"""),"KOTA PONTIANAI")</f>
        <v>KOTA PONTIANAI</v>
      </c>
      <c r="Q2747" s="35" t="str">
        <f>IFERROR(__xludf.DUMMYFUNCTION("""COMPUTED_VALUE"""),"KALIMANTAN BARQT")</f>
        <v>KALIMANTAN BARQT</v>
      </c>
      <c r="R2747" s="21" t="str">
        <f>IFERROR(__xludf.DUMMYFUNCTION("""COMPUTED_VALUE"""),"ISLAM")</f>
        <v>ISLAM</v>
      </c>
      <c r="S2747" s="74" t="str">
        <f>IFERROR(__xludf.DUMMYFUNCTION("""COMPUTED_VALUE"""),"RUMAH TANGGAH")</f>
        <v>RUMAH TANGGAH</v>
      </c>
      <c r="T2747" s="35" t="str">
        <f>IFERROR(__xludf.DUMMYFUNCTION("""COMPUTED_VALUE"""),"SAKIT PADA TULANG PANTAT")</f>
        <v>SAKIT PADA TULANG PANTAT</v>
      </c>
      <c r="U2747" s="35" t="str">
        <f>IFERROR(__xludf.DUMMYFUNCTION("""COMPUTED_VALUE"""),"NGAK ADA HOBI")</f>
        <v>NGAK ADA HOBI</v>
      </c>
      <c r="V2747" s="37" t="str">
        <f>IFERROR(__xludf.DUMMYFUNCTION("""COMPUTED_VALUE"""),"0895341690460")</f>
        <v>0895341690460</v>
      </c>
      <c r="W2747" s="45"/>
    </row>
    <row r="2748">
      <c r="A2748" s="45"/>
      <c r="B2748" s="24" t="str">
        <f>IFERROR(__xludf.DUMMYFUNCTION("""COMPUTED_VALUE"""),"15/08/2025 10:33:06")</f>
        <v>15/08/2025 10:33:06</v>
      </c>
      <c r="C2748" s="35"/>
      <c r="D2748" s="10">
        <f>IFERROR(__xludf.DUMMYFUNCTION("""COMPUTED_VALUE"""),45884.0)</f>
        <v>45884</v>
      </c>
      <c r="E2748" s="35" t="str">
        <f>IFERROR(__xludf.DUMMYFUNCTION("""COMPUTED_VALUE"""),"08Agu")</f>
        <v>08Agu</v>
      </c>
      <c r="F2748" s="34" t="str">
        <f>IFERROR(__xludf.DUMMYFUNCTION("""COMPUTED_VALUE"""),"2025")</f>
        <v>2025</v>
      </c>
      <c r="G2748" s="35" t="str">
        <f>IFERROR(__xludf.DUMMYFUNCTION("""COMPUTED_VALUE"""),"FARID DZULHILMI")</f>
        <v>FARID DZULHILMI</v>
      </c>
      <c r="H2748" s="35" t="str">
        <f>IFERROR(__xludf.DUMMYFUNCTION("""COMPUTED_VALUE"""),"F0825085529")</f>
        <v>F0825085529</v>
      </c>
      <c r="I2748" s="35">
        <f>IFERROR(__xludf.DUMMYFUNCTION("""COMPUTED_VALUE"""),18.0)</f>
        <v>18</v>
      </c>
      <c r="J2748" s="35" t="str">
        <f>IFERROR(__xludf.DUMMYFUNCTION("""COMPUTED_VALUE"""),"&lt; 18 tahun")</f>
        <v>&lt; 18 tahun</v>
      </c>
      <c r="K2748" s="21" t="str">
        <f>IFERROR(__xludf.DUMMYFUNCTION("""COMPUTED_VALUE"""),"30/01/2008")</f>
        <v>30/01/2008</v>
      </c>
      <c r="L2748" s="21" t="str">
        <f>IFERROR(__xludf.DUMMYFUNCTION("""COMPUTED_VALUE"""),"LAKI-LAKI")</f>
        <v>LAKI-LAKI</v>
      </c>
      <c r="M2748" s="35" t="str">
        <f>IFERROR(__xludf.DUMMYFUNCTION("""COMPUTED_VALUE"""),"JL HUSEIN HAMZAH KOMP. ROSE GRIYA B9")</f>
        <v>JL HUSEIN HAMZAH KOMP. ROSE GRIYA B9</v>
      </c>
      <c r="N2748" s="35" t="str">
        <f>IFERROR(__xludf.DUMMYFUNCTION("""COMPUTED_VALUE"""),"PALLIMA")</f>
        <v>PALLIMA</v>
      </c>
      <c r="O2748" s="35" t="str">
        <f>IFERROR(__xludf.DUMMYFUNCTION("""COMPUTED_VALUE"""),"PONTIANAK BARAT")</f>
        <v>PONTIANAK BARAT</v>
      </c>
      <c r="P2748" s="35" t="str">
        <f>IFERROR(__xludf.DUMMYFUNCTION("""COMPUTED_VALUE"""),"KOTA PONTIANAK")</f>
        <v>KOTA PONTIANAK</v>
      </c>
      <c r="Q2748" s="35" t="str">
        <f>IFERROR(__xludf.DUMMYFUNCTION("""COMPUTED_VALUE"""),"KALIMANTAN BARAT")</f>
        <v>KALIMANTAN BARAT</v>
      </c>
      <c r="R2748" s="21" t="str">
        <f>IFERROR(__xludf.DUMMYFUNCTION("""COMPUTED_VALUE"""),"ISLAM")</f>
        <v>ISLAM</v>
      </c>
      <c r="S2748" s="74" t="str">
        <f>IFERROR(__xludf.DUMMYFUNCTION("""COMPUTED_VALUE"""),"SEKOLAH")</f>
        <v>SEKOLAH</v>
      </c>
      <c r="T2748" s="35" t="str">
        <f>IFERROR(__xludf.DUMMYFUNCTION("""COMPUTED_VALUE"""),"NYERI PADA ATAS LUTUT KETIKA SALAH TUMPUAN KAKI")</f>
        <v>NYERI PADA ATAS LUTUT KETIKA SALAH TUMPUAN KAKI</v>
      </c>
      <c r="U2748" s="35" t="str">
        <f>IFERROR(__xludf.DUMMYFUNCTION("""COMPUTED_VALUE"""),"FUTSAL, LARI")</f>
        <v>FUTSAL, LARI</v>
      </c>
      <c r="V2748" s="37" t="str">
        <f>IFERROR(__xludf.DUMMYFUNCTION("""COMPUTED_VALUE"""),"082150325529")</f>
        <v>082150325529</v>
      </c>
      <c r="W2748" s="45"/>
    </row>
    <row r="2749">
      <c r="A2749" s="45"/>
      <c r="B2749" s="24" t="str">
        <f>IFERROR(__xludf.DUMMYFUNCTION("""COMPUTED_VALUE"""),"15/08/2025 18:42:05")</f>
        <v>15/08/2025 18:42:05</v>
      </c>
      <c r="C2749" s="35"/>
      <c r="D2749" s="10">
        <f>IFERROR(__xludf.DUMMYFUNCTION("""COMPUTED_VALUE"""),45884.0)</f>
        <v>45884</v>
      </c>
      <c r="E2749" s="35" t="str">
        <f>IFERROR(__xludf.DUMMYFUNCTION("""COMPUTED_VALUE"""),"08Agu")</f>
        <v>08Agu</v>
      </c>
      <c r="F2749" s="34" t="str">
        <f>IFERROR(__xludf.DUMMYFUNCTION("""COMPUTED_VALUE"""),"2025")</f>
        <v>2025</v>
      </c>
      <c r="G2749" s="35" t="str">
        <f>IFERROR(__xludf.DUMMYFUNCTION("""COMPUTED_VALUE"""),"FIA SULIANTI")</f>
        <v>FIA SULIANTI</v>
      </c>
      <c r="H2749" s="35" t="str">
        <f>IFERROR(__xludf.DUMMYFUNCTION("""COMPUTED_VALUE"""),"F7725084795")</f>
        <v>F7725084795</v>
      </c>
      <c r="I2749" s="35">
        <f>IFERROR(__xludf.DUMMYFUNCTION("""COMPUTED_VALUE"""),49.0)</f>
        <v>49</v>
      </c>
      <c r="J2749" s="35" t="str">
        <f>IFERROR(__xludf.DUMMYFUNCTION("""COMPUTED_VALUE"""),"&gt; 44 tahun")</f>
        <v>&gt; 44 tahun</v>
      </c>
      <c r="K2749" s="21" t="str">
        <f>IFERROR(__xludf.DUMMYFUNCTION("""COMPUTED_VALUE"""),"22/04/1977")</f>
        <v>22/04/1977</v>
      </c>
      <c r="L2749" s="21" t="str">
        <f>IFERROR(__xludf.DUMMYFUNCTION("""COMPUTED_VALUE"""),"PEREMPUAN")</f>
        <v>PEREMPUAN</v>
      </c>
      <c r="M2749" s="35" t="str">
        <f>IFERROR(__xludf.DUMMYFUNCTION("""COMPUTED_VALUE"""),"KOMP. VILA PERMATA ASRI C 14")</f>
        <v>KOMP. VILA PERMATA ASRI C 14</v>
      </c>
      <c r="N2749" s="35" t="str">
        <f>IFERROR(__xludf.DUMMYFUNCTION("""COMPUTED_VALUE"""),"PAL SEMBILAN")</f>
        <v>PAL SEMBILAN</v>
      </c>
      <c r="O2749" s="35" t="str">
        <f>IFERROR(__xludf.DUMMYFUNCTION("""COMPUTED_VALUE"""),"SUNGAI KAKAP")</f>
        <v>SUNGAI KAKAP</v>
      </c>
      <c r="P2749" s="35" t="str">
        <f>IFERROR(__xludf.DUMMYFUNCTION("""COMPUTED_VALUE"""),"KOTA PONTIANAK")</f>
        <v>KOTA PONTIANAK</v>
      </c>
      <c r="Q2749" s="35" t="str">
        <f>IFERROR(__xludf.DUMMYFUNCTION("""COMPUTED_VALUE"""),"KALIMANTAN BARAT")</f>
        <v>KALIMANTAN BARAT</v>
      </c>
      <c r="R2749" s="21" t="str">
        <f>IFERROR(__xludf.DUMMYFUNCTION("""COMPUTED_VALUE"""),"ISLAM")</f>
        <v>ISLAM</v>
      </c>
      <c r="S2749" s="74" t="str">
        <f>IFERROR(__xludf.DUMMYFUNCTION("""COMPUTED_VALUE"""),"PNS")</f>
        <v>PNS</v>
      </c>
      <c r="T2749" s="35" t="str">
        <f>IFERROR(__xludf.DUMMYFUNCTION("""COMPUTED_VALUE"""),"BAHU NYERI")</f>
        <v>BAHU NYERI</v>
      </c>
      <c r="U2749" s="35" t="str">
        <f>IFERROR(__xludf.DUMMYFUNCTION("""COMPUTED_VALUE"""),"BEKERJA PAKAI MOTOR")</f>
        <v>BEKERJA PAKAI MOTOR</v>
      </c>
      <c r="V2749" s="37" t="str">
        <f>IFERROR(__xludf.DUMMYFUNCTION("""COMPUTED_VALUE"""),"089676984795")</f>
        <v>089676984795</v>
      </c>
      <c r="W2749" s="45"/>
    </row>
    <row r="2750">
      <c r="A2750" s="45"/>
      <c r="B2750" s="24" t="str">
        <f>IFERROR(__xludf.DUMMYFUNCTION("""COMPUTED_VALUE"""),"16/08/2025 9:32:18")</f>
        <v>16/08/2025 9:32:18</v>
      </c>
      <c r="C2750" s="35"/>
      <c r="D2750" s="10">
        <f>IFERROR(__xludf.DUMMYFUNCTION("""COMPUTED_VALUE"""),45885.0)</f>
        <v>45885</v>
      </c>
      <c r="E2750" s="35" t="str">
        <f>IFERROR(__xludf.DUMMYFUNCTION("""COMPUTED_VALUE"""),"08Agu")</f>
        <v>08Agu</v>
      </c>
      <c r="F2750" s="34" t="str">
        <f>IFERROR(__xludf.DUMMYFUNCTION("""COMPUTED_VALUE"""),"2025")</f>
        <v>2025</v>
      </c>
      <c r="G2750" s="35" t="str">
        <f>IFERROR(__xludf.DUMMYFUNCTION("""COMPUTED_VALUE"""),"MURHAMAH. MS")</f>
        <v>MURHAMAH. MS</v>
      </c>
      <c r="H2750" s="35" t="str">
        <f>IFERROR(__xludf.DUMMYFUNCTION("""COMPUTED_VALUE"""),"M5825088764")</f>
        <v>M5825088764</v>
      </c>
      <c r="I2750" s="35">
        <f>IFERROR(__xludf.DUMMYFUNCTION("""COMPUTED_VALUE"""),67.0)</f>
        <v>67</v>
      </c>
      <c r="J2750" s="35" t="str">
        <f>IFERROR(__xludf.DUMMYFUNCTION("""COMPUTED_VALUE"""),"&gt; 44 tahun")</f>
        <v>&gt; 44 tahun</v>
      </c>
      <c r="K2750" s="21" t="str">
        <f>IFERROR(__xludf.DUMMYFUNCTION("""COMPUTED_VALUE"""),"11/10/1958")</f>
        <v>11/10/1958</v>
      </c>
      <c r="L2750" s="21" t="str">
        <f>IFERROR(__xludf.DUMMYFUNCTION("""COMPUTED_VALUE"""),"PEREMPUAN")</f>
        <v>PEREMPUAN</v>
      </c>
      <c r="M2750" s="35" t="str">
        <f>IFERROR(__xludf.DUMMYFUNCTION("""COMPUTED_VALUE"""),"JL. HM SUWIGNYO GG SUDIHARJO II NO.14")</f>
        <v>JL. HM SUWIGNYO GG SUDIHARJO II NO.14</v>
      </c>
      <c r="N2750" s="35" t="str">
        <f>IFERROR(__xludf.DUMMYFUNCTION("""COMPUTED_VALUE"""),"SUNGAI JAWI")</f>
        <v>SUNGAI JAWI</v>
      </c>
      <c r="O2750" s="35" t="str">
        <f>IFERROR(__xludf.DUMMYFUNCTION("""COMPUTED_VALUE"""),"PONTIANAK KOTA")</f>
        <v>PONTIANAK KOTA</v>
      </c>
      <c r="P2750" s="35" t="str">
        <f>IFERROR(__xludf.DUMMYFUNCTION("""COMPUTED_VALUE"""),"PONTIANAK")</f>
        <v>PONTIANAK</v>
      </c>
      <c r="Q2750" s="35" t="str">
        <f>IFERROR(__xludf.DUMMYFUNCTION("""COMPUTED_VALUE"""),"KALIMANTAN BARAT")</f>
        <v>KALIMANTAN BARAT</v>
      </c>
      <c r="R2750" s="21" t="str">
        <f>IFERROR(__xludf.DUMMYFUNCTION("""COMPUTED_VALUE"""),"ISLAM")</f>
        <v>ISLAM</v>
      </c>
      <c r="S2750" s="74" t="str">
        <f>IFERROR(__xludf.DUMMYFUNCTION("""COMPUTED_VALUE"""),"IRT")</f>
        <v>IRT</v>
      </c>
      <c r="T2750" s="35" t="str">
        <f>IFERROR(__xludf.DUMMYFUNCTION("""COMPUTED_VALUE"""),"NYERI BAHU SEBELAH KANAN")</f>
        <v>NYERI BAHU SEBELAH KANAN</v>
      </c>
      <c r="U2750" s="35" t="str">
        <f>IFERROR(__xludf.DUMMYFUNCTION("""COMPUTED_VALUE"""),"-")</f>
        <v>-</v>
      </c>
      <c r="V2750" s="37" t="str">
        <f>IFERROR(__xludf.DUMMYFUNCTION("""COMPUTED_VALUE"""),"085252068764")</f>
        <v>085252068764</v>
      </c>
      <c r="W2750" s="45"/>
    </row>
    <row r="2751">
      <c r="A2751" s="45"/>
      <c r="B2751" s="24" t="str">
        <f>IFERROR(__xludf.DUMMYFUNCTION("""COMPUTED_VALUE"""),"17/08/2025 19:15:26")</f>
        <v>17/08/2025 19:15:26</v>
      </c>
      <c r="C2751" s="35"/>
      <c r="D2751" s="10">
        <f>IFERROR(__xludf.DUMMYFUNCTION("""COMPUTED_VALUE"""),45886.0)</f>
        <v>45886</v>
      </c>
      <c r="E2751" s="35" t="str">
        <f>IFERROR(__xludf.DUMMYFUNCTION("""COMPUTED_VALUE"""),"08Agu")</f>
        <v>08Agu</v>
      </c>
      <c r="F2751" s="34" t="str">
        <f>IFERROR(__xludf.DUMMYFUNCTION("""COMPUTED_VALUE"""),"2025")</f>
        <v>2025</v>
      </c>
      <c r="G2751" s="35" t="str">
        <f>IFERROR(__xludf.DUMMYFUNCTION("""COMPUTED_VALUE"""),"DESTY AYU WULANSARI")</f>
        <v>DESTY AYU WULANSARI</v>
      </c>
      <c r="H2751" s="35" t="str">
        <f>IFERROR(__xludf.DUMMYFUNCTION("""COMPUTED_VALUE"""),"D9625081496")</f>
        <v>D9625081496</v>
      </c>
      <c r="I2751" s="35">
        <f>IFERROR(__xludf.DUMMYFUNCTION("""COMPUTED_VALUE"""),29.0)</f>
        <v>29</v>
      </c>
      <c r="J2751" s="35" t="str">
        <f>IFERROR(__xludf.DUMMYFUNCTION("""COMPUTED_VALUE"""),"25-34 tahun")</f>
        <v>25-34 tahun</v>
      </c>
      <c r="K2751" s="21" t="str">
        <f>IFERROR(__xludf.DUMMYFUNCTION("""COMPUTED_VALUE"""),"12/08/1996")</f>
        <v>12/08/1996</v>
      </c>
      <c r="L2751" s="21" t="str">
        <f>IFERROR(__xludf.DUMMYFUNCTION("""COMPUTED_VALUE"""),"PEREMPUAN")</f>
        <v>PEREMPUAN</v>
      </c>
      <c r="M2751" s="35" t="str">
        <f>IFERROR(__xludf.DUMMYFUNCTION("""COMPUTED_VALUE"""),"JL. P. H. SULAIMAN NO 08")</f>
        <v>JL. P. H. SULAIMAN NO 08</v>
      </c>
      <c r="N2751" s="35" t="str">
        <f>IFERROR(__xludf.DUMMYFUNCTION("""COMPUTED_VALUE"""),"TANJUNG SEKAYAM")</f>
        <v>TANJUNG SEKAYAM</v>
      </c>
      <c r="O2751" s="35" t="str">
        <f>IFERROR(__xludf.DUMMYFUNCTION("""COMPUTED_VALUE"""),"KAPUAS")</f>
        <v>KAPUAS</v>
      </c>
      <c r="P2751" s="35" t="str">
        <f>IFERROR(__xludf.DUMMYFUNCTION("""COMPUTED_VALUE"""),"KABUPATEN SANGGAU")</f>
        <v>KABUPATEN SANGGAU</v>
      </c>
      <c r="Q2751" s="35" t="str">
        <f>IFERROR(__xludf.DUMMYFUNCTION("""COMPUTED_VALUE"""),"KALIMANTAN BARAT")</f>
        <v>KALIMANTAN BARAT</v>
      </c>
      <c r="R2751" s="21" t="str">
        <f>IFERROR(__xludf.DUMMYFUNCTION("""COMPUTED_VALUE"""),"ISLAM")</f>
        <v>ISLAM</v>
      </c>
      <c r="S2751" s="74" t="str">
        <f>IFERROR(__xludf.DUMMYFUNCTION("""COMPUTED_VALUE"""),"KARYAWAN SWASTA")</f>
        <v>KARYAWAN SWASTA</v>
      </c>
      <c r="T2751" s="35" t="str">
        <f>IFERROR(__xludf.DUMMYFUNCTION("""COMPUTED_VALUE"""),"NYERI DI PAHA KIRI")</f>
        <v>NYERI DI PAHA KIRI</v>
      </c>
      <c r="U2751" s="35" t="str">
        <f>IFERROR(__xludf.DUMMYFUNCTION("""COMPUTED_VALUE"""),"LARI")</f>
        <v>LARI</v>
      </c>
      <c r="V2751" s="37" t="str">
        <f>IFERROR(__xludf.DUMMYFUNCTION("""COMPUTED_VALUE"""),"085252601496")</f>
        <v>085252601496</v>
      </c>
      <c r="W2751" s="45"/>
    </row>
    <row r="2752">
      <c r="A2752" s="45"/>
      <c r="B2752" s="24" t="str">
        <f>IFERROR(__xludf.DUMMYFUNCTION("""COMPUTED_VALUE"""),"18/08/2025 14:57:52")</f>
        <v>18/08/2025 14:57:52</v>
      </c>
      <c r="C2752" s="35"/>
      <c r="D2752" s="10">
        <f>IFERROR(__xludf.DUMMYFUNCTION("""COMPUTED_VALUE"""),45887.0)</f>
        <v>45887</v>
      </c>
      <c r="E2752" s="35" t="str">
        <f>IFERROR(__xludf.DUMMYFUNCTION("""COMPUTED_VALUE"""),"08Agu")</f>
        <v>08Agu</v>
      </c>
      <c r="F2752" s="34" t="str">
        <f>IFERROR(__xludf.DUMMYFUNCTION("""COMPUTED_VALUE"""),"2025")</f>
        <v>2025</v>
      </c>
      <c r="G2752" s="35" t="str">
        <f>IFERROR(__xludf.DUMMYFUNCTION("""COMPUTED_VALUE"""),"LIANNA NATHANIA")</f>
        <v>LIANNA NATHANIA</v>
      </c>
      <c r="H2752" s="35" t="str">
        <f>IFERROR(__xludf.DUMMYFUNCTION("""COMPUTED_VALUE"""),"L9825085931")</f>
        <v>L9825085931</v>
      </c>
      <c r="I2752" s="35">
        <f>IFERROR(__xludf.DUMMYFUNCTION("""COMPUTED_VALUE"""),28.0)</f>
        <v>28</v>
      </c>
      <c r="J2752" s="35" t="str">
        <f>IFERROR(__xludf.DUMMYFUNCTION("""COMPUTED_VALUE"""),"25-34 tahun")</f>
        <v>25-34 tahun</v>
      </c>
      <c r="K2752" s="21" t="str">
        <f>IFERROR(__xludf.DUMMYFUNCTION("""COMPUTED_VALUE"""),"11/04/1998")</f>
        <v>11/04/1998</v>
      </c>
      <c r="L2752" s="21" t="str">
        <f>IFERROR(__xludf.DUMMYFUNCTION("""COMPUTED_VALUE"""),"PEREMPUAN")</f>
        <v>PEREMPUAN</v>
      </c>
      <c r="M2752" s="35" t="str">
        <f>IFERROR(__xludf.DUMMYFUNCTION("""COMPUTED_VALUE"""),"JL KHA DAHLAN GG WIJAYASARI")</f>
        <v>JL KHA DAHLAN GG WIJAYASARI</v>
      </c>
      <c r="N2752" s="35" t="str">
        <f>IFERROR(__xludf.DUMMYFUNCTION("""COMPUTED_VALUE"""),"SEI BANGKONG")</f>
        <v>SEI BANGKONG</v>
      </c>
      <c r="O2752" s="35" t="str">
        <f>IFERROR(__xludf.DUMMYFUNCTION("""COMPUTED_VALUE"""),"PONTIANAK KOTA")</f>
        <v>PONTIANAK KOTA</v>
      </c>
      <c r="P2752" s="35" t="str">
        <f>IFERROR(__xludf.DUMMYFUNCTION("""COMPUTED_VALUE"""),"PONTIANAK")</f>
        <v>PONTIANAK</v>
      </c>
      <c r="Q2752" s="35" t="str">
        <f>IFERROR(__xludf.DUMMYFUNCTION("""COMPUTED_VALUE"""),"KALIMANTAN BARAT")</f>
        <v>KALIMANTAN BARAT</v>
      </c>
      <c r="R2752" s="21" t="str">
        <f>IFERROR(__xludf.DUMMYFUNCTION("""COMPUTED_VALUE"""),"KATOLIK")</f>
        <v>KATOLIK</v>
      </c>
      <c r="S2752" s="74" t="str">
        <f>IFERROR(__xludf.DUMMYFUNCTION("""COMPUTED_VALUE"""),"FREELANCER")</f>
        <v>FREELANCER</v>
      </c>
      <c r="T2752" s="35" t="str">
        <f>IFERROR(__xludf.DUMMYFUNCTION("""COMPUTED_VALUE"""),"NYERI TELAPAK KAKI")</f>
        <v>NYERI TELAPAK KAKI</v>
      </c>
      <c r="U2752" s="35" t="str">
        <f>IFERROR(__xludf.DUMMYFUNCTION("""COMPUTED_VALUE"""),"HABIS JALAN BELASAN RIBU LANGKAH 10 HARI SELAMA LIBURAN")</f>
        <v>HABIS JALAN BELASAN RIBU LANGKAH 10 HARI SELAMA LIBURAN</v>
      </c>
      <c r="V2752" s="37" t="str">
        <f>IFERROR(__xludf.DUMMYFUNCTION("""COMPUTED_VALUE"""),"081287555931")</f>
        <v>081287555931</v>
      </c>
      <c r="W2752" s="45"/>
    </row>
    <row r="2753">
      <c r="A2753" s="45"/>
      <c r="B2753" s="24" t="str">
        <f>IFERROR(__xludf.DUMMYFUNCTION("""COMPUTED_VALUE"""),"19/08/2025 9:46:43")</f>
        <v>19/08/2025 9:46:43</v>
      </c>
      <c r="C2753" s="35"/>
      <c r="D2753" s="10">
        <f>IFERROR(__xludf.DUMMYFUNCTION("""COMPUTED_VALUE"""),45888.0)</f>
        <v>45888</v>
      </c>
      <c r="E2753" s="35" t="str">
        <f>IFERROR(__xludf.DUMMYFUNCTION("""COMPUTED_VALUE"""),"08Agu")</f>
        <v>08Agu</v>
      </c>
      <c r="F2753" s="34" t="str">
        <f>IFERROR(__xludf.DUMMYFUNCTION("""COMPUTED_VALUE"""),"2025")</f>
        <v>2025</v>
      </c>
      <c r="G2753" s="35" t="str">
        <f>IFERROR(__xludf.DUMMYFUNCTION("""COMPUTED_VALUE"""),"DRA. ROSMANIAR")</f>
        <v>DRA. ROSMANIAR</v>
      </c>
      <c r="H2753" s="35" t="str">
        <f>IFERROR(__xludf.DUMMYFUNCTION("""COMPUTED_VALUE"""),"D6925087602")</f>
        <v>D6925087602</v>
      </c>
      <c r="I2753" s="35">
        <f>IFERROR(__xludf.DUMMYFUNCTION("""COMPUTED_VALUE"""),56.0)</f>
        <v>56</v>
      </c>
      <c r="J2753" s="35" t="str">
        <f>IFERROR(__xludf.DUMMYFUNCTION("""COMPUTED_VALUE"""),"&gt; 44 tahun")</f>
        <v>&gt; 44 tahun</v>
      </c>
      <c r="K2753" s="21" t="str">
        <f>IFERROR(__xludf.DUMMYFUNCTION("""COMPUTED_VALUE"""),"03/12/1969")</f>
        <v>03/12/1969</v>
      </c>
      <c r="L2753" s="21" t="str">
        <f>IFERROR(__xludf.DUMMYFUNCTION("""COMPUTED_VALUE"""),"PEREMPUAN")</f>
        <v>PEREMPUAN</v>
      </c>
      <c r="M2753" s="35" t="str">
        <f>IFERROR(__xludf.DUMMYFUNCTION("""COMPUTED_VALUE"""),"JL. PANGERAN NATAKUSUMA GG. DELIMA NO 22")</f>
        <v>JL. PANGERAN NATAKUSUMA GG. DELIMA NO 22</v>
      </c>
      <c r="N2753" s="35" t="str">
        <f>IFERROR(__xludf.DUMMYFUNCTION("""COMPUTED_VALUE"""),"SUNGAI BANGKONG")</f>
        <v>SUNGAI BANGKONG</v>
      </c>
      <c r="O2753" s="35" t="str">
        <f>IFERROR(__xludf.DUMMYFUNCTION("""COMPUTED_VALUE"""),"PONTIANAK KOTA")</f>
        <v>PONTIANAK KOTA</v>
      </c>
      <c r="P2753" s="35" t="str">
        <f>IFERROR(__xludf.DUMMYFUNCTION("""COMPUTED_VALUE"""),"KOTA PONTIANAK")</f>
        <v>KOTA PONTIANAK</v>
      </c>
      <c r="Q2753" s="35" t="str">
        <f>IFERROR(__xludf.DUMMYFUNCTION("""COMPUTED_VALUE"""),"KALIMANTAN BARAT")</f>
        <v>KALIMANTAN BARAT</v>
      </c>
      <c r="R2753" s="21" t="str">
        <f>IFERROR(__xludf.DUMMYFUNCTION("""COMPUTED_VALUE"""),"ISLAM")</f>
        <v>ISLAM</v>
      </c>
      <c r="S2753" s="74" t="str">
        <f>IFERROR(__xludf.DUMMYFUNCTION("""COMPUTED_VALUE"""),"PNS")</f>
        <v>PNS</v>
      </c>
      <c r="T2753" s="35" t="str">
        <f>IFERROR(__xludf.DUMMYFUNCTION("""COMPUTED_VALUE"""),"NYERI PADA IBU JARI KIRI")</f>
        <v>NYERI PADA IBU JARI KIRI</v>
      </c>
      <c r="U2753" s="35" t="str">
        <f>IFERROR(__xludf.DUMMYFUNCTION("""COMPUTED_VALUE"""),"TIDAK ADA")</f>
        <v>TIDAK ADA</v>
      </c>
      <c r="V2753" s="37" t="str">
        <f>IFERROR(__xludf.DUMMYFUNCTION("""COMPUTED_VALUE"""),"089676447602")</f>
        <v>089676447602</v>
      </c>
      <c r="W2753" s="45"/>
    </row>
    <row r="2754">
      <c r="A2754" s="45"/>
      <c r="B2754" s="24" t="str">
        <f>IFERROR(__xludf.DUMMYFUNCTION("""COMPUTED_VALUE"""),"19/08/2025 13:25:26")</f>
        <v>19/08/2025 13:25:26</v>
      </c>
      <c r="C2754" s="35"/>
      <c r="D2754" s="10">
        <f>IFERROR(__xludf.DUMMYFUNCTION("""COMPUTED_VALUE"""),45888.0)</f>
        <v>45888</v>
      </c>
      <c r="E2754" s="35" t="str">
        <f>IFERROR(__xludf.DUMMYFUNCTION("""COMPUTED_VALUE"""),"08Agu")</f>
        <v>08Agu</v>
      </c>
      <c r="F2754" s="34" t="str">
        <f>IFERROR(__xludf.DUMMYFUNCTION("""COMPUTED_VALUE"""),"2025")</f>
        <v>2025</v>
      </c>
      <c r="G2754" s="35" t="str">
        <f>IFERROR(__xludf.DUMMYFUNCTION("""COMPUTED_VALUE"""),"RATNA DEVI")</f>
        <v>RATNA DEVI</v>
      </c>
      <c r="H2754" s="35" t="str">
        <f>IFERROR(__xludf.DUMMYFUNCTION("""COMPUTED_VALUE"""),"R8925087378")</f>
        <v>R8925087378</v>
      </c>
      <c r="I2754" s="35">
        <f>IFERROR(__xludf.DUMMYFUNCTION("""COMPUTED_VALUE"""),37.0)</f>
        <v>37</v>
      </c>
      <c r="J2754" s="35" t="str">
        <f>IFERROR(__xludf.DUMMYFUNCTION("""COMPUTED_VALUE"""),"35-44 tahun")</f>
        <v>35-44 tahun</v>
      </c>
      <c r="K2754" s="21" t="str">
        <f>IFERROR(__xludf.DUMMYFUNCTION("""COMPUTED_VALUE"""),"12/02/1989")</f>
        <v>12/02/1989</v>
      </c>
      <c r="L2754" s="21" t="str">
        <f>IFERROR(__xludf.DUMMYFUNCTION("""COMPUTED_VALUE"""),"PEREMPUAN")</f>
        <v>PEREMPUAN</v>
      </c>
      <c r="M2754" s="35" t="str">
        <f>IFERROR(__xludf.DUMMYFUNCTION("""COMPUTED_VALUE"""),"JALAN APEL GG. SIRSAK NO. 12")</f>
        <v>JALAN APEL GG. SIRSAK NO. 12</v>
      </c>
      <c r="N2754" s="35" t="str">
        <f>IFERROR(__xludf.DUMMYFUNCTION("""COMPUTED_VALUE"""),"SUNGAI JAWI LUAR")</f>
        <v>SUNGAI JAWI LUAR</v>
      </c>
      <c r="O2754" s="35" t="str">
        <f>IFERROR(__xludf.DUMMYFUNCTION("""COMPUTED_VALUE"""),"PONTIANAK KOTA")</f>
        <v>PONTIANAK KOTA</v>
      </c>
      <c r="P2754" s="35" t="str">
        <f>IFERROR(__xludf.DUMMYFUNCTION("""COMPUTED_VALUE"""),"PONTIANAK")</f>
        <v>PONTIANAK</v>
      </c>
      <c r="Q2754" s="35" t="str">
        <f>IFERROR(__xludf.DUMMYFUNCTION("""COMPUTED_VALUE"""),"KALIMANTAN BARAT")</f>
        <v>KALIMANTAN BARAT</v>
      </c>
      <c r="R2754" s="21" t="str">
        <f>IFERROR(__xludf.DUMMYFUNCTION("""COMPUTED_VALUE"""),"ISLAM")</f>
        <v>ISLAM</v>
      </c>
      <c r="S2754" s="74" t="str">
        <f>IFERROR(__xludf.DUMMYFUNCTION("""COMPUTED_VALUE"""),"SWASTA")</f>
        <v>SWASTA</v>
      </c>
      <c r="T2754" s="35" t="str">
        <f>IFERROR(__xludf.DUMMYFUNCTION("""COMPUTED_VALUE"""),"KAKI KESELO SUDAH 9 HARI")</f>
        <v>KAKI KESELO SUDAH 9 HARI</v>
      </c>
      <c r="U2754" s="35" t="str">
        <f>IFERROR(__xludf.DUMMYFUNCTION("""COMPUTED_VALUE"""),"BEKERJA")</f>
        <v>BEKERJA</v>
      </c>
      <c r="V2754" s="37" t="str">
        <f>IFERROR(__xludf.DUMMYFUNCTION("""COMPUTED_VALUE"""),"085284667378")</f>
        <v>085284667378</v>
      </c>
      <c r="W2754" s="45"/>
    </row>
    <row r="2755">
      <c r="A2755" s="45"/>
      <c r="B2755" s="24" t="str">
        <f>IFERROR(__xludf.DUMMYFUNCTION("""COMPUTED_VALUE"""),"17/08/2025 20:50:29")</f>
        <v>17/08/2025 20:50:29</v>
      </c>
      <c r="C2755" s="35"/>
      <c r="D2755" s="10">
        <f>IFERROR(__xludf.DUMMYFUNCTION("""COMPUTED_VALUE"""),45888.0)</f>
        <v>45888</v>
      </c>
      <c r="E2755" s="35" t="str">
        <f>IFERROR(__xludf.DUMMYFUNCTION("""COMPUTED_VALUE"""),"08Agu")</f>
        <v>08Agu</v>
      </c>
      <c r="F2755" s="34" t="str">
        <f>IFERROR(__xludf.DUMMYFUNCTION("""COMPUTED_VALUE"""),"2025")</f>
        <v>2025</v>
      </c>
      <c r="G2755" s="35" t="str">
        <f>IFERROR(__xludf.DUMMYFUNCTION("""COMPUTED_VALUE"""),"MARTINI")</f>
        <v>MARTINI</v>
      </c>
      <c r="H2755" s="35" t="str">
        <f>IFERROR(__xludf.DUMMYFUNCTION("""COMPUTED_VALUE"""),"M7225080167")</f>
        <v>M7225080167</v>
      </c>
      <c r="I2755" s="35">
        <f>IFERROR(__xludf.DUMMYFUNCTION("""COMPUTED_VALUE"""),54.0)</f>
        <v>54</v>
      </c>
      <c r="J2755" s="35" t="str">
        <f>IFERROR(__xludf.DUMMYFUNCTION("""COMPUTED_VALUE"""),"&gt; 44 tahun")</f>
        <v>&gt; 44 tahun</v>
      </c>
      <c r="K2755" s="21" t="str">
        <f>IFERROR(__xludf.DUMMYFUNCTION("""COMPUTED_VALUE"""),"05/05/1972")</f>
        <v>05/05/1972</v>
      </c>
      <c r="L2755" s="21" t="str">
        <f>IFERROR(__xludf.DUMMYFUNCTION("""COMPUTED_VALUE"""),"PEREMPUAN")</f>
        <v>PEREMPUAN</v>
      </c>
      <c r="M2755" s="35" t="str">
        <f>IFERROR(__xludf.DUMMYFUNCTION("""COMPUTED_VALUE"""),"GG SUKA DAMAI NO 68")</f>
        <v>GG SUKA DAMAI NO 68</v>
      </c>
      <c r="N2755" s="35" t="str">
        <f>IFERROR(__xludf.DUMMYFUNCTION("""COMPUTED_VALUE"""),"SUNGAI BANGKONG")</f>
        <v>SUNGAI BANGKONG</v>
      </c>
      <c r="O2755" s="35" t="str">
        <f>IFERROR(__xludf.DUMMYFUNCTION("""COMPUTED_VALUE"""),"PONTIANAK KOTA")</f>
        <v>PONTIANAK KOTA</v>
      </c>
      <c r="P2755" s="35" t="str">
        <f>IFERROR(__xludf.DUMMYFUNCTION("""COMPUTED_VALUE"""),"PONTIANAK")</f>
        <v>PONTIANAK</v>
      </c>
      <c r="Q2755" s="35" t="str">
        <f>IFERROR(__xludf.DUMMYFUNCTION("""COMPUTED_VALUE"""),"KALIMANTAN BARAT")</f>
        <v>KALIMANTAN BARAT</v>
      </c>
      <c r="R2755" s="21" t="str">
        <f>IFERROR(__xludf.DUMMYFUNCTION("""COMPUTED_VALUE"""),"ISLAM")</f>
        <v>ISLAM</v>
      </c>
      <c r="S2755" s="74" t="str">
        <f>IFERROR(__xludf.DUMMYFUNCTION("""COMPUTED_VALUE"""),"PNS")</f>
        <v>PNS</v>
      </c>
      <c r="T2755" s="35" t="str">
        <f>IFERROR(__xludf.DUMMYFUNCTION("""COMPUTED_VALUE"""),"CTS PADA TANGAN KIRI")</f>
        <v>CTS PADA TANGAN KIRI</v>
      </c>
      <c r="U2755" s="35" t="str">
        <f>IFERROR(__xludf.DUMMYFUNCTION("""COMPUTED_VALUE"""),"NGETIK , MASAK, NYETIR")</f>
        <v>NGETIK , MASAK, NYETIR</v>
      </c>
      <c r="V2755" s="37" t="str">
        <f>IFERROR(__xludf.DUMMYFUNCTION("""COMPUTED_VALUE"""),"089694320167")</f>
        <v>089694320167</v>
      </c>
      <c r="W2755" s="45"/>
    </row>
    <row r="2756">
      <c r="A2756" s="45"/>
      <c r="B2756" s="24" t="str">
        <f>IFERROR(__xludf.DUMMYFUNCTION("""COMPUTED_VALUE"""),"19/08/2025 17:53:54")</f>
        <v>19/08/2025 17:53:54</v>
      </c>
      <c r="C2756" s="35"/>
      <c r="D2756" s="10">
        <f>IFERROR(__xludf.DUMMYFUNCTION("""COMPUTED_VALUE"""),45888.0)</f>
        <v>45888</v>
      </c>
      <c r="E2756" s="35" t="str">
        <f>IFERROR(__xludf.DUMMYFUNCTION("""COMPUTED_VALUE"""),"08Agu")</f>
        <v>08Agu</v>
      </c>
      <c r="F2756" s="34" t="str">
        <f>IFERROR(__xludf.DUMMYFUNCTION("""COMPUTED_VALUE"""),"2025")</f>
        <v>2025</v>
      </c>
      <c r="G2756" s="35" t="str">
        <f>IFERROR(__xludf.DUMMYFUNCTION("""COMPUTED_VALUE"""),"YOGA PATRIA")</f>
        <v>YOGA PATRIA</v>
      </c>
      <c r="H2756" s="35" t="str">
        <f>IFERROR(__xludf.DUMMYFUNCTION("""COMPUTED_VALUE"""),"Y9725088298")</f>
        <v>Y9725088298</v>
      </c>
      <c r="I2756" s="35">
        <f>IFERROR(__xludf.DUMMYFUNCTION("""COMPUTED_VALUE"""),28.0)</f>
        <v>28</v>
      </c>
      <c r="J2756" s="35" t="str">
        <f>IFERROR(__xludf.DUMMYFUNCTION("""COMPUTED_VALUE"""),"25-34 tahun")</f>
        <v>25-34 tahun</v>
      </c>
      <c r="K2756" s="21" t="str">
        <f>IFERROR(__xludf.DUMMYFUNCTION("""COMPUTED_VALUE"""),"09/11/1997")</f>
        <v>09/11/1997</v>
      </c>
      <c r="L2756" s="21" t="str">
        <f>IFERROR(__xludf.DUMMYFUNCTION("""COMPUTED_VALUE"""),"LAKI-LAKI")</f>
        <v>LAKI-LAKI</v>
      </c>
      <c r="M2756" s="35" t="str">
        <f>IFERROR(__xludf.DUMMYFUNCTION("""COMPUTED_VALUE"""),"KETAPANG")</f>
        <v>KETAPANG</v>
      </c>
      <c r="N2756" s="35" t="str">
        <f>IFERROR(__xludf.DUMMYFUNCTION("""COMPUTED_VALUE"""),"MULIA BARU")</f>
        <v>MULIA BARU</v>
      </c>
      <c r="O2756" s="35" t="str">
        <f>IFERROR(__xludf.DUMMYFUNCTION("""COMPUTED_VALUE"""),"DELTA PAWAN")</f>
        <v>DELTA PAWAN</v>
      </c>
      <c r="P2756" s="35" t="str">
        <f>IFERROR(__xludf.DUMMYFUNCTION("""COMPUTED_VALUE"""),"KETAPANG")</f>
        <v>KETAPANG</v>
      </c>
      <c r="Q2756" s="35" t="str">
        <f>IFERROR(__xludf.DUMMYFUNCTION("""COMPUTED_VALUE"""),"KALIMANTAN BARAT")</f>
        <v>KALIMANTAN BARAT</v>
      </c>
      <c r="R2756" s="21" t="str">
        <f>IFERROR(__xludf.DUMMYFUNCTION("""COMPUTED_VALUE"""),"KATOLIK")</f>
        <v>KATOLIK</v>
      </c>
      <c r="S2756" s="74" t="str">
        <f>IFERROR(__xludf.DUMMYFUNCTION("""COMPUTED_VALUE"""),"KARYAWAN SWASTA")</f>
        <v>KARYAWAN SWASTA</v>
      </c>
      <c r="T2756" s="35" t="str">
        <f>IFERROR(__xludf.DUMMYFUNCTION("""COMPUTED_VALUE"""),"SAKIT PINGGANG")</f>
        <v>SAKIT PINGGANG</v>
      </c>
      <c r="U2756" s="35" t="str">
        <f>IFERROR(__xludf.DUMMYFUNCTION("""COMPUTED_VALUE"""),"SEPAK BOLA")</f>
        <v>SEPAK BOLA</v>
      </c>
      <c r="V2756" s="37" t="str">
        <f>IFERROR(__xludf.DUMMYFUNCTION("""COMPUTED_VALUE"""),"081296988298")</f>
        <v>081296988298</v>
      </c>
      <c r="W2756" s="45"/>
    </row>
    <row r="2757">
      <c r="A2757" s="45"/>
      <c r="B2757" s="24" t="str">
        <f>IFERROR(__xludf.DUMMYFUNCTION("""COMPUTED_VALUE"""),"19/08/2025 17:28:34")</f>
        <v>19/08/2025 17:28:34</v>
      </c>
      <c r="C2757" s="35"/>
      <c r="D2757" s="10">
        <f>IFERROR(__xludf.DUMMYFUNCTION("""COMPUTED_VALUE"""),45888.0)</f>
        <v>45888</v>
      </c>
      <c r="E2757" s="35" t="str">
        <f>IFERROR(__xludf.DUMMYFUNCTION("""COMPUTED_VALUE"""),"08Agu")</f>
        <v>08Agu</v>
      </c>
      <c r="F2757" s="34" t="str">
        <f>IFERROR(__xludf.DUMMYFUNCTION("""COMPUTED_VALUE"""),"2025")</f>
        <v>2025</v>
      </c>
      <c r="G2757" s="35" t="str">
        <f>IFERROR(__xludf.DUMMYFUNCTION("""COMPUTED_VALUE"""),"ALFI ANANDA HIDAYAT")</f>
        <v>ALFI ANANDA HIDAYAT</v>
      </c>
      <c r="H2757" s="35" t="str">
        <f>IFERROR(__xludf.DUMMYFUNCTION("""COMPUTED_VALUE"""),"A9925081999")</f>
        <v>A9925081999</v>
      </c>
      <c r="I2757" s="35">
        <f>IFERROR(__xludf.DUMMYFUNCTION("""COMPUTED_VALUE"""),26.0)</f>
        <v>26</v>
      </c>
      <c r="J2757" s="35" t="str">
        <f>IFERROR(__xludf.DUMMYFUNCTION("""COMPUTED_VALUE"""),"25-34 tahun")</f>
        <v>25-34 tahun</v>
      </c>
      <c r="K2757" s="21" t="str">
        <f>IFERROR(__xludf.DUMMYFUNCTION("""COMPUTED_VALUE"""),"24/12/1999")</f>
        <v>24/12/1999</v>
      </c>
      <c r="L2757" s="21" t="str">
        <f>IFERROR(__xludf.DUMMYFUNCTION("""COMPUTED_VALUE"""),"LAKI-LAKI")</f>
        <v>LAKI-LAKI</v>
      </c>
      <c r="M2757" s="35" t="str">
        <f>IFERROR(__xludf.DUMMYFUNCTION("""COMPUTED_VALUE"""),"JL. K.H. WAHID HASYIM GG. AMBOTIN NO.75")</f>
        <v>JL. K.H. WAHID HASYIM GG. AMBOTIN NO.75</v>
      </c>
      <c r="N2757" s="35" t="str">
        <f>IFERROR(__xludf.DUMMYFUNCTION("""COMPUTED_VALUE"""),"SUNGAI BANGKONG")</f>
        <v>SUNGAI BANGKONG</v>
      </c>
      <c r="O2757" s="35" t="str">
        <f>IFERROR(__xludf.DUMMYFUNCTION("""COMPUTED_VALUE"""),"PONTIANAK KOTA")</f>
        <v>PONTIANAK KOTA</v>
      </c>
      <c r="P2757" s="35" t="str">
        <f>IFERROR(__xludf.DUMMYFUNCTION("""COMPUTED_VALUE"""),"PONTIANAK")</f>
        <v>PONTIANAK</v>
      </c>
      <c r="Q2757" s="35" t="str">
        <f>IFERROR(__xludf.DUMMYFUNCTION("""COMPUTED_VALUE"""),"KALIMANTAN BARAT")</f>
        <v>KALIMANTAN BARAT</v>
      </c>
      <c r="R2757" s="21" t="str">
        <f>IFERROR(__xludf.DUMMYFUNCTION("""COMPUTED_VALUE"""),"ISLAM")</f>
        <v>ISLAM</v>
      </c>
      <c r="S2757" s="74" t="str">
        <f>IFERROR(__xludf.DUMMYFUNCTION("""COMPUTED_VALUE"""),"PEDAGANG")</f>
        <v>PEDAGANG</v>
      </c>
      <c r="T2757" s="35" t="str">
        <f>IFERROR(__xludf.DUMMYFUNCTION("""COMPUTED_VALUE"""),"SAKIT BAGIAN LUTUT SEBELAH KANAN")</f>
        <v>SAKIT BAGIAN LUTUT SEBELAH KANAN</v>
      </c>
      <c r="U2757" s="35" t="str">
        <f>IFERROR(__xludf.DUMMYFUNCTION("""COMPUTED_VALUE"""),"FITNESS, RUNNING")</f>
        <v>FITNESS, RUNNING</v>
      </c>
      <c r="V2757" s="37" t="str">
        <f>IFERROR(__xludf.DUMMYFUNCTION("""COMPUTED_VALUE"""),"085332091999")</f>
        <v>085332091999</v>
      </c>
      <c r="W2757" s="45"/>
    </row>
    <row r="2758">
      <c r="A2758" s="45"/>
      <c r="B2758" s="24" t="str">
        <f>IFERROR(__xludf.DUMMYFUNCTION("""COMPUTED_VALUE"""),"19/08/2025 18:37:38")</f>
        <v>19/08/2025 18:37:38</v>
      </c>
      <c r="C2758" s="35"/>
      <c r="D2758" s="10">
        <f>IFERROR(__xludf.DUMMYFUNCTION("""COMPUTED_VALUE"""),45888.0)</f>
        <v>45888</v>
      </c>
      <c r="E2758" s="35" t="str">
        <f>IFERROR(__xludf.DUMMYFUNCTION("""COMPUTED_VALUE"""),"08Agu")</f>
        <v>08Agu</v>
      </c>
      <c r="F2758" s="34" t="str">
        <f>IFERROR(__xludf.DUMMYFUNCTION("""COMPUTED_VALUE"""),"2025")</f>
        <v>2025</v>
      </c>
      <c r="G2758" s="35" t="str">
        <f>IFERROR(__xludf.DUMMYFUNCTION("""COMPUTED_VALUE"""),"KHUSA ZUNIAR MUHAROMAH")</f>
        <v>KHUSA ZUNIAR MUHAROMAH</v>
      </c>
      <c r="H2758" s="35" t="str">
        <f>IFERROR(__xludf.DUMMYFUNCTION("""COMPUTED_VALUE"""),"K0725083239")</f>
        <v>K0725083239</v>
      </c>
      <c r="I2758" s="35">
        <f>IFERROR(__xludf.DUMMYFUNCTION("""COMPUTED_VALUE"""),19.0)</f>
        <v>19</v>
      </c>
      <c r="J2758" s="35" t="str">
        <f>IFERROR(__xludf.DUMMYFUNCTION("""COMPUTED_VALUE"""),"18-24 tahun")</f>
        <v>18-24 tahun</v>
      </c>
      <c r="K2758" s="21" t="str">
        <f>IFERROR(__xludf.DUMMYFUNCTION("""COMPUTED_VALUE"""),"20/01/2007")</f>
        <v>20/01/2007</v>
      </c>
      <c r="L2758" s="21" t="str">
        <f>IFERROR(__xludf.DUMMYFUNCTION("""COMPUTED_VALUE"""),"PEREMPUAN")</f>
        <v>PEREMPUAN</v>
      </c>
      <c r="M2758" s="35" t="str">
        <f>IFERROR(__xludf.DUMMYFUNCTION("""COMPUTED_VALUE"""),"DUSUN GONIS RABU")</f>
        <v>DUSUN GONIS RABU</v>
      </c>
      <c r="N2758" s="35" t="str">
        <f>IFERROR(__xludf.DUMMYFUNCTION("""COMPUTED_VALUE"""),"GONIS TEKAM")</f>
        <v>GONIS TEKAM</v>
      </c>
      <c r="O2758" s="35" t="str">
        <f>IFERROR(__xludf.DUMMYFUNCTION("""COMPUTED_VALUE"""),"SEKADAU HILIR")</f>
        <v>SEKADAU HILIR</v>
      </c>
      <c r="P2758" s="35" t="str">
        <f>IFERROR(__xludf.DUMMYFUNCTION("""COMPUTED_VALUE"""),"SEKADAU")</f>
        <v>SEKADAU</v>
      </c>
      <c r="Q2758" s="35" t="str">
        <f>IFERROR(__xludf.DUMMYFUNCTION("""COMPUTED_VALUE"""),"KALIMANTAN BARAT")</f>
        <v>KALIMANTAN BARAT</v>
      </c>
      <c r="R2758" s="21" t="str">
        <f>IFERROR(__xludf.DUMMYFUNCTION("""COMPUTED_VALUE"""),"ISLAM")</f>
        <v>ISLAM</v>
      </c>
      <c r="S2758" s="74" t="str">
        <f>IFERROR(__xludf.DUMMYFUNCTION("""COMPUTED_VALUE"""),"PELAJAR")</f>
        <v>PELAJAR</v>
      </c>
      <c r="T2758" s="35" t="str">
        <f>IFERROR(__xludf.DUMMYFUNCTION("""COMPUTED_VALUE"""),"SAKIT PADA LUTUT")</f>
        <v>SAKIT PADA LUTUT</v>
      </c>
      <c r="U2758" s="35" t="str">
        <f>IFERROR(__xludf.DUMMYFUNCTION("""COMPUTED_VALUE"""),"JOGGING")</f>
        <v>JOGGING</v>
      </c>
      <c r="V2758" s="37" t="str">
        <f>IFERROR(__xludf.DUMMYFUNCTION("""COMPUTED_VALUE"""),"081216033239")</f>
        <v>081216033239</v>
      </c>
      <c r="W2758" s="45"/>
    </row>
    <row r="2759">
      <c r="A2759" s="45"/>
      <c r="B2759" s="24" t="str">
        <f>IFERROR(__xludf.DUMMYFUNCTION("""COMPUTED_VALUE"""),"20/08/2025 11:59:44")</f>
        <v>20/08/2025 11:59:44</v>
      </c>
      <c r="C2759" s="35"/>
      <c r="D2759" s="10">
        <f>IFERROR(__xludf.DUMMYFUNCTION("""COMPUTED_VALUE"""),45889.0)</f>
        <v>45889</v>
      </c>
      <c r="E2759" s="35" t="str">
        <f>IFERROR(__xludf.DUMMYFUNCTION("""COMPUTED_VALUE"""),"08Agu")</f>
        <v>08Agu</v>
      </c>
      <c r="F2759" s="34" t="str">
        <f>IFERROR(__xludf.DUMMYFUNCTION("""COMPUTED_VALUE"""),"2025")</f>
        <v>2025</v>
      </c>
      <c r="G2759" s="35" t="str">
        <f>IFERROR(__xludf.DUMMYFUNCTION("""COMPUTED_VALUE"""),"YOCKY RIZKI EFFENDY")</f>
        <v>YOCKY RIZKI EFFENDY</v>
      </c>
      <c r="H2759" s="35" t="str">
        <f>IFERROR(__xludf.DUMMYFUNCTION("""COMPUTED_VALUE"""),"Y9925088546")</f>
        <v>Y9925088546</v>
      </c>
      <c r="I2759" s="35">
        <f>IFERROR(__xludf.DUMMYFUNCTION("""COMPUTED_VALUE"""),27.0)</f>
        <v>27</v>
      </c>
      <c r="J2759" s="35" t="str">
        <f>IFERROR(__xludf.DUMMYFUNCTION("""COMPUTED_VALUE"""),"25-34 tahun")</f>
        <v>25-34 tahun</v>
      </c>
      <c r="K2759" s="21" t="str">
        <f>IFERROR(__xludf.DUMMYFUNCTION("""COMPUTED_VALUE"""),"14/06/1999")</f>
        <v>14/06/1999</v>
      </c>
      <c r="L2759" s="21" t="str">
        <f>IFERROR(__xludf.DUMMYFUNCTION("""COMPUTED_VALUE"""),"LAKI-LAKI")</f>
        <v>LAKI-LAKI</v>
      </c>
      <c r="M2759" s="35" t="str">
        <f>IFERROR(__xludf.DUMMYFUNCTION("""COMPUTED_VALUE"""),"JALAN GUSTISITUT MACHMUD GG SWAKARYA 1")</f>
        <v>JALAN GUSTISITUT MACHMUD GG SWAKARYA 1</v>
      </c>
      <c r="N2759" s="35" t="str">
        <f>IFERROR(__xludf.DUMMYFUNCTION("""COMPUTED_VALUE"""),"SIANTAN HULU")</f>
        <v>SIANTAN HULU</v>
      </c>
      <c r="O2759" s="35" t="str">
        <f>IFERROR(__xludf.DUMMYFUNCTION("""COMPUTED_VALUE"""),"PONTIANAK UTARA")</f>
        <v>PONTIANAK UTARA</v>
      </c>
      <c r="P2759" s="35" t="str">
        <f>IFERROR(__xludf.DUMMYFUNCTION("""COMPUTED_VALUE"""),"KOTA PONTIANAK")</f>
        <v>KOTA PONTIANAK</v>
      </c>
      <c r="Q2759" s="35" t="str">
        <f>IFERROR(__xludf.DUMMYFUNCTION("""COMPUTED_VALUE"""),"KALIMANTAN BARAT")</f>
        <v>KALIMANTAN BARAT</v>
      </c>
      <c r="R2759" s="21" t="str">
        <f>IFERROR(__xludf.DUMMYFUNCTION("""COMPUTED_VALUE"""),"ISLAM")</f>
        <v>ISLAM</v>
      </c>
      <c r="S2759" s="74" t="str">
        <f>IFERROR(__xludf.DUMMYFUNCTION("""COMPUTED_VALUE"""),"MAHASISWA")</f>
        <v>MAHASISWA</v>
      </c>
      <c r="T2759" s="35" t="str">
        <f>IFERROR(__xludf.DUMMYFUNCTION("""COMPUTED_VALUE"""),"KAKI SAKIT")</f>
        <v>KAKI SAKIT</v>
      </c>
      <c r="U2759" s="35" t="str">
        <f>IFERROR(__xludf.DUMMYFUNCTION("""COMPUTED_VALUE"""),"-")</f>
        <v>-</v>
      </c>
      <c r="V2759" s="37" t="str">
        <f>IFERROR(__xludf.DUMMYFUNCTION("""COMPUTED_VALUE"""),"085831238546")</f>
        <v>085831238546</v>
      </c>
      <c r="W2759" s="45"/>
    </row>
    <row r="2760">
      <c r="A2760" s="45"/>
      <c r="B2760" s="24" t="str">
        <f>IFERROR(__xludf.DUMMYFUNCTION("""COMPUTED_VALUE"""),"20/08/2025 14:51:54")</f>
        <v>20/08/2025 14:51:54</v>
      </c>
      <c r="C2760" s="35"/>
      <c r="D2760" s="10">
        <f>IFERROR(__xludf.DUMMYFUNCTION("""COMPUTED_VALUE"""),45889.0)</f>
        <v>45889</v>
      </c>
      <c r="E2760" s="35" t="str">
        <f>IFERROR(__xludf.DUMMYFUNCTION("""COMPUTED_VALUE"""),"08Agu")</f>
        <v>08Agu</v>
      </c>
      <c r="F2760" s="34" t="str">
        <f>IFERROR(__xludf.DUMMYFUNCTION("""COMPUTED_VALUE"""),"2025")</f>
        <v>2025</v>
      </c>
      <c r="G2760" s="35" t="str">
        <f>IFERROR(__xludf.DUMMYFUNCTION("""COMPUTED_VALUE"""),"MARIANITA DARA PABAYO")</f>
        <v>MARIANITA DARA PABAYO</v>
      </c>
      <c r="H2760" s="35" t="str">
        <f>IFERROR(__xludf.DUMMYFUNCTION("""COMPUTED_VALUE"""),"M9325080443")</f>
        <v>M9325080443</v>
      </c>
      <c r="I2760" s="35">
        <f>IFERROR(__xludf.DUMMYFUNCTION("""COMPUTED_VALUE"""),33.0)</f>
        <v>33</v>
      </c>
      <c r="J2760" s="35" t="str">
        <f>IFERROR(__xludf.DUMMYFUNCTION("""COMPUTED_VALUE"""),"25-34 tahun")</f>
        <v>25-34 tahun</v>
      </c>
      <c r="K2760" s="21" t="str">
        <f>IFERROR(__xludf.DUMMYFUNCTION("""COMPUTED_VALUE"""),"19/03/1993")</f>
        <v>19/03/1993</v>
      </c>
      <c r="L2760" s="21" t="str">
        <f>IFERROR(__xludf.DUMMYFUNCTION("""COMPUTED_VALUE"""),"PEREMPUAN")</f>
        <v>PEREMPUAN</v>
      </c>
      <c r="M2760" s="35" t="str">
        <f>IFERROR(__xludf.DUMMYFUNCTION("""COMPUTED_VALUE"""),"DUSUN KELAPA SEKAYU")</f>
        <v>DUSUN KELAPA SEKAYU</v>
      </c>
      <c r="N2760" s="35" t="str">
        <f>IFERROR(__xludf.DUMMYFUNCTION("""COMPUTED_VALUE"""),"PALOAN")</f>
        <v>PALOAN</v>
      </c>
      <c r="O2760" s="35" t="str">
        <f>IFERROR(__xludf.DUMMYFUNCTION("""COMPUTED_VALUE"""),"SENGAH TEMILA")</f>
        <v>SENGAH TEMILA</v>
      </c>
      <c r="P2760" s="35" t="str">
        <f>IFERROR(__xludf.DUMMYFUNCTION("""COMPUTED_VALUE"""),"LANDAK")</f>
        <v>LANDAK</v>
      </c>
      <c r="Q2760" s="35" t="str">
        <f>IFERROR(__xludf.DUMMYFUNCTION("""COMPUTED_VALUE"""),"KALIMANTAN BARAT")</f>
        <v>KALIMANTAN BARAT</v>
      </c>
      <c r="R2760" s="21" t="str">
        <f>IFERROR(__xludf.DUMMYFUNCTION("""COMPUTED_VALUE"""),"KATOLIK")</f>
        <v>KATOLIK</v>
      </c>
      <c r="S2760" s="74" t="str">
        <f>IFERROR(__xludf.DUMMYFUNCTION("""COMPUTED_VALUE"""),"MARKETING")</f>
        <v>MARKETING</v>
      </c>
      <c r="T2760" s="35" t="str">
        <f>IFERROR(__xludf.DUMMYFUNCTION("""COMPUTED_VALUE"""),"SAKIT DI ATAS TULANG EKOR BELAKANG")</f>
        <v>SAKIT DI ATAS TULANG EKOR BELAKANG</v>
      </c>
      <c r="U2760" s="35" t="str">
        <f>IFERROR(__xludf.DUMMYFUNCTION("""COMPUTED_VALUE"""),"JOGGING, ZUMBA")</f>
        <v>JOGGING, ZUMBA</v>
      </c>
      <c r="V2760" s="37" t="str">
        <f>IFERROR(__xludf.DUMMYFUNCTION("""COMPUTED_VALUE"""),"081522810443")</f>
        <v>081522810443</v>
      </c>
      <c r="W2760" s="45"/>
    </row>
    <row r="2761">
      <c r="A2761" s="45"/>
      <c r="B2761" s="24" t="str">
        <f>IFERROR(__xludf.DUMMYFUNCTION("""COMPUTED_VALUE"""),"20/08/2025 16:16:32")</f>
        <v>20/08/2025 16:16:32</v>
      </c>
      <c r="C2761" s="35"/>
      <c r="D2761" s="10">
        <f>IFERROR(__xludf.DUMMYFUNCTION("""COMPUTED_VALUE"""),45889.0)</f>
        <v>45889</v>
      </c>
      <c r="E2761" s="35" t="str">
        <f>IFERROR(__xludf.DUMMYFUNCTION("""COMPUTED_VALUE"""),"08Agu")</f>
        <v>08Agu</v>
      </c>
      <c r="F2761" s="34" t="str">
        <f>IFERROR(__xludf.DUMMYFUNCTION("""COMPUTED_VALUE"""),"2025")</f>
        <v>2025</v>
      </c>
      <c r="G2761" s="35" t="str">
        <f>IFERROR(__xludf.DUMMYFUNCTION("""COMPUTED_VALUE"""),"ABDUL RAHIM 9411")</f>
        <v>ABDUL RAHIM 9411</v>
      </c>
      <c r="H2761" s="35" t="str">
        <f>IFERROR(__xludf.DUMMYFUNCTION("""COMPUTED_VALUE"""),"A9425088083")</f>
        <v>A9425088083</v>
      </c>
      <c r="I2761" s="35">
        <f>IFERROR(__xludf.DUMMYFUNCTION("""COMPUTED_VALUE"""),31.0)</f>
        <v>31</v>
      </c>
      <c r="J2761" s="35" t="str">
        <f>IFERROR(__xludf.DUMMYFUNCTION("""COMPUTED_VALUE"""),"25-34 tahun")</f>
        <v>25-34 tahun</v>
      </c>
      <c r="K2761" s="21" t="str">
        <f>IFERROR(__xludf.DUMMYFUNCTION("""COMPUTED_VALUE"""),"11/11/1994")</f>
        <v>11/11/1994</v>
      </c>
      <c r="L2761" s="21" t="str">
        <f>IFERROR(__xludf.DUMMYFUNCTION("""COMPUTED_VALUE"""),"LAKI-LAKI")</f>
        <v>LAKI-LAKI</v>
      </c>
      <c r="M2761" s="35" t="str">
        <f>IFERROR(__xludf.DUMMYFUNCTION("""COMPUTED_VALUE"""),"JALAN UJUNG PANDANG GANG GANDA DEWANDA")</f>
        <v>JALAN UJUNG PANDANG GANG GANDA DEWANDA</v>
      </c>
      <c r="N2761" s="35" t="str">
        <f>IFERROR(__xludf.DUMMYFUNCTION("""COMPUTED_VALUE"""),"SUI JAWI")</f>
        <v>SUI JAWI</v>
      </c>
      <c r="O2761" s="35" t="str">
        <f>IFERROR(__xludf.DUMMYFUNCTION("""COMPUTED_VALUE"""),"PONTIANAK KOTA")</f>
        <v>PONTIANAK KOTA</v>
      </c>
      <c r="P2761" s="35" t="str">
        <f>IFERROR(__xludf.DUMMYFUNCTION("""COMPUTED_VALUE"""),"KOTA PONTIANAK")</f>
        <v>KOTA PONTIANAK</v>
      </c>
      <c r="Q2761" s="35" t="str">
        <f>IFERROR(__xludf.DUMMYFUNCTION("""COMPUTED_VALUE"""),"KALIMANTAN BARAT")</f>
        <v>KALIMANTAN BARAT</v>
      </c>
      <c r="R2761" s="21" t="str">
        <f>IFERROR(__xludf.DUMMYFUNCTION("""COMPUTED_VALUE"""),"ISLAM")</f>
        <v>ISLAM</v>
      </c>
      <c r="S2761" s="74" t="str">
        <f>IFERROR(__xludf.DUMMYFUNCTION("""COMPUTED_VALUE"""),"SWASTA")</f>
        <v>SWASTA</v>
      </c>
      <c r="T2761" s="35" t="str">
        <f>IFERROR(__xludf.DUMMYFUNCTION("""COMPUTED_VALUE"""),"LUTUT")</f>
        <v>LUTUT</v>
      </c>
      <c r="U2761" s="35" t="str">
        <f>IFERROR(__xludf.DUMMYFUNCTION("""COMPUTED_VALUE"""),"SEPEDA")</f>
        <v>SEPEDA</v>
      </c>
      <c r="V2761" s="37" t="str">
        <f>IFERROR(__xludf.DUMMYFUNCTION("""COMPUTED_VALUE"""),"089693928083")</f>
        <v>089693928083</v>
      </c>
      <c r="W2761" s="45"/>
    </row>
    <row r="2762">
      <c r="A2762" s="45"/>
      <c r="B2762" s="24" t="str">
        <f>IFERROR(__xludf.DUMMYFUNCTION("""COMPUTED_VALUE"""),"21/08/2025 9:26:00")</f>
        <v>21/08/2025 9:26:00</v>
      </c>
      <c r="C2762" s="35"/>
      <c r="D2762" s="10">
        <f>IFERROR(__xludf.DUMMYFUNCTION("""COMPUTED_VALUE"""),45890.0)</f>
        <v>45890</v>
      </c>
      <c r="E2762" s="35" t="str">
        <f>IFERROR(__xludf.DUMMYFUNCTION("""COMPUTED_VALUE"""),"08Agu")</f>
        <v>08Agu</v>
      </c>
      <c r="F2762" s="34" t="str">
        <f>IFERROR(__xludf.DUMMYFUNCTION("""COMPUTED_VALUE"""),"2025")</f>
        <v>2025</v>
      </c>
      <c r="G2762" s="35" t="str">
        <f>IFERROR(__xludf.DUMMYFUNCTION("""COMPUTED_VALUE"""),"RITA HARJANTI")</f>
        <v>RITA HARJANTI</v>
      </c>
      <c r="H2762" s="35" t="str">
        <f>IFERROR(__xludf.DUMMYFUNCTION("""COMPUTED_VALUE"""),"R8025084828")</f>
        <v>R8025084828</v>
      </c>
      <c r="I2762" s="35">
        <f>IFERROR(__xludf.DUMMYFUNCTION("""COMPUTED_VALUE"""),45.0)</f>
        <v>45</v>
      </c>
      <c r="J2762" s="35" t="str">
        <f>IFERROR(__xludf.DUMMYFUNCTION("""COMPUTED_VALUE"""),"&gt; 44 tahun")</f>
        <v>&gt; 44 tahun</v>
      </c>
      <c r="K2762" s="21" t="str">
        <f>IFERROR(__xludf.DUMMYFUNCTION("""COMPUTED_VALUE"""),"20/10/1980")</f>
        <v>20/10/1980</v>
      </c>
      <c r="L2762" s="21" t="str">
        <f>IFERROR(__xludf.DUMMYFUNCTION("""COMPUTED_VALUE"""),"PEREMPUAN")</f>
        <v>PEREMPUAN</v>
      </c>
      <c r="M2762" s="35" t="str">
        <f>IFERROR(__xludf.DUMMYFUNCTION("""COMPUTED_VALUE"""),"KARYA INDAH VILLAGE II BLOK L NO.15 JURANGMANGU TIMUR, PONDOK AREN")</f>
        <v>KARYA INDAH VILLAGE II BLOK L NO.15 JURANGMANGU TIMUR, PONDOK AREN</v>
      </c>
      <c r="N2762" s="35" t="str">
        <f>IFERROR(__xludf.DUMMYFUNCTION("""COMPUTED_VALUE"""),"JURANGMANGU TIMUR")</f>
        <v>JURANGMANGU TIMUR</v>
      </c>
      <c r="O2762" s="35" t="str">
        <f>IFERROR(__xludf.DUMMYFUNCTION("""COMPUTED_VALUE"""),"PONDOK AREN")</f>
        <v>PONDOK AREN</v>
      </c>
      <c r="P2762" s="35" t="str">
        <f>IFERROR(__xludf.DUMMYFUNCTION("""COMPUTED_VALUE"""),"TANGERANG SELATAN")</f>
        <v>TANGERANG SELATAN</v>
      </c>
      <c r="Q2762" s="35" t="str">
        <f>IFERROR(__xludf.DUMMYFUNCTION("""COMPUTED_VALUE"""),"BANTEN")</f>
        <v>BANTEN</v>
      </c>
      <c r="R2762" s="21" t="str">
        <f>IFERROR(__xludf.DUMMYFUNCTION("""COMPUTED_VALUE"""),"ISLAM")</f>
        <v>ISLAM</v>
      </c>
      <c r="S2762" s="74" t="str">
        <f>IFERROR(__xludf.DUMMYFUNCTION("""COMPUTED_VALUE"""),"PNS")</f>
        <v>PNS</v>
      </c>
      <c r="T2762" s="35" t="str">
        <f>IFERROR(__xludf.DUMMYFUNCTION("""COMPUTED_VALUE"""),"SAKIT DI LUTUT")</f>
        <v>SAKIT DI LUTUT</v>
      </c>
      <c r="U2762" s="35" t="str">
        <f>IFERROR(__xludf.DUMMYFUNCTION("""COMPUTED_VALUE"""),"OLAHRAGA GYM , TENIS, JALAN KAKI")</f>
        <v>OLAHRAGA GYM , TENIS, JALAN KAKI</v>
      </c>
      <c r="V2762" s="37" t="str">
        <f>IFERROR(__xludf.DUMMYFUNCTION("""COMPUTED_VALUE"""),"085312374828")</f>
        <v>085312374828</v>
      </c>
      <c r="W2762" s="45"/>
    </row>
    <row r="2763">
      <c r="A2763" s="45"/>
      <c r="B2763" s="24" t="str">
        <f>IFERROR(__xludf.DUMMYFUNCTION("""COMPUTED_VALUE"""),"21/08/2025 11:31:33")</f>
        <v>21/08/2025 11:31:33</v>
      </c>
      <c r="C2763" s="35"/>
      <c r="D2763" s="10">
        <f>IFERROR(__xludf.DUMMYFUNCTION("""COMPUTED_VALUE"""),45890.0)</f>
        <v>45890</v>
      </c>
      <c r="E2763" s="35" t="str">
        <f>IFERROR(__xludf.DUMMYFUNCTION("""COMPUTED_VALUE"""),"08Agu")</f>
        <v>08Agu</v>
      </c>
      <c r="F2763" s="34" t="str">
        <f>IFERROR(__xludf.DUMMYFUNCTION("""COMPUTED_VALUE"""),"2025")</f>
        <v>2025</v>
      </c>
      <c r="G2763" s="35" t="str">
        <f>IFERROR(__xludf.DUMMYFUNCTION("""COMPUTED_VALUE"""),"DIAN GITA SAVITRI")</f>
        <v>DIAN GITA SAVITRI</v>
      </c>
      <c r="H2763" s="35" t="str">
        <f>IFERROR(__xludf.DUMMYFUNCTION("""COMPUTED_VALUE"""),"D8825084244")</f>
        <v>D8825084244</v>
      </c>
      <c r="I2763" s="35">
        <f>IFERROR(__xludf.DUMMYFUNCTION("""COMPUTED_VALUE"""),38.0)</f>
        <v>38</v>
      </c>
      <c r="J2763" s="35" t="str">
        <f>IFERROR(__xludf.DUMMYFUNCTION("""COMPUTED_VALUE"""),"35-44 tahun")</f>
        <v>35-44 tahun</v>
      </c>
      <c r="K2763" s="21" t="str">
        <f>IFERROR(__xludf.DUMMYFUNCTION("""COMPUTED_VALUE"""),"06/01/1988")</f>
        <v>06/01/1988</v>
      </c>
      <c r="L2763" s="21" t="str">
        <f>IFERROR(__xludf.DUMMYFUNCTION("""COMPUTED_VALUE"""),"PEREMPUAN")</f>
        <v>PEREMPUAN</v>
      </c>
      <c r="M2763" s="35" t="str">
        <f>IFERROR(__xludf.DUMMYFUNCTION("""COMPUTED_VALUE"""),"JL.TANJUNG RAYA 2 GG SEKTIR RAYA")</f>
        <v>JL.TANJUNG RAYA 2 GG SEKTIR RAYA</v>
      </c>
      <c r="N2763" s="35" t="str">
        <f>IFERROR(__xludf.DUMMYFUNCTION("""COMPUTED_VALUE"""),"SAIGON")</f>
        <v>SAIGON</v>
      </c>
      <c r="O2763" s="35" t="str">
        <f>IFERROR(__xludf.DUMMYFUNCTION("""COMPUTED_VALUE"""),"PONTIANAK TIMUR")</f>
        <v>PONTIANAK TIMUR</v>
      </c>
      <c r="P2763" s="35" t="str">
        <f>IFERROR(__xludf.DUMMYFUNCTION("""COMPUTED_VALUE"""),"KOTA PONTIANAK")</f>
        <v>KOTA PONTIANAK</v>
      </c>
      <c r="Q2763" s="35" t="str">
        <f>IFERROR(__xludf.DUMMYFUNCTION("""COMPUTED_VALUE"""),"KALBAR")</f>
        <v>KALBAR</v>
      </c>
      <c r="R2763" s="21" t="str">
        <f>IFERROR(__xludf.DUMMYFUNCTION("""COMPUTED_VALUE"""),"ISLAM")</f>
        <v>ISLAM</v>
      </c>
      <c r="S2763" s="74" t="str">
        <f>IFERROR(__xludf.DUMMYFUNCTION("""COMPUTED_VALUE"""),"SWASTA")</f>
        <v>SWASTA</v>
      </c>
      <c r="T2763" s="35" t="str">
        <f>IFERROR(__xludf.DUMMYFUNCTION("""COMPUTED_VALUE"""),"SAKIT DITUMIT KIRI")</f>
        <v>SAKIT DITUMIT KIRI</v>
      </c>
      <c r="U2763" s="35" t="str">
        <f>IFERROR(__xludf.DUMMYFUNCTION("""COMPUTED_VALUE"""),"MENERAPKAN JALAN 30MNT SETIAP HARI(SDH 3MINGGU)")</f>
        <v>MENERAPKAN JALAN 30MNT SETIAP HARI(SDH 3MINGGU)</v>
      </c>
      <c r="V2763" s="37" t="str">
        <f>IFERROR(__xludf.DUMMYFUNCTION("""COMPUTED_VALUE"""),"085245544244")</f>
        <v>085245544244</v>
      </c>
      <c r="W2763" s="45"/>
    </row>
    <row r="2764">
      <c r="A2764" s="45"/>
      <c r="B2764" s="24" t="str">
        <f>IFERROR(__xludf.DUMMYFUNCTION("""COMPUTED_VALUE"""),"21/08/2025 15:48:10")</f>
        <v>21/08/2025 15:48:10</v>
      </c>
      <c r="C2764" s="35"/>
      <c r="D2764" s="10">
        <f>IFERROR(__xludf.DUMMYFUNCTION("""COMPUTED_VALUE"""),45890.0)</f>
        <v>45890</v>
      </c>
      <c r="E2764" s="35" t="str">
        <f>IFERROR(__xludf.DUMMYFUNCTION("""COMPUTED_VALUE"""),"08Agu")</f>
        <v>08Agu</v>
      </c>
      <c r="F2764" s="34" t="str">
        <f>IFERROR(__xludf.DUMMYFUNCTION("""COMPUTED_VALUE"""),"2025")</f>
        <v>2025</v>
      </c>
      <c r="G2764" s="35" t="str">
        <f>IFERROR(__xludf.DUMMYFUNCTION("""COMPUTED_VALUE"""),"YOSIA GALANG PUTRA BORNEO")</f>
        <v>YOSIA GALANG PUTRA BORNEO</v>
      </c>
      <c r="H2764" s="35" t="str">
        <f>IFERROR(__xludf.DUMMYFUNCTION("""COMPUTED_VALUE"""),"Y0825082296")</f>
        <v>Y0825082296</v>
      </c>
      <c r="I2764" s="35">
        <f>IFERROR(__xludf.DUMMYFUNCTION("""COMPUTED_VALUE"""),17.0)</f>
        <v>17</v>
      </c>
      <c r="J2764" s="35" t="str">
        <f>IFERROR(__xludf.DUMMYFUNCTION("""COMPUTED_VALUE"""),"&lt; 18 tahun")</f>
        <v>&lt; 18 tahun</v>
      </c>
      <c r="K2764" s="21" t="str">
        <f>IFERROR(__xludf.DUMMYFUNCTION("""COMPUTED_VALUE"""),"04/07/2008")</f>
        <v>04/07/2008</v>
      </c>
      <c r="L2764" s="21" t="str">
        <f>IFERROR(__xludf.DUMMYFUNCTION("""COMPUTED_VALUE"""),"LAKI-LAKI")</f>
        <v>LAKI-LAKI</v>
      </c>
      <c r="M2764" s="35" t="str">
        <f>IFERROR(__xludf.DUMMYFUNCTION("""COMPUTED_VALUE"""),"PURNAMA 1 , GANG PURNAMASEDERHANA NO 2A")</f>
        <v>PURNAMA 1 , GANG PURNAMASEDERHANA NO 2A</v>
      </c>
      <c r="N2764" s="35" t="str">
        <f>IFERROR(__xludf.DUMMYFUNCTION("""COMPUTED_VALUE"""),"-")</f>
        <v>-</v>
      </c>
      <c r="O2764" s="35" t="str">
        <f>IFERROR(__xludf.DUMMYFUNCTION("""COMPUTED_VALUE"""),"-")</f>
        <v>-</v>
      </c>
      <c r="P2764" s="35" t="str">
        <f>IFERROR(__xludf.DUMMYFUNCTION("""COMPUTED_VALUE"""),"PONTIANAK")</f>
        <v>PONTIANAK</v>
      </c>
      <c r="Q2764" s="35" t="str">
        <f>IFERROR(__xludf.DUMMYFUNCTION("""COMPUTED_VALUE"""),"KALIMANTAN BARAT")</f>
        <v>KALIMANTAN BARAT</v>
      </c>
      <c r="R2764" s="21" t="str">
        <f>IFERROR(__xludf.DUMMYFUNCTION("""COMPUTED_VALUE"""),"LAINNYA")</f>
        <v>LAINNYA</v>
      </c>
      <c r="S2764" s="74" t="str">
        <f>IFERROR(__xludf.DUMMYFUNCTION("""COMPUTED_VALUE"""),"PELAJAR")</f>
        <v>PELAJAR</v>
      </c>
      <c r="T2764" s="35" t="str">
        <f>IFERROR(__xludf.DUMMYFUNCTION("""COMPUTED_VALUE"""),"LUTUT")</f>
        <v>LUTUT</v>
      </c>
      <c r="U2764" s="35" t="str">
        <f>IFERROR(__xludf.DUMMYFUNCTION("""COMPUTED_VALUE"""),"-")</f>
        <v>-</v>
      </c>
      <c r="V2764" s="37" t="str">
        <f>IFERROR(__xludf.DUMMYFUNCTION("""COMPUTED_VALUE"""),"085751712296")</f>
        <v>085751712296</v>
      </c>
      <c r="W2764" s="45"/>
    </row>
    <row r="2765">
      <c r="A2765" s="45"/>
      <c r="B2765" s="24" t="str">
        <f>IFERROR(__xludf.DUMMYFUNCTION("""COMPUTED_VALUE"""),"21/08/2025 19:33:03")</f>
        <v>21/08/2025 19:33:03</v>
      </c>
      <c r="C2765" s="35"/>
      <c r="D2765" s="10">
        <f>IFERROR(__xludf.DUMMYFUNCTION("""COMPUTED_VALUE"""),45890.0)</f>
        <v>45890</v>
      </c>
      <c r="E2765" s="35" t="str">
        <f>IFERROR(__xludf.DUMMYFUNCTION("""COMPUTED_VALUE"""),"08Agu")</f>
        <v>08Agu</v>
      </c>
      <c r="F2765" s="34" t="str">
        <f>IFERROR(__xludf.DUMMYFUNCTION("""COMPUTED_VALUE"""),"2025")</f>
        <v>2025</v>
      </c>
      <c r="G2765" s="35" t="str">
        <f>IFERROR(__xludf.DUMMYFUNCTION("""COMPUTED_VALUE"""),"FISCA NATALIA")</f>
        <v>FISCA NATALIA</v>
      </c>
      <c r="H2765" s="35" t="str">
        <f>IFERROR(__xludf.DUMMYFUNCTION("""COMPUTED_VALUE"""),"F0025087304")</f>
        <v>F0025087304</v>
      </c>
      <c r="I2765" s="35">
        <f>IFERROR(__xludf.DUMMYFUNCTION("""COMPUTED_VALUE"""),25.0)</f>
        <v>25</v>
      </c>
      <c r="J2765" s="35" t="str">
        <f>IFERROR(__xludf.DUMMYFUNCTION("""COMPUTED_VALUE"""),"25-34 tahun")</f>
        <v>25-34 tahun</v>
      </c>
      <c r="K2765" s="21" t="str">
        <f>IFERROR(__xludf.DUMMYFUNCTION("""COMPUTED_VALUE"""),"22/07/2000")</f>
        <v>22/07/2000</v>
      </c>
      <c r="L2765" s="21" t="str">
        <f>IFERROR(__xludf.DUMMYFUNCTION("""COMPUTED_VALUE"""),"PEREMPUAN")</f>
        <v>PEREMPUAN</v>
      </c>
      <c r="M2765" s="35" t="str">
        <f>IFERROR(__xludf.DUMMYFUNCTION("""COMPUTED_VALUE"""),"KOMP PIL A.9 NO.31")</f>
        <v>KOMP PIL A.9 NO.31</v>
      </c>
      <c r="N2765" s="35" t="str">
        <f>IFERROR(__xludf.DUMMYFUNCTION("""COMPUTED_VALUE"""),"PARIT BARU")</f>
        <v>PARIT BARU</v>
      </c>
      <c r="O2765" s="35" t="str">
        <f>IFERROR(__xludf.DUMMYFUNCTION("""COMPUTED_VALUE"""),"SUNGAI RAYA")</f>
        <v>SUNGAI RAYA</v>
      </c>
      <c r="P2765" s="35" t="str">
        <f>IFERROR(__xludf.DUMMYFUNCTION("""COMPUTED_VALUE"""),"KUBU RAYA")</f>
        <v>KUBU RAYA</v>
      </c>
      <c r="Q2765" s="35" t="str">
        <f>IFERROR(__xludf.DUMMYFUNCTION("""COMPUTED_VALUE"""),"KALIMANTAN BARAT")</f>
        <v>KALIMANTAN BARAT</v>
      </c>
      <c r="R2765" s="21" t="str">
        <f>IFERROR(__xludf.DUMMYFUNCTION("""COMPUTED_VALUE"""),"PROTESTAN")</f>
        <v>PROTESTAN</v>
      </c>
      <c r="S2765" s="74" t="str">
        <f>IFERROR(__xludf.DUMMYFUNCTION("""COMPUTED_VALUE"""),"SWASTA")</f>
        <v>SWASTA</v>
      </c>
      <c r="T2765" s="35" t="str">
        <f>IFERROR(__xludf.DUMMYFUNCTION("""COMPUTED_VALUE"""),"NYERI DI TULANG BELAKANG")</f>
        <v>NYERI DI TULANG BELAKANG</v>
      </c>
      <c r="U2765" s="35" t="str">
        <f>IFERROR(__xludf.DUMMYFUNCTION("""COMPUTED_VALUE"""),"GYM")</f>
        <v>GYM</v>
      </c>
      <c r="V2765" s="37" t="str">
        <f>IFERROR(__xludf.DUMMYFUNCTION("""COMPUTED_VALUE"""),"089508937304")</f>
        <v>089508937304</v>
      </c>
      <c r="W2765" s="45"/>
    </row>
    <row r="2766">
      <c r="A2766" s="45"/>
      <c r="B2766" s="24" t="str">
        <f>IFERROR(__xludf.DUMMYFUNCTION("""COMPUTED_VALUE"""),"21/08/2025 20:27:55")</f>
        <v>21/08/2025 20:27:55</v>
      </c>
      <c r="C2766" s="35"/>
      <c r="D2766" s="10">
        <f>IFERROR(__xludf.DUMMYFUNCTION("""COMPUTED_VALUE"""),45890.0)</f>
        <v>45890</v>
      </c>
      <c r="E2766" s="35" t="str">
        <f>IFERROR(__xludf.DUMMYFUNCTION("""COMPUTED_VALUE"""),"08Agu")</f>
        <v>08Agu</v>
      </c>
      <c r="F2766" s="34" t="str">
        <f>IFERROR(__xludf.DUMMYFUNCTION("""COMPUTED_VALUE"""),"2025")</f>
        <v>2025</v>
      </c>
      <c r="G2766" s="35" t="str">
        <f>IFERROR(__xludf.DUMMYFUNCTION("""COMPUTED_VALUE"""),"KURNIAWATI 6009")</f>
        <v>KURNIAWATI 6009</v>
      </c>
      <c r="H2766" s="35" t="str">
        <f>IFERROR(__xludf.DUMMYFUNCTION("""COMPUTED_VALUE"""),"K6025085313")</f>
        <v>K6025085313</v>
      </c>
      <c r="I2766" s="35">
        <f>IFERROR(__xludf.DUMMYFUNCTION("""COMPUTED_VALUE"""),65.0)</f>
        <v>65</v>
      </c>
      <c r="J2766" s="35" t="str">
        <f>IFERROR(__xludf.DUMMYFUNCTION("""COMPUTED_VALUE"""),"&gt; 44 tahun")</f>
        <v>&gt; 44 tahun</v>
      </c>
      <c r="K2766" s="21" t="str">
        <f>IFERROR(__xludf.DUMMYFUNCTION("""COMPUTED_VALUE"""),"01/09/1960")</f>
        <v>01/09/1960</v>
      </c>
      <c r="L2766" s="21" t="str">
        <f>IFERROR(__xludf.DUMMYFUNCTION("""COMPUTED_VALUE"""),"PEREMPUAN")</f>
        <v>PEREMPUAN</v>
      </c>
      <c r="M2766" s="35" t="str">
        <f>IFERROR(__xludf.DUMMYFUNCTION("""COMPUTED_VALUE"""),"JL. KOM. YOS. SUDARSO GG. KAYU MANIS 1 JALUR 5 NO. 120")</f>
        <v>JL. KOM. YOS. SUDARSO GG. KAYU MANIS 1 JALUR 5 NO. 120</v>
      </c>
      <c r="N2766" s="35" t="str">
        <f>IFERROR(__xludf.DUMMYFUNCTION("""COMPUTED_VALUE"""),"SUNGAI JAWI LUAR")</f>
        <v>SUNGAI JAWI LUAR</v>
      </c>
      <c r="O2766" s="35" t="str">
        <f>IFERROR(__xludf.DUMMYFUNCTION("""COMPUTED_VALUE"""),"PONTIANAK BARAT")</f>
        <v>PONTIANAK BARAT</v>
      </c>
      <c r="P2766" s="35" t="str">
        <f>IFERROR(__xludf.DUMMYFUNCTION("""COMPUTED_VALUE"""),"PONTIANAK")</f>
        <v>PONTIANAK</v>
      </c>
      <c r="Q2766" s="35" t="str">
        <f>IFERROR(__xludf.DUMMYFUNCTION("""COMPUTED_VALUE"""),"KALIMANTAN BARAT")</f>
        <v>KALIMANTAN BARAT</v>
      </c>
      <c r="R2766" s="21" t="str">
        <f>IFERROR(__xludf.DUMMYFUNCTION("""COMPUTED_VALUE"""),"ISLAM")</f>
        <v>ISLAM</v>
      </c>
      <c r="S2766" s="74" t="str">
        <f>IFERROR(__xludf.DUMMYFUNCTION("""COMPUTED_VALUE"""),"IBU RUMAH TANGGA")</f>
        <v>IBU RUMAH TANGGA</v>
      </c>
      <c r="T2766" s="35" t="str">
        <f>IFERROR(__xludf.DUMMYFUNCTION("""COMPUTED_VALUE"""),"SAKIT LUTUT KANAN")</f>
        <v>SAKIT LUTUT KANAN</v>
      </c>
      <c r="U2766" s="35" t="str">
        <f>IFERROR(__xludf.DUMMYFUNCTION("""COMPUTED_VALUE"""),"JALAN KAKI")</f>
        <v>JALAN KAKI</v>
      </c>
      <c r="V2766" s="37" t="str">
        <f>IFERROR(__xludf.DUMMYFUNCTION("""COMPUTED_VALUE"""),"081258735313")</f>
        <v>081258735313</v>
      </c>
      <c r="W2766" s="45"/>
    </row>
    <row r="2767">
      <c r="A2767" s="45"/>
      <c r="B2767" s="24" t="str">
        <f>IFERROR(__xludf.DUMMYFUNCTION("""COMPUTED_VALUE"""),"21/08/2025 23:11:18")</f>
        <v>21/08/2025 23:11:18</v>
      </c>
      <c r="C2767" s="35"/>
      <c r="D2767" s="10">
        <f>IFERROR(__xludf.DUMMYFUNCTION("""COMPUTED_VALUE"""),45891.0)</f>
        <v>45891</v>
      </c>
      <c r="E2767" s="35" t="str">
        <f>IFERROR(__xludf.DUMMYFUNCTION("""COMPUTED_VALUE"""),"08Agu")</f>
        <v>08Agu</v>
      </c>
      <c r="F2767" s="34" t="str">
        <f>IFERROR(__xludf.DUMMYFUNCTION("""COMPUTED_VALUE"""),"2025")</f>
        <v>2025</v>
      </c>
      <c r="G2767" s="35" t="str">
        <f>IFERROR(__xludf.DUMMYFUNCTION("""COMPUTED_VALUE"""),"SULASTRI 6507")</f>
        <v>SULASTRI 6507</v>
      </c>
      <c r="H2767" s="35" t="str">
        <f>IFERROR(__xludf.DUMMYFUNCTION("""COMPUTED_VALUE"""),"S6525087232")</f>
        <v>S6525087232</v>
      </c>
      <c r="I2767" s="35">
        <f>IFERROR(__xludf.DUMMYFUNCTION("""COMPUTED_VALUE"""),60.0)</f>
        <v>60</v>
      </c>
      <c r="J2767" s="35" t="str">
        <f>IFERROR(__xludf.DUMMYFUNCTION("""COMPUTED_VALUE"""),"&gt; 44 tahun")</f>
        <v>&gt; 44 tahun</v>
      </c>
      <c r="K2767" s="21" t="str">
        <f>IFERROR(__xludf.DUMMYFUNCTION("""COMPUTED_VALUE"""),"14/07/1965")</f>
        <v>14/07/1965</v>
      </c>
      <c r="L2767" s="21" t="str">
        <f>IFERROR(__xludf.DUMMYFUNCTION("""COMPUTED_VALUE"""),"PEREMPUAN")</f>
        <v>PEREMPUAN</v>
      </c>
      <c r="M2767" s="35" t="str">
        <f>IFERROR(__xludf.DUMMYFUNCTION("""COMPUTED_VALUE"""),"JL. DANAU SENTARUM GG. ABIDIN NO. 5")</f>
        <v>JL. DANAU SENTARUM GG. ABIDIN NO. 5</v>
      </c>
      <c r="N2767" s="35" t="str">
        <f>IFERROR(__xludf.DUMMYFUNCTION("""COMPUTED_VALUE"""),"SUNGAI BANGKONG")</f>
        <v>SUNGAI BANGKONG</v>
      </c>
      <c r="O2767" s="35" t="str">
        <f>IFERROR(__xludf.DUMMYFUNCTION("""COMPUTED_VALUE"""),"PONTIANAK KOTA")</f>
        <v>PONTIANAK KOTA</v>
      </c>
      <c r="P2767" s="35" t="str">
        <f>IFERROR(__xludf.DUMMYFUNCTION("""COMPUTED_VALUE"""),"KOTA PONTIANAK")</f>
        <v>KOTA PONTIANAK</v>
      </c>
      <c r="Q2767" s="35" t="str">
        <f>IFERROR(__xludf.DUMMYFUNCTION("""COMPUTED_VALUE"""),"KALIMANTAN BARAT")</f>
        <v>KALIMANTAN BARAT</v>
      </c>
      <c r="R2767" s="21" t="str">
        <f>IFERROR(__xludf.DUMMYFUNCTION("""COMPUTED_VALUE"""),"ISLAM")</f>
        <v>ISLAM</v>
      </c>
      <c r="S2767" s="74" t="str">
        <f>IFERROR(__xludf.DUMMYFUNCTION("""COMPUTED_VALUE"""),"IBU RUMAH TANGGA")</f>
        <v>IBU RUMAH TANGGA</v>
      </c>
      <c r="T2767" s="35" t="str">
        <f>IFERROR(__xludf.DUMMYFUNCTION("""COMPUTED_VALUE"""),"TUMIT KAKI SAKIT SEBELAH KIRI, DI BAWAH LUTUT YANG KUAT SAKITNYA")</f>
        <v>TUMIT KAKI SAKIT SEBELAH KIRI, DI BAWAH LUTUT YANG KUAT SAKITNYA</v>
      </c>
      <c r="U2767" s="35" t="str">
        <f>IFERROR(__xludf.DUMMYFUNCTION("""COMPUTED_VALUE"""),"SUKA MANJAT NUTUP JENDELA/PINTU DENGAN KURSI")</f>
        <v>SUKA MANJAT NUTUP JENDELA/PINTU DENGAN KURSI</v>
      </c>
      <c r="V2767" s="37" t="str">
        <f>IFERROR(__xludf.DUMMYFUNCTION("""COMPUTED_VALUE"""),"+6281352647232")</f>
        <v>+6281352647232</v>
      </c>
      <c r="W2767" s="45"/>
    </row>
    <row r="2768">
      <c r="A2768" s="45"/>
      <c r="B2768" s="24" t="str">
        <f>IFERROR(__xludf.DUMMYFUNCTION("""COMPUTED_VALUE"""),"22/08/2025 13:07:28")</f>
        <v>22/08/2025 13:07:28</v>
      </c>
      <c r="C2768" s="35"/>
      <c r="D2768" s="10">
        <f>IFERROR(__xludf.DUMMYFUNCTION("""COMPUTED_VALUE"""),45891.0)</f>
        <v>45891</v>
      </c>
      <c r="E2768" s="35" t="str">
        <f>IFERROR(__xludf.DUMMYFUNCTION("""COMPUTED_VALUE"""),"08Agu")</f>
        <v>08Agu</v>
      </c>
      <c r="F2768" s="34" t="str">
        <f>IFERROR(__xludf.DUMMYFUNCTION("""COMPUTED_VALUE"""),"2025")</f>
        <v>2025</v>
      </c>
      <c r="G2768" s="35" t="str">
        <f>IFERROR(__xludf.DUMMYFUNCTION("""COMPUTED_VALUE"""),"TITA SIPTY WULANDARI FUTRI")</f>
        <v>TITA SIPTY WULANDARI FUTRI</v>
      </c>
      <c r="H2768" s="35" t="str">
        <f>IFERROR(__xludf.DUMMYFUNCTION("""COMPUTED_VALUE"""),"T9625089735")</f>
        <v>T9625089735</v>
      </c>
      <c r="I2768" s="35">
        <f>IFERROR(__xludf.DUMMYFUNCTION("""COMPUTED_VALUE"""),29.0)</f>
        <v>29</v>
      </c>
      <c r="J2768" s="35" t="str">
        <f>IFERROR(__xludf.DUMMYFUNCTION("""COMPUTED_VALUE"""),"25-34 tahun")</f>
        <v>25-34 tahun</v>
      </c>
      <c r="K2768" s="21" t="str">
        <f>IFERROR(__xludf.DUMMYFUNCTION("""COMPUTED_VALUE"""),"30/08/1996")</f>
        <v>30/08/1996</v>
      </c>
      <c r="L2768" s="21" t="str">
        <f>IFERROR(__xludf.DUMMYFUNCTION("""COMPUTED_VALUE"""),"PEREMPUAN")</f>
        <v>PEREMPUAN</v>
      </c>
      <c r="M2768" s="35" t="str">
        <f>IFERROR(__xludf.DUMMYFUNCTION("""COMPUTED_VALUE"""),"JALAN IMAM BONJOL GG TANJUNG HARAPAN NO 13")</f>
        <v>JALAN IMAM BONJOL GG TANJUNG HARAPAN NO 13</v>
      </c>
      <c r="N2768" s="35" t="str">
        <f>IFERROR(__xludf.DUMMYFUNCTION("""COMPUTED_VALUE"""),"BANSIR LAUT")</f>
        <v>BANSIR LAUT</v>
      </c>
      <c r="O2768" s="35" t="str">
        <f>IFERROR(__xludf.DUMMYFUNCTION("""COMPUTED_VALUE"""),"PONTIANAK TENGGARA")</f>
        <v>PONTIANAK TENGGARA</v>
      </c>
      <c r="P2768" s="35" t="str">
        <f>IFERROR(__xludf.DUMMYFUNCTION("""COMPUTED_VALUE"""),"KOTA PONTIANAK")</f>
        <v>KOTA PONTIANAK</v>
      </c>
      <c r="Q2768" s="35" t="str">
        <f>IFERROR(__xludf.DUMMYFUNCTION("""COMPUTED_VALUE"""),"KALIMANTAN BARAT")</f>
        <v>KALIMANTAN BARAT</v>
      </c>
      <c r="R2768" s="21" t="str">
        <f>IFERROR(__xludf.DUMMYFUNCTION("""COMPUTED_VALUE"""),"ISLAM")</f>
        <v>ISLAM</v>
      </c>
      <c r="S2768" s="74" t="str">
        <f>IFERROR(__xludf.DUMMYFUNCTION("""COMPUTED_VALUE"""),"IBU RUMAH TANGGA")</f>
        <v>IBU RUMAH TANGGA</v>
      </c>
      <c r="T2768" s="35" t="str">
        <f>IFERROR(__xludf.DUMMYFUNCTION("""COMPUTED_VALUE"""),"SAKIT DI JARI TANGAN")</f>
        <v>SAKIT DI JARI TANGAN</v>
      </c>
      <c r="U2768" s="35" t="str">
        <f>IFERROR(__xludf.DUMMYFUNCTION("""COMPUTED_VALUE"""),"BERBERES RUMAH")</f>
        <v>BERBERES RUMAH</v>
      </c>
      <c r="V2768" s="37" t="str">
        <f>IFERROR(__xludf.DUMMYFUNCTION("""COMPUTED_VALUE"""),"081351779735")</f>
        <v>081351779735</v>
      </c>
      <c r="W2768" s="45"/>
    </row>
    <row r="2769">
      <c r="A2769" s="45"/>
      <c r="B2769" s="24" t="str">
        <f>IFERROR(__xludf.DUMMYFUNCTION("""COMPUTED_VALUE"""),"22/08/2025 13:23:28")</f>
        <v>22/08/2025 13:23:28</v>
      </c>
      <c r="C2769" s="35"/>
      <c r="D2769" s="10">
        <f>IFERROR(__xludf.DUMMYFUNCTION("""COMPUTED_VALUE"""),45891.0)</f>
        <v>45891</v>
      </c>
      <c r="E2769" s="35" t="str">
        <f>IFERROR(__xludf.DUMMYFUNCTION("""COMPUTED_VALUE"""),"08Agu")</f>
        <v>08Agu</v>
      </c>
      <c r="F2769" s="34" t="str">
        <f>IFERROR(__xludf.DUMMYFUNCTION("""COMPUTED_VALUE"""),"2025")</f>
        <v>2025</v>
      </c>
      <c r="G2769" s="35" t="str">
        <f>IFERROR(__xludf.DUMMYFUNCTION("""COMPUTED_VALUE"""),"AZIZ YOGO HANGGORO")</f>
        <v>AZIZ YOGO HANGGORO</v>
      </c>
      <c r="H2769" s="35" t="str">
        <f>IFERROR(__xludf.DUMMYFUNCTION("""COMPUTED_VALUE"""),"A9025086119")</f>
        <v>A9025086119</v>
      </c>
      <c r="I2769" s="35">
        <f>IFERROR(__xludf.DUMMYFUNCTION("""COMPUTED_VALUE"""),35.0)</f>
        <v>35</v>
      </c>
      <c r="J2769" s="35" t="str">
        <f>IFERROR(__xludf.DUMMYFUNCTION("""COMPUTED_VALUE"""),"35-44 tahun")</f>
        <v>35-44 tahun</v>
      </c>
      <c r="K2769" s="21" t="str">
        <f>IFERROR(__xludf.DUMMYFUNCTION("""COMPUTED_VALUE"""),"09/11/1990")</f>
        <v>09/11/1990</v>
      </c>
      <c r="L2769" s="21" t="str">
        <f>IFERROR(__xludf.DUMMYFUNCTION("""COMPUTED_VALUE"""),"LAKI-LAKI")</f>
        <v>LAKI-LAKI</v>
      </c>
      <c r="M2769" s="35" t="str">
        <f>IFERROR(__xludf.DUMMYFUNCTION("""COMPUTED_VALUE"""),"JL KHATULISTIWA")</f>
        <v>JL KHATULISTIWA</v>
      </c>
      <c r="N2769" s="35" t="str">
        <f>IFERROR(__xludf.DUMMYFUNCTION("""COMPUTED_VALUE"""),"SIANTAN HILIR")</f>
        <v>SIANTAN HILIR</v>
      </c>
      <c r="O2769" s="35" t="str">
        <f>IFERROR(__xludf.DUMMYFUNCTION("""COMPUTED_VALUE"""),"PONTIANAK UTARA")</f>
        <v>PONTIANAK UTARA</v>
      </c>
      <c r="P2769" s="35" t="str">
        <f>IFERROR(__xludf.DUMMYFUNCTION("""COMPUTED_VALUE"""),"PONTIANAK")</f>
        <v>PONTIANAK</v>
      </c>
      <c r="Q2769" s="35" t="str">
        <f>IFERROR(__xludf.DUMMYFUNCTION("""COMPUTED_VALUE"""),"KALBAR")</f>
        <v>KALBAR</v>
      </c>
      <c r="R2769" s="21" t="str">
        <f>IFERROR(__xludf.DUMMYFUNCTION("""COMPUTED_VALUE"""),"ISLAM")</f>
        <v>ISLAM</v>
      </c>
      <c r="S2769" s="74" t="str">
        <f>IFERROR(__xludf.DUMMYFUNCTION("""COMPUTED_VALUE"""),"SWASTA")</f>
        <v>SWASTA</v>
      </c>
      <c r="T2769" s="35" t="str">
        <f>IFERROR(__xludf.DUMMYFUNCTION("""COMPUTED_VALUE"""),"LUTUT KANAN SAKIT DAN NYERI")</f>
        <v>LUTUT KANAN SAKIT DAN NYERI</v>
      </c>
      <c r="U2769" s="35" t="str">
        <f>IFERROR(__xludf.DUMMYFUNCTION("""COMPUTED_VALUE"""),"TIDAK BISA LARI")</f>
        <v>TIDAK BISA LARI</v>
      </c>
      <c r="V2769" s="37" t="str">
        <f>IFERROR(__xludf.DUMMYFUNCTION("""COMPUTED_VALUE"""),"08115656119")</f>
        <v>08115656119</v>
      </c>
      <c r="W2769" s="45"/>
    </row>
    <row r="2770">
      <c r="A2770" s="45"/>
      <c r="B2770" s="24" t="str">
        <f>IFERROR(__xludf.DUMMYFUNCTION("""COMPUTED_VALUE"""),"22/08/2025 18:30:13")</f>
        <v>22/08/2025 18:30:13</v>
      </c>
      <c r="C2770" s="35"/>
      <c r="D2770" s="10">
        <f>IFERROR(__xludf.DUMMYFUNCTION("""COMPUTED_VALUE"""),45891.0)</f>
        <v>45891</v>
      </c>
      <c r="E2770" s="35" t="str">
        <f>IFERROR(__xludf.DUMMYFUNCTION("""COMPUTED_VALUE"""),"08Agu")</f>
        <v>08Agu</v>
      </c>
      <c r="F2770" s="34" t="str">
        <f>IFERROR(__xludf.DUMMYFUNCTION("""COMPUTED_VALUE"""),"2025")</f>
        <v>2025</v>
      </c>
      <c r="G2770" s="35" t="str">
        <f>IFERROR(__xludf.DUMMYFUNCTION("""COMPUTED_VALUE"""),"GRACIA IVANA GOUWYN")</f>
        <v>GRACIA IVANA GOUWYN</v>
      </c>
      <c r="H2770" s="35" t="str">
        <f>IFERROR(__xludf.DUMMYFUNCTION("""COMPUTED_VALUE"""),"G0425088990")</f>
        <v>G0425088990</v>
      </c>
      <c r="I2770" s="35">
        <f>IFERROR(__xludf.DUMMYFUNCTION("""COMPUTED_VALUE"""),21.0)</f>
        <v>21</v>
      </c>
      <c r="J2770" s="35" t="str">
        <f>IFERROR(__xludf.DUMMYFUNCTION("""COMPUTED_VALUE"""),"18-24 tahun")</f>
        <v>18-24 tahun</v>
      </c>
      <c r="K2770" s="21" t="str">
        <f>IFERROR(__xludf.DUMMYFUNCTION("""COMPUTED_VALUE"""),"16/11/2004")</f>
        <v>16/11/2004</v>
      </c>
      <c r="L2770" s="21" t="str">
        <f>IFERROR(__xludf.DUMMYFUNCTION("""COMPUTED_VALUE"""),"PEREMPUAN")</f>
        <v>PEREMPUAN</v>
      </c>
      <c r="M2770" s="35" t="str">
        <f>IFERROR(__xludf.DUMMYFUNCTION("""COMPUTED_VALUE"""),"JL H R A RACHMAN GG BUKIT GADING NO 33B")</f>
        <v>JL H R A RACHMAN GG BUKIT GADING NO 33B</v>
      </c>
      <c r="N2770" s="35" t="str">
        <f>IFERROR(__xludf.DUMMYFUNCTION("""COMPUTED_VALUE"""),"SUNGAI JAWI")</f>
        <v>SUNGAI JAWI</v>
      </c>
      <c r="O2770" s="35" t="str">
        <f>IFERROR(__xludf.DUMMYFUNCTION("""COMPUTED_VALUE"""),"PONTIANAK KOTA")</f>
        <v>PONTIANAK KOTA</v>
      </c>
      <c r="P2770" s="35" t="str">
        <f>IFERROR(__xludf.DUMMYFUNCTION("""COMPUTED_VALUE"""),"PONTIANAK")</f>
        <v>PONTIANAK</v>
      </c>
      <c r="Q2770" s="35" t="str">
        <f>IFERROR(__xludf.DUMMYFUNCTION("""COMPUTED_VALUE"""),"KALIMANTAN BARAT")</f>
        <v>KALIMANTAN BARAT</v>
      </c>
      <c r="R2770" s="21" t="str">
        <f>IFERROR(__xludf.DUMMYFUNCTION("""COMPUTED_VALUE"""),"PROTESTAN")</f>
        <v>PROTESTAN</v>
      </c>
      <c r="S2770" s="74" t="str">
        <f>IFERROR(__xludf.DUMMYFUNCTION("""COMPUTED_VALUE"""),"BUSINESS OWNER")</f>
        <v>BUSINESS OWNER</v>
      </c>
      <c r="T2770" s="35" t="str">
        <f>IFERROR(__xludf.DUMMYFUNCTION("""COMPUTED_VALUE"""),"TANGAN")</f>
        <v>TANGAN</v>
      </c>
      <c r="U2770" s="35" t="str">
        <f>IFERROR(__xludf.DUMMYFUNCTION("""COMPUTED_VALUE"""),"BERMAIN TENNIS")</f>
        <v>BERMAIN TENNIS</v>
      </c>
      <c r="V2770" s="37" t="str">
        <f>IFERROR(__xludf.DUMMYFUNCTION("""COMPUTED_VALUE"""),"081257278990")</f>
        <v>081257278990</v>
      </c>
      <c r="W2770" s="45"/>
    </row>
    <row r="2771">
      <c r="A2771" s="45"/>
      <c r="B2771" s="24" t="str">
        <f>IFERROR(__xludf.DUMMYFUNCTION("""COMPUTED_VALUE"""),"22/08/2025 19:36:51")</f>
        <v>22/08/2025 19:36:51</v>
      </c>
      <c r="C2771" s="35"/>
      <c r="D2771" s="10">
        <f>IFERROR(__xludf.DUMMYFUNCTION("""COMPUTED_VALUE"""),45892.0)</f>
        <v>45892</v>
      </c>
      <c r="E2771" s="35" t="str">
        <f>IFERROR(__xludf.DUMMYFUNCTION("""COMPUTED_VALUE"""),"08Agu")</f>
        <v>08Agu</v>
      </c>
      <c r="F2771" s="34" t="str">
        <f>IFERROR(__xludf.DUMMYFUNCTION("""COMPUTED_VALUE"""),"2025")</f>
        <v>2025</v>
      </c>
      <c r="G2771" s="35" t="str">
        <f>IFERROR(__xludf.DUMMYFUNCTION("""COMPUTED_VALUE"""),"ATIKA MUFLIHA")</f>
        <v>ATIKA MUFLIHA</v>
      </c>
      <c r="H2771" s="35" t="str">
        <f>IFERROR(__xludf.DUMMYFUNCTION("""COMPUTED_VALUE"""),"A9725086020")</f>
        <v>A9725086020</v>
      </c>
      <c r="I2771" s="35">
        <f>IFERROR(__xludf.DUMMYFUNCTION("""COMPUTED_VALUE"""),28.0)</f>
        <v>28</v>
      </c>
      <c r="J2771" s="35" t="str">
        <f>IFERROR(__xludf.DUMMYFUNCTION("""COMPUTED_VALUE"""),"25-34 tahun")</f>
        <v>25-34 tahun</v>
      </c>
      <c r="K2771" s="21" t="str">
        <f>IFERROR(__xludf.DUMMYFUNCTION("""COMPUTED_VALUE"""),"23/10/1997")</f>
        <v>23/10/1997</v>
      </c>
      <c r="L2771" s="21" t="str">
        <f>IFERROR(__xludf.DUMMYFUNCTION("""COMPUTED_VALUE"""),"PEREMPUAN")</f>
        <v>PEREMPUAN</v>
      </c>
      <c r="M2771" s="35" t="str">
        <f>IFERROR(__xludf.DUMMYFUNCTION("""COMPUTED_VALUE"""),"JL SUNGAI RAYA DALAM KOMPLEK GRIYA HUSADA J5")</f>
        <v>JL SUNGAI RAYA DALAM KOMPLEK GRIYA HUSADA J5</v>
      </c>
      <c r="N2771" s="35" t="str">
        <f>IFERROR(__xludf.DUMMYFUNCTION("""COMPUTED_VALUE"""),"DESA SUNGAI RAYA DALAM")</f>
        <v>DESA SUNGAI RAYA DALAM</v>
      </c>
      <c r="O2771" s="35" t="str">
        <f>IFERROR(__xludf.DUMMYFUNCTION("""COMPUTED_VALUE"""),"SUNGAI RAYA")</f>
        <v>SUNGAI RAYA</v>
      </c>
      <c r="P2771" s="35" t="str">
        <f>IFERROR(__xludf.DUMMYFUNCTION("""COMPUTED_VALUE"""),"KUBU RAYA")</f>
        <v>KUBU RAYA</v>
      </c>
      <c r="Q2771" s="35" t="str">
        <f>IFERROR(__xludf.DUMMYFUNCTION("""COMPUTED_VALUE"""),"KALIMANTAN BARAT")</f>
        <v>KALIMANTAN BARAT</v>
      </c>
      <c r="R2771" s="21" t="str">
        <f>IFERROR(__xludf.DUMMYFUNCTION("""COMPUTED_VALUE"""),"ISLAM")</f>
        <v>ISLAM</v>
      </c>
      <c r="S2771" s="74" t="str">
        <f>IFERROR(__xludf.DUMMYFUNCTION("""COMPUTED_VALUE"""),"PNS")</f>
        <v>PNS</v>
      </c>
      <c r="T2771" s="35" t="str">
        <f>IFERROR(__xludf.DUMMYFUNCTION("""COMPUTED_VALUE"""),"SAKIT BAGIAN PAHA DAN PANGGUL")</f>
        <v>SAKIT BAGIAN PAHA DAN PANGGUL</v>
      </c>
      <c r="U2771" s="35" t="str">
        <f>IFERROR(__xludf.DUMMYFUNCTION("""COMPUTED_VALUE"""),"VOLI DAN BEKERJA")</f>
        <v>VOLI DAN BEKERJA</v>
      </c>
      <c r="V2771" s="37" t="str">
        <f>IFERROR(__xludf.DUMMYFUNCTION("""COMPUTED_VALUE"""),"085794656020")</f>
        <v>085794656020</v>
      </c>
      <c r="W2771" s="45"/>
    </row>
    <row r="2772">
      <c r="A2772" s="45"/>
      <c r="B2772" s="24" t="str">
        <f>IFERROR(__xludf.DUMMYFUNCTION("""COMPUTED_VALUE"""),"23/08/2025 9:46:42")</f>
        <v>23/08/2025 9:46:42</v>
      </c>
      <c r="C2772" s="35"/>
      <c r="D2772" s="10">
        <f>IFERROR(__xludf.DUMMYFUNCTION("""COMPUTED_VALUE"""),45892.0)</f>
        <v>45892</v>
      </c>
      <c r="E2772" s="35" t="str">
        <f>IFERROR(__xludf.DUMMYFUNCTION("""COMPUTED_VALUE"""),"08Agu")</f>
        <v>08Agu</v>
      </c>
      <c r="F2772" s="34" t="str">
        <f>IFERROR(__xludf.DUMMYFUNCTION("""COMPUTED_VALUE"""),"2025")</f>
        <v>2025</v>
      </c>
      <c r="G2772" s="35" t="str">
        <f>IFERROR(__xludf.DUMMYFUNCTION("""COMPUTED_VALUE"""),"WILDAN ANKY PUTRA")</f>
        <v>WILDAN ANKY PUTRA</v>
      </c>
      <c r="H2772" s="35" t="str">
        <f>IFERROR(__xludf.DUMMYFUNCTION("""COMPUTED_VALUE"""),"W9325089933")</f>
        <v>W9325089933</v>
      </c>
      <c r="I2772" s="35">
        <f>IFERROR(__xludf.DUMMYFUNCTION("""COMPUTED_VALUE"""),33.0)</f>
        <v>33</v>
      </c>
      <c r="J2772" s="35" t="str">
        <f>IFERROR(__xludf.DUMMYFUNCTION("""COMPUTED_VALUE"""),"25-34 tahun")</f>
        <v>25-34 tahun</v>
      </c>
      <c r="K2772" s="21" t="str">
        <f>IFERROR(__xludf.DUMMYFUNCTION("""COMPUTED_VALUE"""),"06/02/1993")</f>
        <v>06/02/1993</v>
      </c>
      <c r="L2772" s="21" t="str">
        <f>IFERROR(__xludf.DUMMYFUNCTION("""COMPUTED_VALUE"""),"LAKI-LAKI")</f>
        <v>LAKI-LAKI</v>
      </c>
      <c r="M2772" s="35" t="str">
        <f>IFERROR(__xludf.DUMMYFUNCTION("""COMPUTED_VALUE"""),"JL PARIT H. HUSIN 2 KOMP. ALEX GRIYA PERMAI 3 NO. B19")</f>
        <v>JL PARIT H. HUSIN 2 KOMP. ALEX GRIYA PERMAI 3 NO. B19</v>
      </c>
      <c r="N2772" s="35" t="str">
        <f>IFERROR(__xludf.DUMMYFUNCTION("""COMPUTED_VALUE"""),"BANSIR DARAT")</f>
        <v>BANSIR DARAT</v>
      </c>
      <c r="O2772" s="35" t="str">
        <f>IFERROR(__xludf.DUMMYFUNCTION("""COMPUTED_VALUE"""),"PONTIANAK TENGGARA")</f>
        <v>PONTIANAK TENGGARA</v>
      </c>
      <c r="P2772" s="35" t="str">
        <f>IFERROR(__xludf.DUMMYFUNCTION("""COMPUTED_VALUE"""),"PONTIANAK")</f>
        <v>PONTIANAK</v>
      </c>
      <c r="Q2772" s="35" t="str">
        <f>IFERROR(__xludf.DUMMYFUNCTION("""COMPUTED_VALUE"""),"KALIMANTAN BARAT")</f>
        <v>KALIMANTAN BARAT</v>
      </c>
      <c r="R2772" s="21" t="str">
        <f>IFERROR(__xludf.DUMMYFUNCTION("""COMPUTED_VALUE"""),"ISLAM")</f>
        <v>ISLAM</v>
      </c>
      <c r="S2772" s="74" t="str">
        <f>IFERROR(__xludf.DUMMYFUNCTION("""COMPUTED_VALUE"""),"IT")</f>
        <v>IT</v>
      </c>
      <c r="T2772" s="35" t="str">
        <f>IFERROR(__xludf.DUMMYFUNCTION("""COMPUTED_VALUE"""),"NYERI DI LUTUT KIRI")</f>
        <v>NYERI DI LUTUT KIRI</v>
      </c>
      <c r="U2772" s="35" t="str">
        <f>IFERROR(__xludf.DUMMYFUNCTION("""COMPUTED_VALUE"""),"LARI")</f>
        <v>LARI</v>
      </c>
      <c r="V2772" s="37" t="str">
        <f>IFERROR(__xludf.DUMMYFUNCTION("""COMPUTED_VALUE"""),"085320679933")</f>
        <v>085320679933</v>
      </c>
      <c r="W2772" s="45"/>
    </row>
    <row r="2773">
      <c r="A2773" s="45"/>
      <c r="B2773" s="24" t="str">
        <f>IFERROR(__xludf.DUMMYFUNCTION("""COMPUTED_VALUE"""),"23/08/2025 11:11:30")</f>
        <v>23/08/2025 11:11:30</v>
      </c>
      <c r="C2773" s="35"/>
      <c r="D2773" s="10">
        <f>IFERROR(__xludf.DUMMYFUNCTION("""COMPUTED_VALUE"""),45892.0)</f>
        <v>45892</v>
      </c>
      <c r="E2773" s="35" t="str">
        <f>IFERROR(__xludf.DUMMYFUNCTION("""COMPUTED_VALUE"""),"08Agu")</f>
        <v>08Agu</v>
      </c>
      <c r="F2773" s="34" t="str">
        <f>IFERROR(__xludf.DUMMYFUNCTION("""COMPUTED_VALUE"""),"2025")</f>
        <v>2025</v>
      </c>
      <c r="G2773" s="35" t="str">
        <f>IFERROR(__xludf.DUMMYFUNCTION("""COMPUTED_VALUE"""),"RAFIF HANAN")</f>
        <v>RAFIF HANAN</v>
      </c>
      <c r="H2773" s="35" t="str">
        <f>IFERROR(__xludf.DUMMYFUNCTION("""COMPUTED_VALUE"""),"R1325084646")</f>
        <v>R1325084646</v>
      </c>
      <c r="I2773" s="35">
        <f>IFERROR(__xludf.DUMMYFUNCTION("""COMPUTED_VALUE"""),13.0)</f>
        <v>13</v>
      </c>
      <c r="J2773" s="35" t="str">
        <f>IFERROR(__xludf.DUMMYFUNCTION("""COMPUTED_VALUE"""),"&lt; 18 tahun")</f>
        <v>&lt; 18 tahun</v>
      </c>
      <c r="K2773" s="21" t="str">
        <f>IFERROR(__xludf.DUMMYFUNCTION("""COMPUTED_VALUE"""),"06/06/2013")</f>
        <v>06/06/2013</v>
      </c>
      <c r="L2773" s="21" t="str">
        <f>IFERROR(__xludf.DUMMYFUNCTION("""COMPUTED_VALUE"""),"LAKI-LAKI")</f>
        <v>LAKI-LAKI</v>
      </c>
      <c r="M2773" s="35" t="str">
        <f>IFERROR(__xludf.DUMMYFUNCTION("""COMPUTED_VALUE"""),"JL. UJUNG PANDANG PERUMAHAN KURNIA 5B NO. A17")</f>
        <v>JL. UJUNG PANDANG PERUMAHAN KURNIA 5B NO. A17</v>
      </c>
      <c r="N2773" s="35" t="str">
        <f>IFERROR(__xludf.DUMMYFUNCTION("""COMPUTED_VALUE"""),"SUNGAI JAWI")</f>
        <v>SUNGAI JAWI</v>
      </c>
      <c r="O2773" s="35" t="str">
        <f>IFERROR(__xludf.DUMMYFUNCTION("""COMPUTED_VALUE"""),"PONTIANAK KOTA")</f>
        <v>PONTIANAK KOTA</v>
      </c>
      <c r="P2773" s="35" t="str">
        <f>IFERROR(__xludf.DUMMYFUNCTION("""COMPUTED_VALUE"""),"PONTIANAK")</f>
        <v>PONTIANAK</v>
      </c>
      <c r="Q2773" s="35" t="str">
        <f>IFERROR(__xludf.DUMMYFUNCTION("""COMPUTED_VALUE"""),"KALIMANTAN BARAT")</f>
        <v>KALIMANTAN BARAT</v>
      </c>
      <c r="R2773" s="21" t="str">
        <f>IFERROR(__xludf.DUMMYFUNCTION("""COMPUTED_VALUE"""),"ISLAM")</f>
        <v>ISLAM</v>
      </c>
      <c r="S2773" s="74" t="str">
        <f>IFERROR(__xludf.DUMMYFUNCTION("""COMPUTED_VALUE"""),"PELAJAR SMPIT AL MUMTAZ")</f>
        <v>PELAJAR SMPIT AL MUMTAZ</v>
      </c>
      <c r="T2773" s="35" t="str">
        <f>IFERROR(__xludf.DUMMYFUNCTION("""COMPUTED_VALUE"""),"KAKI TERKILIR")</f>
        <v>KAKI TERKILIR</v>
      </c>
      <c r="U2773" s="35" t="str">
        <f>IFERROR(__xludf.DUMMYFUNCTION("""COMPUTED_VALUE"""),"FUTSAL")</f>
        <v>FUTSAL</v>
      </c>
      <c r="V2773" s="37" t="str">
        <f>IFERROR(__xludf.DUMMYFUNCTION("""COMPUTED_VALUE"""),"08115634646")</f>
        <v>08115634646</v>
      </c>
      <c r="W2773" s="45"/>
    </row>
    <row r="2774">
      <c r="A2774" s="45"/>
      <c r="B2774" s="24" t="str">
        <f>IFERROR(__xludf.DUMMYFUNCTION("""COMPUTED_VALUE"""),"23/08/2025 15:15:47")</f>
        <v>23/08/2025 15:15:47</v>
      </c>
      <c r="C2774" s="35"/>
      <c r="D2774" s="10">
        <f>IFERROR(__xludf.DUMMYFUNCTION("""COMPUTED_VALUE"""),45892.0)</f>
        <v>45892</v>
      </c>
      <c r="E2774" s="35" t="str">
        <f>IFERROR(__xludf.DUMMYFUNCTION("""COMPUTED_VALUE"""),"08Agu")</f>
        <v>08Agu</v>
      </c>
      <c r="F2774" s="34" t="str">
        <f>IFERROR(__xludf.DUMMYFUNCTION("""COMPUTED_VALUE"""),"2025")</f>
        <v>2025</v>
      </c>
      <c r="G2774" s="35" t="str">
        <f>IFERROR(__xludf.DUMMYFUNCTION("""COMPUTED_VALUE"""),"FRITA OLIVIA")</f>
        <v>FRITA OLIVIA</v>
      </c>
      <c r="H2774" s="35" t="str">
        <f>IFERROR(__xludf.DUMMYFUNCTION("""COMPUTED_VALUE"""),"F9225081879")</f>
        <v>F9225081879</v>
      </c>
      <c r="I2774" s="35">
        <f>IFERROR(__xludf.DUMMYFUNCTION("""COMPUTED_VALUE"""),33.0)</f>
        <v>33</v>
      </c>
      <c r="J2774" s="35" t="str">
        <f>IFERROR(__xludf.DUMMYFUNCTION("""COMPUTED_VALUE"""),"25-34 tahun")</f>
        <v>25-34 tahun</v>
      </c>
      <c r="K2774" s="21" t="str">
        <f>IFERROR(__xludf.DUMMYFUNCTION("""COMPUTED_VALUE"""),"17/09/1992")</f>
        <v>17/09/1992</v>
      </c>
      <c r="L2774" s="21" t="str">
        <f>IFERROR(__xludf.DUMMYFUNCTION("""COMPUTED_VALUE"""),"PEREMPUAN")</f>
        <v>PEREMPUAN</v>
      </c>
      <c r="M2774" s="35" t="str">
        <f>IFERROR(__xludf.DUMMYFUNCTION("""COMPUTED_VALUE"""),"JL RE MARTADINATA NO 08")</f>
        <v>JL RE MARTADINATA NO 08</v>
      </c>
      <c r="N2774" s="35" t="str">
        <f>IFERROR(__xludf.DUMMYFUNCTION("""COMPUTED_VALUE"""),"TANJUNG KAPUAS")</f>
        <v>TANJUNG KAPUAS</v>
      </c>
      <c r="O2774" s="35" t="str">
        <f>IFERROR(__xludf.DUMMYFUNCTION("""COMPUTED_VALUE"""),"KAPUAS")</f>
        <v>KAPUAS</v>
      </c>
      <c r="P2774" s="35" t="str">
        <f>IFERROR(__xludf.DUMMYFUNCTION("""COMPUTED_VALUE"""),"SANGGAU")</f>
        <v>SANGGAU</v>
      </c>
      <c r="Q2774" s="35" t="str">
        <f>IFERROR(__xludf.DUMMYFUNCTION("""COMPUTED_VALUE"""),"KALIMANTAN BARAT")</f>
        <v>KALIMANTAN BARAT</v>
      </c>
      <c r="R2774" s="21" t="str">
        <f>IFERROR(__xludf.DUMMYFUNCTION("""COMPUTED_VALUE"""),"ISLAM")</f>
        <v>ISLAM</v>
      </c>
      <c r="S2774" s="74" t="str">
        <f>IFERROR(__xludf.DUMMYFUNCTION("""COMPUTED_VALUE"""),"PRAMUGARI BUMN")</f>
        <v>PRAMUGARI BUMN</v>
      </c>
      <c r="T2774" s="35" t="str">
        <f>IFERROR(__xludf.DUMMYFUNCTION("""COMPUTED_VALUE"""),"NYERI CEDERA ACL")</f>
        <v>NYERI CEDERA ACL</v>
      </c>
      <c r="U2774" s="35" t="str">
        <f>IFERROR(__xludf.DUMMYFUNCTION("""COMPUTED_VALUE"""),"B")</f>
        <v>B</v>
      </c>
      <c r="V2774" s="37" t="str">
        <f>IFERROR(__xludf.DUMMYFUNCTION("""COMPUTED_VALUE"""),"082114691879")</f>
        <v>082114691879</v>
      </c>
      <c r="W2774" s="45"/>
    </row>
    <row r="2775">
      <c r="A2775" s="45"/>
      <c r="B2775" s="24" t="str">
        <f>IFERROR(__xludf.DUMMYFUNCTION("""COMPUTED_VALUE"""),"23/08/2025 15:39:13")</f>
        <v>23/08/2025 15:39:13</v>
      </c>
      <c r="C2775" s="35"/>
      <c r="D2775" s="10">
        <f>IFERROR(__xludf.DUMMYFUNCTION("""COMPUTED_VALUE"""),45892.0)</f>
        <v>45892</v>
      </c>
      <c r="E2775" s="35" t="str">
        <f>IFERROR(__xludf.DUMMYFUNCTION("""COMPUTED_VALUE"""),"08Agu")</f>
        <v>08Agu</v>
      </c>
      <c r="F2775" s="34" t="str">
        <f>IFERROR(__xludf.DUMMYFUNCTION("""COMPUTED_VALUE"""),"2025")</f>
        <v>2025</v>
      </c>
      <c r="G2775" s="35" t="str">
        <f>IFERROR(__xludf.DUMMYFUNCTION("""COMPUTED_VALUE"""),"SAKITO SUSANTO")</f>
        <v>SAKITO SUSANTO</v>
      </c>
      <c r="H2775" s="35" t="str">
        <f>IFERROR(__xludf.DUMMYFUNCTION("""COMPUTED_VALUE"""),"S7025082435")</f>
        <v>S7025082435</v>
      </c>
      <c r="I2775" s="35">
        <f>IFERROR(__xludf.DUMMYFUNCTION("""COMPUTED_VALUE"""),55.0)</f>
        <v>55</v>
      </c>
      <c r="J2775" s="35" t="str">
        <f>IFERROR(__xludf.DUMMYFUNCTION("""COMPUTED_VALUE"""),"&gt; 44 tahun")</f>
        <v>&gt; 44 tahun</v>
      </c>
      <c r="K2775" s="21" t="str">
        <f>IFERROR(__xludf.DUMMYFUNCTION("""COMPUTED_VALUE"""),"04/10/1970")</f>
        <v>04/10/1970</v>
      </c>
      <c r="L2775" s="21" t="str">
        <f>IFERROR(__xludf.DUMMYFUNCTION("""COMPUTED_VALUE"""),"LAKI-LAKI")</f>
        <v>LAKI-LAKI</v>
      </c>
      <c r="M2775" s="35" t="str">
        <f>IFERROR(__xludf.DUMMYFUNCTION("""COMPUTED_VALUE"""),"JL GAJAH MADA 15 NO 9")</f>
        <v>JL GAJAH MADA 15 NO 9</v>
      </c>
      <c r="N2775" s="35" t="str">
        <f>IFERROR(__xludf.DUMMYFUNCTION("""COMPUTED_VALUE"""),"BENUA MELAYU DARAT")</f>
        <v>BENUA MELAYU DARAT</v>
      </c>
      <c r="O2775" s="35" t="str">
        <f>IFERROR(__xludf.DUMMYFUNCTION("""COMPUTED_VALUE"""),"PONTIANAK SELATAN")</f>
        <v>PONTIANAK SELATAN</v>
      </c>
      <c r="P2775" s="35" t="str">
        <f>IFERROR(__xludf.DUMMYFUNCTION("""COMPUTED_VALUE"""),"KOTA PONTIANAK")</f>
        <v>KOTA PONTIANAK</v>
      </c>
      <c r="Q2775" s="35" t="str">
        <f>IFERROR(__xludf.DUMMYFUNCTION("""COMPUTED_VALUE"""),"KALIMANTAN BARAT")</f>
        <v>KALIMANTAN BARAT</v>
      </c>
      <c r="R2775" s="21" t="str">
        <f>IFERROR(__xludf.DUMMYFUNCTION("""COMPUTED_VALUE"""),"KHONGHUCU")</f>
        <v>KHONGHUCU</v>
      </c>
      <c r="S2775" s="74" t="str">
        <f>IFERROR(__xludf.DUMMYFUNCTION("""COMPUTED_VALUE"""),"WIRASWASTA")</f>
        <v>WIRASWASTA</v>
      </c>
      <c r="T2775" s="35" t="str">
        <f>IFERROR(__xludf.DUMMYFUNCTION("""COMPUTED_VALUE"""),"ENGKEL KAKI DAN PINGGANG SERING SAKIT")</f>
        <v>ENGKEL KAKI DAN PINGGANG SERING SAKIT</v>
      </c>
      <c r="U2775" s="35" t="str">
        <f>IFERROR(__xludf.DUMMYFUNCTION("""COMPUTED_VALUE"""),"BELAKANGAN SY MULAI MENYUKAI GYM.TP SEBELUM GYM SDH SAKIT")</f>
        <v>BELAKANGAN SY MULAI MENYUKAI GYM.TP SEBELUM GYM SDH SAKIT</v>
      </c>
      <c r="V2775" s="37" t="str">
        <f>IFERROR(__xludf.DUMMYFUNCTION("""COMPUTED_VALUE"""),"087781032435")</f>
        <v>087781032435</v>
      </c>
      <c r="W2775" s="45"/>
    </row>
    <row r="2776">
      <c r="A2776" s="45"/>
      <c r="B2776" s="24" t="str">
        <f>IFERROR(__xludf.DUMMYFUNCTION("""COMPUTED_VALUE"""),"23/08/2025 16:55:09")</f>
        <v>23/08/2025 16:55:09</v>
      </c>
      <c r="C2776" s="35"/>
      <c r="D2776" s="10">
        <f>IFERROR(__xludf.DUMMYFUNCTION("""COMPUTED_VALUE"""),45892.0)</f>
        <v>45892</v>
      </c>
      <c r="E2776" s="35" t="str">
        <f>IFERROR(__xludf.DUMMYFUNCTION("""COMPUTED_VALUE"""),"08Agu")</f>
        <v>08Agu</v>
      </c>
      <c r="F2776" s="34" t="str">
        <f>IFERROR(__xludf.DUMMYFUNCTION("""COMPUTED_VALUE"""),"2025")</f>
        <v>2025</v>
      </c>
      <c r="G2776" s="35" t="str">
        <f>IFERROR(__xludf.DUMMYFUNCTION("""COMPUTED_VALUE"""),"YAYAN BINTORO")</f>
        <v>YAYAN BINTORO</v>
      </c>
      <c r="H2776" s="35" t="str">
        <f>IFERROR(__xludf.DUMMYFUNCTION("""COMPUTED_VALUE"""),"Y8925089797")</f>
        <v>Y8925089797</v>
      </c>
      <c r="I2776" s="35">
        <f>IFERROR(__xludf.DUMMYFUNCTION("""COMPUTED_VALUE"""),36.0)</f>
        <v>36</v>
      </c>
      <c r="J2776" s="35" t="str">
        <f>IFERROR(__xludf.DUMMYFUNCTION("""COMPUTED_VALUE"""),"35-44 tahun")</f>
        <v>35-44 tahun</v>
      </c>
      <c r="K2776" s="21" t="str">
        <f>IFERROR(__xludf.DUMMYFUNCTION("""COMPUTED_VALUE"""),"02/09/1989")</f>
        <v>02/09/1989</v>
      </c>
      <c r="L2776" s="21" t="str">
        <f>IFERROR(__xludf.DUMMYFUNCTION("""COMPUTED_VALUE"""),"LAKI-LAKI")</f>
        <v>LAKI-LAKI</v>
      </c>
      <c r="M2776" s="35" t="str">
        <f>IFERROR(__xludf.DUMMYFUNCTION("""COMPUTED_VALUE"""),"JLN DR SETIABUDI NO 58")</f>
        <v>JLN DR SETIABUDI NO 58</v>
      </c>
      <c r="N2776" s="35" t="str">
        <f>IFERROR(__xludf.DUMMYFUNCTION("""COMPUTED_VALUE"""),"BENUA MELAYU DARAT")</f>
        <v>BENUA MELAYU DARAT</v>
      </c>
      <c r="O2776" s="35" t="str">
        <f>IFERROR(__xludf.DUMMYFUNCTION("""COMPUTED_VALUE"""),"PONTIANAK KOTA")</f>
        <v>PONTIANAK KOTA</v>
      </c>
      <c r="P2776" s="35" t="str">
        <f>IFERROR(__xludf.DUMMYFUNCTION("""COMPUTED_VALUE"""),"KOTA PONTIANAK")</f>
        <v>KOTA PONTIANAK</v>
      </c>
      <c r="Q2776" s="35" t="str">
        <f>IFERROR(__xludf.DUMMYFUNCTION("""COMPUTED_VALUE"""),"KAL BAR")</f>
        <v>KAL BAR</v>
      </c>
      <c r="R2776" s="21" t="str">
        <f>IFERROR(__xludf.DUMMYFUNCTION("""COMPUTED_VALUE"""),"PROTESTAN")</f>
        <v>PROTESTAN</v>
      </c>
      <c r="S2776" s="74" t="str">
        <f>IFERROR(__xludf.DUMMYFUNCTION("""COMPUTED_VALUE"""),"WIRASWASTA")</f>
        <v>WIRASWASTA</v>
      </c>
      <c r="T2776" s="35" t="str">
        <f>IFERROR(__xludf.DUMMYFUNCTION("""COMPUTED_VALUE"""),"PUNDAK KANAN DAN KEDUTAN DI BAGIAN DADA KIRI")</f>
        <v>PUNDAK KANAN DAN KEDUTAN DI BAGIAN DADA KIRI</v>
      </c>
      <c r="U2776" s="35" t="str">
        <f>IFERROR(__xludf.DUMMYFUNCTION("""COMPUTED_VALUE"""),"LARI, TENNIS")</f>
        <v>LARI, TENNIS</v>
      </c>
      <c r="V2776" s="37" t="str">
        <f>IFERROR(__xludf.DUMMYFUNCTION("""COMPUTED_VALUE"""),"085387839797")</f>
        <v>085387839797</v>
      </c>
      <c r="W2776" s="45"/>
    </row>
    <row r="2777">
      <c r="A2777" s="45"/>
      <c r="B2777" s="24" t="str">
        <f>IFERROR(__xludf.DUMMYFUNCTION("""COMPUTED_VALUE"""),"23/08/2025 17:19:26")</f>
        <v>23/08/2025 17:19:26</v>
      </c>
      <c r="C2777" s="35"/>
      <c r="D2777" s="10">
        <f>IFERROR(__xludf.DUMMYFUNCTION("""COMPUTED_VALUE"""),45892.0)</f>
        <v>45892</v>
      </c>
      <c r="E2777" s="35" t="str">
        <f>IFERROR(__xludf.DUMMYFUNCTION("""COMPUTED_VALUE"""),"08Agu")</f>
        <v>08Agu</v>
      </c>
      <c r="F2777" s="34" t="str">
        <f>IFERROR(__xludf.DUMMYFUNCTION("""COMPUTED_VALUE"""),"2025")</f>
        <v>2025</v>
      </c>
      <c r="G2777" s="35" t="str">
        <f>IFERROR(__xludf.DUMMYFUNCTION("""COMPUTED_VALUE"""),"HERMANSYAH")</f>
        <v>HERMANSYAH</v>
      </c>
      <c r="H2777" s="35" t="str">
        <f>IFERROR(__xludf.DUMMYFUNCTION("""COMPUTED_VALUE"""),"H6825088740")</f>
        <v>H6825088740</v>
      </c>
      <c r="I2777" s="35">
        <f>IFERROR(__xludf.DUMMYFUNCTION("""COMPUTED_VALUE"""),57.0)</f>
        <v>57</v>
      </c>
      <c r="J2777" s="35" t="str">
        <f>IFERROR(__xludf.DUMMYFUNCTION("""COMPUTED_VALUE"""),"&gt; 44 tahun")</f>
        <v>&gt; 44 tahun</v>
      </c>
      <c r="K2777" s="21" t="str">
        <f>IFERROR(__xludf.DUMMYFUNCTION("""COMPUTED_VALUE"""),"11/09/1968")</f>
        <v>11/09/1968</v>
      </c>
      <c r="L2777" s="21" t="str">
        <f>IFERROR(__xludf.DUMMYFUNCTION("""COMPUTED_VALUE"""),"LAKI-LAKI")</f>
        <v>LAKI-LAKI</v>
      </c>
      <c r="M2777" s="35" t="str">
        <f>IFERROR(__xludf.DUMMYFUNCTION("""COMPUTED_VALUE"""),"JL.KESEHATAN GANG BONTU INDAH NO.03")</f>
        <v>JL.KESEHATAN GANG BONTU INDAH NO.03</v>
      </c>
      <c r="N2777" s="35" t="str">
        <f>IFERROR(__xludf.DUMMYFUNCTION("""COMPUTED_VALUE"""),"-")</f>
        <v>-</v>
      </c>
      <c r="O2777" s="35" t="str">
        <f>IFERROR(__xludf.DUMMYFUNCTION("""COMPUTED_VALUE"""),"-")</f>
        <v>-</v>
      </c>
      <c r="P2777" s="35" t="str">
        <f>IFERROR(__xludf.DUMMYFUNCTION("""COMPUTED_VALUE"""),"PONTIANAK")</f>
        <v>PONTIANAK</v>
      </c>
      <c r="Q2777" s="35" t="str">
        <f>IFERROR(__xludf.DUMMYFUNCTION("""COMPUTED_VALUE"""),"KALIMANTAN BARAT")</f>
        <v>KALIMANTAN BARAT</v>
      </c>
      <c r="R2777" s="21" t="str">
        <f>IFERROR(__xludf.DUMMYFUNCTION("""COMPUTED_VALUE"""),"ISLAM")</f>
        <v>ISLAM</v>
      </c>
      <c r="S2777" s="74" t="str">
        <f>IFERROR(__xludf.DUMMYFUNCTION("""COMPUTED_VALUE"""),"SWASTA")</f>
        <v>SWASTA</v>
      </c>
      <c r="T2777" s="35" t="str">
        <f>IFERROR(__xludf.DUMMYFUNCTION("""COMPUTED_VALUE"""),"PINGGANG")</f>
        <v>PINGGANG</v>
      </c>
      <c r="U2777" s="35" t="str">
        <f>IFERROR(__xludf.DUMMYFUNCTION("""COMPUTED_VALUE"""),"-")</f>
        <v>-</v>
      </c>
      <c r="V2777" s="37" t="str">
        <f>IFERROR(__xludf.DUMMYFUNCTION("""COMPUTED_VALUE"""),"081345268740")</f>
        <v>081345268740</v>
      </c>
      <c r="W2777" s="45"/>
    </row>
    <row r="2778">
      <c r="A2778" s="45"/>
      <c r="B2778" s="24" t="str">
        <f>IFERROR(__xludf.DUMMYFUNCTION("""COMPUTED_VALUE"""),"23/08/2025 10:40:50")</f>
        <v>23/08/2025 10:40:50</v>
      </c>
      <c r="C2778" s="35"/>
      <c r="D2778" s="10">
        <f>IFERROR(__xludf.DUMMYFUNCTION("""COMPUTED_VALUE"""),45892.0)</f>
        <v>45892</v>
      </c>
      <c r="E2778" s="35" t="str">
        <f>IFERROR(__xludf.DUMMYFUNCTION("""COMPUTED_VALUE"""),"08Agu")</f>
        <v>08Agu</v>
      </c>
      <c r="F2778" s="34" t="str">
        <f>IFERROR(__xludf.DUMMYFUNCTION("""COMPUTED_VALUE"""),"2025")</f>
        <v>2025</v>
      </c>
      <c r="G2778" s="35" t="str">
        <f>IFERROR(__xludf.DUMMYFUNCTION("""COMPUTED_VALUE"""),"YUDI RIZALDI")</f>
        <v>YUDI RIZALDI</v>
      </c>
      <c r="H2778" s="35" t="str">
        <f>IFERROR(__xludf.DUMMYFUNCTION("""COMPUTED_VALUE"""),"Y9425081430")</f>
        <v>Y9425081430</v>
      </c>
      <c r="I2778" s="35">
        <f>IFERROR(__xludf.DUMMYFUNCTION("""COMPUTED_VALUE"""),31.0)</f>
        <v>31</v>
      </c>
      <c r="J2778" s="35" t="str">
        <f>IFERROR(__xludf.DUMMYFUNCTION("""COMPUTED_VALUE"""),"25-34 tahun")</f>
        <v>25-34 tahun</v>
      </c>
      <c r="K2778" s="21" t="str">
        <f>IFERROR(__xludf.DUMMYFUNCTION("""COMPUTED_VALUE"""),"22/12/1994")</f>
        <v>22/12/1994</v>
      </c>
      <c r="L2778" s="21" t="str">
        <f>IFERROR(__xludf.DUMMYFUNCTION("""COMPUTED_VALUE"""),"LAKI-LAKI")</f>
        <v>LAKI-LAKI</v>
      </c>
      <c r="M2778" s="35" t="str">
        <f>IFERROR(__xludf.DUMMYFUNCTION("""COMPUTED_VALUE"""),"JALAN PADAT KARYA KOMP STAR BORNEO 7 BLOK W11")</f>
        <v>JALAN PADAT KARYA KOMP STAR BORNEO 7 BLOK W11</v>
      </c>
      <c r="N2778" s="35" t="str">
        <f>IFERROR(__xludf.DUMMYFUNCTION("""COMPUTED_VALUE"""),"SAIGON")</f>
        <v>SAIGON</v>
      </c>
      <c r="O2778" s="35" t="str">
        <f>IFERROR(__xludf.DUMMYFUNCTION("""COMPUTED_VALUE"""),"PONTIANAK TIMUR")</f>
        <v>PONTIANAK TIMUR</v>
      </c>
      <c r="P2778" s="35" t="str">
        <f>IFERROR(__xludf.DUMMYFUNCTION("""COMPUTED_VALUE"""),"KOTA PONTIANAK")</f>
        <v>KOTA PONTIANAK</v>
      </c>
      <c r="Q2778" s="35" t="str">
        <f>IFERROR(__xludf.DUMMYFUNCTION("""COMPUTED_VALUE"""),"KALIMANTAN BARAT")</f>
        <v>KALIMANTAN BARAT</v>
      </c>
      <c r="R2778" s="21" t="str">
        <f>IFERROR(__xludf.DUMMYFUNCTION("""COMPUTED_VALUE"""),"ISLAM")</f>
        <v>ISLAM</v>
      </c>
      <c r="S2778" s="74" t="str">
        <f>IFERROR(__xludf.DUMMYFUNCTION("""COMPUTED_VALUE"""),"SWASTA")</f>
        <v>SWASTA</v>
      </c>
      <c r="T2778" s="35" t="str">
        <f>IFERROR(__xludf.DUMMYFUNCTION("""COMPUTED_VALUE"""),"NYERI D LUTUT")</f>
        <v>NYERI D LUTUT</v>
      </c>
      <c r="U2778" s="35" t="str">
        <f>IFERROR(__xludf.DUMMYFUNCTION("""COMPUTED_VALUE"""),"FUTSAL")</f>
        <v>FUTSAL</v>
      </c>
      <c r="V2778" s="37" t="str">
        <f>IFERROR(__xludf.DUMMYFUNCTION("""COMPUTED_VALUE"""),"082150221430")</f>
        <v>082150221430</v>
      </c>
      <c r="W2778" s="45"/>
    </row>
    <row r="2779">
      <c r="A2779" s="45"/>
      <c r="B2779" s="24" t="str">
        <f>IFERROR(__xludf.DUMMYFUNCTION("""COMPUTED_VALUE"""),"23/08/2025 18:20:23")</f>
        <v>23/08/2025 18:20:23</v>
      </c>
      <c r="C2779" s="35"/>
      <c r="D2779" s="10">
        <f>IFERROR(__xludf.DUMMYFUNCTION("""COMPUTED_VALUE"""),45892.0)</f>
        <v>45892</v>
      </c>
      <c r="E2779" s="35" t="str">
        <f>IFERROR(__xludf.DUMMYFUNCTION("""COMPUTED_VALUE"""),"08Agu")</f>
        <v>08Agu</v>
      </c>
      <c r="F2779" s="34" t="str">
        <f>IFERROR(__xludf.DUMMYFUNCTION("""COMPUTED_VALUE"""),"2025")</f>
        <v>2025</v>
      </c>
      <c r="G2779" s="35" t="str">
        <f>IFERROR(__xludf.DUMMYFUNCTION("""COMPUTED_VALUE"""),"M KRISNA MULYANA")</f>
        <v>M KRISNA MULYANA</v>
      </c>
      <c r="H2779" s="35" t="str">
        <f>IFERROR(__xludf.DUMMYFUNCTION("""COMPUTED_VALUE"""),"M0525088577")</f>
        <v>M0525088577</v>
      </c>
      <c r="I2779" s="35">
        <f>IFERROR(__xludf.DUMMYFUNCTION("""COMPUTED_VALUE"""),21.0)</f>
        <v>21</v>
      </c>
      <c r="J2779" s="35" t="str">
        <f>IFERROR(__xludf.DUMMYFUNCTION("""COMPUTED_VALUE"""),"18-24 tahun")</f>
        <v>18-24 tahun</v>
      </c>
      <c r="K2779" s="21" t="str">
        <f>IFERROR(__xludf.DUMMYFUNCTION("""COMPUTED_VALUE"""),"09/02/2005")</f>
        <v>09/02/2005</v>
      </c>
      <c r="L2779" s="21" t="str">
        <f>IFERROR(__xludf.DUMMYFUNCTION("""COMPUTED_VALUE"""),"LAKI-LAKI")</f>
        <v>LAKI-LAKI</v>
      </c>
      <c r="M2779" s="35" t="str">
        <f>IFERROR(__xludf.DUMMYFUNCTION("""COMPUTED_VALUE"""),"KP BABAKAN KEL CILUAR, KE BOGORVUTARA, KOTA BOGOR")</f>
        <v>KP BABAKAN KEL CILUAR, KE BOGORVUTARA, KOTA BOGOR</v>
      </c>
      <c r="N2779" s="35" t="str">
        <f>IFERROR(__xludf.DUMMYFUNCTION("""COMPUTED_VALUE"""),"CILUAR")</f>
        <v>CILUAR</v>
      </c>
      <c r="O2779" s="35" t="str">
        <f>IFERROR(__xludf.DUMMYFUNCTION("""COMPUTED_VALUE"""),"BOGOR UTARA")</f>
        <v>BOGOR UTARA</v>
      </c>
      <c r="P2779" s="35" t="str">
        <f>IFERROR(__xludf.DUMMYFUNCTION("""COMPUTED_VALUE"""),"BOGOR")</f>
        <v>BOGOR</v>
      </c>
      <c r="Q2779" s="35" t="str">
        <f>IFERROR(__xludf.DUMMYFUNCTION("""COMPUTED_VALUE"""),"JAWA BARAT")</f>
        <v>JAWA BARAT</v>
      </c>
      <c r="R2779" s="21" t="str">
        <f>IFERROR(__xludf.DUMMYFUNCTION("""COMPUTED_VALUE"""),"ISLAM")</f>
        <v>ISLAM</v>
      </c>
      <c r="S2779" s="74" t="str">
        <f>IFERROR(__xludf.DUMMYFUNCTION("""COMPUTED_VALUE"""),"MAHASISWA")</f>
        <v>MAHASISWA</v>
      </c>
      <c r="T2779" s="35" t="str">
        <f>IFERROR(__xludf.DUMMYFUNCTION("""COMPUTED_VALUE"""),"PAHA SEBELAH KIRI SAKIT JIKA DI ANGKAT")</f>
        <v>PAHA SEBELAH KIRI SAKIT JIKA DI ANGKAT</v>
      </c>
      <c r="U2779" s="35" t="str">
        <f>IFERROR(__xludf.DUMMYFUNCTION("""COMPUTED_VALUE"""),"KULIAH, LARI, BASKET")</f>
        <v>KULIAH, LARI, BASKET</v>
      </c>
      <c r="V2779" s="37" t="str">
        <f>IFERROR(__xludf.DUMMYFUNCTION("""COMPUTED_VALUE"""),"087839708577")</f>
        <v>087839708577</v>
      </c>
      <c r="W2779" s="45"/>
    </row>
    <row r="2780">
      <c r="A2780" s="45"/>
      <c r="B2780" s="24" t="str">
        <f>IFERROR(__xludf.DUMMYFUNCTION("""COMPUTED_VALUE"""),"24/08/2025 9:54:54")</f>
        <v>24/08/2025 9:54:54</v>
      </c>
      <c r="C2780" s="35"/>
      <c r="D2780" s="10">
        <f>IFERROR(__xludf.DUMMYFUNCTION("""COMPUTED_VALUE"""),45893.0)</f>
        <v>45893</v>
      </c>
      <c r="E2780" s="35" t="str">
        <f>IFERROR(__xludf.DUMMYFUNCTION("""COMPUTED_VALUE"""),"08Agu")</f>
        <v>08Agu</v>
      </c>
      <c r="F2780" s="34" t="str">
        <f>IFERROR(__xludf.DUMMYFUNCTION("""COMPUTED_VALUE"""),"2025")</f>
        <v>2025</v>
      </c>
      <c r="G2780" s="35" t="str">
        <f>IFERROR(__xludf.DUMMYFUNCTION("""COMPUTED_VALUE"""),"DEDDY SUKMA")</f>
        <v>DEDDY SUKMA</v>
      </c>
      <c r="H2780" s="35" t="str">
        <f>IFERROR(__xludf.DUMMYFUNCTION("""COMPUTED_VALUE"""),"D9425080116")</f>
        <v>D9425080116</v>
      </c>
      <c r="I2780" s="35">
        <f>IFERROR(__xludf.DUMMYFUNCTION("""COMPUTED_VALUE"""),31.0)</f>
        <v>31</v>
      </c>
      <c r="J2780" s="35" t="str">
        <f>IFERROR(__xludf.DUMMYFUNCTION("""COMPUTED_VALUE"""),"25-34 tahun")</f>
        <v>25-34 tahun</v>
      </c>
      <c r="K2780" s="21" t="str">
        <f>IFERROR(__xludf.DUMMYFUNCTION("""COMPUTED_VALUE"""),"07/11/1994")</f>
        <v>07/11/1994</v>
      </c>
      <c r="L2780" s="21" t="str">
        <f>IFERROR(__xludf.DUMMYFUNCTION("""COMPUTED_VALUE"""),"LAKI-LAKI")</f>
        <v>LAKI-LAKI</v>
      </c>
      <c r="M2780" s="35" t="str">
        <f>IFERROR(__xludf.DUMMYFUNCTION("""COMPUTED_VALUE"""),"JLN. TANJUNG PULAU")</f>
        <v>JLN. TANJUNG PULAU</v>
      </c>
      <c r="N2780" s="35" t="str">
        <f>IFERROR(__xludf.DUMMYFUNCTION("""COMPUTED_VALUE"""),"DALAM BUGIS")</f>
        <v>DALAM BUGIS</v>
      </c>
      <c r="O2780" s="35" t="str">
        <f>IFERROR(__xludf.DUMMYFUNCTION("""COMPUTED_VALUE"""),"PONTIANAK TIMUR")</f>
        <v>PONTIANAK TIMUR</v>
      </c>
      <c r="P2780" s="35" t="str">
        <f>IFERROR(__xludf.DUMMYFUNCTION("""COMPUTED_VALUE"""),"PONTIANAK")</f>
        <v>PONTIANAK</v>
      </c>
      <c r="Q2780" s="35" t="str">
        <f>IFERROR(__xludf.DUMMYFUNCTION("""COMPUTED_VALUE"""),"KALIMANTAN BARAT")</f>
        <v>KALIMANTAN BARAT</v>
      </c>
      <c r="R2780" s="21" t="str">
        <f>IFERROR(__xludf.DUMMYFUNCTION("""COMPUTED_VALUE"""),"ISLAM")</f>
        <v>ISLAM</v>
      </c>
      <c r="S2780" s="74" t="str">
        <f>IFERROR(__xludf.DUMMYFUNCTION("""COMPUTED_VALUE"""),"SWASTA")</f>
        <v>SWASTA</v>
      </c>
      <c r="T2780" s="35" t="str">
        <f>IFERROR(__xludf.DUMMYFUNCTION("""COMPUTED_VALUE"""),"TUMIT SAKIT")</f>
        <v>TUMIT SAKIT</v>
      </c>
      <c r="U2780" s="35" t="str">
        <f>IFERROR(__xludf.DUMMYFUNCTION("""COMPUTED_VALUE"""),"FUTSAL")</f>
        <v>FUTSAL</v>
      </c>
      <c r="V2780" s="37" t="str">
        <f>IFERROR(__xludf.DUMMYFUNCTION("""COMPUTED_VALUE"""),"087817640116")</f>
        <v>087817640116</v>
      </c>
      <c r="W2780" s="45"/>
    </row>
    <row r="2781">
      <c r="A2781" s="45"/>
      <c r="B2781" s="24" t="str">
        <f>IFERROR(__xludf.DUMMYFUNCTION("""COMPUTED_VALUE"""),"24/08/2025 11:21:10")</f>
        <v>24/08/2025 11:21:10</v>
      </c>
      <c r="C2781" s="35"/>
      <c r="D2781" s="10">
        <f>IFERROR(__xludf.DUMMYFUNCTION("""COMPUTED_VALUE"""),45893.0)</f>
        <v>45893</v>
      </c>
      <c r="E2781" s="35" t="str">
        <f>IFERROR(__xludf.DUMMYFUNCTION("""COMPUTED_VALUE"""),"08Agu")</f>
        <v>08Agu</v>
      </c>
      <c r="F2781" s="34" t="str">
        <f>IFERROR(__xludf.DUMMYFUNCTION("""COMPUTED_VALUE"""),"2025")</f>
        <v>2025</v>
      </c>
      <c r="G2781" s="35" t="str">
        <f>IFERROR(__xludf.DUMMYFUNCTION("""COMPUTED_VALUE"""),"ABDURAHIM")</f>
        <v>ABDURAHIM</v>
      </c>
      <c r="H2781" s="35" t="str">
        <f>IFERROR(__xludf.DUMMYFUNCTION("""COMPUTED_VALUE"""),"A6825080")</f>
        <v>A6825080</v>
      </c>
      <c r="I2781" s="35">
        <f>IFERROR(__xludf.DUMMYFUNCTION("""COMPUTED_VALUE"""),57.0)</f>
        <v>57</v>
      </c>
      <c r="J2781" s="35" t="str">
        <f>IFERROR(__xludf.DUMMYFUNCTION("""COMPUTED_VALUE"""),"&gt; 44 tahun")</f>
        <v>&gt; 44 tahun</v>
      </c>
      <c r="K2781" s="21" t="str">
        <f>IFERROR(__xludf.DUMMYFUNCTION("""COMPUTED_VALUE"""),"14/07/1968")</f>
        <v>14/07/1968</v>
      </c>
      <c r="L2781" s="21" t="str">
        <f>IFERROR(__xludf.DUMMYFUNCTION("""COMPUTED_VALUE"""),"LAKI-LAKI")</f>
        <v>LAKI-LAKI</v>
      </c>
      <c r="M2781" s="35" t="str">
        <f>IFERROR(__xludf.DUMMYFUNCTION("""COMPUTED_VALUE"""),"JL PURNAMA 1 KOMPLEK DINASTI INDAH BLOK C13")</f>
        <v>JL PURNAMA 1 KOMPLEK DINASTI INDAH BLOK C13</v>
      </c>
      <c r="N2781" s="35" t="str">
        <f>IFERROR(__xludf.DUMMYFUNCTION("""COMPUTED_VALUE"""),"PARIT TOKAYA")</f>
        <v>PARIT TOKAYA</v>
      </c>
      <c r="O2781" s="35" t="str">
        <f>IFERROR(__xludf.DUMMYFUNCTION("""COMPUTED_VALUE"""),"PONTIANAK SELATAN")</f>
        <v>PONTIANAK SELATAN</v>
      </c>
      <c r="P2781" s="35" t="str">
        <f>IFERROR(__xludf.DUMMYFUNCTION("""COMPUTED_VALUE"""),"PONTIANAK")</f>
        <v>PONTIANAK</v>
      </c>
      <c r="Q2781" s="35" t="str">
        <f>IFERROR(__xludf.DUMMYFUNCTION("""COMPUTED_VALUE"""),"KALIMANTAN BARAT")</f>
        <v>KALIMANTAN BARAT</v>
      </c>
      <c r="R2781" s="21" t="str">
        <f>IFERROR(__xludf.DUMMYFUNCTION("""COMPUTED_VALUE"""),"ISLAM")</f>
        <v>ISLAM</v>
      </c>
      <c r="S2781" s="74" t="str">
        <f>IFERROR(__xludf.DUMMYFUNCTION("""COMPUTED_VALUE"""),"PNS")</f>
        <v>PNS</v>
      </c>
      <c r="T2781" s="35" t="str">
        <f>IFERROR(__xludf.DUMMYFUNCTION("""COMPUTED_VALUE"""),"TANGAN")</f>
        <v>TANGAN</v>
      </c>
      <c r="U2781" s="35" t="str">
        <f>IFERROR(__xludf.DUMMYFUNCTION("""COMPUTED_VALUE"""),"-")</f>
        <v>-</v>
      </c>
      <c r="V2781" s="37" t="str">
        <f>IFERROR(__xludf.DUMMYFUNCTION("""COMPUTED_VALUE"""),"0")</f>
        <v>0</v>
      </c>
      <c r="W2781" s="45"/>
    </row>
    <row r="2782">
      <c r="A2782" s="45"/>
      <c r="B2782" s="24" t="str">
        <f>IFERROR(__xludf.DUMMYFUNCTION("""COMPUTED_VALUE"""),"24/08/2025 11:48:13")</f>
        <v>24/08/2025 11:48:13</v>
      </c>
      <c r="C2782" s="35"/>
      <c r="D2782" s="10">
        <f>IFERROR(__xludf.DUMMYFUNCTION("""COMPUTED_VALUE"""),45893.0)</f>
        <v>45893</v>
      </c>
      <c r="E2782" s="35" t="str">
        <f>IFERROR(__xludf.DUMMYFUNCTION("""COMPUTED_VALUE"""),"08Agu")</f>
        <v>08Agu</v>
      </c>
      <c r="F2782" s="34" t="str">
        <f>IFERROR(__xludf.DUMMYFUNCTION("""COMPUTED_VALUE"""),"2025")</f>
        <v>2025</v>
      </c>
      <c r="G2782" s="35" t="str">
        <f>IFERROR(__xludf.DUMMYFUNCTION("""COMPUTED_VALUE"""),"HASAN8504")</f>
        <v>HASAN8504</v>
      </c>
      <c r="H2782" s="35" t="str">
        <f>IFERROR(__xludf.DUMMYFUNCTION("""COMPUTED_VALUE"""),"H8525089599")</f>
        <v>H8525089599</v>
      </c>
      <c r="I2782" s="35">
        <f>IFERROR(__xludf.DUMMYFUNCTION("""COMPUTED_VALUE"""),41.0)</f>
        <v>41</v>
      </c>
      <c r="J2782" s="35" t="str">
        <f>IFERROR(__xludf.DUMMYFUNCTION("""COMPUTED_VALUE"""),"35-44 tahun")</f>
        <v>35-44 tahun</v>
      </c>
      <c r="K2782" s="21" t="str">
        <f>IFERROR(__xludf.DUMMYFUNCTION("""COMPUTED_VALUE"""),"24/04/1985")</f>
        <v>24/04/1985</v>
      </c>
      <c r="L2782" s="21" t="str">
        <f>IFERROR(__xludf.DUMMYFUNCTION("""COMPUTED_VALUE"""),"LAKI-LAKI")</f>
        <v>LAKI-LAKI</v>
      </c>
      <c r="M2782" s="35" t="str">
        <f>IFERROR(__xludf.DUMMYFUNCTION("""COMPUTED_VALUE"""),"JALAN KARYA")</f>
        <v>JALAN KARYA</v>
      </c>
      <c r="N2782" s="35" t="str">
        <f>IFERROR(__xludf.DUMMYFUNCTION("""COMPUTED_VALUE"""),"PAL SEMBILAN")</f>
        <v>PAL SEMBILAN</v>
      </c>
      <c r="O2782" s="35" t="str">
        <f>IFERROR(__xludf.DUMMYFUNCTION("""COMPUTED_VALUE"""),"SUNGAI KAKAP")</f>
        <v>SUNGAI KAKAP</v>
      </c>
      <c r="P2782" s="35" t="str">
        <f>IFERROR(__xludf.DUMMYFUNCTION("""COMPUTED_VALUE"""),"KUBU RAYA")</f>
        <v>KUBU RAYA</v>
      </c>
      <c r="Q2782" s="35" t="str">
        <f>IFERROR(__xludf.DUMMYFUNCTION("""COMPUTED_VALUE"""),"KALIMANTAN BARAT")</f>
        <v>KALIMANTAN BARAT</v>
      </c>
      <c r="R2782" s="21" t="str">
        <f>IFERROR(__xludf.DUMMYFUNCTION("""COMPUTED_VALUE"""),"KHONGHUCU")</f>
        <v>KHONGHUCU</v>
      </c>
      <c r="S2782" s="74" t="str">
        <f>IFERROR(__xludf.DUMMYFUNCTION("""COMPUTED_VALUE"""),"SWASTA")</f>
        <v>SWASTA</v>
      </c>
      <c r="T2782" s="35" t="str">
        <f>IFERROR(__xludf.DUMMYFUNCTION("""COMPUTED_VALUE"""),"TANGAN")</f>
        <v>TANGAN</v>
      </c>
      <c r="U2782" s="35" t="str">
        <f>IFERROR(__xludf.DUMMYFUNCTION("""COMPUTED_VALUE"""),"GYM")</f>
        <v>GYM</v>
      </c>
      <c r="V2782" s="37" t="str">
        <f>IFERROR(__xludf.DUMMYFUNCTION("""COMPUTED_VALUE"""),"081256479599")</f>
        <v>081256479599</v>
      </c>
      <c r="W2782" s="45"/>
    </row>
    <row r="2783">
      <c r="A2783" s="45"/>
      <c r="B2783" s="24" t="str">
        <f>IFERROR(__xludf.DUMMYFUNCTION("""COMPUTED_VALUE"""),"24/08/2025 14:42:53")</f>
        <v>24/08/2025 14:42:53</v>
      </c>
      <c r="C2783" s="35"/>
      <c r="D2783" s="10">
        <f>IFERROR(__xludf.DUMMYFUNCTION("""COMPUTED_VALUE"""),45893.0)</f>
        <v>45893</v>
      </c>
      <c r="E2783" s="35" t="str">
        <f>IFERROR(__xludf.DUMMYFUNCTION("""COMPUTED_VALUE"""),"08Agu")</f>
        <v>08Agu</v>
      </c>
      <c r="F2783" s="34" t="str">
        <f>IFERROR(__xludf.DUMMYFUNCTION("""COMPUTED_VALUE"""),"2025")</f>
        <v>2025</v>
      </c>
      <c r="G2783" s="35" t="str">
        <f>IFERROR(__xludf.DUMMYFUNCTION("""COMPUTED_VALUE"""),"IWAN SUPARDI")</f>
        <v>IWAN SUPARDI</v>
      </c>
      <c r="H2783" s="35" t="str">
        <f>IFERROR(__xludf.DUMMYFUNCTION("""COMPUTED_VALUE"""),"I6825089119")</f>
        <v>I6825089119</v>
      </c>
      <c r="I2783" s="35">
        <f>IFERROR(__xludf.DUMMYFUNCTION("""COMPUTED_VALUE"""),57.0)</f>
        <v>57</v>
      </c>
      <c r="J2783" s="35" t="str">
        <f>IFERROR(__xludf.DUMMYFUNCTION("""COMPUTED_VALUE"""),"&gt; 44 tahun")</f>
        <v>&gt; 44 tahun</v>
      </c>
      <c r="K2783" s="21" t="str">
        <f>IFERROR(__xludf.DUMMYFUNCTION("""COMPUTED_VALUE"""),"31/08/1968")</f>
        <v>31/08/1968</v>
      </c>
      <c r="L2783" s="21" t="str">
        <f>IFERROR(__xludf.DUMMYFUNCTION("""COMPUTED_VALUE"""),"LAKI-LAKI")</f>
        <v>LAKI-LAKI</v>
      </c>
      <c r="M2783" s="35" t="str">
        <f>IFERROR(__xludf.DUMMYFUNCTION("""COMPUTED_VALUE"""),"JL.PARIS 1 GG AL KADAR NO.16")</f>
        <v>JL.PARIS 1 GG AL KADAR NO.16</v>
      </c>
      <c r="N2783" s="35" t="str">
        <f>IFERROR(__xludf.DUMMYFUNCTION("""COMPUTED_VALUE"""),"BANGKA BELITUNG LAUT")</f>
        <v>BANGKA BELITUNG LAUT</v>
      </c>
      <c r="O2783" s="35" t="str">
        <f>IFERROR(__xludf.DUMMYFUNCTION("""COMPUTED_VALUE"""),"PONTIANAK TENGGARA")</f>
        <v>PONTIANAK TENGGARA</v>
      </c>
      <c r="P2783" s="35" t="str">
        <f>IFERROR(__xludf.DUMMYFUNCTION("""COMPUTED_VALUE"""),"KOTA PONTIANAK")</f>
        <v>KOTA PONTIANAK</v>
      </c>
      <c r="Q2783" s="35" t="str">
        <f>IFERROR(__xludf.DUMMYFUNCTION("""COMPUTED_VALUE"""),"KALIMANTAN BARAT")</f>
        <v>KALIMANTAN BARAT</v>
      </c>
      <c r="R2783" s="21" t="str">
        <f>IFERROR(__xludf.DUMMYFUNCTION("""COMPUTED_VALUE"""),"ISLAM")</f>
        <v>ISLAM</v>
      </c>
      <c r="S2783" s="74" t="str">
        <f>IFERROR(__xludf.DUMMYFUNCTION("""COMPUTED_VALUE"""),"SWASTA")</f>
        <v>SWASTA</v>
      </c>
      <c r="T2783" s="35" t="str">
        <f>IFERROR(__xludf.DUMMYFUNCTION("""COMPUTED_VALUE"""),"SYARAP KEJEPIT, DI BAGIAN RUSUK BELAKANG DAN DEPAN RASA DITUSUK2")</f>
        <v>SYARAP KEJEPIT, DI BAGIAN RUSUK BELAKANG DAN DEPAN RASA DITUSUK2</v>
      </c>
      <c r="U2783" s="35" t="str">
        <f>IFERROR(__xludf.DUMMYFUNCTION("""COMPUTED_VALUE"""),"SERING BERPERGIAN DAN NYETIR SENDIRI")</f>
        <v>SERING BERPERGIAN DAN NYETIR SENDIRI</v>
      </c>
      <c r="V2783" s="37" t="str">
        <f>IFERROR(__xludf.DUMMYFUNCTION("""COMPUTED_VALUE"""),"081345719119")</f>
        <v>081345719119</v>
      </c>
      <c r="W2783" s="45"/>
    </row>
    <row r="2784">
      <c r="A2784" s="45"/>
      <c r="B2784" s="24" t="str">
        <f>IFERROR(__xludf.DUMMYFUNCTION("""COMPUTED_VALUE"""),"24/08/2025 19:35:44")</f>
        <v>24/08/2025 19:35:44</v>
      </c>
      <c r="C2784" s="35"/>
      <c r="D2784" s="10">
        <f>IFERROR(__xludf.DUMMYFUNCTION("""COMPUTED_VALUE"""),45893.0)</f>
        <v>45893</v>
      </c>
      <c r="E2784" s="35" t="str">
        <f>IFERROR(__xludf.DUMMYFUNCTION("""COMPUTED_VALUE"""),"08Agu")</f>
        <v>08Agu</v>
      </c>
      <c r="F2784" s="34" t="str">
        <f>IFERROR(__xludf.DUMMYFUNCTION("""COMPUTED_VALUE"""),"2025")</f>
        <v>2025</v>
      </c>
      <c r="G2784" s="35" t="str">
        <f>IFERROR(__xludf.DUMMYFUNCTION("""COMPUTED_VALUE"""),"WIDI ASTUTI")</f>
        <v>WIDI ASTUTI</v>
      </c>
      <c r="H2784" s="35" t="str">
        <f>IFERROR(__xludf.DUMMYFUNCTION("""COMPUTED_VALUE"""),"W6425084700")</f>
        <v>W6425084700</v>
      </c>
      <c r="I2784" s="35">
        <f>IFERROR(__xludf.DUMMYFUNCTION("""COMPUTED_VALUE"""),62.0)</f>
        <v>62</v>
      </c>
      <c r="J2784" s="35" t="str">
        <f>IFERROR(__xludf.DUMMYFUNCTION("""COMPUTED_VALUE"""),"&gt; 44 tahun")</f>
        <v>&gt; 44 tahun</v>
      </c>
      <c r="K2784" s="21" t="str">
        <f>IFERROR(__xludf.DUMMYFUNCTION("""COMPUTED_VALUE"""),"26/04/1964")</f>
        <v>26/04/1964</v>
      </c>
      <c r="L2784" s="21" t="str">
        <f>IFERROR(__xludf.DUMMYFUNCTION("""COMPUTED_VALUE"""),"PEREMPUAN")</f>
        <v>PEREMPUAN</v>
      </c>
      <c r="M2784" s="35" t="str">
        <f>IFERROR(__xludf.DUMMYFUNCTION("""COMPUTED_VALUE"""),"JALAN MARTADINATA KOMPLEK PEMDA JALUR F. NO. 95")</f>
        <v>JALAN MARTADINATA KOMPLEK PEMDA JALUR F. NO. 95</v>
      </c>
      <c r="N2784" s="35" t="str">
        <f>IFERROR(__xludf.DUMMYFUNCTION("""COMPUTED_VALUE"""),"SUNGAI JAWI LUAR")</f>
        <v>SUNGAI JAWI LUAR</v>
      </c>
      <c r="O2784" s="35" t="str">
        <f>IFERROR(__xludf.DUMMYFUNCTION("""COMPUTED_VALUE"""),"PONTIANAK BARAT")</f>
        <v>PONTIANAK BARAT</v>
      </c>
      <c r="P2784" s="35" t="str">
        <f>IFERROR(__xludf.DUMMYFUNCTION("""COMPUTED_VALUE"""),"KOTA PONTIANAK")</f>
        <v>KOTA PONTIANAK</v>
      </c>
      <c r="Q2784" s="35" t="str">
        <f>IFERROR(__xludf.DUMMYFUNCTION("""COMPUTED_VALUE"""),"KALIMANTAN BARAT")</f>
        <v>KALIMANTAN BARAT</v>
      </c>
      <c r="R2784" s="21" t="str">
        <f>IFERROR(__xludf.DUMMYFUNCTION("""COMPUTED_VALUE"""),"ISLAM")</f>
        <v>ISLAM</v>
      </c>
      <c r="S2784" s="74" t="str">
        <f>IFERROR(__xludf.DUMMYFUNCTION("""COMPUTED_VALUE"""),"PENSIUNAN PNS")</f>
        <v>PENSIUNAN PNS</v>
      </c>
      <c r="T2784" s="35" t="str">
        <f>IFERROR(__xludf.DUMMYFUNCTION("""COMPUTED_VALUE"""),"NYERI DI PAHA ATAS BAGIAN LUAR SEBELAH KIRI KAK DAERAH PINGGUL GITU, KADANG MENJALAR SAMPAI KE BETIS, NYERI DI BELIKAT SEBELAH KANAN")</f>
        <v>NYERI DI PAHA ATAS BAGIAN LUAR SEBELAH KIRI KAK DAERAH PINGGUL GITU, KADANG MENJALAR SAMPAI KE BETIS, NYERI DI BELIKAT SEBELAH KANAN</v>
      </c>
      <c r="U2784" s="35" t="str">
        <f>IFERROR(__xludf.DUMMYFUNCTION("""COMPUTED_VALUE"""),"MENANAM BUNGA")</f>
        <v>MENANAM BUNGA</v>
      </c>
      <c r="V2784" s="37" t="str">
        <f>IFERROR(__xludf.DUMMYFUNCTION("""COMPUTED_VALUE"""),"08125674700")</f>
        <v>08125674700</v>
      </c>
      <c r="W2784" s="45"/>
    </row>
    <row r="2785">
      <c r="A2785" s="45"/>
      <c r="B2785" s="24" t="str">
        <f>IFERROR(__xludf.DUMMYFUNCTION("""COMPUTED_VALUE"""),"24/08/2025 19:57:16")</f>
        <v>24/08/2025 19:57:16</v>
      </c>
      <c r="C2785" s="35"/>
      <c r="D2785" s="10">
        <f>IFERROR(__xludf.DUMMYFUNCTION("""COMPUTED_VALUE"""),45893.0)</f>
        <v>45893</v>
      </c>
      <c r="E2785" s="35" t="str">
        <f>IFERROR(__xludf.DUMMYFUNCTION("""COMPUTED_VALUE"""),"08Agu")</f>
        <v>08Agu</v>
      </c>
      <c r="F2785" s="34" t="str">
        <f>IFERROR(__xludf.DUMMYFUNCTION("""COMPUTED_VALUE"""),"2025")</f>
        <v>2025</v>
      </c>
      <c r="G2785" s="35" t="str">
        <f>IFERROR(__xludf.DUMMYFUNCTION("""COMPUTED_VALUE"""),"IMAM MAULANA FATURRAHMAN")</f>
        <v>IMAM MAULANA FATURRAHMAN</v>
      </c>
      <c r="H2785" s="35" t="str">
        <f>IFERROR(__xludf.DUMMYFUNCTION("""COMPUTED_VALUE"""),"I9925080725")</f>
        <v>I9925080725</v>
      </c>
      <c r="I2785" s="35">
        <f>IFERROR(__xludf.DUMMYFUNCTION("""COMPUTED_VALUE"""),26.0)</f>
        <v>26</v>
      </c>
      <c r="J2785" s="35" t="str">
        <f>IFERROR(__xludf.DUMMYFUNCTION("""COMPUTED_VALUE"""),"25-34 tahun")</f>
        <v>25-34 tahun</v>
      </c>
      <c r="K2785" s="21" t="str">
        <f>IFERROR(__xludf.DUMMYFUNCTION("""COMPUTED_VALUE"""),"26/06/1999")</f>
        <v>26/06/1999</v>
      </c>
      <c r="L2785" s="21" t="str">
        <f>IFERROR(__xludf.DUMMYFUNCTION("""COMPUTED_VALUE"""),"LAKI-LAKI")</f>
        <v>LAKI-LAKI</v>
      </c>
      <c r="M2785" s="35" t="str">
        <f>IFERROR(__xludf.DUMMYFUNCTION("""COMPUTED_VALUE"""),"KOMP PANGERAN PERMAI")</f>
        <v>KOMP PANGERAN PERMAI</v>
      </c>
      <c r="N2785" s="35" t="str">
        <f>IFERROR(__xludf.DUMMYFUNCTION("""COMPUTED_VALUE"""),"SIANTAN HULU")</f>
        <v>SIANTAN HULU</v>
      </c>
      <c r="O2785" s="35" t="str">
        <f>IFERROR(__xludf.DUMMYFUNCTION("""COMPUTED_VALUE"""),"PONTIANAK UTARA")</f>
        <v>PONTIANAK UTARA</v>
      </c>
      <c r="P2785" s="35" t="str">
        <f>IFERROR(__xludf.DUMMYFUNCTION("""COMPUTED_VALUE"""),"PONTIANAK")</f>
        <v>PONTIANAK</v>
      </c>
      <c r="Q2785" s="35" t="str">
        <f>IFERROR(__xludf.DUMMYFUNCTION("""COMPUTED_VALUE"""),"KALIMANTAN BARAT")</f>
        <v>KALIMANTAN BARAT</v>
      </c>
      <c r="R2785" s="21" t="str">
        <f>IFERROR(__xludf.DUMMYFUNCTION("""COMPUTED_VALUE"""),"ISLAM")</f>
        <v>ISLAM</v>
      </c>
      <c r="S2785" s="74" t="str">
        <f>IFERROR(__xludf.DUMMYFUNCTION("""COMPUTED_VALUE"""),"WIRAUSAHA")</f>
        <v>WIRAUSAHA</v>
      </c>
      <c r="T2785" s="35" t="str">
        <f>IFERROR(__xludf.DUMMYFUNCTION("""COMPUTED_VALUE"""),"LUTUT")</f>
        <v>LUTUT</v>
      </c>
      <c r="U2785" s="35" t="str">
        <f>IFERROR(__xludf.DUMMYFUNCTION("""COMPUTED_VALUE"""),"OLAHRAGA")</f>
        <v>OLAHRAGA</v>
      </c>
      <c r="V2785" s="37" t="str">
        <f>IFERROR(__xludf.DUMMYFUNCTION("""COMPUTED_VALUE"""),"089503310725")</f>
        <v>089503310725</v>
      </c>
      <c r="W2785" s="45"/>
    </row>
    <row r="2786">
      <c r="A2786" s="45"/>
      <c r="B2786" s="24" t="str">
        <f>IFERROR(__xludf.DUMMYFUNCTION("""COMPUTED_VALUE"""),"25/08/2025 7:30:07")</f>
        <v>25/08/2025 7:30:07</v>
      </c>
      <c r="C2786" s="35"/>
      <c r="D2786" s="10">
        <f>IFERROR(__xludf.DUMMYFUNCTION("""COMPUTED_VALUE"""),45894.0)</f>
        <v>45894</v>
      </c>
      <c r="E2786" s="35" t="str">
        <f>IFERROR(__xludf.DUMMYFUNCTION("""COMPUTED_VALUE"""),"08Agu")</f>
        <v>08Agu</v>
      </c>
      <c r="F2786" s="34" t="str">
        <f>IFERROR(__xludf.DUMMYFUNCTION("""COMPUTED_VALUE"""),"2025")</f>
        <v>2025</v>
      </c>
      <c r="G2786" s="35" t="str">
        <f>IFERROR(__xludf.DUMMYFUNCTION("""COMPUTED_VALUE"""),"ALKHAWARISMA")</f>
        <v>ALKHAWARISMA</v>
      </c>
      <c r="H2786" s="35" t="str">
        <f>IFERROR(__xludf.DUMMYFUNCTION("""COMPUTED_VALUE"""),"A9625081247")</f>
        <v>A9625081247</v>
      </c>
      <c r="I2786" s="35">
        <f>IFERROR(__xludf.DUMMYFUNCTION("""COMPUTED_VALUE"""),30.0)</f>
        <v>30</v>
      </c>
      <c r="J2786" s="35" t="str">
        <f>IFERROR(__xludf.DUMMYFUNCTION("""COMPUTED_VALUE"""),"25-34 tahun")</f>
        <v>25-34 tahun</v>
      </c>
      <c r="K2786" s="21" t="str">
        <f>IFERROR(__xludf.DUMMYFUNCTION("""COMPUTED_VALUE"""),"01/06/1996")</f>
        <v>01/06/1996</v>
      </c>
      <c r="L2786" s="21" t="str">
        <f>IFERROR(__xludf.DUMMYFUNCTION("""COMPUTED_VALUE"""),"LAKI-LAKI")</f>
        <v>LAKI-LAKI</v>
      </c>
      <c r="M2786" s="35" t="str">
        <f>IFERROR(__xludf.DUMMYFUNCTION("""COMPUTED_VALUE"""),"JL. KOM YOS SUDARSO GG. KELONTAN 1 NO. 30")</f>
        <v>JL. KOM YOS SUDARSO GG. KELONTAN 1 NO. 30</v>
      </c>
      <c r="N2786" s="35" t="str">
        <f>IFERROR(__xludf.DUMMYFUNCTION("""COMPUTED_VALUE"""),"SUNGAI JAWI LUAR")</f>
        <v>SUNGAI JAWI LUAR</v>
      </c>
      <c r="O2786" s="35" t="str">
        <f>IFERROR(__xludf.DUMMYFUNCTION("""COMPUTED_VALUE"""),"PONTIANAK BARAT")</f>
        <v>PONTIANAK BARAT</v>
      </c>
      <c r="P2786" s="35" t="str">
        <f>IFERROR(__xludf.DUMMYFUNCTION("""COMPUTED_VALUE"""),"KOTA PONTIANAK")</f>
        <v>KOTA PONTIANAK</v>
      </c>
      <c r="Q2786" s="35" t="str">
        <f>IFERROR(__xludf.DUMMYFUNCTION("""COMPUTED_VALUE"""),"KALIMANTAN BARAT")</f>
        <v>KALIMANTAN BARAT</v>
      </c>
      <c r="R2786" s="21" t="str">
        <f>IFERROR(__xludf.DUMMYFUNCTION("""COMPUTED_VALUE"""),"ISLAM")</f>
        <v>ISLAM</v>
      </c>
      <c r="S2786" s="74" t="str">
        <f>IFERROR(__xludf.DUMMYFUNCTION("""COMPUTED_VALUE"""),"PPPK")</f>
        <v>PPPK</v>
      </c>
      <c r="T2786" s="35" t="str">
        <f>IFERROR(__xludf.DUMMYFUNCTION("""COMPUTED_VALUE"""),"LUTUT BENGKAK, MENISCUS")</f>
        <v>LUTUT BENGKAK, MENISCUS</v>
      </c>
      <c r="U2786" s="35" t="str">
        <f>IFERROR(__xludf.DUMMYFUNCTION("""COMPUTED_VALUE"""),"FUTSAL, MINISOCCER")</f>
        <v>FUTSAL, MINISOCCER</v>
      </c>
      <c r="V2786" s="37" t="str">
        <f>IFERROR(__xludf.DUMMYFUNCTION("""COMPUTED_VALUE"""),"089607001247")</f>
        <v>089607001247</v>
      </c>
      <c r="W2786" s="45"/>
    </row>
    <row r="2787">
      <c r="A2787" s="45"/>
      <c r="B2787" s="24" t="str">
        <f>IFERROR(__xludf.DUMMYFUNCTION("""COMPUTED_VALUE"""),"25/08/2025 11:16:27")</f>
        <v>25/08/2025 11:16:27</v>
      </c>
      <c r="C2787" s="35"/>
      <c r="D2787" s="10">
        <f>IFERROR(__xludf.DUMMYFUNCTION("""COMPUTED_VALUE"""),45894.0)</f>
        <v>45894</v>
      </c>
      <c r="E2787" s="35" t="str">
        <f>IFERROR(__xludf.DUMMYFUNCTION("""COMPUTED_VALUE"""),"08Agu")</f>
        <v>08Agu</v>
      </c>
      <c r="F2787" s="34" t="str">
        <f>IFERROR(__xludf.DUMMYFUNCTION("""COMPUTED_VALUE"""),"2025")</f>
        <v>2025</v>
      </c>
      <c r="G2787" s="35" t="str">
        <f>IFERROR(__xludf.DUMMYFUNCTION("""COMPUTED_VALUE"""),"SUHAIMI")</f>
        <v>SUHAIMI</v>
      </c>
      <c r="H2787" s="35" t="str">
        <f>IFERROR(__xludf.DUMMYFUNCTION("""COMPUTED_VALUE"""),"S8425084764")</f>
        <v>S8425084764</v>
      </c>
      <c r="I2787" s="35">
        <f>IFERROR(__xludf.DUMMYFUNCTION("""COMPUTED_VALUE"""),42.0)</f>
        <v>42</v>
      </c>
      <c r="J2787" s="35" t="str">
        <f>IFERROR(__xludf.DUMMYFUNCTION("""COMPUTED_VALUE"""),"35-44 tahun")</f>
        <v>35-44 tahun</v>
      </c>
      <c r="K2787" s="21" t="str">
        <f>IFERROR(__xludf.DUMMYFUNCTION("""COMPUTED_VALUE"""),"09/03/1984")</f>
        <v>09/03/1984</v>
      </c>
      <c r="L2787" s="21" t="str">
        <f>IFERROR(__xludf.DUMMYFUNCTION("""COMPUTED_VALUE"""),"LAKI-LAKI")</f>
        <v>LAKI-LAKI</v>
      </c>
      <c r="M2787" s="35" t="str">
        <f>IFERROR(__xludf.DUMMYFUNCTION("""COMPUTED_VALUE"""),"JL. PADAT KARYA KOMP MULTI RESIDENCE 2 BLOK B NO 9")</f>
        <v>JL. PADAT KARYA KOMP MULTI RESIDENCE 2 BLOK B NO 9</v>
      </c>
      <c r="N2787" s="35" t="str">
        <f>IFERROR(__xludf.DUMMYFUNCTION("""COMPUTED_VALUE"""),"SAIGON")</f>
        <v>SAIGON</v>
      </c>
      <c r="O2787" s="35" t="str">
        <f>IFERROR(__xludf.DUMMYFUNCTION("""COMPUTED_VALUE"""),"PONTIANAK TIMUR")</f>
        <v>PONTIANAK TIMUR</v>
      </c>
      <c r="P2787" s="35" t="str">
        <f>IFERROR(__xludf.DUMMYFUNCTION("""COMPUTED_VALUE"""),"KOTA PONTIANAK")</f>
        <v>KOTA PONTIANAK</v>
      </c>
      <c r="Q2787" s="35" t="str">
        <f>IFERROR(__xludf.DUMMYFUNCTION("""COMPUTED_VALUE"""),"KALIMANTAN BARAT")</f>
        <v>KALIMANTAN BARAT</v>
      </c>
      <c r="R2787" s="21" t="str">
        <f>IFERROR(__xludf.DUMMYFUNCTION("""COMPUTED_VALUE"""),"ISLAM")</f>
        <v>ISLAM</v>
      </c>
      <c r="S2787" s="74" t="str">
        <f>IFERROR(__xludf.DUMMYFUNCTION("""COMPUTED_VALUE"""),"SWASTA")</f>
        <v>SWASTA</v>
      </c>
      <c r="T2787" s="35" t="str">
        <f>IFERROR(__xludf.DUMMYFUNCTION("""COMPUTED_VALUE"""),"LUTUT KANAN")</f>
        <v>LUTUT KANAN</v>
      </c>
      <c r="U2787" s="35" t="str">
        <f>IFERROR(__xludf.DUMMYFUNCTION("""COMPUTED_VALUE"""),"MAIN BOLA")</f>
        <v>MAIN BOLA</v>
      </c>
      <c r="V2787" s="37" t="str">
        <f>IFERROR(__xludf.DUMMYFUNCTION("""COMPUTED_VALUE"""),"085696064764")</f>
        <v>085696064764</v>
      </c>
      <c r="W2787" s="45"/>
    </row>
    <row r="2788">
      <c r="A2788" s="45"/>
      <c r="B2788" s="24" t="str">
        <f>IFERROR(__xludf.DUMMYFUNCTION("""COMPUTED_VALUE"""),"25/08/2025 11:57:09")</f>
        <v>25/08/2025 11:57:09</v>
      </c>
      <c r="C2788" s="35"/>
      <c r="D2788" s="10">
        <f>IFERROR(__xludf.DUMMYFUNCTION("""COMPUTED_VALUE"""),45894.0)</f>
        <v>45894</v>
      </c>
      <c r="E2788" s="35" t="str">
        <f>IFERROR(__xludf.DUMMYFUNCTION("""COMPUTED_VALUE"""),"08Agu")</f>
        <v>08Agu</v>
      </c>
      <c r="F2788" s="34" t="str">
        <f>IFERROR(__xludf.DUMMYFUNCTION("""COMPUTED_VALUE"""),"2025")</f>
        <v>2025</v>
      </c>
      <c r="G2788" s="35" t="str">
        <f>IFERROR(__xludf.DUMMYFUNCTION("""COMPUTED_VALUE"""),"UCU SUTRISNA")</f>
        <v>UCU SUTRISNA</v>
      </c>
      <c r="H2788" s="35" t="str">
        <f>IFERROR(__xludf.DUMMYFUNCTION("""COMPUTED_VALUE"""),"U7525080")</f>
        <v>U7525080</v>
      </c>
      <c r="I2788" s="35">
        <f>IFERROR(__xludf.DUMMYFUNCTION("""COMPUTED_VALUE"""),50.0)</f>
        <v>50</v>
      </c>
      <c r="J2788" s="35" t="str">
        <f>IFERROR(__xludf.DUMMYFUNCTION("""COMPUTED_VALUE"""),"&gt; 44 tahun")</f>
        <v>&gt; 44 tahun</v>
      </c>
      <c r="K2788" s="21" t="str">
        <f>IFERROR(__xludf.DUMMYFUNCTION("""COMPUTED_VALUE"""),"08/11/1975")</f>
        <v>08/11/1975</v>
      </c>
      <c r="L2788" s="21" t="str">
        <f>IFERROR(__xludf.DUMMYFUNCTION("""COMPUTED_VALUE"""),"LAKI-LAKI")</f>
        <v>LAKI-LAKI</v>
      </c>
      <c r="M2788" s="35" t="str">
        <f>IFERROR(__xludf.DUMMYFUNCTION("""COMPUTED_VALUE"""),"JL NIRBAYA GANG SUKA DAMAI DALAM")</f>
        <v>JL NIRBAYA GANG SUKA DAMAI DALAM</v>
      </c>
      <c r="N2788" s="35" t="str">
        <f>IFERROR(__xludf.DUMMYFUNCTION("""COMPUTED_VALUE"""),"KOTABARU")</f>
        <v>KOTABARU</v>
      </c>
      <c r="O2788" s="35" t="str">
        <f>IFERROR(__xludf.DUMMYFUNCTION("""COMPUTED_VALUE"""),"PONTIANAK SELATAN")</f>
        <v>PONTIANAK SELATAN</v>
      </c>
      <c r="P2788" s="35" t="str">
        <f>IFERROR(__xludf.DUMMYFUNCTION("""COMPUTED_VALUE"""),"PONTIANAK")</f>
        <v>PONTIANAK</v>
      </c>
      <c r="Q2788" s="35" t="str">
        <f>IFERROR(__xludf.DUMMYFUNCTION("""COMPUTED_VALUE"""),"KALIMANTAN BARAT")</f>
        <v>KALIMANTAN BARAT</v>
      </c>
      <c r="R2788" s="21" t="str">
        <f>IFERROR(__xludf.DUMMYFUNCTION("""COMPUTED_VALUE"""),"ISLAM")</f>
        <v>ISLAM</v>
      </c>
      <c r="S2788" s="74" t="str">
        <f>IFERROR(__xludf.DUMMYFUNCTION("""COMPUTED_VALUE"""),"PEDAGANG")</f>
        <v>PEDAGANG</v>
      </c>
      <c r="T2788" s="35" t="str">
        <f>IFERROR(__xludf.DUMMYFUNCTION("""COMPUTED_VALUE"""),"TAGAN DAN JARI GABISA DITEKUK")</f>
        <v>TAGAN DAN JARI GABISA DITEKUK</v>
      </c>
      <c r="U2788" s="35" t="str">
        <f>IFERROR(__xludf.DUMMYFUNCTION("""COMPUTED_VALUE"""),"GORENG MIE JUALAN")</f>
        <v>GORENG MIE JUALAN</v>
      </c>
      <c r="V2788" s="37" t="str">
        <f>IFERROR(__xludf.DUMMYFUNCTION("""COMPUTED_VALUE"""),"0")</f>
        <v>0</v>
      </c>
      <c r="W2788" s="45"/>
    </row>
    <row r="2789">
      <c r="A2789" s="45"/>
      <c r="B2789" s="24" t="str">
        <f>IFERROR(__xludf.DUMMYFUNCTION("""COMPUTED_VALUE"""),"25/08/2025 11:59:28")</f>
        <v>25/08/2025 11:59:28</v>
      </c>
      <c r="C2789" s="35"/>
      <c r="D2789" s="10">
        <f>IFERROR(__xludf.DUMMYFUNCTION("""COMPUTED_VALUE"""),45894.0)</f>
        <v>45894</v>
      </c>
      <c r="E2789" s="35" t="str">
        <f>IFERROR(__xludf.DUMMYFUNCTION("""COMPUTED_VALUE"""),"08Agu")</f>
        <v>08Agu</v>
      </c>
      <c r="F2789" s="34" t="str">
        <f>IFERROR(__xludf.DUMMYFUNCTION("""COMPUTED_VALUE"""),"2025")</f>
        <v>2025</v>
      </c>
      <c r="G2789" s="35" t="str">
        <f>IFERROR(__xludf.DUMMYFUNCTION("""COMPUTED_VALUE"""),"AHMAD DANY NOVALDI")</f>
        <v>AHMAD DANY NOVALDI</v>
      </c>
      <c r="H2789" s="35" t="str">
        <f>IFERROR(__xludf.DUMMYFUNCTION("""COMPUTED_VALUE"""),"A0625085349")</f>
        <v>A0625085349</v>
      </c>
      <c r="I2789" s="35">
        <f>IFERROR(__xludf.DUMMYFUNCTION("""COMPUTED_VALUE"""),19.0)</f>
        <v>19</v>
      </c>
      <c r="J2789" s="35" t="str">
        <f>IFERROR(__xludf.DUMMYFUNCTION("""COMPUTED_VALUE"""),"18-24 tahun")</f>
        <v>18-24 tahun</v>
      </c>
      <c r="K2789" s="21" t="str">
        <f>IFERROR(__xludf.DUMMYFUNCTION("""COMPUTED_VALUE"""),"19/11/2006")</f>
        <v>19/11/2006</v>
      </c>
      <c r="L2789" s="21" t="str">
        <f>IFERROR(__xludf.DUMMYFUNCTION("""COMPUTED_VALUE"""),"LAKI-LAKI")</f>
        <v>LAKI-LAKI</v>
      </c>
      <c r="M2789" s="35" t="str">
        <f>IFERROR(__xludf.DUMMYFUNCTION("""COMPUTED_VALUE"""),"JLPRAMUKA GANG DARMA NO 53")</f>
        <v>JLPRAMUKA GANG DARMA NO 53</v>
      </c>
      <c r="N2789" s="35" t="str">
        <f>IFERROR(__xludf.DUMMYFUNCTION("""COMPUTED_VALUE"""),"CONDONG")</f>
        <v>CONDONG</v>
      </c>
      <c r="O2789" s="35" t="str">
        <f>IFERROR(__xludf.DUMMYFUNCTION("""COMPUTED_VALUE"""),"SINGKAWANG TENGAH")</f>
        <v>SINGKAWANG TENGAH</v>
      </c>
      <c r="P2789" s="35" t="str">
        <f>IFERROR(__xludf.DUMMYFUNCTION("""COMPUTED_VALUE"""),"SINGKAWANG")</f>
        <v>SINGKAWANG</v>
      </c>
      <c r="Q2789" s="35" t="str">
        <f>IFERROR(__xludf.DUMMYFUNCTION("""COMPUTED_VALUE"""),"KALIMANTAN BARAT")</f>
        <v>KALIMANTAN BARAT</v>
      </c>
      <c r="R2789" s="21" t="str">
        <f>IFERROR(__xludf.DUMMYFUNCTION("""COMPUTED_VALUE"""),"ISLAM")</f>
        <v>ISLAM</v>
      </c>
      <c r="S2789" s="74" t="str">
        <f>IFERROR(__xludf.DUMMYFUNCTION("""COMPUTED_VALUE"""),"PELAJAR/MAHASISWA")</f>
        <v>PELAJAR/MAHASISWA</v>
      </c>
      <c r="T2789" s="35" t="str">
        <f>IFERROR(__xludf.DUMMYFUNCTION("""COMPUTED_VALUE"""),"BAHU")</f>
        <v>BAHU</v>
      </c>
      <c r="U2789" s="35" t="str">
        <f>IFERROR(__xludf.DUMMYFUNCTION("""COMPUTED_VALUE"""),"SILAT")</f>
        <v>SILAT</v>
      </c>
      <c r="V2789" s="37" t="str">
        <f>IFERROR(__xludf.DUMMYFUNCTION("""COMPUTED_VALUE"""),"083136085349")</f>
        <v>083136085349</v>
      </c>
      <c r="W2789" s="45"/>
    </row>
    <row r="2790">
      <c r="A2790" s="45"/>
      <c r="B2790" s="24" t="str">
        <f>IFERROR(__xludf.DUMMYFUNCTION("""COMPUTED_VALUE"""),"25/08/2025 12:10:36")</f>
        <v>25/08/2025 12:10:36</v>
      </c>
      <c r="C2790" s="35"/>
      <c r="D2790" s="10">
        <f>IFERROR(__xludf.DUMMYFUNCTION("""COMPUTED_VALUE"""),45894.0)</f>
        <v>45894</v>
      </c>
      <c r="E2790" s="35" t="str">
        <f>IFERROR(__xludf.DUMMYFUNCTION("""COMPUTED_VALUE"""),"08Agu")</f>
        <v>08Agu</v>
      </c>
      <c r="F2790" s="34" t="str">
        <f>IFERROR(__xludf.DUMMYFUNCTION("""COMPUTED_VALUE"""),"2025")</f>
        <v>2025</v>
      </c>
      <c r="G2790" s="35" t="str">
        <f>IFERROR(__xludf.DUMMYFUNCTION("""COMPUTED_VALUE"""),"SRI ESRI")</f>
        <v>SRI ESRI</v>
      </c>
      <c r="H2790" s="35" t="str">
        <f>IFERROR(__xludf.DUMMYFUNCTION("""COMPUTED_VALUE"""),"S6225086797")</f>
        <v>S6225086797</v>
      </c>
      <c r="I2790" s="35">
        <f>IFERROR(__xludf.DUMMYFUNCTION("""COMPUTED_VALUE"""),63.0)</f>
        <v>63</v>
      </c>
      <c r="J2790" s="35" t="str">
        <f>IFERROR(__xludf.DUMMYFUNCTION("""COMPUTED_VALUE"""),"&gt; 44 tahun")</f>
        <v>&gt; 44 tahun</v>
      </c>
      <c r="K2790" s="21" t="str">
        <f>IFERROR(__xludf.DUMMYFUNCTION("""COMPUTED_VALUE"""),"28/12/1962")</f>
        <v>28/12/1962</v>
      </c>
      <c r="L2790" s="21" t="str">
        <f>IFERROR(__xludf.DUMMYFUNCTION("""COMPUTED_VALUE"""),"PEREMPUAN")</f>
        <v>PEREMPUAN</v>
      </c>
      <c r="M2790" s="35" t="str">
        <f>IFERROR(__xludf.DUMMYFUNCTION("""COMPUTED_VALUE"""),"JALAN SEPAKAT 2 KOMPLEK SEPAKAT GRIYA UTAMA, NO.4")</f>
        <v>JALAN SEPAKAT 2 KOMPLEK SEPAKAT GRIYA UTAMA, NO.4</v>
      </c>
      <c r="N2790" s="35" t="str">
        <f>IFERROR(__xludf.DUMMYFUNCTION("""COMPUTED_VALUE"""),"BANSIR DARAT")</f>
        <v>BANSIR DARAT</v>
      </c>
      <c r="O2790" s="35" t="str">
        <f>IFERROR(__xludf.DUMMYFUNCTION("""COMPUTED_VALUE"""),"PONTIANAK TENGGARA")</f>
        <v>PONTIANAK TENGGARA</v>
      </c>
      <c r="P2790" s="35" t="str">
        <f>IFERROR(__xludf.DUMMYFUNCTION("""COMPUTED_VALUE"""),"KOTA PONTIANAK")</f>
        <v>KOTA PONTIANAK</v>
      </c>
      <c r="Q2790" s="35" t="str">
        <f>IFERROR(__xludf.DUMMYFUNCTION("""COMPUTED_VALUE"""),"KALIMANTAN BARAT")</f>
        <v>KALIMANTAN BARAT</v>
      </c>
      <c r="R2790" s="21" t="str">
        <f>IFERROR(__xludf.DUMMYFUNCTION("""COMPUTED_VALUE"""),"ISLAM")</f>
        <v>ISLAM</v>
      </c>
      <c r="S2790" s="74" t="str">
        <f>IFERROR(__xludf.DUMMYFUNCTION("""COMPUTED_VALUE"""),"-")</f>
        <v>-</v>
      </c>
      <c r="T2790" s="35" t="str">
        <f>IFERROR(__xludf.DUMMYFUNCTION("""COMPUTED_VALUE"""),"TANGAN KANAN BAGIAN ATAS, SAKIT SAAT DIGERAKKAN")</f>
        <v>TANGAN KANAN BAGIAN ATAS, SAKIT SAAT DIGERAKKAN</v>
      </c>
      <c r="U2790" s="35" t="str">
        <f>IFERROR(__xludf.DUMMYFUNCTION("""COMPUTED_VALUE"""),"PEKERJAAN RUMAH TANGGA")</f>
        <v>PEKERJAAN RUMAH TANGGA</v>
      </c>
      <c r="V2790" s="37" t="str">
        <f>IFERROR(__xludf.DUMMYFUNCTION("""COMPUTED_VALUE"""),"081364916797")</f>
        <v>081364916797</v>
      </c>
      <c r="W2790" s="45"/>
    </row>
    <row r="2791">
      <c r="A2791" s="45"/>
      <c r="B2791" s="35"/>
      <c r="C2791" s="35"/>
      <c r="D2791" s="10">
        <f>IFERROR(__xludf.DUMMYFUNCTION("""COMPUTED_VALUE"""),45894.0)</f>
        <v>45894</v>
      </c>
      <c r="E2791" s="35" t="str">
        <f>IFERROR(__xludf.DUMMYFUNCTION("""COMPUTED_VALUE"""),"08Agu")</f>
        <v>08Agu</v>
      </c>
      <c r="F2791" s="34" t="str">
        <f>IFERROR(__xludf.DUMMYFUNCTION("""COMPUTED_VALUE"""),"2025")</f>
        <v>2025</v>
      </c>
      <c r="G2791" s="35" t="str">
        <f>IFERROR(__xludf.DUMMYFUNCTION("""COMPUTED_VALUE"""),"MUNAGI")</f>
        <v>MUNAGI</v>
      </c>
      <c r="H2791" s="35" t="str">
        <f>IFERROR(__xludf.DUMMYFUNCTION("""COMPUTED_VALUE"""),"M6925081515")</f>
        <v>M6925081515</v>
      </c>
      <c r="I2791" s="35">
        <f>IFERROR(__xludf.DUMMYFUNCTION("""COMPUTED_VALUE"""),57.0)</f>
        <v>57</v>
      </c>
      <c r="J2791" s="35" t="str">
        <f>IFERROR(__xludf.DUMMYFUNCTION("""COMPUTED_VALUE"""),"&gt; 44 tahun")</f>
        <v>&gt; 44 tahun</v>
      </c>
      <c r="K2791" s="21">
        <f>IFERROR(__xludf.DUMMYFUNCTION("""COMPUTED_VALUE"""),25330.0)</f>
        <v>25330</v>
      </c>
      <c r="L2791" s="21" t="str">
        <f>IFERROR(__xludf.DUMMYFUNCTION("""COMPUTED_VALUE"""),"LAKI-LAKI")</f>
        <v>LAKI-LAKI</v>
      </c>
      <c r="M2791" s="35" t="str">
        <f>IFERROR(__xludf.DUMMYFUNCTION("""COMPUTED_VALUE"""),"PARIT LEBAN")</f>
        <v>PARIT LEBAN</v>
      </c>
      <c r="N2791" s="35" t="str">
        <f>IFERROR(__xludf.DUMMYFUNCTION("""COMPUTED_VALUE"""),"PUNGGUR KECIL")</f>
        <v>PUNGGUR KECIL</v>
      </c>
      <c r="O2791" s="35" t="str">
        <f>IFERROR(__xludf.DUMMYFUNCTION("""COMPUTED_VALUE"""),"SUNGAI KAKAP")</f>
        <v>SUNGAI KAKAP</v>
      </c>
      <c r="P2791" s="35" t="str">
        <f>IFERROR(__xludf.DUMMYFUNCTION("""COMPUTED_VALUE"""),"PONTIANAK")</f>
        <v>PONTIANAK</v>
      </c>
      <c r="Q2791" s="35" t="str">
        <f>IFERROR(__xludf.DUMMYFUNCTION("""COMPUTED_VALUE"""),"KALIMANTAN BARAT")</f>
        <v>KALIMANTAN BARAT</v>
      </c>
      <c r="R2791" s="21" t="str">
        <f>IFERROR(__xludf.DUMMYFUNCTION("""COMPUTED_VALUE"""),"ISLAM")</f>
        <v>ISLAM</v>
      </c>
      <c r="S2791" s="74" t="str">
        <f>IFERROR(__xludf.DUMMYFUNCTION("""COMPUTED_VALUE"""),"WIRASWASTA")</f>
        <v>WIRASWASTA</v>
      </c>
      <c r="T2791" s="35" t="str">
        <f>IFERROR(__xludf.DUMMYFUNCTION("""COMPUTED_VALUE"""),"BAHU DAN LENGAN KANAN")</f>
        <v>BAHU DAN LENGAN KANAN</v>
      </c>
      <c r="U2791" s="35" t="str">
        <f>IFERROR(__xludf.DUMMYFUNCTION("""COMPUTED_VALUE"""),"-")</f>
        <v>-</v>
      </c>
      <c r="V2791" s="37" t="str">
        <f>IFERROR(__xludf.DUMMYFUNCTION("""COMPUTED_VALUE"""),"081257131515")</f>
        <v>081257131515</v>
      </c>
      <c r="W2791" s="45"/>
    </row>
    <row r="2792">
      <c r="A2792" s="45"/>
      <c r="B2792" s="24" t="str">
        <f>IFERROR(__xludf.DUMMYFUNCTION("""COMPUTED_VALUE"""),"25/08/2025 17:55:54")</f>
        <v>25/08/2025 17:55:54</v>
      </c>
      <c r="C2792" s="35"/>
      <c r="D2792" s="10">
        <f>IFERROR(__xludf.DUMMYFUNCTION("""COMPUTED_VALUE"""),45894.0)</f>
        <v>45894</v>
      </c>
      <c r="E2792" s="35" t="str">
        <f>IFERROR(__xludf.DUMMYFUNCTION("""COMPUTED_VALUE"""),"08Agu")</f>
        <v>08Agu</v>
      </c>
      <c r="F2792" s="34" t="str">
        <f>IFERROR(__xludf.DUMMYFUNCTION("""COMPUTED_VALUE"""),"2025")</f>
        <v>2025</v>
      </c>
      <c r="G2792" s="35" t="str">
        <f>IFERROR(__xludf.DUMMYFUNCTION("""COMPUTED_VALUE"""),"EVANIA")</f>
        <v>EVANIA</v>
      </c>
      <c r="H2792" s="35" t="str">
        <f>IFERROR(__xludf.DUMMYFUNCTION("""COMPUTED_VALUE"""),"E9025088822")</f>
        <v>E9025088822</v>
      </c>
      <c r="I2792" s="35">
        <f>IFERROR(__xludf.DUMMYFUNCTION("""COMPUTED_VALUE"""),35.0)</f>
        <v>35</v>
      </c>
      <c r="J2792" s="35" t="str">
        <f>IFERROR(__xludf.DUMMYFUNCTION("""COMPUTED_VALUE"""),"35-44 tahun")</f>
        <v>35-44 tahun</v>
      </c>
      <c r="K2792" s="21" t="str">
        <f>IFERROR(__xludf.DUMMYFUNCTION("""COMPUTED_VALUE"""),"22/12/1990")</f>
        <v>22/12/1990</v>
      </c>
      <c r="L2792" s="21" t="str">
        <f>IFERROR(__xludf.DUMMYFUNCTION("""COMPUTED_VALUE"""),"PEREMPUAN")</f>
        <v>PEREMPUAN</v>
      </c>
      <c r="M2792" s="35" t="str">
        <f>IFERROR(__xludf.DUMMYFUNCTION("""COMPUTED_VALUE"""),"JL. UMUT THALIB BLOK M1 NO.09")</f>
        <v>JL. UMUT THALIB BLOK M1 NO.09</v>
      </c>
      <c r="N2792" s="35" t="str">
        <f>IFERROR(__xludf.DUMMYFUNCTION("""COMPUTED_VALUE"""),"SUNGAI JAWI LUAR")</f>
        <v>SUNGAI JAWI LUAR</v>
      </c>
      <c r="O2792" s="35" t="str">
        <f>IFERROR(__xludf.DUMMYFUNCTION("""COMPUTED_VALUE"""),"PONTIANAK BARAT")</f>
        <v>PONTIANAK BARAT</v>
      </c>
      <c r="P2792" s="35" t="str">
        <f>IFERROR(__xludf.DUMMYFUNCTION("""COMPUTED_VALUE"""),"PONTIANAK")</f>
        <v>PONTIANAK</v>
      </c>
      <c r="Q2792" s="35" t="str">
        <f>IFERROR(__xludf.DUMMYFUNCTION("""COMPUTED_VALUE"""),"KALIMANTAN BARAT")</f>
        <v>KALIMANTAN BARAT</v>
      </c>
      <c r="R2792" s="21" t="str">
        <f>IFERROR(__xludf.DUMMYFUNCTION("""COMPUTED_VALUE"""),"BUDDHA")</f>
        <v>BUDDHA</v>
      </c>
      <c r="S2792" s="74" t="str">
        <f>IFERROR(__xludf.DUMMYFUNCTION("""COMPUTED_VALUE"""),"IRT")</f>
        <v>IRT</v>
      </c>
      <c r="T2792" s="35" t="str">
        <f>IFERROR(__xludf.DUMMYFUNCTION("""COMPUTED_VALUE"""),"NYERI DI BETIS DEPAN DAN PAHA BELAKANG")</f>
        <v>NYERI DI BETIS DEPAN DAN PAHA BELAKANG</v>
      </c>
      <c r="U2792" s="35" t="str">
        <f>IFERROR(__xludf.DUMMYFUNCTION("""COMPUTED_VALUE"""),"-")</f>
        <v>-</v>
      </c>
      <c r="V2792" s="37" t="str">
        <f>IFERROR(__xludf.DUMMYFUNCTION("""COMPUTED_VALUE"""),"085217598822")</f>
        <v>085217598822</v>
      </c>
      <c r="W2792" s="45"/>
    </row>
    <row r="2793">
      <c r="A2793" s="45"/>
      <c r="B2793" s="24" t="str">
        <f>IFERROR(__xludf.DUMMYFUNCTION("""COMPUTED_VALUE"""),"25/08/2025 19:53:29")</f>
        <v>25/08/2025 19:53:29</v>
      </c>
      <c r="C2793" s="35"/>
      <c r="D2793" s="10">
        <f>IFERROR(__xludf.DUMMYFUNCTION("""COMPUTED_VALUE"""),45894.0)</f>
        <v>45894</v>
      </c>
      <c r="E2793" s="35" t="str">
        <f>IFERROR(__xludf.DUMMYFUNCTION("""COMPUTED_VALUE"""),"08Agu")</f>
        <v>08Agu</v>
      </c>
      <c r="F2793" s="34" t="str">
        <f>IFERROR(__xludf.DUMMYFUNCTION("""COMPUTED_VALUE"""),"2025")</f>
        <v>2025</v>
      </c>
      <c r="G2793" s="35" t="str">
        <f>IFERROR(__xludf.DUMMYFUNCTION("""COMPUTED_VALUE"""),"RIDUANSYAH")</f>
        <v>RIDUANSYAH</v>
      </c>
      <c r="H2793" s="35" t="str">
        <f>IFERROR(__xludf.DUMMYFUNCTION("""COMPUTED_VALUE"""),"R9225087828")</f>
        <v>R9225087828</v>
      </c>
      <c r="I2793" s="35">
        <f>IFERROR(__xludf.DUMMYFUNCTION("""COMPUTED_VALUE"""),33.0)</f>
        <v>33</v>
      </c>
      <c r="J2793" s="35" t="str">
        <f>IFERROR(__xludf.DUMMYFUNCTION("""COMPUTED_VALUE"""),"25-34 tahun")</f>
        <v>25-34 tahun</v>
      </c>
      <c r="K2793" s="21" t="str">
        <f>IFERROR(__xludf.DUMMYFUNCTION("""COMPUTED_VALUE"""),"19/09/1992")</f>
        <v>19/09/1992</v>
      </c>
      <c r="L2793" s="21" t="str">
        <f>IFERROR(__xludf.DUMMYFUNCTION("""COMPUTED_VALUE"""),"LAKI-LAKI")</f>
        <v>LAKI-LAKI</v>
      </c>
      <c r="M2793" s="35" t="str">
        <f>IFERROR(__xludf.DUMMYFUNCTION("""COMPUTED_VALUE"""),"JLN YOS SUDARSO NO 04")</f>
        <v>JLN YOS SUDARSO NO 04</v>
      </c>
      <c r="N2793" s="35" t="str">
        <f>IFERROR(__xludf.DUMMYFUNCTION("""COMPUTED_VALUE"""),"KUALA")</f>
        <v>KUALA</v>
      </c>
      <c r="O2793" s="35" t="str">
        <f>IFERROR(__xludf.DUMMYFUNCTION("""COMPUTED_VALUE"""),"SINGKAWANG BARAT")</f>
        <v>SINGKAWANG BARAT</v>
      </c>
      <c r="P2793" s="35" t="str">
        <f>IFERROR(__xludf.DUMMYFUNCTION("""COMPUTED_VALUE"""),"KOTA SINGKAWANG")</f>
        <v>KOTA SINGKAWANG</v>
      </c>
      <c r="Q2793" s="35" t="str">
        <f>IFERROR(__xludf.DUMMYFUNCTION("""COMPUTED_VALUE"""),"KALIMANTAN BARAT")</f>
        <v>KALIMANTAN BARAT</v>
      </c>
      <c r="R2793" s="21" t="str">
        <f>IFERROR(__xludf.DUMMYFUNCTION("""COMPUTED_VALUE"""),"ISLAM")</f>
        <v>ISLAM</v>
      </c>
      <c r="S2793" s="74" t="str">
        <f>IFERROR(__xludf.DUMMYFUNCTION("""COMPUTED_VALUE"""),"SWASTA")</f>
        <v>SWASTA</v>
      </c>
      <c r="T2793" s="35" t="str">
        <f>IFERROR(__xludf.DUMMYFUNCTION("""COMPUTED_VALUE"""),"PANGKAL PAHA SAKIT")</f>
        <v>PANGKAL PAHA SAKIT</v>
      </c>
      <c r="U2793" s="35" t="str">
        <f>IFERROR(__xludf.DUMMYFUNCTION("""COMPUTED_VALUE"""),"TENNIS LAPANGAN/PICKEL")</f>
        <v>TENNIS LAPANGAN/PICKEL</v>
      </c>
      <c r="V2793" s="37" t="str">
        <f>IFERROR(__xludf.DUMMYFUNCTION("""COMPUTED_VALUE"""),"082151677828")</f>
        <v>082151677828</v>
      </c>
      <c r="W2793" s="45"/>
    </row>
    <row r="2794">
      <c r="A2794" s="45"/>
      <c r="B2794" s="24" t="str">
        <f>IFERROR(__xludf.DUMMYFUNCTION("""COMPUTED_VALUE"""),"25/08/2025 20:16:42")</f>
        <v>25/08/2025 20:16:42</v>
      </c>
      <c r="C2794" s="35"/>
      <c r="D2794" s="10">
        <f>IFERROR(__xludf.DUMMYFUNCTION("""COMPUTED_VALUE"""),45894.0)</f>
        <v>45894</v>
      </c>
      <c r="E2794" s="35" t="str">
        <f>IFERROR(__xludf.DUMMYFUNCTION("""COMPUTED_VALUE"""),"08Agu")</f>
        <v>08Agu</v>
      </c>
      <c r="F2794" s="34" t="str">
        <f>IFERROR(__xludf.DUMMYFUNCTION("""COMPUTED_VALUE"""),"2025")</f>
        <v>2025</v>
      </c>
      <c r="G2794" s="35" t="str">
        <f>IFERROR(__xludf.DUMMYFUNCTION("""COMPUTED_VALUE"""),"TRI ASTUTI")</f>
        <v>TRI ASTUTI</v>
      </c>
      <c r="H2794" s="35" t="str">
        <f>IFERROR(__xludf.DUMMYFUNCTION("""COMPUTED_VALUE"""),"T6825081630")</f>
        <v>T6825081630</v>
      </c>
      <c r="I2794" s="35">
        <f>IFERROR(__xludf.DUMMYFUNCTION("""COMPUTED_VALUE"""),57.0)</f>
        <v>57</v>
      </c>
      <c r="J2794" s="35" t="str">
        <f>IFERROR(__xludf.DUMMYFUNCTION("""COMPUTED_VALUE"""),"&gt; 44 tahun")</f>
        <v>&gt; 44 tahun</v>
      </c>
      <c r="K2794" s="21" t="str">
        <f>IFERROR(__xludf.DUMMYFUNCTION("""COMPUTED_VALUE"""),"24/06/1968")</f>
        <v>24/06/1968</v>
      </c>
      <c r="L2794" s="21" t="str">
        <f>IFERROR(__xludf.DUMMYFUNCTION("""COMPUTED_VALUE"""),"PEREMPUAN")</f>
        <v>PEREMPUAN</v>
      </c>
      <c r="M2794" s="35" t="str">
        <f>IFERROR(__xludf.DUMMYFUNCTION("""COMPUTED_VALUE"""),"JL. ALIANYANG GG RAHAYU NO 9A")</f>
        <v>JL. ALIANYANG GG RAHAYU NO 9A</v>
      </c>
      <c r="N2794" s="35" t="str">
        <f>IFERROR(__xludf.DUMMYFUNCTION("""COMPUTED_VALUE"""),"SUNGAI BANGKONG")</f>
        <v>SUNGAI BANGKONG</v>
      </c>
      <c r="O2794" s="35" t="str">
        <f>IFERROR(__xludf.DUMMYFUNCTION("""COMPUTED_VALUE"""),"PONTIANAK KOTA")</f>
        <v>PONTIANAK KOTA</v>
      </c>
      <c r="P2794" s="35" t="str">
        <f>IFERROR(__xludf.DUMMYFUNCTION("""COMPUTED_VALUE"""),"PONTIANAK")</f>
        <v>PONTIANAK</v>
      </c>
      <c r="Q2794" s="35" t="str">
        <f>IFERROR(__xludf.DUMMYFUNCTION("""COMPUTED_VALUE"""),"KALIMANTAN BARAT")</f>
        <v>KALIMANTAN BARAT</v>
      </c>
      <c r="R2794" s="21" t="str">
        <f>IFERROR(__xludf.DUMMYFUNCTION("""COMPUTED_VALUE"""),"ISLAM")</f>
        <v>ISLAM</v>
      </c>
      <c r="S2794" s="74" t="str">
        <f>IFERROR(__xludf.DUMMYFUNCTION("""COMPUTED_VALUE"""),"GURU")</f>
        <v>GURU</v>
      </c>
      <c r="T2794" s="35" t="str">
        <f>IFERROR(__xludf.DUMMYFUNCTION("""COMPUTED_VALUE"""),"TANGAN")</f>
        <v>TANGAN</v>
      </c>
      <c r="U2794" s="35" t="str">
        <f>IFERROR(__xludf.DUMMYFUNCTION("""COMPUTED_VALUE"""),"-")</f>
        <v>-</v>
      </c>
      <c r="V2794" s="37" t="str">
        <f>IFERROR(__xludf.DUMMYFUNCTION("""COMPUTED_VALUE"""),"089694001630")</f>
        <v>089694001630</v>
      </c>
      <c r="W2794" s="45"/>
    </row>
    <row r="2795">
      <c r="A2795" s="45"/>
      <c r="B2795" s="24" t="str">
        <f>IFERROR(__xludf.DUMMYFUNCTION("""COMPUTED_VALUE"""),"25/08/2025 19:22:25")</f>
        <v>25/08/2025 19:22:25</v>
      </c>
      <c r="C2795" s="35"/>
      <c r="D2795" s="10">
        <f>IFERROR(__xludf.DUMMYFUNCTION("""COMPUTED_VALUE"""),45894.0)</f>
        <v>45894</v>
      </c>
      <c r="E2795" s="35" t="str">
        <f>IFERROR(__xludf.DUMMYFUNCTION("""COMPUTED_VALUE"""),"08Agu")</f>
        <v>08Agu</v>
      </c>
      <c r="F2795" s="34" t="str">
        <f>IFERROR(__xludf.DUMMYFUNCTION("""COMPUTED_VALUE"""),"2025")</f>
        <v>2025</v>
      </c>
      <c r="G2795" s="35" t="str">
        <f>IFERROR(__xludf.DUMMYFUNCTION("""COMPUTED_VALUE"""),"MUTIARA DEWI A.Q")</f>
        <v>MUTIARA DEWI A.Q</v>
      </c>
      <c r="H2795" s="35" t="str">
        <f>IFERROR(__xludf.DUMMYFUNCTION("""COMPUTED_VALUE"""),"M0025084349")</f>
        <v>M0025084349</v>
      </c>
      <c r="I2795" s="35">
        <f>IFERROR(__xludf.DUMMYFUNCTION("""COMPUTED_VALUE"""),26.0)</f>
        <v>26</v>
      </c>
      <c r="J2795" s="35" t="str">
        <f>IFERROR(__xludf.DUMMYFUNCTION("""COMPUTED_VALUE"""),"25-34 tahun")</f>
        <v>25-34 tahun</v>
      </c>
      <c r="K2795" s="21" t="str">
        <f>IFERROR(__xludf.DUMMYFUNCTION("""COMPUTED_VALUE"""),"01/03/2000")</f>
        <v>01/03/2000</v>
      </c>
      <c r="L2795" s="21" t="str">
        <f>IFERROR(__xludf.DUMMYFUNCTION("""COMPUTED_VALUE"""),"PEREMPUAN")</f>
        <v>PEREMPUAN</v>
      </c>
      <c r="M2795" s="35" t="str">
        <f>IFERROR(__xludf.DUMMYFUNCTION("""COMPUTED_VALUE"""),"JALAN GUSTI SITUT MAHMUD
GANG BLITAR 2")</f>
        <v>JALAN GUSTI SITUT MAHMUD
GANG BLITAR 2</v>
      </c>
      <c r="N2795" s="35" t="str">
        <f>IFERROR(__xludf.DUMMYFUNCTION("""COMPUTED_VALUE"""),"SIANTAN HULU")</f>
        <v>SIANTAN HULU</v>
      </c>
      <c r="O2795" s="35" t="str">
        <f>IFERROR(__xludf.DUMMYFUNCTION("""COMPUTED_VALUE"""),"PONTIANAK UTARA")</f>
        <v>PONTIANAK UTARA</v>
      </c>
      <c r="P2795" s="35" t="str">
        <f>IFERROR(__xludf.DUMMYFUNCTION("""COMPUTED_VALUE"""),"KOTA PONTIANAK")</f>
        <v>KOTA PONTIANAK</v>
      </c>
      <c r="Q2795" s="35" t="str">
        <f>IFERROR(__xludf.DUMMYFUNCTION("""COMPUTED_VALUE"""),"KALIMANTAN BARAT")</f>
        <v>KALIMANTAN BARAT</v>
      </c>
      <c r="R2795" s="21" t="str">
        <f>IFERROR(__xludf.DUMMYFUNCTION("""COMPUTED_VALUE"""),"ISLAM")</f>
        <v>ISLAM</v>
      </c>
      <c r="S2795" s="74" t="str">
        <f>IFERROR(__xludf.DUMMYFUNCTION("""COMPUTED_VALUE"""),"KARYAWAN SWASTA")</f>
        <v>KARYAWAN SWASTA</v>
      </c>
      <c r="T2795" s="35" t="str">
        <f>IFERROR(__xludf.DUMMYFUNCTION("""COMPUTED_VALUE"""),"KAKI KIRI TIDAK BISA DITEKUK DAN TIDAK BISA JONGKOK AKIBAT KECELAKAAN")</f>
        <v>KAKI KIRI TIDAK BISA DITEKUK DAN TIDAK BISA JONGKOK AKIBAT KECELAKAAN</v>
      </c>
      <c r="U2795" s="35" t="str">
        <f>IFERROR(__xludf.DUMMYFUNCTION("""COMPUTED_VALUE"""),"TIDAK BISA BAB/BAK POSISI JONGKOK, DAN SHOLAT DUDUK (TIDAK BISA SHOLAT NORMAL), NAIK TURUN TANGGA AGAK SULIT")</f>
        <v>TIDAK BISA BAB/BAK POSISI JONGKOK, DAN SHOLAT DUDUK (TIDAK BISA SHOLAT NORMAL), NAIK TURUN TANGGA AGAK SULIT</v>
      </c>
      <c r="V2795" s="37" t="str">
        <f>IFERROR(__xludf.DUMMYFUNCTION("""COMPUTED_VALUE"""),"089693574349")</f>
        <v>089693574349</v>
      </c>
      <c r="W2795" s="45"/>
    </row>
    <row r="2796">
      <c r="A2796" s="45"/>
      <c r="B2796" s="24" t="str">
        <f>IFERROR(__xludf.DUMMYFUNCTION("""COMPUTED_VALUE"""),"25/08/2025 21:04:00")</f>
        <v>25/08/2025 21:04:00</v>
      </c>
      <c r="C2796" s="35"/>
      <c r="D2796" s="10">
        <f>IFERROR(__xludf.DUMMYFUNCTION("""COMPUTED_VALUE"""),45894.0)</f>
        <v>45894</v>
      </c>
      <c r="E2796" s="35" t="str">
        <f>IFERROR(__xludf.DUMMYFUNCTION("""COMPUTED_VALUE"""),"08Agu")</f>
        <v>08Agu</v>
      </c>
      <c r="F2796" s="34" t="str">
        <f>IFERROR(__xludf.DUMMYFUNCTION("""COMPUTED_VALUE"""),"2025")</f>
        <v>2025</v>
      </c>
      <c r="G2796" s="35" t="str">
        <f>IFERROR(__xludf.DUMMYFUNCTION("""COMPUTED_VALUE"""),"MEIVIAN GOUWYN")</f>
        <v>MEIVIAN GOUWYN</v>
      </c>
      <c r="H2796" s="35" t="str">
        <f>IFERROR(__xludf.DUMMYFUNCTION("""COMPUTED_VALUE"""),"M9825086178")</f>
        <v>M9825086178</v>
      </c>
      <c r="I2796" s="35">
        <f>IFERROR(__xludf.DUMMYFUNCTION("""COMPUTED_VALUE"""),28.0)</f>
        <v>28</v>
      </c>
      <c r="J2796" s="35" t="str">
        <f>IFERROR(__xludf.DUMMYFUNCTION("""COMPUTED_VALUE"""),"25-34 tahun")</f>
        <v>25-34 tahun</v>
      </c>
      <c r="K2796" s="21" t="str">
        <f>IFERROR(__xludf.DUMMYFUNCTION("""COMPUTED_VALUE"""),"21/05/1998")</f>
        <v>21/05/1998</v>
      </c>
      <c r="L2796" s="21" t="str">
        <f>IFERROR(__xludf.DUMMYFUNCTION("""COMPUTED_VALUE"""),"PEREMPUAN")</f>
        <v>PEREMPUAN</v>
      </c>
      <c r="M2796" s="35" t="str">
        <f>IFERROR(__xludf.DUMMYFUNCTION("""COMPUTED_VALUE"""),"JL HRA RACHMAN GG BUKIT GADING")</f>
        <v>JL HRA RACHMAN GG BUKIT GADING</v>
      </c>
      <c r="N2796" s="35" t="str">
        <f>IFERROR(__xludf.DUMMYFUNCTION("""COMPUTED_VALUE"""),"SUNGAI JAWI")</f>
        <v>SUNGAI JAWI</v>
      </c>
      <c r="O2796" s="35" t="str">
        <f>IFERROR(__xludf.DUMMYFUNCTION("""COMPUTED_VALUE"""),"PONTIANAK KOTA")</f>
        <v>PONTIANAK KOTA</v>
      </c>
      <c r="P2796" s="35" t="str">
        <f>IFERROR(__xludf.DUMMYFUNCTION("""COMPUTED_VALUE"""),"KOTA PONTIANAK")</f>
        <v>KOTA PONTIANAK</v>
      </c>
      <c r="Q2796" s="35" t="str">
        <f>IFERROR(__xludf.DUMMYFUNCTION("""COMPUTED_VALUE"""),"KALIMANTAN BARAT")</f>
        <v>KALIMANTAN BARAT</v>
      </c>
      <c r="R2796" s="21" t="str">
        <f>IFERROR(__xludf.DUMMYFUNCTION("""COMPUTED_VALUE"""),"PROTESTAN")</f>
        <v>PROTESTAN</v>
      </c>
      <c r="S2796" s="74" t="str">
        <f>IFERROR(__xludf.DUMMYFUNCTION("""COMPUTED_VALUE"""),"WIRAUSAHA")</f>
        <v>WIRAUSAHA</v>
      </c>
      <c r="T2796" s="35" t="str">
        <f>IFERROR(__xludf.DUMMYFUNCTION("""COMPUTED_VALUE"""),"BAHU MIRING")</f>
        <v>BAHU MIRING</v>
      </c>
      <c r="U2796" s="35" t="str">
        <f>IFERROR(__xludf.DUMMYFUNCTION("""COMPUTED_VALUE"""),"GYM")</f>
        <v>GYM</v>
      </c>
      <c r="V2796" s="37" t="str">
        <f>IFERROR(__xludf.DUMMYFUNCTION("""COMPUTED_VALUE"""),"082252166178")</f>
        <v>082252166178</v>
      </c>
      <c r="W2796" s="45"/>
    </row>
    <row r="2797">
      <c r="A2797" s="45"/>
      <c r="B2797" s="24" t="str">
        <f>IFERROR(__xludf.DUMMYFUNCTION("""COMPUTED_VALUE"""),"26/08/2025 9:52:39")</f>
        <v>26/08/2025 9:52:39</v>
      </c>
      <c r="C2797" s="35"/>
      <c r="D2797" s="10">
        <f>IFERROR(__xludf.DUMMYFUNCTION("""COMPUTED_VALUE"""),45894.0)</f>
        <v>45894</v>
      </c>
      <c r="E2797" s="35" t="str">
        <f>IFERROR(__xludf.DUMMYFUNCTION("""COMPUTED_VALUE"""),"08Agu")</f>
        <v>08Agu</v>
      </c>
      <c r="F2797" s="34" t="str">
        <f>IFERROR(__xludf.DUMMYFUNCTION("""COMPUTED_VALUE"""),"2025")</f>
        <v>2025</v>
      </c>
      <c r="G2797" s="35" t="str">
        <f>IFERROR(__xludf.DUMMYFUNCTION("""COMPUTED_VALUE"""),"BUSTAM")</f>
        <v>BUSTAM</v>
      </c>
      <c r="H2797" s="35" t="str">
        <f>IFERROR(__xludf.DUMMYFUNCTION("""COMPUTED_VALUE"""),"B7925083989")</f>
        <v>B7925083989</v>
      </c>
      <c r="I2797" s="35">
        <f>IFERROR(__xludf.DUMMYFUNCTION("""COMPUTED_VALUE"""),46.0)</f>
        <v>46</v>
      </c>
      <c r="J2797" s="35" t="str">
        <f>IFERROR(__xludf.DUMMYFUNCTION("""COMPUTED_VALUE"""),"&gt; 44 tahun")</f>
        <v>&gt; 44 tahun</v>
      </c>
      <c r="K2797" s="21" t="str">
        <f>IFERROR(__xludf.DUMMYFUNCTION("""COMPUTED_VALUE"""),"25/06/1979")</f>
        <v>25/06/1979</v>
      </c>
      <c r="L2797" s="21" t="str">
        <f>IFERROR(__xludf.DUMMYFUNCTION("""COMPUTED_VALUE"""),"LAKI-LAKI")</f>
        <v>LAKI-LAKI</v>
      </c>
      <c r="M2797" s="35" t="str">
        <f>IFERROR(__xludf.DUMMYFUNCTION("""COMPUTED_VALUE"""),"JL. PARIT PANGERAN NO.17")</f>
        <v>JL. PARIT PANGERAN NO.17</v>
      </c>
      <c r="N2797" s="35" t="str">
        <f>IFERROR(__xludf.DUMMYFUNCTION("""COMPUTED_VALUE"""),"SIANTAN HULU")</f>
        <v>SIANTAN HULU</v>
      </c>
      <c r="O2797" s="35" t="str">
        <f>IFERROR(__xludf.DUMMYFUNCTION("""COMPUTED_VALUE"""),"PONTIANAK UTARA")</f>
        <v>PONTIANAK UTARA</v>
      </c>
      <c r="P2797" s="35" t="str">
        <f>IFERROR(__xludf.DUMMYFUNCTION("""COMPUTED_VALUE"""),"PONTIANAK")</f>
        <v>PONTIANAK</v>
      </c>
      <c r="Q2797" s="35" t="str">
        <f>IFERROR(__xludf.DUMMYFUNCTION("""COMPUTED_VALUE"""),"KALIMANTAN BARAT")</f>
        <v>KALIMANTAN BARAT</v>
      </c>
      <c r="R2797" s="21" t="str">
        <f>IFERROR(__xludf.DUMMYFUNCTION("""COMPUTED_VALUE"""),"KHONGHUCU")</f>
        <v>KHONGHUCU</v>
      </c>
      <c r="S2797" s="74" t="str">
        <f>IFERROR(__xludf.DUMMYFUNCTION("""COMPUTED_VALUE"""),"KARYAWAN SWASTA")</f>
        <v>KARYAWAN SWASTA</v>
      </c>
      <c r="T2797" s="35" t="str">
        <f>IFERROR(__xludf.DUMMYFUNCTION("""COMPUTED_VALUE"""),"CEDERA PADA KAKI")</f>
        <v>CEDERA PADA KAKI</v>
      </c>
      <c r="U2797" s="35" t="str">
        <f>IFERROR(__xludf.DUMMYFUNCTION("""COMPUTED_VALUE"""),"MAIN MINI SOCCER")</f>
        <v>MAIN MINI SOCCER</v>
      </c>
      <c r="V2797" s="37" t="str">
        <f>IFERROR(__xludf.DUMMYFUNCTION("""COMPUTED_VALUE"""),"085310753989")</f>
        <v>085310753989</v>
      </c>
      <c r="W2797" s="45"/>
    </row>
    <row r="2798">
      <c r="A2798" s="45"/>
      <c r="B2798" s="24" t="str">
        <f>IFERROR(__xludf.DUMMYFUNCTION("""COMPUTED_VALUE"""),"27/08/2025 11:17:41")</f>
        <v>27/08/2025 11:17:41</v>
      </c>
      <c r="C2798" s="35"/>
      <c r="D2798" s="10">
        <f>IFERROR(__xludf.DUMMYFUNCTION("""COMPUTED_VALUE"""),45896.0)</f>
        <v>45896</v>
      </c>
      <c r="E2798" s="35" t="str">
        <f>IFERROR(__xludf.DUMMYFUNCTION("""COMPUTED_VALUE"""),"08Agu")</f>
        <v>08Agu</v>
      </c>
      <c r="F2798" s="34" t="str">
        <f>IFERROR(__xludf.DUMMYFUNCTION("""COMPUTED_VALUE"""),"2025")</f>
        <v>2025</v>
      </c>
      <c r="G2798" s="35" t="str">
        <f>IFERROR(__xludf.DUMMYFUNCTION("""COMPUTED_VALUE"""),"YUDHA WIJAYANTO")</f>
        <v>YUDHA WIJAYANTO</v>
      </c>
      <c r="H2798" s="35" t="str">
        <f>IFERROR(__xludf.DUMMYFUNCTION("""COMPUTED_VALUE"""),"Y9725084045")</f>
        <v>Y9725084045</v>
      </c>
      <c r="I2798" s="35">
        <f>IFERROR(__xludf.DUMMYFUNCTION("""COMPUTED_VALUE"""),29.0)</f>
        <v>29</v>
      </c>
      <c r="J2798" s="35" t="str">
        <f>IFERROR(__xludf.DUMMYFUNCTION("""COMPUTED_VALUE"""),"25-34 tahun")</f>
        <v>25-34 tahun</v>
      </c>
      <c r="K2798" s="21" t="str">
        <f>IFERROR(__xludf.DUMMYFUNCTION("""COMPUTED_VALUE"""),"17/04/1997")</f>
        <v>17/04/1997</v>
      </c>
      <c r="L2798" s="21" t="str">
        <f>IFERROR(__xludf.DUMMYFUNCTION("""COMPUTED_VALUE"""),"LAKI-LAKI")</f>
        <v>LAKI-LAKI</v>
      </c>
      <c r="M2798" s="35" t="str">
        <f>IFERROR(__xludf.DUMMYFUNCTION("""COMPUTED_VALUE"""),"JL.KOMYOS SUDARSO GG LEMBAYU NO 44")</f>
        <v>JL.KOMYOS SUDARSO GG LEMBAYU NO 44</v>
      </c>
      <c r="N2798" s="35" t="str">
        <f>IFERROR(__xludf.DUMMYFUNCTION("""COMPUTED_VALUE"""),"SUNGAI BELIUNG")</f>
        <v>SUNGAI BELIUNG</v>
      </c>
      <c r="O2798" s="35" t="str">
        <f>IFERROR(__xludf.DUMMYFUNCTION("""COMPUTED_VALUE"""),"PONTIANAK BARAT")</f>
        <v>PONTIANAK BARAT</v>
      </c>
      <c r="P2798" s="35" t="str">
        <f>IFERROR(__xludf.DUMMYFUNCTION("""COMPUTED_VALUE"""),"KOTA PONTIANAK")</f>
        <v>KOTA PONTIANAK</v>
      </c>
      <c r="Q2798" s="35" t="str">
        <f>IFERROR(__xludf.DUMMYFUNCTION("""COMPUTED_VALUE"""),"KALIMANTAN BARAT")</f>
        <v>KALIMANTAN BARAT</v>
      </c>
      <c r="R2798" s="21" t="str">
        <f>IFERROR(__xludf.DUMMYFUNCTION("""COMPUTED_VALUE"""),"ISLAM")</f>
        <v>ISLAM</v>
      </c>
      <c r="S2798" s="74" t="str">
        <f>IFERROR(__xludf.DUMMYFUNCTION("""COMPUTED_VALUE"""),"DINAS PUPR KOTA")</f>
        <v>DINAS PUPR KOTA</v>
      </c>
      <c r="T2798" s="35" t="str">
        <f>IFERROR(__xludf.DUMMYFUNCTION("""COMPUTED_VALUE"""),"NYERI DI BAGIAN LUTUT")</f>
        <v>NYERI DI BAGIAN LUTUT</v>
      </c>
      <c r="U2798" s="35" t="str">
        <f>IFERROR(__xludf.DUMMYFUNCTION("""COMPUTED_VALUE"""),"OLAHRAGA")</f>
        <v>OLAHRAGA</v>
      </c>
      <c r="V2798" s="37" t="str">
        <f>IFERROR(__xludf.DUMMYFUNCTION("""COMPUTED_VALUE"""),"081522964045")</f>
        <v>081522964045</v>
      </c>
      <c r="W2798" s="45"/>
    </row>
    <row r="2799">
      <c r="A2799" s="45"/>
      <c r="B2799" s="24" t="str">
        <f>IFERROR(__xludf.DUMMYFUNCTION("""COMPUTED_VALUE"""),"27/08/2025 12:14:34")</f>
        <v>27/08/2025 12:14:34</v>
      </c>
      <c r="C2799" s="35"/>
      <c r="D2799" s="10">
        <f>IFERROR(__xludf.DUMMYFUNCTION("""COMPUTED_VALUE"""),45896.0)</f>
        <v>45896</v>
      </c>
      <c r="E2799" s="35" t="str">
        <f>IFERROR(__xludf.DUMMYFUNCTION("""COMPUTED_VALUE"""),"08Agu")</f>
        <v>08Agu</v>
      </c>
      <c r="F2799" s="34" t="str">
        <f>IFERROR(__xludf.DUMMYFUNCTION("""COMPUTED_VALUE"""),"2025")</f>
        <v>2025</v>
      </c>
      <c r="G2799" s="35" t="str">
        <f>IFERROR(__xludf.DUMMYFUNCTION("""COMPUTED_VALUE"""),"ZULKIFLI HASANUDDIN")</f>
        <v>ZULKIFLI HASANUDDIN</v>
      </c>
      <c r="H2799" s="35" t="str">
        <f>IFERROR(__xludf.DUMMYFUNCTION("""COMPUTED_VALUE"""),"Z9325081191")</f>
        <v>Z9325081191</v>
      </c>
      <c r="I2799" s="35">
        <f>IFERROR(__xludf.DUMMYFUNCTION("""COMPUTED_VALUE"""),33.0)</f>
        <v>33</v>
      </c>
      <c r="J2799" s="35" t="str">
        <f>IFERROR(__xludf.DUMMYFUNCTION("""COMPUTED_VALUE"""),"25-34 tahun")</f>
        <v>25-34 tahun</v>
      </c>
      <c r="K2799" s="21" t="str">
        <f>IFERROR(__xludf.DUMMYFUNCTION("""COMPUTED_VALUE"""),"01/02/1993")</f>
        <v>01/02/1993</v>
      </c>
      <c r="L2799" s="21" t="str">
        <f>IFERROR(__xludf.DUMMYFUNCTION("""COMPUTED_VALUE"""),"LAKI-LAKI")</f>
        <v>LAKI-LAKI</v>
      </c>
      <c r="M2799" s="35" t="str">
        <f>IFERROR(__xludf.DUMMYFUNCTION("""COMPUTED_VALUE"""),"JL. KH. WAHID HASYIM NO.182")</f>
        <v>JL. KH. WAHID HASYIM NO.182</v>
      </c>
      <c r="N2799" s="35" t="str">
        <f>IFERROR(__xludf.DUMMYFUNCTION("""COMPUTED_VALUE"""),"JL. KH. WAHID HASYIM NO.182")</f>
        <v>JL. KH. WAHID HASYIM NO.182</v>
      </c>
      <c r="O2799" s="35" t="str">
        <f>IFERROR(__xludf.DUMMYFUNCTION("""COMPUTED_VALUE"""),"PONTIANAK KOTA")</f>
        <v>PONTIANAK KOTA</v>
      </c>
      <c r="P2799" s="35" t="str">
        <f>IFERROR(__xludf.DUMMYFUNCTION("""COMPUTED_VALUE"""),"KALIMANTAN BARAT")</f>
        <v>KALIMANTAN BARAT</v>
      </c>
      <c r="Q2799" s="35" t="str">
        <f>IFERROR(__xludf.DUMMYFUNCTION("""COMPUTED_VALUE"""),"KALIMANTAN BARAT")</f>
        <v>KALIMANTAN BARAT</v>
      </c>
      <c r="R2799" s="21" t="str">
        <f>IFERROR(__xludf.DUMMYFUNCTION("""COMPUTED_VALUE"""),"ISLAM")</f>
        <v>ISLAM</v>
      </c>
      <c r="S2799" s="74" t="str">
        <f>IFERROR(__xludf.DUMMYFUNCTION("""COMPUTED_VALUE"""),"KARYAWAN")</f>
        <v>KARYAWAN</v>
      </c>
      <c r="T2799" s="35" t="str">
        <f>IFERROR(__xludf.DUMMYFUNCTION("""COMPUTED_VALUE"""),"HABIS MARATHON")</f>
        <v>HABIS MARATHON</v>
      </c>
      <c r="U2799" s="35" t="str">
        <f>IFERROR(__xludf.DUMMYFUNCTION("""COMPUTED_VALUE"""),"LARI")</f>
        <v>LARI</v>
      </c>
      <c r="V2799" s="37" t="str">
        <f>IFERROR(__xludf.DUMMYFUNCTION("""COMPUTED_VALUE"""),"085242111191")</f>
        <v>085242111191</v>
      </c>
      <c r="W2799" s="45"/>
    </row>
    <row r="2800">
      <c r="A2800" s="45"/>
      <c r="B2800" s="24" t="str">
        <f>IFERROR(__xludf.DUMMYFUNCTION("""COMPUTED_VALUE"""),"27/08/2025 17:38:56")</f>
        <v>27/08/2025 17:38:56</v>
      </c>
      <c r="C2800" s="35"/>
      <c r="D2800" s="10">
        <f>IFERROR(__xludf.DUMMYFUNCTION("""COMPUTED_VALUE"""),45896.0)</f>
        <v>45896</v>
      </c>
      <c r="E2800" s="35" t="str">
        <f>IFERROR(__xludf.DUMMYFUNCTION("""COMPUTED_VALUE"""),"08Agu")</f>
        <v>08Agu</v>
      </c>
      <c r="F2800" s="34" t="str">
        <f>IFERROR(__xludf.DUMMYFUNCTION("""COMPUTED_VALUE"""),"2025")</f>
        <v>2025</v>
      </c>
      <c r="G2800" s="35" t="str">
        <f>IFERROR(__xludf.DUMMYFUNCTION("""COMPUTED_VALUE"""),"TJUNG KHET THIN")</f>
        <v>TJUNG KHET THIN</v>
      </c>
      <c r="H2800" s="35" t="str">
        <f>IFERROR(__xludf.DUMMYFUNCTION("""COMPUTED_VALUE"""),"T5825085129")</f>
        <v>T5825085129</v>
      </c>
      <c r="I2800" s="35">
        <f>IFERROR(__xludf.DUMMYFUNCTION("""COMPUTED_VALUE"""),68.0)</f>
        <v>68</v>
      </c>
      <c r="J2800" s="35" t="str">
        <f>IFERROR(__xludf.DUMMYFUNCTION("""COMPUTED_VALUE"""),"&gt; 44 tahun")</f>
        <v>&gt; 44 tahun</v>
      </c>
      <c r="K2800" s="21" t="str">
        <f>IFERROR(__xludf.DUMMYFUNCTION("""COMPUTED_VALUE"""),"02/04/1958")</f>
        <v>02/04/1958</v>
      </c>
      <c r="L2800" s="21" t="str">
        <f>IFERROR(__xludf.DUMMYFUNCTION("""COMPUTED_VALUE"""),"PEREMPUAN")</f>
        <v>PEREMPUAN</v>
      </c>
      <c r="M2800" s="35" t="str">
        <f>IFERROR(__xludf.DUMMYFUNCTION("""COMPUTED_VALUE"""),"GG. PAGAR ALAM NO.08")</f>
        <v>GG. PAGAR ALAM NO.08</v>
      </c>
      <c r="N2800" s="35" t="str">
        <f>IFERROR(__xludf.DUMMYFUNCTION("""COMPUTED_VALUE"""),"BENUA MELAYU DARAT")</f>
        <v>BENUA MELAYU DARAT</v>
      </c>
      <c r="O2800" s="35" t="str">
        <f>IFERROR(__xludf.DUMMYFUNCTION("""COMPUTED_VALUE"""),"PONTIANAK SELATAN")</f>
        <v>PONTIANAK SELATAN</v>
      </c>
      <c r="P2800" s="35" t="str">
        <f>IFERROR(__xludf.DUMMYFUNCTION("""COMPUTED_VALUE"""),"PONTIANAK")</f>
        <v>PONTIANAK</v>
      </c>
      <c r="Q2800" s="35" t="str">
        <f>IFERROR(__xludf.DUMMYFUNCTION("""COMPUTED_VALUE"""),"KALIMANTAN BARAT")</f>
        <v>KALIMANTAN BARAT</v>
      </c>
      <c r="R2800" s="21" t="str">
        <f>IFERROR(__xludf.DUMMYFUNCTION("""COMPUTED_VALUE"""),"LAINNYA")</f>
        <v>LAINNYA</v>
      </c>
      <c r="S2800" s="74" t="str">
        <f>IFERROR(__xludf.DUMMYFUNCTION("""COMPUTED_VALUE"""),"IRT")</f>
        <v>IRT</v>
      </c>
      <c r="T2800" s="35" t="str">
        <f>IFERROR(__xludf.DUMMYFUNCTION("""COMPUTED_VALUE"""),"HABIS OPERASI GANTI TEMPURUNG LUTUT")</f>
        <v>HABIS OPERASI GANTI TEMPURUNG LUTUT</v>
      </c>
      <c r="U2800" s="35" t="str">
        <f>IFERROR(__xludf.DUMMYFUNCTION("""COMPUTED_VALUE"""),"-")</f>
        <v>-</v>
      </c>
      <c r="V2800" s="37" t="str">
        <f>IFERROR(__xludf.DUMMYFUNCTION("""COMPUTED_VALUE"""),"089670485129")</f>
        <v>089670485129</v>
      </c>
      <c r="W2800" s="45"/>
    </row>
    <row r="2801">
      <c r="A2801" s="45"/>
      <c r="B2801" s="24" t="str">
        <f>IFERROR(__xludf.DUMMYFUNCTION("""COMPUTED_VALUE"""),"28/08/2025 13:40:32")</f>
        <v>28/08/2025 13:40:32</v>
      </c>
      <c r="C2801" s="35"/>
      <c r="D2801" s="10">
        <f>IFERROR(__xludf.DUMMYFUNCTION("""COMPUTED_VALUE"""),45897.0)</f>
        <v>45897</v>
      </c>
      <c r="E2801" s="35" t="str">
        <f>IFERROR(__xludf.DUMMYFUNCTION("""COMPUTED_VALUE"""),"08Agu")</f>
        <v>08Agu</v>
      </c>
      <c r="F2801" s="34" t="str">
        <f>IFERROR(__xludf.DUMMYFUNCTION("""COMPUTED_VALUE"""),"2025")</f>
        <v>2025</v>
      </c>
      <c r="G2801" s="35" t="str">
        <f>IFERROR(__xludf.DUMMYFUNCTION("""COMPUTED_VALUE"""),"MARKAL")</f>
        <v>MARKAL</v>
      </c>
      <c r="H2801" s="35" t="str">
        <f>IFERROR(__xludf.DUMMYFUNCTION("""COMPUTED_VALUE"""),"M6525082222")</f>
        <v>M6525082222</v>
      </c>
      <c r="I2801" s="35">
        <f>IFERROR(__xludf.DUMMYFUNCTION("""COMPUTED_VALUE"""),61.0)</f>
        <v>61</v>
      </c>
      <c r="J2801" s="35" t="str">
        <f>IFERROR(__xludf.DUMMYFUNCTION("""COMPUTED_VALUE"""),"&gt; 44 tahun")</f>
        <v>&gt; 44 tahun</v>
      </c>
      <c r="K2801" s="21" t="str">
        <f>IFERROR(__xludf.DUMMYFUNCTION("""COMPUTED_VALUE"""),"02/02/1965")</f>
        <v>02/02/1965</v>
      </c>
      <c r="L2801" s="21" t="str">
        <f>IFERROR(__xludf.DUMMYFUNCTION("""COMPUTED_VALUE"""),"LAKI-LAKI")</f>
        <v>LAKI-LAKI</v>
      </c>
      <c r="M2801" s="35" t="str">
        <f>IFERROR(__xludf.DUMMYFUNCTION("""COMPUTED_VALUE"""),"JL HUSEIN HAMZAH GANG IKHSAN NO 15")</f>
        <v>JL HUSEIN HAMZAH GANG IKHSAN NO 15</v>
      </c>
      <c r="N2801" s="35" t="str">
        <f>IFERROR(__xludf.DUMMYFUNCTION("""COMPUTED_VALUE"""),"SUNGAI JAWI DALAM")</f>
        <v>SUNGAI JAWI DALAM</v>
      </c>
      <c r="O2801" s="35" t="str">
        <f>IFERROR(__xludf.DUMMYFUNCTION("""COMPUTED_VALUE"""),"PONTIANAK BARAT")</f>
        <v>PONTIANAK BARAT</v>
      </c>
      <c r="P2801" s="35" t="str">
        <f>IFERROR(__xludf.DUMMYFUNCTION("""COMPUTED_VALUE"""),"PONTIA AM")</f>
        <v>PONTIA AM</v>
      </c>
      <c r="Q2801" s="35" t="str">
        <f>IFERROR(__xludf.DUMMYFUNCTION("""COMPUTED_VALUE"""),"KALIMANTAN BARAT")</f>
        <v>KALIMANTAN BARAT</v>
      </c>
      <c r="R2801" s="21" t="str">
        <f>IFERROR(__xludf.DUMMYFUNCTION("""COMPUTED_VALUE"""),"ISLAM")</f>
        <v>ISLAM</v>
      </c>
      <c r="S2801" s="74" t="str">
        <f>IFERROR(__xludf.DUMMYFUNCTION("""COMPUTED_VALUE"""),"-")</f>
        <v>-</v>
      </c>
      <c r="T2801" s="35" t="str">
        <f>IFERROR(__xludf.DUMMYFUNCTION("""COMPUTED_VALUE"""),"TANGAN")</f>
        <v>TANGAN</v>
      </c>
      <c r="U2801" s="35" t="str">
        <f>IFERROR(__xludf.DUMMYFUNCTION("""COMPUTED_VALUE"""),"-")</f>
        <v>-</v>
      </c>
      <c r="V2801" s="37" t="str">
        <f>IFERROR(__xludf.DUMMYFUNCTION("""COMPUTED_VALUE"""),"0085246462222")</f>
        <v>0085246462222</v>
      </c>
      <c r="W2801" s="45"/>
    </row>
    <row r="2802">
      <c r="A2802" s="45"/>
      <c r="B2802" s="24" t="str">
        <f>IFERROR(__xludf.DUMMYFUNCTION("""COMPUTED_VALUE"""),"28/08/2025 16:13:41")</f>
        <v>28/08/2025 16:13:41</v>
      </c>
      <c r="C2802" s="35"/>
      <c r="D2802" s="10">
        <f>IFERROR(__xludf.DUMMYFUNCTION("""COMPUTED_VALUE"""),45897.0)</f>
        <v>45897</v>
      </c>
      <c r="E2802" s="35" t="str">
        <f>IFERROR(__xludf.DUMMYFUNCTION("""COMPUTED_VALUE"""),"08Agu")</f>
        <v>08Agu</v>
      </c>
      <c r="F2802" s="34" t="str">
        <f>IFERROR(__xludf.DUMMYFUNCTION("""COMPUTED_VALUE"""),"2025")</f>
        <v>2025</v>
      </c>
      <c r="G2802" s="35" t="str">
        <f>IFERROR(__xludf.DUMMYFUNCTION("""COMPUTED_VALUE"""),"YURWARTINI")</f>
        <v>YURWARTINI</v>
      </c>
      <c r="H2802" s="35" t="str">
        <f>IFERROR(__xludf.DUMMYFUNCTION("""COMPUTED_VALUE"""),"Y6225086451")</f>
        <v>Y6225086451</v>
      </c>
      <c r="I2802" s="35">
        <f>IFERROR(__xludf.DUMMYFUNCTION("""COMPUTED_VALUE"""),64.0)</f>
        <v>64</v>
      </c>
      <c r="J2802" s="35" t="str">
        <f>IFERROR(__xludf.DUMMYFUNCTION("""COMPUTED_VALUE"""),"&gt; 44 tahun")</f>
        <v>&gt; 44 tahun</v>
      </c>
      <c r="K2802" s="21" t="str">
        <f>IFERROR(__xludf.DUMMYFUNCTION("""COMPUTED_VALUE"""),"10/02/1962")</f>
        <v>10/02/1962</v>
      </c>
      <c r="L2802" s="21" t="str">
        <f>IFERROR(__xludf.DUMMYFUNCTION("""COMPUTED_VALUE"""),"PEREMPUAN")</f>
        <v>PEREMPUAN</v>
      </c>
      <c r="M2802" s="35" t="str">
        <f>IFERROR(__xludf.DUMMYFUNCTION("""COMPUTED_VALUE"""),"JALAN SELAYAR")</f>
        <v>JALAN SELAYAR</v>
      </c>
      <c r="N2802" s="35" t="str">
        <f>IFERROR(__xludf.DUMMYFUNCTION("""COMPUTED_VALUE"""),"AKCAYA")</f>
        <v>AKCAYA</v>
      </c>
      <c r="O2802" s="35" t="str">
        <f>IFERROR(__xludf.DUMMYFUNCTION("""COMPUTED_VALUE"""),"PONTIANAK SELATAN")</f>
        <v>PONTIANAK SELATAN</v>
      </c>
      <c r="P2802" s="35" t="str">
        <f>IFERROR(__xludf.DUMMYFUNCTION("""COMPUTED_VALUE"""),"PONTIANAK")</f>
        <v>PONTIANAK</v>
      </c>
      <c r="Q2802" s="35" t="str">
        <f>IFERROR(__xludf.DUMMYFUNCTION("""COMPUTED_VALUE"""),"KALIMANTAN BARAT")</f>
        <v>KALIMANTAN BARAT</v>
      </c>
      <c r="R2802" s="21" t="str">
        <f>IFERROR(__xludf.DUMMYFUNCTION("""COMPUTED_VALUE"""),"ISLAM")</f>
        <v>ISLAM</v>
      </c>
      <c r="S2802" s="74" t="str">
        <f>IFERROR(__xludf.DUMMYFUNCTION("""COMPUTED_VALUE"""),"IBU RUMAH TANGGA")</f>
        <v>IBU RUMAH TANGGA</v>
      </c>
      <c r="T2802" s="35" t="str">
        <f>IFERROR(__xludf.DUMMYFUNCTION("""COMPUTED_VALUE"""),"LUTUT KANAN")</f>
        <v>LUTUT KANAN</v>
      </c>
      <c r="U2802" s="35" t="str">
        <f>IFERROR(__xludf.DUMMYFUNCTION("""COMPUTED_VALUE"""),"TIDAK ADA")</f>
        <v>TIDAK ADA</v>
      </c>
      <c r="V2802" s="37" t="str">
        <f>IFERROR(__xludf.DUMMYFUNCTION("""COMPUTED_VALUE"""),"08125636451")</f>
        <v>08125636451</v>
      </c>
      <c r="W2802" s="45"/>
    </row>
    <row r="2803">
      <c r="A2803" s="45"/>
      <c r="B2803" s="24" t="str">
        <f>IFERROR(__xludf.DUMMYFUNCTION("""COMPUTED_VALUE"""),"28/08/2025 17:53:52")</f>
        <v>28/08/2025 17:53:52</v>
      </c>
      <c r="C2803" s="35"/>
      <c r="D2803" s="10">
        <f>IFERROR(__xludf.DUMMYFUNCTION("""COMPUTED_VALUE"""),45897.0)</f>
        <v>45897</v>
      </c>
      <c r="E2803" s="35" t="str">
        <f>IFERROR(__xludf.DUMMYFUNCTION("""COMPUTED_VALUE"""),"08Agu")</f>
        <v>08Agu</v>
      </c>
      <c r="F2803" s="34" t="str">
        <f>IFERROR(__xludf.DUMMYFUNCTION("""COMPUTED_VALUE"""),"2025")</f>
        <v>2025</v>
      </c>
      <c r="G2803" s="35" t="str">
        <f>IFERROR(__xludf.DUMMYFUNCTION("""COMPUTED_VALUE"""),"IIN NUR INDAHSAH")</f>
        <v>IIN NUR INDAHSAH</v>
      </c>
      <c r="H2803" s="35" t="str">
        <f>IFERROR(__xludf.DUMMYFUNCTION("""COMPUTED_VALUE"""),"I9325088707")</f>
        <v>I9325088707</v>
      </c>
      <c r="I2803" s="35">
        <f>IFERROR(__xludf.DUMMYFUNCTION("""COMPUTED_VALUE"""),32.0)</f>
        <v>32</v>
      </c>
      <c r="J2803" s="35" t="str">
        <f>IFERROR(__xludf.DUMMYFUNCTION("""COMPUTED_VALUE"""),"25-34 tahun")</f>
        <v>25-34 tahun</v>
      </c>
      <c r="K2803" s="21" t="str">
        <f>IFERROR(__xludf.DUMMYFUNCTION("""COMPUTED_VALUE"""),"22/12/1993")</f>
        <v>22/12/1993</v>
      </c>
      <c r="L2803" s="21" t="str">
        <f>IFERROR(__xludf.DUMMYFUNCTION("""COMPUTED_VALUE"""),"LAKI-LAKI")</f>
        <v>LAKI-LAKI</v>
      </c>
      <c r="M2803" s="35" t="str">
        <f>IFERROR(__xludf.DUMMYFUNCTION("""COMPUTED_VALUE"""),"PINANG DALAM")</f>
        <v>PINANG DALAM</v>
      </c>
      <c r="N2803" s="35" t="str">
        <f>IFERROR(__xludf.DUMMYFUNCTION("""COMPUTED_VALUE"""),"PINANG DALAM")</f>
        <v>PINANG DALAM</v>
      </c>
      <c r="O2803" s="35" t="str">
        <f>IFERROR(__xludf.DUMMYFUNCTION("""COMPUTED_VALUE"""),"KUBU")</f>
        <v>KUBU</v>
      </c>
      <c r="P2803" s="35" t="str">
        <f>IFERROR(__xludf.DUMMYFUNCTION("""COMPUTED_VALUE"""),"KUBU RAYA")</f>
        <v>KUBU RAYA</v>
      </c>
      <c r="Q2803" s="35" t="str">
        <f>IFERROR(__xludf.DUMMYFUNCTION("""COMPUTED_VALUE"""),"KALBAR")</f>
        <v>KALBAR</v>
      </c>
      <c r="R2803" s="21" t="str">
        <f>IFERROR(__xludf.DUMMYFUNCTION("""COMPUTED_VALUE"""),"ISLAM")</f>
        <v>ISLAM</v>
      </c>
      <c r="S2803" s="74" t="str">
        <f>IFERROR(__xludf.DUMMYFUNCTION("""COMPUTED_VALUE"""),"SWASTA")</f>
        <v>SWASTA</v>
      </c>
      <c r="T2803" s="35" t="str">
        <f>IFERROR(__xludf.DUMMYFUNCTION("""COMPUTED_VALUE"""),"SAKIT PINGUL MENJALAR KE BETIS")</f>
        <v>SAKIT PINGUL MENJALAR KE BETIS</v>
      </c>
      <c r="U2803" s="35" t="str">
        <f>IFERROR(__xludf.DUMMYFUNCTION("""COMPUTED_VALUE"""),"BOLA KAKI")</f>
        <v>BOLA KAKI</v>
      </c>
      <c r="V2803" s="37" t="str">
        <f>IFERROR(__xludf.DUMMYFUNCTION("""COMPUTED_VALUE"""),"085249958707")</f>
        <v>085249958707</v>
      </c>
      <c r="W2803" s="45"/>
    </row>
    <row r="2804">
      <c r="A2804" s="45"/>
      <c r="B2804" s="24" t="str">
        <f>IFERROR(__xludf.DUMMYFUNCTION("""COMPUTED_VALUE"""),"29/08/2025 14:23:49")</f>
        <v>29/08/2025 14:23:49</v>
      </c>
      <c r="C2804" s="35"/>
      <c r="D2804" s="10">
        <f>IFERROR(__xludf.DUMMYFUNCTION("""COMPUTED_VALUE"""),45898.0)</f>
        <v>45898</v>
      </c>
      <c r="E2804" s="35" t="str">
        <f>IFERROR(__xludf.DUMMYFUNCTION("""COMPUTED_VALUE"""),"08Agu")</f>
        <v>08Agu</v>
      </c>
      <c r="F2804" s="34" t="str">
        <f>IFERROR(__xludf.DUMMYFUNCTION("""COMPUTED_VALUE"""),"2025")</f>
        <v>2025</v>
      </c>
      <c r="G2804" s="35" t="str">
        <f>IFERROR(__xludf.DUMMYFUNCTION("""COMPUTED_VALUE"""),"ACHMAD RIKO JULIANSYA")</f>
        <v>ACHMAD RIKO JULIANSYA</v>
      </c>
      <c r="H2804" s="35" t="str">
        <f>IFERROR(__xludf.DUMMYFUNCTION("""COMPUTED_VALUE"""),"A0525084273")</f>
        <v>A0525084273</v>
      </c>
      <c r="I2804" s="35">
        <f>IFERROR(__xludf.DUMMYFUNCTION("""COMPUTED_VALUE"""),20.0)</f>
        <v>20</v>
      </c>
      <c r="J2804" s="35" t="str">
        <f>IFERROR(__xludf.DUMMYFUNCTION("""COMPUTED_VALUE"""),"18-24 tahun")</f>
        <v>18-24 tahun</v>
      </c>
      <c r="K2804" s="21" t="str">
        <f>IFERROR(__xludf.DUMMYFUNCTION("""COMPUTED_VALUE"""),"23/07/2005")</f>
        <v>23/07/2005</v>
      </c>
      <c r="L2804" s="21" t="str">
        <f>IFERROR(__xludf.DUMMYFUNCTION("""COMPUTED_VALUE"""),"LAKI-LAKI")</f>
        <v>LAKI-LAKI</v>
      </c>
      <c r="M2804" s="35" t="str">
        <f>IFERROR(__xludf.DUMMYFUNCTION("""COMPUTED_VALUE"""),"JALAN KARET PERMAIN GG SUKA DAMAI NO 2A")</f>
        <v>JALAN KARET PERMAIN GG SUKA DAMAI NO 2A</v>
      </c>
      <c r="N2804" s="35" t="str">
        <f>IFERROR(__xludf.DUMMYFUNCTION("""COMPUTED_VALUE"""),"KELURAHAN PAL LIMA")</f>
        <v>KELURAHAN PAL LIMA</v>
      </c>
      <c r="O2804" s="35" t="str">
        <f>IFERROR(__xludf.DUMMYFUNCTION("""COMPUTED_VALUE"""),"PONTIANAK BARAT")</f>
        <v>PONTIANAK BARAT</v>
      </c>
      <c r="P2804" s="35" t="str">
        <f>IFERROR(__xludf.DUMMYFUNCTION("""COMPUTED_VALUE"""),"KOTA PONTIANAK")</f>
        <v>KOTA PONTIANAK</v>
      </c>
      <c r="Q2804" s="35" t="str">
        <f>IFERROR(__xludf.DUMMYFUNCTION("""COMPUTED_VALUE"""),"KALIMANTAN BARAT")</f>
        <v>KALIMANTAN BARAT</v>
      </c>
      <c r="R2804" s="21" t="str">
        <f>IFERROR(__xludf.DUMMYFUNCTION("""COMPUTED_VALUE"""),"ISLAM")</f>
        <v>ISLAM</v>
      </c>
      <c r="S2804" s="74" t="str">
        <f>IFERROR(__xludf.DUMMYFUNCTION("""COMPUTED_VALUE"""),"MAHASISWA")</f>
        <v>MAHASISWA</v>
      </c>
      <c r="T2804" s="35" t="str">
        <f>IFERROR(__xludf.DUMMYFUNCTION("""COMPUTED_VALUE"""),"CIDERA ANGKLE")</f>
        <v>CIDERA ANGKLE</v>
      </c>
      <c r="U2804" s="35" t="str">
        <f>IFERROR(__xludf.DUMMYFUNCTION("""COMPUTED_VALUE"""),"MAIN FUTSAL DAN BOLA")</f>
        <v>MAIN FUTSAL DAN BOLA</v>
      </c>
      <c r="V2804" s="37" t="str">
        <f>IFERROR(__xludf.DUMMYFUNCTION("""COMPUTED_VALUE"""),"089694034273")</f>
        <v>089694034273</v>
      </c>
      <c r="W2804" s="45"/>
    </row>
    <row r="2805">
      <c r="A2805" s="45"/>
      <c r="B2805" s="24" t="str">
        <f>IFERROR(__xludf.DUMMYFUNCTION("""COMPUTED_VALUE"""),"29/08/2025 14:29:32")</f>
        <v>29/08/2025 14:29:32</v>
      </c>
      <c r="C2805" s="35"/>
      <c r="D2805" s="10">
        <f>IFERROR(__xludf.DUMMYFUNCTION("""COMPUTED_VALUE"""),45898.0)</f>
        <v>45898</v>
      </c>
      <c r="E2805" s="35" t="str">
        <f>IFERROR(__xludf.DUMMYFUNCTION("""COMPUTED_VALUE"""),"08Agu")</f>
        <v>08Agu</v>
      </c>
      <c r="F2805" s="34" t="str">
        <f>IFERROR(__xludf.DUMMYFUNCTION("""COMPUTED_VALUE"""),"2025")</f>
        <v>2025</v>
      </c>
      <c r="G2805" s="35" t="str">
        <f>IFERROR(__xludf.DUMMYFUNCTION("""COMPUTED_VALUE"""),"LIZZA NURFITRIANA")</f>
        <v>LIZZA NURFITRIANA</v>
      </c>
      <c r="H2805" s="35" t="str">
        <f>IFERROR(__xludf.DUMMYFUNCTION("""COMPUTED_VALUE"""),"L9125089927")</f>
        <v>L9125089927</v>
      </c>
      <c r="I2805" s="35">
        <f>IFERROR(__xludf.DUMMYFUNCTION("""COMPUTED_VALUE"""),35.0)</f>
        <v>35</v>
      </c>
      <c r="J2805" s="35" t="str">
        <f>IFERROR(__xludf.DUMMYFUNCTION("""COMPUTED_VALUE"""),"35-44 tahun")</f>
        <v>35-44 tahun</v>
      </c>
      <c r="K2805" s="21" t="str">
        <f>IFERROR(__xludf.DUMMYFUNCTION("""COMPUTED_VALUE"""),"26/03/1991")</f>
        <v>26/03/1991</v>
      </c>
      <c r="L2805" s="21" t="str">
        <f>IFERROR(__xludf.DUMMYFUNCTION("""COMPUTED_VALUE"""),"PEREMPUAN")</f>
        <v>PEREMPUAN</v>
      </c>
      <c r="M2805" s="35" t="str">
        <f>IFERROR(__xludf.DUMMYFUNCTION("""COMPUTED_VALUE"""),"JL KARYA BARU KOMPLEK BALI AGUNG 1")</f>
        <v>JL KARYA BARU KOMPLEK BALI AGUNG 1</v>
      </c>
      <c r="N2805" s="35" t="str">
        <f>IFERROR(__xludf.DUMMYFUNCTION("""COMPUTED_VALUE"""),"PARIT TOKAYA")</f>
        <v>PARIT TOKAYA</v>
      </c>
      <c r="O2805" s="35" t="str">
        <f>IFERROR(__xludf.DUMMYFUNCTION("""COMPUTED_VALUE"""),"PONTIANAK SELATAN")</f>
        <v>PONTIANAK SELATAN</v>
      </c>
      <c r="P2805" s="35" t="str">
        <f>IFERROR(__xludf.DUMMYFUNCTION("""COMPUTED_VALUE"""),"PONTIANAK")</f>
        <v>PONTIANAK</v>
      </c>
      <c r="Q2805" s="35" t="str">
        <f>IFERROR(__xludf.DUMMYFUNCTION("""COMPUTED_VALUE"""),"KALIMANTAN BARAT")</f>
        <v>KALIMANTAN BARAT</v>
      </c>
      <c r="R2805" s="21" t="str">
        <f>IFERROR(__xludf.DUMMYFUNCTION("""COMPUTED_VALUE"""),"ISLAM")</f>
        <v>ISLAM</v>
      </c>
      <c r="S2805" s="74" t="str">
        <f>IFERROR(__xludf.DUMMYFUNCTION("""COMPUTED_VALUE"""),"PNS")</f>
        <v>PNS</v>
      </c>
      <c r="T2805" s="35" t="str">
        <f>IFERROR(__xludf.DUMMYFUNCTION("""COMPUTED_VALUE"""),"NYERI PINGGUL BELAKANG")</f>
        <v>NYERI PINGGUL BELAKANG</v>
      </c>
      <c r="U2805" s="35" t="str">
        <f>IFERROR(__xludf.DUMMYFUNCTION("""COMPUTED_VALUE"""),"MENGGENDONG")</f>
        <v>MENGGENDONG</v>
      </c>
      <c r="V2805" s="37" t="str">
        <f>IFERROR(__xludf.DUMMYFUNCTION("""COMPUTED_VALUE"""),"089699729927")</f>
        <v>089699729927</v>
      </c>
      <c r="W2805" s="45"/>
    </row>
    <row r="2806">
      <c r="A2806" s="45"/>
      <c r="B2806" s="24" t="str">
        <f>IFERROR(__xludf.DUMMYFUNCTION("""COMPUTED_VALUE"""),"29/08/2025 17:56:17")</f>
        <v>29/08/2025 17:56:17</v>
      </c>
      <c r="C2806" s="35"/>
      <c r="D2806" s="10">
        <f>IFERROR(__xludf.DUMMYFUNCTION("""COMPUTED_VALUE"""),45898.0)</f>
        <v>45898</v>
      </c>
      <c r="E2806" s="35" t="str">
        <f>IFERROR(__xludf.DUMMYFUNCTION("""COMPUTED_VALUE"""),"08Agu")</f>
        <v>08Agu</v>
      </c>
      <c r="F2806" s="34" t="str">
        <f>IFERROR(__xludf.DUMMYFUNCTION("""COMPUTED_VALUE"""),"2025")</f>
        <v>2025</v>
      </c>
      <c r="G2806" s="35" t="str">
        <f>IFERROR(__xludf.DUMMYFUNCTION("""COMPUTED_VALUE"""),"NURDILA YULIANTI")</f>
        <v>NURDILA YULIANTI</v>
      </c>
      <c r="H2806" s="35" t="str">
        <f>IFERROR(__xludf.DUMMYFUNCTION("""COMPUTED_VALUE"""),"N9025080662")</f>
        <v>N9025080662</v>
      </c>
      <c r="I2806" s="35">
        <f>IFERROR(__xludf.DUMMYFUNCTION("""COMPUTED_VALUE"""),35.0)</f>
        <v>35</v>
      </c>
      <c r="J2806" s="35" t="str">
        <f>IFERROR(__xludf.DUMMYFUNCTION("""COMPUTED_VALUE"""),"35-44 tahun")</f>
        <v>35-44 tahun</v>
      </c>
      <c r="K2806" s="21" t="str">
        <f>IFERROR(__xludf.DUMMYFUNCTION("""COMPUTED_VALUE"""),"30/07/1990")</f>
        <v>30/07/1990</v>
      </c>
      <c r="L2806" s="21" t="str">
        <f>IFERROR(__xludf.DUMMYFUNCTION("""COMPUTED_VALUE"""),"PEREMPUAN")</f>
        <v>PEREMPUAN</v>
      </c>
      <c r="M2806" s="35" t="str">
        <f>IFERROR(__xludf.DUMMYFUNCTION("""COMPUTED_VALUE"""),"JLN UMUTHALIB")</f>
        <v>JLN UMUTHALIB</v>
      </c>
      <c r="N2806" s="35" t="str">
        <f>IFERROR(__xludf.DUMMYFUNCTION("""COMPUTED_VALUE"""),"SUI JAWI LUAR")</f>
        <v>SUI JAWI LUAR</v>
      </c>
      <c r="O2806" s="35" t="str">
        <f>IFERROR(__xludf.DUMMYFUNCTION("""COMPUTED_VALUE"""),"PONTIANAK BARAT")</f>
        <v>PONTIANAK BARAT</v>
      </c>
      <c r="P2806" s="35" t="str">
        <f>IFERROR(__xludf.DUMMYFUNCTION("""COMPUTED_VALUE"""),"KOTA PONTIANAK")</f>
        <v>KOTA PONTIANAK</v>
      </c>
      <c r="Q2806" s="35" t="str">
        <f>IFERROR(__xludf.DUMMYFUNCTION("""COMPUTED_VALUE"""),"KALBAR")</f>
        <v>KALBAR</v>
      </c>
      <c r="R2806" s="21" t="str">
        <f>IFERROR(__xludf.DUMMYFUNCTION("""COMPUTED_VALUE"""),"ISLAM")</f>
        <v>ISLAM</v>
      </c>
      <c r="S2806" s="74" t="str">
        <f>IFERROR(__xludf.DUMMYFUNCTION("""COMPUTED_VALUE"""),"PNS")</f>
        <v>PNS</v>
      </c>
      <c r="T2806" s="35" t="str">
        <f>IFERROR(__xludf.DUMMYFUNCTION("""COMPUTED_VALUE"""),"LUTUT SAKIT")</f>
        <v>LUTUT SAKIT</v>
      </c>
      <c r="U2806" s="35" t="str">
        <f>IFERROR(__xludf.DUMMYFUNCTION("""COMPUTED_VALUE"""),"DUDUK SEHARIAN")</f>
        <v>DUDUK SEHARIAN</v>
      </c>
      <c r="V2806" s="37" t="str">
        <f>IFERROR(__xludf.DUMMYFUNCTION("""COMPUTED_VALUE"""),"085245600662")</f>
        <v>085245600662</v>
      </c>
      <c r="W2806" s="45"/>
    </row>
    <row r="2807">
      <c r="A2807" s="45"/>
      <c r="B2807" s="24" t="str">
        <f>IFERROR(__xludf.DUMMYFUNCTION("""COMPUTED_VALUE"""),"31/08/2025 10:20:31")</f>
        <v>31/08/2025 10:20:31</v>
      </c>
      <c r="C2807" s="35"/>
      <c r="D2807" s="10">
        <f>IFERROR(__xludf.DUMMYFUNCTION("""COMPUTED_VALUE"""),45900.0)</f>
        <v>45900</v>
      </c>
      <c r="E2807" s="35" t="str">
        <f>IFERROR(__xludf.DUMMYFUNCTION("""COMPUTED_VALUE"""),"08Agu")</f>
        <v>08Agu</v>
      </c>
      <c r="F2807" s="34" t="str">
        <f>IFERROR(__xludf.DUMMYFUNCTION("""COMPUTED_VALUE"""),"2025")</f>
        <v>2025</v>
      </c>
      <c r="G2807" s="35" t="str">
        <f>IFERROR(__xludf.DUMMYFUNCTION("""COMPUTED_VALUE"""),"RAFAEL GIOFANI")</f>
        <v>RAFAEL GIOFANI</v>
      </c>
      <c r="H2807" s="35" t="str">
        <f>IFERROR(__xludf.DUMMYFUNCTION("""COMPUTED_VALUE"""),"R0525089466")</f>
        <v>R0525089466</v>
      </c>
      <c r="I2807" s="35">
        <f>IFERROR(__xludf.DUMMYFUNCTION("""COMPUTED_VALUE"""),21.0)</f>
        <v>21</v>
      </c>
      <c r="J2807" s="35" t="str">
        <f>IFERROR(__xludf.DUMMYFUNCTION("""COMPUTED_VALUE"""),"18-24 tahun")</f>
        <v>18-24 tahun</v>
      </c>
      <c r="K2807" s="21" t="str">
        <f>IFERROR(__xludf.DUMMYFUNCTION("""COMPUTED_VALUE"""),"27/05/2005")</f>
        <v>27/05/2005</v>
      </c>
      <c r="L2807" s="21" t="str">
        <f>IFERROR(__xludf.DUMMYFUNCTION("""COMPUTED_VALUE"""),"LAKI-LAKI")</f>
        <v>LAKI-LAKI</v>
      </c>
      <c r="M2807" s="35" t="str">
        <f>IFERROR(__xludf.DUMMYFUNCTION("""COMPUTED_VALUE"""),"JL. ADISUCIPTO, GG. 822, NO. 2")</f>
        <v>JL. ADISUCIPTO, GG. 822, NO. 2</v>
      </c>
      <c r="N2807" s="35" t="str">
        <f>IFERROR(__xludf.DUMMYFUNCTION("""COMPUTED_VALUE"""),"SUNGAI RAYA")</f>
        <v>SUNGAI RAYA</v>
      </c>
      <c r="O2807" s="35" t="str">
        <f>IFERROR(__xludf.DUMMYFUNCTION("""COMPUTED_VALUE"""),"SUNGAI RAYA")</f>
        <v>SUNGAI RAYA</v>
      </c>
      <c r="P2807" s="35" t="str">
        <f>IFERROR(__xludf.DUMMYFUNCTION("""COMPUTED_VALUE"""),"KUBU RAYA")</f>
        <v>KUBU RAYA</v>
      </c>
      <c r="Q2807" s="35" t="str">
        <f>IFERROR(__xludf.DUMMYFUNCTION("""COMPUTED_VALUE"""),"KALIMANTAN BARAT")</f>
        <v>KALIMANTAN BARAT</v>
      </c>
      <c r="R2807" s="21" t="str">
        <f>IFERROR(__xludf.DUMMYFUNCTION("""COMPUTED_VALUE"""),"KATOLIK")</f>
        <v>KATOLIK</v>
      </c>
      <c r="S2807" s="74" t="str">
        <f>IFERROR(__xludf.DUMMYFUNCTION("""COMPUTED_VALUE"""),"PETANI")</f>
        <v>PETANI</v>
      </c>
      <c r="T2807" s="35" t="str">
        <f>IFERROR(__xludf.DUMMYFUNCTION("""COMPUTED_VALUE"""),"CIDERA LUTUT")</f>
        <v>CIDERA LUTUT</v>
      </c>
      <c r="U2807" s="35" t="str">
        <f>IFERROR(__xludf.DUMMYFUNCTION("""COMPUTED_VALUE"""),"GYM &amp; BADMINTON")</f>
        <v>GYM &amp; BADMINTON</v>
      </c>
      <c r="V2807" s="37" t="str">
        <f>IFERROR(__xludf.DUMMYFUNCTION("""COMPUTED_VALUE"""),"085171049466")</f>
        <v>085171049466</v>
      </c>
      <c r="W2807" s="45"/>
    </row>
    <row r="2808">
      <c r="A2808" s="45"/>
      <c r="B2808" s="24" t="str">
        <f>IFERROR(__xludf.DUMMYFUNCTION("""COMPUTED_VALUE"""),"31/08/2025 12:59:34")</f>
        <v>31/08/2025 12:59:34</v>
      </c>
      <c r="C2808" s="35"/>
      <c r="D2808" s="10">
        <f>IFERROR(__xludf.DUMMYFUNCTION("""COMPUTED_VALUE"""),45900.0)</f>
        <v>45900</v>
      </c>
      <c r="E2808" s="35" t="str">
        <f>IFERROR(__xludf.DUMMYFUNCTION("""COMPUTED_VALUE"""),"08Agu")</f>
        <v>08Agu</v>
      </c>
      <c r="F2808" s="34" t="str">
        <f>IFERROR(__xludf.DUMMYFUNCTION("""COMPUTED_VALUE"""),"2025")</f>
        <v>2025</v>
      </c>
      <c r="G2808" s="35" t="str">
        <f>IFERROR(__xludf.DUMMYFUNCTION("""COMPUTED_VALUE"""),"LILI MARTINA")</f>
        <v>LILI MARTINA</v>
      </c>
      <c r="H2808" s="35" t="str">
        <f>IFERROR(__xludf.DUMMYFUNCTION("""COMPUTED_VALUE"""),"L7925087010")</f>
        <v>L7925087010</v>
      </c>
      <c r="I2808" s="35">
        <f>IFERROR(__xludf.DUMMYFUNCTION("""COMPUTED_VALUE"""),47.0)</f>
        <v>47</v>
      </c>
      <c r="J2808" s="35" t="str">
        <f>IFERROR(__xludf.DUMMYFUNCTION("""COMPUTED_VALUE"""),"&gt; 44 tahun")</f>
        <v>&gt; 44 tahun</v>
      </c>
      <c r="K2808" s="21" t="str">
        <f>IFERROR(__xludf.DUMMYFUNCTION("""COMPUTED_VALUE"""),"01/05/1979")</f>
        <v>01/05/1979</v>
      </c>
      <c r="L2808" s="21" t="str">
        <f>IFERROR(__xludf.DUMMYFUNCTION("""COMPUTED_VALUE"""),"PEREMPUAN")</f>
        <v>PEREMPUAN</v>
      </c>
      <c r="M2808" s="35" t="str">
        <f>IFERROR(__xludf.DUMMYFUNCTION("""COMPUTED_VALUE"""),"JL. RAYA DESA KAPUR RUKO TAMAN ANGGREK")</f>
        <v>JL. RAYA DESA KAPUR RUKO TAMAN ANGGREK</v>
      </c>
      <c r="N2808" s="35" t="str">
        <f>IFERROR(__xludf.DUMMYFUNCTION("""COMPUTED_VALUE"""),"KAPUR")</f>
        <v>KAPUR</v>
      </c>
      <c r="O2808" s="35" t="str">
        <f>IFERROR(__xludf.DUMMYFUNCTION("""COMPUTED_VALUE"""),"SUNGAI RAYA")</f>
        <v>SUNGAI RAYA</v>
      </c>
      <c r="P2808" s="35" t="str">
        <f>IFERROR(__xludf.DUMMYFUNCTION("""COMPUTED_VALUE"""),"KABUPATEN KUBU RAYA")</f>
        <v>KABUPATEN KUBU RAYA</v>
      </c>
      <c r="Q2808" s="35" t="str">
        <f>IFERROR(__xludf.DUMMYFUNCTION("""COMPUTED_VALUE"""),"KALIMANTAN BARAT")</f>
        <v>KALIMANTAN BARAT</v>
      </c>
      <c r="R2808" s="21" t="str">
        <f>IFERROR(__xludf.DUMMYFUNCTION("""COMPUTED_VALUE"""),"BUDDHA")</f>
        <v>BUDDHA</v>
      </c>
      <c r="S2808" s="74" t="str">
        <f>IFERROR(__xludf.DUMMYFUNCTION("""COMPUTED_VALUE"""),"IBU RUMAH TANGGA")</f>
        <v>IBU RUMAH TANGGA</v>
      </c>
      <c r="T2808" s="35" t="str">
        <f>IFERROR(__xludf.DUMMYFUNCTION("""COMPUTED_VALUE"""),"SULIT BAK PASCA ANGKAT RAHIM (MIOM)")</f>
        <v>SULIT BAK PASCA ANGKAT RAHIM (MIOM)</v>
      </c>
      <c r="U2808" s="35" t="str">
        <f>IFERROR(__xludf.DUMMYFUNCTION("""COMPUTED_VALUE"""),"PAKAI KATETER 1 BULAN")</f>
        <v>PAKAI KATETER 1 BULAN</v>
      </c>
      <c r="V2808" s="37" t="str">
        <f>IFERROR(__xludf.DUMMYFUNCTION("""COMPUTED_VALUE"""),"081352407010")</f>
        <v>081352407010</v>
      </c>
      <c r="W2808" s="45"/>
    </row>
    <row r="2809">
      <c r="A2809" s="45"/>
      <c r="B2809" s="24" t="str">
        <f>IFERROR(__xludf.DUMMYFUNCTION("""COMPUTED_VALUE"""),"01/09/2025 11:05:05")</f>
        <v>01/09/2025 11:05:05</v>
      </c>
      <c r="C2809" s="35"/>
      <c r="D2809" s="10">
        <f>IFERROR(__xludf.DUMMYFUNCTION("""COMPUTED_VALUE"""),45901.0)</f>
        <v>45901</v>
      </c>
      <c r="E2809" s="35" t="str">
        <f>IFERROR(__xludf.DUMMYFUNCTION("""COMPUTED_VALUE"""),"09Sep")</f>
        <v>09Sep</v>
      </c>
      <c r="F2809" s="34" t="str">
        <f>IFERROR(__xludf.DUMMYFUNCTION("""COMPUTED_VALUE"""),"2025")</f>
        <v>2025</v>
      </c>
      <c r="G2809" s="35" t="str">
        <f>IFERROR(__xludf.DUMMYFUNCTION("""COMPUTED_VALUE"""),"MERRY 5903")</f>
        <v>MERRY 5903</v>
      </c>
      <c r="H2809" s="35" t="str">
        <f>IFERROR(__xludf.DUMMYFUNCTION("""COMPUTED_VALUE"""),"M5925092525")</f>
        <v>M5925092525</v>
      </c>
      <c r="I2809" s="35">
        <f>IFERROR(__xludf.DUMMYFUNCTION("""COMPUTED_VALUE"""),67.0)</f>
        <v>67</v>
      </c>
      <c r="J2809" s="35" t="str">
        <f>IFERROR(__xludf.DUMMYFUNCTION("""COMPUTED_VALUE"""),"&gt; 44 tahun")</f>
        <v>&gt; 44 tahun</v>
      </c>
      <c r="K2809" s="21" t="str">
        <f>IFERROR(__xludf.DUMMYFUNCTION("""COMPUTED_VALUE"""),"20/03/1959")</f>
        <v>20/03/1959</v>
      </c>
      <c r="L2809" s="21" t="str">
        <f>IFERROR(__xludf.DUMMYFUNCTION("""COMPUTED_VALUE"""),"PEREMPUAN")</f>
        <v>PEREMPUAN</v>
      </c>
      <c r="M2809" s="35" t="str">
        <f>IFERROR(__xludf.DUMMYFUNCTION("""COMPUTED_VALUE"""),"JL SUTOMO")</f>
        <v>JL SUTOMO</v>
      </c>
      <c r="N2809" s="35" t="str">
        <f>IFERROR(__xludf.DUMMYFUNCTION("""COMPUTED_VALUE"""),"SUNGAI BANGKONG")</f>
        <v>SUNGAI BANGKONG</v>
      </c>
      <c r="O2809" s="35" t="str">
        <f>IFERROR(__xludf.DUMMYFUNCTION("""COMPUTED_VALUE"""),"PONTIANAK KOTA")</f>
        <v>PONTIANAK KOTA</v>
      </c>
      <c r="P2809" s="35" t="str">
        <f>IFERROR(__xludf.DUMMYFUNCTION("""COMPUTED_VALUE"""),"PONTIANAK")</f>
        <v>PONTIANAK</v>
      </c>
      <c r="Q2809" s="35" t="str">
        <f>IFERROR(__xludf.DUMMYFUNCTION("""COMPUTED_VALUE"""),"KALIMANTAN BARAT")</f>
        <v>KALIMANTAN BARAT</v>
      </c>
      <c r="R2809" s="21" t="str">
        <f>IFERROR(__xludf.DUMMYFUNCTION("""COMPUTED_VALUE"""),"KATOLIK")</f>
        <v>KATOLIK</v>
      </c>
      <c r="S2809" s="74" t="str">
        <f>IFERROR(__xludf.DUMMYFUNCTION("""COMPUTED_VALUE"""),"IRT")</f>
        <v>IRT</v>
      </c>
      <c r="T2809" s="35" t="str">
        <f>IFERROR(__xludf.DUMMYFUNCTION("""COMPUTED_VALUE"""),"TANGAN, HABIS OPERASI")</f>
        <v>TANGAN, HABIS OPERASI</v>
      </c>
      <c r="U2809" s="35" t="str">
        <f>IFERROR(__xludf.DUMMYFUNCTION("""COMPUTED_VALUE"""),"-")</f>
        <v>-</v>
      </c>
      <c r="V2809" s="37" t="str">
        <f>IFERROR(__xludf.DUMMYFUNCTION("""COMPUTED_VALUE"""),"0811572525")</f>
        <v>0811572525</v>
      </c>
      <c r="W2809" s="45"/>
    </row>
    <row r="2810">
      <c r="A2810" s="45"/>
      <c r="B2810" s="24" t="str">
        <f>IFERROR(__xludf.DUMMYFUNCTION("""COMPUTED_VALUE"""),"01/09/2025 19:36:18")</f>
        <v>01/09/2025 19:36:18</v>
      </c>
      <c r="C2810" s="35"/>
      <c r="D2810" s="10">
        <f>IFERROR(__xludf.DUMMYFUNCTION("""COMPUTED_VALUE"""),45901.0)</f>
        <v>45901</v>
      </c>
      <c r="E2810" s="35" t="str">
        <f>IFERROR(__xludf.DUMMYFUNCTION("""COMPUTED_VALUE"""),"09Sep")</f>
        <v>09Sep</v>
      </c>
      <c r="F2810" s="34" t="str">
        <f>IFERROR(__xludf.DUMMYFUNCTION("""COMPUTED_VALUE"""),"2025")</f>
        <v>2025</v>
      </c>
      <c r="G2810" s="35" t="str">
        <f>IFERROR(__xludf.DUMMYFUNCTION("""COMPUTED_VALUE"""),"ALBYAN RAFIF MAHESWARA")</f>
        <v>ALBYAN RAFIF MAHESWARA</v>
      </c>
      <c r="H2810" s="35" t="str">
        <f>IFERROR(__xludf.DUMMYFUNCTION("""COMPUTED_VALUE"""),"A0925094650")</f>
        <v>A0925094650</v>
      </c>
      <c r="I2810" s="35">
        <f>IFERROR(__xludf.DUMMYFUNCTION("""COMPUTED_VALUE"""),17.0)</f>
        <v>17</v>
      </c>
      <c r="J2810" s="35" t="str">
        <f>IFERROR(__xludf.DUMMYFUNCTION("""COMPUTED_VALUE"""),"&lt; 18 tahun")</f>
        <v>&lt; 18 tahun</v>
      </c>
      <c r="K2810" s="21" t="str">
        <f>IFERROR(__xludf.DUMMYFUNCTION("""COMPUTED_VALUE"""),"05/03/2009")</f>
        <v>05/03/2009</v>
      </c>
      <c r="L2810" s="21" t="str">
        <f>IFERROR(__xludf.DUMMYFUNCTION("""COMPUTED_VALUE"""),"LAKI-LAKI")</f>
        <v>LAKI-LAKI</v>
      </c>
      <c r="M2810" s="35" t="str">
        <f>IFERROR(__xludf.DUMMYFUNCTION("""COMPUTED_VALUE"""),"JL DANAU SENTARUM")</f>
        <v>JL DANAU SENTARUM</v>
      </c>
      <c r="N2810" s="35" t="str">
        <f>IFERROR(__xludf.DUMMYFUNCTION("""COMPUTED_VALUE"""),"SUNGAI BANGKONG")</f>
        <v>SUNGAI BANGKONG</v>
      </c>
      <c r="O2810" s="35" t="str">
        <f>IFERROR(__xludf.DUMMYFUNCTION("""COMPUTED_VALUE"""),"PONTIANAK KOTA")</f>
        <v>PONTIANAK KOTA</v>
      </c>
      <c r="P2810" s="35" t="str">
        <f>IFERROR(__xludf.DUMMYFUNCTION("""COMPUTED_VALUE"""),"PONTIANAK")</f>
        <v>PONTIANAK</v>
      </c>
      <c r="Q2810" s="35" t="str">
        <f>IFERROR(__xludf.DUMMYFUNCTION("""COMPUTED_VALUE"""),"KALIMANTAN BARAT")</f>
        <v>KALIMANTAN BARAT</v>
      </c>
      <c r="R2810" s="21" t="str">
        <f>IFERROR(__xludf.DUMMYFUNCTION("""COMPUTED_VALUE"""),"ISLAM")</f>
        <v>ISLAM</v>
      </c>
      <c r="S2810" s="74" t="str">
        <f>IFERROR(__xludf.DUMMYFUNCTION("""COMPUTED_VALUE"""),"PELAJAR")</f>
        <v>PELAJAR</v>
      </c>
      <c r="T2810" s="35" t="str">
        <f>IFERROR(__xludf.DUMMYFUNCTION("""COMPUTED_VALUE"""),"LUTUT")</f>
        <v>LUTUT</v>
      </c>
      <c r="U2810" s="35" t="str">
        <f>IFERROR(__xludf.DUMMYFUNCTION("""COMPUTED_VALUE"""),"FUTSAL")</f>
        <v>FUTSAL</v>
      </c>
      <c r="V2810" s="37" t="str">
        <f>IFERROR(__xludf.DUMMYFUNCTION("""COMPUTED_VALUE"""),"089693824650")</f>
        <v>089693824650</v>
      </c>
      <c r="W2810" s="45"/>
    </row>
    <row r="2811">
      <c r="A2811" s="45"/>
      <c r="B2811" s="24" t="str">
        <f>IFERROR(__xludf.DUMMYFUNCTION("""COMPUTED_VALUE"""),"02/09/2025 9:14:55")</f>
        <v>02/09/2025 9:14:55</v>
      </c>
      <c r="C2811" s="35"/>
      <c r="D2811" s="10">
        <f>IFERROR(__xludf.DUMMYFUNCTION("""COMPUTED_VALUE"""),45902.0)</f>
        <v>45902</v>
      </c>
      <c r="E2811" s="35" t="str">
        <f>IFERROR(__xludf.DUMMYFUNCTION("""COMPUTED_VALUE"""),"09Sep")</f>
        <v>09Sep</v>
      </c>
      <c r="F2811" s="34" t="str">
        <f>IFERROR(__xludf.DUMMYFUNCTION("""COMPUTED_VALUE"""),"2025")</f>
        <v>2025</v>
      </c>
      <c r="G2811" s="35" t="str">
        <f>IFERROR(__xludf.DUMMYFUNCTION("""COMPUTED_VALUE"""),"ZULKARNAIN 6006")</f>
        <v>ZULKARNAIN 6006</v>
      </c>
      <c r="H2811" s="35" t="str">
        <f>IFERROR(__xludf.DUMMYFUNCTION("""COMPUTED_VALUE"""),"Z6025097242")</f>
        <v>Z6025097242</v>
      </c>
      <c r="I2811" s="35">
        <f>IFERROR(__xludf.DUMMYFUNCTION("""COMPUTED_VALUE"""),66.0)</f>
        <v>66</v>
      </c>
      <c r="J2811" s="35" t="str">
        <f>IFERROR(__xludf.DUMMYFUNCTION("""COMPUTED_VALUE"""),"&gt; 44 tahun")</f>
        <v>&gt; 44 tahun</v>
      </c>
      <c r="K2811" s="21" t="str">
        <f>IFERROR(__xludf.DUMMYFUNCTION("""COMPUTED_VALUE"""),"09/06/1960")</f>
        <v>09/06/1960</v>
      </c>
      <c r="L2811" s="21" t="str">
        <f>IFERROR(__xludf.DUMMYFUNCTION("""COMPUTED_VALUE"""),"LAKI-LAKI")</f>
        <v>LAKI-LAKI</v>
      </c>
      <c r="M2811" s="35" t="str">
        <f>IFERROR(__xludf.DUMMYFUNCTION("""COMPUTED_VALUE"""),"JLN SUNGAI RAYA DALAM KOMPLEK KORPRI NO.170")</f>
        <v>JLN SUNGAI RAYA DALAM KOMPLEK KORPRI NO.170</v>
      </c>
      <c r="N2811" s="35" t="str">
        <f>IFERROR(__xludf.DUMMYFUNCTION("""COMPUTED_VALUE"""),"DESA SUNGAI RAYA")</f>
        <v>DESA SUNGAI RAYA</v>
      </c>
      <c r="O2811" s="35" t="str">
        <f>IFERROR(__xludf.DUMMYFUNCTION("""COMPUTED_VALUE"""),"SUNGAI RAYA")</f>
        <v>SUNGAI RAYA</v>
      </c>
      <c r="P2811" s="35" t="str">
        <f>IFERROR(__xludf.DUMMYFUNCTION("""COMPUTED_VALUE"""),"KUBU RAYA")</f>
        <v>KUBU RAYA</v>
      </c>
      <c r="Q2811" s="35" t="str">
        <f>IFERROR(__xludf.DUMMYFUNCTION("""COMPUTED_VALUE"""),"KALIMANTAN BARAT")</f>
        <v>KALIMANTAN BARAT</v>
      </c>
      <c r="R2811" s="21" t="str">
        <f>IFERROR(__xludf.DUMMYFUNCTION("""COMPUTED_VALUE"""),"ISLAM")</f>
        <v>ISLAM</v>
      </c>
      <c r="S2811" s="74" t="str">
        <f>IFERROR(__xludf.DUMMYFUNCTION("""COMPUTED_VALUE"""),"SUDAH TIDAK BEKERJA")</f>
        <v>SUDAH TIDAK BEKERJA</v>
      </c>
      <c r="T2811" s="35" t="str">
        <f>IFERROR(__xludf.DUMMYFUNCTION("""COMPUTED_VALUE"""),"SAKIT BAGIAN PINGGANG")</f>
        <v>SAKIT BAGIAN PINGGANG</v>
      </c>
      <c r="U2811" s="35" t="str">
        <f>IFERROR(__xludf.DUMMYFUNCTION("""COMPUTED_VALUE"""),"OLAHRAGA RINGAN")</f>
        <v>OLAHRAGA RINGAN</v>
      </c>
      <c r="V2811" s="37" t="str">
        <f>IFERROR(__xludf.DUMMYFUNCTION("""COMPUTED_VALUE"""),"082154267242")</f>
        <v>082154267242</v>
      </c>
      <c r="W2811" s="45"/>
    </row>
    <row r="2812">
      <c r="A2812" s="45"/>
      <c r="B2812" s="24" t="str">
        <f>IFERROR(__xludf.DUMMYFUNCTION("""COMPUTED_VALUE"""),"02/09/2025 16:12:19")</f>
        <v>02/09/2025 16:12:19</v>
      </c>
      <c r="C2812" s="35"/>
      <c r="D2812" s="10">
        <f>IFERROR(__xludf.DUMMYFUNCTION("""COMPUTED_VALUE"""),45902.0)</f>
        <v>45902</v>
      </c>
      <c r="E2812" s="35" t="str">
        <f>IFERROR(__xludf.DUMMYFUNCTION("""COMPUTED_VALUE"""),"09Sep")</f>
        <v>09Sep</v>
      </c>
      <c r="F2812" s="34" t="str">
        <f>IFERROR(__xludf.DUMMYFUNCTION("""COMPUTED_VALUE"""),"2025")</f>
        <v>2025</v>
      </c>
      <c r="G2812" s="35" t="str">
        <f>IFERROR(__xludf.DUMMYFUNCTION("""COMPUTED_VALUE"""),"SANIRIN")</f>
        <v>SANIRIN</v>
      </c>
      <c r="H2812" s="35" t="str">
        <f>IFERROR(__xludf.DUMMYFUNCTION("""COMPUTED_VALUE"""),"S7325095887")</f>
        <v>S7325095887</v>
      </c>
      <c r="I2812" s="35">
        <f>IFERROR(__xludf.DUMMYFUNCTION("""COMPUTED_VALUE"""),53.0)</f>
        <v>53</v>
      </c>
      <c r="J2812" s="35" t="str">
        <f>IFERROR(__xludf.DUMMYFUNCTION("""COMPUTED_VALUE"""),"&gt; 44 tahun")</f>
        <v>&gt; 44 tahun</v>
      </c>
      <c r="K2812" s="21" t="str">
        <f>IFERROR(__xludf.DUMMYFUNCTION("""COMPUTED_VALUE"""),"16/06/1973")</f>
        <v>16/06/1973</v>
      </c>
      <c r="L2812" s="21" t="str">
        <f>IFERROR(__xludf.DUMMYFUNCTION("""COMPUTED_VALUE"""),"PEREMPUAN")</f>
        <v>PEREMPUAN</v>
      </c>
      <c r="M2812" s="35" t="str">
        <f>IFERROR(__xludf.DUMMYFUNCTION("""COMPUTED_VALUE"""),"JL BATAS PANDANG JALUR III NO. 2")</f>
        <v>JL BATAS PANDANG JALUR III NO. 2</v>
      </c>
      <c r="N2812" s="35" t="str">
        <f>IFERROR(__xludf.DUMMYFUNCTION("""COMPUTED_VALUE"""),"SUNGAI JAWI")</f>
        <v>SUNGAI JAWI</v>
      </c>
      <c r="O2812" s="35" t="str">
        <f>IFERROR(__xludf.DUMMYFUNCTION("""COMPUTED_VALUE"""),"PONTIANAK KOTA")</f>
        <v>PONTIANAK KOTA</v>
      </c>
      <c r="P2812" s="35" t="str">
        <f>IFERROR(__xludf.DUMMYFUNCTION("""COMPUTED_VALUE"""),"PONTIANAK")</f>
        <v>PONTIANAK</v>
      </c>
      <c r="Q2812" s="35" t="str">
        <f>IFERROR(__xludf.DUMMYFUNCTION("""COMPUTED_VALUE"""),"KALIMANTAN BARAT")</f>
        <v>KALIMANTAN BARAT</v>
      </c>
      <c r="R2812" s="21" t="str">
        <f>IFERROR(__xludf.DUMMYFUNCTION("""COMPUTED_VALUE"""),"ISLAM")</f>
        <v>ISLAM</v>
      </c>
      <c r="S2812" s="74" t="str">
        <f>IFERROR(__xludf.DUMMYFUNCTION("""COMPUTED_VALUE"""),"IRT")</f>
        <v>IRT</v>
      </c>
      <c r="T2812" s="35" t="str">
        <f>IFERROR(__xludf.DUMMYFUNCTION("""COMPUTED_VALUE"""),"JARI KEPUTAR MESIN CUCI")</f>
        <v>JARI KEPUTAR MESIN CUCI</v>
      </c>
      <c r="U2812" s="35" t="str">
        <f>IFERROR(__xludf.DUMMYFUNCTION("""COMPUTED_VALUE"""),"-")</f>
        <v>-</v>
      </c>
      <c r="V2812" s="37" t="str">
        <f>IFERROR(__xludf.DUMMYFUNCTION("""COMPUTED_VALUE"""),"085821015887")</f>
        <v>085821015887</v>
      </c>
      <c r="W2812" s="45"/>
    </row>
    <row r="2813">
      <c r="A2813" s="45"/>
      <c r="B2813" s="24" t="str">
        <f>IFERROR(__xludf.DUMMYFUNCTION("""COMPUTED_VALUE"""),"02/09/2025 16:38:41")</f>
        <v>02/09/2025 16:38:41</v>
      </c>
      <c r="C2813" s="35"/>
      <c r="D2813" s="10">
        <f>IFERROR(__xludf.DUMMYFUNCTION("""COMPUTED_VALUE"""),45902.0)</f>
        <v>45902</v>
      </c>
      <c r="E2813" s="35" t="str">
        <f>IFERROR(__xludf.DUMMYFUNCTION("""COMPUTED_VALUE"""),"09Sep")</f>
        <v>09Sep</v>
      </c>
      <c r="F2813" s="34" t="str">
        <f>IFERROR(__xludf.DUMMYFUNCTION("""COMPUTED_VALUE"""),"2025")</f>
        <v>2025</v>
      </c>
      <c r="G2813" s="35" t="str">
        <f>IFERROR(__xludf.DUMMYFUNCTION("""COMPUTED_VALUE"""),"WAHIDAH")</f>
        <v>WAHIDAH</v>
      </c>
      <c r="H2813" s="35" t="str">
        <f>IFERROR(__xludf.DUMMYFUNCTION("""COMPUTED_VALUE"""),"W8825090023")</f>
        <v>W8825090023</v>
      </c>
      <c r="I2813" s="35">
        <f>IFERROR(__xludf.DUMMYFUNCTION("""COMPUTED_VALUE"""),37.0)</f>
        <v>37</v>
      </c>
      <c r="J2813" s="35" t="str">
        <f>IFERROR(__xludf.DUMMYFUNCTION("""COMPUTED_VALUE"""),"35-44 tahun")</f>
        <v>35-44 tahun</v>
      </c>
      <c r="K2813" s="21" t="str">
        <f>IFERROR(__xludf.DUMMYFUNCTION("""COMPUTED_VALUE"""),"15/07/1988")</f>
        <v>15/07/1988</v>
      </c>
      <c r="L2813" s="21" t="str">
        <f>IFERROR(__xludf.DUMMYFUNCTION("""COMPUTED_VALUE"""),"PEREMPUAN")</f>
        <v>PEREMPUAN</v>
      </c>
      <c r="M2813" s="35" t="str">
        <f>IFERROR(__xludf.DUMMYFUNCTION("""COMPUTED_VALUE"""),"DUSUN MAJU MAKMUR TR 53 RT 01/RW02")</f>
        <v>DUSUN MAJU MAKMUR TR 53 RT 01/RW02</v>
      </c>
      <c r="N2813" s="35" t="str">
        <f>IFERROR(__xludf.DUMMYFUNCTION("""COMPUTED_VALUE"""),"DESA RADAK BARU")</f>
        <v>DESA RADAK BARU</v>
      </c>
      <c r="O2813" s="35" t="str">
        <f>IFERROR(__xludf.DUMMYFUNCTION("""COMPUTED_VALUE"""),"TERENTANG")</f>
        <v>TERENTANG</v>
      </c>
      <c r="P2813" s="35" t="str">
        <f>IFERROR(__xludf.DUMMYFUNCTION("""COMPUTED_VALUE"""),"KUBURAYA")</f>
        <v>KUBURAYA</v>
      </c>
      <c r="Q2813" s="35" t="str">
        <f>IFERROR(__xludf.DUMMYFUNCTION("""COMPUTED_VALUE"""),"KALIMANTAN BARAT")</f>
        <v>KALIMANTAN BARAT</v>
      </c>
      <c r="R2813" s="21" t="str">
        <f>IFERROR(__xludf.DUMMYFUNCTION("""COMPUTED_VALUE"""),"ISLAM")</f>
        <v>ISLAM</v>
      </c>
      <c r="S2813" s="74" t="str">
        <f>IFERROR(__xludf.DUMMYFUNCTION("""COMPUTED_VALUE"""),"IBU RUMAH TANGGA")</f>
        <v>IBU RUMAH TANGGA</v>
      </c>
      <c r="T2813" s="35" t="str">
        <f>IFERROR(__xludf.DUMMYFUNCTION("""COMPUTED_VALUE"""),"SAKIT KAKI BAGIAN KANAN")</f>
        <v>SAKIT KAKI BAGIAN KANAN</v>
      </c>
      <c r="U2813" s="35" t="str">
        <f>IFERROR(__xludf.DUMMYFUNCTION("""COMPUTED_VALUE"""),"JOGGING")</f>
        <v>JOGGING</v>
      </c>
      <c r="V2813" s="37" t="str">
        <f>IFERROR(__xludf.DUMMYFUNCTION("""COMPUTED_VALUE"""),"081234030023")</f>
        <v>081234030023</v>
      </c>
      <c r="W2813" s="45"/>
    </row>
    <row r="2814">
      <c r="A2814" s="45"/>
      <c r="B2814" s="24" t="str">
        <f>IFERROR(__xludf.DUMMYFUNCTION("""COMPUTED_VALUE"""),"02/09/2025 19:47:39")</f>
        <v>02/09/2025 19:47:39</v>
      </c>
      <c r="C2814" s="35"/>
      <c r="D2814" s="10">
        <f>IFERROR(__xludf.DUMMYFUNCTION("""COMPUTED_VALUE"""),45902.0)</f>
        <v>45902</v>
      </c>
      <c r="E2814" s="35" t="str">
        <f>IFERROR(__xludf.DUMMYFUNCTION("""COMPUTED_VALUE"""),"09Sep")</f>
        <v>09Sep</v>
      </c>
      <c r="F2814" s="34" t="str">
        <f>IFERROR(__xludf.DUMMYFUNCTION("""COMPUTED_VALUE"""),"2025")</f>
        <v>2025</v>
      </c>
      <c r="G2814" s="35" t="str">
        <f>IFERROR(__xludf.DUMMYFUNCTION("""COMPUTED_VALUE"""),"RINA FAUZIAH")</f>
        <v>RINA FAUZIAH</v>
      </c>
      <c r="H2814" s="35" t="str">
        <f>IFERROR(__xludf.DUMMYFUNCTION("""COMPUTED_VALUE"""),"R7525093436")</f>
        <v>R7525093436</v>
      </c>
      <c r="I2814" s="35">
        <f>IFERROR(__xludf.DUMMYFUNCTION("""COMPUTED_VALUE"""),50.0)</f>
        <v>50</v>
      </c>
      <c r="J2814" s="35" t="str">
        <f>IFERROR(__xludf.DUMMYFUNCTION("""COMPUTED_VALUE"""),"&gt; 44 tahun")</f>
        <v>&gt; 44 tahun</v>
      </c>
      <c r="K2814" s="21" t="str">
        <f>IFERROR(__xludf.DUMMYFUNCTION("""COMPUTED_VALUE"""),"22/07/1975")</f>
        <v>22/07/1975</v>
      </c>
      <c r="L2814" s="21" t="str">
        <f>IFERROR(__xludf.DUMMYFUNCTION("""COMPUTED_VALUE"""),"PEREMPUAN")</f>
        <v>PEREMPUAN</v>
      </c>
      <c r="M2814" s="35" t="str">
        <f>IFERROR(__xludf.DUMMYFUNCTION("""COMPUTED_VALUE"""),"CARIKAN RT 01 RW 02 GONDOSULI MUNTILAN MAGELANG JAWA TENGAH")</f>
        <v>CARIKAN RT 01 RW 02 GONDOSULI MUNTILAN MAGELANG JAWA TENGAH</v>
      </c>
      <c r="N2814" s="35" t="str">
        <f>IFERROR(__xludf.DUMMYFUNCTION("""COMPUTED_VALUE"""),"GONDOSULI")</f>
        <v>GONDOSULI</v>
      </c>
      <c r="O2814" s="35" t="str">
        <f>IFERROR(__xludf.DUMMYFUNCTION("""COMPUTED_VALUE"""),"MUNTILAN")</f>
        <v>MUNTILAN</v>
      </c>
      <c r="P2814" s="35" t="str">
        <f>IFERROR(__xludf.DUMMYFUNCTION("""COMPUTED_VALUE"""),"MAGELANG")</f>
        <v>MAGELANG</v>
      </c>
      <c r="Q2814" s="35" t="str">
        <f>IFERROR(__xludf.DUMMYFUNCTION("""COMPUTED_VALUE"""),"JAWA TENGAH")</f>
        <v>JAWA TENGAH</v>
      </c>
      <c r="R2814" s="21" t="str">
        <f>IFERROR(__xludf.DUMMYFUNCTION("""COMPUTED_VALUE"""),"ISLAM")</f>
        <v>ISLAM</v>
      </c>
      <c r="S2814" s="74" t="str">
        <f>IFERROR(__xludf.DUMMYFUNCTION("""COMPUTED_VALUE"""),"PNS")</f>
        <v>PNS</v>
      </c>
      <c r="T2814" s="35" t="str">
        <f>IFERROR(__xludf.DUMMYFUNCTION("""COMPUTED_VALUE"""),"SHOULDER FREEZE KIRI")</f>
        <v>SHOULDER FREEZE KIRI</v>
      </c>
      <c r="U2814" s="35" t="str">
        <f>IFERROR(__xludf.DUMMYFUNCTION("""COMPUTED_VALUE"""),"DI DEPAN KOMPUTER")</f>
        <v>DI DEPAN KOMPUTER</v>
      </c>
      <c r="V2814" s="37" t="str">
        <f>IFERROR(__xludf.DUMMYFUNCTION("""COMPUTED_VALUE"""),"082223523436")</f>
        <v>082223523436</v>
      </c>
      <c r="W2814" s="45"/>
    </row>
    <row r="2815">
      <c r="A2815" s="45"/>
      <c r="B2815" s="24" t="str">
        <f>IFERROR(__xludf.DUMMYFUNCTION("""COMPUTED_VALUE"""),"03/09/2025 8:40:23")</f>
        <v>03/09/2025 8:40:23</v>
      </c>
      <c r="C2815" s="35"/>
      <c r="D2815" s="10">
        <f>IFERROR(__xludf.DUMMYFUNCTION("""COMPUTED_VALUE"""),45903.0)</f>
        <v>45903</v>
      </c>
      <c r="E2815" s="35" t="str">
        <f>IFERROR(__xludf.DUMMYFUNCTION("""COMPUTED_VALUE"""),"09Sep")</f>
        <v>09Sep</v>
      </c>
      <c r="F2815" s="34" t="str">
        <f>IFERROR(__xludf.DUMMYFUNCTION("""COMPUTED_VALUE"""),"2025")</f>
        <v>2025</v>
      </c>
      <c r="G2815" s="35" t="str">
        <f>IFERROR(__xludf.DUMMYFUNCTION("""COMPUTED_VALUE"""),"HASANAH")</f>
        <v>HASANAH</v>
      </c>
      <c r="H2815" s="35" t="str">
        <f>IFERROR(__xludf.DUMMYFUNCTION("""COMPUTED_VALUE"""),"H7525095313")</f>
        <v>H7525095313</v>
      </c>
      <c r="I2815" s="35">
        <f>IFERROR(__xludf.DUMMYFUNCTION("""COMPUTED_VALUE"""),51.0)</f>
        <v>51</v>
      </c>
      <c r="J2815" s="35" t="str">
        <f>IFERROR(__xludf.DUMMYFUNCTION("""COMPUTED_VALUE"""),"&gt; 44 tahun")</f>
        <v>&gt; 44 tahun</v>
      </c>
      <c r="K2815" s="21" t="str">
        <f>IFERROR(__xludf.DUMMYFUNCTION("""COMPUTED_VALUE"""),"04/06/1975")</f>
        <v>04/06/1975</v>
      </c>
      <c r="L2815" s="21" t="str">
        <f>IFERROR(__xludf.DUMMYFUNCTION("""COMPUTED_VALUE"""),"PEREMPUAN")</f>
        <v>PEREMPUAN</v>
      </c>
      <c r="M2815" s="35" t="str">
        <f>IFERROR(__xludf.DUMMYFUNCTION("""COMPUTED_VALUE"""),"JL. SUNGAI KAKAP KOMPLEK AMY PERMAI 4 BLOK I NO 13")</f>
        <v>JL. SUNGAI KAKAP KOMPLEK AMY PERMAI 4 BLOK I NO 13</v>
      </c>
      <c r="N2815" s="35" t="str">
        <f>IFERROR(__xludf.DUMMYFUNCTION("""COMPUTED_VALUE"""),"PAL SEMBILAN")</f>
        <v>PAL SEMBILAN</v>
      </c>
      <c r="O2815" s="35" t="str">
        <f>IFERROR(__xludf.DUMMYFUNCTION("""COMPUTED_VALUE"""),"SUNGAI KAKAP")</f>
        <v>SUNGAI KAKAP</v>
      </c>
      <c r="P2815" s="35" t="str">
        <f>IFERROR(__xludf.DUMMYFUNCTION("""COMPUTED_VALUE"""),"KUBU RAYA")</f>
        <v>KUBU RAYA</v>
      </c>
      <c r="Q2815" s="35" t="str">
        <f>IFERROR(__xludf.DUMMYFUNCTION("""COMPUTED_VALUE"""),"KALIMANTAN BARAT")</f>
        <v>KALIMANTAN BARAT</v>
      </c>
      <c r="R2815" s="21" t="str">
        <f>IFERROR(__xludf.DUMMYFUNCTION("""COMPUTED_VALUE"""),"ISLAM")</f>
        <v>ISLAM</v>
      </c>
      <c r="S2815" s="74" t="str">
        <f>IFERROR(__xludf.DUMMYFUNCTION("""COMPUTED_VALUE"""),"IBU RUMAH TANGGA")</f>
        <v>IBU RUMAH TANGGA</v>
      </c>
      <c r="T2815" s="35" t="str">
        <f>IFERROR(__xludf.DUMMYFUNCTION("""COMPUTED_VALUE"""),"SAKIT PADA TUMIT KAKI KANAN &amp; JEMPOL TANGAN KIRI")</f>
        <v>SAKIT PADA TUMIT KAKI KANAN &amp; JEMPOL TANGAN KIRI</v>
      </c>
      <c r="U2815" s="35" t="str">
        <f>IFERROR(__xludf.DUMMYFUNCTION("""COMPUTED_VALUE"""),"AKTIFITAS RUMAH TANGGA")</f>
        <v>AKTIFITAS RUMAH TANGGA</v>
      </c>
      <c r="V2815" s="37" t="str">
        <f>IFERROR(__xludf.DUMMYFUNCTION("""COMPUTED_VALUE"""),"081390915313")</f>
        <v>081390915313</v>
      </c>
      <c r="W2815" s="45"/>
    </row>
    <row r="2816">
      <c r="A2816" s="45"/>
      <c r="B2816" s="24" t="str">
        <f>IFERROR(__xludf.DUMMYFUNCTION("""COMPUTED_VALUE"""),"03/09/2025 9:07:30")</f>
        <v>03/09/2025 9:07:30</v>
      </c>
      <c r="C2816" s="35"/>
      <c r="D2816" s="10">
        <f>IFERROR(__xludf.DUMMYFUNCTION("""COMPUTED_VALUE"""),45903.0)</f>
        <v>45903</v>
      </c>
      <c r="E2816" s="35" t="str">
        <f>IFERROR(__xludf.DUMMYFUNCTION("""COMPUTED_VALUE"""),"09Sep")</f>
        <v>09Sep</v>
      </c>
      <c r="F2816" s="34" t="str">
        <f>IFERROR(__xludf.DUMMYFUNCTION("""COMPUTED_VALUE"""),"2025")</f>
        <v>2025</v>
      </c>
      <c r="G2816" s="35" t="str">
        <f>IFERROR(__xludf.DUMMYFUNCTION("""COMPUTED_VALUE"""),"ERWIN FIRMANSYAH")</f>
        <v>ERWIN FIRMANSYAH</v>
      </c>
      <c r="H2816" s="35" t="str">
        <f>IFERROR(__xludf.DUMMYFUNCTION("""COMPUTED_VALUE"""),"E9725098581")</f>
        <v>E9725098581</v>
      </c>
      <c r="I2816" s="35">
        <f>IFERROR(__xludf.DUMMYFUNCTION("""COMPUTED_VALUE"""),28.0)</f>
        <v>28</v>
      </c>
      <c r="J2816" s="35" t="str">
        <f>IFERROR(__xludf.DUMMYFUNCTION("""COMPUTED_VALUE"""),"25-34 tahun")</f>
        <v>25-34 tahun</v>
      </c>
      <c r="K2816" s="21" t="str">
        <f>IFERROR(__xludf.DUMMYFUNCTION("""COMPUTED_VALUE"""),"13/11/1997")</f>
        <v>13/11/1997</v>
      </c>
      <c r="L2816" s="21" t="str">
        <f>IFERROR(__xludf.DUMMYFUNCTION("""COMPUTED_VALUE"""),"LAKI-LAKI")</f>
        <v>LAKI-LAKI</v>
      </c>
      <c r="M2816" s="35" t="str">
        <f>IFERROR(__xludf.DUMMYFUNCTION("""COMPUTED_VALUE"""),"JALAN PARIT PANGERAN")</f>
        <v>JALAN PARIT PANGERAN</v>
      </c>
      <c r="N2816" s="35" t="str">
        <f>IFERROR(__xludf.DUMMYFUNCTION("""COMPUTED_VALUE"""),"SIANTAN HULU")</f>
        <v>SIANTAN HULU</v>
      </c>
      <c r="O2816" s="35" t="str">
        <f>IFERROR(__xludf.DUMMYFUNCTION("""COMPUTED_VALUE"""),"PONTIANAK UTARA")</f>
        <v>PONTIANAK UTARA</v>
      </c>
      <c r="P2816" s="35" t="str">
        <f>IFERROR(__xludf.DUMMYFUNCTION("""COMPUTED_VALUE"""),"KOTA PONTIANAK")</f>
        <v>KOTA PONTIANAK</v>
      </c>
      <c r="Q2816" s="35" t="str">
        <f>IFERROR(__xludf.DUMMYFUNCTION("""COMPUTED_VALUE"""),"KALIMANTAN BARAT")</f>
        <v>KALIMANTAN BARAT</v>
      </c>
      <c r="R2816" s="21" t="str">
        <f>IFERROR(__xludf.DUMMYFUNCTION("""COMPUTED_VALUE"""),"ISLAM")</f>
        <v>ISLAM</v>
      </c>
      <c r="S2816" s="74" t="str">
        <f>IFERROR(__xludf.DUMMYFUNCTION("""COMPUTED_VALUE"""),"GURU PJOK")</f>
        <v>GURU PJOK</v>
      </c>
      <c r="T2816" s="35" t="str">
        <f>IFERROR(__xludf.DUMMYFUNCTION("""COMPUTED_VALUE"""),"AWAL MULA LUTUT YANG SERING BUNYI GLEDEK GLEDEK, LALU SEMALAM BAGIAN LUTUT ADA SEPERTI NYANGKUT DAN MULAI MEMBENGKAK")</f>
        <v>AWAL MULA LUTUT YANG SERING BUNYI GLEDEK GLEDEK, LALU SEMALAM BAGIAN LUTUT ADA SEPERTI NYANGKUT DAN MULAI MEMBENGKAK</v>
      </c>
      <c r="U2816" s="35" t="str">
        <f>IFERROR(__xludf.DUMMYFUNCTION("""COMPUTED_VALUE"""),"OLAHRAGA")</f>
        <v>OLAHRAGA</v>
      </c>
      <c r="V2816" s="37" t="str">
        <f>IFERROR(__xludf.DUMMYFUNCTION("""COMPUTED_VALUE"""),"089694218581")</f>
        <v>089694218581</v>
      </c>
      <c r="W2816" s="45"/>
    </row>
    <row r="2817">
      <c r="A2817" s="45"/>
      <c r="B2817" s="24" t="str">
        <f>IFERROR(__xludf.DUMMYFUNCTION("""COMPUTED_VALUE"""),"03/09/2025 12:27:19")</f>
        <v>03/09/2025 12:27:19</v>
      </c>
      <c r="C2817" s="35"/>
      <c r="D2817" s="10">
        <f>IFERROR(__xludf.DUMMYFUNCTION("""COMPUTED_VALUE"""),45903.0)</f>
        <v>45903</v>
      </c>
      <c r="E2817" s="35" t="str">
        <f>IFERROR(__xludf.DUMMYFUNCTION("""COMPUTED_VALUE"""),"09Sep")</f>
        <v>09Sep</v>
      </c>
      <c r="F2817" s="34" t="str">
        <f>IFERROR(__xludf.DUMMYFUNCTION("""COMPUTED_VALUE"""),"2025")</f>
        <v>2025</v>
      </c>
      <c r="G2817" s="35" t="str">
        <f>IFERROR(__xludf.DUMMYFUNCTION("""COMPUTED_VALUE"""),"MARTIN")</f>
        <v>MARTIN</v>
      </c>
      <c r="H2817" s="35" t="str">
        <f>IFERROR(__xludf.DUMMYFUNCTION("""COMPUTED_VALUE"""),"M0125099595")</f>
        <v>M0125099595</v>
      </c>
      <c r="I2817" s="35">
        <f>IFERROR(__xludf.DUMMYFUNCTION("""COMPUTED_VALUE"""),24.0)</f>
        <v>24</v>
      </c>
      <c r="J2817" s="35" t="str">
        <f>IFERROR(__xludf.DUMMYFUNCTION("""COMPUTED_VALUE"""),"18-24 tahun")</f>
        <v>18-24 tahun</v>
      </c>
      <c r="K2817" s="21" t="str">
        <f>IFERROR(__xludf.DUMMYFUNCTION("""COMPUTED_VALUE"""),"23/10/2001")</f>
        <v>23/10/2001</v>
      </c>
      <c r="L2817" s="21" t="str">
        <f>IFERROR(__xludf.DUMMYFUNCTION("""COMPUTED_VALUE"""),"LAKI-LAKI")</f>
        <v>LAKI-LAKI</v>
      </c>
      <c r="M2817" s="35" t="str">
        <f>IFERROR(__xludf.DUMMYFUNCTION("""COMPUTED_VALUE"""),"IMAM BONJOL NO 95")</f>
        <v>IMAM BONJOL NO 95</v>
      </c>
      <c r="N2817" s="35" t="str">
        <f>IFERROR(__xludf.DUMMYFUNCTION("""COMPUTED_VALUE"""),"PONTIANAK")</f>
        <v>PONTIANAK</v>
      </c>
      <c r="O2817" s="35" t="str">
        <f>IFERROR(__xludf.DUMMYFUNCTION("""COMPUTED_VALUE"""),"PONTIANAK")</f>
        <v>PONTIANAK</v>
      </c>
      <c r="P2817" s="35" t="str">
        <f>IFERROR(__xludf.DUMMYFUNCTION("""COMPUTED_VALUE"""),"PONTIANAK")</f>
        <v>PONTIANAK</v>
      </c>
      <c r="Q2817" s="35" t="str">
        <f>IFERROR(__xludf.DUMMYFUNCTION("""COMPUTED_VALUE"""),"KALBAR")</f>
        <v>KALBAR</v>
      </c>
      <c r="R2817" s="21" t="str">
        <f>IFERROR(__xludf.DUMMYFUNCTION("""COMPUTED_VALUE"""),"KATOLIK")</f>
        <v>KATOLIK</v>
      </c>
      <c r="S2817" s="74" t="str">
        <f>IFERROR(__xludf.DUMMYFUNCTION("""COMPUTED_VALUE"""),"KARYAWAN")</f>
        <v>KARYAWAN</v>
      </c>
      <c r="T2817" s="35" t="str">
        <f>IFERROR(__xludf.DUMMYFUNCTION("""COMPUTED_VALUE"""),"LUTUT")</f>
        <v>LUTUT</v>
      </c>
      <c r="U2817" s="35" t="str">
        <f>IFERROR(__xludf.DUMMYFUNCTION("""COMPUTED_VALUE"""),"BADMINTON DAN GYM")</f>
        <v>BADMINTON DAN GYM</v>
      </c>
      <c r="V2817" s="37" t="str">
        <f>IFERROR(__xludf.DUMMYFUNCTION("""COMPUTED_VALUE"""),"08115749595")</f>
        <v>08115749595</v>
      </c>
      <c r="W2817" s="45"/>
    </row>
    <row r="2818">
      <c r="A2818" s="45"/>
      <c r="B2818" s="24" t="str">
        <f>IFERROR(__xludf.DUMMYFUNCTION("""COMPUTED_VALUE"""),"03/09/2025 15:55:47")</f>
        <v>03/09/2025 15:55:47</v>
      </c>
      <c r="C2818" s="35"/>
      <c r="D2818" s="10">
        <f>IFERROR(__xludf.DUMMYFUNCTION("""COMPUTED_VALUE"""),45903.0)</f>
        <v>45903</v>
      </c>
      <c r="E2818" s="35" t="str">
        <f>IFERROR(__xludf.DUMMYFUNCTION("""COMPUTED_VALUE"""),"09Sep")</f>
        <v>09Sep</v>
      </c>
      <c r="F2818" s="34" t="str">
        <f>IFERROR(__xludf.DUMMYFUNCTION("""COMPUTED_VALUE"""),"2025")</f>
        <v>2025</v>
      </c>
      <c r="G2818" s="35" t="str">
        <f>IFERROR(__xludf.DUMMYFUNCTION("""COMPUTED_VALUE"""),"FHITO MASTURI INSANI")</f>
        <v>FHITO MASTURI INSANI</v>
      </c>
      <c r="H2818" s="35" t="str">
        <f>IFERROR(__xludf.DUMMYFUNCTION("""COMPUTED_VALUE"""),"F0225095325")</f>
        <v>F0225095325</v>
      </c>
      <c r="I2818" s="35">
        <f>IFERROR(__xludf.DUMMYFUNCTION("""COMPUTED_VALUE"""),24.0)</f>
        <v>24</v>
      </c>
      <c r="J2818" s="35" t="str">
        <f>IFERROR(__xludf.DUMMYFUNCTION("""COMPUTED_VALUE"""),"18-24 tahun")</f>
        <v>18-24 tahun</v>
      </c>
      <c r="K2818" s="21" t="str">
        <f>IFERROR(__xludf.DUMMYFUNCTION("""COMPUTED_VALUE"""),"31/01/2002")</f>
        <v>31/01/2002</v>
      </c>
      <c r="L2818" s="21" t="str">
        <f>IFERROR(__xludf.DUMMYFUNCTION("""COMPUTED_VALUE"""),"LAKI-LAKI")</f>
        <v>LAKI-LAKI</v>
      </c>
      <c r="M2818" s="35" t="str">
        <f>IFERROR(__xludf.DUMMYFUNCTION("""COMPUTED_VALUE"""),"SERASAN")</f>
        <v>SERASAN</v>
      </c>
      <c r="N2818" s="35" t="str">
        <f>IFERROR(__xludf.DUMMYFUNCTION("""COMPUTED_VALUE"""),"-")</f>
        <v>-</v>
      </c>
      <c r="O2818" s="35" t="str">
        <f>IFERROR(__xludf.DUMMYFUNCTION("""COMPUTED_VALUE"""),"-")</f>
        <v>-</v>
      </c>
      <c r="P2818" s="35" t="str">
        <f>IFERROR(__xludf.DUMMYFUNCTION("""COMPUTED_VALUE"""),"-")</f>
        <v>-</v>
      </c>
      <c r="Q2818" s="35" t="str">
        <f>IFERROR(__xludf.DUMMYFUNCTION("""COMPUTED_VALUE"""),"KALIMANTAN BARAT")</f>
        <v>KALIMANTAN BARAT</v>
      </c>
      <c r="R2818" s="21" t="str">
        <f>IFERROR(__xludf.DUMMYFUNCTION("""COMPUTED_VALUE"""),"ISLAM")</f>
        <v>ISLAM</v>
      </c>
      <c r="S2818" s="74" t="str">
        <f>IFERROR(__xludf.DUMMYFUNCTION("""COMPUTED_VALUE"""),"PELAJAR/MAHASISWA")</f>
        <v>PELAJAR/MAHASISWA</v>
      </c>
      <c r="T2818" s="35" t="str">
        <f>IFERROR(__xludf.DUMMYFUNCTION("""COMPUTED_VALUE"""),"LUTUT")</f>
        <v>LUTUT</v>
      </c>
      <c r="U2818" s="35" t="str">
        <f>IFERROR(__xludf.DUMMYFUNCTION("""COMPUTED_VALUE"""),"-")</f>
        <v>-</v>
      </c>
      <c r="V2818" s="37" t="str">
        <f>IFERROR(__xludf.DUMMYFUNCTION("""COMPUTED_VALUE"""),"082210995325")</f>
        <v>082210995325</v>
      </c>
      <c r="W2818" s="45"/>
    </row>
    <row r="2819">
      <c r="A2819" s="45"/>
      <c r="B2819" s="24" t="str">
        <f>IFERROR(__xludf.DUMMYFUNCTION("""COMPUTED_VALUE"""),"03/09/2025 20:04:10")</f>
        <v>03/09/2025 20:04:10</v>
      </c>
      <c r="C2819" s="35"/>
      <c r="D2819" s="10">
        <f>IFERROR(__xludf.DUMMYFUNCTION("""COMPUTED_VALUE"""),45903.0)</f>
        <v>45903</v>
      </c>
      <c r="E2819" s="35" t="str">
        <f>IFERROR(__xludf.DUMMYFUNCTION("""COMPUTED_VALUE"""),"09Sep")</f>
        <v>09Sep</v>
      </c>
      <c r="F2819" s="34" t="str">
        <f>IFERROR(__xludf.DUMMYFUNCTION("""COMPUTED_VALUE"""),"2025")</f>
        <v>2025</v>
      </c>
      <c r="G2819" s="35" t="str">
        <f>IFERROR(__xludf.DUMMYFUNCTION("""COMPUTED_VALUE"""),"GINA INDRI")</f>
        <v>GINA INDRI</v>
      </c>
      <c r="H2819" s="35" t="str">
        <f>IFERROR(__xludf.DUMMYFUNCTION("""COMPUTED_VALUE"""),"G8325090525")</f>
        <v>G8325090525</v>
      </c>
      <c r="I2819" s="35">
        <f>IFERROR(__xludf.DUMMYFUNCTION("""COMPUTED_VALUE"""),42.0)</f>
        <v>42</v>
      </c>
      <c r="J2819" s="35" t="str">
        <f>IFERROR(__xludf.DUMMYFUNCTION("""COMPUTED_VALUE"""),"35-44 tahun")</f>
        <v>35-44 tahun</v>
      </c>
      <c r="K2819" s="21" t="str">
        <f>IFERROR(__xludf.DUMMYFUNCTION("""COMPUTED_VALUE"""),"27/11/1983")</f>
        <v>27/11/1983</v>
      </c>
      <c r="L2819" s="21" t="str">
        <f>IFERROR(__xludf.DUMMYFUNCTION("""COMPUTED_VALUE"""),"PEREMPUAN")</f>
        <v>PEREMPUAN</v>
      </c>
      <c r="M2819" s="35" t="str">
        <f>IFERROR(__xludf.DUMMYFUNCTION("""COMPUTED_VALUE"""),"JL. PUTRI CANDRAMIDI")</f>
        <v>JL. PUTRI CANDRAMIDI</v>
      </c>
      <c r="N2819" s="35" t="str">
        <f>IFERROR(__xludf.DUMMYFUNCTION("""COMPUTED_VALUE"""),"SUNGAI BANGKONG")</f>
        <v>SUNGAI BANGKONG</v>
      </c>
      <c r="O2819" s="35" t="str">
        <f>IFERROR(__xludf.DUMMYFUNCTION("""COMPUTED_VALUE"""),"PONTIANAK KOTA")</f>
        <v>PONTIANAK KOTA</v>
      </c>
      <c r="P2819" s="35" t="str">
        <f>IFERROR(__xludf.DUMMYFUNCTION("""COMPUTED_VALUE"""),"KOTA PONTIANAK")</f>
        <v>KOTA PONTIANAK</v>
      </c>
      <c r="Q2819" s="35" t="str">
        <f>IFERROR(__xludf.DUMMYFUNCTION("""COMPUTED_VALUE"""),"KALIMANTAN BARAT")</f>
        <v>KALIMANTAN BARAT</v>
      </c>
      <c r="R2819" s="21" t="str">
        <f>IFERROR(__xludf.DUMMYFUNCTION("""COMPUTED_VALUE"""),"ISLAM")</f>
        <v>ISLAM</v>
      </c>
      <c r="S2819" s="74" t="str">
        <f>IFERROR(__xludf.DUMMYFUNCTION("""COMPUTED_VALUE"""),"WIRASWASTA")</f>
        <v>WIRASWASTA</v>
      </c>
      <c r="T2819" s="35" t="str">
        <f>IFERROR(__xludf.DUMMYFUNCTION("""COMPUTED_VALUE"""),"NYERI LUTUT")</f>
        <v>NYERI LUTUT</v>
      </c>
      <c r="U2819" s="35" t="str">
        <f>IFERROR(__xludf.DUMMYFUNCTION("""COMPUTED_VALUE"""),"OLAHRAGA DULU")</f>
        <v>OLAHRAGA DULU</v>
      </c>
      <c r="V2819" s="37" t="str">
        <f>IFERROR(__xludf.DUMMYFUNCTION("""COMPUTED_VALUE"""),"081392420525")</f>
        <v>081392420525</v>
      </c>
      <c r="W2819" s="45"/>
    </row>
    <row r="2820">
      <c r="A2820" s="45"/>
      <c r="B2820" s="24" t="str">
        <f>IFERROR(__xludf.DUMMYFUNCTION("""COMPUTED_VALUE"""),"04/09/2025 9:35:44")</f>
        <v>04/09/2025 9:35:44</v>
      </c>
      <c r="C2820" s="35"/>
      <c r="D2820" s="10">
        <f>IFERROR(__xludf.DUMMYFUNCTION("""COMPUTED_VALUE"""),45904.0)</f>
        <v>45904</v>
      </c>
      <c r="E2820" s="35" t="str">
        <f>IFERROR(__xludf.DUMMYFUNCTION("""COMPUTED_VALUE"""),"09Sep")</f>
        <v>09Sep</v>
      </c>
      <c r="F2820" s="34" t="str">
        <f>IFERROR(__xludf.DUMMYFUNCTION("""COMPUTED_VALUE"""),"2025")</f>
        <v>2025</v>
      </c>
      <c r="G2820" s="35" t="str">
        <f>IFERROR(__xludf.DUMMYFUNCTION("""COMPUTED_VALUE"""),"KASBI")</f>
        <v>KASBI</v>
      </c>
      <c r="H2820" s="35" t="str">
        <f>IFERROR(__xludf.DUMMYFUNCTION("""COMPUTED_VALUE"""),"K5225090123")</f>
        <v>K5225090123</v>
      </c>
      <c r="I2820" s="35">
        <f>IFERROR(__xludf.DUMMYFUNCTION("""COMPUTED_VALUE"""),74.0)</f>
        <v>74</v>
      </c>
      <c r="J2820" s="35" t="str">
        <f>IFERROR(__xludf.DUMMYFUNCTION("""COMPUTED_VALUE"""),"&gt; 44 tahun")</f>
        <v>&gt; 44 tahun</v>
      </c>
      <c r="K2820" s="21" t="str">
        <f>IFERROR(__xludf.DUMMYFUNCTION("""COMPUTED_VALUE"""),"20/01/1952")</f>
        <v>20/01/1952</v>
      </c>
      <c r="L2820" s="21" t="str">
        <f>IFERROR(__xludf.DUMMYFUNCTION("""COMPUTED_VALUE"""),"LAKI-LAKI")</f>
        <v>LAKI-LAKI</v>
      </c>
      <c r="M2820" s="35" t="str">
        <f>IFERROR(__xludf.DUMMYFUNCTION("""COMPUTED_VALUE"""),"DUSUN SUKA BAKTI 04/02 RASAU JAYA SATU")</f>
        <v>DUSUN SUKA BAKTI 04/02 RASAU JAYA SATU</v>
      </c>
      <c r="N2820" s="35" t="str">
        <f>IFERROR(__xludf.DUMMYFUNCTION("""COMPUTED_VALUE"""),"RASAU JAYA")</f>
        <v>RASAU JAYA</v>
      </c>
      <c r="O2820" s="35" t="str">
        <f>IFERROR(__xludf.DUMMYFUNCTION("""COMPUTED_VALUE"""),"RASAU JAYA")</f>
        <v>RASAU JAYA</v>
      </c>
      <c r="P2820" s="35" t="str">
        <f>IFERROR(__xludf.DUMMYFUNCTION("""COMPUTED_VALUE"""),"KUBU RAYA")</f>
        <v>KUBU RAYA</v>
      </c>
      <c r="Q2820" s="35" t="str">
        <f>IFERROR(__xludf.DUMMYFUNCTION("""COMPUTED_VALUE"""),"KALIMANTAN BARAT")</f>
        <v>KALIMANTAN BARAT</v>
      </c>
      <c r="R2820" s="21" t="str">
        <f>IFERROR(__xludf.DUMMYFUNCTION("""COMPUTED_VALUE"""),"ISLAM")</f>
        <v>ISLAM</v>
      </c>
      <c r="S2820" s="74" t="str">
        <f>IFERROR(__xludf.DUMMYFUNCTION("""COMPUTED_VALUE"""),"PENSIUNAN")</f>
        <v>PENSIUNAN</v>
      </c>
      <c r="T2820" s="35" t="str">
        <f>IFERROR(__xludf.DUMMYFUNCTION("""COMPUTED_VALUE"""),"SAKIT PINGGANG MENJALAR SAMPAI KAKI")</f>
        <v>SAKIT PINGGANG MENJALAR SAMPAI KAKI</v>
      </c>
      <c r="U2820" s="35" t="str">
        <f>IFERROR(__xludf.DUMMYFUNCTION("""COMPUTED_VALUE"""),"-")</f>
        <v>-</v>
      </c>
      <c r="V2820" s="37" t="str">
        <f>IFERROR(__xludf.DUMMYFUNCTION("""COMPUTED_VALUE"""),"081256700123")</f>
        <v>081256700123</v>
      </c>
      <c r="W2820" s="45"/>
    </row>
    <row r="2821">
      <c r="A2821" s="45"/>
      <c r="B2821" s="24" t="str">
        <f>IFERROR(__xludf.DUMMYFUNCTION("""COMPUTED_VALUE"""),"04/09/2025 10:32:28")</f>
        <v>04/09/2025 10:32:28</v>
      </c>
      <c r="C2821" s="35"/>
      <c r="D2821" s="10">
        <f>IFERROR(__xludf.DUMMYFUNCTION("""COMPUTED_VALUE"""),45904.0)</f>
        <v>45904</v>
      </c>
      <c r="E2821" s="35" t="str">
        <f>IFERROR(__xludf.DUMMYFUNCTION("""COMPUTED_VALUE"""),"09Sep")</f>
        <v>09Sep</v>
      </c>
      <c r="F2821" s="34" t="str">
        <f>IFERROR(__xludf.DUMMYFUNCTION("""COMPUTED_VALUE"""),"2025")</f>
        <v>2025</v>
      </c>
      <c r="G2821" s="35" t="str">
        <f>IFERROR(__xludf.DUMMYFUNCTION("""COMPUTED_VALUE"""),"ANGGA RAHMADANI")</f>
        <v>ANGGA RAHMADANI</v>
      </c>
      <c r="H2821" s="35" t="str">
        <f>IFERROR(__xludf.DUMMYFUNCTION("""COMPUTED_VALUE"""),"A9125097217")</f>
        <v>A9125097217</v>
      </c>
      <c r="I2821" s="35">
        <f>IFERROR(__xludf.DUMMYFUNCTION("""COMPUTED_VALUE"""),35.0)</f>
        <v>35</v>
      </c>
      <c r="J2821" s="35" t="str">
        <f>IFERROR(__xludf.DUMMYFUNCTION("""COMPUTED_VALUE"""),"35-44 tahun")</f>
        <v>35-44 tahun</v>
      </c>
      <c r="K2821" s="21" t="str">
        <f>IFERROR(__xludf.DUMMYFUNCTION("""COMPUTED_VALUE"""),"21/03/1991")</f>
        <v>21/03/1991</v>
      </c>
      <c r="L2821" s="21" t="str">
        <f>IFERROR(__xludf.DUMMYFUNCTION("""COMPUTED_VALUE"""),"LAKI-LAKI")</f>
        <v>LAKI-LAKI</v>
      </c>
      <c r="M2821" s="35" t="str">
        <f>IFERROR(__xludf.DUMMYFUNCTION("""COMPUTED_VALUE"""),"DUSUN PEDALAMAN")</f>
        <v>DUSUN PEDALAMAN</v>
      </c>
      <c r="N2821" s="35" t="str">
        <f>IFERROR(__xludf.DUMMYFUNCTION("""COMPUTED_VALUE"""),"DESA PEDALAMAN")</f>
        <v>DESA PEDALAMAN</v>
      </c>
      <c r="O2821" s="35" t="str">
        <f>IFERROR(__xludf.DUMMYFUNCTION("""COMPUTED_VALUE"""),"TAYAN HILIR")</f>
        <v>TAYAN HILIR</v>
      </c>
      <c r="P2821" s="35" t="str">
        <f>IFERROR(__xludf.DUMMYFUNCTION("""COMPUTED_VALUE"""),"SANGGAU")</f>
        <v>SANGGAU</v>
      </c>
      <c r="Q2821" s="35" t="str">
        <f>IFERROR(__xludf.DUMMYFUNCTION("""COMPUTED_VALUE"""),"KALIMANTAN BARAT")</f>
        <v>KALIMANTAN BARAT</v>
      </c>
      <c r="R2821" s="21" t="str">
        <f>IFERROR(__xludf.DUMMYFUNCTION("""COMPUTED_VALUE"""),"ISLAM")</f>
        <v>ISLAM</v>
      </c>
      <c r="S2821" s="74" t="str">
        <f>IFERROR(__xludf.DUMMYFUNCTION("""COMPUTED_VALUE"""),"KARYAWAN SWASTA")</f>
        <v>KARYAWAN SWASTA</v>
      </c>
      <c r="T2821" s="35" t="str">
        <f>IFERROR(__xludf.DUMMYFUNCTION("""COMPUTED_VALUE"""),"NYERI PADA BAGIAN LUTUT")</f>
        <v>NYERI PADA BAGIAN LUTUT</v>
      </c>
      <c r="U2821" s="35" t="str">
        <f>IFERROR(__xludf.DUMMYFUNCTION("""COMPUTED_VALUE"""),"SEPAK BOLA")</f>
        <v>SEPAK BOLA</v>
      </c>
      <c r="V2821" s="37" t="str">
        <f>IFERROR(__xludf.DUMMYFUNCTION("""COMPUTED_VALUE"""),"081348057217")</f>
        <v>081348057217</v>
      </c>
      <c r="W2821" s="45"/>
    </row>
    <row r="2822">
      <c r="A2822" s="45"/>
      <c r="B2822" s="24" t="str">
        <f>IFERROR(__xludf.DUMMYFUNCTION("""COMPUTED_VALUE"""),"04/09/2025 11:22:53")</f>
        <v>04/09/2025 11:22:53</v>
      </c>
      <c r="C2822" s="35"/>
      <c r="D2822" s="10">
        <f>IFERROR(__xludf.DUMMYFUNCTION("""COMPUTED_VALUE"""),45904.0)</f>
        <v>45904</v>
      </c>
      <c r="E2822" s="35" t="str">
        <f>IFERROR(__xludf.DUMMYFUNCTION("""COMPUTED_VALUE"""),"09Sep")</f>
        <v>09Sep</v>
      </c>
      <c r="F2822" s="34" t="str">
        <f>IFERROR(__xludf.DUMMYFUNCTION("""COMPUTED_VALUE"""),"2025")</f>
        <v>2025</v>
      </c>
      <c r="G2822" s="35" t="str">
        <f>IFERROR(__xludf.DUMMYFUNCTION("""COMPUTED_VALUE"""),"CASILDA ZAHRANA")</f>
        <v>CASILDA ZAHRANA</v>
      </c>
      <c r="H2822" s="35" t="str">
        <f>IFERROR(__xludf.DUMMYFUNCTION("""COMPUTED_VALUE"""),"C1225093006")</f>
        <v>C1225093006</v>
      </c>
      <c r="I2822" s="35">
        <f>IFERROR(__xludf.DUMMYFUNCTION("""COMPUTED_VALUE"""),13.0)</f>
        <v>13</v>
      </c>
      <c r="J2822" s="35" t="str">
        <f>IFERROR(__xludf.DUMMYFUNCTION("""COMPUTED_VALUE"""),"&lt; 18 tahun")</f>
        <v>&lt; 18 tahun</v>
      </c>
      <c r="K2822" s="21" t="str">
        <f>IFERROR(__xludf.DUMMYFUNCTION("""COMPUTED_VALUE"""),"10/11/2012")</f>
        <v>10/11/2012</v>
      </c>
      <c r="L2822" s="21" t="str">
        <f>IFERROR(__xludf.DUMMYFUNCTION("""COMPUTED_VALUE"""),"PEREMPUAN")</f>
        <v>PEREMPUAN</v>
      </c>
      <c r="M2822" s="35" t="str">
        <f>IFERROR(__xludf.DUMMYFUNCTION("""COMPUTED_VALUE"""),"JL SULAWESI GG GAJI SARAH NO 28")</f>
        <v>JL SULAWESI GG GAJI SARAH NO 28</v>
      </c>
      <c r="N2822" s="35" t="str">
        <f>IFERROR(__xludf.DUMMYFUNCTION("""COMPUTED_VALUE"""),"PONTIANAK SELATAN")</f>
        <v>PONTIANAK SELATAN</v>
      </c>
      <c r="O2822" s="35" t="str">
        <f>IFERROR(__xludf.DUMMYFUNCTION("""COMPUTED_VALUE"""),"KOTA PONTIANAK")</f>
        <v>KOTA PONTIANAK</v>
      </c>
      <c r="P2822" s="35" t="str">
        <f>IFERROR(__xludf.DUMMYFUNCTION("""COMPUTED_VALUE"""),"PONTIANAK")</f>
        <v>PONTIANAK</v>
      </c>
      <c r="Q2822" s="35" t="str">
        <f>IFERROR(__xludf.DUMMYFUNCTION("""COMPUTED_VALUE"""),"KALIMANTAN BARAT")</f>
        <v>KALIMANTAN BARAT</v>
      </c>
      <c r="R2822" s="21" t="str">
        <f>IFERROR(__xludf.DUMMYFUNCTION("""COMPUTED_VALUE"""),"ISLAM")</f>
        <v>ISLAM</v>
      </c>
      <c r="S2822" s="74" t="str">
        <f>IFERROR(__xludf.DUMMYFUNCTION("""COMPUTED_VALUE"""),"PELAJAR")</f>
        <v>PELAJAR</v>
      </c>
      <c r="T2822" s="35" t="str">
        <f>IFERROR(__xludf.DUMMYFUNCTION("""COMPUTED_VALUE"""),"JATUH DARI TANGGA")</f>
        <v>JATUH DARI TANGGA</v>
      </c>
      <c r="U2822" s="35" t="str">
        <f>IFERROR(__xludf.DUMMYFUNCTION("""COMPUTED_VALUE"""),"-")</f>
        <v>-</v>
      </c>
      <c r="V2822" s="37" t="str">
        <f>IFERROR(__xludf.DUMMYFUNCTION("""COMPUTED_VALUE"""),"081345543006")</f>
        <v>081345543006</v>
      </c>
      <c r="W2822" s="45"/>
    </row>
    <row r="2823">
      <c r="A2823" s="45"/>
      <c r="B2823" s="24" t="str">
        <f>IFERROR(__xludf.DUMMYFUNCTION("""COMPUTED_VALUE"""),"04/09/2025 13:08:25")</f>
        <v>04/09/2025 13:08:25</v>
      </c>
      <c r="C2823" s="35"/>
      <c r="D2823" s="10">
        <f>IFERROR(__xludf.DUMMYFUNCTION("""COMPUTED_VALUE"""),45904.0)</f>
        <v>45904</v>
      </c>
      <c r="E2823" s="35" t="str">
        <f>IFERROR(__xludf.DUMMYFUNCTION("""COMPUTED_VALUE"""),"09Sep")</f>
        <v>09Sep</v>
      </c>
      <c r="F2823" s="34" t="str">
        <f>IFERROR(__xludf.DUMMYFUNCTION("""COMPUTED_VALUE"""),"2025")</f>
        <v>2025</v>
      </c>
      <c r="G2823" s="35" t="str">
        <f>IFERROR(__xludf.DUMMYFUNCTION("""COMPUTED_VALUE"""),"RUDI")</f>
        <v>RUDI</v>
      </c>
      <c r="H2823" s="35" t="str">
        <f>IFERROR(__xludf.DUMMYFUNCTION("""COMPUTED_VALUE"""),"R9725092235")</f>
        <v>R9725092235</v>
      </c>
      <c r="I2823" s="35">
        <f>IFERROR(__xludf.DUMMYFUNCTION("""COMPUTED_VALUE"""),28.0)</f>
        <v>28</v>
      </c>
      <c r="J2823" s="35" t="str">
        <f>IFERROR(__xludf.DUMMYFUNCTION("""COMPUTED_VALUE"""),"25-34 tahun")</f>
        <v>25-34 tahun</v>
      </c>
      <c r="K2823" s="21" t="str">
        <f>IFERROR(__xludf.DUMMYFUNCTION("""COMPUTED_VALUE"""),"19/10/1997")</f>
        <v>19/10/1997</v>
      </c>
      <c r="L2823" s="21" t="str">
        <f>IFERROR(__xludf.DUMMYFUNCTION("""COMPUTED_VALUE"""),"LAKI-LAKI")</f>
        <v>LAKI-LAKI</v>
      </c>
      <c r="M2823" s="35" t="str">
        <f>IFERROR(__xludf.DUMMYFUNCTION("""COMPUTED_VALUE"""),"WAJOK HULU")</f>
        <v>WAJOK HULU</v>
      </c>
      <c r="N2823" s="35" t="str">
        <f>IFERROR(__xludf.DUMMYFUNCTION("""COMPUTED_VALUE"""),"JONGKAT")</f>
        <v>JONGKAT</v>
      </c>
      <c r="O2823" s="35" t="str">
        <f>IFERROR(__xludf.DUMMYFUNCTION("""COMPUTED_VALUE"""),"-")</f>
        <v>-</v>
      </c>
      <c r="P2823" s="35" t="str">
        <f>IFERROR(__xludf.DUMMYFUNCTION("""COMPUTED_VALUE"""),"MEMPAWAH")</f>
        <v>MEMPAWAH</v>
      </c>
      <c r="Q2823" s="35" t="str">
        <f>IFERROR(__xludf.DUMMYFUNCTION("""COMPUTED_VALUE"""),"KALIMANTAN BARAT")</f>
        <v>KALIMANTAN BARAT</v>
      </c>
      <c r="R2823" s="21" t="str">
        <f>IFERROR(__xludf.DUMMYFUNCTION("""COMPUTED_VALUE"""),"ISLAM")</f>
        <v>ISLAM</v>
      </c>
      <c r="S2823" s="74" t="str">
        <f>IFERROR(__xludf.DUMMYFUNCTION("""COMPUTED_VALUE"""),"SWASTA")</f>
        <v>SWASTA</v>
      </c>
      <c r="T2823" s="35" t="str">
        <f>IFERROR(__xludf.DUMMYFUNCTION("""COMPUTED_VALUE"""),"LUTUT")</f>
        <v>LUTUT</v>
      </c>
      <c r="U2823" s="35" t="str">
        <f>IFERROR(__xludf.DUMMYFUNCTION("""COMPUTED_VALUE"""),"TARKAM")</f>
        <v>TARKAM</v>
      </c>
      <c r="V2823" s="37" t="str">
        <f>IFERROR(__xludf.DUMMYFUNCTION("""COMPUTED_VALUE"""),"089515882235")</f>
        <v>089515882235</v>
      </c>
      <c r="W2823" s="45"/>
    </row>
    <row r="2824">
      <c r="A2824" s="45"/>
      <c r="B2824" s="24" t="str">
        <f>IFERROR(__xludf.DUMMYFUNCTION("""COMPUTED_VALUE"""),"04/09/2025 17:07:44")</f>
        <v>04/09/2025 17:07:44</v>
      </c>
      <c r="C2824" s="35"/>
      <c r="D2824" s="10">
        <f>IFERROR(__xludf.DUMMYFUNCTION("""COMPUTED_VALUE"""),45904.0)</f>
        <v>45904</v>
      </c>
      <c r="E2824" s="35" t="str">
        <f>IFERROR(__xludf.DUMMYFUNCTION("""COMPUTED_VALUE"""),"09Sep")</f>
        <v>09Sep</v>
      </c>
      <c r="F2824" s="34" t="str">
        <f>IFERROR(__xludf.DUMMYFUNCTION("""COMPUTED_VALUE"""),"2025")</f>
        <v>2025</v>
      </c>
      <c r="G2824" s="35" t="str">
        <f>IFERROR(__xludf.DUMMYFUNCTION("""COMPUTED_VALUE"""),"NOVIA PRATIWI")</f>
        <v>NOVIA PRATIWI</v>
      </c>
      <c r="H2824" s="35" t="str">
        <f>IFERROR(__xludf.DUMMYFUNCTION("""COMPUTED_VALUE"""),"N9625090550")</f>
        <v>N9625090550</v>
      </c>
      <c r="I2824" s="35">
        <f>IFERROR(__xludf.DUMMYFUNCTION("""COMPUTED_VALUE"""),29.0)</f>
        <v>29</v>
      </c>
      <c r="J2824" s="35" t="str">
        <f>IFERROR(__xludf.DUMMYFUNCTION("""COMPUTED_VALUE"""),"25-34 tahun")</f>
        <v>25-34 tahun</v>
      </c>
      <c r="K2824" s="21" t="str">
        <f>IFERROR(__xludf.DUMMYFUNCTION("""COMPUTED_VALUE"""),"16/11/1996")</f>
        <v>16/11/1996</v>
      </c>
      <c r="L2824" s="21" t="str">
        <f>IFERROR(__xludf.DUMMYFUNCTION("""COMPUTED_VALUE"""),"PEREMPUAN")</f>
        <v>PEREMPUAN</v>
      </c>
      <c r="M2824" s="35" t="str">
        <f>IFERROR(__xludf.DUMMYFUNCTION("""COMPUTED_VALUE"""),"JALAN GUSTI HAMZAH GG NUR 2 NO. 27B")</f>
        <v>JALAN GUSTI HAMZAH GG NUR 2 NO. 27B</v>
      </c>
      <c r="N2824" s="35" t="str">
        <f>IFERROR(__xludf.DUMMYFUNCTION("""COMPUTED_VALUE"""),"SUNGAI JAWI")</f>
        <v>SUNGAI JAWI</v>
      </c>
      <c r="O2824" s="35" t="str">
        <f>IFERROR(__xludf.DUMMYFUNCTION("""COMPUTED_VALUE"""),"PONTIANAK KOTA")</f>
        <v>PONTIANAK KOTA</v>
      </c>
      <c r="P2824" s="35" t="str">
        <f>IFERROR(__xludf.DUMMYFUNCTION("""COMPUTED_VALUE"""),"KOTA PONTIANAK")</f>
        <v>KOTA PONTIANAK</v>
      </c>
      <c r="Q2824" s="35" t="str">
        <f>IFERROR(__xludf.DUMMYFUNCTION("""COMPUTED_VALUE"""),"KALIMANTAN BARAT")</f>
        <v>KALIMANTAN BARAT</v>
      </c>
      <c r="R2824" s="21" t="str">
        <f>IFERROR(__xludf.DUMMYFUNCTION("""COMPUTED_VALUE"""),"ISLAM")</f>
        <v>ISLAM</v>
      </c>
      <c r="S2824" s="74" t="str">
        <f>IFERROR(__xludf.DUMMYFUNCTION("""COMPUTED_VALUE"""),"IRT")</f>
        <v>IRT</v>
      </c>
      <c r="T2824" s="35" t="str">
        <f>IFERROR(__xludf.DUMMYFUNCTION("""COMPUTED_VALUE"""),"KRAM OTOT PINGGANG BELAKANG")</f>
        <v>KRAM OTOT PINGGANG BELAKANG</v>
      </c>
      <c r="U2824" s="35" t="str">
        <f>IFERROR(__xludf.DUMMYFUNCTION("""COMPUTED_VALUE"""),"MENGURUS PEKERJAAN RUMAH")</f>
        <v>MENGURUS PEKERJAAN RUMAH</v>
      </c>
      <c r="V2824" s="37" t="str">
        <f>IFERROR(__xludf.DUMMYFUNCTION("""COMPUTED_VALUE"""),"089695060550")</f>
        <v>089695060550</v>
      </c>
      <c r="W2824" s="45"/>
    </row>
    <row r="2825">
      <c r="A2825" s="45"/>
      <c r="B2825" s="24" t="str">
        <f>IFERROR(__xludf.DUMMYFUNCTION("""COMPUTED_VALUE"""),"06/09/2025 10:28:22")</f>
        <v>06/09/2025 10:28:22</v>
      </c>
      <c r="C2825" s="35"/>
      <c r="D2825" s="10">
        <f>IFERROR(__xludf.DUMMYFUNCTION("""COMPUTED_VALUE"""),45906.0)</f>
        <v>45906</v>
      </c>
      <c r="E2825" s="35" t="str">
        <f>IFERROR(__xludf.DUMMYFUNCTION("""COMPUTED_VALUE"""),"09Sep")</f>
        <v>09Sep</v>
      </c>
      <c r="F2825" s="34" t="str">
        <f>IFERROR(__xludf.DUMMYFUNCTION("""COMPUTED_VALUE"""),"2025")</f>
        <v>2025</v>
      </c>
      <c r="G2825" s="35" t="str">
        <f>IFERROR(__xludf.DUMMYFUNCTION("""COMPUTED_VALUE"""),"SURIYANI")</f>
        <v>SURIYANI</v>
      </c>
      <c r="H2825" s="35" t="str">
        <f>IFERROR(__xludf.DUMMYFUNCTION("""COMPUTED_VALUE"""),"S8125096183")</f>
        <v>S8125096183</v>
      </c>
      <c r="I2825" s="35">
        <f>IFERROR(__xludf.DUMMYFUNCTION("""COMPUTED_VALUE"""),45.0)</f>
        <v>45</v>
      </c>
      <c r="J2825" s="35" t="str">
        <f>IFERROR(__xludf.DUMMYFUNCTION("""COMPUTED_VALUE"""),"&gt; 44 tahun")</f>
        <v>&gt; 44 tahun</v>
      </c>
      <c r="K2825" s="21" t="str">
        <f>IFERROR(__xludf.DUMMYFUNCTION("""COMPUTED_VALUE"""),"06/01/1981")</f>
        <v>06/01/1981</v>
      </c>
      <c r="L2825" s="21" t="str">
        <f>IFERROR(__xludf.DUMMYFUNCTION("""COMPUTED_VALUE"""),"PEREMPUAN")</f>
        <v>PEREMPUAN</v>
      </c>
      <c r="M2825" s="35" t="str">
        <f>IFERROR(__xludf.DUMMYFUNCTION("""COMPUTED_VALUE"""),"JALAN KATAMSO NO. 51")</f>
        <v>JALAN KATAMSO NO. 51</v>
      </c>
      <c r="N2825" s="35" t="str">
        <f>IFERROR(__xludf.DUMMYFUNCTION("""COMPUTED_VALUE"""),"BENUA MELAYU DARAT")</f>
        <v>BENUA MELAYU DARAT</v>
      </c>
      <c r="O2825" s="35" t="str">
        <f>IFERROR(__xludf.DUMMYFUNCTION("""COMPUTED_VALUE"""),"PONTIANAK SELATAN")</f>
        <v>PONTIANAK SELATAN</v>
      </c>
      <c r="P2825" s="35" t="str">
        <f>IFERROR(__xludf.DUMMYFUNCTION("""COMPUTED_VALUE"""),"PONTIANAK")</f>
        <v>PONTIANAK</v>
      </c>
      <c r="Q2825" s="35" t="str">
        <f>IFERROR(__xludf.DUMMYFUNCTION("""COMPUTED_VALUE"""),"KALIMANTAN BARAT")</f>
        <v>KALIMANTAN BARAT</v>
      </c>
      <c r="R2825" s="21" t="str">
        <f>IFERROR(__xludf.DUMMYFUNCTION("""COMPUTED_VALUE"""),"KATOLIK")</f>
        <v>KATOLIK</v>
      </c>
      <c r="S2825" s="74" t="str">
        <f>IFERROR(__xludf.DUMMYFUNCTION("""COMPUTED_VALUE"""),"IBU RUMAH TANGGA")</f>
        <v>IBU RUMAH TANGGA</v>
      </c>
      <c r="T2825" s="35" t="str">
        <f>IFERROR(__xludf.DUMMYFUNCTION("""COMPUTED_VALUE"""),"SAKIT PINGGANG SEBELAH KANAN")</f>
        <v>SAKIT PINGGANG SEBELAH KANAN</v>
      </c>
      <c r="U2825" s="35" t="str">
        <f>IFERROR(__xludf.DUMMYFUNCTION("""COMPUTED_VALUE"""),"OLAHRAGA LARI")</f>
        <v>OLAHRAGA LARI</v>
      </c>
      <c r="V2825" s="37" t="str">
        <f>IFERROR(__xludf.DUMMYFUNCTION("""COMPUTED_VALUE"""),"08125616183")</f>
        <v>08125616183</v>
      </c>
      <c r="W2825" s="45"/>
    </row>
    <row r="2826">
      <c r="A2826" s="45"/>
      <c r="B2826" s="24" t="str">
        <f>IFERROR(__xludf.DUMMYFUNCTION("""COMPUTED_VALUE"""),"06/09/2025 13:39:38")</f>
        <v>06/09/2025 13:39:38</v>
      </c>
      <c r="C2826" s="35"/>
      <c r="D2826" s="10">
        <f>IFERROR(__xludf.DUMMYFUNCTION("""COMPUTED_VALUE"""),45906.0)</f>
        <v>45906</v>
      </c>
      <c r="E2826" s="35" t="str">
        <f>IFERROR(__xludf.DUMMYFUNCTION("""COMPUTED_VALUE"""),"09Sep")</f>
        <v>09Sep</v>
      </c>
      <c r="F2826" s="34" t="str">
        <f>IFERROR(__xludf.DUMMYFUNCTION("""COMPUTED_VALUE"""),"2025")</f>
        <v>2025</v>
      </c>
      <c r="G2826" s="35" t="str">
        <f>IFERROR(__xludf.DUMMYFUNCTION("""COMPUTED_VALUE"""),"SANTI")</f>
        <v>SANTI</v>
      </c>
      <c r="H2826" s="35" t="str">
        <f>IFERROR(__xludf.DUMMYFUNCTION("""COMPUTED_VALUE"""),"S7125090898")</f>
        <v>S7125090898</v>
      </c>
      <c r="I2826" s="35">
        <f>IFERROR(__xludf.DUMMYFUNCTION("""COMPUTED_VALUE"""),55.0)</f>
        <v>55</v>
      </c>
      <c r="J2826" s="35" t="str">
        <f>IFERROR(__xludf.DUMMYFUNCTION("""COMPUTED_VALUE"""),"&gt; 44 tahun")</f>
        <v>&gt; 44 tahun</v>
      </c>
      <c r="K2826" s="21" t="str">
        <f>IFERROR(__xludf.DUMMYFUNCTION("""COMPUTED_VALUE"""),"07/04/1971")</f>
        <v>07/04/1971</v>
      </c>
      <c r="L2826" s="21" t="str">
        <f>IFERROR(__xludf.DUMMYFUNCTION("""COMPUTED_VALUE"""),"PEREMPUAN")</f>
        <v>PEREMPUAN</v>
      </c>
      <c r="M2826" s="35" t="str">
        <f>IFERROR(__xludf.DUMMYFUNCTION("""COMPUTED_VALUE"""),"JL DANAU SENTARUM GG 845")</f>
        <v>JL DANAU SENTARUM GG 845</v>
      </c>
      <c r="N2826" s="35" t="str">
        <f>IFERROR(__xludf.DUMMYFUNCTION("""COMPUTED_VALUE"""),"SEI BANGKONG")</f>
        <v>SEI BANGKONG</v>
      </c>
      <c r="O2826" s="35" t="str">
        <f>IFERROR(__xludf.DUMMYFUNCTION("""COMPUTED_VALUE"""),"PONTIANAK KOTA")</f>
        <v>PONTIANAK KOTA</v>
      </c>
      <c r="P2826" s="35" t="str">
        <f>IFERROR(__xludf.DUMMYFUNCTION("""COMPUTED_VALUE"""),"PONTIANAK")</f>
        <v>PONTIANAK</v>
      </c>
      <c r="Q2826" s="35" t="str">
        <f>IFERROR(__xludf.DUMMYFUNCTION("""COMPUTED_VALUE"""),"KALIMANTAN BARAT")</f>
        <v>KALIMANTAN BARAT</v>
      </c>
      <c r="R2826" s="21" t="str">
        <f>IFERROR(__xludf.DUMMYFUNCTION("""COMPUTED_VALUE"""),"ISLAM")</f>
        <v>ISLAM</v>
      </c>
      <c r="S2826" s="74" t="str">
        <f>IFERROR(__xludf.DUMMYFUNCTION("""COMPUTED_VALUE"""),"IRT")</f>
        <v>IRT</v>
      </c>
      <c r="T2826" s="35" t="str">
        <f>IFERROR(__xludf.DUMMYFUNCTION("""COMPUTED_VALUE"""),"KAKI")</f>
        <v>KAKI</v>
      </c>
      <c r="U2826" s="35" t="str">
        <f>IFERROR(__xludf.DUMMYFUNCTION("""COMPUTED_VALUE"""),"JUALAN")</f>
        <v>JUALAN</v>
      </c>
      <c r="V2826" s="37" t="str">
        <f>IFERROR(__xludf.DUMMYFUNCTION("""COMPUTED_VALUE"""),"082150930898")</f>
        <v>082150930898</v>
      </c>
      <c r="W2826" s="45"/>
    </row>
    <row r="2827">
      <c r="A2827" s="45"/>
      <c r="B2827" s="24" t="str">
        <f>IFERROR(__xludf.DUMMYFUNCTION("""COMPUTED_VALUE"""),"06/09/2025 16:11:53")</f>
        <v>06/09/2025 16:11:53</v>
      </c>
      <c r="C2827" s="35"/>
      <c r="D2827" s="10">
        <f>IFERROR(__xludf.DUMMYFUNCTION("""COMPUTED_VALUE"""),45906.0)</f>
        <v>45906</v>
      </c>
      <c r="E2827" s="35" t="str">
        <f>IFERROR(__xludf.DUMMYFUNCTION("""COMPUTED_VALUE"""),"09Sep")</f>
        <v>09Sep</v>
      </c>
      <c r="F2827" s="34" t="str">
        <f>IFERROR(__xludf.DUMMYFUNCTION("""COMPUTED_VALUE"""),"2025")</f>
        <v>2025</v>
      </c>
      <c r="G2827" s="35" t="str">
        <f>IFERROR(__xludf.DUMMYFUNCTION("""COMPUTED_VALUE"""),"LIA")</f>
        <v>LIA</v>
      </c>
      <c r="H2827" s="35" t="str">
        <f>IFERROR(__xludf.DUMMYFUNCTION("""COMPUTED_VALUE"""),"L8925090200")</f>
        <v>L8925090200</v>
      </c>
      <c r="I2827" s="35">
        <f>IFERROR(__xludf.DUMMYFUNCTION("""COMPUTED_VALUE"""),36.0)</f>
        <v>36</v>
      </c>
      <c r="J2827" s="35" t="str">
        <f>IFERROR(__xludf.DUMMYFUNCTION("""COMPUTED_VALUE"""),"35-44 tahun")</f>
        <v>35-44 tahun</v>
      </c>
      <c r="K2827" s="21" t="str">
        <f>IFERROR(__xludf.DUMMYFUNCTION("""COMPUTED_VALUE"""),"02/09/1989")</f>
        <v>02/09/1989</v>
      </c>
      <c r="L2827" s="21" t="str">
        <f>IFERROR(__xludf.DUMMYFUNCTION("""COMPUTED_VALUE"""),"PEREMPUAN")</f>
        <v>PEREMPUAN</v>
      </c>
      <c r="M2827" s="35" t="str">
        <f>IFERROR(__xludf.DUMMYFUNCTION("""COMPUTED_VALUE"""),"JL. A.R. SALEH. KOMP. AR SALEH 1A NO.19")</f>
        <v>JL. A.R. SALEH. KOMP. AR SALEH 1A NO.19</v>
      </c>
      <c r="N2827" s="35" t="str">
        <f>IFERROR(__xludf.DUMMYFUNCTION("""COMPUTED_VALUE"""),"BANGKA BELITUNG LAUT")</f>
        <v>BANGKA BELITUNG LAUT</v>
      </c>
      <c r="O2827" s="35" t="str">
        <f>IFERROR(__xludf.DUMMYFUNCTION("""COMPUTED_VALUE"""),"PONTIANAK TENGGARA")</f>
        <v>PONTIANAK TENGGARA</v>
      </c>
      <c r="P2827" s="35" t="str">
        <f>IFERROR(__xludf.DUMMYFUNCTION("""COMPUTED_VALUE"""),"PONTIANAK")</f>
        <v>PONTIANAK</v>
      </c>
      <c r="Q2827" s="35" t="str">
        <f>IFERROR(__xludf.DUMMYFUNCTION("""COMPUTED_VALUE"""),"KALIMANTAN BARAT")</f>
        <v>KALIMANTAN BARAT</v>
      </c>
      <c r="R2827" s="21" t="str">
        <f>IFERROR(__xludf.DUMMYFUNCTION("""COMPUTED_VALUE"""),"KATOLIK")</f>
        <v>KATOLIK</v>
      </c>
      <c r="S2827" s="74" t="str">
        <f>IFERROR(__xludf.DUMMYFUNCTION("""COMPUTED_VALUE"""),"IBU RUMAH TANGGA")</f>
        <v>IBU RUMAH TANGGA</v>
      </c>
      <c r="T2827" s="35" t="str">
        <f>IFERROR(__xludf.DUMMYFUNCTION("""COMPUTED_VALUE"""),"CEDERA ENGKEL KAKI KANAN")</f>
        <v>CEDERA ENGKEL KAKI KANAN</v>
      </c>
      <c r="U2827" s="35" t="str">
        <f>IFERROR(__xludf.DUMMYFUNCTION("""COMPUTED_VALUE"""),"NAIK TURUN TANGGA ATAU MOBIL, PIJAK GAS MOBIL SAAT NYETIR, GERAKAN GERAKAN LIPATAN PADA BAGIAN ENGKEL KAKI")</f>
        <v>NAIK TURUN TANGGA ATAU MOBIL, PIJAK GAS MOBIL SAAT NYETIR, GERAKAN GERAKAN LIPATAN PADA BAGIAN ENGKEL KAKI</v>
      </c>
      <c r="V2827" s="37" t="str">
        <f>IFERROR(__xludf.DUMMYFUNCTION("""COMPUTED_VALUE"""),"085332200200")</f>
        <v>085332200200</v>
      </c>
      <c r="W2827" s="45"/>
    </row>
    <row r="2828">
      <c r="A2828" s="45"/>
      <c r="B2828" s="24" t="str">
        <f>IFERROR(__xludf.DUMMYFUNCTION("""COMPUTED_VALUE"""),"07/09/2025 10:35:28")</f>
        <v>07/09/2025 10:35:28</v>
      </c>
      <c r="C2828" s="35"/>
      <c r="D2828" s="10">
        <f>IFERROR(__xludf.DUMMYFUNCTION("""COMPUTED_VALUE"""),45907.0)</f>
        <v>45907</v>
      </c>
      <c r="E2828" s="35" t="str">
        <f>IFERROR(__xludf.DUMMYFUNCTION("""COMPUTED_VALUE"""),"09Sep")</f>
        <v>09Sep</v>
      </c>
      <c r="F2828" s="34" t="str">
        <f>IFERROR(__xludf.DUMMYFUNCTION("""COMPUTED_VALUE"""),"2025")</f>
        <v>2025</v>
      </c>
      <c r="G2828" s="35" t="str">
        <f>IFERROR(__xludf.DUMMYFUNCTION("""COMPUTED_VALUE"""),"EUFEMIA VIRGINNE MILLENIA")</f>
        <v>EUFEMIA VIRGINNE MILLENIA</v>
      </c>
      <c r="H2828" s="35" t="str">
        <f>IFERROR(__xludf.DUMMYFUNCTION("""COMPUTED_VALUE"""),"E0025090")</f>
        <v>E0025090</v>
      </c>
      <c r="I2828" s="35">
        <f>IFERROR(__xludf.DUMMYFUNCTION("""COMPUTED_VALUE"""),25.0)</f>
        <v>25</v>
      </c>
      <c r="J2828" s="35" t="str">
        <f>IFERROR(__xludf.DUMMYFUNCTION("""COMPUTED_VALUE"""),"25-34 tahun")</f>
        <v>25-34 tahun</v>
      </c>
      <c r="K2828" s="21" t="str">
        <f>IFERROR(__xludf.DUMMYFUNCTION("""COMPUTED_VALUE"""),"16/09/2000")</f>
        <v>16/09/2000</v>
      </c>
      <c r="L2828" s="21" t="str">
        <f>IFERROR(__xludf.DUMMYFUNCTION("""COMPUTED_VALUE"""),"PEREMPUAN")</f>
        <v>PEREMPUAN</v>
      </c>
      <c r="M2828" s="35" t="str">
        <f>IFERROR(__xludf.DUMMYFUNCTION("""COMPUTED_VALUE"""),"JL PARIT H HUSIN 2 KOMP PEMDA JALUR 1")</f>
        <v>JL PARIT H HUSIN 2 KOMP PEMDA JALUR 1</v>
      </c>
      <c r="N2828" s="35" t="str">
        <f>IFERROR(__xludf.DUMMYFUNCTION("""COMPUTED_VALUE"""),"BANSIR DARAT")</f>
        <v>BANSIR DARAT</v>
      </c>
      <c r="O2828" s="35" t="str">
        <f>IFERROR(__xludf.DUMMYFUNCTION("""COMPUTED_VALUE"""),"PONTIANAK TENGGARA")</f>
        <v>PONTIANAK TENGGARA</v>
      </c>
      <c r="P2828" s="35" t="str">
        <f>IFERROR(__xludf.DUMMYFUNCTION("""COMPUTED_VALUE"""),"PONTIANAK")</f>
        <v>PONTIANAK</v>
      </c>
      <c r="Q2828" s="35" t="str">
        <f>IFERROR(__xludf.DUMMYFUNCTION("""COMPUTED_VALUE"""),"KALIMANTAN BARAT")</f>
        <v>KALIMANTAN BARAT</v>
      </c>
      <c r="R2828" s="21" t="str">
        <f>IFERROR(__xludf.DUMMYFUNCTION("""COMPUTED_VALUE"""),"KATOLIK")</f>
        <v>KATOLIK</v>
      </c>
      <c r="S2828" s="74" t="str">
        <f>IFERROR(__xludf.DUMMYFUNCTION("""COMPUTED_VALUE"""),"PELAJAR/MAHASISWA")</f>
        <v>PELAJAR/MAHASISWA</v>
      </c>
      <c r="T2828" s="35" t="str">
        <f>IFERROR(__xludf.DUMMYFUNCTION("""COMPUTED_VALUE"""),"LUTUR")</f>
        <v>LUTUR</v>
      </c>
      <c r="U2828" s="35" t="str">
        <f>IFERROR(__xludf.DUMMYFUNCTION("""COMPUTED_VALUE"""),"-")</f>
        <v>-</v>
      </c>
      <c r="V2828" s="37" t="str">
        <f>IFERROR(__xludf.DUMMYFUNCTION("""COMPUTED_VALUE"""),"0")</f>
        <v>0</v>
      </c>
      <c r="W2828" s="45"/>
    </row>
    <row r="2829">
      <c r="A2829" s="45"/>
      <c r="B2829" s="24" t="str">
        <f>IFERROR(__xludf.DUMMYFUNCTION("""COMPUTED_VALUE"""),"07/09/2025 17:32:49")</f>
        <v>07/09/2025 17:32:49</v>
      </c>
      <c r="C2829" s="35"/>
      <c r="D2829" s="10">
        <f>IFERROR(__xludf.DUMMYFUNCTION("""COMPUTED_VALUE"""),45907.0)</f>
        <v>45907</v>
      </c>
      <c r="E2829" s="35" t="str">
        <f>IFERROR(__xludf.DUMMYFUNCTION("""COMPUTED_VALUE"""),"09Sep")</f>
        <v>09Sep</v>
      </c>
      <c r="F2829" s="34" t="str">
        <f>IFERROR(__xludf.DUMMYFUNCTION("""COMPUTED_VALUE"""),"2025")</f>
        <v>2025</v>
      </c>
      <c r="G2829" s="35" t="str">
        <f>IFERROR(__xludf.DUMMYFUNCTION("""COMPUTED_VALUE"""),"FIKANTIYAS DINIATI")</f>
        <v>FIKANTIYAS DINIATI</v>
      </c>
      <c r="H2829" s="35" t="str">
        <f>IFERROR(__xludf.DUMMYFUNCTION("""COMPUTED_VALUE"""),"F8325094650")</f>
        <v>F8325094650</v>
      </c>
      <c r="I2829" s="35">
        <f>IFERROR(__xludf.DUMMYFUNCTION("""COMPUTED_VALUE"""),43.0)</f>
        <v>43</v>
      </c>
      <c r="J2829" s="35" t="str">
        <f>IFERROR(__xludf.DUMMYFUNCTION("""COMPUTED_VALUE"""),"35-44 tahun")</f>
        <v>35-44 tahun</v>
      </c>
      <c r="K2829" s="21" t="str">
        <f>IFERROR(__xludf.DUMMYFUNCTION("""COMPUTED_VALUE"""),"19/02/1983")</f>
        <v>19/02/1983</v>
      </c>
      <c r="L2829" s="21" t="str">
        <f>IFERROR(__xludf.DUMMYFUNCTION("""COMPUTED_VALUE"""),"PEREMPUAN")</f>
        <v>PEREMPUAN</v>
      </c>
      <c r="M2829" s="35" t="str">
        <f>IFERROR(__xludf.DUMMYFUNCTION("""COMPUTED_VALUE"""),"JL. DANAU SENTARUM")</f>
        <v>JL. DANAU SENTARUM</v>
      </c>
      <c r="N2829" s="35" t="str">
        <f>IFERROR(__xludf.DUMMYFUNCTION("""COMPUTED_VALUE"""),"SUNGAI BANGKONG")</f>
        <v>SUNGAI BANGKONG</v>
      </c>
      <c r="O2829" s="35" t="str">
        <f>IFERROR(__xludf.DUMMYFUNCTION("""COMPUTED_VALUE"""),"PONTIANAK KOTA")</f>
        <v>PONTIANAK KOTA</v>
      </c>
      <c r="P2829" s="35" t="str">
        <f>IFERROR(__xludf.DUMMYFUNCTION("""COMPUTED_VALUE"""),"PONTIANAK")</f>
        <v>PONTIANAK</v>
      </c>
      <c r="Q2829" s="35" t="str">
        <f>IFERROR(__xludf.DUMMYFUNCTION("""COMPUTED_VALUE"""),"KALIMANTAN BARAT")</f>
        <v>KALIMANTAN BARAT</v>
      </c>
      <c r="R2829" s="21" t="str">
        <f>IFERROR(__xludf.DUMMYFUNCTION("""COMPUTED_VALUE"""),"ISLAM")</f>
        <v>ISLAM</v>
      </c>
      <c r="S2829" s="74" t="str">
        <f>IFERROR(__xludf.DUMMYFUNCTION("""COMPUTED_VALUE"""),"WIRASWASTA")</f>
        <v>WIRASWASTA</v>
      </c>
      <c r="T2829" s="35" t="str">
        <f>IFERROR(__xludf.DUMMYFUNCTION("""COMPUTED_VALUE"""),"LEHER")</f>
        <v>LEHER</v>
      </c>
      <c r="U2829" s="35" t="str">
        <f>IFERROR(__xludf.DUMMYFUNCTION("""COMPUTED_VALUE"""),"-")</f>
        <v>-</v>
      </c>
      <c r="V2829" s="37" t="str">
        <f>IFERROR(__xludf.DUMMYFUNCTION("""COMPUTED_VALUE"""),"089693824650")</f>
        <v>089693824650</v>
      </c>
      <c r="W2829" s="45"/>
    </row>
    <row r="2830">
      <c r="A2830" s="45"/>
      <c r="B2830" s="24" t="str">
        <f>IFERROR(__xludf.DUMMYFUNCTION("""COMPUTED_VALUE"""),"08/09/2025 12:20:02")</f>
        <v>08/09/2025 12:20:02</v>
      </c>
      <c r="C2830" s="35"/>
      <c r="D2830" s="10">
        <f>IFERROR(__xludf.DUMMYFUNCTION("""COMPUTED_VALUE"""),45908.0)</f>
        <v>45908</v>
      </c>
      <c r="E2830" s="35" t="str">
        <f>IFERROR(__xludf.DUMMYFUNCTION("""COMPUTED_VALUE"""),"09Sep")</f>
        <v>09Sep</v>
      </c>
      <c r="F2830" s="34" t="str">
        <f>IFERROR(__xludf.DUMMYFUNCTION("""COMPUTED_VALUE"""),"2025")</f>
        <v>2025</v>
      </c>
      <c r="G2830" s="35" t="str">
        <f>IFERROR(__xludf.DUMMYFUNCTION("""COMPUTED_VALUE"""),"ROYMOND CHANDRA P")</f>
        <v>ROYMOND CHANDRA P</v>
      </c>
      <c r="H2830" s="35" t="str">
        <f>IFERROR(__xludf.DUMMYFUNCTION("""COMPUTED_VALUE"""),"R9325090723")</f>
        <v>R9325090723</v>
      </c>
      <c r="I2830" s="35">
        <f>IFERROR(__xludf.DUMMYFUNCTION("""COMPUTED_VALUE"""),33.0)</f>
        <v>33</v>
      </c>
      <c r="J2830" s="35" t="str">
        <f>IFERROR(__xludf.DUMMYFUNCTION("""COMPUTED_VALUE"""),"25-34 tahun")</f>
        <v>25-34 tahun</v>
      </c>
      <c r="K2830" s="21" t="str">
        <f>IFERROR(__xludf.DUMMYFUNCTION("""COMPUTED_VALUE"""),"01/03/1993")</f>
        <v>01/03/1993</v>
      </c>
      <c r="L2830" s="21" t="str">
        <f>IFERROR(__xludf.DUMMYFUNCTION("""COMPUTED_VALUE"""),"LAKI-LAKI")</f>
        <v>LAKI-LAKI</v>
      </c>
      <c r="M2830" s="35" t="str">
        <f>IFERROR(__xludf.DUMMYFUNCTION("""COMPUTED_VALUE"""),"JL. 28 OKTOBER GG. TRISAKTI RT 04 RW 22")</f>
        <v>JL. 28 OKTOBER GG. TRISAKTI RT 04 RW 22</v>
      </c>
      <c r="N2830" s="35" t="str">
        <f>IFERROR(__xludf.DUMMYFUNCTION("""COMPUTED_VALUE"""),"SIANTAN HULU")</f>
        <v>SIANTAN HULU</v>
      </c>
      <c r="O2830" s="35" t="str">
        <f>IFERROR(__xludf.DUMMYFUNCTION("""COMPUTED_VALUE"""),"PONTIANAK UTARA")</f>
        <v>PONTIANAK UTARA</v>
      </c>
      <c r="P2830" s="35" t="str">
        <f>IFERROR(__xludf.DUMMYFUNCTION("""COMPUTED_VALUE"""),"PONTIANAK")</f>
        <v>PONTIANAK</v>
      </c>
      <c r="Q2830" s="35" t="str">
        <f>IFERROR(__xludf.DUMMYFUNCTION("""COMPUTED_VALUE"""),"KALIMANTAN BARAT")</f>
        <v>KALIMANTAN BARAT</v>
      </c>
      <c r="R2830" s="21" t="str">
        <f>IFERROR(__xludf.DUMMYFUNCTION("""COMPUTED_VALUE"""),"ISLAM")</f>
        <v>ISLAM</v>
      </c>
      <c r="S2830" s="74" t="str">
        <f>IFERROR(__xludf.DUMMYFUNCTION("""COMPUTED_VALUE"""),"WIRASWASTA")</f>
        <v>WIRASWASTA</v>
      </c>
      <c r="T2830" s="35" t="str">
        <f>IFERROR(__xludf.DUMMYFUNCTION("""COMPUTED_VALUE"""),"OTOT RUSUK KIRI BAGIAN BELAKANG TERASA TERTARIK MEMBUAT SUSAH NAFAS")</f>
        <v>OTOT RUSUK KIRI BAGIAN BELAKANG TERASA TERTARIK MEMBUAT SUSAH NAFAS</v>
      </c>
      <c r="U2830" s="35" t="str">
        <f>IFERROR(__xludf.DUMMYFUNCTION("""COMPUTED_VALUE"""),"DUDUK DAN GYM")</f>
        <v>DUDUK DAN GYM</v>
      </c>
      <c r="V2830" s="37" t="str">
        <f>IFERROR(__xludf.DUMMYFUNCTION("""COMPUTED_VALUE"""),"08974000723")</f>
        <v>08974000723</v>
      </c>
      <c r="W2830" s="45"/>
    </row>
    <row r="2831">
      <c r="A2831" s="45"/>
      <c r="B2831" s="24" t="str">
        <f>IFERROR(__xludf.DUMMYFUNCTION("""COMPUTED_VALUE"""),"08/09/2025 18:19:46")</f>
        <v>08/09/2025 18:19:46</v>
      </c>
      <c r="C2831" s="35"/>
      <c r="D2831" s="10">
        <f>IFERROR(__xludf.DUMMYFUNCTION("""COMPUTED_VALUE"""),45908.0)</f>
        <v>45908</v>
      </c>
      <c r="E2831" s="35" t="str">
        <f>IFERROR(__xludf.DUMMYFUNCTION("""COMPUTED_VALUE"""),"09Sep")</f>
        <v>09Sep</v>
      </c>
      <c r="F2831" s="34" t="str">
        <f>IFERROR(__xludf.DUMMYFUNCTION("""COMPUTED_VALUE"""),"2025")</f>
        <v>2025</v>
      </c>
      <c r="G2831" s="35" t="str">
        <f>IFERROR(__xludf.DUMMYFUNCTION("""COMPUTED_VALUE"""),"EMYLIA TRIANA SAPUTRI")</f>
        <v>EMYLIA TRIANA SAPUTRI</v>
      </c>
      <c r="H2831" s="35" t="str">
        <f>IFERROR(__xludf.DUMMYFUNCTION("""COMPUTED_VALUE"""),"E0325098158")</f>
        <v>E0325098158</v>
      </c>
      <c r="I2831" s="35">
        <f>IFERROR(__xludf.DUMMYFUNCTION("""COMPUTED_VALUE"""),22.0)</f>
        <v>22</v>
      </c>
      <c r="J2831" s="35" t="str">
        <f>IFERROR(__xludf.DUMMYFUNCTION("""COMPUTED_VALUE"""),"18-24 tahun")</f>
        <v>18-24 tahun</v>
      </c>
      <c r="K2831" s="21" t="str">
        <f>IFERROR(__xludf.DUMMYFUNCTION("""COMPUTED_VALUE"""),"16/11/2003")</f>
        <v>16/11/2003</v>
      </c>
      <c r="L2831" s="21" t="str">
        <f>IFERROR(__xludf.DUMMYFUNCTION("""COMPUTED_VALUE"""),"PEREMPUAN")</f>
        <v>PEREMPUAN</v>
      </c>
      <c r="M2831" s="35" t="str">
        <f>IFERROR(__xludf.DUMMYFUNCTION("""COMPUTED_VALUE"""),"JL SERDAM")</f>
        <v>JL SERDAM</v>
      </c>
      <c r="N2831" s="35" t="str">
        <f>IFERROR(__xludf.DUMMYFUNCTION("""COMPUTED_VALUE"""),"SUI RAYA")</f>
        <v>SUI RAYA</v>
      </c>
      <c r="O2831" s="35" t="str">
        <f>IFERROR(__xludf.DUMMYFUNCTION("""COMPUTED_VALUE"""),"SUI RAYA")</f>
        <v>SUI RAYA</v>
      </c>
      <c r="P2831" s="35" t="str">
        <f>IFERROR(__xludf.DUMMYFUNCTION("""COMPUTED_VALUE"""),"KUBU RAYA")</f>
        <v>KUBU RAYA</v>
      </c>
      <c r="Q2831" s="35" t="str">
        <f>IFERROR(__xludf.DUMMYFUNCTION("""COMPUTED_VALUE"""),"KALIMANTAN BARAT")</f>
        <v>KALIMANTAN BARAT</v>
      </c>
      <c r="R2831" s="21" t="str">
        <f>IFERROR(__xludf.DUMMYFUNCTION("""COMPUTED_VALUE"""),"ISLAM")</f>
        <v>ISLAM</v>
      </c>
      <c r="S2831" s="74" t="str">
        <f>IFERROR(__xludf.DUMMYFUNCTION("""COMPUTED_VALUE"""),"NURSE")</f>
        <v>NURSE</v>
      </c>
      <c r="T2831" s="35" t="str">
        <f>IFERROR(__xludf.DUMMYFUNCTION("""COMPUTED_VALUE"""),"PERNAH CEDERA LOW BACK AKIBAT KECELAKAAN, SEKARANG KAMBUH SETELAH BEBERAPA BULAN MEMBAIK, GA ENAK DIPUNGGUNG TENGAH DIBAWA LATIHAN KARATE")</f>
        <v>PERNAH CEDERA LOW BACK AKIBAT KECELAKAAN, SEKARANG KAMBUH SETELAH BEBERAPA BULAN MEMBAIK, GA ENAK DIPUNGGUNG TENGAH DIBAWA LATIHAN KARATE</v>
      </c>
      <c r="U2831" s="35" t="str">
        <f>IFERROR(__xludf.DUMMYFUNCTION("""COMPUTED_VALUE"""),"OLAHRAGA KARATE, EXERCISE BEBAN")</f>
        <v>OLAHRAGA KARATE, EXERCISE BEBAN</v>
      </c>
      <c r="V2831" s="37" t="str">
        <f>IFERROR(__xludf.DUMMYFUNCTION("""COMPUTED_VALUE"""),"085753898158")</f>
        <v>085753898158</v>
      </c>
      <c r="W2831" s="45"/>
    </row>
    <row r="2832">
      <c r="A2832" s="45"/>
      <c r="B2832" s="24" t="str">
        <f>IFERROR(__xludf.DUMMYFUNCTION("""COMPUTED_VALUE"""),"09/09/2025 10:20:47")</f>
        <v>09/09/2025 10:20:47</v>
      </c>
      <c r="C2832" s="35"/>
      <c r="D2832" s="10">
        <f>IFERROR(__xludf.DUMMYFUNCTION("""COMPUTED_VALUE"""),45909.0)</f>
        <v>45909</v>
      </c>
      <c r="E2832" s="35" t="str">
        <f>IFERROR(__xludf.DUMMYFUNCTION("""COMPUTED_VALUE"""),"09Sep")</f>
        <v>09Sep</v>
      </c>
      <c r="F2832" s="34" t="str">
        <f>IFERROR(__xludf.DUMMYFUNCTION("""COMPUTED_VALUE"""),"2025")</f>
        <v>2025</v>
      </c>
      <c r="G2832" s="35" t="str">
        <f>IFERROR(__xludf.DUMMYFUNCTION("""COMPUTED_VALUE"""),"ANDRIANI")</f>
        <v>ANDRIANI</v>
      </c>
      <c r="H2832" s="35" t="str">
        <f>IFERROR(__xludf.DUMMYFUNCTION("""COMPUTED_VALUE"""),"A5625092572")</f>
        <v>A5625092572</v>
      </c>
      <c r="I2832" s="35">
        <f>IFERROR(__xludf.DUMMYFUNCTION("""COMPUTED_VALUE"""),69.0)</f>
        <v>69</v>
      </c>
      <c r="J2832" s="35" t="str">
        <f>IFERROR(__xludf.DUMMYFUNCTION("""COMPUTED_VALUE"""),"&gt; 44 tahun")</f>
        <v>&gt; 44 tahun</v>
      </c>
      <c r="K2832" s="21" t="str">
        <f>IFERROR(__xludf.DUMMYFUNCTION("""COMPUTED_VALUE"""),"05/07/1956")</f>
        <v>05/07/1956</v>
      </c>
      <c r="L2832" s="21" t="str">
        <f>IFERROR(__xludf.DUMMYFUNCTION("""COMPUTED_VALUE"""),"PEREMPUAN")</f>
        <v>PEREMPUAN</v>
      </c>
      <c r="M2832" s="35" t="str">
        <f>IFERROR(__xludf.DUMMYFUNCTION("""COMPUTED_VALUE"""),"JL. GAJAH MADA GG. GAJAH MADA 19 NO 15")</f>
        <v>JL. GAJAH MADA GG. GAJAH MADA 19 NO 15</v>
      </c>
      <c r="N2832" s="35" t="str">
        <f>IFERROR(__xludf.DUMMYFUNCTION("""COMPUTED_VALUE"""),"BENUA MELAYU DARAT")</f>
        <v>BENUA MELAYU DARAT</v>
      </c>
      <c r="O2832" s="35" t="str">
        <f>IFERROR(__xludf.DUMMYFUNCTION("""COMPUTED_VALUE"""),"PONTIANAK SELATAN")</f>
        <v>PONTIANAK SELATAN</v>
      </c>
      <c r="P2832" s="35" t="str">
        <f>IFERROR(__xludf.DUMMYFUNCTION("""COMPUTED_VALUE"""),"PONTIANAK")</f>
        <v>PONTIANAK</v>
      </c>
      <c r="Q2832" s="35" t="str">
        <f>IFERROR(__xludf.DUMMYFUNCTION("""COMPUTED_VALUE"""),"KALIMANTAN BARAT")</f>
        <v>KALIMANTAN BARAT</v>
      </c>
      <c r="R2832" s="21" t="str">
        <f>IFERROR(__xludf.DUMMYFUNCTION("""COMPUTED_VALUE"""),"ISLAM")</f>
        <v>ISLAM</v>
      </c>
      <c r="S2832" s="74" t="str">
        <f>IFERROR(__xludf.DUMMYFUNCTION("""COMPUTED_VALUE"""),"IRT")</f>
        <v>IRT</v>
      </c>
      <c r="T2832" s="35" t="str">
        <f>IFERROR(__xludf.DUMMYFUNCTION("""COMPUTED_VALUE"""),"PINGGANG DAN KAKI")</f>
        <v>PINGGANG DAN KAKI</v>
      </c>
      <c r="U2832" s="35" t="str">
        <f>IFERROR(__xludf.DUMMYFUNCTION("""COMPUTED_VALUE"""),"-")</f>
        <v>-</v>
      </c>
      <c r="V2832" s="37" t="str">
        <f>IFERROR(__xludf.DUMMYFUNCTION("""COMPUTED_VALUE"""),"081522572572")</f>
        <v>081522572572</v>
      </c>
      <c r="W2832" s="45"/>
    </row>
    <row r="2833">
      <c r="A2833" s="45"/>
      <c r="B2833" s="24" t="str">
        <f>IFERROR(__xludf.DUMMYFUNCTION("""COMPUTED_VALUE"""),"09/09/2025 11:22:42")</f>
        <v>09/09/2025 11:22:42</v>
      </c>
      <c r="C2833" s="35"/>
      <c r="D2833" s="10">
        <f>IFERROR(__xludf.DUMMYFUNCTION("""COMPUTED_VALUE"""),45909.0)</f>
        <v>45909</v>
      </c>
      <c r="E2833" s="35" t="str">
        <f>IFERROR(__xludf.DUMMYFUNCTION("""COMPUTED_VALUE"""),"09Sep")</f>
        <v>09Sep</v>
      </c>
      <c r="F2833" s="34" t="str">
        <f>IFERROR(__xludf.DUMMYFUNCTION("""COMPUTED_VALUE"""),"2025")</f>
        <v>2025</v>
      </c>
      <c r="G2833" s="35" t="str">
        <f>IFERROR(__xludf.DUMMYFUNCTION("""COMPUTED_VALUE"""),"JONG NYUK KIM ALS FATIMAH")</f>
        <v>JONG NYUK KIM ALS FATIMAH</v>
      </c>
      <c r="H2833" s="35" t="str">
        <f>IFERROR(__xludf.DUMMYFUNCTION("""COMPUTED_VALUE"""),"J6025097234")</f>
        <v>J6025097234</v>
      </c>
      <c r="I2833" s="35">
        <f>IFERROR(__xludf.DUMMYFUNCTION("""COMPUTED_VALUE"""),66.0)</f>
        <v>66</v>
      </c>
      <c r="J2833" s="35" t="str">
        <f>IFERROR(__xludf.DUMMYFUNCTION("""COMPUTED_VALUE"""),"&gt; 44 tahun")</f>
        <v>&gt; 44 tahun</v>
      </c>
      <c r="K2833" s="21" t="str">
        <f>IFERROR(__xludf.DUMMYFUNCTION("""COMPUTED_VALUE"""),"17/03/1960")</f>
        <v>17/03/1960</v>
      </c>
      <c r="L2833" s="21" t="str">
        <f>IFERROR(__xludf.DUMMYFUNCTION("""COMPUTED_VALUE"""),"PEREMPUAN")</f>
        <v>PEREMPUAN</v>
      </c>
      <c r="M2833" s="35" t="str">
        <f>IFERROR(__xludf.DUMMYFUNCTION("""COMPUTED_VALUE"""),"JL. PUYUH GG.PUYUH 2 NO.44 A")</f>
        <v>JL. PUYUH GG.PUYUH 2 NO.44 A</v>
      </c>
      <c r="N2833" s="35" t="str">
        <f>IFERROR(__xludf.DUMMYFUNCTION("""COMPUTED_VALUE"""),"MARIANA")</f>
        <v>MARIANA</v>
      </c>
      <c r="O2833" s="35" t="str">
        <f>IFERROR(__xludf.DUMMYFUNCTION("""COMPUTED_VALUE"""),"PONTIANAK KOTA")</f>
        <v>PONTIANAK KOTA</v>
      </c>
      <c r="P2833" s="35" t="str">
        <f>IFERROR(__xludf.DUMMYFUNCTION("""COMPUTED_VALUE"""),"PONTIANAK")</f>
        <v>PONTIANAK</v>
      </c>
      <c r="Q2833" s="35" t="str">
        <f>IFERROR(__xludf.DUMMYFUNCTION("""COMPUTED_VALUE"""),"KALIMANTAN BARAT")</f>
        <v>KALIMANTAN BARAT</v>
      </c>
      <c r="R2833" s="21" t="str">
        <f>IFERROR(__xludf.DUMMYFUNCTION("""COMPUTED_VALUE"""),"BUDDHA")</f>
        <v>BUDDHA</v>
      </c>
      <c r="S2833" s="74" t="str">
        <f>IFERROR(__xludf.DUMMYFUNCTION("""COMPUTED_VALUE"""),"IRT")</f>
        <v>IRT</v>
      </c>
      <c r="T2833" s="35" t="str">
        <f>IFERROR(__xludf.DUMMYFUNCTION("""COMPUTED_VALUE"""),"LUTUT, BAHU DAN TANGAN")</f>
        <v>LUTUT, BAHU DAN TANGAN</v>
      </c>
      <c r="U2833" s="35" t="str">
        <f>IFERROR(__xludf.DUMMYFUNCTION("""COMPUTED_VALUE"""),"-")</f>
        <v>-</v>
      </c>
      <c r="V2833" s="37" t="str">
        <f>IFERROR(__xludf.DUMMYFUNCTION("""COMPUTED_VALUE"""),"081256067234")</f>
        <v>081256067234</v>
      </c>
      <c r="W2833" s="45"/>
    </row>
    <row r="2834">
      <c r="A2834" s="45"/>
      <c r="B2834" s="24" t="str">
        <f>IFERROR(__xludf.DUMMYFUNCTION("""COMPUTED_VALUE"""),"09/09/2025 12:15:56")</f>
        <v>09/09/2025 12:15:56</v>
      </c>
      <c r="C2834" s="35"/>
      <c r="D2834" s="10">
        <f>IFERROR(__xludf.DUMMYFUNCTION("""COMPUTED_VALUE"""),45909.0)</f>
        <v>45909</v>
      </c>
      <c r="E2834" s="35" t="str">
        <f>IFERROR(__xludf.DUMMYFUNCTION("""COMPUTED_VALUE"""),"09Sep")</f>
        <v>09Sep</v>
      </c>
      <c r="F2834" s="34" t="str">
        <f>IFERROR(__xludf.DUMMYFUNCTION("""COMPUTED_VALUE"""),"2025")</f>
        <v>2025</v>
      </c>
      <c r="G2834" s="35" t="str">
        <f>IFERROR(__xludf.DUMMYFUNCTION("""COMPUTED_VALUE"""),"MICHAEL EMERSON YANSENS")</f>
        <v>MICHAEL EMERSON YANSENS</v>
      </c>
      <c r="H2834" s="35" t="str">
        <f>IFERROR(__xludf.DUMMYFUNCTION("""COMPUTED_VALUE"""),"M8625091074")</f>
        <v>M8625091074</v>
      </c>
      <c r="I2834" s="35">
        <f>IFERROR(__xludf.DUMMYFUNCTION("""COMPUTED_VALUE"""),39.0)</f>
        <v>39</v>
      </c>
      <c r="J2834" s="35" t="str">
        <f>IFERROR(__xludf.DUMMYFUNCTION("""COMPUTED_VALUE"""),"35-44 tahun")</f>
        <v>35-44 tahun</v>
      </c>
      <c r="K2834" s="21" t="str">
        <f>IFERROR(__xludf.DUMMYFUNCTION("""COMPUTED_VALUE"""),"27/11/1986")</f>
        <v>27/11/1986</v>
      </c>
      <c r="L2834" s="21" t="str">
        <f>IFERROR(__xludf.DUMMYFUNCTION("""COMPUTED_VALUE"""),"LAKI-LAKI")</f>
        <v>LAKI-LAKI</v>
      </c>
      <c r="M2834" s="35" t="str">
        <f>IFERROR(__xludf.DUMMYFUNCTION("""COMPUTED_VALUE"""),"JL. RE. MARTADINATA GG. BUNCIS NO. 10")</f>
        <v>JL. RE. MARTADINATA GG. BUNCIS NO. 10</v>
      </c>
      <c r="N2834" s="35" t="str">
        <f>IFERROR(__xludf.DUMMYFUNCTION("""COMPUTED_VALUE"""),"SUNGAI JAWI LUAR")</f>
        <v>SUNGAI JAWI LUAR</v>
      </c>
      <c r="O2834" s="35" t="str">
        <f>IFERROR(__xludf.DUMMYFUNCTION("""COMPUTED_VALUE"""),"PONTIANAK BARAT")</f>
        <v>PONTIANAK BARAT</v>
      </c>
      <c r="P2834" s="35" t="str">
        <f>IFERROR(__xludf.DUMMYFUNCTION("""COMPUTED_VALUE"""),"KOTA PONTIANAK")</f>
        <v>KOTA PONTIANAK</v>
      </c>
      <c r="Q2834" s="35" t="str">
        <f>IFERROR(__xludf.DUMMYFUNCTION("""COMPUTED_VALUE"""),"KALIMANTAN BARAT")</f>
        <v>KALIMANTAN BARAT</v>
      </c>
      <c r="R2834" s="21" t="str">
        <f>IFERROR(__xludf.DUMMYFUNCTION("""COMPUTED_VALUE"""),"PROTESTAN")</f>
        <v>PROTESTAN</v>
      </c>
      <c r="S2834" s="74" t="str">
        <f>IFERROR(__xludf.DUMMYFUNCTION("""COMPUTED_VALUE"""),"MARKETING")</f>
        <v>MARKETING</v>
      </c>
      <c r="T2834" s="35" t="str">
        <f>IFERROR(__xludf.DUMMYFUNCTION("""COMPUTED_VALUE"""),"SAKIT PADA BAGIAN LEHER SEBELAH KIRI SAMPAI BAGIAN PUNGGUNG BELAKANG")</f>
        <v>SAKIT PADA BAGIAN LEHER SEBELAH KIRI SAMPAI BAGIAN PUNGGUNG BELAKANG</v>
      </c>
      <c r="U2834" s="35" t="str">
        <f>IFERROR(__xludf.DUMMYFUNCTION("""COMPUTED_VALUE"""),"TIDAK ADA")</f>
        <v>TIDAK ADA</v>
      </c>
      <c r="V2834" s="37" t="str">
        <f>IFERROR(__xludf.DUMMYFUNCTION("""COMPUTED_VALUE"""),"082170001074")</f>
        <v>082170001074</v>
      </c>
      <c r="W2834" s="45"/>
    </row>
    <row r="2835">
      <c r="A2835" s="45"/>
      <c r="B2835" s="24" t="str">
        <f>IFERROR(__xludf.DUMMYFUNCTION("""COMPUTED_VALUE"""),"09/09/2025 19:29:33")</f>
        <v>09/09/2025 19:29:33</v>
      </c>
      <c r="C2835" s="35"/>
      <c r="D2835" s="10">
        <f>IFERROR(__xludf.DUMMYFUNCTION("""COMPUTED_VALUE"""),45909.0)</f>
        <v>45909</v>
      </c>
      <c r="E2835" s="35" t="str">
        <f>IFERROR(__xludf.DUMMYFUNCTION("""COMPUTED_VALUE"""),"09Sep")</f>
        <v>09Sep</v>
      </c>
      <c r="F2835" s="34" t="str">
        <f>IFERROR(__xludf.DUMMYFUNCTION("""COMPUTED_VALUE"""),"2025")</f>
        <v>2025</v>
      </c>
      <c r="G2835" s="35" t="str">
        <f>IFERROR(__xludf.DUMMYFUNCTION("""COMPUTED_VALUE"""),"DAULIAH")</f>
        <v>DAULIAH</v>
      </c>
      <c r="H2835" s="35" t="str">
        <f>IFERROR(__xludf.DUMMYFUNCTION("""COMPUTED_VALUE"""),"D7225090")</f>
        <v>D7225090</v>
      </c>
      <c r="I2835" s="35">
        <f>IFERROR(__xludf.DUMMYFUNCTION("""COMPUTED_VALUE"""),54.0)</f>
        <v>54</v>
      </c>
      <c r="J2835" s="35" t="str">
        <f>IFERROR(__xludf.DUMMYFUNCTION("""COMPUTED_VALUE"""),"&gt; 44 tahun")</f>
        <v>&gt; 44 tahun</v>
      </c>
      <c r="K2835" s="21" t="str">
        <f>IFERROR(__xludf.DUMMYFUNCTION("""COMPUTED_VALUE"""),"07/02/1972")</f>
        <v>07/02/1972</v>
      </c>
      <c r="L2835" s="21" t="str">
        <f>IFERROR(__xludf.DUMMYFUNCTION("""COMPUTED_VALUE"""),"PEREMPUAN")</f>
        <v>PEREMPUAN</v>
      </c>
      <c r="M2835" s="35" t="str">
        <f>IFERROR(__xludf.DUMMYFUNCTION("""COMPUTED_VALUE"""),"JL PERINTIS NO 17")</f>
        <v>JL PERINTIS NO 17</v>
      </c>
      <c r="N2835" s="35" t="str">
        <f>IFERROR(__xludf.DUMMYFUNCTION("""COMPUTED_VALUE"""),"AKCAYA")</f>
        <v>AKCAYA</v>
      </c>
      <c r="O2835" s="35" t="str">
        <f>IFERROR(__xludf.DUMMYFUNCTION("""COMPUTED_VALUE"""),"PONTIANAK SELATAN")</f>
        <v>PONTIANAK SELATAN</v>
      </c>
      <c r="P2835" s="35" t="str">
        <f>IFERROR(__xludf.DUMMYFUNCTION("""COMPUTED_VALUE"""),"PONTIANAK")</f>
        <v>PONTIANAK</v>
      </c>
      <c r="Q2835" s="35" t="str">
        <f>IFERROR(__xludf.DUMMYFUNCTION("""COMPUTED_VALUE"""),"KALIMANTAN BARAT")</f>
        <v>KALIMANTAN BARAT</v>
      </c>
      <c r="R2835" s="21" t="str">
        <f>IFERROR(__xludf.DUMMYFUNCTION("""COMPUTED_VALUE"""),"ISLAM")</f>
        <v>ISLAM</v>
      </c>
      <c r="S2835" s="74" t="str">
        <f>IFERROR(__xludf.DUMMYFUNCTION("""COMPUTED_VALUE"""),"IRT")</f>
        <v>IRT</v>
      </c>
      <c r="T2835" s="35" t="str">
        <f>IFERROR(__xludf.DUMMYFUNCTION("""COMPUTED_VALUE"""),"TANGAN SAKIT , SALAH POSISI")</f>
        <v>TANGAN SAKIT , SALAH POSISI</v>
      </c>
      <c r="U2835" s="35" t="str">
        <f>IFERROR(__xludf.DUMMYFUNCTION("""COMPUTED_VALUE"""),"-")</f>
        <v>-</v>
      </c>
      <c r="V2835" s="37" t="str">
        <f>IFERROR(__xludf.DUMMYFUNCTION("""COMPUTED_VALUE"""),"0")</f>
        <v>0</v>
      </c>
      <c r="W2835" s="45"/>
    </row>
    <row r="2836">
      <c r="A2836" s="45"/>
      <c r="B2836" s="24" t="str">
        <f>IFERROR(__xludf.DUMMYFUNCTION("""COMPUTED_VALUE"""),"10/09/2025 12:59:06")</f>
        <v>10/09/2025 12:59:06</v>
      </c>
      <c r="C2836" s="35"/>
      <c r="D2836" s="10">
        <f>IFERROR(__xludf.DUMMYFUNCTION("""COMPUTED_VALUE"""),45910.0)</f>
        <v>45910</v>
      </c>
      <c r="E2836" s="35" t="str">
        <f>IFERROR(__xludf.DUMMYFUNCTION("""COMPUTED_VALUE"""),"09Sep")</f>
        <v>09Sep</v>
      </c>
      <c r="F2836" s="34" t="str">
        <f>IFERROR(__xludf.DUMMYFUNCTION("""COMPUTED_VALUE"""),"2025")</f>
        <v>2025</v>
      </c>
      <c r="G2836" s="35" t="str">
        <f>IFERROR(__xludf.DUMMYFUNCTION("""COMPUTED_VALUE"""),"WULAN SITI AISYAH")</f>
        <v>WULAN SITI AISYAH</v>
      </c>
      <c r="H2836" s="35" t="str">
        <f>IFERROR(__xludf.DUMMYFUNCTION("""COMPUTED_VALUE"""),"W0825093044")</f>
        <v>W0825093044</v>
      </c>
      <c r="I2836" s="35">
        <f>IFERROR(__xludf.DUMMYFUNCTION("""COMPUTED_VALUE"""),18.0)</f>
        <v>18</v>
      </c>
      <c r="J2836" s="35" t="str">
        <f>IFERROR(__xludf.DUMMYFUNCTION("""COMPUTED_VALUE"""),"&lt; 18 tahun")</f>
        <v>&lt; 18 tahun</v>
      </c>
      <c r="K2836" s="21" t="str">
        <f>IFERROR(__xludf.DUMMYFUNCTION("""COMPUTED_VALUE"""),"20/05/2008")</f>
        <v>20/05/2008</v>
      </c>
      <c r="L2836" s="21" t="str">
        <f>IFERROR(__xludf.DUMMYFUNCTION("""COMPUTED_VALUE"""),"PEREMPUAN")</f>
        <v>PEREMPUAN</v>
      </c>
      <c r="M2836" s="35" t="str">
        <f>IFERROR(__xludf.DUMMYFUNCTION("""COMPUTED_VALUE"""),"JL BUDI UTOMO")</f>
        <v>JL BUDI UTOMO</v>
      </c>
      <c r="N2836" s="35" t="str">
        <f>IFERROR(__xludf.DUMMYFUNCTION("""COMPUTED_VALUE"""),"SIANTAN HILIR")</f>
        <v>SIANTAN HILIR</v>
      </c>
      <c r="O2836" s="35" t="str">
        <f>IFERROR(__xludf.DUMMYFUNCTION("""COMPUTED_VALUE"""),"PONTIANAK UTARA")</f>
        <v>PONTIANAK UTARA</v>
      </c>
      <c r="P2836" s="35" t="str">
        <f>IFERROR(__xludf.DUMMYFUNCTION("""COMPUTED_VALUE"""),"PONTIANAK")</f>
        <v>PONTIANAK</v>
      </c>
      <c r="Q2836" s="35" t="str">
        <f>IFERROR(__xludf.DUMMYFUNCTION("""COMPUTED_VALUE"""),"KALIMANTAN BARAT")</f>
        <v>KALIMANTAN BARAT</v>
      </c>
      <c r="R2836" s="21" t="str">
        <f>IFERROR(__xludf.DUMMYFUNCTION("""COMPUTED_VALUE"""),"ISLAM")</f>
        <v>ISLAM</v>
      </c>
      <c r="S2836" s="74" t="str">
        <f>IFERROR(__xludf.DUMMYFUNCTION("""COMPUTED_VALUE"""),"MAHASISWA")</f>
        <v>MAHASISWA</v>
      </c>
      <c r="T2836" s="35" t="str">
        <f>IFERROR(__xludf.DUMMYFUNCTION("""COMPUTED_VALUE"""),"KESEMUTAN KAKI KIRI")</f>
        <v>KESEMUTAN KAKI KIRI</v>
      </c>
      <c r="U2836" s="35" t="str">
        <f>IFERROR(__xludf.DUMMYFUNCTION("""COMPUTED_VALUE"""),"HOBI GYM")</f>
        <v>HOBI GYM</v>
      </c>
      <c r="V2836" s="37" t="str">
        <f>IFERROR(__xludf.DUMMYFUNCTION("""COMPUTED_VALUE"""),"0895371343044")</f>
        <v>0895371343044</v>
      </c>
      <c r="W2836" s="45"/>
    </row>
    <row r="2837">
      <c r="A2837" s="45"/>
      <c r="B2837" s="24" t="str">
        <f>IFERROR(__xludf.DUMMYFUNCTION("""COMPUTED_VALUE"""),"10/09/2025 13:16:58")</f>
        <v>10/09/2025 13:16:58</v>
      </c>
      <c r="C2837" s="35"/>
      <c r="D2837" s="10">
        <f>IFERROR(__xludf.DUMMYFUNCTION("""COMPUTED_VALUE"""),45910.0)</f>
        <v>45910</v>
      </c>
      <c r="E2837" s="35" t="str">
        <f>IFERROR(__xludf.DUMMYFUNCTION("""COMPUTED_VALUE"""),"09Sep")</f>
        <v>09Sep</v>
      </c>
      <c r="F2837" s="34" t="str">
        <f>IFERROR(__xludf.DUMMYFUNCTION("""COMPUTED_VALUE"""),"2025")</f>
        <v>2025</v>
      </c>
      <c r="G2837" s="35" t="str">
        <f>IFERROR(__xludf.DUMMYFUNCTION("""COMPUTED_VALUE"""),"MARIA ELLISA")</f>
        <v>MARIA ELLISA</v>
      </c>
      <c r="H2837" s="35" t="str">
        <f>IFERROR(__xludf.DUMMYFUNCTION("""COMPUTED_VALUE"""),"M0725093359")</f>
        <v>M0725093359</v>
      </c>
      <c r="I2837" s="35">
        <f>IFERROR(__xludf.DUMMYFUNCTION("""COMPUTED_VALUE"""),18.0)</f>
        <v>18</v>
      </c>
      <c r="J2837" s="35" t="str">
        <f>IFERROR(__xludf.DUMMYFUNCTION("""COMPUTED_VALUE"""),"&lt; 18 tahun")</f>
        <v>&lt; 18 tahun</v>
      </c>
      <c r="K2837" s="21" t="str">
        <f>IFERROR(__xludf.DUMMYFUNCTION("""COMPUTED_VALUE"""),"21/11/2007")</f>
        <v>21/11/2007</v>
      </c>
      <c r="L2837" s="21" t="str">
        <f>IFERROR(__xludf.DUMMYFUNCTION("""COMPUTED_VALUE"""),"PEREMPUAN")</f>
        <v>PEREMPUAN</v>
      </c>
      <c r="M2837" s="35" t="str">
        <f>IFERROR(__xludf.DUMMYFUNCTION("""COMPUTED_VALUE"""),"DUSUN NYAYUM")</f>
        <v>DUSUN NYAYUM</v>
      </c>
      <c r="N2837" s="35" t="str">
        <f>IFERROR(__xludf.DUMMYFUNCTION("""COMPUTED_VALUE"""),"DESA NYAYUM")</f>
        <v>DESA NYAYUM</v>
      </c>
      <c r="O2837" s="35" t="str">
        <f>IFERROR(__xludf.DUMMYFUNCTION("""COMPUTED_VALUE"""),"KUALA BEHE")</f>
        <v>KUALA BEHE</v>
      </c>
      <c r="P2837" s="35" t="str">
        <f>IFERROR(__xludf.DUMMYFUNCTION("""COMPUTED_VALUE"""),"LANDAK")</f>
        <v>LANDAK</v>
      </c>
      <c r="Q2837" s="35" t="str">
        <f>IFERROR(__xludf.DUMMYFUNCTION("""COMPUTED_VALUE"""),"PELAJAR/MAHASISWA")</f>
        <v>PELAJAR/MAHASISWA</v>
      </c>
      <c r="R2837" s="21" t="str">
        <f>IFERROR(__xludf.DUMMYFUNCTION("""COMPUTED_VALUE"""),"KATOLIK")</f>
        <v>KATOLIK</v>
      </c>
      <c r="S2837" s="74" t="str">
        <f>IFERROR(__xludf.DUMMYFUNCTION("""COMPUTED_VALUE"""),"MAHASISWA")</f>
        <v>MAHASISWA</v>
      </c>
      <c r="T2837" s="35" t="str">
        <f>IFERROR(__xludf.DUMMYFUNCTION("""COMPUTED_VALUE"""),"SCOLOSIS DERAJAT 50 DAN NYERI PINGGANG")</f>
        <v>SCOLOSIS DERAJAT 50 DAN NYERI PINGGANG</v>
      </c>
      <c r="U2837" s="35" t="str">
        <f>IFERROR(__xludf.DUMMYFUNCTION("""COMPUTED_VALUE"""),"JALAN SANTAI")</f>
        <v>JALAN SANTAI</v>
      </c>
      <c r="V2837" s="37" t="str">
        <f>IFERROR(__xludf.DUMMYFUNCTION("""COMPUTED_VALUE"""),"081420513359")</f>
        <v>081420513359</v>
      </c>
      <c r="W2837" s="45"/>
    </row>
    <row r="2838">
      <c r="A2838" s="45"/>
      <c r="B2838" s="24" t="str">
        <f>IFERROR(__xludf.DUMMYFUNCTION("""COMPUTED_VALUE"""),"10/09/2025 17:42:22")</f>
        <v>10/09/2025 17:42:22</v>
      </c>
      <c r="C2838" s="35"/>
      <c r="D2838" s="10">
        <f>IFERROR(__xludf.DUMMYFUNCTION("""COMPUTED_VALUE"""),45910.0)</f>
        <v>45910</v>
      </c>
      <c r="E2838" s="35" t="str">
        <f>IFERROR(__xludf.DUMMYFUNCTION("""COMPUTED_VALUE"""),"09Sep")</f>
        <v>09Sep</v>
      </c>
      <c r="F2838" s="34" t="str">
        <f>IFERROR(__xludf.DUMMYFUNCTION("""COMPUTED_VALUE"""),"2025")</f>
        <v>2025</v>
      </c>
      <c r="G2838" s="35" t="str">
        <f>IFERROR(__xludf.DUMMYFUNCTION("""COMPUTED_VALUE"""),"M RAKHA WIBISANA")</f>
        <v>M RAKHA WIBISANA</v>
      </c>
      <c r="H2838" s="35" t="str">
        <f>IFERROR(__xludf.DUMMYFUNCTION("""COMPUTED_VALUE"""),"M9725099009")</f>
        <v>M9725099009</v>
      </c>
      <c r="I2838" s="35">
        <f>IFERROR(__xludf.DUMMYFUNCTION("""COMPUTED_VALUE"""),29.0)</f>
        <v>29</v>
      </c>
      <c r="J2838" s="35" t="str">
        <f>IFERROR(__xludf.DUMMYFUNCTION("""COMPUTED_VALUE"""),"25-34 tahun")</f>
        <v>25-34 tahun</v>
      </c>
      <c r="K2838" s="21" t="str">
        <f>IFERROR(__xludf.DUMMYFUNCTION("""COMPUTED_VALUE"""),"19/03/1997")</f>
        <v>19/03/1997</v>
      </c>
      <c r="L2838" s="21" t="str">
        <f>IFERROR(__xludf.DUMMYFUNCTION("""COMPUTED_VALUE"""),"LAKI-LAKI")</f>
        <v>LAKI-LAKI</v>
      </c>
      <c r="M2838" s="35" t="str">
        <f>IFERROR(__xludf.DUMMYFUNCTION("""COMPUTED_VALUE"""),"JL P NATAKUSUMA")</f>
        <v>JL P NATAKUSUMA</v>
      </c>
      <c r="N2838" s="35" t="str">
        <f>IFERROR(__xludf.DUMMYFUNCTION("""COMPUTED_VALUE"""),"SUI BANGKONG")</f>
        <v>SUI BANGKONG</v>
      </c>
      <c r="O2838" s="35" t="str">
        <f>IFERROR(__xludf.DUMMYFUNCTION("""COMPUTED_VALUE"""),"PONTIANAK KOTA")</f>
        <v>PONTIANAK KOTA</v>
      </c>
      <c r="P2838" s="35" t="str">
        <f>IFERROR(__xludf.DUMMYFUNCTION("""COMPUTED_VALUE"""),"KOTA PONTIANAK")</f>
        <v>KOTA PONTIANAK</v>
      </c>
      <c r="Q2838" s="35" t="str">
        <f>IFERROR(__xludf.DUMMYFUNCTION("""COMPUTED_VALUE"""),"KALIMANTAN BARAT")</f>
        <v>KALIMANTAN BARAT</v>
      </c>
      <c r="R2838" s="21" t="str">
        <f>IFERROR(__xludf.DUMMYFUNCTION("""COMPUTED_VALUE"""),"ISLAM")</f>
        <v>ISLAM</v>
      </c>
      <c r="S2838" s="74" t="str">
        <f>IFERROR(__xludf.DUMMYFUNCTION("""COMPUTED_VALUE"""),"SWASTA")</f>
        <v>SWASTA</v>
      </c>
      <c r="T2838" s="35" t="str">
        <f>IFERROR(__xludf.DUMMYFUNCTION("""COMPUTED_VALUE"""),"CIDERA TANGAN")</f>
        <v>CIDERA TANGAN</v>
      </c>
      <c r="U2838" s="35" t="str">
        <f>IFERROR(__xludf.DUMMYFUNCTION("""COMPUTED_VALUE"""),"OLAHRAGA TENIS")</f>
        <v>OLAHRAGA TENIS</v>
      </c>
      <c r="V2838" s="37" t="str">
        <f>IFERROR(__xludf.DUMMYFUNCTION("""COMPUTED_VALUE"""),"089693379009")</f>
        <v>089693379009</v>
      </c>
      <c r="W2838" s="45"/>
    </row>
    <row r="2839">
      <c r="A2839" s="45"/>
      <c r="B2839" s="24" t="str">
        <f>IFERROR(__xludf.DUMMYFUNCTION("""COMPUTED_VALUE"""),"10/09/2025 18:12:23")</f>
        <v>10/09/2025 18:12:23</v>
      </c>
      <c r="C2839" s="35"/>
      <c r="D2839" s="10">
        <f>IFERROR(__xludf.DUMMYFUNCTION("""COMPUTED_VALUE"""),45910.0)</f>
        <v>45910</v>
      </c>
      <c r="E2839" s="35" t="str">
        <f>IFERROR(__xludf.DUMMYFUNCTION("""COMPUTED_VALUE"""),"09Sep")</f>
        <v>09Sep</v>
      </c>
      <c r="F2839" s="34" t="str">
        <f>IFERROR(__xludf.DUMMYFUNCTION("""COMPUTED_VALUE"""),"2025")</f>
        <v>2025</v>
      </c>
      <c r="G2839" s="35" t="str">
        <f>IFERROR(__xludf.DUMMYFUNCTION("""COMPUTED_VALUE"""),"INKA RUSADY")</f>
        <v>INKA RUSADY</v>
      </c>
      <c r="H2839" s="35" t="str">
        <f>IFERROR(__xludf.DUMMYFUNCTION("""COMPUTED_VALUE"""),"I9525094175")</f>
        <v>I9525094175</v>
      </c>
      <c r="I2839" s="35">
        <f>IFERROR(__xludf.DUMMYFUNCTION("""COMPUTED_VALUE"""),30.0)</f>
        <v>30</v>
      </c>
      <c r="J2839" s="35" t="str">
        <f>IFERROR(__xludf.DUMMYFUNCTION("""COMPUTED_VALUE"""),"25-34 tahun")</f>
        <v>25-34 tahun</v>
      </c>
      <c r="K2839" s="21" t="str">
        <f>IFERROR(__xludf.DUMMYFUNCTION("""COMPUTED_VALUE"""),"26/09/1995")</f>
        <v>26/09/1995</v>
      </c>
      <c r="L2839" s="21" t="str">
        <f>IFERROR(__xludf.DUMMYFUNCTION("""COMPUTED_VALUE"""),"PEREMPUAN")</f>
        <v>PEREMPUAN</v>
      </c>
      <c r="M2839" s="35" t="str">
        <f>IFERROR(__xludf.DUMMYFUNCTION("""COMPUTED_VALUE"""),"JL ADE IRMA SURYANI NO 11B")</f>
        <v>JL ADE IRMA SURYANI NO 11B</v>
      </c>
      <c r="N2839" s="35" t="str">
        <f>IFERROR(__xludf.DUMMYFUNCTION("""COMPUTED_VALUE"""),"BENUA MELAYU DARAT")</f>
        <v>BENUA MELAYU DARAT</v>
      </c>
      <c r="O2839" s="35" t="str">
        <f>IFERROR(__xludf.DUMMYFUNCTION("""COMPUTED_VALUE"""),"PONTIANAK SELATAN")</f>
        <v>PONTIANAK SELATAN</v>
      </c>
      <c r="P2839" s="35" t="str">
        <f>IFERROR(__xludf.DUMMYFUNCTION("""COMPUTED_VALUE"""),"PONTIANAK SELATAN")</f>
        <v>PONTIANAK SELATAN</v>
      </c>
      <c r="Q2839" s="35" t="str">
        <f>IFERROR(__xludf.DUMMYFUNCTION("""COMPUTED_VALUE"""),"KALIMANTAN BARAT")</f>
        <v>KALIMANTAN BARAT</v>
      </c>
      <c r="R2839" s="21" t="str">
        <f>IFERROR(__xludf.DUMMYFUNCTION("""COMPUTED_VALUE"""),"PROTESTAN")</f>
        <v>PROTESTAN</v>
      </c>
      <c r="S2839" s="74" t="str">
        <f>IFERROR(__xludf.DUMMYFUNCTION("""COMPUTED_VALUE"""),"IRT")</f>
        <v>IRT</v>
      </c>
      <c r="T2839" s="35" t="str">
        <f>IFERROR(__xludf.DUMMYFUNCTION("""COMPUTED_VALUE"""),"LUTUT KANAN NGILU")</f>
        <v>LUTUT KANAN NGILU</v>
      </c>
      <c r="U2839" s="35" t="str">
        <f>IFERROR(__xludf.DUMMYFUNCTION("""COMPUTED_VALUE"""),"LARI")</f>
        <v>LARI</v>
      </c>
      <c r="V2839" s="37" t="str">
        <f>IFERROR(__xludf.DUMMYFUNCTION("""COMPUTED_VALUE"""),"081285684175")</f>
        <v>081285684175</v>
      </c>
      <c r="W2839" s="45"/>
    </row>
    <row r="2840">
      <c r="A2840" s="45"/>
      <c r="B2840" s="24" t="str">
        <f>IFERROR(__xludf.DUMMYFUNCTION("""COMPUTED_VALUE"""),"10/09/2025 19:34:48")</f>
        <v>10/09/2025 19:34:48</v>
      </c>
      <c r="C2840" s="35"/>
      <c r="D2840" s="10">
        <f>IFERROR(__xludf.DUMMYFUNCTION("""COMPUTED_VALUE"""),45910.0)</f>
        <v>45910</v>
      </c>
      <c r="E2840" s="35" t="str">
        <f>IFERROR(__xludf.DUMMYFUNCTION("""COMPUTED_VALUE"""),"09Sep")</f>
        <v>09Sep</v>
      </c>
      <c r="F2840" s="34" t="str">
        <f>IFERROR(__xludf.DUMMYFUNCTION("""COMPUTED_VALUE"""),"2025")</f>
        <v>2025</v>
      </c>
      <c r="G2840" s="35" t="str">
        <f>IFERROR(__xludf.DUMMYFUNCTION("""COMPUTED_VALUE"""),"RANDY GIAN SETIAWAN")</f>
        <v>RANDY GIAN SETIAWAN</v>
      </c>
      <c r="H2840" s="35" t="str">
        <f>IFERROR(__xludf.DUMMYFUNCTION("""COMPUTED_VALUE"""),"R9625094100")</f>
        <v>R9625094100</v>
      </c>
      <c r="I2840" s="35">
        <f>IFERROR(__xludf.DUMMYFUNCTION("""COMPUTED_VALUE"""),30.0)</f>
        <v>30</v>
      </c>
      <c r="J2840" s="35" t="str">
        <f>IFERROR(__xludf.DUMMYFUNCTION("""COMPUTED_VALUE"""),"25-34 tahun")</f>
        <v>25-34 tahun</v>
      </c>
      <c r="K2840" s="21" t="str">
        <f>IFERROR(__xludf.DUMMYFUNCTION("""COMPUTED_VALUE"""),"20/01/1996")</f>
        <v>20/01/1996</v>
      </c>
      <c r="L2840" s="21" t="str">
        <f>IFERROR(__xludf.DUMMYFUNCTION("""COMPUTED_VALUE"""),"LAKI-LAKI")</f>
        <v>LAKI-LAKI</v>
      </c>
      <c r="M2840" s="35" t="str">
        <f>IFERROR(__xludf.DUMMYFUNCTION("""COMPUTED_VALUE"""),"JL ADE IRMA SURYANI NO 11B")</f>
        <v>JL ADE IRMA SURYANI NO 11B</v>
      </c>
      <c r="N2840" s="35" t="str">
        <f>IFERROR(__xludf.DUMMYFUNCTION("""COMPUTED_VALUE"""),"BENUA MELAYU DARAT")</f>
        <v>BENUA MELAYU DARAT</v>
      </c>
      <c r="O2840" s="35" t="str">
        <f>IFERROR(__xludf.DUMMYFUNCTION("""COMPUTED_VALUE"""),"PONTIANAK SELATAN")</f>
        <v>PONTIANAK SELATAN</v>
      </c>
      <c r="P2840" s="35" t="str">
        <f>IFERROR(__xludf.DUMMYFUNCTION("""COMPUTED_VALUE"""),"PONTIANAK")</f>
        <v>PONTIANAK</v>
      </c>
      <c r="Q2840" s="35" t="str">
        <f>IFERROR(__xludf.DUMMYFUNCTION("""COMPUTED_VALUE"""),"KALIMANTAN BARAT")</f>
        <v>KALIMANTAN BARAT</v>
      </c>
      <c r="R2840" s="21" t="str">
        <f>IFERROR(__xludf.DUMMYFUNCTION("""COMPUTED_VALUE"""),"PROTESTAN")</f>
        <v>PROTESTAN</v>
      </c>
      <c r="S2840" s="74" t="str">
        <f>IFERROR(__xludf.DUMMYFUNCTION("""COMPUTED_VALUE"""),"WIRASWASTA")</f>
        <v>WIRASWASTA</v>
      </c>
      <c r="T2840" s="35" t="str">
        <f>IFERROR(__xludf.DUMMYFUNCTION("""COMPUTED_VALUE"""),"LEHER KESELEO")</f>
        <v>LEHER KESELEO</v>
      </c>
      <c r="U2840" s="35" t="str">
        <f>IFERROR(__xludf.DUMMYFUNCTION("""COMPUTED_VALUE"""),"PICKLE BALL")</f>
        <v>PICKLE BALL</v>
      </c>
      <c r="V2840" s="37" t="str">
        <f>IFERROR(__xludf.DUMMYFUNCTION("""COMPUTED_VALUE"""),"081296324100")</f>
        <v>081296324100</v>
      </c>
      <c r="W2840" s="45"/>
    </row>
    <row r="2841">
      <c r="A2841" s="45"/>
      <c r="B2841" s="24" t="str">
        <f>IFERROR(__xludf.DUMMYFUNCTION("""COMPUTED_VALUE"""),"11/09/2025 6:31:26")</f>
        <v>11/09/2025 6:31:26</v>
      </c>
      <c r="C2841" s="35"/>
      <c r="D2841" s="10">
        <f>IFERROR(__xludf.DUMMYFUNCTION("""COMPUTED_VALUE"""),45911.0)</f>
        <v>45911</v>
      </c>
      <c r="E2841" s="35" t="str">
        <f>IFERROR(__xludf.DUMMYFUNCTION("""COMPUTED_VALUE"""),"09Sep")</f>
        <v>09Sep</v>
      </c>
      <c r="F2841" s="34" t="str">
        <f>IFERROR(__xludf.DUMMYFUNCTION("""COMPUTED_VALUE"""),"2025")</f>
        <v>2025</v>
      </c>
      <c r="G2841" s="35" t="str">
        <f>IFERROR(__xludf.DUMMYFUNCTION("""COMPUTED_VALUE"""),"INDINA SHINTA DEWI")</f>
        <v>INDINA SHINTA DEWI</v>
      </c>
      <c r="H2841" s="35" t="str">
        <f>IFERROR(__xludf.DUMMYFUNCTION("""COMPUTED_VALUE"""),"I8825095691")</f>
        <v>I8825095691</v>
      </c>
      <c r="I2841" s="35">
        <f>IFERROR(__xludf.DUMMYFUNCTION("""COMPUTED_VALUE"""),38.0)</f>
        <v>38</v>
      </c>
      <c r="J2841" s="35" t="str">
        <f>IFERROR(__xludf.DUMMYFUNCTION("""COMPUTED_VALUE"""),"35-44 tahun")</f>
        <v>35-44 tahun</v>
      </c>
      <c r="K2841" s="21" t="str">
        <f>IFERROR(__xludf.DUMMYFUNCTION("""COMPUTED_VALUE"""),"21/02/1988")</f>
        <v>21/02/1988</v>
      </c>
      <c r="L2841" s="21" t="str">
        <f>IFERROR(__xludf.DUMMYFUNCTION("""COMPUTED_VALUE"""),"PEREMPUAN")</f>
        <v>PEREMPUAN</v>
      </c>
      <c r="M2841" s="35" t="str">
        <f>IFERROR(__xludf.DUMMYFUNCTION("""COMPUTED_VALUE"""),"JALAN P NATAKUSUMA GG RAWAJALI NO 24")</f>
        <v>JALAN P NATAKUSUMA GG RAWAJALI NO 24</v>
      </c>
      <c r="N2841" s="35" t="str">
        <f>IFERROR(__xludf.DUMMYFUNCTION("""COMPUTED_VALUE"""),"SUNGAI BANGKONG")</f>
        <v>SUNGAI BANGKONG</v>
      </c>
      <c r="O2841" s="35" t="str">
        <f>IFERROR(__xludf.DUMMYFUNCTION("""COMPUTED_VALUE"""),"PONTIANAK KOTA")</f>
        <v>PONTIANAK KOTA</v>
      </c>
      <c r="P2841" s="35" t="str">
        <f>IFERROR(__xludf.DUMMYFUNCTION("""COMPUTED_VALUE"""),"KOTA PONTIANAK")</f>
        <v>KOTA PONTIANAK</v>
      </c>
      <c r="Q2841" s="35" t="str">
        <f>IFERROR(__xludf.DUMMYFUNCTION("""COMPUTED_VALUE"""),"KALIMANTAN BARAT")</f>
        <v>KALIMANTAN BARAT</v>
      </c>
      <c r="R2841" s="21" t="str">
        <f>IFERROR(__xludf.DUMMYFUNCTION("""COMPUTED_VALUE"""),"ISLAM")</f>
        <v>ISLAM</v>
      </c>
      <c r="S2841" s="74" t="str">
        <f>IFERROR(__xludf.DUMMYFUNCTION("""COMPUTED_VALUE"""),"IRT")</f>
        <v>IRT</v>
      </c>
      <c r="T2841" s="35" t="str">
        <f>IFERROR(__xludf.DUMMYFUNCTION("""COMPUTED_VALUE"""),"NYERI PUNGGUNG BAWAH")</f>
        <v>NYERI PUNGGUNG BAWAH</v>
      </c>
      <c r="U2841" s="35" t="str">
        <f>IFERROR(__xludf.DUMMYFUNCTION("""COMPUTED_VALUE"""),"SESEKALI NGE GYM")</f>
        <v>SESEKALI NGE GYM</v>
      </c>
      <c r="V2841" s="37" t="str">
        <f>IFERROR(__xludf.DUMMYFUNCTION("""COMPUTED_VALUE"""),"085643275691")</f>
        <v>085643275691</v>
      </c>
      <c r="W2841" s="45"/>
    </row>
    <row r="2842">
      <c r="A2842" s="45"/>
      <c r="B2842" s="24" t="str">
        <f>IFERROR(__xludf.DUMMYFUNCTION("""COMPUTED_VALUE"""),"11/09/2025 9:51:20")</f>
        <v>11/09/2025 9:51:20</v>
      </c>
      <c r="C2842" s="35"/>
      <c r="D2842" s="10">
        <f>IFERROR(__xludf.DUMMYFUNCTION("""COMPUTED_VALUE"""),45911.0)</f>
        <v>45911</v>
      </c>
      <c r="E2842" s="35" t="str">
        <f>IFERROR(__xludf.DUMMYFUNCTION("""COMPUTED_VALUE"""),"09Sep")</f>
        <v>09Sep</v>
      </c>
      <c r="F2842" s="34" t="str">
        <f>IFERROR(__xludf.DUMMYFUNCTION("""COMPUTED_VALUE"""),"2025")</f>
        <v>2025</v>
      </c>
      <c r="G2842" s="35" t="str">
        <f>IFERROR(__xludf.DUMMYFUNCTION("""COMPUTED_VALUE"""),"ERLIN NURLIAWATY")</f>
        <v>ERLIN NURLIAWATY</v>
      </c>
      <c r="H2842" s="35" t="str">
        <f>IFERROR(__xludf.DUMMYFUNCTION("""COMPUTED_VALUE"""),"E8425098000")</f>
        <v>E8425098000</v>
      </c>
      <c r="I2842" s="35">
        <f>IFERROR(__xludf.DUMMYFUNCTION("""COMPUTED_VALUE"""),41.0)</f>
        <v>41</v>
      </c>
      <c r="J2842" s="35" t="str">
        <f>IFERROR(__xludf.DUMMYFUNCTION("""COMPUTED_VALUE"""),"35-44 tahun")</f>
        <v>35-44 tahun</v>
      </c>
      <c r="K2842" s="21" t="str">
        <f>IFERROR(__xludf.DUMMYFUNCTION("""COMPUTED_VALUE"""),"27/10/1984")</f>
        <v>27/10/1984</v>
      </c>
      <c r="L2842" s="21" t="str">
        <f>IFERROR(__xludf.DUMMYFUNCTION("""COMPUTED_VALUE"""),"PEREMPUAN")</f>
        <v>PEREMPUAN</v>
      </c>
      <c r="M2842" s="35" t="str">
        <f>IFERROR(__xludf.DUMMYFUNCTION("""COMPUTED_VALUE"""),"JL. PROF M YAMIN NO 9E-9F")</f>
        <v>JL. PROF M YAMIN NO 9E-9F</v>
      </c>
      <c r="N2842" s="35" t="str">
        <f>IFERROR(__xludf.DUMMYFUNCTION("""COMPUTED_VALUE"""),"SUNGAI BANGKONG")</f>
        <v>SUNGAI BANGKONG</v>
      </c>
      <c r="O2842" s="35" t="str">
        <f>IFERROR(__xludf.DUMMYFUNCTION("""COMPUTED_VALUE"""),"PONTIANAK KOTA")</f>
        <v>PONTIANAK KOTA</v>
      </c>
      <c r="P2842" s="35" t="str">
        <f>IFERROR(__xludf.DUMMYFUNCTION("""COMPUTED_VALUE"""),"PONTIANAK")</f>
        <v>PONTIANAK</v>
      </c>
      <c r="Q2842" s="35" t="str">
        <f>IFERROR(__xludf.DUMMYFUNCTION("""COMPUTED_VALUE"""),"KALIMANTAN BARAT")</f>
        <v>KALIMANTAN BARAT</v>
      </c>
      <c r="R2842" s="21" t="str">
        <f>IFERROR(__xludf.DUMMYFUNCTION("""COMPUTED_VALUE"""),"BUDDHA")</f>
        <v>BUDDHA</v>
      </c>
      <c r="S2842" s="74" t="str">
        <f>IFERROR(__xludf.DUMMYFUNCTION("""COMPUTED_VALUE"""),"IRT")</f>
        <v>IRT</v>
      </c>
      <c r="T2842" s="35" t="str">
        <f>IFERROR(__xludf.DUMMYFUNCTION("""COMPUTED_VALUE"""),"TANGAN KESEMUTAN")</f>
        <v>TANGAN KESEMUTAN</v>
      </c>
      <c r="U2842" s="35" t="str">
        <f>IFERROR(__xludf.DUMMYFUNCTION("""COMPUTED_VALUE"""),"-")</f>
        <v>-</v>
      </c>
      <c r="V2842" s="37" t="str">
        <f>IFERROR(__xludf.DUMMYFUNCTION("""COMPUTED_VALUE"""),"085345048000")</f>
        <v>085345048000</v>
      </c>
      <c r="W2842" s="45"/>
    </row>
    <row r="2843">
      <c r="A2843" s="45"/>
      <c r="B2843" s="24" t="str">
        <f>IFERROR(__xludf.DUMMYFUNCTION("""COMPUTED_VALUE"""),"11/09/2025 13:17:24")</f>
        <v>11/09/2025 13:17:24</v>
      </c>
      <c r="C2843" s="35"/>
      <c r="D2843" s="10">
        <f>IFERROR(__xludf.DUMMYFUNCTION("""COMPUTED_VALUE"""),45911.0)</f>
        <v>45911</v>
      </c>
      <c r="E2843" s="35" t="str">
        <f>IFERROR(__xludf.DUMMYFUNCTION("""COMPUTED_VALUE"""),"09Sep")</f>
        <v>09Sep</v>
      </c>
      <c r="F2843" s="34" t="str">
        <f>IFERROR(__xludf.DUMMYFUNCTION("""COMPUTED_VALUE"""),"2025")</f>
        <v>2025</v>
      </c>
      <c r="G2843" s="35" t="str">
        <f>IFERROR(__xludf.DUMMYFUNCTION("""COMPUTED_VALUE"""),"GERHANA AISYAH")</f>
        <v>GERHANA AISYAH</v>
      </c>
      <c r="H2843" s="35" t="str">
        <f>IFERROR(__xludf.DUMMYFUNCTION("""COMPUTED_VALUE"""),"G9525099652")</f>
        <v>G9525099652</v>
      </c>
      <c r="I2843" s="35">
        <f>IFERROR(__xludf.DUMMYFUNCTION("""COMPUTED_VALUE"""),30.0)</f>
        <v>30</v>
      </c>
      <c r="J2843" s="35" t="str">
        <f>IFERROR(__xludf.DUMMYFUNCTION("""COMPUTED_VALUE"""),"25-34 tahun")</f>
        <v>25-34 tahun</v>
      </c>
      <c r="K2843" s="21" t="str">
        <f>IFERROR(__xludf.DUMMYFUNCTION("""COMPUTED_VALUE"""),"23/08/1995")</f>
        <v>23/08/1995</v>
      </c>
      <c r="L2843" s="21" t="str">
        <f>IFERROR(__xludf.DUMMYFUNCTION("""COMPUTED_VALUE"""),"PEREMPUAN")</f>
        <v>PEREMPUAN</v>
      </c>
      <c r="M2843" s="35" t="str">
        <f>IFERROR(__xludf.DUMMYFUNCTION("""COMPUTED_VALUE"""),"JALAN HM SUWIGNYO GANG SIDOMUKTI NO. 27")</f>
        <v>JALAN HM SUWIGNYO GANG SIDOMUKTI NO. 27</v>
      </c>
      <c r="N2843" s="35" t="str">
        <f>IFERROR(__xludf.DUMMYFUNCTION("""COMPUTED_VALUE"""),"SUNGAI JAWI")</f>
        <v>SUNGAI JAWI</v>
      </c>
      <c r="O2843" s="35" t="str">
        <f>IFERROR(__xludf.DUMMYFUNCTION("""COMPUTED_VALUE"""),"PONTIANAK KOTA")</f>
        <v>PONTIANAK KOTA</v>
      </c>
      <c r="P2843" s="35" t="str">
        <f>IFERROR(__xludf.DUMMYFUNCTION("""COMPUTED_VALUE"""),"KOTA PONTIANAK")</f>
        <v>KOTA PONTIANAK</v>
      </c>
      <c r="Q2843" s="35" t="str">
        <f>IFERROR(__xludf.DUMMYFUNCTION("""COMPUTED_VALUE"""),"KALIMANTAN BARAT")</f>
        <v>KALIMANTAN BARAT</v>
      </c>
      <c r="R2843" s="21" t="str">
        <f>IFERROR(__xludf.DUMMYFUNCTION("""COMPUTED_VALUE"""),"ISLAM")</f>
        <v>ISLAM</v>
      </c>
      <c r="S2843" s="74" t="str">
        <f>IFERROR(__xludf.DUMMYFUNCTION("""COMPUTED_VALUE"""),"KARYAWAN")</f>
        <v>KARYAWAN</v>
      </c>
      <c r="T2843" s="35" t="str">
        <f>IFERROR(__xludf.DUMMYFUNCTION("""COMPUTED_VALUE"""),"NYERI PINGGANG SAMPAI KAKI")</f>
        <v>NYERI PINGGANG SAMPAI KAKI</v>
      </c>
      <c r="U2843" s="35" t="str">
        <f>IFERROR(__xludf.DUMMYFUNCTION("""COMPUTED_VALUE"""),"KERJA KANTORAN DUDUK TERLALU LAMA")</f>
        <v>KERJA KANTORAN DUDUK TERLALU LAMA</v>
      </c>
      <c r="V2843" s="37" t="str">
        <f>IFERROR(__xludf.DUMMYFUNCTION("""COMPUTED_VALUE"""),"083151829652")</f>
        <v>083151829652</v>
      </c>
      <c r="W2843" s="45"/>
    </row>
    <row r="2844">
      <c r="A2844" s="45"/>
      <c r="B2844" s="24" t="str">
        <f>IFERROR(__xludf.DUMMYFUNCTION("""COMPUTED_VALUE"""),"11/09/2025 15:21:15")</f>
        <v>11/09/2025 15:21:15</v>
      </c>
      <c r="C2844" s="35"/>
      <c r="D2844" s="10">
        <f>IFERROR(__xludf.DUMMYFUNCTION("""COMPUTED_VALUE"""),45911.0)</f>
        <v>45911</v>
      </c>
      <c r="E2844" s="35" t="str">
        <f>IFERROR(__xludf.DUMMYFUNCTION("""COMPUTED_VALUE"""),"09Sep")</f>
        <v>09Sep</v>
      </c>
      <c r="F2844" s="34" t="str">
        <f>IFERROR(__xludf.DUMMYFUNCTION("""COMPUTED_VALUE"""),"2025")</f>
        <v>2025</v>
      </c>
      <c r="G2844" s="35" t="str">
        <f>IFERROR(__xludf.DUMMYFUNCTION("""COMPUTED_VALUE"""),"RUDI HARTONO")</f>
        <v>RUDI HARTONO</v>
      </c>
      <c r="H2844" s="35" t="str">
        <f>IFERROR(__xludf.DUMMYFUNCTION("""COMPUTED_VALUE"""),"R2525091389")</f>
        <v>R2525091389</v>
      </c>
      <c r="I2844" s="35">
        <f>IFERROR(__xludf.DUMMYFUNCTION("""COMPUTED_VALUE"""),1.0)</f>
        <v>1</v>
      </c>
      <c r="J2844" s="35" t="str">
        <f>IFERROR(__xludf.DUMMYFUNCTION("""COMPUTED_VALUE"""),"&lt; 18 tahun")</f>
        <v>&lt; 18 tahun</v>
      </c>
      <c r="K2844" s="21" t="str">
        <f>IFERROR(__xludf.DUMMYFUNCTION("""COMPUTED_VALUE"""),"27/01/2025")</f>
        <v>27/01/2025</v>
      </c>
      <c r="L2844" s="21" t="str">
        <f>IFERROR(__xludf.DUMMYFUNCTION("""COMPUTED_VALUE"""),"LAKI-LAKI")</f>
        <v>LAKI-LAKI</v>
      </c>
      <c r="M2844" s="35" t="str">
        <f>IFERROR(__xludf.DUMMYFUNCTION("""COMPUTED_VALUE"""),"JL TEUKU UMAR")</f>
        <v>JL TEUKU UMAR</v>
      </c>
      <c r="N2844" s="35" t="str">
        <f>IFERROR(__xludf.DUMMYFUNCTION("""COMPUTED_VALUE"""),"DARAT SEKIP")</f>
        <v>DARAT SEKIP</v>
      </c>
      <c r="O2844" s="35" t="str">
        <f>IFERROR(__xludf.DUMMYFUNCTION("""COMPUTED_VALUE"""),"PONTIANAK KOTA")</f>
        <v>PONTIANAK KOTA</v>
      </c>
      <c r="P2844" s="35" t="str">
        <f>IFERROR(__xludf.DUMMYFUNCTION("""COMPUTED_VALUE"""),"PONTIANAK")</f>
        <v>PONTIANAK</v>
      </c>
      <c r="Q2844" s="35" t="str">
        <f>IFERROR(__xludf.DUMMYFUNCTION("""COMPUTED_VALUE"""),"KALIMANTAN BARAT")</f>
        <v>KALIMANTAN BARAT</v>
      </c>
      <c r="R2844" s="21" t="str">
        <f>IFERROR(__xludf.DUMMYFUNCTION("""COMPUTED_VALUE"""),"PROTESTAN")</f>
        <v>PROTESTAN</v>
      </c>
      <c r="S2844" s="74" t="str">
        <f>IFERROR(__xludf.DUMMYFUNCTION("""COMPUTED_VALUE"""),"KARYAWAN")</f>
        <v>KARYAWAN</v>
      </c>
      <c r="T2844" s="35" t="str">
        <f>IFERROR(__xludf.DUMMYFUNCTION("""COMPUTED_VALUE"""),"FROZEN SHOULDER")</f>
        <v>FROZEN SHOULDER</v>
      </c>
      <c r="U2844" s="35" t="str">
        <f>IFERROR(__xludf.DUMMYFUNCTION("""COMPUTED_VALUE"""),"TIDAK BISA MAIN BADMINTON")</f>
        <v>TIDAK BISA MAIN BADMINTON</v>
      </c>
      <c r="V2844" s="37" t="str">
        <f>IFERROR(__xludf.DUMMYFUNCTION("""COMPUTED_VALUE"""),"081254761389")</f>
        <v>081254761389</v>
      </c>
      <c r="W2844" s="45"/>
    </row>
    <row r="2845">
      <c r="A2845" s="45"/>
      <c r="B2845" s="24" t="str">
        <f>IFERROR(__xludf.DUMMYFUNCTION("""COMPUTED_VALUE"""),"11/09/2025 20:53:06")</f>
        <v>11/09/2025 20:53:06</v>
      </c>
      <c r="C2845" s="35"/>
      <c r="D2845" s="10">
        <f>IFERROR(__xludf.DUMMYFUNCTION("""COMPUTED_VALUE"""),45911.0)</f>
        <v>45911</v>
      </c>
      <c r="E2845" s="35" t="str">
        <f>IFERROR(__xludf.DUMMYFUNCTION("""COMPUTED_VALUE"""),"09Sep")</f>
        <v>09Sep</v>
      </c>
      <c r="F2845" s="34" t="str">
        <f>IFERROR(__xludf.DUMMYFUNCTION("""COMPUTED_VALUE"""),"2025")</f>
        <v>2025</v>
      </c>
      <c r="G2845" s="35" t="str">
        <f>IFERROR(__xludf.DUMMYFUNCTION("""COMPUTED_VALUE"""),"SRI HARTINI9803")</f>
        <v>SRI HARTINI9803</v>
      </c>
      <c r="H2845" s="35" t="str">
        <f>IFERROR(__xludf.DUMMYFUNCTION("""COMPUTED_VALUE"""),"S9825099009")</f>
        <v>S9825099009</v>
      </c>
      <c r="I2845" s="35">
        <f>IFERROR(__xludf.DUMMYFUNCTION("""COMPUTED_VALUE"""),28.0)</f>
        <v>28</v>
      </c>
      <c r="J2845" s="35" t="str">
        <f>IFERROR(__xludf.DUMMYFUNCTION("""COMPUTED_VALUE"""),"25-34 tahun")</f>
        <v>25-34 tahun</v>
      </c>
      <c r="K2845" s="21" t="str">
        <f>IFERROR(__xludf.DUMMYFUNCTION("""COMPUTED_VALUE"""),"24/03/1998")</f>
        <v>24/03/1998</v>
      </c>
      <c r="L2845" s="21" t="str">
        <f>IFERROR(__xludf.DUMMYFUNCTION("""COMPUTED_VALUE"""),"PEREMPUAN")</f>
        <v>PEREMPUAN</v>
      </c>
      <c r="M2845" s="35" t="str">
        <f>IFERROR(__xludf.DUMMYFUNCTION("""COMPUTED_VALUE"""),"JL P NATAKUSUMA")</f>
        <v>JL P NATAKUSUMA</v>
      </c>
      <c r="N2845" s="35" t="str">
        <f>IFERROR(__xludf.DUMMYFUNCTION("""COMPUTED_VALUE"""),"SEI BANGKONG")</f>
        <v>SEI BANGKONG</v>
      </c>
      <c r="O2845" s="35" t="str">
        <f>IFERROR(__xludf.DUMMYFUNCTION("""COMPUTED_VALUE"""),"PONTIANAK KOTA")</f>
        <v>PONTIANAK KOTA</v>
      </c>
      <c r="P2845" s="35" t="str">
        <f>IFERROR(__xludf.DUMMYFUNCTION("""COMPUTED_VALUE"""),"KOTA PONTIANAK")</f>
        <v>KOTA PONTIANAK</v>
      </c>
      <c r="Q2845" s="35" t="str">
        <f>IFERROR(__xludf.DUMMYFUNCTION("""COMPUTED_VALUE"""),"KALIMANTAN BARAT")</f>
        <v>KALIMANTAN BARAT</v>
      </c>
      <c r="R2845" s="21" t="str">
        <f>IFERROR(__xludf.DUMMYFUNCTION("""COMPUTED_VALUE"""),"ISLAM")</f>
        <v>ISLAM</v>
      </c>
      <c r="S2845" s="74" t="str">
        <f>IFERROR(__xludf.DUMMYFUNCTION("""COMPUTED_VALUE"""),"SWASTA")</f>
        <v>SWASTA</v>
      </c>
      <c r="T2845" s="35" t="str">
        <f>IFERROR(__xludf.DUMMYFUNCTION("""COMPUTED_VALUE"""),"NYERI PINGGANG BELAKANG")</f>
        <v>NYERI PINGGANG BELAKANG</v>
      </c>
      <c r="U2845" s="35" t="str">
        <f>IFERROR(__xludf.DUMMYFUNCTION("""COMPUTED_VALUE"""),"DARI JONGKOK MAU BERDIRI TIBA TIBA SAKIT")</f>
        <v>DARI JONGKOK MAU BERDIRI TIBA TIBA SAKIT</v>
      </c>
      <c r="V2845" s="37" t="str">
        <f>IFERROR(__xludf.DUMMYFUNCTION("""COMPUTED_VALUE"""),"089693379009")</f>
        <v>089693379009</v>
      </c>
      <c r="W2845" s="45"/>
    </row>
    <row r="2846">
      <c r="A2846" s="45"/>
      <c r="B2846" s="24" t="str">
        <f>IFERROR(__xludf.DUMMYFUNCTION("""COMPUTED_VALUE"""),"12/09/2025 18:15:59")</f>
        <v>12/09/2025 18:15:59</v>
      </c>
      <c r="C2846" s="35"/>
      <c r="D2846" s="10">
        <f>IFERROR(__xludf.DUMMYFUNCTION("""COMPUTED_VALUE"""),45912.0)</f>
        <v>45912</v>
      </c>
      <c r="E2846" s="35" t="str">
        <f>IFERROR(__xludf.DUMMYFUNCTION("""COMPUTED_VALUE"""),"09Sep")</f>
        <v>09Sep</v>
      </c>
      <c r="F2846" s="34" t="str">
        <f>IFERROR(__xludf.DUMMYFUNCTION("""COMPUTED_VALUE"""),"2025")</f>
        <v>2025</v>
      </c>
      <c r="G2846" s="35" t="str">
        <f>IFERROR(__xludf.DUMMYFUNCTION("""COMPUTED_VALUE"""),"VERREL QEYRICH WALIVIN")</f>
        <v>VERREL QEYRICH WALIVIN</v>
      </c>
      <c r="H2846" s="35" t="str">
        <f>IFERROR(__xludf.DUMMYFUNCTION("""COMPUTED_VALUE"""),"V1425096888")</f>
        <v>V1425096888</v>
      </c>
      <c r="I2846" s="35">
        <f>IFERROR(__xludf.DUMMYFUNCTION("""COMPUTED_VALUE"""),11.0)</f>
        <v>11</v>
      </c>
      <c r="J2846" s="35" t="str">
        <f>IFERROR(__xludf.DUMMYFUNCTION("""COMPUTED_VALUE"""),"&lt; 18 tahun")</f>
        <v>&lt; 18 tahun</v>
      </c>
      <c r="K2846" s="21" t="str">
        <f>IFERROR(__xludf.DUMMYFUNCTION("""COMPUTED_VALUE"""),"18/08/2014")</f>
        <v>18/08/2014</v>
      </c>
      <c r="L2846" s="21" t="str">
        <f>IFERROR(__xludf.DUMMYFUNCTION("""COMPUTED_VALUE"""),"LAKI-LAKI")</f>
        <v>LAKI-LAKI</v>
      </c>
      <c r="M2846" s="35" t="str">
        <f>IFERROR(__xludf.DUMMYFUNCTION("""COMPUTED_VALUE"""),"JLN IMAM BONJOL GG TJ HARAPAN 1 NO 59 A")</f>
        <v>JLN IMAM BONJOL GG TJ HARAPAN 1 NO 59 A</v>
      </c>
      <c r="N2846" s="35" t="str">
        <f>IFERROR(__xludf.DUMMYFUNCTION("""COMPUTED_VALUE"""),"BANSIR LAUT")</f>
        <v>BANSIR LAUT</v>
      </c>
      <c r="O2846" s="35" t="str">
        <f>IFERROR(__xludf.DUMMYFUNCTION("""COMPUTED_VALUE"""),"PONTIANAK TENGGARA")</f>
        <v>PONTIANAK TENGGARA</v>
      </c>
      <c r="P2846" s="35" t="str">
        <f>IFERROR(__xludf.DUMMYFUNCTION("""COMPUTED_VALUE"""),"PONTIANAK")</f>
        <v>PONTIANAK</v>
      </c>
      <c r="Q2846" s="35" t="str">
        <f>IFERROR(__xludf.DUMMYFUNCTION("""COMPUTED_VALUE"""),"KALIMANTAN BARAT")</f>
        <v>KALIMANTAN BARAT</v>
      </c>
      <c r="R2846" s="21" t="str">
        <f>IFERROR(__xludf.DUMMYFUNCTION("""COMPUTED_VALUE"""),"KATOLIK")</f>
        <v>KATOLIK</v>
      </c>
      <c r="S2846" s="74" t="str">
        <f>IFERROR(__xludf.DUMMYFUNCTION("""COMPUTED_VALUE"""),"PELAJAR")</f>
        <v>PELAJAR</v>
      </c>
      <c r="T2846" s="35" t="str">
        <f>IFERROR(__xludf.DUMMYFUNCTION("""COMPUTED_VALUE"""),"ANKLE NYERI SAAT LARI ATAU MELOMPAT")</f>
        <v>ANKLE NYERI SAAT LARI ATAU MELOMPAT</v>
      </c>
      <c r="U2846" s="35" t="str">
        <f>IFERROR(__xludf.DUMMYFUNCTION("""COMPUTED_VALUE"""),"OLAHRAGA BASKET DAN KARATE")</f>
        <v>OLAHRAGA BASKET DAN KARATE</v>
      </c>
      <c r="V2846" s="37" t="str">
        <f>IFERROR(__xludf.DUMMYFUNCTION("""COMPUTED_VALUE"""),"085245436888")</f>
        <v>085245436888</v>
      </c>
      <c r="W2846" s="45"/>
    </row>
    <row r="2847">
      <c r="A2847" s="45"/>
      <c r="B2847" s="24" t="str">
        <f>IFERROR(__xludf.DUMMYFUNCTION("""COMPUTED_VALUE"""),"13/09/2025 10:07:26")</f>
        <v>13/09/2025 10:07:26</v>
      </c>
      <c r="C2847" s="35"/>
      <c r="D2847" s="10">
        <f>IFERROR(__xludf.DUMMYFUNCTION("""COMPUTED_VALUE"""),45913.0)</f>
        <v>45913</v>
      </c>
      <c r="E2847" s="35" t="str">
        <f>IFERROR(__xludf.DUMMYFUNCTION("""COMPUTED_VALUE"""),"09Sep")</f>
        <v>09Sep</v>
      </c>
      <c r="F2847" s="34" t="str">
        <f>IFERROR(__xludf.DUMMYFUNCTION("""COMPUTED_VALUE"""),"2025")</f>
        <v>2025</v>
      </c>
      <c r="G2847" s="35" t="str">
        <f>IFERROR(__xludf.DUMMYFUNCTION("""COMPUTED_VALUE"""),"SHERLYKA UTARI SYACHPULIANTI")</f>
        <v>SHERLYKA UTARI SYACHPULIANTI</v>
      </c>
      <c r="H2847" s="35" t="str">
        <f>IFERROR(__xludf.DUMMYFUNCTION("""COMPUTED_VALUE"""),"S9225097330")</f>
        <v>S9225097330</v>
      </c>
      <c r="I2847" s="35">
        <f>IFERROR(__xludf.DUMMYFUNCTION("""COMPUTED_VALUE"""),33.0)</f>
        <v>33</v>
      </c>
      <c r="J2847" s="35" t="str">
        <f>IFERROR(__xludf.DUMMYFUNCTION("""COMPUTED_VALUE"""),"25-34 tahun")</f>
        <v>25-34 tahun</v>
      </c>
      <c r="K2847" s="21" t="str">
        <f>IFERROR(__xludf.DUMMYFUNCTION("""COMPUTED_VALUE"""),"13/07/1992")</f>
        <v>13/07/1992</v>
      </c>
      <c r="L2847" s="21" t="str">
        <f>IFERROR(__xludf.DUMMYFUNCTION("""COMPUTED_VALUE"""),"PEREMPUAN")</f>
        <v>PEREMPUAN</v>
      </c>
      <c r="M2847" s="35" t="str">
        <f>IFERROR(__xludf.DUMMYFUNCTION("""COMPUTED_VALUE"""),"KOMP SENTARUM SEJAHTERA 1 NO B 10")</f>
        <v>KOMP SENTARUM SEJAHTERA 1 NO B 10</v>
      </c>
      <c r="N2847" s="35" t="str">
        <f>IFERROR(__xludf.DUMMYFUNCTION("""COMPUTED_VALUE"""),"SUNGAI BANGKONG")</f>
        <v>SUNGAI BANGKONG</v>
      </c>
      <c r="O2847" s="35" t="str">
        <f>IFERROR(__xludf.DUMMYFUNCTION("""COMPUTED_VALUE"""),"PONTIANAK KOTA")</f>
        <v>PONTIANAK KOTA</v>
      </c>
      <c r="P2847" s="35" t="str">
        <f>IFERROR(__xludf.DUMMYFUNCTION("""COMPUTED_VALUE"""),"PONTIANAK")</f>
        <v>PONTIANAK</v>
      </c>
      <c r="Q2847" s="35" t="str">
        <f>IFERROR(__xludf.DUMMYFUNCTION("""COMPUTED_VALUE"""),"KALIMANTAN BARAT")</f>
        <v>KALIMANTAN BARAT</v>
      </c>
      <c r="R2847" s="21" t="str">
        <f>IFERROR(__xludf.DUMMYFUNCTION("""COMPUTED_VALUE"""),"ISLAM")</f>
        <v>ISLAM</v>
      </c>
      <c r="S2847" s="74" t="str">
        <f>IFERROR(__xludf.DUMMYFUNCTION("""COMPUTED_VALUE"""),"ASN")</f>
        <v>ASN</v>
      </c>
      <c r="T2847" s="35" t="str">
        <f>IFERROR(__xludf.DUMMYFUNCTION("""COMPUTED_VALUE"""),"NYERI SIKU TANGAN KANAN")</f>
        <v>NYERI SIKU TANGAN KANAN</v>
      </c>
      <c r="U2847" s="35" t="str">
        <f>IFERROR(__xludf.DUMMYFUNCTION("""COMPUTED_VALUE"""),"BADMINTON")</f>
        <v>BADMINTON</v>
      </c>
      <c r="V2847" s="37" t="str">
        <f>IFERROR(__xludf.DUMMYFUNCTION("""COMPUTED_VALUE"""),"081223887330")</f>
        <v>081223887330</v>
      </c>
      <c r="W2847" s="45"/>
    </row>
    <row r="2848">
      <c r="A2848" s="45"/>
      <c r="B2848" s="24" t="str">
        <f>IFERROR(__xludf.DUMMYFUNCTION("""COMPUTED_VALUE"""),"13/09/2025 10:56:45")</f>
        <v>13/09/2025 10:56:45</v>
      </c>
      <c r="C2848" s="35"/>
      <c r="D2848" s="10">
        <f>IFERROR(__xludf.DUMMYFUNCTION("""COMPUTED_VALUE"""),45913.0)</f>
        <v>45913</v>
      </c>
      <c r="E2848" s="35" t="str">
        <f>IFERROR(__xludf.DUMMYFUNCTION("""COMPUTED_VALUE"""),"09Sep")</f>
        <v>09Sep</v>
      </c>
      <c r="F2848" s="34" t="str">
        <f>IFERROR(__xludf.DUMMYFUNCTION("""COMPUTED_VALUE"""),"2025")</f>
        <v>2025</v>
      </c>
      <c r="G2848" s="35" t="str">
        <f>IFERROR(__xludf.DUMMYFUNCTION("""COMPUTED_VALUE"""),"LINAWARTI")</f>
        <v>LINAWARTI</v>
      </c>
      <c r="H2848" s="35" t="str">
        <f>IFERROR(__xludf.DUMMYFUNCTION("""COMPUTED_VALUE"""),"L8725091989")</f>
        <v>L8725091989</v>
      </c>
      <c r="I2848" s="35">
        <f>IFERROR(__xludf.DUMMYFUNCTION("""COMPUTED_VALUE"""),39.0)</f>
        <v>39</v>
      </c>
      <c r="J2848" s="35" t="str">
        <f>IFERROR(__xludf.DUMMYFUNCTION("""COMPUTED_VALUE"""),"35-44 tahun")</f>
        <v>35-44 tahun</v>
      </c>
      <c r="K2848" s="21" t="str">
        <f>IFERROR(__xludf.DUMMYFUNCTION("""COMPUTED_VALUE"""),"12/05/1987")</f>
        <v>12/05/1987</v>
      </c>
      <c r="L2848" s="21" t="str">
        <f>IFERROR(__xludf.DUMMYFUNCTION("""COMPUTED_VALUE"""),"PEREMPUAN")</f>
        <v>PEREMPUAN</v>
      </c>
      <c r="M2848" s="35" t="str">
        <f>IFERROR(__xludf.DUMMYFUNCTION("""COMPUTED_VALUE"""),"JALAN PURNAMA GANG PURNAMA SEMPURNA NO D6")</f>
        <v>JALAN PURNAMA GANG PURNAMA SEMPURNA NO D6</v>
      </c>
      <c r="N2848" s="35" t="str">
        <f>IFERROR(__xludf.DUMMYFUNCTION("""COMPUTED_VALUE"""),"AKCAYA")</f>
        <v>AKCAYA</v>
      </c>
      <c r="O2848" s="35" t="str">
        <f>IFERROR(__xludf.DUMMYFUNCTION("""COMPUTED_VALUE"""),"PONTIANAK SELATAN")</f>
        <v>PONTIANAK SELATAN</v>
      </c>
      <c r="P2848" s="35" t="str">
        <f>IFERROR(__xludf.DUMMYFUNCTION("""COMPUTED_VALUE"""),"PONTIANAK KOTA")</f>
        <v>PONTIANAK KOTA</v>
      </c>
      <c r="Q2848" s="35" t="str">
        <f>IFERROR(__xludf.DUMMYFUNCTION("""COMPUTED_VALUE"""),"KALIMANTAN BARAT")</f>
        <v>KALIMANTAN BARAT</v>
      </c>
      <c r="R2848" s="21" t="str">
        <f>IFERROR(__xludf.DUMMYFUNCTION("""COMPUTED_VALUE"""),"BUDDHA")</f>
        <v>BUDDHA</v>
      </c>
      <c r="S2848" s="74" t="str">
        <f>IFERROR(__xludf.DUMMYFUNCTION("""COMPUTED_VALUE"""),"IBU RUMAH TANGGA")</f>
        <v>IBU RUMAH TANGGA</v>
      </c>
      <c r="T2848" s="35" t="str">
        <f>IFERROR(__xludf.DUMMYFUNCTION("""COMPUTED_VALUE"""),"BAGIAN LUTUT")</f>
        <v>BAGIAN LUTUT</v>
      </c>
      <c r="U2848" s="35" t="str">
        <f>IFERROR(__xludf.DUMMYFUNCTION("""COMPUTED_VALUE"""),"OLAHRAGA")</f>
        <v>OLAHRAGA</v>
      </c>
      <c r="V2848" s="37" t="str">
        <f>IFERROR(__xludf.DUMMYFUNCTION("""COMPUTED_VALUE"""),"085249491989")</f>
        <v>085249491989</v>
      </c>
      <c r="W2848" s="45"/>
    </row>
    <row r="2849">
      <c r="A2849" s="45"/>
      <c r="B2849" s="24" t="str">
        <f>IFERROR(__xludf.DUMMYFUNCTION("""COMPUTED_VALUE"""),"13/09/2025 11:09:26")</f>
        <v>13/09/2025 11:09:26</v>
      </c>
      <c r="C2849" s="35"/>
      <c r="D2849" s="10">
        <f>IFERROR(__xludf.DUMMYFUNCTION("""COMPUTED_VALUE"""),45913.0)</f>
        <v>45913</v>
      </c>
      <c r="E2849" s="35" t="str">
        <f>IFERROR(__xludf.DUMMYFUNCTION("""COMPUTED_VALUE"""),"09Sep")</f>
        <v>09Sep</v>
      </c>
      <c r="F2849" s="34" t="str">
        <f>IFERROR(__xludf.DUMMYFUNCTION("""COMPUTED_VALUE"""),"2025")</f>
        <v>2025</v>
      </c>
      <c r="G2849" s="35" t="str">
        <f>IFERROR(__xludf.DUMMYFUNCTION("""COMPUTED_VALUE"""),"HALIM MASNO SUTJIANTO")</f>
        <v>HALIM MASNO SUTJIANTO</v>
      </c>
      <c r="H2849" s="35" t="str">
        <f>IFERROR(__xludf.DUMMYFUNCTION("""COMPUTED_VALUE"""),"H7125097575")</f>
        <v>H7125097575</v>
      </c>
      <c r="I2849" s="35">
        <f>IFERROR(__xludf.DUMMYFUNCTION("""COMPUTED_VALUE"""),55.0)</f>
        <v>55</v>
      </c>
      <c r="J2849" s="35" t="str">
        <f>IFERROR(__xludf.DUMMYFUNCTION("""COMPUTED_VALUE"""),"&gt; 44 tahun")</f>
        <v>&gt; 44 tahun</v>
      </c>
      <c r="K2849" s="21" t="str">
        <f>IFERROR(__xludf.DUMMYFUNCTION("""COMPUTED_VALUE"""),"15/01/1971")</f>
        <v>15/01/1971</v>
      </c>
      <c r="L2849" s="21" t="str">
        <f>IFERROR(__xludf.DUMMYFUNCTION("""COMPUTED_VALUE"""),"LAKI-LAKI")</f>
        <v>LAKI-LAKI</v>
      </c>
      <c r="M2849" s="35" t="str">
        <f>IFERROR(__xludf.DUMMYFUNCTION("""COMPUTED_VALUE"""),"JL GM SAID NO 68 PONTIANAK")</f>
        <v>JL GM SAID NO 68 PONTIANAK</v>
      </c>
      <c r="N2849" s="35" t="str">
        <f>IFERROR(__xludf.DUMMYFUNCTION("""COMPUTED_VALUE"""),"AKCAYA")</f>
        <v>AKCAYA</v>
      </c>
      <c r="O2849" s="35" t="str">
        <f>IFERROR(__xludf.DUMMYFUNCTION("""COMPUTED_VALUE"""),"PONTIANAK SELATAN")</f>
        <v>PONTIANAK SELATAN</v>
      </c>
      <c r="P2849" s="35" t="str">
        <f>IFERROR(__xludf.DUMMYFUNCTION("""COMPUTED_VALUE"""),"PONTIANAK")</f>
        <v>PONTIANAK</v>
      </c>
      <c r="Q2849" s="35" t="str">
        <f>IFERROR(__xludf.DUMMYFUNCTION("""COMPUTED_VALUE"""),"KALIMANTAN BARAT")</f>
        <v>KALIMANTAN BARAT</v>
      </c>
      <c r="R2849" s="21" t="str">
        <f>IFERROR(__xludf.DUMMYFUNCTION("""COMPUTED_VALUE"""),"KATOLIK")</f>
        <v>KATOLIK</v>
      </c>
      <c r="S2849" s="74" t="str">
        <f>IFERROR(__xludf.DUMMYFUNCTION("""COMPUTED_VALUE"""),"WIRASWASTA")</f>
        <v>WIRASWASTA</v>
      </c>
      <c r="T2849" s="35" t="str">
        <f>IFERROR(__xludf.DUMMYFUNCTION("""COMPUTED_VALUE"""),"SYARAF KEJEPIT")</f>
        <v>SYARAF KEJEPIT</v>
      </c>
      <c r="U2849" s="35" t="str">
        <f>IFERROR(__xludf.DUMMYFUNCTION("""COMPUTED_VALUE"""),"DUDUK LAMA SAKIT")</f>
        <v>DUDUK LAMA SAKIT</v>
      </c>
      <c r="V2849" s="37" t="str">
        <f>IFERROR(__xludf.DUMMYFUNCTION("""COMPUTED_VALUE"""),"081256637575")</f>
        <v>081256637575</v>
      </c>
      <c r="W2849" s="45"/>
    </row>
    <row r="2850">
      <c r="A2850" s="45"/>
      <c r="B2850" s="24" t="str">
        <f>IFERROR(__xludf.DUMMYFUNCTION("""COMPUTED_VALUE"""),"13/09/2025 11:39:30")</f>
        <v>13/09/2025 11:39:30</v>
      </c>
      <c r="C2850" s="35"/>
      <c r="D2850" s="10">
        <f>IFERROR(__xludf.DUMMYFUNCTION("""COMPUTED_VALUE"""),45913.0)</f>
        <v>45913</v>
      </c>
      <c r="E2850" s="35" t="str">
        <f>IFERROR(__xludf.DUMMYFUNCTION("""COMPUTED_VALUE"""),"09Sep")</f>
        <v>09Sep</v>
      </c>
      <c r="F2850" s="34" t="str">
        <f>IFERROR(__xludf.DUMMYFUNCTION("""COMPUTED_VALUE"""),"2025")</f>
        <v>2025</v>
      </c>
      <c r="G2850" s="35" t="str">
        <f>IFERROR(__xludf.DUMMYFUNCTION("""COMPUTED_VALUE"""),"MENG NIAN ALIAS RUDI")</f>
        <v>MENG NIAN ALIAS RUDI</v>
      </c>
      <c r="H2850" s="35" t="str">
        <f>IFERROR(__xludf.DUMMYFUNCTION("""COMPUTED_VALUE"""),"M6825090")</f>
        <v>M6825090</v>
      </c>
      <c r="I2850" s="35">
        <f>IFERROR(__xludf.DUMMYFUNCTION("""COMPUTED_VALUE"""),57.0)</f>
        <v>57</v>
      </c>
      <c r="J2850" s="35" t="str">
        <f>IFERROR(__xludf.DUMMYFUNCTION("""COMPUTED_VALUE"""),"&gt; 44 tahun")</f>
        <v>&gt; 44 tahun</v>
      </c>
      <c r="K2850" s="21" t="str">
        <f>IFERROR(__xludf.DUMMYFUNCTION("""COMPUTED_VALUE"""),"13/10/1968")</f>
        <v>13/10/1968</v>
      </c>
      <c r="L2850" s="21" t="str">
        <f>IFERROR(__xludf.DUMMYFUNCTION("""COMPUTED_VALUE"""),"LAKI-LAKI")</f>
        <v>LAKI-LAKI</v>
      </c>
      <c r="M2850" s="35" t="str">
        <f>IFERROR(__xludf.DUMMYFUNCTION("""COMPUTED_VALUE"""),"PERUMAHAN VILLA CERIA LESTARI")</f>
        <v>PERUMAHAN VILLA CERIA LESTARI</v>
      </c>
      <c r="N2850" s="35" t="str">
        <f>IFERROR(__xludf.DUMMYFUNCTION("""COMPUTED_VALUE"""),"SUNGAI RAYA DALAM")</f>
        <v>SUNGAI RAYA DALAM</v>
      </c>
      <c r="O2850" s="35" t="str">
        <f>IFERROR(__xludf.DUMMYFUNCTION("""COMPUTED_VALUE"""),"SUNGAI RAYA")</f>
        <v>SUNGAI RAYA</v>
      </c>
      <c r="P2850" s="35" t="str">
        <f>IFERROR(__xludf.DUMMYFUNCTION("""COMPUTED_VALUE"""),"PONTIANAK")</f>
        <v>PONTIANAK</v>
      </c>
      <c r="Q2850" s="35" t="str">
        <f>IFERROR(__xludf.DUMMYFUNCTION("""COMPUTED_VALUE"""),"KALIMANTAN BARAT")</f>
        <v>KALIMANTAN BARAT</v>
      </c>
      <c r="R2850" s="21" t="str">
        <f>IFERROR(__xludf.DUMMYFUNCTION("""COMPUTED_VALUE"""),"BUDDHA")</f>
        <v>BUDDHA</v>
      </c>
      <c r="S2850" s="74" t="str">
        <f>IFERROR(__xludf.DUMMYFUNCTION("""COMPUTED_VALUE"""),"WIRASWASTA")</f>
        <v>WIRASWASTA</v>
      </c>
      <c r="T2850" s="35" t="str">
        <f>IFERROR(__xludf.DUMMYFUNCTION("""COMPUTED_VALUE"""),"LUTUT")</f>
        <v>LUTUT</v>
      </c>
      <c r="U2850" s="35" t="str">
        <f>IFERROR(__xludf.DUMMYFUNCTION("""COMPUTED_VALUE"""),"-")</f>
        <v>-</v>
      </c>
      <c r="V2850" s="37" t="str">
        <f>IFERROR(__xludf.DUMMYFUNCTION("""COMPUTED_VALUE"""),"0")</f>
        <v>0</v>
      </c>
      <c r="W2850" s="45"/>
    </row>
    <row r="2851">
      <c r="A2851" s="45"/>
      <c r="B2851" s="24" t="str">
        <f>IFERROR(__xludf.DUMMYFUNCTION("""COMPUTED_VALUE"""),"13/09/2025 17:48:39")</f>
        <v>13/09/2025 17:48:39</v>
      </c>
      <c r="C2851" s="35"/>
      <c r="D2851" s="10">
        <f>IFERROR(__xludf.DUMMYFUNCTION("""COMPUTED_VALUE"""),45913.0)</f>
        <v>45913</v>
      </c>
      <c r="E2851" s="35" t="str">
        <f>IFERROR(__xludf.DUMMYFUNCTION("""COMPUTED_VALUE"""),"09Sep")</f>
        <v>09Sep</v>
      </c>
      <c r="F2851" s="34" t="str">
        <f>IFERROR(__xludf.DUMMYFUNCTION("""COMPUTED_VALUE"""),"2025")</f>
        <v>2025</v>
      </c>
      <c r="G2851" s="35" t="str">
        <f>IFERROR(__xludf.DUMMYFUNCTION("""COMPUTED_VALUE"""),"MUHAMMAD HENDRI. SE")</f>
        <v>MUHAMMAD HENDRI. SE</v>
      </c>
      <c r="H2851" s="35" t="str">
        <f>IFERROR(__xludf.DUMMYFUNCTION("""COMPUTED_VALUE"""),"M8125099997")</f>
        <v>M8125099997</v>
      </c>
      <c r="I2851" s="35">
        <f>IFERROR(__xludf.DUMMYFUNCTION("""COMPUTED_VALUE"""),45.0)</f>
        <v>45</v>
      </c>
      <c r="J2851" s="35" t="str">
        <f>IFERROR(__xludf.DUMMYFUNCTION("""COMPUTED_VALUE"""),"&gt; 44 tahun")</f>
        <v>&gt; 44 tahun</v>
      </c>
      <c r="K2851" s="21" t="str">
        <f>IFERROR(__xludf.DUMMYFUNCTION("""COMPUTED_VALUE"""),"03/03/1981")</f>
        <v>03/03/1981</v>
      </c>
      <c r="L2851" s="21" t="str">
        <f>IFERROR(__xludf.DUMMYFUNCTION("""COMPUTED_VALUE"""),"LAKI-LAKI")</f>
        <v>LAKI-LAKI</v>
      </c>
      <c r="M2851" s="35" t="str">
        <f>IFERROR(__xludf.DUMMYFUNCTION("""COMPUTED_VALUE"""),"JL. PURNAMA AGUNG VII BLOK Q.3")</f>
        <v>JL. PURNAMA AGUNG VII BLOK Q.3</v>
      </c>
      <c r="N2851" s="35" t="str">
        <f>IFERROR(__xludf.DUMMYFUNCTION("""COMPUTED_VALUE"""),"PARIT TOKAYA")</f>
        <v>PARIT TOKAYA</v>
      </c>
      <c r="O2851" s="35" t="str">
        <f>IFERROR(__xludf.DUMMYFUNCTION("""COMPUTED_VALUE"""),"PONTIANAK SELATAN")</f>
        <v>PONTIANAK SELATAN</v>
      </c>
      <c r="P2851" s="35" t="str">
        <f>IFERROR(__xludf.DUMMYFUNCTION("""COMPUTED_VALUE"""),"PONTIANAK")</f>
        <v>PONTIANAK</v>
      </c>
      <c r="Q2851" s="35" t="str">
        <f>IFERROR(__xludf.DUMMYFUNCTION("""COMPUTED_VALUE"""),"KALIMANTAN BARAT")</f>
        <v>KALIMANTAN BARAT</v>
      </c>
      <c r="R2851" s="21" t="str">
        <f>IFERROR(__xludf.DUMMYFUNCTION("""COMPUTED_VALUE"""),"ISLAM")</f>
        <v>ISLAM</v>
      </c>
      <c r="S2851" s="74" t="str">
        <f>IFERROR(__xludf.DUMMYFUNCTION("""COMPUTED_VALUE"""),"PNS")</f>
        <v>PNS</v>
      </c>
      <c r="T2851" s="35" t="str">
        <f>IFERROR(__xludf.DUMMYFUNCTION("""COMPUTED_VALUE"""),"LEHER")</f>
        <v>LEHER</v>
      </c>
      <c r="U2851" s="35" t="str">
        <f>IFERROR(__xludf.DUMMYFUNCTION("""COMPUTED_VALUE"""),"BANGUN TIDUR DARI LEHER SAMAPAI KE TANGAN DAN JARI TERASA NYERI SUDAH 2 MINGGU")</f>
        <v>BANGUN TIDUR DARI LEHER SAMAPAI KE TANGAN DAN JARI TERASA NYERI SUDAH 2 MINGGU</v>
      </c>
      <c r="V2851" s="37" t="str">
        <f>IFERROR(__xludf.DUMMYFUNCTION("""COMPUTED_VALUE"""),"081345139997")</f>
        <v>081345139997</v>
      </c>
      <c r="W2851" s="45"/>
    </row>
    <row r="2852">
      <c r="A2852" s="45"/>
      <c r="B2852" s="24" t="str">
        <f>IFERROR(__xludf.DUMMYFUNCTION("""COMPUTED_VALUE"""),"14/09/2025 9:08:31")</f>
        <v>14/09/2025 9:08:31</v>
      </c>
      <c r="C2852" s="35"/>
      <c r="D2852" s="10">
        <f>IFERROR(__xludf.DUMMYFUNCTION("""COMPUTED_VALUE"""),45914.0)</f>
        <v>45914</v>
      </c>
      <c r="E2852" s="35" t="str">
        <f>IFERROR(__xludf.DUMMYFUNCTION("""COMPUTED_VALUE"""),"09Sep")</f>
        <v>09Sep</v>
      </c>
      <c r="F2852" s="34" t="str">
        <f>IFERROR(__xludf.DUMMYFUNCTION("""COMPUTED_VALUE"""),"2025")</f>
        <v>2025</v>
      </c>
      <c r="G2852" s="35" t="str">
        <f>IFERROR(__xludf.DUMMYFUNCTION("""COMPUTED_VALUE"""),"NADYNE ARSYFA NUR AS’ADIYAH")</f>
        <v>NADYNE ARSYFA NUR AS’ADIYAH</v>
      </c>
      <c r="H2852" s="35" t="str">
        <f>IFERROR(__xludf.DUMMYFUNCTION("""COMPUTED_VALUE"""),"N2525095500")</f>
        <v>N2525095500</v>
      </c>
      <c r="I2852" s="35">
        <f>IFERROR(__xludf.DUMMYFUNCTION("""COMPUTED_VALUE"""),0.0)</f>
        <v>0</v>
      </c>
      <c r="J2852" s="35" t="str">
        <f>IFERROR(__xludf.DUMMYFUNCTION("""COMPUTED_VALUE"""),"&lt; 18 tahun")</f>
        <v>&lt; 18 tahun</v>
      </c>
      <c r="K2852" s="21" t="str">
        <f>IFERROR(__xludf.DUMMYFUNCTION("""COMPUTED_VALUE"""),"14/09/2025")</f>
        <v>14/09/2025</v>
      </c>
      <c r="L2852" s="21" t="str">
        <f>IFERROR(__xludf.DUMMYFUNCTION("""COMPUTED_VALUE"""),"PEREMPUAN")</f>
        <v>PEREMPUAN</v>
      </c>
      <c r="M2852" s="35" t="str">
        <f>IFERROR(__xludf.DUMMYFUNCTION("""COMPUTED_VALUE"""),"JL KHATULISTIWA GG PURNAMA NO 116")</f>
        <v>JL KHATULISTIWA GG PURNAMA NO 116</v>
      </c>
      <c r="N2852" s="35" t="str">
        <f>IFERROR(__xludf.DUMMYFUNCTION("""COMPUTED_VALUE"""),"BATULAYANG")</f>
        <v>BATULAYANG</v>
      </c>
      <c r="O2852" s="35" t="str">
        <f>IFERROR(__xludf.DUMMYFUNCTION("""COMPUTED_VALUE"""),"PONTIANAK UTARA")</f>
        <v>PONTIANAK UTARA</v>
      </c>
      <c r="P2852" s="35" t="str">
        <f>IFERROR(__xludf.DUMMYFUNCTION("""COMPUTED_VALUE"""),"PONTIANAK")</f>
        <v>PONTIANAK</v>
      </c>
      <c r="Q2852" s="35" t="str">
        <f>IFERROR(__xludf.DUMMYFUNCTION("""COMPUTED_VALUE"""),"KALIMANTAN BARAT")</f>
        <v>KALIMANTAN BARAT</v>
      </c>
      <c r="R2852" s="21" t="str">
        <f>IFERROR(__xludf.DUMMYFUNCTION("""COMPUTED_VALUE"""),"ISLAM")</f>
        <v>ISLAM</v>
      </c>
      <c r="S2852" s="74" t="str">
        <f>IFERROR(__xludf.DUMMYFUNCTION("""COMPUTED_VALUE"""),"PELAJAR")</f>
        <v>PELAJAR</v>
      </c>
      <c r="T2852" s="35" t="str">
        <f>IFERROR(__xludf.DUMMYFUNCTION("""COMPUTED_VALUE"""),"ENGKEL TERKILIR")</f>
        <v>ENGKEL TERKILIR</v>
      </c>
      <c r="U2852" s="35" t="str">
        <f>IFERROR(__xludf.DUMMYFUNCTION("""COMPUTED_VALUE"""),"BASKET")</f>
        <v>BASKET</v>
      </c>
      <c r="V2852" s="37" t="str">
        <f>IFERROR(__xludf.DUMMYFUNCTION("""COMPUTED_VALUE"""),"08115795500")</f>
        <v>08115795500</v>
      </c>
      <c r="W2852" s="45"/>
    </row>
    <row r="2853">
      <c r="A2853" s="45"/>
      <c r="B2853" s="24" t="str">
        <f>IFERROR(__xludf.DUMMYFUNCTION("""COMPUTED_VALUE"""),"14/09/2025 13:27:52")</f>
        <v>14/09/2025 13:27:52</v>
      </c>
      <c r="C2853" s="35"/>
      <c r="D2853" s="10">
        <f>IFERROR(__xludf.DUMMYFUNCTION("""COMPUTED_VALUE"""),45914.0)</f>
        <v>45914</v>
      </c>
      <c r="E2853" s="35" t="str">
        <f>IFERROR(__xludf.DUMMYFUNCTION("""COMPUTED_VALUE"""),"09Sep")</f>
        <v>09Sep</v>
      </c>
      <c r="F2853" s="34" t="str">
        <f>IFERROR(__xludf.DUMMYFUNCTION("""COMPUTED_VALUE"""),"2025")</f>
        <v>2025</v>
      </c>
      <c r="G2853" s="35" t="str">
        <f>IFERROR(__xludf.DUMMYFUNCTION("""COMPUTED_VALUE"""),"NURIL HUDA ATHARIQ UKASAH")</f>
        <v>NURIL HUDA ATHARIQ UKASAH</v>
      </c>
      <c r="H2853" s="35" t="str">
        <f>IFERROR(__xludf.DUMMYFUNCTION("""COMPUTED_VALUE"""),"N9825094835")</f>
        <v>N9825094835</v>
      </c>
      <c r="I2853" s="35">
        <f>IFERROR(__xludf.DUMMYFUNCTION("""COMPUTED_VALUE"""),27.0)</f>
        <v>27</v>
      </c>
      <c r="J2853" s="35" t="str">
        <f>IFERROR(__xludf.DUMMYFUNCTION("""COMPUTED_VALUE"""),"25-34 tahun")</f>
        <v>25-34 tahun</v>
      </c>
      <c r="K2853" s="21" t="str">
        <f>IFERROR(__xludf.DUMMYFUNCTION("""COMPUTED_VALUE"""),"16/12/1998")</f>
        <v>16/12/1998</v>
      </c>
      <c r="L2853" s="21" t="str">
        <f>IFERROR(__xludf.DUMMYFUNCTION("""COMPUTED_VALUE"""),"LAKI-LAKI")</f>
        <v>LAKI-LAKI</v>
      </c>
      <c r="M2853" s="35" t="str">
        <f>IFERROR(__xludf.DUMMYFUNCTION("""COMPUTED_VALUE"""),"PERUM RAJABASA PERMAI N 23 24, RAJABASA, BANDAR LAMPUNG")</f>
        <v>PERUM RAJABASA PERMAI N 23 24, RAJABASA, BANDAR LAMPUNG</v>
      </c>
      <c r="N2853" s="35" t="str">
        <f>IFERROR(__xludf.DUMMYFUNCTION("""COMPUTED_VALUE"""),"RAJABASA PEMUKA")</f>
        <v>RAJABASA PEMUKA</v>
      </c>
      <c r="O2853" s="35" t="str">
        <f>IFERROR(__xludf.DUMMYFUNCTION("""COMPUTED_VALUE"""),"RAJABASA")</f>
        <v>RAJABASA</v>
      </c>
      <c r="P2853" s="35" t="str">
        <f>IFERROR(__xludf.DUMMYFUNCTION("""COMPUTED_VALUE"""),"BANDAR LAMPUNG")</f>
        <v>BANDAR LAMPUNG</v>
      </c>
      <c r="Q2853" s="35" t="str">
        <f>IFERROR(__xludf.DUMMYFUNCTION("""COMPUTED_VALUE"""),"LAMPUNG")</f>
        <v>LAMPUNG</v>
      </c>
      <c r="R2853" s="21" t="str">
        <f>IFERROR(__xludf.DUMMYFUNCTION("""COMPUTED_VALUE"""),"ISLAM")</f>
        <v>ISLAM</v>
      </c>
      <c r="S2853" s="74" t="str">
        <f>IFERROR(__xludf.DUMMYFUNCTION("""COMPUTED_VALUE"""),"PEGAWAI")</f>
        <v>PEGAWAI</v>
      </c>
      <c r="T2853" s="35" t="str">
        <f>IFERROR(__xludf.DUMMYFUNCTION("""COMPUTED_VALUE"""),"NYERI DI TUMIT")</f>
        <v>NYERI DI TUMIT</v>
      </c>
      <c r="U2853" s="35" t="str">
        <f>IFERROR(__xludf.DUMMYFUNCTION("""COMPUTED_VALUE"""),"SEPAK BOLA")</f>
        <v>SEPAK BOLA</v>
      </c>
      <c r="V2853" s="37" t="str">
        <f>IFERROR(__xludf.DUMMYFUNCTION("""COMPUTED_VALUE"""),"083896754835")</f>
        <v>083896754835</v>
      </c>
      <c r="W2853" s="45"/>
    </row>
    <row r="2854">
      <c r="A2854" s="45"/>
      <c r="B2854" s="24" t="str">
        <f>IFERROR(__xludf.DUMMYFUNCTION("""COMPUTED_VALUE"""),"14/09/2025 14:04:14")</f>
        <v>14/09/2025 14:04:14</v>
      </c>
      <c r="C2854" s="35"/>
      <c r="D2854" s="10">
        <f>IFERROR(__xludf.DUMMYFUNCTION("""COMPUTED_VALUE"""),45914.0)</f>
        <v>45914</v>
      </c>
      <c r="E2854" s="35" t="str">
        <f>IFERROR(__xludf.DUMMYFUNCTION("""COMPUTED_VALUE"""),"09Sep")</f>
        <v>09Sep</v>
      </c>
      <c r="F2854" s="34" t="str">
        <f>IFERROR(__xludf.DUMMYFUNCTION("""COMPUTED_VALUE"""),"2025")</f>
        <v>2025</v>
      </c>
      <c r="G2854" s="35" t="str">
        <f>IFERROR(__xludf.DUMMYFUNCTION("""COMPUTED_VALUE"""),"LUQMAN ABDUL JABBAR")</f>
        <v>LUQMAN ABDUL JABBAR</v>
      </c>
      <c r="H2854" s="35" t="str">
        <f>IFERROR(__xludf.DUMMYFUNCTION("""COMPUTED_VALUE"""),"L7525094307")</f>
        <v>L7525094307</v>
      </c>
      <c r="I2854" s="35">
        <f>IFERROR(__xludf.DUMMYFUNCTION("""COMPUTED_VALUE"""),51.0)</f>
        <v>51</v>
      </c>
      <c r="J2854" s="35" t="str">
        <f>IFERROR(__xludf.DUMMYFUNCTION("""COMPUTED_VALUE"""),"&gt; 44 tahun")</f>
        <v>&gt; 44 tahun</v>
      </c>
      <c r="K2854" s="21" t="str">
        <f>IFERROR(__xludf.DUMMYFUNCTION("""COMPUTED_VALUE"""),"25/05/1975")</f>
        <v>25/05/1975</v>
      </c>
      <c r="L2854" s="21" t="str">
        <f>IFERROR(__xludf.DUMMYFUNCTION("""COMPUTED_VALUE"""),"LAKI-LAKI")</f>
        <v>LAKI-LAKI</v>
      </c>
      <c r="M2854" s="35" t="str">
        <f>IFERROR(__xludf.DUMMYFUNCTION("""COMPUTED_VALUE"""),"JLN. KARET KOMPLEK INTAN PERMATA")</f>
        <v>JLN. KARET KOMPLEK INTAN PERMATA</v>
      </c>
      <c r="N2854" s="35" t="str">
        <f>IFERROR(__xludf.DUMMYFUNCTION("""COMPUTED_VALUE"""),"SUNGAI BELIUNG")</f>
        <v>SUNGAI BELIUNG</v>
      </c>
      <c r="O2854" s="35" t="str">
        <f>IFERROR(__xludf.DUMMYFUNCTION("""COMPUTED_VALUE"""),"PONTIANAK BARAT")</f>
        <v>PONTIANAK BARAT</v>
      </c>
      <c r="P2854" s="35" t="str">
        <f>IFERROR(__xludf.DUMMYFUNCTION("""COMPUTED_VALUE"""),"PONTIANAK")</f>
        <v>PONTIANAK</v>
      </c>
      <c r="Q2854" s="35" t="str">
        <f>IFERROR(__xludf.DUMMYFUNCTION("""COMPUTED_VALUE"""),"KALIMANTAN BARAT")</f>
        <v>KALIMANTAN BARAT</v>
      </c>
      <c r="R2854" s="21" t="str">
        <f>IFERROR(__xludf.DUMMYFUNCTION("""COMPUTED_VALUE"""),"ISLAM")</f>
        <v>ISLAM</v>
      </c>
      <c r="S2854" s="74" t="str">
        <f>IFERROR(__xludf.DUMMYFUNCTION("""COMPUTED_VALUE"""),"PNS")</f>
        <v>PNS</v>
      </c>
      <c r="T2854" s="35" t="str">
        <f>IFERROR(__xludf.DUMMYFUNCTION("""COMPUTED_VALUE"""),"KESELEO")</f>
        <v>KESELEO</v>
      </c>
      <c r="U2854" s="35" t="str">
        <f>IFERROR(__xludf.DUMMYFUNCTION("""COMPUTED_VALUE"""),"NYERI LUTUT DAN BETIS")</f>
        <v>NYERI LUTUT DAN BETIS</v>
      </c>
      <c r="V2854" s="37" t="str">
        <f>IFERROR(__xludf.DUMMYFUNCTION("""COMPUTED_VALUE"""),"085820004307")</f>
        <v>085820004307</v>
      </c>
      <c r="W2854" s="45"/>
    </row>
    <row r="2855">
      <c r="A2855" s="45"/>
      <c r="B2855" s="24" t="str">
        <f>IFERROR(__xludf.DUMMYFUNCTION("""COMPUTED_VALUE"""),"13/09/2025 19:45:56")</f>
        <v>13/09/2025 19:45:56</v>
      </c>
      <c r="C2855" s="35"/>
      <c r="D2855" s="10">
        <f>IFERROR(__xludf.DUMMYFUNCTION("""COMPUTED_VALUE"""),45914.0)</f>
        <v>45914</v>
      </c>
      <c r="E2855" s="35" t="str">
        <f>IFERROR(__xludf.DUMMYFUNCTION("""COMPUTED_VALUE"""),"09Sep")</f>
        <v>09Sep</v>
      </c>
      <c r="F2855" s="34" t="str">
        <f>IFERROR(__xludf.DUMMYFUNCTION("""COMPUTED_VALUE"""),"2025")</f>
        <v>2025</v>
      </c>
      <c r="G2855" s="35" t="str">
        <f>IFERROR(__xludf.DUMMYFUNCTION("""COMPUTED_VALUE"""),"ERLINA KURNIAWAN")</f>
        <v>ERLINA KURNIAWAN</v>
      </c>
      <c r="H2855" s="35" t="str">
        <f>IFERROR(__xludf.DUMMYFUNCTION("""COMPUTED_VALUE"""),"E8725098616")</f>
        <v>E8725098616</v>
      </c>
      <c r="I2855" s="35">
        <f>IFERROR(__xludf.DUMMYFUNCTION("""COMPUTED_VALUE"""),38.0)</f>
        <v>38</v>
      </c>
      <c r="J2855" s="35" t="str">
        <f>IFERROR(__xludf.DUMMYFUNCTION("""COMPUTED_VALUE"""),"35-44 tahun")</f>
        <v>35-44 tahun</v>
      </c>
      <c r="K2855" s="21" t="str">
        <f>IFERROR(__xludf.DUMMYFUNCTION("""COMPUTED_VALUE"""),"28/09/1987")</f>
        <v>28/09/1987</v>
      </c>
      <c r="L2855" s="21" t="str">
        <f>IFERROR(__xludf.DUMMYFUNCTION("""COMPUTED_VALUE"""),"PEREMPUAN")</f>
        <v>PEREMPUAN</v>
      </c>
      <c r="M2855" s="35" t="str">
        <f>IFERROR(__xludf.DUMMYFUNCTION("""COMPUTED_VALUE"""),"JALAN PURNAMA 1 KOMP PURNAMA ASRI NO A7")</f>
        <v>JALAN PURNAMA 1 KOMP PURNAMA ASRI NO A7</v>
      </c>
      <c r="N2855" s="35" t="str">
        <f>IFERROR(__xludf.DUMMYFUNCTION("""COMPUTED_VALUE"""),"AKCAYA")</f>
        <v>AKCAYA</v>
      </c>
      <c r="O2855" s="35" t="str">
        <f>IFERROR(__xludf.DUMMYFUNCTION("""COMPUTED_VALUE"""),"PONTIANAK SELATAN")</f>
        <v>PONTIANAK SELATAN</v>
      </c>
      <c r="P2855" s="35" t="str">
        <f>IFERROR(__xludf.DUMMYFUNCTION("""COMPUTED_VALUE"""),"PONTIANAK")</f>
        <v>PONTIANAK</v>
      </c>
      <c r="Q2855" s="35" t="str">
        <f>IFERROR(__xludf.DUMMYFUNCTION("""COMPUTED_VALUE"""),"KALIMANTAN BARAT")</f>
        <v>KALIMANTAN BARAT</v>
      </c>
      <c r="R2855" s="21" t="str">
        <f>IFERROR(__xludf.DUMMYFUNCTION("""COMPUTED_VALUE"""),"KHONGHUCU")</f>
        <v>KHONGHUCU</v>
      </c>
      <c r="S2855" s="74" t="str">
        <f>IFERROR(__xludf.DUMMYFUNCTION("""COMPUTED_VALUE"""),"IRT")</f>
        <v>IRT</v>
      </c>
      <c r="T2855" s="35" t="str">
        <f>IFERROR(__xludf.DUMMYFUNCTION("""COMPUTED_VALUE"""),"BAHU DAN SIKU SAKIT")</f>
        <v>BAHU DAN SIKU SAKIT</v>
      </c>
      <c r="U2855" s="35" t="str">
        <f>IFERROR(__xludf.DUMMYFUNCTION("""COMPUTED_VALUE"""),"BADMINTON")</f>
        <v>BADMINTON</v>
      </c>
      <c r="V2855" s="37" t="str">
        <f>IFERROR(__xludf.DUMMYFUNCTION("""COMPUTED_VALUE"""),"081352818616")</f>
        <v>081352818616</v>
      </c>
      <c r="W2855" s="45"/>
    </row>
    <row r="2856">
      <c r="A2856" s="45"/>
      <c r="B2856" s="24" t="str">
        <f>IFERROR(__xludf.DUMMYFUNCTION("""COMPUTED_VALUE"""),"15/09/2025 10:21:52")</f>
        <v>15/09/2025 10:21:52</v>
      </c>
      <c r="C2856" s="35"/>
      <c r="D2856" s="10">
        <f>IFERROR(__xludf.DUMMYFUNCTION("""COMPUTED_VALUE"""),45915.0)</f>
        <v>45915</v>
      </c>
      <c r="E2856" s="35" t="str">
        <f>IFERROR(__xludf.DUMMYFUNCTION("""COMPUTED_VALUE"""),"09Sep")</f>
        <v>09Sep</v>
      </c>
      <c r="F2856" s="34" t="str">
        <f>IFERROR(__xludf.DUMMYFUNCTION("""COMPUTED_VALUE"""),"2025")</f>
        <v>2025</v>
      </c>
      <c r="G2856" s="35" t="str">
        <f>IFERROR(__xludf.DUMMYFUNCTION("""COMPUTED_VALUE"""),"ALDA KENDRA ARTANTI")</f>
        <v>ALDA KENDRA ARTANTI</v>
      </c>
      <c r="H2856" s="35" t="str">
        <f>IFERROR(__xludf.DUMMYFUNCTION("""COMPUTED_VALUE"""),"A2525091800")</f>
        <v>A2525091800</v>
      </c>
      <c r="I2856" s="35">
        <f>IFERROR(__xludf.DUMMYFUNCTION("""COMPUTED_VALUE"""),0.0)</f>
        <v>0</v>
      </c>
      <c r="J2856" s="35" t="str">
        <f>IFERROR(__xludf.DUMMYFUNCTION("""COMPUTED_VALUE"""),"&lt; 18 tahun")</f>
        <v>&lt; 18 tahun</v>
      </c>
      <c r="K2856" s="21" t="str">
        <f>IFERROR(__xludf.DUMMYFUNCTION("""COMPUTED_VALUE"""),"15/09/2025")</f>
        <v>15/09/2025</v>
      </c>
      <c r="L2856" s="21" t="str">
        <f>IFERROR(__xludf.DUMMYFUNCTION("""COMPUTED_VALUE"""),"PEREMPUAN")</f>
        <v>PEREMPUAN</v>
      </c>
      <c r="M2856" s="35" t="str">
        <f>IFERROR(__xludf.DUMMYFUNCTION("""COMPUTED_VALUE"""),"JL. SUI RAYA DALAM KOMP. BALI MAS 1 D-12")</f>
        <v>JL. SUI RAYA DALAM KOMP. BALI MAS 1 D-12</v>
      </c>
      <c r="N2856" s="35" t="str">
        <f>IFERROR(__xludf.DUMMYFUNCTION("""COMPUTED_VALUE"""),"BANGKA BELITUNG DARAT")</f>
        <v>BANGKA BELITUNG DARAT</v>
      </c>
      <c r="O2856" s="35" t="str">
        <f>IFERROR(__xludf.DUMMYFUNCTION("""COMPUTED_VALUE"""),"PONTIANAK TENGGARA")</f>
        <v>PONTIANAK TENGGARA</v>
      </c>
      <c r="P2856" s="35" t="str">
        <f>IFERROR(__xludf.DUMMYFUNCTION("""COMPUTED_VALUE"""),"KOTA PONTIANAK")</f>
        <v>KOTA PONTIANAK</v>
      </c>
      <c r="Q2856" s="35" t="str">
        <f>IFERROR(__xludf.DUMMYFUNCTION("""COMPUTED_VALUE"""),"KALIMANTAN BARAT")</f>
        <v>KALIMANTAN BARAT</v>
      </c>
      <c r="R2856" s="21" t="str">
        <f>IFERROR(__xludf.DUMMYFUNCTION("""COMPUTED_VALUE"""),"ISLAM")</f>
        <v>ISLAM</v>
      </c>
      <c r="S2856" s="74" t="str">
        <f>IFERROR(__xludf.DUMMYFUNCTION("""COMPUTED_VALUE"""),"MAHASISWI")</f>
        <v>MAHASISWI</v>
      </c>
      <c r="T2856" s="35" t="str">
        <f>IFERROR(__xludf.DUMMYFUNCTION("""COMPUTED_VALUE"""),"KESELEO PD SAAT OLAHRAGA, KEMUDIAN ANKLE BENGKAK")</f>
        <v>KESELEO PD SAAT OLAHRAGA, KEMUDIAN ANKLE BENGKAK</v>
      </c>
      <c r="U2856" s="35" t="str">
        <f>IFERROR(__xludf.DUMMYFUNCTION("""COMPUTED_VALUE"""),"JOGGING")</f>
        <v>JOGGING</v>
      </c>
      <c r="V2856" s="37" t="str">
        <f>IFERROR(__xludf.DUMMYFUNCTION("""COMPUTED_VALUE"""),"082195891800")</f>
        <v>082195891800</v>
      </c>
      <c r="W2856" s="45"/>
    </row>
    <row r="2857">
      <c r="A2857" s="45"/>
      <c r="B2857" s="24" t="str">
        <f>IFERROR(__xludf.DUMMYFUNCTION("""COMPUTED_VALUE"""),"15/09/2025 14:03:15")</f>
        <v>15/09/2025 14:03:15</v>
      </c>
      <c r="C2857" s="35"/>
      <c r="D2857" s="10">
        <f>IFERROR(__xludf.DUMMYFUNCTION("""COMPUTED_VALUE"""),45915.0)</f>
        <v>45915</v>
      </c>
      <c r="E2857" s="35" t="str">
        <f>IFERROR(__xludf.DUMMYFUNCTION("""COMPUTED_VALUE"""),"09Sep")</f>
        <v>09Sep</v>
      </c>
      <c r="F2857" s="34" t="str">
        <f>IFERROR(__xludf.DUMMYFUNCTION("""COMPUTED_VALUE"""),"2025")</f>
        <v>2025</v>
      </c>
      <c r="G2857" s="35" t="str">
        <f>IFERROR(__xludf.DUMMYFUNCTION("""COMPUTED_VALUE"""),"KADE DESMILAWATI")</f>
        <v>KADE DESMILAWATI</v>
      </c>
      <c r="H2857" s="35" t="str">
        <f>IFERROR(__xludf.DUMMYFUNCTION("""COMPUTED_VALUE"""),"K8225090080")</f>
        <v>K8225090080</v>
      </c>
      <c r="I2857" s="35">
        <f>IFERROR(__xludf.DUMMYFUNCTION("""COMPUTED_VALUE"""),43.0)</f>
        <v>43</v>
      </c>
      <c r="J2857" s="35" t="str">
        <f>IFERROR(__xludf.DUMMYFUNCTION("""COMPUTED_VALUE"""),"35-44 tahun")</f>
        <v>35-44 tahun</v>
      </c>
      <c r="K2857" s="21" t="str">
        <f>IFERROR(__xludf.DUMMYFUNCTION("""COMPUTED_VALUE"""),"06/12/1982")</f>
        <v>06/12/1982</v>
      </c>
      <c r="L2857" s="21" t="str">
        <f>IFERROR(__xludf.DUMMYFUNCTION("""COMPUTED_VALUE"""),"PEREMPUAN")</f>
        <v>PEREMPUAN</v>
      </c>
      <c r="M2857" s="35" t="str">
        <f>IFERROR(__xludf.DUMMYFUNCTION("""COMPUTED_VALUE"""),"JL ADISUCIPTO BTN TELUK MULUS GG TUJUH DUA BLOK J16")</f>
        <v>JL ADISUCIPTO BTN TELUK MULUS GG TUJUH DUA BLOK J16</v>
      </c>
      <c r="N2857" s="35" t="str">
        <f>IFERROR(__xludf.DUMMYFUNCTION("""COMPUTED_VALUE"""),"TELUK KAPUAS")</f>
        <v>TELUK KAPUAS</v>
      </c>
      <c r="O2857" s="35" t="str">
        <f>IFERROR(__xludf.DUMMYFUNCTION("""COMPUTED_VALUE"""),"SUNGAI RAYA")</f>
        <v>SUNGAI RAYA</v>
      </c>
      <c r="P2857" s="35" t="str">
        <f>IFERROR(__xludf.DUMMYFUNCTION("""COMPUTED_VALUE"""),"KUBURAYA")</f>
        <v>KUBURAYA</v>
      </c>
      <c r="Q2857" s="35" t="str">
        <f>IFERROR(__xludf.DUMMYFUNCTION("""COMPUTED_VALUE"""),"KALIMANTAN BARAT")</f>
        <v>KALIMANTAN BARAT</v>
      </c>
      <c r="R2857" s="21" t="str">
        <f>IFERROR(__xludf.DUMMYFUNCTION("""COMPUTED_VALUE"""),"ISLAM")</f>
        <v>ISLAM</v>
      </c>
      <c r="S2857" s="74" t="str">
        <f>IFERROR(__xludf.DUMMYFUNCTION("""COMPUTED_VALUE"""),"SWASTA")</f>
        <v>SWASTA</v>
      </c>
      <c r="T2857" s="35" t="str">
        <f>IFERROR(__xludf.DUMMYFUNCTION("""COMPUTED_VALUE"""),"NYERI DI SEKITAR JARI JEMPOL TANGAN DAN BELIKAT")</f>
        <v>NYERI DI SEKITAR JARI JEMPOL TANGAN DAN BELIKAT</v>
      </c>
      <c r="U2857" s="35" t="str">
        <f>IFERROR(__xludf.DUMMYFUNCTION("""COMPUTED_VALUE"""),"MEMASAK")</f>
        <v>MEMASAK</v>
      </c>
      <c r="V2857" s="37" t="str">
        <f>IFERROR(__xludf.DUMMYFUNCTION("""COMPUTED_VALUE"""),"08115680080")</f>
        <v>08115680080</v>
      </c>
      <c r="W2857" s="45"/>
    </row>
    <row r="2858">
      <c r="A2858" s="45"/>
      <c r="B2858" s="24" t="str">
        <f>IFERROR(__xludf.DUMMYFUNCTION("""COMPUTED_VALUE"""),"15/09/2025 14:46:56")</f>
        <v>15/09/2025 14:46:56</v>
      </c>
      <c r="C2858" s="35"/>
      <c r="D2858" s="10">
        <f>IFERROR(__xludf.DUMMYFUNCTION("""COMPUTED_VALUE"""),45915.0)</f>
        <v>45915</v>
      </c>
      <c r="E2858" s="35" t="str">
        <f>IFERROR(__xludf.DUMMYFUNCTION("""COMPUTED_VALUE"""),"09Sep")</f>
        <v>09Sep</v>
      </c>
      <c r="F2858" s="34" t="str">
        <f>IFERROR(__xludf.DUMMYFUNCTION("""COMPUTED_VALUE"""),"2025")</f>
        <v>2025</v>
      </c>
      <c r="G2858" s="35" t="str">
        <f>IFERROR(__xludf.DUMMYFUNCTION("""COMPUTED_VALUE"""),"MUHAFIDZAH NADZEEFA RASYADA")</f>
        <v>MUHAFIDZAH NADZEEFA RASYADA</v>
      </c>
      <c r="H2858" s="35" t="str">
        <f>IFERROR(__xludf.DUMMYFUNCTION("""COMPUTED_VALUE"""),"M1125093332")</f>
        <v>M1125093332</v>
      </c>
      <c r="I2858" s="35">
        <f>IFERROR(__xludf.DUMMYFUNCTION("""COMPUTED_VALUE"""),15.0)</f>
        <v>15</v>
      </c>
      <c r="J2858" s="35" t="str">
        <f>IFERROR(__xludf.DUMMYFUNCTION("""COMPUTED_VALUE"""),"&lt; 18 tahun")</f>
        <v>&lt; 18 tahun</v>
      </c>
      <c r="K2858" s="21" t="str">
        <f>IFERROR(__xludf.DUMMYFUNCTION("""COMPUTED_VALUE"""),"18/03/2011")</f>
        <v>18/03/2011</v>
      </c>
      <c r="L2858" s="21" t="str">
        <f>IFERROR(__xludf.DUMMYFUNCTION("""COMPUTED_VALUE"""),"PEREMPUAN")</f>
        <v>PEREMPUAN</v>
      </c>
      <c r="M2858" s="35" t="str">
        <f>IFERROR(__xludf.DUMMYFUNCTION("""COMPUTED_VALUE"""),"JL ADISUCIPTO GG WONODADI 1")</f>
        <v>JL ADISUCIPTO GG WONODADI 1</v>
      </c>
      <c r="N2858" s="35" t="str">
        <f>IFERROR(__xludf.DUMMYFUNCTION("""COMPUTED_VALUE"""),"ARANG LIMBUNG")</f>
        <v>ARANG LIMBUNG</v>
      </c>
      <c r="O2858" s="35" t="str">
        <f>IFERROR(__xludf.DUMMYFUNCTION("""COMPUTED_VALUE"""),"SUNGAI RAYA")</f>
        <v>SUNGAI RAYA</v>
      </c>
      <c r="P2858" s="35" t="str">
        <f>IFERROR(__xludf.DUMMYFUNCTION("""COMPUTED_VALUE"""),"KUBU RAYA")</f>
        <v>KUBU RAYA</v>
      </c>
      <c r="Q2858" s="35" t="str">
        <f>IFERROR(__xludf.DUMMYFUNCTION("""COMPUTED_VALUE"""),"KALIMANTAN BARAT")</f>
        <v>KALIMANTAN BARAT</v>
      </c>
      <c r="R2858" s="21" t="str">
        <f>IFERROR(__xludf.DUMMYFUNCTION("""COMPUTED_VALUE"""),"ISLAM")</f>
        <v>ISLAM</v>
      </c>
      <c r="S2858" s="74" t="str">
        <f>IFERROR(__xludf.DUMMYFUNCTION("""COMPUTED_VALUE"""),"PELAJAR")</f>
        <v>PELAJAR</v>
      </c>
      <c r="T2858" s="35" t="str">
        <f>IFERROR(__xludf.DUMMYFUNCTION("""COMPUTED_VALUE"""),"TANGAN")</f>
        <v>TANGAN</v>
      </c>
      <c r="U2858" s="35" t="str">
        <f>IFERROR(__xludf.DUMMYFUNCTION("""COMPUTED_VALUE"""),"MAIN BULU TANGKIS")</f>
        <v>MAIN BULU TANGKIS</v>
      </c>
      <c r="V2858" s="37" t="str">
        <f>IFERROR(__xludf.DUMMYFUNCTION("""COMPUTED_VALUE"""),"081345623332")</f>
        <v>081345623332</v>
      </c>
      <c r="W2858" s="45"/>
    </row>
    <row r="2859">
      <c r="A2859" s="45"/>
      <c r="B2859" s="24" t="str">
        <f>IFERROR(__xludf.DUMMYFUNCTION("""COMPUTED_VALUE"""),"15/09/2025 14:15:16")</f>
        <v>15/09/2025 14:15:16</v>
      </c>
      <c r="C2859" s="35"/>
      <c r="D2859" s="10">
        <f>IFERROR(__xludf.DUMMYFUNCTION("""COMPUTED_VALUE"""),45915.0)</f>
        <v>45915</v>
      </c>
      <c r="E2859" s="35" t="str">
        <f>IFERROR(__xludf.DUMMYFUNCTION("""COMPUTED_VALUE"""),"09Sep")</f>
        <v>09Sep</v>
      </c>
      <c r="F2859" s="34" t="str">
        <f>IFERROR(__xludf.DUMMYFUNCTION("""COMPUTED_VALUE"""),"2025")</f>
        <v>2025</v>
      </c>
      <c r="G2859" s="35" t="str">
        <f>IFERROR(__xludf.DUMMYFUNCTION("""COMPUTED_VALUE"""),"HAIRIL AL-HAM")</f>
        <v>HAIRIL AL-HAM</v>
      </c>
      <c r="H2859" s="35" t="str">
        <f>IFERROR(__xludf.DUMMYFUNCTION("""COMPUTED_VALUE"""),"H0225090832")</f>
        <v>H0225090832</v>
      </c>
      <c r="I2859" s="35">
        <f>IFERROR(__xludf.DUMMYFUNCTION("""COMPUTED_VALUE"""),23.0)</f>
        <v>23</v>
      </c>
      <c r="J2859" s="35" t="str">
        <f>IFERROR(__xludf.DUMMYFUNCTION("""COMPUTED_VALUE"""),"18-24 tahun")</f>
        <v>18-24 tahun</v>
      </c>
      <c r="K2859" s="21" t="str">
        <f>IFERROR(__xludf.DUMMYFUNCTION("""COMPUTED_VALUE"""),"16/06/2002")</f>
        <v>16/06/2002</v>
      </c>
      <c r="L2859" s="21" t="str">
        <f>IFERROR(__xludf.DUMMYFUNCTION("""COMPUTED_VALUE"""),"LAKI-LAKI")</f>
        <v>LAKI-LAKI</v>
      </c>
      <c r="M2859" s="35" t="str">
        <f>IFERROR(__xludf.DUMMYFUNCTION("""COMPUTED_VALUE"""),"NANGA PINOH, KABUPATEN MELAWI")</f>
        <v>NANGA PINOH, KABUPATEN MELAWI</v>
      </c>
      <c r="N2859" s="35" t="str">
        <f>IFERROR(__xludf.DUMMYFUNCTION("""COMPUTED_VALUE"""),"TANJUNG NIAGA")</f>
        <v>TANJUNG NIAGA</v>
      </c>
      <c r="O2859" s="35" t="str">
        <f>IFERROR(__xludf.DUMMYFUNCTION("""COMPUTED_VALUE"""),"NANGA PINOH")</f>
        <v>NANGA PINOH</v>
      </c>
      <c r="P2859" s="35" t="str">
        <f>IFERROR(__xludf.DUMMYFUNCTION("""COMPUTED_VALUE"""),"MELAWI")</f>
        <v>MELAWI</v>
      </c>
      <c r="Q2859" s="35" t="str">
        <f>IFERROR(__xludf.DUMMYFUNCTION("""COMPUTED_VALUE"""),"KALIMANTAN BARAT")</f>
        <v>KALIMANTAN BARAT</v>
      </c>
      <c r="R2859" s="21" t="str">
        <f>IFERROR(__xludf.DUMMYFUNCTION("""COMPUTED_VALUE"""),"ISLAM")</f>
        <v>ISLAM</v>
      </c>
      <c r="S2859" s="74" t="str">
        <f>IFERROR(__xludf.DUMMYFUNCTION("""COMPUTED_VALUE"""),"MARINE CARGO SURVEYOR")</f>
        <v>MARINE CARGO SURVEYOR</v>
      </c>
      <c r="T2859" s="35" t="str">
        <f>IFERROR(__xludf.DUMMYFUNCTION("""COMPUTED_VALUE"""),"TERKILIR PERGELANGAN TANGAN")</f>
        <v>TERKILIR PERGELANGAN TANGAN</v>
      </c>
      <c r="U2859" s="35" t="str">
        <f>IFERROR(__xludf.DUMMYFUNCTION("""COMPUTED_VALUE"""),"BERMAIN BASKET")</f>
        <v>BERMAIN BASKET</v>
      </c>
      <c r="V2859" s="37" t="str">
        <f>IFERROR(__xludf.DUMMYFUNCTION("""COMPUTED_VALUE"""),"085776950832")</f>
        <v>085776950832</v>
      </c>
      <c r="W2859" s="45"/>
    </row>
    <row r="2860">
      <c r="A2860" s="45"/>
      <c r="B2860" s="24" t="str">
        <f>IFERROR(__xludf.DUMMYFUNCTION("""COMPUTED_VALUE"""),"15/09/2025 19:01:04")</f>
        <v>15/09/2025 19:01:04</v>
      </c>
      <c r="C2860" s="35"/>
      <c r="D2860" s="10">
        <f>IFERROR(__xludf.DUMMYFUNCTION("""COMPUTED_VALUE"""),45915.0)</f>
        <v>45915</v>
      </c>
      <c r="E2860" s="35" t="str">
        <f>IFERROR(__xludf.DUMMYFUNCTION("""COMPUTED_VALUE"""),"09Sep")</f>
        <v>09Sep</v>
      </c>
      <c r="F2860" s="34" t="str">
        <f>IFERROR(__xludf.DUMMYFUNCTION("""COMPUTED_VALUE"""),"2025")</f>
        <v>2025</v>
      </c>
      <c r="G2860" s="35" t="str">
        <f>IFERROR(__xludf.DUMMYFUNCTION("""COMPUTED_VALUE"""),"ARENDRA BAYU WICAKSONO")</f>
        <v>ARENDRA BAYU WICAKSONO</v>
      </c>
      <c r="H2860" s="35" t="str">
        <f>IFERROR(__xludf.DUMMYFUNCTION("""COMPUTED_VALUE"""),"A9025096726")</f>
        <v>A9025096726</v>
      </c>
      <c r="I2860" s="35">
        <f>IFERROR(__xludf.DUMMYFUNCTION("""COMPUTED_VALUE"""),36.0)</f>
        <v>36</v>
      </c>
      <c r="J2860" s="35" t="str">
        <f>IFERROR(__xludf.DUMMYFUNCTION("""COMPUTED_VALUE"""),"35-44 tahun")</f>
        <v>35-44 tahun</v>
      </c>
      <c r="K2860" s="21" t="str">
        <f>IFERROR(__xludf.DUMMYFUNCTION("""COMPUTED_VALUE"""),"15/03/1990")</f>
        <v>15/03/1990</v>
      </c>
      <c r="L2860" s="21" t="str">
        <f>IFERROR(__xludf.DUMMYFUNCTION("""COMPUTED_VALUE"""),"LAKI-LAKI")</f>
        <v>LAKI-LAKI</v>
      </c>
      <c r="M2860" s="35" t="str">
        <f>IFERROR(__xludf.DUMMYFUNCTION("""COMPUTED_VALUE"""),"BTN TELUK MULUS J16")</f>
        <v>BTN TELUK MULUS J16</v>
      </c>
      <c r="N2860" s="35" t="str">
        <f>IFERROR(__xludf.DUMMYFUNCTION("""COMPUTED_VALUE"""),"TELUK KAPUAS")</f>
        <v>TELUK KAPUAS</v>
      </c>
      <c r="O2860" s="35" t="str">
        <f>IFERROR(__xludf.DUMMYFUNCTION("""COMPUTED_VALUE"""),"SUNGAI RAYA")</f>
        <v>SUNGAI RAYA</v>
      </c>
      <c r="P2860" s="35" t="str">
        <f>IFERROR(__xludf.DUMMYFUNCTION("""COMPUTED_VALUE"""),"PONTIANAK")</f>
        <v>PONTIANAK</v>
      </c>
      <c r="Q2860" s="35" t="str">
        <f>IFERROR(__xludf.DUMMYFUNCTION("""COMPUTED_VALUE"""),"KALIMANTAN BARAT")</f>
        <v>KALIMANTAN BARAT</v>
      </c>
      <c r="R2860" s="21" t="str">
        <f>IFERROR(__xludf.DUMMYFUNCTION("""COMPUTED_VALUE"""),"ISLAM")</f>
        <v>ISLAM</v>
      </c>
      <c r="S2860" s="74" t="str">
        <f>IFERROR(__xludf.DUMMYFUNCTION("""COMPUTED_VALUE"""),"WIRASWASTA")</f>
        <v>WIRASWASTA</v>
      </c>
      <c r="T2860" s="35" t="str">
        <f>IFERROR(__xludf.DUMMYFUNCTION("""COMPUTED_VALUE"""),"SAKIT TULANG EKOR")</f>
        <v>SAKIT TULANG EKOR</v>
      </c>
      <c r="U2860" s="35" t="str">
        <f>IFERROR(__xludf.DUMMYFUNCTION("""COMPUTED_VALUE"""),"-")</f>
        <v>-</v>
      </c>
      <c r="V2860" s="37" t="str">
        <f>IFERROR(__xludf.DUMMYFUNCTION("""COMPUTED_VALUE"""),"082352616726")</f>
        <v>082352616726</v>
      </c>
      <c r="W2860" s="45"/>
    </row>
    <row r="2861">
      <c r="A2861" s="45"/>
      <c r="B2861" s="24" t="str">
        <f>IFERROR(__xludf.DUMMYFUNCTION("""COMPUTED_VALUE"""),"15/09/2025 19:19:19")</f>
        <v>15/09/2025 19:19:19</v>
      </c>
      <c r="C2861" s="35"/>
      <c r="D2861" s="10">
        <f>IFERROR(__xludf.DUMMYFUNCTION("""COMPUTED_VALUE"""),45915.0)</f>
        <v>45915</v>
      </c>
      <c r="E2861" s="35" t="str">
        <f>IFERROR(__xludf.DUMMYFUNCTION("""COMPUTED_VALUE"""),"09Sep")</f>
        <v>09Sep</v>
      </c>
      <c r="F2861" s="34" t="str">
        <f>IFERROR(__xludf.DUMMYFUNCTION("""COMPUTED_VALUE"""),"2025")</f>
        <v>2025</v>
      </c>
      <c r="G2861" s="35" t="str">
        <f>IFERROR(__xludf.DUMMYFUNCTION("""COMPUTED_VALUE"""),"RAIHANI")</f>
        <v>RAIHANI</v>
      </c>
      <c r="H2861" s="35" t="str">
        <f>IFERROR(__xludf.DUMMYFUNCTION("""COMPUTED_VALUE"""),"R2525095104")</f>
        <v>R2525095104</v>
      </c>
      <c r="I2861" s="35">
        <f>IFERROR(__xludf.DUMMYFUNCTION("""COMPUTED_VALUE"""),0.0)</f>
        <v>0</v>
      </c>
      <c r="J2861" s="35" t="str">
        <f>IFERROR(__xludf.DUMMYFUNCTION("""COMPUTED_VALUE"""),"&lt; 18 tahun")</f>
        <v>&lt; 18 tahun</v>
      </c>
      <c r="K2861" s="21" t="str">
        <f>IFERROR(__xludf.DUMMYFUNCTION("""COMPUTED_VALUE"""),"15/09/2025")</f>
        <v>15/09/2025</v>
      </c>
      <c r="L2861" s="21" t="str">
        <f>IFERROR(__xludf.DUMMYFUNCTION("""COMPUTED_VALUE"""),"PEREMPUAN")</f>
        <v>PEREMPUAN</v>
      </c>
      <c r="M2861" s="35" t="str">
        <f>IFERROR(__xludf.DUMMYFUNCTION("""COMPUTED_VALUE"""),"JALAN TEBU KOMP PERUM GURU NO 7")</f>
        <v>JALAN TEBU KOMP PERUM GURU NO 7</v>
      </c>
      <c r="N2861" s="35" t="str">
        <f>IFERROR(__xludf.DUMMYFUNCTION("""COMPUTED_VALUE"""),"SUNGAI BELIUNG")</f>
        <v>SUNGAI BELIUNG</v>
      </c>
      <c r="O2861" s="35" t="str">
        <f>IFERROR(__xludf.DUMMYFUNCTION("""COMPUTED_VALUE"""),"PONTIANAK BARAT")</f>
        <v>PONTIANAK BARAT</v>
      </c>
      <c r="P2861" s="35" t="str">
        <f>IFERROR(__xludf.DUMMYFUNCTION("""COMPUTED_VALUE"""),"PONTIANAK")</f>
        <v>PONTIANAK</v>
      </c>
      <c r="Q2861" s="35" t="str">
        <f>IFERROR(__xludf.DUMMYFUNCTION("""COMPUTED_VALUE"""),"KALIMANTAN BARAT")</f>
        <v>KALIMANTAN BARAT</v>
      </c>
      <c r="R2861" s="21" t="str">
        <f>IFERROR(__xludf.DUMMYFUNCTION("""COMPUTED_VALUE"""),"ISLAM")</f>
        <v>ISLAM</v>
      </c>
      <c r="S2861" s="74" t="str">
        <f>IFERROR(__xludf.DUMMYFUNCTION("""COMPUTED_VALUE"""),"PENSIUN")</f>
        <v>PENSIUN</v>
      </c>
      <c r="T2861" s="35" t="str">
        <f>IFERROR(__xludf.DUMMYFUNCTION("""COMPUTED_VALUE"""),"SYARAF KEJEPIT")</f>
        <v>SYARAF KEJEPIT</v>
      </c>
      <c r="U2861" s="35" t="str">
        <f>IFERROR(__xludf.DUMMYFUNCTION("""COMPUTED_VALUE"""),"KEGIATAN SEHARI SEHARI")</f>
        <v>KEGIATAN SEHARI SEHARI</v>
      </c>
      <c r="V2861" s="37" t="str">
        <f>IFERROR(__xludf.DUMMYFUNCTION("""COMPUTED_VALUE"""),"081649325104")</f>
        <v>081649325104</v>
      </c>
      <c r="W2861" s="45"/>
    </row>
    <row r="2862">
      <c r="A2862" s="45"/>
      <c r="B2862" s="24" t="str">
        <f>IFERROR(__xludf.DUMMYFUNCTION("""COMPUTED_VALUE"""),"15/09/2025 19:45:55")</f>
        <v>15/09/2025 19:45:55</v>
      </c>
      <c r="C2862" s="35"/>
      <c r="D2862" s="10">
        <f>IFERROR(__xludf.DUMMYFUNCTION("""COMPUTED_VALUE"""),45915.0)</f>
        <v>45915</v>
      </c>
      <c r="E2862" s="35" t="str">
        <f>IFERROR(__xludf.DUMMYFUNCTION("""COMPUTED_VALUE"""),"09Sep")</f>
        <v>09Sep</v>
      </c>
      <c r="F2862" s="34" t="str">
        <f>IFERROR(__xludf.DUMMYFUNCTION("""COMPUTED_VALUE"""),"2025")</f>
        <v>2025</v>
      </c>
      <c r="G2862" s="35" t="str">
        <f>IFERROR(__xludf.DUMMYFUNCTION("""COMPUTED_VALUE"""),"EDY HARTONO")</f>
        <v>EDY HARTONO</v>
      </c>
      <c r="H2862" s="35" t="str">
        <f>IFERROR(__xludf.DUMMYFUNCTION("""COMPUTED_VALUE"""),"E7525090355")</f>
        <v>E7525090355</v>
      </c>
      <c r="I2862" s="35">
        <f>IFERROR(__xludf.DUMMYFUNCTION("""COMPUTED_VALUE"""),51.0)</f>
        <v>51</v>
      </c>
      <c r="J2862" s="35" t="str">
        <f>IFERROR(__xludf.DUMMYFUNCTION("""COMPUTED_VALUE"""),"&gt; 44 tahun")</f>
        <v>&gt; 44 tahun</v>
      </c>
      <c r="K2862" s="21" t="str">
        <f>IFERROR(__xludf.DUMMYFUNCTION("""COMPUTED_VALUE"""),"23/05/1975")</f>
        <v>23/05/1975</v>
      </c>
      <c r="L2862" s="21" t="str">
        <f>IFERROR(__xludf.DUMMYFUNCTION("""COMPUTED_VALUE"""),"LAKI-LAKI")</f>
        <v>LAKI-LAKI</v>
      </c>
      <c r="M2862" s="35" t="str">
        <f>IFERROR(__xludf.DUMMYFUNCTION("""COMPUTED_VALUE"""),"JL PURNAMA KOMPLEK PERMATA PURNAMA NO F4")</f>
        <v>JL PURNAMA KOMPLEK PERMATA PURNAMA NO F4</v>
      </c>
      <c r="N2862" s="35" t="str">
        <f>IFERROR(__xludf.DUMMYFUNCTION("""COMPUTED_VALUE"""),"PARIT TOKAYA")</f>
        <v>PARIT TOKAYA</v>
      </c>
      <c r="O2862" s="35" t="str">
        <f>IFERROR(__xludf.DUMMYFUNCTION("""COMPUTED_VALUE"""),"PONTIANAK SELATAN")</f>
        <v>PONTIANAK SELATAN</v>
      </c>
      <c r="P2862" s="35" t="str">
        <f>IFERROR(__xludf.DUMMYFUNCTION("""COMPUTED_VALUE"""),"PONTIANAK")</f>
        <v>PONTIANAK</v>
      </c>
      <c r="Q2862" s="35" t="str">
        <f>IFERROR(__xludf.DUMMYFUNCTION("""COMPUTED_VALUE"""),"KALIMANTAN BARAT")</f>
        <v>KALIMANTAN BARAT</v>
      </c>
      <c r="R2862" s="21" t="str">
        <f>IFERROR(__xludf.DUMMYFUNCTION("""COMPUTED_VALUE"""),"PROTESTAN")</f>
        <v>PROTESTAN</v>
      </c>
      <c r="S2862" s="74" t="str">
        <f>IFERROR(__xludf.DUMMYFUNCTION("""COMPUTED_VALUE"""),"WIRAUSAHA")</f>
        <v>WIRAUSAHA</v>
      </c>
      <c r="T2862" s="35" t="str">
        <f>IFERROR(__xludf.DUMMYFUNCTION("""COMPUTED_VALUE"""),"SAKIT DI BAHU")</f>
        <v>SAKIT DI BAHU</v>
      </c>
      <c r="U2862" s="35" t="str">
        <f>IFERROR(__xludf.DUMMYFUNCTION("""COMPUTED_VALUE"""),"KARENA PUSH UP")</f>
        <v>KARENA PUSH UP</v>
      </c>
      <c r="V2862" s="37" t="str">
        <f>IFERROR(__xludf.DUMMYFUNCTION("""COMPUTED_VALUE"""),"08195680355")</f>
        <v>08195680355</v>
      </c>
      <c r="W2862" s="45"/>
    </row>
    <row r="2863">
      <c r="A2863" s="45"/>
      <c r="B2863" s="24" t="str">
        <f>IFERROR(__xludf.DUMMYFUNCTION("""COMPUTED_VALUE"""),"15/09/2025 19:49:27")</f>
        <v>15/09/2025 19:49:27</v>
      </c>
      <c r="C2863" s="35"/>
      <c r="D2863" s="10">
        <f>IFERROR(__xludf.DUMMYFUNCTION("""COMPUTED_VALUE"""),45915.0)</f>
        <v>45915</v>
      </c>
      <c r="E2863" s="35" t="str">
        <f>IFERROR(__xludf.DUMMYFUNCTION("""COMPUTED_VALUE"""),"09Sep")</f>
        <v>09Sep</v>
      </c>
      <c r="F2863" s="34" t="str">
        <f>IFERROR(__xludf.DUMMYFUNCTION("""COMPUTED_VALUE"""),"2025")</f>
        <v>2025</v>
      </c>
      <c r="G2863" s="35" t="str">
        <f>IFERROR(__xludf.DUMMYFUNCTION("""COMPUTED_VALUE"""),"KHOU AI NA")</f>
        <v>KHOU AI NA</v>
      </c>
      <c r="H2863" s="35" t="str">
        <f>IFERROR(__xludf.DUMMYFUNCTION("""COMPUTED_VALUE"""),"K7925099117")</f>
        <v>K7925099117</v>
      </c>
      <c r="I2863" s="35">
        <f>IFERROR(__xludf.DUMMYFUNCTION("""COMPUTED_VALUE"""),46.0)</f>
        <v>46</v>
      </c>
      <c r="J2863" s="35" t="str">
        <f>IFERROR(__xludf.DUMMYFUNCTION("""COMPUTED_VALUE"""),"&gt; 44 tahun")</f>
        <v>&gt; 44 tahun</v>
      </c>
      <c r="K2863" s="21" t="str">
        <f>IFERROR(__xludf.DUMMYFUNCTION("""COMPUTED_VALUE"""),"17/07/1979")</f>
        <v>17/07/1979</v>
      </c>
      <c r="L2863" s="21" t="str">
        <f>IFERROR(__xludf.DUMMYFUNCTION("""COMPUTED_VALUE"""),"PEREMPUAN")</f>
        <v>PEREMPUAN</v>
      </c>
      <c r="M2863" s="35" t="str">
        <f>IFERROR(__xludf.DUMMYFUNCTION("""COMPUTED_VALUE"""),"JL PURNAMA KOMPLEK PERMATA PURNAMA NO F4")</f>
        <v>JL PURNAMA KOMPLEK PERMATA PURNAMA NO F4</v>
      </c>
      <c r="N2863" s="35" t="str">
        <f>IFERROR(__xludf.DUMMYFUNCTION("""COMPUTED_VALUE"""),"PARIT TOKAYA")</f>
        <v>PARIT TOKAYA</v>
      </c>
      <c r="O2863" s="35" t="str">
        <f>IFERROR(__xludf.DUMMYFUNCTION("""COMPUTED_VALUE"""),"PONTIANAK SELATAN")</f>
        <v>PONTIANAK SELATAN</v>
      </c>
      <c r="P2863" s="35" t="str">
        <f>IFERROR(__xludf.DUMMYFUNCTION("""COMPUTED_VALUE"""),"PONTIANAK")</f>
        <v>PONTIANAK</v>
      </c>
      <c r="Q2863" s="35" t="str">
        <f>IFERROR(__xludf.DUMMYFUNCTION("""COMPUTED_VALUE"""),"KALIMANTAN BARAT")</f>
        <v>KALIMANTAN BARAT</v>
      </c>
      <c r="R2863" s="21" t="str">
        <f>IFERROR(__xludf.DUMMYFUNCTION("""COMPUTED_VALUE"""),"PROTESTAN")</f>
        <v>PROTESTAN</v>
      </c>
      <c r="S2863" s="74" t="str">
        <f>IFERROR(__xludf.DUMMYFUNCTION("""COMPUTED_VALUE"""),"IBU RUMAH TANGGA")</f>
        <v>IBU RUMAH TANGGA</v>
      </c>
      <c r="T2863" s="35" t="str">
        <f>IFERROR(__xludf.DUMMYFUNCTION("""COMPUTED_VALUE"""),"TANGAN SAKIT")</f>
        <v>TANGAN SAKIT</v>
      </c>
      <c r="U2863" s="35" t="str">
        <f>IFERROR(__xludf.DUMMYFUNCTION("""COMPUTED_VALUE"""),"GYM")</f>
        <v>GYM</v>
      </c>
      <c r="V2863" s="37" t="str">
        <f>IFERROR(__xludf.DUMMYFUNCTION("""COMPUTED_VALUE"""),"089517509117")</f>
        <v>089517509117</v>
      </c>
      <c r="W2863" s="45"/>
    </row>
    <row r="2864">
      <c r="A2864" s="45"/>
      <c r="B2864" s="24" t="str">
        <f>IFERROR(__xludf.DUMMYFUNCTION("""COMPUTED_VALUE"""),"16/09/2025 11:10:10")</f>
        <v>16/09/2025 11:10:10</v>
      </c>
      <c r="C2864" s="35"/>
      <c r="D2864" s="10">
        <f>IFERROR(__xludf.DUMMYFUNCTION("""COMPUTED_VALUE"""),45916.0)</f>
        <v>45916</v>
      </c>
      <c r="E2864" s="35" t="str">
        <f>IFERROR(__xludf.DUMMYFUNCTION("""COMPUTED_VALUE"""),"09Sep")</f>
        <v>09Sep</v>
      </c>
      <c r="F2864" s="34" t="str">
        <f>IFERROR(__xludf.DUMMYFUNCTION("""COMPUTED_VALUE"""),"2025")</f>
        <v>2025</v>
      </c>
      <c r="G2864" s="35" t="str">
        <f>IFERROR(__xludf.DUMMYFUNCTION("""COMPUTED_VALUE"""),"ALIF FISAYIDIN")</f>
        <v>ALIF FISAYIDIN</v>
      </c>
      <c r="H2864" s="35" t="str">
        <f>IFERROR(__xludf.DUMMYFUNCTION("""COMPUTED_VALUE"""),"A9925094720")</f>
        <v>A9925094720</v>
      </c>
      <c r="I2864" s="35">
        <f>IFERROR(__xludf.DUMMYFUNCTION("""COMPUTED_VALUE"""),26.0)</f>
        <v>26</v>
      </c>
      <c r="J2864" s="35" t="str">
        <f>IFERROR(__xludf.DUMMYFUNCTION("""COMPUTED_VALUE"""),"25-34 tahun")</f>
        <v>25-34 tahun</v>
      </c>
      <c r="K2864" s="21" t="str">
        <f>IFERROR(__xludf.DUMMYFUNCTION("""COMPUTED_VALUE"""),"07/08/1999")</f>
        <v>07/08/1999</v>
      </c>
      <c r="L2864" s="21" t="str">
        <f>IFERROR(__xludf.DUMMYFUNCTION("""COMPUTED_VALUE"""),"LAKI-LAKI")</f>
        <v>LAKI-LAKI</v>
      </c>
      <c r="M2864" s="35" t="str">
        <f>IFERROR(__xludf.DUMMYFUNCTION("""COMPUTED_VALUE"""),"JL. DR. WAHIDIN. S. KOMP BATARA INDAH I BLOK A NO. 8")</f>
        <v>JL. DR. WAHIDIN. S. KOMP BATARA INDAH I BLOK A NO. 8</v>
      </c>
      <c r="N2864" s="35" t="str">
        <f>IFERROR(__xludf.DUMMYFUNCTION("""COMPUTED_VALUE"""),"SUNGAI JAWI")</f>
        <v>SUNGAI JAWI</v>
      </c>
      <c r="O2864" s="35" t="str">
        <f>IFERROR(__xludf.DUMMYFUNCTION("""COMPUTED_VALUE"""),"PONTIANAK KOTA")</f>
        <v>PONTIANAK KOTA</v>
      </c>
      <c r="P2864" s="35" t="str">
        <f>IFERROR(__xludf.DUMMYFUNCTION("""COMPUTED_VALUE"""),"KOTA PONTIANAK")</f>
        <v>KOTA PONTIANAK</v>
      </c>
      <c r="Q2864" s="35" t="str">
        <f>IFERROR(__xludf.DUMMYFUNCTION("""COMPUTED_VALUE"""),"KALIMANTAN BARAT")</f>
        <v>KALIMANTAN BARAT</v>
      </c>
      <c r="R2864" s="21" t="str">
        <f>IFERROR(__xludf.DUMMYFUNCTION("""COMPUTED_VALUE"""),"ISLAM")</f>
        <v>ISLAM</v>
      </c>
      <c r="S2864" s="74" t="str">
        <f>IFERROR(__xludf.DUMMYFUNCTION("""COMPUTED_VALUE"""),"WIRASWASTA")</f>
        <v>WIRASWASTA</v>
      </c>
      <c r="T2864" s="35" t="str">
        <f>IFERROR(__xludf.DUMMYFUNCTION("""COMPUTED_VALUE"""),"BAGIAN LUTUT")</f>
        <v>BAGIAN LUTUT</v>
      </c>
      <c r="U2864" s="35" t="str">
        <f>IFERROR(__xludf.DUMMYFUNCTION("""COMPUTED_VALUE"""),"SEPAK BOLA")</f>
        <v>SEPAK BOLA</v>
      </c>
      <c r="V2864" s="37" t="str">
        <f>IFERROR(__xludf.DUMMYFUNCTION("""COMPUTED_VALUE"""),"085750564720")</f>
        <v>085750564720</v>
      </c>
      <c r="W2864" s="45"/>
    </row>
    <row r="2865">
      <c r="A2865" s="45"/>
      <c r="B2865" s="24" t="str">
        <f>IFERROR(__xludf.DUMMYFUNCTION("""COMPUTED_VALUE"""),"16/09/2025 21:07:53")</f>
        <v>16/09/2025 21:07:53</v>
      </c>
      <c r="C2865" s="35"/>
      <c r="D2865" s="10">
        <f>IFERROR(__xludf.DUMMYFUNCTION("""COMPUTED_VALUE"""),45917.0)</f>
        <v>45917</v>
      </c>
      <c r="E2865" s="35" t="str">
        <f>IFERROR(__xludf.DUMMYFUNCTION("""COMPUTED_VALUE"""),"09Sep")</f>
        <v>09Sep</v>
      </c>
      <c r="F2865" s="34" t="str">
        <f>IFERROR(__xludf.DUMMYFUNCTION("""COMPUTED_VALUE"""),"2025")</f>
        <v>2025</v>
      </c>
      <c r="G2865" s="35" t="str">
        <f>IFERROR(__xludf.DUMMYFUNCTION("""COMPUTED_VALUE"""),"RICKY THERISNO")</f>
        <v>RICKY THERISNO</v>
      </c>
      <c r="H2865" s="35" t="str">
        <f>IFERROR(__xludf.DUMMYFUNCTION("""COMPUTED_VALUE"""),"R9725098379")</f>
        <v>R9725098379</v>
      </c>
      <c r="I2865" s="35">
        <f>IFERROR(__xludf.DUMMYFUNCTION("""COMPUTED_VALUE"""),28.0)</f>
        <v>28</v>
      </c>
      <c r="J2865" s="35" t="str">
        <f>IFERROR(__xludf.DUMMYFUNCTION("""COMPUTED_VALUE"""),"25-34 tahun")</f>
        <v>25-34 tahun</v>
      </c>
      <c r="K2865" s="21" t="str">
        <f>IFERROR(__xludf.DUMMYFUNCTION("""COMPUTED_VALUE"""),"14/10/1997")</f>
        <v>14/10/1997</v>
      </c>
      <c r="L2865" s="21" t="str">
        <f>IFERROR(__xludf.DUMMYFUNCTION("""COMPUTED_VALUE"""),"LAKI-LAKI")</f>
        <v>LAKI-LAKI</v>
      </c>
      <c r="M2865" s="35" t="str">
        <f>IFERROR(__xludf.DUMMYFUNCTION("""COMPUTED_VALUE"""),"SIAGA NO 7")</f>
        <v>SIAGA NO 7</v>
      </c>
      <c r="N2865" s="35" t="str">
        <f>IFERROR(__xludf.DUMMYFUNCTION("""COMPUTED_VALUE"""),"SUNGAI RAYA")</f>
        <v>SUNGAI RAYA</v>
      </c>
      <c r="O2865" s="35" t="str">
        <f>IFERROR(__xludf.DUMMYFUNCTION("""COMPUTED_VALUE"""),"KUBURAYA")</f>
        <v>KUBURAYA</v>
      </c>
      <c r="P2865" s="35" t="str">
        <f>IFERROR(__xludf.DUMMYFUNCTION("""COMPUTED_VALUE"""),"KUBURAYA")</f>
        <v>KUBURAYA</v>
      </c>
      <c r="Q2865" s="35" t="str">
        <f>IFERROR(__xludf.DUMMYFUNCTION("""COMPUTED_VALUE"""),"KALBAR")</f>
        <v>KALBAR</v>
      </c>
      <c r="R2865" s="21" t="str">
        <f>IFERROR(__xludf.DUMMYFUNCTION("""COMPUTED_VALUE"""),"BUDDHA")</f>
        <v>BUDDHA</v>
      </c>
      <c r="S2865" s="74" t="str">
        <f>IFERROR(__xludf.DUMMYFUNCTION("""COMPUTED_VALUE"""),"PEGAWAI SWASTA")</f>
        <v>PEGAWAI SWASTA</v>
      </c>
      <c r="T2865" s="35" t="str">
        <f>IFERROR(__xludf.DUMMYFUNCTION("""COMPUTED_VALUE"""),"PUNGGUNG SAKIT DAN POSTUR TUBUH")</f>
        <v>PUNGGUNG SAKIT DAN POSTUR TUBUH</v>
      </c>
      <c r="U2865" s="35" t="str">
        <f>IFERROR(__xludf.DUMMYFUNCTION("""COMPUTED_VALUE"""),"DUDUK SEHARIAN")</f>
        <v>DUDUK SEHARIAN</v>
      </c>
      <c r="V2865" s="37" t="str">
        <f>IFERROR(__xludf.DUMMYFUNCTION("""COMPUTED_VALUE"""),"08972298379")</f>
        <v>08972298379</v>
      </c>
      <c r="W2865" s="45"/>
    </row>
    <row r="2866">
      <c r="A2866" s="45"/>
      <c r="B2866" s="24" t="str">
        <f>IFERROR(__xludf.DUMMYFUNCTION("""COMPUTED_VALUE"""),"17/09/2025 10:24:08")</f>
        <v>17/09/2025 10:24:08</v>
      </c>
      <c r="C2866" s="35"/>
      <c r="D2866" s="10">
        <f>IFERROR(__xludf.DUMMYFUNCTION("""COMPUTED_VALUE"""),45917.0)</f>
        <v>45917</v>
      </c>
      <c r="E2866" s="35" t="str">
        <f>IFERROR(__xludf.DUMMYFUNCTION("""COMPUTED_VALUE"""),"09Sep")</f>
        <v>09Sep</v>
      </c>
      <c r="F2866" s="34" t="str">
        <f>IFERROR(__xludf.DUMMYFUNCTION("""COMPUTED_VALUE"""),"2025")</f>
        <v>2025</v>
      </c>
      <c r="G2866" s="35" t="str">
        <f>IFERROR(__xludf.DUMMYFUNCTION("""COMPUTED_VALUE"""),"NANANG RADENDRA")</f>
        <v>NANANG RADENDRA</v>
      </c>
      <c r="H2866" s="35" t="str">
        <f>IFERROR(__xludf.DUMMYFUNCTION("""COMPUTED_VALUE"""),"N8825093456")</f>
        <v>N8825093456</v>
      </c>
      <c r="I2866" s="35">
        <f>IFERROR(__xludf.DUMMYFUNCTION("""COMPUTED_VALUE"""),38.0)</f>
        <v>38</v>
      </c>
      <c r="J2866" s="35" t="str">
        <f>IFERROR(__xludf.DUMMYFUNCTION("""COMPUTED_VALUE"""),"35-44 tahun")</f>
        <v>35-44 tahun</v>
      </c>
      <c r="K2866" s="21" t="str">
        <f>IFERROR(__xludf.DUMMYFUNCTION("""COMPUTED_VALUE"""),"24/05/1988")</f>
        <v>24/05/1988</v>
      </c>
      <c r="L2866" s="21" t="str">
        <f>IFERROR(__xludf.DUMMYFUNCTION("""COMPUTED_VALUE"""),"LAKI-LAKI")</f>
        <v>LAKI-LAKI</v>
      </c>
      <c r="M2866" s="35" t="str">
        <f>IFERROR(__xludf.DUMMYFUNCTION("""COMPUTED_VALUE"""),"JALAN ADISUCIPTO GG. M. SALEH NOMOR 7")</f>
        <v>JALAN ADISUCIPTO GG. M. SALEH NOMOR 7</v>
      </c>
      <c r="N2866" s="35" t="str">
        <f>IFERROR(__xludf.DUMMYFUNCTION("""COMPUTED_VALUE"""),"SUNGAI RAYA")</f>
        <v>SUNGAI RAYA</v>
      </c>
      <c r="O2866" s="35" t="str">
        <f>IFERROR(__xludf.DUMMYFUNCTION("""COMPUTED_VALUE"""),"SUNGAI RAYA")</f>
        <v>SUNGAI RAYA</v>
      </c>
      <c r="P2866" s="35" t="str">
        <f>IFERROR(__xludf.DUMMYFUNCTION("""COMPUTED_VALUE"""),"KUBU RAYA")</f>
        <v>KUBU RAYA</v>
      </c>
      <c r="Q2866" s="35" t="str">
        <f>IFERROR(__xludf.DUMMYFUNCTION("""COMPUTED_VALUE"""),"KALIMANTAN BARAT")</f>
        <v>KALIMANTAN BARAT</v>
      </c>
      <c r="R2866" s="21" t="str">
        <f>IFERROR(__xludf.DUMMYFUNCTION("""COMPUTED_VALUE"""),"ISLAM")</f>
        <v>ISLAM</v>
      </c>
      <c r="S2866" s="74" t="str">
        <f>IFERROR(__xludf.DUMMYFUNCTION("""COMPUTED_VALUE"""),"PNS")</f>
        <v>PNS</v>
      </c>
      <c r="T2866" s="35" t="str">
        <f>IFERROR(__xludf.DUMMYFUNCTION("""COMPUTED_VALUE"""),"NYERI DI PINGGANG BELAKANG")</f>
        <v>NYERI DI PINGGANG BELAKANG</v>
      </c>
      <c r="U2866" s="35" t="str">
        <f>IFERROR(__xludf.DUMMYFUNCTION("""COMPUTED_VALUE"""),"JALAN KAKI")</f>
        <v>JALAN KAKI</v>
      </c>
      <c r="V2866" s="37" t="str">
        <f>IFERROR(__xludf.DUMMYFUNCTION("""COMPUTED_VALUE"""),"085387923456")</f>
        <v>085387923456</v>
      </c>
      <c r="W2866" s="45"/>
    </row>
    <row r="2867">
      <c r="A2867" s="45"/>
      <c r="B2867" s="24" t="str">
        <f>IFERROR(__xludf.DUMMYFUNCTION("""COMPUTED_VALUE"""),"16/09/2025 18:16:20")</f>
        <v>16/09/2025 18:16:20</v>
      </c>
      <c r="C2867" s="35"/>
      <c r="D2867" s="10">
        <f>IFERROR(__xludf.DUMMYFUNCTION("""COMPUTED_VALUE"""),45917.0)</f>
        <v>45917</v>
      </c>
      <c r="E2867" s="35" t="str">
        <f>IFERROR(__xludf.DUMMYFUNCTION("""COMPUTED_VALUE"""),"09Sep")</f>
        <v>09Sep</v>
      </c>
      <c r="F2867" s="34" t="str">
        <f>IFERROR(__xludf.DUMMYFUNCTION("""COMPUTED_VALUE"""),"2025")</f>
        <v>2025</v>
      </c>
      <c r="G2867" s="35" t="str">
        <f>IFERROR(__xludf.DUMMYFUNCTION("""COMPUTED_VALUE"""),"PUJI MULYANI")</f>
        <v>PUJI MULYANI</v>
      </c>
      <c r="H2867" s="35" t="str">
        <f>IFERROR(__xludf.DUMMYFUNCTION("""COMPUTED_VALUE"""),"P7525096189")</f>
        <v>P7525096189</v>
      </c>
      <c r="I2867" s="35">
        <f>IFERROR(__xludf.DUMMYFUNCTION("""COMPUTED_VALUE"""),51.0)</f>
        <v>51</v>
      </c>
      <c r="J2867" s="35" t="str">
        <f>IFERROR(__xludf.DUMMYFUNCTION("""COMPUTED_VALUE"""),"&gt; 44 tahun")</f>
        <v>&gt; 44 tahun</v>
      </c>
      <c r="K2867" s="21" t="str">
        <f>IFERROR(__xludf.DUMMYFUNCTION("""COMPUTED_VALUE"""),"04/06/1975")</f>
        <v>04/06/1975</v>
      </c>
      <c r="L2867" s="21" t="str">
        <f>IFERROR(__xludf.DUMMYFUNCTION("""COMPUTED_VALUE"""),"PEREMPUAN")</f>
        <v>PEREMPUAN</v>
      </c>
      <c r="M2867" s="35" t="str">
        <f>IFERROR(__xludf.DUMMYFUNCTION("""COMPUTED_VALUE"""),"JLN. AMPERA")</f>
        <v>JLN. AMPERA</v>
      </c>
      <c r="N2867" s="35" t="str">
        <f>IFERROR(__xludf.DUMMYFUNCTION("""COMPUTED_VALUE"""),"SUNGAI BANGKONG")</f>
        <v>SUNGAI BANGKONG</v>
      </c>
      <c r="O2867" s="35" t="str">
        <f>IFERROR(__xludf.DUMMYFUNCTION("""COMPUTED_VALUE"""),"PTK KOTA")</f>
        <v>PTK KOTA</v>
      </c>
      <c r="P2867" s="35" t="str">
        <f>IFERROR(__xludf.DUMMYFUNCTION("""COMPUTED_VALUE"""),"KOTA PTK")</f>
        <v>KOTA PTK</v>
      </c>
      <c r="Q2867" s="35" t="str">
        <f>IFERROR(__xludf.DUMMYFUNCTION("""COMPUTED_VALUE"""),"KALBAR")</f>
        <v>KALBAR</v>
      </c>
      <c r="R2867" s="21" t="str">
        <f>IFERROR(__xludf.DUMMYFUNCTION("""COMPUTED_VALUE"""),"ISLAM")</f>
        <v>ISLAM</v>
      </c>
      <c r="S2867" s="74" t="str">
        <f>IFERROR(__xludf.DUMMYFUNCTION("""COMPUTED_VALUE"""),"PNS")</f>
        <v>PNS</v>
      </c>
      <c r="T2867" s="35" t="str">
        <f>IFERROR(__xludf.DUMMYFUNCTION("""COMPUTED_VALUE"""),"SAKIT PADA KAKI")</f>
        <v>SAKIT PADA KAKI</v>
      </c>
      <c r="U2867" s="35" t="str">
        <f>IFERROR(__xludf.DUMMYFUNCTION("""COMPUTED_VALUE"""),"OLAH RAGA (JALAN KAKI)")</f>
        <v>OLAH RAGA (JALAN KAKI)</v>
      </c>
      <c r="V2867" s="37" t="str">
        <f>IFERROR(__xludf.DUMMYFUNCTION("""COMPUTED_VALUE"""),"085245156189")</f>
        <v>085245156189</v>
      </c>
      <c r="W2867" s="45"/>
    </row>
    <row r="2868">
      <c r="A2868" s="45"/>
      <c r="B2868" s="24" t="str">
        <f>IFERROR(__xludf.DUMMYFUNCTION("""COMPUTED_VALUE"""),"17/09/2025 13:02:10")</f>
        <v>17/09/2025 13:02:10</v>
      </c>
      <c r="C2868" s="35"/>
      <c r="D2868" s="10">
        <f>IFERROR(__xludf.DUMMYFUNCTION("""COMPUTED_VALUE"""),45917.0)</f>
        <v>45917</v>
      </c>
      <c r="E2868" s="35" t="str">
        <f>IFERROR(__xludf.DUMMYFUNCTION("""COMPUTED_VALUE"""),"09Sep")</f>
        <v>09Sep</v>
      </c>
      <c r="F2868" s="34" t="str">
        <f>IFERROR(__xludf.DUMMYFUNCTION("""COMPUTED_VALUE"""),"2025")</f>
        <v>2025</v>
      </c>
      <c r="G2868" s="35" t="str">
        <f>IFERROR(__xludf.DUMMYFUNCTION("""COMPUTED_VALUE"""),"FATMAWATI")</f>
        <v>FATMAWATI</v>
      </c>
      <c r="H2868" s="35" t="str">
        <f>IFERROR(__xludf.DUMMYFUNCTION("""COMPUTED_VALUE"""),"F6925098775")</f>
        <v>F6925098775</v>
      </c>
      <c r="I2868" s="35">
        <f>IFERROR(__xludf.DUMMYFUNCTION("""COMPUTED_VALUE"""),56.0)</f>
        <v>56</v>
      </c>
      <c r="J2868" s="35" t="str">
        <f>IFERROR(__xludf.DUMMYFUNCTION("""COMPUTED_VALUE"""),"&gt; 44 tahun")</f>
        <v>&gt; 44 tahun</v>
      </c>
      <c r="K2868" s="21" t="str">
        <f>IFERROR(__xludf.DUMMYFUNCTION("""COMPUTED_VALUE"""),"28/10/1969")</f>
        <v>28/10/1969</v>
      </c>
      <c r="L2868" s="21" t="str">
        <f>IFERROR(__xludf.DUMMYFUNCTION("""COMPUTED_VALUE"""),"PEREMPUAN")</f>
        <v>PEREMPUAN</v>
      </c>
      <c r="M2868" s="35" t="str">
        <f>IFERROR(__xludf.DUMMYFUNCTION("""COMPUTED_VALUE"""),"JL SUKA MULOA KOMP SUKMA")</f>
        <v>JL SUKA MULOA KOMP SUKMA</v>
      </c>
      <c r="N2868" s="35" t="str">
        <f>IFERROR(__xludf.DUMMYFUNCTION("""COMPUTED_VALUE"""),"SUNGAI JAWI")</f>
        <v>SUNGAI JAWI</v>
      </c>
      <c r="O2868" s="35" t="str">
        <f>IFERROR(__xludf.DUMMYFUNCTION("""COMPUTED_VALUE"""),"PONTIANAK KOTA")</f>
        <v>PONTIANAK KOTA</v>
      </c>
      <c r="P2868" s="35" t="str">
        <f>IFERROR(__xludf.DUMMYFUNCTION("""COMPUTED_VALUE"""),"PONTIANAK")</f>
        <v>PONTIANAK</v>
      </c>
      <c r="Q2868" s="35" t="str">
        <f>IFERROR(__xludf.DUMMYFUNCTION("""COMPUTED_VALUE"""),"KALIMANTAN BARAT")</f>
        <v>KALIMANTAN BARAT</v>
      </c>
      <c r="R2868" s="21" t="str">
        <f>IFERROR(__xludf.DUMMYFUNCTION("""COMPUTED_VALUE"""),"BUDDHA")</f>
        <v>BUDDHA</v>
      </c>
      <c r="S2868" s="74" t="str">
        <f>IFERROR(__xludf.DUMMYFUNCTION("""COMPUTED_VALUE"""),"IRT")</f>
        <v>IRT</v>
      </c>
      <c r="T2868" s="35" t="str">
        <f>IFERROR(__xludf.DUMMYFUNCTION("""COMPUTED_VALUE"""),"LUTUT (POST OP TKR)")</f>
        <v>LUTUT (POST OP TKR)</v>
      </c>
      <c r="U2868" s="35" t="str">
        <f>IFERROR(__xludf.DUMMYFUNCTION("""COMPUTED_VALUE"""),"PEKERJAAAN RUMAH TANGGA")</f>
        <v>PEKERJAAAN RUMAH TANGGA</v>
      </c>
      <c r="V2868" s="37" t="str">
        <f>IFERROR(__xludf.DUMMYFUNCTION("""COMPUTED_VALUE"""),"08951998775")</f>
        <v>08951998775</v>
      </c>
      <c r="W2868" s="45"/>
    </row>
    <row r="2869">
      <c r="A2869" s="45"/>
      <c r="B2869" s="24" t="str">
        <f>IFERROR(__xludf.DUMMYFUNCTION("""COMPUTED_VALUE"""),"17/09/2025 16:02:54")</f>
        <v>17/09/2025 16:02:54</v>
      </c>
      <c r="C2869" s="35"/>
      <c r="D2869" s="10">
        <f>IFERROR(__xludf.DUMMYFUNCTION("""COMPUTED_VALUE"""),45917.0)</f>
        <v>45917</v>
      </c>
      <c r="E2869" s="35" t="str">
        <f>IFERROR(__xludf.DUMMYFUNCTION("""COMPUTED_VALUE"""),"09Sep")</f>
        <v>09Sep</v>
      </c>
      <c r="F2869" s="34" t="str">
        <f>IFERROR(__xludf.DUMMYFUNCTION("""COMPUTED_VALUE"""),"2025")</f>
        <v>2025</v>
      </c>
      <c r="G2869" s="35" t="str">
        <f>IFERROR(__xludf.DUMMYFUNCTION("""COMPUTED_VALUE"""),"HARTONO")</f>
        <v>HARTONO</v>
      </c>
      <c r="H2869" s="35" t="str">
        <f>IFERROR(__xludf.DUMMYFUNCTION("""COMPUTED_VALUE"""),"H8825094803")</f>
        <v>H8825094803</v>
      </c>
      <c r="I2869" s="35">
        <f>IFERROR(__xludf.DUMMYFUNCTION("""COMPUTED_VALUE"""),38.0)</f>
        <v>38</v>
      </c>
      <c r="J2869" s="35" t="str">
        <f>IFERROR(__xludf.DUMMYFUNCTION("""COMPUTED_VALUE"""),"35-44 tahun")</f>
        <v>35-44 tahun</v>
      </c>
      <c r="K2869" s="21" t="str">
        <f>IFERROR(__xludf.DUMMYFUNCTION("""COMPUTED_VALUE"""),"25/05/1988")</f>
        <v>25/05/1988</v>
      </c>
      <c r="L2869" s="21" t="str">
        <f>IFERROR(__xludf.DUMMYFUNCTION("""COMPUTED_VALUE"""),"LAKI-LAKI")</f>
        <v>LAKI-LAKI</v>
      </c>
      <c r="M2869" s="35" t="str">
        <f>IFERROR(__xludf.DUMMYFUNCTION("""COMPUTED_VALUE"""),"DUSUN SIDOMULYO")</f>
        <v>DUSUN SIDOMULYO</v>
      </c>
      <c r="N2869" s="35" t="str">
        <f>IFERROR(__xludf.DUMMYFUNCTION("""COMPUTED_VALUE"""),"DAK JAYA")</f>
        <v>DAK JAYA</v>
      </c>
      <c r="O2869" s="35" t="str">
        <f>IFERROR(__xludf.DUMMYFUNCTION("""COMPUTED_VALUE"""),"BINJAI HULU")</f>
        <v>BINJAI HULU</v>
      </c>
      <c r="P2869" s="35" t="str">
        <f>IFERROR(__xludf.DUMMYFUNCTION("""COMPUTED_VALUE"""),"SINTANG")</f>
        <v>SINTANG</v>
      </c>
      <c r="Q2869" s="35" t="str">
        <f>IFERROR(__xludf.DUMMYFUNCTION("""COMPUTED_VALUE"""),"KALIMANTAN BARAT")</f>
        <v>KALIMANTAN BARAT</v>
      </c>
      <c r="R2869" s="21" t="str">
        <f>IFERROR(__xludf.DUMMYFUNCTION("""COMPUTED_VALUE"""),"ISLAM")</f>
        <v>ISLAM</v>
      </c>
      <c r="S2869" s="74" t="str">
        <f>IFERROR(__xludf.DUMMYFUNCTION("""COMPUTED_VALUE"""),"KARYAWAN SWASTA")</f>
        <v>KARYAWAN SWASTA</v>
      </c>
      <c r="T2869" s="35" t="str">
        <f>IFERROR(__xludf.DUMMYFUNCTION("""COMPUTED_VALUE"""),"PINGGANG SAMPAI KAKI")</f>
        <v>PINGGANG SAMPAI KAKI</v>
      </c>
      <c r="U2869" s="35" t="str">
        <f>IFERROR(__xludf.DUMMYFUNCTION("""COMPUTED_VALUE"""),"-")</f>
        <v>-</v>
      </c>
      <c r="V2869" s="37" t="str">
        <f>IFERROR(__xludf.DUMMYFUNCTION("""COMPUTED_VALUE"""),"085754824803")</f>
        <v>085754824803</v>
      </c>
      <c r="W2869" s="45"/>
    </row>
    <row r="2870">
      <c r="A2870" s="45"/>
      <c r="B2870" s="24" t="str">
        <f>IFERROR(__xludf.DUMMYFUNCTION("""COMPUTED_VALUE"""),"15/09/2025 17:27:54")</f>
        <v>15/09/2025 17:27:54</v>
      </c>
      <c r="C2870" s="35"/>
      <c r="D2870" s="10">
        <f>IFERROR(__xludf.DUMMYFUNCTION("""COMPUTED_VALUE"""),45918.0)</f>
        <v>45918</v>
      </c>
      <c r="E2870" s="35" t="str">
        <f>IFERROR(__xludf.DUMMYFUNCTION("""COMPUTED_VALUE"""),"09Sep")</f>
        <v>09Sep</v>
      </c>
      <c r="F2870" s="34" t="str">
        <f>IFERROR(__xludf.DUMMYFUNCTION("""COMPUTED_VALUE"""),"2025")</f>
        <v>2025</v>
      </c>
      <c r="G2870" s="35" t="str">
        <f>IFERROR(__xludf.DUMMYFUNCTION("""COMPUTED_VALUE"""),"NG SIA CIN")</f>
        <v>NG SIA CIN</v>
      </c>
      <c r="H2870" s="35" t="str">
        <f>IFERROR(__xludf.DUMMYFUNCTION("""COMPUTED_VALUE"""),"N5825097333")</f>
        <v>N5825097333</v>
      </c>
      <c r="I2870" s="35">
        <f>IFERROR(__xludf.DUMMYFUNCTION("""COMPUTED_VALUE"""),67.0)</f>
        <v>67</v>
      </c>
      <c r="J2870" s="35" t="str">
        <f>IFERROR(__xludf.DUMMYFUNCTION("""COMPUTED_VALUE"""),"&gt; 44 tahun")</f>
        <v>&gt; 44 tahun</v>
      </c>
      <c r="K2870" s="21" t="str">
        <f>IFERROR(__xludf.DUMMYFUNCTION("""COMPUTED_VALUE"""),"23/10/1958")</f>
        <v>23/10/1958</v>
      </c>
      <c r="L2870" s="21" t="str">
        <f>IFERROR(__xludf.DUMMYFUNCTION("""COMPUTED_VALUE"""),"PEREMPUAN")</f>
        <v>PEREMPUAN</v>
      </c>
      <c r="M2870" s="35" t="str">
        <f>IFERROR(__xludf.DUMMYFUNCTION("""COMPUTED_VALUE"""),"JL. JURUSAN ANJUNGAN")</f>
        <v>JL. JURUSAN ANJUNGAN</v>
      </c>
      <c r="N2870" s="35" t="str">
        <f>IFERROR(__xludf.DUMMYFUNCTION("""COMPUTED_VALUE"""),"SUNGAI PINYUH")</f>
        <v>SUNGAI PINYUH</v>
      </c>
      <c r="O2870" s="35" t="str">
        <f>IFERROR(__xludf.DUMMYFUNCTION("""COMPUTED_VALUE"""),"SUNGAI PINYUH")</f>
        <v>SUNGAI PINYUH</v>
      </c>
      <c r="P2870" s="35" t="str">
        <f>IFERROR(__xludf.DUMMYFUNCTION("""COMPUTED_VALUE"""),"MEMPAWAH")</f>
        <v>MEMPAWAH</v>
      </c>
      <c r="Q2870" s="35" t="str">
        <f>IFERROR(__xludf.DUMMYFUNCTION("""COMPUTED_VALUE"""),"KALIMANTAN BARAT")</f>
        <v>KALIMANTAN BARAT</v>
      </c>
      <c r="R2870" s="21" t="str">
        <f>IFERROR(__xludf.DUMMYFUNCTION("""COMPUTED_VALUE"""),"BUDDHA")</f>
        <v>BUDDHA</v>
      </c>
      <c r="S2870" s="74" t="str">
        <f>IFERROR(__xludf.DUMMYFUNCTION("""COMPUTED_VALUE"""),"IBU RUMAH TANGGA")</f>
        <v>IBU RUMAH TANGGA</v>
      </c>
      <c r="T2870" s="35" t="str">
        <f>IFERROR(__xludf.DUMMYFUNCTION("""COMPUTED_VALUE"""),"SAKIT BAGIAN PUNGGUNG")</f>
        <v>SAKIT BAGIAN PUNGGUNG</v>
      </c>
      <c r="U2870" s="35" t="str">
        <f>IFERROR(__xludf.DUMMYFUNCTION("""COMPUTED_VALUE"""),"JALAN KAKI")</f>
        <v>JALAN KAKI</v>
      </c>
      <c r="V2870" s="37" t="str">
        <f>IFERROR(__xludf.DUMMYFUNCTION("""COMPUTED_VALUE"""),"081297987333")</f>
        <v>081297987333</v>
      </c>
      <c r="W2870" s="45"/>
    </row>
    <row r="2871">
      <c r="A2871" s="45"/>
      <c r="B2871" s="24" t="str">
        <f>IFERROR(__xludf.DUMMYFUNCTION("""COMPUTED_VALUE"""),"18/09/2025 19:24:07")</f>
        <v>18/09/2025 19:24:07</v>
      </c>
      <c r="C2871" s="35"/>
      <c r="D2871" s="10">
        <f>IFERROR(__xludf.DUMMYFUNCTION("""COMPUTED_VALUE"""),45918.0)</f>
        <v>45918</v>
      </c>
      <c r="E2871" s="35" t="str">
        <f>IFERROR(__xludf.DUMMYFUNCTION("""COMPUTED_VALUE"""),"09Sep")</f>
        <v>09Sep</v>
      </c>
      <c r="F2871" s="34" t="str">
        <f>IFERROR(__xludf.DUMMYFUNCTION("""COMPUTED_VALUE"""),"2025")</f>
        <v>2025</v>
      </c>
      <c r="G2871" s="35" t="str">
        <f>IFERROR(__xludf.DUMMYFUNCTION("""COMPUTED_VALUE"""),"DINDA SAFITRI")</f>
        <v>DINDA SAFITRI</v>
      </c>
      <c r="H2871" s="35" t="str">
        <f>IFERROR(__xludf.DUMMYFUNCTION("""COMPUTED_VALUE"""),"D0225093120")</f>
        <v>D0225093120</v>
      </c>
      <c r="I2871" s="35">
        <f>IFERROR(__xludf.DUMMYFUNCTION("""COMPUTED_VALUE"""),23.0)</f>
        <v>23</v>
      </c>
      <c r="J2871" s="35" t="str">
        <f>IFERROR(__xludf.DUMMYFUNCTION("""COMPUTED_VALUE"""),"18-24 tahun")</f>
        <v>18-24 tahun</v>
      </c>
      <c r="K2871" s="21" t="str">
        <f>IFERROR(__xludf.DUMMYFUNCTION("""COMPUTED_VALUE"""),"12/12/2002")</f>
        <v>12/12/2002</v>
      </c>
      <c r="L2871" s="21" t="str">
        <f>IFERROR(__xludf.DUMMYFUNCTION("""COMPUTED_VALUE"""),"PEREMPUAN")</f>
        <v>PEREMPUAN</v>
      </c>
      <c r="M2871" s="35" t="str">
        <f>IFERROR(__xludf.DUMMYFUNCTION("""COMPUTED_VALUE"""),"DUSUN PADU")</f>
        <v>DUSUN PADU</v>
      </c>
      <c r="N2871" s="35" t="str">
        <f>IFERROR(__xludf.DUMMYFUNCTION("""COMPUTED_VALUE"""),"DESA BEGINJAN")</f>
        <v>DESA BEGINJAN</v>
      </c>
      <c r="O2871" s="35" t="str">
        <f>IFERROR(__xludf.DUMMYFUNCTION("""COMPUTED_VALUE"""),"TAUAN HILIR")</f>
        <v>TAUAN HILIR</v>
      </c>
      <c r="P2871" s="35" t="str">
        <f>IFERROR(__xludf.DUMMYFUNCTION("""COMPUTED_VALUE"""),"SANGGAU")</f>
        <v>SANGGAU</v>
      </c>
      <c r="Q2871" s="35" t="str">
        <f>IFERROR(__xludf.DUMMYFUNCTION("""COMPUTED_VALUE"""),"KALIMANTAN BARAT")</f>
        <v>KALIMANTAN BARAT</v>
      </c>
      <c r="R2871" s="21" t="str">
        <f>IFERROR(__xludf.DUMMYFUNCTION("""COMPUTED_VALUE"""),"ISLAM")</f>
        <v>ISLAM</v>
      </c>
      <c r="S2871" s="74" t="str">
        <f>IFERROR(__xludf.DUMMYFUNCTION("""COMPUTED_VALUE"""),"ASLAP")</f>
        <v>ASLAP</v>
      </c>
      <c r="T2871" s="35" t="str">
        <f>IFERROR(__xludf.DUMMYFUNCTION("""COMPUTED_VALUE"""),"SAKIT DI KAKI")</f>
        <v>SAKIT DI KAKI</v>
      </c>
      <c r="U2871" s="35" t="str">
        <f>IFERROR(__xludf.DUMMYFUNCTION("""COMPUTED_VALUE"""),"MEMANCING")</f>
        <v>MEMANCING</v>
      </c>
      <c r="V2871" s="37" t="str">
        <f>IFERROR(__xludf.DUMMYFUNCTION("""COMPUTED_VALUE"""),"085752463120")</f>
        <v>085752463120</v>
      </c>
      <c r="W2871" s="45"/>
    </row>
    <row r="2872">
      <c r="A2872" s="45"/>
      <c r="B2872" s="24" t="str">
        <f>IFERROR(__xludf.DUMMYFUNCTION("""COMPUTED_VALUE"""),"18/09/2025 20:41:43")</f>
        <v>18/09/2025 20:41:43</v>
      </c>
      <c r="C2872" s="35"/>
      <c r="D2872" s="10">
        <f>IFERROR(__xludf.DUMMYFUNCTION("""COMPUTED_VALUE"""),45918.0)</f>
        <v>45918</v>
      </c>
      <c r="E2872" s="35" t="str">
        <f>IFERROR(__xludf.DUMMYFUNCTION("""COMPUTED_VALUE"""),"09Sep")</f>
        <v>09Sep</v>
      </c>
      <c r="F2872" s="34" t="str">
        <f>IFERROR(__xludf.DUMMYFUNCTION("""COMPUTED_VALUE"""),"2025")</f>
        <v>2025</v>
      </c>
      <c r="G2872" s="35" t="str">
        <f>IFERROR(__xludf.DUMMYFUNCTION("""COMPUTED_VALUE"""),"LENY SUMANTRI")</f>
        <v>LENY SUMANTRI</v>
      </c>
      <c r="H2872" s="35" t="str">
        <f>IFERROR(__xludf.DUMMYFUNCTION("""COMPUTED_VALUE"""),"L8725094767")</f>
        <v>L8725094767</v>
      </c>
      <c r="I2872" s="35">
        <f>IFERROR(__xludf.DUMMYFUNCTION("""COMPUTED_VALUE"""),38.0)</f>
        <v>38</v>
      </c>
      <c r="J2872" s="35" t="str">
        <f>IFERROR(__xludf.DUMMYFUNCTION("""COMPUTED_VALUE"""),"35-44 tahun")</f>
        <v>35-44 tahun</v>
      </c>
      <c r="K2872" s="21" t="str">
        <f>IFERROR(__xludf.DUMMYFUNCTION("""COMPUTED_VALUE"""),"28/11/1987")</f>
        <v>28/11/1987</v>
      </c>
      <c r="L2872" s="21" t="str">
        <f>IFERROR(__xludf.DUMMYFUNCTION("""COMPUTED_VALUE"""),"PEREMPUAN")</f>
        <v>PEREMPUAN</v>
      </c>
      <c r="M2872" s="35" t="str">
        <f>IFERROR(__xludf.DUMMYFUNCTION("""COMPUTED_VALUE"""),"JL AYANI 2 GANG BOENCIT RAYA PERUMAHAN TAMAN SRIWEDARI BLOK B NO 5")</f>
        <v>JL AYANI 2 GANG BOENCIT RAYA PERUMAHAN TAMAN SRIWEDARI BLOK B NO 5</v>
      </c>
      <c r="N2872" s="35" t="str">
        <f>IFERROR(__xludf.DUMMYFUNCTION("""COMPUTED_VALUE"""),"ARANG LIMBUNG")</f>
        <v>ARANG LIMBUNG</v>
      </c>
      <c r="O2872" s="35" t="str">
        <f>IFERROR(__xludf.DUMMYFUNCTION("""COMPUTED_VALUE"""),"SUI RAYA")</f>
        <v>SUI RAYA</v>
      </c>
      <c r="P2872" s="35" t="str">
        <f>IFERROR(__xludf.DUMMYFUNCTION("""COMPUTED_VALUE"""),"KUBU RAYA")</f>
        <v>KUBU RAYA</v>
      </c>
      <c r="Q2872" s="35" t="str">
        <f>IFERROR(__xludf.DUMMYFUNCTION("""COMPUTED_VALUE"""),"KALIMANTAN BARAT")</f>
        <v>KALIMANTAN BARAT</v>
      </c>
      <c r="R2872" s="21" t="str">
        <f>IFERROR(__xludf.DUMMYFUNCTION("""COMPUTED_VALUE"""),"KATOLIK")</f>
        <v>KATOLIK</v>
      </c>
      <c r="S2872" s="74" t="str">
        <f>IFERROR(__xludf.DUMMYFUNCTION("""COMPUTED_VALUE"""),"IBU RUMAH TANGGA")</f>
        <v>IBU RUMAH TANGGA</v>
      </c>
      <c r="T2872" s="35" t="str">
        <f>IFERROR(__xludf.DUMMYFUNCTION("""COMPUTED_VALUE"""),"NYERI LEHER")</f>
        <v>NYERI LEHER</v>
      </c>
      <c r="U2872" s="35" t="str">
        <f>IFERROR(__xludf.DUMMYFUNCTION("""COMPUTED_VALUE"""),"KURANG GERAK")</f>
        <v>KURANG GERAK</v>
      </c>
      <c r="V2872" s="37" t="str">
        <f>IFERROR(__xludf.DUMMYFUNCTION("""COMPUTED_VALUE"""),"081255414767")</f>
        <v>081255414767</v>
      </c>
      <c r="W2872" s="45"/>
    </row>
    <row r="2873">
      <c r="A2873" s="45"/>
      <c r="B2873" s="24" t="str">
        <f>IFERROR(__xludf.DUMMYFUNCTION("""COMPUTED_VALUE"""),"19/09/2025 12:20:46")</f>
        <v>19/09/2025 12:20:46</v>
      </c>
      <c r="C2873" s="35"/>
      <c r="D2873" s="10">
        <f>IFERROR(__xludf.DUMMYFUNCTION("""COMPUTED_VALUE"""),45919.0)</f>
        <v>45919</v>
      </c>
      <c r="E2873" s="35" t="str">
        <f>IFERROR(__xludf.DUMMYFUNCTION("""COMPUTED_VALUE"""),"09Sep")</f>
        <v>09Sep</v>
      </c>
      <c r="F2873" s="34" t="str">
        <f>IFERROR(__xludf.DUMMYFUNCTION("""COMPUTED_VALUE"""),"2025")</f>
        <v>2025</v>
      </c>
      <c r="G2873" s="35" t="str">
        <f>IFERROR(__xludf.DUMMYFUNCTION("""COMPUTED_VALUE"""),"FATHAN AUFA HAFIDZI")</f>
        <v>FATHAN AUFA HAFIDZI</v>
      </c>
      <c r="H2873" s="35" t="str">
        <f>IFERROR(__xludf.DUMMYFUNCTION("""COMPUTED_VALUE"""),"F1325098833")</f>
        <v>F1325098833</v>
      </c>
      <c r="I2873" s="35">
        <f>IFERROR(__xludf.DUMMYFUNCTION("""COMPUTED_VALUE"""),12.0)</f>
        <v>12</v>
      </c>
      <c r="J2873" s="35" t="str">
        <f>IFERROR(__xludf.DUMMYFUNCTION("""COMPUTED_VALUE"""),"&lt; 18 tahun")</f>
        <v>&lt; 18 tahun</v>
      </c>
      <c r="K2873" s="21" t="str">
        <f>IFERROR(__xludf.DUMMYFUNCTION("""COMPUTED_VALUE"""),"10/10/2013")</f>
        <v>10/10/2013</v>
      </c>
      <c r="L2873" s="21" t="str">
        <f>IFERROR(__xludf.DUMMYFUNCTION("""COMPUTED_VALUE"""),"LAKI-LAKI")</f>
        <v>LAKI-LAKI</v>
      </c>
      <c r="M2873" s="35" t="str">
        <f>IFERROR(__xludf.DUMMYFUNCTION("""COMPUTED_VALUE"""),"JL H RAIS A.RAHMAN")</f>
        <v>JL H RAIS A.RAHMAN</v>
      </c>
      <c r="N2873" s="35" t="str">
        <f>IFERROR(__xludf.DUMMYFUNCTION("""COMPUTED_VALUE"""),"SUNGAI JAWI DALAM")</f>
        <v>SUNGAI JAWI DALAM</v>
      </c>
      <c r="O2873" s="35" t="str">
        <f>IFERROR(__xludf.DUMMYFUNCTION("""COMPUTED_VALUE"""),"PONTIANAK BARAT")</f>
        <v>PONTIANAK BARAT</v>
      </c>
      <c r="P2873" s="35" t="str">
        <f>IFERROR(__xludf.DUMMYFUNCTION("""COMPUTED_VALUE"""),"PONTIANAK")</f>
        <v>PONTIANAK</v>
      </c>
      <c r="Q2873" s="35" t="str">
        <f>IFERROR(__xludf.DUMMYFUNCTION("""COMPUTED_VALUE"""),"KALIMANTAN BARAT")</f>
        <v>KALIMANTAN BARAT</v>
      </c>
      <c r="R2873" s="21" t="str">
        <f>IFERROR(__xludf.DUMMYFUNCTION("""COMPUTED_VALUE"""),"ISLAM")</f>
        <v>ISLAM</v>
      </c>
      <c r="S2873" s="74" t="str">
        <f>IFERROR(__xludf.DUMMYFUNCTION("""COMPUTED_VALUE"""),"PELAJAR")</f>
        <v>PELAJAR</v>
      </c>
      <c r="T2873" s="35" t="str">
        <f>IFERROR(__xludf.DUMMYFUNCTION("""COMPUTED_VALUE"""),"NYERI ANGKLE KAKI")</f>
        <v>NYERI ANGKLE KAKI</v>
      </c>
      <c r="U2873" s="35" t="str">
        <f>IFERROR(__xludf.DUMMYFUNCTION("""COMPUTED_VALUE"""),"TAEKWONDO, BASKET, FUTSAL")</f>
        <v>TAEKWONDO, BASKET, FUTSAL</v>
      </c>
      <c r="V2873" s="37" t="str">
        <f>IFERROR(__xludf.DUMMYFUNCTION("""COMPUTED_VALUE"""),"085200008833")</f>
        <v>085200008833</v>
      </c>
      <c r="W2873" s="45"/>
    </row>
    <row r="2874">
      <c r="A2874" s="45"/>
      <c r="B2874" s="24" t="str">
        <f>IFERROR(__xludf.DUMMYFUNCTION("""COMPUTED_VALUE"""),"19/09/2025 14:29:30")</f>
        <v>19/09/2025 14:29:30</v>
      </c>
      <c r="C2874" s="35"/>
      <c r="D2874" s="10">
        <f>IFERROR(__xludf.DUMMYFUNCTION("""COMPUTED_VALUE"""),45919.0)</f>
        <v>45919</v>
      </c>
      <c r="E2874" s="35" t="str">
        <f>IFERROR(__xludf.DUMMYFUNCTION("""COMPUTED_VALUE"""),"09Sep")</f>
        <v>09Sep</v>
      </c>
      <c r="F2874" s="34" t="str">
        <f>IFERROR(__xludf.DUMMYFUNCTION("""COMPUTED_VALUE"""),"2025")</f>
        <v>2025</v>
      </c>
      <c r="G2874" s="35" t="str">
        <f>IFERROR(__xludf.DUMMYFUNCTION("""COMPUTED_VALUE"""),"JUNIARDY WONGSO")</f>
        <v>JUNIARDY WONGSO</v>
      </c>
      <c r="H2874" s="35" t="str">
        <f>IFERROR(__xludf.DUMMYFUNCTION("""COMPUTED_VALUE"""),"J9525098892")</f>
        <v>J9525098892</v>
      </c>
      <c r="I2874" s="35">
        <f>IFERROR(__xludf.DUMMYFUNCTION("""COMPUTED_VALUE"""),30.0)</f>
        <v>30</v>
      </c>
      <c r="J2874" s="35" t="str">
        <f>IFERROR(__xludf.DUMMYFUNCTION("""COMPUTED_VALUE"""),"25-34 tahun")</f>
        <v>25-34 tahun</v>
      </c>
      <c r="K2874" s="21" t="str">
        <f>IFERROR(__xludf.DUMMYFUNCTION("""COMPUTED_VALUE"""),"21/06/1995")</f>
        <v>21/06/1995</v>
      </c>
      <c r="L2874" s="21" t="str">
        <f>IFERROR(__xludf.DUMMYFUNCTION("""COMPUTED_VALUE"""),"LAKI-LAKI")</f>
        <v>LAKI-LAKI</v>
      </c>
      <c r="M2874" s="35" t="str">
        <f>IFERROR(__xludf.DUMMYFUNCTION("""COMPUTED_VALUE"""),"JL. TEUKU UMAR KOMP. PONTIANAK MALL BLOK B14")</f>
        <v>JL. TEUKU UMAR KOMP. PONTIANAK MALL BLOK B14</v>
      </c>
      <c r="N2874" s="35" t="str">
        <f>IFERROR(__xludf.DUMMYFUNCTION("""COMPUTED_VALUE"""),"DARAT SEKIP")</f>
        <v>DARAT SEKIP</v>
      </c>
      <c r="O2874" s="35" t="str">
        <f>IFERROR(__xludf.DUMMYFUNCTION("""COMPUTED_VALUE"""),"PONTIANAK KOTA")</f>
        <v>PONTIANAK KOTA</v>
      </c>
      <c r="P2874" s="35" t="str">
        <f>IFERROR(__xludf.DUMMYFUNCTION("""COMPUTED_VALUE"""),"KOTA PONTIANAK")</f>
        <v>KOTA PONTIANAK</v>
      </c>
      <c r="Q2874" s="35" t="str">
        <f>IFERROR(__xludf.DUMMYFUNCTION("""COMPUTED_VALUE"""),"KALIMANTAN BARAT")</f>
        <v>KALIMANTAN BARAT</v>
      </c>
      <c r="R2874" s="21" t="str">
        <f>IFERROR(__xludf.DUMMYFUNCTION("""COMPUTED_VALUE"""),"LAINNYA")</f>
        <v>LAINNYA</v>
      </c>
      <c r="S2874" s="74" t="str">
        <f>IFERROR(__xludf.DUMMYFUNCTION("""COMPUTED_VALUE"""),"PENGANGGURAN")</f>
        <v>PENGANGGURAN</v>
      </c>
      <c r="T2874" s="35" t="str">
        <f>IFERROR(__xludf.DUMMYFUNCTION("""COMPUTED_VALUE"""),"HABIS TERJATUH, PINGGANG DAN TANGAN SAKIT")</f>
        <v>HABIS TERJATUH, PINGGANG DAN TANGAN SAKIT</v>
      </c>
      <c r="U2874" s="35" t="str">
        <f>IFERROR(__xludf.DUMMYFUNCTION("""COMPUTED_VALUE"""),"NGEPEL DAN NYAPU")</f>
        <v>NGEPEL DAN NYAPU</v>
      </c>
      <c r="V2874" s="37" t="str">
        <f>IFERROR(__xludf.DUMMYFUNCTION("""COMPUTED_VALUE"""),"0811578892")</f>
        <v>0811578892</v>
      </c>
      <c r="W2874" s="45"/>
    </row>
    <row r="2875">
      <c r="A2875" s="45"/>
      <c r="B2875" s="24" t="str">
        <f>IFERROR(__xludf.DUMMYFUNCTION("""COMPUTED_VALUE"""),"19/09/2025 15:51:06")</f>
        <v>19/09/2025 15:51:06</v>
      </c>
      <c r="C2875" s="35"/>
      <c r="D2875" s="10">
        <f>IFERROR(__xludf.DUMMYFUNCTION("""COMPUTED_VALUE"""),45919.0)</f>
        <v>45919</v>
      </c>
      <c r="E2875" s="35" t="str">
        <f>IFERROR(__xludf.DUMMYFUNCTION("""COMPUTED_VALUE"""),"09Sep")</f>
        <v>09Sep</v>
      </c>
      <c r="F2875" s="34" t="str">
        <f>IFERROR(__xludf.DUMMYFUNCTION("""COMPUTED_VALUE"""),"2025")</f>
        <v>2025</v>
      </c>
      <c r="G2875" s="35" t="str">
        <f>IFERROR(__xludf.DUMMYFUNCTION("""COMPUTED_VALUE"""),"MUTMAINAH")</f>
        <v>MUTMAINAH</v>
      </c>
      <c r="H2875" s="35" t="str">
        <f>IFERROR(__xludf.DUMMYFUNCTION("""COMPUTED_VALUE"""),"M7625091296")</f>
        <v>M7625091296</v>
      </c>
      <c r="I2875" s="35">
        <f>IFERROR(__xludf.DUMMYFUNCTION("""COMPUTED_VALUE"""),49.0)</f>
        <v>49</v>
      </c>
      <c r="J2875" s="35" t="str">
        <f>IFERROR(__xludf.DUMMYFUNCTION("""COMPUTED_VALUE"""),"&gt; 44 tahun")</f>
        <v>&gt; 44 tahun</v>
      </c>
      <c r="K2875" s="21" t="str">
        <f>IFERROR(__xludf.DUMMYFUNCTION("""COMPUTED_VALUE"""),"26/09/1976")</f>
        <v>26/09/1976</v>
      </c>
      <c r="L2875" s="21" t="str">
        <f>IFERROR(__xludf.DUMMYFUNCTION("""COMPUTED_VALUE"""),"PEREMPUAN")</f>
        <v>PEREMPUAN</v>
      </c>
      <c r="M2875" s="35" t="str">
        <f>IFERROR(__xludf.DUMMYFUNCTION("""COMPUTED_VALUE"""),"JL KARNA SOSIAL GG PURWOSARI 5 NO. 12")</f>
        <v>JL KARNA SOSIAL GG PURWOSARI 5 NO. 12</v>
      </c>
      <c r="N2875" s="35" t="str">
        <f>IFERROR(__xludf.DUMMYFUNCTION("""COMPUTED_VALUE"""),"AKCAYA")</f>
        <v>AKCAYA</v>
      </c>
      <c r="O2875" s="35" t="str">
        <f>IFERROR(__xludf.DUMMYFUNCTION("""COMPUTED_VALUE"""),"PONTIANAK SELATAN")</f>
        <v>PONTIANAK SELATAN</v>
      </c>
      <c r="P2875" s="35" t="str">
        <f>IFERROR(__xludf.DUMMYFUNCTION("""COMPUTED_VALUE"""),"PONTIANAK")</f>
        <v>PONTIANAK</v>
      </c>
      <c r="Q2875" s="35" t="str">
        <f>IFERROR(__xludf.DUMMYFUNCTION("""COMPUTED_VALUE"""),"KALIMANTAN BARAT")</f>
        <v>KALIMANTAN BARAT</v>
      </c>
      <c r="R2875" s="21" t="str">
        <f>IFERROR(__xludf.DUMMYFUNCTION("""COMPUTED_VALUE"""),"ISLAM")</f>
        <v>ISLAM</v>
      </c>
      <c r="S2875" s="74" t="str">
        <f>IFERROR(__xludf.DUMMYFUNCTION("""COMPUTED_VALUE"""),"MENGURUS RUMAH TANGGA")</f>
        <v>MENGURUS RUMAH TANGGA</v>
      </c>
      <c r="T2875" s="35" t="str">
        <f>IFERROR(__xludf.DUMMYFUNCTION("""COMPUTED_VALUE"""),"SAKIT PINGGANG SEHABIS DISEREMPET ORANG")</f>
        <v>SAKIT PINGGANG SEHABIS DISEREMPET ORANG</v>
      </c>
      <c r="U2875" s="35" t="str">
        <f>IFERROR(__xludf.DUMMYFUNCTION("""COMPUTED_VALUE"""),"MENGURUS RUMAH TANGGA")</f>
        <v>MENGURUS RUMAH TANGGA</v>
      </c>
      <c r="V2875" s="37" t="str">
        <f>IFERROR(__xludf.DUMMYFUNCTION("""COMPUTED_VALUE"""),"+6282153391296")</f>
        <v>+6282153391296</v>
      </c>
      <c r="W2875" s="45"/>
    </row>
    <row r="2876">
      <c r="A2876" s="45"/>
      <c r="B2876" s="24" t="str">
        <f>IFERROR(__xludf.DUMMYFUNCTION("""COMPUTED_VALUE"""),"19/09/2025 21:39:44")</f>
        <v>19/09/2025 21:39:44</v>
      </c>
      <c r="C2876" s="35"/>
      <c r="D2876" s="10">
        <f>IFERROR(__xludf.DUMMYFUNCTION("""COMPUTED_VALUE"""),45919.0)</f>
        <v>45919</v>
      </c>
      <c r="E2876" s="35" t="str">
        <f>IFERROR(__xludf.DUMMYFUNCTION("""COMPUTED_VALUE"""),"09Sep")</f>
        <v>09Sep</v>
      </c>
      <c r="F2876" s="34" t="str">
        <f>IFERROR(__xludf.DUMMYFUNCTION("""COMPUTED_VALUE"""),"2025")</f>
        <v>2025</v>
      </c>
      <c r="G2876" s="35" t="str">
        <f>IFERROR(__xludf.DUMMYFUNCTION("""COMPUTED_VALUE"""),"SUDARMI")</f>
        <v>SUDARMI</v>
      </c>
      <c r="H2876" s="35" t="str">
        <f>IFERROR(__xludf.DUMMYFUNCTION("""COMPUTED_VALUE"""),"S5025099659")</f>
        <v>S5025099659</v>
      </c>
      <c r="I2876" s="35">
        <f>IFERROR(__xludf.DUMMYFUNCTION("""COMPUTED_VALUE"""),75.0)</f>
        <v>75</v>
      </c>
      <c r="J2876" s="35" t="str">
        <f>IFERROR(__xludf.DUMMYFUNCTION("""COMPUTED_VALUE"""),"&gt; 44 tahun")</f>
        <v>&gt; 44 tahun</v>
      </c>
      <c r="K2876" s="21" t="str">
        <f>IFERROR(__xludf.DUMMYFUNCTION("""COMPUTED_VALUE"""),"13/07/1950")</f>
        <v>13/07/1950</v>
      </c>
      <c r="L2876" s="21" t="str">
        <f>IFERROR(__xludf.DUMMYFUNCTION("""COMPUTED_VALUE"""),"PEREMPUAN")</f>
        <v>PEREMPUAN</v>
      </c>
      <c r="M2876" s="35" t="str">
        <f>IFERROR(__xludf.DUMMYFUNCTION("""COMPUTED_VALUE"""),"PERUMNAS 1 BLOK D 2 NO 12")</f>
        <v>PERUMNAS 1 BLOK D 2 NO 12</v>
      </c>
      <c r="N2876" s="35" t="str">
        <f>IFERROR(__xludf.DUMMYFUNCTION("""COMPUTED_VALUE"""),"SUNGAI JAWI LUAR")</f>
        <v>SUNGAI JAWI LUAR</v>
      </c>
      <c r="O2876" s="35" t="str">
        <f>IFERROR(__xludf.DUMMYFUNCTION("""COMPUTED_VALUE"""),"PONTIANAK BARAT")</f>
        <v>PONTIANAK BARAT</v>
      </c>
      <c r="P2876" s="35" t="str">
        <f>IFERROR(__xludf.DUMMYFUNCTION("""COMPUTED_VALUE"""),"KOTA PONTIANAK")</f>
        <v>KOTA PONTIANAK</v>
      </c>
      <c r="Q2876" s="35" t="str">
        <f>IFERROR(__xludf.DUMMYFUNCTION("""COMPUTED_VALUE"""),"KALIMANTAN BARAT")</f>
        <v>KALIMANTAN BARAT</v>
      </c>
      <c r="R2876" s="21" t="str">
        <f>IFERROR(__xludf.DUMMYFUNCTION("""COMPUTED_VALUE"""),"ISLAM")</f>
        <v>ISLAM</v>
      </c>
      <c r="S2876" s="74" t="str">
        <f>IFERROR(__xludf.DUMMYFUNCTION("""COMPUTED_VALUE"""),"KARYAWAN SWASTA")</f>
        <v>KARYAWAN SWASTA</v>
      </c>
      <c r="T2876" s="35" t="str">
        <f>IFERROR(__xludf.DUMMYFUNCTION("""COMPUTED_VALUE"""),"TANGAN SUSAH DIANGKAT")</f>
        <v>TANGAN SUSAH DIANGKAT</v>
      </c>
      <c r="U2876" s="35" t="str">
        <f>IFERROR(__xludf.DUMMYFUNCTION("""COMPUTED_VALUE"""),"TANGAN SUSAH DIANGKAT")</f>
        <v>TANGAN SUSAH DIANGKAT</v>
      </c>
      <c r="V2876" s="37" t="str">
        <f>IFERROR(__xludf.DUMMYFUNCTION("""COMPUTED_VALUE"""),"081251799659")</f>
        <v>081251799659</v>
      </c>
      <c r="W2876" s="45"/>
    </row>
    <row r="2877">
      <c r="A2877" s="45"/>
      <c r="B2877" s="24" t="str">
        <f>IFERROR(__xludf.DUMMYFUNCTION("""COMPUTED_VALUE"""),"20/09/2025 8:47:19")</f>
        <v>20/09/2025 8:47:19</v>
      </c>
      <c r="C2877" s="35"/>
      <c r="D2877" s="10">
        <f>IFERROR(__xludf.DUMMYFUNCTION("""COMPUTED_VALUE"""),45920.0)</f>
        <v>45920</v>
      </c>
      <c r="E2877" s="35" t="str">
        <f>IFERROR(__xludf.DUMMYFUNCTION("""COMPUTED_VALUE"""),"09Sep")</f>
        <v>09Sep</v>
      </c>
      <c r="F2877" s="34" t="str">
        <f>IFERROR(__xludf.DUMMYFUNCTION("""COMPUTED_VALUE"""),"2025")</f>
        <v>2025</v>
      </c>
      <c r="G2877" s="35" t="str">
        <f>IFERROR(__xludf.DUMMYFUNCTION("""COMPUTED_VALUE"""),"ANAM SAPUTRO MARGO UTOMO")</f>
        <v>ANAM SAPUTRO MARGO UTOMO</v>
      </c>
      <c r="H2877" s="35" t="str">
        <f>IFERROR(__xludf.DUMMYFUNCTION("""COMPUTED_VALUE"""),"A9925090758")</f>
        <v>A9925090758</v>
      </c>
      <c r="I2877" s="35">
        <f>IFERROR(__xludf.DUMMYFUNCTION("""COMPUTED_VALUE"""),26.0)</f>
        <v>26</v>
      </c>
      <c r="J2877" s="35" t="str">
        <f>IFERROR(__xludf.DUMMYFUNCTION("""COMPUTED_VALUE"""),"25-34 tahun")</f>
        <v>25-34 tahun</v>
      </c>
      <c r="K2877" s="21" t="str">
        <f>IFERROR(__xludf.DUMMYFUNCTION("""COMPUTED_VALUE"""),"27/12/1999")</f>
        <v>27/12/1999</v>
      </c>
      <c r="L2877" s="21" t="str">
        <f>IFERROR(__xludf.DUMMYFUNCTION("""COMPUTED_VALUE"""),"LAKI-LAKI")</f>
        <v>LAKI-LAKI</v>
      </c>
      <c r="M2877" s="35" t="str">
        <f>IFERROR(__xludf.DUMMYFUNCTION("""COMPUTED_VALUE"""),"DUSUN UMUM DESA SUNGAI TERUS")</f>
        <v>DUSUN UMUM DESA SUNGAI TERUS</v>
      </c>
      <c r="N2877" s="35" t="str">
        <f>IFERROR(__xludf.DUMMYFUNCTION("""COMPUTED_VALUE"""),"DESA SUNGAI TERUS")</f>
        <v>DESA SUNGAI TERUS</v>
      </c>
      <c r="O2877" s="35" t="str">
        <f>IFERROR(__xludf.DUMMYFUNCTION("""COMPUTED_VALUE"""),"KUBU")</f>
        <v>KUBU</v>
      </c>
      <c r="P2877" s="35" t="str">
        <f>IFERROR(__xludf.DUMMYFUNCTION("""COMPUTED_VALUE"""),"KABU RAYA")</f>
        <v>KABU RAYA</v>
      </c>
      <c r="Q2877" s="35" t="str">
        <f>IFERROR(__xludf.DUMMYFUNCTION("""COMPUTED_VALUE"""),"KALIMANTAN BARAT")</f>
        <v>KALIMANTAN BARAT</v>
      </c>
      <c r="R2877" s="21" t="str">
        <f>IFERROR(__xludf.DUMMYFUNCTION("""COMPUTED_VALUE"""),"ISLAM")</f>
        <v>ISLAM</v>
      </c>
      <c r="S2877" s="74" t="str">
        <f>IFERROR(__xludf.DUMMYFUNCTION("""COMPUTED_VALUE"""),"PETANI")</f>
        <v>PETANI</v>
      </c>
      <c r="T2877" s="35" t="str">
        <f>IFERROR(__xludf.DUMMYFUNCTION("""COMPUTED_VALUE"""),"DIAGNOSA DOKTER KERAM OTOT HASIL RONTGEN BELUM KELUAR, YANG DI RASAKAN SEKARANG NYERI OTOT PINGGANG, NYERI SENDI DI BAGIAN PANGKAL PAHA SAMPAI BETIS SEBELAH KIRI,")</f>
        <v>DIAGNOSA DOKTER KERAM OTOT HASIL RONTGEN BELUM KELUAR, YANG DI RASAKAN SEKARANG NYERI OTOT PINGGANG, NYERI SENDI DI BAGIAN PANGKAL PAHA SAMPAI BETIS SEBELAH KIRI,</v>
      </c>
      <c r="U2877" s="35" t="str">
        <f>IFERROR(__xludf.DUMMYFUNCTION("""COMPUTED_VALUE"""),"BONGKAR MUAT BUAH SAWIT")</f>
        <v>BONGKAR MUAT BUAH SAWIT</v>
      </c>
      <c r="V2877" s="37" t="str">
        <f>IFERROR(__xludf.DUMMYFUNCTION("""COMPUTED_VALUE"""),"081349990758")</f>
        <v>081349990758</v>
      </c>
      <c r="W2877" s="45"/>
    </row>
    <row r="2878">
      <c r="A2878" s="45"/>
      <c r="B2878" s="24" t="str">
        <f>IFERROR(__xludf.DUMMYFUNCTION("""COMPUTED_VALUE"""),"20/09/2025 9:26:39")</f>
        <v>20/09/2025 9:26:39</v>
      </c>
      <c r="C2878" s="35"/>
      <c r="D2878" s="10">
        <f>IFERROR(__xludf.DUMMYFUNCTION("""COMPUTED_VALUE"""),45920.0)</f>
        <v>45920</v>
      </c>
      <c r="E2878" s="35" t="str">
        <f>IFERROR(__xludf.DUMMYFUNCTION("""COMPUTED_VALUE"""),"09Sep")</f>
        <v>09Sep</v>
      </c>
      <c r="F2878" s="34" t="str">
        <f>IFERROR(__xludf.DUMMYFUNCTION("""COMPUTED_VALUE"""),"2025")</f>
        <v>2025</v>
      </c>
      <c r="G2878" s="35" t="str">
        <f>IFERROR(__xludf.DUMMYFUNCTION("""COMPUTED_VALUE"""),"MUHAMMAD CHAIRUDDIN, S.A.P")</f>
        <v>MUHAMMAD CHAIRUDDIN, S.A.P</v>
      </c>
      <c r="H2878" s="35" t="str">
        <f>IFERROR(__xludf.DUMMYFUNCTION("""COMPUTED_VALUE"""),"M7825098720")</f>
        <v>M7825098720</v>
      </c>
      <c r="I2878" s="35">
        <f>IFERROR(__xludf.DUMMYFUNCTION("""COMPUTED_VALUE"""),47.0)</f>
        <v>47</v>
      </c>
      <c r="J2878" s="35" t="str">
        <f>IFERROR(__xludf.DUMMYFUNCTION("""COMPUTED_VALUE"""),"&gt; 44 tahun")</f>
        <v>&gt; 44 tahun</v>
      </c>
      <c r="K2878" s="21" t="str">
        <f>IFERROR(__xludf.DUMMYFUNCTION("""COMPUTED_VALUE"""),"28/06/1978")</f>
        <v>28/06/1978</v>
      </c>
      <c r="L2878" s="21" t="str">
        <f>IFERROR(__xludf.DUMMYFUNCTION("""COMPUTED_VALUE"""),"LAKI-LAKI")</f>
        <v>LAKI-LAKI</v>
      </c>
      <c r="M2878" s="35" t="str">
        <f>IFERROR(__xludf.DUMMYFUNCTION("""COMPUTED_VALUE"""),"JL. DR. SOEDARSO KIOS 1 A/1B")</f>
        <v>JL. DR. SOEDARSO KIOS 1 A/1B</v>
      </c>
      <c r="N2878" s="35" t="str">
        <f>IFERROR(__xludf.DUMMYFUNCTION("""COMPUTED_VALUE"""),"KELURAHAN BANGKA BELITUNG LAUT")</f>
        <v>KELURAHAN BANGKA BELITUNG LAUT</v>
      </c>
      <c r="O2878" s="35" t="str">
        <f>IFERROR(__xludf.DUMMYFUNCTION("""COMPUTED_VALUE"""),"KECAMATAN PONTIANAK TENGGARA")</f>
        <v>KECAMATAN PONTIANAK TENGGARA</v>
      </c>
      <c r="P2878" s="35" t="str">
        <f>IFERROR(__xludf.DUMMYFUNCTION("""COMPUTED_VALUE"""),"KOTA PONTIANAK")</f>
        <v>KOTA PONTIANAK</v>
      </c>
      <c r="Q2878" s="35" t="str">
        <f>IFERROR(__xludf.DUMMYFUNCTION("""COMPUTED_VALUE"""),"KALBAR")</f>
        <v>KALBAR</v>
      </c>
      <c r="R2878" s="21" t="str">
        <f>IFERROR(__xludf.DUMMYFUNCTION("""COMPUTED_VALUE"""),"ISLAM")</f>
        <v>ISLAM</v>
      </c>
      <c r="S2878" s="74" t="str">
        <f>IFERROR(__xludf.DUMMYFUNCTION("""COMPUTED_VALUE"""),"WIRASWASTA")</f>
        <v>WIRASWASTA</v>
      </c>
      <c r="T2878" s="35" t="str">
        <f>IFERROR(__xludf.DUMMYFUNCTION("""COMPUTED_VALUE"""),"KAKI KESEMUTAN KEDUANYA, OTOT/URAT/SARAF KADANG KENCANG DR PAHA LUTUT BETIK KAKI, PINGGANG KADANG NYERI, JALAN KADANG SEMPOYONGAN.")</f>
        <v>KAKI KESEMUTAN KEDUANYA, OTOT/URAT/SARAF KADANG KENCANG DR PAHA LUTUT BETIK KAKI, PINGGANG KADANG NYERI, JALAN KADANG SEMPOYONGAN.</v>
      </c>
      <c r="U2878" s="35" t="str">
        <f>IFERROR(__xludf.DUMMYFUNCTION("""COMPUTED_VALUE"""),"RUTINITAS BIASA AJA")</f>
        <v>RUTINITAS BIASA AJA</v>
      </c>
      <c r="V2878" s="37" t="str">
        <f>IFERROR(__xludf.DUMMYFUNCTION("""COMPUTED_VALUE"""),"08125708720")</f>
        <v>08125708720</v>
      </c>
      <c r="W2878" s="45"/>
    </row>
    <row r="2879">
      <c r="A2879" s="45"/>
      <c r="B2879" s="24" t="str">
        <f>IFERROR(__xludf.DUMMYFUNCTION("""COMPUTED_VALUE"""),"20/09/2025 12:58:36")</f>
        <v>20/09/2025 12:58:36</v>
      </c>
      <c r="C2879" s="35"/>
      <c r="D2879" s="10">
        <f>IFERROR(__xludf.DUMMYFUNCTION("""COMPUTED_VALUE"""),45920.0)</f>
        <v>45920</v>
      </c>
      <c r="E2879" s="35" t="str">
        <f>IFERROR(__xludf.DUMMYFUNCTION("""COMPUTED_VALUE"""),"09Sep")</f>
        <v>09Sep</v>
      </c>
      <c r="F2879" s="34" t="str">
        <f>IFERROR(__xludf.DUMMYFUNCTION("""COMPUTED_VALUE"""),"2025")</f>
        <v>2025</v>
      </c>
      <c r="G2879" s="35" t="str">
        <f>IFERROR(__xludf.DUMMYFUNCTION("""COMPUTED_VALUE"""),"MARIYAM")</f>
        <v>MARIYAM</v>
      </c>
      <c r="H2879" s="35" t="str">
        <f>IFERROR(__xludf.DUMMYFUNCTION("""COMPUTED_VALUE"""),"M6825093469")</f>
        <v>M6825093469</v>
      </c>
      <c r="I2879" s="35">
        <f>IFERROR(__xludf.DUMMYFUNCTION("""COMPUTED_VALUE"""),58.0)</f>
        <v>58</v>
      </c>
      <c r="J2879" s="35" t="str">
        <f>IFERROR(__xludf.DUMMYFUNCTION("""COMPUTED_VALUE"""),"&gt; 44 tahun")</f>
        <v>&gt; 44 tahun</v>
      </c>
      <c r="K2879" s="21" t="str">
        <f>IFERROR(__xludf.DUMMYFUNCTION("""COMPUTED_VALUE"""),"20/02/1968")</f>
        <v>20/02/1968</v>
      </c>
      <c r="L2879" s="21" t="str">
        <f>IFERROR(__xludf.DUMMYFUNCTION("""COMPUTED_VALUE"""),"PEREMPUAN")</f>
        <v>PEREMPUAN</v>
      </c>
      <c r="M2879" s="35" t="str">
        <f>IFERROR(__xludf.DUMMYFUNCTION("""COMPUTED_VALUE"""),"JL. K.H.A. DAHLAN NO. 76")</f>
        <v>JL. K.H.A. DAHLAN NO. 76</v>
      </c>
      <c r="N2879" s="35" t="str">
        <f>IFERROR(__xludf.DUMMYFUNCTION("""COMPUTED_VALUE"""),"KELURAHAN SUNGAI BANGKONG")</f>
        <v>KELURAHAN SUNGAI BANGKONG</v>
      </c>
      <c r="O2879" s="35" t="str">
        <f>IFERROR(__xludf.DUMMYFUNCTION("""COMPUTED_VALUE"""),"PONTIANAK KOTA")</f>
        <v>PONTIANAK KOTA</v>
      </c>
      <c r="P2879" s="35" t="str">
        <f>IFERROR(__xludf.DUMMYFUNCTION("""COMPUTED_VALUE"""),"KOTA PONTIANAK")</f>
        <v>KOTA PONTIANAK</v>
      </c>
      <c r="Q2879" s="35" t="str">
        <f>IFERROR(__xludf.DUMMYFUNCTION("""COMPUTED_VALUE"""),"KALIMANTAN BARAT")</f>
        <v>KALIMANTAN BARAT</v>
      </c>
      <c r="R2879" s="21" t="str">
        <f>IFERROR(__xludf.DUMMYFUNCTION("""COMPUTED_VALUE"""),"ISLAM")</f>
        <v>ISLAM</v>
      </c>
      <c r="S2879" s="74" t="str">
        <f>IFERROR(__xludf.DUMMYFUNCTION("""COMPUTED_VALUE"""),"IBU RUMAH TANGGA")</f>
        <v>IBU RUMAH TANGGA</v>
      </c>
      <c r="T2879" s="35" t="str">
        <f>IFERROR(__xludf.DUMMYFUNCTION("""COMPUTED_VALUE"""),"KAKI SAKIT SEKALI BERJALAN.. AWALNYA HANYA SATU KAKI YANG SAKIT PAS PULANG UMROH KAKI YANG TIDAK SAKIT JADI SAKIT SEKALI DAN SANGAT KESULITAN UNTUK BERJALAN DAN SAKITNYA SAMPE KE PINGGANG")</f>
        <v>KAKI SAKIT SEKALI BERJALAN.. AWALNYA HANYA SATU KAKI YANG SAKIT PAS PULANG UMROH KAKI YANG TIDAK SAKIT JADI SAKIT SEKALI DAN SANGAT KESULITAN UNTUK BERJALAN DAN SAKITNYA SAMPE KE PINGGANG</v>
      </c>
      <c r="U2879" s="35" t="str">
        <f>IFERROR(__xludf.DUMMYFUNCTION("""COMPUTED_VALUE"""),"ORANG YANG ULET, SUKA BEBERES, MASAK, NYIRAM TANAMAN, NYAPU, NGEPEL")</f>
        <v>ORANG YANG ULET, SUKA BEBERES, MASAK, NYIRAM TANAMAN, NYAPU, NGEPEL</v>
      </c>
      <c r="V2879" s="37" t="str">
        <f>IFERROR(__xludf.DUMMYFUNCTION("""COMPUTED_VALUE"""),"082255473469")</f>
        <v>082255473469</v>
      </c>
      <c r="W2879" s="45"/>
    </row>
    <row r="2880">
      <c r="A2880" s="45"/>
      <c r="B2880" s="24" t="str">
        <f>IFERROR(__xludf.DUMMYFUNCTION("""COMPUTED_VALUE"""),"20/09/2025 12:45:20")</f>
        <v>20/09/2025 12:45:20</v>
      </c>
      <c r="C2880" s="35"/>
      <c r="D2880" s="10">
        <f>IFERROR(__xludf.DUMMYFUNCTION("""COMPUTED_VALUE"""),45920.0)</f>
        <v>45920</v>
      </c>
      <c r="E2880" s="35" t="str">
        <f>IFERROR(__xludf.DUMMYFUNCTION("""COMPUTED_VALUE"""),"09Sep")</f>
        <v>09Sep</v>
      </c>
      <c r="F2880" s="34" t="str">
        <f>IFERROR(__xludf.DUMMYFUNCTION("""COMPUTED_VALUE"""),"2025")</f>
        <v>2025</v>
      </c>
      <c r="G2880" s="35" t="str">
        <f>IFERROR(__xludf.DUMMYFUNCTION("""COMPUTED_VALUE"""),"FANRITA NABILA ISLAMY")</f>
        <v>FANRITA NABILA ISLAMY</v>
      </c>
      <c r="H2880" s="35" t="str">
        <f>IFERROR(__xludf.DUMMYFUNCTION("""COMPUTED_VALUE"""),"F9425098820")</f>
        <v>F9425098820</v>
      </c>
      <c r="I2880" s="35">
        <f>IFERROR(__xludf.DUMMYFUNCTION("""COMPUTED_VALUE"""),31.0)</f>
        <v>31</v>
      </c>
      <c r="J2880" s="35" t="str">
        <f>IFERROR(__xludf.DUMMYFUNCTION("""COMPUTED_VALUE"""),"25-34 tahun")</f>
        <v>25-34 tahun</v>
      </c>
      <c r="K2880" s="21" t="str">
        <f>IFERROR(__xludf.DUMMYFUNCTION("""COMPUTED_VALUE"""),"10/08/1994")</f>
        <v>10/08/1994</v>
      </c>
      <c r="L2880" s="21" t="str">
        <f>IFERROR(__xludf.DUMMYFUNCTION("""COMPUTED_VALUE"""),"PEREMPUAN")</f>
        <v>PEREMPUAN</v>
      </c>
      <c r="M2880" s="35" t="str">
        <f>IFERROR(__xludf.DUMMYFUNCTION("""COMPUTED_VALUE"""),"JL TEBU GG. WARIS NO.49")</f>
        <v>JL TEBU GG. WARIS NO.49</v>
      </c>
      <c r="N2880" s="35" t="str">
        <f>IFERROR(__xludf.DUMMYFUNCTION("""COMPUTED_VALUE"""),"SUNGAI BELIUNG")</f>
        <v>SUNGAI BELIUNG</v>
      </c>
      <c r="O2880" s="35" t="str">
        <f>IFERROR(__xludf.DUMMYFUNCTION("""COMPUTED_VALUE"""),"PONTIANAK BARAT")</f>
        <v>PONTIANAK BARAT</v>
      </c>
      <c r="P2880" s="35" t="str">
        <f>IFERROR(__xludf.DUMMYFUNCTION("""COMPUTED_VALUE"""),"KOTA PONTIANAK")</f>
        <v>KOTA PONTIANAK</v>
      </c>
      <c r="Q2880" s="35" t="str">
        <f>IFERROR(__xludf.DUMMYFUNCTION("""COMPUTED_VALUE"""),"KALIMANTAN BARAT")</f>
        <v>KALIMANTAN BARAT</v>
      </c>
      <c r="R2880" s="21" t="str">
        <f>IFERROR(__xludf.DUMMYFUNCTION("""COMPUTED_VALUE"""),"ISLAM")</f>
        <v>ISLAM</v>
      </c>
      <c r="S2880" s="74" t="str">
        <f>IFERROR(__xludf.DUMMYFUNCTION("""COMPUTED_VALUE"""),"GURU")</f>
        <v>GURU</v>
      </c>
      <c r="T2880" s="35" t="str">
        <f>IFERROR(__xludf.DUMMYFUNCTION("""COMPUTED_VALUE"""),"SUDAH 2 MINGGU LEBIH BERPALU , ABIS JATUH DARI MOTOR DAN KETABRAK TROTOAR KAKI SAYA MASIH SAKIT NYERI")</f>
        <v>SUDAH 2 MINGGU LEBIH BERPALU , ABIS JATUH DARI MOTOR DAN KETABRAK TROTOAR KAKI SAYA MASIH SAKIT NYERI</v>
      </c>
      <c r="U2880" s="35" t="str">
        <f>IFERROR(__xludf.DUMMYFUNCTION("""COMPUTED_VALUE"""),"OLAHRAGA ANGKAT BEBAN")</f>
        <v>OLAHRAGA ANGKAT BEBAN</v>
      </c>
      <c r="V2880" s="37" t="str">
        <f>IFERROR(__xludf.DUMMYFUNCTION("""COMPUTED_VALUE"""),"082255008820")</f>
        <v>082255008820</v>
      </c>
      <c r="W2880" s="45"/>
    </row>
    <row r="2881">
      <c r="A2881" s="45"/>
      <c r="B2881" s="24" t="str">
        <f>IFERROR(__xludf.DUMMYFUNCTION("""COMPUTED_VALUE"""),"20/09/2025 15:24:37")</f>
        <v>20/09/2025 15:24:37</v>
      </c>
      <c r="C2881" s="35"/>
      <c r="D2881" s="10">
        <f>IFERROR(__xludf.DUMMYFUNCTION("""COMPUTED_VALUE"""),45920.0)</f>
        <v>45920</v>
      </c>
      <c r="E2881" s="35" t="str">
        <f>IFERROR(__xludf.DUMMYFUNCTION("""COMPUTED_VALUE"""),"09Sep")</f>
        <v>09Sep</v>
      </c>
      <c r="F2881" s="34" t="str">
        <f>IFERROR(__xludf.DUMMYFUNCTION("""COMPUTED_VALUE"""),"2025")</f>
        <v>2025</v>
      </c>
      <c r="G2881" s="35" t="str">
        <f>IFERROR(__xludf.DUMMYFUNCTION("""COMPUTED_VALUE"""),"BAENAH")</f>
        <v>BAENAH</v>
      </c>
      <c r="H2881" s="35" t="str">
        <f>IFERROR(__xludf.DUMMYFUNCTION("""COMPUTED_VALUE"""),"B6525099498")</f>
        <v>B6525099498</v>
      </c>
      <c r="I2881" s="35">
        <f>IFERROR(__xludf.DUMMYFUNCTION("""COMPUTED_VALUE"""),60.0)</f>
        <v>60</v>
      </c>
      <c r="J2881" s="35" t="str">
        <f>IFERROR(__xludf.DUMMYFUNCTION("""COMPUTED_VALUE"""),"&gt; 44 tahun")</f>
        <v>&gt; 44 tahun</v>
      </c>
      <c r="K2881" s="21" t="str">
        <f>IFERROR(__xludf.DUMMYFUNCTION("""COMPUTED_VALUE"""),"21/07/1965")</f>
        <v>21/07/1965</v>
      </c>
      <c r="L2881" s="21" t="str">
        <f>IFERROR(__xludf.DUMMYFUNCTION("""COMPUTED_VALUE"""),"PEREMPUAN")</f>
        <v>PEREMPUAN</v>
      </c>
      <c r="M2881" s="35" t="str">
        <f>IFERROR(__xludf.DUMMYFUNCTION("""COMPUTED_VALUE"""),"JLN KOM YOS SUDARSO GANG HIDAYAH")</f>
        <v>JLN KOM YOS SUDARSO GANG HIDAYAH</v>
      </c>
      <c r="N2881" s="35" t="str">
        <f>IFERROR(__xludf.DUMMYFUNCTION("""COMPUTED_VALUE"""),"PUTUSSIBAU KOTA")</f>
        <v>PUTUSSIBAU KOTA</v>
      </c>
      <c r="O2881" s="35" t="str">
        <f>IFERROR(__xludf.DUMMYFUNCTION("""COMPUTED_VALUE"""),"PUTUSSIBAU UTARA")</f>
        <v>PUTUSSIBAU UTARA</v>
      </c>
      <c r="P2881" s="35" t="str">
        <f>IFERROR(__xludf.DUMMYFUNCTION("""COMPUTED_VALUE"""),"KAPUAS HULU")</f>
        <v>KAPUAS HULU</v>
      </c>
      <c r="Q2881" s="35" t="str">
        <f>IFERROR(__xludf.DUMMYFUNCTION("""COMPUTED_VALUE"""),"KALIMANTAN BARAT")</f>
        <v>KALIMANTAN BARAT</v>
      </c>
      <c r="R2881" s="21" t="str">
        <f>IFERROR(__xludf.DUMMYFUNCTION("""COMPUTED_VALUE"""),"ISLAM")</f>
        <v>ISLAM</v>
      </c>
      <c r="S2881" s="74" t="str">
        <f>IFERROR(__xludf.DUMMYFUNCTION("""COMPUTED_VALUE"""),"IBI RUMAH TANGGA")</f>
        <v>IBI RUMAH TANGGA</v>
      </c>
      <c r="T2881" s="35" t="str">
        <f>IFERROR(__xludf.DUMMYFUNCTION("""COMPUTED_VALUE"""),"JIKA JALAN LUTUT NYA SAKIT")</f>
        <v>JIKA JALAN LUTUT NYA SAKIT</v>
      </c>
      <c r="U2881" s="35" t="str">
        <f>IFERROR(__xludf.DUMMYFUNCTION("""COMPUTED_VALUE"""),"MEMASAK")</f>
        <v>MEMASAK</v>
      </c>
      <c r="V2881" s="37" t="str">
        <f>IFERROR(__xludf.DUMMYFUNCTION("""COMPUTED_VALUE"""),"082253989498")</f>
        <v>082253989498</v>
      </c>
      <c r="W2881" s="45"/>
    </row>
    <row r="2882">
      <c r="A2882" s="45"/>
      <c r="B2882" s="24" t="str">
        <f>IFERROR(__xludf.DUMMYFUNCTION("""COMPUTED_VALUE"""),"20/09/2025 18:50:57")</f>
        <v>20/09/2025 18:50:57</v>
      </c>
      <c r="C2882" s="35"/>
      <c r="D2882" s="10">
        <f>IFERROR(__xludf.DUMMYFUNCTION("""COMPUTED_VALUE"""),45920.0)</f>
        <v>45920</v>
      </c>
      <c r="E2882" s="35" t="str">
        <f>IFERROR(__xludf.DUMMYFUNCTION("""COMPUTED_VALUE"""),"09Sep")</f>
        <v>09Sep</v>
      </c>
      <c r="F2882" s="34" t="str">
        <f>IFERROR(__xludf.DUMMYFUNCTION("""COMPUTED_VALUE"""),"2025")</f>
        <v>2025</v>
      </c>
      <c r="G2882" s="35" t="str">
        <f>IFERROR(__xludf.DUMMYFUNCTION("""COMPUTED_VALUE"""),"PARANGE MANURUNG, S. H.")</f>
        <v>PARANGE MANURUNG, S. H.</v>
      </c>
      <c r="H2882" s="35" t="str">
        <f>IFERROR(__xludf.DUMMYFUNCTION("""COMPUTED_VALUE"""),"P7025095075")</f>
        <v>P7025095075</v>
      </c>
      <c r="I2882" s="35">
        <f>IFERROR(__xludf.DUMMYFUNCTION("""COMPUTED_VALUE"""),56.0)</f>
        <v>56</v>
      </c>
      <c r="J2882" s="35" t="str">
        <f>IFERROR(__xludf.DUMMYFUNCTION("""COMPUTED_VALUE"""),"&gt; 44 tahun")</f>
        <v>&gt; 44 tahun</v>
      </c>
      <c r="K2882" s="21" t="str">
        <f>IFERROR(__xludf.DUMMYFUNCTION("""COMPUTED_VALUE"""),"23/03/1970")</f>
        <v>23/03/1970</v>
      </c>
      <c r="L2882" s="21" t="str">
        <f>IFERROR(__xludf.DUMMYFUNCTION("""COMPUTED_VALUE"""),"PEREMPUAN")</f>
        <v>PEREMPUAN</v>
      </c>
      <c r="M2882" s="35" t="str">
        <f>IFERROR(__xludf.DUMMYFUNCTION("""COMPUTED_VALUE"""),"JL. DR. WAHIDIN KOMP. MITRA RAYA LESTARI 3 NO. A. 16")</f>
        <v>JL. DR. WAHIDIN KOMP. MITRA RAYA LESTARI 3 NO. A. 16</v>
      </c>
      <c r="N2882" s="35" t="str">
        <f>IFERROR(__xludf.DUMMYFUNCTION("""COMPUTED_VALUE"""),"SUNGAI JAWI")</f>
        <v>SUNGAI JAWI</v>
      </c>
      <c r="O2882" s="35" t="str">
        <f>IFERROR(__xludf.DUMMYFUNCTION("""COMPUTED_VALUE"""),"PONTIANAK KOTA")</f>
        <v>PONTIANAK KOTA</v>
      </c>
      <c r="P2882" s="35" t="str">
        <f>IFERROR(__xludf.DUMMYFUNCTION("""COMPUTED_VALUE"""),"KOTA PONTIANAK")</f>
        <v>KOTA PONTIANAK</v>
      </c>
      <c r="Q2882" s="35" t="str">
        <f>IFERROR(__xludf.DUMMYFUNCTION("""COMPUTED_VALUE"""),"KALIMANTAN BARAT")</f>
        <v>KALIMANTAN BARAT</v>
      </c>
      <c r="R2882" s="21" t="str">
        <f>IFERROR(__xludf.DUMMYFUNCTION("""COMPUTED_VALUE"""),"PROTESTAN")</f>
        <v>PROTESTAN</v>
      </c>
      <c r="S2882" s="74" t="str">
        <f>IFERROR(__xludf.DUMMYFUNCTION("""COMPUTED_VALUE"""),"WIRASWASTA")</f>
        <v>WIRASWASTA</v>
      </c>
      <c r="T2882" s="35" t="str">
        <f>IFERROR(__xludf.DUMMYFUNCTION("""COMPUTED_VALUE"""),"TANGAN BENGKAK DAN SAKIT")</f>
        <v>TANGAN BENGKAK DAN SAKIT</v>
      </c>
      <c r="U2882" s="35" t="str">
        <f>IFERROR(__xludf.DUMMYFUNCTION("""COMPUTED_VALUE"""),"NAIK MOTOR, MASAK, NYUCI")</f>
        <v>NAIK MOTOR, MASAK, NYUCI</v>
      </c>
      <c r="V2882" s="37" t="str">
        <f>IFERROR(__xludf.DUMMYFUNCTION("""COMPUTED_VALUE"""),"081257335075")</f>
        <v>081257335075</v>
      </c>
      <c r="W2882" s="45"/>
    </row>
    <row r="2883">
      <c r="A2883" s="45"/>
      <c r="B2883" s="24" t="str">
        <f>IFERROR(__xludf.DUMMYFUNCTION("""COMPUTED_VALUE"""),"21/09/2025 17:08:29")</f>
        <v>21/09/2025 17:08:29</v>
      </c>
      <c r="C2883" s="35"/>
      <c r="D2883" s="10">
        <f>IFERROR(__xludf.DUMMYFUNCTION("""COMPUTED_VALUE"""),45921.0)</f>
        <v>45921</v>
      </c>
      <c r="E2883" s="35" t="str">
        <f>IFERROR(__xludf.DUMMYFUNCTION("""COMPUTED_VALUE"""),"09Sep")</f>
        <v>09Sep</v>
      </c>
      <c r="F2883" s="34" t="str">
        <f>IFERROR(__xludf.DUMMYFUNCTION("""COMPUTED_VALUE"""),"2025")</f>
        <v>2025</v>
      </c>
      <c r="G2883" s="35" t="str">
        <f>IFERROR(__xludf.DUMMYFUNCTION("""COMPUTED_VALUE"""),"DESTRIYANA DARMASTUTI")</f>
        <v>DESTRIYANA DARMASTUTI</v>
      </c>
      <c r="H2883" s="35" t="str">
        <f>IFERROR(__xludf.DUMMYFUNCTION("""COMPUTED_VALUE"""),"D9025090308")</f>
        <v>D9025090308</v>
      </c>
      <c r="I2883" s="35">
        <f>IFERROR(__xludf.DUMMYFUNCTION("""COMPUTED_VALUE"""),35.0)</f>
        <v>35</v>
      </c>
      <c r="J2883" s="35" t="str">
        <f>IFERROR(__xludf.DUMMYFUNCTION("""COMPUTED_VALUE"""),"35-44 tahun")</f>
        <v>35-44 tahun</v>
      </c>
      <c r="K2883" s="21" t="str">
        <f>IFERROR(__xludf.DUMMYFUNCTION("""COMPUTED_VALUE"""),"07/12/1990")</f>
        <v>07/12/1990</v>
      </c>
      <c r="L2883" s="21" t="str">
        <f>IFERROR(__xludf.DUMMYFUNCTION("""COMPUTED_VALUE"""),"PEREMPUAN")</f>
        <v>PEREMPUAN</v>
      </c>
      <c r="M2883" s="35" t="str">
        <f>IFERROR(__xludf.DUMMYFUNCTION("""COMPUTED_VALUE"""),"JL. M YAMIN GG KELUARGA BERSAMA N0.41")</f>
        <v>JL. M YAMIN GG KELUARGA BERSAMA N0.41</v>
      </c>
      <c r="N2883" s="35" t="str">
        <f>IFERROR(__xludf.DUMMYFUNCTION("""COMPUTED_VALUE"""),"KOTABARU")</f>
        <v>KOTABARU</v>
      </c>
      <c r="O2883" s="35" t="str">
        <f>IFERROR(__xludf.DUMMYFUNCTION("""COMPUTED_VALUE"""),"PONTIANAK SELATAN")</f>
        <v>PONTIANAK SELATAN</v>
      </c>
      <c r="P2883" s="35" t="str">
        <f>IFERROR(__xludf.DUMMYFUNCTION("""COMPUTED_VALUE"""),"PONTIANAK")</f>
        <v>PONTIANAK</v>
      </c>
      <c r="Q2883" s="35" t="str">
        <f>IFERROR(__xludf.DUMMYFUNCTION("""COMPUTED_VALUE"""),"KALIMANTAN BARAT")</f>
        <v>KALIMANTAN BARAT</v>
      </c>
      <c r="R2883" s="21" t="str">
        <f>IFERROR(__xludf.DUMMYFUNCTION("""COMPUTED_VALUE"""),"ISLAM")</f>
        <v>ISLAM</v>
      </c>
      <c r="S2883" s="74" t="str">
        <f>IFERROR(__xludf.DUMMYFUNCTION("""COMPUTED_VALUE"""),"PNS")</f>
        <v>PNS</v>
      </c>
      <c r="T2883" s="35" t="str">
        <f>IFERROR(__xludf.DUMMYFUNCTION("""COMPUTED_VALUE"""),"PINGGANG")</f>
        <v>PINGGANG</v>
      </c>
      <c r="U2883" s="35" t="str">
        <f>IFERROR(__xludf.DUMMYFUNCTION("""COMPUTED_VALUE"""),"-")</f>
        <v>-</v>
      </c>
      <c r="V2883" s="37" t="str">
        <f>IFERROR(__xludf.DUMMYFUNCTION("""COMPUTED_VALUE"""),"085247140308")</f>
        <v>085247140308</v>
      </c>
      <c r="W2883" s="45"/>
    </row>
    <row r="2884">
      <c r="A2884" s="45"/>
      <c r="B2884" s="24" t="str">
        <f>IFERROR(__xludf.DUMMYFUNCTION("""COMPUTED_VALUE"""),"22/09/2025 11:22:25")</f>
        <v>22/09/2025 11:22:25</v>
      </c>
      <c r="C2884" s="35"/>
      <c r="D2884" s="10">
        <f>IFERROR(__xludf.DUMMYFUNCTION("""COMPUTED_VALUE"""),45922.0)</f>
        <v>45922</v>
      </c>
      <c r="E2884" s="35" t="str">
        <f>IFERROR(__xludf.DUMMYFUNCTION("""COMPUTED_VALUE"""),"09Sep")</f>
        <v>09Sep</v>
      </c>
      <c r="F2884" s="34" t="str">
        <f>IFERROR(__xludf.DUMMYFUNCTION("""COMPUTED_VALUE"""),"2025")</f>
        <v>2025</v>
      </c>
      <c r="G2884" s="35" t="str">
        <f>IFERROR(__xludf.DUMMYFUNCTION("""COMPUTED_VALUE"""),"MELINDA CAROLINA")</f>
        <v>MELINDA CAROLINA</v>
      </c>
      <c r="H2884" s="35" t="str">
        <f>IFERROR(__xludf.DUMMYFUNCTION("""COMPUTED_VALUE"""),"M9125091223")</f>
        <v>M9125091223</v>
      </c>
      <c r="I2884" s="35">
        <f>IFERROR(__xludf.DUMMYFUNCTION("""COMPUTED_VALUE"""),34.0)</f>
        <v>34</v>
      </c>
      <c r="J2884" s="35" t="str">
        <f>IFERROR(__xludf.DUMMYFUNCTION("""COMPUTED_VALUE"""),"25-34 tahun")</f>
        <v>25-34 tahun</v>
      </c>
      <c r="K2884" s="21" t="str">
        <f>IFERROR(__xludf.DUMMYFUNCTION("""COMPUTED_VALUE"""),"29/12/1991")</f>
        <v>29/12/1991</v>
      </c>
      <c r="L2884" s="21" t="str">
        <f>IFERROR(__xludf.DUMMYFUNCTION("""COMPUTED_VALUE"""),"PEREMPUAN")</f>
        <v>PEREMPUAN</v>
      </c>
      <c r="M2884" s="35" t="str">
        <f>IFERROR(__xludf.DUMMYFUNCTION("""COMPUTED_VALUE"""),"JL PUTRICANDRAMIDI 28A")</f>
        <v>JL PUTRICANDRAMIDI 28A</v>
      </c>
      <c r="N2884" s="35" t="str">
        <f>IFERROR(__xludf.DUMMYFUNCTION("""COMPUTED_VALUE"""),"SUI BANGKONG")</f>
        <v>SUI BANGKONG</v>
      </c>
      <c r="O2884" s="35" t="str">
        <f>IFERROR(__xludf.DUMMYFUNCTION("""COMPUTED_VALUE"""),"PONTIANAK KOTA")</f>
        <v>PONTIANAK KOTA</v>
      </c>
      <c r="P2884" s="35" t="str">
        <f>IFERROR(__xludf.DUMMYFUNCTION("""COMPUTED_VALUE"""),"PONTIANAK")</f>
        <v>PONTIANAK</v>
      </c>
      <c r="Q2884" s="35" t="str">
        <f>IFERROR(__xludf.DUMMYFUNCTION("""COMPUTED_VALUE"""),"KALIMANTAN BARAT")</f>
        <v>KALIMANTAN BARAT</v>
      </c>
      <c r="R2884" s="21" t="str">
        <f>IFERROR(__xludf.DUMMYFUNCTION("""COMPUTED_VALUE"""),"PROTESTAN")</f>
        <v>PROTESTAN</v>
      </c>
      <c r="S2884" s="74" t="str">
        <f>IFERROR(__xludf.DUMMYFUNCTION("""COMPUTED_VALUE"""),"IRT")</f>
        <v>IRT</v>
      </c>
      <c r="T2884" s="35" t="str">
        <f>IFERROR(__xludf.DUMMYFUNCTION("""COMPUTED_VALUE"""),"TENNIS ELBOW")</f>
        <v>TENNIS ELBOW</v>
      </c>
      <c r="U2884" s="35" t="str">
        <f>IFERROR(__xludf.DUMMYFUNCTION("""COMPUTED_VALUE"""),"TENIS")</f>
        <v>TENIS</v>
      </c>
      <c r="V2884" s="37" t="str">
        <f>IFERROR(__xludf.DUMMYFUNCTION("""COMPUTED_VALUE"""),"085252571223")</f>
        <v>085252571223</v>
      </c>
      <c r="W2884" s="45"/>
    </row>
    <row r="2885">
      <c r="A2885" s="45"/>
      <c r="B2885" s="24" t="str">
        <f>IFERROR(__xludf.DUMMYFUNCTION("""COMPUTED_VALUE"""),"22/09/2025 18:20:45")</f>
        <v>22/09/2025 18:20:45</v>
      </c>
      <c r="C2885" s="35"/>
      <c r="D2885" s="10">
        <f>IFERROR(__xludf.DUMMYFUNCTION("""COMPUTED_VALUE"""),45922.0)</f>
        <v>45922</v>
      </c>
      <c r="E2885" s="35" t="str">
        <f>IFERROR(__xludf.DUMMYFUNCTION("""COMPUTED_VALUE"""),"09Sep")</f>
        <v>09Sep</v>
      </c>
      <c r="F2885" s="34" t="str">
        <f>IFERROR(__xludf.DUMMYFUNCTION("""COMPUTED_VALUE"""),"2025")</f>
        <v>2025</v>
      </c>
      <c r="G2885" s="35" t="str">
        <f>IFERROR(__xludf.DUMMYFUNCTION("""COMPUTED_VALUE"""),"SAMUEL LISHAN")</f>
        <v>SAMUEL LISHAN</v>
      </c>
      <c r="H2885" s="35" t="str">
        <f>IFERROR(__xludf.DUMMYFUNCTION("""COMPUTED_VALUE"""),"S9425090056")</f>
        <v>S9425090056</v>
      </c>
      <c r="I2885" s="35">
        <f>IFERROR(__xludf.DUMMYFUNCTION("""COMPUTED_VALUE"""),31.0)</f>
        <v>31</v>
      </c>
      <c r="J2885" s="35" t="str">
        <f>IFERROR(__xludf.DUMMYFUNCTION("""COMPUTED_VALUE"""),"25-34 tahun")</f>
        <v>25-34 tahun</v>
      </c>
      <c r="K2885" s="21" t="str">
        <f>IFERROR(__xludf.DUMMYFUNCTION("""COMPUTED_VALUE"""),"13/10/1994")</f>
        <v>13/10/1994</v>
      </c>
      <c r="L2885" s="21" t="str">
        <f>IFERROR(__xludf.DUMMYFUNCTION("""COMPUTED_VALUE"""),"LAKI-LAKI")</f>
        <v>LAKI-LAKI</v>
      </c>
      <c r="M2885" s="35" t="str">
        <f>IFERROR(__xludf.DUMMYFUNCTION("""COMPUTED_VALUE"""),"JL.RAYAKAPUR KOMP MEGA LAVENDER RESIDEN")</f>
        <v>JL.RAYAKAPUR KOMP MEGA LAVENDER RESIDEN</v>
      </c>
      <c r="N2885" s="35" t="str">
        <f>IFERROR(__xludf.DUMMYFUNCTION("""COMPUTED_VALUE"""),"KAPUR")</f>
        <v>KAPUR</v>
      </c>
      <c r="O2885" s="35" t="str">
        <f>IFERROR(__xludf.DUMMYFUNCTION("""COMPUTED_VALUE"""),"SUNGAI RAYA")</f>
        <v>SUNGAI RAYA</v>
      </c>
      <c r="P2885" s="35" t="str">
        <f>IFERROR(__xludf.DUMMYFUNCTION("""COMPUTED_VALUE"""),"PONTIANAK")</f>
        <v>PONTIANAK</v>
      </c>
      <c r="Q2885" s="35" t="str">
        <f>IFERROR(__xludf.DUMMYFUNCTION("""COMPUTED_VALUE"""),"KALIMANTAN BARAR")</f>
        <v>KALIMANTAN BARAR</v>
      </c>
      <c r="R2885" s="21" t="str">
        <f>IFERROR(__xludf.DUMMYFUNCTION("""COMPUTED_VALUE"""),"LAINNYA")</f>
        <v>LAINNYA</v>
      </c>
      <c r="S2885" s="74" t="str">
        <f>IFERROR(__xludf.DUMMYFUNCTION("""COMPUTED_VALUE"""),"WIRASWASTA")</f>
        <v>WIRASWASTA</v>
      </c>
      <c r="T2885" s="35" t="str">
        <f>IFERROR(__xludf.DUMMYFUNCTION("""COMPUTED_VALUE"""),"TANGAN")</f>
        <v>TANGAN</v>
      </c>
      <c r="U2885" s="35" t="str">
        <f>IFERROR(__xludf.DUMMYFUNCTION("""COMPUTED_VALUE"""),"-")</f>
        <v>-</v>
      </c>
      <c r="V2885" s="37" t="str">
        <f>IFERROR(__xludf.DUMMYFUNCTION("""COMPUTED_VALUE"""),"081346590056")</f>
        <v>081346590056</v>
      </c>
      <c r="W2885" s="45"/>
    </row>
    <row r="2886">
      <c r="A2886" s="45"/>
      <c r="B2886" s="24" t="str">
        <f>IFERROR(__xludf.DUMMYFUNCTION("""COMPUTED_VALUE"""),"23/09/2025 8:37:59")</f>
        <v>23/09/2025 8:37:59</v>
      </c>
      <c r="C2886" s="35"/>
      <c r="D2886" s="10">
        <f>IFERROR(__xludf.DUMMYFUNCTION("""COMPUTED_VALUE"""),45923.0)</f>
        <v>45923</v>
      </c>
      <c r="E2886" s="35" t="str">
        <f>IFERROR(__xludf.DUMMYFUNCTION("""COMPUTED_VALUE"""),"09Sep")</f>
        <v>09Sep</v>
      </c>
      <c r="F2886" s="34" t="str">
        <f>IFERROR(__xludf.DUMMYFUNCTION("""COMPUTED_VALUE"""),"2025")</f>
        <v>2025</v>
      </c>
      <c r="G2886" s="35" t="str">
        <f>IFERROR(__xludf.DUMMYFUNCTION("""COMPUTED_VALUE"""),"LILI JARIAH")</f>
        <v>LILI JARIAH</v>
      </c>
      <c r="H2886" s="35" t="str">
        <f>IFERROR(__xludf.DUMMYFUNCTION("""COMPUTED_VALUE"""),"L8125099600")</f>
        <v>L8125099600</v>
      </c>
      <c r="I2886" s="35">
        <f>IFERROR(__xludf.DUMMYFUNCTION("""COMPUTED_VALUE"""),45.0)</f>
        <v>45</v>
      </c>
      <c r="J2886" s="35" t="str">
        <f>IFERROR(__xludf.DUMMYFUNCTION("""COMPUTED_VALUE"""),"&gt; 44 tahun")</f>
        <v>&gt; 44 tahun</v>
      </c>
      <c r="K2886" s="21" t="str">
        <f>IFERROR(__xludf.DUMMYFUNCTION("""COMPUTED_VALUE"""),"18/06/1981")</f>
        <v>18/06/1981</v>
      </c>
      <c r="L2886" s="21" t="str">
        <f>IFERROR(__xludf.DUMMYFUNCTION("""COMPUTED_VALUE"""),"PEREMPUAN")</f>
        <v>PEREMPUAN</v>
      </c>
      <c r="M2886" s="35" t="str">
        <f>IFERROR(__xludf.DUMMYFUNCTION("""COMPUTED_VALUE"""),"JL.TABRANI AHMAD KOMPLEK DUTA MARTA 2 NO 4A")</f>
        <v>JL.TABRANI AHMAD KOMPLEK DUTA MARTA 2 NO 4A</v>
      </c>
      <c r="N2886" s="35" t="str">
        <f>IFERROR(__xludf.DUMMYFUNCTION("""COMPUTED_VALUE"""),"PAL LIMA")</f>
        <v>PAL LIMA</v>
      </c>
      <c r="O2886" s="35" t="str">
        <f>IFERROR(__xludf.DUMMYFUNCTION("""COMPUTED_VALUE"""),"PONTIANAK BARAT")</f>
        <v>PONTIANAK BARAT</v>
      </c>
      <c r="P2886" s="35" t="str">
        <f>IFERROR(__xludf.DUMMYFUNCTION("""COMPUTED_VALUE"""),"KOTA PONTIANAK")</f>
        <v>KOTA PONTIANAK</v>
      </c>
      <c r="Q2886" s="35" t="str">
        <f>IFERROR(__xludf.DUMMYFUNCTION("""COMPUTED_VALUE"""),"KALIMANTAN BARAT")</f>
        <v>KALIMANTAN BARAT</v>
      </c>
      <c r="R2886" s="21" t="str">
        <f>IFERROR(__xludf.DUMMYFUNCTION("""COMPUTED_VALUE"""),"ISLAM")</f>
        <v>ISLAM</v>
      </c>
      <c r="S2886" s="74" t="str">
        <f>IFERROR(__xludf.DUMMYFUNCTION("""COMPUTED_VALUE"""),"IRT")</f>
        <v>IRT</v>
      </c>
      <c r="T2886" s="35" t="str">
        <f>IFERROR(__xludf.DUMMYFUNCTION("""COMPUTED_VALUE"""),"SAKIT PINGGANG KIRI")</f>
        <v>SAKIT PINGGANG KIRI</v>
      </c>
      <c r="U2886" s="35" t="str">
        <f>IFERROR(__xludf.DUMMYFUNCTION("""COMPUTED_VALUE"""),"CATERING")</f>
        <v>CATERING</v>
      </c>
      <c r="V2886" s="37" t="str">
        <f>IFERROR(__xludf.DUMMYFUNCTION("""COMPUTED_VALUE"""),"082148669600")</f>
        <v>082148669600</v>
      </c>
      <c r="W2886" s="45"/>
    </row>
    <row r="2887">
      <c r="A2887" s="45"/>
      <c r="B2887" s="24" t="str">
        <f>IFERROR(__xludf.DUMMYFUNCTION("""COMPUTED_VALUE"""),"23/09/2025 10:22:05")</f>
        <v>23/09/2025 10:22:05</v>
      </c>
      <c r="C2887" s="35"/>
      <c r="D2887" s="10">
        <f>IFERROR(__xludf.DUMMYFUNCTION("""COMPUTED_VALUE"""),45923.0)</f>
        <v>45923</v>
      </c>
      <c r="E2887" s="35" t="str">
        <f>IFERROR(__xludf.DUMMYFUNCTION("""COMPUTED_VALUE"""),"09Sep")</f>
        <v>09Sep</v>
      </c>
      <c r="F2887" s="34" t="str">
        <f>IFERROR(__xludf.DUMMYFUNCTION("""COMPUTED_VALUE"""),"2025")</f>
        <v>2025</v>
      </c>
      <c r="G2887" s="35" t="str">
        <f>IFERROR(__xludf.DUMMYFUNCTION("""COMPUTED_VALUE"""),"A. SYUKUR H. JAFRI")</f>
        <v>A. SYUKUR H. JAFRI</v>
      </c>
      <c r="H2887" s="35" t="str">
        <f>IFERROR(__xludf.DUMMYFUNCTION("""COMPUTED_VALUE"""),"A6125094370")</f>
        <v>A6125094370</v>
      </c>
      <c r="I2887" s="35">
        <f>IFERROR(__xludf.DUMMYFUNCTION("""COMPUTED_VALUE"""),64.0)</f>
        <v>64</v>
      </c>
      <c r="J2887" s="35" t="str">
        <f>IFERROR(__xludf.DUMMYFUNCTION("""COMPUTED_VALUE"""),"&gt; 44 tahun")</f>
        <v>&gt; 44 tahun</v>
      </c>
      <c r="K2887" s="21" t="str">
        <f>IFERROR(__xludf.DUMMYFUNCTION("""COMPUTED_VALUE"""),"10/11/1961")</f>
        <v>10/11/1961</v>
      </c>
      <c r="L2887" s="21" t="str">
        <f>IFERROR(__xludf.DUMMYFUNCTION("""COMPUTED_VALUE"""),"LAKI-LAKI")</f>
        <v>LAKI-LAKI</v>
      </c>
      <c r="M2887" s="35" t="str">
        <f>IFERROR(__xludf.DUMMYFUNCTION("""COMPUTED_VALUE"""),"JL PROF M YAMIN NO 40")</f>
        <v>JL PROF M YAMIN NO 40</v>
      </c>
      <c r="N2887" s="35" t="str">
        <f>IFERROR(__xludf.DUMMYFUNCTION("""COMPUTED_VALUE"""),"KELURAHAN KOTA BARU")</f>
        <v>KELURAHAN KOTA BARU</v>
      </c>
      <c r="O2887" s="35" t="str">
        <f>IFERROR(__xludf.DUMMYFUNCTION("""COMPUTED_VALUE"""),"PONTIANAK SELATAN")</f>
        <v>PONTIANAK SELATAN</v>
      </c>
      <c r="P2887" s="35" t="str">
        <f>IFERROR(__xludf.DUMMYFUNCTION("""COMPUTED_VALUE"""),"KOTA PONTIANAK")</f>
        <v>KOTA PONTIANAK</v>
      </c>
      <c r="Q2887" s="35" t="str">
        <f>IFERROR(__xludf.DUMMYFUNCTION("""COMPUTED_VALUE"""),"KALIMANTAN BARAT")</f>
        <v>KALIMANTAN BARAT</v>
      </c>
      <c r="R2887" s="21" t="str">
        <f>IFERROR(__xludf.DUMMYFUNCTION("""COMPUTED_VALUE"""),"ISLAM")</f>
        <v>ISLAM</v>
      </c>
      <c r="S2887" s="74" t="str">
        <f>IFERROR(__xludf.DUMMYFUNCTION("""COMPUTED_VALUE"""),"WIRASWASTA")</f>
        <v>WIRASWASTA</v>
      </c>
      <c r="T2887" s="35" t="str">
        <f>IFERROR(__xludf.DUMMYFUNCTION("""COMPUTED_VALUE"""),"NYERI DI SENDI BAHU, SAKIT KETIKA DI ANGKAT AGAK TINGGI")</f>
        <v>NYERI DI SENDI BAHU, SAKIT KETIKA DI ANGKAT AGAK TINGGI</v>
      </c>
      <c r="U2887" s="35" t="str">
        <f>IFERROR(__xludf.DUMMYFUNCTION("""COMPUTED_VALUE"""),"TERKADANG ANGKAT2 BARANG, TP TIDAK SETIAP HARI. ADA RIWAYAT JATUH")</f>
        <v>TERKADANG ANGKAT2 BARANG, TP TIDAK SETIAP HARI. ADA RIWAYAT JATUH</v>
      </c>
      <c r="V2887" s="37" t="str">
        <f>IFERROR(__xludf.DUMMYFUNCTION("""COMPUTED_VALUE"""),"082253274370")</f>
        <v>082253274370</v>
      </c>
      <c r="W2887" s="45"/>
    </row>
    <row r="2888">
      <c r="A2888" s="45"/>
      <c r="B2888" s="24" t="str">
        <f>IFERROR(__xludf.DUMMYFUNCTION("""COMPUTED_VALUE"""),"23/09/2025 12:38:24")</f>
        <v>23/09/2025 12:38:24</v>
      </c>
      <c r="C2888" s="35"/>
      <c r="D2888" s="10">
        <f>IFERROR(__xludf.DUMMYFUNCTION("""COMPUTED_VALUE"""),45923.0)</f>
        <v>45923</v>
      </c>
      <c r="E2888" s="35" t="str">
        <f>IFERROR(__xludf.DUMMYFUNCTION("""COMPUTED_VALUE"""),"09Sep")</f>
        <v>09Sep</v>
      </c>
      <c r="F2888" s="34" t="str">
        <f>IFERROR(__xludf.DUMMYFUNCTION("""COMPUTED_VALUE"""),"2025")</f>
        <v>2025</v>
      </c>
      <c r="G2888" s="35" t="str">
        <f>IFERROR(__xludf.DUMMYFUNCTION("""COMPUTED_VALUE"""),"AEGA YASA UTAMI")</f>
        <v>AEGA YASA UTAMI</v>
      </c>
      <c r="H2888" s="35" t="str">
        <f>IFERROR(__xludf.DUMMYFUNCTION("""COMPUTED_VALUE"""),"A8725092429")</f>
        <v>A8725092429</v>
      </c>
      <c r="I2888" s="35">
        <f>IFERROR(__xludf.DUMMYFUNCTION("""COMPUTED_VALUE"""),38.0)</f>
        <v>38</v>
      </c>
      <c r="J2888" s="35" t="str">
        <f>IFERROR(__xludf.DUMMYFUNCTION("""COMPUTED_VALUE"""),"35-44 tahun")</f>
        <v>35-44 tahun</v>
      </c>
      <c r="K2888" s="21" t="str">
        <f>IFERROR(__xludf.DUMMYFUNCTION("""COMPUTED_VALUE"""),"03/09/1987")</f>
        <v>03/09/1987</v>
      </c>
      <c r="L2888" s="21" t="str">
        <f>IFERROR(__xludf.DUMMYFUNCTION("""COMPUTED_VALUE"""),"PEREMPUAN")</f>
        <v>PEREMPUAN</v>
      </c>
      <c r="M2888" s="35" t="str">
        <f>IFERROR(__xludf.DUMMYFUNCTION("""COMPUTED_VALUE"""),"ASPOL SUBARKAH BLOK C NO. 4")</f>
        <v>ASPOL SUBARKAH BLOK C NO. 4</v>
      </c>
      <c r="N2888" s="35" t="str">
        <f>IFERROR(__xludf.DUMMYFUNCTION("""COMPUTED_VALUE"""),"PARITOKAYA")</f>
        <v>PARITOKAYA</v>
      </c>
      <c r="O2888" s="35" t="str">
        <f>IFERROR(__xludf.DUMMYFUNCTION("""COMPUTED_VALUE"""),"PONTIANAK SELATAN")</f>
        <v>PONTIANAK SELATAN</v>
      </c>
      <c r="P2888" s="35" t="str">
        <f>IFERROR(__xludf.DUMMYFUNCTION("""COMPUTED_VALUE"""),"PONTIANAK")</f>
        <v>PONTIANAK</v>
      </c>
      <c r="Q2888" s="35" t="str">
        <f>IFERROR(__xludf.DUMMYFUNCTION("""COMPUTED_VALUE"""),"KALBAR")</f>
        <v>KALBAR</v>
      </c>
      <c r="R2888" s="21" t="str">
        <f>IFERROR(__xludf.DUMMYFUNCTION("""COMPUTED_VALUE"""),"ISLAM")</f>
        <v>ISLAM</v>
      </c>
      <c r="S2888" s="74" t="str">
        <f>IFERROR(__xludf.DUMMYFUNCTION("""COMPUTED_VALUE"""),"PNS")</f>
        <v>PNS</v>
      </c>
      <c r="T2888" s="35" t="str">
        <f>IFERROR(__xludf.DUMMYFUNCTION("""COMPUTED_VALUE"""),"SAKIT DI BAGIAN LEHER")</f>
        <v>SAKIT DI BAGIAN LEHER</v>
      </c>
      <c r="U2888" s="35" t="str">
        <f>IFERROR(__xludf.DUMMYFUNCTION("""COMPUTED_VALUE"""),"SALAH POSISI SAAT TIDUR")</f>
        <v>SALAH POSISI SAAT TIDUR</v>
      </c>
      <c r="V2888" s="37" t="str">
        <f>IFERROR(__xludf.DUMMYFUNCTION("""COMPUTED_VALUE"""),"081381202429")</f>
        <v>081381202429</v>
      </c>
      <c r="W2888" s="45"/>
    </row>
    <row r="2889">
      <c r="A2889" s="45"/>
      <c r="B2889" s="24" t="str">
        <f>IFERROR(__xludf.DUMMYFUNCTION("""COMPUTED_VALUE"""),"23/09/2025 14:38:59")</f>
        <v>23/09/2025 14:38:59</v>
      </c>
      <c r="C2889" s="35"/>
      <c r="D2889" s="10">
        <f>IFERROR(__xludf.DUMMYFUNCTION("""COMPUTED_VALUE"""),45923.0)</f>
        <v>45923</v>
      </c>
      <c r="E2889" s="35" t="str">
        <f>IFERROR(__xludf.DUMMYFUNCTION("""COMPUTED_VALUE"""),"09Sep")</f>
        <v>09Sep</v>
      </c>
      <c r="F2889" s="34" t="str">
        <f>IFERROR(__xludf.DUMMYFUNCTION("""COMPUTED_VALUE"""),"2025")</f>
        <v>2025</v>
      </c>
      <c r="G2889" s="35" t="str">
        <f>IFERROR(__xludf.DUMMYFUNCTION("""COMPUTED_VALUE"""),"SYAHRIL AKBARI")</f>
        <v>SYAHRIL AKBARI</v>
      </c>
      <c r="H2889" s="35" t="str">
        <f>IFERROR(__xludf.DUMMYFUNCTION("""COMPUTED_VALUE"""),"S9725092033")</f>
        <v>S9725092033</v>
      </c>
      <c r="I2889" s="35">
        <f>IFERROR(__xludf.DUMMYFUNCTION("""COMPUTED_VALUE"""),29.0)</f>
        <v>29</v>
      </c>
      <c r="J2889" s="35" t="str">
        <f>IFERROR(__xludf.DUMMYFUNCTION("""COMPUTED_VALUE"""),"25-34 tahun")</f>
        <v>25-34 tahun</v>
      </c>
      <c r="K2889" s="21" t="str">
        <f>IFERROR(__xludf.DUMMYFUNCTION("""COMPUTED_VALUE"""),"10/02/1997")</f>
        <v>10/02/1997</v>
      </c>
      <c r="L2889" s="21" t="str">
        <f>IFERROR(__xludf.DUMMYFUNCTION("""COMPUTED_VALUE"""),"LAKI-LAKI")</f>
        <v>LAKI-LAKI</v>
      </c>
      <c r="M2889" s="35" t="str">
        <f>IFERROR(__xludf.DUMMYFUNCTION("""COMPUTED_VALUE"""),"JL. SUNGAI RAYA DALAM GG. AMALI NO. 30")</f>
        <v>JL. SUNGAI RAYA DALAM GG. AMALI NO. 30</v>
      </c>
      <c r="N2889" s="35" t="str">
        <f>IFERROR(__xludf.DUMMYFUNCTION("""COMPUTED_VALUE"""),"BANGKA BELITUNG DARAT")</f>
        <v>BANGKA BELITUNG DARAT</v>
      </c>
      <c r="O2889" s="35" t="str">
        <f>IFERROR(__xludf.DUMMYFUNCTION("""COMPUTED_VALUE"""),"PONTIANAK TENGGARA")</f>
        <v>PONTIANAK TENGGARA</v>
      </c>
      <c r="P2889" s="35" t="str">
        <f>IFERROR(__xludf.DUMMYFUNCTION("""COMPUTED_VALUE"""),"PONTIANAK")</f>
        <v>PONTIANAK</v>
      </c>
      <c r="Q2889" s="35" t="str">
        <f>IFERROR(__xludf.DUMMYFUNCTION("""COMPUTED_VALUE"""),"KALBAR")</f>
        <v>KALBAR</v>
      </c>
      <c r="R2889" s="21" t="str">
        <f>IFERROR(__xludf.DUMMYFUNCTION("""COMPUTED_VALUE"""),"ISLAM")</f>
        <v>ISLAM</v>
      </c>
      <c r="S2889" s="74" t="str">
        <f>IFERROR(__xludf.DUMMYFUNCTION("""COMPUTED_VALUE"""),"KEPOLISIAN RI (POLRI)")</f>
        <v>KEPOLISIAN RI (POLRI)</v>
      </c>
      <c r="T2889" s="35" t="str">
        <f>IFERROR(__xludf.DUMMYFUNCTION("""COMPUTED_VALUE"""),"CIDERA LUTUT")</f>
        <v>CIDERA LUTUT</v>
      </c>
      <c r="U2889" s="35" t="str">
        <f>IFERROR(__xludf.DUMMYFUNCTION("""COMPUTED_VALUE"""),"MAIN SEPAK BOLA")</f>
        <v>MAIN SEPAK BOLA</v>
      </c>
      <c r="V2889" s="37" t="str">
        <f>IFERROR(__xludf.DUMMYFUNCTION("""COMPUTED_VALUE"""),"081345022033")</f>
        <v>081345022033</v>
      </c>
      <c r="W2889" s="45"/>
    </row>
    <row r="2890">
      <c r="A2890" s="45"/>
      <c r="B2890" s="24" t="str">
        <f>IFERROR(__xludf.DUMMYFUNCTION("""COMPUTED_VALUE"""),"23/09/2025 15:22:56")</f>
        <v>23/09/2025 15:22:56</v>
      </c>
      <c r="C2890" s="35"/>
      <c r="D2890" s="10">
        <f>IFERROR(__xludf.DUMMYFUNCTION("""COMPUTED_VALUE"""),45923.0)</f>
        <v>45923</v>
      </c>
      <c r="E2890" s="35" t="str">
        <f>IFERROR(__xludf.DUMMYFUNCTION("""COMPUTED_VALUE"""),"09Sep")</f>
        <v>09Sep</v>
      </c>
      <c r="F2890" s="34" t="str">
        <f>IFERROR(__xludf.DUMMYFUNCTION("""COMPUTED_VALUE"""),"2025")</f>
        <v>2025</v>
      </c>
      <c r="G2890" s="35" t="str">
        <f>IFERROR(__xludf.DUMMYFUNCTION("""COMPUTED_VALUE"""),"PAYING")</f>
        <v>PAYING</v>
      </c>
      <c r="H2890" s="35" t="str">
        <f>IFERROR(__xludf.DUMMYFUNCTION("""COMPUTED_VALUE"""),"P6325090")</f>
        <v>P6325090</v>
      </c>
      <c r="I2890" s="35">
        <f>IFERROR(__xludf.DUMMYFUNCTION("""COMPUTED_VALUE"""),63.0)</f>
        <v>63</v>
      </c>
      <c r="J2890" s="35" t="str">
        <f>IFERROR(__xludf.DUMMYFUNCTION("""COMPUTED_VALUE"""),"&gt; 44 tahun")</f>
        <v>&gt; 44 tahun</v>
      </c>
      <c r="K2890" s="21" t="str">
        <f>IFERROR(__xludf.DUMMYFUNCTION("""COMPUTED_VALUE"""),"10/04/1963")</f>
        <v>10/04/1963</v>
      </c>
      <c r="L2890" s="21" t="str">
        <f>IFERROR(__xludf.DUMMYFUNCTION("""COMPUTED_VALUE"""),"LAKI-LAKI")</f>
        <v>LAKI-LAKI</v>
      </c>
      <c r="M2890" s="35" t="str">
        <f>IFERROR(__xludf.DUMMYFUNCTION("""COMPUTED_VALUE"""),"DUSUN TEMANGA")</f>
        <v>DUSUN TEMANGA</v>
      </c>
      <c r="N2890" s="35" t="str">
        <f>IFERROR(__xludf.DUMMYFUNCTION("""COMPUTED_VALUE"""),"LANDAU BUAYA")</f>
        <v>LANDAU BUAYA</v>
      </c>
      <c r="O2890" s="35" t="str">
        <f>IFERROR(__xludf.DUMMYFUNCTION("""COMPUTED_VALUE"""),"KETUNGAU TENGAH")</f>
        <v>KETUNGAU TENGAH</v>
      </c>
      <c r="P2890" s="35" t="str">
        <f>IFERROR(__xludf.DUMMYFUNCTION("""COMPUTED_VALUE"""),"PONTIANAK")</f>
        <v>PONTIANAK</v>
      </c>
      <c r="Q2890" s="35" t="str">
        <f>IFERROR(__xludf.DUMMYFUNCTION("""COMPUTED_VALUE"""),"KALIMANTAN BARAT")</f>
        <v>KALIMANTAN BARAT</v>
      </c>
      <c r="R2890" s="21" t="str">
        <f>IFERROR(__xludf.DUMMYFUNCTION("""COMPUTED_VALUE"""),"LAINNYA")</f>
        <v>LAINNYA</v>
      </c>
      <c r="S2890" s="74" t="str">
        <f>IFERROR(__xludf.DUMMYFUNCTION("""COMPUTED_VALUE"""),"PETANI")</f>
        <v>PETANI</v>
      </c>
      <c r="T2890" s="35" t="str">
        <f>IFERROR(__xludf.DUMMYFUNCTION("""COMPUTED_VALUE"""),"LEHER")</f>
        <v>LEHER</v>
      </c>
      <c r="U2890" s="35" t="str">
        <f>IFERROR(__xludf.DUMMYFUNCTION("""COMPUTED_VALUE"""),"BERTANI")</f>
        <v>BERTANI</v>
      </c>
      <c r="V2890" s="37" t="str">
        <f>IFERROR(__xludf.DUMMYFUNCTION("""COMPUTED_VALUE"""),"0")</f>
        <v>0</v>
      </c>
      <c r="W2890" s="45"/>
    </row>
    <row r="2891">
      <c r="A2891" s="45"/>
      <c r="B2891" s="24" t="str">
        <f>IFERROR(__xludf.DUMMYFUNCTION("""COMPUTED_VALUE"""),"24/09/2025 9:07:10")</f>
        <v>24/09/2025 9:07:10</v>
      </c>
      <c r="C2891" s="35"/>
      <c r="D2891" s="10">
        <f>IFERROR(__xludf.DUMMYFUNCTION("""COMPUTED_VALUE"""),45924.0)</f>
        <v>45924</v>
      </c>
      <c r="E2891" s="35" t="str">
        <f>IFERROR(__xludf.DUMMYFUNCTION("""COMPUTED_VALUE"""),"09Sep")</f>
        <v>09Sep</v>
      </c>
      <c r="F2891" s="34" t="str">
        <f>IFERROR(__xludf.DUMMYFUNCTION("""COMPUTED_VALUE"""),"2025")</f>
        <v>2025</v>
      </c>
      <c r="G2891" s="35" t="str">
        <f>IFERROR(__xludf.DUMMYFUNCTION("""COMPUTED_VALUE"""),"DIKIFIRNANDA")</f>
        <v>DIKIFIRNANDA</v>
      </c>
      <c r="H2891" s="35" t="str">
        <f>IFERROR(__xludf.DUMMYFUNCTION("""COMPUTED_VALUE"""),"D0525097586")</f>
        <v>D0525097586</v>
      </c>
      <c r="I2891" s="35">
        <f>IFERROR(__xludf.DUMMYFUNCTION("""COMPUTED_VALUE"""),21.0)</f>
        <v>21</v>
      </c>
      <c r="J2891" s="35" t="str">
        <f>IFERROR(__xludf.DUMMYFUNCTION("""COMPUTED_VALUE"""),"18-24 tahun")</f>
        <v>18-24 tahun</v>
      </c>
      <c r="K2891" s="21" t="str">
        <f>IFERROR(__xludf.DUMMYFUNCTION("""COMPUTED_VALUE"""),"10/04/2005")</f>
        <v>10/04/2005</v>
      </c>
      <c r="L2891" s="21" t="str">
        <f>IFERROR(__xludf.DUMMYFUNCTION("""COMPUTED_VALUE"""),"LAKI-LAKI")</f>
        <v>LAKI-LAKI</v>
      </c>
      <c r="M2891" s="35" t="str">
        <f>IFERROR(__xludf.DUMMYFUNCTION("""COMPUTED_VALUE"""),"JALAN RAYA PARIT BUGIS")</f>
        <v>JALAN RAYA PARIT BUGIS</v>
      </c>
      <c r="N2891" s="35" t="str">
        <f>IFERROR(__xludf.DUMMYFUNCTION("""COMPUTED_VALUE"""),"PARIT BUGIS")</f>
        <v>PARIT BUGIS</v>
      </c>
      <c r="O2891" s="35" t="str">
        <f>IFERROR(__xludf.DUMMYFUNCTION("""COMPUTED_VALUE"""),"SEGEDONG")</f>
        <v>SEGEDONG</v>
      </c>
      <c r="P2891" s="35" t="str">
        <f>IFERROR(__xludf.DUMMYFUNCTION("""COMPUTED_VALUE"""),"MEMPAWAH")</f>
        <v>MEMPAWAH</v>
      </c>
      <c r="Q2891" s="35" t="str">
        <f>IFERROR(__xludf.DUMMYFUNCTION("""COMPUTED_VALUE"""),"KALIMANTAN BARAT")</f>
        <v>KALIMANTAN BARAT</v>
      </c>
      <c r="R2891" s="21" t="str">
        <f>IFERROR(__xludf.DUMMYFUNCTION("""COMPUTED_VALUE"""),"ISLAM")</f>
        <v>ISLAM</v>
      </c>
      <c r="S2891" s="74" t="str">
        <f>IFERROR(__xludf.DUMMYFUNCTION("""COMPUTED_VALUE"""),"JAGA STAND")</f>
        <v>JAGA STAND</v>
      </c>
      <c r="T2891" s="35" t="str">
        <f>IFERROR(__xludf.DUMMYFUNCTION("""COMPUTED_VALUE"""),"TERTURUN/TURUN BEROK")</f>
        <v>TERTURUN/TURUN BEROK</v>
      </c>
      <c r="U2891" s="35" t="str">
        <f>IFERROR(__xludf.DUMMYFUNCTION("""COMPUTED_VALUE"""),"SAAT MAIN BOLA")</f>
        <v>SAAT MAIN BOLA</v>
      </c>
      <c r="V2891" s="37" t="str">
        <f>IFERROR(__xludf.DUMMYFUNCTION("""COMPUTED_VALUE"""),"083829667586")</f>
        <v>083829667586</v>
      </c>
      <c r="W2891" s="45"/>
    </row>
    <row r="2892">
      <c r="A2892" s="45"/>
      <c r="B2892" s="24" t="str">
        <f>IFERROR(__xludf.DUMMYFUNCTION("""COMPUTED_VALUE"""),"24/09/2025 12:08:51")</f>
        <v>24/09/2025 12:08:51</v>
      </c>
      <c r="C2892" s="35"/>
      <c r="D2892" s="10">
        <f>IFERROR(__xludf.DUMMYFUNCTION("""COMPUTED_VALUE"""),45924.0)</f>
        <v>45924</v>
      </c>
      <c r="E2892" s="35" t="str">
        <f>IFERROR(__xludf.DUMMYFUNCTION("""COMPUTED_VALUE"""),"09Sep")</f>
        <v>09Sep</v>
      </c>
      <c r="F2892" s="34" t="str">
        <f>IFERROR(__xludf.DUMMYFUNCTION("""COMPUTED_VALUE"""),"2025")</f>
        <v>2025</v>
      </c>
      <c r="G2892" s="35" t="str">
        <f>IFERROR(__xludf.DUMMYFUNCTION("""COMPUTED_VALUE"""),"SUPENDI")</f>
        <v>SUPENDI</v>
      </c>
      <c r="H2892" s="35" t="str">
        <f>IFERROR(__xludf.DUMMYFUNCTION("""COMPUTED_VALUE"""),"S8225092183")</f>
        <v>S8225092183</v>
      </c>
      <c r="I2892" s="35">
        <f>IFERROR(__xludf.DUMMYFUNCTION("""COMPUTED_VALUE"""),44.0)</f>
        <v>44</v>
      </c>
      <c r="J2892" s="35" t="str">
        <f>IFERROR(__xludf.DUMMYFUNCTION("""COMPUTED_VALUE"""),"35-44 tahun")</f>
        <v>35-44 tahun</v>
      </c>
      <c r="K2892" s="21" t="str">
        <f>IFERROR(__xludf.DUMMYFUNCTION("""COMPUTED_VALUE"""),"08/03/1982")</f>
        <v>08/03/1982</v>
      </c>
      <c r="L2892" s="21" t="str">
        <f>IFERROR(__xludf.DUMMYFUNCTION("""COMPUTED_VALUE"""),"LAKI-LAKI")</f>
        <v>LAKI-LAKI</v>
      </c>
      <c r="M2892" s="35" t="str">
        <f>IFERROR(__xludf.DUMMYFUNCTION("""COMPUTED_VALUE"""),"JL.PURNAMA NO.41")</f>
        <v>JL.PURNAMA NO.41</v>
      </c>
      <c r="N2892" s="35" t="str">
        <f>IFERROR(__xludf.DUMMYFUNCTION("""COMPUTED_VALUE"""),"AKCAYA")</f>
        <v>AKCAYA</v>
      </c>
      <c r="O2892" s="35" t="str">
        <f>IFERROR(__xludf.DUMMYFUNCTION("""COMPUTED_VALUE"""),"PONTIANAK SELATAN")</f>
        <v>PONTIANAK SELATAN</v>
      </c>
      <c r="P2892" s="35" t="str">
        <f>IFERROR(__xludf.DUMMYFUNCTION("""COMPUTED_VALUE"""),"PONTIANAK")</f>
        <v>PONTIANAK</v>
      </c>
      <c r="Q2892" s="35" t="str">
        <f>IFERROR(__xludf.DUMMYFUNCTION("""COMPUTED_VALUE"""),"KALIMANTAN BARAT")</f>
        <v>KALIMANTAN BARAT</v>
      </c>
      <c r="R2892" s="21" t="str">
        <f>IFERROR(__xludf.DUMMYFUNCTION("""COMPUTED_VALUE"""),"KATOLIK")</f>
        <v>KATOLIK</v>
      </c>
      <c r="S2892" s="74" t="str">
        <f>IFERROR(__xludf.DUMMYFUNCTION("""COMPUTED_VALUE"""),"PEGAWAI SWASTA")</f>
        <v>PEGAWAI SWASTA</v>
      </c>
      <c r="T2892" s="35" t="str">
        <f>IFERROR(__xludf.DUMMYFUNCTION("""COMPUTED_VALUE"""),"CIDERA HAMSTRING")</f>
        <v>CIDERA HAMSTRING</v>
      </c>
      <c r="U2892" s="35" t="str">
        <f>IFERROR(__xludf.DUMMYFUNCTION("""COMPUTED_VALUE"""),"OLAHRAGA MINI SOCCERS")</f>
        <v>OLAHRAGA MINI SOCCERS</v>
      </c>
      <c r="V2892" s="37" t="str">
        <f>IFERROR(__xludf.DUMMYFUNCTION("""COMPUTED_VALUE"""),"08125652183")</f>
        <v>08125652183</v>
      </c>
      <c r="W2892" s="45"/>
    </row>
    <row r="2893">
      <c r="A2893" s="45"/>
      <c r="B2893" s="24" t="str">
        <f>IFERROR(__xludf.DUMMYFUNCTION("""COMPUTED_VALUE"""),"24/09/2025 21:17:22")</f>
        <v>24/09/2025 21:17:22</v>
      </c>
      <c r="C2893" s="35"/>
      <c r="D2893" s="10">
        <f>IFERROR(__xludf.DUMMYFUNCTION("""COMPUTED_VALUE"""),45925.0)</f>
        <v>45925</v>
      </c>
      <c r="E2893" s="35" t="str">
        <f>IFERROR(__xludf.DUMMYFUNCTION("""COMPUTED_VALUE"""),"09Sep")</f>
        <v>09Sep</v>
      </c>
      <c r="F2893" s="34" t="str">
        <f>IFERROR(__xludf.DUMMYFUNCTION("""COMPUTED_VALUE"""),"2025")</f>
        <v>2025</v>
      </c>
      <c r="G2893" s="35" t="str">
        <f>IFERROR(__xludf.DUMMYFUNCTION("""COMPUTED_VALUE"""),"HELIE")</f>
        <v>HELIE</v>
      </c>
      <c r="H2893" s="35" t="str">
        <f>IFERROR(__xludf.DUMMYFUNCTION("""COMPUTED_VALUE"""),"H7825098625")</f>
        <v>H7825098625</v>
      </c>
      <c r="I2893" s="35">
        <f>IFERROR(__xludf.DUMMYFUNCTION("""COMPUTED_VALUE"""),47.0)</f>
        <v>47</v>
      </c>
      <c r="J2893" s="35" t="str">
        <f>IFERROR(__xludf.DUMMYFUNCTION("""COMPUTED_VALUE"""),"&gt; 44 tahun")</f>
        <v>&gt; 44 tahun</v>
      </c>
      <c r="K2893" s="21" t="str">
        <f>IFERROR(__xludf.DUMMYFUNCTION("""COMPUTED_VALUE"""),"17/09/1978")</f>
        <v>17/09/1978</v>
      </c>
      <c r="L2893" s="21" t="str">
        <f>IFERROR(__xludf.DUMMYFUNCTION("""COMPUTED_VALUE"""),"LAKI-LAKI")</f>
        <v>LAKI-LAKI</v>
      </c>
      <c r="M2893" s="35" t="str">
        <f>IFERROR(__xludf.DUMMYFUNCTION("""COMPUTED_VALUE"""),"JALAN PURING 2 BLOK CC NO 3")</f>
        <v>JALAN PURING 2 BLOK CC NO 3</v>
      </c>
      <c r="N2893" s="35" t="str">
        <f>IFERROR(__xludf.DUMMYFUNCTION("""COMPUTED_VALUE"""),"SIANTAN TENGAH")</f>
        <v>SIANTAN TENGAH</v>
      </c>
      <c r="O2893" s="35" t="str">
        <f>IFERROR(__xludf.DUMMYFUNCTION("""COMPUTED_VALUE"""),"PONTIANAK UTARA")</f>
        <v>PONTIANAK UTARA</v>
      </c>
      <c r="P2893" s="35" t="str">
        <f>IFERROR(__xludf.DUMMYFUNCTION("""COMPUTED_VALUE"""),"PONTIANAK UTARA")</f>
        <v>PONTIANAK UTARA</v>
      </c>
      <c r="Q2893" s="35" t="str">
        <f>IFERROR(__xludf.DUMMYFUNCTION("""COMPUTED_VALUE"""),"KALIMANTAN BARAT")</f>
        <v>KALIMANTAN BARAT</v>
      </c>
      <c r="R2893" s="21" t="str">
        <f>IFERROR(__xludf.DUMMYFUNCTION("""COMPUTED_VALUE"""),"KHONGHUCU")</f>
        <v>KHONGHUCU</v>
      </c>
      <c r="S2893" s="74" t="str">
        <f>IFERROR(__xludf.DUMMYFUNCTION("""COMPUTED_VALUE"""),"WIRASWASTA")</f>
        <v>WIRASWASTA</v>
      </c>
      <c r="T2893" s="35" t="str">
        <f>IFERROR(__xludf.DUMMYFUNCTION("""COMPUTED_VALUE"""),"SIANTAN")</f>
        <v>SIANTAN</v>
      </c>
      <c r="U2893" s="35" t="str">
        <f>IFERROR(__xludf.DUMMYFUNCTION("""COMPUTED_VALUE"""),"GYM")</f>
        <v>GYM</v>
      </c>
      <c r="V2893" s="37" t="str">
        <f>IFERROR(__xludf.DUMMYFUNCTION("""COMPUTED_VALUE"""),"0811578625")</f>
        <v>0811578625</v>
      </c>
      <c r="W2893" s="45"/>
    </row>
    <row r="2894">
      <c r="A2894" s="45"/>
      <c r="B2894" s="24" t="str">
        <f>IFERROR(__xludf.DUMMYFUNCTION("""COMPUTED_VALUE"""),"25/09/2025 12:57:11")</f>
        <v>25/09/2025 12:57:11</v>
      </c>
      <c r="C2894" s="35"/>
      <c r="D2894" s="10">
        <f>IFERROR(__xludf.DUMMYFUNCTION("""COMPUTED_VALUE"""),45925.0)</f>
        <v>45925</v>
      </c>
      <c r="E2894" s="35" t="str">
        <f>IFERROR(__xludf.DUMMYFUNCTION("""COMPUTED_VALUE"""),"09Sep")</f>
        <v>09Sep</v>
      </c>
      <c r="F2894" s="34" t="str">
        <f>IFERROR(__xludf.DUMMYFUNCTION("""COMPUTED_VALUE"""),"2025")</f>
        <v>2025</v>
      </c>
      <c r="G2894" s="35" t="str">
        <f>IFERROR(__xludf.DUMMYFUNCTION("""COMPUTED_VALUE"""),"M. FAIZ AZRIELRIANDRA")</f>
        <v>M. FAIZ AZRIELRIANDRA</v>
      </c>
      <c r="H2894" s="35" t="str">
        <f>IFERROR(__xludf.DUMMYFUNCTION("""COMPUTED_VALUE"""),"M0925093175")</f>
        <v>M0925093175</v>
      </c>
      <c r="I2894" s="35">
        <f>IFERROR(__xludf.DUMMYFUNCTION("""COMPUTED_VALUE"""),16.0)</f>
        <v>16</v>
      </c>
      <c r="J2894" s="35" t="str">
        <f>IFERROR(__xludf.DUMMYFUNCTION("""COMPUTED_VALUE"""),"&lt; 18 tahun")</f>
        <v>&lt; 18 tahun</v>
      </c>
      <c r="K2894" s="21" t="str">
        <f>IFERROR(__xludf.DUMMYFUNCTION("""COMPUTED_VALUE"""),"19/11/2009")</f>
        <v>19/11/2009</v>
      </c>
      <c r="L2894" s="21" t="str">
        <f>IFERROR(__xludf.DUMMYFUNCTION("""COMPUTED_VALUE"""),"LAKI-LAKI")</f>
        <v>LAKI-LAKI</v>
      </c>
      <c r="M2894" s="35" t="str">
        <f>IFERROR(__xludf.DUMMYFUNCTION("""COMPUTED_VALUE"""),"JL. DR. WAHIDIN GG. SEPAKAT 6 KOMP. PERTIWI INDAH BLOK E NO.4")</f>
        <v>JL. DR. WAHIDIN GG. SEPAKAT 6 KOMP. PERTIWI INDAH BLOK E NO.4</v>
      </c>
      <c r="N2894" s="35" t="str">
        <f>IFERROR(__xludf.DUMMYFUNCTION("""COMPUTED_VALUE"""),"SUNGAI JAWI")</f>
        <v>SUNGAI JAWI</v>
      </c>
      <c r="O2894" s="35" t="str">
        <f>IFERROR(__xludf.DUMMYFUNCTION("""COMPUTED_VALUE"""),"PONTIANAK KOTA")</f>
        <v>PONTIANAK KOTA</v>
      </c>
      <c r="P2894" s="35" t="str">
        <f>IFERROR(__xludf.DUMMYFUNCTION("""COMPUTED_VALUE"""),"PONTIANAK")</f>
        <v>PONTIANAK</v>
      </c>
      <c r="Q2894" s="35" t="str">
        <f>IFERROR(__xludf.DUMMYFUNCTION("""COMPUTED_VALUE"""),"KALIMANTAN BARAT")</f>
        <v>KALIMANTAN BARAT</v>
      </c>
      <c r="R2894" s="21" t="str">
        <f>IFERROR(__xludf.DUMMYFUNCTION("""COMPUTED_VALUE"""),"ISLAM")</f>
        <v>ISLAM</v>
      </c>
      <c r="S2894" s="74" t="str">
        <f>IFERROR(__xludf.DUMMYFUNCTION("""COMPUTED_VALUE"""),"PELAJAR")</f>
        <v>PELAJAR</v>
      </c>
      <c r="T2894" s="35" t="str">
        <f>IFERROR(__xludf.DUMMYFUNCTION("""COMPUTED_VALUE"""),"BAHU KANAN DAN KIRI TIDAK SAMA TINGGINYA")</f>
        <v>BAHU KANAN DAN KIRI TIDAK SAMA TINGGINYA</v>
      </c>
      <c r="U2894" s="35" t="str">
        <f>IFERROR(__xludf.DUMMYFUNCTION("""COMPUTED_VALUE"""),"SEKOLAH")</f>
        <v>SEKOLAH</v>
      </c>
      <c r="V2894" s="37" t="str">
        <f>IFERROR(__xludf.DUMMYFUNCTION("""COMPUTED_VALUE"""),"085247833175")</f>
        <v>085247833175</v>
      </c>
      <c r="W2894" s="45"/>
    </row>
    <row r="2895">
      <c r="A2895" s="45"/>
      <c r="B2895" s="24" t="str">
        <f>IFERROR(__xludf.DUMMYFUNCTION("""COMPUTED_VALUE"""),"24/09/2025 21:40:38")</f>
        <v>24/09/2025 21:40:38</v>
      </c>
      <c r="C2895" s="35"/>
      <c r="D2895" s="10">
        <f>IFERROR(__xludf.DUMMYFUNCTION("""COMPUTED_VALUE"""),45925.0)</f>
        <v>45925</v>
      </c>
      <c r="E2895" s="35" t="str">
        <f>IFERROR(__xludf.DUMMYFUNCTION("""COMPUTED_VALUE"""),"09Sep")</f>
        <v>09Sep</v>
      </c>
      <c r="F2895" s="34" t="str">
        <f>IFERROR(__xludf.DUMMYFUNCTION("""COMPUTED_VALUE"""),"2025")</f>
        <v>2025</v>
      </c>
      <c r="G2895" s="35" t="str">
        <f>IFERROR(__xludf.DUMMYFUNCTION("""COMPUTED_VALUE"""),"LUHUT SIHOMBING")</f>
        <v>LUHUT SIHOMBING</v>
      </c>
      <c r="H2895" s="35" t="str">
        <f>IFERROR(__xludf.DUMMYFUNCTION("""COMPUTED_VALUE"""),"L6225093510")</f>
        <v>L6225093510</v>
      </c>
      <c r="I2895" s="35">
        <f>IFERROR(__xludf.DUMMYFUNCTION("""COMPUTED_VALUE"""),63.0)</f>
        <v>63</v>
      </c>
      <c r="J2895" s="35" t="str">
        <f>IFERROR(__xludf.DUMMYFUNCTION("""COMPUTED_VALUE"""),"&gt; 44 tahun")</f>
        <v>&gt; 44 tahun</v>
      </c>
      <c r="K2895" s="21" t="str">
        <f>IFERROR(__xludf.DUMMYFUNCTION("""COMPUTED_VALUE"""),"20/12/1962")</f>
        <v>20/12/1962</v>
      </c>
      <c r="L2895" s="21" t="str">
        <f>IFERROR(__xludf.DUMMYFUNCTION("""COMPUTED_VALUE"""),"LAKI-LAKI")</f>
        <v>LAKI-LAKI</v>
      </c>
      <c r="M2895" s="35" t="str">
        <f>IFERROR(__xludf.DUMMYFUNCTION("""COMPUTED_VALUE"""),"BALAI BERKUAK, RT 004 RW 000")</f>
        <v>BALAI BERKUAK, RT 004 RW 000</v>
      </c>
      <c r="N2895" s="35" t="str">
        <f>IFERROR(__xludf.DUMMYFUNCTION("""COMPUTED_VALUE"""),"SUNGAI JAWI")</f>
        <v>SUNGAI JAWI</v>
      </c>
      <c r="O2895" s="35" t="str">
        <f>IFERROR(__xludf.DUMMYFUNCTION("""COMPUTED_VALUE"""),"SIMPANG HULU")</f>
        <v>SIMPANG HULU</v>
      </c>
      <c r="P2895" s="35" t="str">
        <f>IFERROR(__xludf.DUMMYFUNCTION("""COMPUTED_VALUE"""),"KETAPANG")</f>
        <v>KETAPANG</v>
      </c>
      <c r="Q2895" s="35" t="str">
        <f>IFERROR(__xludf.DUMMYFUNCTION("""COMPUTED_VALUE"""),"KALIMANTAN BARAT")</f>
        <v>KALIMANTAN BARAT</v>
      </c>
      <c r="R2895" s="21" t="str">
        <f>IFERROR(__xludf.DUMMYFUNCTION("""COMPUTED_VALUE"""),"KATOLIK")</f>
        <v>KATOLIK</v>
      </c>
      <c r="S2895" s="74" t="str">
        <f>IFERROR(__xludf.DUMMYFUNCTION("""COMPUTED_VALUE"""),"PENSIUN GURU")</f>
        <v>PENSIUN GURU</v>
      </c>
      <c r="T2895" s="35" t="str">
        <f>IFERROR(__xludf.DUMMYFUNCTION("""COMPUTED_VALUE"""),"SYARAF KEJEPIT")</f>
        <v>SYARAF KEJEPIT</v>
      </c>
      <c r="U2895" s="35" t="str">
        <f>IFERROR(__xludf.DUMMYFUNCTION("""COMPUTED_VALUE"""),"ANGKAT BERAT")</f>
        <v>ANGKAT BERAT</v>
      </c>
      <c r="V2895" s="37" t="str">
        <f>IFERROR(__xludf.DUMMYFUNCTION("""COMPUTED_VALUE"""),"085251443510")</f>
        <v>085251443510</v>
      </c>
      <c r="W2895" s="45"/>
    </row>
    <row r="2896">
      <c r="A2896" s="45"/>
      <c r="B2896" s="24" t="str">
        <f>IFERROR(__xludf.DUMMYFUNCTION("""COMPUTED_VALUE"""),"25/09/2025 13:59:35")</f>
        <v>25/09/2025 13:59:35</v>
      </c>
      <c r="C2896" s="35"/>
      <c r="D2896" s="10">
        <f>IFERROR(__xludf.DUMMYFUNCTION("""COMPUTED_VALUE"""),45925.0)</f>
        <v>45925</v>
      </c>
      <c r="E2896" s="35" t="str">
        <f>IFERROR(__xludf.DUMMYFUNCTION("""COMPUTED_VALUE"""),"09Sep")</f>
        <v>09Sep</v>
      </c>
      <c r="F2896" s="34" t="str">
        <f>IFERROR(__xludf.DUMMYFUNCTION("""COMPUTED_VALUE"""),"2025")</f>
        <v>2025</v>
      </c>
      <c r="G2896" s="35" t="str">
        <f>IFERROR(__xludf.DUMMYFUNCTION("""COMPUTED_VALUE"""),"MAWAR SARIANI")</f>
        <v>MAWAR SARIANI</v>
      </c>
      <c r="H2896" s="35" t="str">
        <f>IFERROR(__xludf.DUMMYFUNCTION("""COMPUTED_VALUE"""),"M9225090860")</f>
        <v>M9225090860</v>
      </c>
      <c r="I2896" s="35">
        <f>IFERROR(__xludf.DUMMYFUNCTION("""COMPUTED_VALUE"""),34.0)</f>
        <v>34</v>
      </c>
      <c r="J2896" s="35" t="str">
        <f>IFERROR(__xludf.DUMMYFUNCTION("""COMPUTED_VALUE"""),"25-34 tahun")</f>
        <v>25-34 tahun</v>
      </c>
      <c r="K2896" s="21" t="str">
        <f>IFERROR(__xludf.DUMMYFUNCTION("""COMPUTED_VALUE"""),"27/03/1992")</f>
        <v>27/03/1992</v>
      </c>
      <c r="L2896" s="21" t="str">
        <f>IFERROR(__xludf.DUMMYFUNCTION("""COMPUTED_VALUE"""),"PEREMPUAN")</f>
        <v>PEREMPUAN</v>
      </c>
      <c r="M2896" s="35" t="str">
        <f>IFERROR(__xludf.DUMMYFUNCTION("""COMPUTED_VALUE"""),"PERUMNAS 1 GG. KEMBANG SEPATU NO 19")</f>
        <v>PERUMNAS 1 GG. KEMBANG SEPATU NO 19</v>
      </c>
      <c r="N2896" s="35" t="str">
        <f>IFERROR(__xludf.DUMMYFUNCTION("""COMPUTED_VALUE"""),"SUI JAWI LUAR")</f>
        <v>SUI JAWI LUAR</v>
      </c>
      <c r="O2896" s="35" t="str">
        <f>IFERROR(__xludf.DUMMYFUNCTION("""COMPUTED_VALUE"""),"PONTIANAK BARAT")</f>
        <v>PONTIANAK BARAT</v>
      </c>
      <c r="P2896" s="35" t="str">
        <f>IFERROR(__xludf.DUMMYFUNCTION("""COMPUTED_VALUE"""),"PONTIANAK")</f>
        <v>PONTIANAK</v>
      </c>
      <c r="Q2896" s="35" t="str">
        <f>IFERROR(__xludf.DUMMYFUNCTION("""COMPUTED_VALUE"""),"KALIMANTAN BARAT")</f>
        <v>KALIMANTAN BARAT</v>
      </c>
      <c r="R2896" s="21" t="str">
        <f>IFERROR(__xludf.DUMMYFUNCTION("""COMPUTED_VALUE"""),"ISLAM")</f>
        <v>ISLAM</v>
      </c>
      <c r="S2896" s="74" t="str">
        <f>IFERROR(__xludf.DUMMYFUNCTION("""COMPUTED_VALUE"""),"IRT")</f>
        <v>IRT</v>
      </c>
      <c r="T2896" s="35" t="str">
        <f>IFERROR(__xludf.DUMMYFUNCTION("""COMPUTED_VALUE"""),"PLANTAR FASCIITIS")</f>
        <v>PLANTAR FASCIITIS</v>
      </c>
      <c r="U2896" s="35" t="str">
        <f>IFERROR(__xludf.DUMMYFUNCTION("""COMPUTED_VALUE"""),"GYM, RUNNING, DANCE")</f>
        <v>GYM, RUNNING, DANCE</v>
      </c>
      <c r="V2896" s="37" t="str">
        <f>IFERROR(__xludf.DUMMYFUNCTION("""COMPUTED_VALUE"""),"08988200860")</f>
        <v>08988200860</v>
      </c>
      <c r="W2896" s="45"/>
    </row>
    <row r="2897">
      <c r="A2897" s="45"/>
      <c r="B2897" s="24" t="str">
        <f>IFERROR(__xludf.DUMMYFUNCTION("""COMPUTED_VALUE"""),"25/09/2025 7:45:34")</f>
        <v>25/09/2025 7:45:34</v>
      </c>
      <c r="C2897" s="35"/>
      <c r="D2897" s="10">
        <f>IFERROR(__xludf.DUMMYFUNCTION("""COMPUTED_VALUE"""),45925.0)</f>
        <v>45925</v>
      </c>
      <c r="E2897" s="35" t="str">
        <f>IFERROR(__xludf.DUMMYFUNCTION("""COMPUTED_VALUE"""),"09Sep")</f>
        <v>09Sep</v>
      </c>
      <c r="F2897" s="34" t="str">
        <f>IFERROR(__xludf.DUMMYFUNCTION("""COMPUTED_VALUE"""),"2025")</f>
        <v>2025</v>
      </c>
      <c r="G2897" s="35" t="str">
        <f>IFERROR(__xludf.DUMMYFUNCTION("""COMPUTED_VALUE"""),"YUNI ISHAFIZA")</f>
        <v>YUNI ISHAFIZA</v>
      </c>
      <c r="H2897" s="35" t="str">
        <f>IFERROR(__xludf.DUMMYFUNCTION("""COMPUTED_VALUE"""),"Y6625092191")</f>
        <v>Y6625092191</v>
      </c>
      <c r="I2897" s="35">
        <f>IFERROR(__xludf.DUMMYFUNCTION("""COMPUTED_VALUE"""),59.0)</f>
        <v>59</v>
      </c>
      <c r="J2897" s="35" t="str">
        <f>IFERROR(__xludf.DUMMYFUNCTION("""COMPUTED_VALUE"""),"&gt; 44 tahun")</f>
        <v>&gt; 44 tahun</v>
      </c>
      <c r="K2897" s="21" t="str">
        <f>IFERROR(__xludf.DUMMYFUNCTION("""COMPUTED_VALUE"""),"26/06/1966")</f>
        <v>26/06/1966</v>
      </c>
      <c r="L2897" s="21" t="str">
        <f>IFERROR(__xludf.DUMMYFUNCTION("""COMPUTED_VALUE"""),"PEREMPUAN")</f>
        <v>PEREMPUAN</v>
      </c>
      <c r="M2897" s="35" t="str">
        <f>IFERROR(__xludf.DUMMYFUNCTION("""COMPUTED_VALUE"""),"JALAN KARYA BARU, KOMPLEK BALI AGUNG 1 NO.24B")</f>
        <v>JALAN KARYA BARU, KOMPLEK BALI AGUNG 1 NO.24B</v>
      </c>
      <c r="N2897" s="35" t="str">
        <f>IFERROR(__xludf.DUMMYFUNCTION("""COMPUTED_VALUE"""),"PONTIANAK SELATAN")</f>
        <v>PONTIANAK SELATAN</v>
      </c>
      <c r="O2897" s="35" t="str">
        <f>IFERROR(__xludf.DUMMYFUNCTION("""COMPUTED_VALUE"""),"PARIT TOKAYA")</f>
        <v>PARIT TOKAYA</v>
      </c>
      <c r="P2897" s="35" t="str">
        <f>IFERROR(__xludf.DUMMYFUNCTION("""COMPUTED_VALUE"""),"PONTIANAK")</f>
        <v>PONTIANAK</v>
      </c>
      <c r="Q2897" s="35" t="str">
        <f>IFERROR(__xludf.DUMMYFUNCTION("""COMPUTED_VALUE"""),"KALIMANTAN BARAT")</f>
        <v>KALIMANTAN BARAT</v>
      </c>
      <c r="R2897" s="21" t="str">
        <f>IFERROR(__xludf.DUMMYFUNCTION("""COMPUTED_VALUE"""),"ISLAM")</f>
        <v>ISLAM</v>
      </c>
      <c r="S2897" s="74" t="str">
        <f>IFERROR(__xludf.DUMMYFUNCTION("""COMPUTED_VALUE"""),"PENSIUNAN PNS")</f>
        <v>PENSIUNAN PNS</v>
      </c>
      <c r="T2897" s="35" t="str">
        <f>IFERROR(__xludf.DUMMYFUNCTION("""COMPUTED_VALUE"""),"KAKI KIRI SAKIT, NYER JUGA NGILU KARENA HABIS TABRAKAN")</f>
        <v>KAKI KIRI SAKIT, NYER JUGA NGILU KARENA HABIS TABRAKAN</v>
      </c>
      <c r="U2897" s="35" t="str">
        <f>IFERROR(__xludf.DUMMYFUNCTION("""COMPUTED_VALUE"""),"HARI JUMAT KEMARIN HABIS TABRAKAN")</f>
        <v>HARI JUMAT KEMARIN HABIS TABRAKAN</v>
      </c>
      <c r="V2897" s="37" t="str">
        <f>IFERROR(__xludf.DUMMYFUNCTION("""COMPUTED_VALUE"""),"082350682191")</f>
        <v>082350682191</v>
      </c>
      <c r="W2897" s="45"/>
    </row>
    <row r="2898">
      <c r="A2898" s="45"/>
      <c r="B2898" s="24" t="str">
        <f>IFERROR(__xludf.DUMMYFUNCTION("""COMPUTED_VALUE"""),"25/09/2025 20:12:20")</f>
        <v>25/09/2025 20:12:20</v>
      </c>
      <c r="C2898" s="35"/>
      <c r="D2898" s="10">
        <f>IFERROR(__xludf.DUMMYFUNCTION("""COMPUTED_VALUE"""),45925.0)</f>
        <v>45925</v>
      </c>
      <c r="E2898" s="35" t="str">
        <f>IFERROR(__xludf.DUMMYFUNCTION("""COMPUTED_VALUE"""),"09Sep")</f>
        <v>09Sep</v>
      </c>
      <c r="F2898" s="34" t="str">
        <f>IFERROR(__xludf.DUMMYFUNCTION("""COMPUTED_VALUE"""),"2025")</f>
        <v>2025</v>
      </c>
      <c r="G2898" s="35" t="str">
        <f>IFERROR(__xludf.DUMMYFUNCTION("""COMPUTED_VALUE"""),"KLEMENS SUADRIAN")</f>
        <v>KLEMENS SUADRIAN</v>
      </c>
      <c r="H2898" s="35" t="str">
        <f>IFERROR(__xludf.DUMMYFUNCTION("""COMPUTED_VALUE"""),"K8725099796")</f>
        <v>K8725099796</v>
      </c>
      <c r="I2898" s="35">
        <f>IFERROR(__xludf.DUMMYFUNCTION("""COMPUTED_VALUE"""),39.0)</f>
        <v>39</v>
      </c>
      <c r="J2898" s="35" t="str">
        <f>IFERROR(__xludf.DUMMYFUNCTION("""COMPUTED_VALUE"""),"35-44 tahun")</f>
        <v>35-44 tahun</v>
      </c>
      <c r="K2898" s="21" t="str">
        <f>IFERROR(__xludf.DUMMYFUNCTION("""COMPUTED_VALUE"""),"15/03/1987")</f>
        <v>15/03/1987</v>
      </c>
      <c r="L2898" s="21" t="str">
        <f>IFERROR(__xludf.DUMMYFUNCTION("""COMPUTED_VALUE"""),"PEREMPUAN")</f>
        <v>PEREMPUAN</v>
      </c>
      <c r="M2898" s="35" t="str">
        <f>IFERROR(__xludf.DUMMYFUNCTION("""COMPUTED_VALUE"""),"JLN. HUSEIN HAMZAH KOMP. HARVIN INDAH B-15")</f>
        <v>JLN. HUSEIN HAMZAH KOMP. HARVIN INDAH B-15</v>
      </c>
      <c r="N2898" s="35" t="str">
        <f>IFERROR(__xludf.DUMMYFUNCTION("""COMPUTED_VALUE"""),"SUNGAI JAWI DALAM")</f>
        <v>SUNGAI JAWI DALAM</v>
      </c>
      <c r="O2898" s="35" t="str">
        <f>IFERROR(__xludf.DUMMYFUNCTION("""COMPUTED_VALUE"""),"PONTIANAK BARAT")</f>
        <v>PONTIANAK BARAT</v>
      </c>
      <c r="P2898" s="35" t="str">
        <f>IFERROR(__xludf.DUMMYFUNCTION("""COMPUTED_VALUE"""),"KOTA PONTIANAK")</f>
        <v>KOTA PONTIANAK</v>
      </c>
      <c r="Q2898" s="35" t="str">
        <f>IFERROR(__xludf.DUMMYFUNCTION("""COMPUTED_VALUE"""),"KAL-BAR")</f>
        <v>KAL-BAR</v>
      </c>
      <c r="R2898" s="21" t="str">
        <f>IFERROR(__xludf.DUMMYFUNCTION("""COMPUTED_VALUE"""),"KATOLIK")</f>
        <v>KATOLIK</v>
      </c>
      <c r="S2898" s="74" t="str">
        <f>IFERROR(__xludf.DUMMYFUNCTION("""COMPUTED_VALUE"""),"SWASTA")</f>
        <v>SWASTA</v>
      </c>
      <c r="T2898" s="35" t="str">
        <f>IFERROR(__xludf.DUMMYFUNCTION("""COMPUTED_VALUE"""),"TERASA NYERI DIBAGIAN KANAN LUTUT LUAR")</f>
        <v>TERASA NYERI DIBAGIAN KANAN LUTUT LUAR</v>
      </c>
      <c r="U2898" s="35" t="str">
        <f>IFERROR(__xludf.DUMMYFUNCTION("""COMPUTED_VALUE"""),"SEPEDA")</f>
        <v>SEPEDA</v>
      </c>
      <c r="V2898" s="37" t="str">
        <f>IFERROR(__xludf.DUMMYFUNCTION("""COMPUTED_VALUE"""),"085849069796")</f>
        <v>085849069796</v>
      </c>
      <c r="W2898" s="45"/>
    </row>
    <row r="2899">
      <c r="A2899" s="45"/>
      <c r="B2899" s="24" t="str">
        <f>IFERROR(__xludf.DUMMYFUNCTION("""COMPUTED_VALUE"""),"25/09/2025 19:24:10")</f>
        <v>25/09/2025 19:24:10</v>
      </c>
      <c r="C2899" s="35"/>
      <c r="D2899" s="10">
        <f>IFERROR(__xludf.DUMMYFUNCTION("""COMPUTED_VALUE"""),45927.0)</f>
        <v>45927</v>
      </c>
      <c r="E2899" s="35" t="str">
        <f>IFERROR(__xludf.DUMMYFUNCTION("""COMPUTED_VALUE"""),"09Sep")</f>
        <v>09Sep</v>
      </c>
      <c r="F2899" s="34" t="str">
        <f>IFERROR(__xludf.DUMMYFUNCTION("""COMPUTED_VALUE"""),"2025")</f>
        <v>2025</v>
      </c>
      <c r="G2899" s="35" t="str">
        <f>IFERROR(__xludf.DUMMYFUNCTION("""COMPUTED_VALUE"""),"ADRIANA")</f>
        <v>ADRIANA</v>
      </c>
      <c r="H2899" s="35" t="str">
        <f>IFERROR(__xludf.DUMMYFUNCTION("""COMPUTED_VALUE"""),"A6925093510")</f>
        <v>A6925093510</v>
      </c>
      <c r="I2899" s="35">
        <f>IFERROR(__xludf.DUMMYFUNCTION("""COMPUTED_VALUE"""),57.0)</f>
        <v>57</v>
      </c>
      <c r="J2899" s="35" t="str">
        <f>IFERROR(__xludf.DUMMYFUNCTION("""COMPUTED_VALUE"""),"&gt; 44 tahun")</f>
        <v>&gt; 44 tahun</v>
      </c>
      <c r="K2899" s="21" t="str">
        <f>IFERROR(__xludf.DUMMYFUNCTION("""COMPUTED_VALUE"""),"03/02/1969")</f>
        <v>03/02/1969</v>
      </c>
      <c r="L2899" s="21" t="str">
        <f>IFERROR(__xludf.DUMMYFUNCTION("""COMPUTED_VALUE"""),"PEREMPUAN")</f>
        <v>PEREMPUAN</v>
      </c>
      <c r="M2899" s="35" t="str">
        <f>IFERROR(__xludf.DUMMYFUNCTION("""COMPUTED_VALUE"""),"BALAI BERKUAK")</f>
        <v>BALAI BERKUAK</v>
      </c>
      <c r="N2899" s="35" t="str">
        <f>IFERROR(__xludf.DUMMYFUNCTION("""COMPUTED_VALUE"""),"BALAI PINANG")</f>
        <v>BALAI PINANG</v>
      </c>
      <c r="O2899" s="35" t="str">
        <f>IFERROR(__xludf.DUMMYFUNCTION("""COMPUTED_VALUE"""),"SIMPANG HULU")</f>
        <v>SIMPANG HULU</v>
      </c>
      <c r="P2899" s="35" t="str">
        <f>IFERROR(__xludf.DUMMYFUNCTION("""COMPUTED_VALUE"""),"KETAPANG")</f>
        <v>KETAPANG</v>
      </c>
      <c r="Q2899" s="35" t="str">
        <f>IFERROR(__xludf.DUMMYFUNCTION("""COMPUTED_VALUE"""),"KALIMANTAN BARAT")</f>
        <v>KALIMANTAN BARAT</v>
      </c>
      <c r="R2899" s="21" t="str">
        <f>IFERROR(__xludf.DUMMYFUNCTION("""COMPUTED_VALUE"""),"KATOLIK")</f>
        <v>KATOLIK</v>
      </c>
      <c r="S2899" s="74" t="str">
        <f>IFERROR(__xludf.DUMMYFUNCTION("""COMPUTED_VALUE"""),"IBU RUMAH TANGGA")</f>
        <v>IBU RUMAH TANGGA</v>
      </c>
      <c r="T2899" s="35" t="str">
        <f>IFERROR(__xludf.DUMMYFUNCTION("""COMPUTED_VALUE"""),"SAKIT PINGGANG, PANTAT, DAN PERUT")</f>
        <v>SAKIT PINGGANG, PANTAT, DAN PERUT</v>
      </c>
      <c r="U2899" s="35" t="str">
        <f>IFERROR(__xludf.DUMMYFUNCTION("""COMPUTED_VALUE"""),"ANGKAT BERAT")</f>
        <v>ANGKAT BERAT</v>
      </c>
      <c r="V2899" s="37" t="str">
        <f>IFERROR(__xludf.DUMMYFUNCTION("""COMPUTED_VALUE"""),"085251443510")</f>
        <v>085251443510</v>
      </c>
      <c r="W2899" s="45"/>
    </row>
    <row r="2900">
      <c r="A2900" s="45"/>
      <c r="B2900" s="24" t="str">
        <f>IFERROR(__xludf.DUMMYFUNCTION("""COMPUTED_VALUE"""),"26/09/2025 9:55:09")</f>
        <v>26/09/2025 9:55:09</v>
      </c>
      <c r="C2900" s="35"/>
      <c r="D2900" s="10">
        <f>IFERROR(__xludf.DUMMYFUNCTION("""COMPUTED_VALUE"""),45926.0)</f>
        <v>45926</v>
      </c>
      <c r="E2900" s="35" t="str">
        <f>IFERROR(__xludf.DUMMYFUNCTION("""COMPUTED_VALUE"""),"09Sep")</f>
        <v>09Sep</v>
      </c>
      <c r="F2900" s="34" t="str">
        <f>IFERROR(__xludf.DUMMYFUNCTION("""COMPUTED_VALUE"""),"2025")</f>
        <v>2025</v>
      </c>
      <c r="G2900" s="35" t="str">
        <f>IFERROR(__xludf.DUMMYFUNCTION("""COMPUTED_VALUE"""),"RYUDINATA WILLIAM")</f>
        <v>RYUDINATA WILLIAM</v>
      </c>
      <c r="H2900" s="35" t="str">
        <f>IFERROR(__xludf.DUMMYFUNCTION("""COMPUTED_VALUE"""),"R1225091811")</f>
        <v>R1225091811</v>
      </c>
      <c r="I2900" s="35">
        <f>IFERROR(__xludf.DUMMYFUNCTION("""COMPUTED_VALUE"""),13.0)</f>
        <v>13</v>
      </c>
      <c r="J2900" s="35" t="str">
        <f>IFERROR(__xludf.DUMMYFUNCTION("""COMPUTED_VALUE"""),"&lt; 18 tahun")</f>
        <v>&lt; 18 tahun</v>
      </c>
      <c r="K2900" s="21" t="str">
        <f>IFERROR(__xludf.DUMMYFUNCTION("""COMPUTED_VALUE"""),"13/12/2012")</f>
        <v>13/12/2012</v>
      </c>
      <c r="L2900" s="21" t="str">
        <f>IFERROR(__xludf.DUMMYFUNCTION("""COMPUTED_VALUE"""),"LAKI-LAKI")</f>
        <v>LAKI-LAKI</v>
      </c>
      <c r="M2900" s="35" t="str">
        <f>IFERROR(__xludf.DUMMYFUNCTION("""COMPUTED_VALUE"""),"JL PURNAMA PELANGI INDAH NO D7")</f>
        <v>JL PURNAMA PELANGI INDAH NO D7</v>
      </c>
      <c r="N2900" s="35" t="str">
        <f>IFERROR(__xludf.DUMMYFUNCTION("""COMPUTED_VALUE"""),"PARIT TOKAYA")</f>
        <v>PARIT TOKAYA</v>
      </c>
      <c r="O2900" s="35" t="str">
        <f>IFERROR(__xludf.DUMMYFUNCTION("""COMPUTED_VALUE"""),"PONTIANAK SELATAN")</f>
        <v>PONTIANAK SELATAN</v>
      </c>
      <c r="P2900" s="35" t="str">
        <f>IFERROR(__xludf.DUMMYFUNCTION("""COMPUTED_VALUE"""),"PONTIANAK")</f>
        <v>PONTIANAK</v>
      </c>
      <c r="Q2900" s="35" t="str">
        <f>IFERROR(__xludf.DUMMYFUNCTION("""COMPUTED_VALUE"""),"KALIMANTAN BARAT")</f>
        <v>KALIMANTAN BARAT</v>
      </c>
      <c r="R2900" s="21" t="str">
        <f>IFERROR(__xludf.DUMMYFUNCTION("""COMPUTED_VALUE"""),"KATOLIK")</f>
        <v>KATOLIK</v>
      </c>
      <c r="S2900" s="74" t="str">
        <f>IFERROR(__xludf.DUMMYFUNCTION("""COMPUTED_VALUE"""),"SISWA")</f>
        <v>SISWA</v>
      </c>
      <c r="T2900" s="35" t="str">
        <f>IFERROR(__xludf.DUMMYFUNCTION("""COMPUTED_VALUE"""),"BUNGKUK")</f>
        <v>BUNGKUK</v>
      </c>
      <c r="U2900" s="35" t="str">
        <f>IFERROR(__xludf.DUMMYFUNCTION("""COMPUTED_VALUE"""),"SEKOLAH")</f>
        <v>SEKOLAH</v>
      </c>
      <c r="V2900" s="37" t="str">
        <f>IFERROR(__xludf.DUMMYFUNCTION("""COMPUTED_VALUE"""),"08115781811")</f>
        <v>08115781811</v>
      </c>
      <c r="W2900" s="45"/>
    </row>
    <row r="2901">
      <c r="A2901" s="45"/>
      <c r="B2901" s="24" t="str">
        <f>IFERROR(__xludf.DUMMYFUNCTION("""COMPUTED_VALUE"""),"26/09/2025 9:57:08")</f>
        <v>26/09/2025 9:57:08</v>
      </c>
      <c r="C2901" s="35"/>
      <c r="D2901" s="10">
        <f>IFERROR(__xludf.DUMMYFUNCTION("""COMPUTED_VALUE"""),45926.0)</f>
        <v>45926</v>
      </c>
      <c r="E2901" s="35" t="str">
        <f>IFERROR(__xludf.DUMMYFUNCTION("""COMPUTED_VALUE"""),"09Sep")</f>
        <v>09Sep</v>
      </c>
      <c r="F2901" s="34" t="str">
        <f>IFERROR(__xludf.DUMMYFUNCTION("""COMPUTED_VALUE"""),"2025")</f>
        <v>2025</v>
      </c>
      <c r="G2901" s="35" t="str">
        <f>IFERROR(__xludf.DUMMYFUNCTION("""COMPUTED_VALUE"""),"FRANKY WILLIAM")</f>
        <v>FRANKY WILLIAM</v>
      </c>
      <c r="H2901" s="35" t="str">
        <f>IFERROR(__xludf.DUMMYFUNCTION("""COMPUTED_VALUE"""),"F4925091811")</f>
        <v>F4925091811</v>
      </c>
      <c r="I2901" s="35">
        <f>IFERROR(__xludf.DUMMYFUNCTION("""COMPUTED_VALUE"""),76.0)</f>
        <v>76</v>
      </c>
      <c r="J2901" s="35" t="str">
        <f>IFERROR(__xludf.DUMMYFUNCTION("""COMPUTED_VALUE"""),"&gt; 44 tahun")</f>
        <v>&gt; 44 tahun</v>
      </c>
      <c r="K2901" s="21" t="str">
        <f>IFERROR(__xludf.DUMMYFUNCTION("""COMPUTED_VALUE"""),"11/11/1949")</f>
        <v>11/11/1949</v>
      </c>
      <c r="L2901" s="21" t="str">
        <f>IFERROR(__xludf.DUMMYFUNCTION("""COMPUTED_VALUE"""),"LAKI-LAKI")</f>
        <v>LAKI-LAKI</v>
      </c>
      <c r="M2901" s="35" t="str">
        <f>IFERROR(__xludf.DUMMYFUNCTION("""COMPUTED_VALUE"""),"JALAN PURNAMA PELANGI INDAH NO D7")</f>
        <v>JALAN PURNAMA PELANGI INDAH NO D7</v>
      </c>
      <c r="N2901" s="35" t="str">
        <f>IFERROR(__xludf.DUMMYFUNCTION("""COMPUTED_VALUE"""),"PARIT TOKAYA")</f>
        <v>PARIT TOKAYA</v>
      </c>
      <c r="O2901" s="35" t="str">
        <f>IFERROR(__xludf.DUMMYFUNCTION("""COMPUTED_VALUE"""),"PONTIANAK SELATAN")</f>
        <v>PONTIANAK SELATAN</v>
      </c>
      <c r="P2901" s="35" t="str">
        <f>IFERROR(__xludf.DUMMYFUNCTION("""COMPUTED_VALUE"""),"PONTIANAK")</f>
        <v>PONTIANAK</v>
      </c>
      <c r="Q2901" s="35" t="str">
        <f>IFERROR(__xludf.DUMMYFUNCTION("""COMPUTED_VALUE"""),"KALIMANTAN BARAT")</f>
        <v>KALIMANTAN BARAT</v>
      </c>
      <c r="R2901" s="21" t="str">
        <f>IFERROR(__xludf.DUMMYFUNCTION("""COMPUTED_VALUE"""),"KHONGHUCU")</f>
        <v>KHONGHUCU</v>
      </c>
      <c r="S2901" s="74" t="str">
        <f>IFERROR(__xludf.DUMMYFUNCTION("""COMPUTED_VALUE"""),"PENSIUN")</f>
        <v>PENSIUN</v>
      </c>
      <c r="T2901" s="35" t="str">
        <f>IFERROR(__xludf.DUMMYFUNCTION("""COMPUTED_VALUE"""),"KAKI GA KUAT")</f>
        <v>KAKI GA KUAT</v>
      </c>
      <c r="U2901" s="35" t="str">
        <f>IFERROR(__xludf.DUMMYFUNCTION("""COMPUTED_VALUE"""),"BERJALAN MENGGUNAKAN TONGKAT")</f>
        <v>BERJALAN MENGGUNAKAN TONGKAT</v>
      </c>
      <c r="V2901" s="37" t="str">
        <f>IFERROR(__xludf.DUMMYFUNCTION("""COMPUTED_VALUE"""),"08115781811")</f>
        <v>08115781811</v>
      </c>
      <c r="W2901" s="45"/>
    </row>
    <row r="2902">
      <c r="A2902" s="45"/>
      <c r="B2902" s="24" t="str">
        <f>IFERROR(__xludf.DUMMYFUNCTION("""COMPUTED_VALUE"""),"25/09/2025 23:19:07")</f>
        <v>25/09/2025 23:19:07</v>
      </c>
      <c r="C2902" s="35"/>
      <c r="D2902" s="10">
        <f>IFERROR(__xludf.DUMMYFUNCTION("""COMPUTED_VALUE"""),45926.0)</f>
        <v>45926</v>
      </c>
      <c r="E2902" s="35" t="str">
        <f>IFERROR(__xludf.DUMMYFUNCTION("""COMPUTED_VALUE"""),"09Sep")</f>
        <v>09Sep</v>
      </c>
      <c r="F2902" s="34" t="str">
        <f>IFERROR(__xludf.DUMMYFUNCTION("""COMPUTED_VALUE"""),"2025")</f>
        <v>2025</v>
      </c>
      <c r="G2902" s="35" t="str">
        <f>IFERROR(__xludf.DUMMYFUNCTION("""COMPUTED_VALUE"""),"LIU BI CUNG")</f>
        <v>LIU BI CUNG</v>
      </c>
      <c r="H2902" s="35" t="str">
        <f>IFERROR(__xludf.DUMMYFUNCTION("""COMPUTED_VALUE"""),"L6925096674")</f>
        <v>L6925096674</v>
      </c>
      <c r="I2902" s="35">
        <f>IFERROR(__xludf.DUMMYFUNCTION("""COMPUTED_VALUE"""),56.0)</f>
        <v>56</v>
      </c>
      <c r="J2902" s="35" t="str">
        <f>IFERROR(__xludf.DUMMYFUNCTION("""COMPUTED_VALUE"""),"&gt; 44 tahun")</f>
        <v>&gt; 44 tahun</v>
      </c>
      <c r="K2902" s="21" t="str">
        <f>IFERROR(__xludf.DUMMYFUNCTION("""COMPUTED_VALUE"""),"10/11/1969")</f>
        <v>10/11/1969</v>
      </c>
      <c r="L2902" s="21" t="str">
        <f>IFERROR(__xludf.DUMMYFUNCTION("""COMPUTED_VALUE"""),"LAKI-LAKI")</f>
        <v>LAKI-LAKI</v>
      </c>
      <c r="M2902" s="35" t="str">
        <f>IFERROR(__xludf.DUMMYFUNCTION("""COMPUTED_VALUE"""),"JL AYANI 2 KOMP. PIL BLOK E6 NO.12")</f>
        <v>JL AYANI 2 KOMP. PIL BLOK E6 NO.12</v>
      </c>
      <c r="N2902" s="35" t="str">
        <f>IFERROR(__xludf.DUMMYFUNCTION("""COMPUTED_VALUE"""),"PARIT BARU")</f>
        <v>PARIT BARU</v>
      </c>
      <c r="O2902" s="35" t="str">
        <f>IFERROR(__xludf.DUMMYFUNCTION("""COMPUTED_VALUE"""),"SUNGAI RAYA")</f>
        <v>SUNGAI RAYA</v>
      </c>
      <c r="P2902" s="35" t="str">
        <f>IFERROR(__xludf.DUMMYFUNCTION("""COMPUTED_VALUE"""),"KUBU RAYA")</f>
        <v>KUBU RAYA</v>
      </c>
      <c r="Q2902" s="35" t="str">
        <f>IFERROR(__xludf.DUMMYFUNCTION("""COMPUTED_VALUE"""),"KALIMANTAN BARAT")</f>
        <v>KALIMANTAN BARAT</v>
      </c>
      <c r="R2902" s="21" t="str">
        <f>IFERROR(__xludf.DUMMYFUNCTION("""COMPUTED_VALUE"""),"PROTESTAN")</f>
        <v>PROTESTAN</v>
      </c>
      <c r="S2902" s="74" t="str">
        <f>IFERROR(__xludf.DUMMYFUNCTION("""COMPUTED_VALUE"""),"WIRAUSAHA")</f>
        <v>WIRAUSAHA</v>
      </c>
      <c r="T2902" s="35" t="str">
        <f>IFERROR(__xludf.DUMMYFUNCTION("""COMPUTED_VALUE"""),"KNEE OSTEOARTHRITIS")</f>
        <v>KNEE OSTEOARTHRITIS</v>
      </c>
      <c r="U2902" s="35" t="str">
        <f>IFERROR(__xludf.DUMMYFUNCTION("""COMPUTED_VALUE"""),"-")</f>
        <v>-</v>
      </c>
      <c r="V2902" s="37" t="str">
        <f>IFERROR(__xludf.DUMMYFUNCTION("""COMPUTED_VALUE"""),"08125736674")</f>
        <v>08125736674</v>
      </c>
      <c r="W2902" s="45"/>
    </row>
    <row r="2903">
      <c r="A2903" s="45"/>
      <c r="B2903" s="24" t="str">
        <f>IFERROR(__xludf.DUMMYFUNCTION("""COMPUTED_VALUE"""),"26/09/2025 13:20:52")</f>
        <v>26/09/2025 13:20:52</v>
      </c>
      <c r="C2903" s="35"/>
      <c r="D2903" s="10">
        <f>IFERROR(__xludf.DUMMYFUNCTION("""COMPUTED_VALUE"""),45926.0)</f>
        <v>45926</v>
      </c>
      <c r="E2903" s="35" t="str">
        <f>IFERROR(__xludf.DUMMYFUNCTION("""COMPUTED_VALUE"""),"09Sep")</f>
        <v>09Sep</v>
      </c>
      <c r="F2903" s="34" t="str">
        <f>IFERROR(__xludf.DUMMYFUNCTION("""COMPUTED_VALUE"""),"2025")</f>
        <v>2025</v>
      </c>
      <c r="G2903" s="35" t="str">
        <f>IFERROR(__xludf.DUMMYFUNCTION("""COMPUTED_VALUE"""),"SANTUN TOGATOROP")</f>
        <v>SANTUN TOGATOROP</v>
      </c>
      <c r="H2903" s="35" t="str">
        <f>IFERROR(__xludf.DUMMYFUNCTION("""COMPUTED_VALUE"""),"S5925098785")</f>
        <v>S5925098785</v>
      </c>
      <c r="I2903" s="35">
        <f>IFERROR(__xludf.DUMMYFUNCTION("""COMPUTED_VALUE"""),66.0)</f>
        <v>66</v>
      </c>
      <c r="J2903" s="35" t="str">
        <f>IFERROR(__xludf.DUMMYFUNCTION("""COMPUTED_VALUE"""),"&gt; 44 tahun")</f>
        <v>&gt; 44 tahun</v>
      </c>
      <c r="K2903" s="21" t="str">
        <f>IFERROR(__xludf.DUMMYFUNCTION("""COMPUTED_VALUE"""),"06/09/1959")</f>
        <v>06/09/1959</v>
      </c>
      <c r="L2903" s="21" t="str">
        <f>IFERROR(__xludf.DUMMYFUNCTION("""COMPUTED_VALUE"""),"PEREMPUAN")</f>
        <v>PEREMPUAN</v>
      </c>
      <c r="M2903" s="35" t="str">
        <f>IFERROR(__xludf.DUMMYFUNCTION("""COMPUTED_VALUE"""),"JL. ILHAM KOMP ILHAM PERMAI BLOK C NO 1")</f>
        <v>JL. ILHAM KOMP ILHAM PERMAI BLOK C NO 1</v>
      </c>
      <c r="N2903" s="35" t="str">
        <f>IFERROR(__xludf.DUMMYFUNCTION("""COMPUTED_VALUE"""),"SUI BANGKONG")</f>
        <v>SUI BANGKONG</v>
      </c>
      <c r="O2903" s="35" t="str">
        <f>IFERROR(__xludf.DUMMYFUNCTION("""COMPUTED_VALUE"""),"PONTIANAK KOTA")</f>
        <v>PONTIANAK KOTA</v>
      </c>
      <c r="P2903" s="35" t="str">
        <f>IFERROR(__xludf.DUMMYFUNCTION("""COMPUTED_VALUE"""),"KOTA PONTIANAK")</f>
        <v>KOTA PONTIANAK</v>
      </c>
      <c r="Q2903" s="35" t="str">
        <f>IFERROR(__xludf.DUMMYFUNCTION("""COMPUTED_VALUE"""),"KALIMANTAN BARAT")</f>
        <v>KALIMANTAN BARAT</v>
      </c>
      <c r="R2903" s="21" t="str">
        <f>IFERROR(__xludf.DUMMYFUNCTION("""COMPUTED_VALUE"""),"PROTESTAN")</f>
        <v>PROTESTAN</v>
      </c>
      <c r="S2903" s="74" t="str">
        <f>IFERROR(__xludf.DUMMYFUNCTION("""COMPUTED_VALUE"""),"PENSIUNAN")</f>
        <v>PENSIUNAN</v>
      </c>
      <c r="T2903" s="35" t="str">
        <f>IFERROR(__xludf.DUMMYFUNCTION("""COMPUTED_VALUE"""),"LUTUT NYERI")</f>
        <v>LUTUT NYERI</v>
      </c>
      <c r="U2903" s="35" t="str">
        <f>IFERROR(__xludf.DUMMYFUNCTION("""COMPUTED_VALUE"""),"MEMBERSIHKAN RUMAH DAN MENGANGKAT ORANG SAKIT")</f>
        <v>MEMBERSIHKAN RUMAH DAN MENGANGKAT ORANG SAKIT</v>
      </c>
      <c r="V2903" s="37" t="str">
        <f>IFERROR(__xludf.DUMMYFUNCTION("""COMPUTED_VALUE"""),"081351998785")</f>
        <v>081351998785</v>
      </c>
      <c r="W2903" s="45"/>
    </row>
    <row r="2904">
      <c r="A2904" s="45"/>
      <c r="B2904" s="24" t="str">
        <f>IFERROR(__xludf.DUMMYFUNCTION("""COMPUTED_VALUE"""),"26/09/2025 14:00:34")</f>
        <v>26/09/2025 14:00:34</v>
      </c>
      <c r="C2904" s="35"/>
      <c r="D2904" s="10">
        <f>IFERROR(__xludf.DUMMYFUNCTION("""COMPUTED_VALUE"""),45927.0)</f>
        <v>45927</v>
      </c>
      <c r="E2904" s="35" t="str">
        <f>IFERROR(__xludf.DUMMYFUNCTION("""COMPUTED_VALUE"""),"09Sep")</f>
        <v>09Sep</v>
      </c>
      <c r="F2904" s="34" t="str">
        <f>IFERROR(__xludf.DUMMYFUNCTION("""COMPUTED_VALUE"""),"2025")</f>
        <v>2025</v>
      </c>
      <c r="G2904" s="35" t="str">
        <f>IFERROR(__xludf.DUMMYFUNCTION("""COMPUTED_VALUE"""),"AISHA NAJWA AQILA")</f>
        <v>AISHA NAJWA AQILA</v>
      </c>
      <c r="H2904" s="35" t="str">
        <f>IFERROR(__xludf.DUMMYFUNCTION("""COMPUTED_VALUE"""),"A0825098780")</f>
        <v>A0825098780</v>
      </c>
      <c r="I2904" s="35">
        <f>IFERROR(__xludf.DUMMYFUNCTION("""COMPUTED_VALUE"""),18.0)</f>
        <v>18</v>
      </c>
      <c r="J2904" s="35" t="str">
        <f>IFERROR(__xludf.DUMMYFUNCTION("""COMPUTED_VALUE"""),"&lt; 18 tahun")</f>
        <v>&lt; 18 tahun</v>
      </c>
      <c r="K2904" s="21" t="str">
        <f>IFERROR(__xludf.DUMMYFUNCTION("""COMPUTED_VALUE"""),"23/02/2008")</f>
        <v>23/02/2008</v>
      </c>
      <c r="L2904" s="21" t="str">
        <f>IFERROR(__xludf.DUMMYFUNCTION("""COMPUTED_VALUE"""),"PEREMPUAN")</f>
        <v>PEREMPUAN</v>
      </c>
      <c r="M2904" s="35" t="str">
        <f>IFERROR(__xludf.DUMMYFUNCTION("""COMPUTED_VALUE"""),"KOMPLEK BHAYANGKARA PERMAI BLOK E NO 2 SUNGAI RAYA DALAM")</f>
        <v>KOMPLEK BHAYANGKARA PERMAI BLOK E NO 2 SUNGAI RAYA DALAM</v>
      </c>
      <c r="N2904" s="35" t="str">
        <f>IFERROR(__xludf.DUMMYFUNCTION("""COMPUTED_VALUE"""),"SUNGAI RAYA")</f>
        <v>SUNGAI RAYA</v>
      </c>
      <c r="O2904" s="35" t="str">
        <f>IFERROR(__xludf.DUMMYFUNCTION("""COMPUTED_VALUE"""),"SUNGAI RAYA")</f>
        <v>SUNGAI RAYA</v>
      </c>
      <c r="P2904" s="35" t="str">
        <f>IFERROR(__xludf.DUMMYFUNCTION("""COMPUTED_VALUE"""),"KUBU RAYA")</f>
        <v>KUBU RAYA</v>
      </c>
      <c r="Q2904" s="35" t="str">
        <f>IFERROR(__xludf.DUMMYFUNCTION("""COMPUTED_VALUE"""),"KALIMANTAN BARAT")</f>
        <v>KALIMANTAN BARAT</v>
      </c>
      <c r="R2904" s="21" t="str">
        <f>IFERROR(__xludf.DUMMYFUNCTION("""COMPUTED_VALUE"""),"ISLAM")</f>
        <v>ISLAM</v>
      </c>
      <c r="S2904" s="74" t="str">
        <f>IFERROR(__xludf.DUMMYFUNCTION("""COMPUTED_VALUE"""),"PELAJAR")</f>
        <v>PELAJAR</v>
      </c>
      <c r="T2904" s="35" t="str">
        <f>IFERROR(__xludf.DUMMYFUNCTION("""COMPUTED_VALUE"""),"SAKIT DI LUTUT")</f>
        <v>SAKIT DI LUTUT</v>
      </c>
      <c r="U2904" s="35" t="str">
        <f>IFERROR(__xludf.DUMMYFUNCTION("""COMPUTED_VALUE"""),"MAIN BASKET")</f>
        <v>MAIN BASKET</v>
      </c>
      <c r="V2904" s="37" t="str">
        <f>IFERROR(__xludf.DUMMYFUNCTION("""COMPUTED_VALUE"""),"085787818780")</f>
        <v>085787818780</v>
      </c>
      <c r="W2904" s="45"/>
    </row>
    <row r="2905">
      <c r="A2905" s="45"/>
      <c r="B2905" s="24" t="str">
        <f>IFERROR(__xludf.DUMMYFUNCTION("""COMPUTED_VALUE"""),"27/09/2025 9:27:47")</f>
        <v>27/09/2025 9:27:47</v>
      </c>
      <c r="C2905" s="35"/>
      <c r="D2905" s="10">
        <f>IFERROR(__xludf.DUMMYFUNCTION("""COMPUTED_VALUE"""),45927.0)</f>
        <v>45927</v>
      </c>
      <c r="E2905" s="35" t="str">
        <f>IFERROR(__xludf.DUMMYFUNCTION("""COMPUTED_VALUE"""),"09Sep")</f>
        <v>09Sep</v>
      </c>
      <c r="F2905" s="34" t="str">
        <f>IFERROR(__xludf.DUMMYFUNCTION("""COMPUTED_VALUE"""),"2025")</f>
        <v>2025</v>
      </c>
      <c r="G2905" s="35" t="str">
        <f>IFERROR(__xludf.DUMMYFUNCTION("""COMPUTED_VALUE"""),"ENNY RATNAWATI")</f>
        <v>ENNY RATNAWATI</v>
      </c>
      <c r="H2905" s="35" t="str">
        <f>IFERROR(__xludf.DUMMYFUNCTION("""COMPUTED_VALUE"""),"E6025095285")</f>
        <v>E6025095285</v>
      </c>
      <c r="I2905" s="35">
        <f>IFERROR(__xludf.DUMMYFUNCTION("""COMPUTED_VALUE"""),66.0)</f>
        <v>66</v>
      </c>
      <c r="J2905" s="35" t="str">
        <f>IFERROR(__xludf.DUMMYFUNCTION("""COMPUTED_VALUE"""),"&gt; 44 tahun")</f>
        <v>&gt; 44 tahun</v>
      </c>
      <c r="K2905" s="21" t="str">
        <f>IFERROR(__xludf.DUMMYFUNCTION("""COMPUTED_VALUE"""),"11/01/1960")</f>
        <v>11/01/1960</v>
      </c>
      <c r="L2905" s="21" t="str">
        <f>IFERROR(__xludf.DUMMYFUNCTION("""COMPUTED_VALUE"""),"PEREMPUAN")</f>
        <v>PEREMPUAN</v>
      </c>
      <c r="M2905" s="35" t="str">
        <f>IFERROR(__xludf.DUMMYFUNCTION("""COMPUTED_VALUE"""),"JLN R.E MARTADINATA GG A RAHMAN NO 3C")</f>
        <v>JLN R.E MARTADINATA GG A RAHMAN NO 3C</v>
      </c>
      <c r="N2905" s="35" t="str">
        <f>IFERROR(__xludf.DUMMYFUNCTION("""COMPUTED_VALUE"""),"SUNGAI JAWI DALAM")</f>
        <v>SUNGAI JAWI DALAM</v>
      </c>
      <c r="O2905" s="35" t="str">
        <f>IFERROR(__xludf.DUMMYFUNCTION("""COMPUTED_VALUE"""),"PONTIANAK BARAT")</f>
        <v>PONTIANAK BARAT</v>
      </c>
      <c r="P2905" s="35" t="str">
        <f>IFERROR(__xludf.DUMMYFUNCTION("""COMPUTED_VALUE"""),"KOTA PONTIANAK")</f>
        <v>KOTA PONTIANAK</v>
      </c>
      <c r="Q2905" s="35" t="str">
        <f>IFERROR(__xludf.DUMMYFUNCTION("""COMPUTED_VALUE"""),"KALIMANTAN BARAT")</f>
        <v>KALIMANTAN BARAT</v>
      </c>
      <c r="R2905" s="21" t="str">
        <f>IFERROR(__xludf.DUMMYFUNCTION("""COMPUTED_VALUE"""),"ISLAM")</f>
        <v>ISLAM</v>
      </c>
      <c r="S2905" s="74" t="str">
        <f>IFERROR(__xludf.DUMMYFUNCTION("""COMPUTED_VALUE"""),"IBU RUMAH TANGGA")</f>
        <v>IBU RUMAH TANGGA</v>
      </c>
      <c r="T2905" s="35" t="str">
        <f>IFERROR(__xludf.DUMMYFUNCTION("""COMPUTED_VALUE"""),"KAKI KIRI SAKIT DI LUTUT BLKG LUAR KIRI")</f>
        <v>KAKI KIRI SAKIT DI LUTUT BLKG LUAR KIRI</v>
      </c>
      <c r="U2905" s="35" t="str">
        <f>IFERROR(__xludf.DUMMYFUNCTION("""COMPUTED_VALUE"""),"IBU RUMAH TANGGA")</f>
        <v>IBU RUMAH TANGGA</v>
      </c>
      <c r="V2905" s="37" t="str">
        <f>IFERROR(__xludf.DUMMYFUNCTION("""COMPUTED_VALUE"""),"08125635285")</f>
        <v>08125635285</v>
      </c>
      <c r="W2905" s="45"/>
    </row>
    <row r="2906">
      <c r="A2906" s="45"/>
      <c r="B2906" s="24" t="str">
        <f>IFERROR(__xludf.DUMMYFUNCTION("""COMPUTED_VALUE"""),"27/09/2025 9:28:16")</f>
        <v>27/09/2025 9:28:16</v>
      </c>
      <c r="C2906" s="35"/>
      <c r="D2906" s="10">
        <f>IFERROR(__xludf.DUMMYFUNCTION("""COMPUTED_VALUE"""),45927.0)</f>
        <v>45927</v>
      </c>
      <c r="E2906" s="35" t="str">
        <f>IFERROR(__xludf.DUMMYFUNCTION("""COMPUTED_VALUE"""),"09Sep")</f>
        <v>09Sep</v>
      </c>
      <c r="F2906" s="34" t="str">
        <f>IFERROR(__xludf.DUMMYFUNCTION("""COMPUTED_VALUE"""),"2025")</f>
        <v>2025</v>
      </c>
      <c r="G2906" s="35" t="str">
        <f>IFERROR(__xludf.DUMMYFUNCTION("""COMPUTED_VALUE"""),"SUYONO")</f>
        <v>SUYONO</v>
      </c>
      <c r="H2906" s="35" t="str">
        <f>IFERROR(__xludf.DUMMYFUNCTION("""COMPUTED_VALUE"""),"S7125096750")</f>
        <v>S7125096750</v>
      </c>
      <c r="I2906" s="35">
        <f>IFERROR(__xludf.DUMMYFUNCTION("""COMPUTED_VALUE"""),55.0)</f>
        <v>55</v>
      </c>
      <c r="J2906" s="35" t="str">
        <f>IFERROR(__xludf.DUMMYFUNCTION("""COMPUTED_VALUE"""),"&gt; 44 tahun")</f>
        <v>&gt; 44 tahun</v>
      </c>
      <c r="K2906" s="21" t="str">
        <f>IFERROR(__xludf.DUMMYFUNCTION("""COMPUTED_VALUE"""),"14/04/1971")</f>
        <v>14/04/1971</v>
      </c>
      <c r="L2906" s="21" t="str">
        <f>IFERROR(__xludf.DUMMYFUNCTION("""COMPUTED_VALUE"""),"LAKI-LAKI")</f>
        <v>LAKI-LAKI</v>
      </c>
      <c r="M2906" s="35" t="str">
        <f>IFERROR(__xludf.DUMMYFUNCTION("""COMPUTED_VALUE"""),"JL. KUCICA 16 BLOK JF 20 NO. 4")</f>
        <v>JL. KUCICA 16 BLOK JF 20 NO. 4</v>
      </c>
      <c r="N2906" s="35" t="str">
        <f>IFERROR(__xludf.DUMMYFUNCTION("""COMPUTED_VALUE"""),"PD PUCUNG")</f>
        <v>PD PUCUNG</v>
      </c>
      <c r="O2906" s="35" t="str">
        <f>IFERROR(__xludf.DUMMYFUNCTION("""COMPUTED_VALUE"""),"PD AREN")</f>
        <v>PD AREN</v>
      </c>
      <c r="P2906" s="35" t="str">
        <f>IFERROR(__xludf.DUMMYFUNCTION("""COMPUTED_VALUE"""),"TANGSEL")</f>
        <v>TANGSEL</v>
      </c>
      <c r="Q2906" s="35" t="str">
        <f>IFERROR(__xludf.DUMMYFUNCTION("""COMPUTED_VALUE"""),"BANTEN")</f>
        <v>BANTEN</v>
      </c>
      <c r="R2906" s="21" t="str">
        <f>IFERROR(__xludf.DUMMYFUNCTION("""COMPUTED_VALUE"""),"ISLAM")</f>
        <v>ISLAM</v>
      </c>
      <c r="S2906" s="74" t="str">
        <f>IFERROR(__xludf.DUMMYFUNCTION("""COMPUTED_VALUE"""),"KARYAWAN")</f>
        <v>KARYAWAN</v>
      </c>
      <c r="T2906" s="35" t="str">
        <f>IFERROR(__xludf.DUMMYFUNCTION("""COMPUTED_VALUE"""),"OTOT LENGAN KANAN")</f>
        <v>OTOT LENGAN KANAN</v>
      </c>
      <c r="U2906" s="35" t="str">
        <f>IFERROR(__xludf.DUMMYFUNCTION("""COMPUTED_VALUE"""),"TENIS")</f>
        <v>TENIS</v>
      </c>
      <c r="V2906" s="37" t="str">
        <f>IFERROR(__xludf.DUMMYFUNCTION("""COMPUTED_VALUE"""),"081310456750")</f>
        <v>081310456750</v>
      </c>
      <c r="W2906" s="45"/>
    </row>
    <row r="2907">
      <c r="A2907" s="45"/>
      <c r="B2907" s="24" t="str">
        <f>IFERROR(__xludf.DUMMYFUNCTION("""COMPUTED_VALUE"""),"27/09/2025 9:42:36")</f>
        <v>27/09/2025 9:42:36</v>
      </c>
      <c r="C2907" s="35"/>
      <c r="D2907" s="10">
        <f>IFERROR(__xludf.DUMMYFUNCTION("""COMPUTED_VALUE"""),45927.0)</f>
        <v>45927</v>
      </c>
      <c r="E2907" s="35" t="str">
        <f>IFERROR(__xludf.DUMMYFUNCTION("""COMPUTED_VALUE"""),"09Sep")</f>
        <v>09Sep</v>
      </c>
      <c r="F2907" s="34" t="str">
        <f>IFERROR(__xludf.DUMMYFUNCTION("""COMPUTED_VALUE"""),"2025")</f>
        <v>2025</v>
      </c>
      <c r="G2907" s="35" t="str">
        <f>IFERROR(__xludf.DUMMYFUNCTION("""COMPUTED_VALUE"""),"SUHERMAN")</f>
        <v>SUHERMAN</v>
      </c>
      <c r="H2907" s="35" t="str">
        <f>IFERROR(__xludf.DUMMYFUNCTION("""COMPUTED_VALUE"""),"S7625091177")</f>
        <v>S7625091177</v>
      </c>
      <c r="I2907" s="35">
        <f>IFERROR(__xludf.DUMMYFUNCTION("""COMPUTED_VALUE"""),49.0)</f>
        <v>49</v>
      </c>
      <c r="J2907" s="35" t="str">
        <f>IFERROR(__xludf.DUMMYFUNCTION("""COMPUTED_VALUE"""),"&gt; 44 tahun")</f>
        <v>&gt; 44 tahun</v>
      </c>
      <c r="K2907" s="21" t="str">
        <f>IFERROR(__xludf.DUMMYFUNCTION("""COMPUTED_VALUE"""),"18/09/1976")</f>
        <v>18/09/1976</v>
      </c>
      <c r="L2907" s="21" t="str">
        <f>IFERROR(__xludf.DUMMYFUNCTION("""COMPUTED_VALUE"""),"LAKI-LAKI")</f>
        <v>LAKI-LAKI</v>
      </c>
      <c r="M2907" s="35" t="str">
        <f>IFERROR(__xludf.DUMMYFUNCTION("""COMPUTED_VALUE"""),"JALAN MARTADINATA GANG MARTA NO.33")</f>
        <v>JALAN MARTADINATA GANG MARTA NO.33</v>
      </c>
      <c r="N2907" s="35" t="str">
        <f>IFERROR(__xludf.DUMMYFUNCTION("""COMPUTED_VALUE"""),"SUNGAI JAWI DALAM")</f>
        <v>SUNGAI JAWI DALAM</v>
      </c>
      <c r="O2907" s="35" t="str">
        <f>IFERROR(__xludf.DUMMYFUNCTION("""COMPUTED_VALUE"""),"PONTIANAK BARAT")</f>
        <v>PONTIANAK BARAT</v>
      </c>
      <c r="P2907" s="35" t="str">
        <f>IFERROR(__xludf.DUMMYFUNCTION("""COMPUTED_VALUE"""),"PONTIANAK")</f>
        <v>PONTIANAK</v>
      </c>
      <c r="Q2907" s="35" t="str">
        <f>IFERROR(__xludf.DUMMYFUNCTION("""COMPUTED_VALUE"""),"KALIMANTAN BARAT")</f>
        <v>KALIMANTAN BARAT</v>
      </c>
      <c r="R2907" s="21" t="str">
        <f>IFERROR(__xludf.DUMMYFUNCTION("""COMPUTED_VALUE"""),"ISLAM")</f>
        <v>ISLAM</v>
      </c>
      <c r="S2907" s="74" t="str">
        <f>IFERROR(__xludf.DUMMYFUNCTION("""COMPUTED_VALUE"""),"WIRASWASTA")</f>
        <v>WIRASWASTA</v>
      </c>
      <c r="T2907" s="35" t="str">
        <f>IFERROR(__xludf.DUMMYFUNCTION("""COMPUTED_VALUE"""),"CEDERA LUTUT")</f>
        <v>CEDERA LUTUT</v>
      </c>
      <c r="U2907" s="35" t="str">
        <f>IFERROR(__xludf.DUMMYFUNCTION("""COMPUTED_VALUE"""),"MAIN BADMINTON")</f>
        <v>MAIN BADMINTON</v>
      </c>
      <c r="V2907" s="37" t="str">
        <f>IFERROR(__xludf.DUMMYFUNCTION("""COMPUTED_VALUE"""),"081345901177")</f>
        <v>081345901177</v>
      </c>
      <c r="W2907" s="45"/>
    </row>
    <row r="2908">
      <c r="A2908" s="45"/>
      <c r="B2908" s="24" t="str">
        <f>IFERROR(__xludf.DUMMYFUNCTION("""COMPUTED_VALUE"""),"27/09/2025 10:57:13")</f>
        <v>27/09/2025 10:57:13</v>
      </c>
      <c r="C2908" s="35"/>
      <c r="D2908" s="10">
        <f>IFERROR(__xludf.DUMMYFUNCTION("""COMPUTED_VALUE"""),45927.0)</f>
        <v>45927</v>
      </c>
      <c r="E2908" s="35" t="str">
        <f>IFERROR(__xludf.DUMMYFUNCTION("""COMPUTED_VALUE"""),"09Sep")</f>
        <v>09Sep</v>
      </c>
      <c r="F2908" s="34" t="str">
        <f>IFERROR(__xludf.DUMMYFUNCTION("""COMPUTED_VALUE"""),"2025")</f>
        <v>2025</v>
      </c>
      <c r="G2908" s="35" t="str">
        <f>IFERROR(__xludf.DUMMYFUNCTION("""COMPUTED_VALUE"""),"HENG KENG SENG")</f>
        <v>HENG KENG SENG</v>
      </c>
      <c r="H2908" s="35" t="str">
        <f>IFERROR(__xludf.DUMMYFUNCTION("""COMPUTED_VALUE"""),"H5325098176")</f>
        <v>H5325098176</v>
      </c>
      <c r="I2908" s="35">
        <f>IFERROR(__xludf.DUMMYFUNCTION("""COMPUTED_VALUE"""),73.0)</f>
        <v>73</v>
      </c>
      <c r="J2908" s="35" t="str">
        <f>IFERROR(__xludf.DUMMYFUNCTION("""COMPUTED_VALUE"""),"&gt; 44 tahun")</f>
        <v>&gt; 44 tahun</v>
      </c>
      <c r="K2908" s="21" t="str">
        <f>IFERROR(__xludf.DUMMYFUNCTION("""COMPUTED_VALUE"""),"04/03/1953")</f>
        <v>04/03/1953</v>
      </c>
      <c r="L2908" s="21" t="str">
        <f>IFERROR(__xludf.DUMMYFUNCTION("""COMPUTED_VALUE"""),"LAKI-LAKI")</f>
        <v>LAKI-LAKI</v>
      </c>
      <c r="M2908" s="35" t="str">
        <f>IFERROR(__xludf.DUMMYFUNCTION("""COMPUTED_VALUE"""),"JLN PURNAMA GG. SURYA PURNAMA NO.18")</f>
        <v>JLN PURNAMA GG. SURYA PURNAMA NO.18</v>
      </c>
      <c r="N2908" s="35" t="str">
        <f>IFERROR(__xludf.DUMMYFUNCTION("""COMPUTED_VALUE"""),"AKCAYA")</f>
        <v>AKCAYA</v>
      </c>
      <c r="O2908" s="35" t="str">
        <f>IFERROR(__xludf.DUMMYFUNCTION("""COMPUTED_VALUE"""),"PONTIANAK SELATAN")</f>
        <v>PONTIANAK SELATAN</v>
      </c>
      <c r="P2908" s="35" t="str">
        <f>IFERROR(__xludf.DUMMYFUNCTION("""COMPUTED_VALUE"""),"KOTA PONTIANAK")</f>
        <v>KOTA PONTIANAK</v>
      </c>
      <c r="Q2908" s="35" t="str">
        <f>IFERROR(__xludf.DUMMYFUNCTION("""COMPUTED_VALUE"""),"KALIMANTAN BARAT")</f>
        <v>KALIMANTAN BARAT</v>
      </c>
      <c r="R2908" s="21" t="str">
        <f>IFERROR(__xludf.DUMMYFUNCTION("""COMPUTED_VALUE"""),"BUDDHA")</f>
        <v>BUDDHA</v>
      </c>
      <c r="S2908" s="74" t="str">
        <f>IFERROR(__xludf.DUMMYFUNCTION("""COMPUTED_VALUE"""),"PENSIUN")</f>
        <v>PENSIUN</v>
      </c>
      <c r="T2908" s="35" t="str">
        <f>IFERROR(__xludf.DUMMYFUNCTION("""COMPUTED_VALUE"""),"KAKI GAK BISA JONGKOK")</f>
        <v>KAKI GAK BISA JONGKOK</v>
      </c>
      <c r="U2908" s="35" t="str">
        <f>IFERROR(__xludf.DUMMYFUNCTION("""COMPUTED_VALUE"""),"——")</f>
        <v>——</v>
      </c>
      <c r="V2908" s="37" t="str">
        <f>IFERROR(__xludf.DUMMYFUNCTION("""COMPUTED_VALUE"""),"08118668176")</f>
        <v>08118668176</v>
      </c>
      <c r="W2908" s="45"/>
    </row>
    <row r="2909">
      <c r="A2909" s="45"/>
      <c r="B2909" s="24" t="str">
        <f>IFERROR(__xludf.DUMMYFUNCTION("""COMPUTED_VALUE"""),"27/09/2025 15:33:18")</f>
        <v>27/09/2025 15:33:18</v>
      </c>
      <c r="C2909" s="35"/>
      <c r="D2909" s="10">
        <f>IFERROR(__xludf.DUMMYFUNCTION("""COMPUTED_VALUE"""),45927.0)</f>
        <v>45927</v>
      </c>
      <c r="E2909" s="35" t="str">
        <f>IFERROR(__xludf.DUMMYFUNCTION("""COMPUTED_VALUE"""),"09Sep")</f>
        <v>09Sep</v>
      </c>
      <c r="F2909" s="34" t="str">
        <f>IFERROR(__xludf.DUMMYFUNCTION("""COMPUTED_VALUE"""),"2025")</f>
        <v>2025</v>
      </c>
      <c r="G2909" s="35" t="str">
        <f>IFERROR(__xludf.DUMMYFUNCTION("""COMPUTED_VALUE"""),"CINDY KURNIA CHAIRUMIN")</f>
        <v>CINDY KURNIA CHAIRUMIN</v>
      </c>
      <c r="H2909" s="35" t="str">
        <f>IFERROR(__xludf.DUMMYFUNCTION("""COMPUTED_VALUE"""),"C9125097470")</f>
        <v>C9125097470</v>
      </c>
      <c r="I2909" s="35">
        <f>IFERROR(__xludf.DUMMYFUNCTION("""COMPUTED_VALUE"""),35.0)</f>
        <v>35</v>
      </c>
      <c r="J2909" s="35" t="str">
        <f>IFERROR(__xludf.DUMMYFUNCTION("""COMPUTED_VALUE"""),"35-44 tahun")</f>
        <v>35-44 tahun</v>
      </c>
      <c r="K2909" s="21" t="str">
        <f>IFERROR(__xludf.DUMMYFUNCTION("""COMPUTED_VALUE"""),"18/03/1991")</f>
        <v>18/03/1991</v>
      </c>
      <c r="L2909" s="21" t="str">
        <f>IFERROR(__xludf.DUMMYFUNCTION("""COMPUTED_VALUE"""),"PEREMPUAN")</f>
        <v>PEREMPUAN</v>
      </c>
      <c r="M2909" s="35" t="str">
        <f>IFERROR(__xludf.DUMMYFUNCTION("""COMPUTED_VALUE"""),"JL BERINGIN NO. 85")</f>
        <v>JL BERINGIN NO. 85</v>
      </c>
      <c r="N2909" s="35" t="str">
        <f>IFERROR(__xludf.DUMMYFUNCTION("""COMPUTED_VALUE"""),"DARAT SEKIP")</f>
        <v>DARAT SEKIP</v>
      </c>
      <c r="O2909" s="35" t="str">
        <f>IFERROR(__xludf.DUMMYFUNCTION("""COMPUTED_VALUE"""),"PONTIANAK KOTA")</f>
        <v>PONTIANAK KOTA</v>
      </c>
      <c r="P2909" s="35" t="str">
        <f>IFERROR(__xludf.DUMMYFUNCTION("""COMPUTED_VALUE"""),"PONTIANAK")</f>
        <v>PONTIANAK</v>
      </c>
      <c r="Q2909" s="35" t="str">
        <f>IFERROR(__xludf.DUMMYFUNCTION("""COMPUTED_VALUE"""),"KALIMANTAN BARAT")</f>
        <v>KALIMANTAN BARAT</v>
      </c>
      <c r="R2909" s="21" t="str">
        <f>IFERROR(__xludf.DUMMYFUNCTION("""COMPUTED_VALUE"""),"KATOLIK")</f>
        <v>KATOLIK</v>
      </c>
      <c r="S2909" s="74" t="str">
        <f>IFERROR(__xludf.DUMMYFUNCTION("""COMPUTED_VALUE"""),"DOKTER GIGI")</f>
        <v>DOKTER GIGI</v>
      </c>
      <c r="T2909" s="35" t="str">
        <f>IFERROR(__xludf.DUMMYFUNCTION("""COMPUTED_VALUE"""),"ANKLE KESELEO PAS PADEL + BACKPAIN")</f>
        <v>ANKLE KESELEO PAS PADEL + BACKPAIN</v>
      </c>
      <c r="U2909" s="35" t="str">
        <f>IFERROR(__xludf.DUMMYFUNCTION("""COMPUTED_VALUE"""),"PEKERJAAN DOKTER GIGI")</f>
        <v>PEKERJAAN DOKTER GIGI</v>
      </c>
      <c r="V2909" s="37" t="str">
        <f>IFERROR(__xludf.DUMMYFUNCTION("""COMPUTED_VALUE"""),"081284177470")</f>
        <v>081284177470</v>
      </c>
      <c r="W2909" s="45"/>
    </row>
    <row r="2910">
      <c r="A2910" s="45"/>
      <c r="B2910" s="24" t="str">
        <f>IFERROR(__xludf.DUMMYFUNCTION("""COMPUTED_VALUE"""),"27/09/2025 15:35:51")</f>
        <v>27/09/2025 15:35:51</v>
      </c>
      <c r="C2910" s="35"/>
      <c r="D2910" s="10">
        <f>IFERROR(__xludf.DUMMYFUNCTION("""COMPUTED_VALUE"""),45927.0)</f>
        <v>45927</v>
      </c>
      <c r="E2910" s="35" t="str">
        <f>IFERROR(__xludf.DUMMYFUNCTION("""COMPUTED_VALUE"""),"09Sep")</f>
        <v>09Sep</v>
      </c>
      <c r="F2910" s="34" t="str">
        <f>IFERROR(__xludf.DUMMYFUNCTION("""COMPUTED_VALUE"""),"2025")</f>
        <v>2025</v>
      </c>
      <c r="G2910" s="35" t="str">
        <f>IFERROR(__xludf.DUMMYFUNCTION("""COMPUTED_VALUE"""),"NAI HAK KHIM")</f>
        <v>NAI HAK KHIM</v>
      </c>
      <c r="H2910" s="35" t="str">
        <f>IFERROR(__xludf.DUMMYFUNCTION("""COMPUTED_VALUE"""),"N6225097470")</f>
        <v>N6225097470</v>
      </c>
      <c r="I2910" s="35">
        <f>IFERROR(__xludf.DUMMYFUNCTION("""COMPUTED_VALUE"""),64.0)</f>
        <v>64</v>
      </c>
      <c r="J2910" s="35" t="str">
        <f>IFERROR(__xludf.DUMMYFUNCTION("""COMPUTED_VALUE"""),"&gt; 44 tahun")</f>
        <v>&gt; 44 tahun</v>
      </c>
      <c r="K2910" s="21" t="str">
        <f>IFERROR(__xludf.DUMMYFUNCTION("""COMPUTED_VALUE"""),"05/01/1962")</f>
        <v>05/01/1962</v>
      </c>
      <c r="L2910" s="21" t="str">
        <f>IFERROR(__xludf.DUMMYFUNCTION("""COMPUTED_VALUE"""),"PEREMPUAN")</f>
        <v>PEREMPUAN</v>
      </c>
      <c r="M2910" s="35" t="str">
        <f>IFERROR(__xludf.DUMMYFUNCTION("""COMPUTED_VALUE"""),"JL BERINGIN NO. 85")</f>
        <v>JL BERINGIN NO. 85</v>
      </c>
      <c r="N2910" s="35" t="str">
        <f>IFERROR(__xludf.DUMMYFUNCTION("""COMPUTED_VALUE"""),"DARAT SEKIP")</f>
        <v>DARAT SEKIP</v>
      </c>
      <c r="O2910" s="35" t="str">
        <f>IFERROR(__xludf.DUMMYFUNCTION("""COMPUTED_VALUE"""),"PONTIANAK KOTA")</f>
        <v>PONTIANAK KOTA</v>
      </c>
      <c r="P2910" s="35" t="str">
        <f>IFERROR(__xludf.DUMMYFUNCTION("""COMPUTED_VALUE"""),"PONTIANAK")</f>
        <v>PONTIANAK</v>
      </c>
      <c r="Q2910" s="35" t="str">
        <f>IFERROR(__xludf.DUMMYFUNCTION("""COMPUTED_VALUE"""),"KALIMANTAN BARAT")</f>
        <v>KALIMANTAN BARAT</v>
      </c>
      <c r="R2910" s="21" t="str">
        <f>IFERROR(__xludf.DUMMYFUNCTION("""COMPUTED_VALUE"""),"KATOLIK")</f>
        <v>KATOLIK</v>
      </c>
      <c r="S2910" s="74" t="str">
        <f>IFERROR(__xludf.DUMMYFUNCTION("""COMPUTED_VALUE"""),"IBU RUMAH TANGGA")</f>
        <v>IBU RUMAH TANGGA</v>
      </c>
      <c r="T2910" s="35" t="str">
        <f>IFERROR(__xludf.DUMMYFUNCTION("""COMPUTED_VALUE"""),"TELAPAK KAKI SAKIT")</f>
        <v>TELAPAK KAKI SAKIT</v>
      </c>
      <c r="U2910" s="35" t="str">
        <f>IFERROR(__xludf.DUMMYFUNCTION("""COMPUTED_VALUE"""),"-")</f>
        <v>-</v>
      </c>
      <c r="V2910" s="37" t="str">
        <f>IFERROR(__xludf.DUMMYFUNCTION("""COMPUTED_VALUE"""),"081284177470")</f>
        <v>081284177470</v>
      </c>
      <c r="W2910" s="45"/>
    </row>
    <row r="2911">
      <c r="A2911" s="45"/>
      <c r="B2911" s="24" t="str">
        <f>IFERROR(__xludf.DUMMYFUNCTION("""COMPUTED_VALUE"""),"27/09/2025 18:54:07")</f>
        <v>27/09/2025 18:54:07</v>
      </c>
      <c r="C2911" s="35"/>
      <c r="D2911" s="10">
        <f>IFERROR(__xludf.DUMMYFUNCTION("""COMPUTED_VALUE"""),45927.0)</f>
        <v>45927</v>
      </c>
      <c r="E2911" s="35" t="str">
        <f>IFERROR(__xludf.DUMMYFUNCTION("""COMPUTED_VALUE"""),"09Sep")</f>
        <v>09Sep</v>
      </c>
      <c r="F2911" s="34" t="str">
        <f>IFERROR(__xludf.DUMMYFUNCTION("""COMPUTED_VALUE"""),"2025")</f>
        <v>2025</v>
      </c>
      <c r="G2911" s="35" t="str">
        <f>IFERROR(__xludf.DUMMYFUNCTION("""COMPUTED_VALUE"""),"FITRI HALUDIAWATI")</f>
        <v>FITRI HALUDIAWATI</v>
      </c>
      <c r="H2911" s="35" t="str">
        <f>IFERROR(__xludf.DUMMYFUNCTION("""COMPUTED_VALUE"""),"F9725096709")</f>
        <v>F9725096709</v>
      </c>
      <c r="I2911" s="35">
        <f>IFERROR(__xludf.DUMMYFUNCTION("""COMPUTED_VALUE"""),28.0)</f>
        <v>28</v>
      </c>
      <c r="J2911" s="35" t="str">
        <f>IFERROR(__xludf.DUMMYFUNCTION("""COMPUTED_VALUE"""),"25-34 tahun")</f>
        <v>25-34 tahun</v>
      </c>
      <c r="K2911" s="21" t="str">
        <f>IFERROR(__xludf.DUMMYFUNCTION("""COMPUTED_VALUE"""),"12/09/1997")</f>
        <v>12/09/1997</v>
      </c>
      <c r="L2911" s="21" t="str">
        <f>IFERROR(__xludf.DUMMYFUNCTION("""COMPUTED_VALUE"""),"PEREMPUAN")</f>
        <v>PEREMPUAN</v>
      </c>
      <c r="M2911" s="35" t="str">
        <f>IFERROR(__xludf.DUMMYFUNCTION("""COMPUTED_VALUE"""),"PARIT HUSSIN , PUNGGUR KECIL")</f>
        <v>PARIT HUSSIN , PUNGGUR KECIL</v>
      </c>
      <c r="N2911" s="35" t="str">
        <f>IFERROR(__xludf.DUMMYFUNCTION("""COMPUTED_VALUE"""),"PUNGGUR KECIL")</f>
        <v>PUNGGUR KECIL</v>
      </c>
      <c r="O2911" s="35" t="str">
        <f>IFERROR(__xludf.DUMMYFUNCTION("""COMPUTED_VALUE"""),"SUI KAKAP")</f>
        <v>SUI KAKAP</v>
      </c>
      <c r="P2911" s="35" t="str">
        <f>IFERROR(__xludf.DUMMYFUNCTION("""COMPUTED_VALUE"""),"PONTIANAK")</f>
        <v>PONTIANAK</v>
      </c>
      <c r="Q2911" s="35" t="str">
        <f>IFERROR(__xludf.DUMMYFUNCTION("""COMPUTED_VALUE"""),"KALIMANTAN BARAT")</f>
        <v>KALIMANTAN BARAT</v>
      </c>
      <c r="R2911" s="21" t="str">
        <f>IFERROR(__xludf.DUMMYFUNCTION("""COMPUTED_VALUE"""),"ISLAM")</f>
        <v>ISLAM</v>
      </c>
      <c r="S2911" s="74" t="str">
        <f>IFERROR(__xludf.DUMMYFUNCTION("""COMPUTED_VALUE"""),"GURU")</f>
        <v>GURU</v>
      </c>
      <c r="T2911" s="35" t="str">
        <f>IFERROR(__xludf.DUMMYFUNCTION("""COMPUTED_VALUE"""),"CIDERA LUTUT")</f>
        <v>CIDERA LUTUT</v>
      </c>
      <c r="U2911" s="35" t="str">
        <f>IFERROR(__xludf.DUMMYFUNCTION("""COMPUTED_VALUE"""),"BOLA KAKI")</f>
        <v>BOLA KAKI</v>
      </c>
      <c r="V2911" s="37" t="str">
        <f>IFERROR(__xludf.DUMMYFUNCTION("""COMPUTED_VALUE"""),"085249896709")</f>
        <v>085249896709</v>
      </c>
      <c r="W2911" s="45"/>
    </row>
    <row r="2912">
      <c r="A2912" s="45"/>
      <c r="B2912" s="24" t="str">
        <f>IFERROR(__xludf.DUMMYFUNCTION("""COMPUTED_VALUE"""),"27/09/2025 19:07:23")</f>
        <v>27/09/2025 19:07:23</v>
      </c>
      <c r="C2912" s="35"/>
      <c r="D2912" s="10">
        <f>IFERROR(__xludf.DUMMYFUNCTION("""COMPUTED_VALUE"""),45927.0)</f>
        <v>45927</v>
      </c>
      <c r="E2912" s="35" t="str">
        <f>IFERROR(__xludf.DUMMYFUNCTION("""COMPUTED_VALUE"""),"09Sep")</f>
        <v>09Sep</v>
      </c>
      <c r="F2912" s="34" t="str">
        <f>IFERROR(__xludf.DUMMYFUNCTION("""COMPUTED_VALUE"""),"2025")</f>
        <v>2025</v>
      </c>
      <c r="G2912" s="35" t="str">
        <f>IFERROR(__xludf.DUMMYFUNCTION("""COMPUTED_VALUE"""),"LIM OI SIP ALS ERNY")</f>
        <v>LIM OI SIP ALS ERNY</v>
      </c>
      <c r="H2912" s="35" t="str">
        <f>IFERROR(__xludf.DUMMYFUNCTION("""COMPUTED_VALUE"""),"L5325099995")</f>
        <v>L5325099995</v>
      </c>
      <c r="I2912" s="35">
        <f>IFERROR(__xludf.DUMMYFUNCTION("""COMPUTED_VALUE"""),73.0)</f>
        <v>73</v>
      </c>
      <c r="J2912" s="35" t="str">
        <f>IFERROR(__xludf.DUMMYFUNCTION("""COMPUTED_VALUE"""),"&gt; 44 tahun")</f>
        <v>&gt; 44 tahun</v>
      </c>
      <c r="K2912" s="21" t="str">
        <f>IFERROR(__xludf.DUMMYFUNCTION("""COMPUTED_VALUE"""),"13/01/1953")</f>
        <v>13/01/1953</v>
      </c>
      <c r="L2912" s="21" t="str">
        <f>IFERROR(__xludf.DUMMYFUNCTION("""COMPUTED_VALUE"""),"PEREMPUAN")</f>
        <v>PEREMPUAN</v>
      </c>
      <c r="M2912" s="35" t="str">
        <f>IFERROR(__xludf.DUMMYFUNCTION("""COMPUTED_VALUE"""),"JALAN SUPRAPTO 2 NO.6A")</f>
        <v>JALAN SUPRAPTO 2 NO.6A</v>
      </c>
      <c r="N2912" s="35" t="str">
        <f>IFERROR(__xludf.DUMMYFUNCTION("""COMPUTED_VALUE"""),"BENUA MELAYU DARAT")</f>
        <v>BENUA MELAYU DARAT</v>
      </c>
      <c r="O2912" s="35" t="str">
        <f>IFERROR(__xludf.DUMMYFUNCTION("""COMPUTED_VALUE"""),"PONTIANAK SELATAN")</f>
        <v>PONTIANAK SELATAN</v>
      </c>
      <c r="P2912" s="35" t="str">
        <f>IFERROR(__xludf.DUMMYFUNCTION("""COMPUTED_VALUE"""),"PONTIANAK")</f>
        <v>PONTIANAK</v>
      </c>
      <c r="Q2912" s="35" t="str">
        <f>IFERROR(__xludf.DUMMYFUNCTION("""COMPUTED_VALUE"""),"KALIMANTAN BARAT")</f>
        <v>KALIMANTAN BARAT</v>
      </c>
      <c r="R2912" s="21" t="str">
        <f>IFERROR(__xludf.DUMMYFUNCTION("""COMPUTED_VALUE"""),"KATOLIK")</f>
        <v>KATOLIK</v>
      </c>
      <c r="S2912" s="74" t="str">
        <f>IFERROR(__xludf.DUMMYFUNCTION("""COMPUTED_VALUE"""),"KARYAWAN SWASTA")</f>
        <v>KARYAWAN SWASTA</v>
      </c>
      <c r="T2912" s="35" t="str">
        <f>IFERROR(__xludf.DUMMYFUNCTION("""COMPUTED_VALUE"""),"OPERASI LUTUT")</f>
        <v>OPERASI LUTUT</v>
      </c>
      <c r="U2912" s="35" t="str">
        <f>IFERROR(__xludf.DUMMYFUNCTION("""COMPUTED_VALUE"""),"JALAN SEHAT")</f>
        <v>JALAN SEHAT</v>
      </c>
      <c r="V2912" s="37" t="str">
        <f>IFERROR(__xludf.DUMMYFUNCTION("""COMPUTED_VALUE"""),"085245779995")</f>
        <v>085245779995</v>
      </c>
      <c r="W2912" s="45"/>
    </row>
    <row r="2913">
      <c r="A2913" s="45"/>
      <c r="B2913" s="24" t="str">
        <f>IFERROR(__xludf.DUMMYFUNCTION("""COMPUTED_VALUE"""),"28/09/2025 11:15:16")</f>
        <v>28/09/2025 11:15:16</v>
      </c>
      <c r="C2913" s="35"/>
      <c r="D2913" s="10">
        <f>IFERROR(__xludf.DUMMYFUNCTION("""COMPUTED_VALUE"""),45928.0)</f>
        <v>45928</v>
      </c>
      <c r="E2913" s="35" t="str">
        <f>IFERROR(__xludf.DUMMYFUNCTION("""COMPUTED_VALUE"""),"09Sep")</f>
        <v>09Sep</v>
      </c>
      <c r="F2913" s="34" t="str">
        <f>IFERROR(__xludf.DUMMYFUNCTION("""COMPUTED_VALUE"""),"2025")</f>
        <v>2025</v>
      </c>
      <c r="G2913" s="35" t="str">
        <f>IFERROR(__xludf.DUMMYFUNCTION("""COMPUTED_VALUE"""),"HARRY FURQAN")</f>
        <v>HARRY FURQAN</v>
      </c>
      <c r="H2913" s="35" t="str">
        <f>IFERROR(__xludf.DUMMYFUNCTION("""COMPUTED_VALUE"""),"H9025092496")</f>
        <v>H9025092496</v>
      </c>
      <c r="I2913" s="35">
        <f>IFERROR(__xludf.DUMMYFUNCTION("""COMPUTED_VALUE"""),35.0)</f>
        <v>35</v>
      </c>
      <c r="J2913" s="35" t="str">
        <f>IFERROR(__xludf.DUMMYFUNCTION("""COMPUTED_VALUE"""),"35-44 tahun")</f>
        <v>35-44 tahun</v>
      </c>
      <c r="K2913" s="21" t="str">
        <f>IFERROR(__xludf.DUMMYFUNCTION("""COMPUTED_VALUE"""),"19/07/1990")</f>
        <v>19/07/1990</v>
      </c>
      <c r="L2913" s="21" t="str">
        <f>IFERROR(__xludf.DUMMYFUNCTION("""COMPUTED_VALUE"""),"LAKI-LAKI")</f>
        <v>LAKI-LAKI</v>
      </c>
      <c r="M2913" s="35" t="str">
        <f>IFERROR(__xludf.DUMMYFUNCTION("""COMPUTED_VALUE"""),"JL SUKAMULYA GANG SUKMA 4")</f>
        <v>JL SUKAMULYA GANG SUKMA 4</v>
      </c>
      <c r="N2913" s="35" t="str">
        <f>IFERROR(__xludf.DUMMYFUNCTION("""COMPUTED_VALUE"""),"SUI JAWI")</f>
        <v>SUI JAWI</v>
      </c>
      <c r="O2913" s="35" t="str">
        <f>IFERROR(__xludf.DUMMYFUNCTION("""COMPUTED_VALUE"""),"PONTIANAK KOTA")</f>
        <v>PONTIANAK KOTA</v>
      </c>
      <c r="P2913" s="35" t="str">
        <f>IFERROR(__xludf.DUMMYFUNCTION("""COMPUTED_VALUE"""),"KOTA PONTIANAK")</f>
        <v>KOTA PONTIANAK</v>
      </c>
      <c r="Q2913" s="35" t="str">
        <f>IFERROR(__xludf.DUMMYFUNCTION("""COMPUTED_VALUE"""),"KALIMANTAN BARAT")</f>
        <v>KALIMANTAN BARAT</v>
      </c>
      <c r="R2913" s="21" t="str">
        <f>IFERROR(__xludf.DUMMYFUNCTION("""COMPUTED_VALUE"""),"ISLAM")</f>
        <v>ISLAM</v>
      </c>
      <c r="S2913" s="74" t="str">
        <f>IFERROR(__xludf.DUMMYFUNCTION("""COMPUTED_VALUE"""),"SWASTA")</f>
        <v>SWASTA</v>
      </c>
      <c r="T2913" s="35" t="str">
        <f>IFERROR(__xludf.DUMMYFUNCTION("""COMPUTED_VALUE"""),"KAKI KIRI SAKIT")</f>
        <v>KAKI KIRI SAKIT</v>
      </c>
      <c r="U2913" s="35" t="str">
        <f>IFERROR(__xludf.DUMMYFUNCTION("""COMPUTED_VALUE"""),"LATIHAN LATI")</f>
        <v>LATIHAN LATI</v>
      </c>
      <c r="V2913" s="37" t="str">
        <f>IFERROR(__xludf.DUMMYFUNCTION("""COMPUTED_VALUE"""),"085245562496")</f>
        <v>085245562496</v>
      </c>
      <c r="W2913" s="45"/>
    </row>
    <row r="2914">
      <c r="A2914" s="45"/>
      <c r="B2914" s="24" t="str">
        <f>IFERROR(__xludf.DUMMYFUNCTION("""COMPUTED_VALUE"""),"28/09/2025 11:16:55")</f>
        <v>28/09/2025 11:16:55</v>
      </c>
      <c r="C2914" s="35"/>
      <c r="D2914" s="10">
        <f>IFERROR(__xludf.DUMMYFUNCTION("""COMPUTED_VALUE"""),45928.0)</f>
        <v>45928</v>
      </c>
      <c r="E2914" s="35" t="str">
        <f>IFERROR(__xludf.DUMMYFUNCTION("""COMPUTED_VALUE"""),"09Sep")</f>
        <v>09Sep</v>
      </c>
      <c r="F2914" s="34" t="str">
        <f>IFERROR(__xludf.DUMMYFUNCTION("""COMPUTED_VALUE"""),"2025")</f>
        <v>2025</v>
      </c>
      <c r="G2914" s="35" t="str">
        <f>IFERROR(__xludf.DUMMYFUNCTION("""COMPUTED_VALUE"""),"TEGUH PANGESTU")</f>
        <v>TEGUH PANGESTU</v>
      </c>
      <c r="H2914" s="35" t="str">
        <f>IFERROR(__xludf.DUMMYFUNCTION("""COMPUTED_VALUE"""),"T0125096931")</f>
        <v>T0125096931</v>
      </c>
      <c r="I2914" s="35">
        <f>IFERROR(__xludf.DUMMYFUNCTION("""COMPUTED_VALUE"""),25.0)</f>
        <v>25</v>
      </c>
      <c r="J2914" s="35" t="str">
        <f>IFERROR(__xludf.DUMMYFUNCTION("""COMPUTED_VALUE"""),"25-34 tahun")</f>
        <v>25-34 tahun</v>
      </c>
      <c r="K2914" s="21" t="str">
        <f>IFERROR(__xludf.DUMMYFUNCTION("""COMPUTED_VALUE"""),"12/05/2001")</f>
        <v>12/05/2001</v>
      </c>
      <c r="L2914" s="21" t="str">
        <f>IFERROR(__xludf.DUMMYFUNCTION("""COMPUTED_VALUE"""),"LAKI-LAKI")</f>
        <v>LAKI-LAKI</v>
      </c>
      <c r="M2914" s="35" t="str">
        <f>IFERROR(__xludf.DUMMYFUNCTION("""COMPUTED_VALUE"""),"JL.BIDURI BULAN 8 BLOK VII NO.89")</f>
        <v>JL.BIDURI BULAN 8 BLOK VII NO.89</v>
      </c>
      <c r="N2914" s="35" t="str">
        <f>IFERROR(__xludf.DUMMYFUNCTION("""COMPUTED_VALUE"""),"BOJONG RAWALUMBU")</f>
        <v>BOJONG RAWALUMBU</v>
      </c>
      <c r="O2914" s="35" t="str">
        <f>IFERROR(__xludf.DUMMYFUNCTION("""COMPUTED_VALUE"""),"RAWALUMBU")</f>
        <v>RAWALUMBU</v>
      </c>
      <c r="P2914" s="35" t="str">
        <f>IFERROR(__xludf.DUMMYFUNCTION("""COMPUTED_VALUE"""),"BEKASI")</f>
        <v>BEKASI</v>
      </c>
      <c r="Q2914" s="35" t="str">
        <f>IFERROR(__xludf.DUMMYFUNCTION("""COMPUTED_VALUE"""),"JAWA BARAR")</f>
        <v>JAWA BARAR</v>
      </c>
      <c r="R2914" s="21" t="str">
        <f>IFERROR(__xludf.DUMMYFUNCTION("""COMPUTED_VALUE"""),"ISLAM")</f>
        <v>ISLAM</v>
      </c>
      <c r="S2914" s="74" t="str">
        <f>IFERROR(__xludf.DUMMYFUNCTION("""COMPUTED_VALUE"""),"MAHASISWA, ATLIT")</f>
        <v>MAHASISWA, ATLIT</v>
      </c>
      <c r="T2914" s="35" t="str">
        <f>IFERROR(__xludf.DUMMYFUNCTION("""COMPUTED_VALUE"""),"LUTUT")</f>
        <v>LUTUT</v>
      </c>
      <c r="U2914" s="35" t="str">
        <f>IFERROR(__xludf.DUMMYFUNCTION("""COMPUTED_VALUE"""),"SEPAK BOLA")</f>
        <v>SEPAK BOLA</v>
      </c>
      <c r="V2914" s="37" t="str">
        <f>IFERROR(__xludf.DUMMYFUNCTION("""COMPUTED_VALUE"""),"081280116931")</f>
        <v>081280116931</v>
      </c>
      <c r="W2914" s="45"/>
    </row>
    <row r="2915">
      <c r="A2915" s="45"/>
      <c r="B2915" s="24" t="str">
        <f>IFERROR(__xludf.DUMMYFUNCTION("""COMPUTED_VALUE"""),"28/09/2025 11:52:07")</f>
        <v>28/09/2025 11:52:07</v>
      </c>
      <c r="C2915" s="35"/>
      <c r="D2915" s="10">
        <f>IFERROR(__xludf.DUMMYFUNCTION("""COMPUTED_VALUE"""),45928.0)</f>
        <v>45928</v>
      </c>
      <c r="E2915" s="35" t="str">
        <f>IFERROR(__xludf.DUMMYFUNCTION("""COMPUTED_VALUE"""),"09Sep")</f>
        <v>09Sep</v>
      </c>
      <c r="F2915" s="34" t="str">
        <f>IFERROR(__xludf.DUMMYFUNCTION("""COMPUTED_VALUE"""),"2025")</f>
        <v>2025</v>
      </c>
      <c r="G2915" s="35" t="str">
        <f>IFERROR(__xludf.DUMMYFUNCTION("""COMPUTED_VALUE"""),"IRFAN APRISON")</f>
        <v>IRFAN APRISON</v>
      </c>
      <c r="H2915" s="35" t="str">
        <f>IFERROR(__xludf.DUMMYFUNCTION("""COMPUTED_VALUE"""),"I9525090")</f>
        <v>I9525090</v>
      </c>
      <c r="I2915" s="35">
        <f>IFERROR(__xludf.DUMMYFUNCTION("""COMPUTED_VALUE"""),30.0)</f>
        <v>30</v>
      </c>
      <c r="J2915" s="35" t="str">
        <f>IFERROR(__xludf.DUMMYFUNCTION("""COMPUTED_VALUE"""),"25-34 tahun")</f>
        <v>25-34 tahun</v>
      </c>
      <c r="K2915" s="21" t="str">
        <f>IFERROR(__xludf.DUMMYFUNCTION("""COMPUTED_VALUE"""),"14/09/1995")</f>
        <v>14/09/1995</v>
      </c>
      <c r="L2915" s="21" t="str">
        <f>IFERROR(__xludf.DUMMYFUNCTION("""COMPUTED_VALUE"""),"LAKI-LAKI")</f>
        <v>LAKI-LAKI</v>
      </c>
      <c r="M2915" s="35" t="str">
        <f>IFERROR(__xludf.DUMMYFUNCTION("""COMPUTED_VALUE"""),"JL PEAMULA SEMANDA 1 PERUM BPA")</f>
        <v>JL PEAMULA SEMANDA 1 PERUM BPA</v>
      </c>
      <c r="N2915" s="35" t="str">
        <f>IFERROR(__xludf.DUMMYFUNCTION("""COMPUTED_VALUE"""),"SUNGAI LULUT")</f>
        <v>SUNGAI LULUT</v>
      </c>
      <c r="O2915" s="35" t="str">
        <f>IFERROR(__xludf.DUMMYFUNCTION("""COMPUTED_VALUE"""),"BANJARMASIN TIMUR")</f>
        <v>BANJARMASIN TIMUR</v>
      </c>
      <c r="P2915" s="35" t="str">
        <f>IFERROR(__xludf.DUMMYFUNCTION("""COMPUTED_VALUE"""),"BANJARMASIN")</f>
        <v>BANJARMASIN</v>
      </c>
      <c r="Q2915" s="35" t="str">
        <f>IFERROR(__xludf.DUMMYFUNCTION("""COMPUTED_VALUE"""),"KALIMANTAN SELATAN")</f>
        <v>KALIMANTAN SELATAN</v>
      </c>
      <c r="R2915" s="21" t="str">
        <f>IFERROR(__xludf.DUMMYFUNCTION("""COMPUTED_VALUE"""),"ISLAM")</f>
        <v>ISLAM</v>
      </c>
      <c r="S2915" s="74" t="str">
        <f>IFERROR(__xludf.DUMMYFUNCTION("""COMPUTED_VALUE"""),"PNS")</f>
        <v>PNS</v>
      </c>
      <c r="T2915" s="35" t="str">
        <f>IFERROR(__xludf.DUMMYFUNCTION("""COMPUTED_VALUE"""),"ANKLE")</f>
        <v>ANKLE</v>
      </c>
      <c r="U2915" s="35" t="str">
        <f>IFERROR(__xludf.DUMMYFUNCTION("""COMPUTED_VALUE"""),"-")</f>
        <v>-</v>
      </c>
      <c r="V2915" s="37" t="str">
        <f>IFERROR(__xludf.DUMMYFUNCTION("""COMPUTED_VALUE"""),"0")</f>
        <v>0</v>
      </c>
      <c r="W2915" s="45"/>
    </row>
    <row r="2916">
      <c r="A2916" s="45"/>
      <c r="B2916" s="24" t="str">
        <f>IFERROR(__xludf.DUMMYFUNCTION("""COMPUTED_VALUE"""),"28/09/2025 11:45:00")</f>
        <v>28/09/2025 11:45:00</v>
      </c>
      <c r="C2916" s="35"/>
      <c r="D2916" s="10">
        <f>IFERROR(__xludf.DUMMYFUNCTION("""COMPUTED_VALUE"""),45928.0)</f>
        <v>45928</v>
      </c>
      <c r="E2916" s="35" t="str">
        <f>IFERROR(__xludf.DUMMYFUNCTION("""COMPUTED_VALUE"""),"09Sep")</f>
        <v>09Sep</v>
      </c>
      <c r="F2916" s="34" t="str">
        <f>IFERROR(__xludf.DUMMYFUNCTION("""COMPUTED_VALUE"""),"2025")</f>
        <v>2025</v>
      </c>
      <c r="G2916" s="35" t="str">
        <f>IFERROR(__xludf.DUMMYFUNCTION("""COMPUTED_VALUE"""),"SINTA CLARENCIA")</f>
        <v>SINTA CLARENCIA</v>
      </c>
      <c r="H2916" s="35" t="str">
        <f>IFERROR(__xludf.DUMMYFUNCTION("""COMPUTED_VALUE"""),"S8625097998")</f>
        <v>S8625097998</v>
      </c>
      <c r="I2916" s="35">
        <f>IFERROR(__xludf.DUMMYFUNCTION("""COMPUTED_VALUE"""),39.0)</f>
        <v>39</v>
      </c>
      <c r="J2916" s="35" t="str">
        <f>IFERROR(__xludf.DUMMYFUNCTION("""COMPUTED_VALUE"""),"35-44 tahun")</f>
        <v>35-44 tahun</v>
      </c>
      <c r="K2916" s="21" t="str">
        <f>IFERROR(__xludf.DUMMYFUNCTION("""COMPUTED_VALUE"""),"10/07/1986")</f>
        <v>10/07/1986</v>
      </c>
      <c r="L2916" s="21" t="str">
        <f>IFERROR(__xludf.DUMMYFUNCTION("""COMPUTED_VALUE"""),"PEREMPUAN")</f>
        <v>PEREMPUAN</v>
      </c>
      <c r="M2916" s="35" t="str">
        <f>IFERROR(__xludf.DUMMYFUNCTION("""COMPUTED_VALUE"""),"JL PARIT HJ HUSIN 2 KOMPLEK THE HERITAGE NO A7")</f>
        <v>JL PARIT HJ HUSIN 2 KOMPLEK THE HERITAGE NO A7</v>
      </c>
      <c r="N2916" s="35" t="str">
        <f>IFERROR(__xludf.DUMMYFUNCTION("""COMPUTED_VALUE"""),"BANGKA BELITUNG DARAT")</f>
        <v>BANGKA BELITUNG DARAT</v>
      </c>
      <c r="O2916" s="35" t="str">
        <f>IFERROR(__xludf.DUMMYFUNCTION("""COMPUTED_VALUE"""),"PONTIANAK TENGGARA")</f>
        <v>PONTIANAK TENGGARA</v>
      </c>
      <c r="P2916" s="35" t="str">
        <f>IFERROR(__xludf.DUMMYFUNCTION("""COMPUTED_VALUE"""),"PONTIANAK")</f>
        <v>PONTIANAK</v>
      </c>
      <c r="Q2916" s="35" t="str">
        <f>IFERROR(__xludf.DUMMYFUNCTION("""COMPUTED_VALUE"""),"KALIMANTAN BARAT")</f>
        <v>KALIMANTAN BARAT</v>
      </c>
      <c r="R2916" s="21" t="str">
        <f>IFERROR(__xludf.DUMMYFUNCTION("""COMPUTED_VALUE"""),"KATOLIK")</f>
        <v>KATOLIK</v>
      </c>
      <c r="S2916" s="74" t="str">
        <f>IFERROR(__xludf.DUMMYFUNCTION("""COMPUTED_VALUE"""),"IBU RUMAH TANGGA")</f>
        <v>IBU RUMAH TANGGA</v>
      </c>
      <c r="T2916" s="35" t="str">
        <f>IFERROR(__xludf.DUMMYFUNCTION("""COMPUTED_VALUE"""),"BAHU SERING SAKIT")</f>
        <v>BAHU SERING SAKIT</v>
      </c>
      <c r="U2916" s="35" t="str">
        <f>IFERROR(__xludf.DUMMYFUNCTION("""COMPUTED_VALUE"""),"OLAH RAGA GYM")</f>
        <v>OLAH RAGA GYM</v>
      </c>
      <c r="V2916" s="37" t="str">
        <f>IFERROR(__xludf.DUMMYFUNCTION("""COMPUTED_VALUE"""),"081345087998")</f>
        <v>081345087998</v>
      </c>
      <c r="W2916" s="45"/>
    </row>
    <row r="2917">
      <c r="A2917" s="45"/>
      <c r="B2917" s="24" t="str">
        <f>IFERROR(__xludf.DUMMYFUNCTION("""COMPUTED_VALUE"""),"28/09/2025 15:26:19")</f>
        <v>28/09/2025 15:26:19</v>
      </c>
      <c r="C2917" s="35"/>
      <c r="D2917" s="10">
        <f>IFERROR(__xludf.DUMMYFUNCTION("""COMPUTED_VALUE"""),45928.0)</f>
        <v>45928</v>
      </c>
      <c r="E2917" s="35" t="str">
        <f>IFERROR(__xludf.DUMMYFUNCTION("""COMPUTED_VALUE"""),"09Sep")</f>
        <v>09Sep</v>
      </c>
      <c r="F2917" s="34" t="str">
        <f>IFERROR(__xludf.DUMMYFUNCTION("""COMPUTED_VALUE"""),"2025")</f>
        <v>2025</v>
      </c>
      <c r="G2917" s="35" t="str">
        <f>IFERROR(__xludf.DUMMYFUNCTION("""COMPUTED_VALUE"""),"ERWIN RAMDANI")</f>
        <v>ERWIN RAMDANI</v>
      </c>
      <c r="H2917" s="35" t="str">
        <f>IFERROR(__xludf.DUMMYFUNCTION("""COMPUTED_VALUE"""),"E9325090")</f>
        <v>E9325090</v>
      </c>
      <c r="I2917" s="35">
        <f>IFERROR(__xludf.DUMMYFUNCTION("""COMPUTED_VALUE"""),32.0)</f>
        <v>32</v>
      </c>
      <c r="J2917" s="35" t="str">
        <f>IFERROR(__xludf.DUMMYFUNCTION("""COMPUTED_VALUE"""),"25-34 tahun")</f>
        <v>25-34 tahun</v>
      </c>
      <c r="K2917" s="21" t="str">
        <f>IFERROR(__xludf.DUMMYFUNCTION("""COMPUTED_VALUE"""),"28/09/1993")</f>
        <v>28/09/1993</v>
      </c>
      <c r="L2917" s="21" t="str">
        <f>IFERROR(__xludf.DUMMYFUNCTION("""COMPUTED_VALUE"""),"LAKI-LAKI")</f>
        <v>LAKI-LAKI</v>
      </c>
      <c r="M2917" s="35" t="str">
        <f>IFERROR(__xludf.DUMMYFUNCTION("""COMPUTED_VALUE"""),"BANDUNG")</f>
        <v>BANDUNG</v>
      </c>
      <c r="N2917" s="35" t="str">
        <f>IFERROR(__xludf.DUMMYFUNCTION("""COMPUTED_VALUE"""),"LENGKONG")</f>
        <v>LENGKONG</v>
      </c>
      <c r="O2917" s="35" t="str">
        <f>IFERROR(__xludf.DUMMYFUNCTION("""COMPUTED_VALUE"""),"BOJONGSOANG")</f>
        <v>BOJONGSOANG</v>
      </c>
      <c r="P2917" s="35" t="str">
        <f>IFERROR(__xludf.DUMMYFUNCTION("""COMPUTED_VALUE"""),"BANDUNG")</f>
        <v>BANDUNG</v>
      </c>
      <c r="Q2917" s="35" t="str">
        <f>IFERROR(__xludf.DUMMYFUNCTION("""COMPUTED_VALUE"""),"JAWA BARAT")</f>
        <v>JAWA BARAT</v>
      </c>
      <c r="R2917" s="21" t="str">
        <f>IFERROR(__xludf.DUMMYFUNCTION("""COMPUTED_VALUE"""),"ISLAM")</f>
        <v>ISLAM</v>
      </c>
      <c r="S2917" s="74" t="str">
        <f>IFERROR(__xludf.DUMMYFUNCTION("""COMPUTED_VALUE"""),"TNI")</f>
        <v>TNI</v>
      </c>
      <c r="T2917" s="35" t="str">
        <f>IFERROR(__xludf.DUMMYFUNCTION("""COMPUTED_VALUE"""),"TUMIT")</f>
        <v>TUMIT</v>
      </c>
      <c r="U2917" s="35" t="str">
        <f>IFERROR(__xludf.DUMMYFUNCTION("""COMPUTED_VALUE"""),"ATLET")</f>
        <v>ATLET</v>
      </c>
      <c r="V2917" s="37" t="str">
        <f>IFERROR(__xludf.DUMMYFUNCTION("""COMPUTED_VALUE"""),"0")</f>
        <v>0</v>
      </c>
      <c r="W2917" s="45"/>
    </row>
    <row r="2918">
      <c r="A2918" s="45"/>
      <c r="B2918" s="24" t="str">
        <f>IFERROR(__xludf.DUMMYFUNCTION("""COMPUTED_VALUE"""),"28/09/2025 15:53:36")</f>
        <v>28/09/2025 15:53:36</v>
      </c>
      <c r="C2918" s="35"/>
      <c r="D2918" s="10">
        <f>IFERROR(__xludf.DUMMYFUNCTION("""COMPUTED_VALUE"""),45928.0)</f>
        <v>45928</v>
      </c>
      <c r="E2918" s="35" t="str">
        <f>IFERROR(__xludf.DUMMYFUNCTION("""COMPUTED_VALUE"""),"09Sep")</f>
        <v>09Sep</v>
      </c>
      <c r="F2918" s="34" t="str">
        <f>IFERROR(__xludf.DUMMYFUNCTION("""COMPUTED_VALUE"""),"2025")</f>
        <v>2025</v>
      </c>
      <c r="G2918" s="35" t="str">
        <f>IFERROR(__xludf.DUMMYFUNCTION("""COMPUTED_VALUE"""),"BAI FURKON HILMI, SE")</f>
        <v>BAI FURKON HILMI, SE</v>
      </c>
      <c r="H2918" s="35" t="str">
        <f>IFERROR(__xludf.DUMMYFUNCTION("""COMPUTED_VALUE"""),"B7125094370")</f>
        <v>B7125094370</v>
      </c>
      <c r="I2918" s="35">
        <f>IFERROR(__xludf.DUMMYFUNCTION("""COMPUTED_VALUE"""),54.0)</f>
        <v>54</v>
      </c>
      <c r="J2918" s="35" t="str">
        <f>IFERROR(__xludf.DUMMYFUNCTION("""COMPUTED_VALUE"""),"&gt; 44 tahun")</f>
        <v>&gt; 44 tahun</v>
      </c>
      <c r="K2918" s="21" t="str">
        <f>IFERROR(__xludf.DUMMYFUNCTION("""COMPUTED_VALUE"""),"05/07/1971")</f>
        <v>05/07/1971</v>
      </c>
      <c r="L2918" s="21" t="str">
        <f>IFERROR(__xludf.DUMMYFUNCTION("""COMPUTED_VALUE"""),"LAKI-LAKI")</f>
        <v>LAKI-LAKI</v>
      </c>
      <c r="M2918" s="35" t="str">
        <f>IFERROR(__xludf.DUMMYFUNCTION("""COMPUTED_VALUE"""),"MINGGIRAN MJ 2/1269 A")</f>
        <v>MINGGIRAN MJ 2/1269 A</v>
      </c>
      <c r="N2918" s="35" t="str">
        <f>IFERROR(__xludf.DUMMYFUNCTION("""COMPUTED_VALUE"""),"SURYODININGRATAN")</f>
        <v>SURYODININGRATAN</v>
      </c>
      <c r="O2918" s="35" t="str">
        <f>IFERROR(__xludf.DUMMYFUNCTION("""COMPUTED_VALUE"""),"MANTRIJERON")</f>
        <v>MANTRIJERON</v>
      </c>
      <c r="P2918" s="35" t="str">
        <f>IFERROR(__xludf.DUMMYFUNCTION("""COMPUTED_VALUE"""),"YOGYAKARTA")</f>
        <v>YOGYAKARTA</v>
      </c>
      <c r="Q2918" s="35" t="str">
        <f>IFERROR(__xludf.DUMMYFUNCTION("""COMPUTED_VALUE"""),"DAERAH ISTIMEWA YOGYAKARTA")</f>
        <v>DAERAH ISTIMEWA YOGYAKARTA</v>
      </c>
      <c r="R2918" s="21" t="str">
        <f>IFERROR(__xludf.DUMMYFUNCTION("""COMPUTED_VALUE"""),"ISLAM")</f>
        <v>ISLAM</v>
      </c>
      <c r="S2918" s="74" t="str">
        <f>IFERROR(__xludf.DUMMYFUNCTION("""COMPUTED_VALUE"""),"PNS")</f>
        <v>PNS</v>
      </c>
      <c r="T2918" s="35" t="str">
        <f>IFERROR(__xludf.DUMMYFUNCTION("""COMPUTED_VALUE"""),"PINGGANG")</f>
        <v>PINGGANG</v>
      </c>
      <c r="U2918" s="35" t="str">
        <f>IFERROR(__xludf.DUMMYFUNCTION("""COMPUTED_VALUE"""),"-")</f>
        <v>-</v>
      </c>
      <c r="V2918" s="37" t="str">
        <f>IFERROR(__xludf.DUMMYFUNCTION("""COMPUTED_VALUE"""),"082253274370")</f>
        <v>082253274370</v>
      </c>
      <c r="W2918" s="45"/>
    </row>
    <row r="2919">
      <c r="A2919" s="45"/>
      <c r="B2919" s="24" t="str">
        <f>IFERROR(__xludf.DUMMYFUNCTION("""COMPUTED_VALUE"""),"28/09/2025 19:38:04")</f>
        <v>28/09/2025 19:38:04</v>
      </c>
      <c r="C2919" s="35"/>
      <c r="D2919" s="10">
        <f>IFERROR(__xludf.DUMMYFUNCTION("""COMPUTED_VALUE"""),45928.0)</f>
        <v>45928</v>
      </c>
      <c r="E2919" s="35" t="str">
        <f>IFERROR(__xludf.DUMMYFUNCTION("""COMPUTED_VALUE"""),"09Sep")</f>
        <v>09Sep</v>
      </c>
      <c r="F2919" s="34" t="str">
        <f>IFERROR(__xludf.DUMMYFUNCTION("""COMPUTED_VALUE"""),"2025")</f>
        <v>2025</v>
      </c>
      <c r="G2919" s="35" t="str">
        <f>IFERROR(__xludf.DUMMYFUNCTION("""COMPUTED_VALUE"""),"REINHART ANANDA")</f>
        <v>REINHART ANANDA</v>
      </c>
      <c r="H2919" s="35" t="str">
        <f>IFERROR(__xludf.DUMMYFUNCTION("""COMPUTED_VALUE"""),"R0125092606")</f>
        <v>R0125092606</v>
      </c>
      <c r="I2919" s="35">
        <f>IFERROR(__xludf.DUMMYFUNCTION("""COMPUTED_VALUE"""),24.0)</f>
        <v>24</v>
      </c>
      <c r="J2919" s="35" t="str">
        <f>IFERROR(__xludf.DUMMYFUNCTION("""COMPUTED_VALUE"""),"18-24 tahun")</f>
        <v>18-24 tahun</v>
      </c>
      <c r="K2919" s="21" t="str">
        <f>IFERROR(__xludf.DUMMYFUNCTION("""COMPUTED_VALUE"""),"16/11/2001")</f>
        <v>16/11/2001</v>
      </c>
      <c r="L2919" s="21" t="str">
        <f>IFERROR(__xludf.DUMMYFUNCTION("""COMPUTED_VALUE"""),"LAKI-LAKI")</f>
        <v>LAKI-LAKI</v>
      </c>
      <c r="M2919" s="35" t="str">
        <f>IFERROR(__xludf.DUMMYFUNCTION("""COMPUTED_VALUE"""),"NANGA PINOH, MELAWI")</f>
        <v>NANGA PINOH, MELAWI</v>
      </c>
      <c r="N2919" s="35" t="str">
        <f>IFERROR(__xludf.DUMMYFUNCTION("""COMPUTED_VALUE"""),"KENUAL")</f>
        <v>KENUAL</v>
      </c>
      <c r="O2919" s="35" t="str">
        <f>IFERROR(__xludf.DUMMYFUNCTION("""COMPUTED_VALUE"""),"NANGA PINOH")</f>
        <v>NANGA PINOH</v>
      </c>
      <c r="P2919" s="35" t="str">
        <f>IFERROR(__xludf.DUMMYFUNCTION("""COMPUTED_VALUE"""),"MELAWI")</f>
        <v>MELAWI</v>
      </c>
      <c r="Q2919" s="35" t="str">
        <f>IFERROR(__xludf.DUMMYFUNCTION("""COMPUTED_VALUE"""),"KALIMANTAN BARAT")</f>
        <v>KALIMANTAN BARAT</v>
      </c>
      <c r="R2919" s="21" t="str">
        <f>IFERROR(__xludf.DUMMYFUNCTION("""COMPUTED_VALUE"""),"PROTESTAN")</f>
        <v>PROTESTAN</v>
      </c>
      <c r="S2919" s="74" t="str">
        <f>IFERROR(__xludf.DUMMYFUNCTION("""COMPUTED_VALUE"""),"MAHASISWA")</f>
        <v>MAHASISWA</v>
      </c>
      <c r="T2919" s="35" t="str">
        <f>IFERROR(__xludf.DUMMYFUNCTION("""COMPUTED_VALUE"""),"CEDERA ANKLE")</f>
        <v>CEDERA ANKLE</v>
      </c>
      <c r="U2919" s="35" t="str">
        <f>IFERROR(__xludf.DUMMYFUNCTION("""COMPUTED_VALUE"""),"FUTSAL DAN SEPAK BOLA")</f>
        <v>FUTSAL DAN SEPAK BOLA</v>
      </c>
      <c r="V2919" s="37" t="str">
        <f>IFERROR(__xludf.DUMMYFUNCTION("""COMPUTED_VALUE"""),"082251432606")</f>
        <v>082251432606</v>
      </c>
      <c r="W2919" s="45"/>
    </row>
    <row r="2920">
      <c r="A2920" s="45"/>
      <c r="B2920" s="24" t="str">
        <f>IFERROR(__xludf.DUMMYFUNCTION("""COMPUTED_VALUE"""),"28/09/2025 19:42:43")</f>
        <v>28/09/2025 19:42:43</v>
      </c>
      <c r="C2920" s="35"/>
      <c r="D2920" s="10">
        <f>IFERROR(__xludf.DUMMYFUNCTION("""COMPUTED_VALUE"""),45928.0)</f>
        <v>45928</v>
      </c>
      <c r="E2920" s="35" t="str">
        <f>IFERROR(__xludf.DUMMYFUNCTION("""COMPUTED_VALUE"""),"09Sep")</f>
        <v>09Sep</v>
      </c>
      <c r="F2920" s="34" t="str">
        <f>IFERROR(__xludf.DUMMYFUNCTION("""COMPUTED_VALUE"""),"2025")</f>
        <v>2025</v>
      </c>
      <c r="G2920" s="35" t="str">
        <f>IFERROR(__xludf.DUMMYFUNCTION("""COMPUTED_VALUE"""),"FERDINAN")</f>
        <v>FERDINAN</v>
      </c>
      <c r="H2920" s="35" t="str">
        <f>IFERROR(__xludf.DUMMYFUNCTION("""COMPUTED_VALUE"""),"F7525096886")</f>
        <v>F7525096886</v>
      </c>
      <c r="I2920" s="35">
        <f>IFERROR(__xludf.DUMMYFUNCTION("""COMPUTED_VALUE"""),50.0)</f>
        <v>50</v>
      </c>
      <c r="J2920" s="35" t="str">
        <f>IFERROR(__xludf.DUMMYFUNCTION("""COMPUTED_VALUE"""),"&gt; 44 tahun")</f>
        <v>&gt; 44 tahun</v>
      </c>
      <c r="K2920" s="21" t="str">
        <f>IFERROR(__xludf.DUMMYFUNCTION("""COMPUTED_VALUE"""),"23/11/1975")</f>
        <v>23/11/1975</v>
      </c>
      <c r="L2920" s="21" t="str">
        <f>IFERROR(__xludf.DUMMYFUNCTION("""COMPUTED_VALUE"""),"LAKI-LAKI")</f>
        <v>LAKI-LAKI</v>
      </c>
      <c r="M2920" s="35" t="str">
        <f>IFERROR(__xludf.DUMMYFUNCTION("""COMPUTED_VALUE"""),"JL. HARAPAN JAYA GG. HARAPAN JAYA 2 NO. 1")</f>
        <v>JL. HARAPAN JAYA GG. HARAPAN JAYA 2 NO. 1</v>
      </c>
      <c r="N2920" s="35" t="str">
        <f>IFERROR(__xludf.DUMMYFUNCTION("""COMPUTED_VALUE"""),"KOTA BARU")</f>
        <v>KOTA BARU</v>
      </c>
      <c r="O2920" s="35" t="str">
        <f>IFERROR(__xludf.DUMMYFUNCTION("""COMPUTED_VALUE"""),"PONTIANAK SELATAN")</f>
        <v>PONTIANAK SELATAN</v>
      </c>
      <c r="P2920" s="35" t="str">
        <f>IFERROR(__xludf.DUMMYFUNCTION("""COMPUTED_VALUE"""),"KOTA PONTIANAK")</f>
        <v>KOTA PONTIANAK</v>
      </c>
      <c r="Q2920" s="35" t="str">
        <f>IFERROR(__xludf.DUMMYFUNCTION("""COMPUTED_VALUE"""),"KALIMANTAN BARAT")</f>
        <v>KALIMANTAN BARAT</v>
      </c>
      <c r="R2920" s="21" t="str">
        <f>IFERROR(__xludf.DUMMYFUNCTION("""COMPUTED_VALUE"""),"ISLAM")</f>
        <v>ISLAM</v>
      </c>
      <c r="S2920" s="74" t="str">
        <f>IFERROR(__xludf.DUMMYFUNCTION("""COMPUTED_VALUE"""),"SENIMAN")</f>
        <v>SENIMAN</v>
      </c>
      <c r="T2920" s="35" t="str">
        <f>IFERROR(__xludf.DUMMYFUNCTION("""COMPUTED_VALUE"""),"SYARAF KEJEPIT")</f>
        <v>SYARAF KEJEPIT</v>
      </c>
      <c r="U2920" s="35" t="str">
        <f>IFERROR(__xludf.DUMMYFUNCTION("""COMPUTED_VALUE"""),"KERJA LAPANGAN")</f>
        <v>KERJA LAPANGAN</v>
      </c>
      <c r="V2920" s="37" t="str">
        <f>IFERROR(__xludf.DUMMYFUNCTION("""COMPUTED_VALUE"""),"08115686886")</f>
        <v>08115686886</v>
      </c>
      <c r="W2920" s="45"/>
    </row>
    <row r="2921">
      <c r="A2921" s="45"/>
      <c r="B2921" s="24" t="str">
        <f>IFERROR(__xludf.DUMMYFUNCTION("""COMPUTED_VALUE"""),"28/09/2025 19:53:06")</f>
        <v>28/09/2025 19:53:06</v>
      </c>
      <c r="C2921" s="35"/>
      <c r="D2921" s="10">
        <f>IFERROR(__xludf.DUMMYFUNCTION("""COMPUTED_VALUE"""),45928.0)</f>
        <v>45928</v>
      </c>
      <c r="E2921" s="35" t="str">
        <f>IFERROR(__xludf.DUMMYFUNCTION("""COMPUTED_VALUE"""),"09Sep")</f>
        <v>09Sep</v>
      </c>
      <c r="F2921" s="34" t="str">
        <f>IFERROR(__xludf.DUMMYFUNCTION("""COMPUTED_VALUE"""),"2025")</f>
        <v>2025</v>
      </c>
      <c r="G2921" s="35" t="str">
        <f>IFERROR(__xludf.DUMMYFUNCTION("""COMPUTED_VALUE"""),"DEVIN PANGESTU")</f>
        <v>DEVIN PANGESTU</v>
      </c>
      <c r="H2921" s="35" t="str">
        <f>IFERROR(__xludf.DUMMYFUNCTION("""COMPUTED_VALUE"""),"D1025091558")</f>
        <v>D1025091558</v>
      </c>
      <c r="I2921" s="35">
        <f>IFERROR(__xludf.DUMMYFUNCTION("""COMPUTED_VALUE"""),16.0)</f>
        <v>16</v>
      </c>
      <c r="J2921" s="35" t="str">
        <f>IFERROR(__xludf.DUMMYFUNCTION("""COMPUTED_VALUE"""),"&lt; 18 tahun")</f>
        <v>&lt; 18 tahun</v>
      </c>
      <c r="K2921" s="21" t="str">
        <f>IFERROR(__xludf.DUMMYFUNCTION("""COMPUTED_VALUE"""),"29/04/2010")</f>
        <v>29/04/2010</v>
      </c>
      <c r="L2921" s="21" t="str">
        <f>IFERROR(__xludf.DUMMYFUNCTION("""COMPUTED_VALUE"""),"LAKI-LAKI")</f>
        <v>LAKI-LAKI</v>
      </c>
      <c r="M2921" s="35" t="str">
        <f>IFERROR(__xludf.DUMMYFUNCTION("""COMPUTED_VALUE"""),"JL TANJUNG RAYA 2 KOMP LATIHAN TERRACE NO B.14")</f>
        <v>JL TANJUNG RAYA 2 KOMP LATIHAN TERRACE NO B.14</v>
      </c>
      <c r="N2921" s="35" t="str">
        <f>IFERROR(__xludf.DUMMYFUNCTION("""COMPUTED_VALUE"""),"PONTIANAK TIMUR")</f>
        <v>PONTIANAK TIMUR</v>
      </c>
      <c r="O2921" s="35" t="str">
        <f>IFERROR(__xludf.DUMMYFUNCTION("""COMPUTED_VALUE"""),"SAIGON")</f>
        <v>SAIGON</v>
      </c>
      <c r="P2921" s="35" t="str">
        <f>IFERROR(__xludf.DUMMYFUNCTION("""COMPUTED_VALUE"""),"PONTIANAK")</f>
        <v>PONTIANAK</v>
      </c>
      <c r="Q2921" s="35" t="str">
        <f>IFERROR(__xludf.DUMMYFUNCTION("""COMPUTED_VALUE"""),"KALIMANTAN BARAT")</f>
        <v>KALIMANTAN BARAT</v>
      </c>
      <c r="R2921" s="21" t="str">
        <f>IFERROR(__xludf.DUMMYFUNCTION("""COMPUTED_VALUE"""),"PROTESTAN")</f>
        <v>PROTESTAN</v>
      </c>
      <c r="S2921" s="74" t="str">
        <f>IFERROR(__xludf.DUMMYFUNCTION("""COMPUTED_VALUE"""),"MASI SEKOLAH")</f>
        <v>MASI SEKOLAH</v>
      </c>
      <c r="T2921" s="35" t="str">
        <f>IFERROR(__xludf.DUMMYFUNCTION("""COMPUTED_VALUE"""),"SAKIT DI BAGIAN LUTUT")</f>
        <v>SAKIT DI BAGIAN LUTUT</v>
      </c>
      <c r="U2921" s="35" t="str">
        <f>IFERROR(__xludf.DUMMYFUNCTION("""COMPUTED_VALUE"""),"BASKET")</f>
        <v>BASKET</v>
      </c>
      <c r="V2921" s="37" t="str">
        <f>IFERROR(__xludf.DUMMYFUNCTION("""COMPUTED_VALUE"""),"085787271558")</f>
        <v>085787271558</v>
      </c>
      <c r="W2921" s="45"/>
    </row>
    <row r="2922">
      <c r="A2922" s="45"/>
      <c r="B2922" s="24" t="str">
        <f>IFERROR(__xludf.DUMMYFUNCTION("""COMPUTED_VALUE"""),"29/09/2025 8:36:06")</f>
        <v>29/09/2025 8:36:06</v>
      </c>
      <c r="C2922" s="35"/>
      <c r="D2922" s="10">
        <f>IFERROR(__xludf.DUMMYFUNCTION("""COMPUTED_VALUE"""),45929.0)</f>
        <v>45929</v>
      </c>
      <c r="E2922" s="35" t="str">
        <f>IFERROR(__xludf.DUMMYFUNCTION("""COMPUTED_VALUE"""),"09Sep")</f>
        <v>09Sep</v>
      </c>
      <c r="F2922" s="34" t="str">
        <f>IFERROR(__xludf.DUMMYFUNCTION("""COMPUTED_VALUE"""),"2025")</f>
        <v>2025</v>
      </c>
      <c r="G2922" s="35" t="str">
        <f>IFERROR(__xludf.DUMMYFUNCTION("""COMPUTED_VALUE"""),"DELILA")</f>
        <v>DELILA</v>
      </c>
      <c r="H2922" s="35" t="str">
        <f>IFERROR(__xludf.DUMMYFUNCTION("""COMPUTED_VALUE"""),"D9225097701")</f>
        <v>D9225097701</v>
      </c>
      <c r="I2922" s="35">
        <f>IFERROR(__xludf.DUMMYFUNCTION("""COMPUTED_VALUE"""),33.0)</f>
        <v>33</v>
      </c>
      <c r="J2922" s="35" t="str">
        <f>IFERROR(__xludf.DUMMYFUNCTION("""COMPUTED_VALUE"""),"25-34 tahun")</f>
        <v>25-34 tahun</v>
      </c>
      <c r="K2922" s="21" t="str">
        <f>IFERROR(__xludf.DUMMYFUNCTION("""COMPUTED_VALUE"""),"16/07/1992")</f>
        <v>16/07/1992</v>
      </c>
      <c r="L2922" s="21" t="str">
        <f>IFERROR(__xludf.DUMMYFUNCTION("""COMPUTED_VALUE"""),"PEREMPUAN")</f>
        <v>PEREMPUAN</v>
      </c>
      <c r="M2922" s="35" t="str">
        <f>IFERROR(__xludf.DUMMYFUNCTION("""COMPUTED_VALUE"""),"JALAN TABRANI AHMAD KOMP MANDAU PERMAI NO D3")</f>
        <v>JALAN TABRANI AHMAD KOMP MANDAU PERMAI NO D3</v>
      </c>
      <c r="N2922" s="35" t="str">
        <f>IFERROR(__xludf.DUMMYFUNCTION("""COMPUTED_VALUE"""),"SUNGAI JAWI DALAM")</f>
        <v>SUNGAI JAWI DALAM</v>
      </c>
      <c r="O2922" s="35" t="str">
        <f>IFERROR(__xludf.DUMMYFUNCTION("""COMPUTED_VALUE"""),"PONTIANAK BARAT")</f>
        <v>PONTIANAK BARAT</v>
      </c>
      <c r="P2922" s="35" t="str">
        <f>IFERROR(__xludf.DUMMYFUNCTION("""COMPUTED_VALUE"""),"KOTA PONTIANAK")</f>
        <v>KOTA PONTIANAK</v>
      </c>
      <c r="Q2922" s="35" t="str">
        <f>IFERROR(__xludf.DUMMYFUNCTION("""COMPUTED_VALUE"""),"KALIMANTAN BARAT")</f>
        <v>KALIMANTAN BARAT</v>
      </c>
      <c r="R2922" s="21" t="str">
        <f>IFERROR(__xludf.DUMMYFUNCTION("""COMPUTED_VALUE"""),"ISLAM")</f>
        <v>ISLAM</v>
      </c>
      <c r="S2922" s="74" t="str">
        <f>IFERROR(__xludf.DUMMYFUNCTION("""COMPUTED_VALUE"""),"PNS")</f>
        <v>PNS</v>
      </c>
      <c r="T2922" s="35" t="str">
        <f>IFERROR(__xludf.DUMMYFUNCTION("""COMPUTED_VALUE"""),"SAKIT PINGGANG")</f>
        <v>SAKIT PINGGANG</v>
      </c>
      <c r="U2922" s="35" t="str">
        <f>IFERROR(__xludf.DUMMYFUNCTION("""COMPUTED_VALUE"""),"MAIN SAMA ANAK")</f>
        <v>MAIN SAMA ANAK</v>
      </c>
      <c r="V2922" s="37" t="str">
        <f>IFERROR(__xludf.DUMMYFUNCTION("""COMPUTED_VALUE"""),"085779707701")</f>
        <v>085779707701</v>
      </c>
      <c r="W2922" s="45"/>
    </row>
    <row r="2923">
      <c r="A2923" s="45"/>
      <c r="B2923" s="24" t="str">
        <f>IFERROR(__xludf.DUMMYFUNCTION("""COMPUTED_VALUE"""),"29/09/2025 15:59:37")</f>
        <v>29/09/2025 15:59:37</v>
      </c>
      <c r="C2923" s="35"/>
      <c r="D2923" s="10">
        <f>IFERROR(__xludf.DUMMYFUNCTION("""COMPUTED_VALUE"""),45929.0)</f>
        <v>45929</v>
      </c>
      <c r="E2923" s="35" t="str">
        <f>IFERROR(__xludf.DUMMYFUNCTION("""COMPUTED_VALUE"""),"09Sep")</f>
        <v>09Sep</v>
      </c>
      <c r="F2923" s="34" t="str">
        <f>IFERROR(__xludf.DUMMYFUNCTION("""COMPUTED_VALUE"""),"2025")</f>
        <v>2025</v>
      </c>
      <c r="G2923" s="35" t="str">
        <f>IFERROR(__xludf.DUMMYFUNCTION("""COMPUTED_VALUE"""),"RAFRIANDI SYAFLIADI")</f>
        <v>RAFRIANDI SYAFLIADI</v>
      </c>
      <c r="H2923" s="35" t="str">
        <f>IFERROR(__xludf.DUMMYFUNCTION("""COMPUTED_VALUE"""),"R8925093148")</f>
        <v>R8925093148</v>
      </c>
      <c r="I2923" s="35">
        <f>IFERROR(__xludf.DUMMYFUNCTION("""COMPUTED_VALUE"""),37.0)</f>
        <v>37</v>
      </c>
      <c r="J2923" s="35" t="str">
        <f>IFERROR(__xludf.DUMMYFUNCTION("""COMPUTED_VALUE"""),"35-44 tahun")</f>
        <v>35-44 tahun</v>
      </c>
      <c r="K2923" s="21" t="str">
        <f>IFERROR(__xludf.DUMMYFUNCTION("""COMPUTED_VALUE"""),"11/04/1989")</f>
        <v>11/04/1989</v>
      </c>
      <c r="L2923" s="21" t="str">
        <f>IFERROR(__xludf.DUMMYFUNCTION("""COMPUTED_VALUE"""),"LAKI-LAKI")</f>
        <v>LAKI-LAKI</v>
      </c>
      <c r="M2923" s="35" t="str">
        <f>IFERROR(__xludf.DUMMYFUNCTION("""COMPUTED_VALUE"""),"JL DANAU SENTARUM NO 88 G")</f>
        <v>JL DANAU SENTARUM NO 88 G</v>
      </c>
      <c r="N2923" s="35" t="str">
        <f>IFERROR(__xludf.DUMMYFUNCTION("""COMPUTED_VALUE"""),"SEI BANGKONG")</f>
        <v>SEI BANGKONG</v>
      </c>
      <c r="O2923" s="35" t="str">
        <f>IFERROR(__xludf.DUMMYFUNCTION("""COMPUTED_VALUE"""),"PONTIANAK KOTA")</f>
        <v>PONTIANAK KOTA</v>
      </c>
      <c r="P2923" s="35" t="str">
        <f>IFERROR(__xludf.DUMMYFUNCTION("""COMPUTED_VALUE"""),"PONTIANAK")</f>
        <v>PONTIANAK</v>
      </c>
      <c r="Q2923" s="35" t="str">
        <f>IFERROR(__xludf.DUMMYFUNCTION("""COMPUTED_VALUE"""),"KALIMANTAN BARAT")</f>
        <v>KALIMANTAN BARAT</v>
      </c>
      <c r="R2923" s="21" t="str">
        <f>IFERROR(__xludf.DUMMYFUNCTION("""COMPUTED_VALUE"""),"ISLAM")</f>
        <v>ISLAM</v>
      </c>
      <c r="S2923" s="74" t="str">
        <f>IFERROR(__xludf.DUMMYFUNCTION("""COMPUTED_VALUE"""),"SWASTA")</f>
        <v>SWASTA</v>
      </c>
      <c r="T2923" s="35" t="str">
        <f>IFERROR(__xludf.DUMMYFUNCTION("""COMPUTED_VALUE"""),"NYERI OTOT")</f>
        <v>NYERI OTOT</v>
      </c>
      <c r="U2923" s="35" t="str">
        <f>IFERROR(__xludf.DUMMYFUNCTION("""COMPUTED_VALUE"""),"BILLIARD")</f>
        <v>BILLIARD</v>
      </c>
      <c r="V2923" s="37" t="str">
        <f>IFERROR(__xludf.DUMMYFUNCTION("""COMPUTED_VALUE"""),"08875683148")</f>
        <v>08875683148</v>
      </c>
      <c r="W2923" s="45"/>
    </row>
    <row r="2924">
      <c r="A2924" s="45"/>
      <c r="B2924" s="24" t="str">
        <f>IFERROR(__xludf.DUMMYFUNCTION("""COMPUTED_VALUE"""),"30/09/2025 4:43:12")</f>
        <v>30/09/2025 4:43:12</v>
      </c>
      <c r="C2924" s="35"/>
      <c r="D2924" s="10">
        <f>IFERROR(__xludf.DUMMYFUNCTION("""COMPUTED_VALUE"""),45930.0)</f>
        <v>45930</v>
      </c>
      <c r="E2924" s="35" t="str">
        <f>IFERROR(__xludf.DUMMYFUNCTION("""COMPUTED_VALUE"""),"09Sep")</f>
        <v>09Sep</v>
      </c>
      <c r="F2924" s="34" t="str">
        <f>IFERROR(__xludf.DUMMYFUNCTION("""COMPUTED_VALUE"""),"2025")</f>
        <v>2025</v>
      </c>
      <c r="G2924" s="35" t="str">
        <f>IFERROR(__xludf.DUMMYFUNCTION("""COMPUTED_VALUE"""),"AFNUR RIKI AMRULLAH")</f>
        <v>AFNUR RIKI AMRULLAH</v>
      </c>
      <c r="H2924" s="35" t="str">
        <f>IFERROR(__xludf.DUMMYFUNCTION("""COMPUTED_VALUE"""),"A9025092121")</f>
        <v>A9025092121</v>
      </c>
      <c r="I2924" s="35">
        <f>IFERROR(__xludf.DUMMYFUNCTION("""COMPUTED_VALUE"""),36.0)</f>
        <v>36</v>
      </c>
      <c r="J2924" s="35" t="str">
        <f>IFERROR(__xludf.DUMMYFUNCTION("""COMPUTED_VALUE"""),"35-44 tahun")</f>
        <v>35-44 tahun</v>
      </c>
      <c r="K2924" s="21" t="str">
        <f>IFERROR(__xludf.DUMMYFUNCTION("""COMPUTED_VALUE"""),"21/02/1990")</f>
        <v>21/02/1990</v>
      </c>
      <c r="L2924" s="21" t="str">
        <f>IFERROR(__xludf.DUMMYFUNCTION("""COMPUTED_VALUE"""),"LAKI-LAKI")</f>
        <v>LAKI-LAKI</v>
      </c>
      <c r="M2924" s="35" t="str">
        <f>IFERROR(__xludf.DUMMYFUNCTION("""COMPUTED_VALUE"""),"JALAN TABRANI AHMAD KOMP MANDAU PERMAI NO D3")</f>
        <v>JALAN TABRANI AHMAD KOMP MANDAU PERMAI NO D3</v>
      </c>
      <c r="N2924" s="35" t="str">
        <f>IFERROR(__xludf.DUMMYFUNCTION("""COMPUTED_VALUE"""),"SUNGAI JAWI DALAM")</f>
        <v>SUNGAI JAWI DALAM</v>
      </c>
      <c r="O2924" s="35" t="str">
        <f>IFERROR(__xludf.DUMMYFUNCTION("""COMPUTED_VALUE"""),"PONTIANAK BARAT")</f>
        <v>PONTIANAK BARAT</v>
      </c>
      <c r="P2924" s="35" t="str">
        <f>IFERROR(__xludf.DUMMYFUNCTION("""COMPUTED_VALUE"""),"KOTA PONTIANAK")</f>
        <v>KOTA PONTIANAK</v>
      </c>
      <c r="Q2924" s="35" t="str">
        <f>IFERROR(__xludf.DUMMYFUNCTION("""COMPUTED_VALUE"""),"KALIMANTAN BARAT")</f>
        <v>KALIMANTAN BARAT</v>
      </c>
      <c r="R2924" s="21" t="str">
        <f>IFERROR(__xludf.DUMMYFUNCTION("""COMPUTED_VALUE"""),"ISLAM")</f>
        <v>ISLAM</v>
      </c>
      <c r="S2924" s="74" t="str">
        <f>IFERROR(__xludf.DUMMYFUNCTION("""COMPUTED_VALUE"""),"WIRASWASTA")</f>
        <v>WIRASWASTA</v>
      </c>
      <c r="T2924" s="35" t="str">
        <f>IFERROR(__xludf.DUMMYFUNCTION("""COMPUTED_VALUE"""),"PINGGANG KECETIT")</f>
        <v>PINGGANG KECETIT</v>
      </c>
      <c r="U2924" s="35" t="str">
        <f>IFERROR(__xludf.DUMMYFUNCTION("""COMPUTED_VALUE"""),"-")</f>
        <v>-</v>
      </c>
      <c r="V2924" s="37" t="str">
        <f>IFERROR(__xludf.DUMMYFUNCTION("""COMPUTED_VALUE"""),"082250472121")</f>
        <v>082250472121</v>
      </c>
      <c r="W2924" s="45"/>
    </row>
    <row r="2925">
      <c r="A2925" s="45"/>
      <c r="B2925" s="24" t="str">
        <f>IFERROR(__xludf.DUMMYFUNCTION("""COMPUTED_VALUE"""),"01/10/2025 9:28:28")</f>
        <v>01/10/2025 9:28:28</v>
      </c>
      <c r="C2925" s="35"/>
      <c r="D2925" s="10">
        <f>IFERROR(__xludf.DUMMYFUNCTION("""COMPUTED_VALUE"""),45931.0)</f>
        <v>45931</v>
      </c>
      <c r="E2925" s="35" t="str">
        <f>IFERROR(__xludf.DUMMYFUNCTION("""COMPUTED_VALUE"""),"10Okt")</f>
        <v>10Okt</v>
      </c>
      <c r="F2925" s="34" t="str">
        <f>IFERROR(__xludf.DUMMYFUNCTION("""COMPUTED_VALUE"""),"2025")</f>
        <v>2025</v>
      </c>
      <c r="G2925" s="35" t="str">
        <f>IFERROR(__xludf.DUMMYFUNCTION("""COMPUTED_VALUE"""),"FATI ARIFAH")</f>
        <v>FATI ARIFAH</v>
      </c>
      <c r="H2925" s="35" t="str">
        <f>IFERROR(__xludf.DUMMYFUNCTION("""COMPUTED_VALUE"""),"F1025103034")</f>
        <v>F1025103034</v>
      </c>
      <c r="I2925" s="35">
        <f>IFERROR(__xludf.DUMMYFUNCTION("""COMPUTED_VALUE"""),16.0)</f>
        <v>16</v>
      </c>
      <c r="J2925" s="35" t="str">
        <f>IFERROR(__xludf.DUMMYFUNCTION("""COMPUTED_VALUE"""),"&lt; 18 tahun")</f>
        <v>&lt; 18 tahun</v>
      </c>
      <c r="K2925" s="21" t="str">
        <f>IFERROR(__xludf.DUMMYFUNCTION("""COMPUTED_VALUE"""),"06/05/2010")</f>
        <v>06/05/2010</v>
      </c>
      <c r="L2925" s="21" t="str">
        <f>IFERROR(__xludf.DUMMYFUNCTION("""COMPUTED_VALUE"""),"PEREMPUAN")</f>
        <v>PEREMPUAN</v>
      </c>
      <c r="M2925" s="35" t="str">
        <f>IFERROR(__xludf.DUMMYFUNCTION("""COMPUTED_VALUE"""),"JL. SAMBAS BARAT BLOK 15 NO.87 PERUM IV")</f>
        <v>JL. SAMBAS BARAT BLOK 15 NO.87 PERUM IV</v>
      </c>
      <c r="N2925" s="35" t="str">
        <f>IFERROR(__xludf.DUMMYFUNCTION("""COMPUTED_VALUE"""),"SAIGON")</f>
        <v>SAIGON</v>
      </c>
      <c r="O2925" s="35" t="str">
        <f>IFERROR(__xludf.DUMMYFUNCTION("""COMPUTED_VALUE"""),"PONTIANAK TIMUR")</f>
        <v>PONTIANAK TIMUR</v>
      </c>
      <c r="P2925" s="35" t="str">
        <f>IFERROR(__xludf.DUMMYFUNCTION("""COMPUTED_VALUE"""),"KOTA PONTIANAK")</f>
        <v>KOTA PONTIANAK</v>
      </c>
      <c r="Q2925" s="35" t="str">
        <f>IFERROR(__xludf.DUMMYFUNCTION("""COMPUTED_VALUE"""),"KALIMANTAN BARAT")</f>
        <v>KALIMANTAN BARAT</v>
      </c>
      <c r="R2925" s="21" t="str">
        <f>IFERROR(__xludf.DUMMYFUNCTION("""COMPUTED_VALUE"""),"ISLAM")</f>
        <v>ISLAM</v>
      </c>
      <c r="S2925" s="74" t="str">
        <f>IFERROR(__xludf.DUMMYFUNCTION("""COMPUTED_VALUE"""),"MASIH SEKOLAH")</f>
        <v>MASIH SEKOLAH</v>
      </c>
      <c r="T2925" s="35" t="str">
        <f>IFERROR(__xludf.DUMMYFUNCTION("""COMPUTED_VALUE"""),"PADA SAAT JALAN DEKAT MATA KAKI TERASA SAKIT")</f>
        <v>PADA SAAT JALAN DEKAT MATA KAKI TERASA SAKIT</v>
      </c>
      <c r="U2925" s="35" t="str">
        <f>IFERROR(__xludf.DUMMYFUNCTION("""COMPUTED_VALUE"""),"SILAT")</f>
        <v>SILAT</v>
      </c>
      <c r="V2925" s="37" t="str">
        <f>IFERROR(__xludf.DUMMYFUNCTION("""COMPUTED_VALUE"""),"082148433034")</f>
        <v>082148433034</v>
      </c>
      <c r="W2925" s="45"/>
    </row>
    <row r="2926">
      <c r="A2926" s="45"/>
      <c r="B2926" s="24" t="str">
        <f>IFERROR(__xludf.DUMMYFUNCTION("""COMPUTED_VALUE"""),"01/10/2025 10:20:34")</f>
        <v>01/10/2025 10:20:34</v>
      </c>
      <c r="C2926" s="35"/>
      <c r="D2926" s="10">
        <f>IFERROR(__xludf.DUMMYFUNCTION("""COMPUTED_VALUE"""),45931.0)</f>
        <v>45931</v>
      </c>
      <c r="E2926" s="35" t="str">
        <f>IFERROR(__xludf.DUMMYFUNCTION("""COMPUTED_VALUE"""),"10Okt")</f>
        <v>10Okt</v>
      </c>
      <c r="F2926" s="34" t="str">
        <f>IFERROR(__xludf.DUMMYFUNCTION("""COMPUTED_VALUE"""),"2025")</f>
        <v>2025</v>
      </c>
      <c r="G2926" s="35" t="str">
        <f>IFERROR(__xludf.DUMMYFUNCTION("""COMPUTED_VALUE"""),"LIM OI KHIUN ALS RIANA")</f>
        <v>LIM OI KHIUN ALS RIANA</v>
      </c>
      <c r="H2926" s="35" t="str">
        <f>IFERROR(__xludf.DUMMYFUNCTION("""COMPUTED_VALUE"""),"L5925109995")</f>
        <v>L5925109995</v>
      </c>
      <c r="I2926" s="35">
        <f>IFERROR(__xludf.DUMMYFUNCTION("""COMPUTED_VALUE"""),67.0)</f>
        <v>67</v>
      </c>
      <c r="J2926" s="35" t="str">
        <f>IFERROR(__xludf.DUMMYFUNCTION("""COMPUTED_VALUE"""),"&gt; 44 tahun")</f>
        <v>&gt; 44 tahun</v>
      </c>
      <c r="K2926" s="21" t="str">
        <f>IFERROR(__xludf.DUMMYFUNCTION("""COMPUTED_VALUE"""),"07/05/1959")</f>
        <v>07/05/1959</v>
      </c>
      <c r="L2926" s="21" t="str">
        <f>IFERROR(__xludf.DUMMYFUNCTION("""COMPUTED_VALUE"""),"PEREMPUAN")</f>
        <v>PEREMPUAN</v>
      </c>
      <c r="M2926" s="35" t="str">
        <f>IFERROR(__xludf.DUMMYFUNCTION("""COMPUTED_VALUE"""),"JL KARYA BARU GG SAMIN 18 A")</f>
        <v>JL KARYA BARU GG SAMIN 18 A</v>
      </c>
      <c r="N2926" s="35" t="str">
        <f>IFERROR(__xludf.DUMMYFUNCTION("""COMPUTED_VALUE"""),"PARIT TOKAYA")</f>
        <v>PARIT TOKAYA</v>
      </c>
      <c r="O2926" s="35" t="str">
        <f>IFERROR(__xludf.DUMMYFUNCTION("""COMPUTED_VALUE"""),"PONTIANAK SELATAN")</f>
        <v>PONTIANAK SELATAN</v>
      </c>
      <c r="P2926" s="35" t="str">
        <f>IFERROR(__xludf.DUMMYFUNCTION("""COMPUTED_VALUE"""),"PONTIANAK")</f>
        <v>PONTIANAK</v>
      </c>
      <c r="Q2926" s="35" t="str">
        <f>IFERROR(__xludf.DUMMYFUNCTION("""COMPUTED_VALUE"""),"KALIMANTAN BARAT")</f>
        <v>KALIMANTAN BARAT</v>
      </c>
      <c r="R2926" s="21" t="str">
        <f>IFERROR(__xludf.DUMMYFUNCTION("""COMPUTED_VALUE"""),"KATOLIK")</f>
        <v>KATOLIK</v>
      </c>
      <c r="S2926" s="74" t="str">
        <f>IFERROR(__xludf.DUMMYFUNCTION("""COMPUTED_VALUE"""),"WIRASWASTA")</f>
        <v>WIRASWASTA</v>
      </c>
      <c r="T2926" s="35" t="str">
        <f>IFERROR(__xludf.DUMMYFUNCTION("""COMPUTED_VALUE"""),"LUTUT")</f>
        <v>LUTUT</v>
      </c>
      <c r="U2926" s="35" t="str">
        <f>IFERROR(__xludf.DUMMYFUNCTION("""COMPUTED_VALUE"""),"IBU RUMAH TANGGA")</f>
        <v>IBU RUMAH TANGGA</v>
      </c>
      <c r="V2926" s="37" t="str">
        <f>IFERROR(__xludf.DUMMYFUNCTION("""COMPUTED_VALUE"""),"085245779995")</f>
        <v>085245779995</v>
      </c>
      <c r="W2926" s="45"/>
    </row>
    <row r="2927">
      <c r="A2927" s="45"/>
      <c r="B2927" s="24" t="str">
        <f>IFERROR(__xludf.DUMMYFUNCTION("""COMPUTED_VALUE"""),"01/10/2025 12:02:21")</f>
        <v>01/10/2025 12:02:21</v>
      </c>
      <c r="C2927" s="35"/>
      <c r="D2927" s="10">
        <f>IFERROR(__xludf.DUMMYFUNCTION("""COMPUTED_VALUE"""),45931.0)</f>
        <v>45931</v>
      </c>
      <c r="E2927" s="35" t="str">
        <f>IFERROR(__xludf.DUMMYFUNCTION("""COMPUTED_VALUE"""),"10Okt")</f>
        <v>10Okt</v>
      </c>
      <c r="F2927" s="34" t="str">
        <f>IFERROR(__xludf.DUMMYFUNCTION("""COMPUTED_VALUE"""),"2025")</f>
        <v>2025</v>
      </c>
      <c r="G2927" s="35" t="str">
        <f>IFERROR(__xludf.DUMMYFUNCTION("""COMPUTED_VALUE"""),"SUHERDIYANTO, S.PD")</f>
        <v>SUHERDIYANTO, S.PD</v>
      </c>
      <c r="H2927" s="35" t="str">
        <f>IFERROR(__xludf.DUMMYFUNCTION("""COMPUTED_VALUE"""),"S8025102353")</f>
        <v>S8025102353</v>
      </c>
      <c r="I2927" s="35">
        <f>IFERROR(__xludf.DUMMYFUNCTION("""COMPUTED_VALUE"""),46.0)</f>
        <v>46</v>
      </c>
      <c r="J2927" s="35" t="str">
        <f>IFERROR(__xludf.DUMMYFUNCTION("""COMPUTED_VALUE"""),"&gt; 44 tahun")</f>
        <v>&gt; 44 tahun</v>
      </c>
      <c r="K2927" s="21" t="str">
        <f>IFERROR(__xludf.DUMMYFUNCTION("""COMPUTED_VALUE"""),"01/03/1980")</f>
        <v>01/03/1980</v>
      </c>
      <c r="L2927" s="21" t="str">
        <f>IFERROR(__xludf.DUMMYFUNCTION("""COMPUTED_VALUE"""),"LAKI-LAKI")</f>
        <v>LAKI-LAKI</v>
      </c>
      <c r="M2927" s="35" t="str">
        <f>IFERROR(__xludf.DUMMYFUNCTION("""COMPUTED_VALUE"""),"JL RAYA KAKAP KOMP STAR BORNEO 4 BLOK BE 19")</f>
        <v>JL RAYA KAKAP KOMP STAR BORNEO 4 BLOK BE 19</v>
      </c>
      <c r="N2927" s="35" t="str">
        <f>IFERROR(__xludf.DUMMYFUNCTION("""COMPUTED_VALUE"""),"PAL SEMBILAN")</f>
        <v>PAL SEMBILAN</v>
      </c>
      <c r="O2927" s="35" t="str">
        <f>IFERROR(__xludf.DUMMYFUNCTION("""COMPUTED_VALUE"""),"SUNGAI KAKAP")</f>
        <v>SUNGAI KAKAP</v>
      </c>
      <c r="P2927" s="35" t="str">
        <f>IFERROR(__xludf.DUMMYFUNCTION("""COMPUTED_VALUE"""),"PONTIANAK")</f>
        <v>PONTIANAK</v>
      </c>
      <c r="Q2927" s="35" t="str">
        <f>IFERROR(__xludf.DUMMYFUNCTION("""COMPUTED_VALUE"""),"KALIMANTAN BARAT")</f>
        <v>KALIMANTAN BARAT</v>
      </c>
      <c r="R2927" s="21" t="str">
        <f>IFERROR(__xludf.DUMMYFUNCTION("""COMPUTED_VALUE"""),"ISLAM")</f>
        <v>ISLAM</v>
      </c>
      <c r="S2927" s="74" t="str">
        <f>IFERROR(__xludf.DUMMYFUNCTION("""COMPUTED_VALUE"""),"KARYAWAN HONORER")</f>
        <v>KARYAWAN HONORER</v>
      </c>
      <c r="T2927" s="35" t="str">
        <f>IFERROR(__xludf.DUMMYFUNCTION("""COMPUTED_VALUE"""),"PINGGANG SAMPAI KAKI")</f>
        <v>PINGGANG SAMPAI KAKI</v>
      </c>
      <c r="U2927" s="35" t="str">
        <f>IFERROR(__xludf.DUMMYFUNCTION("""COMPUTED_VALUE"""),"SEPEDA DAN BULU TANGKIS")</f>
        <v>SEPEDA DAN BULU TANGKIS</v>
      </c>
      <c r="V2927" s="37" t="str">
        <f>IFERROR(__xludf.DUMMYFUNCTION("""COMPUTED_VALUE"""),"62811562353")</f>
        <v>62811562353</v>
      </c>
      <c r="W2927" s="45"/>
    </row>
    <row r="2928">
      <c r="A2928" s="45"/>
      <c r="B2928" s="24" t="str">
        <f>IFERROR(__xludf.DUMMYFUNCTION("""COMPUTED_VALUE"""),"01/10/2025 18:04:50")</f>
        <v>01/10/2025 18:04:50</v>
      </c>
      <c r="C2928" s="35"/>
      <c r="D2928" s="10">
        <f>IFERROR(__xludf.DUMMYFUNCTION("""COMPUTED_VALUE"""),45931.0)</f>
        <v>45931</v>
      </c>
      <c r="E2928" s="35" t="str">
        <f>IFERROR(__xludf.DUMMYFUNCTION("""COMPUTED_VALUE"""),"10Okt")</f>
        <v>10Okt</v>
      </c>
      <c r="F2928" s="34" t="str">
        <f>IFERROR(__xludf.DUMMYFUNCTION("""COMPUTED_VALUE"""),"2025")</f>
        <v>2025</v>
      </c>
      <c r="G2928" s="35" t="str">
        <f>IFERROR(__xludf.DUMMYFUNCTION("""COMPUTED_VALUE"""),"LISA MEGASARI")</f>
        <v>LISA MEGASARI</v>
      </c>
      <c r="H2928" s="35" t="str">
        <f>IFERROR(__xludf.DUMMYFUNCTION("""COMPUTED_VALUE"""),"L8625105331")</f>
        <v>L8625105331</v>
      </c>
      <c r="I2928" s="35">
        <f>IFERROR(__xludf.DUMMYFUNCTION("""COMPUTED_VALUE"""),39.0)</f>
        <v>39</v>
      </c>
      <c r="J2928" s="35" t="str">
        <f>IFERROR(__xludf.DUMMYFUNCTION("""COMPUTED_VALUE"""),"35-44 tahun")</f>
        <v>35-44 tahun</v>
      </c>
      <c r="K2928" s="21" t="str">
        <f>IFERROR(__xludf.DUMMYFUNCTION("""COMPUTED_VALUE"""),"25/07/1986")</f>
        <v>25/07/1986</v>
      </c>
      <c r="L2928" s="21" t="str">
        <f>IFERROR(__xludf.DUMMYFUNCTION("""COMPUTED_VALUE"""),"PEREMPUAN")</f>
        <v>PEREMPUAN</v>
      </c>
      <c r="M2928" s="35" t="str">
        <f>IFERROR(__xludf.DUMMYFUNCTION("""COMPUTED_VALUE"""),"JL IMAM BONJOL GG KUANTAN NO.39")</f>
        <v>JL IMAM BONJOL GG KUANTAN NO.39</v>
      </c>
      <c r="N2928" s="35" t="str">
        <f>IFERROR(__xludf.DUMMYFUNCTION("""COMPUTED_VALUE"""),"BENUA MELAYU LAUT")</f>
        <v>BENUA MELAYU LAUT</v>
      </c>
      <c r="O2928" s="35" t="str">
        <f>IFERROR(__xludf.DUMMYFUNCTION("""COMPUTED_VALUE"""),"PONTIANAK SELATAN")</f>
        <v>PONTIANAK SELATAN</v>
      </c>
      <c r="P2928" s="35" t="str">
        <f>IFERROR(__xludf.DUMMYFUNCTION("""COMPUTED_VALUE"""),"KOTA PONTIANAK")</f>
        <v>KOTA PONTIANAK</v>
      </c>
      <c r="Q2928" s="35" t="str">
        <f>IFERROR(__xludf.DUMMYFUNCTION("""COMPUTED_VALUE"""),"KALIMANTAN BARAT")</f>
        <v>KALIMANTAN BARAT</v>
      </c>
      <c r="R2928" s="21" t="str">
        <f>IFERROR(__xludf.DUMMYFUNCTION("""COMPUTED_VALUE"""),"ISLAM")</f>
        <v>ISLAM</v>
      </c>
      <c r="S2928" s="74" t="str">
        <f>IFERROR(__xludf.DUMMYFUNCTION("""COMPUTED_VALUE"""),"SWASTA")</f>
        <v>SWASTA</v>
      </c>
      <c r="T2928" s="35" t="str">
        <f>IFERROR(__xludf.DUMMYFUNCTION("""COMPUTED_VALUE"""),"BENUA MELAYU LAUT")</f>
        <v>BENUA MELAYU LAUT</v>
      </c>
      <c r="U2928" s="35" t="str">
        <f>IFERROR(__xludf.DUMMYFUNCTION("""COMPUTED_VALUE"""),"BERJALAN")</f>
        <v>BERJALAN</v>
      </c>
      <c r="V2928" s="37" t="str">
        <f>IFERROR(__xludf.DUMMYFUNCTION("""COMPUTED_VALUE"""),"082150315331")</f>
        <v>082150315331</v>
      </c>
      <c r="W2928" s="45"/>
    </row>
    <row r="2929">
      <c r="A2929" s="45"/>
      <c r="B2929" s="24" t="str">
        <f>IFERROR(__xludf.DUMMYFUNCTION("""COMPUTED_VALUE"""),"01/10/2025 20:54:47")</f>
        <v>01/10/2025 20:54:47</v>
      </c>
      <c r="C2929" s="35"/>
      <c r="D2929" s="10">
        <f>IFERROR(__xludf.DUMMYFUNCTION("""COMPUTED_VALUE"""),45931.0)</f>
        <v>45931</v>
      </c>
      <c r="E2929" s="35" t="str">
        <f>IFERROR(__xludf.DUMMYFUNCTION("""COMPUTED_VALUE"""),"10Okt")</f>
        <v>10Okt</v>
      </c>
      <c r="F2929" s="34" t="str">
        <f>IFERROR(__xludf.DUMMYFUNCTION("""COMPUTED_VALUE"""),"2025")</f>
        <v>2025</v>
      </c>
      <c r="G2929" s="35" t="str">
        <f>IFERROR(__xludf.DUMMYFUNCTION("""COMPUTED_VALUE"""),"ARIFIN NUR ROCHMAD")</f>
        <v>ARIFIN NUR ROCHMAD</v>
      </c>
      <c r="H2929" s="35" t="str">
        <f>IFERROR(__xludf.DUMMYFUNCTION("""COMPUTED_VALUE"""),"A9025108786")</f>
        <v>A9025108786</v>
      </c>
      <c r="I2929" s="35">
        <f>IFERROR(__xludf.DUMMYFUNCTION("""COMPUTED_VALUE"""),35.0)</f>
        <v>35</v>
      </c>
      <c r="J2929" s="35" t="str">
        <f>IFERROR(__xludf.DUMMYFUNCTION("""COMPUTED_VALUE"""),"35-44 tahun")</f>
        <v>35-44 tahun</v>
      </c>
      <c r="K2929" s="21" t="str">
        <f>IFERROR(__xludf.DUMMYFUNCTION("""COMPUTED_VALUE"""),"13/11/1990")</f>
        <v>13/11/1990</v>
      </c>
      <c r="L2929" s="21" t="str">
        <f>IFERROR(__xludf.DUMMYFUNCTION("""COMPUTED_VALUE"""),"LAKI-LAKI")</f>
        <v>LAKI-LAKI</v>
      </c>
      <c r="M2929" s="35" t="str">
        <f>IFERROR(__xludf.DUMMYFUNCTION("""COMPUTED_VALUE"""),"JL BINA JAYA KOTA BARU")</f>
        <v>JL BINA JAYA KOTA BARU</v>
      </c>
      <c r="N2929" s="35" t="str">
        <f>IFERROR(__xludf.DUMMYFUNCTION("""COMPUTED_VALUE"""),"KOTA BARU")</f>
        <v>KOTA BARU</v>
      </c>
      <c r="O2929" s="35" t="str">
        <f>IFERROR(__xludf.DUMMYFUNCTION("""COMPUTED_VALUE"""),"PONTIANAK SELATAN")</f>
        <v>PONTIANAK SELATAN</v>
      </c>
      <c r="P2929" s="35" t="str">
        <f>IFERROR(__xludf.DUMMYFUNCTION("""COMPUTED_VALUE"""),"PONTIANAK")</f>
        <v>PONTIANAK</v>
      </c>
      <c r="Q2929" s="35" t="str">
        <f>IFERROR(__xludf.DUMMYFUNCTION("""COMPUTED_VALUE"""),"KALIMANTAN BARAT")</f>
        <v>KALIMANTAN BARAT</v>
      </c>
      <c r="R2929" s="21" t="str">
        <f>IFERROR(__xludf.DUMMYFUNCTION("""COMPUTED_VALUE"""),"ISLAM")</f>
        <v>ISLAM</v>
      </c>
      <c r="S2929" s="74" t="str">
        <f>IFERROR(__xludf.DUMMYFUNCTION("""COMPUTED_VALUE"""),"WIRASWASTA")</f>
        <v>WIRASWASTA</v>
      </c>
      <c r="T2929" s="35" t="str">
        <f>IFERROR(__xludf.DUMMYFUNCTION("""COMPUTED_VALUE"""),"KESELEO PADA BAGIAN LUTUT")</f>
        <v>KESELEO PADA BAGIAN LUTUT</v>
      </c>
      <c r="U2929" s="35" t="str">
        <f>IFERROR(__xludf.DUMMYFUNCTION("""COMPUTED_VALUE"""),"BERMAIN BOLA")</f>
        <v>BERMAIN BOLA</v>
      </c>
      <c r="V2929" s="37" t="str">
        <f>IFERROR(__xludf.DUMMYFUNCTION("""COMPUTED_VALUE"""),"081256168786")</f>
        <v>081256168786</v>
      </c>
      <c r="W2929" s="45"/>
    </row>
    <row r="2930">
      <c r="A2930" s="45"/>
      <c r="B2930" s="24" t="str">
        <f>IFERROR(__xludf.DUMMYFUNCTION("""COMPUTED_VALUE"""),"01/10/2025 21:05:23")</f>
        <v>01/10/2025 21:05:23</v>
      </c>
      <c r="C2930" s="35"/>
      <c r="D2930" s="10">
        <f>IFERROR(__xludf.DUMMYFUNCTION("""COMPUTED_VALUE"""),45931.0)</f>
        <v>45931</v>
      </c>
      <c r="E2930" s="35" t="str">
        <f>IFERROR(__xludf.DUMMYFUNCTION("""COMPUTED_VALUE"""),"10Okt")</f>
        <v>10Okt</v>
      </c>
      <c r="F2930" s="34" t="str">
        <f>IFERROR(__xludf.DUMMYFUNCTION("""COMPUTED_VALUE"""),"2025")</f>
        <v>2025</v>
      </c>
      <c r="G2930" s="35" t="str">
        <f>IFERROR(__xludf.DUMMYFUNCTION("""COMPUTED_VALUE"""),"SHAOUQI NASHUHA")</f>
        <v>SHAOUQI NASHUHA</v>
      </c>
      <c r="H2930" s="35" t="str">
        <f>IFERROR(__xludf.DUMMYFUNCTION("""COMPUTED_VALUE"""),"S9625108010")</f>
        <v>S9625108010</v>
      </c>
      <c r="I2930" s="35">
        <f>IFERROR(__xludf.DUMMYFUNCTION("""COMPUTED_VALUE"""),29.0)</f>
        <v>29</v>
      </c>
      <c r="J2930" s="35" t="str">
        <f>IFERROR(__xludf.DUMMYFUNCTION("""COMPUTED_VALUE"""),"25-34 tahun")</f>
        <v>25-34 tahun</v>
      </c>
      <c r="K2930" s="21" t="str">
        <f>IFERROR(__xludf.DUMMYFUNCTION("""COMPUTED_VALUE"""),"24/08/1996")</f>
        <v>24/08/1996</v>
      </c>
      <c r="L2930" s="21" t="str">
        <f>IFERROR(__xludf.DUMMYFUNCTION("""COMPUTED_VALUE"""),"LAKI-LAKI")</f>
        <v>LAKI-LAKI</v>
      </c>
      <c r="M2930" s="35" t="str">
        <f>IFERROR(__xludf.DUMMYFUNCTION("""COMPUTED_VALUE"""),"JL. IMAM BONJOL, GG. BUSRI, NO. 3")</f>
        <v>JL. IMAM BONJOL, GG. BUSRI, NO. 3</v>
      </c>
      <c r="N2930" s="35" t="str">
        <f>IFERROR(__xludf.DUMMYFUNCTION("""COMPUTED_VALUE"""),"BANSIR LAUT")</f>
        <v>BANSIR LAUT</v>
      </c>
      <c r="O2930" s="35" t="str">
        <f>IFERROR(__xludf.DUMMYFUNCTION("""COMPUTED_VALUE"""),"PONTIANAK NEGARA")</f>
        <v>PONTIANAK NEGARA</v>
      </c>
      <c r="P2930" s="35" t="str">
        <f>IFERROR(__xludf.DUMMYFUNCTION("""COMPUTED_VALUE"""),"PONTIANAK")</f>
        <v>PONTIANAK</v>
      </c>
      <c r="Q2930" s="35" t="str">
        <f>IFERROR(__xludf.DUMMYFUNCTION("""COMPUTED_VALUE"""),"KALIMANTAN BARAT")</f>
        <v>KALIMANTAN BARAT</v>
      </c>
      <c r="R2930" s="21" t="str">
        <f>IFERROR(__xludf.DUMMYFUNCTION("""COMPUTED_VALUE"""),"ISLAM")</f>
        <v>ISLAM</v>
      </c>
      <c r="S2930" s="74" t="str">
        <f>IFERROR(__xludf.DUMMYFUNCTION("""COMPUTED_VALUE"""),"MARKETING")</f>
        <v>MARKETING</v>
      </c>
      <c r="T2930" s="35" t="str">
        <f>IFERROR(__xludf.DUMMYFUNCTION("""COMPUTED_VALUE"""),"ANKLE SPRAIN")</f>
        <v>ANKLE SPRAIN</v>
      </c>
      <c r="U2930" s="35" t="str">
        <f>IFERROR(__xludf.DUMMYFUNCTION("""COMPUTED_VALUE"""),"TENNIS")</f>
        <v>TENNIS</v>
      </c>
      <c r="V2930" s="37" t="str">
        <f>IFERROR(__xludf.DUMMYFUNCTION("""COMPUTED_VALUE"""),"08984858010")</f>
        <v>08984858010</v>
      </c>
      <c r="W2930" s="45"/>
    </row>
    <row r="2931">
      <c r="A2931" s="45"/>
      <c r="B2931" s="24" t="str">
        <f>IFERROR(__xludf.DUMMYFUNCTION("""COMPUTED_VALUE"""),"02/10/2025 10:25:17")</f>
        <v>02/10/2025 10:25:17</v>
      </c>
      <c r="C2931" s="35"/>
      <c r="D2931" s="10">
        <f>IFERROR(__xludf.DUMMYFUNCTION("""COMPUTED_VALUE"""),45932.0)</f>
        <v>45932</v>
      </c>
      <c r="E2931" s="35" t="str">
        <f>IFERROR(__xludf.DUMMYFUNCTION("""COMPUTED_VALUE"""),"10Okt")</f>
        <v>10Okt</v>
      </c>
      <c r="F2931" s="34" t="str">
        <f>IFERROR(__xludf.DUMMYFUNCTION("""COMPUTED_VALUE"""),"2025")</f>
        <v>2025</v>
      </c>
      <c r="G2931" s="35" t="str">
        <f>IFERROR(__xludf.DUMMYFUNCTION("""COMPUTED_VALUE"""),"RAHMAD PUNGKI WALUYO")</f>
        <v>RAHMAD PUNGKI WALUYO</v>
      </c>
      <c r="H2931" s="35" t="str">
        <f>IFERROR(__xludf.DUMMYFUNCTION("""COMPUTED_VALUE"""),"R7925105884")</f>
        <v>R7925105884</v>
      </c>
      <c r="I2931" s="35">
        <f>IFERROR(__xludf.DUMMYFUNCTION("""COMPUTED_VALUE"""),46.0)</f>
        <v>46</v>
      </c>
      <c r="J2931" s="35" t="str">
        <f>IFERROR(__xludf.DUMMYFUNCTION("""COMPUTED_VALUE"""),"&gt; 44 tahun")</f>
        <v>&gt; 44 tahun</v>
      </c>
      <c r="K2931" s="21" t="str">
        <f>IFERROR(__xludf.DUMMYFUNCTION("""COMPUTED_VALUE"""),"19/09/1979")</f>
        <v>19/09/1979</v>
      </c>
      <c r="L2931" s="21" t="str">
        <f>IFERROR(__xludf.DUMMYFUNCTION("""COMPUTED_VALUE"""),"LAKI-LAKI")</f>
        <v>LAKI-LAKI</v>
      </c>
      <c r="M2931" s="35" t="str">
        <f>IFERROR(__xludf.DUMMYFUNCTION("""COMPUTED_VALUE"""),"JL. BINA JAYA GG. DAMAI 2 KOMPLEK ALEA INDAH 1 BLOK C2")</f>
        <v>JL. BINA JAYA GG. DAMAI 2 KOMPLEK ALEA INDAH 1 BLOK C2</v>
      </c>
      <c r="N2931" s="35" t="str">
        <f>IFERROR(__xludf.DUMMYFUNCTION("""COMPUTED_VALUE"""),"KOTA BARU")</f>
        <v>KOTA BARU</v>
      </c>
      <c r="O2931" s="35" t="str">
        <f>IFERROR(__xludf.DUMMYFUNCTION("""COMPUTED_VALUE"""),"PONTIANAK SELATAN")</f>
        <v>PONTIANAK SELATAN</v>
      </c>
      <c r="P2931" s="35" t="str">
        <f>IFERROR(__xludf.DUMMYFUNCTION("""COMPUTED_VALUE"""),"PONTIANAK")</f>
        <v>PONTIANAK</v>
      </c>
      <c r="Q2931" s="35" t="str">
        <f>IFERROR(__xludf.DUMMYFUNCTION("""COMPUTED_VALUE"""),"KALIMANTAN BARAT")</f>
        <v>KALIMANTAN BARAT</v>
      </c>
      <c r="R2931" s="21" t="str">
        <f>IFERROR(__xludf.DUMMYFUNCTION("""COMPUTED_VALUE"""),"ISLAM")</f>
        <v>ISLAM</v>
      </c>
      <c r="S2931" s="74" t="str">
        <f>IFERROR(__xludf.DUMMYFUNCTION("""COMPUTED_VALUE"""),"GURU")</f>
        <v>GURU</v>
      </c>
      <c r="T2931" s="35" t="str">
        <f>IFERROR(__xludf.DUMMYFUNCTION("""COMPUTED_VALUE"""),"CIDERA OTOT BAGIAN LUTUT")</f>
        <v>CIDERA OTOT BAGIAN LUTUT</v>
      </c>
      <c r="U2931" s="35" t="str">
        <f>IFERROR(__xludf.DUMMYFUNCTION("""COMPUTED_VALUE"""),"SEPAKBOLA MINI SOCCER")</f>
        <v>SEPAKBOLA MINI SOCCER</v>
      </c>
      <c r="V2931" s="37" t="str">
        <f>IFERROR(__xludf.DUMMYFUNCTION("""COMPUTED_VALUE"""),"085642395884")</f>
        <v>085642395884</v>
      </c>
      <c r="W2931" s="45"/>
    </row>
    <row r="2932">
      <c r="A2932" s="45"/>
      <c r="B2932" s="24" t="str">
        <f>IFERROR(__xludf.DUMMYFUNCTION("""COMPUTED_VALUE"""),"02/10/2025 12:06:40")</f>
        <v>02/10/2025 12:06:40</v>
      </c>
      <c r="C2932" s="35"/>
      <c r="D2932" s="10">
        <f>IFERROR(__xludf.DUMMYFUNCTION("""COMPUTED_VALUE"""),45932.0)</f>
        <v>45932</v>
      </c>
      <c r="E2932" s="35" t="str">
        <f>IFERROR(__xludf.DUMMYFUNCTION("""COMPUTED_VALUE"""),"10Okt")</f>
        <v>10Okt</v>
      </c>
      <c r="F2932" s="34" t="str">
        <f>IFERROR(__xludf.DUMMYFUNCTION("""COMPUTED_VALUE"""),"2025")</f>
        <v>2025</v>
      </c>
      <c r="G2932" s="35" t="str">
        <f>IFERROR(__xludf.DUMMYFUNCTION("""COMPUTED_VALUE"""),"ROBINSON NAINGGOLAN")</f>
        <v>ROBINSON NAINGGOLAN</v>
      </c>
      <c r="H2932" s="35" t="str">
        <f>IFERROR(__xludf.DUMMYFUNCTION("""COMPUTED_VALUE"""),"R9625100137")</f>
        <v>R9625100137</v>
      </c>
      <c r="I2932" s="35">
        <f>IFERROR(__xludf.DUMMYFUNCTION("""COMPUTED_VALUE"""),29.0)</f>
        <v>29</v>
      </c>
      <c r="J2932" s="35" t="str">
        <f>IFERROR(__xludf.DUMMYFUNCTION("""COMPUTED_VALUE"""),"25-34 tahun")</f>
        <v>25-34 tahun</v>
      </c>
      <c r="K2932" s="21" t="str">
        <f>IFERROR(__xludf.DUMMYFUNCTION("""COMPUTED_VALUE"""),"22/07/1996")</f>
        <v>22/07/1996</v>
      </c>
      <c r="L2932" s="21" t="str">
        <f>IFERROR(__xludf.DUMMYFUNCTION("""COMPUTED_VALUE"""),"LAKI-LAKI")</f>
        <v>LAKI-LAKI</v>
      </c>
      <c r="M2932" s="35" t="str">
        <f>IFERROR(__xludf.DUMMYFUNCTION("""COMPUTED_VALUE"""),"PAHAUMAN")</f>
        <v>PAHAUMAN</v>
      </c>
      <c r="N2932" s="35" t="str">
        <f>IFERROR(__xludf.DUMMYFUNCTION("""COMPUTED_VALUE"""),"PAHAUMAN")</f>
        <v>PAHAUMAN</v>
      </c>
      <c r="O2932" s="35" t="str">
        <f>IFERROR(__xludf.DUMMYFUNCTION("""COMPUTED_VALUE"""),"SENGAH TEMILA")</f>
        <v>SENGAH TEMILA</v>
      </c>
      <c r="P2932" s="35" t="str">
        <f>IFERROR(__xludf.DUMMYFUNCTION("""COMPUTED_VALUE"""),"LANDAK")</f>
        <v>LANDAK</v>
      </c>
      <c r="Q2932" s="35" t="str">
        <f>IFERROR(__xludf.DUMMYFUNCTION("""COMPUTED_VALUE"""),"KALIMANTAN BARAT")</f>
        <v>KALIMANTAN BARAT</v>
      </c>
      <c r="R2932" s="21" t="str">
        <f>IFERROR(__xludf.DUMMYFUNCTION("""COMPUTED_VALUE"""),"KATOLIK")</f>
        <v>KATOLIK</v>
      </c>
      <c r="S2932" s="74" t="str">
        <f>IFERROR(__xludf.DUMMYFUNCTION("""COMPUTED_VALUE"""),"SWASTA")</f>
        <v>SWASTA</v>
      </c>
      <c r="T2932" s="35" t="str">
        <f>IFERROR(__xludf.DUMMYFUNCTION("""COMPUTED_VALUE"""),"CEDERA DI LUTUT")</f>
        <v>CEDERA DI LUTUT</v>
      </c>
      <c r="U2932" s="35" t="str">
        <f>IFERROR(__xludf.DUMMYFUNCTION("""COMPUTED_VALUE"""),"OLAHRAGA SEPAK BOLA , FUTSAL")</f>
        <v>OLAHRAGA SEPAK BOLA , FUTSAL</v>
      </c>
      <c r="V2932" s="37" t="str">
        <f>IFERROR(__xludf.DUMMYFUNCTION("""COMPUTED_VALUE"""),"085156390137")</f>
        <v>085156390137</v>
      </c>
      <c r="W2932" s="45"/>
    </row>
    <row r="2933">
      <c r="A2933" s="45"/>
      <c r="B2933" s="24" t="str">
        <f>IFERROR(__xludf.DUMMYFUNCTION("""COMPUTED_VALUE"""),"03/10/2025 15:56:23")</f>
        <v>03/10/2025 15:56:23</v>
      </c>
      <c r="C2933" s="35"/>
      <c r="D2933" s="10">
        <f>IFERROR(__xludf.DUMMYFUNCTION("""COMPUTED_VALUE"""),45933.0)</f>
        <v>45933</v>
      </c>
      <c r="E2933" s="35" t="str">
        <f>IFERROR(__xludf.DUMMYFUNCTION("""COMPUTED_VALUE"""),"10Okt")</f>
        <v>10Okt</v>
      </c>
      <c r="F2933" s="34" t="str">
        <f>IFERROR(__xludf.DUMMYFUNCTION("""COMPUTED_VALUE"""),"2025")</f>
        <v>2025</v>
      </c>
      <c r="G2933" s="35" t="str">
        <f>IFERROR(__xludf.DUMMYFUNCTION("""COMPUTED_VALUE"""),"LENI DIANTAMI")</f>
        <v>LENI DIANTAMI</v>
      </c>
      <c r="H2933" s="35" t="str">
        <f>IFERROR(__xludf.DUMMYFUNCTION("""COMPUTED_VALUE"""),"L2525104585")</f>
        <v>L2525104585</v>
      </c>
      <c r="I2933" s="35">
        <f>IFERROR(__xludf.DUMMYFUNCTION("""COMPUTED_VALUE"""),0.0)</f>
        <v>0</v>
      </c>
      <c r="J2933" s="35" t="str">
        <f>IFERROR(__xludf.DUMMYFUNCTION("""COMPUTED_VALUE"""),"&lt; 18 tahun")</f>
        <v>&lt; 18 tahun</v>
      </c>
      <c r="K2933" s="21" t="str">
        <f>IFERROR(__xludf.DUMMYFUNCTION("""COMPUTED_VALUE"""),"03/10/2025")</f>
        <v>03/10/2025</v>
      </c>
      <c r="L2933" s="21" t="str">
        <f>IFERROR(__xludf.DUMMYFUNCTION("""COMPUTED_VALUE"""),"PEREMPUAN")</f>
        <v>PEREMPUAN</v>
      </c>
      <c r="M2933" s="35" t="str">
        <f>IFERROR(__xludf.DUMMYFUNCTION("""COMPUTED_VALUE"""),"JL. SUNGAI RAYA DALAM KOMP. VILLA KELAPA GADING PERMAI B14")</f>
        <v>JL. SUNGAI RAYA DALAM KOMP. VILLA KELAPA GADING PERMAI B14</v>
      </c>
      <c r="N2933" s="35" t="str">
        <f>IFERROR(__xludf.DUMMYFUNCTION("""COMPUTED_VALUE"""),"PAHAUMAN")</f>
        <v>PAHAUMAN</v>
      </c>
      <c r="O2933" s="35" t="str">
        <f>IFERROR(__xludf.DUMMYFUNCTION("""COMPUTED_VALUE"""),"PONTIANAK TENGGARA")</f>
        <v>PONTIANAK TENGGARA</v>
      </c>
      <c r="P2933" s="35" t="str">
        <f>IFERROR(__xludf.DUMMYFUNCTION("""COMPUTED_VALUE"""),"PONTIANAK")</f>
        <v>PONTIANAK</v>
      </c>
      <c r="Q2933" s="35" t="str">
        <f>IFERROR(__xludf.DUMMYFUNCTION("""COMPUTED_VALUE"""),"KALIMANTAN BARAT")</f>
        <v>KALIMANTAN BARAT</v>
      </c>
      <c r="R2933" s="21" t="str">
        <f>IFERROR(__xludf.DUMMYFUNCTION("""COMPUTED_VALUE"""),"ISLAM")</f>
        <v>ISLAM</v>
      </c>
      <c r="S2933" s="74" t="str">
        <f>IFERROR(__xludf.DUMMYFUNCTION("""COMPUTED_VALUE"""),"ANGGOTA DPRD KOTA PONTIANAK")</f>
        <v>ANGGOTA DPRD KOTA PONTIANAK</v>
      </c>
      <c r="T2933" s="35" t="str">
        <f>IFERROR(__xludf.DUMMYFUNCTION("""COMPUTED_VALUE"""),"CEDERA BAHU")</f>
        <v>CEDERA BAHU</v>
      </c>
      <c r="U2933" s="35" t="str">
        <f>IFERROR(__xludf.DUMMYFUNCTION("""COMPUTED_VALUE"""),"GYM")</f>
        <v>GYM</v>
      </c>
      <c r="V2933" s="37" t="str">
        <f>IFERROR(__xludf.DUMMYFUNCTION("""COMPUTED_VALUE"""),"081250034585")</f>
        <v>081250034585</v>
      </c>
      <c r="W2933" s="45"/>
    </row>
    <row r="2934">
      <c r="A2934" s="45"/>
      <c r="B2934" s="24" t="str">
        <f>IFERROR(__xludf.DUMMYFUNCTION("""COMPUTED_VALUE"""),"04/10/2025 10:37:03")</f>
        <v>04/10/2025 10:37:03</v>
      </c>
      <c r="C2934" s="35"/>
      <c r="D2934" s="10">
        <f>IFERROR(__xludf.DUMMYFUNCTION("""COMPUTED_VALUE"""),45934.0)</f>
        <v>45934</v>
      </c>
      <c r="E2934" s="35" t="str">
        <f>IFERROR(__xludf.DUMMYFUNCTION("""COMPUTED_VALUE"""),"10Okt")</f>
        <v>10Okt</v>
      </c>
      <c r="F2934" s="34" t="str">
        <f>IFERROR(__xludf.DUMMYFUNCTION("""COMPUTED_VALUE"""),"2025")</f>
        <v>2025</v>
      </c>
      <c r="G2934" s="35" t="str">
        <f>IFERROR(__xludf.DUMMYFUNCTION("""COMPUTED_VALUE"""),"AMARA PUTRI NAZARISKA")</f>
        <v>AMARA PUTRI NAZARISKA</v>
      </c>
      <c r="H2934" s="35" t="str">
        <f>IFERROR(__xludf.DUMMYFUNCTION("""COMPUTED_VALUE"""),"A0925107929")</f>
        <v>A0925107929</v>
      </c>
      <c r="I2934" s="35">
        <f>IFERROR(__xludf.DUMMYFUNCTION("""COMPUTED_VALUE"""),16.0)</f>
        <v>16</v>
      </c>
      <c r="J2934" s="35" t="str">
        <f>IFERROR(__xludf.DUMMYFUNCTION("""COMPUTED_VALUE"""),"&lt; 18 tahun")</f>
        <v>&lt; 18 tahun</v>
      </c>
      <c r="K2934" s="21" t="str">
        <f>IFERROR(__xludf.DUMMYFUNCTION("""COMPUTED_VALUE"""),"05/07/2009")</f>
        <v>05/07/2009</v>
      </c>
      <c r="L2934" s="21" t="str">
        <f>IFERROR(__xludf.DUMMYFUNCTION("""COMPUTED_VALUE"""),"PEREMPUAN")</f>
        <v>PEREMPUAN</v>
      </c>
      <c r="M2934" s="35" t="str">
        <f>IFERROR(__xludf.DUMMYFUNCTION("""COMPUTED_VALUE"""),"JALAN SELAT PANJANG 2 KOMPLEK PERMATA GOLF, BLOK F26")</f>
        <v>JALAN SELAT PANJANG 2 KOMPLEK PERMATA GOLF, BLOK F26</v>
      </c>
      <c r="N2934" s="35" t="str">
        <f>IFERROR(__xludf.DUMMYFUNCTION("""COMPUTED_VALUE"""),"SIANTAN HULU")</f>
        <v>SIANTAN HULU</v>
      </c>
      <c r="O2934" s="35" t="str">
        <f>IFERROR(__xludf.DUMMYFUNCTION("""COMPUTED_VALUE"""),"PONTIANAK UTARA")</f>
        <v>PONTIANAK UTARA</v>
      </c>
      <c r="P2934" s="35" t="str">
        <f>IFERROR(__xludf.DUMMYFUNCTION("""COMPUTED_VALUE"""),"PONTIANAK")</f>
        <v>PONTIANAK</v>
      </c>
      <c r="Q2934" s="35" t="str">
        <f>IFERROR(__xludf.DUMMYFUNCTION("""COMPUTED_VALUE"""),"KALIMANTAN BARAT")</f>
        <v>KALIMANTAN BARAT</v>
      </c>
      <c r="R2934" s="21" t="str">
        <f>IFERROR(__xludf.DUMMYFUNCTION("""COMPUTED_VALUE"""),"ISLAM")</f>
        <v>ISLAM</v>
      </c>
      <c r="S2934" s="74" t="str">
        <f>IFERROR(__xludf.DUMMYFUNCTION("""COMPUTED_VALUE"""),"PELAJAR")</f>
        <v>PELAJAR</v>
      </c>
      <c r="T2934" s="35" t="str">
        <f>IFERROR(__xludf.DUMMYFUNCTION("""COMPUTED_VALUE"""),"SAYA MERASA KAKI SAYA PANJANG SEBELAH, KALO BERDIRI LAMA ITU KAKI SAKIT SEBELAH")</f>
        <v>SAYA MERASA KAKI SAYA PANJANG SEBELAH, KALO BERDIRI LAMA ITU KAKI SAKIT SEBELAH</v>
      </c>
      <c r="U2934" s="35" t="str">
        <f>IFERROR(__xludf.DUMMYFUNCTION("""COMPUTED_VALUE"""),"SAYA RASA TIDAK ADA")</f>
        <v>SAYA RASA TIDAK ADA</v>
      </c>
      <c r="V2934" s="37" t="str">
        <f>IFERROR(__xludf.DUMMYFUNCTION("""COMPUTED_VALUE"""),"081935417929")</f>
        <v>081935417929</v>
      </c>
      <c r="W2934" s="45"/>
    </row>
    <row r="2935">
      <c r="A2935" s="45"/>
      <c r="B2935" s="24" t="str">
        <f>IFERROR(__xludf.DUMMYFUNCTION("""COMPUTED_VALUE"""),"04/10/2025 17:44:40")</f>
        <v>04/10/2025 17:44:40</v>
      </c>
      <c r="C2935" s="35"/>
      <c r="D2935" s="10">
        <f>IFERROR(__xludf.DUMMYFUNCTION("""COMPUTED_VALUE"""),45934.0)</f>
        <v>45934</v>
      </c>
      <c r="E2935" s="35" t="str">
        <f>IFERROR(__xludf.DUMMYFUNCTION("""COMPUTED_VALUE"""),"10Okt")</f>
        <v>10Okt</v>
      </c>
      <c r="F2935" s="34" t="str">
        <f>IFERROR(__xludf.DUMMYFUNCTION("""COMPUTED_VALUE"""),"2025")</f>
        <v>2025</v>
      </c>
      <c r="G2935" s="35" t="str">
        <f>IFERROR(__xludf.DUMMYFUNCTION("""COMPUTED_VALUE"""),"ROSWITA")</f>
        <v>ROSWITA</v>
      </c>
      <c r="H2935" s="35" t="str">
        <f>IFERROR(__xludf.DUMMYFUNCTION("""COMPUTED_VALUE"""),"R7325101626")</f>
        <v>R7325101626</v>
      </c>
      <c r="I2935" s="35">
        <f>IFERROR(__xludf.DUMMYFUNCTION("""COMPUTED_VALUE"""),52.0)</f>
        <v>52</v>
      </c>
      <c r="J2935" s="35" t="str">
        <f>IFERROR(__xludf.DUMMYFUNCTION("""COMPUTED_VALUE"""),"&gt; 44 tahun")</f>
        <v>&gt; 44 tahun</v>
      </c>
      <c r="K2935" s="21" t="str">
        <f>IFERROR(__xludf.DUMMYFUNCTION("""COMPUTED_VALUE"""),"26/07/1973")</f>
        <v>26/07/1973</v>
      </c>
      <c r="L2935" s="21" t="str">
        <f>IFERROR(__xludf.DUMMYFUNCTION("""COMPUTED_VALUE"""),"PEREMPUAN")</f>
        <v>PEREMPUAN</v>
      </c>
      <c r="M2935" s="35" t="str">
        <f>IFERROR(__xludf.DUMMYFUNCTION("""COMPUTED_VALUE"""),"HUSEIN HAMZAH GG GUNUNG RINJANI")</f>
        <v>HUSEIN HAMZAH GG GUNUNG RINJANI</v>
      </c>
      <c r="N2935" s="35" t="str">
        <f>IFERROR(__xludf.DUMMYFUNCTION("""COMPUTED_VALUE"""),"PONTIANAK BARAT")</f>
        <v>PONTIANAK BARAT</v>
      </c>
      <c r="O2935" s="35" t="str">
        <f>IFERROR(__xludf.DUMMYFUNCTION("""COMPUTED_VALUE"""),"PONTIANAK KOTA")</f>
        <v>PONTIANAK KOTA</v>
      </c>
      <c r="P2935" s="35" t="str">
        <f>IFERROR(__xludf.DUMMYFUNCTION("""COMPUTED_VALUE"""),"KOTA PONTIANAK")</f>
        <v>KOTA PONTIANAK</v>
      </c>
      <c r="Q2935" s="35" t="str">
        <f>IFERROR(__xludf.DUMMYFUNCTION("""COMPUTED_VALUE"""),"KALIMANTAN BARAT")</f>
        <v>KALIMANTAN BARAT</v>
      </c>
      <c r="R2935" s="21" t="str">
        <f>IFERROR(__xludf.DUMMYFUNCTION("""COMPUTED_VALUE"""),"ISLAM")</f>
        <v>ISLAM</v>
      </c>
      <c r="S2935" s="74" t="str">
        <f>IFERROR(__xludf.DUMMYFUNCTION("""COMPUTED_VALUE"""),"IRT")</f>
        <v>IRT</v>
      </c>
      <c r="T2935" s="35" t="str">
        <f>IFERROR(__xludf.DUMMYFUNCTION("""COMPUTED_VALUE"""),"SAKIT PADA TELAPAK KAKI")</f>
        <v>SAKIT PADA TELAPAK KAKI</v>
      </c>
      <c r="U2935" s="35" t="str">
        <f>IFERROR(__xludf.DUMMYFUNCTION("""COMPUTED_VALUE"""),"IRT")</f>
        <v>IRT</v>
      </c>
      <c r="V2935" s="37" t="str">
        <f>IFERROR(__xludf.DUMMYFUNCTION("""COMPUTED_VALUE"""),"0895352251626")</f>
        <v>0895352251626</v>
      </c>
      <c r="W2935" s="45"/>
    </row>
    <row r="2936">
      <c r="A2936" s="45"/>
      <c r="B2936" s="24" t="str">
        <f>IFERROR(__xludf.DUMMYFUNCTION("""COMPUTED_VALUE"""),"05/10/2025 14:03:38")</f>
        <v>05/10/2025 14:03:38</v>
      </c>
      <c r="C2936" s="35"/>
      <c r="D2936" s="10">
        <f>IFERROR(__xludf.DUMMYFUNCTION("""COMPUTED_VALUE"""),45935.0)</f>
        <v>45935</v>
      </c>
      <c r="E2936" s="35" t="str">
        <f>IFERROR(__xludf.DUMMYFUNCTION("""COMPUTED_VALUE"""),"10Okt")</f>
        <v>10Okt</v>
      </c>
      <c r="F2936" s="34" t="str">
        <f>IFERROR(__xludf.DUMMYFUNCTION("""COMPUTED_VALUE"""),"2025")</f>
        <v>2025</v>
      </c>
      <c r="G2936" s="35" t="str">
        <f>IFERROR(__xludf.DUMMYFUNCTION("""COMPUTED_VALUE"""),"BIBI NAIZA")</f>
        <v>BIBI NAIZA</v>
      </c>
      <c r="H2936" s="35" t="str">
        <f>IFERROR(__xludf.DUMMYFUNCTION("""COMPUTED_VALUE"""),"B8025102980")</f>
        <v>B8025102980</v>
      </c>
      <c r="I2936" s="35">
        <f>IFERROR(__xludf.DUMMYFUNCTION("""COMPUTED_VALUE"""),45.0)</f>
        <v>45</v>
      </c>
      <c r="J2936" s="35" t="str">
        <f>IFERROR(__xludf.DUMMYFUNCTION("""COMPUTED_VALUE"""),"&gt; 44 tahun")</f>
        <v>&gt; 44 tahun</v>
      </c>
      <c r="K2936" s="21" t="str">
        <f>IFERROR(__xludf.DUMMYFUNCTION("""COMPUTED_VALUE"""),"14/12/1980")</f>
        <v>14/12/1980</v>
      </c>
      <c r="L2936" s="21" t="str">
        <f>IFERROR(__xludf.DUMMYFUNCTION("""COMPUTED_VALUE"""),"PEREMPUAN")</f>
        <v>PEREMPUAN</v>
      </c>
      <c r="M2936" s="35" t="str">
        <f>IFERROR(__xludf.DUMMYFUNCTION("""COMPUTED_VALUE"""),"JL. S PARMAN NO. 92")</f>
        <v>JL. S PARMAN NO. 92</v>
      </c>
      <c r="N2936" s="35" t="str">
        <f>IFERROR(__xludf.DUMMYFUNCTION("""COMPUTED_VALUE"""),"TANJUNG PURI")</f>
        <v>TANJUNG PURI</v>
      </c>
      <c r="O2936" s="35" t="str">
        <f>IFERROR(__xludf.DUMMYFUNCTION("""COMPUTED_VALUE"""),"SINTANG")</f>
        <v>SINTANG</v>
      </c>
      <c r="P2936" s="35" t="str">
        <f>IFERROR(__xludf.DUMMYFUNCTION("""COMPUTED_VALUE"""),"SINTANG")</f>
        <v>SINTANG</v>
      </c>
      <c r="Q2936" s="35" t="str">
        <f>IFERROR(__xludf.DUMMYFUNCTION("""COMPUTED_VALUE"""),"KALIMANTAN BARAT")</f>
        <v>KALIMANTAN BARAT</v>
      </c>
      <c r="R2936" s="21" t="str">
        <f>IFERROR(__xludf.DUMMYFUNCTION("""COMPUTED_VALUE"""),"ISLAM")</f>
        <v>ISLAM</v>
      </c>
      <c r="S2936" s="74" t="str">
        <f>IFERROR(__xludf.DUMMYFUNCTION("""COMPUTED_VALUE"""),"IRT")</f>
        <v>IRT</v>
      </c>
      <c r="T2936" s="35" t="str">
        <f>IFERROR(__xludf.DUMMYFUNCTION("""COMPUTED_VALUE"""),"TULANG EKOR AGAK SAKIT, TEMPURUNG SUKA SAKIT DAN BETIS SAKI")</f>
        <v>TULANG EKOR AGAK SAKIT, TEMPURUNG SUKA SAKIT DAN BETIS SAKI</v>
      </c>
      <c r="U2936" s="35" t="str">
        <f>IFERROR(__xludf.DUMMYFUNCTION("""COMPUTED_VALUE"""),"-")</f>
        <v>-</v>
      </c>
      <c r="V2936" s="37" t="str">
        <f>IFERROR(__xludf.DUMMYFUNCTION("""COMPUTED_VALUE"""),"082151362980")</f>
        <v>082151362980</v>
      </c>
      <c r="W2936" s="45"/>
    </row>
    <row r="2937">
      <c r="A2937" s="45"/>
      <c r="B2937" s="24" t="str">
        <f>IFERROR(__xludf.DUMMYFUNCTION("""COMPUTED_VALUE"""),"05/10/2025 14:16:12")</f>
        <v>05/10/2025 14:16:12</v>
      </c>
      <c r="C2937" s="35"/>
      <c r="D2937" s="10">
        <f>IFERROR(__xludf.DUMMYFUNCTION("""COMPUTED_VALUE"""),45935.0)</f>
        <v>45935</v>
      </c>
      <c r="E2937" s="35" t="str">
        <f>IFERROR(__xludf.DUMMYFUNCTION("""COMPUTED_VALUE"""),"10Okt")</f>
        <v>10Okt</v>
      </c>
      <c r="F2937" s="34" t="str">
        <f>IFERROR(__xludf.DUMMYFUNCTION("""COMPUTED_VALUE"""),"2025")</f>
        <v>2025</v>
      </c>
      <c r="G2937" s="35" t="str">
        <f>IFERROR(__xludf.DUMMYFUNCTION("""COMPUTED_VALUE"""),"TITIN MARIANTI S.PDI")</f>
        <v>TITIN MARIANTI S.PDI</v>
      </c>
      <c r="H2937" s="35" t="str">
        <f>IFERROR(__xludf.DUMMYFUNCTION("""COMPUTED_VALUE"""),"T6625103145")</f>
        <v>T6625103145</v>
      </c>
      <c r="I2937" s="35">
        <f>IFERROR(__xludf.DUMMYFUNCTION("""COMPUTED_VALUE"""),59.0)</f>
        <v>59</v>
      </c>
      <c r="J2937" s="35" t="str">
        <f>IFERROR(__xludf.DUMMYFUNCTION("""COMPUTED_VALUE"""),"&gt; 44 tahun")</f>
        <v>&gt; 44 tahun</v>
      </c>
      <c r="K2937" s="21" t="str">
        <f>IFERROR(__xludf.DUMMYFUNCTION("""COMPUTED_VALUE"""),"13/07/1966")</f>
        <v>13/07/1966</v>
      </c>
      <c r="L2937" s="21" t="str">
        <f>IFERROR(__xludf.DUMMYFUNCTION("""COMPUTED_VALUE"""),"PEREMPUAN")</f>
        <v>PEREMPUAN</v>
      </c>
      <c r="M2937" s="35" t="str">
        <f>IFERROR(__xludf.DUMMYFUNCTION("""COMPUTED_VALUE"""),"JL HUSEIN HAMZAH")</f>
        <v>JL HUSEIN HAMZAH</v>
      </c>
      <c r="N2937" s="35" t="str">
        <f>IFERROR(__xludf.DUMMYFUNCTION("""COMPUTED_VALUE"""),"PAL LIMA")</f>
        <v>PAL LIMA</v>
      </c>
      <c r="O2937" s="35" t="str">
        <f>IFERROR(__xludf.DUMMYFUNCTION("""COMPUTED_VALUE"""),"PONTIANAK BARAT")</f>
        <v>PONTIANAK BARAT</v>
      </c>
      <c r="P2937" s="35" t="str">
        <f>IFERROR(__xludf.DUMMYFUNCTION("""COMPUTED_VALUE"""),"PONTIANAK")</f>
        <v>PONTIANAK</v>
      </c>
      <c r="Q2937" s="35" t="str">
        <f>IFERROR(__xludf.DUMMYFUNCTION("""COMPUTED_VALUE"""),"KALIMANTAN BARAT")</f>
        <v>KALIMANTAN BARAT</v>
      </c>
      <c r="R2937" s="21" t="str">
        <f>IFERROR(__xludf.DUMMYFUNCTION("""COMPUTED_VALUE"""),"ISLAM")</f>
        <v>ISLAM</v>
      </c>
      <c r="S2937" s="74" t="str">
        <f>IFERROR(__xludf.DUMMYFUNCTION("""COMPUTED_VALUE"""),"PNS")</f>
        <v>PNS</v>
      </c>
      <c r="T2937" s="35" t="str">
        <f>IFERROR(__xludf.DUMMYFUNCTION("""COMPUTED_VALUE"""),"LEHER")</f>
        <v>LEHER</v>
      </c>
      <c r="U2937" s="35" t="str">
        <f>IFERROR(__xludf.DUMMYFUNCTION("""COMPUTED_VALUE"""),"-")</f>
        <v>-</v>
      </c>
      <c r="V2937" s="37" t="str">
        <f>IFERROR(__xludf.DUMMYFUNCTION("""COMPUTED_VALUE"""),"081345613145")</f>
        <v>081345613145</v>
      </c>
      <c r="W2937" s="45"/>
    </row>
    <row r="2938">
      <c r="A2938" s="45"/>
      <c r="B2938" s="24" t="str">
        <f>IFERROR(__xludf.DUMMYFUNCTION("""COMPUTED_VALUE"""),"05/10/2025 19:44:59")</f>
        <v>05/10/2025 19:44:59</v>
      </c>
      <c r="C2938" s="35"/>
      <c r="D2938" s="10">
        <f>IFERROR(__xludf.DUMMYFUNCTION("""COMPUTED_VALUE"""),45936.0)</f>
        <v>45936</v>
      </c>
      <c r="E2938" s="35" t="str">
        <f>IFERROR(__xludf.DUMMYFUNCTION("""COMPUTED_VALUE"""),"10Okt")</f>
        <v>10Okt</v>
      </c>
      <c r="F2938" s="34" t="str">
        <f>IFERROR(__xludf.DUMMYFUNCTION("""COMPUTED_VALUE"""),"2025")</f>
        <v>2025</v>
      </c>
      <c r="G2938" s="35" t="str">
        <f>IFERROR(__xludf.DUMMYFUNCTION("""COMPUTED_VALUE"""),"MUHAMMAD AMSYARUL FIKRI")</f>
        <v>MUHAMMAD AMSYARUL FIKRI</v>
      </c>
      <c r="H2938" s="35" t="str">
        <f>IFERROR(__xludf.DUMMYFUNCTION("""COMPUTED_VALUE"""),"M1125104945")</f>
        <v>M1125104945</v>
      </c>
      <c r="I2938" s="35">
        <f>IFERROR(__xludf.DUMMYFUNCTION("""COMPUTED_VALUE"""),15.0)</f>
        <v>15</v>
      </c>
      <c r="J2938" s="35" t="str">
        <f>IFERROR(__xludf.DUMMYFUNCTION("""COMPUTED_VALUE"""),"&lt; 18 tahun")</f>
        <v>&lt; 18 tahun</v>
      </c>
      <c r="K2938" s="21" t="str">
        <f>IFERROR(__xludf.DUMMYFUNCTION("""COMPUTED_VALUE"""),"25/03/2011")</f>
        <v>25/03/2011</v>
      </c>
      <c r="L2938" s="21" t="str">
        <f>IFERROR(__xludf.DUMMYFUNCTION("""COMPUTED_VALUE"""),"LAKI-LAKI")</f>
        <v>LAKI-LAKI</v>
      </c>
      <c r="M2938" s="35" t="str">
        <f>IFERROR(__xludf.DUMMYFUNCTION("""COMPUTED_VALUE"""),"6104032503110001")</f>
        <v>6104032503110001</v>
      </c>
      <c r="N2938" s="35" t="str">
        <f>IFERROR(__xludf.DUMMYFUNCTION("""COMPUTED_VALUE"""),"DANAU BUNTAR")</f>
        <v>DANAU BUNTAR</v>
      </c>
      <c r="O2938" s="35" t="str">
        <f>IFERROR(__xludf.DUMMYFUNCTION("""COMPUTED_VALUE"""),"KENDAWANGAN")</f>
        <v>KENDAWANGAN</v>
      </c>
      <c r="P2938" s="35" t="str">
        <f>IFERROR(__xludf.DUMMYFUNCTION("""COMPUTED_VALUE"""),"KETAPANG")</f>
        <v>KETAPANG</v>
      </c>
      <c r="Q2938" s="35" t="str">
        <f>IFERROR(__xludf.DUMMYFUNCTION("""COMPUTED_VALUE"""),"KALIMANTAN BARAT")</f>
        <v>KALIMANTAN BARAT</v>
      </c>
      <c r="R2938" s="21" t="str">
        <f>IFERROR(__xludf.DUMMYFUNCTION("""COMPUTED_VALUE"""),"ISLAM")</f>
        <v>ISLAM</v>
      </c>
      <c r="S2938" s="74" t="str">
        <f>IFERROR(__xludf.DUMMYFUNCTION("""COMPUTED_VALUE"""),"PELAJAR")</f>
        <v>PELAJAR</v>
      </c>
      <c r="T2938" s="35" t="str">
        <f>IFERROR(__xludf.DUMMYFUNCTION("""COMPUTED_VALUE"""),"SAKIT LENGAN KANAN DAN KIRI")</f>
        <v>SAKIT LENGAN KANAN DAN KIRI</v>
      </c>
      <c r="U2938" s="35" t="str">
        <f>IFERROR(__xludf.DUMMYFUNCTION("""COMPUTED_VALUE"""),"HABIS PUSH UP TEGANG/ KRAM OTOT")</f>
        <v>HABIS PUSH UP TEGANG/ KRAM OTOT</v>
      </c>
      <c r="V2938" s="37" t="str">
        <f>IFERROR(__xludf.DUMMYFUNCTION("""COMPUTED_VALUE"""),"082251494945")</f>
        <v>082251494945</v>
      </c>
      <c r="W2938" s="45"/>
    </row>
    <row r="2939">
      <c r="A2939" s="45"/>
      <c r="B2939" s="24" t="str">
        <f>IFERROR(__xludf.DUMMYFUNCTION("""COMPUTED_VALUE"""),"06/10/2025 5:06:39")</f>
        <v>06/10/2025 5:06:39</v>
      </c>
      <c r="C2939" s="35"/>
      <c r="D2939" s="10">
        <f>IFERROR(__xludf.DUMMYFUNCTION("""COMPUTED_VALUE"""),45936.0)</f>
        <v>45936</v>
      </c>
      <c r="E2939" s="35" t="str">
        <f>IFERROR(__xludf.DUMMYFUNCTION("""COMPUTED_VALUE"""),"10Okt")</f>
        <v>10Okt</v>
      </c>
      <c r="F2939" s="34" t="str">
        <f>IFERROR(__xludf.DUMMYFUNCTION("""COMPUTED_VALUE"""),"2025")</f>
        <v>2025</v>
      </c>
      <c r="G2939" s="35" t="str">
        <f>IFERROR(__xludf.DUMMYFUNCTION("""COMPUTED_VALUE"""),"DWI SARTIKA SARI")</f>
        <v>DWI SARTIKA SARI</v>
      </c>
      <c r="H2939" s="35" t="str">
        <f>IFERROR(__xludf.DUMMYFUNCTION("""COMPUTED_VALUE"""),"D8625106969")</f>
        <v>D8625106969</v>
      </c>
      <c r="I2939" s="35">
        <f>IFERROR(__xludf.DUMMYFUNCTION("""COMPUTED_VALUE"""),39.0)</f>
        <v>39</v>
      </c>
      <c r="J2939" s="35" t="str">
        <f>IFERROR(__xludf.DUMMYFUNCTION("""COMPUTED_VALUE"""),"35-44 tahun")</f>
        <v>35-44 tahun</v>
      </c>
      <c r="K2939" s="21" t="str">
        <f>IFERROR(__xludf.DUMMYFUNCTION("""COMPUTED_VALUE"""),"06/09/1986")</f>
        <v>06/09/1986</v>
      </c>
      <c r="L2939" s="21" t="str">
        <f>IFERROR(__xludf.DUMMYFUNCTION("""COMPUTED_VALUE"""),"PEREMPUAN")</f>
        <v>PEREMPUAN</v>
      </c>
      <c r="M2939" s="35" t="str">
        <f>IFERROR(__xludf.DUMMYFUNCTION("""COMPUTED_VALUE"""),"JL. HARAPAN JAYA, GANG MEGA JAYA")</f>
        <v>JL. HARAPAN JAYA, GANG MEGA JAYA</v>
      </c>
      <c r="N2939" s="35" t="str">
        <f>IFERROR(__xludf.DUMMYFUNCTION("""COMPUTED_VALUE"""),"KOTA BARU")</f>
        <v>KOTA BARU</v>
      </c>
      <c r="O2939" s="35" t="str">
        <f>IFERROR(__xludf.DUMMYFUNCTION("""COMPUTED_VALUE"""),"PONTIANAK SELATAN")</f>
        <v>PONTIANAK SELATAN</v>
      </c>
      <c r="P2939" s="35" t="str">
        <f>IFERROR(__xludf.DUMMYFUNCTION("""COMPUTED_VALUE"""),"KOTA PONTIANAK")</f>
        <v>KOTA PONTIANAK</v>
      </c>
      <c r="Q2939" s="35" t="str">
        <f>IFERROR(__xludf.DUMMYFUNCTION("""COMPUTED_VALUE"""),"KALIMANTAN BARAT")</f>
        <v>KALIMANTAN BARAT</v>
      </c>
      <c r="R2939" s="21" t="str">
        <f>IFERROR(__xludf.DUMMYFUNCTION("""COMPUTED_VALUE"""),"ISLAM")</f>
        <v>ISLAM</v>
      </c>
      <c r="S2939" s="74" t="str">
        <f>IFERROR(__xludf.DUMMYFUNCTION("""COMPUTED_VALUE"""),"PNS")</f>
        <v>PNS</v>
      </c>
      <c r="T2939" s="35" t="str">
        <f>IFERROR(__xludf.DUMMYFUNCTION("""COMPUTED_VALUE"""),"LUTUT DAN LENGAN KAKU")</f>
        <v>LUTUT DAN LENGAN KAKU</v>
      </c>
      <c r="U2939" s="35" t="str">
        <f>IFERROR(__xludf.DUMMYFUNCTION("""COMPUTED_VALUE"""),"HANYA KE KANTOR")</f>
        <v>HANYA KE KANTOR</v>
      </c>
      <c r="V2939" s="37" t="str">
        <f>IFERROR(__xludf.DUMMYFUNCTION("""COMPUTED_VALUE"""),"082111216969")</f>
        <v>082111216969</v>
      </c>
      <c r="W2939" s="45"/>
    </row>
    <row r="2940">
      <c r="A2940" s="45"/>
      <c r="B2940" s="24" t="str">
        <f>IFERROR(__xludf.DUMMYFUNCTION("""COMPUTED_VALUE"""),"06/10/2025 13:17:48")</f>
        <v>06/10/2025 13:17:48</v>
      </c>
      <c r="C2940" s="35"/>
      <c r="D2940" s="10">
        <f>IFERROR(__xludf.DUMMYFUNCTION("""COMPUTED_VALUE"""),45936.0)</f>
        <v>45936</v>
      </c>
      <c r="E2940" s="35" t="str">
        <f>IFERROR(__xludf.DUMMYFUNCTION("""COMPUTED_VALUE"""),"10Okt")</f>
        <v>10Okt</v>
      </c>
      <c r="F2940" s="34" t="str">
        <f>IFERROR(__xludf.DUMMYFUNCTION("""COMPUTED_VALUE"""),"2025")</f>
        <v>2025</v>
      </c>
      <c r="G2940" s="35" t="str">
        <f>IFERROR(__xludf.DUMMYFUNCTION("""COMPUTED_VALUE"""),"RESTU WAHYUNI")</f>
        <v>RESTU WAHYUNI</v>
      </c>
      <c r="H2940" s="35" t="str">
        <f>IFERROR(__xludf.DUMMYFUNCTION("""COMPUTED_VALUE"""),"R2525109524")</f>
        <v>R2525109524</v>
      </c>
      <c r="I2940" s="35">
        <f>IFERROR(__xludf.DUMMYFUNCTION("""COMPUTED_VALUE"""),1.0)</f>
        <v>1</v>
      </c>
      <c r="J2940" s="35" t="str">
        <f>IFERROR(__xludf.DUMMYFUNCTION("""COMPUTED_VALUE"""),"&lt; 18 tahun")</f>
        <v>&lt; 18 tahun</v>
      </c>
      <c r="K2940" s="21" t="str">
        <f>IFERROR(__xludf.DUMMYFUNCTION("""COMPUTED_VALUE"""),"08/01/2025")</f>
        <v>08/01/2025</v>
      </c>
      <c r="L2940" s="21" t="str">
        <f>IFERROR(__xludf.DUMMYFUNCTION("""COMPUTED_VALUE"""),"PEREMPUAN")</f>
        <v>PEREMPUAN</v>
      </c>
      <c r="M2940" s="35" t="str">
        <f>IFERROR(__xludf.DUMMYFUNCTION("""COMPUTED_VALUE"""),"JL DR WAHIDIN S KOMP BATARA INDAH 1 BLOK C NO 7")</f>
        <v>JL DR WAHIDIN S KOMP BATARA INDAH 1 BLOK C NO 7</v>
      </c>
      <c r="N2940" s="35" t="str">
        <f>IFERROR(__xludf.DUMMYFUNCTION("""COMPUTED_VALUE"""),"SUNGAI JAWI")</f>
        <v>SUNGAI JAWI</v>
      </c>
      <c r="O2940" s="35" t="str">
        <f>IFERROR(__xludf.DUMMYFUNCTION("""COMPUTED_VALUE"""),"PONTIANAK KOTA")</f>
        <v>PONTIANAK KOTA</v>
      </c>
      <c r="P2940" s="35" t="str">
        <f>IFERROR(__xludf.DUMMYFUNCTION("""COMPUTED_VALUE"""),"PONTIANAK")</f>
        <v>PONTIANAK</v>
      </c>
      <c r="Q2940" s="35" t="str">
        <f>IFERROR(__xludf.DUMMYFUNCTION("""COMPUTED_VALUE"""),"KALIMANTAN BARAT")</f>
        <v>KALIMANTAN BARAT</v>
      </c>
      <c r="R2940" s="21" t="str">
        <f>IFERROR(__xludf.DUMMYFUNCTION("""COMPUTED_VALUE"""),"ISLAM")</f>
        <v>ISLAM</v>
      </c>
      <c r="S2940" s="74" t="str">
        <f>IFERROR(__xludf.DUMMYFUNCTION("""COMPUTED_VALUE"""),"SWASTA")</f>
        <v>SWASTA</v>
      </c>
      <c r="T2940" s="35" t="str">
        <f>IFERROR(__xludf.DUMMYFUNCTION("""COMPUTED_VALUE"""),"SAKIT PINGGANG SAMPAI KE KAKI")</f>
        <v>SAKIT PINGGANG SAMPAI KE KAKI</v>
      </c>
      <c r="U2940" s="35" t="str">
        <f>IFERROR(__xludf.DUMMYFUNCTION("""COMPUTED_VALUE"""),"KERJA DUDUK DI DEPAN PC")</f>
        <v>KERJA DUDUK DI DEPAN PC</v>
      </c>
      <c r="V2940" s="37" t="str">
        <f>IFERROR(__xludf.DUMMYFUNCTION("""COMPUTED_VALUE"""),"087840149524")</f>
        <v>087840149524</v>
      </c>
      <c r="W2940" s="45"/>
    </row>
    <row r="2941">
      <c r="A2941" s="45"/>
      <c r="B2941" s="24" t="str">
        <f>IFERROR(__xludf.DUMMYFUNCTION("""COMPUTED_VALUE"""),"06/10/2025 14:03:31")</f>
        <v>06/10/2025 14:03:31</v>
      </c>
      <c r="C2941" s="35"/>
      <c r="D2941" s="10">
        <f>IFERROR(__xludf.DUMMYFUNCTION("""COMPUTED_VALUE"""),45936.0)</f>
        <v>45936</v>
      </c>
      <c r="E2941" s="35" t="str">
        <f>IFERROR(__xludf.DUMMYFUNCTION("""COMPUTED_VALUE"""),"10Okt")</f>
        <v>10Okt</v>
      </c>
      <c r="F2941" s="34" t="str">
        <f>IFERROR(__xludf.DUMMYFUNCTION("""COMPUTED_VALUE"""),"2025")</f>
        <v>2025</v>
      </c>
      <c r="G2941" s="35" t="str">
        <f>IFERROR(__xludf.DUMMYFUNCTION("""COMPUTED_VALUE"""),"MARISA HANDAYANI")</f>
        <v>MARISA HANDAYANI</v>
      </c>
      <c r="H2941" s="35" t="str">
        <f>IFERROR(__xludf.DUMMYFUNCTION("""COMPUTED_VALUE"""),"M9225108407")</f>
        <v>M9225108407</v>
      </c>
      <c r="I2941" s="35">
        <f>IFERROR(__xludf.DUMMYFUNCTION("""COMPUTED_VALUE"""),34.0)</f>
        <v>34</v>
      </c>
      <c r="J2941" s="35" t="str">
        <f>IFERROR(__xludf.DUMMYFUNCTION("""COMPUTED_VALUE"""),"25-34 tahun")</f>
        <v>25-34 tahun</v>
      </c>
      <c r="K2941" s="21" t="str">
        <f>IFERROR(__xludf.DUMMYFUNCTION("""COMPUTED_VALUE"""),"19/03/1992")</f>
        <v>19/03/1992</v>
      </c>
      <c r="L2941" s="21" t="str">
        <f>IFERROR(__xludf.DUMMYFUNCTION("""COMPUTED_VALUE"""),"PEREMPUAN")</f>
        <v>PEREMPUAN</v>
      </c>
      <c r="M2941" s="35" t="str">
        <f>IFERROR(__xludf.DUMMYFUNCTION("""COMPUTED_VALUE"""),"JL. SULTAN SYAHRIL GG RAWASARI 1 NO. 55")</f>
        <v>JL. SULTAN SYAHRIL GG RAWASARI 1 NO. 55</v>
      </c>
      <c r="N2941" s="35" t="str">
        <f>IFERROR(__xludf.DUMMYFUNCTION("""COMPUTED_VALUE"""),"SEI BANGKONG")</f>
        <v>SEI BANGKONG</v>
      </c>
      <c r="O2941" s="35" t="str">
        <f>IFERROR(__xludf.DUMMYFUNCTION("""COMPUTED_VALUE"""),"PONTIANAK KOTA")</f>
        <v>PONTIANAK KOTA</v>
      </c>
      <c r="P2941" s="35" t="str">
        <f>IFERROR(__xludf.DUMMYFUNCTION("""COMPUTED_VALUE"""),"PONTIANAK")</f>
        <v>PONTIANAK</v>
      </c>
      <c r="Q2941" s="35" t="str">
        <f>IFERROR(__xludf.DUMMYFUNCTION("""COMPUTED_VALUE"""),"KALIMANTAN BARAT")</f>
        <v>KALIMANTAN BARAT</v>
      </c>
      <c r="R2941" s="21" t="str">
        <f>IFERROR(__xludf.DUMMYFUNCTION("""COMPUTED_VALUE"""),"ISLAM")</f>
        <v>ISLAM</v>
      </c>
      <c r="S2941" s="74" t="str">
        <f>IFERROR(__xludf.DUMMYFUNCTION("""COMPUTED_VALUE"""),"IRT")</f>
        <v>IRT</v>
      </c>
      <c r="T2941" s="35" t="str">
        <f>IFERROR(__xludf.DUMMYFUNCTION("""COMPUTED_VALUE"""),"TUMIT KAKI KIRI SAKIT TAK KUNJUNG HILANG")</f>
        <v>TUMIT KAKI KIRI SAKIT TAK KUNJUNG HILANG</v>
      </c>
      <c r="U2941" s="35" t="str">
        <f>IFERROR(__xludf.DUMMYFUNCTION("""COMPUTED_VALUE"""),"OLAHRAGA RUTIN")</f>
        <v>OLAHRAGA RUTIN</v>
      </c>
      <c r="V2941" s="37" t="str">
        <f>IFERROR(__xludf.DUMMYFUNCTION("""COMPUTED_VALUE"""),"085750088407")</f>
        <v>085750088407</v>
      </c>
      <c r="W2941" s="45"/>
    </row>
    <row r="2942">
      <c r="A2942" s="45"/>
      <c r="B2942" s="24" t="str">
        <f>IFERROR(__xludf.DUMMYFUNCTION("""COMPUTED_VALUE"""),"06/10/2025 14:24:51")</f>
        <v>06/10/2025 14:24:51</v>
      </c>
      <c r="C2942" s="35"/>
      <c r="D2942" s="10">
        <f>IFERROR(__xludf.DUMMYFUNCTION("""COMPUTED_VALUE"""),45936.0)</f>
        <v>45936</v>
      </c>
      <c r="E2942" s="35" t="str">
        <f>IFERROR(__xludf.DUMMYFUNCTION("""COMPUTED_VALUE"""),"10Okt")</f>
        <v>10Okt</v>
      </c>
      <c r="F2942" s="34" t="str">
        <f>IFERROR(__xludf.DUMMYFUNCTION("""COMPUTED_VALUE"""),"2025")</f>
        <v>2025</v>
      </c>
      <c r="G2942" s="35" t="str">
        <f>IFERROR(__xludf.DUMMYFUNCTION("""COMPUTED_VALUE"""),"CINTHYA MEILIZA")</f>
        <v>CINTHYA MEILIZA</v>
      </c>
      <c r="H2942" s="35" t="str">
        <f>IFERROR(__xludf.DUMMYFUNCTION("""COMPUTED_VALUE"""),"C9725104448")</f>
        <v>C9725104448</v>
      </c>
      <c r="I2942" s="35">
        <f>IFERROR(__xludf.DUMMYFUNCTION("""COMPUTED_VALUE"""),29.0)</f>
        <v>29</v>
      </c>
      <c r="J2942" s="35" t="str">
        <f>IFERROR(__xludf.DUMMYFUNCTION("""COMPUTED_VALUE"""),"25-34 tahun")</f>
        <v>25-34 tahun</v>
      </c>
      <c r="K2942" s="21" t="str">
        <f>IFERROR(__xludf.DUMMYFUNCTION("""COMPUTED_VALUE"""),"28/05/1997")</f>
        <v>28/05/1997</v>
      </c>
      <c r="L2942" s="21" t="str">
        <f>IFERROR(__xludf.DUMMYFUNCTION("""COMPUTED_VALUE"""),"PEREMPUAN")</f>
        <v>PEREMPUAN</v>
      </c>
      <c r="M2942" s="35" t="str">
        <f>IFERROR(__xludf.DUMMYFUNCTION("""COMPUTED_VALUE"""),"JL WONOBARU GG WONODADI 3 JALUR C KOMPLEK WONODADI 3 VILLAGE NO 8L")</f>
        <v>JL WONOBARU GG WONODADI 3 JALUR C KOMPLEK WONODADI 3 VILLAGE NO 8L</v>
      </c>
      <c r="N2942" s="35" t="str">
        <f>IFERROR(__xludf.DUMMYFUNCTION("""COMPUTED_VALUE"""),"KOTABARU")</f>
        <v>KOTABARU</v>
      </c>
      <c r="O2942" s="35" t="str">
        <f>IFERROR(__xludf.DUMMYFUNCTION("""COMPUTED_VALUE"""),"PONTIANAK SELATAN")</f>
        <v>PONTIANAK SELATAN</v>
      </c>
      <c r="P2942" s="35" t="str">
        <f>IFERROR(__xludf.DUMMYFUNCTION("""COMPUTED_VALUE"""),"KOTA PONTIANAK")</f>
        <v>KOTA PONTIANAK</v>
      </c>
      <c r="Q2942" s="35" t="str">
        <f>IFERROR(__xludf.DUMMYFUNCTION("""COMPUTED_VALUE"""),"KALIMANTAN BARAT")</f>
        <v>KALIMANTAN BARAT</v>
      </c>
      <c r="R2942" s="21" t="str">
        <f>IFERROR(__xludf.DUMMYFUNCTION("""COMPUTED_VALUE"""),"KATOLIK")</f>
        <v>KATOLIK</v>
      </c>
      <c r="S2942" s="74" t="str">
        <f>IFERROR(__xludf.DUMMYFUNCTION("""COMPUTED_VALUE"""),"IBU RUMAH TANGGA")</f>
        <v>IBU RUMAH TANGGA</v>
      </c>
      <c r="T2942" s="35" t="str">
        <f>IFERROR(__xludf.DUMMYFUNCTION("""COMPUTED_VALUE"""),"SAKIT DIDAERAH BOKONG KARNA JATUH")</f>
        <v>SAKIT DIDAERAH BOKONG KARNA JATUH</v>
      </c>
      <c r="U2942" s="35" t="str">
        <f>IFERROR(__xludf.DUMMYFUNCTION("""COMPUTED_VALUE"""),"SENAM AEROBIK")</f>
        <v>SENAM AEROBIK</v>
      </c>
      <c r="V2942" s="37" t="str">
        <f>IFERROR(__xludf.DUMMYFUNCTION("""COMPUTED_VALUE"""),"082159584448")</f>
        <v>082159584448</v>
      </c>
      <c r="W2942" s="45"/>
    </row>
    <row r="2943">
      <c r="A2943" s="45"/>
      <c r="B2943" s="24" t="str">
        <f>IFERROR(__xludf.DUMMYFUNCTION("""COMPUTED_VALUE"""),"07/10/2025 9:43:09")</f>
        <v>07/10/2025 9:43:09</v>
      </c>
      <c r="C2943" s="35"/>
      <c r="D2943" s="10">
        <f>IFERROR(__xludf.DUMMYFUNCTION("""COMPUTED_VALUE"""),45937.0)</f>
        <v>45937</v>
      </c>
      <c r="E2943" s="35" t="str">
        <f>IFERROR(__xludf.DUMMYFUNCTION("""COMPUTED_VALUE"""),"10Okt")</f>
        <v>10Okt</v>
      </c>
      <c r="F2943" s="34" t="str">
        <f>IFERROR(__xludf.DUMMYFUNCTION("""COMPUTED_VALUE"""),"2025")</f>
        <v>2025</v>
      </c>
      <c r="G2943" s="35" t="str">
        <f>IFERROR(__xludf.DUMMYFUNCTION("""COMPUTED_VALUE"""),"SILVI AULIA")</f>
        <v>SILVI AULIA</v>
      </c>
      <c r="H2943" s="35" t="str">
        <f>IFERROR(__xludf.DUMMYFUNCTION("""COMPUTED_VALUE"""),"S0125102986")</f>
        <v>S0125102986</v>
      </c>
      <c r="I2943" s="35">
        <f>IFERROR(__xludf.DUMMYFUNCTION("""COMPUTED_VALUE"""),24.0)</f>
        <v>24</v>
      </c>
      <c r="J2943" s="35" t="str">
        <f>IFERROR(__xludf.DUMMYFUNCTION("""COMPUTED_VALUE"""),"18-24 tahun")</f>
        <v>18-24 tahun</v>
      </c>
      <c r="K2943" s="21" t="str">
        <f>IFERROR(__xludf.DUMMYFUNCTION("""COMPUTED_VALUE"""),"09/09/2001")</f>
        <v>09/09/2001</v>
      </c>
      <c r="L2943" s="21" t="str">
        <f>IFERROR(__xludf.DUMMYFUNCTION("""COMPUTED_VALUE"""),"PEREMPUAN")</f>
        <v>PEREMPUAN</v>
      </c>
      <c r="M2943" s="35" t="str">
        <f>IFERROR(__xludf.DUMMYFUNCTION("""COMPUTED_VALUE"""),"KARANGREJO")</f>
        <v>KARANGREJO</v>
      </c>
      <c r="N2943" s="35" t="str">
        <f>IFERROR(__xludf.DUMMYFUNCTION("""COMPUTED_VALUE"""),"KEDUNGSARI")</f>
        <v>KEDUNGSARI</v>
      </c>
      <c r="O2943" s="35" t="str">
        <f>IFERROR(__xludf.DUMMYFUNCTION("""COMPUTED_VALUE"""),"BANDONGAN")</f>
        <v>BANDONGAN</v>
      </c>
      <c r="P2943" s="35" t="str">
        <f>IFERROR(__xludf.DUMMYFUNCTION("""COMPUTED_VALUE"""),"MAGELANG")</f>
        <v>MAGELANG</v>
      </c>
      <c r="Q2943" s="35" t="str">
        <f>IFERROR(__xludf.DUMMYFUNCTION("""COMPUTED_VALUE"""),"JAWA TENGAH")</f>
        <v>JAWA TENGAH</v>
      </c>
      <c r="R2943" s="21" t="str">
        <f>IFERROR(__xludf.DUMMYFUNCTION("""COMPUTED_VALUE"""),"ISLAM")</f>
        <v>ISLAM</v>
      </c>
      <c r="S2943" s="74" t="str">
        <f>IFERROR(__xludf.DUMMYFUNCTION("""COMPUTED_VALUE"""),"PNS")</f>
        <v>PNS</v>
      </c>
      <c r="T2943" s="35" t="str">
        <f>IFERROR(__xludf.DUMMYFUNCTION("""COMPUTED_VALUE"""),"TANGAN BELUM BISA MENGGENGGAM SETELAH PATAH TULANG TELAPAK TANGAN")</f>
        <v>TANGAN BELUM BISA MENGGENGGAM SETELAH PATAH TULANG TELAPAK TANGAN</v>
      </c>
      <c r="U2943" s="35" t="str">
        <f>IFERROR(__xludf.DUMMYFUNCTION("""COMPUTED_VALUE"""),"TIDAK ADA")</f>
        <v>TIDAK ADA</v>
      </c>
      <c r="V2943" s="37" t="str">
        <f>IFERROR(__xludf.DUMMYFUNCTION("""COMPUTED_VALUE"""),"085602932986")</f>
        <v>085602932986</v>
      </c>
      <c r="W2943" s="45"/>
    </row>
    <row r="2944">
      <c r="A2944" s="45"/>
      <c r="B2944" s="24" t="str">
        <f>IFERROR(__xludf.DUMMYFUNCTION("""COMPUTED_VALUE"""),"07/10/2025 17:15:58")</f>
        <v>07/10/2025 17:15:58</v>
      </c>
      <c r="C2944" s="35"/>
      <c r="D2944" s="10">
        <f>IFERROR(__xludf.DUMMYFUNCTION("""COMPUTED_VALUE"""),45937.0)</f>
        <v>45937</v>
      </c>
      <c r="E2944" s="35" t="str">
        <f>IFERROR(__xludf.DUMMYFUNCTION("""COMPUTED_VALUE"""),"10Okt")</f>
        <v>10Okt</v>
      </c>
      <c r="F2944" s="34" t="str">
        <f>IFERROR(__xludf.DUMMYFUNCTION("""COMPUTED_VALUE"""),"2025")</f>
        <v>2025</v>
      </c>
      <c r="G2944" s="35" t="str">
        <f>IFERROR(__xludf.DUMMYFUNCTION("""COMPUTED_VALUE"""),"BENI PRAYOGA")</f>
        <v>BENI PRAYOGA</v>
      </c>
      <c r="H2944" s="35" t="str">
        <f>IFERROR(__xludf.DUMMYFUNCTION("""COMPUTED_VALUE"""),"B9925104512")</f>
        <v>B9925104512</v>
      </c>
      <c r="I2944" s="35">
        <f>IFERROR(__xludf.DUMMYFUNCTION("""COMPUTED_VALUE"""),26.0)</f>
        <v>26</v>
      </c>
      <c r="J2944" s="35" t="str">
        <f>IFERROR(__xludf.DUMMYFUNCTION("""COMPUTED_VALUE"""),"25-34 tahun")</f>
        <v>25-34 tahun</v>
      </c>
      <c r="K2944" s="21" t="str">
        <f>IFERROR(__xludf.DUMMYFUNCTION("""COMPUTED_VALUE"""),"25/08/1999")</f>
        <v>25/08/1999</v>
      </c>
      <c r="L2944" s="21" t="str">
        <f>IFERROR(__xludf.DUMMYFUNCTION("""COMPUTED_VALUE"""),"LAKI-LAKI")</f>
        <v>LAKI-LAKI</v>
      </c>
      <c r="M2944" s="35" t="str">
        <f>IFERROR(__xludf.DUMMYFUNCTION("""COMPUTED_VALUE"""),"DUSIN MELIAU HULU RT 9 RW 3")</f>
        <v>DUSIN MELIAU HULU RT 9 RW 3</v>
      </c>
      <c r="N2944" s="35" t="str">
        <f>IFERROR(__xludf.DUMMYFUNCTION("""COMPUTED_VALUE"""),"MELIAU HULU")</f>
        <v>MELIAU HULU</v>
      </c>
      <c r="O2944" s="35" t="str">
        <f>IFERROR(__xludf.DUMMYFUNCTION("""COMPUTED_VALUE"""),"MELIAU")</f>
        <v>MELIAU</v>
      </c>
      <c r="P2944" s="35" t="str">
        <f>IFERROR(__xludf.DUMMYFUNCTION("""COMPUTED_VALUE"""),"SANGGAU")</f>
        <v>SANGGAU</v>
      </c>
      <c r="Q2944" s="35" t="str">
        <f>IFERROR(__xludf.DUMMYFUNCTION("""COMPUTED_VALUE"""),"KALIMANTAN BARAT")</f>
        <v>KALIMANTAN BARAT</v>
      </c>
      <c r="R2944" s="21" t="str">
        <f>IFERROR(__xludf.DUMMYFUNCTION("""COMPUTED_VALUE"""),"ISLAM")</f>
        <v>ISLAM</v>
      </c>
      <c r="S2944" s="74" t="str">
        <f>IFERROR(__xludf.DUMMYFUNCTION("""COMPUTED_VALUE"""),"SWASTA")</f>
        <v>SWASTA</v>
      </c>
      <c r="T2944" s="35" t="str">
        <f>IFERROR(__xludf.DUMMYFUNCTION("""COMPUTED_VALUE"""),"CIDERA LUTUT SALAH TUMPUAN PAS MAIN BOLA")</f>
        <v>CIDERA LUTUT SALAH TUMPUAN PAS MAIN BOLA</v>
      </c>
      <c r="U2944" s="35" t="str">
        <f>IFERROR(__xludf.DUMMYFUNCTION("""COMPUTED_VALUE"""),"SEPAK BOLA")</f>
        <v>SEPAK BOLA</v>
      </c>
      <c r="V2944" s="37" t="str">
        <f>IFERROR(__xludf.DUMMYFUNCTION("""COMPUTED_VALUE"""),"082158804512")</f>
        <v>082158804512</v>
      </c>
      <c r="W2944" s="45"/>
    </row>
    <row r="2945">
      <c r="A2945" s="45"/>
      <c r="B2945" s="24" t="str">
        <f>IFERROR(__xludf.DUMMYFUNCTION("""COMPUTED_VALUE"""),"07/10/2025 21:02:13")</f>
        <v>07/10/2025 21:02:13</v>
      </c>
      <c r="C2945" s="35"/>
      <c r="D2945" s="10">
        <f>IFERROR(__xludf.DUMMYFUNCTION("""COMPUTED_VALUE"""),45937.0)</f>
        <v>45937</v>
      </c>
      <c r="E2945" s="35" t="str">
        <f>IFERROR(__xludf.DUMMYFUNCTION("""COMPUTED_VALUE"""),"10Okt")</f>
        <v>10Okt</v>
      </c>
      <c r="F2945" s="34" t="str">
        <f>IFERROR(__xludf.DUMMYFUNCTION("""COMPUTED_VALUE"""),"2025")</f>
        <v>2025</v>
      </c>
      <c r="G2945" s="35" t="str">
        <f>IFERROR(__xludf.DUMMYFUNCTION("""COMPUTED_VALUE"""),"UMI KHOLIFAH")</f>
        <v>UMI KHOLIFAH</v>
      </c>
      <c r="H2945" s="35" t="str">
        <f>IFERROR(__xludf.DUMMYFUNCTION("""COMPUTED_VALUE"""),"U7225107075")</f>
        <v>U7225107075</v>
      </c>
      <c r="I2945" s="35">
        <f>IFERROR(__xludf.DUMMYFUNCTION("""COMPUTED_VALUE"""),54.0)</f>
        <v>54</v>
      </c>
      <c r="J2945" s="35" t="str">
        <f>IFERROR(__xludf.DUMMYFUNCTION("""COMPUTED_VALUE"""),"&gt; 44 tahun")</f>
        <v>&gt; 44 tahun</v>
      </c>
      <c r="K2945" s="21" t="str">
        <f>IFERROR(__xludf.DUMMYFUNCTION("""COMPUTED_VALUE"""),"11/04/1972")</f>
        <v>11/04/1972</v>
      </c>
      <c r="L2945" s="21" t="str">
        <f>IFERROR(__xludf.DUMMYFUNCTION("""COMPUTED_VALUE"""),"PEREMPUAN")</f>
        <v>PEREMPUAN</v>
      </c>
      <c r="M2945" s="35" t="str">
        <f>IFERROR(__xludf.DUMMYFUNCTION("""COMPUTED_VALUE"""),"JLN DR SUTOMO 71")</f>
        <v>JLN DR SUTOMO 71</v>
      </c>
      <c r="N2945" s="35" t="str">
        <f>IFERROR(__xludf.DUMMYFUNCTION("""COMPUTED_VALUE"""),"SUNGAI BANGKONG")</f>
        <v>SUNGAI BANGKONG</v>
      </c>
      <c r="O2945" s="35" t="str">
        <f>IFERROR(__xludf.DUMMYFUNCTION("""COMPUTED_VALUE"""),"PONTIANAK KOTA")</f>
        <v>PONTIANAK KOTA</v>
      </c>
      <c r="P2945" s="35" t="str">
        <f>IFERROR(__xludf.DUMMYFUNCTION("""COMPUTED_VALUE"""),"PONTIANAK")</f>
        <v>PONTIANAK</v>
      </c>
      <c r="Q2945" s="35" t="str">
        <f>IFERROR(__xludf.DUMMYFUNCTION("""COMPUTED_VALUE"""),"KALIMANTAN BARAT")</f>
        <v>KALIMANTAN BARAT</v>
      </c>
      <c r="R2945" s="21" t="str">
        <f>IFERROR(__xludf.DUMMYFUNCTION("""COMPUTED_VALUE"""),"ISLAM")</f>
        <v>ISLAM</v>
      </c>
      <c r="S2945" s="74" t="str">
        <f>IFERROR(__xludf.DUMMYFUNCTION("""COMPUTED_VALUE"""),"IRT")</f>
        <v>IRT</v>
      </c>
      <c r="T2945" s="35" t="str">
        <f>IFERROR(__xludf.DUMMYFUNCTION("""COMPUTED_VALUE"""),"BELIKAT SEBELAH KIRI SEPERTI KETARIK2 OTOTNYA, AGAK NYERI KALAU BERAKRIFITAS")</f>
        <v>BELIKAT SEBELAH KIRI SEPERTI KETARIK2 OTOTNYA, AGAK NYERI KALAU BERAKRIFITAS</v>
      </c>
      <c r="U2945" s="35" t="str">
        <f>IFERROR(__xludf.DUMMYFUNCTION("""COMPUTED_VALUE"""),"MENGERJAKAN PEKERJAAN RUMAH")</f>
        <v>MENGERJAKAN PEKERJAAN RUMAH</v>
      </c>
      <c r="V2945" s="37" t="str">
        <f>IFERROR(__xludf.DUMMYFUNCTION("""COMPUTED_VALUE"""),"085245977075")</f>
        <v>085245977075</v>
      </c>
      <c r="W2945" s="45"/>
    </row>
    <row r="2946">
      <c r="A2946" s="45"/>
      <c r="B2946" s="24" t="str">
        <f>IFERROR(__xludf.DUMMYFUNCTION("""COMPUTED_VALUE"""),"07/10/2025 20:38:09")</f>
        <v>07/10/2025 20:38:09</v>
      </c>
      <c r="C2946" s="35"/>
      <c r="D2946" s="10">
        <f>IFERROR(__xludf.DUMMYFUNCTION("""COMPUTED_VALUE"""),45938.0)</f>
        <v>45938</v>
      </c>
      <c r="E2946" s="35" t="str">
        <f>IFERROR(__xludf.DUMMYFUNCTION("""COMPUTED_VALUE"""),"10Okt")</f>
        <v>10Okt</v>
      </c>
      <c r="F2946" s="34" t="str">
        <f>IFERROR(__xludf.DUMMYFUNCTION("""COMPUTED_VALUE"""),"2025")</f>
        <v>2025</v>
      </c>
      <c r="G2946" s="35" t="str">
        <f>IFERROR(__xludf.DUMMYFUNCTION("""COMPUTED_VALUE"""),"ROSKIAMY")</f>
        <v>ROSKIAMY</v>
      </c>
      <c r="H2946" s="35" t="str">
        <f>IFERROR(__xludf.DUMMYFUNCTION("""COMPUTED_VALUE"""),"R5725106810")</f>
        <v>R5725106810</v>
      </c>
      <c r="I2946" s="35">
        <f>IFERROR(__xludf.DUMMYFUNCTION("""COMPUTED_VALUE"""),68.0)</f>
        <v>68</v>
      </c>
      <c r="J2946" s="35" t="str">
        <f>IFERROR(__xludf.DUMMYFUNCTION("""COMPUTED_VALUE"""),"&gt; 44 tahun")</f>
        <v>&gt; 44 tahun</v>
      </c>
      <c r="K2946" s="21" t="str">
        <f>IFERROR(__xludf.DUMMYFUNCTION("""COMPUTED_VALUE"""),"07/07/1957")</f>
        <v>07/07/1957</v>
      </c>
      <c r="L2946" s="21" t="str">
        <f>IFERROR(__xludf.DUMMYFUNCTION("""COMPUTED_VALUE"""),"PEREMPUAN")</f>
        <v>PEREMPUAN</v>
      </c>
      <c r="M2946" s="35" t="str">
        <f>IFERROR(__xludf.DUMMYFUNCTION("""COMPUTED_VALUE"""),"JL.RE.MARTADINATA GG. BUNCIS E3 NO. 10")</f>
        <v>JL.RE.MARTADINATA GG. BUNCIS E3 NO. 10</v>
      </c>
      <c r="N2946" s="35" t="str">
        <f>IFERROR(__xludf.DUMMYFUNCTION("""COMPUTED_VALUE"""),"SUNGAI JAWI LUAR")</f>
        <v>SUNGAI JAWI LUAR</v>
      </c>
      <c r="O2946" s="35" t="str">
        <f>IFERROR(__xludf.DUMMYFUNCTION("""COMPUTED_VALUE"""),"PONTIANAK BARAT")</f>
        <v>PONTIANAK BARAT</v>
      </c>
      <c r="P2946" s="35" t="str">
        <f>IFERROR(__xludf.DUMMYFUNCTION("""COMPUTED_VALUE"""),"PONTIANAK")</f>
        <v>PONTIANAK</v>
      </c>
      <c r="Q2946" s="35" t="str">
        <f>IFERROR(__xludf.DUMMYFUNCTION("""COMPUTED_VALUE"""),"KALIMANTAN BARAT")</f>
        <v>KALIMANTAN BARAT</v>
      </c>
      <c r="R2946" s="21" t="str">
        <f>IFERROR(__xludf.DUMMYFUNCTION("""COMPUTED_VALUE"""),"PROTESTAN")</f>
        <v>PROTESTAN</v>
      </c>
      <c r="S2946" s="74" t="str">
        <f>IFERROR(__xludf.DUMMYFUNCTION("""COMPUTED_VALUE"""),"RUMAH TANGGA")</f>
        <v>RUMAH TANGGA</v>
      </c>
      <c r="T2946" s="35" t="str">
        <f>IFERROR(__xludf.DUMMYFUNCTION("""COMPUTED_VALUE"""),"KAKI KIRI SERING NYILU, PEGAL KALAU MALAM WAKTU MAU TIDUR, BAGIAN LEHER DAN BELIKAT KANAN SERING SAKIT..")</f>
        <v>KAKI KIRI SERING NYILU, PEGAL KALAU MALAM WAKTU MAU TIDUR, BAGIAN LEHER DAN BELIKAT KANAN SERING SAKIT..</v>
      </c>
      <c r="U2946" s="35" t="str">
        <f>IFERROR(__xludf.DUMMYFUNCTION("""COMPUTED_VALUE"""),"KERJA DIRUMAH")</f>
        <v>KERJA DIRUMAH</v>
      </c>
      <c r="V2946" s="37" t="str">
        <f>IFERROR(__xludf.DUMMYFUNCTION("""COMPUTED_VALUE"""),"081345766810")</f>
        <v>081345766810</v>
      </c>
      <c r="W2946" s="45"/>
    </row>
    <row r="2947">
      <c r="A2947" s="45"/>
      <c r="B2947" s="24" t="str">
        <f>IFERROR(__xludf.DUMMYFUNCTION("""COMPUTED_VALUE"""),"08/10/2025 16:10:27")</f>
        <v>08/10/2025 16:10:27</v>
      </c>
      <c r="C2947" s="35"/>
      <c r="D2947" s="10">
        <f>IFERROR(__xludf.DUMMYFUNCTION("""COMPUTED_VALUE"""),45938.0)</f>
        <v>45938</v>
      </c>
      <c r="E2947" s="35" t="str">
        <f>IFERROR(__xludf.DUMMYFUNCTION("""COMPUTED_VALUE"""),"10Okt")</f>
        <v>10Okt</v>
      </c>
      <c r="F2947" s="34" t="str">
        <f>IFERROR(__xludf.DUMMYFUNCTION("""COMPUTED_VALUE"""),"2025")</f>
        <v>2025</v>
      </c>
      <c r="G2947" s="35" t="str">
        <f>IFERROR(__xludf.DUMMYFUNCTION("""COMPUTED_VALUE"""),"MUHAMMAD ALIWA PASHYA")</f>
        <v>MUHAMMAD ALIWA PASHYA</v>
      </c>
      <c r="H2947" s="35" t="str">
        <f>IFERROR(__xludf.DUMMYFUNCTION("""COMPUTED_VALUE"""),"M0325109801")</f>
        <v>M0325109801</v>
      </c>
      <c r="I2947" s="35">
        <f>IFERROR(__xludf.DUMMYFUNCTION("""COMPUTED_VALUE"""),22.0)</f>
        <v>22</v>
      </c>
      <c r="J2947" s="35" t="str">
        <f>IFERROR(__xludf.DUMMYFUNCTION("""COMPUTED_VALUE"""),"18-24 tahun")</f>
        <v>18-24 tahun</v>
      </c>
      <c r="K2947" s="21" t="str">
        <f>IFERROR(__xludf.DUMMYFUNCTION("""COMPUTED_VALUE"""),"17/10/2003")</f>
        <v>17/10/2003</v>
      </c>
      <c r="L2947" s="21" t="str">
        <f>IFERROR(__xludf.DUMMYFUNCTION("""COMPUTED_VALUE"""),"LAKI-LAKI")</f>
        <v>LAKI-LAKI</v>
      </c>
      <c r="M2947" s="35" t="str">
        <f>IFERROR(__xludf.DUMMYFUNCTION("""COMPUTED_VALUE"""),"DUSUN SUKA MAJU")</f>
        <v>DUSUN SUKA MAJU</v>
      </c>
      <c r="N2947" s="35" t="str">
        <f>IFERROR(__xludf.DUMMYFUNCTION("""COMPUTED_VALUE"""),"DESA SUNGAI SEPETI")</f>
        <v>DESA SUNGAI SEPETI</v>
      </c>
      <c r="O2947" s="35" t="str">
        <f>IFERROR(__xludf.DUMMYFUNCTION("""COMPUTED_VALUE"""),"SEPONTI")</f>
        <v>SEPONTI</v>
      </c>
      <c r="P2947" s="35" t="str">
        <f>IFERROR(__xludf.DUMMYFUNCTION("""COMPUTED_VALUE"""),"KAB.KAYONG UTARA")</f>
        <v>KAB.KAYONG UTARA</v>
      </c>
      <c r="Q2947" s="35" t="str">
        <f>IFERROR(__xludf.DUMMYFUNCTION("""COMPUTED_VALUE"""),"KALIMANTAN BARAT")</f>
        <v>KALIMANTAN BARAT</v>
      </c>
      <c r="R2947" s="21" t="str">
        <f>IFERROR(__xludf.DUMMYFUNCTION("""COMPUTED_VALUE"""),"ISLAM")</f>
        <v>ISLAM</v>
      </c>
      <c r="S2947" s="74" t="str">
        <f>IFERROR(__xludf.DUMMYFUNCTION("""COMPUTED_VALUE"""),"NGOPI")</f>
        <v>NGOPI</v>
      </c>
      <c r="T2947" s="35" t="str">
        <f>IFERROR(__xludf.DUMMYFUNCTION("""COMPUTED_VALUE"""),"ANKLE")</f>
        <v>ANKLE</v>
      </c>
      <c r="U2947" s="35" t="str">
        <f>IFERROR(__xludf.DUMMYFUNCTION("""COMPUTED_VALUE"""),"SEPAK BOLA")</f>
        <v>SEPAK BOLA</v>
      </c>
      <c r="V2947" s="37" t="str">
        <f>IFERROR(__xludf.DUMMYFUNCTION("""COMPUTED_VALUE"""),"082152999801")</f>
        <v>082152999801</v>
      </c>
      <c r="W2947" s="45"/>
    </row>
    <row r="2948">
      <c r="A2948" s="45"/>
      <c r="B2948" s="24" t="str">
        <f>IFERROR(__xludf.DUMMYFUNCTION("""COMPUTED_VALUE"""),"09/10/2025 16:12:34")</f>
        <v>09/10/2025 16:12:34</v>
      </c>
      <c r="C2948" s="35"/>
      <c r="D2948" s="10">
        <f>IFERROR(__xludf.DUMMYFUNCTION("""COMPUTED_VALUE"""),45939.0)</f>
        <v>45939</v>
      </c>
      <c r="E2948" s="35" t="str">
        <f>IFERROR(__xludf.DUMMYFUNCTION("""COMPUTED_VALUE"""),"10Okt")</f>
        <v>10Okt</v>
      </c>
      <c r="F2948" s="34" t="str">
        <f>IFERROR(__xludf.DUMMYFUNCTION("""COMPUTED_VALUE"""),"2025")</f>
        <v>2025</v>
      </c>
      <c r="G2948" s="35" t="str">
        <f>IFERROR(__xludf.DUMMYFUNCTION("""COMPUTED_VALUE"""),"SIGI WIRAPUTRA")</f>
        <v>SIGI WIRAPUTRA</v>
      </c>
      <c r="H2948" s="35" t="str">
        <f>IFERROR(__xludf.DUMMYFUNCTION("""COMPUTED_VALUE"""),"S1525106484")</f>
        <v>S1525106484</v>
      </c>
      <c r="I2948" s="35">
        <f>IFERROR(__xludf.DUMMYFUNCTION("""COMPUTED_VALUE"""),10.0)</f>
        <v>10</v>
      </c>
      <c r="J2948" s="35" t="str">
        <f>IFERROR(__xludf.DUMMYFUNCTION("""COMPUTED_VALUE"""),"&lt; 18 tahun")</f>
        <v>&lt; 18 tahun</v>
      </c>
      <c r="K2948" s="21" t="str">
        <f>IFERROR(__xludf.DUMMYFUNCTION("""COMPUTED_VALUE"""),"21/07/2015")</f>
        <v>21/07/2015</v>
      </c>
      <c r="L2948" s="21" t="str">
        <f>IFERROR(__xludf.DUMMYFUNCTION("""COMPUTED_VALUE"""),"LAKI-LAKI")</f>
        <v>LAKI-LAKI</v>
      </c>
      <c r="M2948" s="35" t="str">
        <f>IFERROR(__xludf.DUMMYFUNCTION("""COMPUTED_VALUE"""),"SUNGAI JAWI")</f>
        <v>SUNGAI JAWI</v>
      </c>
      <c r="N2948" s="35" t="str">
        <f>IFERROR(__xludf.DUMMYFUNCTION("""COMPUTED_VALUE"""),"SUNGAI JAWI DALAM")</f>
        <v>SUNGAI JAWI DALAM</v>
      </c>
      <c r="O2948" s="35" t="str">
        <f>IFERROR(__xludf.DUMMYFUNCTION("""COMPUTED_VALUE"""),"PONTIANAK BARAT")</f>
        <v>PONTIANAK BARAT</v>
      </c>
      <c r="P2948" s="35" t="str">
        <f>IFERROR(__xludf.DUMMYFUNCTION("""COMPUTED_VALUE"""),"PONTIANAK")</f>
        <v>PONTIANAK</v>
      </c>
      <c r="Q2948" s="35" t="str">
        <f>IFERROR(__xludf.DUMMYFUNCTION("""COMPUTED_VALUE"""),"KALIMANTAN BARAT")</f>
        <v>KALIMANTAN BARAT</v>
      </c>
      <c r="R2948" s="21" t="str">
        <f>IFERROR(__xludf.DUMMYFUNCTION("""COMPUTED_VALUE"""),"ISLAM")</f>
        <v>ISLAM</v>
      </c>
      <c r="S2948" s="74" t="str">
        <f>IFERROR(__xludf.DUMMYFUNCTION("""COMPUTED_VALUE"""),"PELAJAR")</f>
        <v>PELAJAR</v>
      </c>
      <c r="T2948" s="35" t="str">
        <f>IFERROR(__xludf.DUMMYFUNCTION("""COMPUTED_VALUE"""),"SAKIT KAKI")</f>
        <v>SAKIT KAKI</v>
      </c>
      <c r="U2948" s="35" t="str">
        <f>IFERROR(__xludf.DUMMYFUNCTION("""COMPUTED_VALUE"""),"BOLA")</f>
        <v>BOLA</v>
      </c>
      <c r="V2948" s="37" t="str">
        <f>IFERROR(__xludf.DUMMYFUNCTION("""COMPUTED_VALUE"""),"082154446484")</f>
        <v>082154446484</v>
      </c>
      <c r="W2948" s="45"/>
    </row>
    <row r="2949">
      <c r="A2949" s="45"/>
      <c r="B2949" s="24" t="str">
        <f>IFERROR(__xludf.DUMMYFUNCTION("""COMPUTED_VALUE"""),"09/10/2025 17:16:55")</f>
        <v>09/10/2025 17:16:55</v>
      </c>
      <c r="C2949" s="35"/>
      <c r="D2949" s="10">
        <f>IFERROR(__xludf.DUMMYFUNCTION("""COMPUTED_VALUE"""),45939.0)</f>
        <v>45939</v>
      </c>
      <c r="E2949" s="35" t="str">
        <f>IFERROR(__xludf.DUMMYFUNCTION("""COMPUTED_VALUE"""),"10Okt")</f>
        <v>10Okt</v>
      </c>
      <c r="F2949" s="34" t="str">
        <f>IFERROR(__xludf.DUMMYFUNCTION("""COMPUTED_VALUE"""),"2025")</f>
        <v>2025</v>
      </c>
      <c r="G2949" s="35" t="str">
        <f>IFERROR(__xludf.DUMMYFUNCTION("""COMPUTED_VALUE"""),"ADIYATH RANDY YUDIMAMASE, SE.M.M")</f>
        <v>ADIYATH RANDY YUDIMAMASE, SE.M.M</v>
      </c>
      <c r="H2949" s="35" t="str">
        <f>IFERROR(__xludf.DUMMYFUNCTION("""COMPUTED_VALUE"""),"A9125100553")</f>
        <v>A9125100553</v>
      </c>
      <c r="I2949" s="35">
        <f>IFERROR(__xludf.DUMMYFUNCTION("""COMPUTED_VALUE"""),34.0)</f>
        <v>34</v>
      </c>
      <c r="J2949" s="35" t="str">
        <f>IFERROR(__xludf.DUMMYFUNCTION("""COMPUTED_VALUE"""),"25-34 tahun")</f>
        <v>25-34 tahun</v>
      </c>
      <c r="K2949" s="21" t="str">
        <f>IFERROR(__xludf.DUMMYFUNCTION("""COMPUTED_VALUE"""),"03/09/1991")</f>
        <v>03/09/1991</v>
      </c>
      <c r="L2949" s="21" t="str">
        <f>IFERROR(__xludf.DUMMYFUNCTION("""COMPUTED_VALUE"""),"LAKI-LAKI")</f>
        <v>LAKI-LAKI</v>
      </c>
      <c r="M2949" s="35" t="str">
        <f>IFERROR(__xludf.DUMMYFUNCTION("""COMPUTED_VALUE"""),"JL SELAT BARU KOMP UNTQN NO K-12A")</f>
        <v>JL SELAT BARU KOMP UNTQN NO K-12A</v>
      </c>
      <c r="N2949" s="35" t="str">
        <f>IFERROR(__xludf.DUMMYFUNCTION("""COMPUTED_VALUE"""),"BANSIR LAUT")</f>
        <v>BANSIR LAUT</v>
      </c>
      <c r="O2949" s="35" t="str">
        <f>IFERROR(__xludf.DUMMYFUNCTION("""COMPUTED_VALUE"""),"PONTIANAK TENGGARA")</f>
        <v>PONTIANAK TENGGARA</v>
      </c>
      <c r="P2949" s="35" t="str">
        <f>IFERROR(__xludf.DUMMYFUNCTION("""COMPUTED_VALUE"""),"PONTIANAK")</f>
        <v>PONTIANAK</v>
      </c>
      <c r="Q2949" s="35" t="str">
        <f>IFERROR(__xludf.DUMMYFUNCTION("""COMPUTED_VALUE"""),"KALIMANTAN BARAT")</f>
        <v>KALIMANTAN BARAT</v>
      </c>
      <c r="R2949" s="21" t="str">
        <f>IFERROR(__xludf.DUMMYFUNCTION("""COMPUTED_VALUE"""),"ISLAM")</f>
        <v>ISLAM</v>
      </c>
      <c r="S2949" s="74" t="str">
        <f>IFERROR(__xludf.DUMMYFUNCTION("""COMPUTED_VALUE"""),"DOSEN")</f>
        <v>DOSEN</v>
      </c>
      <c r="T2949" s="35" t="str">
        <f>IFERROR(__xludf.DUMMYFUNCTION("""COMPUTED_VALUE"""),"BAHH")</f>
        <v>BAHH</v>
      </c>
      <c r="U2949" s="35" t="str">
        <f>IFERROR(__xludf.DUMMYFUNCTION("""COMPUTED_VALUE"""),"MENGAJAR")</f>
        <v>MENGAJAR</v>
      </c>
      <c r="V2949" s="37" t="str">
        <f>IFERROR(__xludf.DUMMYFUNCTION("""COMPUTED_VALUE"""),"081350090553")</f>
        <v>081350090553</v>
      </c>
      <c r="W2949" s="45"/>
    </row>
    <row r="2950">
      <c r="A2950" s="45"/>
      <c r="B2950" s="24" t="str">
        <f>IFERROR(__xludf.DUMMYFUNCTION("""COMPUTED_VALUE"""),"09/10/2025 18:45:45")</f>
        <v>09/10/2025 18:45:45</v>
      </c>
      <c r="C2950" s="35"/>
      <c r="D2950" s="10">
        <f>IFERROR(__xludf.DUMMYFUNCTION("""COMPUTED_VALUE"""),45939.0)</f>
        <v>45939</v>
      </c>
      <c r="E2950" s="35" t="str">
        <f>IFERROR(__xludf.DUMMYFUNCTION("""COMPUTED_VALUE"""),"10Okt")</f>
        <v>10Okt</v>
      </c>
      <c r="F2950" s="34" t="str">
        <f>IFERROR(__xludf.DUMMYFUNCTION("""COMPUTED_VALUE"""),"2025")</f>
        <v>2025</v>
      </c>
      <c r="G2950" s="35" t="str">
        <f>IFERROR(__xludf.DUMMYFUNCTION("""COMPUTED_VALUE"""),"SYLVIANI")</f>
        <v>SYLVIANI</v>
      </c>
      <c r="H2950" s="35" t="str">
        <f>IFERROR(__xludf.DUMMYFUNCTION("""COMPUTED_VALUE"""),"S5525103307")</f>
        <v>S5525103307</v>
      </c>
      <c r="I2950" s="35">
        <f>IFERROR(__xludf.DUMMYFUNCTION("""COMPUTED_VALUE"""),70.0)</f>
        <v>70</v>
      </c>
      <c r="J2950" s="35" t="str">
        <f>IFERROR(__xludf.DUMMYFUNCTION("""COMPUTED_VALUE"""),"&gt; 44 tahun")</f>
        <v>&gt; 44 tahun</v>
      </c>
      <c r="K2950" s="21" t="str">
        <f>IFERROR(__xludf.DUMMYFUNCTION("""COMPUTED_VALUE"""),"17/10/1955")</f>
        <v>17/10/1955</v>
      </c>
      <c r="L2950" s="21" t="str">
        <f>IFERROR(__xludf.DUMMYFUNCTION("""COMPUTED_VALUE"""),"PEREMPUAN")</f>
        <v>PEREMPUAN</v>
      </c>
      <c r="M2950" s="35" t="str">
        <f>IFERROR(__xludf.DUMMYFUNCTION("""COMPUTED_VALUE"""),"JALAN PURNAMA")</f>
        <v>JALAN PURNAMA</v>
      </c>
      <c r="N2950" s="35" t="str">
        <f>IFERROR(__xludf.DUMMYFUNCTION("""COMPUTED_VALUE"""),"PARIT TOKAYA")</f>
        <v>PARIT TOKAYA</v>
      </c>
      <c r="O2950" s="35" t="str">
        <f>IFERROR(__xludf.DUMMYFUNCTION("""COMPUTED_VALUE"""),"PONTIANAK SELATAN")</f>
        <v>PONTIANAK SELATAN</v>
      </c>
      <c r="P2950" s="35" t="str">
        <f>IFERROR(__xludf.DUMMYFUNCTION("""COMPUTED_VALUE"""),"KOTA PONTIANAK")</f>
        <v>KOTA PONTIANAK</v>
      </c>
      <c r="Q2950" s="35" t="str">
        <f>IFERROR(__xludf.DUMMYFUNCTION("""COMPUTED_VALUE"""),"KALIMANTAN BARAT")</f>
        <v>KALIMANTAN BARAT</v>
      </c>
      <c r="R2950" s="21" t="str">
        <f>IFERROR(__xludf.DUMMYFUNCTION("""COMPUTED_VALUE"""),"BUDDHA")</f>
        <v>BUDDHA</v>
      </c>
      <c r="S2950" s="74" t="str">
        <f>IFERROR(__xludf.DUMMYFUNCTION("""COMPUTED_VALUE"""),"IRT")</f>
        <v>IRT</v>
      </c>
      <c r="T2950" s="35" t="str">
        <f>IFERROR(__xludf.DUMMYFUNCTION("""COMPUTED_VALUE"""),"KAKI LUTUT PEGAL. TANGAN PEGAL")</f>
        <v>KAKI LUTUT PEGAL. TANGAN PEGAL</v>
      </c>
      <c r="U2950" s="35" t="str">
        <f>IFERROR(__xludf.DUMMYFUNCTION("""COMPUTED_VALUE"""),"TIDAK PAHAM")</f>
        <v>TIDAK PAHAM</v>
      </c>
      <c r="V2950" s="37" t="str">
        <f>IFERROR(__xludf.DUMMYFUNCTION("""COMPUTED_VALUE"""),"08115623307")</f>
        <v>08115623307</v>
      </c>
      <c r="W2950" s="45"/>
    </row>
    <row r="2951">
      <c r="A2951" s="45"/>
      <c r="B2951" s="24" t="str">
        <f>IFERROR(__xludf.DUMMYFUNCTION("""COMPUTED_VALUE"""),"10/10/2025 10:26:42")</f>
        <v>10/10/2025 10:26:42</v>
      </c>
      <c r="C2951" s="35"/>
      <c r="D2951" s="10">
        <f>IFERROR(__xludf.DUMMYFUNCTION("""COMPUTED_VALUE"""),45940.0)</f>
        <v>45940</v>
      </c>
      <c r="E2951" s="35" t="str">
        <f>IFERROR(__xludf.DUMMYFUNCTION("""COMPUTED_VALUE"""),"10Okt")</f>
        <v>10Okt</v>
      </c>
      <c r="F2951" s="34" t="str">
        <f>IFERROR(__xludf.DUMMYFUNCTION("""COMPUTED_VALUE"""),"2025")</f>
        <v>2025</v>
      </c>
      <c r="G2951" s="35" t="str">
        <f>IFERROR(__xludf.DUMMYFUNCTION("""COMPUTED_VALUE"""),"BINTARI INDAH SAPUTRI")</f>
        <v>BINTARI INDAH SAPUTRI</v>
      </c>
      <c r="H2951" s="35" t="str">
        <f>IFERROR(__xludf.DUMMYFUNCTION("""COMPUTED_VALUE"""),"B8025102288")</f>
        <v>B8025102288</v>
      </c>
      <c r="I2951" s="35">
        <f>IFERROR(__xludf.DUMMYFUNCTION("""COMPUTED_VALUE"""),45.0)</f>
        <v>45</v>
      </c>
      <c r="J2951" s="35" t="str">
        <f>IFERROR(__xludf.DUMMYFUNCTION("""COMPUTED_VALUE"""),"&gt; 44 tahun")</f>
        <v>&gt; 44 tahun</v>
      </c>
      <c r="K2951" s="21" t="str">
        <f>IFERROR(__xludf.DUMMYFUNCTION("""COMPUTED_VALUE"""),"03/08/1980")</f>
        <v>03/08/1980</v>
      </c>
      <c r="L2951" s="21" t="str">
        <f>IFERROR(__xludf.DUMMYFUNCTION("""COMPUTED_VALUE"""),"PEREMPUAN")</f>
        <v>PEREMPUAN</v>
      </c>
      <c r="M2951" s="35" t="str">
        <f>IFERROR(__xludf.DUMMYFUNCTION("""COMPUTED_VALUE"""),"JL.ADISUCIPTO KM 15,9 NOMOR 10, RT 01 RW 2 LIMBUNG,KEC SUNGAI RAYA,KAB KUBUBRAYA")</f>
        <v>JL.ADISUCIPTO KM 15,9 NOMOR 10, RT 01 RW 2 LIMBUNG,KEC SUNGAI RAYA,KAB KUBUBRAYA</v>
      </c>
      <c r="N2951" s="35" t="str">
        <f>IFERROR(__xludf.DUMMYFUNCTION("""COMPUTED_VALUE"""),"LIMBUNG")</f>
        <v>LIMBUNG</v>
      </c>
      <c r="O2951" s="35" t="str">
        <f>IFERROR(__xludf.DUMMYFUNCTION("""COMPUTED_VALUE"""),"SUNGAI RAYA")</f>
        <v>SUNGAI RAYA</v>
      </c>
      <c r="P2951" s="35" t="str">
        <f>IFERROR(__xludf.DUMMYFUNCTION("""COMPUTED_VALUE"""),"KUBU RAYA")</f>
        <v>KUBU RAYA</v>
      </c>
      <c r="Q2951" s="35" t="str">
        <f>IFERROR(__xludf.DUMMYFUNCTION("""COMPUTED_VALUE"""),"KALBAR")</f>
        <v>KALBAR</v>
      </c>
      <c r="R2951" s="21" t="str">
        <f>IFERROR(__xludf.DUMMYFUNCTION("""COMPUTED_VALUE"""),"ISLAM")</f>
        <v>ISLAM</v>
      </c>
      <c r="S2951" s="74" t="str">
        <f>IFERROR(__xludf.DUMMYFUNCTION("""COMPUTED_VALUE"""),"ASN")</f>
        <v>ASN</v>
      </c>
      <c r="T2951" s="35" t="str">
        <f>IFERROR(__xludf.DUMMYFUNCTION("""COMPUTED_VALUE"""),"KELUHAN SY NYERI DI TUMIT KIRI SM PAHA KANAN UT DIANGKAT SAMBIL DITEKUK KE ARAH SAMPING LUAR RASA NYA NYERI")</f>
        <v>KELUHAN SY NYERI DI TUMIT KIRI SM PAHA KANAN UT DIANGKAT SAMBIL DITEKUK KE ARAH SAMPING LUAR RASA NYA NYERI</v>
      </c>
      <c r="U2951" s="35" t="str">
        <f>IFERROR(__xludf.DUMMYFUNCTION("""COMPUTED_VALUE"""),"JOGING")</f>
        <v>JOGING</v>
      </c>
      <c r="V2951" s="37" t="str">
        <f>IFERROR(__xludf.DUMMYFUNCTION("""COMPUTED_VALUE"""),"081345452288")</f>
        <v>081345452288</v>
      </c>
      <c r="W2951" s="45"/>
    </row>
    <row r="2952">
      <c r="A2952" s="45"/>
      <c r="B2952" s="24" t="str">
        <f>IFERROR(__xludf.DUMMYFUNCTION("""COMPUTED_VALUE"""),"10/10/2025 10:44:45")</f>
        <v>10/10/2025 10:44:45</v>
      </c>
      <c r="C2952" s="35"/>
      <c r="D2952" s="10">
        <f>IFERROR(__xludf.DUMMYFUNCTION("""COMPUTED_VALUE"""),45940.0)</f>
        <v>45940</v>
      </c>
      <c r="E2952" s="35" t="str">
        <f>IFERROR(__xludf.DUMMYFUNCTION("""COMPUTED_VALUE"""),"10Okt")</f>
        <v>10Okt</v>
      </c>
      <c r="F2952" s="34" t="str">
        <f>IFERROR(__xludf.DUMMYFUNCTION("""COMPUTED_VALUE"""),"2025")</f>
        <v>2025</v>
      </c>
      <c r="G2952" s="35" t="str">
        <f>IFERROR(__xludf.DUMMYFUNCTION("""COMPUTED_VALUE"""),"ELWIN LAVEDA")</f>
        <v>ELWIN LAVEDA</v>
      </c>
      <c r="H2952" s="35" t="str">
        <f>IFERROR(__xludf.DUMMYFUNCTION("""COMPUTED_VALUE"""),"E0025103200")</f>
        <v>E0025103200</v>
      </c>
      <c r="I2952" s="35">
        <f>IFERROR(__xludf.DUMMYFUNCTION("""COMPUTED_VALUE"""),26.0)</f>
        <v>26</v>
      </c>
      <c r="J2952" s="35" t="str">
        <f>IFERROR(__xludf.DUMMYFUNCTION("""COMPUTED_VALUE"""),"25-34 tahun")</f>
        <v>25-34 tahun</v>
      </c>
      <c r="K2952" s="21" t="str">
        <f>IFERROR(__xludf.DUMMYFUNCTION("""COMPUTED_VALUE"""),"06/01/2000")</f>
        <v>06/01/2000</v>
      </c>
      <c r="L2952" s="21" t="str">
        <f>IFERROR(__xludf.DUMMYFUNCTION("""COMPUTED_VALUE"""),"LAKI-LAKI")</f>
        <v>LAKI-LAKI</v>
      </c>
      <c r="M2952" s="35" t="str">
        <f>IFERROR(__xludf.DUMMYFUNCTION("""COMPUTED_VALUE"""),"JALAN PURNAMA GANG PURNAMA 1 NO 17")</f>
        <v>JALAN PURNAMA GANG PURNAMA 1 NO 17</v>
      </c>
      <c r="N2952" s="35" t="str">
        <f>IFERROR(__xludf.DUMMYFUNCTION("""COMPUTED_VALUE"""),"PARIT TOKAYA")</f>
        <v>PARIT TOKAYA</v>
      </c>
      <c r="O2952" s="35" t="str">
        <f>IFERROR(__xludf.DUMMYFUNCTION("""COMPUTED_VALUE"""),"PONTIANAK SELATAN")</f>
        <v>PONTIANAK SELATAN</v>
      </c>
      <c r="P2952" s="35" t="str">
        <f>IFERROR(__xludf.DUMMYFUNCTION("""COMPUTED_VALUE"""),"PONTIANAK")</f>
        <v>PONTIANAK</v>
      </c>
      <c r="Q2952" s="35" t="str">
        <f>IFERROR(__xludf.DUMMYFUNCTION("""COMPUTED_VALUE"""),"KALIMANTAN BARAT")</f>
        <v>KALIMANTAN BARAT</v>
      </c>
      <c r="R2952" s="21" t="str">
        <f>IFERROR(__xludf.DUMMYFUNCTION("""COMPUTED_VALUE"""),"PROTESTAN")</f>
        <v>PROTESTAN</v>
      </c>
      <c r="S2952" s="74" t="str">
        <f>IFERROR(__xludf.DUMMYFUNCTION("""COMPUTED_VALUE"""),"WIRASWAATA")</f>
        <v>WIRASWAATA</v>
      </c>
      <c r="T2952" s="35" t="str">
        <f>IFERROR(__xludf.DUMMYFUNCTION("""COMPUTED_VALUE"""),"HEEL PAIN")</f>
        <v>HEEL PAIN</v>
      </c>
      <c r="U2952" s="35" t="str">
        <f>IFERROR(__xludf.DUMMYFUNCTION("""COMPUTED_VALUE"""),"MINI SOCCER, RUNNING")</f>
        <v>MINI SOCCER, RUNNING</v>
      </c>
      <c r="V2952" s="37" t="str">
        <f>IFERROR(__xludf.DUMMYFUNCTION("""COMPUTED_VALUE"""),"081152203200")</f>
        <v>081152203200</v>
      </c>
      <c r="W2952" s="45"/>
    </row>
    <row r="2953">
      <c r="A2953" s="45"/>
      <c r="B2953" s="24" t="str">
        <f>IFERROR(__xludf.DUMMYFUNCTION("""COMPUTED_VALUE"""),"10/10/2025 16:40:00")</f>
        <v>10/10/2025 16:40:00</v>
      </c>
      <c r="C2953" s="35"/>
      <c r="D2953" s="10">
        <f>IFERROR(__xludf.DUMMYFUNCTION("""COMPUTED_VALUE"""),45940.0)</f>
        <v>45940</v>
      </c>
      <c r="E2953" s="35" t="str">
        <f>IFERROR(__xludf.DUMMYFUNCTION("""COMPUTED_VALUE"""),"10Okt")</f>
        <v>10Okt</v>
      </c>
      <c r="F2953" s="34" t="str">
        <f>IFERROR(__xludf.DUMMYFUNCTION("""COMPUTED_VALUE"""),"2025")</f>
        <v>2025</v>
      </c>
      <c r="G2953" s="35" t="str">
        <f>IFERROR(__xludf.DUMMYFUNCTION("""COMPUTED_VALUE"""),"RIA UTAMI")</f>
        <v>RIA UTAMI</v>
      </c>
      <c r="H2953" s="35" t="str">
        <f>IFERROR(__xludf.DUMMYFUNCTION("""COMPUTED_VALUE"""),"R7825108100")</f>
        <v>R7825108100</v>
      </c>
      <c r="I2953" s="35">
        <f>IFERROR(__xludf.DUMMYFUNCTION("""COMPUTED_VALUE"""),48.0)</f>
        <v>48</v>
      </c>
      <c r="J2953" s="35" t="str">
        <f>IFERROR(__xludf.DUMMYFUNCTION("""COMPUTED_VALUE"""),"&gt; 44 tahun")</f>
        <v>&gt; 44 tahun</v>
      </c>
      <c r="K2953" s="21" t="str">
        <f>IFERROR(__xludf.DUMMYFUNCTION("""COMPUTED_VALUE"""),"17/01/1978")</f>
        <v>17/01/1978</v>
      </c>
      <c r="L2953" s="21" t="str">
        <f>IFERROR(__xludf.DUMMYFUNCTION("""COMPUTED_VALUE"""),"PEREMPUAN")</f>
        <v>PEREMPUAN</v>
      </c>
      <c r="M2953" s="35" t="str">
        <f>IFERROR(__xludf.DUMMYFUNCTION("""COMPUTED_VALUE"""),"JL. P. H. HUSIN 2 KOMP. DISBUN 1 B NO. 61")</f>
        <v>JL. P. H. HUSIN 2 KOMP. DISBUN 1 B NO. 61</v>
      </c>
      <c r="N2953" s="35" t="str">
        <f>IFERROR(__xludf.DUMMYFUNCTION("""COMPUTED_VALUE"""),"BANGKA BELITUNG DARAT")</f>
        <v>BANGKA BELITUNG DARAT</v>
      </c>
      <c r="O2953" s="35" t="str">
        <f>IFERROR(__xludf.DUMMYFUNCTION("""COMPUTED_VALUE"""),"PONTIANAK TENGGARA")</f>
        <v>PONTIANAK TENGGARA</v>
      </c>
      <c r="P2953" s="35" t="str">
        <f>IFERROR(__xludf.DUMMYFUNCTION("""COMPUTED_VALUE"""),"KOTA PONTIANAK")</f>
        <v>KOTA PONTIANAK</v>
      </c>
      <c r="Q2953" s="35" t="str">
        <f>IFERROR(__xludf.DUMMYFUNCTION("""COMPUTED_VALUE"""),"KALIMANTAN BARAT")</f>
        <v>KALIMANTAN BARAT</v>
      </c>
      <c r="R2953" s="21" t="str">
        <f>IFERROR(__xludf.DUMMYFUNCTION("""COMPUTED_VALUE"""),"ISLAM")</f>
        <v>ISLAM</v>
      </c>
      <c r="S2953" s="74" t="str">
        <f>IFERROR(__xludf.DUMMYFUNCTION("""COMPUTED_VALUE"""),"PNS")</f>
        <v>PNS</v>
      </c>
      <c r="T2953" s="35" t="str">
        <f>IFERROR(__xludf.DUMMYFUNCTION("""COMPUTED_VALUE"""),"LUTUT KANAN")</f>
        <v>LUTUT KANAN</v>
      </c>
      <c r="U2953" s="35" t="str">
        <f>IFERROR(__xludf.DUMMYFUNCTION("""COMPUTED_VALUE"""),"OLAHRAGA LARI")</f>
        <v>OLAHRAGA LARI</v>
      </c>
      <c r="V2953" s="37" t="str">
        <f>IFERROR(__xludf.DUMMYFUNCTION("""COMPUTED_VALUE"""),"082157668100")</f>
        <v>082157668100</v>
      </c>
      <c r="W2953" s="45"/>
    </row>
    <row r="2954">
      <c r="A2954" s="45"/>
      <c r="B2954" s="24" t="str">
        <f>IFERROR(__xludf.DUMMYFUNCTION("""COMPUTED_VALUE"""),"11/10/2025 18:07:55")</f>
        <v>11/10/2025 18:07:55</v>
      </c>
      <c r="C2954" s="35"/>
      <c r="D2954" s="10">
        <f>IFERROR(__xludf.DUMMYFUNCTION("""COMPUTED_VALUE"""),45941.0)</f>
        <v>45941</v>
      </c>
      <c r="E2954" s="35" t="str">
        <f>IFERROR(__xludf.DUMMYFUNCTION("""COMPUTED_VALUE"""),"10Okt")</f>
        <v>10Okt</v>
      </c>
      <c r="F2954" s="34" t="str">
        <f>IFERROR(__xludf.DUMMYFUNCTION("""COMPUTED_VALUE"""),"2025")</f>
        <v>2025</v>
      </c>
      <c r="G2954" s="35" t="str">
        <f>IFERROR(__xludf.DUMMYFUNCTION("""COMPUTED_VALUE"""),"FITRI ANGGRAINI")</f>
        <v>FITRI ANGGRAINI</v>
      </c>
      <c r="H2954" s="35" t="str">
        <f>IFERROR(__xludf.DUMMYFUNCTION("""COMPUTED_VALUE"""),"F0225101419")</f>
        <v>F0225101419</v>
      </c>
      <c r="I2954" s="35">
        <f>IFERROR(__xludf.DUMMYFUNCTION("""COMPUTED_VALUE"""),23.0)</f>
        <v>23</v>
      </c>
      <c r="J2954" s="35" t="str">
        <f>IFERROR(__xludf.DUMMYFUNCTION("""COMPUTED_VALUE"""),"18-24 tahun")</f>
        <v>18-24 tahun</v>
      </c>
      <c r="K2954" s="21" t="str">
        <f>IFERROR(__xludf.DUMMYFUNCTION("""COMPUTED_VALUE"""),"17/12/2002")</f>
        <v>17/12/2002</v>
      </c>
      <c r="L2954" s="21" t="str">
        <f>IFERROR(__xludf.DUMMYFUNCTION("""COMPUTED_VALUE"""),"PEREMPUAN")</f>
        <v>PEREMPUAN</v>
      </c>
      <c r="M2954" s="35" t="str">
        <f>IFERROR(__xludf.DUMMYFUNCTION("""COMPUTED_VALUE"""),"PERUMAHAN KIRANA RESIDENCE")</f>
        <v>PERUMAHAN KIRANA RESIDENCE</v>
      </c>
      <c r="N2954" s="35" t="str">
        <f>IFERROR(__xludf.DUMMYFUNCTION("""COMPUTED_VALUE"""),"SUKARAMI")</f>
        <v>SUKARAMI</v>
      </c>
      <c r="O2954" s="35" t="str">
        <f>IFERROR(__xludf.DUMMYFUNCTION("""COMPUTED_VALUE"""),"SEKAYU")</f>
        <v>SEKAYU</v>
      </c>
      <c r="P2954" s="35" t="str">
        <f>IFERROR(__xludf.DUMMYFUNCTION("""COMPUTED_VALUE"""),"MUSI BANYUASIN")</f>
        <v>MUSI BANYUASIN</v>
      </c>
      <c r="Q2954" s="35" t="str">
        <f>IFERROR(__xludf.DUMMYFUNCTION("""COMPUTED_VALUE"""),"SUMATERA SELATAN")</f>
        <v>SUMATERA SELATAN</v>
      </c>
      <c r="R2954" s="21" t="str">
        <f>IFERROR(__xludf.DUMMYFUNCTION("""COMPUTED_VALUE"""),"ISLAM")</f>
        <v>ISLAM</v>
      </c>
      <c r="S2954" s="74" t="str">
        <f>IFERROR(__xludf.DUMMYFUNCTION("""COMPUTED_VALUE"""),"PNS")</f>
        <v>PNS</v>
      </c>
      <c r="T2954" s="35" t="str">
        <f>IFERROR(__xludf.DUMMYFUNCTION("""COMPUTED_VALUE"""),"KAKI KANAN TERKILIR DAN BENGKANG")</f>
        <v>KAKI KANAN TERKILIR DAN BENGKANG</v>
      </c>
      <c r="U2954" s="35" t="str">
        <f>IFERROR(__xludf.DUMMYFUNCTION("""COMPUTED_VALUE"""),"MAIN BADMINTON")</f>
        <v>MAIN BADMINTON</v>
      </c>
      <c r="V2954" s="37" t="str">
        <f>IFERROR(__xludf.DUMMYFUNCTION("""COMPUTED_VALUE"""),"088286041419")</f>
        <v>088286041419</v>
      </c>
      <c r="W2954" s="45"/>
    </row>
    <row r="2955">
      <c r="A2955" s="45"/>
      <c r="B2955" s="24" t="str">
        <f>IFERROR(__xludf.DUMMYFUNCTION("""COMPUTED_VALUE"""),"11/10/2025 19:55:54")</f>
        <v>11/10/2025 19:55:54</v>
      </c>
      <c r="C2955" s="35"/>
      <c r="D2955" s="10">
        <f>IFERROR(__xludf.DUMMYFUNCTION("""COMPUTED_VALUE"""),45941.0)</f>
        <v>45941</v>
      </c>
      <c r="E2955" s="35" t="str">
        <f>IFERROR(__xludf.DUMMYFUNCTION("""COMPUTED_VALUE"""),"10Okt")</f>
        <v>10Okt</v>
      </c>
      <c r="F2955" s="34" t="str">
        <f>IFERROR(__xludf.DUMMYFUNCTION("""COMPUTED_VALUE"""),"2025")</f>
        <v>2025</v>
      </c>
      <c r="G2955" s="35" t="str">
        <f>IFERROR(__xludf.DUMMYFUNCTION("""COMPUTED_VALUE"""),"JULIO ARIE PANANGIAN NAPITUPULU")</f>
        <v>JULIO ARIE PANANGIAN NAPITUPULU</v>
      </c>
      <c r="H2955" s="35" t="str">
        <f>IFERROR(__xludf.DUMMYFUNCTION("""COMPUTED_VALUE"""),"J9425106812")</f>
        <v>J9425106812</v>
      </c>
      <c r="I2955" s="35">
        <f>IFERROR(__xludf.DUMMYFUNCTION("""COMPUTED_VALUE"""),31.0)</f>
        <v>31</v>
      </c>
      <c r="J2955" s="35" t="str">
        <f>IFERROR(__xludf.DUMMYFUNCTION("""COMPUTED_VALUE"""),"25-34 tahun")</f>
        <v>25-34 tahun</v>
      </c>
      <c r="K2955" s="21" t="str">
        <f>IFERROR(__xludf.DUMMYFUNCTION("""COMPUTED_VALUE"""),"05/07/1994")</f>
        <v>05/07/1994</v>
      </c>
      <c r="L2955" s="21" t="str">
        <f>IFERROR(__xludf.DUMMYFUNCTION("""COMPUTED_VALUE"""),"LAKI-LAKI")</f>
        <v>LAKI-LAKI</v>
      </c>
      <c r="M2955" s="35" t="str">
        <f>IFERROR(__xludf.DUMMYFUNCTION("""COMPUTED_VALUE"""),"JL. HASIM ASHARI NO 22")</f>
        <v>JL. HASIM ASHARI NO 22</v>
      </c>
      <c r="N2955" s="35" t="str">
        <f>IFERROR(__xludf.DUMMYFUNCTION("""COMPUTED_VALUE"""),"TANJUNG HULU")</f>
        <v>TANJUNG HULU</v>
      </c>
      <c r="O2955" s="35" t="str">
        <f>IFERROR(__xludf.DUMMYFUNCTION("""COMPUTED_VALUE"""),"PONTIANAK TIMUR")</f>
        <v>PONTIANAK TIMUR</v>
      </c>
      <c r="P2955" s="35" t="str">
        <f>IFERROR(__xludf.DUMMYFUNCTION("""COMPUTED_VALUE"""),"KOTA PONTIANAK")</f>
        <v>KOTA PONTIANAK</v>
      </c>
      <c r="Q2955" s="35" t="str">
        <f>IFERROR(__xludf.DUMMYFUNCTION("""COMPUTED_VALUE"""),"KALIMANTAN BARAT")</f>
        <v>KALIMANTAN BARAT</v>
      </c>
      <c r="R2955" s="21" t="str">
        <f>IFERROR(__xludf.DUMMYFUNCTION("""COMPUTED_VALUE"""),"PROTESTAN")</f>
        <v>PROTESTAN</v>
      </c>
      <c r="S2955" s="74" t="str">
        <f>IFERROR(__xludf.DUMMYFUNCTION("""COMPUTED_VALUE"""),"WIRASWASTA")</f>
        <v>WIRASWASTA</v>
      </c>
      <c r="T2955" s="35" t="str">
        <f>IFERROR(__xludf.DUMMYFUNCTION("""COMPUTED_VALUE"""),"PELATAR")</f>
        <v>PELATAR</v>
      </c>
      <c r="U2955" s="35" t="str">
        <f>IFERROR(__xludf.DUMMYFUNCTION("""COMPUTED_VALUE"""),"SEPAK BOLA")</f>
        <v>SEPAK BOLA</v>
      </c>
      <c r="V2955" s="37" t="str">
        <f>IFERROR(__xludf.DUMMYFUNCTION("""COMPUTED_VALUE"""),"081388886812")</f>
        <v>081388886812</v>
      </c>
      <c r="W2955" s="45"/>
    </row>
    <row r="2956">
      <c r="A2956" s="45"/>
      <c r="B2956" s="24" t="str">
        <f>IFERROR(__xludf.DUMMYFUNCTION("""COMPUTED_VALUE"""),"11/10/2025 22:42:44")</f>
        <v>11/10/2025 22:42:44</v>
      </c>
      <c r="C2956" s="35"/>
      <c r="D2956" s="10">
        <f>IFERROR(__xludf.DUMMYFUNCTION("""COMPUTED_VALUE"""),45942.0)</f>
        <v>45942</v>
      </c>
      <c r="E2956" s="35" t="str">
        <f>IFERROR(__xludf.DUMMYFUNCTION("""COMPUTED_VALUE"""),"10Okt")</f>
        <v>10Okt</v>
      </c>
      <c r="F2956" s="34" t="str">
        <f>IFERROR(__xludf.DUMMYFUNCTION("""COMPUTED_VALUE"""),"2025")</f>
        <v>2025</v>
      </c>
      <c r="G2956" s="35" t="str">
        <f>IFERROR(__xludf.DUMMYFUNCTION("""COMPUTED_VALUE"""),"TEGUH KURNIAWAN")</f>
        <v>TEGUH KURNIAWAN</v>
      </c>
      <c r="H2956" s="35" t="str">
        <f>IFERROR(__xludf.DUMMYFUNCTION("""COMPUTED_VALUE"""),"T8625107487")</f>
        <v>T8625107487</v>
      </c>
      <c r="I2956" s="35">
        <f>IFERROR(__xludf.DUMMYFUNCTION("""COMPUTED_VALUE"""),39.0)</f>
        <v>39</v>
      </c>
      <c r="J2956" s="35" t="str">
        <f>IFERROR(__xludf.DUMMYFUNCTION("""COMPUTED_VALUE"""),"35-44 tahun")</f>
        <v>35-44 tahun</v>
      </c>
      <c r="K2956" s="21" t="str">
        <f>IFERROR(__xludf.DUMMYFUNCTION("""COMPUTED_VALUE"""),"13/12/1986")</f>
        <v>13/12/1986</v>
      </c>
      <c r="L2956" s="21" t="str">
        <f>IFERROR(__xludf.DUMMYFUNCTION("""COMPUTED_VALUE"""),"LAKI-LAKI")</f>
        <v>LAKI-LAKI</v>
      </c>
      <c r="M2956" s="35" t="str">
        <f>IFERROR(__xludf.DUMMYFUNCTION("""COMPUTED_VALUE"""),"JL. TABRANI AHMAD GG. HARISMA NO. 7")</f>
        <v>JL. TABRANI AHMAD GG. HARISMA NO. 7</v>
      </c>
      <c r="N2956" s="35" t="str">
        <f>IFERROR(__xludf.DUMMYFUNCTION("""COMPUTED_VALUE"""),"SUNGAI JAWI DALAM")</f>
        <v>SUNGAI JAWI DALAM</v>
      </c>
      <c r="O2956" s="35" t="str">
        <f>IFERROR(__xludf.DUMMYFUNCTION("""COMPUTED_VALUE"""),"PONTIANAK BARAT")</f>
        <v>PONTIANAK BARAT</v>
      </c>
      <c r="P2956" s="35" t="str">
        <f>IFERROR(__xludf.DUMMYFUNCTION("""COMPUTED_VALUE"""),"KOTA PONTIANAK")</f>
        <v>KOTA PONTIANAK</v>
      </c>
      <c r="Q2956" s="35" t="str">
        <f>IFERROR(__xludf.DUMMYFUNCTION("""COMPUTED_VALUE"""),"KALIMANTAN BARAT")</f>
        <v>KALIMANTAN BARAT</v>
      </c>
      <c r="R2956" s="21" t="str">
        <f>IFERROR(__xludf.DUMMYFUNCTION("""COMPUTED_VALUE"""),"ISLAM")</f>
        <v>ISLAM</v>
      </c>
      <c r="S2956" s="74" t="str">
        <f>IFERROR(__xludf.DUMMYFUNCTION("""COMPUTED_VALUE"""),"PNS")</f>
        <v>PNS</v>
      </c>
      <c r="T2956" s="35" t="str">
        <f>IFERROR(__xludf.DUMMYFUNCTION("""COMPUTED_VALUE"""),"NYERI DI BELIKAT DEPAN BELAKANG")</f>
        <v>NYERI DI BELIKAT DEPAN BELAKANG</v>
      </c>
      <c r="U2956" s="35" t="str">
        <f>IFERROR(__xludf.DUMMYFUNCTION("""COMPUTED_VALUE"""),"KESELEO SAAT MENGANGKAT BARANG/ BEBAN")</f>
        <v>KESELEO SAAT MENGANGKAT BARANG/ BEBAN</v>
      </c>
      <c r="V2956" s="37" t="str">
        <f>IFERROR(__xludf.DUMMYFUNCTION("""COMPUTED_VALUE"""),"082159367487")</f>
        <v>082159367487</v>
      </c>
      <c r="W2956" s="45"/>
    </row>
    <row r="2957">
      <c r="A2957" s="45"/>
      <c r="B2957" s="24" t="str">
        <f>IFERROR(__xludf.DUMMYFUNCTION("""COMPUTED_VALUE"""),"13/10/2025 6:33:40")</f>
        <v>13/10/2025 6:33:40</v>
      </c>
      <c r="C2957" s="35"/>
      <c r="D2957" s="10">
        <f>IFERROR(__xludf.DUMMYFUNCTION("""COMPUTED_VALUE"""),45943.0)</f>
        <v>45943</v>
      </c>
      <c r="E2957" s="35" t="str">
        <f>IFERROR(__xludf.DUMMYFUNCTION("""COMPUTED_VALUE"""),"10Okt")</f>
        <v>10Okt</v>
      </c>
      <c r="F2957" s="34" t="str">
        <f>IFERROR(__xludf.DUMMYFUNCTION("""COMPUTED_VALUE"""),"2025")</f>
        <v>2025</v>
      </c>
      <c r="G2957" s="35" t="str">
        <f>IFERROR(__xludf.DUMMYFUNCTION("""COMPUTED_VALUE"""),"NANI ERNIEYATI")</f>
        <v>NANI ERNIEYATI</v>
      </c>
      <c r="H2957" s="35" t="str">
        <f>IFERROR(__xludf.DUMMYFUNCTION("""COMPUTED_VALUE"""),"N7425100815")</f>
        <v>N7425100815</v>
      </c>
      <c r="I2957" s="35">
        <f>IFERROR(__xludf.DUMMYFUNCTION("""COMPUTED_VALUE"""),52.0)</f>
        <v>52</v>
      </c>
      <c r="J2957" s="35" t="str">
        <f>IFERROR(__xludf.DUMMYFUNCTION("""COMPUTED_VALUE"""),"&gt; 44 tahun")</f>
        <v>&gt; 44 tahun</v>
      </c>
      <c r="K2957" s="21" t="str">
        <f>IFERROR(__xludf.DUMMYFUNCTION("""COMPUTED_VALUE"""),"10/05/1974")</f>
        <v>10/05/1974</v>
      </c>
      <c r="L2957" s="21" t="str">
        <f>IFERROR(__xludf.DUMMYFUNCTION("""COMPUTED_VALUE"""),"PEREMPUAN")</f>
        <v>PEREMPUAN</v>
      </c>
      <c r="M2957" s="35" t="str">
        <f>IFERROR(__xludf.DUMMYFUNCTION("""COMPUTED_VALUE"""),"JLN PERDANA KOMPLEK BALI AGUNG 2 BLOK I NO 18")</f>
        <v>JLN PERDANA KOMPLEK BALI AGUNG 2 BLOK I NO 18</v>
      </c>
      <c r="N2957" s="35" t="str">
        <f>IFERROR(__xludf.DUMMYFUNCTION("""COMPUTED_VALUE"""),"PARIT TOKAYA")</f>
        <v>PARIT TOKAYA</v>
      </c>
      <c r="O2957" s="35" t="str">
        <f>IFERROR(__xludf.DUMMYFUNCTION("""COMPUTED_VALUE"""),"PONTIANAK SELATAN")</f>
        <v>PONTIANAK SELATAN</v>
      </c>
      <c r="P2957" s="35" t="str">
        <f>IFERROR(__xludf.DUMMYFUNCTION("""COMPUTED_VALUE"""),"KOTA PONTIANAK")</f>
        <v>KOTA PONTIANAK</v>
      </c>
      <c r="Q2957" s="35" t="str">
        <f>IFERROR(__xludf.DUMMYFUNCTION("""COMPUTED_VALUE"""),"KALIMANTAN BARAT")</f>
        <v>KALIMANTAN BARAT</v>
      </c>
      <c r="R2957" s="21" t="str">
        <f>IFERROR(__xludf.DUMMYFUNCTION("""COMPUTED_VALUE"""),"ISLAM")</f>
        <v>ISLAM</v>
      </c>
      <c r="S2957" s="74" t="str">
        <f>IFERROR(__xludf.DUMMYFUNCTION("""COMPUTED_VALUE"""),"IBU RUMAH TANGGA")</f>
        <v>IBU RUMAH TANGGA</v>
      </c>
      <c r="T2957" s="35" t="str">
        <f>IFERROR(__xludf.DUMMYFUNCTION("""COMPUTED_VALUE"""),"")</f>
        <v/>
      </c>
      <c r="U2957" s="35" t="str">
        <f>IFERROR(__xludf.DUMMYFUNCTION("""COMPUTED_VALUE"""),"MENATA ULANG INTERIOR RUMAH")</f>
        <v>MENATA ULANG INTERIOR RUMAH</v>
      </c>
      <c r="V2957" s="37" t="str">
        <f>IFERROR(__xludf.DUMMYFUNCTION("""COMPUTED_VALUE"""),"089683780815")</f>
        <v>089683780815</v>
      </c>
      <c r="W2957" s="45"/>
    </row>
    <row r="2958">
      <c r="A2958" s="45"/>
      <c r="B2958" s="24" t="str">
        <f>IFERROR(__xludf.DUMMYFUNCTION("""COMPUTED_VALUE"""),"13/10/2025 10:21:33")</f>
        <v>13/10/2025 10:21:33</v>
      </c>
      <c r="C2958" s="35"/>
      <c r="D2958" s="10">
        <f>IFERROR(__xludf.DUMMYFUNCTION("""COMPUTED_VALUE"""),45943.0)</f>
        <v>45943</v>
      </c>
      <c r="E2958" s="35" t="str">
        <f>IFERROR(__xludf.DUMMYFUNCTION("""COMPUTED_VALUE"""),"10Okt")</f>
        <v>10Okt</v>
      </c>
      <c r="F2958" s="34" t="str">
        <f>IFERROR(__xludf.DUMMYFUNCTION("""COMPUTED_VALUE"""),"2025")</f>
        <v>2025</v>
      </c>
      <c r="G2958" s="35" t="str">
        <f>IFERROR(__xludf.DUMMYFUNCTION("""COMPUTED_VALUE"""),"HJ. NURDESWATI SH")</f>
        <v>HJ. NURDESWATI SH</v>
      </c>
      <c r="H2958" s="35" t="str">
        <f>IFERROR(__xludf.DUMMYFUNCTION("""COMPUTED_VALUE"""),"H2525100224")</f>
        <v>H2525100224</v>
      </c>
      <c r="I2958" s="35">
        <f>IFERROR(__xludf.DUMMYFUNCTION("""COMPUTED_VALUE"""),1.0)</f>
        <v>1</v>
      </c>
      <c r="J2958" s="35" t="str">
        <f>IFERROR(__xludf.DUMMYFUNCTION("""COMPUTED_VALUE"""),"&lt; 18 tahun")</f>
        <v>&lt; 18 tahun</v>
      </c>
      <c r="K2958" s="21" t="str">
        <f>IFERROR(__xludf.DUMMYFUNCTION("""COMPUTED_VALUE"""),"24/02/2025")</f>
        <v>24/02/2025</v>
      </c>
      <c r="L2958" s="21" t="str">
        <f>IFERROR(__xludf.DUMMYFUNCTION("""COMPUTED_VALUE"""),"PEREMPUAN")</f>
        <v>PEREMPUAN</v>
      </c>
      <c r="M2958" s="35" t="str">
        <f>IFERROR(__xludf.DUMMYFUNCTION("""COMPUTED_VALUE"""),"JL AYANI SEPAKAT 1 BLOK KAKAP NO 3")</f>
        <v>JL AYANI SEPAKAT 1 BLOK KAKAP NO 3</v>
      </c>
      <c r="N2958" s="35" t="str">
        <f>IFERROR(__xludf.DUMMYFUNCTION("""COMPUTED_VALUE"""),"BANSIR LAUT")</f>
        <v>BANSIR LAUT</v>
      </c>
      <c r="O2958" s="35" t="str">
        <f>IFERROR(__xludf.DUMMYFUNCTION("""COMPUTED_VALUE"""),"PONTIANAK TENGGARA")</f>
        <v>PONTIANAK TENGGARA</v>
      </c>
      <c r="P2958" s="35" t="str">
        <f>IFERROR(__xludf.DUMMYFUNCTION("""COMPUTED_VALUE"""),"KOTA PONTIANAK")</f>
        <v>KOTA PONTIANAK</v>
      </c>
      <c r="Q2958" s="35" t="str">
        <f>IFERROR(__xludf.DUMMYFUNCTION("""COMPUTED_VALUE"""),"KALIMANTAN BARAT")</f>
        <v>KALIMANTAN BARAT</v>
      </c>
      <c r="R2958" s="21" t="str">
        <f>IFERROR(__xludf.DUMMYFUNCTION("""COMPUTED_VALUE"""),"ISLAM")</f>
        <v>ISLAM</v>
      </c>
      <c r="S2958" s="74" t="str">
        <f>IFERROR(__xludf.DUMMYFUNCTION("""COMPUTED_VALUE"""),"IBU RUMAH TANGGA")</f>
        <v>IBU RUMAH TANGGA</v>
      </c>
      <c r="T2958" s="35" t="str">
        <f>IFERROR(__xludf.DUMMYFUNCTION("""COMPUTED_VALUE"""),"NYERI PINGGANG DAN BETIS")</f>
        <v>NYERI PINGGANG DAN BETIS</v>
      </c>
      <c r="U2958" s="35" t="str">
        <f>IFERROR(__xludf.DUMMYFUNCTION("""COMPUTED_VALUE"""),"MENCUCI BAJU")</f>
        <v>MENCUCI BAJU</v>
      </c>
      <c r="V2958" s="37" t="str">
        <f>IFERROR(__xludf.DUMMYFUNCTION("""COMPUTED_VALUE"""),"081352590224")</f>
        <v>081352590224</v>
      </c>
      <c r="W2958" s="45"/>
    </row>
    <row r="2959">
      <c r="A2959" s="45"/>
      <c r="B2959" s="24" t="str">
        <f>IFERROR(__xludf.DUMMYFUNCTION("""COMPUTED_VALUE"""),"13/10/2025 0:47:11")</f>
        <v>13/10/2025 0:47:11</v>
      </c>
      <c r="C2959" s="35"/>
      <c r="D2959" s="10">
        <f>IFERROR(__xludf.DUMMYFUNCTION("""COMPUTED_VALUE"""),45943.0)</f>
        <v>45943</v>
      </c>
      <c r="E2959" s="35" t="str">
        <f>IFERROR(__xludf.DUMMYFUNCTION("""COMPUTED_VALUE"""),"10Okt")</f>
        <v>10Okt</v>
      </c>
      <c r="F2959" s="34" t="str">
        <f>IFERROR(__xludf.DUMMYFUNCTION("""COMPUTED_VALUE"""),"2025")</f>
        <v>2025</v>
      </c>
      <c r="G2959" s="35" t="str">
        <f>IFERROR(__xludf.DUMMYFUNCTION("""COMPUTED_VALUE"""),"GREGORIUS TACCHINARDI")</f>
        <v>GREGORIUS TACCHINARDI</v>
      </c>
      <c r="H2959" s="35" t="str">
        <f>IFERROR(__xludf.DUMMYFUNCTION("""COMPUTED_VALUE"""),"G0225101517")</f>
        <v>G0225101517</v>
      </c>
      <c r="I2959" s="35">
        <f>IFERROR(__xludf.DUMMYFUNCTION("""COMPUTED_VALUE"""),24.0)</f>
        <v>24</v>
      </c>
      <c r="J2959" s="35" t="str">
        <f>IFERROR(__xludf.DUMMYFUNCTION("""COMPUTED_VALUE"""),"18-24 tahun")</f>
        <v>18-24 tahun</v>
      </c>
      <c r="K2959" s="21" t="str">
        <f>IFERROR(__xludf.DUMMYFUNCTION("""COMPUTED_VALUE"""),"03/05/2002")</f>
        <v>03/05/2002</v>
      </c>
      <c r="L2959" s="21" t="str">
        <f>IFERROR(__xludf.DUMMYFUNCTION("""COMPUTED_VALUE"""),"LAKI-LAKI")</f>
        <v>LAKI-LAKI</v>
      </c>
      <c r="M2959" s="35" t="str">
        <f>IFERROR(__xludf.DUMMYFUNCTION("""COMPUTED_VALUE"""),"DUSUN KAMPUNG KALAK")</f>
        <v>DUSUN KAMPUNG KALAK</v>
      </c>
      <c r="N2959" s="35" t="str">
        <f>IFERROR(__xludf.DUMMYFUNCTION("""COMPUTED_VALUE"""),"NANGA MENTUKA")</f>
        <v>NANGA MENTUKA</v>
      </c>
      <c r="O2959" s="35" t="str">
        <f>IFERROR(__xludf.DUMMYFUNCTION("""COMPUTED_VALUE"""),"NANGA TAMAN")</f>
        <v>NANGA TAMAN</v>
      </c>
      <c r="P2959" s="35" t="str">
        <f>IFERROR(__xludf.DUMMYFUNCTION("""COMPUTED_VALUE"""),"SEKADAU")</f>
        <v>SEKADAU</v>
      </c>
      <c r="Q2959" s="35" t="str">
        <f>IFERROR(__xludf.DUMMYFUNCTION("""COMPUTED_VALUE"""),"KALIMANTAN BARAT")</f>
        <v>KALIMANTAN BARAT</v>
      </c>
      <c r="R2959" s="21" t="str">
        <f>IFERROR(__xludf.DUMMYFUNCTION("""COMPUTED_VALUE"""),"KATOLIK")</f>
        <v>KATOLIK</v>
      </c>
      <c r="S2959" s="74" t="str">
        <f>IFERROR(__xludf.DUMMYFUNCTION("""COMPUTED_VALUE"""),"MAHASISWA")</f>
        <v>MAHASISWA</v>
      </c>
      <c r="T2959" s="35" t="str">
        <f>IFERROR(__xludf.DUMMYFUNCTION("""COMPUTED_VALUE"""),"NYERI PADA LUTUT BAGIAN LUAR")</f>
        <v>NYERI PADA LUTUT BAGIAN LUAR</v>
      </c>
      <c r="U2959" s="35" t="str">
        <f>IFERROR(__xludf.DUMMYFUNCTION("""COMPUTED_VALUE"""),"LARI, MINI SOCCER, GYM")</f>
        <v>LARI, MINI SOCCER, GYM</v>
      </c>
      <c r="V2959" s="37" t="str">
        <f>IFERROR(__xludf.DUMMYFUNCTION("""COMPUTED_VALUE"""),"082253721517")</f>
        <v>082253721517</v>
      </c>
      <c r="W2959" s="45"/>
    </row>
    <row r="2960">
      <c r="A2960" s="45"/>
      <c r="B2960" s="24" t="str">
        <f>IFERROR(__xludf.DUMMYFUNCTION("""COMPUTED_VALUE"""),"13/10/2025 19:17:48")</f>
        <v>13/10/2025 19:17:48</v>
      </c>
      <c r="C2960" s="35"/>
      <c r="D2960" s="10">
        <f>IFERROR(__xludf.DUMMYFUNCTION("""COMPUTED_VALUE"""),45943.0)</f>
        <v>45943</v>
      </c>
      <c r="E2960" s="35" t="str">
        <f>IFERROR(__xludf.DUMMYFUNCTION("""COMPUTED_VALUE"""),"10Okt")</f>
        <v>10Okt</v>
      </c>
      <c r="F2960" s="34" t="str">
        <f>IFERROR(__xludf.DUMMYFUNCTION("""COMPUTED_VALUE"""),"2025")</f>
        <v>2025</v>
      </c>
      <c r="G2960" s="35" t="str">
        <f>IFERROR(__xludf.DUMMYFUNCTION("""COMPUTED_VALUE"""),"ERIC JORDAN")</f>
        <v>ERIC JORDAN</v>
      </c>
      <c r="H2960" s="35" t="str">
        <f>IFERROR(__xludf.DUMMYFUNCTION("""COMPUTED_VALUE"""),"E9925108783")</f>
        <v>E9925108783</v>
      </c>
      <c r="I2960" s="35">
        <f>IFERROR(__xludf.DUMMYFUNCTION("""COMPUTED_VALUE"""),26.0)</f>
        <v>26</v>
      </c>
      <c r="J2960" s="35" t="str">
        <f>IFERROR(__xludf.DUMMYFUNCTION("""COMPUTED_VALUE"""),"25-34 tahun")</f>
        <v>25-34 tahun</v>
      </c>
      <c r="K2960" s="21" t="str">
        <f>IFERROR(__xludf.DUMMYFUNCTION("""COMPUTED_VALUE"""),"13/09/1999")</f>
        <v>13/09/1999</v>
      </c>
      <c r="L2960" s="21" t="str">
        <f>IFERROR(__xludf.DUMMYFUNCTION("""COMPUTED_VALUE"""),"LAKI-LAKI")</f>
        <v>LAKI-LAKI</v>
      </c>
      <c r="M2960" s="35" t="str">
        <f>IFERROR(__xludf.DUMMYFUNCTION("""COMPUTED_VALUE"""),"JL. PROF M YAMIN GG PEMANGKAT 1")</f>
        <v>JL. PROF M YAMIN GG PEMANGKAT 1</v>
      </c>
      <c r="N2960" s="35" t="str">
        <f>IFERROR(__xludf.DUMMYFUNCTION("""COMPUTED_VALUE"""),"PARIT TOKAYA")</f>
        <v>PARIT TOKAYA</v>
      </c>
      <c r="O2960" s="35" t="str">
        <f>IFERROR(__xludf.DUMMYFUNCTION("""COMPUTED_VALUE"""),"PONTIANAK SELATAN")</f>
        <v>PONTIANAK SELATAN</v>
      </c>
      <c r="P2960" s="35" t="str">
        <f>IFERROR(__xludf.DUMMYFUNCTION("""COMPUTED_VALUE"""),"KOTA PONTIANAK")</f>
        <v>KOTA PONTIANAK</v>
      </c>
      <c r="Q2960" s="35" t="str">
        <f>IFERROR(__xludf.DUMMYFUNCTION("""COMPUTED_VALUE"""),"KALIMANTAN BARAT")</f>
        <v>KALIMANTAN BARAT</v>
      </c>
      <c r="R2960" s="21" t="str">
        <f>IFERROR(__xludf.DUMMYFUNCTION("""COMPUTED_VALUE"""),"KATOLIK")</f>
        <v>KATOLIK</v>
      </c>
      <c r="S2960" s="74" t="str">
        <f>IFERROR(__xludf.DUMMYFUNCTION("""COMPUTED_VALUE"""),"WIRASWASTA")</f>
        <v>WIRASWASTA</v>
      </c>
      <c r="T2960" s="35" t="str">
        <f>IFERROR(__xludf.DUMMYFUNCTION("""COMPUTED_VALUE"""),"TERAPI PASCA LATIHAN")</f>
        <v>TERAPI PASCA LATIHAN</v>
      </c>
      <c r="U2960" s="35" t="str">
        <f>IFERROR(__xludf.DUMMYFUNCTION("""COMPUTED_VALUE"""),"LARI")</f>
        <v>LARI</v>
      </c>
      <c r="V2960" s="37" t="str">
        <f>IFERROR(__xludf.DUMMYFUNCTION("""COMPUTED_VALUE"""),"085752878783")</f>
        <v>085752878783</v>
      </c>
      <c r="W2960" s="45"/>
    </row>
    <row r="2961">
      <c r="A2961" s="45"/>
      <c r="B2961" s="24" t="str">
        <f>IFERROR(__xludf.DUMMYFUNCTION("""COMPUTED_VALUE"""),"14/10/2025 13:40:04")</f>
        <v>14/10/2025 13:40:04</v>
      </c>
      <c r="C2961" s="35"/>
      <c r="D2961" s="10">
        <f>IFERROR(__xludf.DUMMYFUNCTION("""COMPUTED_VALUE"""),45944.0)</f>
        <v>45944</v>
      </c>
      <c r="E2961" s="35" t="str">
        <f>IFERROR(__xludf.DUMMYFUNCTION("""COMPUTED_VALUE"""),"10Okt")</f>
        <v>10Okt</v>
      </c>
      <c r="F2961" s="34" t="str">
        <f>IFERROR(__xludf.DUMMYFUNCTION("""COMPUTED_VALUE"""),"2025")</f>
        <v>2025</v>
      </c>
      <c r="G2961" s="35" t="str">
        <f>IFERROR(__xludf.DUMMYFUNCTION("""COMPUTED_VALUE"""),"FATIH HAWWARI")</f>
        <v>FATIH HAWWARI</v>
      </c>
      <c r="H2961" s="35" t="str">
        <f>IFERROR(__xludf.DUMMYFUNCTION("""COMPUTED_VALUE"""),"F1025100245")</f>
        <v>F1025100245</v>
      </c>
      <c r="I2961" s="35">
        <f>IFERROR(__xludf.DUMMYFUNCTION("""COMPUTED_VALUE"""),15.0)</f>
        <v>15</v>
      </c>
      <c r="J2961" s="35" t="str">
        <f>IFERROR(__xludf.DUMMYFUNCTION("""COMPUTED_VALUE"""),"&lt; 18 tahun")</f>
        <v>&lt; 18 tahun</v>
      </c>
      <c r="K2961" s="21" t="str">
        <f>IFERROR(__xludf.DUMMYFUNCTION("""COMPUTED_VALUE"""),"30/07/2010")</f>
        <v>30/07/2010</v>
      </c>
      <c r="L2961" s="21" t="str">
        <f>IFERROR(__xludf.DUMMYFUNCTION("""COMPUTED_VALUE"""),"LAKI-LAKI")</f>
        <v>LAKI-LAKI</v>
      </c>
      <c r="M2961" s="35" t="str">
        <f>IFERROR(__xludf.DUMMYFUNCTION("""COMPUTED_VALUE"""),"JALAN ADISUCIPTO, PONDOK INDAH LESTARI B 4 NOMOR 5")</f>
        <v>JALAN ADISUCIPTO, PONDOK INDAH LESTARI B 4 NOMOR 5</v>
      </c>
      <c r="N2961" s="35" t="str">
        <f>IFERROR(__xludf.DUMMYFUNCTION("""COMPUTED_VALUE"""),"PARIT BARU")</f>
        <v>PARIT BARU</v>
      </c>
      <c r="O2961" s="35" t="str">
        <f>IFERROR(__xludf.DUMMYFUNCTION("""COMPUTED_VALUE"""),"SUNGAI RAYA")</f>
        <v>SUNGAI RAYA</v>
      </c>
      <c r="P2961" s="35" t="str">
        <f>IFERROR(__xludf.DUMMYFUNCTION("""COMPUTED_VALUE"""),"KUBU RAYA")</f>
        <v>KUBU RAYA</v>
      </c>
      <c r="Q2961" s="35" t="str">
        <f>IFERROR(__xludf.DUMMYFUNCTION("""COMPUTED_VALUE"""),"KALIMANTAN BARAT")</f>
        <v>KALIMANTAN BARAT</v>
      </c>
      <c r="R2961" s="21" t="str">
        <f>IFERROR(__xludf.DUMMYFUNCTION("""COMPUTED_VALUE"""),"ISLAM")</f>
        <v>ISLAM</v>
      </c>
      <c r="S2961" s="74" t="str">
        <f>IFERROR(__xludf.DUMMYFUNCTION("""COMPUTED_VALUE"""),"PELAJAR")</f>
        <v>PELAJAR</v>
      </c>
      <c r="T2961" s="35" t="str">
        <f>IFERROR(__xludf.DUMMYFUNCTION("""COMPUTED_VALUE"""),"DISLOKASI LUTUT, SERING GESER")</f>
        <v>DISLOKASI LUTUT, SERING GESER</v>
      </c>
      <c r="U2961" s="35" t="str">
        <f>IFERROR(__xludf.DUMMYFUNCTION("""COMPUTED_VALUE"""),"SERING GESER LUTUT")</f>
        <v>SERING GESER LUTUT</v>
      </c>
      <c r="V2961" s="37" t="str">
        <f>IFERROR(__xludf.DUMMYFUNCTION("""COMPUTED_VALUE"""),"085750040245")</f>
        <v>085750040245</v>
      </c>
      <c r="W2961" s="45"/>
    </row>
    <row r="2962">
      <c r="A2962" s="45"/>
      <c r="B2962" s="24" t="str">
        <f>IFERROR(__xludf.DUMMYFUNCTION("""COMPUTED_VALUE"""),"14/10/2025 13:43:11")</f>
        <v>14/10/2025 13:43:11</v>
      </c>
      <c r="C2962" s="35"/>
      <c r="D2962" s="10">
        <f>IFERROR(__xludf.DUMMYFUNCTION("""COMPUTED_VALUE"""),45944.0)</f>
        <v>45944</v>
      </c>
      <c r="E2962" s="35" t="str">
        <f>IFERROR(__xludf.DUMMYFUNCTION("""COMPUTED_VALUE"""),"10Okt")</f>
        <v>10Okt</v>
      </c>
      <c r="F2962" s="34" t="str">
        <f>IFERROR(__xludf.DUMMYFUNCTION("""COMPUTED_VALUE"""),"2025")</f>
        <v>2025</v>
      </c>
      <c r="G2962" s="35" t="str">
        <f>IFERROR(__xludf.DUMMYFUNCTION("""COMPUTED_VALUE"""),"AZARYA JADAYN ARYO")</f>
        <v>AZARYA JADAYN ARYO</v>
      </c>
      <c r="H2962" s="35" t="str">
        <f>IFERROR(__xludf.DUMMYFUNCTION("""COMPUTED_VALUE"""),"A1025102304")</f>
        <v>A1025102304</v>
      </c>
      <c r="I2962" s="35">
        <f>IFERROR(__xludf.DUMMYFUNCTION("""COMPUTED_VALUE"""),16.0)</f>
        <v>16</v>
      </c>
      <c r="J2962" s="35" t="str">
        <f>IFERROR(__xludf.DUMMYFUNCTION("""COMPUTED_VALUE"""),"&lt; 18 tahun")</f>
        <v>&lt; 18 tahun</v>
      </c>
      <c r="K2962" s="21" t="str">
        <f>IFERROR(__xludf.DUMMYFUNCTION("""COMPUTED_VALUE"""),"24/01/2010")</f>
        <v>24/01/2010</v>
      </c>
      <c r="L2962" s="21" t="str">
        <f>IFERROR(__xludf.DUMMYFUNCTION("""COMPUTED_VALUE"""),"LAKI-LAKI")</f>
        <v>LAKI-LAKI</v>
      </c>
      <c r="M2962" s="35" t="str">
        <f>IFERROR(__xludf.DUMMYFUNCTION("""COMPUTED_VALUE"""),"DUSUN NEKBARE")</f>
        <v>DUSUN NEKBARE</v>
      </c>
      <c r="N2962" s="35" t="str">
        <f>IFERROR(__xludf.DUMMYFUNCTION("""COMPUTED_VALUE"""),"BABANE")</f>
        <v>BABANE</v>
      </c>
      <c r="O2962" s="35" t="str">
        <f>IFERROR(__xludf.DUMMYFUNCTION("""COMPUTED_VALUE"""),"SAMALANTAN")</f>
        <v>SAMALANTAN</v>
      </c>
      <c r="P2962" s="35" t="str">
        <f>IFERROR(__xludf.DUMMYFUNCTION("""COMPUTED_VALUE"""),"BENGKAYANG")</f>
        <v>BENGKAYANG</v>
      </c>
      <c r="Q2962" s="35" t="str">
        <f>IFERROR(__xludf.DUMMYFUNCTION("""COMPUTED_VALUE"""),"KALIMANTAN BARAT")</f>
        <v>KALIMANTAN BARAT</v>
      </c>
      <c r="R2962" s="21" t="str">
        <f>IFERROR(__xludf.DUMMYFUNCTION("""COMPUTED_VALUE"""),"PROTESTAN")</f>
        <v>PROTESTAN</v>
      </c>
      <c r="S2962" s="74" t="str">
        <f>IFERROR(__xludf.DUMMYFUNCTION("""COMPUTED_VALUE"""),"PELAJAR")</f>
        <v>PELAJAR</v>
      </c>
      <c r="T2962" s="35" t="str">
        <f>IFERROR(__xludf.DUMMYFUNCTION("""COMPUTED_VALUE"""),"NYERI SENDI KAKI")</f>
        <v>NYERI SENDI KAKI</v>
      </c>
      <c r="U2962" s="35" t="str">
        <f>IFERROR(__xludf.DUMMYFUNCTION("""COMPUTED_VALUE"""),"OLAHRAGA, NAIK TURUN TANGGA")</f>
        <v>OLAHRAGA, NAIK TURUN TANGGA</v>
      </c>
      <c r="V2962" s="37" t="str">
        <f>IFERROR(__xludf.DUMMYFUNCTION("""COMPUTED_VALUE"""),"085245702304")</f>
        <v>085245702304</v>
      </c>
      <c r="W2962" s="45"/>
    </row>
    <row r="2963">
      <c r="A2963" s="45"/>
      <c r="B2963" s="24" t="str">
        <f>IFERROR(__xludf.DUMMYFUNCTION("""COMPUTED_VALUE"""),"14/10/2025 13:12:53")</f>
        <v>14/10/2025 13:12:53</v>
      </c>
      <c r="C2963" s="35"/>
      <c r="D2963" s="10">
        <f>IFERROR(__xludf.DUMMYFUNCTION("""COMPUTED_VALUE"""),45944.0)</f>
        <v>45944</v>
      </c>
      <c r="E2963" s="35" t="str">
        <f>IFERROR(__xludf.DUMMYFUNCTION("""COMPUTED_VALUE"""),"10Okt")</f>
        <v>10Okt</v>
      </c>
      <c r="F2963" s="34" t="str">
        <f>IFERROR(__xludf.DUMMYFUNCTION("""COMPUTED_VALUE"""),"2025")</f>
        <v>2025</v>
      </c>
      <c r="G2963" s="35" t="str">
        <f>IFERROR(__xludf.DUMMYFUNCTION("""COMPUTED_VALUE"""),"MULLY ENDAH PRATIWI")</f>
        <v>MULLY ENDAH PRATIWI</v>
      </c>
      <c r="H2963" s="35" t="str">
        <f>IFERROR(__xludf.DUMMYFUNCTION("""COMPUTED_VALUE"""),"M7825100800")</f>
        <v>M7825100800</v>
      </c>
      <c r="I2963" s="35">
        <f>IFERROR(__xludf.DUMMYFUNCTION("""COMPUTED_VALUE"""),48.0)</f>
        <v>48</v>
      </c>
      <c r="J2963" s="35" t="str">
        <f>IFERROR(__xludf.DUMMYFUNCTION("""COMPUTED_VALUE"""),"&gt; 44 tahun")</f>
        <v>&gt; 44 tahun</v>
      </c>
      <c r="K2963" s="21" t="str">
        <f>IFERROR(__xludf.DUMMYFUNCTION("""COMPUTED_VALUE"""),"23/03/1978")</f>
        <v>23/03/1978</v>
      </c>
      <c r="L2963" s="21" t="str">
        <f>IFERROR(__xludf.DUMMYFUNCTION("""COMPUTED_VALUE"""),"PEREMPUAN")</f>
        <v>PEREMPUAN</v>
      </c>
      <c r="M2963" s="35" t="str">
        <f>IFERROR(__xludf.DUMMYFUNCTION("""COMPUTED_VALUE"""),"JALAN TIMOR NO 69")</f>
        <v>JALAN TIMOR NO 69</v>
      </c>
      <c r="N2963" s="35" t="str">
        <f>IFERROR(__xludf.DUMMYFUNCTION("""COMPUTED_VALUE"""),"KELURAHAN AKCAYA")</f>
        <v>KELURAHAN AKCAYA</v>
      </c>
      <c r="O2963" s="35" t="str">
        <f>IFERROR(__xludf.DUMMYFUNCTION("""COMPUTED_VALUE"""),"PONTIANAK SELATAN")</f>
        <v>PONTIANAK SELATAN</v>
      </c>
      <c r="P2963" s="35" t="str">
        <f>IFERROR(__xludf.DUMMYFUNCTION("""COMPUTED_VALUE"""),"KOTA PONTIANAK")</f>
        <v>KOTA PONTIANAK</v>
      </c>
      <c r="Q2963" s="35" t="str">
        <f>IFERROR(__xludf.DUMMYFUNCTION("""COMPUTED_VALUE"""),"KALIMANTAN BARAT")</f>
        <v>KALIMANTAN BARAT</v>
      </c>
      <c r="R2963" s="21" t="str">
        <f>IFERROR(__xludf.DUMMYFUNCTION("""COMPUTED_VALUE"""),"ISLAM")</f>
        <v>ISLAM</v>
      </c>
      <c r="S2963" s="74" t="str">
        <f>IFERROR(__xludf.DUMMYFUNCTION("""COMPUTED_VALUE"""),"ASN")</f>
        <v>ASN</v>
      </c>
      <c r="T2963" s="35" t="str">
        <f>IFERROR(__xludf.DUMMYFUNCTION("""COMPUTED_VALUE"""),"NYERI DI LENGAN KANAN")</f>
        <v>NYERI DI LENGAN KANAN</v>
      </c>
      <c r="U2963" s="35" t="str">
        <f>IFERROR(__xludf.DUMMYFUNCTION("""COMPUTED_VALUE"""),"BEKERJA DI DEPAN KOMPUTER")</f>
        <v>BEKERJA DI DEPAN KOMPUTER</v>
      </c>
      <c r="V2963" s="37" t="str">
        <f>IFERROR(__xludf.DUMMYFUNCTION("""COMPUTED_VALUE"""),"08115750800")</f>
        <v>08115750800</v>
      </c>
      <c r="W2963" s="45"/>
    </row>
    <row r="2964">
      <c r="A2964" s="45"/>
      <c r="B2964" s="24" t="str">
        <f>IFERROR(__xludf.DUMMYFUNCTION("""COMPUTED_VALUE"""),"15/10/2025 9:38:40")</f>
        <v>15/10/2025 9:38:40</v>
      </c>
      <c r="C2964" s="35"/>
      <c r="D2964" s="10">
        <f>IFERROR(__xludf.DUMMYFUNCTION("""COMPUTED_VALUE"""),45945.0)</f>
        <v>45945</v>
      </c>
      <c r="E2964" s="35" t="str">
        <f>IFERROR(__xludf.DUMMYFUNCTION("""COMPUTED_VALUE"""),"10Okt")</f>
        <v>10Okt</v>
      </c>
      <c r="F2964" s="34" t="str">
        <f>IFERROR(__xludf.DUMMYFUNCTION("""COMPUTED_VALUE"""),"2025")</f>
        <v>2025</v>
      </c>
      <c r="G2964" s="35" t="str">
        <f>IFERROR(__xludf.DUMMYFUNCTION("""COMPUTED_VALUE"""),"FIKA DWI MEILISA")</f>
        <v>FIKA DWI MEILISA</v>
      </c>
      <c r="H2964" s="35" t="str">
        <f>IFERROR(__xludf.DUMMYFUNCTION("""COMPUTED_VALUE"""),"F0625102235")</f>
        <v>F0625102235</v>
      </c>
      <c r="I2964" s="35">
        <f>IFERROR(__xludf.DUMMYFUNCTION("""COMPUTED_VALUE"""),20.0)</f>
        <v>20</v>
      </c>
      <c r="J2964" s="35" t="str">
        <f>IFERROR(__xludf.DUMMYFUNCTION("""COMPUTED_VALUE"""),"18-24 tahun")</f>
        <v>18-24 tahun</v>
      </c>
      <c r="K2964" s="21" t="str">
        <f>IFERROR(__xludf.DUMMYFUNCTION("""COMPUTED_VALUE"""),"02/05/2006")</f>
        <v>02/05/2006</v>
      </c>
      <c r="L2964" s="21" t="str">
        <f>IFERROR(__xludf.DUMMYFUNCTION("""COMPUTED_VALUE"""),"PEREMPUAN")</f>
        <v>PEREMPUAN</v>
      </c>
      <c r="M2964" s="35" t="str">
        <f>IFERROR(__xludf.DUMMYFUNCTION("""COMPUTED_VALUE"""),"DUSUN BOGO RT02/01 DS.BOGO KEC.KAPAS")</f>
        <v>DUSUN BOGO RT02/01 DS.BOGO KEC.KAPAS</v>
      </c>
      <c r="N2964" s="35" t="str">
        <f>IFERROR(__xludf.DUMMYFUNCTION("""COMPUTED_VALUE"""),"BOGO")</f>
        <v>BOGO</v>
      </c>
      <c r="O2964" s="35" t="str">
        <f>IFERROR(__xludf.DUMMYFUNCTION("""COMPUTED_VALUE"""),"KAPAS")</f>
        <v>KAPAS</v>
      </c>
      <c r="P2964" s="35" t="str">
        <f>IFERROR(__xludf.DUMMYFUNCTION("""COMPUTED_VALUE"""),"BOJONEGORO")</f>
        <v>BOJONEGORO</v>
      </c>
      <c r="Q2964" s="35" t="str">
        <f>IFERROR(__xludf.DUMMYFUNCTION("""COMPUTED_VALUE"""),"JAWA TIMUR")</f>
        <v>JAWA TIMUR</v>
      </c>
      <c r="R2964" s="21" t="str">
        <f>IFERROR(__xludf.DUMMYFUNCTION("""COMPUTED_VALUE"""),"ISLAM")</f>
        <v>ISLAM</v>
      </c>
      <c r="S2964" s="74" t="str">
        <f>IFERROR(__xludf.DUMMYFUNCTION("""COMPUTED_VALUE"""),"KARYAWAN SWASTA")</f>
        <v>KARYAWAN SWASTA</v>
      </c>
      <c r="T2964" s="35" t="str">
        <f>IFERROR(__xludf.DUMMYFUNCTION("""COMPUTED_VALUE"""),"TANGAN KANAN SAKIT TIDAK BISA DIANGKAT")</f>
        <v>TANGAN KANAN SAKIT TIDAK BISA DIANGKAT</v>
      </c>
      <c r="U2964" s="35" t="str">
        <f>IFERROR(__xludf.DUMMYFUNCTION("""COMPUTED_VALUE"""),"MEMBUAT CROISSANT RAMBUT YG MENGHARUSKAN MENGANGKAT TANGAN")</f>
        <v>MEMBUAT CROISSANT RAMBUT YG MENGHARUSKAN MENGANGKAT TANGAN</v>
      </c>
      <c r="V2964" s="37" t="str">
        <f>IFERROR(__xludf.DUMMYFUNCTION("""COMPUTED_VALUE"""),"085730082235")</f>
        <v>085730082235</v>
      </c>
      <c r="W2964" s="45"/>
    </row>
    <row r="2965">
      <c r="A2965" s="45"/>
      <c r="B2965" s="24" t="str">
        <f>IFERROR(__xludf.DUMMYFUNCTION("""COMPUTED_VALUE"""),"15/10/2025 13:27:00")</f>
        <v>15/10/2025 13:27:00</v>
      </c>
      <c r="C2965" s="35"/>
      <c r="D2965" s="10">
        <f>IFERROR(__xludf.DUMMYFUNCTION("""COMPUTED_VALUE"""),45945.0)</f>
        <v>45945</v>
      </c>
      <c r="E2965" s="35" t="str">
        <f>IFERROR(__xludf.DUMMYFUNCTION("""COMPUTED_VALUE"""),"10Okt")</f>
        <v>10Okt</v>
      </c>
      <c r="F2965" s="34" t="str">
        <f>IFERROR(__xludf.DUMMYFUNCTION("""COMPUTED_VALUE"""),"2025")</f>
        <v>2025</v>
      </c>
      <c r="G2965" s="35" t="str">
        <f>IFERROR(__xludf.DUMMYFUNCTION("""COMPUTED_VALUE"""),"RASIANI")</f>
        <v>RASIANI</v>
      </c>
      <c r="H2965" s="35" t="str">
        <f>IFERROR(__xludf.DUMMYFUNCTION("""COMPUTED_VALUE"""),"R8125102726")</f>
        <v>R8125102726</v>
      </c>
      <c r="I2965" s="35">
        <f>IFERROR(__xludf.DUMMYFUNCTION("""COMPUTED_VALUE"""),45.0)</f>
        <v>45</v>
      </c>
      <c r="J2965" s="35" t="str">
        <f>IFERROR(__xludf.DUMMYFUNCTION("""COMPUTED_VALUE"""),"&gt; 44 tahun")</f>
        <v>&gt; 44 tahun</v>
      </c>
      <c r="K2965" s="21" t="str">
        <f>IFERROR(__xludf.DUMMYFUNCTION("""COMPUTED_VALUE"""),"01/01/1981")</f>
        <v>01/01/1981</v>
      </c>
      <c r="L2965" s="21" t="str">
        <f>IFERROR(__xludf.DUMMYFUNCTION("""COMPUTED_VALUE"""),"PEREMPUAN")</f>
        <v>PEREMPUAN</v>
      </c>
      <c r="M2965" s="35" t="str">
        <f>IFERROR(__xludf.DUMMYFUNCTION("""COMPUTED_VALUE"""),"JALAN SELAT PANJANG")</f>
        <v>JALAN SELAT PANJANG</v>
      </c>
      <c r="N2965" s="35" t="str">
        <f>IFERROR(__xludf.DUMMYFUNCTION("""COMPUTED_VALUE"""),"SIANTAN HULU")</f>
        <v>SIANTAN HULU</v>
      </c>
      <c r="O2965" s="35" t="str">
        <f>IFERROR(__xludf.DUMMYFUNCTION("""COMPUTED_VALUE"""),"PONTIANAK UTARA")</f>
        <v>PONTIANAK UTARA</v>
      </c>
      <c r="P2965" s="35" t="str">
        <f>IFERROR(__xludf.DUMMYFUNCTION("""COMPUTED_VALUE"""),"PONTIANAK")</f>
        <v>PONTIANAK</v>
      </c>
      <c r="Q2965" s="35" t="str">
        <f>IFERROR(__xludf.DUMMYFUNCTION("""COMPUTED_VALUE"""),"KALBAR")</f>
        <v>KALBAR</v>
      </c>
      <c r="R2965" s="21" t="str">
        <f>IFERROR(__xludf.DUMMYFUNCTION("""COMPUTED_VALUE"""),"ISLAM")</f>
        <v>ISLAM</v>
      </c>
      <c r="S2965" s="74" t="str">
        <f>IFERROR(__xludf.DUMMYFUNCTION("""COMPUTED_VALUE"""),"IBU RUMAH TANGGA")</f>
        <v>IBU RUMAH TANGGA</v>
      </c>
      <c r="T2965" s="35" t="str">
        <f>IFERROR(__xludf.DUMMYFUNCTION("""COMPUTED_VALUE"""),"SAKIT KAKI")</f>
        <v>SAKIT KAKI</v>
      </c>
      <c r="U2965" s="35" t="str">
        <f>IFERROR(__xludf.DUMMYFUNCTION("""COMPUTED_VALUE"""),"JAIT")</f>
        <v>JAIT</v>
      </c>
      <c r="V2965" s="37" t="str">
        <f>IFERROR(__xludf.DUMMYFUNCTION("""COMPUTED_VALUE"""),"089502462726")</f>
        <v>089502462726</v>
      </c>
      <c r="W2965" s="45"/>
    </row>
    <row r="2966">
      <c r="A2966" s="45"/>
      <c r="B2966" s="24" t="str">
        <f>IFERROR(__xludf.DUMMYFUNCTION("""COMPUTED_VALUE"""),"15/10/2025 16:55:22")</f>
        <v>15/10/2025 16:55:22</v>
      </c>
      <c r="C2966" s="35"/>
      <c r="D2966" s="10">
        <f>IFERROR(__xludf.DUMMYFUNCTION("""COMPUTED_VALUE"""),45945.0)</f>
        <v>45945</v>
      </c>
      <c r="E2966" s="35" t="str">
        <f>IFERROR(__xludf.DUMMYFUNCTION("""COMPUTED_VALUE"""),"10Okt")</f>
        <v>10Okt</v>
      </c>
      <c r="F2966" s="34" t="str">
        <f>IFERROR(__xludf.DUMMYFUNCTION("""COMPUTED_VALUE"""),"2025")</f>
        <v>2025</v>
      </c>
      <c r="G2966" s="35" t="str">
        <f>IFERROR(__xludf.DUMMYFUNCTION("""COMPUTED_VALUE"""),"RICKY ISKANDAR")</f>
        <v>RICKY ISKANDAR</v>
      </c>
      <c r="H2966" s="35" t="str">
        <f>IFERROR(__xludf.DUMMYFUNCTION("""COMPUTED_VALUE"""),"R8825109439")</f>
        <v>R8825109439</v>
      </c>
      <c r="I2966" s="35">
        <f>IFERROR(__xludf.DUMMYFUNCTION("""COMPUTED_VALUE"""),38.0)</f>
        <v>38</v>
      </c>
      <c r="J2966" s="35" t="str">
        <f>IFERROR(__xludf.DUMMYFUNCTION("""COMPUTED_VALUE"""),"35-44 tahun")</f>
        <v>35-44 tahun</v>
      </c>
      <c r="K2966" s="21" t="str">
        <f>IFERROR(__xludf.DUMMYFUNCTION("""COMPUTED_VALUE"""),"14/04/1988")</f>
        <v>14/04/1988</v>
      </c>
      <c r="L2966" s="21" t="str">
        <f>IFERROR(__xludf.DUMMYFUNCTION("""COMPUTED_VALUE"""),"LAKI-LAKI")</f>
        <v>LAKI-LAKI</v>
      </c>
      <c r="M2966" s="35" t="str">
        <f>IFERROR(__xludf.DUMMYFUNCTION("""COMPUTED_VALUE"""),"JL. SUPRAPTO 2 NO. 27")</f>
        <v>JL. SUPRAPTO 2 NO. 27</v>
      </c>
      <c r="N2966" s="35" t="str">
        <f>IFERROR(__xludf.DUMMYFUNCTION("""COMPUTED_VALUE"""),"BENUA MELAYU DARAT")</f>
        <v>BENUA MELAYU DARAT</v>
      </c>
      <c r="O2966" s="35" t="str">
        <f>IFERROR(__xludf.DUMMYFUNCTION("""COMPUTED_VALUE"""),"PONTIANAK SELATAN")</f>
        <v>PONTIANAK SELATAN</v>
      </c>
      <c r="P2966" s="35" t="str">
        <f>IFERROR(__xludf.DUMMYFUNCTION("""COMPUTED_VALUE"""),"KOTA PONTIANAK")</f>
        <v>KOTA PONTIANAK</v>
      </c>
      <c r="Q2966" s="35" t="str">
        <f>IFERROR(__xludf.DUMMYFUNCTION("""COMPUTED_VALUE"""),"KALIMANTAN BARAT")</f>
        <v>KALIMANTAN BARAT</v>
      </c>
      <c r="R2966" s="21" t="str">
        <f>IFERROR(__xludf.DUMMYFUNCTION("""COMPUTED_VALUE"""),"KATOLIK")</f>
        <v>KATOLIK</v>
      </c>
      <c r="S2966" s="74" t="str">
        <f>IFERROR(__xludf.DUMMYFUNCTION("""COMPUTED_VALUE"""),"KARYAWAN SWASTA")</f>
        <v>KARYAWAN SWASTA</v>
      </c>
      <c r="T2966" s="35" t="str">
        <f>IFERROR(__xludf.DUMMYFUNCTION("""COMPUTED_VALUE"""),"ASSESSMENT BADAN UNTUK PERSIAPAN LARI MARATON")</f>
        <v>ASSESSMENT BADAN UNTUK PERSIAPAN LARI MARATON</v>
      </c>
      <c r="U2966" s="35" t="str">
        <f>IFERROR(__xludf.DUMMYFUNCTION("""COMPUTED_VALUE"""),"LARI")</f>
        <v>LARI</v>
      </c>
      <c r="V2966" s="37" t="str">
        <f>IFERROR(__xludf.DUMMYFUNCTION("""COMPUTED_VALUE"""),"08195619439")</f>
        <v>08195619439</v>
      </c>
      <c r="W2966" s="45"/>
    </row>
    <row r="2967">
      <c r="A2967" s="45"/>
      <c r="B2967" s="24" t="str">
        <f>IFERROR(__xludf.DUMMYFUNCTION("""COMPUTED_VALUE"""),"15/10/2025 19:35:55")</f>
        <v>15/10/2025 19:35:55</v>
      </c>
      <c r="C2967" s="35"/>
      <c r="D2967" s="10">
        <f>IFERROR(__xludf.DUMMYFUNCTION("""COMPUTED_VALUE"""),45946.0)</f>
        <v>45946</v>
      </c>
      <c r="E2967" s="35" t="str">
        <f>IFERROR(__xludf.DUMMYFUNCTION("""COMPUTED_VALUE"""),"10Okt")</f>
        <v>10Okt</v>
      </c>
      <c r="F2967" s="34" t="str">
        <f>IFERROR(__xludf.DUMMYFUNCTION("""COMPUTED_VALUE"""),"2025")</f>
        <v>2025</v>
      </c>
      <c r="G2967" s="35" t="str">
        <f>IFERROR(__xludf.DUMMYFUNCTION("""COMPUTED_VALUE"""),"UTIN ROSWITA")</f>
        <v>UTIN ROSWITA</v>
      </c>
      <c r="H2967" s="35" t="str">
        <f>IFERROR(__xludf.DUMMYFUNCTION("""COMPUTED_VALUE"""),"U6125104228")</f>
        <v>U6125104228</v>
      </c>
      <c r="I2967" s="35">
        <f>IFERROR(__xludf.DUMMYFUNCTION("""COMPUTED_VALUE"""),64.0)</f>
        <v>64</v>
      </c>
      <c r="J2967" s="35" t="str">
        <f>IFERROR(__xludf.DUMMYFUNCTION("""COMPUTED_VALUE"""),"&gt; 44 tahun")</f>
        <v>&gt; 44 tahun</v>
      </c>
      <c r="K2967" s="21" t="str">
        <f>IFERROR(__xludf.DUMMYFUNCTION("""COMPUTED_VALUE"""),"26/08/1961")</f>
        <v>26/08/1961</v>
      </c>
      <c r="L2967" s="21" t="str">
        <f>IFERROR(__xludf.DUMMYFUNCTION("""COMPUTED_VALUE"""),"PEREMPUAN")</f>
        <v>PEREMPUAN</v>
      </c>
      <c r="M2967" s="35" t="str">
        <f>IFERROR(__xludf.DUMMYFUNCTION("""COMPUTED_VALUE"""),"JL RAYA RADEN KUSNO BTN BHAYANGKARA MEMPAWAH")</f>
        <v>JL RAYA RADEN KUSNO BTN BHAYANGKARA MEMPAWAH</v>
      </c>
      <c r="N2967" s="35" t="str">
        <f>IFERROR(__xludf.DUMMYFUNCTION("""COMPUTED_VALUE"""),"TERUSAN")</f>
        <v>TERUSAN</v>
      </c>
      <c r="O2967" s="35" t="str">
        <f>IFERROR(__xludf.DUMMYFUNCTION("""COMPUTED_VALUE"""),"MEMPAWAH HILIR")</f>
        <v>MEMPAWAH HILIR</v>
      </c>
      <c r="P2967" s="35" t="str">
        <f>IFERROR(__xludf.DUMMYFUNCTION("""COMPUTED_VALUE"""),"MEMPAWAH")</f>
        <v>MEMPAWAH</v>
      </c>
      <c r="Q2967" s="35" t="str">
        <f>IFERROR(__xludf.DUMMYFUNCTION("""COMPUTED_VALUE"""),"KALIMANTAN BARAT")</f>
        <v>KALIMANTAN BARAT</v>
      </c>
      <c r="R2967" s="21" t="str">
        <f>IFERROR(__xludf.DUMMYFUNCTION("""COMPUTED_VALUE"""),"ISLAM")</f>
        <v>ISLAM</v>
      </c>
      <c r="S2967" s="74" t="str">
        <f>IFERROR(__xludf.DUMMYFUNCTION("""COMPUTED_VALUE"""),"PENSIUNAN GURU PNS")</f>
        <v>PENSIUNAN GURU PNS</v>
      </c>
      <c r="T2967" s="35" t="str">
        <f>IFERROR(__xludf.DUMMYFUNCTION("""COMPUTED_VALUE"""),"NYERI TANGAN KIRI")</f>
        <v>NYERI TANGAN KIRI</v>
      </c>
      <c r="U2967" s="35" t="str">
        <f>IFERROR(__xludf.DUMMYFUNCTION("""COMPUTED_VALUE"""),"-")</f>
        <v>-</v>
      </c>
      <c r="V2967" s="37" t="str">
        <f>IFERROR(__xludf.DUMMYFUNCTION("""COMPUTED_VALUE"""),"081256584228")</f>
        <v>081256584228</v>
      </c>
      <c r="W2967" s="45"/>
    </row>
    <row r="2968">
      <c r="A2968" s="45"/>
      <c r="B2968" s="24" t="str">
        <f>IFERROR(__xludf.DUMMYFUNCTION("""COMPUTED_VALUE"""),"15/10/2025 22:11:29")</f>
        <v>15/10/2025 22:11:29</v>
      </c>
      <c r="C2968" s="35"/>
      <c r="D2968" s="10">
        <f>IFERROR(__xludf.DUMMYFUNCTION("""COMPUTED_VALUE"""),45946.0)</f>
        <v>45946</v>
      </c>
      <c r="E2968" s="35" t="str">
        <f>IFERROR(__xludf.DUMMYFUNCTION("""COMPUTED_VALUE"""),"10Okt")</f>
        <v>10Okt</v>
      </c>
      <c r="F2968" s="34" t="str">
        <f>IFERROR(__xludf.DUMMYFUNCTION("""COMPUTED_VALUE"""),"2025")</f>
        <v>2025</v>
      </c>
      <c r="G2968" s="35" t="str">
        <f>IFERROR(__xludf.DUMMYFUNCTION("""COMPUTED_VALUE"""),"FITRIYANI")</f>
        <v>FITRIYANI</v>
      </c>
      <c r="H2968" s="35" t="str">
        <f>IFERROR(__xludf.DUMMYFUNCTION("""COMPUTED_VALUE"""),"F8825103616")</f>
        <v>F8825103616</v>
      </c>
      <c r="I2968" s="35">
        <f>IFERROR(__xludf.DUMMYFUNCTION("""COMPUTED_VALUE"""),38.0)</f>
        <v>38</v>
      </c>
      <c r="J2968" s="35" t="str">
        <f>IFERROR(__xludf.DUMMYFUNCTION("""COMPUTED_VALUE"""),"35-44 tahun")</f>
        <v>35-44 tahun</v>
      </c>
      <c r="K2968" s="21" t="str">
        <f>IFERROR(__xludf.DUMMYFUNCTION("""COMPUTED_VALUE"""),"16/05/1988")</f>
        <v>16/05/1988</v>
      </c>
      <c r="L2968" s="21" t="str">
        <f>IFERROR(__xludf.DUMMYFUNCTION("""COMPUTED_VALUE"""),"PEREMPUAN")</f>
        <v>PEREMPUAN</v>
      </c>
      <c r="M2968" s="35" t="str">
        <f>IFERROR(__xludf.DUMMYFUNCTION("""COMPUTED_VALUE"""),"JL.PURNAMA GG.PERINTIS NO.6")</f>
        <v>JL.PURNAMA GG.PERINTIS NO.6</v>
      </c>
      <c r="N2968" s="35" t="str">
        <f>IFERROR(__xludf.DUMMYFUNCTION("""COMPUTED_VALUE"""),"AKCAYA")</f>
        <v>AKCAYA</v>
      </c>
      <c r="O2968" s="35" t="str">
        <f>IFERROR(__xludf.DUMMYFUNCTION("""COMPUTED_VALUE"""),"PONTIANAK SELATAN")</f>
        <v>PONTIANAK SELATAN</v>
      </c>
      <c r="P2968" s="35" t="str">
        <f>IFERROR(__xludf.DUMMYFUNCTION("""COMPUTED_VALUE"""),"PONTIANAK")</f>
        <v>PONTIANAK</v>
      </c>
      <c r="Q2968" s="35" t="str">
        <f>IFERROR(__xludf.DUMMYFUNCTION("""COMPUTED_VALUE"""),"KALIMANTAN BARAT")</f>
        <v>KALIMANTAN BARAT</v>
      </c>
      <c r="R2968" s="21" t="str">
        <f>IFERROR(__xludf.DUMMYFUNCTION("""COMPUTED_VALUE"""),"ISLAM")</f>
        <v>ISLAM</v>
      </c>
      <c r="S2968" s="74" t="str">
        <f>IFERROR(__xludf.DUMMYFUNCTION("""COMPUTED_VALUE"""),"PEGAWAI SWASTA")</f>
        <v>PEGAWAI SWASTA</v>
      </c>
      <c r="T2968" s="35" t="str">
        <f>IFERROR(__xludf.DUMMYFUNCTION("""COMPUTED_VALUE"""),"SAKIT PINGGANG")</f>
        <v>SAKIT PINGGANG</v>
      </c>
      <c r="U2968" s="35" t="str">
        <f>IFERROR(__xludf.DUMMYFUNCTION("""COMPUTED_VALUE"""),"BADMINTON")</f>
        <v>BADMINTON</v>
      </c>
      <c r="V2968" s="37" t="str">
        <f>IFERROR(__xludf.DUMMYFUNCTION("""COMPUTED_VALUE"""),"0816883616")</f>
        <v>0816883616</v>
      </c>
      <c r="W2968" s="45"/>
    </row>
    <row r="2969">
      <c r="A2969" s="45"/>
      <c r="B2969" s="24" t="str">
        <f>IFERROR(__xludf.DUMMYFUNCTION("""COMPUTED_VALUE"""),"16/10/2025 8:34:25")</f>
        <v>16/10/2025 8:34:25</v>
      </c>
      <c r="C2969" s="35"/>
      <c r="D2969" s="10">
        <f>IFERROR(__xludf.DUMMYFUNCTION("""COMPUTED_VALUE"""),45946.0)</f>
        <v>45946</v>
      </c>
      <c r="E2969" s="35" t="str">
        <f>IFERROR(__xludf.DUMMYFUNCTION("""COMPUTED_VALUE"""),"10Okt")</f>
        <v>10Okt</v>
      </c>
      <c r="F2969" s="34" t="str">
        <f>IFERROR(__xludf.DUMMYFUNCTION("""COMPUTED_VALUE"""),"2025")</f>
        <v>2025</v>
      </c>
      <c r="G2969" s="35" t="str">
        <f>IFERROR(__xludf.DUMMYFUNCTION("""COMPUTED_VALUE"""),"AHMAD ZAINI")</f>
        <v>AHMAD ZAINI</v>
      </c>
      <c r="H2969" s="35" t="str">
        <f>IFERROR(__xludf.DUMMYFUNCTION("""COMPUTED_VALUE"""),"A2325109493")</f>
        <v>A2325109493</v>
      </c>
      <c r="I2969" s="35">
        <f>IFERROR(__xludf.DUMMYFUNCTION("""COMPUTED_VALUE"""),3.0)</f>
        <v>3</v>
      </c>
      <c r="J2969" s="35" t="str">
        <f>IFERROR(__xludf.DUMMYFUNCTION("""COMPUTED_VALUE"""),"&lt; 18 tahun")</f>
        <v>&lt; 18 tahun</v>
      </c>
      <c r="K2969" s="21" t="str">
        <f>IFERROR(__xludf.DUMMYFUNCTION("""COMPUTED_VALUE"""),"27/01/2023")</f>
        <v>27/01/2023</v>
      </c>
      <c r="L2969" s="21" t="str">
        <f>IFERROR(__xludf.DUMMYFUNCTION("""COMPUTED_VALUE"""),"LAKI-LAKI")</f>
        <v>LAKI-LAKI</v>
      </c>
      <c r="M2969" s="35" t="str">
        <f>IFERROR(__xludf.DUMMYFUNCTION("""COMPUTED_VALUE"""),"JL CENDANA KOMPLEK ELITRA PERMAI 7 BLOK B1")</f>
        <v>JL CENDANA KOMPLEK ELITRA PERMAI 7 BLOK B1</v>
      </c>
      <c r="N2969" s="35" t="str">
        <f>IFERROR(__xludf.DUMMYFUNCTION("""COMPUTED_VALUE"""),"SUNGAI RENGAS")</f>
        <v>SUNGAI RENGAS</v>
      </c>
      <c r="O2969" s="35" t="str">
        <f>IFERROR(__xludf.DUMMYFUNCTION("""COMPUTED_VALUE"""),"SUNGAI KAKAP")</f>
        <v>SUNGAI KAKAP</v>
      </c>
      <c r="P2969" s="35" t="str">
        <f>IFERROR(__xludf.DUMMYFUNCTION("""COMPUTED_VALUE"""),"KUBU RAYA")</f>
        <v>KUBU RAYA</v>
      </c>
      <c r="Q2969" s="35" t="str">
        <f>IFERROR(__xludf.DUMMYFUNCTION("""COMPUTED_VALUE"""),"KALIMANTAN BARAT")</f>
        <v>KALIMANTAN BARAT</v>
      </c>
      <c r="R2969" s="21" t="str">
        <f>IFERROR(__xludf.DUMMYFUNCTION("""COMPUTED_VALUE"""),"ISLAM")</f>
        <v>ISLAM</v>
      </c>
      <c r="S2969" s="74" t="str">
        <f>IFERROR(__xludf.DUMMYFUNCTION("""COMPUTED_VALUE"""),"TIDAK BEKERJA")</f>
        <v>TIDAK BEKERJA</v>
      </c>
      <c r="T2969" s="35" t="str">
        <f>IFERROR(__xludf.DUMMYFUNCTION("""COMPUTED_VALUE"""),"TANGAN KIRI DAN KAKI KIRI LEMAH TIDAK BISA DI GERAKAN DENGAN BAIK.")</f>
        <v>TANGAN KIRI DAN KAKI KIRI LEMAH TIDAK BISA DI GERAKAN DENGAN BAIK.</v>
      </c>
      <c r="U2969" s="35" t="str">
        <f>IFERROR(__xludf.DUMMYFUNCTION("""COMPUTED_VALUE"""),"TIDAK ADA")</f>
        <v>TIDAK ADA</v>
      </c>
      <c r="V2969" s="37" t="str">
        <f>IFERROR(__xludf.DUMMYFUNCTION("""COMPUTED_VALUE"""),"082335419493")</f>
        <v>082335419493</v>
      </c>
      <c r="W2969" s="45"/>
    </row>
    <row r="2970">
      <c r="A2970" s="45"/>
      <c r="B2970" s="24" t="str">
        <f>IFERROR(__xludf.DUMMYFUNCTION("""COMPUTED_VALUE"""),"16/10/2025 9:24:10")</f>
        <v>16/10/2025 9:24:10</v>
      </c>
      <c r="C2970" s="35"/>
      <c r="D2970" s="10">
        <f>IFERROR(__xludf.DUMMYFUNCTION("""COMPUTED_VALUE"""),45946.0)</f>
        <v>45946</v>
      </c>
      <c r="E2970" s="35" t="str">
        <f>IFERROR(__xludf.DUMMYFUNCTION("""COMPUTED_VALUE"""),"10Okt")</f>
        <v>10Okt</v>
      </c>
      <c r="F2970" s="34" t="str">
        <f>IFERROR(__xludf.DUMMYFUNCTION("""COMPUTED_VALUE"""),"2025")</f>
        <v>2025</v>
      </c>
      <c r="G2970" s="35" t="str">
        <f>IFERROR(__xludf.DUMMYFUNCTION("""COMPUTED_VALUE"""),"HADIJAH")</f>
        <v>HADIJAH</v>
      </c>
      <c r="H2970" s="35" t="str">
        <f>IFERROR(__xludf.DUMMYFUNCTION("""COMPUTED_VALUE"""),"H6725101225")</f>
        <v>H6725101225</v>
      </c>
      <c r="I2970" s="35">
        <f>IFERROR(__xludf.DUMMYFUNCTION("""COMPUTED_VALUE"""),59.0)</f>
        <v>59</v>
      </c>
      <c r="J2970" s="35" t="str">
        <f>IFERROR(__xludf.DUMMYFUNCTION("""COMPUTED_VALUE"""),"&gt; 44 tahun")</f>
        <v>&gt; 44 tahun</v>
      </c>
      <c r="K2970" s="21" t="str">
        <f>IFERROR(__xludf.DUMMYFUNCTION("""COMPUTED_VALUE"""),"04/04/1967")</f>
        <v>04/04/1967</v>
      </c>
      <c r="L2970" s="21" t="str">
        <f>IFERROR(__xludf.DUMMYFUNCTION("""COMPUTED_VALUE"""),"PEREMPUAN")</f>
        <v>PEREMPUAN</v>
      </c>
      <c r="M2970" s="35" t="str">
        <f>IFERROR(__xludf.DUMMYFUNCTION("""COMPUTED_VALUE"""),"JL. KS. TUBUN NO 25 PUTUSIBAU")</f>
        <v>JL. KS. TUBUN NO 25 PUTUSIBAU</v>
      </c>
      <c r="N2970" s="35" t="str">
        <f>IFERROR(__xludf.DUMMYFUNCTION("""COMPUTED_VALUE"""),"PUTUSIBAU")</f>
        <v>PUTUSIBAU</v>
      </c>
      <c r="O2970" s="35" t="str">
        <f>IFERROR(__xludf.DUMMYFUNCTION("""COMPUTED_VALUE"""),"PUTUSIBAU")</f>
        <v>PUTUSIBAU</v>
      </c>
      <c r="P2970" s="35" t="str">
        <f>IFERROR(__xludf.DUMMYFUNCTION("""COMPUTED_VALUE"""),"PUTUSIBAU")</f>
        <v>PUTUSIBAU</v>
      </c>
      <c r="Q2970" s="35" t="str">
        <f>IFERROR(__xludf.DUMMYFUNCTION("""COMPUTED_VALUE"""),"KALIMANTAN BARAT")</f>
        <v>KALIMANTAN BARAT</v>
      </c>
      <c r="R2970" s="21" t="str">
        <f>IFERROR(__xludf.DUMMYFUNCTION("""COMPUTED_VALUE"""),"ISLAM")</f>
        <v>ISLAM</v>
      </c>
      <c r="S2970" s="74" t="str">
        <f>IFERROR(__xludf.DUMMYFUNCTION("""COMPUTED_VALUE"""),"IRT")</f>
        <v>IRT</v>
      </c>
      <c r="T2970" s="35" t="str">
        <f>IFERROR(__xludf.DUMMYFUNCTION("""COMPUTED_VALUE"""),"KAKI")</f>
        <v>KAKI</v>
      </c>
      <c r="U2970" s="35" t="str">
        <f>IFERROR(__xludf.DUMMYFUNCTION("""COMPUTED_VALUE"""),"-")</f>
        <v>-</v>
      </c>
      <c r="V2970" s="37" t="str">
        <f>IFERROR(__xludf.DUMMYFUNCTION("""COMPUTED_VALUE"""),"081257341225")</f>
        <v>081257341225</v>
      </c>
      <c r="W2970" s="45"/>
    </row>
    <row r="2971">
      <c r="A2971" s="45"/>
      <c r="B2971" s="24" t="str">
        <f>IFERROR(__xludf.DUMMYFUNCTION("""COMPUTED_VALUE"""),"16/10/2025 9:49:58")</f>
        <v>16/10/2025 9:49:58</v>
      </c>
      <c r="C2971" s="35"/>
      <c r="D2971" s="10">
        <f>IFERROR(__xludf.DUMMYFUNCTION("""COMPUTED_VALUE"""),45946.0)</f>
        <v>45946</v>
      </c>
      <c r="E2971" s="35" t="str">
        <f>IFERROR(__xludf.DUMMYFUNCTION("""COMPUTED_VALUE"""),"10Okt")</f>
        <v>10Okt</v>
      </c>
      <c r="F2971" s="34" t="str">
        <f>IFERROR(__xludf.DUMMYFUNCTION("""COMPUTED_VALUE"""),"2025")</f>
        <v>2025</v>
      </c>
      <c r="G2971" s="35" t="str">
        <f>IFERROR(__xludf.DUMMYFUNCTION("""COMPUTED_VALUE"""),"ROKIDI")</f>
        <v>ROKIDI</v>
      </c>
      <c r="H2971" s="35" t="str">
        <f>IFERROR(__xludf.DUMMYFUNCTION("""COMPUTED_VALUE"""),"R6625106996")</f>
        <v>R6625106996</v>
      </c>
      <c r="I2971" s="35">
        <f>IFERROR(__xludf.DUMMYFUNCTION("""COMPUTED_VALUE"""),60.0)</f>
        <v>60</v>
      </c>
      <c r="J2971" s="35" t="str">
        <f>IFERROR(__xludf.DUMMYFUNCTION("""COMPUTED_VALUE"""),"&gt; 44 tahun")</f>
        <v>&gt; 44 tahun</v>
      </c>
      <c r="K2971" s="21" t="str">
        <f>IFERROR(__xludf.DUMMYFUNCTION("""COMPUTED_VALUE"""),"29/04/1966")</f>
        <v>29/04/1966</v>
      </c>
      <c r="L2971" s="21" t="str">
        <f>IFERROR(__xludf.DUMMYFUNCTION("""COMPUTED_VALUE"""),"LAKI-LAKI")</f>
        <v>LAKI-LAKI</v>
      </c>
      <c r="M2971" s="35" t="str">
        <f>IFERROR(__xludf.DUMMYFUNCTION("""COMPUTED_VALUE"""),"JL PALAPA NO 8")</f>
        <v>JL PALAPA NO 8</v>
      </c>
      <c r="N2971" s="35" t="str">
        <f>IFERROR(__xludf.DUMMYFUNCTION("""COMPUTED_VALUE"""),"-")</f>
        <v>-</v>
      </c>
      <c r="O2971" s="35" t="str">
        <f>IFERROR(__xludf.DUMMYFUNCTION("""COMPUTED_VALUE"""),"-")</f>
        <v>-</v>
      </c>
      <c r="P2971" s="35" t="str">
        <f>IFERROR(__xludf.DUMMYFUNCTION("""COMPUTED_VALUE"""),"INDRAMAYU")</f>
        <v>INDRAMAYU</v>
      </c>
      <c r="Q2971" s="35" t="str">
        <f>IFERROR(__xludf.DUMMYFUNCTION("""COMPUTED_VALUE"""),"JAWA BARAT")</f>
        <v>JAWA BARAT</v>
      </c>
      <c r="R2971" s="21" t="str">
        <f>IFERROR(__xludf.DUMMYFUNCTION("""COMPUTED_VALUE"""),"ISLAM")</f>
        <v>ISLAM</v>
      </c>
      <c r="S2971" s="74" t="str">
        <f>IFERROR(__xludf.DUMMYFUNCTION("""COMPUTED_VALUE"""),"KARYAWAN BUMD")</f>
        <v>KARYAWAN BUMD</v>
      </c>
      <c r="T2971" s="35" t="str">
        <f>IFERROR(__xludf.DUMMYFUNCTION("""COMPUTED_VALUE"""),"-")</f>
        <v>-</v>
      </c>
      <c r="U2971" s="35" t="str">
        <f>IFERROR(__xludf.DUMMYFUNCTION("""COMPUTED_VALUE"""),"-")</f>
        <v>-</v>
      </c>
      <c r="V2971" s="37" t="str">
        <f>IFERROR(__xludf.DUMMYFUNCTION("""COMPUTED_VALUE"""),"085245416996")</f>
        <v>085245416996</v>
      </c>
      <c r="W2971" s="45"/>
    </row>
    <row r="2972">
      <c r="A2972" s="45"/>
      <c r="B2972" s="24" t="str">
        <f>IFERROR(__xludf.DUMMYFUNCTION("""COMPUTED_VALUE"""),"16/10/2025 10:08:01")</f>
        <v>16/10/2025 10:08:01</v>
      </c>
      <c r="C2972" s="35"/>
      <c r="D2972" s="10">
        <f>IFERROR(__xludf.DUMMYFUNCTION("""COMPUTED_VALUE"""),45946.0)</f>
        <v>45946</v>
      </c>
      <c r="E2972" s="35" t="str">
        <f>IFERROR(__xludf.DUMMYFUNCTION("""COMPUTED_VALUE"""),"10Okt")</f>
        <v>10Okt</v>
      </c>
      <c r="F2972" s="34" t="str">
        <f>IFERROR(__xludf.DUMMYFUNCTION("""COMPUTED_VALUE"""),"2025")</f>
        <v>2025</v>
      </c>
      <c r="G2972" s="35" t="str">
        <f>IFERROR(__xludf.DUMMYFUNCTION("""COMPUTED_VALUE"""),"ELLYSA FERONIKA HALIM")</f>
        <v>ELLYSA FERONIKA HALIM</v>
      </c>
      <c r="H2972" s="35" t="str">
        <f>IFERROR(__xludf.DUMMYFUNCTION("""COMPUTED_VALUE"""),"E9425102074")</f>
        <v>E9425102074</v>
      </c>
      <c r="I2972" s="35">
        <f>IFERROR(__xludf.DUMMYFUNCTION("""COMPUTED_VALUE"""),32.0)</f>
        <v>32</v>
      </c>
      <c r="J2972" s="35" t="str">
        <f>IFERROR(__xludf.DUMMYFUNCTION("""COMPUTED_VALUE"""),"25-34 tahun")</f>
        <v>25-34 tahun</v>
      </c>
      <c r="K2972" s="21" t="str">
        <f>IFERROR(__xludf.DUMMYFUNCTION("""COMPUTED_VALUE"""),"09/02/1994")</f>
        <v>09/02/1994</v>
      </c>
      <c r="L2972" s="21" t="str">
        <f>IFERROR(__xludf.DUMMYFUNCTION("""COMPUTED_VALUE"""),"PEREMPUAN")</f>
        <v>PEREMPUAN</v>
      </c>
      <c r="M2972" s="35" t="str">
        <f>IFERROR(__xludf.DUMMYFUNCTION("""COMPUTED_VALUE"""),"JL PUTRI CANDRAMIDI GG DWIJAYA NO 48")</f>
        <v>JL PUTRI CANDRAMIDI GG DWIJAYA NO 48</v>
      </c>
      <c r="N2972" s="35" t="str">
        <f>IFERROR(__xludf.DUMMYFUNCTION("""COMPUTED_VALUE"""),"SUNGAI BANGKONG")</f>
        <v>SUNGAI BANGKONG</v>
      </c>
      <c r="O2972" s="35" t="str">
        <f>IFERROR(__xludf.DUMMYFUNCTION("""COMPUTED_VALUE"""),"PONTIANAK KOTA")</f>
        <v>PONTIANAK KOTA</v>
      </c>
      <c r="P2972" s="35" t="str">
        <f>IFERROR(__xludf.DUMMYFUNCTION("""COMPUTED_VALUE"""),"KOTA PONTIANAK")</f>
        <v>KOTA PONTIANAK</v>
      </c>
      <c r="Q2972" s="35" t="str">
        <f>IFERROR(__xludf.DUMMYFUNCTION("""COMPUTED_VALUE"""),"KALIMANAN BARAT")</f>
        <v>KALIMANAN BARAT</v>
      </c>
      <c r="R2972" s="21" t="str">
        <f>IFERROR(__xludf.DUMMYFUNCTION("""COMPUTED_VALUE"""),"KATOLIK")</f>
        <v>KATOLIK</v>
      </c>
      <c r="S2972" s="74" t="str">
        <f>IFERROR(__xludf.DUMMYFUNCTION("""COMPUTED_VALUE"""),"PEGAWAI SWASTA")</f>
        <v>PEGAWAI SWASTA</v>
      </c>
      <c r="T2972" s="35" t="str">
        <f>IFERROR(__xludf.DUMMYFUNCTION("""COMPUTED_VALUE"""),"TENNIS ELBOW")</f>
        <v>TENNIS ELBOW</v>
      </c>
      <c r="U2972" s="35" t="str">
        <f>IFERROR(__xludf.DUMMYFUNCTION("""COMPUTED_VALUE"""),"BADMINTON")</f>
        <v>BADMINTON</v>
      </c>
      <c r="V2972" s="37" t="str">
        <f>IFERROR(__xludf.DUMMYFUNCTION("""COMPUTED_VALUE"""),"085245752074")</f>
        <v>085245752074</v>
      </c>
      <c r="W2972" s="45"/>
    </row>
    <row r="2973">
      <c r="A2973" s="45"/>
      <c r="B2973" s="24" t="str">
        <f>IFERROR(__xludf.DUMMYFUNCTION("""COMPUTED_VALUE"""),"16/10/2025 19:44:49")</f>
        <v>16/10/2025 19:44:49</v>
      </c>
      <c r="C2973" s="35"/>
      <c r="D2973" s="10">
        <f>IFERROR(__xludf.DUMMYFUNCTION("""COMPUTED_VALUE"""),45947.0)</f>
        <v>45947</v>
      </c>
      <c r="E2973" s="35" t="str">
        <f>IFERROR(__xludf.DUMMYFUNCTION("""COMPUTED_VALUE"""),"10Okt")</f>
        <v>10Okt</v>
      </c>
      <c r="F2973" s="34" t="str">
        <f>IFERROR(__xludf.DUMMYFUNCTION("""COMPUTED_VALUE"""),"2025")</f>
        <v>2025</v>
      </c>
      <c r="G2973" s="35" t="str">
        <f>IFERROR(__xludf.DUMMYFUNCTION("""COMPUTED_VALUE"""),"RICKY FARIZA LUBIS")</f>
        <v>RICKY FARIZA LUBIS</v>
      </c>
      <c r="H2973" s="35" t="str">
        <f>IFERROR(__xludf.DUMMYFUNCTION("""COMPUTED_VALUE"""),"R8125108947")</f>
        <v>R8125108947</v>
      </c>
      <c r="I2973" s="35">
        <f>IFERROR(__xludf.DUMMYFUNCTION("""COMPUTED_VALUE"""),44.0)</f>
        <v>44</v>
      </c>
      <c r="J2973" s="35" t="str">
        <f>IFERROR(__xludf.DUMMYFUNCTION("""COMPUTED_VALUE"""),"35-44 tahun")</f>
        <v>35-44 tahun</v>
      </c>
      <c r="K2973" s="21" t="str">
        <f>IFERROR(__xludf.DUMMYFUNCTION("""COMPUTED_VALUE"""),"21/11/1981")</f>
        <v>21/11/1981</v>
      </c>
      <c r="L2973" s="21" t="str">
        <f>IFERROR(__xludf.DUMMYFUNCTION("""COMPUTED_VALUE"""),"LAKI-LAKI")</f>
        <v>LAKI-LAKI</v>
      </c>
      <c r="M2973" s="35" t="str">
        <f>IFERROR(__xludf.DUMMYFUNCTION("""COMPUTED_VALUE"""),"JL. BUKU NO 27 MEDAN")</f>
        <v>JL. BUKU NO 27 MEDAN</v>
      </c>
      <c r="N2973" s="35" t="str">
        <f>IFERROR(__xludf.DUMMYFUNCTION("""COMPUTED_VALUE"""),"KEL.SEI PUTIH BARAT.")</f>
        <v>KEL.SEI PUTIH BARAT.</v>
      </c>
      <c r="O2973" s="35" t="str">
        <f>IFERROR(__xludf.DUMMYFUNCTION("""COMPUTED_VALUE"""),"MEDAN PETISAH")</f>
        <v>MEDAN PETISAH</v>
      </c>
      <c r="P2973" s="35" t="str">
        <f>IFERROR(__xludf.DUMMYFUNCTION("""COMPUTED_VALUE"""),"MEDAN")</f>
        <v>MEDAN</v>
      </c>
      <c r="Q2973" s="35" t="str">
        <f>IFERROR(__xludf.DUMMYFUNCTION("""COMPUTED_VALUE"""),"SUMATERA UTARA")</f>
        <v>SUMATERA UTARA</v>
      </c>
      <c r="R2973" s="21" t="str">
        <f>IFERROR(__xludf.DUMMYFUNCTION("""COMPUTED_VALUE"""),"ISLAM")</f>
        <v>ISLAM</v>
      </c>
      <c r="S2973" s="74" t="str">
        <f>IFERROR(__xludf.DUMMYFUNCTION("""COMPUTED_VALUE"""),"WIRASWASTA")</f>
        <v>WIRASWASTA</v>
      </c>
      <c r="T2973" s="35" t="str">
        <f>IFERROR(__xludf.DUMMYFUNCTION("""COMPUTED_VALUE"""),"LBP")</f>
        <v>LBP</v>
      </c>
      <c r="U2973" s="35" t="str">
        <f>IFERROR(__xludf.DUMMYFUNCTION("""COMPUTED_VALUE"""),"SUPERVISI LAPANGAN")</f>
        <v>SUPERVISI LAPANGAN</v>
      </c>
      <c r="V2973" s="37" t="str">
        <f>IFERROR(__xludf.DUMMYFUNCTION("""COMPUTED_VALUE"""),"08126418947")</f>
        <v>08126418947</v>
      </c>
      <c r="W2973" s="45"/>
    </row>
    <row r="2974">
      <c r="A2974" s="45"/>
      <c r="B2974" s="24" t="str">
        <f>IFERROR(__xludf.DUMMYFUNCTION("""COMPUTED_VALUE"""),"17/10/2025 17:16:15")</f>
        <v>17/10/2025 17:16:15</v>
      </c>
      <c r="C2974" s="35"/>
      <c r="D2974" s="10">
        <f>IFERROR(__xludf.DUMMYFUNCTION("""COMPUTED_VALUE"""),45947.0)</f>
        <v>45947</v>
      </c>
      <c r="E2974" s="35" t="str">
        <f>IFERROR(__xludf.DUMMYFUNCTION("""COMPUTED_VALUE"""),"10Okt")</f>
        <v>10Okt</v>
      </c>
      <c r="F2974" s="34" t="str">
        <f>IFERROR(__xludf.DUMMYFUNCTION("""COMPUTED_VALUE"""),"2025")</f>
        <v>2025</v>
      </c>
      <c r="G2974" s="35" t="str">
        <f>IFERROR(__xludf.DUMMYFUNCTION("""COMPUTED_VALUE"""),"ANDI")</f>
        <v>ANDI</v>
      </c>
      <c r="H2974" s="35" t="str">
        <f>IFERROR(__xludf.DUMMYFUNCTION("""COMPUTED_VALUE"""),"A9425105994")</f>
        <v>A9425105994</v>
      </c>
      <c r="I2974" s="35">
        <f>IFERROR(__xludf.DUMMYFUNCTION("""COMPUTED_VALUE"""),32.0)</f>
        <v>32</v>
      </c>
      <c r="J2974" s="35" t="str">
        <f>IFERROR(__xludf.DUMMYFUNCTION("""COMPUTED_VALUE"""),"25-34 tahun")</f>
        <v>25-34 tahun</v>
      </c>
      <c r="K2974" s="21" t="str">
        <f>IFERROR(__xludf.DUMMYFUNCTION("""COMPUTED_VALUE"""),"05/02/1994")</f>
        <v>05/02/1994</v>
      </c>
      <c r="L2974" s="21" t="str">
        <f>IFERROR(__xludf.DUMMYFUNCTION("""COMPUTED_VALUE"""),"LAKI-LAKI")</f>
        <v>LAKI-LAKI</v>
      </c>
      <c r="M2974" s="35" t="str">
        <f>IFERROR(__xludf.DUMMYFUNCTION("""COMPUTED_VALUE"""),"DUSUN MADU JAYA")</f>
        <v>DUSUN MADU JAYA</v>
      </c>
      <c r="N2974" s="35" t="str">
        <f>IFERROR(__xludf.DUMMYFUNCTION("""COMPUTED_VALUE"""),"PASAK")</f>
        <v>PASAK</v>
      </c>
      <c r="O2974" s="35" t="str">
        <f>IFERROR(__xludf.DUMMYFUNCTION("""COMPUTED_VALUE"""),"SUNGAI AMBAWANG")</f>
        <v>SUNGAI AMBAWANG</v>
      </c>
      <c r="P2974" s="35" t="str">
        <f>IFERROR(__xludf.DUMMYFUNCTION("""COMPUTED_VALUE"""),"KUBURAYA")</f>
        <v>KUBURAYA</v>
      </c>
      <c r="Q2974" s="35" t="str">
        <f>IFERROR(__xludf.DUMMYFUNCTION("""COMPUTED_VALUE"""),"KALIMANTAN BARAT")</f>
        <v>KALIMANTAN BARAT</v>
      </c>
      <c r="R2974" s="21" t="str">
        <f>IFERROR(__xludf.DUMMYFUNCTION("""COMPUTED_VALUE"""),"ISLAM")</f>
        <v>ISLAM</v>
      </c>
      <c r="S2974" s="74" t="str">
        <f>IFERROR(__xludf.DUMMYFUNCTION("""COMPUTED_VALUE"""),"KARYAWAN SWASTA")</f>
        <v>KARYAWAN SWASTA</v>
      </c>
      <c r="T2974" s="35" t="str">
        <f>IFERROR(__xludf.DUMMYFUNCTION("""COMPUTED_VALUE"""),"LUTUT")</f>
        <v>LUTUT</v>
      </c>
      <c r="U2974" s="35" t="str">
        <f>IFERROR(__xludf.DUMMYFUNCTION("""COMPUTED_VALUE"""),"OLAGRAGA")</f>
        <v>OLAGRAGA</v>
      </c>
      <c r="V2974" s="37" t="str">
        <f>IFERROR(__xludf.DUMMYFUNCTION("""COMPUTED_VALUE"""),"085845585994")</f>
        <v>085845585994</v>
      </c>
      <c r="W2974" s="45"/>
    </row>
    <row r="2975">
      <c r="A2975" s="45"/>
      <c r="B2975" s="24" t="str">
        <f>IFERROR(__xludf.DUMMYFUNCTION("""COMPUTED_VALUE"""),"18/10/2025 9:18:38")</f>
        <v>18/10/2025 9:18:38</v>
      </c>
      <c r="C2975" s="35"/>
      <c r="D2975" s="10">
        <f>IFERROR(__xludf.DUMMYFUNCTION("""COMPUTED_VALUE"""),45948.0)</f>
        <v>45948</v>
      </c>
      <c r="E2975" s="35" t="str">
        <f>IFERROR(__xludf.DUMMYFUNCTION("""COMPUTED_VALUE"""),"10Okt")</f>
        <v>10Okt</v>
      </c>
      <c r="F2975" s="34" t="str">
        <f>IFERROR(__xludf.DUMMYFUNCTION("""COMPUTED_VALUE"""),"2025")</f>
        <v>2025</v>
      </c>
      <c r="G2975" s="35" t="str">
        <f>IFERROR(__xludf.DUMMYFUNCTION("""COMPUTED_VALUE"""),"RECKI SEPTIANDA")</f>
        <v>RECKI SEPTIANDA</v>
      </c>
      <c r="H2975" s="35" t="str">
        <f>IFERROR(__xludf.DUMMYFUNCTION("""COMPUTED_VALUE"""),"R9625105757")</f>
        <v>R9625105757</v>
      </c>
      <c r="I2975" s="35">
        <f>IFERROR(__xludf.DUMMYFUNCTION("""COMPUTED_VALUE"""),29.0)</f>
        <v>29</v>
      </c>
      <c r="J2975" s="35" t="str">
        <f>IFERROR(__xludf.DUMMYFUNCTION("""COMPUTED_VALUE"""),"25-34 tahun")</f>
        <v>25-34 tahun</v>
      </c>
      <c r="K2975" s="21" t="str">
        <f>IFERROR(__xludf.DUMMYFUNCTION("""COMPUTED_VALUE"""),"24/09/1996")</f>
        <v>24/09/1996</v>
      </c>
      <c r="L2975" s="21" t="str">
        <f>IFERROR(__xludf.DUMMYFUNCTION("""COMPUTED_VALUE"""),"LAKI-LAKI")</f>
        <v>LAKI-LAKI</v>
      </c>
      <c r="M2975" s="35" t="str">
        <f>IFERROR(__xludf.DUMMYFUNCTION("""COMPUTED_VALUE"""),"JL ADI SUCIPTO")</f>
        <v>JL ADI SUCIPTO</v>
      </c>
      <c r="N2975" s="35" t="str">
        <f>IFERROR(__xludf.DUMMYFUNCTION("""COMPUTED_VALUE"""),"BANGKA BELITUNG LAUT")</f>
        <v>BANGKA BELITUNG LAUT</v>
      </c>
      <c r="O2975" s="35" t="str">
        <f>IFERROR(__xludf.DUMMYFUNCTION("""COMPUTED_VALUE"""),"PONTIANAK TENGGARA")</f>
        <v>PONTIANAK TENGGARA</v>
      </c>
      <c r="P2975" s="35" t="str">
        <f>IFERROR(__xludf.DUMMYFUNCTION("""COMPUTED_VALUE"""),"PONTIANAK")</f>
        <v>PONTIANAK</v>
      </c>
      <c r="Q2975" s="35" t="str">
        <f>IFERROR(__xludf.DUMMYFUNCTION("""COMPUTED_VALUE"""),"KALIMANTAN BARAT")</f>
        <v>KALIMANTAN BARAT</v>
      </c>
      <c r="R2975" s="21" t="str">
        <f>IFERROR(__xludf.DUMMYFUNCTION("""COMPUTED_VALUE"""),"ISLAM")</f>
        <v>ISLAM</v>
      </c>
      <c r="S2975" s="74" t="str">
        <f>IFERROR(__xludf.DUMMYFUNCTION("""COMPUTED_VALUE"""),"BUMD")</f>
        <v>BUMD</v>
      </c>
      <c r="T2975" s="35" t="str">
        <f>IFERROR(__xludf.DUMMYFUNCTION("""COMPUTED_VALUE"""),"SAKIT DI BAGIAN PUNGGUNG KAKI SEBELAH KANAN SAAT MENGINJAK")</f>
        <v>SAKIT DI BAGIAN PUNGGUNG KAKI SEBELAH KANAN SAAT MENGINJAK</v>
      </c>
      <c r="U2975" s="35" t="str">
        <f>IFERROR(__xludf.DUMMYFUNCTION("""COMPUTED_VALUE"""),"LARI")</f>
        <v>LARI</v>
      </c>
      <c r="V2975" s="37" t="str">
        <f>IFERROR(__xludf.DUMMYFUNCTION("""COMPUTED_VALUE"""),"085252555757")</f>
        <v>085252555757</v>
      </c>
      <c r="W2975" s="45"/>
    </row>
    <row r="2976">
      <c r="A2976" s="45"/>
      <c r="B2976" s="24" t="str">
        <f>IFERROR(__xludf.DUMMYFUNCTION("""COMPUTED_VALUE"""),"19/10/2025 12:54:03")</f>
        <v>19/10/2025 12:54:03</v>
      </c>
      <c r="C2976" s="35"/>
      <c r="D2976" s="10">
        <f>IFERROR(__xludf.DUMMYFUNCTION("""COMPUTED_VALUE"""),45949.0)</f>
        <v>45949</v>
      </c>
      <c r="E2976" s="35" t="str">
        <f>IFERROR(__xludf.DUMMYFUNCTION("""COMPUTED_VALUE"""),"10Okt")</f>
        <v>10Okt</v>
      </c>
      <c r="F2976" s="34" t="str">
        <f>IFERROR(__xludf.DUMMYFUNCTION("""COMPUTED_VALUE"""),"2025")</f>
        <v>2025</v>
      </c>
      <c r="G2976" s="35" t="str">
        <f>IFERROR(__xludf.DUMMYFUNCTION("""COMPUTED_VALUE"""),"KRISTIANI")</f>
        <v>KRISTIANI</v>
      </c>
      <c r="H2976" s="35" t="str">
        <f>IFERROR(__xludf.DUMMYFUNCTION("""COMPUTED_VALUE"""),"K9925107744")</f>
        <v>K9925107744</v>
      </c>
      <c r="I2976" s="35">
        <f>IFERROR(__xludf.DUMMYFUNCTION("""COMPUTED_VALUE"""),26.0)</f>
        <v>26</v>
      </c>
      <c r="J2976" s="35" t="str">
        <f>IFERROR(__xludf.DUMMYFUNCTION("""COMPUTED_VALUE"""),"25-34 tahun")</f>
        <v>25-34 tahun</v>
      </c>
      <c r="K2976" s="21" t="str">
        <f>IFERROR(__xludf.DUMMYFUNCTION("""COMPUTED_VALUE"""),"12/11/1999")</f>
        <v>12/11/1999</v>
      </c>
      <c r="L2976" s="21" t="str">
        <f>IFERROR(__xludf.DUMMYFUNCTION("""COMPUTED_VALUE"""),"PEREMPUAN")</f>
        <v>PEREMPUAN</v>
      </c>
      <c r="M2976" s="35" t="str">
        <f>IFERROR(__xludf.DUMMYFUNCTION("""COMPUTED_VALUE"""),"DUSUN BOYOK45")</f>
        <v>DUSUN BOYOK45</v>
      </c>
      <c r="N2976" s="35" t="str">
        <f>IFERROR(__xludf.DUMMYFUNCTION("""COMPUTED_VALUE"""),"SAPE")</f>
        <v>SAPE</v>
      </c>
      <c r="O2976" s="35" t="str">
        <f>IFERROR(__xludf.DUMMYFUNCTION("""COMPUTED_VALUE"""),"JANGKANG")</f>
        <v>JANGKANG</v>
      </c>
      <c r="P2976" s="35" t="str">
        <f>IFERROR(__xludf.DUMMYFUNCTION("""COMPUTED_VALUE"""),"SANGGAU")</f>
        <v>SANGGAU</v>
      </c>
      <c r="Q2976" s="35" t="str">
        <f>IFERROR(__xludf.DUMMYFUNCTION("""COMPUTED_VALUE"""),"KALIMANTAN BARAT")</f>
        <v>KALIMANTAN BARAT</v>
      </c>
      <c r="R2976" s="21" t="str">
        <f>IFERROR(__xludf.DUMMYFUNCTION("""COMPUTED_VALUE"""),"KATOLIK")</f>
        <v>KATOLIK</v>
      </c>
      <c r="S2976" s="74" t="str">
        <f>IFERROR(__xludf.DUMMYFUNCTION("""COMPUTED_VALUE"""),"SWASTA")</f>
        <v>SWASTA</v>
      </c>
      <c r="T2976" s="35" t="str">
        <f>IFERROR(__xludf.DUMMYFUNCTION("""COMPUTED_VALUE"""),"SAKIT BELAKANG")</f>
        <v>SAKIT BELAKANG</v>
      </c>
      <c r="U2976" s="35" t="str">
        <f>IFERROR(__xludf.DUMMYFUNCTION("""COMPUTED_VALUE"""),"TIDAK ADA")</f>
        <v>TIDAK ADA</v>
      </c>
      <c r="V2976" s="37" t="str">
        <f>IFERROR(__xludf.DUMMYFUNCTION("""COMPUTED_VALUE"""),"081346527744")</f>
        <v>081346527744</v>
      </c>
      <c r="W2976" s="45"/>
    </row>
    <row r="2977">
      <c r="A2977" s="45"/>
      <c r="B2977" s="24" t="str">
        <f>IFERROR(__xludf.DUMMYFUNCTION("""COMPUTED_VALUE"""),"19/10/2025 16:32:57")</f>
        <v>19/10/2025 16:32:57</v>
      </c>
      <c r="C2977" s="35"/>
      <c r="D2977" s="10">
        <f>IFERROR(__xludf.DUMMYFUNCTION("""COMPUTED_VALUE"""),45949.0)</f>
        <v>45949</v>
      </c>
      <c r="E2977" s="35" t="str">
        <f>IFERROR(__xludf.DUMMYFUNCTION("""COMPUTED_VALUE"""),"10Okt")</f>
        <v>10Okt</v>
      </c>
      <c r="F2977" s="34" t="str">
        <f>IFERROR(__xludf.DUMMYFUNCTION("""COMPUTED_VALUE"""),"2025")</f>
        <v>2025</v>
      </c>
      <c r="G2977" s="35" t="str">
        <f>IFERROR(__xludf.DUMMYFUNCTION("""COMPUTED_VALUE"""),"SUHARMI")</f>
        <v>SUHARMI</v>
      </c>
      <c r="H2977" s="35" t="str">
        <f>IFERROR(__xludf.DUMMYFUNCTION("""COMPUTED_VALUE"""),"S6325104795")</f>
        <v>S6325104795</v>
      </c>
      <c r="I2977" s="35">
        <f>IFERROR(__xludf.DUMMYFUNCTION("""COMPUTED_VALUE"""),62.0)</f>
        <v>62</v>
      </c>
      <c r="J2977" s="35" t="str">
        <f>IFERROR(__xludf.DUMMYFUNCTION("""COMPUTED_VALUE"""),"&gt; 44 tahun")</f>
        <v>&gt; 44 tahun</v>
      </c>
      <c r="K2977" s="21" t="str">
        <f>IFERROR(__xludf.DUMMYFUNCTION("""COMPUTED_VALUE"""),"01/09/1963")</f>
        <v>01/09/1963</v>
      </c>
      <c r="L2977" s="21" t="str">
        <f>IFERROR(__xludf.DUMMYFUNCTION("""COMPUTED_VALUE"""),"PEREMPUAN")</f>
        <v>PEREMPUAN</v>
      </c>
      <c r="M2977" s="35" t="str">
        <f>IFERROR(__xludf.DUMMYFUNCTION("""COMPUTED_VALUE"""),"JL PANGERAN NATAKUSUMA, GG.JAMBI NO.39B")</f>
        <v>JL PANGERAN NATAKUSUMA, GG.JAMBI NO.39B</v>
      </c>
      <c r="N2977" s="35" t="str">
        <f>IFERROR(__xludf.DUMMYFUNCTION("""COMPUTED_VALUE"""),"SEI BANGKONG")</f>
        <v>SEI BANGKONG</v>
      </c>
      <c r="O2977" s="35" t="str">
        <f>IFERROR(__xludf.DUMMYFUNCTION("""COMPUTED_VALUE"""),"PONTIANAK KOTA")</f>
        <v>PONTIANAK KOTA</v>
      </c>
      <c r="P2977" s="35" t="str">
        <f>IFERROR(__xludf.DUMMYFUNCTION("""COMPUTED_VALUE"""),"KOTA PONTIANAK")</f>
        <v>KOTA PONTIANAK</v>
      </c>
      <c r="Q2977" s="35" t="str">
        <f>IFERROR(__xludf.DUMMYFUNCTION("""COMPUTED_VALUE"""),"KALIMANTAN BARAT")</f>
        <v>KALIMANTAN BARAT</v>
      </c>
      <c r="R2977" s="21" t="str">
        <f>IFERROR(__xludf.DUMMYFUNCTION("""COMPUTED_VALUE"""),"ISLAM")</f>
        <v>ISLAM</v>
      </c>
      <c r="S2977" s="74" t="str">
        <f>IFERROR(__xludf.DUMMYFUNCTION("""COMPUTED_VALUE"""),"PENSIUN")</f>
        <v>PENSIUN</v>
      </c>
      <c r="T2977" s="35" t="str">
        <f>IFERROR(__xludf.DUMMYFUNCTION("""COMPUTED_VALUE"""),"SAKIT AREA PINGGANG DAN PUNGGUNG SETELAH JATUH DARI TANGGA")</f>
        <v>SAKIT AREA PINGGANG DAN PUNGGUNG SETELAH JATUH DARI TANGGA</v>
      </c>
      <c r="U2977" s="35" t="str">
        <f>IFERROR(__xludf.DUMMYFUNCTION("""COMPUTED_VALUE"""),"HABIS JEMUR PAKAIAN DILANTAI ATAS, TERPLESET DITANGGA")</f>
        <v>HABIS JEMUR PAKAIAN DILANTAI ATAS, TERPLESET DITANGGA</v>
      </c>
      <c r="V2977" s="37" t="str">
        <f>IFERROR(__xludf.DUMMYFUNCTION("""COMPUTED_VALUE"""),"085245794795")</f>
        <v>085245794795</v>
      </c>
      <c r="W2977" s="45"/>
    </row>
    <row r="2978">
      <c r="A2978" s="45"/>
      <c r="B2978" s="24" t="str">
        <f>IFERROR(__xludf.DUMMYFUNCTION("""COMPUTED_VALUE"""),"19/10/2025 17:22:18")</f>
        <v>19/10/2025 17:22:18</v>
      </c>
      <c r="C2978" s="35"/>
      <c r="D2978" s="10">
        <f>IFERROR(__xludf.DUMMYFUNCTION("""COMPUTED_VALUE"""),45949.0)</f>
        <v>45949</v>
      </c>
      <c r="E2978" s="35" t="str">
        <f>IFERROR(__xludf.DUMMYFUNCTION("""COMPUTED_VALUE"""),"10Okt")</f>
        <v>10Okt</v>
      </c>
      <c r="F2978" s="34" t="str">
        <f>IFERROR(__xludf.DUMMYFUNCTION("""COMPUTED_VALUE"""),"2025")</f>
        <v>2025</v>
      </c>
      <c r="G2978" s="35" t="str">
        <f>IFERROR(__xludf.DUMMYFUNCTION("""COMPUTED_VALUE"""),"AQILA AFIFAH OCTAFRIYANA")</f>
        <v>AQILA AFIFAH OCTAFRIYANA</v>
      </c>
      <c r="H2978" s="35" t="str">
        <f>IFERROR(__xludf.DUMMYFUNCTION("""COMPUTED_VALUE"""),"A0125104452")</f>
        <v>A0125104452</v>
      </c>
      <c r="I2978" s="35">
        <f>IFERROR(__xludf.DUMMYFUNCTION("""COMPUTED_VALUE"""),24.0)</f>
        <v>24</v>
      </c>
      <c r="J2978" s="35" t="str">
        <f>IFERROR(__xludf.DUMMYFUNCTION("""COMPUTED_VALUE"""),"18-24 tahun")</f>
        <v>18-24 tahun</v>
      </c>
      <c r="K2978" s="21" t="str">
        <f>IFERROR(__xludf.DUMMYFUNCTION("""COMPUTED_VALUE"""),"30/10/2001")</f>
        <v>30/10/2001</v>
      </c>
      <c r="L2978" s="21" t="str">
        <f>IFERROR(__xludf.DUMMYFUNCTION("""COMPUTED_VALUE"""),"PEREMPUAN")</f>
        <v>PEREMPUAN</v>
      </c>
      <c r="M2978" s="35" t="str">
        <f>IFERROR(__xludf.DUMMYFUNCTION("""COMPUTED_VALUE"""),"SINE, RT 003/RW 004")</f>
        <v>SINE, RT 003/RW 004</v>
      </c>
      <c r="N2978" s="35" t="str">
        <f>IFERROR(__xludf.DUMMYFUNCTION("""COMPUTED_VALUE"""),"SINE")</f>
        <v>SINE</v>
      </c>
      <c r="O2978" s="35" t="str">
        <f>IFERROR(__xludf.DUMMYFUNCTION("""COMPUTED_VALUE"""),"SRAGEN")</f>
        <v>SRAGEN</v>
      </c>
      <c r="P2978" s="35" t="str">
        <f>IFERROR(__xludf.DUMMYFUNCTION("""COMPUTED_VALUE"""),"SRAGEN")</f>
        <v>SRAGEN</v>
      </c>
      <c r="Q2978" s="35" t="str">
        <f>IFERROR(__xludf.DUMMYFUNCTION("""COMPUTED_VALUE"""),"JAWA TENGAH")</f>
        <v>JAWA TENGAH</v>
      </c>
      <c r="R2978" s="21" t="str">
        <f>IFERROR(__xludf.DUMMYFUNCTION("""COMPUTED_VALUE"""),"ISLAM")</f>
        <v>ISLAM</v>
      </c>
      <c r="S2978" s="74" t="str">
        <f>IFERROR(__xludf.DUMMYFUNCTION("""COMPUTED_VALUE"""),"PNS")</f>
        <v>PNS</v>
      </c>
      <c r="T2978" s="35" t="str">
        <f>IFERROR(__xludf.DUMMYFUNCTION("""COMPUTED_VALUE"""),"SAKIT NYERI DAN PEGAL DARI LEHER HINGGA KAKI NAMUN HANYA TUBUH SEBELAH KANAN")</f>
        <v>SAKIT NYERI DAN PEGAL DARI LEHER HINGGA KAKI NAMUN HANYA TUBUH SEBELAH KANAN</v>
      </c>
      <c r="U2978" s="35" t="str">
        <f>IFERROR(__xludf.DUMMYFUNCTION("""COMPUTED_VALUE"""),"-")</f>
        <v>-</v>
      </c>
      <c r="V2978" s="37" t="str">
        <f>IFERROR(__xludf.DUMMYFUNCTION("""COMPUTED_VALUE"""),"085157954452")</f>
        <v>085157954452</v>
      </c>
      <c r="W2978" s="45"/>
    </row>
    <row r="2979">
      <c r="A2979" s="45"/>
      <c r="B2979" s="24" t="str">
        <f>IFERROR(__xludf.DUMMYFUNCTION("""COMPUTED_VALUE"""),"20/10/2025 15:35:35")</f>
        <v>20/10/2025 15:35:35</v>
      </c>
      <c r="C2979" s="35"/>
      <c r="D2979" s="10">
        <f>IFERROR(__xludf.DUMMYFUNCTION("""COMPUTED_VALUE"""),45950.0)</f>
        <v>45950</v>
      </c>
      <c r="E2979" s="35" t="str">
        <f>IFERROR(__xludf.DUMMYFUNCTION("""COMPUTED_VALUE"""),"10Okt")</f>
        <v>10Okt</v>
      </c>
      <c r="F2979" s="34" t="str">
        <f>IFERROR(__xludf.DUMMYFUNCTION("""COMPUTED_VALUE"""),"2025")</f>
        <v>2025</v>
      </c>
      <c r="G2979" s="35" t="str">
        <f>IFERROR(__xludf.DUMMYFUNCTION("""COMPUTED_VALUE"""),"HERDY")</f>
        <v>HERDY</v>
      </c>
      <c r="H2979" s="35" t="str">
        <f>IFERROR(__xludf.DUMMYFUNCTION("""COMPUTED_VALUE"""),"H0125105276")</f>
        <v>H0125105276</v>
      </c>
      <c r="I2979" s="35">
        <f>IFERROR(__xludf.DUMMYFUNCTION("""COMPUTED_VALUE"""),24.0)</f>
        <v>24</v>
      </c>
      <c r="J2979" s="35" t="str">
        <f>IFERROR(__xludf.DUMMYFUNCTION("""COMPUTED_VALUE"""),"18-24 tahun")</f>
        <v>18-24 tahun</v>
      </c>
      <c r="K2979" s="21" t="str">
        <f>IFERROR(__xludf.DUMMYFUNCTION("""COMPUTED_VALUE"""),"24/09/2001")</f>
        <v>24/09/2001</v>
      </c>
      <c r="L2979" s="21" t="str">
        <f>IFERROR(__xludf.DUMMYFUNCTION("""COMPUTED_VALUE"""),"LAKI-LAKI")</f>
        <v>LAKI-LAKI</v>
      </c>
      <c r="M2979" s="35" t="str">
        <f>IFERROR(__xludf.DUMMYFUNCTION("""COMPUTED_VALUE"""),"JL.H.MURNI")</f>
        <v>JL.H.MURNI</v>
      </c>
      <c r="N2979" s="35" t="str">
        <f>IFERROR(__xludf.DUMMYFUNCTION("""COMPUTED_VALUE"""),"TENGAH")</f>
        <v>TENGAH</v>
      </c>
      <c r="O2979" s="35" t="str">
        <f>IFERROR(__xludf.DUMMYFUNCTION("""COMPUTED_VALUE"""),"DELTA PAWAN")</f>
        <v>DELTA PAWAN</v>
      </c>
      <c r="P2979" s="35" t="str">
        <f>IFERROR(__xludf.DUMMYFUNCTION("""COMPUTED_VALUE"""),"KETAPANG")</f>
        <v>KETAPANG</v>
      </c>
      <c r="Q2979" s="35" t="str">
        <f>IFERROR(__xludf.DUMMYFUNCTION("""COMPUTED_VALUE"""),"6104162409010001")</f>
        <v>6104162409010001</v>
      </c>
      <c r="R2979" s="21" t="str">
        <f>IFERROR(__xludf.DUMMYFUNCTION("""COMPUTED_VALUE"""),"LAINNYA")</f>
        <v>LAINNYA</v>
      </c>
      <c r="S2979" s="74" t="str">
        <f>IFERROR(__xludf.DUMMYFUNCTION("""COMPUTED_VALUE"""),"COOK")</f>
        <v>COOK</v>
      </c>
      <c r="T2979" s="35" t="str">
        <f>IFERROR(__xludf.DUMMYFUNCTION("""COMPUTED_VALUE"""),"LEHER, PUNGGUNG DAN BAHU")</f>
        <v>LEHER, PUNGGUNG DAN BAHU</v>
      </c>
      <c r="U2979" s="35" t="str">
        <f>IFERROR(__xludf.DUMMYFUNCTION("""COMPUTED_VALUE"""),"MENYETIR")</f>
        <v>MENYETIR</v>
      </c>
      <c r="V2979" s="37" t="str">
        <f>IFERROR(__xludf.DUMMYFUNCTION("""COMPUTED_VALUE"""),"081251945276")</f>
        <v>081251945276</v>
      </c>
      <c r="W2979" s="45"/>
    </row>
    <row r="2980">
      <c r="A2980" s="45"/>
      <c r="B2980" s="24" t="str">
        <f>IFERROR(__xludf.DUMMYFUNCTION("""COMPUTED_VALUE"""),"20/10/2025 17:33:11")</f>
        <v>20/10/2025 17:33:11</v>
      </c>
      <c r="C2980" s="35"/>
      <c r="D2980" s="10">
        <f>IFERROR(__xludf.DUMMYFUNCTION("""COMPUTED_VALUE"""),45950.0)</f>
        <v>45950</v>
      </c>
      <c r="E2980" s="35" t="str">
        <f>IFERROR(__xludf.DUMMYFUNCTION("""COMPUTED_VALUE"""),"10Okt")</f>
        <v>10Okt</v>
      </c>
      <c r="F2980" s="34" t="str">
        <f>IFERROR(__xludf.DUMMYFUNCTION("""COMPUTED_VALUE"""),"2025")</f>
        <v>2025</v>
      </c>
      <c r="G2980" s="35" t="str">
        <f>IFERROR(__xludf.DUMMYFUNCTION("""COMPUTED_VALUE"""),"MUHAMMAD FADLI LUTFIANDO")</f>
        <v>MUHAMMAD FADLI LUTFIANDO</v>
      </c>
      <c r="H2980" s="35" t="str">
        <f>IFERROR(__xludf.DUMMYFUNCTION("""COMPUTED_VALUE"""),"M9825103838")</f>
        <v>M9825103838</v>
      </c>
      <c r="I2980" s="35">
        <f>IFERROR(__xludf.DUMMYFUNCTION("""COMPUTED_VALUE"""),27.0)</f>
        <v>27</v>
      </c>
      <c r="J2980" s="35" t="str">
        <f>IFERROR(__xludf.DUMMYFUNCTION("""COMPUTED_VALUE"""),"25-34 tahun")</f>
        <v>25-34 tahun</v>
      </c>
      <c r="K2980" s="21" t="str">
        <f>IFERROR(__xludf.DUMMYFUNCTION("""COMPUTED_VALUE"""),"10/07/1998")</f>
        <v>10/07/1998</v>
      </c>
      <c r="L2980" s="21" t="str">
        <f>IFERROR(__xludf.DUMMYFUNCTION("""COMPUTED_VALUE"""),"LAKI-LAKI")</f>
        <v>LAKI-LAKI</v>
      </c>
      <c r="M2980" s="35" t="str">
        <f>IFERROR(__xludf.DUMMYFUNCTION("""COMPUTED_VALUE"""),"JL. SURYA GG SURYA JINGGA")</f>
        <v>JL. SURYA GG SURYA JINGGA</v>
      </c>
      <c r="N2980" s="35" t="str">
        <f>IFERROR(__xludf.DUMMYFUNCTION("""COMPUTED_VALUE"""),"AKCAYA")</f>
        <v>AKCAYA</v>
      </c>
      <c r="O2980" s="35" t="str">
        <f>IFERROR(__xludf.DUMMYFUNCTION("""COMPUTED_VALUE"""),"PONTIANAK SELATAN")</f>
        <v>PONTIANAK SELATAN</v>
      </c>
      <c r="P2980" s="35" t="str">
        <f>IFERROR(__xludf.DUMMYFUNCTION("""COMPUTED_VALUE"""),"PONTIANAK")</f>
        <v>PONTIANAK</v>
      </c>
      <c r="Q2980" s="35" t="str">
        <f>IFERROR(__xludf.DUMMYFUNCTION("""COMPUTED_VALUE"""),"KALIMANTAN BARAT")</f>
        <v>KALIMANTAN BARAT</v>
      </c>
      <c r="R2980" s="21" t="str">
        <f>IFERROR(__xludf.DUMMYFUNCTION("""COMPUTED_VALUE"""),"ISLAM")</f>
        <v>ISLAM</v>
      </c>
      <c r="S2980" s="74" t="str">
        <f>IFERROR(__xludf.DUMMYFUNCTION("""COMPUTED_VALUE"""),"MAHASISWA")</f>
        <v>MAHASISWA</v>
      </c>
      <c r="T2980" s="35" t="str">
        <f>IFERROR(__xludf.DUMMYFUNCTION("""COMPUTED_VALUE"""),"KAKI")</f>
        <v>KAKI</v>
      </c>
      <c r="U2980" s="35" t="str">
        <f>IFERROR(__xludf.DUMMYFUNCTION("""COMPUTED_VALUE"""),"-")</f>
        <v>-</v>
      </c>
      <c r="V2980" s="37" t="str">
        <f>IFERROR(__xludf.DUMMYFUNCTION("""COMPUTED_VALUE"""),"081257383838")</f>
        <v>081257383838</v>
      </c>
      <c r="W2980" s="45"/>
    </row>
    <row r="2981">
      <c r="A2981" s="45"/>
      <c r="B2981" s="24" t="str">
        <f>IFERROR(__xludf.DUMMYFUNCTION("""COMPUTED_VALUE"""),"20/10/2025 19:21:56")</f>
        <v>20/10/2025 19:21:56</v>
      </c>
      <c r="C2981" s="35"/>
      <c r="D2981" s="10">
        <f>IFERROR(__xludf.DUMMYFUNCTION("""COMPUTED_VALUE"""),45950.0)</f>
        <v>45950</v>
      </c>
      <c r="E2981" s="35" t="str">
        <f>IFERROR(__xludf.DUMMYFUNCTION("""COMPUTED_VALUE"""),"10Okt")</f>
        <v>10Okt</v>
      </c>
      <c r="F2981" s="34" t="str">
        <f>IFERROR(__xludf.DUMMYFUNCTION("""COMPUTED_VALUE"""),"2025")</f>
        <v>2025</v>
      </c>
      <c r="G2981" s="35" t="str">
        <f>IFERROR(__xludf.DUMMYFUNCTION("""COMPUTED_VALUE"""),"LANDON CRYSANDER ALI")</f>
        <v>LANDON CRYSANDER ALI</v>
      </c>
      <c r="H2981" s="35" t="str">
        <f>IFERROR(__xludf.DUMMYFUNCTION("""COMPUTED_VALUE"""),"L0825103838")</f>
        <v>L0825103838</v>
      </c>
      <c r="I2981" s="35">
        <f>IFERROR(__xludf.DUMMYFUNCTION("""COMPUTED_VALUE"""),18.0)</f>
        <v>18</v>
      </c>
      <c r="J2981" s="35" t="str">
        <f>IFERROR(__xludf.DUMMYFUNCTION("""COMPUTED_VALUE"""),"&lt; 18 tahun")</f>
        <v>&lt; 18 tahun</v>
      </c>
      <c r="K2981" s="21" t="str">
        <f>IFERROR(__xludf.DUMMYFUNCTION("""COMPUTED_VALUE"""),"03/01/2008")</f>
        <v>03/01/2008</v>
      </c>
      <c r="L2981" s="21" t="str">
        <f>IFERROR(__xludf.DUMMYFUNCTION("""COMPUTED_VALUE"""),"LAKI-LAKI")</f>
        <v>LAKI-LAKI</v>
      </c>
      <c r="M2981" s="35" t="str">
        <f>IFERROR(__xludf.DUMMYFUNCTION("""COMPUTED_VALUE"""),"JALAN SEI RAYA DALAM. KOMPLEKS VILLA KELAPA GADING PERMAI NO 8AB. KEC PONTIANAK TENGGARA. KALIMANTAN BARAT.")</f>
        <v>JALAN SEI RAYA DALAM. KOMPLEKS VILLA KELAPA GADING PERMAI NO 8AB. KEC PONTIANAK TENGGARA. KALIMANTAN BARAT.</v>
      </c>
      <c r="N2981" s="35" t="str">
        <f>IFERROR(__xludf.DUMMYFUNCTION("""COMPUTED_VALUE"""),"PONTIANAK")</f>
        <v>PONTIANAK</v>
      </c>
      <c r="O2981" s="35" t="str">
        <f>IFERROR(__xludf.DUMMYFUNCTION("""COMPUTED_VALUE"""),"PONTIANAK TENGGARA")</f>
        <v>PONTIANAK TENGGARA</v>
      </c>
      <c r="P2981" s="35" t="str">
        <f>IFERROR(__xludf.DUMMYFUNCTION("""COMPUTED_VALUE"""),"PONTIANAK")</f>
        <v>PONTIANAK</v>
      </c>
      <c r="Q2981" s="35" t="str">
        <f>IFERROR(__xludf.DUMMYFUNCTION("""COMPUTED_VALUE"""),"KALIMANTAN BARAT")</f>
        <v>KALIMANTAN BARAT</v>
      </c>
      <c r="R2981" s="21" t="str">
        <f>IFERROR(__xludf.DUMMYFUNCTION("""COMPUTED_VALUE"""),"KATOLIK")</f>
        <v>KATOLIK</v>
      </c>
      <c r="S2981" s="74" t="str">
        <f>IFERROR(__xludf.DUMMYFUNCTION("""COMPUTED_VALUE"""),"PELAJAR")</f>
        <v>PELAJAR</v>
      </c>
      <c r="T2981" s="35" t="str">
        <f>IFERROR(__xludf.DUMMYFUNCTION("""COMPUTED_VALUE"""),"ANKLE")</f>
        <v>ANKLE</v>
      </c>
      <c r="U2981" s="35" t="str">
        <f>IFERROR(__xludf.DUMMYFUNCTION("""COMPUTED_VALUE"""),"BASKET")</f>
        <v>BASKET</v>
      </c>
      <c r="V2981" s="37" t="str">
        <f>IFERROR(__xludf.DUMMYFUNCTION("""COMPUTED_VALUE"""),"081257383838")</f>
        <v>081257383838</v>
      </c>
      <c r="W2981" s="45"/>
    </row>
    <row r="2982">
      <c r="A2982" s="45"/>
      <c r="B2982" s="24" t="str">
        <f>IFERROR(__xludf.DUMMYFUNCTION("""COMPUTED_VALUE"""),"21/10/2025 13:26:55")</f>
        <v>21/10/2025 13:26:55</v>
      </c>
      <c r="C2982" s="35"/>
      <c r="D2982" s="10">
        <f>IFERROR(__xludf.DUMMYFUNCTION("""COMPUTED_VALUE"""),45951.0)</f>
        <v>45951</v>
      </c>
      <c r="E2982" s="35" t="str">
        <f>IFERROR(__xludf.DUMMYFUNCTION("""COMPUTED_VALUE"""),"10Okt")</f>
        <v>10Okt</v>
      </c>
      <c r="F2982" s="34" t="str">
        <f>IFERROR(__xludf.DUMMYFUNCTION("""COMPUTED_VALUE"""),"2025")</f>
        <v>2025</v>
      </c>
      <c r="G2982" s="35" t="str">
        <f>IFERROR(__xludf.DUMMYFUNCTION("""COMPUTED_VALUE"""),"TUTI TRISNAWATI")</f>
        <v>TUTI TRISNAWATI</v>
      </c>
      <c r="H2982" s="35" t="str">
        <f>IFERROR(__xludf.DUMMYFUNCTION("""COMPUTED_VALUE"""),"T7325100015")</f>
        <v>T7325100015</v>
      </c>
      <c r="I2982" s="35">
        <f>IFERROR(__xludf.DUMMYFUNCTION("""COMPUTED_VALUE"""),53.0)</f>
        <v>53</v>
      </c>
      <c r="J2982" s="35" t="str">
        <f>IFERROR(__xludf.DUMMYFUNCTION("""COMPUTED_VALUE"""),"&gt; 44 tahun")</f>
        <v>&gt; 44 tahun</v>
      </c>
      <c r="K2982" s="21" t="str">
        <f>IFERROR(__xludf.DUMMYFUNCTION("""COMPUTED_VALUE"""),"14/06/1973")</f>
        <v>14/06/1973</v>
      </c>
      <c r="L2982" s="21" t="str">
        <f>IFERROR(__xludf.DUMMYFUNCTION("""COMPUTED_VALUE"""),"PEREMPUAN")</f>
        <v>PEREMPUAN</v>
      </c>
      <c r="M2982" s="35" t="str">
        <f>IFERROR(__xludf.DUMMYFUNCTION("""COMPUTED_VALUE"""),"JALAN PERDAMAIAN KOMPLEK ARI KARYA INDAH 4 JALUR 5 BLOK C 22")</f>
        <v>JALAN PERDAMAIAN KOMPLEK ARI KARYA INDAH 4 JALUR 5 BLOK C 22</v>
      </c>
      <c r="N2982" s="35" t="str">
        <f>IFERROR(__xludf.DUMMYFUNCTION("""COMPUTED_VALUE"""),"PAL 9")</f>
        <v>PAL 9</v>
      </c>
      <c r="O2982" s="35" t="str">
        <f>IFERROR(__xludf.DUMMYFUNCTION("""COMPUTED_VALUE"""),"SUNGAI KAKAP")</f>
        <v>SUNGAI KAKAP</v>
      </c>
      <c r="P2982" s="35" t="str">
        <f>IFERROR(__xludf.DUMMYFUNCTION("""COMPUTED_VALUE"""),"KUBU RAYA")</f>
        <v>KUBU RAYA</v>
      </c>
      <c r="Q2982" s="35" t="str">
        <f>IFERROR(__xludf.DUMMYFUNCTION("""COMPUTED_VALUE"""),"KAILMANTAN BARAT")</f>
        <v>KAILMANTAN BARAT</v>
      </c>
      <c r="R2982" s="21" t="str">
        <f>IFERROR(__xludf.DUMMYFUNCTION("""COMPUTED_VALUE"""),"ISLAM")</f>
        <v>ISLAM</v>
      </c>
      <c r="S2982" s="74" t="str">
        <f>IFERROR(__xludf.DUMMYFUNCTION("""COMPUTED_VALUE"""),"PNS")</f>
        <v>PNS</v>
      </c>
      <c r="T2982" s="35" t="str">
        <f>IFERROR(__xludf.DUMMYFUNCTION("""COMPUTED_VALUE"""),"SAKIT KAKI DAN PINGGANG")</f>
        <v>SAKIT KAKI DAN PINGGANG</v>
      </c>
      <c r="U2982" s="35" t="str">
        <f>IFERROR(__xludf.DUMMYFUNCTION("""COMPUTED_VALUE"""),"NAIK TURUN TANGGA DAN JONGKOK")</f>
        <v>NAIK TURUN TANGGA DAN JONGKOK</v>
      </c>
      <c r="V2982" s="37" t="str">
        <f>IFERROR(__xludf.DUMMYFUNCTION("""COMPUTED_VALUE"""),"085245670015")</f>
        <v>085245670015</v>
      </c>
      <c r="W2982" s="45"/>
    </row>
    <row r="2983">
      <c r="A2983" s="45"/>
      <c r="B2983" s="24" t="str">
        <f>IFERROR(__xludf.DUMMYFUNCTION("""COMPUTED_VALUE"""),"21/10/2025 16:02:04")</f>
        <v>21/10/2025 16:02:04</v>
      </c>
      <c r="C2983" s="35"/>
      <c r="D2983" s="10">
        <f>IFERROR(__xludf.DUMMYFUNCTION("""COMPUTED_VALUE"""),45951.0)</f>
        <v>45951</v>
      </c>
      <c r="E2983" s="35" t="str">
        <f>IFERROR(__xludf.DUMMYFUNCTION("""COMPUTED_VALUE"""),"10Okt")</f>
        <v>10Okt</v>
      </c>
      <c r="F2983" s="34" t="str">
        <f>IFERROR(__xludf.DUMMYFUNCTION("""COMPUTED_VALUE"""),"2025")</f>
        <v>2025</v>
      </c>
      <c r="G2983" s="35" t="str">
        <f>IFERROR(__xludf.DUMMYFUNCTION("""COMPUTED_VALUE"""),"BOBBY AUDITHA VANDRI")</f>
        <v>BOBBY AUDITHA VANDRI</v>
      </c>
      <c r="H2983" s="35" t="str">
        <f>IFERROR(__xludf.DUMMYFUNCTION("""COMPUTED_VALUE"""),"B9425106600")</f>
        <v>B9425106600</v>
      </c>
      <c r="I2983" s="35">
        <f>IFERROR(__xludf.DUMMYFUNCTION("""COMPUTED_VALUE"""),31.0)</f>
        <v>31</v>
      </c>
      <c r="J2983" s="35" t="str">
        <f>IFERROR(__xludf.DUMMYFUNCTION("""COMPUTED_VALUE"""),"25-34 tahun")</f>
        <v>25-34 tahun</v>
      </c>
      <c r="K2983" s="21" t="str">
        <f>IFERROR(__xludf.DUMMYFUNCTION("""COMPUTED_VALUE"""),"27/09/1994")</f>
        <v>27/09/1994</v>
      </c>
      <c r="L2983" s="21" t="str">
        <f>IFERROR(__xludf.DUMMYFUNCTION("""COMPUTED_VALUE"""),"LAKI-LAKI")</f>
        <v>LAKI-LAKI</v>
      </c>
      <c r="M2983" s="35" t="str">
        <f>IFERROR(__xludf.DUMMYFUNCTION("""COMPUTED_VALUE"""),"JL PERDANA KOMPLEK BALI AGUNG 2 J5")</f>
        <v>JL PERDANA KOMPLEK BALI AGUNG 2 J5</v>
      </c>
      <c r="N2983" s="35" t="str">
        <f>IFERROR(__xludf.DUMMYFUNCTION("""COMPUTED_VALUE"""),"PARIT TOKAYA")</f>
        <v>PARIT TOKAYA</v>
      </c>
      <c r="O2983" s="35" t="str">
        <f>IFERROR(__xludf.DUMMYFUNCTION("""COMPUTED_VALUE"""),"PONTIANAK SELATAN")</f>
        <v>PONTIANAK SELATAN</v>
      </c>
      <c r="P2983" s="35" t="str">
        <f>IFERROR(__xludf.DUMMYFUNCTION("""COMPUTED_VALUE"""),"PONTIANAK")</f>
        <v>PONTIANAK</v>
      </c>
      <c r="Q2983" s="35" t="str">
        <f>IFERROR(__xludf.DUMMYFUNCTION("""COMPUTED_VALUE"""),"KALIMANTAN BARAT")</f>
        <v>KALIMANTAN BARAT</v>
      </c>
      <c r="R2983" s="21" t="str">
        <f>IFERROR(__xludf.DUMMYFUNCTION("""COMPUTED_VALUE"""),"ISLAM")</f>
        <v>ISLAM</v>
      </c>
      <c r="S2983" s="74" t="str">
        <f>IFERROR(__xludf.DUMMYFUNCTION("""COMPUTED_VALUE"""),"SWASTA")</f>
        <v>SWASTA</v>
      </c>
      <c r="T2983" s="35" t="str">
        <f>IFERROR(__xludf.DUMMYFUNCTION("""COMPUTED_VALUE"""),"SAKIT BAGIAN PINGGANG")</f>
        <v>SAKIT BAGIAN PINGGANG</v>
      </c>
      <c r="U2983" s="35" t="str">
        <f>IFERROR(__xludf.DUMMYFUNCTION("""COMPUTED_VALUE"""),"DUDUK TERLALU LAMA")</f>
        <v>DUDUK TERLALU LAMA</v>
      </c>
      <c r="V2983" s="37" t="str">
        <f>IFERROR(__xludf.DUMMYFUNCTION("""COMPUTED_VALUE"""),"082115086600")</f>
        <v>082115086600</v>
      </c>
      <c r="W2983" s="45"/>
    </row>
    <row r="2984">
      <c r="A2984" s="45"/>
      <c r="B2984" s="24" t="str">
        <f>IFERROR(__xludf.DUMMYFUNCTION("""COMPUTED_VALUE"""),"22/10/2025 9:22:43")</f>
        <v>22/10/2025 9:22:43</v>
      </c>
      <c r="C2984" s="35"/>
      <c r="D2984" s="10">
        <f>IFERROR(__xludf.DUMMYFUNCTION("""COMPUTED_VALUE"""),45952.0)</f>
        <v>45952</v>
      </c>
      <c r="E2984" s="35" t="str">
        <f>IFERROR(__xludf.DUMMYFUNCTION("""COMPUTED_VALUE"""),"10Okt")</f>
        <v>10Okt</v>
      </c>
      <c r="F2984" s="34" t="str">
        <f>IFERROR(__xludf.DUMMYFUNCTION("""COMPUTED_VALUE"""),"2025")</f>
        <v>2025</v>
      </c>
      <c r="G2984" s="35" t="str">
        <f>IFERROR(__xludf.DUMMYFUNCTION("""COMPUTED_VALUE"""),"MIFTAHUL BAROKY")</f>
        <v>MIFTAHUL BAROKY</v>
      </c>
      <c r="H2984" s="35" t="str">
        <f>IFERROR(__xludf.DUMMYFUNCTION("""COMPUTED_VALUE"""),"M0125103039")</f>
        <v>M0125103039</v>
      </c>
      <c r="I2984" s="35">
        <f>IFERROR(__xludf.DUMMYFUNCTION("""COMPUTED_VALUE"""),25.0)</f>
        <v>25</v>
      </c>
      <c r="J2984" s="35" t="str">
        <f>IFERROR(__xludf.DUMMYFUNCTION("""COMPUTED_VALUE"""),"25-34 tahun")</f>
        <v>25-34 tahun</v>
      </c>
      <c r="K2984" s="21" t="str">
        <f>IFERROR(__xludf.DUMMYFUNCTION("""COMPUTED_VALUE"""),"05/05/2001")</f>
        <v>05/05/2001</v>
      </c>
      <c r="L2984" s="21" t="str">
        <f>IFERROR(__xludf.DUMMYFUNCTION("""COMPUTED_VALUE"""),"LAKI-LAKI")</f>
        <v>LAKI-LAKI</v>
      </c>
      <c r="M2984" s="35" t="str">
        <f>IFERROR(__xludf.DUMMYFUNCTION("""COMPUTED_VALUE"""),"WAJOK HILIR PARET HAJIAYAKOP")</f>
        <v>WAJOK HILIR PARET HAJIAYAKOP</v>
      </c>
      <c r="N2984" s="35" t="str">
        <f>IFERROR(__xludf.DUMMYFUNCTION("""COMPUTED_VALUE"""),"DESA WAJOK HILIR")</f>
        <v>DESA WAJOK HILIR</v>
      </c>
      <c r="O2984" s="35" t="str">
        <f>IFERROR(__xludf.DUMMYFUNCTION("""COMPUTED_VALUE"""),"SIANTAN")</f>
        <v>SIANTAN</v>
      </c>
      <c r="P2984" s="35" t="str">
        <f>IFERROR(__xludf.DUMMYFUNCTION("""COMPUTED_VALUE"""),"MEMPAWAH")</f>
        <v>MEMPAWAH</v>
      </c>
      <c r="Q2984" s="35" t="str">
        <f>IFERROR(__xludf.DUMMYFUNCTION("""COMPUTED_VALUE"""),"KALIMANTAN BARAT")</f>
        <v>KALIMANTAN BARAT</v>
      </c>
      <c r="R2984" s="21" t="str">
        <f>IFERROR(__xludf.DUMMYFUNCTION("""COMPUTED_VALUE"""),"ISLAM")</f>
        <v>ISLAM</v>
      </c>
      <c r="S2984" s="74" t="str">
        <f>IFERROR(__xludf.DUMMYFUNCTION("""COMPUTED_VALUE"""),"NARKAM")</f>
        <v>NARKAM</v>
      </c>
      <c r="T2984" s="35" t="str">
        <f>IFERROR(__xludf.DUMMYFUNCTION("""COMPUTED_VALUE"""),"CIDERA LUTUT")</f>
        <v>CIDERA LUTUT</v>
      </c>
      <c r="U2984" s="35" t="str">
        <f>IFERROR(__xludf.DUMMYFUNCTION("""COMPUTED_VALUE"""),"NARKAM")</f>
        <v>NARKAM</v>
      </c>
      <c r="V2984" s="37" t="str">
        <f>IFERROR(__xludf.DUMMYFUNCTION("""COMPUTED_VALUE"""),"085751053039")</f>
        <v>085751053039</v>
      </c>
      <c r="W2984" s="45"/>
    </row>
    <row r="2985">
      <c r="A2985" s="45"/>
      <c r="B2985" s="24" t="str">
        <f>IFERROR(__xludf.DUMMYFUNCTION("""COMPUTED_VALUE"""),"21/10/2025 18:09:57")</f>
        <v>21/10/2025 18:09:57</v>
      </c>
      <c r="C2985" s="35"/>
      <c r="D2985" s="10">
        <f>IFERROR(__xludf.DUMMYFUNCTION("""COMPUTED_VALUE"""),45952.0)</f>
        <v>45952</v>
      </c>
      <c r="E2985" s="35" t="str">
        <f>IFERROR(__xludf.DUMMYFUNCTION("""COMPUTED_VALUE"""),"10Okt")</f>
        <v>10Okt</v>
      </c>
      <c r="F2985" s="34" t="str">
        <f>IFERROR(__xludf.DUMMYFUNCTION("""COMPUTED_VALUE"""),"2025")</f>
        <v>2025</v>
      </c>
      <c r="G2985" s="35" t="str">
        <f>IFERROR(__xludf.DUMMYFUNCTION("""COMPUTED_VALUE"""),"IRRINA FAUZIARNI")</f>
        <v>IRRINA FAUZIARNI</v>
      </c>
      <c r="H2985" s="35" t="str">
        <f>IFERROR(__xludf.DUMMYFUNCTION("""COMPUTED_VALUE"""),"I8025109996")</f>
        <v>I8025109996</v>
      </c>
      <c r="I2985" s="35">
        <f>IFERROR(__xludf.DUMMYFUNCTION("""COMPUTED_VALUE"""),45.0)</f>
        <v>45</v>
      </c>
      <c r="J2985" s="35" t="str">
        <f>IFERROR(__xludf.DUMMYFUNCTION("""COMPUTED_VALUE"""),"&gt; 44 tahun")</f>
        <v>&gt; 44 tahun</v>
      </c>
      <c r="K2985" s="21" t="str">
        <f>IFERROR(__xludf.DUMMYFUNCTION("""COMPUTED_VALUE"""),"29/09/1980")</f>
        <v>29/09/1980</v>
      </c>
      <c r="L2985" s="21" t="str">
        <f>IFERROR(__xludf.DUMMYFUNCTION("""COMPUTED_VALUE"""),"PEREMPUAN")</f>
        <v>PEREMPUAN</v>
      </c>
      <c r="M2985" s="35" t="str">
        <f>IFERROR(__xludf.DUMMYFUNCTION("""COMPUTED_VALUE"""),"PERUMNAS 1 GG MELUR BLOK K4 NO 6")</f>
        <v>PERUMNAS 1 GG MELUR BLOK K4 NO 6</v>
      </c>
      <c r="N2985" s="35" t="str">
        <f>IFERROR(__xludf.DUMMYFUNCTION("""COMPUTED_VALUE"""),"SUNGAI JAWI LUAR")</f>
        <v>SUNGAI JAWI LUAR</v>
      </c>
      <c r="O2985" s="35" t="str">
        <f>IFERROR(__xludf.DUMMYFUNCTION("""COMPUTED_VALUE"""),"PONTIANAK BARAT")</f>
        <v>PONTIANAK BARAT</v>
      </c>
      <c r="P2985" s="35" t="str">
        <f>IFERROR(__xludf.DUMMYFUNCTION("""COMPUTED_VALUE"""),"KOTA PONTIANAK")</f>
        <v>KOTA PONTIANAK</v>
      </c>
      <c r="Q2985" s="35" t="str">
        <f>IFERROR(__xludf.DUMMYFUNCTION("""COMPUTED_VALUE"""),"KALIMANTAN BARAT")</f>
        <v>KALIMANTAN BARAT</v>
      </c>
      <c r="R2985" s="21" t="str">
        <f>IFERROR(__xludf.DUMMYFUNCTION("""COMPUTED_VALUE"""),"ISLAM")</f>
        <v>ISLAM</v>
      </c>
      <c r="S2985" s="74" t="str">
        <f>IFERROR(__xludf.DUMMYFUNCTION("""COMPUTED_VALUE"""),"WIRASWASTA")</f>
        <v>WIRASWASTA</v>
      </c>
      <c r="T2985" s="35" t="str">
        <f>IFERROR(__xludf.DUMMYFUNCTION("""COMPUTED_VALUE"""),"NYERI KEPALA TIPE TEGANG DAN TANGAN SUKA KESEMUTAN")</f>
        <v>NYERI KEPALA TIPE TEGANG DAN TANGAN SUKA KESEMUTAN</v>
      </c>
      <c r="U2985" s="35" t="str">
        <f>IFERROR(__xludf.DUMMYFUNCTION("""COMPUTED_VALUE"""),"JIKA BAWA MOTOR DAN TIDUR MENGHADAP KE KANAN")</f>
        <v>JIKA BAWA MOTOR DAN TIDUR MENGHADAP KE KANAN</v>
      </c>
      <c r="V2985" s="37" t="str">
        <f>IFERROR(__xludf.DUMMYFUNCTION("""COMPUTED_VALUE"""),"085386799996")</f>
        <v>085386799996</v>
      </c>
      <c r="W2985" s="45"/>
    </row>
    <row r="2986">
      <c r="A2986" s="45"/>
      <c r="B2986" s="24" t="str">
        <f>IFERROR(__xludf.DUMMYFUNCTION("""COMPUTED_VALUE"""),"22/10/2025 11:02:29")</f>
        <v>22/10/2025 11:02:29</v>
      </c>
      <c r="C2986" s="35"/>
      <c r="D2986" s="10">
        <f>IFERROR(__xludf.DUMMYFUNCTION("""COMPUTED_VALUE"""),45952.0)</f>
        <v>45952</v>
      </c>
      <c r="E2986" s="35" t="str">
        <f>IFERROR(__xludf.DUMMYFUNCTION("""COMPUTED_VALUE"""),"10Okt")</f>
        <v>10Okt</v>
      </c>
      <c r="F2986" s="34" t="str">
        <f>IFERROR(__xludf.DUMMYFUNCTION("""COMPUTED_VALUE"""),"2025")</f>
        <v>2025</v>
      </c>
      <c r="G2986" s="35" t="str">
        <f>IFERROR(__xludf.DUMMYFUNCTION("""COMPUTED_VALUE"""),"ERWIN JULIANSAH")</f>
        <v>ERWIN JULIANSAH</v>
      </c>
      <c r="H2986" s="35" t="str">
        <f>IFERROR(__xludf.DUMMYFUNCTION("""COMPUTED_VALUE"""),"E0125101871")</f>
        <v>E0125101871</v>
      </c>
      <c r="I2986" s="35">
        <f>IFERROR(__xludf.DUMMYFUNCTION("""COMPUTED_VALUE"""),24.0)</f>
        <v>24</v>
      </c>
      <c r="J2986" s="35" t="str">
        <f>IFERROR(__xludf.DUMMYFUNCTION("""COMPUTED_VALUE"""),"18-24 tahun")</f>
        <v>18-24 tahun</v>
      </c>
      <c r="K2986" s="21" t="str">
        <f>IFERROR(__xludf.DUMMYFUNCTION("""COMPUTED_VALUE"""),"27/07/2001")</f>
        <v>27/07/2001</v>
      </c>
      <c r="L2986" s="21" t="str">
        <f>IFERROR(__xludf.DUMMYFUNCTION("""COMPUTED_VALUE"""),"LAKI-LAKI")</f>
        <v>LAKI-LAKI</v>
      </c>
      <c r="M2986" s="35" t="str">
        <f>IFERROR(__xludf.DUMMYFUNCTION("""COMPUTED_VALUE"""),"DUSUN PENTOKAL, RT/RW 005/003")</f>
        <v>DUSUN PENTOKAL, RT/RW 005/003</v>
      </c>
      <c r="N2986" s="35" t="str">
        <f>IFERROR(__xludf.DUMMYFUNCTION("""COMPUTED_VALUE"""),"DESAU PETAI PATAH")</f>
        <v>DESAU PETAI PATAH</v>
      </c>
      <c r="O2986" s="35" t="str">
        <f>IFERROR(__xludf.DUMMYFUNCTION("""COMPUTED_VALUE"""),"SANDAI")</f>
        <v>SANDAI</v>
      </c>
      <c r="P2986" s="35" t="str">
        <f>IFERROR(__xludf.DUMMYFUNCTION("""COMPUTED_VALUE"""),"KETAPANG")</f>
        <v>KETAPANG</v>
      </c>
      <c r="Q2986" s="35" t="str">
        <f>IFERROR(__xludf.DUMMYFUNCTION("""COMPUTED_VALUE"""),"KALIMANTAN BARAT")</f>
        <v>KALIMANTAN BARAT</v>
      </c>
      <c r="R2986" s="21" t="str">
        <f>IFERROR(__xludf.DUMMYFUNCTION("""COMPUTED_VALUE"""),"ISLAM")</f>
        <v>ISLAM</v>
      </c>
      <c r="S2986" s="74" t="str">
        <f>IFERROR(__xludf.DUMMYFUNCTION("""COMPUTED_VALUE"""),"PNS")</f>
        <v>PNS</v>
      </c>
      <c r="T2986" s="35" t="str">
        <f>IFERROR(__xludf.DUMMYFUNCTION("""COMPUTED_VALUE"""),"SAKIT DI PINGGANG ATAS BELAKANG KIRI KARNA TERBENTUR SAAT KECELAKAAN KEMARIN PAGI")</f>
        <v>SAKIT DI PINGGANG ATAS BELAKANG KIRI KARNA TERBENTUR SAAT KECELAKAAN KEMARIN PAGI</v>
      </c>
      <c r="U2986" s="35" t="str">
        <f>IFERROR(__xludf.DUMMYFUNCTION("""COMPUTED_VALUE"""),"-")</f>
        <v>-</v>
      </c>
      <c r="V2986" s="37" t="str">
        <f>IFERROR(__xludf.DUMMYFUNCTION("""COMPUTED_VALUE"""),"082343311871")</f>
        <v>082343311871</v>
      </c>
      <c r="W2986" s="45"/>
    </row>
    <row r="2987">
      <c r="A2987" s="45"/>
      <c r="B2987" s="24" t="str">
        <f>IFERROR(__xludf.DUMMYFUNCTION("""COMPUTED_VALUE"""),"22/10/2025 20:51:31")</f>
        <v>22/10/2025 20:51:31</v>
      </c>
      <c r="C2987" s="35"/>
      <c r="D2987" s="10">
        <f>IFERROR(__xludf.DUMMYFUNCTION("""COMPUTED_VALUE"""),45952.0)</f>
        <v>45952</v>
      </c>
      <c r="E2987" s="35" t="str">
        <f>IFERROR(__xludf.DUMMYFUNCTION("""COMPUTED_VALUE"""),"10Okt")</f>
        <v>10Okt</v>
      </c>
      <c r="F2987" s="34" t="str">
        <f>IFERROR(__xludf.DUMMYFUNCTION("""COMPUTED_VALUE"""),"2025")</f>
        <v>2025</v>
      </c>
      <c r="G2987" s="35" t="str">
        <f>IFERROR(__xludf.DUMMYFUNCTION("""COMPUTED_VALUE"""),"BELLA BESTIANA TJANDRA")</f>
        <v>BELLA BESTIANA TJANDRA</v>
      </c>
      <c r="H2987" s="35" t="str">
        <f>IFERROR(__xludf.DUMMYFUNCTION("""COMPUTED_VALUE"""),"B9825108681")</f>
        <v>B9825108681</v>
      </c>
      <c r="I2987" s="35">
        <f>IFERROR(__xludf.DUMMYFUNCTION("""COMPUTED_VALUE"""),28.0)</f>
        <v>28</v>
      </c>
      <c r="J2987" s="35" t="str">
        <f>IFERROR(__xludf.DUMMYFUNCTION("""COMPUTED_VALUE"""),"25-34 tahun")</f>
        <v>25-34 tahun</v>
      </c>
      <c r="K2987" s="21" t="str">
        <f>IFERROR(__xludf.DUMMYFUNCTION("""COMPUTED_VALUE"""),"21/03/1998")</f>
        <v>21/03/1998</v>
      </c>
      <c r="L2987" s="21" t="str">
        <f>IFERROR(__xludf.DUMMYFUNCTION("""COMPUTED_VALUE"""),"PEREMPUAN")</f>
        <v>PEREMPUAN</v>
      </c>
      <c r="M2987" s="35" t="str">
        <f>IFERROR(__xludf.DUMMYFUNCTION("""COMPUTED_VALUE"""),"JALAN SIAM NO 48B")</f>
        <v>JALAN SIAM NO 48B</v>
      </c>
      <c r="N2987" s="35" t="str">
        <f>IFERROR(__xludf.DUMMYFUNCTION("""COMPUTED_VALUE"""),"PONTIANAK SELATAN")</f>
        <v>PONTIANAK SELATAN</v>
      </c>
      <c r="O2987" s="35" t="str">
        <f>IFERROR(__xludf.DUMMYFUNCTION("""COMPUTED_VALUE"""),"BENUA MELAYU DARAT")</f>
        <v>BENUA MELAYU DARAT</v>
      </c>
      <c r="P2987" s="35" t="str">
        <f>IFERROR(__xludf.DUMMYFUNCTION("""COMPUTED_VALUE"""),"PONTIANAK")</f>
        <v>PONTIANAK</v>
      </c>
      <c r="Q2987" s="35" t="str">
        <f>IFERROR(__xludf.DUMMYFUNCTION("""COMPUTED_VALUE"""),"KALIMANTAN BARAT")</f>
        <v>KALIMANTAN BARAT</v>
      </c>
      <c r="R2987" s="21" t="str">
        <f>IFERROR(__xludf.DUMMYFUNCTION("""COMPUTED_VALUE"""),"KATOLIK")</f>
        <v>KATOLIK</v>
      </c>
      <c r="S2987" s="74" t="str">
        <f>IFERROR(__xludf.DUMMYFUNCTION("""COMPUTED_VALUE"""),"-")</f>
        <v>-</v>
      </c>
      <c r="T2987" s="35" t="str">
        <f>IFERROR(__xludf.DUMMYFUNCTION("""COMPUTED_VALUE"""),"BAHU TIDAK NYAMAN")</f>
        <v>BAHU TIDAK NYAMAN</v>
      </c>
      <c r="U2987" s="35" t="str">
        <f>IFERROR(__xludf.DUMMYFUNCTION("""COMPUTED_VALUE"""),"DUDUK DEPAN KOMPUTER, OLAHRAGA")</f>
        <v>DUDUK DEPAN KOMPUTER, OLAHRAGA</v>
      </c>
      <c r="V2987" s="37" t="str">
        <f>IFERROR(__xludf.DUMMYFUNCTION("""COMPUTED_VALUE"""),"081253038681")</f>
        <v>081253038681</v>
      </c>
      <c r="W2987" s="45"/>
    </row>
    <row r="2988">
      <c r="A2988" s="45"/>
      <c r="B2988" s="24" t="str">
        <f>IFERROR(__xludf.DUMMYFUNCTION("""COMPUTED_VALUE"""),"23/10/2025 12:42:52")</f>
        <v>23/10/2025 12:42:52</v>
      </c>
      <c r="C2988" s="35"/>
      <c r="D2988" s="10">
        <f>IFERROR(__xludf.DUMMYFUNCTION("""COMPUTED_VALUE"""),45953.0)</f>
        <v>45953</v>
      </c>
      <c r="E2988" s="35" t="str">
        <f>IFERROR(__xludf.DUMMYFUNCTION("""COMPUTED_VALUE"""),"10Okt")</f>
        <v>10Okt</v>
      </c>
      <c r="F2988" s="34" t="str">
        <f>IFERROR(__xludf.DUMMYFUNCTION("""COMPUTED_VALUE"""),"2025")</f>
        <v>2025</v>
      </c>
      <c r="G2988" s="35" t="str">
        <f>IFERROR(__xludf.DUMMYFUNCTION("""COMPUTED_VALUE"""),"SHARON LIE")</f>
        <v>SHARON LIE</v>
      </c>
      <c r="H2988" s="35" t="str">
        <f>IFERROR(__xludf.DUMMYFUNCTION("""COMPUTED_VALUE"""),"S0825106969")</f>
        <v>S0825106969</v>
      </c>
      <c r="I2988" s="35">
        <f>IFERROR(__xludf.DUMMYFUNCTION("""COMPUTED_VALUE"""),17.0)</f>
        <v>17</v>
      </c>
      <c r="J2988" s="35" t="str">
        <f>IFERROR(__xludf.DUMMYFUNCTION("""COMPUTED_VALUE"""),"&lt; 18 tahun")</f>
        <v>&lt; 18 tahun</v>
      </c>
      <c r="K2988" s="21" t="str">
        <f>IFERROR(__xludf.DUMMYFUNCTION("""COMPUTED_VALUE"""),"15/09/2008")</f>
        <v>15/09/2008</v>
      </c>
      <c r="L2988" s="21" t="str">
        <f>IFERROR(__xludf.DUMMYFUNCTION("""COMPUTED_VALUE"""),"PEREMPUAN")</f>
        <v>PEREMPUAN</v>
      </c>
      <c r="M2988" s="35" t="str">
        <f>IFERROR(__xludf.DUMMYFUNCTION("""COMPUTED_VALUE"""),"DUSUN SOSOK 1")</f>
        <v>DUSUN SOSOK 1</v>
      </c>
      <c r="N2988" s="35" t="str">
        <f>IFERROR(__xludf.DUMMYFUNCTION("""COMPUTED_VALUE"""),"SOSOK")</f>
        <v>SOSOK</v>
      </c>
      <c r="O2988" s="35" t="str">
        <f>IFERROR(__xludf.DUMMYFUNCTION("""COMPUTED_VALUE"""),"TAYAN HULU")</f>
        <v>TAYAN HULU</v>
      </c>
      <c r="P2988" s="35" t="str">
        <f>IFERROR(__xludf.DUMMYFUNCTION("""COMPUTED_VALUE"""),"SANGGAU")</f>
        <v>SANGGAU</v>
      </c>
      <c r="Q2988" s="35" t="str">
        <f>IFERROR(__xludf.DUMMYFUNCTION("""COMPUTED_VALUE"""),"KALIMANTAN BARAT")</f>
        <v>KALIMANTAN BARAT</v>
      </c>
      <c r="R2988" s="21" t="str">
        <f>IFERROR(__xludf.DUMMYFUNCTION("""COMPUTED_VALUE"""),"KATOLIK")</f>
        <v>KATOLIK</v>
      </c>
      <c r="S2988" s="74" t="str">
        <f>IFERROR(__xludf.DUMMYFUNCTION("""COMPUTED_VALUE"""),"PELAJAR")</f>
        <v>PELAJAR</v>
      </c>
      <c r="T2988" s="35" t="str">
        <f>IFERROR(__xludf.DUMMYFUNCTION("""COMPUTED_VALUE"""),"KAKI PANJANG PENDEK, SERING SAKIT DI BAGIAN PUNGGUNG BAWAH")</f>
        <v>KAKI PANJANG PENDEK, SERING SAKIT DI BAGIAN PUNGGUNG BAWAH</v>
      </c>
      <c r="U2988" s="35" t="str">
        <f>IFERROR(__xludf.DUMMYFUNCTION("""COMPUTED_VALUE"""),"MUAY THAI (BARU BARU INI), GYM (DARI BBRP BULAN LALU), DANCE (SEJAK LAMA UDH DANCE)")</f>
        <v>MUAY THAI (BARU BARU INI), GYM (DARI BBRP BULAN LALU), DANCE (SEJAK LAMA UDH DANCE)</v>
      </c>
      <c r="V2988" s="37" t="str">
        <f>IFERROR(__xludf.DUMMYFUNCTION("""COMPUTED_VALUE"""),"081358586969")</f>
        <v>081358586969</v>
      </c>
      <c r="W2988" s="45"/>
    </row>
    <row r="2989">
      <c r="A2989" s="45"/>
      <c r="B2989" s="24" t="str">
        <f>IFERROR(__xludf.DUMMYFUNCTION("""COMPUTED_VALUE"""),"23/10/2025 15:03:49")</f>
        <v>23/10/2025 15:03:49</v>
      </c>
      <c r="C2989" s="35"/>
      <c r="D2989" s="10">
        <f>IFERROR(__xludf.DUMMYFUNCTION("""COMPUTED_VALUE"""),45953.0)</f>
        <v>45953</v>
      </c>
      <c r="E2989" s="35" t="str">
        <f>IFERROR(__xludf.DUMMYFUNCTION("""COMPUTED_VALUE"""),"10Okt")</f>
        <v>10Okt</v>
      </c>
      <c r="F2989" s="34" t="str">
        <f>IFERROR(__xludf.DUMMYFUNCTION("""COMPUTED_VALUE"""),"2025")</f>
        <v>2025</v>
      </c>
      <c r="G2989" s="35" t="str">
        <f>IFERROR(__xludf.DUMMYFUNCTION("""COMPUTED_VALUE"""),"ANDRE CORIYONGSEN TEDO")</f>
        <v>ANDRE CORIYONGSEN TEDO</v>
      </c>
      <c r="H2989" s="35" t="str">
        <f>IFERROR(__xludf.DUMMYFUNCTION("""COMPUTED_VALUE"""),"A9825105032")</f>
        <v>A9825105032</v>
      </c>
      <c r="I2989" s="35">
        <f>IFERROR(__xludf.DUMMYFUNCTION("""COMPUTED_VALUE"""),27.0)</f>
        <v>27</v>
      </c>
      <c r="J2989" s="35" t="str">
        <f>IFERROR(__xludf.DUMMYFUNCTION("""COMPUTED_VALUE"""),"25-34 tahun")</f>
        <v>25-34 tahun</v>
      </c>
      <c r="K2989" s="21" t="str">
        <f>IFERROR(__xludf.DUMMYFUNCTION("""COMPUTED_VALUE"""),"19/11/1998")</f>
        <v>19/11/1998</v>
      </c>
      <c r="L2989" s="21" t="str">
        <f>IFERROR(__xludf.DUMMYFUNCTION("""COMPUTED_VALUE"""),"LAKI-LAKI")</f>
        <v>LAKI-LAKI</v>
      </c>
      <c r="M2989" s="35" t="str">
        <f>IFERROR(__xludf.DUMMYFUNCTION("""COMPUTED_VALUE"""),"JL. TANJUNG PURA GG. MANDOR NO. 81")</f>
        <v>JL. TANJUNG PURA GG. MANDOR NO. 81</v>
      </c>
      <c r="N2989" s="35" t="str">
        <f>IFERROR(__xludf.DUMMYFUNCTION("""COMPUTED_VALUE"""),"BENUA MELAYU DARAT")</f>
        <v>BENUA MELAYU DARAT</v>
      </c>
      <c r="O2989" s="35" t="str">
        <f>IFERROR(__xludf.DUMMYFUNCTION("""COMPUTED_VALUE"""),"PONTIANAK SELATAN")</f>
        <v>PONTIANAK SELATAN</v>
      </c>
      <c r="P2989" s="35" t="str">
        <f>IFERROR(__xludf.DUMMYFUNCTION("""COMPUTED_VALUE"""),"PONTIANAK")</f>
        <v>PONTIANAK</v>
      </c>
      <c r="Q2989" s="35" t="str">
        <f>IFERROR(__xludf.DUMMYFUNCTION("""COMPUTED_VALUE"""),"KALIMANTAN BARAT")</f>
        <v>KALIMANTAN BARAT</v>
      </c>
      <c r="R2989" s="21" t="str">
        <f>IFERROR(__xludf.DUMMYFUNCTION("""COMPUTED_VALUE"""),"BUDDHA")</f>
        <v>BUDDHA</v>
      </c>
      <c r="S2989" s="74" t="str">
        <f>IFERROR(__xludf.DUMMYFUNCTION("""COMPUTED_VALUE"""),"TAROT READER")</f>
        <v>TAROT READER</v>
      </c>
      <c r="T2989" s="35" t="str">
        <f>IFERROR(__xludf.DUMMYFUNCTION("""COMPUTED_VALUE"""),"NYERI DI KESELURUHAN PUNGGUNG (TERUTAMA AREA BELIKAT KIRI YANG TERKADANG BISA MENJALAR KE LENGAN KIRI), JUGA LEHER")</f>
        <v>NYERI DI KESELURUHAN PUNGGUNG (TERUTAMA AREA BELIKAT KIRI YANG TERKADANG BISA MENJALAR KE LENGAN KIRI), JUGA LEHER</v>
      </c>
      <c r="U2989" s="35" t="str">
        <f>IFERROR(__xludf.DUMMYFUNCTION("""COMPUTED_VALUE"""),"TIDAK ADA, CUMAN MEMANG SERING DUDUK")</f>
        <v>TIDAK ADA, CUMAN MEMANG SERING DUDUK</v>
      </c>
      <c r="V2989" s="37" t="str">
        <f>IFERROR(__xludf.DUMMYFUNCTION("""COMPUTED_VALUE"""),"082352255032")</f>
        <v>082352255032</v>
      </c>
      <c r="W2989" s="45"/>
    </row>
    <row r="2990">
      <c r="A2990" s="45"/>
      <c r="B2990" s="24" t="str">
        <f>IFERROR(__xludf.DUMMYFUNCTION("""COMPUTED_VALUE"""),"24/10/2025 10:09:22")</f>
        <v>24/10/2025 10:09:22</v>
      </c>
      <c r="C2990" s="35"/>
      <c r="D2990" s="10">
        <f>IFERROR(__xludf.DUMMYFUNCTION("""COMPUTED_VALUE"""),45954.0)</f>
        <v>45954</v>
      </c>
      <c r="E2990" s="35" t="str">
        <f>IFERROR(__xludf.DUMMYFUNCTION("""COMPUTED_VALUE"""),"10Okt")</f>
        <v>10Okt</v>
      </c>
      <c r="F2990" s="34" t="str">
        <f>IFERROR(__xludf.DUMMYFUNCTION("""COMPUTED_VALUE"""),"2025")</f>
        <v>2025</v>
      </c>
      <c r="G2990" s="35" t="str">
        <f>IFERROR(__xludf.DUMMYFUNCTION("""COMPUTED_VALUE"""),"KATELYN ELANOR LIM")</f>
        <v>KATELYN ELANOR LIM</v>
      </c>
      <c r="H2990" s="35" t="str">
        <f>IFERROR(__xludf.DUMMYFUNCTION("""COMPUTED_VALUE"""),"K1625104577")</f>
        <v>K1625104577</v>
      </c>
      <c r="I2990" s="35">
        <f>IFERROR(__xludf.DUMMYFUNCTION("""COMPUTED_VALUE"""),9.0)</f>
        <v>9</v>
      </c>
      <c r="J2990" s="35" t="str">
        <f>IFERROR(__xludf.DUMMYFUNCTION("""COMPUTED_VALUE"""),"&lt; 18 tahun")</f>
        <v>&lt; 18 tahun</v>
      </c>
      <c r="K2990" s="21" t="str">
        <f>IFERROR(__xludf.DUMMYFUNCTION("""COMPUTED_VALUE"""),"26/07/2016")</f>
        <v>26/07/2016</v>
      </c>
      <c r="L2990" s="21" t="str">
        <f>IFERROR(__xludf.DUMMYFUNCTION("""COMPUTED_VALUE"""),"PEREMPUAN")</f>
        <v>PEREMPUAN</v>
      </c>
      <c r="M2990" s="35" t="str">
        <f>IFERROR(__xludf.DUMMYFUNCTION("""COMPUTED_VALUE"""),"JL SURYA GG SURYA GADING NO.9")</f>
        <v>JL SURYA GG SURYA GADING NO.9</v>
      </c>
      <c r="N2990" s="35" t="str">
        <f>IFERROR(__xludf.DUMMYFUNCTION("""COMPUTED_VALUE"""),"AKCAYA")</f>
        <v>AKCAYA</v>
      </c>
      <c r="O2990" s="35" t="str">
        <f>IFERROR(__xludf.DUMMYFUNCTION("""COMPUTED_VALUE"""),"PONTIANAK BARAT")</f>
        <v>PONTIANAK BARAT</v>
      </c>
      <c r="P2990" s="35" t="str">
        <f>IFERROR(__xludf.DUMMYFUNCTION("""COMPUTED_VALUE"""),"PONTIANAK")</f>
        <v>PONTIANAK</v>
      </c>
      <c r="Q2990" s="35" t="str">
        <f>IFERROR(__xludf.DUMMYFUNCTION("""COMPUTED_VALUE"""),"KALIMANTAN BARAT")</f>
        <v>KALIMANTAN BARAT</v>
      </c>
      <c r="R2990" s="21" t="str">
        <f>IFERROR(__xludf.DUMMYFUNCTION("""COMPUTED_VALUE"""),"KATOLIK")</f>
        <v>KATOLIK</v>
      </c>
      <c r="S2990" s="74" t="str">
        <f>IFERROR(__xludf.DUMMYFUNCTION("""COMPUTED_VALUE"""),"PELAJAR")</f>
        <v>PELAJAR</v>
      </c>
      <c r="T2990" s="35" t="str">
        <f>IFERROR(__xludf.DUMMYFUNCTION("""COMPUTED_VALUE"""),"KAKI KANAN KAKU")</f>
        <v>KAKI KANAN KAKU</v>
      </c>
      <c r="U2990" s="35" t="str">
        <f>IFERROR(__xludf.DUMMYFUNCTION("""COMPUTED_VALUE"""),"PERNAH PERSENDIAN SAKIT")</f>
        <v>PERNAH PERSENDIAN SAKIT</v>
      </c>
      <c r="V2990" s="37" t="str">
        <f>IFERROR(__xludf.DUMMYFUNCTION("""COMPUTED_VALUE"""),"082254634577")</f>
        <v>082254634577</v>
      </c>
      <c r="W2990" s="45"/>
    </row>
    <row r="2991">
      <c r="A2991" s="45"/>
      <c r="B2991" s="24" t="str">
        <f>IFERROR(__xludf.DUMMYFUNCTION("""COMPUTED_VALUE"""),"24/10/2025 13:08:22")</f>
        <v>24/10/2025 13:08:22</v>
      </c>
      <c r="C2991" s="35"/>
      <c r="D2991" s="10">
        <f>IFERROR(__xludf.DUMMYFUNCTION("""COMPUTED_VALUE"""),45954.0)</f>
        <v>45954</v>
      </c>
      <c r="E2991" s="35" t="str">
        <f>IFERROR(__xludf.DUMMYFUNCTION("""COMPUTED_VALUE"""),"10Okt")</f>
        <v>10Okt</v>
      </c>
      <c r="F2991" s="34" t="str">
        <f>IFERROR(__xludf.DUMMYFUNCTION("""COMPUTED_VALUE"""),"2025")</f>
        <v>2025</v>
      </c>
      <c r="G2991" s="35" t="str">
        <f>IFERROR(__xludf.DUMMYFUNCTION("""COMPUTED_VALUE"""),"BUJANG")</f>
        <v>BUJANG</v>
      </c>
      <c r="H2991" s="35" t="str">
        <f>IFERROR(__xludf.DUMMYFUNCTION("""COMPUTED_VALUE"""),"B7325109155")</f>
        <v>B7325109155</v>
      </c>
      <c r="I2991" s="35">
        <f>IFERROR(__xludf.DUMMYFUNCTION("""COMPUTED_VALUE"""),53.0)</f>
        <v>53</v>
      </c>
      <c r="J2991" s="35" t="str">
        <f>IFERROR(__xludf.DUMMYFUNCTION("""COMPUTED_VALUE"""),"&gt; 44 tahun")</f>
        <v>&gt; 44 tahun</v>
      </c>
      <c r="K2991" s="21" t="str">
        <f>IFERROR(__xludf.DUMMYFUNCTION("""COMPUTED_VALUE"""),"09/04/1973")</f>
        <v>09/04/1973</v>
      </c>
      <c r="L2991" s="21" t="str">
        <f>IFERROR(__xludf.DUMMYFUNCTION("""COMPUTED_VALUE"""),"LAKI-LAKI")</f>
        <v>LAKI-LAKI</v>
      </c>
      <c r="M2991" s="35" t="str">
        <f>IFERROR(__xludf.DUMMYFUNCTION("""COMPUTED_VALUE"""),"JL.HUSIN HAMZAH")</f>
        <v>JL.HUSIN HAMZAH</v>
      </c>
      <c r="N2991" s="35" t="str">
        <f>IFERROR(__xludf.DUMMYFUNCTION("""COMPUTED_VALUE"""),"PAL LIMA")</f>
        <v>PAL LIMA</v>
      </c>
      <c r="O2991" s="35" t="str">
        <f>IFERROR(__xludf.DUMMYFUNCTION("""COMPUTED_VALUE"""),"PONTIANAK BARAT")</f>
        <v>PONTIANAK BARAT</v>
      </c>
      <c r="P2991" s="35" t="str">
        <f>IFERROR(__xludf.DUMMYFUNCTION("""COMPUTED_VALUE"""),"KOTA PONTIANAK")</f>
        <v>KOTA PONTIANAK</v>
      </c>
      <c r="Q2991" s="35" t="str">
        <f>IFERROR(__xludf.DUMMYFUNCTION("""COMPUTED_VALUE"""),"KALIMANTAN BARAT")</f>
        <v>KALIMANTAN BARAT</v>
      </c>
      <c r="R2991" s="21" t="str">
        <f>IFERROR(__xludf.DUMMYFUNCTION("""COMPUTED_VALUE"""),"ISLAM")</f>
        <v>ISLAM</v>
      </c>
      <c r="S2991" s="74" t="str">
        <f>IFERROR(__xludf.DUMMYFUNCTION("""COMPUTED_VALUE"""),"WIRASUASTA")</f>
        <v>WIRASUASTA</v>
      </c>
      <c r="T2991" s="35" t="str">
        <f>IFERROR(__xludf.DUMMYFUNCTION("""COMPUTED_VALUE"""),"NYERI LUTUT")</f>
        <v>NYERI LUTUT</v>
      </c>
      <c r="U2991" s="35" t="str">
        <f>IFERROR(__xludf.DUMMYFUNCTION("""COMPUTED_VALUE"""),"BADMINTON")</f>
        <v>BADMINTON</v>
      </c>
      <c r="V2991" s="37" t="str">
        <f>IFERROR(__xludf.DUMMYFUNCTION("""COMPUTED_VALUE"""),"08125649155")</f>
        <v>08125649155</v>
      </c>
      <c r="W2991" s="45"/>
    </row>
    <row r="2992">
      <c r="A2992" s="45"/>
      <c r="B2992" s="24" t="str">
        <f>IFERROR(__xludf.DUMMYFUNCTION("""COMPUTED_VALUE"""),"25/10/2025 8:23:23")</f>
        <v>25/10/2025 8:23:23</v>
      </c>
      <c r="C2992" s="35"/>
      <c r="D2992" s="10">
        <f>IFERROR(__xludf.DUMMYFUNCTION("""COMPUTED_VALUE"""),45955.0)</f>
        <v>45955</v>
      </c>
      <c r="E2992" s="35" t="str">
        <f>IFERROR(__xludf.DUMMYFUNCTION("""COMPUTED_VALUE"""),"10Okt")</f>
        <v>10Okt</v>
      </c>
      <c r="F2992" s="34" t="str">
        <f>IFERROR(__xludf.DUMMYFUNCTION("""COMPUTED_VALUE"""),"2025")</f>
        <v>2025</v>
      </c>
      <c r="G2992" s="35" t="str">
        <f>IFERROR(__xludf.DUMMYFUNCTION("""COMPUTED_VALUE"""),"DECKY WAHYUDI")</f>
        <v>DECKY WAHYUDI</v>
      </c>
      <c r="H2992" s="35" t="str">
        <f>IFERROR(__xludf.DUMMYFUNCTION("""COMPUTED_VALUE"""),"D9825108138")</f>
        <v>D9825108138</v>
      </c>
      <c r="I2992" s="35">
        <f>IFERROR(__xludf.DUMMYFUNCTION("""COMPUTED_VALUE"""),28.0)</f>
        <v>28</v>
      </c>
      <c r="J2992" s="35" t="str">
        <f>IFERROR(__xludf.DUMMYFUNCTION("""COMPUTED_VALUE"""),"25-34 tahun")</f>
        <v>25-34 tahun</v>
      </c>
      <c r="K2992" s="21" t="str">
        <f>IFERROR(__xludf.DUMMYFUNCTION("""COMPUTED_VALUE"""),"03/06/1998")</f>
        <v>03/06/1998</v>
      </c>
      <c r="L2992" s="21" t="str">
        <f>IFERROR(__xludf.DUMMYFUNCTION("""COMPUTED_VALUE"""),"LAKI-LAKI")</f>
        <v>LAKI-LAKI</v>
      </c>
      <c r="M2992" s="35" t="str">
        <f>IFERROR(__xludf.DUMMYFUNCTION("""COMPUTED_VALUE"""),"JL. ARAFAH GG SLAT REMIS 2")</f>
        <v>JL. ARAFAH GG SLAT REMIS 2</v>
      </c>
      <c r="N2992" s="35" t="str">
        <f>IFERROR(__xludf.DUMMYFUNCTION("""COMPUTED_VALUE"""),"SIANTAN HULU")</f>
        <v>SIANTAN HULU</v>
      </c>
      <c r="O2992" s="35" t="str">
        <f>IFERROR(__xludf.DUMMYFUNCTION("""COMPUTED_VALUE"""),"PONTIANAK UTARA")</f>
        <v>PONTIANAK UTARA</v>
      </c>
      <c r="P2992" s="35" t="str">
        <f>IFERROR(__xludf.DUMMYFUNCTION("""COMPUTED_VALUE"""),"PONTIANAK")</f>
        <v>PONTIANAK</v>
      </c>
      <c r="Q2992" s="35" t="str">
        <f>IFERROR(__xludf.DUMMYFUNCTION("""COMPUTED_VALUE"""),"KALIMANTAN BARAT")</f>
        <v>KALIMANTAN BARAT</v>
      </c>
      <c r="R2992" s="21" t="str">
        <f>IFERROR(__xludf.DUMMYFUNCTION("""COMPUTED_VALUE"""),"ISLAM")</f>
        <v>ISLAM</v>
      </c>
      <c r="S2992" s="74" t="str">
        <f>IFERROR(__xludf.DUMMYFUNCTION("""COMPUTED_VALUE"""),"WIRASWASTA")</f>
        <v>WIRASWASTA</v>
      </c>
      <c r="T2992" s="35" t="str">
        <f>IFERROR(__xludf.DUMMYFUNCTION("""COMPUTED_VALUE"""),"LUTUT NGILU")</f>
        <v>LUTUT NGILU</v>
      </c>
      <c r="U2992" s="35" t="str">
        <f>IFERROR(__xludf.DUMMYFUNCTION("""COMPUTED_VALUE"""),"MAEN BOLA")</f>
        <v>MAEN BOLA</v>
      </c>
      <c r="V2992" s="37" t="str">
        <f>IFERROR(__xludf.DUMMYFUNCTION("""COMPUTED_VALUE"""),"089510788138")</f>
        <v>089510788138</v>
      </c>
      <c r="W2992" s="45"/>
    </row>
    <row r="2993">
      <c r="A2993" s="45"/>
      <c r="B2993" s="24" t="str">
        <f>IFERROR(__xludf.DUMMYFUNCTION("""COMPUTED_VALUE"""),"25/10/2025 10:31:59")</f>
        <v>25/10/2025 10:31:59</v>
      </c>
      <c r="C2993" s="35"/>
      <c r="D2993" s="10">
        <f>IFERROR(__xludf.DUMMYFUNCTION("""COMPUTED_VALUE"""),45955.0)</f>
        <v>45955</v>
      </c>
      <c r="E2993" s="35" t="str">
        <f>IFERROR(__xludf.DUMMYFUNCTION("""COMPUTED_VALUE"""),"10Okt")</f>
        <v>10Okt</v>
      </c>
      <c r="F2993" s="34" t="str">
        <f>IFERROR(__xludf.DUMMYFUNCTION("""COMPUTED_VALUE"""),"2025")</f>
        <v>2025</v>
      </c>
      <c r="G2993" s="35" t="str">
        <f>IFERROR(__xludf.DUMMYFUNCTION("""COMPUTED_VALUE"""),"NASYWA EDGINA HAPSARI")</f>
        <v>NASYWA EDGINA HAPSARI</v>
      </c>
      <c r="H2993" s="35" t="str">
        <f>IFERROR(__xludf.DUMMYFUNCTION("""COMPUTED_VALUE"""),"N0525103483")</f>
        <v>N0525103483</v>
      </c>
      <c r="I2993" s="35">
        <f>IFERROR(__xludf.DUMMYFUNCTION("""COMPUTED_VALUE"""),20.0)</f>
        <v>20</v>
      </c>
      <c r="J2993" s="35" t="str">
        <f>IFERROR(__xludf.DUMMYFUNCTION("""COMPUTED_VALUE"""),"18-24 tahun")</f>
        <v>18-24 tahun</v>
      </c>
      <c r="K2993" s="21" t="str">
        <f>IFERROR(__xludf.DUMMYFUNCTION("""COMPUTED_VALUE"""),"25/11/2005")</f>
        <v>25/11/2005</v>
      </c>
      <c r="L2993" s="21" t="str">
        <f>IFERROR(__xludf.DUMMYFUNCTION("""COMPUTED_VALUE"""),"PEREMPUAN")</f>
        <v>PEREMPUAN</v>
      </c>
      <c r="M2993" s="35" t="str">
        <f>IFERROR(__xludf.DUMMYFUNCTION("""COMPUTED_VALUE"""),"JL NGESREP BARAT IV DALAM NO 19")</f>
        <v>JL NGESREP BARAT IV DALAM NO 19</v>
      </c>
      <c r="N2993" s="35" t="str">
        <f>IFERROR(__xludf.DUMMYFUNCTION("""COMPUTED_VALUE"""),"SRONDOL KULON")</f>
        <v>SRONDOL KULON</v>
      </c>
      <c r="O2993" s="35" t="str">
        <f>IFERROR(__xludf.DUMMYFUNCTION("""COMPUTED_VALUE"""),"BANYUMANIK")</f>
        <v>BANYUMANIK</v>
      </c>
      <c r="P2993" s="35" t="str">
        <f>IFERROR(__xludf.DUMMYFUNCTION("""COMPUTED_VALUE"""),"KOTA SEMARANG")</f>
        <v>KOTA SEMARANG</v>
      </c>
      <c r="Q2993" s="35" t="str">
        <f>IFERROR(__xludf.DUMMYFUNCTION("""COMPUTED_VALUE"""),"JAWA TENGAH")</f>
        <v>JAWA TENGAH</v>
      </c>
      <c r="R2993" s="21" t="str">
        <f>IFERROR(__xludf.DUMMYFUNCTION("""COMPUTED_VALUE"""),"ISLAM")</f>
        <v>ISLAM</v>
      </c>
      <c r="S2993" s="74" t="str">
        <f>IFERROR(__xludf.DUMMYFUNCTION("""COMPUTED_VALUE"""),"PEGAWAI")</f>
        <v>PEGAWAI</v>
      </c>
      <c r="T2993" s="35" t="str">
        <f>IFERROR(__xludf.DUMMYFUNCTION("""COMPUTED_VALUE"""),"LEBAM PASCA KECELAKAAN")</f>
        <v>LEBAM PASCA KECELAKAAN</v>
      </c>
      <c r="U2993" s="35" t="str">
        <f>IFERROR(__xludf.DUMMYFUNCTION("""COMPUTED_VALUE"""),"JALAN NAIK TURUN TANGGA")</f>
        <v>JALAN NAIK TURUN TANGGA</v>
      </c>
      <c r="V2993" s="37" t="str">
        <f>IFERROR(__xludf.DUMMYFUNCTION("""COMPUTED_VALUE"""),"08979263483")</f>
        <v>08979263483</v>
      </c>
      <c r="W2993" s="45"/>
    </row>
    <row r="2994">
      <c r="A2994" s="45"/>
      <c r="B2994" s="24" t="str">
        <f>IFERROR(__xludf.DUMMYFUNCTION("""COMPUTED_VALUE"""),"25/10/2025 9:35:42")</f>
        <v>25/10/2025 9:35:42</v>
      </c>
      <c r="C2994" s="35"/>
      <c r="D2994" s="10">
        <f>IFERROR(__xludf.DUMMYFUNCTION("""COMPUTED_VALUE"""),45955.0)</f>
        <v>45955</v>
      </c>
      <c r="E2994" s="35" t="str">
        <f>IFERROR(__xludf.DUMMYFUNCTION("""COMPUTED_VALUE"""),"10Okt")</f>
        <v>10Okt</v>
      </c>
      <c r="F2994" s="34" t="str">
        <f>IFERROR(__xludf.DUMMYFUNCTION("""COMPUTED_VALUE"""),"2025")</f>
        <v>2025</v>
      </c>
      <c r="G2994" s="35" t="str">
        <f>IFERROR(__xludf.DUMMYFUNCTION("""COMPUTED_VALUE"""),"WAZIAN ZIRA ANTANYA")</f>
        <v>WAZIAN ZIRA ANTANYA</v>
      </c>
      <c r="H2994" s="35" t="str">
        <f>IFERROR(__xludf.DUMMYFUNCTION("""COMPUTED_VALUE"""),"W0825106980")</f>
        <v>W0825106980</v>
      </c>
      <c r="I2994" s="35">
        <f>IFERROR(__xludf.DUMMYFUNCTION("""COMPUTED_VALUE"""),18.0)</f>
        <v>18</v>
      </c>
      <c r="J2994" s="35" t="str">
        <f>IFERROR(__xludf.DUMMYFUNCTION("""COMPUTED_VALUE"""),"&lt; 18 tahun")</f>
        <v>&lt; 18 tahun</v>
      </c>
      <c r="K2994" s="21" t="str">
        <f>IFERROR(__xludf.DUMMYFUNCTION("""COMPUTED_VALUE"""),"23/02/2008")</f>
        <v>23/02/2008</v>
      </c>
      <c r="L2994" s="21" t="str">
        <f>IFERROR(__xludf.DUMMYFUNCTION("""COMPUTED_VALUE"""),"LAKI-LAKI")</f>
        <v>LAKI-LAKI</v>
      </c>
      <c r="M2994" s="35" t="str">
        <f>IFERROR(__xludf.DUMMYFUNCTION("""COMPUTED_VALUE"""),"TANJUNG RAYA 2, NO 4")</f>
        <v>TANJUNG RAYA 2, NO 4</v>
      </c>
      <c r="N2994" s="35" t="str">
        <f>IFERROR(__xludf.DUMMYFUNCTION("""COMPUTED_VALUE"""),"DESA KAPUR")</f>
        <v>DESA KAPUR</v>
      </c>
      <c r="O2994" s="35" t="str">
        <f>IFERROR(__xludf.DUMMYFUNCTION("""COMPUTED_VALUE"""),"SUNGAI RAYA")</f>
        <v>SUNGAI RAYA</v>
      </c>
      <c r="P2994" s="35" t="str">
        <f>IFERROR(__xludf.DUMMYFUNCTION("""COMPUTED_VALUE"""),"KUBU RAYA")</f>
        <v>KUBU RAYA</v>
      </c>
      <c r="Q2994" s="35" t="str">
        <f>IFERROR(__xludf.DUMMYFUNCTION("""COMPUTED_VALUE"""),"KALIMANTAN BARAT")</f>
        <v>KALIMANTAN BARAT</v>
      </c>
      <c r="R2994" s="21" t="str">
        <f>IFERROR(__xludf.DUMMYFUNCTION("""COMPUTED_VALUE"""),"ISLAM")</f>
        <v>ISLAM</v>
      </c>
      <c r="S2994" s="74" t="str">
        <f>IFERROR(__xludf.DUMMYFUNCTION("""COMPUTED_VALUE"""),"PELAJAR")</f>
        <v>PELAJAR</v>
      </c>
      <c r="T2994" s="35" t="str">
        <f>IFERROR(__xludf.DUMMYFUNCTION("""COMPUTED_VALUE"""),"SKOLIOSIS")</f>
        <v>SKOLIOSIS</v>
      </c>
      <c r="U2994" s="35" t="str">
        <f>IFERROR(__xludf.DUMMYFUNCTION("""COMPUTED_VALUE"""),"-")</f>
        <v>-</v>
      </c>
      <c r="V2994" s="37" t="str">
        <f>IFERROR(__xludf.DUMMYFUNCTION("""COMPUTED_VALUE"""),"081351206980")</f>
        <v>081351206980</v>
      </c>
      <c r="W2994" s="45"/>
    </row>
    <row r="2995">
      <c r="A2995" s="45"/>
      <c r="B2995" s="24" t="str">
        <f>IFERROR(__xludf.DUMMYFUNCTION("""COMPUTED_VALUE"""),"25/10/2025 10:58:51")</f>
        <v>25/10/2025 10:58:51</v>
      </c>
      <c r="C2995" s="35"/>
      <c r="D2995" s="10">
        <f>IFERROR(__xludf.DUMMYFUNCTION("""COMPUTED_VALUE"""),45955.0)</f>
        <v>45955</v>
      </c>
      <c r="E2995" s="35" t="str">
        <f>IFERROR(__xludf.DUMMYFUNCTION("""COMPUTED_VALUE"""),"10Okt")</f>
        <v>10Okt</v>
      </c>
      <c r="F2995" s="34" t="str">
        <f>IFERROR(__xludf.DUMMYFUNCTION("""COMPUTED_VALUE"""),"2025")</f>
        <v>2025</v>
      </c>
      <c r="G2995" s="35" t="str">
        <f>IFERROR(__xludf.DUMMYFUNCTION("""COMPUTED_VALUE"""),"M. ARSYAD")</f>
        <v>M. ARSYAD</v>
      </c>
      <c r="H2995" s="35" t="str">
        <f>IFERROR(__xludf.DUMMYFUNCTION("""COMPUTED_VALUE"""),"M6125100219")</f>
        <v>M6125100219</v>
      </c>
      <c r="I2995" s="35">
        <f>IFERROR(__xludf.DUMMYFUNCTION("""COMPUTED_VALUE"""),65.0)</f>
        <v>65</v>
      </c>
      <c r="J2995" s="35" t="str">
        <f>IFERROR(__xludf.DUMMYFUNCTION("""COMPUTED_VALUE"""),"&gt; 44 tahun")</f>
        <v>&gt; 44 tahun</v>
      </c>
      <c r="K2995" s="21" t="str">
        <f>IFERROR(__xludf.DUMMYFUNCTION("""COMPUTED_VALUE"""),"04/01/1961")</f>
        <v>04/01/1961</v>
      </c>
      <c r="L2995" s="21" t="str">
        <f>IFERROR(__xludf.DUMMYFUNCTION("""COMPUTED_VALUE"""),"LAKI-LAKI")</f>
        <v>LAKI-LAKI</v>
      </c>
      <c r="M2995" s="35" t="str">
        <f>IFERROR(__xludf.DUMMYFUNCTION("""COMPUTED_VALUE"""),"JL. KOL. SOEGIONO GG. SULAIMAN NO. 9 DELTA PAWAN KETAPANG")</f>
        <v>JL. KOL. SOEGIONO GG. SULAIMAN NO. 9 DELTA PAWAN KETAPANG</v>
      </c>
      <c r="N2995" s="35" t="str">
        <f>IFERROR(__xludf.DUMMYFUNCTION("""COMPUTED_VALUE"""),"SAMPIT")</f>
        <v>SAMPIT</v>
      </c>
      <c r="O2995" s="35" t="str">
        <f>IFERROR(__xludf.DUMMYFUNCTION("""COMPUTED_VALUE"""),"DELTA PAWAN")</f>
        <v>DELTA PAWAN</v>
      </c>
      <c r="P2995" s="35" t="str">
        <f>IFERROR(__xludf.DUMMYFUNCTION("""COMPUTED_VALUE"""),"KETAPANG")</f>
        <v>KETAPANG</v>
      </c>
      <c r="Q2995" s="35" t="str">
        <f>IFERROR(__xludf.DUMMYFUNCTION("""COMPUTED_VALUE"""),"KALIMANTAN BARAT")</f>
        <v>KALIMANTAN BARAT</v>
      </c>
      <c r="R2995" s="21" t="str">
        <f>IFERROR(__xludf.DUMMYFUNCTION("""COMPUTED_VALUE"""),"ISLAM")</f>
        <v>ISLAM</v>
      </c>
      <c r="S2995" s="74" t="str">
        <f>IFERROR(__xludf.DUMMYFUNCTION("""COMPUTED_VALUE"""),"SWASTA")</f>
        <v>SWASTA</v>
      </c>
      <c r="T2995" s="35" t="str">
        <f>IFERROR(__xludf.DUMMYFUNCTION("""COMPUTED_VALUE"""),"SAKIT DI BAGIAN BOKONG SAMPAI KAKI BAWAH")</f>
        <v>SAKIT DI BAGIAN BOKONG SAMPAI KAKI BAWAH</v>
      </c>
      <c r="U2995" s="35" t="str">
        <f>IFERROR(__xludf.DUMMYFUNCTION("""COMPUTED_VALUE"""),"TUKANG BANGUNAN")</f>
        <v>TUKANG BANGUNAN</v>
      </c>
      <c r="V2995" s="37" t="str">
        <f>IFERROR(__xludf.DUMMYFUNCTION("""COMPUTED_VALUE"""),"089502710219")</f>
        <v>089502710219</v>
      </c>
      <c r="W2995" s="45"/>
    </row>
    <row r="2996">
      <c r="A2996" s="45"/>
      <c r="B2996" s="24" t="str">
        <f>IFERROR(__xludf.DUMMYFUNCTION("""COMPUTED_VALUE"""),"25/10/2025 14:14:52")</f>
        <v>25/10/2025 14:14:52</v>
      </c>
      <c r="C2996" s="35"/>
      <c r="D2996" s="10">
        <f>IFERROR(__xludf.DUMMYFUNCTION("""COMPUTED_VALUE"""),45955.0)</f>
        <v>45955</v>
      </c>
      <c r="E2996" s="35" t="str">
        <f>IFERROR(__xludf.DUMMYFUNCTION("""COMPUTED_VALUE"""),"10Okt")</f>
        <v>10Okt</v>
      </c>
      <c r="F2996" s="34" t="str">
        <f>IFERROR(__xludf.DUMMYFUNCTION("""COMPUTED_VALUE"""),"2025")</f>
        <v>2025</v>
      </c>
      <c r="G2996" s="35" t="str">
        <f>IFERROR(__xludf.DUMMYFUNCTION("""COMPUTED_VALUE"""),"DHUTA ERLANGGA SUPRAYITNO")</f>
        <v>DHUTA ERLANGGA SUPRAYITNO</v>
      </c>
      <c r="H2996" s="35" t="str">
        <f>IFERROR(__xludf.DUMMYFUNCTION("""COMPUTED_VALUE"""),"D0625102206")</f>
        <v>D0625102206</v>
      </c>
      <c r="I2996" s="35">
        <f>IFERROR(__xludf.DUMMYFUNCTION("""COMPUTED_VALUE"""),19.0)</f>
        <v>19</v>
      </c>
      <c r="J2996" s="35" t="str">
        <f>IFERROR(__xludf.DUMMYFUNCTION("""COMPUTED_VALUE"""),"18-24 tahun")</f>
        <v>18-24 tahun</v>
      </c>
      <c r="K2996" s="21" t="str">
        <f>IFERROR(__xludf.DUMMYFUNCTION("""COMPUTED_VALUE"""),"04/07/2006")</f>
        <v>04/07/2006</v>
      </c>
      <c r="L2996" s="21" t="str">
        <f>IFERROR(__xludf.DUMMYFUNCTION("""COMPUTED_VALUE"""),"LAKI-LAKI")</f>
        <v>LAKI-LAKI</v>
      </c>
      <c r="M2996" s="35" t="str">
        <f>IFERROR(__xludf.DUMMYFUNCTION("""COMPUTED_VALUE"""),"GG. SWASEMBADA II DALAM")</f>
        <v>GG. SWASEMBADA II DALAM</v>
      </c>
      <c r="N2996" s="35" t="str">
        <f>IFERROR(__xludf.DUMMYFUNCTION("""COMPUTED_VALUE"""),"SIANTAN HULU")</f>
        <v>SIANTAN HULU</v>
      </c>
      <c r="O2996" s="35" t="str">
        <f>IFERROR(__xludf.DUMMYFUNCTION("""COMPUTED_VALUE"""),"PONTIANAK UTARA")</f>
        <v>PONTIANAK UTARA</v>
      </c>
      <c r="P2996" s="35" t="str">
        <f>IFERROR(__xludf.DUMMYFUNCTION("""COMPUTED_VALUE"""),"KOTA PONTIANAK")</f>
        <v>KOTA PONTIANAK</v>
      </c>
      <c r="Q2996" s="35" t="str">
        <f>IFERROR(__xludf.DUMMYFUNCTION("""COMPUTED_VALUE"""),"KALIMANTAN BARAT")</f>
        <v>KALIMANTAN BARAT</v>
      </c>
      <c r="R2996" s="21" t="str">
        <f>IFERROR(__xludf.DUMMYFUNCTION("""COMPUTED_VALUE"""),"ISLAM")</f>
        <v>ISLAM</v>
      </c>
      <c r="S2996" s="74" t="str">
        <f>IFERROR(__xludf.DUMMYFUNCTION("""COMPUTED_VALUE"""),"KARYAWAN SWASTA")</f>
        <v>KARYAWAN SWASTA</v>
      </c>
      <c r="T2996" s="35" t="str">
        <f>IFERROR(__xludf.DUMMYFUNCTION("""COMPUTED_VALUE"""),"CEDERA KAKI")</f>
        <v>CEDERA KAKI</v>
      </c>
      <c r="U2996" s="35" t="str">
        <f>IFERROR(__xludf.DUMMYFUNCTION("""COMPUTED_VALUE"""),"BERMAIN FUTSAL")</f>
        <v>BERMAIN FUTSAL</v>
      </c>
      <c r="V2996" s="37" t="str">
        <f>IFERROR(__xludf.DUMMYFUNCTION("""COMPUTED_VALUE"""),"0895415242206")</f>
        <v>0895415242206</v>
      </c>
      <c r="W2996" s="45"/>
    </row>
    <row r="2997">
      <c r="A2997" s="45"/>
      <c r="B2997" s="24" t="str">
        <f>IFERROR(__xludf.DUMMYFUNCTION("""COMPUTED_VALUE"""),"25/10/2025 16:25:29")</f>
        <v>25/10/2025 16:25:29</v>
      </c>
      <c r="C2997" s="35"/>
      <c r="D2997" s="10">
        <f>IFERROR(__xludf.DUMMYFUNCTION("""COMPUTED_VALUE"""),45955.0)</f>
        <v>45955</v>
      </c>
      <c r="E2997" s="35" t="str">
        <f>IFERROR(__xludf.DUMMYFUNCTION("""COMPUTED_VALUE"""),"10Okt")</f>
        <v>10Okt</v>
      </c>
      <c r="F2997" s="34" t="str">
        <f>IFERROR(__xludf.DUMMYFUNCTION("""COMPUTED_VALUE"""),"2025")</f>
        <v>2025</v>
      </c>
      <c r="G2997" s="35" t="str">
        <f>IFERROR(__xludf.DUMMYFUNCTION("""COMPUTED_VALUE"""),"ARDI ZAJULI")</f>
        <v>ARDI ZAJULI</v>
      </c>
      <c r="H2997" s="35" t="str">
        <f>IFERROR(__xludf.DUMMYFUNCTION("""COMPUTED_VALUE"""),"A9125109974")</f>
        <v>A9125109974</v>
      </c>
      <c r="I2997" s="35">
        <f>IFERROR(__xludf.DUMMYFUNCTION("""COMPUTED_VALUE"""),34.0)</f>
        <v>34</v>
      </c>
      <c r="J2997" s="35" t="str">
        <f>IFERROR(__xludf.DUMMYFUNCTION("""COMPUTED_VALUE"""),"25-34 tahun")</f>
        <v>25-34 tahun</v>
      </c>
      <c r="K2997" s="21" t="str">
        <f>IFERROR(__xludf.DUMMYFUNCTION("""COMPUTED_VALUE"""),"29/10/1991")</f>
        <v>29/10/1991</v>
      </c>
      <c r="L2997" s="21" t="str">
        <f>IFERROR(__xludf.DUMMYFUNCTION("""COMPUTED_VALUE"""),"LAKI-LAKI")</f>
        <v>LAKI-LAKI</v>
      </c>
      <c r="M2997" s="35" t="str">
        <f>IFERROR(__xludf.DUMMYFUNCTION("""COMPUTED_VALUE"""),"JL AKCAYA II SINTANG")</f>
        <v>JL AKCAYA II SINTANG</v>
      </c>
      <c r="N2997" s="35" t="str">
        <f>IFERROR(__xludf.DUMMYFUNCTION("""COMPUTED_VALUE"""),"TANJUNG PURI")</f>
        <v>TANJUNG PURI</v>
      </c>
      <c r="O2997" s="35" t="str">
        <f>IFERROR(__xludf.DUMMYFUNCTION("""COMPUTED_VALUE"""),"SINTANG")</f>
        <v>SINTANG</v>
      </c>
      <c r="P2997" s="35" t="str">
        <f>IFERROR(__xludf.DUMMYFUNCTION("""COMPUTED_VALUE"""),"SINTANG")</f>
        <v>SINTANG</v>
      </c>
      <c r="Q2997" s="35" t="str">
        <f>IFERROR(__xludf.DUMMYFUNCTION("""COMPUTED_VALUE"""),"KALIMANTAN BARAT")</f>
        <v>KALIMANTAN BARAT</v>
      </c>
      <c r="R2997" s="21" t="str">
        <f>IFERROR(__xludf.DUMMYFUNCTION("""COMPUTED_VALUE"""),"ISLAM")</f>
        <v>ISLAM</v>
      </c>
      <c r="S2997" s="74" t="str">
        <f>IFERROR(__xludf.DUMMYFUNCTION("""COMPUTED_VALUE"""),"KARYAWAN")</f>
        <v>KARYAWAN</v>
      </c>
      <c r="T2997" s="35" t="str">
        <f>IFERROR(__xludf.DUMMYFUNCTION("""COMPUTED_VALUE"""),"STRAIGHT LUMBALIS DAN PLANTAR OS CALCANEUS")</f>
        <v>STRAIGHT LUMBALIS DAN PLANTAR OS CALCANEUS</v>
      </c>
      <c r="U2997" s="35" t="str">
        <f>IFERROR(__xludf.DUMMYFUNCTION("""COMPUTED_VALUE"""),"BEKERJA DUDUK BERDIRI LAMA JDI KAKI KANAN SAMPAI PANGKAL PAHA LINU")</f>
        <v>BEKERJA DUDUK BERDIRI LAMA JDI KAKI KANAN SAMPAI PANGKAL PAHA LINU</v>
      </c>
      <c r="V2997" s="37" t="str">
        <f>IFERROR(__xludf.DUMMYFUNCTION("""COMPUTED_VALUE"""),"081251099974")</f>
        <v>081251099974</v>
      </c>
      <c r="W2997" s="45"/>
    </row>
    <row r="2998">
      <c r="A2998" s="45"/>
      <c r="B2998" s="24" t="str">
        <f>IFERROR(__xludf.DUMMYFUNCTION("""COMPUTED_VALUE"""),"25/10/2025 14:43:14")</f>
        <v>25/10/2025 14:43:14</v>
      </c>
      <c r="C2998" s="35"/>
      <c r="D2998" s="10">
        <f>IFERROR(__xludf.DUMMYFUNCTION("""COMPUTED_VALUE"""),45956.0)</f>
        <v>45956</v>
      </c>
      <c r="E2998" s="35" t="str">
        <f>IFERROR(__xludf.DUMMYFUNCTION("""COMPUTED_VALUE"""),"10Okt")</f>
        <v>10Okt</v>
      </c>
      <c r="F2998" s="34" t="str">
        <f>IFERROR(__xludf.DUMMYFUNCTION("""COMPUTED_VALUE"""),"2025")</f>
        <v>2025</v>
      </c>
      <c r="G2998" s="35" t="str">
        <f>IFERROR(__xludf.DUMMYFUNCTION("""COMPUTED_VALUE"""),"NOEVAL MUZZAKY")</f>
        <v>NOEVAL MUZZAKY</v>
      </c>
      <c r="H2998" s="35" t="str">
        <f>IFERROR(__xludf.DUMMYFUNCTION("""COMPUTED_VALUE"""),"N0425105874")</f>
        <v>N0425105874</v>
      </c>
      <c r="I2998" s="35">
        <f>IFERROR(__xludf.DUMMYFUNCTION("""COMPUTED_VALUE"""),22.0)</f>
        <v>22</v>
      </c>
      <c r="J2998" s="35" t="str">
        <f>IFERROR(__xludf.DUMMYFUNCTION("""COMPUTED_VALUE"""),"18-24 tahun")</f>
        <v>18-24 tahun</v>
      </c>
      <c r="K2998" s="21" t="str">
        <f>IFERROR(__xludf.DUMMYFUNCTION("""COMPUTED_VALUE"""),"25/01/2004")</f>
        <v>25/01/2004</v>
      </c>
      <c r="L2998" s="21" t="str">
        <f>IFERROR(__xludf.DUMMYFUNCTION("""COMPUTED_VALUE"""),"LAKI-LAKI")</f>
        <v>LAKI-LAKI</v>
      </c>
      <c r="M2998" s="35" t="str">
        <f>IFERROR(__xludf.DUMMYFUNCTION("""COMPUTED_VALUE"""),"JL HUESIN HAMZAH")</f>
        <v>JL HUESIN HAMZAH</v>
      </c>
      <c r="N2998" s="35" t="str">
        <f>IFERROR(__xludf.DUMMYFUNCTION("""COMPUTED_VALUE"""),"PAL LIMA")</f>
        <v>PAL LIMA</v>
      </c>
      <c r="O2998" s="35" t="str">
        <f>IFERROR(__xludf.DUMMYFUNCTION("""COMPUTED_VALUE"""),"PONTIANAK BARAT")</f>
        <v>PONTIANAK BARAT</v>
      </c>
      <c r="P2998" s="35" t="str">
        <f>IFERROR(__xludf.DUMMYFUNCTION("""COMPUTED_VALUE"""),"PONTIANAK")</f>
        <v>PONTIANAK</v>
      </c>
      <c r="Q2998" s="35" t="str">
        <f>IFERROR(__xludf.DUMMYFUNCTION("""COMPUTED_VALUE"""),"PONTIANAK")</f>
        <v>PONTIANAK</v>
      </c>
      <c r="R2998" s="21" t="str">
        <f>IFERROR(__xludf.DUMMYFUNCTION("""COMPUTED_VALUE"""),"ISLAM")</f>
        <v>ISLAM</v>
      </c>
      <c r="S2998" s="74" t="str">
        <f>IFERROR(__xludf.DUMMYFUNCTION("""COMPUTED_VALUE"""),"ADMIN GOR")</f>
        <v>ADMIN GOR</v>
      </c>
      <c r="T2998" s="35" t="str">
        <f>IFERROR(__xludf.DUMMYFUNCTION("""COMPUTED_VALUE"""),"NYERI SIKU")</f>
        <v>NYERI SIKU</v>
      </c>
      <c r="U2998" s="35" t="str">
        <f>IFERROR(__xludf.DUMMYFUNCTION("""COMPUTED_VALUE"""),"BADMINTON")</f>
        <v>BADMINTON</v>
      </c>
      <c r="V2998" s="37" t="str">
        <f>IFERROR(__xludf.DUMMYFUNCTION("""COMPUTED_VALUE"""),"082213405874")</f>
        <v>082213405874</v>
      </c>
      <c r="W2998" s="45"/>
    </row>
    <row r="2999">
      <c r="A2999" s="45"/>
      <c r="B2999" s="24" t="str">
        <f>IFERROR(__xludf.DUMMYFUNCTION("""COMPUTED_VALUE"""),"26/10/2025 11:25:14")</f>
        <v>26/10/2025 11:25:14</v>
      </c>
      <c r="C2999" s="35"/>
      <c r="D2999" s="10">
        <f>IFERROR(__xludf.DUMMYFUNCTION("""COMPUTED_VALUE"""),45956.0)</f>
        <v>45956</v>
      </c>
      <c r="E2999" s="35" t="str">
        <f>IFERROR(__xludf.DUMMYFUNCTION("""COMPUTED_VALUE"""),"10Okt")</f>
        <v>10Okt</v>
      </c>
      <c r="F2999" s="34" t="str">
        <f>IFERROR(__xludf.DUMMYFUNCTION("""COMPUTED_VALUE"""),"2025")</f>
        <v>2025</v>
      </c>
      <c r="G2999" s="35" t="str">
        <f>IFERROR(__xludf.DUMMYFUNCTION("""COMPUTED_VALUE"""),"RAJEMAH")</f>
        <v>RAJEMAH</v>
      </c>
      <c r="H2999" s="35" t="str">
        <f>IFERROR(__xludf.DUMMYFUNCTION("""COMPUTED_VALUE"""),"R6425100682")</f>
        <v>R6425100682</v>
      </c>
      <c r="I2999" s="35">
        <f>IFERROR(__xludf.DUMMYFUNCTION("""COMPUTED_VALUE"""),61.0)</f>
        <v>61</v>
      </c>
      <c r="J2999" s="35" t="str">
        <f>IFERROR(__xludf.DUMMYFUNCTION("""COMPUTED_VALUE"""),"&gt; 44 tahun")</f>
        <v>&gt; 44 tahun</v>
      </c>
      <c r="K2999" s="21" t="str">
        <f>IFERROR(__xludf.DUMMYFUNCTION("""COMPUTED_VALUE"""),"01/08/1964")</f>
        <v>01/08/1964</v>
      </c>
      <c r="L2999" s="21" t="str">
        <f>IFERROR(__xludf.DUMMYFUNCTION("""COMPUTED_VALUE"""),"PEREMPUAN")</f>
        <v>PEREMPUAN</v>
      </c>
      <c r="M2999" s="35" t="str">
        <f>IFERROR(__xludf.DUMMYFUNCTION("""COMPUTED_VALUE"""),"DESA KAPUR SUNGAI RAYA")</f>
        <v>DESA KAPUR SUNGAI RAYA</v>
      </c>
      <c r="N2999" s="35" t="str">
        <f>IFERROR(__xludf.DUMMYFUNCTION("""COMPUTED_VALUE"""),"KAPUR")</f>
        <v>KAPUR</v>
      </c>
      <c r="O2999" s="35" t="str">
        <f>IFERROR(__xludf.DUMMYFUNCTION("""COMPUTED_VALUE"""),"SUNGAI RAYA")</f>
        <v>SUNGAI RAYA</v>
      </c>
      <c r="P2999" s="35" t="str">
        <f>IFERROR(__xludf.DUMMYFUNCTION("""COMPUTED_VALUE"""),"PONTIANAK")</f>
        <v>PONTIANAK</v>
      </c>
      <c r="Q2999" s="35" t="str">
        <f>IFERROR(__xludf.DUMMYFUNCTION("""COMPUTED_VALUE"""),"KALIMANTAN BARAT")</f>
        <v>KALIMANTAN BARAT</v>
      </c>
      <c r="R2999" s="21" t="str">
        <f>IFERROR(__xludf.DUMMYFUNCTION("""COMPUTED_VALUE"""),"ISLAM")</f>
        <v>ISLAM</v>
      </c>
      <c r="S2999" s="74" t="str">
        <f>IFERROR(__xludf.DUMMYFUNCTION("""COMPUTED_VALUE"""),"IRT")</f>
        <v>IRT</v>
      </c>
      <c r="T2999" s="35" t="str">
        <f>IFERROR(__xludf.DUMMYFUNCTION("""COMPUTED_VALUE"""),"SYARAF KEJEPIT")</f>
        <v>SYARAF KEJEPIT</v>
      </c>
      <c r="U2999" s="35" t="str">
        <f>IFERROR(__xludf.DUMMYFUNCTION("""COMPUTED_VALUE"""),"-")</f>
        <v>-</v>
      </c>
      <c r="V2999" s="37" t="str">
        <f>IFERROR(__xludf.DUMMYFUNCTION("""COMPUTED_VALUE"""),"089693300682")</f>
        <v>089693300682</v>
      </c>
      <c r="W2999" s="45"/>
    </row>
    <row r="3000">
      <c r="A3000" s="45"/>
      <c r="B3000" s="24" t="str">
        <f>IFERROR(__xludf.DUMMYFUNCTION("""COMPUTED_VALUE"""),"26/10/2025 12:53:45")</f>
        <v>26/10/2025 12:53:45</v>
      </c>
      <c r="C3000" s="35"/>
      <c r="D3000" s="10">
        <f>IFERROR(__xludf.DUMMYFUNCTION("""COMPUTED_VALUE"""),45956.0)</f>
        <v>45956</v>
      </c>
      <c r="E3000" s="35" t="str">
        <f>IFERROR(__xludf.DUMMYFUNCTION("""COMPUTED_VALUE"""),"10Okt")</f>
        <v>10Okt</v>
      </c>
      <c r="F3000" s="34" t="str">
        <f>IFERROR(__xludf.DUMMYFUNCTION("""COMPUTED_VALUE"""),"2025")</f>
        <v>2025</v>
      </c>
      <c r="G3000" s="35" t="str">
        <f>IFERROR(__xludf.DUMMYFUNCTION("""COMPUTED_VALUE"""),"ANGELICA BUNARDI")</f>
        <v>ANGELICA BUNARDI</v>
      </c>
      <c r="H3000" s="35" t="str">
        <f>IFERROR(__xludf.DUMMYFUNCTION("""COMPUTED_VALUE"""),"A9925105509")</f>
        <v>A9925105509</v>
      </c>
      <c r="I3000" s="35">
        <f>IFERROR(__xludf.DUMMYFUNCTION("""COMPUTED_VALUE"""),27.0)</f>
        <v>27</v>
      </c>
      <c r="J3000" s="35" t="str">
        <f>IFERROR(__xludf.DUMMYFUNCTION("""COMPUTED_VALUE"""),"25-34 tahun")</f>
        <v>25-34 tahun</v>
      </c>
      <c r="K3000" s="21" t="str">
        <f>IFERROR(__xludf.DUMMYFUNCTION("""COMPUTED_VALUE"""),"05/05/1999")</f>
        <v>05/05/1999</v>
      </c>
      <c r="L3000" s="21" t="str">
        <f>IFERROR(__xludf.DUMMYFUNCTION("""COMPUTED_VALUE"""),"PEREMPUAN")</f>
        <v>PEREMPUAN</v>
      </c>
      <c r="M3000" s="35" t="str">
        <f>IFERROR(__xludf.DUMMYFUNCTION("""COMPUTED_VALUE"""),"JL IMAM BONJOL KOMPLEK WADUK NO B8")</f>
        <v>JL IMAM BONJOL KOMPLEK WADUK NO B8</v>
      </c>
      <c r="N3000" s="35" t="str">
        <f>IFERROR(__xludf.DUMMYFUNCTION("""COMPUTED_VALUE"""),"BENUA MELAYU DARAT")</f>
        <v>BENUA MELAYU DARAT</v>
      </c>
      <c r="O3000" s="35" t="str">
        <f>IFERROR(__xludf.DUMMYFUNCTION("""COMPUTED_VALUE"""),"PONTIANAK SELATAN")</f>
        <v>PONTIANAK SELATAN</v>
      </c>
      <c r="P3000" s="35" t="str">
        <f>IFERROR(__xludf.DUMMYFUNCTION("""COMPUTED_VALUE"""),"KOTA PONTIANAJ")</f>
        <v>KOTA PONTIANAJ</v>
      </c>
      <c r="Q3000" s="35" t="str">
        <f>IFERROR(__xludf.DUMMYFUNCTION("""COMPUTED_VALUE"""),"KALIMANTAN BARAT")</f>
        <v>KALIMANTAN BARAT</v>
      </c>
      <c r="R3000" s="21" t="str">
        <f>IFERROR(__xludf.DUMMYFUNCTION("""COMPUTED_VALUE"""),"BUDDHA")</f>
        <v>BUDDHA</v>
      </c>
      <c r="S3000" s="74" t="str">
        <f>IFERROR(__xludf.DUMMYFUNCTION("""COMPUTED_VALUE"""),"WIRASWASTA")</f>
        <v>WIRASWASTA</v>
      </c>
      <c r="T3000" s="35" t="str">
        <f>IFERROR(__xludf.DUMMYFUNCTION("""COMPUTED_VALUE"""),"KAKI BEKAS ANKLE SPRAIN SUDAH DITRE DAN BAHU PEGAL")</f>
        <v>KAKI BEKAS ANKLE SPRAIN SUDAH DITRE DAN BAHU PEGAL</v>
      </c>
      <c r="U3000" s="35" t="str">
        <f>IFERROR(__xludf.DUMMYFUNCTION("""COMPUTED_VALUE"""),"2 MINGGU LALU JATUH DARI KETINGGIAN")</f>
        <v>2 MINGGU LALU JATUH DARI KETINGGIAN</v>
      </c>
      <c r="V3000" s="37" t="str">
        <f>IFERROR(__xludf.DUMMYFUNCTION("""COMPUTED_VALUE"""),"082252075509")</f>
        <v>082252075509</v>
      </c>
      <c r="W3000" s="45"/>
    </row>
    <row r="3001">
      <c r="A3001" s="45"/>
      <c r="B3001" s="24" t="str">
        <f>IFERROR(__xludf.DUMMYFUNCTION("""COMPUTED_VALUE"""),"26/10/2025 13:36:52")</f>
        <v>26/10/2025 13:36:52</v>
      </c>
      <c r="C3001" s="35"/>
      <c r="D3001" s="10">
        <f>IFERROR(__xludf.DUMMYFUNCTION("""COMPUTED_VALUE"""),45956.0)</f>
        <v>45956</v>
      </c>
      <c r="E3001" s="35" t="str">
        <f>IFERROR(__xludf.DUMMYFUNCTION("""COMPUTED_VALUE"""),"10Okt")</f>
        <v>10Okt</v>
      </c>
      <c r="F3001" s="34" t="str">
        <f>IFERROR(__xludf.DUMMYFUNCTION("""COMPUTED_VALUE"""),"2025")</f>
        <v>2025</v>
      </c>
      <c r="G3001" s="35" t="str">
        <f>IFERROR(__xludf.DUMMYFUNCTION("""COMPUTED_VALUE"""),"OBIN")</f>
        <v>OBIN</v>
      </c>
      <c r="H3001" s="35" t="str">
        <f>IFERROR(__xludf.DUMMYFUNCTION("""COMPUTED_VALUE"""),"O7825104730")</f>
        <v>O7825104730</v>
      </c>
      <c r="I3001" s="35">
        <f>IFERROR(__xludf.DUMMYFUNCTION("""COMPUTED_VALUE"""),48.0)</f>
        <v>48</v>
      </c>
      <c r="J3001" s="35" t="str">
        <f>IFERROR(__xludf.DUMMYFUNCTION("""COMPUTED_VALUE"""),"&gt; 44 tahun")</f>
        <v>&gt; 44 tahun</v>
      </c>
      <c r="K3001" s="21" t="str">
        <f>IFERROR(__xludf.DUMMYFUNCTION("""COMPUTED_VALUE"""),"09/02/1978")</f>
        <v>09/02/1978</v>
      </c>
      <c r="L3001" s="21" t="str">
        <f>IFERROR(__xludf.DUMMYFUNCTION("""COMPUTED_VALUE"""),"PEREMPUAN")</f>
        <v>PEREMPUAN</v>
      </c>
      <c r="M3001" s="35" t="str">
        <f>IFERROR(__xludf.DUMMYFUNCTION("""COMPUTED_VALUE"""),"DUSUN PINTU SEPULUH")</f>
        <v>DUSUN PINTU SEPULUH</v>
      </c>
      <c r="N3001" s="35" t="str">
        <f>IFERROR(__xludf.DUMMYFUNCTION("""COMPUTED_VALUE"""),"MELOBOK")</f>
        <v>MELOBOK</v>
      </c>
      <c r="O3001" s="35" t="str">
        <f>IFERROR(__xludf.DUMMYFUNCTION("""COMPUTED_VALUE"""),"MELIAU")</f>
        <v>MELIAU</v>
      </c>
      <c r="P3001" s="35" t="str">
        <f>IFERROR(__xludf.DUMMYFUNCTION("""COMPUTED_VALUE"""),"SANGGAU")</f>
        <v>SANGGAU</v>
      </c>
      <c r="Q3001" s="35" t="str">
        <f>IFERROR(__xludf.DUMMYFUNCTION("""COMPUTED_VALUE"""),"KALIMANTAN BARAT")</f>
        <v>KALIMANTAN BARAT</v>
      </c>
      <c r="R3001" s="21" t="str">
        <f>IFERROR(__xludf.DUMMYFUNCTION("""COMPUTED_VALUE"""),"KATOLIK")</f>
        <v>KATOLIK</v>
      </c>
      <c r="S3001" s="74" t="str">
        <f>IFERROR(__xludf.DUMMYFUNCTION("""COMPUTED_VALUE"""),"IBU RUMAH TANGGA")</f>
        <v>IBU RUMAH TANGGA</v>
      </c>
      <c r="T3001" s="35" t="str">
        <f>IFERROR(__xludf.DUMMYFUNCTION("""COMPUTED_VALUE"""),"SARAF KEJEPIT")</f>
        <v>SARAF KEJEPIT</v>
      </c>
      <c r="U3001" s="35" t="str">
        <f>IFERROR(__xludf.DUMMYFUNCTION("""COMPUTED_VALUE"""),"NONTON")</f>
        <v>NONTON</v>
      </c>
      <c r="V3001" s="37" t="str">
        <f>IFERROR(__xludf.DUMMYFUNCTION("""COMPUTED_VALUE"""),"082251494730")</f>
        <v>082251494730</v>
      </c>
      <c r="W3001" s="45"/>
    </row>
    <row r="3002">
      <c r="A3002" s="45"/>
      <c r="B3002" s="24" t="str">
        <f>IFERROR(__xludf.DUMMYFUNCTION("""COMPUTED_VALUE"""),"26/10/2025 20:57:53")</f>
        <v>26/10/2025 20:57:53</v>
      </c>
      <c r="C3002" s="35"/>
      <c r="D3002" s="10">
        <f>IFERROR(__xludf.DUMMYFUNCTION("""COMPUTED_VALUE"""),45956.0)</f>
        <v>45956</v>
      </c>
      <c r="E3002" s="35" t="str">
        <f>IFERROR(__xludf.DUMMYFUNCTION("""COMPUTED_VALUE"""),"10Okt")</f>
        <v>10Okt</v>
      </c>
      <c r="F3002" s="34" t="str">
        <f>IFERROR(__xludf.DUMMYFUNCTION("""COMPUTED_VALUE"""),"2025")</f>
        <v>2025</v>
      </c>
      <c r="G3002" s="35" t="str">
        <f>IFERROR(__xludf.DUMMYFUNCTION("""COMPUTED_VALUE"""),"RINA TJENDERA")</f>
        <v>RINA TJENDERA</v>
      </c>
      <c r="H3002" s="35" t="str">
        <f>IFERROR(__xludf.DUMMYFUNCTION("""COMPUTED_VALUE"""),"R5625107738")</f>
        <v>R5625107738</v>
      </c>
      <c r="I3002" s="35">
        <f>IFERROR(__xludf.DUMMYFUNCTION("""COMPUTED_VALUE"""),70.0)</f>
        <v>70</v>
      </c>
      <c r="J3002" s="35" t="str">
        <f>IFERROR(__xludf.DUMMYFUNCTION("""COMPUTED_VALUE"""),"&gt; 44 tahun")</f>
        <v>&gt; 44 tahun</v>
      </c>
      <c r="K3002" s="21" t="str">
        <f>IFERROR(__xludf.DUMMYFUNCTION("""COMPUTED_VALUE"""),"29/01/1956")</f>
        <v>29/01/1956</v>
      </c>
      <c r="L3002" s="21" t="str">
        <f>IFERROR(__xludf.DUMMYFUNCTION("""COMPUTED_VALUE"""),"PEREMPUAN")</f>
        <v>PEREMPUAN</v>
      </c>
      <c r="M3002" s="35" t="str">
        <f>IFERROR(__xludf.DUMMYFUNCTION("""COMPUTED_VALUE"""),"JL AR. SALEH GG PANORAMA NO 7")</f>
        <v>JL AR. SALEH GG PANORAMA NO 7</v>
      </c>
      <c r="N3002" s="35" t="str">
        <f>IFERROR(__xludf.DUMMYFUNCTION("""COMPUTED_VALUE"""),"PONTIANAK TENGGARA")</f>
        <v>PONTIANAK TENGGARA</v>
      </c>
      <c r="O3002" s="35" t="str">
        <f>IFERROR(__xludf.DUMMYFUNCTION("""COMPUTED_VALUE"""),"BANGKA BELITUNG LAUT")</f>
        <v>BANGKA BELITUNG LAUT</v>
      </c>
      <c r="P3002" s="35" t="str">
        <f>IFERROR(__xludf.DUMMYFUNCTION("""COMPUTED_VALUE"""),"PONTIANAK")</f>
        <v>PONTIANAK</v>
      </c>
      <c r="Q3002" s="35" t="str">
        <f>IFERROR(__xludf.DUMMYFUNCTION("""COMPUTED_VALUE"""),"KALIMANTAN BARAT")</f>
        <v>KALIMANTAN BARAT</v>
      </c>
      <c r="R3002" s="21" t="str">
        <f>IFERROR(__xludf.DUMMYFUNCTION("""COMPUTED_VALUE"""),"KATOLIK")</f>
        <v>KATOLIK</v>
      </c>
      <c r="S3002" s="74" t="str">
        <f>IFERROR(__xludf.DUMMYFUNCTION("""COMPUTED_VALUE"""),"IBU RUMAH TANGGA")</f>
        <v>IBU RUMAH TANGGA</v>
      </c>
      <c r="T3002" s="35" t="str">
        <f>IFERROR(__xludf.DUMMYFUNCTION("""COMPUTED_VALUE"""),"SAKIT DI BAHU")</f>
        <v>SAKIT DI BAHU</v>
      </c>
      <c r="U3002" s="35" t="str">
        <f>IFERROR(__xludf.DUMMYFUNCTION("""COMPUTED_VALUE"""),"PEKERJAAN KANTOR, MENANAM TANAMAN")</f>
        <v>PEKERJAAN KANTOR, MENANAM TANAMAN</v>
      </c>
      <c r="V3002" s="37" t="str">
        <f>IFERROR(__xludf.DUMMYFUNCTION("""COMPUTED_VALUE"""),"+6281345497738")</f>
        <v>+6281345497738</v>
      </c>
      <c r="W3002" s="45"/>
    </row>
    <row r="3003">
      <c r="A3003" s="45"/>
      <c r="B3003" s="24" t="str">
        <f>IFERROR(__xludf.DUMMYFUNCTION("""COMPUTED_VALUE"""),"27/10/2025 13:20:43")</f>
        <v>27/10/2025 13:20:43</v>
      </c>
      <c r="C3003" s="35"/>
      <c r="D3003" s="10">
        <f>IFERROR(__xludf.DUMMYFUNCTION("""COMPUTED_VALUE"""),45957.0)</f>
        <v>45957</v>
      </c>
      <c r="E3003" s="35" t="str">
        <f>IFERROR(__xludf.DUMMYFUNCTION("""COMPUTED_VALUE"""),"10Okt")</f>
        <v>10Okt</v>
      </c>
      <c r="F3003" s="34" t="str">
        <f>IFERROR(__xludf.DUMMYFUNCTION("""COMPUTED_VALUE"""),"2025")</f>
        <v>2025</v>
      </c>
      <c r="G3003" s="35" t="str">
        <f>IFERROR(__xludf.DUMMYFUNCTION("""COMPUTED_VALUE"""),"MAHIYE")</f>
        <v>MAHIYE</v>
      </c>
      <c r="H3003" s="35" t="str">
        <f>IFERROR(__xludf.DUMMYFUNCTION("""COMPUTED_VALUE"""),"M7925108167")</f>
        <v>M7925108167</v>
      </c>
      <c r="I3003" s="35">
        <f>IFERROR(__xludf.DUMMYFUNCTION("""COMPUTED_VALUE"""),46.0)</f>
        <v>46</v>
      </c>
      <c r="J3003" s="35" t="str">
        <f>IFERROR(__xludf.DUMMYFUNCTION("""COMPUTED_VALUE"""),"&gt; 44 tahun")</f>
        <v>&gt; 44 tahun</v>
      </c>
      <c r="K3003" s="21" t="str">
        <f>IFERROR(__xludf.DUMMYFUNCTION("""COMPUTED_VALUE"""),"01/09/1979")</f>
        <v>01/09/1979</v>
      </c>
      <c r="L3003" s="21" t="str">
        <f>IFERROR(__xludf.DUMMYFUNCTION("""COMPUTED_VALUE"""),"PEREMPUAN")</f>
        <v>PEREMPUAN</v>
      </c>
      <c r="M3003" s="35" t="str">
        <f>IFERROR(__xludf.DUMMYFUNCTION("""COMPUTED_VALUE"""),"JL HUSEIN HAMZAH GG. BERDIKARI")</f>
        <v>JL HUSEIN HAMZAH GG. BERDIKARI</v>
      </c>
      <c r="N3003" s="35" t="str">
        <f>IFERROR(__xludf.DUMMYFUNCTION("""COMPUTED_VALUE"""),"PAL LIMA")</f>
        <v>PAL LIMA</v>
      </c>
      <c r="O3003" s="35" t="str">
        <f>IFERROR(__xludf.DUMMYFUNCTION("""COMPUTED_VALUE"""),"PONTIANAK BARAT")</f>
        <v>PONTIANAK BARAT</v>
      </c>
      <c r="P3003" s="35" t="str">
        <f>IFERROR(__xludf.DUMMYFUNCTION("""COMPUTED_VALUE"""),"KOTA PONTIANAK")</f>
        <v>KOTA PONTIANAK</v>
      </c>
      <c r="Q3003" s="35" t="str">
        <f>IFERROR(__xludf.DUMMYFUNCTION("""COMPUTED_VALUE"""),"KALIMANTAN BARAT")</f>
        <v>KALIMANTAN BARAT</v>
      </c>
      <c r="R3003" s="21" t="str">
        <f>IFERROR(__xludf.DUMMYFUNCTION("""COMPUTED_VALUE"""),"ISLAM")</f>
        <v>ISLAM</v>
      </c>
      <c r="S3003" s="74" t="str">
        <f>IFERROR(__xludf.DUMMYFUNCTION("""COMPUTED_VALUE"""),"IRT")</f>
        <v>IRT</v>
      </c>
      <c r="T3003" s="35" t="str">
        <f>IFERROR(__xludf.DUMMYFUNCTION("""COMPUTED_VALUE"""),"PINGGANG")</f>
        <v>PINGGANG</v>
      </c>
      <c r="U3003" s="35" t="str">
        <f>IFERROR(__xludf.DUMMYFUNCTION("""COMPUTED_VALUE"""),"PEKERJAAN RUMAH TANGGA")</f>
        <v>PEKERJAAN RUMAH TANGGA</v>
      </c>
      <c r="V3003" s="37" t="str">
        <f>IFERROR(__xludf.DUMMYFUNCTION("""COMPUTED_VALUE"""),"081351928167")</f>
        <v>081351928167</v>
      </c>
      <c r="W3003" s="45"/>
    </row>
    <row r="3004">
      <c r="A3004" s="45"/>
      <c r="B3004" s="24" t="str">
        <f>IFERROR(__xludf.DUMMYFUNCTION("""COMPUTED_VALUE"""),"27/10/2025 13:09:06")</f>
        <v>27/10/2025 13:09:06</v>
      </c>
      <c r="C3004" s="35"/>
      <c r="D3004" s="10">
        <f>IFERROR(__xludf.DUMMYFUNCTION("""COMPUTED_VALUE"""),45957.0)</f>
        <v>45957</v>
      </c>
      <c r="E3004" s="35" t="str">
        <f>IFERROR(__xludf.DUMMYFUNCTION("""COMPUTED_VALUE"""),"10Okt")</f>
        <v>10Okt</v>
      </c>
      <c r="F3004" s="34" t="str">
        <f>IFERROR(__xludf.DUMMYFUNCTION("""COMPUTED_VALUE"""),"2025")</f>
        <v>2025</v>
      </c>
      <c r="G3004" s="35" t="str">
        <f>IFERROR(__xludf.DUMMYFUNCTION("""COMPUTED_VALUE"""),"TJANG JUN BU")</f>
        <v>TJANG JUN BU</v>
      </c>
      <c r="H3004" s="35" t="str">
        <f>IFERROR(__xludf.DUMMYFUNCTION("""COMPUTED_VALUE"""),"T6325109944")</f>
        <v>T6325109944</v>
      </c>
      <c r="I3004" s="35">
        <f>IFERROR(__xludf.DUMMYFUNCTION("""COMPUTED_VALUE"""),62.0)</f>
        <v>62</v>
      </c>
      <c r="J3004" s="35" t="str">
        <f>IFERROR(__xludf.DUMMYFUNCTION("""COMPUTED_VALUE"""),"&gt; 44 tahun")</f>
        <v>&gt; 44 tahun</v>
      </c>
      <c r="K3004" s="21" t="str">
        <f>IFERROR(__xludf.DUMMYFUNCTION("""COMPUTED_VALUE"""),"12/12/1963")</f>
        <v>12/12/1963</v>
      </c>
      <c r="L3004" s="21" t="str">
        <f>IFERROR(__xludf.DUMMYFUNCTION("""COMPUTED_VALUE"""),"LAKI-LAKI")</f>
        <v>LAKI-LAKI</v>
      </c>
      <c r="M3004" s="35" t="str">
        <f>IFERROR(__xludf.DUMMYFUNCTION("""COMPUTED_VALUE"""),"JL. GUSTI SITUT MAHMUD GG. MANTUKA NO. 112 SELAT SUMBA III")</f>
        <v>JL. GUSTI SITUT MAHMUD GG. MANTUKA NO. 112 SELAT SUMBA III</v>
      </c>
      <c r="N3004" s="35" t="str">
        <f>IFERROR(__xludf.DUMMYFUNCTION("""COMPUTED_VALUE"""),"SIANTAN TENGAH")</f>
        <v>SIANTAN TENGAH</v>
      </c>
      <c r="O3004" s="35" t="str">
        <f>IFERROR(__xludf.DUMMYFUNCTION("""COMPUTED_VALUE"""),"PONTIANAK UTARA")</f>
        <v>PONTIANAK UTARA</v>
      </c>
      <c r="P3004" s="35" t="str">
        <f>IFERROR(__xludf.DUMMYFUNCTION("""COMPUTED_VALUE"""),"KOTA PONTIANAK")</f>
        <v>KOTA PONTIANAK</v>
      </c>
      <c r="Q3004" s="35" t="str">
        <f>IFERROR(__xludf.DUMMYFUNCTION("""COMPUTED_VALUE"""),"KALIMANTAN BARAT")</f>
        <v>KALIMANTAN BARAT</v>
      </c>
      <c r="R3004" s="21" t="str">
        <f>IFERROR(__xludf.DUMMYFUNCTION("""COMPUTED_VALUE"""),"PROTESTAN")</f>
        <v>PROTESTAN</v>
      </c>
      <c r="S3004" s="74" t="str">
        <f>IFERROR(__xludf.DUMMYFUNCTION("""COMPUTED_VALUE"""),"BURUH")</f>
        <v>BURUH</v>
      </c>
      <c r="T3004" s="35" t="str">
        <f>IFERROR(__xludf.DUMMYFUNCTION("""COMPUTED_VALUE"""),"SAKIT DI BAGIAN SAMPING BETIS KANAN MENJALAR SAMPAI KE BOKONG KANAN")</f>
        <v>SAKIT DI BAGIAN SAMPING BETIS KANAN MENJALAR SAMPAI KE BOKONG KANAN</v>
      </c>
      <c r="U3004" s="35" t="str">
        <f>IFERROR(__xludf.DUMMYFUNCTION("""COMPUTED_VALUE"""),"SAKIT DIAKIBATKAN OLAHRAGA MENGANGKAT ATAU MENGAYUN KAKI")</f>
        <v>SAKIT DIAKIBATKAN OLAHRAGA MENGANGKAT ATAU MENGAYUN KAKI</v>
      </c>
      <c r="V3004" s="37" t="str">
        <f>IFERROR(__xludf.DUMMYFUNCTION("""COMPUTED_VALUE"""),"089521239944")</f>
        <v>089521239944</v>
      </c>
      <c r="W3004" s="45"/>
    </row>
    <row r="3005">
      <c r="A3005" s="45"/>
      <c r="B3005" s="24" t="str">
        <f>IFERROR(__xludf.DUMMYFUNCTION("""COMPUTED_VALUE"""),"27/10/2025 18:42:19")</f>
        <v>27/10/2025 18:42:19</v>
      </c>
      <c r="C3005" s="35"/>
      <c r="D3005" s="10">
        <f>IFERROR(__xludf.DUMMYFUNCTION("""COMPUTED_VALUE"""),45957.0)</f>
        <v>45957</v>
      </c>
      <c r="E3005" s="35" t="str">
        <f>IFERROR(__xludf.DUMMYFUNCTION("""COMPUTED_VALUE"""),"10Okt")</f>
        <v>10Okt</v>
      </c>
      <c r="F3005" s="34" t="str">
        <f>IFERROR(__xludf.DUMMYFUNCTION("""COMPUTED_VALUE"""),"2025")</f>
        <v>2025</v>
      </c>
      <c r="G3005" s="35" t="str">
        <f>IFERROR(__xludf.DUMMYFUNCTION("""COMPUTED_VALUE"""),"RIKSON ARMAGEDON PURBA")</f>
        <v>RIKSON ARMAGEDON PURBA</v>
      </c>
      <c r="H3005" s="35" t="str">
        <f>IFERROR(__xludf.DUMMYFUNCTION("""COMPUTED_VALUE"""),"R6725103408")</f>
        <v>R6725103408</v>
      </c>
      <c r="I3005" s="35">
        <f>IFERROR(__xludf.DUMMYFUNCTION("""COMPUTED_VALUE"""),59.0)</f>
        <v>59</v>
      </c>
      <c r="J3005" s="35" t="str">
        <f>IFERROR(__xludf.DUMMYFUNCTION("""COMPUTED_VALUE"""),"&gt; 44 tahun")</f>
        <v>&gt; 44 tahun</v>
      </c>
      <c r="K3005" s="21" t="str">
        <f>IFERROR(__xludf.DUMMYFUNCTION("""COMPUTED_VALUE"""),"10/04/1967")</f>
        <v>10/04/1967</v>
      </c>
      <c r="L3005" s="21" t="str">
        <f>IFERROR(__xludf.DUMMYFUNCTION("""COMPUTED_VALUE"""),"LAKI-LAKI")</f>
        <v>LAKI-LAKI</v>
      </c>
      <c r="M3005" s="35" t="str">
        <f>IFERROR(__xludf.DUMMYFUNCTION("""COMPUTED_VALUE"""),"KOP. PUTRI GARDEN JLN BETAWI II NO 1B")</f>
        <v>KOP. PUTRI GARDEN JLN BETAWI II NO 1B</v>
      </c>
      <c r="N3005" s="35" t="str">
        <f>IFERROR(__xludf.DUMMYFUNCTION("""COMPUTED_VALUE"""),"LEBUNG GAJAH")</f>
        <v>LEBUNG GAJAH</v>
      </c>
      <c r="O3005" s="35" t="str">
        <f>IFERROR(__xludf.DUMMYFUNCTION("""COMPUTED_VALUE"""),"SEMATANG BORANG")</f>
        <v>SEMATANG BORANG</v>
      </c>
      <c r="P3005" s="35" t="str">
        <f>IFERROR(__xludf.DUMMYFUNCTION("""COMPUTED_VALUE"""),"PALEMBANG")</f>
        <v>PALEMBANG</v>
      </c>
      <c r="Q3005" s="35" t="str">
        <f>IFERROR(__xludf.DUMMYFUNCTION("""COMPUTED_VALUE"""),"SUMATERA SELATAN")</f>
        <v>SUMATERA SELATAN</v>
      </c>
      <c r="R3005" s="21" t="str">
        <f>IFERROR(__xludf.DUMMYFUNCTION("""COMPUTED_VALUE"""),"PROTESTAN")</f>
        <v>PROTESTAN</v>
      </c>
      <c r="S3005" s="74" t="str">
        <f>IFERROR(__xludf.DUMMYFUNCTION("""COMPUTED_VALUE"""),"SWASTA")</f>
        <v>SWASTA</v>
      </c>
      <c r="T3005" s="35" t="str">
        <f>IFERROR(__xludf.DUMMYFUNCTION("""COMPUTED_VALUE"""),"NYERI BAGIAN PERGELANGAN KAKI SAAT JALAN LEBIH 1 KM")</f>
        <v>NYERI BAGIAN PERGELANGAN KAKI SAAT JALAN LEBIH 1 KM</v>
      </c>
      <c r="U3005" s="35" t="str">
        <f>IFERROR(__xludf.DUMMYFUNCTION("""COMPUTED_VALUE"""),"JALAN KAKI")</f>
        <v>JALAN KAKI</v>
      </c>
      <c r="V3005" s="37" t="str">
        <f>IFERROR(__xludf.DUMMYFUNCTION("""COMPUTED_VALUE"""),"081377933408")</f>
        <v>081377933408</v>
      </c>
      <c r="W3005" s="45"/>
    </row>
    <row r="3006">
      <c r="A3006" s="45"/>
      <c r="B3006" s="24" t="str">
        <f>IFERROR(__xludf.DUMMYFUNCTION("""COMPUTED_VALUE"""),"29/10/2025 11:39:40")</f>
        <v>29/10/2025 11:39:40</v>
      </c>
      <c r="C3006" s="35"/>
      <c r="D3006" s="10">
        <f>IFERROR(__xludf.DUMMYFUNCTION("""COMPUTED_VALUE"""),45959.0)</f>
        <v>45959</v>
      </c>
      <c r="E3006" s="35" t="str">
        <f>IFERROR(__xludf.DUMMYFUNCTION("""COMPUTED_VALUE"""),"10Okt")</f>
        <v>10Okt</v>
      </c>
      <c r="F3006" s="34" t="str">
        <f>IFERROR(__xludf.DUMMYFUNCTION("""COMPUTED_VALUE"""),"2025")</f>
        <v>2025</v>
      </c>
      <c r="G3006" s="35" t="str">
        <f>IFERROR(__xludf.DUMMYFUNCTION("""COMPUTED_VALUE"""),"RAHDIAN EDISON")</f>
        <v>RAHDIAN EDISON</v>
      </c>
      <c r="H3006" s="35" t="str">
        <f>IFERROR(__xludf.DUMMYFUNCTION("""COMPUTED_VALUE"""),"R9025103337")</f>
        <v>R9025103337</v>
      </c>
      <c r="I3006" s="35">
        <f>IFERROR(__xludf.DUMMYFUNCTION("""COMPUTED_VALUE"""),35.0)</f>
        <v>35</v>
      </c>
      <c r="J3006" s="35" t="str">
        <f>IFERROR(__xludf.DUMMYFUNCTION("""COMPUTED_VALUE"""),"35-44 tahun")</f>
        <v>35-44 tahun</v>
      </c>
      <c r="K3006" s="21" t="str">
        <f>IFERROR(__xludf.DUMMYFUNCTION("""COMPUTED_VALUE"""),"04/07/1990")</f>
        <v>04/07/1990</v>
      </c>
      <c r="L3006" s="21" t="str">
        <f>IFERROR(__xludf.DUMMYFUNCTION("""COMPUTED_VALUE"""),"LAKI-LAKI")</f>
        <v>LAKI-LAKI</v>
      </c>
      <c r="M3006" s="35" t="str">
        <f>IFERROR(__xludf.DUMMYFUNCTION("""COMPUTED_VALUE"""),"JL.LINTAS BENGKULU - PADANG, KECAMATAN LUBUK PINANG, KABUPATEN MUKO-MUKO, PROVINSI BENGKULU
DI DEPAN KUA LUBUK PINANG")</f>
        <v>JL.LINTAS BENGKULU - PADANG, KECAMATAN LUBUK PINANG, KABUPATEN MUKO-MUKO, PROVINSI BENGKULU
DI DEPAN KUA LUBUK PINANG</v>
      </c>
      <c r="N3006" s="35" t="str">
        <f>IFERROR(__xludf.DUMMYFUNCTION("""COMPUTED_VALUE"""),"AIR BESAR")</f>
        <v>AIR BESAR</v>
      </c>
      <c r="O3006" s="35" t="str">
        <f>IFERROR(__xludf.DUMMYFUNCTION("""COMPUTED_VALUE"""),"LUBUK PINANG")</f>
        <v>LUBUK PINANG</v>
      </c>
      <c r="P3006" s="35" t="str">
        <f>IFERROR(__xludf.DUMMYFUNCTION("""COMPUTED_VALUE"""),"MUKOMUKO")</f>
        <v>MUKOMUKO</v>
      </c>
      <c r="Q3006" s="35" t="str">
        <f>IFERROR(__xludf.DUMMYFUNCTION("""COMPUTED_VALUE"""),"BENGKULU")</f>
        <v>BENGKULU</v>
      </c>
      <c r="R3006" s="21" t="str">
        <f>IFERROR(__xludf.DUMMYFUNCTION("""COMPUTED_VALUE"""),"ISLAM")</f>
        <v>ISLAM</v>
      </c>
      <c r="S3006" s="74" t="str">
        <f>IFERROR(__xludf.DUMMYFUNCTION("""COMPUTED_VALUE"""),"SWASTA")</f>
        <v>SWASTA</v>
      </c>
      <c r="T3006" s="35" t="str">
        <f>IFERROR(__xludf.DUMMYFUNCTION("""COMPUTED_VALUE"""),"NYERI LEHER")</f>
        <v>NYERI LEHER</v>
      </c>
      <c r="U3006" s="35" t="str">
        <f>IFERROR(__xludf.DUMMYFUNCTION("""COMPUTED_VALUE"""),"BANYAK NUNDUK")</f>
        <v>BANYAK NUNDUK</v>
      </c>
      <c r="V3006" s="37" t="str">
        <f>IFERROR(__xludf.DUMMYFUNCTION("""COMPUTED_VALUE"""),"085245553337")</f>
        <v>085245553337</v>
      </c>
      <c r="W3006" s="45"/>
    </row>
    <row r="3007">
      <c r="A3007" s="45"/>
      <c r="B3007" s="24" t="str">
        <f>IFERROR(__xludf.DUMMYFUNCTION("""COMPUTED_VALUE"""),"29/10/2025 14:30:08")</f>
        <v>29/10/2025 14:30:08</v>
      </c>
      <c r="C3007" s="35"/>
      <c r="D3007" s="10">
        <f>IFERROR(__xludf.DUMMYFUNCTION("""COMPUTED_VALUE"""),45959.0)</f>
        <v>45959</v>
      </c>
      <c r="E3007" s="35" t="str">
        <f>IFERROR(__xludf.DUMMYFUNCTION("""COMPUTED_VALUE"""),"10Okt")</f>
        <v>10Okt</v>
      </c>
      <c r="F3007" s="34" t="str">
        <f>IFERROR(__xludf.DUMMYFUNCTION("""COMPUTED_VALUE"""),"2025")</f>
        <v>2025</v>
      </c>
      <c r="G3007" s="35" t="str">
        <f>IFERROR(__xludf.DUMMYFUNCTION("""COMPUTED_VALUE"""),"WIWID YULIAN SAPUTRO")</f>
        <v>WIWID YULIAN SAPUTRO</v>
      </c>
      <c r="H3007" s="35" t="str">
        <f>IFERROR(__xludf.DUMMYFUNCTION("""COMPUTED_VALUE"""),"W9525106146")</f>
        <v>W9525106146</v>
      </c>
      <c r="I3007" s="35">
        <f>IFERROR(__xludf.DUMMYFUNCTION("""COMPUTED_VALUE"""),30.0)</f>
        <v>30</v>
      </c>
      <c r="J3007" s="35" t="str">
        <f>IFERROR(__xludf.DUMMYFUNCTION("""COMPUTED_VALUE"""),"25-34 tahun")</f>
        <v>25-34 tahun</v>
      </c>
      <c r="K3007" s="21" t="str">
        <f>IFERROR(__xludf.DUMMYFUNCTION("""COMPUTED_VALUE"""),"01/07/1995")</f>
        <v>01/07/1995</v>
      </c>
      <c r="L3007" s="21" t="str">
        <f>IFERROR(__xludf.DUMMYFUNCTION("""COMPUTED_VALUE"""),"LAKI-LAKI")</f>
        <v>LAKI-LAKI</v>
      </c>
      <c r="M3007" s="35" t="str">
        <f>IFERROR(__xludf.DUMMYFUNCTION("""COMPUTED_VALUE"""),"JL. ADI SUCIPTO GG. PERMATA HIJAU DALAM")</f>
        <v>JL. ADI SUCIPTO GG. PERMATA HIJAU DALAM</v>
      </c>
      <c r="N3007" s="35" t="str">
        <f>IFERROR(__xludf.DUMMYFUNCTION("""COMPUTED_VALUE"""),"DESA TELUK KAPUAS")</f>
        <v>DESA TELUK KAPUAS</v>
      </c>
      <c r="O3007" s="35" t="str">
        <f>IFERROR(__xludf.DUMMYFUNCTION("""COMPUTED_VALUE"""),"KECAMATAN SUNGAI RAYA")</f>
        <v>KECAMATAN SUNGAI RAYA</v>
      </c>
      <c r="P3007" s="35" t="str">
        <f>IFERROR(__xludf.DUMMYFUNCTION("""COMPUTED_VALUE"""),"KABUPATEN KUBU RAYA")</f>
        <v>KABUPATEN KUBU RAYA</v>
      </c>
      <c r="Q3007" s="35" t="str">
        <f>IFERROR(__xludf.DUMMYFUNCTION("""COMPUTED_VALUE"""),"KALIMANTAN BARAT")</f>
        <v>KALIMANTAN BARAT</v>
      </c>
      <c r="R3007" s="21" t="str">
        <f>IFERROR(__xludf.DUMMYFUNCTION("""COMPUTED_VALUE"""),"ISLAM")</f>
        <v>ISLAM</v>
      </c>
      <c r="S3007" s="74" t="str">
        <f>IFERROR(__xludf.DUMMYFUNCTION("""COMPUTED_VALUE"""),"KARYAWAN")</f>
        <v>KARYAWAN</v>
      </c>
      <c r="T3007" s="35" t="str">
        <f>IFERROR(__xludf.DUMMYFUNCTION("""COMPUTED_VALUE"""),"NYERI PADA PANGKAL JEMPOL DAN PERGELANGAN TANGAN")</f>
        <v>NYERI PADA PANGKAL JEMPOL DAN PERGELANGAN TANGAN</v>
      </c>
      <c r="U3007" s="35" t="str">
        <f>IFERROR(__xludf.DUMMYFUNCTION("""COMPUTED_VALUE"""),"MENGGENDONG BAYI")</f>
        <v>MENGGENDONG BAYI</v>
      </c>
      <c r="V3007" s="37" t="str">
        <f>IFERROR(__xludf.DUMMYFUNCTION("""COMPUTED_VALUE"""),"085245666146")</f>
        <v>085245666146</v>
      </c>
      <c r="W3007" s="45"/>
    </row>
    <row r="3008">
      <c r="A3008" s="45"/>
      <c r="B3008" s="24" t="str">
        <f>IFERROR(__xludf.DUMMYFUNCTION("""COMPUTED_VALUE"""),"29/10/2025 15:41:26")</f>
        <v>29/10/2025 15:41:26</v>
      </c>
      <c r="C3008" s="35"/>
      <c r="D3008" s="10">
        <f>IFERROR(__xludf.DUMMYFUNCTION("""COMPUTED_VALUE"""),45959.0)</f>
        <v>45959</v>
      </c>
      <c r="E3008" s="35" t="str">
        <f>IFERROR(__xludf.DUMMYFUNCTION("""COMPUTED_VALUE"""),"10Okt")</f>
        <v>10Okt</v>
      </c>
      <c r="F3008" s="34" t="str">
        <f>IFERROR(__xludf.DUMMYFUNCTION("""COMPUTED_VALUE"""),"2025")</f>
        <v>2025</v>
      </c>
      <c r="G3008" s="35" t="str">
        <f>IFERROR(__xludf.DUMMYFUNCTION("""COMPUTED_VALUE"""),"TUKINEM")</f>
        <v>TUKINEM</v>
      </c>
      <c r="H3008" s="35" t="str">
        <f>IFERROR(__xludf.DUMMYFUNCTION("""COMPUTED_VALUE"""),"T6525103639")</f>
        <v>T6525103639</v>
      </c>
      <c r="I3008" s="35">
        <f>IFERROR(__xludf.DUMMYFUNCTION("""COMPUTED_VALUE"""),60.0)</f>
        <v>60</v>
      </c>
      <c r="J3008" s="35" t="str">
        <f>IFERROR(__xludf.DUMMYFUNCTION("""COMPUTED_VALUE"""),"&gt; 44 tahun")</f>
        <v>&gt; 44 tahun</v>
      </c>
      <c r="K3008" s="21" t="str">
        <f>IFERROR(__xludf.DUMMYFUNCTION("""COMPUTED_VALUE"""),"09/11/1965")</f>
        <v>09/11/1965</v>
      </c>
      <c r="L3008" s="21" t="str">
        <f>IFERROR(__xludf.DUMMYFUNCTION("""COMPUTED_VALUE"""),"PEREMPUAN")</f>
        <v>PEREMPUAN</v>
      </c>
      <c r="M3008" s="35" t="str">
        <f>IFERROR(__xludf.DUMMYFUNCTION("""COMPUTED_VALUE"""),"DUSUN SUMBE SUKA")</f>
        <v>DUSUN SUMBE SUKA</v>
      </c>
      <c r="N3008" s="35" t="str">
        <f>IFERROR(__xludf.DUMMYFUNCTION("""COMPUTED_VALUE"""),"PANGKALAN SUKA")</f>
        <v>PANGKALAN SUKA</v>
      </c>
      <c r="O3008" s="35" t="str">
        <f>IFERROR(__xludf.DUMMYFUNCTION("""COMPUTED_VALUE"""),"NANGA TAYAP")</f>
        <v>NANGA TAYAP</v>
      </c>
      <c r="P3008" s="35" t="str">
        <f>IFERROR(__xludf.DUMMYFUNCTION("""COMPUTED_VALUE"""),"KETAPANG")</f>
        <v>KETAPANG</v>
      </c>
      <c r="Q3008" s="35" t="str">
        <f>IFERROR(__xludf.DUMMYFUNCTION("""COMPUTED_VALUE"""),"KALIMANTAN BARAT")</f>
        <v>KALIMANTAN BARAT</v>
      </c>
      <c r="R3008" s="21" t="str">
        <f>IFERROR(__xludf.DUMMYFUNCTION("""COMPUTED_VALUE"""),"ISLAM")</f>
        <v>ISLAM</v>
      </c>
      <c r="S3008" s="74" t="str">
        <f>IFERROR(__xludf.DUMMYFUNCTION("""COMPUTED_VALUE"""),"IRT")</f>
        <v>IRT</v>
      </c>
      <c r="T3008" s="35" t="str">
        <f>IFERROR(__xludf.DUMMYFUNCTION("""COMPUTED_VALUE"""),"SARAF KEJEPIT")</f>
        <v>SARAF KEJEPIT</v>
      </c>
      <c r="U3008" s="35" t="str">
        <f>IFERROR(__xludf.DUMMYFUNCTION("""COMPUTED_VALUE"""),"PEKERJAAN RUMAH TANGGA")</f>
        <v>PEKERJAAN RUMAH TANGGA</v>
      </c>
      <c r="V3008" s="37" t="str">
        <f>IFERROR(__xludf.DUMMYFUNCTION("""COMPUTED_VALUE"""),"089624993639")</f>
        <v>089624993639</v>
      </c>
      <c r="W3008" s="45"/>
    </row>
    <row r="3009">
      <c r="A3009" s="45"/>
      <c r="B3009" s="24" t="str">
        <f>IFERROR(__xludf.DUMMYFUNCTION("""COMPUTED_VALUE"""),"29/10/2025 15:33:07")</f>
        <v>29/10/2025 15:33:07</v>
      </c>
      <c r="C3009" s="35"/>
      <c r="D3009" s="10">
        <f>IFERROR(__xludf.DUMMYFUNCTION("""COMPUTED_VALUE"""),45959.0)</f>
        <v>45959</v>
      </c>
      <c r="E3009" s="35" t="str">
        <f>IFERROR(__xludf.DUMMYFUNCTION("""COMPUTED_VALUE"""),"10Okt")</f>
        <v>10Okt</v>
      </c>
      <c r="F3009" s="34" t="str">
        <f>IFERROR(__xludf.DUMMYFUNCTION("""COMPUTED_VALUE"""),"2025")</f>
        <v>2025</v>
      </c>
      <c r="G3009" s="35" t="str">
        <f>IFERROR(__xludf.DUMMYFUNCTION("""COMPUTED_VALUE"""),"DELLY MARINA")</f>
        <v>DELLY MARINA</v>
      </c>
      <c r="H3009" s="35" t="str">
        <f>IFERROR(__xludf.DUMMYFUNCTION("""COMPUTED_VALUE"""),"D8225100100")</f>
        <v>D8225100100</v>
      </c>
      <c r="I3009" s="35">
        <f>IFERROR(__xludf.DUMMYFUNCTION("""COMPUTED_VALUE"""),43.0)</f>
        <v>43</v>
      </c>
      <c r="J3009" s="35" t="str">
        <f>IFERROR(__xludf.DUMMYFUNCTION("""COMPUTED_VALUE"""),"35-44 tahun")</f>
        <v>35-44 tahun</v>
      </c>
      <c r="K3009" s="21" t="str">
        <f>IFERROR(__xludf.DUMMYFUNCTION("""COMPUTED_VALUE"""),"09/07/1982")</f>
        <v>09/07/1982</v>
      </c>
      <c r="L3009" s="21" t="str">
        <f>IFERROR(__xludf.DUMMYFUNCTION("""COMPUTED_VALUE"""),"PEREMPUAN")</f>
        <v>PEREMPUAN</v>
      </c>
      <c r="M3009" s="35" t="str">
        <f>IFERROR(__xludf.DUMMYFUNCTION("""COMPUTED_VALUE"""),"JL. LETJEND SOEPRAPTO V NO. 8")</f>
        <v>JL. LETJEND SOEPRAPTO V NO. 8</v>
      </c>
      <c r="N3009" s="35" t="str">
        <f>IFERROR(__xludf.DUMMYFUNCTION("""COMPUTED_VALUE"""),"BENUA MELAYU DARAT")</f>
        <v>BENUA MELAYU DARAT</v>
      </c>
      <c r="O3009" s="35" t="str">
        <f>IFERROR(__xludf.DUMMYFUNCTION("""COMPUTED_VALUE"""),"PONTIANAK SELATAN")</f>
        <v>PONTIANAK SELATAN</v>
      </c>
      <c r="P3009" s="35" t="str">
        <f>IFERROR(__xludf.DUMMYFUNCTION("""COMPUTED_VALUE"""),"KOTA PONTIANAK")</f>
        <v>KOTA PONTIANAK</v>
      </c>
      <c r="Q3009" s="35" t="str">
        <f>IFERROR(__xludf.DUMMYFUNCTION("""COMPUTED_VALUE"""),"KALIMANTAN BARAT")</f>
        <v>KALIMANTAN BARAT</v>
      </c>
      <c r="R3009" s="21" t="str">
        <f>IFERROR(__xludf.DUMMYFUNCTION("""COMPUTED_VALUE"""),"KATOLIK")</f>
        <v>KATOLIK</v>
      </c>
      <c r="S3009" s="74" t="str">
        <f>IFERROR(__xludf.DUMMYFUNCTION("""COMPUTED_VALUE"""),"IBU RUMAH TANGGA")</f>
        <v>IBU RUMAH TANGGA</v>
      </c>
      <c r="T3009" s="35" t="str">
        <f>IFERROR(__xludf.DUMMYFUNCTION("""COMPUTED_VALUE"""),"SAKIT DI BAHU DAN LENGAN SEBELAH KIRI")</f>
        <v>SAKIT DI BAHU DAN LENGAN SEBELAH KIRI</v>
      </c>
      <c r="U3009" s="35" t="str">
        <f>IFERROR(__xludf.DUMMYFUNCTION("""COMPUTED_VALUE"""),"SERING MEMEGANG HAPE DALAM POSISI TIDUR")</f>
        <v>SERING MEMEGANG HAPE DALAM POSISI TIDUR</v>
      </c>
      <c r="V3009" s="37" t="str">
        <f>IFERROR(__xludf.DUMMYFUNCTION("""COMPUTED_VALUE"""),"08125640100")</f>
        <v>08125640100</v>
      </c>
      <c r="W3009" s="45"/>
    </row>
    <row r="3010">
      <c r="A3010" s="45"/>
      <c r="B3010" s="24" t="str">
        <f>IFERROR(__xludf.DUMMYFUNCTION("""COMPUTED_VALUE"""),"29/10/2025 17:27:00")</f>
        <v>29/10/2025 17:27:00</v>
      </c>
      <c r="C3010" s="35"/>
      <c r="D3010" s="10">
        <f>IFERROR(__xludf.DUMMYFUNCTION("""COMPUTED_VALUE"""),45959.0)</f>
        <v>45959</v>
      </c>
      <c r="E3010" s="35" t="str">
        <f>IFERROR(__xludf.DUMMYFUNCTION("""COMPUTED_VALUE"""),"10Okt")</f>
        <v>10Okt</v>
      </c>
      <c r="F3010" s="34" t="str">
        <f>IFERROR(__xludf.DUMMYFUNCTION("""COMPUTED_VALUE"""),"2025")</f>
        <v>2025</v>
      </c>
      <c r="G3010" s="35" t="str">
        <f>IFERROR(__xludf.DUMMYFUNCTION("""COMPUTED_VALUE"""),"AGUS BUDIANTO")</f>
        <v>AGUS BUDIANTO</v>
      </c>
      <c r="H3010" s="35" t="str">
        <f>IFERROR(__xludf.DUMMYFUNCTION("""COMPUTED_VALUE"""),"A8925106005")</f>
        <v>A8925106005</v>
      </c>
      <c r="I3010" s="35">
        <f>IFERROR(__xludf.DUMMYFUNCTION("""COMPUTED_VALUE"""),37.0)</f>
        <v>37</v>
      </c>
      <c r="J3010" s="35" t="str">
        <f>IFERROR(__xludf.DUMMYFUNCTION("""COMPUTED_VALUE"""),"35-44 tahun")</f>
        <v>35-44 tahun</v>
      </c>
      <c r="K3010" s="21" t="str">
        <f>IFERROR(__xludf.DUMMYFUNCTION("""COMPUTED_VALUE"""),"12/02/1989")</f>
        <v>12/02/1989</v>
      </c>
      <c r="L3010" s="21" t="str">
        <f>IFERROR(__xludf.DUMMYFUNCTION("""COMPUTED_VALUE"""),"LAKI-LAKI")</f>
        <v>LAKI-LAKI</v>
      </c>
      <c r="M3010" s="35" t="str">
        <f>IFERROR(__xludf.DUMMYFUNCTION("""COMPUTED_VALUE"""),"JL. S. PARMAN GG. LOBAK NO 32A")</f>
        <v>JL. S. PARMAN GG. LOBAK NO 32A</v>
      </c>
      <c r="N3010" s="35" t="str">
        <f>IFERROR(__xludf.DUMMYFUNCTION("""COMPUTED_VALUE"""),"SUKAHARJA")</f>
        <v>SUKAHARJA</v>
      </c>
      <c r="O3010" s="35" t="str">
        <f>IFERROR(__xludf.DUMMYFUNCTION("""COMPUTED_VALUE"""),"DELTA PAWAN")</f>
        <v>DELTA PAWAN</v>
      </c>
      <c r="P3010" s="35" t="str">
        <f>IFERROR(__xludf.DUMMYFUNCTION("""COMPUTED_VALUE"""),"KETAPANG")</f>
        <v>KETAPANG</v>
      </c>
      <c r="Q3010" s="35" t="str">
        <f>IFERROR(__xludf.DUMMYFUNCTION("""COMPUTED_VALUE"""),"KALIMANTAN BARAT")</f>
        <v>KALIMANTAN BARAT</v>
      </c>
      <c r="R3010" s="21" t="str">
        <f>IFERROR(__xludf.DUMMYFUNCTION("""COMPUTED_VALUE"""),"ISLAM")</f>
        <v>ISLAM</v>
      </c>
      <c r="S3010" s="74" t="str">
        <f>IFERROR(__xludf.DUMMYFUNCTION("""COMPUTED_VALUE"""),"KARYAWAN SWASTA")</f>
        <v>KARYAWAN SWASTA</v>
      </c>
      <c r="T3010" s="35" t="str">
        <f>IFERROR(__xludf.DUMMYFUNCTION("""COMPUTED_VALUE"""),"NYERI DI LUTUT KANAN")</f>
        <v>NYERI DI LUTUT KANAN</v>
      </c>
      <c r="U3010" s="35" t="str">
        <f>IFERROR(__xludf.DUMMYFUNCTION("""COMPUTED_VALUE"""),"OLAH RAGA")</f>
        <v>OLAH RAGA</v>
      </c>
      <c r="V3010" s="37" t="str">
        <f>IFERROR(__xludf.DUMMYFUNCTION("""COMPUTED_VALUE"""),"085252686005")</f>
        <v>085252686005</v>
      </c>
      <c r="W3010" s="45"/>
    </row>
    <row r="3011">
      <c r="A3011" s="45"/>
      <c r="B3011" s="24" t="str">
        <f>IFERROR(__xludf.DUMMYFUNCTION("""COMPUTED_VALUE"""),"30/10/2025 10:54:20")</f>
        <v>30/10/2025 10:54:20</v>
      </c>
      <c r="C3011" s="35"/>
      <c r="D3011" s="10">
        <f>IFERROR(__xludf.DUMMYFUNCTION("""COMPUTED_VALUE"""),45960.0)</f>
        <v>45960</v>
      </c>
      <c r="E3011" s="35" t="str">
        <f>IFERROR(__xludf.DUMMYFUNCTION("""COMPUTED_VALUE"""),"10Okt")</f>
        <v>10Okt</v>
      </c>
      <c r="F3011" s="34" t="str">
        <f>IFERROR(__xludf.DUMMYFUNCTION("""COMPUTED_VALUE"""),"2025")</f>
        <v>2025</v>
      </c>
      <c r="G3011" s="35" t="str">
        <f>IFERROR(__xludf.DUMMYFUNCTION("""COMPUTED_VALUE"""),"RINI ADIYANTI K")</f>
        <v>RINI ADIYANTI K</v>
      </c>
      <c r="H3011" s="35" t="str">
        <f>IFERROR(__xludf.DUMMYFUNCTION("""COMPUTED_VALUE"""),"R7225102104")</f>
        <v>R7225102104</v>
      </c>
      <c r="I3011" s="35">
        <f>IFERROR(__xludf.DUMMYFUNCTION("""COMPUTED_VALUE"""),53.0)</f>
        <v>53</v>
      </c>
      <c r="J3011" s="35" t="str">
        <f>IFERROR(__xludf.DUMMYFUNCTION("""COMPUTED_VALUE"""),"&gt; 44 tahun")</f>
        <v>&gt; 44 tahun</v>
      </c>
      <c r="K3011" s="21" t="str">
        <f>IFERROR(__xludf.DUMMYFUNCTION("""COMPUTED_VALUE"""),"02/12/1972")</f>
        <v>02/12/1972</v>
      </c>
      <c r="L3011" s="21" t="str">
        <f>IFERROR(__xludf.DUMMYFUNCTION("""COMPUTED_VALUE"""),"PEREMPUAN")</f>
        <v>PEREMPUAN</v>
      </c>
      <c r="M3011" s="35" t="str">
        <f>IFERROR(__xludf.DUMMYFUNCTION("""COMPUTED_VALUE"""),"JL PETANI KOMP PONDOK HIJAU ARTIKA NO. 32")</f>
        <v>JL PETANI KOMP PONDOK HIJAU ARTIKA NO. 32</v>
      </c>
      <c r="N3011" s="35" t="str">
        <f>IFERROR(__xludf.DUMMYFUNCTION("""COMPUTED_VALUE"""),"SUNGAI JAWI")</f>
        <v>SUNGAI JAWI</v>
      </c>
      <c r="O3011" s="35" t="str">
        <f>IFERROR(__xludf.DUMMYFUNCTION("""COMPUTED_VALUE"""),"PONTIANAK KOTA")</f>
        <v>PONTIANAK KOTA</v>
      </c>
      <c r="P3011" s="35" t="str">
        <f>IFERROR(__xludf.DUMMYFUNCTION("""COMPUTED_VALUE"""),"PONTIANAK")</f>
        <v>PONTIANAK</v>
      </c>
      <c r="Q3011" s="35" t="str">
        <f>IFERROR(__xludf.DUMMYFUNCTION("""COMPUTED_VALUE"""),"KALIMANTAN BARAT")</f>
        <v>KALIMANTAN BARAT</v>
      </c>
      <c r="R3011" s="21" t="str">
        <f>IFERROR(__xludf.DUMMYFUNCTION("""COMPUTED_VALUE"""),"ISLAM")</f>
        <v>ISLAM</v>
      </c>
      <c r="S3011" s="74" t="str">
        <f>IFERROR(__xludf.DUMMYFUNCTION("""COMPUTED_VALUE"""),"KARYAWAN SWASTA")</f>
        <v>KARYAWAN SWASTA</v>
      </c>
      <c r="T3011" s="35" t="str">
        <f>IFERROR(__xludf.DUMMYFUNCTION("""COMPUTED_VALUE"""),"AREA DI SEKITAR BAHU DAN LENGAN SAKIT")</f>
        <v>AREA DI SEKITAR BAHU DAN LENGAN SAKIT</v>
      </c>
      <c r="U3011" s="35" t="str">
        <f>IFERROR(__xludf.DUMMYFUNCTION("""COMPUTED_VALUE"""),"AKIBAT JATUH")</f>
        <v>AKIBAT JATUH</v>
      </c>
      <c r="V3011" s="37" t="str">
        <f>IFERROR(__xludf.DUMMYFUNCTION("""COMPUTED_VALUE"""),"085754912104")</f>
        <v>085754912104</v>
      </c>
      <c r="W3011" s="45"/>
    </row>
    <row r="3012">
      <c r="A3012" s="45"/>
      <c r="B3012" s="24" t="str">
        <f>IFERROR(__xludf.DUMMYFUNCTION("""COMPUTED_VALUE"""),"30/10/2025 11:34:41")</f>
        <v>30/10/2025 11:34:41</v>
      </c>
      <c r="C3012" s="35"/>
      <c r="D3012" s="10">
        <f>IFERROR(__xludf.DUMMYFUNCTION("""COMPUTED_VALUE"""),45960.0)</f>
        <v>45960</v>
      </c>
      <c r="E3012" s="35" t="str">
        <f>IFERROR(__xludf.DUMMYFUNCTION("""COMPUTED_VALUE"""),"10Okt")</f>
        <v>10Okt</v>
      </c>
      <c r="F3012" s="34" t="str">
        <f>IFERROR(__xludf.DUMMYFUNCTION("""COMPUTED_VALUE"""),"2025")</f>
        <v>2025</v>
      </c>
      <c r="G3012" s="35" t="str">
        <f>IFERROR(__xludf.DUMMYFUNCTION("""COMPUTED_VALUE"""),"FADLURROHMAN ASSHIDDIQI")</f>
        <v>FADLURROHMAN ASSHIDDIQI</v>
      </c>
      <c r="H3012" s="35" t="str">
        <f>IFERROR(__xludf.DUMMYFUNCTION("""COMPUTED_VALUE"""),"F0225102200")</f>
        <v>F0225102200</v>
      </c>
      <c r="I3012" s="35">
        <f>IFERROR(__xludf.DUMMYFUNCTION("""COMPUTED_VALUE"""),23.0)</f>
        <v>23</v>
      </c>
      <c r="J3012" s="35" t="str">
        <f>IFERROR(__xludf.DUMMYFUNCTION("""COMPUTED_VALUE"""),"18-24 tahun")</f>
        <v>18-24 tahun</v>
      </c>
      <c r="K3012" s="21" t="str">
        <f>IFERROR(__xludf.DUMMYFUNCTION("""COMPUTED_VALUE"""),"09/09/2002")</f>
        <v>09/09/2002</v>
      </c>
      <c r="L3012" s="21" t="str">
        <f>IFERROR(__xludf.DUMMYFUNCTION("""COMPUTED_VALUE"""),"LAKI-LAKI")</f>
        <v>LAKI-LAKI</v>
      </c>
      <c r="M3012" s="35" t="str">
        <f>IFERROR(__xludf.DUMMYFUNCTION("""COMPUTED_VALUE"""),"JL.PERINTIS GG.PERINTIS 1 NO.29D")</f>
        <v>JL.PERINTIS GG.PERINTIS 1 NO.29D</v>
      </c>
      <c r="N3012" s="35" t="str">
        <f>IFERROR(__xludf.DUMMYFUNCTION("""COMPUTED_VALUE"""),"AKCAYA")</f>
        <v>AKCAYA</v>
      </c>
      <c r="O3012" s="35" t="str">
        <f>IFERROR(__xludf.DUMMYFUNCTION("""COMPUTED_VALUE"""),"PONTIANAK SELATAN")</f>
        <v>PONTIANAK SELATAN</v>
      </c>
      <c r="P3012" s="35" t="str">
        <f>IFERROR(__xludf.DUMMYFUNCTION("""COMPUTED_VALUE"""),"PONTIANAK")</f>
        <v>PONTIANAK</v>
      </c>
      <c r="Q3012" s="35" t="str">
        <f>IFERROR(__xludf.DUMMYFUNCTION("""COMPUTED_VALUE"""),"KALIMANTAN BARAT")</f>
        <v>KALIMANTAN BARAT</v>
      </c>
      <c r="R3012" s="21" t="str">
        <f>IFERROR(__xludf.DUMMYFUNCTION("""COMPUTED_VALUE"""),"ISLAM")</f>
        <v>ISLAM</v>
      </c>
      <c r="S3012" s="74" t="str">
        <f>IFERROR(__xludf.DUMMYFUNCTION("""COMPUTED_VALUE"""),"WIRASWASTA")</f>
        <v>WIRASWASTA</v>
      </c>
      <c r="T3012" s="35" t="str">
        <f>IFERROR(__xludf.DUMMYFUNCTION("""COMPUTED_VALUE"""),"SCOLIOSIS, SAKIT SAAT BERDIRI/DUDUK LAMA")</f>
        <v>SCOLIOSIS, SAKIT SAAT BERDIRI/DUDUK LAMA</v>
      </c>
      <c r="U3012" s="35" t="str">
        <f>IFERROR(__xludf.DUMMYFUNCTION("""COMPUTED_VALUE"""),"KERJA DI LAPANGAN, LARI")</f>
        <v>KERJA DI LAPANGAN, LARI</v>
      </c>
      <c r="V3012" s="37" t="str">
        <f>IFERROR(__xludf.DUMMYFUNCTION("""COMPUTED_VALUE"""),"089505032200")</f>
        <v>089505032200</v>
      </c>
      <c r="W3012" s="45"/>
    </row>
    <row r="3013">
      <c r="A3013" s="45"/>
      <c r="B3013" s="24" t="str">
        <f>IFERROR(__xludf.DUMMYFUNCTION("""COMPUTED_VALUE"""),"28/10/2025 20:09:49")</f>
        <v>28/10/2025 20:09:49</v>
      </c>
      <c r="C3013" s="35"/>
      <c r="D3013" s="10">
        <f>IFERROR(__xludf.DUMMYFUNCTION("""COMPUTED_VALUE"""),45960.0)</f>
        <v>45960</v>
      </c>
      <c r="E3013" s="35" t="str">
        <f>IFERROR(__xludf.DUMMYFUNCTION("""COMPUTED_VALUE"""),"10Okt")</f>
        <v>10Okt</v>
      </c>
      <c r="F3013" s="34" t="str">
        <f>IFERROR(__xludf.DUMMYFUNCTION("""COMPUTED_VALUE"""),"2025")</f>
        <v>2025</v>
      </c>
      <c r="G3013" s="35" t="str">
        <f>IFERROR(__xludf.DUMMYFUNCTION("""COMPUTED_VALUE"""),"DWI CHRISTIANA")</f>
        <v>DWI CHRISTIANA</v>
      </c>
      <c r="H3013" s="35" t="str">
        <f>IFERROR(__xludf.DUMMYFUNCTION("""COMPUTED_VALUE"""),"D7925106622")</f>
        <v>D7925106622</v>
      </c>
      <c r="I3013" s="35">
        <f>IFERROR(__xludf.DUMMYFUNCTION("""COMPUTED_VALUE"""),46.0)</f>
        <v>46</v>
      </c>
      <c r="J3013" s="35" t="str">
        <f>IFERROR(__xludf.DUMMYFUNCTION("""COMPUTED_VALUE"""),"&gt; 44 tahun")</f>
        <v>&gt; 44 tahun</v>
      </c>
      <c r="K3013" s="21" t="str">
        <f>IFERROR(__xludf.DUMMYFUNCTION("""COMPUTED_VALUE"""),"19/07/1979")</f>
        <v>19/07/1979</v>
      </c>
      <c r="L3013" s="21" t="str">
        <f>IFERROR(__xludf.DUMMYFUNCTION("""COMPUTED_VALUE"""),"PEREMPUAN")</f>
        <v>PEREMPUAN</v>
      </c>
      <c r="M3013" s="35" t="str">
        <f>IFERROR(__xludf.DUMMYFUNCTION("""COMPUTED_VALUE"""),"JL PURNAMA KOMP MUTIARA PURNAMA")</f>
        <v>JL PURNAMA KOMP MUTIARA PURNAMA</v>
      </c>
      <c r="N3013" s="35" t="str">
        <f>IFERROR(__xludf.DUMMYFUNCTION("""COMPUTED_VALUE"""),"PONTIANAK SELATAN")</f>
        <v>PONTIANAK SELATAN</v>
      </c>
      <c r="O3013" s="35" t="str">
        <f>IFERROR(__xludf.DUMMYFUNCTION("""COMPUTED_VALUE"""),"PARIT TOKAYA")</f>
        <v>PARIT TOKAYA</v>
      </c>
      <c r="P3013" s="35" t="str">
        <f>IFERROR(__xludf.DUMMYFUNCTION("""COMPUTED_VALUE"""),"PONTIANAK")</f>
        <v>PONTIANAK</v>
      </c>
      <c r="Q3013" s="35" t="str">
        <f>IFERROR(__xludf.DUMMYFUNCTION("""COMPUTED_VALUE"""),"KALIMANTAN BARAT")</f>
        <v>KALIMANTAN BARAT</v>
      </c>
      <c r="R3013" s="21" t="str">
        <f>IFERROR(__xludf.DUMMYFUNCTION("""COMPUTED_VALUE"""),"KATOLIK")</f>
        <v>KATOLIK</v>
      </c>
      <c r="S3013" s="74" t="str">
        <f>IFERROR(__xludf.DUMMYFUNCTION("""COMPUTED_VALUE"""),"SWASTA")</f>
        <v>SWASTA</v>
      </c>
      <c r="T3013" s="35" t="str">
        <f>IFERROR(__xludf.DUMMYFUNCTION("""COMPUTED_VALUE"""),"NYERI PINGGANG DAN PUNDAK")</f>
        <v>NYERI PINGGANG DAN PUNDAK</v>
      </c>
      <c r="U3013" s="35" t="str">
        <f>IFERROR(__xludf.DUMMYFUNCTION("""COMPUTED_VALUE"""),"KERJA DI DEPAN LAPTOP, DUDUK BERJAM2")</f>
        <v>KERJA DI DEPAN LAPTOP, DUDUK BERJAM2</v>
      </c>
      <c r="V3013" s="37" t="str">
        <f>IFERROR(__xludf.DUMMYFUNCTION("""COMPUTED_VALUE"""),"081345256622")</f>
        <v>081345256622</v>
      </c>
      <c r="W3013" s="45"/>
    </row>
    <row r="3014">
      <c r="A3014" s="45"/>
      <c r="B3014" s="24" t="str">
        <f>IFERROR(__xludf.DUMMYFUNCTION("""COMPUTED_VALUE"""),"30/10/2025 16:58:07")</f>
        <v>30/10/2025 16:58:07</v>
      </c>
      <c r="C3014" s="35"/>
      <c r="D3014" s="10">
        <f>IFERROR(__xludf.DUMMYFUNCTION("""COMPUTED_VALUE"""),45960.0)</f>
        <v>45960</v>
      </c>
      <c r="E3014" s="35" t="str">
        <f>IFERROR(__xludf.DUMMYFUNCTION("""COMPUTED_VALUE"""),"10Okt")</f>
        <v>10Okt</v>
      </c>
      <c r="F3014" s="34" t="str">
        <f>IFERROR(__xludf.DUMMYFUNCTION("""COMPUTED_VALUE"""),"2025")</f>
        <v>2025</v>
      </c>
      <c r="G3014" s="35" t="str">
        <f>IFERROR(__xludf.DUMMYFUNCTION("""COMPUTED_VALUE"""),"SUKAWATI EFFENDY")</f>
        <v>SUKAWATI EFFENDY</v>
      </c>
      <c r="H3014" s="35" t="str">
        <f>IFERROR(__xludf.DUMMYFUNCTION("""COMPUTED_VALUE"""),"S4725109888")</f>
        <v>S4725109888</v>
      </c>
      <c r="I3014" s="35">
        <f>IFERROR(__xludf.DUMMYFUNCTION("""COMPUTED_VALUE"""),78.0)</f>
        <v>78</v>
      </c>
      <c r="J3014" s="35" t="str">
        <f>IFERROR(__xludf.DUMMYFUNCTION("""COMPUTED_VALUE"""),"&gt; 44 tahun")</f>
        <v>&gt; 44 tahun</v>
      </c>
      <c r="K3014" s="21" t="str">
        <f>IFERROR(__xludf.DUMMYFUNCTION("""COMPUTED_VALUE"""),"10/12/1947")</f>
        <v>10/12/1947</v>
      </c>
      <c r="L3014" s="21" t="str">
        <f>IFERROR(__xludf.DUMMYFUNCTION("""COMPUTED_VALUE"""),"PEREMPUAN")</f>
        <v>PEREMPUAN</v>
      </c>
      <c r="M3014" s="35" t="str">
        <f>IFERROR(__xludf.DUMMYFUNCTION("""COMPUTED_VALUE"""),"JL. NUSA INDAH BARU BLOK E NO. 24")</f>
        <v>JL. NUSA INDAH BARU BLOK E NO. 24</v>
      </c>
      <c r="N3014" s="35" t="str">
        <f>IFERROR(__xludf.DUMMYFUNCTION("""COMPUTED_VALUE"""),"DARAT SEKIP")</f>
        <v>DARAT SEKIP</v>
      </c>
      <c r="O3014" s="35" t="str">
        <f>IFERROR(__xludf.DUMMYFUNCTION("""COMPUTED_VALUE"""),"PONTIANAK KOTA")</f>
        <v>PONTIANAK KOTA</v>
      </c>
      <c r="P3014" s="35" t="str">
        <f>IFERROR(__xludf.DUMMYFUNCTION("""COMPUTED_VALUE"""),"PONTIANAK")</f>
        <v>PONTIANAK</v>
      </c>
      <c r="Q3014" s="35" t="str">
        <f>IFERROR(__xludf.DUMMYFUNCTION("""COMPUTED_VALUE"""),"KAL-BAR")</f>
        <v>KAL-BAR</v>
      </c>
      <c r="R3014" s="21" t="str">
        <f>IFERROR(__xludf.DUMMYFUNCTION("""COMPUTED_VALUE"""),"BUDDHA")</f>
        <v>BUDDHA</v>
      </c>
      <c r="S3014" s="74" t="str">
        <f>IFERROR(__xludf.DUMMYFUNCTION("""COMPUTED_VALUE"""),"IBU RUMAH TANGGA")</f>
        <v>IBU RUMAH TANGGA</v>
      </c>
      <c r="T3014" s="35" t="str">
        <f>IFERROR(__xludf.DUMMYFUNCTION("""COMPUTED_VALUE"""),"KRAM PADA KAKI")</f>
        <v>KRAM PADA KAKI</v>
      </c>
      <c r="U3014" s="35" t="str">
        <f>IFERROR(__xludf.DUMMYFUNCTION("""COMPUTED_VALUE"""),"NAIK TURUN TANGGA DI RUMAH")</f>
        <v>NAIK TURUN TANGGA DI RUMAH</v>
      </c>
      <c r="V3014" s="37" t="str">
        <f>IFERROR(__xludf.DUMMYFUNCTION("""COMPUTED_VALUE"""),"085386739888")</f>
        <v>085386739888</v>
      </c>
      <c r="W3014" s="45"/>
    </row>
    <row r="3015">
      <c r="A3015" s="45"/>
      <c r="B3015" s="24" t="str">
        <f>IFERROR(__xludf.DUMMYFUNCTION("""COMPUTED_VALUE"""),"31/10/2025 14:01:37")</f>
        <v>31/10/2025 14:01:37</v>
      </c>
      <c r="C3015" s="35"/>
      <c r="D3015" s="10">
        <f>IFERROR(__xludf.DUMMYFUNCTION("""COMPUTED_VALUE"""),45962.0)</f>
        <v>45962</v>
      </c>
      <c r="E3015" s="35" t="str">
        <f>IFERROR(__xludf.DUMMYFUNCTION("""COMPUTED_VALUE"""),"11Nov")</f>
        <v>11Nov</v>
      </c>
      <c r="F3015" s="34" t="str">
        <f>IFERROR(__xludf.DUMMYFUNCTION("""COMPUTED_VALUE"""),"2025")</f>
        <v>2025</v>
      </c>
      <c r="G3015" s="35" t="str">
        <f>IFERROR(__xludf.DUMMYFUNCTION("""COMPUTED_VALUE"""),"TRI ALFAIRUS")</f>
        <v>TRI ALFAIRUS</v>
      </c>
      <c r="H3015" s="35" t="str">
        <f>IFERROR(__xludf.DUMMYFUNCTION("""COMPUTED_VALUE"""),"T1125116231")</f>
        <v>T1125116231</v>
      </c>
      <c r="I3015" s="35">
        <f>IFERROR(__xludf.DUMMYFUNCTION("""COMPUTED_VALUE"""),15.0)</f>
        <v>15</v>
      </c>
      <c r="J3015" s="35" t="str">
        <f>IFERROR(__xludf.DUMMYFUNCTION("""COMPUTED_VALUE"""),"&lt; 18 tahun")</f>
        <v>&lt; 18 tahun</v>
      </c>
      <c r="K3015" s="21" t="str">
        <f>IFERROR(__xludf.DUMMYFUNCTION("""COMPUTED_VALUE"""),"09/04/2011")</f>
        <v>09/04/2011</v>
      </c>
      <c r="L3015" s="21" t="str">
        <f>IFERROR(__xludf.DUMMYFUNCTION("""COMPUTED_VALUE"""),"LAKI-LAKI")</f>
        <v>LAKI-LAKI</v>
      </c>
      <c r="M3015" s="35" t="str">
        <f>IFERROR(__xludf.DUMMYFUNCTION("""COMPUTED_VALUE"""),"JLN TANJUNG RAYA 1")</f>
        <v>JLN TANJUNG RAYA 1</v>
      </c>
      <c r="N3015" s="35" t="str">
        <f>IFERROR(__xludf.DUMMYFUNCTION("""COMPUTED_VALUE"""),"DALAM BUGIS")</f>
        <v>DALAM BUGIS</v>
      </c>
      <c r="O3015" s="35" t="str">
        <f>IFERROR(__xludf.DUMMYFUNCTION("""COMPUTED_VALUE"""),"PONTIANAK TIMUR")</f>
        <v>PONTIANAK TIMUR</v>
      </c>
      <c r="P3015" s="35" t="str">
        <f>IFERROR(__xludf.DUMMYFUNCTION("""COMPUTED_VALUE"""),"KOTA PONTIANAK")</f>
        <v>KOTA PONTIANAK</v>
      </c>
      <c r="Q3015" s="35" t="str">
        <f>IFERROR(__xludf.DUMMYFUNCTION("""COMPUTED_VALUE"""),"KALIMANTAN BARAT")</f>
        <v>KALIMANTAN BARAT</v>
      </c>
      <c r="R3015" s="21" t="str">
        <f>IFERROR(__xludf.DUMMYFUNCTION("""COMPUTED_VALUE"""),"ISLAM")</f>
        <v>ISLAM</v>
      </c>
      <c r="S3015" s="74" t="str">
        <f>IFERROR(__xludf.DUMMYFUNCTION("""COMPUTED_VALUE"""),"BELUM ADA")</f>
        <v>BELUM ADA</v>
      </c>
      <c r="T3015" s="35" t="str">
        <f>IFERROR(__xludf.DUMMYFUNCTION("""COMPUTED_VALUE"""),"LUTUT SAKIT")</f>
        <v>LUTUT SAKIT</v>
      </c>
      <c r="U3015" s="35" t="str">
        <f>IFERROR(__xludf.DUMMYFUNCTION("""COMPUTED_VALUE"""),"FUTSAL")</f>
        <v>FUTSAL</v>
      </c>
      <c r="V3015" s="37" t="str">
        <f>IFERROR(__xludf.DUMMYFUNCTION("""COMPUTED_VALUE"""),"087852436231")</f>
        <v>087852436231</v>
      </c>
      <c r="W3015" s="45"/>
    </row>
    <row r="3016">
      <c r="A3016" s="45"/>
      <c r="B3016" s="24" t="str">
        <f>IFERROR(__xludf.DUMMYFUNCTION("""COMPUTED_VALUE"""),"01/11/2025 11:00:51")</f>
        <v>01/11/2025 11:00:51</v>
      </c>
      <c r="C3016" s="35"/>
      <c r="D3016" s="10">
        <f>IFERROR(__xludf.DUMMYFUNCTION("""COMPUTED_VALUE"""),45962.0)</f>
        <v>45962</v>
      </c>
      <c r="E3016" s="35" t="str">
        <f>IFERROR(__xludf.DUMMYFUNCTION("""COMPUTED_VALUE"""),"11Nov")</f>
        <v>11Nov</v>
      </c>
      <c r="F3016" s="34" t="str">
        <f>IFERROR(__xludf.DUMMYFUNCTION("""COMPUTED_VALUE"""),"2025")</f>
        <v>2025</v>
      </c>
      <c r="G3016" s="35" t="str">
        <f>IFERROR(__xludf.DUMMYFUNCTION("""COMPUTED_VALUE"""),"TIURLAN RANIA SITOMPUL")</f>
        <v>TIURLAN RANIA SITOMPUL</v>
      </c>
      <c r="H3016" s="35" t="str">
        <f>IFERROR(__xludf.DUMMYFUNCTION("""COMPUTED_VALUE"""),"T9925112700")</f>
        <v>T9925112700</v>
      </c>
      <c r="I3016" s="35">
        <f>IFERROR(__xludf.DUMMYFUNCTION("""COMPUTED_VALUE"""),27.0)</f>
        <v>27</v>
      </c>
      <c r="J3016" s="35" t="str">
        <f>IFERROR(__xludf.DUMMYFUNCTION("""COMPUTED_VALUE"""),"25-34 tahun")</f>
        <v>25-34 tahun</v>
      </c>
      <c r="K3016" s="21" t="str">
        <f>IFERROR(__xludf.DUMMYFUNCTION("""COMPUTED_VALUE"""),"04/02/1999")</f>
        <v>04/02/1999</v>
      </c>
      <c r="L3016" s="21" t="str">
        <f>IFERROR(__xludf.DUMMYFUNCTION("""COMPUTED_VALUE"""),"PEREMPUAN")</f>
        <v>PEREMPUAN</v>
      </c>
      <c r="M3016" s="35" t="str">
        <f>IFERROR(__xludf.DUMMYFUNCTION("""COMPUTED_VALUE"""),"JALAN ADISUCIPTO NO. 171 RT.002 RW.002 KELURAHAN BANGKA BELITUNG LAUT KECAMATAN PONTIANAK TENGGARA")</f>
        <v>JALAN ADISUCIPTO NO. 171 RT.002 RW.002 KELURAHAN BANGKA BELITUNG LAUT KECAMATAN PONTIANAK TENGGARA</v>
      </c>
      <c r="N3016" s="35" t="str">
        <f>IFERROR(__xludf.DUMMYFUNCTION("""COMPUTED_VALUE"""),"BANGKA BELITUNG LAUT")</f>
        <v>BANGKA BELITUNG LAUT</v>
      </c>
      <c r="O3016" s="35" t="str">
        <f>IFERROR(__xludf.DUMMYFUNCTION("""COMPUTED_VALUE"""),"PONTIANAK TENGGARA")</f>
        <v>PONTIANAK TENGGARA</v>
      </c>
      <c r="P3016" s="35" t="str">
        <f>IFERROR(__xludf.DUMMYFUNCTION("""COMPUTED_VALUE"""),"PONTIANAK")</f>
        <v>PONTIANAK</v>
      </c>
      <c r="Q3016" s="35" t="str">
        <f>IFERROR(__xludf.DUMMYFUNCTION("""COMPUTED_VALUE"""),"KALIMANTAN BARAT")</f>
        <v>KALIMANTAN BARAT</v>
      </c>
      <c r="R3016" s="21" t="str">
        <f>IFERROR(__xludf.DUMMYFUNCTION("""COMPUTED_VALUE"""),"ISLAM")</f>
        <v>ISLAM</v>
      </c>
      <c r="S3016" s="74" t="str">
        <f>IFERROR(__xludf.DUMMYFUNCTION("""COMPUTED_VALUE"""),"PNS")</f>
        <v>PNS</v>
      </c>
      <c r="T3016" s="35" t="str">
        <f>IFERROR(__xludf.DUMMYFUNCTION("""COMPUTED_VALUE"""),"LENGAN DAN TANGAN SEBELAH KIRI TERASA SAKIT GARA2 PERNAH JATUH DARI MOTOR DI TAHUN 2021, SAMPAI SEKARANG SERING KAMBUH2 SAKITNYA")</f>
        <v>LENGAN DAN TANGAN SEBELAH KIRI TERASA SAKIT GARA2 PERNAH JATUH DARI MOTOR DI TAHUN 2021, SAMPAI SEKARANG SERING KAMBUH2 SAKITNYA</v>
      </c>
      <c r="U3016" s="35" t="str">
        <f>IFERROR(__xludf.DUMMYFUNCTION("""COMPUTED_VALUE"""),"LARI/JOGGING SEMPAT GYM TAPI BERHENTI")</f>
        <v>LARI/JOGGING SEMPAT GYM TAPI BERHENTI</v>
      </c>
      <c r="V3016" s="37" t="str">
        <f>IFERROR(__xludf.DUMMYFUNCTION("""COMPUTED_VALUE"""),"082228902700")</f>
        <v>082228902700</v>
      </c>
      <c r="W3016" s="45"/>
    </row>
    <row r="3017">
      <c r="A3017" s="45"/>
      <c r="B3017" s="24" t="str">
        <f>IFERROR(__xludf.DUMMYFUNCTION("""COMPUTED_VALUE"""),"01/11/2025 11:29:41")</f>
        <v>01/11/2025 11:29:41</v>
      </c>
      <c r="C3017" s="35"/>
      <c r="D3017" s="10">
        <f>IFERROR(__xludf.DUMMYFUNCTION("""COMPUTED_VALUE"""),45962.0)</f>
        <v>45962</v>
      </c>
      <c r="E3017" s="35" t="str">
        <f>IFERROR(__xludf.DUMMYFUNCTION("""COMPUTED_VALUE"""),"11Nov")</f>
        <v>11Nov</v>
      </c>
      <c r="F3017" s="34" t="str">
        <f>IFERROR(__xludf.DUMMYFUNCTION("""COMPUTED_VALUE"""),"2025")</f>
        <v>2025</v>
      </c>
      <c r="G3017" s="35" t="str">
        <f>IFERROR(__xludf.DUMMYFUNCTION("""COMPUTED_VALUE"""),"NOVIANTO")</f>
        <v>NOVIANTO</v>
      </c>
      <c r="H3017" s="35" t="str">
        <f>IFERROR(__xludf.DUMMYFUNCTION("""COMPUTED_VALUE"""),"N8325117007")</f>
        <v>N8325117007</v>
      </c>
      <c r="I3017" s="35">
        <f>IFERROR(__xludf.DUMMYFUNCTION("""COMPUTED_VALUE"""),42.0)</f>
        <v>42</v>
      </c>
      <c r="J3017" s="35" t="str">
        <f>IFERROR(__xludf.DUMMYFUNCTION("""COMPUTED_VALUE"""),"35-44 tahun")</f>
        <v>35-44 tahun</v>
      </c>
      <c r="K3017" s="21" t="str">
        <f>IFERROR(__xludf.DUMMYFUNCTION("""COMPUTED_VALUE"""),"03/11/1983")</f>
        <v>03/11/1983</v>
      </c>
      <c r="L3017" s="21" t="str">
        <f>IFERROR(__xludf.DUMMYFUNCTION("""COMPUTED_VALUE"""),"LAKI-LAKI")</f>
        <v>LAKI-LAKI</v>
      </c>
      <c r="M3017" s="35" t="str">
        <f>IFERROR(__xludf.DUMMYFUNCTION("""COMPUTED_VALUE"""),"JL. ADI SUCIPTO NO 182")</f>
        <v>JL. ADI SUCIPTO NO 182</v>
      </c>
      <c r="N3017" s="35" t="str">
        <f>IFERROR(__xludf.DUMMYFUNCTION("""COMPUTED_VALUE"""),"BANGKA BELITUNG")</f>
        <v>BANGKA BELITUNG</v>
      </c>
      <c r="O3017" s="35" t="str">
        <f>IFERROR(__xludf.DUMMYFUNCTION("""COMPUTED_VALUE"""),"PONTIANAK TENGGARA")</f>
        <v>PONTIANAK TENGGARA</v>
      </c>
      <c r="P3017" s="35" t="str">
        <f>IFERROR(__xludf.DUMMYFUNCTION("""COMPUTED_VALUE"""),"PONTIANAK")</f>
        <v>PONTIANAK</v>
      </c>
      <c r="Q3017" s="35" t="str">
        <f>IFERROR(__xludf.DUMMYFUNCTION("""COMPUTED_VALUE"""),"KALIMANTAN BARAT")</f>
        <v>KALIMANTAN BARAT</v>
      </c>
      <c r="R3017" s="21" t="str">
        <f>IFERROR(__xludf.DUMMYFUNCTION("""COMPUTED_VALUE"""),"PROTESTAN")</f>
        <v>PROTESTAN</v>
      </c>
      <c r="S3017" s="74" t="str">
        <f>IFERROR(__xludf.DUMMYFUNCTION("""COMPUTED_VALUE"""),"SWASTA")</f>
        <v>SWASTA</v>
      </c>
      <c r="T3017" s="35" t="str">
        <f>IFERROR(__xludf.DUMMYFUNCTION("""COMPUTED_VALUE"""),"SAKIT PINGGANG")</f>
        <v>SAKIT PINGGANG</v>
      </c>
      <c r="U3017" s="35" t="str">
        <f>IFERROR(__xludf.DUMMYFUNCTION("""COMPUTED_VALUE"""),"BADMINTON")</f>
        <v>BADMINTON</v>
      </c>
      <c r="V3017" s="37" t="str">
        <f>IFERROR(__xludf.DUMMYFUNCTION("""COMPUTED_VALUE"""),"085346907007")</f>
        <v>085346907007</v>
      </c>
      <c r="W3017" s="45"/>
    </row>
    <row r="3018">
      <c r="A3018" s="45"/>
      <c r="B3018" s="24" t="str">
        <f>IFERROR(__xludf.DUMMYFUNCTION("""COMPUTED_VALUE"""),"31/10/2025 9:18:09")</f>
        <v>31/10/2025 9:18:09</v>
      </c>
      <c r="C3018" s="35"/>
      <c r="D3018" s="10">
        <f>IFERROR(__xludf.DUMMYFUNCTION("""COMPUTED_VALUE"""),45962.0)</f>
        <v>45962</v>
      </c>
      <c r="E3018" s="35" t="str">
        <f>IFERROR(__xludf.DUMMYFUNCTION("""COMPUTED_VALUE"""),"11Nov")</f>
        <v>11Nov</v>
      </c>
      <c r="F3018" s="34" t="str">
        <f>IFERROR(__xludf.DUMMYFUNCTION("""COMPUTED_VALUE"""),"2025")</f>
        <v>2025</v>
      </c>
      <c r="G3018" s="35" t="str">
        <f>IFERROR(__xludf.DUMMYFUNCTION("""COMPUTED_VALUE"""),"SITI HALIMAH")</f>
        <v>SITI HALIMAH</v>
      </c>
      <c r="H3018" s="35" t="str">
        <f>IFERROR(__xludf.DUMMYFUNCTION("""COMPUTED_VALUE"""),"S8525111805")</f>
        <v>S8525111805</v>
      </c>
      <c r="I3018" s="35">
        <f>IFERROR(__xludf.DUMMYFUNCTION("""COMPUTED_VALUE"""),41.0)</f>
        <v>41</v>
      </c>
      <c r="J3018" s="35" t="str">
        <f>IFERROR(__xludf.DUMMYFUNCTION("""COMPUTED_VALUE"""),"35-44 tahun")</f>
        <v>35-44 tahun</v>
      </c>
      <c r="K3018" s="21" t="str">
        <f>IFERROR(__xludf.DUMMYFUNCTION("""COMPUTED_VALUE"""),"18/01/1985")</f>
        <v>18/01/1985</v>
      </c>
      <c r="L3018" s="21" t="str">
        <f>IFERROR(__xludf.DUMMYFUNCTION("""COMPUTED_VALUE"""),"PEREMPUAN")</f>
        <v>PEREMPUAN</v>
      </c>
      <c r="M3018" s="35" t="str">
        <f>IFERROR(__xludf.DUMMYFUNCTION("""COMPUTED_VALUE"""),"JL. PAK BENCENG KOMP. PONTREN MATHLA'UL ANWAR)")</f>
        <v>JL. PAK BENCENG KOMP. PONTREN MATHLA'UL ANWAR)</v>
      </c>
      <c r="N3018" s="35" t="str">
        <f>IFERROR(__xludf.DUMMYFUNCTION("""COMPUTED_VALUE"""),"SEI BANGKONG")</f>
        <v>SEI BANGKONG</v>
      </c>
      <c r="O3018" s="35" t="str">
        <f>IFERROR(__xludf.DUMMYFUNCTION("""COMPUTED_VALUE"""),"PONTIANAK KOTA")</f>
        <v>PONTIANAK KOTA</v>
      </c>
      <c r="P3018" s="35" t="str">
        <f>IFERROR(__xludf.DUMMYFUNCTION("""COMPUTED_VALUE"""),"PONTIANAK")</f>
        <v>PONTIANAK</v>
      </c>
      <c r="Q3018" s="35" t="str">
        <f>IFERROR(__xludf.DUMMYFUNCTION("""COMPUTED_VALUE"""),"KALIMANTAN BARAT")</f>
        <v>KALIMANTAN BARAT</v>
      </c>
      <c r="R3018" s="21" t="str">
        <f>IFERROR(__xludf.DUMMYFUNCTION("""COMPUTED_VALUE"""),"ISLAM")</f>
        <v>ISLAM</v>
      </c>
      <c r="S3018" s="74" t="str">
        <f>IFERROR(__xludf.DUMMYFUNCTION("""COMPUTED_VALUE"""),"GURU")</f>
        <v>GURU</v>
      </c>
      <c r="T3018" s="35" t="str">
        <f>IFERROR(__xludf.DUMMYFUNCTION("""COMPUTED_VALUE"""),"TIDAK BISA MENGANGKAT TANGAN")</f>
        <v>TIDAK BISA MENGANGKAT TANGAN</v>
      </c>
      <c r="U3018" s="35" t="str">
        <f>IFERROR(__xludf.DUMMYFUNCTION("""COMPUTED_VALUE"""),"SETELAH URUT BESOK PAGINYA LNGSUNG SAKIT")</f>
        <v>SETELAH URUT BESOK PAGINYA LNGSUNG SAKIT</v>
      </c>
      <c r="V3018" s="37" t="str">
        <f>IFERROR(__xludf.DUMMYFUNCTION("""COMPUTED_VALUE"""),"082155491805")</f>
        <v>082155491805</v>
      </c>
      <c r="W3018" s="45"/>
    </row>
    <row r="3019">
      <c r="A3019" s="45"/>
      <c r="B3019" s="24" t="str">
        <f>IFERROR(__xludf.DUMMYFUNCTION("""COMPUTED_VALUE"""),"01/11/2025 13:54:38")</f>
        <v>01/11/2025 13:54:38</v>
      </c>
      <c r="C3019" s="35"/>
      <c r="D3019" s="10">
        <f>IFERROR(__xludf.DUMMYFUNCTION("""COMPUTED_VALUE"""),45962.0)</f>
        <v>45962</v>
      </c>
      <c r="E3019" s="35" t="str">
        <f>IFERROR(__xludf.DUMMYFUNCTION("""COMPUTED_VALUE"""),"11Nov")</f>
        <v>11Nov</v>
      </c>
      <c r="F3019" s="34" t="str">
        <f>IFERROR(__xludf.DUMMYFUNCTION("""COMPUTED_VALUE"""),"2025")</f>
        <v>2025</v>
      </c>
      <c r="G3019" s="35" t="str">
        <f>IFERROR(__xludf.DUMMYFUNCTION("""COMPUTED_VALUE"""),"VIONA PRICILA")</f>
        <v>VIONA PRICILA</v>
      </c>
      <c r="H3019" s="35" t="str">
        <f>IFERROR(__xludf.DUMMYFUNCTION("""COMPUTED_VALUE"""),"V9525116763")</f>
        <v>V9525116763</v>
      </c>
      <c r="I3019" s="35">
        <f>IFERROR(__xludf.DUMMYFUNCTION("""COMPUTED_VALUE"""),31.0)</f>
        <v>31</v>
      </c>
      <c r="J3019" s="35" t="str">
        <f>IFERROR(__xludf.DUMMYFUNCTION("""COMPUTED_VALUE"""),"25-34 tahun")</f>
        <v>25-34 tahun</v>
      </c>
      <c r="K3019" s="21" t="str">
        <f>IFERROR(__xludf.DUMMYFUNCTION("""COMPUTED_VALUE"""),"05/02/1995")</f>
        <v>05/02/1995</v>
      </c>
      <c r="L3019" s="21" t="str">
        <f>IFERROR(__xludf.DUMMYFUNCTION("""COMPUTED_VALUE"""),"PEREMPUAN")</f>
        <v>PEREMPUAN</v>
      </c>
      <c r="M3019" s="35" t="str">
        <f>IFERROR(__xludf.DUMMYFUNCTION("""COMPUTED_VALUE"""),"AMPERA, THE GREEN URBANIA NO E5")</f>
        <v>AMPERA, THE GREEN URBANIA NO E5</v>
      </c>
      <c r="N3019" s="35" t="str">
        <f>IFERROR(__xludf.DUMMYFUNCTION("""COMPUTED_VALUE"""),"SUNGAI BANGKONG")</f>
        <v>SUNGAI BANGKONG</v>
      </c>
      <c r="O3019" s="35" t="str">
        <f>IFERROR(__xludf.DUMMYFUNCTION("""COMPUTED_VALUE"""),"PONTIANAK KOTA")</f>
        <v>PONTIANAK KOTA</v>
      </c>
      <c r="P3019" s="35" t="str">
        <f>IFERROR(__xludf.DUMMYFUNCTION("""COMPUTED_VALUE"""),"PONTIANAK")</f>
        <v>PONTIANAK</v>
      </c>
      <c r="Q3019" s="35" t="str">
        <f>IFERROR(__xludf.DUMMYFUNCTION("""COMPUTED_VALUE"""),"KALIMANTAN BARAT")</f>
        <v>KALIMANTAN BARAT</v>
      </c>
      <c r="R3019" s="21" t="str">
        <f>IFERROR(__xludf.DUMMYFUNCTION("""COMPUTED_VALUE"""),"KATOLIK")</f>
        <v>KATOLIK</v>
      </c>
      <c r="S3019" s="74" t="str">
        <f>IFERROR(__xludf.DUMMYFUNCTION("""COMPUTED_VALUE"""),"WIRASWASTA")</f>
        <v>WIRASWASTA</v>
      </c>
      <c r="T3019" s="35" t="str">
        <f>IFERROR(__xludf.DUMMYFUNCTION("""COMPUTED_VALUE"""),"SAKIT TULANG JEMPOL KAKI KANAN")</f>
        <v>SAKIT TULANG JEMPOL KAKI KANAN</v>
      </c>
      <c r="U3019" s="35" t="str">
        <f>IFERROR(__xludf.DUMMYFUNCTION("""COMPUTED_VALUE"""),"OLAHRAGA")</f>
        <v>OLAHRAGA</v>
      </c>
      <c r="V3019" s="37" t="str">
        <f>IFERROR(__xludf.DUMMYFUNCTION("""COMPUTED_VALUE"""),"085820056763")</f>
        <v>085820056763</v>
      </c>
      <c r="W3019" s="45"/>
    </row>
    <row r="3020">
      <c r="A3020" s="45"/>
      <c r="B3020" s="24" t="str">
        <f>IFERROR(__xludf.DUMMYFUNCTION("""COMPUTED_VALUE"""),"01/11/2025 15:08:09")</f>
        <v>01/11/2025 15:08:09</v>
      </c>
      <c r="C3020" s="35"/>
      <c r="D3020" s="10">
        <f>IFERROR(__xludf.DUMMYFUNCTION("""COMPUTED_VALUE"""),45962.0)</f>
        <v>45962</v>
      </c>
      <c r="E3020" s="35" t="str">
        <f>IFERROR(__xludf.DUMMYFUNCTION("""COMPUTED_VALUE"""),"11Nov")</f>
        <v>11Nov</v>
      </c>
      <c r="F3020" s="34" t="str">
        <f>IFERROR(__xludf.DUMMYFUNCTION("""COMPUTED_VALUE"""),"2025")</f>
        <v>2025</v>
      </c>
      <c r="G3020" s="35" t="str">
        <f>IFERROR(__xludf.DUMMYFUNCTION("""COMPUTED_VALUE"""),"LUCIA HIDAYAT")</f>
        <v>LUCIA HIDAYAT</v>
      </c>
      <c r="H3020" s="35" t="str">
        <f>IFERROR(__xludf.DUMMYFUNCTION("""COMPUTED_VALUE"""),"L7725110799")</f>
        <v>L7725110799</v>
      </c>
      <c r="I3020" s="35">
        <f>IFERROR(__xludf.DUMMYFUNCTION("""COMPUTED_VALUE"""),49.0)</f>
        <v>49</v>
      </c>
      <c r="J3020" s="35" t="str">
        <f>IFERROR(__xludf.DUMMYFUNCTION("""COMPUTED_VALUE"""),"&gt; 44 tahun")</f>
        <v>&gt; 44 tahun</v>
      </c>
      <c r="K3020" s="21" t="str">
        <f>IFERROR(__xludf.DUMMYFUNCTION("""COMPUTED_VALUE"""),"24/05/1977")</f>
        <v>24/05/1977</v>
      </c>
      <c r="L3020" s="21" t="str">
        <f>IFERROR(__xludf.DUMMYFUNCTION("""COMPUTED_VALUE"""),"PEREMPUAN")</f>
        <v>PEREMPUAN</v>
      </c>
      <c r="M3020" s="35" t="str">
        <f>IFERROR(__xludf.DUMMYFUNCTION("""COMPUTED_VALUE"""),"CITY RESORT H 25")</f>
        <v>CITY RESORT H 25</v>
      </c>
      <c r="N3020" s="35" t="str">
        <f>IFERROR(__xludf.DUMMYFUNCTION("""COMPUTED_VALUE"""),"CENGKARENG")</f>
        <v>CENGKARENG</v>
      </c>
      <c r="O3020" s="35" t="str">
        <f>IFERROR(__xludf.DUMMYFUNCTION("""COMPUTED_VALUE"""),"IDEM")</f>
        <v>IDEM</v>
      </c>
      <c r="P3020" s="35" t="str">
        <f>IFERROR(__xludf.DUMMYFUNCTION("""COMPUTED_VALUE"""),"IDEM")</f>
        <v>IDEM</v>
      </c>
      <c r="Q3020" s="35" t="str">
        <f>IFERROR(__xludf.DUMMYFUNCTION("""COMPUTED_VALUE"""),"JAKARTA")</f>
        <v>JAKARTA</v>
      </c>
      <c r="R3020" s="21" t="str">
        <f>IFERROR(__xludf.DUMMYFUNCTION("""COMPUTED_VALUE"""),"KATOLIK")</f>
        <v>KATOLIK</v>
      </c>
      <c r="S3020" s="74" t="str">
        <f>IFERROR(__xludf.DUMMYFUNCTION("""COMPUTED_VALUE"""),"PENGANGGURAN")</f>
        <v>PENGANGGURAN</v>
      </c>
      <c r="T3020" s="35" t="str">
        <f>IFERROR(__xludf.DUMMYFUNCTION("""COMPUTED_VALUE"""),"SAKIT LUTUT")</f>
        <v>SAKIT LUTUT</v>
      </c>
      <c r="U3020" s="35" t="str">
        <f>IFERROR(__xludf.DUMMYFUNCTION("""COMPUTED_VALUE"""),"OLAHRAGA")</f>
        <v>OLAHRAGA</v>
      </c>
      <c r="V3020" s="37" t="str">
        <f>IFERROR(__xludf.DUMMYFUNCTION("""COMPUTED_VALUE"""),"081915560799")</f>
        <v>081915560799</v>
      </c>
      <c r="W3020" s="45"/>
    </row>
    <row r="3021">
      <c r="A3021" s="45"/>
      <c r="B3021" s="24" t="str">
        <f>IFERROR(__xludf.DUMMYFUNCTION("""COMPUTED_VALUE"""),"01/11/2025 15:52:02")</f>
        <v>01/11/2025 15:52:02</v>
      </c>
      <c r="C3021" s="35"/>
      <c r="D3021" s="10">
        <f>IFERROR(__xludf.DUMMYFUNCTION("""COMPUTED_VALUE"""),45962.0)</f>
        <v>45962</v>
      </c>
      <c r="E3021" s="35" t="str">
        <f>IFERROR(__xludf.DUMMYFUNCTION("""COMPUTED_VALUE"""),"11Nov")</f>
        <v>11Nov</v>
      </c>
      <c r="F3021" s="34" t="str">
        <f>IFERROR(__xludf.DUMMYFUNCTION("""COMPUTED_VALUE"""),"2025")</f>
        <v>2025</v>
      </c>
      <c r="G3021" s="35" t="str">
        <f>IFERROR(__xludf.DUMMYFUNCTION("""COMPUTED_VALUE"""),"DYAN ARISTA")</f>
        <v>DYAN ARISTA</v>
      </c>
      <c r="H3021" s="35" t="str">
        <f>IFERROR(__xludf.DUMMYFUNCTION("""COMPUTED_VALUE"""),"D9325118833")</f>
        <v>D9325118833</v>
      </c>
      <c r="I3021" s="35">
        <f>IFERROR(__xludf.DUMMYFUNCTION("""COMPUTED_VALUE"""),32.0)</f>
        <v>32</v>
      </c>
      <c r="J3021" s="35" t="str">
        <f>IFERROR(__xludf.DUMMYFUNCTION("""COMPUTED_VALUE"""),"25-34 tahun")</f>
        <v>25-34 tahun</v>
      </c>
      <c r="K3021" s="21" t="str">
        <f>IFERROR(__xludf.DUMMYFUNCTION("""COMPUTED_VALUE"""),"07/08/1993")</f>
        <v>07/08/1993</v>
      </c>
      <c r="L3021" s="21" t="str">
        <f>IFERROR(__xludf.DUMMYFUNCTION("""COMPUTED_VALUE"""),"PEREMPUAN")</f>
        <v>PEREMPUAN</v>
      </c>
      <c r="M3021" s="35" t="str">
        <f>IFERROR(__xludf.DUMMYFUNCTION("""COMPUTED_VALUE"""),"JL. ALIANYANG GANG RAHAYU NOMOR 9")</f>
        <v>JL. ALIANYANG GANG RAHAYU NOMOR 9</v>
      </c>
      <c r="N3021" s="35" t="str">
        <f>IFERROR(__xludf.DUMMYFUNCTION("""COMPUTED_VALUE"""),"SUNGAI BANGKONG")</f>
        <v>SUNGAI BANGKONG</v>
      </c>
      <c r="O3021" s="35" t="str">
        <f>IFERROR(__xludf.DUMMYFUNCTION("""COMPUTED_VALUE"""),"PONTIANAK KOTA")</f>
        <v>PONTIANAK KOTA</v>
      </c>
      <c r="P3021" s="35" t="str">
        <f>IFERROR(__xludf.DUMMYFUNCTION("""COMPUTED_VALUE"""),"PONTIANAK")</f>
        <v>PONTIANAK</v>
      </c>
      <c r="Q3021" s="35" t="str">
        <f>IFERROR(__xludf.DUMMYFUNCTION("""COMPUTED_VALUE"""),"KALIMANTAN BARAT")</f>
        <v>KALIMANTAN BARAT</v>
      </c>
      <c r="R3021" s="21" t="str">
        <f>IFERROR(__xludf.DUMMYFUNCTION("""COMPUTED_VALUE"""),"ISLAM")</f>
        <v>ISLAM</v>
      </c>
      <c r="S3021" s="74" t="str">
        <f>IFERROR(__xludf.DUMMYFUNCTION("""COMPUTED_VALUE"""),"ASN")</f>
        <v>ASN</v>
      </c>
      <c r="T3021" s="35" t="str">
        <f>IFERROR(__xludf.DUMMYFUNCTION("""COMPUTED_VALUE"""),"NYERI LUTUT TIDAK BISA LARI TAPI JALAN BISA")</f>
        <v>NYERI LUTUT TIDAK BISA LARI TAPI JALAN BISA</v>
      </c>
      <c r="U3021" s="35" t="str">
        <f>IFERROR(__xludf.DUMMYFUNCTION("""COMPUTED_VALUE"""),"LARI DAN GYM")</f>
        <v>LARI DAN GYM</v>
      </c>
      <c r="V3021" s="37" t="str">
        <f>IFERROR(__xludf.DUMMYFUNCTION("""COMPUTED_VALUE"""),"082158288833")</f>
        <v>082158288833</v>
      </c>
      <c r="W3021" s="45"/>
    </row>
    <row r="3022">
      <c r="A3022" s="45"/>
      <c r="B3022" s="24" t="str">
        <f>IFERROR(__xludf.DUMMYFUNCTION("""COMPUTED_VALUE"""),"01/11/2025 17:02:13")</f>
        <v>01/11/2025 17:02:13</v>
      </c>
      <c r="C3022" s="35"/>
      <c r="D3022" s="10">
        <f>IFERROR(__xludf.DUMMYFUNCTION("""COMPUTED_VALUE"""),45962.0)</f>
        <v>45962</v>
      </c>
      <c r="E3022" s="35" t="str">
        <f>IFERROR(__xludf.DUMMYFUNCTION("""COMPUTED_VALUE"""),"11Nov")</f>
        <v>11Nov</v>
      </c>
      <c r="F3022" s="34" t="str">
        <f>IFERROR(__xludf.DUMMYFUNCTION("""COMPUTED_VALUE"""),"2025")</f>
        <v>2025</v>
      </c>
      <c r="G3022" s="35" t="str">
        <f>IFERROR(__xludf.DUMMYFUNCTION("""COMPUTED_VALUE"""),"ASTISZA SYAHLA LUDMILLA PARABI")</f>
        <v>ASTISZA SYAHLA LUDMILLA PARABI</v>
      </c>
      <c r="H3022" s="35" t="str">
        <f>IFERROR(__xludf.DUMMYFUNCTION("""COMPUTED_VALUE"""),"A9925114514")</f>
        <v>A9925114514</v>
      </c>
      <c r="I3022" s="35">
        <f>IFERROR(__xludf.DUMMYFUNCTION("""COMPUTED_VALUE"""),26.0)</f>
        <v>26</v>
      </c>
      <c r="J3022" s="35" t="str">
        <f>IFERROR(__xludf.DUMMYFUNCTION("""COMPUTED_VALUE"""),"25-34 tahun")</f>
        <v>25-34 tahun</v>
      </c>
      <c r="K3022" s="21" t="str">
        <f>IFERROR(__xludf.DUMMYFUNCTION("""COMPUTED_VALUE"""),"27/10/1999")</f>
        <v>27/10/1999</v>
      </c>
      <c r="L3022" s="21" t="str">
        <f>IFERROR(__xludf.DUMMYFUNCTION("""COMPUTED_VALUE"""),"PEREMPUAN")</f>
        <v>PEREMPUAN</v>
      </c>
      <c r="M3022" s="35" t="str">
        <f>IFERROR(__xludf.DUMMYFUNCTION("""COMPUTED_VALUE"""),"JL. P. CANDRAMIDI. GG. DWIJAYA NO.7")</f>
        <v>JL. P. CANDRAMIDI. GG. DWIJAYA NO.7</v>
      </c>
      <c r="N3022" s="35" t="str">
        <f>IFERROR(__xludf.DUMMYFUNCTION("""COMPUTED_VALUE"""),"KELURAHAN SUNGAI BANGKONG")</f>
        <v>KELURAHAN SUNGAI BANGKONG</v>
      </c>
      <c r="O3022" s="35" t="str">
        <f>IFERROR(__xludf.DUMMYFUNCTION("""COMPUTED_VALUE"""),"PONTIANAK KOTA")</f>
        <v>PONTIANAK KOTA</v>
      </c>
      <c r="P3022" s="35" t="str">
        <f>IFERROR(__xludf.DUMMYFUNCTION("""COMPUTED_VALUE"""),"KOTA PONTIANAK")</f>
        <v>KOTA PONTIANAK</v>
      </c>
      <c r="Q3022" s="35" t="str">
        <f>IFERROR(__xludf.DUMMYFUNCTION("""COMPUTED_VALUE"""),"KALIMANTAN BARAT")</f>
        <v>KALIMANTAN BARAT</v>
      </c>
      <c r="R3022" s="21" t="str">
        <f>IFERROR(__xludf.DUMMYFUNCTION("""COMPUTED_VALUE"""),"ISLAM")</f>
        <v>ISLAM</v>
      </c>
      <c r="S3022" s="74" t="str">
        <f>IFERROR(__xludf.DUMMYFUNCTION("""COMPUTED_VALUE"""),"PNS")</f>
        <v>PNS</v>
      </c>
      <c r="T3022" s="35" t="str">
        <f>IFERROR(__xludf.DUMMYFUNCTION("""COMPUTED_VALUE"""),"JARI MANIS KANAN SAKIT")</f>
        <v>JARI MANIS KANAN SAKIT</v>
      </c>
      <c r="U3022" s="35" t="str">
        <f>IFERROR(__xludf.DUMMYFUNCTION("""COMPUTED_VALUE"""),"MAIN GADGET")</f>
        <v>MAIN GADGET</v>
      </c>
      <c r="V3022" s="37" t="str">
        <f>IFERROR(__xludf.DUMMYFUNCTION("""COMPUTED_VALUE"""),"085245284514")</f>
        <v>085245284514</v>
      </c>
      <c r="W3022" s="45"/>
    </row>
    <row r="3023">
      <c r="A3023" s="45"/>
      <c r="B3023" s="24" t="str">
        <f>IFERROR(__xludf.DUMMYFUNCTION("""COMPUTED_VALUE"""),"01/11/2025 17:17:40")</f>
        <v>01/11/2025 17:17:40</v>
      </c>
      <c r="C3023" s="35"/>
      <c r="D3023" s="10">
        <f>IFERROR(__xludf.DUMMYFUNCTION("""COMPUTED_VALUE"""),45962.0)</f>
        <v>45962</v>
      </c>
      <c r="E3023" s="35" t="str">
        <f>IFERROR(__xludf.DUMMYFUNCTION("""COMPUTED_VALUE"""),"11Nov")</f>
        <v>11Nov</v>
      </c>
      <c r="F3023" s="34" t="str">
        <f>IFERROR(__xludf.DUMMYFUNCTION("""COMPUTED_VALUE"""),"2025")</f>
        <v>2025</v>
      </c>
      <c r="G3023" s="35" t="str">
        <f>IFERROR(__xludf.DUMMYFUNCTION("""COMPUTED_VALUE"""),"MAULIDIA AKHIR")</f>
        <v>MAULIDIA AKHIR</v>
      </c>
      <c r="H3023" s="35" t="str">
        <f>IFERROR(__xludf.DUMMYFUNCTION("""COMPUTED_VALUE"""),"M9825114498")</f>
        <v>M9825114498</v>
      </c>
      <c r="I3023" s="35">
        <f>IFERROR(__xludf.DUMMYFUNCTION("""COMPUTED_VALUE"""),27.0)</f>
        <v>27</v>
      </c>
      <c r="J3023" s="35" t="str">
        <f>IFERROR(__xludf.DUMMYFUNCTION("""COMPUTED_VALUE"""),"25-34 tahun")</f>
        <v>25-34 tahun</v>
      </c>
      <c r="K3023" s="21" t="str">
        <f>IFERROR(__xludf.DUMMYFUNCTION("""COMPUTED_VALUE"""),"06/08/1998")</f>
        <v>06/08/1998</v>
      </c>
      <c r="L3023" s="21" t="str">
        <f>IFERROR(__xludf.DUMMYFUNCTION("""COMPUTED_VALUE"""),"PEREMPUAN")</f>
        <v>PEREMPUAN</v>
      </c>
      <c r="M3023" s="35" t="str">
        <f>IFERROR(__xludf.DUMMYFUNCTION("""COMPUTED_VALUE"""),"JL TANJUNG RAYA 1 NO. 5")</f>
        <v>JL TANJUNG RAYA 1 NO. 5</v>
      </c>
      <c r="N3023" s="35" t="str">
        <f>IFERROR(__xludf.DUMMYFUNCTION("""COMPUTED_VALUE"""),"DALAM BUGIS")</f>
        <v>DALAM BUGIS</v>
      </c>
      <c r="O3023" s="35" t="str">
        <f>IFERROR(__xludf.DUMMYFUNCTION("""COMPUTED_VALUE"""),"PONTIANAK TIMUR")</f>
        <v>PONTIANAK TIMUR</v>
      </c>
      <c r="P3023" s="35" t="str">
        <f>IFERROR(__xludf.DUMMYFUNCTION("""COMPUTED_VALUE"""),"PONTIANAK")</f>
        <v>PONTIANAK</v>
      </c>
      <c r="Q3023" s="35" t="str">
        <f>IFERROR(__xludf.DUMMYFUNCTION("""COMPUTED_VALUE"""),"KALBAR")</f>
        <v>KALBAR</v>
      </c>
      <c r="R3023" s="21" t="str">
        <f>IFERROR(__xludf.DUMMYFUNCTION("""COMPUTED_VALUE"""),"ISLAM")</f>
        <v>ISLAM</v>
      </c>
      <c r="S3023" s="74" t="str">
        <f>IFERROR(__xludf.DUMMYFUNCTION("""COMPUTED_VALUE"""),"PNS")</f>
        <v>PNS</v>
      </c>
      <c r="T3023" s="35" t="str">
        <f>IFERROR(__xludf.DUMMYFUNCTION("""COMPUTED_VALUE"""),"KAKI BENGKAK SETELAH KECELAKAAN DAN BELUM BISA DIBENGKOKKAN")</f>
        <v>KAKI BENGKAK SETELAH KECELAKAAN DAN BELUM BISA DIBENGKOKKAN</v>
      </c>
      <c r="U3023" s="35" t="str">
        <f>IFERROR(__xludf.DUMMYFUNCTION("""COMPUTED_VALUE"""),"MENGAJAR DAN HARUS NAIK TANGGA")</f>
        <v>MENGAJAR DAN HARUS NAIK TANGGA</v>
      </c>
      <c r="V3023" s="37" t="str">
        <f>IFERROR(__xludf.DUMMYFUNCTION("""COMPUTED_VALUE"""),"081649074498")</f>
        <v>081649074498</v>
      </c>
      <c r="W3023" s="45"/>
    </row>
    <row r="3024">
      <c r="A3024" s="45"/>
      <c r="B3024" s="24" t="str">
        <f>IFERROR(__xludf.DUMMYFUNCTION("""COMPUTED_VALUE"""),"01/11/2025 18:10:22")</f>
        <v>01/11/2025 18:10:22</v>
      </c>
      <c r="C3024" s="35"/>
      <c r="D3024" s="10">
        <f>IFERROR(__xludf.DUMMYFUNCTION("""COMPUTED_VALUE"""),45962.0)</f>
        <v>45962</v>
      </c>
      <c r="E3024" s="35" t="str">
        <f>IFERROR(__xludf.DUMMYFUNCTION("""COMPUTED_VALUE"""),"11Nov")</f>
        <v>11Nov</v>
      </c>
      <c r="F3024" s="34" t="str">
        <f>IFERROR(__xludf.DUMMYFUNCTION("""COMPUTED_VALUE"""),"2025")</f>
        <v>2025</v>
      </c>
      <c r="G3024" s="35" t="str">
        <f>IFERROR(__xludf.DUMMYFUNCTION("""COMPUTED_VALUE"""),"GUSTI MURI IRFAN")</f>
        <v>GUSTI MURI IRFAN</v>
      </c>
      <c r="H3024" s="35" t="str">
        <f>IFERROR(__xludf.DUMMYFUNCTION("""COMPUTED_VALUE"""),"G9825110702")</f>
        <v>G9825110702</v>
      </c>
      <c r="I3024" s="35">
        <f>IFERROR(__xludf.DUMMYFUNCTION("""COMPUTED_VALUE"""),27.0)</f>
        <v>27</v>
      </c>
      <c r="J3024" s="35" t="str">
        <f>IFERROR(__xludf.DUMMYFUNCTION("""COMPUTED_VALUE"""),"25-34 tahun")</f>
        <v>25-34 tahun</v>
      </c>
      <c r="K3024" s="21" t="str">
        <f>IFERROR(__xludf.DUMMYFUNCTION("""COMPUTED_VALUE"""),"18/08/1998")</f>
        <v>18/08/1998</v>
      </c>
      <c r="L3024" s="21" t="str">
        <f>IFERROR(__xludf.DUMMYFUNCTION("""COMPUTED_VALUE"""),"LAKI-LAKI")</f>
        <v>LAKI-LAKI</v>
      </c>
      <c r="M3024" s="35" t="str">
        <f>IFERROR(__xludf.DUMMYFUNCTION("""COMPUTED_VALUE"""),"JLN SUMATRA GG MEKAR NO 35")</f>
        <v>JLN SUMATRA GG MEKAR NO 35</v>
      </c>
      <c r="N3024" s="35" t="str">
        <f>IFERROR(__xludf.DUMMYFUNCTION("""COMPUTED_VALUE"""),"AKCAYA")</f>
        <v>AKCAYA</v>
      </c>
      <c r="O3024" s="35" t="str">
        <f>IFERROR(__xludf.DUMMYFUNCTION("""COMPUTED_VALUE"""),"PONTIANAK SELATAN")</f>
        <v>PONTIANAK SELATAN</v>
      </c>
      <c r="P3024" s="35" t="str">
        <f>IFERROR(__xludf.DUMMYFUNCTION("""COMPUTED_VALUE"""),"KOTA PONTIANAK")</f>
        <v>KOTA PONTIANAK</v>
      </c>
      <c r="Q3024" s="35" t="str">
        <f>IFERROR(__xludf.DUMMYFUNCTION("""COMPUTED_VALUE"""),"KALIMANTAN BARAT")</f>
        <v>KALIMANTAN BARAT</v>
      </c>
      <c r="R3024" s="21" t="str">
        <f>IFERROR(__xludf.DUMMYFUNCTION("""COMPUTED_VALUE"""),"ISLAM")</f>
        <v>ISLAM</v>
      </c>
      <c r="S3024" s="74" t="str">
        <f>IFERROR(__xludf.DUMMYFUNCTION("""COMPUTED_VALUE"""),"KARYAWAN SWASTA")</f>
        <v>KARYAWAN SWASTA</v>
      </c>
      <c r="T3024" s="35" t="str">
        <f>IFERROR(__xludf.DUMMYFUNCTION("""COMPUTED_VALUE"""),"SENGAL DAN NGILU BAGIAN BELIKAT (KIRI)")</f>
        <v>SENGAL DAN NGILU BAGIAN BELIKAT (KIRI)</v>
      </c>
      <c r="U3024" s="35" t="str">
        <f>IFERROR(__xludf.DUMMYFUNCTION("""COMPUTED_VALUE"""),"BADMINTON")</f>
        <v>BADMINTON</v>
      </c>
      <c r="V3024" s="37" t="str">
        <f>IFERROR(__xludf.DUMMYFUNCTION("""COMPUTED_VALUE"""),"081345150702")</f>
        <v>081345150702</v>
      </c>
      <c r="W3024" s="45"/>
    </row>
    <row r="3025">
      <c r="A3025" s="45"/>
      <c r="B3025" s="24" t="str">
        <f>IFERROR(__xludf.DUMMYFUNCTION("""COMPUTED_VALUE"""),"02/11/2025 10:28:48")</f>
        <v>02/11/2025 10:28:48</v>
      </c>
      <c r="C3025" s="35"/>
      <c r="D3025" s="10">
        <f>IFERROR(__xludf.DUMMYFUNCTION("""COMPUTED_VALUE"""),45963.0)</f>
        <v>45963</v>
      </c>
      <c r="E3025" s="35" t="str">
        <f>IFERROR(__xludf.DUMMYFUNCTION("""COMPUTED_VALUE"""),"11Nov")</f>
        <v>11Nov</v>
      </c>
      <c r="F3025" s="34" t="str">
        <f>IFERROR(__xludf.DUMMYFUNCTION("""COMPUTED_VALUE"""),"2025")</f>
        <v>2025</v>
      </c>
      <c r="G3025" s="35" t="str">
        <f>IFERROR(__xludf.DUMMYFUNCTION("""COMPUTED_VALUE"""),"HAUNAN FACHRY ROHILIE")</f>
        <v>HAUNAN FACHRY ROHILIE</v>
      </c>
      <c r="H3025" s="35" t="str">
        <f>IFERROR(__xludf.DUMMYFUNCTION("""COMPUTED_VALUE"""),"H9025119334")</f>
        <v>H9025119334</v>
      </c>
      <c r="I3025" s="35">
        <f>IFERROR(__xludf.DUMMYFUNCTION("""COMPUTED_VALUE"""),36.0)</f>
        <v>36</v>
      </c>
      <c r="J3025" s="35" t="str">
        <f>IFERROR(__xludf.DUMMYFUNCTION("""COMPUTED_VALUE"""),"35-44 tahun")</f>
        <v>35-44 tahun</v>
      </c>
      <c r="K3025" s="21" t="str">
        <f>IFERROR(__xludf.DUMMYFUNCTION("""COMPUTED_VALUE"""),"18/03/1990")</f>
        <v>18/03/1990</v>
      </c>
      <c r="L3025" s="21" t="str">
        <f>IFERROR(__xludf.DUMMYFUNCTION("""COMPUTED_VALUE"""),"LAKI-LAKI")</f>
        <v>LAKI-LAKI</v>
      </c>
      <c r="M3025" s="35" t="str">
        <f>IFERROR(__xludf.DUMMYFUNCTION("""COMPUTED_VALUE"""),"JL. KALIMAS HULU")</f>
        <v>JL. KALIMAS HULU</v>
      </c>
      <c r="N3025" s="35" t="str">
        <f>IFERROR(__xludf.DUMMYFUNCTION("""COMPUTED_VALUE"""),"DESA PAL 9")</f>
        <v>DESA PAL 9</v>
      </c>
      <c r="O3025" s="35" t="str">
        <f>IFERROR(__xludf.DUMMYFUNCTION("""COMPUTED_VALUE"""),"SUNGAI KAKAP")</f>
        <v>SUNGAI KAKAP</v>
      </c>
      <c r="P3025" s="35" t="str">
        <f>IFERROR(__xludf.DUMMYFUNCTION("""COMPUTED_VALUE"""),"KUBU RAYA")</f>
        <v>KUBU RAYA</v>
      </c>
      <c r="Q3025" s="35" t="str">
        <f>IFERROR(__xludf.DUMMYFUNCTION("""COMPUTED_VALUE"""),"KALIMANTAN BARAT")</f>
        <v>KALIMANTAN BARAT</v>
      </c>
      <c r="R3025" s="21" t="str">
        <f>IFERROR(__xludf.DUMMYFUNCTION("""COMPUTED_VALUE"""),"ISLAM")</f>
        <v>ISLAM</v>
      </c>
      <c r="S3025" s="74" t="str">
        <f>IFERROR(__xludf.DUMMYFUNCTION("""COMPUTED_VALUE"""),"DOSEN")</f>
        <v>DOSEN</v>
      </c>
      <c r="T3025" s="35" t="str">
        <f>IFERROR(__xludf.DUMMYFUNCTION("""COMPUTED_VALUE"""),"NYERI PINGGANG")</f>
        <v>NYERI PINGGANG</v>
      </c>
      <c r="U3025" s="35" t="str">
        <f>IFERROR(__xludf.DUMMYFUNCTION("""COMPUTED_VALUE"""),"-")</f>
        <v>-</v>
      </c>
      <c r="V3025" s="37" t="str">
        <f>IFERROR(__xludf.DUMMYFUNCTION("""COMPUTED_VALUE"""),"085245639334")</f>
        <v>085245639334</v>
      </c>
      <c r="W3025" s="45"/>
    </row>
    <row r="3026">
      <c r="A3026" s="45"/>
      <c r="B3026" s="24" t="str">
        <f>IFERROR(__xludf.DUMMYFUNCTION("""COMPUTED_VALUE"""),"02/11/2025 10:45:51")</f>
        <v>02/11/2025 10:45:51</v>
      </c>
      <c r="C3026" s="35"/>
      <c r="D3026" s="10">
        <f>IFERROR(__xludf.DUMMYFUNCTION("""COMPUTED_VALUE"""),45963.0)</f>
        <v>45963</v>
      </c>
      <c r="E3026" s="35" t="str">
        <f>IFERROR(__xludf.DUMMYFUNCTION("""COMPUTED_VALUE"""),"11Nov")</f>
        <v>11Nov</v>
      </c>
      <c r="F3026" s="34" t="str">
        <f>IFERROR(__xludf.DUMMYFUNCTION("""COMPUTED_VALUE"""),"2025")</f>
        <v>2025</v>
      </c>
      <c r="G3026" s="35" t="str">
        <f>IFERROR(__xludf.DUMMYFUNCTION("""COMPUTED_VALUE"""),"AINIYATUL FITRIYAH")</f>
        <v>AINIYATUL FITRIYAH</v>
      </c>
      <c r="H3026" s="35" t="str">
        <f>IFERROR(__xludf.DUMMYFUNCTION("""COMPUTED_VALUE"""),"A9525119187")</f>
        <v>A9525119187</v>
      </c>
      <c r="I3026" s="35">
        <f>IFERROR(__xludf.DUMMYFUNCTION("""COMPUTED_VALUE"""),31.0)</f>
        <v>31</v>
      </c>
      <c r="J3026" s="35" t="str">
        <f>IFERROR(__xludf.DUMMYFUNCTION("""COMPUTED_VALUE"""),"25-34 tahun")</f>
        <v>25-34 tahun</v>
      </c>
      <c r="K3026" s="21" t="str">
        <f>IFERROR(__xludf.DUMMYFUNCTION("""COMPUTED_VALUE"""),"03/03/1995")</f>
        <v>03/03/1995</v>
      </c>
      <c r="L3026" s="21" t="str">
        <f>IFERROR(__xludf.DUMMYFUNCTION("""COMPUTED_VALUE"""),"PEREMPUAN")</f>
        <v>PEREMPUAN</v>
      </c>
      <c r="M3026" s="35" t="str">
        <f>IFERROR(__xludf.DUMMYFUNCTION("""COMPUTED_VALUE"""),"JLN BINA JAYA")</f>
        <v>JLN BINA JAYA</v>
      </c>
      <c r="N3026" s="35" t="str">
        <f>IFERROR(__xludf.DUMMYFUNCTION("""COMPUTED_VALUE"""),"KOTA BARU")</f>
        <v>KOTA BARU</v>
      </c>
      <c r="O3026" s="35" t="str">
        <f>IFERROR(__xludf.DUMMYFUNCTION("""COMPUTED_VALUE"""),"PONTIANAK SELATAN")</f>
        <v>PONTIANAK SELATAN</v>
      </c>
      <c r="P3026" s="35" t="str">
        <f>IFERROR(__xludf.DUMMYFUNCTION("""COMPUTED_VALUE"""),"PONTIANAK")</f>
        <v>PONTIANAK</v>
      </c>
      <c r="Q3026" s="35" t="str">
        <f>IFERROR(__xludf.DUMMYFUNCTION("""COMPUTED_VALUE"""),"PONTIANAK SELATAN")</f>
        <v>PONTIANAK SELATAN</v>
      </c>
      <c r="R3026" s="21" t="str">
        <f>IFERROR(__xludf.DUMMYFUNCTION("""COMPUTED_VALUE"""),"ISLAM")</f>
        <v>ISLAM</v>
      </c>
      <c r="S3026" s="74" t="str">
        <f>IFERROR(__xludf.DUMMYFUNCTION("""COMPUTED_VALUE"""),"IRT")</f>
        <v>IRT</v>
      </c>
      <c r="T3026" s="35" t="str">
        <f>IFERROR(__xludf.DUMMYFUNCTION("""COMPUTED_VALUE"""),"KEBAS TELAPAK KAKI DN TANGAN")</f>
        <v>KEBAS TELAPAK KAKI DN TANGAN</v>
      </c>
      <c r="U3026" s="35" t="str">
        <f>IFERROR(__xludf.DUMMYFUNCTION("""COMPUTED_VALUE"""),"MNGKIN PEKERJAAN YANG MENGANGKAT BARANG BERAT")</f>
        <v>MNGKIN PEKERJAAN YANG MENGANGKAT BARANG BERAT</v>
      </c>
      <c r="V3026" s="37" t="str">
        <f>IFERROR(__xludf.DUMMYFUNCTION("""COMPUTED_VALUE"""),"0895600389187")</f>
        <v>0895600389187</v>
      </c>
      <c r="W3026" s="45"/>
    </row>
    <row r="3027">
      <c r="A3027" s="45"/>
      <c r="B3027" s="24" t="str">
        <f>IFERROR(__xludf.DUMMYFUNCTION("""COMPUTED_VALUE"""),"03/11/2025 9:00:20")</f>
        <v>03/11/2025 9:00:20</v>
      </c>
      <c r="C3027" s="35"/>
      <c r="D3027" s="10">
        <f>IFERROR(__xludf.DUMMYFUNCTION("""COMPUTED_VALUE"""),45964.0)</f>
        <v>45964</v>
      </c>
      <c r="E3027" s="35" t="str">
        <f>IFERROR(__xludf.DUMMYFUNCTION("""COMPUTED_VALUE"""),"11Nov")</f>
        <v>11Nov</v>
      </c>
      <c r="F3027" s="34" t="str">
        <f>IFERROR(__xludf.DUMMYFUNCTION("""COMPUTED_VALUE"""),"2025")</f>
        <v>2025</v>
      </c>
      <c r="G3027" s="35" t="str">
        <f>IFERROR(__xludf.DUMMYFUNCTION("""COMPUTED_VALUE"""),"NURJANAH 7203")</f>
        <v>NURJANAH 7203</v>
      </c>
      <c r="H3027" s="35" t="str">
        <f>IFERROR(__xludf.DUMMYFUNCTION("""COMPUTED_VALUE"""),"N7225117623")</f>
        <v>N7225117623</v>
      </c>
      <c r="I3027" s="35">
        <f>IFERROR(__xludf.DUMMYFUNCTION("""COMPUTED_VALUE"""),54.0)</f>
        <v>54</v>
      </c>
      <c r="J3027" s="35" t="str">
        <f>IFERROR(__xludf.DUMMYFUNCTION("""COMPUTED_VALUE"""),"&gt; 44 tahun")</f>
        <v>&gt; 44 tahun</v>
      </c>
      <c r="K3027" s="21" t="str">
        <f>IFERROR(__xludf.DUMMYFUNCTION("""COMPUTED_VALUE"""),"02/03/1972")</f>
        <v>02/03/1972</v>
      </c>
      <c r="L3027" s="21" t="str">
        <f>IFERROR(__xludf.DUMMYFUNCTION("""COMPUTED_VALUE"""),"PEREMPUAN")</f>
        <v>PEREMPUAN</v>
      </c>
      <c r="M3027" s="35" t="str">
        <f>IFERROR(__xludf.DUMMYFUNCTION("""COMPUTED_VALUE"""),"JL SUNGAI RAYA DALAM KOMPLEK KORPRI GG BERINGIN 1 NO 295")</f>
        <v>JL SUNGAI RAYA DALAM KOMPLEK KORPRI GG BERINGIN 1 NO 295</v>
      </c>
      <c r="N3027" s="35" t="str">
        <f>IFERROR(__xludf.DUMMYFUNCTION("""COMPUTED_VALUE"""),"SUNGAI RAYA DALAM")</f>
        <v>SUNGAI RAYA DALAM</v>
      </c>
      <c r="O3027" s="35" t="str">
        <f>IFERROR(__xludf.DUMMYFUNCTION("""COMPUTED_VALUE"""),"SUNGAI RAYA")</f>
        <v>SUNGAI RAYA</v>
      </c>
      <c r="P3027" s="35" t="str">
        <f>IFERROR(__xludf.DUMMYFUNCTION("""COMPUTED_VALUE"""),"KUBU RAYA")</f>
        <v>KUBU RAYA</v>
      </c>
      <c r="Q3027" s="35" t="str">
        <f>IFERROR(__xludf.DUMMYFUNCTION("""COMPUTED_VALUE"""),"KALKMANTAN BARAT")</f>
        <v>KALKMANTAN BARAT</v>
      </c>
      <c r="R3027" s="21" t="str">
        <f>IFERROR(__xludf.DUMMYFUNCTION("""COMPUTED_VALUE"""),"ISLAM")</f>
        <v>ISLAM</v>
      </c>
      <c r="S3027" s="74" t="str">
        <f>IFERROR(__xludf.DUMMYFUNCTION("""COMPUTED_VALUE"""),"IBU RUMAH TANGGA")</f>
        <v>IBU RUMAH TANGGA</v>
      </c>
      <c r="T3027" s="35" t="str">
        <f>IFERROR(__xludf.DUMMYFUNCTION("""COMPUTED_VALUE"""),"NYERI PADA LUTUT KANAN DAN KIRI, SEMPAT BERBUNYI SEHINGGA KESULITAN BERDIRI DAN BERJALAN")</f>
        <v>NYERI PADA LUTUT KANAN DAN KIRI, SEMPAT BERBUNYI SEHINGGA KESULITAN BERDIRI DAN BERJALAN</v>
      </c>
      <c r="U3027" s="35" t="str">
        <f>IFERROR(__xludf.DUMMYFUNCTION("""COMPUTED_VALUE"""),"HANYA MELAKUKAN AKTIVITAS RUMAH TANGGA ( MENCUCI, MASAK, DLL)")</f>
        <v>HANYA MELAKUKAN AKTIVITAS RUMAH TANGGA ( MENCUCI, MASAK, DLL)</v>
      </c>
      <c r="V3027" s="37" t="str">
        <f>IFERROR(__xludf.DUMMYFUNCTION("""COMPUTED_VALUE"""),"085167567623")</f>
        <v>085167567623</v>
      </c>
      <c r="W3027" s="45"/>
    </row>
    <row r="3028">
      <c r="A3028" s="45"/>
      <c r="B3028" s="24" t="str">
        <f>IFERROR(__xludf.DUMMYFUNCTION("""COMPUTED_VALUE"""),"03/11/2025 9:53:44")</f>
        <v>03/11/2025 9:53:44</v>
      </c>
      <c r="C3028" s="35"/>
      <c r="D3028" s="10">
        <f>IFERROR(__xludf.DUMMYFUNCTION("""COMPUTED_VALUE"""),45964.0)</f>
        <v>45964</v>
      </c>
      <c r="E3028" s="35" t="str">
        <f>IFERROR(__xludf.DUMMYFUNCTION("""COMPUTED_VALUE"""),"11Nov")</f>
        <v>11Nov</v>
      </c>
      <c r="F3028" s="34" t="str">
        <f>IFERROR(__xludf.DUMMYFUNCTION("""COMPUTED_VALUE"""),"2025")</f>
        <v>2025</v>
      </c>
      <c r="G3028" s="35" t="str">
        <f>IFERROR(__xludf.DUMMYFUNCTION("""COMPUTED_VALUE"""),"BRAMA DARUSSALAM JATMIKO")</f>
        <v>BRAMA DARUSSALAM JATMIKO</v>
      </c>
      <c r="H3028" s="35" t="str">
        <f>IFERROR(__xludf.DUMMYFUNCTION("""COMPUTED_VALUE"""),"B0025116716")</f>
        <v>B0025116716</v>
      </c>
      <c r="I3028" s="35">
        <f>IFERROR(__xludf.DUMMYFUNCTION("""COMPUTED_VALUE"""),25.0)</f>
        <v>25</v>
      </c>
      <c r="J3028" s="35" t="str">
        <f>IFERROR(__xludf.DUMMYFUNCTION("""COMPUTED_VALUE"""),"25-34 tahun")</f>
        <v>25-34 tahun</v>
      </c>
      <c r="K3028" s="21" t="str">
        <f>IFERROR(__xludf.DUMMYFUNCTION("""COMPUTED_VALUE"""),"23/12/2000")</f>
        <v>23/12/2000</v>
      </c>
      <c r="L3028" s="21" t="str">
        <f>IFERROR(__xludf.DUMMYFUNCTION("""COMPUTED_VALUE"""),"LAKI-LAKI")</f>
        <v>LAKI-LAKI</v>
      </c>
      <c r="M3028" s="35" t="str">
        <f>IFERROR(__xludf.DUMMYFUNCTION("""COMPUTED_VALUE"""),"TAMAN KENARI BLOK IV.D/30")</f>
        <v>TAMAN KENARI BLOK IV.D/30</v>
      </c>
      <c r="N3028" s="35" t="str">
        <f>IFERROR(__xludf.DUMMYFUNCTION("""COMPUTED_VALUE"""),"PUSPASARI")</f>
        <v>PUSPASARI</v>
      </c>
      <c r="O3028" s="35" t="str">
        <f>IFERROR(__xludf.DUMMYFUNCTION("""COMPUTED_VALUE"""),"CITEUREUP")</f>
        <v>CITEUREUP</v>
      </c>
      <c r="P3028" s="35" t="str">
        <f>IFERROR(__xludf.DUMMYFUNCTION("""COMPUTED_VALUE"""),"BOGOR")</f>
        <v>BOGOR</v>
      </c>
      <c r="Q3028" s="35" t="str">
        <f>IFERROR(__xludf.DUMMYFUNCTION("""COMPUTED_VALUE"""),"JAWA BARAT")</f>
        <v>JAWA BARAT</v>
      </c>
      <c r="R3028" s="21" t="str">
        <f>IFERROR(__xludf.DUMMYFUNCTION("""COMPUTED_VALUE"""),"ISLAM")</f>
        <v>ISLAM</v>
      </c>
      <c r="S3028" s="74" t="str">
        <f>IFERROR(__xludf.DUMMYFUNCTION("""COMPUTED_VALUE"""),"PNS")</f>
        <v>PNS</v>
      </c>
      <c r="T3028" s="35" t="str">
        <f>IFERROR(__xludf.DUMMYFUNCTION("""COMPUTED_VALUE"""),"KAKI")</f>
        <v>KAKI</v>
      </c>
      <c r="U3028" s="35" t="str">
        <f>IFERROR(__xludf.DUMMYFUNCTION("""COMPUTED_VALUE"""),"-")</f>
        <v>-</v>
      </c>
      <c r="V3028" s="37" t="str">
        <f>IFERROR(__xludf.DUMMYFUNCTION("""COMPUTED_VALUE"""),"085774686716")</f>
        <v>085774686716</v>
      </c>
      <c r="W3028" s="45"/>
    </row>
    <row r="3029">
      <c r="A3029" s="45"/>
      <c r="B3029" s="24" t="str">
        <f>IFERROR(__xludf.DUMMYFUNCTION("""COMPUTED_VALUE"""),"01/11/2025 18:05:49")</f>
        <v>01/11/2025 18:05:49</v>
      </c>
      <c r="C3029" s="35"/>
      <c r="D3029" s="10">
        <f>IFERROR(__xludf.DUMMYFUNCTION("""COMPUTED_VALUE"""),45964.0)</f>
        <v>45964</v>
      </c>
      <c r="E3029" s="35" t="str">
        <f>IFERROR(__xludf.DUMMYFUNCTION("""COMPUTED_VALUE"""),"11Nov")</f>
        <v>11Nov</v>
      </c>
      <c r="F3029" s="34" t="str">
        <f>IFERROR(__xludf.DUMMYFUNCTION("""COMPUTED_VALUE"""),"2025")</f>
        <v>2025</v>
      </c>
      <c r="G3029" s="35" t="str">
        <f>IFERROR(__xludf.DUMMYFUNCTION("""COMPUTED_VALUE"""),"MISSRIWATI")</f>
        <v>MISSRIWATI</v>
      </c>
      <c r="H3029" s="35" t="str">
        <f>IFERROR(__xludf.DUMMYFUNCTION("""COMPUTED_VALUE"""),"M8525119888")</f>
        <v>M8525119888</v>
      </c>
      <c r="I3029" s="35">
        <f>IFERROR(__xludf.DUMMYFUNCTION("""COMPUTED_VALUE"""),40.0)</f>
        <v>40</v>
      </c>
      <c r="J3029" s="35" t="str">
        <f>IFERROR(__xludf.DUMMYFUNCTION("""COMPUTED_VALUE"""),"35-44 tahun")</f>
        <v>35-44 tahun</v>
      </c>
      <c r="K3029" s="21" t="str">
        <f>IFERROR(__xludf.DUMMYFUNCTION("""COMPUTED_VALUE"""),"05/10/1985")</f>
        <v>05/10/1985</v>
      </c>
      <c r="L3029" s="21" t="str">
        <f>IFERROR(__xludf.DUMMYFUNCTION("""COMPUTED_VALUE"""),"PEREMPUAN")</f>
        <v>PEREMPUAN</v>
      </c>
      <c r="M3029" s="35" t="str">
        <f>IFERROR(__xludf.DUMMYFUNCTION("""COMPUTED_VALUE"""),"JL. SADANG NO. 5")</f>
        <v>JL. SADANG NO. 5</v>
      </c>
      <c r="N3029" s="35" t="str">
        <f>IFERROR(__xludf.DUMMYFUNCTION("""COMPUTED_VALUE"""),"DARAT SEKIP")</f>
        <v>DARAT SEKIP</v>
      </c>
      <c r="O3029" s="35" t="str">
        <f>IFERROR(__xludf.DUMMYFUNCTION("""COMPUTED_VALUE"""),"PONTIANAK KOTA")</f>
        <v>PONTIANAK KOTA</v>
      </c>
      <c r="P3029" s="35" t="str">
        <f>IFERROR(__xludf.DUMMYFUNCTION("""COMPUTED_VALUE"""),"PONTIANAK")</f>
        <v>PONTIANAK</v>
      </c>
      <c r="Q3029" s="35" t="str">
        <f>IFERROR(__xludf.DUMMYFUNCTION("""COMPUTED_VALUE"""),"KAL-BAR")</f>
        <v>KAL-BAR</v>
      </c>
      <c r="R3029" s="21" t="str">
        <f>IFERROR(__xludf.DUMMYFUNCTION("""COMPUTED_VALUE"""),"BUDDHA")</f>
        <v>BUDDHA</v>
      </c>
      <c r="S3029" s="74" t="str">
        <f>IFERROR(__xludf.DUMMYFUNCTION("""COMPUTED_VALUE"""),"IBU RUMAH TANGGA")</f>
        <v>IBU RUMAH TANGGA</v>
      </c>
      <c r="T3029" s="35" t="str">
        <f>IFERROR(__xludf.DUMMYFUNCTION("""COMPUTED_VALUE"""),"NYERI PADA SIKU SEBELAH KANAN")</f>
        <v>NYERI PADA SIKU SEBELAH KANAN</v>
      </c>
      <c r="U3029" s="35" t="str">
        <f>IFERROR(__xludf.DUMMYFUNCTION("""COMPUTED_VALUE"""),"GYM")</f>
        <v>GYM</v>
      </c>
      <c r="V3029" s="37" t="str">
        <f>IFERROR(__xludf.DUMMYFUNCTION("""COMPUTED_VALUE"""),"085386739888")</f>
        <v>085386739888</v>
      </c>
      <c r="W3029" s="45"/>
    </row>
    <row r="3030">
      <c r="A3030" s="45"/>
      <c r="B3030" s="24" t="str">
        <f>IFERROR(__xludf.DUMMYFUNCTION("""COMPUTED_VALUE"""),"03/11/2025 15:59:08")</f>
        <v>03/11/2025 15:59:08</v>
      </c>
      <c r="C3030" s="35"/>
      <c r="D3030" s="10">
        <f>IFERROR(__xludf.DUMMYFUNCTION("""COMPUTED_VALUE"""),45964.0)</f>
        <v>45964</v>
      </c>
      <c r="E3030" s="35" t="str">
        <f>IFERROR(__xludf.DUMMYFUNCTION("""COMPUTED_VALUE"""),"11Nov")</f>
        <v>11Nov</v>
      </c>
      <c r="F3030" s="34" t="str">
        <f>IFERROR(__xludf.DUMMYFUNCTION("""COMPUTED_VALUE"""),"2025")</f>
        <v>2025</v>
      </c>
      <c r="G3030" s="35" t="str">
        <f>IFERROR(__xludf.DUMMYFUNCTION("""COMPUTED_VALUE"""),"NURHASANA")</f>
        <v>NURHASANA</v>
      </c>
      <c r="H3030" s="35" t="str">
        <f>IFERROR(__xludf.DUMMYFUNCTION("""COMPUTED_VALUE"""),"N8525112090")</f>
        <v>N8525112090</v>
      </c>
      <c r="I3030" s="35">
        <f>IFERROR(__xludf.DUMMYFUNCTION("""COMPUTED_VALUE"""),40.0)</f>
        <v>40</v>
      </c>
      <c r="J3030" s="35" t="str">
        <f>IFERROR(__xludf.DUMMYFUNCTION("""COMPUTED_VALUE"""),"35-44 tahun")</f>
        <v>35-44 tahun</v>
      </c>
      <c r="K3030" s="21" t="str">
        <f>IFERROR(__xludf.DUMMYFUNCTION("""COMPUTED_VALUE"""),"01/08/1985")</f>
        <v>01/08/1985</v>
      </c>
      <c r="L3030" s="21" t="str">
        <f>IFERROR(__xludf.DUMMYFUNCTION("""COMPUTED_VALUE"""),"PEREMPUAN")</f>
        <v>PEREMPUAN</v>
      </c>
      <c r="M3030" s="35" t="str">
        <f>IFERROR(__xludf.DUMMYFUNCTION("""COMPUTED_VALUE"""),"JL. PUSKESMAS PAL 3 GG. USMAN GANI NO.24")</f>
        <v>JL. PUSKESMAS PAL 3 GG. USMAN GANI NO.24</v>
      </c>
      <c r="N3030" s="35" t="str">
        <f>IFERROR(__xludf.DUMMYFUNCTION("""COMPUTED_VALUE"""),"SUI JAWI")</f>
        <v>SUI JAWI</v>
      </c>
      <c r="O3030" s="35" t="str">
        <f>IFERROR(__xludf.DUMMYFUNCTION("""COMPUTED_VALUE"""),"PONTIANAK KOTA")</f>
        <v>PONTIANAK KOTA</v>
      </c>
      <c r="P3030" s="35" t="str">
        <f>IFERROR(__xludf.DUMMYFUNCTION("""COMPUTED_VALUE"""),"KOTA PONTIANAK")</f>
        <v>KOTA PONTIANAK</v>
      </c>
      <c r="Q3030" s="35" t="str">
        <f>IFERROR(__xludf.DUMMYFUNCTION("""COMPUTED_VALUE"""),"KALIMANTAN BARAT")</f>
        <v>KALIMANTAN BARAT</v>
      </c>
      <c r="R3030" s="21" t="str">
        <f>IFERROR(__xludf.DUMMYFUNCTION("""COMPUTED_VALUE"""),"ISLAM")</f>
        <v>ISLAM</v>
      </c>
      <c r="S3030" s="74" t="str">
        <f>IFERROR(__xludf.DUMMYFUNCTION("""COMPUTED_VALUE"""),"PNS")</f>
        <v>PNS</v>
      </c>
      <c r="T3030" s="35" t="str">
        <f>IFERROR(__xludf.DUMMYFUNCTION("""COMPUTED_VALUE"""),"SAKIT DI TULANG EKOR")</f>
        <v>SAKIT DI TULANG EKOR</v>
      </c>
      <c r="U3030" s="35" t="str">
        <f>IFERROR(__xludf.DUMMYFUNCTION("""COMPUTED_VALUE"""),"JOGING")</f>
        <v>JOGING</v>
      </c>
      <c r="V3030" s="37" t="str">
        <f>IFERROR(__xludf.DUMMYFUNCTION("""COMPUTED_VALUE"""),"085245782090")</f>
        <v>085245782090</v>
      </c>
      <c r="W3030" s="45"/>
    </row>
    <row r="3031">
      <c r="A3031" s="45"/>
      <c r="B3031" s="24" t="str">
        <f>IFERROR(__xludf.DUMMYFUNCTION("""COMPUTED_VALUE"""),"03/11/2025 19:32:50")</f>
        <v>03/11/2025 19:32:50</v>
      </c>
      <c r="C3031" s="35"/>
      <c r="D3031" s="10">
        <f>IFERROR(__xludf.DUMMYFUNCTION("""COMPUTED_VALUE"""),45964.0)</f>
        <v>45964</v>
      </c>
      <c r="E3031" s="35" t="str">
        <f>IFERROR(__xludf.DUMMYFUNCTION("""COMPUTED_VALUE"""),"11Nov")</f>
        <v>11Nov</v>
      </c>
      <c r="F3031" s="34" t="str">
        <f>IFERROR(__xludf.DUMMYFUNCTION("""COMPUTED_VALUE"""),"2025")</f>
        <v>2025</v>
      </c>
      <c r="G3031" s="35" t="str">
        <f>IFERROR(__xludf.DUMMYFUNCTION("""COMPUTED_VALUE"""),"SUKARNI 8012")</f>
        <v>SUKARNI 8012</v>
      </c>
      <c r="H3031" s="35" t="str">
        <f>IFERROR(__xludf.DUMMYFUNCTION("""COMPUTED_VALUE"""),"S8025117111")</f>
        <v>S8025117111</v>
      </c>
      <c r="I3031" s="35">
        <f>IFERROR(__xludf.DUMMYFUNCTION("""COMPUTED_VALUE"""),45.0)</f>
        <v>45</v>
      </c>
      <c r="J3031" s="35" t="str">
        <f>IFERROR(__xludf.DUMMYFUNCTION("""COMPUTED_VALUE"""),"&gt; 44 tahun")</f>
        <v>&gt; 44 tahun</v>
      </c>
      <c r="K3031" s="21" t="str">
        <f>IFERROR(__xludf.DUMMYFUNCTION("""COMPUTED_VALUE"""),"25/12/1980")</f>
        <v>25/12/1980</v>
      </c>
      <c r="L3031" s="21" t="str">
        <f>IFERROR(__xludf.DUMMYFUNCTION("""COMPUTED_VALUE"""),"LAKI-LAKI")</f>
        <v>LAKI-LAKI</v>
      </c>
      <c r="M3031" s="35" t="str">
        <f>IFERROR(__xludf.DUMMYFUNCTION("""COMPUTED_VALUE"""),"JL. BHAYANGKARA KOMP. PERMATA SUKADANA PERMAI NO. 8")</f>
        <v>JL. BHAYANGKARA KOMP. PERMATA SUKADANA PERMAI NO. 8</v>
      </c>
      <c r="N3031" s="35" t="str">
        <f>IFERROR(__xludf.DUMMYFUNCTION("""COMPUTED_VALUE"""),"SUTERA")</f>
        <v>SUTERA</v>
      </c>
      <c r="O3031" s="35" t="str">
        <f>IFERROR(__xludf.DUMMYFUNCTION("""COMPUTED_VALUE"""),"SUKADANA")</f>
        <v>SUKADANA</v>
      </c>
      <c r="P3031" s="35" t="str">
        <f>IFERROR(__xludf.DUMMYFUNCTION("""COMPUTED_VALUE"""),"KAYONG UTARA")</f>
        <v>KAYONG UTARA</v>
      </c>
      <c r="Q3031" s="35" t="str">
        <f>IFERROR(__xludf.DUMMYFUNCTION("""COMPUTED_VALUE"""),"KALIMANTAN BARAT")</f>
        <v>KALIMANTAN BARAT</v>
      </c>
      <c r="R3031" s="21" t="str">
        <f>IFERROR(__xludf.DUMMYFUNCTION("""COMPUTED_VALUE"""),"ISLAM")</f>
        <v>ISLAM</v>
      </c>
      <c r="S3031" s="74" t="str">
        <f>IFERROR(__xludf.DUMMYFUNCTION("""COMPUTED_VALUE"""),"SWASTA")</f>
        <v>SWASTA</v>
      </c>
      <c r="T3031" s="35" t="str">
        <f>IFERROR(__xludf.DUMMYFUNCTION("""COMPUTED_VALUE"""),"SAKIT PUNGGUNG")</f>
        <v>SAKIT PUNGGUNG</v>
      </c>
      <c r="U3031" s="35" t="str">
        <f>IFERROR(__xludf.DUMMYFUNCTION("""COMPUTED_VALUE"""),"SERING PERJALANAN LUAR KOTA")</f>
        <v>SERING PERJALANAN LUAR KOTA</v>
      </c>
      <c r="V3031" s="37" t="str">
        <f>IFERROR(__xludf.DUMMYFUNCTION("""COMPUTED_VALUE"""),"0811337111")</f>
        <v>0811337111</v>
      </c>
      <c r="W3031" s="45"/>
    </row>
    <row r="3032">
      <c r="A3032" s="45"/>
      <c r="B3032" s="24" t="str">
        <f>IFERROR(__xludf.DUMMYFUNCTION("""COMPUTED_VALUE"""),"03/11/2025 20:31:17")</f>
        <v>03/11/2025 20:31:17</v>
      </c>
      <c r="C3032" s="35"/>
      <c r="D3032" s="10">
        <f>IFERROR(__xludf.DUMMYFUNCTION("""COMPUTED_VALUE"""),45964.0)</f>
        <v>45964</v>
      </c>
      <c r="E3032" s="35" t="str">
        <f>IFERROR(__xludf.DUMMYFUNCTION("""COMPUTED_VALUE"""),"11Nov")</f>
        <v>11Nov</v>
      </c>
      <c r="F3032" s="34" t="str">
        <f>IFERROR(__xludf.DUMMYFUNCTION("""COMPUTED_VALUE"""),"2025")</f>
        <v>2025</v>
      </c>
      <c r="G3032" s="35" t="str">
        <f>IFERROR(__xludf.DUMMYFUNCTION("""COMPUTED_VALUE"""),"MIA HARTE")</f>
        <v>MIA HARTE</v>
      </c>
      <c r="H3032" s="35" t="str">
        <f>IFERROR(__xludf.DUMMYFUNCTION("""COMPUTED_VALUE"""),"M6925117500")</f>
        <v>M6925117500</v>
      </c>
      <c r="I3032" s="35">
        <f>IFERROR(__xludf.DUMMYFUNCTION("""COMPUTED_VALUE"""),56.0)</f>
        <v>56</v>
      </c>
      <c r="J3032" s="35" t="str">
        <f>IFERROR(__xludf.DUMMYFUNCTION("""COMPUTED_VALUE"""),"&gt; 44 tahun")</f>
        <v>&gt; 44 tahun</v>
      </c>
      <c r="K3032" s="21" t="str">
        <f>IFERROR(__xludf.DUMMYFUNCTION("""COMPUTED_VALUE"""),"24/08/1969")</f>
        <v>24/08/1969</v>
      </c>
      <c r="L3032" s="21" t="str">
        <f>IFERROR(__xludf.DUMMYFUNCTION("""COMPUTED_VALUE"""),"PEREMPUAN")</f>
        <v>PEREMPUAN</v>
      </c>
      <c r="M3032" s="35" t="str">
        <f>IFERROR(__xludf.DUMMYFUNCTION("""COMPUTED_VALUE"""),"GANG PENITI BARU NO 4 SINGKAWANG")</f>
        <v>GANG PENITI BARU NO 4 SINGKAWANG</v>
      </c>
      <c r="N3032" s="35" t="str">
        <f>IFERROR(__xludf.DUMMYFUNCTION("""COMPUTED_VALUE"""),"-")</f>
        <v>-</v>
      </c>
      <c r="O3032" s="35" t="str">
        <f>IFERROR(__xludf.DUMMYFUNCTION("""COMPUTED_VALUE"""),"-")</f>
        <v>-</v>
      </c>
      <c r="P3032" s="35" t="str">
        <f>IFERROR(__xludf.DUMMYFUNCTION("""COMPUTED_VALUE"""),"SINGKAWANG")</f>
        <v>SINGKAWANG</v>
      </c>
      <c r="Q3032" s="35" t="str">
        <f>IFERROR(__xludf.DUMMYFUNCTION("""COMPUTED_VALUE"""),"-")</f>
        <v>-</v>
      </c>
      <c r="R3032" s="21" t="str">
        <f>IFERROR(__xludf.DUMMYFUNCTION("""COMPUTED_VALUE"""),"KATOLIK")</f>
        <v>KATOLIK</v>
      </c>
      <c r="S3032" s="74" t="str">
        <f>IFERROR(__xludf.DUMMYFUNCTION("""COMPUTED_VALUE"""),"IRT")</f>
        <v>IRT</v>
      </c>
      <c r="T3032" s="35" t="str">
        <f>IFERROR(__xludf.DUMMYFUNCTION("""COMPUTED_VALUE"""),"JARI")</f>
        <v>JARI</v>
      </c>
      <c r="U3032" s="35" t="str">
        <f>IFERROR(__xludf.DUMMYFUNCTION("""COMPUTED_VALUE"""),"PEKERJAAN RUMAH TANGGA")</f>
        <v>PEKERJAAN RUMAH TANGGA</v>
      </c>
      <c r="V3032" s="37" t="str">
        <f>IFERROR(__xludf.DUMMYFUNCTION("""COMPUTED_VALUE"""),"081256907500")</f>
        <v>081256907500</v>
      </c>
      <c r="W3032" s="45"/>
    </row>
    <row r="3033">
      <c r="A3033" s="45"/>
      <c r="B3033" s="24" t="str">
        <f>IFERROR(__xludf.DUMMYFUNCTION("""COMPUTED_VALUE"""),"04/11/2025 13:40:13")</f>
        <v>04/11/2025 13:40:13</v>
      </c>
      <c r="C3033" s="35"/>
      <c r="D3033" s="10">
        <f>IFERROR(__xludf.DUMMYFUNCTION("""COMPUTED_VALUE"""),45965.0)</f>
        <v>45965</v>
      </c>
      <c r="E3033" s="35" t="str">
        <f>IFERROR(__xludf.DUMMYFUNCTION("""COMPUTED_VALUE"""),"11Nov")</f>
        <v>11Nov</v>
      </c>
      <c r="F3033" s="34" t="str">
        <f>IFERROR(__xludf.DUMMYFUNCTION("""COMPUTED_VALUE"""),"2025")</f>
        <v>2025</v>
      </c>
      <c r="G3033" s="35" t="str">
        <f>IFERROR(__xludf.DUMMYFUNCTION("""COMPUTED_VALUE"""),"MAWRICE CHUARESMO MARTIN")</f>
        <v>MAWRICE CHUARESMO MARTIN</v>
      </c>
      <c r="H3033" s="35" t="str">
        <f>IFERROR(__xludf.DUMMYFUNCTION("""COMPUTED_VALUE"""),"M0825116129")</f>
        <v>M0825116129</v>
      </c>
      <c r="I3033" s="35">
        <f>IFERROR(__xludf.DUMMYFUNCTION("""COMPUTED_VALUE"""),18.0)</f>
        <v>18</v>
      </c>
      <c r="J3033" s="35" t="str">
        <f>IFERROR(__xludf.DUMMYFUNCTION("""COMPUTED_VALUE"""),"&lt; 18 tahun")</f>
        <v>&lt; 18 tahun</v>
      </c>
      <c r="K3033" s="21" t="str">
        <f>IFERROR(__xludf.DUMMYFUNCTION("""COMPUTED_VALUE"""),"23/05/2008")</f>
        <v>23/05/2008</v>
      </c>
      <c r="L3033" s="21" t="str">
        <f>IFERROR(__xludf.DUMMYFUNCTION("""COMPUTED_VALUE"""),"LAKI-LAKI")</f>
        <v>LAKI-LAKI</v>
      </c>
      <c r="M3033" s="35" t="str">
        <f>IFERROR(__xludf.DUMMYFUNCTION("""COMPUTED_VALUE"""),"JALAN IMAM BONJOL GANG PENITI BARU NO 4D")</f>
        <v>JALAN IMAM BONJOL GANG PENITI BARU NO 4D</v>
      </c>
      <c r="N3033" s="35" t="str">
        <f>IFERROR(__xludf.DUMMYFUNCTION("""COMPUTED_VALUE"""),"BENUA MELAYU LAUT")</f>
        <v>BENUA MELAYU LAUT</v>
      </c>
      <c r="O3033" s="35" t="str">
        <f>IFERROR(__xludf.DUMMYFUNCTION("""COMPUTED_VALUE"""),"PONTIANAK SELATAN")</f>
        <v>PONTIANAK SELATAN</v>
      </c>
      <c r="P3033" s="35" t="str">
        <f>IFERROR(__xludf.DUMMYFUNCTION("""COMPUTED_VALUE"""),"PONTIANAK")</f>
        <v>PONTIANAK</v>
      </c>
      <c r="Q3033" s="35" t="str">
        <f>IFERROR(__xludf.DUMMYFUNCTION("""COMPUTED_VALUE"""),"KALIMANTAN BARAT")</f>
        <v>KALIMANTAN BARAT</v>
      </c>
      <c r="R3033" s="21" t="str">
        <f>IFERROR(__xludf.DUMMYFUNCTION("""COMPUTED_VALUE"""),"PROTESTAN")</f>
        <v>PROTESTAN</v>
      </c>
      <c r="S3033" s="74" t="str">
        <f>IFERROR(__xludf.DUMMYFUNCTION("""COMPUTED_VALUE"""),"PELAJAR")</f>
        <v>PELAJAR</v>
      </c>
      <c r="T3033" s="35" t="str">
        <f>IFERROR(__xludf.DUMMYFUNCTION("""COMPUTED_VALUE"""),"SKOLIOSIS")</f>
        <v>SKOLIOSIS</v>
      </c>
      <c r="U3033" s="35" t="str">
        <f>IFERROR(__xludf.DUMMYFUNCTION("""COMPUTED_VALUE"""),"BELAJAR")</f>
        <v>BELAJAR</v>
      </c>
      <c r="V3033" s="37" t="str">
        <f>IFERROR(__xludf.DUMMYFUNCTION("""COMPUTED_VALUE"""),"082213406129")</f>
        <v>082213406129</v>
      </c>
      <c r="W3033" s="45"/>
    </row>
    <row r="3034">
      <c r="A3034" s="45"/>
      <c r="B3034" s="24" t="str">
        <f>IFERROR(__xludf.DUMMYFUNCTION("""COMPUTED_VALUE"""),"04/11/2025 14:13:50")</f>
        <v>04/11/2025 14:13:50</v>
      </c>
      <c r="C3034" s="35"/>
      <c r="D3034" s="10">
        <f>IFERROR(__xludf.DUMMYFUNCTION("""COMPUTED_VALUE"""),45965.0)</f>
        <v>45965</v>
      </c>
      <c r="E3034" s="35" t="str">
        <f>IFERROR(__xludf.DUMMYFUNCTION("""COMPUTED_VALUE"""),"11Nov")</f>
        <v>11Nov</v>
      </c>
      <c r="F3034" s="34" t="str">
        <f>IFERROR(__xludf.DUMMYFUNCTION("""COMPUTED_VALUE"""),"2025")</f>
        <v>2025</v>
      </c>
      <c r="G3034" s="35" t="str">
        <f>IFERROR(__xludf.DUMMYFUNCTION("""COMPUTED_VALUE"""),"BARTOLOMEUS LAUDY GALIH ARTO")</f>
        <v>BARTOLOMEUS LAUDY GALIH ARTO</v>
      </c>
      <c r="H3034" s="35" t="str">
        <f>IFERROR(__xludf.DUMMYFUNCTION("""COMPUTED_VALUE"""),"B0125112743")</f>
        <v>B0125112743</v>
      </c>
      <c r="I3034" s="35">
        <f>IFERROR(__xludf.DUMMYFUNCTION("""COMPUTED_VALUE"""),24.0)</f>
        <v>24</v>
      </c>
      <c r="J3034" s="35" t="str">
        <f>IFERROR(__xludf.DUMMYFUNCTION("""COMPUTED_VALUE"""),"18-24 tahun")</f>
        <v>18-24 tahun</v>
      </c>
      <c r="K3034" s="21" t="str">
        <f>IFERROR(__xludf.DUMMYFUNCTION("""COMPUTED_VALUE"""),"24/08/2001")</f>
        <v>24/08/2001</v>
      </c>
      <c r="L3034" s="21" t="str">
        <f>IFERROR(__xludf.DUMMYFUNCTION("""COMPUTED_VALUE"""),"LAKI-LAKI")</f>
        <v>LAKI-LAKI</v>
      </c>
      <c r="M3034" s="35" t="str">
        <f>IFERROR(__xludf.DUMMYFUNCTION("""COMPUTED_VALUE"""),"SUMBERJATI RT 05 RW 04 GRAJAGAN, PURWOHARJO, BANYUWANGI, JAWA TIMUR")</f>
        <v>SUMBERJATI RT 05 RW 04 GRAJAGAN, PURWOHARJO, BANYUWANGI, JAWA TIMUR</v>
      </c>
      <c r="N3034" s="35" t="str">
        <f>IFERROR(__xludf.DUMMYFUNCTION("""COMPUTED_VALUE"""),"GRAJAGAN")</f>
        <v>GRAJAGAN</v>
      </c>
      <c r="O3034" s="35" t="str">
        <f>IFERROR(__xludf.DUMMYFUNCTION("""COMPUTED_VALUE"""),"PURWOHARJO")</f>
        <v>PURWOHARJO</v>
      </c>
      <c r="P3034" s="35" t="str">
        <f>IFERROR(__xludf.DUMMYFUNCTION("""COMPUTED_VALUE"""),"BANYUWANGI")</f>
        <v>BANYUWANGI</v>
      </c>
      <c r="Q3034" s="35" t="str">
        <f>IFERROR(__xludf.DUMMYFUNCTION("""COMPUTED_VALUE"""),"JAWA TIMUR")</f>
        <v>JAWA TIMUR</v>
      </c>
      <c r="R3034" s="21" t="str">
        <f>IFERROR(__xludf.DUMMYFUNCTION("""COMPUTED_VALUE"""),"KATOLIK")</f>
        <v>KATOLIK</v>
      </c>
      <c r="S3034" s="74" t="str">
        <f>IFERROR(__xludf.DUMMYFUNCTION("""COMPUTED_VALUE"""),"KARYAWAN SWASTA")</f>
        <v>KARYAWAN SWASTA</v>
      </c>
      <c r="T3034" s="35" t="str">
        <f>IFERROR(__xludf.DUMMYFUNCTION("""COMPUTED_VALUE"""),"NYERI PADA BAGIAN LUTUT")</f>
        <v>NYERI PADA BAGIAN LUTUT</v>
      </c>
      <c r="U3034" s="35" t="str">
        <f>IFERROR(__xludf.DUMMYFUNCTION("""COMPUTED_VALUE"""),"LARI")</f>
        <v>LARI</v>
      </c>
      <c r="V3034" s="37" t="str">
        <f>IFERROR(__xludf.DUMMYFUNCTION("""COMPUTED_VALUE"""),"082143972743")</f>
        <v>082143972743</v>
      </c>
      <c r="W3034" s="45"/>
    </row>
    <row r="3035">
      <c r="A3035" s="45"/>
      <c r="B3035" s="24" t="str">
        <f>IFERROR(__xludf.DUMMYFUNCTION("""COMPUTED_VALUE"""),"04/11/2025 14:05:46")</f>
        <v>04/11/2025 14:05:46</v>
      </c>
      <c r="C3035" s="35"/>
      <c r="D3035" s="10">
        <f>IFERROR(__xludf.DUMMYFUNCTION("""COMPUTED_VALUE"""),45965.0)</f>
        <v>45965</v>
      </c>
      <c r="E3035" s="35" t="str">
        <f>IFERROR(__xludf.DUMMYFUNCTION("""COMPUTED_VALUE"""),"11Nov")</f>
        <v>11Nov</v>
      </c>
      <c r="F3035" s="34" t="str">
        <f>IFERROR(__xludf.DUMMYFUNCTION("""COMPUTED_VALUE"""),"2025")</f>
        <v>2025</v>
      </c>
      <c r="G3035" s="35" t="str">
        <f>IFERROR(__xludf.DUMMYFUNCTION("""COMPUTED_VALUE"""),"TENORRIO")</f>
        <v>TENORRIO</v>
      </c>
      <c r="H3035" s="35" t="str">
        <f>IFERROR(__xludf.DUMMYFUNCTION("""COMPUTED_VALUE"""),"T0225118094")</f>
        <v>T0225118094</v>
      </c>
      <c r="I3035" s="35">
        <f>IFERROR(__xludf.DUMMYFUNCTION("""COMPUTED_VALUE"""),23.0)</f>
        <v>23</v>
      </c>
      <c r="J3035" s="35" t="str">
        <f>IFERROR(__xludf.DUMMYFUNCTION("""COMPUTED_VALUE"""),"18-24 tahun")</f>
        <v>18-24 tahun</v>
      </c>
      <c r="K3035" s="21" t="str">
        <f>IFERROR(__xludf.DUMMYFUNCTION("""COMPUTED_VALUE"""),"06/07/2002")</f>
        <v>06/07/2002</v>
      </c>
      <c r="L3035" s="21" t="str">
        <f>IFERROR(__xludf.DUMMYFUNCTION("""COMPUTED_VALUE"""),"LAKI-LAKI")</f>
        <v>LAKI-LAKI</v>
      </c>
      <c r="M3035" s="35" t="str">
        <f>IFERROR(__xludf.DUMMYFUNCTION("""COMPUTED_VALUE"""),"JLN SUNGAI RAYA DALAM KOMPLEK TANJUNGPURA PERMAI NO B.6")</f>
        <v>JLN SUNGAI RAYA DALAM KOMPLEK TANJUNGPURA PERMAI NO B.6</v>
      </c>
      <c r="N3035" s="35" t="str">
        <f>IFERROR(__xludf.DUMMYFUNCTION("""COMPUTED_VALUE"""),"SUNGAI RAYA DALAM")</f>
        <v>SUNGAI RAYA DALAM</v>
      </c>
      <c r="O3035" s="35" t="str">
        <f>IFERROR(__xludf.DUMMYFUNCTION("""COMPUTED_VALUE"""),"SUNGAI RAYA")</f>
        <v>SUNGAI RAYA</v>
      </c>
      <c r="P3035" s="35" t="str">
        <f>IFERROR(__xludf.DUMMYFUNCTION("""COMPUTED_VALUE"""),"KUBU RAYA")</f>
        <v>KUBU RAYA</v>
      </c>
      <c r="Q3035" s="35" t="str">
        <f>IFERROR(__xludf.DUMMYFUNCTION("""COMPUTED_VALUE"""),"KALIMANTAN BARAT")</f>
        <v>KALIMANTAN BARAT</v>
      </c>
      <c r="R3035" s="21" t="str">
        <f>IFERROR(__xludf.DUMMYFUNCTION("""COMPUTED_VALUE"""),"ISLAM")</f>
        <v>ISLAM</v>
      </c>
      <c r="S3035" s="74" t="str">
        <f>IFERROR(__xludf.DUMMYFUNCTION("""COMPUTED_VALUE"""),"PNS")</f>
        <v>PNS</v>
      </c>
      <c r="T3035" s="35" t="str">
        <f>IFERROR(__xludf.DUMMYFUNCTION("""COMPUTED_VALUE"""),"SAKIT PINGGANG")</f>
        <v>SAKIT PINGGANG</v>
      </c>
      <c r="U3035" s="35" t="str">
        <f>IFERROR(__xludf.DUMMYFUNCTION("""COMPUTED_VALUE"""),"JALAN KAKI")</f>
        <v>JALAN KAKI</v>
      </c>
      <c r="V3035" s="37" t="str">
        <f>IFERROR(__xludf.DUMMYFUNCTION("""COMPUTED_VALUE"""),"089516128094")</f>
        <v>089516128094</v>
      </c>
      <c r="W3035" s="45"/>
    </row>
    <row r="3036">
      <c r="A3036" s="45"/>
      <c r="B3036" s="24" t="str">
        <f>IFERROR(__xludf.DUMMYFUNCTION("""COMPUTED_VALUE"""),"04/11/2025 15:30:55")</f>
        <v>04/11/2025 15:30:55</v>
      </c>
      <c r="C3036" s="35"/>
      <c r="D3036" s="10">
        <f>IFERROR(__xludf.DUMMYFUNCTION("""COMPUTED_VALUE"""),45965.0)</f>
        <v>45965</v>
      </c>
      <c r="E3036" s="35" t="str">
        <f>IFERROR(__xludf.DUMMYFUNCTION("""COMPUTED_VALUE"""),"11Nov")</f>
        <v>11Nov</v>
      </c>
      <c r="F3036" s="34" t="str">
        <f>IFERROR(__xludf.DUMMYFUNCTION("""COMPUTED_VALUE"""),"2025")</f>
        <v>2025</v>
      </c>
      <c r="G3036" s="35" t="str">
        <f>IFERROR(__xludf.DUMMYFUNCTION("""COMPUTED_VALUE"""),"ERVINAWATI KUSUMA")</f>
        <v>ERVINAWATI KUSUMA</v>
      </c>
      <c r="H3036" s="35" t="str">
        <f>IFERROR(__xludf.DUMMYFUNCTION("""COMPUTED_VALUE"""),"E8625112448")</f>
        <v>E8625112448</v>
      </c>
      <c r="I3036" s="35">
        <f>IFERROR(__xludf.DUMMYFUNCTION("""COMPUTED_VALUE"""),40.0)</f>
        <v>40</v>
      </c>
      <c r="J3036" s="35" t="str">
        <f>IFERROR(__xludf.DUMMYFUNCTION("""COMPUTED_VALUE"""),"35-44 tahun")</f>
        <v>35-44 tahun</v>
      </c>
      <c r="K3036" s="21" t="str">
        <f>IFERROR(__xludf.DUMMYFUNCTION("""COMPUTED_VALUE"""),"08/01/1986")</f>
        <v>08/01/1986</v>
      </c>
      <c r="L3036" s="21" t="str">
        <f>IFERROR(__xludf.DUMMYFUNCTION("""COMPUTED_VALUE"""),"PEREMPUAN")</f>
        <v>PEREMPUAN</v>
      </c>
      <c r="M3036" s="35" t="str">
        <f>IFERROR(__xludf.DUMMYFUNCTION("""COMPUTED_VALUE"""),"JALAN SUKAMULIA GANG SUKMA 18 NO.47")</f>
        <v>JALAN SUKAMULIA GANG SUKMA 18 NO.47</v>
      </c>
      <c r="N3036" s="35" t="str">
        <f>IFERROR(__xludf.DUMMYFUNCTION("""COMPUTED_VALUE"""),"SUNGAI JAWI")</f>
        <v>SUNGAI JAWI</v>
      </c>
      <c r="O3036" s="35" t="str">
        <f>IFERROR(__xludf.DUMMYFUNCTION("""COMPUTED_VALUE"""),"PONTIANAK KOTA")</f>
        <v>PONTIANAK KOTA</v>
      </c>
      <c r="P3036" s="35" t="str">
        <f>IFERROR(__xludf.DUMMYFUNCTION("""COMPUTED_VALUE"""),"KOTA PONTIANAK")</f>
        <v>KOTA PONTIANAK</v>
      </c>
      <c r="Q3036" s="35" t="str">
        <f>IFERROR(__xludf.DUMMYFUNCTION("""COMPUTED_VALUE"""),"KALIMANTAN BARAT")</f>
        <v>KALIMANTAN BARAT</v>
      </c>
      <c r="R3036" s="21" t="str">
        <f>IFERROR(__xludf.DUMMYFUNCTION("""COMPUTED_VALUE"""),"KATOLIK")</f>
        <v>KATOLIK</v>
      </c>
      <c r="S3036" s="74" t="str">
        <f>IFERROR(__xludf.DUMMYFUNCTION("""COMPUTED_VALUE"""),"SWASTA")</f>
        <v>SWASTA</v>
      </c>
      <c r="T3036" s="35" t="str">
        <f>IFERROR(__xludf.DUMMYFUNCTION("""COMPUTED_VALUE"""),"TENNIS ELBOW DAN KESELEO KAKI")</f>
        <v>TENNIS ELBOW DAN KESELEO KAKI</v>
      </c>
      <c r="U3036" s="35" t="str">
        <f>IFERROR(__xludf.DUMMYFUNCTION("""COMPUTED_VALUE"""),"MAIN TENNIS, PICKLE BALL DAN JALAN KAKI")</f>
        <v>MAIN TENNIS, PICKLE BALL DAN JALAN KAKI</v>
      </c>
      <c r="V3036" s="37" t="str">
        <f>IFERROR(__xludf.DUMMYFUNCTION("""COMPUTED_VALUE"""),"085245772448")</f>
        <v>085245772448</v>
      </c>
      <c r="W3036" s="45"/>
    </row>
    <row r="3037">
      <c r="A3037" s="45"/>
      <c r="B3037" s="24" t="str">
        <f>IFERROR(__xludf.DUMMYFUNCTION("""COMPUTED_VALUE"""),"04/11/2025 16:23:52")</f>
        <v>04/11/2025 16:23:52</v>
      </c>
      <c r="C3037" s="35"/>
      <c r="D3037" s="10">
        <f>IFERROR(__xludf.DUMMYFUNCTION("""COMPUTED_VALUE"""),45965.0)</f>
        <v>45965</v>
      </c>
      <c r="E3037" s="35" t="str">
        <f>IFERROR(__xludf.DUMMYFUNCTION("""COMPUTED_VALUE"""),"11Nov")</f>
        <v>11Nov</v>
      </c>
      <c r="F3037" s="34" t="str">
        <f>IFERROR(__xludf.DUMMYFUNCTION("""COMPUTED_VALUE"""),"2025")</f>
        <v>2025</v>
      </c>
      <c r="G3037" s="35" t="str">
        <f>IFERROR(__xludf.DUMMYFUNCTION("""COMPUTED_VALUE"""),"OWEN LOWIRA")</f>
        <v>OWEN LOWIRA</v>
      </c>
      <c r="H3037" s="35" t="str">
        <f>IFERROR(__xludf.DUMMYFUNCTION("""COMPUTED_VALUE"""),"O0825111109")</f>
        <v>O0825111109</v>
      </c>
      <c r="I3037" s="35">
        <f>IFERROR(__xludf.DUMMYFUNCTION("""COMPUTED_VALUE"""),17.0)</f>
        <v>17</v>
      </c>
      <c r="J3037" s="35" t="str">
        <f>IFERROR(__xludf.DUMMYFUNCTION("""COMPUTED_VALUE"""),"&lt; 18 tahun")</f>
        <v>&lt; 18 tahun</v>
      </c>
      <c r="K3037" s="21" t="str">
        <f>IFERROR(__xludf.DUMMYFUNCTION("""COMPUTED_VALUE"""),"09/11/2008")</f>
        <v>09/11/2008</v>
      </c>
      <c r="L3037" s="21" t="str">
        <f>IFERROR(__xludf.DUMMYFUNCTION("""COMPUTED_VALUE"""),"LAKI-LAKI")</f>
        <v>LAKI-LAKI</v>
      </c>
      <c r="M3037" s="35" t="str">
        <f>IFERROR(__xludf.DUMMYFUNCTION("""COMPUTED_VALUE"""),"JL AR SALEH 2 NO 28")</f>
        <v>JL AR SALEH 2 NO 28</v>
      </c>
      <c r="N3037" s="35" t="str">
        <f>IFERROR(__xludf.DUMMYFUNCTION("""COMPUTED_VALUE"""),"PONTIANAK TENGGARA")</f>
        <v>PONTIANAK TENGGARA</v>
      </c>
      <c r="O3037" s="35" t="str">
        <f>IFERROR(__xludf.DUMMYFUNCTION("""COMPUTED_VALUE"""),"PONTIANAK TENGGARA")</f>
        <v>PONTIANAK TENGGARA</v>
      </c>
      <c r="P3037" s="35" t="str">
        <f>IFERROR(__xludf.DUMMYFUNCTION("""COMPUTED_VALUE"""),"PONTIANAK")</f>
        <v>PONTIANAK</v>
      </c>
      <c r="Q3037" s="35" t="str">
        <f>IFERROR(__xludf.DUMMYFUNCTION("""COMPUTED_VALUE"""),"KALIMANTAN BARAT")</f>
        <v>KALIMANTAN BARAT</v>
      </c>
      <c r="R3037" s="21" t="str">
        <f>IFERROR(__xludf.DUMMYFUNCTION("""COMPUTED_VALUE"""),"KATOLIK")</f>
        <v>KATOLIK</v>
      </c>
      <c r="S3037" s="74" t="str">
        <f>IFERROR(__xludf.DUMMYFUNCTION("""COMPUTED_VALUE"""),"-")</f>
        <v>-</v>
      </c>
      <c r="T3037" s="35" t="str">
        <f>IFERROR(__xludf.DUMMYFUNCTION("""COMPUTED_VALUE"""),"BETIS NYERI")</f>
        <v>BETIS NYERI</v>
      </c>
      <c r="U3037" s="35" t="str">
        <f>IFERROR(__xludf.DUMMYFUNCTION("""COMPUTED_VALUE"""),"BASKET")</f>
        <v>BASKET</v>
      </c>
      <c r="V3037" s="37" t="str">
        <f>IFERROR(__xludf.DUMMYFUNCTION("""COMPUTED_VALUE"""),"08115691109")</f>
        <v>08115691109</v>
      </c>
      <c r="W3037" s="45"/>
    </row>
    <row r="3038">
      <c r="A3038" s="45"/>
      <c r="B3038" s="24" t="str">
        <f>IFERROR(__xludf.DUMMYFUNCTION("""COMPUTED_VALUE"""),"05/11/2025 12:02:24")</f>
        <v>05/11/2025 12:02:24</v>
      </c>
      <c r="C3038" s="35"/>
      <c r="D3038" s="10">
        <f>IFERROR(__xludf.DUMMYFUNCTION("""COMPUTED_VALUE"""),45966.0)</f>
        <v>45966</v>
      </c>
      <c r="E3038" s="35" t="str">
        <f>IFERROR(__xludf.DUMMYFUNCTION("""COMPUTED_VALUE"""),"11Nov")</f>
        <v>11Nov</v>
      </c>
      <c r="F3038" s="34" t="str">
        <f>IFERROR(__xludf.DUMMYFUNCTION("""COMPUTED_VALUE"""),"2025")</f>
        <v>2025</v>
      </c>
      <c r="G3038" s="35" t="str">
        <f>IFERROR(__xludf.DUMMYFUNCTION("""COMPUTED_VALUE"""),"RAHMAT REZA FAHLEVI")</f>
        <v>RAHMAT REZA FAHLEVI</v>
      </c>
      <c r="H3038" s="35" t="str">
        <f>IFERROR(__xludf.DUMMYFUNCTION("""COMPUTED_VALUE"""),"R0625117725")</f>
        <v>R0625117725</v>
      </c>
      <c r="I3038" s="35">
        <f>IFERROR(__xludf.DUMMYFUNCTION("""COMPUTED_VALUE"""),20.0)</f>
        <v>20</v>
      </c>
      <c r="J3038" s="35" t="str">
        <f>IFERROR(__xludf.DUMMYFUNCTION("""COMPUTED_VALUE"""),"18-24 tahun")</f>
        <v>18-24 tahun</v>
      </c>
      <c r="K3038" s="21" t="str">
        <f>IFERROR(__xludf.DUMMYFUNCTION("""COMPUTED_VALUE"""),"12/04/2006")</f>
        <v>12/04/2006</v>
      </c>
      <c r="L3038" s="21" t="str">
        <f>IFERROR(__xludf.DUMMYFUNCTION("""COMPUTED_VALUE"""),"LAKI-LAKI")</f>
        <v>LAKI-LAKI</v>
      </c>
      <c r="M3038" s="35" t="str">
        <f>IFERROR(__xludf.DUMMYFUNCTION("""COMPUTED_VALUE"""),"JL")</f>
        <v>JL</v>
      </c>
      <c r="N3038" s="35" t="str">
        <f>IFERROR(__xludf.DUMMYFUNCTION("""COMPUTED_VALUE"""),"JL DEWI SARTIKA NO 204 RT 8 RW 07")</f>
        <v>JL DEWI SARTIKA NO 204 RT 8 RW 07</v>
      </c>
      <c r="O3038" s="35" t="str">
        <f>IFERROR(__xludf.DUMMYFUNCTION("""COMPUTED_VALUE"""),"KAOUAS")</f>
        <v>KAOUAS</v>
      </c>
      <c r="P3038" s="35" t="str">
        <f>IFERROR(__xludf.DUMMYFUNCTION("""COMPUTED_VALUE"""),"SANGGAU")</f>
        <v>SANGGAU</v>
      </c>
      <c r="Q3038" s="35" t="str">
        <f>IFERROR(__xludf.DUMMYFUNCTION("""COMPUTED_VALUE"""),"KALIMANTAN BARAT")</f>
        <v>KALIMANTAN BARAT</v>
      </c>
      <c r="R3038" s="21" t="str">
        <f>IFERROR(__xludf.DUMMYFUNCTION("""COMPUTED_VALUE"""),"ISLAM")</f>
        <v>ISLAM</v>
      </c>
      <c r="S3038" s="74" t="str">
        <f>IFERROR(__xludf.DUMMYFUNCTION("""COMPUTED_VALUE"""),"MAHASISWA")</f>
        <v>MAHASISWA</v>
      </c>
      <c r="T3038" s="35" t="str">
        <f>IFERROR(__xludf.DUMMYFUNCTION("""COMPUTED_VALUE"""),"NYERI OTOT NGILU")</f>
        <v>NYERI OTOT NGILU</v>
      </c>
      <c r="U3038" s="35" t="str">
        <f>IFERROR(__xludf.DUMMYFUNCTION("""COMPUTED_VALUE"""),"SEPAK BOLA")</f>
        <v>SEPAK BOLA</v>
      </c>
      <c r="V3038" s="37" t="str">
        <f>IFERROR(__xludf.DUMMYFUNCTION("""COMPUTED_VALUE"""),"82311477725")</f>
        <v>82311477725</v>
      </c>
      <c r="W3038" s="45"/>
    </row>
    <row r="3039">
      <c r="A3039" s="45"/>
      <c r="B3039" s="24" t="str">
        <f>IFERROR(__xludf.DUMMYFUNCTION("""COMPUTED_VALUE"""),"05/11/2025 14:50:13")</f>
        <v>05/11/2025 14:50:13</v>
      </c>
      <c r="C3039" s="35"/>
      <c r="D3039" s="10">
        <f>IFERROR(__xludf.DUMMYFUNCTION("""COMPUTED_VALUE"""),45966.0)</f>
        <v>45966</v>
      </c>
      <c r="E3039" s="35" t="str">
        <f>IFERROR(__xludf.DUMMYFUNCTION("""COMPUTED_VALUE"""),"11Nov")</f>
        <v>11Nov</v>
      </c>
      <c r="F3039" s="34" t="str">
        <f>IFERROR(__xludf.DUMMYFUNCTION("""COMPUTED_VALUE"""),"2025")</f>
        <v>2025</v>
      </c>
      <c r="G3039" s="35" t="str">
        <f>IFERROR(__xludf.DUMMYFUNCTION("""COMPUTED_VALUE"""),"DJAUW KHIE TJIN")</f>
        <v>DJAUW KHIE TJIN</v>
      </c>
      <c r="H3039" s="35" t="str">
        <f>IFERROR(__xludf.DUMMYFUNCTION("""COMPUTED_VALUE"""),"D6525119328")</f>
        <v>D6525119328</v>
      </c>
      <c r="I3039" s="35">
        <f>IFERROR(__xludf.DUMMYFUNCTION("""COMPUTED_VALUE"""),60.0)</f>
        <v>60</v>
      </c>
      <c r="J3039" s="35" t="str">
        <f>IFERROR(__xludf.DUMMYFUNCTION("""COMPUTED_VALUE"""),"&gt; 44 tahun")</f>
        <v>&gt; 44 tahun</v>
      </c>
      <c r="K3039" s="21" t="str">
        <f>IFERROR(__xludf.DUMMYFUNCTION("""COMPUTED_VALUE"""),"03/12/1965")</f>
        <v>03/12/1965</v>
      </c>
      <c r="L3039" s="21" t="str">
        <f>IFERROR(__xludf.DUMMYFUNCTION("""COMPUTED_VALUE"""),"PEREMPUAN")</f>
        <v>PEREMPUAN</v>
      </c>
      <c r="M3039" s="35" t="str">
        <f>IFERROR(__xludf.DUMMYFUNCTION("""COMPUTED_VALUE"""),"JALAN CENDANA NO.1")</f>
        <v>JALAN CENDANA NO.1</v>
      </c>
      <c r="N3039" s="35" t="str">
        <f>IFERROR(__xludf.DUMMYFUNCTION("""COMPUTED_VALUE"""),"DARAT SEKIP")</f>
        <v>DARAT SEKIP</v>
      </c>
      <c r="O3039" s="35" t="str">
        <f>IFERROR(__xludf.DUMMYFUNCTION("""COMPUTED_VALUE"""),"PONTIANAK KOTA")</f>
        <v>PONTIANAK KOTA</v>
      </c>
      <c r="P3039" s="35" t="str">
        <f>IFERROR(__xludf.DUMMYFUNCTION("""COMPUTED_VALUE"""),"KOTA PONTIANAK")</f>
        <v>KOTA PONTIANAK</v>
      </c>
      <c r="Q3039" s="35" t="str">
        <f>IFERROR(__xludf.DUMMYFUNCTION("""COMPUTED_VALUE"""),"KALIMANTAN BARAT")</f>
        <v>KALIMANTAN BARAT</v>
      </c>
      <c r="R3039" s="21" t="str">
        <f>IFERROR(__xludf.DUMMYFUNCTION("""COMPUTED_VALUE"""),"LAINNYA")</f>
        <v>LAINNYA</v>
      </c>
      <c r="S3039" s="74" t="str">
        <f>IFERROR(__xludf.DUMMYFUNCTION("""COMPUTED_VALUE"""),"IRT")</f>
        <v>IRT</v>
      </c>
      <c r="T3039" s="35" t="str">
        <f>IFERROR(__xludf.DUMMYFUNCTION("""COMPUTED_VALUE"""),"TUMIT")</f>
        <v>TUMIT</v>
      </c>
      <c r="U3039" s="35" t="str">
        <f>IFERROR(__xludf.DUMMYFUNCTION("""COMPUTED_VALUE"""),"DANCING")</f>
        <v>DANCING</v>
      </c>
      <c r="V3039" s="37" t="str">
        <f>IFERROR(__xludf.DUMMYFUNCTION("""COMPUTED_VALUE"""),"08125619328")</f>
        <v>08125619328</v>
      </c>
      <c r="W3039" s="45"/>
    </row>
    <row r="3040">
      <c r="A3040" s="45"/>
      <c r="B3040" s="24" t="str">
        <f>IFERROR(__xludf.DUMMYFUNCTION("""COMPUTED_VALUE"""),"05/11/2025 16:59:19")</f>
        <v>05/11/2025 16:59:19</v>
      </c>
      <c r="C3040" s="35"/>
      <c r="D3040" s="10">
        <f>IFERROR(__xludf.DUMMYFUNCTION("""COMPUTED_VALUE"""),45966.0)</f>
        <v>45966</v>
      </c>
      <c r="E3040" s="35" t="str">
        <f>IFERROR(__xludf.DUMMYFUNCTION("""COMPUTED_VALUE"""),"11Nov")</f>
        <v>11Nov</v>
      </c>
      <c r="F3040" s="34" t="str">
        <f>IFERROR(__xludf.DUMMYFUNCTION("""COMPUTED_VALUE"""),"2025")</f>
        <v>2025</v>
      </c>
      <c r="G3040" s="35" t="str">
        <f>IFERROR(__xludf.DUMMYFUNCTION("""COMPUTED_VALUE"""),"JULIA KARUNIA")</f>
        <v>JULIA KARUNIA</v>
      </c>
      <c r="H3040" s="35" t="str">
        <f>IFERROR(__xludf.DUMMYFUNCTION("""COMPUTED_VALUE"""),"J8625111997")</f>
        <v>J8625111997</v>
      </c>
      <c r="I3040" s="35">
        <f>IFERROR(__xludf.DUMMYFUNCTION("""COMPUTED_VALUE"""),39.0)</f>
        <v>39</v>
      </c>
      <c r="J3040" s="35" t="str">
        <f>IFERROR(__xludf.DUMMYFUNCTION("""COMPUTED_VALUE"""),"35-44 tahun")</f>
        <v>35-44 tahun</v>
      </c>
      <c r="K3040" s="21" t="str">
        <f>IFERROR(__xludf.DUMMYFUNCTION("""COMPUTED_VALUE"""),"10/07/1986")</f>
        <v>10/07/1986</v>
      </c>
      <c r="L3040" s="21" t="str">
        <f>IFERROR(__xludf.DUMMYFUNCTION("""COMPUTED_VALUE"""),"PEREMPUAN")</f>
        <v>PEREMPUAN</v>
      </c>
      <c r="M3040" s="35" t="str">
        <f>IFERROR(__xludf.DUMMYFUNCTION("""COMPUTED_VALUE"""),"JL H RAIS A RAHMAN GANG JANUR")</f>
        <v>JL H RAIS A RAHMAN GANG JANUR</v>
      </c>
      <c r="N3040" s="35" t="str">
        <f>IFERROR(__xludf.DUMMYFUNCTION("""COMPUTED_VALUE"""),"SUNGAI JAWI")</f>
        <v>SUNGAI JAWI</v>
      </c>
      <c r="O3040" s="35" t="str">
        <f>IFERROR(__xludf.DUMMYFUNCTION("""COMPUTED_VALUE"""),"PONTIANAK BARAT")</f>
        <v>PONTIANAK BARAT</v>
      </c>
      <c r="P3040" s="35" t="str">
        <f>IFERROR(__xludf.DUMMYFUNCTION("""COMPUTED_VALUE"""),"PONTIANAK")</f>
        <v>PONTIANAK</v>
      </c>
      <c r="Q3040" s="35" t="str">
        <f>IFERROR(__xludf.DUMMYFUNCTION("""COMPUTED_VALUE"""),"KALIMANTAN BARAT")</f>
        <v>KALIMANTAN BARAT</v>
      </c>
      <c r="R3040" s="21" t="str">
        <f>IFERROR(__xludf.DUMMYFUNCTION("""COMPUTED_VALUE"""),"ISLAM")</f>
        <v>ISLAM</v>
      </c>
      <c r="S3040" s="74" t="str">
        <f>IFERROR(__xludf.DUMMYFUNCTION("""COMPUTED_VALUE"""),"SWASTA")</f>
        <v>SWASTA</v>
      </c>
      <c r="T3040" s="35" t="str">
        <f>IFERROR(__xludf.DUMMYFUNCTION("""COMPUTED_VALUE"""),"PASCA STROKE")</f>
        <v>PASCA STROKE</v>
      </c>
      <c r="U3040" s="35" t="str">
        <f>IFERROR(__xludf.DUMMYFUNCTION("""COMPUTED_VALUE"""),"-")</f>
        <v>-</v>
      </c>
      <c r="V3040" s="37" t="str">
        <f>IFERROR(__xludf.DUMMYFUNCTION("""COMPUTED_VALUE"""),"081281811997")</f>
        <v>081281811997</v>
      </c>
      <c r="W3040" s="45"/>
    </row>
    <row r="3041">
      <c r="A3041" s="45"/>
      <c r="B3041" s="24" t="str">
        <f>IFERROR(__xludf.DUMMYFUNCTION("""COMPUTED_VALUE"""),"05/11/2025 16:56:52")</f>
        <v>05/11/2025 16:56:52</v>
      </c>
      <c r="C3041" s="35"/>
      <c r="D3041" s="10">
        <f>IFERROR(__xludf.DUMMYFUNCTION("""COMPUTED_VALUE"""),45966.0)</f>
        <v>45966</v>
      </c>
      <c r="E3041" s="35" t="str">
        <f>IFERROR(__xludf.DUMMYFUNCTION("""COMPUTED_VALUE"""),"11Nov")</f>
        <v>11Nov</v>
      </c>
      <c r="F3041" s="34" t="str">
        <f>IFERROR(__xludf.DUMMYFUNCTION("""COMPUTED_VALUE"""),"2025")</f>
        <v>2025</v>
      </c>
      <c r="G3041" s="35" t="str">
        <f>IFERROR(__xludf.DUMMYFUNCTION("""COMPUTED_VALUE"""),"ARYA KUSUMA RAMADAN")</f>
        <v>ARYA KUSUMA RAMADAN</v>
      </c>
      <c r="H3041" s="35" t="str">
        <f>IFERROR(__xludf.DUMMYFUNCTION("""COMPUTED_VALUE"""),"A0625113812")</f>
        <v>A0625113812</v>
      </c>
      <c r="I3041" s="35">
        <f>IFERROR(__xludf.DUMMYFUNCTION("""COMPUTED_VALUE"""),19.0)</f>
        <v>19</v>
      </c>
      <c r="J3041" s="35" t="str">
        <f>IFERROR(__xludf.DUMMYFUNCTION("""COMPUTED_VALUE"""),"18-24 tahun")</f>
        <v>18-24 tahun</v>
      </c>
      <c r="K3041" s="21" t="str">
        <f>IFERROR(__xludf.DUMMYFUNCTION("""COMPUTED_VALUE"""),"26/09/2006")</f>
        <v>26/09/2006</v>
      </c>
      <c r="L3041" s="21" t="str">
        <f>IFERROR(__xludf.DUMMYFUNCTION("""COMPUTED_VALUE"""),"LAKI-LAKI")</f>
        <v>LAKI-LAKI</v>
      </c>
      <c r="M3041" s="35" t="str">
        <f>IFERROR(__xludf.DUMMYFUNCTION("""COMPUTED_VALUE"""),"JL.RAHADI USMAN")</f>
        <v>JL.RAHADI USMAN</v>
      </c>
      <c r="N3041" s="35" t="str">
        <f>IFERROR(__xludf.DUMMYFUNCTION("""COMPUTED_VALUE"""),"SUNGAI BAKAU")</f>
        <v>SUNGAI BAKAU</v>
      </c>
      <c r="O3041" s="35" t="str">
        <f>IFERROR(__xludf.DUMMYFUNCTION("""COMPUTED_VALUE"""),"MATAN HILIR SELATAN")</f>
        <v>MATAN HILIR SELATAN</v>
      </c>
      <c r="P3041" s="35" t="str">
        <f>IFERROR(__xludf.DUMMYFUNCTION("""COMPUTED_VALUE"""),"KETAPANG")</f>
        <v>KETAPANG</v>
      </c>
      <c r="Q3041" s="35" t="str">
        <f>IFERROR(__xludf.DUMMYFUNCTION("""COMPUTED_VALUE"""),"KALIMANTAN BARAT")</f>
        <v>KALIMANTAN BARAT</v>
      </c>
      <c r="R3041" s="21" t="str">
        <f>IFERROR(__xludf.DUMMYFUNCTION("""COMPUTED_VALUE"""),"ISLAM")</f>
        <v>ISLAM</v>
      </c>
      <c r="S3041" s="74" t="str">
        <f>IFERROR(__xludf.DUMMYFUNCTION("""COMPUTED_VALUE"""),"TIDAK ADA")</f>
        <v>TIDAK ADA</v>
      </c>
      <c r="T3041" s="35" t="str">
        <f>IFERROR(__xludf.DUMMYFUNCTION("""COMPUTED_VALUE"""),"ENGKEL KAKI KIRI SAYA MASIH BLUM SEMBUH"" SUDAH MAU 3 BULAN BLUM SEMBUH"" MASIH ADA TERSA NYERI""")</f>
        <v>ENGKEL KAKI KIRI SAYA MASIH BLUM SEMBUH" SUDAH MAU 3 BULAN BLUM SEMBUH" MASIH ADA TERSA NYERI"</v>
      </c>
      <c r="U3041" s="35" t="str">
        <f>IFERROR(__xludf.DUMMYFUNCTION("""COMPUTED_VALUE"""),"BERMAIN BOLA DAN FUTSAL")</f>
        <v>BERMAIN BOLA DAN FUTSAL</v>
      </c>
      <c r="V3041" s="37" t="str">
        <f>IFERROR(__xludf.DUMMYFUNCTION("""COMPUTED_VALUE"""),"089518353812")</f>
        <v>089518353812</v>
      </c>
      <c r="W3041" s="45"/>
    </row>
    <row r="3042">
      <c r="A3042" s="45"/>
      <c r="B3042" s="24" t="str">
        <f>IFERROR(__xludf.DUMMYFUNCTION("""COMPUTED_VALUE"""),"05/11/2025 22:15:01")</f>
        <v>05/11/2025 22:15:01</v>
      </c>
      <c r="C3042" s="35"/>
      <c r="D3042" s="10">
        <f>IFERROR(__xludf.DUMMYFUNCTION("""COMPUTED_VALUE"""),45967.0)</f>
        <v>45967</v>
      </c>
      <c r="E3042" s="35" t="str">
        <f>IFERROR(__xludf.DUMMYFUNCTION("""COMPUTED_VALUE"""),"11Nov")</f>
        <v>11Nov</v>
      </c>
      <c r="F3042" s="34" t="str">
        <f>IFERROR(__xludf.DUMMYFUNCTION("""COMPUTED_VALUE"""),"2025")</f>
        <v>2025</v>
      </c>
      <c r="G3042" s="35" t="str">
        <f>IFERROR(__xludf.DUMMYFUNCTION("""COMPUTED_VALUE"""),"SUGIANTO WIJAYA")</f>
        <v>SUGIANTO WIJAYA</v>
      </c>
      <c r="H3042" s="35" t="str">
        <f>IFERROR(__xludf.DUMMYFUNCTION("""COMPUTED_VALUE"""),"S9525118899")</f>
        <v>S9525118899</v>
      </c>
      <c r="I3042" s="35">
        <f>IFERROR(__xludf.DUMMYFUNCTION("""COMPUTED_VALUE"""),30.0)</f>
        <v>30</v>
      </c>
      <c r="J3042" s="35" t="str">
        <f>IFERROR(__xludf.DUMMYFUNCTION("""COMPUTED_VALUE"""),"25-34 tahun")</f>
        <v>25-34 tahun</v>
      </c>
      <c r="K3042" s="21" t="str">
        <f>IFERROR(__xludf.DUMMYFUNCTION("""COMPUTED_VALUE"""),"18/10/1995")</f>
        <v>18/10/1995</v>
      </c>
      <c r="L3042" s="21" t="str">
        <f>IFERROR(__xludf.DUMMYFUNCTION("""COMPUTED_VALUE"""),"LAKI-LAKI")</f>
        <v>LAKI-LAKI</v>
      </c>
      <c r="M3042" s="35" t="str">
        <f>IFERROR(__xludf.DUMMYFUNCTION("""COMPUTED_VALUE"""),"JL KARYA BARU KOMPLEK PURI KARYA INDAH NOMOR B2")</f>
        <v>JL KARYA BARU KOMPLEK PURI KARYA INDAH NOMOR B2</v>
      </c>
      <c r="N3042" s="35" t="str">
        <f>IFERROR(__xludf.DUMMYFUNCTION("""COMPUTED_VALUE"""),"PARIT TOKAYA")</f>
        <v>PARIT TOKAYA</v>
      </c>
      <c r="O3042" s="35" t="str">
        <f>IFERROR(__xludf.DUMMYFUNCTION("""COMPUTED_VALUE"""),"PONTIANAK SELATSN")</f>
        <v>PONTIANAK SELATSN</v>
      </c>
      <c r="P3042" s="35" t="str">
        <f>IFERROR(__xludf.DUMMYFUNCTION("""COMPUTED_VALUE"""),"PONTIANAK")</f>
        <v>PONTIANAK</v>
      </c>
      <c r="Q3042" s="35" t="str">
        <f>IFERROR(__xludf.DUMMYFUNCTION("""COMPUTED_VALUE"""),"KALIMANTAN BARAT")</f>
        <v>KALIMANTAN BARAT</v>
      </c>
      <c r="R3042" s="21" t="str">
        <f>IFERROR(__xludf.DUMMYFUNCTION("""COMPUTED_VALUE"""),"KATOLIK")</f>
        <v>KATOLIK</v>
      </c>
      <c r="S3042" s="74" t="str">
        <f>IFERROR(__xludf.DUMMYFUNCTION("""COMPUTED_VALUE"""),"SWASTA")</f>
        <v>SWASTA</v>
      </c>
      <c r="T3042" s="35" t="str">
        <f>IFERROR(__xludf.DUMMYFUNCTION("""COMPUTED_VALUE"""),"PARIT TOKAYA")</f>
        <v>PARIT TOKAYA</v>
      </c>
      <c r="U3042" s="35" t="str">
        <f>IFERROR(__xludf.DUMMYFUNCTION("""COMPUTED_VALUE"""),"MAIN BOLA")</f>
        <v>MAIN BOLA</v>
      </c>
      <c r="V3042" s="37" t="str">
        <f>IFERROR(__xludf.DUMMYFUNCTION("""COMPUTED_VALUE"""),"082148848899")</f>
        <v>082148848899</v>
      </c>
      <c r="W3042" s="45"/>
    </row>
    <row r="3043">
      <c r="A3043" s="45"/>
      <c r="B3043" s="24" t="str">
        <f>IFERROR(__xludf.DUMMYFUNCTION("""COMPUTED_VALUE"""),"06/11/2025 9:38:28")</f>
        <v>06/11/2025 9:38:28</v>
      </c>
      <c r="C3043" s="35"/>
      <c r="D3043" s="10">
        <f>IFERROR(__xludf.DUMMYFUNCTION("""COMPUTED_VALUE"""),45967.0)</f>
        <v>45967</v>
      </c>
      <c r="E3043" s="35" t="str">
        <f>IFERROR(__xludf.DUMMYFUNCTION("""COMPUTED_VALUE"""),"11Nov")</f>
        <v>11Nov</v>
      </c>
      <c r="F3043" s="34" t="str">
        <f>IFERROR(__xludf.DUMMYFUNCTION("""COMPUTED_VALUE"""),"2025")</f>
        <v>2025</v>
      </c>
      <c r="G3043" s="35" t="str">
        <f>IFERROR(__xludf.DUMMYFUNCTION("""COMPUTED_VALUE"""),"MUHAMMAD TAUFIK")</f>
        <v>MUHAMMAD TAUFIK</v>
      </c>
      <c r="H3043" s="35" t="str">
        <f>IFERROR(__xludf.DUMMYFUNCTION("""COMPUTED_VALUE"""),"M8425111626")</f>
        <v>M8425111626</v>
      </c>
      <c r="I3043" s="35">
        <f>IFERROR(__xludf.DUMMYFUNCTION("""COMPUTED_VALUE"""),42.0)</f>
        <v>42</v>
      </c>
      <c r="J3043" s="35" t="str">
        <f>IFERROR(__xludf.DUMMYFUNCTION("""COMPUTED_VALUE"""),"35-44 tahun")</f>
        <v>35-44 tahun</v>
      </c>
      <c r="K3043" s="21" t="str">
        <f>IFERROR(__xludf.DUMMYFUNCTION("""COMPUTED_VALUE"""),"24/04/1984")</f>
        <v>24/04/1984</v>
      </c>
      <c r="L3043" s="21" t="str">
        <f>IFERROR(__xludf.DUMMYFUNCTION("""COMPUTED_VALUE"""),"LAKI-LAKI")</f>
        <v>LAKI-LAKI</v>
      </c>
      <c r="M3043" s="35" t="str">
        <f>IFERROR(__xludf.DUMMYFUNCTION("""COMPUTED_VALUE"""),"DESA SUKOREJO KEC.TURI KAB LAMONGAN ( JATIM)")</f>
        <v>DESA SUKOREJO KEC.TURI KAB LAMONGAN ( JATIM)</v>
      </c>
      <c r="N3043" s="35" t="str">
        <f>IFERROR(__xludf.DUMMYFUNCTION("""COMPUTED_VALUE"""),"SUKOREJO")</f>
        <v>SUKOREJO</v>
      </c>
      <c r="O3043" s="35" t="str">
        <f>IFERROR(__xludf.DUMMYFUNCTION("""COMPUTED_VALUE"""),"TURI")</f>
        <v>TURI</v>
      </c>
      <c r="P3043" s="35" t="str">
        <f>IFERROR(__xludf.DUMMYFUNCTION("""COMPUTED_VALUE"""),"LAMONGAN")</f>
        <v>LAMONGAN</v>
      </c>
      <c r="Q3043" s="35" t="str">
        <f>IFERROR(__xludf.DUMMYFUNCTION("""COMPUTED_VALUE"""),"JAWA TIMUR")</f>
        <v>JAWA TIMUR</v>
      </c>
      <c r="R3043" s="21" t="str">
        <f>IFERROR(__xludf.DUMMYFUNCTION("""COMPUTED_VALUE"""),"ISLAM")</f>
        <v>ISLAM</v>
      </c>
      <c r="S3043" s="74" t="str">
        <f>IFERROR(__xludf.DUMMYFUNCTION("""COMPUTED_VALUE"""),"WIRAUSAHA")</f>
        <v>WIRAUSAHA</v>
      </c>
      <c r="T3043" s="35" t="str">
        <f>IFERROR(__xludf.DUMMYFUNCTION("""COMPUTED_VALUE"""),"SAKIT PADA LUTUT")</f>
        <v>SAKIT PADA LUTUT</v>
      </c>
      <c r="U3043" s="35" t="str">
        <f>IFERROR(__xludf.DUMMYFUNCTION("""COMPUTED_VALUE"""),"SAKIT KETIKA BERJALAN KAKI SAKIT SAAT DILIPAT")</f>
        <v>SAKIT KETIKA BERJALAN KAKI SAKIT SAAT DILIPAT</v>
      </c>
      <c r="V3043" s="37" t="str">
        <f>IFERROR(__xludf.DUMMYFUNCTION("""COMPUTED_VALUE"""),"081349781626")</f>
        <v>081349781626</v>
      </c>
      <c r="W3043" s="45"/>
    </row>
    <row r="3044">
      <c r="A3044" s="45"/>
      <c r="B3044" s="24" t="str">
        <f>IFERROR(__xludf.DUMMYFUNCTION("""COMPUTED_VALUE"""),"06/11/2025 12:06:57")</f>
        <v>06/11/2025 12:06:57</v>
      </c>
      <c r="C3044" s="35"/>
      <c r="D3044" s="10">
        <f>IFERROR(__xludf.DUMMYFUNCTION("""COMPUTED_VALUE"""),45967.0)</f>
        <v>45967</v>
      </c>
      <c r="E3044" s="35" t="str">
        <f>IFERROR(__xludf.DUMMYFUNCTION("""COMPUTED_VALUE"""),"11Nov")</f>
        <v>11Nov</v>
      </c>
      <c r="F3044" s="34" t="str">
        <f>IFERROR(__xludf.DUMMYFUNCTION("""COMPUTED_VALUE"""),"2025")</f>
        <v>2025</v>
      </c>
      <c r="G3044" s="35" t="str">
        <f>IFERROR(__xludf.DUMMYFUNCTION("""COMPUTED_VALUE"""),"KALYCA ANDANIA")</f>
        <v>KALYCA ANDANIA</v>
      </c>
      <c r="H3044" s="35" t="str">
        <f>IFERROR(__xludf.DUMMYFUNCTION("""COMPUTED_VALUE"""),"K0825116630")</f>
        <v>K0825116630</v>
      </c>
      <c r="I3044" s="35">
        <f>IFERROR(__xludf.DUMMYFUNCTION("""COMPUTED_VALUE"""),17.0)</f>
        <v>17</v>
      </c>
      <c r="J3044" s="35" t="str">
        <f>IFERROR(__xludf.DUMMYFUNCTION("""COMPUTED_VALUE"""),"&lt; 18 tahun")</f>
        <v>&lt; 18 tahun</v>
      </c>
      <c r="K3044" s="21" t="str">
        <f>IFERROR(__xludf.DUMMYFUNCTION("""COMPUTED_VALUE"""),"11/07/2008")</f>
        <v>11/07/2008</v>
      </c>
      <c r="L3044" s="21" t="str">
        <f>IFERROR(__xludf.DUMMYFUNCTION("""COMPUTED_VALUE"""),"PEREMPUAN")</f>
        <v>PEREMPUAN</v>
      </c>
      <c r="M3044" s="35" t="str">
        <f>IFERROR(__xludf.DUMMYFUNCTION("""COMPUTED_VALUE"""),"KOMP BALI ASRI II")</f>
        <v>KOMP BALI ASRI II</v>
      </c>
      <c r="N3044" s="35" t="str">
        <f>IFERROR(__xludf.DUMMYFUNCTION("""COMPUTED_VALUE"""),"PAL SEMBILAN")</f>
        <v>PAL SEMBILAN</v>
      </c>
      <c r="O3044" s="35" t="str">
        <f>IFERROR(__xludf.DUMMYFUNCTION("""COMPUTED_VALUE"""),"SUNGAI KAKAP")</f>
        <v>SUNGAI KAKAP</v>
      </c>
      <c r="P3044" s="35" t="str">
        <f>IFERROR(__xludf.DUMMYFUNCTION("""COMPUTED_VALUE"""),"KUBU RAYA")</f>
        <v>KUBU RAYA</v>
      </c>
      <c r="Q3044" s="35" t="str">
        <f>IFERROR(__xludf.DUMMYFUNCTION("""COMPUTED_VALUE"""),"KALIMANTAN BARAT")</f>
        <v>KALIMANTAN BARAT</v>
      </c>
      <c r="R3044" s="21" t="str">
        <f>IFERROR(__xludf.DUMMYFUNCTION("""COMPUTED_VALUE"""),"ISLAM")</f>
        <v>ISLAM</v>
      </c>
      <c r="S3044" s="74" t="str">
        <f>IFERROR(__xludf.DUMMYFUNCTION("""COMPUTED_VALUE"""),"PELAJAR/MAHASISWA")</f>
        <v>PELAJAR/MAHASISWA</v>
      </c>
      <c r="T3044" s="35" t="str">
        <f>IFERROR(__xludf.DUMMYFUNCTION("""COMPUTED_VALUE"""),"TERAPI BELL'S PALSY")</f>
        <v>TERAPI BELL'S PALSY</v>
      </c>
      <c r="U3044" s="35" t="str">
        <f>IFERROR(__xludf.DUMMYFUNCTION("""COMPUTED_VALUE"""),"SERING TERPAPAR AC RUANGAN")</f>
        <v>SERING TERPAPAR AC RUANGAN</v>
      </c>
      <c r="V3044" s="37" t="str">
        <f>IFERROR(__xludf.DUMMYFUNCTION("""COMPUTED_VALUE"""),"08125696630")</f>
        <v>08125696630</v>
      </c>
      <c r="W3044" s="45"/>
    </row>
    <row r="3045">
      <c r="A3045" s="45"/>
      <c r="B3045" s="24" t="str">
        <f>IFERROR(__xludf.DUMMYFUNCTION("""COMPUTED_VALUE"""),"06/11/2025 15:00:46")</f>
        <v>06/11/2025 15:00:46</v>
      </c>
      <c r="C3045" s="35"/>
      <c r="D3045" s="10">
        <f>IFERROR(__xludf.DUMMYFUNCTION("""COMPUTED_VALUE"""),45968.0)</f>
        <v>45968</v>
      </c>
      <c r="E3045" s="35" t="str">
        <f>IFERROR(__xludf.DUMMYFUNCTION("""COMPUTED_VALUE"""),"11Nov")</f>
        <v>11Nov</v>
      </c>
      <c r="F3045" s="34" t="str">
        <f>IFERROR(__xludf.DUMMYFUNCTION("""COMPUTED_VALUE"""),"2025")</f>
        <v>2025</v>
      </c>
      <c r="G3045" s="35" t="str">
        <f>IFERROR(__xludf.DUMMYFUNCTION("""COMPUTED_VALUE"""),"CAMELIA DESNIGO")</f>
        <v>CAMELIA DESNIGO</v>
      </c>
      <c r="H3045" s="35" t="str">
        <f>IFERROR(__xludf.DUMMYFUNCTION("""COMPUTED_VALUE"""),"C0525114334")</f>
        <v>C0525114334</v>
      </c>
      <c r="I3045" s="35">
        <f>IFERROR(__xludf.DUMMYFUNCTION("""COMPUTED_VALUE"""),20.0)</f>
        <v>20</v>
      </c>
      <c r="J3045" s="35" t="str">
        <f>IFERROR(__xludf.DUMMYFUNCTION("""COMPUTED_VALUE"""),"18-24 tahun")</f>
        <v>18-24 tahun</v>
      </c>
      <c r="K3045" s="21" t="str">
        <f>IFERROR(__xludf.DUMMYFUNCTION("""COMPUTED_VALUE"""),"23/12/2005")</f>
        <v>23/12/2005</v>
      </c>
      <c r="L3045" s="21" t="str">
        <f>IFERROR(__xludf.DUMMYFUNCTION("""COMPUTED_VALUE"""),"PEREMPUAN")</f>
        <v>PEREMPUAN</v>
      </c>
      <c r="M3045" s="35" t="str">
        <f>IFERROR(__xludf.DUMMYFUNCTION("""COMPUTED_VALUE"""),"JALAN PETANI
GANG WONOSOBO
NOMOR 2")</f>
        <v>JALAN PETANI
GANG WONOSOBO
NOMOR 2</v>
      </c>
      <c r="N3045" s="35" t="str">
        <f>IFERROR(__xludf.DUMMYFUNCTION("""COMPUTED_VALUE"""),"SUNGAI JAWI")</f>
        <v>SUNGAI JAWI</v>
      </c>
      <c r="O3045" s="35" t="str">
        <f>IFERROR(__xludf.DUMMYFUNCTION("""COMPUTED_VALUE"""),"PONTIANAK KOTA")</f>
        <v>PONTIANAK KOTA</v>
      </c>
      <c r="P3045" s="35" t="str">
        <f>IFERROR(__xludf.DUMMYFUNCTION("""COMPUTED_VALUE"""),"KOTA PONTIANAK")</f>
        <v>KOTA PONTIANAK</v>
      </c>
      <c r="Q3045" s="35" t="str">
        <f>IFERROR(__xludf.DUMMYFUNCTION("""COMPUTED_VALUE"""),"KALIMANTAN BARAT")</f>
        <v>KALIMANTAN BARAT</v>
      </c>
      <c r="R3045" s="21" t="str">
        <f>IFERROR(__xludf.DUMMYFUNCTION("""COMPUTED_VALUE"""),"ISLAM")</f>
        <v>ISLAM</v>
      </c>
      <c r="S3045" s="74" t="str">
        <f>IFERROR(__xludf.DUMMYFUNCTION("""COMPUTED_VALUE"""),"PELAJAR")</f>
        <v>PELAJAR</v>
      </c>
      <c r="T3045" s="35" t="str">
        <f>IFERROR(__xludf.DUMMYFUNCTION("""COMPUTED_VALUE"""),"PEGAL DI AREA PUNGGUNG, POSTUR BADAN BUNGKUK, NYERI DI AREA KAKI, TULANG KLAVIKULA TIDAK SEJAJAR, PANJANG KAKI PANJANG SEBELAH")</f>
        <v>PEGAL DI AREA PUNGGUNG, POSTUR BADAN BUNGKUK, NYERI DI AREA KAKI, TULANG KLAVIKULA TIDAK SEJAJAR, PANJANG KAKI PANJANG SEBELAH</v>
      </c>
      <c r="U3045" s="35" t="str">
        <f>IFERROR(__xludf.DUMMYFUNCTION("""COMPUTED_VALUE"""),"BEROLAHRAGA")</f>
        <v>BEROLAHRAGA</v>
      </c>
      <c r="V3045" s="37" t="str">
        <f>IFERROR(__xludf.DUMMYFUNCTION("""COMPUTED_VALUE"""),"0895370764334")</f>
        <v>0895370764334</v>
      </c>
      <c r="W3045" s="45"/>
    </row>
    <row r="3046">
      <c r="A3046" s="45"/>
      <c r="B3046" s="24" t="str">
        <f>IFERROR(__xludf.DUMMYFUNCTION("""COMPUTED_VALUE"""),"06/11/2025 21:17:15")</f>
        <v>06/11/2025 21:17:15</v>
      </c>
      <c r="C3046" s="35"/>
      <c r="D3046" s="10">
        <f>IFERROR(__xludf.DUMMYFUNCTION("""COMPUTED_VALUE"""),45968.0)</f>
        <v>45968</v>
      </c>
      <c r="E3046" s="35" t="str">
        <f>IFERROR(__xludf.DUMMYFUNCTION("""COMPUTED_VALUE"""),"11Nov")</f>
        <v>11Nov</v>
      </c>
      <c r="F3046" s="34" t="str">
        <f>IFERROR(__xludf.DUMMYFUNCTION("""COMPUTED_VALUE"""),"2025")</f>
        <v>2025</v>
      </c>
      <c r="G3046" s="35" t="str">
        <f>IFERROR(__xludf.DUMMYFUNCTION("""COMPUTED_VALUE"""),"ELLA FITRIA")</f>
        <v>ELLA FITRIA</v>
      </c>
      <c r="H3046" s="35" t="str">
        <f>IFERROR(__xludf.DUMMYFUNCTION("""COMPUTED_VALUE"""),"E9725118035")</f>
        <v>E9725118035</v>
      </c>
      <c r="I3046" s="35">
        <f>IFERROR(__xludf.DUMMYFUNCTION("""COMPUTED_VALUE"""),29.0)</f>
        <v>29</v>
      </c>
      <c r="J3046" s="35" t="str">
        <f>IFERROR(__xludf.DUMMYFUNCTION("""COMPUTED_VALUE"""),"25-34 tahun")</f>
        <v>25-34 tahun</v>
      </c>
      <c r="K3046" s="21" t="str">
        <f>IFERROR(__xludf.DUMMYFUNCTION("""COMPUTED_VALUE"""),"07/02/1997")</f>
        <v>07/02/1997</v>
      </c>
      <c r="L3046" s="21" t="str">
        <f>IFERROR(__xludf.DUMMYFUNCTION("""COMPUTED_VALUE"""),"PEREMPUAN")</f>
        <v>PEREMPUAN</v>
      </c>
      <c r="M3046" s="35" t="str">
        <f>IFERROR(__xludf.DUMMYFUNCTION("""COMPUTED_VALUE"""),"JL DI PANJAITAN")</f>
        <v>JL DI PANJAITAN</v>
      </c>
      <c r="N3046" s="35" t="str">
        <f>IFERROR(__xludf.DUMMYFUNCTION("""COMPUTED_VALUE"""),"BENUA MELAYU DARAT")</f>
        <v>BENUA MELAYU DARAT</v>
      </c>
      <c r="O3046" s="35" t="str">
        <f>IFERROR(__xludf.DUMMYFUNCTION("""COMPUTED_VALUE"""),"PONTIANAK SELATAN")</f>
        <v>PONTIANAK SELATAN</v>
      </c>
      <c r="P3046" s="35" t="str">
        <f>IFERROR(__xludf.DUMMYFUNCTION("""COMPUTED_VALUE"""),"PONTIANAK SELATAN")</f>
        <v>PONTIANAK SELATAN</v>
      </c>
      <c r="Q3046" s="35" t="str">
        <f>IFERROR(__xludf.DUMMYFUNCTION("""COMPUTED_VALUE"""),"KALIMANTAN BARAT")</f>
        <v>KALIMANTAN BARAT</v>
      </c>
      <c r="R3046" s="21" t="str">
        <f>IFERROR(__xludf.DUMMYFUNCTION("""COMPUTED_VALUE"""),"BUDDHA")</f>
        <v>BUDDHA</v>
      </c>
      <c r="S3046" s="74" t="str">
        <f>IFERROR(__xludf.DUMMYFUNCTION("""COMPUTED_VALUE"""),"ADMIN")</f>
        <v>ADMIN</v>
      </c>
      <c r="T3046" s="35" t="str">
        <f>IFERROR(__xludf.DUMMYFUNCTION("""COMPUTED_VALUE"""),"KAKI KANAN TELAPAK KAKI")</f>
        <v>KAKI KANAN TELAPAK KAKI</v>
      </c>
      <c r="U3046" s="35" t="str">
        <f>IFERROR(__xludf.DUMMYFUNCTION("""COMPUTED_VALUE"""),"SEBELUMNY ADA AKTIFITAS IKUT MARATON 5K")</f>
        <v>SEBELUMNY ADA AKTIFITAS IKUT MARATON 5K</v>
      </c>
      <c r="V3046" s="37" t="str">
        <f>IFERROR(__xludf.DUMMYFUNCTION("""COMPUTED_VALUE"""),"082157978035")</f>
        <v>082157978035</v>
      </c>
      <c r="W3046" s="45"/>
    </row>
    <row r="3047">
      <c r="A3047" s="45"/>
      <c r="B3047" s="24" t="str">
        <f>IFERROR(__xludf.DUMMYFUNCTION("""COMPUTED_VALUE"""),"07/11/2025 8:40:48")</f>
        <v>07/11/2025 8:40:48</v>
      </c>
      <c r="C3047" s="35"/>
      <c r="D3047" s="10">
        <f>IFERROR(__xludf.DUMMYFUNCTION("""COMPUTED_VALUE"""),45968.0)</f>
        <v>45968</v>
      </c>
      <c r="E3047" s="35" t="str">
        <f>IFERROR(__xludf.DUMMYFUNCTION("""COMPUTED_VALUE"""),"11Nov")</f>
        <v>11Nov</v>
      </c>
      <c r="F3047" s="34" t="str">
        <f>IFERROR(__xludf.DUMMYFUNCTION("""COMPUTED_VALUE"""),"2025")</f>
        <v>2025</v>
      </c>
      <c r="G3047" s="35" t="str">
        <f>IFERROR(__xludf.DUMMYFUNCTION("""COMPUTED_VALUE"""),"MARIYAMINA RUPINA")</f>
        <v>MARIYAMINA RUPINA</v>
      </c>
      <c r="H3047" s="35" t="str">
        <f>IFERROR(__xludf.DUMMYFUNCTION("""COMPUTED_VALUE"""),"M5325110126")</f>
        <v>M5325110126</v>
      </c>
      <c r="I3047" s="35">
        <f>IFERROR(__xludf.DUMMYFUNCTION("""COMPUTED_VALUE"""),73.0)</f>
        <v>73</v>
      </c>
      <c r="J3047" s="35" t="str">
        <f>IFERROR(__xludf.DUMMYFUNCTION("""COMPUTED_VALUE"""),"&gt; 44 tahun")</f>
        <v>&gt; 44 tahun</v>
      </c>
      <c r="K3047" s="21" t="str">
        <f>IFERROR(__xludf.DUMMYFUNCTION("""COMPUTED_VALUE"""),"09/06/1953")</f>
        <v>09/06/1953</v>
      </c>
      <c r="L3047" s="21" t="str">
        <f>IFERROR(__xludf.DUMMYFUNCTION("""COMPUTED_VALUE"""),"PEREMPUAN")</f>
        <v>PEREMPUAN</v>
      </c>
      <c r="M3047" s="35" t="str">
        <f>IFERROR(__xludf.DUMMYFUNCTION("""COMPUTED_VALUE"""),"JL. SELAYAR GG MUFAKAT NO 29 PONTIANAK")</f>
        <v>JL. SELAYAR GG MUFAKAT NO 29 PONTIANAK</v>
      </c>
      <c r="N3047" s="35" t="str">
        <f>IFERROR(__xludf.DUMMYFUNCTION("""COMPUTED_VALUE"""),"AKCAYA")</f>
        <v>AKCAYA</v>
      </c>
      <c r="O3047" s="35" t="str">
        <f>IFERROR(__xludf.DUMMYFUNCTION("""COMPUTED_VALUE"""),"PONTIANAK SELATAN")</f>
        <v>PONTIANAK SELATAN</v>
      </c>
      <c r="P3047" s="35" t="str">
        <f>IFERROR(__xludf.DUMMYFUNCTION("""COMPUTED_VALUE"""),"PONTIANAK")</f>
        <v>PONTIANAK</v>
      </c>
      <c r="Q3047" s="35" t="str">
        <f>IFERROR(__xludf.DUMMYFUNCTION("""COMPUTED_VALUE"""),"KALIMANTAN BARAT")</f>
        <v>KALIMANTAN BARAT</v>
      </c>
      <c r="R3047" s="21" t="str">
        <f>IFERROR(__xludf.DUMMYFUNCTION("""COMPUTED_VALUE"""),"KATOLIK")</f>
        <v>KATOLIK</v>
      </c>
      <c r="S3047" s="74" t="str">
        <f>IFERROR(__xludf.DUMMYFUNCTION("""COMPUTED_VALUE"""),"IBU RUMAH TANGGA")</f>
        <v>IBU RUMAH TANGGA</v>
      </c>
      <c r="T3047" s="35" t="str">
        <f>IFERROR(__xludf.DUMMYFUNCTION("""COMPUTED_VALUE"""),"SAKIT &amp; SUSAH GERAK PAKA LUTUT")</f>
        <v>SAKIT &amp; SUSAH GERAK PAKA LUTUT</v>
      </c>
      <c r="U3047" s="35" t="str">
        <f>IFERROR(__xludf.DUMMYFUNCTION("""COMPUTED_VALUE"""),"AKTIVITAS RUMAH TANGGA")</f>
        <v>AKTIVITAS RUMAH TANGGA</v>
      </c>
      <c r="V3047" s="37" t="str">
        <f>IFERROR(__xludf.DUMMYFUNCTION("""COMPUTED_VALUE"""),"085245000126")</f>
        <v>085245000126</v>
      </c>
      <c r="W3047" s="45"/>
    </row>
    <row r="3048">
      <c r="A3048" s="45"/>
      <c r="B3048" s="24" t="str">
        <f>IFERROR(__xludf.DUMMYFUNCTION("""COMPUTED_VALUE"""),"07/11/2025 9:46:21")</f>
        <v>07/11/2025 9:46:21</v>
      </c>
      <c r="C3048" s="35"/>
      <c r="D3048" s="10">
        <f>IFERROR(__xludf.DUMMYFUNCTION("""COMPUTED_VALUE"""),45969.0)</f>
        <v>45969</v>
      </c>
      <c r="E3048" s="35" t="str">
        <f>IFERROR(__xludf.DUMMYFUNCTION("""COMPUTED_VALUE"""),"11Nov")</f>
        <v>11Nov</v>
      </c>
      <c r="F3048" s="34" t="str">
        <f>IFERROR(__xludf.DUMMYFUNCTION("""COMPUTED_VALUE"""),"2025")</f>
        <v>2025</v>
      </c>
      <c r="G3048" s="35" t="str">
        <f>IFERROR(__xludf.DUMMYFUNCTION("""COMPUTED_VALUE"""),"DANY SUWARNO")</f>
        <v>DANY SUWARNO</v>
      </c>
      <c r="H3048" s="35" t="str">
        <f>IFERROR(__xludf.DUMMYFUNCTION("""COMPUTED_VALUE"""),"D8525114110")</f>
        <v>D8525114110</v>
      </c>
      <c r="I3048" s="35">
        <f>IFERROR(__xludf.DUMMYFUNCTION("""COMPUTED_VALUE"""),40.0)</f>
        <v>40</v>
      </c>
      <c r="J3048" s="35" t="str">
        <f>IFERROR(__xludf.DUMMYFUNCTION("""COMPUTED_VALUE"""),"35-44 tahun")</f>
        <v>35-44 tahun</v>
      </c>
      <c r="K3048" s="21" t="str">
        <f>IFERROR(__xludf.DUMMYFUNCTION("""COMPUTED_VALUE"""),"10/07/1985")</f>
        <v>10/07/1985</v>
      </c>
      <c r="L3048" s="21" t="str">
        <f>IFERROR(__xludf.DUMMYFUNCTION("""COMPUTED_VALUE"""),"LAKI-LAKI")</f>
        <v>LAKI-LAKI</v>
      </c>
      <c r="M3048" s="35" t="str">
        <f>IFERROR(__xludf.DUMMYFUNCTION("""COMPUTED_VALUE"""),"HANURA DAMAI SEJAHTETA A3")</f>
        <v>HANURA DAMAI SEJAHTETA A3</v>
      </c>
      <c r="N3048" s="35" t="str">
        <f>IFERROR(__xludf.DUMMYFUNCTION("""COMPUTED_VALUE"""),"SUI JAWI")</f>
        <v>SUI JAWI</v>
      </c>
      <c r="O3048" s="35" t="str">
        <f>IFERROR(__xludf.DUMMYFUNCTION("""COMPUTED_VALUE"""),"PONTIANAK KOTA")</f>
        <v>PONTIANAK KOTA</v>
      </c>
      <c r="P3048" s="35" t="str">
        <f>IFERROR(__xludf.DUMMYFUNCTION("""COMPUTED_VALUE"""),"PONTIANAK")</f>
        <v>PONTIANAK</v>
      </c>
      <c r="Q3048" s="35" t="str">
        <f>IFERROR(__xludf.DUMMYFUNCTION("""COMPUTED_VALUE"""),"KALIMANTAN BARAT")</f>
        <v>KALIMANTAN BARAT</v>
      </c>
      <c r="R3048" s="21" t="str">
        <f>IFERROR(__xludf.DUMMYFUNCTION("""COMPUTED_VALUE"""),"ISLAM")</f>
        <v>ISLAM</v>
      </c>
      <c r="S3048" s="74" t="str">
        <f>IFERROR(__xludf.DUMMYFUNCTION("""COMPUTED_VALUE"""),"SUPIR")</f>
        <v>SUPIR</v>
      </c>
      <c r="T3048" s="35" t="str">
        <f>IFERROR(__xludf.DUMMYFUNCTION("""COMPUTED_VALUE"""),"KAKI BENGKAK DIAGNOSA DOKTER OASTRIRTIS DAN ASAM URAT")</f>
        <v>KAKI BENGKAK DIAGNOSA DOKTER OASTRIRTIS DAN ASAM URAT</v>
      </c>
      <c r="U3048" s="35" t="str">
        <f>IFERROR(__xludf.DUMMYFUNCTION("""COMPUTED_VALUE"""),"NYETIR,KADANG"" MAEN BOLA")</f>
        <v>NYETIR,KADANG" MAEN BOLA</v>
      </c>
      <c r="V3048" s="37" t="str">
        <f>IFERROR(__xludf.DUMMYFUNCTION("""COMPUTED_VALUE"""),"089689544110")</f>
        <v>089689544110</v>
      </c>
      <c r="W3048" s="45"/>
    </row>
    <row r="3049">
      <c r="A3049" s="45"/>
      <c r="B3049" s="24" t="str">
        <f>IFERROR(__xludf.DUMMYFUNCTION("""COMPUTED_VALUE"""),"08/11/2025 11:35:00")</f>
        <v>08/11/2025 11:35:00</v>
      </c>
      <c r="C3049" s="35"/>
      <c r="D3049" s="10">
        <f>IFERROR(__xludf.DUMMYFUNCTION("""COMPUTED_VALUE"""),45969.0)</f>
        <v>45969</v>
      </c>
      <c r="E3049" s="35" t="str">
        <f>IFERROR(__xludf.DUMMYFUNCTION("""COMPUTED_VALUE"""),"11Nov")</f>
        <v>11Nov</v>
      </c>
      <c r="F3049" s="34" t="str">
        <f>IFERROR(__xludf.DUMMYFUNCTION("""COMPUTED_VALUE"""),"2025")</f>
        <v>2025</v>
      </c>
      <c r="G3049" s="35" t="str">
        <f>IFERROR(__xludf.DUMMYFUNCTION("""COMPUTED_VALUE"""),"FATIMA")</f>
        <v>FATIMA</v>
      </c>
      <c r="H3049" s="35" t="str">
        <f>IFERROR(__xludf.DUMMYFUNCTION("""COMPUTED_VALUE"""),"F2525111598")</f>
        <v>F2525111598</v>
      </c>
      <c r="I3049" s="35">
        <f>IFERROR(__xludf.DUMMYFUNCTION("""COMPUTED_VALUE"""),0.0)</f>
        <v>0</v>
      </c>
      <c r="J3049" s="35" t="str">
        <f>IFERROR(__xludf.DUMMYFUNCTION("""COMPUTED_VALUE"""),"&lt; 18 tahun")</f>
        <v>&lt; 18 tahun</v>
      </c>
      <c r="K3049" s="21" t="str">
        <f>IFERROR(__xludf.DUMMYFUNCTION("""COMPUTED_VALUE"""),"08/11/2025")</f>
        <v>08/11/2025</v>
      </c>
      <c r="L3049" s="21" t="str">
        <f>IFERROR(__xludf.DUMMYFUNCTION("""COMPUTED_VALUE"""),"PEREMPUAN")</f>
        <v>PEREMPUAN</v>
      </c>
      <c r="M3049" s="35" t="str">
        <f>IFERROR(__xludf.DUMMYFUNCTION("""COMPUTED_VALUE"""),"JL.PROF.M.YAMIN NO.8AB")</f>
        <v>JL.PROF.M.YAMIN NO.8AB</v>
      </c>
      <c r="N3049" s="35" t="str">
        <f>IFERROR(__xludf.DUMMYFUNCTION("""COMPUTED_VALUE"""),"AKCAYA")</f>
        <v>AKCAYA</v>
      </c>
      <c r="O3049" s="35" t="str">
        <f>IFERROR(__xludf.DUMMYFUNCTION("""COMPUTED_VALUE"""),"PONTIANAK SELATAN")</f>
        <v>PONTIANAK SELATAN</v>
      </c>
      <c r="P3049" s="35" t="str">
        <f>IFERROR(__xludf.DUMMYFUNCTION("""COMPUTED_VALUE"""),"PONTIANAK")</f>
        <v>PONTIANAK</v>
      </c>
      <c r="Q3049" s="35" t="str">
        <f>IFERROR(__xludf.DUMMYFUNCTION("""COMPUTED_VALUE"""),"PONTIANAK")</f>
        <v>PONTIANAK</v>
      </c>
      <c r="R3049" s="21" t="str">
        <f>IFERROR(__xludf.DUMMYFUNCTION("""COMPUTED_VALUE"""),"KATOLIK")</f>
        <v>KATOLIK</v>
      </c>
      <c r="S3049" s="74" t="str">
        <f>IFERROR(__xludf.DUMMYFUNCTION("""COMPUTED_VALUE"""),"SWASTA")</f>
        <v>SWASTA</v>
      </c>
      <c r="T3049" s="35" t="str">
        <f>IFERROR(__xludf.DUMMYFUNCTION("""COMPUTED_VALUE"""),"TANGAN SAKIT SEBELAH KANAN..")</f>
        <v>TANGAN SAKIT SEBELAH KANAN..</v>
      </c>
      <c r="U3049" s="35" t="str">
        <f>IFERROR(__xludf.DUMMYFUNCTION("""COMPUTED_VALUE"""),"HABIS NGEJIM")</f>
        <v>HABIS NGEJIM</v>
      </c>
      <c r="V3049" s="37" t="str">
        <f>IFERROR(__xludf.DUMMYFUNCTION("""COMPUTED_VALUE"""),"08125711598")</f>
        <v>08125711598</v>
      </c>
      <c r="W3049" s="45"/>
    </row>
    <row r="3050">
      <c r="A3050" s="45"/>
      <c r="B3050" s="24" t="str">
        <f>IFERROR(__xludf.DUMMYFUNCTION("""COMPUTED_VALUE"""),"08/11/2025 10:22:21")</f>
        <v>08/11/2025 10:22:21</v>
      </c>
      <c r="C3050" s="35"/>
      <c r="D3050" s="10">
        <f>IFERROR(__xludf.DUMMYFUNCTION("""COMPUTED_VALUE"""),45969.0)</f>
        <v>45969</v>
      </c>
      <c r="E3050" s="35" t="str">
        <f>IFERROR(__xludf.DUMMYFUNCTION("""COMPUTED_VALUE"""),"11Nov")</f>
        <v>11Nov</v>
      </c>
      <c r="F3050" s="34" t="str">
        <f>IFERROR(__xludf.DUMMYFUNCTION("""COMPUTED_VALUE"""),"2025")</f>
        <v>2025</v>
      </c>
      <c r="G3050" s="35" t="str">
        <f>IFERROR(__xludf.DUMMYFUNCTION("""COMPUTED_VALUE"""),"MEDIANA SULISTIAWATI")</f>
        <v>MEDIANA SULISTIAWATI</v>
      </c>
      <c r="H3050" s="35" t="str">
        <f>IFERROR(__xludf.DUMMYFUNCTION("""COMPUTED_VALUE"""),"M0425117629")</f>
        <v>M0425117629</v>
      </c>
      <c r="I3050" s="35">
        <f>IFERROR(__xludf.DUMMYFUNCTION("""COMPUTED_VALUE"""),22.0)</f>
        <v>22</v>
      </c>
      <c r="J3050" s="35" t="str">
        <f>IFERROR(__xludf.DUMMYFUNCTION("""COMPUTED_VALUE"""),"18-24 tahun")</f>
        <v>18-24 tahun</v>
      </c>
      <c r="K3050" s="21" t="str">
        <f>IFERROR(__xludf.DUMMYFUNCTION("""COMPUTED_VALUE"""),"22/05/2004")</f>
        <v>22/05/2004</v>
      </c>
      <c r="L3050" s="21" t="str">
        <f>IFERROR(__xludf.DUMMYFUNCTION("""COMPUTED_VALUE"""),"PEREMPUAN")</f>
        <v>PEREMPUAN</v>
      </c>
      <c r="M3050" s="35" t="str">
        <f>IFERROR(__xludf.DUMMYFUNCTION("""COMPUTED_VALUE"""),"GANG TELUK SELAMAT")</f>
        <v>GANG TELUK SELAMAT</v>
      </c>
      <c r="N3050" s="35" t="str">
        <f>IFERROR(__xludf.DUMMYFUNCTION("""COMPUTED_VALUE"""),"SIANTAN HILIR")</f>
        <v>SIANTAN HILIR</v>
      </c>
      <c r="O3050" s="35" t="str">
        <f>IFERROR(__xludf.DUMMYFUNCTION("""COMPUTED_VALUE"""),"PONTIANAK UTARA")</f>
        <v>PONTIANAK UTARA</v>
      </c>
      <c r="P3050" s="35" t="str">
        <f>IFERROR(__xludf.DUMMYFUNCTION("""COMPUTED_VALUE"""),"KOTA PONTIANAK")</f>
        <v>KOTA PONTIANAK</v>
      </c>
      <c r="Q3050" s="35" t="str">
        <f>IFERROR(__xludf.DUMMYFUNCTION("""COMPUTED_VALUE"""),"KALIMANTAN BARAT")</f>
        <v>KALIMANTAN BARAT</v>
      </c>
      <c r="R3050" s="21" t="str">
        <f>IFERROR(__xludf.DUMMYFUNCTION("""COMPUTED_VALUE"""),"ISLAM")</f>
        <v>ISLAM</v>
      </c>
      <c r="S3050" s="74" t="str">
        <f>IFERROR(__xludf.DUMMYFUNCTION("""COMPUTED_VALUE"""),"STAFF TOKO")</f>
        <v>STAFF TOKO</v>
      </c>
      <c r="T3050" s="35" t="str">
        <f>IFERROR(__xludf.DUMMYFUNCTION("""COMPUTED_VALUE"""),"NYERI LUTUT PASCA GYM")</f>
        <v>NYERI LUTUT PASCA GYM</v>
      </c>
      <c r="U3050" s="35" t="str">
        <f>IFERROR(__xludf.DUMMYFUNCTION("""COMPUTED_VALUE"""),"GYM")</f>
        <v>GYM</v>
      </c>
      <c r="V3050" s="37" t="str">
        <f>IFERROR(__xludf.DUMMYFUNCTION("""COMPUTED_VALUE"""),"085754407629")</f>
        <v>085754407629</v>
      </c>
      <c r="W3050" s="45"/>
    </row>
    <row r="3051">
      <c r="A3051" s="45"/>
      <c r="B3051" s="24" t="str">
        <f>IFERROR(__xludf.DUMMYFUNCTION("""COMPUTED_VALUE"""),"08/11/2025 18:08:17")</f>
        <v>08/11/2025 18:08:17</v>
      </c>
      <c r="C3051" s="35"/>
      <c r="D3051" s="10">
        <f>IFERROR(__xludf.DUMMYFUNCTION("""COMPUTED_VALUE"""),45969.0)</f>
        <v>45969</v>
      </c>
      <c r="E3051" s="35" t="str">
        <f>IFERROR(__xludf.DUMMYFUNCTION("""COMPUTED_VALUE"""),"11Nov")</f>
        <v>11Nov</v>
      </c>
      <c r="F3051" s="34" t="str">
        <f>IFERROR(__xludf.DUMMYFUNCTION("""COMPUTED_VALUE"""),"2025")</f>
        <v>2025</v>
      </c>
      <c r="G3051" s="35" t="str">
        <f>IFERROR(__xludf.DUMMYFUNCTION("""COMPUTED_VALUE"""),"SALLY ISKANDAR TAN")</f>
        <v>SALLY ISKANDAR TAN</v>
      </c>
      <c r="H3051" s="35" t="str">
        <f>IFERROR(__xludf.DUMMYFUNCTION("""COMPUTED_VALUE"""),"S0125112891")</f>
        <v>S0125112891</v>
      </c>
      <c r="I3051" s="35">
        <f>IFERROR(__xludf.DUMMYFUNCTION("""COMPUTED_VALUE"""),25.0)</f>
        <v>25</v>
      </c>
      <c r="J3051" s="35" t="str">
        <f>IFERROR(__xludf.DUMMYFUNCTION("""COMPUTED_VALUE"""),"25-34 tahun")</f>
        <v>25-34 tahun</v>
      </c>
      <c r="K3051" s="21" t="str">
        <f>IFERROR(__xludf.DUMMYFUNCTION("""COMPUTED_VALUE"""),"14/03/2001")</f>
        <v>14/03/2001</v>
      </c>
      <c r="L3051" s="21" t="str">
        <f>IFERROR(__xludf.DUMMYFUNCTION("""COMPUTED_VALUE"""),"PEREMPUAN")</f>
        <v>PEREMPUAN</v>
      </c>
      <c r="M3051" s="35" t="str">
        <f>IFERROR(__xludf.DUMMYFUNCTION("""COMPUTED_VALUE"""),"JL. SUPRAPTO 2 NO. 27")</f>
        <v>JL. SUPRAPTO 2 NO. 27</v>
      </c>
      <c r="N3051" s="35" t="str">
        <f>IFERROR(__xludf.DUMMYFUNCTION("""COMPUTED_VALUE"""),"BENUA MELAYU DARAT")</f>
        <v>BENUA MELAYU DARAT</v>
      </c>
      <c r="O3051" s="35" t="str">
        <f>IFERROR(__xludf.DUMMYFUNCTION("""COMPUTED_VALUE"""),"PONTIANAK SELATAN")</f>
        <v>PONTIANAK SELATAN</v>
      </c>
      <c r="P3051" s="35" t="str">
        <f>IFERROR(__xludf.DUMMYFUNCTION("""COMPUTED_VALUE"""),"PONTIANAK")</f>
        <v>PONTIANAK</v>
      </c>
      <c r="Q3051" s="35" t="str">
        <f>IFERROR(__xludf.DUMMYFUNCTION("""COMPUTED_VALUE"""),"KALIMANTAN BARAT")</f>
        <v>KALIMANTAN BARAT</v>
      </c>
      <c r="R3051" s="21" t="str">
        <f>IFERROR(__xludf.DUMMYFUNCTION("""COMPUTED_VALUE"""),"BUDDHA")</f>
        <v>BUDDHA</v>
      </c>
      <c r="S3051" s="74" t="str">
        <f>IFERROR(__xludf.DUMMYFUNCTION("""COMPUTED_VALUE"""),"MAHASISWA")</f>
        <v>MAHASISWA</v>
      </c>
      <c r="T3051" s="35" t="str">
        <f>IFERROR(__xludf.DUMMYFUNCTION("""COMPUTED_VALUE"""),"OTOT KAKI PERNAH SOBEK, KALAU OLAHRAGA SERING SAKIT DI LUTUT KIRI")</f>
        <v>OTOT KAKI PERNAH SOBEK, KALAU OLAHRAGA SERING SAKIT DI LUTUT KIRI</v>
      </c>
      <c r="U3051" s="35" t="str">
        <f>IFERROR(__xludf.DUMMYFUNCTION("""COMPUTED_VALUE"""),"JARANG BEROLAHRAGA/SEDENTARY")</f>
        <v>JARANG BEROLAHRAGA/SEDENTARY</v>
      </c>
      <c r="V3051" s="37" t="str">
        <f>IFERROR(__xludf.DUMMYFUNCTION("""COMPUTED_VALUE"""),"087818212891")</f>
        <v>087818212891</v>
      </c>
      <c r="W3051" s="45"/>
    </row>
    <row r="3052">
      <c r="A3052" s="45"/>
      <c r="B3052" s="24" t="str">
        <f>IFERROR(__xludf.DUMMYFUNCTION("""COMPUTED_VALUE"""),"09/11/2025 17:51:46")</f>
        <v>09/11/2025 17:51:46</v>
      </c>
      <c r="C3052" s="35"/>
      <c r="D3052" s="10">
        <f>IFERROR(__xludf.DUMMYFUNCTION("""COMPUTED_VALUE"""),45970.0)</f>
        <v>45970</v>
      </c>
      <c r="E3052" s="35" t="str">
        <f>IFERROR(__xludf.DUMMYFUNCTION("""COMPUTED_VALUE"""),"11Nov")</f>
        <v>11Nov</v>
      </c>
      <c r="F3052" s="34" t="str">
        <f>IFERROR(__xludf.DUMMYFUNCTION("""COMPUTED_VALUE"""),"2025")</f>
        <v>2025</v>
      </c>
      <c r="G3052" s="35" t="str">
        <f>IFERROR(__xludf.DUMMYFUNCTION("""COMPUTED_VALUE"""),"SUMIATI")</f>
        <v>SUMIATI</v>
      </c>
      <c r="H3052" s="35" t="str">
        <f>IFERROR(__xludf.DUMMYFUNCTION("""COMPUTED_VALUE"""),"S8525116452")</f>
        <v>S8525116452</v>
      </c>
      <c r="I3052" s="35">
        <f>IFERROR(__xludf.DUMMYFUNCTION("""COMPUTED_VALUE"""),41.0)</f>
        <v>41</v>
      </c>
      <c r="J3052" s="35" t="str">
        <f>IFERROR(__xludf.DUMMYFUNCTION("""COMPUTED_VALUE"""),"35-44 tahun")</f>
        <v>35-44 tahun</v>
      </c>
      <c r="K3052" s="21" t="str">
        <f>IFERROR(__xludf.DUMMYFUNCTION("""COMPUTED_VALUE"""),"08/03/1985")</f>
        <v>08/03/1985</v>
      </c>
      <c r="L3052" s="21" t="str">
        <f>IFERROR(__xludf.DUMMYFUNCTION("""COMPUTED_VALUE"""),"PEREMPUAN")</f>
        <v>PEREMPUAN</v>
      </c>
      <c r="M3052" s="35" t="str">
        <f>IFERROR(__xludf.DUMMYFUNCTION("""COMPUTED_VALUE"""),"DUSUN KERAMAT KUALA DUA , SUNGAI RAYA")</f>
        <v>DUSUN KERAMAT KUALA DUA , SUNGAI RAYA</v>
      </c>
      <c r="N3052" s="35" t="str">
        <f>IFERROR(__xludf.DUMMYFUNCTION("""COMPUTED_VALUE"""),"KUALA DUA")</f>
        <v>KUALA DUA</v>
      </c>
      <c r="O3052" s="35" t="str">
        <f>IFERROR(__xludf.DUMMYFUNCTION("""COMPUTED_VALUE"""),"SUNGAI RAYA")</f>
        <v>SUNGAI RAYA</v>
      </c>
      <c r="P3052" s="35" t="str">
        <f>IFERROR(__xludf.DUMMYFUNCTION("""COMPUTED_VALUE"""),"KUBU RAYA")</f>
        <v>KUBU RAYA</v>
      </c>
      <c r="Q3052" s="35" t="str">
        <f>IFERROR(__xludf.DUMMYFUNCTION("""COMPUTED_VALUE"""),"KALIMANTAN BARAT")</f>
        <v>KALIMANTAN BARAT</v>
      </c>
      <c r="R3052" s="21" t="str">
        <f>IFERROR(__xludf.DUMMYFUNCTION("""COMPUTED_VALUE"""),"ISLAM")</f>
        <v>ISLAM</v>
      </c>
      <c r="S3052" s="74" t="str">
        <f>IFERROR(__xludf.DUMMYFUNCTION("""COMPUTED_VALUE"""),"IRT")</f>
        <v>IRT</v>
      </c>
      <c r="T3052" s="35" t="str">
        <f>IFERROR(__xludf.DUMMYFUNCTION("""COMPUTED_VALUE"""),"KAKI")</f>
        <v>KAKI</v>
      </c>
      <c r="U3052" s="35" t="str">
        <f>IFERROR(__xludf.DUMMYFUNCTION("""COMPUTED_VALUE"""),"-")</f>
        <v>-</v>
      </c>
      <c r="V3052" s="37" t="str">
        <f>IFERROR(__xludf.DUMMYFUNCTION("""COMPUTED_VALUE"""),"085257676452")</f>
        <v>085257676452</v>
      </c>
      <c r="W3052" s="45"/>
    </row>
    <row r="3053">
      <c r="A3053" s="45"/>
      <c r="B3053" s="24" t="str">
        <f>IFERROR(__xludf.DUMMYFUNCTION("""COMPUTED_VALUE"""),"10/11/2025 11:17:06")</f>
        <v>10/11/2025 11:17:06</v>
      </c>
      <c r="C3053" s="35"/>
      <c r="D3053" s="10">
        <f>IFERROR(__xludf.DUMMYFUNCTION("""COMPUTED_VALUE"""),45971.0)</f>
        <v>45971</v>
      </c>
      <c r="E3053" s="35" t="str">
        <f>IFERROR(__xludf.DUMMYFUNCTION("""COMPUTED_VALUE"""),"11Nov")</f>
        <v>11Nov</v>
      </c>
      <c r="F3053" s="34" t="str">
        <f>IFERROR(__xludf.DUMMYFUNCTION("""COMPUTED_VALUE"""),"2025")</f>
        <v>2025</v>
      </c>
      <c r="G3053" s="35" t="str">
        <f>IFERROR(__xludf.DUMMYFUNCTION("""COMPUTED_VALUE"""),"WARRIN WIJAYA")</f>
        <v>WARRIN WIJAYA</v>
      </c>
      <c r="H3053" s="35" t="str">
        <f>IFERROR(__xludf.DUMMYFUNCTION("""COMPUTED_VALUE"""),"W9725116553")</f>
        <v>W9725116553</v>
      </c>
      <c r="I3053" s="35">
        <f>IFERROR(__xludf.DUMMYFUNCTION("""COMPUTED_VALUE"""),28.0)</f>
        <v>28</v>
      </c>
      <c r="J3053" s="35" t="str">
        <f>IFERROR(__xludf.DUMMYFUNCTION("""COMPUTED_VALUE"""),"25-34 tahun")</f>
        <v>25-34 tahun</v>
      </c>
      <c r="K3053" s="21" t="str">
        <f>IFERROR(__xludf.DUMMYFUNCTION("""COMPUTED_VALUE"""),"20/10/1997")</f>
        <v>20/10/1997</v>
      </c>
      <c r="L3053" s="21" t="str">
        <f>IFERROR(__xludf.DUMMYFUNCTION("""COMPUTED_VALUE"""),"LAKI-LAKI")</f>
        <v>LAKI-LAKI</v>
      </c>
      <c r="M3053" s="35" t="str">
        <f>IFERROR(__xludf.DUMMYFUNCTION("""COMPUTED_VALUE"""),"JL PUTRI CANDRAMIDI GG SUKADAMAI NO 22")</f>
        <v>JL PUTRI CANDRAMIDI GG SUKADAMAI NO 22</v>
      </c>
      <c r="N3053" s="35" t="str">
        <f>IFERROR(__xludf.DUMMYFUNCTION("""COMPUTED_VALUE"""),"SUNGAI BANGKONG")</f>
        <v>SUNGAI BANGKONG</v>
      </c>
      <c r="O3053" s="35" t="str">
        <f>IFERROR(__xludf.DUMMYFUNCTION("""COMPUTED_VALUE"""),"PONTIANAK")</f>
        <v>PONTIANAK</v>
      </c>
      <c r="P3053" s="35" t="str">
        <f>IFERROR(__xludf.DUMMYFUNCTION("""COMPUTED_VALUE"""),"PONTIANAK KOTA")</f>
        <v>PONTIANAK KOTA</v>
      </c>
      <c r="Q3053" s="35" t="str">
        <f>IFERROR(__xludf.DUMMYFUNCTION("""COMPUTED_VALUE"""),"KALBAR")</f>
        <v>KALBAR</v>
      </c>
      <c r="R3053" s="21" t="str">
        <f>IFERROR(__xludf.DUMMYFUNCTION("""COMPUTED_VALUE"""),"PROTESTAN")</f>
        <v>PROTESTAN</v>
      </c>
      <c r="S3053" s="74" t="str">
        <f>IFERROR(__xludf.DUMMYFUNCTION("""COMPUTED_VALUE"""),"WIRASWASTA")</f>
        <v>WIRASWASTA</v>
      </c>
      <c r="T3053" s="35" t="str">
        <f>IFERROR(__xludf.DUMMYFUNCTION("""COMPUTED_VALUE"""),"LUTUT SAKIT")</f>
        <v>LUTUT SAKIT</v>
      </c>
      <c r="U3053" s="35" t="str">
        <f>IFERROR(__xludf.DUMMYFUNCTION("""COMPUTED_VALUE"""),"GYM DAN FUTSAL")</f>
        <v>GYM DAN FUTSAL</v>
      </c>
      <c r="V3053" s="37" t="str">
        <f>IFERROR(__xludf.DUMMYFUNCTION("""COMPUTED_VALUE"""),"081351456553")</f>
        <v>081351456553</v>
      </c>
      <c r="W3053" s="45"/>
    </row>
    <row r="3054">
      <c r="A3054" s="45"/>
      <c r="B3054" s="24" t="str">
        <f>IFERROR(__xludf.DUMMYFUNCTION("""COMPUTED_VALUE"""),"10/11/2025 11:27:46")</f>
        <v>10/11/2025 11:27:46</v>
      </c>
      <c r="C3054" s="35"/>
      <c r="D3054" s="10">
        <f>IFERROR(__xludf.DUMMYFUNCTION("""COMPUTED_VALUE"""),45971.0)</f>
        <v>45971</v>
      </c>
      <c r="E3054" s="35" t="str">
        <f>IFERROR(__xludf.DUMMYFUNCTION("""COMPUTED_VALUE"""),"11Nov")</f>
        <v>11Nov</v>
      </c>
      <c r="F3054" s="34" t="str">
        <f>IFERROR(__xludf.DUMMYFUNCTION("""COMPUTED_VALUE"""),"2025")</f>
        <v>2025</v>
      </c>
      <c r="G3054" s="35" t="str">
        <f>IFERROR(__xludf.DUMMYFUNCTION("""COMPUTED_VALUE"""),"TAN TJHUN TIE ALS ROBERT")</f>
        <v>TAN TJHUN TIE ALS ROBERT</v>
      </c>
      <c r="H3054" s="35" t="str">
        <f>IFERROR(__xludf.DUMMYFUNCTION("""COMPUTED_VALUE"""),"T5625119994")</f>
        <v>T5625119994</v>
      </c>
      <c r="I3054" s="35">
        <f>IFERROR(__xludf.DUMMYFUNCTION("""COMPUTED_VALUE"""),70.0)</f>
        <v>70</v>
      </c>
      <c r="J3054" s="35" t="str">
        <f>IFERROR(__xludf.DUMMYFUNCTION("""COMPUTED_VALUE"""),"&gt; 44 tahun")</f>
        <v>&gt; 44 tahun</v>
      </c>
      <c r="K3054" s="21" t="str">
        <f>IFERROR(__xludf.DUMMYFUNCTION("""COMPUTED_VALUE"""),"01/03/1956")</f>
        <v>01/03/1956</v>
      </c>
      <c r="L3054" s="21" t="str">
        <f>IFERROR(__xludf.DUMMYFUNCTION("""COMPUTED_VALUE"""),"LAKI-LAKI")</f>
        <v>LAKI-LAKI</v>
      </c>
      <c r="M3054" s="35" t="str">
        <f>IFERROR(__xludf.DUMMYFUNCTION("""COMPUTED_VALUE"""),"JALAN KARYA BARU GG SAMIN NO 18A")</f>
        <v>JALAN KARYA BARU GG SAMIN NO 18A</v>
      </c>
      <c r="N3054" s="35" t="str">
        <f>IFERROR(__xludf.DUMMYFUNCTION("""COMPUTED_VALUE"""),"PARIT TOKAYA")</f>
        <v>PARIT TOKAYA</v>
      </c>
      <c r="O3054" s="35" t="str">
        <f>IFERROR(__xludf.DUMMYFUNCTION("""COMPUTED_VALUE"""),"PONTIANAK SELATAN")</f>
        <v>PONTIANAK SELATAN</v>
      </c>
      <c r="P3054" s="35" t="str">
        <f>IFERROR(__xludf.DUMMYFUNCTION("""COMPUTED_VALUE"""),"PONTIANAK")</f>
        <v>PONTIANAK</v>
      </c>
      <c r="Q3054" s="35" t="str">
        <f>IFERROR(__xludf.DUMMYFUNCTION("""COMPUTED_VALUE"""),"KALIMANTAN BARAT")</f>
        <v>KALIMANTAN BARAT</v>
      </c>
      <c r="R3054" s="21" t="str">
        <f>IFERROR(__xludf.DUMMYFUNCTION("""COMPUTED_VALUE"""),"KHONGHUCU")</f>
        <v>KHONGHUCU</v>
      </c>
      <c r="S3054" s="74" t="str">
        <f>IFERROR(__xludf.DUMMYFUNCTION("""COMPUTED_VALUE"""),"WIRASWASTA")</f>
        <v>WIRASWASTA</v>
      </c>
      <c r="T3054" s="35" t="str">
        <f>IFERROR(__xludf.DUMMYFUNCTION("""COMPUTED_VALUE"""),"TULANG BELAKANG MULAI BUNGKUK, KESEIMBANGAN KURANG BAGUS")</f>
        <v>TULANG BELAKANG MULAI BUNGKUK, KESEIMBANGAN KURANG BAGUS</v>
      </c>
      <c r="U3054" s="35" t="str">
        <f>IFERROR(__xludf.DUMMYFUNCTION("""COMPUTED_VALUE"""),"TIDAK ADA")</f>
        <v>TIDAK ADA</v>
      </c>
      <c r="V3054" s="37" t="str">
        <f>IFERROR(__xludf.DUMMYFUNCTION("""COMPUTED_VALUE"""),"085245779994")</f>
        <v>085245779994</v>
      </c>
      <c r="W3054" s="45"/>
    </row>
    <row r="3055">
      <c r="A3055" s="45"/>
      <c r="B3055" s="24" t="str">
        <f>IFERROR(__xludf.DUMMYFUNCTION("""COMPUTED_VALUE"""),"10/11/2025 18:15:32")</f>
        <v>10/11/2025 18:15:32</v>
      </c>
      <c r="C3055" s="35"/>
      <c r="D3055" s="10">
        <f>IFERROR(__xludf.DUMMYFUNCTION("""COMPUTED_VALUE"""),45971.0)</f>
        <v>45971</v>
      </c>
      <c r="E3055" s="35" t="str">
        <f>IFERROR(__xludf.DUMMYFUNCTION("""COMPUTED_VALUE"""),"11Nov")</f>
        <v>11Nov</v>
      </c>
      <c r="F3055" s="34" t="str">
        <f>IFERROR(__xludf.DUMMYFUNCTION("""COMPUTED_VALUE"""),"2025")</f>
        <v>2025</v>
      </c>
      <c r="G3055" s="35" t="str">
        <f>IFERROR(__xludf.DUMMYFUNCTION("""COMPUTED_VALUE"""),"SRI HERYANTI")</f>
        <v>SRI HERYANTI</v>
      </c>
      <c r="H3055" s="35" t="str">
        <f>IFERROR(__xludf.DUMMYFUNCTION("""COMPUTED_VALUE"""),"S6025112254")</f>
        <v>S6025112254</v>
      </c>
      <c r="I3055" s="35">
        <f>IFERROR(__xludf.DUMMYFUNCTION("""COMPUTED_VALUE"""),65.0)</f>
        <v>65</v>
      </c>
      <c r="J3055" s="35" t="str">
        <f>IFERROR(__xludf.DUMMYFUNCTION("""COMPUTED_VALUE"""),"&gt; 44 tahun")</f>
        <v>&gt; 44 tahun</v>
      </c>
      <c r="K3055" s="21" t="str">
        <f>IFERROR(__xludf.DUMMYFUNCTION("""COMPUTED_VALUE"""),"10/11/1960")</f>
        <v>10/11/1960</v>
      </c>
      <c r="L3055" s="21" t="str">
        <f>IFERROR(__xludf.DUMMYFUNCTION("""COMPUTED_VALUE"""),"PEREMPUAN")</f>
        <v>PEREMPUAN</v>
      </c>
      <c r="M3055" s="35" t="str">
        <f>IFERROR(__xludf.DUMMYFUNCTION("""COMPUTED_VALUE"""),"JL. PARIT HAJI HUSIN 2, KOMP.BALIMAS 2 NO.69")</f>
        <v>JL. PARIT HAJI HUSIN 2, KOMP.BALIMAS 2 NO.69</v>
      </c>
      <c r="N3055" s="35" t="str">
        <f>IFERROR(__xludf.DUMMYFUNCTION("""COMPUTED_VALUE"""),"BANSIR DARAT")</f>
        <v>BANSIR DARAT</v>
      </c>
      <c r="O3055" s="35" t="str">
        <f>IFERROR(__xludf.DUMMYFUNCTION("""COMPUTED_VALUE"""),"PONTIANAK TENGGARA")</f>
        <v>PONTIANAK TENGGARA</v>
      </c>
      <c r="P3055" s="35" t="str">
        <f>IFERROR(__xludf.DUMMYFUNCTION("""COMPUTED_VALUE"""),"PONTIANAK")</f>
        <v>PONTIANAK</v>
      </c>
      <c r="Q3055" s="35" t="str">
        <f>IFERROR(__xludf.DUMMYFUNCTION("""COMPUTED_VALUE"""),"KALIMANTAN BARAT")</f>
        <v>KALIMANTAN BARAT</v>
      </c>
      <c r="R3055" s="21" t="str">
        <f>IFERROR(__xludf.DUMMYFUNCTION("""COMPUTED_VALUE"""),"ISLAM")</f>
        <v>ISLAM</v>
      </c>
      <c r="S3055" s="74" t="str">
        <f>IFERROR(__xludf.DUMMYFUNCTION("""COMPUTED_VALUE"""),"PENSIUNAN")</f>
        <v>PENSIUNAN</v>
      </c>
      <c r="T3055" s="35" t="str">
        <f>IFERROR(__xludf.DUMMYFUNCTION("""COMPUTED_VALUE"""),"LUTUS SAKIT SAAT BERDIRI ATAU JALAN")</f>
        <v>LUTUS SAKIT SAAT BERDIRI ATAU JALAN</v>
      </c>
      <c r="U3055" s="35" t="str">
        <f>IFERROR(__xludf.DUMMYFUNCTION("""COMPUTED_VALUE"""),"DIRUMAH SAJA")</f>
        <v>DIRUMAH SAJA</v>
      </c>
      <c r="V3055" s="37" t="str">
        <f>IFERROR(__xludf.DUMMYFUNCTION("""COMPUTED_VALUE"""),"08125602254")</f>
        <v>08125602254</v>
      </c>
      <c r="W3055" s="45"/>
    </row>
    <row r="3056">
      <c r="A3056" s="45"/>
      <c r="B3056" s="24" t="str">
        <f>IFERROR(__xludf.DUMMYFUNCTION("""COMPUTED_VALUE"""),"11/11/2025 9:27:30")</f>
        <v>11/11/2025 9:27:30</v>
      </c>
      <c r="C3056" s="35"/>
      <c r="D3056" s="10">
        <f>IFERROR(__xludf.DUMMYFUNCTION("""COMPUTED_VALUE"""),45972.0)</f>
        <v>45972</v>
      </c>
      <c r="E3056" s="35" t="str">
        <f>IFERROR(__xludf.DUMMYFUNCTION("""COMPUTED_VALUE"""),"11Nov")</f>
        <v>11Nov</v>
      </c>
      <c r="F3056" s="34" t="str">
        <f>IFERROR(__xludf.DUMMYFUNCTION("""COMPUTED_VALUE"""),"2025")</f>
        <v>2025</v>
      </c>
      <c r="G3056" s="35" t="str">
        <f>IFERROR(__xludf.DUMMYFUNCTION("""COMPUTED_VALUE"""),"THIAM NGOEAN")</f>
        <v>THIAM NGOEAN</v>
      </c>
      <c r="H3056" s="35" t="str">
        <f>IFERROR(__xludf.DUMMYFUNCTION("""COMPUTED_VALUE"""),"T5925115260")</f>
        <v>T5925115260</v>
      </c>
      <c r="I3056" s="35">
        <f>IFERROR(__xludf.DUMMYFUNCTION("""COMPUTED_VALUE"""),67.0)</f>
        <v>67</v>
      </c>
      <c r="J3056" s="35" t="str">
        <f>IFERROR(__xludf.DUMMYFUNCTION("""COMPUTED_VALUE"""),"&gt; 44 tahun")</f>
        <v>&gt; 44 tahun</v>
      </c>
      <c r="K3056" s="21" t="str">
        <f>IFERROR(__xludf.DUMMYFUNCTION("""COMPUTED_VALUE"""),"23/03/1959")</f>
        <v>23/03/1959</v>
      </c>
      <c r="L3056" s="21" t="str">
        <f>IFERROR(__xludf.DUMMYFUNCTION("""COMPUTED_VALUE"""),"LAKI-LAKI")</f>
        <v>LAKI-LAKI</v>
      </c>
      <c r="M3056" s="35" t="str">
        <f>IFERROR(__xludf.DUMMYFUNCTION("""COMPUTED_VALUE"""),"JL. PURNAMA KOMP PURNAMA AGUNG V NO CC 9")</f>
        <v>JL. PURNAMA KOMP PURNAMA AGUNG V NO CC 9</v>
      </c>
      <c r="N3056" s="35" t="str">
        <f>IFERROR(__xludf.DUMMYFUNCTION("""COMPUTED_VALUE"""),"PARIT TOKAYA")</f>
        <v>PARIT TOKAYA</v>
      </c>
      <c r="O3056" s="35" t="str">
        <f>IFERROR(__xludf.DUMMYFUNCTION("""COMPUTED_VALUE"""),"PONTIANAK SELATAN")</f>
        <v>PONTIANAK SELATAN</v>
      </c>
      <c r="P3056" s="35" t="str">
        <f>IFERROR(__xludf.DUMMYFUNCTION("""COMPUTED_VALUE"""),"PONTIANAK")</f>
        <v>PONTIANAK</v>
      </c>
      <c r="Q3056" s="35" t="str">
        <f>IFERROR(__xludf.DUMMYFUNCTION("""COMPUTED_VALUE"""),"KALIMANTAN BARAT")</f>
        <v>KALIMANTAN BARAT</v>
      </c>
      <c r="R3056" s="21" t="str">
        <f>IFERROR(__xludf.DUMMYFUNCTION("""COMPUTED_VALUE"""),"KATOLIK")</f>
        <v>KATOLIK</v>
      </c>
      <c r="S3056" s="74" t="str">
        <f>IFERROR(__xludf.DUMMYFUNCTION("""COMPUTED_VALUE"""),"TIDAK ADA")</f>
        <v>TIDAK ADA</v>
      </c>
      <c r="T3056" s="35" t="str">
        <f>IFERROR(__xludf.DUMMYFUNCTION("""COMPUTED_VALUE"""),"BEBERAPA HARI LALU MASUK RS, DAN ADA PEMERIKSAAN DARAH DITEMUKAN HASIL ASAM URAT LUMAYAN TINGGI DI ANGKA 7,6 BEBERAPA HARI DI RS KAKI TIDAK SAKIT DAN TIDAK BENGKAK. PADA HARI SABTU PAGI MENJELANG SIANG TIBA2 KAKI KESAKITAN PARAHH DAN SEDIKIT MEMBENGKAK, S"&amp;"AMPAI HARI INI TIDAK DAPAT BERDIRI DAN BERJALAN SEJAK SAAT ITU. TP SAKITNYA BERKURANG DENGAN BANTUAN OBAT2 DARI DOKTER.")</f>
        <v>BEBERAPA HARI LALU MASUK RS, DAN ADA PEMERIKSAAN DARAH DITEMUKAN HASIL ASAM URAT LUMAYAN TINGGI DI ANGKA 7,6 BEBERAPA HARI DI RS KAKI TIDAK SAKIT DAN TIDAK BENGKAK. PADA HARI SABTU PAGI MENJELANG SIANG TIBA2 KAKI KESAKITAN PARAHH DAN SEDIKIT MEMBENGKAK, SAMPAI HARI INI TIDAK DAPAT BERDIRI DAN BERJALAN SEJAK SAAT ITU. TP SAKITNYA BERKURANG DENGAN BANTUAN OBAT2 DARI DOKTER.</v>
      </c>
      <c r="U3056" s="35" t="str">
        <f>IFERROR(__xludf.DUMMYFUNCTION("""COMPUTED_VALUE"""),"TIDAK ADA")</f>
        <v>TIDAK ADA</v>
      </c>
      <c r="V3056" s="37" t="str">
        <f>IFERROR(__xludf.DUMMYFUNCTION("""COMPUTED_VALUE"""),"08123865260")</f>
        <v>08123865260</v>
      </c>
      <c r="W3056" s="45"/>
    </row>
    <row r="3057">
      <c r="A3057" s="45"/>
      <c r="B3057" s="24" t="str">
        <f>IFERROR(__xludf.DUMMYFUNCTION("""COMPUTED_VALUE"""),"11/11/2025 10:50:17")</f>
        <v>11/11/2025 10:50:17</v>
      </c>
      <c r="C3057" s="35"/>
      <c r="D3057" s="10">
        <f>IFERROR(__xludf.DUMMYFUNCTION("""COMPUTED_VALUE"""),45972.0)</f>
        <v>45972</v>
      </c>
      <c r="E3057" s="35" t="str">
        <f>IFERROR(__xludf.DUMMYFUNCTION("""COMPUTED_VALUE"""),"11Nov")</f>
        <v>11Nov</v>
      </c>
      <c r="F3057" s="34" t="str">
        <f>IFERROR(__xludf.DUMMYFUNCTION("""COMPUTED_VALUE"""),"2025")</f>
        <v>2025</v>
      </c>
      <c r="G3057" s="35" t="str">
        <f>IFERROR(__xludf.DUMMYFUNCTION("""COMPUTED_VALUE"""),"SEBASTIAN")</f>
        <v>SEBASTIAN</v>
      </c>
      <c r="H3057" s="35" t="str">
        <f>IFERROR(__xludf.DUMMYFUNCTION("""COMPUTED_VALUE"""),"S0125117555")</f>
        <v>S0125117555</v>
      </c>
      <c r="I3057" s="35">
        <f>IFERROR(__xludf.DUMMYFUNCTION("""COMPUTED_VALUE"""),24.0)</f>
        <v>24</v>
      </c>
      <c r="J3057" s="35" t="str">
        <f>IFERROR(__xludf.DUMMYFUNCTION("""COMPUTED_VALUE"""),"18-24 tahun")</f>
        <v>18-24 tahun</v>
      </c>
      <c r="K3057" s="21" t="str">
        <f>IFERROR(__xludf.DUMMYFUNCTION("""COMPUTED_VALUE"""),"27/10/2001")</f>
        <v>27/10/2001</v>
      </c>
      <c r="L3057" s="21" t="str">
        <f>IFERROR(__xludf.DUMMYFUNCTION("""COMPUTED_VALUE"""),"LAKI-LAKI")</f>
        <v>LAKI-LAKI</v>
      </c>
      <c r="M3057" s="35" t="str">
        <f>IFERROR(__xludf.DUMMYFUNCTION("""COMPUTED_VALUE"""),"JL KENARI GOLF VIII NO.28 BGM PIK")</f>
        <v>JL KENARI GOLF VIII NO.28 BGM PIK</v>
      </c>
      <c r="N3057" s="35" t="str">
        <f>IFERROR(__xludf.DUMMYFUNCTION("""COMPUTED_VALUE"""),"KAMAL MUARA")</f>
        <v>KAMAL MUARA</v>
      </c>
      <c r="O3057" s="35" t="str">
        <f>IFERROR(__xludf.DUMMYFUNCTION("""COMPUTED_VALUE"""),"PENJARINGAN")</f>
        <v>PENJARINGAN</v>
      </c>
      <c r="P3057" s="35" t="str">
        <f>IFERROR(__xludf.DUMMYFUNCTION("""COMPUTED_VALUE"""),"JAKARTA UTARA")</f>
        <v>JAKARTA UTARA</v>
      </c>
      <c r="Q3057" s="35" t="str">
        <f>IFERROR(__xludf.DUMMYFUNCTION("""COMPUTED_VALUE"""),"DKI JAKARTA")</f>
        <v>DKI JAKARTA</v>
      </c>
      <c r="R3057" s="21" t="str">
        <f>IFERROR(__xludf.DUMMYFUNCTION("""COMPUTED_VALUE"""),"BUDDHA")</f>
        <v>BUDDHA</v>
      </c>
      <c r="S3057" s="74" t="str">
        <f>IFERROR(__xludf.DUMMYFUNCTION("""COMPUTED_VALUE"""),"SWASTA")</f>
        <v>SWASTA</v>
      </c>
      <c r="T3057" s="35" t="str">
        <f>IFERROR(__xludf.DUMMYFUNCTION("""COMPUTED_VALUE"""),"ANKLE")</f>
        <v>ANKLE</v>
      </c>
      <c r="U3057" s="35" t="str">
        <f>IFERROR(__xludf.DUMMYFUNCTION("""COMPUTED_VALUE"""),"-")</f>
        <v>-</v>
      </c>
      <c r="V3057" s="37" t="str">
        <f>IFERROR(__xludf.DUMMYFUNCTION("""COMPUTED_VALUE"""),"08174847555")</f>
        <v>08174847555</v>
      </c>
      <c r="W3057" s="45"/>
    </row>
    <row r="3058">
      <c r="A3058" s="45"/>
      <c r="B3058" s="24" t="str">
        <f>IFERROR(__xludf.DUMMYFUNCTION("""COMPUTED_VALUE"""),"11/11/2025 11:43:21")</f>
        <v>11/11/2025 11:43:21</v>
      </c>
      <c r="C3058" s="35"/>
      <c r="D3058" s="10">
        <f>IFERROR(__xludf.DUMMYFUNCTION("""COMPUTED_VALUE"""),45972.0)</f>
        <v>45972</v>
      </c>
      <c r="E3058" s="35" t="str">
        <f>IFERROR(__xludf.DUMMYFUNCTION("""COMPUTED_VALUE"""),"11Nov")</f>
        <v>11Nov</v>
      </c>
      <c r="F3058" s="34" t="str">
        <f>IFERROR(__xludf.DUMMYFUNCTION("""COMPUTED_VALUE"""),"2025")</f>
        <v>2025</v>
      </c>
      <c r="G3058" s="35" t="str">
        <f>IFERROR(__xludf.DUMMYFUNCTION("""COMPUTED_VALUE"""),"CANDY WIBOWO")</f>
        <v>CANDY WIBOWO</v>
      </c>
      <c r="H3058" s="35" t="str">
        <f>IFERROR(__xludf.DUMMYFUNCTION("""COMPUTED_VALUE"""),"C9025117272")</f>
        <v>C9025117272</v>
      </c>
      <c r="I3058" s="35">
        <f>IFERROR(__xludf.DUMMYFUNCTION("""COMPUTED_VALUE"""),35.0)</f>
        <v>35</v>
      </c>
      <c r="J3058" s="35" t="str">
        <f>IFERROR(__xludf.DUMMYFUNCTION("""COMPUTED_VALUE"""),"35-44 tahun")</f>
        <v>35-44 tahun</v>
      </c>
      <c r="K3058" s="21" t="str">
        <f>IFERROR(__xludf.DUMMYFUNCTION("""COMPUTED_VALUE"""),"22/08/1990")</f>
        <v>22/08/1990</v>
      </c>
      <c r="L3058" s="21" t="str">
        <f>IFERROR(__xludf.DUMMYFUNCTION("""COMPUTED_VALUE"""),"PEREMPUAN")</f>
        <v>PEREMPUAN</v>
      </c>
      <c r="M3058" s="35" t="str">
        <f>IFERROR(__xludf.DUMMYFUNCTION("""COMPUTED_VALUE"""),"JALAN PURNAMA 2 KOMPLEKS GLOBAL TOWNHOUSE 2 NO 99D")</f>
        <v>JALAN PURNAMA 2 KOMPLEKS GLOBAL TOWNHOUSE 2 NO 99D</v>
      </c>
      <c r="N3058" s="35" t="str">
        <f>IFERROR(__xludf.DUMMYFUNCTION("""COMPUTED_VALUE"""),"PARIT TOKAYA")</f>
        <v>PARIT TOKAYA</v>
      </c>
      <c r="O3058" s="35" t="str">
        <f>IFERROR(__xludf.DUMMYFUNCTION("""COMPUTED_VALUE"""),"PONTIANAK SELATAN")</f>
        <v>PONTIANAK SELATAN</v>
      </c>
      <c r="P3058" s="35" t="str">
        <f>IFERROR(__xludf.DUMMYFUNCTION("""COMPUTED_VALUE"""),"KOTA PONTIANAK")</f>
        <v>KOTA PONTIANAK</v>
      </c>
      <c r="Q3058" s="35" t="str">
        <f>IFERROR(__xludf.DUMMYFUNCTION("""COMPUTED_VALUE"""),"KALIMANTAN BARAT")</f>
        <v>KALIMANTAN BARAT</v>
      </c>
      <c r="R3058" s="21" t="str">
        <f>IFERROR(__xludf.DUMMYFUNCTION("""COMPUTED_VALUE"""),"PROTESTAN")</f>
        <v>PROTESTAN</v>
      </c>
      <c r="S3058" s="74" t="str">
        <f>IFERROR(__xludf.DUMMYFUNCTION("""COMPUTED_VALUE"""),"IBU RUMAH TANGGA")</f>
        <v>IBU RUMAH TANGGA</v>
      </c>
      <c r="T3058" s="35" t="str">
        <f>IFERROR(__xludf.DUMMYFUNCTION("""COMPUTED_VALUE"""),"SENDI LUTUT BERGESER")</f>
        <v>SENDI LUTUT BERGESER</v>
      </c>
      <c r="U3058" s="35" t="str">
        <f>IFERROR(__xludf.DUMMYFUNCTION("""COMPUTED_VALUE"""),"JATUH KEPELESET")</f>
        <v>JATUH KEPELESET</v>
      </c>
      <c r="V3058" s="37" t="str">
        <f>IFERROR(__xludf.DUMMYFUNCTION("""COMPUTED_VALUE"""),"08115737272")</f>
        <v>08115737272</v>
      </c>
      <c r="W3058" s="45"/>
    </row>
    <row r="3059">
      <c r="A3059" s="45"/>
      <c r="B3059" s="24" t="str">
        <f>IFERROR(__xludf.DUMMYFUNCTION("""COMPUTED_VALUE"""),"11/11/2025 13:14:46")</f>
        <v>11/11/2025 13:14:46</v>
      </c>
      <c r="C3059" s="35"/>
      <c r="D3059" s="10">
        <f>IFERROR(__xludf.DUMMYFUNCTION("""COMPUTED_VALUE"""),45972.0)</f>
        <v>45972</v>
      </c>
      <c r="E3059" s="35" t="str">
        <f>IFERROR(__xludf.DUMMYFUNCTION("""COMPUTED_VALUE"""),"11Nov")</f>
        <v>11Nov</v>
      </c>
      <c r="F3059" s="34" t="str">
        <f>IFERROR(__xludf.DUMMYFUNCTION("""COMPUTED_VALUE"""),"2025")</f>
        <v>2025</v>
      </c>
      <c r="G3059" s="35" t="str">
        <f>IFERROR(__xludf.DUMMYFUNCTION("""COMPUTED_VALUE"""),"ANDRI WIJAYA KUSUMA")</f>
        <v>ANDRI WIJAYA KUSUMA</v>
      </c>
      <c r="H3059" s="35" t="str">
        <f>IFERROR(__xludf.DUMMYFUNCTION("""COMPUTED_VALUE"""),"A8525117983")</f>
        <v>A8525117983</v>
      </c>
      <c r="I3059" s="35">
        <f>IFERROR(__xludf.DUMMYFUNCTION("""COMPUTED_VALUE"""),40.0)</f>
        <v>40</v>
      </c>
      <c r="J3059" s="35" t="str">
        <f>IFERROR(__xludf.DUMMYFUNCTION("""COMPUTED_VALUE"""),"35-44 tahun")</f>
        <v>35-44 tahun</v>
      </c>
      <c r="K3059" s="21" t="str">
        <f>IFERROR(__xludf.DUMMYFUNCTION("""COMPUTED_VALUE"""),"21/11/1985")</f>
        <v>21/11/1985</v>
      </c>
      <c r="L3059" s="21" t="str">
        <f>IFERROR(__xludf.DUMMYFUNCTION("""COMPUTED_VALUE"""),"LAKI-LAKI")</f>
        <v>LAKI-LAKI</v>
      </c>
      <c r="M3059" s="35" t="str">
        <f>IFERROR(__xludf.DUMMYFUNCTION("""COMPUTED_VALUE"""),"6171032111850002")</f>
        <v>6171032111850002</v>
      </c>
      <c r="N3059" s="35" t="str">
        <f>IFERROR(__xludf.DUMMYFUNCTION("""COMPUTED_VALUE"""),"SUNGAI JAWI LUAR")</f>
        <v>SUNGAI JAWI LUAR</v>
      </c>
      <c r="O3059" s="35" t="str">
        <f>IFERROR(__xludf.DUMMYFUNCTION("""COMPUTED_VALUE"""),"PONTIANAK BARAT")</f>
        <v>PONTIANAK BARAT</v>
      </c>
      <c r="P3059" s="35" t="str">
        <f>IFERROR(__xludf.DUMMYFUNCTION("""COMPUTED_VALUE"""),"PONTIANAK")</f>
        <v>PONTIANAK</v>
      </c>
      <c r="Q3059" s="35" t="str">
        <f>IFERROR(__xludf.DUMMYFUNCTION("""COMPUTED_VALUE"""),"KALIMANTAN BARAT")</f>
        <v>KALIMANTAN BARAT</v>
      </c>
      <c r="R3059" s="21" t="str">
        <f>IFERROR(__xludf.DUMMYFUNCTION("""COMPUTED_VALUE"""),"ISLAM")</f>
        <v>ISLAM</v>
      </c>
      <c r="S3059" s="74" t="str">
        <f>IFERROR(__xludf.DUMMYFUNCTION("""COMPUTED_VALUE"""),"SWASTA")</f>
        <v>SWASTA</v>
      </c>
      <c r="T3059" s="35" t="str">
        <f>IFERROR(__xludf.DUMMYFUNCTION("""COMPUTED_VALUE"""),"NYERI DI ENGKEL KAKI")</f>
        <v>NYERI DI ENGKEL KAKI</v>
      </c>
      <c r="U3059" s="35" t="str">
        <f>IFERROR(__xludf.DUMMYFUNCTION("""COMPUTED_VALUE"""),"MINI SOCCER")</f>
        <v>MINI SOCCER</v>
      </c>
      <c r="V3059" s="37" t="str">
        <f>IFERROR(__xludf.DUMMYFUNCTION("""COMPUTED_VALUE"""),"085252657983")</f>
        <v>085252657983</v>
      </c>
      <c r="W3059" s="45"/>
    </row>
    <row r="3060">
      <c r="A3060" s="45"/>
      <c r="B3060" s="24" t="str">
        <f>IFERROR(__xludf.DUMMYFUNCTION("""COMPUTED_VALUE"""),"11/11/2025 13:41:03")</f>
        <v>11/11/2025 13:41:03</v>
      </c>
      <c r="C3060" s="35"/>
      <c r="D3060" s="10">
        <f>IFERROR(__xludf.DUMMYFUNCTION("""COMPUTED_VALUE"""),45972.0)</f>
        <v>45972</v>
      </c>
      <c r="E3060" s="35" t="str">
        <f>IFERROR(__xludf.DUMMYFUNCTION("""COMPUTED_VALUE"""),"11Nov")</f>
        <v>11Nov</v>
      </c>
      <c r="F3060" s="34" t="str">
        <f>IFERROR(__xludf.DUMMYFUNCTION("""COMPUTED_VALUE"""),"2025")</f>
        <v>2025</v>
      </c>
      <c r="G3060" s="35" t="str">
        <f>IFERROR(__xludf.DUMMYFUNCTION("""COMPUTED_VALUE"""),"SAITA")</f>
        <v>SAITA</v>
      </c>
      <c r="H3060" s="35" t="str">
        <f>IFERROR(__xludf.DUMMYFUNCTION("""COMPUTED_VALUE"""),"S5925119334")</f>
        <v>S5925119334</v>
      </c>
      <c r="I3060" s="35">
        <f>IFERROR(__xludf.DUMMYFUNCTION("""COMPUTED_VALUE"""),67.0)</f>
        <v>67</v>
      </c>
      <c r="J3060" s="35" t="str">
        <f>IFERROR(__xludf.DUMMYFUNCTION("""COMPUTED_VALUE"""),"&gt; 44 tahun")</f>
        <v>&gt; 44 tahun</v>
      </c>
      <c r="K3060" s="21" t="str">
        <f>IFERROR(__xludf.DUMMYFUNCTION("""COMPUTED_VALUE"""),"02/02/1959")</f>
        <v>02/02/1959</v>
      </c>
      <c r="L3060" s="21" t="str">
        <f>IFERROR(__xludf.DUMMYFUNCTION("""COMPUTED_VALUE"""),"LAKI-LAKI")</f>
        <v>LAKI-LAKI</v>
      </c>
      <c r="M3060" s="35" t="str">
        <f>IFERROR(__xludf.DUMMYFUNCTION("""COMPUTED_VALUE"""),"JL PEMBANGUNAN KOMP INDAHNYA ALAM NO 2")</f>
        <v>JL PEMBANGUNAN KOMP INDAHNYA ALAM NO 2</v>
      </c>
      <c r="N3060" s="35" t="str">
        <f>IFERROR(__xludf.DUMMYFUNCTION("""COMPUTED_VALUE"""),"RENGAS KAPUAS")</f>
        <v>RENGAS KAPUAS</v>
      </c>
      <c r="O3060" s="35" t="str">
        <f>IFERROR(__xludf.DUMMYFUNCTION("""COMPUTED_VALUE"""),"SUNGAI KAKAP")</f>
        <v>SUNGAI KAKAP</v>
      </c>
      <c r="P3060" s="35" t="str">
        <f>IFERROR(__xludf.DUMMYFUNCTION("""COMPUTED_VALUE"""),"KUBU RAYA")</f>
        <v>KUBU RAYA</v>
      </c>
      <c r="Q3060" s="35" t="str">
        <f>IFERROR(__xludf.DUMMYFUNCTION("""COMPUTED_VALUE"""),"KALIMANTAN BARAT")</f>
        <v>KALIMANTAN BARAT</v>
      </c>
      <c r="R3060" s="21" t="str">
        <f>IFERROR(__xludf.DUMMYFUNCTION("""COMPUTED_VALUE"""),"ISLAM")</f>
        <v>ISLAM</v>
      </c>
      <c r="S3060" s="74" t="str">
        <f>IFERROR(__xludf.DUMMYFUNCTION("""COMPUTED_VALUE"""),"PENSIUNAN GURU")</f>
        <v>PENSIUNAN GURU</v>
      </c>
      <c r="T3060" s="35" t="str">
        <f>IFERROR(__xludf.DUMMYFUNCTION("""COMPUTED_VALUE"""),"TANGAN KIRI LEMAH KALO MENGENGAM (KAKU) KAKI KETIKA SOLAT SULIT DITEKUK SEBELUM NYA PERNAH TERKENA STRUK RINGAN DITAHUN 2015 DAN 2020")</f>
        <v>TANGAN KIRI LEMAH KALO MENGENGAM (KAKU) KAKI KETIKA SOLAT SULIT DITEKUK SEBELUM NYA PERNAH TERKENA STRUK RINGAN DITAHUN 2015 DAN 2020</v>
      </c>
      <c r="U3060" s="35" t="str">
        <f>IFERROR(__xludf.DUMMYFUNCTION("""COMPUTED_VALUE"""),"JALAN JALAN KECIL")</f>
        <v>JALAN JALAN KECIL</v>
      </c>
      <c r="V3060" s="37" t="str">
        <f>IFERROR(__xludf.DUMMYFUNCTION("""COMPUTED_VALUE"""),"082155229334")</f>
        <v>082155229334</v>
      </c>
      <c r="W3060" s="45"/>
    </row>
    <row r="3061">
      <c r="A3061" s="45"/>
      <c r="B3061" s="24" t="str">
        <f>IFERROR(__xludf.DUMMYFUNCTION("""COMPUTED_VALUE"""),"11/11/2025 18:14:24")</f>
        <v>11/11/2025 18:14:24</v>
      </c>
      <c r="C3061" s="35"/>
      <c r="D3061" s="10">
        <f>IFERROR(__xludf.DUMMYFUNCTION("""COMPUTED_VALUE"""),45972.0)</f>
        <v>45972</v>
      </c>
      <c r="E3061" s="35" t="str">
        <f>IFERROR(__xludf.DUMMYFUNCTION("""COMPUTED_VALUE"""),"11Nov")</f>
        <v>11Nov</v>
      </c>
      <c r="F3061" s="34" t="str">
        <f>IFERROR(__xludf.DUMMYFUNCTION("""COMPUTED_VALUE"""),"2025")</f>
        <v>2025</v>
      </c>
      <c r="G3061" s="35" t="str">
        <f>IFERROR(__xludf.DUMMYFUNCTION("""COMPUTED_VALUE"""),"SUSANTI 8501")</f>
        <v>SUSANTI 8501</v>
      </c>
      <c r="H3061" s="35" t="str">
        <f>IFERROR(__xludf.DUMMYFUNCTION("""COMPUTED_VALUE"""),"S8525111888")</f>
        <v>S8525111888</v>
      </c>
      <c r="I3061" s="35">
        <f>IFERROR(__xludf.DUMMYFUNCTION("""COMPUTED_VALUE"""),40.0)</f>
        <v>40</v>
      </c>
      <c r="J3061" s="35" t="str">
        <f>IFERROR(__xludf.DUMMYFUNCTION("""COMPUTED_VALUE"""),"35-44 tahun")</f>
        <v>35-44 tahun</v>
      </c>
      <c r="K3061" s="21" t="str">
        <f>IFERROR(__xludf.DUMMYFUNCTION("""COMPUTED_VALUE"""),"11/10/1985")</f>
        <v>11/10/1985</v>
      </c>
      <c r="L3061" s="21" t="str">
        <f>IFERROR(__xludf.DUMMYFUNCTION("""COMPUTED_VALUE"""),"PEREMPUAN")</f>
        <v>PEREMPUAN</v>
      </c>
      <c r="M3061" s="35" t="str">
        <f>IFERROR(__xludf.DUMMYFUNCTION("""COMPUTED_VALUE"""),"JALAN PUTRI DARA HITAM NO.27A")</f>
        <v>JALAN PUTRI DARA HITAM NO.27A</v>
      </c>
      <c r="N3061" s="35" t="str">
        <f>IFERROR(__xludf.DUMMYFUNCTION("""COMPUTED_VALUE"""),"SUI JAWI")</f>
        <v>SUI JAWI</v>
      </c>
      <c r="O3061" s="35" t="str">
        <f>IFERROR(__xludf.DUMMYFUNCTION("""COMPUTED_VALUE"""),"PONTIANAK KOTA")</f>
        <v>PONTIANAK KOTA</v>
      </c>
      <c r="P3061" s="35" t="str">
        <f>IFERROR(__xludf.DUMMYFUNCTION("""COMPUTED_VALUE"""),"PONTIANAK")</f>
        <v>PONTIANAK</v>
      </c>
      <c r="Q3061" s="35" t="str">
        <f>IFERROR(__xludf.DUMMYFUNCTION("""COMPUTED_VALUE"""),"KALIMANTAN BARAT")</f>
        <v>KALIMANTAN BARAT</v>
      </c>
      <c r="R3061" s="21" t="str">
        <f>IFERROR(__xludf.DUMMYFUNCTION("""COMPUTED_VALUE"""),"KATOLIK")</f>
        <v>KATOLIK</v>
      </c>
      <c r="S3061" s="74" t="str">
        <f>IFERROR(__xludf.DUMMYFUNCTION("""COMPUTED_VALUE"""),"IBU RT")</f>
        <v>IBU RT</v>
      </c>
      <c r="T3061" s="35" t="str">
        <f>IFERROR(__xludf.DUMMYFUNCTION("""COMPUTED_VALUE"""),"KAKI SUKA KRAM")</f>
        <v>KAKI SUKA KRAM</v>
      </c>
      <c r="U3061" s="35" t="str">
        <f>IFERROR(__xludf.DUMMYFUNCTION("""COMPUTED_VALUE"""),"OLAHRAGA")</f>
        <v>OLAHRAGA</v>
      </c>
      <c r="V3061" s="37" t="str">
        <f>IFERROR(__xludf.DUMMYFUNCTION("""COMPUTED_VALUE"""),"085245971888")</f>
        <v>085245971888</v>
      </c>
      <c r="W3061" s="45"/>
    </row>
    <row r="3062">
      <c r="A3062" s="45"/>
      <c r="B3062" s="24" t="str">
        <f>IFERROR(__xludf.DUMMYFUNCTION("""COMPUTED_VALUE"""),"12/11/2025 11:45:11")</f>
        <v>12/11/2025 11:45:11</v>
      </c>
      <c r="C3062" s="35"/>
      <c r="D3062" s="10">
        <f>IFERROR(__xludf.DUMMYFUNCTION("""COMPUTED_VALUE"""),45973.0)</f>
        <v>45973</v>
      </c>
      <c r="E3062" s="35" t="str">
        <f>IFERROR(__xludf.DUMMYFUNCTION("""COMPUTED_VALUE"""),"11Nov")</f>
        <v>11Nov</v>
      </c>
      <c r="F3062" s="34" t="str">
        <f>IFERROR(__xludf.DUMMYFUNCTION("""COMPUTED_VALUE"""),"2025")</f>
        <v>2025</v>
      </c>
      <c r="G3062" s="35" t="str">
        <f>IFERROR(__xludf.DUMMYFUNCTION("""COMPUTED_VALUE"""),"GILANG RIDHO ANANDA")</f>
        <v>GILANG RIDHO ANANDA</v>
      </c>
      <c r="H3062" s="35" t="str">
        <f>IFERROR(__xludf.DUMMYFUNCTION("""COMPUTED_VALUE"""),"G9725111612")</f>
        <v>G9725111612</v>
      </c>
      <c r="I3062" s="35">
        <f>IFERROR(__xludf.DUMMYFUNCTION("""COMPUTED_VALUE"""),29.0)</f>
        <v>29</v>
      </c>
      <c r="J3062" s="35" t="str">
        <f>IFERROR(__xludf.DUMMYFUNCTION("""COMPUTED_VALUE"""),"25-34 tahun")</f>
        <v>25-34 tahun</v>
      </c>
      <c r="K3062" s="21" t="str">
        <f>IFERROR(__xludf.DUMMYFUNCTION("""COMPUTED_VALUE"""),"22/03/1997")</f>
        <v>22/03/1997</v>
      </c>
      <c r="L3062" s="21" t="str">
        <f>IFERROR(__xludf.DUMMYFUNCTION("""COMPUTED_VALUE"""),"LAKI-LAKI")</f>
        <v>LAKI-LAKI</v>
      </c>
      <c r="M3062" s="35" t="str">
        <f>IFERROR(__xludf.DUMMYFUNCTION("""COMPUTED_VALUE"""),"JL. NIRBAYA GG. RINDANG PAPAN NO. 14")</f>
        <v>JL. NIRBAYA GG. RINDANG PAPAN NO. 14</v>
      </c>
      <c r="N3062" s="35" t="str">
        <f>IFERROR(__xludf.DUMMYFUNCTION("""COMPUTED_VALUE"""),"KOTA BARU")</f>
        <v>KOTA BARU</v>
      </c>
      <c r="O3062" s="35" t="str">
        <f>IFERROR(__xludf.DUMMYFUNCTION("""COMPUTED_VALUE"""),"PONTIANAK SELATAN")</f>
        <v>PONTIANAK SELATAN</v>
      </c>
      <c r="P3062" s="35" t="str">
        <f>IFERROR(__xludf.DUMMYFUNCTION("""COMPUTED_VALUE"""),"PONTIANAK")</f>
        <v>PONTIANAK</v>
      </c>
      <c r="Q3062" s="35" t="str">
        <f>IFERROR(__xludf.DUMMYFUNCTION("""COMPUTED_VALUE"""),"KALIMANTAN BARAT")</f>
        <v>KALIMANTAN BARAT</v>
      </c>
      <c r="R3062" s="21" t="str">
        <f>IFERROR(__xludf.DUMMYFUNCTION("""COMPUTED_VALUE"""),"ISLAM")</f>
        <v>ISLAM</v>
      </c>
      <c r="S3062" s="74" t="str">
        <f>IFERROR(__xludf.DUMMYFUNCTION("""COMPUTED_VALUE"""),"SWASTA")</f>
        <v>SWASTA</v>
      </c>
      <c r="T3062" s="35" t="str">
        <f>IFERROR(__xludf.DUMMYFUNCTION("""COMPUTED_VALUE"""),"ANKLE KIRI")</f>
        <v>ANKLE KIRI</v>
      </c>
      <c r="U3062" s="35" t="str">
        <f>IFERROR(__xludf.DUMMYFUNCTION("""COMPUTED_VALUE"""),"MAIN BASKET")</f>
        <v>MAIN BASKET</v>
      </c>
      <c r="V3062" s="37" t="str">
        <f>IFERROR(__xludf.DUMMYFUNCTION("""COMPUTED_VALUE"""),"087790011612")</f>
        <v>087790011612</v>
      </c>
      <c r="W3062" s="45"/>
    </row>
    <row r="3063">
      <c r="A3063" s="45"/>
      <c r="B3063" s="24" t="str">
        <f>IFERROR(__xludf.DUMMYFUNCTION("""COMPUTED_VALUE"""),"12/11/2025 15:49:12")</f>
        <v>12/11/2025 15:49:12</v>
      </c>
      <c r="C3063" s="35"/>
      <c r="D3063" s="10">
        <f>IFERROR(__xludf.DUMMYFUNCTION("""COMPUTED_VALUE"""),45973.0)</f>
        <v>45973</v>
      </c>
      <c r="E3063" s="35" t="str">
        <f>IFERROR(__xludf.DUMMYFUNCTION("""COMPUTED_VALUE"""),"11Nov")</f>
        <v>11Nov</v>
      </c>
      <c r="F3063" s="34" t="str">
        <f>IFERROR(__xludf.DUMMYFUNCTION("""COMPUTED_VALUE"""),"2025")</f>
        <v>2025</v>
      </c>
      <c r="G3063" s="35" t="str">
        <f>IFERROR(__xludf.DUMMYFUNCTION("""COMPUTED_VALUE"""),"YESI VERDIANTI")</f>
        <v>YESI VERDIANTI</v>
      </c>
      <c r="H3063" s="35" t="str">
        <f>IFERROR(__xludf.DUMMYFUNCTION("""COMPUTED_VALUE"""),"Y9325112254")</f>
        <v>Y9325112254</v>
      </c>
      <c r="I3063" s="35">
        <f>IFERROR(__xludf.DUMMYFUNCTION("""COMPUTED_VALUE"""),33.0)</f>
        <v>33</v>
      </c>
      <c r="J3063" s="35" t="str">
        <f>IFERROR(__xludf.DUMMYFUNCTION("""COMPUTED_VALUE"""),"25-34 tahun")</f>
        <v>25-34 tahun</v>
      </c>
      <c r="K3063" s="21" t="str">
        <f>IFERROR(__xludf.DUMMYFUNCTION("""COMPUTED_VALUE"""),"01/06/1993")</f>
        <v>01/06/1993</v>
      </c>
      <c r="L3063" s="21" t="str">
        <f>IFERROR(__xludf.DUMMYFUNCTION("""COMPUTED_VALUE"""),"PEREMPUAN")</f>
        <v>PEREMPUAN</v>
      </c>
      <c r="M3063" s="35" t="str">
        <f>IFERROR(__xludf.DUMMYFUNCTION("""COMPUTED_VALUE"""),"JL. PARIS 2 . KOMP. KEHUTANAN WANABAKTI 3 NO.8")</f>
        <v>JL. PARIS 2 . KOMP. KEHUTANAN WANABAKTI 3 NO.8</v>
      </c>
      <c r="N3063" s="35" t="str">
        <f>IFERROR(__xludf.DUMMYFUNCTION("""COMPUTED_VALUE"""),"BANGKA BELITUNG BARAT")</f>
        <v>BANGKA BELITUNG BARAT</v>
      </c>
      <c r="O3063" s="35" t="str">
        <f>IFERROR(__xludf.DUMMYFUNCTION("""COMPUTED_VALUE"""),"PONTIANAK TENGGARA")</f>
        <v>PONTIANAK TENGGARA</v>
      </c>
      <c r="P3063" s="35" t="str">
        <f>IFERROR(__xludf.DUMMYFUNCTION("""COMPUTED_VALUE"""),"KOTA PONTIANAK")</f>
        <v>KOTA PONTIANAK</v>
      </c>
      <c r="Q3063" s="35" t="str">
        <f>IFERROR(__xludf.DUMMYFUNCTION("""COMPUTED_VALUE"""),"KALIMANTAN BARAT")</f>
        <v>KALIMANTAN BARAT</v>
      </c>
      <c r="R3063" s="21" t="str">
        <f>IFERROR(__xludf.DUMMYFUNCTION("""COMPUTED_VALUE"""),"ISLAM")</f>
        <v>ISLAM</v>
      </c>
      <c r="S3063" s="74" t="str">
        <f>IFERROR(__xludf.DUMMYFUNCTION("""COMPUTED_VALUE"""),"SWASTA")</f>
        <v>SWASTA</v>
      </c>
      <c r="T3063" s="35" t="str">
        <f>IFERROR(__xludf.DUMMYFUNCTION("""COMPUTED_VALUE"""),"PINGGANG SERING NYERI")</f>
        <v>PINGGANG SERING NYERI</v>
      </c>
      <c r="U3063" s="35" t="str">
        <f>IFERROR(__xludf.DUMMYFUNCTION("""COMPUTED_VALUE"""),"OLAHRAGA")</f>
        <v>OLAHRAGA</v>
      </c>
      <c r="V3063" s="37" t="str">
        <f>IFERROR(__xludf.DUMMYFUNCTION("""COMPUTED_VALUE"""),"089619202254")</f>
        <v>089619202254</v>
      </c>
      <c r="W3063" s="45"/>
    </row>
    <row r="3064">
      <c r="A3064" s="45"/>
      <c r="B3064" s="24" t="str">
        <f>IFERROR(__xludf.DUMMYFUNCTION("""COMPUTED_VALUE"""),"13/11/2025 18:24:47")</f>
        <v>13/11/2025 18:24:47</v>
      </c>
      <c r="C3064" s="35"/>
      <c r="D3064" s="10">
        <f>IFERROR(__xludf.DUMMYFUNCTION("""COMPUTED_VALUE"""),45973.0)</f>
        <v>45973</v>
      </c>
      <c r="E3064" s="35" t="str">
        <f>IFERROR(__xludf.DUMMYFUNCTION("""COMPUTED_VALUE"""),"11Nov")</f>
        <v>11Nov</v>
      </c>
      <c r="F3064" s="34" t="str">
        <f>IFERROR(__xludf.DUMMYFUNCTION("""COMPUTED_VALUE"""),"2025")</f>
        <v>2025</v>
      </c>
      <c r="G3064" s="35" t="str">
        <f>IFERROR(__xludf.DUMMYFUNCTION("""COMPUTED_VALUE"""),"FREDY TANDIONO")</f>
        <v>FREDY TANDIONO</v>
      </c>
      <c r="H3064" s="35" t="str">
        <f>IFERROR(__xludf.DUMMYFUNCTION("""COMPUTED_VALUE"""),"F8125119889")</f>
        <v>F8125119889</v>
      </c>
      <c r="I3064" s="35">
        <f>IFERROR(__xludf.DUMMYFUNCTION("""COMPUTED_VALUE"""),45.0)</f>
        <v>45</v>
      </c>
      <c r="J3064" s="35" t="str">
        <f>IFERROR(__xludf.DUMMYFUNCTION("""COMPUTED_VALUE"""),"&gt; 44 tahun")</f>
        <v>&gt; 44 tahun</v>
      </c>
      <c r="K3064" s="21" t="str">
        <f>IFERROR(__xludf.DUMMYFUNCTION("""COMPUTED_VALUE"""),"25/04/1981")</f>
        <v>25/04/1981</v>
      </c>
      <c r="L3064" s="21" t="str">
        <f>IFERROR(__xludf.DUMMYFUNCTION("""COMPUTED_VALUE"""),"LAKI-LAKI")</f>
        <v>LAKI-LAKI</v>
      </c>
      <c r="M3064" s="35" t="str">
        <f>IFERROR(__xludf.DUMMYFUNCTION("""COMPUTED_VALUE"""),"JL. PURNAMA, KOMP. PURNAMA SEMPURNA NO. B2")</f>
        <v>JL. PURNAMA, KOMP. PURNAMA SEMPURNA NO. B2</v>
      </c>
      <c r="N3064" s="35" t="str">
        <f>IFERROR(__xludf.DUMMYFUNCTION("""COMPUTED_VALUE"""),"AKCAYA")</f>
        <v>AKCAYA</v>
      </c>
      <c r="O3064" s="35" t="str">
        <f>IFERROR(__xludf.DUMMYFUNCTION("""COMPUTED_VALUE"""),"PONTIANAK SELATAN")</f>
        <v>PONTIANAK SELATAN</v>
      </c>
      <c r="P3064" s="35" t="str">
        <f>IFERROR(__xludf.DUMMYFUNCTION("""COMPUTED_VALUE"""),"PONTIANAK")</f>
        <v>PONTIANAK</v>
      </c>
      <c r="Q3064" s="35" t="str">
        <f>IFERROR(__xludf.DUMMYFUNCTION("""COMPUTED_VALUE"""),"KAL-BAR")</f>
        <v>KAL-BAR</v>
      </c>
      <c r="R3064" s="21" t="str">
        <f>IFERROR(__xludf.DUMMYFUNCTION("""COMPUTED_VALUE"""),"BUDDHA")</f>
        <v>BUDDHA</v>
      </c>
      <c r="S3064" s="74" t="str">
        <f>IFERROR(__xludf.DUMMYFUNCTION("""COMPUTED_VALUE"""),"WIRASWASTA")</f>
        <v>WIRASWASTA</v>
      </c>
      <c r="T3064" s="35" t="str">
        <f>IFERROR(__xludf.DUMMYFUNCTION("""COMPUTED_VALUE"""),"NYERI PADA LUTUT DAN TUMIT")</f>
        <v>NYERI PADA LUTUT DAN TUMIT</v>
      </c>
      <c r="U3064" s="35" t="str">
        <f>IFERROR(__xludf.DUMMYFUNCTION("""COMPUTED_VALUE"""),"MUAYTHAI SEMINGGU 2 KALI")</f>
        <v>MUAYTHAI SEMINGGU 2 KALI</v>
      </c>
      <c r="V3064" s="37" t="str">
        <f>IFERROR(__xludf.DUMMYFUNCTION("""COMPUTED_VALUE"""),"085386739889")</f>
        <v>085386739889</v>
      </c>
      <c r="W3064" s="45"/>
    </row>
    <row r="3065">
      <c r="A3065" s="45"/>
      <c r="B3065" s="24" t="str">
        <f>IFERROR(__xludf.DUMMYFUNCTION("""COMPUTED_VALUE"""),"13/11/2025 21:12:26")</f>
        <v>13/11/2025 21:12:26</v>
      </c>
      <c r="C3065" s="35"/>
      <c r="D3065" s="10">
        <f>IFERROR(__xludf.DUMMYFUNCTION("""COMPUTED_VALUE"""),45974.0)</f>
        <v>45974</v>
      </c>
      <c r="E3065" s="35" t="str">
        <f>IFERROR(__xludf.DUMMYFUNCTION("""COMPUTED_VALUE"""),"11Nov")</f>
        <v>11Nov</v>
      </c>
      <c r="F3065" s="34" t="str">
        <f>IFERROR(__xludf.DUMMYFUNCTION("""COMPUTED_VALUE"""),"2025")</f>
        <v>2025</v>
      </c>
      <c r="G3065" s="35" t="str">
        <f>IFERROR(__xludf.DUMMYFUNCTION("""COMPUTED_VALUE"""),"STEVANI")</f>
        <v>STEVANI</v>
      </c>
      <c r="H3065" s="35" t="str">
        <f>IFERROR(__xludf.DUMMYFUNCTION("""COMPUTED_VALUE"""),"S0325118209")</f>
        <v>S0325118209</v>
      </c>
      <c r="I3065" s="35">
        <f>IFERROR(__xludf.DUMMYFUNCTION("""COMPUTED_VALUE"""),23.0)</f>
        <v>23</v>
      </c>
      <c r="J3065" s="35" t="str">
        <f>IFERROR(__xludf.DUMMYFUNCTION("""COMPUTED_VALUE"""),"18-24 tahun")</f>
        <v>18-24 tahun</v>
      </c>
      <c r="K3065" s="21" t="str">
        <f>IFERROR(__xludf.DUMMYFUNCTION("""COMPUTED_VALUE"""),"31/05/2003")</f>
        <v>31/05/2003</v>
      </c>
      <c r="L3065" s="21" t="str">
        <f>IFERROR(__xludf.DUMMYFUNCTION("""COMPUTED_VALUE"""),"PEREMPUAN")</f>
        <v>PEREMPUAN</v>
      </c>
      <c r="M3065" s="35" t="str">
        <f>IFERROR(__xludf.DUMMYFUNCTION("""COMPUTED_VALUE"""),"JL. HIJAS NO. 138")</f>
        <v>JL. HIJAS NO. 138</v>
      </c>
      <c r="N3065" s="35" t="str">
        <f>IFERROR(__xludf.DUMMYFUNCTION("""COMPUTED_VALUE"""),"BENUA MELAYU DARAT")</f>
        <v>BENUA MELAYU DARAT</v>
      </c>
      <c r="O3065" s="35" t="str">
        <f>IFERROR(__xludf.DUMMYFUNCTION("""COMPUTED_VALUE"""),"PONTIANAK SELATAN")</f>
        <v>PONTIANAK SELATAN</v>
      </c>
      <c r="P3065" s="35" t="str">
        <f>IFERROR(__xludf.DUMMYFUNCTION("""COMPUTED_VALUE"""),"KOTA PONTIANAK")</f>
        <v>KOTA PONTIANAK</v>
      </c>
      <c r="Q3065" s="35" t="str">
        <f>IFERROR(__xludf.DUMMYFUNCTION("""COMPUTED_VALUE"""),"KALIMANTAN BARAT")</f>
        <v>KALIMANTAN BARAT</v>
      </c>
      <c r="R3065" s="21" t="str">
        <f>IFERROR(__xludf.DUMMYFUNCTION("""COMPUTED_VALUE"""),"BUDDHA")</f>
        <v>BUDDHA</v>
      </c>
      <c r="S3065" s="74" t="str">
        <f>IFERROR(__xludf.DUMMYFUNCTION("""COMPUTED_VALUE"""),"ADMIN")</f>
        <v>ADMIN</v>
      </c>
      <c r="T3065" s="35" t="str">
        <f>IFERROR(__xludf.DUMMYFUNCTION("""COMPUTED_VALUE"""),"SKOLIOSIS")</f>
        <v>SKOLIOSIS</v>
      </c>
      <c r="U3065" s="35" t="str">
        <f>IFERROR(__xludf.DUMMYFUNCTION("""COMPUTED_VALUE"""),"DUDUK LAMA SAAT BEKERJA, GYM")</f>
        <v>DUDUK LAMA SAAT BEKERJA, GYM</v>
      </c>
      <c r="V3065" s="37" t="str">
        <f>IFERROR(__xludf.DUMMYFUNCTION("""COMPUTED_VALUE"""),"082158988209")</f>
        <v>082158988209</v>
      </c>
      <c r="W3065" s="45"/>
    </row>
    <row r="3066">
      <c r="A3066" s="45"/>
      <c r="B3066" s="24" t="str">
        <f>IFERROR(__xludf.DUMMYFUNCTION("""COMPUTED_VALUE"""),"14/11/2025 15:19:24")</f>
        <v>14/11/2025 15:19:24</v>
      </c>
      <c r="C3066" s="35"/>
      <c r="D3066" s="10">
        <f>IFERROR(__xludf.DUMMYFUNCTION("""COMPUTED_VALUE"""),45975.0)</f>
        <v>45975</v>
      </c>
      <c r="E3066" s="35" t="str">
        <f>IFERROR(__xludf.DUMMYFUNCTION("""COMPUTED_VALUE"""),"11Nov")</f>
        <v>11Nov</v>
      </c>
      <c r="F3066" s="34" t="str">
        <f>IFERROR(__xludf.DUMMYFUNCTION("""COMPUTED_VALUE"""),"2025")</f>
        <v>2025</v>
      </c>
      <c r="G3066" s="35" t="str">
        <f>IFERROR(__xludf.DUMMYFUNCTION("""COMPUTED_VALUE"""),"M IQBAL")</f>
        <v>M IQBAL</v>
      </c>
      <c r="H3066" s="35" t="str">
        <f>IFERROR(__xludf.DUMMYFUNCTION("""COMPUTED_VALUE"""),"M0425114646")</f>
        <v>M0425114646</v>
      </c>
      <c r="I3066" s="35">
        <f>IFERROR(__xludf.DUMMYFUNCTION("""COMPUTED_VALUE"""),21.0)</f>
        <v>21</v>
      </c>
      <c r="J3066" s="35" t="str">
        <f>IFERROR(__xludf.DUMMYFUNCTION("""COMPUTED_VALUE"""),"18-24 tahun")</f>
        <v>18-24 tahun</v>
      </c>
      <c r="K3066" s="21">
        <f>IFERROR(__xludf.DUMMYFUNCTION("""COMPUTED_VALUE"""),38313.0)</f>
        <v>38313</v>
      </c>
      <c r="L3066" s="21" t="str">
        <f>IFERROR(__xludf.DUMMYFUNCTION("""COMPUTED_VALUE"""),"LAKI-LAKI")</f>
        <v>LAKI-LAKI</v>
      </c>
      <c r="M3066" s="35" t="str">
        <f>IFERROR(__xludf.DUMMYFUNCTION("""COMPUTED_VALUE"""),"JL.H.RAIS A. RAHMAN GG SELAMAT 1 DALAM NO 69A")</f>
        <v>JL.H.RAIS A. RAHMAN GG SELAMAT 1 DALAM NO 69A</v>
      </c>
      <c r="N3066" s="35" t="str">
        <f>IFERROR(__xludf.DUMMYFUNCTION("""COMPUTED_VALUE"""),"SUNGAIJAWI DALAM")</f>
        <v>SUNGAIJAWI DALAM</v>
      </c>
      <c r="O3066" s="35" t="str">
        <f>IFERROR(__xludf.DUMMYFUNCTION("""COMPUTED_VALUE"""),"PONTIANAK BARAT")</f>
        <v>PONTIANAK BARAT</v>
      </c>
      <c r="P3066" s="35" t="str">
        <f>IFERROR(__xludf.DUMMYFUNCTION("""COMPUTED_VALUE"""),"PONTIANAK BARAT")</f>
        <v>PONTIANAK BARAT</v>
      </c>
      <c r="Q3066" s="35" t="str">
        <f>IFERROR(__xludf.DUMMYFUNCTION("""COMPUTED_VALUE"""),"KALIMANTAN BARAT")</f>
        <v>KALIMANTAN BARAT</v>
      </c>
      <c r="R3066" s="21" t="str">
        <f>IFERROR(__xludf.DUMMYFUNCTION("""COMPUTED_VALUE"""),"ISLAM")</f>
        <v>ISLAM</v>
      </c>
      <c r="S3066" s="74" t="str">
        <f>IFERROR(__xludf.DUMMYFUNCTION("""COMPUTED_VALUE"""),"BELUM BERKERJA")</f>
        <v>BELUM BERKERJA</v>
      </c>
      <c r="T3066" s="35" t="str">
        <f>IFERROR(__xludf.DUMMYFUNCTION("""COMPUTED_VALUE"""),"SAKIT DARI BOKONG SAMPAI KE LUTUT")</f>
        <v>SAKIT DARI BOKONG SAMPAI KE LUTUT</v>
      </c>
      <c r="U3066" s="35" t="str">
        <f>IFERROR(__xludf.DUMMYFUNCTION("""COMPUTED_VALUE"""),"FUTSAL DAN KULIAH")</f>
        <v>FUTSAL DAN KULIAH</v>
      </c>
      <c r="V3066" s="37" t="str">
        <f>IFERROR(__xludf.DUMMYFUNCTION("""COMPUTED_VALUE"""),"089653064646")</f>
        <v>089653064646</v>
      </c>
      <c r="W3066" s="45"/>
    </row>
    <row r="3067">
      <c r="A3067" s="45"/>
      <c r="B3067" s="24" t="str">
        <f>IFERROR(__xludf.DUMMYFUNCTION("""COMPUTED_VALUE"""),"15/11/2025 6:05:04")</f>
        <v>15/11/2025 6:05:04</v>
      </c>
      <c r="C3067" s="35"/>
      <c r="D3067" s="10">
        <f>IFERROR(__xludf.DUMMYFUNCTION("""COMPUTED_VALUE"""),45976.0)</f>
        <v>45976</v>
      </c>
      <c r="E3067" s="35" t="str">
        <f>IFERROR(__xludf.DUMMYFUNCTION("""COMPUTED_VALUE"""),"11Nov")</f>
        <v>11Nov</v>
      </c>
      <c r="F3067" s="34" t="str">
        <f>IFERROR(__xludf.DUMMYFUNCTION("""COMPUTED_VALUE"""),"2025")</f>
        <v>2025</v>
      </c>
      <c r="G3067" s="35" t="str">
        <f>IFERROR(__xludf.DUMMYFUNCTION("""COMPUTED_VALUE"""),"NAJWA NUR AZWINA")</f>
        <v>NAJWA NUR AZWINA</v>
      </c>
      <c r="H3067" s="35" t="str">
        <f>IFERROR(__xludf.DUMMYFUNCTION("""COMPUTED_VALUE"""),"N0725118277")</f>
        <v>N0725118277</v>
      </c>
      <c r="I3067" s="35">
        <f>IFERROR(__xludf.DUMMYFUNCTION("""COMPUTED_VALUE"""),18.0)</f>
        <v>18</v>
      </c>
      <c r="J3067" s="35" t="str">
        <f>IFERROR(__xludf.DUMMYFUNCTION("""COMPUTED_VALUE"""),"&lt; 18 tahun")</f>
        <v>&lt; 18 tahun</v>
      </c>
      <c r="K3067" s="21" t="str">
        <f>IFERROR(__xludf.DUMMYFUNCTION("""COMPUTED_VALUE"""),"04/08/2007")</f>
        <v>04/08/2007</v>
      </c>
      <c r="L3067" s="21" t="str">
        <f>IFERROR(__xludf.DUMMYFUNCTION("""COMPUTED_VALUE"""),"PEREMPUAN")</f>
        <v>PEREMPUAN</v>
      </c>
      <c r="M3067" s="35" t="str">
        <f>IFERROR(__xludf.DUMMYFUNCTION("""COMPUTED_VALUE"""),"JL KACANG GG. PADI NO. 92")</f>
        <v>JL KACANG GG. PADI NO. 92</v>
      </c>
      <c r="N3067" s="35" t="str">
        <f>IFERROR(__xludf.DUMMYFUNCTION("""COMPUTED_VALUE"""),"SEKIP LAMA")</f>
        <v>SEKIP LAMA</v>
      </c>
      <c r="O3067" s="35" t="str">
        <f>IFERROR(__xludf.DUMMYFUNCTION("""COMPUTED_VALUE"""),"SINGKAWANG TENGAH")</f>
        <v>SINGKAWANG TENGAH</v>
      </c>
      <c r="P3067" s="35" t="str">
        <f>IFERROR(__xludf.DUMMYFUNCTION("""COMPUTED_VALUE"""),"KOTA SINGKAWANG")</f>
        <v>KOTA SINGKAWANG</v>
      </c>
      <c r="Q3067" s="35" t="str">
        <f>IFERROR(__xludf.DUMMYFUNCTION("""COMPUTED_VALUE"""),"KALIMANTAN BARAT")</f>
        <v>KALIMANTAN BARAT</v>
      </c>
      <c r="R3067" s="21" t="str">
        <f>IFERROR(__xludf.DUMMYFUNCTION("""COMPUTED_VALUE"""),"ISLAM")</f>
        <v>ISLAM</v>
      </c>
      <c r="S3067" s="74" t="str">
        <f>IFERROR(__xludf.DUMMYFUNCTION("""COMPUTED_VALUE"""),"MAHASISWA")</f>
        <v>MAHASISWA</v>
      </c>
      <c r="T3067" s="35" t="str">
        <f>IFERROR(__xludf.DUMMYFUNCTION("""COMPUTED_VALUE"""),"SETELAH OPERASI PENGANGKATAN HEMANGIOMA PADA KAKI KANAN, KAKI BELUM BISA LURUS SEMPURNA")</f>
        <v>SETELAH OPERASI PENGANGKATAN HEMANGIOMA PADA KAKI KANAN, KAKI BELUM BISA LURUS SEMPURNA</v>
      </c>
      <c r="U3067" s="35" t="str">
        <f>IFERROR(__xludf.DUMMYFUNCTION("""COMPUTED_VALUE"""),"NAIK TURUN TANGGA DI KAMPUS")</f>
        <v>NAIK TURUN TANGGA DI KAMPUS</v>
      </c>
      <c r="V3067" s="37" t="str">
        <f>IFERROR(__xludf.DUMMYFUNCTION("""COMPUTED_VALUE"""),"082158378277")</f>
        <v>082158378277</v>
      </c>
      <c r="W3067" s="45"/>
    </row>
    <row r="3068">
      <c r="A3068" s="45"/>
      <c r="B3068" s="24" t="str">
        <f>IFERROR(__xludf.DUMMYFUNCTION("""COMPUTED_VALUE"""),"15/11/2025 7:13:17")</f>
        <v>15/11/2025 7:13:17</v>
      </c>
      <c r="C3068" s="35"/>
      <c r="D3068" s="10">
        <f>IFERROR(__xludf.DUMMYFUNCTION("""COMPUTED_VALUE"""),45976.0)</f>
        <v>45976</v>
      </c>
      <c r="E3068" s="35" t="str">
        <f>IFERROR(__xludf.DUMMYFUNCTION("""COMPUTED_VALUE"""),"11Nov")</f>
        <v>11Nov</v>
      </c>
      <c r="F3068" s="34" t="str">
        <f>IFERROR(__xludf.DUMMYFUNCTION("""COMPUTED_VALUE"""),"2025")</f>
        <v>2025</v>
      </c>
      <c r="G3068" s="35" t="str">
        <f>IFERROR(__xludf.DUMMYFUNCTION("""COMPUTED_VALUE"""),"AZMI 8804")</f>
        <v>AZMI 8804</v>
      </c>
      <c r="H3068" s="35" t="str">
        <f>IFERROR(__xludf.DUMMYFUNCTION("""COMPUTED_VALUE"""),"A8825114554")</f>
        <v>A8825114554</v>
      </c>
      <c r="I3068" s="35">
        <f>IFERROR(__xludf.DUMMYFUNCTION("""COMPUTED_VALUE"""),38.0)</f>
        <v>38</v>
      </c>
      <c r="J3068" s="35" t="str">
        <f>IFERROR(__xludf.DUMMYFUNCTION("""COMPUTED_VALUE"""),"35-44 tahun")</f>
        <v>35-44 tahun</v>
      </c>
      <c r="K3068" s="21" t="str">
        <f>IFERROR(__xludf.DUMMYFUNCTION("""COMPUTED_VALUE"""),"27/04/1988")</f>
        <v>27/04/1988</v>
      </c>
      <c r="L3068" s="21" t="str">
        <f>IFERROR(__xludf.DUMMYFUNCTION("""COMPUTED_VALUE"""),"LAKI-LAKI")</f>
        <v>LAKI-LAKI</v>
      </c>
      <c r="M3068" s="35" t="str">
        <f>IFERROR(__xludf.DUMMYFUNCTION("""COMPUTED_VALUE"""),"JL. CIRATA 2 BLOK D NO 4 BUANARISMA, BEKASI BARAT, BEKASI, JAWA BARAT")</f>
        <v>JL. CIRATA 2 BLOK D NO 4 BUANARISMA, BEKASI BARAT, BEKASI, JAWA BARAT</v>
      </c>
      <c r="N3068" s="35" t="str">
        <f>IFERROR(__xludf.DUMMYFUNCTION("""COMPUTED_VALUE"""),"JAKASAMPURNA")</f>
        <v>JAKASAMPURNA</v>
      </c>
      <c r="O3068" s="35" t="str">
        <f>IFERROR(__xludf.DUMMYFUNCTION("""COMPUTED_VALUE"""),"BEKASI BARAT")</f>
        <v>BEKASI BARAT</v>
      </c>
      <c r="P3068" s="35" t="str">
        <f>IFERROR(__xludf.DUMMYFUNCTION("""COMPUTED_VALUE"""),"KOTA BEKASI")</f>
        <v>KOTA BEKASI</v>
      </c>
      <c r="Q3068" s="35" t="str">
        <f>IFERROR(__xludf.DUMMYFUNCTION("""COMPUTED_VALUE"""),"JAWA BARAT")</f>
        <v>JAWA BARAT</v>
      </c>
      <c r="R3068" s="21" t="str">
        <f>IFERROR(__xludf.DUMMYFUNCTION("""COMPUTED_VALUE"""),"ISLAM")</f>
        <v>ISLAM</v>
      </c>
      <c r="S3068" s="74" t="str">
        <f>IFERROR(__xludf.DUMMYFUNCTION("""COMPUTED_VALUE"""),"FOOTBALL AGENT")</f>
        <v>FOOTBALL AGENT</v>
      </c>
      <c r="T3068" s="35" t="str">
        <f>IFERROR(__xludf.DUMMYFUNCTION("""COMPUTED_VALUE"""),"LUTUT KIRI SAKIT SAAT DI TEKUK")</f>
        <v>LUTUT KIRI SAKIT SAAT DI TEKUK</v>
      </c>
      <c r="U3068" s="35" t="str">
        <f>IFERROR(__xludf.DUMMYFUNCTION("""COMPUTED_VALUE"""),"SEPAKBOLA")</f>
        <v>SEPAKBOLA</v>
      </c>
      <c r="V3068" s="37" t="str">
        <f>IFERROR(__xludf.DUMMYFUNCTION("""COMPUTED_VALUE"""),"085718194554")</f>
        <v>085718194554</v>
      </c>
      <c r="W3068" s="45"/>
    </row>
    <row r="3069">
      <c r="A3069" s="45"/>
      <c r="B3069" s="24" t="str">
        <f>IFERROR(__xludf.DUMMYFUNCTION("""COMPUTED_VALUE"""),"15/11/2025 10:19:06")</f>
        <v>15/11/2025 10:19:06</v>
      </c>
      <c r="C3069" s="35"/>
      <c r="D3069" s="10">
        <f>IFERROR(__xludf.DUMMYFUNCTION("""COMPUTED_VALUE"""),45976.0)</f>
        <v>45976</v>
      </c>
      <c r="E3069" s="35" t="str">
        <f>IFERROR(__xludf.DUMMYFUNCTION("""COMPUTED_VALUE"""),"11Nov")</f>
        <v>11Nov</v>
      </c>
      <c r="F3069" s="34" t="str">
        <f>IFERROR(__xludf.DUMMYFUNCTION("""COMPUTED_VALUE"""),"2025")</f>
        <v>2025</v>
      </c>
      <c r="G3069" s="35" t="str">
        <f>IFERROR(__xludf.DUMMYFUNCTION("""COMPUTED_VALUE"""),"MUHAMMAD DHUHA KUSUMA")</f>
        <v>MUHAMMAD DHUHA KUSUMA</v>
      </c>
      <c r="H3069" s="35" t="str">
        <f>IFERROR(__xludf.DUMMYFUNCTION("""COMPUTED_VALUE"""),"M0325114391")</f>
        <v>M0325114391</v>
      </c>
      <c r="I3069" s="35">
        <f>IFERROR(__xludf.DUMMYFUNCTION("""COMPUTED_VALUE"""),22.0)</f>
        <v>22</v>
      </c>
      <c r="J3069" s="35" t="str">
        <f>IFERROR(__xludf.DUMMYFUNCTION("""COMPUTED_VALUE"""),"18-24 tahun")</f>
        <v>18-24 tahun</v>
      </c>
      <c r="K3069" s="21" t="str">
        <f>IFERROR(__xludf.DUMMYFUNCTION("""COMPUTED_VALUE"""),"02/10/2003")</f>
        <v>02/10/2003</v>
      </c>
      <c r="L3069" s="21" t="str">
        <f>IFERROR(__xludf.DUMMYFUNCTION("""COMPUTED_VALUE"""),"LAKI-LAKI")</f>
        <v>LAKI-LAKI</v>
      </c>
      <c r="M3069" s="35" t="str">
        <f>IFERROR(__xludf.DUMMYFUNCTION("""COMPUTED_VALUE"""),"DUSUN MEKAR SARI II")</f>
        <v>DUSUN MEKAR SARI II</v>
      </c>
      <c r="N3069" s="35" t="str">
        <f>IFERROR(__xludf.DUMMYFUNCTION("""COMPUTED_VALUE"""),"PAAL")</f>
        <v>PAAL</v>
      </c>
      <c r="O3069" s="35" t="str">
        <f>IFERROR(__xludf.DUMMYFUNCTION("""COMPUTED_VALUE"""),"NANGA PINOH")</f>
        <v>NANGA PINOH</v>
      </c>
      <c r="P3069" s="35" t="str">
        <f>IFERROR(__xludf.DUMMYFUNCTION("""COMPUTED_VALUE"""),"MELAWI")</f>
        <v>MELAWI</v>
      </c>
      <c r="Q3069" s="35" t="str">
        <f>IFERROR(__xludf.DUMMYFUNCTION("""COMPUTED_VALUE"""),"KALBAR")</f>
        <v>KALBAR</v>
      </c>
      <c r="R3069" s="21" t="str">
        <f>IFERROR(__xludf.DUMMYFUNCTION("""COMPUTED_VALUE"""),"ISLAM")</f>
        <v>ISLAM</v>
      </c>
      <c r="S3069" s="74" t="str">
        <f>IFERROR(__xludf.DUMMYFUNCTION("""COMPUTED_VALUE"""),"MAHASISWA")</f>
        <v>MAHASISWA</v>
      </c>
      <c r="T3069" s="35" t="str">
        <f>IFERROR(__xludf.DUMMYFUNCTION("""COMPUTED_VALUE"""),"BAHU KIRI NYERI")</f>
        <v>BAHU KIRI NYERI</v>
      </c>
      <c r="U3069" s="35" t="str">
        <f>IFERROR(__xludf.DUMMYFUNCTION("""COMPUTED_VALUE"""),"PULL UP")</f>
        <v>PULL UP</v>
      </c>
      <c r="V3069" s="37" t="str">
        <f>IFERROR(__xludf.DUMMYFUNCTION("""COMPUTED_VALUE"""),"082157744391")</f>
        <v>082157744391</v>
      </c>
      <c r="W3069" s="45"/>
    </row>
    <row r="3070">
      <c r="A3070" s="45"/>
      <c r="B3070" s="24" t="str">
        <f>IFERROR(__xludf.DUMMYFUNCTION("""COMPUTED_VALUE"""),"15/11/2025 10:20:42")</f>
        <v>15/11/2025 10:20:42</v>
      </c>
      <c r="C3070" s="35"/>
      <c r="D3070" s="10">
        <f>IFERROR(__xludf.DUMMYFUNCTION("""COMPUTED_VALUE"""),45976.0)</f>
        <v>45976</v>
      </c>
      <c r="E3070" s="35" t="str">
        <f>IFERROR(__xludf.DUMMYFUNCTION("""COMPUTED_VALUE"""),"11Nov")</f>
        <v>11Nov</v>
      </c>
      <c r="F3070" s="34" t="str">
        <f>IFERROR(__xludf.DUMMYFUNCTION("""COMPUTED_VALUE"""),"2025")</f>
        <v>2025</v>
      </c>
      <c r="G3070" s="35" t="str">
        <f>IFERROR(__xludf.DUMMYFUNCTION("""COMPUTED_VALUE"""),"MINARWATY")</f>
        <v>MINARWATY</v>
      </c>
      <c r="H3070" s="35" t="str">
        <f>IFERROR(__xludf.DUMMYFUNCTION("""COMPUTED_VALUE"""),"M7525114704")</f>
        <v>M7525114704</v>
      </c>
      <c r="I3070" s="35">
        <f>IFERROR(__xludf.DUMMYFUNCTION("""COMPUTED_VALUE"""),51.0)</f>
        <v>51</v>
      </c>
      <c r="J3070" s="35" t="str">
        <f>IFERROR(__xludf.DUMMYFUNCTION("""COMPUTED_VALUE"""),"&gt; 44 tahun")</f>
        <v>&gt; 44 tahun</v>
      </c>
      <c r="K3070" s="21" t="str">
        <f>IFERROR(__xludf.DUMMYFUNCTION("""COMPUTED_VALUE"""),"24/05/1975")</f>
        <v>24/05/1975</v>
      </c>
      <c r="L3070" s="21" t="str">
        <f>IFERROR(__xludf.DUMMYFUNCTION("""COMPUTED_VALUE"""),"PEREMPUAN")</f>
        <v>PEREMPUAN</v>
      </c>
      <c r="M3070" s="35" t="str">
        <f>IFERROR(__xludf.DUMMYFUNCTION("""COMPUTED_VALUE"""),"DUSUN MEKAR SARI II")</f>
        <v>DUSUN MEKAR SARI II</v>
      </c>
      <c r="N3070" s="35" t="str">
        <f>IFERROR(__xludf.DUMMYFUNCTION("""COMPUTED_VALUE"""),"PAAL")</f>
        <v>PAAL</v>
      </c>
      <c r="O3070" s="35" t="str">
        <f>IFERROR(__xludf.DUMMYFUNCTION("""COMPUTED_VALUE"""),"NANGA PINOH")</f>
        <v>NANGA PINOH</v>
      </c>
      <c r="P3070" s="35" t="str">
        <f>IFERROR(__xludf.DUMMYFUNCTION("""COMPUTED_VALUE"""),"MELWI")</f>
        <v>MELWI</v>
      </c>
      <c r="Q3070" s="35" t="str">
        <f>IFERROR(__xludf.DUMMYFUNCTION("""COMPUTED_VALUE"""),"KALBAR")</f>
        <v>KALBAR</v>
      </c>
      <c r="R3070" s="21" t="str">
        <f>IFERROR(__xludf.DUMMYFUNCTION("""COMPUTED_VALUE"""),"ISLAM")</f>
        <v>ISLAM</v>
      </c>
      <c r="S3070" s="74" t="str">
        <f>IFERROR(__xludf.DUMMYFUNCTION("""COMPUTED_VALUE"""),"PNS")</f>
        <v>PNS</v>
      </c>
      <c r="T3070" s="35" t="str">
        <f>IFERROR(__xludf.DUMMYFUNCTION("""COMPUTED_VALUE"""),"PINGGANG NYERI")</f>
        <v>PINGGANG NYERI</v>
      </c>
      <c r="U3070" s="35" t="str">
        <f>IFERROR(__xludf.DUMMYFUNCTION("""COMPUTED_VALUE"""),"DUDUK LAMA")</f>
        <v>DUDUK LAMA</v>
      </c>
      <c r="V3070" s="37" t="str">
        <f>IFERROR(__xludf.DUMMYFUNCTION("""COMPUTED_VALUE"""),"081345554704")</f>
        <v>081345554704</v>
      </c>
      <c r="W3070" s="45"/>
    </row>
    <row r="3071">
      <c r="A3071" s="45"/>
      <c r="B3071" s="24" t="str">
        <f>IFERROR(__xludf.DUMMYFUNCTION("""COMPUTED_VALUE"""),"15/11/2025 10:21:05")</f>
        <v>15/11/2025 10:21:05</v>
      </c>
      <c r="C3071" s="35"/>
      <c r="D3071" s="10">
        <f>IFERROR(__xludf.DUMMYFUNCTION("""COMPUTED_VALUE"""),45976.0)</f>
        <v>45976</v>
      </c>
      <c r="E3071" s="35" t="str">
        <f>IFERROR(__xludf.DUMMYFUNCTION("""COMPUTED_VALUE"""),"11Nov")</f>
        <v>11Nov</v>
      </c>
      <c r="F3071" s="34" t="str">
        <f>IFERROR(__xludf.DUMMYFUNCTION("""COMPUTED_VALUE"""),"2025")</f>
        <v>2025</v>
      </c>
      <c r="G3071" s="35" t="str">
        <f>IFERROR(__xludf.DUMMYFUNCTION("""COMPUTED_VALUE"""),"VANES ALBERT")</f>
        <v>VANES ALBERT</v>
      </c>
      <c r="H3071" s="35" t="str">
        <f>IFERROR(__xludf.DUMMYFUNCTION("""COMPUTED_VALUE"""),"V0825111714")</f>
        <v>V0825111714</v>
      </c>
      <c r="I3071" s="35">
        <f>IFERROR(__xludf.DUMMYFUNCTION("""COMPUTED_VALUE"""),18.0)</f>
        <v>18</v>
      </c>
      <c r="J3071" s="35" t="str">
        <f>IFERROR(__xludf.DUMMYFUNCTION("""COMPUTED_VALUE"""),"&lt; 18 tahun")</f>
        <v>&lt; 18 tahun</v>
      </c>
      <c r="K3071" s="21" t="str">
        <f>IFERROR(__xludf.DUMMYFUNCTION("""COMPUTED_VALUE"""),"06/03/2008")</f>
        <v>06/03/2008</v>
      </c>
      <c r="L3071" s="21" t="str">
        <f>IFERROR(__xludf.DUMMYFUNCTION("""COMPUTED_VALUE"""),"LAKI-LAKI")</f>
        <v>LAKI-LAKI</v>
      </c>
      <c r="M3071" s="35" t="str">
        <f>IFERROR(__xludf.DUMMYFUNCTION("""COMPUTED_VALUE"""),"KOMPLEK BUMI INDAH PERMAI NO. A1")</f>
        <v>KOMPLEK BUMI INDAH PERMAI NO. A1</v>
      </c>
      <c r="N3071" s="35" t="str">
        <f>IFERROR(__xludf.DUMMYFUNCTION("""COMPUTED_VALUE"""),"PARIT BARU")</f>
        <v>PARIT BARU</v>
      </c>
      <c r="O3071" s="35" t="str">
        <f>IFERROR(__xludf.DUMMYFUNCTION("""COMPUTED_VALUE"""),"SUNGAI RAYA")</f>
        <v>SUNGAI RAYA</v>
      </c>
      <c r="P3071" s="35" t="str">
        <f>IFERROR(__xludf.DUMMYFUNCTION("""COMPUTED_VALUE"""),"KUBU RAYA")</f>
        <v>KUBU RAYA</v>
      </c>
      <c r="Q3071" s="35" t="str">
        <f>IFERROR(__xludf.DUMMYFUNCTION("""COMPUTED_VALUE"""),"KALIMANTAN BARAT")</f>
        <v>KALIMANTAN BARAT</v>
      </c>
      <c r="R3071" s="21" t="str">
        <f>IFERROR(__xludf.DUMMYFUNCTION("""COMPUTED_VALUE"""),"BUDDHA")</f>
        <v>BUDDHA</v>
      </c>
      <c r="S3071" s="74" t="str">
        <f>IFERROR(__xludf.DUMMYFUNCTION("""COMPUTED_VALUE"""),"PELAJAR")</f>
        <v>PELAJAR</v>
      </c>
      <c r="T3071" s="35" t="str">
        <f>IFERROR(__xludf.DUMMYFUNCTION("""COMPUTED_VALUE"""),"LUTUT SAYA CIDERA")</f>
        <v>LUTUT SAYA CIDERA</v>
      </c>
      <c r="U3071" s="35" t="str">
        <f>IFERROR(__xludf.DUMMYFUNCTION("""COMPUTED_VALUE"""),"OLAHRAGA DAN SAYA ATLET BASKET")</f>
        <v>OLAHRAGA DAN SAYA ATLET BASKET</v>
      </c>
      <c r="V3071" s="37" t="str">
        <f>IFERROR(__xludf.DUMMYFUNCTION("""COMPUTED_VALUE"""),"089523231714")</f>
        <v>089523231714</v>
      </c>
      <c r="W3071" s="45"/>
    </row>
    <row r="3072">
      <c r="A3072" s="45"/>
      <c r="B3072" s="24" t="str">
        <f>IFERROR(__xludf.DUMMYFUNCTION("""COMPUTED_VALUE"""),"15/11/2025 13:24:09")</f>
        <v>15/11/2025 13:24:09</v>
      </c>
      <c r="C3072" s="35"/>
      <c r="D3072" s="10">
        <f>IFERROR(__xludf.DUMMYFUNCTION("""COMPUTED_VALUE"""),45976.0)</f>
        <v>45976</v>
      </c>
      <c r="E3072" s="35" t="str">
        <f>IFERROR(__xludf.DUMMYFUNCTION("""COMPUTED_VALUE"""),"11Nov")</f>
        <v>11Nov</v>
      </c>
      <c r="F3072" s="34" t="str">
        <f>IFERROR(__xludf.DUMMYFUNCTION("""COMPUTED_VALUE"""),"2025")</f>
        <v>2025</v>
      </c>
      <c r="G3072" s="35" t="str">
        <f>IFERROR(__xludf.DUMMYFUNCTION("""COMPUTED_VALUE"""),"RD RHAFLI HASSAN BISRI")</f>
        <v>RD RHAFLI HASSAN BISRI</v>
      </c>
      <c r="H3072" s="35" t="str">
        <f>IFERROR(__xludf.DUMMYFUNCTION("""COMPUTED_VALUE"""),"R0325114352")</f>
        <v>R0325114352</v>
      </c>
      <c r="I3072" s="35">
        <f>IFERROR(__xludf.DUMMYFUNCTION("""COMPUTED_VALUE"""),23.0)</f>
        <v>23</v>
      </c>
      <c r="J3072" s="35" t="str">
        <f>IFERROR(__xludf.DUMMYFUNCTION("""COMPUTED_VALUE"""),"18-24 tahun")</f>
        <v>18-24 tahun</v>
      </c>
      <c r="K3072" s="21" t="str">
        <f>IFERROR(__xludf.DUMMYFUNCTION("""COMPUTED_VALUE"""),"21/02/2003")</f>
        <v>21/02/2003</v>
      </c>
      <c r="L3072" s="21" t="str">
        <f>IFERROR(__xludf.DUMMYFUNCTION("""COMPUTED_VALUE"""),"LAKI-LAKI")</f>
        <v>LAKI-LAKI</v>
      </c>
      <c r="M3072" s="35" t="str">
        <f>IFERROR(__xludf.DUMMYFUNCTION("""COMPUTED_VALUE"""),"SOSOK 2")</f>
        <v>SOSOK 2</v>
      </c>
      <c r="N3072" s="35" t="str">
        <f>IFERROR(__xludf.DUMMYFUNCTION("""COMPUTED_VALUE"""),"DESA SOSOK")</f>
        <v>DESA SOSOK</v>
      </c>
      <c r="O3072" s="35" t="str">
        <f>IFERROR(__xludf.DUMMYFUNCTION("""COMPUTED_VALUE"""),"TAYAN HULU")</f>
        <v>TAYAN HULU</v>
      </c>
      <c r="P3072" s="35" t="str">
        <f>IFERROR(__xludf.DUMMYFUNCTION("""COMPUTED_VALUE"""),"SANGGAU")</f>
        <v>SANGGAU</v>
      </c>
      <c r="Q3072" s="35" t="str">
        <f>IFERROR(__xludf.DUMMYFUNCTION("""COMPUTED_VALUE"""),"KALIMANTAN BARAT")</f>
        <v>KALIMANTAN BARAT</v>
      </c>
      <c r="R3072" s="21" t="str">
        <f>IFERROR(__xludf.DUMMYFUNCTION("""COMPUTED_VALUE"""),"ISLAM")</f>
        <v>ISLAM</v>
      </c>
      <c r="S3072" s="74" t="str">
        <f>IFERROR(__xludf.DUMMYFUNCTION("""COMPUTED_VALUE"""),"SWASTA")</f>
        <v>SWASTA</v>
      </c>
      <c r="T3072" s="35" t="str">
        <f>IFERROR(__xludf.DUMMYFUNCTION("""COMPUTED_VALUE"""),"CEDERA LUTUT")</f>
        <v>CEDERA LUTUT</v>
      </c>
      <c r="U3072" s="35" t="str">
        <f>IFERROR(__xludf.DUMMYFUNCTION("""COMPUTED_VALUE"""),"SEPAK BOLA")</f>
        <v>SEPAK BOLA</v>
      </c>
      <c r="V3072" s="37" t="str">
        <f>IFERROR(__xludf.DUMMYFUNCTION("""COMPUTED_VALUE"""),"089529754352")</f>
        <v>089529754352</v>
      </c>
      <c r="W3072" s="45"/>
    </row>
    <row r="3073">
      <c r="A3073" s="45"/>
      <c r="B3073" s="24" t="str">
        <f>IFERROR(__xludf.DUMMYFUNCTION("""COMPUTED_VALUE"""),"15/11/2025 11:12:05")</f>
        <v>15/11/2025 11:12:05</v>
      </c>
      <c r="C3073" s="35"/>
      <c r="D3073" s="10">
        <f>IFERROR(__xludf.DUMMYFUNCTION("""COMPUTED_VALUE"""),45976.0)</f>
        <v>45976</v>
      </c>
      <c r="E3073" s="35" t="str">
        <f>IFERROR(__xludf.DUMMYFUNCTION("""COMPUTED_VALUE"""),"11Nov")</f>
        <v>11Nov</v>
      </c>
      <c r="F3073" s="34" t="str">
        <f>IFERROR(__xludf.DUMMYFUNCTION("""COMPUTED_VALUE"""),"2025")</f>
        <v>2025</v>
      </c>
      <c r="G3073" s="35" t="str">
        <f>IFERROR(__xludf.DUMMYFUNCTION("""COMPUTED_VALUE"""),"RATNAWITA")</f>
        <v>RATNAWITA</v>
      </c>
      <c r="H3073" s="35" t="str">
        <f>IFERROR(__xludf.DUMMYFUNCTION("""COMPUTED_VALUE"""),"R6925118000")</f>
        <v>R6925118000</v>
      </c>
      <c r="I3073" s="35">
        <f>IFERROR(__xludf.DUMMYFUNCTION("""COMPUTED_VALUE"""),57.0)</f>
        <v>57</v>
      </c>
      <c r="J3073" s="35" t="str">
        <f>IFERROR(__xludf.DUMMYFUNCTION("""COMPUTED_VALUE"""),"&gt; 44 tahun")</f>
        <v>&gt; 44 tahun</v>
      </c>
      <c r="K3073" s="21" t="str">
        <f>IFERROR(__xludf.DUMMYFUNCTION("""COMPUTED_VALUE"""),"16/01/1969")</f>
        <v>16/01/1969</v>
      </c>
      <c r="L3073" s="21" t="str">
        <f>IFERROR(__xludf.DUMMYFUNCTION("""COMPUTED_VALUE"""),"PEREMPUAN")</f>
        <v>PEREMPUAN</v>
      </c>
      <c r="M3073" s="35" t="str">
        <f>IFERROR(__xludf.DUMMYFUNCTION("""COMPUTED_VALUE"""),"JL KH AHMAD DAHLAN GG MARGOSARI NO 20")</f>
        <v>JL KH AHMAD DAHLAN GG MARGOSARI NO 20</v>
      </c>
      <c r="N3073" s="35" t="str">
        <f>IFERROR(__xludf.DUMMYFUNCTION("""COMPUTED_VALUE"""),"SEI BANGKONG")</f>
        <v>SEI BANGKONG</v>
      </c>
      <c r="O3073" s="35" t="str">
        <f>IFERROR(__xludf.DUMMYFUNCTION("""COMPUTED_VALUE"""),"PONTIANAK KOTA")</f>
        <v>PONTIANAK KOTA</v>
      </c>
      <c r="P3073" s="35" t="str">
        <f>IFERROR(__xludf.DUMMYFUNCTION("""COMPUTED_VALUE"""),"PONTIANAK")</f>
        <v>PONTIANAK</v>
      </c>
      <c r="Q3073" s="35" t="str">
        <f>IFERROR(__xludf.DUMMYFUNCTION("""COMPUTED_VALUE"""),"KALIMANTAN BARAT")</f>
        <v>KALIMANTAN BARAT</v>
      </c>
      <c r="R3073" s="21" t="str">
        <f>IFERROR(__xludf.DUMMYFUNCTION("""COMPUTED_VALUE"""),"KATOLIK")</f>
        <v>KATOLIK</v>
      </c>
      <c r="S3073" s="74" t="str">
        <f>IFERROR(__xludf.DUMMYFUNCTION("""COMPUTED_VALUE"""),"RUMAH TANGGA")</f>
        <v>RUMAH TANGGA</v>
      </c>
      <c r="T3073" s="35" t="str">
        <f>IFERROR(__xludf.DUMMYFUNCTION("""COMPUTED_VALUE"""),"KAKI SAKIT")</f>
        <v>KAKI SAKIT</v>
      </c>
      <c r="U3073" s="35" t="str">
        <f>IFERROR(__xludf.DUMMYFUNCTION("""COMPUTED_VALUE"""),"-")</f>
        <v>-</v>
      </c>
      <c r="V3073" s="37" t="str">
        <f>IFERROR(__xludf.DUMMYFUNCTION("""COMPUTED_VALUE"""),"081256538000")</f>
        <v>081256538000</v>
      </c>
      <c r="W3073" s="45"/>
    </row>
    <row r="3074">
      <c r="A3074" s="45"/>
      <c r="B3074" s="24" t="str">
        <f>IFERROR(__xludf.DUMMYFUNCTION("""COMPUTED_VALUE"""),"15/11/2025 16:46:06")</f>
        <v>15/11/2025 16:46:06</v>
      </c>
      <c r="C3074" s="35"/>
      <c r="D3074" s="10">
        <f>IFERROR(__xludf.DUMMYFUNCTION("""COMPUTED_VALUE"""),45976.0)</f>
        <v>45976</v>
      </c>
      <c r="E3074" s="35" t="str">
        <f>IFERROR(__xludf.DUMMYFUNCTION("""COMPUTED_VALUE"""),"11Nov")</f>
        <v>11Nov</v>
      </c>
      <c r="F3074" s="34" t="str">
        <f>IFERROR(__xludf.DUMMYFUNCTION("""COMPUTED_VALUE"""),"2025")</f>
        <v>2025</v>
      </c>
      <c r="G3074" s="35" t="str">
        <f>IFERROR(__xludf.DUMMYFUNCTION("""COMPUTED_VALUE"""),"SEPTIAN MARLI ARLISTA")</f>
        <v>SEPTIAN MARLI ARLISTA</v>
      </c>
      <c r="H3074" s="35" t="str">
        <f>IFERROR(__xludf.DUMMYFUNCTION("""COMPUTED_VALUE"""),"S9325115631")</f>
        <v>S9325115631</v>
      </c>
      <c r="I3074" s="35">
        <f>IFERROR(__xludf.DUMMYFUNCTION("""COMPUTED_VALUE"""),32.0)</f>
        <v>32</v>
      </c>
      <c r="J3074" s="35" t="str">
        <f>IFERROR(__xludf.DUMMYFUNCTION("""COMPUTED_VALUE"""),"25-34 tahun")</f>
        <v>25-34 tahun</v>
      </c>
      <c r="K3074" s="21" t="str">
        <f>IFERROR(__xludf.DUMMYFUNCTION("""COMPUTED_VALUE"""),"20/09/1993")</f>
        <v>20/09/1993</v>
      </c>
      <c r="L3074" s="21" t="str">
        <f>IFERROR(__xludf.DUMMYFUNCTION("""COMPUTED_VALUE"""),"LAKI-LAKI")</f>
        <v>LAKI-LAKI</v>
      </c>
      <c r="M3074" s="35" t="str">
        <f>IFERROR(__xludf.DUMMYFUNCTION("""COMPUTED_VALUE"""),"DESA MONTERADO")</f>
        <v>DESA MONTERADO</v>
      </c>
      <c r="N3074" s="35" t="str">
        <f>IFERROR(__xludf.DUMMYFUNCTION("""COMPUTED_VALUE"""),"BENGKAYANG")</f>
        <v>BENGKAYANG</v>
      </c>
      <c r="O3074" s="35" t="str">
        <f>IFERROR(__xludf.DUMMYFUNCTION("""COMPUTED_VALUE"""),"MONTERADO")</f>
        <v>MONTERADO</v>
      </c>
      <c r="P3074" s="35" t="str">
        <f>IFERROR(__xludf.DUMMYFUNCTION("""COMPUTED_VALUE"""),"BENGKAYANG")</f>
        <v>BENGKAYANG</v>
      </c>
      <c r="Q3074" s="35" t="str">
        <f>IFERROR(__xludf.DUMMYFUNCTION("""COMPUTED_VALUE"""),"KALIMANTAN BARAT")</f>
        <v>KALIMANTAN BARAT</v>
      </c>
      <c r="R3074" s="21" t="str">
        <f>IFERROR(__xludf.DUMMYFUNCTION("""COMPUTED_VALUE"""),"KATOLIK")</f>
        <v>KATOLIK</v>
      </c>
      <c r="S3074" s="74" t="str">
        <f>IFERROR(__xludf.DUMMYFUNCTION("""COMPUTED_VALUE"""),"PEGAWAI BUMD")</f>
        <v>PEGAWAI BUMD</v>
      </c>
      <c r="T3074" s="35" t="str">
        <f>IFERROR(__xludf.DUMMYFUNCTION("""COMPUTED_VALUE"""),"KAKI KEBAS LEMAH")</f>
        <v>KAKI KEBAS LEMAH</v>
      </c>
      <c r="U3074" s="35" t="str">
        <f>IFERROR(__xludf.DUMMYFUNCTION("""COMPUTED_VALUE"""),"SEPAK BOLA/BANKIR")</f>
        <v>SEPAK BOLA/BANKIR</v>
      </c>
      <c r="V3074" s="37" t="str">
        <f>IFERROR(__xludf.DUMMYFUNCTION("""COMPUTED_VALUE"""),"081255125631")</f>
        <v>081255125631</v>
      </c>
      <c r="W3074" s="45"/>
    </row>
    <row r="3075">
      <c r="A3075" s="45"/>
      <c r="B3075" s="24" t="str">
        <f>IFERROR(__xludf.DUMMYFUNCTION("""COMPUTED_VALUE"""),"14/11/2025 16:44:12")</f>
        <v>14/11/2025 16:44:12</v>
      </c>
      <c r="C3075" s="35"/>
      <c r="D3075" s="10">
        <f>IFERROR(__xludf.DUMMYFUNCTION("""COMPUTED_VALUE"""),45976.0)</f>
        <v>45976</v>
      </c>
      <c r="E3075" s="35" t="str">
        <f>IFERROR(__xludf.DUMMYFUNCTION("""COMPUTED_VALUE"""),"11Nov")</f>
        <v>11Nov</v>
      </c>
      <c r="F3075" s="34" t="str">
        <f>IFERROR(__xludf.DUMMYFUNCTION("""COMPUTED_VALUE"""),"2025")</f>
        <v>2025</v>
      </c>
      <c r="G3075" s="35" t="str">
        <f>IFERROR(__xludf.DUMMYFUNCTION("""COMPUTED_VALUE"""),"RINI SATMAWATI")</f>
        <v>RINI SATMAWATI</v>
      </c>
      <c r="H3075" s="35" t="str">
        <f>IFERROR(__xludf.DUMMYFUNCTION("""COMPUTED_VALUE"""),"R6825110615")</f>
        <v>R6825110615</v>
      </c>
      <c r="I3075" s="35">
        <f>IFERROR(__xludf.DUMMYFUNCTION("""COMPUTED_VALUE"""),57.0)</f>
        <v>57</v>
      </c>
      <c r="J3075" s="35" t="str">
        <f>IFERROR(__xludf.DUMMYFUNCTION("""COMPUTED_VALUE"""),"&gt; 44 tahun")</f>
        <v>&gt; 44 tahun</v>
      </c>
      <c r="K3075" s="21" t="str">
        <f>IFERROR(__xludf.DUMMYFUNCTION("""COMPUTED_VALUE"""),"16/08/1968")</f>
        <v>16/08/1968</v>
      </c>
      <c r="L3075" s="21" t="str">
        <f>IFERROR(__xludf.DUMMYFUNCTION("""COMPUTED_VALUE"""),"PEREMPUAN")</f>
        <v>PEREMPUAN</v>
      </c>
      <c r="M3075" s="35" t="str">
        <f>IFERROR(__xludf.DUMMYFUNCTION("""COMPUTED_VALUE"""),"JLN PEMDA PERUM KOMP VILLA SEJAHTERA 2 , JALUR SEJAHTERA 1 NO C7")</f>
        <v>JLN PEMDA PERUM KOMP VILLA SEJAHTERA 2 , JALUR SEJAHTERA 1 NO C7</v>
      </c>
      <c r="N3075" s="35" t="str">
        <f>IFERROR(__xludf.DUMMYFUNCTION("""COMPUTED_VALUE"""),"KEL PARIT MAYOR")</f>
        <v>KEL PARIT MAYOR</v>
      </c>
      <c r="O3075" s="35" t="str">
        <f>IFERROR(__xludf.DUMMYFUNCTION("""COMPUTED_VALUE"""),"PONTIANAK TIMUR")</f>
        <v>PONTIANAK TIMUR</v>
      </c>
      <c r="P3075" s="35" t="str">
        <f>IFERROR(__xludf.DUMMYFUNCTION("""COMPUTED_VALUE"""),"KOTA PONTIANAK")</f>
        <v>KOTA PONTIANAK</v>
      </c>
      <c r="Q3075" s="35" t="str">
        <f>IFERROR(__xludf.DUMMYFUNCTION("""COMPUTED_VALUE"""),"KALIMANTAN BARAT")</f>
        <v>KALIMANTAN BARAT</v>
      </c>
      <c r="R3075" s="21" t="str">
        <f>IFERROR(__xludf.DUMMYFUNCTION("""COMPUTED_VALUE"""),"ISLAM")</f>
        <v>ISLAM</v>
      </c>
      <c r="S3075" s="74" t="str">
        <f>IFERROR(__xludf.DUMMYFUNCTION("""COMPUTED_VALUE"""),"IBU RUMAH TANGGA")</f>
        <v>IBU RUMAH TANGGA</v>
      </c>
      <c r="T3075" s="35" t="str">
        <f>IFERROR(__xludf.DUMMYFUNCTION("""COMPUTED_VALUE"""),"NYERI TULANG BELAKANG")</f>
        <v>NYERI TULANG BELAKANG</v>
      </c>
      <c r="U3075" s="35" t="str">
        <f>IFERROR(__xludf.DUMMYFUNCTION("""COMPUTED_VALUE"""),"MENGERJAKAN PEKERJAAN RUMAH")</f>
        <v>MENGERJAKAN PEKERJAAN RUMAH</v>
      </c>
      <c r="V3075" s="37" t="str">
        <f>IFERROR(__xludf.DUMMYFUNCTION("""COMPUTED_VALUE"""),"081261220615")</f>
        <v>081261220615</v>
      </c>
      <c r="W3075" s="45"/>
    </row>
    <row r="3076">
      <c r="A3076" s="45"/>
      <c r="B3076" s="24" t="str">
        <f>IFERROR(__xludf.DUMMYFUNCTION("""COMPUTED_VALUE"""),"15/11/2025 21:48:30")</f>
        <v>15/11/2025 21:48:30</v>
      </c>
      <c r="C3076" s="35"/>
      <c r="D3076" s="10">
        <f>IFERROR(__xludf.DUMMYFUNCTION("""COMPUTED_VALUE"""),45977.0)</f>
        <v>45977</v>
      </c>
      <c r="E3076" s="35" t="str">
        <f>IFERROR(__xludf.DUMMYFUNCTION("""COMPUTED_VALUE"""),"11Nov")</f>
        <v>11Nov</v>
      </c>
      <c r="F3076" s="34" t="str">
        <f>IFERROR(__xludf.DUMMYFUNCTION("""COMPUTED_VALUE"""),"2025")</f>
        <v>2025</v>
      </c>
      <c r="G3076" s="35" t="str">
        <f>IFERROR(__xludf.DUMMYFUNCTION("""COMPUTED_VALUE"""),"JUSTIKA MAHAR RANI")</f>
        <v>JUSTIKA MAHAR RANI</v>
      </c>
      <c r="H3076" s="35" t="str">
        <f>IFERROR(__xludf.DUMMYFUNCTION("""COMPUTED_VALUE"""),"J9825115575")</f>
        <v>J9825115575</v>
      </c>
      <c r="I3076" s="35">
        <f>IFERROR(__xludf.DUMMYFUNCTION("""COMPUTED_VALUE"""),27.0)</f>
        <v>27</v>
      </c>
      <c r="J3076" s="35" t="str">
        <f>IFERROR(__xludf.DUMMYFUNCTION("""COMPUTED_VALUE"""),"25-34 tahun")</f>
        <v>25-34 tahun</v>
      </c>
      <c r="K3076" s="21" t="str">
        <f>IFERROR(__xludf.DUMMYFUNCTION("""COMPUTED_VALUE"""),"22/08/1998")</f>
        <v>22/08/1998</v>
      </c>
      <c r="L3076" s="21" t="str">
        <f>IFERROR(__xludf.DUMMYFUNCTION("""COMPUTED_VALUE"""),"PEREMPUAN")</f>
        <v>PEREMPUAN</v>
      </c>
      <c r="M3076" s="35" t="str">
        <f>IFERROR(__xludf.DUMMYFUNCTION("""COMPUTED_VALUE"""),"GG KARET SURYA KENCANA 1 B12")</f>
        <v>GG KARET SURYA KENCANA 1 B12</v>
      </c>
      <c r="N3076" s="35" t="str">
        <f>IFERROR(__xludf.DUMMYFUNCTION("""COMPUTED_VALUE"""),"KELURAHAN SUNGAI BELIUNG")</f>
        <v>KELURAHAN SUNGAI BELIUNG</v>
      </c>
      <c r="O3076" s="35" t="str">
        <f>IFERROR(__xludf.DUMMYFUNCTION("""COMPUTED_VALUE"""),"KECAMATAN PONTIANAK BARAT")</f>
        <v>KECAMATAN PONTIANAK BARAT</v>
      </c>
      <c r="P3076" s="35" t="str">
        <f>IFERROR(__xludf.DUMMYFUNCTION("""COMPUTED_VALUE"""),"KOTA PONTIANAK")</f>
        <v>KOTA PONTIANAK</v>
      </c>
      <c r="Q3076" s="35" t="str">
        <f>IFERROR(__xludf.DUMMYFUNCTION("""COMPUTED_VALUE"""),"KALIMANTAM BARAT")</f>
        <v>KALIMANTAM BARAT</v>
      </c>
      <c r="R3076" s="21" t="str">
        <f>IFERROR(__xludf.DUMMYFUNCTION("""COMPUTED_VALUE"""),"ISLAM")</f>
        <v>ISLAM</v>
      </c>
      <c r="S3076" s="74" t="str">
        <f>IFERROR(__xludf.DUMMYFUNCTION("""COMPUTED_VALUE"""),"KARYAWAN SWASTA")</f>
        <v>KARYAWAN SWASTA</v>
      </c>
      <c r="T3076" s="35" t="str">
        <f>IFERROR(__xludf.DUMMYFUNCTION("""COMPUTED_VALUE"""),"NYERI DIBAGIAN BETIS SAMPING SEBELAH KIRI")</f>
        <v>NYERI DIBAGIAN BETIS SAMPING SEBELAH KIRI</v>
      </c>
      <c r="U3076" s="35" t="str">
        <f>IFERROR(__xludf.DUMMYFUNCTION("""COMPUTED_VALUE"""),"OLAHRAGA LARI,TENNIS, BADMINTON")</f>
        <v>OLAHRAGA LARI,TENNIS, BADMINTON</v>
      </c>
      <c r="V3076" s="37" t="str">
        <f>IFERROR(__xludf.DUMMYFUNCTION("""COMPUTED_VALUE"""),"089676985575")</f>
        <v>089676985575</v>
      </c>
      <c r="W3076" s="45"/>
    </row>
    <row r="3077">
      <c r="A3077" s="45"/>
      <c r="B3077" s="24" t="str">
        <f>IFERROR(__xludf.DUMMYFUNCTION("""COMPUTED_VALUE"""),"16/11/2025 16:40:20")</f>
        <v>16/11/2025 16:40:20</v>
      </c>
      <c r="C3077" s="35"/>
      <c r="D3077" s="10">
        <f>IFERROR(__xludf.DUMMYFUNCTION("""COMPUTED_VALUE"""),45977.0)</f>
        <v>45977</v>
      </c>
      <c r="E3077" s="35" t="str">
        <f>IFERROR(__xludf.DUMMYFUNCTION("""COMPUTED_VALUE"""),"11Nov")</f>
        <v>11Nov</v>
      </c>
      <c r="F3077" s="34" t="str">
        <f>IFERROR(__xludf.DUMMYFUNCTION("""COMPUTED_VALUE"""),"2025")</f>
        <v>2025</v>
      </c>
      <c r="G3077" s="35" t="str">
        <f>IFERROR(__xludf.DUMMYFUNCTION("""COMPUTED_VALUE"""),"HANY JULIANI")</f>
        <v>HANY JULIANI</v>
      </c>
      <c r="H3077" s="35" t="str">
        <f>IFERROR(__xludf.DUMMYFUNCTION("""COMPUTED_VALUE"""),"H1025113976")</f>
        <v>H1025113976</v>
      </c>
      <c r="I3077" s="35">
        <f>IFERROR(__xludf.DUMMYFUNCTION("""COMPUTED_VALUE"""),15.0)</f>
        <v>15</v>
      </c>
      <c r="J3077" s="35" t="str">
        <f>IFERROR(__xludf.DUMMYFUNCTION("""COMPUTED_VALUE"""),"&lt; 18 tahun")</f>
        <v>&lt; 18 tahun</v>
      </c>
      <c r="K3077" s="21" t="str">
        <f>IFERROR(__xludf.DUMMYFUNCTION("""COMPUTED_VALUE"""),"15/07/2010")</f>
        <v>15/07/2010</v>
      </c>
      <c r="L3077" s="21" t="str">
        <f>IFERROR(__xludf.DUMMYFUNCTION("""COMPUTED_VALUE"""),"PEREMPUAN")</f>
        <v>PEREMPUAN</v>
      </c>
      <c r="M3077" s="35" t="str">
        <f>IFERROR(__xludf.DUMMYFUNCTION("""COMPUTED_VALUE"""),"JL K H WAHID HASYIM GG H SALEH NO 54")</f>
        <v>JL K H WAHID HASYIM GG H SALEH NO 54</v>
      </c>
      <c r="N3077" s="35" t="str">
        <f>IFERROR(__xludf.DUMMYFUNCTION("""COMPUTED_VALUE"""),"SEI BANG BANGKONG")</f>
        <v>SEI BANG BANGKONG</v>
      </c>
      <c r="O3077" s="35" t="str">
        <f>IFERROR(__xludf.DUMMYFUNCTION("""COMPUTED_VALUE"""),"PONTIANAK KOTA")</f>
        <v>PONTIANAK KOTA</v>
      </c>
      <c r="P3077" s="35" t="str">
        <f>IFERROR(__xludf.DUMMYFUNCTION("""COMPUTED_VALUE"""),"KOTA PONTIANAK")</f>
        <v>KOTA PONTIANAK</v>
      </c>
      <c r="Q3077" s="35" t="str">
        <f>IFERROR(__xludf.DUMMYFUNCTION("""COMPUTED_VALUE"""),"KAL BAR")</f>
        <v>KAL BAR</v>
      </c>
      <c r="R3077" s="21" t="str">
        <f>IFERROR(__xludf.DUMMYFUNCTION("""COMPUTED_VALUE"""),"ISLAM")</f>
        <v>ISLAM</v>
      </c>
      <c r="S3077" s="74" t="str">
        <f>IFERROR(__xludf.DUMMYFUNCTION("""COMPUTED_VALUE"""),"PELAJAR")</f>
        <v>PELAJAR</v>
      </c>
      <c r="T3077" s="35" t="str">
        <f>IFERROR(__xludf.DUMMYFUNCTION("""COMPUTED_VALUE"""),"PERGELANGAN KAKI DAN LUTUS NYERI, KETIKA BANGUN TIDUR SAMPAI PINCANG")</f>
        <v>PERGELANGAN KAKI DAN LUTUS NYERI, KETIKA BANGUN TIDUR SAMPAI PINCANG</v>
      </c>
      <c r="U3077" s="35" t="str">
        <f>IFERROR(__xludf.DUMMYFUNCTION("""COMPUTED_VALUE"""),"SEKOLAH NAIK TURUN TANGGA")</f>
        <v>SEKOLAH NAIK TURUN TANGGA</v>
      </c>
      <c r="V3077" s="37" t="str">
        <f>IFERROR(__xludf.DUMMYFUNCTION("""COMPUTED_VALUE"""),"082250483976")</f>
        <v>082250483976</v>
      </c>
      <c r="W3077" s="45"/>
    </row>
    <row r="3078">
      <c r="A3078" s="45"/>
      <c r="B3078" s="24" t="str">
        <f>IFERROR(__xludf.DUMMYFUNCTION("""COMPUTED_VALUE"""),"16/11/2025 17:26:07")</f>
        <v>16/11/2025 17:26:07</v>
      </c>
      <c r="C3078" s="35"/>
      <c r="D3078" s="10">
        <f>IFERROR(__xludf.DUMMYFUNCTION("""COMPUTED_VALUE"""),45977.0)</f>
        <v>45977</v>
      </c>
      <c r="E3078" s="35" t="str">
        <f>IFERROR(__xludf.DUMMYFUNCTION("""COMPUTED_VALUE"""),"11Nov")</f>
        <v>11Nov</v>
      </c>
      <c r="F3078" s="34" t="str">
        <f>IFERROR(__xludf.DUMMYFUNCTION("""COMPUTED_VALUE"""),"2025")</f>
        <v>2025</v>
      </c>
      <c r="G3078" s="35" t="str">
        <f>IFERROR(__xludf.DUMMYFUNCTION("""COMPUTED_VALUE"""),"NURHAYATI 6206")</f>
        <v>NURHAYATI 6206</v>
      </c>
      <c r="H3078" s="35" t="str">
        <f>IFERROR(__xludf.DUMMYFUNCTION("""COMPUTED_VALUE"""),"N6225110960")</f>
        <v>N6225110960</v>
      </c>
      <c r="I3078" s="35">
        <f>IFERROR(__xludf.DUMMYFUNCTION("""COMPUTED_VALUE"""),64.0)</f>
        <v>64</v>
      </c>
      <c r="J3078" s="35" t="str">
        <f>IFERROR(__xludf.DUMMYFUNCTION("""COMPUTED_VALUE"""),"&gt; 44 tahun")</f>
        <v>&gt; 44 tahun</v>
      </c>
      <c r="K3078" s="21" t="str">
        <f>IFERROR(__xludf.DUMMYFUNCTION("""COMPUTED_VALUE"""),"11/06/1962")</f>
        <v>11/06/1962</v>
      </c>
      <c r="L3078" s="21" t="str">
        <f>IFERROR(__xludf.DUMMYFUNCTION("""COMPUTED_VALUE"""),"PEREMPUAN")</f>
        <v>PEREMPUAN</v>
      </c>
      <c r="M3078" s="35" t="str">
        <f>IFERROR(__xludf.DUMMYFUNCTION("""COMPUTED_VALUE"""),"JL.M. YAMIN GG. EKA DAYA NO. 25")</f>
        <v>JL.M. YAMIN GG. EKA DAYA NO. 25</v>
      </c>
      <c r="N3078" s="35" t="str">
        <f>IFERROR(__xludf.DUMMYFUNCTION("""COMPUTED_VALUE"""),"KOTA BARU")</f>
        <v>KOTA BARU</v>
      </c>
      <c r="O3078" s="35" t="str">
        <f>IFERROR(__xludf.DUMMYFUNCTION("""COMPUTED_VALUE"""),"PONTIANAK SELATAN")</f>
        <v>PONTIANAK SELATAN</v>
      </c>
      <c r="P3078" s="35" t="str">
        <f>IFERROR(__xludf.DUMMYFUNCTION("""COMPUTED_VALUE"""),"KOTA PONTIANAK")</f>
        <v>KOTA PONTIANAK</v>
      </c>
      <c r="Q3078" s="35" t="str">
        <f>IFERROR(__xludf.DUMMYFUNCTION("""COMPUTED_VALUE"""),"KALIMANTAN BARAT")</f>
        <v>KALIMANTAN BARAT</v>
      </c>
      <c r="R3078" s="21" t="str">
        <f>IFERROR(__xludf.DUMMYFUNCTION("""COMPUTED_VALUE"""),"ISLAM")</f>
        <v>ISLAM</v>
      </c>
      <c r="S3078" s="74" t="str">
        <f>IFERROR(__xludf.DUMMYFUNCTION("""COMPUTED_VALUE"""),"PENSIUNAN PNS")</f>
        <v>PENSIUNAN PNS</v>
      </c>
      <c r="T3078" s="35" t="str">
        <f>IFERROR(__xludf.DUMMYFUNCTION("""COMPUTED_VALUE"""),"NYERI PADA BETIS KIRI DAN SUSAH SAAT BERJALAN")</f>
        <v>NYERI PADA BETIS KIRI DAN SUSAH SAAT BERJALAN</v>
      </c>
      <c r="U3078" s="35" t="str">
        <f>IFERROR(__xludf.DUMMYFUNCTION("""COMPUTED_VALUE"""),"2 HARI SEBELUMNYA BERKEMAS RUMAH, NGEPEL, ANGKAT LEMARI, DOMINAN AKTIVITAS BERTUMPU DI KAKI KIRI KARENA KAKI KANAN PERNAH MENGALAMI KELEMAHAN AKIBAR STROKE TAHUN 2021")</f>
        <v>2 HARI SEBELUMNYA BERKEMAS RUMAH, NGEPEL, ANGKAT LEMARI, DOMINAN AKTIVITAS BERTUMPU DI KAKI KIRI KARENA KAKI KANAN PERNAH MENGALAMI KELEMAHAN AKIBAR STROKE TAHUN 2021</v>
      </c>
      <c r="V3078" s="37" t="str">
        <f>IFERROR(__xludf.DUMMYFUNCTION("""COMPUTED_VALUE"""),"087810060960")</f>
        <v>087810060960</v>
      </c>
      <c r="W3078" s="45"/>
    </row>
    <row r="3079">
      <c r="A3079" s="45"/>
      <c r="B3079" s="24" t="str">
        <f>IFERROR(__xludf.DUMMYFUNCTION("""COMPUTED_VALUE"""),"17/11/2025 10:23:21")</f>
        <v>17/11/2025 10:23:21</v>
      </c>
      <c r="C3079" s="35"/>
      <c r="D3079" s="10">
        <f>IFERROR(__xludf.DUMMYFUNCTION("""COMPUTED_VALUE"""),45978.0)</f>
        <v>45978</v>
      </c>
      <c r="E3079" s="35" t="str">
        <f>IFERROR(__xludf.DUMMYFUNCTION("""COMPUTED_VALUE"""),"11Nov")</f>
        <v>11Nov</v>
      </c>
      <c r="F3079" s="34" t="str">
        <f>IFERROR(__xludf.DUMMYFUNCTION("""COMPUTED_VALUE"""),"2025")</f>
        <v>2025</v>
      </c>
      <c r="G3079" s="35" t="str">
        <f>IFERROR(__xludf.DUMMYFUNCTION("""COMPUTED_VALUE"""),"MUHAMMAD DEVA ERLANGGA")</f>
        <v>MUHAMMAD DEVA ERLANGGA</v>
      </c>
      <c r="H3079" s="35" t="str">
        <f>IFERROR(__xludf.DUMMYFUNCTION("""COMPUTED_VALUE"""),"M0025117586")</f>
        <v>M0025117586</v>
      </c>
      <c r="I3079" s="35">
        <f>IFERROR(__xludf.DUMMYFUNCTION("""COMPUTED_VALUE"""),25.0)</f>
        <v>25</v>
      </c>
      <c r="J3079" s="35" t="str">
        <f>IFERROR(__xludf.DUMMYFUNCTION("""COMPUTED_VALUE"""),"25-34 tahun")</f>
        <v>25-34 tahun</v>
      </c>
      <c r="K3079" s="21" t="str">
        <f>IFERROR(__xludf.DUMMYFUNCTION("""COMPUTED_VALUE"""),"18/12/2000")</f>
        <v>18/12/2000</v>
      </c>
      <c r="L3079" s="21" t="str">
        <f>IFERROR(__xludf.DUMMYFUNCTION("""COMPUTED_VALUE"""),"LAKI-LAKI")</f>
        <v>LAKI-LAKI</v>
      </c>
      <c r="M3079" s="35" t="str">
        <f>IFERROR(__xludf.DUMMYFUNCTION("""COMPUTED_VALUE"""),"JL SUWIGNYO KOMP.SUWIGNYO PERMAI 2")</f>
        <v>JL SUWIGNYO KOMP.SUWIGNYO PERMAI 2</v>
      </c>
      <c r="N3079" s="35" t="str">
        <f>IFERROR(__xludf.DUMMYFUNCTION("""COMPUTED_VALUE"""),"SUNGAI JAWI")</f>
        <v>SUNGAI JAWI</v>
      </c>
      <c r="O3079" s="35" t="str">
        <f>IFERROR(__xludf.DUMMYFUNCTION("""COMPUTED_VALUE"""),"PONTIANAK KOTA")</f>
        <v>PONTIANAK KOTA</v>
      </c>
      <c r="P3079" s="35" t="str">
        <f>IFERROR(__xludf.DUMMYFUNCTION("""COMPUTED_VALUE"""),"PONTIANAKNKOTA")</f>
        <v>PONTIANAKNKOTA</v>
      </c>
      <c r="Q3079" s="35" t="str">
        <f>IFERROR(__xludf.DUMMYFUNCTION("""COMPUTED_VALUE"""),"KALIMANTAN BARAT")</f>
        <v>KALIMANTAN BARAT</v>
      </c>
      <c r="R3079" s="21" t="str">
        <f>IFERROR(__xludf.DUMMYFUNCTION("""COMPUTED_VALUE"""),"ISLAM")</f>
        <v>ISLAM</v>
      </c>
      <c r="S3079" s="74" t="str">
        <f>IFERROR(__xludf.DUMMYFUNCTION("""COMPUTED_VALUE"""),"WIRASWASTA")</f>
        <v>WIRASWASTA</v>
      </c>
      <c r="T3079" s="35" t="str">
        <f>IFERROR(__xludf.DUMMYFUNCTION("""COMPUTED_VALUE"""),"KESEMUTAN TANGAN KIRI")</f>
        <v>KESEMUTAN TANGAN KIRI</v>
      </c>
      <c r="U3079" s="35" t="str">
        <f>IFERROR(__xludf.DUMMYFUNCTION("""COMPUTED_VALUE"""),"GYM")</f>
        <v>GYM</v>
      </c>
      <c r="V3079" s="37" t="str">
        <f>IFERROR(__xludf.DUMMYFUNCTION("""COMPUTED_VALUE"""),"0895340827586")</f>
        <v>0895340827586</v>
      </c>
      <c r="W3079" s="45"/>
    </row>
    <row r="3080">
      <c r="A3080" s="45"/>
      <c r="B3080" s="24" t="str">
        <f>IFERROR(__xludf.DUMMYFUNCTION("""COMPUTED_VALUE"""),"17/11/2025 11:00:07")</f>
        <v>17/11/2025 11:00:07</v>
      </c>
      <c r="C3080" s="35"/>
      <c r="D3080" s="10">
        <f>IFERROR(__xludf.DUMMYFUNCTION("""COMPUTED_VALUE"""),45978.0)</f>
        <v>45978</v>
      </c>
      <c r="E3080" s="35" t="str">
        <f>IFERROR(__xludf.DUMMYFUNCTION("""COMPUTED_VALUE"""),"11Nov")</f>
        <v>11Nov</v>
      </c>
      <c r="F3080" s="34" t="str">
        <f>IFERROR(__xludf.DUMMYFUNCTION("""COMPUTED_VALUE"""),"2025")</f>
        <v>2025</v>
      </c>
      <c r="G3080" s="35" t="str">
        <f>IFERROR(__xludf.DUMMYFUNCTION("""COMPUTED_VALUE"""),"ANDI DE")</f>
        <v>ANDI DE</v>
      </c>
      <c r="H3080" s="35" t="str">
        <f>IFERROR(__xludf.DUMMYFUNCTION("""COMPUTED_VALUE"""),"A7025110923")</f>
        <v>A7025110923</v>
      </c>
      <c r="I3080" s="35">
        <f>IFERROR(__xludf.DUMMYFUNCTION("""COMPUTED_VALUE"""),55.0)</f>
        <v>55</v>
      </c>
      <c r="J3080" s="35" t="str">
        <f>IFERROR(__xludf.DUMMYFUNCTION("""COMPUTED_VALUE"""),"&gt; 44 tahun")</f>
        <v>&gt; 44 tahun</v>
      </c>
      <c r="K3080" s="21" t="str">
        <f>IFERROR(__xludf.DUMMYFUNCTION("""COMPUTED_VALUE"""),"28/08/1970")</f>
        <v>28/08/1970</v>
      </c>
      <c r="L3080" s="21" t="str">
        <f>IFERROR(__xludf.DUMMYFUNCTION("""COMPUTED_VALUE"""),"LAKI-LAKI")</f>
        <v>LAKI-LAKI</v>
      </c>
      <c r="M3080" s="35" t="str">
        <f>IFERROR(__xludf.DUMMYFUNCTION("""COMPUTED_VALUE"""),"DUSUN TAPANG PULAU")</f>
        <v>DUSUN TAPANG PULAU</v>
      </c>
      <c r="N3080" s="35" t="str">
        <f>IFERROR(__xludf.DUMMYFUNCTION("""COMPUTED_VALUE"""),"TAPANG PULAU")</f>
        <v>TAPANG PULAU</v>
      </c>
      <c r="O3080" s="35" t="str">
        <f>IFERROR(__xludf.DUMMYFUNCTION("""COMPUTED_VALUE"""),"BELITANG HILIR")</f>
        <v>BELITANG HILIR</v>
      </c>
      <c r="P3080" s="35" t="str">
        <f>IFERROR(__xludf.DUMMYFUNCTION("""COMPUTED_VALUE"""),"SEKADAU")</f>
        <v>SEKADAU</v>
      </c>
      <c r="Q3080" s="35" t="str">
        <f>IFERROR(__xludf.DUMMYFUNCTION("""COMPUTED_VALUE"""),"KALIMANTAN BARAT")</f>
        <v>KALIMANTAN BARAT</v>
      </c>
      <c r="R3080" s="21" t="str">
        <f>IFERROR(__xludf.DUMMYFUNCTION("""COMPUTED_VALUE"""),"ISLAM")</f>
        <v>ISLAM</v>
      </c>
      <c r="S3080" s="74" t="str">
        <f>IFERROR(__xludf.DUMMYFUNCTION("""COMPUTED_VALUE"""),"WIRASWASTA")</f>
        <v>WIRASWASTA</v>
      </c>
      <c r="T3080" s="35" t="str">
        <f>IFERROR(__xludf.DUMMYFUNCTION("""COMPUTED_VALUE"""),"ENGSEL LUTUT SAKIT")</f>
        <v>ENGSEL LUTUT SAKIT</v>
      </c>
      <c r="U3080" s="35" t="str">
        <f>IFERROR(__xludf.DUMMYFUNCTION("""COMPUTED_VALUE"""),"TIDAK ADA")</f>
        <v>TIDAK ADA</v>
      </c>
      <c r="V3080" s="37" t="str">
        <f>IFERROR(__xludf.DUMMYFUNCTION("""COMPUTED_VALUE"""),"081258360923")</f>
        <v>081258360923</v>
      </c>
      <c r="W3080" s="45"/>
    </row>
    <row r="3081">
      <c r="A3081" s="45"/>
      <c r="B3081" s="24" t="str">
        <f>IFERROR(__xludf.DUMMYFUNCTION("""COMPUTED_VALUE"""),"17/11/2025 17:13:43")</f>
        <v>17/11/2025 17:13:43</v>
      </c>
      <c r="C3081" s="35"/>
      <c r="D3081" s="10">
        <f>IFERROR(__xludf.DUMMYFUNCTION("""COMPUTED_VALUE"""),45978.0)</f>
        <v>45978</v>
      </c>
      <c r="E3081" s="35" t="str">
        <f>IFERROR(__xludf.DUMMYFUNCTION("""COMPUTED_VALUE"""),"11Nov")</f>
        <v>11Nov</v>
      </c>
      <c r="F3081" s="34" t="str">
        <f>IFERROR(__xludf.DUMMYFUNCTION("""COMPUTED_VALUE"""),"2025")</f>
        <v>2025</v>
      </c>
      <c r="G3081" s="35" t="str">
        <f>IFERROR(__xludf.DUMMYFUNCTION("""COMPUTED_VALUE"""),"SUPOMO")</f>
        <v>SUPOMO</v>
      </c>
      <c r="H3081" s="35" t="str">
        <f>IFERROR(__xludf.DUMMYFUNCTION("""COMPUTED_VALUE"""),"S7325111991")</f>
        <v>S7325111991</v>
      </c>
      <c r="I3081" s="35">
        <f>IFERROR(__xludf.DUMMYFUNCTION("""COMPUTED_VALUE"""),53.0)</f>
        <v>53</v>
      </c>
      <c r="J3081" s="35" t="str">
        <f>IFERROR(__xludf.DUMMYFUNCTION("""COMPUTED_VALUE"""),"&gt; 44 tahun")</f>
        <v>&gt; 44 tahun</v>
      </c>
      <c r="K3081" s="21" t="str">
        <f>IFERROR(__xludf.DUMMYFUNCTION("""COMPUTED_VALUE"""),"05/06/1973")</f>
        <v>05/06/1973</v>
      </c>
      <c r="L3081" s="21" t="str">
        <f>IFERROR(__xludf.DUMMYFUNCTION("""COMPUTED_VALUE"""),"LAKI-LAKI")</f>
        <v>LAKI-LAKI</v>
      </c>
      <c r="M3081" s="35" t="str">
        <f>IFERROR(__xludf.DUMMYFUNCTION("""COMPUTED_VALUE"""),"JALAN ALUE BLANG NEUSU")</f>
        <v>JALAN ALUE BLANG NEUSU</v>
      </c>
      <c r="N3081" s="35" t="str">
        <f>IFERROR(__xludf.DUMMYFUNCTION("""COMPUTED_VALUE"""),"NYUSUL ACEH")</f>
        <v>NYUSUL ACEH</v>
      </c>
      <c r="O3081" s="35" t="str">
        <f>IFERROR(__xludf.DUMMYFUNCTION("""COMPUTED_VALUE"""),"BAITURRAHMAN")</f>
        <v>BAITURRAHMAN</v>
      </c>
      <c r="P3081" s="35" t="str">
        <f>IFERROR(__xludf.DUMMYFUNCTION("""COMPUTED_VALUE"""),"BANDA ACEH")</f>
        <v>BANDA ACEH</v>
      </c>
      <c r="Q3081" s="35" t="str">
        <f>IFERROR(__xludf.DUMMYFUNCTION("""COMPUTED_VALUE"""),"BANDA ACEH")</f>
        <v>BANDA ACEH</v>
      </c>
      <c r="R3081" s="21" t="str">
        <f>IFERROR(__xludf.DUMMYFUNCTION("""COMPUTED_VALUE"""),"ISLAM")</f>
        <v>ISLAM</v>
      </c>
      <c r="S3081" s="74" t="str">
        <f>IFERROR(__xludf.DUMMYFUNCTION("""COMPUTED_VALUE"""),"ASN")</f>
        <v>ASN</v>
      </c>
      <c r="T3081" s="35" t="str">
        <f>IFERROR(__xludf.DUMMYFUNCTION("""COMPUTED_VALUE"""),"BAHU KANAN NYERI, TANGAN KANAN TIDAK DAPAT DIGERAKKAN KE ATAS. PERGERAKAN SIKU TIDAK MASALAH. PERGERAKKAN JARI2 TIDAK MASALAH")</f>
        <v>BAHU KANAN NYERI, TANGAN KANAN TIDAK DAPAT DIGERAKKAN KE ATAS. PERGERAKAN SIKU TIDAK MASALAH. PERGERAKKAN JARI2 TIDAK MASALAH</v>
      </c>
      <c r="U3081" s="35" t="str">
        <f>IFERROR(__xludf.DUMMYFUNCTION("""COMPUTED_VALUE"""),"OLAH RAGA TENIS LAPANGAN, PINGPONG")</f>
        <v>OLAH RAGA TENIS LAPANGAN, PINGPONG</v>
      </c>
      <c r="V3081" s="37" t="str">
        <f>IFERROR(__xludf.DUMMYFUNCTION("""COMPUTED_VALUE"""),"081952761991")</f>
        <v>081952761991</v>
      </c>
      <c r="W3081" s="45"/>
    </row>
    <row r="3082">
      <c r="A3082" s="45"/>
      <c r="B3082" s="24" t="str">
        <f>IFERROR(__xludf.DUMMYFUNCTION("""COMPUTED_VALUE"""),"17/11/2025 18:52:12")</f>
        <v>17/11/2025 18:52:12</v>
      </c>
      <c r="C3082" s="35"/>
      <c r="D3082" s="10">
        <f>IFERROR(__xludf.DUMMYFUNCTION("""COMPUTED_VALUE"""),45978.0)</f>
        <v>45978</v>
      </c>
      <c r="E3082" s="35" t="str">
        <f>IFERROR(__xludf.DUMMYFUNCTION("""COMPUTED_VALUE"""),"11Nov")</f>
        <v>11Nov</v>
      </c>
      <c r="F3082" s="34" t="str">
        <f>IFERROR(__xludf.DUMMYFUNCTION("""COMPUTED_VALUE"""),"2025")</f>
        <v>2025</v>
      </c>
      <c r="G3082" s="35" t="str">
        <f>IFERROR(__xludf.DUMMYFUNCTION("""COMPUTED_VALUE"""),"HUMAIRA NOVRIYATI")</f>
        <v>HUMAIRA NOVRIYATI</v>
      </c>
      <c r="H3082" s="35" t="str">
        <f>IFERROR(__xludf.DUMMYFUNCTION("""COMPUTED_VALUE"""),"H7825116588")</f>
        <v>H7825116588</v>
      </c>
      <c r="I3082" s="35">
        <f>IFERROR(__xludf.DUMMYFUNCTION("""COMPUTED_VALUE"""),47.0)</f>
        <v>47</v>
      </c>
      <c r="J3082" s="35" t="str">
        <f>IFERROR(__xludf.DUMMYFUNCTION("""COMPUTED_VALUE"""),"&gt; 44 tahun")</f>
        <v>&gt; 44 tahun</v>
      </c>
      <c r="K3082" s="21" t="str">
        <f>IFERROR(__xludf.DUMMYFUNCTION("""COMPUTED_VALUE"""),"12/11/1978")</f>
        <v>12/11/1978</v>
      </c>
      <c r="L3082" s="21" t="str">
        <f>IFERROR(__xludf.DUMMYFUNCTION("""COMPUTED_VALUE"""),"PEREMPUAN")</f>
        <v>PEREMPUAN</v>
      </c>
      <c r="M3082" s="35" t="str">
        <f>IFERROR(__xludf.DUMMYFUNCTION("""COMPUTED_VALUE"""),"JL URAY BAWADI GG TRIA 1 NO 07")</f>
        <v>JL URAY BAWADI GG TRIA 1 NO 07</v>
      </c>
      <c r="N3082" s="35" t="str">
        <f>IFERROR(__xludf.DUMMYFUNCTION("""COMPUTED_VALUE"""),"SEI BANGKONG")</f>
        <v>SEI BANGKONG</v>
      </c>
      <c r="O3082" s="35" t="str">
        <f>IFERROR(__xludf.DUMMYFUNCTION("""COMPUTED_VALUE"""),"PONTIANAK KOTA")</f>
        <v>PONTIANAK KOTA</v>
      </c>
      <c r="P3082" s="35" t="str">
        <f>IFERROR(__xludf.DUMMYFUNCTION("""COMPUTED_VALUE"""),"PONTIANAK")</f>
        <v>PONTIANAK</v>
      </c>
      <c r="Q3082" s="35" t="str">
        <f>IFERROR(__xludf.DUMMYFUNCTION("""COMPUTED_VALUE"""),"KALIMANTAN BARAT")</f>
        <v>KALIMANTAN BARAT</v>
      </c>
      <c r="R3082" s="21" t="str">
        <f>IFERROR(__xludf.DUMMYFUNCTION("""COMPUTED_VALUE"""),"ISLAM")</f>
        <v>ISLAM</v>
      </c>
      <c r="S3082" s="74" t="str">
        <f>IFERROR(__xludf.DUMMYFUNCTION("""COMPUTED_VALUE"""),"KARYAWAN BUMN")</f>
        <v>KARYAWAN BUMN</v>
      </c>
      <c r="T3082" s="35" t="str">
        <f>IFERROR(__xludf.DUMMYFUNCTION("""COMPUTED_VALUE"""),"KAKI")</f>
        <v>KAKI</v>
      </c>
      <c r="U3082" s="35" t="str">
        <f>IFERROR(__xludf.DUMMYFUNCTION("""COMPUTED_VALUE"""),"-")</f>
        <v>-</v>
      </c>
      <c r="V3082" s="37" t="str">
        <f>IFERROR(__xludf.DUMMYFUNCTION("""COMPUTED_VALUE"""),"08125636588")</f>
        <v>08125636588</v>
      </c>
      <c r="W3082" s="45"/>
    </row>
    <row r="3083">
      <c r="A3083" s="45"/>
      <c r="B3083" s="24" t="str">
        <f>IFERROR(__xludf.DUMMYFUNCTION("""COMPUTED_VALUE"""),"17/11/2025 19:44:16")</f>
        <v>17/11/2025 19:44:16</v>
      </c>
      <c r="C3083" s="35"/>
      <c r="D3083" s="10">
        <f>IFERROR(__xludf.DUMMYFUNCTION("""COMPUTED_VALUE"""),45978.0)</f>
        <v>45978</v>
      </c>
      <c r="E3083" s="35" t="str">
        <f>IFERROR(__xludf.DUMMYFUNCTION("""COMPUTED_VALUE"""),"11Nov")</f>
        <v>11Nov</v>
      </c>
      <c r="F3083" s="34" t="str">
        <f>IFERROR(__xludf.DUMMYFUNCTION("""COMPUTED_VALUE"""),"2025")</f>
        <v>2025</v>
      </c>
      <c r="G3083" s="35" t="str">
        <f>IFERROR(__xludf.DUMMYFUNCTION("""COMPUTED_VALUE"""),"AKIAN")</f>
        <v>AKIAN</v>
      </c>
      <c r="H3083" s="35" t="str">
        <f>IFERROR(__xludf.DUMMYFUNCTION("""COMPUTED_VALUE"""),"A9425110177")</f>
        <v>A9425110177</v>
      </c>
      <c r="I3083" s="35">
        <f>IFERROR(__xludf.DUMMYFUNCTION("""COMPUTED_VALUE"""),31.0)</f>
        <v>31</v>
      </c>
      <c r="J3083" s="35" t="str">
        <f>IFERROR(__xludf.DUMMYFUNCTION("""COMPUTED_VALUE"""),"25-34 tahun")</f>
        <v>25-34 tahun</v>
      </c>
      <c r="K3083" s="21" t="str">
        <f>IFERROR(__xludf.DUMMYFUNCTION("""COMPUTED_VALUE"""),"09/10/1994")</f>
        <v>09/10/1994</v>
      </c>
      <c r="L3083" s="21" t="str">
        <f>IFERROR(__xludf.DUMMYFUNCTION("""COMPUTED_VALUE"""),"LAKI-LAKI")</f>
        <v>LAKI-LAKI</v>
      </c>
      <c r="M3083" s="35" t="str">
        <f>IFERROR(__xludf.DUMMYFUNCTION("""COMPUTED_VALUE"""),"DUSUN KERAMAT 1")</f>
        <v>DUSUN KERAMAT 1</v>
      </c>
      <c r="N3083" s="35" t="str">
        <f>IFERROR(__xludf.DUMMYFUNCTION("""COMPUTED_VALUE"""),"KUALA DUA")</f>
        <v>KUALA DUA</v>
      </c>
      <c r="O3083" s="35" t="str">
        <f>IFERROR(__xludf.DUMMYFUNCTION("""COMPUTED_VALUE"""),"SUNGAI RAYA")</f>
        <v>SUNGAI RAYA</v>
      </c>
      <c r="P3083" s="35" t="str">
        <f>IFERROR(__xludf.DUMMYFUNCTION("""COMPUTED_VALUE"""),"PONTIANAK")</f>
        <v>PONTIANAK</v>
      </c>
      <c r="Q3083" s="35" t="str">
        <f>IFERROR(__xludf.DUMMYFUNCTION("""COMPUTED_VALUE"""),"KALIMANTAN BARAT")</f>
        <v>KALIMANTAN BARAT</v>
      </c>
      <c r="R3083" s="21" t="str">
        <f>IFERROR(__xludf.DUMMYFUNCTION("""COMPUTED_VALUE"""),"KATOLIK")</f>
        <v>KATOLIK</v>
      </c>
      <c r="S3083" s="74" t="str">
        <f>IFERROR(__xludf.DUMMYFUNCTION("""COMPUTED_VALUE"""),"-")</f>
        <v>-</v>
      </c>
      <c r="T3083" s="35" t="str">
        <f>IFERROR(__xludf.DUMMYFUNCTION("""COMPUTED_VALUE"""),"PASCA OPERASI ACL")</f>
        <v>PASCA OPERASI ACL</v>
      </c>
      <c r="U3083" s="35" t="str">
        <f>IFERROR(__xludf.DUMMYFUNCTION("""COMPUTED_VALUE"""),"-")</f>
        <v>-</v>
      </c>
      <c r="V3083" s="37" t="str">
        <f>IFERROR(__xludf.DUMMYFUNCTION("""COMPUTED_VALUE"""),"0895326390177")</f>
        <v>0895326390177</v>
      </c>
      <c r="W3083" s="45"/>
    </row>
    <row r="3084">
      <c r="A3084" s="45"/>
      <c r="B3084" s="24" t="str">
        <f>IFERROR(__xludf.DUMMYFUNCTION("""COMPUTED_VALUE"""),"17/11/2025 20:14:42")</f>
        <v>17/11/2025 20:14:42</v>
      </c>
      <c r="C3084" s="35"/>
      <c r="D3084" s="10">
        <f>IFERROR(__xludf.DUMMYFUNCTION("""COMPUTED_VALUE"""),45978.0)</f>
        <v>45978</v>
      </c>
      <c r="E3084" s="35" t="str">
        <f>IFERROR(__xludf.DUMMYFUNCTION("""COMPUTED_VALUE"""),"11Nov")</f>
        <v>11Nov</v>
      </c>
      <c r="F3084" s="34" t="str">
        <f>IFERROR(__xludf.DUMMYFUNCTION("""COMPUTED_VALUE"""),"2025")</f>
        <v>2025</v>
      </c>
      <c r="G3084" s="35" t="str">
        <f>IFERROR(__xludf.DUMMYFUNCTION("""COMPUTED_VALUE"""),"WISNU")</f>
        <v>WISNU</v>
      </c>
      <c r="H3084" s="35" t="str">
        <f>IFERROR(__xludf.DUMMYFUNCTION("""COMPUTED_VALUE"""),"W0725110582")</f>
        <v>W0725110582</v>
      </c>
      <c r="I3084" s="35">
        <f>IFERROR(__xludf.DUMMYFUNCTION("""COMPUTED_VALUE"""),18.0)</f>
        <v>18</v>
      </c>
      <c r="J3084" s="35" t="str">
        <f>IFERROR(__xludf.DUMMYFUNCTION("""COMPUTED_VALUE"""),"&lt; 18 tahun")</f>
        <v>&lt; 18 tahun</v>
      </c>
      <c r="K3084" s="21" t="str">
        <f>IFERROR(__xludf.DUMMYFUNCTION("""COMPUTED_VALUE"""),"13/10/2007")</f>
        <v>13/10/2007</v>
      </c>
      <c r="L3084" s="21" t="str">
        <f>IFERROR(__xludf.DUMMYFUNCTION("""COMPUTED_VALUE"""),"LAKI-LAKI")</f>
        <v>LAKI-LAKI</v>
      </c>
      <c r="M3084" s="35" t="str">
        <f>IFERROR(__xludf.DUMMYFUNCTION("""COMPUTED_VALUE"""),"SUNGAI SAMBANG")</f>
        <v>SUNGAI SAMBANG</v>
      </c>
      <c r="N3084" s="35" t="str">
        <f>IFERROR(__xludf.DUMMYFUNCTION("""COMPUTED_VALUE"""),"SUNGAI SAMBANG")</f>
        <v>SUNGAI SAMBANG</v>
      </c>
      <c r="O3084" s="35" t="str">
        <f>IFERROR(__xludf.DUMMYFUNCTION("""COMPUTED_VALUE"""),"SEKADAU HILIR")</f>
        <v>SEKADAU HILIR</v>
      </c>
      <c r="P3084" s="35" t="str">
        <f>IFERROR(__xludf.DUMMYFUNCTION("""COMPUTED_VALUE"""),"SEKADAU")</f>
        <v>SEKADAU</v>
      </c>
      <c r="Q3084" s="35" t="str">
        <f>IFERROR(__xludf.DUMMYFUNCTION("""COMPUTED_VALUE"""),"KALIMANTAN BARAT")</f>
        <v>KALIMANTAN BARAT</v>
      </c>
      <c r="R3084" s="21" t="str">
        <f>IFERROR(__xludf.DUMMYFUNCTION("""COMPUTED_VALUE"""),"ISLAM")</f>
        <v>ISLAM</v>
      </c>
      <c r="S3084" s="74" t="str">
        <f>IFERROR(__xludf.DUMMYFUNCTION("""COMPUTED_VALUE"""),"-")</f>
        <v>-</v>
      </c>
      <c r="T3084" s="35" t="str">
        <f>IFERROR(__xludf.DUMMYFUNCTION("""COMPUTED_VALUE"""),"KAKI")</f>
        <v>KAKI</v>
      </c>
      <c r="U3084" s="35" t="str">
        <f>IFERROR(__xludf.DUMMYFUNCTION("""COMPUTED_VALUE"""),"-")</f>
        <v>-</v>
      </c>
      <c r="V3084" s="37" t="str">
        <f>IFERROR(__xludf.DUMMYFUNCTION("""COMPUTED_VALUE"""),"082253890582")</f>
        <v>082253890582</v>
      </c>
      <c r="W3084" s="45"/>
    </row>
    <row r="3085">
      <c r="A3085" s="45"/>
      <c r="B3085" s="24" t="str">
        <f>IFERROR(__xludf.DUMMYFUNCTION("""COMPUTED_VALUE"""),"17/11/2025 14:59:08")</f>
        <v>17/11/2025 14:59:08</v>
      </c>
      <c r="C3085" s="35"/>
      <c r="D3085" s="10">
        <f>IFERROR(__xludf.DUMMYFUNCTION("""COMPUTED_VALUE"""),45979.0)</f>
        <v>45979</v>
      </c>
      <c r="E3085" s="35" t="str">
        <f>IFERROR(__xludf.DUMMYFUNCTION("""COMPUTED_VALUE"""),"11Nov")</f>
        <v>11Nov</v>
      </c>
      <c r="F3085" s="34" t="str">
        <f>IFERROR(__xludf.DUMMYFUNCTION("""COMPUTED_VALUE"""),"2025")</f>
        <v>2025</v>
      </c>
      <c r="G3085" s="35" t="str">
        <f>IFERROR(__xludf.DUMMYFUNCTION("""COMPUTED_VALUE"""),"SOFIA PHUA")</f>
        <v>SOFIA PHUA</v>
      </c>
      <c r="H3085" s="35" t="str">
        <f>IFERROR(__xludf.DUMMYFUNCTION("""COMPUTED_VALUE"""),"S4425117922")</f>
        <v>S4425117922</v>
      </c>
      <c r="I3085" s="35">
        <f>IFERROR(__xludf.DUMMYFUNCTION("""COMPUTED_VALUE"""),82.0)</f>
        <v>82</v>
      </c>
      <c r="J3085" s="35" t="str">
        <f>IFERROR(__xludf.DUMMYFUNCTION("""COMPUTED_VALUE"""),"&gt; 44 tahun")</f>
        <v>&gt; 44 tahun</v>
      </c>
      <c r="K3085" s="21" t="str">
        <f>IFERROR(__xludf.DUMMYFUNCTION("""COMPUTED_VALUE"""),"10/05/1944")</f>
        <v>10/05/1944</v>
      </c>
      <c r="L3085" s="21" t="str">
        <f>IFERROR(__xludf.DUMMYFUNCTION("""COMPUTED_VALUE"""),"PEREMPUAN")</f>
        <v>PEREMPUAN</v>
      </c>
      <c r="M3085" s="35" t="str">
        <f>IFERROR(__xludf.DUMMYFUNCTION("""COMPUTED_VALUE"""),"JL SUPRAPTO 1 NO 4")</f>
        <v>JL SUPRAPTO 1 NO 4</v>
      </c>
      <c r="N3085" s="35" t="str">
        <f>IFERROR(__xludf.DUMMYFUNCTION("""COMPUTED_VALUE"""),"BENUA MELAYU DARAT")</f>
        <v>BENUA MELAYU DARAT</v>
      </c>
      <c r="O3085" s="35" t="str">
        <f>IFERROR(__xludf.DUMMYFUNCTION("""COMPUTED_VALUE"""),"PONTIANAK SELATAN")</f>
        <v>PONTIANAK SELATAN</v>
      </c>
      <c r="P3085" s="35" t="str">
        <f>IFERROR(__xludf.DUMMYFUNCTION("""COMPUTED_VALUE"""),"PONTIANAK")</f>
        <v>PONTIANAK</v>
      </c>
      <c r="Q3085" s="35" t="str">
        <f>IFERROR(__xludf.DUMMYFUNCTION("""COMPUTED_VALUE"""),"KALIMANTAN BARAT")</f>
        <v>KALIMANTAN BARAT</v>
      </c>
      <c r="R3085" s="21" t="str">
        <f>IFERROR(__xludf.DUMMYFUNCTION("""COMPUTED_VALUE"""),"KATOLIK")</f>
        <v>KATOLIK</v>
      </c>
      <c r="S3085" s="74" t="str">
        <f>IFERROR(__xludf.DUMMYFUNCTION("""COMPUTED_VALUE"""),"PENSIUNAN")</f>
        <v>PENSIUNAN</v>
      </c>
      <c r="T3085" s="35" t="str">
        <f>IFERROR(__xludf.DUMMYFUNCTION("""COMPUTED_VALUE"""),"OTOT LEMAH SETELAH SEMBUH DARI JATUH")</f>
        <v>OTOT LEMAH SETELAH SEMBUH DARI JATUH</v>
      </c>
      <c r="U3085" s="35" t="str">
        <f>IFERROR(__xludf.DUMMYFUNCTION("""COMPUTED_VALUE"""),"NO APPLICABLE")</f>
        <v>NO APPLICABLE</v>
      </c>
      <c r="V3085" s="37" t="str">
        <f>IFERROR(__xludf.DUMMYFUNCTION("""COMPUTED_VALUE"""),"085349837922")</f>
        <v>085349837922</v>
      </c>
      <c r="W3085" s="45"/>
    </row>
    <row r="3086">
      <c r="A3086" s="45"/>
      <c r="B3086" s="24" t="str">
        <f>IFERROR(__xludf.DUMMYFUNCTION("""COMPUTED_VALUE"""),"18/11/2025 9:20:53")</f>
        <v>18/11/2025 9:20:53</v>
      </c>
      <c r="C3086" s="35"/>
      <c r="D3086" s="10">
        <f>IFERROR(__xludf.DUMMYFUNCTION("""COMPUTED_VALUE"""),45979.0)</f>
        <v>45979</v>
      </c>
      <c r="E3086" s="35" t="str">
        <f>IFERROR(__xludf.DUMMYFUNCTION("""COMPUTED_VALUE"""),"11Nov")</f>
        <v>11Nov</v>
      </c>
      <c r="F3086" s="34" t="str">
        <f>IFERROR(__xludf.DUMMYFUNCTION("""COMPUTED_VALUE"""),"2025")</f>
        <v>2025</v>
      </c>
      <c r="G3086" s="35" t="str">
        <f>IFERROR(__xludf.DUMMYFUNCTION("""COMPUTED_VALUE"""),"AULI FATHIA PUTRIATI S.FARM, APT")</f>
        <v>AULI FATHIA PUTRIATI S.FARM, APT</v>
      </c>
      <c r="H3086" s="35" t="str">
        <f>IFERROR(__xludf.DUMMYFUNCTION("""COMPUTED_VALUE"""),"A8725115557")</f>
        <v>A8725115557</v>
      </c>
      <c r="I3086" s="35">
        <f>IFERROR(__xludf.DUMMYFUNCTION("""COMPUTED_VALUE"""),38.0)</f>
        <v>38</v>
      </c>
      <c r="J3086" s="35" t="str">
        <f>IFERROR(__xludf.DUMMYFUNCTION("""COMPUTED_VALUE"""),"35-44 tahun")</f>
        <v>35-44 tahun</v>
      </c>
      <c r="K3086" s="21" t="str">
        <f>IFERROR(__xludf.DUMMYFUNCTION("""COMPUTED_VALUE"""),"10/12/1987")</f>
        <v>10/12/1987</v>
      </c>
      <c r="L3086" s="21" t="str">
        <f>IFERROR(__xludf.DUMMYFUNCTION("""COMPUTED_VALUE"""),"PEREMPUAN")</f>
        <v>PEREMPUAN</v>
      </c>
      <c r="M3086" s="35" t="str">
        <f>IFERROR(__xludf.DUMMYFUNCTION("""COMPUTED_VALUE"""),"JL. DR. WAHIDIN S KOMP. BATARA INDAH I BLOK S")</f>
        <v>JL. DR. WAHIDIN S KOMP. BATARA INDAH I BLOK S</v>
      </c>
      <c r="N3086" s="35" t="str">
        <f>IFERROR(__xludf.DUMMYFUNCTION("""COMPUTED_VALUE"""),"SUNGAI JAWI")</f>
        <v>SUNGAI JAWI</v>
      </c>
      <c r="O3086" s="35" t="str">
        <f>IFERROR(__xludf.DUMMYFUNCTION("""COMPUTED_VALUE"""),"PONTIANAK KOTA")</f>
        <v>PONTIANAK KOTA</v>
      </c>
      <c r="P3086" s="35" t="str">
        <f>IFERROR(__xludf.DUMMYFUNCTION("""COMPUTED_VALUE"""),"PONTIANAK")</f>
        <v>PONTIANAK</v>
      </c>
      <c r="Q3086" s="35" t="str">
        <f>IFERROR(__xludf.DUMMYFUNCTION("""COMPUTED_VALUE"""),"KALIMANTAN BARAT")</f>
        <v>KALIMANTAN BARAT</v>
      </c>
      <c r="R3086" s="21" t="str">
        <f>IFERROR(__xludf.DUMMYFUNCTION("""COMPUTED_VALUE"""),"ISLAM")</f>
        <v>ISLAM</v>
      </c>
      <c r="S3086" s="74" t="str">
        <f>IFERROR(__xludf.DUMMYFUNCTION("""COMPUTED_VALUE"""),"KARYAWAN SWASTA")</f>
        <v>KARYAWAN SWASTA</v>
      </c>
      <c r="T3086" s="35" t="str">
        <f>IFERROR(__xludf.DUMMYFUNCTION("""COMPUTED_VALUE"""),"NYERI SAAT NARIK NAFAS DAN BERGERAK AREA RUSUK DEPAN HINGGA BELAKANG SEBELAH KANAN")</f>
        <v>NYERI SAAT NARIK NAFAS DAN BERGERAK AREA RUSUK DEPAN HINGGA BELAKANG SEBELAH KANAN</v>
      </c>
      <c r="U3086" s="35" t="str">
        <f>IFERROR(__xludf.DUMMYFUNCTION("""COMPUTED_VALUE"""),"SAAT INI SEDANG BATUK, OLAHRAGA THREADMIL DAN BULU TANGKIS BEBERAPA WAKTU INI")</f>
        <v>SAAT INI SEDANG BATUK, OLAHRAGA THREADMIL DAN BULU TANGKIS BEBERAPA WAKTU INI</v>
      </c>
      <c r="V3086" s="37" t="str">
        <f>IFERROR(__xludf.DUMMYFUNCTION("""COMPUTED_VALUE"""),"08115665557")</f>
        <v>08115665557</v>
      </c>
      <c r="W3086" s="45"/>
    </row>
    <row r="3087">
      <c r="A3087" s="45"/>
      <c r="B3087" s="24" t="str">
        <f>IFERROR(__xludf.DUMMYFUNCTION("""COMPUTED_VALUE"""),"18/11/2025 9:27:38")</f>
        <v>18/11/2025 9:27:38</v>
      </c>
      <c r="C3087" s="35"/>
      <c r="D3087" s="10">
        <f>IFERROR(__xludf.DUMMYFUNCTION("""COMPUTED_VALUE"""),45979.0)</f>
        <v>45979</v>
      </c>
      <c r="E3087" s="35" t="str">
        <f>IFERROR(__xludf.DUMMYFUNCTION("""COMPUTED_VALUE"""),"11Nov")</f>
        <v>11Nov</v>
      </c>
      <c r="F3087" s="34" t="str">
        <f>IFERROR(__xludf.DUMMYFUNCTION("""COMPUTED_VALUE"""),"2025")</f>
        <v>2025</v>
      </c>
      <c r="G3087" s="35" t="str">
        <f>IFERROR(__xludf.DUMMYFUNCTION("""COMPUTED_VALUE"""),"SETIO BONO SAPUTRO")</f>
        <v>SETIO BONO SAPUTRO</v>
      </c>
      <c r="H3087" s="35" t="str">
        <f>IFERROR(__xludf.DUMMYFUNCTION("""COMPUTED_VALUE"""),"S7325119020")</f>
        <v>S7325119020</v>
      </c>
      <c r="I3087" s="35">
        <f>IFERROR(__xludf.DUMMYFUNCTION("""COMPUTED_VALUE"""),52.0)</f>
        <v>52</v>
      </c>
      <c r="J3087" s="35" t="str">
        <f>IFERROR(__xludf.DUMMYFUNCTION("""COMPUTED_VALUE"""),"&gt; 44 tahun")</f>
        <v>&gt; 44 tahun</v>
      </c>
      <c r="K3087" s="21" t="str">
        <f>IFERROR(__xludf.DUMMYFUNCTION("""COMPUTED_VALUE"""),"13/11/1973")</f>
        <v>13/11/1973</v>
      </c>
      <c r="L3087" s="21" t="str">
        <f>IFERROR(__xludf.DUMMYFUNCTION("""COMPUTED_VALUE"""),"LAKI-LAKI")</f>
        <v>LAKI-LAKI</v>
      </c>
      <c r="M3087" s="35" t="str">
        <f>IFERROR(__xludf.DUMMYFUNCTION("""COMPUTED_VALUE"""),"JL KARYA SOSIAL KOMP BALI ASRI 2 BLOK F 14")</f>
        <v>JL KARYA SOSIAL KOMP BALI ASRI 2 BLOK F 14</v>
      </c>
      <c r="N3087" s="35" t="str">
        <f>IFERROR(__xludf.DUMMYFUNCTION("""COMPUTED_VALUE"""),"PAL SEMBILAN")</f>
        <v>PAL SEMBILAN</v>
      </c>
      <c r="O3087" s="35" t="str">
        <f>IFERROR(__xludf.DUMMYFUNCTION("""COMPUTED_VALUE"""),"SUNGAI KAKAP")</f>
        <v>SUNGAI KAKAP</v>
      </c>
      <c r="P3087" s="35" t="str">
        <f>IFERROR(__xludf.DUMMYFUNCTION("""COMPUTED_VALUE"""),"KUBU RAYA")</f>
        <v>KUBU RAYA</v>
      </c>
      <c r="Q3087" s="35" t="str">
        <f>IFERROR(__xludf.DUMMYFUNCTION("""COMPUTED_VALUE"""),"KALIMANTAN BARAT")</f>
        <v>KALIMANTAN BARAT</v>
      </c>
      <c r="R3087" s="21" t="str">
        <f>IFERROR(__xludf.DUMMYFUNCTION("""COMPUTED_VALUE"""),"ISLAM")</f>
        <v>ISLAM</v>
      </c>
      <c r="S3087" s="74" t="str">
        <f>IFERROR(__xludf.DUMMYFUNCTION("""COMPUTED_VALUE"""),"TIDAK BEKERJA")</f>
        <v>TIDAK BEKERJA</v>
      </c>
      <c r="T3087" s="35" t="str">
        <f>IFERROR(__xludf.DUMMYFUNCTION("""COMPUTED_VALUE"""),"TANGAN KAKI SEBELAH KANAN TIDAK BISA BERGERAK")</f>
        <v>TANGAN KAKI SEBELAH KANAN TIDAK BISA BERGERAK</v>
      </c>
      <c r="U3087" s="35" t="str">
        <f>IFERROR(__xludf.DUMMYFUNCTION("""COMPUTED_VALUE"""),"-")</f>
        <v>-</v>
      </c>
      <c r="V3087" s="37" t="str">
        <f>IFERROR(__xludf.DUMMYFUNCTION("""COMPUTED_VALUE"""),"0895397449020")</f>
        <v>0895397449020</v>
      </c>
      <c r="W3087" s="45"/>
    </row>
    <row r="3088">
      <c r="A3088" s="45"/>
      <c r="B3088" s="24" t="str">
        <f>IFERROR(__xludf.DUMMYFUNCTION("""COMPUTED_VALUE"""),"18/11/2025 10:54:11")</f>
        <v>18/11/2025 10:54:11</v>
      </c>
      <c r="C3088" s="35"/>
      <c r="D3088" s="10">
        <f>IFERROR(__xludf.DUMMYFUNCTION("""COMPUTED_VALUE"""),45979.0)</f>
        <v>45979</v>
      </c>
      <c r="E3088" s="35" t="str">
        <f>IFERROR(__xludf.DUMMYFUNCTION("""COMPUTED_VALUE"""),"11Nov")</f>
        <v>11Nov</v>
      </c>
      <c r="F3088" s="34" t="str">
        <f>IFERROR(__xludf.DUMMYFUNCTION("""COMPUTED_VALUE"""),"2025")</f>
        <v>2025</v>
      </c>
      <c r="G3088" s="35" t="str">
        <f>IFERROR(__xludf.DUMMYFUNCTION("""COMPUTED_VALUE"""),"IDRIS 5503")</f>
        <v>IDRIS 5503</v>
      </c>
      <c r="H3088" s="35" t="str">
        <f>IFERROR(__xludf.DUMMYFUNCTION("""COMPUTED_VALUE"""),"I5525110751")</f>
        <v>I5525110751</v>
      </c>
      <c r="I3088" s="35">
        <f>IFERROR(__xludf.DUMMYFUNCTION("""COMPUTED_VALUE"""),71.0)</f>
        <v>71</v>
      </c>
      <c r="J3088" s="35" t="str">
        <f>IFERROR(__xludf.DUMMYFUNCTION("""COMPUTED_VALUE"""),"&gt; 44 tahun")</f>
        <v>&gt; 44 tahun</v>
      </c>
      <c r="K3088" s="21" t="str">
        <f>IFERROR(__xludf.DUMMYFUNCTION("""COMPUTED_VALUE"""),"14/03/1955")</f>
        <v>14/03/1955</v>
      </c>
      <c r="L3088" s="21" t="str">
        <f>IFERROR(__xludf.DUMMYFUNCTION("""COMPUTED_VALUE"""),"LAKI-LAKI")</f>
        <v>LAKI-LAKI</v>
      </c>
      <c r="M3088" s="35" t="str">
        <f>IFERROR(__xludf.DUMMYFUNCTION("""COMPUTED_VALUE"""),"DUSUN RAIY")</f>
        <v>DUSUN RAIY</v>
      </c>
      <c r="N3088" s="35" t="str">
        <f>IFERROR(__xludf.DUMMYFUNCTION("""COMPUTED_VALUE"""),"RAJA")</f>
        <v>RAJA</v>
      </c>
      <c r="O3088" s="35" t="str">
        <f>IFERROR(__xludf.DUMMYFUNCTION("""COMPUTED_VALUE"""),"NGABANG")</f>
        <v>NGABANG</v>
      </c>
      <c r="P3088" s="35" t="str">
        <f>IFERROR(__xludf.DUMMYFUNCTION("""COMPUTED_VALUE"""),"NGABANG")</f>
        <v>NGABANG</v>
      </c>
      <c r="Q3088" s="35" t="str">
        <f>IFERROR(__xludf.DUMMYFUNCTION("""COMPUTED_VALUE"""),"KALIMANTAN BARAT")</f>
        <v>KALIMANTAN BARAT</v>
      </c>
      <c r="R3088" s="21" t="str">
        <f>IFERROR(__xludf.DUMMYFUNCTION("""COMPUTED_VALUE"""),"ISLAM")</f>
        <v>ISLAM</v>
      </c>
      <c r="S3088" s="74" t="str">
        <f>IFERROR(__xludf.DUMMYFUNCTION("""COMPUTED_VALUE"""),"PETANI/PEKEBUN")</f>
        <v>PETANI/PEKEBUN</v>
      </c>
      <c r="T3088" s="35" t="str">
        <f>IFERROR(__xludf.DUMMYFUNCTION("""COMPUTED_VALUE"""),"BICARA PELO DAN TUBUH SULIT BERGERAK NORMAL")</f>
        <v>BICARA PELO DAN TUBUH SULIT BERGERAK NORMAL</v>
      </c>
      <c r="U3088" s="35" t="str">
        <f>IFERROR(__xludf.DUMMYFUNCTION("""COMPUTED_VALUE"""),"-")</f>
        <v>-</v>
      </c>
      <c r="V3088" s="37" t="str">
        <f>IFERROR(__xludf.DUMMYFUNCTION("""COMPUTED_VALUE"""),"085252600751")</f>
        <v>085252600751</v>
      </c>
      <c r="W3088" s="45"/>
    </row>
    <row r="3089">
      <c r="A3089" s="45"/>
      <c r="B3089" s="24" t="str">
        <f>IFERROR(__xludf.DUMMYFUNCTION("""COMPUTED_VALUE"""),"18/11/2025 11:16:45")</f>
        <v>18/11/2025 11:16:45</v>
      </c>
      <c r="C3089" s="35"/>
      <c r="D3089" s="10">
        <f>IFERROR(__xludf.DUMMYFUNCTION("""COMPUTED_VALUE"""),45979.0)</f>
        <v>45979</v>
      </c>
      <c r="E3089" s="35" t="str">
        <f>IFERROR(__xludf.DUMMYFUNCTION("""COMPUTED_VALUE"""),"11Nov")</f>
        <v>11Nov</v>
      </c>
      <c r="F3089" s="34" t="str">
        <f>IFERROR(__xludf.DUMMYFUNCTION("""COMPUTED_VALUE"""),"2025")</f>
        <v>2025</v>
      </c>
      <c r="G3089" s="35" t="str">
        <f>IFERROR(__xludf.DUMMYFUNCTION("""COMPUTED_VALUE"""),"CHIKI AMARA SYAHLITHA")</f>
        <v>CHIKI AMARA SYAHLITHA</v>
      </c>
      <c r="H3089" s="35" t="str">
        <f>IFERROR(__xludf.DUMMYFUNCTION("""COMPUTED_VALUE"""),"C9925116192")</f>
        <v>C9925116192</v>
      </c>
      <c r="I3089" s="35">
        <f>IFERROR(__xludf.DUMMYFUNCTION("""COMPUTED_VALUE"""),26.0)</f>
        <v>26</v>
      </c>
      <c r="J3089" s="35" t="str">
        <f>IFERROR(__xludf.DUMMYFUNCTION("""COMPUTED_VALUE"""),"25-34 tahun")</f>
        <v>25-34 tahun</v>
      </c>
      <c r="K3089" s="21" t="str">
        <f>IFERROR(__xludf.DUMMYFUNCTION("""COMPUTED_VALUE"""),"17/06/1999")</f>
        <v>17/06/1999</v>
      </c>
      <c r="L3089" s="21" t="str">
        <f>IFERROR(__xludf.DUMMYFUNCTION("""COMPUTED_VALUE"""),"PEREMPUAN")</f>
        <v>PEREMPUAN</v>
      </c>
      <c r="M3089" s="35" t="str">
        <f>IFERROR(__xludf.DUMMYFUNCTION("""COMPUTED_VALUE"""),"JL PUTRI DARAHITAM NO 22C")</f>
        <v>JL PUTRI DARAHITAM NO 22C</v>
      </c>
      <c r="N3089" s="35" t="str">
        <f>IFERROR(__xludf.DUMMYFUNCTION("""COMPUTED_VALUE"""),"SUNGAI BANGKONG")</f>
        <v>SUNGAI BANGKONG</v>
      </c>
      <c r="O3089" s="35" t="str">
        <f>IFERROR(__xludf.DUMMYFUNCTION("""COMPUTED_VALUE"""),"PONTIANAK KOTA")</f>
        <v>PONTIANAK KOTA</v>
      </c>
      <c r="P3089" s="35" t="str">
        <f>IFERROR(__xludf.DUMMYFUNCTION("""COMPUTED_VALUE"""),"PONTIANAK")</f>
        <v>PONTIANAK</v>
      </c>
      <c r="Q3089" s="35" t="str">
        <f>IFERROR(__xludf.DUMMYFUNCTION("""COMPUTED_VALUE"""),"KALIMANTAN BARAT")</f>
        <v>KALIMANTAN BARAT</v>
      </c>
      <c r="R3089" s="21" t="str">
        <f>IFERROR(__xludf.DUMMYFUNCTION("""COMPUTED_VALUE"""),"ISLAM")</f>
        <v>ISLAM</v>
      </c>
      <c r="S3089" s="74" t="str">
        <f>IFERROR(__xludf.DUMMYFUNCTION("""COMPUTED_VALUE"""),"RUMAH TANGGA")</f>
        <v>RUMAH TANGGA</v>
      </c>
      <c r="T3089" s="35" t="str">
        <f>IFERROR(__xludf.DUMMYFUNCTION("""COMPUTED_VALUE"""),"LUTUT SAKIT")</f>
        <v>LUTUT SAKIT</v>
      </c>
      <c r="U3089" s="35" t="str">
        <f>IFERROR(__xludf.DUMMYFUNCTION("""COMPUTED_VALUE"""),"MEMASAK")</f>
        <v>MEMASAK</v>
      </c>
      <c r="V3089" s="37" t="str">
        <f>IFERROR(__xludf.DUMMYFUNCTION("""COMPUTED_VALUE"""),"087764266192")</f>
        <v>087764266192</v>
      </c>
      <c r="W3089" s="45"/>
    </row>
    <row r="3090">
      <c r="A3090" s="45"/>
      <c r="B3090" s="24" t="str">
        <f>IFERROR(__xludf.DUMMYFUNCTION("""COMPUTED_VALUE"""),"18/11/2025 11:46:33")</f>
        <v>18/11/2025 11:46:33</v>
      </c>
      <c r="C3090" s="35"/>
      <c r="D3090" s="10">
        <f>IFERROR(__xludf.DUMMYFUNCTION("""COMPUTED_VALUE"""),45979.0)</f>
        <v>45979</v>
      </c>
      <c r="E3090" s="35" t="str">
        <f>IFERROR(__xludf.DUMMYFUNCTION("""COMPUTED_VALUE"""),"11Nov")</f>
        <v>11Nov</v>
      </c>
      <c r="F3090" s="34" t="str">
        <f>IFERROR(__xludf.DUMMYFUNCTION("""COMPUTED_VALUE"""),"2025")</f>
        <v>2025</v>
      </c>
      <c r="G3090" s="35" t="str">
        <f>IFERROR(__xludf.DUMMYFUNCTION("""COMPUTED_VALUE"""),"ALYSSA SALSABILLA")</f>
        <v>ALYSSA SALSABILLA</v>
      </c>
      <c r="H3090" s="35" t="str">
        <f>IFERROR(__xludf.DUMMYFUNCTION("""COMPUTED_VALUE"""),"A0125119292")</f>
        <v>A0125119292</v>
      </c>
      <c r="I3090" s="35">
        <f>IFERROR(__xludf.DUMMYFUNCTION("""COMPUTED_VALUE"""),25.0)</f>
        <v>25</v>
      </c>
      <c r="J3090" s="35" t="str">
        <f>IFERROR(__xludf.DUMMYFUNCTION("""COMPUTED_VALUE"""),"25-34 tahun")</f>
        <v>25-34 tahun</v>
      </c>
      <c r="K3090" s="21" t="str">
        <f>IFERROR(__xludf.DUMMYFUNCTION("""COMPUTED_VALUE"""),"30/03/2001")</f>
        <v>30/03/2001</v>
      </c>
      <c r="L3090" s="21" t="str">
        <f>IFERROR(__xludf.DUMMYFUNCTION("""COMPUTED_VALUE"""),"PEREMPUAN")</f>
        <v>PEREMPUAN</v>
      </c>
      <c r="M3090" s="35" t="str">
        <f>IFERROR(__xludf.DUMMYFUNCTION("""COMPUTED_VALUE"""),"JL. GAJAH MADA GG. GAJAH MADA 20 NO. 15")</f>
        <v>JL. GAJAH MADA GG. GAJAH MADA 20 NO. 15</v>
      </c>
      <c r="N3090" s="35" t="str">
        <f>IFERROR(__xludf.DUMMYFUNCTION("""COMPUTED_VALUE"""),"BENUA MELAYU DARAT")</f>
        <v>BENUA MELAYU DARAT</v>
      </c>
      <c r="O3090" s="35" t="str">
        <f>IFERROR(__xludf.DUMMYFUNCTION("""COMPUTED_VALUE"""),"PONTIANAK SELATAN")</f>
        <v>PONTIANAK SELATAN</v>
      </c>
      <c r="P3090" s="35" t="str">
        <f>IFERROR(__xludf.DUMMYFUNCTION("""COMPUTED_VALUE"""),"KOTA PONTIANAK")</f>
        <v>KOTA PONTIANAK</v>
      </c>
      <c r="Q3090" s="35" t="str">
        <f>IFERROR(__xludf.DUMMYFUNCTION("""COMPUTED_VALUE"""),"KALIMANTAN BARAT")</f>
        <v>KALIMANTAN BARAT</v>
      </c>
      <c r="R3090" s="21" t="str">
        <f>IFERROR(__xludf.DUMMYFUNCTION("""COMPUTED_VALUE"""),"ISLAM")</f>
        <v>ISLAM</v>
      </c>
      <c r="S3090" s="74" t="str">
        <f>IFERROR(__xludf.DUMMYFUNCTION("""COMPUTED_VALUE"""),"ADMIN")</f>
        <v>ADMIN</v>
      </c>
      <c r="T3090" s="35" t="str">
        <f>IFERROR(__xludf.DUMMYFUNCTION("""COMPUTED_VALUE"""),"LUTUT SAKIT")</f>
        <v>LUTUT SAKIT</v>
      </c>
      <c r="U3090" s="35" t="str">
        <f>IFERROR(__xludf.DUMMYFUNCTION("""COMPUTED_VALUE"""),"LARI")</f>
        <v>LARI</v>
      </c>
      <c r="V3090" s="37" t="str">
        <f>IFERROR(__xludf.DUMMYFUNCTION("""COMPUTED_VALUE"""),"081258289292")</f>
        <v>081258289292</v>
      </c>
      <c r="W3090" s="45"/>
    </row>
    <row r="3091">
      <c r="A3091" s="45"/>
      <c r="B3091" s="24" t="str">
        <f>IFERROR(__xludf.DUMMYFUNCTION("""COMPUTED_VALUE"""),"18/11/2025 13:49:37")</f>
        <v>18/11/2025 13:49:37</v>
      </c>
      <c r="C3091" s="35"/>
      <c r="D3091" s="10">
        <f>IFERROR(__xludf.DUMMYFUNCTION("""COMPUTED_VALUE"""),45979.0)</f>
        <v>45979</v>
      </c>
      <c r="E3091" s="35" t="str">
        <f>IFERROR(__xludf.DUMMYFUNCTION("""COMPUTED_VALUE"""),"11Nov")</f>
        <v>11Nov</v>
      </c>
      <c r="F3091" s="34" t="str">
        <f>IFERROR(__xludf.DUMMYFUNCTION("""COMPUTED_VALUE"""),"2025")</f>
        <v>2025</v>
      </c>
      <c r="G3091" s="35" t="str">
        <f>IFERROR(__xludf.DUMMYFUNCTION("""COMPUTED_VALUE"""),"CHRISTIAN WIDIYANTO")</f>
        <v>CHRISTIAN WIDIYANTO</v>
      </c>
      <c r="H3091" s="35" t="str">
        <f>IFERROR(__xludf.DUMMYFUNCTION("""COMPUTED_VALUE"""),"C0525115291")</f>
        <v>C0525115291</v>
      </c>
      <c r="I3091" s="35">
        <f>IFERROR(__xludf.DUMMYFUNCTION("""COMPUTED_VALUE"""),20.0)</f>
        <v>20</v>
      </c>
      <c r="J3091" s="35" t="str">
        <f>IFERROR(__xludf.DUMMYFUNCTION("""COMPUTED_VALUE"""),"18-24 tahun")</f>
        <v>18-24 tahun</v>
      </c>
      <c r="K3091" s="21" t="str">
        <f>IFERROR(__xludf.DUMMYFUNCTION("""COMPUTED_VALUE"""),"30/06/2005")</f>
        <v>30/06/2005</v>
      </c>
      <c r="L3091" s="21" t="str">
        <f>IFERROR(__xludf.DUMMYFUNCTION("""COMPUTED_VALUE"""),"LAKI-LAKI")</f>
        <v>LAKI-LAKI</v>
      </c>
      <c r="M3091" s="35" t="str">
        <f>IFERROR(__xludf.DUMMYFUNCTION("""COMPUTED_VALUE"""),"JL RAYA SOSOK 2")</f>
        <v>JL RAYA SOSOK 2</v>
      </c>
      <c r="N3091" s="35" t="str">
        <f>IFERROR(__xludf.DUMMYFUNCTION("""COMPUTED_VALUE"""),"SOSOK")</f>
        <v>SOSOK</v>
      </c>
      <c r="O3091" s="35" t="str">
        <f>IFERROR(__xludf.DUMMYFUNCTION("""COMPUTED_VALUE"""),"TAYAN HULU")</f>
        <v>TAYAN HULU</v>
      </c>
      <c r="P3091" s="35" t="str">
        <f>IFERROR(__xludf.DUMMYFUNCTION("""COMPUTED_VALUE"""),"SANGGAU")</f>
        <v>SANGGAU</v>
      </c>
      <c r="Q3091" s="35" t="str">
        <f>IFERROR(__xludf.DUMMYFUNCTION("""COMPUTED_VALUE"""),"KALIMANTAN BARAT")</f>
        <v>KALIMANTAN BARAT</v>
      </c>
      <c r="R3091" s="21" t="str">
        <f>IFERROR(__xludf.DUMMYFUNCTION("""COMPUTED_VALUE"""),"KATOLIK")</f>
        <v>KATOLIK</v>
      </c>
      <c r="S3091" s="74" t="str">
        <f>IFERROR(__xludf.DUMMYFUNCTION("""COMPUTED_VALUE"""),"-")</f>
        <v>-</v>
      </c>
      <c r="T3091" s="35" t="str">
        <f>IFERROR(__xludf.DUMMYFUNCTION("""COMPUTED_VALUE"""),"LUTUT (TERAKHIR CEK DISINI DI BILANG NYA ADA KEMUNGKINAN ACL 2022)")</f>
        <v>LUTUT (TERAKHIR CEK DISINI DI BILANG NYA ADA KEMUNGKINAN ACL 2022)</v>
      </c>
      <c r="U3091" s="35" t="str">
        <f>IFERROR(__xludf.DUMMYFUNCTION("""COMPUTED_VALUE"""),"BASKET, BADMINTON")</f>
        <v>BASKET, BADMINTON</v>
      </c>
      <c r="V3091" s="37" t="str">
        <f>IFERROR(__xludf.DUMMYFUNCTION("""COMPUTED_VALUE"""),"081256725291")</f>
        <v>081256725291</v>
      </c>
      <c r="W3091" s="45"/>
    </row>
    <row r="3092">
      <c r="A3092" s="45"/>
      <c r="B3092" s="24" t="str">
        <f>IFERROR(__xludf.DUMMYFUNCTION("""COMPUTED_VALUE"""),"18/11/2025 16:48:08")</f>
        <v>18/11/2025 16:48:08</v>
      </c>
      <c r="C3092" s="35"/>
      <c r="D3092" s="10">
        <f>IFERROR(__xludf.DUMMYFUNCTION("""COMPUTED_VALUE"""),45979.0)</f>
        <v>45979</v>
      </c>
      <c r="E3092" s="35" t="str">
        <f>IFERROR(__xludf.DUMMYFUNCTION("""COMPUTED_VALUE"""),"11Nov")</f>
        <v>11Nov</v>
      </c>
      <c r="F3092" s="34" t="str">
        <f>IFERROR(__xludf.DUMMYFUNCTION("""COMPUTED_VALUE"""),"2025")</f>
        <v>2025</v>
      </c>
      <c r="G3092" s="35" t="str">
        <f>IFERROR(__xludf.DUMMYFUNCTION("""COMPUTED_VALUE"""),"MUH AGUS MAULANA")</f>
        <v>MUH AGUS MAULANA</v>
      </c>
      <c r="H3092" s="35" t="str">
        <f>IFERROR(__xludf.DUMMYFUNCTION("""COMPUTED_VALUE"""),"M9225117800")</f>
        <v>M9225117800</v>
      </c>
      <c r="I3092" s="35">
        <f>IFERROR(__xludf.DUMMYFUNCTION("""COMPUTED_VALUE"""),33.0)</f>
        <v>33</v>
      </c>
      <c r="J3092" s="35" t="str">
        <f>IFERROR(__xludf.DUMMYFUNCTION("""COMPUTED_VALUE"""),"25-34 tahun")</f>
        <v>25-34 tahun</v>
      </c>
      <c r="K3092" s="21" t="str">
        <f>IFERROR(__xludf.DUMMYFUNCTION("""COMPUTED_VALUE"""),"28/08/1992")</f>
        <v>28/08/1992</v>
      </c>
      <c r="L3092" s="21" t="str">
        <f>IFERROR(__xludf.DUMMYFUNCTION("""COMPUTED_VALUE"""),"LAKI-LAKI")</f>
        <v>LAKI-LAKI</v>
      </c>
      <c r="M3092" s="35" t="str">
        <f>IFERROR(__xludf.DUMMYFUNCTION("""COMPUTED_VALUE"""),"SUMATERA BARAT")</f>
        <v>SUMATERA BARAT</v>
      </c>
      <c r="N3092" s="35" t="str">
        <f>IFERROR(__xludf.DUMMYFUNCTION("""COMPUTED_VALUE"""),"SIMPURUIK")</f>
        <v>SIMPURUIK</v>
      </c>
      <c r="O3092" s="35" t="str">
        <f>IFERROR(__xludf.DUMMYFUNCTION("""COMPUTED_VALUE"""),"JORONG SIMPURUIK")</f>
        <v>JORONG SIMPURUIK</v>
      </c>
      <c r="P3092" s="35" t="str">
        <f>IFERROR(__xludf.DUMMYFUNCTION("""COMPUTED_VALUE"""),"TANAH DATAR")</f>
        <v>TANAH DATAR</v>
      </c>
      <c r="Q3092" s="35" t="str">
        <f>IFERROR(__xludf.DUMMYFUNCTION("""COMPUTED_VALUE"""),"KALIMANTAN BARAT")</f>
        <v>KALIMANTAN BARAT</v>
      </c>
      <c r="R3092" s="21" t="str">
        <f>IFERROR(__xludf.DUMMYFUNCTION("""COMPUTED_VALUE"""),"ISLAM")</f>
        <v>ISLAM</v>
      </c>
      <c r="S3092" s="74" t="str">
        <f>IFERROR(__xludf.DUMMYFUNCTION("""COMPUTED_VALUE"""),"PNS")</f>
        <v>PNS</v>
      </c>
      <c r="T3092" s="35" t="str">
        <f>IFERROR(__xludf.DUMMYFUNCTION("""COMPUTED_VALUE"""),"NYERI DI LUTUT")</f>
        <v>NYERI DI LUTUT</v>
      </c>
      <c r="U3092" s="35" t="str">
        <f>IFERROR(__xludf.DUMMYFUNCTION("""COMPUTED_VALUE"""),"SEPAKBOLA")</f>
        <v>SEPAKBOLA</v>
      </c>
      <c r="V3092" s="37" t="str">
        <f>IFERROR(__xludf.DUMMYFUNCTION("""COMPUTED_VALUE"""),"081293847800")</f>
        <v>081293847800</v>
      </c>
      <c r="W3092" s="45"/>
    </row>
    <row r="3093">
      <c r="A3093" s="45"/>
      <c r="B3093" s="24" t="str">
        <f>IFERROR(__xludf.DUMMYFUNCTION("""COMPUTED_VALUE"""),"19/11/2025 12:12:13")</f>
        <v>19/11/2025 12:12:13</v>
      </c>
      <c r="C3093" s="35"/>
      <c r="D3093" s="10">
        <f>IFERROR(__xludf.DUMMYFUNCTION("""COMPUTED_VALUE"""),45980.0)</f>
        <v>45980</v>
      </c>
      <c r="E3093" s="35" t="str">
        <f>IFERROR(__xludf.DUMMYFUNCTION("""COMPUTED_VALUE"""),"11Nov")</f>
        <v>11Nov</v>
      </c>
      <c r="F3093" s="34" t="str">
        <f>IFERROR(__xludf.DUMMYFUNCTION("""COMPUTED_VALUE"""),"2025")</f>
        <v>2025</v>
      </c>
      <c r="G3093" s="35" t="str">
        <f>IFERROR(__xludf.DUMMYFUNCTION("""COMPUTED_VALUE"""),"IRIYANI")</f>
        <v>IRIYANI</v>
      </c>
      <c r="H3093" s="35" t="str">
        <f>IFERROR(__xludf.DUMMYFUNCTION("""COMPUTED_VALUE"""),"I5825112202")</f>
        <v>I5825112202</v>
      </c>
      <c r="I3093" s="35">
        <f>IFERROR(__xludf.DUMMYFUNCTION("""COMPUTED_VALUE"""),68.0)</f>
        <v>68</v>
      </c>
      <c r="J3093" s="35" t="str">
        <f>IFERROR(__xludf.DUMMYFUNCTION("""COMPUTED_VALUE"""),"&gt; 44 tahun")</f>
        <v>&gt; 44 tahun</v>
      </c>
      <c r="K3093" s="21" t="str">
        <f>IFERROR(__xludf.DUMMYFUNCTION("""COMPUTED_VALUE"""),"06/01/1958")</f>
        <v>06/01/1958</v>
      </c>
      <c r="L3093" s="21" t="str">
        <f>IFERROR(__xludf.DUMMYFUNCTION("""COMPUTED_VALUE"""),"PEREMPUAN")</f>
        <v>PEREMPUAN</v>
      </c>
      <c r="M3093" s="35" t="str">
        <f>IFERROR(__xludf.DUMMYFUNCTION("""COMPUTED_VALUE"""),"JL MERDEKA GG PUNAI NO 1A")</f>
        <v>JL MERDEKA GG PUNAI NO 1A</v>
      </c>
      <c r="N3093" s="35" t="str">
        <f>IFERROR(__xludf.DUMMYFUNCTION("""COMPUTED_VALUE"""),"MARIANA")</f>
        <v>MARIANA</v>
      </c>
      <c r="O3093" s="35" t="str">
        <f>IFERROR(__xludf.DUMMYFUNCTION("""COMPUTED_VALUE"""),"PONTIANAK KOTA")</f>
        <v>PONTIANAK KOTA</v>
      </c>
      <c r="P3093" s="35" t="str">
        <f>IFERROR(__xludf.DUMMYFUNCTION("""COMPUTED_VALUE"""),"PONTIANAK")</f>
        <v>PONTIANAK</v>
      </c>
      <c r="Q3093" s="35" t="str">
        <f>IFERROR(__xludf.DUMMYFUNCTION("""COMPUTED_VALUE"""),"KALIMANTAN BARAT")</f>
        <v>KALIMANTAN BARAT</v>
      </c>
      <c r="R3093" s="21" t="str">
        <f>IFERROR(__xludf.DUMMYFUNCTION("""COMPUTED_VALUE"""),"ISLAM")</f>
        <v>ISLAM</v>
      </c>
      <c r="S3093" s="74" t="str">
        <f>IFERROR(__xludf.DUMMYFUNCTION("""COMPUTED_VALUE"""),"PENSIUNAN")</f>
        <v>PENSIUNAN</v>
      </c>
      <c r="T3093" s="35" t="str">
        <f>IFERROR(__xludf.DUMMYFUNCTION("""COMPUTED_VALUE"""),"SAKIT PUNGGUNG BAWAH")</f>
        <v>SAKIT PUNGGUNG BAWAH</v>
      </c>
      <c r="U3093" s="35" t="str">
        <f>IFERROR(__xludf.DUMMYFUNCTION("""COMPUTED_VALUE"""),"-")</f>
        <v>-</v>
      </c>
      <c r="V3093" s="37" t="str">
        <f>IFERROR(__xludf.DUMMYFUNCTION("""COMPUTED_VALUE"""),"085349572202")</f>
        <v>085349572202</v>
      </c>
      <c r="W3093" s="45"/>
    </row>
    <row r="3094">
      <c r="A3094" s="45"/>
      <c r="B3094" s="24" t="str">
        <f>IFERROR(__xludf.DUMMYFUNCTION("""COMPUTED_VALUE"""),"19/11/2025 11:46:52")</f>
        <v>19/11/2025 11:46:52</v>
      </c>
      <c r="C3094" s="35"/>
      <c r="D3094" s="10">
        <f>IFERROR(__xludf.DUMMYFUNCTION("""COMPUTED_VALUE"""),45980.0)</f>
        <v>45980</v>
      </c>
      <c r="E3094" s="35" t="str">
        <f>IFERROR(__xludf.DUMMYFUNCTION("""COMPUTED_VALUE"""),"11Nov")</f>
        <v>11Nov</v>
      </c>
      <c r="F3094" s="34" t="str">
        <f>IFERROR(__xludf.DUMMYFUNCTION("""COMPUTED_VALUE"""),"2025")</f>
        <v>2025</v>
      </c>
      <c r="G3094" s="35" t="str">
        <f>IFERROR(__xludf.DUMMYFUNCTION("""COMPUTED_VALUE"""),"HELGA MACHARA NOVIA")</f>
        <v>HELGA MACHARA NOVIA</v>
      </c>
      <c r="H3094" s="35" t="str">
        <f>IFERROR(__xludf.DUMMYFUNCTION("""COMPUTED_VALUE"""),"H8525115939")</f>
        <v>H8525115939</v>
      </c>
      <c r="I3094" s="35">
        <f>IFERROR(__xludf.DUMMYFUNCTION("""COMPUTED_VALUE"""),40.0)</f>
        <v>40</v>
      </c>
      <c r="J3094" s="35" t="str">
        <f>IFERROR(__xludf.DUMMYFUNCTION("""COMPUTED_VALUE"""),"35-44 tahun")</f>
        <v>35-44 tahun</v>
      </c>
      <c r="K3094" s="21" t="str">
        <f>IFERROR(__xludf.DUMMYFUNCTION("""COMPUTED_VALUE"""),"05/11/1985")</f>
        <v>05/11/1985</v>
      </c>
      <c r="L3094" s="21" t="str">
        <f>IFERROR(__xludf.DUMMYFUNCTION("""COMPUTED_VALUE"""),"PEREMPUAN")</f>
        <v>PEREMPUAN</v>
      </c>
      <c r="M3094" s="35" t="str">
        <f>IFERROR(__xludf.DUMMYFUNCTION("""COMPUTED_VALUE"""),"JALAN URAI BAWADI GG TRIA 4 NOMOR 61")</f>
        <v>JALAN URAI BAWADI GG TRIA 4 NOMOR 61</v>
      </c>
      <c r="N3094" s="35" t="str">
        <f>IFERROR(__xludf.DUMMYFUNCTION("""COMPUTED_VALUE"""),"KELURAHAN SUNGAI BANGKONG")</f>
        <v>KELURAHAN SUNGAI BANGKONG</v>
      </c>
      <c r="O3094" s="35" t="str">
        <f>IFERROR(__xludf.DUMMYFUNCTION("""COMPUTED_VALUE"""),"KECAMATAN PONTIANAK KOTA")</f>
        <v>KECAMATAN PONTIANAK KOTA</v>
      </c>
      <c r="P3094" s="35" t="str">
        <f>IFERROR(__xludf.DUMMYFUNCTION("""COMPUTED_VALUE"""),"KOTA PONTIANAK")</f>
        <v>KOTA PONTIANAK</v>
      </c>
      <c r="Q3094" s="35" t="str">
        <f>IFERROR(__xludf.DUMMYFUNCTION("""COMPUTED_VALUE"""),"KALIMANTAN BARAT")</f>
        <v>KALIMANTAN BARAT</v>
      </c>
      <c r="R3094" s="21" t="str">
        <f>IFERROR(__xludf.DUMMYFUNCTION("""COMPUTED_VALUE"""),"ISLAM")</f>
        <v>ISLAM</v>
      </c>
      <c r="S3094" s="74" t="str">
        <f>IFERROR(__xludf.DUMMYFUNCTION("""COMPUTED_VALUE"""),"ASN")</f>
        <v>ASN</v>
      </c>
      <c r="T3094" s="35" t="str">
        <f>IFERROR(__xludf.DUMMYFUNCTION("""COMPUTED_VALUE"""),"JARI TENGAH TANGAN SEBELAH KANAN SAKIT DITEKUK SEMALAM TERTINDIH BADAN ANAK")</f>
        <v>JARI TENGAH TANGAN SEBELAH KANAN SAKIT DITEKUK SEMALAM TERTINDIH BADAN ANAK</v>
      </c>
      <c r="U3094" s="35" t="str">
        <f>IFERROR(__xludf.DUMMYFUNCTION("""COMPUTED_VALUE"""),"MENULIS,BERKENDARA,MENGETIK")</f>
        <v>MENULIS,BERKENDARA,MENGETIK</v>
      </c>
      <c r="V3094" s="37" t="str">
        <f>IFERROR(__xludf.DUMMYFUNCTION("""COMPUTED_VALUE"""),"085345355939")</f>
        <v>085345355939</v>
      </c>
      <c r="W3094" s="45"/>
    </row>
    <row r="3095">
      <c r="A3095" s="45"/>
      <c r="B3095" s="24" t="str">
        <f>IFERROR(__xludf.DUMMYFUNCTION("""COMPUTED_VALUE"""),"19/11/2025 20:03:37")</f>
        <v>19/11/2025 20:03:37</v>
      </c>
      <c r="C3095" s="35"/>
      <c r="D3095" s="10">
        <f>IFERROR(__xludf.DUMMYFUNCTION("""COMPUTED_VALUE"""),45980.0)</f>
        <v>45980</v>
      </c>
      <c r="E3095" s="35" t="str">
        <f>IFERROR(__xludf.DUMMYFUNCTION("""COMPUTED_VALUE"""),"11Nov")</f>
        <v>11Nov</v>
      </c>
      <c r="F3095" s="34" t="str">
        <f>IFERROR(__xludf.DUMMYFUNCTION("""COMPUTED_VALUE"""),"2025")</f>
        <v>2025</v>
      </c>
      <c r="G3095" s="35" t="str">
        <f>IFERROR(__xludf.DUMMYFUNCTION("""COMPUTED_VALUE"""),"OSKAR FEBRIANO HASITTO")</f>
        <v>OSKAR FEBRIANO HASITTO</v>
      </c>
      <c r="H3095" s="35" t="str">
        <f>IFERROR(__xludf.DUMMYFUNCTION("""COMPUTED_VALUE"""),"O0925115685")</f>
        <v>O0925115685</v>
      </c>
      <c r="I3095" s="35">
        <f>IFERROR(__xludf.DUMMYFUNCTION("""COMPUTED_VALUE"""),17.0)</f>
        <v>17</v>
      </c>
      <c r="J3095" s="35" t="str">
        <f>IFERROR(__xludf.DUMMYFUNCTION("""COMPUTED_VALUE"""),"&lt; 18 tahun")</f>
        <v>&lt; 18 tahun</v>
      </c>
      <c r="K3095" s="21" t="str">
        <f>IFERROR(__xludf.DUMMYFUNCTION("""COMPUTED_VALUE"""),"04/02/2009")</f>
        <v>04/02/2009</v>
      </c>
      <c r="L3095" s="21" t="str">
        <f>IFERROR(__xludf.DUMMYFUNCTION("""COMPUTED_VALUE"""),"LAKI-LAKI")</f>
        <v>LAKI-LAKI</v>
      </c>
      <c r="M3095" s="35" t="str">
        <f>IFERROR(__xludf.DUMMYFUNCTION("""COMPUTED_VALUE"""),"DESA BINJAI, TAYAN HULU, SANGGAU, KALBAR")</f>
        <v>DESA BINJAI, TAYAN HULU, SANGGAU, KALBAR</v>
      </c>
      <c r="N3095" s="35" t="str">
        <f>IFERROR(__xludf.DUMMYFUNCTION("""COMPUTED_VALUE"""),"DESA BINJAI")</f>
        <v>DESA BINJAI</v>
      </c>
      <c r="O3095" s="35" t="str">
        <f>IFERROR(__xludf.DUMMYFUNCTION("""COMPUTED_VALUE"""),"TAYAN HULU")</f>
        <v>TAYAN HULU</v>
      </c>
      <c r="P3095" s="35" t="str">
        <f>IFERROR(__xludf.DUMMYFUNCTION("""COMPUTED_VALUE"""),"SANGGAU")</f>
        <v>SANGGAU</v>
      </c>
      <c r="Q3095" s="35" t="str">
        <f>IFERROR(__xludf.DUMMYFUNCTION("""COMPUTED_VALUE"""),"KALIMANTAN BARAT")</f>
        <v>KALIMANTAN BARAT</v>
      </c>
      <c r="R3095" s="21" t="str">
        <f>IFERROR(__xludf.DUMMYFUNCTION("""COMPUTED_VALUE"""),"KATOLIK")</f>
        <v>KATOLIK</v>
      </c>
      <c r="S3095" s="74" t="str">
        <f>IFERROR(__xludf.DUMMYFUNCTION("""COMPUTED_VALUE"""),"PELAJAR")</f>
        <v>PELAJAR</v>
      </c>
      <c r="T3095" s="35" t="str">
        <f>IFERROR(__xludf.DUMMYFUNCTION("""COMPUTED_VALUE"""),"OPERASI PATAH TULANG(AVULSI TUBEROSITAS TIBIA). OTOT KAKI MENGECIL. BELUM LURUS 100%. DAN MASIH TERASA NYERI")</f>
        <v>OPERASI PATAH TULANG(AVULSI TUBEROSITAS TIBIA). OTOT KAKI MENGECIL. BELUM LURUS 100%. DAN MASIH TERASA NYERI</v>
      </c>
      <c r="U3095" s="35" t="str">
        <f>IFERROR(__xludf.DUMMYFUNCTION("""COMPUTED_VALUE"""),"SEPAKBOLA/FUTSAL")</f>
        <v>SEPAKBOLA/FUTSAL</v>
      </c>
      <c r="V3095" s="37" t="str">
        <f>IFERROR(__xludf.DUMMYFUNCTION("""COMPUTED_VALUE"""),"085849605685")</f>
        <v>085849605685</v>
      </c>
      <c r="W3095" s="45"/>
    </row>
    <row r="3096">
      <c r="A3096" s="45"/>
      <c r="B3096" s="24" t="str">
        <f>IFERROR(__xludf.DUMMYFUNCTION("""COMPUTED_VALUE"""),"20/11/2025 12:34:30")</f>
        <v>20/11/2025 12:34:30</v>
      </c>
      <c r="C3096" s="35"/>
      <c r="D3096" s="10">
        <f>IFERROR(__xludf.DUMMYFUNCTION("""COMPUTED_VALUE"""),45981.0)</f>
        <v>45981</v>
      </c>
      <c r="E3096" s="35" t="str">
        <f>IFERROR(__xludf.DUMMYFUNCTION("""COMPUTED_VALUE"""),"11Nov")</f>
        <v>11Nov</v>
      </c>
      <c r="F3096" s="34" t="str">
        <f>IFERROR(__xludf.DUMMYFUNCTION("""COMPUTED_VALUE"""),"2025")</f>
        <v>2025</v>
      </c>
      <c r="G3096" s="35" t="str">
        <f>IFERROR(__xludf.DUMMYFUNCTION("""COMPUTED_VALUE"""),"JASON VALENCIUS")</f>
        <v>JASON VALENCIUS</v>
      </c>
      <c r="H3096" s="35" t="str">
        <f>IFERROR(__xludf.DUMMYFUNCTION("""COMPUTED_VALUE"""),"J0825113594")</f>
        <v>J0825113594</v>
      </c>
      <c r="I3096" s="35">
        <f>IFERROR(__xludf.DUMMYFUNCTION("""COMPUTED_VALUE"""),18.0)</f>
        <v>18</v>
      </c>
      <c r="J3096" s="35" t="str">
        <f>IFERROR(__xludf.DUMMYFUNCTION("""COMPUTED_VALUE"""),"&lt; 18 tahun")</f>
        <v>&lt; 18 tahun</v>
      </c>
      <c r="K3096" s="21" t="str">
        <f>IFERROR(__xludf.DUMMYFUNCTION("""COMPUTED_VALUE"""),"22/01/2008")</f>
        <v>22/01/2008</v>
      </c>
      <c r="L3096" s="21" t="str">
        <f>IFERROR(__xludf.DUMMYFUNCTION("""COMPUTED_VALUE"""),"LAKI-LAKI")</f>
        <v>LAKI-LAKI</v>
      </c>
      <c r="M3096" s="35" t="str">
        <f>IFERROR(__xludf.DUMMYFUNCTION("""COMPUTED_VALUE"""),"TANJUNG RAYA II NOMOR 28")</f>
        <v>TANJUNG RAYA II NOMOR 28</v>
      </c>
      <c r="N3096" s="35" t="str">
        <f>IFERROR(__xludf.DUMMYFUNCTION("""COMPUTED_VALUE"""),"SAIGON")</f>
        <v>SAIGON</v>
      </c>
      <c r="O3096" s="35" t="str">
        <f>IFERROR(__xludf.DUMMYFUNCTION("""COMPUTED_VALUE"""),"PONTIANAK TIMUR")</f>
        <v>PONTIANAK TIMUR</v>
      </c>
      <c r="P3096" s="35" t="str">
        <f>IFERROR(__xludf.DUMMYFUNCTION("""COMPUTED_VALUE"""),"PONTIANAK")</f>
        <v>PONTIANAK</v>
      </c>
      <c r="Q3096" s="35" t="str">
        <f>IFERROR(__xludf.DUMMYFUNCTION("""COMPUTED_VALUE"""),"KALIMANTAN BARAT")</f>
        <v>KALIMANTAN BARAT</v>
      </c>
      <c r="R3096" s="21" t="str">
        <f>IFERROR(__xludf.DUMMYFUNCTION("""COMPUTED_VALUE"""),"BUDDHA")</f>
        <v>BUDDHA</v>
      </c>
      <c r="S3096" s="74" t="str">
        <f>IFERROR(__xludf.DUMMYFUNCTION("""COMPUTED_VALUE"""),"PELAJAR")</f>
        <v>PELAJAR</v>
      </c>
      <c r="T3096" s="35" t="str">
        <f>IFERROR(__xludf.DUMMYFUNCTION("""COMPUTED_VALUE"""),"KESELEO")</f>
        <v>KESELEO</v>
      </c>
      <c r="U3096" s="35" t="str">
        <f>IFERROR(__xludf.DUMMYFUNCTION("""COMPUTED_VALUE"""),"BASKET")</f>
        <v>BASKET</v>
      </c>
      <c r="V3096" s="37" t="str">
        <f>IFERROR(__xludf.DUMMYFUNCTION("""COMPUTED_VALUE"""),"082254483594")</f>
        <v>082254483594</v>
      </c>
      <c r="W3096" s="45"/>
    </row>
    <row r="3097">
      <c r="A3097" s="45"/>
      <c r="B3097" s="24" t="str">
        <f>IFERROR(__xludf.DUMMYFUNCTION("""COMPUTED_VALUE"""),"20/11/2025 13:49:36")</f>
        <v>20/11/2025 13:49:36</v>
      </c>
      <c r="C3097" s="35"/>
      <c r="D3097" s="10">
        <f>IFERROR(__xludf.DUMMYFUNCTION("""COMPUTED_VALUE"""),45981.0)</f>
        <v>45981</v>
      </c>
      <c r="E3097" s="35" t="str">
        <f>IFERROR(__xludf.DUMMYFUNCTION("""COMPUTED_VALUE"""),"11Nov")</f>
        <v>11Nov</v>
      </c>
      <c r="F3097" s="34" t="str">
        <f>IFERROR(__xludf.DUMMYFUNCTION("""COMPUTED_VALUE"""),"2025")</f>
        <v>2025</v>
      </c>
      <c r="G3097" s="35" t="str">
        <f>IFERROR(__xludf.DUMMYFUNCTION("""COMPUTED_VALUE"""),"MASKADARNI")</f>
        <v>MASKADARNI</v>
      </c>
      <c r="H3097" s="35" t="str">
        <f>IFERROR(__xludf.DUMMYFUNCTION("""COMPUTED_VALUE"""),"M7125117366")</f>
        <v>M7125117366</v>
      </c>
      <c r="I3097" s="35">
        <f>IFERROR(__xludf.DUMMYFUNCTION("""COMPUTED_VALUE"""),54.0)</f>
        <v>54</v>
      </c>
      <c r="J3097" s="35" t="str">
        <f>IFERROR(__xludf.DUMMYFUNCTION("""COMPUTED_VALUE"""),"&gt; 44 tahun")</f>
        <v>&gt; 44 tahun</v>
      </c>
      <c r="K3097" s="21" t="str">
        <f>IFERROR(__xludf.DUMMYFUNCTION("""COMPUTED_VALUE"""),"20/10/1971")</f>
        <v>20/10/1971</v>
      </c>
      <c r="L3097" s="21" t="str">
        <f>IFERROR(__xludf.DUMMYFUNCTION("""COMPUTED_VALUE"""),"PEREMPUAN")</f>
        <v>PEREMPUAN</v>
      </c>
      <c r="M3097" s="35" t="str">
        <f>IFERROR(__xludf.DUMMYFUNCTION("""COMPUTED_VALUE"""),"DUSUN TRIGALA")</f>
        <v>DUSUN TRIGALA</v>
      </c>
      <c r="N3097" s="35" t="str">
        <f>IFERROR(__xludf.DUMMYFUNCTION("""COMPUTED_VALUE"""),"SUKA MAJU")</f>
        <v>SUKA MAJU</v>
      </c>
      <c r="O3097" s="35" t="str">
        <f>IFERROR(__xludf.DUMMYFUNCTION("""COMPUTED_VALUE"""),"TANAH PINOH")</f>
        <v>TANAH PINOH</v>
      </c>
      <c r="P3097" s="35" t="str">
        <f>IFERROR(__xludf.DUMMYFUNCTION("""COMPUTED_VALUE"""),"MELAWI")</f>
        <v>MELAWI</v>
      </c>
      <c r="Q3097" s="35" t="str">
        <f>IFERROR(__xludf.DUMMYFUNCTION("""COMPUTED_VALUE"""),"KALIMANTAN BARAT")</f>
        <v>KALIMANTAN BARAT</v>
      </c>
      <c r="R3097" s="21" t="str">
        <f>IFERROR(__xludf.DUMMYFUNCTION("""COMPUTED_VALUE"""),"ISLAM")</f>
        <v>ISLAM</v>
      </c>
      <c r="S3097" s="74" t="str">
        <f>IFERROR(__xludf.DUMMYFUNCTION("""COMPUTED_VALUE"""),"PEDAGANG")</f>
        <v>PEDAGANG</v>
      </c>
      <c r="T3097" s="35" t="str">
        <f>IFERROR(__xludf.DUMMYFUNCTION("""COMPUTED_VALUE"""),"KRAM/KESEMUTAN BEKERJA")</f>
        <v>KRAM/KESEMUTAN BEKERJA</v>
      </c>
      <c r="U3097" s="35" t="str">
        <f>IFERROR(__xludf.DUMMYFUNCTION("""COMPUTED_VALUE"""),"PEKERJAAN BELADANG")</f>
        <v>PEKERJAAN BELADANG</v>
      </c>
      <c r="V3097" s="37" t="str">
        <f>IFERROR(__xludf.DUMMYFUNCTION("""COMPUTED_VALUE"""),"081345237366")</f>
        <v>081345237366</v>
      </c>
      <c r="W3097" s="45"/>
    </row>
    <row r="3098">
      <c r="A3098" s="45"/>
      <c r="B3098" s="24" t="str">
        <f>IFERROR(__xludf.DUMMYFUNCTION("""COMPUTED_VALUE"""),"20/11/2025 18:51:02")</f>
        <v>20/11/2025 18:51:02</v>
      </c>
      <c r="C3098" s="35"/>
      <c r="D3098" s="10">
        <f>IFERROR(__xludf.DUMMYFUNCTION("""COMPUTED_VALUE"""),45981.0)</f>
        <v>45981</v>
      </c>
      <c r="E3098" s="35" t="str">
        <f>IFERROR(__xludf.DUMMYFUNCTION("""COMPUTED_VALUE"""),"11Nov")</f>
        <v>11Nov</v>
      </c>
      <c r="F3098" s="34" t="str">
        <f>IFERROR(__xludf.DUMMYFUNCTION("""COMPUTED_VALUE"""),"2025")</f>
        <v>2025</v>
      </c>
      <c r="G3098" s="35" t="str">
        <f>IFERROR(__xludf.DUMMYFUNCTION("""COMPUTED_VALUE"""),"FACHRUL APRIAN")</f>
        <v>FACHRUL APRIAN</v>
      </c>
      <c r="H3098" s="35" t="str">
        <f>IFERROR(__xludf.DUMMYFUNCTION("""COMPUTED_VALUE"""),"F9625115501")</f>
        <v>F9625115501</v>
      </c>
      <c r="I3098" s="35">
        <f>IFERROR(__xludf.DUMMYFUNCTION("""COMPUTED_VALUE"""),30.0)</f>
        <v>30</v>
      </c>
      <c r="J3098" s="35" t="str">
        <f>IFERROR(__xludf.DUMMYFUNCTION("""COMPUTED_VALUE"""),"25-34 tahun")</f>
        <v>25-34 tahun</v>
      </c>
      <c r="K3098" s="21" t="str">
        <f>IFERROR(__xludf.DUMMYFUNCTION("""COMPUTED_VALUE"""),"13/04/1996")</f>
        <v>13/04/1996</v>
      </c>
      <c r="L3098" s="21" t="str">
        <f>IFERROR(__xludf.DUMMYFUNCTION("""COMPUTED_VALUE"""),"LAKI-LAKI")</f>
        <v>LAKI-LAKI</v>
      </c>
      <c r="M3098" s="35" t="str">
        <f>IFERROR(__xludf.DUMMYFUNCTION("""COMPUTED_VALUE"""),"JL. ALOEVERA, KOMP RBK 4")</f>
        <v>JL. ALOEVERA, KOMP RBK 4</v>
      </c>
      <c r="N3098" s="35" t="str">
        <f>IFERROR(__xludf.DUMMYFUNCTION("""COMPUTED_VALUE"""),"BANSIR DARAT")</f>
        <v>BANSIR DARAT</v>
      </c>
      <c r="O3098" s="35" t="str">
        <f>IFERROR(__xludf.DUMMYFUNCTION("""COMPUTED_VALUE"""),"PONTIANAK TENGGARA")</f>
        <v>PONTIANAK TENGGARA</v>
      </c>
      <c r="P3098" s="35" t="str">
        <f>IFERROR(__xludf.DUMMYFUNCTION("""COMPUTED_VALUE"""),"MEMPAWAH")</f>
        <v>MEMPAWAH</v>
      </c>
      <c r="Q3098" s="35" t="str">
        <f>IFERROR(__xludf.DUMMYFUNCTION("""COMPUTED_VALUE"""),"KALIMANTAN BARWT")</f>
        <v>KALIMANTAN BARWT</v>
      </c>
      <c r="R3098" s="21" t="str">
        <f>IFERROR(__xludf.DUMMYFUNCTION("""COMPUTED_VALUE"""),"ISLAM")</f>
        <v>ISLAM</v>
      </c>
      <c r="S3098" s="74" t="str">
        <f>IFERROR(__xludf.DUMMYFUNCTION("""COMPUTED_VALUE"""),"WIRASWASTA")</f>
        <v>WIRASWASTA</v>
      </c>
      <c r="T3098" s="35" t="str">
        <f>IFERROR(__xludf.DUMMYFUNCTION("""COMPUTED_VALUE"""),"SAKIT PINGGANG (AGAK INTENS DALAM BEBERAPA BULAN KEBELAKANG) , KADANG SUKE TIBA TIBA KESEMUTAN, PERGELANGAN TANGAN SEBELAH KANAN SERING SAKIT KARNA DULU PERNAH JATUHNSAAT MAIN MOTOR")</f>
        <v>SAKIT PINGGANG (AGAK INTENS DALAM BEBERAPA BULAN KEBELAKANG) , KADANG SUKE TIBA TIBA KESEMUTAN, PERGELANGAN TANGAN SEBELAH KANAN SERING SAKIT KARNA DULU PERNAH JATUHNSAAT MAIN MOTOR</v>
      </c>
      <c r="U3098" s="35" t="str">
        <f>IFERROR(__xludf.DUMMYFUNCTION("""COMPUTED_VALUE"""),"PADEL,RUNNING, TOURING")</f>
        <v>PADEL,RUNNING, TOURING</v>
      </c>
      <c r="V3098" s="37" t="str">
        <f>IFERROR(__xludf.DUMMYFUNCTION("""COMPUTED_VALUE"""),"0811565501")</f>
        <v>0811565501</v>
      </c>
      <c r="W3098" s="45"/>
    </row>
    <row r="3099">
      <c r="A3099" s="45"/>
      <c r="B3099" s="24" t="str">
        <f>IFERROR(__xludf.DUMMYFUNCTION("""COMPUTED_VALUE"""),"21/11/2025 7:43:02")</f>
        <v>21/11/2025 7:43:02</v>
      </c>
      <c r="C3099" s="35"/>
      <c r="D3099" s="10">
        <f>IFERROR(__xludf.DUMMYFUNCTION("""COMPUTED_VALUE"""),45982.0)</f>
        <v>45982</v>
      </c>
      <c r="E3099" s="35" t="str">
        <f>IFERROR(__xludf.DUMMYFUNCTION("""COMPUTED_VALUE"""),"11Nov")</f>
        <v>11Nov</v>
      </c>
      <c r="F3099" s="34" t="str">
        <f>IFERROR(__xludf.DUMMYFUNCTION("""COMPUTED_VALUE"""),"2025")</f>
        <v>2025</v>
      </c>
      <c r="G3099" s="35" t="str">
        <f>IFERROR(__xludf.DUMMYFUNCTION("""COMPUTED_VALUE"""),"EMA KULATA")</f>
        <v>EMA KULATA</v>
      </c>
      <c r="H3099" s="35" t="str">
        <f>IFERROR(__xludf.DUMMYFUNCTION("""COMPUTED_VALUE"""),"E7325114705")</f>
        <v>E7325114705</v>
      </c>
      <c r="I3099" s="35">
        <f>IFERROR(__xludf.DUMMYFUNCTION("""COMPUTED_VALUE"""),53.0)</f>
        <v>53</v>
      </c>
      <c r="J3099" s="35" t="str">
        <f>IFERROR(__xludf.DUMMYFUNCTION("""COMPUTED_VALUE"""),"&gt; 44 tahun")</f>
        <v>&gt; 44 tahun</v>
      </c>
      <c r="K3099" s="21" t="str">
        <f>IFERROR(__xludf.DUMMYFUNCTION("""COMPUTED_VALUE"""),"12/06/1973")</f>
        <v>12/06/1973</v>
      </c>
      <c r="L3099" s="21" t="str">
        <f>IFERROR(__xludf.DUMMYFUNCTION("""COMPUTED_VALUE"""),"PEREMPUAN")</f>
        <v>PEREMPUAN</v>
      </c>
      <c r="M3099" s="35" t="str">
        <f>IFERROR(__xludf.DUMMYFUNCTION("""COMPUTED_VALUE"""),"JL. PROF M YAMIN GANG EKADAYA NO. 33A")</f>
        <v>JL. PROF M YAMIN GANG EKADAYA NO. 33A</v>
      </c>
      <c r="N3099" s="35" t="str">
        <f>IFERROR(__xludf.DUMMYFUNCTION("""COMPUTED_VALUE"""),"KOTABARU")</f>
        <v>KOTABARU</v>
      </c>
      <c r="O3099" s="35" t="str">
        <f>IFERROR(__xludf.DUMMYFUNCTION("""COMPUTED_VALUE"""),"PONTIANAK SELATAN")</f>
        <v>PONTIANAK SELATAN</v>
      </c>
      <c r="P3099" s="35" t="str">
        <f>IFERROR(__xludf.DUMMYFUNCTION("""COMPUTED_VALUE"""),"KOTA PONTIATE")</f>
        <v>KOTA PONTIATE</v>
      </c>
      <c r="Q3099" s="35" t="str">
        <f>IFERROR(__xludf.DUMMYFUNCTION("""COMPUTED_VALUE"""),"KALIMANTAN BARAT")</f>
        <v>KALIMANTAN BARAT</v>
      </c>
      <c r="R3099" s="21" t="str">
        <f>IFERROR(__xludf.DUMMYFUNCTION("""COMPUTED_VALUE"""),"KATOLIK")</f>
        <v>KATOLIK</v>
      </c>
      <c r="S3099" s="74" t="str">
        <f>IFERROR(__xludf.DUMMYFUNCTION("""COMPUTED_VALUE"""),"PNS")</f>
        <v>PNS</v>
      </c>
      <c r="T3099" s="35" t="str">
        <f>IFERROR(__xludf.DUMMYFUNCTION("""COMPUTED_VALUE"""),"SERING SAKIT PINGGANG. NYERI TULANG EKOR (SETIAP SAAT), TERUTAMA SETELAH AKTIVITAS (MISAL JOGGING, JALAN, DUDUK). TUMIT KIRI SAKIT KETIKA BERJALAN. BAHU PUNGGUNG ATAS TERASA KAKU.")</f>
        <v>SERING SAKIT PINGGANG. NYERI TULANG EKOR (SETIAP SAAT), TERUTAMA SETELAH AKTIVITAS (MISAL JOGGING, JALAN, DUDUK). TUMIT KIRI SAKIT KETIKA BERJALAN. BAHU PUNGGUNG ATAS TERASA KAKU.</v>
      </c>
      <c r="U3099" s="35" t="str">
        <f>IFERROR(__xludf.DUMMYFUNCTION("""COMPUTED_VALUE"""),"DUDUK LAMA DI DEPAN KOMPUTER. JALAN/TREADMILL")</f>
        <v>DUDUK LAMA DI DEPAN KOMPUTER. JALAN/TREADMILL</v>
      </c>
      <c r="V3099" s="37" t="str">
        <f>IFERROR(__xludf.DUMMYFUNCTION("""COMPUTED_VALUE"""),"08161964705")</f>
        <v>08161964705</v>
      </c>
      <c r="W3099" s="45"/>
    </row>
    <row r="3100">
      <c r="A3100" s="45"/>
      <c r="B3100" s="24" t="str">
        <f>IFERROR(__xludf.DUMMYFUNCTION("""COMPUTED_VALUE"""),"21/11/2025 12:34:41")</f>
        <v>21/11/2025 12:34:41</v>
      </c>
      <c r="C3100" s="35"/>
      <c r="D3100" s="10">
        <f>IFERROR(__xludf.DUMMYFUNCTION("""COMPUTED_VALUE"""),45982.0)</f>
        <v>45982</v>
      </c>
      <c r="E3100" s="35" t="str">
        <f>IFERROR(__xludf.DUMMYFUNCTION("""COMPUTED_VALUE"""),"11Nov")</f>
        <v>11Nov</v>
      </c>
      <c r="F3100" s="34" t="str">
        <f>IFERROR(__xludf.DUMMYFUNCTION("""COMPUTED_VALUE"""),"2025")</f>
        <v>2025</v>
      </c>
      <c r="G3100" s="35" t="str">
        <f>IFERROR(__xludf.DUMMYFUNCTION("""COMPUTED_VALUE"""),"GURUH PARYONO")</f>
        <v>GURUH PARYONO</v>
      </c>
      <c r="H3100" s="35" t="str">
        <f>IFERROR(__xludf.DUMMYFUNCTION("""COMPUTED_VALUE"""),"G6825114705")</f>
        <v>G6825114705</v>
      </c>
      <c r="I3100" s="35">
        <f>IFERROR(__xludf.DUMMYFUNCTION("""COMPUTED_VALUE"""),57.0)</f>
        <v>57</v>
      </c>
      <c r="J3100" s="35" t="str">
        <f>IFERROR(__xludf.DUMMYFUNCTION("""COMPUTED_VALUE"""),"&gt; 44 tahun")</f>
        <v>&gt; 44 tahun</v>
      </c>
      <c r="K3100" s="21" t="str">
        <f>IFERROR(__xludf.DUMMYFUNCTION("""COMPUTED_VALUE"""),"10/11/1968")</f>
        <v>10/11/1968</v>
      </c>
      <c r="L3100" s="21" t="str">
        <f>IFERROR(__xludf.DUMMYFUNCTION("""COMPUTED_VALUE"""),"LAKI-LAKI")</f>
        <v>LAKI-LAKI</v>
      </c>
      <c r="M3100" s="35" t="str">
        <f>IFERROR(__xludf.DUMMYFUNCTION("""COMPUTED_VALUE"""),"JL. PROF M YAMIN GANG EKADAYA NO. 33A")</f>
        <v>JL. PROF M YAMIN GANG EKADAYA NO. 33A</v>
      </c>
      <c r="N3100" s="35" t="str">
        <f>IFERROR(__xludf.DUMMYFUNCTION("""COMPUTED_VALUE"""),"KOTABARU")</f>
        <v>KOTABARU</v>
      </c>
      <c r="O3100" s="35" t="str">
        <f>IFERROR(__xludf.DUMMYFUNCTION("""COMPUTED_VALUE"""),"PONTIANAK SELATAN")</f>
        <v>PONTIANAK SELATAN</v>
      </c>
      <c r="P3100" s="35" t="str">
        <f>IFERROR(__xludf.DUMMYFUNCTION("""COMPUTED_VALUE"""),"KOTA PONTIANAK")</f>
        <v>KOTA PONTIANAK</v>
      </c>
      <c r="Q3100" s="35" t="str">
        <f>IFERROR(__xludf.DUMMYFUNCTION("""COMPUTED_VALUE"""),"KALIMANTAN BARAT")</f>
        <v>KALIMANTAN BARAT</v>
      </c>
      <c r="R3100" s="21" t="str">
        <f>IFERROR(__xludf.DUMMYFUNCTION("""COMPUTED_VALUE"""),"KATOLIK")</f>
        <v>KATOLIK</v>
      </c>
      <c r="S3100" s="74" t="str">
        <f>IFERROR(__xludf.DUMMYFUNCTION("""COMPUTED_VALUE"""),"PNS")</f>
        <v>PNS</v>
      </c>
      <c r="T3100" s="35" t="str">
        <f>IFERROR(__xludf.DUMMYFUNCTION("""COMPUTED_VALUE"""),"NYERI SENDI SETIAP MALAM")</f>
        <v>NYERI SENDI SETIAP MALAM</v>
      </c>
      <c r="U3100" s="35" t="str">
        <f>IFERROR(__xludf.DUMMYFUNCTION("""COMPUTED_VALUE"""),"RIWAYAT DIABETES, DENGAN KOLESTEROL DAN ASAM URAT CENDERUNG TINGGI. SERING SUDUK DI DEPAN KOMPUTER")</f>
        <v>RIWAYAT DIABETES, DENGAN KOLESTEROL DAN ASAM URAT CENDERUNG TINGGI. SERING SUDUK DI DEPAN KOMPUTER</v>
      </c>
      <c r="V3100" s="37" t="str">
        <f>IFERROR(__xludf.DUMMYFUNCTION("""COMPUTED_VALUE"""),"08161964705")</f>
        <v>08161964705</v>
      </c>
      <c r="W3100" s="45"/>
    </row>
    <row r="3101">
      <c r="A3101" s="45"/>
      <c r="B3101" s="24" t="str">
        <f>IFERROR(__xludf.DUMMYFUNCTION("""COMPUTED_VALUE"""),"21/11/2025 14:15:54")</f>
        <v>21/11/2025 14:15:54</v>
      </c>
      <c r="C3101" s="35"/>
      <c r="D3101" s="10">
        <f>IFERROR(__xludf.DUMMYFUNCTION("""COMPUTED_VALUE"""),45982.0)</f>
        <v>45982</v>
      </c>
      <c r="E3101" s="35" t="str">
        <f>IFERROR(__xludf.DUMMYFUNCTION("""COMPUTED_VALUE"""),"11Nov")</f>
        <v>11Nov</v>
      </c>
      <c r="F3101" s="34" t="str">
        <f>IFERROR(__xludf.DUMMYFUNCTION("""COMPUTED_VALUE"""),"2025")</f>
        <v>2025</v>
      </c>
      <c r="G3101" s="35" t="str">
        <f>IFERROR(__xludf.DUMMYFUNCTION("""COMPUTED_VALUE"""),"SISKA DAMASTUTI")</f>
        <v>SISKA DAMASTUTI</v>
      </c>
      <c r="H3101" s="35" t="str">
        <f>IFERROR(__xludf.DUMMYFUNCTION("""COMPUTED_VALUE"""),"S9225116214")</f>
        <v>S9225116214</v>
      </c>
      <c r="I3101" s="35">
        <f>IFERROR(__xludf.DUMMYFUNCTION("""COMPUTED_VALUE"""),33.0)</f>
        <v>33</v>
      </c>
      <c r="J3101" s="35" t="str">
        <f>IFERROR(__xludf.DUMMYFUNCTION("""COMPUTED_VALUE"""),"25-34 tahun")</f>
        <v>25-34 tahun</v>
      </c>
      <c r="K3101" s="21" t="str">
        <f>IFERROR(__xludf.DUMMYFUNCTION("""COMPUTED_VALUE"""),"16/09/1992")</f>
        <v>16/09/1992</v>
      </c>
      <c r="L3101" s="21" t="str">
        <f>IFERROR(__xludf.DUMMYFUNCTION("""COMPUTED_VALUE"""),"PEREMPUAN")</f>
        <v>PEREMPUAN</v>
      </c>
      <c r="M3101" s="35" t="str">
        <f>IFERROR(__xludf.DUMMYFUNCTION("""COMPUTED_VALUE"""),"DUSUN SELOJENENG RT 02 RW 04")</f>
        <v>DUSUN SELOJENENG RT 02 RW 04</v>
      </c>
      <c r="N3101" s="35" t="str">
        <f>IFERROR(__xludf.DUMMYFUNCTION("""COMPUTED_VALUE"""),"SUMBERDADI")</f>
        <v>SUMBERDADI</v>
      </c>
      <c r="O3101" s="35" t="str">
        <f>IFERROR(__xludf.DUMMYFUNCTION("""COMPUTED_VALUE"""),"SUMBER GEMPOL")</f>
        <v>SUMBER GEMPOL</v>
      </c>
      <c r="P3101" s="35" t="str">
        <f>IFERROR(__xludf.DUMMYFUNCTION("""COMPUTED_VALUE"""),"TULUNG AGUNG")</f>
        <v>TULUNG AGUNG</v>
      </c>
      <c r="Q3101" s="35" t="str">
        <f>IFERROR(__xludf.DUMMYFUNCTION("""COMPUTED_VALUE"""),"JAWA TIMUR")</f>
        <v>JAWA TIMUR</v>
      </c>
      <c r="R3101" s="21" t="str">
        <f>IFERROR(__xludf.DUMMYFUNCTION("""COMPUTED_VALUE"""),"ISLAM")</f>
        <v>ISLAM</v>
      </c>
      <c r="S3101" s="74" t="str">
        <f>IFERROR(__xludf.DUMMYFUNCTION("""COMPUTED_VALUE"""),"PNS")</f>
        <v>PNS</v>
      </c>
      <c r="T3101" s="35" t="str">
        <f>IFERROR(__xludf.DUMMYFUNCTION("""COMPUTED_VALUE"""),"KAKI SEBELAH KIRI TERKILIR KARENA JATUH DARI TANGGA")</f>
        <v>KAKI SEBELAH KIRI TERKILIR KARENA JATUH DARI TANGGA</v>
      </c>
      <c r="U3101" s="35" t="str">
        <f>IFERROR(__xludf.DUMMYFUNCTION("""COMPUTED_VALUE"""),"BEKERJA")</f>
        <v>BEKERJA</v>
      </c>
      <c r="V3101" s="37" t="str">
        <f>IFERROR(__xludf.DUMMYFUNCTION("""COMPUTED_VALUE"""),"081298136214")</f>
        <v>081298136214</v>
      </c>
      <c r="W3101" s="45"/>
    </row>
    <row r="3102">
      <c r="A3102" s="45"/>
      <c r="B3102" s="24" t="str">
        <f>IFERROR(__xludf.DUMMYFUNCTION("""COMPUTED_VALUE"""),"22/11/2025 19:51:16")</f>
        <v>22/11/2025 19:51:16</v>
      </c>
      <c r="C3102" s="35"/>
      <c r="D3102" s="10">
        <f>IFERROR(__xludf.DUMMYFUNCTION("""COMPUTED_VALUE"""),45983.0)</f>
        <v>45983</v>
      </c>
      <c r="E3102" s="35" t="str">
        <f>IFERROR(__xludf.DUMMYFUNCTION("""COMPUTED_VALUE"""),"11Nov")</f>
        <v>11Nov</v>
      </c>
      <c r="F3102" s="34" t="str">
        <f>IFERROR(__xludf.DUMMYFUNCTION("""COMPUTED_VALUE"""),"2025")</f>
        <v>2025</v>
      </c>
      <c r="G3102" s="35" t="str">
        <f>IFERROR(__xludf.DUMMYFUNCTION("""COMPUTED_VALUE"""),"TENGKU PUTRI DEVANTY")</f>
        <v>TENGKU PUTRI DEVANTY</v>
      </c>
      <c r="H3102" s="35" t="str">
        <f>IFERROR(__xludf.DUMMYFUNCTION("""COMPUTED_VALUE"""),"T8425110655")</f>
        <v>T8425110655</v>
      </c>
      <c r="I3102" s="35">
        <f>IFERROR(__xludf.DUMMYFUNCTION("""COMPUTED_VALUE"""),41.0)</f>
        <v>41</v>
      </c>
      <c r="J3102" s="35" t="str">
        <f>IFERROR(__xludf.DUMMYFUNCTION("""COMPUTED_VALUE"""),"35-44 tahun")</f>
        <v>35-44 tahun</v>
      </c>
      <c r="K3102" s="21" t="str">
        <f>IFERROR(__xludf.DUMMYFUNCTION("""COMPUTED_VALUE"""),"12/12/1984")</f>
        <v>12/12/1984</v>
      </c>
      <c r="L3102" s="21" t="str">
        <f>IFERROR(__xludf.DUMMYFUNCTION("""COMPUTED_VALUE"""),"PEREMPUAN")</f>
        <v>PEREMPUAN</v>
      </c>
      <c r="M3102" s="35" t="str">
        <f>IFERROR(__xludf.DUMMYFUNCTION("""COMPUTED_VALUE"""),"JL. TEBU KOMP. TEBU RAYA ASRI A14")</f>
        <v>JL. TEBU KOMP. TEBU RAYA ASRI A14</v>
      </c>
      <c r="N3102" s="35" t="str">
        <f>IFERROR(__xludf.DUMMYFUNCTION("""COMPUTED_VALUE"""),"SUNGAI BELIUNG")</f>
        <v>SUNGAI BELIUNG</v>
      </c>
      <c r="O3102" s="35" t="str">
        <f>IFERROR(__xludf.DUMMYFUNCTION("""COMPUTED_VALUE"""),"PONTIANAK BARAT")</f>
        <v>PONTIANAK BARAT</v>
      </c>
      <c r="P3102" s="35" t="str">
        <f>IFERROR(__xludf.DUMMYFUNCTION("""COMPUTED_VALUE"""),"PONTIANAK")</f>
        <v>PONTIANAK</v>
      </c>
      <c r="Q3102" s="35" t="str">
        <f>IFERROR(__xludf.DUMMYFUNCTION("""COMPUTED_VALUE"""),"KALIMANTAN BARAT")</f>
        <v>KALIMANTAN BARAT</v>
      </c>
      <c r="R3102" s="21" t="str">
        <f>IFERROR(__xludf.DUMMYFUNCTION("""COMPUTED_VALUE"""),"ISLAM")</f>
        <v>ISLAM</v>
      </c>
      <c r="S3102" s="74" t="str">
        <f>IFERROR(__xludf.DUMMYFUNCTION("""COMPUTED_VALUE"""),"KARYAWAN SWASTA")</f>
        <v>KARYAWAN SWASTA</v>
      </c>
      <c r="T3102" s="35" t="str">
        <f>IFERROR(__xludf.DUMMYFUNCTION("""COMPUTED_VALUE"""),"SAKIT DIPINGGANG")</f>
        <v>SAKIT DIPINGGANG</v>
      </c>
      <c r="U3102" s="35" t="str">
        <f>IFERROR(__xludf.DUMMYFUNCTION("""COMPUTED_VALUE"""),"KETIKA MEMBUNGKUK, BATUK")</f>
        <v>KETIKA MEMBUNGKUK, BATUK</v>
      </c>
      <c r="V3102" s="37" t="str">
        <f>IFERROR(__xludf.DUMMYFUNCTION("""COMPUTED_VALUE"""),"082213700655")</f>
        <v>082213700655</v>
      </c>
      <c r="W3102" s="45"/>
    </row>
    <row r="3103">
      <c r="A3103" s="45"/>
      <c r="B3103" s="24" t="str">
        <f>IFERROR(__xludf.DUMMYFUNCTION("""COMPUTED_VALUE"""),"23/11/2025 13:50:29")</f>
        <v>23/11/2025 13:50:29</v>
      </c>
      <c r="C3103" s="35"/>
      <c r="D3103" s="10">
        <f>IFERROR(__xludf.DUMMYFUNCTION("""COMPUTED_VALUE"""),45985.0)</f>
        <v>45985</v>
      </c>
      <c r="E3103" s="35" t="str">
        <f>IFERROR(__xludf.DUMMYFUNCTION("""COMPUTED_VALUE"""),"11Nov")</f>
        <v>11Nov</v>
      </c>
      <c r="F3103" s="34" t="str">
        <f>IFERROR(__xludf.DUMMYFUNCTION("""COMPUTED_VALUE"""),"2025")</f>
        <v>2025</v>
      </c>
      <c r="G3103" s="35" t="str">
        <f>IFERROR(__xludf.DUMMYFUNCTION("""COMPUTED_VALUE"""),"RESYA NOVADITYA")</f>
        <v>RESYA NOVADITYA</v>
      </c>
      <c r="H3103" s="35" t="str">
        <f>IFERROR(__xludf.DUMMYFUNCTION("""COMPUTED_VALUE"""),"R0825114030")</f>
        <v>R0825114030</v>
      </c>
      <c r="I3103" s="35">
        <f>IFERROR(__xludf.DUMMYFUNCTION("""COMPUTED_VALUE"""),17.0)</f>
        <v>17</v>
      </c>
      <c r="J3103" s="35" t="str">
        <f>IFERROR(__xludf.DUMMYFUNCTION("""COMPUTED_VALUE"""),"&lt; 18 tahun")</f>
        <v>&lt; 18 tahun</v>
      </c>
      <c r="K3103" s="21" t="str">
        <f>IFERROR(__xludf.DUMMYFUNCTION("""COMPUTED_VALUE"""),"18/11/2008")</f>
        <v>18/11/2008</v>
      </c>
      <c r="L3103" s="21" t="str">
        <f>IFERROR(__xludf.DUMMYFUNCTION("""COMPUTED_VALUE"""),"LAKI-LAKI")</f>
        <v>LAKI-LAKI</v>
      </c>
      <c r="M3103" s="35" t="str">
        <f>IFERROR(__xludf.DUMMYFUNCTION("""COMPUTED_VALUE"""),"JL.DANAU SENTARUM KOMPLEK ALAMANDA PASADENA")</f>
        <v>JL.DANAU SENTARUM KOMPLEK ALAMANDA PASADENA</v>
      </c>
      <c r="N3103" s="35" t="str">
        <f>IFERROR(__xludf.DUMMYFUNCTION("""COMPUTED_VALUE"""),"SUNGAI JAWI")</f>
        <v>SUNGAI JAWI</v>
      </c>
      <c r="O3103" s="35" t="str">
        <f>IFERROR(__xludf.DUMMYFUNCTION("""COMPUTED_VALUE"""),"PONTIANAK KOTA")</f>
        <v>PONTIANAK KOTA</v>
      </c>
      <c r="P3103" s="35" t="str">
        <f>IFERROR(__xludf.DUMMYFUNCTION("""COMPUTED_VALUE"""),"PONTIANAK")</f>
        <v>PONTIANAK</v>
      </c>
      <c r="Q3103" s="35" t="str">
        <f>IFERROR(__xludf.DUMMYFUNCTION("""COMPUTED_VALUE"""),"KALIMANTAN BARAT")</f>
        <v>KALIMANTAN BARAT</v>
      </c>
      <c r="R3103" s="21" t="str">
        <f>IFERROR(__xludf.DUMMYFUNCTION("""COMPUTED_VALUE"""),"ISLAM")</f>
        <v>ISLAM</v>
      </c>
      <c r="S3103" s="74" t="str">
        <f>IFERROR(__xludf.DUMMYFUNCTION("""COMPUTED_VALUE"""),"PELAJAR")</f>
        <v>PELAJAR</v>
      </c>
      <c r="T3103" s="35" t="str">
        <f>IFERROR(__xludf.DUMMYFUNCTION("""COMPUTED_VALUE"""),"CEDERA LUTUT")</f>
        <v>CEDERA LUTUT</v>
      </c>
      <c r="U3103" s="35" t="str">
        <f>IFERROR(__xludf.DUMMYFUNCTION("""COMPUTED_VALUE"""),"FUTSAL,BERENANG")</f>
        <v>FUTSAL,BERENANG</v>
      </c>
      <c r="V3103" s="37" t="str">
        <f>IFERROR(__xludf.DUMMYFUNCTION("""COMPUTED_VALUE"""),"089616284030")</f>
        <v>089616284030</v>
      </c>
      <c r="W3103" s="45"/>
    </row>
    <row r="3104">
      <c r="A3104" s="45"/>
      <c r="B3104" s="24" t="str">
        <f>IFERROR(__xludf.DUMMYFUNCTION("""COMPUTED_VALUE"""),"24/11/2025 8:53:56")</f>
        <v>24/11/2025 8:53:56</v>
      </c>
      <c r="C3104" s="35"/>
      <c r="D3104" s="10">
        <f>IFERROR(__xludf.DUMMYFUNCTION("""COMPUTED_VALUE"""),45985.0)</f>
        <v>45985</v>
      </c>
      <c r="E3104" s="35" t="str">
        <f>IFERROR(__xludf.DUMMYFUNCTION("""COMPUTED_VALUE"""),"11Nov")</f>
        <v>11Nov</v>
      </c>
      <c r="F3104" s="34" t="str">
        <f>IFERROR(__xludf.DUMMYFUNCTION("""COMPUTED_VALUE"""),"2025")</f>
        <v>2025</v>
      </c>
      <c r="G3104" s="35" t="str">
        <f>IFERROR(__xludf.DUMMYFUNCTION("""COMPUTED_VALUE"""),"RIA IRAWAN")</f>
        <v>RIA IRAWAN</v>
      </c>
      <c r="H3104" s="35" t="str">
        <f>IFERROR(__xludf.DUMMYFUNCTION("""COMPUTED_VALUE"""),"R9725110019")</f>
        <v>R9725110019</v>
      </c>
      <c r="I3104" s="35">
        <f>IFERROR(__xludf.DUMMYFUNCTION("""COMPUTED_VALUE"""),29.0)</f>
        <v>29</v>
      </c>
      <c r="J3104" s="35" t="str">
        <f>IFERROR(__xludf.DUMMYFUNCTION("""COMPUTED_VALUE"""),"25-34 tahun")</f>
        <v>25-34 tahun</v>
      </c>
      <c r="K3104" s="21" t="str">
        <f>IFERROR(__xludf.DUMMYFUNCTION("""COMPUTED_VALUE"""),"11/04/1997")</f>
        <v>11/04/1997</v>
      </c>
      <c r="L3104" s="21" t="str">
        <f>IFERROR(__xludf.DUMMYFUNCTION("""COMPUTED_VALUE"""),"LAKI-LAKI")</f>
        <v>LAKI-LAKI</v>
      </c>
      <c r="M3104" s="35" t="str">
        <f>IFERROR(__xludf.DUMMYFUNCTION("""COMPUTED_VALUE"""),"JALAN PARIT WAKGATAK HILIR PERUM VILLA ADIBA A.29")</f>
        <v>JALAN PARIT WAKGATAK HILIR PERUM VILLA ADIBA A.29</v>
      </c>
      <c r="N3104" s="35" t="str">
        <f>IFERROR(__xludf.DUMMYFUNCTION("""COMPUTED_VALUE"""),"PAL SEMBILAN")</f>
        <v>PAL SEMBILAN</v>
      </c>
      <c r="O3104" s="35" t="str">
        <f>IFERROR(__xludf.DUMMYFUNCTION("""COMPUTED_VALUE"""),"SUNGAI KAKAP")</f>
        <v>SUNGAI KAKAP</v>
      </c>
      <c r="P3104" s="35" t="str">
        <f>IFERROR(__xludf.DUMMYFUNCTION("""COMPUTED_VALUE"""),"KUBU RAYA")</f>
        <v>KUBU RAYA</v>
      </c>
      <c r="Q3104" s="35" t="str">
        <f>IFERROR(__xludf.DUMMYFUNCTION("""COMPUTED_VALUE"""),"KALIMANTAN BARAT")</f>
        <v>KALIMANTAN BARAT</v>
      </c>
      <c r="R3104" s="21" t="str">
        <f>IFERROR(__xludf.DUMMYFUNCTION("""COMPUTED_VALUE"""),"ISLAM")</f>
        <v>ISLAM</v>
      </c>
      <c r="S3104" s="74" t="str">
        <f>IFERROR(__xludf.DUMMYFUNCTION("""COMPUTED_VALUE"""),"WIRASWASTA")</f>
        <v>WIRASWASTA</v>
      </c>
      <c r="T3104" s="35" t="str">
        <f>IFERROR(__xludf.DUMMYFUNCTION("""COMPUTED_VALUE"""),"SAKIT DI BAGIAN ENGKEL KAKI KANAN, KRONOLOGIS KETIMPA KIPAT SAAT MAIN MINI SOCER. SUDAH 2 MINGGU MASIH TERASA SAKIT.")</f>
        <v>SAKIT DI BAGIAN ENGKEL KAKI KANAN, KRONOLOGIS KETIMPA KIPAT SAAT MAIN MINI SOCER. SUDAH 2 MINGGU MASIH TERASA SAKIT.</v>
      </c>
      <c r="U3104" s="35" t="str">
        <f>IFERROR(__xludf.DUMMYFUNCTION("""COMPUTED_VALUE"""),"BADMINTON DAN MINI SOCER")</f>
        <v>BADMINTON DAN MINI SOCER</v>
      </c>
      <c r="V3104" s="37" t="str">
        <f>IFERROR(__xludf.DUMMYFUNCTION("""COMPUTED_VALUE"""),"085822290019")</f>
        <v>085822290019</v>
      </c>
      <c r="W3104" s="45"/>
    </row>
    <row r="3105">
      <c r="A3105" s="45"/>
      <c r="B3105" s="24" t="str">
        <f>IFERROR(__xludf.DUMMYFUNCTION("""COMPUTED_VALUE"""),"24/11/2025 9:00:46")</f>
        <v>24/11/2025 9:00:46</v>
      </c>
      <c r="C3105" s="35"/>
      <c r="D3105" s="10">
        <f>IFERROR(__xludf.DUMMYFUNCTION("""COMPUTED_VALUE"""),45985.0)</f>
        <v>45985</v>
      </c>
      <c r="E3105" s="35" t="str">
        <f>IFERROR(__xludf.DUMMYFUNCTION("""COMPUTED_VALUE"""),"11Nov")</f>
        <v>11Nov</v>
      </c>
      <c r="F3105" s="34" t="str">
        <f>IFERROR(__xludf.DUMMYFUNCTION("""COMPUTED_VALUE"""),"2025")</f>
        <v>2025</v>
      </c>
      <c r="G3105" s="35" t="str">
        <f>IFERROR(__xludf.DUMMYFUNCTION("""COMPUTED_VALUE"""),"VIVIYANTI")</f>
        <v>VIVIYANTI</v>
      </c>
      <c r="H3105" s="35" t="str">
        <f>IFERROR(__xludf.DUMMYFUNCTION("""COMPUTED_VALUE"""),"V8825112988")</f>
        <v>V8825112988</v>
      </c>
      <c r="I3105" s="35">
        <f>IFERROR(__xludf.DUMMYFUNCTION("""COMPUTED_VALUE"""),38.0)</f>
        <v>38</v>
      </c>
      <c r="J3105" s="35" t="str">
        <f>IFERROR(__xludf.DUMMYFUNCTION("""COMPUTED_VALUE"""),"35-44 tahun")</f>
        <v>35-44 tahun</v>
      </c>
      <c r="K3105" s="21" t="str">
        <f>IFERROR(__xludf.DUMMYFUNCTION("""COMPUTED_VALUE"""),"19/02/1988")</f>
        <v>19/02/1988</v>
      </c>
      <c r="L3105" s="21" t="str">
        <f>IFERROR(__xludf.DUMMYFUNCTION("""COMPUTED_VALUE"""),"PEREMPUAN")</f>
        <v>PEREMPUAN</v>
      </c>
      <c r="M3105" s="35" t="str">
        <f>IFERROR(__xludf.DUMMYFUNCTION("""COMPUTED_VALUE"""),"JALAN PROF M YAMIN NO 34")</f>
        <v>JALAN PROF M YAMIN NO 34</v>
      </c>
      <c r="N3105" s="35" t="str">
        <f>IFERROR(__xludf.DUMMYFUNCTION("""COMPUTED_VALUE"""),"KOTABARU")</f>
        <v>KOTABARU</v>
      </c>
      <c r="O3105" s="35" t="str">
        <f>IFERROR(__xludf.DUMMYFUNCTION("""COMPUTED_VALUE"""),"PONTIANAK SELATAN")</f>
        <v>PONTIANAK SELATAN</v>
      </c>
      <c r="P3105" s="35" t="str">
        <f>IFERROR(__xludf.DUMMYFUNCTION("""COMPUTED_VALUE"""),"PONTIANAK")</f>
        <v>PONTIANAK</v>
      </c>
      <c r="Q3105" s="35" t="str">
        <f>IFERROR(__xludf.DUMMYFUNCTION("""COMPUTED_VALUE"""),"KALIMANTAN BARAT")</f>
        <v>KALIMANTAN BARAT</v>
      </c>
      <c r="R3105" s="21" t="str">
        <f>IFERROR(__xludf.DUMMYFUNCTION("""COMPUTED_VALUE"""),"PROTESTAN")</f>
        <v>PROTESTAN</v>
      </c>
      <c r="S3105" s="74" t="str">
        <f>IFERROR(__xludf.DUMMYFUNCTION("""COMPUTED_VALUE"""),"KARYAWATI")</f>
        <v>KARYAWATI</v>
      </c>
      <c r="T3105" s="35" t="str">
        <f>IFERROR(__xludf.DUMMYFUNCTION("""COMPUTED_VALUE"""),"JARI TENGAH SEBELAH KIRI TERLAMBAT KALAU DIGENGAM DAN DBUKA DAN TERASA SAKIT")</f>
        <v>JARI TENGAH SEBELAH KIRI TERLAMBAT KALAU DIGENGAM DAN DBUKA DAN TERASA SAKIT</v>
      </c>
      <c r="U3105" s="35" t="str">
        <f>IFERROR(__xludf.DUMMYFUNCTION("""COMPUTED_VALUE"""),"MEMASAK BERSIH2 NULIS2")</f>
        <v>MEMASAK BERSIH2 NULIS2</v>
      </c>
      <c r="V3105" s="37" t="str">
        <f>IFERROR(__xludf.DUMMYFUNCTION("""COMPUTED_VALUE"""),"081345822988")</f>
        <v>081345822988</v>
      </c>
      <c r="W3105" s="45"/>
    </row>
    <row r="3106">
      <c r="A3106" s="45"/>
      <c r="B3106" s="24" t="str">
        <f>IFERROR(__xludf.DUMMYFUNCTION("""COMPUTED_VALUE"""),"24/11/2025 9:07:00")</f>
        <v>24/11/2025 9:07:00</v>
      </c>
      <c r="C3106" s="35"/>
      <c r="D3106" s="10">
        <f>IFERROR(__xludf.DUMMYFUNCTION("""COMPUTED_VALUE"""),45985.0)</f>
        <v>45985</v>
      </c>
      <c r="E3106" s="35" t="str">
        <f>IFERROR(__xludf.DUMMYFUNCTION("""COMPUTED_VALUE"""),"11Nov")</f>
        <v>11Nov</v>
      </c>
      <c r="F3106" s="34" t="str">
        <f>IFERROR(__xludf.DUMMYFUNCTION("""COMPUTED_VALUE"""),"2025")</f>
        <v>2025</v>
      </c>
      <c r="G3106" s="35" t="str">
        <f>IFERROR(__xludf.DUMMYFUNCTION("""COMPUTED_VALUE"""),"WILLY WIJAYA")</f>
        <v>WILLY WIJAYA</v>
      </c>
      <c r="H3106" s="35" t="str">
        <f>IFERROR(__xludf.DUMMYFUNCTION("""COMPUTED_VALUE"""),"W9625110758")</f>
        <v>W9625110758</v>
      </c>
      <c r="I3106" s="35">
        <f>IFERROR(__xludf.DUMMYFUNCTION("""COMPUTED_VALUE"""),29.0)</f>
        <v>29</v>
      </c>
      <c r="J3106" s="35" t="str">
        <f>IFERROR(__xludf.DUMMYFUNCTION("""COMPUTED_VALUE"""),"25-34 tahun")</f>
        <v>25-34 tahun</v>
      </c>
      <c r="K3106" s="21" t="str">
        <f>IFERROR(__xludf.DUMMYFUNCTION("""COMPUTED_VALUE"""),"19/06/1996")</f>
        <v>19/06/1996</v>
      </c>
      <c r="L3106" s="21" t="str">
        <f>IFERROR(__xludf.DUMMYFUNCTION("""COMPUTED_VALUE"""),"LAKI-LAKI")</f>
        <v>LAKI-LAKI</v>
      </c>
      <c r="M3106" s="35" t="str">
        <f>IFERROR(__xludf.DUMMYFUNCTION("""COMPUTED_VALUE"""),"PASAR BARU")</f>
        <v>PASAR BARU</v>
      </c>
      <c r="N3106" s="35" t="str">
        <f>IFERROR(__xludf.DUMMYFUNCTION("""COMPUTED_VALUE"""),"HILIR KANTOR")</f>
        <v>HILIR KANTOR</v>
      </c>
      <c r="O3106" s="35" t="str">
        <f>IFERROR(__xludf.DUMMYFUNCTION("""COMPUTED_VALUE"""),"NGABANG")</f>
        <v>NGABANG</v>
      </c>
      <c r="P3106" s="35" t="str">
        <f>IFERROR(__xludf.DUMMYFUNCTION("""COMPUTED_VALUE"""),"NGABANG")</f>
        <v>NGABANG</v>
      </c>
      <c r="Q3106" s="35" t="str">
        <f>IFERROR(__xludf.DUMMYFUNCTION("""COMPUTED_VALUE"""),"KALIMANTAN BARAT")</f>
        <v>KALIMANTAN BARAT</v>
      </c>
      <c r="R3106" s="21" t="str">
        <f>IFERROR(__xludf.DUMMYFUNCTION("""COMPUTED_VALUE"""),"KATOLIK")</f>
        <v>KATOLIK</v>
      </c>
      <c r="S3106" s="74" t="str">
        <f>IFERROR(__xludf.DUMMYFUNCTION("""COMPUTED_VALUE"""),"WIRASWASTA")</f>
        <v>WIRASWASTA</v>
      </c>
      <c r="T3106" s="35" t="str">
        <f>IFERROR(__xludf.DUMMYFUNCTION("""COMPUTED_VALUE"""),"SAKIT DI LUTUT SAMPING SAAT LARI")</f>
        <v>SAKIT DI LUTUT SAMPING SAAT LARI</v>
      </c>
      <c r="U3106" s="35" t="str">
        <f>IFERROR(__xludf.DUMMYFUNCTION("""COMPUTED_VALUE"""),"LARI")</f>
        <v>LARI</v>
      </c>
      <c r="V3106" s="37" t="str">
        <f>IFERROR(__xludf.DUMMYFUNCTION("""COMPUTED_VALUE"""),"081212130758")</f>
        <v>081212130758</v>
      </c>
      <c r="W3106" s="45"/>
    </row>
    <row r="3107">
      <c r="A3107" s="45"/>
      <c r="B3107" s="24" t="str">
        <f>IFERROR(__xludf.DUMMYFUNCTION("""COMPUTED_VALUE"""),"24/11/2025 10:24:22")</f>
        <v>24/11/2025 10:24:22</v>
      </c>
      <c r="C3107" s="35"/>
      <c r="D3107" s="10">
        <f>IFERROR(__xludf.DUMMYFUNCTION("""COMPUTED_VALUE"""),45985.0)</f>
        <v>45985</v>
      </c>
      <c r="E3107" s="35" t="str">
        <f>IFERROR(__xludf.DUMMYFUNCTION("""COMPUTED_VALUE"""),"11Nov")</f>
        <v>11Nov</v>
      </c>
      <c r="F3107" s="34" t="str">
        <f>IFERROR(__xludf.DUMMYFUNCTION("""COMPUTED_VALUE"""),"2025")</f>
        <v>2025</v>
      </c>
      <c r="G3107" s="35" t="str">
        <f>IFERROR(__xludf.DUMMYFUNCTION("""COMPUTED_VALUE"""),"DELA MASTIKA")</f>
        <v>DELA MASTIKA</v>
      </c>
      <c r="H3107" s="35" t="str">
        <f>IFERROR(__xludf.DUMMYFUNCTION("""COMPUTED_VALUE"""),"D0725113899")</f>
        <v>D0725113899</v>
      </c>
      <c r="I3107" s="35">
        <f>IFERROR(__xludf.DUMMYFUNCTION("""COMPUTED_VALUE"""),18.0)</f>
        <v>18</v>
      </c>
      <c r="J3107" s="35" t="str">
        <f>IFERROR(__xludf.DUMMYFUNCTION("""COMPUTED_VALUE"""),"&lt; 18 tahun")</f>
        <v>&lt; 18 tahun</v>
      </c>
      <c r="K3107" s="21" t="str">
        <f>IFERROR(__xludf.DUMMYFUNCTION("""COMPUTED_VALUE"""),"04/07/2007")</f>
        <v>04/07/2007</v>
      </c>
      <c r="L3107" s="21" t="str">
        <f>IFERROR(__xludf.DUMMYFUNCTION("""COMPUTED_VALUE"""),"PEREMPUAN")</f>
        <v>PEREMPUAN</v>
      </c>
      <c r="M3107" s="35" t="str">
        <f>IFERROR(__xludf.DUMMYFUNCTION("""COMPUTED_VALUE"""),"DUSUN SUNGAI BUAYA")</f>
        <v>DUSUN SUNGAI BUAYA</v>
      </c>
      <c r="N3107" s="35" t="str">
        <f>IFERROR(__xludf.DUMMYFUNCTION("""COMPUTED_VALUE"""),"DESA SUNGAI AREH")</f>
        <v>DESA SUNGAI AREH</v>
      </c>
      <c r="O3107" s="35" t="str">
        <f>IFERROR(__xludf.DUMMYFUNCTION("""COMPUTED_VALUE"""),"KETUNGAU TENGAH")</f>
        <v>KETUNGAU TENGAH</v>
      </c>
      <c r="P3107" s="35" t="str">
        <f>IFERROR(__xludf.DUMMYFUNCTION("""COMPUTED_VALUE"""),"SINTANG")</f>
        <v>SINTANG</v>
      </c>
      <c r="Q3107" s="35" t="str">
        <f>IFERROR(__xludf.DUMMYFUNCTION("""COMPUTED_VALUE"""),"KALIMANTAN BARAT")</f>
        <v>KALIMANTAN BARAT</v>
      </c>
      <c r="R3107" s="21" t="str">
        <f>IFERROR(__xludf.DUMMYFUNCTION("""COMPUTED_VALUE"""),"PROTESTAN")</f>
        <v>PROTESTAN</v>
      </c>
      <c r="S3107" s="74" t="str">
        <f>IFERROR(__xludf.DUMMYFUNCTION("""COMPUTED_VALUE"""),"MAHASISWA")</f>
        <v>MAHASISWA</v>
      </c>
      <c r="T3107" s="35" t="str">
        <f>IFERROR(__xludf.DUMMYFUNCTION("""COMPUTED_VALUE"""),"KAKI X")</f>
        <v>KAKI X</v>
      </c>
      <c r="U3107" s="35" t="str">
        <f>IFERROR(__xludf.DUMMYFUNCTION("""COMPUTED_VALUE"""),"LARI")</f>
        <v>LARI</v>
      </c>
      <c r="V3107" s="37" t="str">
        <f>IFERROR(__xludf.DUMMYFUNCTION("""COMPUTED_VALUE"""),"082256863899")</f>
        <v>082256863899</v>
      </c>
      <c r="W3107" s="45"/>
    </row>
    <row r="3108">
      <c r="A3108" s="45"/>
      <c r="B3108" s="24" t="str">
        <f>IFERROR(__xludf.DUMMYFUNCTION("""COMPUTED_VALUE"""),"24/11/2025 10:27:06")</f>
        <v>24/11/2025 10:27:06</v>
      </c>
      <c r="C3108" s="35"/>
      <c r="D3108" s="10">
        <f>IFERROR(__xludf.DUMMYFUNCTION("""COMPUTED_VALUE"""),45985.0)</f>
        <v>45985</v>
      </c>
      <c r="E3108" s="35" t="str">
        <f>IFERROR(__xludf.DUMMYFUNCTION("""COMPUTED_VALUE"""),"11Nov")</f>
        <v>11Nov</v>
      </c>
      <c r="F3108" s="34" t="str">
        <f>IFERROR(__xludf.DUMMYFUNCTION("""COMPUTED_VALUE"""),"2025")</f>
        <v>2025</v>
      </c>
      <c r="G3108" s="35" t="str">
        <f>IFERROR(__xludf.DUMMYFUNCTION("""COMPUTED_VALUE"""),"JOVAN EDUARDO LO")</f>
        <v>JOVAN EDUARDO LO</v>
      </c>
      <c r="H3108" s="35" t="str">
        <f>IFERROR(__xludf.DUMMYFUNCTION("""COMPUTED_VALUE"""),"J0525113412")</f>
        <v>J0525113412</v>
      </c>
      <c r="I3108" s="35">
        <f>IFERROR(__xludf.DUMMYFUNCTION("""COMPUTED_VALUE"""),21.0)</f>
        <v>21</v>
      </c>
      <c r="J3108" s="35" t="str">
        <f>IFERROR(__xludf.DUMMYFUNCTION("""COMPUTED_VALUE"""),"18-24 tahun")</f>
        <v>18-24 tahun</v>
      </c>
      <c r="K3108" s="21" t="str">
        <f>IFERROR(__xludf.DUMMYFUNCTION("""COMPUTED_VALUE"""),"07/03/2005")</f>
        <v>07/03/2005</v>
      </c>
      <c r="L3108" s="21" t="str">
        <f>IFERROR(__xludf.DUMMYFUNCTION("""COMPUTED_VALUE"""),"LAKI-LAKI")</f>
        <v>LAKI-LAKI</v>
      </c>
      <c r="M3108" s="35" t="str">
        <f>IFERROR(__xludf.DUMMYFUNCTION("""COMPUTED_VALUE"""),"SINTANG,LINTAS MELAWI")</f>
        <v>SINTANG,LINTAS MELAWI</v>
      </c>
      <c r="N3108" s="35" t="str">
        <f>IFERROR(__xludf.DUMMYFUNCTION("""COMPUTED_VALUE"""),"KELURAHAN LADANG,SINTANG")</f>
        <v>KELURAHAN LADANG,SINTANG</v>
      </c>
      <c r="O3108" s="35" t="str">
        <f>IFERROR(__xludf.DUMMYFUNCTION("""COMPUTED_VALUE"""),"SINTANG")</f>
        <v>SINTANG</v>
      </c>
      <c r="P3108" s="35" t="str">
        <f>IFERROR(__xludf.DUMMYFUNCTION("""COMPUTED_VALUE"""),"SINTANG")</f>
        <v>SINTANG</v>
      </c>
      <c r="Q3108" s="35" t="str">
        <f>IFERROR(__xludf.DUMMYFUNCTION("""COMPUTED_VALUE"""),"KALIMANTAN BARAT")</f>
        <v>KALIMANTAN BARAT</v>
      </c>
      <c r="R3108" s="21" t="str">
        <f>IFERROR(__xludf.DUMMYFUNCTION("""COMPUTED_VALUE"""),"KATOLIK")</f>
        <v>KATOLIK</v>
      </c>
      <c r="S3108" s="74" t="str">
        <f>IFERROR(__xludf.DUMMYFUNCTION("""COMPUTED_VALUE"""),"WIRASWASTA")</f>
        <v>WIRASWASTA</v>
      </c>
      <c r="T3108" s="35" t="str">
        <f>IFERROR(__xludf.DUMMYFUNCTION("""COMPUTED_VALUE"""),"SAKIT DI PERGELANGAN TANGAN")</f>
        <v>SAKIT DI PERGELANGAN TANGAN</v>
      </c>
      <c r="U3108" s="35" t="str">
        <f>IFERROR(__xludf.DUMMYFUNCTION("""COMPUTED_VALUE"""),"OLAHRAGA")</f>
        <v>OLAHRAGA</v>
      </c>
      <c r="V3108" s="37" t="str">
        <f>IFERROR(__xludf.DUMMYFUNCTION("""COMPUTED_VALUE"""),"082254123412")</f>
        <v>082254123412</v>
      </c>
      <c r="W3108" s="45"/>
    </row>
    <row r="3109">
      <c r="A3109" s="45"/>
      <c r="B3109" s="24" t="str">
        <f>IFERROR(__xludf.DUMMYFUNCTION("""COMPUTED_VALUE"""),"24/11/2025 11:00:37")</f>
        <v>24/11/2025 11:00:37</v>
      </c>
      <c r="C3109" s="35"/>
      <c r="D3109" s="10">
        <f>IFERROR(__xludf.DUMMYFUNCTION("""COMPUTED_VALUE"""),45985.0)</f>
        <v>45985</v>
      </c>
      <c r="E3109" s="35" t="str">
        <f>IFERROR(__xludf.DUMMYFUNCTION("""COMPUTED_VALUE"""),"11Nov")</f>
        <v>11Nov</v>
      </c>
      <c r="F3109" s="34" t="str">
        <f>IFERROR(__xludf.DUMMYFUNCTION("""COMPUTED_VALUE"""),"2025")</f>
        <v>2025</v>
      </c>
      <c r="G3109" s="35" t="str">
        <f>IFERROR(__xludf.DUMMYFUNCTION("""COMPUTED_VALUE"""),"DARA RANTI PURBASAR")</f>
        <v>DARA RANTI PURBASAR</v>
      </c>
      <c r="H3109" s="35" t="str">
        <f>IFERROR(__xludf.DUMMYFUNCTION("""COMPUTED_VALUE"""),"D9425115021")</f>
        <v>D9425115021</v>
      </c>
      <c r="I3109" s="35">
        <f>IFERROR(__xludf.DUMMYFUNCTION("""COMPUTED_VALUE"""),31.0)</f>
        <v>31</v>
      </c>
      <c r="J3109" s="35" t="str">
        <f>IFERROR(__xludf.DUMMYFUNCTION("""COMPUTED_VALUE"""),"25-34 tahun")</f>
        <v>25-34 tahun</v>
      </c>
      <c r="K3109" s="21" t="str">
        <f>IFERROR(__xludf.DUMMYFUNCTION("""COMPUTED_VALUE"""),"19/11/1994")</f>
        <v>19/11/1994</v>
      </c>
      <c r="L3109" s="21" t="str">
        <f>IFERROR(__xludf.DUMMYFUNCTION("""COMPUTED_VALUE"""),"PEREMPUAN")</f>
        <v>PEREMPUAN</v>
      </c>
      <c r="M3109" s="35" t="str">
        <f>IFERROR(__xludf.DUMMYFUNCTION("""COMPUTED_VALUE"""),"JALAN A DJAELANI GG BORNEO")</f>
        <v>JALAN A DJAELANI GG BORNEO</v>
      </c>
      <c r="N3109" s="35" t="str">
        <f>IFERROR(__xludf.DUMMYFUNCTION("""COMPUTED_VALUE"""),"TERUSAN")</f>
        <v>TERUSAN</v>
      </c>
      <c r="O3109" s="35" t="str">
        <f>IFERROR(__xludf.DUMMYFUNCTION("""COMPUTED_VALUE"""),"MEMPAWAH HILIR")</f>
        <v>MEMPAWAH HILIR</v>
      </c>
      <c r="P3109" s="35" t="str">
        <f>IFERROR(__xludf.DUMMYFUNCTION("""COMPUTED_VALUE"""),"KAB MEMPAWAH")</f>
        <v>KAB MEMPAWAH</v>
      </c>
      <c r="Q3109" s="35" t="str">
        <f>IFERROR(__xludf.DUMMYFUNCTION("""COMPUTED_VALUE"""),"KALIMANTAN BARAT")</f>
        <v>KALIMANTAN BARAT</v>
      </c>
      <c r="R3109" s="21" t="str">
        <f>IFERROR(__xludf.DUMMYFUNCTION("""COMPUTED_VALUE"""),"ISLAM")</f>
        <v>ISLAM</v>
      </c>
      <c r="S3109" s="74" t="str">
        <f>IFERROR(__xludf.DUMMYFUNCTION("""COMPUTED_VALUE"""),"PNS")</f>
        <v>PNS</v>
      </c>
      <c r="T3109" s="35" t="str">
        <f>IFERROR(__xludf.DUMMYFUNCTION("""COMPUTED_VALUE"""),"SAKIT LUTUT")</f>
        <v>SAKIT LUTUT</v>
      </c>
      <c r="U3109" s="35" t="str">
        <f>IFERROR(__xludf.DUMMYFUNCTION("""COMPUTED_VALUE"""),"OLAHRAGA LARI DAN PADEL")</f>
        <v>OLAHRAGA LARI DAN PADEL</v>
      </c>
      <c r="V3109" s="37" t="str">
        <f>IFERROR(__xludf.DUMMYFUNCTION("""COMPUTED_VALUE"""),"082253315021")</f>
        <v>082253315021</v>
      </c>
      <c r="W3109" s="45"/>
    </row>
    <row r="3110">
      <c r="A3110" s="45"/>
      <c r="B3110" s="24" t="str">
        <f>IFERROR(__xludf.DUMMYFUNCTION("""COMPUTED_VALUE"""),"24/11/2025 11:09:19")</f>
        <v>24/11/2025 11:09:19</v>
      </c>
      <c r="C3110" s="35"/>
      <c r="D3110" s="10">
        <f>IFERROR(__xludf.DUMMYFUNCTION("""COMPUTED_VALUE"""),45985.0)</f>
        <v>45985</v>
      </c>
      <c r="E3110" s="35" t="str">
        <f>IFERROR(__xludf.DUMMYFUNCTION("""COMPUTED_VALUE"""),"11Nov")</f>
        <v>11Nov</v>
      </c>
      <c r="F3110" s="34" t="str">
        <f>IFERROR(__xludf.DUMMYFUNCTION("""COMPUTED_VALUE"""),"2025")</f>
        <v>2025</v>
      </c>
      <c r="G3110" s="35" t="str">
        <f>IFERROR(__xludf.DUMMYFUNCTION("""COMPUTED_VALUE"""),"ANDY")</f>
        <v>ANDY</v>
      </c>
      <c r="H3110" s="35" t="str">
        <f>IFERROR(__xludf.DUMMYFUNCTION("""COMPUTED_VALUE"""),"A9125115541")</f>
        <v>A9125115541</v>
      </c>
      <c r="I3110" s="35">
        <f>IFERROR(__xludf.DUMMYFUNCTION("""COMPUTED_VALUE"""),35.0)</f>
        <v>35</v>
      </c>
      <c r="J3110" s="35" t="str">
        <f>IFERROR(__xludf.DUMMYFUNCTION("""COMPUTED_VALUE"""),"35-44 tahun")</f>
        <v>35-44 tahun</v>
      </c>
      <c r="K3110" s="21" t="str">
        <f>IFERROR(__xludf.DUMMYFUNCTION("""COMPUTED_VALUE"""),"03/01/1991")</f>
        <v>03/01/1991</v>
      </c>
      <c r="L3110" s="21" t="str">
        <f>IFERROR(__xludf.DUMMYFUNCTION("""COMPUTED_VALUE"""),"LAKI-LAKI")</f>
        <v>LAKI-LAKI</v>
      </c>
      <c r="M3110" s="35" t="str">
        <f>IFERROR(__xludf.DUMMYFUNCTION("""COMPUTED_VALUE"""),"GANG SEROJA INDAH")</f>
        <v>GANG SEROJA INDAH</v>
      </c>
      <c r="N3110" s="35" t="str">
        <f>IFERROR(__xludf.DUMMYFUNCTION("""COMPUTED_VALUE"""),"SUNGAI PINYUH")</f>
        <v>SUNGAI PINYUH</v>
      </c>
      <c r="O3110" s="35" t="str">
        <f>IFERROR(__xludf.DUMMYFUNCTION("""COMPUTED_VALUE"""),"SUNGAI PINYUH")</f>
        <v>SUNGAI PINYUH</v>
      </c>
      <c r="P3110" s="35" t="str">
        <f>IFERROR(__xludf.DUMMYFUNCTION("""COMPUTED_VALUE"""),"KAB.MEMPAWAH")</f>
        <v>KAB.MEMPAWAH</v>
      </c>
      <c r="Q3110" s="35" t="str">
        <f>IFERROR(__xludf.DUMMYFUNCTION("""COMPUTED_VALUE"""),"KAL-BAR")</f>
        <v>KAL-BAR</v>
      </c>
      <c r="R3110" s="21" t="str">
        <f>IFERROR(__xludf.DUMMYFUNCTION("""COMPUTED_VALUE"""),"KHONGHUCU")</f>
        <v>KHONGHUCU</v>
      </c>
      <c r="S3110" s="74" t="str">
        <f>IFERROR(__xludf.DUMMYFUNCTION("""COMPUTED_VALUE"""),"WIRASWASTA")</f>
        <v>WIRASWASTA</v>
      </c>
      <c r="T3110" s="35" t="str">
        <f>IFERROR(__xludf.DUMMYFUNCTION("""COMPUTED_VALUE"""),"SAKIT DIBAGIAN LUTUT(SAMPING KANAN)")</f>
        <v>SAKIT DIBAGIAN LUTUT(SAMPING KANAN)</v>
      </c>
      <c r="U3110" s="35" t="str">
        <f>IFERROR(__xludf.DUMMYFUNCTION("""COMPUTED_VALUE"""),"LARI DAN GYM")</f>
        <v>LARI DAN GYM</v>
      </c>
      <c r="V3110" s="37" t="str">
        <f>IFERROR(__xludf.DUMMYFUNCTION("""COMPUTED_VALUE"""),"081348715541")</f>
        <v>081348715541</v>
      </c>
      <c r="W3110" s="45"/>
    </row>
    <row r="3111">
      <c r="A3111" s="45"/>
      <c r="B3111" s="24" t="str">
        <f>IFERROR(__xludf.DUMMYFUNCTION("""COMPUTED_VALUE"""),"24/11/2025 11:42:08")</f>
        <v>24/11/2025 11:42:08</v>
      </c>
      <c r="C3111" s="35"/>
      <c r="D3111" s="10">
        <f>IFERROR(__xludf.DUMMYFUNCTION("""COMPUTED_VALUE"""),45985.0)</f>
        <v>45985</v>
      </c>
      <c r="E3111" s="35" t="str">
        <f>IFERROR(__xludf.DUMMYFUNCTION("""COMPUTED_VALUE"""),"11Nov")</f>
        <v>11Nov</v>
      </c>
      <c r="F3111" s="34" t="str">
        <f>IFERROR(__xludf.DUMMYFUNCTION("""COMPUTED_VALUE"""),"2025")</f>
        <v>2025</v>
      </c>
      <c r="G3111" s="35" t="str">
        <f>IFERROR(__xludf.DUMMYFUNCTION("""COMPUTED_VALUE"""),"SELVINUS ONOT")</f>
        <v>SELVINUS ONOT</v>
      </c>
      <c r="H3111" s="35" t="str">
        <f>IFERROR(__xludf.DUMMYFUNCTION("""COMPUTED_VALUE"""),"S6925111527")</f>
        <v>S6925111527</v>
      </c>
      <c r="I3111" s="35">
        <f>IFERROR(__xludf.DUMMYFUNCTION("""COMPUTED_VALUE"""),57.0)</f>
        <v>57</v>
      </c>
      <c r="J3111" s="35" t="str">
        <f>IFERROR(__xludf.DUMMYFUNCTION("""COMPUTED_VALUE"""),"&gt; 44 tahun")</f>
        <v>&gt; 44 tahun</v>
      </c>
      <c r="K3111" s="21" t="str">
        <f>IFERROR(__xludf.DUMMYFUNCTION("""COMPUTED_VALUE"""),"03/06/1969")</f>
        <v>03/06/1969</v>
      </c>
      <c r="L3111" s="21" t="str">
        <f>IFERROR(__xludf.DUMMYFUNCTION("""COMPUTED_VALUE"""),"LAKI-LAKI")</f>
        <v>LAKI-LAKI</v>
      </c>
      <c r="M3111" s="35" t="str">
        <f>IFERROR(__xludf.DUMMYFUNCTION("""COMPUTED_VALUE"""),"DUSUN TABANGAN")</f>
        <v>DUSUN TABANGAN</v>
      </c>
      <c r="N3111" s="35" t="str">
        <f>IFERROR(__xludf.DUMMYFUNCTION("""COMPUTED_VALUE"""),"DESA MENJALIN")</f>
        <v>DESA MENJALIN</v>
      </c>
      <c r="O3111" s="35" t="str">
        <f>IFERROR(__xludf.DUMMYFUNCTION("""COMPUTED_VALUE"""),"KEC. MENJALIN")</f>
        <v>KEC. MENJALIN</v>
      </c>
      <c r="P3111" s="35" t="str">
        <f>IFERROR(__xludf.DUMMYFUNCTION("""COMPUTED_VALUE"""),"KOTA PONTIANAK")</f>
        <v>KOTA PONTIANAK</v>
      </c>
      <c r="Q3111" s="35" t="str">
        <f>IFERROR(__xludf.DUMMYFUNCTION("""COMPUTED_VALUE"""),"KALIMANTAN BARAT")</f>
        <v>KALIMANTAN BARAT</v>
      </c>
      <c r="R3111" s="21" t="str">
        <f>IFERROR(__xludf.DUMMYFUNCTION("""COMPUTED_VALUE"""),"KATOLIK")</f>
        <v>KATOLIK</v>
      </c>
      <c r="S3111" s="74" t="str">
        <f>IFERROR(__xludf.DUMMYFUNCTION("""COMPUTED_VALUE"""),"PETANI")</f>
        <v>PETANI</v>
      </c>
      <c r="T3111" s="35" t="str">
        <f>IFERROR(__xludf.DUMMYFUNCTION("""COMPUTED_VALUE"""),"TERASA KEBAS DIBAGIAN MUKA, KAKU DI BAGIAN PERSENDIAN KAKI SEBELAH KIRI, DAN TANGAN SEBELAH KIRI TERASA KEBAS/ TERASA TEBAL")</f>
        <v>TERASA KEBAS DIBAGIAN MUKA, KAKU DI BAGIAN PERSENDIAN KAKI SEBELAH KIRI, DAN TANGAN SEBELAH KIRI TERASA KEBAS/ TERASA TEBAL</v>
      </c>
      <c r="U3111" s="35" t="str">
        <f>IFERROR(__xludf.DUMMYFUNCTION("""COMPUTED_VALUE"""),"KETIKA BERAKTIVITAS ATAU OLAHRAGA RINGAN SETELAH NYA TERASA KAKU")</f>
        <v>KETIKA BERAKTIVITAS ATAU OLAHRAGA RINGAN SETELAH NYA TERASA KAKU</v>
      </c>
      <c r="V3111" s="37" t="str">
        <f>IFERROR(__xludf.DUMMYFUNCTION("""COMPUTED_VALUE"""),"085751721527")</f>
        <v>085751721527</v>
      </c>
      <c r="W3111" s="45"/>
    </row>
    <row r="3112">
      <c r="A3112" s="45"/>
      <c r="B3112" s="24" t="str">
        <f>IFERROR(__xludf.DUMMYFUNCTION("""COMPUTED_VALUE"""),"24/11/2025 12:05:48")</f>
        <v>24/11/2025 12:05:48</v>
      </c>
      <c r="C3112" s="35"/>
      <c r="D3112" s="10">
        <f>IFERROR(__xludf.DUMMYFUNCTION("""COMPUTED_VALUE"""),45985.0)</f>
        <v>45985</v>
      </c>
      <c r="E3112" s="35" t="str">
        <f>IFERROR(__xludf.DUMMYFUNCTION("""COMPUTED_VALUE"""),"11Nov")</f>
        <v>11Nov</v>
      </c>
      <c r="F3112" s="34" t="str">
        <f>IFERROR(__xludf.DUMMYFUNCTION("""COMPUTED_VALUE"""),"2025")</f>
        <v>2025</v>
      </c>
      <c r="G3112" s="35" t="str">
        <f>IFERROR(__xludf.DUMMYFUNCTION("""COMPUTED_VALUE"""),"VERDICO ARIEF")</f>
        <v>VERDICO ARIEF</v>
      </c>
      <c r="H3112" s="35" t="str">
        <f>IFERROR(__xludf.DUMMYFUNCTION("""COMPUTED_VALUE"""),"V8925118000")</f>
        <v>V8925118000</v>
      </c>
      <c r="I3112" s="35">
        <f>IFERROR(__xludf.DUMMYFUNCTION("""COMPUTED_VALUE"""),37.0)</f>
        <v>37</v>
      </c>
      <c r="J3112" s="35" t="str">
        <f>IFERROR(__xludf.DUMMYFUNCTION("""COMPUTED_VALUE"""),"35-44 tahun")</f>
        <v>35-44 tahun</v>
      </c>
      <c r="K3112" s="21" t="str">
        <f>IFERROR(__xludf.DUMMYFUNCTION("""COMPUTED_VALUE"""),"21/02/1989")</f>
        <v>21/02/1989</v>
      </c>
      <c r="L3112" s="21" t="str">
        <f>IFERROR(__xludf.DUMMYFUNCTION("""COMPUTED_VALUE"""),"LAKI-LAKI")</f>
        <v>LAKI-LAKI</v>
      </c>
      <c r="M3112" s="35" t="str">
        <f>IFERROR(__xludf.DUMMYFUNCTION("""COMPUTED_VALUE"""),"KOMPLEK ALEXA PALM KENCANA NO.A30")</f>
        <v>KOMPLEK ALEXA PALM KENCANA NO.A30</v>
      </c>
      <c r="N3112" s="35" t="str">
        <f>IFERROR(__xludf.DUMMYFUNCTION("""COMPUTED_VALUE"""),"PALLIMA")</f>
        <v>PALLIMA</v>
      </c>
      <c r="O3112" s="35" t="str">
        <f>IFERROR(__xludf.DUMMYFUNCTION("""COMPUTED_VALUE"""),"PONTIANAK BARAT")</f>
        <v>PONTIANAK BARAT</v>
      </c>
      <c r="P3112" s="35" t="str">
        <f>IFERROR(__xludf.DUMMYFUNCTION("""COMPUTED_VALUE"""),"PONTIANAK")</f>
        <v>PONTIANAK</v>
      </c>
      <c r="Q3112" s="35" t="str">
        <f>IFERROR(__xludf.DUMMYFUNCTION("""COMPUTED_VALUE"""),"KALIMANTAN BARAT")</f>
        <v>KALIMANTAN BARAT</v>
      </c>
      <c r="R3112" s="21" t="str">
        <f>IFERROR(__xludf.DUMMYFUNCTION("""COMPUTED_VALUE"""),"ISLAM")</f>
        <v>ISLAM</v>
      </c>
      <c r="S3112" s="74" t="str">
        <f>IFERROR(__xludf.DUMMYFUNCTION("""COMPUTED_VALUE"""),"PNS")</f>
        <v>PNS</v>
      </c>
      <c r="T3112" s="35" t="str">
        <f>IFERROR(__xludf.DUMMYFUNCTION("""COMPUTED_VALUE"""),"SENDI LUTUT KIRI BERMASALAH")</f>
        <v>SENDI LUTUT KIRI BERMASALAH</v>
      </c>
      <c r="U3112" s="35" t="str">
        <f>IFERROR(__xludf.DUMMYFUNCTION("""COMPUTED_VALUE"""),"OLAHRAGA GYM")</f>
        <v>OLAHRAGA GYM</v>
      </c>
      <c r="V3112" s="37" t="str">
        <f>IFERROR(__xludf.DUMMYFUNCTION("""COMPUTED_VALUE"""),"085229528000")</f>
        <v>085229528000</v>
      </c>
      <c r="W3112" s="45"/>
    </row>
    <row r="3113">
      <c r="A3113" s="45"/>
      <c r="B3113" s="24" t="str">
        <f>IFERROR(__xludf.DUMMYFUNCTION("""COMPUTED_VALUE"""),"25/11/2025 9:50:18")</f>
        <v>25/11/2025 9:50:18</v>
      </c>
      <c r="C3113" s="35"/>
      <c r="D3113" s="10">
        <f>IFERROR(__xludf.DUMMYFUNCTION("""COMPUTED_VALUE"""),45986.0)</f>
        <v>45986</v>
      </c>
      <c r="E3113" s="35" t="str">
        <f>IFERROR(__xludf.DUMMYFUNCTION("""COMPUTED_VALUE"""),"11Nov")</f>
        <v>11Nov</v>
      </c>
      <c r="F3113" s="34" t="str">
        <f>IFERROR(__xludf.DUMMYFUNCTION("""COMPUTED_VALUE"""),"2025")</f>
        <v>2025</v>
      </c>
      <c r="G3113" s="35" t="str">
        <f>IFERROR(__xludf.DUMMYFUNCTION("""COMPUTED_VALUE"""),"JULIANA")</f>
        <v>JULIANA</v>
      </c>
      <c r="H3113" s="35" t="str">
        <f>IFERROR(__xludf.DUMMYFUNCTION("""COMPUTED_VALUE"""),"J8425110309")</f>
        <v>J8425110309</v>
      </c>
      <c r="I3113" s="35">
        <f>IFERROR(__xludf.DUMMYFUNCTION("""COMPUTED_VALUE"""),42.0)</f>
        <v>42</v>
      </c>
      <c r="J3113" s="35" t="str">
        <f>IFERROR(__xludf.DUMMYFUNCTION("""COMPUTED_VALUE"""),"35-44 tahun")</f>
        <v>35-44 tahun</v>
      </c>
      <c r="K3113" s="21" t="str">
        <f>IFERROR(__xludf.DUMMYFUNCTION("""COMPUTED_VALUE"""),"16/02/1984")</f>
        <v>16/02/1984</v>
      </c>
      <c r="L3113" s="21" t="str">
        <f>IFERROR(__xludf.DUMMYFUNCTION("""COMPUTED_VALUE"""),"PEREMPUAN")</f>
        <v>PEREMPUAN</v>
      </c>
      <c r="M3113" s="35" t="str">
        <f>IFERROR(__xludf.DUMMYFUNCTION("""COMPUTED_VALUE"""),"JL. MERDEKA NO.506")</f>
        <v>JL. MERDEKA NO.506</v>
      </c>
      <c r="N3113" s="35" t="str">
        <f>IFERROR(__xludf.DUMMYFUNCTION("""COMPUTED_VALUE"""),"MARIANA")</f>
        <v>MARIANA</v>
      </c>
      <c r="O3113" s="35" t="str">
        <f>IFERROR(__xludf.DUMMYFUNCTION("""COMPUTED_VALUE"""),"PONTIANAK KOTA")</f>
        <v>PONTIANAK KOTA</v>
      </c>
      <c r="P3113" s="35" t="str">
        <f>IFERROR(__xludf.DUMMYFUNCTION("""COMPUTED_VALUE"""),"PONTIANAK")</f>
        <v>PONTIANAK</v>
      </c>
      <c r="Q3113" s="35" t="str">
        <f>IFERROR(__xludf.DUMMYFUNCTION("""COMPUTED_VALUE"""),"KALIMANTAN BARAT")</f>
        <v>KALIMANTAN BARAT</v>
      </c>
      <c r="R3113" s="21" t="str">
        <f>IFERROR(__xludf.DUMMYFUNCTION("""COMPUTED_VALUE"""),"KATOLIK")</f>
        <v>KATOLIK</v>
      </c>
      <c r="S3113" s="74" t="str">
        <f>IFERROR(__xludf.DUMMYFUNCTION("""COMPUTED_VALUE"""),"IBU RUMAH TANGGA")</f>
        <v>IBU RUMAH TANGGA</v>
      </c>
      <c r="T3113" s="35" t="str">
        <f>IFERROR(__xludf.DUMMYFUNCTION("""COMPUTED_VALUE"""),"SALAH SATU JARI TANGAN SAKIT")</f>
        <v>SALAH SATU JARI TANGAN SAKIT</v>
      </c>
      <c r="U3113" s="35" t="str">
        <f>IFERROR(__xludf.DUMMYFUNCTION("""COMPUTED_VALUE"""),"GA ADA")</f>
        <v>GA ADA</v>
      </c>
      <c r="V3113" s="37" t="str">
        <f>IFERROR(__xludf.DUMMYFUNCTION("""COMPUTED_VALUE"""),"082195890309")</f>
        <v>082195890309</v>
      </c>
      <c r="W3113" s="45"/>
    </row>
    <row r="3114">
      <c r="A3114" s="45"/>
      <c r="B3114" s="24" t="str">
        <f>IFERROR(__xludf.DUMMYFUNCTION("""COMPUTED_VALUE"""),"25/11/2025 11:39:41")</f>
        <v>25/11/2025 11:39:41</v>
      </c>
      <c r="C3114" s="35"/>
      <c r="D3114" s="10">
        <f>IFERROR(__xludf.DUMMYFUNCTION("""COMPUTED_VALUE"""),45986.0)</f>
        <v>45986</v>
      </c>
      <c r="E3114" s="35" t="str">
        <f>IFERROR(__xludf.DUMMYFUNCTION("""COMPUTED_VALUE"""),"11Nov")</f>
        <v>11Nov</v>
      </c>
      <c r="F3114" s="34" t="str">
        <f>IFERROR(__xludf.DUMMYFUNCTION("""COMPUTED_VALUE"""),"2025")</f>
        <v>2025</v>
      </c>
      <c r="G3114" s="35" t="str">
        <f>IFERROR(__xludf.DUMMYFUNCTION("""COMPUTED_VALUE"""),"LIM JONG HENG")</f>
        <v>LIM JONG HENG</v>
      </c>
      <c r="H3114" s="35" t="str">
        <f>IFERROR(__xludf.DUMMYFUNCTION("""COMPUTED_VALUE"""),"L5525111188")</f>
        <v>L5525111188</v>
      </c>
      <c r="I3114" s="35">
        <f>IFERROR(__xludf.DUMMYFUNCTION("""COMPUTED_VALUE"""),71.0)</f>
        <v>71</v>
      </c>
      <c r="J3114" s="35" t="str">
        <f>IFERROR(__xludf.DUMMYFUNCTION("""COMPUTED_VALUE"""),"&gt; 44 tahun")</f>
        <v>&gt; 44 tahun</v>
      </c>
      <c r="K3114" s="21" t="str">
        <f>IFERROR(__xludf.DUMMYFUNCTION("""COMPUTED_VALUE"""),"02/01/1955")</f>
        <v>02/01/1955</v>
      </c>
      <c r="L3114" s="21" t="str">
        <f>IFERROR(__xludf.DUMMYFUNCTION("""COMPUTED_VALUE"""),"LAKI-LAKI")</f>
        <v>LAKI-LAKI</v>
      </c>
      <c r="M3114" s="35" t="str">
        <f>IFERROR(__xludf.DUMMYFUNCTION("""COMPUTED_VALUE"""),"JL. IMAM BONJOL GG. PENITI BARU NO.14")</f>
        <v>JL. IMAM BONJOL GG. PENITI BARU NO.14</v>
      </c>
      <c r="N3114" s="35" t="str">
        <f>IFERROR(__xludf.DUMMYFUNCTION("""COMPUTED_VALUE"""),"KELURAHAN BENUA MELAYU LAUT")</f>
        <v>KELURAHAN BENUA MELAYU LAUT</v>
      </c>
      <c r="O3114" s="35" t="str">
        <f>IFERROR(__xludf.DUMMYFUNCTION("""COMPUTED_VALUE"""),"PONTIANAK SELATAN")</f>
        <v>PONTIANAK SELATAN</v>
      </c>
      <c r="P3114" s="35" t="str">
        <f>IFERROR(__xludf.DUMMYFUNCTION("""COMPUTED_VALUE"""),"PONTIANAK")</f>
        <v>PONTIANAK</v>
      </c>
      <c r="Q3114" s="35" t="str">
        <f>IFERROR(__xludf.DUMMYFUNCTION("""COMPUTED_VALUE"""),"KALIMANTAN BARAT")</f>
        <v>KALIMANTAN BARAT</v>
      </c>
      <c r="R3114" s="21" t="str">
        <f>IFERROR(__xludf.DUMMYFUNCTION("""COMPUTED_VALUE"""),"KHONGHUCU")</f>
        <v>KHONGHUCU</v>
      </c>
      <c r="S3114" s="74" t="str">
        <f>IFERROR(__xludf.DUMMYFUNCTION("""COMPUTED_VALUE"""),"PENSIUN")</f>
        <v>PENSIUN</v>
      </c>
      <c r="T3114" s="35" t="str">
        <f>IFERROR(__xludf.DUMMYFUNCTION("""COMPUTED_VALUE"""),"TERAPI LUTUT ABIS OPERASI")</f>
        <v>TERAPI LUTUT ABIS OPERASI</v>
      </c>
      <c r="U3114" s="35" t="str">
        <f>IFERROR(__xludf.DUMMYFUNCTION("""COMPUTED_VALUE"""),"GA ADA")</f>
        <v>GA ADA</v>
      </c>
      <c r="V3114" s="37" t="str">
        <f>IFERROR(__xludf.DUMMYFUNCTION("""COMPUTED_VALUE"""),"081258331188")</f>
        <v>081258331188</v>
      </c>
      <c r="W3114" s="45"/>
    </row>
    <row r="3115">
      <c r="A3115" s="45"/>
      <c r="B3115" s="24" t="str">
        <f>IFERROR(__xludf.DUMMYFUNCTION("""COMPUTED_VALUE"""),"25/11/2025 14:57:47")</f>
        <v>25/11/2025 14:57:47</v>
      </c>
      <c r="C3115" s="35"/>
      <c r="D3115" s="10">
        <f>IFERROR(__xludf.DUMMYFUNCTION("""COMPUTED_VALUE"""),45986.0)</f>
        <v>45986</v>
      </c>
      <c r="E3115" s="35" t="str">
        <f>IFERROR(__xludf.DUMMYFUNCTION("""COMPUTED_VALUE"""),"11Nov")</f>
        <v>11Nov</v>
      </c>
      <c r="F3115" s="34" t="str">
        <f>IFERROR(__xludf.DUMMYFUNCTION("""COMPUTED_VALUE"""),"2025")</f>
        <v>2025</v>
      </c>
      <c r="G3115" s="35" t="str">
        <f>IFERROR(__xludf.DUMMYFUNCTION("""COMPUTED_VALUE"""),"HENGKI AFRIANUS")</f>
        <v>HENGKI AFRIANUS</v>
      </c>
      <c r="H3115" s="35" t="str">
        <f>IFERROR(__xludf.DUMMYFUNCTION("""COMPUTED_VALUE"""),"H0625118331")</f>
        <v>H0625118331</v>
      </c>
      <c r="I3115" s="35">
        <f>IFERROR(__xludf.DUMMYFUNCTION("""COMPUTED_VALUE"""),20.0)</f>
        <v>20</v>
      </c>
      <c r="J3115" s="35" t="str">
        <f>IFERROR(__xludf.DUMMYFUNCTION("""COMPUTED_VALUE"""),"18-24 tahun")</f>
        <v>18-24 tahun</v>
      </c>
      <c r="K3115" s="21" t="str">
        <f>IFERROR(__xludf.DUMMYFUNCTION("""COMPUTED_VALUE"""),"09/04/2006")</f>
        <v>09/04/2006</v>
      </c>
      <c r="L3115" s="21" t="str">
        <f>IFERROR(__xludf.DUMMYFUNCTION("""COMPUTED_VALUE"""),"LAKI-LAKI")</f>
        <v>LAKI-LAKI</v>
      </c>
      <c r="M3115" s="35" t="str">
        <f>IFERROR(__xludf.DUMMYFUNCTION("""COMPUTED_VALUE"""),"JL. PURNAMA 2 GG. EKLESIA")</f>
        <v>JL. PURNAMA 2 GG. EKLESIA</v>
      </c>
      <c r="N3115" s="35" t="str">
        <f>IFERROR(__xludf.DUMMYFUNCTION("""COMPUTED_VALUE"""),"KOTA BARU")</f>
        <v>KOTA BARU</v>
      </c>
      <c r="O3115" s="35" t="str">
        <f>IFERROR(__xludf.DUMMYFUNCTION("""COMPUTED_VALUE"""),"PONTIANAK SELATAN")</f>
        <v>PONTIANAK SELATAN</v>
      </c>
      <c r="P3115" s="35" t="str">
        <f>IFERROR(__xludf.DUMMYFUNCTION("""COMPUTED_VALUE"""),"KOTA PONTIANAK")</f>
        <v>KOTA PONTIANAK</v>
      </c>
      <c r="Q3115" s="35" t="str">
        <f>IFERROR(__xludf.DUMMYFUNCTION("""COMPUTED_VALUE"""),"KALIMANTAN BARAT")</f>
        <v>KALIMANTAN BARAT</v>
      </c>
      <c r="R3115" s="21" t="str">
        <f>IFERROR(__xludf.DUMMYFUNCTION("""COMPUTED_VALUE"""),"PROTESTAN")</f>
        <v>PROTESTAN</v>
      </c>
      <c r="S3115" s="74" t="str">
        <f>IFERROR(__xludf.DUMMYFUNCTION("""COMPUTED_VALUE"""),"-")</f>
        <v>-</v>
      </c>
      <c r="T3115" s="35" t="str">
        <f>IFERROR(__xludf.DUMMYFUNCTION("""COMPUTED_VALUE"""),"NYERI LUTUT SAMPING")</f>
        <v>NYERI LUTUT SAMPING</v>
      </c>
      <c r="U3115" s="35" t="str">
        <f>IFERROR(__xludf.DUMMYFUNCTION("""COMPUTED_VALUE"""),"LARI RENANG")</f>
        <v>LARI RENANG</v>
      </c>
      <c r="V3115" s="37" t="str">
        <f>IFERROR(__xludf.DUMMYFUNCTION("""COMPUTED_VALUE"""),"083856238331")</f>
        <v>083856238331</v>
      </c>
      <c r="W3115" s="45"/>
    </row>
    <row r="3116">
      <c r="A3116" s="45"/>
      <c r="B3116" s="24" t="str">
        <f>IFERROR(__xludf.DUMMYFUNCTION("""COMPUTED_VALUE"""),"25/11/2025 23:26:18")</f>
        <v>25/11/2025 23:26:18</v>
      </c>
      <c r="C3116" s="35"/>
      <c r="D3116" s="10">
        <f>IFERROR(__xludf.DUMMYFUNCTION("""COMPUTED_VALUE"""),45987.0)</f>
        <v>45987</v>
      </c>
      <c r="E3116" s="35" t="str">
        <f>IFERROR(__xludf.DUMMYFUNCTION("""COMPUTED_VALUE"""),"11Nov")</f>
        <v>11Nov</v>
      </c>
      <c r="F3116" s="34" t="str">
        <f>IFERROR(__xludf.DUMMYFUNCTION("""COMPUTED_VALUE"""),"2025")</f>
        <v>2025</v>
      </c>
      <c r="G3116" s="35" t="str">
        <f>IFERROR(__xludf.DUMMYFUNCTION("""COMPUTED_VALUE"""),"RENA")</f>
        <v>RENA</v>
      </c>
      <c r="H3116" s="35" t="str">
        <f>IFERROR(__xludf.DUMMYFUNCTION("""COMPUTED_VALUE"""),"R0025116078")</f>
        <v>R0025116078</v>
      </c>
      <c r="I3116" s="35">
        <f>IFERROR(__xludf.DUMMYFUNCTION("""COMPUTED_VALUE"""),25.0)</f>
        <v>25</v>
      </c>
      <c r="J3116" s="35" t="str">
        <f>IFERROR(__xludf.DUMMYFUNCTION("""COMPUTED_VALUE"""),"25-34 tahun")</f>
        <v>25-34 tahun</v>
      </c>
      <c r="K3116" s="21" t="str">
        <f>IFERROR(__xludf.DUMMYFUNCTION("""COMPUTED_VALUE"""),"23/08/2000")</f>
        <v>23/08/2000</v>
      </c>
      <c r="L3116" s="21" t="str">
        <f>IFERROR(__xludf.DUMMYFUNCTION("""COMPUTED_VALUE"""),"PEREMPUAN")</f>
        <v>PEREMPUAN</v>
      </c>
      <c r="M3116" s="35" t="str">
        <f>IFERROR(__xludf.DUMMYFUNCTION("""COMPUTED_VALUE"""),"JL. ILHAM")</f>
        <v>JL. ILHAM</v>
      </c>
      <c r="N3116" s="35" t="str">
        <f>IFERROR(__xludf.DUMMYFUNCTION("""COMPUTED_VALUE"""),"SUNGAI BANGKONG")</f>
        <v>SUNGAI BANGKONG</v>
      </c>
      <c r="O3116" s="35" t="str">
        <f>IFERROR(__xludf.DUMMYFUNCTION("""COMPUTED_VALUE"""),"PONTIANAK KOTA")</f>
        <v>PONTIANAK KOTA</v>
      </c>
      <c r="P3116" s="35" t="str">
        <f>IFERROR(__xludf.DUMMYFUNCTION("""COMPUTED_VALUE"""),"KOTA PONTIANAK")</f>
        <v>KOTA PONTIANAK</v>
      </c>
      <c r="Q3116" s="35" t="str">
        <f>IFERROR(__xludf.DUMMYFUNCTION("""COMPUTED_VALUE"""),"KALIMANTAN BARAT")</f>
        <v>KALIMANTAN BARAT</v>
      </c>
      <c r="R3116" s="21" t="str">
        <f>IFERROR(__xludf.DUMMYFUNCTION("""COMPUTED_VALUE"""),"PROTESTAN")</f>
        <v>PROTESTAN</v>
      </c>
      <c r="S3116" s="74" t="str">
        <f>IFERROR(__xludf.DUMMYFUNCTION("""COMPUTED_VALUE"""),"WIRASWASTA")</f>
        <v>WIRASWASTA</v>
      </c>
      <c r="T3116" s="35" t="str">
        <f>IFERROR(__xludf.DUMMYFUNCTION("""COMPUTED_VALUE"""),"CEDERA BAGIAN JARI")</f>
        <v>CEDERA BAGIAN JARI</v>
      </c>
      <c r="U3116" s="35" t="str">
        <f>IFERROR(__xludf.DUMMYFUNCTION("""COMPUTED_VALUE"""),"OLAHRAGA (BELA DIRI TAEKWONDO, WORKOUT)")</f>
        <v>OLAHRAGA (BELA DIRI TAEKWONDO, WORKOUT)</v>
      </c>
      <c r="V3116" s="37" t="str">
        <f>IFERROR(__xludf.DUMMYFUNCTION("""COMPUTED_VALUE"""),"085349606078")</f>
        <v>085349606078</v>
      </c>
      <c r="W3116" s="45"/>
    </row>
    <row r="3117">
      <c r="A3117" s="45"/>
      <c r="B3117" s="24" t="str">
        <f>IFERROR(__xludf.DUMMYFUNCTION("""COMPUTED_VALUE"""),"26/11/2025 9:52:43")</f>
        <v>26/11/2025 9:52:43</v>
      </c>
      <c r="C3117" s="35"/>
      <c r="D3117" s="10">
        <f>IFERROR(__xludf.DUMMYFUNCTION("""COMPUTED_VALUE"""),45987.0)</f>
        <v>45987</v>
      </c>
      <c r="E3117" s="35" t="str">
        <f>IFERROR(__xludf.DUMMYFUNCTION("""COMPUTED_VALUE"""),"11Nov")</f>
        <v>11Nov</v>
      </c>
      <c r="F3117" s="34" t="str">
        <f>IFERROR(__xludf.DUMMYFUNCTION("""COMPUTED_VALUE"""),"2025")</f>
        <v>2025</v>
      </c>
      <c r="G3117" s="35" t="str">
        <f>IFERROR(__xludf.DUMMYFUNCTION("""COMPUTED_VALUE"""),"BENHUR SITUMORANG")</f>
        <v>BENHUR SITUMORANG</v>
      </c>
      <c r="H3117" s="35" t="str">
        <f>IFERROR(__xludf.DUMMYFUNCTION("""COMPUTED_VALUE"""),"B8225112104")</f>
        <v>B8225112104</v>
      </c>
      <c r="I3117" s="35">
        <f>IFERROR(__xludf.DUMMYFUNCTION("""COMPUTED_VALUE"""),43.0)</f>
        <v>43</v>
      </c>
      <c r="J3117" s="35" t="str">
        <f>IFERROR(__xludf.DUMMYFUNCTION("""COMPUTED_VALUE"""),"35-44 tahun")</f>
        <v>35-44 tahun</v>
      </c>
      <c r="K3117" s="21" t="str">
        <f>IFERROR(__xludf.DUMMYFUNCTION("""COMPUTED_VALUE"""),"07/10/1982")</f>
        <v>07/10/1982</v>
      </c>
      <c r="L3117" s="21" t="str">
        <f>IFERROR(__xludf.DUMMYFUNCTION("""COMPUTED_VALUE"""),"LAKI-LAKI")</f>
        <v>LAKI-LAKI</v>
      </c>
      <c r="M3117" s="35" t="str">
        <f>IFERROR(__xludf.DUMMYFUNCTION("""COMPUTED_VALUE"""),"ASRAMA MILITER YONZIPUR 1/DD
BLOK C NOMOR 11
JALAN KAPTEN MUSLIM MEDAN")</f>
        <v>ASRAMA MILITER YONZIPUR 1/DD
BLOK C NOMOR 11
JALAN KAPTEN MUSLIM MEDAN</v>
      </c>
      <c r="N3117" s="35" t="str">
        <f>IFERROR(__xludf.DUMMYFUNCTION("""COMPUTED_VALUE"""),"HELVETIA TIMUR")</f>
        <v>HELVETIA TIMUR</v>
      </c>
      <c r="O3117" s="35" t="str">
        <f>IFERROR(__xludf.DUMMYFUNCTION("""COMPUTED_VALUE"""),"MEDAN HELVETIA")</f>
        <v>MEDAN HELVETIA</v>
      </c>
      <c r="P3117" s="35" t="str">
        <f>IFERROR(__xludf.DUMMYFUNCTION("""COMPUTED_VALUE"""),"MEDAN")</f>
        <v>MEDAN</v>
      </c>
      <c r="Q3117" s="35" t="str">
        <f>IFERROR(__xludf.DUMMYFUNCTION("""COMPUTED_VALUE"""),"SUMATERA UTARA")</f>
        <v>SUMATERA UTARA</v>
      </c>
      <c r="R3117" s="21" t="str">
        <f>IFERROR(__xludf.DUMMYFUNCTION("""COMPUTED_VALUE"""),"PROTESTAN")</f>
        <v>PROTESTAN</v>
      </c>
      <c r="S3117" s="74" t="str">
        <f>IFERROR(__xludf.DUMMYFUNCTION("""COMPUTED_VALUE"""),"TNI AD")</f>
        <v>TNI AD</v>
      </c>
      <c r="T3117" s="35" t="str">
        <f>IFERROR(__xludf.DUMMYFUNCTION("""COMPUTED_VALUE"""),"CEDERA DI BAHU SEBELAH KIRI")</f>
        <v>CEDERA DI BAHU SEBELAH KIRI</v>
      </c>
      <c r="U3117" s="35" t="str">
        <f>IFERROR(__xludf.DUMMYFUNCTION("""COMPUTED_VALUE"""),"GYM (FITNESS)")</f>
        <v>GYM (FITNESS)</v>
      </c>
      <c r="V3117" s="37" t="str">
        <f>IFERROR(__xludf.DUMMYFUNCTION("""COMPUTED_VALUE"""),"08116262104")</f>
        <v>08116262104</v>
      </c>
      <c r="W3117" s="45"/>
    </row>
    <row r="3118">
      <c r="A3118" s="45"/>
      <c r="B3118" s="24" t="str">
        <f>IFERROR(__xludf.DUMMYFUNCTION("""COMPUTED_VALUE"""),"26/11/2025 10:54:55")</f>
        <v>26/11/2025 10:54:55</v>
      </c>
      <c r="C3118" s="35"/>
      <c r="D3118" s="10">
        <f>IFERROR(__xludf.DUMMYFUNCTION("""COMPUTED_VALUE"""),45987.0)</f>
        <v>45987</v>
      </c>
      <c r="E3118" s="35" t="str">
        <f>IFERROR(__xludf.DUMMYFUNCTION("""COMPUTED_VALUE"""),"11Nov")</f>
        <v>11Nov</v>
      </c>
      <c r="F3118" s="34" t="str">
        <f>IFERROR(__xludf.DUMMYFUNCTION("""COMPUTED_VALUE"""),"2025")</f>
        <v>2025</v>
      </c>
      <c r="G3118" s="35" t="str">
        <f>IFERROR(__xludf.DUMMYFUNCTION("""COMPUTED_VALUE"""),"KHIM FAT")</f>
        <v>KHIM FAT</v>
      </c>
      <c r="H3118" s="35" t="str">
        <f>IFERROR(__xludf.DUMMYFUNCTION("""COMPUTED_VALUE"""),"K6925117323")</f>
        <v>K6925117323</v>
      </c>
      <c r="I3118" s="35">
        <f>IFERROR(__xludf.DUMMYFUNCTION("""COMPUTED_VALUE"""),56.0)</f>
        <v>56</v>
      </c>
      <c r="J3118" s="35" t="str">
        <f>IFERROR(__xludf.DUMMYFUNCTION("""COMPUTED_VALUE"""),"&gt; 44 tahun")</f>
        <v>&gt; 44 tahun</v>
      </c>
      <c r="K3118" s="21" t="str">
        <f>IFERROR(__xludf.DUMMYFUNCTION("""COMPUTED_VALUE"""),"07/12/1969")</f>
        <v>07/12/1969</v>
      </c>
      <c r="L3118" s="21" t="str">
        <f>IFERROR(__xludf.DUMMYFUNCTION("""COMPUTED_VALUE"""),"PEREMPUAN")</f>
        <v>PEREMPUAN</v>
      </c>
      <c r="M3118" s="35" t="str">
        <f>IFERROR(__xludf.DUMMYFUNCTION("""COMPUTED_VALUE"""),"JL M. TOHIR")</f>
        <v>JL M. TOHIR</v>
      </c>
      <c r="N3118" s="35" t="str">
        <f>IFERROR(__xludf.DUMMYFUNCTION("""COMPUTED_VALUE"""),"KETAPANG")</f>
        <v>KETAPANG</v>
      </c>
      <c r="O3118" s="35" t="str">
        <f>IFERROR(__xludf.DUMMYFUNCTION("""COMPUTED_VALUE"""),"KETAPANG")</f>
        <v>KETAPANG</v>
      </c>
      <c r="P3118" s="35" t="str">
        <f>IFERROR(__xludf.DUMMYFUNCTION("""COMPUTED_VALUE"""),"KETAPANG")</f>
        <v>KETAPANG</v>
      </c>
      <c r="Q3118" s="35" t="str">
        <f>IFERROR(__xludf.DUMMYFUNCTION("""COMPUTED_VALUE"""),"KALIMANTAN BARAT")</f>
        <v>KALIMANTAN BARAT</v>
      </c>
      <c r="R3118" s="21" t="str">
        <f>IFERROR(__xludf.DUMMYFUNCTION("""COMPUTED_VALUE"""),"KHONGHUCU")</f>
        <v>KHONGHUCU</v>
      </c>
      <c r="S3118" s="74" t="str">
        <f>IFERROR(__xludf.DUMMYFUNCTION("""COMPUTED_VALUE"""),"SWASTA")</f>
        <v>SWASTA</v>
      </c>
      <c r="T3118" s="35" t="str">
        <f>IFERROR(__xludf.DUMMYFUNCTION("""COMPUTED_VALUE"""),"TANGAN GAK MAMPU ANGKAT BEBAN")</f>
        <v>TANGAN GAK MAMPU ANGKAT BEBAN</v>
      </c>
      <c r="U3118" s="35" t="str">
        <f>IFERROR(__xludf.DUMMYFUNCTION("""COMPUTED_VALUE"""),"-")</f>
        <v>-</v>
      </c>
      <c r="V3118" s="37" t="str">
        <f>IFERROR(__xludf.DUMMYFUNCTION("""COMPUTED_VALUE"""),"0812577323")</f>
        <v>0812577323</v>
      </c>
      <c r="W3118" s="45"/>
    </row>
    <row r="3119">
      <c r="A3119" s="45"/>
      <c r="B3119" s="24" t="str">
        <f>IFERROR(__xludf.DUMMYFUNCTION("""COMPUTED_VALUE"""),"26/11/2025 19:43:35")</f>
        <v>26/11/2025 19:43:35</v>
      </c>
      <c r="C3119" s="35"/>
      <c r="D3119" s="10">
        <f>IFERROR(__xludf.DUMMYFUNCTION("""COMPUTED_VALUE"""),45987.0)</f>
        <v>45987</v>
      </c>
      <c r="E3119" s="35" t="str">
        <f>IFERROR(__xludf.DUMMYFUNCTION("""COMPUTED_VALUE"""),"11Nov")</f>
        <v>11Nov</v>
      </c>
      <c r="F3119" s="34" t="str">
        <f>IFERROR(__xludf.DUMMYFUNCTION("""COMPUTED_VALUE"""),"2025")</f>
        <v>2025</v>
      </c>
      <c r="G3119" s="35" t="str">
        <f>IFERROR(__xludf.DUMMYFUNCTION("""COMPUTED_VALUE"""),"IQLIMA ZAHRA")</f>
        <v>IQLIMA ZAHRA</v>
      </c>
      <c r="H3119" s="35" t="str">
        <f>IFERROR(__xludf.DUMMYFUNCTION("""COMPUTED_VALUE"""),"I0025112738")</f>
        <v>I0025112738</v>
      </c>
      <c r="I3119" s="35">
        <f>IFERROR(__xludf.DUMMYFUNCTION("""COMPUTED_VALUE"""),25.0)</f>
        <v>25</v>
      </c>
      <c r="J3119" s="35" t="str">
        <f>IFERROR(__xludf.DUMMYFUNCTION("""COMPUTED_VALUE"""),"25-34 tahun")</f>
        <v>25-34 tahun</v>
      </c>
      <c r="K3119" s="21" t="str">
        <f>IFERROR(__xludf.DUMMYFUNCTION("""COMPUTED_VALUE"""),"25/09/2000")</f>
        <v>25/09/2000</v>
      </c>
      <c r="L3119" s="21" t="str">
        <f>IFERROR(__xludf.DUMMYFUNCTION("""COMPUTED_VALUE"""),"PEREMPUAN")</f>
        <v>PEREMPUAN</v>
      </c>
      <c r="M3119" s="35" t="str">
        <f>IFERROR(__xludf.DUMMYFUNCTION("""COMPUTED_VALUE"""),"BIDA AYU BLOK Y NO 1")</f>
        <v>BIDA AYU BLOK Y NO 1</v>
      </c>
      <c r="N3119" s="35" t="str">
        <f>IFERROR(__xludf.DUMMYFUNCTION("""COMPUTED_VALUE"""),"MANGSANG")</f>
        <v>MANGSANG</v>
      </c>
      <c r="O3119" s="35" t="str">
        <f>IFERROR(__xludf.DUMMYFUNCTION("""COMPUTED_VALUE"""),"SUNGAI BEDUK")</f>
        <v>SUNGAI BEDUK</v>
      </c>
      <c r="P3119" s="35" t="str">
        <f>IFERROR(__xludf.DUMMYFUNCTION("""COMPUTED_VALUE"""),"BATAM")</f>
        <v>BATAM</v>
      </c>
      <c r="Q3119" s="35" t="str">
        <f>IFERROR(__xludf.DUMMYFUNCTION("""COMPUTED_VALUE"""),"KEPRI")</f>
        <v>KEPRI</v>
      </c>
      <c r="R3119" s="21" t="str">
        <f>IFERROR(__xludf.DUMMYFUNCTION("""COMPUTED_VALUE"""),"ISLAM")</f>
        <v>ISLAM</v>
      </c>
      <c r="S3119" s="74" t="str">
        <f>IFERROR(__xludf.DUMMYFUNCTION("""COMPUTED_VALUE"""),"-")</f>
        <v>-</v>
      </c>
      <c r="T3119" s="35" t="str">
        <f>IFERROR(__xludf.DUMMYFUNCTION("""COMPUTED_VALUE"""),"LUTUT")</f>
        <v>LUTUT</v>
      </c>
      <c r="U3119" s="35" t="str">
        <f>IFERROR(__xludf.DUMMYFUNCTION("""COMPUTED_VALUE"""),"-")</f>
        <v>-</v>
      </c>
      <c r="V3119" s="37" t="str">
        <f>IFERROR(__xludf.DUMMYFUNCTION("""COMPUTED_VALUE"""),"081392522738")</f>
        <v>081392522738</v>
      </c>
      <c r="W3119" s="45"/>
    </row>
    <row r="3120">
      <c r="A3120" s="45"/>
      <c r="B3120" s="24" t="str">
        <f>IFERROR(__xludf.DUMMYFUNCTION("""COMPUTED_VALUE"""),"27/11/2025 10:24:45")</f>
        <v>27/11/2025 10:24:45</v>
      </c>
      <c r="C3120" s="35"/>
      <c r="D3120" s="10">
        <f>IFERROR(__xludf.DUMMYFUNCTION("""COMPUTED_VALUE"""),45988.0)</f>
        <v>45988</v>
      </c>
      <c r="E3120" s="35" t="str">
        <f>IFERROR(__xludf.DUMMYFUNCTION("""COMPUTED_VALUE"""),"11Nov")</f>
        <v>11Nov</v>
      </c>
      <c r="F3120" s="34" t="str">
        <f>IFERROR(__xludf.DUMMYFUNCTION("""COMPUTED_VALUE"""),"2025")</f>
        <v>2025</v>
      </c>
      <c r="G3120" s="35" t="str">
        <f>IFERROR(__xludf.DUMMYFUNCTION("""COMPUTED_VALUE"""),"REZA")</f>
        <v>REZA</v>
      </c>
      <c r="H3120" s="35" t="str">
        <f>IFERROR(__xludf.DUMMYFUNCTION("""COMPUTED_VALUE"""),"R0325117252")</f>
        <v>R0325117252</v>
      </c>
      <c r="I3120" s="35">
        <f>IFERROR(__xludf.DUMMYFUNCTION("""COMPUTED_VALUE"""),23.0)</f>
        <v>23</v>
      </c>
      <c r="J3120" s="35" t="str">
        <f>IFERROR(__xludf.DUMMYFUNCTION("""COMPUTED_VALUE"""),"18-24 tahun")</f>
        <v>18-24 tahun</v>
      </c>
      <c r="K3120" s="21" t="str">
        <f>IFERROR(__xludf.DUMMYFUNCTION("""COMPUTED_VALUE"""),"06/01/0003")</f>
        <v>06/01/0003</v>
      </c>
      <c r="L3120" s="21" t="str">
        <f>IFERROR(__xludf.DUMMYFUNCTION("""COMPUTED_VALUE"""),"LAKI-LAKI")</f>
        <v>LAKI-LAKI</v>
      </c>
      <c r="M3120" s="35" t="str">
        <f>IFERROR(__xludf.DUMMYFUNCTION("""COMPUTED_VALUE"""),"DUSUN SETAMBAH")</f>
        <v>DUSUN SETAMBAH</v>
      </c>
      <c r="N3120" s="35" t="str">
        <f>IFERROR(__xludf.DUMMYFUNCTION("""COMPUTED_VALUE"""),"SEI RAMBAH")</f>
        <v>SEI RAMBAH</v>
      </c>
      <c r="O3120" s="35" t="str">
        <f>IFERROR(__xludf.DUMMYFUNCTION("""COMPUTED_VALUE"""),"SAMBAS")</f>
        <v>SAMBAS</v>
      </c>
      <c r="P3120" s="35" t="str">
        <f>IFERROR(__xludf.DUMMYFUNCTION("""COMPUTED_VALUE"""),"SAMBAS")</f>
        <v>SAMBAS</v>
      </c>
      <c r="Q3120" s="35" t="str">
        <f>IFERROR(__xludf.DUMMYFUNCTION("""COMPUTED_VALUE"""),"KALIMANTAN BARAT")</f>
        <v>KALIMANTAN BARAT</v>
      </c>
      <c r="R3120" s="21" t="str">
        <f>IFERROR(__xludf.DUMMYFUNCTION("""COMPUTED_VALUE"""),"ISLAM")</f>
        <v>ISLAM</v>
      </c>
      <c r="S3120" s="74" t="str">
        <f>IFERROR(__xludf.DUMMYFUNCTION("""COMPUTED_VALUE"""),"BURUH")</f>
        <v>BURUH</v>
      </c>
      <c r="T3120" s="35" t="str">
        <f>IFERROR(__xludf.DUMMYFUNCTION("""COMPUTED_VALUE"""),"NYERI PADA LUTUT")</f>
        <v>NYERI PADA LUTUT</v>
      </c>
      <c r="U3120" s="35" t="str">
        <f>IFERROR(__xludf.DUMMYFUNCTION("""COMPUTED_VALUE"""),"SEPAK BOLA")</f>
        <v>SEPAK BOLA</v>
      </c>
      <c r="V3120" s="37" t="str">
        <f>IFERROR(__xludf.DUMMYFUNCTION("""COMPUTED_VALUE"""),"083153007252")</f>
        <v>083153007252</v>
      </c>
      <c r="W3120" s="45"/>
    </row>
    <row r="3121">
      <c r="A3121" s="45"/>
      <c r="B3121" s="24" t="str">
        <f>IFERROR(__xludf.DUMMYFUNCTION("""COMPUTED_VALUE"""),"27/11/2025 16:18:27")</f>
        <v>27/11/2025 16:18:27</v>
      </c>
      <c r="C3121" s="35"/>
      <c r="D3121" s="10">
        <f>IFERROR(__xludf.DUMMYFUNCTION("""COMPUTED_VALUE"""),45988.0)</f>
        <v>45988</v>
      </c>
      <c r="E3121" s="35" t="str">
        <f>IFERROR(__xludf.DUMMYFUNCTION("""COMPUTED_VALUE"""),"11Nov")</f>
        <v>11Nov</v>
      </c>
      <c r="F3121" s="34" t="str">
        <f>IFERROR(__xludf.DUMMYFUNCTION("""COMPUTED_VALUE"""),"2025")</f>
        <v>2025</v>
      </c>
      <c r="G3121" s="35" t="str">
        <f>IFERROR(__xludf.DUMMYFUNCTION("""COMPUTED_VALUE"""),"ANSELMUS RINALDHY, SE.,MM")</f>
        <v>ANSELMUS RINALDHY, SE.,MM</v>
      </c>
      <c r="H3121" s="35" t="str">
        <f>IFERROR(__xludf.DUMMYFUNCTION("""COMPUTED_VALUE"""),"A8525119797")</f>
        <v>A8525119797</v>
      </c>
      <c r="I3121" s="35">
        <f>IFERROR(__xludf.DUMMYFUNCTION("""COMPUTED_VALUE"""),41.0)</f>
        <v>41</v>
      </c>
      <c r="J3121" s="35" t="str">
        <f>IFERROR(__xludf.DUMMYFUNCTION("""COMPUTED_VALUE"""),"35-44 tahun")</f>
        <v>35-44 tahun</v>
      </c>
      <c r="K3121" s="21" t="str">
        <f>IFERROR(__xludf.DUMMYFUNCTION("""COMPUTED_VALUE"""),"28/05/1985")</f>
        <v>28/05/1985</v>
      </c>
      <c r="L3121" s="21" t="str">
        <f>IFERROR(__xludf.DUMMYFUNCTION("""COMPUTED_VALUE"""),"LAKI-LAKI")</f>
        <v>LAKI-LAKI</v>
      </c>
      <c r="M3121" s="35" t="str">
        <f>IFERROR(__xludf.DUMMYFUNCTION("""COMPUTED_VALUE"""),"JLN PATIH SAREK NO.6 PALAPULAU, PUTUSSIBAU")</f>
        <v>JLN PATIH SAREK NO.6 PALAPULAU, PUTUSSIBAU</v>
      </c>
      <c r="N3121" s="35" t="str">
        <f>IFERROR(__xludf.DUMMYFUNCTION("""COMPUTED_VALUE"""),"DESA PALAPULAU")</f>
        <v>DESA PALAPULAU</v>
      </c>
      <c r="O3121" s="35" t="str">
        <f>IFERROR(__xludf.DUMMYFUNCTION("""COMPUTED_VALUE"""),"PUTUSSIBAU UTARA")</f>
        <v>PUTUSSIBAU UTARA</v>
      </c>
      <c r="P3121" s="35" t="str">
        <f>IFERROR(__xludf.DUMMYFUNCTION("""COMPUTED_VALUE"""),"KAPUAS HULU")</f>
        <v>KAPUAS HULU</v>
      </c>
      <c r="Q3121" s="35" t="str">
        <f>IFERROR(__xludf.DUMMYFUNCTION("""COMPUTED_VALUE"""),"KALIMANTAN BARAR")</f>
        <v>KALIMANTAN BARAR</v>
      </c>
      <c r="R3121" s="21" t="str">
        <f>IFERROR(__xludf.DUMMYFUNCTION("""COMPUTED_VALUE"""),"KATOLIK")</f>
        <v>KATOLIK</v>
      </c>
      <c r="S3121" s="74" t="str">
        <f>IFERROR(__xludf.DUMMYFUNCTION("""COMPUTED_VALUE"""),"WIRASWASTA")</f>
        <v>WIRASWASTA</v>
      </c>
      <c r="T3121" s="35" t="str">
        <f>IFERROR(__xludf.DUMMYFUNCTION("""COMPUTED_VALUE"""),"SAKIT PUNGGUNG MENAHUN")</f>
        <v>SAKIT PUNGGUNG MENAHUN</v>
      </c>
      <c r="U3121" s="35" t="str">
        <f>IFERROR(__xludf.DUMMYFUNCTION("""COMPUTED_VALUE"""),"BERSEPEDA DAN BERKEBUN")</f>
        <v>BERSEPEDA DAN BERKEBUN</v>
      </c>
      <c r="V3121" s="37" t="str">
        <f>IFERROR(__xludf.DUMMYFUNCTION("""COMPUTED_VALUE"""),"082261619797")</f>
        <v>082261619797</v>
      </c>
      <c r="W3121" s="45"/>
    </row>
    <row r="3122">
      <c r="A3122" s="45"/>
      <c r="B3122" s="24" t="str">
        <f>IFERROR(__xludf.DUMMYFUNCTION("""COMPUTED_VALUE"""),"27/11/2025 17:26:39")</f>
        <v>27/11/2025 17:26:39</v>
      </c>
      <c r="C3122" s="35"/>
      <c r="D3122" s="10">
        <f>IFERROR(__xludf.DUMMYFUNCTION("""COMPUTED_VALUE"""),45988.0)</f>
        <v>45988</v>
      </c>
      <c r="E3122" s="35" t="str">
        <f>IFERROR(__xludf.DUMMYFUNCTION("""COMPUTED_VALUE"""),"11Nov")</f>
        <v>11Nov</v>
      </c>
      <c r="F3122" s="34" t="str">
        <f>IFERROR(__xludf.DUMMYFUNCTION("""COMPUTED_VALUE"""),"2025")</f>
        <v>2025</v>
      </c>
      <c r="G3122" s="35" t="str">
        <f>IFERROR(__xludf.DUMMYFUNCTION("""COMPUTED_VALUE"""),"VERTY SARI PUSPARINI")</f>
        <v>VERTY SARI PUSPARINI</v>
      </c>
      <c r="H3122" s="35" t="str">
        <f>IFERROR(__xludf.DUMMYFUNCTION("""COMPUTED_VALUE"""),"V8625117580")</f>
        <v>V8625117580</v>
      </c>
      <c r="I3122" s="35">
        <f>IFERROR(__xludf.DUMMYFUNCTION("""COMPUTED_VALUE"""),39.0)</f>
        <v>39</v>
      </c>
      <c r="J3122" s="35" t="str">
        <f>IFERROR(__xludf.DUMMYFUNCTION("""COMPUTED_VALUE"""),"35-44 tahun")</f>
        <v>35-44 tahun</v>
      </c>
      <c r="K3122" s="21" t="str">
        <f>IFERROR(__xludf.DUMMYFUNCTION("""COMPUTED_VALUE"""),"18/10/1986")</f>
        <v>18/10/1986</v>
      </c>
      <c r="L3122" s="21" t="str">
        <f>IFERROR(__xludf.DUMMYFUNCTION("""COMPUTED_VALUE"""),"PEREMPUAN")</f>
        <v>PEREMPUAN</v>
      </c>
      <c r="M3122" s="35" t="str">
        <f>IFERROR(__xludf.DUMMYFUNCTION("""COMPUTED_VALUE"""),"JL. WONOBARU RT 003 / RT 002")</f>
        <v>JL. WONOBARU RT 003 / RT 002</v>
      </c>
      <c r="N3122" s="35" t="str">
        <f>IFERROR(__xludf.DUMMYFUNCTION("""COMPUTED_VALUE"""),"KOTA BARU")</f>
        <v>KOTA BARU</v>
      </c>
      <c r="O3122" s="35" t="str">
        <f>IFERROR(__xludf.DUMMYFUNCTION("""COMPUTED_VALUE"""),"PONTIANAK SELATAN")</f>
        <v>PONTIANAK SELATAN</v>
      </c>
      <c r="P3122" s="35" t="str">
        <f>IFERROR(__xludf.DUMMYFUNCTION("""COMPUTED_VALUE"""),"PONTIANAK")</f>
        <v>PONTIANAK</v>
      </c>
      <c r="Q3122" s="35" t="str">
        <f>IFERROR(__xludf.DUMMYFUNCTION("""COMPUTED_VALUE"""),"KALIMANTAN BARAT")</f>
        <v>KALIMANTAN BARAT</v>
      </c>
      <c r="R3122" s="21" t="str">
        <f>IFERROR(__xludf.DUMMYFUNCTION("""COMPUTED_VALUE"""),"PROTESTAN")</f>
        <v>PROTESTAN</v>
      </c>
      <c r="S3122" s="74" t="str">
        <f>IFERROR(__xludf.DUMMYFUNCTION("""COMPUTED_VALUE"""),"KARYAWAN")</f>
        <v>KARYAWAN</v>
      </c>
      <c r="T3122" s="35" t="str">
        <f>IFERROR(__xludf.DUMMYFUNCTION("""COMPUTED_VALUE"""),"SENDI PERGELANGAN TANGAN KIRI DAN KANAN SAKIT TERUTAMA SAAT MENGANGKAT BARANG BERAT, TUMIT KAKI KIRI SAKIT. ADA RIWAYAT SKOLIOSIS DERAJAT KECIL")</f>
        <v>SENDI PERGELANGAN TANGAN KIRI DAN KANAN SAKIT TERUTAMA SAAT MENGANGKAT BARANG BERAT, TUMIT KAKI KIRI SAKIT. ADA RIWAYAT SKOLIOSIS DERAJAT KECIL</v>
      </c>
      <c r="U3122" s="35" t="str">
        <f>IFERROR(__xludf.DUMMYFUNCTION("""COMPUTED_VALUE"""),"LEBIH BANYAK DUDUK JARANG OLAHRAGA")</f>
        <v>LEBIH BANYAK DUDUK JARANG OLAHRAGA</v>
      </c>
      <c r="V3122" s="37" t="str">
        <f>IFERROR(__xludf.DUMMYFUNCTION("""COMPUTED_VALUE"""),"089608517580")</f>
        <v>089608517580</v>
      </c>
      <c r="W3122" s="45"/>
    </row>
    <row r="3123">
      <c r="A3123" s="45"/>
      <c r="B3123" s="24" t="str">
        <f>IFERROR(__xludf.DUMMYFUNCTION("""COMPUTED_VALUE"""),"27/11/2025 21:57:33")</f>
        <v>27/11/2025 21:57:33</v>
      </c>
      <c r="C3123" s="35"/>
      <c r="D3123" s="10">
        <f>IFERROR(__xludf.DUMMYFUNCTION("""COMPUTED_VALUE"""),45989.0)</f>
        <v>45989</v>
      </c>
      <c r="E3123" s="35" t="str">
        <f>IFERROR(__xludf.DUMMYFUNCTION("""COMPUTED_VALUE"""),"11Nov")</f>
        <v>11Nov</v>
      </c>
      <c r="F3123" s="34" t="str">
        <f>IFERROR(__xludf.DUMMYFUNCTION("""COMPUTED_VALUE"""),"2025")</f>
        <v>2025</v>
      </c>
      <c r="G3123" s="35" t="str">
        <f>IFERROR(__xludf.DUMMYFUNCTION("""COMPUTED_VALUE"""),"YULIA WIDIANARTI")</f>
        <v>YULIA WIDIANARTI</v>
      </c>
      <c r="H3123" s="35" t="str">
        <f>IFERROR(__xludf.DUMMYFUNCTION("""COMPUTED_VALUE"""),"Y7025113569")</f>
        <v>Y7025113569</v>
      </c>
      <c r="I3123" s="35">
        <f>IFERROR(__xludf.DUMMYFUNCTION("""COMPUTED_VALUE"""),55.0)</f>
        <v>55</v>
      </c>
      <c r="J3123" s="35" t="str">
        <f>IFERROR(__xludf.DUMMYFUNCTION("""COMPUTED_VALUE"""),"&gt; 44 tahun")</f>
        <v>&gt; 44 tahun</v>
      </c>
      <c r="K3123" s="21" t="str">
        <f>IFERROR(__xludf.DUMMYFUNCTION("""COMPUTED_VALUE"""),"19/07/1970")</f>
        <v>19/07/1970</v>
      </c>
      <c r="L3123" s="21" t="str">
        <f>IFERROR(__xludf.DUMMYFUNCTION("""COMPUTED_VALUE"""),"PEREMPUAN")</f>
        <v>PEREMPUAN</v>
      </c>
      <c r="M3123" s="35" t="str">
        <f>IFERROR(__xludf.DUMMYFUNCTION("""COMPUTED_VALUE"""),"JL. HM SUWIGNYO KOMP VILLA CITRA ANDALAS NO B.10")</f>
        <v>JL. HM SUWIGNYO KOMP VILLA CITRA ANDALAS NO B.10</v>
      </c>
      <c r="N3123" s="35" t="str">
        <f>IFERROR(__xludf.DUMMYFUNCTION("""COMPUTED_VALUE"""),"SUNGAI JAWI")</f>
        <v>SUNGAI JAWI</v>
      </c>
      <c r="O3123" s="35" t="str">
        <f>IFERROR(__xludf.DUMMYFUNCTION("""COMPUTED_VALUE"""),"PONTIANAK KOTA")</f>
        <v>PONTIANAK KOTA</v>
      </c>
      <c r="P3123" s="35" t="str">
        <f>IFERROR(__xludf.DUMMYFUNCTION("""COMPUTED_VALUE"""),"PONTIANAK")</f>
        <v>PONTIANAK</v>
      </c>
      <c r="Q3123" s="35" t="str">
        <f>IFERROR(__xludf.DUMMYFUNCTION("""COMPUTED_VALUE"""),"KALIMANTAN BARAT")</f>
        <v>KALIMANTAN BARAT</v>
      </c>
      <c r="R3123" s="21" t="str">
        <f>IFERROR(__xludf.DUMMYFUNCTION("""COMPUTED_VALUE"""),"ISLAM")</f>
        <v>ISLAM</v>
      </c>
      <c r="S3123" s="74" t="str">
        <f>IFERROR(__xludf.DUMMYFUNCTION("""COMPUTED_VALUE"""),"PENSIUNAN")</f>
        <v>PENSIUNAN</v>
      </c>
      <c r="T3123" s="35" t="str">
        <f>IFERROR(__xludf.DUMMYFUNCTION("""COMPUTED_VALUE"""),"TUMIT SAKIT, DAN MAU MENAMBAH MASSA OTOT KAKI")</f>
        <v>TUMIT SAKIT, DAN MAU MENAMBAH MASSA OTOT KAKI</v>
      </c>
      <c r="U3123" s="35" t="str">
        <f>IFERROR(__xludf.DUMMYFUNCTION("""COMPUTED_VALUE"""),"TIDAK ADA")</f>
        <v>TIDAK ADA</v>
      </c>
      <c r="V3123" s="37" t="str">
        <f>IFERROR(__xludf.DUMMYFUNCTION("""COMPUTED_VALUE"""),"08125643569")</f>
        <v>08125643569</v>
      </c>
      <c r="W3123" s="45"/>
    </row>
    <row r="3124">
      <c r="A3124" s="45"/>
      <c r="B3124" s="24" t="str">
        <f>IFERROR(__xludf.DUMMYFUNCTION("""COMPUTED_VALUE"""),"28/11/2025 17:08:41")</f>
        <v>28/11/2025 17:08:41</v>
      </c>
      <c r="C3124" s="35"/>
      <c r="D3124" s="10">
        <f>IFERROR(__xludf.DUMMYFUNCTION("""COMPUTED_VALUE"""),45990.0)</f>
        <v>45990</v>
      </c>
      <c r="E3124" s="35" t="str">
        <f>IFERROR(__xludf.DUMMYFUNCTION("""COMPUTED_VALUE"""),"11Nov")</f>
        <v>11Nov</v>
      </c>
      <c r="F3124" s="34" t="str">
        <f>IFERROR(__xludf.DUMMYFUNCTION("""COMPUTED_VALUE"""),"2025")</f>
        <v>2025</v>
      </c>
      <c r="G3124" s="35" t="str">
        <f>IFERROR(__xludf.DUMMYFUNCTION("""COMPUTED_VALUE"""),"DEVKY DERMAWANSYAH")</f>
        <v>DEVKY DERMAWANSYAH</v>
      </c>
      <c r="H3124" s="35" t="str">
        <f>IFERROR(__xludf.DUMMYFUNCTION("""COMPUTED_VALUE"""),"D9225112288")</f>
        <v>D9225112288</v>
      </c>
      <c r="I3124" s="35">
        <f>IFERROR(__xludf.DUMMYFUNCTION("""COMPUTED_VALUE"""),33.0)</f>
        <v>33</v>
      </c>
      <c r="J3124" s="35" t="str">
        <f>IFERROR(__xludf.DUMMYFUNCTION("""COMPUTED_VALUE"""),"25-34 tahun")</f>
        <v>25-34 tahun</v>
      </c>
      <c r="K3124" s="21" t="str">
        <f>IFERROR(__xludf.DUMMYFUNCTION("""COMPUTED_VALUE"""),"15/07/1992")</f>
        <v>15/07/1992</v>
      </c>
      <c r="L3124" s="21" t="str">
        <f>IFERROR(__xludf.DUMMYFUNCTION("""COMPUTED_VALUE"""),"LAKI-LAKI")</f>
        <v>LAKI-LAKI</v>
      </c>
      <c r="M3124" s="35" t="str">
        <f>IFERROR(__xludf.DUMMYFUNCTION("""COMPUTED_VALUE"""),"JL. PUTRI CANDRAMIDI GG 1 NO 3")</f>
        <v>JL. PUTRI CANDRAMIDI GG 1 NO 3</v>
      </c>
      <c r="N3124" s="35" t="str">
        <f>IFERROR(__xludf.DUMMYFUNCTION("""COMPUTED_VALUE"""),"SUNGAI BANGKONG")</f>
        <v>SUNGAI BANGKONG</v>
      </c>
      <c r="O3124" s="35" t="str">
        <f>IFERROR(__xludf.DUMMYFUNCTION("""COMPUTED_VALUE"""),"PONTIANAK KOTA")</f>
        <v>PONTIANAK KOTA</v>
      </c>
      <c r="P3124" s="35" t="str">
        <f>IFERROR(__xludf.DUMMYFUNCTION("""COMPUTED_VALUE"""),"PONTIANAK")</f>
        <v>PONTIANAK</v>
      </c>
      <c r="Q3124" s="35" t="str">
        <f>IFERROR(__xludf.DUMMYFUNCTION("""COMPUTED_VALUE"""),"KALIMANTAN BARAT")</f>
        <v>KALIMANTAN BARAT</v>
      </c>
      <c r="R3124" s="21" t="str">
        <f>IFERROR(__xludf.DUMMYFUNCTION("""COMPUTED_VALUE"""),"ISLAM")</f>
        <v>ISLAM</v>
      </c>
      <c r="S3124" s="74" t="str">
        <f>IFERROR(__xludf.DUMMYFUNCTION("""COMPUTED_VALUE"""),"WIRASWASTA")</f>
        <v>WIRASWASTA</v>
      </c>
      <c r="T3124" s="35" t="str">
        <f>IFERROR(__xludf.DUMMYFUNCTION("""COMPUTED_VALUE"""),"STROKE SEBELAH KANAN, PEMBENGKAKAN JANTUNG")</f>
        <v>STROKE SEBELAH KANAN, PEMBENGKAKAN JANTUNG</v>
      </c>
      <c r="U3124" s="35" t="str">
        <f>IFERROR(__xludf.DUMMYFUNCTION("""COMPUTED_VALUE"""),"PARKIR, PEROKOK AKTIF")</f>
        <v>PARKIR, PEROKOK AKTIF</v>
      </c>
      <c r="V3124" s="37" t="str">
        <f>IFERROR(__xludf.DUMMYFUNCTION("""COMPUTED_VALUE"""),"08125312288")</f>
        <v>08125312288</v>
      </c>
      <c r="W3124" s="45"/>
    </row>
    <row r="3125">
      <c r="A3125" s="45"/>
      <c r="B3125" s="24" t="str">
        <f>IFERROR(__xludf.DUMMYFUNCTION("""COMPUTED_VALUE"""),"29/11/2025 8:52:18")</f>
        <v>29/11/2025 8:52:18</v>
      </c>
      <c r="C3125" s="35"/>
      <c r="D3125" s="10">
        <f>IFERROR(__xludf.DUMMYFUNCTION("""COMPUTED_VALUE"""),45990.0)</f>
        <v>45990</v>
      </c>
      <c r="E3125" s="35" t="str">
        <f>IFERROR(__xludf.DUMMYFUNCTION("""COMPUTED_VALUE"""),"11Nov")</f>
        <v>11Nov</v>
      </c>
      <c r="F3125" s="34" t="str">
        <f>IFERROR(__xludf.DUMMYFUNCTION("""COMPUTED_VALUE"""),"2025")</f>
        <v>2025</v>
      </c>
      <c r="G3125" s="35" t="str">
        <f>IFERROR(__xludf.DUMMYFUNCTION("""COMPUTED_VALUE"""),"ALPAWI")</f>
        <v>ALPAWI</v>
      </c>
      <c r="H3125" s="35" t="str">
        <f>IFERROR(__xludf.DUMMYFUNCTION("""COMPUTED_VALUE"""),"A5125112484")</f>
        <v>A5125112484</v>
      </c>
      <c r="I3125" s="35">
        <f>IFERROR(__xludf.DUMMYFUNCTION("""COMPUTED_VALUE"""),74.0)</f>
        <v>74</v>
      </c>
      <c r="J3125" s="35" t="str">
        <f>IFERROR(__xludf.DUMMYFUNCTION("""COMPUTED_VALUE"""),"&gt; 44 tahun")</f>
        <v>&gt; 44 tahun</v>
      </c>
      <c r="K3125" s="21" t="str">
        <f>IFERROR(__xludf.DUMMYFUNCTION("""COMPUTED_VALUE"""),"10/07/1951")</f>
        <v>10/07/1951</v>
      </c>
      <c r="L3125" s="21" t="str">
        <f>IFERROR(__xludf.DUMMYFUNCTION("""COMPUTED_VALUE"""),"LAKI-LAKI")</f>
        <v>LAKI-LAKI</v>
      </c>
      <c r="M3125" s="35" t="str">
        <f>IFERROR(__xludf.DUMMYFUNCTION("""COMPUTED_VALUE"""),"JALAN PERDAMAIAN")</f>
        <v>JALAN PERDAMAIAN</v>
      </c>
      <c r="N3125" s="35" t="str">
        <f>IFERROR(__xludf.DUMMYFUNCTION("""COMPUTED_VALUE"""),"PAL SEMBILAN")</f>
        <v>PAL SEMBILAN</v>
      </c>
      <c r="O3125" s="35" t="str">
        <f>IFERROR(__xludf.DUMMYFUNCTION("""COMPUTED_VALUE"""),"SUNGAI KAKAP")</f>
        <v>SUNGAI KAKAP</v>
      </c>
      <c r="P3125" s="35" t="str">
        <f>IFERROR(__xludf.DUMMYFUNCTION("""COMPUTED_VALUE"""),"KUBURAYA")</f>
        <v>KUBURAYA</v>
      </c>
      <c r="Q3125" s="35" t="str">
        <f>IFERROR(__xludf.DUMMYFUNCTION("""COMPUTED_VALUE"""),"KALIMANTAN BARAT")</f>
        <v>KALIMANTAN BARAT</v>
      </c>
      <c r="R3125" s="21" t="str">
        <f>IFERROR(__xludf.DUMMYFUNCTION("""COMPUTED_VALUE"""),"ISLAM")</f>
        <v>ISLAM</v>
      </c>
      <c r="S3125" s="74" t="str">
        <f>IFERROR(__xludf.DUMMYFUNCTION("""COMPUTED_VALUE"""),"PETANI")</f>
        <v>PETANI</v>
      </c>
      <c r="T3125" s="35" t="str">
        <f>IFERROR(__xludf.DUMMYFUNCTION("""COMPUTED_VALUE"""),"NYERI DARI PAHA SAMPAI TELAPAK KAKI, STOKE SEBELAH KIRI SEJAK DUA BULAN LALU")</f>
        <v>NYERI DARI PAHA SAMPAI TELAPAK KAKI, STOKE SEBELAH KIRI SEJAK DUA BULAN LALU</v>
      </c>
      <c r="U3125" s="35" t="str">
        <f>IFERROR(__xludf.DUMMYFUNCTION("""COMPUTED_VALUE"""),"PEROKOK, NGOPI, SUKA MINUM MANIS MANIS")</f>
        <v>PEROKOK, NGOPI, SUKA MINUM MANIS MANIS</v>
      </c>
      <c r="V3125" s="37" t="str">
        <f>IFERROR(__xludf.DUMMYFUNCTION("""COMPUTED_VALUE"""),"085750152484")</f>
        <v>085750152484</v>
      </c>
      <c r="W3125" s="45"/>
    </row>
    <row r="3126">
      <c r="A3126" s="45"/>
      <c r="B3126" s="24" t="str">
        <f>IFERROR(__xludf.DUMMYFUNCTION("""COMPUTED_VALUE"""),"29/11/2025 17:20:30")</f>
        <v>29/11/2025 17:20:30</v>
      </c>
      <c r="C3126" s="35"/>
      <c r="D3126" s="10">
        <f>IFERROR(__xludf.DUMMYFUNCTION("""COMPUTED_VALUE"""),45990.0)</f>
        <v>45990</v>
      </c>
      <c r="E3126" s="35" t="str">
        <f>IFERROR(__xludf.DUMMYFUNCTION("""COMPUTED_VALUE"""),"11Nov")</f>
        <v>11Nov</v>
      </c>
      <c r="F3126" s="34" t="str">
        <f>IFERROR(__xludf.DUMMYFUNCTION("""COMPUTED_VALUE"""),"2025")</f>
        <v>2025</v>
      </c>
      <c r="G3126" s="35" t="str">
        <f>IFERROR(__xludf.DUMMYFUNCTION("""COMPUTED_VALUE"""),"DIMAS PRATAMA PUTRA")</f>
        <v>DIMAS PRATAMA PUTRA</v>
      </c>
      <c r="H3126" s="35" t="str">
        <f>IFERROR(__xludf.DUMMYFUNCTION("""COMPUTED_VALUE"""),"D9825113571")</f>
        <v>D9825113571</v>
      </c>
      <c r="I3126" s="35">
        <f>IFERROR(__xludf.DUMMYFUNCTION("""COMPUTED_VALUE"""),28.0)</f>
        <v>28</v>
      </c>
      <c r="J3126" s="35" t="str">
        <f>IFERROR(__xludf.DUMMYFUNCTION("""COMPUTED_VALUE"""),"25-34 tahun")</f>
        <v>25-34 tahun</v>
      </c>
      <c r="K3126" s="21" t="str">
        <f>IFERROR(__xludf.DUMMYFUNCTION("""COMPUTED_VALUE"""),"29/05/1998")</f>
        <v>29/05/1998</v>
      </c>
      <c r="L3126" s="21" t="str">
        <f>IFERROR(__xludf.DUMMYFUNCTION("""COMPUTED_VALUE"""),"LAKI-LAKI")</f>
        <v>LAKI-LAKI</v>
      </c>
      <c r="M3126" s="35" t="str">
        <f>IFERROR(__xludf.DUMMYFUNCTION("""COMPUTED_VALUE"""),"JL.PANGLIMA AIM NO.88 RT.003 RW.014 DALAM BUGIS, PONTIANAK TIMUR.")</f>
        <v>JL.PANGLIMA AIM NO.88 RT.003 RW.014 DALAM BUGIS, PONTIANAK TIMUR.</v>
      </c>
      <c r="N3126" s="35" t="str">
        <f>IFERROR(__xludf.DUMMYFUNCTION("""COMPUTED_VALUE"""),"SAIGON")</f>
        <v>SAIGON</v>
      </c>
      <c r="O3126" s="35" t="str">
        <f>IFERROR(__xludf.DUMMYFUNCTION("""COMPUTED_VALUE"""),"PONTIANAK TIMUR")</f>
        <v>PONTIANAK TIMUR</v>
      </c>
      <c r="P3126" s="35" t="str">
        <f>IFERROR(__xludf.DUMMYFUNCTION("""COMPUTED_VALUE"""),"KOTA PONTIANAK")</f>
        <v>KOTA PONTIANAK</v>
      </c>
      <c r="Q3126" s="35" t="str">
        <f>IFERROR(__xludf.DUMMYFUNCTION("""COMPUTED_VALUE"""),"KALIMANTAN BARAT")</f>
        <v>KALIMANTAN BARAT</v>
      </c>
      <c r="R3126" s="21" t="str">
        <f>IFERROR(__xludf.DUMMYFUNCTION("""COMPUTED_VALUE"""),"ISLAM")</f>
        <v>ISLAM</v>
      </c>
      <c r="S3126" s="74" t="str">
        <f>IFERROR(__xludf.DUMMYFUNCTION("""COMPUTED_VALUE"""),"WIRASWASTA")</f>
        <v>WIRASWASTA</v>
      </c>
      <c r="T3126" s="35" t="str">
        <f>IFERROR(__xludf.DUMMYFUNCTION("""COMPUTED_VALUE"""),"PINGGUL BELAKANG SERASA KETARIK PADA SAAT BATUK, TIDAK BISA BERDIRI TEGAP. NYERI BELAKANG")</f>
        <v>PINGGUL BELAKANG SERASA KETARIK PADA SAAT BATUK, TIDAK BISA BERDIRI TEGAP. NYERI BELAKANG</v>
      </c>
      <c r="U3126" s="35" t="str">
        <f>IFERROR(__xludf.DUMMYFUNCTION("""COMPUTED_VALUE"""),"KELAMAAN DUDUK, DAN KURANGNYA PEREGANGAN SAAT INGIN BERAKTIVITAS.")</f>
        <v>KELAMAAN DUDUK, DAN KURANGNYA PEREGANGAN SAAT INGIN BERAKTIVITAS.</v>
      </c>
      <c r="V3126" s="37" t="str">
        <f>IFERROR(__xludf.DUMMYFUNCTION("""COMPUTED_VALUE"""),"082251073571")</f>
        <v>082251073571</v>
      </c>
      <c r="W3126" s="45"/>
    </row>
    <row r="3127">
      <c r="A3127" s="45"/>
      <c r="B3127" s="24" t="str">
        <f>IFERROR(__xludf.DUMMYFUNCTION("""COMPUTED_VALUE"""),"29/11/2025 17:53:20")</f>
        <v>29/11/2025 17:53:20</v>
      </c>
      <c r="C3127" s="35"/>
      <c r="D3127" s="10">
        <f>IFERROR(__xludf.DUMMYFUNCTION("""COMPUTED_VALUE"""),45990.0)</f>
        <v>45990</v>
      </c>
      <c r="E3127" s="35" t="str">
        <f>IFERROR(__xludf.DUMMYFUNCTION("""COMPUTED_VALUE"""),"11Nov")</f>
        <v>11Nov</v>
      </c>
      <c r="F3127" s="34" t="str">
        <f>IFERROR(__xludf.DUMMYFUNCTION("""COMPUTED_VALUE"""),"2025")</f>
        <v>2025</v>
      </c>
      <c r="G3127" s="35" t="str">
        <f>IFERROR(__xludf.DUMMYFUNCTION("""COMPUTED_VALUE"""),"ROHANI")</f>
        <v>ROHANI</v>
      </c>
      <c r="H3127" s="35" t="str">
        <f>IFERROR(__xludf.DUMMYFUNCTION("""COMPUTED_VALUE"""),"R5825110969")</f>
        <v>R5825110969</v>
      </c>
      <c r="I3127" s="35">
        <f>IFERROR(__xludf.DUMMYFUNCTION("""COMPUTED_VALUE"""),68.0)</f>
        <v>68</v>
      </c>
      <c r="J3127" s="35" t="str">
        <f>IFERROR(__xludf.DUMMYFUNCTION("""COMPUTED_VALUE"""),"&gt; 44 tahun")</f>
        <v>&gt; 44 tahun</v>
      </c>
      <c r="K3127" s="21" t="str">
        <f>IFERROR(__xludf.DUMMYFUNCTION("""COMPUTED_VALUE"""),"12/04/1958")</f>
        <v>12/04/1958</v>
      </c>
      <c r="L3127" s="21" t="str">
        <f>IFERROR(__xludf.DUMMYFUNCTION("""COMPUTED_VALUE"""),"PEREMPUAN")</f>
        <v>PEREMPUAN</v>
      </c>
      <c r="M3127" s="35" t="str">
        <f>IFERROR(__xludf.DUMMYFUNCTION("""COMPUTED_VALUE"""),"JALAN AMPERA PERUM BALI ASRI 1 BLOK F NO 14")</f>
        <v>JALAN AMPERA PERUM BALI ASRI 1 BLOK F NO 14</v>
      </c>
      <c r="N3127" s="35" t="str">
        <f>IFERROR(__xludf.DUMMYFUNCTION("""COMPUTED_VALUE"""),"SUNGAI BANGKONG")</f>
        <v>SUNGAI BANGKONG</v>
      </c>
      <c r="O3127" s="35" t="str">
        <f>IFERROR(__xludf.DUMMYFUNCTION("""COMPUTED_VALUE"""),"PONTIANAK KOTA")</f>
        <v>PONTIANAK KOTA</v>
      </c>
      <c r="P3127" s="35" t="str">
        <f>IFERROR(__xludf.DUMMYFUNCTION("""COMPUTED_VALUE"""),"PONTIANAK")</f>
        <v>PONTIANAK</v>
      </c>
      <c r="Q3127" s="35" t="str">
        <f>IFERROR(__xludf.DUMMYFUNCTION("""COMPUTED_VALUE"""),"KALIMANTAN BARAT")</f>
        <v>KALIMANTAN BARAT</v>
      </c>
      <c r="R3127" s="21" t="str">
        <f>IFERROR(__xludf.DUMMYFUNCTION("""COMPUTED_VALUE"""),"ISLAM")</f>
        <v>ISLAM</v>
      </c>
      <c r="S3127" s="74" t="str">
        <f>IFERROR(__xludf.DUMMYFUNCTION("""COMPUTED_VALUE"""),"RUMAH TANGGA")</f>
        <v>RUMAH TANGGA</v>
      </c>
      <c r="T3127" s="35" t="str">
        <f>IFERROR(__xludf.DUMMYFUNCTION("""COMPUTED_VALUE"""),"TANGAN SEBELAH KANAN DARI BAHU SAKIT DAN SAKIT JIKA DIANGKAT HAMPIR 1 BULANAN")</f>
        <v>TANGAN SEBELAH KANAN DARI BAHU SAKIT DAN SAKIT JIKA DIANGKAT HAMPIR 1 BULANAN</v>
      </c>
      <c r="U3127" s="35" t="str">
        <f>IFERROR(__xludf.DUMMYFUNCTION("""COMPUTED_VALUE"""),"DI RUMAH SAJA")</f>
        <v>DI RUMAH SAJA</v>
      </c>
      <c r="V3127" s="37" t="str">
        <f>IFERROR(__xludf.DUMMYFUNCTION("""COMPUTED_VALUE"""),"085750030969")</f>
        <v>085750030969</v>
      </c>
      <c r="W3127" s="45"/>
    </row>
    <row r="3128">
      <c r="A3128" s="45"/>
      <c r="B3128" s="24" t="str">
        <f>IFERROR(__xludf.DUMMYFUNCTION("""COMPUTED_VALUE"""),"29/11/2025 19:50:11")</f>
        <v>29/11/2025 19:50:11</v>
      </c>
      <c r="C3128" s="35"/>
      <c r="D3128" s="10">
        <f>IFERROR(__xludf.DUMMYFUNCTION("""COMPUTED_VALUE"""),45990.0)</f>
        <v>45990</v>
      </c>
      <c r="E3128" s="35" t="str">
        <f>IFERROR(__xludf.DUMMYFUNCTION("""COMPUTED_VALUE"""),"11Nov")</f>
        <v>11Nov</v>
      </c>
      <c r="F3128" s="34" t="str">
        <f>IFERROR(__xludf.DUMMYFUNCTION("""COMPUTED_VALUE"""),"2025")</f>
        <v>2025</v>
      </c>
      <c r="G3128" s="35" t="str">
        <f>IFERROR(__xludf.DUMMYFUNCTION("""COMPUTED_VALUE"""),"YULIANA SST")</f>
        <v>YULIANA SST</v>
      </c>
      <c r="H3128" s="35" t="str">
        <f>IFERROR(__xludf.DUMMYFUNCTION("""COMPUTED_VALUE"""),"Y8625113524")</f>
        <v>Y8625113524</v>
      </c>
      <c r="I3128" s="35">
        <f>IFERROR(__xludf.DUMMYFUNCTION("""COMPUTED_VALUE"""),39.0)</f>
        <v>39</v>
      </c>
      <c r="J3128" s="35" t="str">
        <f>IFERROR(__xludf.DUMMYFUNCTION("""COMPUTED_VALUE"""),"35-44 tahun")</f>
        <v>35-44 tahun</v>
      </c>
      <c r="K3128" s="21" t="str">
        <f>IFERROR(__xludf.DUMMYFUNCTION("""COMPUTED_VALUE"""),"17/09/1986")</f>
        <v>17/09/1986</v>
      </c>
      <c r="L3128" s="21" t="str">
        <f>IFERROR(__xludf.DUMMYFUNCTION("""COMPUTED_VALUE"""),"PEREMPUAN")</f>
        <v>PEREMPUAN</v>
      </c>
      <c r="M3128" s="35" t="str">
        <f>IFERROR(__xludf.DUMMYFUNCTION("""COMPUTED_VALUE"""),"JALAN HM SUWIGNYO GG MARGODADIREJO 1 DALAM NO 01")</f>
        <v>JALAN HM SUWIGNYO GG MARGODADIREJO 1 DALAM NO 01</v>
      </c>
      <c r="N3128" s="35" t="str">
        <f>IFERROR(__xludf.DUMMYFUNCTION("""COMPUTED_VALUE"""),"SUNGAI JAWI")</f>
        <v>SUNGAI JAWI</v>
      </c>
      <c r="O3128" s="35" t="str">
        <f>IFERROR(__xludf.DUMMYFUNCTION("""COMPUTED_VALUE"""),"PONTIANAK KOTA")</f>
        <v>PONTIANAK KOTA</v>
      </c>
      <c r="P3128" s="35" t="str">
        <f>IFERROR(__xludf.DUMMYFUNCTION("""COMPUTED_VALUE"""),"PONTIANAK")</f>
        <v>PONTIANAK</v>
      </c>
      <c r="Q3128" s="35" t="str">
        <f>IFERROR(__xludf.DUMMYFUNCTION("""COMPUTED_VALUE"""),"KALBAR")</f>
        <v>KALBAR</v>
      </c>
      <c r="R3128" s="21" t="str">
        <f>IFERROR(__xludf.DUMMYFUNCTION("""COMPUTED_VALUE"""),"KATOLIK")</f>
        <v>KATOLIK</v>
      </c>
      <c r="S3128" s="74" t="str">
        <f>IFERROR(__xludf.DUMMYFUNCTION("""COMPUTED_VALUE"""),"KARYAWAN SWASTA")</f>
        <v>KARYAWAN SWASTA</v>
      </c>
      <c r="T3128" s="35" t="str">
        <f>IFERROR(__xludf.DUMMYFUNCTION("""COMPUTED_VALUE"""),"TANGAN KANAN NYERI")</f>
        <v>TANGAN KANAN NYERI</v>
      </c>
      <c r="U3128" s="35" t="str">
        <f>IFERROR(__xludf.DUMMYFUNCTION("""COMPUTED_VALUE"""),"GYM")</f>
        <v>GYM</v>
      </c>
      <c r="V3128" s="37" t="str">
        <f>IFERROR(__xludf.DUMMYFUNCTION("""COMPUTED_VALUE"""),"089655813524")</f>
        <v>089655813524</v>
      </c>
      <c r="W3128" s="45"/>
    </row>
    <row r="3129">
      <c r="A3129" s="45"/>
      <c r="B3129" s="24" t="str">
        <f>IFERROR(__xludf.DUMMYFUNCTION("""COMPUTED_VALUE"""),"30/11/2025 8:47:22")</f>
        <v>30/11/2025 8:47:22</v>
      </c>
      <c r="C3129" s="35"/>
      <c r="D3129" s="10">
        <f>IFERROR(__xludf.DUMMYFUNCTION("""COMPUTED_VALUE"""),45991.0)</f>
        <v>45991</v>
      </c>
      <c r="E3129" s="35" t="str">
        <f>IFERROR(__xludf.DUMMYFUNCTION("""COMPUTED_VALUE"""),"11Nov")</f>
        <v>11Nov</v>
      </c>
      <c r="F3129" s="34" t="str">
        <f>IFERROR(__xludf.DUMMYFUNCTION("""COMPUTED_VALUE"""),"2025")</f>
        <v>2025</v>
      </c>
      <c r="G3129" s="35" t="str">
        <f>IFERROR(__xludf.DUMMYFUNCTION("""COMPUTED_VALUE"""),"RUSDI SULAIMAN")</f>
        <v>RUSDI SULAIMAN</v>
      </c>
      <c r="H3129" s="35" t="str">
        <f>IFERROR(__xludf.DUMMYFUNCTION("""COMPUTED_VALUE"""),"R7525118199")</f>
        <v>R7525118199</v>
      </c>
      <c r="I3129" s="35">
        <f>IFERROR(__xludf.DUMMYFUNCTION("""COMPUTED_VALUE"""),50.0)</f>
        <v>50</v>
      </c>
      <c r="J3129" s="35" t="str">
        <f>IFERROR(__xludf.DUMMYFUNCTION("""COMPUTED_VALUE"""),"&gt; 44 tahun")</f>
        <v>&gt; 44 tahun</v>
      </c>
      <c r="K3129" s="21" t="str">
        <f>IFERROR(__xludf.DUMMYFUNCTION("""COMPUTED_VALUE"""),"01/12/1975")</f>
        <v>01/12/1975</v>
      </c>
      <c r="L3129" s="21" t="str">
        <f>IFERROR(__xludf.DUMMYFUNCTION("""COMPUTED_VALUE"""),"LAKI-LAKI")</f>
        <v>LAKI-LAKI</v>
      </c>
      <c r="M3129" s="35" t="str">
        <f>IFERROR(__xludf.DUMMYFUNCTION("""COMPUTED_VALUE"""),"JALAN TANJUNG RAYA 1 GG KAMPAR")</f>
        <v>JALAN TANJUNG RAYA 1 GG KAMPAR</v>
      </c>
      <c r="N3129" s="35" t="str">
        <f>IFERROR(__xludf.DUMMYFUNCTION("""COMPUTED_VALUE"""),"DALAM BUGIS")</f>
        <v>DALAM BUGIS</v>
      </c>
      <c r="O3129" s="35" t="str">
        <f>IFERROR(__xludf.DUMMYFUNCTION("""COMPUTED_VALUE"""),"PONTIANAK TIMIUR")</f>
        <v>PONTIANAK TIMIUR</v>
      </c>
      <c r="P3129" s="35" t="str">
        <f>IFERROR(__xludf.DUMMYFUNCTION("""COMPUTED_VALUE"""),"PONTIANAK")</f>
        <v>PONTIANAK</v>
      </c>
      <c r="Q3129" s="35" t="str">
        <f>IFERROR(__xludf.DUMMYFUNCTION("""COMPUTED_VALUE"""),"KALIMANTAN BARAT")</f>
        <v>KALIMANTAN BARAT</v>
      </c>
      <c r="R3129" s="21" t="str">
        <f>IFERROR(__xludf.DUMMYFUNCTION("""COMPUTED_VALUE"""),"ISLAM")</f>
        <v>ISLAM</v>
      </c>
      <c r="S3129" s="74" t="str">
        <f>IFERROR(__xludf.DUMMYFUNCTION("""COMPUTED_VALUE"""),"DOSEN")</f>
        <v>DOSEN</v>
      </c>
      <c r="T3129" s="35" t="str">
        <f>IFERROR(__xludf.DUMMYFUNCTION("""COMPUTED_VALUE"""),"KEBAS PADA KEDUA KAKI")</f>
        <v>KEBAS PADA KEDUA KAKI</v>
      </c>
      <c r="U3129" s="35" t="str">
        <f>IFERROR(__xludf.DUMMYFUNCTION("""COMPUTED_VALUE"""),"MEMBACA")</f>
        <v>MEMBACA</v>
      </c>
      <c r="V3129" s="37" t="str">
        <f>IFERROR(__xludf.DUMMYFUNCTION("""COMPUTED_VALUE"""),"085651088199")</f>
        <v>085651088199</v>
      </c>
      <c r="W3129" s="45"/>
    </row>
    <row r="3130">
      <c r="A3130" s="45"/>
      <c r="B3130" s="24" t="str">
        <f>IFERROR(__xludf.DUMMYFUNCTION("""COMPUTED_VALUE"""),"30/11/2025 11:26:56")</f>
        <v>30/11/2025 11:26:56</v>
      </c>
      <c r="C3130" s="35"/>
      <c r="D3130" s="10">
        <f>IFERROR(__xludf.DUMMYFUNCTION("""COMPUTED_VALUE"""),45991.0)</f>
        <v>45991</v>
      </c>
      <c r="E3130" s="35" t="str">
        <f>IFERROR(__xludf.DUMMYFUNCTION("""COMPUTED_VALUE"""),"11Nov")</f>
        <v>11Nov</v>
      </c>
      <c r="F3130" s="34" t="str">
        <f>IFERROR(__xludf.DUMMYFUNCTION("""COMPUTED_VALUE"""),"2025")</f>
        <v>2025</v>
      </c>
      <c r="G3130" s="35" t="str">
        <f>IFERROR(__xludf.DUMMYFUNCTION("""COMPUTED_VALUE"""),"WARI WALINGGA")</f>
        <v>WARI WALINGGA</v>
      </c>
      <c r="H3130" s="35" t="str">
        <f>IFERROR(__xludf.DUMMYFUNCTION("""COMPUTED_VALUE"""),"W9625114960")</f>
        <v>W9625114960</v>
      </c>
      <c r="I3130" s="35">
        <f>IFERROR(__xludf.DUMMYFUNCTION("""COMPUTED_VALUE"""),30.0)</f>
        <v>30</v>
      </c>
      <c r="J3130" s="35" t="str">
        <f>IFERROR(__xludf.DUMMYFUNCTION("""COMPUTED_VALUE"""),"25-34 tahun")</f>
        <v>25-34 tahun</v>
      </c>
      <c r="K3130" s="21" t="str">
        <f>IFERROR(__xludf.DUMMYFUNCTION("""COMPUTED_VALUE"""),"14/05/1996")</f>
        <v>14/05/1996</v>
      </c>
      <c r="L3130" s="21" t="str">
        <f>IFERROR(__xludf.DUMMYFUNCTION("""COMPUTED_VALUE"""),"LAKI-LAKI")</f>
        <v>LAKI-LAKI</v>
      </c>
      <c r="M3130" s="35" t="str">
        <f>IFERROR(__xludf.DUMMYFUNCTION("""COMPUTED_VALUE"""),"FAEYZA PERMATA RESIDENCE NO. A20, JL. KARYA, JL. MASJID PARIT HARUNAH")</f>
        <v>FAEYZA PERMATA RESIDENCE NO. A20, JL. KARYA, JL. MASJID PARIT HARUNAH</v>
      </c>
      <c r="N3130" s="35" t="str">
        <f>IFERROR(__xludf.DUMMYFUNCTION("""COMPUTED_VALUE"""),"PAL 9")</f>
        <v>PAL 9</v>
      </c>
      <c r="O3130" s="35" t="str">
        <f>IFERROR(__xludf.DUMMYFUNCTION("""COMPUTED_VALUE"""),"SUNGAI KAKAP")</f>
        <v>SUNGAI KAKAP</v>
      </c>
      <c r="P3130" s="35" t="str">
        <f>IFERROR(__xludf.DUMMYFUNCTION("""COMPUTED_VALUE"""),"KUBU RAYA")</f>
        <v>KUBU RAYA</v>
      </c>
      <c r="Q3130" s="35" t="str">
        <f>IFERROR(__xludf.DUMMYFUNCTION("""COMPUTED_VALUE"""),"KALIMANTAN BARAT")</f>
        <v>KALIMANTAN BARAT</v>
      </c>
      <c r="R3130" s="21" t="str">
        <f>IFERROR(__xludf.DUMMYFUNCTION("""COMPUTED_VALUE"""),"ISLAM")</f>
        <v>ISLAM</v>
      </c>
      <c r="S3130" s="74" t="str">
        <f>IFERROR(__xludf.DUMMYFUNCTION("""COMPUTED_VALUE"""),"ARSITEK")</f>
        <v>ARSITEK</v>
      </c>
      <c r="T3130" s="35" t="str">
        <f>IFERROR(__xludf.DUMMYFUNCTION("""COMPUTED_VALUE"""),"SAKIT TULANG BELAKANG AREA PINGGANG")</f>
        <v>SAKIT TULANG BELAKANG AREA PINGGANG</v>
      </c>
      <c r="U3130" s="35" t="str">
        <f>IFERROR(__xludf.DUMMYFUNCTION("""COMPUTED_VALUE"""),"DUDUK DEPAN KOMPUTER BERJAM JAM")</f>
        <v>DUDUK DEPAN KOMPUTER BERJAM JAM</v>
      </c>
      <c r="V3130" s="37" t="str">
        <f>IFERROR(__xludf.DUMMYFUNCTION("""COMPUTED_VALUE"""),"081213124960")</f>
        <v>081213124960</v>
      </c>
      <c r="W3130" s="45"/>
    </row>
    <row r="3131">
      <c r="A3131" s="45"/>
      <c r="B3131" s="24" t="str">
        <f>IFERROR(__xludf.DUMMYFUNCTION("""COMPUTED_VALUE"""),"30/11/2025 17:42:19")</f>
        <v>30/11/2025 17:42:19</v>
      </c>
      <c r="C3131" s="35"/>
      <c r="D3131" s="10">
        <f>IFERROR(__xludf.DUMMYFUNCTION("""COMPUTED_VALUE"""),45991.0)</f>
        <v>45991</v>
      </c>
      <c r="E3131" s="35" t="str">
        <f>IFERROR(__xludf.DUMMYFUNCTION("""COMPUTED_VALUE"""),"11Nov")</f>
        <v>11Nov</v>
      </c>
      <c r="F3131" s="34" t="str">
        <f>IFERROR(__xludf.DUMMYFUNCTION("""COMPUTED_VALUE"""),"2025")</f>
        <v>2025</v>
      </c>
      <c r="G3131" s="35" t="str">
        <f>IFERROR(__xludf.DUMMYFUNCTION("""COMPUTED_VALUE"""),"WIWIN WAHYUNINGSIH")</f>
        <v>WIWIN WAHYUNINGSIH</v>
      </c>
      <c r="H3131" s="35" t="str">
        <f>IFERROR(__xludf.DUMMYFUNCTION("""COMPUTED_VALUE"""),"W7625111739")</f>
        <v>W7625111739</v>
      </c>
      <c r="I3131" s="35">
        <f>IFERROR(__xludf.DUMMYFUNCTION("""COMPUTED_VALUE"""),50.0)</f>
        <v>50</v>
      </c>
      <c r="J3131" s="35" t="str">
        <f>IFERROR(__xludf.DUMMYFUNCTION("""COMPUTED_VALUE"""),"&gt; 44 tahun")</f>
        <v>&gt; 44 tahun</v>
      </c>
      <c r="K3131" s="21" t="str">
        <f>IFERROR(__xludf.DUMMYFUNCTION("""COMPUTED_VALUE"""),"20/06/1976")</f>
        <v>20/06/1976</v>
      </c>
      <c r="L3131" s="21" t="str">
        <f>IFERROR(__xludf.DUMMYFUNCTION("""COMPUTED_VALUE"""),"PEREMPUAN")</f>
        <v>PEREMPUAN</v>
      </c>
      <c r="M3131" s="35" t="str">
        <f>IFERROR(__xludf.DUMMYFUNCTION("""COMPUTED_VALUE"""),"JLN PEMDA KOMP SBR 3 JALUR ARWANA 1 B13")</f>
        <v>JLN PEMDA KOMP SBR 3 JALUR ARWANA 1 B13</v>
      </c>
      <c r="N3131" s="35" t="str">
        <f>IFERROR(__xludf.DUMMYFUNCTION("""COMPUTED_VALUE"""),"PARIT MAYOR")</f>
        <v>PARIT MAYOR</v>
      </c>
      <c r="O3131" s="35" t="str">
        <f>IFERROR(__xludf.DUMMYFUNCTION("""COMPUTED_VALUE"""),"PONTIANAK TIMUR")</f>
        <v>PONTIANAK TIMUR</v>
      </c>
      <c r="P3131" s="35" t="str">
        <f>IFERROR(__xludf.DUMMYFUNCTION("""COMPUTED_VALUE"""),"KOTA PONTIANAK")</f>
        <v>KOTA PONTIANAK</v>
      </c>
      <c r="Q3131" s="35" t="str">
        <f>IFERROR(__xludf.DUMMYFUNCTION("""COMPUTED_VALUE"""),"KALIMANTAN BARAT")</f>
        <v>KALIMANTAN BARAT</v>
      </c>
      <c r="R3131" s="21" t="str">
        <f>IFERROR(__xludf.DUMMYFUNCTION("""COMPUTED_VALUE"""),"ISLAM")</f>
        <v>ISLAM</v>
      </c>
      <c r="S3131" s="74" t="str">
        <f>IFERROR(__xludf.DUMMYFUNCTION("""COMPUTED_VALUE"""),"IBU RUMAH TANGGA")</f>
        <v>IBU RUMAH TANGGA</v>
      </c>
      <c r="T3131" s="35" t="str">
        <f>IFERROR(__xludf.DUMMYFUNCTION("""COMPUTED_VALUE"""),"TELAPAK KAKI SERING KERAM")</f>
        <v>TELAPAK KAKI SERING KERAM</v>
      </c>
      <c r="U3131" s="35" t="str">
        <f>IFERROR(__xludf.DUMMYFUNCTION("""COMPUTED_VALUE"""),"-")</f>
        <v>-</v>
      </c>
      <c r="V3131" s="37" t="str">
        <f>IFERROR(__xludf.DUMMYFUNCTION("""COMPUTED_VALUE"""),"088744161739")</f>
        <v>088744161739</v>
      </c>
      <c r="W3131" s="45"/>
    </row>
    <row r="3132">
      <c r="A3132" s="45"/>
      <c r="B3132" s="24" t="str">
        <f>IFERROR(__xludf.DUMMYFUNCTION("""COMPUTED_VALUE"""),"01/12/2025 8:58:47")</f>
        <v>01/12/2025 8:58:47</v>
      </c>
      <c r="C3132" s="35"/>
      <c r="D3132" s="10">
        <f>IFERROR(__xludf.DUMMYFUNCTION("""COMPUTED_VALUE"""),45992.0)</f>
        <v>45992</v>
      </c>
      <c r="E3132" s="35" t="str">
        <f>IFERROR(__xludf.DUMMYFUNCTION("""COMPUTED_VALUE"""),"12Des")</f>
        <v>12Des</v>
      </c>
      <c r="F3132" s="34" t="str">
        <f>IFERROR(__xludf.DUMMYFUNCTION("""COMPUTED_VALUE"""),"2025")</f>
        <v>2025</v>
      </c>
      <c r="G3132" s="35" t="str">
        <f>IFERROR(__xludf.DUMMYFUNCTION("""COMPUTED_VALUE"""),"SING SING")</f>
        <v>SING SING</v>
      </c>
      <c r="H3132" s="35" t="str">
        <f>IFERROR(__xludf.DUMMYFUNCTION("""COMPUTED_VALUE"""),"S2525120816")</f>
        <v>S2525120816</v>
      </c>
      <c r="I3132" s="35">
        <f>IFERROR(__xludf.DUMMYFUNCTION("""COMPUTED_VALUE"""),0.0)</f>
        <v>0</v>
      </c>
      <c r="J3132" s="35" t="str">
        <f>IFERROR(__xludf.DUMMYFUNCTION("""COMPUTED_VALUE"""),"&lt; 18 tahun")</f>
        <v>&lt; 18 tahun</v>
      </c>
      <c r="K3132" s="21" t="str">
        <f>IFERROR(__xludf.DUMMYFUNCTION("""COMPUTED_VALUE"""),"01/12/2025")</f>
        <v>01/12/2025</v>
      </c>
      <c r="L3132" s="21" t="str">
        <f>IFERROR(__xludf.DUMMYFUNCTION("""COMPUTED_VALUE"""),"PEREMPUAN")</f>
        <v>PEREMPUAN</v>
      </c>
      <c r="M3132" s="35" t="str">
        <f>IFERROR(__xludf.DUMMYFUNCTION("""COMPUTED_VALUE"""),"JENDRAL SUDIRMAN NO 14-15")</f>
        <v>JENDRAL SUDIRMAN NO 14-15</v>
      </c>
      <c r="N3132" s="35" t="str">
        <f>IFERROR(__xludf.DUMMYFUNCTION("""COMPUTED_VALUE"""),"KAPUAS KANAN HULU")</f>
        <v>KAPUAS KANAN HULU</v>
      </c>
      <c r="O3132" s="35" t="str">
        <f>IFERROR(__xludf.DUMMYFUNCTION("""COMPUTED_VALUE"""),"SINTANG")</f>
        <v>SINTANG</v>
      </c>
      <c r="P3132" s="35" t="str">
        <f>IFERROR(__xludf.DUMMYFUNCTION("""COMPUTED_VALUE"""),"SINTANG")</f>
        <v>SINTANG</v>
      </c>
      <c r="Q3132" s="35" t="str">
        <f>IFERROR(__xludf.DUMMYFUNCTION("""COMPUTED_VALUE"""),"KALI MANTAN BARAT")</f>
        <v>KALI MANTAN BARAT</v>
      </c>
      <c r="R3132" s="21" t="str">
        <f>IFERROR(__xludf.DUMMYFUNCTION("""COMPUTED_VALUE"""),"KHONGHUCU")</f>
        <v>KHONGHUCU</v>
      </c>
      <c r="S3132" s="74" t="str">
        <f>IFERROR(__xludf.DUMMYFUNCTION("""COMPUTED_VALUE"""),"IRT")</f>
        <v>IRT</v>
      </c>
      <c r="T3132" s="35" t="str">
        <f>IFERROR(__xludf.DUMMYFUNCTION("""COMPUTED_VALUE"""),"PUNDAK,PANGGUL PEGAL")</f>
        <v>PUNDAK,PANGGUL PEGAL</v>
      </c>
      <c r="U3132" s="35" t="str">
        <f>IFERROR(__xludf.DUMMYFUNCTION("""COMPUTED_VALUE"""),"SERING ANGKAT BERAT")</f>
        <v>SERING ANGKAT BERAT</v>
      </c>
      <c r="V3132" s="37" t="str">
        <f>IFERROR(__xludf.DUMMYFUNCTION("""COMPUTED_VALUE"""),"081345700816")</f>
        <v>081345700816</v>
      </c>
      <c r="W3132" s="45"/>
    </row>
    <row r="3133">
      <c r="A3133" s="45"/>
      <c r="B3133" s="24" t="str">
        <f>IFERROR(__xludf.DUMMYFUNCTION("""COMPUTED_VALUE"""),"01/12/2025 9:52:07")</f>
        <v>01/12/2025 9:52:07</v>
      </c>
      <c r="C3133" s="35"/>
      <c r="D3133" s="10">
        <f>IFERROR(__xludf.DUMMYFUNCTION("""COMPUTED_VALUE"""),45992.0)</f>
        <v>45992</v>
      </c>
      <c r="E3133" s="35" t="str">
        <f>IFERROR(__xludf.DUMMYFUNCTION("""COMPUTED_VALUE"""),"12Des")</f>
        <v>12Des</v>
      </c>
      <c r="F3133" s="34" t="str">
        <f>IFERROR(__xludf.DUMMYFUNCTION("""COMPUTED_VALUE"""),"2025")</f>
        <v>2025</v>
      </c>
      <c r="G3133" s="35" t="str">
        <f>IFERROR(__xludf.DUMMYFUNCTION("""COMPUTED_VALUE"""),"EVELINE PARAMITHA LORINDA")</f>
        <v>EVELINE PARAMITHA LORINDA</v>
      </c>
      <c r="H3133" s="35" t="str">
        <f>IFERROR(__xludf.DUMMYFUNCTION("""COMPUTED_VALUE"""),"E9225127347")</f>
        <v>E9225127347</v>
      </c>
      <c r="I3133" s="35">
        <f>IFERROR(__xludf.DUMMYFUNCTION("""COMPUTED_VALUE"""),34.0)</f>
        <v>34</v>
      </c>
      <c r="J3133" s="35" t="str">
        <f>IFERROR(__xludf.DUMMYFUNCTION("""COMPUTED_VALUE"""),"25-34 tahun")</f>
        <v>25-34 tahun</v>
      </c>
      <c r="K3133" s="21" t="str">
        <f>IFERROR(__xludf.DUMMYFUNCTION("""COMPUTED_VALUE"""),"03/03/1992")</f>
        <v>03/03/1992</v>
      </c>
      <c r="L3133" s="21" t="str">
        <f>IFERROR(__xludf.DUMMYFUNCTION("""COMPUTED_VALUE"""),"PEREMPUAN")</f>
        <v>PEREMPUAN</v>
      </c>
      <c r="M3133" s="35" t="str">
        <f>IFERROR(__xludf.DUMMYFUNCTION("""COMPUTED_VALUE"""),"JLN BANGUN SARI BTN BANGUN SARI ASRI")</f>
        <v>JLN BANGUN SARI BTN BANGUN SARI ASRI</v>
      </c>
      <c r="N3133" s="35" t="str">
        <f>IFERROR(__xludf.DUMMYFUNCTION("""COMPUTED_VALUE"""),"SEBALO")</f>
        <v>SEBALO</v>
      </c>
      <c r="O3133" s="35" t="str">
        <f>IFERROR(__xludf.DUMMYFUNCTION("""COMPUTED_VALUE"""),"BENGKAYANG")</f>
        <v>BENGKAYANG</v>
      </c>
      <c r="P3133" s="35" t="str">
        <f>IFERROR(__xludf.DUMMYFUNCTION("""COMPUTED_VALUE"""),"BENGKAYANG")</f>
        <v>BENGKAYANG</v>
      </c>
      <c r="Q3133" s="35" t="str">
        <f>IFERROR(__xludf.DUMMYFUNCTION("""COMPUTED_VALUE"""),"KALIMANTAN BARAT")</f>
        <v>KALIMANTAN BARAT</v>
      </c>
      <c r="R3133" s="21" t="str">
        <f>IFERROR(__xludf.DUMMYFUNCTION("""COMPUTED_VALUE"""),"KATOLIK")</f>
        <v>KATOLIK</v>
      </c>
      <c r="S3133" s="74" t="str">
        <f>IFERROR(__xludf.DUMMYFUNCTION("""COMPUTED_VALUE"""),"P3K")</f>
        <v>P3K</v>
      </c>
      <c r="T3133" s="35" t="str">
        <f>IFERROR(__xludf.DUMMYFUNCTION("""COMPUTED_VALUE"""),"NYERI SENDI KAKI LUTUT TANGAN")</f>
        <v>NYERI SENDI KAKI LUTUT TANGAN</v>
      </c>
      <c r="U3133" s="35" t="str">
        <f>IFERROR(__xludf.DUMMYFUNCTION("""COMPUTED_VALUE"""),"SERING MENGGUNAKAN SEPEDA MOTOR")</f>
        <v>SERING MENGGUNAKAN SEPEDA MOTOR</v>
      </c>
      <c r="V3133" s="37" t="str">
        <f>IFERROR(__xludf.DUMMYFUNCTION("""COMPUTED_VALUE"""),"085787437347")</f>
        <v>085787437347</v>
      </c>
      <c r="W3133" s="45"/>
    </row>
    <row r="3134">
      <c r="A3134" s="45"/>
      <c r="B3134" s="24" t="str">
        <f>IFERROR(__xludf.DUMMYFUNCTION("""COMPUTED_VALUE"""),"01/12/2025 14:02:23")</f>
        <v>01/12/2025 14:02:23</v>
      </c>
      <c r="C3134" s="35"/>
      <c r="D3134" s="10">
        <f>IFERROR(__xludf.DUMMYFUNCTION("""COMPUTED_VALUE"""),45992.0)</f>
        <v>45992</v>
      </c>
      <c r="E3134" s="35" t="str">
        <f>IFERROR(__xludf.DUMMYFUNCTION("""COMPUTED_VALUE"""),"12Des")</f>
        <v>12Des</v>
      </c>
      <c r="F3134" s="34" t="str">
        <f>IFERROR(__xludf.DUMMYFUNCTION("""COMPUTED_VALUE"""),"2025")</f>
        <v>2025</v>
      </c>
      <c r="G3134" s="35" t="str">
        <f>IFERROR(__xludf.DUMMYFUNCTION("""COMPUTED_VALUE"""),"MILLAH AULIYA")</f>
        <v>MILLAH AULIYA</v>
      </c>
      <c r="H3134" s="35" t="str">
        <f>IFERROR(__xludf.DUMMYFUNCTION("""COMPUTED_VALUE"""),"M0525128789")</f>
        <v>M0525128789</v>
      </c>
      <c r="I3134" s="35">
        <f>IFERROR(__xludf.DUMMYFUNCTION("""COMPUTED_VALUE"""),21.0)</f>
        <v>21</v>
      </c>
      <c r="J3134" s="35" t="str">
        <f>IFERROR(__xludf.DUMMYFUNCTION("""COMPUTED_VALUE"""),"18-24 tahun")</f>
        <v>18-24 tahun</v>
      </c>
      <c r="K3134" s="21" t="str">
        <f>IFERROR(__xludf.DUMMYFUNCTION("""COMPUTED_VALUE"""),"02/01/2005")</f>
        <v>02/01/2005</v>
      </c>
      <c r="L3134" s="21" t="str">
        <f>IFERROR(__xludf.DUMMYFUNCTION("""COMPUTED_VALUE"""),"PEREMPUAN")</f>
        <v>PEREMPUAN</v>
      </c>
      <c r="M3134" s="35" t="str">
        <f>IFERROR(__xludf.DUMMYFUNCTION("""COMPUTED_VALUE"""),"JL.PENDIDIKAN GG FAMILI NO 11 PUTUSSIBAU")</f>
        <v>JL.PENDIDIKAN GG FAMILI NO 11 PUTUSSIBAU</v>
      </c>
      <c r="N3134" s="35" t="str">
        <f>IFERROR(__xludf.DUMMYFUNCTION("""COMPUTED_VALUE"""),"PUTUSSIBAU KOTA")</f>
        <v>PUTUSSIBAU KOTA</v>
      </c>
      <c r="O3134" s="35" t="str">
        <f>IFERROR(__xludf.DUMMYFUNCTION("""COMPUTED_VALUE"""),"PUTUSSIBAU UTARA")</f>
        <v>PUTUSSIBAU UTARA</v>
      </c>
      <c r="P3134" s="35" t="str">
        <f>IFERROR(__xludf.DUMMYFUNCTION("""COMPUTED_VALUE"""),"KAPUAS HULU")</f>
        <v>KAPUAS HULU</v>
      </c>
      <c r="Q3134" s="35" t="str">
        <f>IFERROR(__xludf.DUMMYFUNCTION("""COMPUTED_VALUE"""),"KALIMANTAN BARAT")</f>
        <v>KALIMANTAN BARAT</v>
      </c>
      <c r="R3134" s="21" t="str">
        <f>IFERROR(__xludf.DUMMYFUNCTION("""COMPUTED_VALUE"""),"ISLAM")</f>
        <v>ISLAM</v>
      </c>
      <c r="S3134" s="74" t="str">
        <f>IFERROR(__xludf.DUMMYFUNCTION("""COMPUTED_VALUE"""),"MAHASISWA")</f>
        <v>MAHASISWA</v>
      </c>
      <c r="T3134" s="35" t="str">
        <f>IFERROR(__xludf.DUMMYFUNCTION("""COMPUTED_VALUE"""),"LUTUT SEPERTI TERKUNCI")</f>
        <v>LUTUT SEPERTI TERKUNCI</v>
      </c>
      <c r="U3134" s="35" t="str">
        <f>IFERROR(__xludf.DUMMYFUNCTION("""COMPUTED_VALUE"""),"KULIAH")</f>
        <v>KULIAH</v>
      </c>
      <c r="V3134" s="37" t="str">
        <f>IFERROR(__xludf.DUMMYFUNCTION("""COMPUTED_VALUE"""),"082252648789")</f>
        <v>082252648789</v>
      </c>
      <c r="W3134" s="45"/>
    </row>
    <row r="3135">
      <c r="A3135" s="45"/>
      <c r="B3135" s="24" t="str">
        <f>IFERROR(__xludf.DUMMYFUNCTION("""COMPUTED_VALUE"""),"01/12/2025 15:30:10")</f>
        <v>01/12/2025 15:30:10</v>
      </c>
      <c r="C3135" s="35"/>
      <c r="D3135" s="10">
        <f>IFERROR(__xludf.DUMMYFUNCTION("""COMPUTED_VALUE"""),45992.0)</f>
        <v>45992</v>
      </c>
      <c r="E3135" s="35" t="str">
        <f>IFERROR(__xludf.DUMMYFUNCTION("""COMPUTED_VALUE"""),"12Des")</f>
        <v>12Des</v>
      </c>
      <c r="F3135" s="34" t="str">
        <f>IFERROR(__xludf.DUMMYFUNCTION("""COMPUTED_VALUE"""),"2025")</f>
        <v>2025</v>
      </c>
      <c r="G3135" s="35" t="str">
        <f>IFERROR(__xludf.DUMMYFUNCTION("""COMPUTED_VALUE"""),"FIRMAN HIDAYAT")</f>
        <v>FIRMAN HIDAYAT</v>
      </c>
      <c r="H3135" s="35" t="str">
        <f>IFERROR(__xludf.DUMMYFUNCTION("""COMPUTED_VALUE"""),"F7725120001")</f>
        <v>F7725120001</v>
      </c>
      <c r="I3135" s="35">
        <f>IFERROR(__xludf.DUMMYFUNCTION("""COMPUTED_VALUE"""),48.0)</f>
        <v>48</v>
      </c>
      <c r="J3135" s="35" t="str">
        <f>IFERROR(__xludf.DUMMYFUNCTION("""COMPUTED_VALUE"""),"&gt; 44 tahun")</f>
        <v>&gt; 44 tahun</v>
      </c>
      <c r="K3135" s="21" t="str">
        <f>IFERROR(__xludf.DUMMYFUNCTION("""COMPUTED_VALUE"""),"19/07/1977")</f>
        <v>19/07/1977</v>
      </c>
      <c r="L3135" s="21" t="str">
        <f>IFERROR(__xludf.DUMMYFUNCTION("""COMPUTED_VALUE"""),"LAKI-LAKI")</f>
        <v>LAKI-LAKI</v>
      </c>
      <c r="M3135" s="35" t="str">
        <f>IFERROR(__xludf.DUMMYFUNCTION("""COMPUTED_VALUE"""),"JLN DR SUTOMO KOMPLEK BATARA INDAH 4 BLOK C 20")</f>
        <v>JLN DR SUTOMO KOMPLEK BATARA INDAH 4 BLOK C 20</v>
      </c>
      <c r="N3135" s="35" t="str">
        <f>IFERROR(__xludf.DUMMYFUNCTION("""COMPUTED_VALUE"""),"SUI BANGKONG")</f>
        <v>SUI BANGKONG</v>
      </c>
      <c r="O3135" s="35" t="str">
        <f>IFERROR(__xludf.DUMMYFUNCTION("""COMPUTED_VALUE"""),"PONTIANAK KOTA")</f>
        <v>PONTIANAK KOTA</v>
      </c>
      <c r="P3135" s="35" t="str">
        <f>IFERROR(__xludf.DUMMYFUNCTION("""COMPUTED_VALUE"""),"KOTA PONTIANAK")</f>
        <v>KOTA PONTIANAK</v>
      </c>
      <c r="Q3135" s="35" t="str">
        <f>IFERROR(__xludf.DUMMYFUNCTION("""COMPUTED_VALUE"""),"KALIMANTAN BARAT")</f>
        <v>KALIMANTAN BARAT</v>
      </c>
      <c r="R3135" s="21" t="str">
        <f>IFERROR(__xludf.DUMMYFUNCTION("""COMPUTED_VALUE"""),"ISLAM")</f>
        <v>ISLAM</v>
      </c>
      <c r="S3135" s="74" t="str">
        <f>IFERROR(__xludf.DUMMYFUNCTION("""COMPUTED_VALUE"""),"SWASTA")</f>
        <v>SWASTA</v>
      </c>
      <c r="T3135" s="35" t="str">
        <f>IFERROR(__xludf.DUMMYFUNCTION("""COMPUTED_VALUE"""),"NYERI SEKITAR PINGGANG")</f>
        <v>NYERI SEKITAR PINGGANG</v>
      </c>
      <c r="U3135" s="35" t="str">
        <f>IFERROR(__xludf.DUMMYFUNCTION("""COMPUTED_VALUE"""),"BERMOTOR, OLAH RAGA TENIS")</f>
        <v>BERMOTOR, OLAH RAGA TENIS</v>
      </c>
      <c r="V3135" s="37" t="str">
        <f>IFERROR(__xludf.DUMMYFUNCTION("""COMPUTED_VALUE"""),"081256440001")</f>
        <v>081256440001</v>
      </c>
      <c r="W3135" s="45"/>
    </row>
    <row r="3136">
      <c r="A3136" s="45"/>
      <c r="B3136" s="24" t="str">
        <f>IFERROR(__xludf.DUMMYFUNCTION("""COMPUTED_VALUE"""),"01/12/2025 19:09:08")</f>
        <v>01/12/2025 19:09:08</v>
      </c>
      <c r="C3136" s="35"/>
      <c r="D3136" s="10">
        <f>IFERROR(__xludf.DUMMYFUNCTION("""COMPUTED_VALUE"""),45992.0)</f>
        <v>45992</v>
      </c>
      <c r="E3136" s="35" t="str">
        <f>IFERROR(__xludf.DUMMYFUNCTION("""COMPUTED_VALUE"""),"12Des")</f>
        <v>12Des</v>
      </c>
      <c r="F3136" s="34" t="str">
        <f>IFERROR(__xludf.DUMMYFUNCTION("""COMPUTED_VALUE"""),"2025")</f>
        <v>2025</v>
      </c>
      <c r="G3136" s="35" t="str">
        <f>IFERROR(__xludf.DUMMYFUNCTION("""COMPUTED_VALUE"""),"WISNU WARDANA")</f>
        <v>WISNU WARDANA</v>
      </c>
      <c r="H3136" s="35" t="str">
        <f>IFERROR(__xludf.DUMMYFUNCTION("""COMPUTED_VALUE"""),"W8825126959")</f>
        <v>W8825126959</v>
      </c>
      <c r="I3136" s="35">
        <f>IFERROR(__xludf.DUMMYFUNCTION("""COMPUTED_VALUE"""),37.0)</f>
        <v>37</v>
      </c>
      <c r="J3136" s="35" t="str">
        <f>IFERROR(__xludf.DUMMYFUNCTION("""COMPUTED_VALUE"""),"35-44 tahun")</f>
        <v>35-44 tahun</v>
      </c>
      <c r="K3136" s="21" t="str">
        <f>IFERROR(__xludf.DUMMYFUNCTION("""COMPUTED_VALUE"""),"06/08/1988")</f>
        <v>06/08/1988</v>
      </c>
      <c r="L3136" s="21" t="str">
        <f>IFERROR(__xludf.DUMMYFUNCTION("""COMPUTED_VALUE"""),"LAKI-LAKI")</f>
        <v>LAKI-LAKI</v>
      </c>
      <c r="M3136" s="35" t="str">
        <f>IFERROR(__xludf.DUMMYFUNCTION("""COMPUTED_VALUE"""),"JL. PARIT H HUSIN 2")</f>
        <v>JL. PARIT H HUSIN 2</v>
      </c>
      <c r="N3136" s="35" t="str">
        <f>IFERROR(__xludf.DUMMYFUNCTION("""COMPUTED_VALUE"""),"BANSIR DARAT")</f>
        <v>BANSIR DARAT</v>
      </c>
      <c r="O3136" s="35" t="str">
        <f>IFERROR(__xludf.DUMMYFUNCTION("""COMPUTED_VALUE"""),"PONTIANAK TENGGARA")</f>
        <v>PONTIANAK TENGGARA</v>
      </c>
      <c r="P3136" s="35" t="str">
        <f>IFERROR(__xludf.DUMMYFUNCTION("""COMPUTED_VALUE"""),"PONTIANAK")</f>
        <v>PONTIANAK</v>
      </c>
      <c r="Q3136" s="35" t="str">
        <f>IFERROR(__xludf.DUMMYFUNCTION("""COMPUTED_VALUE"""),"KALIMANTAN BARAT")</f>
        <v>KALIMANTAN BARAT</v>
      </c>
      <c r="R3136" s="21" t="str">
        <f>IFERROR(__xludf.DUMMYFUNCTION("""COMPUTED_VALUE"""),"ISLAM")</f>
        <v>ISLAM</v>
      </c>
      <c r="S3136" s="74" t="str">
        <f>IFERROR(__xludf.DUMMYFUNCTION("""COMPUTED_VALUE"""),"WIRASWASTA")</f>
        <v>WIRASWASTA</v>
      </c>
      <c r="T3136" s="35" t="str">
        <f>IFERROR(__xludf.DUMMYFUNCTION("""COMPUTED_VALUE"""),"PINGGANG")</f>
        <v>PINGGANG</v>
      </c>
      <c r="U3136" s="35" t="str">
        <f>IFERROR(__xludf.DUMMYFUNCTION("""COMPUTED_VALUE"""),"-")</f>
        <v>-</v>
      </c>
      <c r="V3136" s="37" t="str">
        <f>IFERROR(__xludf.DUMMYFUNCTION("""COMPUTED_VALUE"""),"081649066959")</f>
        <v>081649066959</v>
      </c>
      <c r="W3136" s="45"/>
    </row>
    <row r="3137">
      <c r="A3137" s="45"/>
      <c r="B3137" s="24" t="str">
        <f>IFERROR(__xludf.DUMMYFUNCTION("""COMPUTED_VALUE"""),"01/12/2025 19:15:25")</f>
        <v>01/12/2025 19:15:25</v>
      </c>
      <c r="C3137" s="35"/>
      <c r="D3137" s="10">
        <f>IFERROR(__xludf.DUMMYFUNCTION("""COMPUTED_VALUE"""),45992.0)</f>
        <v>45992</v>
      </c>
      <c r="E3137" s="35" t="str">
        <f>IFERROR(__xludf.DUMMYFUNCTION("""COMPUTED_VALUE"""),"12Des")</f>
        <v>12Des</v>
      </c>
      <c r="F3137" s="34" t="str">
        <f>IFERROR(__xludf.DUMMYFUNCTION("""COMPUTED_VALUE"""),"2025")</f>
        <v>2025</v>
      </c>
      <c r="G3137" s="35" t="str">
        <f>IFERROR(__xludf.DUMMYFUNCTION("""COMPUTED_VALUE"""),"APRILLIA SUSANTI")</f>
        <v>APRILLIA SUSANTI</v>
      </c>
      <c r="H3137" s="35" t="str">
        <f>IFERROR(__xludf.DUMMYFUNCTION("""COMPUTED_VALUE"""),"A8525127477")</f>
        <v>A8525127477</v>
      </c>
      <c r="I3137" s="35">
        <f>IFERROR(__xludf.DUMMYFUNCTION("""COMPUTED_VALUE"""),41.0)</f>
        <v>41</v>
      </c>
      <c r="J3137" s="35" t="str">
        <f>IFERROR(__xludf.DUMMYFUNCTION("""COMPUTED_VALUE"""),"35-44 tahun")</f>
        <v>35-44 tahun</v>
      </c>
      <c r="K3137" s="21" t="str">
        <f>IFERROR(__xludf.DUMMYFUNCTION("""COMPUTED_VALUE"""),"29/04/1985")</f>
        <v>29/04/1985</v>
      </c>
      <c r="L3137" s="21" t="str">
        <f>IFERROR(__xludf.DUMMYFUNCTION("""COMPUTED_VALUE"""),"PEREMPUAN")</f>
        <v>PEREMPUAN</v>
      </c>
      <c r="M3137" s="35" t="str">
        <f>IFERROR(__xludf.DUMMYFUNCTION("""COMPUTED_VALUE"""),"JL. DR SOETOMO GG. SARIKATON NO.32B")</f>
        <v>JL. DR SOETOMO GG. SARIKATON NO.32B</v>
      </c>
      <c r="N3137" s="35" t="str">
        <f>IFERROR(__xludf.DUMMYFUNCTION("""COMPUTED_VALUE"""),"SUNGAI BANGKONG")</f>
        <v>SUNGAI BANGKONG</v>
      </c>
      <c r="O3137" s="35" t="str">
        <f>IFERROR(__xludf.DUMMYFUNCTION("""COMPUTED_VALUE"""),"PONTIANAK KOTA")</f>
        <v>PONTIANAK KOTA</v>
      </c>
      <c r="P3137" s="35" t="str">
        <f>IFERROR(__xludf.DUMMYFUNCTION("""COMPUTED_VALUE"""),"PONTIANAK")</f>
        <v>PONTIANAK</v>
      </c>
      <c r="Q3137" s="35" t="str">
        <f>IFERROR(__xludf.DUMMYFUNCTION("""COMPUTED_VALUE"""),"KALIMANTAN BARAT")</f>
        <v>KALIMANTAN BARAT</v>
      </c>
      <c r="R3137" s="21" t="str">
        <f>IFERROR(__xludf.DUMMYFUNCTION("""COMPUTED_VALUE"""),"LAINNYA")</f>
        <v>LAINNYA</v>
      </c>
      <c r="S3137" s="74" t="str">
        <f>IFERROR(__xludf.DUMMYFUNCTION("""COMPUTED_VALUE"""),"IRT")</f>
        <v>IRT</v>
      </c>
      <c r="T3137" s="35" t="str">
        <f>IFERROR(__xludf.DUMMYFUNCTION("""COMPUTED_VALUE"""),"LUTUT")</f>
        <v>LUTUT</v>
      </c>
      <c r="U3137" s="35" t="str">
        <f>IFERROR(__xludf.DUMMYFUNCTION("""COMPUTED_VALUE"""),"-")</f>
        <v>-</v>
      </c>
      <c r="V3137" s="37" t="str">
        <f>IFERROR(__xludf.DUMMYFUNCTION("""COMPUTED_VALUE"""),"085249927477")</f>
        <v>085249927477</v>
      </c>
      <c r="W3137" s="45"/>
    </row>
    <row r="3138">
      <c r="A3138" s="45"/>
      <c r="B3138" s="24" t="str">
        <f>IFERROR(__xludf.DUMMYFUNCTION("""COMPUTED_VALUE"""),"02/12/2025 9:19:20")</f>
        <v>02/12/2025 9:19:20</v>
      </c>
      <c r="C3138" s="35"/>
      <c r="D3138" s="10">
        <f>IFERROR(__xludf.DUMMYFUNCTION("""COMPUTED_VALUE"""),45993.0)</f>
        <v>45993</v>
      </c>
      <c r="E3138" s="35" t="str">
        <f>IFERROR(__xludf.DUMMYFUNCTION("""COMPUTED_VALUE"""),"12Des")</f>
        <v>12Des</v>
      </c>
      <c r="F3138" s="34" t="str">
        <f>IFERROR(__xludf.DUMMYFUNCTION("""COMPUTED_VALUE"""),"2025")</f>
        <v>2025</v>
      </c>
      <c r="G3138" s="35" t="str">
        <f>IFERROR(__xludf.DUMMYFUNCTION("""COMPUTED_VALUE"""),"SUYADI, A.MA. PD")</f>
        <v>SUYADI, A.MA. PD</v>
      </c>
      <c r="H3138" s="35" t="str">
        <f>IFERROR(__xludf.DUMMYFUNCTION("""COMPUTED_VALUE"""),"S5625122439")</f>
        <v>S5625122439</v>
      </c>
      <c r="I3138" s="35">
        <f>IFERROR(__xludf.DUMMYFUNCTION("""COMPUTED_VALUE"""),69.0)</f>
        <v>69</v>
      </c>
      <c r="J3138" s="35" t="str">
        <f>IFERROR(__xludf.DUMMYFUNCTION("""COMPUTED_VALUE"""),"&gt; 44 tahun")</f>
        <v>&gt; 44 tahun</v>
      </c>
      <c r="K3138" s="21" t="str">
        <f>IFERROR(__xludf.DUMMYFUNCTION("""COMPUTED_VALUE"""),"11/12/1956")</f>
        <v>11/12/1956</v>
      </c>
      <c r="L3138" s="21" t="str">
        <f>IFERROR(__xludf.DUMMYFUNCTION("""COMPUTED_VALUE"""),"LAKI-LAKI")</f>
        <v>LAKI-LAKI</v>
      </c>
      <c r="M3138" s="35" t="str">
        <f>IFERROR(__xludf.DUMMYFUNCTION("""COMPUTED_VALUE"""),"DUSUN BALAI KARANGAN")</f>
        <v>DUSUN BALAI KARANGAN</v>
      </c>
      <c r="N3138" s="35" t="str">
        <f>IFERROR(__xludf.DUMMYFUNCTION("""COMPUTED_VALUE"""),"BALAI KARANGAN")</f>
        <v>BALAI KARANGAN</v>
      </c>
      <c r="O3138" s="35" t="str">
        <f>IFERROR(__xludf.DUMMYFUNCTION("""COMPUTED_VALUE"""),"SEKAYAM")</f>
        <v>SEKAYAM</v>
      </c>
      <c r="P3138" s="35" t="str">
        <f>IFERROR(__xludf.DUMMYFUNCTION("""COMPUTED_VALUE"""),"BALAI KARANGAN")</f>
        <v>BALAI KARANGAN</v>
      </c>
      <c r="Q3138" s="35" t="str">
        <f>IFERROR(__xludf.DUMMYFUNCTION("""COMPUTED_VALUE"""),"KALIMANTAN BARAT")</f>
        <v>KALIMANTAN BARAT</v>
      </c>
      <c r="R3138" s="21" t="str">
        <f>IFERROR(__xludf.DUMMYFUNCTION("""COMPUTED_VALUE"""),"ISLAM")</f>
        <v>ISLAM</v>
      </c>
      <c r="S3138" s="74" t="str">
        <f>IFERROR(__xludf.DUMMYFUNCTION("""COMPUTED_VALUE"""),"PENSIUNAN")</f>
        <v>PENSIUNAN</v>
      </c>
      <c r="T3138" s="35" t="str">
        <f>IFERROR(__xludf.DUMMYFUNCTION("""COMPUTED_VALUE"""),"KAKI")</f>
        <v>KAKI</v>
      </c>
      <c r="U3138" s="35" t="str">
        <f>IFERROR(__xludf.DUMMYFUNCTION("""COMPUTED_VALUE"""),"-")</f>
        <v>-</v>
      </c>
      <c r="V3138" s="37" t="str">
        <f>IFERROR(__xludf.DUMMYFUNCTION("""COMPUTED_VALUE"""),"085750682439")</f>
        <v>085750682439</v>
      </c>
      <c r="W3138" s="45"/>
    </row>
    <row r="3139">
      <c r="A3139" s="45"/>
      <c r="B3139" s="24" t="str">
        <f>IFERROR(__xludf.DUMMYFUNCTION("""COMPUTED_VALUE"""),"02/12/2025 12:06:49")</f>
        <v>02/12/2025 12:06:49</v>
      </c>
      <c r="C3139" s="35"/>
      <c r="D3139" s="10">
        <f>IFERROR(__xludf.DUMMYFUNCTION("""COMPUTED_VALUE"""),45993.0)</f>
        <v>45993</v>
      </c>
      <c r="E3139" s="35" t="str">
        <f>IFERROR(__xludf.DUMMYFUNCTION("""COMPUTED_VALUE"""),"12Des")</f>
        <v>12Des</v>
      </c>
      <c r="F3139" s="34" t="str">
        <f>IFERROR(__xludf.DUMMYFUNCTION("""COMPUTED_VALUE"""),"2025")</f>
        <v>2025</v>
      </c>
      <c r="G3139" s="35" t="str">
        <f>IFERROR(__xludf.DUMMYFUNCTION("""COMPUTED_VALUE"""),"WACHYU WIDAYAT")</f>
        <v>WACHYU WIDAYAT</v>
      </c>
      <c r="H3139" s="35" t="str">
        <f>IFERROR(__xludf.DUMMYFUNCTION("""COMPUTED_VALUE"""),"W6425129394")</f>
        <v>W6425129394</v>
      </c>
      <c r="I3139" s="35">
        <f>IFERROR(__xludf.DUMMYFUNCTION("""COMPUTED_VALUE"""),61.0)</f>
        <v>61</v>
      </c>
      <c r="J3139" s="35" t="str">
        <f>IFERROR(__xludf.DUMMYFUNCTION("""COMPUTED_VALUE"""),"&gt; 44 tahun")</f>
        <v>&gt; 44 tahun</v>
      </c>
      <c r="K3139" s="21" t="str">
        <f>IFERROR(__xludf.DUMMYFUNCTION("""COMPUTED_VALUE"""),"08/09/1964")</f>
        <v>08/09/1964</v>
      </c>
      <c r="L3139" s="21" t="str">
        <f>IFERROR(__xludf.DUMMYFUNCTION("""COMPUTED_VALUE"""),"LAKI-LAKI")</f>
        <v>LAKI-LAKI</v>
      </c>
      <c r="M3139" s="35" t="str">
        <f>IFERROR(__xludf.DUMMYFUNCTION("""COMPUTED_VALUE"""),"JL KESEHATAN GG SUMBER AGUNG 1 NO.11")</f>
        <v>JL KESEHATAN GG SUMBER AGUNG 1 NO.11</v>
      </c>
      <c r="N3139" s="35" t="str">
        <f>IFERROR(__xludf.DUMMYFUNCTION("""COMPUTED_VALUE"""),"KOTA BARU")</f>
        <v>KOTA BARU</v>
      </c>
      <c r="O3139" s="35" t="str">
        <f>IFERROR(__xludf.DUMMYFUNCTION("""COMPUTED_VALUE"""),"PONTIANAK SELATAN")</f>
        <v>PONTIANAK SELATAN</v>
      </c>
      <c r="P3139" s="35" t="str">
        <f>IFERROR(__xludf.DUMMYFUNCTION("""COMPUTED_VALUE"""),"KOTA PONTIANAK")</f>
        <v>KOTA PONTIANAK</v>
      </c>
      <c r="Q3139" s="35" t="str">
        <f>IFERROR(__xludf.DUMMYFUNCTION("""COMPUTED_VALUE"""),"KALIMANTAN BARAT")</f>
        <v>KALIMANTAN BARAT</v>
      </c>
      <c r="R3139" s="21" t="str">
        <f>IFERROR(__xludf.DUMMYFUNCTION("""COMPUTED_VALUE"""),"ISLAM")</f>
        <v>ISLAM</v>
      </c>
      <c r="S3139" s="74" t="str">
        <f>IFERROR(__xludf.DUMMYFUNCTION("""COMPUTED_VALUE"""),"PENSIUNAN")</f>
        <v>PENSIUNAN</v>
      </c>
      <c r="T3139" s="35" t="str">
        <f>IFERROR(__xludf.DUMMYFUNCTION("""COMPUTED_VALUE"""),"STROKE")</f>
        <v>STROKE</v>
      </c>
      <c r="U3139" s="35" t="str">
        <f>IFERROR(__xludf.DUMMYFUNCTION("""COMPUTED_VALUE"""),"BERKEBUN")</f>
        <v>BERKEBUN</v>
      </c>
      <c r="V3139" s="37" t="str">
        <f>IFERROR(__xludf.DUMMYFUNCTION("""COMPUTED_VALUE"""),"081345309394")</f>
        <v>081345309394</v>
      </c>
      <c r="W3139" s="45"/>
    </row>
    <row r="3140">
      <c r="A3140" s="45"/>
      <c r="B3140" s="24" t="str">
        <f>IFERROR(__xludf.DUMMYFUNCTION("""COMPUTED_VALUE"""),"02/12/2025 14:00:39")</f>
        <v>02/12/2025 14:00:39</v>
      </c>
      <c r="C3140" s="35"/>
      <c r="D3140" s="10">
        <f>IFERROR(__xludf.DUMMYFUNCTION("""COMPUTED_VALUE"""),45993.0)</f>
        <v>45993</v>
      </c>
      <c r="E3140" s="35" t="str">
        <f>IFERROR(__xludf.DUMMYFUNCTION("""COMPUTED_VALUE"""),"12Des")</f>
        <v>12Des</v>
      </c>
      <c r="F3140" s="34" t="str">
        <f>IFERROR(__xludf.DUMMYFUNCTION("""COMPUTED_VALUE"""),"2025")</f>
        <v>2025</v>
      </c>
      <c r="G3140" s="35" t="str">
        <f>IFERROR(__xludf.DUMMYFUNCTION("""COMPUTED_VALUE"""),"RICO OSCARIO")</f>
        <v>RICO OSCARIO</v>
      </c>
      <c r="H3140" s="35" t="str">
        <f>IFERROR(__xludf.DUMMYFUNCTION("""COMPUTED_VALUE"""),"R9025120312")</f>
        <v>R9025120312</v>
      </c>
      <c r="I3140" s="35">
        <f>IFERROR(__xludf.DUMMYFUNCTION("""COMPUTED_VALUE"""),36.0)</f>
        <v>36</v>
      </c>
      <c r="J3140" s="35" t="str">
        <f>IFERROR(__xludf.DUMMYFUNCTION("""COMPUTED_VALUE"""),"35-44 tahun")</f>
        <v>35-44 tahun</v>
      </c>
      <c r="K3140" s="21" t="str">
        <f>IFERROR(__xludf.DUMMYFUNCTION("""COMPUTED_VALUE"""),"08/04/1990")</f>
        <v>08/04/1990</v>
      </c>
      <c r="L3140" s="21" t="str">
        <f>IFERROR(__xludf.DUMMYFUNCTION("""COMPUTED_VALUE"""),"LAKI-LAKI")</f>
        <v>LAKI-LAKI</v>
      </c>
      <c r="M3140" s="35" t="str">
        <f>IFERROR(__xludf.DUMMYFUNCTION("""COMPUTED_VALUE"""),"JALAN TANJUNG PURA GG. 3 NOMOR 33")</f>
        <v>JALAN TANJUNG PURA GG. 3 NOMOR 33</v>
      </c>
      <c r="N3140" s="35" t="str">
        <f>IFERROR(__xludf.DUMMYFUNCTION("""COMPUTED_VALUE"""),"BENUA MELAYU LAUT")</f>
        <v>BENUA MELAYU LAUT</v>
      </c>
      <c r="O3140" s="35" t="str">
        <f>IFERROR(__xludf.DUMMYFUNCTION("""COMPUTED_VALUE"""),"PONTIANAK SELATAN")</f>
        <v>PONTIANAK SELATAN</v>
      </c>
      <c r="P3140" s="35" t="str">
        <f>IFERROR(__xludf.DUMMYFUNCTION("""COMPUTED_VALUE"""),"PONTIANAK")</f>
        <v>PONTIANAK</v>
      </c>
      <c r="Q3140" s="35" t="str">
        <f>IFERROR(__xludf.DUMMYFUNCTION("""COMPUTED_VALUE"""),"KALIMANTA BARAT")</f>
        <v>KALIMANTA BARAT</v>
      </c>
      <c r="R3140" s="21" t="str">
        <f>IFERROR(__xludf.DUMMYFUNCTION("""COMPUTED_VALUE"""),"BUDDHA")</f>
        <v>BUDDHA</v>
      </c>
      <c r="S3140" s="74" t="str">
        <f>IFERROR(__xludf.DUMMYFUNCTION("""COMPUTED_VALUE"""),"SWASTA")</f>
        <v>SWASTA</v>
      </c>
      <c r="T3140" s="35" t="str">
        <f>IFERROR(__xludf.DUMMYFUNCTION("""COMPUTED_VALUE"""),"KAKI KIRI SAKIT")</f>
        <v>KAKI KIRI SAKIT</v>
      </c>
      <c r="U3140" s="35" t="str">
        <f>IFERROR(__xludf.DUMMYFUNCTION("""COMPUTED_VALUE"""),"BADMINTON SEPAK BOLA")</f>
        <v>BADMINTON SEPAK BOLA</v>
      </c>
      <c r="V3140" s="37" t="str">
        <f>IFERROR(__xludf.DUMMYFUNCTION("""COMPUTED_VALUE"""),"085245700312")</f>
        <v>085245700312</v>
      </c>
      <c r="W3140" s="45"/>
    </row>
    <row r="3141">
      <c r="A3141" s="45"/>
      <c r="B3141" s="24" t="str">
        <f>IFERROR(__xludf.DUMMYFUNCTION("""COMPUTED_VALUE"""),"02/12/2025 17:41:46")</f>
        <v>02/12/2025 17:41:46</v>
      </c>
      <c r="C3141" s="35"/>
      <c r="D3141" s="10">
        <f>IFERROR(__xludf.DUMMYFUNCTION("""COMPUTED_VALUE"""),45993.0)</f>
        <v>45993</v>
      </c>
      <c r="E3141" s="35" t="str">
        <f>IFERROR(__xludf.DUMMYFUNCTION("""COMPUTED_VALUE"""),"12Des")</f>
        <v>12Des</v>
      </c>
      <c r="F3141" s="34" t="str">
        <f>IFERROR(__xludf.DUMMYFUNCTION("""COMPUTED_VALUE"""),"2025")</f>
        <v>2025</v>
      </c>
      <c r="G3141" s="35" t="str">
        <f>IFERROR(__xludf.DUMMYFUNCTION("""COMPUTED_VALUE"""),"YATMI")</f>
        <v>YATMI</v>
      </c>
      <c r="H3141" s="35" t="str">
        <f>IFERROR(__xludf.DUMMYFUNCTION("""COMPUTED_VALUE"""),"Y6225125478")</f>
        <v>Y6225125478</v>
      </c>
      <c r="I3141" s="35">
        <f>IFERROR(__xludf.DUMMYFUNCTION("""COMPUTED_VALUE"""),64.0)</f>
        <v>64</v>
      </c>
      <c r="J3141" s="35" t="str">
        <f>IFERROR(__xludf.DUMMYFUNCTION("""COMPUTED_VALUE"""),"&gt; 44 tahun")</f>
        <v>&gt; 44 tahun</v>
      </c>
      <c r="K3141" s="21" t="str">
        <f>IFERROR(__xludf.DUMMYFUNCTION("""COMPUTED_VALUE"""),"09/04/1962")</f>
        <v>09/04/1962</v>
      </c>
      <c r="L3141" s="21" t="str">
        <f>IFERROR(__xludf.DUMMYFUNCTION("""COMPUTED_VALUE"""),"PEREMPUAN")</f>
        <v>PEREMPUAN</v>
      </c>
      <c r="M3141" s="35" t="str">
        <f>IFERROR(__xludf.DUMMYFUNCTION("""COMPUTED_VALUE"""),"JL.PANGERAN NATAKUSUMA GG.RENCANA")</f>
        <v>JL.PANGERAN NATAKUSUMA GG.RENCANA</v>
      </c>
      <c r="N3141" s="35" t="str">
        <f>IFERROR(__xludf.DUMMYFUNCTION("""COMPUTED_VALUE"""),"SUNGAI BANGKONG")</f>
        <v>SUNGAI BANGKONG</v>
      </c>
      <c r="O3141" s="35" t="str">
        <f>IFERROR(__xludf.DUMMYFUNCTION("""COMPUTED_VALUE"""),"PONTIANAK KOTA")</f>
        <v>PONTIANAK KOTA</v>
      </c>
      <c r="P3141" s="35" t="str">
        <f>IFERROR(__xludf.DUMMYFUNCTION("""COMPUTED_VALUE"""),"KOTA PONTIANAK")</f>
        <v>KOTA PONTIANAK</v>
      </c>
      <c r="Q3141" s="35" t="str">
        <f>IFERROR(__xludf.DUMMYFUNCTION("""COMPUTED_VALUE"""),"KALIMANTAN BARAT")</f>
        <v>KALIMANTAN BARAT</v>
      </c>
      <c r="R3141" s="21" t="str">
        <f>IFERROR(__xludf.DUMMYFUNCTION("""COMPUTED_VALUE"""),"ISLAM")</f>
        <v>ISLAM</v>
      </c>
      <c r="S3141" s="74" t="str">
        <f>IFERROR(__xludf.DUMMYFUNCTION("""COMPUTED_VALUE"""),"PEDAGANG")</f>
        <v>PEDAGANG</v>
      </c>
      <c r="T3141" s="35" t="str">
        <f>IFERROR(__xludf.DUMMYFUNCTION("""COMPUTED_VALUE"""),"DISLOKASI BAHU")</f>
        <v>DISLOKASI BAHU</v>
      </c>
      <c r="U3141" s="35" t="str">
        <f>IFERROR(__xludf.DUMMYFUNCTION("""COMPUTED_VALUE"""),"SERING MENGANGKAT BOTOL BERAT DENGAN 1 TANGAN, BERULANG SETIAP HARI, RIWAYAT JATUH DAN MENAHAN TUBUH DENGAN TANGAN KANAN HINGGA NYERI BAHU")</f>
        <v>SERING MENGANGKAT BOTOL BERAT DENGAN 1 TANGAN, BERULANG SETIAP HARI, RIWAYAT JATUH DAN MENAHAN TUBUH DENGAN TANGAN KANAN HINGGA NYERI BAHU</v>
      </c>
      <c r="V3141" s="37" t="str">
        <f>IFERROR(__xludf.DUMMYFUNCTION("""COMPUTED_VALUE"""),"081345275478")</f>
        <v>081345275478</v>
      </c>
      <c r="W3141" s="45"/>
    </row>
    <row r="3142">
      <c r="A3142" s="45"/>
      <c r="B3142" s="24" t="str">
        <f>IFERROR(__xludf.DUMMYFUNCTION("""COMPUTED_VALUE"""),"03/12/2025 12:35:04")</f>
        <v>03/12/2025 12:35:04</v>
      </c>
      <c r="C3142" s="35"/>
      <c r="D3142" s="10">
        <f>IFERROR(__xludf.DUMMYFUNCTION("""COMPUTED_VALUE"""),45994.0)</f>
        <v>45994</v>
      </c>
      <c r="E3142" s="35" t="str">
        <f>IFERROR(__xludf.DUMMYFUNCTION("""COMPUTED_VALUE"""),"12Des")</f>
        <v>12Des</v>
      </c>
      <c r="F3142" s="34" t="str">
        <f>IFERROR(__xludf.DUMMYFUNCTION("""COMPUTED_VALUE"""),"2025")</f>
        <v>2025</v>
      </c>
      <c r="G3142" s="35" t="str">
        <f>IFERROR(__xludf.DUMMYFUNCTION("""COMPUTED_VALUE"""),"SARWATI")</f>
        <v>SARWATI</v>
      </c>
      <c r="H3142" s="35" t="str">
        <f>IFERROR(__xludf.DUMMYFUNCTION("""COMPUTED_VALUE"""),"S7325124774")</f>
        <v>S7325124774</v>
      </c>
      <c r="I3142" s="35">
        <f>IFERROR(__xludf.DUMMYFUNCTION("""COMPUTED_VALUE"""),52.0)</f>
        <v>52</v>
      </c>
      <c r="J3142" s="35" t="str">
        <f>IFERROR(__xludf.DUMMYFUNCTION("""COMPUTED_VALUE"""),"&gt; 44 tahun")</f>
        <v>&gt; 44 tahun</v>
      </c>
      <c r="K3142" s="21" t="str">
        <f>IFERROR(__xludf.DUMMYFUNCTION("""COMPUTED_VALUE"""),"27/11/1973")</f>
        <v>27/11/1973</v>
      </c>
      <c r="L3142" s="21" t="str">
        <f>IFERROR(__xludf.DUMMYFUNCTION("""COMPUTED_VALUE"""),"PEREMPUAN")</f>
        <v>PEREMPUAN</v>
      </c>
      <c r="M3142" s="35" t="str">
        <f>IFERROR(__xludf.DUMMYFUNCTION("""COMPUTED_VALUE"""),"JALAN TANJUNG RAYA 2 GANG 93")</f>
        <v>JALAN TANJUNG RAYA 2 GANG 93</v>
      </c>
      <c r="N3142" s="35" t="str">
        <f>IFERROR(__xludf.DUMMYFUNCTION("""COMPUTED_VALUE"""),"KELURAHAN SAIGON")</f>
        <v>KELURAHAN SAIGON</v>
      </c>
      <c r="O3142" s="35" t="str">
        <f>IFERROR(__xludf.DUMMYFUNCTION("""COMPUTED_VALUE"""),"PONTIANAK TIMUR")</f>
        <v>PONTIANAK TIMUR</v>
      </c>
      <c r="P3142" s="35" t="str">
        <f>IFERROR(__xludf.DUMMYFUNCTION("""COMPUTED_VALUE"""),"PONTIANAK")</f>
        <v>PONTIANAK</v>
      </c>
      <c r="Q3142" s="35" t="str">
        <f>IFERROR(__xludf.DUMMYFUNCTION("""COMPUTED_VALUE"""),"KALIMANTAN BARAT")</f>
        <v>KALIMANTAN BARAT</v>
      </c>
      <c r="R3142" s="21" t="str">
        <f>IFERROR(__xludf.DUMMYFUNCTION("""COMPUTED_VALUE"""),"ISLAM")</f>
        <v>ISLAM</v>
      </c>
      <c r="S3142" s="74" t="str">
        <f>IFERROR(__xludf.DUMMYFUNCTION("""COMPUTED_VALUE"""),"IBU RUMAH TANGGA")</f>
        <v>IBU RUMAH TANGGA</v>
      </c>
      <c r="T3142" s="35" t="str">
        <f>IFERROR(__xludf.DUMMYFUNCTION("""COMPUTED_VALUE"""),"SAKIT DIBAGIAN LUTUT TIDAK BISA NEKUK")</f>
        <v>SAKIT DIBAGIAN LUTUT TIDAK BISA NEKUK</v>
      </c>
      <c r="U3142" s="35" t="str">
        <f>IFERROR(__xludf.DUMMYFUNCTION("""COMPUTED_VALUE"""),".")</f>
        <v>.</v>
      </c>
      <c r="V3142" s="37" t="str">
        <f>IFERROR(__xludf.DUMMYFUNCTION("""COMPUTED_VALUE"""),"081352174774")</f>
        <v>081352174774</v>
      </c>
      <c r="W3142" s="45"/>
    </row>
    <row r="3143">
      <c r="A3143" s="45"/>
      <c r="B3143" s="24" t="str">
        <f>IFERROR(__xludf.DUMMYFUNCTION("""COMPUTED_VALUE"""),"03/12/2025 12:29:30")</f>
        <v>03/12/2025 12:29:30</v>
      </c>
      <c r="C3143" s="35"/>
      <c r="D3143" s="10">
        <f>IFERROR(__xludf.DUMMYFUNCTION("""COMPUTED_VALUE"""),45994.0)</f>
        <v>45994</v>
      </c>
      <c r="E3143" s="35" t="str">
        <f>IFERROR(__xludf.DUMMYFUNCTION("""COMPUTED_VALUE"""),"12Des")</f>
        <v>12Des</v>
      </c>
      <c r="F3143" s="34" t="str">
        <f>IFERROR(__xludf.DUMMYFUNCTION("""COMPUTED_VALUE"""),"2025")</f>
        <v>2025</v>
      </c>
      <c r="G3143" s="35" t="str">
        <f>IFERROR(__xludf.DUMMYFUNCTION("""COMPUTED_VALUE"""),"SITI ALHUSNA NURUL AGUSTIN")</f>
        <v>SITI ALHUSNA NURUL AGUSTIN</v>
      </c>
      <c r="H3143" s="35" t="str">
        <f>IFERROR(__xludf.DUMMYFUNCTION("""COMPUTED_VALUE"""),"S9525127945")</f>
        <v>S9525127945</v>
      </c>
      <c r="I3143" s="35">
        <f>IFERROR(__xludf.DUMMYFUNCTION("""COMPUTED_VALUE"""),30.0)</f>
        <v>30</v>
      </c>
      <c r="J3143" s="35" t="str">
        <f>IFERROR(__xludf.DUMMYFUNCTION("""COMPUTED_VALUE"""),"25-34 tahun")</f>
        <v>25-34 tahun</v>
      </c>
      <c r="K3143" s="21" t="str">
        <f>IFERROR(__xludf.DUMMYFUNCTION("""COMPUTED_VALUE"""),"19/08/1995")</f>
        <v>19/08/1995</v>
      </c>
      <c r="L3143" s="21" t="str">
        <f>IFERROR(__xludf.DUMMYFUNCTION("""COMPUTED_VALUE"""),"PEREMPUAN")</f>
        <v>PEREMPUAN</v>
      </c>
      <c r="M3143" s="35" t="str">
        <f>IFERROR(__xludf.DUMMYFUNCTION("""COMPUTED_VALUE"""),"JALAN PARIT WAKGATAK HILIR KOMPLEK KATNIS ROYAL 2 NO. B42")</f>
        <v>JALAN PARIT WAKGATAK HILIR KOMPLEK KATNIS ROYAL 2 NO. B42</v>
      </c>
      <c r="N3143" s="35" t="str">
        <f>IFERROR(__xludf.DUMMYFUNCTION("""COMPUTED_VALUE"""),"PAL SEMBILAN")</f>
        <v>PAL SEMBILAN</v>
      </c>
      <c r="O3143" s="35" t="str">
        <f>IFERROR(__xludf.DUMMYFUNCTION("""COMPUTED_VALUE"""),"SUNGAI KAKAP")</f>
        <v>SUNGAI KAKAP</v>
      </c>
      <c r="P3143" s="35" t="str">
        <f>IFERROR(__xludf.DUMMYFUNCTION("""COMPUTED_VALUE"""),"KUBU RAYA")</f>
        <v>KUBU RAYA</v>
      </c>
      <c r="Q3143" s="35" t="str">
        <f>IFERROR(__xludf.DUMMYFUNCTION("""COMPUTED_VALUE"""),"KALIMANTAN BARAT")</f>
        <v>KALIMANTAN BARAT</v>
      </c>
      <c r="R3143" s="21" t="str">
        <f>IFERROR(__xludf.DUMMYFUNCTION("""COMPUTED_VALUE"""),"ISLAM")</f>
        <v>ISLAM</v>
      </c>
      <c r="S3143" s="74" t="str">
        <f>IFERROR(__xludf.DUMMYFUNCTION("""COMPUTED_VALUE"""),"SEASTA")</f>
        <v>SEASTA</v>
      </c>
      <c r="T3143" s="35" t="str">
        <f>IFERROR(__xludf.DUMMYFUNCTION("""COMPUTED_VALUE"""),"SAKIT DI IBU JARI TANGAN")</f>
        <v>SAKIT DI IBU JARI TANGAN</v>
      </c>
      <c r="U3143" s="35" t="str">
        <f>IFERROR(__xludf.DUMMYFUNCTION("""COMPUTED_VALUE"""),"MELAKUKAN AKTIVITAS TANGAN SEPERTI MENGETIK, MELAKUKAN PEKERJAAN RUMAH TANGGA")</f>
        <v>MELAKUKAN AKTIVITAS TANGAN SEPERTI MENGETIK, MELAKUKAN PEKERJAAN RUMAH TANGGA</v>
      </c>
      <c r="V3143" s="37" t="str">
        <f>IFERROR(__xludf.DUMMYFUNCTION("""COMPUTED_VALUE"""),"089694147945")</f>
        <v>089694147945</v>
      </c>
      <c r="W3143" s="45"/>
    </row>
    <row r="3144">
      <c r="A3144" s="45"/>
      <c r="B3144" s="24" t="str">
        <f>IFERROR(__xludf.DUMMYFUNCTION("""COMPUTED_VALUE"""),"03/12/2025 13:11:53")</f>
        <v>03/12/2025 13:11:53</v>
      </c>
      <c r="C3144" s="35"/>
      <c r="D3144" s="10">
        <f>IFERROR(__xludf.DUMMYFUNCTION("""COMPUTED_VALUE"""),45994.0)</f>
        <v>45994</v>
      </c>
      <c r="E3144" s="35" t="str">
        <f>IFERROR(__xludf.DUMMYFUNCTION("""COMPUTED_VALUE"""),"12Des")</f>
        <v>12Des</v>
      </c>
      <c r="F3144" s="34" t="str">
        <f>IFERROR(__xludf.DUMMYFUNCTION("""COMPUTED_VALUE"""),"2025")</f>
        <v>2025</v>
      </c>
      <c r="G3144" s="35" t="str">
        <f>IFERROR(__xludf.DUMMYFUNCTION("""COMPUTED_VALUE"""),"DARMADI")</f>
        <v>DARMADI</v>
      </c>
      <c r="H3144" s="35" t="str">
        <f>IFERROR(__xludf.DUMMYFUNCTION("""COMPUTED_VALUE"""),"D7925125149")</f>
        <v>D7925125149</v>
      </c>
      <c r="I3144" s="35">
        <f>IFERROR(__xludf.DUMMYFUNCTION("""COMPUTED_VALUE"""),46.0)</f>
        <v>46</v>
      </c>
      <c r="J3144" s="35" t="str">
        <f>IFERROR(__xludf.DUMMYFUNCTION("""COMPUTED_VALUE"""),"&gt; 44 tahun")</f>
        <v>&gt; 44 tahun</v>
      </c>
      <c r="K3144" s="21" t="str">
        <f>IFERROR(__xludf.DUMMYFUNCTION("""COMPUTED_VALUE"""),"04/11/1979")</f>
        <v>04/11/1979</v>
      </c>
      <c r="L3144" s="21" t="str">
        <f>IFERROR(__xludf.DUMMYFUNCTION("""COMPUTED_VALUE"""),"LAKI-LAKI")</f>
        <v>LAKI-LAKI</v>
      </c>
      <c r="M3144" s="35" t="str">
        <f>IFERROR(__xludf.DUMMYFUNCTION("""COMPUTED_VALUE"""),"JL SOEPRAPTO V NO 8")</f>
        <v>JL SOEPRAPTO V NO 8</v>
      </c>
      <c r="N3144" s="35" t="str">
        <f>IFERROR(__xludf.DUMMYFUNCTION("""COMPUTED_VALUE"""),"BENUA MELAYU DARAT")</f>
        <v>BENUA MELAYU DARAT</v>
      </c>
      <c r="O3144" s="35" t="str">
        <f>IFERROR(__xludf.DUMMYFUNCTION("""COMPUTED_VALUE"""),"PONTIANAK SELATAN")</f>
        <v>PONTIANAK SELATAN</v>
      </c>
      <c r="P3144" s="35" t="str">
        <f>IFERROR(__xludf.DUMMYFUNCTION("""COMPUTED_VALUE"""),"KOTA PONTIANAK")</f>
        <v>KOTA PONTIANAK</v>
      </c>
      <c r="Q3144" s="35" t="str">
        <f>IFERROR(__xludf.DUMMYFUNCTION("""COMPUTED_VALUE"""),"KALIMANTAN BARAT")</f>
        <v>KALIMANTAN BARAT</v>
      </c>
      <c r="R3144" s="21" t="str">
        <f>IFERROR(__xludf.DUMMYFUNCTION("""COMPUTED_VALUE"""),"KHONGHUCU")</f>
        <v>KHONGHUCU</v>
      </c>
      <c r="S3144" s="74" t="str">
        <f>IFERROR(__xludf.DUMMYFUNCTION("""COMPUTED_VALUE"""),"SWASTA")</f>
        <v>SWASTA</v>
      </c>
      <c r="T3144" s="35" t="str">
        <f>IFERROR(__xludf.DUMMYFUNCTION("""COMPUTED_VALUE"""),"TENIS ELBOW")</f>
        <v>TENIS ELBOW</v>
      </c>
      <c r="U3144" s="35" t="str">
        <f>IFERROR(__xludf.DUMMYFUNCTION("""COMPUTED_VALUE"""),"OLAH RAGA")</f>
        <v>OLAH RAGA</v>
      </c>
      <c r="V3144" s="37" t="str">
        <f>IFERROR(__xludf.DUMMYFUNCTION("""COMPUTED_VALUE"""),"0811575149")</f>
        <v>0811575149</v>
      </c>
      <c r="W3144" s="45"/>
    </row>
    <row r="3145">
      <c r="A3145" s="45"/>
      <c r="B3145" s="24" t="str">
        <f>IFERROR(__xludf.DUMMYFUNCTION("""COMPUTED_VALUE"""),"04/12/2025 9:11:43")</f>
        <v>04/12/2025 9:11:43</v>
      </c>
      <c r="C3145" s="35"/>
      <c r="D3145" s="10">
        <f>IFERROR(__xludf.DUMMYFUNCTION("""COMPUTED_VALUE"""),45995.0)</f>
        <v>45995</v>
      </c>
      <c r="E3145" s="35" t="str">
        <f>IFERROR(__xludf.DUMMYFUNCTION("""COMPUTED_VALUE"""),"12Des")</f>
        <v>12Des</v>
      </c>
      <c r="F3145" s="34" t="str">
        <f>IFERROR(__xludf.DUMMYFUNCTION("""COMPUTED_VALUE"""),"2025")</f>
        <v>2025</v>
      </c>
      <c r="G3145" s="35" t="str">
        <f>IFERROR(__xludf.DUMMYFUNCTION("""COMPUTED_VALUE"""),"TRI SUTRISNO")</f>
        <v>TRI SUTRISNO</v>
      </c>
      <c r="H3145" s="35" t="str">
        <f>IFERROR(__xludf.DUMMYFUNCTION("""COMPUTED_VALUE"""),"T9225125183")</f>
        <v>T9225125183</v>
      </c>
      <c r="I3145" s="35">
        <f>IFERROR(__xludf.DUMMYFUNCTION("""COMPUTED_VALUE"""),33.0)</f>
        <v>33</v>
      </c>
      <c r="J3145" s="35" t="str">
        <f>IFERROR(__xludf.DUMMYFUNCTION("""COMPUTED_VALUE"""),"25-34 tahun")</f>
        <v>25-34 tahun</v>
      </c>
      <c r="K3145" s="21" t="str">
        <f>IFERROR(__xludf.DUMMYFUNCTION("""COMPUTED_VALUE"""),"29/10/1992")</f>
        <v>29/10/1992</v>
      </c>
      <c r="L3145" s="21" t="str">
        <f>IFERROR(__xludf.DUMMYFUNCTION("""COMPUTED_VALUE"""),"LAKI-LAKI")</f>
        <v>LAKI-LAKI</v>
      </c>
      <c r="M3145" s="35" t="str">
        <f>IFERROR(__xludf.DUMMYFUNCTION("""COMPUTED_VALUE"""),"JALAN PARIT TENGKORAK GG CENDANA 1 NO 25B")</f>
        <v>JALAN PARIT TENGKORAK GG CENDANA 1 NO 25B</v>
      </c>
      <c r="N3145" s="35" t="str">
        <f>IFERROR(__xludf.DUMMYFUNCTION("""COMPUTED_VALUE"""),"TELUK KAPUAS")</f>
        <v>TELUK KAPUAS</v>
      </c>
      <c r="O3145" s="35" t="str">
        <f>IFERROR(__xludf.DUMMYFUNCTION("""COMPUTED_VALUE"""),"SUNGAI RAYA")</f>
        <v>SUNGAI RAYA</v>
      </c>
      <c r="P3145" s="35" t="str">
        <f>IFERROR(__xludf.DUMMYFUNCTION("""COMPUTED_VALUE"""),"KUBU RAYA")</f>
        <v>KUBU RAYA</v>
      </c>
      <c r="Q3145" s="35" t="str">
        <f>IFERROR(__xludf.DUMMYFUNCTION("""COMPUTED_VALUE"""),"KALBAR")</f>
        <v>KALBAR</v>
      </c>
      <c r="R3145" s="21" t="str">
        <f>IFERROR(__xludf.DUMMYFUNCTION("""COMPUTED_VALUE"""),"PROTESTAN")</f>
        <v>PROTESTAN</v>
      </c>
      <c r="S3145" s="74" t="str">
        <f>IFERROR(__xludf.DUMMYFUNCTION("""COMPUTED_VALUE"""),"WIRASWASTA")</f>
        <v>WIRASWASTA</v>
      </c>
      <c r="T3145" s="35" t="str">
        <f>IFERROR(__xludf.DUMMYFUNCTION("""COMPUTED_VALUE"""),"LOW BACK PAIN")</f>
        <v>LOW BACK PAIN</v>
      </c>
      <c r="U3145" s="35" t="str">
        <f>IFERROR(__xludf.DUMMYFUNCTION("""COMPUTED_VALUE"""),"GYM")</f>
        <v>GYM</v>
      </c>
      <c r="V3145" s="37" t="str">
        <f>IFERROR(__xludf.DUMMYFUNCTION("""COMPUTED_VALUE"""),"089612245183")</f>
        <v>089612245183</v>
      </c>
      <c r="W3145" s="45"/>
    </row>
    <row r="3146">
      <c r="A3146" s="45"/>
      <c r="B3146" s="24" t="str">
        <f>IFERROR(__xludf.DUMMYFUNCTION("""COMPUTED_VALUE"""),"04/12/2025 9:15:44")</f>
        <v>04/12/2025 9:15:44</v>
      </c>
      <c r="C3146" s="35"/>
      <c r="D3146" s="10">
        <f>IFERROR(__xludf.DUMMYFUNCTION("""COMPUTED_VALUE"""),45995.0)</f>
        <v>45995</v>
      </c>
      <c r="E3146" s="35" t="str">
        <f>IFERROR(__xludf.DUMMYFUNCTION("""COMPUTED_VALUE"""),"12Des")</f>
        <v>12Des</v>
      </c>
      <c r="F3146" s="34" t="str">
        <f>IFERROR(__xludf.DUMMYFUNCTION("""COMPUTED_VALUE"""),"2025")</f>
        <v>2025</v>
      </c>
      <c r="G3146" s="35" t="str">
        <f>IFERROR(__xludf.DUMMYFUNCTION("""COMPUTED_VALUE"""),"MISLANA")</f>
        <v>MISLANA</v>
      </c>
      <c r="H3146" s="35" t="str">
        <f>IFERROR(__xludf.DUMMYFUNCTION("""COMPUTED_VALUE"""),"M6325122994")</f>
        <v>M6325122994</v>
      </c>
      <c r="I3146" s="35">
        <f>IFERROR(__xludf.DUMMYFUNCTION("""COMPUTED_VALUE"""),63.0)</f>
        <v>63</v>
      </c>
      <c r="J3146" s="35" t="str">
        <f>IFERROR(__xludf.DUMMYFUNCTION("""COMPUTED_VALUE"""),"&gt; 44 tahun")</f>
        <v>&gt; 44 tahun</v>
      </c>
      <c r="K3146" s="21" t="str">
        <f>IFERROR(__xludf.DUMMYFUNCTION("""COMPUTED_VALUE"""),"23/02/1963")</f>
        <v>23/02/1963</v>
      </c>
      <c r="L3146" s="21" t="str">
        <f>IFERROR(__xludf.DUMMYFUNCTION("""COMPUTED_VALUE"""),"PEREMPUAN")</f>
        <v>PEREMPUAN</v>
      </c>
      <c r="M3146" s="35" t="str">
        <f>IFERROR(__xludf.DUMMYFUNCTION("""COMPUTED_VALUE"""),"JL. RE. MARTADINATA. GG. PALA 2. NO.5")</f>
        <v>JL. RE. MARTADINATA. GG. PALA 2. NO.5</v>
      </c>
      <c r="N3146" s="35" t="str">
        <f>IFERROR(__xludf.DUMMYFUNCTION("""COMPUTED_VALUE"""),"SUNGAI JAWI LUAR")</f>
        <v>SUNGAI JAWI LUAR</v>
      </c>
      <c r="O3146" s="35" t="str">
        <f>IFERROR(__xludf.DUMMYFUNCTION("""COMPUTED_VALUE"""),"PONTIANAK BARAT")</f>
        <v>PONTIANAK BARAT</v>
      </c>
      <c r="P3146" s="35" t="str">
        <f>IFERROR(__xludf.DUMMYFUNCTION("""COMPUTED_VALUE"""),"PONTIANAK")</f>
        <v>PONTIANAK</v>
      </c>
      <c r="Q3146" s="35" t="str">
        <f>IFERROR(__xludf.DUMMYFUNCTION("""COMPUTED_VALUE"""),"KALIMANTAN BARAT")</f>
        <v>KALIMANTAN BARAT</v>
      </c>
      <c r="R3146" s="21" t="str">
        <f>IFERROR(__xludf.DUMMYFUNCTION("""COMPUTED_VALUE"""),"ISLAM")</f>
        <v>ISLAM</v>
      </c>
      <c r="S3146" s="74" t="str">
        <f>IFERROR(__xludf.DUMMYFUNCTION("""COMPUTED_VALUE"""),"PENSIUNAN")</f>
        <v>PENSIUNAN</v>
      </c>
      <c r="T3146" s="35" t="str">
        <f>IFERROR(__xludf.DUMMYFUNCTION("""COMPUTED_VALUE"""),"SYARAT KEJEPIT")</f>
        <v>SYARAT KEJEPIT</v>
      </c>
      <c r="U3146" s="35" t="str">
        <f>IFERROR(__xludf.DUMMYFUNCTION("""COMPUTED_VALUE"""),"IRT")</f>
        <v>IRT</v>
      </c>
      <c r="V3146" s="37" t="str">
        <f>IFERROR(__xludf.DUMMYFUNCTION("""COMPUTED_VALUE"""),"082152512994")</f>
        <v>082152512994</v>
      </c>
      <c r="W3146" s="45"/>
    </row>
    <row r="3147">
      <c r="A3147" s="45"/>
      <c r="B3147" s="24" t="str">
        <f>IFERROR(__xludf.DUMMYFUNCTION("""COMPUTED_VALUE"""),"04/12/2025 9:46:51")</f>
        <v>04/12/2025 9:46:51</v>
      </c>
      <c r="C3147" s="35"/>
      <c r="D3147" s="10">
        <f>IFERROR(__xludf.DUMMYFUNCTION("""COMPUTED_VALUE"""),45995.0)</f>
        <v>45995</v>
      </c>
      <c r="E3147" s="35" t="str">
        <f>IFERROR(__xludf.DUMMYFUNCTION("""COMPUTED_VALUE"""),"12Des")</f>
        <v>12Des</v>
      </c>
      <c r="F3147" s="34" t="str">
        <f>IFERROR(__xludf.DUMMYFUNCTION("""COMPUTED_VALUE"""),"2025")</f>
        <v>2025</v>
      </c>
      <c r="G3147" s="35" t="str">
        <f>IFERROR(__xludf.DUMMYFUNCTION("""COMPUTED_VALUE"""),"DESA AYU NATALIA")</f>
        <v>DESA AYU NATALIA</v>
      </c>
      <c r="H3147" s="35" t="str">
        <f>IFERROR(__xludf.DUMMYFUNCTION("""COMPUTED_VALUE"""),"D9125126509")</f>
        <v>D9125126509</v>
      </c>
      <c r="I3147" s="35">
        <f>IFERROR(__xludf.DUMMYFUNCTION("""COMPUTED_VALUE"""),34.0)</f>
        <v>34</v>
      </c>
      <c r="J3147" s="35" t="str">
        <f>IFERROR(__xludf.DUMMYFUNCTION("""COMPUTED_VALUE"""),"25-34 tahun")</f>
        <v>25-34 tahun</v>
      </c>
      <c r="K3147" s="21" t="str">
        <f>IFERROR(__xludf.DUMMYFUNCTION("""COMPUTED_VALUE"""),"23/12/1991")</f>
        <v>23/12/1991</v>
      </c>
      <c r="L3147" s="21" t="str">
        <f>IFERROR(__xludf.DUMMYFUNCTION("""COMPUTED_VALUE"""),"PEREMPUAN")</f>
        <v>PEREMPUAN</v>
      </c>
      <c r="M3147" s="35" t="str">
        <f>IFERROR(__xludf.DUMMYFUNCTION("""COMPUTED_VALUE"""),"JALAN SURYA GANG SURYA B3 NO 45 C")</f>
        <v>JALAN SURYA GANG SURYA B3 NO 45 C</v>
      </c>
      <c r="N3147" s="35" t="str">
        <f>IFERROR(__xludf.DUMMYFUNCTION("""COMPUTED_VALUE"""),"AKCAYA")</f>
        <v>AKCAYA</v>
      </c>
      <c r="O3147" s="35" t="str">
        <f>IFERROR(__xludf.DUMMYFUNCTION("""COMPUTED_VALUE"""),"PONTIANAK SELATAN")</f>
        <v>PONTIANAK SELATAN</v>
      </c>
      <c r="P3147" s="35" t="str">
        <f>IFERROR(__xludf.DUMMYFUNCTION("""COMPUTED_VALUE"""),"KOTA PONTIANAK")</f>
        <v>KOTA PONTIANAK</v>
      </c>
      <c r="Q3147" s="35" t="str">
        <f>IFERROR(__xludf.DUMMYFUNCTION("""COMPUTED_VALUE"""),"KALIMANTAN BARAT")</f>
        <v>KALIMANTAN BARAT</v>
      </c>
      <c r="R3147" s="21" t="str">
        <f>IFERROR(__xludf.DUMMYFUNCTION("""COMPUTED_VALUE"""),"ISLAM")</f>
        <v>ISLAM</v>
      </c>
      <c r="S3147" s="74" t="str">
        <f>IFERROR(__xludf.DUMMYFUNCTION("""COMPUTED_VALUE"""),"PNS")</f>
        <v>PNS</v>
      </c>
      <c r="T3147" s="35" t="str">
        <f>IFERROR(__xludf.DUMMYFUNCTION("""COMPUTED_VALUE"""),"CIDERA LUTUT")</f>
        <v>CIDERA LUTUT</v>
      </c>
      <c r="U3147" s="35" t="str">
        <f>IFERROR(__xludf.DUMMYFUNCTION("""COMPUTED_VALUE"""),"OLAHRAGA")</f>
        <v>OLAHRAGA</v>
      </c>
      <c r="V3147" s="37" t="str">
        <f>IFERROR(__xludf.DUMMYFUNCTION("""COMPUTED_VALUE"""),"081522906509")</f>
        <v>081522906509</v>
      </c>
      <c r="W3147" s="45"/>
    </row>
    <row r="3148">
      <c r="A3148" s="45"/>
      <c r="B3148" s="24" t="str">
        <f>IFERROR(__xludf.DUMMYFUNCTION("""COMPUTED_VALUE"""),"04/12/2025 11:52:53")</f>
        <v>04/12/2025 11:52:53</v>
      </c>
      <c r="C3148" s="35"/>
      <c r="D3148" s="10">
        <f>IFERROR(__xludf.DUMMYFUNCTION("""COMPUTED_VALUE"""),45995.0)</f>
        <v>45995</v>
      </c>
      <c r="E3148" s="35" t="str">
        <f>IFERROR(__xludf.DUMMYFUNCTION("""COMPUTED_VALUE"""),"12Des")</f>
        <v>12Des</v>
      </c>
      <c r="F3148" s="34" t="str">
        <f>IFERROR(__xludf.DUMMYFUNCTION("""COMPUTED_VALUE"""),"2025")</f>
        <v>2025</v>
      </c>
      <c r="G3148" s="35" t="str">
        <f>IFERROR(__xludf.DUMMYFUNCTION("""COMPUTED_VALUE"""),"LILI MANGKULIONO")</f>
        <v>LILI MANGKULIONO</v>
      </c>
      <c r="H3148" s="35" t="str">
        <f>IFERROR(__xludf.DUMMYFUNCTION("""COMPUTED_VALUE"""),"L6625122686")</f>
        <v>L6625122686</v>
      </c>
      <c r="I3148" s="35">
        <f>IFERROR(__xludf.DUMMYFUNCTION("""COMPUTED_VALUE"""),60.0)</f>
        <v>60</v>
      </c>
      <c r="J3148" s="35" t="str">
        <f>IFERROR(__xludf.DUMMYFUNCTION("""COMPUTED_VALUE"""),"&gt; 44 tahun")</f>
        <v>&gt; 44 tahun</v>
      </c>
      <c r="K3148" s="21" t="str">
        <f>IFERROR(__xludf.DUMMYFUNCTION("""COMPUTED_VALUE"""),"23/05/1966")</f>
        <v>23/05/1966</v>
      </c>
      <c r="L3148" s="21" t="str">
        <f>IFERROR(__xludf.DUMMYFUNCTION("""COMPUTED_VALUE"""),"PEREMPUAN")</f>
        <v>PEREMPUAN</v>
      </c>
      <c r="M3148" s="35" t="str">
        <f>IFERROR(__xludf.DUMMYFUNCTION("""COMPUTED_VALUE"""),"JL ARIS MARGONO NO 9D")</f>
        <v>JL ARIS MARGONO NO 9D</v>
      </c>
      <c r="N3148" s="35" t="str">
        <f>IFERROR(__xludf.DUMMYFUNCTION("""COMPUTED_VALUE"""),"BENUA MELAYU DARAT")</f>
        <v>BENUA MELAYU DARAT</v>
      </c>
      <c r="O3148" s="35" t="str">
        <f>IFERROR(__xludf.DUMMYFUNCTION("""COMPUTED_VALUE"""),"PONTIANAK SELATAN")</f>
        <v>PONTIANAK SELATAN</v>
      </c>
      <c r="P3148" s="35" t="str">
        <f>IFERROR(__xludf.DUMMYFUNCTION("""COMPUTED_VALUE"""),"PONTIANAK")</f>
        <v>PONTIANAK</v>
      </c>
      <c r="Q3148" s="35" t="str">
        <f>IFERROR(__xludf.DUMMYFUNCTION("""COMPUTED_VALUE"""),"KALBAR")</f>
        <v>KALBAR</v>
      </c>
      <c r="R3148" s="21" t="str">
        <f>IFERROR(__xludf.DUMMYFUNCTION("""COMPUTED_VALUE"""),"KATOLIK")</f>
        <v>KATOLIK</v>
      </c>
      <c r="S3148" s="74" t="str">
        <f>IFERROR(__xludf.DUMMYFUNCTION("""COMPUTED_VALUE"""),"DOKTER GIGI")</f>
        <v>DOKTER GIGI</v>
      </c>
      <c r="T3148" s="35" t="str">
        <f>IFERROR(__xludf.DUMMYFUNCTION("""COMPUTED_VALUE"""),"PINGGANG")</f>
        <v>PINGGANG</v>
      </c>
      <c r="U3148" s="35" t="str">
        <f>IFERROR(__xludf.DUMMYFUNCTION("""COMPUTED_VALUE"""),"-")</f>
        <v>-</v>
      </c>
      <c r="V3148" s="37" t="str">
        <f>IFERROR(__xludf.DUMMYFUNCTION("""COMPUTED_VALUE"""),"0811562686")</f>
        <v>0811562686</v>
      </c>
      <c r="W3148" s="45"/>
    </row>
    <row r="3149">
      <c r="A3149" s="45"/>
      <c r="B3149" s="24" t="str">
        <f>IFERROR(__xludf.DUMMYFUNCTION("""COMPUTED_VALUE"""),"04/12/2025 12:14:12")</f>
        <v>04/12/2025 12:14:12</v>
      </c>
      <c r="C3149" s="35"/>
      <c r="D3149" s="10">
        <f>IFERROR(__xludf.DUMMYFUNCTION("""COMPUTED_VALUE"""),45995.0)</f>
        <v>45995</v>
      </c>
      <c r="E3149" s="35" t="str">
        <f>IFERROR(__xludf.DUMMYFUNCTION("""COMPUTED_VALUE"""),"12Des")</f>
        <v>12Des</v>
      </c>
      <c r="F3149" s="34" t="str">
        <f>IFERROR(__xludf.DUMMYFUNCTION("""COMPUTED_VALUE"""),"2025")</f>
        <v>2025</v>
      </c>
      <c r="G3149" s="35" t="str">
        <f>IFERROR(__xludf.DUMMYFUNCTION("""COMPUTED_VALUE"""),"HANAPI 7610")</f>
        <v>HANAPI 7610</v>
      </c>
      <c r="H3149" s="35" t="str">
        <f>IFERROR(__xludf.DUMMYFUNCTION("""COMPUTED_VALUE"""),"H7625123698")</f>
        <v>H7625123698</v>
      </c>
      <c r="I3149" s="35">
        <f>IFERROR(__xludf.DUMMYFUNCTION("""COMPUTED_VALUE"""),49.0)</f>
        <v>49</v>
      </c>
      <c r="J3149" s="35" t="str">
        <f>IFERROR(__xludf.DUMMYFUNCTION("""COMPUTED_VALUE"""),"&gt; 44 tahun")</f>
        <v>&gt; 44 tahun</v>
      </c>
      <c r="K3149" s="21" t="str">
        <f>IFERROR(__xludf.DUMMYFUNCTION("""COMPUTED_VALUE"""),"27/11/1976")</f>
        <v>27/11/1976</v>
      </c>
      <c r="L3149" s="21" t="str">
        <f>IFERROR(__xludf.DUMMYFUNCTION("""COMPUTED_VALUE"""),"LAKI-LAKI")</f>
        <v>LAKI-LAKI</v>
      </c>
      <c r="M3149" s="35" t="str">
        <f>IFERROR(__xludf.DUMMYFUNCTION("""COMPUTED_VALUE"""),"DUSUN TABARAN")</f>
        <v>DUSUN TABARAN</v>
      </c>
      <c r="N3149" s="35" t="str">
        <f>IFERROR(__xludf.DUMMYFUNCTION("""COMPUTED_VALUE"""),"SAMUSTIDA")</f>
        <v>SAMUSTIDA</v>
      </c>
      <c r="O3149" s="35" t="str">
        <f>IFERROR(__xludf.DUMMYFUNCTION("""COMPUTED_VALUE"""),"TELUK KERAMAT")</f>
        <v>TELUK KERAMAT</v>
      </c>
      <c r="P3149" s="35" t="str">
        <f>IFERROR(__xludf.DUMMYFUNCTION("""COMPUTED_VALUE"""),"PONTIANAK")</f>
        <v>PONTIANAK</v>
      </c>
      <c r="Q3149" s="35" t="str">
        <f>IFERROR(__xludf.DUMMYFUNCTION("""COMPUTED_VALUE"""),"KALBAR")</f>
        <v>KALBAR</v>
      </c>
      <c r="R3149" s="21" t="str">
        <f>IFERROR(__xludf.DUMMYFUNCTION("""COMPUTED_VALUE"""),"ISLAM")</f>
        <v>ISLAM</v>
      </c>
      <c r="S3149" s="74" t="str">
        <f>IFERROR(__xludf.DUMMYFUNCTION("""COMPUTED_VALUE"""),"KARYAWAN SWASTA")</f>
        <v>KARYAWAN SWASTA</v>
      </c>
      <c r="T3149" s="35" t="str">
        <f>IFERROR(__xludf.DUMMYFUNCTION("""COMPUTED_VALUE"""),"PINGGANG")</f>
        <v>PINGGANG</v>
      </c>
      <c r="U3149" s="35" t="str">
        <f>IFERROR(__xludf.DUMMYFUNCTION("""COMPUTED_VALUE"""),"-")</f>
        <v>-</v>
      </c>
      <c r="V3149" s="37" t="str">
        <f>IFERROR(__xludf.DUMMYFUNCTION("""COMPUTED_VALUE"""),"081291003698")</f>
        <v>081291003698</v>
      </c>
      <c r="W3149" s="45"/>
    </row>
    <row r="3150">
      <c r="A3150" s="45"/>
      <c r="B3150" s="24" t="str">
        <f>IFERROR(__xludf.DUMMYFUNCTION("""COMPUTED_VALUE"""),"04/12/2025 13:12:34")</f>
        <v>04/12/2025 13:12:34</v>
      </c>
      <c r="C3150" s="35"/>
      <c r="D3150" s="10">
        <f>IFERROR(__xludf.DUMMYFUNCTION("""COMPUTED_VALUE"""),45995.0)</f>
        <v>45995</v>
      </c>
      <c r="E3150" s="35" t="str">
        <f>IFERROR(__xludf.DUMMYFUNCTION("""COMPUTED_VALUE"""),"12Des")</f>
        <v>12Des</v>
      </c>
      <c r="F3150" s="34" t="str">
        <f>IFERROR(__xludf.DUMMYFUNCTION("""COMPUTED_VALUE"""),"2025")</f>
        <v>2025</v>
      </c>
      <c r="G3150" s="35" t="str">
        <f>IFERROR(__xludf.DUMMYFUNCTION("""COMPUTED_VALUE"""),"MUHAMMAD FARIDH DIYAPRATAMA")</f>
        <v>MUHAMMAD FARIDH DIYAPRATAMA</v>
      </c>
      <c r="H3150" s="35" t="str">
        <f>IFERROR(__xludf.DUMMYFUNCTION("""COMPUTED_VALUE"""),"M9425123698")</f>
        <v>M9425123698</v>
      </c>
      <c r="I3150" s="35">
        <f>IFERROR(__xludf.DUMMYFUNCTION("""COMPUTED_VALUE"""),31.0)</f>
        <v>31</v>
      </c>
      <c r="J3150" s="35" t="str">
        <f>IFERROR(__xludf.DUMMYFUNCTION("""COMPUTED_VALUE"""),"25-34 tahun")</f>
        <v>25-34 tahun</v>
      </c>
      <c r="K3150" s="21" t="str">
        <f>IFERROR(__xludf.DUMMYFUNCTION("""COMPUTED_VALUE"""),"26/10/1994")</f>
        <v>26/10/1994</v>
      </c>
      <c r="L3150" s="21" t="str">
        <f>IFERROR(__xludf.DUMMYFUNCTION("""COMPUTED_VALUE"""),"LAKI-LAKI")</f>
        <v>LAKI-LAKI</v>
      </c>
      <c r="M3150" s="35" t="str">
        <f>IFERROR(__xludf.DUMMYFUNCTION("""COMPUTED_VALUE"""),"JLN KESEHATAN KOMP ADENIUM RUKO NO 1")</f>
        <v>JLN KESEHATAN KOMP ADENIUM RUKO NO 1</v>
      </c>
      <c r="N3150" s="35" t="str">
        <f>IFERROR(__xludf.DUMMYFUNCTION("""COMPUTED_VALUE"""),"KOTA BARU")</f>
        <v>KOTA BARU</v>
      </c>
      <c r="O3150" s="35" t="str">
        <f>IFERROR(__xludf.DUMMYFUNCTION("""COMPUTED_VALUE"""),"PONTIANAK SELATAN")</f>
        <v>PONTIANAK SELATAN</v>
      </c>
      <c r="P3150" s="35" t="str">
        <f>IFERROR(__xludf.DUMMYFUNCTION("""COMPUTED_VALUE"""),"KOTA PONTIANAK")</f>
        <v>KOTA PONTIANAK</v>
      </c>
      <c r="Q3150" s="35" t="str">
        <f>IFERROR(__xludf.DUMMYFUNCTION("""COMPUTED_VALUE"""),"KALIMANTAN BARAT")</f>
        <v>KALIMANTAN BARAT</v>
      </c>
      <c r="R3150" s="21" t="str">
        <f>IFERROR(__xludf.DUMMYFUNCTION("""COMPUTED_VALUE"""),"ISLAM")</f>
        <v>ISLAM</v>
      </c>
      <c r="S3150" s="74" t="str">
        <f>IFERROR(__xludf.DUMMYFUNCTION("""COMPUTED_VALUE"""),"SWASTA")</f>
        <v>SWASTA</v>
      </c>
      <c r="T3150" s="35" t="str">
        <f>IFERROR(__xludf.DUMMYFUNCTION("""COMPUTED_VALUE"""),"NYERI KEPALA")</f>
        <v>NYERI KEPALA</v>
      </c>
      <c r="U3150" s="35" t="str">
        <f>IFERROR(__xludf.DUMMYFUNCTION("""COMPUTED_VALUE"""),"ANGKAT BARANG")</f>
        <v>ANGKAT BARANG</v>
      </c>
      <c r="V3150" s="37" t="str">
        <f>IFERROR(__xludf.DUMMYFUNCTION("""COMPUTED_VALUE"""),"081291003698")</f>
        <v>081291003698</v>
      </c>
      <c r="W3150" s="45"/>
    </row>
    <row r="3151">
      <c r="A3151" s="45"/>
      <c r="B3151" s="24" t="str">
        <f>IFERROR(__xludf.DUMMYFUNCTION("""COMPUTED_VALUE"""),"04/12/2025 14:11:38")</f>
        <v>04/12/2025 14:11:38</v>
      </c>
      <c r="C3151" s="35"/>
      <c r="D3151" s="10">
        <f>IFERROR(__xludf.DUMMYFUNCTION("""COMPUTED_VALUE"""),45995.0)</f>
        <v>45995</v>
      </c>
      <c r="E3151" s="35" t="str">
        <f>IFERROR(__xludf.DUMMYFUNCTION("""COMPUTED_VALUE"""),"12Des")</f>
        <v>12Des</v>
      </c>
      <c r="F3151" s="34" t="str">
        <f>IFERROR(__xludf.DUMMYFUNCTION("""COMPUTED_VALUE"""),"2025")</f>
        <v>2025</v>
      </c>
      <c r="G3151" s="35" t="str">
        <f>IFERROR(__xludf.DUMMYFUNCTION("""COMPUTED_VALUE"""),"LILI URIANTO")</f>
        <v>LILI URIANTO</v>
      </c>
      <c r="H3151" s="35" t="str">
        <f>IFERROR(__xludf.DUMMYFUNCTION("""COMPUTED_VALUE"""),"L7425128709")</f>
        <v>L7425128709</v>
      </c>
      <c r="I3151" s="35">
        <f>IFERROR(__xludf.DUMMYFUNCTION("""COMPUTED_VALUE"""),51.0)</f>
        <v>51</v>
      </c>
      <c r="J3151" s="35" t="str">
        <f>IFERROR(__xludf.DUMMYFUNCTION("""COMPUTED_VALUE"""),"&gt; 44 tahun")</f>
        <v>&gt; 44 tahun</v>
      </c>
      <c r="K3151" s="21" t="str">
        <f>IFERROR(__xludf.DUMMYFUNCTION("""COMPUTED_VALUE"""),"14/08/1974")</f>
        <v>14/08/1974</v>
      </c>
      <c r="L3151" s="21" t="str">
        <f>IFERROR(__xludf.DUMMYFUNCTION("""COMPUTED_VALUE"""),"LAKI-LAKI")</f>
        <v>LAKI-LAKI</v>
      </c>
      <c r="M3151" s="35" t="str">
        <f>IFERROR(__xludf.DUMMYFUNCTION("""COMPUTED_VALUE"""),"JL. PENGAYOMAN SELATAN XI NO.30")</f>
        <v>JL. PENGAYOMAN SELATAN XI NO.30</v>
      </c>
      <c r="N3151" s="35" t="str">
        <f>IFERROR(__xludf.DUMMYFUNCTION("""COMPUTED_VALUE"""),"BUARAN INDAH")</f>
        <v>BUARAN INDAH</v>
      </c>
      <c r="O3151" s="35" t="str">
        <f>IFERROR(__xludf.DUMMYFUNCTION("""COMPUTED_VALUE"""),"TANGGERANG")</f>
        <v>TANGGERANG</v>
      </c>
      <c r="P3151" s="35" t="str">
        <f>IFERROR(__xludf.DUMMYFUNCTION("""COMPUTED_VALUE"""),"TANGGERANG")</f>
        <v>TANGGERANG</v>
      </c>
      <c r="Q3151" s="35" t="str">
        <f>IFERROR(__xludf.DUMMYFUNCTION("""COMPUTED_VALUE"""),"BANTEN")</f>
        <v>BANTEN</v>
      </c>
      <c r="R3151" s="21" t="str">
        <f>IFERROR(__xludf.DUMMYFUNCTION("""COMPUTED_VALUE"""),"ISLAM")</f>
        <v>ISLAM</v>
      </c>
      <c r="S3151" s="74" t="str">
        <f>IFERROR(__xludf.DUMMYFUNCTION("""COMPUTED_VALUE"""),"KARYAWAN SWASTA")</f>
        <v>KARYAWAN SWASTA</v>
      </c>
      <c r="T3151" s="35" t="str">
        <f>IFERROR(__xludf.DUMMYFUNCTION("""COMPUTED_VALUE"""),"FROZEN SHOULDER")</f>
        <v>FROZEN SHOULDER</v>
      </c>
      <c r="U3151" s="35" t="str">
        <f>IFERROR(__xludf.DUMMYFUNCTION("""COMPUTED_VALUE"""),"-")</f>
        <v>-</v>
      </c>
      <c r="V3151" s="37" t="str">
        <f>IFERROR(__xludf.DUMMYFUNCTION("""COMPUTED_VALUE"""),"082154658709")</f>
        <v>082154658709</v>
      </c>
      <c r="W3151" s="45"/>
    </row>
    <row r="3152">
      <c r="A3152" s="45"/>
      <c r="B3152" s="24" t="str">
        <f>IFERROR(__xludf.DUMMYFUNCTION("""COMPUTED_VALUE"""),"04/12/2025 17:52:28")</f>
        <v>04/12/2025 17:52:28</v>
      </c>
      <c r="C3152" s="35"/>
      <c r="D3152" s="10">
        <f>IFERROR(__xludf.DUMMYFUNCTION("""COMPUTED_VALUE"""),45995.0)</f>
        <v>45995</v>
      </c>
      <c r="E3152" s="35" t="str">
        <f>IFERROR(__xludf.DUMMYFUNCTION("""COMPUTED_VALUE"""),"12Des")</f>
        <v>12Des</v>
      </c>
      <c r="F3152" s="34" t="str">
        <f>IFERROR(__xludf.DUMMYFUNCTION("""COMPUTED_VALUE"""),"2025")</f>
        <v>2025</v>
      </c>
      <c r="G3152" s="35" t="str">
        <f>IFERROR(__xludf.DUMMYFUNCTION("""COMPUTED_VALUE"""),"TEGUH ADI PEASETYO")</f>
        <v>TEGUH ADI PEASETYO</v>
      </c>
      <c r="H3152" s="35" t="str">
        <f>IFERROR(__xludf.DUMMYFUNCTION("""COMPUTED_VALUE"""),"T8525127478")</f>
        <v>T8525127478</v>
      </c>
      <c r="I3152" s="35">
        <f>IFERROR(__xludf.DUMMYFUNCTION("""COMPUTED_VALUE"""),40.0)</f>
        <v>40</v>
      </c>
      <c r="J3152" s="35" t="str">
        <f>IFERROR(__xludf.DUMMYFUNCTION("""COMPUTED_VALUE"""),"35-44 tahun")</f>
        <v>35-44 tahun</v>
      </c>
      <c r="K3152" s="21" t="str">
        <f>IFERROR(__xludf.DUMMYFUNCTION("""COMPUTED_VALUE"""),"15/09/1985")</f>
        <v>15/09/1985</v>
      </c>
      <c r="L3152" s="21" t="str">
        <f>IFERROR(__xludf.DUMMYFUNCTION("""COMPUTED_VALUE"""),"LAKI-LAKI")</f>
        <v>LAKI-LAKI</v>
      </c>
      <c r="M3152" s="35" t="str">
        <f>IFERROR(__xludf.DUMMYFUNCTION("""COMPUTED_VALUE"""),"JL. DR SOETOMO")</f>
        <v>JL. DR SOETOMO</v>
      </c>
      <c r="N3152" s="35" t="str">
        <f>IFERROR(__xludf.DUMMYFUNCTION("""COMPUTED_VALUE"""),"SUNGAI BANGKONG")</f>
        <v>SUNGAI BANGKONG</v>
      </c>
      <c r="O3152" s="35" t="str">
        <f>IFERROR(__xludf.DUMMYFUNCTION("""COMPUTED_VALUE"""),"PONTIANAK KOTA")</f>
        <v>PONTIANAK KOTA</v>
      </c>
      <c r="P3152" s="35" t="str">
        <f>IFERROR(__xludf.DUMMYFUNCTION("""COMPUTED_VALUE"""),"PONTIANAK")</f>
        <v>PONTIANAK</v>
      </c>
      <c r="Q3152" s="35" t="str">
        <f>IFERROR(__xludf.DUMMYFUNCTION("""COMPUTED_VALUE"""),"KALIMANTAN BARAT")</f>
        <v>KALIMANTAN BARAT</v>
      </c>
      <c r="R3152" s="21" t="str">
        <f>IFERROR(__xludf.DUMMYFUNCTION("""COMPUTED_VALUE"""),"PROTESTAN")</f>
        <v>PROTESTAN</v>
      </c>
      <c r="S3152" s="74" t="str">
        <f>IFERROR(__xludf.DUMMYFUNCTION("""COMPUTED_VALUE"""),"ASN")</f>
        <v>ASN</v>
      </c>
      <c r="T3152" s="35" t="str">
        <f>IFERROR(__xludf.DUMMYFUNCTION("""COMPUTED_VALUE"""),"LENGAN SAKIT")</f>
        <v>LENGAN SAKIT</v>
      </c>
      <c r="U3152" s="35" t="str">
        <f>IFERROR(__xludf.DUMMYFUNCTION("""COMPUTED_VALUE"""),"LARI")</f>
        <v>LARI</v>
      </c>
      <c r="V3152" s="37" t="str">
        <f>IFERROR(__xludf.DUMMYFUNCTION("""COMPUTED_VALUE"""),"085249927478")</f>
        <v>085249927478</v>
      </c>
      <c r="W3152" s="45"/>
    </row>
    <row r="3153">
      <c r="A3153" s="45"/>
      <c r="B3153" s="24" t="str">
        <f>IFERROR(__xludf.DUMMYFUNCTION("""COMPUTED_VALUE"""),"05/12/2025 17:59:58")</f>
        <v>05/12/2025 17:59:58</v>
      </c>
      <c r="C3153" s="35"/>
      <c r="D3153" s="10">
        <f>IFERROR(__xludf.DUMMYFUNCTION("""COMPUTED_VALUE"""),45996.0)</f>
        <v>45996</v>
      </c>
      <c r="E3153" s="35" t="str">
        <f>IFERROR(__xludf.DUMMYFUNCTION("""COMPUTED_VALUE"""),"12Des")</f>
        <v>12Des</v>
      </c>
      <c r="F3153" s="34" t="str">
        <f>IFERROR(__xludf.DUMMYFUNCTION("""COMPUTED_VALUE"""),"2025")</f>
        <v>2025</v>
      </c>
      <c r="G3153" s="35" t="str">
        <f>IFERROR(__xludf.DUMMYFUNCTION("""COMPUTED_VALUE"""),"SUGENG")</f>
        <v>SUGENG</v>
      </c>
      <c r="H3153" s="35" t="str">
        <f>IFERROR(__xludf.DUMMYFUNCTION("""COMPUTED_VALUE"""),"S6825128786")</f>
        <v>S6825128786</v>
      </c>
      <c r="I3153" s="35">
        <f>IFERROR(__xludf.DUMMYFUNCTION("""COMPUTED_VALUE"""),58.0)</f>
        <v>58</v>
      </c>
      <c r="J3153" s="35" t="str">
        <f>IFERROR(__xludf.DUMMYFUNCTION("""COMPUTED_VALUE"""),"&gt; 44 tahun")</f>
        <v>&gt; 44 tahun</v>
      </c>
      <c r="K3153" s="21" t="str">
        <f>IFERROR(__xludf.DUMMYFUNCTION("""COMPUTED_VALUE"""),"07/05/1968")</f>
        <v>07/05/1968</v>
      </c>
      <c r="L3153" s="21" t="str">
        <f>IFERROR(__xludf.DUMMYFUNCTION("""COMPUTED_VALUE"""),"LAKI-LAKI")</f>
        <v>LAKI-LAKI</v>
      </c>
      <c r="M3153" s="35" t="str">
        <f>IFERROR(__xludf.DUMMYFUNCTION("""COMPUTED_VALUE"""),"JL KESEHATAN GG SUMBER AGUNG 1 JALUR A")</f>
        <v>JL KESEHATAN GG SUMBER AGUNG 1 JALUR A</v>
      </c>
      <c r="N3153" s="35" t="str">
        <f>IFERROR(__xludf.DUMMYFUNCTION("""COMPUTED_VALUE"""),"KOTA BARU")</f>
        <v>KOTA BARU</v>
      </c>
      <c r="O3153" s="35" t="str">
        <f>IFERROR(__xludf.DUMMYFUNCTION("""COMPUTED_VALUE"""),"PONTIANAK SELATAN")</f>
        <v>PONTIANAK SELATAN</v>
      </c>
      <c r="P3153" s="35" t="str">
        <f>IFERROR(__xludf.DUMMYFUNCTION("""COMPUTED_VALUE"""),"KOTA PONTIANAK")</f>
        <v>KOTA PONTIANAK</v>
      </c>
      <c r="Q3153" s="35" t="str">
        <f>IFERROR(__xludf.DUMMYFUNCTION("""COMPUTED_VALUE"""),"KAKIMANTAN BARAT")</f>
        <v>KAKIMANTAN BARAT</v>
      </c>
      <c r="R3153" s="21" t="str">
        <f>IFERROR(__xludf.DUMMYFUNCTION("""COMPUTED_VALUE"""),"ISLAM")</f>
        <v>ISLAM</v>
      </c>
      <c r="S3153" s="74" t="str">
        <f>IFERROR(__xludf.DUMMYFUNCTION("""COMPUTED_VALUE"""),"WIRASWASTA")</f>
        <v>WIRASWASTA</v>
      </c>
      <c r="T3153" s="35" t="str">
        <f>IFERROR(__xludf.DUMMYFUNCTION("""COMPUTED_VALUE"""),"OTOT BAGIAN BETIS SAMPAI PAHA TERASA SAKIT, KARENA SEBELUMNYA MENGALAMI KERAM.")</f>
        <v>OTOT BAGIAN BETIS SAMPAI PAHA TERASA SAKIT, KARENA SEBELUMNYA MENGALAMI KERAM.</v>
      </c>
      <c r="U3153" s="35" t="str">
        <f>IFERROR(__xludf.DUMMYFUNCTION("""COMPUTED_VALUE"""),"AKTIFITAS BERJUALAN.")</f>
        <v>AKTIFITAS BERJUALAN.</v>
      </c>
      <c r="V3153" s="37" t="str">
        <f>IFERROR(__xludf.DUMMYFUNCTION("""COMPUTED_VALUE"""),"081254848786")</f>
        <v>081254848786</v>
      </c>
      <c r="W3153" s="45"/>
    </row>
    <row r="3154">
      <c r="A3154" s="45"/>
      <c r="B3154" s="24" t="str">
        <f>IFERROR(__xludf.DUMMYFUNCTION("""COMPUTED_VALUE"""),"06/12/2025 10:28:37")</f>
        <v>06/12/2025 10:28:37</v>
      </c>
      <c r="C3154" s="35"/>
      <c r="D3154" s="10">
        <f>IFERROR(__xludf.DUMMYFUNCTION("""COMPUTED_VALUE"""),45997.0)</f>
        <v>45997</v>
      </c>
      <c r="E3154" s="35" t="str">
        <f>IFERROR(__xludf.DUMMYFUNCTION("""COMPUTED_VALUE"""),"12Des")</f>
        <v>12Des</v>
      </c>
      <c r="F3154" s="34" t="str">
        <f>IFERROR(__xludf.DUMMYFUNCTION("""COMPUTED_VALUE"""),"2025")</f>
        <v>2025</v>
      </c>
      <c r="G3154" s="35" t="str">
        <f>IFERROR(__xludf.DUMMYFUNCTION("""COMPUTED_VALUE"""),"WURAN KRISNAWATI")</f>
        <v>WURAN KRISNAWATI</v>
      </c>
      <c r="H3154" s="35" t="str">
        <f>IFERROR(__xludf.DUMMYFUNCTION("""COMPUTED_VALUE"""),"W9225123275")</f>
        <v>W9225123275</v>
      </c>
      <c r="I3154" s="35">
        <f>IFERROR(__xludf.DUMMYFUNCTION("""COMPUTED_VALUE"""),33.0)</f>
        <v>33</v>
      </c>
      <c r="J3154" s="35" t="str">
        <f>IFERROR(__xludf.DUMMYFUNCTION("""COMPUTED_VALUE"""),"25-34 tahun")</f>
        <v>25-34 tahun</v>
      </c>
      <c r="K3154" s="21" t="str">
        <f>IFERROR(__xludf.DUMMYFUNCTION("""COMPUTED_VALUE"""),"22/10/1992")</f>
        <v>22/10/1992</v>
      </c>
      <c r="L3154" s="21" t="str">
        <f>IFERROR(__xludf.DUMMYFUNCTION("""COMPUTED_VALUE"""),"PEREMPUAN")</f>
        <v>PEREMPUAN</v>
      </c>
      <c r="M3154" s="35" t="str">
        <f>IFERROR(__xludf.DUMMYFUNCTION("""COMPUTED_VALUE"""),"JL TANJUNGPURA GG SUTERA NO 10")</f>
        <v>JL TANJUNGPURA GG SUTERA NO 10</v>
      </c>
      <c r="N3154" s="35" t="str">
        <f>IFERROR(__xludf.DUMMYFUNCTION("""COMPUTED_VALUE"""),"6171036210920002")</f>
        <v>6171036210920002</v>
      </c>
      <c r="O3154" s="35" t="str">
        <f>IFERROR(__xludf.DUMMYFUNCTION("""COMPUTED_VALUE"""),"PONTIANAK SELATAN")</f>
        <v>PONTIANAK SELATAN</v>
      </c>
      <c r="P3154" s="35" t="str">
        <f>IFERROR(__xludf.DUMMYFUNCTION("""COMPUTED_VALUE"""),"PONTIANAK")</f>
        <v>PONTIANAK</v>
      </c>
      <c r="Q3154" s="35" t="str">
        <f>IFERROR(__xludf.DUMMYFUNCTION("""COMPUTED_VALUE"""),"KALIMANTAN BARAT")</f>
        <v>KALIMANTAN BARAT</v>
      </c>
      <c r="R3154" s="21" t="str">
        <f>IFERROR(__xludf.DUMMYFUNCTION("""COMPUTED_VALUE"""),"PROTESTAN")</f>
        <v>PROTESTAN</v>
      </c>
      <c r="S3154" s="74" t="str">
        <f>IFERROR(__xludf.DUMMYFUNCTION("""COMPUTED_VALUE"""),"PEGAWAU SWASTA")</f>
        <v>PEGAWAU SWASTA</v>
      </c>
      <c r="T3154" s="35" t="str">
        <f>IFERROR(__xludf.DUMMYFUNCTION("""COMPUTED_VALUE"""),"TANGAN SAKIT DAN SUSAH MENGANGKAT BARANG")</f>
        <v>TANGAN SAKIT DAN SUSAH MENGANGKAT BARANG</v>
      </c>
      <c r="U3154" s="35" t="str">
        <f>IFERROR(__xludf.DUMMYFUNCTION("""COMPUTED_VALUE"""),"MAIN BADMINTON")</f>
        <v>MAIN BADMINTON</v>
      </c>
      <c r="V3154" s="37" t="str">
        <f>IFERROR(__xludf.DUMMYFUNCTION("""COMPUTED_VALUE"""),"085750743275")</f>
        <v>085750743275</v>
      </c>
      <c r="W3154" s="45"/>
    </row>
    <row r="3155">
      <c r="A3155" s="45"/>
      <c r="B3155" s="24" t="str">
        <f>IFERROR(__xludf.DUMMYFUNCTION("""COMPUTED_VALUE"""),"05/12/2025 21:13:19")</f>
        <v>05/12/2025 21:13:19</v>
      </c>
      <c r="C3155" s="35"/>
      <c r="D3155" s="10">
        <f>IFERROR(__xludf.DUMMYFUNCTION("""COMPUTED_VALUE"""),45997.0)</f>
        <v>45997</v>
      </c>
      <c r="E3155" s="35" t="str">
        <f>IFERROR(__xludf.DUMMYFUNCTION("""COMPUTED_VALUE"""),"12Des")</f>
        <v>12Des</v>
      </c>
      <c r="F3155" s="34" t="str">
        <f>IFERROR(__xludf.DUMMYFUNCTION("""COMPUTED_VALUE"""),"2025")</f>
        <v>2025</v>
      </c>
      <c r="G3155" s="35" t="str">
        <f>IFERROR(__xludf.DUMMYFUNCTION("""COMPUTED_VALUE"""),"ROSNIAR")</f>
        <v>ROSNIAR</v>
      </c>
      <c r="H3155" s="35" t="str">
        <f>IFERROR(__xludf.DUMMYFUNCTION("""COMPUTED_VALUE"""),"R5825122217")</f>
        <v>R5825122217</v>
      </c>
      <c r="I3155" s="35">
        <f>IFERROR(__xludf.DUMMYFUNCTION("""COMPUTED_VALUE"""),67.0)</f>
        <v>67</v>
      </c>
      <c r="J3155" s="35" t="str">
        <f>IFERROR(__xludf.DUMMYFUNCTION("""COMPUTED_VALUE"""),"&gt; 44 tahun")</f>
        <v>&gt; 44 tahun</v>
      </c>
      <c r="K3155" s="21" t="str">
        <f>IFERROR(__xludf.DUMMYFUNCTION("""COMPUTED_VALUE"""),"05/12/1958")</f>
        <v>05/12/1958</v>
      </c>
      <c r="L3155" s="21" t="str">
        <f>IFERROR(__xludf.DUMMYFUNCTION("""COMPUTED_VALUE"""),"PEREMPUAN")</f>
        <v>PEREMPUAN</v>
      </c>
      <c r="M3155" s="35" t="str">
        <f>IFERROR(__xludf.DUMMYFUNCTION("""COMPUTED_VALUE"""),"JL TANJUNG RAYA 2 GG KARYA 2")</f>
        <v>JL TANJUNG RAYA 2 GG KARYA 2</v>
      </c>
      <c r="N3155" s="35" t="str">
        <f>IFERROR(__xludf.DUMMYFUNCTION("""COMPUTED_VALUE"""),"SAIGON")</f>
        <v>SAIGON</v>
      </c>
      <c r="O3155" s="35" t="str">
        <f>IFERROR(__xludf.DUMMYFUNCTION("""COMPUTED_VALUE"""),"PONTIANAK TIMUR")</f>
        <v>PONTIANAK TIMUR</v>
      </c>
      <c r="P3155" s="35" t="str">
        <f>IFERROR(__xludf.DUMMYFUNCTION("""COMPUTED_VALUE"""),"KOTA PONTIANAK")</f>
        <v>KOTA PONTIANAK</v>
      </c>
      <c r="Q3155" s="35" t="str">
        <f>IFERROR(__xludf.DUMMYFUNCTION("""COMPUTED_VALUE"""),"KALIMANTAN BARAT")</f>
        <v>KALIMANTAN BARAT</v>
      </c>
      <c r="R3155" s="21" t="str">
        <f>IFERROR(__xludf.DUMMYFUNCTION("""COMPUTED_VALUE"""),"ISLAM")</f>
        <v>ISLAM</v>
      </c>
      <c r="S3155" s="74" t="str">
        <f>IFERROR(__xludf.DUMMYFUNCTION("""COMPUTED_VALUE"""),"IBU RUMAH TANGGA")</f>
        <v>IBU RUMAH TANGGA</v>
      </c>
      <c r="T3155" s="35" t="str">
        <f>IFERROR(__xludf.DUMMYFUNCTION("""COMPUTED_VALUE"""),"KEADAAN SEBELUMNYA JALAN AGAK SUSAH SEMINGGU TERAKHIR MENGALAMI CEDERA (KESELEO) SUDAH PERNAH DI URUT TAPI TIDAK ADA PERUBAHAN")</f>
        <v>KEADAAN SEBELUMNYA JALAN AGAK SUSAH SEMINGGU TERAKHIR MENGALAMI CEDERA (KESELEO) SUDAH PERNAH DI URUT TAPI TIDAK ADA PERUBAHAN</v>
      </c>
      <c r="U3155" s="35" t="str">
        <f>IFERROR(__xludf.DUMMYFUNCTION("""COMPUTED_VALUE"""),"SENAM")</f>
        <v>SENAM</v>
      </c>
      <c r="V3155" s="37" t="str">
        <f>IFERROR(__xludf.DUMMYFUNCTION("""COMPUTED_VALUE"""),"085750442217")</f>
        <v>085750442217</v>
      </c>
      <c r="W3155" s="45"/>
    </row>
    <row r="3156">
      <c r="A3156" s="45"/>
      <c r="B3156" s="24" t="str">
        <f>IFERROR(__xludf.DUMMYFUNCTION("""COMPUTED_VALUE"""),"06/12/2025 15:58:46")</f>
        <v>06/12/2025 15:58:46</v>
      </c>
      <c r="C3156" s="35"/>
      <c r="D3156" s="10">
        <f>IFERROR(__xludf.DUMMYFUNCTION("""COMPUTED_VALUE"""),45997.0)</f>
        <v>45997</v>
      </c>
      <c r="E3156" s="35" t="str">
        <f>IFERROR(__xludf.DUMMYFUNCTION("""COMPUTED_VALUE"""),"12Des")</f>
        <v>12Des</v>
      </c>
      <c r="F3156" s="34" t="str">
        <f>IFERROR(__xludf.DUMMYFUNCTION("""COMPUTED_VALUE"""),"2025")</f>
        <v>2025</v>
      </c>
      <c r="G3156" s="35" t="str">
        <f>IFERROR(__xludf.DUMMYFUNCTION("""COMPUTED_VALUE"""),"FARREL")</f>
        <v>FARREL</v>
      </c>
      <c r="H3156" s="35" t="str">
        <f>IFERROR(__xludf.DUMMYFUNCTION("""COMPUTED_VALUE"""),"F1325121234")</f>
        <v>F1325121234</v>
      </c>
      <c r="I3156" s="35">
        <f>IFERROR(__xludf.DUMMYFUNCTION("""COMPUTED_VALUE"""),12.0)</f>
        <v>12</v>
      </c>
      <c r="J3156" s="35" t="str">
        <f>IFERROR(__xludf.DUMMYFUNCTION("""COMPUTED_VALUE"""),"&lt; 18 tahun")</f>
        <v>&lt; 18 tahun</v>
      </c>
      <c r="K3156" s="21" t="str">
        <f>IFERROR(__xludf.DUMMYFUNCTION("""COMPUTED_VALUE"""),"05/11/2013")</f>
        <v>05/11/2013</v>
      </c>
      <c r="L3156" s="21" t="str">
        <f>IFERROR(__xludf.DUMMYFUNCTION("""COMPUTED_VALUE"""),"LAKI-LAKI")</f>
        <v>LAKI-LAKI</v>
      </c>
      <c r="M3156" s="35" t="str">
        <f>IFERROR(__xludf.DUMMYFUNCTION("""COMPUTED_VALUE"""),"PARIS2")</f>
        <v>PARIS2</v>
      </c>
      <c r="N3156" s="35" t="str">
        <f>IFERROR(__xludf.DUMMYFUNCTION("""COMPUTED_VALUE"""),"NAKSIR DARAT")</f>
        <v>NAKSIR DARAT</v>
      </c>
      <c r="O3156" s="35" t="str">
        <f>IFERROR(__xludf.DUMMYFUNCTION("""COMPUTED_VALUE"""),"PONTIANAK TENGGARA")</f>
        <v>PONTIANAK TENGGARA</v>
      </c>
      <c r="P3156" s="35" t="str">
        <f>IFERROR(__xludf.DUMMYFUNCTION("""COMPUTED_VALUE"""),"PONTIANAK")</f>
        <v>PONTIANAK</v>
      </c>
      <c r="Q3156" s="35" t="str">
        <f>IFERROR(__xludf.DUMMYFUNCTION("""COMPUTED_VALUE"""),"KALBAR")</f>
        <v>KALBAR</v>
      </c>
      <c r="R3156" s="21" t="str">
        <f>IFERROR(__xludf.DUMMYFUNCTION("""COMPUTED_VALUE"""),"ISLAM")</f>
        <v>ISLAM</v>
      </c>
      <c r="S3156" s="74" t="str">
        <f>IFERROR(__xludf.DUMMYFUNCTION("""COMPUTED_VALUE"""),"PELAJAR")</f>
        <v>PELAJAR</v>
      </c>
      <c r="T3156" s="35" t="str">
        <f>IFERROR(__xludf.DUMMYFUNCTION("""COMPUTED_VALUE"""),"SAKIT PADA LUTUT")</f>
        <v>SAKIT PADA LUTUT</v>
      </c>
      <c r="U3156" s="35" t="str">
        <f>IFERROR(__xludf.DUMMYFUNCTION("""COMPUTED_VALUE"""),"BASKET")</f>
        <v>BASKET</v>
      </c>
      <c r="V3156" s="37" t="str">
        <f>IFERROR(__xludf.DUMMYFUNCTION("""COMPUTED_VALUE"""),"081345581234")</f>
        <v>081345581234</v>
      </c>
      <c r="W3156" s="45"/>
    </row>
    <row r="3157">
      <c r="A3157" s="45"/>
      <c r="B3157" s="24" t="str">
        <f>IFERROR(__xludf.DUMMYFUNCTION("""COMPUTED_VALUE"""),"06/12/2025 17:47:12")</f>
        <v>06/12/2025 17:47:12</v>
      </c>
      <c r="C3157" s="35"/>
      <c r="D3157" s="10">
        <f>IFERROR(__xludf.DUMMYFUNCTION("""COMPUTED_VALUE"""),45997.0)</f>
        <v>45997</v>
      </c>
      <c r="E3157" s="35" t="str">
        <f>IFERROR(__xludf.DUMMYFUNCTION("""COMPUTED_VALUE"""),"12Des")</f>
        <v>12Des</v>
      </c>
      <c r="F3157" s="34" t="str">
        <f>IFERROR(__xludf.DUMMYFUNCTION("""COMPUTED_VALUE"""),"2025")</f>
        <v>2025</v>
      </c>
      <c r="G3157" s="35" t="str">
        <f>IFERROR(__xludf.DUMMYFUNCTION("""COMPUTED_VALUE"""),"INDRA JAYA AK MSI")</f>
        <v>INDRA JAYA AK MSI</v>
      </c>
      <c r="H3157" s="35" t="str">
        <f>IFERROR(__xludf.DUMMYFUNCTION("""COMPUTED_VALUE"""),"I7225127895")</f>
        <v>I7225127895</v>
      </c>
      <c r="I3157" s="35">
        <f>IFERROR(__xludf.DUMMYFUNCTION("""COMPUTED_VALUE"""),54.0)</f>
        <v>54</v>
      </c>
      <c r="J3157" s="35" t="str">
        <f>IFERROR(__xludf.DUMMYFUNCTION("""COMPUTED_VALUE"""),"&gt; 44 tahun")</f>
        <v>&gt; 44 tahun</v>
      </c>
      <c r="K3157" s="21" t="str">
        <f>IFERROR(__xludf.DUMMYFUNCTION("""COMPUTED_VALUE"""),"12/03/1972")</f>
        <v>12/03/1972</v>
      </c>
      <c r="L3157" s="21" t="str">
        <f>IFERROR(__xludf.DUMMYFUNCTION("""COMPUTED_VALUE"""),"LAKI-LAKI")</f>
        <v>LAKI-LAKI</v>
      </c>
      <c r="M3157" s="35" t="str">
        <f>IFERROR(__xludf.DUMMYFUNCTION("""COMPUTED_VALUE"""),"GRIYA PANCORANMAS INDAH BLOK B5 NO 6 DEPOK")</f>
        <v>GRIYA PANCORANMAS INDAH BLOK B5 NO 6 DEPOK</v>
      </c>
      <c r="N3157" s="35" t="str">
        <f>IFERROR(__xludf.DUMMYFUNCTION("""COMPUTED_VALUE"""),"RANGKAPANJAYA BARU")</f>
        <v>RANGKAPANJAYA BARU</v>
      </c>
      <c r="O3157" s="35" t="str">
        <f>IFERROR(__xludf.DUMMYFUNCTION("""COMPUTED_VALUE"""),"PANCORANMAS")</f>
        <v>PANCORANMAS</v>
      </c>
      <c r="P3157" s="35" t="str">
        <f>IFERROR(__xludf.DUMMYFUNCTION("""COMPUTED_VALUE"""),"DEPOK")</f>
        <v>DEPOK</v>
      </c>
      <c r="Q3157" s="35" t="str">
        <f>IFERROR(__xludf.DUMMYFUNCTION("""COMPUTED_VALUE"""),"JAWA BARAT")</f>
        <v>JAWA BARAT</v>
      </c>
      <c r="R3157" s="21" t="str">
        <f>IFERROR(__xludf.DUMMYFUNCTION("""COMPUTED_VALUE"""),"ISLAM")</f>
        <v>ISLAM</v>
      </c>
      <c r="S3157" s="74" t="str">
        <f>IFERROR(__xludf.DUMMYFUNCTION("""COMPUTED_VALUE"""),"ASN")</f>
        <v>ASN</v>
      </c>
      <c r="T3157" s="35" t="str">
        <f>IFERROR(__xludf.DUMMYFUNCTION("""COMPUTED_VALUE"""),"LUTUT SAKIT MENJALAN SAMPE PINGGANG")</f>
        <v>LUTUT SAKIT MENJALAN SAMPE PINGGANG</v>
      </c>
      <c r="U3157" s="35" t="str">
        <f>IFERROR(__xludf.DUMMYFUNCTION("""COMPUTED_VALUE"""),"TENIS")</f>
        <v>TENIS</v>
      </c>
      <c r="V3157" s="37" t="str">
        <f>IFERROR(__xludf.DUMMYFUNCTION("""COMPUTED_VALUE"""),"082114867895")</f>
        <v>082114867895</v>
      </c>
      <c r="W3157" s="45"/>
    </row>
    <row r="3158">
      <c r="A3158" s="45"/>
      <c r="B3158" s="24" t="str">
        <f>IFERROR(__xludf.DUMMYFUNCTION("""COMPUTED_VALUE"""),"07/12/2025 11:15:49")</f>
        <v>07/12/2025 11:15:49</v>
      </c>
      <c r="C3158" s="35"/>
      <c r="D3158" s="10">
        <f>IFERROR(__xludf.DUMMYFUNCTION("""COMPUTED_VALUE"""),45998.0)</f>
        <v>45998</v>
      </c>
      <c r="E3158" s="35" t="str">
        <f>IFERROR(__xludf.DUMMYFUNCTION("""COMPUTED_VALUE"""),"12Des")</f>
        <v>12Des</v>
      </c>
      <c r="F3158" s="34" t="str">
        <f>IFERROR(__xludf.DUMMYFUNCTION("""COMPUTED_VALUE"""),"2025")</f>
        <v>2025</v>
      </c>
      <c r="G3158" s="35" t="str">
        <f>IFERROR(__xludf.DUMMYFUNCTION("""COMPUTED_VALUE"""),"NIKEN PASKALIA")</f>
        <v>NIKEN PASKALIA</v>
      </c>
      <c r="H3158" s="35" t="str">
        <f>IFERROR(__xludf.DUMMYFUNCTION("""COMPUTED_VALUE"""),"N9125121100")</f>
        <v>N9125121100</v>
      </c>
      <c r="I3158" s="35">
        <f>IFERROR(__xludf.DUMMYFUNCTION("""COMPUTED_VALUE"""),35.0)</f>
        <v>35</v>
      </c>
      <c r="J3158" s="35" t="str">
        <f>IFERROR(__xludf.DUMMYFUNCTION("""COMPUTED_VALUE"""),"35-44 tahun")</f>
        <v>35-44 tahun</v>
      </c>
      <c r="K3158" s="21" t="str">
        <f>IFERROR(__xludf.DUMMYFUNCTION("""COMPUTED_VALUE"""),"30/03/1991")</f>
        <v>30/03/1991</v>
      </c>
      <c r="L3158" s="21" t="str">
        <f>IFERROR(__xludf.DUMMYFUNCTION("""COMPUTED_VALUE"""),"PEREMPUAN")</f>
        <v>PEREMPUAN</v>
      </c>
      <c r="M3158" s="35" t="str">
        <f>IFERROR(__xludf.DUMMYFUNCTION("""COMPUTED_VALUE"""),"JALAN ADISUCIPTO KM 7.4")</f>
        <v>JALAN ADISUCIPTO KM 7.4</v>
      </c>
      <c r="N3158" s="35" t="str">
        <f>IFERROR(__xludf.DUMMYFUNCTION("""COMPUTED_VALUE"""),"SUNGAI RAYA")</f>
        <v>SUNGAI RAYA</v>
      </c>
      <c r="O3158" s="35" t="str">
        <f>IFERROR(__xludf.DUMMYFUNCTION("""COMPUTED_VALUE"""),"SUNGAI RAYA")</f>
        <v>SUNGAI RAYA</v>
      </c>
      <c r="P3158" s="35" t="str">
        <f>IFERROR(__xludf.DUMMYFUNCTION("""COMPUTED_VALUE"""),"KUBU RAYA")</f>
        <v>KUBU RAYA</v>
      </c>
      <c r="Q3158" s="35" t="str">
        <f>IFERROR(__xludf.DUMMYFUNCTION("""COMPUTED_VALUE"""),"KALIMANTAN BARAT")</f>
        <v>KALIMANTAN BARAT</v>
      </c>
      <c r="R3158" s="21" t="str">
        <f>IFERROR(__xludf.DUMMYFUNCTION("""COMPUTED_VALUE"""),"KATOLIK")</f>
        <v>KATOLIK</v>
      </c>
      <c r="S3158" s="74" t="str">
        <f>IFERROR(__xludf.DUMMYFUNCTION("""COMPUTED_VALUE"""),"WIRASWASTA")</f>
        <v>WIRASWASTA</v>
      </c>
      <c r="T3158" s="35" t="str">
        <f>IFERROR(__xludf.DUMMYFUNCTION("""COMPUTED_VALUE"""),"SAKIT PERGELANGAN TANGAN KANAN")</f>
        <v>SAKIT PERGELANGAN TANGAN KANAN</v>
      </c>
      <c r="U3158" s="35" t="str">
        <f>IFERROR(__xludf.DUMMYFUNCTION("""COMPUTED_VALUE"""),"MAIN PADEL")</f>
        <v>MAIN PADEL</v>
      </c>
      <c r="V3158" s="37" t="str">
        <f>IFERROR(__xludf.DUMMYFUNCTION("""COMPUTED_VALUE"""),"081299021100")</f>
        <v>081299021100</v>
      </c>
      <c r="W3158" s="45"/>
    </row>
    <row r="3159">
      <c r="A3159" s="45"/>
      <c r="B3159" s="24" t="str">
        <f>IFERROR(__xludf.DUMMYFUNCTION("""COMPUTED_VALUE"""),"06/12/2025 17:17:52")</f>
        <v>06/12/2025 17:17:52</v>
      </c>
      <c r="C3159" s="35"/>
      <c r="D3159" s="10">
        <f>IFERROR(__xludf.DUMMYFUNCTION("""COMPUTED_VALUE"""),45998.0)</f>
        <v>45998</v>
      </c>
      <c r="E3159" s="35" t="str">
        <f>IFERROR(__xludf.DUMMYFUNCTION("""COMPUTED_VALUE"""),"12Des")</f>
        <v>12Des</v>
      </c>
      <c r="F3159" s="34" t="str">
        <f>IFERROR(__xludf.DUMMYFUNCTION("""COMPUTED_VALUE"""),"2025")</f>
        <v>2025</v>
      </c>
      <c r="G3159" s="35" t="str">
        <f>IFERROR(__xludf.DUMMYFUNCTION("""COMPUTED_VALUE"""),"SUSANTI 7401")</f>
        <v>SUSANTI 7401</v>
      </c>
      <c r="H3159" s="35" t="str">
        <f>IFERROR(__xludf.DUMMYFUNCTION("""COMPUTED_VALUE"""),"S7425124817")</f>
        <v>S7425124817</v>
      </c>
      <c r="I3159" s="35">
        <f>IFERROR(__xludf.DUMMYFUNCTION("""COMPUTED_VALUE"""),51.0)</f>
        <v>51</v>
      </c>
      <c r="J3159" s="35" t="str">
        <f>IFERROR(__xludf.DUMMYFUNCTION("""COMPUTED_VALUE"""),"&gt; 44 tahun")</f>
        <v>&gt; 44 tahun</v>
      </c>
      <c r="K3159" s="21" t="str">
        <f>IFERROR(__xludf.DUMMYFUNCTION("""COMPUTED_VALUE"""),"01/11/1974")</f>
        <v>01/11/1974</v>
      </c>
      <c r="L3159" s="21" t="str">
        <f>IFERROR(__xludf.DUMMYFUNCTION("""COMPUTED_VALUE"""),"PEREMPUAN")</f>
        <v>PEREMPUAN</v>
      </c>
      <c r="M3159" s="35" t="str">
        <f>IFERROR(__xludf.DUMMYFUNCTION("""COMPUTED_VALUE"""),"JL. KARET . KOMP. KARET PERMATA KHATULISTIWA NO.D16")</f>
        <v>JL. KARET . KOMP. KARET PERMATA KHATULISTIWA NO.D16</v>
      </c>
      <c r="N3159" s="35" t="str">
        <f>IFERROR(__xludf.DUMMYFUNCTION("""COMPUTED_VALUE"""),"SUNGAI BELIUNG")</f>
        <v>SUNGAI BELIUNG</v>
      </c>
      <c r="O3159" s="35" t="str">
        <f>IFERROR(__xludf.DUMMYFUNCTION("""COMPUTED_VALUE"""),"PONTIANAK BARAT")</f>
        <v>PONTIANAK BARAT</v>
      </c>
      <c r="P3159" s="35" t="str">
        <f>IFERROR(__xludf.DUMMYFUNCTION("""COMPUTED_VALUE"""),"KOTA PONTIANAK")</f>
        <v>KOTA PONTIANAK</v>
      </c>
      <c r="Q3159" s="35" t="str">
        <f>IFERROR(__xludf.DUMMYFUNCTION("""COMPUTED_VALUE"""),"KALIMANTAN BARAT")</f>
        <v>KALIMANTAN BARAT</v>
      </c>
      <c r="R3159" s="21" t="str">
        <f>IFERROR(__xludf.DUMMYFUNCTION("""COMPUTED_VALUE"""),"ISLAM")</f>
        <v>ISLAM</v>
      </c>
      <c r="S3159" s="74" t="str">
        <f>IFERROR(__xludf.DUMMYFUNCTION("""COMPUTED_VALUE"""),"IRT")</f>
        <v>IRT</v>
      </c>
      <c r="T3159" s="35" t="str">
        <f>IFERROR(__xludf.DUMMYFUNCTION("""COMPUTED_VALUE"""),"SAKIT KAKI")</f>
        <v>SAKIT KAKI</v>
      </c>
      <c r="U3159" s="35" t="str">
        <f>IFERROR(__xludf.DUMMYFUNCTION("""COMPUTED_VALUE"""),"JUALAN")</f>
        <v>JUALAN</v>
      </c>
      <c r="V3159" s="37" t="str">
        <f>IFERROR(__xludf.DUMMYFUNCTION("""COMPUTED_VALUE"""),"0895323814817")</f>
        <v>0895323814817</v>
      </c>
      <c r="W3159" s="45"/>
    </row>
    <row r="3160">
      <c r="A3160" s="45"/>
      <c r="B3160" s="24" t="str">
        <f>IFERROR(__xludf.DUMMYFUNCTION("""COMPUTED_VALUE"""),"07/12/2025 11:07:58")</f>
        <v>07/12/2025 11:07:58</v>
      </c>
      <c r="C3160" s="35"/>
      <c r="D3160" s="10">
        <f>IFERROR(__xludf.DUMMYFUNCTION("""COMPUTED_VALUE"""),45998.0)</f>
        <v>45998</v>
      </c>
      <c r="E3160" s="35" t="str">
        <f>IFERROR(__xludf.DUMMYFUNCTION("""COMPUTED_VALUE"""),"12Des")</f>
        <v>12Des</v>
      </c>
      <c r="F3160" s="34" t="str">
        <f>IFERROR(__xludf.DUMMYFUNCTION("""COMPUTED_VALUE"""),"2025")</f>
        <v>2025</v>
      </c>
      <c r="G3160" s="35" t="str">
        <f>IFERROR(__xludf.DUMMYFUNCTION("""COMPUTED_VALUE"""),"BANU AJI NUGROHO")</f>
        <v>BANU AJI NUGROHO</v>
      </c>
      <c r="H3160" s="35" t="str">
        <f>IFERROR(__xludf.DUMMYFUNCTION("""COMPUTED_VALUE"""),"B0025121417")</f>
        <v>B0025121417</v>
      </c>
      <c r="I3160" s="35">
        <f>IFERROR(__xludf.DUMMYFUNCTION("""COMPUTED_VALUE"""),25.0)</f>
        <v>25</v>
      </c>
      <c r="J3160" s="35" t="str">
        <f>IFERROR(__xludf.DUMMYFUNCTION("""COMPUTED_VALUE"""),"25-34 tahun")</f>
        <v>25-34 tahun</v>
      </c>
      <c r="K3160" s="21" t="str">
        <f>IFERROR(__xludf.DUMMYFUNCTION("""COMPUTED_VALUE"""),"21/11/2000")</f>
        <v>21/11/2000</v>
      </c>
      <c r="L3160" s="21" t="str">
        <f>IFERROR(__xludf.DUMMYFUNCTION("""COMPUTED_VALUE"""),"LAKI-LAKI")</f>
        <v>LAKI-LAKI</v>
      </c>
      <c r="M3160" s="35" t="str">
        <f>IFERROR(__xludf.DUMMYFUNCTION("""COMPUTED_VALUE"""),"SAMIRONO CT VI/035, RT 04 RW 02")</f>
        <v>SAMIRONO CT VI/035, RT 04 RW 02</v>
      </c>
      <c r="N3160" s="35" t="str">
        <f>IFERROR(__xludf.DUMMYFUNCTION("""COMPUTED_VALUE"""),"CATURTUNGGAL")</f>
        <v>CATURTUNGGAL</v>
      </c>
      <c r="O3160" s="35" t="str">
        <f>IFERROR(__xludf.DUMMYFUNCTION("""COMPUTED_VALUE"""),"DEPOK")</f>
        <v>DEPOK</v>
      </c>
      <c r="P3160" s="35" t="str">
        <f>IFERROR(__xludf.DUMMYFUNCTION("""COMPUTED_VALUE"""),"SLEMAN")</f>
        <v>SLEMAN</v>
      </c>
      <c r="Q3160" s="35" t="str">
        <f>IFERROR(__xludf.DUMMYFUNCTION("""COMPUTED_VALUE"""),"DAERAH ISTIMEWA YOGYAKARTA")</f>
        <v>DAERAH ISTIMEWA YOGYAKARTA</v>
      </c>
      <c r="R3160" s="21" t="str">
        <f>IFERROR(__xludf.DUMMYFUNCTION("""COMPUTED_VALUE"""),"ISLAM")</f>
        <v>ISLAM</v>
      </c>
      <c r="S3160" s="74" t="str">
        <f>IFERROR(__xludf.DUMMYFUNCTION("""COMPUTED_VALUE"""),"PEGAWAI")</f>
        <v>PEGAWAI</v>
      </c>
      <c r="T3160" s="35" t="str">
        <f>IFERROR(__xludf.DUMMYFUNCTION("""COMPUTED_VALUE"""),"SAKIT PADA KAKI SEBELAH KIRI SETELAH TENIS")</f>
        <v>SAKIT PADA KAKI SEBELAH KIRI SETELAH TENIS</v>
      </c>
      <c r="U3160" s="35" t="str">
        <f>IFERROR(__xludf.DUMMYFUNCTION("""COMPUTED_VALUE"""),"TENIS")</f>
        <v>TENIS</v>
      </c>
      <c r="V3160" s="37" t="str">
        <f>IFERROR(__xludf.DUMMYFUNCTION("""COMPUTED_VALUE"""),"085643901417")</f>
        <v>085643901417</v>
      </c>
      <c r="W3160" s="45"/>
    </row>
    <row r="3161">
      <c r="A3161" s="45"/>
      <c r="B3161" s="24" t="str">
        <f>IFERROR(__xludf.DUMMYFUNCTION("""COMPUTED_VALUE"""),"07/12/2025 11:24:33")</f>
        <v>07/12/2025 11:24:33</v>
      </c>
      <c r="C3161" s="35"/>
      <c r="D3161" s="10">
        <f>IFERROR(__xludf.DUMMYFUNCTION("""COMPUTED_VALUE"""),45998.0)</f>
        <v>45998</v>
      </c>
      <c r="E3161" s="35" t="str">
        <f>IFERROR(__xludf.DUMMYFUNCTION("""COMPUTED_VALUE"""),"12Des")</f>
        <v>12Des</v>
      </c>
      <c r="F3161" s="34" t="str">
        <f>IFERROR(__xludf.DUMMYFUNCTION("""COMPUTED_VALUE"""),"2025")</f>
        <v>2025</v>
      </c>
      <c r="G3161" s="35" t="str">
        <f>IFERROR(__xludf.DUMMYFUNCTION("""COMPUTED_VALUE"""),"ADAM DAMIRI")</f>
        <v>ADAM DAMIRI</v>
      </c>
      <c r="H3161" s="35" t="str">
        <f>IFERROR(__xludf.DUMMYFUNCTION("""COMPUTED_VALUE"""),"A9825122289")</f>
        <v>A9825122289</v>
      </c>
      <c r="I3161" s="35">
        <f>IFERROR(__xludf.DUMMYFUNCTION("""COMPUTED_VALUE"""),28.0)</f>
        <v>28</v>
      </c>
      <c r="J3161" s="35" t="str">
        <f>IFERROR(__xludf.DUMMYFUNCTION("""COMPUTED_VALUE"""),"25-34 tahun")</f>
        <v>25-34 tahun</v>
      </c>
      <c r="K3161" s="21" t="str">
        <f>IFERROR(__xludf.DUMMYFUNCTION("""COMPUTED_VALUE"""),"25/03/1998")</f>
        <v>25/03/1998</v>
      </c>
      <c r="L3161" s="21" t="str">
        <f>IFERROR(__xludf.DUMMYFUNCTION("""COMPUTED_VALUE"""),"LAKI-LAKI")</f>
        <v>LAKI-LAKI</v>
      </c>
      <c r="M3161" s="35" t="str">
        <f>IFERROR(__xludf.DUMMYFUNCTION("""COMPUTED_VALUE"""),"JL. ADISUCIPTO KM. 15,7")</f>
        <v>JL. ADISUCIPTO KM. 15,7</v>
      </c>
      <c r="N3161" s="35" t="str">
        <f>IFERROR(__xludf.DUMMYFUNCTION("""COMPUTED_VALUE"""),"LIMBUNG")</f>
        <v>LIMBUNG</v>
      </c>
      <c r="O3161" s="35" t="str">
        <f>IFERROR(__xludf.DUMMYFUNCTION("""COMPUTED_VALUE"""),"SUNGAI RAYA")</f>
        <v>SUNGAI RAYA</v>
      </c>
      <c r="P3161" s="35" t="str">
        <f>IFERROR(__xludf.DUMMYFUNCTION("""COMPUTED_VALUE"""),"KUBU RAYA")</f>
        <v>KUBU RAYA</v>
      </c>
      <c r="Q3161" s="35" t="str">
        <f>IFERROR(__xludf.DUMMYFUNCTION("""COMPUTED_VALUE"""),"KALIMANTAN BARAT")</f>
        <v>KALIMANTAN BARAT</v>
      </c>
      <c r="R3161" s="21" t="str">
        <f>IFERROR(__xludf.DUMMYFUNCTION("""COMPUTED_VALUE"""),"ISLAM")</f>
        <v>ISLAM</v>
      </c>
      <c r="S3161" s="74" t="str">
        <f>IFERROR(__xludf.DUMMYFUNCTION("""COMPUTED_VALUE"""),"DI BANDARA")</f>
        <v>DI BANDARA</v>
      </c>
      <c r="T3161" s="35" t="str">
        <f>IFERROR(__xludf.DUMMYFUNCTION("""COMPUTED_VALUE"""),"PINGGANG SAKIT NYERI SETELAH ANGKAT BEBAN, ENKLE KAKI NYERI KIRI KANAN SUDAH LAMA, DI PERGELANGAN TANGAN KIRI KANAN NYERI AKIBAT ANGKAT BEBAN,JEMPO TANGAN KIRI KESELEO")</f>
        <v>PINGGANG SAKIT NYERI SETELAH ANGKAT BEBAN, ENKLE KAKI NYERI KIRI KANAN SUDAH LAMA, DI PERGELANGAN TANGAN KIRI KANAN NYERI AKIBAT ANGKAT BEBAN,JEMPO TANGAN KIRI KESELEO</v>
      </c>
      <c r="U3161" s="35" t="str">
        <f>IFERROR(__xludf.DUMMYFUNCTION("""COMPUTED_VALUE"""),"GYM, JOGGING, SEPAK BOLA")</f>
        <v>GYM, JOGGING, SEPAK BOLA</v>
      </c>
      <c r="V3161" s="37" t="str">
        <f>IFERROR(__xludf.DUMMYFUNCTION("""COMPUTED_VALUE"""),"081286122289")</f>
        <v>081286122289</v>
      </c>
      <c r="W3161" s="45"/>
    </row>
    <row r="3162">
      <c r="A3162" s="45"/>
      <c r="B3162" s="24" t="str">
        <f>IFERROR(__xludf.DUMMYFUNCTION("""COMPUTED_VALUE"""),"07/12/2025 15:04:08")</f>
        <v>07/12/2025 15:04:08</v>
      </c>
      <c r="C3162" s="35"/>
      <c r="D3162" s="10">
        <f>IFERROR(__xludf.DUMMYFUNCTION("""COMPUTED_VALUE"""),45998.0)</f>
        <v>45998</v>
      </c>
      <c r="E3162" s="35" t="str">
        <f>IFERROR(__xludf.DUMMYFUNCTION("""COMPUTED_VALUE"""),"12Des")</f>
        <v>12Des</v>
      </c>
      <c r="F3162" s="34" t="str">
        <f>IFERROR(__xludf.DUMMYFUNCTION("""COMPUTED_VALUE"""),"2025")</f>
        <v>2025</v>
      </c>
      <c r="G3162" s="35" t="str">
        <f>IFERROR(__xludf.DUMMYFUNCTION("""COMPUTED_VALUE"""),"URAY SHIEDQIE")</f>
        <v>URAY SHIEDQIE</v>
      </c>
      <c r="H3162" s="35" t="str">
        <f>IFERROR(__xludf.DUMMYFUNCTION("""COMPUTED_VALUE"""),"U6125123244")</f>
        <v>U6125123244</v>
      </c>
      <c r="I3162" s="35">
        <f>IFERROR(__xludf.DUMMYFUNCTION("""COMPUTED_VALUE"""),65.0)</f>
        <v>65</v>
      </c>
      <c r="J3162" s="35" t="str">
        <f>IFERROR(__xludf.DUMMYFUNCTION("""COMPUTED_VALUE"""),"&gt; 44 tahun")</f>
        <v>&gt; 44 tahun</v>
      </c>
      <c r="K3162" s="21" t="str">
        <f>IFERROR(__xludf.DUMMYFUNCTION("""COMPUTED_VALUE"""),"07/04/1961")</f>
        <v>07/04/1961</v>
      </c>
      <c r="L3162" s="21" t="str">
        <f>IFERROR(__xludf.DUMMYFUNCTION("""COMPUTED_VALUE"""),"LAKI-LAKI")</f>
        <v>LAKI-LAKI</v>
      </c>
      <c r="M3162" s="35" t="str">
        <f>IFERROR(__xludf.DUMMYFUNCTION("""COMPUTED_VALUE"""),"JL P HAJI HUSIN 2 GANG IMIGRASI")</f>
        <v>JL P HAJI HUSIN 2 GANG IMIGRASI</v>
      </c>
      <c r="N3162" s="35" t="str">
        <f>IFERROR(__xludf.DUMMYFUNCTION("""COMPUTED_VALUE"""),"BANSIR DARAT")</f>
        <v>BANSIR DARAT</v>
      </c>
      <c r="O3162" s="35" t="str">
        <f>IFERROR(__xludf.DUMMYFUNCTION("""COMPUTED_VALUE"""),"PONTIANAK TENGGARA")</f>
        <v>PONTIANAK TENGGARA</v>
      </c>
      <c r="P3162" s="35" t="str">
        <f>IFERROR(__xludf.DUMMYFUNCTION("""COMPUTED_VALUE"""),"PONTIANAK")</f>
        <v>PONTIANAK</v>
      </c>
      <c r="Q3162" s="35" t="str">
        <f>IFERROR(__xludf.DUMMYFUNCTION("""COMPUTED_VALUE"""),"KALIMANTAN BARAT")</f>
        <v>KALIMANTAN BARAT</v>
      </c>
      <c r="R3162" s="21" t="str">
        <f>IFERROR(__xludf.DUMMYFUNCTION("""COMPUTED_VALUE"""),"ISLAM")</f>
        <v>ISLAM</v>
      </c>
      <c r="S3162" s="74" t="str">
        <f>IFERROR(__xludf.DUMMYFUNCTION("""COMPUTED_VALUE"""),"PENSIUNAN")</f>
        <v>PENSIUNAN</v>
      </c>
      <c r="T3162" s="35" t="str">
        <f>IFERROR(__xludf.DUMMYFUNCTION("""COMPUTED_VALUE"""),"PINGGANG")</f>
        <v>PINGGANG</v>
      </c>
      <c r="U3162" s="35" t="str">
        <f>IFERROR(__xludf.DUMMYFUNCTION("""COMPUTED_VALUE"""),"JOGING")</f>
        <v>JOGING</v>
      </c>
      <c r="V3162" s="37" t="str">
        <f>IFERROR(__xludf.DUMMYFUNCTION("""COMPUTED_VALUE"""),"08125733244")</f>
        <v>08125733244</v>
      </c>
      <c r="W3162" s="45"/>
    </row>
    <row r="3163">
      <c r="A3163" s="45"/>
      <c r="B3163" s="24" t="str">
        <f>IFERROR(__xludf.DUMMYFUNCTION("""COMPUTED_VALUE"""),"06/12/2025 14:47:56")</f>
        <v>06/12/2025 14:47:56</v>
      </c>
      <c r="C3163" s="35"/>
      <c r="D3163" s="10">
        <f>IFERROR(__xludf.DUMMYFUNCTION("""COMPUTED_VALUE"""),45998.0)</f>
        <v>45998</v>
      </c>
      <c r="E3163" s="35" t="str">
        <f>IFERROR(__xludf.DUMMYFUNCTION("""COMPUTED_VALUE"""),"12Des")</f>
        <v>12Des</v>
      </c>
      <c r="F3163" s="34" t="str">
        <f>IFERROR(__xludf.DUMMYFUNCTION("""COMPUTED_VALUE"""),"2025")</f>
        <v>2025</v>
      </c>
      <c r="G3163" s="35" t="str">
        <f>IFERROR(__xludf.DUMMYFUNCTION("""COMPUTED_VALUE"""),"GRACIA SHERLYTTA VALENSIA")</f>
        <v>GRACIA SHERLYTTA VALENSIA</v>
      </c>
      <c r="H3163" s="35" t="str">
        <f>IFERROR(__xludf.DUMMYFUNCTION("""COMPUTED_VALUE"""),"G0225127027")</f>
        <v>G0225127027</v>
      </c>
      <c r="I3163" s="35">
        <f>IFERROR(__xludf.DUMMYFUNCTION("""COMPUTED_VALUE"""),23.0)</f>
        <v>23</v>
      </c>
      <c r="J3163" s="35" t="str">
        <f>IFERROR(__xludf.DUMMYFUNCTION("""COMPUTED_VALUE"""),"18-24 tahun")</f>
        <v>18-24 tahun</v>
      </c>
      <c r="K3163" s="21" t="str">
        <f>IFERROR(__xludf.DUMMYFUNCTION("""COMPUTED_VALUE"""),"03/12/2002")</f>
        <v>03/12/2002</v>
      </c>
      <c r="L3163" s="21" t="str">
        <f>IFERROR(__xludf.DUMMYFUNCTION("""COMPUTED_VALUE"""),"PEREMPUAN")</f>
        <v>PEREMPUAN</v>
      </c>
      <c r="M3163" s="35" t="str">
        <f>IFERROR(__xludf.DUMMYFUNCTION("""COMPUTED_VALUE"""),"KOMP. PONTI AGUNG PERMAI II NO. 12")</f>
        <v>KOMP. PONTI AGUNG PERMAI II NO. 12</v>
      </c>
      <c r="N3163" s="35" t="str">
        <f>IFERROR(__xludf.DUMMYFUNCTION("""COMPUTED_VALUE"""),"TELUK KAPUAS")</f>
        <v>TELUK KAPUAS</v>
      </c>
      <c r="O3163" s="35" t="str">
        <f>IFERROR(__xludf.DUMMYFUNCTION("""COMPUTED_VALUE"""),"SUNGAI RAYA")</f>
        <v>SUNGAI RAYA</v>
      </c>
      <c r="P3163" s="35" t="str">
        <f>IFERROR(__xludf.DUMMYFUNCTION("""COMPUTED_VALUE"""),"KUBU RAYA")</f>
        <v>KUBU RAYA</v>
      </c>
      <c r="Q3163" s="35" t="str">
        <f>IFERROR(__xludf.DUMMYFUNCTION("""COMPUTED_VALUE"""),"KALIMANTAN BARAT")</f>
        <v>KALIMANTAN BARAT</v>
      </c>
      <c r="R3163" s="21" t="str">
        <f>IFERROR(__xludf.DUMMYFUNCTION("""COMPUTED_VALUE"""),"BUDDHA")</f>
        <v>BUDDHA</v>
      </c>
      <c r="S3163" s="74" t="str">
        <f>IFERROR(__xludf.DUMMYFUNCTION("""COMPUTED_VALUE"""),"KARYAWAN SWASTA")</f>
        <v>KARYAWAN SWASTA</v>
      </c>
      <c r="T3163" s="35" t="str">
        <f>IFERROR(__xludf.DUMMYFUNCTION("""COMPUTED_VALUE"""),"INGIN CEK SKOLIOSIS")</f>
        <v>INGIN CEK SKOLIOSIS</v>
      </c>
      <c r="U3163" s="35" t="str">
        <f>IFERROR(__xludf.DUMMYFUNCTION("""COMPUTED_VALUE"""),"KERJA DAN OLAHRAGA (GYM)")</f>
        <v>KERJA DAN OLAHRAGA (GYM)</v>
      </c>
      <c r="V3163" s="37" t="str">
        <f>IFERROR(__xludf.DUMMYFUNCTION("""COMPUTED_VALUE"""),"082157547027")</f>
        <v>082157547027</v>
      </c>
      <c r="W3163" s="45"/>
    </row>
    <row r="3164">
      <c r="A3164" s="45"/>
      <c r="B3164" s="24" t="str">
        <f>IFERROR(__xludf.DUMMYFUNCTION("""COMPUTED_VALUE"""),"07/12/2025 19:29:14")</f>
        <v>07/12/2025 19:29:14</v>
      </c>
      <c r="C3164" s="35"/>
      <c r="D3164" s="10">
        <f>IFERROR(__xludf.DUMMYFUNCTION("""COMPUTED_VALUE"""),45998.0)</f>
        <v>45998</v>
      </c>
      <c r="E3164" s="35" t="str">
        <f>IFERROR(__xludf.DUMMYFUNCTION("""COMPUTED_VALUE"""),"12Des")</f>
        <v>12Des</v>
      </c>
      <c r="F3164" s="34" t="str">
        <f>IFERROR(__xludf.DUMMYFUNCTION("""COMPUTED_VALUE"""),"2025")</f>
        <v>2025</v>
      </c>
      <c r="G3164" s="35" t="str">
        <f>IFERROR(__xludf.DUMMYFUNCTION("""COMPUTED_VALUE"""),"KRIS YOGI DWI PUTRA SIBARANI")</f>
        <v>KRIS YOGI DWI PUTRA SIBARANI</v>
      </c>
      <c r="H3164" s="35" t="str">
        <f>IFERROR(__xludf.DUMMYFUNCTION("""COMPUTED_VALUE"""),"K8825128215")</f>
        <v>K8825128215</v>
      </c>
      <c r="I3164" s="35">
        <f>IFERROR(__xludf.DUMMYFUNCTION("""COMPUTED_VALUE"""),37.0)</f>
        <v>37</v>
      </c>
      <c r="J3164" s="35" t="str">
        <f>IFERROR(__xludf.DUMMYFUNCTION("""COMPUTED_VALUE"""),"35-44 tahun")</f>
        <v>35-44 tahun</v>
      </c>
      <c r="K3164" s="21" t="str">
        <f>IFERROR(__xludf.DUMMYFUNCTION("""COMPUTED_VALUE"""),"21/12/1988")</f>
        <v>21/12/1988</v>
      </c>
      <c r="L3164" s="21" t="str">
        <f>IFERROR(__xludf.DUMMYFUNCTION("""COMPUTED_VALUE"""),"LAKI-LAKI")</f>
        <v>LAKI-LAKI</v>
      </c>
      <c r="M3164" s="35" t="str">
        <f>IFERROR(__xludf.DUMMYFUNCTION("""COMPUTED_VALUE"""),"JL. DR SUTOMO GG SARIKATON DALAM 4 NO 18")</f>
        <v>JL. DR SUTOMO GG SARIKATON DALAM 4 NO 18</v>
      </c>
      <c r="N3164" s="35" t="str">
        <f>IFERROR(__xludf.DUMMYFUNCTION("""COMPUTED_VALUE"""),"SUNGAI BANGKONG")</f>
        <v>SUNGAI BANGKONG</v>
      </c>
      <c r="O3164" s="35" t="str">
        <f>IFERROR(__xludf.DUMMYFUNCTION("""COMPUTED_VALUE"""),"PONTIANAK KOTA")</f>
        <v>PONTIANAK KOTA</v>
      </c>
      <c r="P3164" s="35" t="str">
        <f>IFERROR(__xludf.DUMMYFUNCTION("""COMPUTED_VALUE"""),"PONTIANAK")</f>
        <v>PONTIANAK</v>
      </c>
      <c r="Q3164" s="35" t="str">
        <f>IFERROR(__xludf.DUMMYFUNCTION("""COMPUTED_VALUE"""),"KALBAR")</f>
        <v>KALBAR</v>
      </c>
      <c r="R3164" s="21" t="str">
        <f>IFERROR(__xludf.DUMMYFUNCTION("""COMPUTED_VALUE"""),"PROTESTAN")</f>
        <v>PROTESTAN</v>
      </c>
      <c r="S3164" s="74" t="str">
        <f>IFERROR(__xludf.DUMMYFUNCTION("""COMPUTED_VALUE"""),"PNS")</f>
        <v>PNS</v>
      </c>
      <c r="T3164" s="35" t="str">
        <f>IFERROR(__xludf.DUMMYFUNCTION("""COMPUTED_VALUE"""),"CIDERA OTOT PAHA")</f>
        <v>CIDERA OTOT PAHA</v>
      </c>
      <c r="U3164" s="35" t="str">
        <f>IFERROR(__xludf.DUMMYFUNCTION("""COMPUTED_VALUE"""),"LARI DAN SEPAKBOLA")</f>
        <v>LARI DAN SEPAKBOLA</v>
      </c>
      <c r="V3164" s="37" t="str">
        <f>IFERROR(__xludf.DUMMYFUNCTION("""COMPUTED_VALUE"""),"082183898215")</f>
        <v>082183898215</v>
      </c>
      <c r="W3164" s="45"/>
    </row>
    <row r="3165">
      <c r="A3165" s="45"/>
      <c r="B3165" s="24" t="str">
        <f>IFERROR(__xludf.DUMMYFUNCTION("""COMPUTED_VALUE"""),"07/12/2025 20:47:55")</f>
        <v>07/12/2025 20:47:55</v>
      </c>
      <c r="C3165" s="35"/>
      <c r="D3165" s="10">
        <f>IFERROR(__xludf.DUMMYFUNCTION("""COMPUTED_VALUE"""),45998.0)</f>
        <v>45998</v>
      </c>
      <c r="E3165" s="35" t="str">
        <f>IFERROR(__xludf.DUMMYFUNCTION("""COMPUTED_VALUE"""),"12Des")</f>
        <v>12Des</v>
      </c>
      <c r="F3165" s="34" t="str">
        <f>IFERROR(__xludf.DUMMYFUNCTION("""COMPUTED_VALUE"""),"2025")</f>
        <v>2025</v>
      </c>
      <c r="G3165" s="35" t="str">
        <f>IFERROR(__xludf.DUMMYFUNCTION("""COMPUTED_VALUE"""),"ANGELINE OLIVIA")</f>
        <v>ANGELINE OLIVIA</v>
      </c>
      <c r="H3165" s="35" t="str">
        <f>IFERROR(__xludf.DUMMYFUNCTION("""COMPUTED_VALUE"""),"A0325126212")</f>
        <v>A0325126212</v>
      </c>
      <c r="I3165" s="35">
        <f>IFERROR(__xludf.DUMMYFUNCTION("""COMPUTED_VALUE"""),22.0)</f>
        <v>22</v>
      </c>
      <c r="J3165" s="35" t="str">
        <f>IFERROR(__xludf.DUMMYFUNCTION("""COMPUTED_VALUE"""),"18-24 tahun")</f>
        <v>18-24 tahun</v>
      </c>
      <c r="K3165" s="21" t="str">
        <f>IFERROR(__xludf.DUMMYFUNCTION("""COMPUTED_VALUE"""),"21/07/2003")</f>
        <v>21/07/2003</v>
      </c>
      <c r="L3165" s="21" t="str">
        <f>IFERROR(__xludf.DUMMYFUNCTION("""COMPUTED_VALUE"""),"PEREMPUAN")</f>
        <v>PEREMPUAN</v>
      </c>
      <c r="M3165" s="35" t="str">
        <f>IFERROR(__xludf.DUMMYFUNCTION("""COMPUTED_VALUE"""),"JL KOMYOS SUDARSO KOMP ALPOKAT PERMAI NO B 3")</f>
        <v>JL KOMYOS SUDARSO KOMP ALPOKAT PERMAI NO B 3</v>
      </c>
      <c r="N3165" s="35" t="str">
        <f>IFERROR(__xludf.DUMMYFUNCTION("""COMPUTED_VALUE"""),"SUNGAI BELIUNG")</f>
        <v>SUNGAI BELIUNG</v>
      </c>
      <c r="O3165" s="35" t="str">
        <f>IFERROR(__xludf.DUMMYFUNCTION("""COMPUTED_VALUE"""),"PONTIANAK BARAT")</f>
        <v>PONTIANAK BARAT</v>
      </c>
      <c r="P3165" s="35" t="str">
        <f>IFERROR(__xludf.DUMMYFUNCTION("""COMPUTED_VALUE"""),"PONTIANAK BARAT")</f>
        <v>PONTIANAK BARAT</v>
      </c>
      <c r="Q3165" s="35" t="str">
        <f>IFERROR(__xludf.DUMMYFUNCTION("""COMPUTED_VALUE"""),"KALIMANTAN BARAT")</f>
        <v>KALIMANTAN BARAT</v>
      </c>
      <c r="R3165" s="21" t="str">
        <f>IFERROR(__xludf.DUMMYFUNCTION("""COMPUTED_VALUE"""),"PROTESTAN")</f>
        <v>PROTESTAN</v>
      </c>
      <c r="S3165" s="74" t="str">
        <f>IFERROR(__xludf.DUMMYFUNCTION("""COMPUTED_VALUE"""),"SWASTA")</f>
        <v>SWASTA</v>
      </c>
      <c r="T3165" s="35" t="str">
        <f>IFERROR(__xludf.DUMMYFUNCTION("""COMPUTED_VALUE"""),"KEKNYA SKOLIOSIS")</f>
        <v>KEKNYA SKOLIOSIS</v>
      </c>
      <c r="U3165" s="35" t="str">
        <f>IFERROR(__xludf.DUMMYFUNCTION("""COMPUTED_VALUE"""),"ANGKAT BEBAN")</f>
        <v>ANGKAT BEBAN</v>
      </c>
      <c r="V3165" s="37" t="str">
        <f>IFERROR(__xludf.DUMMYFUNCTION("""COMPUTED_VALUE"""),"081241456212")</f>
        <v>081241456212</v>
      </c>
      <c r="W3165" s="45"/>
    </row>
    <row r="3166">
      <c r="A3166" s="45"/>
      <c r="B3166" s="35" t="str">
        <f>IFERROR(__xludf.DUMMYFUNCTION("""COMPUTED_VALUE"""),"08/12/2025 10:38:18")</f>
        <v>08/12/2025 10:38:18</v>
      </c>
      <c r="C3166" s="35"/>
      <c r="D3166" s="10">
        <f>IFERROR(__xludf.DUMMYFUNCTION("""COMPUTED_VALUE"""),45999.0)</f>
        <v>45999</v>
      </c>
      <c r="E3166" s="35" t="str">
        <f>IFERROR(__xludf.DUMMYFUNCTION("""COMPUTED_VALUE"""),"12Des")</f>
        <v>12Des</v>
      </c>
      <c r="F3166" s="35" t="str">
        <f>IFERROR(__xludf.DUMMYFUNCTION("""COMPUTED_VALUE"""),"2025")</f>
        <v>2025</v>
      </c>
      <c r="G3166" s="35" t="str">
        <f>IFERROR(__xludf.DUMMYFUNCTION("""COMPUTED_VALUE"""),"NUZUL NURWAHYUDDIN")</f>
        <v>NUZUL NURWAHYUDDIN</v>
      </c>
      <c r="H3166" s="35" t="str">
        <f>IFERROR(__xludf.DUMMYFUNCTION("""COMPUTED_VALUE"""),"N8325126783")</f>
        <v>N8325126783</v>
      </c>
      <c r="I3166" s="35">
        <f>IFERROR(__xludf.DUMMYFUNCTION("""COMPUTED_VALUE"""),42.0)</f>
        <v>42</v>
      </c>
      <c r="J3166" s="35" t="str">
        <f>IFERROR(__xludf.DUMMYFUNCTION("""COMPUTED_VALUE"""),"35-44 tahun")</f>
        <v>35-44 tahun</v>
      </c>
      <c r="K3166" s="35" t="str">
        <f>IFERROR(__xludf.DUMMYFUNCTION("""COMPUTED_VALUE"""),"06/07/1983")</f>
        <v>06/07/1983</v>
      </c>
      <c r="L3166" s="35" t="str">
        <f>IFERROR(__xludf.DUMMYFUNCTION("""COMPUTED_VALUE"""),"LAKI-LAKI")</f>
        <v>LAKI-LAKI</v>
      </c>
      <c r="M3166" s="35" t="str">
        <f>IFERROR(__xludf.DUMMYFUNCTION("""COMPUTED_VALUE"""),"JL. UJUNG PANDANG, KOMP THE GREEN VIEW C7")</f>
        <v>JL. UJUNG PANDANG, KOMP THE GREEN VIEW C7</v>
      </c>
      <c r="N3166" s="35" t="str">
        <f>IFERROR(__xludf.DUMMYFUNCTION("""COMPUTED_VALUE"""),"SUNGAI JAWI")</f>
        <v>SUNGAI JAWI</v>
      </c>
      <c r="O3166" s="35" t="str">
        <f>IFERROR(__xludf.DUMMYFUNCTION("""COMPUTED_VALUE"""),"PONTIANAK KOTA")</f>
        <v>PONTIANAK KOTA</v>
      </c>
      <c r="P3166" s="35" t="str">
        <f>IFERROR(__xludf.DUMMYFUNCTION("""COMPUTED_VALUE"""),"PONTIANAK")</f>
        <v>PONTIANAK</v>
      </c>
      <c r="Q3166" s="35" t="str">
        <f>IFERROR(__xludf.DUMMYFUNCTION("""COMPUTED_VALUE"""),"KALIMANTAN BARAT")</f>
        <v>KALIMANTAN BARAT</v>
      </c>
      <c r="R3166" s="35" t="str">
        <f>IFERROR(__xludf.DUMMYFUNCTION("""COMPUTED_VALUE"""),"ISLAM")</f>
        <v>ISLAM</v>
      </c>
      <c r="S3166" s="74" t="str">
        <f>IFERROR(__xludf.DUMMYFUNCTION("""COMPUTED_VALUE"""),"PEGAWAI SWASTA")</f>
        <v>PEGAWAI SWASTA</v>
      </c>
      <c r="T3166" s="35" t="str">
        <f>IFERROR(__xludf.DUMMYFUNCTION("""COMPUTED_VALUE"""),"NYERI LUTUT")</f>
        <v>NYERI LUTUT</v>
      </c>
      <c r="U3166" s="35" t="str">
        <f>IFERROR(__xludf.DUMMYFUNCTION("""COMPUTED_VALUE"""),"LARI, BADMINTON")</f>
        <v>LARI, BADMINTON</v>
      </c>
      <c r="V3166" s="35" t="str">
        <f>IFERROR(__xludf.DUMMYFUNCTION("""COMPUTED_VALUE"""),"081347096783")</f>
        <v>081347096783</v>
      </c>
      <c r="W3166" s="45"/>
    </row>
    <row r="3167">
      <c r="A3167" s="45"/>
      <c r="B3167" s="35" t="str">
        <f>IFERROR(__xludf.DUMMYFUNCTION("""COMPUTED_VALUE"""),"08/12/2025 20:34:36")</f>
        <v>08/12/2025 20:34:36</v>
      </c>
      <c r="C3167" s="35"/>
      <c r="D3167" s="10">
        <f>IFERROR(__xludf.DUMMYFUNCTION("""COMPUTED_VALUE"""),45999.0)</f>
        <v>45999</v>
      </c>
      <c r="E3167" s="35" t="str">
        <f>IFERROR(__xludf.DUMMYFUNCTION("""COMPUTED_VALUE"""),"12Des")</f>
        <v>12Des</v>
      </c>
      <c r="F3167" s="35" t="str">
        <f>IFERROR(__xludf.DUMMYFUNCTION("""COMPUTED_VALUE"""),"2025")</f>
        <v>2025</v>
      </c>
      <c r="G3167" s="35" t="str">
        <f>IFERROR(__xludf.DUMMYFUNCTION("""COMPUTED_VALUE"""),"NIKI TRIYANDI")</f>
        <v>NIKI TRIYANDI</v>
      </c>
      <c r="H3167" s="35" t="str">
        <f>IFERROR(__xludf.DUMMYFUNCTION("""COMPUTED_VALUE"""),"N8425122485")</f>
        <v>N8425122485</v>
      </c>
      <c r="I3167" s="35">
        <f>IFERROR(__xludf.DUMMYFUNCTION("""COMPUTED_VALUE"""),42.0)</f>
        <v>42</v>
      </c>
      <c r="J3167" s="35" t="str">
        <f>IFERROR(__xludf.DUMMYFUNCTION("""COMPUTED_VALUE"""),"35-44 tahun")</f>
        <v>35-44 tahun</v>
      </c>
      <c r="K3167" s="35" t="str">
        <f>IFERROR(__xludf.DUMMYFUNCTION("""COMPUTED_VALUE"""),"30/03/1984")</f>
        <v>30/03/1984</v>
      </c>
      <c r="L3167" s="35" t="str">
        <f>IFERROR(__xludf.DUMMYFUNCTION("""COMPUTED_VALUE"""),"LAKI-LAKI")</f>
        <v>LAKI-LAKI</v>
      </c>
      <c r="M3167" s="35" t="str">
        <f>IFERROR(__xludf.DUMMYFUNCTION("""COMPUTED_VALUE"""),"JL. PERDAMAIAN GG. MULIA")</f>
        <v>JL. PERDAMAIAN GG. MULIA</v>
      </c>
      <c r="N3167" s="35" t="str">
        <f>IFERROR(__xludf.DUMMYFUNCTION("""COMPUTED_VALUE"""),"PAL SEMBILAN")</f>
        <v>PAL SEMBILAN</v>
      </c>
      <c r="O3167" s="35" t="str">
        <f>IFERROR(__xludf.DUMMYFUNCTION("""COMPUTED_VALUE"""),"SUNGAI KAKAP")</f>
        <v>SUNGAI KAKAP</v>
      </c>
      <c r="P3167" s="35" t="str">
        <f>IFERROR(__xludf.DUMMYFUNCTION("""COMPUTED_VALUE"""),"PONTIANAK")</f>
        <v>PONTIANAK</v>
      </c>
      <c r="Q3167" s="35" t="str">
        <f>IFERROR(__xludf.DUMMYFUNCTION("""COMPUTED_VALUE"""),"KALIMANTAN BARAT")</f>
        <v>KALIMANTAN BARAT</v>
      </c>
      <c r="R3167" s="35" t="str">
        <f>IFERROR(__xludf.DUMMYFUNCTION("""COMPUTED_VALUE"""),"ISLAM")</f>
        <v>ISLAM</v>
      </c>
      <c r="S3167" s="74" t="str">
        <f>IFERROR(__xludf.DUMMYFUNCTION("""COMPUTED_VALUE"""),"WIRASAWATA")</f>
        <v>WIRASAWATA</v>
      </c>
      <c r="T3167" s="35" t="str">
        <f>IFERROR(__xludf.DUMMYFUNCTION("""COMPUTED_VALUE"""),"TULANG BELAKANG")</f>
        <v>TULANG BELAKANG</v>
      </c>
      <c r="U3167" s="35" t="str">
        <f>IFERROR(__xludf.DUMMYFUNCTION("""COMPUTED_VALUE"""),"-")</f>
        <v>-</v>
      </c>
      <c r="V3167" s="35" t="str">
        <f>IFERROR(__xludf.DUMMYFUNCTION("""COMPUTED_VALUE"""),"085750152485")</f>
        <v>085750152485</v>
      </c>
      <c r="W3167" s="45"/>
    </row>
    <row r="3168">
      <c r="A3168" s="45"/>
      <c r="B3168" s="35" t="str">
        <f>IFERROR(__xludf.DUMMYFUNCTION("""COMPUTED_VALUE"""),"09/12/2025 12:04:25")</f>
        <v>09/12/2025 12:04:25</v>
      </c>
      <c r="C3168" s="35"/>
      <c r="D3168" s="10">
        <f>IFERROR(__xludf.DUMMYFUNCTION("""COMPUTED_VALUE"""),46000.0)</f>
        <v>46000</v>
      </c>
      <c r="E3168" s="35" t="str">
        <f>IFERROR(__xludf.DUMMYFUNCTION("""COMPUTED_VALUE"""),"12Des")</f>
        <v>12Des</v>
      </c>
      <c r="F3168" s="35" t="str">
        <f>IFERROR(__xludf.DUMMYFUNCTION("""COMPUTED_VALUE"""),"2025")</f>
        <v>2025</v>
      </c>
      <c r="G3168" s="35" t="str">
        <f>IFERROR(__xludf.DUMMYFUNCTION("""COMPUTED_VALUE"""),"HARMI CAHYANI")</f>
        <v>HARMI CAHYANI</v>
      </c>
      <c r="H3168" s="35" t="str">
        <f>IFERROR(__xludf.DUMMYFUNCTION("""COMPUTED_VALUE"""),"H8525124000")</f>
        <v>H8525124000</v>
      </c>
      <c r="I3168" s="35">
        <f>IFERROR(__xludf.DUMMYFUNCTION("""COMPUTED_VALUE"""),41.0)</f>
        <v>41</v>
      </c>
      <c r="J3168" s="35" t="str">
        <f>IFERROR(__xludf.DUMMYFUNCTION("""COMPUTED_VALUE"""),"35-44 tahun")</f>
        <v>35-44 tahun</v>
      </c>
      <c r="K3168" s="35" t="str">
        <f>IFERROR(__xludf.DUMMYFUNCTION("""COMPUTED_VALUE"""),"01/05/1985")</f>
        <v>01/05/1985</v>
      </c>
      <c r="L3168" s="35" t="str">
        <f>IFERROR(__xludf.DUMMYFUNCTION("""COMPUTED_VALUE"""),"PEREMPUAN")</f>
        <v>PEREMPUAN</v>
      </c>
      <c r="M3168" s="35" t="str">
        <f>IFERROR(__xludf.DUMMYFUNCTION("""COMPUTED_VALUE"""),"JL. ADI SUCIPTO, BTN TELUK MULUS NO. A.11")</f>
        <v>JL. ADI SUCIPTO, BTN TELUK MULUS NO. A.11</v>
      </c>
      <c r="N3168" s="35" t="str">
        <f>IFERROR(__xludf.DUMMYFUNCTION("""COMPUTED_VALUE"""),"DESA TELUK KAPUAS")</f>
        <v>DESA TELUK KAPUAS</v>
      </c>
      <c r="O3168" s="35" t="str">
        <f>IFERROR(__xludf.DUMMYFUNCTION("""COMPUTED_VALUE"""),"KECAMATAN SUNGAI RAYA")</f>
        <v>KECAMATAN SUNGAI RAYA</v>
      </c>
      <c r="P3168" s="35" t="str">
        <f>IFERROR(__xludf.DUMMYFUNCTION("""COMPUTED_VALUE"""),"KABUPATEN KUBU RAYA")</f>
        <v>KABUPATEN KUBU RAYA</v>
      </c>
      <c r="Q3168" s="35" t="str">
        <f>IFERROR(__xludf.DUMMYFUNCTION("""COMPUTED_VALUE"""),"KALIMANTAN BARAT")</f>
        <v>KALIMANTAN BARAT</v>
      </c>
      <c r="R3168" s="35" t="str">
        <f>IFERROR(__xludf.DUMMYFUNCTION("""COMPUTED_VALUE"""),"ISLAM")</f>
        <v>ISLAM</v>
      </c>
      <c r="S3168" s="74" t="str">
        <f>IFERROR(__xludf.DUMMYFUNCTION("""COMPUTED_VALUE"""),"GURU")</f>
        <v>GURU</v>
      </c>
      <c r="T3168" s="35" t="str">
        <f>IFERROR(__xludf.DUMMYFUNCTION("""COMPUTED_VALUE"""),"SAKIT PINGGANG BELAKANG")</f>
        <v>SAKIT PINGGANG BELAKANG</v>
      </c>
      <c r="U3168" s="35" t="str">
        <f>IFERROR(__xludf.DUMMYFUNCTION("""COMPUTED_VALUE"""),"PERJALANAN JAUH PAKE MOTOR")</f>
        <v>PERJALANAN JAUH PAKE MOTOR</v>
      </c>
      <c r="V3168" s="35" t="str">
        <f>IFERROR(__xludf.DUMMYFUNCTION("""COMPUTED_VALUE"""),"085245224000")</f>
        <v>085245224000</v>
      </c>
      <c r="W3168" s="45"/>
    </row>
    <row r="3169">
      <c r="A3169" s="45"/>
      <c r="B3169" s="35" t="str">
        <f>IFERROR(__xludf.DUMMYFUNCTION("""COMPUTED_VALUE"""),"09/12/2025 14:38:20")</f>
        <v>09/12/2025 14:38:20</v>
      </c>
      <c r="C3169" s="35"/>
      <c r="D3169" s="10">
        <f>IFERROR(__xludf.DUMMYFUNCTION("""COMPUTED_VALUE"""),46000.0)</f>
        <v>46000</v>
      </c>
      <c r="E3169" s="35" t="str">
        <f>IFERROR(__xludf.DUMMYFUNCTION("""COMPUTED_VALUE"""),"12Des")</f>
        <v>12Des</v>
      </c>
      <c r="F3169" s="35" t="str">
        <f>IFERROR(__xludf.DUMMYFUNCTION("""COMPUTED_VALUE"""),"2025")</f>
        <v>2025</v>
      </c>
      <c r="G3169" s="35" t="str">
        <f>IFERROR(__xludf.DUMMYFUNCTION("""COMPUTED_VALUE"""),"ANDIKA HERMAWAN")</f>
        <v>ANDIKA HERMAWAN</v>
      </c>
      <c r="H3169" s="35" t="str">
        <f>IFERROR(__xludf.DUMMYFUNCTION("""COMPUTED_VALUE"""),"A0125120628")</f>
        <v>A0125120628</v>
      </c>
      <c r="I3169" s="35">
        <f>IFERROR(__xludf.DUMMYFUNCTION("""COMPUTED_VALUE"""),24.0)</f>
        <v>24</v>
      </c>
      <c r="J3169" s="35" t="str">
        <f>IFERROR(__xludf.DUMMYFUNCTION("""COMPUTED_VALUE"""),"18-24 tahun")</f>
        <v>18-24 tahun</v>
      </c>
      <c r="K3169" s="35" t="str">
        <f>IFERROR(__xludf.DUMMYFUNCTION("""COMPUTED_VALUE"""),"28/06/2001")</f>
        <v>28/06/2001</v>
      </c>
      <c r="L3169" s="35" t="str">
        <f>IFERROR(__xludf.DUMMYFUNCTION("""COMPUTED_VALUE"""),"LAKI-LAKI")</f>
        <v>LAKI-LAKI</v>
      </c>
      <c r="M3169" s="35" t="str">
        <f>IFERROR(__xludf.DUMMYFUNCTION("""COMPUTED_VALUE"""),"GG TANI RT 001 RW 002")</f>
        <v>GG TANI RT 001 RW 002</v>
      </c>
      <c r="N3169" s="35" t="str">
        <f>IFERROR(__xludf.DUMMYFUNCTION("""COMPUTED_VALUE"""),"DESA PENJAJAP")</f>
        <v>DESA PENJAJAP</v>
      </c>
      <c r="O3169" s="35" t="str">
        <f>IFERROR(__xludf.DUMMYFUNCTION("""COMPUTED_VALUE"""),"PEMANGKAT")</f>
        <v>PEMANGKAT</v>
      </c>
      <c r="P3169" s="35" t="str">
        <f>IFERROR(__xludf.DUMMYFUNCTION("""COMPUTED_VALUE"""),"SAMBAS")</f>
        <v>SAMBAS</v>
      </c>
      <c r="Q3169" s="35" t="str">
        <f>IFERROR(__xludf.DUMMYFUNCTION("""COMPUTED_VALUE"""),"KALIMANTAN BARAT")</f>
        <v>KALIMANTAN BARAT</v>
      </c>
      <c r="R3169" s="35" t="str">
        <f>IFERROR(__xludf.DUMMYFUNCTION("""COMPUTED_VALUE"""),"ISLAM")</f>
        <v>ISLAM</v>
      </c>
      <c r="S3169" s="74" t="str">
        <f>IFERROR(__xludf.DUMMYFUNCTION("""COMPUTED_VALUE"""),"POLRI")</f>
        <v>POLRI</v>
      </c>
      <c r="T3169" s="35" t="str">
        <f>IFERROR(__xludf.DUMMYFUNCTION("""COMPUTED_VALUE"""),"ANKLE")</f>
        <v>ANKLE</v>
      </c>
      <c r="U3169" s="35" t="str">
        <f>IFERROR(__xludf.DUMMYFUNCTION("""COMPUTED_VALUE"""),".")</f>
        <v>.</v>
      </c>
      <c r="V3169" s="35" t="str">
        <f>IFERROR(__xludf.DUMMYFUNCTION("""COMPUTED_VALUE"""),"081220010628")</f>
        <v>081220010628</v>
      </c>
      <c r="W3169" s="45"/>
    </row>
    <row r="3170">
      <c r="A3170" s="45"/>
      <c r="B3170" s="35" t="str">
        <f>IFERROR(__xludf.DUMMYFUNCTION("""COMPUTED_VALUE"""),"09/12/2025 20:58:42")</f>
        <v>09/12/2025 20:58:42</v>
      </c>
      <c r="C3170" s="35"/>
      <c r="D3170" s="10">
        <f>IFERROR(__xludf.DUMMYFUNCTION("""COMPUTED_VALUE"""),46001.0)</f>
        <v>46001</v>
      </c>
      <c r="E3170" s="35" t="str">
        <f>IFERROR(__xludf.DUMMYFUNCTION("""COMPUTED_VALUE"""),"12Des")</f>
        <v>12Des</v>
      </c>
      <c r="F3170" s="35" t="str">
        <f>IFERROR(__xludf.DUMMYFUNCTION("""COMPUTED_VALUE"""),"2025")</f>
        <v>2025</v>
      </c>
      <c r="G3170" s="35" t="str">
        <f>IFERROR(__xludf.DUMMYFUNCTION("""COMPUTED_VALUE"""),"MUHAMMAD ZUHRI")</f>
        <v>MUHAMMAD ZUHRI</v>
      </c>
      <c r="H3170" s="35" t="str">
        <f>IFERROR(__xludf.DUMMYFUNCTION("""COMPUTED_VALUE"""),"M7925122235")</f>
        <v>M7925122235</v>
      </c>
      <c r="I3170" s="35">
        <f>IFERROR(__xludf.DUMMYFUNCTION("""COMPUTED_VALUE"""),46.0)</f>
        <v>46</v>
      </c>
      <c r="J3170" s="35" t="str">
        <f>IFERROR(__xludf.DUMMYFUNCTION("""COMPUTED_VALUE"""),"&gt; 44 tahun")</f>
        <v>&gt; 44 tahun</v>
      </c>
      <c r="K3170" s="35" t="str">
        <f>IFERROR(__xludf.DUMMYFUNCTION("""COMPUTED_VALUE"""),"10/08/1979")</f>
        <v>10/08/1979</v>
      </c>
      <c r="L3170" s="35" t="str">
        <f>IFERROR(__xludf.DUMMYFUNCTION("""COMPUTED_VALUE"""),"LAKI-LAKI")</f>
        <v>LAKI-LAKI</v>
      </c>
      <c r="M3170" s="35" t="str">
        <f>IFERROR(__xludf.DUMMYFUNCTION("""COMPUTED_VALUE"""),"JL. ADI SUCIPTO, BTN TELUK MULUS NO. A.11")</f>
        <v>JL. ADI SUCIPTO, BTN TELUK MULUS NO. A.11</v>
      </c>
      <c r="N3170" s="35" t="str">
        <f>IFERROR(__xludf.DUMMYFUNCTION("""COMPUTED_VALUE"""),"DESA TELUK KAPUAS")</f>
        <v>DESA TELUK KAPUAS</v>
      </c>
      <c r="O3170" s="35" t="str">
        <f>IFERROR(__xludf.DUMMYFUNCTION("""COMPUTED_VALUE"""),"SUNGAI RAYA")</f>
        <v>SUNGAI RAYA</v>
      </c>
      <c r="P3170" s="35" t="str">
        <f>IFERROR(__xludf.DUMMYFUNCTION("""COMPUTED_VALUE"""),"KUBU RAYA")</f>
        <v>KUBU RAYA</v>
      </c>
      <c r="Q3170" s="35" t="str">
        <f>IFERROR(__xludf.DUMMYFUNCTION("""COMPUTED_VALUE"""),"KALIMANTAN BARAT")</f>
        <v>KALIMANTAN BARAT</v>
      </c>
      <c r="R3170" s="35" t="str">
        <f>IFERROR(__xludf.DUMMYFUNCTION("""COMPUTED_VALUE"""),"ISLAM")</f>
        <v>ISLAM</v>
      </c>
      <c r="S3170" s="74" t="str">
        <f>IFERROR(__xludf.DUMMYFUNCTION("""COMPUTED_VALUE"""),"STAF")</f>
        <v>STAF</v>
      </c>
      <c r="T3170" s="35" t="str">
        <f>IFERROR(__xludf.DUMMYFUNCTION("""COMPUTED_VALUE"""),"NYERI BAHU KIRI DAN PINGGANG")</f>
        <v>NYERI BAHU KIRI DAN PINGGANG</v>
      </c>
      <c r="U3170" s="35" t="str">
        <f>IFERROR(__xludf.DUMMYFUNCTION("""COMPUTED_VALUE"""),"DUDUK LAMA DAN PERNAH JATUH")</f>
        <v>DUDUK LAMA DAN PERNAH JATUH</v>
      </c>
      <c r="V3170" s="35" t="str">
        <f>IFERROR(__xludf.DUMMYFUNCTION("""COMPUTED_VALUE"""),"08125662235")</f>
        <v>08125662235</v>
      </c>
      <c r="W3170" s="45"/>
    </row>
    <row r="3171">
      <c r="A3171" s="45"/>
      <c r="B3171" s="35" t="str">
        <f>IFERROR(__xludf.DUMMYFUNCTION("""COMPUTED_VALUE"""),"10/12/2025 10:43:27")</f>
        <v>10/12/2025 10:43:27</v>
      </c>
      <c r="C3171" s="35"/>
      <c r="D3171" s="10">
        <f>IFERROR(__xludf.DUMMYFUNCTION("""COMPUTED_VALUE"""),46001.0)</f>
        <v>46001</v>
      </c>
      <c r="E3171" s="35" t="str">
        <f>IFERROR(__xludf.DUMMYFUNCTION("""COMPUTED_VALUE"""),"12Des")</f>
        <v>12Des</v>
      </c>
      <c r="F3171" s="35" t="str">
        <f>IFERROR(__xludf.DUMMYFUNCTION("""COMPUTED_VALUE"""),"2025")</f>
        <v>2025</v>
      </c>
      <c r="G3171" s="35" t="str">
        <f>IFERROR(__xludf.DUMMYFUNCTION("""COMPUTED_VALUE"""),"GIOVANNI NASTASIO PARURERA")</f>
        <v>GIOVANNI NASTASIO PARURERA</v>
      </c>
      <c r="H3171" s="35" t="str">
        <f>IFERROR(__xludf.DUMMYFUNCTION("""COMPUTED_VALUE"""),"G0225127367")</f>
        <v>G0225127367</v>
      </c>
      <c r="I3171" s="35">
        <f>IFERROR(__xludf.DUMMYFUNCTION("""COMPUTED_VALUE"""),24.0)</f>
        <v>24</v>
      </c>
      <c r="J3171" s="35" t="str">
        <f>IFERROR(__xludf.DUMMYFUNCTION("""COMPUTED_VALUE"""),"18-24 tahun")</f>
        <v>18-24 tahun</v>
      </c>
      <c r="K3171" s="35" t="str">
        <f>IFERROR(__xludf.DUMMYFUNCTION("""COMPUTED_VALUE"""),"20/05/2002")</f>
        <v>20/05/2002</v>
      </c>
      <c r="L3171" s="35" t="str">
        <f>IFERROR(__xludf.DUMMYFUNCTION("""COMPUTED_VALUE"""),"LAKI-LAKI")</f>
        <v>LAKI-LAKI</v>
      </c>
      <c r="M3171" s="35" t="str">
        <f>IFERROR(__xludf.DUMMYFUNCTION("""COMPUTED_VALUE"""),"BATANG TARANG KECAMATAN BALAI KABUPATEN SANGGAU")</f>
        <v>BATANG TARANG KECAMATAN BALAI KABUPATEN SANGGAU</v>
      </c>
      <c r="N3171" s="35" t="str">
        <f>IFERROR(__xludf.DUMMYFUNCTION("""COMPUTED_VALUE"""),"DESA HILIR")</f>
        <v>DESA HILIR</v>
      </c>
      <c r="O3171" s="35" t="str">
        <f>IFERROR(__xludf.DUMMYFUNCTION("""COMPUTED_VALUE"""),"KECAMATAN BALAI")</f>
        <v>KECAMATAN BALAI</v>
      </c>
      <c r="P3171" s="35" t="str">
        <f>IFERROR(__xludf.DUMMYFUNCTION("""COMPUTED_VALUE"""),"SANGGAU")</f>
        <v>SANGGAU</v>
      </c>
      <c r="Q3171" s="35" t="str">
        <f>IFERROR(__xludf.DUMMYFUNCTION("""COMPUTED_VALUE"""),"KALIMANTAN BARAT")</f>
        <v>KALIMANTAN BARAT</v>
      </c>
      <c r="R3171" s="35" t="str">
        <f>IFERROR(__xludf.DUMMYFUNCTION("""COMPUTED_VALUE"""),"KATOLIK")</f>
        <v>KATOLIK</v>
      </c>
      <c r="S3171" s="74" t="str">
        <f>IFERROR(__xludf.DUMMYFUNCTION("""COMPUTED_VALUE"""),"MAHASISWA")</f>
        <v>MAHASISWA</v>
      </c>
      <c r="T3171" s="35" t="str">
        <f>IFERROR(__xludf.DUMMYFUNCTION("""COMPUTED_VALUE"""),"CIDERA LUTUT")</f>
        <v>CIDERA LUTUT</v>
      </c>
      <c r="U3171" s="35" t="str">
        <f>IFERROR(__xludf.DUMMYFUNCTION("""COMPUTED_VALUE"""),"SEPAK BOLA")</f>
        <v>SEPAK BOLA</v>
      </c>
      <c r="V3171" s="35" t="str">
        <f>IFERROR(__xludf.DUMMYFUNCTION("""COMPUTED_VALUE"""),"089688897367")</f>
        <v>089688897367</v>
      </c>
      <c r="W3171" s="45"/>
    </row>
    <row r="3172">
      <c r="A3172" s="45"/>
      <c r="B3172" s="35" t="str">
        <f>IFERROR(__xludf.DUMMYFUNCTION("""COMPUTED_VALUE"""),"10/12/2025 11:10:52")</f>
        <v>10/12/2025 11:10:52</v>
      </c>
      <c r="C3172" s="35"/>
      <c r="D3172" s="10">
        <f>IFERROR(__xludf.DUMMYFUNCTION("""COMPUTED_VALUE"""),46001.0)</f>
        <v>46001</v>
      </c>
      <c r="E3172" s="35" t="str">
        <f>IFERROR(__xludf.DUMMYFUNCTION("""COMPUTED_VALUE"""),"12Des")</f>
        <v>12Des</v>
      </c>
      <c r="F3172" s="35" t="str">
        <f>IFERROR(__xludf.DUMMYFUNCTION("""COMPUTED_VALUE"""),"2025")</f>
        <v>2025</v>
      </c>
      <c r="G3172" s="35" t="str">
        <f>IFERROR(__xludf.DUMMYFUNCTION("""COMPUTED_VALUE"""),"AGUS HARYONO")</f>
        <v>AGUS HARYONO</v>
      </c>
      <c r="H3172" s="35" t="str">
        <f>IFERROR(__xludf.DUMMYFUNCTION("""COMPUTED_VALUE"""),"A7825121998")</f>
        <v>A7825121998</v>
      </c>
      <c r="I3172" s="35">
        <f>IFERROR(__xludf.DUMMYFUNCTION("""COMPUTED_VALUE"""),47.0)</f>
        <v>47</v>
      </c>
      <c r="J3172" s="35" t="str">
        <f>IFERROR(__xludf.DUMMYFUNCTION("""COMPUTED_VALUE"""),"&gt; 44 tahun")</f>
        <v>&gt; 44 tahun</v>
      </c>
      <c r="K3172" s="35" t="str">
        <f>IFERROR(__xludf.DUMMYFUNCTION("""COMPUTED_VALUE"""),"23/08/1978")</f>
        <v>23/08/1978</v>
      </c>
      <c r="L3172" s="35" t="str">
        <f>IFERROR(__xludf.DUMMYFUNCTION("""COMPUTED_VALUE"""),"LAKI-LAKI")</f>
        <v>LAKI-LAKI</v>
      </c>
      <c r="M3172" s="35" t="str">
        <f>IFERROR(__xludf.DUMMYFUNCTION("""COMPUTED_VALUE"""),"JL SEJARAH GG GUNUNG PUTING 2")</f>
        <v>JL SEJARAH GG GUNUNG PUTING 2</v>
      </c>
      <c r="N3172" s="35" t="str">
        <f>IFERROR(__xludf.DUMMYFUNCTION("""COMPUTED_VALUE"""),"SUNGAI JAWI")</f>
        <v>SUNGAI JAWI</v>
      </c>
      <c r="O3172" s="35" t="str">
        <f>IFERROR(__xludf.DUMMYFUNCTION("""COMPUTED_VALUE"""),"PONTIANAK KOTA")</f>
        <v>PONTIANAK KOTA</v>
      </c>
      <c r="P3172" s="35" t="str">
        <f>IFERROR(__xludf.DUMMYFUNCTION("""COMPUTED_VALUE"""),"KOTA PONTIANAK")</f>
        <v>KOTA PONTIANAK</v>
      </c>
      <c r="Q3172" s="35" t="str">
        <f>IFERROR(__xludf.DUMMYFUNCTION("""COMPUTED_VALUE"""),"KALIMANTAN BARAT")</f>
        <v>KALIMANTAN BARAT</v>
      </c>
      <c r="R3172" s="35" t="str">
        <f>IFERROR(__xludf.DUMMYFUNCTION("""COMPUTED_VALUE"""),"ISLAM")</f>
        <v>ISLAM</v>
      </c>
      <c r="S3172" s="74" t="str">
        <f>IFERROR(__xludf.DUMMYFUNCTION("""COMPUTED_VALUE"""),"POLRI")</f>
        <v>POLRI</v>
      </c>
      <c r="T3172" s="35" t="str">
        <f>IFERROR(__xludf.DUMMYFUNCTION("""COMPUTED_VALUE"""),"SAKIT KAKI")</f>
        <v>SAKIT KAKI</v>
      </c>
      <c r="U3172" s="35" t="str">
        <f>IFERROR(__xludf.DUMMYFUNCTION("""COMPUTED_VALUE"""),"OLAHRAGA")</f>
        <v>OLAHRAGA</v>
      </c>
      <c r="V3172" s="35" t="str">
        <f>IFERROR(__xludf.DUMMYFUNCTION("""COMPUTED_VALUE"""),"082152451998")</f>
        <v>082152451998</v>
      </c>
      <c r="W3172" s="45"/>
    </row>
    <row r="3173">
      <c r="A3173" s="45"/>
      <c r="B3173" s="35" t="str">
        <f>IFERROR(__xludf.DUMMYFUNCTION("""COMPUTED_VALUE"""),"10/12/2025 13:30:58")</f>
        <v>10/12/2025 13:30:58</v>
      </c>
      <c r="C3173" s="35"/>
      <c r="D3173" s="10">
        <f>IFERROR(__xludf.DUMMYFUNCTION("""COMPUTED_VALUE"""),46001.0)</f>
        <v>46001</v>
      </c>
      <c r="E3173" s="35" t="str">
        <f>IFERROR(__xludf.DUMMYFUNCTION("""COMPUTED_VALUE"""),"12Des")</f>
        <v>12Des</v>
      </c>
      <c r="F3173" s="35" t="str">
        <f>IFERROR(__xludf.DUMMYFUNCTION("""COMPUTED_VALUE"""),"2025")</f>
        <v>2025</v>
      </c>
      <c r="G3173" s="35" t="str">
        <f>IFERROR(__xludf.DUMMYFUNCTION("""COMPUTED_VALUE"""),"DARREN LOWIRA")</f>
        <v>DARREN LOWIRA</v>
      </c>
      <c r="H3173" s="35" t="str">
        <f>IFERROR(__xludf.DUMMYFUNCTION("""COMPUTED_VALUE"""),"D0625121108")</f>
        <v>D0625121108</v>
      </c>
      <c r="I3173" s="35">
        <f>IFERROR(__xludf.DUMMYFUNCTION("""COMPUTED_VALUE"""),19.0)</f>
        <v>19</v>
      </c>
      <c r="J3173" s="35" t="str">
        <f>IFERROR(__xludf.DUMMYFUNCTION("""COMPUTED_VALUE"""),"18-24 tahun")</f>
        <v>18-24 tahun</v>
      </c>
      <c r="K3173" s="35" t="str">
        <f>IFERROR(__xludf.DUMMYFUNCTION("""COMPUTED_VALUE"""),"13/08/2006")</f>
        <v>13/08/2006</v>
      </c>
      <c r="L3173" s="35" t="str">
        <f>IFERROR(__xludf.DUMMYFUNCTION("""COMPUTED_VALUE"""),"LAKI-LAKI")</f>
        <v>LAKI-LAKI</v>
      </c>
      <c r="M3173" s="35" t="str">
        <f>IFERROR(__xludf.DUMMYFUNCTION("""COMPUTED_VALUE"""),"JL AR SALLEH 2 NO 28")</f>
        <v>JL AR SALLEH 2 NO 28</v>
      </c>
      <c r="N3173" s="35" t="str">
        <f>IFERROR(__xludf.DUMMYFUNCTION("""COMPUTED_VALUE"""),"BANGKA BELITUNG LAUT")</f>
        <v>BANGKA BELITUNG LAUT</v>
      </c>
      <c r="O3173" s="35" t="str">
        <f>IFERROR(__xludf.DUMMYFUNCTION("""COMPUTED_VALUE"""),"PONTIANAK TENGGARA")</f>
        <v>PONTIANAK TENGGARA</v>
      </c>
      <c r="P3173" s="35" t="str">
        <f>IFERROR(__xludf.DUMMYFUNCTION("""COMPUTED_VALUE"""),"KOTA PONTIANAK")</f>
        <v>KOTA PONTIANAK</v>
      </c>
      <c r="Q3173" s="35" t="str">
        <f>IFERROR(__xludf.DUMMYFUNCTION("""COMPUTED_VALUE"""),"KALIMANTAN BARAT")</f>
        <v>KALIMANTAN BARAT</v>
      </c>
      <c r="R3173" s="35" t="str">
        <f>IFERROR(__xludf.DUMMYFUNCTION("""COMPUTED_VALUE"""),"KATOLIK")</f>
        <v>KATOLIK</v>
      </c>
      <c r="S3173" s="74" t="str">
        <f>IFERROR(__xludf.DUMMYFUNCTION("""COMPUTED_VALUE"""),"MAHASISWA")</f>
        <v>MAHASISWA</v>
      </c>
      <c r="T3173" s="35" t="str">
        <f>IFERROR(__xludf.DUMMYFUNCTION("""COMPUTED_VALUE"""),"LOWER BACK")</f>
        <v>LOWER BACK</v>
      </c>
      <c r="U3173" s="35" t="str">
        <f>IFERROR(__xludf.DUMMYFUNCTION("""COMPUTED_VALUE"""),"GYM, BASKET")</f>
        <v>GYM, BASKET</v>
      </c>
      <c r="V3173" s="35" t="str">
        <f>IFERROR(__xludf.DUMMYFUNCTION("""COMPUTED_VALUE"""),"08115691108")</f>
        <v>08115691108</v>
      </c>
      <c r="W3173" s="45"/>
    </row>
    <row r="3174">
      <c r="A3174" s="45"/>
      <c r="B3174" s="35" t="str">
        <f>IFERROR(__xludf.DUMMYFUNCTION("""COMPUTED_VALUE"""),"10/12/2025 13:50:54")</f>
        <v>10/12/2025 13:50:54</v>
      </c>
      <c r="C3174" s="35"/>
      <c r="D3174" s="10">
        <f>IFERROR(__xludf.DUMMYFUNCTION("""COMPUTED_VALUE"""),46001.0)</f>
        <v>46001</v>
      </c>
      <c r="E3174" s="35" t="str">
        <f>IFERROR(__xludf.DUMMYFUNCTION("""COMPUTED_VALUE"""),"12Des")</f>
        <v>12Des</v>
      </c>
      <c r="F3174" s="35" t="str">
        <f>IFERROR(__xludf.DUMMYFUNCTION("""COMPUTED_VALUE"""),"2025")</f>
        <v>2025</v>
      </c>
      <c r="G3174" s="35" t="str">
        <f>IFERROR(__xludf.DUMMYFUNCTION("""COMPUTED_VALUE"""),"LIE KIM FA/KESUMAJADI")</f>
        <v>LIE KIM FA/KESUMAJADI</v>
      </c>
      <c r="H3174" s="35" t="str">
        <f>IFERROR(__xludf.DUMMYFUNCTION("""COMPUTED_VALUE"""),"L6025128579")</f>
        <v>L6025128579</v>
      </c>
      <c r="I3174" s="35">
        <f>IFERROR(__xludf.DUMMYFUNCTION("""COMPUTED_VALUE"""),66.0)</f>
        <v>66</v>
      </c>
      <c r="J3174" s="35" t="str">
        <f>IFERROR(__xludf.DUMMYFUNCTION("""COMPUTED_VALUE"""),"&gt; 44 tahun")</f>
        <v>&gt; 44 tahun</v>
      </c>
      <c r="K3174" s="35" t="str">
        <f>IFERROR(__xludf.DUMMYFUNCTION("""COMPUTED_VALUE"""),"18/05/1960")</f>
        <v>18/05/1960</v>
      </c>
      <c r="L3174" s="35" t="str">
        <f>IFERROR(__xludf.DUMMYFUNCTION("""COMPUTED_VALUE"""),"LAKI-LAKI")</f>
        <v>LAKI-LAKI</v>
      </c>
      <c r="M3174" s="35" t="str">
        <f>IFERROR(__xludf.DUMMYFUNCTION("""COMPUTED_VALUE"""),"JL. SEI RAYA DALAM KOMPLEK BUMI BATARA 2 NO A37")</f>
        <v>JL. SEI RAYA DALAM KOMPLEK BUMI BATARA 2 NO A37</v>
      </c>
      <c r="N3174" s="35" t="str">
        <f>IFERROR(__xludf.DUMMYFUNCTION("""COMPUTED_VALUE"""),"SUNGAI RAYA")</f>
        <v>SUNGAI RAYA</v>
      </c>
      <c r="O3174" s="35" t="str">
        <f>IFERROR(__xludf.DUMMYFUNCTION("""COMPUTED_VALUE"""),"SUNGAI RAYA")</f>
        <v>SUNGAI RAYA</v>
      </c>
      <c r="P3174" s="35" t="str">
        <f>IFERROR(__xludf.DUMMYFUNCTION("""COMPUTED_VALUE"""),"KUBU RAYA")</f>
        <v>KUBU RAYA</v>
      </c>
      <c r="Q3174" s="35" t="str">
        <f>IFERROR(__xludf.DUMMYFUNCTION("""COMPUTED_VALUE"""),"KALIMANTAN BARAT")</f>
        <v>KALIMANTAN BARAT</v>
      </c>
      <c r="R3174" s="35" t="str">
        <f>IFERROR(__xludf.DUMMYFUNCTION("""COMPUTED_VALUE"""),"BUDDHA")</f>
        <v>BUDDHA</v>
      </c>
      <c r="S3174" s="74" t="str">
        <f>IFERROR(__xludf.DUMMYFUNCTION("""COMPUTED_VALUE"""),"-")</f>
        <v>-</v>
      </c>
      <c r="T3174" s="35" t="str">
        <f>IFERROR(__xludf.DUMMYFUNCTION("""COMPUTED_VALUE"""),"BANTALAN ANTARA TULANG L5 DENGAN S1 GEPENG SEHINGGA PINGGAN TERASA SAKIT SAMPAI KAKI. TIDAK BISA BERDIRI LAMA DAN DUDUK LAMA. BERDIRI TIDAK BISA TEGAK. SUDAH BERLANGSUNG SELAMA 1 MINGGU. TELAH MELAKUKAN RADIOLOGI DAN KUNJUNGAN DOKTER SPELIASIS SARAF")</f>
        <v>BANTALAN ANTARA TULANG L5 DENGAN S1 GEPENG SEHINGGA PINGGAN TERASA SAKIT SAMPAI KAKI. TIDAK BISA BERDIRI LAMA DAN DUDUK LAMA. BERDIRI TIDAK BISA TEGAK. SUDAH BERLANGSUNG SELAMA 1 MINGGU. TELAH MELAKUKAN RADIOLOGI DAN KUNJUNGAN DOKTER SPELIASIS SARAF</v>
      </c>
      <c r="U3174" s="35" t="str">
        <f>IFERROR(__xludf.DUMMYFUNCTION("""COMPUTED_VALUE"""),"SERING MELAKUKAN PEKERJAAN YANG MEMBUTUHKAN POSISI BADAN BUNGKUK")</f>
        <v>SERING MELAKUKAN PEKERJAAN YANG MEMBUTUHKAN POSISI BADAN BUNGKUK</v>
      </c>
      <c r="V3174" s="35" t="str">
        <f>IFERROR(__xludf.DUMMYFUNCTION("""COMPUTED_VALUE"""),"0895351188579")</f>
        <v>0895351188579</v>
      </c>
      <c r="W3174" s="45"/>
    </row>
    <row r="3175">
      <c r="A3175" s="45"/>
      <c r="B3175" s="35" t="str">
        <f>IFERROR(__xludf.DUMMYFUNCTION("""COMPUTED_VALUE"""),"10/12/2025 15:20:54")</f>
        <v>10/12/2025 15:20:54</v>
      </c>
      <c r="C3175" s="35"/>
      <c r="D3175" s="10">
        <f>IFERROR(__xludf.DUMMYFUNCTION("""COMPUTED_VALUE"""),46001.0)</f>
        <v>46001</v>
      </c>
      <c r="E3175" s="35" t="str">
        <f>IFERROR(__xludf.DUMMYFUNCTION("""COMPUTED_VALUE"""),"12Des")</f>
        <v>12Des</v>
      </c>
      <c r="F3175" s="35" t="str">
        <f>IFERROR(__xludf.DUMMYFUNCTION("""COMPUTED_VALUE"""),"2025")</f>
        <v>2025</v>
      </c>
      <c r="G3175" s="35" t="str">
        <f>IFERROR(__xludf.DUMMYFUNCTION("""COMPUTED_VALUE"""),"JAMALUDIN MAULANA")</f>
        <v>JAMALUDIN MAULANA</v>
      </c>
      <c r="H3175" s="35" t="str">
        <f>IFERROR(__xludf.DUMMYFUNCTION("""COMPUTED_VALUE"""),"J9725129346")</f>
        <v>J9725129346</v>
      </c>
      <c r="I3175" s="35">
        <f>IFERROR(__xludf.DUMMYFUNCTION("""COMPUTED_VALUE"""),29.0)</f>
        <v>29</v>
      </c>
      <c r="J3175" s="35" t="str">
        <f>IFERROR(__xludf.DUMMYFUNCTION("""COMPUTED_VALUE"""),"25-34 tahun")</f>
        <v>25-34 tahun</v>
      </c>
      <c r="K3175" s="35" t="str">
        <f>IFERROR(__xludf.DUMMYFUNCTION("""COMPUTED_VALUE"""),"03/01/1997")</f>
        <v>03/01/1997</v>
      </c>
      <c r="L3175" s="35" t="str">
        <f>IFERROR(__xludf.DUMMYFUNCTION("""COMPUTED_VALUE"""),"LAKI-LAKI")</f>
        <v>LAKI-LAKI</v>
      </c>
      <c r="M3175" s="35" t="str">
        <f>IFERROR(__xludf.DUMMYFUNCTION("""COMPUTED_VALUE"""),"JL GUS SULUNG LELANANG")</f>
        <v>JL GUS SULUNG LELANANG</v>
      </c>
      <c r="N3175" s="35" t="str">
        <f>IFERROR(__xludf.DUMMYFUNCTION("""COMPUTED_VALUE"""),"3324190301970002")</f>
        <v>3324190301970002</v>
      </c>
      <c r="O3175" s="35" t="str">
        <f>IFERROR(__xludf.DUMMYFUNCTION("""COMPUTED_VALUE"""),"MEMPAWAH HILIR")</f>
        <v>MEMPAWAH HILIR</v>
      </c>
      <c r="P3175" s="35" t="str">
        <f>IFERROR(__xludf.DUMMYFUNCTION("""COMPUTED_VALUE"""),"MEMPAWAH")</f>
        <v>MEMPAWAH</v>
      </c>
      <c r="Q3175" s="35" t="str">
        <f>IFERROR(__xludf.DUMMYFUNCTION("""COMPUTED_VALUE"""),"KALIMANTAN BARAT")</f>
        <v>KALIMANTAN BARAT</v>
      </c>
      <c r="R3175" s="35" t="str">
        <f>IFERROR(__xludf.DUMMYFUNCTION("""COMPUTED_VALUE"""),"ISLAM")</f>
        <v>ISLAM</v>
      </c>
      <c r="S3175" s="74" t="str">
        <f>IFERROR(__xludf.DUMMYFUNCTION("""COMPUTED_VALUE"""),"KARYAWAN SWASTA")</f>
        <v>KARYAWAN SWASTA</v>
      </c>
      <c r="T3175" s="35" t="str">
        <f>IFERROR(__xludf.DUMMYFUNCTION("""COMPUTED_VALUE"""),"LUTUT")</f>
        <v>LUTUT</v>
      </c>
      <c r="U3175" s="35" t="str">
        <f>IFERROR(__xludf.DUMMYFUNCTION("""COMPUTED_VALUE"""),"MAIN BOLA")</f>
        <v>MAIN BOLA</v>
      </c>
      <c r="V3175" s="35" t="str">
        <f>IFERROR(__xludf.DUMMYFUNCTION("""COMPUTED_VALUE"""),"081329509346")</f>
        <v>081329509346</v>
      </c>
      <c r="W3175" s="45"/>
    </row>
    <row r="3176">
      <c r="A3176" s="45"/>
      <c r="B3176" s="35" t="str">
        <f>IFERROR(__xludf.DUMMYFUNCTION("""COMPUTED_VALUE"""),"11/12/2025 10:01:43")</f>
        <v>11/12/2025 10:01:43</v>
      </c>
      <c r="C3176" s="35"/>
      <c r="D3176" s="10">
        <f>IFERROR(__xludf.DUMMYFUNCTION("""COMPUTED_VALUE"""),46002.0)</f>
        <v>46002</v>
      </c>
      <c r="E3176" s="35" t="str">
        <f>IFERROR(__xludf.DUMMYFUNCTION("""COMPUTED_VALUE"""),"12Des")</f>
        <v>12Des</v>
      </c>
      <c r="F3176" s="35" t="str">
        <f>IFERROR(__xludf.DUMMYFUNCTION("""COMPUTED_VALUE"""),"2025")</f>
        <v>2025</v>
      </c>
      <c r="G3176" s="35" t="str">
        <f>IFERROR(__xludf.DUMMYFUNCTION("""COMPUTED_VALUE"""),"ANGELIA IVANA")</f>
        <v>ANGELIA IVANA</v>
      </c>
      <c r="H3176" s="35" t="str">
        <f>IFERROR(__xludf.DUMMYFUNCTION("""COMPUTED_VALUE"""),"A0025123200")</f>
        <v>A0025123200</v>
      </c>
      <c r="I3176" s="35">
        <f>IFERROR(__xludf.DUMMYFUNCTION("""COMPUTED_VALUE"""),25.0)</f>
        <v>25</v>
      </c>
      <c r="J3176" s="35" t="str">
        <f>IFERROR(__xludf.DUMMYFUNCTION("""COMPUTED_VALUE"""),"25-34 tahun")</f>
        <v>25-34 tahun</v>
      </c>
      <c r="K3176" s="35" t="str">
        <f>IFERROR(__xludf.DUMMYFUNCTION("""COMPUTED_VALUE"""),"14/12/2000")</f>
        <v>14/12/2000</v>
      </c>
      <c r="L3176" s="35" t="str">
        <f>IFERROR(__xludf.DUMMYFUNCTION("""COMPUTED_VALUE"""),"PEREMPUAN")</f>
        <v>PEREMPUAN</v>
      </c>
      <c r="M3176" s="35" t="str">
        <f>IFERROR(__xludf.DUMMYFUNCTION("""COMPUTED_VALUE"""),"JL. AYANI KOMP. MEGAMALL BLOK E NO.7")</f>
        <v>JL. AYANI KOMP. MEGAMALL BLOK E NO.7</v>
      </c>
      <c r="N3176" s="35" t="str">
        <f>IFERROR(__xludf.DUMMYFUNCTION("""COMPUTED_VALUE"""),"PARIT TOKAYA")</f>
        <v>PARIT TOKAYA</v>
      </c>
      <c r="O3176" s="35" t="str">
        <f>IFERROR(__xludf.DUMMYFUNCTION("""COMPUTED_VALUE"""),"PONTIANAK SELATAN")</f>
        <v>PONTIANAK SELATAN</v>
      </c>
      <c r="P3176" s="35" t="str">
        <f>IFERROR(__xludf.DUMMYFUNCTION("""COMPUTED_VALUE"""),"PONTIANAK")</f>
        <v>PONTIANAK</v>
      </c>
      <c r="Q3176" s="35" t="str">
        <f>IFERROR(__xludf.DUMMYFUNCTION("""COMPUTED_VALUE"""),"KALIMANTAN BARAT")</f>
        <v>KALIMANTAN BARAT</v>
      </c>
      <c r="R3176" s="35" t="str">
        <f>IFERROR(__xludf.DUMMYFUNCTION("""COMPUTED_VALUE"""),"KATOLIK")</f>
        <v>KATOLIK</v>
      </c>
      <c r="S3176" s="74" t="str">
        <f>IFERROR(__xludf.DUMMYFUNCTION("""COMPUTED_VALUE"""),"KARYAWAN SWASTA")</f>
        <v>KARYAWAN SWASTA</v>
      </c>
      <c r="T3176" s="35" t="str">
        <f>IFERROR(__xludf.DUMMYFUNCTION("""COMPUTED_VALUE"""),"SAKIT PADA BAGIAN FOREARM DAN PEGAL DI BELAKANG LUTUT KANAN")</f>
        <v>SAKIT PADA BAGIAN FOREARM DAN PEGAL DI BELAKANG LUTUT KANAN</v>
      </c>
      <c r="U3176" s="35" t="str">
        <f>IFERROR(__xludf.DUMMYFUNCTION("""COMPUTED_VALUE"""),"MAIN PADEL")</f>
        <v>MAIN PADEL</v>
      </c>
      <c r="V3176" s="35" t="str">
        <f>IFERROR(__xludf.DUMMYFUNCTION("""COMPUTED_VALUE"""),"085285493200")</f>
        <v>085285493200</v>
      </c>
      <c r="W3176" s="45"/>
    </row>
    <row r="3177">
      <c r="A3177" s="45"/>
      <c r="B3177" s="35" t="str">
        <f>IFERROR(__xludf.DUMMYFUNCTION("""COMPUTED_VALUE"""),"11/12/2025 10:19:47")</f>
        <v>11/12/2025 10:19:47</v>
      </c>
      <c r="C3177" s="35"/>
      <c r="D3177" s="10">
        <f>IFERROR(__xludf.DUMMYFUNCTION("""COMPUTED_VALUE"""),46002.0)</f>
        <v>46002</v>
      </c>
      <c r="E3177" s="35" t="str">
        <f>IFERROR(__xludf.DUMMYFUNCTION("""COMPUTED_VALUE"""),"12Des")</f>
        <v>12Des</v>
      </c>
      <c r="F3177" s="35" t="str">
        <f>IFERROR(__xludf.DUMMYFUNCTION("""COMPUTED_VALUE"""),"2025")</f>
        <v>2025</v>
      </c>
      <c r="G3177" s="35" t="str">
        <f>IFERROR(__xludf.DUMMYFUNCTION("""COMPUTED_VALUE"""),"FERY")</f>
        <v>FERY</v>
      </c>
      <c r="H3177" s="35" t="str">
        <f>IFERROR(__xludf.DUMMYFUNCTION("""COMPUTED_VALUE"""),"F9325121778")</f>
        <v>F9325121778</v>
      </c>
      <c r="I3177" s="35">
        <f>IFERROR(__xludf.DUMMYFUNCTION("""COMPUTED_VALUE"""),33.0)</f>
        <v>33</v>
      </c>
      <c r="J3177" s="35" t="str">
        <f>IFERROR(__xludf.DUMMYFUNCTION("""COMPUTED_VALUE"""),"25-34 tahun")</f>
        <v>25-34 tahun</v>
      </c>
      <c r="K3177" s="35" t="str">
        <f>IFERROR(__xludf.DUMMYFUNCTION("""COMPUTED_VALUE"""),"13/04/1993")</f>
        <v>13/04/1993</v>
      </c>
      <c r="L3177" s="35" t="str">
        <f>IFERROR(__xludf.DUMMYFUNCTION("""COMPUTED_VALUE"""),"LAKI-LAKI")</f>
        <v>LAKI-LAKI</v>
      </c>
      <c r="M3177" s="35" t="str">
        <f>IFERROR(__xludf.DUMMYFUNCTION("""COMPUTED_VALUE"""),"WR SUPRATMAN 1A")</f>
        <v>WR SUPRATMAN 1A</v>
      </c>
      <c r="N3177" s="35" t="str">
        <f>IFERROR(__xludf.DUMMYFUNCTION("""COMPUTED_VALUE"""),"PARIT TOKAYA")</f>
        <v>PARIT TOKAYA</v>
      </c>
      <c r="O3177" s="35" t="str">
        <f>IFERROR(__xludf.DUMMYFUNCTION("""COMPUTED_VALUE"""),"PONTIANAK SELATAN")</f>
        <v>PONTIANAK SELATAN</v>
      </c>
      <c r="P3177" s="35" t="str">
        <f>IFERROR(__xludf.DUMMYFUNCTION("""COMPUTED_VALUE"""),"PONTIANAK SELATAN")</f>
        <v>PONTIANAK SELATAN</v>
      </c>
      <c r="Q3177" s="35" t="str">
        <f>IFERROR(__xludf.DUMMYFUNCTION("""COMPUTED_VALUE"""),"KALIMANTAN BARAT")</f>
        <v>KALIMANTAN BARAT</v>
      </c>
      <c r="R3177" s="35" t="str">
        <f>IFERROR(__xludf.DUMMYFUNCTION("""COMPUTED_VALUE"""),"LAINNYA")</f>
        <v>LAINNYA</v>
      </c>
      <c r="S3177" s="74" t="str">
        <f>IFERROR(__xludf.DUMMYFUNCTION("""COMPUTED_VALUE"""),"WIRASWASTA")</f>
        <v>WIRASWASTA</v>
      </c>
      <c r="T3177" s="35" t="str">
        <f>IFERROR(__xludf.DUMMYFUNCTION("""COMPUTED_VALUE"""),"CEDERA DI WRIST TANGAN KANAN, PAHA KAKI KANAN DAN PINGGANG BAGIAN BAWAH")</f>
        <v>CEDERA DI WRIST TANGAN KANAN, PAHA KAKI KANAN DAN PINGGANG BAGIAN BAWAH</v>
      </c>
      <c r="U3177" s="35" t="str">
        <f>IFERROR(__xludf.DUMMYFUNCTION("""COMPUTED_VALUE"""),"PADEL DAN DUDUK DI WAKTU YG LAMA DI KURSI KARENA PEKERJAAN DI DEPAN KOMPUTER")</f>
        <v>PADEL DAN DUDUK DI WAKTU YG LAMA DI KURSI KARENA PEKERJAAN DI DEPAN KOMPUTER</v>
      </c>
      <c r="V3177" s="35" t="str">
        <f>IFERROR(__xludf.DUMMYFUNCTION("""COMPUTED_VALUE"""),"0811101778")</f>
        <v>0811101778</v>
      </c>
      <c r="W3177" s="45"/>
    </row>
    <row r="3178">
      <c r="A3178" s="45"/>
      <c r="B3178" s="35" t="str">
        <f>IFERROR(__xludf.DUMMYFUNCTION("""COMPUTED_VALUE"""),"11/12/2025 12:29:07")</f>
        <v>11/12/2025 12:29:07</v>
      </c>
      <c r="C3178" s="35"/>
      <c r="D3178" s="10">
        <f>IFERROR(__xludf.DUMMYFUNCTION("""COMPUTED_VALUE"""),46002.0)</f>
        <v>46002</v>
      </c>
      <c r="E3178" s="35" t="str">
        <f>IFERROR(__xludf.DUMMYFUNCTION("""COMPUTED_VALUE"""),"12Des")</f>
        <v>12Des</v>
      </c>
      <c r="F3178" s="35" t="str">
        <f>IFERROR(__xludf.DUMMYFUNCTION("""COMPUTED_VALUE"""),"2025")</f>
        <v>2025</v>
      </c>
      <c r="G3178" s="35" t="str">
        <f>IFERROR(__xludf.DUMMYFUNCTION("""COMPUTED_VALUE"""),"CINTHYA TANJAYA")</f>
        <v>CINTHYA TANJAYA</v>
      </c>
      <c r="H3178" s="35" t="str">
        <f>IFERROR(__xludf.DUMMYFUNCTION("""COMPUTED_VALUE"""),"C0325128008")</f>
        <v>C0325128008</v>
      </c>
      <c r="I3178" s="35">
        <f>IFERROR(__xludf.DUMMYFUNCTION("""COMPUTED_VALUE"""),23.0)</f>
        <v>23</v>
      </c>
      <c r="J3178" s="35" t="str">
        <f>IFERROR(__xludf.DUMMYFUNCTION("""COMPUTED_VALUE"""),"18-24 tahun")</f>
        <v>18-24 tahun</v>
      </c>
      <c r="K3178" s="35" t="str">
        <f>IFERROR(__xludf.DUMMYFUNCTION("""COMPUTED_VALUE"""),"18/03/2003")</f>
        <v>18/03/2003</v>
      </c>
      <c r="L3178" s="35" t="str">
        <f>IFERROR(__xludf.DUMMYFUNCTION("""COMPUTED_VALUE"""),"PEREMPUAN")</f>
        <v>PEREMPUAN</v>
      </c>
      <c r="M3178" s="35" t="str">
        <f>IFERROR(__xludf.DUMMYFUNCTION("""COMPUTED_VALUE"""),"GG.KAYU MANIS II")</f>
        <v>GG.KAYU MANIS II</v>
      </c>
      <c r="N3178" s="35" t="str">
        <f>IFERROR(__xludf.DUMMYFUNCTION("""COMPUTED_VALUE"""),"SUNGAI JAWI LUAR")</f>
        <v>SUNGAI JAWI LUAR</v>
      </c>
      <c r="O3178" s="35" t="str">
        <f>IFERROR(__xludf.DUMMYFUNCTION("""COMPUTED_VALUE"""),"PONTIANAK BARAT")</f>
        <v>PONTIANAK BARAT</v>
      </c>
      <c r="P3178" s="35" t="str">
        <f>IFERROR(__xludf.DUMMYFUNCTION("""COMPUTED_VALUE"""),"PONTIANAK")</f>
        <v>PONTIANAK</v>
      </c>
      <c r="Q3178" s="35" t="str">
        <f>IFERROR(__xludf.DUMMYFUNCTION("""COMPUTED_VALUE"""),"KALIMANTAN BARAT")</f>
        <v>KALIMANTAN BARAT</v>
      </c>
      <c r="R3178" s="35" t="str">
        <f>IFERROR(__xludf.DUMMYFUNCTION("""COMPUTED_VALUE"""),"BUDDHA")</f>
        <v>BUDDHA</v>
      </c>
      <c r="S3178" s="74" t="str">
        <f>IFERROR(__xludf.DUMMYFUNCTION("""COMPUTED_VALUE"""),"ADMIN")</f>
        <v>ADMIN</v>
      </c>
      <c r="T3178" s="35" t="str">
        <f>IFERROR(__xludf.DUMMYFUNCTION("""COMPUTED_VALUE"""),"SKOLIOSIS")</f>
        <v>SKOLIOSIS</v>
      </c>
      <c r="U3178" s="35" t="str">
        <f>IFERROR(__xludf.DUMMYFUNCTION("""COMPUTED_VALUE"""),"KERJA KANTORAN")</f>
        <v>KERJA KANTORAN</v>
      </c>
      <c r="V3178" s="35" t="str">
        <f>IFERROR(__xludf.DUMMYFUNCTION("""COMPUTED_VALUE"""),"089504278008")</f>
        <v>089504278008</v>
      </c>
      <c r="W3178" s="45"/>
    </row>
    <row r="3179">
      <c r="A3179" s="45"/>
      <c r="B3179" s="35" t="str">
        <f>IFERROR(__xludf.DUMMYFUNCTION("""COMPUTED_VALUE"""),"11/12/2025 13:17:11")</f>
        <v>11/12/2025 13:17:11</v>
      </c>
      <c r="C3179" s="35"/>
      <c r="D3179" s="10">
        <f>IFERROR(__xludf.DUMMYFUNCTION("""COMPUTED_VALUE"""),46002.0)</f>
        <v>46002</v>
      </c>
      <c r="E3179" s="35" t="str">
        <f>IFERROR(__xludf.DUMMYFUNCTION("""COMPUTED_VALUE"""),"12Des")</f>
        <v>12Des</v>
      </c>
      <c r="F3179" s="35" t="str">
        <f>IFERROR(__xludf.DUMMYFUNCTION("""COMPUTED_VALUE"""),"2025")</f>
        <v>2025</v>
      </c>
      <c r="G3179" s="35" t="str">
        <f>IFERROR(__xludf.DUMMYFUNCTION("""COMPUTED_VALUE"""),"NIKO BARKAH DAME PUTRA SIREGAR")</f>
        <v>NIKO BARKAH DAME PUTRA SIREGAR</v>
      </c>
      <c r="H3179" s="35" t="str">
        <f>IFERROR(__xludf.DUMMYFUNCTION("""COMPUTED_VALUE"""),"N0025126327")</f>
        <v>N0025126327</v>
      </c>
      <c r="I3179" s="35">
        <f>IFERROR(__xludf.DUMMYFUNCTION("""COMPUTED_VALUE"""),26.0)</f>
        <v>26</v>
      </c>
      <c r="J3179" s="35" t="str">
        <f>IFERROR(__xludf.DUMMYFUNCTION("""COMPUTED_VALUE"""),"25-34 tahun")</f>
        <v>25-34 tahun</v>
      </c>
      <c r="K3179" s="35" t="str">
        <f>IFERROR(__xludf.DUMMYFUNCTION("""COMPUTED_VALUE"""),"07/06/2000")</f>
        <v>07/06/2000</v>
      </c>
      <c r="L3179" s="35" t="str">
        <f>IFERROR(__xludf.DUMMYFUNCTION("""COMPUTED_VALUE"""),"LAKI-LAKI")</f>
        <v>LAKI-LAKI</v>
      </c>
      <c r="M3179" s="35" t="str">
        <f>IFERROR(__xludf.DUMMYFUNCTION("""COMPUTED_VALUE"""),"BIDA ASRI II BLOK D 1 NO 63")</f>
        <v>BIDA ASRI II BLOK D 1 NO 63</v>
      </c>
      <c r="N3179" s="35" t="str">
        <f>IFERROR(__xludf.DUMMYFUNCTION("""COMPUTED_VALUE"""),"BALOI PERMAI")</f>
        <v>BALOI PERMAI</v>
      </c>
      <c r="O3179" s="35" t="str">
        <f>IFERROR(__xludf.DUMMYFUNCTION("""COMPUTED_VALUE"""),"BATAM KOTA")</f>
        <v>BATAM KOTA</v>
      </c>
      <c r="P3179" s="35" t="str">
        <f>IFERROR(__xludf.DUMMYFUNCTION("""COMPUTED_VALUE"""),"BATAM KOTA")</f>
        <v>BATAM KOTA</v>
      </c>
      <c r="Q3179" s="35" t="str">
        <f>IFERROR(__xludf.DUMMYFUNCTION("""COMPUTED_VALUE"""),"KEPULAUAN RIAU")</f>
        <v>KEPULAUAN RIAU</v>
      </c>
      <c r="R3179" s="35" t="str">
        <f>IFERROR(__xludf.DUMMYFUNCTION("""COMPUTED_VALUE"""),"ISLAM")</f>
        <v>ISLAM</v>
      </c>
      <c r="S3179" s="74" t="str">
        <f>IFERROR(__xludf.DUMMYFUNCTION("""COMPUTED_VALUE"""),"MAHASISWA/PELAJAR")</f>
        <v>MAHASISWA/PELAJAR</v>
      </c>
      <c r="T3179" s="35" t="str">
        <f>IFERROR(__xludf.DUMMYFUNCTION("""COMPUTED_VALUE"""),"KAKI KIRI")</f>
        <v>KAKI KIRI</v>
      </c>
      <c r="U3179" s="35" t="str">
        <f>IFERROR(__xludf.DUMMYFUNCTION("""COMPUTED_VALUE"""),"-")</f>
        <v>-</v>
      </c>
      <c r="V3179" s="35" t="str">
        <f>IFERROR(__xludf.DUMMYFUNCTION("""COMPUTED_VALUE"""),"08116666327")</f>
        <v>08116666327</v>
      </c>
      <c r="W3179" s="45"/>
    </row>
    <row r="3180">
      <c r="A3180" s="45"/>
      <c r="B3180" s="35" t="str">
        <f>IFERROR(__xludf.DUMMYFUNCTION("""COMPUTED_VALUE"""),"11/12/2025 13:19:50")</f>
        <v>11/12/2025 13:19:50</v>
      </c>
      <c r="C3180" s="35"/>
      <c r="D3180" s="10">
        <f>IFERROR(__xludf.DUMMYFUNCTION("""COMPUTED_VALUE"""),46002.0)</f>
        <v>46002</v>
      </c>
      <c r="E3180" s="35" t="str">
        <f>IFERROR(__xludf.DUMMYFUNCTION("""COMPUTED_VALUE"""),"12Des")</f>
        <v>12Des</v>
      </c>
      <c r="F3180" s="35" t="str">
        <f>IFERROR(__xludf.DUMMYFUNCTION("""COMPUTED_VALUE"""),"2025")</f>
        <v>2025</v>
      </c>
      <c r="G3180" s="35" t="str">
        <f>IFERROR(__xludf.DUMMYFUNCTION("""COMPUTED_VALUE"""),"LIAU TJONG POEN ALS YULIANA")</f>
        <v>LIAU TJONG POEN ALS YULIANA</v>
      </c>
      <c r="H3180" s="35" t="str">
        <f>IFERROR(__xludf.DUMMYFUNCTION("""COMPUTED_VALUE"""),"L5725121301")</f>
        <v>L5725121301</v>
      </c>
      <c r="I3180" s="35">
        <f>IFERROR(__xludf.DUMMYFUNCTION("""COMPUTED_VALUE"""),68.0)</f>
        <v>68</v>
      </c>
      <c r="J3180" s="35" t="str">
        <f>IFERROR(__xludf.DUMMYFUNCTION("""COMPUTED_VALUE"""),"&gt; 44 tahun")</f>
        <v>&gt; 44 tahun</v>
      </c>
      <c r="K3180" s="35" t="str">
        <f>IFERROR(__xludf.DUMMYFUNCTION("""COMPUTED_VALUE"""),"15/11/1957")</f>
        <v>15/11/1957</v>
      </c>
      <c r="L3180" s="35" t="str">
        <f>IFERROR(__xludf.DUMMYFUNCTION("""COMPUTED_VALUE"""),"PEREMPUAN")</f>
        <v>PEREMPUAN</v>
      </c>
      <c r="M3180" s="35" t="str">
        <f>IFERROR(__xludf.DUMMYFUNCTION("""COMPUTED_VALUE"""),"JL.KH WAHID HASYIM GANG HAJI SALEH NO 11-A")</f>
        <v>JL.KH WAHID HASYIM GANG HAJI SALEH NO 11-A</v>
      </c>
      <c r="N3180" s="35" t="str">
        <f>IFERROR(__xludf.DUMMYFUNCTION("""COMPUTED_VALUE"""),"SUNGAI BANGKONG")</f>
        <v>SUNGAI BANGKONG</v>
      </c>
      <c r="O3180" s="35" t="str">
        <f>IFERROR(__xludf.DUMMYFUNCTION("""COMPUTED_VALUE"""),"PONTIANAK KOTA")</f>
        <v>PONTIANAK KOTA</v>
      </c>
      <c r="P3180" s="35" t="str">
        <f>IFERROR(__xludf.DUMMYFUNCTION("""COMPUTED_VALUE"""),"PONTIANAK")</f>
        <v>PONTIANAK</v>
      </c>
      <c r="Q3180" s="35" t="str">
        <f>IFERROR(__xludf.DUMMYFUNCTION("""COMPUTED_VALUE"""),"KALIMANTAN BARAT")</f>
        <v>KALIMANTAN BARAT</v>
      </c>
      <c r="R3180" s="35" t="str">
        <f>IFERROR(__xludf.DUMMYFUNCTION("""COMPUTED_VALUE"""),"PROTESTAN")</f>
        <v>PROTESTAN</v>
      </c>
      <c r="S3180" s="74" t="str">
        <f>IFERROR(__xludf.DUMMYFUNCTION("""COMPUTED_VALUE"""),"IRT")</f>
        <v>IRT</v>
      </c>
      <c r="T3180" s="35" t="str">
        <f>IFERROR(__xludf.DUMMYFUNCTION("""COMPUTED_VALUE"""),"PINGGANG")</f>
        <v>PINGGANG</v>
      </c>
      <c r="U3180" s="35" t="str">
        <f>IFERROR(__xludf.DUMMYFUNCTION("""COMPUTED_VALUE"""),"-")</f>
        <v>-</v>
      </c>
      <c r="V3180" s="35" t="str">
        <f>IFERROR(__xludf.DUMMYFUNCTION("""COMPUTED_VALUE"""),"6289693091301")</f>
        <v>6289693091301</v>
      </c>
      <c r="W3180" s="45"/>
    </row>
    <row r="3181">
      <c r="A3181" s="45"/>
      <c r="B3181" s="35" t="str">
        <f>IFERROR(__xludf.DUMMYFUNCTION("""COMPUTED_VALUE"""),"11/12/2025 16:08:20")</f>
        <v>11/12/2025 16:08:20</v>
      </c>
      <c r="C3181" s="35"/>
      <c r="D3181" s="10">
        <f>IFERROR(__xludf.DUMMYFUNCTION("""COMPUTED_VALUE"""),46002.0)</f>
        <v>46002</v>
      </c>
      <c r="E3181" s="35" t="str">
        <f>IFERROR(__xludf.DUMMYFUNCTION("""COMPUTED_VALUE"""),"12Des")</f>
        <v>12Des</v>
      </c>
      <c r="F3181" s="35" t="str">
        <f>IFERROR(__xludf.DUMMYFUNCTION("""COMPUTED_VALUE"""),"2025")</f>
        <v>2025</v>
      </c>
      <c r="G3181" s="35" t="str">
        <f>IFERROR(__xludf.DUMMYFUNCTION("""COMPUTED_VALUE"""),"YAYA MAULIDIA")</f>
        <v>YAYA MAULIDIA</v>
      </c>
      <c r="H3181" s="35" t="str">
        <f>IFERROR(__xludf.DUMMYFUNCTION("""COMPUTED_VALUE"""),"Y6825129986")</f>
        <v>Y6825129986</v>
      </c>
      <c r="I3181" s="35">
        <f>IFERROR(__xludf.DUMMYFUNCTION("""COMPUTED_VALUE"""),58.0)</f>
        <v>58</v>
      </c>
      <c r="J3181" s="35" t="str">
        <f>IFERROR(__xludf.DUMMYFUNCTION("""COMPUTED_VALUE"""),"&gt; 44 tahun")</f>
        <v>&gt; 44 tahun</v>
      </c>
      <c r="K3181" s="35" t="str">
        <f>IFERROR(__xludf.DUMMYFUNCTION("""COMPUTED_VALUE"""),"06/06/1968")</f>
        <v>06/06/1968</v>
      </c>
      <c r="L3181" s="35" t="str">
        <f>IFERROR(__xludf.DUMMYFUNCTION("""COMPUTED_VALUE"""),"PEREMPUAN")</f>
        <v>PEREMPUAN</v>
      </c>
      <c r="M3181" s="35" t="str">
        <f>IFERROR(__xludf.DUMMYFUNCTION("""COMPUTED_VALUE"""),"JL. P. H HUSIN KOMP MERANTI INDAH E-18")</f>
        <v>JL. P. H HUSIN KOMP MERANTI INDAH E-18</v>
      </c>
      <c r="N3181" s="35" t="str">
        <f>IFERROR(__xludf.DUMMYFUNCTION("""COMPUTED_VALUE"""),"BANGKA BELITUNG DARAT")</f>
        <v>BANGKA BELITUNG DARAT</v>
      </c>
      <c r="O3181" s="35" t="str">
        <f>IFERROR(__xludf.DUMMYFUNCTION("""COMPUTED_VALUE"""),"PONTIANAK TENGGARA")</f>
        <v>PONTIANAK TENGGARA</v>
      </c>
      <c r="P3181" s="35" t="str">
        <f>IFERROR(__xludf.DUMMYFUNCTION("""COMPUTED_VALUE"""),"PONTIANAK")</f>
        <v>PONTIANAK</v>
      </c>
      <c r="Q3181" s="35" t="str">
        <f>IFERROR(__xludf.DUMMYFUNCTION("""COMPUTED_VALUE"""),"KALIMANTAN BARAT")</f>
        <v>KALIMANTAN BARAT</v>
      </c>
      <c r="R3181" s="35" t="str">
        <f>IFERROR(__xludf.DUMMYFUNCTION("""COMPUTED_VALUE"""),"ISLAM")</f>
        <v>ISLAM</v>
      </c>
      <c r="S3181" s="74" t="str">
        <f>IFERROR(__xludf.DUMMYFUNCTION("""COMPUTED_VALUE"""),"PNS")</f>
        <v>PNS</v>
      </c>
      <c r="T3181" s="35" t="str">
        <f>IFERROR(__xludf.DUMMYFUNCTION("""COMPUTED_VALUE"""),"LENGAN KANAN ATAS KAKU")</f>
        <v>LENGAN KANAN ATAS KAKU</v>
      </c>
      <c r="U3181" s="35" t="str">
        <f>IFERROR(__xludf.DUMMYFUNCTION("""COMPUTED_VALUE"""),"-")</f>
        <v>-</v>
      </c>
      <c r="V3181" s="35" t="str">
        <f>IFERROR(__xludf.DUMMYFUNCTION("""COMPUTED_VALUE"""),"081253749986")</f>
        <v>081253749986</v>
      </c>
      <c r="W3181" s="45"/>
    </row>
    <row r="3182">
      <c r="A3182" s="45"/>
      <c r="B3182" s="35" t="str">
        <f>IFERROR(__xludf.DUMMYFUNCTION("""COMPUTED_VALUE"""),"11/12/2025 19:09:22")</f>
        <v>11/12/2025 19:09:22</v>
      </c>
      <c r="C3182" s="35"/>
      <c r="D3182" s="10">
        <f>IFERROR(__xludf.DUMMYFUNCTION("""COMPUTED_VALUE"""),46002.0)</f>
        <v>46002</v>
      </c>
      <c r="E3182" s="35" t="str">
        <f>IFERROR(__xludf.DUMMYFUNCTION("""COMPUTED_VALUE"""),"12Des")</f>
        <v>12Des</v>
      </c>
      <c r="F3182" s="35" t="str">
        <f>IFERROR(__xludf.DUMMYFUNCTION("""COMPUTED_VALUE"""),"2025")</f>
        <v>2025</v>
      </c>
      <c r="G3182" s="35" t="str">
        <f>IFERROR(__xludf.DUMMYFUNCTION("""COMPUTED_VALUE"""),"WIEKE VERASTUTI")</f>
        <v>WIEKE VERASTUTI</v>
      </c>
      <c r="H3182" s="35" t="str">
        <f>IFERROR(__xludf.DUMMYFUNCTION("""COMPUTED_VALUE"""),"W7525122424")</f>
        <v>W7525122424</v>
      </c>
      <c r="I3182" s="35">
        <f>IFERROR(__xludf.DUMMYFUNCTION("""COMPUTED_VALUE"""),51.0)</f>
        <v>51</v>
      </c>
      <c r="J3182" s="35" t="str">
        <f>IFERROR(__xludf.DUMMYFUNCTION("""COMPUTED_VALUE"""),"&gt; 44 tahun")</f>
        <v>&gt; 44 tahun</v>
      </c>
      <c r="K3182" s="35" t="str">
        <f>IFERROR(__xludf.DUMMYFUNCTION("""COMPUTED_VALUE"""),"19/02/1975")</f>
        <v>19/02/1975</v>
      </c>
      <c r="L3182" s="35" t="str">
        <f>IFERROR(__xludf.DUMMYFUNCTION("""COMPUTED_VALUE"""),"PEREMPUAN")</f>
        <v>PEREMPUAN</v>
      </c>
      <c r="M3182" s="35" t="str">
        <f>IFERROR(__xludf.DUMMYFUNCTION("""COMPUTED_VALUE"""),"JL. KARYA PRT HARUNA KOMP HARMONY PARK RESIDENCE B")</f>
        <v>JL. KARYA PRT HARUNA KOMP HARMONY PARK RESIDENCE B</v>
      </c>
      <c r="N3182" s="35" t="str">
        <f>IFERROR(__xludf.DUMMYFUNCTION("""COMPUTED_VALUE"""),"PAL SEMBILAN")</f>
        <v>PAL SEMBILAN</v>
      </c>
      <c r="O3182" s="35" t="str">
        <f>IFERROR(__xludf.DUMMYFUNCTION("""COMPUTED_VALUE"""),"SUNGAI KAKAP")</f>
        <v>SUNGAI KAKAP</v>
      </c>
      <c r="P3182" s="35" t="str">
        <f>IFERROR(__xludf.DUMMYFUNCTION("""COMPUTED_VALUE"""),"KUBU RAYA")</f>
        <v>KUBU RAYA</v>
      </c>
      <c r="Q3182" s="35" t="str">
        <f>IFERROR(__xludf.DUMMYFUNCTION("""COMPUTED_VALUE"""),"KALIMANTAN BARAT")</f>
        <v>KALIMANTAN BARAT</v>
      </c>
      <c r="R3182" s="35" t="str">
        <f>IFERROR(__xludf.DUMMYFUNCTION("""COMPUTED_VALUE"""),"ISLAM")</f>
        <v>ISLAM</v>
      </c>
      <c r="S3182" s="74" t="str">
        <f>IFERROR(__xludf.DUMMYFUNCTION("""COMPUTED_VALUE"""),"IBU RUMAH TANGGA")</f>
        <v>IBU RUMAH TANGGA</v>
      </c>
      <c r="T3182" s="35" t="str">
        <f>IFERROR(__xludf.DUMMYFUNCTION("""COMPUTED_VALUE"""),"NYERI LEHER BAGIAN KANAN")</f>
        <v>NYERI LEHER BAGIAN KANAN</v>
      </c>
      <c r="U3182" s="35" t="str">
        <f>IFERROR(__xludf.DUMMYFUNCTION("""COMPUTED_VALUE"""),"SULIT UTK MENOLEH KEKANAN")</f>
        <v>SULIT UTK MENOLEH KEKANAN</v>
      </c>
      <c r="V3182" s="35" t="str">
        <f>IFERROR(__xludf.DUMMYFUNCTION("""COMPUTED_VALUE"""),"081250892424")</f>
        <v>081250892424</v>
      </c>
      <c r="W3182" s="45"/>
    </row>
    <row r="3183">
      <c r="A3183" s="45"/>
      <c r="B3183" s="35" t="str">
        <f>IFERROR(__xludf.DUMMYFUNCTION("""COMPUTED_VALUE"""),"13/12/2025 6:57:57")</f>
        <v>13/12/2025 6:57:57</v>
      </c>
      <c r="C3183" s="35"/>
      <c r="D3183" s="10">
        <f>IFERROR(__xludf.DUMMYFUNCTION("""COMPUTED_VALUE"""),46004.0)</f>
        <v>46004</v>
      </c>
      <c r="E3183" s="35" t="str">
        <f>IFERROR(__xludf.DUMMYFUNCTION("""COMPUTED_VALUE"""),"12Des")</f>
        <v>12Des</v>
      </c>
      <c r="F3183" s="35" t="str">
        <f>IFERROR(__xludf.DUMMYFUNCTION("""COMPUTED_VALUE"""),"2025")</f>
        <v>2025</v>
      </c>
      <c r="G3183" s="35" t="str">
        <f>IFERROR(__xludf.DUMMYFUNCTION("""COMPUTED_VALUE"""),"JUNINHO")</f>
        <v>JUNINHO</v>
      </c>
      <c r="H3183" s="35" t="str">
        <f>IFERROR(__xludf.DUMMYFUNCTION("""COMPUTED_VALUE"""),"J9725122238")</f>
        <v>J9725122238</v>
      </c>
      <c r="I3183" s="35">
        <f>IFERROR(__xludf.DUMMYFUNCTION("""COMPUTED_VALUE"""),29.0)</f>
        <v>29</v>
      </c>
      <c r="J3183" s="35" t="str">
        <f>IFERROR(__xludf.DUMMYFUNCTION("""COMPUTED_VALUE"""),"25-34 tahun")</f>
        <v>25-34 tahun</v>
      </c>
      <c r="K3183" s="35" t="str">
        <f>IFERROR(__xludf.DUMMYFUNCTION("""COMPUTED_VALUE"""),"05/06/1997")</f>
        <v>05/06/1997</v>
      </c>
      <c r="L3183" s="35" t="str">
        <f>IFERROR(__xludf.DUMMYFUNCTION("""COMPUTED_VALUE"""),"LAKI-LAKI")</f>
        <v>LAKI-LAKI</v>
      </c>
      <c r="M3183" s="35" t="str">
        <f>IFERROR(__xludf.DUMMYFUNCTION("""COMPUTED_VALUE"""),"JALAN ADISUCIPTO KOMPLEK SAKURA PERMAI NO.24A")</f>
        <v>JALAN ADISUCIPTO KOMPLEK SAKURA PERMAI NO.24A</v>
      </c>
      <c r="N3183" s="35" t="str">
        <f>IFERROR(__xludf.DUMMYFUNCTION("""COMPUTED_VALUE"""),"SUNGAI RAYA")</f>
        <v>SUNGAI RAYA</v>
      </c>
      <c r="O3183" s="35" t="str">
        <f>IFERROR(__xludf.DUMMYFUNCTION("""COMPUTED_VALUE"""),"SUNGAI RAYA")</f>
        <v>SUNGAI RAYA</v>
      </c>
      <c r="P3183" s="35" t="str">
        <f>IFERROR(__xludf.DUMMYFUNCTION("""COMPUTED_VALUE"""),"KUBU RAYA")</f>
        <v>KUBU RAYA</v>
      </c>
      <c r="Q3183" s="35" t="str">
        <f>IFERROR(__xludf.DUMMYFUNCTION("""COMPUTED_VALUE"""),"KALIMANTAN BARAT")</f>
        <v>KALIMANTAN BARAT</v>
      </c>
      <c r="R3183" s="35" t="str">
        <f>IFERROR(__xludf.DUMMYFUNCTION("""COMPUTED_VALUE"""),"KHONGHUCU")</f>
        <v>KHONGHUCU</v>
      </c>
      <c r="S3183" s="74" t="str">
        <f>IFERROR(__xludf.DUMMYFUNCTION("""COMPUTED_VALUE"""),"KARYAWAN WIRASWASTA")</f>
        <v>KARYAWAN WIRASWASTA</v>
      </c>
      <c r="T3183" s="35" t="str">
        <f>IFERROR(__xludf.DUMMYFUNCTION("""COMPUTED_VALUE"""),"KAKI KALAU JALAN SAKIT")</f>
        <v>KAKI KALAU JALAN SAKIT</v>
      </c>
      <c r="U3183" s="35" t="str">
        <f>IFERROR(__xludf.DUMMYFUNCTION("""COMPUTED_VALUE"""),"MEMBAWA BARANG YANG BERAT SAMBIL JALAN")</f>
        <v>MEMBAWA BARANG YANG BERAT SAMBIL JALAN</v>
      </c>
      <c r="V3183" s="35" t="str">
        <f>IFERROR(__xludf.DUMMYFUNCTION("""COMPUTED_VALUE"""),"082251332238")</f>
        <v>082251332238</v>
      </c>
      <c r="W3183" s="45"/>
    </row>
    <row r="3184">
      <c r="A3184" s="45"/>
      <c r="B3184" s="35" t="str">
        <f>IFERROR(__xludf.DUMMYFUNCTION("""COMPUTED_VALUE"""),"13/12/2025 11:17:00")</f>
        <v>13/12/2025 11:17:00</v>
      </c>
      <c r="C3184" s="35"/>
      <c r="D3184" s="10">
        <f>IFERROR(__xludf.DUMMYFUNCTION("""COMPUTED_VALUE"""),46004.0)</f>
        <v>46004</v>
      </c>
      <c r="E3184" s="35" t="str">
        <f>IFERROR(__xludf.DUMMYFUNCTION("""COMPUTED_VALUE"""),"12Des")</f>
        <v>12Des</v>
      </c>
      <c r="F3184" s="35" t="str">
        <f>IFERROR(__xludf.DUMMYFUNCTION("""COMPUTED_VALUE"""),"2025")</f>
        <v>2025</v>
      </c>
      <c r="G3184" s="35" t="str">
        <f>IFERROR(__xludf.DUMMYFUNCTION("""COMPUTED_VALUE"""),"NURMIATY SALMAH")</f>
        <v>NURMIATY SALMAH</v>
      </c>
      <c r="H3184" s="35" t="str">
        <f>IFERROR(__xludf.DUMMYFUNCTION("""COMPUTED_VALUE"""),"N5725121100")</f>
        <v>N5725121100</v>
      </c>
      <c r="I3184" s="35">
        <f>IFERROR(__xludf.DUMMYFUNCTION("""COMPUTED_VALUE"""),69.0)</f>
        <v>69</v>
      </c>
      <c r="J3184" s="35" t="str">
        <f>IFERROR(__xludf.DUMMYFUNCTION("""COMPUTED_VALUE"""),"&gt; 44 tahun")</f>
        <v>&gt; 44 tahun</v>
      </c>
      <c r="K3184" s="35" t="str">
        <f>IFERROR(__xludf.DUMMYFUNCTION("""COMPUTED_VALUE"""),"02/06/1957")</f>
        <v>02/06/1957</v>
      </c>
      <c r="L3184" s="35" t="str">
        <f>IFERROR(__xludf.DUMMYFUNCTION("""COMPUTED_VALUE"""),"PEREMPUAN")</f>
        <v>PEREMPUAN</v>
      </c>
      <c r="M3184" s="35" t="str">
        <f>IFERROR(__xludf.DUMMYFUNCTION("""COMPUTED_VALUE"""),"JL PANGSUMA GG BONGSAI NO 43")</f>
        <v>JL PANGSUMA GG BONGSAI NO 43</v>
      </c>
      <c r="N3184" s="35" t="str">
        <f>IFERROR(__xludf.DUMMYFUNCTION("""COMPUTED_VALUE"""),"BERINGIN")</f>
        <v>BERINGIN</v>
      </c>
      <c r="O3184" s="35" t="str">
        <f>IFERROR(__xludf.DUMMYFUNCTION("""COMPUTED_VALUE"""),"KAPUAS")</f>
        <v>KAPUAS</v>
      </c>
      <c r="P3184" s="35" t="str">
        <f>IFERROR(__xludf.DUMMYFUNCTION("""COMPUTED_VALUE"""),"SANGGAU")</f>
        <v>SANGGAU</v>
      </c>
      <c r="Q3184" s="35" t="str">
        <f>IFERROR(__xludf.DUMMYFUNCTION("""COMPUTED_VALUE"""),"KALIMANTAN BARAT")</f>
        <v>KALIMANTAN BARAT</v>
      </c>
      <c r="R3184" s="35" t="str">
        <f>IFERROR(__xludf.DUMMYFUNCTION("""COMPUTED_VALUE"""),"ISLAM")</f>
        <v>ISLAM</v>
      </c>
      <c r="S3184" s="74" t="str">
        <f>IFERROR(__xludf.DUMMYFUNCTION("""COMPUTED_VALUE"""),"PENSIUNAN")</f>
        <v>PENSIUNAN</v>
      </c>
      <c r="T3184" s="35" t="str">
        <f>IFERROR(__xludf.DUMMYFUNCTION("""COMPUTED_VALUE"""),"SAKIT PINGGANG")</f>
        <v>SAKIT PINGGANG</v>
      </c>
      <c r="U3184" s="35" t="str">
        <f>IFERROR(__xludf.DUMMYFUNCTION("""COMPUTED_VALUE"""),"IRT")</f>
        <v>IRT</v>
      </c>
      <c r="V3184" s="35" t="str">
        <f>IFERROR(__xludf.DUMMYFUNCTION("""COMPUTED_VALUE"""),"085391831100")</f>
        <v>085391831100</v>
      </c>
      <c r="W3184" s="45"/>
    </row>
    <row r="3185">
      <c r="A3185" s="45"/>
      <c r="B3185" s="35" t="str">
        <f>IFERROR(__xludf.DUMMYFUNCTION("""COMPUTED_VALUE"""),"13/12/2025 14:48:06")</f>
        <v>13/12/2025 14:48:06</v>
      </c>
      <c r="C3185" s="35"/>
      <c r="D3185" s="10">
        <f>IFERROR(__xludf.DUMMYFUNCTION("""COMPUTED_VALUE"""),46004.0)</f>
        <v>46004</v>
      </c>
      <c r="E3185" s="35" t="str">
        <f>IFERROR(__xludf.DUMMYFUNCTION("""COMPUTED_VALUE"""),"12Des")</f>
        <v>12Des</v>
      </c>
      <c r="F3185" s="35" t="str">
        <f>IFERROR(__xludf.DUMMYFUNCTION("""COMPUTED_VALUE"""),"2025")</f>
        <v>2025</v>
      </c>
      <c r="G3185" s="35" t="str">
        <f>IFERROR(__xludf.DUMMYFUNCTION("""COMPUTED_VALUE"""),"DWI FITRIANINGSIH")</f>
        <v>DWI FITRIANINGSIH</v>
      </c>
      <c r="H3185" s="35" t="str">
        <f>IFERROR(__xludf.DUMMYFUNCTION("""COMPUTED_VALUE"""),"D8525121185")</f>
        <v>D8525121185</v>
      </c>
      <c r="I3185" s="35">
        <f>IFERROR(__xludf.DUMMYFUNCTION("""COMPUTED_VALUE"""),40.0)</f>
        <v>40</v>
      </c>
      <c r="J3185" s="35" t="str">
        <f>IFERROR(__xludf.DUMMYFUNCTION("""COMPUTED_VALUE"""),"35-44 tahun")</f>
        <v>35-44 tahun</v>
      </c>
      <c r="K3185" s="35" t="str">
        <f>IFERROR(__xludf.DUMMYFUNCTION("""COMPUTED_VALUE"""),"25/06/1985")</f>
        <v>25/06/1985</v>
      </c>
      <c r="L3185" s="35" t="str">
        <f>IFERROR(__xludf.DUMMYFUNCTION("""COMPUTED_VALUE"""),"PEREMPUAN")</f>
        <v>PEREMPUAN</v>
      </c>
      <c r="M3185" s="35" t="str">
        <f>IFERROR(__xludf.DUMMYFUNCTION("""COMPUTED_VALUE"""),"JL. PANGERAN AFFANDI A. RANI JALUR 2 BTN BALI PERMAI BLOK O")</f>
        <v>JL. PANGERAN AFFANDI A. RANI JALUR 2 BTN BALI PERMAI BLOK O</v>
      </c>
      <c r="N3185" s="35" t="str">
        <f>IFERROR(__xludf.DUMMYFUNCTION("""COMPUTED_VALUE"""),"RAJA")</f>
        <v>RAJA</v>
      </c>
      <c r="O3185" s="35" t="str">
        <f>IFERROR(__xludf.DUMMYFUNCTION("""COMPUTED_VALUE"""),"NGABANG")</f>
        <v>NGABANG</v>
      </c>
      <c r="P3185" s="35" t="str">
        <f>IFERROR(__xludf.DUMMYFUNCTION("""COMPUTED_VALUE"""),"LANDAK")</f>
        <v>LANDAK</v>
      </c>
      <c r="Q3185" s="35" t="str">
        <f>IFERROR(__xludf.DUMMYFUNCTION("""COMPUTED_VALUE"""),"KALIMANTAN BARAT")</f>
        <v>KALIMANTAN BARAT</v>
      </c>
      <c r="R3185" s="35" t="str">
        <f>IFERROR(__xludf.DUMMYFUNCTION("""COMPUTED_VALUE"""),"ISLAM")</f>
        <v>ISLAM</v>
      </c>
      <c r="S3185" s="74" t="str">
        <f>IFERROR(__xludf.DUMMYFUNCTION("""COMPUTED_VALUE"""),"IRT")</f>
        <v>IRT</v>
      </c>
      <c r="T3185" s="35" t="str">
        <f>IFERROR(__xludf.DUMMYFUNCTION("""COMPUTED_VALUE"""),"PALNTAR PACITIS")</f>
        <v>PALNTAR PACITIS</v>
      </c>
      <c r="U3185" s="35" t="str">
        <f>IFERROR(__xludf.DUMMYFUNCTION("""COMPUTED_VALUE"""),"-")</f>
        <v>-</v>
      </c>
      <c r="V3185" s="35" t="str">
        <f>IFERROR(__xludf.DUMMYFUNCTION("""COMPUTED_VALUE"""),"085750411185")</f>
        <v>085750411185</v>
      </c>
      <c r="W3185" s="45"/>
    </row>
    <row r="3186">
      <c r="A3186" s="45"/>
      <c r="B3186" s="35" t="str">
        <f>IFERROR(__xludf.DUMMYFUNCTION("""COMPUTED_VALUE"""),"13/12/2025 19:08:28")</f>
        <v>13/12/2025 19:08:28</v>
      </c>
      <c r="C3186" s="35"/>
      <c r="D3186" s="10">
        <f>IFERROR(__xludf.DUMMYFUNCTION("""COMPUTED_VALUE"""),46004.0)</f>
        <v>46004</v>
      </c>
      <c r="E3186" s="35" t="str">
        <f>IFERROR(__xludf.DUMMYFUNCTION("""COMPUTED_VALUE"""),"12Des")</f>
        <v>12Des</v>
      </c>
      <c r="F3186" s="35" t="str">
        <f>IFERROR(__xludf.DUMMYFUNCTION("""COMPUTED_VALUE"""),"2025")</f>
        <v>2025</v>
      </c>
      <c r="G3186" s="35" t="str">
        <f>IFERROR(__xludf.DUMMYFUNCTION("""COMPUTED_VALUE"""),"JERI SUPRTIADI")</f>
        <v>JERI SUPRTIADI</v>
      </c>
      <c r="H3186" s="35" t="str">
        <f>IFERROR(__xludf.DUMMYFUNCTION("""COMPUTED_VALUE"""),"J9725124944")</f>
        <v>J9725124944</v>
      </c>
      <c r="I3186" s="35">
        <f>IFERROR(__xludf.DUMMYFUNCTION("""COMPUTED_VALUE"""),28.0)</f>
        <v>28</v>
      </c>
      <c r="J3186" s="35" t="str">
        <f>IFERROR(__xludf.DUMMYFUNCTION("""COMPUTED_VALUE"""),"25-34 tahun")</f>
        <v>25-34 tahun</v>
      </c>
      <c r="K3186" s="35" t="str">
        <f>IFERROR(__xludf.DUMMYFUNCTION("""COMPUTED_VALUE"""),"02/09/1997")</f>
        <v>02/09/1997</v>
      </c>
      <c r="L3186" s="35" t="str">
        <f>IFERROR(__xludf.DUMMYFUNCTION("""COMPUTED_VALUE"""),"LAKI-LAKI")</f>
        <v>LAKI-LAKI</v>
      </c>
      <c r="M3186" s="35" t="str">
        <f>IFERROR(__xludf.DUMMYFUNCTION("""COMPUTED_VALUE"""),"JLN PARIT PANGERAN GG MAWAR")</f>
        <v>JLN PARIT PANGERAN GG MAWAR</v>
      </c>
      <c r="N3186" s="35" t="str">
        <f>IFERROR(__xludf.DUMMYFUNCTION("""COMPUTED_VALUE"""),"SIANTAN HULU")</f>
        <v>SIANTAN HULU</v>
      </c>
      <c r="O3186" s="35" t="str">
        <f>IFERROR(__xludf.DUMMYFUNCTION("""COMPUTED_VALUE"""),"PONTIANAK UTARA")</f>
        <v>PONTIANAK UTARA</v>
      </c>
      <c r="P3186" s="35" t="str">
        <f>IFERROR(__xludf.DUMMYFUNCTION("""COMPUTED_VALUE"""),"PONTIANAK")</f>
        <v>PONTIANAK</v>
      </c>
      <c r="Q3186" s="35" t="str">
        <f>IFERROR(__xludf.DUMMYFUNCTION("""COMPUTED_VALUE"""),"KALIMANTAN BARAT")</f>
        <v>KALIMANTAN BARAT</v>
      </c>
      <c r="R3186" s="35" t="str">
        <f>IFERROR(__xludf.DUMMYFUNCTION("""COMPUTED_VALUE"""),"ISLAM")</f>
        <v>ISLAM</v>
      </c>
      <c r="S3186" s="74" t="str">
        <f>IFERROR(__xludf.DUMMYFUNCTION("""COMPUTED_VALUE"""),"PERDAGANGAN")</f>
        <v>PERDAGANGAN</v>
      </c>
      <c r="T3186" s="35" t="str">
        <f>IFERROR(__xludf.DUMMYFUNCTION("""COMPUTED_VALUE"""),"CIDERA LUTUT")</f>
        <v>CIDERA LUTUT</v>
      </c>
      <c r="U3186" s="35" t="str">
        <f>IFERROR(__xludf.DUMMYFUNCTION("""COMPUTED_VALUE"""),"MAIN BOLA")</f>
        <v>MAIN BOLA</v>
      </c>
      <c r="V3186" s="35" t="str">
        <f>IFERROR(__xludf.DUMMYFUNCTION("""COMPUTED_VALUE"""),"0895422414944")</f>
        <v>0895422414944</v>
      </c>
      <c r="W3186" s="45"/>
    </row>
    <row r="3187">
      <c r="A3187" s="45"/>
      <c r="B3187" s="35" t="str">
        <f>IFERROR(__xludf.DUMMYFUNCTION("""COMPUTED_VALUE"""),"14/12/2025 13:00:51")</f>
        <v>14/12/2025 13:00:51</v>
      </c>
      <c r="C3187" s="35"/>
      <c r="D3187" s="10">
        <f>IFERROR(__xludf.DUMMYFUNCTION("""COMPUTED_VALUE"""),46005.0)</f>
        <v>46005</v>
      </c>
      <c r="E3187" s="35" t="str">
        <f>IFERROR(__xludf.DUMMYFUNCTION("""COMPUTED_VALUE"""),"12Des")</f>
        <v>12Des</v>
      </c>
      <c r="F3187" s="35" t="str">
        <f>IFERROR(__xludf.DUMMYFUNCTION("""COMPUTED_VALUE"""),"2025")</f>
        <v>2025</v>
      </c>
      <c r="G3187" s="35" t="str">
        <f>IFERROR(__xludf.DUMMYFUNCTION("""COMPUTED_VALUE"""),"ANDRI DOS SANTOS")</f>
        <v>ANDRI DOS SANTOS</v>
      </c>
      <c r="H3187" s="35" t="str">
        <f>IFERROR(__xludf.DUMMYFUNCTION("""COMPUTED_VALUE"""),"A9625120301")</f>
        <v>A9625120301</v>
      </c>
      <c r="I3187" s="35">
        <f>IFERROR(__xludf.DUMMYFUNCTION("""COMPUTED_VALUE"""),29.0)</f>
        <v>29</v>
      </c>
      <c r="J3187" s="35" t="str">
        <f>IFERROR(__xludf.DUMMYFUNCTION("""COMPUTED_VALUE"""),"25-34 tahun")</f>
        <v>25-34 tahun</v>
      </c>
      <c r="K3187" s="35" t="str">
        <f>IFERROR(__xludf.DUMMYFUNCTION("""COMPUTED_VALUE"""),"12/08/1996")</f>
        <v>12/08/1996</v>
      </c>
      <c r="L3187" s="35" t="str">
        <f>IFERROR(__xludf.DUMMYFUNCTION("""COMPUTED_VALUE"""),"LAKI-LAKI")</f>
        <v>LAKI-LAKI</v>
      </c>
      <c r="M3187" s="35" t="str">
        <f>IFERROR(__xludf.DUMMYFUNCTION("""COMPUTED_VALUE"""),"GG. PURNAWIRAWAN 1")</f>
        <v>GG. PURNAWIRAWAN 1</v>
      </c>
      <c r="N3187" s="35" t="str">
        <f>IFERROR(__xludf.DUMMYFUNCTION("""COMPUTED_VALUE"""),"SUNGAI RAYA")</f>
        <v>SUNGAI RAYA</v>
      </c>
      <c r="O3187" s="35" t="str">
        <f>IFERROR(__xludf.DUMMYFUNCTION("""COMPUTED_VALUE"""),"SUNGAI RAYA")</f>
        <v>SUNGAI RAYA</v>
      </c>
      <c r="P3187" s="35" t="str">
        <f>IFERROR(__xludf.DUMMYFUNCTION("""COMPUTED_VALUE"""),"KUBU RAYA")</f>
        <v>KUBU RAYA</v>
      </c>
      <c r="Q3187" s="35" t="str">
        <f>IFERROR(__xludf.DUMMYFUNCTION("""COMPUTED_VALUE"""),"KALIMANTAN BARAT")</f>
        <v>KALIMANTAN BARAT</v>
      </c>
      <c r="R3187" s="35" t="str">
        <f>IFERROR(__xludf.DUMMYFUNCTION("""COMPUTED_VALUE"""),"KATOLIK")</f>
        <v>KATOLIK</v>
      </c>
      <c r="S3187" s="74" t="str">
        <f>IFERROR(__xludf.DUMMYFUNCTION("""COMPUTED_VALUE"""),"SWASTA")</f>
        <v>SWASTA</v>
      </c>
      <c r="T3187" s="35" t="str">
        <f>IFERROR(__xludf.DUMMYFUNCTION("""COMPUTED_VALUE"""),"BENGKAK DI AREA ATAS TUMIT KAKI SEBELAH KANAN")</f>
        <v>BENGKAK DI AREA ATAS TUMIT KAKI SEBELAH KANAN</v>
      </c>
      <c r="U3187" s="35" t="str">
        <f>IFERROR(__xludf.DUMMYFUNCTION("""COMPUTED_VALUE"""),"SEPAK BOLA")</f>
        <v>SEPAK BOLA</v>
      </c>
      <c r="V3187" s="35" t="str">
        <f>IFERROR(__xludf.DUMMYFUNCTION("""COMPUTED_VALUE"""),"0895624500301")</f>
        <v>0895624500301</v>
      </c>
      <c r="W3187" s="45"/>
    </row>
    <row r="3188">
      <c r="A3188" s="45"/>
      <c r="B3188" s="35" t="str">
        <f>IFERROR(__xludf.DUMMYFUNCTION("""COMPUTED_VALUE"""),"14/12/2025 13:33:25")</f>
        <v>14/12/2025 13:33:25</v>
      </c>
      <c r="C3188" s="35"/>
      <c r="D3188" s="10">
        <f>IFERROR(__xludf.DUMMYFUNCTION("""COMPUTED_VALUE"""),46005.0)</f>
        <v>46005</v>
      </c>
      <c r="E3188" s="35" t="str">
        <f>IFERROR(__xludf.DUMMYFUNCTION("""COMPUTED_VALUE"""),"12Des")</f>
        <v>12Des</v>
      </c>
      <c r="F3188" s="35" t="str">
        <f>IFERROR(__xludf.DUMMYFUNCTION("""COMPUTED_VALUE"""),"2025")</f>
        <v>2025</v>
      </c>
      <c r="G3188" s="35" t="str">
        <f>IFERROR(__xludf.DUMMYFUNCTION("""COMPUTED_VALUE"""),"ANGEL OLIVIA")</f>
        <v>ANGEL OLIVIA</v>
      </c>
      <c r="H3188" s="35" t="str">
        <f>IFERROR(__xludf.DUMMYFUNCTION("""COMPUTED_VALUE"""),"A0325125109")</f>
        <v>A0325125109</v>
      </c>
      <c r="I3188" s="35">
        <f>IFERROR(__xludf.DUMMYFUNCTION("""COMPUTED_VALUE"""),22.0)</f>
        <v>22</v>
      </c>
      <c r="J3188" s="35" t="str">
        <f>IFERROR(__xludf.DUMMYFUNCTION("""COMPUTED_VALUE"""),"18-24 tahun")</f>
        <v>18-24 tahun</v>
      </c>
      <c r="K3188" s="35" t="str">
        <f>IFERROR(__xludf.DUMMYFUNCTION("""COMPUTED_VALUE"""),"21/07/2003")</f>
        <v>21/07/2003</v>
      </c>
      <c r="L3188" s="35" t="str">
        <f>IFERROR(__xludf.DUMMYFUNCTION("""COMPUTED_VALUE"""),"PEREMPUAN")</f>
        <v>PEREMPUAN</v>
      </c>
      <c r="M3188" s="35" t="str">
        <f>IFERROR(__xludf.DUMMYFUNCTION("""COMPUTED_VALUE"""),"GG ALPOKAT LESTARI B3")</f>
        <v>GG ALPOKAT LESTARI B3</v>
      </c>
      <c r="N3188" s="35" t="str">
        <f>IFERROR(__xludf.DUMMYFUNCTION("""COMPUTED_VALUE"""),"SUNGAI BELIUNG")</f>
        <v>SUNGAI BELIUNG</v>
      </c>
      <c r="O3188" s="35" t="str">
        <f>IFERROR(__xludf.DUMMYFUNCTION("""COMPUTED_VALUE"""),"PONTIANAK BARAT")</f>
        <v>PONTIANAK BARAT</v>
      </c>
      <c r="P3188" s="35" t="str">
        <f>IFERROR(__xludf.DUMMYFUNCTION("""COMPUTED_VALUE"""),"PONTIANAK")</f>
        <v>PONTIANAK</v>
      </c>
      <c r="Q3188" s="35" t="str">
        <f>IFERROR(__xludf.DUMMYFUNCTION("""COMPUTED_VALUE"""),"KALIMANTAN BARAT")</f>
        <v>KALIMANTAN BARAT</v>
      </c>
      <c r="R3188" s="35" t="str">
        <f>IFERROR(__xludf.DUMMYFUNCTION("""COMPUTED_VALUE"""),"PROTESTAN")</f>
        <v>PROTESTAN</v>
      </c>
      <c r="S3188" s="74" t="str">
        <f>IFERROR(__xludf.DUMMYFUNCTION("""COMPUTED_VALUE"""),"BARISTA")</f>
        <v>BARISTA</v>
      </c>
      <c r="T3188" s="35" t="str">
        <f>IFERROR(__xludf.DUMMYFUNCTION("""COMPUTED_VALUE"""),"SERING PEGAL")</f>
        <v>SERING PEGAL</v>
      </c>
      <c r="U3188" s="35" t="str">
        <f>IFERROR(__xludf.DUMMYFUNCTION("""COMPUTED_VALUE"""),"KARYAWAN CAFFE")</f>
        <v>KARYAWAN CAFFE</v>
      </c>
      <c r="V3188" s="35" t="str">
        <f>IFERROR(__xludf.DUMMYFUNCTION("""COMPUTED_VALUE"""),"083137755109")</f>
        <v>083137755109</v>
      </c>
      <c r="W3188" s="45"/>
    </row>
    <row r="3189">
      <c r="A3189" s="45"/>
      <c r="B3189" s="35" t="str">
        <f>IFERROR(__xludf.DUMMYFUNCTION("""COMPUTED_VALUE"""),"14/12/2025 15:33:04")</f>
        <v>14/12/2025 15:33:04</v>
      </c>
      <c r="C3189" s="35"/>
      <c r="D3189" s="10">
        <f>IFERROR(__xludf.DUMMYFUNCTION("""COMPUTED_VALUE"""),46005.0)</f>
        <v>46005</v>
      </c>
      <c r="E3189" s="35" t="str">
        <f>IFERROR(__xludf.DUMMYFUNCTION("""COMPUTED_VALUE"""),"12Des")</f>
        <v>12Des</v>
      </c>
      <c r="F3189" s="35" t="str">
        <f>IFERROR(__xludf.DUMMYFUNCTION("""COMPUTED_VALUE"""),"2025")</f>
        <v>2025</v>
      </c>
      <c r="G3189" s="35" t="str">
        <f>IFERROR(__xludf.DUMMYFUNCTION("""COMPUTED_VALUE"""),"GALIH HANDAYANI")</f>
        <v>GALIH HANDAYANI</v>
      </c>
      <c r="H3189" s="35" t="str">
        <f>IFERROR(__xludf.DUMMYFUNCTION("""COMPUTED_VALUE"""),"G8425125725")</f>
        <v>G8425125725</v>
      </c>
      <c r="I3189" s="35">
        <f>IFERROR(__xludf.DUMMYFUNCTION("""COMPUTED_VALUE"""),41.0)</f>
        <v>41</v>
      </c>
      <c r="J3189" s="35" t="str">
        <f>IFERROR(__xludf.DUMMYFUNCTION("""COMPUTED_VALUE"""),"35-44 tahun")</f>
        <v>35-44 tahun</v>
      </c>
      <c r="K3189" s="35" t="str">
        <f>IFERROR(__xludf.DUMMYFUNCTION("""COMPUTED_VALUE"""),"06/08/1984")</f>
        <v>06/08/1984</v>
      </c>
      <c r="L3189" s="35" t="str">
        <f>IFERROR(__xludf.DUMMYFUNCTION("""COMPUTED_VALUE"""),"PEREMPUAN")</f>
        <v>PEREMPUAN</v>
      </c>
      <c r="M3189" s="35" t="str">
        <f>IFERROR(__xludf.DUMMYFUNCTION("""COMPUTED_VALUE"""),"JALAN ARTERI SUPADIO, KOMPLEK PONDOK INDAH LESTARI BLOK D9 NO 15 KUBU RAYA")</f>
        <v>JALAN ARTERI SUPADIO, KOMPLEK PONDOK INDAH LESTARI BLOK D9 NO 15 KUBU RAYA</v>
      </c>
      <c r="N3189" s="35" t="str">
        <f>IFERROR(__xludf.DUMMYFUNCTION("""COMPUTED_VALUE"""),"PARIT BARU")</f>
        <v>PARIT BARU</v>
      </c>
      <c r="O3189" s="35" t="str">
        <f>IFERROR(__xludf.DUMMYFUNCTION("""COMPUTED_VALUE"""),"SUNGAI RAYA")</f>
        <v>SUNGAI RAYA</v>
      </c>
      <c r="P3189" s="35" t="str">
        <f>IFERROR(__xludf.DUMMYFUNCTION("""COMPUTED_VALUE"""),"KUBU RAYA")</f>
        <v>KUBU RAYA</v>
      </c>
      <c r="Q3189" s="35" t="str">
        <f>IFERROR(__xludf.DUMMYFUNCTION("""COMPUTED_VALUE"""),"KALIMANTAN BARAT")</f>
        <v>KALIMANTAN BARAT</v>
      </c>
      <c r="R3189" s="35" t="str">
        <f>IFERROR(__xludf.DUMMYFUNCTION("""COMPUTED_VALUE"""),"ISLAM")</f>
        <v>ISLAM</v>
      </c>
      <c r="S3189" s="74" t="str">
        <f>IFERROR(__xludf.DUMMYFUNCTION("""COMPUTED_VALUE"""),"WIRAUSAHA")</f>
        <v>WIRAUSAHA</v>
      </c>
      <c r="T3189" s="35" t="str">
        <f>IFERROR(__xludf.DUMMYFUNCTION("""COMPUTED_VALUE"""),"STORKE RINGAN (KAKI KURANG KOKOH)")</f>
        <v>STORKE RINGAN (KAKI KURANG KOKOH)</v>
      </c>
      <c r="U3189" s="35" t="str">
        <f>IFERROR(__xludf.DUMMYFUNCTION("""COMPUTED_VALUE"""),"AKTIVITAS BEKERJA SEHARI HARI MEETING DGN KLIEN")</f>
        <v>AKTIVITAS BEKERJA SEHARI HARI MEETING DGN KLIEN</v>
      </c>
      <c r="V3189" s="35" t="str">
        <f>IFERROR(__xludf.DUMMYFUNCTION("""COMPUTED_VALUE"""),"085921415725")</f>
        <v>085921415725</v>
      </c>
      <c r="W3189" s="45"/>
    </row>
    <row r="3190">
      <c r="A3190" s="45"/>
      <c r="B3190" s="35" t="str">
        <f>IFERROR(__xludf.DUMMYFUNCTION("""COMPUTED_VALUE"""),"14/12/2025 16:45:21")</f>
        <v>14/12/2025 16:45:21</v>
      </c>
      <c r="C3190" s="35"/>
      <c r="D3190" s="10">
        <f>IFERROR(__xludf.DUMMYFUNCTION("""COMPUTED_VALUE"""),46005.0)</f>
        <v>46005</v>
      </c>
      <c r="E3190" s="35" t="str">
        <f>IFERROR(__xludf.DUMMYFUNCTION("""COMPUTED_VALUE"""),"12Des")</f>
        <v>12Des</v>
      </c>
      <c r="F3190" s="35" t="str">
        <f>IFERROR(__xludf.DUMMYFUNCTION("""COMPUTED_VALUE"""),"2025")</f>
        <v>2025</v>
      </c>
      <c r="G3190" s="35" t="str">
        <f>IFERROR(__xludf.DUMMYFUNCTION("""COMPUTED_VALUE"""),"DRA. HJ. SRI MULYANI")</f>
        <v>DRA. HJ. SRI MULYANI</v>
      </c>
      <c r="H3190" s="35" t="str">
        <f>IFERROR(__xludf.DUMMYFUNCTION("""COMPUTED_VALUE"""),"D6625125696")</f>
        <v>D6625125696</v>
      </c>
      <c r="I3190" s="35">
        <f>IFERROR(__xludf.DUMMYFUNCTION("""COMPUTED_VALUE"""),59.0)</f>
        <v>59</v>
      </c>
      <c r="J3190" s="35" t="str">
        <f>IFERROR(__xludf.DUMMYFUNCTION("""COMPUTED_VALUE"""),"&gt; 44 tahun")</f>
        <v>&gt; 44 tahun</v>
      </c>
      <c r="K3190" s="35" t="str">
        <f>IFERROR(__xludf.DUMMYFUNCTION("""COMPUTED_VALUE"""),"31/10/1966")</f>
        <v>31/10/1966</v>
      </c>
      <c r="L3190" s="35" t="str">
        <f>IFERROR(__xludf.DUMMYFUNCTION("""COMPUTED_VALUE"""),"PEREMPUAN")</f>
        <v>PEREMPUAN</v>
      </c>
      <c r="M3190" s="35" t="str">
        <f>IFERROR(__xludf.DUMMYFUNCTION("""COMPUTED_VALUE"""),"JL.BINTAGOR II NO.22")</f>
        <v>JL.BINTAGOR II NO.22</v>
      </c>
      <c r="N3190" s="35" t="str">
        <f>IFERROR(__xludf.DUMMYFUNCTION("""COMPUTED_VALUE"""),"TANJUNG HULU")</f>
        <v>TANJUNG HULU</v>
      </c>
      <c r="O3190" s="35" t="str">
        <f>IFERROR(__xludf.DUMMYFUNCTION("""COMPUTED_VALUE"""),"PONTIANAK TIMUR")</f>
        <v>PONTIANAK TIMUR</v>
      </c>
      <c r="P3190" s="35" t="str">
        <f>IFERROR(__xludf.DUMMYFUNCTION("""COMPUTED_VALUE"""),"PONTIANAK")</f>
        <v>PONTIANAK</v>
      </c>
      <c r="Q3190" s="35" t="str">
        <f>IFERROR(__xludf.DUMMYFUNCTION("""COMPUTED_VALUE"""),"KALIMANTAN BARAT")</f>
        <v>KALIMANTAN BARAT</v>
      </c>
      <c r="R3190" s="35" t="str">
        <f>IFERROR(__xludf.DUMMYFUNCTION("""COMPUTED_VALUE"""),"ISLAM")</f>
        <v>ISLAM</v>
      </c>
      <c r="S3190" s="74" t="str">
        <f>IFERROR(__xludf.DUMMYFUNCTION("""COMPUTED_VALUE"""),"PNS")</f>
        <v>PNS</v>
      </c>
      <c r="T3190" s="35" t="str">
        <f>IFERROR(__xludf.DUMMYFUNCTION("""COMPUTED_VALUE"""),"PINGGANG")</f>
        <v>PINGGANG</v>
      </c>
      <c r="U3190" s="35" t="str">
        <f>IFERROR(__xludf.DUMMYFUNCTION("""COMPUTED_VALUE"""),"-")</f>
        <v>-</v>
      </c>
      <c r="V3190" s="35" t="str">
        <f>IFERROR(__xludf.DUMMYFUNCTION("""COMPUTED_VALUE"""),"081256815696")</f>
        <v>081256815696</v>
      </c>
      <c r="W3190" s="45"/>
    </row>
    <row r="3191">
      <c r="A3191" s="45"/>
      <c r="B3191" s="35" t="str">
        <f>IFERROR(__xludf.DUMMYFUNCTION("""COMPUTED_VALUE"""),"15/12/2025 12:11:28")</f>
        <v>15/12/2025 12:11:28</v>
      </c>
      <c r="C3191" s="35"/>
      <c r="D3191" s="10">
        <f>IFERROR(__xludf.DUMMYFUNCTION("""COMPUTED_VALUE"""),46006.0)</f>
        <v>46006</v>
      </c>
      <c r="E3191" s="35" t="str">
        <f>IFERROR(__xludf.DUMMYFUNCTION("""COMPUTED_VALUE"""),"12Des")</f>
        <v>12Des</v>
      </c>
      <c r="F3191" s="35" t="str">
        <f>IFERROR(__xludf.DUMMYFUNCTION("""COMPUTED_VALUE"""),"2025")</f>
        <v>2025</v>
      </c>
      <c r="G3191" s="35" t="str">
        <f>IFERROR(__xludf.DUMMYFUNCTION("""COMPUTED_VALUE"""),"ELLEN ARINDA PRATIWI")</f>
        <v>ELLEN ARINDA PRATIWI</v>
      </c>
      <c r="H3191" s="35" t="str">
        <f>IFERROR(__xludf.DUMMYFUNCTION("""COMPUTED_VALUE"""),"E9725120876")</f>
        <v>E9725120876</v>
      </c>
      <c r="I3191" s="35">
        <f>IFERROR(__xludf.DUMMYFUNCTION("""COMPUTED_VALUE"""),28.0)</f>
        <v>28</v>
      </c>
      <c r="J3191" s="35" t="str">
        <f>IFERROR(__xludf.DUMMYFUNCTION("""COMPUTED_VALUE"""),"25-34 tahun")</f>
        <v>25-34 tahun</v>
      </c>
      <c r="K3191" s="35" t="str">
        <f>IFERROR(__xludf.DUMMYFUNCTION("""COMPUTED_VALUE"""),"23/09/1997")</f>
        <v>23/09/1997</v>
      </c>
      <c r="L3191" s="35" t="str">
        <f>IFERROR(__xludf.DUMMYFUNCTION("""COMPUTED_VALUE"""),"PEREMPUAN")</f>
        <v>PEREMPUAN</v>
      </c>
      <c r="M3191" s="35" t="str">
        <f>IFERROR(__xludf.DUMMYFUNCTION("""COMPUTED_VALUE"""),"BANDUNG, KALAU DI PONTI SAMAIN KYK AKU")</f>
        <v>BANDUNG, KALAU DI PONTI SAMAIN KYK AKU</v>
      </c>
      <c r="N3191" s="35" t="str">
        <f>IFERROR(__xludf.DUMMYFUNCTION("""COMPUTED_VALUE"""),"PARITTOKAYA")</f>
        <v>PARITTOKAYA</v>
      </c>
      <c r="O3191" s="35" t="str">
        <f>IFERROR(__xludf.DUMMYFUNCTION("""COMPUTED_VALUE"""),"PONTIANAK SELATAN")</f>
        <v>PONTIANAK SELATAN</v>
      </c>
      <c r="P3191" s="35" t="str">
        <f>IFERROR(__xludf.DUMMYFUNCTION("""COMPUTED_VALUE"""),"PONTIANAK")</f>
        <v>PONTIANAK</v>
      </c>
      <c r="Q3191" s="35" t="str">
        <f>IFERROR(__xludf.DUMMYFUNCTION("""COMPUTED_VALUE"""),"KALBAR")</f>
        <v>KALBAR</v>
      </c>
      <c r="R3191" s="35" t="str">
        <f>IFERROR(__xludf.DUMMYFUNCTION("""COMPUTED_VALUE"""),"KATOLIK")</f>
        <v>KATOLIK</v>
      </c>
      <c r="S3191" s="74" t="str">
        <f>IFERROR(__xludf.DUMMYFUNCTION("""COMPUTED_VALUE"""),"GURU TODDLER")</f>
        <v>GURU TODDLER</v>
      </c>
      <c r="T3191" s="35" t="str">
        <f>IFERROR(__xludf.DUMMYFUNCTION("""COMPUTED_VALUE"""),"SALAH TIDOK SM SAKIT PINGGANG")</f>
        <v>SALAH TIDOK SM SAKIT PINGGANG</v>
      </c>
      <c r="U3191" s="35" t="str">
        <f>IFERROR(__xludf.DUMMYFUNCTION("""COMPUTED_VALUE"""),"SKOLIOSIS DIE")</f>
        <v>SKOLIOSIS DIE</v>
      </c>
      <c r="V3191" s="35" t="str">
        <f>IFERROR(__xludf.DUMMYFUNCTION("""COMPUTED_VALUE"""),"087818370876")</f>
        <v>087818370876</v>
      </c>
      <c r="W3191" s="45"/>
    </row>
    <row r="3192">
      <c r="A3192" s="45"/>
      <c r="B3192" s="35" t="str">
        <f>IFERROR(__xludf.DUMMYFUNCTION("""COMPUTED_VALUE"""),"15/12/2025 14:25:17")</f>
        <v>15/12/2025 14:25:17</v>
      </c>
      <c r="C3192" s="35"/>
      <c r="D3192" s="10">
        <f>IFERROR(__xludf.DUMMYFUNCTION("""COMPUTED_VALUE"""),46006.0)</f>
        <v>46006</v>
      </c>
      <c r="E3192" s="35" t="str">
        <f>IFERROR(__xludf.DUMMYFUNCTION("""COMPUTED_VALUE"""),"12Des")</f>
        <v>12Des</v>
      </c>
      <c r="F3192" s="35" t="str">
        <f>IFERROR(__xludf.DUMMYFUNCTION("""COMPUTED_VALUE"""),"2025")</f>
        <v>2025</v>
      </c>
      <c r="G3192" s="35" t="str">
        <f>IFERROR(__xludf.DUMMYFUNCTION("""COMPUTED_VALUE"""),"FARIDA HASTUTI")</f>
        <v>FARIDA HASTUTI</v>
      </c>
      <c r="H3192" s="35" t="str">
        <f>IFERROR(__xludf.DUMMYFUNCTION("""COMPUTED_VALUE"""),"F6125128057")</f>
        <v>F6125128057</v>
      </c>
      <c r="I3192" s="35">
        <f>IFERROR(__xludf.DUMMYFUNCTION("""COMPUTED_VALUE"""),64.0)</f>
        <v>64</v>
      </c>
      <c r="J3192" s="35" t="str">
        <f>IFERROR(__xludf.DUMMYFUNCTION("""COMPUTED_VALUE"""),"&gt; 44 tahun")</f>
        <v>&gt; 44 tahun</v>
      </c>
      <c r="K3192" s="35" t="str">
        <f>IFERROR(__xludf.DUMMYFUNCTION("""COMPUTED_VALUE"""),"09/09/1961")</f>
        <v>09/09/1961</v>
      </c>
      <c r="L3192" s="35" t="str">
        <f>IFERROR(__xludf.DUMMYFUNCTION("""COMPUTED_VALUE"""),"PEREMPUAN")</f>
        <v>PEREMPUAN</v>
      </c>
      <c r="M3192" s="35" t="str">
        <f>IFERROR(__xludf.DUMMYFUNCTION("""COMPUTED_VALUE"""),"JALAN HUSEIN HAMZAH GG MERAPI NO 27")</f>
        <v>JALAN HUSEIN HAMZAH GG MERAPI NO 27</v>
      </c>
      <c r="N3192" s="35" t="str">
        <f>IFERROR(__xludf.DUMMYFUNCTION("""COMPUTED_VALUE"""),"SUI JAWI DALAM")</f>
        <v>SUI JAWI DALAM</v>
      </c>
      <c r="O3192" s="35" t="str">
        <f>IFERROR(__xludf.DUMMYFUNCTION("""COMPUTED_VALUE"""),"PONTIANAJ BARAT")</f>
        <v>PONTIANAJ BARAT</v>
      </c>
      <c r="P3192" s="35" t="str">
        <f>IFERROR(__xludf.DUMMYFUNCTION("""COMPUTED_VALUE"""),"PONTIANAK")</f>
        <v>PONTIANAK</v>
      </c>
      <c r="Q3192" s="35" t="str">
        <f>IFERROR(__xludf.DUMMYFUNCTION("""COMPUTED_VALUE"""),"KALIMANTAN BARAT")</f>
        <v>KALIMANTAN BARAT</v>
      </c>
      <c r="R3192" s="35" t="str">
        <f>IFERROR(__xludf.DUMMYFUNCTION("""COMPUTED_VALUE"""),"ISLAM")</f>
        <v>ISLAM</v>
      </c>
      <c r="S3192" s="74" t="str">
        <f>IFERROR(__xludf.DUMMYFUNCTION("""COMPUTED_VALUE"""),"IRT")</f>
        <v>IRT</v>
      </c>
      <c r="T3192" s="35" t="str">
        <f>IFERROR(__xludf.DUMMYFUNCTION("""COMPUTED_VALUE"""),"SAKIT DI BAGIAN KAKI , AWAL KARNA SQUAT . SEMPAT SEMBUH . TRUS KEPELESET JADI KETRIGGER LAGI")</f>
        <v>SAKIT DI BAGIAN KAKI , AWAL KARNA SQUAT . SEMPAT SEMBUH . TRUS KEPELESET JADI KETRIGGER LAGI</v>
      </c>
      <c r="U3192" s="35" t="str">
        <f>IFERROR(__xludf.DUMMYFUNCTION("""COMPUTED_VALUE"""),"HANYA SUKA OLAHRAGA PAGI DIRUMAH")</f>
        <v>HANYA SUKA OLAHRAGA PAGI DIRUMAH</v>
      </c>
      <c r="V3192" s="35" t="str">
        <f>IFERROR(__xludf.DUMMYFUNCTION("""COMPUTED_VALUE"""),"08988058057")</f>
        <v>08988058057</v>
      </c>
      <c r="W3192" s="45"/>
    </row>
    <row r="3193">
      <c r="A3193" s="45"/>
      <c r="B3193" s="35" t="str">
        <f>IFERROR(__xludf.DUMMYFUNCTION("""COMPUTED_VALUE"""),"15/12/2025 15:04:17")</f>
        <v>15/12/2025 15:04:17</v>
      </c>
      <c r="C3193" s="35"/>
      <c r="D3193" s="10">
        <f>IFERROR(__xludf.DUMMYFUNCTION("""COMPUTED_VALUE"""),46006.0)</f>
        <v>46006</v>
      </c>
      <c r="E3193" s="35" t="str">
        <f>IFERROR(__xludf.DUMMYFUNCTION("""COMPUTED_VALUE"""),"12Des")</f>
        <v>12Des</v>
      </c>
      <c r="F3193" s="35" t="str">
        <f>IFERROR(__xludf.DUMMYFUNCTION("""COMPUTED_VALUE"""),"2025")</f>
        <v>2025</v>
      </c>
      <c r="G3193" s="35" t="str">
        <f>IFERROR(__xludf.DUMMYFUNCTION("""COMPUTED_VALUE"""),"JULIANA DELVINA SARI")</f>
        <v>JULIANA DELVINA SARI</v>
      </c>
      <c r="H3193" s="35" t="str">
        <f>IFERROR(__xludf.DUMMYFUNCTION("""COMPUTED_VALUE"""),"J0625127652")</f>
        <v>J0625127652</v>
      </c>
      <c r="I3193" s="35">
        <f>IFERROR(__xludf.DUMMYFUNCTION("""COMPUTED_VALUE"""),19.0)</f>
        <v>19</v>
      </c>
      <c r="J3193" s="35" t="str">
        <f>IFERROR(__xludf.DUMMYFUNCTION("""COMPUTED_VALUE"""),"18-24 tahun")</f>
        <v>18-24 tahun</v>
      </c>
      <c r="K3193" s="35" t="str">
        <f>IFERROR(__xludf.DUMMYFUNCTION("""COMPUTED_VALUE"""),"27/07/2006")</f>
        <v>27/07/2006</v>
      </c>
      <c r="L3193" s="35" t="str">
        <f>IFERROR(__xludf.DUMMYFUNCTION("""COMPUTED_VALUE"""),"PEREMPUAN")</f>
        <v>PEREMPUAN</v>
      </c>
      <c r="M3193" s="35" t="str">
        <f>IFERROR(__xludf.DUMMYFUNCTION("""COMPUTED_VALUE"""),"JALAN NIPAH KUNING DALAM NO 20")</f>
        <v>JALAN NIPAH KUNING DALAM NO 20</v>
      </c>
      <c r="N3193" s="35" t="str">
        <f>IFERROR(__xludf.DUMMYFUNCTION("""COMPUTED_VALUE"""),"PAL 5")</f>
        <v>PAL 5</v>
      </c>
      <c r="O3193" s="35" t="str">
        <f>IFERROR(__xludf.DUMMYFUNCTION("""COMPUTED_VALUE"""),"PONTIANAK BARAT")</f>
        <v>PONTIANAK BARAT</v>
      </c>
      <c r="P3193" s="35" t="str">
        <f>IFERROR(__xludf.DUMMYFUNCTION("""COMPUTED_VALUE"""),"PONTIANAK")</f>
        <v>PONTIANAK</v>
      </c>
      <c r="Q3193" s="35" t="str">
        <f>IFERROR(__xludf.DUMMYFUNCTION("""COMPUTED_VALUE"""),"KALIMANTAN BARAT")</f>
        <v>KALIMANTAN BARAT</v>
      </c>
      <c r="R3193" s="35" t="str">
        <f>IFERROR(__xludf.DUMMYFUNCTION("""COMPUTED_VALUE"""),"ISLAM")</f>
        <v>ISLAM</v>
      </c>
      <c r="S3193" s="74" t="str">
        <f>IFERROR(__xludf.DUMMYFUNCTION("""COMPUTED_VALUE"""),"PELAJAR")</f>
        <v>PELAJAR</v>
      </c>
      <c r="T3193" s="35" t="str">
        <f>IFERROR(__xludf.DUMMYFUNCTION("""COMPUTED_VALUE"""),"CEDERA KAKI POST OP AMPUTASI JARI KELINGKING")</f>
        <v>CEDERA KAKI POST OP AMPUTASI JARI KELINGKING</v>
      </c>
      <c r="U3193" s="35" t="str">
        <f>IFERROR(__xludf.DUMMYFUNCTION("""COMPUTED_VALUE"""),"TIDAK ADA")</f>
        <v>TIDAK ADA</v>
      </c>
      <c r="V3193" s="35" t="str">
        <f>IFERROR(__xludf.DUMMYFUNCTION("""COMPUTED_VALUE"""),"082353267652")</f>
        <v>082353267652</v>
      </c>
      <c r="W3193" s="45"/>
    </row>
    <row r="3194">
      <c r="A3194" s="45"/>
      <c r="B3194" s="35" t="str">
        <f>IFERROR(__xludf.DUMMYFUNCTION("""COMPUTED_VALUE"""),"15/12/2025 16:28:15")</f>
        <v>15/12/2025 16:28:15</v>
      </c>
      <c r="C3194" s="35"/>
      <c r="D3194" s="10">
        <f>IFERROR(__xludf.DUMMYFUNCTION("""COMPUTED_VALUE"""),46006.0)</f>
        <v>46006</v>
      </c>
      <c r="E3194" s="35" t="str">
        <f>IFERROR(__xludf.DUMMYFUNCTION("""COMPUTED_VALUE"""),"12Des")</f>
        <v>12Des</v>
      </c>
      <c r="F3194" s="35" t="str">
        <f>IFERROR(__xludf.DUMMYFUNCTION("""COMPUTED_VALUE"""),"2025")</f>
        <v>2025</v>
      </c>
      <c r="G3194" s="35" t="str">
        <f>IFERROR(__xludf.DUMMYFUNCTION("""COMPUTED_VALUE"""),"RIZA SETYAWAN")</f>
        <v>RIZA SETYAWAN</v>
      </c>
      <c r="H3194" s="35" t="str">
        <f>IFERROR(__xludf.DUMMYFUNCTION("""COMPUTED_VALUE"""),"R9125121442")</f>
        <v>R9125121442</v>
      </c>
      <c r="I3194" s="35">
        <f>IFERROR(__xludf.DUMMYFUNCTION("""COMPUTED_VALUE"""),34.0)</f>
        <v>34</v>
      </c>
      <c r="J3194" s="35" t="str">
        <f>IFERROR(__xludf.DUMMYFUNCTION("""COMPUTED_VALUE"""),"25-34 tahun")</f>
        <v>25-34 tahun</v>
      </c>
      <c r="K3194" s="35" t="str">
        <f>IFERROR(__xludf.DUMMYFUNCTION("""COMPUTED_VALUE"""),"20/09/1991")</f>
        <v>20/09/1991</v>
      </c>
      <c r="L3194" s="35" t="str">
        <f>IFERROR(__xludf.DUMMYFUNCTION("""COMPUTED_VALUE"""),"LAKI-LAKI")</f>
        <v>LAKI-LAKI</v>
      </c>
      <c r="M3194" s="35" t="str">
        <f>IFERROR(__xludf.DUMMYFUNCTION("""COMPUTED_VALUE"""),"JALAN GUSTI HAMZAH GANG PANCASILA 4 NOM171")</f>
        <v>JALAN GUSTI HAMZAH GANG PANCASILA 4 NOM171</v>
      </c>
      <c r="N3194" s="35" t="str">
        <f>IFERROR(__xludf.DUMMYFUNCTION("""COMPUTED_VALUE"""),"SUNGAI BANGKONG")</f>
        <v>SUNGAI BANGKONG</v>
      </c>
      <c r="O3194" s="35" t="str">
        <f>IFERROR(__xludf.DUMMYFUNCTION("""COMPUTED_VALUE"""),"PONTIANAK KOTA")</f>
        <v>PONTIANAK KOTA</v>
      </c>
      <c r="P3194" s="35" t="str">
        <f>IFERROR(__xludf.DUMMYFUNCTION("""COMPUTED_VALUE"""),"KOTA PONTIANAK")</f>
        <v>KOTA PONTIANAK</v>
      </c>
      <c r="Q3194" s="35" t="str">
        <f>IFERROR(__xludf.DUMMYFUNCTION("""COMPUTED_VALUE"""),"KALIMANTAN BARAT")</f>
        <v>KALIMANTAN BARAT</v>
      </c>
      <c r="R3194" s="35" t="str">
        <f>IFERROR(__xludf.DUMMYFUNCTION("""COMPUTED_VALUE"""),"ISLAM")</f>
        <v>ISLAM</v>
      </c>
      <c r="S3194" s="74" t="str">
        <f>IFERROR(__xludf.DUMMYFUNCTION("""COMPUTED_VALUE"""),"ASN")</f>
        <v>ASN</v>
      </c>
      <c r="T3194" s="35" t="str">
        <f>IFERROR(__xludf.DUMMYFUNCTION("""COMPUTED_VALUE"""),"LUTUT")</f>
        <v>LUTUT</v>
      </c>
      <c r="U3194" s="35" t="str">
        <f>IFERROR(__xludf.DUMMYFUNCTION("""COMPUTED_VALUE"""),"-")</f>
        <v>-</v>
      </c>
      <c r="V3194" s="35" t="str">
        <f>IFERROR(__xludf.DUMMYFUNCTION("""COMPUTED_VALUE"""),"081347151442")</f>
        <v>081347151442</v>
      </c>
      <c r="W3194" s="45"/>
    </row>
    <row r="3195">
      <c r="A3195" s="45"/>
      <c r="B3195" s="35" t="str">
        <f>IFERROR(__xludf.DUMMYFUNCTION("""COMPUTED_VALUE"""),"15/12/2025 18:37:23")</f>
        <v>15/12/2025 18:37:23</v>
      </c>
      <c r="C3195" s="35"/>
      <c r="D3195" s="10">
        <f>IFERROR(__xludf.DUMMYFUNCTION("""COMPUTED_VALUE"""),46006.0)</f>
        <v>46006</v>
      </c>
      <c r="E3195" s="35" t="str">
        <f>IFERROR(__xludf.DUMMYFUNCTION("""COMPUTED_VALUE"""),"12Des")</f>
        <v>12Des</v>
      </c>
      <c r="F3195" s="35" t="str">
        <f>IFERROR(__xludf.DUMMYFUNCTION("""COMPUTED_VALUE"""),"2025")</f>
        <v>2025</v>
      </c>
      <c r="G3195" s="35" t="str">
        <f>IFERROR(__xludf.DUMMYFUNCTION("""COMPUTED_VALUE"""),"RAFI AHMADY")</f>
        <v>RAFI AHMADY</v>
      </c>
      <c r="H3195" s="35" t="str">
        <f>IFERROR(__xludf.DUMMYFUNCTION("""COMPUTED_VALUE"""),"R1325123120")</f>
        <v>R1325123120</v>
      </c>
      <c r="I3195" s="35">
        <f>IFERROR(__xludf.DUMMYFUNCTION("""COMPUTED_VALUE"""),12.0)</f>
        <v>12</v>
      </c>
      <c r="J3195" s="35" t="str">
        <f>IFERROR(__xludf.DUMMYFUNCTION("""COMPUTED_VALUE"""),"&lt; 18 tahun")</f>
        <v>&lt; 18 tahun</v>
      </c>
      <c r="K3195" s="35" t="str">
        <f>IFERROR(__xludf.DUMMYFUNCTION("""COMPUTED_VALUE"""),"08/11/2013")</f>
        <v>08/11/2013</v>
      </c>
      <c r="L3195" s="35" t="str">
        <f>IFERROR(__xludf.DUMMYFUNCTION("""COMPUTED_VALUE"""),"LAKI-LAKI")</f>
        <v>LAKI-LAKI</v>
      </c>
      <c r="M3195" s="35" t="str">
        <f>IFERROR(__xludf.DUMMYFUNCTION("""COMPUTED_VALUE"""),"GG SUTRA")</f>
        <v>GG SUTRA</v>
      </c>
      <c r="N3195" s="35" t="str">
        <f>IFERROR(__xludf.DUMMYFUNCTION("""COMPUTED_VALUE"""),"-")</f>
        <v>-</v>
      </c>
      <c r="O3195" s="35" t="str">
        <f>IFERROR(__xludf.DUMMYFUNCTION("""COMPUTED_VALUE"""),"-")</f>
        <v>-</v>
      </c>
      <c r="P3195" s="35" t="str">
        <f>IFERROR(__xludf.DUMMYFUNCTION("""COMPUTED_VALUE"""),"-")</f>
        <v>-</v>
      </c>
      <c r="Q3195" s="35" t="str">
        <f>IFERROR(__xludf.DUMMYFUNCTION("""COMPUTED_VALUE"""),"KALIMANTAN BARAT")</f>
        <v>KALIMANTAN BARAT</v>
      </c>
      <c r="R3195" s="35" t="str">
        <f>IFERROR(__xludf.DUMMYFUNCTION("""COMPUTED_VALUE"""),"ISLAM")</f>
        <v>ISLAM</v>
      </c>
      <c r="S3195" s="74" t="str">
        <f>IFERROR(__xludf.DUMMYFUNCTION("""COMPUTED_VALUE"""),"-")</f>
        <v>-</v>
      </c>
      <c r="T3195" s="35" t="str">
        <f>IFERROR(__xludf.DUMMYFUNCTION("""COMPUTED_VALUE"""),"KAKI")</f>
        <v>KAKI</v>
      </c>
      <c r="U3195" s="35" t="str">
        <f>IFERROR(__xludf.DUMMYFUNCTION("""COMPUTED_VALUE"""),"-")</f>
        <v>-</v>
      </c>
      <c r="V3195" s="35" t="str">
        <f>IFERROR(__xludf.DUMMYFUNCTION("""COMPUTED_VALUE"""),"081348513120")</f>
        <v>081348513120</v>
      </c>
      <c r="W3195" s="45"/>
    </row>
    <row r="3196">
      <c r="A3196" s="45"/>
      <c r="B3196" s="35" t="str">
        <f>IFERROR(__xludf.DUMMYFUNCTION("""COMPUTED_VALUE"""),"16/12/2025 4:41:42")</f>
        <v>16/12/2025 4:41:42</v>
      </c>
      <c r="C3196" s="35"/>
      <c r="D3196" s="10">
        <f>IFERROR(__xludf.DUMMYFUNCTION("""COMPUTED_VALUE"""),46007.0)</f>
        <v>46007</v>
      </c>
      <c r="E3196" s="35" t="str">
        <f>IFERROR(__xludf.DUMMYFUNCTION("""COMPUTED_VALUE"""),"12Des")</f>
        <v>12Des</v>
      </c>
      <c r="F3196" s="35" t="str">
        <f>IFERROR(__xludf.DUMMYFUNCTION("""COMPUTED_VALUE"""),"2025")</f>
        <v>2025</v>
      </c>
      <c r="G3196" s="35" t="str">
        <f>IFERROR(__xludf.DUMMYFUNCTION("""COMPUTED_VALUE"""),"SITI MAYUNI")</f>
        <v>SITI MAYUNI</v>
      </c>
      <c r="H3196" s="35" t="str">
        <f>IFERROR(__xludf.DUMMYFUNCTION("""COMPUTED_VALUE"""),"S6825123226")</f>
        <v>S6825123226</v>
      </c>
      <c r="I3196" s="35">
        <f>IFERROR(__xludf.DUMMYFUNCTION("""COMPUTED_VALUE"""),58.0)</f>
        <v>58</v>
      </c>
      <c r="J3196" s="35" t="str">
        <f>IFERROR(__xludf.DUMMYFUNCTION("""COMPUTED_VALUE"""),"&gt; 44 tahun")</f>
        <v>&gt; 44 tahun</v>
      </c>
      <c r="K3196" s="35" t="str">
        <f>IFERROR(__xludf.DUMMYFUNCTION("""COMPUTED_VALUE"""),"18/05/1968")</f>
        <v>18/05/1968</v>
      </c>
      <c r="L3196" s="35" t="str">
        <f>IFERROR(__xludf.DUMMYFUNCTION("""COMPUTED_VALUE"""),"PEREMPUAN")</f>
        <v>PEREMPUAN</v>
      </c>
      <c r="M3196" s="35" t="str">
        <f>IFERROR(__xludf.DUMMYFUNCTION("""COMPUTED_VALUE"""),"PERMATA KHATULISTIWA SERDAM")</f>
        <v>PERMATA KHATULISTIWA SERDAM</v>
      </c>
      <c r="N3196" s="35" t="str">
        <f>IFERROR(__xludf.DUMMYFUNCTION("""COMPUTED_VALUE"""),"SUNGAI RAYA DALAM")</f>
        <v>SUNGAI RAYA DALAM</v>
      </c>
      <c r="O3196" s="35" t="str">
        <f>IFERROR(__xludf.DUMMYFUNCTION("""COMPUTED_VALUE"""),"SUNGAI RAYA")</f>
        <v>SUNGAI RAYA</v>
      </c>
      <c r="P3196" s="35" t="str">
        <f>IFERROR(__xludf.DUMMYFUNCTION("""COMPUTED_VALUE"""),"KUBU RAYA")</f>
        <v>KUBU RAYA</v>
      </c>
      <c r="Q3196" s="35" t="str">
        <f>IFERROR(__xludf.DUMMYFUNCTION("""COMPUTED_VALUE"""),"KALBAR")</f>
        <v>KALBAR</v>
      </c>
      <c r="R3196" s="35" t="str">
        <f>IFERROR(__xludf.DUMMYFUNCTION("""COMPUTED_VALUE"""),"ISLAM")</f>
        <v>ISLAM</v>
      </c>
      <c r="S3196" s="74" t="str">
        <f>IFERROR(__xludf.DUMMYFUNCTION("""COMPUTED_VALUE"""),"PNS")</f>
        <v>PNS</v>
      </c>
      <c r="T3196" s="35" t="str">
        <f>IFERROR(__xludf.DUMMYFUNCTION("""COMPUTED_VALUE"""),"NYERI BETIS DAN BELAKANG LUTUT KIRI")</f>
        <v>NYERI BETIS DAN BELAKANG LUTUT KIRI</v>
      </c>
      <c r="U3196" s="35" t="str">
        <f>IFERROR(__xludf.DUMMYFUNCTION("""COMPUTED_VALUE"""),"SALAH POSISI")</f>
        <v>SALAH POSISI</v>
      </c>
      <c r="V3196" s="35" t="str">
        <f>IFERROR(__xludf.DUMMYFUNCTION("""COMPUTED_VALUE"""),"082156133226")</f>
        <v>082156133226</v>
      </c>
      <c r="W3196" s="45"/>
    </row>
    <row r="3197">
      <c r="A3197" s="45"/>
      <c r="B3197" s="35" t="str">
        <f>IFERROR(__xludf.DUMMYFUNCTION("""COMPUTED_VALUE"""),"16/12/2025 10:24:16")</f>
        <v>16/12/2025 10:24:16</v>
      </c>
      <c r="C3197" s="35"/>
      <c r="D3197" s="10">
        <f>IFERROR(__xludf.DUMMYFUNCTION("""COMPUTED_VALUE"""),46007.0)</f>
        <v>46007</v>
      </c>
      <c r="E3197" s="35" t="str">
        <f>IFERROR(__xludf.DUMMYFUNCTION("""COMPUTED_VALUE"""),"12Des")</f>
        <v>12Des</v>
      </c>
      <c r="F3197" s="35" t="str">
        <f>IFERROR(__xludf.DUMMYFUNCTION("""COMPUTED_VALUE"""),"2025")</f>
        <v>2025</v>
      </c>
      <c r="G3197" s="35" t="str">
        <f>IFERROR(__xludf.DUMMYFUNCTION("""COMPUTED_VALUE"""),"JAINAL")</f>
        <v>JAINAL</v>
      </c>
      <c r="H3197" s="35" t="str">
        <f>IFERROR(__xludf.DUMMYFUNCTION("""COMPUTED_VALUE"""),"J6625120248")</f>
        <v>J6625120248</v>
      </c>
      <c r="I3197" s="35">
        <f>IFERROR(__xludf.DUMMYFUNCTION("""COMPUTED_VALUE"""),59.0)</f>
        <v>59</v>
      </c>
      <c r="J3197" s="35" t="str">
        <f>IFERROR(__xludf.DUMMYFUNCTION("""COMPUTED_VALUE"""),"&gt; 44 tahun")</f>
        <v>&gt; 44 tahun</v>
      </c>
      <c r="K3197" s="35" t="str">
        <f>IFERROR(__xludf.DUMMYFUNCTION("""COMPUTED_VALUE"""),"19/09/1966")</f>
        <v>19/09/1966</v>
      </c>
      <c r="L3197" s="35" t="str">
        <f>IFERROR(__xludf.DUMMYFUNCTION("""COMPUTED_VALUE"""),"LAKI-LAKI")</f>
        <v>LAKI-LAKI</v>
      </c>
      <c r="M3197" s="35" t="str">
        <f>IFERROR(__xludf.DUMMYFUNCTION("""COMPUTED_VALUE"""),"JL. ARTERI SUPADIO PRT CABANG KIRI")</f>
        <v>JL. ARTERI SUPADIO PRT CABANG KIRI</v>
      </c>
      <c r="N3197" s="35" t="str">
        <f>IFERROR(__xludf.DUMMYFUNCTION("""COMPUTED_VALUE"""),"PARIT BARU")</f>
        <v>PARIT BARU</v>
      </c>
      <c r="O3197" s="35" t="str">
        <f>IFERROR(__xludf.DUMMYFUNCTION("""COMPUTED_VALUE"""),"SUNGAI RAYA")</f>
        <v>SUNGAI RAYA</v>
      </c>
      <c r="P3197" s="35" t="str">
        <f>IFERROR(__xludf.DUMMYFUNCTION("""COMPUTED_VALUE"""),"PONTIANAK")</f>
        <v>PONTIANAK</v>
      </c>
      <c r="Q3197" s="35" t="str">
        <f>IFERROR(__xludf.DUMMYFUNCTION("""COMPUTED_VALUE"""),"KALIMANTAN BARAT")</f>
        <v>KALIMANTAN BARAT</v>
      </c>
      <c r="R3197" s="35" t="str">
        <f>IFERROR(__xludf.DUMMYFUNCTION("""COMPUTED_VALUE"""),"ISLAM")</f>
        <v>ISLAM</v>
      </c>
      <c r="S3197" s="74" t="str">
        <f>IFERROR(__xludf.DUMMYFUNCTION("""COMPUTED_VALUE"""),"KARYAWAN SWASTA")</f>
        <v>KARYAWAN SWASTA</v>
      </c>
      <c r="T3197" s="35" t="str">
        <f>IFERROR(__xludf.DUMMYFUNCTION("""COMPUTED_VALUE"""),"LUTUT")</f>
        <v>LUTUT</v>
      </c>
      <c r="U3197" s="35" t="str">
        <f>IFERROR(__xludf.DUMMYFUNCTION("""COMPUTED_VALUE"""),"KAKI LUTUT SAKIT BUAT BERJALAN ATAU BERDIAM HABIS JATUH 1 BLN LALU HABIS JATUH JUGA KIRI PAKAI GIPS UDAH LEPAS EH HABIS DILEPAS JATUH NAHAN DR MTR BIAR KIR NDA JATUH JADI KANAN DIPAKAI NAHAN JD SKRG KAKI KANAN YG SAKIT BUAT DIPAKAI AKTIVITAS")</f>
        <v>KAKI LUTUT SAKIT BUAT BERJALAN ATAU BERDIAM HABIS JATUH 1 BLN LALU HABIS JATUH JUGA KIRI PAKAI GIPS UDAH LEPAS EH HABIS DILEPAS JATUH NAHAN DR MTR BIAR KIR NDA JATUH JADI KANAN DIPAKAI NAHAN JD SKRG KAKI KANAN YG SAKIT BUAT DIPAKAI AKTIVITAS</v>
      </c>
      <c r="V3197" s="35" t="str">
        <f>IFERROR(__xludf.DUMMYFUNCTION("""COMPUTED_VALUE"""),"08981380248")</f>
        <v>08981380248</v>
      </c>
      <c r="W3197" s="45"/>
    </row>
    <row r="3198">
      <c r="A3198" s="45"/>
      <c r="B3198" s="35" t="str">
        <f>IFERROR(__xludf.DUMMYFUNCTION("""COMPUTED_VALUE"""),"16/12/2025 9:57:46")</f>
        <v>16/12/2025 9:57:46</v>
      </c>
      <c r="C3198" s="35"/>
      <c r="D3198" s="10">
        <f>IFERROR(__xludf.DUMMYFUNCTION("""COMPUTED_VALUE"""),46007.0)</f>
        <v>46007</v>
      </c>
      <c r="E3198" s="35" t="str">
        <f>IFERROR(__xludf.DUMMYFUNCTION("""COMPUTED_VALUE"""),"12Des")</f>
        <v>12Des</v>
      </c>
      <c r="F3198" s="35" t="str">
        <f>IFERROR(__xludf.DUMMYFUNCTION("""COMPUTED_VALUE"""),"2025")</f>
        <v>2025</v>
      </c>
      <c r="G3198" s="35" t="str">
        <f>IFERROR(__xludf.DUMMYFUNCTION("""COMPUTED_VALUE"""),"RENDI")</f>
        <v>RENDI</v>
      </c>
      <c r="H3198" s="35" t="str">
        <f>IFERROR(__xludf.DUMMYFUNCTION("""COMPUTED_VALUE"""),"R0225129200")</f>
        <v>R0225129200</v>
      </c>
      <c r="I3198" s="35">
        <f>IFERROR(__xludf.DUMMYFUNCTION("""COMPUTED_VALUE"""),24.0)</f>
        <v>24</v>
      </c>
      <c r="J3198" s="35" t="str">
        <f>IFERROR(__xludf.DUMMYFUNCTION("""COMPUTED_VALUE"""),"18-24 tahun")</f>
        <v>18-24 tahun</v>
      </c>
      <c r="K3198" s="35" t="str">
        <f>IFERROR(__xludf.DUMMYFUNCTION("""COMPUTED_VALUE"""),"12/04/2002")</f>
        <v>12/04/2002</v>
      </c>
      <c r="L3198" s="35" t="str">
        <f>IFERROR(__xludf.DUMMYFUNCTION("""COMPUTED_VALUE"""),"LAKI-LAKI")</f>
        <v>LAKI-LAKI</v>
      </c>
      <c r="M3198" s="35" t="str">
        <f>IFERROR(__xludf.DUMMYFUNCTION("""COMPUTED_VALUE"""),"JALAN PERDANA ,BALI AGUNG 3 PONTIANAK")</f>
        <v>JALAN PERDANA ,BALI AGUNG 3 PONTIANAK</v>
      </c>
      <c r="N3198" s="35" t="str">
        <f>IFERROR(__xludf.DUMMYFUNCTION("""COMPUTED_VALUE"""),"PARIT TOKAYA")</f>
        <v>PARIT TOKAYA</v>
      </c>
      <c r="O3198" s="35" t="str">
        <f>IFERROR(__xludf.DUMMYFUNCTION("""COMPUTED_VALUE"""),"PONTIANAK SELATAN")</f>
        <v>PONTIANAK SELATAN</v>
      </c>
      <c r="P3198" s="35" t="str">
        <f>IFERROR(__xludf.DUMMYFUNCTION("""COMPUTED_VALUE"""),"PONTIANAK")</f>
        <v>PONTIANAK</v>
      </c>
      <c r="Q3198" s="35" t="str">
        <f>IFERROR(__xludf.DUMMYFUNCTION("""COMPUTED_VALUE"""),"KALIMANTAN BARAT")</f>
        <v>KALIMANTAN BARAT</v>
      </c>
      <c r="R3198" s="35" t="str">
        <f>IFERROR(__xludf.DUMMYFUNCTION("""COMPUTED_VALUE"""),"ISLAM")</f>
        <v>ISLAM</v>
      </c>
      <c r="S3198" s="74" t="str">
        <f>IFERROR(__xludf.DUMMYFUNCTION("""COMPUTED_VALUE"""),"BELUM ADA")</f>
        <v>BELUM ADA</v>
      </c>
      <c r="T3198" s="35" t="str">
        <f>IFERROR(__xludf.DUMMYFUNCTION("""COMPUTED_VALUE"""),".BAHU TIDAK SIMETRIS")</f>
        <v>.BAHU TIDAK SIMETRIS</v>
      </c>
      <c r="U3198" s="35" t="str">
        <f>IFERROR(__xludf.DUMMYFUNCTION("""COMPUTED_VALUE"""),"LARI")</f>
        <v>LARI</v>
      </c>
      <c r="V3198" s="35" t="str">
        <f>IFERROR(__xludf.DUMMYFUNCTION("""COMPUTED_VALUE"""),"08115679200")</f>
        <v>08115679200</v>
      </c>
      <c r="W3198" s="45"/>
    </row>
    <row r="3199">
      <c r="A3199" s="45"/>
      <c r="B3199" s="35" t="str">
        <f>IFERROR(__xludf.DUMMYFUNCTION("""COMPUTED_VALUE"""),"16/12/2025 13:02:57")</f>
        <v>16/12/2025 13:02:57</v>
      </c>
      <c r="C3199" s="35"/>
      <c r="D3199" s="10">
        <f>IFERROR(__xludf.DUMMYFUNCTION("""COMPUTED_VALUE"""),46007.0)</f>
        <v>46007</v>
      </c>
      <c r="E3199" s="35" t="str">
        <f>IFERROR(__xludf.DUMMYFUNCTION("""COMPUTED_VALUE"""),"12Des")</f>
        <v>12Des</v>
      </c>
      <c r="F3199" s="35" t="str">
        <f>IFERROR(__xludf.DUMMYFUNCTION("""COMPUTED_VALUE"""),"2025")</f>
        <v>2025</v>
      </c>
      <c r="G3199" s="35" t="str">
        <f>IFERROR(__xludf.DUMMYFUNCTION("""COMPUTED_VALUE"""),"DEYA NATHASYA RAHMADANY")</f>
        <v>DEYA NATHASYA RAHMADANY</v>
      </c>
      <c r="H3199" s="35" t="str">
        <f>IFERROR(__xludf.DUMMYFUNCTION("""COMPUTED_VALUE"""),"D9825126821")</f>
        <v>D9825126821</v>
      </c>
      <c r="I3199" s="35">
        <f>IFERROR(__xludf.DUMMYFUNCTION("""COMPUTED_VALUE"""),27.0)</f>
        <v>27</v>
      </c>
      <c r="J3199" s="35" t="str">
        <f>IFERROR(__xludf.DUMMYFUNCTION("""COMPUTED_VALUE"""),"25-34 tahun")</f>
        <v>25-34 tahun</v>
      </c>
      <c r="K3199" s="35" t="str">
        <f>IFERROR(__xludf.DUMMYFUNCTION("""COMPUTED_VALUE"""),"25/12/1998")</f>
        <v>25/12/1998</v>
      </c>
      <c r="L3199" s="35" t="str">
        <f>IFERROR(__xludf.DUMMYFUNCTION("""COMPUTED_VALUE"""),"PEREMPUAN")</f>
        <v>PEREMPUAN</v>
      </c>
      <c r="M3199" s="35" t="str">
        <f>IFERROR(__xludf.DUMMYFUNCTION("""COMPUTED_VALUE"""),"JALAN HJ AGUS SALIM GG KUTILANG NOMOR 9, KEL. TENGAH, KEC. DELTA PAWAN,")</f>
        <v>JALAN HJ AGUS SALIM GG KUTILANG NOMOR 9, KEL. TENGAH, KEC. DELTA PAWAN,</v>
      </c>
      <c r="N3199" s="35" t="str">
        <f>IFERROR(__xludf.DUMMYFUNCTION("""COMPUTED_VALUE"""),"TENGAH")</f>
        <v>TENGAH</v>
      </c>
      <c r="O3199" s="35" t="str">
        <f>IFERROR(__xludf.DUMMYFUNCTION("""COMPUTED_VALUE"""),"DELTA PAWAN")</f>
        <v>DELTA PAWAN</v>
      </c>
      <c r="P3199" s="35" t="str">
        <f>IFERROR(__xludf.DUMMYFUNCTION("""COMPUTED_VALUE"""),"KETAPANG")</f>
        <v>KETAPANG</v>
      </c>
      <c r="Q3199" s="35" t="str">
        <f>IFERROR(__xludf.DUMMYFUNCTION("""COMPUTED_VALUE"""),"KALIMANTAN BARAT")</f>
        <v>KALIMANTAN BARAT</v>
      </c>
      <c r="R3199" s="35" t="str">
        <f>IFERROR(__xludf.DUMMYFUNCTION("""COMPUTED_VALUE"""),"ISLAM")</f>
        <v>ISLAM</v>
      </c>
      <c r="S3199" s="74" t="str">
        <f>IFERROR(__xludf.DUMMYFUNCTION("""COMPUTED_VALUE"""),"MAHASISWA")</f>
        <v>MAHASISWA</v>
      </c>
      <c r="T3199" s="35" t="str">
        <f>IFERROR(__xludf.DUMMYFUNCTION("""COMPUTED_VALUE"""),"BACK PAIN")</f>
        <v>BACK PAIN</v>
      </c>
      <c r="U3199" s="35" t="str">
        <f>IFERROR(__xludf.DUMMYFUNCTION("""COMPUTED_VALUE"""),"DUDUK TERLALU KAMA")</f>
        <v>DUDUK TERLALU KAMA</v>
      </c>
      <c r="V3199" s="35" t="str">
        <f>IFERROR(__xludf.DUMMYFUNCTION("""COMPUTED_VALUE"""),"0895602936821")</f>
        <v>0895602936821</v>
      </c>
      <c r="W3199" s="45"/>
    </row>
    <row r="3200">
      <c r="A3200" s="45"/>
      <c r="B3200" s="35" t="str">
        <f>IFERROR(__xludf.DUMMYFUNCTION("""COMPUTED_VALUE"""),"17/12/2025 9:51:05")</f>
        <v>17/12/2025 9:51:05</v>
      </c>
      <c r="C3200" s="35"/>
      <c r="D3200" s="10">
        <f>IFERROR(__xludf.DUMMYFUNCTION("""COMPUTED_VALUE"""),46008.0)</f>
        <v>46008</v>
      </c>
      <c r="E3200" s="35" t="str">
        <f>IFERROR(__xludf.DUMMYFUNCTION("""COMPUTED_VALUE"""),"12Des")</f>
        <v>12Des</v>
      </c>
      <c r="F3200" s="35" t="str">
        <f>IFERROR(__xludf.DUMMYFUNCTION("""COMPUTED_VALUE"""),"2025")</f>
        <v>2025</v>
      </c>
      <c r="G3200" s="35" t="str">
        <f>IFERROR(__xludf.DUMMYFUNCTION("""COMPUTED_VALUE"""),"AKHDAN NAUFAL")</f>
        <v>AKHDAN NAUFAL</v>
      </c>
      <c r="H3200" s="35" t="str">
        <f>IFERROR(__xludf.DUMMYFUNCTION("""COMPUTED_VALUE"""),"A9525120897")</f>
        <v>A9525120897</v>
      </c>
      <c r="I3200" s="35">
        <f>IFERROR(__xludf.DUMMYFUNCTION("""COMPUTED_VALUE"""),31.0)</f>
        <v>31</v>
      </c>
      <c r="J3200" s="35" t="str">
        <f>IFERROR(__xludf.DUMMYFUNCTION("""COMPUTED_VALUE"""),"25-34 tahun")</f>
        <v>25-34 tahun</v>
      </c>
      <c r="K3200" s="35" t="str">
        <f>IFERROR(__xludf.DUMMYFUNCTION("""COMPUTED_VALUE"""),"30/01/1995")</f>
        <v>30/01/1995</v>
      </c>
      <c r="L3200" s="35" t="str">
        <f>IFERROR(__xludf.DUMMYFUNCTION("""COMPUTED_VALUE"""),"LAKI-LAKI")</f>
        <v>LAKI-LAKI</v>
      </c>
      <c r="M3200" s="35" t="str">
        <f>IFERROR(__xludf.DUMMYFUNCTION("""COMPUTED_VALUE"""),"JALAN HUSEIN HAMZAH KOMPLEKS HARVIN INDAH")</f>
        <v>JALAN HUSEIN HAMZAH KOMPLEKS HARVIN INDAH</v>
      </c>
      <c r="N3200" s="35" t="str">
        <f>IFERROR(__xludf.DUMMYFUNCTION("""COMPUTED_VALUE"""),"SUNGAI JAWI DALAM")</f>
        <v>SUNGAI JAWI DALAM</v>
      </c>
      <c r="O3200" s="35" t="str">
        <f>IFERROR(__xludf.DUMMYFUNCTION("""COMPUTED_VALUE"""),"PONTIANAK BARAT")</f>
        <v>PONTIANAK BARAT</v>
      </c>
      <c r="P3200" s="35" t="str">
        <f>IFERROR(__xludf.DUMMYFUNCTION("""COMPUTED_VALUE"""),"KOTA PONTIANAK")</f>
        <v>KOTA PONTIANAK</v>
      </c>
      <c r="Q3200" s="35" t="str">
        <f>IFERROR(__xludf.DUMMYFUNCTION("""COMPUTED_VALUE"""),"KALIMANTAN BARAT")</f>
        <v>KALIMANTAN BARAT</v>
      </c>
      <c r="R3200" s="35" t="str">
        <f>IFERROR(__xludf.DUMMYFUNCTION("""COMPUTED_VALUE"""),"ISLAM")</f>
        <v>ISLAM</v>
      </c>
      <c r="S3200" s="74" t="str">
        <f>IFERROR(__xludf.DUMMYFUNCTION("""COMPUTED_VALUE"""),"SWASTA")</f>
        <v>SWASTA</v>
      </c>
      <c r="T3200" s="35" t="str">
        <f>IFERROR(__xludf.DUMMYFUNCTION("""COMPUTED_VALUE"""),"SAKIT BAHU SUSAH DIANGKAT KE ATAS")</f>
        <v>SAKIT BAHU SUSAH DIANGKAT KE ATAS</v>
      </c>
      <c r="U3200" s="35" t="str">
        <f>IFERROR(__xludf.DUMMYFUNCTION("""COMPUTED_VALUE"""),"DI DEPAN KOMPUTER BERJAM JAM")</f>
        <v>DI DEPAN KOMPUTER BERJAM JAM</v>
      </c>
      <c r="V3200" s="35" t="str">
        <f>IFERROR(__xludf.DUMMYFUNCTION("""COMPUTED_VALUE"""),"081347430897")</f>
        <v>081347430897</v>
      </c>
      <c r="W3200" s="45"/>
    </row>
    <row r="3201">
      <c r="A3201" s="45"/>
      <c r="B3201" s="35" t="str">
        <f>IFERROR(__xludf.DUMMYFUNCTION("""COMPUTED_VALUE"""),"17/12/2025 19:08:38")</f>
        <v>17/12/2025 19:08:38</v>
      </c>
      <c r="C3201" s="35"/>
      <c r="D3201" s="10">
        <f>IFERROR(__xludf.DUMMYFUNCTION("""COMPUTED_VALUE"""),46008.0)</f>
        <v>46008</v>
      </c>
      <c r="E3201" s="35" t="str">
        <f>IFERROR(__xludf.DUMMYFUNCTION("""COMPUTED_VALUE"""),"12Des")</f>
        <v>12Des</v>
      </c>
      <c r="F3201" s="35" t="str">
        <f>IFERROR(__xludf.DUMMYFUNCTION("""COMPUTED_VALUE"""),"2025")</f>
        <v>2025</v>
      </c>
      <c r="G3201" s="35" t="str">
        <f>IFERROR(__xludf.DUMMYFUNCTION("""COMPUTED_VALUE"""),"DECKY TRIONO")</f>
        <v>DECKY TRIONO</v>
      </c>
      <c r="H3201" s="35" t="str">
        <f>IFERROR(__xludf.DUMMYFUNCTION("""COMPUTED_VALUE"""),"D7725120078")</f>
        <v>D7725120078</v>
      </c>
      <c r="I3201" s="35">
        <f>IFERROR(__xludf.DUMMYFUNCTION("""COMPUTED_VALUE"""),48.0)</f>
        <v>48</v>
      </c>
      <c r="J3201" s="35" t="str">
        <f>IFERROR(__xludf.DUMMYFUNCTION("""COMPUTED_VALUE"""),"&gt; 44 tahun")</f>
        <v>&gt; 44 tahun</v>
      </c>
      <c r="K3201" s="35" t="str">
        <f>IFERROR(__xludf.DUMMYFUNCTION("""COMPUTED_VALUE"""),"24/07/1977")</f>
        <v>24/07/1977</v>
      </c>
      <c r="L3201" s="35" t="str">
        <f>IFERROR(__xludf.DUMMYFUNCTION("""COMPUTED_VALUE"""),"LAKI-LAKI")</f>
        <v>LAKI-LAKI</v>
      </c>
      <c r="M3201" s="35" t="str">
        <f>IFERROR(__xludf.DUMMYFUNCTION("""COMPUTED_VALUE"""),"JL. TANI KOMP MITRA KELUARGA BLOK B-6")</f>
        <v>JL. TANI KOMP MITRA KELUARGA BLOK B-6</v>
      </c>
      <c r="N3201" s="35" t="str">
        <f>IFERROR(__xludf.DUMMYFUNCTION("""COMPUTED_VALUE"""),"SAIGON")</f>
        <v>SAIGON</v>
      </c>
      <c r="O3201" s="35" t="str">
        <f>IFERROR(__xludf.DUMMYFUNCTION("""COMPUTED_VALUE"""),"PONTIANAK TIMUR")</f>
        <v>PONTIANAK TIMUR</v>
      </c>
      <c r="P3201" s="35" t="str">
        <f>IFERROR(__xludf.DUMMYFUNCTION("""COMPUTED_VALUE"""),"PONTIANAK")</f>
        <v>PONTIANAK</v>
      </c>
      <c r="Q3201" s="35" t="str">
        <f>IFERROR(__xludf.DUMMYFUNCTION("""COMPUTED_VALUE"""),"KALIMANTAN BARAT")</f>
        <v>KALIMANTAN BARAT</v>
      </c>
      <c r="R3201" s="35" t="str">
        <f>IFERROR(__xludf.DUMMYFUNCTION("""COMPUTED_VALUE"""),"ISLAM")</f>
        <v>ISLAM</v>
      </c>
      <c r="S3201" s="74" t="str">
        <f>IFERROR(__xludf.DUMMYFUNCTION("""COMPUTED_VALUE"""),"TNI")</f>
        <v>TNI</v>
      </c>
      <c r="T3201" s="35" t="str">
        <f>IFERROR(__xludf.DUMMYFUNCTION("""COMPUTED_VALUE"""),"BAHU")</f>
        <v>BAHU</v>
      </c>
      <c r="U3201" s="35" t="str">
        <f>IFERROR(__xludf.DUMMYFUNCTION("""COMPUTED_VALUE"""),"-")</f>
        <v>-</v>
      </c>
      <c r="V3201" s="35" t="str">
        <f>IFERROR(__xludf.DUMMYFUNCTION("""COMPUTED_VALUE"""),"08115700078")</f>
        <v>08115700078</v>
      </c>
      <c r="W3201" s="45"/>
    </row>
    <row r="3202">
      <c r="A3202" s="45"/>
      <c r="B3202" s="35" t="str">
        <f>IFERROR(__xludf.DUMMYFUNCTION("""COMPUTED_VALUE"""),"18/12/2025 9:42:40")</f>
        <v>18/12/2025 9:42:40</v>
      </c>
      <c r="C3202" s="35"/>
      <c r="D3202" s="10">
        <f>IFERROR(__xludf.DUMMYFUNCTION("""COMPUTED_VALUE"""),46009.0)</f>
        <v>46009</v>
      </c>
      <c r="E3202" s="35" t="str">
        <f>IFERROR(__xludf.DUMMYFUNCTION("""COMPUTED_VALUE"""),"12Des")</f>
        <v>12Des</v>
      </c>
      <c r="F3202" s="35" t="str">
        <f>IFERROR(__xludf.DUMMYFUNCTION("""COMPUTED_VALUE"""),"2025")</f>
        <v>2025</v>
      </c>
      <c r="G3202" s="35" t="str">
        <f>IFERROR(__xludf.DUMMYFUNCTION("""COMPUTED_VALUE"""),"SYARIF SUHERMAN")</f>
        <v>SYARIF SUHERMAN</v>
      </c>
      <c r="H3202" s="35" t="str">
        <f>IFERROR(__xludf.DUMMYFUNCTION("""COMPUTED_VALUE"""),"S7125124801")</f>
        <v>S7125124801</v>
      </c>
      <c r="I3202" s="35">
        <f>IFERROR(__xludf.DUMMYFUNCTION("""COMPUTED_VALUE"""),55.0)</f>
        <v>55</v>
      </c>
      <c r="J3202" s="35" t="str">
        <f>IFERROR(__xludf.DUMMYFUNCTION("""COMPUTED_VALUE"""),"&gt; 44 tahun")</f>
        <v>&gt; 44 tahun</v>
      </c>
      <c r="K3202" s="35" t="str">
        <f>IFERROR(__xludf.DUMMYFUNCTION("""COMPUTED_VALUE"""),"06/06/1971")</f>
        <v>06/06/1971</v>
      </c>
      <c r="L3202" s="35" t="str">
        <f>IFERROR(__xludf.DUMMYFUNCTION("""COMPUTED_VALUE"""),"LAKI-LAKI")</f>
        <v>LAKI-LAKI</v>
      </c>
      <c r="M3202" s="35" t="str">
        <f>IFERROR(__xludf.DUMMYFUNCTION("""COMPUTED_VALUE"""),"JL.VETERAN GG.VETERAN9 DALAM")</f>
        <v>JL.VETERAN GG.VETERAN9 DALAM</v>
      </c>
      <c r="N3202" s="35" t="str">
        <f>IFERROR(__xludf.DUMMYFUNCTION("""COMPUTED_VALUE"""),"KEBOMAS")</f>
        <v>KEBOMAS</v>
      </c>
      <c r="O3202" s="35" t="str">
        <f>IFERROR(__xludf.DUMMYFUNCTION("""COMPUTED_VALUE"""),"KEBOMAS")</f>
        <v>KEBOMAS</v>
      </c>
      <c r="P3202" s="35" t="str">
        <f>IFERROR(__xludf.DUMMYFUNCTION("""COMPUTED_VALUE"""),"GRESIK")</f>
        <v>GRESIK</v>
      </c>
      <c r="Q3202" s="35" t="str">
        <f>IFERROR(__xludf.DUMMYFUNCTION("""COMPUTED_VALUE"""),"JAWA TIMUR")</f>
        <v>JAWA TIMUR</v>
      </c>
      <c r="R3202" s="35" t="str">
        <f>IFERROR(__xludf.DUMMYFUNCTION("""COMPUTED_VALUE"""),"ISLAM")</f>
        <v>ISLAM</v>
      </c>
      <c r="S3202" s="74" t="str">
        <f>IFERROR(__xludf.DUMMYFUNCTION("""COMPUTED_VALUE"""),"SWASTA")</f>
        <v>SWASTA</v>
      </c>
      <c r="T3202" s="35" t="str">
        <f>IFERROR(__xludf.DUMMYFUNCTION("""COMPUTED_VALUE"""),"KESELEO DIPERGELANGAN KAKI")</f>
        <v>KESELEO DIPERGELANGAN KAKI</v>
      </c>
      <c r="U3202" s="35" t="str">
        <f>IFERROR(__xludf.DUMMYFUNCTION("""COMPUTED_VALUE"""),"OLAH RAGA BADMINTON")</f>
        <v>OLAH RAGA BADMINTON</v>
      </c>
      <c r="V3202" s="35" t="str">
        <f>IFERROR(__xludf.DUMMYFUNCTION("""COMPUTED_VALUE"""),"085750254801")</f>
        <v>085750254801</v>
      </c>
      <c r="W3202" s="45"/>
    </row>
    <row r="3203">
      <c r="A3203" s="45"/>
      <c r="B3203" s="35" t="str">
        <f>IFERROR(__xludf.DUMMYFUNCTION("""COMPUTED_VALUE"""),"18/12/2025 10:29:20")</f>
        <v>18/12/2025 10:29:20</v>
      </c>
      <c r="C3203" s="35"/>
      <c r="D3203" s="10">
        <f>IFERROR(__xludf.DUMMYFUNCTION("""COMPUTED_VALUE"""),45607.0)</f>
        <v>45607</v>
      </c>
      <c r="E3203" s="35" t="str">
        <f>IFERROR(__xludf.DUMMYFUNCTION("""COMPUTED_VALUE"""),"11Nov")</f>
        <v>11Nov</v>
      </c>
      <c r="F3203" s="35" t="str">
        <f>IFERROR(__xludf.DUMMYFUNCTION("""COMPUTED_VALUE"""),"2024")</f>
        <v>2024</v>
      </c>
      <c r="G3203" s="35" t="str">
        <f>IFERROR(__xludf.DUMMYFUNCTION("""COMPUTED_VALUE"""),"JUN FONG")</f>
        <v>JUN FONG</v>
      </c>
      <c r="H3203" s="35" t="str">
        <f>IFERROR(__xludf.DUMMYFUNCTION("""COMPUTED_VALUE"""),"J9824114915")</f>
        <v>J9824114915</v>
      </c>
      <c r="I3203" s="35">
        <f>IFERROR(__xludf.DUMMYFUNCTION("""COMPUTED_VALUE"""),27.0)</f>
        <v>27</v>
      </c>
      <c r="J3203" s="35" t="str">
        <f>IFERROR(__xludf.DUMMYFUNCTION("""COMPUTED_VALUE"""),"25-34 tahun")</f>
        <v>25-34 tahun</v>
      </c>
      <c r="K3203" s="21">
        <f>IFERROR(__xludf.DUMMYFUNCTION("""COMPUTED_VALUE"""),36066.0)</f>
        <v>36066</v>
      </c>
      <c r="L3203" s="35" t="str">
        <f>IFERROR(__xludf.DUMMYFUNCTION("""COMPUTED_VALUE"""),"LAKI-LAKI")</f>
        <v>LAKI-LAKI</v>
      </c>
      <c r="M3203" s="35" t="str">
        <f>IFERROR(__xludf.DUMMYFUNCTION("""COMPUTED_VALUE"""),"SIANTAN JLN PARWASAL , PERUM GARDEN MAS 7 BLOK A1")</f>
        <v>SIANTAN JLN PARWASAL , PERUM GARDEN MAS 7 BLOK A1</v>
      </c>
      <c r="N3203" s="35" t="str">
        <f>IFERROR(__xludf.DUMMYFUNCTION("""COMPUTED_VALUE"""),"SIANTAN TENGAH")</f>
        <v>SIANTAN TENGAH</v>
      </c>
      <c r="O3203" s="35" t="str">
        <f>IFERROR(__xludf.DUMMYFUNCTION("""COMPUTED_VALUE"""),"PONTIANAK UTARA")</f>
        <v>PONTIANAK UTARA</v>
      </c>
      <c r="P3203" s="35" t="str">
        <f>IFERROR(__xludf.DUMMYFUNCTION("""COMPUTED_VALUE"""),"PONTIANAK")</f>
        <v>PONTIANAK</v>
      </c>
      <c r="Q3203" s="35" t="str">
        <f>IFERROR(__xludf.DUMMYFUNCTION("""COMPUTED_VALUE"""),"KALIMANTAN BARAT")</f>
        <v>KALIMANTAN BARAT</v>
      </c>
      <c r="R3203" s="35" t="str">
        <f>IFERROR(__xludf.DUMMYFUNCTION("""COMPUTED_VALUE"""),"KHONGHUCU")</f>
        <v>KHONGHUCU</v>
      </c>
      <c r="S3203" s="74" t="str">
        <f>IFERROR(__xludf.DUMMYFUNCTION("""COMPUTED_VALUE"""),"SALES LUAR KOTA")</f>
        <v>SALES LUAR KOTA</v>
      </c>
      <c r="T3203" s="35" t="str">
        <f>IFERROR(__xludf.DUMMYFUNCTION("""COMPUTED_VALUE"""),"LUTUT KAKI")</f>
        <v>LUTUT KAKI</v>
      </c>
      <c r="U3203" s="35" t="str">
        <f>IFERROR(__xludf.DUMMYFUNCTION("""COMPUTED_VALUE"""),"SEPAK BOLA")</f>
        <v>SEPAK BOLA</v>
      </c>
      <c r="V3203" s="35" t="str">
        <f>IFERROR(__xludf.DUMMYFUNCTION("""COMPUTED_VALUE"""),"081291114915")</f>
        <v>081291114915</v>
      </c>
      <c r="W3203" s="45"/>
    </row>
    <row r="3204">
      <c r="A3204" s="45"/>
      <c r="B3204" s="35" t="str">
        <f>IFERROR(__xludf.DUMMYFUNCTION("""COMPUTED_VALUE"""),"18/12/2025 16:15:29")</f>
        <v>18/12/2025 16:15:29</v>
      </c>
      <c r="C3204" s="35"/>
      <c r="D3204" s="10">
        <f>IFERROR(__xludf.DUMMYFUNCTION("""COMPUTED_VALUE"""),46009.0)</f>
        <v>46009</v>
      </c>
      <c r="E3204" s="35" t="str">
        <f>IFERROR(__xludf.DUMMYFUNCTION("""COMPUTED_VALUE"""),"12Des")</f>
        <v>12Des</v>
      </c>
      <c r="F3204" s="35" t="str">
        <f>IFERROR(__xludf.DUMMYFUNCTION("""COMPUTED_VALUE"""),"2025")</f>
        <v>2025</v>
      </c>
      <c r="G3204" s="35" t="str">
        <f>IFERROR(__xludf.DUMMYFUNCTION("""COMPUTED_VALUE"""),"TJONG LIE TJHIUN ALS SUKIMAN")</f>
        <v>TJONG LIE TJHIUN ALS SUKIMAN</v>
      </c>
      <c r="H3204" s="35" t="str">
        <f>IFERROR(__xludf.DUMMYFUNCTION("""COMPUTED_VALUE"""),"T4825127000")</f>
        <v>T4825127000</v>
      </c>
      <c r="I3204" s="35">
        <f>IFERROR(__xludf.DUMMYFUNCTION("""COMPUTED_VALUE"""),78.0)</f>
        <v>78</v>
      </c>
      <c r="J3204" s="35" t="str">
        <f>IFERROR(__xludf.DUMMYFUNCTION("""COMPUTED_VALUE"""),"&gt; 44 tahun")</f>
        <v>&gt; 44 tahun</v>
      </c>
      <c r="K3204" s="35" t="str">
        <f>IFERROR(__xludf.DUMMYFUNCTION("""COMPUTED_VALUE"""),"08/03/1948")</f>
        <v>08/03/1948</v>
      </c>
      <c r="L3204" s="35" t="str">
        <f>IFERROR(__xludf.DUMMYFUNCTION("""COMPUTED_VALUE"""),"LAKI-LAKI")</f>
        <v>LAKI-LAKI</v>
      </c>
      <c r="M3204" s="35" t="str">
        <f>IFERROR(__xludf.DUMMYFUNCTION("""COMPUTED_VALUE"""),"JL. TANJUNGPURA NO.417-B")</f>
        <v>JL. TANJUNGPURA NO.417-B</v>
      </c>
      <c r="N3204" s="35" t="str">
        <f>IFERROR(__xludf.DUMMYFUNCTION("""COMPUTED_VALUE"""),"BENUA MELAYU DARAT")</f>
        <v>BENUA MELAYU DARAT</v>
      </c>
      <c r="O3204" s="35" t="str">
        <f>IFERROR(__xludf.DUMMYFUNCTION("""COMPUTED_VALUE"""),"PONTIANAK SELATAN")</f>
        <v>PONTIANAK SELATAN</v>
      </c>
      <c r="P3204" s="35" t="str">
        <f>IFERROR(__xludf.DUMMYFUNCTION("""COMPUTED_VALUE"""),"PONTIANAK")</f>
        <v>PONTIANAK</v>
      </c>
      <c r="Q3204" s="35" t="str">
        <f>IFERROR(__xludf.DUMMYFUNCTION("""COMPUTED_VALUE"""),"KALIMANTAN BARAT")</f>
        <v>KALIMANTAN BARAT</v>
      </c>
      <c r="R3204" s="35" t="str">
        <f>IFERROR(__xludf.DUMMYFUNCTION("""COMPUTED_VALUE"""),"BUDDHA")</f>
        <v>BUDDHA</v>
      </c>
      <c r="S3204" s="74" t="str">
        <f>IFERROR(__xludf.DUMMYFUNCTION("""COMPUTED_VALUE"""),"PERDAGANGAN")</f>
        <v>PERDAGANGAN</v>
      </c>
      <c r="T3204" s="35" t="str">
        <f>IFERROR(__xludf.DUMMYFUNCTION("""COMPUTED_VALUE"""),"KAKI")</f>
        <v>KAKI</v>
      </c>
      <c r="U3204" s="35" t="str">
        <f>IFERROR(__xludf.DUMMYFUNCTION("""COMPUTED_VALUE"""),"-")</f>
        <v>-</v>
      </c>
      <c r="V3204" s="35" t="str">
        <f>IFERROR(__xludf.DUMMYFUNCTION("""COMPUTED_VALUE"""),"082150017000")</f>
        <v>082150017000</v>
      </c>
      <c r="W3204" s="45"/>
    </row>
    <row r="3205">
      <c r="A3205" s="45"/>
      <c r="B3205" s="35" t="str">
        <f>IFERROR(__xludf.DUMMYFUNCTION("""COMPUTED_VALUE"""),"19/12/2025 17:59:06")</f>
        <v>19/12/2025 17:59:06</v>
      </c>
      <c r="C3205" s="35"/>
      <c r="D3205" s="10">
        <f>IFERROR(__xludf.DUMMYFUNCTION("""COMPUTED_VALUE"""),46011.0)</f>
        <v>46011</v>
      </c>
      <c r="E3205" s="35" t="str">
        <f>IFERROR(__xludf.DUMMYFUNCTION("""COMPUTED_VALUE"""),"12Des")</f>
        <v>12Des</v>
      </c>
      <c r="F3205" s="35" t="str">
        <f>IFERROR(__xludf.DUMMYFUNCTION("""COMPUTED_VALUE"""),"2025")</f>
        <v>2025</v>
      </c>
      <c r="G3205" s="35" t="str">
        <f>IFERROR(__xludf.DUMMYFUNCTION("""COMPUTED_VALUE"""),"SITI NURHAINI")</f>
        <v>SITI NURHAINI</v>
      </c>
      <c r="H3205" s="35" t="str">
        <f>IFERROR(__xludf.DUMMYFUNCTION("""COMPUTED_VALUE"""),"S0125120326")</f>
        <v>S0125120326</v>
      </c>
      <c r="I3205" s="35">
        <f>IFERROR(__xludf.DUMMYFUNCTION("""COMPUTED_VALUE"""),25.0)</f>
        <v>25</v>
      </c>
      <c r="J3205" s="35" t="str">
        <f>IFERROR(__xludf.DUMMYFUNCTION("""COMPUTED_VALUE"""),"25-34 tahun")</f>
        <v>25-34 tahun</v>
      </c>
      <c r="K3205" s="35" t="str">
        <f>IFERROR(__xludf.DUMMYFUNCTION("""COMPUTED_VALUE"""),"04/04/2001")</f>
        <v>04/04/2001</v>
      </c>
      <c r="L3205" s="35" t="str">
        <f>IFERROR(__xludf.DUMMYFUNCTION("""COMPUTED_VALUE"""),"PEREMPUAN")</f>
        <v>PEREMPUAN</v>
      </c>
      <c r="M3205" s="35" t="str">
        <f>IFERROR(__xludf.DUMMYFUNCTION("""COMPUTED_VALUE"""),"JL. YA' M SABRAN GG. MADRASAH")</f>
        <v>JL. YA' M SABRAN GG. MADRASAH</v>
      </c>
      <c r="N3205" s="35" t="str">
        <f>IFERROR(__xludf.DUMMYFUNCTION("""COMPUTED_VALUE"""),"TANJUNG HULU")</f>
        <v>TANJUNG HULU</v>
      </c>
      <c r="O3205" s="35" t="str">
        <f>IFERROR(__xludf.DUMMYFUNCTION("""COMPUTED_VALUE"""),"PONTIANAK TIMUR")</f>
        <v>PONTIANAK TIMUR</v>
      </c>
      <c r="P3205" s="35" t="str">
        <f>IFERROR(__xludf.DUMMYFUNCTION("""COMPUTED_VALUE"""),"KOTA PONTIANAK")</f>
        <v>KOTA PONTIANAK</v>
      </c>
      <c r="Q3205" s="35" t="str">
        <f>IFERROR(__xludf.DUMMYFUNCTION("""COMPUTED_VALUE"""),"KALIMANTAN BARAT")</f>
        <v>KALIMANTAN BARAT</v>
      </c>
      <c r="R3205" s="35" t="str">
        <f>IFERROR(__xludf.DUMMYFUNCTION("""COMPUTED_VALUE"""),"ISLAM")</f>
        <v>ISLAM</v>
      </c>
      <c r="S3205" s="74" t="str">
        <f>IFERROR(__xludf.DUMMYFUNCTION("""COMPUTED_VALUE"""),"SWASTA")</f>
        <v>SWASTA</v>
      </c>
      <c r="T3205" s="35" t="str">
        <f>IFERROR(__xludf.DUMMYFUNCTION("""COMPUTED_VALUE"""),"KESELEO, SUDAH 1 MINGGU LEBIH TAPI MASIH BENGKAK")</f>
        <v>KESELEO, SUDAH 1 MINGGU LEBIH TAPI MASIH BENGKAK</v>
      </c>
      <c r="U3205" s="35" t="str">
        <f>IFERROR(__xludf.DUMMYFUNCTION("""COMPUTED_VALUE"""),"TIDAK ADA")</f>
        <v>TIDAK ADA</v>
      </c>
      <c r="V3205" s="35" t="str">
        <f>IFERROR(__xludf.DUMMYFUNCTION("""COMPUTED_VALUE"""),"085656590326")</f>
        <v>085656590326</v>
      </c>
      <c r="W3205" s="45"/>
    </row>
    <row r="3206">
      <c r="A3206" s="45"/>
      <c r="B3206" s="35" t="str">
        <f>IFERROR(__xludf.DUMMYFUNCTION("""COMPUTED_VALUE"""),"20/12/2025 10:33:54")</f>
        <v>20/12/2025 10:33:54</v>
      </c>
      <c r="C3206" s="35"/>
      <c r="D3206" s="10">
        <f>IFERROR(__xludf.DUMMYFUNCTION("""COMPUTED_VALUE"""),46011.0)</f>
        <v>46011</v>
      </c>
      <c r="E3206" s="35" t="str">
        <f>IFERROR(__xludf.DUMMYFUNCTION("""COMPUTED_VALUE"""),"12Des")</f>
        <v>12Des</v>
      </c>
      <c r="F3206" s="35" t="str">
        <f>IFERROR(__xludf.DUMMYFUNCTION("""COMPUTED_VALUE"""),"2025")</f>
        <v>2025</v>
      </c>
      <c r="G3206" s="35" t="str">
        <f>IFERROR(__xludf.DUMMYFUNCTION("""COMPUTED_VALUE"""),"LIE SOI TJU")</f>
        <v>LIE SOI TJU</v>
      </c>
      <c r="H3206" s="35" t="str">
        <f>IFERROR(__xludf.DUMMYFUNCTION("""COMPUTED_VALUE"""),"L5825122264")</f>
        <v>L5825122264</v>
      </c>
      <c r="I3206" s="35">
        <f>IFERROR(__xludf.DUMMYFUNCTION("""COMPUTED_VALUE"""),67.0)</f>
        <v>67</v>
      </c>
      <c r="J3206" s="35" t="str">
        <f>IFERROR(__xludf.DUMMYFUNCTION("""COMPUTED_VALUE"""),"&gt; 44 tahun")</f>
        <v>&gt; 44 tahun</v>
      </c>
      <c r="K3206" s="35" t="str">
        <f>IFERROR(__xludf.DUMMYFUNCTION("""COMPUTED_VALUE"""),"02/12/1958")</f>
        <v>02/12/1958</v>
      </c>
      <c r="L3206" s="35" t="str">
        <f>IFERROR(__xludf.DUMMYFUNCTION("""COMPUTED_VALUE"""),"PEREMPUAN")</f>
        <v>PEREMPUAN</v>
      </c>
      <c r="M3206" s="35" t="str">
        <f>IFERROR(__xludf.DUMMYFUNCTION("""COMPUTED_VALUE"""),"JL.TANJUNG PURA GG.KEDAH NO.237A")</f>
        <v>JL.TANJUNG PURA GG.KEDAH NO.237A</v>
      </c>
      <c r="N3206" s="35" t="str">
        <f>IFERROR(__xludf.DUMMYFUNCTION("""COMPUTED_VALUE"""),"BENUA MELAYU DARAT")</f>
        <v>BENUA MELAYU DARAT</v>
      </c>
      <c r="O3206" s="35" t="str">
        <f>IFERROR(__xludf.DUMMYFUNCTION("""COMPUTED_VALUE"""),"PONTIANAK SELATAN")</f>
        <v>PONTIANAK SELATAN</v>
      </c>
      <c r="P3206" s="35" t="str">
        <f>IFERROR(__xludf.DUMMYFUNCTION("""COMPUTED_VALUE"""),"PONTIANAK")</f>
        <v>PONTIANAK</v>
      </c>
      <c r="Q3206" s="35" t="str">
        <f>IFERROR(__xludf.DUMMYFUNCTION("""COMPUTED_VALUE"""),"KALIMANTAN BARAT")</f>
        <v>KALIMANTAN BARAT</v>
      </c>
      <c r="R3206" s="35" t="str">
        <f>IFERROR(__xludf.DUMMYFUNCTION("""COMPUTED_VALUE"""),"BUDDHA")</f>
        <v>BUDDHA</v>
      </c>
      <c r="S3206" s="74" t="str">
        <f>IFERROR(__xludf.DUMMYFUNCTION("""COMPUTED_VALUE"""),"IBU RUMAH TANGGA")</f>
        <v>IBU RUMAH TANGGA</v>
      </c>
      <c r="T3206" s="35" t="str">
        <f>IFERROR(__xludf.DUMMYFUNCTION("""COMPUTED_VALUE"""),"LUTUT SAKIT MENJALAR KE KAKI.")</f>
        <v>LUTUT SAKIT MENJALAR KE KAKI.</v>
      </c>
      <c r="U3206" s="35" t="str">
        <f>IFERROR(__xludf.DUMMYFUNCTION("""COMPUTED_VALUE"""),"JALAN KAKI KE PASAR, NAIK TANGGA")</f>
        <v>JALAN KAKI KE PASAR, NAIK TANGGA</v>
      </c>
      <c r="V3206" s="35" t="str">
        <f>IFERROR(__xludf.DUMMYFUNCTION("""COMPUTED_VALUE"""),"082253792264")</f>
        <v>082253792264</v>
      </c>
      <c r="W3206" s="45"/>
    </row>
    <row r="3207">
      <c r="A3207" s="45"/>
      <c r="B3207" s="35" t="str">
        <f>IFERROR(__xludf.DUMMYFUNCTION("""COMPUTED_VALUE"""),"20/12/2025 11:27:30")</f>
        <v>20/12/2025 11:27:30</v>
      </c>
      <c r="C3207" s="35"/>
      <c r="D3207" s="10">
        <f>IFERROR(__xludf.DUMMYFUNCTION("""COMPUTED_VALUE"""),46011.0)</f>
        <v>46011</v>
      </c>
      <c r="E3207" s="35" t="str">
        <f>IFERROR(__xludf.DUMMYFUNCTION("""COMPUTED_VALUE"""),"12Des")</f>
        <v>12Des</v>
      </c>
      <c r="F3207" s="35" t="str">
        <f>IFERROR(__xludf.DUMMYFUNCTION("""COMPUTED_VALUE"""),"2025")</f>
        <v>2025</v>
      </c>
      <c r="G3207" s="35" t="str">
        <f>IFERROR(__xludf.DUMMYFUNCTION("""COMPUTED_VALUE"""),"MUHARDI LIMAS")</f>
        <v>MUHARDI LIMAS</v>
      </c>
      <c r="H3207" s="35" t="str">
        <f>IFERROR(__xludf.DUMMYFUNCTION("""COMPUTED_VALUE"""),"M4125129007")</f>
        <v>M4125129007</v>
      </c>
      <c r="I3207" s="35">
        <f>IFERROR(__xludf.DUMMYFUNCTION("""COMPUTED_VALUE"""),84.0)</f>
        <v>84</v>
      </c>
      <c r="J3207" s="35" t="str">
        <f>IFERROR(__xludf.DUMMYFUNCTION("""COMPUTED_VALUE"""),"&gt; 44 tahun")</f>
        <v>&gt; 44 tahun</v>
      </c>
      <c r="K3207" s="35" t="str">
        <f>IFERROR(__xludf.DUMMYFUNCTION("""COMPUTED_VALUE"""),"10/09/1941")</f>
        <v>10/09/1941</v>
      </c>
      <c r="L3207" s="35" t="str">
        <f>IFERROR(__xludf.DUMMYFUNCTION("""COMPUTED_VALUE"""),"LAKI-LAKI")</f>
        <v>LAKI-LAKI</v>
      </c>
      <c r="M3207" s="35" t="str">
        <f>IFERROR(__xludf.DUMMYFUNCTION("""COMPUTED_VALUE"""),"JL. HOS COKROAMINOTO NOM7")</f>
        <v>JL. HOS COKROAMINOTO NOM7</v>
      </c>
      <c r="N3207" s="35" t="str">
        <f>IFERROR(__xludf.DUMMYFUNCTION("""COMPUTED_VALUE"""),"SUNGAI BANGKONG")</f>
        <v>SUNGAI BANGKONG</v>
      </c>
      <c r="O3207" s="35" t="str">
        <f>IFERROR(__xludf.DUMMYFUNCTION("""COMPUTED_VALUE"""),"DARAT SEKIP")</f>
        <v>DARAT SEKIP</v>
      </c>
      <c r="P3207" s="35" t="str">
        <f>IFERROR(__xludf.DUMMYFUNCTION("""COMPUTED_VALUE"""),"PONTIANAK")</f>
        <v>PONTIANAK</v>
      </c>
      <c r="Q3207" s="35" t="str">
        <f>IFERROR(__xludf.DUMMYFUNCTION("""COMPUTED_VALUE"""),"KALIMANTAN BARAT")</f>
        <v>KALIMANTAN BARAT</v>
      </c>
      <c r="R3207" s="35" t="str">
        <f>IFERROR(__xludf.DUMMYFUNCTION("""COMPUTED_VALUE"""),"BUDDHA")</f>
        <v>BUDDHA</v>
      </c>
      <c r="S3207" s="74" t="str">
        <f>IFERROR(__xludf.DUMMYFUNCTION("""COMPUTED_VALUE"""),"SWASTA")</f>
        <v>SWASTA</v>
      </c>
      <c r="T3207" s="35" t="str">
        <f>IFERROR(__xludf.DUMMYFUNCTION("""COMPUTED_VALUE"""),"DARI PINGGANG BELAKANG HINGGA PERUT XEPAN SAKIT")</f>
        <v>DARI PINGGANG BELAKANG HINGGA PERUT XEPAN SAKIT</v>
      </c>
      <c r="U3207" s="35" t="str">
        <f>IFERROR(__xludf.DUMMYFUNCTION("""COMPUTED_VALUE"""),"SUKA KETIDURAN DI KURSI YG EMPUK")</f>
        <v>SUKA KETIDURAN DI KURSI YG EMPUK</v>
      </c>
      <c r="V3207" s="35" t="str">
        <f>IFERROR(__xludf.DUMMYFUNCTION("""COMPUTED_VALUE"""),"082153679007")</f>
        <v>082153679007</v>
      </c>
      <c r="W3207" s="45"/>
    </row>
    <row r="3208">
      <c r="A3208" s="45"/>
      <c r="B3208" s="35" t="str">
        <f>IFERROR(__xludf.DUMMYFUNCTION("""COMPUTED_VALUE"""),"20/12/2025 12:04:48")</f>
        <v>20/12/2025 12:04:48</v>
      </c>
      <c r="C3208" s="35"/>
      <c r="D3208" s="10">
        <f>IFERROR(__xludf.DUMMYFUNCTION("""COMPUTED_VALUE"""),46011.0)</f>
        <v>46011</v>
      </c>
      <c r="E3208" s="35" t="str">
        <f>IFERROR(__xludf.DUMMYFUNCTION("""COMPUTED_VALUE"""),"12Des")</f>
        <v>12Des</v>
      </c>
      <c r="F3208" s="35" t="str">
        <f>IFERROR(__xludf.DUMMYFUNCTION("""COMPUTED_VALUE"""),"2025")</f>
        <v>2025</v>
      </c>
      <c r="G3208" s="35" t="str">
        <f>IFERROR(__xludf.DUMMYFUNCTION("""COMPUTED_VALUE"""),"STEVEN HARYANTO")</f>
        <v>STEVEN HARYANTO</v>
      </c>
      <c r="H3208" s="35" t="str">
        <f>IFERROR(__xludf.DUMMYFUNCTION("""COMPUTED_VALUE"""),"S0025121122")</f>
        <v>S0025121122</v>
      </c>
      <c r="I3208" s="35">
        <f>IFERROR(__xludf.DUMMYFUNCTION("""COMPUTED_VALUE"""),25.0)</f>
        <v>25</v>
      </c>
      <c r="J3208" s="35" t="str">
        <f>IFERROR(__xludf.DUMMYFUNCTION("""COMPUTED_VALUE"""),"25-34 tahun")</f>
        <v>25-34 tahun</v>
      </c>
      <c r="K3208" s="35" t="str">
        <f>IFERROR(__xludf.DUMMYFUNCTION("""COMPUTED_VALUE"""),"05/12/2000")</f>
        <v>05/12/2000</v>
      </c>
      <c r="L3208" s="35" t="str">
        <f>IFERROR(__xludf.DUMMYFUNCTION("""COMPUTED_VALUE"""),"LAKI-LAKI")</f>
        <v>LAKI-LAKI</v>
      </c>
      <c r="M3208" s="35" t="str">
        <f>IFERROR(__xludf.DUMMYFUNCTION("""COMPUTED_VALUE"""),"KOMP. VILLA CERIA LESTARI")</f>
        <v>KOMP. VILLA CERIA LESTARI</v>
      </c>
      <c r="N3208" s="35" t="str">
        <f>IFERROR(__xludf.DUMMYFUNCTION("""COMPUTED_VALUE"""),"SUNGAIRAYA DALAM")</f>
        <v>SUNGAIRAYA DALAM</v>
      </c>
      <c r="O3208" s="35" t="str">
        <f>IFERROR(__xludf.DUMMYFUNCTION("""COMPUTED_VALUE"""),"SUNGAI RAYA")</f>
        <v>SUNGAI RAYA</v>
      </c>
      <c r="P3208" s="35" t="str">
        <f>IFERROR(__xludf.DUMMYFUNCTION("""COMPUTED_VALUE"""),"KUBU RAYA")</f>
        <v>KUBU RAYA</v>
      </c>
      <c r="Q3208" s="35" t="str">
        <f>IFERROR(__xludf.DUMMYFUNCTION("""COMPUTED_VALUE"""),"KALIMANTA BARAT")</f>
        <v>KALIMANTA BARAT</v>
      </c>
      <c r="R3208" s="35" t="str">
        <f>IFERROR(__xludf.DUMMYFUNCTION("""COMPUTED_VALUE"""),"KATOLIK")</f>
        <v>KATOLIK</v>
      </c>
      <c r="S3208" s="74" t="str">
        <f>IFERROR(__xludf.DUMMYFUNCTION("""COMPUTED_VALUE"""),"PEMBISNIS")</f>
        <v>PEMBISNIS</v>
      </c>
      <c r="T3208" s="35" t="str">
        <f>IFERROR(__xludf.DUMMYFUNCTION("""COMPUTED_VALUE"""),"ENGSEL MATA KAKI BENGKAK")</f>
        <v>ENGSEL MATA KAKI BENGKAK</v>
      </c>
      <c r="U3208" s="35" t="str">
        <f>IFERROR(__xludf.DUMMYFUNCTION("""COMPUTED_VALUE"""),"MAIN BOLA")</f>
        <v>MAIN BOLA</v>
      </c>
      <c r="V3208" s="35" t="str">
        <f>IFERROR(__xludf.DUMMYFUNCTION("""COMPUTED_VALUE"""),"082250371122")</f>
        <v>082250371122</v>
      </c>
      <c r="W3208" s="45"/>
    </row>
    <row r="3209">
      <c r="A3209" s="45"/>
      <c r="B3209" s="35" t="str">
        <f>IFERROR(__xludf.DUMMYFUNCTION("""COMPUTED_VALUE"""),"20/12/2025 15:38:03")</f>
        <v>20/12/2025 15:38:03</v>
      </c>
      <c r="C3209" s="35"/>
      <c r="D3209" s="10">
        <f>IFERROR(__xludf.DUMMYFUNCTION("""COMPUTED_VALUE"""),46011.0)</f>
        <v>46011</v>
      </c>
      <c r="E3209" s="35" t="str">
        <f>IFERROR(__xludf.DUMMYFUNCTION("""COMPUTED_VALUE"""),"12Des")</f>
        <v>12Des</v>
      </c>
      <c r="F3209" s="35" t="str">
        <f>IFERROR(__xludf.DUMMYFUNCTION("""COMPUTED_VALUE"""),"2025")</f>
        <v>2025</v>
      </c>
      <c r="G3209" s="35" t="str">
        <f>IFERROR(__xludf.DUMMYFUNCTION("""COMPUTED_VALUE"""),"SOEPARTO")</f>
        <v>SOEPARTO</v>
      </c>
      <c r="H3209" s="35" t="str">
        <f>IFERROR(__xludf.DUMMYFUNCTION("""COMPUTED_VALUE"""),"S5125127001")</f>
        <v>S5125127001</v>
      </c>
      <c r="I3209" s="35">
        <f>IFERROR(__xludf.DUMMYFUNCTION("""COMPUTED_VALUE"""),75.0)</f>
        <v>75</v>
      </c>
      <c r="J3209" s="35" t="str">
        <f>IFERROR(__xludf.DUMMYFUNCTION("""COMPUTED_VALUE"""),"&gt; 44 tahun")</f>
        <v>&gt; 44 tahun</v>
      </c>
      <c r="K3209" s="35" t="str">
        <f>IFERROR(__xludf.DUMMYFUNCTION("""COMPUTED_VALUE"""),"20/04/1951")</f>
        <v>20/04/1951</v>
      </c>
      <c r="L3209" s="35" t="str">
        <f>IFERROR(__xludf.DUMMYFUNCTION("""COMPUTED_VALUE"""),"LAKI-LAKI")</f>
        <v>LAKI-LAKI</v>
      </c>
      <c r="M3209" s="35" t="str">
        <f>IFERROR(__xludf.DUMMYFUNCTION("""COMPUTED_VALUE"""),"JL. IMAM BONJOL GG PENITI BARU")</f>
        <v>JL. IMAM BONJOL GG PENITI BARU</v>
      </c>
      <c r="N3209" s="35" t="str">
        <f>IFERROR(__xludf.DUMMYFUNCTION("""COMPUTED_VALUE"""),"BENUA MELAYU LAUT")</f>
        <v>BENUA MELAYU LAUT</v>
      </c>
      <c r="O3209" s="35" t="str">
        <f>IFERROR(__xludf.DUMMYFUNCTION("""COMPUTED_VALUE"""),"PONTIANAK SELATAN")</f>
        <v>PONTIANAK SELATAN</v>
      </c>
      <c r="P3209" s="35" t="str">
        <f>IFERROR(__xludf.DUMMYFUNCTION("""COMPUTED_VALUE"""),"PONTIANAK")</f>
        <v>PONTIANAK</v>
      </c>
      <c r="Q3209" s="35" t="str">
        <f>IFERROR(__xludf.DUMMYFUNCTION("""COMPUTED_VALUE"""),"KALIMANTAN")</f>
        <v>KALIMANTAN</v>
      </c>
      <c r="R3209" s="35" t="str">
        <f>IFERROR(__xludf.DUMMYFUNCTION("""COMPUTED_VALUE"""),"KATOLIK")</f>
        <v>KATOLIK</v>
      </c>
      <c r="S3209" s="74" t="str">
        <f>IFERROR(__xludf.DUMMYFUNCTION("""COMPUTED_VALUE"""),"PERDAGANGAN")</f>
        <v>PERDAGANGAN</v>
      </c>
      <c r="T3209" s="35" t="str">
        <f>IFERROR(__xludf.DUMMYFUNCTION("""COMPUTED_VALUE"""),"TELAPAK KAKI")</f>
        <v>TELAPAK KAKI</v>
      </c>
      <c r="U3209" s="35" t="str">
        <f>IFERROR(__xludf.DUMMYFUNCTION("""COMPUTED_VALUE"""),"-")</f>
        <v>-</v>
      </c>
      <c r="V3209" s="35" t="str">
        <f>IFERROR(__xludf.DUMMYFUNCTION("""COMPUTED_VALUE"""),"082150017001")</f>
        <v>082150017001</v>
      </c>
      <c r="W3209" s="45"/>
    </row>
    <row r="3210">
      <c r="A3210" s="45"/>
      <c r="B3210" s="35" t="str">
        <f>IFERROR(__xludf.DUMMYFUNCTION("""COMPUTED_VALUE"""),"20/12/2025 16:02:13")</f>
        <v>20/12/2025 16:02:13</v>
      </c>
      <c r="C3210" s="35"/>
      <c r="D3210" s="10">
        <f>IFERROR(__xludf.DUMMYFUNCTION("""COMPUTED_VALUE"""),46011.0)</f>
        <v>46011</v>
      </c>
      <c r="E3210" s="35" t="str">
        <f>IFERROR(__xludf.DUMMYFUNCTION("""COMPUTED_VALUE"""),"12Des")</f>
        <v>12Des</v>
      </c>
      <c r="F3210" s="35" t="str">
        <f>IFERROR(__xludf.DUMMYFUNCTION("""COMPUTED_VALUE"""),"2025")</f>
        <v>2025</v>
      </c>
      <c r="G3210" s="35" t="str">
        <f>IFERROR(__xludf.DUMMYFUNCTION("""COMPUTED_VALUE"""),"ARISYA AHZA NAURA")</f>
        <v>ARISYA AHZA NAURA</v>
      </c>
      <c r="H3210" s="35" t="str">
        <f>IFERROR(__xludf.DUMMYFUNCTION("""COMPUTED_VALUE"""),"A1325122428")</f>
        <v>A1325122428</v>
      </c>
      <c r="I3210" s="35">
        <f>IFERROR(__xludf.DUMMYFUNCTION("""COMPUTED_VALUE"""),12.0)</f>
        <v>12</v>
      </c>
      <c r="J3210" s="35" t="str">
        <f>IFERROR(__xludf.DUMMYFUNCTION("""COMPUTED_VALUE"""),"&lt; 18 tahun")</f>
        <v>&lt; 18 tahun</v>
      </c>
      <c r="K3210" s="35" t="str">
        <f>IFERROR(__xludf.DUMMYFUNCTION("""COMPUTED_VALUE"""),"25/12/2013")</f>
        <v>25/12/2013</v>
      </c>
      <c r="L3210" s="35" t="str">
        <f>IFERROR(__xludf.DUMMYFUNCTION("""COMPUTED_VALUE"""),"PEREMPUAN")</f>
        <v>PEREMPUAN</v>
      </c>
      <c r="M3210" s="35" t="str">
        <f>IFERROR(__xludf.DUMMYFUNCTION("""COMPUTED_VALUE"""),"JL SUBARKAH BLOK C NO 4")</f>
        <v>JL SUBARKAH BLOK C NO 4</v>
      </c>
      <c r="N3210" s="35" t="str">
        <f>IFERROR(__xludf.DUMMYFUNCTION("""COMPUTED_VALUE"""),"PARIT TOKAYA")</f>
        <v>PARIT TOKAYA</v>
      </c>
      <c r="O3210" s="35" t="str">
        <f>IFERROR(__xludf.DUMMYFUNCTION("""COMPUTED_VALUE"""),"PONTIANAK SELATAN")</f>
        <v>PONTIANAK SELATAN</v>
      </c>
      <c r="P3210" s="35" t="str">
        <f>IFERROR(__xludf.DUMMYFUNCTION("""COMPUTED_VALUE"""),"PONTIANAK")</f>
        <v>PONTIANAK</v>
      </c>
      <c r="Q3210" s="35" t="str">
        <f>IFERROR(__xludf.DUMMYFUNCTION("""COMPUTED_VALUE"""),"KALIMANTAN BARAT")</f>
        <v>KALIMANTAN BARAT</v>
      </c>
      <c r="R3210" s="35" t="str">
        <f>IFERROR(__xludf.DUMMYFUNCTION("""COMPUTED_VALUE"""),"ISLAM")</f>
        <v>ISLAM</v>
      </c>
      <c r="S3210" s="74" t="str">
        <f>IFERROR(__xludf.DUMMYFUNCTION("""COMPUTED_VALUE"""),"PELAJAR")</f>
        <v>PELAJAR</v>
      </c>
      <c r="T3210" s="35" t="str">
        <f>IFERROR(__xludf.DUMMYFUNCTION("""COMPUTED_VALUE"""),"PINGGANG")</f>
        <v>PINGGANG</v>
      </c>
      <c r="U3210" s="35" t="str">
        <f>IFERROR(__xludf.DUMMYFUNCTION("""COMPUTED_VALUE"""),"AKTIVITAS SEHARI2 / SEKOLAH")</f>
        <v>AKTIVITAS SEHARI2 / SEKOLAH</v>
      </c>
      <c r="V3210" s="35" t="str">
        <f>IFERROR(__xludf.DUMMYFUNCTION("""COMPUTED_VALUE"""),"081381202428")</f>
        <v>081381202428</v>
      </c>
      <c r="W3210" s="45"/>
    </row>
    <row r="3211">
      <c r="A3211" s="45"/>
      <c r="B3211" s="35" t="str">
        <f>IFERROR(__xludf.DUMMYFUNCTION("""COMPUTED_VALUE"""),"20/12/2025 16:38:00")</f>
        <v>20/12/2025 16:38:00</v>
      </c>
      <c r="C3211" s="35"/>
      <c r="D3211" s="10">
        <f>IFERROR(__xludf.DUMMYFUNCTION("""COMPUTED_VALUE"""),46011.0)</f>
        <v>46011</v>
      </c>
      <c r="E3211" s="35" t="str">
        <f>IFERROR(__xludf.DUMMYFUNCTION("""COMPUTED_VALUE"""),"12Des")</f>
        <v>12Des</v>
      </c>
      <c r="F3211" s="35" t="str">
        <f>IFERROR(__xludf.DUMMYFUNCTION("""COMPUTED_VALUE"""),"2025")</f>
        <v>2025</v>
      </c>
      <c r="G3211" s="35" t="str">
        <f>IFERROR(__xludf.DUMMYFUNCTION("""COMPUTED_VALUE"""),"CITRA PURNAMA SARI")</f>
        <v>CITRA PURNAMA SARI</v>
      </c>
      <c r="H3211" s="35" t="str">
        <f>IFERROR(__xludf.DUMMYFUNCTION("""COMPUTED_VALUE"""),"C9225128367")</f>
        <v>C9225128367</v>
      </c>
      <c r="I3211" s="35">
        <f>IFERROR(__xludf.DUMMYFUNCTION("""COMPUTED_VALUE"""),34.0)</f>
        <v>34</v>
      </c>
      <c r="J3211" s="35" t="str">
        <f>IFERROR(__xludf.DUMMYFUNCTION("""COMPUTED_VALUE"""),"25-34 tahun")</f>
        <v>25-34 tahun</v>
      </c>
      <c r="K3211" s="35" t="str">
        <f>IFERROR(__xludf.DUMMYFUNCTION("""COMPUTED_VALUE"""),"18/02/1992")</f>
        <v>18/02/1992</v>
      </c>
      <c r="L3211" s="35" t="str">
        <f>IFERROR(__xludf.DUMMYFUNCTION("""COMPUTED_VALUE"""),"PEREMPUAN")</f>
        <v>PEREMPUAN</v>
      </c>
      <c r="M3211" s="35" t="str">
        <f>IFERROR(__xludf.DUMMYFUNCTION("""COMPUTED_VALUE"""),"JL PANGLIMA AIM")</f>
        <v>JL PANGLIMA AIM</v>
      </c>
      <c r="N3211" s="35" t="str">
        <f>IFERROR(__xludf.DUMMYFUNCTION("""COMPUTED_VALUE"""),"DALAM BUGIS")</f>
        <v>DALAM BUGIS</v>
      </c>
      <c r="O3211" s="35" t="str">
        <f>IFERROR(__xludf.DUMMYFUNCTION("""COMPUTED_VALUE"""),"PONTIANAK TIMUR")</f>
        <v>PONTIANAK TIMUR</v>
      </c>
      <c r="P3211" s="35" t="str">
        <f>IFERROR(__xludf.DUMMYFUNCTION("""COMPUTED_VALUE"""),"PONTIANAK KOTA")</f>
        <v>PONTIANAK KOTA</v>
      </c>
      <c r="Q3211" s="35" t="str">
        <f>IFERROR(__xludf.DUMMYFUNCTION("""COMPUTED_VALUE"""),"KALIMANTAN BARAT")</f>
        <v>KALIMANTAN BARAT</v>
      </c>
      <c r="R3211" s="35" t="str">
        <f>IFERROR(__xludf.DUMMYFUNCTION("""COMPUTED_VALUE"""),"ISLAM")</f>
        <v>ISLAM</v>
      </c>
      <c r="S3211" s="74" t="str">
        <f>IFERROR(__xludf.DUMMYFUNCTION("""COMPUTED_VALUE"""),"SWASTA")</f>
        <v>SWASTA</v>
      </c>
      <c r="T3211" s="35" t="str">
        <f>IFERROR(__xludf.DUMMYFUNCTION("""COMPUTED_VALUE"""),"BELLS PALSY")</f>
        <v>BELLS PALSY</v>
      </c>
      <c r="U3211" s="35" t="str">
        <f>IFERROR(__xludf.DUMMYFUNCTION("""COMPUTED_VALUE"""),"BIASA SAJA")</f>
        <v>BIASA SAJA</v>
      </c>
      <c r="V3211" s="35" t="str">
        <f>IFERROR(__xludf.DUMMYFUNCTION("""COMPUTED_VALUE"""),"085776128367")</f>
        <v>085776128367</v>
      </c>
      <c r="W3211" s="45"/>
    </row>
    <row r="3212">
      <c r="A3212" s="45"/>
      <c r="B3212" s="35" t="str">
        <f>IFERROR(__xludf.DUMMYFUNCTION("""COMPUTED_VALUE"""),"20/12/2025 17:03:48")</f>
        <v>20/12/2025 17:03:48</v>
      </c>
      <c r="C3212" s="35"/>
      <c r="D3212" s="10">
        <f>IFERROR(__xludf.DUMMYFUNCTION("""COMPUTED_VALUE"""),46011.0)</f>
        <v>46011</v>
      </c>
      <c r="E3212" s="35" t="str">
        <f>IFERROR(__xludf.DUMMYFUNCTION("""COMPUTED_VALUE"""),"12Des")</f>
        <v>12Des</v>
      </c>
      <c r="F3212" s="35" t="str">
        <f>IFERROR(__xludf.DUMMYFUNCTION("""COMPUTED_VALUE"""),"2025")</f>
        <v>2025</v>
      </c>
      <c r="G3212" s="35" t="str">
        <f>IFERROR(__xludf.DUMMYFUNCTION("""COMPUTED_VALUE"""),"KASTI")</f>
        <v>KASTI</v>
      </c>
      <c r="H3212" s="35" t="str">
        <f>IFERROR(__xludf.DUMMYFUNCTION("""COMPUTED_VALUE"""),"K7425121740")</f>
        <v>K7425121740</v>
      </c>
      <c r="I3212" s="35">
        <f>IFERROR(__xludf.DUMMYFUNCTION("""COMPUTED_VALUE"""),52.0)</f>
        <v>52</v>
      </c>
      <c r="J3212" s="35" t="str">
        <f>IFERROR(__xludf.DUMMYFUNCTION("""COMPUTED_VALUE"""),"&gt; 44 tahun")</f>
        <v>&gt; 44 tahun</v>
      </c>
      <c r="K3212" s="35" t="str">
        <f>IFERROR(__xludf.DUMMYFUNCTION("""COMPUTED_VALUE"""),"04/04/1974")</f>
        <v>04/04/1974</v>
      </c>
      <c r="L3212" s="35" t="str">
        <f>IFERROR(__xludf.DUMMYFUNCTION("""COMPUTED_VALUE"""),"PEREMPUAN")</f>
        <v>PEREMPUAN</v>
      </c>
      <c r="M3212" s="35" t="str">
        <f>IFERROR(__xludf.DUMMYFUNCTION("""COMPUTED_VALUE"""),"GG. SUMBER AGUNG 1 JALUR A")</f>
        <v>GG. SUMBER AGUNG 1 JALUR A</v>
      </c>
      <c r="N3212" s="35" t="str">
        <f>IFERROR(__xludf.DUMMYFUNCTION("""COMPUTED_VALUE"""),"-")</f>
        <v>-</v>
      </c>
      <c r="O3212" s="35" t="str">
        <f>IFERROR(__xludf.DUMMYFUNCTION("""COMPUTED_VALUE"""),"-")</f>
        <v>-</v>
      </c>
      <c r="P3212" s="35" t="str">
        <f>IFERROR(__xludf.DUMMYFUNCTION("""COMPUTED_VALUE"""),"PONTIANAK")</f>
        <v>PONTIANAK</v>
      </c>
      <c r="Q3212" s="35" t="str">
        <f>IFERROR(__xludf.DUMMYFUNCTION("""COMPUTED_VALUE"""),"KALIMANTAN BARAT")</f>
        <v>KALIMANTAN BARAT</v>
      </c>
      <c r="R3212" s="35" t="str">
        <f>IFERROR(__xludf.DUMMYFUNCTION("""COMPUTED_VALUE"""),"ISLAM")</f>
        <v>ISLAM</v>
      </c>
      <c r="S3212" s="74" t="str">
        <f>IFERROR(__xludf.DUMMYFUNCTION("""COMPUTED_VALUE"""),"IRT")</f>
        <v>IRT</v>
      </c>
      <c r="T3212" s="35" t="str">
        <f>IFERROR(__xludf.DUMMYFUNCTION("""COMPUTED_VALUE"""),"BAHU")</f>
        <v>BAHU</v>
      </c>
      <c r="U3212" s="35" t="str">
        <f>IFERROR(__xludf.DUMMYFUNCTION("""COMPUTED_VALUE"""),"-")</f>
        <v>-</v>
      </c>
      <c r="V3212" s="35" t="str">
        <f>IFERROR(__xludf.DUMMYFUNCTION("""COMPUTED_VALUE"""),"088242021740")</f>
        <v>088242021740</v>
      </c>
      <c r="W3212" s="45"/>
    </row>
    <row r="3213">
      <c r="A3213" s="45"/>
      <c r="B3213" s="35" t="str">
        <f>IFERROR(__xludf.DUMMYFUNCTION("""COMPUTED_VALUE"""),"21/12/2025 13:29:54")</f>
        <v>21/12/2025 13:29:54</v>
      </c>
      <c r="C3213" s="35"/>
      <c r="D3213" s="10">
        <f>IFERROR(__xludf.DUMMYFUNCTION("""COMPUTED_VALUE"""),46012.0)</f>
        <v>46012</v>
      </c>
      <c r="E3213" s="35" t="str">
        <f>IFERROR(__xludf.DUMMYFUNCTION("""COMPUTED_VALUE"""),"12Des")</f>
        <v>12Des</v>
      </c>
      <c r="F3213" s="35" t="str">
        <f>IFERROR(__xludf.DUMMYFUNCTION("""COMPUTED_VALUE"""),"2025")</f>
        <v>2025</v>
      </c>
      <c r="G3213" s="35" t="str">
        <f>IFERROR(__xludf.DUMMYFUNCTION("""COMPUTED_VALUE"""),"THJANG TAT LIM")</f>
        <v>THJANG TAT LIM</v>
      </c>
      <c r="H3213" s="35" t="str">
        <f>IFERROR(__xludf.DUMMYFUNCTION("""COMPUTED_VALUE"""),"T5125126845")</f>
        <v>T5125126845</v>
      </c>
      <c r="I3213" s="35">
        <f>IFERROR(__xludf.DUMMYFUNCTION("""COMPUTED_VALUE"""),74.0)</f>
        <v>74</v>
      </c>
      <c r="J3213" s="35" t="str">
        <f>IFERROR(__xludf.DUMMYFUNCTION("""COMPUTED_VALUE"""),"&gt; 44 tahun")</f>
        <v>&gt; 44 tahun</v>
      </c>
      <c r="K3213" s="35" t="str">
        <f>IFERROR(__xludf.DUMMYFUNCTION("""COMPUTED_VALUE"""),"06/07/1951")</f>
        <v>06/07/1951</v>
      </c>
      <c r="L3213" s="35" t="str">
        <f>IFERROR(__xludf.DUMMYFUNCTION("""COMPUTED_VALUE"""),"PEREMPUAN")</f>
        <v>PEREMPUAN</v>
      </c>
      <c r="M3213" s="35" t="str">
        <f>IFERROR(__xludf.DUMMYFUNCTION("""COMPUTED_VALUE"""),"MANDOR")</f>
        <v>MANDOR</v>
      </c>
      <c r="N3213" s="35" t="str">
        <f>IFERROR(__xludf.DUMMYFUNCTION("""COMPUTED_VALUE"""),"SIANTAN TENGAH")</f>
        <v>SIANTAN TENGAH</v>
      </c>
      <c r="O3213" s="35" t="str">
        <f>IFERROR(__xludf.DUMMYFUNCTION("""COMPUTED_VALUE"""),"PONTIANAK UTARA")</f>
        <v>PONTIANAK UTARA</v>
      </c>
      <c r="P3213" s="35" t="str">
        <f>IFERROR(__xludf.DUMMYFUNCTION("""COMPUTED_VALUE"""),"PONTIANAK")</f>
        <v>PONTIANAK</v>
      </c>
      <c r="Q3213" s="35" t="str">
        <f>IFERROR(__xludf.DUMMYFUNCTION("""COMPUTED_VALUE"""),"KALIMANTAN BARAT")</f>
        <v>KALIMANTAN BARAT</v>
      </c>
      <c r="R3213" s="35" t="str">
        <f>IFERROR(__xludf.DUMMYFUNCTION("""COMPUTED_VALUE"""),"BUDDHA")</f>
        <v>BUDDHA</v>
      </c>
      <c r="S3213" s="74" t="str">
        <f>IFERROR(__xludf.DUMMYFUNCTION("""COMPUTED_VALUE"""),"BURUH HARIAN LEPAS")</f>
        <v>BURUH HARIAN LEPAS</v>
      </c>
      <c r="T3213" s="35" t="str">
        <f>IFERROR(__xludf.DUMMYFUNCTION("""COMPUTED_VALUE"""),"NGILU KAKI")</f>
        <v>NGILU KAKI</v>
      </c>
      <c r="U3213" s="35" t="str">
        <f>IFERROR(__xludf.DUMMYFUNCTION("""COMPUTED_VALUE"""),"-")</f>
        <v>-</v>
      </c>
      <c r="V3213" s="35" t="str">
        <f>IFERROR(__xludf.DUMMYFUNCTION("""COMPUTED_VALUE"""),"082154196845")</f>
        <v>082154196845</v>
      </c>
      <c r="W3213" s="45"/>
    </row>
    <row r="3214">
      <c r="A3214" s="45"/>
      <c r="B3214" s="35" t="str">
        <f>IFERROR(__xludf.DUMMYFUNCTION("""COMPUTED_VALUE"""),"21/12/2025 17:23:54")</f>
        <v>21/12/2025 17:23:54</v>
      </c>
      <c r="C3214" s="35"/>
      <c r="D3214" s="10">
        <f>IFERROR(__xludf.DUMMYFUNCTION("""COMPUTED_VALUE"""),46012.0)</f>
        <v>46012</v>
      </c>
      <c r="E3214" s="35" t="str">
        <f>IFERROR(__xludf.DUMMYFUNCTION("""COMPUTED_VALUE"""),"12Des")</f>
        <v>12Des</v>
      </c>
      <c r="F3214" s="35" t="str">
        <f>IFERROR(__xludf.DUMMYFUNCTION("""COMPUTED_VALUE"""),"2025")</f>
        <v>2025</v>
      </c>
      <c r="G3214" s="35" t="str">
        <f>IFERROR(__xludf.DUMMYFUNCTION("""COMPUTED_VALUE"""),"ANGELICA")</f>
        <v>ANGELICA</v>
      </c>
      <c r="H3214" s="35" t="str">
        <f>IFERROR(__xludf.DUMMYFUNCTION("""COMPUTED_VALUE"""),"A0825125687")</f>
        <v>A0825125687</v>
      </c>
      <c r="I3214" s="35">
        <f>IFERROR(__xludf.DUMMYFUNCTION("""COMPUTED_VALUE"""),17.0)</f>
        <v>17</v>
      </c>
      <c r="J3214" s="35" t="str">
        <f>IFERROR(__xludf.DUMMYFUNCTION("""COMPUTED_VALUE"""),"&lt; 18 tahun")</f>
        <v>&lt; 18 tahun</v>
      </c>
      <c r="K3214" s="35" t="str">
        <f>IFERROR(__xludf.DUMMYFUNCTION("""COMPUTED_VALUE"""),"01/09/2008")</f>
        <v>01/09/2008</v>
      </c>
      <c r="L3214" s="35" t="str">
        <f>IFERROR(__xludf.DUMMYFUNCTION("""COMPUTED_VALUE"""),"PEREMPUAN")</f>
        <v>PEREMPUAN</v>
      </c>
      <c r="M3214" s="35" t="str">
        <f>IFERROR(__xludf.DUMMYFUNCTION("""COMPUTED_VALUE"""),"JL KARY BARU KOMPLEK PONDOK PELANGI BLOK D3 NO9")</f>
        <v>JL KARY BARU KOMPLEK PONDOK PELANGI BLOK D3 NO9</v>
      </c>
      <c r="N3214" s="35" t="str">
        <f>IFERROR(__xludf.DUMMYFUNCTION("""COMPUTED_VALUE"""),"PARIT TOKAYA")</f>
        <v>PARIT TOKAYA</v>
      </c>
      <c r="O3214" s="35" t="str">
        <f>IFERROR(__xludf.DUMMYFUNCTION("""COMPUTED_VALUE"""),"PONTIANAK SELATAN")</f>
        <v>PONTIANAK SELATAN</v>
      </c>
      <c r="P3214" s="35" t="str">
        <f>IFERROR(__xludf.DUMMYFUNCTION("""COMPUTED_VALUE"""),"PONTIANAK")</f>
        <v>PONTIANAK</v>
      </c>
      <c r="Q3214" s="35" t="str">
        <f>IFERROR(__xludf.DUMMYFUNCTION("""COMPUTED_VALUE"""),"KALIMANTAN BARAT")</f>
        <v>KALIMANTAN BARAT</v>
      </c>
      <c r="R3214" s="35" t="str">
        <f>IFERROR(__xludf.DUMMYFUNCTION("""COMPUTED_VALUE"""),"KATOLIK")</f>
        <v>KATOLIK</v>
      </c>
      <c r="S3214" s="74" t="str">
        <f>IFERROR(__xludf.DUMMYFUNCTION("""COMPUTED_VALUE"""),"SISWA SMA")</f>
        <v>SISWA SMA</v>
      </c>
      <c r="T3214" s="35" t="str">
        <f>IFERROR(__xludf.DUMMYFUNCTION("""COMPUTED_VALUE"""),"SKOLIOSIS")</f>
        <v>SKOLIOSIS</v>
      </c>
      <c r="U3214" s="35" t="str">
        <f>IFERROR(__xludf.DUMMYFUNCTION("""COMPUTED_VALUE"""),"GYM")</f>
        <v>GYM</v>
      </c>
      <c r="V3214" s="35" t="str">
        <f>IFERROR(__xludf.DUMMYFUNCTION("""COMPUTED_VALUE"""),"082197055687")</f>
        <v>082197055687</v>
      </c>
      <c r="W3214" s="45"/>
    </row>
    <row r="3215">
      <c r="A3215" s="45"/>
      <c r="B3215" s="35" t="str">
        <f>IFERROR(__xludf.DUMMYFUNCTION("""COMPUTED_VALUE"""),"22/12/2025 14:39:34")</f>
        <v>22/12/2025 14:39:34</v>
      </c>
      <c r="C3215" s="35"/>
      <c r="D3215" s="10">
        <f>IFERROR(__xludf.DUMMYFUNCTION("""COMPUTED_VALUE"""),46013.0)</f>
        <v>46013</v>
      </c>
      <c r="E3215" s="35" t="str">
        <f>IFERROR(__xludf.DUMMYFUNCTION("""COMPUTED_VALUE"""),"12Des")</f>
        <v>12Des</v>
      </c>
      <c r="F3215" s="35" t="str">
        <f>IFERROR(__xludf.DUMMYFUNCTION("""COMPUTED_VALUE"""),"2025")</f>
        <v>2025</v>
      </c>
      <c r="G3215" s="35" t="str">
        <f>IFERROR(__xludf.DUMMYFUNCTION("""COMPUTED_VALUE"""),"BEDJO RAHARDJO")</f>
        <v>BEDJO RAHARDJO</v>
      </c>
      <c r="H3215" s="35" t="str">
        <f>IFERROR(__xludf.DUMMYFUNCTION("""COMPUTED_VALUE"""),"B5325129871")</f>
        <v>B5325129871</v>
      </c>
      <c r="I3215" s="35">
        <f>IFERROR(__xludf.DUMMYFUNCTION("""COMPUTED_VALUE"""),73.0)</f>
        <v>73</v>
      </c>
      <c r="J3215" s="35" t="str">
        <f>IFERROR(__xludf.DUMMYFUNCTION("""COMPUTED_VALUE"""),"&gt; 44 tahun")</f>
        <v>&gt; 44 tahun</v>
      </c>
      <c r="K3215" s="35" t="str">
        <f>IFERROR(__xludf.DUMMYFUNCTION("""COMPUTED_VALUE"""),"16/02/1953")</f>
        <v>16/02/1953</v>
      </c>
      <c r="L3215" s="35" t="str">
        <f>IFERROR(__xludf.DUMMYFUNCTION("""COMPUTED_VALUE"""),"LAKI-LAKI")</f>
        <v>LAKI-LAKI</v>
      </c>
      <c r="M3215" s="35" t="str">
        <f>IFERROR(__xludf.DUMMYFUNCTION("""COMPUTED_VALUE"""),"PONDOK INDAH LESTARI")</f>
        <v>PONDOK INDAH LESTARI</v>
      </c>
      <c r="N3215" s="35" t="str">
        <f>IFERROR(__xludf.DUMMYFUNCTION("""COMPUTED_VALUE"""),"PARIT BARU")</f>
        <v>PARIT BARU</v>
      </c>
      <c r="O3215" s="35" t="str">
        <f>IFERROR(__xludf.DUMMYFUNCTION("""COMPUTED_VALUE"""),"SUNGAI RAYA")</f>
        <v>SUNGAI RAYA</v>
      </c>
      <c r="P3215" s="35" t="str">
        <f>IFERROR(__xludf.DUMMYFUNCTION("""COMPUTED_VALUE"""),"KUBU RAYA")</f>
        <v>KUBU RAYA</v>
      </c>
      <c r="Q3215" s="35" t="str">
        <f>IFERROR(__xludf.DUMMYFUNCTION("""COMPUTED_VALUE"""),"KALIMANTAN BARAT")</f>
        <v>KALIMANTAN BARAT</v>
      </c>
      <c r="R3215" s="35" t="str">
        <f>IFERROR(__xludf.DUMMYFUNCTION("""COMPUTED_VALUE"""),"ISLAM")</f>
        <v>ISLAM</v>
      </c>
      <c r="S3215" s="74" t="str">
        <f>IFERROR(__xludf.DUMMYFUNCTION("""COMPUTED_VALUE"""),"POLRI")</f>
        <v>POLRI</v>
      </c>
      <c r="T3215" s="35" t="str">
        <f>IFERROR(__xludf.DUMMYFUNCTION("""COMPUTED_VALUE"""),"LENGAN")</f>
        <v>LENGAN</v>
      </c>
      <c r="U3215" s="35" t="str">
        <f>IFERROR(__xludf.DUMMYFUNCTION("""COMPUTED_VALUE"""),"-")</f>
        <v>-</v>
      </c>
      <c r="V3215" s="35" t="str">
        <f>IFERROR(__xludf.DUMMYFUNCTION("""COMPUTED_VALUE"""),"082252199871")</f>
        <v>082252199871</v>
      </c>
      <c r="W3215" s="45"/>
    </row>
    <row r="3216">
      <c r="A3216" s="45"/>
      <c r="B3216" s="35" t="str">
        <f>IFERROR(__xludf.DUMMYFUNCTION("""COMPUTED_VALUE"""),"22/12/2025 15:17:41")</f>
        <v>22/12/2025 15:17:41</v>
      </c>
      <c r="C3216" s="35"/>
      <c r="D3216" s="10">
        <f>IFERROR(__xludf.DUMMYFUNCTION("""COMPUTED_VALUE"""),46013.0)</f>
        <v>46013</v>
      </c>
      <c r="E3216" s="35" t="str">
        <f>IFERROR(__xludf.DUMMYFUNCTION("""COMPUTED_VALUE"""),"12Des")</f>
        <v>12Des</v>
      </c>
      <c r="F3216" s="35" t="str">
        <f>IFERROR(__xludf.DUMMYFUNCTION("""COMPUTED_VALUE"""),"2025")</f>
        <v>2025</v>
      </c>
      <c r="G3216" s="35" t="str">
        <f>IFERROR(__xludf.DUMMYFUNCTION("""COMPUTED_VALUE"""),"VERGI ARKADYA")</f>
        <v>VERGI ARKADYA</v>
      </c>
      <c r="H3216" s="35" t="str">
        <f>IFERROR(__xludf.DUMMYFUNCTION("""COMPUTED_VALUE"""),"V5325123931")</f>
        <v>V5325123931</v>
      </c>
      <c r="I3216" s="35">
        <f>IFERROR(__xludf.DUMMYFUNCTION("""COMPUTED_VALUE"""),72.0)</f>
        <v>72</v>
      </c>
      <c r="J3216" s="35" t="str">
        <f>IFERROR(__xludf.DUMMYFUNCTION("""COMPUTED_VALUE"""),"&gt; 44 tahun")</f>
        <v>&gt; 44 tahun</v>
      </c>
      <c r="K3216" s="35" t="str">
        <f>IFERROR(__xludf.DUMMYFUNCTION("""COMPUTED_VALUE"""),"20/09/1953")</f>
        <v>20/09/1953</v>
      </c>
      <c r="L3216" s="35" t="str">
        <f>IFERROR(__xludf.DUMMYFUNCTION("""COMPUTED_VALUE"""),"LAKI-LAKI")</f>
        <v>LAKI-LAKI</v>
      </c>
      <c r="M3216" s="35" t="str">
        <f>IFERROR(__xludf.DUMMYFUNCTION("""COMPUTED_VALUE"""),"JL DR RUBINI , BTN TELUK HALUS")</f>
        <v>JL DR RUBINI , BTN TELUK HALUS</v>
      </c>
      <c r="N3216" s="35" t="str">
        <f>IFERROR(__xludf.DUMMYFUNCTION("""COMPUTED_VALUE"""),"TENGAH")</f>
        <v>TENGAH</v>
      </c>
      <c r="O3216" s="35" t="str">
        <f>IFERROR(__xludf.DUMMYFUNCTION("""COMPUTED_VALUE"""),"MEMPAWAH HILIR")</f>
        <v>MEMPAWAH HILIR</v>
      </c>
      <c r="P3216" s="35" t="str">
        <f>IFERROR(__xludf.DUMMYFUNCTION("""COMPUTED_VALUE"""),"MEMPAWAH")</f>
        <v>MEMPAWAH</v>
      </c>
      <c r="Q3216" s="35" t="str">
        <f>IFERROR(__xludf.DUMMYFUNCTION("""COMPUTED_VALUE"""),"KALIMANTAN BARAT")</f>
        <v>KALIMANTAN BARAT</v>
      </c>
      <c r="R3216" s="35" t="str">
        <f>IFERROR(__xludf.DUMMYFUNCTION("""COMPUTED_VALUE"""),"ISLAM")</f>
        <v>ISLAM</v>
      </c>
      <c r="S3216" s="74" t="str">
        <f>IFERROR(__xludf.DUMMYFUNCTION("""COMPUTED_VALUE"""),"KARYAWAN SWASTA")</f>
        <v>KARYAWAN SWASTA</v>
      </c>
      <c r="T3216" s="35" t="str">
        <f>IFERROR(__xludf.DUMMYFUNCTION("""COMPUTED_VALUE"""),"PINGGANG")</f>
        <v>PINGGANG</v>
      </c>
      <c r="U3216" s="35" t="str">
        <f>IFERROR(__xludf.DUMMYFUNCTION("""COMPUTED_VALUE"""),"-")</f>
        <v>-</v>
      </c>
      <c r="V3216" s="35" t="str">
        <f>IFERROR(__xludf.DUMMYFUNCTION("""COMPUTED_VALUE"""),"971863931")</f>
        <v>971863931</v>
      </c>
      <c r="W3216" s="45"/>
    </row>
    <row r="3217">
      <c r="A3217" s="45"/>
      <c r="B3217" s="35" t="str">
        <f>IFERROR(__xludf.DUMMYFUNCTION("""COMPUTED_VALUE"""),"22/12/2025 16:24:58")</f>
        <v>22/12/2025 16:24:58</v>
      </c>
      <c r="C3217" s="35"/>
      <c r="D3217" s="10">
        <f>IFERROR(__xludf.DUMMYFUNCTION("""COMPUTED_VALUE"""),46013.0)</f>
        <v>46013</v>
      </c>
      <c r="E3217" s="35" t="str">
        <f>IFERROR(__xludf.DUMMYFUNCTION("""COMPUTED_VALUE"""),"12Des")</f>
        <v>12Des</v>
      </c>
      <c r="F3217" s="35" t="str">
        <f>IFERROR(__xludf.DUMMYFUNCTION("""COMPUTED_VALUE"""),"2025")</f>
        <v>2025</v>
      </c>
      <c r="G3217" s="35" t="str">
        <f>IFERROR(__xludf.DUMMYFUNCTION("""COMPUTED_VALUE"""),"YOSTRYAN CHENATA")</f>
        <v>YOSTRYAN CHENATA</v>
      </c>
      <c r="H3217" s="35" t="str">
        <f>IFERROR(__xludf.DUMMYFUNCTION("""COMPUTED_VALUE"""),"Y9425125852")</f>
        <v>Y9425125852</v>
      </c>
      <c r="I3217" s="35">
        <f>IFERROR(__xludf.DUMMYFUNCTION("""COMPUTED_VALUE"""),31.0)</f>
        <v>31</v>
      </c>
      <c r="J3217" s="35" t="str">
        <f>IFERROR(__xludf.DUMMYFUNCTION("""COMPUTED_VALUE"""),"25-34 tahun")</f>
        <v>25-34 tahun</v>
      </c>
      <c r="K3217" s="35" t="str">
        <f>IFERROR(__xludf.DUMMYFUNCTION("""COMPUTED_VALUE"""),"04/08/1994")</f>
        <v>04/08/1994</v>
      </c>
      <c r="L3217" s="35" t="str">
        <f>IFERROR(__xludf.DUMMYFUNCTION("""COMPUTED_VALUE"""),"LAKI-LAKI")</f>
        <v>LAKI-LAKI</v>
      </c>
      <c r="M3217" s="35" t="str">
        <f>IFERROR(__xludf.DUMMYFUNCTION("""COMPUTED_VALUE"""),"JALAN TANI GG MERANTI 1 KOMP WBE 3 NO E2")</f>
        <v>JALAN TANI GG MERANTI 1 KOMP WBE 3 NO E2</v>
      </c>
      <c r="N3217" s="35" t="str">
        <f>IFERROR(__xludf.DUMMYFUNCTION("""COMPUTED_VALUE"""),"PASIRAN")</f>
        <v>PASIRAN</v>
      </c>
      <c r="O3217" s="35" t="str">
        <f>IFERROR(__xludf.DUMMYFUNCTION("""COMPUTED_VALUE"""),"SINGKAWANG BARAT")</f>
        <v>SINGKAWANG BARAT</v>
      </c>
      <c r="P3217" s="35" t="str">
        <f>IFERROR(__xludf.DUMMYFUNCTION("""COMPUTED_VALUE"""),"KOTA SINGKAWANG")</f>
        <v>KOTA SINGKAWANG</v>
      </c>
      <c r="Q3217" s="35" t="str">
        <f>IFERROR(__xludf.DUMMYFUNCTION("""COMPUTED_VALUE"""),"KALIMANTAN BARAT")</f>
        <v>KALIMANTAN BARAT</v>
      </c>
      <c r="R3217" s="35" t="str">
        <f>IFERROR(__xludf.DUMMYFUNCTION("""COMPUTED_VALUE"""),"KATOLIK")</f>
        <v>KATOLIK</v>
      </c>
      <c r="S3217" s="74" t="str">
        <f>IFERROR(__xludf.DUMMYFUNCTION("""COMPUTED_VALUE"""),"WIRASWASTA")</f>
        <v>WIRASWASTA</v>
      </c>
      <c r="T3217" s="35" t="str">
        <f>IFERROR(__xludf.DUMMYFUNCTION("""COMPUTED_VALUE"""),"SAKIT PINGGANG")</f>
        <v>SAKIT PINGGANG</v>
      </c>
      <c r="U3217" s="35" t="str">
        <f>IFERROR(__xludf.DUMMYFUNCTION("""COMPUTED_VALUE"""),"BADMINTON")</f>
        <v>BADMINTON</v>
      </c>
      <c r="V3217" s="35" t="str">
        <f>IFERROR(__xludf.DUMMYFUNCTION("""COMPUTED_VALUE"""),"085175005852")</f>
        <v>085175005852</v>
      </c>
      <c r="W3217" s="45"/>
    </row>
    <row r="3218">
      <c r="A3218" s="45"/>
      <c r="B3218" s="35" t="str">
        <f>IFERROR(__xludf.DUMMYFUNCTION("""COMPUTED_VALUE"""),"22/12/2025 17:15:15")</f>
        <v>22/12/2025 17:15:15</v>
      </c>
      <c r="C3218" s="35"/>
      <c r="D3218" s="10">
        <f>IFERROR(__xludf.DUMMYFUNCTION("""COMPUTED_VALUE"""),46013.0)</f>
        <v>46013</v>
      </c>
      <c r="E3218" s="35" t="str">
        <f>IFERROR(__xludf.DUMMYFUNCTION("""COMPUTED_VALUE"""),"12Des")</f>
        <v>12Des</v>
      </c>
      <c r="F3218" s="35" t="str">
        <f>IFERROR(__xludf.DUMMYFUNCTION("""COMPUTED_VALUE"""),"2025")</f>
        <v>2025</v>
      </c>
      <c r="G3218" s="35" t="str">
        <f>IFERROR(__xludf.DUMMYFUNCTION("""COMPUTED_VALUE"""),"HENDRI WIJAYA")</f>
        <v>HENDRI WIJAYA</v>
      </c>
      <c r="H3218" s="35" t="str">
        <f>IFERROR(__xludf.DUMMYFUNCTION("""COMPUTED_VALUE"""),"H9425120685")</f>
        <v>H9425120685</v>
      </c>
      <c r="I3218" s="35">
        <f>IFERROR(__xludf.DUMMYFUNCTION("""COMPUTED_VALUE"""),32.0)</f>
        <v>32</v>
      </c>
      <c r="J3218" s="35" t="str">
        <f>IFERROR(__xludf.DUMMYFUNCTION("""COMPUTED_VALUE"""),"25-34 tahun")</f>
        <v>25-34 tahun</v>
      </c>
      <c r="K3218" s="35" t="str">
        <f>IFERROR(__xludf.DUMMYFUNCTION("""COMPUTED_VALUE"""),"29/05/1994")</f>
        <v>29/05/1994</v>
      </c>
      <c r="L3218" s="35" t="str">
        <f>IFERROR(__xludf.DUMMYFUNCTION("""COMPUTED_VALUE"""),"LAKI-LAKI")</f>
        <v>LAKI-LAKI</v>
      </c>
      <c r="M3218" s="35" t="str">
        <f>IFERROR(__xludf.DUMMYFUNCTION("""COMPUTED_VALUE"""),"JL. TANJUNG BATU HARAPAN")</f>
        <v>JL. TANJUNG BATU HARAPAN</v>
      </c>
      <c r="N3218" s="35" t="str">
        <f>IFERROR(__xludf.DUMMYFUNCTION("""COMPUTED_VALUE"""),"-")</f>
        <v>-</v>
      </c>
      <c r="O3218" s="35" t="str">
        <f>IFERROR(__xludf.DUMMYFUNCTION("""COMPUTED_VALUE"""),"-")</f>
        <v>-</v>
      </c>
      <c r="P3218" s="35" t="str">
        <f>IFERROR(__xludf.DUMMYFUNCTION("""COMPUTED_VALUE"""),"SINGKAWANG")</f>
        <v>SINGKAWANG</v>
      </c>
      <c r="Q3218" s="35" t="str">
        <f>IFERROR(__xludf.DUMMYFUNCTION("""COMPUTED_VALUE"""),"KALIMANTAN BARAT")</f>
        <v>KALIMANTAN BARAT</v>
      </c>
      <c r="R3218" s="35" t="str">
        <f>IFERROR(__xludf.DUMMYFUNCTION("""COMPUTED_VALUE"""),"KATOLIK")</f>
        <v>KATOLIK</v>
      </c>
      <c r="S3218" s="74" t="str">
        <f>IFERROR(__xludf.DUMMYFUNCTION("""COMPUTED_VALUE"""),"SWASTA")</f>
        <v>SWASTA</v>
      </c>
      <c r="T3218" s="35" t="str">
        <f>IFERROR(__xludf.DUMMYFUNCTION("""COMPUTED_VALUE"""),"PINGGANG MENJALAR KE KELINGKING")</f>
        <v>PINGGANG MENJALAR KE KELINGKING</v>
      </c>
      <c r="U3218" s="35" t="str">
        <f>IFERROR(__xludf.DUMMYFUNCTION("""COMPUTED_VALUE"""),"-")</f>
        <v>-</v>
      </c>
      <c r="V3218" s="35" t="str">
        <f>IFERROR(__xludf.DUMMYFUNCTION("""COMPUTED_VALUE"""),"085654840685")</f>
        <v>085654840685</v>
      </c>
      <c r="W3218" s="45"/>
    </row>
    <row r="3219">
      <c r="A3219" s="45"/>
      <c r="B3219" s="35" t="str">
        <f>IFERROR(__xludf.DUMMYFUNCTION("""COMPUTED_VALUE"""),"23/12/2025 12:09:30")</f>
        <v>23/12/2025 12:09:30</v>
      </c>
      <c r="C3219" s="35"/>
      <c r="D3219" s="10">
        <f>IFERROR(__xludf.DUMMYFUNCTION("""COMPUTED_VALUE"""),46014.0)</f>
        <v>46014</v>
      </c>
      <c r="E3219" s="35" t="str">
        <f>IFERROR(__xludf.DUMMYFUNCTION("""COMPUTED_VALUE"""),"12Des")</f>
        <v>12Des</v>
      </c>
      <c r="F3219" s="35" t="str">
        <f>IFERROR(__xludf.DUMMYFUNCTION("""COMPUTED_VALUE"""),"2025")</f>
        <v>2025</v>
      </c>
      <c r="G3219" s="35" t="str">
        <f>IFERROR(__xludf.DUMMYFUNCTION("""COMPUTED_VALUE"""),"RAMOTI PUTRA MANALU")</f>
        <v>RAMOTI PUTRA MANALU</v>
      </c>
      <c r="H3219" s="35" t="str">
        <f>IFERROR(__xludf.DUMMYFUNCTION("""COMPUTED_VALUE"""),"R9525121510")</f>
        <v>R9525121510</v>
      </c>
      <c r="I3219" s="35">
        <f>IFERROR(__xludf.DUMMYFUNCTION("""COMPUTED_VALUE"""),30.0)</f>
        <v>30</v>
      </c>
      <c r="J3219" s="35" t="str">
        <f>IFERROR(__xludf.DUMMYFUNCTION("""COMPUTED_VALUE"""),"25-34 tahun")</f>
        <v>25-34 tahun</v>
      </c>
      <c r="K3219" s="35" t="str">
        <f>IFERROR(__xludf.DUMMYFUNCTION("""COMPUTED_VALUE"""),"23/10/1995")</f>
        <v>23/10/1995</v>
      </c>
      <c r="L3219" s="35" t="str">
        <f>IFERROR(__xludf.DUMMYFUNCTION("""COMPUTED_VALUE"""),"LAKI-LAKI")</f>
        <v>LAKI-LAKI</v>
      </c>
      <c r="M3219" s="35" t="str">
        <f>IFERROR(__xludf.DUMMYFUNCTION("""COMPUTED_VALUE"""),"JALAN ILONG.KOMPLEK AYO JAYA")</f>
        <v>JALAN ILONG.KOMPLEK AYO JAYA</v>
      </c>
      <c r="N3219" s="35" t="str">
        <f>IFERROR(__xludf.DUMMYFUNCTION("""COMPUTED_VALUE"""),"RAJA")</f>
        <v>RAJA</v>
      </c>
      <c r="O3219" s="35" t="str">
        <f>IFERROR(__xludf.DUMMYFUNCTION("""COMPUTED_VALUE"""),"NGABANG")</f>
        <v>NGABANG</v>
      </c>
      <c r="P3219" s="35" t="str">
        <f>IFERROR(__xludf.DUMMYFUNCTION("""COMPUTED_VALUE"""),"LANDAK")</f>
        <v>LANDAK</v>
      </c>
      <c r="Q3219" s="35" t="str">
        <f>IFERROR(__xludf.DUMMYFUNCTION("""COMPUTED_VALUE"""),"KALIMANTAN BARAT")</f>
        <v>KALIMANTAN BARAT</v>
      </c>
      <c r="R3219" s="35" t="str">
        <f>IFERROR(__xludf.DUMMYFUNCTION("""COMPUTED_VALUE"""),"PROTESTAN")</f>
        <v>PROTESTAN</v>
      </c>
      <c r="S3219" s="74" t="str">
        <f>IFERROR(__xludf.DUMMYFUNCTION("""COMPUTED_VALUE"""),"PNS")</f>
        <v>PNS</v>
      </c>
      <c r="T3219" s="35" t="str">
        <f>IFERROR(__xludf.DUMMYFUNCTION("""COMPUTED_VALUE"""),"POST OPERASI ACL")</f>
        <v>POST OPERASI ACL</v>
      </c>
      <c r="U3219" s="35" t="str">
        <f>IFERROR(__xludf.DUMMYFUNCTION("""COMPUTED_VALUE"""),"FUTSAL, NAIK TANGGA")</f>
        <v>FUTSAL, NAIK TANGGA</v>
      </c>
      <c r="V3219" s="35" t="str">
        <f>IFERROR(__xludf.DUMMYFUNCTION("""COMPUTED_VALUE"""),"085246281510")</f>
        <v>085246281510</v>
      </c>
      <c r="W3219" s="45"/>
    </row>
    <row r="3220">
      <c r="A3220" s="45"/>
      <c r="B3220" s="35" t="str">
        <f>IFERROR(__xludf.DUMMYFUNCTION("""COMPUTED_VALUE"""),"23/12/2025 13:12:12")</f>
        <v>23/12/2025 13:12:12</v>
      </c>
      <c r="C3220" s="35"/>
      <c r="D3220" s="10">
        <f>IFERROR(__xludf.DUMMYFUNCTION("""COMPUTED_VALUE"""),46014.0)</f>
        <v>46014</v>
      </c>
      <c r="E3220" s="35" t="str">
        <f>IFERROR(__xludf.DUMMYFUNCTION("""COMPUTED_VALUE"""),"12Des")</f>
        <v>12Des</v>
      </c>
      <c r="F3220" s="35" t="str">
        <f>IFERROR(__xludf.DUMMYFUNCTION("""COMPUTED_VALUE"""),"2025")</f>
        <v>2025</v>
      </c>
      <c r="G3220" s="35" t="str">
        <f>IFERROR(__xludf.DUMMYFUNCTION("""COMPUTED_VALUE"""),"RANDA ARZA SAPUTRA")</f>
        <v>RANDA ARZA SAPUTRA</v>
      </c>
      <c r="H3220" s="35" t="str">
        <f>IFERROR(__xludf.DUMMYFUNCTION("""COMPUTED_VALUE"""),"R9125127920")</f>
        <v>R9125127920</v>
      </c>
      <c r="I3220" s="35">
        <f>IFERROR(__xludf.DUMMYFUNCTION("""COMPUTED_VALUE"""),34.0)</f>
        <v>34</v>
      </c>
      <c r="J3220" s="35" t="str">
        <f>IFERROR(__xludf.DUMMYFUNCTION("""COMPUTED_VALUE"""),"25-34 tahun")</f>
        <v>25-34 tahun</v>
      </c>
      <c r="K3220" s="35" t="str">
        <f>IFERROR(__xludf.DUMMYFUNCTION("""COMPUTED_VALUE"""),"30/08/1991")</f>
        <v>30/08/1991</v>
      </c>
      <c r="L3220" s="35" t="str">
        <f>IFERROR(__xludf.DUMMYFUNCTION("""COMPUTED_VALUE"""),"LAKI-LAKI")</f>
        <v>LAKI-LAKI</v>
      </c>
      <c r="M3220" s="35" t="str">
        <f>IFERROR(__xludf.DUMMYFUNCTION("""COMPUTED_VALUE"""),"JL HUSEIN HAMZAH NO 39A")</f>
        <v>JL HUSEIN HAMZAH NO 39A</v>
      </c>
      <c r="N3220" s="35" t="str">
        <f>IFERROR(__xludf.DUMMYFUNCTION("""COMPUTED_VALUE"""),"PAL LIMA")</f>
        <v>PAL LIMA</v>
      </c>
      <c r="O3220" s="35" t="str">
        <f>IFERROR(__xludf.DUMMYFUNCTION("""COMPUTED_VALUE"""),"PONTIANAK BARAT")</f>
        <v>PONTIANAK BARAT</v>
      </c>
      <c r="P3220" s="35" t="str">
        <f>IFERROR(__xludf.DUMMYFUNCTION("""COMPUTED_VALUE"""),"PONTIANAK")</f>
        <v>PONTIANAK</v>
      </c>
      <c r="Q3220" s="35" t="str">
        <f>IFERROR(__xludf.DUMMYFUNCTION("""COMPUTED_VALUE"""),"KALIMANTAN BARAT")</f>
        <v>KALIMANTAN BARAT</v>
      </c>
      <c r="R3220" s="35" t="str">
        <f>IFERROR(__xludf.DUMMYFUNCTION("""COMPUTED_VALUE"""),"ISLAM")</f>
        <v>ISLAM</v>
      </c>
      <c r="S3220" s="74" t="str">
        <f>IFERROR(__xludf.DUMMYFUNCTION("""COMPUTED_VALUE"""),"SWASTA")</f>
        <v>SWASTA</v>
      </c>
      <c r="T3220" s="35" t="str">
        <f>IFERROR(__xludf.DUMMYFUNCTION("""COMPUTED_VALUE"""),"TUMIT SAKIT")</f>
        <v>TUMIT SAKIT</v>
      </c>
      <c r="U3220" s="35" t="str">
        <f>IFERROR(__xludf.DUMMYFUNCTION("""COMPUTED_VALUE"""),"HOBI SEPAK BOLA, AKTIVITAS BEKERJA BERDIRI")</f>
        <v>HOBI SEPAK BOLA, AKTIVITAS BEKERJA BERDIRI</v>
      </c>
      <c r="V3220" s="35" t="str">
        <f>IFERROR(__xludf.DUMMYFUNCTION("""COMPUTED_VALUE"""),"081351947920")</f>
        <v>081351947920</v>
      </c>
      <c r="W3220" s="45"/>
    </row>
    <row r="3221">
      <c r="A3221" s="45"/>
      <c r="B3221" s="35" t="str">
        <f>IFERROR(__xludf.DUMMYFUNCTION("""COMPUTED_VALUE"""),"24/12/2025 9:13:16")</f>
        <v>24/12/2025 9:13:16</v>
      </c>
      <c r="C3221" s="35"/>
      <c r="D3221" s="10">
        <f>IFERROR(__xludf.DUMMYFUNCTION("""COMPUTED_VALUE"""),46015.0)</f>
        <v>46015</v>
      </c>
      <c r="E3221" s="35" t="str">
        <f>IFERROR(__xludf.DUMMYFUNCTION("""COMPUTED_VALUE"""),"12Des")</f>
        <v>12Des</v>
      </c>
      <c r="F3221" s="35" t="str">
        <f>IFERROR(__xludf.DUMMYFUNCTION("""COMPUTED_VALUE"""),"2025")</f>
        <v>2025</v>
      </c>
      <c r="G3221" s="35" t="str">
        <f>IFERROR(__xludf.DUMMYFUNCTION("""COMPUTED_VALUE"""),"LIMINA DJUITA LIMAS")</f>
        <v>LIMINA DJUITA LIMAS</v>
      </c>
      <c r="H3221" s="35" t="str">
        <f>IFERROR(__xludf.DUMMYFUNCTION("""COMPUTED_VALUE"""),"L5725128222")</f>
        <v>L5725128222</v>
      </c>
      <c r="I3221" s="35">
        <f>IFERROR(__xludf.DUMMYFUNCTION("""COMPUTED_VALUE"""),69.0)</f>
        <v>69</v>
      </c>
      <c r="J3221" s="35" t="str">
        <f>IFERROR(__xludf.DUMMYFUNCTION("""COMPUTED_VALUE"""),"&gt; 44 tahun")</f>
        <v>&gt; 44 tahun</v>
      </c>
      <c r="K3221" s="35" t="str">
        <f>IFERROR(__xludf.DUMMYFUNCTION("""COMPUTED_VALUE"""),"12/04/1957")</f>
        <v>12/04/1957</v>
      </c>
      <c r="L3221" s="35" t="str">
        <f>IFERROR(__xludf.DUMMYFUNCTION("""COMPUTED_VALUE"""),"PEREMPUAN")</f>
        <v>PEREMPUAN</v>
      </c>
      <c r="M3221" s="35" t="str">
        <f>IFERROR(__xludf.DUMMYFUNCTION("""COMPUTED_VALUE"""),"JL. MERANTI NO. 20")</f>
        <v>JL. MERANTI NO. 20</v>
      </c>
      <c r="N3221" s="35" t="str">
        <f>IFERROR(__xludf.DUMMYFUNCTION("""COMPUTED_VALUE"""),"DARAT SEKIP")</f>
        <v>DARAT SEKIP</v>
      </c>
      <c r="O3221" s="35" t="str">
        <f>IFERROR(__xludf.DUMMYFUNCTION("""COMPUTED_VALUE"""),"PONTIANAK KOTA")</f>
        <v>PONTIANAK KOTA</v>
      </c>
      <c r="P3221" s="35" t="str">
        <f>IFERROR(__xludf.DUMMYFUNCTION("""COMPUTED_VALUE"""),"KOTA PONTIANAK")</f>
        <v>KOTA PONTIANAK</v>
      </c>
      <c r="Q3221" s="35" t="str">
        <f>IFERROR(__xludf.DUMMYFUNCTION("""COMPUTED_VALUE"""),"KALIMATAN BARAT")</f>
        <v>KALIMATAN BARAT</v>
      </c>
      <c r="R3221" s="35" t="str">
        <f>IFERROR(__xludf.DUMMYFUNCTION("""COMPUTED_VALUE"""),"BUDDHA")</f>
        <v>BUDDHA</v>
      </c>
      <c r="S3221" s="74" t="str">
        <f>IFERROR(__xludf.DUMMYFUNCTION("""COMPUTED_VALUE"""),"IBU RUMAH TANGGA")</f>
        <v>IBU RUMAH TANGGA</v>
      </c>
      <c r="T3221" s="35" t="str">
        <f>IFERROR(__xludf.DUMMYFUNCTION("""COMPUTED_VALUE"""),"BETIS SAKIT")</f>
        <v>BETIS SAKIT</v>
      </c>
      <c r="U3221" s="35" t="str">
        <f>IFERROR(__xludf.DUMMYFUNCTION("""COMPUTED_VALUE"""),"TIDAK ADA")</f>
        <v>TIDAK ADA</v>
      </c>
      <c r="V3221" s="35" t="str">
        <f>IFERROR(__xludf.DUMMYFUNCTION("""COMPUTED_VALUE"""),"081345378222")</f>
        <v>081345378222</v>
      </c>
      <c r="W3221" s="45"/>
    </row>
    <row r="3222">
      <c r="A3222" s="45"/>
      <c r="B3222" s="35" t="str">
        <f>IFERROR(__xludf.DUMMYFUNCTION("""COMPUTED_VALUE"""),"24/12/2025 13:41:19")</f>
        <v>24/12/2025 13:41:19</v>
      </c>
      <c r="C3222" s="35"/>
      <c r="D3222" s="10">
        <f>IFERROR(__xludf.DUMMYFUNCTION("""COMPUTED_VALUE"""),45743.0)</f>
        <v>45743</v>
      </c>
      <c r="E3222" s="35" t="str">
        <f>IFERROR(__xludf.DUMMYFUNCTION("""COMPUTED_VALUE"""),"03Mar")</f>
        <v>03Mar</v>
      </c>
      <c r="F3222" s="35" t="str">
        <f>IFERROR(__xludf.DUMMYFUNCTION("""COMPUTED_VALUE"""),"2025")</f>
        <v>2025</v>
      </c>
      <c r="G3222" s="35" t="str">
        <f>IFERROR(__xludf.DUMMYFUNCTION("""COMPUTED_VALUE"""),"NITTA ROLLITA")</f>
        <v>NITTA ROLLITA</v>
      </c>
      <c r="H3222" s="35" t="str">
        <f>IFERROR(__xludf.DUMMYFUNCTION("""COMPUTED_VALUE"""),"N7025034060")</f>
        <v>N7025034060</v>
      </c>
      <c r="I3222" s="35">
        <f>IFERROR(__xludf.DUMMYFUNCTION("""COMPUTED_VALUE"""),56.0)</f>
        <v>56</v>
      </c>
      <c r="J3222" s="35" t="str">
        <f>IFERROR(__xludf.DUMMYFUNCTION("""COMPUTED_VALUE"""),"&gt; 44 tahun")</f>
        <v>&gt; 44 tahun</v>
      </c>
      <c r="K3222" s="35" t="str">
        <f>IFERROR(__xludf.DUMMYFUNCTION("""COMPUTED_VALUE"""),"31/03/1970")</f>
        <v>31/03/1970</v>
      </c>
      <c r="L3222" s="35" t="str">
        <f>IFERROR(__xludf.DUMMYFUNCTION("""COMPUTED_VALUE"""),"PEREMPUAN")</f>
        <v>PEREMPUAN</v>
      </c>
      <c r="M3222" s="35" t="str">
        <f>IFERROR(__xludf.DUMMYFUNCTION("""COMPUTED_VALUE"""),"PANCORAN BARAT IVB NO 10")</f>
        <v>PANCORAN BARAT IVB NO 10</v>
      </c>
      <c r="N3222" s="35" t="str">
        <f>IFERROR(__xludf.DUMMYFUNCTION("""COMPUTED_VALUE"""),"PANCORAN")</f>
        <v>PANCORAN</v>
      </c>
      <c r="O3222" s="35" t="str">
        <f>IFERROR(__xludf.DUMMYFUNCTION("""COMPUTED_VALUE"""),"PANCORAN")</f>
        <v>PANCORAN</v>
      </c>
      <c r="P3222" s="35" t="str">
        <f>IFERROR(__xludf.DUMMYFUNCTION("""COMPUTED_VALUE"""),"JAKARTA SELATAN")</f>
        <v>JAKARTA SELATAN</v>
      </c>
      <c r="Q3222" s="35" t="str">
        <f>IFERROR(__xludf.DUMMYFUNCTION("""COMPUTED_VALUE"""),"DKI JAKARTA")</f>
        <v>DKI JAKARTA</v>
      </c>
      <c r="R3222" s="35" t="str">
        <f>IFERROR(__xludf.DUMMYFUNCTION("""COMPUTED_VALUE"""),"ISLAM")</f>
        <v>ISLAM</v>
      </c>
      <c r="S3222" s="74" t="str">
        <f>IFERROR(__xludf.DUMMYFUNCTION("""COMPUTED_VALUE"""),"PEGAWAI SWASTA")</f>
        <v>PEGAWAI SWASTA</v>
      </c>
      <c r="T3222" s="35" t="str">
        <f>IFERROR(__xludf.DUMMYFUNCTION("""COMPUTED_VALUE"""),"PERGELANGAN TANGAN")</f>
        <v>PERGELANGAN TANGAN</v>
      </c>
      <c r="U3222" s="35" t="str">
        <f>IFERROR(__xludf.DUMMYFUNCTION("""COMPUTED_VALUE"""),"MAYORITAS DI DEPAN LAPTOP")</f>
        <v>MAYORITAS DI DEPAN LAPTOP</v>
      </c>
      <c r="V3222" s="35" t="str">
        <f>IFERROR(__xludf.DUMMYFUNCTION("""COMPUTED_VALUE"""),"0817134060")</f>
        <v>0817134060</v>
      </c>
      <c r="W3222" s="45"/>
    </row>
    <row r="3223">
      <c r="A3223" s="45"/>
      <c r="B3223" s="35" t="str">
        <f>IFERROR(__xludf.DUMMYFUNCTION("""COMPUTED_VALUE"""),"24/12/2025 13:42:08")</f>
        <v>24/12/2025 13:42:08</v>
      </c>
      <c r="C3223" s="35"/>
      <c r="D3223" s="10">
        <f>IFERROR(__xludf.DUMMYFUNCTION("""COMPUTED_VALUE"""),46015.0)</f>
        <v>46015</v>
      </c>
      <c r="E3223" s="35" t="str">
        <f>IFERROR(__xludf.DUMMYFUNCTION("""COMPUTED_VALUE"""),"12Des")</f>
        <v>12Des</v>
      </c>
      <c r="F3223" s="35" t="str">
        <f>IFERROR(__xludf.DUMMYFUNCTION("""COMPUTED_VALUE"""),"2025")</f>
        <v>2025</v>
      </c>
      <c r="G3223" s="35" t="str">
        <f>IFERROR(__xludf.DUMMYFUNCTION("""COMPUTED_VALUE"""),"VARIEL RIZKI AHMAD NUGRAHA")</f>
        <v>VARIEL RIZKI AHMAD NUGRAHA</v>
      </c>
      <c r="H3223" s="35" t="str">
        <f>IFERROR(__xludf.DUMMYFUNCTION("""COMPUTED_VALUE"""),"V0725122979")</f>
        <v>V0725122979</v>
      </c>
      <c r="I3223" s="35">
        <f>IFERROR(__xludf.DUMMYFUNCTION("""COMPUTED_VALUE"""),19.0)</f>
        <v>19</v>
      </c>
      <c r="J3223" s="35" t="str">
        <f>IFERROR(__xludf.DUMMYFUNCTION("""COMPUTED_VALUE"""),"18-24 tahun")</f>
        <v>18-24 tahun</v>
      </c>
      <c r="K3223" s="35" t="str">
        <f>IFERROR(__xludf.DUMMYFUNCTION("""COMPUTED_VALUE"""),"07/01/2007")</f>
        <v>07/01/2007</v>
      </c>
      <c r="L3223" s="35" t="str">
        <f>IFERROR(__xludf.DUMMYFUNCTION("""COMPUTED_VALUE"""),"LAKI-LAKI")</f>
        <v>LAKI-LAKI</v>
      </c>
      <c r="M3223" s="35" t="str">
        <f>IFERROR(__xludf.DUMMYFUNCTION("""COMPUTED_VALUE"""),"JALAN NIRBAYA GANG MENTARI NO.10")</f>
        <v>JALAN NIRBAYA GANG MENTARI NO.10</v>
      </c>
      <c r="N3223" s="35" t="str">
        <f>IFERROR(__xludf.DUMMYFUNCTION("""COMPUTED_VALUE"""),"KOTA BARU")</f>
        <v>KOTA BARU</v>
      </c>
      <c r="O3223" s="35" t="str">
        <f>IFERROR(__xludf.DUMMYFUNCTION("""COMPUTED_VALUE"""),"PONTIANAK SELATAN")</f>
        <v>PONTIANAK SELATAN</v>
      </c>
      <c r="P3223" s="35" t="str">
        <f>IFERROR(__xludf.DUMMYFUNCTION("""COMPUTED_VALUE"""),"PONTIANAK")</f>
        <v>PONTIANAK</v>
      </c>
      <c r="Q3223" s="35" t="str">
        <f>IFERROR(__xludf.DUMMYFUNCTION("""COMPUTED_VALUE"""),"KALIMANTAN BARAT")</f>
        <v>KALIMANTAN BARAT</v>
      </c>
      <c r="R3223" s="35" t="str">
        <f>IFERROR(__xludf.DUMMYFUNCTION("""COMPUTED_VALUE"""),"ISLAM")</f>
        <v>ISLAM</v>
      </c>
      <c r="S3223" s="74" t="str">
        <f>IFERROR(__xludf.DUMMYFUNCTION("""COMPUTED_VALUE"""),"MAHASISWA")</f>
        <v>MAHASISWA</v>
      </c>
      <c r="T3223" s="35" t="str">
        <f>IFERROR(__xludf.DUMMYFUNCTION("""COMPUTED_VALUE"""),"SAKIT OTOT TANGAN")</f>
        <v>SAKIT OTOT TANGAN</v>
      </c>
      <c r="U3223" s="35" t="str">
        <f>IFERROR(__xludf.DUMMYFUNCTION("""COMPUTED_VALUE"""),"ATLET VOLI")</f>
        <v>ATLET VOLI</v>
      </c>
      <c r="V3223" s="35" t="str">
        <f>IFERROR(__xludf.DUMMYFUNCTION("""COMPUTED_VALUE"""),"089693672979")</f>
        <v>089693672979</v>
      </c>
      <c r="W3223" s="45"/>
    </row>
    <row r="3224">
      <c r="A3224" s="45"/>
      <c r="B3224" s="35" t="str">
        <f>IFERROR(__xludf.DUMMYFUNCTION("""COMPUTED_VALUE"""),"24/12/2025 14:03:00")</f>
        <v>24/12/2025 14:03:00</v>
      </c>
      <c r="C3224" s="35"/>
      <c r="D3224" s="10">
        <f>IFERROR(__xludf.DUMMYFUNCTION("""COMPUTED_VALUE"""),46015.0)</f>
        <v>46015</v>
      </c>
      <c r="E3224" s="35" t="str">
        <f>IFERROR(__xludf.DUMMYFUNCTION("""COMPUTED_VALUE"""),"12Des")</f>
        <v>12Des</v>
      </c>
      <c r="F3224" s="35" t="str">
        <f>IFERROR(__xludf.DUMMYFUNCTION("""COMPUTED_VALUE"""),"2025")</f>
        <v>2025</v>
      </c>
      <c r="G3224" s="35" t="str">
        <f>IFERROR(__xludf.DUMMYFUNCTION("""COMPUTED_VALUE"""),"PHE BAK SONG")</f>
        <v>PHE BAK SONG</v>
      </c>
      <c r="H3224" s="35" t="str">
        <f>IFERROR(__xludf.DUMMYFUNCTION("""COMPUTED_VALUE"""),"P0825121639")</f>
        <v>P0825121639</v>
      </c>
      <c r="I3224" s="35">
        <f>IFERROR(__xludf.DUMMYFUNCTION("""COMPUTED_VALUE"""),18.0)</f>
        <v>18</v>
      </c>
      <c r="J3224" s="35" t="str">
        <f>IFERROR(__xludf.DUMMYFUNCTION("""COMPUTED_VALUE"""),"&lt; 18 tahun")</f>
        <v>&lt; 18 tahun</v>
      </c>
      <c r="K3224" s="35" t="str">
        <f>IFERROR(__xludf.DUMMYFUNCTION("""COMPUTED_VALUE"""),"07/01/2008")</f>
        <v>07/01/2008</v>
      </c>
      <c r="L3224" s="35" t="str">
        <f>IFERROR(__xludf.DUMMYFUNCTION("""COMPUTED_VALUE"""),"LAKI-LAKI")</f>
        <v>LAKI-LAKI</v>
      </c>
      <c r="M3224" s="35" t="str">
        <f>IFERROR(__xludf.DUMMYFUNCTION("""COMPUTED_VALUE"""),"JL BUDI KARYA KOMP PONTIANAK BLOK A")</f>
        <v>JL BUDI KARYA KOMP PONTIANAK BLOK A</v>
      </c>
      <c r="N3224" s="35" t="str">
        <f>IFERROR(__xludf.DUMMYFUNCTION("""COMPUTED_VALUE"""),"BENUA MELAYU DARAT")</f>
        <v>BENUA MELAYU DARAT</v>
      </c>
      <c r="O3224" s="35" t="str">
        <f>IFERROR(__xludf.DUMMYFUNCTION("""COMPUTED_VALUE"""),"PONTIANAK SELATAN")</f>
        <v>PONTIANAK SELATAN</v>
      </c>
      <c r="P3224" s="35" t="str">
        <f>IFERROR(__xludf.DUMMYFUNCTION("""COMPUTED_VALUE"""),"PONTIANAK")</f>
        <v>PONTIANAK</v>
      </c>
      <c r="Q3224" s="35" t="str">
        <f>IFERROR(__xludf.DUMMYFUNCTION("""COMPUTED_VALUE"""),"KALIMANTAN BARAT")</f>
        <v>KALIMANTAN BARAT</v>
      </c>
      <c r="R3224" s="35" t="str">
        <f>IFERROR(__xludf.DUMMYFUNCTION("""COMPUTED_VALUE"""),"BUDDHA")</f>
        <v>BUDDHA</v>
      </c>
      <c r="S3224" s="74" t="str">
        <f>IFERROR(__xludf.DUMMYFUNCTION("""COMPUTED_VALUE"""),"PEDAGANG")</f>
        <v>PEDAGANG</v>
      </c>
      <c r="T3224" s="35" t="str">
        <f>IFERROR(__xludf.DUMMYFUNCTION("""COMPUTED_VALUE"""),"-")</f>
        <v>-</v>
      </c>
      <c r="U3224" s="35" t="str">
        <f>IFERROR(__xludf.DUMMYFUNCTION("""COMPUTED_VALUE"""),"BERDAGANG")</f>
        <v>BERDAGANG</v>
      </c>
      <c r="V3224" s="35" t="str">
        <f>IFERROR(__xludf.DUMMYFUNCTION("""COMPUTED_VALUE"""),"27862323661639")</f>
        <v>27862323661639</v>
      </c>
      <c r="W3224" s="45"/>
    </row>
    <row r="3225">
      <c r="A3225" s="45"/>
      <c r="B3225" s="35" t="str">
        <f>IFERROR(__xludf.DUMMYFUNCTION("""COMPUTED_VALUE"""),"24/12/2025 17:09:56")</f>
        <v>24/12/2025 17:09:56</v>
      </c>
      <c r="C3225" s="35"/>
      <c r="D3225" s="10">
        <f>IFERROR(__xludf.DUMMYFUNCTION("""COMPUTED_VALUE"""),46015.0)</f>
        <v>46015</v>
      </c>
      <c r="E3225" s="35" t="str">
        <f>IFERROR(__xludf.DUMMYFUNCTION("""COMPUTED_VALUE"""),"12Des")</f>
        <v>12Des</v>
      </c>
      <c r="F3225" s="35" t="str">
        <f>IFERROR(__xludf.DUMMYFUNCTION("""COMPUTED_VALUE"""),"2025")</f>
        <v>2025</v>
      </c>
      <c r="G3225" s="35" t="str">
        <f>IFERROR(__xludf.DUMMYFUNCTION("""COMPUTED_VALUE"""),"ROY ARFIAN")</f>
        <v>ROY ARFIAN</v>
      </c>
      <c r="H3225" s="35" t="str">
        <f>IFERROR(__xludf.DUMMYFUNCTION("""COMPUTED_VALUE"""),"R6825123526")</f>
        <v>R6825123526</v>
      </c>
      <c r="I3225" s="35">
        <f>IFERROR(__xludf.DUMMYFUNCTION("""COMPUTED_VALUE"""),58.0)</f>
        <v>58</v>
      </c>
      <c r="J3225" s="35" t="str">
        <f>IFERROR(__xludf.DUMMYFUNCTION("""COMPUTED_VALUE"""),"&gt; 44 tahun")</f>
        <v>&gt; 44 tahun</v>
      </c>
      <c r="K3225" s="35" t="str">
        <f>IFERROR(__xludf.DUMMYFUNCTION("""COMPUTED_VALUE"""),"15/04/1968")</f>
        <v>15/04/1968</v>
      </c>
      <c r="L3225" s="35" t="str">
        <f>IFERROR(__xludf.DUMMYFUNCTION("""COMPUTED_VALUE"""),"LAKI-LAKI")</f>
        <v>LAKI-LAKI</v>
      </c>
      <c r="M3225" s="35" t="str">
        <f>IFERROR(__xludf.DUMMYFUNCTION("""COMPUTED_VALUE"""),"JL.HUSEIN HAMZAH KOMPL.DWI RATNA INDAH 3 NO.3C")</f>
        <v>JL.HUSEIN HAMZAH KOMPL.DWI RATNA INDAH 3 NO.3C</v>
      </c>
      <c r="N3225" s="35" t="str">
        <f>IFERROR(__xludf.DUMMYFUNCTION("""COMPUTED_VALUE"""),"PAL 5")</f>
        <v>PAL 5</v>
      </c>
      <c r="O3225" s="35" t="str">
        <f>IFERROR(__xludf.DUMMYFUNCTION("""COMPUTED_VALUE"""),"PONTIANAK BARAT")</f>
        <v>PONTIANAK BARAT</v>
      </c>
      <c r="P3225" s="35" t="str">
        <f>IFERROR(__xludf.DUMMYFUNCTION("""COMPUTED_VALUE"""),"PONTIANAK")</f>
        <v>PONTIANAK</v>
      </c>
      <c r="Q3225" s="35" t="str">
        <f>IFERROR(__xludf.DUMMYFUNCTION("""COMPUTED_VALUE"""),"KALIMANTAN BARAT")</f>
        <v>KALIMANTAN BARAT</v>
      </c>
      <c r="R3225" s="35" t="str">
        <f>IFERROR(__xludf.DUMMYFUNCTION("""COMPUTED_VALUE"""),"ISLAM")</f>
        <v>ISLAM</v>
      </c>
      <c r="S3225" s="74" t="str">
        <f>IFERROR(__xludf.DUMMYFUNCTION("""COMPUTED_VALUE"""),"SWASTA")</f>
        <v>SWASTA</v>
      </c>
      <c r="T3225" s="35" t="str">
        <f>IFERROR(__xludf.DUMMYFUNCTION("""COMPUTED_VALUE"""),"NYERI DI LENGAN DAN KESEMUTAN")</f>
        <v>NYERI DI LENGAN DAN KESEMUTAN</v>
      </c>
      <c r="U3225" s="35" t="str">
        <f>IFERROR(__xludf.DUMMYFUNCTION("""COMPUTED_VALUE"""),"OLAH RAGA")</f>
        <v>OLAH RAGA</v>
      </c>
      <c r="V3225" s="35" t="str">
        <f>IFERROR(__xludf.DUMMYFUNCTION("""COMPUTED_VALUE"""),"081318113526")</f>
        <v>081318113526</v>
      </c>
      <c r="W3225" s="45"/>
    </row>
    <row r="3226">
      <c r="A3226" s="45"/>
      <c r="B3226" s="35" t="str">
        <f>IFERROR(__xludf.DUMMYFUNCTION("""COMPUTED_VALUE"""),"26/12/2025 9:54:01")</f>
        <v>26/12/2025 9:54:01</v>
      </c>
      <c r="C3226" s="35"/>
      <c r="D3226" s="10">
        <f>IFERROR(__xludf.DUMMYFUNCTION("""COMPUTED_VALUE"""),46017.0)</f>
        <v>46017</v>
      </c>
      <c r="E3226" s="35" t="str">
        <f>IFERROR(__xludf.DUMMYFUNCTION("""COMPUTED_VALUE"""),"12Des")</f>
        <v>12Des</v>
      </c>
      <c r="F3226" s="35" t="str">
        <f>IFERROR(__xludf.DUMMYFUNCTION("""COMPUTED_VALUE"""),"2025")</f>
        <v>2025</v>
      </c>
      <c r="G3226" s="35" t="str">
        <f>IFERROR(__xludf.DUMMYFUNCTION("""COMPUTED_VALUE"""),"ENDAH SEPTIANINGSIH")</f>
        <v>ENDAH SEPTIANINGSIH</v>
      </c>
      <c r="H3226" s="35" t="str">
        <f>IFERROR(__xludf.DUMMYFUNCTION("""COMPUTED_VALUE"""),"E8925127564")</f>
        <v>E8925127564</v>
      </c>
      <c r="I3226" s="35">
        <f>IFERROR(__xludf.DUMMYFUNCTION("""COMPUTED_VALUE"""),36.0)</f>
        <v>36</v>
      </c>
      <c r="J3226" s="35" t="str">
        <f>IFERROR(__xludf.DUMMYFUNCTION("""COMPUTED_VALUE"""),"35-44 tahun")</f>
        <v>35-44 tahun</v>
      </c>
      <c r="K3226" s="35" t="str">
        <f>IFERROR(__xludf.DUMMYFUNCTION("""COMPUTED_VALUE"""),"25/09/1989")</f>
        <v>25/09/1989</v>
      </c>
      <c r="L3226" s="35" t="str">
        <f>IFERROR(__xludf.DUMMYFUNCTION("""COMPUTED_VALUE"""),"PEREMPUAN")</f>
        <v>PEREMPUAN</v>
      </c>
      <c r="M3226" s="35" t="str">
        <f>IFERROR(__xludf.DUMMYFUNCTION("""COMPUTED_VALUE"""),"JL PUTRICANDRAMIDI GG SUKAHATI NO.16")</f>
        <v>JL PUTRICANDRAMIDI GG SUKAHATI NO.16</v>
      </c>
      <c r="N3226" s="35" t="str">
        <f>IFERROR(__xludf.DUMMYFUNCTION("""COMPUTED_VALUE"""),"KEL. SEI BANGKONG")</f>
        <v>KEL. SEI BANGKONG</v>
      </c>
      <c r="O3226" s="35" t="str">
        <f>IFERROR(__xludf.DUMMYFUNCTION("""COMPUTED_VALUE"""),"KEC. PONTIANAK KOTA")</f>
        <v>KEC. PONTIANAK KOTA</v>
      </c>
      <c r="P3226" s="35" t="str">
        <f>IFERROR(__xludf.DUMMYFUNCTION("""COMPUTED_VALUE"""),"KOTA PONTIANAK")</f>
        <v>KOTA PONTIANAK</v>
      </c>
      <c r="Q3226" s="35" t="str">
        <f>IFERROR(__xludf.DUMMYFUNCTION("""COMPUTED_VALUE"""),"KALIMANTAN BARAT")</f>
        <v>KALIMANTAN BARAT</v>
      </c>
      <c r="R3226" s="35" t="str">
        <f>IFERROR(__xludf.DUMMYFUNCTION("""COMPUTED_VALUE"""),"ISLAM")</f>
        <v>ISLAM</v>
      </c>
      <c r="S3226" s="74" t="str">
        <f>IFERROR(__xludf.DUMMYFUNCTION("""COMPUTED_VALUE"""),"KARYAWAN")</f>
        <v>KARYAWAN</v>
      </c>
      <c r="T3226" s="35" t="str">
        <f>IFERROR(__xludf.DUMMYFUNCTION("""COMPUTED_VALUE"""),"PERNAH OPERASI FEMUR KIRI 2014 DAN 2017, 2025 INI BERAT BADAN NAIK DAN SETIAP HABIS DUDUK LAMA MAU JALAN SAKIT DAN TERLIHAT SANGAT PINCANG")</f>
        <v>PERNAH OPERASI FEMUR KIRI 2014 DAN 2017, 2025 INI BERAT BADAN NAIK DAN SETIAP HABIS DUDUK LAMA MAU JALAN SAKIT DAN TERLIHAT SANGAT PINCANG</v>
      </c>
      <c r="U3226" s="35" t="str">
        <f>IFERROR(__xludf.DUMMYFUNCTION("""COMPUTED_VALUE"""),"KERJA 8 TO 5, BADMINTON SEMINGGU SEKALI, JALAN SEMINGGU SEKALI")</f>
        <v>KERJA 8 TO 5, BADMINTON SEMINGGU SEKALI, JALAN SEMINGGU SEKALI</v>
      </c>
      <c r="V3226" s="35" t="str">
        <f>IFERROR(__xludf.DUMMYFUNCTION("""COMPUTED_VALUE"""),"085643637564")</f>
        <v>085643637564</v>
      </c>
      <c r="W3226" s="45"/>
    </row>
    <row r="3227">
      <c r="A3227" s="45"/>
      <c r="B3227" s="35" t="str">
        <f>IFERROR(__xludf.DUMMYFUNCTION("""COMPUTED_VALUE"""),"26/12/2025 10:01:45")</f>
        <v>26/12/2025 10:01:45</v>
      </c>
      <c r="C3227" s="35"/>
      <c r="D3227" s="10">
        <f>IFERROR(__xludf.DUMMYFUNCTION("""COMPUTED_VALUE"""),46017.0)</f>
        <v>46017</v>
      </c>
      <c r="E3227" s="35" t="str">
        <f>IFERROR(__xludf.DUMMYFUNCTION("""COMPUTED_VALUE"""),"12Des")</f>
        <v>12Des</v>
      </c>
      <c r="F3227" s="35" t="str">
        <f>IFERROR(__xludf.DUMMYFUNCTION("""COMPUTED_VALUE"""),"2025")</f>
        <v>2025</v>
      </c>
      <c r="G3227" s="35" t="str">
        <f>IFERROR(__xludf.DUMMYFUNCTION("""COMPUTED_VALUE"""),"DONNY TRI PUJIANTO")</f>
        <v>DONNY TRI PUJIANTO</v>
      </c>
      <c r="H3227" s="35" t="str">
        <f>IFERROR(__xludf.DUMMYFUNCTION("""COMPUTED_VALUE"""),"D9425126561")</f>
        <v>D9425126561</v>
      </c>
      <c r="I3227" s="35">
        <f>IFERROR(__xludf.DUMMYFUNCTION("""COMPUTED_VALUE"""),32.0)</f>
        <v>32</v>
      </c>
      <c r="J3227" s="35" t="str">
        <f>IFERROR(__xludf.DUMMYFUNCTION("""COMPUTED_VALUE"""),"25-34 tahun")</f>
        <v>25-34 tahun</v>
      </c>
      <c r="K3227" s="35" t="str">
        <f>IFERROR(__xludf.DUMMYFUNCTION("""COMPUTED_VALUE"""),"01/02/1994")</f>
        <v>01/02/1994</v>
      </c>
      <c r="L3227" s="35" t="str">
        <f>IFERROR(__xludf.DUMMYFUNCTION("""COMPUTED_VALUE"""),"LAKI-LAKI")</f>
        <v>LAKI-LAKI</v>
      </c>
      <c r="M3227" s="35" t="str">
        <f>IFERROR(__xludf.DUMMYFUNCTION("""COMPUTED_VALUE"""),"KOMP GRIYA SATRIA PERSADA 2 DD 31")</f>
        <v>KOMP GRIYA SATRIA PERSADA 2 DD 31</v>
      </c>
      <c r="N3227" s="35" t="str">
        <f>IFERROR(__xludf.DUMMYFUNCTION("""COMPUTED_VALUE"""),"MEKAR BARU")</f>
        <v>MEKAR BARU</v>
      </c>
      <c r="O3227" s="35" t="str">
        <f>IFERROR(__xludf.DUMMYFUNCTION("""COMPUTED_VALUE"""),"SUNGAI RAYA")</f>
        <v>SUNGAI RAYA</v>
      </c>
      <c r="P3227" s="35" t="str">
        <f>IFERROR(__xludf.DUMMYFUNCTION("""COMPUTED_VALUE"""),"PONTIANAK")</f>
        <v>PONTIANAK</v>
      </c>
      <c r="Q3227" s="35" t="str">
        <f>IFERROR(__xludf.DUMMYFUNCTION("""COMPUTED_VALUE"""),"KALIMANTAN BARAT / KUBU RAYA")</f>
        <v>KALIMANTAN BARAT / KUBU RAYA</v>
      </c>
      <c r="R3227" s="35" t="str">
        <f>IFERROR(__xludf.DUMMYFUNCTION("""COMPUTED_VALUE"""),"PROTESTAN")</f>
        <v>PROTESTAN</v>
      </c>
      <c r="S3227" s="74" t="str">
        <f>IFERROR(__xludf.DUMMYFUNCTION("""COMPUTED_VALUE"""),"WIRASWASTA")</f>
        <v>WIRASWASTA</v>
      </c>
      <c r="T3227" s="35" t="str">
        <f>IFERROR(__xludf.DUMMYFUNCTION("""COMPUTED_VALUE"""),"SCIATICA")</f>
        <v>SCIATICA</v>
      </c>
      <c r="U3227" s="35" t="str">
        <f>IFERROR(__xludf.DUMMYFUNCTION("""COMPUTED_VALUE"""),"GYM MINISOCER")</f>
        <v>GYM MINISOCER</v>
      </c>
      <c r="V3227" s="35" t="str">
        <f>IFERROR(__xludf.DUMMYFUNCTION("""COMPUTED_VALUE"""),"081349386561")</f>
        <v>081349386561</v>
      </c>
      <c r="W3227" s="45"/>
    </row>
    <row r="3228">
      <c r="A3228" s="45"/>
      <c r="B3228" s="35" t="str">
        <f>IFERROR(__xludf.DUMMYFUNCTION("""COMPUTED_VALUE"""),"26/12/2025 13:51:23")</f>
        <v>26/12/2025 13:51:23</v>
      </c>
      <c r="C3228" s="35"/>
      <c r="D3228" s="10">
        <f>IFERROR(__xludf.DUMMYFUNCTION("""COMPUTED_VALUE"""),46017.0)</f>
        <v>46017</v>
      </c>
      <c r="E3228" s="35" t="str">
        <f>IFERROR(__xludf.DUMMYFUNCTION("""COMPUTED_VALUE"""),"12Des")</f>
        <v>12Des</v>
      </c>
      <c r="F3228" s="35" t="str">
        <f>IFERROR(__xludf.DUMMYFUNCTION("""COMPUTED_VALUE"""),"2025")</f>
        <v>2025</v>
      </c>
      <c r="G3228" s="35" t="str">
        <f>IFERROR(__xludf.DUMMYFUNCTION("""COMPUTED_VALUE"""),"SUWANDI 5904")</f>
        <v>SUWANDI 5904</v>
      </c>
      <c r="H3228" s="35" t="str">
        <f>IFERROR(__xludf.DUMMYFUNCTION("""COMPUTED_VALUE"""),"S5925126946")</f>
        <v>S5925126946</v>
      </c>
      <c r="I3228" s="35">
        <f>IFERROR(__xludf.DUMMYFUNCTION("""COMPUTED_VALUE"""),67.0)</f>
        <v>67</v>
      </c>
      <c r="J3228" s="35" t="str">
        <f>IFERROR(__xludf.DUMMYFUNCTION("""COMPUTED_VALUE"""),"&gt; 44 tahun")</f>
        <v>&gt; 44 tahun</v>
      </c>
      <c r="K3228" s="35" t="str">
        <f>IFERROR(__xludf.DUMMYFUNCTION("""COMPUTED_VALUE"""),"08/04/1959")</f>
        <v>08/04/1959</v>
      </c>
      <c r="L3228" s="35" t="str">
        <f>IFERROR(__xludf.DUMMYFUNCTION("""COMPUTED_VALUE"""),"LAKI-LAKI")</f>
        <v>LAKI-LAKI</v>
      </c>
      <c r="M3228" s="35" t="str">
        <f>IFERROR(__xludf.DUMMYFUNCTION("""COMPUTED_VALUE"""),"KL AKU ANYANG GG RAHAYU NO 9 A")</f>
        <v>KL AKU ANYANG GG RAHAYU NO 9 A</v>
      </c>
      <c r="N3228" s="35" t="str">
        <f>IFERROR(__xludf.DUMMYFUNCTION("""COMPUTED_VALUE"""),"SUNGAI BANGKONG")</f>
        <v>SUNGAI BANGKONG</v>
      </c>
      <c r="O3228" s="35" t="str">
        <f>IFERROR(__xludf.DUMMYFUNCTION("""COMPUTED_VALUE"""),"PONTIANAK KOTA")</f>
        <v>PONTIANAK KOTA</v>
      </c>
      <c r="P3228" s="35" t="str">
        <f>IFERROR(__xludf.DUMMYFUNCTION("""COMPUTED_VALUE"""),"PONTIANAK")</f>
        <v>PONTIANAK</v>
      </c>
      <c r="Q3228" s="35" t="str">
        <f>IFERROR(__xludf.DUMMYFUNCTION("""COMPUTED_VALUE"""),"KALIMANTAN BARAT")</f>
        <v>KALIMANTAN BARAT</v>
      </c>
      <c r="R3228" s="35" t="str">
        <f>IFERROR(__xludf.DUMMYFUNCTION("""COMPUTED_VALUE"""),"ISLAM")</f>
        <v>ISLAM</v>
      </c>
      <c r="S3228" s="74" t="str">
        <f>IFERROR(__xludf.DUMMYFUNCTION("""COMPUTED_VALUE"""),"PENSIUNAN PNS")</f>
        <v>PENSIUNAN PNS</v>
      </c>
      <c r="T3228" s="35" t="str">
        <f>IFERROR(__xludf.DUMMYFUNCTION("""COMPUTED_VALUE"""),"KEBAS DI PAHA KANAN")</f>
        <v>KEBAS DI PAHA KANAN</v>
      </c>
      <c r="U3228" s="35" t="str">
        <f>IFERROR(__xludf.DUMMYFUNCTION("""COMPUTED_VALUE"""),"JOGING")</f>
        <v>JOGING</v>
      </c>
      <c r="V3228" s="35" t="str">
        <f>IFERROR(__xludf.DUMMYFUNCTION("""COMPUTED_VALUE"""),"08125746946")</f>
        <v>08125746946</v>
      </c>
      <c r="W3228" s="45"/>
    </row>
    <row r="3229">
      <c r="A3229" s="45"/>
      <c r="B3229" s="35" t="str">
        <f>IFERROR(__xludf.DUMMYFUNCTION("""COMPUTED_VALUE"""),"26/12/2025 17:19:09")</f>
        <v>26/12/2025 17:19:09</v>
      </c>
      <c r="C3229" s="35"/>
      <c r="D3229" s="10">
        <f>IFERROR(__xludf.DUMMYFUNCTION("""COMPUTED_VALUE"""),46017.0)</f>
        <v>46017</v>
      </c>
      <c r="E3229" s="35" t="str">
        <f>IFERROR(__xludf.DUMMYFUNCTION("""COMPUTED_VALUE"""),"12Des")</f>
        <v>12Des</v>
      </c>
      <c r="F3229" s="35" t="str">
        <f>IFERROR(__xludf.DUMMYFUNCTION("""COMPUTED_VALUE"""),"2025")</f>
        <v>2025</v>
      </c>
      <c r="G3229" s="35" t="str">
        <f>IFERROR(__xludf.DUMMYFUNCTION("""COMPUTED_VALUE"""),"RIZKI RAMADHANI")</f>
        <v>RIZKI RAMADHANI</v>
      </c>
      <c r="H3229" s="35" t="str">
        <f>IFERROR(__xludf.DUMMYFUNCTION("""COMPUTED_VALUE"""),"R9125124991")</f>
        <v>R9125124991</v>
      </c>
      <c r="I3229" s="35">
        <f>IFERROR(__xludf.DUMMYFUNCTION("""COMPUTED_VALUE"""),35.0)</f>
        <v>35</v>
      </c>
      <c r="J3229" s="35" t="str">
        <f>IFERROR(__xludf.DUMMYFUNCTION("""COMPUTED_VALUE"""),"35-44 tahun")</f>
        <v>35-44 tahun</v>
      </c>
      <c r="K3229" s="35" t="str">
        <f>IFERROR(__xludf.DUMMYFUNCTION("""COMPUTED_VALUE"""),"06/04/1991")</f>
        <v>06/04/1991</v>
      </c>
      <c r="L3229" s="35" t="str">
        <f>IFERROR(__xludf.DUMMYFUNCTION("""COMPUTED_VALUE"""),"PEREMPUAN")</f>
        <v>PEREMPUAN</v>
      </c>
      <c r="M3229" s="35" t="str">
        <f>IFERROR(__xludf.DUMMYFUNCTION("""COMPUTED_VALUE"""),"JL SUKA MULYA GG SUKMA 4 NO 18")</f>
        <v>JL SUKA MULYA GG SUKMA 4 NO 18</v>
      </c>
      <c r="N3229" s="35" t="str">
        <f>IFERROR(__xludf.DUMMYFUNCTION("""COMPUTED_VALUE"""),"SUI JAWI")</f>
        <v>SUI JAWI</v>
      </c>
      <c r="O3229" s="35" t="str">
        <f>IFERROR(__xludf.DUMMYFUNCTION("""COMPUTED_VALUE"""),"PONTIANAK KOTA")</f>
        <v>PONTIANAK KOTA</v>
      </c>
      <c r="P3229" s="35" t="str">
        <f>IFERROR(__xludf.DUMMYFUNCTION("""COMPUTED_VALUE"""),"PONTIANAK")</f>
        <v>PONTIANAK</v>
      </c>
      <c r="Q3229" s="35" t="str">
        <f>IFERROR(__xludf.DUMMYFUNCTION("""COMPUTED_VALUE"""),"KABAR")</f>
        <v>KABAR</v>
      </c>
      <c r="R3229" s="35" t="str">
        <f>IFERROR(__xludf.DUMMYFUNCTION("""COMPUTED_VALUE"""),"ISLAM")</f>
        <v>ISLAM</v>
      </c>
      <c r="S3229" s="74" t="str">
        <f>IFERROR(__xludf.DUMMYFUNCTION("""COMPUTED_VALUE"""),"WIRASWASTA")</f>
        <v>WIRASWASTA</v>
      </c>
      <c r="T3229" s="35" t="str">
        <f>IFERROR(__xludf.DUMMYFUNCTION("""COMPUTED_VALUE"""),"KAKI")</f>
        <v>KAKI</v>
      </c>
      <c r="U3229" s="35" t="str">
        <f>IFERROR(__xludf.DUMMYFUNCTION("""COMPUTED_VALUE"""),"TENIS")</f>
        <v>TENIS</v>
      </c>
      <c r="V3229" s="35" t="str">
        <f>IFERROR(__xludf.DUMMYFUNCTION("""COMPUTED_VALUE"""),"082351264991")</f>
        <v>082351264991</v>
      </c>
      <c r="W3229" s="45"/>
    </row>
    <row r="3230">
      <c r="A3230" s="45"/>
      <c r="B3230" s="35" t="str">
        <f>IFERROR(__xludf.DUMMYFUNCTION("""COMPUTED_VALUE"""),"27/12/2025 9:36:34")</f>
        <v>27/12/2025 9:36:34</v>
      </c>
      <c r="C3230" s="35"/>
      <c r="D3230" s="10">
        <f>IFERROR(__xludf.DUMMYFUNCTION("""COMPUTED_VALUE"""),46018.0)</f>
        <v>46018</v>
      </c>
      <c r="E3230" s="35" t="str">
        <f>IFERROR(__xludf.DUMMYFUNCTION("""COMPUTED_VALUE"""),"12Des")</f>
        <v>12Des</v>
      </c>
      <c r="F3230" s="35" t="str">
        <f>IFERROR(__xludf.DUMMYFUNCTION("""COMPUTED_VALUE"""),"2025")</f>
        <v>2025</v>
      </c>
      <c r="G3230" s="35" t="str">
        <f>IFERROR(__xludf.DUMMYFUNCTION("""COMPUTED_VALUE"""),"ASNAH")</f>
        <v>ASNAH</v>
      </c>
      <c r="H3230" s="35" t="str">
        <f>IFERROR(__xludf.DUMMYFUNCTION("""COMPUTED_VALUE"""),"A5425122766")</f>
        <v>A5425122766</v>
      </c>
      <c r="I3230" s="35">
        <f>IFERROR(__xludf.DUMMYFUNCTION("""COMPUTED_VALUE"""),71.0)</f>
        <v>71</v>
      </c>
      <c r="J3230" s="35" t="str">
        <f>IFERROR(__xludf.DUMMYFUNCTION("""COMPUTED_VALUE"""),"&gt; 44 tahun")</f>
        <v>&gt; 44 tahun</v>
      </c>
      <c r="K3230" s="35" t="str">
        <f>IFERROR(__xludf.DUMMYFUNCTION("""COMPUTED_VALUE"""),"08/08/1954")</f>
        <v>08/08/1954</v>
      </c>
      <c r="L3230" s="35" t="str">
        <f>IFERROR(__xludf.DUMMYFUNCTION("""COMPUTED_VALUE"""),"PEREMPUAN")</f>
        <v>PEREMPUAN</v>
      </c>
      <c r="M3230" s="35" t="str">
        <f>IFERROR(__xludf.DUMMYFUNCTION("""COMPUTED_VALUE"""),"JL. KHATULISTIWA NO. 133")</f>
        <v>JL. KHATULISTIWA NO. 133</v>
      </c>
      <c r="N3230" s="35" t="str">
        <f>IFERROR(__xludf.DUMMYFUNCTION("""COMPUTED_VALUE"""),"SIANTAN HILIR")</f>
        <v>SIANTAN HILIR</v>
      </c>
      <c r="O3230" s="35" t="str">
        <f>IFERROR(__xludf.DUMMYFUNCTION("""COMPUTED_VALUE"""),"PONTIANAK UTARA")</f>
        <v>PONTIANAK UTARA</v>
      </c>
      <c r="P3230" s="35" t="str">
        <f>IFERROR(__xludf.DUMMYFUNCTION("""COMPUTED_VALUE"""),"PONTIANAK")</f>
        <v>PONTIANAK</v>
      </c>
      <c r="Q3230" s="35" t="str">
        <f>IFERROR(__xludf.DUMMYFUNCTION("""COMPUTED_VALUE"""),"KALIMANTAN BARAT")</f>
        <v>KALIMANTAN BARAT</v>
      </c>
      <c r="R3230" s="35" t="str">
        <f>IFERROR(__xludf.DUMMYFUNCTION("""COMPUTED_VALUE"""),"ISLAM")</f>
        <v>ISLAM</v>
      </c>
      <c r="S3230" s="74" t="str">
        <f>IFERROR(__xludf.DUMMYFUNCTION("""COMPUTED_VALUE"""),"IBU RUMAH TANGGA")</f>
        <v>IBU RUMAH TANGGA</v>
      </c>
      <c r="T3230" s="35" t="str">
        <f>IFERROR(__xludf.DUMMYFUNCTION("""COMPUTED_VALUE"""),"KAKI MATI RASA SEKARANG SEMAKIN BERAT JIKA MAU ANGKAT KAKI SAAT BERJALAN")</f>
        <v>KAKI MATI RASA SEKARANG SEMAKIN BERAT JIKA MAU ANGKAT KAKI SAAT BERJALAN</v>
      </c>
      <c r="U3230" s="35" t="str">
        <f>IFERROR(__xludf.DUMMYFUNCTION("""COMPUTED_VALUE"""),"MINUM SUSU KENTAL MANIS,DUDUK DAN TIDUR")</f>
        <v>MINUM SUSU KENTAL MANIS,DUDUK DAN TIDUR</v>
      </c>
      <c r="V3230" s="35" t="str">
        <f>IFERROR(__xludf.DUMMYFUNCTION("""COMPUTED_VALUE"""),"082151362766")</f>
        <v>082151362766</v>
      </c>
      <c r="W3230" s="45"/>
    </row>
    <row r="3231">
      <c r="A3231" s="45"/>
      <c r="B3231" s="35" t="str">
        <f>IFERROR(__xludf.DUMMYFUNCTION("""COMPUTED_VALUE"""),"27/12/2025 10:30:41")</f>
        <v>27/12/2025 10:30:41</v>
      </c>
      <c r="C3231" s="35"/>
      <c r="D3231" s="10">
        <f>IFERROR(__xludf.DUMMYFUNCTION("""COMPUTED_VALUE"""),46018.0)</f>
        <v>46018</v>
      </c>
      <c r="E3231" s="35" t="str">
        <f>IFERROR(__xludf.DUMMYFUNCTION("""COMPUTED_VALUE"""),"12Des")</f>
        <v>12Des</v>
      </c>
      <c r="F3231" s="35" t="str">
        <f>IFERROR(__xludf.DUMMYFUNCTION("""COMPUTED_VALUE"""),"2025")</f>
        <v>2025</v>
      </c>
      <c r="G3231" s="35" t="str">
        <f>IFERROR(__xludf.DUMMYFUNCTION("""COMPUTED_VALUE"""),"ISNINDAR")</f>
        <v>ISNINDAR</v>
      </c>
      <c r="H3231" s="35" t="str">
        <f>IFERROR(__xludf.DUMMYFUNCTION("""COMPUTED_VALUE"""),"I7825120767")</f>
        <v>I7825120767</v>
      </c>
      <c r="I3231" s="35">
        <f>IFERROR(__xludf.DUMMYFUNCTION("""COMPUTED_VALUE"""),47.0)</f>
        <v>47</v>
      </c>
      <c r="J3231" s="35" t="str">
        <f>IFERROR(__xludf.DUMMYFUNCTION("""COMPUTED_VALUE"""),"&gt; 44 tahun")</f>
        <v>&gt; 44 tahun</v>
      </c>
      <c r="K3231" s="35" t="str">
        <f>IFERROR(__xludf.DUMMYFUNCTION("""COMPUTED_VALUE"""),"11/09/1978")</f>
        <v>11/09/1978</v>
      </c>
      <c r="L3231" s="35" t="str">
        <f>IFERROR(__xludf.DUMMYFUNCTION("""COMPUTED_VALUE"""),"PEREMPUAN")</f>
        <v>PEREMPUAN</v>
      </c>
      <c r="M3231" s="35" t="str">
        <f>IFERROR(__xludf.DUMMYFUNCTION("""COMPUTED_VALUE"""),"KOMPLEK BATAN INDAH BLOK F NO. 32")</f>
        <v>KOMPLEK BATAN INDAH BLOK F NO. 32</v>
      </c>
      <c r="N3231" s="35" t="str">
        <f>IFERROR(__xludf.DUMMYFUNCTION("""COMPUTED_VALUE"""),"KADEMANGAN")</f>
        <v>KADEMANGAN</v>
      </c>
      <c r="O3231" s="35" t="str">
        <f>IFERROR(__xludf.DUMMYFUNCTION("""COMPUTED_VALUE"""),"SETU")</f>
        <v>SETU</v>
      </c>
      <c r="P3231" s="35" t="str">
        <f>IFERROR(__xludf.DUMMYFUNCTION("""COMPUTED_VALUE"""),"TANGERANG SELATAN")</f>
        <v>TANGERANG SELATAN</v>
      </c>
      <c r="Q3231" s="35" t="str">
        <f>IFERROR(__xludf.DUMMYFUNCTION("""COMPUTED_VALUE"""),"BANTEN")</f>
        <v>BANTEN</v>
      </c>
      <c r="R3231" s="35" t="str">
        <f>IFERROR(__xludf.DUMMYFUNCTION("""COMPUTED_VALUE"""),"ISLAM")</f>
        <v>ISLAM</v>
      </c>
      <c r="S3231" s="74" t="str">
        <f>IFERROR(__xludf.DUMMYFUNCTION("""COMPUTED_VALUE"""),"DOSEN")</f>
        <v>DOSEN</v>
      </c>
      <c r="T3231" s="35" t="str">
        <f>IFERROR(__xludf.DUMMYFUNCTION("""COMPUTED_VALUE"""),"BAGIAN KANAN BADAN KAKI DAN TANGAN LEMAH MENIMBULKAN GETARAN PADA LENGAN KETIKA DIANGKAT KE ATAS DAN SAKIT . KAKI KANAN SUKA PEGEL TERUTAMA BAGIAN PAHA DARI PANGKAL SAMPAI ATAS LUTUT, KALAU JALAN KAKI KANAN SUKA KESANDUNG.TAHUN 2020 PERNAH DITABRAK DARI B"&amp;"ELAKANG JATUH BADAN KEKANAN MULAI MERASAKAN MASALAH DITAHUN 2022 PERTENGAHAN")</f>
        <v>BAGIAN KANAN BADAN KAKI DAN TANGAN LEMAH MENIMBULKAN GETARAN PADA LENGAN KETIKA DIANGKAT KE ATAS DAN SAKIT . KAKI KANAN SUKA PEGEL TERUTAMA BAGIAN PAHA DARI PANGKAL SAMPAI ATAS LUTUT, KALAU JALAN KAKI KANAN SUKA KESANDUNG.TAHUN 2020 PERNAH DITABRAK DARI BELAKANG JATUH BADAN KEKANAN MULAI MERASAKAN MASALAH DITAHUN 2022 PERTENGAHAN</v>
      </c>
      <c r="U3231" s="35" t="str">
        <f>IFERROR(__xludf.DUMMYFUNCTION("""COMPUTED_VALUE"""),"KERJA MENGGUNAKAN LAPTOP SEHARIAN SEBELUM ADA KELUHAN TIDAK PERNAH MENGGUNAKAN MOUSE.")</f>
        <v>KERJA MENGGUNAKAN LAPTOP SEHARIAN SEBELUM ADA KELUHAN TIDAK PERNAH MENGGUNAKAN MOUSE.</v>
      </c>
      <c r="V3231" s="35" t="str">
        <f>IFERROR(__xludf.DUMMYFUNCTION("""COMPUTED_VALUE"""),"087811270767")</f>
        <v>087811270767</v>
      </c>
      <c r="W3231" s="45"/>
    </row>
    <row r="3232">
      <c r="A3232" s="45"/>
      <c r="B3232" s="35" t="str">
        <f>IFERROR(__xludf.DUMMYFUNCTION("""COMPUTED_VALUE"""),"27/12/2025 14:28:06")</f>
        <v>27/12/2025 14:28:06</v>
      </c>
      <c r="C3232" s="35"/>
      <c r="D3232" s="10">
        <f>IFERROR(__xludf.DUMMYFUNCTION("""COMPUTED_VALUE"""),46018.0)</f>
        <v>46018</v>
      </c>
      <c r="E3232" s="35" t="str">
        <f>IFERROR(__xludf.DUMMYFUNCTION("""COMPUTED_VALUE"""),"12Des")</f>
        <v>12Des</v>
      </c>
      <c r="F3232" s="35" t="str">
        <f>IFERROR(__xludf.DUMMYFUNCTION("""COMPUTED_VALUE"""),"2025")</f>
        <v>2025</v>
      </c>
      <c r="G3232" s="35" t="str">
        <f>IFERROR(__xludf.DUMMYFUNCTION("""COMPUTED_VALUE"""),"RIDHO TOBING")</f>
        <v>RIDHO TOBING</v>
      </c>
      <c r="H3232" s="35" t="str">
        <f>IFERROR(__xludf.DUMMYFUNCTION("""COMPUTED_VALUE"""),"R0325122390")</f>
        <v>R0325122390</v>
      </c>
      <c r="I3232" s="35">
        <f>IFERROR(__xludf.DUMMYFUNCTION("""COMPUTED_VALUE"""),22.0)</f>
        <v>22</v>
      </c>
      <c r="J3232" s="35" t="str">
        <f>IFERROR(__xludf.DUMMYFUNCTION("""COMPUTED_VALUE"""),"18-24 tahun")</f>
        <v>18-24 tahun</v>
      </c>
      <c r="K3232" s="35" t="str">
        <f>IFERROR(__xludf.DUMMYFUNCTION("""COMPUTED_VALUE"""),"10/10/2003")</f>
        <v>10/10/2003</v>
      </c>
      <c r="L3232" s="35" t="str">
        <f>IFERROR(__xludf.DUMMYFUNCTION("""COMPUTED_VALUE"""),"LAKI-LAKI")</f>
        <v>LAKI-LAKI</v>
      </c>
      <c r="M3232" s="35" t="str">
        <f>IFERROR(__xludf.DUMMYFUNCTION("""COMPUTED_VALUE"""),"MEDAN")</f>
        <v>MEDAN</v>
      </c>
      <c r="N3232" s="35" t="str">
        <f>IFERROR(__xludf.DUMMYFUNCTION("""COMPUTED_VALUE"""),"HUTATORUAN III")</f>
        <v>HUTATORUAN III</v>
      </c>
      <c r="O3232" s="35" t="str">
        <f>IFERROR(__xludf.DUMMYFUNCTION("""COMPUTED_VALUE"""),"TARUTUNG")</f>
        <v>TARUTUNG</v>
      </c>
      <c r="P3232" s="35" t="str">
        <f>IFERROR(__xludf.DUMMYFUNCTION("""COMPUTED_VALUE"""),"TAPANULI UTARA")</f>
        <v>TAPANULI UTARA</v>
      </c>
      <c r="Q3232" s="35" t="str">
        <f>IFERROR(__xludf.DUMMYFUNCTION("""COMPUTED_VALUE"""),"SUMATERA UTARA")</f>
        <v>SUMATERA UTARA</v>
      </c>
      <c r="R3232" s="35" t="str">
        <f>IFERROR(__xludf.DUMMYFUNCTION("""COMPUTED_VALUE"""),"ISLAM")</f>
        <v>ISLAM</v>
      </c>
      <c r="S3232" s="74" t="str">
        <f>IFERROR(__xludf.DUMMYFUNCTION("""COMPUTED_VALUE"""),"WIRAUSAHA")</f>
        <v>WIRAUSAHA</v>
      </c>
      <c r="T3232" s="35" t="str">
        <f>IFERROR(__xludf.DUMMYFUNCTION("""COMPUTED_VALUE"""),"SAKIT PINGGANG")</f>
        <v>SAKIT PINGGANG</v>
      </c>
      <c r="U3232" s="35" t="str">
        <f>IFERROR(__xludf.DUMMYFUNCTION("""COMPUTED_VALUE"""),"SERING DUDUK")</f>
        <v>SERING DUDUK</v>
      </c>
      <c r="V3232" s="35" t="str">
        <f>IFERROR(__xludf.DUMMYFUNCTION("""COMPUTED_VALUE"""),"082262772390")</f>
        <v>082262772390</v>
      </c>
      <c r="W3232" s="45"/>
    </row>
    <row r="3233">
      <c r="A3233" s="45"/>
      <c r="B3233" s="35" t="str">
        <f>IFERROR(__xludf.DUMMYFUNCTION("""COMPUTED_VALUE"""),"27/12/2025 14:57:19")</f>
        <v>27/12/2025 14:57:19</v>
      </c>
      <c r="C3233" s="35"/>
      <c r="D3233" s="10">
        <f>IFERROR(__xludf.DUMMYFUNCTION("""COMPUTED_VALUE"""),46018.0)</f>
        <v>46018</v>
      </c>
      <c r="E3233" s="35" t="str">
        <f>IFERROR(__xludf.DUMMYFUNCTION("""COMPUTED_VALUE"""),"12Des")</f>
        <v>12Des</v>
      </c>
      <c r="F3233" s="35" t="str">
        <f>IFERROR(__xludf.DUMMYFUNCTION("""COMPUTED_VALUE"""),"2025")</f>
        <v>2025</v>
      </c>
      <c r="G3233" s="35" t="str">
        <f>IFERROR(__xludf.DUMMYFUNCTION("""COMPUTED_VALUE"""),"ROHAYATI")</f>
        <v>ROHAYATI</v>
      </c>
      <c r="H3233" s="35" t="str">
        <f>IFERROR(__xludf.DUMMYFUNCTION("""COMPUTED_VALUE"""),"R6325126355")</f>
        <v>R6325126355</v>
      </c>
      <c r="I3233" s="35">
        <f>IFERROR(__xludf.DUMMYFUNCTION("""COMPUTED_VALUE"""),63.0)</f>
        <v>63</v>
      </c>
      <c r="J3233" s="35" t="str">
        <f>IFERROR(__xludf.DUMMYFUNCTION("""COMPUTED_VALUE"""),"&gt; 44 tahun")</f>
        <v>&gt; 44 tahun</v>
      </c>
      <c r="K3233" s="35" t="str">
        <f>IFERROR(__xludf.DUMMYFUNCTION("""COMPUTED_VALUE"""),"06/06/1963")</f>
        <v>06/06/1963</v>
      </c>
      <c r="L3233" s="35" t="str">
        <f>IFERROR(__xludf.DUMMYFUNCTION("""COMPUTED_VALUE"""),"PEREMPUAN")</f>
        <v>PEREMPUAN</v>
      </c>
      <c r="M3233" s="35" t="str">
        <f>IFERROR(__xludf.DUMMYFUNCTION("""COMPUTED_VALUE"""),"JALAN WONOBARU NO 3")</f>
        <v>JALAN WONOBARU NO 3</v>
      </c>
      <c r="N3233" s="35" t="str">
        <f>IFERROR(__xludf.DUMMYFUNCTION("""COMPUTED_VALUE"""),"KOTABARU")</f>
        <v>KOTABARU</v>
      </c>
      <c r="O3233" s="35" t="str">
        <f>IFERROR(__xludf.DUMMYFUNCTION("""COMPUTED_VALUE"""),"PONTIANAK SELATAN")</f>
        <v>PONTIANAK SELATAN</v>
      </c>
      <c r="P3233" s="35" t="str">
        <f>IFERROR(__xludf.DUMMYFUNCTION("""COMPUTED_VALUE"""),"KOTA PONTIANAK")</f>
        <v>KOTA PONTIANAK</v>
      </c>
      <c r="Q3233" s="35" t="str">
        <f>IFERROR(__xludf.DUMMYFUNCTION("""COMPUTED_VALUE"""),"KALIMANTAN BARAT")</f>
        <v>KALIMANTAN BARAT</v>
      </c>
      <c r="R3233" s="35" t="str">
        <f>IFERROR(__xludf.DUMMYFUNCTION("""COMPUTED_VALUE"""),"ISLAM")</f>
        <v>ISLAM</v>
      </c>
      <c r="S3233" s="74" t="str">
        <f>IFERROR(__xludf.DUMMYFUNCTION("""COMPUTED_VALUE"""),"PENSIUNAN GURU")</f>
        <v>PENSIUNAN GURU</v>
      </c>
      <c r="T3233" s="35" t="str">
        <f>IFERROR(__xludf.DUMMYFUNCTION("""COMPUTED_VALUE"""),"RHEUMATOID ARTHRITIS")</f>
        <v>RHEUMATOID ARTHRITIS</v>
      </c>
      <c r="U3233" s="35" t="str">
        <f>IFERROR(__xludf.DUMMYFUNCTION("""COMPUTED_VALUE"""),"MERAWAT TANAMAN")</f>
        <v>MERAWAT TANAMAN</v>
      </c>
      <c r="V3233" s="35" t="str">
        <f>IFERROR(__xludf.DUMMYFUNCTION("""COMPUTED_VALUE"""),"087818366355")</f>
        <v>087818366355</v>
      </c>
      <c r="W3233" s="45"/>
    </row>
    <row r="3234">
      <c r="A3234" s="45"/>
      <c r="B3234" s="35" t="str">
        <f>IFERROR(__xludf.DUMMYFUNCTION("""COMPUTED_VALUE"""),"27/12/2025 16:17:00")</f>
        <v>27/12/2025 16:17:00</v>
      </c>
      <c r="C3234" s="35"/>
      <c r="D3234" s="10">
        <f>IFERROR(__xludf.DUMMYFUNCTION("""COMPUTED_VALUE"""),46018.0)</f>
        <v>46018</v>
      </c>
      <c r="E3234" s="35" t="str">
        <f>IFERROR(__xludf.DUMMYFUNCTION("""COMPUTED_VALUE"""),"12Des")</f>
        <v>12Des</v>
      </c>
      <c r="F3234" s="35" t="str">
        <f>IFERROR(__xludf.DUMMYFUNCTION("""COMPUTED_VALUE"""),"2025")</f>
        <v>2025</v>
      </c>
      <c r="G3234" s="35" t="str">
        <f>IFERROR(__xludf.DUMMYFUNCTION("""COMPUTED_VALUE"""),"DRSHENDRA SALIM")</f>
        <v>DRSHENDRA SALIM</v>
      </c>
      <c r="H3234" s="35" t="str">
        <f>IFERROR(__xludf.DUMMYFUNCTION("""COMPUTED_VALUE"""),"D5325127738")</f>
        <v>D5325127738</v>
      </c>
      <c r="I3234" s="35">
        <f>IFERROR(__xludf.DUMMYFUNCTION("""COMPUTED_VALUE"""),72.0)</f>
        <v>72</v>
      </c>
      <c r="J3234" s="35" t="str">
        <f>IFERROR(__xludf.DUMMYFUNCTION("""COMPUTED_VALUE"""),"&gt; 44 tahun")</f>
        <v>&gt; 44 tahun</v>
      </c>
      <c r="K3234" s="35" t="str">
        <f>IFERROR(__xludf.DUMMYFUNCTION("""COMPUTED_VALUE"""),"09/08/1953")</f>
        <v>09/08/1953</v>
      </c>
      <c r="L3234" s="35" t="str">
        <f>IFERROR(__xludf.DUMMYFUNCTION("""COMPUTED_VALUE"""),"LAKI-LAKI")</f>
        <v>LAKI-LAKI</v>
      </c>
      <c r="M3234" s="35" t="str">
        <f>IFERROR(__xludf.DUMMYFUNCTION("""COMPUTED_VALUE"""),"JLAR SALEH GG PANORAMA NO.7")</f>
        <v>JLAR SALEH GG PANORAMA NO.7</v>
      </c>
      <c r="N3234" s="35" t="str">
        <f>IFERROR(__xludf.DUMMYFUNCTION("""COMPUTED_VALUE"""),"BANGKA BELITUNG LAUT")</f>
        <v>BANGKA BELITUNG LAUT</v>
      </c>
      <c r="O3234" s="35" t="str">
        <f>IFERROR(__xludf.DUMMYFUNCTION("""COMPUTED_VALUE"""),"PONTIANAK TENGGARA")</f>
        <v>PONTIANAK TENGGARA</v>
      </c>
      <c r="P3234" s="35" t="str">
        <f>IFERROR(__xludf.DUMMYFUNCTION("""COMPUTED_VALUE"""),"PONTIANAK")</f>
        <v>PONTIANAK</v>
      </c>
      <c r="Q3234" s="35" t="str">
        <f>IFERROR(__xludf.DUMMYFUNCTION("""COMPUTED_VALUE"""),"KALIMANTAN BARAT")</f>
        <v>KALIMANTAN BARAT</v>
      </c>
      <c r="R3234" s="35" t="str">
        <f>IFERROR(__xludf.DUMMYFUNCTION("""COMPUTED_VALUE"""),"KATOLIK")</f>
        <v>KATOLIK</v>
      </c>
      <c r="S3234" s="74" t="str">
        <f>IFERROR(__xludf.DUMMYFUNCTION("""COMPUTED_VALUE"""),"WIRASWASTA")</f>
        <v>WIRASWASTA</v>
      </c>
      <c r="T3234" s="35" t="str">
        <f>IFERROR(__xludf.DUMMYFUNCTION("""COMPUTED_VALUE"""),"LEHER")</f>
        <v>LEHER</v>
      </c>
      <c r="U3234" s="35" t="str">
        <f>IFERROR(__xludf.DUMMYFUNCTION("""COMPUTED_VALUE"""),"-")</f>
        <v>-</v>
      </c>
      <c r="V3234" s="35" t="str">
        <f>IFERROR(__xludf.DUMMYFUNCTION("""COMPUTED_VALUE"""),"081345497738")</f>
        <v>081345497738</v>
      </c>
      <c r="W3234" s="45"/>
    </row>
    <row r="3235">
      <c r="A3235" s="45"/>
      <c r="B3235" s="35" t="str">
        <f>IFERROR(__xludf.DUMMYFUNCTION("""COMPUTED_VALUE"""),"27/12/2025 16:29:24")</f>
        <v>27/12/2025 16:29:24</v>
      </c>
      <c r="C3235" s="35"/>
      <c r="D3235" s="10">
        <f>IFERROR(__xludf.DUMMYFUNCTION("""COMPUTED_VALUE"""),46018.0)</f>
        <v>46018</v>
      </c>
      <c r="E3235" s="35" t="str">
        <f>IFERROR(__xludf.DUMMYFUNCTION("""COMPUTED_VALUE"""),"12Des")</f>
        <v>12Des</v>
      </c>
      <c r="F3235" s="35" t="str">
        <f>IFERROR(__xludf.DUMMYFUNCTION("""COMPUTED_VALUE"""),"2025")</f>
        <v>2025</v>
      </c>
      <c r="G3235" s="35" t="str">
        <f>IFERROR(__xludf.DUMMYFUNCTION("""COMPUTED_VALUE"""),"NORIZAN")</f>
        <v>NORIZAN</v>
      </c>
      <c r="H3235" s="35" t="str">
        <f>IFERROR(__xludf.DUMMYFUNCTION("""COMPUTED_VALUE"""),"N6225128383")</f>
        <v>N6225128383</v>
      </c>
      <c r="I3235" s="35">
        <f>IFERROR(__xludf.DUMMYFUNCTION("""COMPUTED_VALUE"""),64.0)</f>
        <v>64</v>
      </c>
      <c r="J3235" s="35" t="str">
        <f>IFERROR(__xludf.DUMMYFUNCTION("""COMPUTED_VALUE"""),"&gt; 44 tahun")</f>
        <v>&gt; 44 tahun</v>
      </c>
      <c r="K3235" s="35" t="str">
        <f>IFERROR(__xludf.DUMMYFUNCTION("""COMPUTED_VALUE"""),"11/05/1962")</f>
        <v>11/05/1962</v>
      </c>
      <c r="L3235" s="35" t="str">
        <f>IFERROR(__xludf.DUMMYFUNCTION("""COMPUTED_VALUE"""),"PEREMPUAN")</f>
        <v>PEREMPUAN</v>
      </c>
      <c r="M3235" s="35" t="str">
        <f>IFERROR(__xludf.DUMMYFUNCTION("""COMPUTED_VALUE"""),"BALAIKARANGAN 3")</f>
        <v>BALAIKARANGAN 3</v>
      </c>
      <c r="N3235" s="35" t="str">
        <f>IFERROR(__xludf.DUMMYFUNCTION("""COMPUTED_VALUE"""),"BALAIKARANGAN")</f>
        <v>BALAIKARANGAN</v>
      </c>
      <c r="O3235" s="35" t="str">
        <f>IFERROR(__xludf.DUMMYFUNCTION("""COMPUTED_VALUE"""),"SEKAYAM")</f>
        <v>SEKAYAM</v>
      </c>
      <c r="P3235" s="35" t="str">
        <f>IFERROR(__xludf.DUMMYFUNCTION("""COMPUTED_VALUE"""),"SANGGAU")</f>
        <v>SANGGAU</v>
      </c>
      <c r="Q3235" s="35" t="str">
        <f>IFERROR(__xludf.DUMMYFUNCTION("""COMPUTED_VALUE"""),"KALIMANTAN BARAT")</f>
        <v>KALIMANTAN BARAT</v>
      </c>
      <c r="R3235" s="35" t="str">
        <f>IFERROR(__xludf.DUMMYFUNCTION("""COMPUTED_VALUE"""),"ISLAM")</f>
        <v>ISLAM</v>
      </c>
      <c r="S3235" s="74" t="str">
        <f>IFERROR(__xludf.DUMMYFUNCTION("""COMPUTED_VALUE"""),"IRY")</f>
        <v>IRY</v>
      </c>
      <c r="T3235" s="35" t="str">
        <f>IFERROR(__xludf.DUMMYFUNCTION("""COMPUTED_VALUE"""),"LUTUT")</f>
        <v>LUTUT</v>
      </c>
      <c r="U3235" s="35" t="str">
        <f>IFERROR(__xludf.DUMMYFUNCTION("""COMPUTED_VALUE"""),"TIDAK ADA")</f>
        <v>TIDAK ADA</v>
      </c>
      <c r="V3235" s="35" t="str">
        <f>IFERROR(__xludf.DUMMYFUNCTION("""COMPUTED_VALUE"""),"081256968383")</f>
        <v>081256968383</v>
      </c>
      <c r="W3235" s="45"/>
    </row>
    <row r="3236">
      <c r="A3236" s="45"/>
      <c r="B3236" s="35" t="str">
        <f>IFERROR(__xludf.DUMMYFUNCTION("""COMPUTED_VALUE"""),"27/12/2025 19:07:37")</f>
        <v>27/12/2025 19:07:37</v>
      </c>
      <c r="C3236" s="35"/>
      <c r="D3236" s="10">
        <f>IFERROR(__xludf.DUMMYFUNCTION("""COMPUTED_VALUE"""),46018.0)</f>
        <v>46018</v>
      </c>
      <c r="E3236" s="35" t="str">
        <f>IFERROR(__xludf.DUMMYFUNCTION("""COMPUTED_VALUE"""),"12Des")</f>
        <v>12Des</v>
      </c>
      <c r="F3236" s="35" t="str">
        <f>IFERROR(__xludf.DUMMYFUNCTION("""COMPUTED_VALUE"""),"2025")</f>
        <v>2025</v>
      </c>
      <c r="G3236" s="35" t="str">
        <f>IFERROR(__xludf.DUMMYFUNCTION("""COMPUTED_VALUE"""),"IVAN TANSARITO")</f>
        <v>IVAN TANSARITO</v>
      </c>
      <c r="H3236" s="35" t="str">
        <f>IFERROR(__xludf.DUMMYFUNCTION("""COMPUTED_VALUE"""),"I8325126278")</f>
        <v>I8325126278</v>
      </c>
      <c r="I3236" s="35">
        <f>IFERROR(__xludf.DUMMYFUNCTION("""COMPUTED_VALUE"""),43.0)</f>
        <v>43</v>
      </c>
      <c r="J3236" s="35" t="str">
        <f>IFERROR(__xludf.DUMMYFUNCTION("""COMPUTED_VALUE"""),"35-44 tahun")</f>
        <v>35-44 tahun</v>
      </c>
      <c r="K3236" s="35" t="str">
        <f>IFERROR(__xludf.DUMMYFUNCTION("""COMPUTED_VALUE"""),"07/05/1983")</f>
        <v>07/05/1983</v>
      </c>
      <c r="L3236" s="35" t="str">
        <f>IFERROR(__xludf.DUMMYFUNCTION("""COMPUTED_VALUE"""),"LAKI-LAKI")</f>
        <v>LAKI-LAKI</v>
      </c>
      <c r="M3236" s="35" t="str">
        <f>IFERROR(__xludf.DUMMYFUNCTION("""COMPUTED_VALUE"""),"JALAN SIAGA GG. SIAGA SETIA NO. 01")</f>
        <v>JALAN SIAGA GG. SIAGA SETIA NO. 01</v>
      </c>
      <c r="N3236" s="35" t="str">
        <f>IFERROR(__xludf.DUMMYFUNCTION("""COMPUTED_VALUE"""),"SUNGAI RAYA")</f>
        <v>SUNGAI RAYA</v>
      </c>
      <c r="O3236" s="35" t="str">
        <f>IFERROR(__xludf.DUMMYFUNCTION("""COMPUTED_VALUE"""),"SUNGAI RAYA")</f>
        <v>SUNGAI RAYA</v>
      </c>
      <c r="P3236" s="35" t="str">
        <f>IFERROR(__xludf.DUMMYFUNCTION("""COMPUTED_VALUE"""),"KUBU RAYA")</f>
        <v>KUBU RAYA</v>
      </c>
      <c r="Q3236" s="35" t="str">
        <f>IFERROR(__xludf.DUMMYFUNCTION("""COMPUTED_VALUE"""),"KALIMANTAN BARAT")</f>
        <v>KALIMANTAN BARAT</v>
      </c>
      <c r="R3236" s="35" t="str">
        <f>IFERROR(__xludf.DUMMYFUNCTION("""COMPUTED_VALUE"""),"BUDDHA")</f>
        <v>BUDDHA</v>
      </c>
      <c r="S3236" s="74" t="str">
        <f>IFERROR(__xludf.DUMMYFUNCTION("""COMPUTED_VALUE"""),"KARYAWAN SWASTA")</f>
        <v>KARYAWAN SWASTA</v>
      </c>
      <c r="T3236" s="35" t="str">
        <f>IFERROR(__xludf.DUMMYFUNCTION("""COMPUTED_VALUE"""),"CIDERA ENGKEL")</f>
        <v>CIDERA ENGKEL</v>
      </c>
      <c r="U3236" s="35" t="str">
        <f>IFERROR(__xludf.DUMMYFUNCTION("""COMPUTED_VALUE"""),"JOGGING / LARI")</f>
        <v>JOGGING / LARI</v>
      </c>
      <c r="V3236" s="35" t="str">
        <f>IFERROR(__xludf.DUMMYFUNCTION("""COMPUTED_VALUE"""),"081258396278")</f>
        <v>081258396278</v>
      </c>
      <c r="W3236" s="45"/>
    </row>
    <row r="3237">
      <c r="A3237" s="45"/>
      <c r="B3237" s="35" t="str">
        <f>IFERROR(__xludf.DUMMYFUNCTION("""COMPUTED_VALUE"""),"27/12/2025 19:12:08")</f>
        <v>27/12/2025 19:12:08</v>
      </c>
      <c r="C3237" s="35"/>
      <c r="D3237" s="10">
        <f>IFERROR(__xludf.DUMMYFUNCTION("""COMPUTED_VALUE"""),46018.0)</f>
        <v>46018</v>
      </c>
      <c r="E3237" s="35" t="str">
        <f>IFERROR(__xludf.DUMMYFUNCTION("""COMPUTED_VALUE"""),"12Des")</f>
        <v>12Des</v>
      </c>
      <c r="F3237" s="35" t="str">
        <f>IFERROR(__xludf.DUMMYFUNCTION("""COMPUTED_VALUE"""),"2025")</f>
        <v>2025</v>
      </c>
      <c r="G3237" s="35" t="str">
        <f>IFERROR(__xludf.DUMMYFUNCTION("""COMPUTED_VALUE"""),"RIZKADEA BELIANTO")</f>
        <v>RIZKADEA BELIANTO</v>
      </c>
      <c r="H3237" s="35" t="str">
        <f>IFERROR(__xludf.DUMMYFUNCTION("""COMPUTED_VALUE"""),"R9325125636")</f>
        <v>R9325125636</v>
      </c>
      <c r="I3237" s="35">
        <f>IFERROR(__xludf.DUMMYFUNCTION("""COMPUTED_VALUE"""),33.0)</f>
        <v>33</v>
      </c>
      <c r="J3237" s="35" t="str">
        <f>IFERROR(__xludf.DUMMYFUNCTION("""COMPUTED_VALUE"""),"25-34 tahun")</f>
        <v>25-34 tahun</v>
      </c>
      <c r="K3237" s="35" t="str">
        <f>IFERROR(__xludf.DUMMYFUNCTION("""COMPUTED_VALUE"""),"01/05/1993")</f>
        <v>01/05/1993</v>
      </c>
      <c r="L3237" s="35" t="str">
        <f>IFERROR(__xludf.DUMMYFUNCTION("""COMPUTED_VALUE"""),"LAKI-LAKI")</f>
        <v>LAKI-LAKI</v>
      </c>
      <c r="M3237" s="35" t="str">
        <f>IFERROR(__xludf.DUMMYFUNCTION("""COMPUTED_VALUE"""),"JL. PURNAMAGG. PERINTIS1 NI. 50")</f>
        <v>JL. PURNAMAGG. PERINTIS1 NI. 50</v>
      </c>
      <c r="N3237" s="35" t="str">
        <f>IFERROR(__xludf.DUMMYFUNCTION("""COMPUTED_VALUE"""),"AKCAYA")</f>
        <v>AKCAYA</v>
      </c>
      <c r="O3237" s="35" t="str">
        <f>IFERROR(__xludf.DUMMYFUNCTION("""COMPUTED_VALUE"""),"PONTIANAK SELATAN")</f>
        <v>PONTIANAK SELATAN</v>
      </c>
      <c r="P3237" s="35" t="str">
        <f>IFERROR(__xludf.DUMMYFUNCTION("""COMPUTED_VALUE"""),"PONTIANAK")</f>
        <v>PONTIANAK</v>
      </c>
      <c r="Q3237" s="35" t="str">
        <f>IFERROR(__xludf.DUMMYFUNCTION("""COMPUTED_VALUE"""),"KALIMANTAN BARAT")</f>
        <v>KALIMANTAN BARAT</v>
      </c>
      <c r="R3237" s="35" t="str">
        <f>IFERROR(__xludf.DUMMYFUNCTION("""COMPUTED_VALUE"""),"ISLAM")</f>
        <v>ISLAM</v>
      </c>
      <c r="S3237" s="74" t="str">
        <f>IFERROR(__xludf.DUMMYFUNCTION("""COMPUTED_VALUE"""),"BUMD")</f>
        <v>BUMD</v>
      </c>
      <c r="T3237" s="35" t="str">
        <f>IFERROR(__xludf.DUMMYFUNCTION("""COMPUTED_VALUE"""),"NYERI PINGGANG")</f>
        <v>NYERI PINGGANG</v>
      </c>
      <c r="U3237" s="35" t="str">
        <f>IFERROR(__xludf.DUMMYFUNCTION("""COMPUTED_VALUE"""),"OLAH RAGA")</f>
        <v>OLAH RAGA</v>
      </c>
      <c r="V3237" s="35" t="str">
        <f>IFERROR(__xludf.DUMMYFUNCTION("""COMPUTED_VALUE"""),"085391795636")</f>
        <v>085391795636</v>
      </c>
      <c r="W3237" s="45"/>
    </row>
    <row r="3238">
      <c r="A3238" s="45"/>
      <c r="B3238" s="35" t="str">
        <f>IFERROR(__xludf.DUMMYFUNCTION("""COMPUTED_VALUE"""),"27/12/2025 20:20:53")</f>
        <v>27/12/2025 20:20:53</v>
      </c>
      <c r="C3238" s="35"/>
      <c r="D3238" s="10">
        <f>IFERROR(__xludf.DUMMYFUNCTION("""COMPUTED_VALUE"""),46018.0)</f>
        <v>46018</v>
      </c>
      <c r="E3238" s="35" t="str">
        <f>IFERROR(__xludf.DUMMYFUNCTION("""COMPUTED_VALUE"""),"12Des")</f>
        <v>12Des</v>
      </c>
      <c r="F3238" s="35" t="str">
        <f>IFERROR(__xludf.DUMMYFUNCTION("""COMPUTED_VALUE"""),"2025")</f>
        <v>2025</v>
      </c>
      <c r="G3238" s="35" t="str">
        <f>IFERROR(__xludf.DUMMYFUNCTION("""COMPUTED_VALUE"""),"FERA HENDRY")</f>
        <v>FERA HENDRY</v>
      </c>
      <c r="H3238" s="35" t="str">
        <f>IFERROR(__xludf.DUMMYFUNCTION("""COMPUTED_VALUE"""),"F8325127729")</f>
        <v>F8325127729</v>
      </c>
      <c r="I3238" s="35">
        <f>IFERROR(__xludf.DUMMYFUNCTION("""COMPUTED_VALUE"""),43.0)</f>
        <v>43</v>
      </c>
      <c r="J3238" s="35" t="str">
        <f>IFERROR(__xludf.DUMMYFUNCTION("""COMPUTED_VALUE"""),"35-44 tahun")</f>
        <v>35-44 tahun</v>
      </c>
      <c r="K3238" s="35" t="str">
        <f>IFERROR(__xludf.DUMMYFUNCTION("""COMPUTED_VALUE"""),"25/04/1983")</f>
        <v>25/04/1983</v>
      </c>
      <c r="L3238" s="35" t="str">
        <f>IFERROR(__xludf.DUMMYFUNCTION("""COMPUTED_VALUE"""),"PEREMPUAN")</f>
        <v>PEREMPUAN</v>
      </c>
      <c r="M3238" s="35" t="str">
        <f>IFERROR(__xludf.DUMMYFUNCTION("""COMPUTED_VALUE"""),"GANG GAJAH MADA 4 NO 67 AB")</f>
        <v>GANG GAJAH MADA 4 NO 67 AB</v>
      </c>
      <c r="N3238" s="35" t="str">
        <f>IFERROR(__xludf.DUMMYFUNCTION("""COMPUTED_VALUE"""),"BENUA MELAYU DARAT")</f>
        <v>BENUA MELAYU DARAT</v>
      </c>
      <c r="O3238" s="35" t="str">
        <f>IFERROR(__xludf.DUMMYFUNCTION("""COMPUTED_VALUE"""),"PONTIANAK SELATAN")</f>
        <v>PONTIANAK SELATAN</v>
      </c>
      <c r="P3238" s="35" t="str">
        <f>IFERROR(__xludf.DUMMYFUNCTION("""COMPUTED_VALUE"""),"PONTIANAK")</f>
        <v>PONTIANAK</v>
      </c>
      <c r="Q3238" s="35" t="str">
        <f>IFERROR(__xludf.DUMMYFUNCTION("""COMPUTED_VALUE"""),"KALIMANTAN BARAT")</f>
        <v>KALIMANTAN BARAT</v>
      </c>
      <c r="R3238" s="35" t="str">
        <f>IFERROR(__xludf.DUMMYFUNCTION("""COMPUTED_VALUE"""),"BUDDHA")</f>
        <v>BUDDHA</v>
      </c>
      <c r="S3238" s="74" t="str">
        <f>IFERROR(__xludf.DUMMYFUNCTION("""COMPUTED_VALUE"""),"IRT")</f>
        <v>IRT</v>
      </c>
      <c r="T3238" s="35" t="str">
        <f>IFERROR(__xludf.DUMMYFUNCTION("""COMPUTED_VALUE"""),"LUTUT")</f>
        <v>LUTUT</v>
      </c>
      <c r="U3238" s="35" t="str">
        <f>IFERROR(__xludf.DUMMYFUNCTION("""COMPUTED_VALUE"""),"-")</f>
        <v>-</v>
      </c>
      <c r="V3238" s="35" t="str">
        <f>IFERROR(__xludf.DUMMYFUNCTION("""COMPUTED_VALUE"""),"081555667729")</f>
        <v>081555667729</v>
      </c>
      <c r="W3238" s="45"/>
    </row>
    <row r="3239">
      <c r="A3239" s="45"/>
      <c r="B3239" s="35" t="str">
        <f>IFERROR(__xludf.DUMMYFUNCTION("""COMPUTED_VALUE"""),"27/12/2025 20:26:56")</f>
        <v>27/12/2025 20:26:56</v>
      </c>
      <c r="C3239" s="35"/>
      <c r="D3239" s="10">
        <f>IFERROR(__xludf.DUMMYFUNCTION("""COMPUTED_VALUE"""),46018.0)</f>
        <v>46018</v>
      </c>
      <c r="E3239" s="35" t="str">
        <f>IFERROR(__xludf.DUMMYFUNCTION("""COMPUTED_VALUE"""),"12Des")</f>
        <v>12Des</v>
      </c>
      <c r="F3239" s="35" t="str">
        <f>IFERROR(__xludf.DUMMYFUNCTION("""COMPUTED_VALUE"""),"2025")</f>
        <v>2025</v>
      </c>
      <c r="G3239" s="35" t="str">
        <f>IFERROR(__xludf.DUMMYFUNCTION("""COMPUTED_VALUE"""),"SYARIFAH FADILLAH")</f>
        <v>SYARIFAH FADILLAH</v>
      </c>
      <c r="H3239" s="35" t="str">
        <f>IFERROR(__xludf.DUMMYFUNCTION("""COMPUTED_VALUE"""),"S7425126230")</f>
        <v>S7425126230</v>
      </c>
      <c r="I3239" s="35">
        <f>IFERROR(__xludf.DUMMYFUNCTION("""COMPUTED_VALUE"""),52.0)</f>
        <v>52</v>
      </c>
      <c r="J3239" s="35" t="str">
        <f>IFERROR(__xludf.DUMMYFUNCTION("""COMPUTED_VALUE"""),"&gt; 44 tahun")</f>
        <v>&gt; 44 tahun</v>
      </c>
      <c r="K3239" s="35" t="str">
        <f>IFERROR(__xludf.DUMMYFUNCTION("""COMPUTED_VALUE"""),"15/03/1974")</f>
        <v>15/03/1974</v>
      </c>
      <c r="L3239" s="35" t="str">
        <f>IFERROR(__xludf.DUMMYFUNCTION("""COMPUTED_VALUE"""),"PEREMPUAN")</f>
        <v>PEREMPUAN</v>
      </c>
      <c r="M3239" s="35" t="str">
        <f>IFERROR(__xludf.DUMMYFUNCTION("""COMPUTED_VALUE"""),"DR. WAHIDIN NO 2")</f>
        <v>DR. WAHIDIN NO 2</v>
      </c>
      <c r="N3239" s="35" t="str">
        <f>IFERROR(__xludf.DUMMYFUNCTION("""COMPUTED_VALUE"""),"SUNGAI JAWI")</f>
        <v>SUNGAI JAWI</v>
      </c>
      <c r="O3239" s="35" t="str">
        <f>IFERROR(__xludf.DUMMYFUNCTION("""COMPUTED_VALUE"""),"PONTIANAK KOTA")</f>
        <v>PONTIANAK KOTA</v>
      </c>
      <c r="P3239" s="35" t="str">
        <f>IFERROR(__xludf.DUMMYFUNCTION("""COMPUTED_VALUE"""),"PONTIANAK")</f>
        <v>PONTIANAK</v>
      </c>
      <c r="Q3239" s="35" t="str">
        <f>IFERROR(__xludf.DUMMYFUNCTION("""COMPUTED_VALUE"""),"KALIMANTAN BARAT")</f>
        <v>KALIMANTAN BARAT</v>
      </c>
      <c r="R3239" s="35" t="str">
        <f>IFERROR(__xludf.DUMMYFUNCTION("""COMPUTED_VALUE"""),"ISLAM")</f>
        <v>ISLAM</v>
      </c>
      <c r="S3239" s="74" t="str">
        <f>IFERROR(__xludf.DUMMYFUNCTION("""COMPUTED_VALUE"""),"DOSEN")</f>
        <v>DOSEN</v>
      </c>
      <c r="T3239" s="35" t="str">
        <f>IFERROR(__xludf.DUMMYFUNCTION("""COMPUTED_VALUE"""),"SAKIT DI TUMIT KAKI KANAN")</f>
        <v>SAKIT DI TUMIT KAKI KANAN</v>
      </c>
      <c r="U3239" s="35" t="str">
        <f>IFERROR(__xludf.DUMMYFUNCTION("""COMPUTED_VALUE"""),"JALAN KAKI")</f>
        <v>JALAN KAKI</v>
      </c>
      <c r="V3239" s="35" t="str">
        <f>IFERROR(__xludf.DUMMYFUNCTION("""COMPUTED_VALUE"""),"085252566230")</f>
        <v>085252566230</v>
      </c>
      <c r="W3239" s="45"/>
    </row>
    <row r="3240">
      <c r="A3240" s="45"/>
      <c r="B3240" s="35" t="str">
        <f>IFERROR(__xludf.DUMMYFUNCTION("""COMPUTED_VALUE"""),"28/12/2025 19:54:22")</f>
        <v>28/12/2025 19:54:22</v>
      </c>
      <c r="C3240" s="35"/>
      <c r="D3240" s="10">
        <f>IFERROR(__xludf.DUMMYFUNCTION("""COMPUTED_VALUE"""),46019.0)</f>
        <v>46019</v>
      </c>
      <c r="E3240" s="35" t="str">
        <f>IFERROR(__xludf.DUMMYFUNCTION("""COMPUTED_VALUE"""),"12Des")</f>
        <v>12Des</v>
      </c>
      <c r="F3240" s="35" t="str">
        <f>IFERROR(__xludf.DUMMYFUNCTION("""COMPUTED_VALUE"""),"2025")</f>
        <v>2025</v>
      </c>
      <c r="G3240" s="35" t="str">
        <f>IFERROR(__xludf.DUMMYFUNCTION("""COMPUTED_VALUE"""),"YANTI LIM")</f>
        <v>YANTI LIM</v>
      </c>
      <c r="H3240" s="35" t="str">
        <f>IFERROR(__xludf.DUMMYFUNCTION("""COMPUTED_VALUE"""),"Y7125120189")</f>
        <v>Y7125120189</v>
      </c>
      <c r="I3240" s="35">
        <f>IFERROR(__xludf.DUMMYFUNCTION("""COMPUTED_VALUE"""),55.0)</f>
        <v>55</v>
      </c>
      <c r="J3240" s="35" t="str">
        <f>IFERROR(__xludf.DUMMYFUNCTION("""COMPUTED_VALUE"""),"&gt; 44 tahun")</f>
        <v>&gt; 44 tahun</v>
      </c>
      <c r="K3240" s="35" t="str">
        <f>IFERROR(__xludf.DUMMYFUNCTION("""COMPUTED_VALUE"""),"23/06/1971")</f>
        <v>23/06/1971</v>
      </c>
      <c r="L3240" s="35" t="str">
        <f>IFERROR(__xludf.DUMMYFUNCTION("""COMPUTED_VALUE"""),"PEREMPUAN")</f>
        <v>PEREMPUAN</v>
      </c>
      <c r="M3240" s="35" t="str">
        <f>IFERROR(__xludf.DUMMYFUNCTION("""COMPUTED_VALUE"""),"JL TANIMAKMUR NO 35")</f>
        <v>JL TANIMAKMUR NO 35</v>
      </c>
      <c r="N3240" s="35" t="str">
        <f>IFERROR(__xludf.DUMMYFUNCTION("""COMPUTED_VALUE"""),"AKCAYA")</f>
        <v>AKCAYA</v>
      </c>
      <c r="O3240" s="35" t="str">
        <f>IFERROR(__xludf.DUMMYFUNCTION("""COMPUTED_VALUE"""),"PONTIANAK SELATAN")</f>
        <v>PONTIANAK SELATAN</v>
      </c>
      <c r="P3240" s="35" t="str">
        <f>IFERROR(__xludf.DUMMYFUNCTION("""COMPUTED_VALUE"""),"PONTIANAK")</f>
        <v>PONTIANAK</v>
      </c>
      <c r="Q3240" s="35" t="str">
        <f>IFERROR(__xludf.DUMMYFUNCTION("""COMPUTED_VALUE"""),"KALIMANTAN BARAT")</f>
        <v>KALIMANTAN BARAT</v>
      </c>
      <c r="R3240" s="35" t="str">
        <f>IFERROR(__xludf.DUMMYFUNCTION("""COMPUTED_VALUE"""),"LAINNYA")</f>
        <v>LAINNYA</v>
      </c>
      <c r="S3240" s="74" t="str">
        <f>IFERROR(__xludf.DUMMYFUNCTION("""COMPUTED_VALUE"""),"IRT")</f>
        <v>IRT</v>
      </c>
      <c r="T3240" s="35" t="str">
        <f>IFERROR(__xludf.DUMMYFUNCTION("""COMPUTED_VALUE"""),"-")</f>
        <v>-</v>
      </c>
      <c r="U3240" s="35" t="str">
        <f>IFERROR(__xludf.DUMMYFUNCTION("""COMPUTED_VALUE"""),"-")</f>
        <v>-</v>
      </c>
      <c r="V3240" s="35" t="str">
        <f>IFERROR(__xludf.DUMMYFUNCTION("""COMPUTED_VALUE"""),"628134560189")</f>
        <v>628134560189</v>
      </c>
      <c r="W3240" s="45"/>
    </row>
    <row r="3241">
      <c r="A3241" s="45"/>
      <c r="B3241" s="35" t="str">
        <f>IFERROR(__xludf.DUMMYFUNCTION("""COMPUTED_VALUE"""),"29/12/2025 10:27:49")</f>
        <v>29/12/2025 10:27:49</v>
      </c>
      <c r="C3241" s="35"/>
      <c r="D3241" s="10">
        <f>IFERROR(__xludf.DUMMYFUNCTION("""COMPUTED_VALUE"""),46020.0)</f>
        <v>46020</v>
      </c>
      <c r="E3241" s="35" t="str">
        <f>IFERROR(__xludf.DUMMYFUNCTION("""COMPUTED_VALUE"""),"12Des")</f>
        <v>12Des</v>
      </c>
      <c r="F3241" s="35" t="str">
        <f>IFERROR(__xludf.DUMMYFUNCTION("""COMPUTED_VALUE"""),"2025")</f>
        <v>2025</v>
      </c>
      <c r="G3241" s="35" t="str">
        <f>IFERROR(__xludf.DUMMYFUNCTION("""COMPUTED_VALUE"""),"FIERLY ALYA KINANTI")</f>
        <v>FIERLY ALYA KINANTI</v>
      </c>
      <c r="H3241" s="35" t="str">
        <f>IFERROR(__xludf.DUMMYFUNCTION("""COMPUTED_VALUE"""),"F9825129501")</f>
        <v>F9825129501</v>
      </c>
      <c r="I3241" s="35">
        <f>IFERROR(__xludf.DUMMYFUNCTION("""COMPUTED_VALUE"""),27.0)</f>
        <v>27</v>
      </c>
      <c r="J3241" s="35" t="str">
        <f>IFERROR(__xludf.DUMMYFUNCTION("""COMPUTED_VALUE"""),"25-34 tahun")</f>
        <v>25-34 tahun</v>
      </c>
      <c r="K3241" s="35" t="str">
        <f>IFERROR(__xludf.DUMMYFUNCTION("""COMPUTED_VALUE"""),"15/08/1998")</f>
        <v>15/08/1998</v>
      </c>
      <c r="L3241" s="35" t="str">
        <f>IFERROR(__xludf.DUMMYFUNCTION("""COMPUTED_VALUE"""),"PEREMPUAN")</f>
        <v>PEREMPUAN</v>
      </c>
      <c r="M3241" s="35" t="str">
        <f>IFERROR(__xludf.DUMMYFUNCTION("""COMPUTED_VALUE"""),"JL. KOM YOS SOEDARSO NO.25 RT 002 RW 001")</f>
        <v>JL. KOM YOS SOEDARSO NO.25 RT 002 RW 001</v>
      </c>
      <c r="N3241" s="35" t="str">
        <f>IFERROR(__xludf.DUMMYFUNCTION("""COMPUTED_VALUE"""),"SUNGAI JAWI LUAR")</f>
        <v>SUNGAI JAWI LUAR</v>
      </c>
      <c r="O3241" s="35" t="str">
        <f>IFERROR(__xludf.DUMMYFUNCTION("""COMPUTED_VALUE"""),"PONTIANAK BARAT")</f>
        <v>PONTIANAK BARAT</v>
      </c>
      <c r="P3241" s="35" t="str">
        <f>IFERROR(__xludf.DUMMYFUNCTION("""COMPUTED_VALUE"""),"KOTA PONTIANAK")</f>
        <v>KOTA PONTIANAK</v>
      </c>
      <c r="Q3241" s="35" t="str">
        <f>IFERROR(__xludf.DUMMYFUNCTION("""COMPUTED_VALUE"""),"KALIMANTAN BARAT")</f>
        <v>KALIMANTAN BARAT</v>
      </c>
      <c r="R3241" s="35" t="str">
        <f>IFERROR(__xludf.DUMMYFUNCTION("""COMPUTED_VALUE"""),"ISLAM")</f>
        <v>ISLAM</v>
      </c>
      <c r="S3241" s="74" t="str">
        <f>IFERROR(__xludf.DUMMYFUNCTION("""COMPUTED_VALUE"""),"SWASTA")</f>
        <v>SWASTA</v>
      </c>
      <c r="T3241" s="35" t="str">
        <f>IFERROR(__xludf.DUMMYFUNCTION("""COMPUTED_VALUE"""),"LUTUT KANAN NYERI, NGILU HILANG DATANG SETELAH LEG DAY GYM")</f>
        <v>LUTUT KANAN NYERI, NGILU HILANG DATANG SETELAH LEG DAY GYM</v>
      </c>
      <c r="U3241" s="35" t="str">
        <f>IFERROR(__xludf.DUMMYFUNCTION("""COMPUTED_VALUE"""),"GYM")</f>
        <v>GYM</v>
      </c>
      <c r="V3241" s="35" t="str">
        <f>IFERROR(__xludf.DUMMYFUNCTION("""COMPUTED_VALUE"""),"85750009501")</f>
        <v>85750009501</v>
      </c>
      <c r="W3241" s="45"/>
    </row>
    <row r="3242">
      <c r="A3242" s="45"/>
      <c r="B3242" s="35" t="str">
        <f>IFERROR(__xludf.DUMMYFUNCTION("""COMPUTED_VALUE"""),"29/12/2025 10:51:43")</f>
        <v>29/12/2025 10:51:43</v>
      </c>
      <c r="C3242" s="35"/>
      <c r="D3242" s="10">
        <f>IFERROR(__xludf.DUMMYFUNCTION("""COMPUTED_VALUE"""),46020.0)</f>
        <v>46020</v>
      </c>
      <c r="E3242" s="35" t="str">
        <f>IFERROR(__xludf.DUMMYFUNCTION("""COMPUTED_VALUE"""),"12Des")</f>
        <v>12Des</v>
      </c>
      <c r="F3242" s="35" t="str">
        <f>IFERROR(__xludf.DUMMYFUNCTION("""COMPUTED_VALUE"""),"2025")</f>
        <v>2025</v>
      </c>
      <c r="G3242" s="35" t="str">
        <f>IFERROR(__xludf.DUMMYFUNCTION("""COMPUTED_VALUE"""),"NAOMI APRILIA SIMANULLANG")</f>
        <v>NAOMI APRILIA SIMANULLANG</v>
      </c>
      <c r="H3242" s="35" t="str">
        <f>IFERROR(__xludf.DUMMYFUNCTION("""COMPUTED_VALUE"""),"N0825129205")</f>
        <v>N0825129205</v>
      </c>
      <c r="I3242" s="35">
        <f>IFERROR(__xludf.DUMMYFUNCTION("""COMPUTED_VALUE"""),18.0)</f>
        <v>18</v>
      </c>
      <c r="J3242" s="35" t="str">
        <f>IFERROR(__xludf.DUMMYFUNCTION("""COMPUTED_VALUE"""),"&lt; 18 tahun")</f>
        <v>&lt; 18 tahun</v>
      </c>
      <c r="K3242" s="35" t="str">
        <f>IFERROR(__xludf.DUMMYFUNCTION("""COMPUTED_VALUE"""),"15/04/2008")</f>
        <v>15/04/2008</v>
      </c>
      <c r="L3242" s="35" t="str">
        <f>IFERROR(__xludf.DUMMYFUNCTION("""COMPUTED_VALUE"""),"PEREMPUAN")</f>
        <v>PEREMPUAN</v>
      </c>
      <c r="M3242" s="35" t="str">
        <f>IFERROR(__xludf.DUMMYFUNCTION("""COMPUTED_VALUE"""),"JALAN MERDEKA TIMUR KM. 04")</f>
        <v>JALAN MERDEKA TIMUR KM. 04</v>
      </c>
      <c r="N3242" s="35" t="str">
        <f>IFERROR(__xludf.DUMMYFUNCTION("""COMPUTED_VALUE"""),"MUNGGUK")</f>
        <v>MUNGGUK</v>
      </c>
      <c r="O3242" s="35" t="str">
        <f>IFERROR(__xludf.DUMMYFUNCTION("""COMPUTED_VALUE"""),"SEKADAU HILIR")</f>
        <v>SEKADAU HILIR</v>
      </c>
      <c r="P3242" s="35" t="str">
        <f>IFERROR(__xludf.DUMMYFUNCTION("""COMPUTED_VALUE"""),"SEKADAU")</f>
        <v>SEKADAU</v>
      </c>
      <c r="Q3242" s="35" t="str">
        <f>IFERROR(__xludf.DUMMYFUNCTION("""COMPUTED_VALUE"""),"KALIMANTAN BARAT")</f>
        <v>KALIMANTAN BARAT</v>
      </c>
      <c r="R3242" s="35" t="str">
        <f>IFERROR(__xludf.DUMMYFUNCTION("""COMPUTED_VALUE"""),"PROTESTAN")</f>
        <v>PROTESTAN</v>
      </c>
      <c r="S3242" s="74" t="str">
        <f>IFERROR(__xludf.DUMMYFUNCTION("""COMPUTED_VALUE"""),"PELAJAR")</f>
        <v>PELAJAR</v>
      </c>
      <c r="T3242" s="35" t="str">
        <f>IFERROR(__xludf.DUMMYFUNCTION("""COMPUTED_VALUE"""),"PUNGGUNG NYERI SEBELAH KANAN BAGIAN TENGAH KETIKA POSISI PUNGGUNG TEGAK")</f>
        <v>PUNGGUNG NYERI SEBELAH KANAN BAGIAN TENGAH KETIKA POSISI PUNGGUNG TEGAK</v>
      </c>
      <c r="U3242" s="35" t="str">
        <f>IFERROR(__xludf.DUMMYFUNCTION("""COMPUTED_VALUE"""),"MAIN GAME")</f>
        <v>MAIN GAME</v>
      </c>
      <c r="V3242" s="35" t="str">
        <f>IFERROR(__xludf.DUMMYFUNCTION("""COMPUTED_VALUE"""),"085752669205")</f>
        <v>085752669205</v>
      </c>
      <c r="W3242" s="45"/>
    </row>
    <row r="3243">
      <c r="A3243" s="45"/>
      <c r="B3243" s="35" t="str">
        <f>IFERROR(__xludf.DUMMYFUNCTION("""COMPUTED_VALUE"""),"29/12/2025 11:54:57")</f>
        <v>29/12/2025 11:54:57</v>
      </c>
      <c r="C3243" s="35"/>
      <c r="D3243" s="10">
        <f>IFERROR(__xludf.DUMMYFUNCTION("""COMPUTED_VALUE"""),46020.0)</f>
        <v>46020</v>
      </c>
      <c r="E3243" s="35" t="str">
        <f>IFERROR(__xludf.DUMMYFUNCTION("""COMPUTED_VALUE"""),"12Des")</f>
        <v>12Des</v>
      </c>
      <c r="F3243" s="35" t="str">
        <f>IFERROR(__xludf.DUMMYFUNCTION("""COMPUTED_VALUE"""),"2025")</f>
        <v>2025</v>
      </c>
      <c r="G3243" s="35" t="str">
        <f>IFERROR(__xludf.DUMMYFUNCTION("""COMPUTED_VALUE"""),"MUDIONO HARYANTO")</f>
        <v>MUDIONO HARYANTO</v>
      </c>
      <c r="H3243" s="35" t="str">
        <f>IFERROR(__xludf.DUMMYFUNCTION("""COMPUTED_VALUE"""),"M7925125522")</f>
        <v>M7925125522</v>
      </c>
      <c r="I3243" s="35">
        <f>IFERROR(__xludf.DUMMYFUNCTION("""COMPUTED_VALUE"""),47.0)</f>
        <v>47</v>
      </c>
      <c r="J3243" s="35" t="str">
        <f>IFERROR(__xludf.DUMMYFUNCTION("""COMPUTED_VALUE"""),"&gt; 44 tahun")</f>
        <v>&gt; 44 tahun</v>
      </c>
      <c r="K3243" s="35" t="str">
        <f>IFERROR(__xludf.DUMMYFUNCTION("""COMPUTED_VALUE"""),"19/06/1979")</f>
        <v>19/06/1979</v>
      </c>
      <c r="L3243" s="35" t="str">
        <f>IFERROR(__xludf.DUMMYFUNCTION("""COMPUTED_VALUE"""),"LAKI-LAKI")</f>
        <v>LAKI-LAKI</v>
      </c>
      <c r="M3243" s="35" t="str">
        <f>IFERROR(__xludf.DUMMYFUNCTION("""COMPUTED_VALUE"""),"SUPRAPTO 5")</f>
        <v>SUPRAPTO 5</v>
      </c>
      <c r="N3243" s="35" t="str">
        <f>IFERROR(__xludf.DUMMYFUNCTION("""COMPUTED_VALUE"""),"BENUA MELAYU DARAT")</f>
        <v>BENUA MELAYU DARAT</v>
      </c>
      <c r="O3243" s="35" t="str">
        <f>IFERROR(__xludf.DUMMYFUNCTION("""COMPUTED_VALUE"""),"PONTIANAK SELATAN")</f>
        <v>PONTIANAK SELATAN</v>
      </c>
      <c r="P3243" s="35" t="str">
        <f>IFERROR(__xludf.DUMMYFUNCTION("""COMPUTED_VALUE"""),"PONTIANAK")</f>
        <v>PONTIANAK</v>
      </c>
      <c r="Q3243" s="35" t="str">
        <f>IFERROR(__xludf.DUMMYFUNCTION("""COMPUTED_VALUE"""),"KALIMANTAN BARAT")</f>
        <v>KALIMANTAN BARAT</v>
      </c>
      <c r="R3243" s="35" t="str">
        <f>IFERROR(__xludf.DUMMYFUNCTION("""COMPUTED_VALUE"""),"KATOLIK")</f>
        <v>KATOLIK</v>
      </c>
      <c r="S3243" s="74" t="str">
        <f>IFERROR(__xludf.DUMMYFUNCTION("""COMPUTED_VALUE"""),"WIRASWASTA")</f>
        <v>WIRASWASTA</v>
      </c>
      <c r="T3243" s="35" t="str">
        <f>IFERROR(__xludf.DUMMYFUNCTION("""COMPUTED_VALUE"""),"TENNIS ELBOW")</f>
        <v>TENNIS ELBOW</v>
      </c>
      <c r="U3243" s="35" t="str">
        <f>IFERROR(__xludf.DUMMYFUNCTION("""COMPUTED_VALUE"""),"PADEL")</f>
        <v>PADEL</v>
      </c>
      <c r="V3243" s="35" t="str">
        <f>IFERROR(__xludf.DUMMYFUNCTION("""COMPUTED_VALUE"""),"0811575522")</f>
        <v>0811575522</v>
      </c>
      <c r="W3243" s="45"/>
    </row>
    <row r="3244">
      <c r="A3244" s="45"/>
      <c r="B3244" s="35" t="str">
        <f>IFERROR(__xludf.DUMMYFUNCTION("""COMPUTED_VALUE"""),"29/12/2025 12:57:14")</f>
        <v>29/12/2025 12:57:14</v>
      </c>
      <c r="C3244" s="35"/>
      <c r="D3244" s="10">
        <f>IFERROR(__xludf.DUMMYFUNCTION("""COMPUTED_VALUE"""),46020.0)</f>
        <v>46020</v>
      </c>
      <c r="E3244" s="35" t="str">
        <f>IFERROR(__xludf.DUMMYFUNCTION("""COMPUTED_VALUE"""),"12Des")</f>
        <v>12Des</v>
      </c>
      <c r="F3244" s="35" t="str">
        <f>IFERROR(__xludf.DUMMYFUNCTION("""COMPUTED_VALUE"""),"2025")</f>
        <v>2025</v>
      </c>
      <c r="G3244" s="35" t="str">
        <f>IFERROR(__xludf.DUMMYFUNCTION("""COMPUTED_VALUE"""),"CHRISTINA")</f>
        <v>CHRISTINA</v>
      </c>
      <c r="H3244" s="35" t="str">
        <f>IFERROR(__xludf.DUMMYFUNCTION("""COMPUTED_VALUE"""),"C9125120366")</f>
        <v>C9125120366</v>
      </c>
      <c r="I3244" s="35">
        <f>IFERROR(__xludf.DUMMYFUNCTION("""COMPUTED_VALUE"""),35.0)</f>
        <v>35</v>
      </c>
      <c r="J3244" s="35" t="str">
        <f>IFERROR(__xludf.DUMMYFUNCTION("""COMPUTED_VALUE"""),"35-44 tahun")</f>
        <v>35-44 tahun</v>
      </c>
      <c r="K3244" s="35" t="str">
        <f>IFERROR(__xludf.DUMMYFUNCTION("""COMPUTED_VALUE"""),"08/01/1991")</f>
        <v>08/01/1991</v>
      </c>
      <c r="L3244" s="35" t="str">
        <f>IFERROR(__xludf.DUMMYFUNCTION("""COMPUTED_VALUE"""),"PEREMPUAN")</f>
        <v>PEREMPUAN</v>
      </c>
      <c r="M3244" s="35" t="str">
        <f>IFERROR(__xludf.DUMMYFUNCTION("""COMPUTED_VALUE"""),"JL 28 OKTOBER NO 168")</f>
        <v>JL 28 OKTOBER NO 168</v>
      </c>
      <c r="N3244" s="35" t="str">
        <f>IFERROR(__xludf.DUMMYFUNCTION("""COMPUTED_VALUE"""),"SIANTAN HULU")</f>
        <v>SIANTAN HULU</v>
      </c>
      <c r="O3244" s="35" t="str">
        <f>IFERROR(__xludf.DUMMYFUNCTION("""COMPUTED_VALUE"""),"PONTIANAK UTARA")</f>
        <v>PONTIANAK UTARA</v>
      </c>
      <c r="P3244" s="35" t="str">
        <f>IFERROR(__xludf.DUMMYFUNCTION("""COMPUTED_VALUE"""),"KOTA PONTIANAK")</f>
        <v>KOTA PONTIANAK</v>
      </c>
      <c r="Q3244" s="35" t="str">
        <f>IFERROR(__xludf.DUMMYFUNCTION("""COMPUTED_VALUE"""),"KALIMANTAN BARAT")</f>
        <v>KALIMANTAN BARAT</v>
      </c>
      <c r="R3244" s="35" t="str">
        <f>IFERROR(__xludf.DUMMYFUNCTION("""COMPUTED_VALUE"""),"KATOLIK")</f>
        <v>KATOLIK</v>
      </c>
      <c r="S3244" s="74" t="str">
        <f>IFERROR(__xludf.DUMMYFUNCTION("""COMPUTED_VALUE"""),"WIRASWASTA")</f>
        <v>WIRASWASTA</v>
      </c>
      <c r="T3244" s="35" t="str">
        <f>IFERROR(__xludf.DUMMYFUNCTION("""COMPUTED_VALUE"""),"LENGAN")</f>
        <v>LENGAN</v>
      </c>
      <c r="U3244" s="35" t="str">
        <f>IFERROR(__xludf.DUMMYFUNCTION("""COMPUTED_VALUE"""),"TENIS")</f>
        <v>TENIS</v>
      </c>
      <c r="V3244" s="35" t="str">
        <f>IFERROR(__xludf.DUMMYFUNCTION("""COMPUTED_VALUE"""),"081290030366")</f>
        <v>081290030366</v>
      </c>
      <c r="W3244" s="45"/>
    </row>
    <row r="3245">
      <c r="A3245" s="45"/>
      <c r="B3245" s="35" t="str">
        <f>IFERROR(__xludf.DUMMYFUNCTION("""COMPUTED_VALUE"""),"29/12/2025 15:54:27")</f>
        <v>29/12/2025 15:54:27</v>
      </c>
      <c r="C3245" s="35"/>
      <c r="D3245" s="10">
        <f>IFERROR(__xludf.DUMMYFUNCTION("""COMPUTED_VALUE"""),46020.0)</f>
        <v>46020</v>
      </c>
      <c r="E3245" s="35" t="str">
        <f>IFERROR(__xludf.DUMMYFUNCTION("""COMPUTED_VALUE"""),"12Des")</f>
        <v>12Des</v>
      </c>
      <c r="F3245" s="35" t="str">
        <f>IFERROR(__xludf.DUMMYFUNCTION("""COMPUTED_VALUE"""),"2025")</f>
        <v>2025</v>
      </c>
      <c r="G3245" s="35" t="str">
        <f>IFERROR(__xludf.DUMMYFUNCTION("""COMPUTED_VALUE"""),"JOKEND ZAPOTA PUTRA")</f>
        <v>JOKEND ZAPOTA PUTRA</v>
      </c>
      <c r="H3245" s="35" t="str">
        <f>IFERROR(__xludf.DUMMYFUNCTION("""COMPUTED_VALUE"""),"J9425122013")</f>
        <v>J9425122013</v>
      </c>
      <c r="I3245" s="35">
        <f>IFERROR(__xludf.DUMMYFUNCTION("""COMPUTED_VALUE"""),32.0)</f>
        <v>32</v>
      </c>
      <c r="J3245" s="35" t="str">
        <f>IFERROR(__xludf.DUMMYFUNCTION("""COMPUTED_VALUE"""),"25-34 tahun")</f>
        <v>25-34 tahun</v>
      </c>
      <c r="K3245" s="35" t="str">
        <f>IFERROR(__xludf.DUMMYFUNCTION("""COMPUTED_VALUE"""),"09/06/1994")</f>
        <v>09/06/1994</v>
      </c>
      <c r="L3245" s="35" t="str">
        <f>IFERROR(__xludf.DUMMYFUNCTION("""COMPUTED_VALUE"""),"LAKI-LAKI")</f>
        <v>LAKI-LAKI</v>
      </c>
      <c r="M3245" s="35" t="str">
        <f>IFERROR(__xludf.DUMMYFUNCTION("""COMPUTED_VALUE"""),"JLN MERDEKA BODOK")</f>
        <v>JLN MERDEKA BODOK</v>
      </c>
      <c r="N3245" s="35" t="str">
        <f>IFERROR(__xludf.DUMMYFUNCTION("""COMPUTED_VALUE"""),"SERARONG")</f>
        <v>SERARONG</v>
      </c>
      <c r="O3245" s="35" t="str">
        <f>IFERROR(__xludf.DUMMYFUNCTION("""COMPUTED_VALUE"""),"SANGGAU")</f>
        <v>SANGGAU</v>
      </c>
      <c r="P3245" s="35" t="str">
        <f>IFERROR(__xludf.DUMMYFUNCTION("""COMPUTED_VALUE"""),"SANGGAU")</f>
        <v>SANGGAU</v>
      </c>
      <c r="Q3245" s="35" t="str">
        <f>IFERROR(__xludf.DUMMYFUNCTION("""COMPUTED_VALUE"""),"KALIMANTAN BARAT")</f>
        <v>KALIMANTAN BARAT</v>
      </c>
      <c r="R3245" s="35" t="str">
        <f>IFERROR(__xludf.DUMMYFUNCTION("""COMPUTED_VALUE"""),"PROTESTAN")</f>
        <v>PROTESTAN</v>
      </c>
      <c r="S3245" s="74" t="str">
        <f>IFERROR(__xludf.DUMMYFUNCTION("""COMPUTED_VALUE"""),"FINANCE")</f>
        <v>FINANCE</v>
      </c>
      <c r="T3245" s="35" t="str">
        <f>IFERROR(__xludf.DUMMYFUNCTION("""COMPUTED_VALUE"""),"LUTUT KANAN NYERI AFTER PARTY")</f>
        <v>LUTUT KANAN NYERI AFTER PARTY</v>
      </c>
      <c r="U3245" s="35" t="str">
        <f>IFERROR(__xludf.DUMMYFUNCTION("""COMPUTED_VALUE"""),"SPORT")</f>
        <v>SPORT</v>
      </c>
      <c r="V3245" s="35" t="str">
        <f>IFERROR(__xludf.DUMMYFUNCTION("""COMPUTED_VALUE"""),"088221962013")</f>
        <v>088221962013</v>
      </c>
      <c r="W3245" s="45"/>
    </row>
    <row r="3246">
      <c r="A3246" s="45"/>
      <c r="B3246" s="35" t="str">
        <f>IFERROR(__xludf.DUMMYFUNCTION("""COMPUTED_VALUE"""),"29/12/2025 19:36:36")</f>
        <v>29/12/2025 19:36:36</v>
      </c>
      <c r="C3246" s="35"/>
      <c r="D3246" s="10">
        <f>IFERROR(__xludf.DUMMYFUNCTION("""COMPUTED_VALUE"""),46020.0)</f>
        <v>46020</v>
      </c>
      <c r="E3246" s="35" t="str">
        <f>IFERROR(__xludf.DUMMYFUNCTION("""COMPUTED_VALUE"""),"12Des")</f>
        <v>12Des</v>
      </c>
      <c r="F3246" s="35" t="str">
        <f>IFERROR(__xludf.DUMMYFUNCTION("""COMPUTED_VALUE"""),"2025")</f>
        <v>2025</v>
      </c>
      <c r="G3246" s="35" t="str">
        <f>IFERROR(__xludf.DUMMYFUNCTION("""COMPUTED_VALUE"""),"ANDIANA MARJAYANTI")</f>
        <v>ANDIANA MARJAYANTI</v>
      </c>
      <c r="H3246" s="35" t="str">
        <f>IFERROR(__xludf.DUMMYFUNCTION("""COMPUTED_VALUE"""),"A9725127646")</f>
        <v>A9725127646</v>
      </c>
      <c r="I3246" s="35">
        <f>IFERROR(__xludf.DUMMYFUNCTION("""COMPUTED_VALUE"""),29.0)</f>
        <v>29</v>
      </c>
      <c r="J3246" s="35" t="str">
        <f>IFERROR(__xludf.DUMMYFUNCTION("""COMPUTED_VALUE"""),"25-34 tahun")</f>
        <v>25-34 tahun</v>
      </c>
      <c r="K3246" s="35" t="str">
        <f>IFERROR(__xludf.DUMMYFUNCTION("""COMPUTED_VALUE"""),"24/03/1997")</f>
        <v>24/03/1997</v>
      </c>
      <c r="L3246" s="35" t="str">
        <f>IFERROR(__xludf.DUMMYFUNCTION("""COMPUTED_VALUE"""),"PEREMPUAN")</f>
        <v>PEREMPUAN</v>
      </c>
      <c r="M3246" s="35" t="str">
        <f>IFERROR(__xludf.DUMMYFUNCTION("""COMPUTED_VALUE"""),"JL. SEI RAYA DALAM, KOM TM SEI RAYA BLOK C.7")</f>
        <v>JL. SEI RAYA DALAM, KOM TM SEI RAYA BLOK C.7</v>
      </c>
      <c r="N3246" s="35" t="str">
        <f>IFERROR(__xludf.DUMMYFUNCTION("""COMPUTED_VALUE"""),"SUNGAI RAYA DALAM")</f>
        <v>SUNGAI RAYA DALAM</v>
      </c>
      <c r="O3246" s="35" t="str">
        <f>IFERROR(__xludf.DUMMYFUNCTION("""COMPUTED_VALUE"""),"SUNGAI RAYA")</f>
        <v>SUNGAI RAYA</v>
      </c>
      <c r="P3246" s="35" t="str">
        <f>IFERROR(__xludf.DUMMYFUNCTION("""COMPUTED_VALUE"""),"KUBU RAYA")</f>
        <v>KUBU RAYA</v>
      </c>
      <c r="Q3246" s="35" t="str">
        <f>IFERROR(__xludf.DUMMYFUNCTION("""COMPUTED_VALUE"""),"KALIMANTAN BARAT")</f>
        <v>KALIMANTAN BARAT</v>
      </c>
      <c r="R3246" s="35" t="str">
        <f>IFERROR(__xludf.DUMMYFUNCTION("""COMPUTED_VALUE"""),"ISLAM")</f>
        <v>ISLAM</v>
      </c>
      <c r="S3246" s="74" t="str">
        <f>IFERROR(__xludf.DUMMYFUNCTION("""COMPUTED_VALUE"""),"PEGAWAI SWASTA")</f>
        <v>PEGAWAI SWASTA</v>
      </c>
      <c r="T3246" s="35" t="str">
        <f>IFERROR(__xludf.DUMMYFUNCTION("""COMPUTED_VALUE"""),"PINGGANG BAGIAN BAWAH SAYA SUKA SAKIT SEMENJAK PERNAH JATUH KE DUDUK SAAT MAIN ICE SKATING. AKHIR² INI MAKIN SERING TERASANYA")</f>
        <v>PINGGANG BAGIAN BAWAH SAYA SUKA SAKIT SEMENJAK PERNAH JATUH KE DUDUK SAAT MAIN ICE SKATING. AKHIR² INI MAKIN SERING TERASANYA</v>
      </c>
      <c r="U3246" s="35" t="str">
        <f>IFERROR(__xludf.DUMMYFUNCTION("""COMPUTED_VALUE"""),"JATUH SAAT MAIN ICE SKATING")</f>
        <v>JATUH SAAT MAIN ICE SKATING</v>
      </c>
      <c r="V3246" s="35" t="str">
        <f>IFERROR(__xludf.DUMMYFUNCTION("""COMPUTED_VALUE"""),"082158557646")</f>
        <v>082158557646</v>
      </c>
      <c r="W3246" s="45"/>
    </row>
    <row r="3247">
      <c r="A3247" s="45"/>
      <c r="B3247" s="35" t="str">
        <f>IFERROR(__xludf.DUMMYFUNCTION("""COMPUTED_VALUE"""),"02/01/2026 21:47:03")</f>
        <v>02/01/2026 21:47:03</v>
      </c>
      <c r="C3247" s="35"/>
      <c r="D3247" s="10">
        <f>IFERROR(__xludf.DUMMYFUNCTION("""COMPUTED_VALUE"""),46025.0)</f>
        <v>46025</v>
      </c>
      <c r="E3247" s="35" t="str">
        <f>IFERROR(__xludf.DUMMYFUNCTION("""COMPUTED_VALUE"""),"01Jan")</f>
        <v>01Jan</v>
      </c>
      <c r="F3247" s="35" t="str">
        <f>IFERROR(__xludf.DUMMYFUNCTION("""COMPUTED_VALUE"""),"2026")</f>
        <v>2026</v>
      </c>
      <c r="G3247" s="35" t="str">
        <f>IFERROR(__xludf.DUMMYFUNCTION("""COMPUTED_VALUE"""),"PUTERA ANUGRAH PRATAMA")</f>
        <v>PUTERA ANUGRAH PRATAMA</v>
      </c>
      <c r="H3247" s="35" t="str">
        <f>IFERROR(__xludf.DUMMYFUNCTION("""COMPUTED_VALUE"""),"P0126012885")</f>
        <v>P0126012885</v>
      </c>
      <c r="I3247" s="35">
        <f>IFERROR(__xludf.DUMMYFUNCTION("""COMPUTED_VALUE"""),25.0)</f>
        <v>25</v>
      </c>
      <c r="J3247" s="35" t="str">
        <f>IFERROR(__xludf.DUMMYFUNCTION("""COMPUTED_VALUE"""),"25-34 tahun")</f>
        <v>25-34 tahun</v>
      </c>
      <c r="K3247" s="35" t="str">
        <f>IFERROR(__xludf.DUMMYFUNCTION("""COMPUTED_VALUE"""),"27/01/2001")</f>
        <v>27/01/2001</v>
      </c>
      <c r="L3247" s="35" t="str">
        <f>IFERROR(__xludf.DUMMYFUNCTION("""COMPUTED_VALUE"""),"LAKI-LAKI")</f>
        <v>LAKI-LAKI</v>
      </c>
      <c r="M3247" s="35" t="str">
        <f>IFERROR(__xludf.DUMMYFUNCTION("""COMPUTED_VALUE"""),"JL. SEI RAYA DALAM, KOM TM SEI RAYA BLOK C.7")</f>
        <v>JL. SEI RAYA DALAM, KOM TM SEI RAYA BLOK C.7</v>
      </c>
      <c r="N3247" s="35" t="str">
        <f>IFERROR(__xludf.DUMMYFUNCTION("""COMPUTED_VALUE"""),"BANGKA BELITUNG DARAT")</f>
        <v>BANGKA BELITUNG DARAT</v>
      </c>
      <c r="O3247" s="35" t="str">
        <f>IFERROR(__xludf.DUMMYFUNCTION("""COMPUTED_VALUE"""),"PONTIANAK TENGGARA")</f>
        <v>PONTIANAK TENGGARA</v>
      </c>
      <c r="P3247" s="35" t="str">
        <f>IFERROR(__xludf.DUMMYFUNCTION("""COMPUTED_VALUE"""),"PONTIANAK")</f>
        <v>PONTIANAK</v>
      </c>
      <c r="Q3247" s="35" t="str">
        <f>IFERROR(__xludf.DUMMYFUNCTION("""COMPUTED_VALUE"""),"KALIMANTAN BARAT")</f>
        <v>KALIMANTAN BARAT</v>
      </c>
      <c r="R3247" s="35" t="str">
        <f>IFERROR(__xludf.DUMMYFUNCTION("""COMPUTED_VALUE"""),"ISLAM")</f>
        <v>ISLAM</v>
      </c>
      <c r="S3247" s="74" t="str">
        <f>IFERROR(__xludf.DUMMYFUNCTION("""COMPUTED_VALUE"""),"MAHASISWA")</f>
        <v>MAHASISWA</v>
      </c>
      <c r="T3247" s="35" t="str">
        <f>IFERROR(__xludf.DUMMYFUNCTION("""COMPUTED_VALUE"""),"LUTUT SEBELAH KIRI")</f>
        <v>LUTUT SEBELAH KIRI</v>
      </c>
      <c r="U3247" s="35" t="str">
        <f>IFERROR(__xludf.DUMMYFUNCTION("""COMPUTED_VALUE"""),"JARANG BERAKTIVITASY")</f>
        <v>JARANG BERAKTIVITASY</v>
      </c>
      <c r="V3247" s="35" t="str">
        <f>IFERROR(__xludf.DUMMYFUNCTION("""COMPUTED_VALUE"""),"085820002885")</f>
        <v>085820002885</v>
      </c>
      <c r="W3247" s="45"/>
    </row>
    <row r="3248">
      <c r="A3248" s="45"/>
      <c r="B3248" s="35" t="str">
        <f>IFERROR(__xludf.DUMMYFUNCTION("""COMPUTED_VALUE"""),"03/01/2026 9:05:17")</f>
        <v>03/01/2026 9:05:17</v>
      </c>
      <c r="C3248" s="35"/>
      <c r="D3248" s="10">
        <f>IFERROR(__xludf.DUMMYFUNCTION("""COMPUTED_VALUE"""),46025.0)</f>
        <v>46025</v>
      </c>
      <c r="E3248" s="35" t="str">
        <f>IFERROR(__xludf.DUMMYFUNCTION("""COMPUTED_VALUE"""),"01Jan")</f>
        <v>01Jan</v>
      </c>
      <c r="F3248" s="35" t="str">
        <f>IFERROR(__xludf.DUMMYFUNCTION("""COMPUTED_VALUE"""),"2026")</f>
        <v>2026</v>
      </c>
      <c r="G3248" s="35" t="str">
        <f>IFERROR(__xludf.DUMMYFUNCTION("""COMPUTED_VALUE"""),"ATHA HANIF PRADIPTA")</f>
        <v>ATHA HANIF PRADIPTA</v>
      </c>
      <c r="H3248" s="35" t="str">
        <f>IFERROR(__xludf.DUMMYFUNCTION("""COMPUTED_VALUE"""),"A1926011979")</f>
        <v>A1926011979</v>
      </c>
      <c r="I3248" s="35">
        <f>IFERROR(__xludf.DUMMYFUNCTION("""COMPUTED_VALUE"""),6.0)</f>
        <v>6</v>
      </c>
      <c r="J3248" s="35" t="str">
        <f>IFERROR(__xludf.DUMMYFUNCTION("""COMPUTED_VALUE"""),"&lt; 18 tahun")</f>
        <v>&lt; 18 tahun</v>
      </c>
      <c r="K3248" s="35" t="str">
        <f>IFERROR(__xludf.DUMMYFUNCTION("""COMPUTED_VALUE"""),"21/12/2019")</f>
        <v>21/12/2019</v>
      </c>
      <c r="L3248" s="35" t="str">
        <f>IFERROR(__xludf.DUMMYFUNCTION("""COMPUTED_VALUE"""),"LAKI-LAKI")</f>
        <v>LAKI-LAKI</v>
      </c>
      <c r="M3248" s="35" t="str">
        <f>IFERROR(__xludf.DUMMYFUNCTION("""COMPUTED_VALUE"""),"JL. DR. WAHIDIN GG. SEPAKAT 4 NO 6")</f>
        <v>JL. DR. WAHIDIN GG. SEPAKAT 4 NO 6</v>
      </c>
      <c r="N3248" s="35" t="str">
        <f>IFERROR(__xludf.DUMMYFUNCTION("""COMPUTED_VALUE"""),"SUNGAI JAWI")</f>
        <v>SUNGAI JAWI</v>
      </c>
      <c r="O3248" s="35" t="str">
        <f>IFERROR(__xludf.DUMMYFUNCTION("""COMPUTED_VALUE"""),"PONTIANAK KOTA")</f>
        <v>PONTIANAK KOTA</v>
      </c>
      <c r="P3248" s="35" t="str">
        <f>IFERROR(__xludf.DUMMYFUNCTION("""COMPUTED_VALUE"""),"PONTIANAK")</f>
        <v>PONTIANAK</v>
      </c>
      <c r="Q3248" s="35" t="str">
        <f>IFERROR(__xludf.DUMMYFUNCTION("""COMPUTED_VALUE"""),"KALIMANTAN BARAT")</f>
        <v>KALIMANTAN BARAT</v>
      </c>
      <c r="R3248" s="35" t="str">
        <f>IFERROR(__xludf.DUMMYFUNCTION("""COMPUTED_VALUE"""),"ISLAM")</f>
        <v>ISLAM</v>
      </c>
      <c r="S3248" s="74" t="str">
        <f>IFERROR(__xludf.DUMMYFUNCTION("""COMPUTED_VALUE"""),"PELAJAR")</f>
        <v>PELAJAR</v>
      </c>
      <c r="T3248" s="35" t="str">
        <f>IFERROR(__xludf.DUMMYFUNCTION("""COMPUTED_VALUE"""),"PUNGGUNG TIDAK SEIMBANG KIRI DAN KANAN")</f>
        <v>PUNGGUNG TIDAK SEIMBANG KIRI DAN KANAN</v>
      </c>
      <c r="U3248" s="35" t="str">
        <f>IFERROR(__xludf.DUMMYFUNCTION("""COMPUTED_VALUE"""),"-")</f>
        <v>-</v>
      </c>
      <c r="V3248" s="35" t="str">
        <f>IFERROR(__xludf.DUMMYFUNCTION("""COMPUTED_VALUE"""),"085797191979")</f>
        <v>085797191979</v>
      </c>
      <c r="W3248" s="45"/>
    </row>
    <row r="3249">
      <c r="A3249" s="45"/>
      <c r="B3249" s="35" t="str">
        <f>IFERROR(__xludf.DUMMYFUNCTION("""COMPUTED_VALUE"""),"03/01/2026 9:30:23")</f>
        <v>03/01/2026 9:30:23</v>
      </c>
      <c r="C3249" s="35"/>
      <c r="D3249" s="10">
        <f>IFERROR(__xludf.DUMMYFUNCTION("""COMPUTED_VALUE"""),46025.0)</f>
        <v>46025</v>
      </c>
      <c r="E3249" s="35" t="str">
        <f>IFERROR(__xludf.DUMMYFUNCTION("""COMPUTED_VALUE"""),"01Jan")</f>
        <v>01Jan</v>
      </c>
      <c r="F3249" s="35" t="str">
        <f>IFERROR(__xludf.DUMMYFUNCTION("""COMPUTED_VALUE"""),"2026")</f>
        <v>2026</v>
      </c>
      <c r="G3249" s="35" t="str">
        <f>IFERROR(__xludf.DUMMYFUNCTION("""COMPUTED_VALUE"""),"EMMA")</f>
        <v>EMMA</v>
      </c>
      <c r="H3249" s="35" t="str">
        <f>IFERROR(__xludf.DUMMYFUNCTION("""COMPUTED_VALUE"""),"E6526011717")</f>
        <v>E6526011717</v>
      </c>
      <c r="I3249" s="35">
        <f>IFERROR(__xludf.DUMMYFUNCTION("""COMPUTED_VALUE"""),60.0)</f>
        <v>60</v>
      </c>
      <c r="J3249" s="35" t="str">
        <f>IFERROR(__xludf.DUMMYFUNCTION("""COMPUTED_VALUE"""),"&gt; 44 tahun")</f>
        <v>&gt; 44 tahun</v>
      </c>
      <c r="K3249" s="35" t="str">
        <f>IFERROR(__xludf.DUMMYFUNCTION("""COMPUTED_VALUE"""),"31/08/1965")</f>
        <v>31/08/1965</v>
      </c>
      <c r="L3249" s="35" t="str">
        <f>IFERROR(__xludf.DUMMYFUNCTION("""COMPUTED_VALUE"""),"PEREMPUAN")</f>
        <v>PEREMPUAN</v>
      </c>
      <c r="M3249" s="35" t="str">
        <f>IFERROR(__xludf.DUMMYFUNCTION("""COMPUTED_VALUE"""),"BANUA TENGAH")</f>
        <v>BANUA TENGAH</v>
      </c>
      <c r="N3249" s="35" t="str">
        <f>IFERROR(__xludf.DUMMYFUNCTION("""COMPUTED_VALUE"""),"BANUA TANGA")</f>
        <v>BANUA TANGA</v>
      </c>
      <c r="O3249" s="35" t="str">
        <f>IFERROR(__xludf.DUMMYFUNCTION("""COMPUTED_VALUE"""),"PUTUSSIBAU UTARA")</f>
        <v>PUTUSSIBAU UTARA</v>
      </c>
      <c r="P3249" s="35" t="str">
        <f>IFERROR(__xludf.DUMMYFUNCTION("""COMPUTED_VALUE"""),"KAPUAS HULU")</f>
        <v>KAPUAS HULU</v>
      </c>
      <c r="Q3249" s="35" t="str">
        <f>IFERROR(__xludf.DUMMYFUNCTION("""COMPUTED_VALUE"""),"KALIMANTAN BARAT")</f>
        <v>KALIMANTAN BARAT</v>
      </c>
      <c r="R3249" s="35" t="str">
        <f>IFERROR(__xludf.DUMMYFUNCTION("""COMPUTED_VALUE"""),"KATOLIK")</f>
        <v>KATOLIK</v>
      </c>
      <c r="S3249" s="74" t="str">
        <f>IFERROR(__xludf.DUMMYFUNCTION("""COMPUTED_VALUE"""),"PENSIUNAN PNS")</f>
        <v>PENSIUNAN PNS</v>
      </c>
      <c r="T3249" s="35" t="str">
        <f>IFERROR(__xludf.DUMMYFUNCTION("""COMPUTED_VALUE"""),"SAKIT DI BAGIAN BETIS DAN SERING KESEMUTAN ")</f>
        <v>SAKIT DI BAGIAN BETIS DAN SERING KESEMUTAN </v>
      </c>
      <c r="U3249" s="35" t="str">
        <f>IFERROR(__xludf.DUMMYFUNCTION("""COMPUTED_VALUE"""),"BERKEBUN")</f>
        <v>BERKEBUN</v>
      </c>
      <c r="V3249" s="35" t="str">
        <f>IFERROR(__xludf.DUMMYFUNCTION("""COMPUTED_VALUE"""),"082139741717")</f>
        <v>082139741717</v>
      </c>
      <c r="W3249" s="45"/>
    </row>
    <row r="3250">
      <c r="A3250" s="45"/>
      <c r="B3250" s="35" t="str">
        <f>IFERROR(__xludf.DUMMYFUNCTION("""COMPUTED_VALUE"""),"03/01/2026 9:33:46")</f>
        <v>03/01/2026 9:33:46</v>
      </c>
      <c r="C3250" s="35"/>
      <c r="D3250" s="10">
        <f>IFERROR(__xludf.DUMMYFUNCTION("""COMPUTED_VALUE"""),46025.0)</f>
        <v>46025</v>
      </c>
      <c r="E3250" s="35" t="str">
        <f>IFERROR(__xludf.DUMMYFUNCTION("""COMPUTED_VALUE"""),"01Jan")</f>
        <v>01Jan</v>
      </c>
      <c r="F3250" s="35" t="str">
        <f>IFERROR(__xludf.DUMMYFUNCTION("""COMPUTED_VALUE"""),"2026")</f>
        <v>2026</v>
      </c>
      <c r="G3250" s="35" t="str">
        <f>IFERROR(__xludf.DUMMYFUNCTION("""COMPUTED_VALUE"""),"KOLENIUS KOLAI")</f>
        <v>KOLENIUS KOLAI</v>
      </c>
      <c r="H3250" s="35" t="str">
        <f>IFERROR(__xludf.DUMMYFUNCTION("""COMPUTED_VALUE"""),"K6226011717")</f>
        <v>K6226011717</v>
      </c>
      <c r="I3250" s="35">
        <f>IFERROR(__xludf.DUMMYFUNCTION("""COMPUTED_VALUE"""),64.0)</f>
        <v>64</v>
      </c>
      <c r="J3250" s="35" t="str">
        <f>IFERROR(__xludf.DUMMYFUNCTION("""COMPUTED_VALUE"""),"&gt; 44 tahun")</f>
        <v>&gt; 44 tahun</v>
      </c>
      <c r="K3250" s="35" t="str">
        <f>IFERROR(__xludf.DUMMYFUNCTION("""COMPUTED_VALUE"""),"05/03/1962")</f>
        <v>05/03/1962</v>
      </c>
      <c r="L3250" s="35" t="str">
        <f>IFERROR(__xludf.DUMMYFUNCTION("""COMPUTED_VALUE"""),"LAKI-LAKI")</f>
        <v>LAKI-LAKI</v>
      </c>
      <c r="M3250" s="35" t="str">
        <f>IFERROR(__xludf.DUMMYFUNCTION("""COMPUTED_VALUE"""),"BANUA TENGAH")</f>
        <v>BANUA TENGAH</v>
      </c>
      <c r="N3250" s="35" t="str">
        <f>IFERROR(__xludf.DUMMYFUNCTION("""COMPUTED_VALUE"""),"BANUA TANGA")</f>
        <v>BANUA TANGA</v>
      </c>
      <c r="O3250" s="35" t="str">
        <f>IFERROR(__xludf.DUMMYFUNCTION("""COMPUTED_VALUE"""),"PUTUSSIBAU UTARA")</f>
        <v>PUTUSSIBAU UTARA</v>
      </c>
      <c r="P3250" s="35" t="str">
        <f>IFERROR(__xludf.DUMMYFUNCTION("""COMPUTED_VALUE"""),"KAPUAS HULU")</f>
        <v>KAPUAS HULU</v>
      </c>
      <c r="Q3250" s="35" t="str">
        <f>IFERROR(__xludf.DUMMYFUNCTION("""COMPUTED_VALUE"""),"KALIMANTAN BARAT")</f>
        <v>KALIMANTAN BARAT</v>
      </c>
      <c r="R3250" s="35" t="str">
        <f>IFERROR(__xludf.DUMMYFUNCTION("""COMPUTED_VALUE"""),"KATOLIK")</f>
        <v>KATOLIK</v>
      </c>
      <c r="S3250" s="74" t="str">
        <f>IFERROR(__xludf.DUMMYFUNCTION("""COMPUTED_VALUE"""),"PENISUNAN PNS")</f>
        <v>PENISUNAN PNS</v>
      </c>
      <c r="T3250" s="35" t="str">
        <f>IFERROR(__xludf.DUMMYFUNCTION("""COMPUTED_VALUE"""),"SAKIT BAGIAN PINGGANG, NYERI SENDI DAN SAKIT BAGIAN LUTUT")</f>
        <v>SAKIT BAGIAN PINGGANG, NYERI SENDI DAN SAKIT BAGIAN LUTUT</v>
      </c>
      <c r="U3250" s="35" t="str">
        <f>IFERROR(__xludf.DUMMYFUNCTION("""COMPUTED_VALUE"""),"BERKEBUN")</f>
        <v>BERKEBUN</v>
      </c>
      <c r="V3250" s="35" t="str">
        <f>IFERROR(__xludf.DUMMYFUNCTION("""COMPUTED_VALUE"""),"082139741717")</f>
        <v>082139741717</v>
      </c>
      <c r="W3250" s="45"/>
    </row>
    <row r="3251">
      <c r="A3251" s="45"/>
      <c r="B3251" s="35" t="str">
        <f>IFERROR(__xludf.DUMMYFUNCTION("""COMPUTED_VALUE"""),"03/01/2026 9:49:27")</f>
        <v>03/01/2026 9:49:27</v>
      </c>
      <c r="C3251" s="35"/>
      <c r="D3251" s="10">
        <f>IFERROR(__xludf.DUMMYFUNCTION("""COMPUTED_VALUE"""),46025.0)</f>
        <v>46025</v>
      </c>
      <c r="E3251" s="35" t="str">
        <f>IFERROR(__xludf.DUMMYFUNCTION("""COMPUTED_VALUE"""),"01Jan")</f>
        <v>01Jan</v>
      </c>
      <c r="F3251" s="35" t="str">
        <f>IFERROR(__xludf.DUMMYFUNCTION("""COMPUTED_VALUE"""),"2026")</f>
        <v>2026</v>
      </c>
      <c r="G3251" s="35" t="str">
        <f>IFERROR(__xludf.DUMMYFUNCTION("""COMPUTED_VALUE"""),"SUGIH WIRAMANTRI ")</f>
        <v>SUGIH WIRAMANTRI </v>
      </c>
      <c r="H3251" s="35" t="str">
        <f>IFERROR(__xludf.DUMMYFUNCTION("""COMPUTED_VALUE"""),"S8526016484")</f>
        <v>S8526016484</v>
      </c>
      <c r="I3251" s="35">
        <f>IFERROR(__xludf.DUMMYFUNCTION("""COMPUTED_VALUE"""),41.0)</f>
        <v>41</v>
      </c>
      <c r="J3251" s="35" t="str">
        <f>IFERROR(__xludf.DUMMYFUNCTION("""COMPUTED_VALUE"""),"35-44 tahun")</f>
        <v>35-44 tahun</v>
      </c>
      <c r="K3251" s="35" t="str">
        <f>IFERROR(__xludf.DUMMYFUNCTION("""COMPUTED_VALUE"""),"23/02/1985")</f>
        <v>23/02/1985</v>
      </c>
      <c r="L3251" s="35" t="str">
        <f>IFERROR(__xludf.DUMMYFUNCTION("""COMPUTED_VALUE"""),"LAKI-LAKI")</f>
        <v>LAKI-LAKI</v>
      </c>
      <c r="M3251" s="35" t="str">
        <f>IFERROR(__xludf.DUMMYFUNCTION("""COMPUTED_VALUE"""),"KOMYOS SUDARSO GANG SUKAMAJU DALAM 3 ")</f>
        <v>KOMYOS SUDARSO GANG SUKAMAJU DALAM 3 </v>
      </c>
      <c r="N3251" s="35" t="str">
        <f>IFERROR(__xludf.DUMMYFUNCTION("""COMPUTED_VALUE"""),"SUNGAI JAWI DALAM")</f>
        <v>SUNGAI JAWI DALAM</v>
      </c>
      <c r="O3251" s="35" t="str">
        <f>IFERROR(__xludf.DUMMYFUNCTION("""COMPUTED_VALUE"""),"PONTIANAK BARAT ")</f>
        <v>PONTIANAK BARAT </v>
      </c>
      <c r="P3251" s="35" t="str">
        <f>IFERROR(__xludf.DUMMYFUNCTION("""COMPUTED_VALUE"""),"PONTIANAK ")</f>
        <v>PONTIANAK </v>
      </c>
      <c r="Q3251" s="35" t="str">
        <f>IFERROR(__xludf.DUMMYFUNCTION("""COMPUTED_VALUE"""),"KALBAR ")</f>
        <v>KALBAR </v>
      </c>
      <c r="R3251" s="35" t="str">
        <f>IFERROR(__xludf.DUMMYFUNCTION("""COMPUTED_VALUE"""),"ISLAM")</f>
        <v>ISLAM</v>
      </c>
      <c r="S3251" s="74" t="str">
        <f>IFERROR(__xludf.DUMMYFUNCTION("""COMPUTED_VALUE"""),"SWASTA ")</f>
        <v>SWASTA </v>
      </c>
      <c r="T3251" s="35" t="str">
        <f>IFERROR(__xludf.DUMMYFUNCTION("""COMPUTED_VALUE"""),"SALAH URAT BETIS ")</f>
        <v>SALAH URAT BETIS </v>
      </c>
      <c r="U3251" s="35" t="str">
        <f>IFERROR(__xludf.DUMMYFUNCTION("""COMPUTED_VALUE"""),"JOGGING ")</f>
        <v>JOGGING </v>
      </c>
      <c r="V3251" s="35" t="str">
        <f>IFERROR(__xludf.DUMMYFUNCTION("""COMPUTED_VALUE"""),"082154446484")</f>
        <v>082154446484</v>
      </c>
      <c r="W3251" s="45"/>
    </row>
    <row r="3252">
      <c r="A3252" s="45"/>
      <c r="B3252" s="35" t="str">
        <f>IFERROR(__xludf.DUMMYFUNCTION("""COMPUTED_VALUE"""),"03/01/2026 10:54:46")</f>
        <v>03/01/2026 10:54:46</v>
      </c>
      <c r="C3252" s="35"/>
      <c r="D3252" s="10">
        <f>IFERROR(__xludf.DUMMYFUNCTION("""COMPUTED_VALUE"""),46025.0)</f>
        <v>46025</v>
      </c>
      <c r="E3252" s="35" t="str">
        <f>IFERROR(__xludf.DUMMYFUNCTION("""COMPUTED_VALUE"""),"01Jan")</f>
        <v>01Jan</v>
      </c>
      <c r="F3252" s="35" t="str">
        <f>IFERROR(__xludf.DUMMYFUNCTION("""COMPUTED_VALUE"""),"2026")</f>
        <v>2026</v>
      </c>
      <c r="G3252" s="35" t="str">
        <f>IFERROR(__xludf.DUMMYFUNCTION("""COMPUTED_VALUE"""),"TAUFIK")</f>
        <v>TAUFIK</v>
      </c>
      <c r="H3252" s="35" t="str">
        <f>IFERROR(__xludf.DUMMYFUNCTION("""COMPUTED_VALUE"""),"T9626011444")</f>
        <v>T9626011444</v>
      </c>
      <c r="I3252" s="35">
        <f>IFERROR(__xludf.DUMMYFUNCTION("""COMPUTED_VALUE"""),30.0)</f>
        <v>30</v>
      </c>
      <c r="J3252" s="35" t="str">
        <f>IFERROR(__xludf.DUMMYFUNCTION("""COMPUTED_VALUE"""),"25-34 tahun")</f>
        <v>25-34 tahun</v>
      </c>
      <c r="K3252" s="35" t="str">
        <f>IFERROR(__xludf.DUMMYFUNCTION("""COMPUTED_VALUE"""),"23/05/1996")</f>
        <v>23/05/1996</v>
      </c>
      <c r="L3252" s="35" t="str">
        <f>IFERROR(__xludf.DUMMYFUNCTION("""COMPUTED_VALUE"""),"LAKI-LAKI")</f>
        <v>LAKI-LAKI</v>
      </c>
      <c r="M3252" s="35" t="str">
        <f>IFERROR(__xludf.DUMMYFUNCTION("""COMPUTED_VALUE"""),"JL KEBON PALA 1 NO 4")</f>
        <v>JL KEBON PALA 1 NO 4</v>
      </c>
      <c r="N3252" s="35" t="str">
        <f>IFERROR(__xludf.DUMMYFUNCTION("""COMPUTED_VALUE"""),"KEBON MELATI")</f>
        <v>KEBON MELATI</v>
      </c>
      <c r="O3252" s="35" t="str">
        <f>IFERROR(__xludf.DUMMYFUNCTION("""COMPUTED_VALUE"""),"TANAH ABANG")</f>
        <v>TANAH ABANG</v>
      </c>
      <c r="P3252" s="35" t="str">
        <f>IFERROR(__xludf.DUMMYFUNCTION("""COMPUTED_VALUE"""),"JAKARTA PUSAT")</f>
        <v>JAKARTA PUSAT</v>
      </c>
      <c r="Q3252" s="35" t="str">
        <f>IFERROR(__xludf.DUMMYFUNCTION("""COMPUTED_VALUE"""),"DKI JAKARTA")</f>
        <v>DKI JAKARTA</v>
      </c>
      <c r="R3252" s="35" t="str">
        <f>IFERROR(__xludf.DUMMYFUNCTION("""COMPUTED_VALUE"""),"ISLAM")</f>
        <v>ISLAM</v>
      </c>
      <c r="S3252" s="74" t="str">
        <f>IFERROR(__xludf.DUMMYFUNCTION("""COMPUTED_VALUE"""),"KARYAWAN SWASTA")</f>
        <v>KARYAWAN SWASTA</v>
      </c>
      <c r="T3252" s="35" t="str">
        <f>IFERROR(__xludf.DUMMYFUNCTION("""COMPUTED_VALUE"""),"-")</f>
        <v>-</v>
      </c>
      <c r="U3252" s="35" t="str">
        <f>IFERROR(__xludf.DUMMYFUNCTION("""COMPUTED_VALUE"""),"-")</f>
        <v>-</v>
      </c>
      <c r="V3252" s="35" t="str">
        <f>IFERROR(__xludf.DUMMYFUNCTION("""COMPUTED_VALUE"""),"085292011444")</f>
        <v>085292011444</v>
      </c>
      <c r="W3252" s="45"/>
    </row>
    <row r="3253">
      <c r="A3253" s="45"/>
      <c r="B3253" s="35" t="str">
        <f>IFERROR(__xludf.DUMMYFUNCTION("""COMPUTED_VALUE"""),"03/01/2026 11:37:00")</f>
        <v>03/01/2026 11:37:00</v>
      </c>
      <c r="C3253" s="35"/>
      <c r="D3253" s="10">
        <f>IFERROR(__xludf.DUMMYFUNCTION("""COMPUTED_VALUE"""),46025.0)</f>
        <v>46025</v>
      </c>
      <c r="E3253" s="35" t="str">
        <f>IFERROR(__xludf.DUMMYFUNCTION("""COMPUTED_VALUE"""),"01Jan")</f>
        <v>01Jan</v>
      </c>
      <c r="F3253" s="35" t="str">
        <f>IFERROR(__xludf.DUMMYFUNCTION("""COMPUTED_VALUE"""),"2026")</f>
        <v>2026</v>
      </c>
      <c r="G3253" s="35" t="str">
        <f>IFERROR(__xludf.DUMMYFUNCTION("""COMPUTED_VALUE"""),"SHELSY MELANY")</f>
        <v>SHELSY MELANY</v>
      </c>
      <c r="H3253" s="35" t="str">
        <f>IFERROR(__xludf.DUMMYFUNCTION("""COMPUTED_VALUE"""),"S0826017788")</f>
        <v>S0826017788</v>
      </c>
      <c r="I3253" s="35">
        <f>IFERROR(__xludf.DUMMYFUNCTION("""COMPUTED_VALUE"""),18.0)</f>
        <v>18</v>
      </c>
      <c r="J3253" s="35" t="str">
        <f>IFERROR(__xludf.DUMMYFUNCTION("""COMPUTED_VALUE"""),"&lt; 18 tahun")</f>
        <v>&lt; 18 tahun</v>
      </c>
      <c r="K3253" s="35" t="str">
        <f>IFERROR(__xludf.DUMMYFUNCTION("""COMPUTED_VALUE"""),"13/05/2008")</f>
        <v>13/05/2008</v>
      </c>
      <c r="L3253" s="35" t="str">
        <f>IFERROR(__xludf.DUMMYFUNCTION("""COMPUTED_VALUE"""),"PEREMPUAN")</f>
        <v>PEREMPUAN</v>
      </c>
      <c r="M3253" s="35" t="str">
        <f>IFERROR(__xludf.DUMMYFUNCTION("""COMPUTED_VALUE"""),"JL.SEJARAH GG.GUNUNG MALABAR 1 NO.9A")</f>
        <v>JL.SEJARAH GG.GUNUNG MALABAR 1 NO.9A</v>
      </c>
      <c r="N3253" s="35" t="str">
        <f>IFERROR(__xludf.DUMMYFUNCTION("""COMPUTED_VALUE"""),"SUNGAI JAWI")</f>
        <v>SUNGAI JAWI</v>
      </c>
      <c r="O3253" s="35" t="str">
        <f>IFERROR(__xludf.DUMMYFUNCTION("""COMPUTED_VALUE"""),"PONTIANAK KOTA ")</f>
        <v>PONTIANAK KOTA </v>
      </c>
      <c r="P3253" s="35" t="str">
        <f>IFERROR(__xludf.DUMMYFUNCTION("""COMPUTED_VALUE"""),"KOTA PONTIANAK")</f>
        <v>KOTA PONTIANAK</v>
      </c>
      <c r="Q3253" s="35" t="str">
        <f>IFERROR(__xludf.DUMMYFUNCTION("""COMPUTED_VALUE"""),"KALIMANTAN BARAT")</f>
        <v>KALIMANTAN BARAT</v>
      </c>
      <c r="R3253" s="35" t="str">
        <f>IFERROR(__xludf.DUMMYFUNCTION("""COMPUTED_VALUE"""),"ISLAM")</f>
        <v>ISLAM</v>
      </c>
      <c r="S3253" s="74" t="str">
        <f>IFERROR(__xludf.DUMMYFUNCTION("""COMPUTED_VALUE"""),"PELAJAR")</f>
        <v>PELAJAR</v>
      </c>
      <c r="T3253" s="35" t="str">
        <f>IFERROR(__xludf.DUMMYFUNCTION("""COMPUTED_VALUE"""),"CIDERA PADA LUTUT KANAN DIKARENAKAN PERLOMBAAN BADMINTON ")</f>
        <v>CIDERA PADA LUTUT KANAN DIKARENAKAN PERLOMBAAN BADMINTON </v>
      </c>
      <c r="U3253" s="35" t="str">
        <f>IFERROR(__xludf.DUMMYFUNCTION("""COMPUTED_VALUE"""),"ALTET BADMINTON")</f>
        <v>ALTET BADMINTON</v>
      </c>
      <c r="V3253" s="35" t="str">
        <f>IFERROR(__xludf.DUMMYFUNCTION("""COMPUTED_VALUE"""),"085252667788")</f>
        <v>085252667788</v>
      </c>
      <c r="W3253" s="45"/>
    </row>
    <row r="3254">
      <c r="A3254" s="45"/>
      <c r="B3254" s="35" t="str">
        <f>IFERROR(__xludf.DUMMYFUNCTION("""COMPUTED_VALUE"""),"03/01/2026 11:14:26")</f>
        <v>03/01/2026 11:14:26</v>
      </c>
      <c r="C3254" s="35"/>
      <c r="D3254" s="10">
        <f>IFERROR(__xludf.DUMMYFUNCTION("""COMPUTED_VALUE"""),46025.0)</f>
        <v>46025</v>
      </c>
      <c r="E3254" s="35" t="str">
        <f>IFERROR(__xludf.DUMMYFUNCTION("""COMPUTED_VALUE"""),"01Jan")</f>
        <v>01Jan</v>
      </c>
      <c r="F3254" s="35" t="str">
        <f>IFERROR(__xludf.DUMMYFUNCTION("""COMPUTED_VALUE"""),"2026")</f>
        <v>2026</v>
      </c>
      <c r="G3254" s="35" t="str">
        <f>IFERROR(__xludf.DUMMYFUNCTION("""COMPUTED_VALUE"""),"YA MUHAMMAD IKHSANDI")</f>
        <v>YA MUHAMMAD IKHSANDI</v>
      </c>
      <c r="H3254" s="35" t="str">
        <f>IFERROR(__xludf.DUMMYFUNCTION("""COMPUTED_VALUE"""),"Y7926011202")</f>
        <v>Y7926011202</v>
      </c>
      <c r="I3254" s="35">
        <f>IFERROR(__xludf.DUMMYFUNCTION("""COMPUTED_VALUE"""),46.0)</f>
        <v>46</v>
      </c>
      <c r="J3254" s="35" t="str">
        <f>IFERROR(__xludf.DUMMYFUNCTION("""COMPUTED_VALUE"""),"&gt; 44 tahun")</f>
        <v>&gt; 44 tahun</v>
      </c>
      <c r="K3254" s="35" t="str">
        <f>IFERROR(__xludf.DUMMYFUNCTION("""COMPUTED_VALUE"""),"26/06/1979")</f>
        <v>26/06/1979</v>
      </c>
      <c r="L3254" s="35" t="str">
        <f>IFERROR(__xludf.DUMMYFUNCTION("""COMPUTED_VALUE"""),"LAKI-LAKI")</f>
        <v>LAKI-LAKI</v>
      </c>
      <c r="M3254" s="35" t="str">
        <f>IFERROR(__xludf.DUMMYFUNCTION("""COMPUTED_VALUE"""),"DUSUN TUNGKUL ")</f>
        <v>DUSUN TUNGKUL </v>
      </c>
      <c r="N3254" s="35" t="str">
        <f>IFERROR(__xludf.DUMMYFUNCTION("""COMPUTED_VALUE"""),"HILIR KANTOR")</f>
        <v>HILIR KANTOR</v>
      </c>
      <c r="O3254" s="35" t="str">
        <f>IFERROR(__xludf.DUMMYFUNCTION("""COMPUTED_VALUE"""),"NGABANG")</f>
        <v>NGABANG</v>
      </c>
      <c r="P3254" s="35" t="str">
        <f>IFERROR(__xludf.DUMMYFUNCTION("""COMPUTED_VALUE"""),"LANDAK")</f>
        <v>LANDAK</v>
      </c>
      <c r="Q3254" s="35" t="str">
        <f>IFERROR(__xludf.DUMMYFUNCTION("""COMPUTED_VALUE"""),"KALIMANTAN BARAT")</f>
        <v>KALIMANTAN BARAT</v>
      </c>
      <c r="R3254" s="35" t="str">
        <f>IFERROR(__xludf.DUMMYFUNCTION("""COMPUTED_VALUE"""),"ISLAM")</f>
        <v>ISLAM</v>
      </c>
      <c r="S3254" s="74" t="str">
        <f>IFERROR(__xludf.DUMMYFUNCTION("""COMPUTED_VALUE"""),"ASN")</f>
        <v>ASN</v>
      </c>
      <c r="T3254" s="35" t="str">
        <f>IFERROR(__xludf.DUMMYFUNCTION("""COMPUTED_VALUE"""),"JARI TERASA NYILU SEPERTI SYARAF KEJEPIT,,APALAGI JARI JEMPOL SEBELAH TANGAN KIRI")</f>
        <v>JARI TERASA NYILU SEPERTI SYARAF KEJEPIT,,APALAGI JARI JEMPOL SEBELAH TANGAN KIRI</v>
      </c>
      <c r="U3254" s="35" t="str">
        <f>IFERROR(__xludf.DUMMYFUNCTION("""COMPUTED_VALUE"""),"SEHARI MENGETIK KURANG LEBIH 6 JAM..")</f>
        <v>SEHARI MENGETIK KURANG LEBIH 6 JAM..</v>
      </c>
      <c r="V3254" s="35" t="str">
        <f>IFERROR(__xludf.DUMMYFUNCTION("""COMPUTED_VALUE"""),"082113311202")</f>
        <v>082113311202</v>
      </c>
      <c r="W3254" s="45"/>
    </row>
    <row r="3255">
      <c r="A3255" s="45"/>
      <c r="B3255" s="35" t="str">
        <f>IFERROR(__xludf.DUMMYFUNCTION("""COMPUTED_VALUE"""),"03/01/2026 14:57:16")</f>
        <v>03/01/2026 14:57:16</v>
      </c>
      <c r="C3255" s="35"/>
      <c r="D3255" s="10">
        <f>IFERROR(__xludf.DUMMYFUNCTION("""COMPUTED_VALUE"""),46025.0)</f>
        <v>46025</v>
      </c>
      <c r="E3255" s="35" t="str">
        <f>IFERROR(__xludf.DUMMYFUNCTION("""COMPUTED_VALUE"""),"01Jan")</f>
        <v>01Jan</v>
      </c>
      <c r="F3255" s="35" t="str">
        <f>IFERROR(__xludf.DUMMYFUNCTION("""COMPUTED_VALUE"""),"2026")</f>
        <v>2026</v>
      </c>
      <c r="G3255" s="35" t="str">
        <f>IFERROR(__xludf.DUMMYFUNCTION("""COMPUTED_VALUE"""),"ELISABETH SUTINI")</f>
        <v>ELISABETH SUTINI</v>
      </c>
      <c r="H3255" s="35" t="str">
        <f>IFERROR(__xludf.DUMMYFUNCTION("""COMPUTED_VALUE"""),"E7426018456")</f>
        <v>E7426018456</v>
      </c>
      <c r="I3255" s="35">
        <f>IFERROR(__xludf.DUMMYFUNCTION("""COMPUTED_VALUE"""),51.0)</f>
        <v>51</v>
      </c>
      <c r="J3255" s="35" t="str">
        <f>IFERROR(__xludf.DUMMYFUNCTION("""COMPUTED_VALUE"""),"&gt; 44 tahun")</f>
        <v>&gt; 44 tahun</v>
      </c>
      <c r="K3255" s="35" t="str">
        <f>IFERROR(__xludf.DUMMYFUNCTION("""COMPUTED_VALUE"""),"04/12/1974")</f>
        <v>04/12/1974</v>
      </c>
      <c r="L3255" s="35" t="str">
        <f>IFERROR(__xludf.DUMMYFUNCTION("""COMPUTED_VALUE"""),"PEREMPUAN")</f>
        <v>PEREMPUAN</v>
      </c>
      <c r="M3255" s="35" t="str">
        <f>IFERROR(__xludf.DUMMYFUNCTION("""COMPUTED_VALUE"""),"JL. PURNAMA 2. KOMPLEK PURNAMA ELOK NO G2")</f>
        <v>JL. PURNAMA 2. KOMPLEK PURNAMA ELOK NO G2</v>
      </c>
      <c r="N3255" s="35" t="str">
        <f>IFERROR(__xludf.DUMMYFUNCTION("""COMPUTED_VALUE"""),"PARIT TOKAYA")</f>
        <v>PARIT TOKAYA</v>
      </c>
      <c r="O3255" s="35" t="str">
        <f>IFERROR(__xludf.DUMMYFUNCTION("""COMPUTED_VALUE"""),"PONTIANAK SELATAN")</f>
        <v>PONTIANAK SELATAN</v>
      </c>
      <c r="P3255" s="35" t="str">
        <f>IFERROR(__xludf.DUMMYFUNCTION("""COMPUTED_VALUE"""),"PONTIANAK")</f>
        <v>PONTIANAK</v>
      </c>
      <c r="Q3255" s="35" t="str">
        <f>IFERROR(__xludf.DUMMYFUNCTION("""COMPUTED_VALUE"""),"KALIMANTAN BARAT")</f>
        <v>KALIMANTAN BARAT</v>
      </c>
      <c r="R3255" s="35" t="str">
        <f>IFERROR(__xludf.DUMMYFUNCTION("""COMPUTED_VALUE"""),"KATOLIK")</f>
        <v>KATOLIK</v>
      </c>
      <c r="S3255" s="74" t="str">
        <f>IFERROR(__xludf.DUMMYFUNCTION("""COMPUTED_VALUE"""),"IRT")</f>
        <v>IRT</v>
      </c>
      <c r="T3255" s="35" t="str">
        <f>IFERROR(__xludf.DUMMYFUNCTION("""COMPUTED_VALUE"""),"SAKIT PADA TELAPAK KAKI")</f>
        <v>SAKIT PADA TELAPAK KAKI</v>
      </c>
      <c r="U3255" s="35" t="str">
        <f>IFERROR(__xludf.DUMMYFUNCTION("""COMPUTED_VALUE"""),"JALAN JALAN")</f>
        <v>JALAN JALAN</v>
      </c>
      <c r="V3255" s="35" t="str">
        <f>IFERROR(__xludf.DUMMYFUNCTION("""COMPUTED_VALUE"""),"081259908456")</f>
        <v>081259908456</v>
      </c>
      <c r="W3255" s="45"/>
    </row>
    <row r="3256">
      <c r="A3256" s="45"/>
      <c r="B3256" s="35" t="str">
        <f>IFERROR(__xludf.DUMMYFUNCTION("""COMPUTED_VALUE"""),"03/01/2026 20:18:54")</f>
        <v>03/01/2026 20:18:54</v>
      </c>
      <c r="C3256" s="35"/>
      <c r="D3256" s="10">
        <f>IFERROR(__xludf.DUMMYFUNCTION("""COMPUTED_VALUE"""),46025.0)</f>
        <v>46025</v>
      </c>
      <c r="E3256" s="35" t="str">
        <f>IFERROR(__xludf.DUMMYFUNCTION("""COMPUTED_VALUE"""),"01Jan")</f>
        <v>01Jan</v>
      </c>
      <c r="F3256" s="35" t="str">
        <f>IFERROR(__xludf.DUMMYFUNCTION("""COMPUTED_VALUE"""),"2026")</f>
        <v>2026</v>
      </c>
      <c r="G3256" s="35" t="str">
        <f>IFERROR(__xludf.DUMMYFUNCTION("""COMPUTED_VALUE"""),"PUTRI ATIKAH ")</f>
        <v>PUTRI ATIKAH </v>
      </c>
      <c r="H3256" s="35" t="str">
        <f>IFERROR(__xludf.DUMMYFUNCTION("""COMPUTED_VALUE"""),"P9226019981")</f>
        <v>P9226019981</v>
      </c>
      <c r="I3256" s="35">
        <f>IFERROR(__xludf.DUMMYFUNCTION("""COMPUTED_VALUE"""),33.0)</f>
        <v>33</v>
      </c>
      <c r="J3256" s="35" t="str">
        <f>IFERROR(__xludf.DUMMYFUNCTION("""COMPUTED_VALUE"""),"25-34 tahun")</f>
        <v>25-34 tahun</v>
      </c>
      <c r="K3256" s="35" t="str">
        <f>IFERROR(__xludf.DUMMYFUNCTION("""COMPUTED_VALUE"""),"23/11/1992")</f>
        <v>23/11/1992</v>
      </c>
      <c r="L3256" s="35" t="str">
        <f>IFERROR(__xludf.DUMMYFUNCTION("""COMPUTED_VALUE"""),"PEREMPUAN")</f>
        <v>PEREMPUAN</v>
      </c>
      <c r="M3256" s="35" t="str">
        <f>IFERROR(__xludf.DUMMYFUNCTION("""COMPUTED_VALUE"""),"JL URAY BAWADI GANG SENTOSA NO 13.A ")</f>
        <v>JL URAY BAWADI GANG SENTOSA NO 13.A </v>
      </c>
      <c r="N3256" s="35" t="str">
        <f>IFERROR(__xludf.DUMMYFUNCTION("""COMPUTED_VALUE"""),"SUNGAI BANGKONG")</f>
        <v>SUNGAI BANGKONG</v>
      </c>
      <c r="O3256" s="35" t="str">
        <f>IFERROR(__xludf.DUMMYFUNCTION("""COMPUTED_VALUE"""),"PONTIANAK KOTA")</f>
        <v>PONTIANAK KOTA</v>
      </c>
      <c r="P3256" s="35" t="str">
        <f>IFERROR(__xludf.DUMMYFUNCTION("""COMPUTED_VALUE"""),"PONTIANAK")</f>
        <v>PONTIANAK</v>
      </c>
      <c r="Q3256" s="35" t="str">
        <f>IFERROR(__xludf.DUMMYFUNCTION("""COMPUTED_VALUE"""),"KALIMANTAN BARAT")</f>
        <v>KALIMANTAN BARAT</v>
      </c>
      <c r="R3256" s="35" t="str">
        <f>IFERROR(__xludf.DUMMYFUNCTION("""COMPUTED_VALUE"""),"ISLAM")</f>
        <v>ISLAM</v>
      </c>
      <c r="S3256" s="74" t="str">
        <f>IFERROR(__xludf.DUMMYFUNCTION("""COMPUTED_VALUE"""),"-")</f>
        <v>-</v>
      </c>
      <c r="T3256" s="35" t="str">
        <f>IFERROR(__xludf.DUMMYFUNCTION("""COMPUTED_VALUE"""),"KAKI BENGKAK")</f>
        <v>KAKI BENGKAK</v>
      </c>
      <c r="U3256" s="35" t="str">
        <f>IFERROR(__xludf.DUMMYFUNCTION("""COMPUTED_VALUE"""),"-")</f>
        <v>-</v>
      </c>
      <c r="V3256" s="35" t="str">
        <f>IFERROR(__xludf.DUMMYFUNCTION("""COMPUTED_VALUE"""),"082140519981")</f>
        <v>082140519981</v>
      </c>
      <c r="W3256" s="45"/>
    </row>
    <row r="3257">
      <c r="A3257" s="45"/>
      <c r="B3257" s="35" t="str">
        <f>IFERROR(__xludf.DUMMYFUNCTION("""COMPUTED_VALUE"""),"04/01/2026 10:57:48")</f>
        <v>04/01/2026 10:57:48</v>
      </c>
      <c r="C3257" s="35"/>
      <c r="D3257" s="10">
        <f>IFERROR(__xludf.DUMMYFUNCTION("""COMPUTED_VALUE"""),46026.0)</f>
        <v>46026</v>
      </c>
      <c r="E3257" s="35" t="str">
        <f>IFERROR(__xludf.DUMMYFUNCTION("""COMPUTED_VALUE"""),"01Jan")</f>
        <v>01Jan</v>
      </c>
      <c r="F3257" s="35" t="str">
        <f>IFERROR(__xludf.DUMMYFUNCTION("""COMPUTED_VALUE"""),"2026")</f>
        <v>2026</v>
      </c>
      <c r="G3257" s="35" t="str">
        <f>IFERROR(__xludf.DUMMYFUNCTION("""COMPUTED_VALUE"""),"WIWIK HARTATI")</f>
        <v>WIWIK HARTATI</v>
      </c>
      <c r="H3257" s="35" t="str">
        <f>IFERROR(__xludf.DUMMYFUNCTION("""COMPUTED_VALUE"""),"W6426018746")</f>
        <v>W6426018746</v>
      </c>
      <c r="I3257" s="35">
        <f>IFERROR(__xludf.DUMMYFUNCTION("""COMPUTED_VALUE"""),61.0)</f>
        <v>61</v>
      </c>
      <c r="J3257" s="35" t="str">
        <f>IFERROR(__xludf.DUMMYFUNCTION("""COMPUTED_VALUE"""),"&gt; 44 tahun")</f>
        <v>&gt; 44 tahun</v>
      </c>
      <c r="K3257" s="35" t="str">
        <f>IFERROR(__xludf.DUMMYFUNCTION("""COMPUTED_VALUE"""),"16/09/1964")</f>
        <v>16/09/1964</v>
      </c>
      <c r="L3257" s="35" t="str">
        <f>IFERROR(__xludf.DUMMYFUNCTION("""COMPUTED_VALUE"""),"PEREMPUAN")</f>
        <v>PEREMPUAN</v>
      </c>
      <c r="M3257" s="35" t="str">
        <f>IFERROR(__xludf.DUMMYFUNCTION("""COMPUTED_VALUE"""),"JALAN JENDRAL SUDIRMAN, ROKAN HILIR, RIAU")</f>
        <v>JALAN JENDRAL SUDIRMAN, ROKAN HILIR, RIAU</v>
      </c>
      <c r="N3257" s="35" t="str">
        <f>IFERROR(__xludf.DUMMYFUNCTION("""COMPUTED_VALUE"""),"BAGAN BARU KOTA")</f>
        <v>BAGAN BARU KOTA</v>
      </c>
      <c r="O3257" s="35" t="str">
        <f>IFERROR(__xludf.DUMMYFUNCTION("""COMPUTED_VALUE"""),"BAGAN SINEMBAH")</f>
        <v>BAGAN SINEMBAH</v>
      </c>
      <c r="P3257" s="35" t="str">
        <f>IFERROR(__xludf.DUMMYFUNCTION("""COMPUTED_VALUE"""),"ROKAN HILIR")</f>
        <v>ROKAN HILIR</v>
      </c>
      <c r="Q3257" s="35" t="str">
        <f>IFERROR(__xludf.DUMMYFUNCTION("""COMPUTED_VALUE"""),"RIAU")</f>
        <v>RIAU</v>
      </c>
      <c r="R3257" s="35" t="str">
        <f>IFERROR(__xludf.DUMMYFUNCTION("""COMPUTED_VALUE"""),"PROTESTAN")</f>
        <v>PROTESTAN</v>
      </c>
      <c r="S3257" s="74" t="str">
        <f>IFERROR(__xludf.DUMMYFUNCTION("""COMPUTED_VALUE"""),"PENSIUN PNS")</f>
        <v>PENSIUN PNS</v>
      </c>
      <c r="T3257" s="35" t="str">
        <f>IFERROR(__xludf.DUMMYFUNCTION("""COMPUTED_VALUE"""),"TENSI RENDAH, AKTIVITAS TERBATAS")</f>
        <v>TENSI RENDAH, AKTIVITAS TERBATAS</v>
      </c>
      <c r="U3257" s="35" t="str">
        <f>IFERROR(__xludf.DUMMYFUNCTION("""COMPUTED_VALUE"""),"PENSIUNAN")</f>
        <v>PENSIUNAN</v>
      </c>
      <c r="V3257" s="35" t="str">
        <f>IFERROR(__xludf.DUMMYFUNCTION("""COMPUTED_VALUE"""),"082195988746")</f>
        <v>082195988746</v>
      </c>
      <c r="W3257" s="45"/>
    </row>
    <row r="3258">
      <c r="A3258" s="45"/>
      <c r="B3258" s="35" t="str">
        <f>IFERROR(__xludf.DUMMYFUNCTION("""COMPUTED_VALUE"""),"04/01/2026 13:45:39")</f>
        <v>04/01/2026 13:45:39</v>
      </c>
      <c r="C3258" s="35"/>
      <c r="D3258" s="10">
        <f>IFERROR(__xludf.DUMMYFUNCTION("""COMPUTED_VALUE"""),46026.0)</f>
        <v>46026</v>
      </c>
      <c r="E3258" s="35" t="str">
        <f>IFERROR(__xludf.DUMMYFUNCTION("""COMPUTED_VALUE"""),"01Jan")</f>
        <v>01Jan</v>
      </c>
      <c r="F3258" s="35" t="str">
        <f>IFERROR(__xludf.DUMMYFUNCTION("""COMPUTED_VALUE"""),"2026")</f>
        <v>2026</v>
      </c>
      <c r="G3258" s="35" t="str">
        <f>IFERROR(__xludf.DUMMYFUNCTION("""COMPUTED_VALUE"""),"MUHAMMAD FADHIL RAMADHANI")</f>
        <v>MUHAMMAD FADHIL RAMADHANI</v>
      </c>
      <c r="H3258" s="35" t="str">
        <f>IFERROR(__xludf.DUMMYFUNCTION("""COMPUTED_VALUE"""),"M0026010397")</f>
        <v>M0026010397</v>
      </c>
      <c r="I3258" s="35">
        <f>IFERROR(__xludf.DUMMYFUNCTION("""COMPUTED_VALUE"""),25.0)</f>
        <v>25</v>
      </c>
      <c r="J3258" s="35" t="str">
        <f>IFERROR(__xludf.DUMMYFUNCTION("""COMPUTED_VALUE"""),"25-34 tahun")</f>
        <v>25-34 tahun</v>
      </c>
      <c r="K3258" s="35" t="str">
        <f>IFERROR(__xludf.DUMMYFUNCTION("""COMPUTED_VALUE"""),"19/12/2000")</f>
        <v>19/12/2000</v>
      </c>
      <c r="L3258" s="35" t="str">
        <f>IFERROR(__xludf.DUMMYFUNCTION("""COMPUTED_VALUE"""),"LAKI-LAKI")</f>
        <v>LAKI-LAKI</v>
      </c>
      <c r="M3258" s="35" t="str">
        <f>IFERROR(__xludf.DUMMYFUNCTION("""COMPUTED_VALUE"""),"JL PARIT H HUSIN 2 GG ASOKA NO 3")</f>
        <v>JL PARIT H HUSIN 2 GG ASOKA NO 3</v>
      </c>
      <c r="N3258" s="35" t="str">
        <f>IFERROR(__xludf.DUMMYFUNCTION("""COMPUTED_VALUE"""),"BANGKA BELITUNG DARAT")</f>
        <v>BANGKA BELITUNG DARAT</v>
      </c>
      <c r="O3258" s="35" t="str">
        <f>IFERROR(__xludf.DUMMYFUNCTION("""COMPUTED_VALUE"""),"PONTIANAK TENGGARA")</f>
        <v>PONTIANAK TENGGARA</v>
      </c>
      <c r="P3258" s="35" t="str">
        <f>IFERROR(__xludf.DUMMYFUNCTION("""COMPUTED_VALUE"""),"PONTIANAK")</f>
        <v>PONTIANAK</v>
      </c>
      <c r="Q3258" s="35" t="str">
        <f>IFERROR(__xludf.DUMMYFUNCTION("""COMPUTED_VALUE"""),"KALIMANTAN BARAT")</f>
        <v>KALIMANTAN BARAT</v>
      </c>
      <c r="R3258" s="35" t="str">
        <f>IFERROR(__xludf.DUMMYFUNCTION("""COMPUTED_VALUE"""),"ISLAM")</f>
        <v>ISLAM</v>
      </c>
      <c r="S3258" s="74" t="str">
        <f>IFERROR(__xludf.DUMMYFUNCTION("""COMPUTED_VALUE"""),"KARYAWAN SWASTA")</f>
        <v>KARYAWAN SWASTA</v>
      </c>
      <c r="T3258" s="35" t="str">
        <f>IFERROR(__xludf.DUMMYFUNCTION("""COMPUTED_VALUE"""),"NYERI DIBAGIAN BELAKANG LIPATAN LUTUT SEBELAH KIRI")</f>
        <v>NYERI DIBAGIAN BELAKANG LIPATAN LUTUT SEBELAH KIRI</v>
      </c>
      <c r="U3258" s="35" t="str">
        <f>IFERROR(__xludf.DUMMYFUNCTION("""COMPUTED_VALUE"""),"FUTSAL &amp; MINISOCCER")</f>
        <v>FUTSAL &amp; MINISOCCER</v>
      </c>
      <c r="V3258" s="35" t="str">
        <f>IFERROR(__xludf.DUMMYFUNCTION("""COMPUTED_VALUE"""),"0895364430397")</f>
        <v>0895364430397</v>
      </c>
      <c r="W3258" s="45"/>
    </row>
    <row r="3259">
      <c r="A3259" s="45"/>
      <c r="B3259" s="35" t="str">
        <f>IFERROR(__xludf.DUMMYFUNCTION("""COMPUTED_VALUE"""),"04/01/2026 16:09:48")</f>
        <v>04/01/2026 16:09:48</v>
      </c>
      <c r="C3259" s="35"/>
      <c r="D3259" s="10">
        <f>IFERROR(__xludf.DUMMYFUNCTION("""COMPUTED_VALUE"""),46026.0)</f>
        <v>46026</v>
      </c>
      <c r="E3259" s="35" t="str">
        <f>IFERROR(__xludf.DUMMYFUNCTION("""COMPUTED_VALUE"""),"01Jan")</f>
        <v>01Jan</v>
      </c>
      <c r="F3259" s="35" t="str">
        <f>IFERROR(__xludf.DUMMYFUNCTION("""COMPUTED_VALUE"""),"2026")</f>
        <v>2026</v>
      </c>
      <c r="G3259" s="35" t="str">
        <f>IFERROR(__xludf.DUMMYFUNCTION("""COMPUTED_VALUE"""),"CHOTIBUL UMAMI")</f>
        <v>CHOTIBUL UMAMI</v>
      </c>
      <c r="H3259" s="35" t="str">
        <f>IFERROR(__xludf.DUMMYFUNCTION("""COMPUTED_VALUE"""),"C6226012197")</f>
        <v>C6226012197</v>
      </c>
      <c r="I3259" s="35">
        <f>IFERROR(__xludf.DUMMYFUNCTION("""COMPUTED_VALUE"""),64.0)</f>
        <v>64</v>
      </c>
      <c r="J3259" s="35" t="str">
        <f>IFERROR(__xludf.DUMMYFUNCTION("""COMPUTED_VALUE"""),"&gt; 44 tahun")</f>
        <v>&gt; 44 tahun</v>
      </c>
      <c r="K3259" s="35" t="str">
        <f>IFERROR(__xludf.DUMMYFUNCTION("""COMPUTED_VALUE"""),"07/06/1962")</f>
        <v>07/06/1962</v>
      </c>
      <c r="L3259" s="35" t="str">
        <f>IFERROR(__xludf.DUMMYFUNCTION("""COMPUTED_VALUE"""),"PEREMPUAN")</f>
        <v>PEREMPUAN</v>
      </c>
      <c r="M3259" s="35" t="str">
        <f>IFERROR(__xludf.DUMMYFUNCTION("""COMPUTED_VALUE"""),"JALAN VETERAN NO 42 LUMAJANG")</f>
        <v>JALAN VETERAN NO 42 LUMAJANG</v>
      </c>
      <c r="N3259" s="35" t="str">
        <f>IFERROR(__xludf.DUMMYFUNCTION("""COMPUTED_VALUE"""),"KEPUHARJO")</f>
        <v>KEPUHARJO</v>
      </c>
      <c r="O3259" s="35" t="str">
        <f>IFERROR(__xludf.DUMMYFUNCTION("""COMPUTED_VALUE"""),"LUMAJANG")</f>
        <v>LUMAJANG</v>
      </c>
      <c r="P3259" s="35" t="str">
        <f>IFERROR(__xludf.DUMMYFUNCTION("""COMPUTED_VALUE"""),"LUMAJANG")</f>
        <v>LUMAJANG</v>
      </c>
      <c r="Q3259" s="35" t="str">
        <f>IFERROR(__xludf.DUMMYFUNCTION("""COMPUTED_VALUE"""),"JAWA TIMUR")</f>
        <v>JAWA TIMUR</v>
      </c>
      <c r="R3259" s="35" t="str">
        <f>IFERROR(__xludf.DUMMYFUNCTION("""COMPUTED_VALUE"""),"ISLAM")</f>
        <v>ISLAM</v>
      </c>
      <c r="S3259" s="74" t="str">
        <f>IFERROR(__xludf.DUMMYFUNCTION("""COMPUTED_VALUE"""),"PENSIUNAN PNS")</f>
        <v>PENSIUNAN PNS</v>
      </c>
      <c r="T3259" s="35" t="str">
        <f>IFERROR(__xludf.DUMMYFUNCTION("""COMPUTED_VALUE"""),"BELLS PALSY")</f>
        <v>BELLS PALSY</v>
      </c>
      <c r="U3259" s="35" t="str">
        <f>IFERROR(__xludf.DUMMYFUNCTION("""COMPUTED_VALUE"""),"-")</f>
        <v>-</v>
      </c>
      <c r="V3259" s="35" t="str">
        <f>IFERROR(__xludf.DUMMYFUNCTION("""COMPUTED_VALUE"""),"085162872197")</f>
        <v>085162872197</v>
      </c>
      <c r="W3259" s="45"/>
    </row>
    <row r="3260">
      <c r="A3260" s="45"/>
      <c r="B3260" s="35" t="str">
        <f>IFERROR(__xludf.DUMMYFUNCTION("""COMPUTED_VALUE"""),"04/01/2026 16:11:47")</f>
        <v>04/01/2026 16:11:47</v>
      </c>
      <c r="C3260" s="35"/>
      <c r="D3260" s="10">
        <f>IFERROR(__xludf.DUMMYFUNCTION("""COMPUTED_VALUE"""),46026.0)</f>
        <v>46026</v>
      </c>
      <c r="E3260" s="35" t="str">
        <f>IFERROR(__xludf.DUMMYFUNCTION("""COMPUTED_VALUE"""),"01Jan")</f>
        <v>01Jan</v>
      </c>
      <c r="F3260" s="35" t="str">
        <f>IFERROR(__xludf.DUMMYFUNCTION("""COMPUTED_VALUE"""),"2026")</f>
        <v>2026</v>
      </c>
      <c r="G3260" s="35" t="str">
        <f>IFERROR(__xludf.DUMMYFUNCTION("""COMPUTED_VALUE"""),"DARMANSYAH")</f>
        <v>DARMANSYAH</v>
      </c>
      <c r="H3260" s="35" t="str">
        <f>IFERROR(__xludf.DUMMYFUNCTION("""COMPUTED_VALUE"""),"D5626016953")</f>
        <v>D5626016953</v>
      </c>
      <c r="I3260" s="35">
        <f>IFERROR(__xludf.DUMMYFUNCTION("""COMPUTED_VALUE"""),70.0)</f>
        <v>70</v>
      </c>
      <c r="J3260" s="35" t="str">
        <f>IFERROR(__xludf.DUMMYFUNCTION("""COMPUTED_VALUE"""),"&gt; 44 tahun")</f>
        <v>&gt; 44 tahun</v>
      </c>
      <c r="K3260" s="35" t="str">
        <f>IFERROR(__xludf.DUMMYFUNCTION("""COMPUTED_VALUE"""),"10/04/1956")</f>
        <v>10/04/1956</v>
      </c>
      <c r="L3260" s="35" t="str">
        <f>IFERROR(__xludf.DUMMYFUNCTION("""COMPUTED_VALUE"""),"LAKI-LAKI")</f>
        <v>LAKI-LAKI</v>
      </c>
      <c r="M3260" s="35" t="str">
        <f>IFERROR(__xludf.DUMMYFUNCTION("""COMPUTED_VALUE"""),"PURNAMA GG PURNAMA 3")</f>
        <v>PURNAMA GG PURNAMA 3</v>
      </c>
      <c r="N3260" s="35" t="str">
        <f>IFERROR(__xludf.DUMMYFUNCTION("""COMPUTED_VALUE"""),"PARIT TOKAYA")</f>
        <v>PARIT TOKAYA</v>
      </c>
      <c r="O3260" s="35" t="str">
        <f>IFERROR(__xludf.DUMMYFUNCTION("""COMPUTED_VALUE"""),"PONTIANAK SELATAN")</f>
        <v>PONTIANAK SELATAN</v>
      </c>
      <c r="P3260" s="35" t="str">
        <f>IFERROR(__xludf.DUMMYFUNCTION("""COMPUTED_VALUE"""),"PONTIANAK")</f>
        <v>PONTIANAK</v>
      </c>
      <c r="Q3260" s="35" t="str">
        <f>IFERROR(__xludf.DUMMYFUNCTION("""COMPUTED_VALUE"""),"KALBAR")</f>
        <v>KALBAR</v>
      </c>
      <c r="R3260" s="35" t="str">
        <f>IFERROR(__xludf.DUMMYFUNCTION("""COMPUTED_VALUE"""),"ISLAM")</f>
        <v>ISLAM</v>
      </c>
      <c r="S3260" s="74" t="str">
        <f>IFERROR(__xludf.DUMMYFUNCTION("""COMPUTED_VALUE"""),"SWASTA")</f>
        <v>SWASTA</v>
      </c>
      <c r="T3260" s="35" t="str">
        <f>IFERROR(__xludf.DUMMYFUNCTION("""COMPUTED_VALUE"""),"NYERI NYILU PINGGANG SUSAH BERDIRI")</f>
        <v>NYERI NYILU PINGGANG SUSAH BERDIRI</v>
      </c>
      <c r="U3260" s="35" t="str">
        <f>IFERROR(__xludf.DUMMYFUNCTION("""COMPUTED_VALUE"""),"TIDAK ADA")</f>
        <v>TIDAK ADA</v>
      </c>
      <c r="V3260" s="35" t="str">
        <f>IFERROR(__xludf.DUMMYFUNCTION("""COMPUTED_VALUE"""),"0895630126953")</f>
        <v>0895630126953</v>
      </c>
      <c r="W3260" s="45"/>
    </row>
    <row r="3261">
      <c r="A3261" s="45"/>
      <c r="B3261" s="35" t="str">
        <f>IFERROR(__xludf.DUMMYFUNCTION("""COMPUTED_VALUE"""),"04/01/2026 18:39:47")</f>
        <v>04/01/2026 18:39:47</v>
      </c>
      <c r="C3261" s="35"/>
      <c r="D3261" s="10">
        <f>IFERROR(__xludf.DUMMYFUNCTION("""COMPUTED_VALUE"""),46026.0)</f>
        <v>46026</v>
      </c>
      <c r="E3261" s="35" t="str">
        <f>IFERROR(__xludf.DUMMYFUNCTION("""COMPUTED_VALUE"""),"01Jan")</f>
        <v>01Jan</v>
      </c>
      <c r="F3261" s="35" t="str">
        <f>IFERROR(__xludf.DUMMYFUNCTION("""COMPUTED_VALUE"""),"2026")</f>
        <v>2026</v>
      </c>
      <c r="G3261" s="35" t="str">
        <f>IFERROR(__xludf.DUMMYFUNCTION("""COMPUTED_VALUE"""),"JUVENTYA")</f>
        <v>JUVENTYA</v>
      </c>
      <c r="H3261" s="35" t="str">
        <f>IFERROR(__xludf.DUMMYFUNCTION("""COMPUTED_VALUE"""),"J9526018885")</f>
        <v>J9526018885</v>
      </c>
      <c r="I3261" s="35">
        <f>IFERROR(__xludf.DUMMYFUNCTION("""COMPUTED_VALUE"""),31.0)</f>
        <v>31</v>
      </c>
      <c r="J3261" s="35" t="str">
        <f>IFERROR(__xludf.DUMMYFUNCTION("""COMPUTED_VALUE"""),"25-34 tahun")</f>
        <v>25-34 tahun</v>
      </c>
      <c r="K3261" s="35" t="str">
        <f>IFERROR(__xludf.DUMMYFUNCTION("""COMPUTED_VALUE"""),"10/01/1995")</f>
        <v>10/01/1995</v>
      </c>
      <c r="L3261" s="35" t="str">
        <f>IFERROR(__xludf.DUMMYFUNCTION("""COMPUTED_VALUE"""),"PEREMPUAN")</f>
        <v>PEREMPUAN</v>
      </c>
      <c r="M3261" s="35" t="str">
        <f>IFERROR(__xludf.DUMMYFUNCTION("""COMPUTED_VALUE"""),"JL. GAJAHMADA GG. GAJAHMADA 11 NO. 12B")</f>
        <v>JL. GAJAHMADA GG. GAJAHMADA 11 NO. 12B</v>
      </c>
      <c r="N3261" s="35" t="str">
        <f>IFERROR(__xludf.DUMMYFUNCTION("""COMPUTED_VALUE"""),"BENUA MELAYU DARAT")</f>
        <v>BENUA MELAYU DARAT</v>
      </c>
      <c r="O3261" s="35" t="str">
        <f>IFERROR(__xludf.DUMMYFUNCTION("""COMPUTED_VALUE"""),"PONTIANAK SELATAN")</f>
        <v>PONTIANAK SELATAN</v>
      </c>
      <c r="P3261" s="35" t="str">
        <f>IFERROR(__xludf.DUMMYFUNCTION("""COMPUTED_VALUE"""),"KOTA PONTIANAK")</f>
        <v>KOTA PONTIANAK</v>
      </c>
      <c r="Q3261" s="35" t="str">
        <f>IFERROR(__xludf.DUMMYFUNCTION("""COMPUTED_VALUE"""),"KALIMANTAN BARAT")</f>
        <v>KALIMANTAN BARAT</v>
      </c>
      <c r="R3261" s="35" t="str">
        <f>IFERROR(__xludf.DUMMYFUNCTION("""COMPUTED_VALUE"""),"KHONGHUCU")</f>
        <v>KHONGHUCU</v>
      </c>
      <c r="S3261" s="74" t="str">
        <f>IFERROR(__xludf.DUMMYFUNCTION("""COMPUTED_VALUE"""),"IBU RUMAH TANGGA")</f>
        <v>IBU RUMAH TANGGA</v>
      </c>
      <c r="T3261" s="35" t="str">
        <f>IFERROR(__xludf.DUMMYFUNCTION("""COMPUTED_VALUE"""),"SARAF KEJEPIT")</f>
        <v>SARAF KEJEPIT</v>
      </c>
      <c r="U3261" s="35" t="str">
        <f>IFERROR(__xludf.DUMMYFUNCTION("""COMPUTED_VALUE"""),"GENDONG ANAK")</f>
        <v>GENDONG ANAK</v>
      </c>
      <c r="V3261" s="35" t="str">
        <f>IFERROR(__xludf.DUMMYFUNCTION("""COMPUTED_VALUE"""),"081385298885")</f>
        <v>081385298885</v>
      </c>
      <c r="W3261" s="45"/>
    </row>
    <row r="3262">
      <c r="A3262" s="45"/>
      <c r="B3262" s="35" t="str">
        <f>IFERROR(__xludf.DUMMYFUNCTION("""COMPUTED_VALUE"""),"04/01/2026 20:56:47")</f>
        <v>04/01/2026 20:56:47</v>
      </c>
      <c r="C3262" s="35"/>
      <c r="D3262" s="10">
        <f>IFERROR(__xludf.DUMMYFUNCTION("""COMPUTED_VALUE"""),46027.0)</f>
        <v>46027</v>
      </c>
      <c r="E3262" s="35" t="str">
        <f>IFERROR(__xludf.DUMMYFUNCTION("""COMPUTED_VALUE"""),"01Jan")</f>
        <v>01Jan</v>
      </c>
      <c r="F3262" s="35" t="str">
        <f>IFERROR(__xludf.DUMMYFUNCTION("""COMPUTED_VALUE"""),"2026")</f>
        <v>2026</v>
      </c>
      <c r="G3262" s="35" t="str">
        <f>IFERROR(__xludf.DUMMYFUNCTION("""COMPUTED_VALUE"""),"MUHAMMAD FEMAS GHIFARI")</f>
        <v>MUHAMMAD FEMAS GHIFARI</v>
      </c>
      <c r="H3262" s="35" t="str">
        <f>IFERROR(__xludf.DUMMYFUNCTION("""COMPUTED_VALUE"""),"M0626013048")</f>
        <v>M0626013048</v>
      </c>
      <c r="I3262" s="35">
        <f>IFERROR(__xludf.DUMMYFUNCTION("""COMPUTED_VALUE"""),20.0)</f>
        <v>20</v>
      </c>
      <c r="J3262" s="35" t="str">
        <f>IFERROR(__xludf.DUMMYFUNCTION("""COMPUTED_VALUE"""),"18-24 tahun")</f>
        <v>18-24 tahun</v>
      </c>
      <c r="K3262" s="35" t="str">
        <f>IFERROR(__xludf.DUMMYFUNCTION("""COMPUTED_VALUE"""),"15/03/2006")</f>
        <v>15/03/2006</v>
      </c>
      <c r="L3262" s="35" t="str">
        <f>IFERROR(__xludf.DUMMYFUNCTION("""COMPUTED_VALUE"""),"LAKI-LAKI")</f>
        <v>LAKI-LAKI</v>
      </c>
      <c r="M3262" s="35" t="str">
        <f>IFERROR(__xludf.DUMMYFUNCTION("""COMPUTED_VALUE"""),"JL TABRANI ACHMAD KOMP DELIMA PERMAI B15")</f>
        <v>JL TABRANI ACHMAD KOMP DELIMA PERMAI B15</v>
      </c>
      <c r="N3262" s="35" t="str">
        <f>IFERROR(__xludf.DUMMYFUNCTION("""COMPUTED_VALUE"""),"PAL LALIMA")</f>
        <v>PAL LALIMA</v>
      </c>
      <c r="O3262" s="35" t="str">
        <f>IFERROR(__xludf.DUMMYFUNCTION("""COMPUTED_VALUE"""),"PONTIANAK BARAT")</f>
        <v>PONTIANAK BARAT</v>
      </c>
      <c r="P3262" s="35" t="str">
        <f>IFERROR(__xludf.DUMMYFUNCTION("""COMPUTED_VALUE"""),"KOTA PONTIANAK")</f>
        <v>KOTA PONTIANAK</v>
      </c>
      <c r="Q3262" s="35" t="str">
        <f>IFERROR(__xludf.DUMMYFUNCTION("""COMPUTED_VALUE"""),"KALIMANTAN BARAT")</f>
        <v>KALIMANTAN BARAT</v>
      </c>
      <c r="R3262" s="35" t="str">
        <f>IFERROR(__xludf.DUMMYFUNCTION("""COMPUTED_VALUE"""),"ISLAM")</f>
        <v>ISLAM</v>
      </c>
      <c r="S3262" s="74" t="str">
        <f>IFERROR(__xludf.DUMMYFUNCTION("""COMPUTED_VALUE"""),"MAHASISWA")</f>
        <v>MAHASISWA</v>
      </c>
      <c r="T3262" s="35" t="str">
        <f>IFERROR(__xludf.DUMMYFUNCTION("""COMPUTED_VALUE"""),"SAKIT DI BAHU")</f>
        <v>SAKIT DI BAHU</v>
      </c>
      <c r="U3262" s="35" t="str">
        <f>IFERROR(__xludf.DUMMYFUNCTION("""COMPUTED_VALUE"""),"LARI")</f>
        <v>LARI</v>
      </c>
      <c r="V3262" s="35" t="str">
        <f>IFERROR(__xludf.DUMMYFUNCTION("""COMPUTED_VALUE"""),"081256773048")</f>
        <v>081256773048</v>
      </c>
      <c r="W3262" s="45"/>
    </row>
    <row r="3263">
      <c r="A3263" s="45"/>
      <c r="B3263" s="35" t="str">
        <f>IFERROR(__xludf.DUMMYFUNCTION("""COMPUTED_VALUE"""),"05/01/2026 15:44:12")</f>
        <v>05/01/2026 15:44:12</v>
      </c>
      <c r="C3263" s="35"/>
      <c r="D3263" s="10">
        <f>IFERROR(__xludf.DUMMYFUNCTION("""COMPUTED_VALUE"""),46027.0)</f>
        <v>46027</v>
      </c>
      <c r="E3263" s="35" t="str">
        <f>IFERROR(__xludf.DUMMYFUNCTION("""COMPUTED_VALUE"""),"01Jan")</f>
        <v>01Jan</v>
      </c>
      <c r="F3263" s="35" t="str">
        <f>IFERROR(__xludf.DUMMYFUNCTION("""COMPUTED_VALUE"""),"2026")</f>
        <v>2026</v>
      </c>
      <c r="G3263" s="35" t="str">
        <f>IFERROR(__xludf.DUMMYFUNCTION("""COMPUTED_VALUE"""),"FEDRICK JONATAN ")</f>
        <v>FEDRICK JONATAN </v>
      </c>
      <c r="H3263" s="35" t="str">
        <f>IFERROR(__xludf.DUMMYFUNCTION("""COMPUTED_VALUE"""),"F0326014392")</f>
        <v>F0326014392</v>
      </c>
      <c r="I3263" s="35">
        <f>IFERROR(__xludf.DUMMYFUNCTION("""COMPUTED_VALUE"""),22.0)</f>
        <v>22</v>
      </c>
      <c r="J3263" s="35" t="str">
        <f>IFERROR(__xludf.DUMMYFUNCTION("""COMPUTED_VALUE"""),"18-24 tahun")</f>
        <v>18-24 tahun</v>
      </c>
      <c r="K3263" s="35" t="str">
        <f>IFERROR(__xludf.DUMMYFUNCTION("""COMPUTED_VALUE"""),"25/09/2003")</f>
        <v>25/09/2003</v>
      </c>
      <c r="L3263" s="35" t="str">
        <f>IFERROR(__xludf.DUMMYFUNCTION("""COMPUTED_VALUE"""),"LAKI-LAKI")</f>
        <v>LAKI-LAKI</v>
      </c>
      <c r="M3263" s="35" t="str">
        <f>IFERROR(__xludf.DUMMYFUNCTION("""COMPUTED_VALUE"""),"JL.ABDURRAHMAN, DUSUN KUALA JAYA")</f>
        <v>JL.ABDURRAHMAN, DUSUN KUALA JAYA</v>
      </c>
      <c r="N3263" s="35" t="str">
        <f>IFERROR(__xludf.DUMMYFUNCTION("""COMPUTED_VALUE"""),"PERMATA ")</f>
        <v>PERMATA </v>
      </c>
      <c r="O3263" s="35" t="str">
        <f>IFERROR(__xludf.DUMMYFUNCTION("""COMPUTED_VALUE"""),"TERENTANG")</f>
        <v>TERENTANG</v>
      </c>
      <c r="P3263" s="35" t="str">
        <f>IFERROR(__xludf.DUMMYFUNCTION("""COMPUTED_VALUE"""),"KUBU RAYA")</f>
        <v>KUBU RAYA</v>
      </c>
      <c r="Q3263" s="35" t="str">
        <f>IFERROR(__xludf.DUMMYFUNCTION("""COMPUTED_VALUE"""),"KALIMANTAN BARAT")</f>
        <v>KALIMANTAN BARAT</v>
      </c>
      <c r="R3263" s="35" t="str">
        <f>IFERROR(__xludf.DUMMYFUNCTION("""COMPUTED_VALUE"""),"BUDDHA")</f>
        <v>BUDDHA</v>
      </c>
      <c r="S3263" s="74" t="str">
        <f>IFERROR(__xludf.DUMMYFUNCTION("""COMPUTED_VALUE"""),"MAHASISWA ")</f>
        <v>MAHASISWA </v>
      </c>
      <c r="T3263" s="35" t="str">
        <f>IFERROR(__xludf.DUMMYFUNCTION("""COMPUTED_VALUE"""),"SAKIT DI BAHU")</f>
        <v>SAKIT DI BAHU</v>
      </c>
      <c r="U3263" s="35" t="str">
        <f>IFERROR(__xludf.DUMMYFUNCTION("""COMPUTED_VALUE"""),"GYM")</f>
        <v>GYM</v>
      </c>
      <c r="V3263" s="35" t="str">
        <f>IFERROR(__xludf.DUMMYFUNCTION("""COMPUTED_VALUE"""),"081256044392")</f>
        <v>081256044392</v>
      </c>
      <c r="W3263" s="45"/>
    </row>
    <row r="3264">
      <c r="A3264" s="45"/>
      <c r="B3264" s="35" t="str">
        <f>IFERROR(__xludf.DUMMYFUNCTION("""COMPUTED_VALUE"""),"05/01/2026 17:03:23")</f>
        <v>05/01/2026 17:03:23</v>
      </c>
      <c r="C3264" s="35"/>
      <c r="D3264" s="10">
        <f>IFERROR(__xludf.DUMMYFUNCTION("""COMPUTED_VALUE"""),46027.0)</f>
        <v>46027</v>
      </c>
      <c r="E3264" s="35" t="str">
        <f>IFERROR(__xludf.DUMMYFUNCTION("""COMPUTED_VALUE"""),"01Jan")</f>
        <v>01Jan</v>
      </c>
      <c r="F3264" s="35" t="str">
        <f>IFERROR(__xludf.DUMMYFUNCTION("""COMPUTED_VALUE"""),"2026")</f>
        <v>2026</v>
      </c>
      <c r="G3264" s="35" t="str">
        <f>IFERROR(__xludf.DUMMYFUNCTION("""COMPUTED_VALUE"""),"HJ. RUGAYAH")</f>
        <v>HJ. RUGAYAH</v>
      </c>
      <c r="H3264" s="35" t="str">
        <f>IFERROR(__xludf.DUMMYFUNCTION("""COMPUTED_VALUE"""),"H5226011399")</f>
        <v>H5226011399</v>
      </c>
      <c r="I3264" s="35">
        <f>IFERROR(__xludf.DUMMYFUNCTION("""COMPUTED_VALUE"""),73.0)</f>
        <v>73</v>
      </c>
      <c r="J3264" s="35" t="str">
        <f>IFERROR(__xludf.DUMMYFUNCTION("""COMPUTED_VALUE"""),"&gt; 44 tahun")</f>
        <v>&gt; 44 tahun</v>
      </c>
      <c r="K3264" s="35" t="str">
        <f>IFERROR(__xludf.DUMMYFUNCTION("""COMPUTED_VALUE"""),"01/08/1952")</f>
        <v>01/08/1952</v>
      </c>
      <c r="L3264" s="35" t="str">
        <f>IFERROR(__xludf.DUMMYFUNCTION("""COMPUTED_VALUE"""),"PEREMPUAN")</f>
        <v>PEREMPUAN</v>
      </c>
      <c r="M3264" s="35" t="str">
        <f>IFERROR(__xludf.DUMMYFUNCTION("""COMPUTED_VALUE"""),"JL PROF M YAMIN GG KENCANA NO.23")</f>
        <v>JL PROF M YAMIN GG KENCANA NO.23</v>
      </c>
      <c r="N3264" s="35" t="str">
        <f>IFERROR(__xludf.DUMMYFUNCTION("""COMPUTED_VALUE"""),"KELURAHAN AKCAYA")</f>
        <v>KELURAHAN AKCAYA</v>
      </c>
      <c r="O3264" s="35" t="str">
        <f>IFERROR(__xludf.DUMMYFUNCTION("""COMPUTED_VALUE"""),"PONTIANAK SELATAN")</f>
        <v>PONTIANAK SELATAN</v>
      </c>
      <c r="P3264" s="35" t="str">
        <f>IFERROR(__xludf.DUMMYFUNCTION("""COMPUTED_VALUE"""),"KOTA PONTIANAK")</f>
        <v>KOTA PONTIANAK</v>
      </c>
      <c r="Q3264" s="35" t="str">
        <f>IFERROR(__xludf.DUMMYFUNCTION("""COMPUTED_VALUE"""),"KALIMANTAN BARAT")</f>
        <v>KALIMANTAN BARAT</v>
      </c>
      <c r="R3264" s="35" t="str">
        <f>IFERROR(__xludf.DUMMYFUNCTION("""COMPUTED_VALUE"""),"ISLAM")</f>
        <v>ISLAM</v>
      </c>
      <c r="S3264" s="74" t="str">
        <f>IFERROR(__xludf.DUMMYFUNCTION("""COMPUTED_VALUE"""),"IBU RUMAH TANGGA")</f>
        <v>IBU RUMAH TANGGA</v>
      </c>
      <c r="T3264" s="35" t="str">
        <f>IFERROR(__xludf.DUMMYFUNCTION("""COMPUTED_VALUE"""),"SAKIT DI LUTUT TIDAK BISA LANGSUNG MENEKUK JIKA DUDUK DI LANTAI, SAKIT NYERI DI PINGGANG")</f>
        <v>SAKIT DI LUTUT TIDAK BISA LANGSUNG MENEKUK JIKA DUDUK DI LANTAI, SAKIT NYERI DI PINGGANG</v>
      </c>
      <c r="U3264" s="35" t="str">
        <f>IFERROR(__xludf.DUMMYFUNCTION("""COMPUTED_VALUE"""),"KEGIATAN IBADAH SHOLAT DAN KEGIATAN RUMAH TANGGA ")</f>
        <v>KEGIATAN IBADAH SHOLAT DAN KEGIATAN RUMAH TANGGA </v>
      </c>
      <c r="V3264" s="35" t="str">
        <f>IFERROR(__xludf.DUMMYFUNCTION("""COMPUTED_VALUE"""),"081345081399")</f>
        <v>081345081399</v>
      </c>
      <c r="W3264" s="45"/>
    </row>
    <row r="3265">
      <c r="A3265" s="45"/>
      <c r="B3265" s="35" t="str">
        <f>IFERROR(__xludf.DUMMYFUNCTION("""COMPUTED_VALUE"""),"05/01/2026 19:10:48")</f>
        <v>05/01/2026 19:10:48</v>
      </c>
      <c r="C3265" s="35"/>
      <c r="D3265" s="10">
        <f>IFERROR(__xludf.DUMMYFUNCTION("""COMPUTED_VALUE"""),46027.0)</f>
        <v>46027</v>
      </c>
      <c r="E3265" s="35" t="str">
        <f>IFERROR(__xludf.DUMMYFUNCTION("""COMPUTED_VALUE"""),"01Jan")</f>
        <v>01Jan</v>
      </c>
      <c r="F3265" s="35" t="str">
        <f>IFERROR(__xludf.DUMMYFUNCTION("""COMPUTED_VALUE"""),"2026")</f>
        <v>2026</v>
      </c>
      <c r="G3265" s="35" t="str">
        <f>IFERROR(__xludf.DUMMYFUNCTION("""COMPUTED_VALUE"""),"SUSANTI 7803")</f>
        <v>SUSANTI 7803</v>
      </c>
      <c r="H3265" s="35" t="str">
        <f>IFERROR(__xludf.DUMMYFUNCTION("""COMPUTED_VALUE"""),"S7826017132")</f>
        <v>S7826017132</v>
      </c>
      <c r="I3265" s="35">
        <f>IFERROR(__xludf.DUMMYFUNCTION("""COMPUTED_VALUE"""),48.0)</f>
        <v>48</v>
      </c>
      <c r="J3265" s="35" t="str">
        <f>IFERROR(__xludf.DUMMYFUNCTION("""COMPUTED_VALUE"""),"&gt; 44 tahun")</f>
        <v>&gt; 44 tahun</v>
      </c>
      <c r="K3265" s="35" t="str">
        <f>IFERROR(__xludf.DUMMYFUNCTION("""COMPUTED_VALUE"""),"26/03/1978")</f>
        <v>26/03/1978</v>
      </c>
      <c r="L3265" s="35" t="str">
        <f>IFERROR(__xludf.DUMMYFUNCTION("""COMPUTED_VALUE"""),"PEREMPUAN")</f>
        <v>PEREMPUAN</v>
      </c>
      <c r="M3265" s="35" t="str">
        <f>IFERROR(__xludf.DUMMYFUNCTION("""COMPUTED_VALUE"""),"JL.KOM YOS SUDARSO GG FAJAR KARYA 1 NO 8 ")</f>
        <v>JL.KOM YOS SUDARSO GG FAJAR KARYA 1 NO 8 </v>
      </c>
      <c r="N3265" s="35" t="str">
        <f>IFERROR(__xludf.DUMMYFUNCTION("""COMPUTED_VALUE"""),"SUNGAI BELIUNG")</f>
        <v>SUNGAI BELIUNG</v>
      </c>
      <c r="O3265" s="35" t="str">
        <f>IFERROR(__xludf.DUMMYFUNCTION("""COMPUTED_VALUE"""),"PONTIANAK BARAT")</f>
        <v>PONTIANAK BARAT</v>
      </c>
      <c r="P3265" s="35" t="str">
        <f>IFERROR(__xludf.DUMMYFUNCTION("""COMPUTED_VALUE"""),"KOTA PONTIANAK")</f>
        <v>KOTA PONTIANAK</v>
      </c>
      <c r="Q3265" s="35" t="str">
        <f>IFERROR(__xludf.DUMMYFUNCTION("""COMPUTED_VALUE"""),"KALIMANTAN BARAT")</f>
        <v>KALIMANTAN BARAT</v>
      </c>
      <c r="R3265" s="35" t="str">
        <f>IFERROR(__xludf.DUMMYFUNCTION("""COMPUTED_VALUE"""),"ISLAM")</f>
        <v>ISLAM</v>
      </c>
      <c r="S3265" s="74" t="str">
        <f>IFERROR(__xludf.DUMMYFUNCTION("""COMPUTED_VALUE"""),"TIDAK ADA")</f>
        <v>TIDAK ADA</v>
      </c>
      <c r="T3265" s="35" t="str">
        <f>IFERROR(__xludf.DUMMYFUNCTION("""COMPUTED_VALUE"""),"TANGAN DAN KAKI SEBELAH KANAN LEMAH")</f>
        <v>TANGAN DAN KAKI SEBELAH KANAN LEMAH</v>
      </c>
      <c r="U3265" s="35" t="str">
        <f>IFERROR(__xludf.DUMMYFUNCTION("""COMPUTED_VALUE"""),"TIDUR")</f>
        <v>TIDUR</v>
      </c>
      <c r="V3265" s="35" t="str">
        <f>IFERROR(__xludf.DUMMYFUNCTION("""COMPUTED_VALUE"""),"087735327132")</f>
        <v>087735327132</v>
      </c>
      <c r="W3265" s="45"/>
    </row>
    <row r="3266">
      <c r="A3266" s="45"/>
      <c r="B3266" s="35" t="str">
        <f>IFERROR(__xludf.DUMMYFUNCTION("""COMPUTED_VALUE"""),"05/01/2026 20:06:45")</f>
        <v>05/01/2026 20:06:45</v>
      </c>
      <c r="C3266" s="35"/>
      <c r="D3266" s="10">
        <f>IFERROR(__xludf.DUMMYFUNCTION("""COMPUTED_VALUE"""),46027.0)</f>
        <v>46027</v>
      </c>
      <c r="E3266" s="35" t="str">
        <f>IFERROR(__xludf.DUMMYFUNCTION("""COMPUTED_VALUE"""),"01Jan")</f>
        <v>01Jan</v>
      </c>
      <c r="F3266" s="35" t="str">
        <f>IFERROR(__xludf.DUMMYFUNCTION("""COMPUTED_VALUE"""),"2026")</f>
        <v>2026</v>
      </c>
      <c r="G3266" s="35" t="str">
        <f>IFERROR(__xludf.DUMMYFUNCTION("""COMPUTED_VALUE"""),"EDI LAZUARDI")</f>
        <v>EDI LAZUARDI</v>
      </c>
      <c r="H3266" s="35" t="str">
        <f>IFERROR(__xludf.DUMMYFUNCTION("""COMPUTED_VALUE"""),"E6126012662")</f>
        <v>E6126012662</v>
      </c>
      <c r="I3266" s="35">
        <f>IFERROR(__xludf.DUMMYFUNCTION("""COMPUTED_VALUE"""),65.0)</f>
        <v>65</v>
      </c>
      <c r="J3266" s="35" t="str">
        <f>IFERROR(__xludf.DUMMYFUNCTION("""COMPUTED_VALUE"""),"&gt; 44 tahun")</f>
        <v>&gt; 44 tahun</v>
      </c>
      <c r="K3266" s="35" t="str">
        <f>IFERROR(__xludf.DUMMYFUNCTION("""COMPUTED_VALUE"""),"02/01/1961")</f>
        <v>02/01/1961</v>
      </c>
      <c r="L3266" s="35" t="str">
        <f>IFERROR(__xludf.DUMMYFUNCTION("""COMPUTED_VALUE"""),"LAKI-LAKI")</f>
        <v>LAKI-LAKI</v>
      </c>
      <c r="M3266" s="35" t="str">
        <f>IFERROR(__xludf.DUMMYFUNCTION("""COMPUTED_VALUE"""),"DUSUN SERAMBAI")</f>
        <v>DUSUN SERAMBAI</v>
      </c>
      <c r="N3266" s="35" t="str">
        <f>IFERROR(__xludf.DUMMYFUNCTION("""COMPUTED_VALUE"""),"TANJUNG MERPATI")</f>
        <v>TANJUNG MERPATI</v>
      </c>
      <c r="O3266" s="35" t="str">
        <f>IFERROR(__xludf.DUMMYFUNCTION("""COMPUTED_VALUE"""),"KEMBAYAN")</f>
        <v>KEMBAYAN</v>
      </c>
      <c r="P3266" s="35" t="str">
        <f>IFERROR(__xludf.DUMMYFUNCTION("""COMPUTED_VALUE"""),"SANGGAU")</f>
        <v>SANGGAU</v>
      </c>
      <c r="Q3266" s="35" t="str">
        <f>IFERROR(__xludf.DUMMYFUNCTION("""COMPUTED_VALUE"""),"KALIMANTAN BARAT")</f>
        <v>KALIMANTAN BARAT</v>
      </c>
      <c r="R3266" s="35" t="str">
        <f>IFERROR(__xludf.DUMMYFUNCTION("""COMPUTED_VALUE"""),"ISLAM")</f>
        <v>ISLAM</v>
      </c>
      <c r="S3266" s="74" t="str">
        <f>IFERROR(__xludf.DUMMYFUNCTION("""COMPUTED_VALUE"""),"WIRASWASTA")</f>
        <v>WIRASWASTA</v>
      </c>
      <c r="T3266" s="35" t="str">
        <f>IFERROR(__xludf.DUMMYFUNCTION("""COMPUTED_VALUE"""),"SAKIT PINGGANG DAN NGILU KAKI")</f>
        <v>SAKIT PINGGANG DAN NGILU KAKI</v>
      </c>
      <c r="U3266" s="35" t="str">
        <f>IFERROR(__xludf.DUMMYFUNCTION("""COMPUTED_VALUE"""),"ANGKAT BARANG BERAT, DAN AKTVITIAS JALAN DUDUK BIASA")</f>
        <v>ANGKAT BARANG BERAT, DAN AKTVITIAS JALAN DUDUK BIASA</v>
      </c>
      <c r="V3266" s="35" t="str">
        <f>IFERROR(__xludf.DUMMYFUNCTION("""COMPUTED_VALUE"""),"081356702662")</f>
        <v>081356702662</v>
      </c>
      <c r="W3266" s="45"/>
    </row>
    <row r="3267">
      <c r="A3267" s="45"/>
      <c r="B3267" s="35" t="str">
        <f>IFERROR(__xludf.DUMMYFUNCTION("""COMPUTED_VALUE"""),"05/01/2026 20:29:16")</f>
        <v>05/01/2026 20:29:16</v>
      </c>
      <c r="C3267" s="35"/>
      <c r="D3267" s="10">
        <f>IFERROR(__xludf.DUMMYFUNCTION("""COMPUTED_VALUE"""),46027.0)</f>
        <v>46027</v>
      </c>
      <c r="E3267" s="35" t="str">
        <f>IFERROR(__xludf.DUMMYFUNCTION("""COMPUTED_VALUE"""),"01Jan")</f>
        <v>01Jan</v>
      </c>
      <c r="F3267" s="35" t="str">
        <f>IFERROR(__xludf.DUMMYFUNCTION("""COMPUTED_VALUE"""),"2026")</f>
        <v>2026</v>
      </c>
      <c r="G3267" s="35" t="str">
        <f>IFERROR(__xludf.DUMMYFUNCTION("""COMPUTED_VALUE"""),"MUSNAINI")</f>
        <v>MUSNAINI</v>
      </c>
      <c r="H3267" s="35" t="str">
        <f>IFERROR(__xludf.DUMMYFUNCTION("""COMPUTED_VALUE"""),"M6526016944")</f>
        <v>M6526016944</v>
      </c>
      <c r="I3267" s="35">
        <f>IFERROR(__xludf.DUMMYFUNCTION("""COMPUTED_VALUE"""),60.0)</f>
        <v>60</v>
      </c>
      <c r="J3267" s="35" t="str">
        <f>IFERROR(__xludf.DUMMYFUNCTION("""COMPUTED_VALUE"""),"&gt; 44 tahun")</f>
        <v>&gt; 44 tahun</v>
      </c>
      <c r="K3267" s="35" t="str">
        <f>IFERROR(__xludf.DUMMYFUNCTION("""COMPUTED_VALUE"""),"23/07/1965")</f>
        <v>23/07/1965</v>
      </c>
      <c r="L3267" s="35" t="str">
        <f>IFERROR(__xludf.DUMMYFUNCTION("""COMPUTED_VALUE"""),"PEREMPUAN")</f>
        <v>PEREMPUAN</v>
      </c>
      <c r="M3267" s="35" t="str">
        <f>IFERROR(__xludf.DUMMYFUNCTION("""COMPUTED_VALUE"""),"JL. A YANI GG SEPAKAT II ")</f>
        <v>JL. A YANI GG SEPAKAT II </v>
      </c>
      <c r="N3267" s="35" t="str">
        <f>IFERROR(__xludf.DUMMYFUNCTION("""COMPUTED_VALUE"""),"BANSIR LAUT ")</f>
        <v>BANSIR LAUT </v>
      </c>
      <c r="O3267" s="35" t="str">
        <f>IFERROR(__xludf.DUMMYFUNCTION("""COMPUTED_VALUE"""),"PONTIANAK TENGGARA")</f>
        <v>PONTIANAK TENGGARA</v>
      </c>
      <c r="P3267" s="35" t="str">
        <f>IFERROR(__xludf.DUMMYFUNCTION("""COMPUTED_VALUE"""),"PONTIANAK")</f>
        <v>PONTIANAK</v>
      </c>
      <c r="Q3267" s="35" t="str">
        <f>IFERROR(__xludf.DUMMYFUNCTION("""COMPUTED_VALUE"""),"KALIMANTAN BARAT")</f>
        <v>KALIMANTAN BARAT</v>
      </c>
      <c r="R3267" s="35" t="str">
        <f>IFERROR(__xludf.DUMMYFUNCTION("""COMPUTED_VALUE"""),"ISLAM")</f>
        <v>ISLAM</v>
      </c>
      <c r="S3267" s="74" t="str">
        <f>IFERROR(__xludf.DUMMYFUNCTION("""COMPUTED_VALUE"""),"IRT")</f>
        <v>IRT</v>
      </c>
      <c r="T3267" s="35" t="str">
        <f>IFERROR(__xludf.DUMMYFUNCTION("""COMPUTED_VALUE"""),"BAHU")</f>
        <v>BAHU</v>
      </c>
      <c r="U3267" s="35" t="str">
        <f>IFERROR(__xludf.DUMMYFUNCTION("""COMPUTED_VALUE"""),"-")</f>
        <v>-</v>
      </c>
      <c r="V3267" s="35" t="str">
        <f>IFERROR(__xludf.DUMMYFUNCTION("""COMPUTED_VALUE"""),"085247136944")</f>
        <v>085247136944</v>
      </c>
      <c r="W3267" s="45"/>
    </row>
    <row r="3268">
      <c r="A3268" s="45"/>
      <c r="B3268" s="35" t="str">
        <f>IFERROR(__xludf.DUMMYFUNCTION("""COMPUTED_VALUE"""),"06/01/2026 9:33:37")</f>
        <v>06/01/2026 9:33:37</v>
      </c>
      <c r="C3268" s="35"/>
      <c r="D3268" s="10">
        <f>IFERROR(__xludf.DUMMYFUNCTION("""COMPUTED_VALUE"""),46028.0)</f>
        <v>46028</v>
      </c>
      <c r="E3268" s="35" t="str">
        <f>IFERROR(__xludf.DUMMYFUNCTION("""COMPUTED_VALUE"""),"01Jan")</f>
        <v>01Jan</v>
      </c>
      <c r="F3268" s="35" t="str">
        <f>IFERROR(__xludf.DUMMYFUNCTION("""COMPUTED_VALUE"""),"2026")</f>
        <v>2026</v>
      </c>
      <c r="G3268" s="35" t="str">
        <f>IFERROR(__xludf.DUMMYFUNCTION("""COMPUTED_VALUE"""),"TRIATIE CHALIDYAH")</f>
        <v>TRIATIE CHALIDYAH</v>
      </c>
      <c r="H3268" s="35" t="str">
        <f>IFERROR(__xludf.DUMMYFUNCTION("""COMPUTED_VALUE"""),"T9926017120")</f>
        <v>T9926017120</v>
      </c>
      <c r="I3268" s="35">
        <f>IFERROR(__xludf.DUMMYFUNCTION("""COMPUTED_VALUE"""),26.0)</f>
        <v>26</v>
      </c>
      <c r="J3268" s="35" t="str">
        <f>IFERROR(__xludf.DUMMYFUNCTION("""COMPUTED_VALUE"""),"25-34 tahun")</f>
        <v>25-34 tahun</v>
      </c>
      <c r="K3268" s="35" t="str">
        <f>IFERROR(__xludf.DUMMYFUNCTION("""COMPUTED_VALUE"""),"03/07/1999")</f>
        <v>03/07/1999</v>
      </c>
      <c r="L3268" s="35" t="str">
        <f>IFERROR(__xludf.DUMMYFUNCTION("""COMPUTED_VALUE"""),"PEREMPUAN")</f>
        <v>PEREMPUAN</v>
      </c>
      <c r="M3268" s="35" t="str">
        <f>IFERROR(__xludf.DUMMYFUNCTION("""COMPUTED_VALUE"""),"JL KARYA BARU KOMP BALI AGUNG 1 NO B2")</f>
        <v>JL KARYA BARU KOMP BALI AGUNG 1 NO B2</v>
      </c>
      <c r="N3268" s="35" t="str">
        <f>IFERROR(__xludf.DUMMYFUNCTION("""COMPUTED_VALUE"""),"PARIT TOKAYA")</f>
        <v>PARIT TOKAYA</v>
      </c>
      <c r="O3268" s="35" t="str">
        <f>IFERROR(__xludf.DUMMYFUNCTION("""COMPUTED_VALUE"""),"PONTIANAK SELATAN")</f>
        <v>PONTIANAK SELATAN</v>
      </c>
      <c r="P3268" s="35" t="str">
        <f>IFERROR(__xludf.DUMMYFUNCTION("""COMPUTED_VALUE"""),"KOTA PONTIANAK")</f>
        <v>KOTA PONTIANAK</v>
      </c>
      <c r="Q3268" s="35" t="str">
        <f>IFERROR(__xludf.DUMMYFUNCTION("""COMPUTED_VALUE"""),"KALIMANTAN BARAT")</f>
        <v>KALIMANTAN BARAT</v>
      </c>
      <c r="R3268" s="35" t="str">
        <f>IFERROR(__xludf.DUMMYFUNCTION("""COMPUTED_VALUE"""),"ISLAM")</f>
        <v>ISLAM</v>
      </c>
      <c r="S3268" s="74" t="str">
        <f>IFERROR(__xludf.DUMMYFUNCTION("""COMPUTED_VALUE"""),"PERSONAL TRAINER GYM")</f>
        <v>PERSONAL TRAINER GYM</v>
      </c>
      <c r="T3268" s="35" t="str">
        <f>IFERROR(__xludf.DUMMYFUNCTION("""COMPUTED_VALUE"""),"LOWER BACK PAIN DAN LUTUT AGAK NYERI")</f>
        <v>LOWER BACK PAIN DAN LUTUT AGAK NYERI</v>
      </c>
      <c r="U3268" s="35" t="str">
        <f>IFERROR(__xludf.DUMMYFUNCTION("""COMPUTED_VALUE"""),"OLAHRAGA POWERLIFTING")</f>
        <v>OLAHRAGA POWERLIFTING</v>
      </c>
      <c r="V3268" s="35" t="str">
        <f>IFERROR(__xludf.DUMMYFUNCTION("""COMPUTED_VALUE"""),"089693637120")</f>
        <v>089693637120</v>
      </c>
      <c r="W3268" s="45"/>
    </row>
    <row r="3269">
      <c r="A3269" s="45"/>
      <c r="B3269" s="35" t="str">
        <f>IFERROR(__xludf.DUMMYFUNCTION("""COMPUTED_VALUE"""),"06/01/2026 11:01:22")</f>
        <v>06/01/2026 11:01:22</v>
      </c>
      <c r="C3269" s="35"/>
      <c r="D3269" s="10">
        <f>IFERROR(__xludf.DUMMYFUNCTION("""COMPUTED_VALUE"""),46028.0)</f>
        <v>46028</v>
      </c>
      <c r="E3269" s="35" t="str">
        <f>IFERROR(__xludf.DUMMYFUNCTION("""COMPUTED_VALUE"""),"01Jan")</f>
        <v>01Jan</v>
      </c>
      <c r="F3269" s="35" t="str">
        <f>IFERROR(__xludf.DUMMYFUNCTION("""COMPUTED_VALUE"""),"2026")</f>
        <v>2026</v>
      </c>
      <c r="G3269" s="35" t="str">
        <f>IFERROR(__xludf.DUMMYFUNCTION("""COMPUTED_VALUE"""),"KHANZA PUTRI HUMAIRAH")</f>
        <v>KHANZA PUTRI HUMAIRAH</v>
      </c>
      <c r="H3269" s="35" t="str">
        <f>IFERROR(__xludf.DUMMYFUNCTION("""COMPUTED_VALUE"""),"K1526011783")</f>
        <v>K1526011783</v>
      </c>
      <c r="I3269" s="35">
        <f>IFERROR(__xludf.DUMMYFUNCTION("""COMPUTED_VALUE"""),11.0)</f>
        <v>11</v>
      </c>
      <c r="J3269" s="35" t="str">
        <f>IFERROR(__xludf.DUMMYFUNCTION("""COMPUTED_VALUE"""),"&lt; 18 tahun")</f>
        <v>&lt; 18 tahun</v>
      </c>
      <c r="K3269" s="35" t="str">
        <f>IFERROR(__xludf.DUMMYFUNCTION("""COMPUTED_VALUE"""),"15/03/2015")</f>
        <v>15/03/2015</v>
      </c>
      <c r="L3269" s="35" t="str">
        <f>IFERROR(__xludf.DUMMYFUNCTION("""COMPUTED_VALUE"""),"PEREMPUAN")</f>
        <v>PEREMPUAN</v>
      </c>
      <c r="M3269" s="35" t="str">
        <f>IFERROR(__xludf.DUMMYFUNCTION("""COMPUTED_VALUE"""),"JLN. NAWAWI HASAN II, GG. MATAN 3 NO 76")</f>
        <v>JLN. NAWAWI HASAN II, GG. MATAN 3 NO 76</v>
      </c>
      <c r="N3269" s="35" t="str">
        <f>IFERROR(__xludf.DUMMYFUNCTION("""COMPUTED_VALUE"""),"SUNGAI BELIUNG")</f>
        <v>SUNGAI BELIUNG</v>
      </c>
      <c r="O3269" s="35" t="str">
        <f>IFERROR(__xludf.DUMMYFUNCTION("""COMPUTED_VALUE"""),"PONTIANAK BARAT")</f>
        <v>PONTIANAK BARAT</v>
      </c>
      <c r="P3269" s="35" t="str">
        <f>IFERROR(__xludf.DUMMYFUNCTION("""COMPUTED_VALUE"""),"PONTIANAK")</f>
        <v>PONTIANAK</v>
      </c>
      <c r="Q3269" s="35" t="str">
        <f>IFERROR(__xludf.DUMMYFUNCTION("""COMPUTED_VALUE"""),"KALIMANTAN BARAT")</f>
        <v>KALIMANTAN BARAT</v>
      </c>
      <c r="R3269" s="35" t="str">
        <f>IFERROR(__xludf.DUMMYFUNCTION("""COMPUTED_VALUE"""),"ISLAM")</f>
        <v>ISLAM</v>
      </c>
      <c r="S3269" s="74" t="str">
        <f>IFERROR(__xludf.DUMMYFUNCTION("""COMPUTED_VALUE"""),"PELAJAR")</f>
        <v>PELAJAR</v>
      </c>
      <c r="T3269" s="35" t="str">
        <f>IFERROR(__xludf.DUMMYFUNCTION("""COMPUTED_VALUE"""),"SAKIT BAGIAN TULANG BELAKANG SAMPAI DAERAH BOKONG PADA SAAT MAU DUDUK DAN BERDIRI")</f>
        <v>SAKIT BAGIAN TULANG BELAKANG SAMPAI DAERAH BOKONG PADA SAAT MAU DUDUK DAN BERDIRI</v>
      </c>
      <c r="U3269" s="35" t="str">
        <f>IFERROR(__xludf.DUMMYFUNCTION("""COMPUTED_VALUE"""),"MENARI")</f>
        <v>MENARI</v>
      </c>
      <c r="V3269" s="35" t="str">
        <f>IFERROR(__xludf.DUMMYFUNCTION("""COMPUTED_VALUE"""),"085822411783")</f>
        <v>085822411783</v>
      </c>
      <c r="W3269" s="45"/>
    </row>
    <row r="3270">
      <c r="A3270" s="45"/>
      <c r="B3270" s="35" t="str">
        <f>IFERROR(__xludf.DUMMYFUNCTION("""COMPUTED_VALUE"""),"06/01/2026 18:13:24")</f>
        <v>06/01/2026 18:13:24</v>
      </c>
      <c r="C3270" s="35"/>
      <c r="D3270" s="10">
        <f>IFERROR(__xludf.DUMMYFUNCTION("""COMPUTED_VALUE"""),46028.0)</f>
        <v>46028</v>
      </c>
      <c r="E3270" s="35" t="str">
        <f>IFERROR(__xludf.DUMMYFUNCTION("""COMPUTED_VALUE"""),"01Jan")</f>
        <v>01Jan</v>
      </c>
      <c r="F3270" s="35" t="str">
        <f>IFERROR(__xludf.DUMMYFUNCTION("""COMPUTED_VALUE"""),"2026")</f>
        <v>2026</v>
      </c>
      <c r="G3270" s="35" t="str">
        <f>IFERROR(__xludf.DUMMYFUNCTION("""COMPUTED_VALUE"""),"NOPEARIANI, AMD.KEB")</f>
        <v>NOPEARIANI, AMD.KEB</v>
      </c>
      <c r="H3270" s="35" t="str">
        <f>IFERROR(__xludf.DUMMYFUNCTION("""COMPUTED_VALUE"""),"N8626019281")</f>
        <v>N8626019281</v>
      </c>
      <c r="I3270" s="35">
        <f>IFERROR(__xludf.DUMMYFUNCTION("""COMPUTED_VALUE"""),39.0)</f>
        <v>39</v>
      </c>
      <c r="J3270" s="35" t="str">
        <f>IFERROR(__xludf.DUMMYFUNCTION("""COMPUTED_VALUE"""),"35-44 tahun")</f>
        <v>35-44 tahun</v>
      </c>
      <c r="K3270" s="35" t="str">
        <f>IFERROR(__xludf.DUMMYFUNCTION("""COMPUTED_VALUE"""),"11/11/1986")</f>
        <v>11/11/1986</v>
      </c>
      <c r="L3270" s="35" t="str">
        <f>IFERROR(__xludf.DUMMYFUNCTION("""COMPUTED_VALUE"""),"PEREMPUAN")</f>
        <v>PEREMPUAN</v>
      </c>
      <c r="M3270" s="35" t="str">
        <f>IFERROR(__xludf.DUMMYFUNCTION("""COMPUTED_VALUE"""),"JLN KARYA BHAKTI NO 21")</f>
        <v>JLN KARYA BHAKTI NO 21</v>
      </c>
      <c r="N3270" s="35" t="str">
        <f>IFERROR(__xludf.DUMMYFUNCTION("""COMPUTED_VALUE"""),"AKCAYA")</f>
        <v>AKCAYA</v>
      </c>
      <c r="O3270" s="35" t="str">
        <f>IFERROR(__xludf.DUMMYFUNCTION("""COMPUTED_VALUE"""),"PONTIANAK SELATAN")</f>
        <v>PONTIANAK SELATAN</v>
      </c>
      <c r="P3270" s="35" t="str">
        <f>IFERROR(__xludf.DUMMYFUNCTION("""COMPUTED_VALUE"""),"PONTIANAK")</f>
        <v>PONTIANAK</v>
      </c>
      <c r="Q3270" s="35" t="str">
        <f>IFERROR(__xludf.DUMMYFUNCTION("""COMPUTED_VALUE"""),"KALIMANTAN BARAT")</f>
        <v>KALIMANTAN BARAT</v>
      </c>
      <c r="R3270" s="35" t="str">
        <f>IFERROR(__xludf.DUMMYFUNCTION("""COMPUTED_VALUE"""),"ISLAM")</f>
        <v>ISLAM</v>
      </c>
      <c r="S3270" s="74" t="str">
        <f>IFERROR(__xludf.DUMMYFUNCTION("""COMPUTED_VALUE"""),"ASN")</f>
        <v>ASN</v>
      </c>
      <c r="T3270" s="35" t="str">
        <f>IFERROR(__xludf.DUMMYFUNCTION("""COMPUTED_VALUE"""),"NYERI PUNGGUNG , PINGGANG, DAN TWRASA PANAS")</f>
        <v>NYERI PUNGGUNG , PINGGANG, DAN TWRASA PANAS</v>
      </c>
      <c r="U3270" s="35" t="str">
        <f>IFERROR(__xludf.DUMMYFUNCTION("""COMPUTED_VALUE"""),"PEKERJAAN MENOLONG PERSALINAN,")</f>
        <v>PEKERJAAN MENOLONG PERSALINAN,</v>
      </c>
      <c r="V3270" s="35" t="str">
        <f>IFERROR(__xludf.DUMMYFUNCTION("""COMPUTED_VALUE"""),"081362489281")</f>
        <v>081362489281</v>
      </c>
      <c r="W3270" s="45"/>
    </row>
    <row r="3271">
      <c r="A3271" s="45"/>
      <c r="B3271" s="35" t="str">
        <f>IFERROR(__xludf.DUMMYFUNCTION("""COMPUTED_VALUE"""),"06/01/2026 18:21:25")</f>
        <v>06/01/2026 18:21:25</v>
      </c>
      <c r="C3271" s="35"/>
      <c r="D3271" s="10">
        <f>IFERROR(__xludf.DUMMYFUNCTION("""COMPUTED_VALUE"""),46028.0)</f>
        <v>46028</v>
      </c>
      <c r="E3271" s="35" t="str">
        <f>IFERROR(__xludf.DUMMYFUNCTION("""COMPUTED_VALUE"""),"01Jan")</f>
        <v>01Jan</v>
      </c>
      <c r="F3271" s="35" t="str">
        <f>IFERROR(__xludf.DUMMYFUNCTION("""COMPUTED_VALUE"""),"2026")</f>
        <v>2026</v>
      </c>
      <c r="G3271" s="35" t="str">
        <f>IFERROR(__xludf.DUMMYFUNCTION("""COMPUTED_VALUE"""),"MARTHIN SHARON NAPITUPULU ")</f>
        <v>MARTHIN SHARON NAPITUPULU </v>
      </c>
      <c r="H3271" s="35" t="str">
        <f>IFERROR(__xludf.DUMMYFUNCTION("""COMPUTED_VALUE"""),"M0126012178")</f>
        <v>M0126012178</v>
      </c>
      <c r="I3271" s="35">
        <f>IFERROR(__xludf.DUMMYFUNCTION("""COMPUTED_VALUE"""),25.0)</f>
        <v>25</v>
      </c>
      <c r="J3271" s="35" t="str">
        <f>IFERROR(__xludf.DUMMYFUNCTION("""COMPUTED_VALUE"""),"25-34 tahun")</f>
        <v>25-34 tahun</v>
      </c>
      <c r="K3271" s="35" t="str">
        <f>IFERROR(__xludf.DUMMYFUNCTION("""COMPUTED_VALUE"""),"06/03/2001")</f>
        <v>06/03/2001</v>
      </c>
      <c r="L3271" s="35" t="str">
        <f>IFERROR(__xludf.DUMMYFUNCTION("""COMPUTED_VALUE"""),"LAKI-LAKI")</f>
        <v>LAKI-LAKI</v>
      </c>
      <c r="M3271" s="35" t="str">
        <f>IFERROR(__xludf.DUMMYFUNCTION("""COMPUTED_VALUE"""),"MUTIARA POINT BLOK A NO 87")</f>
        <v>MUTIARA POINT BLOK A NO 87</v>
      </c>
      <c r="N3271" s="35" t="str">
        <f>IFERROR(__xludf.DUMMYFUNCTION("""COMPUTED_VALUE"""),"TIBAN BARU")</f>
        <v>TIBAN BARU</v>
      </c>
      <c r="O3271" s="35" t="str">
        <f>IFERROR(__xludf.DUMMYFUNCTION("""COMPUTED_VALUE"""),"SEKUPANG")</f>
        <v>SEKUPANG</v>
      </c>
      <c r="P3271" s="35" t="str">
        <f>IFERROR(__xludf.DUMMYFUNCTION("""COMPUTED_VALUE"""),"BATAM")</f>
        <v>BATAM</v>
      </c>
      <c r="Q3271" s="35" t="str">
        <f>IFERROR(__xludf.DUMMYFUNCTION("""COMPUTED_VALUE"""),"KEPULAUAN RIAU")</f>
        <v>KEPULAUAN RIAU</v>
      </c>
      <c r="R3271" s="35" t="str">
        <f>IFERROR(__xludf.DUMMYFUNCTION("""COMPUTED_VALUE"""),"PROTESTAN")</f>
        <v>PROTESTAN</v>
      </c>
      <c r="S3271" s="74" t="str">
        <f>IFERROR(__xludf.DUMMYFUNCTION("""COMPUTED_VALUE"""),"MAHASISWA")</f>
        <v>MAHASISWA</v>
      </c>
      <c r="T3271" s="35" t="str">
        <f>IFERROR(__xludf.DUMMYFUNCTION("""COMPUTED_VALUE"""),"STRAIN LIGAMEN PADA LUTUT")</f>
        <v>STRAIN LIGAMEN PADA LUTUT</v>
      </c>
      <c r="U3271" s="35" t="str">
        <f>IFERROR(__xludf.DUMMYFUNCTION("""COMPUTED_VALUE"""),"LARI, BADMINTON, OLAHRAGA ")</f>
        <v>LARI, BADMINTON, OLAHRAGA </v>
      </c>
      <c r="V3271" s="35" t="str">
        <f>IFERROR(__xludf.DUMMYFUNCTION("""COMPUTED_VALUE"""),"089682352178")</f>
        <v>089682352178</v>
      </c>
      <c r="W3271" s="45"/>
    </row>
    <row r="3272">
      <c r="A3272" s="45"/>
      <c r="B3272" s="35" t="str">
        <f>IFERROR(__xludf.DUMMYFUNCTION("""COMPUTED_VALUE"""),"07/01/2026 9:29:34")</f>
        <v>07/01/2026 9:29:34</v>
      </c>
      <c r="C3272" s="35"/>
      <c r="D3272" s="10">
        <f>IFERROR(__xludf.DUMMYFUNCTION("""COMPUTED_VALUE"""),46029.0)</f>
        <v>46029</v>
      </c>
      <c r="E3272" s="35" t="str">
        <f>IFERROR(__xludf.DUMMYFUNCTION("""COMPUTED_VALUE"""),"01Jan")</f>
        <v>01Jan</v>
      </c>
      <c r="F3272" s="35" t="str">
        <f>IFERROR(__xludf.DUMMYFUNCTION("""COMPUTED_VALUE"""),"2026")</f>
        <v>2026</v>
      </c>
      <c r="G3272" s="35" t="str">
        <f>IFERROR(__xludf.DUMMYFUNCTION("""COMPUTED_VALUE"""),"CHRIS MULIO JOHANES")</f>
        <v>CHRIS MULIO JOHANES</v>
      </c>
      <c r="H3272" s="35" t="str">
        <f>IFERROR(__xludf.DUMMYFUNCTION("""COMPUTED_VALUE"""),"C8626018854")</f>
        <v>C8626018854</v>
      </c>
      <c r="I3272" s="35">
        <f>IFERROR(__xludf.DUMMYFUNCTION("""COMPUTED_VALUE"""),39.0)</f>
        <v>39</v>
      </c>
      <c r="J3272" s="35" t="str">
        <f>IFERROR(__xludf.DUMMYFUNCTION("""COMPUTED_VALUE"""),"35-44 tahun")</f>
        <v>35-44 tahun</v>
      </c>
      <c r="K3272" s="35" t="str">
        <f>IFERROR(__xludf.DUMMYFUNCTION("""COMPUTED_VALUE"""),"26/12/1986")</f>
        <v>26/12/1986</v>
      </c>
      <c r="L3272" s="35" t="str">
        <f>IFERROR(__xludf.DUMMYFUNCTION("""COMPUTED_VALUE"""),"LAKI-LAKI")</f>
        <v>LAKI-LAKI</v>
      </c>
      <c r="M3272" s="35" t="str">
        <f>IFERROR(__xludf.DUMMYFUNCTION("""COMPUTED_VALUE"""),"JL RAHWANA RAYA NO 42")</f>
        <v>JL RAHWANA RAYA NO 42</v>
      </c>
      <c r="N3272" s="35" t="str">
        <f>IFERROR(__xludf.DUMMYFUNCTION("""COMPUTED_VALUE"""),"CIBODAS BARU")</f>
        <v>CIBODAS BARU</v>
      </c>
      <c r="O3272" s="35" t="str">
        <f>IFERROR(__xludf.DUMMYFUNCTION("""COMPUTED_VALUE"""),"CIBODAS")</f>
        <v>CIBODAS</v>
      </c>
      <c r="P3272" s="35" t="str">
        <f>IFERROR(__xludf.DUMMYFUNCTION("""COMPUTED_VALUE"""),"TANGGERANG")</f>
        <v>TANGGERANG</v>
      </c>
      <c r="Q3272" s="35" t="str">
        <f>IFERROR(__xludf.DUMMYFUNCTION("""COMPUTED_VALUE"""),"BANTEN")</f>
        <v>BANTEN</v>
      </c>
      <c r="R3272" s="35" t="str">
        <f>IFERROR(__xludf.DUMMYFUNCTION("""COMPUTED_VALUE"""),"LAINNYA")</f>
        <v>LAINNYA</v>
      </c>
      <c r="S3272" s="74" t="str">
        <f>IFERROR(__xludf.DUMMYFUNCTION("""COMPUTED_VALUE"""),"PNS")</f>
        <v>PNS</v>
      </c>
      <c r="T3272" s="35" t="str">
        <f>IFERROR(__xludf.DUMMYFUNCTION("""COMPUTED_VALUE"""),"TERKILIR")</f>
        <v>TERKILIR</v>
      </c>
      <c r="U3272" s="35" t="str">
        <f>IFERROR(__xludf.DUMMYFUNCTION("""COMPUTED_VALUE"""),"-")</f>
        <v>-</v>
      </c>
      <c r="V3272" s="35" t="str">
        <f>IFERROR(__xludf.DUMMYFUNCTION("""COMPUTED_VALUE"""),"+6281314258854")</f>
        <v>+6281314258854</v>
      </c>
      <c r="W3272" s="45"/>
    </row>
    <row r="3273">
      <c r="A3273" s="45"/>
      <c r="B3273" s="35" t="str">
        <f>IFERROR(__xludf.DUMMYFUNCTION("""COMPUTED_VALUE"""),"07/01/2026 9:47:01")</f>
        <v>07/01/2026 9:47:01</v>
      </c>
      <c r="C3273" s="35"/>
      <c r="D3273" s="10">
        <f>IFERROR(__xludf.DUMMYFUNCTION("""COMPUTED_VALUE"""),46029.0)</f>
        <v>46029</v>
      </c>
      <c r="E3273" s="35" t="str">
        <f>IFERROR(__xludf.DUMMYFUNCTION("""COMPUTED_VALUE"""),"01Jan")</f>
        <v>01Jan</v>
      </c>
      <c r="F3273" s="35" t="str">
        <f>IFERROR(__xludf.DUMMYFUNCTION("""COMPUTED_VALUE"""),"2026")</f>
        <v>2026</v>
      </c>
      <c r="G3273" s="35" t="str">
        <f>IFERROR(__xludf.DUMMYFUNCTION("""COMPUTED_VALUE"""),"ICHSAN KAMIL")</f>
        <v>ICHSAN KAMIL</v>
      </c>
      <c r="H3273" s="35" t="str">
        <f>IFERROR(__xludf.DUMMYFUNCTION("""COMPUTED_VALUE"""),"I7126019977")</f>
        <v>I7126019977</v>
      </c>
      <c r="I3273" s="35">
        <f>IFERROR(__xludf.DUMMYFUNCTION("""COMPUTED_VALUE"""),54.0)</f>
        <v>54</v>
      </c>
      <c r="J3273" s="35" t="str">
        <f>IFERROR(__xludf.DUMMYFUNCTION("""COMPUTED_VALUE"""),"&gt; 44 tahun")</f>
        <v>&gt; 44 tahun</v>
      </c>
      <c r="K3273" s="35" t="str">
        <f>IFERROR(__xludf.DUMMYFUNCTION("""COMPUTED_VALUE"""),"23/10/1971")</f>
        <v>23/10/1971</v>
      </c>
      <c r="L3273" s="35" t="str">
        <f>IFERROR(__xludf.DUMMYFUNCTION("""COMPUTED_VALUE"""),"LAKI-LAKI")</f>
        <v>LAKI-LAKI</v>
      </c>
      <c r="M3273" s="35" t="str">
        <f>IFERROR(__xludf.DUMMYFUNCTION("""COMPUTED_VALUE"""),"JLN. DAGANG BARAT, DESA LUBUK DAGANG KEC. SAMBAS, KAB. SAMBAS KALIMANTAN BARAT")</f>
        <v>JLN. DAGANG BARAT, DESA LUBUK DAGANG KEC. SAMBAS, KAB. SAMBAS KALIMANTAN BARAT</v>
      </c>
      <c r="N3273" s="35" t="str">
        <f>IFERROR(__xludf.DUMMYFUNCTION("""COMPUTED_VALUE"""),"LUBUK DAGANG")</f>
        <v>LUBUK DAGANG</v>
      </c>
      <c r="O3273" s="35" t="str">
        <f>IFERROR(__xludf.DUMMYFUNCTION("""COMPUTED_VALUE"""),"SAMBAS")</f>
        <v>SAMBAS</v>
      </c>
      <c r="P3273" s="35" t="str">
        <f>IFERROR(__xludf.DUMMYFUNCTION("""COMPUTED_VALUE"""),"SAMBAS")</f>
        <v>SAMBAS</v>
      </c>
      <c r="Q3273" s="35" t="str">
        <f>IFERROR(__xludf.DUMMYFUNCTION("""COMPUTED_VALUE"""),"KALIMANTAN BARAT")</f>
        <v>KALIMANTAN BARAT</v>
      </c>
      <c r="R3273" s="35" t="str">
        <f>IFERROR(__xludf.DUMMYFUNCTION("""COMPUTED_VALUE"""),"ISLAM")</f>
        <v>ISLAM</v>
      </c>
      <c r="S3273" s="74" t="str">
        <f>IFERROR(__xludf.DUMMYFUNCTION("""COMPUTED_VALUE"""),"KARYAWAN SWASTA")</f>
        <v>KARYAWAN SWASTA</v>
      </c>
      <c r="T3273" s="35" t="str">
        <f>IFERROR(__xludf.DUMMYFUNCTION("""COMPUTED_VALUE"""),"PASCA OPERASI MENISCUS")</f>
        <v>PASCA OPERASI MENISCUS</v>
      </c>
      <c r="U3273" s="35" t="str">
        <f>IFERROR(__xludf.DUMMYFUNCTION("""COMPUTED_VALUE"""),"JALAN KAKI")</f>
        <v>JALAN KAKI</v>
      </c>
      <c r="V3273" s="35" t="str">
        <f>IFERROR(__xludf.DUMMYFUNCTION("""COMPUTED_VALUE"""),"08115789977")</f>
        <v>08115789977</v>
      </c>
      <c r="W3273" s="45"/>
    </row>
    <row r="3274">
      <c r="A3274" s="45"/>
      <c r="B3274" s="35" t="str">
        <f>IFERROR(__xludf.DUMMYFUNCTION("""COMPUTED_VALUE"""),"07/01/2026 10:18:24")</f>
        <v>07/01/2026 10:18:24</v>
      </c>
      <c r="C3274" s="35"/>
      <c r="D3274" s="10">
        <f>IFERROR(__xludf.DUMMYFUNCTION("""COMPUTED_VALUE"""),46029.0)</f>
        <v>46029</v>
      </c>
      <c r="E3274" s="35" t="str">
        <f>IFERROR(__xludf.DUMMYFUNCTION("""COMPUTED_VALUE"""),"01Jan")</f>
        <v>01Jan</v>
      </c>
      <c r="F3274" s="35" t="str">
        <f>IFERROR(__xludf.DUMMYFUNCTION("""COMPUTED_VALUE"""),"2026")</f>
        <v>2026</v>
      </c>
      <c r="G3274" s="35" t="str">
        <f>IFERROR(__xludf.DUMMYFUNCTION("""COMPUTED_VALUE"""),"CINDY MONALISA ANDDIE")</f>
        <v>CINDY MONALISA ANDDIE</v>
      </c>
      <c r="H3274" s="35" t="str">
        <f>IFERROR(__xludf.DUMMYFUNCTION("""COMPUTED_VALUE"""),"C8726018004")</f>
        <v>C8726018004</v>
      </c>
      <c r="I3274" s="35">
        <f>IFERROR(__xludf.DUMMYFUNCTION("""COMPUTED_VALUE"""),39.0)</f>
        <v>39</v>
      </c>
      <c r="J3274" s="35" t="str">
        <f>IFERROR(__xludf.DUMMYFUNCTION("""COMPUTED_VALUE"""),"35-44 tahun")</f>
        <v>35-44 tahun</v>
      </c>
      <c r="K3274" s="35" t="str">
        <f>IFERROR(__xludf.DUMMYFUNCTION("""COMPUTED_VALUE"""),"08/04/1987")</f>
        <v>08/04/1987</v>
      </c>
      <c r="L3274" s="35" t="str">
        <f>IFERROR(__xludf.DUMMYFUNCTION("""COMPUTED_VALUE"""),"PEREMPUAN")</f>
        <v>PEREMPUAN</v>
      </c>
      <c r="M3274" s="35" t="str">
        <f>IFERROR(__xludf.DUMMYFUNCTION("""COMPUTED_VALUE"""),"JL. PETANI KOMP. SENTARUM LESTARI NO. A5")</f>
        <v>JL. PETANI KOMP. SENTARUM LESTARI NO. A5</v>
      </c>
      <c r="N3274" s="35" t="str">
        <f>IFERROR(__xludf.DUMMYFUNCTION("""COMPUTED_VALUE"""),"SUNGAI JAWI")</f>
        <v>SUNGAI JAWI</v>
      </c>
      <c r="O3274" s="35" t="str">
        <f>IFERROR(__xludf.DUMMYFUNCTION("""COMPUTED_VALUE"""),"PONTIANAK KOTA")</f>
        <v>PONTIANAK KOTA</v>
      </c>
      <c r="P3274" s="35" t="str">
        <f>IFERROR(__xludf.DUMMYFUNCTION("""COMPUTED_VALUE"""),"KOTA PONTIANAK")</f>
        <v>KOTA PONTIANAK</v>
      </c>
      <c r="Q3274" s="35" t="str">
        <f>IFERROR(__xludf.DUMMYFUNCTION("""COMPUTED_VALUE"""),"KALIMANTAN BARAT")</f>
        <v>KALIMANTAN BARAT</v>
      </c>
      <c r="R3274" s="35" t="str">
        <f>IFERROR(__xludf.DUMMYFUNCTION("""COMPUTED_VALUE"""),"PROTESTAN")</f>
        <v>PROTESTAN</v>
      </c>
      <c r="S3274" s="74" t="str">
        <f>IFERROR(__xludf.DUMMYFUNCTION("""COMPUTED_VALUE"""),"IRT")</f>
        <v>IRT</v>
      </c>
      <c r="T3274" s="35" t="str">
        <f>IFERROR(__xludf.DUMMYFUNCTION("""COMPUTED_VALUE"""),"SAKIT DI PERGELANGAN TANGAN")</f>
        <v>SAKIT DI PERGELANGAN TANGAN</v>
      </c>
      <c r="U3274" s="35" t="str">
        <f>IFERROR(__xludf.DUMMYFUNCTION("""COMPUTED_VALUE"""),"TIDAK ADA")</f>
        <v>TIDAK ADA</v>
      </c>
      <c r="V3274" s="35" t="str">
        <f>IFERROR(__xludf.DUMMYFUNCTION("""COMPUTED_VALUE"""),"08999098004")</f>
        <v>08999098004</v>
      </c>
      <c r="W3274" s="45"/>
    </row>
    <row r="3275">
      <c r="A3275" s="45"/>
      <c r="B3275" s="35" t="str">
        <f>IFERROR(__xludf.DUMMYFUNCTION("""COMPUTED_VALUE"""),"07/01/2026 10:20:27")</f>
        <v>07/01/2026 10:20:27</v>
      </c>
      <c r="C3275" s="35"/>
      <c r="D3275" s="10">
        <f>IFERROR(__xludf.DUMMYFUNCTION("""COMPUTED_VALUE"""),46029.0)</f>
        <v>46029</v>
      </c>
      <c r="E3275" s="35" t="str">
        <f>IFERROR(__xludf.DUMMYFUNCTION("""COMPUTED_VALUE"""),"01Jan")</f>
        <v>01Jan</v>
      </c>
      <c r="F3275" s="35" t="str">
        <f>IFERROR(__xludf.DUMMYFUNCTION("""COMPUTED_VALUE"""),"2026")</f>
        <v>2026</v>
      </c>
      <c r="G3275" s="35" t="str">
        <f>IFERROR(__xludf.DUMMYFUNCTION("""COMPUTED_VALUE"""),"TJHOA KHA TJE")</f>
        <v>TJHOA KHA TJE</v>
      </c>
      <c r="H3275" s="35" t="str">
        <f>IFERROR(__xludf.DUMMYFUNCTION("""COMPUTED_VALUE"""),"T6326018004")</f>
        <v>T6326018004</v>
      </c>
      <c r="I3275" s="35">
        <f>IFERROR(__xludf.DUMMYFUNCTION("""COMPUTED_VALUE"""),62.0)</f>
        <v>62</v>
      </c>
      <c r="J3275" s="35" t="str">
        <f>IFERROR(__xludf.DUMMYFUNCTION("""COMPUTED_VALUE"""),"&gt; 44 tahun")</f>
        <v>&gt; 44 tahun</v>
      </c>
      <c r="K3275" s="35" t="str">
        <f>IFERROR(__xludf.DUMMYFUNCTION("""COMPUTED_VALUE"""),"29/09/1963")</f>
        <v>29/09/1963</v>
      </c>
      <c r="L3275" s="35" t="str">
        <f>IFERROR(__xludf.DUMMYFUNCTION("""COMPUTED_VALUE"""),"PEREMPUAN")</f>
        <v>PEREMPUAN</v>
      </c>
      <c r="M3275" s="35" t="str">
        <f>IFERROR(__xludf.DUMMYFUNCTION("""COMPUTED_VALUE"""),"JL. K. H. A. DAHLAN GG. RUPER 1 NO. 17C")</f>
        <v>JL. K. H. A. DAHLAN GG. RUPER 1 NO. 17C</v>
      </c>
      <c r="N3275" s="35" t="str">
        <f>IFERROR(__xludf.DUMMYFUNCTION("""COMPUTED_VALUE"""),"SUNGAI BANGKONG")</f>
        <v>SUNGAI BANGKONG</v>
      </c>
      <c r="O3275" s="35" t="str">
        <f>IFERROR(__xludf.DUMMYFUNCTION("""COMPUTED_VALUE"""),"PONTIANAK KOTA")</f>
        <v>PONTIANAK KOTA</v>
      </c>
      <c r="P3275" s="35" t="str">
        <f>IFERROR(__xludf.DUMMYFUNCTION("""COMPUTED_VALUE"""),"KOTA PONTIANAK")</f>
        <v>KOTA PONTIANAK</v>
      </c>
      <c r="Q3275" s="35" t="str">
        <f>IFERROR(__xludf.DUMMYFUNCTION("""COMPUTED_VALUE"""),"KALIMANTAN BARAT")</f>
        <v>KALIMANTAN BARAT</v>
      </c>
      <c r="R3275" s="35" t="str">
        <f>IFERROR(__xludf.DUMMYFUNCTION("""COMPUTED_VALUE"""),"BUDDHA")</f>
        <v>BUDDHA</v>
      </c>
      <c r="S3275" s="74" t="str">
        <f>IFERROR(__xludf.DUMMYFUNCTION("""COMPUTED_VALUE"""),"IRT")</f>
        <v>IRT</v>
      </c>
      <c r="T3275" s="35" t="str">
        <f>IFERROR(__xludf.DUMMYFUNCTION("""COMPUTED_VALUE"""),"SAKIT DI PUNDAK")</f>
        <v>SAKIT DI PUNDAK</v>
      </c>
      <c r="U3275" s="35" t="str">
        <f>IFERROR(__xludf.DUMMYFUNCTION("""COMPUTED_VALUE"""),"PEKERJAAN RUMAH TANGGA")</f>
        <v>PEKERJAAN RUMAH TANGGA</v>
      </c>
      <c r="V3275" s="35" t="str">
        <f>IFERROR(__xludf.DUMMYFUNCTION("""COMPUTED_VALUE"""),"08999098004")</f>
        <v>08999098004</v>
      </c>
      <c r="W3275" s="45"/>
    </row>
    <row r="3276">
      <c r="A3276" s="45"/>
      <c r="B3276" s="35" t="str">
        <f>IFERROR(__xludf.DUMMYFUNCTION("""COMPUTED_VALUE"""),"07/01/2026 14:43:17")</f>
        <v>07/01/2026 14:43:17</v>
      </c>
      <c r="C3276" s="35"/>
      <c r="D3276" s="10">
        <f>IFERROR(__xludf.DUMMYFUNCTION("""COMPUTED_VALUE"""),46029.0)</f>
        <v>46029</v>
      </c>
      <c r="E3276" s="35" t="str">
        <f>IFERROR(__xludf.DUMMYFUNCTION("""COMPUTED_VALUE"""),"01Jan")</f>
        <v>01Jan</v>
      </c>
      <c r="F3276" s="35" t="str">
        <f>IFERROR(__xludf.DUMMYFUNCTION("""COMPUTED_VALUE"""),"2026")</f>
        <v>2026</v>
      </c>
      <c r="G3276" s="35" t="str">
        <f>IFERROR(__xludf.DUMMYFUNCTION("""COMPUTED_VALUE"""),"SAMIJO")</f>
        <v>SAMIJO</v>
      </c>
      <c r="H3276" s="35" t="str">
        <f>IFERROR(__xludf.DUMMYFUNCTION("""COMPUTED_VALUE"""),"S7026010528")</f>
        <v>S7026010528</v>
      </c>
      <c r="I3276" s="35">
        <f>IFERROR(__xludf.DUMMYFUNCTION("""COMPUTED_VALUE"""),56.0)</f>
        <v>56</v>
      </c>
      <c r="J3276" s="35" t="str">
        <f>IFERROR(__xludf.DUMMYFUNCTION("""COMPUTED_VALUE"""),"&gt; 44 tahun")</f>
        <v>&gt; 44 tahun</v>
      </c>
      <c r="K3276" s="35" t="str">
        <f>IFERROR(__xludf.DUMMYFUNCTION("""COMPUTED_VALUE"""),"06/06/1970")</f>
        <v>06/06/1970</v>
      </c>
      <c r="L3276" s="35" t="str">
        <f>IFERROR(__xludf.DUMMYFUNCTION("""COMPUTED_VALUE"""),"LAKI-LAKI")</f>
        <v>LAKI-LAKI</v>
      </c>
      <c r="M3276" s="35" t="str">
        <f>IFERROR(__xludf.DUMMYFUNCTION("""COMPUTED_VALUE"""),"JL. KESEHATAN GG SUMBER AGUNG 1")</f>
        <v>JL. KESEHATAN GG SUMBER AGUNG 1</v>
      </c>
      <c r="N3276" s="35" t="str">
        <f>IFERROR(__xludf.DUMMYFUNCTION("""COMPUTED_VALUE"""),"KEL. KOTABARU")</f>
        <v>KEL. KOTABARU</v>
      </c>
      <c r="O3276" s="35" t="str">
        <f>IFERROR(__xludf.DUMMYFUNCTION("""COMPUTED_VALUE"""),"PONTIANAK SELATAN")</f>
        <v>PONTIANAK SELATAN</v>
      </c>
      <c r="P3276" s="35" t="str">
        <f>IFERROR(__xludf.DUMMYFUNCTION("""COMPUTED_VALUE"""),"KOTA PONTIANAK")</f>
        <v>KOTA PONTIANAK</v>
      </c>
      <c r="Q3276" s="35" t="str">
        <f>IFERROR(__xludf.DUMMYFUNCTION("""COMPUTED_VALUE"""),"KAL-BAR")</f>
        <v>KAL-BAR</v>
      </c>
      <c r="R3276" s="35" t="str">
        <f>IFERROR(__xludf.DUMMYFUNCTION("""COMPUTED_VALUE"""),"ISLAM")</f>
        <v>ISLAM</v>
      </c>
      <c r="S3276" s="74" t="str">
        <f>IFERROR(__xludf.DUMMYFUNCTION("""COMPUTED_VALUE"""),"PNS")</f>
        <v>PNS</v>
      </c>
      <c r="T3276" s="35" t="str">
        <f>IFERROR(__xludf.DUMMYFUNCTION("""COMPUTED_VALUE"""),"LUTUT NYERI, NYILU, TIDAK BISA D TEKUK, BANGUN TIDUR LUTUT KAKU. ")</f>
        <v>LUTUT NYERI, NYILU, TIDAK BISA D TEKUK, BANGUN TIDUR LUTUT KAKU. </v>
      </c>
      <c r="U3276" s="35" t="str">
        <f>IFERROR(__xludf.DUMMYFUNCTION("""COMPUTED_VALUE"""),"VOLI")</f>
        <v>VOLI</v>
      </c>
      <c r="V3276" s="35" t="str">
        <f>IFERROR(__xludf.DUMMYFUNCTION("""COMPUTED_VALUE"""),"081257610528")</f>
        <v>081257610528</v>
      </c>
      <c r="W3276" s="45"/>
    </row>
    <row r="3277">
      <c r="A3277" s="45"/>
      <c r="B3277" s="35" t="str">
        <f>IFERROR(__xludf.DUMMYFUNCTION("""COMPUTED_VALUE"""),"07/01/2026 16:11:23")</f>
        <v>07/01/2026 16:11:23</v>
      </c>
      <c r="C3277" s="35"/>
      <c r="D3277" s="10">
        <f>IFERROR(__xludf.DUMMYFUNCTION("""COMPUTED_VALUE"""),46029.0)</f>
        <v>46029</v>
      </c>
      <c r="E3277" s="35" t="str">
        <f>IFERROR(__xludf.DUMMYFUNCTION("""COMPUTED_VALUE"""),"01Jan")</f>
        <v>01Jan</v>
      </c>
      <c r="F3277" s="35" t="str">
        <f>IFERROR(__xludf.DUMMYFUNCTION("""COMPUTED_VALUE"""),"2026")</f>
        <v>2026</v>
      </c>
      <c r="G3277" s="35" t="str">
        <f>IFERROR(__xludf.DUMMYFUNCTION("""COMPUTED_VALUE"""),"WIDO")</f>
        <v>WIDO</v>
      </c>
      <c r="H3277" s="35" t="str">
        <f>IFERROR(__xludf.DUMMYFUNCTION("""COMPUTED_VALUE"""),"W0426010855")</f>
        <v>W0426010855</v>
      </c>
      <c r="I3277" s="35">
        <f>IFERROR(__xludf.DUMMYFUNCTION("""COMPUTED_VALUE"""),21.0)</f>
        <v>21</v>
      </c>
      <c r="J3277" s="35" t="str">
        <f>IFERROR(__xludf.DUMMYFUNCTION("""COMPUTED_VALUE"""),"18-24 tahun")</f>
        <v>18-24 tahun</v>
      </c>
      <c r="K3277" s="35" t="str">
        <f>IFERROR(__xludf.DUMMYFUNCTION("""COMPUTED_VALUE"""),"22/06/2004")</f>
        <v>22/06/2004</v>
      </c>
      <c r="L3277" s="35" t="str">
        <f>IFERROR(__xludf.DUMMYFUNCTION("""COMPUTED_VALUE"""),"LAKI-LAKI")</f>
        <v>LAKI-LAKI</v>
      </c>
      <c r="M3277" s="35" t="str">
        <f>IFERROR(__xludf.DUMMYFUNCTION("""COMPUTED_VALUE"""),"JL PADAT KARYA")</f>
        <v>JL PADAT KARYA</v>
      </c>
      <c r="N3277" s="35" t="str">
        <f>IFERROR(__xludf.DUMMYFUNCTION("""COMPUTED_VALUE"""),"-")</f>
        <v>-</v>
      </c>
      <c r="O3277" s="35" t="str">
        <f>IFERROR(__xludf.DUMMYFUNCTION("""COMPUTED_VALUE"""),"-")</f>
        <v>-</v>
      </c>
      <c r="P3277" s="35" t="str">
        <f>IFERROR(__xludf.DUMMYFUNCTION("""COMPUTED_VALUE"""),"-")</f>
        <v>-</v>
      </c>
      <c r="Q3277" s="35" t="str">
        <f>IFERROR(__xludf.DUMMYFUNCTION("""COMPUTED_VALUE"""),"-")</f>
        <v>-</v>
      </c>
      <c r="R3277" s="35" t="str">
        <f>IFERROR(__xludf.DUMMYFUNCTION("""COMPUTED_VALUE"""),"ISLAM")</f>
        <v>ISLAM</v>
      </c>
      <c r="S3277" s="74" t="str">
        <f>IFERROR(__xludf.DUMMYFUNCTION("""COMPUTED_VALUE"""),"MAHASISWA")</f>
        <v>MAHASISWA</v>
      </c>
      <c r="T3277" s="35" t="str">
        <f>IFERROR(__xludf.DUMMYFUNCTION("""COMPUTED_VALUE"""),"PAHA BELAKANG")</f>
        <v>PAHA BELAKANG</v>
      </c>
      <c r="U3277" s="35" t="str">
        <f>IFERROR(__xludf.DUMMYFUNCTION("""COMPUTED_VALUE"""),"-")</f>
        <v>-</v>
      </c>
      <c r="V3277" s="35" t="str">
        <f>IFERROR(__xludf.DUMMYFUNCTION("""COMPUTED_VALUE"""),"089512430855")</f>
        <v>089512430855</v>
      </c>
      <c r="W3277" s="45"/>
    </row>
    <row r="3278">
      <c r="A3278" s="45"/>
      <c r="B3278" s="35" t="str">
        <f>IFERROR(__xludf.DUMMYFUNCTION("""COMPUTED_VALUE"""),"07/01/2026 17:56:21")</f>
        <v>07/01/2026 17:56:21</v>
      </c>
      <c r="C3278" s="35"/>
      <c r="D3278" s="10">
        <f>IFERROR(__xludf.DUMMYFUNCTION("""COMPUTED_VALUE"""),46029.0)</f>
        <v>46029</v>
      </c>
      <c r="E3278" s="35" t="str">
        <f>IFERROR(__xludf.DUMMYFUNCTION("""COMPUTED_VALUE"""),"01Jan")</f>
        <v>01Jan</v>
      </c>
      <c r="F3278" s="35" t="str">
        <f>IFERROR(__xludf.DUMMYFUNCTION("""COMPUTED_VALUE"""),"2026")</f>
        <v>2026</v>
      </c>
      <c r="G3278" s="35" t="str">
        <f>IFERROR(__xludf.DUMMYFUNCTION("""COMPUTED_VALUE"""),"M FAIZ AL BARA")</f>
        <v>M FAIZ AL BARA</v>
      </c>
      <c r="H3278" s="35" t="str">
        <f>IFERROR(__xludf.DUMMYFUNCTION("""COMPUTED_VALUE"""),"M0926014305")</f>
        <v>M0926014305</v>
      </c>
      <c r="I3278" s="35">
        <f>IFERROR(__xludf.DUMMYFUNCTION("""COMPUTED_VALUE"""),16.0)</f>
        <v>16</v>
      </c>
      <c r="J3278" s="35" t="str">
        <f>IFERROR(__xludf.DUMMYFUNCTION("""COMPUTED_VALUE"""),"&lt; 18 tahun")</f>
        <v>&lt; 18 tahun</v>
      </c>
      <c r="K3278" s="35" t="str">
        <f>IFERROR(__xludf.DUMMYFUNCTION("""COMPUTED_VALUE"""),"24/12/2009")</f>
        <v>24/12/2009</v>
      </c>
      <c r="L3278" s="35" t="str">
        <f>IFERROR(__xludf.DUMMYFUNCTION("""COMPUTED_VALUE"""),"LAKI-LAKI")</f>
        <v>LAKI-LAKI</v>
      </c>
      <c r="M3278" s="35" t="str">
        <f>IFERROR(__xludf.DUMMYFUNCTION("""COMPUTED_VALUE"""),"JL CENDRAWASIH NO 77")</f>
        <v>JL CENDRAWASIH NO 77</v>
      </c>
      <c r="N3278" s="35" t="str">
        <f>IFERROR(__xludf.DUMMYFUNCTION("""COMPUTED_VALUE"""),"-")</f>
        <v>-</v>
      </c>
      <c r="O3278" s="35" t="str">
        <f>IFERROR(__xludf.DUMMYFUNCTION("""COMPUTED_VALUE"""),"-")</f>
        <v>-</v>
      </c>
      <c r="P3278" s="35" t="str">
        <f>IFERROR(__xludf.DUMMYFUNCTION("""COMPUTED_VALUE"""),"PONTIANAK")</f>
        <v>PONTIANAK</v>
      </c>
      <c r="Q3278" s="35" t="str">
        <f>IFERROR(__xludf.DUMMYFUNCTION("""COMPUTED_VALUE"""),"KALIMANTAN BARAT")</f>
        <v>KALIMANTAN BARAT</v>
      </c>
      <c r="R3278" s="35" t="str">
        <f>IFERROR(__xludf.DUMMYFUNCTION("""COMPUTED_VALUE"""),"ISLAM")</f>
        <v>ISLAM</v>
      </c>
      <c r="S3278" s="74" t="str">
        <f>IFERROR(__xludf.DUMMYFUNCTION("""COMPUTED_VALUE"""),"PELAJAR")</f>
        <v>PELAJAR</v>
      </c>
      <c r="T3278" s="35" t="str">
        <f>IFERROR(__xludf.DUMMYFUNCTION("""COMPUTED_VALUE"""),"CEDERA HABIS BASKET DI PINGGANG DAN KAKI RASA KETARIK")</f>
        <v>CEDERA HABIS BASKET DI PINGGANG DAN KAKI RASA KETARIK</v>
      </c>
      <c r="U3278" s="35" t="str">
        <f>IFERROR(__xludf.DUMMYFUNCTION("""COMPUTED_VALUE"""),"-")</f>
        <v>-</v>
      </c>
      <c r="V3278" s="35" t="str">
        <f>IFERROR(__xludf.DUMMYFUNCTION("""COMPUTED_VALUE"""),"089516744305")</f>
        <v>089516744305</v>
      </c>
      <c r="W3278" s="45"/>
    </row>
    <row r="3279">
      <c r="A3279" s="45"/>
      <c r="B3279" s="35" t="str">
        <f>IFERROR(__xludf.DUMMYFUNCTION("""COMPUTED_VALUE"""),"07/01/2026 19:30:28")</f>
        <v>07/01/2026 19:30:28</v>
      </c>
      <c r="C3279" s="35"/>
      <c r="D3279" s="10">
        <f>IFERROR(__xludf.DUMMYFUNCTION("""COMPUTED_VALUE"""),46029.0)</f>
        <v>46029</v>
      </c>
      <c r="E3279" s="35" t="str">
        <f>IFERROR(__xludf.DUMMYFUNCTION("""COMPUTED_VALUE"""),"01Jan")</f>
        <v>01Jan</v>
      </c>
      <c r="F3279" s="35" t="str">
        <f>IFERROR(__xludf.DUMMYFUNCTION("""COMPUTED_VALUE"""),"2026")</f>
        <v>2026</v>
      </c>
      <c r="G3279" s="35" t="str">
        <f>IFERROR(__xludf.DUMMYFUNCTION("""COMPUTED_VALUE"""),"AULIA SUCI NURFADILA")</f>
        <v>AULIA SUCI NURFADILA</v>
      </c>
      <c r="H3279" s="35" t="str">
        <f>IFERROR(__xludf.DUMMYFUNCTION("""COMPUTED_VALUE"""),"A0426019215")</f>
        <v>A0426019215</v>
      </c>
      <c r="I3279" s="35">
        <f>IFERROR(__xludf.DUMMYFUNCTION("""COMPUTED_VALUE"""),22.0)</f>
        <v>22</v>
      </c>
      <c r="J3279" s="35" t="str">
        <f>IFERROR(__xludf.DUMMYFUNCTION("""COMPUTED_VALUE"""),"18-24 tahun")</f>
        <v>18-24 tahun</v>
      </c>
      <c r="K3279" s="35" t="str">
        <f>IFERROR(__xludf.DUMMYFUNCTION("""COMPUTED_VALUE"""),"21/04/2004")</f>
        <v>21/04/2004</v>
      </c>
      <c r="L3279" s="35" t="str">
        <f>IFERROR(__xludf.DUMMYFUNCTION("""COMPUTED_VALUE"""),"PEREMPUAN")</f>
        <v>PEREMPUAN</v>
      </c>
      <c r="M3279" s="35" t="str">
        <f>IFERROR(__xludf.DUMMYFUNCTION("""COMPUTED_VALUE""")," DERWATI, RANCASARI, KOTA BANDUNG, JAWABARAT")</f>
        <v> DERWATI, RANCASARI, KOTA BANDUNG, JAWABARAT</v>
      </c>
      <c r="N3279" s="35" t="str">
        <f>IFERROR(__xludf.DUMMYFUNCTION("""COMPUTED_VALUE"""),"DERWATI")</f>
        <v>DERWATI</v>
      </c>
      <c r="O3279" s="35" t="str">
        <f>IFERROR(__xludf.DUMMYFUNCTION("""COMPUTED_VALUE"""),"RANCASARI")</f>
        <v>RANCASARI</v>
      </c>
      <c r="P3279" s="35" t="str">
        <f>IFERROR(__xludf.DUMMYFUNCTION("""COMPUTED_VALUE"""),"KOTA BANDUNG")</f>
        <v>KOTA BANDUNG</v>
      </c>
      <c r="Q3279" s="35" t="str">
        <f>IFERROR(__xludf.DUMMYFUNCTION("""COMPUTED_VALUE"""),"JAWA BARAT")</f>
        <v>JAWA BARAT</v>
      </c>
      <c r="R3279" s="35" t="str">
        <f>IFERROR(__xludf.DUMMYFUNCTION("""COMPUTED_VALUE"""),"ISLAM")</f>
        <v>ISLAM</v>
      </c>
      <c r="S3279" s="74" t="str">
        <f>IFERROR(__xludf.DUMMYFUNCTION("""COMPUTED_VALUE"""),"MAHASISWA/ ATLET")</f>
        <v>MAHASISWA/ ATLET</v>
      </c>
      <c r="T3279" s="35" t="str">
        <f>IFERROR(__xludf.DUMMYFUNCTION("""COMPUTED_VALUE"""),"POST OP SHOULDER 7 BULAN")</f>
        <v>POST OP SHOULDER 7 BULAN</v>
      </c>
      <c r="U3279" s="35" t="str">
        <f>IFERROR(__xludf.DUMMYFUNCTION("""COMPUTED_VALUE"""),"VOLI")</f>
        <v>VOLI</v>
      </c>
      <c r="V3279" s="35" t="str">
        <f>IFERROR(__xludf.DUMMYFUNCTION("""COMPUTED_VALUE"""),"081319249215")</f>
        <v>081319249215</v>
      </c>
      <c r="W3279" s="45"/>
    </row>
    <row r="3280">
      <c r="A3280" s="45"/>
      <c r="B3280" s="35" t="str">
        <f>IFERROR(__xludf.DUMMYFUNCTION("""COMPUTED_VALUE"""),"08/01/2026 11:08:11")</f>
        <v>08/01/2026 11:08:11</v>
      </c>
      <c r="C3280" s="35"/>
      <c r="D3280" s="10">
        <f>IFERROR(__xludf.DUMMYFUNCTION("""COMPUTED_VALUE"""),46030.0)</f>
        <v>46030</v>
      </c>
      <c r="E3280" s="35" t="str">
        <f>IFERROR(__xludf.DUMMYFUNCTION("""COMPUTED_VALUE"""),"01Jan")</f>
        <v>01Jan</v>
      </c>
      <c r="F3280" s="35" t="str">
        <f>IFERROR(__xludf.DUMMYFUNCTION("""COMPUTED_VALUE"""),"2026")</f>
        <v>2026</v>
      </c>
      <c r="G3280" s="35" t="str">
        <f>IFERROR(__xludf.DUMMYFUNCTION("""COMPUTED_VALUE"""),"NG TJOEI FONG ALS SILVIA")</f>
        <v>NG TJOEI FONG ALS SILVIA</v>
      </c>
      <c r="H3280" s="35" t="str">
        <f>IFERROR(__xludf.DUMMYFUNCTION("""COMPUTED_VALUE"""),"N5426017090")</f>
        <v>N5426017090</v>
      </c>
      <c r="I3280" s="35">
        <f>IFERROR(__xludf.DUMMYFUNCTION("""COMPUTED_VALUE"""),71.0)</f>
        <v>71</v>
      </c>
      <c r="J3280" s="35" t="str">
        <f>IFERROR(__xludf.DUMMYFUNCTION("""COMPUTED_VALUE"""),"&gt; 44 tahun")</f>
        <v>&gt; 44 tahun</v>
      </c>
      <c r="K3280" s="35" t="str">
        <f>IFERROR(__xludf.DUMMYFUNCTION("""COMPUTED_VALUE"""),"10/12/1954")</f>
        <v>10/12/1954</v>
      </c>
      <c r="L3280" s="35" t="str">
        <f>IFERROR(__xludf.DUMMYFUNCTION("""COMPUTED_VALUE"""),"PEREMPUAN")</f>
        <v>PEREMPUAN</v>
      </c>
      <c r="M3280" s="35" t="str">
        <f>IFERROR(__xludf.DUMMYFUNCTION("""COMPUTED_VALUE"""),"JALAN TANJUNGPURA NO 146")</f>
        <v>JALAN TANJUNGPURA NO 146</v>
      </c>
      <c r="N3280" s="35" t="str">
        <f>IFERROR(__xludf.DUMMYFUNCTION("""COMPUTED_VALUE"""),"BENUA MELAYU LAUT")</f>
        <v>BENUA MELAYU LAUT</v>
      </c>
      <c r="O3280" s="35" t="str">
        <f>IFERROR(__xludf.DUMMYFUNCTION("""COMPUTED_VALUE"""),"PONTIANAK SELATAN")</f>
        <v>PONTIANAK SELATAN</v>
      </c>
      <c r="P3280" s="35" t="str">
        <f>IFERROR(__xludf.DUMMYFUNCTION("""COMPUTED_VALUE"""),"KOTA PONTIANAK")</f>
        <v>KOTA PONTIANAK</v>
      </c>
      <c r="Q3280" s="35" t="str">
        <f>IFERROR(__xludf.DUMMYFUNCTION("""COMPUTED_VALUE"""),"KALIMANTAN BARAT")</f>
        <v>KALIMANTAN BARAT</v>
      </c>
      <c r="R3280" s="35" t="str">
        <f>IFERROR(__xludf.DUMMYFUNCTION("""COMPUTED_VALUE"""),"BUDDHA")</f>
        <v>BUDDHA</v>
      </c>
      <c r="S3280" s="74" t="str">
        <f>IFERROR(__xludf.DUMMYFUNCTION("""COMPUTED_VALUE"""),"PILOT")</f>
        <v>PILOT</v>
      </c>
      <c r="T3280" s="35" t="str">
        <f>IFERROR(__xludf.DUMMYFUNCTION("""COMPUTED_VALUE"""),"PERENGGANGAN DAN PERKUAT OTOT")</f>
        <v>PERENGGANGAN DAN PERKUAT OTOT</v>
      </c>
      <c r="U3280" s="35" t="str">
        <f>IFERROR(__xludf.DUMMYFUNCTION("""COMPUTED_VALUE"""),"BASKET")</f>
        <v>BASKET</v>
      </c>
      <c r="V3280" s="35" t="str">
        <f>IFERROR(__xludf.DUMMYFUNCTION("""COMPUTED_VALUE"""),"071258447090")</f>
        <v>071258447090</v>
      </c>
      <c r="W3280" s="45"/>
    </row>
    <row r="3281">
      <c r="A3281" s="45"/>
      <c r="B3281" s="35" t="str">
        <f>IFERROR(__xludf.DUMMYFUNCTION("""COMPUTED_VALUE"""),"08/01/2026 13:22:16")</f>
        <v>08/01/2026 13:22:16</v>
      </c>
      <c r="C3281" s="35"/>
      <c r="D3281" s="10">
        <f>IFERROR(__xludf.DUMMYFUNCTION("""COMPUTED_VALUE"""),46030.0)</f>
        <v>46030</v>
      </c>
      <c r="E3281" s="35" t="str">
        <f>IFERROR(__xludf.DUMMYFUNCTION("""COMPUTED_VALUE"""),"01Jan")</f>
        <v>01Jan</v>
      </c>
      <c r="F3281" s="35" t="str">
        <f>IFERROR(__xludf.DUMMYFUNCTION("""COMPUTED_VALUE"""),"2026")</f>
        <v>2026</v>
      </c>
      <c r="G3281" s="35" t="str">
        <f>IFERROR(__xludf.DUMMYFUNCTION("""COMPUTED_VALUE"""),"DRS JAROT SUTRISNO M.SI")</f>
        <v>DRS JAROT SUTRISNO M.SI</v>
      </c>
      <c r="H3281" s="35" t="str">
        <f>IFERROR(__xludf.DUMMYFUNCTION("""COMPUTED_VALUE"""),"D6726010157")</f>
        <v>D6726010157</v>
      </c>
      <c r="I3281" s="35">
        <f>IFERROR(__xludf.DUMMYFUNCTION("""COMPUTED_VALUE"""),58.0)</f>
        <v>58</v>
      </c>
      <c r="J3281" s="35" t="str">
        <f>IFERROR(__xludf.DUMMYFUNCTION("""COMPUTED_VALUE"""),"&gt; 44 tahun")</f>
        <v>&gt; 44 tahun</v>
      </c>
      <c r="K3281" s="35" t="str">
        <f>IFERROR(__xludf.DUMMYFUNCTION("""COMPUTED_VALUE"""),"10/08/1967")</f>
        <v>10/08/1967</v>
      </c>
      <c r="L3281" s="35" t="str">
        <f>IFERROR(__xludf.DUMMYFUNCTION("""COMPUTED_VALUE"""),"LAKI-LAKI")</f>
        <v>LAKI-LAKI</v>
      </c>
      <c r="M3281" s="35" t="str">
        <f>IFERROR(__xludf.DUMMYFUNCTION("""COMPUTED_VALUE"""),"JL SUNGAI RAYA DALAM II KOMP MITRA INDAH UTAMA 5/A26")</f>
        <v>JL SUNGAI RAYA DALAM II KOMP MITRA INDAH UTAMA 5/A26</v>
      </c>
      <c r="N3281" s="35" t="str">
        <f>IFERROR(__xludf.DUMMYFUNCTION("""COMPUTED_VALUE"""),"BANGKA BELITUNG DARAT")</f>
        <v>BANGKA BELITUNG DARAT</v>
      </c>
      <c r="O3281" s="35" t="str">
        <f>IFERROR(__xludf.DUMMYFUNCTION("""COMPUTED_VALUE"""),"PONTIANAK TENGGARA")</f>
        <v>PONTIANAK TENGGARA</v>
      </c>
      <c r="P3281" s="35" t="str">
        <f>IFERROR(__xludf.DUMMYFUNCTION("""COMPUTED_VALUE"""),"PONTIANAK")</f>
        <v>PONTIANAK</v>
      </c>
      <c r="Q3281" s="35" t="str">
        <f>IFERROR(__xludf.DUMMYFUNCTION("""COMPUTED_VALUE"""),"KALIMANTAN BARAT")</f>
        <v>KALIMANTAN BARAT</v>
      </c>
      <c r="R3281" s="35" t="str">
        <f>IFERROR(__xludf.DUMMYFUNCTION("""COMPUTED_VALUE"""),"ISLAM")</f>
        <v>ISLAM</v>
      </c>
      <c r="S3281" s="74" t="str">
        <f>IFERROR(__xludf.DUMMYFUNCTION("""COMPUTED_VALUE"""),"PNS")</f>
        <v>PNS</v>
      </c>
      <c r="T3281" s="35" t="str">
        <f>IFERROR(__xludf.DUMMYFUNCTION("""COMPUTED_VALUE"""),"PINGGANG")</f>
        <v>PINGGANG</v>
      </c>
      <c r="U3281" s="35" t="str">
        <f>IFERROR(__xludf.DUMMYFUNCTION("""COMPUTED_VALUE"""),"-")</f>
        <v>-</v>
      </c>
      <c r="V3281" s="35" t="str">
        <f>IFERROR(__xludf.DUMMYFUNCTION("""COMPUTED_VALUE"""),"082152410157")</f>
        <v>082152410157</v>
      </c>
      <c r="W3281" s="45"/>
    </row>
    <row r="3282">
      <c r="A3282" s="45"/>
      <c r="B3282" s="35" t="str">
        <f>IFERROR(__xludf.DUMMYFUNCTION("""COMPUTED_VALUE"""),"08/01/2026 17:12:51")</f>
        <v>08/01/2026 17:12:51</v>
      </c>
      <c r="C3282" s="35"/>
      <c r="D3282" s="10">
        <f>IFERROR(__xludf.DUMMYFUNCTION("""COMPUTED_VALUE"""),46030.0)</f>
        <v>46030</v>
      </c>
      <c r="E3282" s="35" t="str">
        <f>IFERROR(__xludf.DUMMYFUNCTION("""COMPUTED_VALUE"""),"01Jan")</f>
        <v>01Jan</v>
      </c>
      <c r="F3282" s="35" t="str">
        <f>IFERROR(__xludf.DUMMYFUNCTION("""COMPUTED_VALUE"""),"2026")</f>
        <v>2026</v>
      </c>
      <c r="G3282" s="35" t="str">
        <f>IFERROR(__xludf.DUMMYFUNCTION("""COMPUTED_VALUE"""),"FAHRIZAL RAMADHAN")</f>
        <v>FAHRIZAL RAMADHAN</v>
      </c>
      <c r="H3282" s="35" t="str">
        <f>IFERROR(__xludf.DUMMYFUNCTION("""COMPUTED_VALUE"""),"F9226013156")</f>
        <v>F9226013156</v>
      </c>
      <c r="I3282" s="35">
        <f>IFERROR(__xludf.DUMMYFUNCTION("""COMPUTED_VALUE"""),34.0)</f>
        <v>34</v>
      </c>
      <c r="J3282" s="35" t="str">
        <f>IFERROR(__xludf.DUMMYFUNCTION("""COMPUTED_VALUE"""),"25-34 tahun")</f>
        <v>25-34 tahun</v>
      </c>
      <c r="K3282" s="35" t="str">
        <f>IFERROR(__xludf.DUMMYFUNCTION("""COMPUTED_VALUE"""),"24/03/1992")</f>
        <v>24/03/1992</v>
      </c>
      <c r="L3282" s="35" t="str">
        <f>IFERROR(__xludf.DUMMYFUNCTION("""COMPUTED_VALUE"""),"LAKI-LAKI")</f>
        <v>LAKI-LAKI</v>
      </c>
      <c r="M3282" s="35" t="str">
        <f>IFERROR(__xludf.DUMMYFUNCTION("""COMPUTED_VALUE"""),"JL. KARET KOMP. NUANSA ALAM NO. A17")</f>
        <v>JL. KARET KOMP. NUANSA ALAM NO. A17</v>
      </c>
      <c r="N3282" s="35" t="str">
        <f>IFERROR(__xludf.DUMMYFUNCTION("""COMPUTED_VALUE"""),"KELURAHAN SUNGAI BELIUNG")</f>
        <v>KELURAHAN SUNGAI BELIUNG</v>
      </c>
      <c r="O3282" s="35" t="str">
        <f>IFERROR(__xludf.DUMMYFUNCTION("""COMPUTED_VALUE"""),"PONTIANAK BARAT")</f>
        <v>PONTIANAK BARAT</v>
      </c>
      <c r="P3282" s="35" t="str">
        <f>IFERROR(__xludf.DUMMYFUNCTION("""COMPUTED_VALUE"""),"KOTA PONTIANAK")</f>
        <v>KOTA PONTIANAK</v>
      </c>
      <c r="Q3282" s="35" t="str">
        <f>IFERROR(__xludf.DUMMYFUNCTION("""COMPUTED_VALUE"""),"KALIMANTAN BARAT")</f>
        <v>KALIMANTAN BARAT</v>
      </c>
      <c r="R3282" s="35" t="str">
        <f>IFERROR(__xludf.DUMMYFUNCTION("""COMPUTED_VALUE"""),"ISLAM")</f>
        <v>ISLAM</v>
      </c>
      <c r="S3282" s="74" t="str">
        <f>IFERROR(__xludf.DUMMYFUNCTION("""COMPUTED_VALUE"""),"PNS")</f>
        <v>PNS</v>
      </c>
      <c r="T3282" s="35" t="str">
        <f>IFERROR(__xludf.DUMMYFUNCTION("""COMPUTED_VALUE"""),"POST OPERASI PASANG PEN DI BONGGOL PAHA KIRI ATAS")</f>
        <v>POST OPERASI PASANG PEN DI BONGGOL PAHA KIRI ATAS</v>
      </c>
      <c r="U3282" s="35" t="str">
        <f>IFERROR(__xludf.DUMMYFUNCTION("""COMPUTED_VALUE"""),"-")</f>
        <v>-</v>
      </c>
      <c r="V3282" s="35" t="str">
        <f>IFERROR(__xludf.DUMMYFUNCTION("""COMPUTED_VALUE"""),"089676443156")</f>
        <v>089676443156</v>
      </c>
      <c r="W3282" s="45"/>
    </row>
    <row r="3283">
      <c r="A3283" s="45"/>
      <c r="B3283" s="35" t="str">
        <f>IFERROR(__xludf.DUMMYFUNCTION("""COMPUTED_VALUE"""),"08/01/2026 17:34:03")</f>
        <v>08/01/2026 17:34:03</v>
      </c>
      <c r="C3283" s="35"/>
      <c r="D3283" s="10">
        <f>IFERROR(__xludf.DUMMYFUNCTION("""COMPUTED_VALUE"""),46030.0)</f>
        <v>46030</v>
      </c>
      <c r="E3283" s="35" t="str">
        <f>IFERROR(__xludf.DUMMYFUNCTION("""COMPUTED_VALUE"""),"01Jan")</f>
        <v>01Jan</v>
      </c>
      <c r="F3283" s="35" t="str">
        <f>IFERROR(__xludf.DUMMYFUNCTION("""COMPUTED_VALUE"""),"2026")</f>
        <v>2026</v>
      </c>
      <c r="G3283" s="35" t="str">
        <f>IFERROR(__xludf.DUMMYFUNCTION("""COMPUTED_VALUE"""),"FITA")</f>
        <v>FITA</v>
      </c>
      <c r="H3283" s="35" t="str">
        <f>IFERROR(__xludf.DUMMYFUNCTION("""COMPUTED_VALUE"""),"F7626011910")</f>
        <v>F7626011910</v>
      </c>
      <c r="I3283" s="35">
        <f>IFERROR(__xludf.DUMMYFUNCTION("""COMPUTED_VALUE"""),49.0)</f>
        <v>49</v>
      </c>
      <c r="J3283" s="35" t="str">
        <f>IFERROR(__xludf.DUMMYFUNCTION("""COMPUTED_VALUE"""),"&gt; 44 tahun")</f>
        <v>&gt; 44 tahun</v>
      </c>
      <c r="K3283" s="35" t="str">
        <f>IFERROR(__xludf.DUMMYFUNCTION("""COMPUTED_VALUE"""),"08/10/1976")</f>
        <v>08/10/1976</v>
      </c>
      <c r="L3283" s="35" t="str">
        <f>IFERROR(__xludf.DUMMYFUNCTION("""COMPUTED_VALUE"""),"PEREMPUAN")</f>
        <v>PEREMPUAN</v>
      </c>
      <c r="M3283" s="35" t="str">
        <f>IFERROR(__xludf.DUMMYFUNCTION("""COMPUTED_VALUE"""),"JL KHW HASYIM GG H SALEH NO 57")</f>
        <v>JL KHW HASYIM GG H SALEH NO 57</v>
      </c>
      <c r="N3283" s="35" t="str">
        <f>IFERROR(__xludf.DUMMYFUNCTION("""COMPUTED_VALUE"""),"SUI BANGKONG")</f>
        <v>SUI BANGKONG</v>
      </c>
      <c r="O3283" s="35" t="str">
        <f>IFERROR(__xludf.DUMMYFUNCTION("""COMPUTED_VALUE"""),"PONTIANAK KOTA")</f>
        <v>PONTIANAK KOTA</v>
      </c>
      <c r="P3283" s="35" t="str">
        <f>IFERROR(__xludf.DUMMYFUNCTION("""COMPUTED_VALUE"""),"PONTIANAK")</f>
        <v>PONTIANAK</v>
      </c>
      <c r="Q3283" s="35" t="str">
        <f>IFERROR(__xludf.DUMMYFUNCTION("""COMPUTED_VALUE"""),"KALBAR")</f>
        <v>KALBAR</v>
      </c>
      <c r="R3283" s="35" t="str">
        <f>IFERROR(__xludf.DUMMYFUNCTION("""COMPUTED_VALUE"""),"KATOLIK")</f>
        <v>KATOLIK</v>
      </c>
      <c r="S3283" s="74" t="str">
        <f>IFERROR(__xludf.DUMMYFUNCTION("""COMPUTED_VALUE"""),"KARYAWAN")</f>
        <v>KARYAWAN</v>
      </c>
      <c r="T3283" s="35" t="str">
        <f>IFERROR(__xludf.DUMMYFUNCTION("""COMPUTED_VALUE"""),"NYERI PANGKAL PAHA")</f>
        <v>NYERI PANGKAL PAHA</v>
      </c>
      <c r="U3283" s="35" t="str">
        <f>IFERROR(__xludf.DUMMYFUNCTION("""COMPUTED_VALUE"""),"KERJA PAKE SWPATU HAK ")</f>
        <v>KERJA PAKE SWPATU HAK </v>
      </c>
      <c r="V3283" s="35" t="str">
        <f>IFERROR(__xludf.DUMMYFUNCTION("""COMPUTED_VALUE"""),"08125631910")</f>
        <v>08125631910</v>
      </c>
      <c r="W3283" s="45"/>
    </row>
    <row r="3284">
      <c r="A3284" s="45"/>
      <c r="B3284" s="35" t="str">
        <f>IFERROR(__xludf.DUMMYFUNCTION("""COMPUTED_VALUE"""),"09/01/2026 11:35:53")</f>
        <v>09/01/2026 11:35:53</v>
      </c>
      <c r="C3284" s="35"/>
      <c r="D3284" s="10">
        <f>IFERROR(__xludf.DUMMYFUNCTION("""COMPUTED_VALUE"""),46031.0)</f>
        <v>46031</v>
      </c>
      <c r="E3284" s="35" t="str">
        <f>IFERROR(__xludf.DUMMYFUNCTION("""COMPUTED_VALUE"""),"01Jan")</f>
        <v>01Jan</v>
      </c>
      <c r="F3284" s="35" t="str">
        <f>IFERROR(__xludf.DUMMYFUNCTION("""COMPUTED_VALUE"""),"2026")</f>
        <v>2026</v>
      </c>
      <c r="G3284" s="35" t="str">
        <f>IFERROR(__xludf.DUMMYFUNCTION("""COMPUTED_VALUE"""),"WIDODO 7512")</f>
        <v>WIDODO 7512</v>
      </c>
      <c r="H3284" s="35" t="str">
        <f>IFERROR(__xludf.DUMMYFUNCTION("""COMPUTED_VALUE"""),"W7526019423")</f>
        <v>W7526019423</v>
      </c>
      <c r="I3284" s="35">
        <f>IFERROR(__xludf.DUMMYFUNCTION("""COMPUTED_VALUE"""),50.0)</f>
        <v>50</v>
      </c>
      <c r="J3284" s="35" t="str">
        <f>IFERROR(__xludf.DUMMYFUNCTION("""COMPUTED_VALUE"""),"&gt; 44 tahun")</f>
        <v>&gt; 44 tahun</v>
      </c>
      <c r="K3284" s="35" t="str">
        <f>IFERROR(__xludf.DUMMYFUNCTION("""COMPUTED_VALUE"""),"03/12/1975")</f>
        <v>03/12/1975</v>
      </c>
      <c r="L3284" s="35" t="str">
        <f>IFERROR(__xludf.DUMMYFUNCTION("""COMPUTED_VALUE"""),"LAKI-LAKI")</f>
        <v>LAKI-LAKI</v>
      </c>
      <c r="M3284" s="35" t="str">
        <f>IFERROR(__xludf.DUMMYFUNCTION("""COMPUTED_VALUE"""),"JL. P. NATAKUSUMA GG KARANG ANYAR NO 30")</f>
        <v>JL. P. NATAKUSUMA GG KARANG ANYAR NO 30</v>
      </c>
      <c r="N3284" s="35" t="str">
        <f>IFERROR(__xludf.DUMMYFUNCTION("""COMPUTED_VALUE"""),"SUNGAI BANGKONG")</f>
        <v>SUNGAI BANGKONG</v>
      </c>
      <c r="O3284" s="35" t="str">
        <f>IFERROR(__xludf.DUMMYFUNCTION("""COMPUTED_VALUE"""),"PONTIANAK KOTA ")</f>
        <v>PONTIANAK KOTA </v>
      </c>
      <c r="P3284" s="35" t="str">
        <f>IFERROR(__xludf.DUMMYFUNCTION("""COMPUTED_VALUE"""),"KOTA PONTIANAK ")</f>
        <v>KOTA PONTIANAK </v>
      </c>
      <c r="Q3284" s="35" t="str">
        <f>IFERROR(__xludf.DUMMYFUNCTION("""COMPUTED_VALUE"""),"KALIMANTAN BARAT ")</f>
        <v>KALIMANTAN BARAT </v>
      </c>
      <c r="R3284" s="35" t="str">
        <f>IFERROR(__xludf.DUMMYFUNCTION("""COMPUTED_VALUE"""),"ISLAM")</f>
        <v>ISLAM</v>
      </c>
      <c r="S3284" s="74" t="str">
        <f>IFERROR(__xludf.DUMMYFUNCTION("""COMPUTED_VALUE"""),"SWASTA")</f>
        <v>SWASTA</v>
      </c>
      <c r="T3284" s="35" t="str">
        <f>IFERROR(__xludf.DUMMYFUNCTION("""COMPUTED_VALUE"""),"SAKIT LUTUT ")</f>
        <v>SAKIT LUTUT </v>
      </c>
      <c r="U3284" s="35" t="str">
        <f>IFERROR(__xludf.DUMMYFUNCTION("""COMPUTED_VALUE"""),"KALISTENIK")</f>
        <v>KALISTENIK</v>
      </c>
      <c r="V3284" s="35" t="str">
        <f>IFERROR(__xludf.DUMMYFUNCTION("""COMPUTED_VALUE"""),"08125709423")</f>
        <v>08125709423</v>
      </c>
      <c r="W3284" s="45"/>
    </row>
    <row r="3285">
      <c r="A3285" s="45"/>
      <c r="B3285" s="35" t="str">
        <f>IFERROR(__xludf.DUMMYFUNCTION("""COMPUTED_VALUE"""),"10/01/2026 11:21:31")</f>
        <v>10/01/2026 11:21:31</v>
      </c>
      <c r="C3285" s="35"/>
      <c r="D3285" s="10">
        <f>IFERROR(__xludf.DUMMYFUNCTION("""COMPUTED_VALUE"""),46032.0)</f>
        <v>46032</v>
      </c>
      <c r="E3285" s="35" t="str">
        <f>IFERROR(__xludf.DUMMYFUNCTION("""COMPUTED_VALUE"""),"01Jan")</f>
        <v>01Jan</v>
      </c>
      <c r="F3285" s="35" t="str">
        <f>IFERROR(__xludf.DUMMYFUNCTION("""COMPUTED_VALUE"""),"2026")</f>
        <v>2026</v>
      </c>
      <c r="G3285" s="35" t="str">
        <f>IFERROR(__xludf.DUMMYFUNCTION("""COMPUTED_VALUE"""),"MIRNA APRIANTY")</f>
        <v>MIRNA APRIANTY</v>
      </c>
      <c r="H3285" s="35" t="str">
        <f>IFERROR(__xludf.DUMMYFUNCTION("""COMPUTED_VALUE"""),"M6526014388")</f>
        <v>M6526014388</v>
      </c>
      <c r="I3285" s="35">
        <f>IFERROR(__xludf.DUMMYFUNCTION("""COMPUTED_VALUE"""),61.0)</f>
        <v>61</v>
      </c>
      <c r="J3285" s="35" t="str">
        <f>IFERROR(__xludf.DUMMYFUNCTION("""COMPUTED_VALUE"""),"&gt; 44 tahun")</f>
        <v>&gt; 44 tahun</v>
      </c>
      <c r="K3285" s="35" t="str">
        <f>IFERROR(__xludf.DUMMYFUNCTION("""COMPUTED_VALUE"""),"05/04/1965")</f>
        <v>05/04/1965</v>
      </c>
      <c r="L3285" s="35" t="str">
        <f>IFERROR(__xludf.DUMMYFUNCTION("""COMPUTED_VALUE"""),"PEREMPUAN")</f>
        <v>PEREMPUAN</v>
      </c>
      <c r="M3285" s="35" t="str">
        <f>IFERROR(__xludf.DUMMYFUNCTION("""COMPUTED_VALUE"""),"JL. TABRANI AHMAD KOMP. MANDAU PERMAI M. 14")</f>
        <v>JL. TABRANI AHMAD KOMP. MANDAU PERMAI M. 14</v>
      </c>
      <c r="N3285" s="35" t="str">
        <f>IFERROR(__xludf.DUMMYFUNCTION("""COMPUTED_VALUE"""),"SUNGAI JAWI DALAM")</f>
        <v>SUNGAI JAWI DALAM</v>
      </c>
      <c r="O3285" s="35" t="str">
        <f>IFERROR(__xludf.DUMMYFUNCTION("""COMPUTED_VALUE"""),"PONTIANAK BARAT")</f>
        <v>PONTIANAK BARAT</v>
      </c>
      <c r="P3285" s="35" t="str">
        <f>IFERROR(__xludf.DUMMYFUNCTION("""COMPUTED_VALUE"""),"PONTIANAK")</f>
        <v>PONTIANAK</v>
      </c>
      <c r="Q3285" s="35" t="str">
        <f>IFERROR(__xludf.DUMMYFUNCTION("""COMPUTED_VALUE"""),"KALIMANTAN BARAT")</f>
        <v>KALIMANTAN BARAT</v>
      </c>
      <c r="R3285" s="35" t="str">
        <f>IFERROR(__xludf.DUMMYFUNCTION("""COMPUTED_VALUE"""),"ISLAM")</f>
        <v>ISLAM</v>
      </c>
      <c r="S3285" s="74" t="str">
        <f>IFERROR(__xludf.DUMMYFUNCTION("""COMPUTED_VALUE"""),"PENSIUNAN PNS")</f>
        <v>PENSIUNAN PNS</v>
      </c>
      <c r="T3285" s="35" t="str">
        <f>IFERROR(__xludf.DUMMYFUNCTION("""COMPUTED_VALUE"""),"SAKIT DI BAGIAN LENGAN SEBELAH KIRI, TANGAN LEBAM DI BAGIAN PERGELANGAN TANGAN, SIKU BENGKAK, DAN SAKIT DI BAGIAN PAINGGANG.")</f>
        <v>SAKIT DI BAGIAN LENGAN SEBELAH KIRI, TANGAN LEBAM DI BAGIAN PERGELANGAN TANGAN, SIKU BENGKAK, DAN SAKIT DI BAGIAN PAINGGANG.</v>
      </c>
      <c r="U3285" s="35" t="str">
        <f>IFERROR(__xludf.DUMMYFUNCTION("""COMPUTED_VALUE"""),"KESULITAN SAAT BERDIRI DARI POSISI DUDUK SAAT MENCUCI PIRING DAN MELAKUKAN GERAKAN SHALAT.")</f>
        <v>KESULITAN SAAT BERDIRI DARI POSISI DUDUK SAAT MENCUCI PIRING DAN MELAKUKAN GERAKAN SHALAT.</v>
      </c>
      <c r="V3285" s="35" t="str">
        <f>IFERROR(__xludf.DUMMYFUNCTION("""COMPUTED_VALUE"""),"085155284388")</f>
        <v>085155284388</v>
      </c>
      <c r="W3285" s="45"/>
    </row>
    <row r="3286">
      <c r="A3286" s="45"/>
      <c r="B3286" s="35" t="str">
        <f>IFERROR(__xludf.DUMMYFUNCTION("""COMPUTED_VALUE"""),"10/01/2026 13:25:18")</f>
        <v>10/01/2026 13:25:18</v>
      </c>
      <c r="C3286" s="35"/>
      <c r="D3286" s="10">
        <f>IFERROR(__xludf.DUMMYFUNCTION("""COMPUTED_VALUE"""),46032.0)</f>
        <v>46032</v>
      </c>
      <c r="E3286" s="35" t="str">
        <f>IFERROR(__xludf.DUMMYFUNCTION("""COMPUTED_VALUE"""),"01Jan")</f>
        <v>01Jan</v>
      </c>
      <c r="F3286" s="35" t="str">
        <f>IFERROR(__xludf.DUMMYFUNCTION("""COMPUTED_VALUE"""),"2026")</f>
        <v>2026</v>
      </c>
      <c r="G3286" s="35" t="str">
        <f>IFERROR(__xludf.DUMMYFUNCTION("""COMPUTED_VALUE"""),"JONG SULI")</f>
        <v>JONG SULI</v>
      </c>
      <c r="H3286" s="35" t="str">
        <f>IFERROR(__xludf.DUMMYFUNCTION("""COMPUTED_VALUE"""),"J0326010544")</f>
        <v>J0326010544</v>
      </c>
      <c r="I3286" s="35">
        <f>IFERROR(__xludf.DUMMYFUNCTION("""COMPUTED_VALUE"""),22.0)</f>
        <v>22</v>
      </c>
      <c r="J3286" s="35" t="str">
        <f>IFERROR(__xludf.DUMMYFUNCTION("""COMPUTED_VALUE"""),"18-24 tahun")</f>
        <v>18-24 tahun</v>
      </c>
      <c r="K3286" s="35" t="str">
        <f>IFERROR(__xludf.DUMMYFUNCTION("""COMPUTED_VALUE"""),"23/06/2003")</f>
        <v>23/06/2003</v>
      </c>
      <c r="L3286" s="35" t="str">
        <f>IFERROR(__xludf.DUMMYFUNCTION("""COMPUTED_VALUE"""),"PEREMPUAN")</f>
        <v>PEREMPUAN</v>
      </c>
      <c r="M3286" s="35" t="str">
        <f>IFERROR(__xludf.DUMMYFUNCTION("""COMPUTED_VALUE"""),"JALAN PARIT HAJI MUKSIN 2, KOMPLEK PAWAN PERMAI MAS 3 BLOK M NO 4")</f>
        <v>JALAN PARIT HAJI MUKSIN 2, KOMPLEK PAWAN PERMAI MAS 3 BLOK M NO 4</v>
      </c>
      <c r="N3286" s="35" t="str">
        <f>IFERROR(__xludf.DUMMYFUNCTION("""COMPUTED_VALUE"""),"PARIT BARU")</f>
        <v>PARIT BARU</v>
      </c>
      <c r="O3286" s="35" t="str">
        <f>IFERROR(__xludf.DUMMYFUNCTION("""COMPUTED_VALUE"""),"SUNGAI RAYA")</f>
        <v>SUNGAI RAYA</v>
      </c>
      <c r="P3286" s="35" t="str">
        <f>IFERROR(__xludf.DUMMYFUNCTION("""COMPUTED_VALUE"""),"KUBU RAYA")</f>
        <v>KUBU RAYA</v>
      </c>
      <c r="Q3286" s="35" t="str">
        <f>IFERROR(__xludf.DUMMYFUNCTION("""COMPUTED_VALUE"""),"KALIMANTAN BARAT")</f>
        <v>KALIMANTAN BARAT</v>
      </c>
      <c r="R3286" s="35" t="str">
        <f>IFERROR(__xludf.DUMMYFUNCTION("""COMPUTED_VALUE"""),"PROTESTAN")</f>
        <v>PROTESTAN</v>
      </c>
      <c r="S3286" s="74" t="str">
        <f>IFERROR(__xludf.DUMMYFUNCTION("""COMPUTED_VALUE"""),"TIDAK ADA")</f>
        <v>TIDAK ADA</v>
      </c>
      <c r="T3286" s="35" t="str">
        <f>IFERROR(__xludf.DUMMYFUNCTION("""COMPUTED_VALUE"""),"SAKIT PINGGANG, TIDUR SAKIT SETIAP HARI")</f>
        <v>SAKIT PINGGANG, TIDUR SAKIT SETIAP HARI</v>
      </c>
      <c r="U3286" s="35" t="str">
        <f>IFERROR(__xludf.DUMMYFUNCTION("""COMPUTED_VALUE"""),"DUDUK KELAMAAN ")</f>
        <v>DUDUK KELAMAAN </v>
      </c>
      <c r="V3286" s="35" t="str">
        <f>IFERROR(__xludf.DUMMYFUNCTION("""COMPUTED_VALUE"""),"081258470544")</f>
        <v>081258470544</v>
      </c>
      <c r="W3286" s="45"/>
    </row>
    <row r="3287">
      <c r="A3287" s="45"/>
      <c r="B3287" s="35" t="str">
        <f>IFERROR(__xludf.DUMMYFUNCTION("""COMPUTED_VALUE"""),"10/01/2026 15:57:21")</f>
        <v>10/01/2026 15:57:21</v>
      </c>
      <c r="C3287" s="35"/>
      <c r="D3287" s="10">
        <f>IFERROR(__xludf.DUMMYFUNCTION("""COMPUTED_VALUE"""),46032.0)</f>
        <v>46032</v>
      </c>
      <c r="E3287" s="35" t="str">
        <f>IFERROR(__xludf.DUMMYFUNCTION("""COMPUTED_VALUE"""),"01Jan")</f>
        <v>01Jan</v>
      </c>
      <c r="F3287" s="35" t="str">
        <f>IFERROR(__xludf.DUMMYFUNCTION("""COMPUTED_VALUE"""),"2026")</f>
        <v>2026</v>
      </c>
      <c r="G3287" s="35" t="str">
        <f>IFERROR(__xludf.DUMMYFUNCTION("""COMPUTED_VALUE"""),"SARWINTO")</f>
        <v>SARWINTO</v>
      </c>
      <c r="H3287" s="35" t="str">
        <f>IFERROR(__xludf.DUMMYFUNCTION("""COMPUTED_VALUE"""),"S9226011793")</f>
        <v>S9226011793</v>
      </c>
      <c r="I3287" s="35">
        <f>IFERROR(__xludf.DUMMYFUNCTION("""COMPUTED_VALUE"""),33.0)</f>
        <v>33</v>
      </c>
      <c r="J3287" s="35" t="str">
        <f>IFERROR(__xludf.DUMMYFUNCTION("""COMPUTED_VALUE"""),"25-34 tahun")</f>
        <v>25-34 tahun</v>
      </c>
      <c r="K3287" s="35" t="str">
        <f>IFERROR(__xludf.DUMMYFUNCTION("""COMPUTED_VALUE"""),"22/07/1992")</f>
        <v>22/07/1992</v>
      </c>
      <c r="L3287" s="35" t="str">
        <f>IFERROR(__xludf.DUMMYFUNCTION("""COMPUTED_VALUE"""),"LAKI-LAKI")</f>
        <v>LAKI-LAKI</v>
      </c>
      <c r="M3287" s="35" t="str">
        <f>IFERROR(__xludf.DUMMYFUNCTION("""COMPUTED_VALUE"""),"JL. IMAM BONJOL GG. SAKURA NO. 11")</f>
        <v>JL. IMAM BONJOL GG. SAKURA NO. 11</v>
      </c>
      <c r="N3287" s="35" t="str">
        <f>IFERROR(__xludf.DUMMYFUNCTION("""COMPUTED_VALUE"""),"BENUA MELAYU DARAT")</f>
        <v>BENUA MELAYU DARAT</v>
      </c>
      <c r="O3287" s="35" t="str">
        <f>IFERROR(__xludf.DUMMYFUNCTION("""COMPUTED_VALUE"""),"PONTIANAK SELATAN")</f>
        <v>PONTIANAK SELATAN</v>
      </c>
      <c r="P3287" s="35" t="str">
        <f>IFERROR(__xludf.DUMMYFUNCTION("""COMPUTED_VALUE"""),"PONTIANAK")</f>
        <v>PONTIANAK</v>
      </c>
      <c r="Q3287" s="35" t="str">
        <f>IFERROR(__xludf.DUMMYFUNCTION("""COMPUTED_VALUE"""),"KALIMANTAN BARAT")</f>
        <v>KALIMANTAN BARAT</v>
      </c>
      <c r="R3287" s="35" t="str">
        <f>IFERROR(__xludf.DUMMYFUNCTION("""COMPUTED_VALUE"""),"BUDDHA")</f>
        <v>BUDDHA</v>
      </c>
      <c r="S3287" s="74" t="str">
        <f>IFERROR(__xludf.DUMMYFUNCTION("""COMPUTED_VALUE"""),"WIRAUSAHA")</f>
        <v>WIRAUSAHA</v>
      </c>
      <c r="T3287" s="35" t="str">
        <f>IFERROR(__xludf.DUMMYFUNCTION("""COMPUTED_VALUE"""),"TENNIS ELBOW")</f>
        <v>TENNIS ELBOW</v>
      </c>
      <c r="U3287" s="35" t="str">
        <f>IFERROR(__xludf.DUMMYFUNCTION("""COMPUTED_VALUE"""),"OLAHRAGA PADEL")</f>
        <v>OLAHRAGA PADEL</v>
      </c>
      <c r="V3287" s="35" t="str">
        <f>IFERROR(__xludf.DUMMYFUNCTION("""COMPUTED_VALUE"""),"0811571793")</f>
        <v>0811571793</v>
      </c>
      <c r="W3287" s="45"/>
    </row>
    <row r="3288">
      <c r="A3288" s="45"/>
      <c r="B3288" s="35" t="str">
        <f>IFERROR(__xludf.DUMMYFUNCTION("""COMPUTED_VALUE"""),"10/01/2026 16:28:22")</f>
        <v>10/01/2026 16:28:22</v>
      </c>
      <c r="C3288" s="35"/>
      <c r="D3288" s="10">
        <f>IFERROR(__xludf.DUMMYFUNCTION("""COMPUTED_VALUE"""),46032.0)</f>
        <v>46032</v>
      </c>
      <c r="E3288" s="35" t="str">
        <f>IFERROR(__xludf.DUMMYFUNCTION("""COMPUTED_VALUE"""),"01Jan")</f>
        <v>01Jan</v>
      </c>
      <c r="F3288" s="35" t="str">
        <f>IFERROR(__xludf.DUMMYFUNCTION("""COMPUTED_VALUE"""),"2026")</f>
        <v>2026</v>
      </c>
      <c r="G3288" s="35" t="str">
        <f>IFERROR(__xludf.DUMMYFUNCTION("""COMPUTED_VALUE"""),"WARSINO")</f>
        <v>WARSINO</v>
      </c>
      <c r="H3288" s="35" t="str">
        <f>IFERROR(__xludf.DUMMYFUNCTION("""COMPUTED_VALUE"""),"W7326012828")</f>
        <v>W7326012828</v>
      </c>
      <c r="I3288" s="35">
        <f>IFERROR(__xludf.DUMMYFUNCTION("""COMPUTED_VALUE"""),53.0)</f>
        <v>53</v>
      </c>
      <c r="J3288" s="35" t="str">
        <f>IFERROR(__xludf.DUMMYFUNCTION("""COMPUTED_VALUE"""),"&gt; 44 tahun")</f>
        <v>&gt; 44 tahun</v>
      </c>
      <c r="K3288" s="75">
        <f>IFERROR(__xludf.DUMMYFUNCTION("""COMPUTED_VALUE"""),26832.0)</f>
        <v>26832</v>
      </c>
      <c r="L3288" s="35" t="str">
        <f>IFERROR(__xludf.DUMMYFUNCTION("""COMPUTED_VALUE"""),"LAKI-LAKI")</f>
        <v>LAKI-LAKI</v>
      </c>
      <c r="M3288" s="35" t="str">
        <f>IFERROR(__xludf.DUMMYFUNCTION("""COMPUTED_VALUE"""),"JLN.WONOBARU GG MADYOSARI 1 DALAM NO 36")</f>
        <v>JLN.WONOBARU GG MADYOSARI 1 DALAM NO 36</v>
      </c>
      <c r="N3288" s="35" t="str">
        <f>IFERROR(__xludf.DUMMYFUNCTION("""COMPUTED_VALUE"""),"AKCAYA ")</f>
        <v>AKCAYA </v>
      </c>
      <c r="O3288" s="35" t="str">
        <f>IFERROR(__xludf.DUMMYFUNCTION("""COMPUTED_VALUE"""),"PONTIANAK SELATAN")</f>
        <v>PONTIANAK SELATAN</v>
      </c>
      <c r="P3288" s="35" t="str">
        <f>IFERROR(__xludf.DUMMYFUNCTION("""COMPUTED_VALUE"""),"PONTIANAK
")</f>
        <v>PONTIANAK
</v>
      </c>
      <c r="Q3288" s="35" t="str">
        <f>IFERROR(__xludf.DUMMYFUNCTION("""COMPUTED_VALUE"""),"KALIMANTAN BARAT")</f>
        <v>KALIMANTAN BARAT</v>
      </c>
      <c r="R3288" s="35" t="str">
        <f>IFERROR(__xludf.DUMMYFUNCTION("""COMPUTED_VALUE"""),"ISLAM")</f>
        <v>ISLAM</v>
      </c>
      <c r="S3288" s="74" t="str">
        <f>IFERROR(__xludf.DUMMYFUNCTION("""COMPUTED_VALUE"""),"-")</f>
        <v>-</v>
      </c>
      <c r="T3288" s="35" t="str">
        <f>IFERROR(__xludf.DUMMYFUNCTION("""COMPUTED_VALUE"""),"KAKI KESEMUTAN DARI AREA PAHA SAMPE BETIS DIAWALI DENGAN JATUH ")</f>
        <v>KAKI KESEMUTAN DARI AREA PAHA SAMPE BETIS DIAWALI DENGAN JATUH </v>
      </c>
      <c r="U3288" s="35" t="str">
        <f>IFERROR(__xludf.DUMMYFUNCTION("""COMPUTED_VALUE"""),"-")</f>
        <v>-</v>
      </c>
      <c r="V3288" s="35" t="str">
        <f>IFERROR(__xludf.DUMMYFUNCTION("""COMPUTED_VALUE"""),"0895414362828")</f>
        <v>0895414362828</v>
      </c>
      <c r="W3288" s="45"/>
    </row>
    <row r="3289">
      <c r="A3289" s="45"/>
      <c r="B3289" s="35" t="str">
        <f>IFERROR(__xludf.DUMMYFUNCTION("""COMPUTED_VALUE"""),"10/01/2026 16:34:13")</f>
        <v>10/01/2026 16:34:13</v>
      </c>
      <c r="C3289" s="35"/>
      <c r="D3289" s="10">
        <f>IFERROR(__xludf.DUMMYFUNCTION("""COMPUTED_VALUE"""),46032.0)</f>
        <v>46032</v>
      </c>
      <c r="E3289" s="35" t="str">
        <f>IFERROR(__xludf.DUMMYFUNCTION("""COMPUTED_VALUE"""),"01Jan")</f>
        <v>01Jan</v>
      </c>
      <c r="F3289" s="35" t="str">
        <f>IFERROR(__xludf.DUMMYFUNCTION("""COMPUTED_VALUE"""),"2026")</f>
        <v>2026</v>
      </c>
      <c r="G3289" s="35" t="str">
        <f>IFERROR(__xludf.DUMMYFUNCTION("""COMPUTED_VALUE"""),"JEMMY")</f>
        <v>JEMMY</v>
      </c>
      <c r="H3289" s="35" t="str">
        <f>IFERROR(__xludf.DUMMYFUNCTION("""COMPUTED_VALUE"""),"J7626013818")</f>
        <v>J7626013818</v>
      </c>
      <c r="I3289" s="35">
        <f>IFERROR(__xludf.DUMMYFUNCTION("""COMPUTED_VALUE"""),49.0)</f>
        <v>49</v>
      </c>
      <c r="J3289" s="35" t="str">
        <f>IFERROR(__xludf.DUMMYFUNCTION("""COMPUTED_VALUE"""),"&gt; 44 tahun")</f>
        <v>&gt; 44 tahun</v>
      </c>
      <c r="K3289" s="35" t="str">
        <f>IFERROR(__xludf.DUMMYFUNCTION("""COMPUTED_VALUE"""),"20/12/1976")</f>
        <v>20/12/1976</v>
      </c>
      <c r="L3289" s="35" t="str">
        <f>IFERROR(__xludf.DUMMYFUNCTION("""COMPUTED_VALUE"""),"LAKI-LAKI")</f>
        <v>LAKI-LAKI</v>
      </c>
      <c r="M3289" s="35" t="str">
        <f>IFERROR(__xludf.DUMMYFUNCTION("""COMPUTED_VALUE"""),"DAN SUKA SAMA RT 01/01 SUNGAIDURI  KEC SER RAYA KAB BENGKAYANG ")</f>
        <v>DAN SUKA SAMA RT 01/01 SUNGAIDURI  KEC SER RAYA KAB BENGKAYANG </v>
      </c>
      <c r="N3289" s="35" t="str">
        <f>IFERROR(__xludf.DUMMYFUNCTION("""COMPUTED_VALUE"""),"SUNGAIDURI ")</f>
        <v>SUNGAIDURI </v>
      </c>
      <c r="O3289" s="35" t="str">
        <f>IFERROR(__xludf.DUMMYFUNCTION("""COMPUTED_VALUE"""),"SUNGAI RAYA")</f>
        <v>SUNGAI RAYA</v>
      </c>
      <c r="P3289" s="35" t="str">
        <f>IFERROR(__xludf.DUMMYFUNCTION("""COMPUTED_VALUE"""),"BENGKAYANG ")</f>
        <v>BENGKAYANG </v>
      </c>
      <c r="Q3289" s="35" t="str">
        <f>IFERROR(__xludf.DUMMYFUNCTION("""COMPUTED_VALUE"""),"KALBAR ")</f>
        <v>KALBAR </v>
      </c>
      <c r="R3289" s="35" t="str">
        <f>IFERROR(__xludf.DUMMYFUNCTION("""COMPUTED_VALUE"""),"KHONGHUCU")</f>
        <v>KHONGHUCU</v>
      </c>
      <c r="S3289" s="74" t="str">
        <f>IFERROR(__xludf.DUMMYFUNCTION("""COMPUTED_VALUE"""),"SWASTA ")</f>
        <v>SWASTA </v>
      </c>
      <c r="T3289" s="35" t="str">
        <f>IFERROR(__xludf.DUMMYFUNCTION("""COMPUTED_VALUE"""),"SAKIT LUTUT KIRI KANAN")</f>
        <v>SAKIT LUTUT KIRI KANAN</v>
      </c>
      <c r="U3289" s="35" t="str">
        <f>IFERROR(__xludf.DUMMYFUNCTION("""COMPUTED_VALUE"""),"BATMINTON ")</f>
        <v>BATMINTON </v>
      </c>
      <c r="V3289" s="35" t="str">
        <f>IFERROR(__xludf.DUMMYFUNCTION("""COMPUTED_VALUE"""),"081346473818")</f>
        <v>081346473818</v>
      </c>
      <c r="W3289" s="45"/>
    </row>
    <row r="3290">
      <c r="A3290" s="45"/>
      <c r="B3290" s="35" t="str">
        <f>IFERROR(__xludf.DUMMYFUNCTION("""COMPUTED_VALUE"""),"10/01/2026 17:05:23")</f>
        <v>10/01/2026 17:05:23</v>
      </c>
      <c r="C3290" s="35"/>
      <c r="D3290" s="10">
        <f>IFERROR(__xludf.DUMMYFUNCTION("""COMPUTED_VALUE"""),46032.0)</f>
        <v>46032</v>
      </c>
      <c r="E3290" s="35" t="str">
        <f>IFERROR(__xludf.DUMMYFUNCTION("""COMPUTED_VALUE"""),"01Jan")</f>
        <v>01Jan</v>
      </c>
      <c r="F3290" s="35" t="str">
        <f>IFERROR(__xludf.DUMMYFUNCTION("""COMPUTED_VALUE"""),"2026")</f>
        <v>2026</v>
      </c>
      <c r="G3290" s="35" t="str">
        <f>IFERROR(__xludf.DUMMYFUNCTION("""COMPUTED_VALUE"""),"NIKEN ATIKA PUSPA NINGRUM")</f>
        <v>NIKEN ATIKA PUSPA NINGRUM</v>
      </c>
      <c r="H3290" s="35" t="str">
        <f>IFERROR(__xludf.DUMMYFUNCTION("""COMPUTED_VALUE"""),"N9426016399")</f>
        <v>N9426016399</v>
      </c>
      <c r="I3290" s="35">
        <f>IFERROR(__xludf.DUMMYFUNCTION("""COMPUTED_VALUE"""),32.0)</f>
        <v>32</v>
      </c>
      <c r="J3290" s="35" t="str">
        <f>IFERROR(__xludf.DUMMYFUNCTION("""COMPUTED_VALUE"""),"25-34 tahun")</f>
        <v>25-34 tahun</v>
      </c>
      <c r="K3290" s="35" t="str">
        <f>IFERROR(__xludf.DUMMYFUNCTION("""COMPUTED_VALUE"""),"22/03/1994")</f>
        <v>22/03/1994</v>
      </c>
      <c r="L3290" s="35" t="str">
        <f>IFERROR(__xludf.DUMMYFUNCTION("""COMPUTED_VALUE"""),"PEREMPUAN")</f>
        <v>PEREMPUAN</v>
      </c>
      <c r="M3290" s="35" t="str">
        <f>IFERROR(__xludf.DUMMYFUNCTION("""COMPUTED_VALUE"""),"JL.TANJUNG RAYA 2 KOMP.CENDANA INDAH BLOK D.11")</f>
        <v>JL.TANJUNG RAYA 2 KOMP.CENDANA INDAH BLOK D.11</v>
      </c>
      <c r="N3290" s="35" t="str">
        <f>IFERROR(__xludf.DUMMYFUNCTION("""COMPUTED_VALUE"""),"SAIGON")</f>
        <v>SAIGON</v>
      </c>
      <c r="O3290" s="35" t="str">
        <f>IFERROR(__xludf.DUMMYFUNCTION("""COMPUTED_VALUE"""),"PONTIANAK TIMUR")</f>
        <v>PONTIANAK TIMUR</v>
      </c>
      <c r="P3290" s="35" t="str">
        <f>IFERROR(__xludf.DUMMYFUNCTION("""COMPUTED_VALUE"""),"PONTIANAK")</f>
        <v>PONTIANAK</v>
      </c>
      <c r="Q3290" s="35" t="str">
        <f>IFERROR(__xludf.DUMMYFUNCTION("""COMPUTED_VALUE"""),"KALIMANTAN BARAT")</f>
        <v>KALIMANTAN BARAT</v>
      </c>
      <c r="R3290" s="35" t="str">
        <f>IFERROR(__xludf.DUMMYFUNCTION("""COMPUTED_VALUE"""),"ISLAM")</f>
        <v>ISLAM</v>
      </c>
      <c r="S3290" s="74" t="str">
        <f>IFERROR(__xludf.DUMMYFUNCTION("""COMPUTED_VALUE"""),"IRT")</f>
        <v>IRT</v>
      </c>
      <c r="T3290" s="35" t="str">
        <f>IFERROR(__xludf.DUMMYFUNCTION("""COMPUTED_VALUE"""),"BENGKAK JARI MANIS TANGAN SEBELAH KANAN ")</f>
        <v>BENGKAK JARI MANIS TANGAN SEBELAH KANAN </v>
      </c>
      <c r="U3290" s="35" t="str">
        <f>IFERROR(__xludf.DUMMYFUNCTION("""COMPUTED_VALUE"""),"TIDAK ADA")</f>
        <v>TIDAK ADA</v>
      </c>
      <c r="V3290" s="35" t="str">
        <f>IFERROR(__xludf.DUMMYFUNCTION("""COMPUTED_VALUE"""),"085346506399")</f>
        <v>085346506399</v>
      </c>
      <c r="W3290" s="45"/>
    </row>
    <row r="3291">
      <c r="A3291" s="45"/>
      <c r="B3291" s="35" t="str">
        <f>IFERROR(__xludf.DUMMYFUNCTION("""COMPUTED_VALUE"""),"11/01/2026 13:03:46")</f>
        <v>11/01/2026 13:03:46</v>
      </c>
      <c r="C3291" s="35"/>
      <c r="D3291" s="10">
        <f>IFERROR(__xludf.DUMMYFUNCTION("""COMPUTED_VALUE"""),46033.0)</f>
        <v>46033</v>
      </c>
      <c r="E3291" s="35" t="str">
        <f>IFERROR(__xludf.DUMMYFUNCTION("""COMPUTED_VALUE"""),"01Jan")</f>
        <v>01Jan</v>
      </c>
      <c r="F3291" s="35" t="str">
        <f>IFERROR(__xludf.DUMMYFUNCTION("""COMPUTED_VALUE"""),"2026")</f>
        <v>2026</v>
      </c>
      <c r="G3291" s="35" t="str">
        <f>IFERROR(__xludf.DUMMYFUNCTION("""COMPUTED_VALUE"""),"M FAHRIZA RAHMAN")</f>
        <v>M FAHRIZA RAHMAN</v>
      </c>
      <c r="H3291" s="35" t="str">
        <f>IFERROR(__xludf.DUMMYFUNCTION("""COMPUTED_VALUE"""),"M0626011489")</f>
        <v>M0626011489</v>
      </c>
      <c r="I3291" s="35">
        <f>IFERROR(__xludf.DUMMYFUNCTION("""COMPUTED_VALUE"""),20.0)</f>
        <v>20</v>
      </c>
      <c r="J3291" s="35" t="str">
        <f>IFERROR(__xludf.DUMMYFUNCTION("""COMPUTED_VALUE"""),"18-24 tahun")</f>
        <v>18-24 tahun</v>
      </c>
      <c r="K3291" s="35" t="str">
        <f>IFERROR(__xludf.DUMMYFUNCTION("""COMPUTED_VALUE"""),"18/04/2006")</f>
        <v>18/04/2006</v>
      </c>
      <c r="L3291" s="35" t="str">
        <f>IFERROR(__xludf.DUMMYFUNCTION("""COMPUTED_VALUE"""),"LAKI-LAKI")</f>
        <v>LAKI-LAKI</v>
      </c>
      <c r="M3291" s="35" t="str">
        <f>IFERROR(__xludf.DUMMYFUNCTION("""COMPUTED_VALUE"""),"DSN GELOMBANG ")</f>
        <v>DSN GELOMBANG </v>
      </c>
      <c r="N3291" s="35" t="str">
        <f>IFERROR(__xludf.DUMMYFUNCTION("""COMPUTED_VALUE"""),"LOKA JAYA")</f>
        <v>LOKA JAYA</v>
      </c>
      <c r="O3291" s="35" t="str">
        <f>IFERROR(__xludf.DUMMYFUNCTION("""COMPUTED_VALUE"""),"TANAH PINOH")</f>
        <v>TANAH PINOH</v>
      </c>
      <c r="P3291" s="35" t="str">
        <f>IFERROR(__xludf.DUMMYFUNCTION("""COMPUTED_VALUE"""),"MELAWI")</f>
        <v>MELAWI</v>
      </c>
      <c r="Q3291" s="35" t="str">
        <f>IFERROR(__xludf.DUMMYFUNCTION("""COMPUTED_VALUE"""),"KALIMANTAN BARAT")</f>
        <v>KALIMANTAN BARAT</v>
      </c>
      <c r="R3291" s="35" t="str">
        <f>IFERROR(__xludf.DUMMYFUNCTION("""COMPUTED_VALUE"""),"ISLAM")</f>
        <v>ISLAM</v>
      </c>
      <c r="S3291" s="74" t="str">
        <f>IFERROR(__xludf.DUMMYFUNCTION("""COMPUTED_VALUE"""),"MAHASISWA")</f>
        <v>MAHASISWA</v>
      </c>
      <c r="T3291" s="35" t="str">
        <f>IFERROR(__xludf.DUMMYFUNCTION("""COMPUTED_VALUE"""),"PINGGANG")</f>
        <v>PINGGANG</v>
      </c>
      <c r="U3291" s="35" t="str">
        <f>IFERROR(__xludf.DUMMYFUNCTION("""COMPUTED_VALUE"""),"MENGANGKAT MOTOR")</f>
        <v>MENGANGKAT MOTOR</v>
      </c>
      <c r="V3291" s="35" t="str">
        <f>IFERROR(__xludf.DUMMYFUNCTION("""COMPUTED_VALUE"""),"085252671489")</f>
        <v>085252671489</v>
      </c>
      <c r="W3291" s="45"/>
    </row>
    <row r="3292">
      <c r="A3292" s="45"/>
      <c r="B3292" s="35" t="str">
        <f>IFERROR(__xludf.DUMMYFUNCTION("""COMPUTED_VALUE"""),"11/01/2026 15:23:13")</f>
        <v>11/01/2026 15:23:13</v>
      </c>
      <c r="C3292" s="35"/>
      <c r="D3292" s="10">
        <f>IFERROR(__xludf.DUMMYFUNCTION("""COMPUTED_VALUE"""),46033.0)</f>
        <v>46033</v>
      </c>
      <c r="E3292" s="35" t="str">
        <f>IFERROR(__xludf.DUMMYFUNCTION("""COMPUTED_VALUE"""),"01Jan")</f>
        <v>01Jan</v>
      </c>
      <c r="F3292" s="35" t="str">
        <f>IFERROR(__xludf.DUMMYFUNCTION("""COMPUTED_VALUE"""),"2026")</f>
        <v>2026</v>
      </c>
      <c r="G3292" s="35" t="str">
        <f>IFERROR(__xludf.DUMMYFUNCTION("""COMPUTED_VALUE"""),"NADYA SAFIRA")</f>
        <v>NADYA SAFIRA</v>
      </c>
      <c r="H3292" s="35" t="str">
        <f>IFERROR(__xludf.DUMMYFUNCTION("""COMPUTED_VALUE"""),"N0726010245")</f>
        <v>N0726010245</v>
      </c>
      <c r="I3292" s="35">
        <f>IFERROR(__xludf.DUMMYFUNCTION("""COMPUTED_VALUE"""),19.0)</f>
        <v>19</v>
      </c>
      <c r="J3292" s="35" t="str">
        <f>IFERROR(__xludf.DUMMYFUNCTION("""COMPUTED_VALUE"""),"18-24 tahun")</f>
        <v>18-24 tahun</v>
      </c>
      <c r="K3292" s="35" t="str">
        <f>IFERROR(__xludf.DUMMYFUNCTION("""COMPUTED_VALUE"""),"13/01/2007")</f>
        <v>13/01/2007</v>
      </c>
      <c r="L3292" s="35" t="str">
        <f>IFERROR(__xludf.DUMMYFUNCTION("""COMPUTED_VALUE"""),"PEREMPUAN")</f>
        <v>PEREMPUAN</v>
      </c>
      <c r="M3292" s="35" t="str">
        <f>IFERROR(__xludf.DUMMYFUNCTION("""COMPUTED_VALUE"""),"JL. PARIT H.HUSIN 1 GG.HALIM")</f>
        <v>JL. PARIT H.HUSIN 1 GG.HALIM</v>
      </c>
      <c r="N3292" s="35" t="str">
        <f>IFERROR(__xludf.DUMMYFUNCTION("""COMPUTED_VALUE"""),"BANGKA BELITUNG LAUT")</f>
        <v>BANGKA BELITUNG LAUT</v>
      </c>
      <c r="O3292" s="35" t="str">
        <f>IFERROR(__xludf.DUMMYFUNCTION("""COMPUTED_VALUE"""),"PONTIANAK TENGGARA")</f>
        <v>PONTIANAK TENGGARA</v>
      </c>
      <c r="P3292" s="35" t="str">
        <f>IFERROR(__xludf.DUMMYFUNCTION("""COMPUTED_VALUE"""),"KOTA PONTIANAK")</f>
        <v>KOTA PONTIANAK</v>
      </c>
      <c r="Q3292" s="35" t="str">
        <f>IFERROR(__xludf.DUMMYFUNCTION("""COMPUTED_VALUE"""),"KALIMANTAN BARAT")</f>
        <v>KALIMANTAN BARAT</v>
      </c>
      <c r="R3292" s="35" t="str">
        <f>IFERROR(__xludf.DUMMYFUNCTION("""COMPUTED_VALUE"""),"ISLAM")</f>
        <v>ISLAM</v>
      </c>
      <c r="S3292" s="74" t="str">
        <f>IFERROR(__xludf.DUMMYFUNCTION("""COMPUTED_VALUE"""),"BELUM BEKERJA")</f>
        <v>BELUM BEKERJA</v>
      </c>
      <c r="T3292" s="35" t="str">
        <f>IFERROR(__xludf.DUMMYFUNCTION("""COMPUTED_VALUE"""),"NYERI PADA BAHU ")</f>
        <v>NYERI PADA BAHU </v>
      </c>
      <c r="U3292" s="35" t="str">
        <f>IFERROR(__xludf.DUMMYFUNCTION("""COMPUTED_VALUE"""),"BERMAIN BOLA VOLI")</f>
        <v>BERMAIN BOLA VOLI</v>
      </c>
      <c r="V3292" s="35" t="str">
        <f>IFERROR(__xludf.DUMMYFUNCTION("""COMPUTED_VALUE"""),"087848420245")</f>
        <v>087848420245</v>
      </c>
      <c r="W3292" s="45"/>
    </row>
    <row r="3293">
      <c r="A3293" s="45"/>
      <c r="B3293" s="35" t="str">
        <f>IFERROR(__xludf.DUMMYFUNCTION("""COMPUTED_VALUE"""),"11/01/2026 17:27:20")</f>
        <v>11/01/2026 17:27:20</v>
      </c>
      <c r="C3293" s="35"/>
      <c r="D3293" s="10">
        <f>IFERROR(__xludf.DUMMYFUNCTION("""COMPUTED_VALUE"""),46033.0)</f>
        <v>46033</v>
      </c>
      <c r="E3293" s="35" t="str">
        <f>IFERROR(__xludf.DUMMYFUNCTION("""COMPUTED_VALUE"""),"01Jan")</f>
        <v>01Jan</v>
      </c>
      <c r="F3293" s="35" t="str">
        <f>IFERROR(__xludf.DUMMYFUNCTION("""COMPUTED_VALUE"""),"2026")</f>
        <v>2026</v>
      </c>
      <c r="G3293" s="35" t="str">
        <f>IFERROR(__xludf.DUMMYFUNCTION("""COMPUTED_VALUE"""),"DESI MARGASIA")</f>
        <v>DESI MARGASIA</v>
      </c>
      <c r="H3293" s="35" t="str">
        <f>IFERROR(__xludf.DUMMYFUNCTION("""COMPUTED_VALUE"""),"D9226012979")</f>
        <v>D9226012979</v>
      </c>
      <c r="I3293" s="35">
        <f>IFERROR(__xludf.DUMMYFUNCTION("""COMPUTED_VALUE"""),33.0)</f>
        <v>33</v>
      </c>
      <c r="J3293" s="35" t="str">
        <f>IFERROR(__xludf.DUMMYFUNCTION("""COMPUTED_VALUE"""),"25-34 tahun")</f>
        <v>25-34 tahun</v>
      </c>
      <c r="K3293" s="35" t="str">
        <f>IFERROR(__xludf.DUMMYFUNCTION("""COMPUTED_VALUE"""),"08/12/1992")</f>
        <v>08/12/1992</v>
      </c>
      <c r="L3293" s="35" t="str">
        <f>IFERROR(__xludf.DUMMYFUNCTION("""COMPUTED_VALUE"""),"PEREMPUAN")</f>
        <v>PEREMPUAN</v>
      </c>
      <c r="M3293" s="35" t="str">
        <f>IFERROR(__xludf.DUMMYFUNCTION("""COMPUTED_VALUE"""),"JL. P. HAJI HUSEIN II")</f>
        <v>JL. P. HAJI HUSEIN II</v>
      </c>
      <c r="N3293" s="35" t="str">
        <f>IFERROR(__xludf.DUMMYFUNCTION("""COMPUTED_VALUE"""),"BANSIR DARAT")</f>
        <v>BANSIR DARAT</v>
      </c>
      <c r="O3293" s="35" t="str">
        <f>IFERROR(__xludf.DUMMYFUNCTION("""COMPUTED_VALUE"""),"PONTIANAK TENGGARA")</f>
        <v>PONTIANAK TENGGARA</v>
      </c>
      <c r="P3293" s="35" t="str">
        <f>IFERROR(__xludf.DUMMYFUNCTION("""COMPUTED_VALUE"""),"KOTA PONTIANAK")</f>
        <v>KOTA PONTIANAK</v>
      </c>
      <c r="Q3293" s="35" t="str">
        <f>IFERROR(__xludf.DUMMYFUNCTION("""COMPUTED_VALUE"""),"KALIMANTAN BARAT")</f>
        <v>KALIMANTAN BARAT</v>
      </c>
      <c r="R3293" s="35" t="str">
        <f>IFERROR(__xludf.DUMMYFUNCTION("""COMPUTED_VALUE"""),"KATOLIK")</f>
        <v>KATOLIK</v>
      </c>
      <c r="S3293" s="74" t="str">
        <f>IFERROR(__xludf.DUMMYFUNCTION("""COMPUTED_VALUE"""),"WIRASWASTA")</f>
        <v>WIRASWASTA</v>
      </c>
      <c r="T3293" s="35" t="str">
        <f>IFERROR(__xludf.DUMMYFUNCTION("""COMPUTED_VALUE"""),"TENNIS ELBOW")</f>
        <v>TENNIS ELBOW</v>
      </c>
      <c r="U3293" s="35" t="str">
        <f>IFERROR(__xludf.DUMMYFUNCTION("""COMPUTED_VALUE"""),"PADEL")</f>
        <v>PADEL</v>
      </c>
      <c r="V3293" s="35" t="str">
        <f>IFERROR(__xludf.DUMMYFUNCTION("""COMPUTED_VALUE"""),"08115732979")</f>
        <v>08115732979</v>
      </c>
      <c r="W3293" s="45"/>
    </row>
    <row r="3294">
      <c r="A3294" s="45"/>
      <c r="B3294" s="35" t="str">
        <f>IFERROR(__xludf.DUMMYFUNCTION("""COMPUTED_VALUE"""),"11/01/2026 19:10:09")</f>
        <v>11/01/2026 19:10:09</v>
      </c>
      <c r="C3294" s="35"/>
      <c r="D3294" s="10">
        <f>IFERROR(__xludf.DUMMYFUNCTION("""COMPUTED_VALUE"""),46033.0)</f>
        <v>46033</v>
      </c>
      <c r="E3294" s="35" t="str">
        <f>IFERROR(__xludf.DUMMYFUNCTION("""COMPUTED_VALUE"""),"01Jan")</f>
        <v>01Jan</v>
      </c>
      <c r="F3294" s="35" t="str">
        <f>IFERROR(__xludf.DUMMYFUNCTION("""COMPUTED_VALUE"""),"2026")</f>
        <v>2026</v>
      </c>
      <c r="G3294" s="35" t="str">
        <f>IFERROR(__xludf.DUMMYFUNCTION("""COMPUTED_VALUE"""),"HENDRAWATI SAM")</f>
        <v>HENDRAWATI SAM</v>
      </c>
      <c r="H3294" s="35" t="str">
        <f>IFERROR(__xludf.DUMMYFUNCTION("""COMPUTED_VALUE"""),"H7126016215")</f>
        <v>H7126016215</v>
      </c>
      <c r="I3294" s="35">
        <f>IFERROR(__xludf.DUMMYFUNCTION("""COMPUTED_VALUE"""),54.0)</f>
        <v>54</v>
      </c>
      <c r="J3294" s="35" t="str">
        <f>IFERROR(__xludf.DUMMYFUNCTION("""COMPUTED_VALUE"""),"&gt; 44 tahun")</f>
        <v>&gt; 44 tahun</v>
      </c>
      <c r="K3294" s="35" t="str">
        <f>IFERROR(__xludf.DUMMYFUNCTION("""COMPUTED_VALUE"""),"11/08/1971")</f>
        <v>11/08/1971</v>
      </c>
      <c r="L3294" s="35" t="str">
        <f>IFERROR(__xludf.DUMMYFUNCTION("""COMPUTED_VALUE"""),"PEREMPUAN")</f>
        <v>PEREMPUAN</v>
      </c>
      <c r="M3294" s="35" t="str">
        <f>IFERROR(__xludf.DUMMYFUNCTION("""COMPUTED_VALUE"""),"SOSOK 1")</f>
        <v>SOSOK 1</v>
      </c>
      <c r="N3294" s="35" t="str">
        <f>IFERROR(__xludf.DUMMYFUNCTION("""COMPUTED_VALUE"""),"SOSOK")</f>
        <v>SOSOK</v>
      </c>
      <c r="O3294" s="35" t="str">
        <f>IFERROR(__xludf.DUMMYFUNCTION("""COMPUTED_VALUE"""),"TAYANG HULU")</f>
        <v>TAYANG HULU</v>
      </c>
      <c r="P3294" s="35" t="str">
        <f>IFERROR(__xludf.DUMMYFUNCTION("""COMPUTED_VALUE"""),"SANGGAU")</f>
        <v>SANGGAU</v>
      </c>
      <c r="Q3294" s="35" t="str">
        <f>IFERROR(__xludf.DUMMYFUNCTION("""COMPUTED_VALUE"""),"KALIMANTAN BARAT")</f>
        <v>KALIMANTAN BARAT</v>
      </c>
      <c r="R3294" s="35" t="str">
        <f>IFERROR(__xludf.DUMMYFUNCTION("""COMPUTED_VALUE"""),"ISLAM")</f>
        <v>ISLAM</v>
      </c>
      <c r="S3294" s="74" t="str">
        <f>IFERROR(__xludf.DUMMYFUNCTION("""COMPUTED_VALUE"""),"PNS")</f>
        <v>PNS</v>
      </c>
      <c r="T3294" s="35" t="str">
        <f>IFERROR(__xludf.DUMMYFUNCTION("""COMPUTED_VALUE"""),"SENDI LUTUT SAKIT KETIKA BERDIRI/DILURUSKAN, DAN KADANG BERBUNYI KREK DAN TERASA NGILU")</f>
        <v>SENDI LUTUT SAKIT KETIKA BERDIRI/DILURUSKAN, DAN KADANG BERBUNYI KREK DAN TERASA NGILU</v>
      </c>
      <c r="U3294" s="35" t="str">
        <f>IFERROR(__xludf.DUMMYFUNCTION("""COMPUTED_VALUE"""),"MENGAJAR")</f>
        <v>MENGAJAR</v>
      </c>
      <c r="V3294" s="35" t="str">
        <f>IFERROR(__xludf.DUMMYFUNCTION("""COMPUTED_VALUE"""),"085787486215")</f>
        <v>085787486215</v>
      </c>
      <c r="W3294" s="45"/>
    </row>
    <row r="3295">
      <c r="A3295" s="45"/>
      <c r="B3295" s="35" t="str">
        <f>IFERROR(__xludf.DUMMYFUNCTION("""COMPUTED_VALUE"""),"11/01/2026 19:34:50")</f>
        <v>11/01/2026 19:34:50</v>
      </c>
      <c r="C3295" s="35"/>
      <c r="D3295" s="10">
        <f>IFERROR(__xludf.DUMMYFUNCTION("""COMPUTED_VALUE"""),46033.0)</f>
        <v>46033</v>
      </c>
      <c r="E3295" s="35" t="str">
        <f>IFERROR(__xludf.DUMMYFUNCTION("""COMPUTED_VALUE"""),"01Jan")</f>
        <v>01Jan</v>
      </c>
      <c r="F3295" s="35" t="str">
        <f>IFERROR(__xludf.DUMMYFUNCTION("""COMPUTED_VALUE"""),"2026")</f>
        <v>2026</v>
      </c>
      <c r="G3295" s="35" t="str">
        <f>IFERROR(__xludf.DUMMYFUNCTION("""COMPUTED_VALUE"""),"CHALID OBED")</f>
        <v>CHALID OBED</v>
      </c>
      <c r="H3295" s="35" t="str">
        <f>IFERROR(__xludf.DUMMYFUNCTION("""COMPUTED_VALUE"""),"C5126011443")</f>
        <v>C5126011443</v>
      </c>
      <c r="I3295" s="35">
        <f>IFERROR(__xludf.DUMMYFUNCTION("""COMPUTED_VALUE"""),75.0)</f>
        <v>75</v>
      </c>
      <c r="J3295" s="35" t="str">
        <f>IFERROR(__xludf.DUMMYFUNCTION("""COMPUTED_VALUE"""),"&gt; 44 tahun")</f>
        <v>&gt; 44 tahun</v>
      </c>
      <c r="K3295" s="35" t="str">
        <f>IFERROR(__xludf.DUMMYFUNCTION("""COMPUTED_VALUE"""),"28/05/1951")</f>
        <v>28/05/1951</v>
      </c>
      <c r="L3295" s="35" t="str">
        <f>IFERROR(__xludf.DUMMYFUNCTION("""COMPUTED_VALUE"""),"LAKI-LAKI")</f>
        <v>LAKI-LAKI</v>
      </c>
      <c r="M3295" s="35" t="str">
        <f>IFERROR(__xludf.DUMMYFUNCTION("""COMPUTED_VALUE"""),"JL SURYA GG SURYA JINGGA NO 2")</f>
        <v>JL SURYA GG SURYA JINGGA NO 2</v>
      </c>
      <c r="N3295" s="35" t="str">
        <f>IFERROR(__xludf.DUMMYFUNCTION("""COMPUTED_VALUE"""),"-")</f>
        <v>-</v>
      </c>
      <c r="O3295" s="35" t="str">
        <f>IFERROR(__xludf.DUMMYFUNCTION("""COMPUTED_VALUE"""),"-")</f>
        <v>-</v>
      </c>
      <c r="P3295" s="35" t="str">
        <f>IFERROR(__xludf.DUMMYFUNCTION("""COMPUTED_VALUE"""),"PONTIANAK")</f>
        <v>PONTIANAK</v>
      </c>
      <c r="Q3295" s="35" t="str">
        <f>IFERROR(__xludf.DUMMYFUNCTION("""COMPUTED_VALUE"""),"KALIMANTAN BARAT")</f>
        <v>KALIMANTAN BARAT</v>
      </c>
      <c r="R3295" s="35" t="str">
        <f>IFERROR(__xludf.DUMMYFUNCTION("""COMPUTED_VALUE"""),"ISLAM")</f>
        <v>ISLAM</v>
      </c>
      <c r="S3295" s="74" t="str">
        <f>IFERROR(__xludf.DUMMYFUNCTION("""COMPUTED_VALUE"""),"PENSIUNAN")</f>
        <v>PENSIUNAN</v>
      </c>
      <c r="T3295" s="35" t="str">
        <f>IFERROR(__xludf.DUMMYFUNCTION("""COMPUTED_VALUE"""),"PUNGGUNG ATAS")</f>
        <v>PUNGGUNG ATAS</v>
      </c>
      <c r="U3295" s="35" t="str">
        <f>IFERROR(__xludf.DUMMYFUNCTION("""COMPUTED_VALUE"""),"-")</f>
        <v>-</v>
      </c>
      <c r="V3295" s="35" t="str">
        <f>IFERROR(__xludf.DUMMYFUNCTION("""COMPUTED_VALUE"""),"085292011443")</f>
        <v>085292011443</v>
      </c>
      <c r="W3295" s="45"/>
    </row>
    <row r="3296">
      <c r="A3296" s="45"/>
      <c r="B3296" s="35" t="str">
        <f>IFERROR(__xludf.DUMMYFUNCTION("""COMPUTED_VALUE"""),"12/01/2026 10:43:13")</f>
        <v>12/01/2026 10:43:13</v>
      </c>
      <c r="C3296" s="35"/>
      <c r="D3296" s="10">
        <f>IFERROR(__xludf.DUMMYFUNCTION("""COMPUTED_VALUE"""),46034.0)</f>
        <v>46034</v>
      </c>
      <c r="E3296" s="35" t="str">
        <f>IFERROR(__xludf.DUMMYFUNCTION("""COMPUTED_VALUE"""),"01Jan")</f>
        <v>01Jan</v>
      </c>
      <c r="F3296" s="35" t="str">
        <f>IFERROR(__xludf.DUMMYFUNCTION("""COMPUTED_VALUE"""),"2026")</f>
        <v>2026</v>
      </c>
      <c r="G3296" s="35" t="str">
        <f>IFERROR(__xludf.DUMMYFUNCTION("""COMPUTED_VALUE"""),"MUCHLIS")</f>
        <v>MUCHLIS</v>
      </c>
      <c r="H3296" s="35" t="str">
        <f>IFERROR(__xludf.DUMMYFUNCTION("""COMPUTED_VALUE"""),"M6626011156")</f>
        <v>M6626011156</v>
      </c>
      <c r="I3296" s="35">
        <f>IFERROR(__xludf.DUMMYFUNCTION("""COMPUTED_VALUE"""),59.0)</f>
        <v>59</v>
      </c>
      <c r="J3296" s="35" t="str">
        <f>IFERROR(__xludf.DUMMYFUNCTION("""COMPUTED_VALUE"""),"&gt; 44 tahun")</f>
        <v>&gt; 44 tahun</v>
      </c>
      <c r="K3296" s="75">
        <f>IFERROR(__xludf.DUMMYFUNCTION("""COMPUTED_VALUE"""),24305.0)</f>
        <v>24305</v>
      </c>
      <c r="L3296" s="35" t="str">
        <f>IFERROR(__xludf.DUMMYFUNCTION("""COMPUTED_VALUE"""),"LAKI-LAKI")</f>
        <v>LAKI-LAKI</v>
      </c>
      <c r="M3296" s="35" t="str">
        <f>IFERROR(__xludf.DUMMYFUNCTION("""COMPUTED_VALUE"""),"JL. ADISUCIPTO GG. BESAR")</f>
        <v>JL. ADISUCIPTO GG. BESAR</v>
      </c>
      <c r="N3296" s="35" t="str">
        <f>IFERROR(__xludf.DUMMYFUNCTION("""COMPUTED_VALUE"""),"DESA ARANG LIMBUNG")</f>
        <v>DESA ARANG LIMBUNG</v>
      </c>
      <c r="O3296" s="35" t="str">
        <f>IFERROR(__xludf.DUMMYFUNCTION("""COMPUTED_VALUE"""),"SUNGAI RAYA")</f>
        <v>SUNGAI RAYA</v>
      </c>
      <c r="P3296" s="35" t="str">
        <f>IFERROR(__xludf.DUMMYFUNCTION("""COMPUTED_VALUE"""),"KUBU RAYA")</f>
        <v>KUBU RAYA</v>
      </c>
      <c r="Q3296" s="35" t="str">
        <f>IFERROR(__xludf.DUMMYFUNCTION("""COMPUTED_VALUE"""),"KALIMANTAN BARAT")</f>
        <v>KALIMANTAN BARAT</v>
      </c>
      <c r="R3296" s="35" t="str">
        <f>IFERROR(__xludf.DUMMYFUNCTION("""COMPUTED_VALUE"""),"ISLAM")</f>
        <v>ISLAM</v>
      </c>
      <c r="S3296" s="74" t="str">
        <f>IFERROR(__xludf.DUMMYFUNCTION("""COMPUTED_VALUE"""),"SWASTA")</f>
        <v>SWASTA</v>
      </c>
      <c r="T3296" s="35" t="str">
        <f>IFERROR(__xludf.DUMMYFUNCTION("""COMPUTED_VALUE"""),"SAKIT PADA PINGGANG SAMPAI LUTU")</f>
        <v>SAKIT PADA PINGGANG SAMPAI LUTU</v>
      </c>
      <c r="U3296" s="35" t="str">
        <f>IFERROR(__xludf.DUMMYFUNCTION("""COMPUTED_VALUE"""),"ANGKAT BEBAN RINGAN")</f>
        <v>ANGKAT BEBAN RINGAN</v>
      </c>
      <c r="V3296" s="35" t="str">
        <f>IFERROR(__xludf.DUMMYFUNCTION("""COMPUTED_VALUE"""),"085853011156")</f>
        <v>085853011156</v>
      </c>
      <c r="W3296" s="45"/>
    </row>
    <row r="3297">
      <c r="A3297" s="45"/>
      <c r="B3297" s="35" t="str">
        <f>IFERROR(__xludf.DUMMYFUNCTION("""COMPUTED_VALUE"""),"12/01/2026 13:07:32")</f>
        <v>12/01/2026 13:07:32</v>
      </c>
      <c r="C3297" s="35"/>
      <c r="D3297" s="10">
        <f>IFERROR(__xludf.DUMMYFUNCTION("""COMPUTED_VALUE"""),46034.0)</f>
        <v>46034</v>
      </c>
      <c r="E3297" s="35" t="str">
        <f>IFERROR(__xludf.DUMMYFUNCTION("""COMPUTED_VALUE"""),"01Jan")</f>
        <v>01Jan</v>
      </c>
      <c r="F3297" s="35" t="str">
        <f>IFERROR(__xludf.DUMMYFUNCTION("""COMPUTED_VALUE"""),"2026")</f>
        <v>2026</v>
      </c>
      <c r="G3297" s="35" t="str">
        <f>IFERROR(__xludf.DUMMYFUNCTION("""COMPUTED_VALUE"""),"ANUSAPATI")</f>
        <v>ANUSAPATI</v>
      </c>
      <c r="H3297" s="35" t="str">
        <f>IFERROR(__xludf.DUMMYFUNCTION("""COMPUTED_VALUE"""),"A6626019996")</f>
        <v>A6626019996</v>
      </c>
      <c r="I3297" s="35">
        <f>IFERROR(__xludf.DUMMYFUNCTION("""COMPUTED_VALUE"""),60.0)</f>
        <v>60</v>
      </c>
      <c r="J3297" s="35" t="str">
        <f>IFERROR(__xludf.DUMMYFUNCTION("""COMPUTED_VALUE"""),"&gt; 44 tahun")</f>
        <v>&gt; 44 tahun</v>
      </c>
      <c r="K3297" s="35" t="str">
        <f>IFERROR(__xludf.DUMMYFUNCTION("""COMPUTED_VALUE"""),"15/05/1966")</f>
        <v>15/05/1966</v>
      </c>
      <c r="L3297" s="35" t="str">
        <f>IFERROR(__xludf.DUMMYFUNCTION("""COMPUTED_VALUE"""),"LAKI-LAKI")</f>
        <v>LAKI-LAKI</v>
      </c>
      <c r="M3297" s="35" t="str">
        <f>IFERROR(__xludf.DUMMYFUNCTION("""COMPUTED_VALUE"""),"JL HM SWIGNYO GG SUDIHARJO 3A-10")</f>
        <v>JL HM SWIGNYO GG SUDIHARJO 3A-10</v>
      </c>
      <c r="N3297" s="35" t="str">
        <f>IFERROR(__xludf.DUMMYFUNCTION("""COMPUTED_VALUE"""),"SUNGAI JAWI")</f>
        <v>SUNGAI JAWI</v>
      </c>
      <c r="O3297" s="35" t="str">
        <f>IFERROR(__xludf.DUMMYFUNCTION("""COMPUTED_VALUE"""),"PONTIANAK KOTA")</f>
        <v>PONTIANAK KOTA</v>
      </c>
      <c r="P3297" s="35" t="str">
        <f>IFERROR(__xludf.DUMMYFUNCTION("""COMPUTED_VALUE"""),"KOTA PONTIANAK")</f>
        <v>KOTA PONTIANAK</v>
      </c>
      <c r="Q3297" s="35" t="str">
        <f>IFERROR(__xludf.DUMMYFUNCTION("""COMPUTED_VALUE"""),"KALIMANTAN BARAT")</f>
        <v>KALIMANTAN BARAT</v>
      </c>
      <c r="R3297" s="35" t="str">
        <f>IFERROR(__xludf.DUMMYFUNCTION("""COMPUTED_VALUE"""),"ISLAM")</f>
        <v>ISLAM</v>
      </c>
      <c r="S3297" s="74" t="str">
        <f>IFERROR(__xludf.DUMMYFUNCTION("""COMPUTED_VALUE"""),"PNS")</f>
        <v>PNS</v>
      </c>
      <c r="T3297" s="35" t="str">
        <f>IFERROR(__xludf.DUMMYFUNCTION("""COMPUTED_VALUE"""),"BOKONG")</f>
        <v>BOKONG</v>
      </c>
      <c r="U3297" s="35" t="str">
        <f>IFERROR(__xludf.DUMMYFUNCTION("""COMPUTED_VALUE"""),"-")</f>
        <v>-</v>
      </c>
      <c r="V3297" s="35" t="str">
        <f>IFERROR(__xludf.DUMMYFUNCTION("""COMPUTED_VALUE"""),"082253869996")</f>
        <v>082253869996</v>
      </c>
      <c r="W3297" s="45"/>
    </row>
    <row r="3298">
      <c r="A3298" s="45"/>
      <c r="B3298" s="35" t="str">
        <f>IFERROR(__xludf.DUMMYFUNCTION("""COMPUTED_VALUE"""),"12/01/2026 14:15:02")</f>
        <v>12/01/2026 14:15:02</v>
      </c>
      <c r="C3298" s="35"/>
      <c r="D3298" s="10">
        <f>IFERROR(__xludf.DUMMYFUNCTION("""COMPUTED_VALUE"""),46034.0)</f>
        <v>46034</v>
      </c>
      <c r="E3298" s="35" t="str">
        <f>IFERROR(__xludf.DUMMYFUNCTION("""COMPUTED_VALUE"""),"01Jan")</f>
        <v>01Jan</v>
      </c>
      <c r="F3298" s="35" t="str">
        <f>IFERROR(__xludf.DUMMYFUNCTION("""COMPUTED_VALUE"""),"2026")</f>
        <v>2026</v>
      </c>
      <c r="G3298" s="35" t="str">
        <f>IFERROR(__xludf.DUMMYFUNCTION("""COMPUTED_VALUE"""),"RIDHO YUDI PRABAWA")</f>
        <v>RIDHO YUDI PRABAWA</v>
      </c>
      <c r="H3298" s="35" t="str">
        <f>IFERROR(__xludf.DUMMYFUNCTION("""COMPUTED_VALUE"""),"R8126015750")</f>
        <v>R8126015750</v>
      </c>
      <c r="I3298" s="35">
        <f>IFERROR(__xludf.DUMMYFUNCTION("""COMPUTED_VALUE"""),44.0)</f>
        <v>44</v>
      </c>
      <c r="J3298" s="35" t="str">
        <f>IFERROR(__xludf.DUMMYFUNCTION("""COMPUTED_VALUE"""),"35-44 tahun")</f>
        <v>35-44 tahun</v>
      </c>
      <c r="K3298" s="35" t="str">
        <f>IFERROR(__xludf.DUMMYFUNCTION("""COMPUTED_VALUE"""),"24/10/1981")</f>
        <v>24/10/1981</v>
      </c>
      <c r="L3298" s="35" t="str">
        <f>IFERROR(__xludf.DUMMYFUNCTION("""COMPUTED_VALUE"""),"LAKI-LAKI")</f>
        <v>LAKI-LAKI</v>
      </c>
      <c r="M3298" s="35" t="str">
        <f>IFERROR(__xludf.DUMMYFUNCTION("""COMPUTED_VALUE"""),"JL PUTRI CANDRAMIDI 1/14")</f>
        <v>JL PUTRI CANDRAMIDI 1/14</v>
      </c>
      <c r="N3298" s="35" t="str">
        <f>IFERROR(__xludf.DUMMYFUNCTION("""COMPUTED_VALUE"""),"SUNGAI BANGKONG")</f>
        <v>SUNGAI BANGKONG</v>
      </c>
      <c r="O3298" s="35" t="str">
        <f>IFERROR(__xludf.DUMMYFUNCTION("""COMPUTED_VALUE"""),"PONTIANAK SELATAN")</f>
        <v>PONTIANAK SELATAN</v>
      </c>
      <c r="P3298" s="35" t="str">
        <f>IFERROR(__xludf.DUMMYFUNCTION("""COMPUTED_VALUE"""),"PONTIANAK")</f>
        <v>PONTIANAK</v>
      </c>
      <c r="Q3298" s="35" t="str">
        <f>IFERROR(__xludf.DUMMYFUNCTION("""COMPUTED_VALUE"""),"KALIMANTAN BARAT")</f>
        <v>KALIMANTAN BARAT</v>
      </c>
      <c r="R3298" s="35" t="str">
        <f>IFERROR(__xludf.DUMMYFUNCTION("""COMPUTED_VALUE"""),"ISLAM")</f>
        <v>ISLAM</v>
      </c>
      <c r="S3298" s="74" t="str">
        <f>IFERROR(__xludf.DUMMYFUNCTION("""COMPUTED_VALUE"""),"KARYAWAN BUMD")</f>
        <v>KARYAWAN BUMD</v>
      </c>
      <c r="T3298" s="35" t="str">
        <f>IFERROR(__xludf.DUMMYFUNCTION("""COMPUTED_VALUE"""),"TANGAN")</f>
        <v>TANGAN</v>
      </c>
      <c r="U3298" s="35" t="str">
        <f>IFERROR(__xludf.DUMMYFUNCTION("""COMPUTED_VALUE"""),"-")</f>
        <v>-</v>
      </c>
      <c r="V3298" s="35" t="str">
        <f>IFERROR(__xludf.DUMMYFUNCTION("""COMPUTED_VALUE"""),"081299015750")</f>
        <v>081299015750</v>
      </c>
      <c r="W3298" s="45"/>
    </row>
    <row r="3299">
      <c r="A3299" s="45"/>
      <c r="B3299" s="35" t="str">
        <f>IFERROR(__xludf.DUMMYFUNCTION("""COMPUTED_VALUE"""),"12/01/2026 15:58:17")</f>
        <v>12/01/2026 15:58:17</v>
      </c>
      <c r="C3299" s="35"/>
      <c r="D3299" s="10">
        <f>IFERROR(__xludf.DUMMYFUNCTION("""COMPUTED_VALUE"""),46034.0)</f>
        <v>46034</v>
      </c>
      <c r="E3299" s="35" t="str">
        <f>IFERROR(__xludf.DUMMYFUNCTION("""COMPUTED_VALUE"""),"01Jan")</f>
        <v>01Jan</v>
      </c>
      <c r="F3299" s="35" t="str">
        <f>IFERROR(__xludf.DUMMYFUNCTION("""COMPUTED_VALUE"""),"2026")</f>
        <v>2026</v>
      </c>
      <c r="G3299" s="35" t="str">
        <f>IFERROR(__xludf.DUMMYFUNCTION("""COMPUTED_VALUE"""),"MAULIZA DESIANA")</f>
        <v>MAULIZA DESIANA</v>
      </c>
      <c r="H3299" s="35" t="str">
        <f>IFERROR(__xludf.DUMMYFUNCTION("""COMPUTED_VALUE"""),"M8726014596")</f>
        <v>M8726014596</v>
      </c>
      <c r="I3299" s="35">
        <f>IFERROR(__xludf.DUMMYFUNCTION("""COMPUTED_VALUE"""),38.0)</f>
        <v>38</v>
      </c>
      <c r="J3299" s="35" t="str">
        <f>IFERROR(__xludf.DUMMYFUNCTION("""COMPUTED_VALUE"""),"35-44 tahun")</f>
        <v>35-44 tahun</v>
      </c>
      <c r="K3299" s="35" t="str">
        <f>IFERROR(__xludf.DUMMYFUNCTION("""COMPUTED_VALUE"""),"17/12/1987")</f>
        <v>17/12/1987</v>
      </c>
      <c r="L3299" s="35" t="str">
        <f>IFERROR(__xludf.DUMMYFUNCTION("""COMPUTED_VALUE"""),"PEREMPUAN")</f>
        <v>PEREMPUAN</v>
      </c>
      <c r="M3299" s="35" t="str">
        <f>IFERROR(__xludf.DUMMYFUNCTION("""COMPUTED_VALUE"""),"6,17106E+15")</f>
        <v>6,17106E+15</v>
      </c>
      <c r="N3299" s="35" t="str">
        <f>IFERROR(__xludf.DUMMYFUNCTION("""COMPUTED_VALUE"""),"SUNGAI JAWI DALAM")</f>
        <v>SUNGAI JAWI DALAM</v>
      </c>
      <c r="O3299" s="35" t="str">
        <f>IFERROR(__xludf.DUMMYFUNCTION("""COMPUTED_VALUE"""),"PONTIANAK BARAT")</f>
        <v>PONTIANAK BARAT</v>
      </c>
      <c r="P3299" s="35" t="str">
        <f>IFERROR(__xludf.DUMMYFUNCTION("""COMPUTED_VALUE"""),"PONTIANAK")</f>
        <v>PONTIANAK</v>
      </c>
      <c r="Q3299" s="35" t="str">
        <f>IFERROR(__xludf.DUMMYFUNCTION("""COMPUTED_VALUE"""),"KAKIMANTAN BARAT")</f>
        <v>KAKIMANTAN BARAT</v>
      </c>
      <c r="R3299" s="35" t="str">
        <f>IFERROR(__xludf.DUMMYFUNCTION("""COMPUTED_VALUE"""),"ISLAM")</f>
        <v>ISLAM</v>
      </c>
      <c r="S3299" s="74" t="str">
        <f>IFERROR(__xludf.DUMMYFUNCTION("""COMPUTED_VALUE"""),"KARYAWAN SWASTA")</f>
        <v>KARYAWAN SWASTA</v>
      </c>
      <c r="T3299" s="35" t="str">
        <f>IFERROR(__xludf.DUMMYFUNCTION("""COMPUTED_VALUE"""),"BAHU KANAN CIDERA")</f>
        <v>BAHU KANAN CIDERA</v>
      </c>
      <c r="U3299" s="35" t="str">
        <f>IFERROR(__xludf.DUMMYFUNCTION("""COMPUTED_VALUE"""),"LATIHAN BEBAN")</f>
        <v>LATIHAN BEBAN</v>
      </c>
      <c r="V3299" s="35" t="str">
        <f>IFERROR(__xludf.DUMMYFUNCTION("""COMPUTED_VALUE"""),"087709174596")</f>
        <v>087709174596</v>
      </c>
      <c r="W3299" s="45"/>
    </row>
    <row r="3300">
      <c r="A3300" s="45"/>
      <c r="B3300" s="35" t="str">
        <f>IFERROR(__xludf.DUMMYFUNCTION("""COMPUTED_VALUE"""),"12/01/2026 17:31:26")</f>
        <v>12/01/2026 17:31:26</v>
      </c>
      <c r="C3300" s="35"/>
      <c r="D3300" s="10">
        <f>IFERROR(__xludf.DUMMYFUNCTION("""COMPUTED_VALUE"""),46034.0)</f>
        <v>46034</v>
      </c>
      <c r="E3300" s="35" t="str">
        <f>IFERROR(__xludf.DUMMYFUNCTION("""COMPUTED_VALUE"""),"01Jan")</f>
        <v>01Jan</v>
      </c>
      <c r="F3300" s="35" t="str">
        <f>IFERROR(__xludf.DUMMYFUNCTION("""COMPUTED_VALUE"""),"2026")</f>
        <v>2026</v>
      </c>
      <c r="G3300" s="35" t="str">
        <f>IFERROR(__xludf.DUMMYFUNCTION("""COMPUTED_VALUE"""),"HENDRA GUNAWAN 8801")</f>
        <v>HENDRA GUNAWAN 8801</v>
      </c>
      <c r="H3300" s="35" t="str">
        <f>IFERROR(__xludf.DUMMYFUNCTION("""COMPUTED_VALUE"""),"H8826017170")</f>
        <v>H8826017170</v>
      </c>
      <c r="I3300" s="35">
        <f>IFERROR(__xludf.DUMMYFUNCTION("""COMPUTED_VALUE"""),38.0)</f>
        <v>38</v>
      </c>
      <c r="J3300" s="35" t="str">
        <f>IFERROR(__xludf.DUMMYFUNCTION("""COMPUTED_VALUE"""),"35-44 tahun")</f>
        <v>35-44 tahun</v>
      </c>
      <c r="K3300" s="35" t="str">
        <f>IFERROR(__xludf.DUMMYFUNCTION("""COMPUTED_VALUE"""),"17/01/1988")</f>
        <v>17/01/1988</v>
      </c>
      <c r="L3300" s="35" t="str">
        <f>IFERROR(__xludf.DUMMYFUNCTION("""COMPUTED_VALUE"""),"LAKI-LAKI")</f>
        <v>LAKI-LAKI</v>
      </c>
      <c r="M3300" s="35" t="str">
        <f>IFERROR(__xludf.DUMMYFUNCTION("""COMPUTED_VALUE"""),"JL. TANJUNGPURA GG. ADEN NO. 42")</f>
        <v>JL. TANJUNGPURA GG. ADEN NO. 42</v>
      </c>
      <c r="N3300" s="35" t="str">
        <f>IFERROR(__xludf.DUMMYFUNCTION("""COMPUTED_VALUE"""),"BENUA MELAYU LAUT")</f>
        <v>BENUA MELAYU LAUT</v>
      </c>
      <c r="O3300" s="35" t="str">
        <f>IFERROR(__xludf.DUMMYFUNCTION("""COMPUTED_VALUE"""),"PONTIANAK SELATAN")</f>
        <v>PONTIANAK SELATAN</v>
      </c>
      <c r="P3300" s="35" t="str">
        <f>IFERROR(__xludf.DUMMYFUNCTION("""COMPUTED_VALUE"""),"KOTA PONTIANAK")</f>
        <v>KOTA PONTIANAK</v>
      </c>
      <c r="Q3300" s="35" t="str">
        <f>IFERROR(__xludf.DUMMYFUNCTION("""COMPUTED_VALUE"""),"KALIMANTAN BARAT")</f>
        <v>KALIMANTAN BARAT</v>
      </c>
      <c r="R3300" s="35" t="str">
        <f>IFERROR(__xludf.DUMMYFUNCTION("""COMPUTED_VALUE"""),"KATOLIK")</f>
        <v>KATOLIK</v>
      </c>
      <c r="S3300" s="74" t="str">
        <f>IFERROR(__xludf.DUMMYFUNCTION("""COMPUTED_VALUE"""),"PNS")</f>
        <v>PNS</v>
      </c>
      <c r="T3300" s="35" t="str">
        <f>IFERROR(__xludf.DUMMYFUNCTION("""COMPUTED_VALUE"""),"KAKI JIKA DITEKUK SEKITAR 10 MENIT ATAU LEBIH, AKAN TERASA SAKIT JIKA MAU BERJALAN")</f>
        <v>KAKI JIKA DITEKUK SEKITAR 10 MENIT ATAU LEBIH, AKAN TERASA SAKIT JIKA MAU BERJALAN</v>
      </c>
      <c r="U3300" s="35" t="str">
        <f>IFERROR(__xludf.DUMMYFUNCTION("""COMPUTED_VALUE"""),"BADMINTON")</f>
        <v>BADMINTON</v>
      </c>
      <c r="V3300" s="35" t="str">
        <f>IFERROR(__xludf.DUMMYFUNCTION("""COMPUTED_VALUE"""),"085252447170")</f>
        <v>085252447170</v>
      </c>
      <c r="W3300" s="45"/>
    </row>
    <row r="3301">
      <c r="A3301" s="45"/>
      <c r="B3301" s="35" t="str">
        <f>IFERROR(__xludf.DUMMYFUNCTION("""COMPUTED_VALUE"""),"12/01/2026 17:37:20")</f>
        <v>12/01/2026 17:37:20</v>
      </c>
      <c r="C3301" s="35"/>
      <c r="D3301" s="10">
        <f>IFERROR(__xludf.DUMMYFUNCTION("""COMPUTED_VALUE"""),46034.0)</f>
        <v>46034</v>
      </c>
      <c r="E3301" s="35" t="str">
        <f>IFERROR(__xludf.DUMMYFUNCTION("""COMPUTED_VALUE"""),"01Jan")</f>
        <v>01Jan</v>
      </c>
      <c r="F3301" s="35" t="str">
        <f>IFERROR(__xludf.DUMMYFUNCTION("""COMPUTED_VALUE"""),"2026")</f>
        <v>2026</v>
      </c>
      <c r="G3301" s="35" t="str">
        <f>IFERROR(__xludf.DUMMYFUNCTION("""COMPUTED_VALUE"""),"YAZID MISHBAH KHOIRI ")</f>
        <v>YAZID MISHBAH KHOIRI </v>
      </c>
      <c r="H3301" s="35" t="str">
        <f>IFERROR(__xludf.DUMMYFUNCTION("""COMPUTED_VALUE"""),"Y0526012616")</f>
        <v>Y0526012616</v>
      </c>
      <c r="I3301" s="35">
        <f>IFERROR(__xludf.DUMMYFUNCTION("""COMPUTED_VALUE"""),20.0)</f>
        <v>20</v>
      </c>
      <c r="J3301" s="35" t="str">
        <f>IFERROR(__xludf.DUMMYFUNCTION("""COMPUTED_VALUE"""),"18-24 tahun")</f>
        <v>18-24 tahun</v>
      </c>
      <c r="K3301" s="35" t="str">
        <f>IFERROR(__xludf.DUMMYFUNCTION("""COMPUTED_VALUE"""),"17/06/2005")</f>
        <v>17/06/2005</v>
      </c>
      <c r="L3301" s="35" t="str">
        <f>IFERROR(__xludf.DUMMYFUNCTION("""COMPUTED_VALUE"""),"LAKI-LAKI")</f>
        <v>LAKI-LAKI</v>
      </c>
      <c r="M3301" s="35" t="str">
        <f>IFERROR(__xludf.DUMMYFUNCTION("""COMPUTED_VALUE"""),"JL. KARYA BAKTI GG. KARYA BAKTI 3 NO.36")</f>
        <v>JL. KARYA BAKTI GG. KARYA BAKTI 3 NO.36</v>
      </c>
      <c r="N3301" s="35" t="str">
        <f>IFERROR(__xludf.DUMMYFUNCTION("""COMPUTED_VALUE"""),"AKCAYA")</f>
        <v>AKCAYA</v>
      </c>
      <c r="O3301" s="35" t="str">
        <f>IFERROR(__xludf.DUMMYFUNCTION("""COMPUTED_VALUE"""),"PONTIANAK SELATAN")</f>
        <v>PONTIANAK SELATAN</v>
      </c>
      <c r="P3301" s="35" t="str">
        <f>IFERROR(__xludf.DUMMYFUNCTION("""COMPUTED_VALUE"""),"KOTA PONTIANAK")</f>
        <v>KOTA PONTIANAK</v>
      </c>
      <c r="Q3301" s="35" t="str">
        <f>IFERROR(__xludf.DUMMYFUNCTION("""COMPUTED_VALUE"""),"KALIMANTAN BARAT")</f>
        <v>KALIMANTAN BARAT</v>
      </c>
      <c r="R3301" s="35" t="str">
        <f>IFERROR(__xludf.DUMMYFUNCTION("""COMPUTED_VALUE"""),"ISLAM")</f>
        <v>ISLAM</v>
      </c>
      <c r="S3301" s="74" t="str">
        <f>IFERROR(__xludf.DUMMYFUNCTION("""COMPUTED_VALUE"""),"MAHASISWA ")</f>
        <v>MAHASISWA </v>
      </c>
      <c r="T3301" s="35" t="str">
        <f>IFERROR(__xludf.DUMMYFUNCTION("""COMPUTED_VALUE"""),"CEDERA LUTUT")</f>
        <v>CEDERA LUTUT</v>
      </c>
      <c r="U3301" s="35" t="str">
        <f>IFERROR(__xludf.DUMMYFUNCTION("""COMPUTED_VALUE"""),"FUTSAL &amp; SEPAK BOLA")</f>
        <v>FUTSAL &amp; SEPAK BOLA</v>
      </c>
      <c r="V3301" s="35" t="str">
        <f>IFERROR(__xludf.DUMMYFUNCTION("""COMPUTED_VALUE"""),"081351972616")</f>
        <v>081351972616</v>
      </c>
      <c r="W3301" s="45"/>
    </row>
    <row r="3302">
      <c r="A3302" s="45"/>
      <c r="B3302" s="35" t="str">
        <f>IFERROR(__xludf.DUMMYFUNCTION("""COMPUTED_VALUE"""),"12/01/2026 20:42:20")</f>
        <v>12/01/2026 20:42:20</v>
      </c>
      <c r="C3302" s="35"/>
      <c r="D3302" s="10">
        <f>IFERROR(__xludf.DUMMYFUNCTION("""COMPUTED_VALUE"""),46034.0)</f>
        <v>46034</v>
      </c>
      <c r="E3302" s="35" t="str">
        <f>IFERROR(__xludf.DUMMYFUNCTION("""COMPUTED_VALUE"""),"01Jan")</f>
        <v>01Jan</v>
      </c>
      <c r="F3302" s="35" t="str">
        <f>IFERROR(__xludf.DUMMYFUNCTION("""COMPUTED_VALUE"""),"2026")</f>
        <v>2026</v>
      </c>
      <c r="G3302" s="35" t="str">
        <f>IFERROR(__xludf.DUMMYFUNCTION("""COMPUTED_VALUE"""),"DANI FAHRIZAL")</f>
        <v>DANI FAHRIZAL</v>
      </c>
      <c r="H3302" s="35" t="str">
        <f>IFERROR(__xludf.DUMMYFUNCTION("""COMPUTED_VALUE"""),"D9526010808")</f>
        <v>D9526010808</v>
      </c>
      <c r="I3302" s="35">
        <f>IFERROR(__xludf.DUMMYFUNCTION("""COMPUTED_VALUE"""),31.0)</f>
        <v>31</v>
      </c>
      <c r="J3302" s="35" t="str">
        <f>IFERROR(__xludf.DUMMYFUNCTION("""COMPUTED_VALUE"""),"25-34 tahun")</f>
        <v>25-34 tahun</v>
      </c>
      <c r="K3302" s="35" t="str">
        <f>IFERROR(__xludf.DUMMYFUNCTION("""COMPUTED_VALUE"""),"19/05/1995")</f>
        <v>19/05/1995</v>
      </c>
      <c r="L3302" s="35" t="str">
        <f>IFERROR(__xludf.DUMMYFUNCTION("""COMPUTED_VALUE"""),"LAKI-LAKI")</f>
        <v>LAKI-LAKI</v>
      </c>
      <c r="M3302" s="35" t="str">
        <f>IFERROR(__xludf.DUMMYFUNCTION("""COMPUTED_VALUE"""),"ADDG")</f>
        <v>ADDG</v>
      </c>
      <c r="N3302" s="35" t="str">
        <f>IFERROR(__xludf.DUMMYFUNCTION("""COMPUTED_VALUE"""),"SFHSFB")</f>
        <v>SFHSFB</v>
      </c>
      <c r="O3302" s="35" t="str">
        <f>IFERROR(__xludf.DUMMYFUNCTION("""COMPUTED_VALUE"""),"SFHSFB")</f>
        <v>SFHSFB</v>
      </c>
      <c r="P3302" s="35" t="str">
        <f>IFERROR(__xludf.DUMMYFUNCTION("""COMPUTED_VALUE"""),"SFBSFB")</f>
        <v>SFBSFB</v>
      </c>
      <c r="Q3302" s="35" t="str">
        <f>IFERROR(__xludf.DUMMYFUNCTION("""COMPUTED_VALUE"""),"FDBSFB")</f>
        <v>FDBSFB</v>
      </c>
      <c r="R3302" s="35" t="str">
        <f>IFERROR(__xludf.DUMMYFUNCTION("""COMPUTED_VALUE"""),"ISLAM")</f>
        <v>ISLAM</v>
      </c>
      <c r="S3302" s="74" t="str">
        <f>IFERROR(__xludf.DUMMYFUNCTION("""COMPUTED_VALUE"""),"SFHBADGV")</f>
        <v>SFHBADGV</v>
      </c>
      <c r="T3302" s="35" t="str">
        <f>IFERROR(__xludf.DUMMYFUNCTION("""COMPUTED_VALUE"""),"AFHDBSFDGZV")</f>
        <v>AFHDBSFDGZV</v>
      </c>
      <c r="U3302" s="35" t="str">
        <f>IFERROR(__xludf.DUMMYFUNCTION("""COMPUTED_VALUE"""),"ARSFGBARSFV")</f>
        <v>ARSFGBARSFV</v>
      </c>
      <c r="V3302" s="35" t="str">
        <f>IFERROR(__xludf.DUMMYFUNCTION("""COMPUTED_VALUE"""),"080808080808")</f>
        <v>080808080808</v>
      </c>
      <c r="W3302" s="45"/>
    </row>
    <row r="3303">
      <c r="A3303" s="45"/>
      <c r="B3303" s="35" t="str">
        <f>IFERROR(__xludf.DUMMYFUNCTION("""COMPUTED_VALUE"""),"13/01/2026 10:25:09")</f>
        <v>13/01/2026 10:25:09</v>
      </c>
      <c r="C3303" s="35"/>
      <c r="D3303" s="10">
        <f>IFERROR(__xludf.DUMMYFUNCTION("""COMPUTED_VALUE"""),46035.0)</f>
        <v>46035</v>
      </c>
      <c r="E3303" s="35" t="str">
        <f>IFERROR(__xludf.DUMMYFUNCTION("""COMPUTED_VALUE"""),"01Jan")</f>
        <v>01Jan</v>
      </c>
      <c r="F3303" s="35" t="str">
        <f>IFERROR(__xludf.DUMMYFUNCTION("""COMPUTED_VALUE"""),"2026")</f>
        <v>2026</v>
      </c>
      <c r="G3303" s="35" t="str">
        <f>IFERROR(__xludf.DUMMYFUNCTION("""COMPUTED_VALUE"""),"HENDI")</f>
        <v>HENDI</v>
      </c>
      <c r="H3303" s="35" t="str">
        <f>IFERROR(__xludf.DUMMYFUNCTION("""COMPUTED_VALUE"""),"H9326013156")</f>
        <v>H9326013156</v>
      </c>
      <c r="I3303" s="35">
        <f>IFERROR(__xludf.DUMMYFUNCTION("""COMPUTED_VALUE"""),32.0)</f>
        <v>32</v>
      </c>
      <c r="J3303" s="35" t="str">
        <f>IFERROR(__xludf.DUMMYFUNCTION("""COMPUTED_VALUE"""),"25-34 tahun")</f>
        <v>25-34 tahun</v>
      </c>
      <c r="K3303" s="35" t="str">
        <f>IFERROR(__xludf.DUMMYFUNCTION("""COMPUTED_VALUE"""),"14/07/1993")</f>
        <v>14/07/1993</v>
      </c>
      <c r="L3303" s="35" t="str">
        <f>IFERROR(__xludf.DUMMYFUNCTION("""COMPUTED_VALUE"""),"LAKI-LAKI")</f>
        <v>LAKI-LAKI</v>
      </c>
      <c r="M3303" s="35" t="str">
        <f>IFERROR(__xludf.DUMMYFUNCTION("""COMPUTED_VALUE"""),"JL SUNGAI TERUSAN DUSUN KARIYA JAYA")</f>
        <v>JL SUNGAI TERUSAN DUSUN KARIYA JAYA</v>
      </c>
      <c r="N3303" s="35" t="str">
        <f>IFERROR(__xludf.DUMMYFUNCTION("""COMPUTED_VALUE"""),"TERENTANG HULU ")</f>
        <v>TERENTANG HULU </v>
      </c>
      <c r="O3303" s="35" t="str">
        <f>IFERROR(__xludf.DUMMYFUNCTION("""COMPUTED_VALUE"""),"TERENTANG")</f>
        <v>TERENTANG</v>
      </c>
      <c r="P3303" s="35" t="str">
        <f>IFERROR(__xludf.DUMMYFUNCTION("""COMPUTED_VALUE"""),"KUBU RAYA")</f>
        <v>KUBU RAYA</v>
      </c>
      <c r="Q3303" s="35" t="str">
        <f>IFERROR(__xludf.DUMMYFUNCTION("""COMPUTED_VALUE"""),"KALIMANTAN BARAT")</f>
        <v>KALIMANTAN BARAT</v>
      </c>
      <c r="R3303" s="35" t="str">
        <f>IFERROR(__xludf.DUMMYFUNCTION("""COMPUTED_VALUE"""),"BUDDHA")</f>
        <v>BUDDHA</v>
      </c>
      <c r="S3303" s="74" t="str">
        <f>IFERROR(__xludf.DUMMYFUNCTION("""COMPUTED_VALUE"""),"FREELANCE")</f>
        <v>FREELANCE</v>
      </c>
      <c r="T3303" s="35" t="str">
        <f>IFERROR(__xludf.DUMMYFUNCTION("""COMPUTED_VALUE"""),"ADA BENJOLAN DI LUTUT BELAKANG")</f>
        <v>ADA BENJOLAN DI LUTUT BELAKANG</v>
      </c>
      <c r="U3303" s="35" t="str">
        <f>IFERROR(__xludf.DUMMYFUNCTION("""COMPUTED_VALUE"""),"BADMINTON DAN LARI")</f>
        <v>BADMINTON DAN LARI</v>
      </c>
      <c r="V3303" s="35" t="str">
        <f>IFERROR(__xludf.DUMMYFUNCTION("""COMPUTED_VALUE"""),"082148893156")</f>
        <v>082148893156</v>
      </c>
      <c r="W3303" s="45"/>
    </row>
    <row r="3304">
      <c r="A3304" s="45"/>
      <c r="B3304" s="35" t="str">
        <f>IFERROR(__xludf.DUMMYFUNCTION("""COMPUTED_VALUE"""),"13/01/2026 19:25:28")</f>
        <v>13/01/2026 19:25:28</v>
      </c>
      <c r="C3304" s="35"/>
      <c r="D3304" s="10">
        <f>IFERROR(__xludf.DUMMYFUNCTION("""COMPUTED_VALUE"""),46035.0)</f>
        <v>46035</v>
      </c>
      <c r="E3304" s="35" t="str">
        <f>IFERROR(__xludf.DUMMYFUNCTION("""COMPUTED_VALUE"""),"01Jan")</f>
        <v>01Jan</v>
      </c>
      <c r="F3304" s="35" t="str">
        <f>IFERROR(__xludf.DUMMYFUNCTION("""COMPUTED_VALUE"""),"2026")</f>
        <v>2026</v>
      </c>
      <c r="G3304" s="35" t="str">
        <f>IFERROR(__xludf.DUMMYFUNCTION("""COMPUTED_VALUE"""),"WINCENT CHANDRA")</f>
        <v>WINCENT CHANDRA</v>
      </c>
      <c r="H3304" s="35" t="str">
        <f>IFERROR(__xludf.DUMMYFUNCTION("""COMPUTED_VALUE"""),"W1026011172")</f>
        <v>W1026011172</v>
      </c>
      <c r="I3304" s="35">
        <f>IFERROR(__xludf.DUMMYFUNCTION("""COMPUTED_VALUE"""),16.0)</f>
        <v>16</v>
      </c>
      <c r="J3304" s="35" t="str">
        <f>IFERROR(__xludf.DUMMYFUNCTION("""COMPUTED_VALUE"""),"&lt; 18 tahun")</f>
        <v>&lt; 18 tahun</v>
      </c>
      <c r="K3304" s="35" t="str">
        <f>IFERROR(__xludf.DUMMYFUNCTION("""COMPUTED_VALUE"""),"20/05/2010")</f>
        <v>20/05/2010</v>
      </c>
      <c r="L3304" s="35" t="str">
        <f>IFERROR(__xludf.DUMMYFUNCTION("""COMPUTED_VALUE"""),"LAKI-LAKI")</f>
        <v>LAKI-LAKI</v>
      </c>
      <c r="M3304" s="35" t="str">
        <f>IFERROR(__xludf.DUMMYFUNCTION("""COMPUTED_VALUE"""),"JL PURNAMA 2 NO.8")</f>
        <v>JL PURNAMA 2 NO.8</v>
      </c>
      <c r="N3304" s="35" t="str">
        <f>IFERROR(__xludf.DUMMYFUNCTION("""COMPUTED_VALUE"""),"KOTA BARU")</f>
        <v>KOTA BARU</v>
      </c>
      <c r="O3304" s="35" t="str">
        <f>IFERROR(__xludf.DUMMYFUNCTION("""COMPUTED_VALUE"""),"PONTIANAK SELATAN")</f>
        <v>PONTIANAK SELATAN</v>
      </c>
      <c r="P3304" s="35" t="str">
        <f>IFERROR(__xludf.DUMMYFUNCTION("""COMPUTED_VALUE"""),"PONTIANAK")</f>
        <v>PONTIANAK</v>
      </c>
      <c r="Q3304" s="35" t="str">
        <f>IFERROR(__xludf.DUMMYFUNCTION("""COMPUTED_VALUE"""),"KALIMANTAN BARAT")</f>
        <v>KALIMANTAN BARAT</v>
      </c>
      <c r="R3304" s="35" t="str">
        <f>IFERROR(__xludf.DUMMYFUNCTION("""COMPUTED_VALUE"""),"LAINNYA")</f>
        <v>LAINNYA</v>
      </c>
      <c r="S3304" s="74" t="str">
        <f>IFERROR(__xludf.DUMMYFUNCTION("""COMPUTED_VALUE"""),"PELAJAR")</f>
        <v>PELAJAR</v>
      </c>
      <c r="T3304" s="35" t="str">
        <f>IFERROR(__xludf.DUMMYFUNCTION("""COMPUTED_VALUE"""),"POST OP ACL")</f>
        <v>POST OP ACL</v>
      </c>
      <c r="U3304" s="35" t="str">
        <f>IFERROR(__xludf.DUMMYFUNCTION("""COMPUTED_VALUE"""),"BASKET")</f>
        <v>BASKET</v>
      </c>
      <c r="V3304" s="35" t="str">
        <f>IFERROR(__xludf.DUMMYFUNCTION("""COMPUTED_VALUE"""),"085332111172")</f>
        <v>085332111172</v>
      </c>
      <c r="W3304" s="45"/>
    </row>
    <row r="3305">
      <c r="A3305" s="45"/>
      <c r="B3305" s="35" t="str">
        <f>IFERROR(__xludf.DUMMYFUNCTION("""COMPUTED_VALUE"""),"13/01/2026 19:27:49")</f>
        <v>13/01/2026 19:27:49</v>
      </c>
      <c r="C3305" s="35"/>
      <c r="D3305" s="10">
        <f>IFERROR(__xludf.DUMMYFUNCTION("""COMPUTED_VALUE"""),46035.0)</f>
        <v>46035</v>
      </c>
      <c r="E3305" s="35" t="str">
        <f>IFERROR(__xludf.DUMMYFUNCTION("""COMPUTED_VALUE"""),"01Jan")</f>
        <v>01Jan</v>
      </c>
      <c r="F3305" s="35" t="str">
        <f>IFERROR(__xludf.DUMMYFUNCTION("""COMPUTED_VALUE"""),"2026")</f>
        <v>2026</v>
      </c>
      <c r="G3305" s="35" t="str">
        <f>IFERROR(__xludf.DUMMYFUNCTION("""COMPUTED_VALUE"""),"MUHAMMAD REZKY NUGRAHA")</f>
        <v>MUHAMMAD REZKY NUGRAHA</v>
      </c>
      <c r="H3305" s="35" t="str">
        <f>IFERROR(__xludf.DUMMYFUNCTION("""COMPUTED_VALUE"""),"M9726019343")</f>
        <v>M9726019343</v>
      </c>
      <c r="I3305" s="35">
        <f>IFERROR(__xludf.DUMMYFUNCTION("""COMPUTED_VALUE"""),28.0)</f>
        <v>28</v>
      </c>
      <c r="J3305" s="35" t="str">
        <f>IFERROR(__xludf.DUMMYFUNCTION("""COMPUTED_VALUE"""),"25-34 tahun")</f>
        <v>25-34 tahun</v>
      </c>
      <c r="K3305" s="35" t="str">
        <f>IFERROR(__xludf.DUMMYFUNCTION("""COMPUTED_VALUE"""),"29/06/1997")</f>
        <v>29/06/1997</v>
      </c>
      <c r="L3305" s="35" t="str">
        <f>IFERROR(__xludf.DUMMYFUNCTION("""COMPUTED_VALUE"""),"LAKI-LAKI")</f>
        <v>LAKI-LAKI</v>
      </c>
      <c r="M3305" s="35" t="str">
        <f>IFERROR(__xludf.DUMMYFUNCTION("""COMPUTED_VALUE"""),"JL PEMUDA SAMPING PENGADILAN NEGERI")</f>
        <v>JL PEMUDA SAMPING PENGADILAN NEGERI</v>
      </c>
      <c r="N3305" s="35" t="str">
        <f>IFERROR(__xludf.DUMMYFUNCTION("""COMPUTED_VALUE"""),"BUKIT BETUNG")</f>
        <v>BUKIT BETUNG</v>
      </c>
      <c r="O3305" s="35" t="str">
        <f>IFERROR(__xludf.DUMMYFUNCTION("""COMPUTED_VALUE"""),"SUNGAILIAT")</f>
        <v>SUNGAILIAT</v>
      </c>
      <c r="P3305" s="35" t="str">
        <f>IFERROR(__xludf.DUMMYFUNCTION("""COMPUTED_VALUE"""),"BANGKA")</f>
        <v>BANGKA</v>
      </c>
      <c r="Q3305" s="35" t="str">
        <f>IFERROR(__xludf.DUMMYFUNCTION("""COMPUTED_VALUE"""),"KEPULAUAN BANGKA BELITUNG")</f>
        <v>KEPULAUAN BANGKA BELITUNG</v>
      </c>
      <c r="R3305" s="35" t="str">
        <f>IFERROR(__xludf.DUMMYFUNCTION("""COMPUTED_VALUE"""),"ISLAM")</f>
        <v>ISLAM</v>
      </c>
      <c r="S3305" s="74" t="str">
        <f>IFERROR(__xludf.DUMMYFUNCTION("""COMPUTED_VALUE"""),"TNI")</f>
        <v>TNI</v>
      </c>
      <c r="T3305" s="35" t="str">
        <f>IFERROR(__xludf.DUMMYFUNCTION("""COMPUTED_VALUE"""),"POST OP")</f>
        <v>POST OP</v>
      </c>
      <c r="U3305" s="35" t="str">
        <f>IFERROR(__xludf.DUMMYFUNCTION("""COMPUTED_VALUE"""),"-")</f>
        <v>-</v>
      </c>
      <c r="V3305" s="35" t="str">
        <f>IFERROR(__xludf.DUMMYFUNCTION("""COMPUTED_VALUE"""),"81319129343")</f>
        <v>81319129343</v>
      </c>
      <c r="W3305" s="45"/>
    </row>
    <row r="3306">
      <c r="A3306" s="45"/>
      <c r="B3306" s="35" t="str">
        <f>IFERROR(__xludf.DUMMYFUNCTION("""COMPUTED_VALUE"""),"13/01/2026 20:08:15")</f>
        <v>13/01/2026 20:08:15</v>
      </c>
      <c r="C3306" s="35"/>
      <c r="D3306" s="10">
        <f>IFERROR(__xludf.DUMMYFUNCTION("""COMPUTED_VALUE"""),46035.0)</f>
        <v>46035</v>
      </c>
      <c r="E3306" s="35" t="str">
        <f>IFERROR(__xludf.DUMMYFUNCTION("""COMPUTED_VALUE"""),"01Jan")</f>
        <v>01Jan</v>
      </c>
      <c r="F3306" s="35" t="str">
        <f>IFERROR(__xludf.DUMMYFUNCTION("""COMPUTED_VALUE"""),"2026")</f>
        <v>2026</v>
      </c>
      <c r="G3306" s="35" t="str">
        <f>IFERROR(__xludf.DUMMYFUNCTION("""COMPUTED_VALUE"""),"YANTO")</f>
        <v>YANTO</v>
      </c>
      <c r="H3306" s="35" t="str">
        <f>IFERROR(__xludf.DUMMYFUNCTION("""COMPUTED_VALUE"""),"Y7026019756")</f>
        <v>Y7026019756</v>
      </c>
      <c r="I3306" s="35">
        <f>IFERROR(__xludf.DUMMYFUNCTION("""COMPUTED_VALUE"""),55.0)</f>
        <v>55</v>
      </c>
      <c r="J3306" s="35" t="str">
        <f>IFERROR(__xludf.DUMMYFUNCTION("""COMPUTED_VALUE"""),"&gt; 44 tahun")</f>
        <v>&gt; 44 tahun</v>
      </c>
      <c r="K3306" s="35" t="str">
        <f>IFERROR(__xludf.DUMMYFUNCTION("""COMPUTED_VALUE"""),"23/10/1970")</f>
        <v>23/10/1970</v>
      </c>
      <c r="L3306" s="35" t="str">
        <f>IFERROR(__xludf.DUMMYFUNCTION("""COMPUTED_VALUE"""),"LAKI-LAKI")</f>
        <v>LAKI-LAKI</v>
      </c>
      <c r="M3306" s="35" t="str">
        <f>IFERROR(__xludf.DUMMYFUNCTION("""COMPUTED_VALUE"""),"JL NIRBAYA N0 18")</f>
        <v>JL NIRBAYA N0 18</v>
      </c>
      <c r="N3306" s="35" t="str">
        <f>IFERROR(__xludf.DUMMYFUNCTION("""COMPUTED_VALUE"""),"KOTA BARU")</f>
        <v>KOTA BARU</v>
      </c>
      <c r="O3306" s="35" t="str">
        <f>IFERROR(__xludf.DUMMYFUNCTION("""COMPUTED_VALUE"""),"PONTIANAK SELATAN")</f>
        <v>PONTIANAK SELATAN</v>
      </c>
      <c r="P3306" s="35" t="str">
        <f>IFERROR(__xludf.DUMMYFUNCTION("""COMPUTED_VALUE"""),"PONTIANAK")</f>
        <v>PONTIANAK</v>
      </c>
      <c r="Q3306" s="35" t="str">
        <f>IFERROR(__xludf.DUMMYFUNCTION("""COMPUTED_VALUE"""),"KALIMANTAN BARAT")</f>
        <v>KALIMANTAN BARAT</v>
      </c>
      <c r="R3306" s="35" t="str">
        <f>IFERROR(__xludf.DUMMYFUNCTION("""COMPUTED_VALUE"""),"BUDDHA")</f>
        <v>BUDDHA</v>
      </c>
      <c r="S3306" s="74" t="str">
        <f>IFERROR(__xludf.DUMMYFUNCTION("""COMPUTED_VALUE"""),"SWASTA")</f>
        <v>SWASTA</v>
      </c>
      <c r="T3306" s="35" t="str">
        <f>IFERROR(__xludf.DUMMYFUNCTION("""COMPUTED_VALUE"""),"PINGGANG")</f>
        <v>PINGGANG</v>
      </c>
      <c r="U3306" s="35" t="str">
        <f>IFERROR(__xludf.DUMMYFUNCTION("""COMPUTED_VALUE"""),"JALAN")</f>
        <v>JALAN</v>
      </c>
      <c r="V3306" s="35" t="str">
        <f>IFERROR(__xludf.DUMMYFUNCTION("""COMPUTED_VALUE"""),"82225289756")</f>
        <v>82225289756</v>
      </c>
      <c r="W3306" s="45"/>
    </row>
    <row r="3307">
      <c r="A3307" s="45"/>
      <c r="B3307" s="35" t="str">
        <f>IFERROR(__xludf.DUMMYFUNCTION("""COMPUTED_VALUE"""),"13/01/2026 20:09:32")</f>
        <v>13/01/2026 20:09:32</v>
      </c>
      <c r="C3307" s="35"/>
      <c r="D3307" s="10">
        <f>IFERROR(__xludf.DUMMYFUNCTION("""COMPUTED_VALUE"""),46035.0)</f>
        <v>46035</v>
      </c>
      <c r="E3307" s="35" t="str">
        <f>IFERROR(__xludf.DUMMYFUNCTION("""COMPUTED_VALUE"""),"01Jan")</f>
        <v>01Jan</v>
      </c>
      <c r="F3307" s="35" t="str">
        <f>IFERROR(__xludf.DUMMYFUNCTION("""COMPUTED_VALUE"""),"2026")</f>
        <v>2026</v>
      </c>
      <c r="G3307" s="35" t="str">
        <f>IFERROR(__xludf.DUMMYFUNCTION("""COMPUTED_VALUE"""),"EVI ")</f>
        <v>EVI </v>
      </c>
      <c r="H3307" s="35" t="str">
        <f>IFERROR(__xludf.DUMMYFUNCTION("""COMPUTED_VALUE"""),"E8626017555")</f>
        <v>E8626017555</v>
      </c>
      <c r="I3307" s="35">
        <f>IFERROR(__xludf.DUMMYFUNCTION("""COMPUTED_VALUE"""),40.0)</f>
        <v>40</v>
      </c>
      <c r="J3307" s="35" t="str">
        <f>IFERROR(__xludf.DUMMYFUNCTION("""COMPUTED_VALUE"""),"35-44 tahun")</f>
        <v>35-44 tahun</v>
      </c>
      <c r="K3307" s="35" t="str">
        <f>IFERROR(__xludf.DUMMYFUNCTION("""COMPUTED_VALUE"""),"13/01/1986")</f>
        <v>13/01/1986</v>
      </c>
      <c r="L3307" s="35" t="str">
        <f>IFERROR(__xludf.DUMMYFUNCTION("""COMPUTED_VALUE"""),"PEREMPUAN")</f>
        <v>PEREMPUAN</v>
      </c>
      <c r="M3307" s="35" t="str">
        <f>IFERROR(__xludf.DUMMYFUNCTION("""COMPUTED_VALUE"""),"PURNAMA")</f>
        <v>PURNAMA</v>
      </c>
      <c r="N3307" s="35" t="str">
        <f>IFERROR(__xludf.DUMMYFUNCTION("""COMPUTED_VALUE"""),"AKCAYA")</f>
        <v>AKCAYA</v>
      </c>
      <c r="O3307" s="35" t="str">
        <f>IFERROR(__xludf.DUMMYFUNCTION("""COMPUTED_VALUE"""),"PTK SELATAN")</f>
        <v>PTK SELATAN</v>
      </c>
      <c r="P3307" s="35" t="str">
        <f>IFERROR(__xludf.DUMMYFUNCTION("""COMPUTED_VALUE"""),"PTK")</f>
        <v>PTK</v>
      </c>
      <c r="Q3307" s="35" t="str">
        <f>IFERROR(__xludf.DUMMYFUNCTION("""COMPUTED_VALUE"""),"KALBAR")</f>
        <v>KALBAR</v>
      </c>
      <c r="R3307" s="35" t="str">
        <f>IFERROR(__xludf.DUMMYFUNCTION("""COMPUTED_VALUE"""),"PROTESTAN")</f>
        <v>PROTESTAN</v>
      </c>
      <c r="S3307" s="74" t="str">
        <f>IFERROR(__xludf.DUMMYFUNCTION("""COMPUTED_VALUE"""),"SWASTA")</f>
        <v>SWASTA</v>
      </c>
      <c r="T3307" s="35" t="str">
        <f>IFERROR(__xludf.DUMMYFUNCTION("""COMPUTED_VALUE"""),"ELBOW INJURY")</f>
        <v>ELBOW INJURY</v>
      </c>
      <c r="U3307" s="35" t="str">
        <f>IFERROR(__xludf.DUMMYFUNCTION("""COMPUTED_VALUE"""),"OLAHRAGA LARI + GYN")</f>
        <v>OLAHRAGA LARI + GYN</v>
      </c>
      <c r="V3307" s="35" t="str">
        <f>IFERROR(__xludf.DUMMYFUNCTION("""COMPUTED_VALUE"""),"081352287555")</f>
        <v>081352287555</v>
      </c>
      <c r="W3307" s="45"/>
    </row>
    <row r="3308">
      <c r="A3308" s="45"/>
      <c r="B3308" s="35" t="str">
        <f>IFERROR(__xludf.DUMMYFUNCTION("""COMPUTED_VALUE"""),"14/01/2026 13:40:51")</f>
        <v>14/01/2026 13:40:51</v>
      </c>
      <c r="C3308" s="35"/>
      <c r="D3308" s="10">
        <f>IFERROR(__xludf.DUMMYFUNCTION("""COMPUTED_VALUE"""),46036.0)</f>
        <v>46036</v>
      </c>
      <c r="E3308" s="35" t="str">
        <f>IFERROR(__xludf.DUMMYFUNCTION("""COMPUTED_VALUE"""),"01Jan")</f>
        <v>01Jan</v>
      </c>
      <c r="F3308" s="35" t="str">
        <f>IFERROR(__xludf.DUMMYFUNCTION("""COMPUTED_VALUE"""),"2026")</f>
        <v>2026</v>
      </c>
      <c r="G3308" s="35" t="str">
        <f>IFERROR(__xludf.DUMMYFUNCTION("""COMPUTED_VALUE"""),"MAWAR AURELYSCA IRAWAN")</f>
        <v>MAWAR AURELYSCA IRAWAN</v>
      </c>
      <c r="H3308" s="35" t="str">
        <f>IFERROR(__xludf.DUMMYFUNCTION("""COMPUTED_VALUE"""),"M1026019647")</f>
        <v>M1026019647</v>
      </c>
      <c r="I3308" s="35">
        <f>IFERROR(__xludf.DUMMYFUNCTION("""COMPUTED_VALUE"""),15.0)</f>
        <v>15</v>
      </c>
      <c r="J3308" s="35" t="str">
        <f>IFERROR(__xludf.DUMMYFUNCTION("""COMPUTED_VALUE"""),"&lt; 18 tahun")</f>
        <v>&lt; 18 tahun</v>
      </c>
      <c r="K3308" s="35" t="str">
        <f>IFERROR(__xludf.DUMMYFUNCTION("""COMPUTED_VALUE"""),"25/06/2010")</f>
        <v>25/06/2010</v>
      </c>
      <c r="L3308" s="35" t="str">
        <f>IFERROR(__xludf.DUMMYFUNCTION("""COMPUTED_VALUE"""),"PEREMPUAN")</f>
        <v>PEREMPUAN</v>
      </c>
      <c r="M3308" s="35" t="str">
        <f>IFERROR(__xludf.DUMMYFUNCTION("""COMPUTED_VALUE"""),"JL. PURNAMA KOMPLEKS PERMAI LL")</f>
        <v>JL. PURNAMA KOMPLEKS PERMAI LL</v>
      </c>
      <c r="N3308" s="35" t="str">
        <f>IFERROR(__xludf.DUMMYFUNCTION("""COMPUTED_VALUE"""),"-")</f>
        <v>-</v>
      </c>
      <c r="O3308" s="35" t="str">
        <f>IFERROR(__xludf.DUMMYFUNCTION("""COMPUTED_VALUE"""),"-")</f>
        <v>-</v>
      </c>
      <c r="P3308" s="35" t="str">
        <f>IFERROR(__xludf.DUMMYFUNCTION("""COMPUTED_VALUE"""),"KOTA PONTIANAK")</f>
        <v>KOTA PONTIANAK</v>
      </c>
      <c r="Q3308" s="35" t="str">
        <f>IFERROR(__xludf.DUMMYFUNCTION("""COMPUTED_VALUE"""),"KALIMANTAN BARAT")</f>
        <v>KALIMANTAN BARAT</v>
      </c>
      <c r="R3308" s="35" t="str">
        <f>IFERROR(__xludf.DUMMYFUNCTION("""COMPUTED_VALUE"""),"ISLAM")</f>
        <v>ISLAM</v>
      </c>
      <c r="S3308" s="74" t="str">
        <f>IFERROR(__xludf.DUMMYFUNCTION("""COMPUTED_VALUE"""),"PELAJAR")</f>
        <v>PELAJAR</v>
      </c>
      <c r="T3308" s="35" t="str">
        <f>IFERROR(__xludf.DUMMYFUNCTION("""COMPUTED_VALUE"""),"SKOLIOSIS")</f>
        <v>SKOLIOSIS</v>
      </c>
      <c r="U3308" s="35" t="str">
        <f>IFERROR(__xludf.DUMMYFUNCTION("""COMPUTED_VALUE"""),"TENNIS")</f>
        <v>TENNIS</v>
      </c>
      <c r="V3308" s="35" t="str">
        <f>IFERROR(__xludf.DUMMYFUNCTION("""COMPUTED_VALUE"""),"082159769647")</f>
        <v>082159769647</v>
      </c>
      <c r="W3308" s="45"/>
    </row>
    <row r="3309">
      <c r="A3309" s="45"/>
      <c r="B3309" s="35" t="str">
        <f>IFERROR(__xludf.DUMMYFUNCTION("""COMPUTED_VALUE"""),"14/01/2026 10:54:34")</f>
        <v>14/01/2026 10:54:34</v>
      </c>
      <c r="C3309" s="35"/>
      <c r="D3309" s="10">
        <f>IFERROR(__xludf.DUMMYFUNCTION("""COMPUTED_VALUE"""),46036.0)</f>
        <v>46036</v>
      </c>
      <c r="E3309" s="35" t="str">
        <f>IFERROR(__xludf.DUMMYFUNCTION("""COMPUTED_VALUE"""),"01Jan")</f>
        <v>01Jan</v>
      </c>
      <c r="F3309" s="35" t="str">
        <f>IFERROR(__xludf.DUMMYFUNCTION("""COMPUTED_VALUE"""),"2026")</f>
        <v>2026</v>
      </c>
      <c r="G3309" s="35" t="str">
        <f>IFERROR(__xludf.DUMMYFUNCTION("""COMPUTED_VALUE"""),"FATHUR RAHMAN")</f>
        <v>FATHUR RAHMAN</v>
      </c>
      <c r="H3309" s="35" t="str">
        <f>IFERROR(__xludf.DUMMYFUNCTION("""COMPUTED_VALUE"""),"F0526014057")</f>
        <v>F0526014057</v>
      </c>
      <c r="I3309" s="35">
        <f>IFERROR(__xludf.DUMMYFUNCTION("""COMPUTED_VALUE"""),21.0)</f>
        <v>21</v>
      </c>
      <c r="J3309" s="35" t="str">
        <f>IFERROR(__xludf.DUMMYFUNCTION("""COMPUTED_VALUE"""),"18-24 tahun")</f>
        <v>18-24 tahun</v>
      </c>
      <c r="K3309" s="35" t="str">
        <f>IFERROR(__xludf.DUMMYFUNCTION("""COMPUTED_VALUE"""),"25/04/2005")</f>
        <v>25/04/2005</v>
      </c>
      <c r="L3309" s="35" t="str">
        <f>IFERROR(__xludf.DUMMYFUNCTION("""COMPUTED_VALUE"""),"LAKI-LAKI")</f>
        <v>LAKI-LAKI</v>
      </c>
      <c r="M3309" s="35" t="str">
        <f>IFERROR(__xludf.DUMMYFUNCTION("""COMPUTED_VALUE"""),"JL. URAI BAWADI GG. MENTARI NO. 2")</f>
        <v>JL. URAI BAWADI GG. MENTARI NO. 2</v>
      </c>
      <c r="N3309" s="35" t="str">
        <f>IFERROR(__xludf.DUMMYFUNCTION("""COMPUTED_VALUE"""),"SUNGAI BANGKONG")</f>
        <v>SUNGAI BANGKONG</v>
      </c>
      <c r="O3309" s="35" t="str">
        <f>IFERROR(__xludf.DUMMYFUNCTION("""COMPUTED_VALUE"""),"PONTIANAK KOTA")</f>
        <v>PONTIANAK KOTA</v>
      </c>
      <c r="P3309" s="35" t="str">
        <f>IFERROR(__xludf.DUMMYFUNCTION("""COMPUTED_VALUE"""),"PONTIANAK")</f>
        <v>PONTIANAK</v>
      </c>
      <c r="Q3309" s="35" t="str">
        <f>IFERROR(__xludf.DUMMYFUNCTION("""COMPUTED_VALUE"""),"KALIMANTAN BARAT")</f>
        <v>KALIMANTAN BARAT</v>
      </c>
      <c r="R3309" s="35" t="str">
        <f>IFERROR(__xludf.DUMMYFUNCTION("""COMPUTED_VALUE"""),"ISLAM")</f>
        <v>ISLAM</v>
      </c>
      <c r="S3309" s="74" t="str">
        <f>IFERROR(__xludf.DUMMYFUNCTION("""COMPUTED_VALUE"""),"MAHASISWA")</f>
        <v>MAHASISWA</v>
      </c>
      <c r="T3309" s="35" t="str">
        <f>IFERROR(__xludf.DUMMYFUNCTION("""COMPUTED_VALUE"""),"BAHU KANAN NGILU SAAT DIGERAKKAN")</f>
        <v>BAHU KANAN NGILU SAAT DIGERAKKAN</v>
      </c>
      <c r="U3309" s="35" t="str">
        <f>IFERROR(__xludf.DUMMYFUNCTION("""COMPUTED_VALUE"""),"GYM")</f>
        <v>GYM</v>
      </c>
      <c r="V3309" s="35" t="str">
        <f>IFERROR(__xludf.DUMMYFUNCTION("""COMPUTED_VALUE"""),"089693394057")</f>
        <v>089693394057</v>
      </c>
      <c r="W3309" s="45"/>
    </row>
    <row r="3310">
      <c r="A3310" s="45"/>
      <c r="B3310" s="35" t="str">
        <f>IFERROR(__xludf.DUMMYFUNCTION("""COMPUTED_VALUE"""),"14/01/2026 14:43:40")</f>
        <v>14/01/2026 14:43:40</v>
      </c>
      <c r="C3310" s="35"/>
      <c r="D3310" s="10">
        <f>IFERROR(__xludf.DUMMYFUNCTION("""COMPUTED_VALUE"""),46036.0)</f>
        <v>46036</v>
      </c>
      <c r="E3310" s="35" t="str">
        <f>IFERROR(__xludf.DUMMYFUNCTION("""COMPUTED_VALUE"""),"01Jan")</f>
        <v>01Jan</v>
      </c>
      <c r="F3310" s="35" t="str">
        <f>IFERROR(__xludf.DUMMYFUNCTION("""COMPUTED_VALUE"""),"2026")</f>
        <v>2026</v>
      </c>
      <c r="G3310" s="35" t="str">
        <f>IFERROR(__xludf.DUMMYFUNCTION("""COMPUTED_VALUE"""),"ACHMAD RADAMA RINARDI")</f>
        <v>ACHMAD RADAMA RINARDI</v>
      </c>
      <c r="H3310" s="35" t="str">
        <f>IFERROR(__xludf.DUMMYFUNCTION("""COMPUTED_VALUE"""),"A9226010303")</f>
        <v>A9226010303</v>
      </c>
      <c r="I3310" s="35">
        <f>IFERROR(__xludf.DUMMYFUNCTION("""COMPUTED_VALUE"""),33.0)</f>
        <v>33</v>
      </c>
      <c r="J3310" s="35" t="str">
        <f>IFERROR(__xludf.DUMMYFUNCTION("""COMPUTED_VALUE"""),"25-34 tahun")</f>
        <v>25-34 tahun</v>
      </c>
      <c r="K3310" s="35" t="str">
        <f>IFERROR(__xludf.DUMMYFUNCTION("""COMPUTED_VALUE"""),"13/07/1992")</f>
        <v>13/07/1992</v>
      </c>
      <c r="L3310" s="35" t="str">
        <f>IFERROR(__xludf.DUMMYFUNCTION("""COMPUTED_VALUE"""),"PEREMPUAN")</f>
        <v>PEREMPUAN</v>
      </c>
      <c r="M3310" s="35" t="str">
        <f>IFERROR(__xludf.DUMMYFUNCTION("""COMPUTED_VALUE"""),"PERUM BSI BLOK B 14/6")</f>
        <v>PERUM BSI BLOK B 14/6</v>
      </c>
      <c r="N3310" s="35" t="str">
        <f>IFERROR(__xludf.DUMMYFUNCTION("""COMPUTED_VALUE"""),"DUREN MEKAR")</f>
        <v>DUREN MEKAR</v>
      </c>
      <c r="O3310" s="35" t="str">
        <f>IFERROR(__xludf.DUMMYFUNCTION("""COMPUTED_VALUE"""),"BOJONGSARI")</f>
        <v>BOJONGSARI</v>
      </c>
      <c r="P3310" s="35" t="str">
        <f>IFERROR(__xludf.DUMMYFUNCTION("""COMPUTED_VALUE"""),"DEPOK")</f>
        <v>DEPOK</v>
      </c>
      <c r="Q3310" s="35" t="str">
        <f>IFERROR(__xludf.DUMMYFUNCTION("""COMPUTED_VALUE"""),"JAWA BARAT")</f>
        <v>JAWA BARAT</v>
      </c>
      <c r="R3310" s="35" t="str">
        <f>IFERROR(__xludf.DUMMYFUNCTION("""COMPUTED_VALUE"""),"ISLAM")</f>
        <v>ISLAM</v>
      </c>
      <c r="S3310" s="74" t="str">
        <f>IFERROR(__xludf.DUMMYFUNCTION("""COMPUTED_VALUE"""),"PNS")</f>
        <v>PNS</v>
      </c>
      <c r="T3310" s="35" t="str">
        <f>IFERROR(__xludf.DUMMYFUNCTION("""COMPUTED_VALUE"""),"PAHA-LUTUT")</f>
        <v>PAHA-LUTUT</v>
      </c>
      <c r="U3310" s="35" t="str">
        <f>IFERROR(__xludf.DUMMYFUNCTION("""COMPUTED_VALUE"""),"-")</f>
        <v>-</v>
      </c>
      <c r="V3310" s="35" t="str">
        <f>IFERROR(__xludf.DUMMYFUNCTION("""COMPUTED_VALUE"""),"081348850303")</f>
        <v>081348850303</v>
      </c>
      <c r="W3310" s="45"/>
    </row>
    <row r="3311">
      <c r="A3311" s="45"/>
      <c r="B3311" s="35" t="str">
        <f>IFERROR(__xludf.DUMMYFUNCTION("""COMPUTED_VALUE"""),"14/01/2026 13:08:22")</f>
        <v>14/01/2026 13:08:22</v>
      </c>
      <c r="C3311" s="35"/>
      <c r="D3311" s="10">
        <f>IFERROR(__xludf.DUMMYFUNCTION("""COMPUTED_VALUE"""),46036.0)</f>
        <v>46036</v>
      </c>
      <c r="E3311" s="35" t="str">
        <f>IFERROR(__xludf.DUMMYFUNCTION("""COMPUTED_VALUE"""),"01Jan")</f>
        <v>01Jan</v>
      </c>
      <c r="F3311" s="35" t="str">
        <f>IFERROR(__xludf.DUMMYFUNCTION("""COMPUTED_VALUE"""),"2026")</f>
        <v>2026</v>
      </c>
      <c r="G3311" s="35" t="str">
        <f>IFERROR(__xludf.DUMMYFUNCTION("""COMPUTED_VALUE"""),"FITRA ALHANI")</f>
        <v>FITRA ALHANI</v>
      </c>
      <c r="H3311" s="35" t="str">
        <f>IFERROR(__xludf.DUMMYFUNCTION("""COMPUTED_VALUE"""),"F8826012055")</f>
        <v>F8826012055</v>
      </c>
      <c r="I3311" s="35">
        <f>IFERROR(__xludf.DUMMYFUNCTION("""COMPUTED_VALUE"""),38.0)</f>
        <v>38</v>
      </c>
      <c r="J3311" s="35" t="str">
        <f>IFERROR(__xludf.DUMMYFUNCTION("""COMPUTED_VALUE"""),"35-44 tahun")</f>
        <v>35-44 tahun</v>
      </c>
      <c r="K3311" s="35" t="str">
        <f>IFERROR(__xludf.DUMMYFUNCTION("""COMPUTED_VALUE"""),"19/05/1988")</f>
        <v>19/05/1988</v>
      </c>
      <c r="L3311" s="35" t="str">
        <f>IFERROR(__xludf.DUMMYFUNCTION("""COMPUTED_VALUE"""),"LAKI-LAKI")</f>
        <v>LAKI-LAKI</v>
      </c>
      <c r="M3311" s="35" t="str">
        <f>IFERROR(__xludf.DUMMYFUNCTION("""COMPUTED_VALUE"""),"JL. HRA. RAHMAN GG. MARGODADIREJO 2A DALAM NO A4")</f>
        <v>JL. HRA. RAHMAN GG. MARGODADIREJO 2A DALAM NO A4</v>
      </c>
      <c r="N3311" s="35" t="str">
        <f>IFERROR(__xludf.DUMMYFUNCTION("""COMPUTED_VALUE"""),"SUNGAI JAWI")</f>
        <v>SUNGAI JAWI</v>
      </c>
      <c r="O3311" s="35" t="str">
        <f>IFERROR(__xludf.DUMMYFUNCTION("""COMPUTED_VALUE"""),"PONTIANAK KOTA")</f>
        <v>PONTIANAK KOTA</v>
      </c>
      <c r="P3311" s="35" t="str">
        <f>IFERROR(__xludf.DUMMYFUNCTION("""COMPUTED_VALUE"""),"KOTA PONTIANAK")</f>
        <v>KOTA PONTIANAK</v>
      </c>
      <c r="Q3311" s="35" t="str">
        <f>IFERROR(__xludf.DUMMYFUNCTION("""COMPUTED_VALUE"""),"KALIMANTAN BARAT")</f>
        <v>KALIMANTAN BARAT</v>
      </c>
      <c r="R3311" s="35" t="str">
        <f>IFERROR(__xludf.DUMMYFUNCTION("""COMPUTED_VALUE"""),"ISLAM")</f>
        <v>ISLAM</v>
      </c>
      <c r="S3311" s="74" t="str">
        <f>IFERROR(__xludf.DUMMYFUNCTION("""COMPUTED_VALUE"""),"KARYAWAN SWASTA")</f>
        <v>KARYAWAN SWASTA</v>
      </c>
      <c r="T3311" s="35" t="str">
        <f>IFERROR(__xludf.DUMMYFUNCTION("""COMPUTED_VALUE"""),"LUTUT DAN BETIS BENGKAK")</f>
        <v>LUTUT DAN BETIS BENGKAK</v>
      </c>
      <c r="U3311" s="35" t="str">
        <f>IFERROR(__xludf.DUMMYFUNCTION("""COMPUTED_VALUE"""),"SEPAK BOLA")</f>
        <v>SEPAK BOLA</v>
      </c>
      <c r="V3311" s="35" t="str">
        <f>IFERROR(__xludf.DUMMYFUNCTION("""COMPUTED_VALUE"""),"085250192055")</f>
        <v>085250192055</v>
      </c>
      <c r="W3311" s="45"/>
    </row>
    <row r="3312">
      <c r="A3312" s="45"/>
      <c r="B3312" s="35" t="str">
        <f>IFERROR(__xludf.DUMMYFUNCTION("""COMPUTED_VALUE"""),"14/01/2026 16:40:05")</f>
        <v>14/01/2026 16:40:05</v>
      </c>
      <c r="C3312" s="35"/>
      <c r="D3312" s="10">
        <f>IFERROR(__xludf.DUMMYFUNCTION("""COMPUTED_VALUE"""),46036.0)</f>
        <v>46036</v>
      </c>
      <c r="E3312" s="35" t="str">
        <f>IFERROR(__xludf.DUMMYFUNCTION("""COMPUTED_VALUE"""),"01Jan")</f>
        <v>01Jan</v>
      </c>
      <c r="F3312" s="35" t="str">
        <f>IFERROR(__xludf.DUMMYFUNCTION("""COMPUTED_VALUE"""),"2026")</f>
        <v>2026</v>
      </c>
      <c r="G3312" s="35" t="str">
        <f>IFERROR(__xludf.DUMMYFUNCTION("""COMPUTED_VALUE"""),"NAJLA NURHALIZA")</f>
        <v>NAJLA NURHALIZA</v>
      </c>
      <c r="H3312" s="35" t="str">
        <f>IFERROR(__xludf.DUMMYFUNCTION("""COMPUTED_VALUE"""),"N0326013117")</f>
        <v>N0326013117</v>
      </c>
      <c r="I3312" s="35">
        <f>IFERROR(__xludf.DUMMYFUNCTION("""COMPUTED_VALUE"""),22.0)</f>
        <v>22</v>
      </c>
      <c r="J3312" s="35" t="str">
        <f>IFERROR(__xludf.DUMMYFUNCTION("""COMPUTED_VALUE"""),"18-24 tahun")</f>
        <v>18-24 tahun</v>
      </c>
      <c r="K3312" s="35" t="str">
        <f>IFERROR(__xludf.DUMMYFUNCTION("""COMPUTED_VALUE"""),"13/08/2003")</f>
        <v>13/08/2003</v>
      </c>
      <c r="L3312" s="35" t="str">
        <f>IFERROR(__xludf.DUMMYFUNCTION("""COMPUTED_VALUE"""),"PEREMPUAN")</f>
        <v>PEREMPUAN</v>
      </c>
      <c r="M3312" s="35" t="str">
        <f>IFERROR(__xludf.DUMMYFUNCTION("""COMPUTED_VALUE"""),"BTN GERBANG MUTIARA")</f>
        <v>BTN GERBANG MUTIARA</v>
      </c>
      <c r="N3312" s="35" t="str">
        <f>IFERROR(__xludf.DUMMYFUNCTION("""COMPUTED_VALUE"""),"KAUMAN")</f>
        <v>KAUMAN</v>
      </c>
      <c r="O3312" s="35" t="str">
        <f>IFERROR(__xludf.DUMMYFUNCTION("""COMPUTED_VALUE"""),"BENUA KAYONG")</f>
        <v>BENUA KAYONG</v>
      </c>
      <c r="P3312" s="35" t="str">
        <f>IFERROR(__xludf.DUMMYFUNCTION("""COMPUTED_VALUE"""),"KETAPANG")</f>
        <v>KETAPANG</v>
      </c>
      <c r="Q3312" s="35" t="str">
        <f>IFERROR(__xludf.DUMMYFUNCTION("""COMPUTED_VALUE"""),"KALIMANTAN BARAT")</f>
        <v>KALIMANTAN BARAT</v>
      </c>
      <c r="R3312" s="35" t="str">
        <f>IFERROR(__xludf.DUMMYFUNCTION("""COMPUTED_VALUE"""),"ISLAM")</f>
        <v>ISLAM</v>
      </c>
      <c r="S3312" s="74" t="str">
        <f>IFERROR(__xludf.DUMMYFUNCTION("""COMPUTED_VALUE"""),"MAHASISWA")</f>
        <v>MAHASISWA</v>
      </c>
      <c r="T3312" s="35" t="str">
        <f>IFERROR(__xludf.DUMMYFUNCTION("""COMPUTED_VALUE"""),"SKOLIOSIS DAN MUKA ASIMETRIS")</f>
        <v>SKOLIOSIS DAN MUKA ASIMETRIS</v>
      </c>
      <c r="U3312" s="35" t="str">
        <f>IFERROR(__xludf.DUMMYFUNCTION("""COMPUTED_VALUE"""),"TIDURAN DIMEJA, TAS TOTEBAG, DLL")</f>
        <v>TIDURAN DIMEJA, TAS TOTEBAG, DLL</v>
      </c>
      <c r="V3312" s="35" t="str">
        <f>IFERROR(__xludf.DUMMYFUNCTION("""COMPUTED_VALUE"""),"085821153117")</f>
        <v>085821153117</v>
      </c>
      <c r="W3312" s="45"/>
    </row>
    <row r="3313">
      <c r="A3313" s="45"/>
      <c r="B3313" s="35" t="str">
        <f>IFERROR(__xludf.DUMMYFUNCTION("""COMPUTED_VALUE"""),"14/01/2026 19:06:59")</f>
        <v>14/01/2026 19:06:59</v>
      </c>
      <c r="C3313" s="35"/>
      <c r="D3313" s="10">
        <f>IFERROR(__xludf.DUMMYFUNCTION("""COMPUTED_VALUE"""),46036.0)</f>
        <v>46036</v>
      </c>
      <c r="E3313" s="35" t="str">
        <f>IFERROR(__xludf.DUMMYFUNCTION("""COMPUTED_VALUE"""),"01Jan")</f>
        <v>01Jan</v>
      </c>
      <c r="F3313" s="35" t="str">
        <f>IFERROR(__xludf.DUMMYFUNCTION("""COMPUTED_VALUE"""),"2026")</f>
        <v>2026</v>
      </c>
      <c r="G3313" s="35" t="str">
        <f>IFERROR(__xludf.DUMMYFUNCTION("""COMPUTED_VALUE"""),"ASNIWATI")</f>
        <v>ASNIWATI</v>
      </c>
      <c r="H3313" s="35" t="str">
        <f>IFERROR(__xludf.DUMMYFUNCTION("""COMPUTED_VALUE"""),"A5926013010")</f>
        <v>A5926013010</v>
      </c>
      <c r="I3313" s="35">
        <f>IFERROR(__xludf.DUMMYFUNCTION("""COMPUTED_VALUE"""),67.0)</f>
        <v>67</v>
      </c>
      <c r="J3313" s="35" t="str">
        <f>IFERROR(__xludf.DUMMYFUNCTION("""COMPUTED_VALUE"""),"&gt; 44 tahun")</f>
        <v>&gt; 44 tahun</v>
      </c>
      <c r="K3313" s="35" t="str">
        <f>IFERROR(__xludf.DUMMYFUNCTION("""COMPUTED_VALUE"""),"21/05/1959")</f>
        <v>21/05/1959</v>
      </c>
      <c r="L3313" s="35" t="str">
        <f>IFERROR(__xludf.DUMMYFUNCTION("""COMPUTED_VALUE"""),"PEREMPUAN")</f>
        <v>PEREMPUAN</v>
      </c>
      <c r="M3313" s="35" t="str">
        <f>IFERROR(__xludf.DUMMYFUNCTION("""COMPUTED_VALUE"""),"JALAN PROF. DR. M. YAMIN GANG KENCANA NO. 11")</f>
        <v>JALAN PROF. DR. M. YAMIN GANG KENCANA NO. 11</v>
      </c>
      <c r="N3313" s="35" t="str">
        <f>IFERROR(__xludf.DUMMYFUNCTION("""COMPUTED_VALUE"""),"AKCAYA")</f>
        <v>AKCAYA</v>
      </c>
      <c r="O3313" s="35" t="str">
        <f>IFERROR(__xludf.DUMMYFUNCTION("""COMPUTED_VALUE"""),"PONTIANAK SELATAN")</f>
        <v>PONTIANAK SELATAN</v>
      </c>
      <c r="P3313" s="35" t="str">
        <f>IFERROR(__xludf.DUMMYFUNCTION("""COMPUTED_VALUE"""),"KOTA PONTIANAK")</f>
        <v>KOTA PONTIANAK</v>
      </c>
      <c r="Q3313" s="35" t="str">
        <f>IFERROR(__xludf.DUMMYFUNCTION("""COMPUTED_VALUE"""),"KALIMANTAN BARAT")</f>
        <v>KALIMANTAN BARAT</v>
      </c>
      <c r="R3313" s="35" t="str">
        <f>IFERROR(__xludf.DUMMYFUNCTION("""COMPUTED_VALUE"""),"ISLAM")</f>
        <v>ISLAM</v>
      </c>
      <c r="S3313" s="74" t="str">
        <f>IFERROR(__xludf.DUMMYFUNCTION("""COMPUTED_VALUE"""),"RUMAH TANGGA")</f>
        <v>RUMAH TANGGA</v>
      </c>
      <c r="T3313" s="35" t="str">
        <f>IFERROR(__xludf.DUMMYFUNCTION("""COMPUTED_VALUE"""),"SARAF KEJEPIT LUMBAL 4")</f>
        <v>SARAF KEJEPIT LUMBAL 4</v>
      </c>
      <c r="U3313" s="35" t="str">
        <f>IFERROR(__xludf.DUMMYFUNCTION("""COMPUTED_VALUE"""),"ORGANISASI MAJELIS")</f>
        <v>ORGANISASI MAJELIS</v>
      </c>
      <c r="V3313" s="35" t="str">
        <f>IFERROR(__xludf.DUMMYFUNCTION("""COMPUTED_VALUE"""),"085345023010")</f>
        <v>085345023010</v>
      </c>
      <c r="W3313" s="45"/>
    </row>
    <row r="3314">
      <c r="A3314" s="45"/>
      <c r="B3314" s="35" t="str">
        <f>IFERROR(__xludf.DUMMYFUNCTION("""COMPUTED_VALUE"""),"14/01/2026 19:37:28")</f>
        <v>14/01/2026 19:37:28</v>
      </c>
      <c r="C3314" s="35"/>
      <c r="D3314" s="10">
        <f>IFERROR(__xludf.DUMMYFUNCTION("""COMPUTED_VALUE"""),46036.0)</f>
        <v>46036</v>
      </c>
      <c r="E3314" s="35" t="str">
        <f>IFERROR(__xludf.DUMMYFUNCTION("""COMPUTED_VALUE"""),"01Jan")</f>
        <v>01Jan</v>
      </c>
      <c r="F3314" s="35" t="str">
        <f>IFERROR(__xludf.DUMMYFUNCTION("""COMPUTED_VALUE"""),"2026")</f>
        <v>2026</v>
      </c>
      <c r="G3314" s="35" t="str">
        <f>IFERROR(__xludf.DUMMYFUNCTION("""COMPUTED_VALUE"""),"DRS. H. SARDI. S")</f>
        <v>DRS. H. SARDI. S</v>
      </c>
      <c r="H3314" s="35" t="str">
        <f>IFERROR(__xludf.DUMMYFUNCTION("""COMPUTED_VALUE"""),"D5326016588")</f>
        <v>D5326016588</v>
      </c>
      <c r="I3314" s="35">
        <f>IFERROR(__xludf.DUMMYFUNCTION("""COMPUTED_VALUE"""),72.0)</f>
        <v>72</v>
      </c>
      <c r="J3314" s="35" t="str">
        <f>IFERROR(__xludf.DUMMYFUNCTION("""COMPUTED_VALUE"""),"&gt; 44 tahun")</f>
        <v>&gt; 44 tahun</v>
      </c>
      <c r="K3314" s="35" t="str">
        <f>IFERROR(__xludf.DUMMYFUNCTION("""COMPUTED_VALUE"""),"10/08/1953")</f>
        <v>10/08/1953</v>
      </c>
      <c r="L3314" s="35" t="str">
        <f>IFERROR(__xludf.DUMMYFUNCTION("""COMPUTED_VALUE"""),"LAKI-LAKI")</f>
        <v>LAKI-LAKI</v>
      </c>
      <c r="M3314" s="35" t="str">
        <f>IFERROR(__xludf.DUMMYFUNCTION("""COMPUTED_VALUE"""),"JALAN P. NATAKUSUMA GG. SILIWANGI NO 4A")</f>
        <v>JALAN P. NATAKUSUMA GG. SILIWANGI NO 4A</v>
      </c>
      <c r="N3314" s="35" t="str">
        <f>IFERROR(__xludf.DUMMYFUNCTION("""COMPUTED_VALUE"""),"SEI BANGKONG")</f>
        <v>SEI BANGKONG</v>
      </c>
      <c r="O3314" s="35" t="str">
        <f>IFERROR(__xludf.DUMMYFUNCTION("""COMPUTED_VALUE"""),"PONTIANAK KOTA")</f>
        <v>PONTIANAK KOTA</v>
      </c>
      <c r="P3314" s="35" t="str">
        <f>IFERROR(__xludf.DUMMYFUNCTION("""COMPUTED_VALUE"""),"PONTIANAK")</f>
        <v>PONTIANAK</v>
      </c>
      <c r="Q3314" s="35" t="str">
        <f>IFERROR(__xludf.DUMMYFUNCTION("""COMPUTED_VALUE"""),"KALIMANTAN BARAT")</f>
        <v>KALIMANTAN BARAT</v>
      </c>
      <c r="R3314" s="35" t="str">
        <f>IFERROR(__xludf.DUMMYFUNCTION("""COMPUTED_VALUE"""),"ISLAM")</f>
        <v>ISLAM</v>
      </c>
      <c r="S3314" s="74" t="str">
        <f>IFERROR(__xludf.DUMMYFUNCTION("""COMPUTED_VALUE"""),"PENSIUNAN PNS")</f>
        <v>PENSIUNAN PNS</v>
      </c>
      <c r="T3314" s="35" t="str">
        <f>IFERROR(__xludf.DUMMYFUNCTION("""COMPUTED_VALUE"""),"KAKI KANAN DAN KIRI KESEMUTAN")</f>
        <v>KAKI KANAN DAN KIRI KESEMUTAN</v>
      </c>
      <c r="U3314" s="35" t="str">
        <f>IFERROR(__xludf.DUMMYFUNCTION("""COMPUTED_VALUE"""),"OLAHRAGA")</f>
        <v>OLAHRAGA</v>
      </c>
      <c r="V3314" s="35" t="str">
        <f>IFERROR(__xludf.DUMMYFUNCTION("""COMPUTED_VALUE"""),"085822086588")</f>
        <v>085822086588</v>
      </c>
      <c r="W3314" s="45"/>
    </row>
    <row r="3315">
      <c r="A3315" s="45"/>
      <c r="B3315" s="35" t="str">
        <f>IFERROR(__xludf.DUMMYFUNCTION("""COMPUTED_VALUE"""),"15/01/2026 8:31:10")</f>
        <v>15/01/2026 8:31:10</v>
      </c>
      <c r="C3315" s="35"/>
      <c r="D3315" s="10">
        <f>IFERROR(__xludf.DUMMYFUNCTION("""COMPUTED_VALUE"""),46037.0)</f>
        <v>46037</v>
      </c>
      <c r="E3315" s="35" t="str">
        <f>IFERROR(__xludf.DUMMYFUNCTION("""COMPUTED_VALUE"""),"01Jan")</f>
        <v>01Jan</v>
      </c>
      <c r="F3315" s="35" t="str">
        <f>IFERROR(__xludf.DUMMYFUNCTION("""COMPUTED_VALUE"""),"2026")</f>
        <v>2026</v>
      </c>
      <c r="G3315" s="35" t="str">
        <f>IFERROR(__xludf.DUMMYFUNCTION("""COMPUTED_VALUE"""),"ZULIANA")</f>
        <v>ZULIANA</v>
      </c>
      <c r="H3315" s="35" t="str">
        <f>IFERROR(__xludf.DUMMYFUNCTION("""COMPUTED_VALUE"""),"Z8426019500")</f>
        <v>Z8426019500</v>
      </c>
      <c r="I3315" s="35">
        <f>IFERROR(__xludf.DUMMYFUNCTION("""COMPUTED_VALUE"""),42.0)</f>
        <v>42</v>
      </c>
      <c r="J3315" s="35" t="str">
        <f>IFERROR(__xludf.DUMMYFUNCTION("""COMPUTED_VALUE"""),"35-44 tahun")</f>
        <v>35-44 tahun</v>
      </c>
      <c r="K3315" s="35" t="str">
        <f>IFERROR(__xludf.DUMMYFUNCTION("""COMPUTED_VALUE"""),"23/01/1984")</f>
        <v>23/01/1984</v>
      </c>
      <c r="L3315" s="35" t="str">
        <f>IFERROR(__xludf.DUMMYFUNCTION("""COMPUTED_VALUE"""),"PEREMPUAN")</f>
        <v>PEREMPUAN</v>
      </c>
      <c r="M3315" s="35" t="str">
        <f>IFERROR(__xludf.DUMMYFUNCTION("""COMPUTED_VALUE"""),"JL PURNAMA GG KARYATANI ")</f>
        <v>JL PURNAMA GG KARYATANI </v>
      </c>
      <c r="N3315" s="35" t="str">
        <f>IFERROR(__xludf.DUMMYFUNCTION("""COMPUTED_VALUE"""),"PARIT  TOKAYA")</f>
        <v>PARIT  TOKAYA</v>
      </c>
      <c r="O3315" s="35" t="str">
        <f>IFERROR(__xludf.DUMMYFUNCTION("""COMPUTED_VALUE"""),"PONTIANAK SELATAN")</f>
        <v>PONTIANAK SELATAN</v>
      </c>
      <c r="P3315" s="35" t="str">
        <f>IFERROR(__xludf.DUMMYFUNCTION("""COMPUTED_VALUE"""),"PONTIANAK")</f>
        <v>PONTIANAK</v>
      </c>
      <c r="Q3315" s="35" t="str">
        <f>IFERROR(__xludf.DUMMYFUNCTION("""COMPUTED_VALUE"""),"KALIMANTAN BARAT")</f>
        <v>KALIMANTAN BARAT</v>
      </c>
      <c r="R3315" s="35" t="str">
        <f>IFERROR(__xludf.DUMMYFUNCTION("""COMPUTED_VALUE"""),"ISLAM")</f>
        <v>ISLAM</v>
      </c>
      <c r="S3315" s="74" t="str">
        <f>IFERROR(__xludf.DUMMYFUNCTION("""COMPUTED_VALUE"""),"IBU RUMAH TANGGA")</f>
        <v>IBU RUMAH TANGGA</v>
      </c>
      <c r="T3315" s="35" t="str">
        <f>IFERROR(__xludf.DUMMYFUNCTION("""COMPUTED_VALUE"""),"TANGAN KEBAS")</f>
        <v>TANGAN KEBAS</v>
      </c>
      <c r="U3315" s="35" t="str">
        <f>IFERROR(__xludf.DUMMYFUNCTION("""COMPUTED_VALUE"""),"MEMBUAT KUE")</f>
        <v>MEMBUAT KUE</v>
      </c>
      <c r="V3315" s="35" t="str">
        <f>IFERROR(__xludf.DUMMYFUNCTION("""COMPUTED_VALUE"""),"081253959500")</f>
        <v>081253959500</v>
      </c>
      <c r="W3315" s="45"/>
    </row>
    <row r="3316">
      <c r="A3316" s="45"/>
      <c r="B3316" s="35" t="str">
        <f>IFERROR(__xludf.DUMMYFUNCTION("""COMPUTED_VALUE"""),"15/01/2026 9:55:49")</f>
        <v>15/01/2026 9:55:49</v>
      </c>
      <c r="C3316" s="35"/>
      <c r="D3316" s="10">
        <f>IFERROR(__xludf.DUMMYFUNCTION("""COMPUTED_VALUE"""),46037.0)</f>
        <v>46037</v>
      </c>
      <c r="E3316" s="35" t="str">
        <f>IFERROR(__xludf.DUMMYFUNCTION("""COMPUTED_VALUE"""),"01Jan")</f>
        <v>01Jan</v>
      </c>
      <c r="F3316" s="35" t="str">
        <f>IFERROR(__xludf.DUMMYFUNCTION("""COMPUTED_VALUE"""),"2026")</f>
        <v>2026</v>
      </c>
      <c r="G3316" s="35" t="str">
        <f>IFERROR(__xludf.DUMMYFUNCTION("""COMPUTED_VALUE"""),"SHAFA NUR INTAN FAJRIAH")</f>
        <v>SHAFA NUR INTAN FAJRIAH</v>
      </c>
      <c r="H3316" s="35" t="str">
        <f>IFERROR(__xludf.DUMMYFUNCTION("""COMPUTED_VALUE"""),"S0426012937")</f>
        <v>S0426012937</v>
      </c>
      <c r="I3316" s="35">
        <f>IFERROR(__xludf.DUMMYFUNCTION("""COMPUTED_VALUE"""),21.0)</f>
        <v>21</v>
      </c>
      <c r="J3316" s="35" t="str">
        <f>IFERROR(__xludf.DUMMYFUNCTION("""COMPUTED_VALUE"""),"18-24 tahun")</f>
        <v>18-24 tahun</v>
      </c>
      <c r="K3316" s="35" t="str">
        <f>IFERROR(__xludf.DUMMYFUNCTION("""COMPUTED_VALUE"""),"09/07/2004")</f>
        <v>09/07/2004</v>
      </c>
      <c r="L3316" s="35" t="str">
        <f>IFERROR(__xludf.DUMMYFUNCTION("""COMPUTED_VALUE"""),"PEREMPUAN")</f>
        <v>PEREMPUAN</v>
      </c>
      <c r="M3316" s="35" t="str">
        <f>IFERROR(__xludf.DUMMYFUNCTION("""COMPUTED_VALUE"""),"JL TABRANI AHMAD GG. GN. RINJANI 2 ")</f>
        <v>JL TABRANI AHMAD GG. GN. RINJANI 2 </v>
      </c>
      <c r="N3316" s="35" t="str">
        <f>IFERROR(__xludf.DUMMYFUNCTION("""COMPUTED_VALUE"""),"SUI JAWI DALAM")</f>
        <v>SUI JAWI DALAM</v>
      </c>
      <c r="O3316" s="35" t="str">
        <f>IFERROR(__xludf.DUMMYFUNCTION("""COMPUTED_VALUE"""),"PONTIANAK BARAT")</f>
        <v>PONTIANAK BARAT</v>
      </c>
      <c r="P3316" s="35" t="str">
        <f>IFERROR(__xludf.DUMMYFUNCTION("""COMPUTED_VALUE"""),"KOTA PONTIANAK")</f>
        <v>KOTA PONTIANAK</v>
      </c>
      <c r="Q3316" s="35" t="str">
        <f>IFERROR(__xludf.DUMMYFUNCTION("""COMPUTED_VALUE"""),"KALIMANTAN BARAT")</f>
        <v>KALIMANTAN BARAT</v>
      </c>
      <c r="R3316" s="35" t="str">
        <f>IFERROR(__xludf.DUMMYFUNCTION("""COMPUTED_VALUE"""),"ISLAM")</f>
        <v>ISLAM</v>
      </c>
      <c r="S3316" s="74" t="str">
        <f>IFERROR(__xludf.DUMMYFUNCTION("""COMPUTED_VALUE"""),"MAHASISWA")</f>
        <v>MAHASISWA</v>
      </c>
      <c r="T3316" s="35" t="str">
        <f>IFERROR(__xludf.DUMMYFUNCTION("""COMPUTED_VALUE""")," KECELAKAAN MOTOR  KURANG LEBIH 2 THN. PADA GERAKAN TERTENTU TERASA SAKIT PADA BAHU KIRI")</f>
        <v> KECELAKAAN MOTOR  KURANG LEBIH 2 THN. PADA GERAKAN TERTENTU TERASA SAKIT PADA BAHU KIRI</v>
      </c>
      <c r="U3316" s="35" t="str">
        <f>IFERROR(__xludf.DUMMYFUNCTION("""COMPUTED_VALUE"""),"SERING BAWA RANSEL LUMAYAN BERAT. ")</f>
        <v>SERING BAWA RANSEL LUMAYAN BERAT. </v>
      </c>
      <c r="V3316" s="35" t="str">
        <f>IFERROR(__xludf.DUMMYFUNCTION("""COMPUTED_VALUE"""),"082149812937")</f>
        <v>082149812937</v>
      </c>
      <c r="W3316" s="45"/>
    </row>
    <row r="3317">
      <c r="A3317" s="45"/>
      <c r="B3317" s="35" t="str">
        <f>IFERROR(__xludf.DUMMYFUNCTION("""COMPUTED_VALUE"""),"15/01/2026 10:13:49")</f>
        <v>15/01/2026 10:13:49</v>
      </c>
      <c r="C3317" s="35"/>
      <c r="D3317" s="10">
        <f>IFERROR(__xludf.DUMMYFUNCTION("""COMPUTED_VALUE"""),46037.0)</f>
        <v>46037</v>
      </c>
      <c r="E3317" s="35" t="str">
        <f>IFERROR(__xludf.DUMMYFUNCTION("""COMPUTED_VALUE"""),"01Jan")</f>
        <v>01Jan</v>
      </c>
      <c r="F3317" s="35" t="str">
        <f>IFERROR(__xludf.DUMMYFUNCTION("""COMPUTED_VALUE"""),"2026")</f>
        <v>2026</v>
      </c>
      <c r="G3317" s="35" t="str">
        <f>IFERROR(__xludf.DUMMYFUNCTION("""COMPUTED_VALUE"""),"HENNY")</f>
        <v>HENNY</v>
      </c>
      <c r="H3317" s="35" t="str">
        <f>IFERROR(__xludf.DUMMYFUNCTION("""COMPUTED_VALUE"""),"H5726011698")</f>
        <v>H5726011698</v>
      </c>
      <c r="I3317" s="35">
        <f>IFERROR(__xludf.DUMMYFUNCTION("""COMPUTED_VALUE"""),68.0)</f>
        <v>68</v>
      </c>
      <c r="J3317" s="35" t="str">
        <f>IFERROR(__xludf.DUMMYFUNCTION("""COMPUTED_VALUE"""),"&gt; 44 tahun")</f>
        <v>&gt; 44 tahun</v>
      </c>
      <c r="K3317" s="35" t="str">
        <f>IFERROR(__xludf.DUMMYFUNCTION("""COMPUTED_VALUE"""),"17/10/1957")</f>
        <v>17/10/1957</v>
      </c>
      <c r="L3317" s="35" t="str">
        <f>IFERROR(__xludf.DUMMYFUNCTION("""COMPUTED_VALUE"""),"PEREMPUAN")</f>
        <v>PEREMPUAN</v>
      </c>
      <c r="M3317" s="35" t="str">
        <f>IFERROR(__xludf.DUMMYFUNCTION("""COMPUTED_VALUE"""),"JL. GAJAH MADA 24 NO 3B")</f>
        <v>JL. GAJAH MADA 24 NO 3B</v>
      </c>
      <c r="N3317" s="35" t="str">
        <f>IFERROR(__xludf.DUMMYFUNCTION("""COMPUTED_VALUE"""),"MELAYU DARAT")</f>
        <v>MELAYU DARAT</v>
      </c>
      <c r="O3317" s="35" t="str">
        <f>IFERROR(__xludf.DUMMYFUNCTION("""COMPUTED_VALUE"""),"PONTIANAK SELATAN")</f>
        <v>PONTIANAK SELATAN</v>
      </c>
      <c r="P3317" s="35" t="str">
        <f>IFERROR(__xludf.DUMMYFUNCTION("""COMPUTED_VALUE"""),"PONTIANAK")</f>
        <v>PONTIANAK</v>
      </c>
      <c r="Q3317" s="35" t="str">
        <f>IFERROR(__xludf.DUMMYFUNCTION("""COMPUTED_VALUE"""),"KAL BAT")</f>
        <v>KAL BAT</v>
      </c>
      <c r="R3317" s="35" t="str">
        <f>IFERROR(__xludf.DUMMYFUNCTION("""COMPUTED_VALUE"""),"BUDDHA")</f>
        <v>BUDDHA</v>
      </c>
      <c r="S3317" s="74" t="str">
        <f>IFERROR(__xludf.DUMMYFUNCTION("""COMPUTED_VALUE"""),"IBU RUMAH TANGGA")</f>
        <v>IBU RUMAH TANGGA</v>
      </c>
      <c r="T3317" s="35" t="str">
        <f>IFERROR(__xludf.DUMMYFUNCTION("""COMPUTED_VALUE"""),"PANGKAL PAHA KIRI KERASA PEGAL, NGILU, KADANG JALAN KELAMAAN KERASA BERAT KAKI NYA. JONGKOK JUGA AGAK SUSAH. SEBELUM NYA PERNAH JATUH &amp; POSISI JATUH KEPLESET DUDUK MENYAMPING")</f>
        <v>PANGKAL PAHA KIRI KERASA PEGAL, NGILU, KADANG JALAN KELAMAAN KERASA BERAT KAKI NYA. JONGKOK JUGA AGAK SUSAH. SEBELUM NYA PERNAH JATUH &amp; POSISI JATUH KEPLESET DUDUK MENYAMPING</v>
      </c>
      <c r="U3317" s="35" t="str">
        <f>IFERROR(__xludf.DUMMYFUNCTION("""COMPUTED_VALUE"""),"AKTIVITAS CM NGURUS RUMAH")</f>
        <v>AKTIVITAS CM NGURUS RUMAH</v>
      </c>
      <c r="V3317" s="35" t="str">
        <f>IFERROR(__xludf.DUMMYFUNCTION("""COMPUTED_VALUE"""),"08115651698")</f>
        <v>08115651698</v>
      </c>
      <c r="W3317" s="45"/>
    </row>
    <row r="3318">
      <c r="A3318" s="45"/>
      <c r="B3318" s="35" t="str">
        <f>IFERROR(__xludf.DUMMYFUNCTION("""COMPUTED_VALUE"""),"15/01/2026 15:19:37")</f>
        <v>15/01/2026 15:19:37</v>
      </c>
      <c r="C3318" s="35"/>
      <c r="D3318" s="10">
        <f>IFERROR(__xludf.DUMMYFUNCTION("""COMPUTED_VALUE"""),46037.0)</f>
        <v>46037</v>
      </c>
      <c r="E3318" s="35" t="str">
        <f>IFERROR(__xludf.DUMMYFUNCTION("""COMPUTED_VALUE"""),"01Jan")</f>
        <v>01Jan</v>
      </c>
      <c r="F3318" s="35" t="str">
        <f>IFERROR(__xludf.DUMMYFUNCTION("""COMPUTED_VALUE"""),"2026")</f>
        <v>2026</v>
      </c>
      <c r="G3318" s="35" t="str">
        <f>IFERROR(__xludf.DUMMYFUNCTION("""COMPUTED_VALUE"""),"YAYUK KURNIAWATI")</f>
        <v>YAYUK KURNIAWATI</v>
      </c>
      <c r="H3318" s="35" t="str">
        <f>IFERROR(__xludf.DUMMYFUNCTION("""COMPUTED_VALUE"""),"Y9326017538")</f>
        <v>Y9326017538</v>
      </c>
      <c r="I3318" s="35">
        <f>IFERROR(__xludf.DUMMYFUNCTION("""COMPUTED_VALUE"""),33.0)</f>
        <v>33</v>
      </c>
      <c r="J3318" s="35" t="str">
        <f>IFERROR(__xludf.DUMMYFUNCTION("""COMPUTED_VALUE"""),"25-34 tahun")</f>
        <v>25-34 tahun</v>
      </c>
      <c r="K3318" s="35" t="str">
        <f>IFERROR(__xludf.DUMMYFUNCTION("""COMPUTED_VALUE"""),"19/04/1993")</f>
        <v>19/04/1993</v>
      </c>
      <c r="L3318" s="35" t="str">
        <f>IFERROR(__xludf.DUMMYFUNCTION("""COMPUTED_VALUE"""),"PEREMPUAN")</f>
        <v>PEREMPUAN</v>
      </c>
      <c r="M3318" s="35" t="str">
        <f>IFERROR(__xludf.DUMMYFUNCTION("""COMPUTED_VALUE"""),"DUSUN BANJAR TENGAH")</f>
        <v>DUSUN BANJAR TENGAH</v>
      </c>
      <c r="N3318" s="35" t="str">
        <f>IFERROR(__xludf.DUMMYFUNCTION("""COMPUTED_VALUE"""),"RASAU JAYA DUA")</f>
        <v>RASAU JAYA DUA</v>
      </c>
      <c r="O3318" s="35" t="str">
        <f>IFERROR(__xludf.DUMMYFUNCTION("""COMPUTED_VALUE"""),"RASAU JAYA")</f>
        <v>RASAU JAYA</v>
      </c>
      <c r="P3318" s="35" t="str">
        <f>IFERROR(__xludf.DUMMYFUNCTION("""COMPUTED_VALUE"""),"KUBU RAYA")</f>
        <v>KUBU RAYA</v>
      </c>
      <c r="Q3318" s="35" t="str">
        <f>IFERROR(__xludf.DUMMYFUNCTION("""COMPUTED_VALUE"""),"KALIMANTAN BARAT")</f>
        <v>KALIMANTAN BARAT</v>
      </c>
      <c r="R3318" s="35" t="str">
        <f>IFERROR(__xludf.DUMMYFUNCTION("""COMPUTED_VALUE"""),"ISLAM")</f>
        <v>ISLAM</v>
      </c>
      <c r="S3318" s="74" t="str">
        <f>IFERROR(__xludf.DUMMYFUNCTION("""COMPUTED_VALUE"""),"IRT")</f>
        <v>IRT</v>
      </c>
      <c r="T3318" s="35" t="str">
        <f>IFERROR(__xludf.DUMMYFUNCTION("""COMPUTED_VALUE"""),"PINGGANG")</f>
        <v>PINGGANG</v>
      </c>
      <c r="U3318" s="35" t="str">
        <f>IFERROR(__xludf.DUMMYFUNCTION("""COMPUTED_VALUE"""),"-")</f>
        <v>-</v>
      </c>
      <c r="V3318" s="35" t="str">
        <f>IFERROR(__xludf.DUMMYFUNCTION("""COMPUTED_VALUE"""),"081248467538")</f>
        <v>081248467538</v>
      </c>
      <c r="W3318" s="45"/>
    </row>
    <row r="3319">
      <c r="A3319" s="45"/>
      <c r="B3319" s="35" t="str">
        <f>IFERROR(__xludf.DUMMYFUNCTION("""COMPUTED_VALUE"""),"17/01/2026 9:44:35")</f>
        <v>17/01/2026 9:44:35</v>
      </c>
      <c r="C3319" s="35"/>
      <c r="D3319" s="10">
        <f>IFERROR(__xludf.DUMMYFUNCTION("""COMPUTED_VALUE"""),46039.0)</f>
        <v>46039</v>
      </c>
      <c r="E3319" s="35" t="str">
        <f>IFERROR(__xludf.DUMMYFUNCTION("""COMPUTED_VALUE"""),"01Jan")</f>
        <v>01Jan</v>
      </c>
      <c r="F3319" s="35" t="str">
        <f>IFERROR(__xludf.DUMMYFUNCTION("""COMPUTED_VALUE"""),"2026")</f>
        <v>2026</v>
      </c>
      <c r="G3319" s="35" t="str">
        <f>IFERROR(__xludf.DUMMYFUNCTION("""COMPUTED_VALUE"""),"WIONA SILASHINTA WAHYUDI")</f>
        <v>WIONA SILASHINTA WAHYUDI</v>
      </c>
      <c r="H3319" s="35" t="str">
        <f>IFERROR(__xludf.DUMMYFUNCTION("""COMPUTED_VALUE"""),"W1126015578")</f>
        <v>W1126015578</v>
      </c>
      <c r="I3319" s="35">
        <f>IFERROR(__xludf.DUMMYFUNCTION("""COMPUTED_VALUE"""),15.0)</f>
        <v>15</v>
      </c>
      <c r="J3319" s="35" t="str">
        <f>IFERROR(__xludf.DUMMYFUNCTION("""COMPUTED_VALUE"""),"&lt; 18 tahun")</f>
        <v>&lt; 18 tahun</v>
      </c>
      <c r="K3319" s="35" t="str">
        <f>IFERROR(__xludf.DUMMYFUNCTION("""COMPUTED_VALUE"""),"05/03/2011")</f>
        <v>05/03/2011</v>
      </c>
      <c r="L3319" s="35" t="str">
        <f>IFERROR(__xludf.DUMMYFUNCTION("""COMPUTED_VALUE"""),"PEREMPUAN")</f>
        <v>PEREMPUAN</v>
      </c>
      <c r="M3319" s="35" t="str">
        <f>IFERROR(__xludf.DUMMYFUNCTION("""COMPUTED_VALUE"""),"JL. URAI BAWADI GG. SUDITRISNO NO. 28 BB")</f>
        <v>JL. URAI BAWADI GG. SUDITRISNO NO. 28 BB</v>
      </c>
      <c r="N3319" s="35" t="str">
        <f>IFERROR(__xludf.DUMMYFUNCTION("""COMPUTED_VALUE"""),"SUNGAI BANGKONG")</f>
        <v>SUNGAI BANGKONG</v>
      </c>
      <c r="O3319" s="35" t="str">
        <f>IFERROR(__xludf.DUMMYFUNCTION("""COMPUTED_VALUE"""),"PONTIANAK KOTA")</f>
        <v>PONTIANAK KOTA</v>
      </c>
      <c r="P3319" s="35" t="str">
        <f>IFERROR(__xludf.DUMMYFUNCTION("""COMPUTED_VALUE"""),"PONTIANAK")</f>
        <v>PONTIANAK</v>
      </c>
      <c r="Q3319" s="35" t="str">
        <f>IFERROR(__xludf.DUMMYFUNCTION("""COMPUTED_VALUE"""),"KALIMANTAN BARAT")</f>
        <v>KALIMANTAN BARAT</v>
      </c>
      <c r="R3319" s="35" t="str">
        <f>IFERROR(__xludf.DUMMYFUNCTION("""COMPUTED_VALUE"""),"ISLAM")</f>
        <v>ISLAM</v>
      </c>
      <c r="S3319" s="74" t="str">
        <f>IFERROR(__xludf.DUMMYFUNCTION("""COMPUTED_VALUE"""),"PELAJAR")</f>
        <v>PELAJAR</v>
      </c>
      <c r="T3319" s="35" t="str">
        <f>IFERROR(__xludf.DUMMYFUNCTION("""COMPUTED_VALUE"""),"SKOLIOSIS")</f>
        <v>SKOLIOSIS</v>
      </c>
      <c r="U3319" s="35" t="str">
        <f>IFERROR(__xludf.DUMMYFUNCTION("""COMPUTED_VALUE"""),"NYERI KAKI ")</f>
        <v>NYERI KAKI </v>
      </c>
      <c r="V3319" s="35" t="str">
        <f>IFERROR(__xludf.DUMMYFUNCTION("""COMPUTED_VALUE"""),"081345065578")</f>
        <v>081345065578</v>
      </c>
      <c r="W3319" s="45"/>
    </row>
    <row r="3320">
      <c r="A3320" s="45"/>
      <c r="B3320" s="35" t="str">
        <f>IFERROR(__xludf.DUMMYFUNCTION("""COMPUTED_VALUE"""),"17/01/2026 10:33:17")</f>
        <v>17/01/2026 10:33:17</v>
      </c>
      <c r="C3320" s="35"/>
      <c r="D3320" s="10">
        <f>IFERROR(__xludf.DUMMYFUNCTION("""COMPUTED_VALUE"""),46039.0)</f>
        <v>46039</v>
      </c>
      <c r="E3320" s="35" t="str">
        <f>IFERROR(__xludf.DUMMYFUNCTION("""COMPUTED_VALUE"""),"01Jan")</f>
        <v>01Jan</v>
      </c>
      <c r="F3320" s="35" t="str">
        <f>IFERROR(__xludf.DUMMYFUNCTION("""COMPUTED_VALUE"""),"2026")</f>
        <v>2026</v>
      </c>
      <c r="G3320" s="35" t="str">
        <f>IFERROR(__xludf.DUMMYFUNCTION("""COMPUTED_VALUE"""),"PERMATA DEWI ANDINI")</f>
        <v>PERMATA DEWI ANDINI</v>
      </c>
      <c r="H3320" s="35" t="str">
        <f>IFERROR(__xludf.DUMMYFUNCTION("""COMPUTED_VALUE"""),"P0126012936")</f>
        <v>P0126012936</v>
      </c>
      <c r="I3320" s="35">
        <f>IFERROR(__xludf.DUMMYFUNCTION("""COMPUTED_VALUE"""),24.0)</f>
        <v>24</v>
      </c>
      <c r="J3320" s="35" t="str">
        <f>IFERROR(__xludf.DUMMYFUNCTION("""COMPUTED_VALUE"""),"18-24 tahun")</f>
        <v>18-24 tahun</v>
      </c>
      <c r="K3320" s="35" t="str">
        <f>IFERROR(__xludf.DUMMYFUNCTION("""COMPUTED_VALUE"""),"10/10/2001")</f>
        <v>10/10/2001</v>
      </c>
      <c r="L3320" s="35" t="str">
        <f>IFERROR(__xludf.DUMMYFUNCTION("""COMPUTED_VALUE"""),"PEREMPUAN")</f>
        <v>PEREMPUAN</v>
      </c>
      <c r="M3320" s="35" t="str">
        <f>IFERROR(__xludf.DUMMYFUNCTION("""COMPUTED_VALUE"""),"JL. TABRANI AHMAD GG. GN. RINJANI 2")</f>
        <v>JL. TABRANI AHMAD GG. GN. RINJANI 2</v>
      </c>
      <c r="N3320" s="35" t="str">
        <f>IFERROR(__xludf.DUMMYFUNCTION("""COMPUTED_VALUE"""),"SUI JAWI DALAM")</f>
        <v>SUI JAWI DALAM</v>
      </c>
      <c r="O3320" s="35" t="str">
        <f>IFERROR(__xludf.DUMMYFUNCTION("""COMPUTED_VALUE"""),"PONTIANAK BARAT")</f>
        <v>PONTIANAK BARAT</v>
      </c>
      <c r="P3320" s="35" t="str">
        <f>IFERROR(__xludf.DUMMYFUNCTION("""COMPUTED_VALUE"""),"KOTA PONTIANAK")</f>
        <v>KOTA PONTIANAK</v>
      </c>
      <c r="Q3320" s="35" t="str">
        <f>IFERROR(__xludf.DUMMYFUNCTION("""COMPUTED_VALUE"""),"KALBAR")</f>
        <v>KALBAR</v>
      </c>
      <c r="R3320" s="35" t="str">
        <f>IFERROR(__xludf.DUMMYFUNCTION("""COMPUTED_VALUE"""),"ISLAM")</f>
        <v>ISLAM</v>
      </c>
      <c r="S3320" s="74" t="str">
        <f>IFERROR(__xludf.DUMMYFUNCTION("""COMPUTED_VALUE"""),"SWASTA")</f>
        <v>SWASTA</v>
      </c>
      <c r="T3320" s="35" t="str">
        <f>IFERROR(__xludf.DUMMYFUNCTION("""COMPUTED_VALUE"""),"SAKIT DIBAHU KANAN. ")</f>
        <v>SAKIT DIBAHU KANAN. </v>
      </c>
      <c r="U3320" s="35" t="str">
        <f>IFERROR(__xludf.DUMMYFUNCTION("""COMPUTED_VALUE"""),"PERNAH JATUH DARI MOTOR")</f>
        <v>PERNAH JATUH DARI MOTOR</v>
      </c>
      <c r="V3320" s="35" t="str">
        <f>IFERROR(__xludf.DUMMYFUNCTION("""COMPUTED_VALUE"""),"082149812936")</f>
        <v>082149812936</v>
      </c>
      <c r="W3320" s="45"/>
    </row>
    <row r="3321">
      <c r="A3321" s="45"/>
      <c r="B3321" s="35" t="str">
        <f>IFERROR(__xludf.DUMMYFUNCTION("""COMPUTED_VALUE"""),"17/01/2026 13:11:39")</f>
        <v>17/01/2026 13:11:39</v>
      </c>
      <c r="C3321" s="35"/>
      <c r="D3321" s="10">
        <f>IFERROR(__xludf.DUMMYFUNCTION("""COMPUTED_VALUE"""),46039.0)</f>
        <v>46039</v>
      </c>
      <c r="E3321" s="35" t="str">
        <f>IFERROR(__xludf.DUMMYFUNCTION("""COMPUTED_VALUE"""),"01Jan")</f>
        <v>01Jan</v>
      </c>
      <c r="F3321" s="35" t="str">
        <f>IFERROR(__xludf.DUMMYFUNCTION("""COMPUTED_VALUE"""),"2026")</f>
        <v>2026</v>
      </c>
      <c r="G3321" s="35" t="str">
        <f>IFERROR(__xludf.DUMMYFUNCTION("""COMPUTED_VALUE"""),"FRENKY FERIYANTO")</f>
        <v>FRENKY FERIYANTO</v>
      </c>
      <c r="H3321" s="35" t="str">
        <f>IFERROR(__xludf.DUMMYFUNCTION("""COMPUTED_VALUE"""),"F9326011778")</f>
        <v>F9326011778</v>
      </c>
      <c r="I3321" s="35">
        <f>IFERROR(__xludf.DUMMYFUNCTION("""COMPUTED_VALUE"""),33.0)</f>
        <v>33</v>
      </c>
      <c r="J3321" s="35" t="str">
        <f>IFERROR(__xludf.DUMMYFUNCTION("""COMPUTED_VALUE"""),"25-34 tahun")</f>
        <v>25-34 tahun</v>
      </c>
      <c r="K3321" s="35" t="str">
        <f>IFERROR(__xludf.DUMMYFUNCTION("""COMPUTED_VALUE"""),"13/04/1993")</f>
        <v>13/04/1993</v>
      </c>
      <c r="L3321" s="35" t="str">
        <f>IFERROR(__xludf.DUMMYFUNCTION("""COMPUTED_VALUE"""),"LAKI-LAKI")</f>
        <v>LAKI-LAKI</v>
      </c>
      <c r="M3321" s="35" t="str">
        <f>IFERROR(__xludf.DUMMYFUNCTION("""COMPUTED_VALUE"""),"WR SUPRATMAN 1A")</f>
        <v>WR SUPRATMAN 1A</v>
      </c>
      <c r="N3321" s="35" t="str">
        <f>IFERROR(__xludf.DUMMYFUNCTION("""COMPUTED_VALUE"""),"PARIT TOKAYA")</f>
        <v>PARIT TOKAYA</v>
      </c>
      <c r="O3321" s="35" t="str">
        <f>IFERROR(__xludf.DUMMYFUNCTION("""COMPUTED_VALUE"""),"PONTIANAK SELATAN")</f>
        <v>PONTIANAK SELATAN</v>
      </c>
      <c r="P3321" s="35" t="str">
        <f>IFERROR(__xludf.DUMMYFUNCTION("""COMPUTED_VALUE"""),"PONTIANAK")</f>
        <v>PONTIANAK</v>
      </c>
      <c r="Q3321" s="35" t="str">
        <f>IFERROR(__xludf.DUMMYFUNCTION("""COMPUTED_VALUE"""),"KALIMANTAN BARAT")</f>
        <v>KALIMANTAN BARAT</v>
      </c>
      <c r="R3321" s="35" t="str">
        <f>IFERROR(__xludf.DUMMYFUNCTION("""COMPUTED_VALUE"""),"BUDDHA")</f>
        <v>BUDDHA</v>
      </c>
      <c r="S3321" s="74" t="str">
        <f>IFERROR(__xludf.DUMMYFUNCTION("""COMPUTED_VALUE"""),"FREELANCE")</f>
        <v>FREELANCE</v>
      </c>
      <c r="T3321" s="35" t="str">
        <f>IFERROR(__xludf.DUMMYFUNCTION("""COMPUTED_VALUE"""),"LOWER BACK PAIN")</f>
        <v>LOWER BACK PAIN</v>
      </c>
      <c r="U3321" s="35" t="str">
        <f>IFERROR(__xludf.DUMMYFUNCTION("""COMPUTED_VALUE"""),"PEKERJAAN YANG HARUS DUDUK LAMA DI DEPAN KOMPUTER")</f>
        <v>PEKERJAAN YANG HARUS DUDUK LAMA DI DEPAN KOMPUTER</v>
      </c>
      <c r="V3321" s="35" t="str">
        <f>IFERROR(__xludf.DUMMYFUNCTION("""COMPUTED_VALUE"""),"0811101778")</f>
        <v>0811101778</v>
      </c>
      <c r="W3321" s="45"/>
    </row>
    <row r="3322">
      <c r="A3322" s="45"/>
      <c r="B3322" s="35" t="str">
        <f>IFERROR(__xludf.DUMMYFUNCTION("""COMPUTED_VALUE"""),"17/01/2026 16:05:26")</f>
        <v>17/01/2026 16:05:26</v>
      </c>
      <c r="C3322" s="35"/>
      <c r="D3322" s="10">
        <f>IFERROR(__xludf.DUMMYFUNCTION("""COMPUTED_VALUE"""),46039.0)</f>
        <v>46039</v>
      </c>
      <c r="E3322" s="35" t="str">
        <f>IFERROR(__xludf.DUMMYFUNCTION("""COMPUTED_VALUE"""),"01Jan")</f>
        <v>01Jan</v>
      </c>
      <c r="F3322" s="35" t="str">
        <f>IFERROR(__xludf.DUMMYFUNCTION("""COMPUTED_VALUE"""),"2026")</f>
        <v>2026</v>
      </c>
      <c r="G3322" s="35" t="str">
        <f>IFERROR(__xludf.DUMMYFUNCTION("""COMPUTED_VALUE"""),"HAMBALI")</f>
        <v>HAMBALI</v>
      </c>
      <c r="H3322" s="35" t="str">
        <f>IFERROR(__xludf.DUMMYFUNCTION("""COMPUTED_VALUE"""),"H0026012107")</f>
        <v>H0026012107</v>
      </c>
      <c r="I3322" s="35">
        <f>IFERROR(__xludf.DUMMYFUNCTION("""COMPUTED_VALUE"""),25.0)</f>
        <v>25</v>
      </c>
      <c r="J3322" s="35" t="str">
        <f>IFERROR(__xludf.DUMMYFUNCTION("""COMPUTED_VALUE"""),"25-34 tahun")</f>
        <v>25-34 tahun</v>
      </c>
      <c r="K3322" s="35" t="str">
        <f>IFERROR(__xludf.DUMMYFUNCTION("""COMPUTED_VALUE"""),"04/11/2000")</f>
        <v>04/11/2000</v>
      </c>
      <c r="L3322" s="35" t="str">
        <f>IFERROR(__xludf.DUMMYFUNCTION("""COMPUTED_VALUE"""),"LAKI-LAKI")</f>
        <v>LAKI-LAKI</v>
      </c>
      <c r="M3322" s="35" t="str">
        <f>IFERROR(__xludf.DUMMYFUNCTION("""COMPUTED_VALUE"""),"TANJUNG WABADI")</f>
        <v>TANJUNG WABADI</v>
      </c>
      <c r="N3322" s="35" t="str">
        <f>IFERROR(__xludf.DUMMYFUNCTION("""COMPUTED_VALUE"""),"TANJUNG SALEH")</f>
        <v>TANJUNG SALEH</v>
      </c>
      <c r="O3322" s="35" t="str">
        <f>IFERROR(__xludf.DUMMYFUNCTION("""COMPUTED_VALUE"""),"SUNGAI KAKAP")</f>
        <v>SUNGAI KAKAP</v>
      </c>
      <c r="P3322" s="35" t="str">
        <f>IFERROR(__xludf.DUMMYFUNCTION("""COMPUTED_VALUE"""),"KUBU RAYA")</f>
        <v>KUBU RAYA</v>
      </c>
      <c r="Q3322" s="35" t="str">
        <f>IFERROR(__xludf.DUMMYFUNCTION("""COMPUTED_VALUE"""),"KALIMANTAN BARAT")</f>
        <v>KALIMANTAN BARAT</v>
      </c>
      <c r="R3322" s="35" t="str">
        <f>IFERROR(__xludf.DUMMYFUNCTION("""COMPUTED_VALUE"""),"ISLAM")</f>
        <v>ISLAM</v>
      </c>
      <c r="S3322" s="74" t="str">
        <f>IFERROR(__xludf.DUMMYFUNCTION("""COMPUTED_VALUE"""),"SWASTA")</f>
        <v>SWASTA</v>
      </c>
      <c r="T3322" s="35" t="str">
        <f>IFERROR(__xludf.DUMMYFUNCTION("""COMPUTED_VALUE"""),"CEDERA LUTUT")</f>
        <v>CEDERA LUTUT</v>
      </c>
      <c r="U3322" s="35" t="str">
        <f>IFERROR(__xludf.DUMMYFUNCTION("""COMPUTED_VALUE"""),"SEPAK BOLA")</f>
        <v>SEPAK BOLA</v>
      </c>
      <c r="V3322" s="35" t="str">
        <f>IFERROR(__xludf.DUMMYFUNCTION("""COMPUTED_VALUE"""),"085705232107")</f>
        <v>085705232107</v>
      </c>
      <c r="W3322" s="45"/>
    </row>
    <row r="3323">
      <c r="A3323" s="45"/>
      <c r="B3323" s="35" t="str">
        <f>IFERROR(__xludf.DUMMYFUNCTION("""COMPUTED_VALUE"""),"17/01/2026 19:50:17")</f>
        <v>17/01/2026 19:50:17</v>
      </c>
      <c r="C3323" s="35"/>
      <c r="D3323" s="10">
        <f>IFERROR(__xludf.DUMMYFUNCTION("""COMPUTED_VALUE"""),46039.0)</f>
        <v>46039</v>
      </c>
      <c r="E3323" s="35" t="str">
        <f>IFERROR(__xludf.DUMMYFUNCTION("""COMPUTED_VALUE"""),"01Jan")</f>
        <v>01Jan</v>
      </c>
      <c r="F3323" s="35" t="str">
        <f>IFERROR(__xludf.DUMMYFUNCTION("""COMPUTED_VALUE"""),"2026")</f>
        <v>2026</v>
      </c>
      <c r="G3323" s="35" t="str">
        <f>IFERROR(__xludf.DUMMYFUNCTION("""COMPUTED_VALUE"""),"ARIF KURNIAWAN")</f>
        <v>ARIF KURNIAWAN</v>
      </c>
      <c r="H3323" s="35" t="str">
        <f>IFERROR(__xludf.DUMMYFUNCTION("""COMPUTED_VALUE"""),"A7426019878")</f>
        <v>A7426019878</v>
      </c>
      <c r="I3323" s="35">
        <f>IFERROR(__xludf.DUMMYFUNCTION("""COMPUTED_VALUE"""),52.0)</f>
        <v>52</v>
      </c>
      <c r="J3323" s="35" t="str">
        <f>IFERROR(__xludf.DUMMYFUNCTION("""COMPUTED_VALUE"""),"&gt; 44 tahun")</f>
        <v>&gt; 44 tahun</v>
      </c>
      <c r="K3323" s="35" t="str">
        <f>IFERROR(__xludf.DUMMYFUNCTION("""COMPUTED_VALUE"""),"29/05/1974")</f>
        <v>29/05/1974</v>
      </c>
      <c r="L3323" s="35" t="str">
        <f>IFERROR(__xludf.DUMMYFUNCTION("""COMPUTED_VALUE"""),"LAKI-LAKI")</f>
        <v>LAKI-LAKI</v>
      </c>
      <c r="M3323" s="35" t="str">
        <f>IFERROR(__xludf.DUMMYFUNCTION("""COMPUTED_VALUE"""),"KOMP ANGKASA PERMAI 822")</f>
        <v>KOMP ANGKASA PERMAI 822</v>
      </c>
      <c r="N3323" s="35" t="str">
        <f>IFERROR(__xludf.DUMMYFUNCTION("""COMPUTED_VALUE"""),"SUNGAI RAYA")</f>
        <v>SUNGAI RAYA</v>
      </c>
      <c r="O3323" s="35" t="str">
        <f>IFERROR(__xludf.DUMMYFUNCTION("""COMPUTED_VALUE"""),"-")</f>
        <v>-</v>
      </c>
      <c r="P3323" s="35" t="str">
        <f>IFERROR(__xludf.DUMMYFUNCTION("""COMPUTED_VALUE"""),"KUBU RAYA ")</f>
        <v>KUBU RAYA </v>
      </c>
      <c r="Q3323" s="35" t="str">
        <f>IFERROR(__xludf.DUMMYFUNCTION("""COMPUTED_VALUE"""),"KALIMANTAN BARAT")</f>
        <v>KALIMANTAN BARAT</v>
      </c>
      <c r="R3323" s="35" t="str">
        <f>IFERROR(__xludf.DUMMYFUNCTION("""COMPUTED_VALUE"""),"ISLAM")</f>
        <v>ISLAM</v>
      </c>
      <c r="S3323" s="74" t="str">
        <f>IFERROR(__xludf.DUMMYFUNCTION("""COMPUTED_VALUE"""),"PNS")</f>
        <v>PNS</v>
      </c>
      <c r="T3323" s="35" t="str">
        <f>IFERROR(__xludf.DUMMYFUNCTION("""COMPUTED_VALUE"""),"ASAM URAT")</f>
        <v>ASAM URAT</v>
      </c>
      <c r="U3323" s="35" t="str">
        <f>IFERROR(__xludf.DUMMYFUNCTION("""COMPUTED_VALUE"""),"-")</f>
        <v>-</v>
      </c>
      <c r="V3323" s="35" t="str">
        <f>IFERROR(__xludf.DUMMYFUNCTION("""COMPUTED_VALUE"""),"085752659878")</f>
        <v>085752659878</v>
      </c>
      <c r="W3323" s="45"/>
    </row>
    <row r="3324">
      <c r="A3324" s="45"/>
      <c r="B3324" s="35" t="str">
        <f>IFERROR(__xludf.DUMMYFUNCTION("""COMPUTED_VALUE"""),"17/01/2026 20:39:28")</f>
        <v>17/01/2026 20:39:28</v>
      </c>
      <c r="C3324" s="35"/>
      <c r="D3324" s="10">
        <f>IFERROR(__xludf.DUMMYFUNCTION("""COMPUTED_VALUE"""),46039.0)</f>
        <v>46039</v>
      </c>
      <c r="E3324" s="35" t="str">
        <f>IFERROR(__xludf.DUMMYFUNCTION("""COMPUTED_VALUE"""),"01Jan")</f>
        <v>01Jan</v>
      </c>
      <c r="F3324" s="35" t="str">
        <f>IFERROR(__xludf.DUMMYFUNCTION("""COMPUTED_VALUE"""),"2026")</f>
        <v>2026</v>
      </c>
      <c r="G3324" s="35" t="str">
        <f>IFERROR(__xludf.DUMMYFUNCTION("""COMPUTED_VALUE"""),"RIZQY FACHRIA")</f>
        <v>RIZQY FACHRIA</v>
      </c>
      <c r="H3324" s="35" t="str">
        <f>IFERROR(__xludf.DUMMYFUNCTION("""COMPUTED_VALUE"""),"R9526014864")</f>
        <v>R9526014864</v>
      </c>
      <c r="I3324" s="35">
        <f>IFERROR(__xludf.DUMMYFUNCTION("""COMPUTED_VALUE"""),30.0)</f>
        <v>30</v>
      </c>
      <c r="J3324" s="35" t="str">
        <f>IFERROR(__xludf.DUMMYFUNCTION("""COMPUTED_VALUE"""),"25-34 tahun")</f>
        <v>25-34 tahun</v>
      </c>
      <c r="K3324" s="35" t="str">
        <f>IFERROR(__xludf.DUMMYFUNCTION("""COMPUTED_VALUE"""),"30/07/1995")</f>
        <v>30/07/1995</v>
      </c>
      <c r="L3324" s="35" t="str">
        <f>IFERROR(__xludf.DUMMYFUNCTION("""COMPUTED_VALUE"""),"PEREMPUAN")</f>
        <v>PEREMPUAN</v>
      </c>
      <c r="M3324" s="35" t="str">
        <f>IFERROR(__xludf.DUMMYFUNCTION("""COMPUTED_VALUE"""),"JL. M YAMIN GANG SEKADIM NO.7")</f>
        <v>JL. M YAMIN GANG SEKADIM NO.7</v>
      </c>
      <c r="N3324" s="35" t="str">
        <f>IFERROR(__xludf.DUMMYFUNCTION("""COMPUTED_VALUE"""),"KOTA BARU")</f>
        <v>KOTA BARU</v>
      </c>
      <c r="O3324" s="35" t="str">
        <f>IFERROR(__xludf.DUMMYFUNCTION("""COMPUTED_VALUE"""),"PONTIANAK SELATAN ")</f>
        <v>PONTIANAK SELATAN </v>
      </c>
      <c r="P3324" s="35" t="str">
        <f>IFERROR(__xludf.DUMMYFUNCTION("""COMPUTED_VALUE"""),"PONTIANAK ")</f>
        <v>PONTIANAK </v>
      </c>
      <c r="Q3324" s="35" t="str">
        <f>IFERROR(__xludf.DUMMYFUNCTION("""COMPUTED_VALUE"""),"KALIMANTAN BARAT ")</f>
        <v>KALIMANTAN BARAT </v>
      </c>
      <c r="R3324" s="35" t="str">
        <f>IFERROR(__xludf.DUMMYFUNCTION("""COMPUTED_VALUE"""),"ISLAM")</f>
        <v>ISLAM</v>
      </c>
      <c r="S3324" s="74" t="str">
        <f>IFERROR(__xludf.DUMMYFUNCTION("""COMPUTED_VALUE"""),"DOSEN")</f>
        <v>DOSEN</v>
      </c>
      <c r="T3324" s="35" t="str">
        <f>IFERROR(__xludf.DUMMYFUNCTION("""COMPUTED_VALUE"""),"NYERI PERGELANGAN KAKI DAN TANGAN")</f>
        <v>NYERI PERGELANGAN KAKI DAN TANGAN</v>
      </c>
      <c r="U3324" s="35" t="str">
        <f>IFERROR(__xludf.DUMMYFUNCTION("""COMPUTED_VALUE"""),"MENGETIK, MAIN HP, DAN PERNAH JATUH DARI TANGGA.")</f>
        <v>MENGETIK, MAIN HP, DAN PERNAH JATUH DARI TANGGA.</v>
      </c>
      <c r="V3324" s="35" t="str">
        <f>IFERROR(__xludf.DUMMYFUNCTION("""COMPUTED_VALUE"""),"6282213424864")</f>
        <v>6282213424864</v>
      </c>
      <c r="W3324" s="45"/>
    </row>
    <row r="3325">
      <c r="A3325" s="45"/>
      <c r="B3325" s="35" t="str">
        <f>IFERROR(__xludf.DUMMYFUNCTION("""COMPUTED_VALUE"""),"17/01/2026 20:43:32")</f>
        <v>17/01/2026 20:43:32</v>
      </c>
      <c r="C3325" s="35"/>
      <c r="D3325" s="10">
        <f>IFERROR(__xludf.DUMMYFUNCTION("""COMPUTED_VALUE"""),46039.0)</f>
        <v>46039</v>
      </c>
      <c r="E3325" s="35" t="str">
        <f>IFERROR(__xludf.DUMMYFUNCTION("""COMPUTED_VALUE"""),"01Jan")</f>
        <v>01Jan</v>
      </c>
      <c r="F3325" s="35" t="str">
        <f>IFERROR(__xludf.DUMMYFUNCTION("""COMPUTED_VALUE"""),"2026")</f>
        <v>2026</v>
      </c>
      <c r="G3325" s="35" t="str">
        <f>IFERROR(__xludf.DUMMYFUNCTION("""COMPUTED_VALUE"""),"MUHAMMAD AFZANI NUR ")</f>
        <v>MUHAMMAD AFZANI NUR </v>
      </c>
      <c r="H3325" s="35" t="str">
        <f>IFERROR(__xludf.DUMMYFUNCTION("""COMPUTED_VALUE"""),"M0726018299")</f>
        <v>M0726018299</v>
      </c>
      <c r="I3325" s="35">
        <f>IFERROR(__xludf.DUMMYFUNCTION("""COMPUTED_VALUE"""),19.0)</f>
        <v>19</v>
      </c>
      <c r="J3325" s="35" t="str">
        <f>IFERROR(__xludf.DUMMYFUNCTION("""COMPUTED_VALUE"""),"18-24 tahun")</f>
        <v>18-24 tahun</v>
      </c>
      <c r="K3325" s="35" t="str">
        <f>IFERROR(__xludf.DUMMYFUNCTION("""COMPUTED_VALUE"""),"02/04/2007")</f>
        <v>02/04/2007</v>
      </c>
      <c r="L3325" s="35" t="str">
        <f>IFERROR(__xludf.DUMMYFUNCTION("""COMPUTED_VALUE"""),"LAKI-LAKI")</f>
        <v>LAKI-LAKI</v>
      </c>
      <c r="M3325" s="35" t="str">
        <f>IFERROR(__xludf.DUMMYFUNCTION("""COMPUTED_VALUE"""),"DESA SABANG MAWANG BALAI")</f>
        <v>DESA SABANG MAWANG BALAI</v>
      </c>
      <c r="N3325" s="35" t="str">
        <f>IFERROR(__xludf.DUMMYFUNCTION("""COMPUTED_VALUE"""),"SABANG MAWANG BALAI ")</f>
        <v>SABANG MAWANG BALAI </v>
      </c>
      <c r="O3325" s="35" t="str">
        <f>IFERROR(__xludf.DUMMYFUNCTION("""COMPUTED_VALUE"""),"PULAU TIGA")</f>
        <v>PULAU TIGA</v>
      </c>
      <c r="P3325" s="35" t="str">
        <f>IFERROR(__xludf.DUMMYFUNCTION("""COMPUTED_VALUE"""),"NATUNA")</f>
        <v>NATUNA</v>
      </c>
      <c r="Q3325" s="35" t="str">
        <f>IFERROR(__xludf.DUMMYFUNCTION("""COMPUTED_VALUE"""),"KEPULAUAN RIAU ")</f>
        <v>KEPULAUAN RIAU </v>
      </c>
      <c r="R3325" s="35" t="str">
        <f>IFERROR(__xludf.DUMMYFUNCTION("""COMPUTED_VALUE"""),"ISLAM")</f>
        <v>ISLAM</v>
      </c>
      <c r="S3325" s="74" t="str">
        <f>IFERROR(__xludf.DUMMYFUNCTION("""COMPUTED_VALUE"""),"MAHASISWA ")</f>
        <v>MAHASISWA </v>
      </c>
      <c r="T3325" s="35" t="str">
        <f>IFERROR(__xludf.DUMMYFUNCTION("""COMPUTED_VALUE"""),"KAKI BENGKAK SEHINGGA KESULITAN BERJALAN")</f>
        <v>KAKI BENGKAK SEHINGGA KESULITAN BERJALAN</v>
      </c>
      <c r="U3325" s="35" t="str">
        <f>IFERROR(__xludf.DUMMYFUNCTION("""COMPUTED_VALUE"""),"MAIN FUTSAL ")</f>
        <v>MAIN FUTSAL </v>
      </c>
      <c r="V3325" s="35" t="str">
        <f>IFERROR(__xludf.DUMMYFUNCTION("""COMPUTED_VALUE"""),"082283938299")</f>
        <v>082283938299</v>
      </c>
      <c r="W3325" s="45"/>
    </row>
    <row r="3326">
      <c r="A3326" s="45"/>
      <c r="B3326" s="35" t="str">
        <f>IFERROR(__xludf.DUMMYFUNCTION("""COMPUTED_VALUE"""),"18/01/2026 15:02:29")</f>
        <v>18/01/2026 15:02:29</v>
      </c>
      <c r="C3326" s="35"/>
      <c r="D3326" s="10">
        <f>IFERROR(__xludf.DUMMYFUNCTION("""COMPUTED_VALUE"""),46040.0)</f>
        <v>46040</v>
      </c>
      <c r="E3326" s="35" t="str">
        <f>IFERROR(__xludf.DUMMYFUNCTION("""COMPUTED_VALUE"""),"01Jan")</f>
        <v>01Jan</v>
      </c>
      <c r="F3326" s="35" t="str">
        <f>IFERROR(__xludf.DUMMYFUNCTION("""COMPUTED_VALUE"""),"2026")</f>
        <v>2026</v>
      </c>
      <c r="G3326" s="35" t="str">
        <f>IFERROR(__xludf.DUMMYFUNCTION("""COMPUTED_VALUE"""),"AZKA RAFIF ARYA")</f>
        <v>AZKA RAFIF ARYA</v>
      </c>
      <c r="H3326" s="35" t="str">
        <f>IFERROR(__xludf.DUMMYFUNCTION("""COMPUTED_VALUE"""),"A1326019995")</f>
        <v>A1326019995</v>
      </c>
      <c r="I3326" s="35">
        <f>IFERROR(__xludf.DUMMYFUNCTION("""COMPUTED_VALUE"""),13.0)</f>
        <v>13</v>
      </c>
      <c r="J3326" s="35" t="str">
        <f>IFERROR(__xludf.DUMMYFUNCTION("""COMPUTED_VALUE"""),"&lt; 18 tahun")</f>
        <v>&lt; 18 tahun</v>
      </c>
      <c r="K3326" s="35" t="str">
        <f>IFERROR(__xludf.DUMMYFUNCTION("""COMPUTED_VALUE"""),"10/02/2013")</f>
        <v>10/02/2013</v>
      </c>
      <c r="L3326" s="35" t="str">
        <f>IFERROR(__xludf.DUMMYFUNCTION("""COMPUTED_VALUE"""),"LAKI-LAKI")</f>
        <v>LAKI-LAKI</v>
      </c>
      <c r="M3326" s="35" t="str">
        <f>IFERROR(__xludf.DUMMYFUNCTION("""COMPUTED_VALUE"""),"PERUMNAS 1 GANG MELUR BLOK K 4 NO 6")</f>
        <v>PERUMNAS 1 GANG MELUR BLOK K 4 NO 6</v>
      </c>
      <c r="N3326" s="35" t="str">
        <f>IFERROR(__xludf.DUMMYFUNCTION("""COMPUTED_VALUE"""),"SUNGAI JAWI DALAM")</f>
        <v>SUNGAI JAWI DALAM</v>
      </c>
      <c r="O3326" s="35" t="str">
        <f>IFERROR(__xludf.DUMMYFUNCTION("""COMPUTED_VALUE"""),"PONTIANAK BARAT")</f>
        <v>PONTIANAK BARAT</v>
      </c>
      <c r="P3326" s="35" t="str">
        <f>IFERROR(__xludf.DUMMYFUNCTION("""COMPUTED_VALUE"""),"KOTA PONTIANAK")</f>
        <v>KOTA PONTIANAK</v>
      </c>
      <c r="Q3326" s="35" t="str">
        <f>IFERROR(__xludf.DUMMYFUNCTION("""COMPUTED_VALUE"""),"KALIMANTAN BARAT")</f>
        <v>KALIMANTAN BARAT</v>
      </c>
      <c r="R3326" s="35" t="str">
        <f>IFERROR(__xludf.DUMMYFUNCTION("""COMPUTED_VALUE"""),"ISLAM")</f>
        <v>ISLAM</v>
      </c>
      <c r="S3326" s="74" t="str">
        <f>IFERROR(__xludf.DUMMYFUNCTION("""COMPUTED_VALUE"""),"PELAJAR")</f>
        <v>PELAJAR</v>
      </c>
      <c r="T3326" s="35" t="str">
        <f>IFERROR(__xludf.DUMMYFUNCTION("""COMPUTED_VALUE"""),"JARI KAKI BENGKAK")</f>
        <v>JARI KAKI BENGKAK</v>
      </c>
      <c r="U3326" s="35" t="str">
        <f>IFERROR(__xludf.DUMMYFUNCTION("""COMPUTED_VALUE"""),"MAIN BOLA")</f>
        <v>MAIN BOLA</v>
      </c>
      <c r="V3326" s="35" t="str">
        <f>IFERROR(__xludf.DUMMYFUNCTION("""COMPUTED_VALUE"""),"085386799995")</f>
        <v>085386799995</v>
      </c>
      <c r="W3326" s="45"/>
    </row>
    <row r="3327">
      <c r="A3327" s="45"/>
      <c r="B3327" s="35" t="str">
        <f>IFERROR(__xludf.DUMMYFUNCTION("""COMPUTED_VALUE"""),"18/01/2026 15:05:54")</f>
        <v>18/01/2026 15:05:54</v>
      </c>
      <c r="C3327" s="35"/>
      <c r="D3327" s="10">
        <f>IFERROR(__xludf.DUMMYFUNCTION("""COMPUTED_VALUE"""),46040.0)</f>
        <v>46040</v>
      </c>
      <c r="E3327" s="35" t="str">
        <f>IFERROR(__xludf.DUMMYFUNCTION("""COMPUTED_VALUE"""),"01Jan")</f>
        <v>01Jan</v>
      </c>
      <c r="F3327" s="35" t="str">
        <f>IFERROR(__xludf.DUMMYFUNCTION("""COMPUTED_VALUE"""),"2026")</f>
        <v>2026</v>
      </c>
      <c r="G3327" s="35" t="str">
        <f>IFERROR(__xludf.DUMMYFUNCTION("""COMPUTED_VALUE"""),"SUCI TRIHANTINI")</f>
        <v>SUCI TRIHANTINI</v>
      </c>
      <c r="H3327" s="35" t="str">
        <f>IFERROR(__xludf.DUMMYFUNCTION("""COMPUTED_VALUE"""),"S8526012599")</f>
        <v>S8526012599</v>
      </c>
      <c r="I3327" s="35">
        <f>IFERROR(__xludf.DUMMYFUNCTION("""COMPUTED_VALUE"""),41.0)</f>
        <v>41</v>
      </c>
      <c r="J3327" s="35" t="str">
        <f>IFERROR(__xludf.DUMMYFUNCTION("""COMPUTED_VALUE"""),"35-44 tahun")</f>
        <v>35-44 tahun</v>
      </c>
      <c r="K3327" s="35" t="str">
        <f>IFERROR(__xludf.DUMMYFUNCTION("""COMPUTED_VALUE"""),"06/06/1985")</f>
        <v>06/06/1985</v>
      </c>
      <c r="L3327" s="35" t="str">
        <f>IFERROR(__xludf.DUMMYFUNCTION("""COMPUTED_VALUE"""),"PEREMPUAN")</f>
        <v>PEREMPUAN</v>
      </c>
      <c r="M3327" s="35" t="str">
        <f>IFERROR(__xludf.DUMMYFUNCTION("""COMPUTED_VALUE"""),"JL. DANAU SENTARUM NO.2")</f>
        <v>JL. DANAU SENTARUM NO.2</v>
      </c>
      <c r="N3327" s="35" t="str">
        <f>IFERROR(__xludf.DUMMYFUNCTION("""COMPUTED_VALUE"""),"SUI BANGKONG")</f>
        <v>SUI BANGKONG</v>
      </c>
      <c r="O3327" s="35" t="str">
        <f>IFERROR(__xludf.DUMMYFUNCTION("""COMPUTED_VALUE"""),"PONTIANAK KOTA")</f>
        <v>PONTIANAK KOTA</v>
      </c>
      <c r="P3327" s="35" t="str">
        <f>IFERROR(__xludf.DUMMYFUNCTION("""COMPUTED_VALUE"""),"PONTIANAK ")</f>
        <v>PONTIANAK </v>
      </c>
      <c r="Q3327" s="35" t="str">
        <f>IFERROR(__xludf.DUMMYFUNCTION("""COMPUTED_VALUE"""),"KALIMANTAN BARAT")</f>
        <v>KALIMANTAN BARAT</v>
      </c>
      <c r="R3327" s="35" t="str">
        <f>IFERROR(__xludf.DUMMYFUNCTION("""COMPUTED_VALUE"""),"ISLAM")</f>
        <v>ISLAM</v>
      </c>
      <c r="S3327" s="74" t="str">
        <f>IFERROR(__xludf.DUMMYFUNCTION("""COMPUTED_VALUE"""),"IRT")</f>
        <v>IRT</v>
      </c>
      <c r="T3327" s="35" t="str">
        <f>IFERROR(__xludf.DUMMYFUNCTION("""COMPUTED_VALUE"""),"SALAH MENDARAT, JARI-JARI KAKI MENDARAT KUAT, MASIH SEMPAT BERAKTIFITAS, SKR SAKIT KYK KESELEO")</f>
        <v>SALAH MENDARAT, JARI-JARI KAKI MENDARAT KUAT, MASIH SEMPAT BERAKTIFITAS, SKR SAKIT KYK KESELEO</v>
      </c>
      <c r="U3327" s="35" t="str">
        <f>IFERROR(__xludf.DUMMYFUNCTION("""COMPUTED_VALUE"""),"GURU YOGA")</f>
        <v>GURU YOGA</v>
      </c>
      <c r="V3327" s="35" t="str">
        <f>IFERROR(__xludf.DUMMYFUNCTION("""COMPUTED_VALUE"""),"089607042599")</f>
        <v>089607042599</v>
      </c>
      <c r="W3327" s="45"/>
    </row>
    <row r="3328">
      <c r="A3328" s="45"/>
      <c r="B3328" s="35" t="str">
        <f>IFERROR(__xludf.DUMMYFUNCTION("""COMPUTED_VALUE"""),"19/01/2026 17:42:11")</f>
        <v>19/01/2026 17:42:11</v>
      </c>
      <c r="C3328" s="35"/>
      <c r="D3328" s="10">
        <f>IFERROR(__xludf.DUMMYFUNCTION("""COMPUTED_VALUE"""),46041.0)</f>
        <v>46041</v>
      </c>
      <c r="E3328" s="35" t="str">
        <f>IFERROR(__xludf.DUMMYFUNCTION("""COMPUTED_VALUE"""),"01Jan")</f>
        <v>01Jan</v>
      </c>
      <c r="F3328" s="35" t="str">
        <f>IFERROR(__xludf.DUMMYFUNCTION("""COMPUTED_VALUE"""),"2026")</f>
        <v>2026</v>
      </c>
      <c r="G3328" s="35" t="str">
        <f>IFERROR(__xludf.DUMMYFUNCTION("""COMPUTED_VALUE"""),"JOKO WINARDI")</f>
        <v>JOKO WINARDI</v>
      </c>
      <c r="H3328" s="35" t="str">
        <f>IFERROR(__xludf.DUMMYFUNCTION("""COMPUTED_VALUE"""),"J6326018883")</f>
        <v>J6326018883</v>
      </c>
      <c r="I3328" s="35">
        <f>IFERROR(__xludf.DUMMYFUNCTION("""COMPUTED_VALUE"""),63.0)</f>
        <v>63</v>
      </c>
      <c r="J3328" s="35" t="str">
        <f>IFERROR(__xludf.DUMMYFUNCTION("""COMPUTED_VALUE"""),"&gt; 44 tahun")</f>
        <v>&gt; 44 tahun</v>
      </c>
      <c r="K3328" s="35" t="str">
        <f>IFERROR(__xludf.DUMMYFUNCTION("""COMPUTED_VALUE"""),"06/03/1963")</f>
        <v>06/03/1963</v>
      </c>
      <c r="L3328" s="35" t="str">
        <f>IFERROR(__xludf.DUMMYFUNCTION("""COMPUTED_VALUE"""),"LAKI-LAKI")</f>
        <v>LAKI-LAKI</v>
      </c>
      <c r="M3328" s="35" t="str">
        <f>IFERROR(__xludf.DUMMYFUNCTION("""COMPUTED_VALUE"""),"JALAN AMPERA KOMPLEK CENDANA MULIA NOMOR 5 A")</f>
        <v>JALAN AMPERA KOMPLEK CENDANA MULIA NOMOR 5 A</v>
      </c>
      <c r="N3328" s="35" t="str">
        <f>IFERROR(__xludf.DUMMYFUNCTION("""COMPUTED_VALUE"""),"SEI BANGKONG")</f>
        <v>SEI BANGKONG</v>
      </c>
      <c r="O3328" s="35" t="str">
        <f>IFERROR(__xludf.DUMMYFUNCTION("""COMPUTED_VALUE"""),"PONTIANAK KOTA")</f>
        <v>PONTIANAK KOTA</v>
      </c>
      <c r="P3328" s="35" t="str">
        <f>IFERROR(__xludf.DUMMYFUNCTION("""COMPUTED_VALUE"""),"KOTA PONTIANAK")</f>
        <v>KOTA PONTIANAK</v>
      </c>
      <c r="Q3328" s="35" t="str">
        <f>IFERROR(__xludf.DUMMYFUNCTION("""COMPUTED_VALUE"""),"KALIMANTAN BARAT")</f>
        <v>KALIMANTAN BARAT</v>
      </c>
      <c r="R3328" s="35" t="str">
        <f>IFERROR(__xludf.DUMMYFUNCTION("""COMPUTED_VALUE"""),"ISLAM")</f>
        <v>ISLAM</v>
      </c>
      <c r="S3328" s="74" t="str">
        <f>IFERROR(__xludf.DUMMYFUNCTION("""COMPUTED_VALUE"""),"PENSIUNAN")</f>
        <v>PENSIUNAN</v>
      </c>
      <c r="T3328" s="35" t="str">
        <f>IFERROR(__xludf.DUMMYFUNCTION("""COMPUTED_VALUE"""),"KAKI KIRI SEDIKIT LEBIH LEMAH, SEHINGGA MASIH BELUM BISA UNTUK BERJALAN NORMAL.")</f>
        <v>KAKI KIRI SEDIKIT LEBIH LEMAH, SEHINGGA MASIH BELUM BISA UNTUK BERJALAN NORMAL.</v>
      </c>
      <c r="U3328" s="35" t="str">
        <f>IFERROR(__xludf.DUMMYFUNCTION("""COMPUTED_VALUE"""),"AKTIVITAS SEHARI-HARI, BERKEBUN ATAUPUN KE MASJID. NAMUN KELUHAN, TERJADI SETELAH ADANYA KECELAKAAN TUNGGAL.")</f>
        <v>AKTIVITAS SEHARI-HARI, BERKEBUN ATAUPUN KE MASJID. NAMUN KELUHAN, TERJADI SETELAH ADANYA KECELAKAAN TUNGGAL.</v>
      </c>
      <c r="V3328" s="35" t="str">
        <f>IFERROR(__xludf.DUMMYFUNCTION("""COMPUTED_VALUE"""),"08164988883")</f>
        <v>08164988883</v>
      </c>
      <c r="W3328" s="45"/>
    </row>
    <row r="3329">
      <c r="A3329" s="45"/>
      <c r="B3329" s="35" t="str">
        <f>IFERROR(__xludf.DUMMYFUNCTION("""COMPUTED_VALUE"""),"19/01/2026 19:39:18")</f>
        <v>19/01/2026 19:39:18</v>
      </c>
      <c r="C3329" s="35"/>
      <c r="D3329" s="10">
        <f>IFERROR(__xludf.DUMMYFUNCTION("""COMPUTED_VALUE"""),46041.0)</f>
        <v>46041</v>
      </c>
      <c r="E3329" s="35" t="str">
        <f>IFERROR(__xludf.DUMMYFUNCTION("""COMPUTED_VALUE"""),"01Jan")</f>
        <v>01Jan</v>
      </c>
      <c r="F3329" s="35" t="str">
        <f>IFERROR(__xludf.DUMMYFUNCTION("""COMPUTED_VALUE"""),"2026")</f>
        <v>2026</v>
      </c>
      <c r="G3329" s="35" t="str">
        <f>IFERROR(__xludf.DUMMYFUNCTION("""COMPUTED_VALUE"""),"SUMAYAH")</f>
        <v>SUMAYAH</v>
      </c>
      <c r="H3329" s="35" t="str">
        <f>IFERROR(__xludf.DUMMYFUNCTION("""COMPUTED_VALUE"""),"S7726012955")</f>
        <v>S7726012955</v>
      </c>
      <c r="I3329" s="35">
        <f>IFERROR(__xludf.DUMMYFUNCTION("""COMPUTED_VALUE"""),48.0)</f>
        <v>48</v>
      </c>
      <c r="J3329" s="35" t="str">
        <f>IFERROR(__xludf.DUMMYFUNCTION("""COMPUTED_VALUE"""),"&gt; 44 tahun")</f>
        <v>&gt; 44 tahun</v>
      </c>
      <c r="K3329" s="35" t="str">
        <f>IFERROR(__xludf.DUMMYFUNCTION("""COMPUTED_VALUE"""),"31/12/1977")</f>
        <v>31/12/1977</v>
      </c>
      <c r="L3329" s="35" t="str">
        <f>IFERROR(__xludf.DUMMYFUNCTION("""COMPUTED_VALUE"""),"PEREMPUAN")</f>
        <v>PEREMPUAN</v>
      </c>
      <c r="M3329" s="35" t="str">
        <f>IFERROR(__xludf.DUMMYFUNCTION("""COMPUTED_VALUE"""),"JL PROF M YAMIN GG SWAKARYA 1 NO.37")</f>
        <v>JL PROF M YAMIN GG SWAKARYA 1 NO.37</v>
      </c>
      <c r="N3329" s="35" t="str">
        <f>IFERROR(__xludf.DUMMYFUNCTION("""COMPUTED_VALUE"""),"KOTA BARU")</f>
        <v>KOTA BARU</v>
      </c>
      <c r="O3329" s="35" t="str">
        <f>IFERROR(__xludf.DUMMYFUNCTION("""COMPUTED_VALUE"""),"PONTIANAK SELATAN")</f>
        <v>PONTIANAK SELATAN</v>
      </c>
      <c r="P3329" s="35" t="str">
        <f>IFERROR(__xludf.DUMMYFUNCTION("""COMPUTED_VALUE"""),"PONTIANAK")</f>
        <v>PONTIANAK</v>
      </c>
      <c r="Q3329" s="35" t="str">
        <f>IFERROR(__xludf.DUMMYFUNCTION("""COMPUTED_VALUE"""),"KALIMANTAN BARAT")</f>
        <v>KALIMANTAN BARAT</v>
      </c>
      <c r="R3329" s="35" t="str">
        <f>IFERROR(__xludf.DUMMYFUNCTION("""COMPUTED_VALUE"""),"ISLAM")</f>
        <v>ISLAM</v>
      </c>
      <c r="S3329" s="74" t="str">
        <f>IFERROR(__xludf.DUMMYFUNCTION("""COMPUTED_VALUE"""),"IRT")</f>
        <v>IRT</v>
      </c>
      <c r="T3329" s="35" t="str">
        <f>IFERROR(__xludf.DUMMYFUNCTION("""COMPUTED_VALUE"""),"TANGAN")</f>
        <v>TANGAN</v>
      </c>
      <c r="U3329" s="35" t="str">
        <f>IFERROR(__xludf.DUMMYFUNCTION("""COMPUTED_VALUE"""),"-")</f>
        <v>-</v>
      </c>
      <c r="V3329" s="35" t="str">
        <f>IFERROR(__xludf.DUMMYFUNCTION("""COMPUTED_VALUE"""),"08996622955")</f>
        <v>08996622955</v>
      </c>
      <c r="W3329" s="45"/>
    </row>
    <row r="3330">
      <c r="A3330" s="45"/>
      <c r="B3330" s="35" t="str">
        <f>IFERROR(__xludf.DUMMYFUNCTION("""COMPUTED_VALUE"""),"19/01/2026 21:12:14")</f>
        <v>19/01/2026 21:12:14</v>
      </c>
      <c r="C3330" s="35"/>
      <c r="D3330" s="10">
        <f>IFERROR(__xludf.DUMMYFUNCTION("""COMPUTED_VALUE"""),46041.0)</f>
        <v>46041</v>
      </c>
      <c r="E3330" s="35" t="str">
        <f>IFERROR(__xludf.DUMMYFUNCTION("""COMPUTED_VALUE"""),"01Jan")</f>
        <v>01Jan</v>
      </c>
      <c r="F3330" s="35" t="str">
        <f>IFERROR(__xludf.DUMMYFUNCTION("""COMPUTED_VALUE"""),"2026")</f>
        <v>2026</v>
      </c>
      <c r="G3330" s="35" t="str">
        <f>IFERROR(__xludf.DUMMYFUNCTION("""COMPUTED_VALUE"""),"SUMIATI 6908")</f>
        <v>SUMIATI 6908</v>
      </c>
      <c r="H3330" s="35" t="str">
        <f>IFERROR(__xludf.DUMMYFUNCTION("""COMPUTED_VALUE"""),"S6926019033")</f>
        <v>S6926019033</v>
      </c>
      <c r="I3330" s="35">
        <f>IFERROR(__xludf.DUMMYFUNCTION("""COMPUTED_VALUE"""),56.0)</f>
        <v>56</v>
      </c>
      <c r="J3330" s="35" t="str">
        <f>IFERROR(__xludf.DUMMYFUNCTION("""COMPUTED_VALUE"""),"&gt; 44 tahun")</f>
        <v>&gt; 44 tahun</v>
      </c>
      <c r="K3330" s="35" t="str">
        <f>IFERROR(__xludf.DUMMYFUNCTION("""COMPUTED_VALUE"""),"05/08/1969")</f>
        <v>05/08/1969</v>
      </c>
      <c r="L3330" s="35" t="str">
        <f>IFERROR(__xludf.DUMMYFUNCTION("""COMPUTED_VALUE"""),"PEREMPUAN")</f>
        <v>PEREMPUAN</v>
      </c>
      <c r="M3330" s="35" t="str">
        <f>IFERROR(__xludf.DUMMYFUNCTION("""COMPUTED_VALUE"""),"JL PARIT H MUKSIN 2 KOMPLEK GRIYA HOSANA B 26")</f>
        <v>JL PARIT H MUKSIN 2 KOMPLEK GRIYA HOSANA B 26</v>
      </c>
      <c r="N3330" s="35" t="str">
        <f>IFERROR(__xludf.DUMMYFUNCTION("""COMPUTED_VALUE"""),"SUNGAI RAYA DALAM")</f>
        <v>SUNGAI RAYA DALAM</v>
      </c>
      <c r="O3330" s="35" t="str">
        <f>IFERROR(__xludf.DUMMYFUNCTION("""COMPUTED_VALUE"""),"SUNGAI RAYA")</f>
        <v>SUNGAI RAYA</v>
      </c>
      <c r="P3330" s="35" t="str">
        <f>IFERROR(__xludf.DUMMYFUNCTION("""COMPUTED_VALUE"""),"KUBU RAYA")</f>
        <v>KUBU RAYA</v>
      </c>
      <c r="Q3330" s="35" t="str">
        <f>IFERROR(__xludf.DUMMYFUNCTION("""COMPUTED_VALUE"""),"KALIMANTAN BARAT")</f>
        <v>KALIMANTAN BARAT</v>
      </c>
      <c r="R3330" s="35" t="str">
        <f>IFERROR(__xludf.DUMMYFUNCTION("""COMPUTED_VALUE"""),"ISLAM")</f>
        <v>ISLAM</v>
      </c>
      <c r="S3330" s="74" t="str">
        <f>IFERROR(__xludf.DUMMYFUNCTION("""COMPUTED_VALUE"""),"PENSIUNAN PNS")</f>
        <v>PENSIUNAN PNS</v>
      </c>
      <c r="T3330" s="35" t="str">
        <f>IFERROR(__xludf.DUMMYFUNCTION("""COMPUTED_VALUE"""),"NYERI PUNGGUNG BELAKANG, TULANG BELAKANG TENGAH, PAHA DEKAT LUTUT, PEGAL LENGAN DAN KSEMUTAN TANGAN")</f>
        <v>NYERI PUNGGUNG BELAKANG, TULANG BELAKANG TENGAH, PAHA DEKAT LUTUT, PEGAL LENGAN DAN KSEMUTAN TANGAN</v>
      </c>
      <c r="U3330" s="35" t="str">
        <f>IFERROR(__xludf.DUMMYFUNCTION("""COMPUTED_VALUE"""),"JALAN PAGI, BANYAK DUDUK WAKTU MASIH KERJA")</f>
        <v>JALAN PAGI, BANYAK DUDUK WAKTU MASIH KERJA</v>
      </c>
      <c r="V3330" s="35" t="str">
        <f>IFERROR(__xludf.DUMMYFUNCTION("""COMPUTED_VALUE"""),"085245109033")</f>
        <v>085245109033</v>
      </c>
      <c r="W3330" s="45"/>
    </row>
    <row r="3331">
      <c r="A3331" s="45"/>
      <c r="B3331" s="35" t="str">
        <f>IFERROR(__xludf.DUMMYFUNCTION("""COMPUTED_VALUE"""),"20/01/2026 10:08:54")</f>
        <v>20/01/2026 10:08:54</v>
      </c>
      <c r="C3331" s="35"/>
      <c r="D3331" s="10">
        <f>IFERROR(__xludf.DUMMYFUNCTION("""COMPUTED_VALUE"""),46042.0)</f>
        <v>46042</v>
      </c>
      <c r="E3331" s="35" t="str">
        <f>IFERROR(__xludf.DUMMYFUNCTION("""COMPUTED_VALUE"""),"01Jan")</f>
        <v>01Jan</v>
      </c>
      <c r="F3331" s="35" t="str">
        <f>IFERROR(__xludf.DUMMYFUNCTION("""COMPUTED_VALUE"""),"2026")</f>
        <v>2026</v>
      </c>
      <c r="G3331" s="35" t="str">
        <f>IFERROR(__xludf.DUMMYFUNCTION("""COMPUTED_VALUE"""),"MARIA AGNES SIREGAR")</f>
        <v>MARIA AGNES SIREGAR</v>
      </c>
      <c r="H3331" s="35" t="str">
        <f>IFERROR(__xludf.DUMMYFUNCTION("""COMPUTED_VALUE"""),"M9626015300")</f>
        <v>M9626015300</v>
      </c>
      <c r="I3331" s="35">
        <f>IFERROR(__xludf.DUMMYFUNCTION("""COMPUTED_VALUE"""),29.0)</f>
        <v>29</v>
      </c>
      <c r="J3331" s="35" t="str">
        <f>IFERROR(__xludf.DUMMYFUNCTION("""COMPUTED_VALUE"""),"25-34 tahun")</f>
        <v>25-34 tahun</v>
      </c>
      <c r="K3331" s="35" t="str">
        <f>IFERROR(__xludf.DUMMYFUNCTION("""COMPUTED_VALUE"""),"22/06/1996")</f>
        <v>22/06/1996</v>
      </c>
      <c r="L3331" s="35" t="str">
        <f>IFERROR(__xludf.DUMMYFUNCTION("""COMPUTED_VALUE"""),"PEREMPUAN")</f>
        <v>PEREMPUAN</v>
      </c>
      <c r="M3331" s="35" t="str">
        <f>IFERROR(__xludf.DUMMYFUNCTION("""COMPUTED_VALUE"""),"DAN. SIMPANG TANJUNG RT 004 RW 000")</f>
        <v>DAN. SIMPANG TANJUNG RT 004 RW 000</v>
      </c>
      <c r="N3331" s="35" t="str">
        <f>IFERROR(__xludf.DUMMYFUNCTION("""COMPUTED_VALUE"""),"BINJAI")</f>
        <v>BINJAI</v>
      </c>
      <c r="O3331" s="35" t="str">
        <f>IFERROR(__xludf.DUMMYFUNCTION("""COMPUTED_VALUE"""),"TAYAN HULU")</f>
        <v>TAYAN HULU</v>
      </c>
      <c r="P3331" s="35" t="str">
        <f>IFERROR(__xludf.DUMMYFUNCTION("""COMPUTED_VALUE"""),"SANGGAU")</f>
        <v>SANGGAU</v>
      </c>
      <c r="Q3331" s="35" t="str">
        <f>IFERROR(__xludf.DUMMYFUNCTION("""COMPUTED_VALUE"""),"KALIMANTAN BARAT")</f>
        <v>KALIMANTAN BARAT</v>
      </c>
      <c r="R3331" s="35" t="str">
        <f>IFERROR(__xludf.DUMMYFUNCTION("""COMPUTED_VALUE"""),"PROTESTAN")</f>
        <v>PROTESTAN</v>
      </c>
      <c r="S3331" s="74" t="str">
        <f>IFERROR(__xludf.DUMMYFUNCTION("""COMPUTED_VALUE"""),"ASN")</f>
        <v>ASN</v>
      </c>
      <c r="T3331" s="35" t="str">
        <f>IFERROR(__xludf.DUMMYFUNCTION("""COMPUTED_VALUE"""),"NYERI LOWER BACK HAMPIR SEMINGGU")</f>
        <v>NYERI LOWER BACK HAMPIR SEMINGGU</v>
      </c>
      <c r="U3331" s="35" t="str">
        <f>IFERROR(__xludf.DUMMYFUNCTION("""COMPUTED_VALUE"""),"ANGKAT BEBAN")</f>
        <v>ANGKAT BEBAN</v>
      </c>
      <c r="V3331" s="35" t="str">
        <f>IFERROR(__xludf.DUMMYFUNCTION("""COMPUTED_VALUE"""),"0895382785300")</f>
        <v>0895382785300</v>
      </c>
      <c r="W3331" s="45"/>
    </row>
    <row r="3332">
      <c r="A3332" s="45"/>
      <c r="B3332" s="35" t="str">
        <f>IFERROR(__xludf.DUMMYFUNCTION("""COMPUTED_VALUE"""),"20/01/2026 11:01:35")</f>
        <v>20/01/2026 11:01:35</v>
      </c>
      <c r="C3332" s="35"/>
      <c r="D3332" s="10">
        <f>IFERROR(__xludf.DUMMYFUNCTION("""COMPUTED_VALUE"""),46042.0)</f>
        <v>46042</v>
      </c>
      <c r="E3332" s="35" t="str">
        <f>IFERROR(__xludf.DUMMYFUNCTION("""COMPUTED_VALUE"""),"01Jan")</f>
        <v>01Jan</v>
      </c>
      <c r="F3332" s="35" t="str">
        <f>IFERROR(__xludf.DUMMYFUNCTION("""COMPUTED_VALUE"""),"2026")</f>
        <v>2026</v>
      </c>
      <c r="G3332" s="35" t="str">
        <f>IFERROR(__xludf.DUMMYFUNCTION("""COMPUTED_VALUE"""),"ARIS BUDIMAN")</f>
        <v>ARIS BUDIMAN</v>
      </c>
      <c r="H3332" s="35" t="str">
        <f>IFERROR(__xludf.DUMMYFUNCTION("""COMPUTED_VALUE"""),"A7726014820")</f>
        <v>A7726014820</v>
      </c>
      <c r="I3332" s="35">
        <f>IFERROR(__xludf.DUMMYFUNCTION("""COMPUTED_VALUE"""),48.0)</f>
        <v>48</v>
      </c>
      <c r="J3332" s="35" t="str">
        <f>IFERROR(__xludf.DUMMYFUNCTION("""COMPUTED_VALUE"""),"&gt; 44 tahun")</f>
        <v>&gt; 44 tahun</v>
      </c>
      <c r="K3332" s="35" t="str">
        <f>IFERROR(__xludf.DUMMYFUNCTION("""COMPUTED_VALUE"""),"21/08/1977")</f>
        <v>21/08/1977</v>
      </c>
      <c r="L3332" s="35" t="str">
        <f>IFERROR(__xludf.DUMMYFUNCTION("""COMPUTED_VALUE"""),"LAKI-LAKI")</f>
        <v>LAKI-LAKI</v>
      </c>
      <c r="M3332" s="35" t="str">
        <f>IFERROR(__xludf.DUMMYFUNCTION("""COMPUTED_VALUE"""),"JL KHATULISTIWA GG BERINGIN III")</f>
        <v>JL KHATULISTIWA GG BERINGIN III</v>
      </c>
      <c r="N3332" s="35" t="str">
        <f>IFERROR(__xludf.DUMMYFUNCTION("""COMPUTED_VALUE"""),"BATULAYANG")</f>
        <v>BATULAYANG</v>
      </c>
      <c r="O3332" s="35" t="str">
        <f>IFERROR(__xludf.DUMMYFUNCTION("""COMPUTED_VALUE"""),"PONTIANAK UTARA")</f>
        <v>PONTIANAK UTARA</v>
      </c>
      <c r="P3332" s="35" t="str">
        <f>IFERROR(__xludf.DUMMYFUNCTION("""COMPUTED_VALUE"""),"PONTIANAK")</f>
        <v>PONTIANAK</v>
      </c>
      <c r="Q3332" s="35" t="str">
        <f>IFERROR(__xludf.DUMMYFUNCTION("""COMPUTED_VALUE"""),"KALIMANTAN BARAT")</f>
        <v>KALIMANTAN BARAT</v>
      </c>
      <c r="R3332" s="35" t="str">
        <f>IFERROR(__xludf.DUMMYFUNCTION("""COMPUTED_VALUE"""),"ISLAM")</f>
        <v>ISLAM</v>
      </c>
      <c r="S3332" s="74" t="str">
        <f>IFERROR(__xludf.DUMMYFUNCTION("""COMPUTED_VALUE"""),"WIRASWASTA")</f>
        <v>WIRASWASTA</v>
      </c>
      <c r="T3332" s="35" t="str">
        <f>IFERROR(__xludf.DUMMYFUNCTION("""COMPUTED_VALUE"""),"PINGGANG BELAKANG")</f>
        <v>PINGGANG BELAKANG</v>
      </c>
      <c r="U3332" s="35" t="str">
        <f>IFERROR(__xludf.DUMMYFUNCTION("""COMPUTED_VALUE"""),"-")</f>
        <v>-</v>
      </c>
      <c r="V3332" s="35" t="str">
        <f>IFERROR(__xludf.DUMMYFUNCTION("""COMPUTED_VALUE"""),"082153554820")</f>
        <v>082153554820</v>
      </c>
      <c r="W3332" s="45"/>
    </row>
    <row r="3333">
      <c r="A3333" s="45"/>
      <c r="B3333" s="35" t="str">
        <f>IFERROR(__xludf.DUMMYFUNCTION("""COMPUTED_VALUE"""),"20/01/2026 13:01:16")</f>
        <v>20/01/2026 13:01:16</v>
      </c>
      <c r="C3333" s="35"/>
      <c r="D3333" s="10">
        <f>IFERROR(__xludf.DUMMYFUNCTION("""COMPUTED_VALUE"""),46042.0)</f>
        <v>46042</v>
      </c>
      <c r="E3333" s="35" t="str">
        <f>IFERROR(__xludf.DUMMYFUNCTION("""COMPUTED_VALUE"""),"01Jan")</f>
        <v>01Jan</v>
      </c>
      <c r="F3333" s="35" t="str">
        <f>IFERROR(__xludf.DUMMYFUNCTION("""COMPUTED_VALUE"""),"2026")</f>
        <v>2026</v>
      </c>
      <c r="G3333" s="35" t="str">
        <f>IFERROR(__xludf.DUMMYFUNCTION("""COMPUTED_VALUE"""),"MUHAMMAD ICHSAN AZEVI")</f>
        <v>MUHAMMAD ICHSAN AZEVI</v>
      </c>
      <c r="H3333" s="35" t="str">
        <f>IFERROR(__xludf.DUMMYFUNCTION("""COMPUTED_VALUE"""),"M9526019971")</f>
        <v>M9526019971</v>
      </c>
      <c r="I3333" s="35">
        <f>IFERROR(__xludf.DUMMYFUNCTION("""COMPUTED_VALUE"""),31.0)</f>
        <v>31</v>
      </c>
      <c r="J3333" s="35" t="str">
        <f>IFERROR(__xludf.DUMMYFUNCTION("""COMPUTED_VALUE"""),"25-34 tahun")</f>
        <v>25-34 tahun</v>
      </c>
      <c r="K3333" s="35" t="str">
        <f>IFERROR(__xludf.DUMMYFUNCTION("""COMPUTED_VALUE"""),"10/04/1995")</f>
        <v>10/04/1995</v>
      </c>
      <c r="L3333" s="35" t="str">
        <f>IFERROR(__xludf.DUMMYFUNCTION("""COMPUTED_VALUE"""),"LAKI-LAKI")</f>
        <v>LAKI-LAKI</v>
      </c>
      <c r="M3333" s="35" t="str">
        <f>IFERROR(__xludf.DUMMYFUNCTION("""COMPUTED_VALUE"""),"KOMPLEK KODAM D/1")</f>
        <v>KOMPLEK KODAM D/1</v>
      </c>
      <c r="N3333" s="35" t="str">
        <f>IFERROR(__xludf.DUMMYFUNCTION("""COMPUTED_VALUE"""),"SURAU GADANG")</f>
        <v>SURAU GADANG</v>
      </c>
      <c r="O3333" s="35" t="str">
        <f>IFERROR(__xludf.DUMMYFUNCTION("""COMPUTED_VALUE"""),"NANGGALO")</f>
        <v>NANGGALO</v>
      </c>
      <c r="P3333" s="35" t="str">
        <f>IFERROR(__xludf.DUMMYFUNCTION("""COMPUTED_VALUE"""),"PADANG")</f>
        <v>PADANG</v>
      </c>
      <c r="Q3333" s="35" t="str">
        <f>IFERROR(__xludf.DUMMYFUNCTION("""COMPUTED_VALUE"""),"SUMATERA BARAT")</f>
        <v>SUMATERA BARAT</v>
      </c>
      <c r="R3333" s="35" t="str">
        <f>IFERROR(__xludf.DUMMYFUNCTION("""COMPUTED_VALUE"""),"ISLAM")</f>
        <v>ISLAM</v>
      </c>
      <c r="S3333" s="74" t="str">
        <f>IFERROR(__xludf.DUMMYFUNCTION("""COMPUTED_VALUE"""),"PNS")</f>
        <v>PNS</v>
      </c>
      <c r="T3333" s="35" t="str">
        <f>IFERROR(__xludf.DUMMYFUNCTION("""COMPUTED_VALUE"""),"SAKIT PERGELANGAN KAKI TERKILIR")</f>
        <v>SAKIT PERGELANGAN KAKI TERKILIR</v>
      </c>
      <c r="U3333" s="35" t="str">
        <f>IFERROR(__xludf.DUMMYFUNCTION("""COMPUTED_VALUE"""),"TIDAK ADA")</f>
        <v>TIDAK ADA</v>
      </c>
      <c r="V3333" s="35" t="str">
        <f>IFERROR(__xludf.DUMMYFUNCTION("""COMPUTED_VALUE"""),"082174909971")</f>
        <v>082174909971</v>
      </c>
      <c r="W3333" s="45"/>
    </row>
    <row r="3334">
      <c r="A3334" s="45"/>
      <c r="B3334" s="35" t="str">
        <f>IFERROR(__xludf.DUMMYFUNCTION("""COMPUTED_VALUE"""),"20/01/2026 13:29:27")</f>
        <v>20/01/2026 13:29:27</v>
      </c>
      <c r="C3334" s="35"/>
      <c r="D3334" s="10">
        <f>IFERROR(__xludf.DUMMYFUNCTION("""COMPUTED_VALUE"""),46042.0)</f>
        <v>46042</v>
      </c>
      <c r="E3334" s="35" t="str">
        <f>IFERROR(__xludf.DUMMYFUNCTION("""COMPUTED_VALUE"""),"01Jan")</f>
        <v>01Jan</v>
      </c>
      <c r="F3334" s="35" t="str">
        <f>IFERROR(__xludf.DUMMYFUNCTION("""COMPUTED_VALUE"""),"2026")</f>
        <v>2026</v>
      </c>
      <c r="G3334" s="35" t="str">
        <f>IFERROR(__xludf.DUMMYFUNCTION("""COMPUTED_VALUE"""),"IRAWATI")</f>
        <v>IRAWATI</v>
      </c>
      <c r="H3334" s="35" t="str">
        <f>IFERROR(__xludf.DUMMYFUNCTION("""COMPUTED_VALUE"""),"I8226013998")</f>
        <v>I8226013998</v>
      </c>
      <c r="I3334" s="35">
        <f>IFERROR(__xludf.DUMMYFUNCTION("""COMPUTED_VALUE"""),44.0)</f>
        <v>44</v>
      </c>
      <c r="J3334" s="35" t="str">
        <f>IFERROR(__xludf.DUMMYFUNCTION("""COMPUTED_VALUE"""),"35-44 tahun")</f>
        <v>35-44 tahun</v>
      </c>
      <c r="K3334" s="35" t="str">
        <f>IFERROR(__xludf.DUMMYFUNCTION("""COMPUTED_VALUE"""),"08/04/1982")</f>
        <v>08/04/1982</v>
      </c>
      <c r="L3334" s="35" t="str">
        <f>IFERROR(__xludf.DUMMYFUNCTION("""COMPUTED_VALUE"""),"PEREMPUAN")</f>
        <v>PEREMPUAN</v>
      </c>
      <c r="M3334" s="35" t="str">
        <f>IFERROR(__xludf.DUMMYFUNCTION("""COMPUTED_VALUE"""),"JL HUSIN HAMZAH GG MANDIRI 1")</f>
        <v>JL HUSIN HAMZAH GG MANDIRI 1</v>
      </c>
      <c r="N3334" s="35" t="str">
        <f>IFERROR(__xludf.DUMMYFUNCTION("""COMPUTED_VALUE"""),"PAL LIMA")</f>
        <v>PAL LIMA</v>
      </c>
      <c r="O3334" s="35" t="str">
        <f>IFERROR(__xludf.DUMMYFUNCTION("""COMPUTED_VALUE"""),"PONTIANAK BARAT")</f>
        <v>PONTIANAK BARAT</v>
      </c>
      <c r="P3334" s="35" t="str">
        <f>IFERROR(__xludf.DUMMYFUNCTION("""COMPUTED_VALUE"""),"PONTIANAK")</f>
        <v>PONTIANAK</v>
      </c>
      <c r="Q3334" s="35" t="str">
        <f>IFERROR(__xludf.DUMMYFUNCTION("""COMPUTED_VALUE"""),"KALIMANTAN BARAT")</f>
        <v>KALIMANTAN BARAT</v>
      </c>
      <c r="R3334" s="35" t="str">
        <f>IFERROR(__xludf.DUMMYFUNCTION("""COMPUTED_VALUE"""),"ISLAM")</f>
        <v>ISLAM</v>
      </c>
      <c r="S3334" s="74" t="str">
        <f>IFERROR(__xludf.DUMMYFUNCTION("""COMPUTED_VALUE"""),"IRT")</f>
        <v>IRT</v>
      </c>
      <c r="T3334" s="35" t="str">
        <f>IFERROR(__xludf.DUMMYFUNCTION("""COMPUTED_VALUE"""),"MATA MELOTOT TERUS GAK BISA TIDUR, DARI DOKTER SYARAF OTOTNYA BEKERJA TERUS")</f>
        <v>MATA MELOTOT TERUS GAK BISA TIDUR, DARI DOKTER SYARAF OTOTNYA BEKERJA TERUS</v>
      </c>
      <c r="U3334" s="35" t="str">
        <f>IFERROR(__xludf.DUMMYFUNCTION("""COMPUTED_VALUE"""),"-")</f>
        <v>-</v>
      </c>
      <c r="V3334" s="35" t="str">
        <f>IFERROR(__xludf.DUMMYFUNCTION("""COMPUTED_VALUE"""),"085332803998")</f>
        <v>085332803998</v>
      </c>
      <c r="W3334" s="45"/>
    </row>
    <row r="3335">
      <c r="A3335" s="45"/>
      <c r="B3335" s="35" t="str">
        <f>IFERROR(__xludf.DUMMYFUNCTION("""COMPUTED_VALUE"""),"20/01/2026 17:49:06")</f>
        <v>20/01/2026 17:49:06</v>
      </c>
      <c r="C3335" s="35"/>
      <c r="D3335" s="10">
        <f>IFERROR(__xludf.DUMMYFUNCTION("""COMPUTED_VALUE"""),46043.0)</f>
        <v>46043</v>
      </c>
      <c r="E3335" s="35" t="str">
        <f>IFERROR(__xludf.DUMMYFUNCTION("""COMPUTED_VALUE"""),"01Jan")</f>
        <v>01Jan</v>
      </c>
      <c r="F3335" s="35" t="str">
        <f>IFERROR(__xludf.DUMMYFUNCTION("""COMPUTED_VALUE"""),"2026")</f>
        <v>2026</v>
      </c>
      <c r="G3335" s="35" t="str">
        <f>IFERROR(__xludf.DUMMYFUNCTION("""COMPUTED_VALUE"""),"EKA KURNIAWATI")</f>
        <v>EKA KURNIAWATI</v>
      </c>
      <c r="H3335" s="35" t="str">
        <f>IFERROR(__xludf.DUMMYFUNCTION("""COMPUTED_VALUE"""),"E8726019292")</f>
        <v>E8726019292</v>
      </c>
      <c r="I3335" s="35">
        <f>IFERROR(__xludf.DUMMYFUNCTION("""COMPUTED_VALUE"""),38.0)</f>
        <v>38</v>
      </c>
      <c r="J3335" s="35" t="str">
        <f>IFERROR(__xludf.DUMMYFUNCTION("""COMPUTED_VALUE"""),"35-44 tahun")</f>
        <v>35-44 tahun</v>
      </c>
      <c r="K3335" s="35" t="str">
        <f>IFERROR(__xludf.DUMMYFUNCTION("""COMPUTED_VALUE"""),"25/06/1987")</f>
        <v>25/06/1987</v>
      </c>
      <c r="L3335" s="35" t="str">
        <f>IFERROR(__xludf.DUMMYFUNCTION("""COMPUTED_VALUE"""),"PEREMPUAN")</f>
        <v>PEREMPUAN</v>
      </c>
      <c r="M3335" s="35" t="str">
        <f>IFERROR(__xludf.DUMMYFUNCTION("""COMPUTED_VALUE"""),"JL. TABRANI AHMAD GG. KENCANA LESTARI 2 ")</f>
        <v>JL. TABRANI AHMAD GG. KENCANA LESTARI 2 </v>
      </c>
      <c r="N3335" s="35" t="str">
        <f>IFERROR(__xludf.DUMMYFUNCTION("""COMPUTED_VALUE"""),"PAL 5")</f>
        <v>PAL 5</v>
      </c>
      <c r="O3335" s="35" t="str">
        <f>IFERROR(__xludf.DUMMYFUNCTION("""COMPUTED_VALUE"""),"PONTIANAK BARAT")</f>
        <v>PONTIANAK BARAT</v>
      </c>
      <c r="P3335" s="35" t="str">
        <f>IFERROR(__xludf.DUMMYFUNCTION("""COMPUTED_VALUE"""),"PONTIANAK")</f>
        <v>PONTIANAK</v>
      </c>
      <c r="Q3335" s="35" t="str">
        <f>IFERROR(__xludf.DUMMYFUNCTION("""COMPUTED_VALUE"""),"KALIMANTAN BARAT")</f>
        <v>KALIMANTAN BARAT</v>
      </c>
      <c r="R3335" s="35" t="str">
        <f>IFERROR(__xludf.DUMMYFUNCTION("""COMPUTED_VALUE"""),"ISLAM")</f>
        <v>ISLAM</v>
      </c>
      <c r="S3335" s="74" t="str">
        <f>IFERROR(__xludf.DUMMYFUNCTION("""COMPUTED_VALUE"""),"IBU RUMAH TANGGA")</f>
        <v>IBU RUMAH TANGGA</v>
      </c>
      <c r="T3335" s="35" t="str">
        <f>IFERROR(__xludf.DUMMYFUNCTION("""COMPUTED_VALUE"""),"SAKIT TULANG BELAKANG, PINGGANG")</f>
        <v>SAKIT TULANG BELAKANG, PINGGANG</v>
      </c>
      <c r="U3335" s="35" t="str">
        <f>IFERROR(__xludf.DUMMYFUNCTION("""COMPUTED_VALUE"""),"BERDIRI DAN DUDUK")</f>
        <v>BERDIRI DAN DUDUK</v>
      </c>
      <c r="V3335" s="35" t="str">
        <f>IFERROR(__xludf.DUMMYFUNCTION("""COMPUTED_VALUE"""),"082154779292")</f>
        <v>082154779292</v>
      </c>
      <c r="W3335" s="45"/>
    </row>
    <row r="3336">
      <c r="A3336" s="45"/>
      <c r="B3336" s="35" t="str">
        <f>IFERROR(__xludf.DUMMYFUNCTION("""COMPUTED_VALUE"""),"21/01/2026 12:58:56")</f>
        <v>21/01/2026 12:58:56</v>
      </c>
      <c r="C3336" s="35"/>
      <c r="D3336" s="10">
        <f>IFERROR(__xludf.DUMMYFUNCTION("""COMPUTED_VALUE"""),46043.0)</f>
        <v>46043</v>
      </c>
      <c r="E3336" s="35" t="str">
        <f>IFERROR(__xludf.DUMMYFUNCTION("""COMPUTED_VALUE"""),"01Jan")</f>
        <v>01Jan</v>
      </c>
      <c r="F3336" s="35" t="str">
        <f>IFERROR(__xludf.DUMMYFUNCTION("""COMPUTED_VALUE"""),"2026")</f>
        <v>2026</v>
      </c>
      <c r="G3336" s="35" t="str">
        <f>IFERROR(__xludf.DUMMYFUNCTION("""COMPUTED_VALUE"""),"ASHRAF")</f>
        <v>ASHRAF</v>
      </c>
      <c r="H3336" s="35" t="str">
        <f>IFERROR(__xludf.DUMMYFUNCTION("""COMPUTED_VALUE"""),"A9726010315")</f>
        <v>A9726010315</v>
      </c>
      <c r="I3336" s="35">
        <f>IFERROR(__xludf.DUMMYFUNCTION("""COMPUTED_VALUE"""),29.0)</f>
        <v>29</v>
      </c>
      <c r="J3336" s="35" t="str">
        <f>IFERROR(__xludf.DUMMYFUNCTION("""COMPUTED_VALUE"""),"25-34 tahun")</f>
        <v>25-34 tahun</v>
      </c>
      <c r="K3336" s="35" t="str">
        <f>IFERROR(__xludf.DUMMYFUNCTION("""COMPUTED_VALUE"""),"21/03/1997")</f>
        <v>21/03/1997</v>
      </c>
      <c r="L3336" s="35" t="str">
        <f>IFERROR(__xludf.DUMMYFUNCTION("""COMPUTED_VALUE"""),"LAKI-LAKI")</f>
        <v>LAKI-LAKI</v>
      </c>
      <c r="M3336" s="35" t="str">
        <f>IFERROR(__xludf.DUMMYFUNCTION("""COMPUTED_VALUE"""),"PODOMORO")</f>
        <v>PODOMORO</v>
      </c>
      <c r="N3336" s="35" t="str">
        <f>IFERROR(__xludf.DUMMYFUNCTION("""COMPUTED_VALUE"""),"SEI BANGKONG")</f>
        <v>SEI BANGKONG</v>
      </c>
      <c r="O3336" s="35" t="str">
        <f>IFERROR(__xludf.DUMMYFUNCTION("""COMPUTED_VALUE"""),"PONTIANAK KOTA")</f>
        <v>PONTIANAK KOTA</v>
      </c>
      <c r="P3336" s="35" t="str">
        <f>IFERROR(__xludf.DUMMYFUNCTION("""COMPUTED_VALUE"""),"PONTIANAK")</f>
        <v>PONTIANAK</v>
      </c>
      <c r="Q3336" s="35" t="str">
        <f>IFERROR(__xludf.DUMMYFUNCTION("""COMPUTED_VALUE"""),"KALIMANTAN BARAT")</f>
        <v>KALIMANTAN BARAT</v>
      </c>
      <c r="R3336" s="35" t="str">
        <f>IFERROR(__xludf.DUMMYFUNCTION("""COMPUTED_VALUE"""),"ISLAM")</f>
        <v>ISLAM</v>
      </c>
      <c r="S3336" s="74" t="str">
        <f>IFERROR(__xludf.DUMMYFUNCTION("""COMPUTED_VALUE"""),"PEGAWAI")</f>
        <v>PEGAWAI</v>
      </c>
      <c r="T3336" s="35" t="str">
        <f>IFERROR(__xludf.DUMMYFUNCTION("""COMPUTED_VALUE"""),"SAKIT LUTUT")</f>
        <v>SAKIT LUTUT</v>
      </c>
      <c r="U3336" s="35" t="str">
        <f>IFERROR(__xludf.DUMMYFUNCTION("""COMPUTED_VALUE"""),"FUTSAL")</f>
        <v>FUTSAL</v>
      </c>
      <c r="V3336" s="35" t="str">
        <f>IFERROR(__xludf.DUMMYFUNCTION("""COMPUTED_VALUE"""),"081348730315")</f>
        <v>081348730315</v>
      </c>
      <c r="W3336" s="45"/>
    </row>
    <row r="3337">
      <c r="A3337" s="45"/>
      <c r="B3337" s="35" t="str">
        <f>IFERROR(__xludf.DUMMYFUNCTION("""COMPUTED_VALUE"""),"21/01/2026 14:16:00")</f>
        <v>21/01/2026 14:16:00</v>
      </c>
      <c r="C3337" s="35"/>
      <c r="D3337" s="10">
        <f>IFERROR(__xludf.DUMMYFUNCTION("""COMPUTED_VALUE"""),46043.0)</f>
        <v>46043</v>
      </c>
      <c r="E3337" s="35" t="str">
        <f>IFERROR(__xludf.DUMMYFUNCTION("""COMPUTED_VALUE"""),"01Jan")</f>
        <v>01Jan</v>
      </c>
      <c r="F3337" s="35" t="str">
        <f>IFERROR(__xludf.DUMMYFUNCTION("""COMPUTED_VALUE"""),"2026")</f>
        <v>2026</v>
      </c>
      <c r="G3337" s="35" t="str">
        <f>IFERROR(__xludf.DUMMYFUNCTION("""COMPUTED_VALUE"""),"HALIJAH 7305")</f>
        <v>HALIJAH 7305</v>
      </c>
      <c r="H3337" s="35" t="str">
        <f>IFERROR(__xludf.DUMMYFUNCTION("""COMPUTED_VALUE"""),"H7326013892")</f>
        <v>H7326013892</v>
      </c>
      <c r="I3337" s="35">
        <f>IFERROR(__xludf.DUMMYFUNCTION("""COMPUTED_VALUE"""),53.0)</f>
        <v>53</v>
      </c>
      <c r="J3337" s="35" t="str">
        <f>IFERROR(__xludf.DUMMYFUNCTION("""COMPUTED_VALUE"""),"&gt; 44 tahun")</f>
        <v>&gt; 44 tahun</v>
      </c>
      <c r="K3337" s="35" t="str">
        <f>IFERROR(__xludf.DUMMYFUNCTION("""COMPUTED_VALUE"""),"17/05/1973")</f>
        <v>17/05/1973</v>
      </c>
      <c r="L3337" s="35" t="str">
        <f>IFERROR(__xludf.DUMMYFUNCTION("""COMPUTED_VALUE"""),"PEREMPUAN")</f>
        <v>PEREMPUAN</v>
      </c>
      <c r="M3337" s="35" t="str">
        <f>IFERROR(__xludf.DUMMYFUNCTION("""COMPUTED_VALUE"""),"JL. NIPAH KUNING DALAM ")</f>
        <v>JL. NIPAH KUNING DALAM </v>
      </c>
      <c r="N3337" s="35" t="str">
        <f>IFERROR(__xludf.DUMMYFUNCTION("""COMPUTED_VALUE"""),"SUNGAI BELIUNG")</f>
        <v>SUNGAI BELIUNG</v>
      </c>
      <c r="O3337" s="35" t="str">
        <f>IFERROR(__xludf.DUMMYFUNCTION("""COMPUTED_VALUE"""),"PONTIANAK BARAT")</f>
        <v>PONTIANAK BARAT</v>
      </c>
      <c r="P3337" s="35" t="str">
        <f>IFERROR(__xludf.DUMMYFUNCTION("""COMPUTED_VALUE"""),"KOTA PONTIANAK")</f>
        <v>KOTA PONTIANAK</v>
      </c>
      <c r="Q3337" s="35" t="str">
        <f>IFERROR(__xludf.DUMMYFUNCTION("""COMPUTED_VALUE"""),"KALIMANTAN BARAT")</f>
        <v>KALIMANTAN BARAT</v>
      </c>
      <c r="R3337" s="35" t="str">
        <f>IFERROR(__xludf.DUMMYFUNCTION("""COMPUTED_VALUE"""),"ISLAM")</f>
        <v>ISLAM</v>
      </c>
      <c r="S3337" s="74" t="str">
        <f>IFERROR(__xludf.DUMMYFUNCTION("""COMPUTED_VALUE"""),"IRT")</f>
        <v>IRT</v>
      </c>
      <c r="T3337" s="35" t="str">
        <f>IFERROR(__xludf.DUMMYFUNCTION("""COMPUTED_VALUE"""),"BELLS PALSY")</f>
        <v>BELLS PALSY</v>
      </c>
      <c r="U3337" s="35" t="str">
        <f>IFERROR(__xludf.DUMMYFUNCTION("""COMPUTED_VALUE"""),"PEKERJAAN RUMAH")</f>
        <v>PEKERJAAN RUMAH</v>
      </c>
      <c r="V3337" s="35" t="str">
        <f>IFERROR(__xludf.DUMMYFUNCTION("""COMPUTED_VALUE"""),"085393693892")</f>
        <v>085393693892</v>
      </c>
      <c r="W3337" s="45"/>
    </row>
    <row r="3338">
      <c r="A3338" s="45"/>
      <c r="B3338" s="35" t="str">
        <f>IFERROR(__xludf.DUMMYFUNCTION("""COMPUTED_VALUE"""),"21/01/2026 14:25:08")</f>
        <v>21/01/2026 14:25:08</v>
      </c>
      <c r="C3338" s="35"/>
      <c r="D3338" s="10">
        <f>IFERROR(__xludf.DUMMYFUNCTION("""COMPUTED_VALUE"""),46043.0)</f>
        <v>46043</v>
      </c>
      <c r="E3338" s="35" t="str">
        <f>IFERROR(__xludf.DUMMYFUNCTION("""COMPUTED_VALUE"""),"01Jan")</f>
        <v>01Jan</v>
      </c>
      <c r="F3338" s="35" t="str">
        <f>IFERROR(__xludf.DUMMYFUNCTION("""COMPUTED_VALUE"""),"2026")</f>
        <v>2026</v>
      </c>
      <c r="G3338" s="35" t="str">
        <f>IFERROR(__xludf.DUMMYFUNCTION("""COMPUTED_VALUE"""),"TYARA HARDYANTI SUHARNO")</f>
        <v>TYARA HARDYANTI SUHARNO</v>
      </c>
      <c r="H3338" s="35" t="str">
        <f>IFERROR(__xludf.DUMMYFUNCTION("""COMPUTED_VALUE"""),"T9626015631")</f>
        <v>T9626015631</v>
      </c>
      <c r="I3338" s="35">
        <f>IFERROR(__xludf.DUMMYFUNCTION("""COMPUTED_VALUE"""),30.0)</f>
        <v>30</v>
      </c>
      <c r="J3338" s="35" t="str">
        <f>IFERROR(__xludf.DUMMYFUNCTION("""COMPUTED_VALUE"""),"25-34 tahun")</f>
        <v>25-34 tahun</v>
      </c>
      <c r="K3338" s="35" t="str">
        <f>IFERROR(__xludf.DUMMYFUNCTION("""COMPUTED_VALUE"""),"03/04/1996")</f>
        <v>03/04/1996</v>
      </c>
      <c r="L3338" s="35" t="str">
        <f>IFERROR(__xludf.DUMMYFUNCTION("""COMPUTED_VALUE"""),"PEREMPUAN")</f>
        <v>PEREMPUAN</v>
      </c>
      <c r="M3338" s="35" t="str">
        <f>IFERROR(__xludf.DUMMYFUNCTION("""COMPUTED_VALUE"""),"JL TEBU GG. LESTARI")</f>
        <v>JL TEBU GG. LESTARI</v>
      </c>
      <c r="N3338" s="35" t="str">
        <f>IFERROR(__xludf.DUMMYFUNCTION("""COMPUTED_VALUE"""),"SUNGAI BELIUNG")</f>
        <v>SUNGAI BELIUNG</v>
      </c>
      <c r="O3338" s="35" t="str">
        <f>IFERROR(__xludf.DUMMYFUNCTION("""COMPUTED_VALUE"""),"PONTIANAK BARAT")</f>
        <v>PONTIANAK BARAT</v>
      </c>
      <c r="P3338" s="35" t="str">
        <f>IFERROR(__xludf.DUMMYFUNCTION("""COMPUTED_VALUE"""),"KOTA PONTIANAK")</f>
        <v>KOTA PONTIANAK</v>
      </c>
      <c r="Q3338" s="35" t="str">
        <f>IFERROR(__xludf.DUMMYFUNCTION("""COMPUTED_VALUE"""),"KALIMANTAN BARAT")</f>
        <v>KALIMANTAN BARAT</v>
      </c>
      <c r="R3338" s="35" t="str">
        <f>IFERROR(__xludf.DUMMYFUNCTION("""COMPUTED_VALUE"""),"ISLAM")</f>
        <v>ISLAM</v>
      </c>
      <c r="S3338" s="74" t="str">
        <f>IFERROR(__xludf.DUMMYFUNCTION("""COMPUTED_VALUE"""),"GURU")</f>
        <v>GURU</v>
      </c>
      <c r="T3338" s="35" t="str">
        <f>IFERROR(__xludf.DUMMYFUNCTION("""COMPUTED_VALUE"""),"BAHU")</f>
        <v>BAHU</v>
      </c>
      <c r="U3338" s="35" t="str">
        <f>IFERROR(__xludf.DUMMYFUNCTION("""COMPUTED_VALUE"""),"-")</f>
        <v>-</v>
      </c>
      <c r="V3338" s="35" t="str">
        <f>IFERROR(__xludf.DUMMYFUNCTION("""COMPUTED_VALUE"""),"085157875631")</f>
        <v>085157875631</v>
      </c>
      <c r="W3338" s="45"/>
    </row>
    <row r="3339">
      <c r="A3339" s="45"/>
      <c r="B3339" s="35" t="str">
        <f>IFERROR(__xludf.DUMMYFUNCTION("""COMPUTED_VALUE"""),"21/01/2026 20:20:35")</f>
        <v>21/01/2026 20:20:35</v>
      </c>
      <c r="C3339" s="35"/>
      <c r="D3339" s="10">
        <f>IFERROR(__xludf.DUMMYFUNCTION("""COMPUTED_VALUE"""),46043.0)</f>
        <v>46043</v>
      </c>
      <c r="E3339" s="35" t="str">
        <f>IFERROR(__xludf.DUMMYFUNCTION("""COMPUTED_VALUE"""),"01Jan")</f>
        <v>01Jan</v>
      </c>
      <c r="F3339" s="35" t="str">
        <f>IFERROR(__xludf.DUMMYFUNCTION("""COMPUTED_VALUE"""),"2026")</f>
        <v>2026</v>
      </c>
      <c r="G3339" s="35" t="str">
        <f>IFERROR(__xludf.DUMMYFUNCTION("""COMPUTED_VALUE"""),"LEYLI NURLITA")</f>
        <v>LEYLI NURLITA</v>
      </c>
      <c r="H3339" s="35" t="str">
        <f>IFERROR(__xludf.DUMMYFUNCTION("""COMPUTED_VALUE"""),"L0526015768")</f>
        <v>L0526015768</v>
      </c>
      <c r="I3339" s="35">
        <f>IFERROR(__xludf.DUMMYFUNCTION("""COMPUTED_VALUE"""),20.0)</f>
        <v>20</v>
      </c>
      <c r="J3339" s="35" t="str">
        <f>IFERROR(__xludf.DUMMYFUNCTION("""COMPUTED_VALUE"""),"18-24 tahun")</f>
        <v>18-24 tahun</v>
      </c>
      <c r="K3339" s="35" t="str">
        <f>IFERROR(__xludf.DUMMYFUNCTION("""COMPUTED_VALUE"""),"13/10/2005")</f>
        <v>13/10/2005</v>
      </c>
      <c r="L3339" s="35" t="str">
        <f>IFERROR(__xludf.DUMMYFUNCTION("""COMPUTED_VALUE"""),"PEREMPUAN")</f>
        <v>PEREMPUAN</v>
      </c>
      <c r="M3339" s="35" t="str">
        <f>IFERROR(__xludf.DUMMYFUNCTION("""COMPUTED_VALUE"""),"DUSUN AMPAR JAYA RT 004 RW 1")</f>
        <v>DUSUN AMPAR JAYA RT 004 RW 1</v>
      </c>
      <c r="N3339" s="35" t="str">
        <f>IFERROR(__xludf.DUMMYFUNCTION("""COMPUTED_VALUE"""),"DESA RARAI")</f>
        <v>DESA RARAI</v>
      </c>
      <c r="O3339" s="35" t="str">
        <f>IFERROR(__xludf.DUMMYFUNCTION("""COMPUTED_VALUE"""),"SUNGAI TEBELIAN")</f>
        <v>SUNGAI TEBELIAN</v>
      </c>
      <c r="P3339" s="35" t="str">
        <f>IFERROR(__xludf.DUMMYFUNCTION("""COMPUTED_VALUE"""),"SINTANG")</f>
        <v>SINTANG</v>
      </c>
      <c r="Q3339" s="35" t="str">
        <f>IFERROR(__xludf.DUMMYFUNCTION("""COMPUTED_VALUE"""),"KALIMANTAN BARAT")</f>
        <v>KALIMANTAN BARAT</v>
      </c>
      <c r="R3339" s="35" t="str">
        <f>IFERROR(__xludf.DUMMYFUNCTION("""COMPUTED_VALUE"""),"ISLAM")</f>
        <v>ISLAM</v>
      </c>
      <c r="S3339" s="74" t="str">
        <f>IFERROR(__xludf.DUMMYFUNCTION("""COMPUTED_VALUE"""),"MAHASISWA")</f>
        <v>MAHASISWA</v>
      </c>
      <c r="T3339" s="35" t="str">
        <f>IFERROR(__xludf.DUMMYFUNCTION("""COMPUTED_VALUE"""),"BAHU MIRING KIRI")</f>
        <v>BAHU MIRING KIRI</v>
      </c>
      <c r="U3339" s="35" t="str">
        <f>IFERROR(__xludf.DUMMYFUNCTION("""COMPUTED_VALUE"""),"GENDONG TAS PUNDAK KIRI")</f>
        <v>GENDONG TAS PUNDAK KIRI</v>
      </c>
      <c r="V3339" s="35" t="str">
        <f>IFERROR(__xludf.DUMMYFUNCTION("""COMPUTED_VALUE"""),"085820025768")</f>
        <v>085820025768</v>
      </c>
      <c r="W3339" s="45"/>
    </row>
    <row r="3340">
      <c r="A3340" s="45"/>
      <c r="B3340" s="35" t="str">
        <f>IFERROR(__xludf.DUMMYFUNCTION("""COMPUTED_VALUE"""),"21/01/2026 21:00:36")</f>
        <v>21/01/2026 21:00:36</v>
      </c>
      <c r="C3340" s="35"/>
      <c r="D3340" s="10">
        <f>IFERROR(__xludf.DUMMYFUNCTION("""COMPUTED_VALUE"""),46043.0)</f>
        <v>46043</v>
      </c>
      <c r="E3340" s="35" t="str">
        <f>IFERROR(__xludf.DUMMYFUNCTION("""COMPUTED_VALUE"""),"01Jan")</f>
        <v>01Jan</v>
      </c>
      <c r="F3340" s="35" t="str">
        <f>IFERROR(__xludf.DUMMYFUNCTION("""COMPUTED_VALUE"""),"2026")</f>
        <v>2026</v>
      </c>
      <c r="G3340" s="35" t="str">
        <f>IFERROR(__xludf.DUMMYFUNCTION("""COMPUTED_VALUE"""),"SUKAMTO")</f>
        <v>SUKAMTO</v>
      </c>
      <c r="H3340" s="35" t="str">
        <f>IFERROR(__xludf.DUMMYFUNCTION("""COMPUTED_VALUE"""),"S9026010088")</f>
        <v>S9026010088</v>
      </c>
      <c r="I3340" s="35">
        <f>IFERROR(__xludf.DUMMYFUNCTION("""COMPUTED_VALUE"""),36.0)</f>
        <v>36</v>
      </c>
      <c r="J3340" s="35" t="str">
        <f>IFERROR(__xludf.DUMMYFUNCTION("""COMPUTED_VALUE"""),"35-44 tahun")</f>
        <v>35-44 tahun</v>
      </c>
      <c r="K3340" s="35" t="str">
        <f>IFERROR(__xludf.DUMMYFUNCTION("""COMPUTED_VALUE"""),"04/02/1990")</f>
        <v>04/02/1990</v>
      </c>
      <c r="L3340" s="35" t="str">
        <f>IFERROR(__xludf.DUMMYFUNCTION("""COMPUTED_VALUE"""),"LAKI-LAKI")</f>
        <v>LAKI-LAKI</v>
      </c>
      <c r="M3340" s="35" t="str">
        <f>IFERROR(__xludf.DUMMYFUNCTION("""COMPUTED_VALUE"""),"JALAN PETANI")</f>
        <v>JALAN PETANI</v>
      </c>
      <c r="N3340" s="35" t="str">
        <f>IFERROR(__xludf.DUMMYFUNCTION("""COMPUTED_VALUE"""),"SUNGAI JAWI")</f>
        <v>SUNGAI JAWI</v>
      </c>
      <c r="O3340" s="35" t="str">
        <f>IFERROR(__xludf.DUMMYFUNCTION("""COMPUTED_VALUE"""),"PONTIANAK KOTA")</f>
        <v>PONTIANAK KOTA</v>
      </c>
      <c r="P3340" s="35" t="str">
        <f>IFERROR(__xludf.DUMMYFUNCTION("""COMPUTED_VALUE"""),"PONTIANAK")</f>
        <v>PONTIANAK</v>
      </c>
      <c r="Q3340" s="35" t="str">
        <f>IFERROR(__xludf.DUMMYFUNCTION("""COMPUTED_VALUE"""),"KALIMANTAN BARAT")</f>
        <v>KALIMANTAN BARAT</v>
      </c>
      <c r="R3340" s="35" t="str">
        <f>IFERROR(__xludf.DUMMYFUNCTION("""COMPUTED_VALUE"""),"PROTESTAN")</f>
        <v>PROTESTAN</v>
      </c>
      <c r="S3340" s="74" t="str">
        <f>IFERROR(__xludf.DUMMYFUNCTION("""COMPUTED_VALUE"""),"KARYAWAN SWASTA")</f>
        <v>KARYAWAN SWASTA</v>
      </c>
      <c r="T3340" s="35" t="str">
        <f>IFERROR(__xludf.DUMMYFUNCTION("""COMPUTED_VALUE"""),"NYERI PADA LENGAN DI POSISI TERTENTU SETELAH ANGKAT BARBEL")</f>
        <v>NYERI PADA LENGAN DI POSISI TERTENTU SETELAH ANGKAT BARBEL</v>
      </c>
      <c r="U3340" s="35" t="str">
        <f>IFERROR(__xludf.DUMMYFUNCTION("""COMPUTED_VALUE"""),"ANGKAT BARBEL")</f>
        <v>ANGKAT BARBEL</v>
      </c>
      <c r="V3340" s="35" t="str">
        <f>IFERROR(__xludf.DUMMYFUNCTION("""COMPUTED_VALUE"""),"08999980088")</f>
        <v>08999980088</v>
      </c>
      <c r="W3340" s="45"/>
    </row>
    <row r="3341">
      <c r="A3341" s="45"/>
      <c r="B3341" s="35" t="str">
        <f>IFERROR(__xludf.DUMMYFUNCTION("""COMPUTED_VALUE"""),"22/01/2026 9:35:31")</f>
        <v>22/01/2026 9:35:31</v>
      </c>
      <c r="C3341" s="35"/>
      <c r="D3341" s="10">
        <f>IFERROR(__xludf.DUMMYFUNCTION("""COMPUTED_VALUE"""),46044.0)</f>
        <v>46044</v>
      </c>
      <c r="E3341" s="35" t="str">
        <f>IFERROR(__xludf.DUMMYFUNCTION("""COMPUTED_VALUE"""),"01Jan")</f>
        <v>01Jan</v>
      </c>
      <c r="F3341" s="35" t="str">
        <f>IFERROR(__xludf.DUMMYFUNCTION("""COMPUTED_VALUE"""),"2026")</f>
        <v>2026</v>
      </c>
      <c r="G3341" s="35" t="str">
        <f>IFERROR(__xludf.DUMMYFUNCTION("""COMPUTED_VALUE"""),"JOESDI NGATIDJAN ")</f>
        <v>JOESDI NGATIDJAN </v>
      </c>
      <c r="H3341" s="35" t="str">
        <f>IFERROR(__xludf.DUMMYFUNCTION("""COMPUTED_VALUE"""),"J6326013988")</f>
        <v>J6326013988</v>
      </c>
      <c r="I3341" s="35">
        <f>IFERROR(__xludf.DUMMYFUNCTION("""COMPUTED_VALUE"""),62.0)</f>
        <v>62</v>
      </c>
      <c r="J3341" s="35" t="str">
        <f>IFERROR(__xludf.DUMMYFUNCTION("""COMPUTED_VALUE"""),"&gt; 44 tahun")</f>
        <v>&gt; 44 tahun</v>
      </c>
      <c r="K3341" s="35" t="str">
        <f>IFERROR(__xludf.DUMMYFUNCTION("""COMPUTED_VALUE"""),"18/10/1963")</f>
        <v>18/10/1963</v>
      </c>
      <c r="L3341" s="35" t="str">
        <f>IFERROR(__xludf.DUMMYFUNCTION("""COMPUTED_VALUE"""),"LAKI-LAKI")</f>
        <v>LAKI-LAKI</v>
      </c>
      <c r="M3341" s="35" t="str">
        <f>IFERROR(__xludf.DUMMYFUNCTION("""COMPUTED_VALUE"""),"JLN KESEHATAN NO 9 RT004/007")</f>
        <v>JLN KESEHATAN NO 9 RT004/007</v>
      </c>
      <c r="N3341" s="35" t="str">
        <f>IFERROR(__xludf.DUMMYFUNCTION("""COMPUTED_VALUE"""),"KOTABARU")</f>
        <v>KOTABARU</v>
      </c>
      <c r="O3341" s="35" t="str">
        <f>IFERROR(__xludf.DUMMYFUNCTION("""COMPUTED_VALUE"""),"PONTIANAK SELATAN ")</f>
        <v>PONTIANAK SELATAN </v>
      </c>
      <c r="P3341" s="35" t="str">
        <f>IFERROR(__xludf.DUMMYFUNCTION("""COMPUTED_VALUE"""),"PONTIANAK ")</f>
        <v>PONTIANAK </v>
      </c>
      <c r="Q3341" s="35" t="str">
        <f>IFERROR(__xludf.DUMMYFUNCTION("""COMPUTED_VALUE"""),"KALIMANTAN BARAT ")</f>
        <v>KALIMANTAN BARAT </v>
      </c>
      <c r="R3341" s="35" t="str">
        <f>IFERROR(__xludf.DUMMYFUNCTION("""COMPUTED_VALUE"""),"KHONGHUCU")</f>
        <v>KHONGHUCU</v>
      </c>
      <c r="S3341" s="74" t="str">
        <f>IFERROR(__xludf.DUMMYFUNCTION("""COMPUTED_VALUE"""),"SWASTA")</f>
        <v>SWASTA</v>
      </c>
      <c r="T3341" s="35" t="str">
        <f>IFERROR(__xludf.DUMMYFUNCTION("""COMPUTED_VALUE"""),"TULANG BELAKANG BAGIAN PINGGANG SAKIT ")</f>
        <v>TULANG BELAKANG BAGIAN PINGGANG SAKIT </v>
      </c>
      <c r="U3341" s="35" t="str">
        <f>IFERROR(__xludf.DUMMYFUNCTION("""COMPUTED_VALUE"""),"JLN PAGI ")</f>
        <v>JLN PAGI </v>
      </c>
      <c r="V3341" s="35" t="str">
        <f>IFERROR(__xludf.DUMMYFUNCTION("""COMPUTED_VALUE"""),"82153153988")</f>
        <v>82153153988</v>
      </c>
      <c r="W3341" s="45"/>
    </row>
    <row r="3342">
      <c r="A3342" s="45"/>
      <c r="B3342" s="35" t="str">
        <f>IFERROR(__xludf.DUMMYFUNCTION("""COMPUTED_VALUE"""),"22/01/2026 15:11:12")</f>
        <v>22/01/2026 15:11:12</v>
      </c>
      <c r="C3342" s="35"/>
      <c r="D3342" s="10">
        <f>IFERROR(__xludf.DUMMYFUNCTION("""COMPUTED_VALUE"""),46044.0)</f>
        <v>46044</v>
      </c>
      <c r="E3342" s="35" t="str">
        <f>IFERROR(__xludf.DUMMYFUNCTION("""COMPUTED_VALUE"""),"01Jan")</f>
        <v>01Jan</v>
      </c>
      <c r="F3342" s="35" t="str">
        <f>IFERROR(__xludf.DUMMYFUNCTION("""COMPUTED_VALUE"""),"2026")</f>
        <v>2026</v>
      </c>
      <c r="G3342" s="35" t="str">
        <f>IFERROR(__xludf.DUMMYFUNCTION("""COMPUTED_VALUE"""),"FLORENSIUS LAYLIM")</f>
        <v>FLORENSIUS LAYLIM</v>
      </c>
      <c r="H3342" s="35" t="str">
        <f>IFERROR(__xludf.DUMMYFUNCTION("""COMPUTED_VALUE"""),"F9626015186")</f>
        <v>F9626015186</v>
      </c>
      <c r="I3342" s="35">
        <f>IFERROR(__xludf.DUMMYFUNCTION("""COMPUTED_VALUE"""),30.0)</f>
        <v>30</v>
      </c>
      <c r="J3342" s="35" t="str">
        <f>IFERROR(__xludf.DUMMYFUNCTION("""COMPUTED_VALUE"""),"25-34 tahun")</f>
        <v>25-34 tahun</v>
      </c>
      <c r="K3342" s="35" t="str">
        <f>IFERROR(__xludf.DUMMYFUNCTION("""COMPUTED_VALUE"""),"06/06/1996")</f>
        <v>06/06/1996</v>
      </c>
      <c r="L3342" s="35" t="str">
        <f>IFERROR(__xludf.DUMMYFUNCTION("""COMPUTED_VALUE"""),"LAKI-LAKI")</f>
        <v>LAKI-LAKI</v>
      </c>
      <c r="M3342" s="35" t="str">
        <f>IFERROR(__xludf.DUMMYFUNCTION("""COMPUTED_VALUE"""),"JL IMAM BONJOL GG. PENITI BARU C1")</f>
        <v>JL IMAM BONJOL GG. PENITI BARU C1</v>
      </c>
      <c r="N3342" s="35" t="str">
        <f>IFERROR(__xludf.DUMMYFUNCTION("""COMPUTED_VALUE"""),"BENUA MELAYU LAUT")</f>
        <v>BENUA MELAYU LAUT</v>
      </c>
      <c r="O3342" s="35" t="str">
        <f>IFERROR(__xludf.DUMMYFUNCTION("""COMPUTED_VALUE"""),"PONTIANAK SELATAN")</f>
        <v>PONTIANAK SELATAN</v>
      </c>
      <c r="P3342" s="35" t="str">
        <f>IFERROR(__xludf.DUMMYFUNCTION("""COMPUTED_VALUE"""),"PONTIANAK")</f>
        <v>PONTIANAK</v>
      </c>
      <c r="Q3342" s="35" t="str">
        <f>IFERROR(__xludf.DUMMYFUNCTION("""COMPUTED_VALUE"""),"KALIMANTAN BARAT")</f>
        <v>KALIMANTAN BARAT</v>
      </c>
      <c r="R3342" s="35" t="str">
        <f>IFERROR(__xludf.DUMMYFUNCTION("""COMPUTED_VALUE"""),"KATOLIK")</f>
        <v>KATOLIK</v>
      </c>
      <c r="S3342" s="74" t="str">
        <f>IFERROR(__xludf.DUMMYFUNCTION("""COMPUTED_VALUE"""),"KARYAWAN SWASTA")</f>
        <v>KARYAWAN SWASTA</v>
      </c>
      <c r="T3342" s="35" t="str">
        <f>IFERROR(__xludf.DUMMYFUNCTION("""COMPUTED_VALUE"""),"KAKI KEMUNGKINAN TERKENA SHIN SPLINTS SAAT LARI")</f>
        <v>KAKI KEMUNGKINAN TERKENA SHIN SPLINTS SAAT LARI</v>
      </c>
      <c r="U3342" s="35" t="str">
        <f>IFERROR(__xludf.DUMMYFUNCTION("""COMPUTED_VALUE"""),"LARI")</f>
        <v>LARI</v>
      </c>
      <c r="V3342" s="35" t="str">
        <f>IFERROR(__xludf.DUMMYFUNCTION("""COMPUTED_VALUE"""),"082114505186")</f>
        <v>082114505186</v>
      </c>
      <c r="W3342" s="45"/>
    </row>
    <row r="3343">
      <c r="A3343" s="45"/>
      <c r="B3343" s="35" t="str">
        <f>IFERROR(__xludf.DUMMYFUNCTION("""COMPUTED_VALUE"""),"22/01/2026 15:37:53")</f>
        <v>22/01/2026 15:37:53</v>
      </c>
      <c r="C3343" s="35"/>
      <c r="D3343" s="10">
        <f>IFERROR(__xludf.DUMMYFUNCTION("""COMPUTED_VALUE"""),46044.0)</f>
        <v>46044</v>
      </c>
      <c r="E3343" s="35" t="str">
        <f>IFERROR(__xludf.DUMMYFUNCTION("""COMPUTED_VALUE"""),"01Jan")</f>
        <v>01Jan</v>
      </c>
      <c r="F3343" s="35" t="str">
        <f>IFERROR(__xludf.DUMMYFUNCTION("""COMPUTED_VALUE"""),"2026")</f>
        <v>2026</v>
      </c>
      <c r="G3343" s="35" t="str">
        <f>IFERROR(__xludf.DUMMYFUNCTION("""COMPUTED_VALUE"""),"YULITA RIANA")</f>
        <v>YULITA RIANA</v>
      </c>
      <c r="H3343" s="35" t="str">
        <f>IFERROR(__xludf.DUMMYFUNCTION("""COMPUTED_VALUE"""),"Y7426018397")</f>
        <v>Y7426018397</v>
      </c>
      <c r="I3343" s="35">
        <f>IFERROR(__xludf.DUMMYFUNCTION("""COMPUTED_VALUE"""),51.0)</f>
        <v>51</v>
      </c>
      <c r="J3343" s="35" t="str">
        <f>IFERROR(__xludf.DUMMYFUNCTION("""COMPUTED_VALUE"""),"&gt; 44 tahun")</f>
        <v>&gt; 44 tahun</v>
      </c>
      <c r="K3343" s="35" t="str">
        <f>IFERROR(__xludf.DUMMYFUNCTION("""COMPUTED_VALUE"""),"03/07/1974")</f>
        <v>03/07/1974</v>
      </c>
      <c r="L3343" s="35" t="str">
        <f>IFERROR(__xludf.DUMMYFUNCTION("""COMPUTED_VALUE"""),"PEREMPUAN")</f>
        <v>PEREMPUAN</v>
      </c>
      <c r="M3343" s="35" t="str">
        <f>IFERROR(__xludf.DUMMYFUNCTION("""COMPUTED_VALUE"""),"JL. H.M. SUWIGNYO I NO.46")</f>
        <v>JL. H.M. SUWIGNYO I NO.46</v>
      </c>
      <c r="N3343" s="35" t="str">
        <f>IFERROR(__xludf.DUMMYFUNCTION("""COMPUTED_VALUE"""),"SEI. BANGKONG ")</f>
        <v>SEI. BANGKONG </v>
      </c>
      <c r="O3343" s="35" t="str">
        <f>IFERROR(__xludf.DUMMYFUNCTION("""COMPUTED_VALUE"""),"PONTIANAK KOTA ")</f>
        <v>PONTIANAK KOTA </v>
      </c>
      <c r="P3343" s="35" t="str">
        <f>IFERROR(__xludf.DUMMYFUNCTION("""COMPUTED_VALUE"""),"KOTA PONTIANAK ")</f>
        <v>KOTA PONTIANAK </v>
      </c>
      <c r="Q3343" s="35" t="str">
        <f>IFERROR(__xludf.DUMMYFUNCTION("""COMPUTED_VALUE"""),"KALIMANTAN BARAT")</f>
        <v>KALIMANTAN BARAT</v>
      </c>
      <c r="R3343" s="35" t="str">
        <f>IFERROR(__xludf.DUMMYFUNCTION("""COMPUTED_VALUE"""),"PROTESTAN")</f>
        <v>PROTESTAN</v>
      </c>
      <c r="S3343" s="74" t="str">
        <f>IFERROR(__xludf.DUMMYFUNCTION("""COMPUTED_VALUE"""),"RUMAH TANGGA")</f>
        <v>RUMAH TANGGA</v>
      </c>
      <c r="T3343" s="35" t="str">
        <f>IFERROR(__xludf.DUMMYFUNCTION("""COMPUTED_VALUE"""),"NAIK TANGGA SAKIT DI BAWAH LUTUT, SAKIT DI BELAKANG DAN SAMPING LUTUT, TERIK DIATAS LUTUT.")</f>
        <v>NAIK TANGGA SAKIT DI BAWAH LUTUT, SAKIT DI BELAKANG DAN SAMPING LUTUT, TERIK DIATAS LUTUT.</v>
      </c>
      <c r="U3343" s="35" t="str">
        <f>IFERROR(__xludf.DUMMYFUNCTION("""COMPUTED_VALUE"""),"PEKERJAAN RUMAH TANGGA ")</f>
        <v>PEKERJAAN RUMAH TANGGA </v>
      </c>
      <c r="V3343" s="35" t="str">
        <f>IFERROR(__xludf.DUMMYFUNCTION("""COMPUTED_VALUE"""),"081348028397")</f>
        <v>081348028397</v>
      </c>
      <c r="W3343" s="45"/>
    </row>
    <row r="3344">
      <c r="A3344" s="45"/>
      <c r="B3344" s="35" t="str">
        <f>IFERROR(__xludf.DUMMYFUNCTION("""COMPUTED_VALUE"""),"22/01/2026 16:11:03")</f>
        <v>22/01/2026 16:11:03</v>
      </c>
      <c r="C3344" s="35"/>
      <c r="D3344" s="10">
        <f>IFERROR(__xludf.DUMMYFUNCTION("""COMPUTED_VALUE"""),46044.0)</f>
        <v>46044</v>
      </c>
      <c r="E3344" s="35" t="str">
        <f>IFERROR(__xludf.DUMMYFUNCTION("""COMPUTED_VALUE"""),"01Jan")</f>
        <v>01Jan</v>
      </c>
      <c r="F3344" s="35" t="str">
        <f>IFERROR(__xludf.DUMMYFUNCTION("""COMPUTED_VALUE"""),"2026")</f>
        <v>2026</v>
      </c>
      <c r="G3344" s="35" t="str">
        <f>IFERROR(__xludf.DUMMYFUNCTION("""COMPUTED_VALUE"""),"IQBAL MAULANA")</f>
        <v>IQBAL MAULANA</v>
      </c>
      <c r="H3344" s="35" t="str">
        <f>IFERROR(__xludf.DUMMYFUNCTION("""COMPUTED_VALUE"""),"I9026017774")</f>
        <v>I9026017774</v>
      </c>
      <c r="I3344" s="35">
        <f>IFERROR(__xludf.DUMMYFUNCTION("""COMPUTED_VALUE"""),36.0)</f>
        <v>36</v>
      </c>
      <c r="J3344" s="35" t="str">
        <f>IFERROR(__xludf.DUMMYFUNCTION("""COMPUTED_VALUE"""),"35-44 tahun")</f>
        <v>35-44 tahun</v>
      </c>
      <c r="K3344" s="35" t="str">
        <f>IFERROR(__xludf.DUMMYFUNCTION("""COMPUTED_VALUE"""),"04/01/1990")</f>
        <v>04/01/1990</v>
      </c>
      <c r="L3344" s="35" t="str">
        <f>IFERROR(__xludf.DUMMYFUNCTION("""COMPUTED_VALUE"""),"LAKI-LAKI")</f>
        <v>LAKI-LAKI</v>
      </c>
      <c r="M3344" s="35" t="str">
        <f>IFERROR(__xludf.DUMMYFUNCTION("""COMPUTED_VALUE"""),"JL ARIF RAHMAN HAMKIN BANJAR, BENUA KAYONG KETAPANG")</f>
        <v>JL ARIF RAHMAN HAMKIN BANJAR, BENUA KAYONG KETAPANG</v>
      </c>
      <c r="N3344" s="35" t="str">
        <f>IFERROR(__xludf.DUMMYFUNCTION("""COMPUTED_VALUE"""),"-")</f>
        <v>-</v>
      </c>
      <c r="O3344" s="35" t="str">
        <f>IFERROR(__xludf.DUMMYFUNCTION("""COMPUTED_VALUE"""),"-")</f>
        <v>-</v>
      </c>
      <c r="P3344" s="35" t="str">
        <f>IFERROR(__xludf.DUMMYFUNCTION("""COMPUTED_VALUE"""),"KETAPANG")</f>
        <v>KETAPANG</v>
      </c>
      <c r="Q3344" s="35" t="str">
        <f>IFERROR(__xludf.DUMMYFUNCTION("""COMPUTED_VALUE"""),"KALIMANTAN BARAT")</f>
        <v>KALIMANTAN BARAT</v>
      </c>
      <c r="R3344" s="35" t="str">
        <f>IFERROR(__xludf.DUMMYFUNCTION("""COMPUTED_VALUE"""),"ISLAM")</f>
        <v>ISLAM</v>
      </c>
      <c r="S3344" s="74" t="str">
        <f>IFERROR(__xludf.DUMMYFUNCTION("""COMPUTED_VALUE"""),"PNS")</f>
        <v>PNS</v>
      </c>
      <c r="T3344" s="35" t="str">
        <f>IFERROR(__xludf.DUMMYFUNCTION("""COMPUTED_VALUE"""),"LUTUT")</f>
        <v>LUTUT</v>
      </c>
      <c r="U3344" s="35" t="str">
        <f>IFERROR(__xludf.DUMMYFUNCTION("""COMPUTED_VALUE"""),"HABIS MAIN BOLA")</f>
        <v>HABIS MAIN BOLA</v>
      </c>
      <c r="V3344" s="35" t="str">
        <f>IFERROR(__xludf.DUMMYFUNCTION("""COMPUTED_VALUE"""),"085290007774")</f>
        <v>085290007774</v>
      </c>
      <c r="W3344" s="45"/>
    </row>
    <row r="3345">
      <c r="A3345" s="45"/>
      <c r="B3345" s="35" t="str">
        <f>IFERROR(__xludf.DUMMYFUNCTION("""COMPUTED_VALUE"""),"22/01/2026 16:10:18")</f>
        <v>22/01/2026 16:10:18</v>
      </c>
      <c r="C3345" s="35"/>
      <c r="D3345" s="10">
        <f>IFERROR(__xludf.DUMMYFUNCTION("""COMPUTED_VALUE"""),46044.0)</f>
        <v>46044</v>
      </c>
      <c r="E3345" s="35" t="str">
        <f>IFERROR(__xludf.DUMMYFUNCTION("""COMPUTED_VALUE"""),"01Jan")</f>
        <v>01Jan</v>
      </c>
      <c r="F3345" s="35" t="str">
        <f>IFERROR(__xludf.DUMMYFUNCTION("""COMPUTED_VALUE"""),"2026")</f>
        <v>2026</v>
      </c>
      <c r="G3345" s="35" t="str">
        <f>IFERROR(__xludf.DUMMYFUNCTION("""COMPUTED_VALUE"""),"ALBERT ALRILLIAN TALINO")</f>
        <v>ALBERT ALRILLIAN TALINO</v>
      </c>
      <c r="H3345" s="35" t="str">
        <f>IFERROR(__xludf.DUMMYFUNCTION("""COMPUTED_VALUE"""),"A0826017010")</f>
        <v>A0826017010</v>
      </c>
      <c r="I3345" s="35">
        <f>IFERROR(__xludf.DUMMYFUNCTION("""COMPUTED_VALUE"""),18.0)</f>
        <v>18</v>
      </c>
      <c r="J3345" s="35" t="str">
        <f>IFERROR(__xludf.DUMMYFUNCTION("""COMPUTED_VALUE"""),"&lt; 18 tahun")</f>
        <v>&lt; 18 tahun</v>
      </c>
      <c r="K3345" s="35" t="str">
        <f>IFERROR(__xludf.DUMMYFUNCTION("""COMPUTED_VALUE"""),"11/04/2008")</f>
        <v>11/04/2008</v>
      </c>
      <c r="L3345" s="35" t="str">
        <f>IFERROR(__xludf.DUMMYFUNCTION("""COMPUTED_VALUE"""),"LAKI-LAKI")</f>
        <v>LAKI-LAKI</v>
      </c>
      <c r="M3345" s="35" t="str">
        <f>IFERROR(__xludf.DUMMYFUNCTION("""COMPUTED_VALUE"""),"JALAN 28 OKTOBER GG KARAKTERDES")</f>
        <v>JALAN 28 OKTOBER GG KARAKTERDES</v>
      </c>
      <c r="N3345" s="35" t="str">
        <f>IFERROR(__xludf.DUMMYFUNCTION("""COMPUTED_VALUE"""),"SIANTAN HULU")</f>
        <v>SIANTAN HULU</v>
      </c>
      <c r="O3345" s="35" t="str">
        <f>IFERROR(__xludf.DUMMYFUNCTION("""COMPUTED_VALUE"""),"PONTIANAK UTARA")</f>
        <v>PONTIANAK UTARA</v>
      </c>
      <c r="P3345" s="35" t="str">
        <f>IFERROR(__xludf.DUMMYFUNCTION("""COMPUTED_VALUE"""),"PONTIANAK")</f>
        <v>PONTIANAK</v>
      </c>
      <c r="Q3345" s="35" t="str">
        <f>IFERROR(__xludf.DUMMYFUNCTION("""COMPUTED_VALUE"""),"KALIMANTAN BARAT")</f>
        <v>KALIMANTAN BARAT</v>
      </c>
      <c r="R3345" s="35" t="str">
        <f>IFERROR(__xludf.DUMMYFUNCTION("""COMPUTED_VALUE"""),"PROTESTAN")</f>
        <v>PROTESTAN</v>
      </c>
      <c r="S3345" s="74" t="str">
        <f>IFERROR(__xludf.DUMMYFUNCTION("""COMPUTED_VALUE"""),"-")</f>
        <v>-</v>
      </c>
      <c r="T3345" s="35" t="str">
        <f>IFERROR(__xludf.DUMMYFUNCTION("""COMPUTED_VALUE"""),"BAHU TURUN")</f>
        <v>BAHU TURUN</v>
      </c>
      <c r="U3345" s="35" t="str">
        <f>IFERROR(__xludf.DUMMYFUNCTION("""COMPUTED_VALUE"""),"OLAHRAGA")</f>
        <v>OLAHRAGA</v>
      </c>
      <c r="V3345" s="35" t="str">
        <f>IFERROR(__xludf.DUMMYFUNCTION("""COMPUTED_VALUE"""),"0895606277010")</f>
        <v>0895606277010</v>
      </c>
      <c r="W3345" s="45"/>
    </row>
    <row r="3346">
      <c r="A3346" s="45"/>
      <c r="B3346" s="35" t="str">
        <f>IFERROR(__xludf.DUMMYFUNCTION("""COMPUTED_VALUE"""),"22/01/2026 10:27:45")</f>
        <v>22/01/2026 10:27:45</v>
      </c>
      <c r="C3346" s="35"/>
      <c r="D3346" s="10">
        <f>IFERROR(__xludf.DUMMYFUNCTION("""COMPUTED_VALUE"""),46044.0)</f>
        <v>46044</v>
      </c>
      <c r="E3346" s="35" t="str">
        <f>IFERROR(__xludf.DUMMYFUNCTION("""COMPUTED_VALUE"""),"01Jan")</f>
        <v>01Jan</v>
      </c>
      <c r="F3346" s="35" t="str">
        <f>IFERROR(__xludf.DUMMYFUNCTION("""COMPUTED_VALUE"""),"2026")</f>
        <v>2026</v>
      </c>
      <c r="G3346" s="35" t="str">
        <f>IFERROR(__xludf.DUMMYFUNCTION("""COMPUTED_VALUE"""),"SANDY KURNIA")</f>
        <v>SANDY KURNIA</v>
      </c>
      <c r="H3346" s="35" t="str">
        <f>IFERROR(__xludf.DUMMYFUNCTION("""COMPUTED_VALUE"""),"S9626013526")</f>
        <v>S9626013526</v>
      </c>
      <c r="I3346" s="35">
        <f>IFERROR(__xludf.DUMMYFUNCTION("""COMPUTED_VALUE"""),30.0)</f>
        <v>30</v>
      </c>
      <c r="J3346" s="35" t="str">
        <f>IFERROR(__xludf.DUMMYFUNCTION("""COMPUTED_VALUE"""),"25-34 tahun")</f>
        <v>25-34 tahun</v>
      </c>
      <c r="K3346" s="35" t="str">
        <f>IFERROR(__xludf.DUMMYFUNCTION("""COMPUTED_VALUE"""),"26/02/1996")</f>
        <v>26/02/1996</v>
      </c>
      <c r="L3346" s="35" t="str">
        <f>IFERROR(__xludf.DUMMYFUNCTION("""COMPUTED_VALUE"""),"LAKI-LAKI")</f>
        <v>LAKI-LAKI</v>
      </c>
      <c r="M3346" s="35" t="str">
        <f>IFERROR(__xludf.DUMMYFUNCTION("""COMPUTED_VALUE"""),"JALAN TARUKO I BLOK R/6")</f>
        <v>JALAN TARUKO I BLOK R/6</v>
      </c>
      <c r="N3346" s="35" t="str">
        <f>IFERROR(__xludf.DUMMYFUNCTION("""COMPUTED_VALUE"""),"KORONG GADANG")</f>
        <v>KORONG GADANG</v>
      </c>
      <c r="O3346" s="35" t="str">
        <f>IFERROR(__xludf.DUMMYFUNCTION("""COMPUTED_VALUE"""),"KURANJI")</f>
        <v>KURANJI</v>
      </c>
      <c r="P3346" s="35" t="str">
        <f>IFERROR(__xludf.DUMMYFUNCTION("""COMPUTED_VALUE"""),"PADANG")</f>
        <v>PADANG</v>
      </c>
      <c r="Q3346" s="35" t="str">
        <f>IFERROR(__xludf.DUMMYFUNCTION("""COMPUTED_VALUE"""),"SUMATERA BARAT")</f>
        <v>SUMATERA BARAT</v>
      </c>
      <c r="R3346" s="35" t="str">
        <f>IFERROR(__xludf.DUMMYFUNCTION("""COMPUTED_VALUE"""),"ISLAM")</f>
        <v>ISLAM</v>
      </c>
      <c r="S3346" s="74" t="str">
        <f>IFERROR(__xludf.DUMMYFUNCTION("""COMPUTED_VALUE"""),"PNS")</f>
        <v>PNS</v>
      </c>
      <c r="T3346" s="35" t="str">
        <f>IFERROR(__xludf.DUMMYFUNCTION("""COMPUTED_VALUE"""),"NYERI DI PINGGANG BELAKANG")</f>
        <v>NYERI DI PINGGANG BELAKANG</v>
      </c>
      <c r="U3346" s="35" t="str">
        <f>IFERROR(__xludf.DUMMYFUNCTION("""COMPUTED_VALUE"""),"LARI")</f>
        <v>LARI</v>
      </c>
      <c r="V3346" s="35" t="str">
        <f>IFERROR(__xludf.DUMMYFUNCTION("""COMPUTED_VALUE"""),"082284953526")</f>
        <v>082284953526</v>
      </c>
      <c r="W3346" s="45"/>
    </row>
    <row r="3347">
      <c r="A3347" s="45"/>
      <c r="B3347" s="35" t="str">
        <f>IFERROR(__xludf.DUMMYFUNCTION("""COMPUTED_VALUE"""),"24/01/2026 10:41:13")</f>
        <v>24/01/2026 10:41:13</v>
      </c>
      <c r="C3347" s="35"/>
      <c r="D3347" s="10">
        <f>IFERROR(__xludf.DUMMYFUNCTION("""COMPUTED_VALUE"""),46046.0)</f>
        <v>46046</v>
      </c>
      <c r="E3347" s="35" t="str">
        <f>IFERROR(__xludf.DUMMYFUNCTION("""COMPUTED_VALUE"""),"01Jan")</f>
        <v>01Jan</v>
      </c>
      <c r="F3347" s="35" t="str">
        <f>IFERROR(__xludf.DUMMYFUNCTION("""COMPUTED_VALUE"""),"2026")</f>
        <v>2026</v>
      </c>
      <c r="G3347" s="35" t="str">
        <f>IFERROR(__xludf.DUMMYFUNCTION("""COMPUTED_VALUE"""),"RUKIAH AGUSTIAWATI")</f>
        <v>RUKIAH AGUSTIAWATI</v>
      </c>
      <c r="H3347" s="35" t="str">
        <f>IFERROR(__xludf.DUMMYFUNCTION("""COMPUTED_VALUE"""),"R7226016379")</f>
        <v>R7226016379</v>
      </c>
      <c r="I3347" s="35">
        <f>IFERROR(__xludf.DUMMYFUNCTION("""COMPUTED_VALUE"""),53.0)</f>
        <v>53</v>
      </c>
      <c r="J3347" s="35" t="str">
        <f>IFERROR(__xludf.DUMMYFUNCTION("""COMPUTED_VALUE"""),"&gt; 44 tahun")</f>
        <v>&gt; 44 tahun</v>
      </c>
      <c r="K3347" s="35" t="str">
        <f>IFERROR(__xludf.DUMMYFUNCTION("""COMPUTED_VALUE"""),"12/08/1972")</f>
        <v>12/08/1972</v>
      </c>
      <c r="L3347" s="35" t="str">
        <f>IFERROR(__xludf.DUMMYFUNCTION("""COMPUTED_VALUE"""),"rah")</f>
        <v>rah</v>
      </c>
      <c r="M3347" s="35" t="str">
        <f>IFERROR(__xludf.DUMMYFUNCTION("""COMPUTED_VALUE"""),"KOMP. SOJA BUDI UTAMA BHAKTI NO.AA12")</f>
        <v>KOMP. SOJA BUDI UTAMA BHAKTI NO.AA12</v>
      </c>
      <c r="N3347" s="35" t="str">
        <f>IFERROR(__xludf.DUMMYFUNCTION("""COMPUTED_VALUE"""),"PAL SEMBILAN")</f>
        <v>PAL SEMBILAN</v>
      </c>
      <c r="O3347" s="35" t="str">
        <f>IFERROR(__xludf.DUMMYFUNCTION("""COMPUTED_VALUE"""),"SUNGAI KAKAP")</f>
        <v>SUNGAI KAKAP</v>
      </c>
      <c r="P3347" s="35" t="str">
        <f>IFERROR(__xludf.DUMMYFUNCTION("""COMPUTED_VALUE"""),"KUBU RAYA")</f>
        <v>KUBU RAYA</v>
      </c>
      <c r="Q3347" s="35" t="str">
        <f>IFERROR(__xludf.DUMMYFUNCTION("""COMPUTED_VALUE"""),"KALIMANTAN BARAT")</f>
        <v>KALIMANTAN BARAT</v>
      </c>
      <c r="R3347" s="35" t="str">
        <f>IFERROR(__xludf.DUMMYFUNCTION("""COMPUTED_VALUE"""),"ISLAM")</f>
        <v>ISLAM</v>
      </c>
      <c r="S3347" s="74" t="str">
        <f>IFERROR(__xludf.DUMMYFUNCTION("""COMPUTED_VALUE"""),"IBU RUMAH TANGGA")</f>
        <v>IBU RUMAH TANGGA</v>
      </c>
      <c r="T3347" s="35" t="str">
        <f>IFERROR(__xludf.DUMMYFUNCTION("""COMPUTED_VALUE"""),"DENGKUL TERASA SAKIT (PERNAH JATUH) NGILU, MUNCUL SEPERTI PEMBENGKAKAN PADA DENGKUL DAN DIBAWAH DENGKUL.")</f>
        <v>DENGKUL TERASA SAKIT (PERNAH JATUH) NGILU, MUNCUL SEPERTI PEMBENGKAKAN PADA DENGKUL DAN DIBAWAH DENGKUL.</v>
      </c>
      <c r="U3347" s="35" t="str">
        <f>IFERROR(__xludf.DUMMYFUNCTION("""COMPUTED_VALUE"""),"IBU RUMAH TANGGA ")</f>
        <v>IBU RUMAH TANGGA </v>
      </c>
      <c r="V3347" s="35" t="str">
        <f>IFERROR(__xludf.DUMMYFUNCTION("""COMPUTED_VALUE"""),"081252176379")</f>
        <v>081252176379</v>
      </c>
      <c r="W3347" s="45"/>
    </row>
    <row r="3348">
      <c r="A3348" s="45"/>
      <c r="B3348" s="35" t="str">
        <f>IFERROR(__xludf.DUMMYFUNCTION("""COMPUTED_VALUE"""),"23/01/2026 21:19:41")</f>
        <v>23/01/2026 21:19:41</v>
      </c>
      <c r="C3348" s="35"/>
      <c r="D3348" s="10">
        <f>IFERROR(__xludf.DUMMYFUNCTION("""COMPUTED_VALUE"""),46046.0)</f>
        <v>46046</v>
      </c>
      <c r="E3348" s="35" t="str">
        <f>IFERROR(__xludf.DUMMYFUNCTION("""COMPUTED_VALUE"""),"01Jan")</f>
        <v>01Jan</v>
      </c>
      <c r="F3348" s="35" t="str">
        <f>IFERROR(__xludf.DUMMYFUNCTION("""COMPUTED_VALUE"""),"2026")</f>
        <v>2026</v>
      </c>
      <c r="G3348" s="35" t="str">
        <f>IFERROR(__xludf.DUMMYFUNCTION("""COMPUTED_VALUE"""),"NELLY FITRIANA")</f>
        <v>NELLY FITRIANA</v>
      </c>
      <c r="H3348" s="35" t="str">
        <f>IFERROR(__xludf.DUMMYFUNCTION("""COMPUTED_VALUE"""),"N8126015757")</f>
        <v>N8126015757</v>
      </c>
      <c r="I3348" s="35">
        <f>IFERROR(__xludf.DUMMYFUNCTION("""COMPUTED_VALUE"""),44.0)</f>
        <v>44</v>
      </c>
      <c r="J3348" s="35" t="str">
        <f>IFERROR(__xludf.DUMMYFUNCTION("""COMPUTED_VALUE"""),"35-44 tahun")</f>
        <v>35-44 tahun</v>
      </c>
      <c r="K3348" s="35" t="str">
        <f>IFERROR(__xludf.DUMMYFUNCTION("""COMPUTED_VALUE"""),"01/08/1981")</f>
        <v>01/08/1981</v>
      </c>
      <c r="L3348" s="35" t="str">
        <f>IFERROR(__xludf.DUMMYFUNCTION("""COMPUTED_VALUE"""),"PEREMPUAN")</f>
        <v>PEREMPUAN</v>
      </c>
      <c r="M3348" s="35" t="str">
        <f>IFERROR(__xludf.DUMMYFUNCTION("""COMPUTED_VALUE"""),"JLN NIRBAYA GG SUKADAMAI DALAM KOTABARU")</f>
        <v>JLN NIRBAYA GG SUKADAMAI DALAM KOTABARU</v>
      </c>
      <c r="N3348" s="35" t="str">
        <f>IFERROR(__xludf.DUMMYFUNCTION("""COMPUTED_VALUE"""),"KOTABARU")</f>
        <v>KOTABARU</v>
      </c>
      <c r="O3348" s="35" t="str">
        <f>IFERROR(__xludf.DUMMYFUNCTION("""COMPUTED_VALUE"""),"PONTIANAK SELATAN")</f>
        <v>PONTIANAK SELATAN</v>
      </c>
      <c r="P3348" s="35" t="str">
        <f>IFERROR(__xludf.DUMMYFUNCTION("""COMPUTED_VALUE"""),"PONTIANAK")</f>
        <v>PONTIANAK</v>
      </c>
      <c r="Q3348" s="35" t="str">
        <f>IFERROR(__xludf.DUMMYFUNCTION("""COMPUTED_VALUE"""),"KALIMANTAN BARAT")</f>
        <v>KALIMANTAN BARAT</v>
      </c>
      <c r="R3348" s="35" t="str">
        <f>IFERROR(__xludf.DUMMYFUNCTION("""COMPUTED_VALUE"""),"ISLAM")</f>
        <v>ISLAM</v>
      </c>
      <c r="S3348" s="74" t="str">
        <f>IFERROR(__xludf.DUMMYFUNCTION("""COMPUTED_VALUE"""),"PNS")</f>
        <v>PNS</v>
      </c>
      <c r="T3348" s="35" t="str">
        <f>IFERROR(__xludf.DUMMYFUNCTION("""COMPUTED_VALUE"""),"NYERI LUTUT")</f>
        <v>NYERI LUTUT</v>
      </c>
      <c r="U3348" s="35" t="str">
        <f>IFERROR(__xludf.DUMMYFUNCTION("""COMPUTED_VALUE"""),"OLAHRAGA GYM DAN JOGGING")</f>
        <v>OLAHRAGA GYM DAN JOGGING</v>
      </c>
      <c r="V3348" s="35" t="str">
        <f>IFERROR(__xludf.DUMMYFUNCTION("""COMPUTED_VALUE"""),"08115675757")</f>
        <v>08115675757</v>
      </c>
      <c r="W3348" s="45"/>
    </row>
    <row r="3349">
      <c r="A3349" s="45"/>
      <c r="B3349" s="35" t="str">
        <f>IFERROR(__xludf.DUMMYFUNCTION("""COMPUTED_VALUE"""),"24/01/2026 11:12:58")</f>
        <v>24/01/2026 11:12:58</v>
      </c>
      <c r="C3349" s="35"/>
      <c r="D3349" s="10">
        <f>IFERROR(__xludf.DUMMYFUNCTION("""COMPUTED_VALUE"""),46046.0)</f>
        <v>46046</v>
      </c>
      <c r="E3349" s="35" t="str">
        <f>IFERROR(__xludf.DUMMYFUNCTION("""COMPUTED_VALUE"""),"01Jan")</f>
        <v>01Jan</v>
      </c>
      <c r="F3349" s="35" t="str">
        <f>IFERROR(__xludf.DUMMYFUNCTION("""COMPUTED_VALUE"""),"2026")</f>
        <v>2026</v>
      </c>
      <c r="G3349" s="35" t="str">
        <f>IFERROR(__xludf.DUMMYFUNCTION("""COMPUTED_VALUE"""),"MICKEL JERRI KURNIAWAN RAY ")</f>
        <v>MICKEL JERRI KURNIAWAN RAY </v>
      </c>
      <c r="H3349" s="35" t="str">
        <f>IFERROR(__xludf.DUMMYFUNCTION("""COMPUTED_VALUE"""),"M9826019887")</f>
        <v>M9826019887</v>
      </c>
      <c r="I3349" s="35">
        <f>IFERROR(__xludf.DUMMYFUNCTION("""COMPUTED_VALUE"""),28.0)</f>
        <v>28</v>
      </c>
      <c r="J3349" s="35" t="str">
        <f>IFERROR(__xludf.DUMMYFUNCTION("""COMPUTED_VALUE"""),"25-34 tahun")</f>
        <v>25-34 tahun</v>
      </c>
      <c r="K3349" s="35" t="str">
        <f>IFERROR(__xludf.DUMMYFUNCTION("""COMPUTED_VALUE"""),"12/01/1998")</f>
        <v>12/01/1998</v>
      </c>
      <c r="L3349" s="35" t="str">
        <f>IFERROR(__xludf.DUMMYFUNCTION("""COMPUTED_VALUE"""),"LAKI-LAKI")</f>
        <v>LAKI-LAKI</v>
      </c>
      <c r="M3349" s="35" t="str">
        <f>IFERROR(__xludf.DUMMYFUNCTION("""COMPUTED_VALUE"""),"JL DANAU SENTARUM GG MAJID 3 ")</f>
        <v>JL DANAU SENTARUM GG MAJID 3 </v>
      </c>
      <c r="N3349" s="35" t="str">
        <f>IFERROR(__xludf.DUMMYFUNCTION("""COMPUTED_VALUE"""),"SUNGAI BANGKONG")</f>
        <v>SUNGAI BANGKONG</v>
      </c>
      <c r="O3349" s="35" t="str">
        <f>IFERROR(__xludf.DUMMYFUNCTION("""COMPUTED_VALUE"""),"PONTIANAK KOTA")</f>
        <v>PONTIANAK KOTA</v>
      </c>
      <c r="P3349" s="35" t="str">
        <f>IFERROR(__xludf.DUMMYFUNCTION("""COMPUTED_VALUE"""),"KOTA PONTIANAK ")</f>
        <v>KOTA PONTIANAK </v>
      </c>
      <c r="Q3349" s="35" t="str">
        <f>IFERROR(__xludf.DUMMYFUNCTION("""COMPUTED_VALUE"""),"KALIMANTAN BARAT ")</f>
        <v>KALIMANTAN BARAT </v>
      </c>
      <c r="R3349" s="35" t="str">
        <f>IFERROR(__xludf.DUMMYFUNCTION("""COMPUTED_VALUE"""),"ISLAM")</f>
        <v>ISLAM</v>
      </c>
      <c r="S3349" s="74" t="str">
        <f>IFERROR(__xludf.DUMMYFUNCTION("""COMPUTED_VALUE"""),"BGN")</f>
        <v>BGN</v>
      </c>
      <c r="T3349" s="35" t="str">
        <f>IFERROR(__xludf.DUMMYFUNCTION("""COMPUTED_VALUE"""),"LUTUT KIRI")</f>
        <v>LUTUT KIRI</v>
      </c>
      <c r="U3349" s="35" t="str">
        <f>IFERROR(__xludf.DUMMYFUNCTION("""COMPUTED_VALUE"""),"SHOLAT DAN JONGKOK")</f>
        <v>SHOLAT DAN JONGKOK</v>
      </c>
      <c r="V3349" s="35" t="str">
        <f>IFERROR(__xludf.DUMMYFUNCTION("""COMPUTED_VALUE"""),"085787279887")</f>
        <v>085787279887</v>
      </c>
      <c r="W3349" s="45"/>
    </row>
    <row r="3350">
      <c r="A3350" s="45"/>
      <c r="B3350" s="35" t="str">
        <f>IFERROR(__xludf.DUMMYFUNCTION("""COMPUTED_VALUE"""),"24/01/2026 13:12:08")</f>
        <v>24/01/2026 13:12:08</v>
      </c>
      <c r="C3350" s="35"/>
      <c r="D3350" s="10">
        <f>IFERROR(__xludf.DUMMYFUNCTION("""COMPUTED_VALUE"""),46046.0)</f>
        <v>46046</v>
      </c>
      <c r="E3350" s="35" t="str">
        <f>IFERROR(__xludf.DUMMYFUNCTION("""COMPUTED_VALUE"""),"01Jan")</f>
        <v>01Jan</v>
      </c>
      <c r="F3350" s="35" t="str">
        <f>IFERROR(__xludf.DUMMYFUNCTION("""COMPUTED_VALUE"""),"2026")</f>
        <v>2026</v>
      </c>
      <c r="G3350" s="35" t="str">
        <f>IFERROR(__xludf.DUMMYFUNCTION("""COMPUTED_VALUE"""),"ISTIKA INDAH NINGSIH")</f>
        <v>ISTIKA INDAH NINGSIH</v>
      </c>
      <c r="H3350" s="35" t="str">
        <f>IFERROR(__xludf.DUMMYFUNCTION("""COMPUTED_VALUE"""),"I9526015922")</f>
        <v>I9526015922</v>
      </c>
      <c r="I3350" s="35">
        <f>IFERROR(__xludf.DUMMYFUNCTION("""COMPUTED_VALUE"""),31.0)</f>
        <v>31</v>
      </c>
      <c r="J3350" s="35" t="str">
        <f>IFERROR(__xludf.DUMMYFUNCTION("""COMPUTED_VALUE"""),"25-34 tahun")</f>
        <v>25-34 tahun</v>
      </c>
      <c r="K3350" s="35" t="str">
        <f>IFERROR(__xludf.DUMMYFUNCTION("""COMPUTED_VALUE"""),"26/03/1995")</f>
        <v>26/03/1995</v>
      </c>
      <c r="L3350" s="35" t="str">
        <f>IFERROR(__xludf.DUMMYFUNCTION("""COMPUTED_VALUE"""),"PEREMPUAN")</f>
        <v>PEREMPUAN</v>
      </c>
      <c r="M3350" s="35" t="str">
        <f>IFERROR(__xludf.DUMMYFUNCTION("""COMPUTED_VALUE"""),"SENDEN CAWAS, KLATEN")</f>
        <v>SENDEN CAWAS, KLATEN</v>
      </c>
      <c r="N3350" s="35" t="str">
        <f>IFERROR(__xludf.DUMMYFUNCTION("""COMPUTED_VALUE"""),"SENDEN")</f>
        <v>SENDEN</v>
      </c>
      <c r="O3350" s="35" t="str">
        <f>IFERROR(__xludf.DUMMYFUNCTION("""COMPUTED_VALUE"""),"CAWAS")</f>
        <v>CAWAS</v>
      </c>
      <c r="P3350" s="35" t="str">
        <f>IFERROR(__xludf.DUMMYFUNCTION("""COMPUTED_VALUE"""),"KLATEN")</f>
        <v>KLATEN</v>
      </c>
      <c r="Q3350" s="35" t="str">
        <f>IFERROR(__xludf.DUMMYFUNCTION("""COMPUTED_VALUE"""),"JAWA TENGAH")</f>
        <v>JAWA TENGAH</v>
      </c>
      <c r="R3350" s="35" t="str">
        <f>IFERROR(__xludf.DUMMYFUNCTION("""COMPUTED_VALUE"""),"ISLAM")</f>
        <v>ISLAM</v>
      </c>
      <c r="S3350" s="74" t="str">
        <f>IFERROR(__xludf.DUMMYFUNCTION("""COMPUTED_VALUE"""),"IBU RUMAH TANGGA")</f>
        <v>IBU RUMAH TANGGA</v>
      </c>
      <c r="T3350" s="35" t="str">
        <f>IFERROR(__xludf.DUMMYFUNCTION("""COMPUTED_VALUE"""),"PANGGUL KANAN SERING NGILU/NYERI SEMENJAK PUNYA ANAK")</f>
        <v>PANGGUL KANAN SERING NGILU/NYERI SEMENJAK PUNYA ANAK</v>
      </c>
      <c r="U3350" s="35" t="str">
        <f>IFERROR(__xludf.DUMMYFUNCTION("""COMPUTED_VALUE"""),"PEKERJAAN RUMAH TANGGA")</f>
        <v>PEKERJAAN RUMAH TANGGA</v>
      </c>
      <c r="V3350" s="35" t="str">
        <f>IFERROR(__xludf.DUMMYFUNCTION("""COMPUTED_VALUE"""),"085778385922")</f>
        <v>085778385922</v>
      </c>
      <c r="W3350" s="45"/>
    </row>
    <row r="3351">
      <c r="A3351" s="45"/>
      <c r="B3351" s="35" t="str">
        <f>IFERROR(__xludf.DUMMYFUNCTION("""COMPUTED_VALUE"""),"24/01/2026 9:35:09")</f>
        <v>24/01/2026 9:35:09</v>
      </c>
      <c r="C3351" s="35"/>
      <c r="D3351" s="10">
        <f>IFERROR(__xludf.DUMMYFUNCTION("""COMPUTED_VALUE"""),46046.0)</f>
        <v>46046</v>
      </c>
      <c r="E3351" s="35" t="str">
        <f>IFERROR(__xludf.DUMMYFUNCTION("""COMPUTED_VALUE"""),"01Jan")</f>
        <v>01Jan</v>
      </c>
      <c r="F3351" s="35" t="str">
        <f>IFERROR(__xludf.DUMMYFUNCTION("""COMPUTED_VALUE"""),"2026")</f>
        <v>2026</v>
      </c>
      <c r="G3351" s="35" t="str">
        <f>IFERROR(__xludf.DUMMYFUNCTION("""COMPUTED_VALUE"""),"SURIATI HALIM")</f>
        <v>SURIATI HALIM</v>
      </c>
      <c r="H3351" s="35" t="str">
        <f>IFERROR(__xludf.DUMMYFUNCTION("""COMPUTED_VALUE"""),"S6426015772")</f>
        <v>S6426015772</v>
      </c>
      <c r="I3351" s="35">
        <f>IFERROR(__xludf.DUMMYFUNCTION("""COMPUTED_VALUE"""),62.0)</f>
        <v>62</v>
      </c>
      <c r="J3351" s="35" t="str">
        <f>IFERROR(__xludf.DUMMYFUNCTION("""COMPUTED_VALUE"""),"&gt; 44 tahun")</f>
        <v>&gt; 44 tahun</v>
      </c>
      <c r="K3351" s="35" t="str">
        <f>IFERROR(__xludf.DUMMYFUNCTION("""COMPUTED_VALUE"""),"29/03/1964")</f>
        <v>29/03/1964</v>
      </c>
      <c r="L3351" s="35" t="str">
        <f>IFERROR(__xludf.DUMMYFUNCTION("""COMPUTED_VALUE"""),"PEREMPUAN")</f>
        <v>PEREMPUAN</v>
      </c>
      <c r="M3351" s="35" t="str">
        <f>IFERROR(__xludf.DUMMYFUNCTION("""COMPUTED_VALUE"""),"KOMPLEK PURI INDAH BLOK F NO 7")</f>
        <v>KOMPLEK PURI INDAH BLOK F NO 7</v>
      </c>
      <c r="N3351" s="35" t="str">
        <f>IFERROR(__xludf.DUMMYFUNCTION("""COMPUTED_VALUE"""),"AKCAYA")</f>
        <v>AKCAYA</v>
      </c>
      <c r="O3351" s="35" t="str">
        <f>IFERROR(__xludf.DUMMYFUNCTION("""COMPUTED_VALUE"""),"PONTIANAK SELATAN")</f>
        <v>PONTIANAK SELATAN</v>
      </c>
      <c r="P3351" s="35" t="str">
        <f>IFERROR(__xludf.DUMMYFUNCTION("""COMPUTED_VALUE"""),"PONTIANAK")</f>
        <v>PONTIANAK</v>
      </c>
      <c r="Q3351" s="35" t="str">
        <f>IFERROR(__xludf.DUMMYFUNCTION("""COMPUTED_VALUE"""),"KALBAR")</f>
        <v>KALBAR</v>
      </c>
      <c r="R3351" s="35" t="str">
        <f>IFERROR(__xludf.DUMMYFUNCTION("""COMPUTED_VALUE"""),"KATOLIK")</f>
        <v>KATOLIK</v>
      </c>
      <c r="S3351" s="74" t="str">
        <f>IFERROR(__xludf.DUMMYFUNCTION("""COMPUTED_VALUE"""),"SWASTA")</f>
        <v>SWASTA</v>
      </c>
      <c r="T3351" s="35" t="str">
        <f>IFERROR(__xludf.DUMMYFUNCTION("""COMPUTED_VALUE"""),"CIDERA OTOT LENGAN KIRI")</f>
        <v>CIDERA OTOT LENGAN KIRI</v>
      </c>
      <c r="U3351" s="35" t="str">
        <f>IFERROR(__xludf.DUMMYFUNCTION("""COMPUTED_VALUE"""),"TIDAK ADA")</f>
        <v>TIDAK ADA</v>
      </c>
      <c r="V3351" s="35" t="str">
        <f>IFERROR(__xludf.DUMMYFUNCTION("""COMPUTED_VALUE"""),"08164985772")</f>
        <v>08164985772</v>
      </c>
      <c r="W3351" s="45"/>
    </row>
    <row r="3352">
      <c r="A3352" s="45"/>
      <c r="B3352" s="35" t="str">
        <f>IFERROR(__xludf.DUMMYFUNCTION("""COMPUTED_VALUE"""),"24/01/2026 13:56:54")</f>
        <v>24/01/2026 13:56:54</v>
      </c>
      <c r="C3352" s="35"/>
      <c r="D3352" s="10">
        <f>IFERROR(__xludf.DUMMYFUNCTION("""COMPUTED_VALUE"""),46046.0)</f>
        <v>46046</v>
      </c>
      <c r="E3352" s="35" t="str">
        <f>IFERROR(__xludf.DUMMYFUNCTION("""COMPUTED_VALUE"""),"01Jan")</f>
        <v>01Jan</v>
      </c>
      <c r="F3352" s="35" t="str">
        <f>IFERROR(__xludf.DUMMYFUNCTION("""COMPUTED_VALUE"""),"2026")</f>
        <v>2026</v>
      </c>
      <c r="G3352" s="35" t="str">
        <f>IFERROR(__xludf.DUMMYFUNCTION("""COMPUTED_VALUE"""),"EVA DESI S PARDEDE")</f>
        <v>EVA DESI S PARDEDE</v>
      </c>
      <c r="H3352" s="35" t="str">
        <f>IFERROR(__xludf.DUMMYFUNCTION("""COMPUTED_VALUE"""),"E7426015052")</f>
        <v>E7426015052</v>
      </c>
      <c r="I3352" s="35">
        <f>IFERROR(__xludf.DUMMYFUNCTION("""COMPUTED_VALUE"""),51.0)</f>
        <v>51</v>
      </c>
      <c r="J3352" s="35" t="str">
        <f>IFERROR(__xludf.DUMMYFUNCTION("""COMPUTED_VALUE"""),"&gt; 44 tahun")</f>
        <v>&gt; 44 tahun</v>
      </c>
      <c r="K3352" s="35" t="str">
        <f>IFERROR(__xludf.DUMMYFUNCTION("""COMPUTED_VALUE"""),"19/08/1974")</f>
        <v>19/08/1974</v>
      </c>
      <c r="L3352" s="35" t="str">
        <f>IFERROR(__xludf.DUMMYFUNCTION("""COMPUTED_VALUE"""),"PEREMPUAN")</f>
        <v>PEREMPUAN</v>
      </c>
      <c r="M3352" s="35" t="str">
        <f>IFERROR(__xludf.DUMMYFUNCTION("""COMPUTED_VALUE"""),"JLN.KARYA .KOMPLEK ARI KARYA INDAH NO 21 A")</f>
        <v>JLN.KARYA .KOMPLEK ARI KARYA INDAH NO 21 A</v>
      </c>
      <c r="N3352" s="35" t="str">
        <f>IFERROR(__xludf.DUMMYFUNCTION("""COMPUTED_VALUE"""),"PAL 9")</f>
        <v>PAL 9</v>
      </c>
      <c r="O3352" s="35" t="str">
        <f>IFERROR(__xludf.DUMMYFUNCTION("""COMPUTED_VALUE"""),"SEI KAKAP")</f>
        <v>SEI KAKAP</v>
      </c>
      <c r="P3352" s="35" t="str">
        <f>IFERROR(__xludf.DUMMYFUNCTION("""COMPUTED_VALUE"""),"KUBU RAYA ")</f>
        <v>KUBU RAYA </v>
      </c>
      <c r="Q3352" s="35" t="str">
        <f>IFERROR(__xludf.DUMMYFUNCTION("""COMPUTED_VALUE"""),"KALIMANTAN BARAT ")</f>
        <v>KALIMANTAN BARAT </v>
      </c>
      <c r="R3352" s="35" t="str">
        <f>IFERROR(__xludf.DUMMYFUNCTION("""COMPUTED_VALUE"""),"PROTESTAN")</f>
        <v>PROTESTAN</v>
      </c>
      <c r="S3352" s="74" t="str">
        <f>IFERROR(__xludf.DUMMYFUNCTION("""COMPUTED_VALUE"""),"SWASTA ")</f>
        <v>SWASTA </v>
      </c>
      <c r="T3352" s="35" t="str">
        <f>IFERROR(__xludf.DUMMYFUNCTION("""COMPUTED_VALUE"""),"STATICA DAN HAMSTRING ")</f>
        <v>STATICA DAN HAMSTRING </v>
      </c>
      <c r="U3352" s="35" t="str">
        <f>IFERROR(__xludf.DUMMYFUNCTION("""COMPUTED_VALUE"""),"JOGING DAN YOGA ")</f>
        <v>JOGING DAN YOGA </v>
      </c>
      <c r="V3352" s="35" t="str">
        <f>IFERROR(__xludf.DUMMYFUNCTION("""COMPUTED_VALUE"""),"082149675052")</f>
        <v>082149675052</v>
      </c>
      <c r="W3352" s="45"/>
    </row>
    <row r="3353">
      <c r="A3353" s="45"/>
      <c r="B3353" s="35" t="str">
        <f>IFERROR(__xludf.DUMMYFUNCTION("""COMPUTED_VALUE"""),"24/01/2026 15:51:41")</f>
        <v>24/01/2026 15:51:41</v>
      </c>
      <c r="C3353" s="35"/>
      <c r="D3353" s="10">
        <f>IFERROR(__xludf.DUMMYFUNCTION("""COMPUTED_VALUE"""),46046.0)</f>
        <v>46046</v>
      </c>
      <c r="E3353" s="35" t="str">
        <f>IFERROR(__xludf.DUMMYFUNCTION("""COMPUTED_VALUE"""),"01Jan")</f>
        <v>01Jan</v>
      </c>
      <c r="F3353" s="35" t="str">
        <f>IFERROR(__xludf.DUMMYFUNCTION("""COMPUTED_VALUE"""),"2026")</f>
        <v>2026</v>
      </c>
      <c r="G3353" s="35" t="str">
        <f>IFERROR(__xludf.DUMMYFUNCTION("""COMPUTED_VALUE"""),"RIZKY PUSPASARI")</f>
        <v>RIZKY PUSPASARI</v>
      </c>
      <c r="H3353" s="35" t="str">
        <f>IFERROR(__xludf.DUMMYFUNCTION("""COMPUTED_VALUE"""),"R9426011660")</f>
        <v>R9426011660</v>
      </c>
      <c r="I3353" s="35">
        <f>IFERROR(__xludf.DUMMYFUNCTION("""COMPUTED_VALUE"""),32.0)</f>
        <v>32</v>
      </c>
      <c r="J3353" s="35" t="str">
        <f>IFERROR(__xludf.DUMMYFUNCTION("""COMPUTED_VALUE"""),"25-34 tahun")</f>
        <v>25-34 tahun</v>
      </c>
      <c r="K3353" s="35" t="str">
        <f>IFERROR(__xludf.DUMMYFUNCTION("""COMPUTED_VALUE"""),"01/06/1994")</f>
        <v>01/06/1994</v>
      </c>
      <c r="L3353" s="35" t="str">
        <f>IFERROR(__xludf.DUMMYFUNCTION("""COMPUTED_VALUE"""),"PEREMPUAN")</f>
        <v>PEREMPUAN</v>
      </c>
      <c r="M3353" s="35" t="str">
        <f>IFERROR(__xludf.DUMMYFUNCTION("""COMPUTED_VALUE"""),"JALAN PURNAMA GG PURNAMA PATRA NO 09")</f>
        <v>JALAN PURNAMA GG PURNAMA PATRA NO 09</v>
      </c>
      <c r="N3353" s="35" t="str">
        <f>IFERROR(__xludf.DUMMYFUNCTION("""COMPUTED_VALUE"""),"AKCAYA")</f>
        <v>AKCAYA</v>
      </c>
      <c r="O3353" s="35" t="str">
        <f>IFERROR(__xludf.DUMMYFUNCTION("""COMPUTED_VALUE"""),"PONTIANAK SELATAN ")</f>
        <v>PONTIANAK SELATAN </v>
      </c>
      <c r="P3353" s="35" t="str">
        <f>IFERROR(__xludf.DUMMYFUNCTION("""COMPUTED_VALUE"""),"KOTA PONTIANAK ")</f>
        <v>KOTA PONTIANAK </v>
      </c>
      <c r="Q3353" s="35" t="str">
        <f>IFERROR(__xludf.DUMMYFUNCTION("""COMPUTED_VALUE"""),"KALIMANTAN BARAT")</f>
        <v>KALIMANTAN BARAT</v>
      </c>
      <c r="R3353" s="35" t="str">
        <f>IFERROR(__xludf.DUMMYFUNCTION("""COMPUTED_VALUE"""),"ISLAM")</f>
        <v>ISLAM</v>
      </c>
      <c r="S3353" s="74" t="str">
        <f>IFERROR(__xludf.DUMMYFUNCTION("""COMPUTED_VALUE"""),"BUMD")</f>
        <v>BUMD</v>
      </c>
      <c r="T3353" s="35" t="str">
        <f>IFERROR(__xludf.DUMMYFUNCTION("""COMPUTED_VALUE"""),"PATAH TULANG KECIL DALAM KAKI SEBELAH KANAN, ")</f>
        <v>PATAH TULANG KECIL DALAM KAKI SEBELAH KANAN, </v>
      </c>
      <c r="U3353" s="35" t="str">
        <f>IFERROR(__xludf.DUMMYFUNCTION("""COMPUTED_VALUE"""),"PADEL, TENIS LAPANGAN ")</f>
        <v>PADEL, TENIS LAPANGAN </v>
      </c>
      <c r="V3353" s="35" t="str">
        <f>IFERROR(__xludf.DUMMYFUNCTION("""COMPUTED_VALUE"""),"082220711660")</f>
        <v>082220711660</v>
      </c>
      <c r="W3353" s="45"/>
    </row>
    <row r="3354">
      <c r="A3354" s="45"/>
      <c r="B3354" s="35" t="str">
        <f>IFERROR(__xludf.DUMMYFUNCTION("""COMPUTED_VALUE"""),"24/01/2026 15:52:16")</f>
        <v>24/01/2026 15:52:16</v>
      </c>
      <c r="C3354" s="35"/>
      <c r="D3354" s="10">
        <f>IFERROR(__xludf.DUMMYFUNCTION("""COMPUTED_VALUE"""),46046.0)</f>
        <v>46046</v>
      </c>
      <c r="E3354" s="35" t="str">
        <f>IFERROR(__xludf.DUMMYFUNCTION("""COMPUTED_VALUE"""),"01Jan")</f>
        <v>01Jan</v>
      </c>
      <c r="F3354" s="35" t="str">
        <f>IFERROR(__xludf.DUMMYFUNCTION("""COMPUTED_VALUE"""),"2026")</f>
        <v>2026</v>
      </c>
      <c r="G3354" s="35" t="str">
        <f>IFERROR(__xludf.DUMMYFUNCTION("""COMPUTED_VALUE"""),"VERONIMUS VALENT FRANSISKUS")</f>
        <v>VERONIMUS VALENT FRANSISKUS</v>
      </c>
      <c r="H3354" s="35" t="str">
        <f>IFERROR(__xludf.DUMMYFUNCTION("""COMPUTED_VALUE"""),"V9626011953")</f>
        <v>V9626011953</v>
      </c>
      <c r="I3354" s="35">
        <f>IFERROR(__xludf.DUMMYFUNCTION("""COMPUTED_VALUE"""),30.0)</f>
        <v>30</v>
      </c>
      <c r="J3354" s="35" t="str">
        <f>IFERROR(__xludf.DUMMYFUNCTION("""COMPUTED_VALUE"""),"25-34 tahun")</f>
        <v>25-34 tahun</v>
      </c>
      <c r="K3354" s="35" t="str">
        <f>IFERROR(__xludf.DUMMYFUNCTION("""COMPUTED_VALUE"""),"25/04/1996")</f>
        <v>25/04/1996</v>
      </c>
      <c r="L3354" s="35" t="str">
        <f>IFERROR(__xludf.DUMMYFUNCTION("""COMPUTED_VALUE"""),"LAKI-LAKI")</f>
        <v>LAKI-LAKI</v>
      </c>
      <c r="M3354" s="35" t="str">
        <f>IFERROR(__xludf.DUMMYFUNCTION("""COMPUTED_VALUE"""),"JL.SEI RAYA DALAM KOMP.VILLA KENCANA BLOK A-4")</f>
        <v>JL.SEI RAYA DALAM KOMP.VILLA KENCANA BLOK A-4</v>
      </c>
      <c r="N3354" s="35" t="str">
        <f>IFERROR(__xludf.DUMMYFUNCTION("""COMPUTED_VALUE"""),"BANGKA BELITUNG DARAT")</f>
        <v>BANGKA BELITUNG DARAT</v>
      </c>
      <c r="O3354" s="35" t="str">
        <f>IFERROR(__xludf.DUMMYFUNCTION("""COMPUTED_VALUE"""),"PONTIANAK TENGGARA")</f>
        <v>PONTIANAK TENGGARA</v>
      </c>
      <c r="P3354" s="35" t="str">
        <f>IFERROR(__xludf.DUMMYFUNCTION("""COMPUTED_VALUE"""),"KOTA PONTIANAK")</f>
        <v>KOTA PONTIANAK</v>
      </c>
      <c r="Q3354" s="35" t="str">
        <f>IFERROR(__xludf.DUMMYFUNCTION("""COMPUTED_VALUE"""),"KALIMANTAN BARAT")</f>
        <v>KALIMANTAN BARAT</v>
      </c>
      <c r="R3354" s="35" t="str">
        <f>IFERROR(__xludf.DUMMYFUNCTION("""COMPUTED_VALUE"""),"KATOLIK")</f>
        <v>KATOLIK</v>
      </c>
      <c r="S3354" s="74" t="str">
        <f>IFERROR(__xludf.DUMMYFUNCTION("""COMPUTED_VALUE"""),"KONTRAKTOR")</f>
        <v>KONTRAKTOR</v>
      </c>
      <c r="T3354" s="35" t="str">
        <f>IFERROR(__xludf.DUMMYFUNCTION("""COMPUTED_VALUE"""),"SAKIT PINGGANG SERING KAMBUH")</f>
        <v>SAKIT PINGGANG SERING KAMBUH</v>
      </c>
      <c r="U3354" s="35" t="str">
        <f>IFERROR(__xludf.DUMMYFUNCTION("""COMPUTED_VALUE"""),"TIDAK ADA HOBBY, SERING SAKIT")</f>
        <v>TIDAK ADA HOBBY, SERING SAKIT</v>
      </c>
      <c r="V3354" s="35" t="str">
        <f>IFERROR(__xludf.DUMMYFUNCTION("""COMPUTED_VALUE"""),"085345041953")</f>
        <v>085345041953</v>
      </c>
      <c r="W3354" s="45"/>
    </row>
    <row r="3355">
      <c r="A3355" s="45"/>
      <c r="B3355" s="35" t="str">
        <f>IFERROR(__xludf.DUMMYFUNCTION("""COMPUTED_VALUE"""),"24/01/2026 17:09:11")</f>
        <v>24/01/2026 17:09:11</v>
      </c>
      <c r="C3355" s="35"/>
      <c r="D3355" s="10">
        <f>IFERROR(__xludf.DUMMYFUNCTION("""COMPUTED_VALUE"""),46046.0)</f>
        <v>46046</v>
      </c>
      <c r="E3355" s="35" t="str">
        <f>IFERROR(__xludf.DUMMYFUNCTION("""COMPUTED_VALUE"""),"01Jan")</f>
        <v>01Jan</v>
      </c>
      <c r="F3355" s="35" t="str">
        <f>IFERROR(__xludf.DUMMYFUNCTION("""COMPUTED_VALUE"""),"2026")</f>
        <v>2026</v>
      </c>
      <c r="G3355" s="35" t="str">
        <f>IFERROR(__xludf.DUMMYFUNCTION("""COMPUTED_VALUE"""),"DIRGA WIJAYA JUMAIL")</f>
        <v>DIRGA WIJAYA JUMAIL</v>
      </c>
      <c r="H3355" s="35" t="str">
        <f>IFERROR(__xludf.DUMMYFUNCTION("""COMPUTED_VALUE"""),"D9926011424")</f>
        <v>D9926011424</v>
      </c>
      <c r="I3355" s="35">
        <f>IFERROR(__xludf.DUMMYFUNCTION("""COMPUTED_VALUE"""),26.0)</f>
        <v>26</v>
      </c>
      <c r="J3355" s="35" t="str">
        <f>IFERROR(__xludf.DUMMYFUNCTION("""COMPUTED_VALUE"""),"25-34 tahun")</f>
        <v>25-34 tahun</v>
      </c>
      <c r="K3355" s="35" t="str">
        <f>IFERROR(__xludf.DUMMYFUNCTION("""COMPUTED_VALUE"""),"11/12/1999")</f>
        <v>11/12/1999</v>
      </c>
      <c r="L3355" s="35" t="str">
        <f>IFERROR(__xludf.DUMMYFUNCTION("""COMPUTED_VALUE"""),"LAKI-LAKI")</f>
        <v>LAKI-LAKI</v>
      </c>
      <c r="M3355" s="35" t="str">
        <f>IFERROR(__xludf.DUMMYFUNCTION("""COMPUTED_VALUE"""),"ARUKA RESIDENCE 5 N0.B6 JL. KELAPA  EMPAT MEMPAWAH")</f>
        <v>ARUKA RESIDENCE 5 N0.B6 JL. KELAPA  EMPAT MEMPAWAH</v>
      </c>
      <c r="N3355" s="35" t="str">
        <f>IFERROR(__xludf.DUMMYFUNCTION("""COMPUTED_VALUE"""),"-")</f>
        <v>-</v>
      </c>
      <c r="O3355" s="35" t="str">
        <f>IFERROR(__xludf.DUMMYFUNCTION("""COMPUTED_VALUE"""),"-")</f>
        <v>-</v>
      </c>
      <c r="P3355" s="35" t="str">
        <f>IFERROR(__xludf.DUMMYFUNCTION("""COMPUTED_VALUE"""),"MEMPAWAH")</f>
        <v>MEMPAWAH</v>
      </c>
      <c r="Q3355" s="35" t="str">
        <f>IFERROR(__xludf.DUMMYFUNCTION("""COMPUTED_VALUE"""),"KALIMANTAN BARAT")</f>
        <v>KALIMANTAN BARAT</v>
      </c>
      <c r="R3355" s="35" t="str">
        <f>IFERROR(__xludf.DUMMYFUNCTION("""COMPUTED_VALUE"""),"ISLAM")</f>
        <v>ISLAM</v>
      </c>
      <c r="S3355" s="74" t="str">
        <f>IFERROR(__xludf.DUMMYFUNCTION("""COMPUTED_VALUE"""),"SWASTA")</f>
        <v>SWASTA</v>
      </c>
      <c r="T3355" s="35" t="str">
        <f>IFERROR(__xludf.DUMMYFUNCTION("""COMPUTED_VALUE"""),"ITB SYNDROME")</f>
        <v>ITB SYNDROME</v>
      </c>
      <c r="U3355" s="35" t="str">
        <f>IFERROR(__xludf.DUMMYFUNCTION("""COMPUTED_VALUE"""),"-")</f>
        <v>-</v>
      </c>
      <c r="V3355" s="35" t="str">
        <f>IFERROR(__xludf.DUMMYFUNCTION("""COMPUTED_VALUE"""),"082198541424")</f>
        <v>082198541424</v>
      </c>
      <c r="W3355" s="45"/>
    </row>
    <row r="3356">
      <c r="A3356" s="45"/>
      <c r="B3356" s="35" t="str">
        <f>IFERROR(__xludf.DUMMYFUNCTION("""COMPUTED_VALUE"""),"24/01/2026 19:15:10")</f>
        <v>24/01/2026 19:15:10</v>
      </c>
      <c r="C3356" s="35"/>
      <c r="D3356" s="10">
        <f>IFERROR(__xludf.DUMMYFUNCTION("""COMPUTED_VALUE"""),46046.0)</f>
        <v>46046</v>
      </c>
      <c r="E3356" s="35" t="str">
        <f>IFERROR(__xludf.DUMMYFUNCTION("""COMPUTED_VALUE"""),"01Jan")</f>
        <v>01Jan</v>
      </c>
      <c r="F3356" s="35" t="str">
        <f>IFERROR(__xludf.DUMMYFUNCTION("""COMPUTED_VALUE"""),"2026")</f>
        <v>2026</v>
      </c>
      <c r="G3356" s="35" t="str">
        <f>IFERROR(__xludf.DUMMYFUNCTION("""COMPUTED_VALUE"""),"MUHAMMAD ABDULLAH AL KAYIS")</f>
        <v>MUHAMMAD ABDULLAH AL KAYIS</v>
      </c>
      <c r="H3356" s="35" t="str">
        <f>IFERROR(__xludf.DUMMYFUNCTION("""COMPUTED_VALUE"""),"M1326010393")</f>
        <v>M1326010393</v>
      </c>
      <c r="I3356" s="35">
        <f>IFERROR(__xludf.DUMMYFUNCTION("""COMPUTED_VALUE"""),12.0)</f>
        <v>12</v>
      </c>
      <c r="J3356" s="35" t="str">
        <f>IFERROR(__xludf.DUMMYFUNCTION("""COMPUTED_VALUE"""),"&lt; 18 tahun")</f>
        <v>&lt; 18 tahun</v>
      </c>
      <c r="K3356" s="35" t="str">
        <f>IFERROR(__xludf.DUMMYFUNCTION("""COMPUTED_VALUE"""),"15/10/2013")</f>
        <v>15/10/2013</v>
      </c>
      <c r="L3356" s="35" t="str">
        <f>IFERROR(__xludf.DUMMYFUNCTION("""COMPUTED_VALUE"""),"LAKI-LAKI")</f>
        <v>LAKI-LAKI</v>
      </c>
      <c r="M3356" s="35" t="str">
        <f>IFERROR(__xludf.DUMMYFUNCTION("""COMPUTED_VALUE"""),"JL H.M SUWIGNYO GG SUWIGNYO 1 NO 28")</f>
        <v>JL H.M SUWIGNYO GG SUWIGNYO 1 NO 28</v>
      </c>
      <c r="N3356" s="35" t="str">
        <f>IFERROR(__xludf.DUMMYFUNCTION("""COMPUTED_VALUE"""),"SEI BANGKONG ")</f>
        <v>SEI BANGKONG </v>
      </c>
      <c r="O3356" s="35" t="str">
        <f>IFERROR(__xludf.DUMMYFUNCTION("""COMPUTED_VALUE"""),"PONTIANAK KOTA")</f>
        <v>PONTIANAK KOTA</v>
      </c>
      <c r="P3356" s="35" t="str">
        <f>IFERROR(__xludf.DUMMYFUNCTION("""COMPUTED_VALUE"""),"KOTA PONTIANAK ")</f>
        <v>KOTA PONTIANAK </v>
      </c>
      <c r="Q3356" s="35" t="str">
        <f>IFERROR(__xludf.DUMMYFUNCTION("""COMPUTED_VALUE"""),"KALIMANTAN BARAT ")</f>
        <v>KALIMANTAN BARAT </v>
      </c>
      <c r="R3356" s="35" t="str">
        <f>IFERROR(__xludf.DUMMYFUNCTION("""COMPUTED_VALUE"""),"ISLAM")</f>
        <v>ISLAM</v>
      </c>
      <c r="S3356" s="74" t="str">
        <f>IFERROR(__xludf.DUMMYFUNCTION("""COMPUTED_VALUE"""),"PELAJAR")</f>
        <v>PELAJAR</v>
      </c>
      <c r="T3356" s="35" t="str">
        <f>IFERROR(__xludf.DUMMYFUNCTION("""COMPUTED_VALUE"""),"ENGSEL BENGKAK")</f>
        <v>ENGSEL BENGKAK</v>
      </c>
      <c r="U3356" s="35" t="str">
        <f>IFERROR(__xludf.DUMMYFUNCTION("""COMPUTED_VALUE"""),"BOLA FUTSAL ")</f>
        <v>BOLA FUTSAL </v>
      </c>
      <c r="V3356" s="35" t="str">
        <f>IFERROR(__xludf.DUMMYFUNCTION("""COMPUTED_VALUE"""),"081345300393")</f>
        <v>081345300393</v>
      </c>
      <c r="W3356" s="45"/>
    </row>
    <row r="3357">
      <c r="A3357" s="45"/>
      <c r="B3357" s="35" t="str">
        <f>IFERROR(__xludf.DUMMYFUNCTION("""COMPUTED_VALUE"""),"24/01/2026 19:23:33")</f>
        <v>24/01/2026 19:23:33</v>
      </c>
      <c r="C3357" s="35"/>
      <c r="D3357" s="10">
        <f>IFERROR(__xludf.DUMMYFUNCTION("""COMPUTED_VALUE"""),46046.0)</f>
        <v>46046</v>
      </c>
      <c r="E3357" s="35" t="str">
        <f>IFERROR(__xludf.DUMMYFUNCTION("""COMPUTED_VALUE"""),"01Jan")</f>
        <v>01Jan</v>
      </c>
      <c r="F3357" s="35" t="str">
        <f>IFERROR(__xludf.DUMMYFUNCTION("""COMPUTED_VALUE"""),"2026")</f>
        <v>2026</v>
      </c>
      <c r="G3357" s="35" t="str">
        <f>IFERROR(__xludf.DUMMYFUNCTION("""COMPUTED_VALUE"""),"NOPIANTO SAPTA BONG")</f>
        <v>NOPIANTO SAPTA BONG</v>
      </c>
      <c r="H3357" s="35" t="str">
        <f>IFERROR(__xludf.DUMMYFUNCTION("""COMPUTED_VALUE"""),"N9926017700")</f>
        <v>N9926017700</v>
      </c>
      <c r="I3357" s="35">
        <f>IFERROR(__xludf.DUMMYFUNCTION("""COMPUTED_VALUE"""),26.0)</f>
        <v>26</v>
      </c>
      <c r="J3357" s="35" t="str">
        <f>IFERROR(__xludf.DUMMYFUNCTION("""COMPUTED_VALUE"""),"25-34 tahun")</f>
        <v>25-34 tahun</v>
      </c>
      <c r="K3357" s="35" t="str">
        <f>IFERROR(__xludf.DUMMYFUNCTION("""COMPUTED_VALUE"""),"07/11/1999")</f>
        <v>07/11/1999</v>
      </c>
      <c r="L3357" s="35" t="str">
        <f>IFERROR(__xludf.DUMMYFUNCTION("""COMPUTED_VALUE"""),"LAKI-LAKI")</f>
        <v>LAKI-LAKI</v>
      </c>
      <c r="M3357" s="35" t="str">
        <f>IFERROR(__xludf.DUMMYFUNCTION("""COMPUTED_VALUE"""),"JALAN APEL  NO. 2")</f>
        <v>JALAN APEL  NO. 2</v>
      </c>
      <c r="N3357" s="35" t="str">
        <f>IFERROR(__xludf.DUMMYFUNCTION("""COMPUTED_VALUE"""),"SUNGAI JAWI LUAR")</f>
        <v>SUNGAI JAWI LUAR</v>
      </c>
      <c r="O3357" s="35" t="str">
        <f>IFERROR(__xludf.DUMMYFUNCTION("""COMPUTED_VALUE"""),"PONTIANAK BARAT")</f>
        <v>PONTIANAK BARAT</v>
      </c>
      <c r="P3357" s="35" t="str">
        <f>IFERROR(__xludf.DUMMYFUNCTION("""COMPUTED_VALUE"""),"KOTA PONTIANAK")</f>
        <v>KOTA PONTIANAK</v>
      </c>
      <c r="Q3357" s="35" t="str">
        <f>IFERROR(__xludf.DUMMYFUNCTION("""COMPUTED_VALUE"""),"KALIMANTAN BARAT")</f>
        <v>KALIMANTAN BARAT</v>
      </c>
      <c r="R3357" s="35" t="str">
        <f>IFERROR(__xludf.DUMMYFUNCTION("""COMPUTED_VALUE"""),"BUDDHA")</f>
        <v>BUDDHA</v>
      </c>
      <c r="S3357" s="74" t="str">
        <f>IFERROR(__xludf.DUMMYFUNCTION("""COMPUTED_VALUE"""),"ADMIN")</f>
        <v>ADMIN</v>
      </c>
      <c r="T3357" s="35" t="str">
        <f>IFERROR(__xludf.DUMMYFUNCTION("""COMPUTED_VALUE"""),"SAKIT DI SEKITARAN BAGIAN ATAS TELAPAK KAKI")</f>
        <v>SAKIT DI SEKITARAN BAGIAN ATAS TELAPAK KAKI</v>
      </c>
      <c r="U3357" s="35" t="str">
        <f>IFERROR(__xludf.DUMMYFUNCTION("""COMPUTED_VALUE"""),"BADMINTON DAN GYM ")</f>
        <v>BADMINTON DAN GYM </v>
      </c>
      <c r="V3357" s="35" t="str">
        <f>IFERROR(__xludf.DUMMYFUNCTION("""COMPUTED_VALUE"""),"082115137700")</f>
        <v>082115137700</v>
      </c>
      <c r="W3357" s="45"/>
    </row>
    <row r="3358">
      <c r="A3358" s="45"/>
      <c r="B3358" s="35" t="str">
        <f>IFERROR(__xludf.DUMMYFUNCTION("""COMPUTED_VALUE"""),"25/01/2026 9:05:40")</f>
        <v>25/01/2026 9:05:40</v>
      </c>
      <c r="C3358" s="35"/>
      <c r="D3358" s="10">
        <f>IFERROR(__xludf.DUMMYFUNCTION("""COMPUTED_VALUE"""),46047.0)</f>
        <v>46047</v>
      </c>
      <c r="E3358" s="35" t="str">
        <f>IFERROR(__xludf.DUMMYFUNCTION("""COMPUTED_VALUE"""),"01Jan")</f>
        <v>01Jan</v>
      </c>
      <c r="F3358" s="35" t="str">
        <f>IFERROR(__xludf.DUMMYFUNCTION("""COMPUTED_VALUE"""),"2026")</f>
        <v>2026</v>
      </c>
      <c r="G3358" s="35" t="str">
        <f>IFERROR(__xludf.DUMMYFUNCTION("""COMPUTED_VALUE"""),"WEHRY")</f>
        <v>WEHRY</v>
      </c>
      <c r="H3358" s="35" t="str">
        <f>IFERROR(__xludf.DUMMYFUNCTION("""COMPUTED_VALUE"""),"W9826018073")</f>
        <v>W9826018073</v>
      </c>
      <c r="I3358" s="35">
        <f>IFERROR(__xludf.DUMMYFUNCTION("""COMPUTED_VALUE"""),28.0)</f>
        <v>28</v>
      </c>
      <c r="J3358" s="35" t="str">
        <f>IFERROR(__xludf.DUMMYFUNCTION("""COMPUTED_VALUE"""),"25-34 tahun")</f>
        <v>25-34 tahun</v>
      </c>
      <c r="K3358" s="75">
        <f>IFERROR(__xludf.DUMMYFUNCTION("""COMPUTED_VALUE"""),35903.0)</f>
        <v>35903</v>
      </c>
      <c r="L3358" s="35" t="str">
        <f>IFERROR(__xludf.DUMMYFUNCTION("""COMPUTED_VALUE"""),"LAKI-LAKI")</f>
        <v>LAKI-LAKI</v>
      </c>
      <c r="M3358" s="35" t="str">
        <f>IFERROR(__xludf.DUMMYFUNCTION("""COMPUTED_VALUE"""),"JL PERINTIS NO 3A")</f>
        <v>JL PERINTIS NO 3A</v>
      </c>
      <c r="N3358" s="35" t="str">
        <f>IFERROR(__xludf.DUMMYFUNCTION("""COMPUTED_VALUE"""),"AKCAYA")</f>
        <v>AKCAYA</v>
      </c>
      <c r="O3358" s="35" t="str">
        <f>IFERROR(__xludf.DUMMYFUNCTION("""COMPUTED_VALUE"""),"PONTIANAK SELATAN")</f>
        <v>PONTIANAK SELATAN</v>
      </c>
      <c r="P3358" s="35" t="str">
        <f>IFERROR(__xludf.DUMMYFUNCTION("""COMPUTED_VALUE"""),"PONTIANAK")</f>
        <v>PONTIANAK</v>
      </c>
      <c r="Q3358" s="35" t="str">
        <f>IFERROR(__xludf.DUMMYFUNCTION("""COMPUTED_VALUE"""),"KALIMANTAN BARAT")</f>
        <v>KALIMANTAN BARAT</v>
      </c>
      <c r="R3358" s="35" t="str">
        <f>IFERROR(__xludf.DUMMYFUNCTION("""COMPUTED_VALUE"""),"BUDDHA")</f>
        <v>BUDDHA</v>
      </c>
      <c r="S3358" s="74" t="str">
        <f>IFERROR(__xludf.DUMMYFUNCTION("""COMPUTED_VALUE"""),"DESAINER")</f>
        <v>DESAINER</v>
      </c>
      <c r="T3358" s="35" t="str">
        <f>IFERROR(__xludf.DUMMYFUNCTION("""COMPUTED_VALUE"""),"TERKILIR / KESELEO")</f>
        <v>TERKILIR / KESELEO</v>
      </c>
      <c r="U3358" s="35" t="str">
        <f>IFERROR(__xludf.DUMMYFUNCTION("""COMPUTED_VALUE"""),"JALAN / JOGGING PAGI")</f>
        <v>JALAN / JOGGING PAGI</v>
      </c>
      <c r="V3358" s="35" t="str">
        <f>IFERROR(__xludf.DUMMYFUNCTION("""COMPUTED_VALUE"""),"082260128073")</f>
        <v>082260128073</v>
      </c>
      <c r="W3358" s="45"/>
    </row>
    <row r="3359">
      <c r="A3359" s="45"/>
      <c r="B3359" s="35" t="str">
        <f>IFERROR(__xludf.DUMMYFUNCTION("""COMPUTED_VALUE"""),"25/01/2026 11:22:44")</f>
        <v>25/01/2026 11:22:44</v>
      </c>
      <c r="C3359" s="35"/>
      <c r="D3359" s="10">
        <f>IFERROR(__xludf.DUMMYFUNCTION("""COMPUTED_VALUE"""),46047.0)</f>
        <v>46047</v>
      </c>
      <c r="E3359" s="35" t="str">
        <f>IFERROR(__xludf.DUMMYFUNCTION("""COMPUTED_VALUE"""),"01Jan")</f>
        <v>01Jan</v>
      </c>
      <c r="F3359" s="35" t="str">
        <f>IFERROR(__xludf.DUMMYFUNCTION("""COMPUTED_VALUE"""),"2026")</f>
        <v>2026</v>
      </c>
      <c r="G3359" s="35" t="str">
        <f>IFERROR(__xludf.DUMMYFUNCTION("""COMPUTED_VALUE"""),"ARY HIDAYATUL FAJRI")</f>
        <v>ARY HIDAYATUL FAJRI</v>
      </c>
      <c r="H3359" s="35" t="str">
        <f>IFERROR(__xludf.DUMMYFUNCTION("""COMPUTED_VALUE"""),"A9526015105")</f>
        <v>A9526015105</v>
      </c>
      <c r="I3359" s="35">
        <f>IFERROR(__xludf.DUMMYFUNCTION("""COMPUTED_VALUE"""),30.0)</f>
        <v>30</v>
      </c>
      <c r="J3359" s="35" t="str">
        <f>IFERROR(__xludf.DUMMYFUNCTION("""COMPUTED_VALUE"""),"25-34 tahun")</f>
        <v>25-34 tahun</v>
      </c>
      <c r="K3359" s="35" t="str">
        <f>IFERROR(__xludf.DUMMYFUNCTION("""COMPUTED_VALUE"""),"16/11/1995")</f>
        <v>16/11/1995</v>
      </c>
      <c r="L3359" s="35" t="str">
        <f>IFERROR(__xludf.DUMMYFUNCTION("""COMPUTED_VALUE"""),"LAKI-LAKI")</f>
        <v>LAKI-LAKI</v>
      </c>
      <c r="M3359" s="35" t="str">
        <f>IFERROR(__xludf.DUMMYFUNCTION("""COMPUTED_VALUE"""),"JALN TEBU NO 7")</f>
        <v>JALN TEBU NO 7</v>
      </c>
      <c r="N3359" s="35" t="str">
        <f>IFERROR(__xludf.DUMMYFUNCTION("""COMPUTED_VALUE"""),"JERUJU")</f>
        <v>JERUJU</v>
      </c>
      <c r="O3359" s="35" t="str">
        <f>IFERROR(__xludf.DUMMYFUNCTION("""COMPUTED_VALUE"""),"SUNGAI BELIUNG")</f>
        <v>SUNGAI BELIUNG</v>
      </c>
      <c r="P3359" s="35" t="str">
        <f>IFERROR(__xludf.DUMMYFUNCTION("""COMPUTED_VALUE"""),"PONTIANAK")</f>
        <v>PONTIANAK</v>
      </c>
      <c r="Q3359" s="35" t="str">
        <f>IFERROR(__xludf.DUMMYFUNCTION("""COMPUTED_VALUE"""),"KALIMANTAN BARAT")</f>
        <v>KALIMANTAN BARAT</v>
      </c>
      <c r="R3359" s="35" t="str">
        <f>IFERROR(__xludf.DUMMYFUNCTION("""COMPUTED_VALUE"""),"ISLAM")</f>
        <v>ISLAM</v>
      </c>
      <c r="S3359" s="74" t="str">
        <f>IFERROR(__xludf.DUMMYFUNCTION("""COMPUTED_VALUE"""),"SWASTA")</f>
        <v>SWASTA</v>
      </c>
      <c r="T3359" s="35" t="str">
        <f>IFERROR(__xludf.DUMMYFUNCTION("""COMPUTED_VALUE"""),"LUTUT NYERI")</f>
        <v>LUTUT NYERI</v>
      </c>
      <c r="U3359" s="35" t="str">
        <f>IFERROR(__xludf.DUMMYFUNCTION("""COMPUTED_VALUE"""),"BASKET")</f>
        <v>BASKET</v>
      </c>
      <c r="V3359" s="35" t="str">
        <f>IFERROR(__xludf.DUMMYFUNCTION("""COMPUTED_VALUE"""),"081649325105")</f>
        <v>081649325105</v>
      </c>
      <c r="W3359" s="45"/>
    </row>
    <row r="3360">
      <c r="A3360" s="45"/>
      <c r="B3360" s="35" t="str">
        <f>IFERROR(__xludf.DUMMYFUNCTION("""COMPUTED_VALUE"""),"25/01/2026 15:31:27")</f>
        <v>25/01/2026 15:31:27</v>
      </c>
      <c r="C3360" s="35"/>
      <c r="D3360" s="10">
        <f>IFERROR(__xludf.DUMMYFUNCTION("""COMPUTED_VALUE"""),46047.0)</f>
        <v>46047</v>
      </c>
      <c r="E3360" s="35" t="str">
        <f>IFERROR(__xludf.DUMMYFUNCTION("""COMPUTED_VALUE"""),"01Jan")</f>
        <v>01Jan</v>
      </c>
      <c r="F3360" s="35" t="str">
        <f>IFERROR(__xludf.DUMMYFUNCTION("""COMPUTED_VALUE"""),"2026")</f>
        <v>2026</v>
      </c>
      <c r="G3360" s="35" t="str">
        <f>IFERROR(__xludf.DUMMYFUNCTION("""COMPUTED_VALUE"""),"NAFLA RAIHANA QONITA HARDYAN")</f>
        <v>NAFLA RAIHANA QONITA HARDYAN</v>
      </c>
      <c r="H3360" s="35" t="str">
        <f>IFERROR(__xludf.DUMMYFUNCTION("""COMPUTED_VALUE"""),"N1026013123")</f>
        <v>N1026013123</v>
      </c>
      <c r="I3360" s="35">
        <f>IFERROR(__xludf.DUMMYFUNCTION("""COMPUTED_VALUE"""),15.0)</f>
        <v>15</v>
      </c>
      <c r="J3360" s="35" t="str">
        <f>IFERROR(__xludf.DUMMYFUNCTION("""COMPUTED_VALUE"""),"&lt; 18 tahun")</f>
        <v>&lt; 18 tahun</v>
      </c>
      <c r="K3360" s="35" t="str">
        <f>IFERROR(__xludf.DUMMYFUNCTION("""COMPUTED_VALUE"""),"03/09/2010")</f>
        <v>03/09/2010</v>
      </c>
      <c r="L3360" s="35" t="str">
        <f>IFERROR(__xludf.DUMMYFUNCTION("""COMPUTED_VALUE"""),"PEREMPUAN")</f>
        <v>PEREMPUAN</v>
      </c>
      <c r="M3360" s="35" t="str">
        <f>IFERROR(__xludf.DUMMYFUNCTION("""COMPUTED_VALUE"""),"JL. SUNGAI RAYA DALAM KOMPLE MITRA INDAH UTAMA 1 NO A 11")</f>
        <v>JL. SUNGAI RAYA DALAM KOMPLE MITRA INDAH UTAMA 1 NO A 11</v>
      </c>
      <c r="N3360" s="35" t="str">
        <f>IFERROR(__xludf.DUMMYFUNCTION("""COMPUTED_VALUE"""),"PONTIANAK KOTA")</f>
        <v>PONTIANAK KOTA</v>
      </c>
      <c r="O3360" s="35" t="str">
        <f>IFERROR(__xludf.DUMMYFUNCTION("""COMPUTED_VALUE"""),"PONTIANAK KOTA")</f>
        <v>PONTIANAK KOTA</v>
      </c>
      <c r="P3360" s="35" t="str">
        <f>IFERROR(__xludf.DUMMYFUNCTION("""COMPUTED_VALUE"""),"KOTA PONTIANAK")</f>
        <v>KOTA PONTIANAK</v>
      </c>
      <c r="Q3360" s="35" t="str">
        <f>IFERROR(__xludf.DUMMYFUNCTION("""COMPUTED_VALUE"""),"KALIMANTAN BARAT")</f>
        <v>KALIMANTAN BARAT</v>
      </c>
      <c r="R3360" s="35" t="str">
        <f>IFERROR(__xludf.DUMMYFUNCTION("""COMPUTED_VALUE"""),"ISLAM")</f>
        <v>ISLAM</v>
      </c>
      <c r="S3360" s="74" t="str">
        <f>IFERROR(__xludf.DUMMYFUNCTION("""COMPUTED_VALUE"""),"MASIH SEKOLAH")</f>
        <v>MASIH SEKOLAH</v>
      </c>
      <c r="T3360" s="35" t="str">
        <f>IFERROR(__xludf.DUMMYFUNCTION("""COMPUTED_VALUE"""),"BAGIAN BAHU SAKIT SERING NYERI DAN NGILU, UDAH KERASA SELAMA 4/5 HARI, MERASA SUSAH DI GERAKKAN DAN UDAH TIDAK KUAT MENJADI TUMPUAN ATAU TERKENA TEKANAN YG KUAT, INI SAKIT NYA LUMAYAN MENGGANGU SAYA SAAT ADA LATIHAN ATAU PERTANDINGAN BASKET")</f>
        <v>BAGIAN BAHU SAKIT SERING NYERI DAN NGILU, UDAH KERASA SELAMA 4/5 HARI, MERASA SUSAH DI GERAKKAN DAN UDAH TIDAK KUAT MENJADI TUMPUAN ATAU TERKENA TEKANAN YG KUAT, INI SAKIT NYA LUMAYAN MENGGANGU SAYA SAAT ADA LATIHAN ATAU PERTANDINGAN BASKET</v>
      </c>
      <c r="U3360" s="35" t="str">
        <f>IFERROR(__xludf.DUMMYFUNCTION("""COMPUTED_VALUE"""),"HOBI BASKET DAN KEGIATAN SEHARI” LATIHAN BASKET ")</f>
        <v>HOBI BASKET DAN KEGIATAN SEHARI” LATIHAN BASKET </v>
      </c>
      <c r="V3360" s="35" t="str">
        <f>IFERROR(__xludf.DUMMYFUNCTION("""COMPUTED_VALUE"""),"0811563123")</f>
        <v>0811563123</v>
      </c>
      <c r="W3360" s="45"/>
    </row>
    <row r="3361">
      <c r="A3361" s="45"/>
      <c r="B3361" s="35" t="str">
        <f>IFERROR(__xludf.DUMMYFUNCTION("""COMPUTED_VALUE"""),"25/01/2026 15:45:29")</f>
        <v>25/01/2026 15:45:29</v>
      </c>
      <c r="C3361" s="35"/>
      <c r="D3361" s="10">
        <f>IFERROR(__xludf.DUMMYFUNCTION("""COMPUTED_VALUE"""),46047.0)</f>
        <v>46047</v>
      </c>
      <c r="E3361" s="35" t="str">
        <f>IFERROR(__xludf.DUMMYFUNCTION("""COMPUTED_VALUE"""),"01Jan")</f>
        <v>01Jan</v>
      </c>
      <c r="F3361" s="35" t="str">
        <f>IFERROR(__xludf.DUMMYFUNCTION("""COMPUTED_VALUE"""),"2026")</f>
        <v>2026</v>
      </c>
      <c r="G3361" s="35" t="str">
        <f>IFERROR(__xludf.DUMMYFUNCTION("""COMPUTED_VALUE"""),"LUSIANA MAENAH")</f>
        <v>LUSIANA MAENAH</v>
      </c>
      <c r="H3361" s="35" t="str">
        <f>IFERROR(__xludf.DUMMYFUNCTION("""COMPUTED_VALUE"""),"L6926011011")</f>
        <v>L6926011011</v>
      </c>
      <c r="I3361" s="35">
        <f>IFERROR(__xludf.DUMMYFUNCTION("""COMPUTED_VALUE"""),57.0)</f>
        <v>57</v>
      </c>
      <c r="J3361" s="35" t="str">
        <f>IFERROR(__xludf.DUMMYFUNCTION("""COMPUTED_VALUE"""),"&gt; 44 tahun")</f>
        <v>&gt; 44 tahun</v>
      </c>
      <c r="K3361" s="75">
        <f>IFERROR(__xludf.DUMMYFUNCTION("""COMPUTED_VALUE"""),25294.0)</f>
        <v>25294</v>
      </c>
      <c r="L3361" s="35" t="str">
        <f>IFERROR(__xludf.DUMMYFUNCTION("""COMPUTED_VALUE"""),"PEREMPUAN")</f>
        <v>PEREMPUAN</v>
      </c>
      <c r="M3361" s="35" t="str">
        <f>IFERROR(__xludf.DUMMYFUNCTION("""COMPUTED_VALUE"""),"DUSUN BINJAI, RT01")</f>
        <v>DUSUN BINJAI, RT01</v>
      </c>
      <c r="N3361" s="35" t="str">
        <f>IFERROR(__xludf.DUMMYFUNCTION("""COMPUTED_VALUE"""),"DESA BINJAI")</f>
        <v>DESA BINJAI</v>
      </c>
      <c r="O3361" s="35" t="str">
        <f>IFERROR(__xludf.DUMMYFUNCTION("""COMPUTED_VALUE"""),"TAYAN HULU")</f>
        <v>TAYAN HULU</v>
      </c>
      <c r="P3361" s="35" t="str">
        <f>IFERROR(__xludf.DUMMYFUNCTION("""COMPUTED_VALUE"""),"SANGGAU")</f>
        <v>SANGGAU</v>
      </c>
      <c r="Q3361" s="35" t="str">
        <f>IFERROR(__xludf.DUMMYFUNCTION("""COMPUTED_VALUE"""),"KALIMANTAN BARAT")</f>
        <v>KALIMANTAN BARAT</v>
      </c>
      <c r="R3361" s="35" t="str">
        <f>IFERROR(__xludf.DUMMYFUNCTION("""COMPUTED_VALUE"""),"KATOLIK")</f>
        <v>KATOLIK</v>
      </c>
      <c r="S3361" s="74" t="str">
        <f>IFERROR(__xludf.DUMMYFUNCTION("""COMPUTED_VALUE"""),"IRT")</f>
        <v>IRT</v>
      </c>
      <c r="T3361" s="35" t="str">
        <f>IFERROR(__xludf.DUMMYFUNCTION("""COMPUTED_VALUE"""),"LUTUT BENGKAK TIDAK BISA DI TEKUK, SAKIT ")</f>
        <v>LUTUT BENGKAK TIDAK BISA DI TEKUK, SAKIT </v>
      </c>
      <c r="U3361" s="35" t="str">
        <f>IFERROR(__xludf.DUMMYFUNCTION("""COMPUTED_VALUE"""),"TIDAK BISA NGYM TIDAK BISA OLAHRAGA 0")</f>
        <v>TIDAK BISA NGYM TIDAK BISA OLAHRAGA 0</v>
      </c>
      <c r="V3361" s="35" t="str">
        <f>IFERROR(__xludf.DUMMYFUNCTION("""COMPUTED_VALUE"""),"05751351011")</f>
        <v>05751351011</v>
      </c>
      <c r="W3361" s="45"/>
    </row>
    <row r="3362">
      <c r="A3362" s="45"/>
      <c r="B3362" s="35" t="str">
        <f>IFERROR(__xludf.DUMMYFUNCTION("""COMPUTED_VALUE"""),"25/01/2026 19:36:59")</f>
        <v>25/01/2026 19:36:59</v>
      </c>
      <c r="C3362" s="35"/>
      <c r="D3362" s="10">
        <f>IFERROR(__xludf.DUMMYFUNCTION("""COMPUTED_VALUE"""),46047.0)</f>
        <v>46047</v>
      </c>
      <c r="E3362" s="35" t="str">
        <f>IFERROR(__xludf.DUMMYFUNCTION("""COMPUTED_VALUE"""),"01Jan")</f>
        <v>01Jan</v>
      </c>
      <c r="F3362" s="35" t="str">
        <f>IFERROR(__xludf.DUMMYFUNCTION("""COMPUTED_VALUE"""),"2026")</f>
        <v>2026</v>
      </c>
      <c r="G3362" s="35" t="str">
        <f>IFERROR(__xludf.DUMMYFUNCTION("""COMPUTED_VALUE"""),"HEYLIE ARIELLE ANG")</f>
        <v>HEYLIE ARIELLE ANG</v>
      </c>
      <c r="H3362" s="35" t="str">
        <f>IFERROR(__xludf.DUMMYFUNCTION("""COMPUTED_VALUE"""),"H1026015759")</f>
        <v>H1026015759</v>
      </c>
      <c r="I3362" s="35">
        <f>IFERROR(__xludf.DUMMYFUNCTION("""COMPUTED_VALUE"""),16.0)</f>
        <v>16</v>
      </c>
      <c r="J3362" s="35" t="str">
        <f>IFERROR(__xludf.DUMMYFUNCTION("""COMPUTED_VALUE"""),"&lt; 18 tahun")</f>
        <v>&lt; 18 tahun</v>
      </c>
      <c r="K3362" s="35" t="str">
        <f>IFERROR(__xludf.DUMMYFUNCTION("""COMPUTED_VALUE"""),"01/06/2010")</f>
        <v>01/06/2010</v>
      </c>
      <c r="L3362" s="35" t="str">
        <f>IFERROR(__xludf.DUMMYFUNCTION("""COMPUTED_VALUE"""),"PEREMPUAN")</f>
        <v>PEREMPUAN</v>
      </c>
      <c r="M3362" s="35" t="str">
        <f>IFERROR(__xludf.DUMMYFUNCTION("""COMPUTED_VALUE"""),"JL SETIA BUDI NO 48 AA")</f>
        <v>JL SETIA BUDI NO 48 AA</v>
      </c>
      <c r="N3362" s="35" t="str">
        <f>IFERROR(__xludf.DUMMYFUNCTION("""COMPUTED_VALUE"""),"BENUA MELAYU DARAT")</f>
        <v>BENUA MELAYU DARAT</v>
      </c>
      <c r="O3362" s="35" t="str">
        <f>IFERROR(__xludf.DUMMYFUNCTION("""COMPUTED_VALUE"""),"PONTIANAK SELATAN")</f>
        <v>PONTIANAK SELATAN</v>
      </c>
      <c r="P3362" s="35" t="str">
        <f>IFERROR(__xludf.DUMMYFUNCTION("""COMPUTED_VALUE"""),"PONTIANAK")</f>
        <v>PONTIANAK</v>
      </c>
      <c r="Q3362" s="35" t="str">
        <f>IFERROR(__xludf.DUMMYFUNCTION("""COMPUTED_VALUE"""),"KALIMANTAN BARAT")</f>
        <v>KALIMANTAN BARAT</v>
      </c>
      <c r="R3362" s="35" t="str">
        <f>IFERROR(__xludf.DUMMYFUNCTION("""COMPUTED_VALUE"""),"LAINNYA")</f>
        <v>LAINNYA</v>
      </c>
      <c r="S3362" s="74" t="str">
        <f>IFERROR(__xludf.DUMMYFUNCTION("""COMPUTED_VALUE"""),"PELAJAR")</f>
        <v>PELAJAR</v>
      </c>
      <c r="T3362" s="35" t="str">
        <f>IFERROR(__xludf.DUMMYFUNCTION("""COMPUTED_VALUE"""),"KAKI")</f>
        <v>KAKI</v>
      </c>
      <c r="U3362" s="35" t="str">
        <f>IFERROR(__xludf.DUMMYFUNCTION("""COMPUTED_VALUE"""),"-")</f>
        <v>-</v>
      </c>
      <c r="V3362" s="35" t="str">
        <f>IFERROR(__xludf.DUMMYFUNCTION("""COMPUTED_VALUE"""),"0895411105759")</f>
        <v>0895411105759</v>
      </c>
      <c r="W3362" s="45"/>
    </row>
    <row r="3363">
      <c r="A3363" s="45"/>
      <c r="B3363" s="35" t="str">
        <f>IFERROR(__xludf.DUMMYFUNCTION("""COMPUTED_VALUE"""),"26/01/2026 9:42:51")</f>
        <v>26/01/2026 9:42:51</v>
      </c>
      <c r="C3363" s="35"/>
      <c r="D3363" s="10">
        <f>IFERROR(__xludf.DUMMYFUNCTION("""COMPUTED_VALUE"""),46048.0)</f>
        <v>46048</v>
      </c>
      <c r="E3363" s="35" t="str">
        <f>IFERROR(__xludf.DUMMYFUNCTION("""COMPUTED_VALUE"""),"01Jan")</f>
        <v>01Jan</v>
      </c>
      <c r="F3363" s="35" t="str">
        <f>IFERROR(__xludf.DUMMYFUNCTION("""COMPUTED_VALUE"""),"2026")</f>
        <v>2026</v>
      </c>
      <c r="G3363" s="35" t="str">
        <f>IFERROR(__xludf.DUMMYFUNCTION("""COMPUTED_VALUE"""),"LILY 7201")</f>
        <v>LILY 7201</v>
      </c>
      <c r="H3363" s="35" t="str">
        <f>IFERROR(__xludf.DUMMYFUNCTION("""COMPUTED_VALUE"""),"L7226011952")</f>
        <v>L7226011952</v>
      </c>
      <c r="I3363" s="35">
        <f>IFERROR(__xludf.DUMMYFUNCTION("""COMPUTED_VALUE"""),54.0)</f>
        <v>54</v>
      </c>
      <c r="J3363" s="35" t="str">
        <f>IFERROR(__xludf.DUMMYFUNCTION("""COMPUTED_VALUE"""),"&gt; 44 tahun")</f>
        <v>&gt; 44 tahun</v>
      </c>
      <c r="K3363" s="35" t="str">
        <f>IFERROR(__xludf.DUMMYFUNCTION("""COMPUTED_VALUE"""),"25/01/1972")</f>
        <v>25/01/1972</v>
      </c>
      <c r="L3363" s="35" t="str">
        <f>IFERROR(__xludf.DUMMYFUNCTION("""COMPUTED_VALUE"""),"PEREMPUAN")</f>
        <v>PEREMPUAN</v>
      </c>
      <c r="M3363" s="35" t="str">
        <f>IFERROR(__xludf.DUMMYFUNCTION("""COMPUTED_VALUE"""),"JL. SERDAM KOMPLEK VILLA KENCANA A.4")</f>
        <v>JL. SERDAM KOMPLEK VILLA KENCANA A.4</v>
      </c>
      <c r="N3363" s="35" t="str">
        <f>IFERROR(__xludf.DUMMYFUNCTION("""COMPUTED_VALUE"""),"BANGKA BELITUNG DARAT")</f>
        <v>BANGKA BELITUNG DARAT</v>
      </c>
      <c r="O3363" s="35" t="str">
        <f>IFERROR(__xludf.DUMMYFUNCTION("""COMPUTED_VALUE"""),"PONTIANAK TENGGARA")</f>
        <v>PONTIANAK TENGGARA</v>
      </c>
      <c r="P3363" s="35" t="str">
        <f>IFERROR(__xludf.DUMMYFUNCTION("""COMPUTED_VALUE"""),"KOTA PONTIANAK")</f>
        <v>KOTA PONTIANAK</v>
      </c>
      <c r="Q3363" s="35" t="str">
        <f>IFERROR(__xludf.DUMMYFUNCTION("""COMPUTED_VALUE"""),"KALIMANTAN BARAT")</f>
        <v>KALIMANTAN BARAT</v>
      </c>
      <c r="R3363" s="35" t="str">
        <f>IFERROR(__xludf.DUMMYFUNCTION("""COMPUTED_VALUE"""),"KATOLIK")</f>
        <v>KATOLIK</v>
      </c>
      <c r="S3363" s="74" t="str">
        <f>IFERROR(__xludf.DUMMYFUNCTION("""COMPUTED_VALUE"""),"IBU RUMAH TANGGA")</f>
        <v>IBU RUMAH TANGGA</v>
      </c>
      <c r="T3363" s="35" t="str">
        <f>IFERROR(__xludf.DUMMYFUNCTION("""COMPUTED_VALUE"""),"SAKIT PINGGANG KAKU SAMPAI GK BS JALAN KLO KAMBUH")</f>
        <v>SAKIT PINGGANG KAKU SAMPAI GK BS JALAN KLO KAMBUH</v>
      </c>
      <c r="U3363" s="35" t="str">
        <f>IFERROR(__xludf.DUMMYFUNCTION("""COMPUTED_VALUE"""),"KEGIATAN IBU RUMAH TANGGA BIASA . TDK ANGKAT BERAT2")</f>
        <v>KEGIATAN IBU RUMAH TANGGA BIASA . TDK ANGKAT BERAT2</v>
      </c>
      <c r="V3363" s="35" t="str">
        <f>IFERROR(__xludf.DUMMYFUNCTION("""COMPUTED_VALUE"""),"085345041952")</f>
        <v>085345041952</v>
      </c>
      <c r="W3363" s="45"/>
    </row>
    <row r="3364">
      <c r="A3364" s="45"/>
      <c r="B3364" s="35" t="str">
        <f>IFERROR(__xludf.DUMMYFUNCTION("""COMPUTED_VALUE"""),"26/01/2026 10:15:14")</f>
        <v>26/01/2026 10:15:14</v>
      </c>
      <c r="C3364" s="35"/>
      <c r="D3364" s="10">
        <f>IFERROR(__xludf.DUMMYFUNCTION("""COMPUTED_VALUE"""),46048.0)</f>
        <v>46048</v>
      </c>
      <c r="E3364" s="35" t="str">
        <f>IFERROR(__xludf.DUMMYFUNCTION("""COMPUTED_VALUE"""),"01Jan")</f>
        <v>01Jan</v>
      </c>
      <c r="F3364" s="35" t="str">
        <f>IFERROR(__xludf.DUMMYFUNCTION("""COMPUTED_VALUE"""),"2026")</f>
        <v>2026</v>
      </c>
      <c r="G3364" s="35" t="str">
        <f>IFERROR(__xludf.DUMMYFUNCTION("""COMPUTED_VALUE"""),"LIA MARISA")</f>
        <v>LIA MARISA</v>
      </c>
      <c r="H3364" s="35" t="str">
        <f>IFERROR(__xludf.DUMMYFUNCTION("""COMPUTED_VALUE"""),"L9426019899")</f>
        <v>L9426019899</v>
      </c>
      <c r="I3364" s="35">
        <f>IFERROR(__xludf.DUMMYFUNCTION("""COMPUTED_VALUE"""),32.0)</f>
        <v>32</v>
      </c>
      <c r="J3364" s="35" t="str">
        <f>IFERROR(__xludf.DUMMYFUNCTION("""COMPUTED_VALUE"""),"25-34 tahun")</f>
        <v>25-34 tahun</v>
      </c>
      <c r="K3364" s="35" t="str">
        <f>IFERROR(__xludf.DUMMYFUNCTION("""COMPUTED_VALUE"""),"16/04/1994")</f>
        <v>16/04/1994</v>
      </c>
      <c r="L3364" s="35" t="str">
        <f>IFERROR(__xludf.DUMMYFUNCTION("""COMPUTED_VALUE"""),"PEREMPUAN")</f>
        <v>PEREMPUAN</v>
      </c>
      <c r="M3364" s="35" t="str">
        <f>IFERROR(__xludf.DUMMYFUNCTION("""COMPUTED_VALUE"""),"JL PURNAMA KOMP GRIYA PURNAMA NO A3")</f>
        <v>JL PURNAMA KOMP GRIYA PURNAMA NO A3</v>
      </c>
      <c r="N3364" s="35" t="str">
        <f>IFERROR(__xludf.DUMMYFUNCTION("""COMPUTED_VALUE"""),"PARIT TOKAYA")</f>
        <v>PARIT TOKAYA</v>
      </c>
      <c r="O3364" s="35" t="str">
        <f>IFERROR(__xludf.DUMMYFUNCTION("""COMPUTED_VALUE"""),"PONTIANAK SELATAN")</f>
        <v>PONTIANAK SELATAN</v>
      </c>
      <c r="P3364" s="35" t="str">
        <f>IFERROR(__xludf.DUMMYFUNCTION("""COMPUTED_VALUE"""),"PONTIANAK KOTA")</f>
        <v>PONTIANAK KOTA</v>
      </c>
      <c r="Q3364" s="35" t="str">
        <f>IFERROR(__xludf.DUMMYFUNCTION("""COMPUTED_VALUE"""),"KALIMANTAN BARAT")</f>
        <v>KALIMANTAN BARAT</v>
      </c>
      <c r="R3364" s="35" t="str">
        <f>IFERROR(__xludf.DUMMYFUNCTION("""COMPUTED_VALUE"""),"KHONGHUCU")</f>
        <v>KHONGHUCU</v>
      </c>
      <c r="S3364" s="74" t="str">
        <f>IFERROR(__xludf.DUMMYFUNCTION("""COMPUTED_VALUE"""),"IRT")</f>
        <v>IRT</v>
      </c>
      <c r="T3364" s="35" t="str">
        <f>IFERROR(__xludf.DUMMYFUNCTION("""COMPUTED_VALUE"""),"SARAF KEJEPIT")</f>
        <v>SARAF KEJEPIT</v>
      </c>
      <c r="U3364" s="35" t="str">
        <f>IFERROR(__xludf.DUMMYFUNCTION("""COMPUTED_VALUE"""),"BADMINTON")</f>
        <v>BADMINTON</v>
      </c>
      <c r="V3364" s="35" t="str">
        <f>IFERROR(__xludf.DUMMYFUNCTION("""COMPUTED_VALUE"""),"082158559899")</f>
        <v>082158559899</v>
      </c>
      <c r="W3364" s="45"/>
    </row>
    <row r="3365">
      <c r="A3365" s="45"/>
      <c r="B3365" s="35" t="str">
        <f>IFERROR(__xludf.DUMMYFUNCTION("""COMPUTED_VALUE"""),"26/01/2026 10:16:16")</f>
        <v>26/01/2026 10:16:16</v>
      </c>
      <c r="C3365" s="35"/>
      <c r="D3365" s="10">
        <f>IFERROR(__xludf.DUMMYFUNCTION("""COMPUTED_VALUE"""),46048.0)</f>
        <v>46048</v>
      </c>
      <c r="E3365" s="35" t="str">
        <f>IFERROR(__xludf.DUMMYFUNCTION("""COMPUTED_VALUE"""),"01Jan")</f>
        <v>01Jan</v>
      </c>
      <c r="F3365" s="35" t="str">
        <f>IFERROR(__xludf.DUMMYFUNCTION("""COMPUTED_VALUE"""),"2026")</f>
        <v>2026</v>
      </c>
      <c r="G3365" s="35" t="str">
        <f>IFERROR(__xludf.DUMMYFUNCTION("""COMPUTED_VALUE"""),"VERONIKA")</f>
        <v>VERONIKA</v>
      </c>
      <c r="H3365" s="35" t="str">
        <f>IFERROR(__xludf.DUMMYFUNCTION("""COMPUTED_VALUE"""),"V8426013733")</f>
        <v>V8426013733</v>
      </c>
      <c r="I3365" s="35">
        <f>IFERROR(__xludf.DUMMYFUNCTION("""COMPUTED_VALUE"""),41.0)</f>
        <v>41</v>
      </c>
      <c r="J3365" s="35" t="str">
        <f>IFERROR(__xludf.DUMMYFUNCTION("""COMPUTED_VALUE"""),"35-44 tahun")</f>
        <v>35-44 tahun</v>
      </c>
      <c r="K3365" s="35" t="str">
        <f>IFERROR(__xludf.DUMMYFUNCTION("""COMPUTED_VALUE"""),"20/10/1984")</f>
        <v>20/10/1984</v>
      </c>
      <c r="L3365" s="35" t="str">
        <f>IFERROR(__xludf.DUMMYFUNCTION("""COMPUTED_VALUE"""),"PEREMPUAN")</f>
        <v>PEREMPUAN</v>
      </c>
      <c r="M3365" s="35" t="str">
        <f>IFERROR(__xludf.DUMMYFUNCTION("""COMPUTED_VALUE"""),"JL AYANI 2 PARIT BUGIS GG MALINDO ")</f>
        <v>JL AYANI 2 PARIT BUGIS GG MALINDO </v>
      </c>
      <c r="N3365" s="35" t="str">
        <f>IFERROR(__xludf.DUMMYFUNCTION("""COMPUTED_VALUE"""),"ARANG LIMBUNG ")</f>
        <v>ARANG LIMBUNG </v>
      </c>
      <c r="O3365" s="35" t="str">
        <f>IFERROR(__xludf.DUMMYFUNCTION("""COMPUTED_VALUE"""),"SUNGAI RAYA")</f>
        <v>SUNGAI RAYA</v>
      </c>
      <c r="P3365" s="35" t="str">
        <f>IFERROR(__xludf.DUMMYFUNCTION("""COMPUTED_VALUE"""),"KUBU RAYA ")</f>
        <v>KUBU RAYA </v>
      </c>
      <c r="Q3365" s="35" t="str">
        <f>IFERROR(__xludf.DUMMYFUNCTION("""COMPUTED_VALUE"""),"KALIMANTAN BARAT ")</f>
        <v>KALIMANTAN BARAT </v>
      </c>
      <c r="R3365" s="35" t="str">
        <f>IFERROR(__xludf.DUMMYFUNCTION("""COMPUTED_VALUE"""),"ISLAM")</f>
        <v>ISLAM</v>
      </c>
      <c r="S3365" s="74" t="str">
        <f>IFERROR(__xludf.DUMMYFUNCTION("""COMPUTED_VALUE"""),"BUMD ")</f>
        <v>BUMD </v>
      </c>
      <c r="T3365" s="35" t="str">
        <f>IFERROR(__xludf.DUMMYFUNCTION("""COMPUTED_VALUE"""),"KEBAS, KESEMUTAN KAKI DAN TANGAN SEBELAH KIRI, NYERI LUTUT SEBELAH KIRI")</f>
        <v>KEBAS, KESEMUTAN KAKI DAN TANGAN SEBELAH KIRI, NYERI LUTUT SEBELAH KIRI</v>
      </c>
      <c r="U3365" s="35" t="str">
        <f>IFERROR(__xludf.DUMMYFUNCTION("""COMPUTED_VALUE"""),"JOGING ")</f>
        <v>JOGING </v>
      </c>
      <c r="V3365" s="35" t="str">
        <f>IFERROR(__xludf.DUMMYFUNCTION("""COMPUTED_VALUE"""),"082151743733")</f>
        <v>082151743733</v>
      </c>
      <c r="W3365" s="45"/>
    </row>
    <row r="3366">
      <c r="A3366" s="45"/>
      <c r="B3366" s="35" t="str">
        <f>IFERROR(__xludf.DUMMYFUNCTION("""COMPUTED_VALUE"""),"26/01/2026 10:19:28")</f>
        <v>26/01/2026 10:19:28</v>
      </c>
      <c r="C3366" s="35"/>
      <c r="D3366" s="10">
        <f>IFERROR(__xludf.DUMMYFUNCTION("""COMPUTED_VALUE"""),46048.0)</f>
        <v>46048</v>
      </c>
      <c r="E3366" s="35" t="str">
        <f>IFERROR(__xludf.DUMMYFUNCTION("""COMPUTED_VALUE"""),"01Jan")</f>
        <v>01Jan</v>
      </c>
      <c r="F3366" s="35" t="str">
        <f>IFERROR(__xludf.DUMMYFUNCTION("""COMPUTED_VALUE"""),"2026")</f>
        <v>2026</v>
      </c>
      <c r="G3366" s="35" t="str">
        <f>IFERROR(__xludf.DUMMYFUNCTION("""COMPUTED_VALUE"""),"SYARIFAH AINI")</f>
        <v>SYARIFAH AINI</v>
      </c>
      <c r="H3366" s="35" t="str">
        <f>IFERROR(__xludf.DUMMYFUNCTION("""COMPUTED_VALUE"""),"S8426015100")</f>
        <v>S8426015100</v>
      </c>
      <c r="I3366" s="35">
        <f>IFERROR(__xludf.DUMMYFUNCTION("""COMPUTED_VALUE"""),42.0)</f>
        <v>42</v>
      </c>
      <c r="J3366" s="35" t="str">
        <f>IFERROR(__xludf.DUMMYFUNCTION("""COMPUTED_VALUE"""),"35-44 tahun")</f>
        <v>35-44 tahun</v>
      </c>
      <c r="K3366" s="35" t="str">
        <f>IFERROR(__xludf.DUMMYFUNCTION("""COMPUTED_VALUE"""),"23/03/1984")</f>
        <v>23/03/1984</v>
      </c>
      <c r="L3366" s="35" t="str">
        <f>IFERROR(__xludf.DUMMYFUNCTION("""COMPUTED_VALUE"""),"PEREMPUAN")</f>
        <v>PEREMPUAN</v>
      </c>
      <c r="M3366" s="35" t="str">
        <f>IFERROR(__xludf.DUMMYFUNCTION("""COMPUTED_VALUE"""),"JALAN AMPERA GG. SPN NO. 3")</f>
        <v>JALAN AMPERA GG. SPN NO. 3</v>
      </c>
      <c r="N3366" s="35" t="str">
        <f>IFERROR(__xludf.DUMMYFUNCTION("""COMPUTED_VALUE"""),"SUNGAI JAWI")</f>
        <v>SUNGAI JAWI</v>
      </c>
      <c r="O3366" s="35" t="str">
        <f>IFERROR(__xludf.DUMMYFUNCTION("""COMPUTED_VALUE"""),"PONTIANAK KOTA")</f>
        <v>PONTIANAK KOTA</v>
      </c>
      <c r="P3366" s="35" t="str">
        <f>IFERROR(__xludf.DUMMYFUNCTION("""COMPUTED_VALUE"""),"KOTA PONTIANAK ")</f>
        <v>KOTA PONTIANAK </v>
      </c>
      <c r="Q3366" s="35" t="str">
        <f>IFERROR(__xludf.DUMMYFUNCTION("""COMPUTED_VALUE"""),"KALIMANTAN BARAT")</f>
        <v>KALIMANTAN BARAT</v>
      </c>
      <c r="R3366" s="35" t="str">
        <f>IFERROR(__xludf.DUMMYFUNCTION("""COMPUTED_VALUE"""),"ISLAM")</f>
        <v>ISLAM</v>
      </c>
      <c r="S3366" s="74" t="str">
        <f>IFERROR(__xludf.DUMMYFUNCTION("""COMPUTED_VALUE"""),"IBU RUMAH TANGGA")</f>
        <v>IBU RUMAH TANGGA</v>
      </c>
      <c r="T3366" s="35" t="str">
        <f>IFERROR(__xludf.DUMMYFUNCTION("""COMPUTED_VALUE"""),"PERGESERAN RUAS TULAH BELAANG")</f>
        <v>PERGESERAN RUAS TULAH BELAANG</v>
      </c>
      <c r="U3366" s="35" t="str">
        <f>IFERROR(__xludf.DUMMYFUNCTION("""COMPUTED_VALUE"""),"SULIT UNTUK DUDUK TERLALU LAMA.. TERASA NYERI")</f>
        <v>SULIT UNTUK DUDUK TERLALU LAMA.. TERASA NYERI</v>
      </c>
      <c r="V3366" s="35" t="str">
        <f>IFERROR(__xludf.DUMMYFUNCTION("""COMPUTED_VALUE"""),"0895324155100")</f>
        <v>0895324155100</v>
      </c>
      <c r="W3366" s="45"/>
    </row>
    <row r="3367">
      <c r="A3367" s="45"/>
      <c r="B3367" s="35" t="str">
        <f>IFERROR(__xludf.DUMMYFUNCTION("""COMPUTED_VALUE"""),"26/01/2026 12:09:13")</f>
        <v>26/01/2026 12:09:13</v>
      </c>
      <c r="C3367" s="35"/>
      <c r="D3367" s="10">
        <f>IFERROR(__xludf.DUMMYFUNCTION("""COMPUTED_VALUE"""),46048.0)</f>
        <v>46048</v>
      </c>
      <c r="E3367" s="35" t="str">
        <f>IFERROR(__xludf.DUMMYFUNCTION("""COMPUTED_VALUE"""),"01Jan")</f>
        <v>01Jan</v>
      </c>
      <c r="F3367" s="35" t="str">
        <f>IFERROR(__xludf.DUMMYFUNCTION("""COMPUTED_VALUE"""),"2026")</f>
        <v>2026</v>
      </c>
      <c r="G3367" s="35" t="str">
        <f>IFERROR(__xludf.DUMMYFUNCTION("""COMPUTED_VALUE"""),"ENRICO IVAN CHUA")</f>
        <v>ENRICO IVAN CHUA</v>
      </c>
      <c r="H3367" s="35" t="str">
        <f>IFERROR(__xludf.DUMMYFUNCTION("""COMPUTED_VALUE"""),"E0026018490")</f>
        <v>E0026018490</v>
      </c>
      <c r="I3367" s="35">
        <f>IFERROR(__xludf.DUMMYFUNCTION("""COMPUTED_VALUE"""),25.0)</f>
        <v>25</v>
      </c>
      <c r="J3367" s="35" t="str">
        <f>IFERROR(__xludf.DUMMYFUNCTION("""COMPUTED_VALUE"""),"25-34 tahun")</f>
        <v>25-34 tahun</v>
      </c>
      <c r="K3367" s="35" t="str">
        <f>IFERROR(__xludf.DUMMYFUNCTION("""COMPUTED_VALUE"""),"23/11/2000")</f>
        <v>23/11/2000</v>
      </c>
      <c r="L3367" s="35" t="str">
        <f>IFERROR(__xludf.DUMMYFUNCTION("""COMPUTED_VALUE"""),"LAKI-LAKI")</f>
        <v>LAKI-LAKI</v>
      </c>
      <c r="M3367" s="35" t="str">
        <f>IFERROR(__xludf.DUMMYFUNCTION("""COMPUTED_VALUE"""),"JALAN DR WAHIDIN NO 90A")</f>
        <v>JALAN DR WAHIDIN NO 90A</v>
      </c>
      <c r="N3367" s="35" t="str">
        <f>IFERROR(__xludf.DUMMYFUNCTION("""COMPUTED_VALUE"""),"KELURAHAN SUNGAI JAWI")</f>
        <v>KELURAHAN SUNGAI JAWI</v>
      </c>
      <c r="O3367" s="35" t="str">
        <f>IFERROR(__xludf.DUMMYFUNCTION("""COMPUTED_VALUE"""),"PONTIANAK KOTA")</f>
        <v>PONTIANAK KOTA</v>
      </c>
      <c r="P3367" s="35" t="str">
        <f>IFERROR(__xludf.DUMMYFUNCTION("""COMPUTED_VALUE"""),"PONTIANAK")</f>
        <v>PONTIANAK</v>
      </c>
      <c r="Q3367" s="35" t="str">
        <f>IFERROR(__xludf.DUMMYFUNCTION("""COMPUTED_VALUE"""),"KALIMANTAN BARAT")</f>
        <v>KALIMANTAN BARAT</v>
      </c>
      <c r="R3367" s="35" t="str">
        <f>IFERROR(__xludf.DUMMYFUNCTION("""COMPUTED_VALUE"""),"BUDDHA")</f>
        <v>BUDDHA</v>
      </c>
      <c r="S3367" s="74" t="str">
        <f>IFERROR(__xludf.DUMMYFUNCTION("""COMPUTED_VALUE"""),"WIRASWAST")</f>
        <v>WIRASWAST</v>
      </c>
      <c r="T3367" s="35" t="str">
        <f>IFERROR(__xludf.DUMMYFUNCTION("""COMPUTED_VALUE"""),"BENGKAK PADA KAKI")</f>
        <v>BENGKAK PADA KAKI</v>
      </c>
      <c r="U3367" s="35" t="str">
        <f>IFERROR(__xludf.DUMMYFUNCTION("""COMPUTED_VALUE"""),"BADMINTON")</f>
        <v>BADMINTON</v>
      </c>
      <c r="V3367" s="35" t="str">
        <f>IFERROR(__xludf.DUMMYFUNCTION("""COMPUTED_VALUE"""),"085346508490")</f>
        <v>085346508490</v>
      </c>
      <c r="W3367" s="45"/>
    </row>
    <row r="3368">
      <c r="A3368" s="45"/>
      <c r="B3368" s="35" t="str">
        <f>IFERROR(__xludf.DUMMYFUNCTION("""COMPUTED_VALUE"""),"26/01/2026 14:02:05")</f>
        <v>26/01/2026 14:02:05</v>
      </c>
      <c r="C3368" s="35"/>
      <c r="D3368" s="10">
        <f>IFERROR(__xludf.DUMMYFUNCTION("""COMPUTED_VALUE"""),46048.0)</f>
        <v>46048</v>
      </c>
      <c r="E3368" s="35" t="str">
        <f>IFERROR(__xludf.DUMMYFUNCTION("""COMPUTED_VALUE"""),"01Jan")</f>
        <v>01Jan</v>
      </c>
      <c r="F3368" s="35" t="str">
        <f>IFERROR(__xludf.DUMMYFUNCTION("""COMPUTED_VALUE"""),"2026")</f>
        <v>2026</v>
      </c>
      <c r="G3368" s="35" t="str">
        <f>IFERROR(__xludf.DUMMYFUNCTION("""COMPUTED_VALUE"""),"TUKIJAN")</f>
        <v>TUKIJAN</v>
      </c>
      <c r="H3368" s="35" t="str">
        <f>IFERROR(__xludf.DUMMYFUNCTION("""COMPUTED_VALUE"""),"T5726013959")</f>
        <v>T5726013959</v>
      </c>
      <c r="I3368" s="35">
        <f>IFERROR(__xludf.DUMMYFUNCTION("""COMPUTED_VALUE"""),68.0)</f>
        <v>68</v>
      </c>
      <c r="J3368" s="35" t="str">
        <f>IFERROR(__xludf.DUMMYFUNCTION("""COMPUTED_VALUE"""),"&gt; 44 tahun")</f>
        <v>&gt; 44 tahun</v>
      </c>
      <c r="K3368" s="35" t="str">
        <f>IFERROR(__xludf.DUMMYFUNCTION("""COMPUTED_VALUE"""),"05/12/1957")</f>
        <v>05/12/1957</v>
      </c>
      <c r="L3368" s="35" t="str">
        <f>IFERROR(__xludf.DUMMYFUNCTION("""COMPUTED_VALUE"""),"LAKI-LAKI")</f>
        <v>LAKI-LAKI</v>
      </c>
      <c r="M3368" s="35" t="str">
        <f>IFERROR(__xludf.DUMMYFUNCTION("""COMPUTED_VALUE"""),"JL. PANGERAN NATAKUSUMA, GG.JAMBI NO. 39 B")</f>
        <v>JL. PANGERAN NATAKUSUMA, GG.JAMBI NO. 39 B</v>
      </c>
      <c r="N3368" s="35" t="str">
        <f>IFERROR(__xludf.DUMMYFUNCTION("""COMPUTED_VALUE"""),"SEI BANGKONG")</f>
        <v>SEI BANGKONG</v>
      </c>
      <c r="O3368" s="35" t="str">
        <f>IFERROR(__xludf.DUMMYFUNCTION("""COMPUTED_VALUE"""),"PONTIANAK KOTA")</f>
        <v>PONTIANAK KOTA</v>
      </c>
      <c r="P3368" s="35" t="str">
        <f>IFERROR(__xludf.DUMMYFUNCTION("""COMPUTED_VALUE"""),"PONTIANAK")</f>
        <v>PONTIANAK</v>
      </c>
      <c r="Q3368" s="35" t="str">
        <f>IFERROR(__xludf.DUMMYFUNCTION("""COMPUTED_VALUE"""),"KALIMANTAN BARAT")</f>
        <v>KALIMANTAN BARAT</v>
      </c>
      <c r="R3368" s="35" t="str">
        <f>IFERROR(__xludf.DUMMYFUNCTION("""COMPUTED_VALUE"""),"ISLAM")</f>
        <v>ISLAM</v>
      </c>
      <c r="S3368" s="74" t="str">
        <f>IFERROR(__xludf.DUMMYFUNCTION("""COMPUTED_VALUE"""),"PENSIUNAN")</f>
        <v>PENSIUNAN</v>
      </c>
      <c r="T3368" s="35" t="str">
        <f>IFERROR(__xludf.DUMMYFUNCTION("""COMPUTED_VALUE"""),"LUTUT TIBA-TIBA SUKA NGILU DAN SAKIT")</f>
        <v>LUTUT TIBA-TIBA SUKA NGILU DAN SAKIT</v>
      </c>
      <c r="U3368" s="35" t="str">
        <f>IFERROR(__xludf.DUMMYFUNCTION("""COMPUTED_VALUE"""),"BERMAIN SEPEDA DAN JALAN KAKI")</f>
        <v>BERMAIN SEPEDA DAN JALAN KAKI</v>
      </c>
      <c r="V3368" s="35" t="str">
        <f>IFERROR(__xludf.DUMMYFUNCTION("""COMPUTED_VALUE"""),"08164983959")</f>
        <v>08164983959</v>
      </c>
      <c r="W3368" s="45"/>
    </row>
    <row r="3369">
      <c r="A3369" s="45"/>
      <c r="B3369" s="35" t="str">
        <f>IFERROR(__xludf.DUMMYFUNCTION("""COMPUTED_VALUE"""),"26/01/2026 15:20:47")</f>
        <v>26/01/2026 15:20:47</v>
      </c>
      <c r="C3369" s="35"/>
      <c r="D3369" s="10">
        <f>IFERROR(__xludf.DUMMYFUNCTION("""COMPUTED_VALUE"""),46048.0)</f>
        <v>46048</v>
      </c>
      <c r="E3369" s="35" t="str">
        <f>IFERROR(__xludf.DUMMYFUNCTION("""COMPUTED_VALUE"""),"01Jan")</f>
        <v>01Jan</v>
      </c>
      <c r="F3369" s="35" t="str">
        <f>IFERROR(__xludf.DUMMYFUNCTION("""COMPUTED_VALUE"""),"2026")</f>
        <v>2026</v>
      </c>
      <c r="G3369" s="35" t="str">
        <f>IFERROR(__xludf.DUMMYFUNCTION("""COMPUTED_VALUE"""),"MILINA")</f>
        <v>MILINA</v>
      </c>
      <c r="H3369" s="35" t="str">
        <f>IFERROR(__xludf.DUMMYFUNCTION("""COMPUTED_VALUE"""),"M9026018565")</f>
        <v>M9026018565</v>
      </c>
      <c r="I3369" s="35">
        <f>IFERROR(__xludf.DUMMYFUNCTION("""COMPUTED_VALUE"""),35.0)</f>
        <v>35</v>
      </c>
      <c r="J3369" s="35" t="str">
        <f>IFERROR(__xludf.DUMMYFUNCTION("""COMPUTED_VALUE"""),"35-44 tahun")</f>
        <v>35-44 tahun</v>
      </c>
      <c r="K3369" s="35" t="str">
        <f>IFERROR(__xludf.DUMMYFUNCTION("""COMPUTED_VALUE"""),"30/07/1990")</f>
        <v>30/07/1990</v>
      </c>
      <c r="L3369" s="35" t="str">
        <f>IFERROR(__xludf.DUMMYFUNCTION("""COMPUTED_VALUE"""),"PEREMPUAN")</f>
        <v>PEREMPUAN</v>
      </c>
      <c r="M3369" s="35" t="str">
        <f>IFERROR(__xludf.DUMMYFUNCTION("""COMPUTED_VALUE"""),"JL KETAPANG NO 96")</f>
        <v>JL KETAPANG NO 96</v>
      </c>
      <c r="N3369" s="35" t="str">
        <f>IFERROR(__xludf.DUMMYFUNCTION("""COMPUTED_VALUE"""),"BENUA MELAYU DARAT")</f>
        <v>BENUA MELAYU DARAT</v>
      </c>
      <c r="O3369" s="35" t="str">
        <f>IFERROR(__xludf.DUMMYFUNCTION("""COMPUTED_VALUE"""),"PONTIANAK SELATAN")</f>
        <v>PONTIANAK SELATAN</v>
      </c>
      <c r="P3369" s="35" t="str">
        <f>IFERROR(__xludf.DUMMYFUNCTION("""COMPUTED_VALUE"""),"PONTIANAK")</f>
        <v>PONTIANAK</v>
      </c>
      <c r="Q3369" s="35" t="str">
        <f>IFERROR(__xludf.DUMMYFUNCTION("""COMPUTED_VALUE"""),"KALIMANTAN BARAT")</f>
        <v>KALIMANTAN BARAT</v>
      </c>
      <c r="R3369" s="35" t="str">
        <f>IFERROR(__xludf.DUMMYFUNCTION("""COMPUTED_VALUE"""),"BUDDHA")</f>
        <v>BUDDHA</v>
      </c>
      <c r="S3369" s="74" t="str">
        <f>IFERROR(__xludf.DUMMYFUNCTION("""COMPUTED_VALUE"""),"IRT")</f>
        <v>IRT</v>
      </c>
      <c r="T3369" s="35" t="str">
        <f>IFERROR(__xludf.DUMMYFUNCTION("""COMPUTED_VALUE"""),"PINGGANG ")</f>
        <v>PINGGANG </v>
      </c>
      <c r="U3369" s="35" t="str">
        <f>IFERROR(__xludf.DUMMYFUNCTION("""COMPUTED_VALUE"""),"YOGA")</f>
        <v>YOGA</v>
      </c>
      <c r="V3369" s="35" t="str">
        <f>IFERROR(__xludf.DUMMYFUNCTION("""COMPUTED_VALUE"""),"082354998565")</f>
        <v>082354998565</v>
      </c>
      <c r="W3369" s="45"/>
    </row>
    <row r="3370">
      <c r="A3370" s="45"/>
      <c r="B3370" s="35" t="str">
        <f>IFERROR(__xludf.DUMMYFUNCTION("""COMPUTED_VALUE"""),"26/01/2026 15:57:46")</f>
        <v>26/01/2026 15:57:46</v>
      </c>
      <c r="C3370" s="35"/>
      <c r="D3370" s="10">
        <f>IFERROR(__xludf.DUMMYFUNCTION("""COMPUTED_VALUE"""),46048.0)</f>
        <v>46048</v>
      </c>
      <c r="E3370" s="35" t="str">
        <f>IFERROR(__xludf.DUMMYFUNCTION("""COMPUTED_VALUE"""),"01Jan")</f>
        <v>01Jan</v>
      </c>
      <c r="F3370" s="35" t="str">
        <f>IFERROR(__xludf.DUMMYFUNCTION("""COMPUTED_VALUE"""),"2026")</f>
        <v>2026</v>
      </c>
      <c r="G3370" s="35" t="str">
        <f>IFERROR(__xludf.DUMMYFUNCTION("""COMPUTED_VALUE"""),"DHIASPUTRA BRILIANDRI")</f>
        <v>DHIASPUTRA BRILIANDRI</v>
      </c>
      <c r="H3370" s="35" t="str">
        <f>IFERROR(__xludf.DUMMYFUNCTION("""COMPUTED_VALUE"""),"D8426012002")</f>
        <v>D8426012002</v>
      </c>
      <c r="I3370" s="35">
        <f>IFERROR(__xludf.DUMMYFUNCTION("""COMPUTED_VALUE"""),42.0)</f>
        <v>42</v>
      </c>
      <c r="J3370" s="35" t="str">
        <f>IFERROR(__xludf.DUMMYFUNCTION("""COMPUTED_VALUE"""),"35-44 tahun")</f>
        <v>35-44 tahun</v>
      </c>
      <c r="K3370" s="35" t="str">
        <f>IFERROR(__xludf.DUMMYFUNCTION("""COMPUTED_VALUE"""),"12/01/1984")</f>
        <v>12/01/1984</v>
      </c>
      <c r="L3370" s="35" t="str">
        <f>IFERROR(__xludf.DUMMYFUNCTION("""COMPUTED_VALUE"""),"LAKI-LAKI")</f>
        <v>LAKI-LAKI</v>
      </c>
      <c r="M3370" s="35" t="str">
        <f>IFERROR(__xludf.DUMMYFUNCTION("""COMPUTED_VALUE"""),"TAMAN UBUD VI/15 LIPPO KARAWACI TANGERANG")</f>
        <v>TAMAN UBUD VI/15 LIPPO KARAWACI TANGERANG</v>
      </c>
      <c r="N3370" s="35" t="str">
        <f>IFERROR(__xludf.DUMMYFUNCTION("""COMPUTED_VALUE"""),"BINONG")</f>
        <v>BINONG</v>
      </c>
      <c r="O3370" s="35" t="str">
        <f>IFERROR(__xludf.DUMMYFUNCTION("""COMPUTED_VALUE"""),"CURUG")</f>
        <v>CURUG</v>
      </c>
      <c r="P3370" s="35" t="str">
        <f>IFERROR(__xludf.DUMMYFUNCTION("""COMPUTED_VALUE"""),"TANGERANG")</f>
        <v>TANGERANG</v>
      </c>
      <c r="Q3370" s="35" t="str">
        <f>IFERROR(__xludf.DUMMYFUNCTION("""COMPUTED_VALUE"""),"BANTEN")</f>
        <v>BANTEN</v>
      </c>
      <c r="R3370" s="35" t="str">
        <f>IFERROR(__xludf.DUMMYFUNCTION("""COMPUTED_VALUE"""),"PROTESTAN")</f>
        <v>PROTESTAN</v>
      </c>
      <c r="S3370" s="74" t="str">
        <f>IFERROR(__xludf.DUMMYFUNCTION("""COMPUTED_VALUE"""),"PNS")</f>
        <v>PNS</v>
      </c>
      <c r="T3370" s="35" t="str">
        <f>IFERROR(__xludf.DUMMYFUNCTION("""COMPUTED_VALUE"""),"HAMSTRING DAN SERING ESEMUTAN AREA BAWAH KAKI")</f>
        <v>HAMSTRING DAN SERING ESEMUTAN AREA BAWAH KAKI</v>
      </c>
      <c r="U3370" s="35" t="str">
        <f>IFERROR(__xludf.DUMMYFUNCTION("""COMPUTED_VALUE"""),"BEKERJA, DUDUK LAMA, JALAN PAGI, PADEL")</f>
        <v>BEKERJA, DUDUK LAMA, JALAN PAGI, PADEL</v>
      </c>
      <c r="V3370" s="35" t="str">
        <f>IFERROR(__xludf.DUMMYFUNCTION("""COMPUTED_VALUE"""),"081280022002")</f>
        <v>081280022002</v>
      </c>
      <c r="W3370" s="45"/>
    </row>
    <row r="3371">
      <c r="A3371" s="45"/>
      <c r="B3371" s="35" t="str">
        <f>IFERROR(__xludf.DUMMYFUNCTION("""COMPUTED_VALUE"""),"27/01/2026 12:07:47")</f>
        <v>27/01/2026 12:07:47</v>
      </c>
      <c r="C3371" s="35"/>
      <c r="D3371" s="10">
        <f>IFERROR(__xludf.DUMMYFUNCTION("""COMPUTED_VALUE"""),46049.0)</f>
        <v>46049</v>
      </c>
      <c r="E3371" s="35" t="str">
        <f>IFERROR(__xludf.DUMMYFUNCTION("""COMPUTED_VALUE"""),"01Jan")</f>
        <v>01Jan</v>
      </c>
      <c r="F3371" s="35" t="str">
        <f>IFERROR(__xludf.DUMMYFUNCTION("""COMPUTED_VALUE"""),"2026")</f>
        <v>2026</v>
      </c>
      <c r="G3371" s="35" t="str">
        <f>IFERROR(__xludf.DUMMYFUNCTION("""COMPUTED_VALUE"""),"GIGIH PURBO P")</f>
        <v>GIGIH PURBO P</v>
      </c>
      <c r="H3371" s="35" t="str">
        <f>IFERROR(__xludf.DUMMYFUNCTION("""COMPUTED_VALUE"""),"G9426012038")</f>
        <v>G9426012038</v>
      </c>
      <c r="I3371" s="35">
        <f>IFERROR(__xludf.DUMMYFUNCTION("""COMPUTED_VALUE"""),32.0)</f>
        <v>32</v>
      </c>
      <c r="J3371" s="35" t="str">
        <f>IFERROR(__xludf.DUMMYFUNCTION("""COMPUTED_VALUE"""),"25-34 tahun")</f>
        <v>25-34 tahun</v>
      </c>
      <c r="K3371" s="35" t="str">
        <f>IFERROR(__xludf.DUMMYFUNCTION("""COMPUTED_VALUE"""),"23/03/1994")</f>
        <v>23/03/1994</v>
      </c>
      <c r="L3371" s="35" t="str">
        <f>IFERROR(__xludf.DUMMYFUNCTION("""COMPUTED_VALUE"""),"LAKI-LAKI")</f>
        <v>LAKI-LAKI</v>
      </c>
      <c r="M3371" s="35" t="str">
        <f>IFERROR(__xludf.DUMMYFUNCTION("""COMPUTED_VALUE"""),"JL WONODADI")</f>
        <v>JL WONODADI</v>
      </c>
      <c r="N3371" s="35" t="str">
        <f>IFERROR(__xludf.DUMMYFUNCTION("""COMPUTED_VALUE"""),"TLK KAPUAS")</f>
        <v>TLK KAPUAS</v>
      </c>
      <c r="O3371" s="35" t="str">
        <f>IFERROR(__xludf.DUMMYFUNCTION("""COMPUTED_VALUE"""),"SUNGAI RAYA")</f>
        <v>SUNGAI RAYA</v>
      </c>
      <c r="P3371" s="35" t="str">
        <f>IFERROR(__xludf.DUMMYFUNCTION("""COMPUTED_VALUE"""),"KUBU RAYA")</f>
        <v>KUBU RAYA</v>
      </c>
      <c r="Q3371" s="35" t="str">
        <f>IFERROR(__xludf.DUMMYFUNCTION("""COMPUTED_VALUE"""),"KALIMANTAN BARAT")</f>
        <v>KALIMANTAN BARAT</v>
      </c>
      <c r="R3371" s="35" t="str">
        <f>IFERROR(__xludf.DUMMYFUNCTION("""COMPUTED_VALUE"""),"ISLAM")</f>
        <v>ISLAM</v>
      </c>
      <c r="S3371" s="74" t="str">
        <f>IFERROR(__xludf.DUMMYFUNCTION("""COMPUTED_VALUE"""),"SWASTA")</f>
        <v>SWASTA</v>
      </c>
      <c r="T3371" s="35" t="str">
        <f>IFERROR(__xludf.DUMMYFUNCTION("""COMPUTED_VALUE"""),"PAHA")</f>
        <v>PAHA</v>
      </c>
      <c r="U3371" s="35" t="str">
        <f>IFERROR(__xludf.DUMMYFUNCTION("""COMPUTED_VALUE"""),"LARI")</f>
        <v>LARI</v>
      </c>
      <c r="V3371" s="35" t="str">
        <f>IFERROR(__xludf.DUMMYFUNCTION("""COMPUTED_VALUE"""),"082352042038")</f>
        <v>082352042038</v>
      </c>
      <c r="W3371" s="45"/>
    </row>
    <row r="3372">
      <c r="A3372" s="45"/>
      <c r="B3372" s="35" t="str">
        <f>IFERROR(__xludf.DUMMYFUNCTION("""COMPUTED_VALUE"""),"27/01/2026 11:58:32")</f>
        <v>27/01/2026 11:58:32</v>
      </c>
      <c r="C3372" s="35"/>
      <c r="D3372" s="10">
        <f>IFERROR(__xludf.DUMMYFUNCTION("""COMPUTED_VALUE"""),46049.0)</f>
        <v>46049</v>
      </c>
      <c r="E3372" s="35" t="str">
        <f>IFERROR(__xludf.DUMMYFUNCTION("""COMPUTED_VALUE"""),"01Jan")</f>
        <v>01Jan</v>
      </c>
      <c r="F3372" s="35" t="str">
        <f>IFERROR(__xludf.DUMMYFUNCTION("""COMPUTED_VALUE"""),"2026")</f>
        <v>2026</v>
      </c>
      <c r="G3372" s="35" t="str">
        <f>IFERROR(__xludf.DUMMYFUNCTION("""COMPUTED_VALUE"""),"MERRY 7710")</f>
        <v>MERRY 7710</v>
      </c>
      <c r="H3372" s="35" t="str">
        <f>IFERROR(__xludf.DUMMYFUNCTION("""COMPUTED_VALUE"""),"M7726019333")</f>
        <v>M7726019333</v>
      </c>
      <c r="I3372" s="35">
        <f>IFERROR(__xludf.DUMMYFUNCTION("""COMPUTED_VALUE"""),48.0)</f>
        <v>48</v>
      </c>
      <c r="J3372" s="35" t="str">
        <f>IFERROR(__xludf.DUMMYFUNCTION("""COMPUTED_VALUE"""),"&gt; 44 tahun")</f>
        <v>&gt; 44 tahun</v>
      </c>
      <c r="K3372" s="35" t="str">
        <f>IFERROR(__xludf.DUMMYFUNCTION("""COMPUTED_VALUE"""),"09/10/1977")</f>
        <v>09/10/1977</v>
      </c>
      <c r="L3372" s="35" t="str">
        <f>IFERROR(__xludf.DUMMYFUNCTION("""COMPUTED_VALUE"""),"PEREMPUAN")</f>
        <v>PEREMPUAN</v>
      </c>
      <c r="M3372" s="35" t="str">
        <f>IFERROR(__xludf.DUMMYFUNCTION("""COMPUTED_VALUE"""),"JL. DR. WAHIDIN S. KOMPLEK MITRA RAYA LESTARI 5 , BLOK B-8")</f>
        <v>JL. DR. WAHIDIN S. KOMPLEK MITRA RAYA LESTARI 5 , BLOK B-8</v>
      </c>
      <c r="N3372" s="35" t="str">
        <f>IFERROR(__xludf.DUMMYFUNCTION("""COMPUTED_VALUE"""),"SEI JAWI")</f>
        <v>SEI JAWI</v>
      </c>
      <c r="O3372" s="35" t="str">
        <f>IFERROR(__xludf.DUMMYFUNCTION("""COMPUTED_VALUE"""),"PONTIANAK BARAT")</f>
        <v>PONTIANAK BARAT</v>
      </c>
      <c r="P3372" s="35" t="str">
        <f>IFERROR(__xludf.DUMMYFUNCTION("""COMPUTED_VALUE"""),"PONTIANAK")</f>
        <v>PONTIANAK</v>
      </c>
      <c r="Q3372" s="35" t="str">
        <f>IFERROR(__xludf.DUMMYFUNCTION("""COMPUTED_VALUE"""),"KALIMANTAN BARAT")</f>
        <v>KALIMANTAN BARAT</v>
      </c>
      <c r="R3372" s="35" t="str">
        <f>IFERROR(__xludf.DUMMYFUNCTION("""COMPUTED_VALUE"""),"KATOLIK")</f>
        <v>KATOLIK</v>
      </c>
      <c r="S3372" s="74" t="str">
        <f>IFERROR(__xludf.DUMMYFUNCTION("""COMPUTED_VALUE"""),"SWASTA")</f>
        <v>SWASTA</v>
      </c>
      <c r="T3372" s="35" t="str">
        <f>IFERROR(__xludf.DUMMYFUNCTION("""COMPUTED_VALUE"""),"SAKIT TULANG BELIKAT KANAN BELAKANG SAMPE KE LEHER DAN. KEPALA")</f>
        <v>SAKIT TULANG BELIKAT KANAN BELAKANG SAMPE KE LEHER DAN. KEPALA</v>
      </c>
      <c r="U3372" s="35" t="str">
        <f>IFERROR(__xludf.DUMMYFUNCTION("""COMPUTED_VALUE"""),"YOGA, GYM")</f>
        <v>YOGA, GYM</v>
      </c>
      <c r="V3372" s="35" t="str">
        <f>IFERROR(__xludf.DUMMYFUNCTION("""COMPUTED_VALUE"""),"081818499333")</f>
        <v>081818499333</v>
      </c>
      <c r="W3372" s="45"/>
    </row>
    <row r="3373">
      <c r="A3373" s="45"/>
      <c r="B3373" s="35" t="str">
        <f>IFERROR(__xludf.DUMMYFUNCTION("""COMPUTED_VALUE"""),"27/01/2026 13:13:48")</f>
        <v>27/01/2026 13:13:48</v>
      </c>
      <c r="C3373" s="35"/>
      <c r="D3373" s="10">
        <f>IFERROR(__xludf.DUMMYFUNCTION("""COMPUTED_VALUE"""),46049.0)</f>
        <v>46049</v>
      </c>
      <c r="E3373" s="35" t="str">
        <f>IFERROR(__xludf.DUMMYFUNCTION("""COMPUTED_VALUE"""),"01Jan")</f>
        <v>01Jan</v>
      </c>
      <c r="F3373" s="35" t="str">
        <f>IFERROR(__xludf.DUMMYFUNCTION("""COMPUTED_VALUE"""),"2026")</f>
        <v>2026</v>
      </c>
      <c r="G3373" s="35" t="str">
        <f>IFERROR(__xludf.DUMMYFUNCTION("""COMPUTED_VALUE"""),"RAY DEDDY AZMI")</f>
        <v>RAY DEDDY AZMI</v>
      </c>
      <c r="H3373" s="35" t="str">
        <f>IFERROR(__xludf.DUMMYFUNCTION("""COMPUTED_VALUE"""),"R8826018833")</f>
        <v>R8826018833</v>
      </c>
      <c r="I3373" s="35">
        <f>IFERROR(__xludf.DUMMYFUNCTION("""COMPUTED_VALUE"""),38.0)</f>
        <v>38</v>
      </c>
      <c r="J3373" s="35" t="str">
        <f>IFERROR(__xludf.DUMMYFUNCTION("""COMPUTED_VALUE"""),"35-44 tahun")</f>
        <v>35-44 tahun</v>
      </c>
      <c r="K3373" s="35" t="str">
        <f>IFERROR(__xludf.DUMMYFUNCTION("""COMPUTED_VALUE"""),"08/03/1988")</f>
        <v>08/03/1988</v>
      </c>
      <c r="L3373" s="35" t="str">
        <f>IFERROR(__xludf.DUMMYFUNCTION("""COMPUTED_VALUE"""),"LAKI-LAKI")</f>
        <v>LAKI-LAKI</v>
      </c>
      <c r="M3373" s="35" t="str">
        <f>IFERROR(__xludf.DUMMYFUNCTION("""COMPUTED_VALUE"""),"JL SAMBAS BARAT BLOK 15 NO 234 PERUM IV")</f>
        <v>JL SAMBAS BARAT BLOK 15 NO 234 PERUM IV</v>
      </c>
      <c r="N3373" s="35" t="str">
        <f>IFERROR(__xludf.DUMMYFUNCTION("""COMPUTED_VALUE"""),"DURIAN")</f>
        <v>DURIAN</v>
      </c>
      <c r="O3373" s="35" t="str">
        <f>IFERROR(__xludf.DUMMYFUNCTION("""COMPUTED_VALUE"""),"SUNGAI AMBAWANG")</f>
        <v>SUNGAI AMBAWANG</v>
      </c>
      <c r="P3373" s="35" t="str">
        <f>IFERROR(__xludf.DUMMYFUNCTION("""COMPUTED_VALUE"""),"KUBU RAYA")</f>
        <v>KUBU RAYA</v>
      </c>
      <c r="Q3373" s="35" t="str">
        <f>IFERROR(__xludf.DUMMYFUNCTION("""COMPUTED_VALUE"""),"KALIMANTAN BARAT")</f>
        <v>KALIMANTAN BARAT</v>
      </c>
      <c r="R3373" s="35" t="str">
        <f>IFERROR(__xludf.DUMMYFUNCTION("""COMPUTED_VALUE"""),"ISLAM")</f>
        <v>ISLAM</v>
      </c>
      <c r="S3373" s="74" t="str">
        <f>IFERROR(__xludf.DUMMYFUNCTION("""COMPUTED_VALUE"""),"WIRASWASTA")</f>
        <v>WIRASWASTA</v>
      </c>
      <c r="T3373" s="35" t="str">
        <f>IFERROR(__xludf.DUMMYFUNCTION("""COMPUTED_VALUE"""),"KAKI")</f>
        <v>KAKI</v>
      </c>
      <c r="U3373" s="35" t="str">
        <f>IFERROR(__xludf.DUMMYFUNCTION("""COMPUTED_VALUE"""),"-")</f>
        <v>-</v>
      </c>
      <c r="V3373" s="35" t="str">
        <f>IFERROR(__xludf.DUMMYFUNCTION("""COMPUTED_VALUE"""),"085650878833")</f>
        <v>085650878833</v>
      </c>
      <c r="W3373" s="45"/>
    </row>
    <row r="3374">
      <c r="A3374" s="45"/>
      <c r="B3374" s="35" t="str">
        <f>IFERROR(__xludf.DUMMYFUNCTION("""COMPUTED_VALUE"""),"27/01/2026 13:33:32")</f>
        <v>27/01/2026 13:33:32</v>
      </c>
      <c r="C3374" s="35"/>
      <c r="D3374" s="10">
        <f>IFERROR(__xludf.DUMMYFUNCTION("""COMPUTED_VALUE"""),46049.0)</f>
        <v>46049</v>
      </c>
      <c r="E3374" s="35" t="str">
        <f>IFERROR(__xludf.DUMMYFUNCTION("""COMPUTED_VALUE"""),"01Jan")</f>
        <v>01Jan</v>
      </c>
      <c r="F3374" s="35" t="str">
        <f>IFERROR(__xludf.DUMMYFUNCTION("""COMPUTED_VALUE"""),"2026")</f>
        <v>2026</v>
      </c>
      <c r="G3374" s="35" t="str">
        <f>IFERROR(__xludf.DUMMYFUNCTION("""COMPUTED_VALUE"""),"TITIN SUBAKTI S.SOS")</f>
        <v>TITIN SUBAKTI S.SOS</v>
      </c>
      <c r="H3374" s="35" t="str">
        <f>IFERROR(__xludf.DUMMYFUNCTION("""COMPUTED_VALUE"""),"T6926011206")</f>
        <v>T6926011206</v>
      </c>
      <c r="I3374" s="35">
        <f>IFERROR(__xludf.DUMMYFUNCTION("""COMPUTED_VALUE"""),56.0)</f>
        <v>56</v>
      </c>
      <c r="J3374" s="35" t="str">
        <f>IFERROR(__xludf.DUMMYFUNCTION("""COMPUTED_VALUE"""),"&gt; 44 tahun")</f>
        <v>&gt; 44 tahun</v>
      </c>
      <c r="K3374" s="35" t="str">
        <f>IFERROR(__xludf.DUMMYFUNCTION("""COMPUTED_VALUE"""),"07/12/1969")</f>
        <v>07/12/1969</v>
      </c>
      <c r="L3374" s="35" t="str">
        <f>IFERROR(__xludf.DUMMYFUNCTION("""COMPUTED_VALUE"""),"PEREMPUAN")</f>
        <v>PEREMPUAN</v>
      </c>
      <c r="M3374" s="35" t="str">
        <f>IFERROR(__xludf.DUMMYFUNCTION("""COMPUTED_VALUE"""),"JL ALIANYANG GG RAHAYU NO 23 A")</f>
        <v>JL ALIANYANG GG RAHAYU NO 23 A</v>
      </c>
      <c r="N3374" s="35" t="str">
        <f>IFERROR(__xludf.DUMMYFUNCTION("""COMPUTED_VALUE"""),"SEI BANGKONG")</f>
        <v>SEI BANGKONG</v>
      </c>
      <c r="O3374" s="35" t="str">
        <f>IFERROR(__xludf.DUMMYFUNCTION("""COMPUTED_VALUE"""),"PONTIANAK KOTA")</f>
        <v>PONTIANAK KOTA</v>
      </c>
      <c r="P3374" s="35" t="str">
        <f>IFERROR(__xludf.DUMMYFUNCTION("""COMPUTED_VALUE"""),"KOTA PONTIANAK")</f>
        <v>KOTA PONTIANAK</v>
      </c>
      <c r="Q3374" s="35" t="str">
        <f>IFERROR(__xludf.DUMMYFUNCTION("""COMPUTED_VALUE"""),"KALIMANTAN BARAT")</f>
        <v>KALIMANTAN BARAT</v>
      </c>
      <c r="R3374" s="35" t="str">
        <f>IFERROR(__xludf.DUMMYFUNCTION("""COMPUTED_VALUE"""),"ISLAM")</f>
        <v>ISLAM</v>
      </c>
      <c r="S3374" s="74" t="str">
        <f>IFERROR(__xludf.DUMMYFUNCTION("""COMPUTED_VALUE"""),"PNS")</f>
        <v>PNS</v>
      </c>
      <c r="T3374" s="35" t="str">
        <f>IFERROR(__xludf.DUMMYFUNCTION("""COMPUTED_VALUE"""),"PINGGANG")</f>
        <v>PINGGANG</v>
      </c>
      <c r="U3374" s="35" t="str">
        <f>IFERROR(__xludf.DUMMYFUNCTION("""COMPUTED_VALUE"""),"-")</f>
        <v>-</v>
      </c>
      <c r="V3374" s="35" t="str">
        <f>IFERROR(__xludf.DUMMYFUNCTION("""COMPUTED_VALUE"""),"85828371206")</f>
        <v>85828371206</v>
      </c>
      <c r="W3374" s="45"/>
    </row>
    <row r="3375">
      <c r="A3375" s="45" t="str">
        <f>IFERROR(__xludf.DUMMYFUNCTION("""COMPUTED_VALUE"""),"   ")</f>
        <v>   </v>
      </c>
      <c r="B3375" s="35" t="str">
        <f>IFERROR(__xludf.DUMMYFUNCTION("""COMPUTED_VALUE"""),"27/01/2026 16:32:53")</f>
        <v>27/01/2026 16:32:53</v>
      </c>
      <c r="C3375" s="35"/>
      <c r="D3375" s="10">
        <f>IFERROR(__xludf.DUMMYFUNCTION("""COMPUTED_VALUE"""),46049.0)</f>
        <v>46049</v>
      </c>
      <c r="E3375" s="35" t="str">
        <f>IFERROR(__xludf.DUMMYFUNCTION("""COMPUTED_VALUE"""),"01Jan")</f>
        <v>01Jan</v>
      </c>
      <c r="F3375" s="35" t="str">
        <f>IFERROR(__xludf.DUMMYFUNCTION("""COMPUTED_VALUE"""),"2026")</f>
        <v>2026</v>
      </c>
      <c r="G3375" s="35" t="str">
        <f>IFERROR(__xludf.DUMMYFUNCTION("""COMPUTED_VALUE"""),"DRS BAGOES SOENHARLAN")</f>
        <v>DRS BAGOES SOENHARLAN</v>
      </c>
      <c r="H3375" s="35" t="str">
        <f>IFERROR(__xludf.DUMMYFUNCTION("""COMPUTED_VALUE"""),"D5626011207")</f>
        <v>D5626011207</v>
      </c>
      <c r="I3375" s="35">
        <f>IFERROR(__xludf.DUMMYFUNCTION("""COMPUTED_VALUE"""),69.0)</f>
        <v>69</v>
      </c>
      <c r="J3375" s="35" t="str">
        <f>IFERROR(__xludf.DUMMYFUNCTION("""COMPUTED_VALUE"""),"&gt; 44 tahun")</f>
        <v>&gt; 44 tahun</v>
      </c>
      <c r="K3375" s="35" t="str">
        <f>IFERROR(__xludf.DUMMYFUNCTION("""COMPUTED_VALUE"""),"10/10/1956")</f>
        <v>10/10/1956</v>
      </c>
      <c r="L3375" s="35" t="str">
        <f>IFERROR(__xludf.DUMMYFUNCTION("""COMPUTED_VALUE"""),"LAKI-LAKI")</f>
        <v>LAKI-LAKI</v>
      </c>
      <c r="M3375" s="35" t="str">
        <f>IFERROR(__xludf.DUMMYFUNCTION("""COMPUTED_VALUE"""),"JL ALIANYANG GG RAHAYU N0 23A")</f>
        <v>JL ALIANYANG GG RAHAYU N0 23A</v>
      </c>
      <c r="N3375" s="35" t="str">
        <f>IFERROR(__xludf.DUMMYFUNCTION("""COMPUTED_VALUE"""),"-")</f>
        <v>-</v>
      </c>
      <c r="O3375" s="35" t="str">
        <f>IFERROR(__xludf.DUMMYFUNCTION("""COMPUTED_VALUE"""),"-")</f>
        <v>-</v>
      </c>
      <c r="P3375" s="35" t="str">
        <f>IFERROR(__xludf.DUMMYFUNCTION("""COMPUTED_VALUE"""),"PONTIANAK")</f>
        <v>PONTIANAK</v>
      </c>
      <c r="Q3375" s="35" t="str">
        <f>IFERROR(__xludf.DUMMYFUNCTION("""COMPUTED_VALUE"""),"KALIMANTAN BARAT")</f>
        <v>KALIMANTAN BARAT</v>
      </c>
      <c r="R3375" s="35" t="str">
        <f>IFERROR(__xludf.DUMMYFUNCTION("""COMPUTED_VALUE"""),"ISLAM")</f>
        <v>ISLAM</v>
      </c>
      <c r="S3375" s="74" t="str">
        <f>IFERROR(__xludf.DUMMYFUNCTION("""COMPUTED_VALUE"""),"PENSIUNAN PNS")</f>
        <v>PENSIUNAN PNS</v>
      </c>
      <c r="T3375" s="35" t="str">
        <f>IFERROR(__xludf.DUMMYFUNCTION("""COMPUTED_VALUE"""),"OTOT TEGANG")</f>
        <v>OTOT TEGANG</v>
      </c>
      <c r="U3375" s="35" t="str">
        <f>IFERROR(__xludf.DUMMYFUNCTION("""COMPUTED_VALUE"""),"-")</f>
        <v>-</v>
      </c>
      <c r="V3375" s="35" t="str">
        <f>IFERROR(__xludf.DUMMYFUNCTION("""COMPUTED_VALUE"""),"85828371207")</f>
        <v>85828371207</v>
      </c>
      <c r="W3375" s="45"/>
    </row>
    <row r="3376">
      <c r="A3376" s="45"/>
      <c r="B3376" s="35" t="str">
        <f>IFERROR(__xludf.DUMMYFUNCTION("""COMPUTED_VALUE"""),"27/01/2026 16:38:55")</f>
        <v>27/01/2026 16:38:55</v>
      </c>
      <c r="C3376" s="35"/>
      <c r="D3376" s="10">
        <f>IFERROR(__xludf.DUMMYFUNCTION("""COMPUTED_VALUE"""),46049.0)</f>
        <v>46049</v>
      </c>
      <c r="E3376" s="35" t="str">
        <f>IFERROR(__xludf.DUMMYFUNCTION("""COMPUTED_VALUE"""),"01Jan")</f>
        <v>01Jan</v>
      </c>
      <c r="F3376" s="35" t="str">
        <f>IFERROR(__xludf.DUMMYFUNCTION("""COMPUTED_VALUE"""),"2026")</f>
        <v>2026</v>
      </c>
      <c r="G3376" s="35" t="str">
        <f>IFERROR(__xludf.DUMMYFUNCTION("""COMPUTED_VALUE"""),"HERY PURYANTO")</f>
        <v>HERY PURYANTO</v>
      </c>
      <c r="H3376" s="35" t="str">
        <f>IFERROR(__xludf.DUMMYFUNCTION("""COMPUTED_VALUE"""),"H7226016491")</f>
        <v>H7226016491</v>
      </c>
      <c r="I3376" s="35">
        <f>IFERROR(__xludf.DUMMYFUNCTION("""COMPUTED_VALUE"""),54.0)</f>
        <v>54</v>
      </c>
      <c r="J3376" s="35" t="str">
        <f>IFERROR(__xludf.DUMMYFUNCTION("""COMPUTED_VALUE"""),"&gt; 44 tahun")</f>
        <v>&gt; 44 tahun</v>
      </c>
      <c r="K3376" s="35" t="str">
        <f>IFERROR(__xludf.DUMMYFUNCTION("""COMPUTED_VALUE"""),"27/02/1972")</f>
        <v>27/02/1972</v>
      </c>
      <c r="L3376" s="35" t="str">
        <f>IFERROR(__xludf.DUMMYFUNCTION("""COMPUTED_VALUE"""),"LAKI-LAKI")</f>
        <v>LAKI-LAKI</v>
      </c>
      <c r="M3376" s="35" t="str">
        <f>IFERROR(__xludf.DUMMYFUNCTION("""COMPUTED_VALUE"""),"JL KOM YOS SUDARSO GG SAMBAS 4 NO 41")</f>
        <v>JL KOM YOS SUDARSO GG SAMBAS 4 NO 41</v>
      </c>
      <c r="N3376" s="35" t="str">
        <f>IFERROR(__xludf.DUMMYFUNCTION("""COMPUTED_VALUE"""),"SUNGAI BELIUNG")</f>
        <v>SUNGAI BELIUNG</v>
      </c>
      <c r="O3376" s="35" t="str">
        <f>IFERROR(__xludf.DUMMYFUNCTION("""COMPUTED_VALUE"""),"PONTIANAK BARAT")</f>
        <v>PONTIANAK BARAT</v>
      </c>
      <c r="P3376" s="35" t="str">
        <f>IFERROR(__xludf.DUMMYFUNCTION("""COMPUTED_VALUE"""),"KOTA PONTIANAK")</f>
        <v>KOTA PONTIANAK</v>
      </c>
      <c r="Q3376" s="35" t="str">
        <f>IFERROR(__xludf.DUMMYFUNCTION("""COMPUTED_VALUE"""),"KALIMANTAN BARAT")</f>
        <v>KALIMANTAN BARAT</v>
      </c>
      <c r="R3376" s="35" t="str">
        <f>IFERROR(__xludf.DUMMYFUNCTION("""COMPUTED_VALUE"""),"ISLAM")</f>
        <v>ISLAM</v>
      </c>
      <c r="S3376" s="74" t="str">
        <f>IFERROR(__xludf.DUMMYFUNCTION("""COMPUTED_VALUE"""),"BURUH")</f>
        <v>BURUH</v>
      </c>
      <c r="T3376" s="35" t="str">
        <f>IFERROR(__xludf.DUMMYFUNCTION("""COMPUTED_VALUE"""),"KAKI KANAN LEMAH MAU MELANGKAH")</f>
        <v>KAKI KANAN LEMAH MAU MELANGKAH</v>
      </c>
      <c r="U3376" s="35" t="str">
        <f>IFERROR(__xludf.DUMMYFUNCTION("""COMPUTED_VALUE"""),"KERJA")</f>
        <v>KERJA</v>
      </c>
      <c r="V3376" s="35" t="str">
        <f>IFERROR(__xludf.DUMMYFUNCTION("""COMPUTED_VALUE"""),"089618256491")</f>
        <v>089618256491</v>
      </c>
      <c r="W3376" s="45"/>
    </row>
    <row r="3377">
      <c r="A3377" s="45"/>
      <c r="B3377" s="35" t="str">
        <f>IFERROR(__xludf.DUMMYFUNCTION("""COMPUTED_VALUE"""),"27/01/2026 17:19:24")</f>
        <v>27/01/2026 17:19:24</v>
      </c>
      <c r="C3377" s="35"/>
      <c r="D3377" s="10">
        <f>IFERROR(__xludf.DUMMYFUNCTION("""COMPUTED_VALUE"""),46049.0)</f>
        <v>46049</v>
      </c>
      <c r="E3377" s="35" t="str">
        <f>IFERROR(__xludf.DUMMYFUNCTION("""COMPUTED_VALUE"""),"01Jan")</f>
        <v>01Jan</v>
      </c>
      <c r="F3377" s="35" t="str">
        <f>IFERROR(__xludf.DUMMYFUNCTION("""COMPUTED_VALUE"""),"2026")</f>
        <v>2026</v>
      </c>
      <c r="G3377" s="35" t="str">
        <f>IFERROR(__xludf.DUMMYFUNCTION("""COMPUTED_VALUE"""),"ELSA ELFIRA")</f>
        <v>ELSA ELFIRA</v>
      </c>
      <c r="H3377" s="35" t="str">
        <f>IFERROR(__xludf.DUMMYFUNCTION("""COMPUTED_VALUE"""),"E9426015632")</f>
        <v>E9426015632</v>
      </c>
      <c r="I3377" s="35">
        <f>IFERROR(__xludf.DUMMYFUNCTION("""COMPUTED_VALUE"""),32.0)</f>
        <v>32</v>
      </c>
      <c r="J3377" s="35" t="str">
        <f>IFERROR(__xludf.DUMMYFUNCTION("""COMPUTED_VALUE"""),"25-34 tahun")</f>
        <v>25-34 tahun</v>
      </c>
      <c r="K3377" s="35" t="str">
        <f>IFERROR(__xludf.DUMMYFUNCTION("""COMPUTED_VALUE"""),"28/03/1994")</f>
        <v>28/03/1994</v>
      </c>
      <c r="L3377" s="35" t="str">
        <f>IFERROR(__xludf.DUMMYFUNCTION("""COMPUTED_VALUE"""),"PEREMPUAN")</f>
        <v>PEREMPUAN</v>
      </c>
      <c r="M3377" s="35" t="str">
        <f>IFERROR(__xludf.DUMMYFUNCTION("""COMPUTED_VALUE"""),"PARIT KARYA BARU LAUT")</f>
        <v>PARIT KARYA BARU LAUT</v>
      </c>
      <c r="N3377" s="35" t="str">
        <f>IFERROR(__xludf.DUMMYFUNCTION("""COMPUTED_VALUE"""),"DESA KUALA DUA")</f>
        <v>DESA KUALA DUA</v>
      </c>
      <c r="O3377" s="35" t="str">
        <f>IFERROR(__xludf.DUMMYFUNCTION("""COMPUTED_VALUE"""),"SUNGAI RAYA ")</f>
        <v>SUNGAI RAYA </v>
      </c>
      <c r="P3377" s="35" t="str">
        <f>IFERROR(__xludf.DUMMYFUNCTION("""COMPUTED_VALUE"""),"KAB. KUBU RAYA")</f>
        <v>KAB. KUBU RAYA</v>
      </c>
      <c r="Q3377" s="35" t="str">
        <f>IFERROR(__xludf.DUMMYFUNCTION("""COMPUTED_VALUE"""),"KALIMANTAN BARAT ")</f>
        <v>KALIMANTAN BARAT </v>
      </c>
      <c r="R3377" s="35" t="str">
        <f>IFERROR(__xludf.DUMMYFUNCTION("""COMPUTED_VALUE"""),"ISLAM")</f>
        <v>ISLAM</v>
      </c>
      <c r="S3377" s="74" t="str">
        <f>IFERROR(__xludf.DUMMYFUNCTION("""COMPUTED_VALUE"""),"GURU")</f>
        <v>GURU</v>
      </c>
      <c r="T3377" s="35" t="str">
        <f>IFERROR(__xludf.DUMMYFUNCTION("""COMPUTED_VALUE"""),"SAKIT KAKI")</f>
        <v>SAKIT KAKI</v>
      </c>
      <c r="U3377" s="35" t="str">
        <f>IFERROR(__xludf.DUMMYFUNCTION("""COMPUTED_VALUE"""),"JALAN, NAIK TURUN TANGGA")</f>
        <v>JALAN, NAIK TURUN TANGGA</v>
      </c>
      <c r="V3377" s="35" t="str">
        <f>IFERROR(__xludf.DUMMYFUNCTION("""COMPUTED_VALUE"""),"089522855632")</f>
        <v>089522855632</v>
      </c>
      <c r="W3377" s="45"/>
    </row>
    <row r="3378">
      <c r="A3378" s="45"/>
      <c r="B3378" s="35" t="str">
        <f>IFERROR(__xludf.DUMMYFUNCTION("""COMPUTED_VALUE"""),"27/01/2026 17:49:26")</f>
        <v>27/01/2026 17:49:26</v>
      </c>
      <c r="C3378" s="35"/>
      <c r="D3378" s="10">
        <f>IFERROR(__xludf.DUMMYFUNCTION("""COMPUTED_VALUE"""),46049.0)</f>
        <v>46049</v>
      </c>
      <c r="E3378" s="35" t="str">
        <f>IFERROR(__xludf.DUMMYFUNCTION("""COMPUTED_VALUE"""),"01Jan")</f>
        <v>01Jan</v>
      </c>
      <c r="F3378" s="35" t="str">
        <f>IFERROR(__xludf.DUMMYFUNCTION("""COMPUTED_VALUE"""),"2026")</f>
        <v>2026</v>
      </c>
      <c r="G3378" s="35" t="str">
        <f>IFERROR(__xludf.DUMMYFUNCTION("""COMPUTED_VALUE"""),"WANTI SETIANINGSIH")</f>
        <v>WANTI SETIANINGSIH</v>
      </c>
      <c r="H3378" s="35" t="str">
        <f>IFERROR(__xludf.DUMMYFUNCTION("""COMPUTED_VALUE"""),"W7126012991")</f>
        <v>W7126012991</v>
      </c>
      <c r="I3378" s="35">
        <f>IFERROR(__xludf.DUMMYFUNCTION("""COMPUTED_VALUE"""),54.0)</f>
        <v>54</v>
      </c>
      <c r="J3378" s="35" t="str">
        <f>IFERROR(__xludf.DUMMYFUNCTION("""COMPUTED_VALUE"""),"&gt; 44 tahun")</f>
        <v>&gt; 44 tahun</v>
      </c>
      <c r="K3378" s="75">
        <f>IFERROR(__xludf.DUMMYFUNCTION("""COMPUTED_VALUE"""),26210.0)</f>
        <v>26210</v>
      </c>
      <c r="L3378" s="35" t="str">
        <f>IFERROR(__xludf.DUMMYFUNCTION("""COMPUTED_VALUE"""),"PEREMPUAN")</f>
        <v>PEREMPUAN</v>
      </c>
      <c r="M3378" s="35" t="str">
        <f>IFERROR(__xludf.DUMMYFUNCTION("""COMPUTED_VALUE"""),"KOMPLEK UNTAN JALAN SEKADAU NO K 63 PONTIANAK KAL-BAR")</f>
        <v>KOMPLEK UNTAN JALAN SEKADAU NO K 63 PONTIANAK KAL-BAR</v>
      </c>
      <c r="N3378" s="35" t="str">
        <f>IFERROR(__xludf.DUMMYFUNCTION("""COMPUTED_VALUE"""),"BANGKA BELITUNG LAUT")</f>
        <v>BANGKA BELITUNG LAUT</v>
      </c>
      <c r="O3378" s="35" t="str">
        <f>IFERROR(__xludf.DUMMYFUNCTION("""COMPUTED_VALUE"""),"PONTIANAK TENGGARA")</f>
        <v>PONTIANAK TENGGARA</v>
      </c>
      <c r="P3378" s="35" t="str">
        <f>IFERROR(__xludf.DUMMYFUNCTION("""COMPUTED_VALUE"""),"PONTIANAK")</f>
        <v>PONTIANAK</v>
      </c>
      <c r="Q3378" s="35" t="str">
        <f>IFERROR(__xludf.DUMMYFUNCTION("""COMPUTED_VALUE"""),"KALIMANTAN BARAT")</f>
        <v>KALIMANTAN BARAT</v>
      </c>
      <c r="R3378" s="35" t="str">
        <f>IFERROR(__xludf.DUMMYFUNCTION("""COMPUTED_VALUE"""),"ISLAM")</f>
        <v>ISLAM</v>
      </c>
      <c r="S3378" s="74" t="str">
        <f>IFERROR(__xludf.DUMMYFUNCTION("""COMPUTED_VALUE"""),"IRT")</f>
        <v>IRT</v>
      </c>
      <c r="T3378" s="35" t="str">
        <f>IFERROR(__xludf.DUMMYFUNCTION("""COMPUTED_VALUE"""),"SAKIT PINGGANG SAMPAI BETIS")</f>
        <v>SAKIT PINGGANG SAMPAI BETIS</v>
      </c>
      <c r="U3378" s="35" t="str">
        <f>IFERROR(__xludf.DUMMYFUNCTION("""COMPUTED_VALUE"""),"BERKEBUN, MENGANGKAT BERAT, MONDAR MANDIR")</f>
        <v>BERKEBUN, MENGANGKAT BERAT, MONDAR MANDIR</v>
      </c>
      <c r="V3378" s="35" t="str">
        <f>IFERROR(__xludf.DUMMYFUNCTION("""COMPUTED_VALUE"""),"085345562991")</f>
        <v>085345562991</v>
      </c>
      <c r="W3378" s="45"/>
    </row>
    <row r="3379">
      <c r="A3379" s="45"/>
      <c r="B3379" s="35" t="str">
        <f>IFERROR(__xludf.DUMMYFUNCTION("""COMPUTED_VALUE"""),"27/01/2026 18:20:25")</f>
        <v>27/01/2026 18:20:25</v>
      </c>
      <c r="C3379" s="35"/>
      <c r="D3379" s="10">
        <f>IFERROR(__xludf.DUMMYFUNCTION("""COMPUTED_VALUE"""),46049.0)</f>
        <v>46049</v>
      </c>
      <c r="E3379" s="35" t="str">
        <f>IFERROR(__xludf.DUMMYFUNCTION("""COMPUTED_VALUE"""),"01Jan")</f>
        <v>01Jan</v>
      </c>
      <c r="F3379" s="35" t="str">
        <f>IFERROR(__xludf.DUMMYFUNCTION("""COMPUTED_VALUE"""),"2026")</f>
        <v>2026</v>
      </c>
      <c r="G3379" s="35" t="str">
        <f>IFERROR(__xludf.DUMMYFUNCTION("""COMPUTED_VALUE"""),"ANIS MUTIA")</f>
        <v>ANIS MUTIA</v>
      </c>
      <c r="H3379" s="35" t="str">
        <f>IFERROR(__xludf.DUMMYFUNCTION("""COMPUTED_VALUE"""),"A9526015016")</f>
        <v>A9526015016</v>
      </c>
      <c r="I3379" s="35">
        <f>IFERROR(__xludf.DUMMYFUNCTION("""COMPUTED_VALUE"""),30.0)</f>
        <v>30</v>
      </c>
      <c r="J3379" s="35" t="str">
        <f>IFERROR(__xludf.DUMMYFUNCTION("""COMPUTED_VALUE"""),"25-34 tahun")</f>
        <v>25-34 tahun</v>
      </c>
      <c r="K3379" s="35" t="str">
        <f>IFERROR(__xludf.DUMMYFUNCTION("""COMPUTED_VALUE"""),"14/09/1995")</f>
        <v>14/09/1995</v>
      </c>
      <c r="L3379" s="35" t="str">
        <f>IFERROR(__xludf.DUMMYFUNCTION("""COMPUTED_VALUE"""),"PEREMPUAN")</f>
        <v>PEREMPUAN</v>
      </c>
      <c r="M3379" s="35" t="str">
        <f>IFERROR(__xludf.DUMMYFUNCTION("""COMPUTED_VALUE"""),"JL GUSTI HAMZAH GG NUR 3 NO 5")</f>
        <v>JL GUSTI HAMZAH GG NUR 3 NO 5</v>
      </c>
      <c r="N3379" s="35" t="str">
        <f>IFERROR(__xludf.DUMMYFUNCTION("""COMPUTED_VALUE"""),"SUNGAI JAWI")</f>
        <v>SUNGAI JAWI</v>
      </c>
      <c r="O3379" s="35" t="str">
        <f>IFERROR(__xludf.DUMMYFUNCTION("""COMPUTED_VALUE"""),"PONTIANAK KOTA")</f>
        <v>PONTIANAK KOTA</v>
      </c>
      <c r="P3379" s="35" t="str">
        <f>IFERROR(__xludf.DUMMYFUNCTION("""COMPUTED_VALUE"""),"PONTIANAK")</f>
        <v>PONTIANAK</v>
      </c>
      <c r="Q3379" s="35" t="str">
        <f>IFERROR(__xludf.DUMMYFUNCTION("""COMPUTED_VALUE"""),"KALIMANTAN BARAT")</f>
        <v>KALIMANTAN BARAT</v>
      </c>
      <c r="R3379" s="35" t="str">
        <f>IFERROR(__xludf.DUMMYFUNCTION("""COMPUTED_VALUE"""),"ISLAM")</f>
        <v>ISLAM</v>
      </c>
      <c r="S3379" s="74" t="str">
        <f>IFERROR(__xludf.DUMMYFUNCTION("""COMPUTED_VALUE"""),"BUMD")</f>
        <v>BUMD</v>
      </c>
      <c r="T3379" s="35" t="str">
        <f>IFERROR(__xludf.DUMMYFUNCTION("""COMPUTED_VALUE"""),"SAKIT DI PERGELANGAN TANGAN")</f>
        <v>SAKIT DI PERGELANGAN TANGAN</v>
      </c>
      <c r="U3379" s="35" t="str">
        <f>IFERROR(__xludf.DUMMYFUNCTION("""COMPUTED_VALUE"""),"MENGETIK DI KANTOR")</f>
        <v>MENGETIK DI KANTOR</v>
      </c>
      <c r="V3379" s="35" t="str">
        <f>IFERROR(__xludf.DUMMYFUNCTION("""COMPUTED_VALUE"""),"081349385016")</f>
        <v>081349385016</v>
      </c>
      <c r="W3379" s="45"/>
    </row>
    <row r="3380">
      <c r="A3380" s="45"/>
      <c r="B3380" s="35" t="str">
        <f>IFERROR(__xludf.DUMMYFUNCTION("""COMPUTED_VALUE"""),"27/01/2026 19:23:40")</f>
        <v>27/01/2026 19:23:40</v>
      </c>
      <c r="C3380" s="35"/>
      <c r="D3380" s="10">
        <f>IFERROR(__xludf.DUMMYFUNCTION("""COMPUTED_VALUE"""),46049.0)</f>
        <v>46049</v>
      </c>
      <c r="E3380" s="35" t="str">
        <f>IFERROR(__xludf.DUMMYFUNCTION("""COMPUTED_VALUE"""),"01Jan")</f>
        <v>01Jan</v>
      </c>
      <c r="F3380" s="35" t="str">
        <f>IFERROR(__xludf.DUMMYFUNCTION("""COMPUTED_VALUE"""),"2026")</f>
        <v>2026</v>
      </c>
      <c r="G3380" s="35" t="str">
        <f>IFERROR(__xludf.DUMMYFUNCTION("""COMPUTED_VALUE"""),"INZALIA")</f>
        <v>INZALIA</v>
      </c>
      <c r="H3380" s="35" t="str">
        <f>IFERROR(__xludf.DUMMYFUNCTION("""COMPUTED_VALUE"""),"I7126010597")</f>
        <v>I7126010597</v>
      </c>
      <c r="I3380" s="35">
        <f>IFERROR(__xludf.DUMMYFUNCTION("""COMPUTED_VALUE"""),55.0)</f>
        <v>55</v>
      </c>
      <c r="J3380" s="35" t="str">
        <f>IFERROR(__xludf.DUMMYFUNCTION("""COMPUTED_VALUE"""),"&gt; 44 tahun")</f>
        <v>&gt; 44 tahun</v>
      </c>
      <c r="K3380" s="35" t="str">
        <f>IFERROR(__xludf.DUMMYFUNCTION("""COMPUTED_VALUE"""),"08/04/1971")</f>
        <v>08/04/1971</v>
      </c>
      <c r="L3380" s="35" t="str">
        <f>IFERROR(__xludf.DUMMYFUNCTION("""COMPUTED_VALUE"""),"PEREMPUAN")</f>
        <v>PEREMPUAN</v>
      </c>
      <c r="M3380" s="35" t="str">
        <f>IFERROR(__xludf.DUMMYFUNCTION("""COMPUTED_VALUE"""),"JL.ADISUCIPTO KOMP BTN TELUK MULUS T15")</f>
        <v>JL.ADISUCIPTO KOMP BTN TELUK MULUS T15</v>
      </c>
      <c r="N3380" s="35" t="str">
        <f>IFERROR(__xludf.DUMMYFUNCTION("""COMPUTED_VALUE"""),"TELUK KAPUAS")</f>
        <v>TELUK KAPUAS</v>
      </c>
      <c r="O3380" s="35" t="str">
        <f>IFERROR(__xludf.DUMMYFUNCTION("""COMPUTED_VALUE"""),"SUNGAI RAYA")</f>
        <v>SUNGAI RAYA</v>
      </c>
      <c r="P3380" s="35" t="str">
        <f>IFERROR(__xludf.DUMMYFUNCTION("""COMPUTED_VALUE"""),"KUBU RAYA")</f>
        <v>KUBU RAYA</v>
      </c>
      <c r="Q3380" s="35" t="str">
        <f>IFERROR(__xludf.DUMMYFUNCTION("""COMPUTED_VALUE"""),"KALBAR")</f>
        <v>KALBAR</v>
      </c>
      <c r="R3380" s="35" t="str">
        <f>IFERROR(__xludf.DUMMYFUNCTION("""COMPUTED_VALUE"""),"ISLAM")</f>
        <v>ISLAM</v>
      </c>
      <c r="S3380" s="74" t="str">
        <f>IFERROR(__xludf.DUMMYFUNCTION("""COMPUTED_VALUE"""),"IRT")</f>
        <v>IRT</v>
      </c>
      <c r="T3380" s="35" t="str">
        <f>IFERROR(__xludf.DUMMYFUNCTION("""COMPUTED_VALUE"""),"(MINTA JADWAL MALAM YA KAK). PASIEN PASCA STROKE TANGAN KIRI DAN KAKI KIRI SULIT BERGERAK DISERTAI KAKI YANG SEPERTI MENCEKRAM")</f>
        <v>(MINTA JADWAL MALAM YA KAK). PASIEN PASCA STROKE TANGAN KIRI DAN KAKI KIRI SULIT BERGERAK DISERTAI KAKI YANG SEPERTI MENCEKRAM</v>
      </c>
      <c r="U3380" s="35" t="str">
        <f>IFERROR(__xludf.DUMMYFUNCTION("""COMPUTED_VALUE"""),"(MINTA JADWAL MALAM YA KAK). PASIEN KESULITAN BERJALAN DAN MENGGERAKKAN TANGAN")</f>
        <v>(MINTA JADWAL MALAM YA KAK). PASIEN KESULITAN BERJALAN DAN MENGGERAKKAN TANGAN</v>
      </c>
      <c r="V3380" s="35" t="str">
        <f>IFERROR(__xludf.DUMMYFUNCTION("""COMPUTED_VALUE"""),"082352630597")</f>
        <v>082352630597</v>
      </c>
      <c r="W3380" s="45"/>
    </row>
    <row r="3381">
      <c r="A3381" s="45"/>
      <c r="B3381" s="35" t="str">
        <f>IFERROR(__xludf.DUMMYFUNCTION("""COMPUTED_VALUE"""),"27/01/2026 19:54:46")</f>
        <v>27/01/2026 19:54:46</v>
      </c>
      <c r="C3381" s="35"/>
      <c r="D3381" s="10">
        <f>IFERROR(__xludf.DUMMYFUNCTION("""COMPUTED_VALUE"""),46049.0)</f>
        <v>46049</v>
      </c>
      <c r="E3381" s="35" t="str">
        <f>IFERROR(__xludf.DUMMYFUNCTION("""COMPUTED_VALUE"""),"01Jan")</f>
        <v>01Jan</v>
      </c>
      <c r="F3381" s="35" t="str">
        <f>IFERROR(__xludf.DUMMYFUNCTION("""COMPUTED_VALUE"""),"2026")</f>
        <v>2026</v>
      </c>
      <c r="G3381" s="35" t="str">
        <f>IFERROR(__xludf.DUMMYFUNCTION("""COMPUTED_VALUE"""),"AZZURA DWIPA ITZA K")</f>
        <v>AZZURA DWIPA ITZA K</v>
      </c>
      <c r="H3381" s="35" t="str">
        <f>IFERROR(__xludf.DUMMYFUNCTION("""COMPUTED_VALUE"""),"A1326011589")</f>
        <v>A1326011589</v>
      </c>
      <c r="I3381" s="35">
        <f>IFERROR(__xludf.DUMMYFUNCTION("""COMPUTED_VALUE"""),12.0)</f>
        <v>12</v>
      </c>
      <c r="J3381" s="35" t="str">
        <f>IFERROR(__xludf.DUMMYFUNCTION("""COMPUTED_VALUE"""),"&lt; 18 tahun")</f>
        <v>&lt; 18 tahun</v>
      </c>
      <c r="K3381" s="35" t="str">
        <f>IFERROR(__xludf.DUMMYFUNCTION("""COMPUTED_VALUE"""),"27/11/2013")</f>
        <v>27/11/2013</v>
      </c>
      <c r="L3381" s="35" t="str">
        <f>IFERROR(__xludf.DUMMYFUNCTION("""COMPUTED_VALUE"""),"PEREMPUAN")</f>
        <v>PEREMPUAN</v>
      </c>
      <c r="M3381" s="35" t="str">
        <f>IFERROR(__xludf.DUMMYFUNCTION("""COMPUTED_VALUE"""),"MEMPAWAH")</f>
        <v>MEMPAWAH</v>
      </c>
      <c r="N3381" s="35" t="str">
        <f>IFERROR(__xludf.DUMMYFUNCTION("""COMPUTED_VALUE"""),"MEMPAWAH")</f>
        <v>MEMPAWAH</v>
      </c>
      <c r="O3381" s="35" t="str">
        <f>IFERROR(__xludf.DUMMYFUNCTION("""COMPUTED_VALUE"""),"MEMPAWAH")</f>
        <v>MEMPAWAH</v>
      </c>
      <c r="P3381" s="35" t="str">
        <f>IFERROR(__xludf.DUMMYFUNCTION("""COMPUTED_VALUE"""),"MEMPAWAH")</f>
        <v>MEMPAWAH</v>
      </c>
      <c r="Q3381" s="35" t="str">
        <f>IFERROR(__xludf.DUMMYFUNCTION("""COMPUTED_VALUE"""),"KALBAR")</f>
        <v>KALBAR</v>
      </c>
      <c r="R3381" s="35" t="str">
        <f>IFERROR(__xludf.DUMMYFUNCTION("""COMPUTED_VALUE"""),"ISLAM")</f>
        <v>ISLAM</v>
      </c>
      <c r="S3381" s="74" t="str">
        <f>IFERROR(__xludf.DUMMYFUNCTION("""COMPUTED_VALUE"""),"PELAJAR")</f>
        <v>PELAJAR</v>
      </c>
      <c r="T3381" s="35" t="str">
        <f>IFERROR(__xludf.DUMMYFUNCTION("""COMPUTED_VALUE"""),"KESELEO")</f>
        <v>KESELEO</v>
      </c>
      <c r="U3381" s="35" t="str">
        <f>IFERROR(__xludf.DUMMYFUNCTION("""COMPUTED_VALUE"""),"VOLLY BALL")</f>
        <v>VOLLY BALL</v>
      </c>
      <c r="V3381" s="35" t="str">
        <f>IFERROR(__xludf.DUMMYFUNCTION("""COMPUTED_VALUE"""),"08115751589")</f>
        <v>08115751589</v>
      </c>
      <c r="W3381" s="45"/>
    </row>
    <row r="3382">
      <c r="A3382" s="45"/>
      <c r="B3382" s="35" t="str">
        <f>IFERROR(__xludf.DUMMYFUNCTION("""COMPUTED_VALUE"""),"27/01/2026 20:49:15")</f>
        <v>27/01/2026 20:49:15</v>
      </c>
      <c r="C3382" s="35"/>
      <c r="D3382" s="10">
        <f>IFERROR(__xludf.DUMMYFUNCTION("""COMPUTED_VALUE"""),46050.0)</f>
        <v>46050</v>
      </c>
      <c r="E3382" s="35" t="str">
        <f>IFERROR(__xludf.DUMMYFUNCTION("""COMPUTED_VALUE"""),"01Jan")</f>
        <v>01Jan</v>
      </c>
      <c r="F3382" s="35" t="str">
        <f>IFERROR(__xludf.DUMMYFUNCTION("""COMPUTED_VALUE"""),"2026")</f>
        <v>2026</v>
      </c>
      <c r="G3382" s="35" t="str">
        <f>IFERROR(__xludf.DUMMYFUNCTION("""COMPUTED_VALUE"""),"BERMAN PAULUS")</f>
        <v>BERMAN PAULUS</v>
      </c>
      <c r="H3382" s="35" t="str">
        <f>IFERROR(__xludf.DUMMYFUNCTION("""COMPUTED_VALUE"""),"B7526011820")</f>
        <v>B7526011820</v>
      </c>
      <c r="I3382" s="35">
        <f>IFERROR(__xludf.DUMMYFUNCTION("""COMPUTED_VALUE"""),50.0)</f>
        <v>50</v>
      </c>
      <c r="J3382" s="35" t="str">
        <f>IFERROR(__xludf.DUMMYFUNCTION("""COMPUTED_VALUE"""),"&gt; 44 tahun")</f>
        <v>&gt; 44 tahun</v>
      </c>
      <c r="K3382" s="35" t="str">
        <f>IFERROR(__xludf.DUMMYFUNCTION("""COMPUTED_VALUE"""),"06/11/1975")</f>
        <v>06/11/1975</v>
      </c>
      <c r="L3382" s="35" t="str">
        <f>IFERROR(__xludf.DUMMYFUNCTION("""COMPUTED_VALUE"""),"LAKI-LAKI")</f>
        <v>LAKI-LAKI</v>
      </c>
      <c r="M3382" s="35" t="str">
        <f>IFERROR(__xludf.DUMMYFUNCTION("""COMPUTED_VALUE"""),"JL DANAU SENTARUM KOMP CENDANA ASRI B5")</f>
        <v>JL DANAU SENTARUM KOMP CENDANA ASRI B5</v>
      </c>
      <c r="N3382" s="35" t="str">
        <f>IFERROR(__xludf.DUMMYFUNCTION("""COMPUTED_VALUE"""),"SUNGAI BANGKONG")</f>
        <v>SUNGAI BANGKONG</v>
      </c>
      <c r="O3382" s="35" t="str">
        <f>IFERROR(__xludf.DUMMYFUNCTION("""COMPUTED_VALUE"""),"PONTIANAK KOTA")</f>
        <v>PONTIANAK KOTA</v>
      </c>
      <c r="P3382" s="35" t="str">
        <f>IFERROR(__xludf.DUMMYFUNCTION("""COMPUTED_VALUE"""),"PONTIANAK")</f>
        <v>PONTIANAK</v>
      </c>
      <c r="Q3382" s="35" t="str">
        <f>IFERROR(__xludf.DUMMYFUNCTION("""COMPUTED_VALUE"""),"KALIMANTAN BARAT")</f>
        <v>KALIMANTAN BARAT</v>
      </c>
      <c r="R3382" s="35" t="str">
        <f>IFERROR(__xludf.DUMMYFUNCTION("""COMPUTED_VALUE"""),"PROTESTAN")</f>
        <v>PROTESTAN</v>
      </c>
      <c r="S3382" s="74" t="str">
        <f>IFERROR(__xludf.DUMMYFUNCTION("""COMPUTED_VALUE"""),"PNS")</f>
        <v>PNS</v>
      </c>
      <c r="T3382" s="35" t="str">
        <f>IFERROR(__xludf.DUMMYFUNCTION("""COMPUTED_VALUE"""),"NYERI PUNGGUNG")</f>
        <v>NYERI PUNGGUNG</v>
      </c>
      <c r="U3382" s="35" t="str">
        <f>IFERROR(__xludf.DUMMYFUNCTION("""COMPUTED_VALUE"""),"ANGKAT GALON")</f>
        <v>ANGKAT GALON</v>
      </c>
      <c r="V3382" s="35" t="str">
        <f>IFERROR(__xludf.DUMMYFUNCTION("""COMPUTED_VALUE"""),"0811571820")</f>
        <v>0811571820</v>
      </c>
      <c r="W3382" s="45"/>
    </row>
    <row r="3383">
      <c r="A3383" s="45"/>
      <c r="B3383" s="35" t="str">
        <f>IFERROR(__xludf.DUMMYFUNCTION("""COMPUTED_VALUE"""),"28/01/2026 9:21:58")</f>
        <v>28/01/2026 9:21:58</v>
      </c>
      <c r="C3383" s="35"/>
      <c r="D3383" s="10">
        <f>IFERROR(__xludf.DUMMYFUNCTION("""COMPUTED_VALUE"""),46050.0)</f>
        <v>46050</v>
      </c>
      <c r="E3383" s="35" t="str">
        <f>IFERROR(__xludf.DUMMYFUNCTION("""COMPUTED_VALUE"""),"01Jan")</f>
        <v>01Jan</v>
      </c>
      <c r="F3383" s="35" t="str">
        <f>IFERROR(__xludf.DUMMYFUNCTION("""COMPUTED_VALUE"""),"2026")</f>
        <v>2026</v>
      </c>
      <c r="G3383" s="35" t="str">
        <f>IFERROR(__xludf.DUMMYFUNCTION("""COMPUTED_VALUE"""),"VERONICA")</f>
        <v>VERONICA</v>
      </c>
      <c r="H3383" s="35" t="str">
        <f>IFERROR(__xludf.DUMMYFUNCTION("""COMPUTED_VALUE"""),"V9226019932")</f>
        <v>V9226019932</v>
      </c>
      <c r="I3383" s="35">
        <f>IFERROR(__xludf.DUMMYFUNCTION("""COMPUTED_VALUE"""),34.0)</f>
        <v>34</v>
      </c>
      <c r="J3383" s="35" t="str">
        <f>IFERROR(__xludf.DUMMYFUNCTION("""COMPUTED_VALUE"""),"25-34 tahun")</f>
        <v>25-34 tahun</v>
      </c>
      <c r="K3383" s="35" t="str">
        <f>IFERROR(__xludf.DUMMYFUNCTION("""COMPUTED_VALUE"""),"10/03/1992")</f>
        <v>10/03/1992</v>
      </c>
      <c r="L3383" s="35" t="str">
        <f>IFERROR(__xludf.DUMMYFUNCTION("""COMPUTED_VALUE"""),"PEREMPUAN")</f>
        <v>PEREMPUAN</v>
      </c>
      <c r="M3383" s="35" t="str">
        <f>IFERROR(__xludf.DUMMYFUNCTION("""COMPUTED_VALUE"""),"JALAN KARYA BARU GG SAMIN NO.18A")</f>
        <v>JALAN KARYA BARU GG SAMIN NO.18A</v>
      </c>
      <c r="N3383" s="35" t="str">
        <f>IFERROR(__xludf.DUMMYFUNCTION("""COMPUTED_VALUE"""),"PARIT TOKAYA")</f>
        <v>PARIT TOKAYA</v>
      </c>
      <c r="O3383" s="35" t="str">
        <f>IFERROR(__xludf.DUMMYFUNCTION("""COMPUTED_VALUE"""),"PONTIANAK SELATAN")</f>
        <v>PONTIANAK SELATAN</v>
      </c>
      <c r="P3383" s="35" t="str">
        <f>IFERROR(__xludf.DUMMYFUNCTION("""COMPUTED_VALUE"""),"PONTIANAK")</f>
        <v>PONTIANAK</v>
      </c>
      <c r="Q3383" s="35" t="str">
        <f>IFERROR(__xludf.DUMMYFUNCTION("""COMPUTED_VALUE"""),"KALIMANTAN BARAT")</f>
        <v>KALIMANTAN BARAT</v>
      </c>
      <c r="R3383" s="35" t="str">
        <f>IFERROR(__xludf.DUMMYFUNCTION("""COMPUTED_VALUE"""),"KATOLIK")</f>
        <v>KATOLIK</v>
      </c>
      <c r="S3383" s="74" t="str">
        <f>IFERROR(__xludf.DUMMYFUNCTION("""COMPUTED_VALUE"""),"WIRASWASTA")</f>
        <v>WIRASWASTA</v>
      </c>
      <c r="T3383" s="35" t="str">
        <f>IFERROR(__xludf.DUMMYFUNCTION("""COMPUTED_VALUE"""),"BAGIAN OTOT BAHU KETARIK")</f>
        <v>BAGIAN OTOT BAHU KETARIK</v>
      </c>
      <c r="U3383" s="35" t="str">
        <f>IFERROR(__xludf.DUMMYFUNCTION("""COMPUTED_VALUE"""),"GA ADA")</f>
        <v>GA ADA</v>
      </c>
      <c r="V3383" s="35" t="str">
        <f>IFERROR(__xludf.DUMMYFUNCTION("""COMPUTED_VALUE"""),"0852457799932")</f>
        <v>0852457799932</v>
      </c>
      <c r="W3383" s="45"/>
    </row>
    <row r="3384">
      <c r="A3384" s="45"/>
      <c r="B3384" s="35" t="str">
        <f>IFERROR(__xludf.DUMMYFUNCTION("""COMPUTED_VALUE"""),"28/01/2026 11:45:56")</f>
        <v>28/01/2026 11:45:56</v>
      </c>
      <c r="C3384" s="35"/>
      <c r="D3384" s="10">
        <f>IFERROR(__xludf.DUMMYFUNCTION("""COMPUTED_VALUE"""),46050.0)</f>
        <v>46050</v>
      </c>
      <c r="E3384" s="35" t="str">
        <f>IFERROR(__xludf.DUMMYFUNCTION("""COMPUTED_VALUE"""),"01Jan")</f>
        <v>01Jan</v>
      </c>
      <c r="F3384" s="35" t="str">
        <f>IFERROR(__xludf.DUMMYFUNCTION("""COMPUTED_VALUE"""),"2026")</f>
        <v>2026</v>
      </c>
      <c r="G3384" s="35" t="str">
        <f>IFERROR(__xludf.DUMMYFUNCTION("""COMPUTED_VALUE"""),"TONNY MARZUKI")</f>
        <v>TONNY MARZUKI</v>
      </c>
      <c r="H3384" s="35" t="str">
        <f>IFERROR(__xludf.DUMMYFUNCTION("""COMPUTED_VALUE"""),"T7326013200")</f>
        <v>T7326013200</v>
      </c>
      <c r="I3384" s="35">
        <f>IFERROR(__xludf.DUMMYFUNCTION("""COMPUTED_VALUE"""),52.0)</f>
        <v>52</v>
      </c>
      <c r="J3384" s="35" t="str">
        <f>IFERROR(__xludf.DUMMYFUNCTION("""COMPUTED_VALUE"""),"&gt; 44 tahun")</f>
        <v>&gt; 44 tahun</v>
      </c>
      <c r="K3384" s="35" t="str">
        <f>IFERROR(__xludf.DUMMYFUNCTION("""COMPUTED_VALUE"""),"17/12/1973")</f>
        <v>17/12/1973</v>
      </c>
      <c r="L3384" s="35" t="str">
        <f>IFERROR(__xludf.DUMMYFUNCTION("""COMPUTED_VALUE"""),"LAKI-LAKI")</f>
        <v>LAKI-LAKI</v>
      </c>
      <c r="M3384" s="35" t="str">
        <f>IFERROR(__xludf.DUMMYFUNCTION("""COMPUTED_VALUE"""),"JALAN PURNAMA 1 GANG PURNAMA 1 NO 17")</f>
        <v>JALAN PURNAMA 1 GANG PURNAMA 1 NO 17</v>
      </c>
      <c r="N3384" s="35" t="str">
        <f>IFERROR(__xludf.DUMMYFUNCTION("""COMPUTED_VALUE"""),"PARIT TOKAYA")</f>
        <v>PARIT TOKAYA</v>
      </c>
      <c r="O3384" s="35" t="str">
        <f>IFERROR(__xludf.DUMMYFUNCTION("""COMPUTED_VALUE"""),"PONTIANAK SELATAN")</f>
        <v>PONTIANAK SELATAN</v>
      </c>
      <c r="P3384" s="35" t="str">
        <f>IFERROR(__xludf.DUMMYFUNCTION("""COMPUTED_VALUE"""),"PONTIANAK")</f>
        <v>PONTIANAK</v>
      </c>
      <c r="Q3384" s="35" t="str">
        <f>IFERROR(__xludf.DUMMYFUNCTION("""COMPUTED_VALUE"""),"KALIMANTAN BARAT")</f>
        <v>KALIMANTAN BARAT</v>
      </c>
      <c r="R3384" s="35" t="str">
        <f>IFERROR(__xludf.DUMMYFUNCTION("""COMPUTED_VALUE"""),"BUDDHA")</f>
        <v>BUDDHA</v>
      </c>
      <c r="S3384" s="74" t="str">
        <f>IFERROR(__xludf.DUMMYFUNCTION("""COMPUTED_VALUE"""),"WIRAUSAHA")</f>
        <v>WIRAUSAHA</v>
      </c>
      <c r="T3384" s="35" t="str">
        <f>IFERROR(__xludf.DUMMYFUNCTION("""COMPUTED_VALUE"""),"BACK PAIN")</f>
        <v>BACK PAIN</v>
      </c>
      <c r="U3384" s="35" t="str">
        <f>IFERROR(__xludf.DUMMYFUNCTION("""COMPUTED_VALUE"""),"KERJA / OLAHRAGA BILLIARD")</f>
        <v>KERJA / OLAHRAGA BILLIARD</v>
      </c>
      <c r="V3384" s="35" t="str">
        <f>IFERROR(__xludf.DUMMYFUNCTION("""COMPUTED_VALUE"""),"081152203200")</f>
        <v>081152203200</v>
      </c>
      <c r="W3384" s="45"/>
    </row>
    <row r="3385">
      <c r="A3385" s="45"/>
      <c r="B3385" s="35" t="str">
        <f>IFERROR(__xludf.DUMMYFUNCTION("""COMPUTED_VALUE"""),"28/01/2026 13:39:33")</f>
        <v>28/01/2026 13:39:33</v>
      </c>
      <c r="C3385" s="35"/>
      <c r="D3385" s="10">
        <f>IFERROR(__xludf.DUMMYFUNCTION("""COMPUTED_VALUE"""),46050.0)</f>
        <v>46050</v>
      </c>
      <c r="E3385" s="35" t="str">
        <f>IFERROR(__xludf.DUMMYFUNCTION("""COMPUTED_VALUE"""),"01Jan")</f>
        <v>01Jan</v>
      </c>
      <c r="F3385" s="35" t="str">
        <f>IFERROR(__xludf.DUMMYFUNCTION("""COMPUTED_VALUE"""),"2026")</f>
        <v>2026</v>
      </c>
      <c r="G3385" s="35" t="str">
        <f>IFERROR(__xludf.DUMMYFUNCTION("""COMPUTED_VALUE"""),"RIZKY RESTU ANUGRAH PALURENG")</f>
        <v>RIZKY RESTU ANUGRAH PALURENG</v>
      </c>
      <c r="H3385" s="35" t="str">
        <f>IFERROR(__xludf.DUMMYFUNCTION("""COMPUTED_VALUE"""),"R1026015496")</f>
        <v>R1026015496</v>
      </c>
      <c r="I3385" s="35">
        <f>IFERROR(__xludf.DUMMYFUNCTION("""COMPUTED_VALUE"""),15.0)</f>
        <v>15</v>
      </c>
      <c r="J3385" s="35" t="str">
        <f>IFERROR(__xludf.DUMMYFUNCTION("""COMPUTED_VALUE"""),"&lt; 18 tahun")</f>
        <v>&lt; 18 tahun</v>
      </c>
      <c r="K3385" s="35" t="str">
        <f>IFERROR(__xludf.DUMMYFUNCTION("""COMPUTED_VALUE"""),"22/10/2010")</f>
        <v>22/10/2010</v>
      </c>
      <c r="L3385" s="35" t="str">
        <f>IFERROR(__xludf.DUMMYFUNCTION("""COMPUTED_VALUE"""),"LAKI-LAKI")</f>
        <v>LAKI-LAKI</v>
      </c>
      <c r="M3385" s="35" t="str">
        <f>IFERROR(__xludf.DUMMYFUNCTION("""COMPUTED_VALUE"""),"JL KEMAKMURAN GG KEMAKMURAN 2B NO 10B")</f>
        <v>JL KEMAKMURAN GG KEMAKMURAN 2B NO 10B</v>
      </c>
      <c r="N3385" s="35" t="str">
        <f>IFERROR(__xludf.DUMMYFUNCTION("""COMPUTED_VALUE"""),"SUNGAI JAWI")</f>
        <v>SUNGAI JAWI</v>
      </c>
      <c r="O3385" s="35" t="str">
        <f>IFERROR(__xludf.DUMMYFUNCTION("""COMPUTED_VALUE"""),"PONTIANAK KOTA")</f>
        <v>PONTIANAK KOTA</v>
      </c>
      <c r="P3385" s="35" t="str">
        <f>IFERROR(__xludf.DUMMYFUNCTION("""COMPUTED_VALUE"""),"KOTA PONTIANAK")</f>
        <v>KOTA PONTIANAK</v>
      </c>
      <c r="Q3385" s="35" t="str">
        <f>IFERROR(__xludf.DUMMYFUNCTION("""COMPUTED_VALUE"""),"KALIMANTAN BARAT")</f>
        <v>KALIMANTAN BARAT</v>
      </c>
      <c r="R3385" s="35" t="str">
        <f>IFERROR(__xludf.DUMMYFUNCTION("""COMPUTED_VALUE"""),"ISLAM")</f>
        <v>ISLAM</v>
      </c>
      <c r="S3385" s="74" t="str">
        <f>IFERROR(__xludf.DUMMYFUNCTION("""COMPUTED_VALUE"""),"PELAJAR")</f>
        <v>PELAJAR</v>
      </c>
      <c r="T3385" s="35" t="str">
        <f>IFERROR(__xludf.DUMMYFUNCTION("""COMPUTED_VALUE"""),"-")</f>
        <v>-</v>
      </c>
      <c r="U3385" s="35" t="str">
        <f>IFERROR(__xludf.DUMMYFUNCTION("""COMPUTED_VALUE"""),"BOLA")</f>
        <v>BOLA</v>
      </c>
      <c r="V3385" s="35" t="str">
        <f>IFERROR(__xludf.DUMMYFUNCTION("""COMPUTED_VALUE"""),"085134635496")</f>
        <v>085134635496</v>
      </c>
      <c r="W3385" s="45"/>
    </row>
    <row r="3386">
      <c r="A3386" s="45"/>
      <c r="B3386" s="35" t="str">
        <f>IFERROR(__xludf.DUMMYFUNCTION("""COMPUTED_VALUE"""),"28/01/2026 15:23:38")</f>
        <v>28/01/2026 15:23:38</v>
      </c>
      <c r="C3386" s="35"/>
      <c r="D3386" s="10">
        <f>IFERROR(__xludf.DUMMYFUNCTION("""COMPUTED_VALUE"""),46050.0)</f>
        <v>46050</v>
      </c>
      <c r="E3386" s="35" t="str">
        <f>IFERROR(__xludf.DUMMYFUNCTION("""COMPUTED_VALUE"""),"01Jan")</f>
        <v>01Jan</v>
      </c>
      <c r="F3386" s="35" t="str">
        <f>IFERROR(__xludf.DUMMYFUNCTION("""COMPUTED_VALUE"""),"2026")</f>
        <v>2026</v>
      </c>
      <c r="G3386" s="35" t="str">
        <f>IFERROR(__xludf.DUMMYFUNCTION("""COMPUTED_VALUE"""),"IBNU SETYA HARYANA ")</f>
        <v>IBNU SETYA HARYANA </v>
      </c>
      <c r="H3386" s="35" t="str">
        <f>IFERROR(__xludf.DUMMYFUNCTION("""COMPUTED_VALUE"""),"I6726014660")</f>
        <v>I6726014660</v>
      </c>
      <c r="I3386" s="35">
        <f>IFERROR(__xludf.DUMMYFUNCTION("""COMPUTED_VALUE"""),59.0)</f>
        <v>59</v>
      </c>
      <c r="J3386" s="35" t="str">
        <f>IFERROR(__xludf.DUMMYFUNCTION("""COMPUTED_VALUE"""),"&gt; 44 tahun")</f>
        <v>&gt; 44 tahun</v>
      </c>
      <c r="K3386" s="35" t="str">
        <f>IFERROR(__xludf.DUMMYFUNCTION("""COMPUTED_VALUE"""),"23/03/1967")</f>
        <v>23/03/1967</v>
      </c>
      <c r="L3386" s="35" t="str">
        <f>IFERROR(__xludf.DUMMYFUNCTION("""COMPUTED_VALUE"""),"LAKI-LAKI")</f>
        <v>LAKI-LAKI</v>
      </c>
      <c r="M3386" s="35" t="str">
        <f>IFERROR(__xludf.DUMMYFUNCTION("""COMPUTED_VALUE"""),"RSUD SIEDARSO  NO. 15 ")</f>
        <v>RSUD SIEDARSO  NO. 15 </v>
      </c>
      <c r="N3386" s="35" t="str">
        <f>IFERROR(__xludf.DUMMYFUNCTION("""COMPUTED_VALUE"""),"BANGKA BELITUNG LAUT")</f>
        <v>BANGKA BELITUNG LAUT</v>
      </c>
      <c r="O3386" s="35" t="str">
        <f>IFERROR(__xludf.DUMMYFUNCTION("""COMPUTED_VALUE"""),"PONTIANAKT ENGGARA")</f>
        <v>PONTIANAKT ENGGARA</v>
      </c>
      <c r="P3386" s="35" t="str">
        <f>IFERROR(__xludf.DUMMYFUNCTION("""COMPUTED_VALUE"""),"PONTIANAK")</f>
        <v>PONTIANAK</v>
      </c>
      <c r="Q3386" s="35" t="str">
        <f>IFERROR(__xludf.DUMMYFUNCTION("""COMPUTED_VALUE"""),"KALIMANTAN BARAT")</f>
        <v>KALIMANTAN BARAT</v>
      </c>
      <c r="R3386" s="35" t="str">
        <f>IFERROR(__xludf.DUMMYFUNCTION("""COMPUTED_VALUE"""),"ISLAM")</f>
        <v>ISLAM</v>
      </c>
      <c r="S3386" s="74" t="str">
        <f>IFERROR(__xludf.DUMMYFUNCTION("""COMPUTED_VALUE"""),"WIRASWASTA")</f>
        <v>WIRASWASTA</v>
      </c>
      <c r="T3386" s="35" t="str">
        <f>IFERROR(__xludf.DUMMYFUNCTION("""COMPUTED_VALUE"""),"LUTUT")</f>
        <v>LUTUT</v>
      </c>
      <c r="U3386" s="35" t="str">
        <f>IFERROR(__xludf.DUMMYFUNCTION("""COMPUTED_VALUE"""),"LARI")</f>
        <v>LARI</v>
      </c>
      <c r="V3386" s="35" t="str">
        <f>IFERROR(__xludf.DUMMYFUNCTION("""COMPUTED_VALUE"""),"081754564660")</f>
        <v>081754564660</v>
      </c>
      <c r="W3386" s="45"/>
    </row>
    <row r="3387">
      <c r="A3387" s="45"/>
      <c r="B3387" s="35" t="str">
        <f>IFERROR(__xludf.DUMMYFUNCTION("""COMPUTED_VALUE"""),"28/01/2026 15:39:03")</f>
        <v>28/01/2026 15:39:03</v>
      </c>
      <c r="C3387" s="35"/>
      <c r="D3387" s="10">
        <f>IFERROR(__xludf.DUMMYFUNCTION("""COMPUTED_VALUE"""),46050.0)</f>
        <v>46050</v>
      </c>
      <c r="E3387" s="35" t="str">
        <f>IFERROR(__xludf.DUMMYFUNCTION("""COMPUTED_VALUE"""),"01Jan")</f>
        <v>01Jan</v>
      </c>
      <c r="F3387" s="35" t="str">
        <f>IFERROR(__xludf.DUMMYFUNCTION("""COMPUTED_VALUE"""),"2026")</f>
        <v>2026</v>
      </c>
      <c r="G3387" s="35" t="str">
        <f>IFERROR(__xludf.DUMMYFUNCTION("""COMPUTED_VALUE"""),"M FATIH RIZKI")</f>
        <v>M FATIH RIZKI</v>
      </c>
      <c r="H3387" s="35" t="str">
        <f>IFERROR(__xludf.DUMMYFUNCTION("""COMPUTED_VALUE"""),"M1426014555")</f>
        <v>M1426014555</v>
      </c>
      <c r="I3387" s="35">
        <f>IFERROR(__xludf.DUMMYFUNCTION("""COMPUTED_VALUE"""),11.0)</f>
        <v>11</v>
      </c>
      <c r="J3387" s="35" t="str">
        <f>IFERROR(__xludf.DUMMYFUNCTION("""COMPUTED_VALUE"""),"&lt; 18 tahun")</f>
        <v>&lt; 18 tahun</v>
      </c>
      <c r="K3387" s="35" t="str">
        <f>IFERROR(__xludf.DUMMYFUNCTION("""COMPUTED_VALUE"""),"07/08/2014")</f>
        <v>07/08/2014</v>
      </c>
      <c r="L3387" s="35" t="str">
        <f>IFERROR(__xludf.DUMMYFUNCTION("""COMPUTED_VALUE"""),"LAKI-LAKI")</f>
        <v>LAKI-LAKI</v>
      </c>
      <c r="M3387" s="35" t="str">
        <f>IFERROR(__xludf.DUMMYFUNCTION("""COMPUTED_VALUE"""),"PARIS 2")</f>
        <v>PARIS 2</v>
      </c>
      <c r="N3387" s="35" t="str">
        <f>IFERROR(__xludf.DUMMYFUNCTION("""COMPUTED_VALUE"""),"-")</f>
        <v>-</v>
      </c>
      <c r="O3387" s="35" t="str">
        <f>IFERROR(__xludf.DUMMYFUNCTION("""COMPUTED_VALUE"""),"-")</f>
        <v>-</v>
      </c>
      <c r="P3387" s="35" t="str">
        <f>IFERROR(__xludf.DUMMYFUNCTION("""COMPUTED_VALUE"""),"PONTIANAK")</f>
        <v>PONTIANAK</v>
      </c>
      <c r="Q3387" s="35" t="str">
        <f>IFERROR(__xludf.DUMMYFUNCTION("""COMPUTED_VALUE"""),"KALIMANTAN BARAT")</f>
        <v>KALIMANTAN BARAT</v>
      </c>
      <c r="R3387" s="35" t="str">
        <f>IFERROR(__xludf.DUMMYFUNCTION("""COMPUTED_VALUE"""),"ISLAM")</f>
        <v>ISLAM</v>
      </c>
      <c r="S3387" s="74" t="str">
        <f>IFERROR(__xludf.DUMMYFUNCTION("""COMPUTED_VALUE"""),"PELAJAR")</f>
        <v>PELAJAR</v>
      </c>
      <c r="T3387" s="35" t="str">
        <f>IFERROR(__xludf.DUMMYFUNCTION("""COMPUTED_VALUE"""),"BAHU")</f>
        <v>BAHU</v>
      </c>
      <c r="U3387" s="35" t="str">
        <f>IFERROR(__xludf.DUMMYFUNCTION("""COMPUTED_VALUE"""),"-")</f>
        <v>-</v>
      </c>
      <c r="V3387" s="35" t="str">
        <f>IFERROR(__xludf.DUMMYFUNCTION("""COMPUTED_VALUE"""),"085349884555")</f>
        <v>085349884555</v>
      </c>
      <c r="W3387" s="45"/>
    </row>
    <row r="3388">
      <c r="A3388" s="45"/>
      <c r="B3388" s="35" t="str">
        <f>IFERROR(__xludf.DUMMYFUNCTION("""COMPUTED_VALUE"""),"28/01/2026 17:42:55")</f>
        <v>28/01/2026 17:42:55</v>
      </c>
      <c r="C3388" s="35"/>
      <c r="D3388" s="10">
        <f>IFERROR(__xludf.DUMMYFUNCTION("""COMPUTED_VALUE"""),46050.0)</f>
        <v>46050</v>
      </c>
      <c r="E3388" s="35" t="str">
        <f>IFERROR(__xludf.DUMMYFUNCTION("""COMPUTED_VALUE"""),"01Jan")</f>
        <v>01Jan</v>
      </c>
      <c r="F3388" s="35" t="str">
        <f>IFERROR(__xludf.DUMMYFUNCTION("""COMPUTED_VALUE"""),"2026")</f>
        <v>2026</v>
      </c>
      <c r="G3388" s="35" t="str">
        <f>IFERROR(__xludf.DUMMYFUNCTION("""COMPUTED_VALUE"""),"ROSDIANA")</f>
        <v>ROSDIANA</v>
      </c>
      <c r="H3388" s="35" t="str">
        <f>IFERROR(__xludf.DUMMYFUNCTION("""COMPUTED_VALUE"""),"R6926017083")</f>
        <v>R6926017083</v>
      </c>
      <c r="I3388" s="35">
        <f>IFERROR(__xludf.DUMMYFUNCTION("""COMPUTED_VALUE"""),56.0)</f>
        <v>56</v>
      </c>
      <c r="J3388" s="35" t="str">
        <f>IFERROR(__xludf.DUMMYFUNCTION("""COMPUTED_VALUE"""),"&gt; 44 tahun")</f>
        <v>&gt; 44 tahun</v>
      </c>
      <c r="K3388" s="35" t="str">
        <f>IFERROR(__xludf.DUMMYFUNCTION("""COMPUTED_VALUE"""),"09/08/1969")</f>
        <v>09/08/1969</v>
      </c>
      <c r="L3388" s="35" t="str">
        <f>IFERROR(__xludf.DUMMYFUNCTION("""COMPUTED_VALUE"""),"PEREMPUAN")</f>
        <v>PEREMPUAN</v>
      </c>
      <c r="M3388" s="35" t="str">
        <f>IFERROR(__xludf.DUMMYFUNCTION("""COMPUTED_VALUE"""),"JALAN SELAYAR NO 36B")</f>
        <v>JALAN SELAYAR NO 36B</v>
      </c>
      <c r="N3388" s="35" t="str">
        <f>IFERROR(__xludf.DUMMYFUNCTION("""COMPUTED_VALUE"""),"AKCAYA")</f>
        <v>AKCAYA</v>
      </c>
      <c r="O3388" s="35" t="str">
        <f>IFERROR(__xludf.DUMMYFUNCTION("""COMPUTED_VALUE"""),"PONTIANAK SELATAN")</f>
        <v>PONTIANAK SELATAN</v>
      </c>
      <c r="P3388" s="35" t="str">
        <f>IFERROR(__xludf.DUMMYFUNCTION("""COMPUTED_VALUE"""),"PONTIANAK")</f>
        <v>PONTIANAK</v>
      </c>
      <c r="Q3388" s="35" t="str">
        <f>IFERROR(__xludf.DUMMYFUNCTION("""COMPUTED_VALUE"""),"KALIMANTAN BARAT")</f>
        <v>KALIMANTAN BARAT</v>
      </c>
      <c r="R3388" s="35" t="str">
        <f>IFERROR(__xludf.DUMMYFUNCTION("""COMPUTED_VALUE"""),"ISLAM")</f>
        <v>ISLAM</v>
      </c>
      <c r="S3388" s="74" t="str">
        <f>IFERROR(__xludf.DUMMYFUNCTION("""COMPUTED_VALUE"""),"IBU RUMAH TANGGA")</f>
        <v>IBU RUMAH TANGGA</v>
      </c>
      <c r="T3388" s="35" t="str">
        <f>IFERROR(__xludf.DUMMYFUNCTION("""COMPUTED_VALUE"""),"STROKE")</f>
        <v>STROKE</v>
      </c>
      <c r="U3388" s="35" t="str">
        <f>IFERROR(__xludf.DUMMYFUNCTION("""COMPUTED_VALUE"""),"IBU RUMAH TANGGA")</f>
        <v>IBU RUMAH TANGGA</v>
      </c>
      <c r="V3388" s="35" t="str">
        <f>IFERROR(__xludf.DUMMYFUNCTION("""COMPUTED_VALUE"""),"085654457083")</f>
        <v>085654457083</v>
      </c>
      <c r="W3388" s="45"/>
    </row>
    <row r="3389">
      <c r="A3389" s="45"/>
      <c r="B3389" s="35" t="str">
        <f>IFERROR(__xludf.DUMMYFUNCTION("""COMPUTED_VALUE"""),"28/01/2026 22:37:52")</f>
        <v>28/01/2026 22:37:52</v>
      </c>
      <c r="C3389" s="35"/>
      <c r="D3389" s="10">
        <f>IFERROR(__xludf.DUMMYFUNCTION("""COMPUTED_VALUE"""),46051.0)</f>
        <v>46051</v>
      </c>
      <c r="E3389" s="35" t="str">
        <f>IFERROR(__xludf.DUMMYFUNCTION("""COMPUTED_VALUE"""),"01Jan")</f>
        <v>01Jan</v>
      </c>
      <c r="F3389" s="35" t="str">
        <f>IFERROR(__xludf.DUMMYFUNCTION("""COMPUTED_VALUE"""),"2026")</f>
        <v>2026</v>
      </c>
      <c r="G3389" s="35" t="str">
        <f>IFERROR(__xludf.DUMMYFUNCTION("""COMPUTED_VALUE"""),"ARDY CAHYA FITRIYANTO")</f>
        <v>ARDY CAHYA FITRIYANTO</v>
      </c>
      <c r="H3389" s="35" t="str">
        <f>IFERROR(__xludf.DUMMYFUNCTION("""COMPUTED_VALUE"""),"A9026018207")</f>
        <v>A9026018207</v>
      </c>
      <c r="I3389" s="35">
        <f>IFERROR(__xludf.DUMMYFUNCTION("""COMPUTED_VALUE"""),36.0)</f>
        <v>36</v>
      </c>
      <c r="J3389" s="35" t="str">
        <f>IFERROR(__xludf.DUMMYFUNCTION("""COMPUTED_VALUE"""),"35-44 tahun")</f>
        <v>35-44 tahun</v>
      </c>
      <c r="K3389" s="35" t="str">
        <f>IFERROR(__xludf.DUMMYFUNCTION("""COMPUTED_VALUE"""),"27/04/1990")</f>
        <v>27/04/1990</v>
      </c>
      <c r="L3389" s="35" t="str">
        <f>IFERROR(__xludf.DUMMYFUNCTION("""COMPUTED_VALUE"""),"LAKI-LAKI")</f>
        <v>LAKI-LAKI</v>
      </c>
      <c r="M3389" s="35" t="str">
        <f>IFERROR(__xludf.DUMMYFUNCTION("""COMPUTED_VALUE"""),"JL. HM SUWIGNYO GG. SIDOHARJO II NO. 29")</f>
        <v>JL. HM SUWIGNYO GG. SIDOHARJO II NO. 29</v>
      </c>
      <c r="N3389" s="35" t="str">
        <f>IFERROR(__xludf.DUMMYFUNCTION("""COMPUTED_VALUE"""),"SUI. JAWI")</f>
        <v>SUI. JAWI</v>
      </c>
      <c r="O3389" s="35" t="str">
        <f>IFERROR(__xludf.DUMMYFUNCTION("""COMPUTED_VALUE"""),"PONTIANAK KOTA")</f>
        <v>PONTIANAK KOTA</v>
      </c>
      <c r="P3389" s="35" t="str">
        <f>IFERROR(__xludf.DUMMYFUNCTION("""COMPUTED_VALUE"""),"PONTIANAK")</f>
        <v>PONTIANAK</v>
      </c>
      <c r="Q3389" s="35" t="str">
        <f>IFERROR(__xludf.DUMMYFUNCTION("""COMPUTED_VALUE"""),"KALIMANTAN BARAT")</f>
        <v>KALIMANTAN BARAT</v>
      </c>
      <c r="R3389" s="35" t="str">
        <f>IFERROR(__xludf.DUMMYFUNCTION("""COMPUTED_VALUE"""),"ISLAM")</f>
        <v>ISLAM</v>
      </c>
      <c r="S3389" s="74" t="str">
        <f>IFERROR(__xludf.DUMMYFUNCTION("""COMPUTED_VALUE"""),"SWASTA")</f>
        <v>SWASTA</v>
      </c>
      <c r="T3389" s="35" t="str">
        <f>IFERROR(__xludf.DUMMYFUNCTION("""COMPUTED_VALUE"""),"PINGGUL NYERI PANAS, PANTAT SAKIT DAAT DUDUK DAN TIDUR")</f>
        <v>PINGGUL NYERI PANAS, PANTAT SAKIT DAAT DUDUK DAN TIDUR</v>
      </c>
      <c r="U3389" s="35" t="str">
        <f>IFERROR(__xludf.DUMMYFUNCTION("""COMPUTED_VALUE"""),"MENGEDIT")</f>
        <v>MENGEDIT</v>
      </c>
      <c r="V3389" s="35" t="str">
        <f>IFERROR(__xludf.DUMMYFUNCTION("""COMPUTED_VALUE"""),"087892118207")</f>
        <v>087892118207</v>
      </c>
      <c r="W3389" s="45"/>
    </row>
    <row r="3390">
      <c r="A3390" s="45"/>
      <c r="B3390" s="35" t="str">
        <f>IFERROR(__xludf.DUMMYFUNCTION("""COMPUTED_VALUE"""),"29/01/2026 10:58:21")</f>
        <v>29/01/2026 10:58:21</v>
      </c>
      <c r="C3390" s="35"/>
      <c r="D3390" s="10">
        <f>IFERROR(__xludf.DUMMYFUNCTION("""COMPUTED_VALUE"""),46051.0)</f>
        <v>46051</v>
      </c>
      <c r="E3390" s="35" t="str">
        <f>IFERROR(__xludf.DUMMYFUNCTION("""COMPUTED_VALUE"""),"01Jan")</f>
        <v>01Jan</v>
      </c>
      <c r="F3390" s="35" t="str">
        <f>IFERROR(__xludf.DUMMYFUNCTION("""COMPUTED_VALUE"""),"2026")</f>
        <v>2026</v>
      </c>
      <c r="G3390" s="35" t="str">
        <f>IFERROR(__xludf.DUMMYFUNCTION("""COMPUTED_VALUE"""),"DIARMI")</f>
        <v>DIARMI</v>
      </c>
      <c r="H3390" s="35" t="str">
        <f>IFERROR(__xludf.DUMMYFUNCTION("""COMPUTED_VALUE"""),"D5926011554")</f>
        <v>D5926011554</v>
      </c>
      <c r="I3390" s="35">
        <f>IFERROR(__xludf.DUMMYFUNCTION("""COMPUTED_VALUE"""),67.0)</f>
        <v>67</v>
      </c>
      <c r="J3390" s="35" t="str">
        <f>IFERROR(__xludf.DUMMYFUNCTION("""COMPUTED_VALUE"""),"&gt; 44 tahun")</f>
        <v>&gt; 44 tahun</v>
      </c>
      <c r="K3390" s="35" t="str">
        <f>IFERROR(__xludf.DUMMYFUNCTION("""COMPUTED_VALUE"""),"05/06/1959")</f>
        <v>05/06/1959</v>
      </c>
      <c r="L3390" s="35" t="str">
        <f>IFERROR(__xludf.DUMMYFUNCTION("""COMPUTED_VALUE"""),"PEREMPUAN")</f>
        <v>PEREMPUAN</v>
      </c>
      <c r="M3390" s="35" t="str">
        <f>IFERROR(__xludf.DUMMYFUNCTION("""COMPUTED_VALUE"""),"JL. PANGERAN NATA KUSUMA GG. TEGAL REJO I NO 27")</f>
        <v>JL. PANGERAN NATA KUSUMA GG. TEGAL REJO I NO 27</v>
      </c>
      <c r="N3390" s="35" t="str">
        <f>IFERROR(__xludf.DUMMYFUNCTION("""COMPUTED_VALUE"""),"SUNGAI JAWI")</f>
        <v>SUNGAI JAWI</v>
      </c>
      <c r="O3390" s="35" t="str">
        <f>IFERROR(__xludf.DUMMYFUNCTION("""COMPUTED_VALUE"""),"PONTIANAK KOTA")</f>
        <v>PONTIANAK KOTA</v>
      </c>
      <c r="P3390" s="35" t="str">
        <f>IFERROR(__xludf.DUMMYFUNCTION("""COMPUTED_VALUE"""),"KOTA PONTIANAK")</f>
        <v>KOTA PONTIANAK</v>
      </c>
      <c r="Q3390" s="35" t="str">
        <f>IFERROR(__xludf.DUMMYFUNCTION("""COMPUTED_VALUE"""),"PROVINSI KALIMANTAN BARAT")</f>
        <v>PROVINSI KALIMANTAN BARAT</v>
      </c>
      <c r="R3390" s="35" t="str">
        <f>IFERROR(__xludf.DUMMYFUNCTION("""COMPUTED_VALUE"""),"ISLAM")</f>
        <v>ISLAM</v>
      </c>
      <c r="S3390" s="74" t="str">
        <f>IFERROR(__xludf.DUMMYFUNCTION("""COMPUTED_VALUE"""),"MENGURUS RUMAH TANGGA")</f>
        <v>MENGURUS RUMAH TANGGA</v>
      </c>
      <c r="T3390" s="35" t="str">
        <f>IFERROR(__xludf.DUMMYFUNCTION("""COMPUTED_VALUE"""),"HARI SABTU MALAM SEPULANG DARI PERGI KE MALL MENDADAK SAKIT DI DAERAH PINGGUL SAMPAI LUTUT, SAMPAI GAK BS BERJALAN.. HARI SELASA PERGI KE DOKTER DAN DISRUH RONTGEN,  KATA DOKTER YG BACA HASIL RONTGEN DISARANKAN UNTUK FISIOTERAPI")</f>
        <v>HARI SABTU MALAM SEPULANG DARI PERGI KE MALL MENDADAK SAKIT DI DAERAH PINGGUL SAMPAI LUTUT, SAMPAI GAK BS BERJALAN.. HARI SELASA PERGI KE DOKTER DAN DISRUH RONTGEN,  KATA DOKTER YG BACA HASIL RONTGEN DISARANKAN UNTUK FISIOTERAPI</v>
      </c>
      <c r="U3390" s="35" t="str">
        <f>IFERROR(__xludf.DUMMYFUNCTION("""COMPUTED_VALUE"""),"MEMASAK, BERKEBUN")</f>
        <v>MEMASAK, BERKEBUN</v>
      </c>
      <c r="V3390" s="35" t="str">
        <f>IFERROR(__xludf.DUMMYFUNCTION("""COMPUTED_VALUE"""),"081256641554")</f>
        <v>081256641554</v>
      </c>
      <c r="W3390" s="45"/>
    </row>
    <row r="3391">
      <c r="A3391" s="45"/>
      <c r="B3391" s="35" t="str">
        <f>IFERROR(__xludf.DUMMYFUNCTION("""COMPUTED_VALUE"""),"29/01/2026 11:49:13")</f>
        <v>29/01/2026 11:49:13</v>
      </c>
      <c r="C3391" s="35"/>
      <c r="D3391" s="10">
        <f>IFERROR(__xludf.DUMMYFUNCTION("""COMPUTED_VALUE"""),46051.0)</f>
        <v>46051</v>
      </c>
      <c r="E3391" s="35" t="str">
        <f>IFERROR(__xludf.DUMMYFUNCTION("""COMPUTED_VALUE"""),"01Jan")</f>
        <v>01Jan</v>
      </c>
      <c r="F3391" s="35" t="str">
        <f>IFERROR(__xludf.DUMMYFUNCTION("""COMPUTED_VALUE"""),"2026")</f>
        <v>2026</v>
      </c>
      <c r="G3391" s="35" t="str">
        <f>IFERROR(__xludf.DUMMYFUNCTION("""COMPUTED_VALUE"""),"REVAEL ENGGANG ALHAQ")</f>
        <v>REVAEL ENGGANG ALHAQ</v>
      </c>
      <c r="H3391" s="35" t="str">
        <f>IFERROR(__xludf.DUMMYFUNCTION("""COMPUTED_VALUE"""),"R0926014868")</f>
        <v>R0926014868</v>
      </c>
      <c r="I3391" s="35">
        <f>IFERROR(__xludf.DUMMYFUNCTION("""COMPUTED_VALUE"""),17.0)</f>
        <v>17</v>
      </c>
      <c r="J3391" s="35" t="str">
        <f>IFERROR(__xludf.DUMMYFUNCTION("""COMPUTED_VALUE"""),"&lt; 18 tahun")</f>
        <v>&lt; 18 tahun</v>
      </c>
      <c r="K3391" s="35" t="str">
        <f>IFERROR(__xludf.DUMMYFUNCTION("""COMPUTED_VALUE"""),"25/01/2009")</f>
        <v>25/01/2009</v>
      </c>
      <c r="L3391" s="35" t="str">
        <f>IFERROR(__xludf.DUMMYFUNCTION("""COMPUTED_VALUE"""),"LAKI-LAKI")</f>
        <v>LAKI-LAKI</v>
      </c>
      <c r="M3391" s="35" t="str">
        <f>IFERROR(__xludf.DUMMYFUNCTION("""COMPUTED_VALUE"""),"KOMP.LAILY RAYA,SAIGON PONTIANAK TIMUR")</f>
        <v>KOMP.LAILY RAYA,SAIGON PONTIANAK TIMUR</v>
      </c>
      <c r="N3391" s="35" t="str">
        <f>IFERROR(__xludf.DUMMYFUNCTION("""COMPUTED_VALUE"""),"SAIGON")</f>
        <v>SAIGON</v>
      </c>
      <c r="O3391" s="35" t="str">
        <f>IFERROR(__xludf.DUMMYFUNCTION("""COMPUTED_VALUE"""),"PONTIANAK TIMUR")</f>
        <v>PONTIANAK TIMUR</v>
      </c>
      <c r="P3391" s="35" t="str">
        <f>IFERROR(__xludf.DUMMYFUNCTION("""COMPUTED_VALUE"""),"KOTA PONTIANAK")</f>
        <v>KOTA PONTIANAK</v>
      </c>
      <c r="Q3391" s="35" t="str">
        <f>IFERROR(__xludf.DUMMYFUNCTION("""COMPUTED_VALUE"""),"KALIMANTAN BARAT")</f>
        <v>KALIMANTAN BARAT</v>
      </c>
      <c r="R3391" s="35" t="str">
        <f>IFERROR(__xludf.DUMMYFUNCTION("""COMPUTED_VALUE"""),"ISLAM")</f>
        <v>ISLAM</v>
      </c>
      <c r="S3391" s="74" t="str">
        <f>IFERROR(__xludf.DUMMYFUNCTION("""COMPUTED_VALUE"""),"PELAJAR")</f>
        <v>PELAJAR</v>
      </c>
      <c r="T3391" s="35" t="str">
        <f>IFERROR(__xludf.DUMMYFUNCTION("""COMPUTED_VALUE"""),"BAHU NGILU NGILU")</f>
        <v>BAHU NGILU NGILU</v>
      </c>
      <c r="U3391" s="35" t="str">
        <f>IFERROR(__xludf.DUMMYFUNCTION("""COMPUTED_VALUE"""),"ATLET TENIS MEJA")</f>
        <v>ATLET TENIS MEJA</v>
      </c>
      <c r="V3391" s="35" t="str">
        <f>IFERROR(__xludf.DUMMYFUNCTION("""COMPUTED_VALUE"""),"082211234868")</f>
        <v>082211234868</v>
      </c>
      <c r="W3391" s="45"/>
    </row>
    <row r="3392">
      <c r="A3392" s="45"/>
      <c r="B3392" s="35" t="str">
        <f>IFERROR(__xludf.DUMMYFUNCTION("""COMPUTED_VALUE"""),"29/01/2026 15:23:24")</f>
        <v>29/01/2026 15:23:24</v>
      </c>
      <c r="C3392" s="35"/>
      <c r="D3392" s="10">
        <f>IFERROR(__xludf.DUMMYFUNCTION("""COMPUTED_VALUE"""),46051.0)</f>
        <v>46051</v>
      </c>
      <c r="E3392" s="35" t="str">
        <f>IFERROR(__xludf.DUMMYFUNCTION("""COMPUTED_VALUE"""),"01Jan")</f>
        <v>01Jan</v>
      </c>
      <c r="F3392" s="35" t="str">
        <f>IFERROR(__xludf.DUMMYFUNCTION("""COMPUTED_VALUE"""),"2026")</f>
        <v>2026</v>
      </c>
      <c r="G3392" s="35" t="str">
        <f>IFERROR(__xludf.DUMMYFUNCTION("""COMPUTED_VALUE"""),"MUHAMMAD NUR")</f>
        <v>MUHAMMAD NUR</v>
      </c>
      <c r="H3392" s="35" t="str">
        <f>IFERROR(__xludf.DUMMYFUNCTION("""COMPUTED_VALUE"""),"M7326014347")</f>
        <v>M7326014347</v>
      </c>
      <c r="I3392" s="35">
        <f>IFERROR(__xludf.DUMMYFUNCTION("""COMPUTED_VALUE"""),53.0)</f>
        <v>53</v>
      </c>
      <c r="J3392" s="35" t="str">
        <f>IFERROR(__xludf.DUMMYFUNCTION("""COMPUTED_VALUE"""),"&gt; 44 tahun")</f>
        <v>&gt; 44 tahun</v>
      </c>
      <c r="K3392" s="35" t="str">
        <f>IFERROR(__xludf.DUMMYFUNCTION("""COMPUTED_VALUE"""),"08/02/1973")</f>
        <v>08/02/1973</v>
      </c>
      <c r="L3392" s="35" t="str">
        <f>IFERROR(__xludf.DUMMYFUNCTION("""COMPUTED_VALUE"""),"LAKI-LAKI")</f>
        <v>LAKI-LAKI</v>
      </c>
      <c r="M3392" s="35" t="str">
        <f>IFERROR(__xludf.DUMMYFUNCTION("""COMPUTED_VALUE"""),"JL PERDAMAIN KOMP PALISTINE INDAH PERMAI 4")</f>
        <v>JL PERDAMAIN KOMP PALISTINE INDAH PERMAI 4</v>
      </c>
      <c r="N3392" s="35" t="str">
        <f>IFERROR(__xludf.DUMMYFUNCTION("""COMPUTED_VALUE"""),"SUNGAI BANGKONG")</f>
        <v>SUNGAI BANGKONG</v>
      </c>
      <c r="O3392" s="35" t="str">
        <f>IFERROR(__xludf.DUMMYFUNCTION("""COMPUTED_VALUE"""),"PONTIANAK KOTA")</f>
        <v>PONTIANAK KOTA</v>
      </c>
      <c r="P3392" s="35" t="str">
        <f>IFERROR(__xludf.DUMMYFUNCTION("""COMPUTED_VALUE"""),"PONTIANAK")</f>
        <v>PONTIANAK</v>
      </c>
      <c r="Q3392" s="35" t="str">
        <f>IFERROR(__xludf.DUMMYFUNCTION("""COMPUTED_VALUE"""),"KALIMANTAN BARAT")</f>
        <v>KALIMANTAN BARAT</v>
      </c>
      <c r="R3392" s="35" t="str">
        <f>IFERROR(__xludf.DUMMYFUNCTION("""COMPUTED_VALUE"""),"ISLAM")</f>
        <v>ISLAM</v>
      </c>
      <c r="S3392" s="74" t="str">
        <f>IFERROR(__xludf.DUMMYFUNCTION("""COMPUTED_VALUE"""),"WIRASWASTA")</f>
        <v>WIRASWASTA</v>
      </c>
      <c r="T3392" s="35" t="str">
        <f>IFERROR(__xludf.DUMMYFUNCTION("""COMPUTED_VALUE"""),"PINGGANG")</f>
        <v>PINGGANG</v>
      </c>
      <c r="U3392" s="35" t="str">
        <f>IFERROR(__xludf.DUMMYFUNCTION("""COMPUTED_VALUE"""),"-")</f>
        <v>-</v>
      </c>
      <c r="V3392" s="35" t="str">
        <f>IFERROR(__xludf.DUMMYFUNCTION("""COMPUTED_VALUE"""),"0983824347")</f>
        <v>0983824347</v>
      </c>
      <c r="W3392" s="45"/>
    </row>
    <row r="3393">
      <c r="A3393" s="45"/>
      <c r="B3393" s="35" t="str">
        <f>IFERROR(__xludf.DUMMYFUNCTION("""COMPUTED_VALUE"""),"29/01/2026 15:27:15")</f>
        <v>29/01/2026 15:27:15</v>
      </c>
      <c r="C3393" s="35"/>
      <c r="D3393" s="10">
        <f>IFERROR(__xludf.DUMMYFUNCTION("""COMPUTED_VALUE"""),46051.0)</f>
        <v>46051</v>
      </c>
      <c r="E3393" s="35" t="str">
        <f>IFERROR(__xludf.DUMMYFUNCTION("""COMPUTED_VALUE"""),"01Jan")</f>
        <v>01Jan</v>
      </c>
      <c r="F3393" s="35" t="str">
        <f>IFERROR(__xludf.DUMMYFUNCTION("""COMPUTED_VALUE"""),"2026")</f>
        <v>2026</v>
      </c>
      <c r="G3393" s="35" t="str">
        <f>IFERROR(__xludf.DUMMYFUNCTION("""COMPUTED_VALUE"""),"REVAN FELIX GOUW")</f>
        <v>REVAN FELIX GOUW</v>
      </c>
      <c r="H3393" s="35" t="str">
        <f>IFERROR(__xludf.DUMMYFUNCTION("""COMPUTED_VALUE"""),"R1226012111")</f>
        <v>R1226012111</v>
      </c>
      <c r="I3393" s="35">
        <f>IFERROR(__xludf.DUMMYFUNCTION("""COMPUTED_VALUE"""),14.0)</f>
        <v>14</v>
      </c>
      <c r="J3393" s="35" t="str">
        <f>IFERROR(__xludf.DUMMYFUNCTION("""COMPUTED_VALUE"""),"&lt; 18 tahun")</f>
        <v>&lt; 18 tahun</v>
      </c>
      <c r="K3393" s="35" t="str">
        <f>IFERROR(__xludf.DUMMYFUNCTION("""COMPUTED_VALUE"""),"03/03/2012")</f>
        <v>03/03/2012</v>
      </c>
      <c r="L3393" s="35" t="str">
        <f>IFERROR(__xludf.DUMMYFUNCTION("""COMPUTED_VALUE"""),"LAKI-LAKI")</f>
        <v>LAKI-LAKI</v>
      </c>
      <c r="M3393" s="35" t="str">
        <f>IFERROR(__xludf.DUMMYFUNCTION("""COMPUTED_VALUE"""),"KOMP VILLA CENA LESTARI BLOK G/16")</f>
        <v>KOMP VILLA CENA LESTARI BLOK G/16</v>
      </c>
      <c r="N3393" s="35" t="str">
        <f>IFERROR(__xludf.DUMMYFUNCTION("""COMPUTED_VALUE"""),"SUNGAI RAYA")</f>
        <v>SUNGAI RAYA</v>
      </c>
      <c r="O3393" s="35" t="str">
        <f>IFERROR(__xludf.DUMMYFUNCTION("""COMPUTED_VALUE"""),"SUNGAI RAYA")</f>
        <v>SUNGAI RAYA</v>
      </c>
      <c r="P3393" s="35" t="str">
        <f>IFERROR(__xludf.DUMMYFUNCTION("""COMPUTED_VALUE"""),"KUBU RAYA")</f>
        <v>KUBU RAYA</v>
      </c>
      <c r="Q3393" s="35" t="str">
        <f>IFERROR(__xludf.DUMMYFUNCTION("""COMPUTED_VALUE"""),"KALIMANTAN BARAT")</f>
        <v>KALIMANTAN BARAT</v>
      </c>
      <c r="R3393" s="35" t="str">
        <f>IFERROR(__xludf.DUMMYFUNCTION("""COMPUTED_VALUE"""),"BUDDHA")</f>
        <v>BUDDHA</v>
      </c>
      <c r="S3393" s="74" t="str">
        <f>IFERROR(__xludf.DUMMYFUNCTION("""COMPUTED_VALUE"""),"PELAJAR")</f>
        <v>PELAJAR</v>
      </c>
      <c r="T3393" s="35" t="str">
        <f>IFERROR(__xludf.DUMMYFUNCTION("""COMPUTED_VALUE"""),"LUTUT")</f>
        <v>LUTUT</v>
      </c>
      <c r="U3393" s="35" t="str">
        <f>IFERROR(__xludf.DUMMYFUNCTION("""COMPUTED_VALUE"""),"BASKET")</f>
        <v>BASKET</v>
      </c>
      <c r="V3393" s="35" t="str">
        <f>IFERROR(__xludf.DUMMYFUNCTION("""COMPUTED_VALUE"""),"082255522111")</f>
        <v>082255522111</v>
      </c>
      <c r="W3393" s="45"/>
    </row>
    <row r="3394">
      <c r="A3394" s="45"/>
      <c r="B3394" s="35" t="str">
        <f>IFERROR(__xludf.DUMMYFUNCTION("""COMPUTED_VALUE"""),"29/01/2026 16:34:19")</f>
        <v>29/01/2026 16:34:19</v>
      </c>
      <c r="C3394" s="35"/>
      <c r="D3394" s="10">
        <f>IFERROR(__xludf.DUMMYFUNCTION("""COMPUTED_VALUE"""),46051.0)</f>
        <v>46051</v>
      </c>
      <c r="E3394" s="35" t="str">
        <f>IFERROR(__xludf.DUMMYFUNCTION("""COMPUTED_VALUE"""),"01Jan")</f>
        <v>01Jan</v>
      </c>
      <c r="F3394" s="35" t="str">
        <f>IFERROR(__xludf.DUMMYFUNCTION("""COMPUTED_VALUE"""),"2026")</f>
        <v>2026</v>
      </c>
      <c r="G3394" s="35" t="str">
        <f>IFERROR(__xludf.DUMMYFUNCTION("""COMPUTED_VALUE"""),"SINDY MELANI")</f>
        <v>SINDY MELANI</v>
      </c>
      <c r="H3394" s="35" t="str">
        <f>IFERROR(__xludf.DUMMYFUNCTION("""COMPUTED_VALUE"""),"S0026012309")</f>
        <v>S0026012309</v>
      </c>
      <c r="I3394" s="35">
        <f>IFERROR(__xludf.DUMMYFUNCTION("""COMPUTED_VALUE"""),25.0)</f>
        <v>25</v>
      </c>
      <c r="J3394" s="35" t="str">
        <f>IFERROR(__xludf.DUMMYFUNCTION("""COMPUTED_VALUE"""),"25-34 tahun")</f>
        <v>25-34 tahun</v>
      </c>
      <c r="K3394" s="35" t="str">
        <f>IFERROR(__xludf.DUMMYFUNCTION("""COMPUTED_VALUE"""),"02/08/2000")</f>
        <v>02/08/2000</v>
      </c>
      <c r="L3394" s="35" t="str">
        <f>IFERROR(__xludf.DUMMYFUNCTION("""COMPUTED_VALUE"""),"PEREMPUAN")</f>
        <v>PEREMPUAN</v>
      </c>
      <c r="M3394" s="35" t="str">
        <f>IFERROR(__xludf.DUMMYFUNCTION("""COMPUTED_VALUE"""),"DUSUN BANDARAN")</f>
        <v>DUSUN BANDARAN</v>
      </c>
      <c r="N3394" s="35" t="str">
        <f>IFERROR(__xludf.DUMMYFUNCTION("""COMPUTED_VALUE"""),"KENDAWANGAN KIRI ")</f>
        <v>KENDAWANGAN KIRI </v>
      </c>
      <c r="O3394" s="35" t="str">
        <f>IFERROR(__xludf.DUMMYFUNCTION("""COMPUTED_VALUE"""),"KENDAWANGAN ")</f>
        <v>KENDAWANGAN </v>
      </c>
      <c r="P3394" s="35" t="str">
        <f>IFERROR(__xludf.DUMMYFUNCTION("""COMPUTED_VALUE"""),"KETAPANG ")</f>
        <v>KETAPANG </v>
      </c>
      <c r="Q3394" s="35" t="str">
        <f>IFERROR(__xludf.DUMMYFUNCTION("""COMPUTED_VALUE"""),"KALIMANTAN BARAT ")</f>
        <v>KALIMANTAN BARAT </v>
      </c>
      <c r="R3394" s="35" t="str">
        <f>IFERROR(__xludf.DUMMYFUNCTION("""COMPUTED_VALUE"""),"BUDDHA")</f>
        <v>BUDDHA</v>
      </c>
      <c r="S3394" s="74" t="str">
        <f>IFERROR(__xludf.DUMMYFUNCTION("""COMPUTED_VALUE"""),"BANKER ")</f>
        <v>BANKER </v>
      </c>
      <c r="T3394" s="35" t="str">
        <f>IFERROR(__xludf.DUMMYFUNCTION("""COMPUTED_VALUE"""),"SAKIT PINGGANG PADA TULANG LOWER BACK DAN KAKI KIRI")</f>
        <v>SAKIT PINGGANG PADA TULANG LOWER BACK DAN KAKI KIRI</v>
      </c>
      <c r="U3394" s="35" t="str">
        <f>IFERROR(__xludf.DUMMYFUNCTION("""COMPUTED_VALUE"""),"GYM DAN MAYORITAS AKTIVITAS DUDUK")</f>
        <v>GYM DAN MAYORITAS AKTIVITAS DUDUK</v>
      </c>
      <c r="V3394" s="35" t="str">
        <f>IFERROR(__xludf.DUMMYFUNCTION("""COMPUTED_VALUE"""),"085349522309")</f>
        <v>085349522309</v>
      </c>
      <c r="W3394" s="45"/>
    </row>
    <row r="3395">
      <c r="A3395" s="45"/>
      <c r="B3395" s="35" t="str">
        <f>IFERROR(__xludf.DUMMYFUNCTION("""COMPUTED_VALUE"""),"29/01/2026 11:21:05")</f>
        <v>29/01/2026 11:21:05</v>
      </c>
      <c r="C3395" s="35"/>
      <c r="D3395" s="10">
        <f>IFERROR(__xludf.DUMMYFUNCTION("""COMPUTED_VALUE"""),46051.0)</f>
        <v>46051</v>
      </c>
      <c r="E3395" s="35" t="str">
        <f>IFERROR(__xludf.DUMMYFUNCTION("""COMPUTED_VALUE"""),"01Jan")</f>
        <v>01Jan</v>
      </c>
      <c r="F3395" s="35" t="str">
        <f>IFERROR(__xludf.DUMMYFUNCTION("""COMPUTED_VALUE"""),"2026")</f>
        <v>2026</v>
      </c>
      <c r="G3395" s="35" t="str">
        <f>IFERROR(__xludf.DUMMYFUNCTION("""COMPUTED_VALUE"""),"RACHMAT HIDAYAT")</f>
        <v>RACHMAT HIDAYAT</v>
      </c>
      <c r="H3395" s="35" t="str">
        <f>IFERROR(__xludf.DUMMYFUNCTION("""COMPUTED_VALUE"""),"R9326014910")</f>
        <v>R9326014910</v>
      </c>
      <c r="I3395" s="35">
        <f>IFERROR(__xludf.DUMMYFUNCTION("""COMPUTED_VALUE"""),33.0)</f>
        <v>33</v>
      </c>
      <c r="J3395" s="35" t="str">
        <f>IFERROR(__xludf.DUMMYFUNCTION("""COMPUTED_VALUE"""),"25-34 tahun")</f>
        <v>25-34 tahun</v>
      </c>
      <c r="K3395" s="35" t="str">
        <f>IFERROR(__xludf.DUMMYFUNCTION("""COMPUTED_VALUE"""),"02/06/1993")</f>
        <v>02/06/1993</v>
      </c>
      <c r="L3395" s="35" t="str">
        <f>IFERROR(__xludf.DUMMYFUNCTION("""COMPUTED_VALUE"""),"LAKI-LAKI")</f>
        <v>LAKI-LAKI</v>
      </c>
      <c r="M3395" s="35" t="str">
        <f>IFERROR(__xludf.DUMMYFUNCTION("""COMPUTED_VALUE"""),"JL SAMBAS TIMUR VI NO 61 PERUM IV ")</f>
        <v>JL SAMBAS TIMUR VI NO 61 PERUM IV </v>
      </c>
      <c r="N3395" s="35" t="str">
        <f>IFERROR(__xludf.DUMMYFUNCTION("""COMPUTED_VALUE"""),"SAIGON")</f>
        <v>SAIGON</v>
      </c>
      <c r="O3395" s="35" t="str">
        <f>IFERROR(__xludf.DUMMYFUNCTION("""COMPUTED_VALUE"""),"PONTIANAK TIMUR")</f>
        <v>PONTIANAK TIMUR</v>
      </c>
      <c r="P3395" s="35" t="str">
        <f>IFERROR(__xludf.DUMMYFUNCTION("""COMPUTED_VALUE"""),"PONTIANAK ")</f>
        <v>PONTIANAK </v>
      </c>
      <c r="Q3395" s="35" t="str">
        <f>IFERROR(__xludf.DUMMYFUNCTION("""COMPUTED_VALUE"""),"KALIMANTAN BARAT")</f>
        <v>KALIMANTAN BARAT</v>
      </c>
      <c r="R3395" s="35" t="str">
        <f>IFERROR(__xludf.DUMMYFUNCTION("""COMPUTED_VALUE"""),"ISLAM")</f>
        <v>ISLAM</v>
      </c>
      <c r="S3395" s="74" t="str">
        <f>IFERROR(__xludf.DUMMYFUNCTION("""COMPUTED_VALUE"""),"BUMN")</f>
        <v>BUMN</v>
      </c>
      <c r="T3395" s="35" t="str">
        <f>IFERROR(__xludf.DUMMYFUNCTION("""COMPUTED_VALUE"""),"NYERI DI LUTUT")</f>
        <v>NYERI DI LUTUT</v>
      </c>
      <c r="U3395" s="35" t="str">
        <f>IFERROR(__xludf.DUMMYFUNCTION("""COMPUTED_VALUE"""),"OLAHRAGA BOLA DAN PADEL")</f>
        <v>OLAHRAGA BOLA DAN PADEL</v>
      </c>
      <c r="V3395" s="35" t="str">
        <f>IFERROR(__xludf.DUMMYFUNCTION("""COMPUTED_VALUE"""),"085750324910")</f>
        <v>085750324910</v>
      </c>
      <c r="W3395" s="45"/>
    </row>
    <row r="3396">
      <c r="A3396" s="45"/>
      <c r="B3396" s="35" t="str">
        <f>IFERROR(__xludf.DUMMYFUNCTION("""COMPUTED_VALUE"""),"31/01/2026 14:50:04")</f>
        <v>31/01/2026 14:50:04</v>
      </c>
      <c r="C3396" s="35"/>
      <c r="D3396" s="10">
        <f>IFERROR(__xludf.DUMMYFUNCTION("""COMPUTED_VALUE"""),46053.0)</f>
        <v>46053</v>
      </c>
      <c r="E3396" s="35" t="str">
        <f>IFERROR(__xludf.DUMMYFUNCTION("""COMPUTED_VALUE"""),"01Jan")</f>
        <v>01Jan</v>
      </c>
      <c r="F3396" s="35" t="str">
        <f>IFERROR(__xludf.DUMMYFUNCTION("""COMPUTED_VALUE"""),"2026")</f>
        <v>2026</v>
      </c>
      <c r="G3396" s="35" t="str">
        <f>IFERROR(__xludf.DUMMYFUNCTION("""COMPUTED_VALUE"""),"MAYONG ANDREAS ACIN")</f>
        <v>MAYONG ANDREAS ACIN</v>
      </c>
      <c r="H3396" s="35" t="str">
        <f>IFERROR(__xludf.DUMMYFUNCTION("""COMPUTED_VALUE"""),"M7226018910")</f>
        <v>M7226018910</v>
      </c>
      <c r="I3396" s="35">
        <f>IFERROR(__xludf.DUMMYFUNCTION("""COMPUTED_VALUE"""),54.0)</f>
        <v>54</v>
      </c>
      <c r="J3396" s="35" t="str">
        <f>IFERROR(__xludf.DUMMYFUNCTION("""COMPUTED_VALUE"""),"&gt; 44 tahun")</f>
        <v>&gt; 44 tahun</v>
      </c>
      <c r="K3396" s="35" t="str">
        <f>IFERROR(__xludf.DUMMYFUNCTION("""COMPUTED_VALUE"""),"15/02/1972")</f>
        <v>15/02/1972</v>
      </c>
      <c r="L3396" s="35" t="str">
        <f>IFERROR(__xludf.DUMMYFUNCTION("""COMPUTED_VALUE"""),"LAKI-LAKI")</f>
        <v>LAKI-LAKI</v>
      </c>
      <c r="M3396" s="35" t="str">
        <f>IFERROR(__xludf.DUMMYFUNCTION("""COMPUTED_VALUE"""),"JL AR HAKIM NO 92 A")</f>
        <v>JL AR HAKIM NO 92 A</v>
      </c>
      <c r="N3396" s="35" t="str">
        <f>IFERROR(__xludf.DUMMYFUNCTION("""COMPUTED_VALUE"""),"DARAT SEKIP")</f>
        <v>DARAT SEKIP</v>
      </c>
      <c r="O3396" s="35" t="str">
        <f>IFERROR(__xludf.DUMMYFUNCTION("""COMPUTED_VALUE"""),"PONTIANAK KOTA")</f>
        <v>PONTIANAK KOTA</v>
      </c>
      <c r="P3396" s="35" t="str">
        <f>IFERROR(__xludf.DUMMYFUNCTION("""COMPUTED_VALUE"""),"PONTIANAK")</f>
        <v>PONTIANAK</v>
      </c>
      <c r="Q3396" s="35" t="str">
        <f>IFERROR(__xludf.DUMMYFUNCTION("""COMPUTED_VALUE"""),"KALIMANTAN BARAT")</f>
        <v>KALIMANTAN BARAT</v>
      </c>
      <c r="R3396" s="35" t="str">
        <f>IFERROR(__xludf.DUMMYFUNCTION("""COMPUTED_VALUE"""),"KATOLIK")</f>
        <v>KATOLIK</v>
      </c>
      <c r="S3396" s="74" t="str">
        <f>IFERROR(__xludf.DUMMYFUNCTION("""COMPUTED_VALUE"""),"DOSEN")</f>
        <v>DOSEN</v>
      </c>
      <c r="T3396" s="35" t="str">
        <f>IFERROR(__xludf.DUMMYFUNCTION("""COMPUTED_VALUE"""),"KAKI")</f>
        <v>KAKI</v>
      </c>
      <c r="U3396" s="35" t="str">
        <f>IFERROR(__xludf.DUMMYFUNCTION("""COMPUTED_VALUE"""),"MAIN PADEL")</f>
        <v>MAIN PADEL</v>
      </c>
      <c r="V3396" s="35" t="str">
        <f>IFERROR(__xludf.DUMMYFUNCTION("""COMPUTED_VALUE"""),"012345678910")</f>
        <v>012345678910</v>
      </c>
      <c r="W3396" s="45"/>
    </row>
    <row r="3397">
      <c r="A3397" s="45"/>
      <c r="B3397" s="35" t="str">
        <f>IFERROR(__xludf.DUMMYFUNCTION("""COMPUTED_VALUE"""),"31/01/2026 14:52:55")</f>
        <v>31/01/2026 14:52:55</v>
      </c>
      <c r="C3397" s="35"/>
      <c r="D3397" s="10">
        <f>IFERROR(__xludf.DUMMYFUNCTION("""COMPUTED_VALUE"""),46053.0)</f>
        <v>46053</v>
      </c>
      <c r="E3397" s="35" t="str">
        <f>IFERROR(__xludf.DUMMYFUNCTION("""COMPUTED_VALUE"""),"01Jan")</f>
        <v>01Jan</v>
      </c>
      <c r="F3397" s="35" t="str">
        <f>IFERROR(__xludf.DUMMYFUNCTION("""COMPUTED_VALUE"""),"2026")</f>
        <v>2026</v>
      </c>
      <c r="G3397" s="35" t="str">
        <f>IFERROR(__xludf.DUMMYFUNCTION("""COMPUTED_VALUE"""),"M ADY SOEPIANSYAH")</f>
        <v>M ADY SOEPIANSYAH</v>
      </c>
      <c r="H3397" s="35" t="str">
        <f>IFERROR(__xludf.DUMMYFUNCTION("""COMPUTED_VALUE"""),"M9326010051")</f>
        <v>M9326010051</v>
      </c>
      <c r="I3397" s="35">
        <f>IFERROR(__xludf.DUMMYFUNCTION("""COMPUTED_VALUE"""),33.0)</f>
        <v>33</v>
      </c>
      <c r="J3397" s="35" t="str">
        <f>IFERROR(__xludf.DUMMYFUNCTION("""COMPUTED_VALUE"""),"25-34 tahun")</f>
        <v>25-34 tahun</v>
      </c>
      <c r="K3397" s="35" t="str">
        <f>IFERROR(__xludf.DUMMYFUNCTION("""COMPUTED_VALUE"""),"17/01/1993")</f>
        <v>17/01/1993</v>
      </c>
      <c r="L3397" s="35" t="str">
        <f>IFERROR(__xludf.DUMMYFUNCTION("""COMPUTED_VALUE"""),"LAKI-LAKI")</f>
        <v>LAKI-LAKI</v>
      </c>
      <c r="M3397" s="35" t="str">
        <f>IFERROR(__xludf.DUMMYFUNCTION("""COMPUTED_VALUE"""),"JL HARAPAN JAYA")</f>
        <v>JL HARAPAN JAYA</v>
      </c>
      <c r="N3397" s="35" t="str">
        <f>IFERROR(__xludf.DUMMYFUNCTION("""COMPUTED_VALUE"""),"KOTA BARU")</f>
        <v>KOTA BARU</v>
      </c>
      <c r="O3397" s="35" t="str">
        <f>IFERROR(__xludf.DUMMYFUNCTION("""COMPUTED_VALUE"""),"PONTIANAK SELATAN")</f>
        <v>PONTIANAK SELATAN</v>
      </c>
      <c r="P3397" s="35" t="str">
        <f>IFERROR(__xludf.DUMMYFUNCTION("""COMPUTED_VALUE"""),"PONTIANAK")</f>
        <v>PONTIANAK</v>
      </c>
      <c r="Q3397" s="35" t="str">
        <f>IFERROR(__xludf.DUMMYFUNCTION("""COMPUTED_VALUE"""),"KALIMANTAN BARAT")</f>
        <v>KALIMANTAN BARAT</v>
      </c>
      <c r="R3397" s="35" t="str">
        <f>IFERROR(__xludf.DUMMYFUNCTION("""COMPUTED_VALUE"""),"ISLAM")</f>
        <v>ISLAM</v>
      </c>
      <c r="S3397" s="74" t="str">
        <f>IFERROR(__xludf.DUMMYFUNCTION("""COMPUTED_VALUE"""),"KARYAWAN SWASTA")</f>
        <v>KARYAWAN SWASTA</v>
      </c>
      <c r="T3397" s="35" t="str">
        <f>IFERROR(__xludf.DUMMYFUNCTION("""COMPUTED_VALUE"""),"ANKLE KESELEO")</f>
        <v>ANKLE KESELEO</v>
      </c>
      <c r="U3397" s="35" t="str">
        <f>IFERROR(__xludf.DUMMYFUNCTION("""COMPUTED_VALUE"""),"BADMINTON")</f>
        <v>BADMINTON</v>
      </c>
      <c r="V3397" s="35" t="str">
        <f>IFERROR(__xludf.DUMMYFUNCTION("""COMPUTED_VALUE"""),"082255300051")</f>
        <v>082255300051</v>
      </c>
      <c r="W3397" s="45"/>
    </row>
    <row r="3398">
      <c r="A3398" s="45"/>
      <c r="B3398" s="35" t="str">
        <f>IFERROR(__xludf.DUMMYFUNCTION("""COMPUTED_VALUE"""),"31/01/2026 9:54:01")</f>
        <v>31/01/2026 9:54:01</v>
      </c>
      <c r="C3398" s="35"/>
      <c r="D3398" s="10">
        <f>IFERROR(__xludf.DUMMYFUNCTION("""COMPUTED_VALUE"""),46053.0)</f>
        <v>46053</v>
      </c>
      <c r="E3398" s="35" t="str">
        <f>IFERROR(__xludf.DUMMYFUNCTION("""COMPUTED_VALUE"""),"01Jan")</f>
        <v>01Jan</v>
      </c>
      <c r="F3398" s="35" t="str">
        <f>IFERROR(__xludf.DUMMYFUNCTION("""COMPUTED_VALUE"""),"2026")</f>
        <v>2026</v>
      </c>
      <c r="G3398" s="35" t="str">
        <f>IFERROR(__xludf.DUMMYFUNCTION("""COMPUTED_VALUE"""),"LENNY MARBUN")</f>
        <v>LENNY MARBUN</v>
      </c>
      <c r="H3398" s="35" t="str">
        <f>IFERROR(__xludf.DUMMYFUNCTION("""COMPUTED_VALUE"""),"L7926015599")</f>
        <v>L7926015599</v>
      </c>
      <c r="I3398" s="35">
        <f>IFERROR(__xludf.DUMMYFUNCTION("""COMPUTED_VALUE"""),46.0)</f>
        <v>46</v>
      </c>
      <c r="J3398" s="35" t="str">
        <f>IFERROR(__xludf.DUMMYFUNCTION("""COMPUTED_VALUE"""),"&gt; 44 tahun")</f>
        <v>&gt; 44 tahun</v>
      </c>
      <c r="K3398" s="35" t="str">
        <f>IFERROR(__xludf.DUMMYFUNCTION("""COMPUTED_VALUE"""),"12/08/1979")</f>
        <v>12/08/1979</v>
      </c>
      <c r="L3398" s="35" t="str">
        <f>IFERROR(__xludf.DUMMYFUNCTION("""COMPUTED_VALUE"""),"PEREMPUAN")</f>
        <v>PEREMPUAN</v>
      </c>
      <c r="M3398" s="35" t="str">
        <f>IFERROR(__xludf.DUMMYFUNCTION("""COMPUTED_VALUE"""),"JL PURNAMA KOMP PERMATA PURNAMA NO D5")</f>
        <v>JL PURNAMA KOMP PERMATA PURNAMA NO D5</v>
      </c>
      <c r="N3398" s="35" t="str">
        <f>IFERROR(__xludf.DUMMYFUNCTION("""COMPUTED_VALUE"""),"PARIT TOKAYA")</f>
        <v>PARIT TOKAYA</v>
      </c>
      <c r="O3398" s="35" t="str">
        <f>IFERROR(__xludf.DUMMYFUNCTION("""COMPUTED_VALUE"""),"PONTIANAK SELATAN")</f>
        <v>PONTIANAK SELATAN</v>
      </c>
      <c r="P3398" s="35" t="str">
        <f>IFERROR(__xludf.DUMMYFUNCTION("""COMPUTED_VALUE"""),"PONTIANAK")</f>
        <v>PONTIANAK</v>
      </c>
      <c r="Q3398" s="35" t="str">
        <f>IFERROR(__xludf.DUMMYFUNCTION("""COMPUTED_VALUE"""),"KALIMANTAN BARAT")</f>
        <v>KALIMANTAN BARAT</v>
      </c>
      <c r="R3398" s="35" t="str">
        <f>IFERROR(__xludf.DUMMYFUNCTION("""COMPUTED_VALUE"""),"KATOLIK")</f>
        <v>KATOLIK</v>
      </c>
      <c r="S3398" s="74" t="str">
        <f>IFERROR(__xludf.DUMMYFUNCTION("""COMPUTED_VALUE"""),"KARYAWAN SWASTA")</f>
        <v>KARYAWAN SWASTA</v>
      </c>
      <c r="T3398" s="35" t="str">
        <f>IFERROR(__xludf.DUMMYFUNCTION("""COMPUTED_VALUE"""),"LENGAN SAKIT")</f>
        <v>LENGAN SAKIT</v>
      </c>
      <c r="U3398" s="35" t="str">
        <f>IFERROR(__xludf.DUMMYFUNCTION("""COMPUTED_VALUE"""),"GYM DAN YOGA")</f>
        <v>GYM DAN YOGA</v>
      </c>
      <c r="V3398" s="35" t="str">
        <f>IFERROR(__xludf.DUMMYFUNCTION("""COMPUTED_VALUE"""),"081257405599")</f>
        <v>081257405599</v>
      </c>
      <c r="W3398" s="45"/>
    </row>
    <row r="3399">
      <c r="A3399" s="45"/>
      <c r="B3399" s="35" t="str">
        <f>IFERROR(__xludf.DUMMYFUNCTION("""COMPUTED_VALUE"""),"31/01/2026 18:15:30")</f>
        <v>31/01/2026 18:15:30</v>
      </c>
      <c r="C3399" s="35"/>
      <c r="D3399" s="10">
        <f>IFERROR(__xludf.DUMMYFUNCTION("""COMPUTED_VALUE"""),46053.0)</f>
        <v>46053</v>
      </c>
      <c r="E3399" s="35" t="str">
        <f>IFERROR(__xludf.DUMMYFUNCTION("""COMPUTED_VALUE"""),"01Jan")</f>
        <v>01Jan</v>
      </c>
      <c r="F3399" s="35" t="str">
        <f>IFERROR(__xludf.DUMMYFUNCTION("""COMPUTED_VALUE"""),"2026")</f>
        <v>2026</v>
      </c>
      <c r="G3399" s="35" t="str">
        <f>IFERROR(__xludf.DUMMYFUNCTION("""COMPUTED_VALUE"""),"SHELIN XAVIERA SALAM")</f>
        <v>SHELIN XAVIERA SALAM</v>
      </c>
      <c r="H3399" s="35" t="str">
        <f>IFERROR(__xludf.DUMMYFUNCTION("""COMPUTED_VALUE"""),"S1926017999")</f>
        <v>S1926017999</v>
      </c>
      <c r="I3399" s="35">
        <f>IFERROR(__xludf.DUMMYFUNCTION("""COMPUTED_VALUE"""),6.0)</f>
        <v>6</v>
      </c>
      <c r="J3399" s="35" t="str">
        <f>IFERROR(__xludf.DUMMYFUNCTION("""COMPUTED_VALUE"""),"&lt; 18 tahun")</f>
        <v>&lt; 18 tahun</v>
      </c>
      <c r="K3399" s="35" t="str">
        <f>IFERROR(__xludf.DUMMYFUNCTION("""COMPUTED_VALUE"""),"01/07/2019")</f>
        <v>01/07/2019</v>
      </c>
      <c r="L3399" s="35" t="str">
        <f>IFERROR(__xludf.DUMMYFUNCTION("""COMPUTED_VALUE"""),"PEREMPUAN")</f>
        <v>PEREMPUAN</v>
      </c>
      <c r="M3399" s="35" t="str">
        <f>IFERROR(__xludf.DUMMYFUNCTION("""COMPUTED_VALUE"""),"JL PARIT HJ HUSIN 2 KOMP THE HERITAGE NO A7")</f>
        <v>JL PARIT HJ HUSIN 2 KOMP THE HERITAGE NO A7</v>
      </c>
      <c r="N3399" s="35" t="str">
        <f>IFERROR(__xludf.DUMMYFUNCTION("""COMPUTED_VALUE"""),"PONTIANAK TENGGARA")</f>
        <v>PONTIANAK TENGGARA</v>
      </c>
      <c r="O3399" s="35" t="str">
        <f>IFERROR(__xludf.DUMMYFUNCTION("""COMPUTED_VALUE"""),"BANGKA BELITUNG DARAT")</f>
        <v>BANGKA BELITUNG DARAT</v>
      </c>
      <c r="P3399" s="35" t="str">
        <f>IFERROR(__xludf.DUMMYFUNCTION("""COMPUTED_VALUE"""),"PONTIANAK")</f>
        <v>PONTIANAK</v>
      </c>
      <c r="Q3399" s="35" t="str">
        <f>IFERROR(__xludf.DUMMYFUNCTION("""COMPUTED_VALUE"""),"KALIMANTAN BARAT")</f>
        <v>KALIMANTAN BARAT</v>
      </c>
      <c r="R3399" s="35" t="str">
        <f>IFERROR(__xludf.DUMMYFUNCTION("""COMPUTED_VALUE"""),"KATOLIK")</f>
        <v>KATOLIK</v>
      </c>
      <c r="S3399" s="74" t="str">
        <f>IFERROR(__xludf.DUMMYFUNCTION("""COMPUTED_VALUE"""),"PELAJAR")</f>
        <v>PELAJAR</v>
      </c>
      <c r="T3399" s="35" t="str">
        <f>IFERROR(__xludf.DUMMYFUNCTION("""COMPUTED_VALUE"""),"KAKI KESELEO")</f>
        <v>KAKI KESELEO</v>
      </c>
      <c r="U3399" s="35" t="str">
        <f>IFERROR(__xludf.DUMMYFUNCTION("""COMPUTED_VALUE"""),"SEKOLAH. LARI2")</f>
        <v>SEKOLAH. LARI2</v>
      </c>
      <c r="V3399" s="35" t="str">
        <f>IFERROR(__xludf.DUMMYFUNCTION("""COMPUTED_VALUE"""),"081345087999")</f>
        <v>081345087999</v>
      </c>
      <c r="W3399" s="45"/>
    </row>
    <row r="3400">
      <c r="A3400" s="45"/>
      <c r="B3400" s="35" t="str">
        <f>IFERROR(__xludf.DUMMYFUNCTION("""COMPUTED_VALUE"""),"31/01/2026 19:17:03")</f>
        <v>31/01/2026 19:17:03</v>
      </c>
      <c r="C3400" s="35"/>
      <c r="D3400" s="10">
        <f>IFERROR(__xludf.DUMMYFUNCTION("""COMPUTED_VALUE"""),46053.0)</f>
        <v>46053</v>
      </c>
      <c r="E3400" s="35" t="str">
        <f>IFERROR(__xludf.DUMMYFUNCTION("""COMPUTED_VALUE"""),"01Jan")</f>
        <v>01Jan</v>
      </c>
      <c r="F3400" s="35" t="str">
        <f>IFERROR(__xludf.DUMMYFUNCTION("""COMPUTED_VALUE"""),"2026")</f>
        <v>2026</v>
      </c>
      <c r="G3400" s="35" t="str">
        <f>IFERROR(__xludf.DUMMYFUNCTION("""COMPUTED_VALUE"""),"HANDRI")</f>
        <v>HANDRI</v>
      </c>
      <c r="H3400" s="35" t="str">
        <f>IFERROR(__xludf.DUMMYFUNCTION("""COMPUTED_VALUE"""),"H8826015369")</f>
        <v>H8826015369</v>
      </c>
      <c r="I3400" s="35">
        <f>IFERROR(__xludf.DUMMYFUNCTION("""COMPUTED_VALUE"""),37.0)</f>
        <v>37</v>
      </c>
      <c r="J3400" s="35" t="str">
        <f>IFERROR(__xludf.DUMMYFUNCTION("""COMPUTED_VALUE"""),"35-44 tahun")</f>
        <v>35-44 tahun</v>
      </c>
      <c r="K3400" s="35" t="str">
        <f>IFERROR(__xludf.DUMMYFUNCTION("""COMPUTED_VALUE"""),"11/11/1988")</f>
        <v>11/11/1988</v>
      </c>
      <c r="L3400" s="35" t="str">
        <f>IFERROR(__xludf.DUMMYFUNCTION("""COMPUTED_VALUE"""),"LAKI-LAKI")</f>
        <v>LAKI-LAKI</v>
      </c>
      <c r="M3400" s="35" t="str">
        <f>IFERROR(__xludf.DUMMYFUNCTION("""COMPUTED_VALUE"""),"HANDRI")</f>
        <v>HANDRI</v>
      </c>
      <c r="N3400" s="35" t="str">
        <f>IFERROR(__xludf.DUMMYFUNCTION("""COMPUTED_VALUE"""),"PONTIANAK")</f>
        <v>PONTIANAK</v>
      </c>
      <c r="O3400" s="35" t="str">
        <f>IFERROR(__xludf.DUMMYFUNCTION("""COMPUTED_VALUE"""),"PONTIANAK")</f>
        <v>PONTIANAK</v>
      </c>
      <c r="P3400" s="35" t="str">
        <f>IFERROR(__xludf.DUMMYFUNCTION("""COMPUTED_VALUE"""),"PONTIANAK")</f>
        <v>PONTIANAK</v>
      </c>
      <c r="Q3400" s="35" t="str">
        <f>IFERROR(__xludf.DUMMYFUNCTION("""COMPUTED_VALUE"""),"KALIMANTAN BARAT")</f>
        <v>KALIMANTAN BARAT</v>
      </c>
      <c r="R3400" s="35" t="str">
        <f>IFERROR(__xludf.DUMMYFUNCTION("""COMPUTED_VALUE"""),"BUDDHA")</f>
        <v>BUDDHA</v>
      </c>
      <c r="S3400" s="74" t="str">
        <f>IFERROR(__xludf.DUMMYFUNCTION("""COMPUTED_VALUE"""),"WIRASWASTA")</f>
        <v>WIRASWASTA</v>
      </c>
      <c r="T3400" s="35" t="str">
        <f>IFERROR(__xludf.DUMMYFUNCTION("""COMPUTED_VALUE"""),"PONTIANAK")</f>
        <v>PONTIANAK</v>
      </c>
      <c r="U3400" s="35" t="str">
        <f>IFERROR(__xludf.DUMMYFUNCTION("""COMPUTED_VALUE"""),"BADMINTON")</f>
        <v>BADMINTON</v>
      </c>
      <c r="V3400" s="35" t="str">
        <f>IFERROR(__xludf.DUMMYFUNCTION("""COMPUTED_VALUE"""),"081255255369")</f>
        <v>081255255369</v>
      </c>
      <c r="W3400" s="45"/>
    </row>
    <row r="3401">
      <c r="A3401" s="45"/>
      <c r="B3401" s="35" t="str">
        <f>IFERROR(__xludf.DUMMYFUNCTION("""COMPUTED_VALUE"""),"31/01/2026 11:28:07")</f>
        <v>31/01/2026 11:28:07</v>
      </c>
      <c r="C3401" s="35"/>
      <c r="D3401" s="10">
        <f>IFERROR(__xludf.DUMMYFUNCTION("""COMPUTED_VALUE"""),46053.0)</f>
        <v>46053</v>
      </c>
      <c r="E3401" s="35" t="str">
        <f>IFERROR(__xludf.DUMMYFUNCTION("""COMPUTED_VALUE"""),"01Jan")</f>
        <v>01Jan</v>
      </c>
      <c r="F3401" s="35" t="str">
        <f>IFERROR(__xludf.DUMMYFUNCTION("""COMPUTED_VALUE"""),"2026")</f>
        <v>2026</v>
      </c>
      <c r="G3401" s="35" t="str">
        <f>IFERROR(__xludf.DUMMYFUNCTION("""COMPUTED_VALUE"""),"AGNES ROSELINA")</f>
        <v>AGNES ROSELINA</v>
      </c>
      <c r="H3401" s="35" t="str">
        <f>IFERROR(__xludf.DUMMYFUNCTION("""COMPUTED_VALUE"""),"A4526019334")</f>
        <v>A4526019334</v>
      </c>
      <c r="I3401" s="35">
        <f>IFERROR(__xludf.DUMMYFUNCTION("""COMPUTED_VALUE"""),80.0)</f>
        <v>80</v>
      </c>
      <c r="J3401" s="35" t="str">
        <f>IFERROR(__xludf.DUMMYFUNCTION("""COMPUTED_VALUE"""),"&gt; 44 tahun")</f>
        <v>&gt; 44 tahun</v>
      </c>
      <c r="K3401" s="35" t="str">
        <f>IFERROR(__xludf.DUMMYFUNCTION("""COMPUTED_VALUE"""),"20/11/1945")</f>
        <v>20/11/1945</v>
      </c>
      <c r="L3401" s="35" t="str">
        <f>IFERROR(__xludf.DUMMYFUNCTION("""COMPUTED_VALUE"""),"PEREMPUAN")</f>
        <v>PEREMPUAN</v>
      </c>
      <c r="M3401" s="35" t="str">
        <f>IFERROR(__xludf.DUMMYFUNCTION("""COMPUTED_VALUE"""),"JL. DR. WAHIDIN S. KOMPLEK MITRA RAYA LESTARI 5. BLOK B-8.RT/RW : 001/034")</f>
        <v>JL. DR. WAHIDIN S. KOMPLEK MITRA RAYA LESTARI 5. BLOK B-8.RT/RW : 001/034</v>
      </c>
      <c r="N3401" s="35" t="str">
        <f>IFERROR(__xludf.DUMMYFUNCTION("""COMPUTED_VALUE"""),"SEI JAWI")</f>
        <v>SEI JAWI</v>
      </c>
      <c r="O3401" s="35" t="str">
        <f>IFERROR(__xludf.DUMMYFUNCTION("""COMPUTED_VALUE"""),"PONTIANAK KOTA")</f>
        <v>PONTIANAK KOTA</v>
      </c>
      <c r="P3401" s="35" t="str">
        <f>IFERROR(__xludf.DUMMYFUNCTION("""COMPUTED_VALUE"""),"PONTIANAK")</f>
        <v>PONTIANAK</v>
      </c>
      <c r="Q3401" s="35" t="str">
        <f>IFERROR(__xludf.DUMMYFUNCTION("""COMPUTED_VALUE"""),"KALIMANTAN BARAT")</f>
        <v>KALIMANTAN BARAT</v>
      </c>
      <c r="R3401" s="35" t="str">
        <f>IFERROR(__xludf.DUMMYFUNCTION("""COMPUTED_VALUE"""),"KATOLIK")</f>
        <v>KATOLIK</v>
      </c>
      <c r="S3401" s="74" t="str">
        <f>IFERROR(__xludf.DUMMYFUNCTION("""COMPUTED_VALUE"""),"PENSIUN")</f>
        <v>PENSIUN</v>
      </c>
      <c r="T3401" s="35" t="str">
        <f>IFERROR(__xludf.DUMMYFUNCTION("""COMPUTED_VALUE"""),"SAKIT BELIKAT BELAKANG SAMPE KE LEHER DAN KEPALA")</f>
        <v>SAKIT BELIKAT BELAKANG SAMPE KE LEHER DAN KEPALA</v>
      </c>
      <c r="U3401" s="35" t="str">
        <f>IFERROR(__xludf.DUMMYFUNCTION("""COMPUTED_VALUE"""),"MAIN HP")</f>
        <v>MAIN HP</v>
      </c>
      <c r="V3401" s="35" t="str">
        <f>IFERROR(__xludf.DUMMYFUNCTION("""COMPUTED_VALUE"""),"081818499334")</f>
        <v>081818499334</v>
      </c>
      <c r="W3401" s="45"/>
    </row>
    <row r="3402">
      <c r="A3402" s="45"/>
      <c r="B3402" s="35" t="str">
        <f>IFERROR(__xludf.DUMMYFUNCTION("""COMPUTED_VALUE"""),"31/01/2026 11:10:26")</f>
        <v>31/01/2026 11:10:26</v>
      </c>
      <c r="C3402" s="35"/>
      <c r="D3402" s="10">
        <f>IFERROR(__xludf.DUMMYFUNCTION("""COMPUTED_VALUE"""),46053.0)</f>
        <v>46053</v>
      </c>
      <c r="E3402" s="35" t="str">
        <f>IFERROR(__xludf.DUMMYFUNCTION("""COMPUTED_VALUE"""),"01Jan")</f>
        <v>01Jan</v>
      </c>
      <c r="F3402" s="35" t="str">
        <f>IFERROR(__xludf.DUMMYFUNCTION("""COMPUTED_VALUE"""),"2026")</f>
        <v>2026</v>
      </c>
      <c r="G3402" s="35" t="str">
        <f>IFERROR(__xludf.DUMMYFUNCTION("""COMPUTED_VALUE"""),"MARSIANUS DWI W. DONATUS")</f>
        <v>MARSIANUS DWI W. DONATUS</v>
      </c>
      <c r="H3402" s="35" t="str">
        <f>IFERROR(__xludf.DUMMYFUNCTION("""COMPUTED_VALUE"""),"M8926011825")</f>
        <v>M8926011825</v>
      </c>
      <c r="I3402" s="35">
        <f>IFERROR(__xludf.DUMMYFUNCTION("""COMPUTED_VALUE"""),37.0)</f>
        <v>37</v>
      </c>
      <c r="J3402" s="35" t="str">
        <f>IFERROR(__xludf.DUMMYFUNCTION("""COMPUTED_VALUE"""),"35-44 tahun")</f>
        <v>35-44 tahun</v>
      </c>
      <c r="K3402" s="35" t="str">
        <f>IFERROR(__xludf.DUMMYFUNCTION("""COMPUTED_VALUE"""),"29/03/1989")</f>
        <v>29/03/1989</v>
      </c>
      <c r="L3402" s="35" t="str">
        <f>IFERROR(__xludf.DUMMYFUNCTION("""COMPUTED_VALUE"""),"LAKI-LAKI")</f>
        <v>LAKI-LAKI</v>
      </c>
      <c r="M3402" s="35" t="str">
        <f>IFERROR(__xludf.DUMMYFUNCTION("""COMPUTED_VALUE"""),"PERUMNAS 2 GG GOA 1")</f>
        <v>PERUMNAS 2 GG GOA 1</v>
      </c>
      <c r="N3402" s="35" t="str">
        <f>IFERROR(__xludf.DUMMYFUNCTION("""COMPUTED_VALUE"""),"SUNGAI BELIUNG ")</f>
        <v>SUNGAI BELIUNG </v>
      </c>
      <c r="O3402" s="35" t="str">
        <f>IFERROR(__xludf.DUMMYFUNCTION("""COMPUTED_VALUE"""),"PONTIANAK BARAT ")</f>
        <v>PONTIANAK BARAT </v>
      </c>
      <c r="P3402" s="35" t="str">
        <f>IFERROR(__xludf.DUMMYFUNCTION("""COMPUTED_VALUE"""),"KOTA PONTIANAK ")</f>
        <v>KOTA PONTIANAK </v>
      </c>
      <c r="Q3402" s="35" t="str">
        <f>IFERROR(__xludf.DUMMYFUNCTION("""COMPUTED_VALUE"""),"KALIMANTAN BARAT ")</f>
        <v>KALIMANTAN BARAT </v>
      </c>
      <c r="R3402" s="35" t="str">
        <f>IFERROR(__xludf.DUMMYFUNCTION("""COMPUTED_VALUE"""),"KATOLIK")</f>
        <v>KATOLIK</v>
      </c>
      <c r="S3402" s="74" t="str">
        <f>IFERROR(__xludf.DUMMYFUNCTION("""COMPUTED_VALUE"""),"SWASTA ")</f>
        <v>SWASTA </v>
      </c>
      <c r="T3402" s="35" t="str">
        <f>IFERROR(__xludf.DUMMYFUNCTION("""COMPUTED_VALUE"""),"SAKIT PINGGANG ")</f>
        <v>SAKIT PINGGANG </v>
      </c>
      <c r="U3402" s="35" t="str">
        <f>IFERROR(__xludf.DUMMYFUNCTION("""COMPUTED_VALUE"""),"BANYAK DI JALAN DAN DUDUK SUKA ANGKAT BERAT2(DULU)")</f>
        <v>BANYAK DI JALAN DAN DUDUK SUKA ANGKAT BERAT2(DULU)</v>
      </c>
      <c r="V3402" s="35" t="str">
        <f>IFERROR(__xludf.DUMMYFUNCTION("""COMPUTED_VALUE"""),"087815371825")</f>
        <v>087815371825</v>
      </c>
      <c r="W3402" s="45"/>
    </row>
    <row r="3403">
      <c r="A3403" s="45"/>
      <c r="B3403" s="35" t="str">
        <f>IFERROR(__xludf.DUMMYFUNCTION("""COMPUTED_VALUE"""),"31/01/2026 20:07:33")</f>
        <v>31/01/2026 20:07:33</v>
      </c>
      <c r="C3403" s="35"/>
      <c r="D3403" s="10">
        <f>IFERROR(__xludf.DUMMYFUNCTION("""COMPUTED_VALUE"""),46053.0)</f>
        <v>46053</v>
      </c>
      <c r="E3403" s="35" t="str">
        <f>IFERROR(__xludf.DUMMYFUNCTION("""COMPUTED_VALUE"""),"01Jan")</f>
        <v>01Jan</v>
      </c>
      <c r="F3403" s="35" t="str">
        <f>IFERROR(__xludf.DUMMYFUNCTION("""COMPUTED_VALUE"""),"2026")</f>
        <v>2026</v>
      </c>
      <c r="G3403" s="35" t="str">
        <f>IFERROR(__xludf.DUMMYFUNCTION("""COMPUTED_VALUE"""),"LAETITIA LAURA")</f>
        <v>LAETITIA LAURA</v>
      </c>
      <c r="H3403" s="35" t="str">
        <f>IFERROR(__xludf.DUMMYFUNCTION("""COMPUTED_VALUE"""),"L9226015300")</f>
        <v>L9226015300</v>
      </c>
      <c r="I3403" s="35">
        <f>IFERROR(__xludf.DUMMYFUNCTION("""COMPUTED_VALUE"""),33.0)</f>
        <v>33</v>
      </c>
      <c r="J3403" s="35" t="str">
        <f>IFERROR(__xludf.DUMMYFUNCTION("""COMPUTED_VALUE"""),"25-34 tahun")</f>
        <v>25-34 tahun</v>
      </c>
      <c r="K3403" s="35" t="str">
        <f>IFERROR(__xludf.DUMMYFUNCTION("""COMPUTED_VALUE"""),"10/07/1992")</f>
        <v>10/07/1992</v>
      </c>
      <c r="L3403" s="35" t="str">
        <f>IFERROR(__xludf.DUMMYFUNCTION("""COMPUTED_VALUE"""),"PEREMPUAN")</f>
        <v>PEREMPUAN</v>
      </c>
      <c r="M3403" s="35" t="str">
        <f>IFERROR(__xludf.DUMMYFUNCTION("""COMPUTED_VALUE"""),"JL PERINTIS GG BHAKTI NO 14")</f>
        <v>JL PERINTIS GG BHAKTI NO 14</v>
      </c>
      <c r="N3403" s="35" t="str">
        <f>IFERROR(__xludf.DUMMYFUNCTION("""COMPUTED_VALUE"""),"BERINGIN")</f>
        <v>BERINGIN</v>
      </c>
      <c r="O3403" s="35" t="str">
        <f>IFERROR(__xludf.DUMMYFUNCTION("""COMPUTED_VALUE"""),"KAPUAS")</f>
        <v>KAPUAS</v>
      </c>
      <c r="P3403" s="35" t="str">
        <f>IFERROR(__xludf.DUMMYFUNCTION("""COMPUTED_VALUE"""),"SANGGAU")</f>
        <v>SANGGAU</v>
      </c>
      <c r="Q3403" s="35" t="str">
        <f>IFERROR(__xludf.DUMMYFUNCTION("""COMPUTED_VALUE"""),"KALIMANTAN BARAT")</f>
        <v>KALIMANTAN BARAT</v>
      </c>
      <c r="R3403" s="35" t="str">
        <f>IFERROR(__xludf.DUMMYFUNCTION("""COMPUTED_VALUE"""),"KATOLIK")</f>
        <v>KATOLIK</v>
      </c>
      <c r="S3403" s="74" t="str">
        <f>IFERROR(__xludf.DUMMYFUNCTION("""COMPUTED_VALUE"""),"IRT")</f>
        <v>IRT</v>
      </c>
      <c r="T3403" s="35" t="str">
        <f>IFERROR(__xludf.DUMMYFUNCTION("""COMPUTED_VALUE"""),"NYERI PINGGUL ")</f>
        <v>NYERI PINGGUL </v>
      </c>
      <c r="U3403" s="35" t="str">
        <f>IFERROR(__xludf.DUMMYFUNCTION("""COMPUTED_VALUE"""),"MENYUSUI")</f>
        <v>MENYUSUI</v>
      </c>
      <c r="V3403" s="35" t="str">
        <f>IFERROR(__xludf.DUMMYFUNCTION("""COMPUTED_VALUE"""),"085752235300")</f>
        <v>085752235300</v>
      </c>
      <c r="W3403" s="45"/>
    </row>
    <row r="3404">
      <c r="A3404" s="45"/>
      <c r="B3404" s="35" t="str">
        <f>IFERROR(__xludf.DUMMYFUNCTION("""COMPUTED_VALUE"""),"01/02/2026 8:51:24")</f>
        <v>01/02/2026 8:51:24</v>
      </c>
      <c r="C3404" s="35"/>
      <c r="D3404" s="10">
        <f>IFERROR(__xludf.DUMMYFUNCTION("""COMPUTED_VALUE"""),46054.0)</f>
        <v>46054</v>
      </c>
      <c r="E3404" s="35" t="str">
        <f>IFERROR(__xludf.DUMMYFUNCTION("""COMPUTED_VALUE"""),"02Feb")</f>
        <v>02Feb</v>
      </c>
      <c r="F3404" s="35" t="str">
        <f>IFERROR(__xludf.DUMMYFUNCTION("""COMPUTED_VALUE"""),"2026")</f>
        <v>2026</v>
      </c>
      <c r="G3404" s="35" t="str">
        <f>IFERROR(__xludf.DUMMYFUNCTION("""COMPUTED_VALUE"""),"SUHARDI")</f>
        <v>SUHARDI</v>
      </c>
      <c r="H3404" s="35" t="str">
        <f>IFERROR(__xludf.DUMMYFUNCTION("""COMPUTED_VALUE"""),"S8126023178")</f>
        <v>S8126023178</v>
      </c>
      <c r="I3404" s="35">
        <f>IFERROR(__xludf.DUMMYFUNCTION("""COMPUTED_VALUE"""),45.0)</f>
        <v>45</v>
      </c>
      <c r="J3404" s="35" t="str">
        <f>IFERROR(__xludf.DUMMYFUNCTION("""COMPUTED_VALUE"""),"&gt; 44 tahun")</f>
        <v>&gt; 44 tahun</v>
      </c>
      <c r="K3404" s="35" t="str">
        <f>IFERROR(__xludf.DUMMYFUNCTION("""COMPUTED_VALUE"""),"14/01/1981")</f>
        <v>14/01/1981</v>
      </c>
      <c r="L3404" s="35" t="str">
        <f>IFERROR(__xludf.DUMMYFUNCTION("""COMPUTED_VALUE"""),"LAKI-LAKI")</f>
        <v>LAKI-LAKI</v>
      </c>
      <c r="M3404" s="35" t="str">
        <f>IFERROR(__xludf.DUMMYFUNCTION("""COMPUTED_VALUE"""),"JL. K. H. ABDURAHMAN WAHID, GG. MURBACH NO 49")</f>
        <v>JL. K. H. ABDURAHMAN WAHID, GG. MURBACH NO 49</v>
      </c>
      <c r="N3404" s="35" t="str">
        <f>IFERROR(__xludf.DUMMYFUNCTION("""COMPUTED_VALUE"""),"KUALA DUA")</f>
        <v>KUALA DUA</v>
      </c>
      <c r="O3404" s="35" t="str">
        <f>IFERROR(__xludf.DUMMYFUNCTION("""COMPUTED_VALUE"""),"SUNGAI RAYA")</f>
        <v>SUNGAI RAYA</v>
      </c>
      <c r="P3404" s="35" t="str">
        <f>IFERROR(__xludf.DUMMYFUNCTION("""COMPUTED_VALUE"""),"KUBU RAYA")</f>
        <v>KUBU RAYA</v>
      </c>
      <c r="Q3404" s="35" t="str">
        <f>IFERROR(__xludf.DUMMYFUNCTION("""COMPUTED_VALUE"""),"KALBAR")</f>
        <v>KALBAR</v>
      </c>
      <c r="R3404" s="35" t="str">
        <f>IFERROR(__xludf.DUMMYFUNCTION("""COMPUTED_VALUE"""),"PROTESTAN")</f>
        <v>PROTESTAN</v>
      </c>
      <c r="S3404" s="74" t="str">
        <f>IFERROR(__xludf.DUMMYFUNCTION("""COMPUTED_VALUE"""),"ASN")</f>
        <v>ASN</v>
      </c>
      <c r="T3404" s="35" t="str">
        <f>IFERROR(__xludf.DUMMYFUNCTION("""COMPUTED_VALUE"""),"NYERI DI BAWAH LUTUT KIRI BAGIAN DALAM")</f>
        <v>NYERI DI BAWAH LUTUT KIRI BAGIAN DALAM</v>
      </c>
      <c r="U3404" s="35" t="str">
        <f>IFERROR(__xludf.DUMMYFUNCTION("""COMPUTED_VALUE"""),"LARI")</f>
        <v>LARI</v>
      </c>
      <c r="V3404" s="35" t="str">
        <f>IFERROR(__xludf.DUMMYFUNCTION("""COMPUTED_VALUE"""),"085650873178")</f>
        <v>085650873178</v>
      </c>
      <c r="W3404" s="45"/>
    </row>
    <row r="3405">
      <c r="A3405" s="45"/>
      <c r="B3405" s="35" t="str">
        <f>IFERROR(__xludf.DUMMYFUNCTION("""COMPUTED_VALUE"""),"01/02/2026 7:09:40")</f>
        <v>01/02/2026 7:09:40</v>
      </c>
      <c r="C3405" s="35"/>
      <c r="D3405" s="10">
        <f>IFERROR(__xludf.DUMMYFUNCTION("""COMPUTED_VALUE"""),46054.0)</f>
        <v>46054</v>
      </c>
      <c r="E3405" s="35" t="str">
        <f>IFERROR(__xludf.DUMMYFUNCTION("""COMPUTED_VALUE"""),"02Feb")</f>
        <v>02Feb</v>
      </c>
      <c r="F3405" s="35" t="str">
        <f>IFERROR(__xludf.DUMMYFUNCTION("""COMPUTED_VALUE"""),"2026")</f>
        <v>2026</v>
      </c>
      <c r="G3405" s="35" t="str">
        <f>IFERROR(__xludf.DUMMYFUNCTION("""COMPUTED_VALUE"""),"BHAKTI HARIMURTI")</f>
        <v>BHAKTI HARIMURTI</v>
      </c>
      <c r="H3405" s="35" t="str">
        <f>IFERROR(__xludf.DUMMYFUNCTION("""COMPUTED_VALUE"""),"B0826026211")</f>
        <v>B0826026211</v>
      </c>
      <c r="I3405" s="35">
        <f>IFERROR(__xludf.DUMMYFUNCTION("""COMPUTED_VALUE"""),18.0)</f>
        <v>18</v>
      </c>
      <c r="J3405" s="35" t="str">
        <f>IFERROR(__xludf.DUMMYFUNCTION("""COMPUTED_VALUE"""),"&lt; 18 tahun")</f>
        <v>&lt; 18 tahun</v>
      </c>
      <c r="K3405" s="35" t="str">
        <f>IFERROR(__xludf.DUMMYFUNCTION("""COMPUTED_VALUE"""),"26/02/2008")</f>
        <v>26/02/2008</v>
      </c>
      <c r="L3405" s="35" t="str">
        <f>IFERROR(__xludf.DUMMYFUNCTION("""COMPUTED_VALUE"""),"LAKI-LAKI")</f>
        <v>LAKI-LAKI</v>
      </c>
      <c r="M3405" s="35" t="str">
        <f>IFERROR(__xludf.DUMMYFUNCTION("""COMPUTED_VALUE"""),"SUWIGNYO GG TEGAL REJO 2")</f>
        <v>SUWIGNYO GG TEGAL REJO 2</v>
      </c>
      <c r="N3405" s="35" t="str">
        <f>IFERROR(__xludf.DUMMYFUNCTION("""COMPUTED_VALUE"""),"SUNGAI JAWI")</f>
        <v>SUNGAI JAWI</v>
      </c>
      <c r="O3405" s="35" t="str">
        <f>IFERROR(__xludf.DUMMYFUNCTION("""COMPUTED_VALUE"""),"PONTIANAK KOTA")</f>
        <v>PONTIANAK KOTA</v>
      </c>
      <c r="P3405" s="35" t="str">
        <f>IFERROR(__xludf.DUMMYFUNCTION("""COMPUTED_VALUE"""),"PONTIANAK")</f>
        <v>PONTIANAK</v>
      </c>
      <c r="Q3405" s="35" t="str">
        <f>IFERROR(__xludf.DUMMYFUNCTION("""COMPUTED_VALUE"""),"KALIMANTAN BARAT")</f>
        <v>KALIMANTAN BARAT</v>
      </c>
      <c r="R3405" s="35" t="str">
        <f>IFERROR(__xludf.DUMMYFUNCTION("""COMPUTED_VALUE"""),"ISLAM")</f>
        <v>ISLAM</v>
      </c>
      <c r="S3405" s="74" t="str">
        <f>IFERROR(__xludf.DUMMYFUNCTION("""COMPUTED_VALUE"""),"MASIH SEKOLAH")</f>
        <v>MASIH SEKOLAH</v>
      </c>
      <c r="T3405" s="35" t="str">
        <f>IFERROR(__xludf.DUMMYFUNCTION("""COMPUTED_VALUE"""),"ANKLE KIRI SAKIT KALAU PAS LARI DAN KANAN SUKA TIBA2 TERPLECOK")</f>
        <v>ANKLE KIRI SAKIT KALAU PAS LARI DAN KANAN SUKA TIBA2 TERPLECOK</v>
      </c>
      <c r="U3405" s="35" t="str">
        <f>IFERROR(__xludf.DUMMYFUNCTION("""COMPUTED_VALUE"""),"LARI")</f>
        <v>LARI</v>
      </c>
      <c r="V3405" s="35" t="str">
        <f>IFERROR(__xludf.DUMMYFUNCTION("""COMPUTED_VALUE"""),"089694546211")</f>
        <v>089694546211</v>
      </c>
      <c r="W3405" s="45"/>
    </row>
    <row r="3406">
      <c r="A3406" s="45"/>
      <c r="B3406" s="35" t="str">
        <f>IFERROR(__xludf.DUMMYFUNCTION("""COMPUTED_VALUE"""),"31/01/2026 21:14:46")</f>
        <v>31/01/2026 21:14:46</v>
      </c>
      <c r="C3406" s="35"/>
      <c r="D3406" s="10">
        <f>IFERROR(__xludf.DUMMYFUNCTION("""COMPUTED_VALUE"""),46054.0)</f>
        <v>46054</v>
      </c>
      <c r="E3406" s="35" t="str">
        <f>IFERROR(__xludf.DUMMYFUNCTION("""COMPUTED_VALUE"""),"02Feb")</f>
        <v>02Feb</v>
      </c>
      <c r="F3406" s="35" t="str">
        <f>IFERROR(__xludf.DUMMYFUNCTION("""COMPUTED_VALUE"""),"2026")</f>
        <v>2026</v>
      </c>
      <c r="G3406" s="35" t="str">
        <f>IFERROR(__xludf.DUMMYFUNCTION("""COMPUTED_VALUE"""),"FENRIADI")</f>
        <v>FENRIADI</v>
      </c>
      <c r="H3406" s="35" t="str">
        <f>IFERROR(__xludf.DUMMYFUNCTION("""COMPUTED_VALUE"""),"F0126020468")</f>
        <v>F0126020468</v>
      </c>
      <c r="I3406" s="35">
        <f>IFERROR(__xludf.DUMMYFUNCTION("""COMPUTED_VALUE"""),25.0)</f>
        <v>25</v>
      </c>
      <c r="J3406" s="35" t="str">
        <f>IFERROR(__xludf.DUMMYFUNCTION("""COMPUTED_VALUE"""),"25-34 tahun")</f>
        <v>25-34 tahun</v>
      </c>
      <c r="K3406" s="35" t="str">
        <f>IFERROR(__xludf.DUMMYFUNCTION("""COMPUTED_VALUE"""),"27/04/2001")</f>
        <v>27/04/2001</v>
      </c>
      <c r="L3406" s="35" t="str">
        <f>IFERROR(__xludf.DUMMYFUNCTION("""COMPUTED_VALUE"""),"LAKI-LAKI")</f>
        <v>LAKI-LAKI</v>
      </c>
      <c r="M3406" s="35" t="str">
        <f>IFERROR(__xludf.DUMMYFUNCTION("""COMPUTED_VALUE"""),"DUSUN ENTAJAU")</f>
        <v>DUSUN ENTAJAU</v>
      </c>
      <c r="N3406" s="35" t="str">
        <f>IFERROR(__xludf.DUMMYFUNCTION("""COMPUTED_VALUE"""),"LALANG")</f>
        <v>LALANG</v>
      </c>
      <c r="O3406" s="35" t="str">
        <f>IFERROR(__xludf.DUMMYFUNCTION("""COMPUTED_VALUE"""),"TAYAN HILIR")</f>
        <v>TAYAN HILIR</v>
      </c>
      <c r="P3406" s="35" t="str">
        <f>IFERROR(__xludf.DUMMYFUNCTION("""COMPUTED_VALUE"""),"SANGGAU")</f>
        <v>SANGGAU</v>
      </c>
      <c r="Q3406" s="35" t="str">
        <f>IFERROR(__xludf.DUMMYFUNCTION("""COMPUTED_VALUE"""),"KALIMANTAN BARAT ")</f>
        <v>KALIMANTAN BARAT </v>
      </c>
      <c r="R3406" s="35" t="str">
        <f>IFERROR(__xludf.DUMMYFUNCTION("""COMPUTED_VALUE"""),"KATOLIK")</f>
        <v>KATOLIK</v>
      </c>
      <c r="S3406" s="74" t="str">
        <f>IFERROR(__xludf.DUMMYFUNCTION("""COMPUTED_VALUE"""),"KARYAWAN")</f>
        <v>KARYAWAN</v>
      </c>
      <c r="T3406" s="35" t="str">
        <f>IFERROR(__xludf.DUMMYFUNCTION("""COMPUTED_VALUE"""),"CIDERA LUTUT")</f>
        <v>CIDERA LUTUT</v>
      </c>
      <c r="U3406" s="35" t="str">
        <f>IFERROR(__xludf.DUMMYFUNCTION("""COMPUTED_VALUE"""),"MAIN BOLA")</f>
        <v>MAIN BOLA</v>
      </c>
      <c r="V3406" s="35" t="str">
        <f>IFERROR(__xludf.DUMMYFUNCTION("""COMPUTED_VALUE"""),"082350460468")</f>
        <v>082350460468</v>
      </c>
      <c r="W3406" s="45"/>
    </row>
    <row r="3407">
      <c r="A3407" s="45"/>
      <c r="B3407" s="35" t="str">
        <f>IFERROR(__xludf.DUMMYFUNCTION("""COMPUTED_VALUE"""),"02/02/2026 10:25:31")</f>
        <v>02/02/2026 10:25:31</v>
      </c>
      <c r="C3407" s="35"/>
      <c r="D3407" s="10">
        <f>IFERROR(__xludf.DUMMYFUNCTION("""COMPUTED_VALUE"""),46055.0)</f>
        <v>46055</v>
      </c>
      <c r="E3407" s="35" t="str">
        <f>IFERROR(__xludf.DUMMYFUNCTION("""COMPUTED_VALUE"""),"02Feb")</f>
        <v>02Feb</v>
      </c>
      <c r="F3407" s="35" t="str">
        <f>IFERROR(__xludf.DUMMYFUNCTION("""COMPUTED_VALUE"""),"2026")</f>
        <v>2026</v>
      </c>
      <c r="G3407" s="35" t="str">
        <f>IFERROR(__xludf.DUMMYFUNCTION("""COMPUTED_VALUE"""),"RIZQIROIHANMUSTOFA")</f>
        <v>RIZQIROIHANMUSTOFA</v>
      </c>
      <c r="H3407" s="35" t="str">
        <f>IFERROR(__xludf.DUMMYFUNCTION("""COMPUTED_VALUE"""),"R0526022599")</f>
        <v>R0526022599</v>
      </c>
      <c r="I3407" s="35">
        <f>IFERROR(__xludf.DUMMYFUNCTION("""COMPUTED_VALUE"""),20.0)</f>
        <v>20</v>
      </c>
      <c r="J3407" s="35" t="str">
        <f>IFERROR(__xludf.DUMMYFUNCTION("""COMPUTED_VALUE"""),"18-24 tahun")</f>
        <v>18-24 tahun</v>
      </c>
      <c r="K3407" s="35" t="str">
        <f>IFERROR(__xludf.DUMMYFUNCTION("""COMPUTED_VALUE"""),"02/09/2005")</f>
        <v>02/09/2005</v>
      </c>
      <c r="L3407" s="35" t="str">
        <f>IFERROR(__xludf.DUMMYFUNCTION("""COMPUTED_VALUE"""),"LAKI-LAKI")</f>
        <v>LAKI-LAKI</v>
      </c>
      <c r="M3407" s="35" t="str">
        <f>IFERROR(__xludf.DUMMYFUNCTION("""COMPUTED_VALUE"""),"JL.H.R.A.RAHMAN GG.GUNUNG SAHARI ")</f>
        <v>JL.H.R.A.RAHMAN GG.GUNUNG SAHARI </v>
      </c>
      <c r="N3407" s="35" t="str">
        <f>IFERROR(__xludf.DUMMYFUNCTION("""COMPUTED_VALUE"""),"SUNGAI JAWI DALAM ")</f>
        <v>SUNGAI JAWI DALAM </v>
      </c>
      <c r="O3407" s="35" t="str">
        <f>IFERROR(__xludf.DUMMYFUNCTION("""COMPUTED_VALUE"""),"PONTIANAK BARAT")</f>
        <v>PONTIANAK BARAT</v>
      </c>
      <c r="P3407" s="35" t="str">
        <f>IFERROR(__xludf.DUMMYFUNCTION("""COMPUTED_VALUE"""),"PONTIANAK KOTA")</f>
        <v>PONTIANAK KOTA</v>
      </c>
      <c r="Q3407" s="35" t="str">
        <f>IFERROR(__xludf.DUMMYFUNCTION("""COMPUTED_VALUE"""),"KALIMANTAN BARAT")</f>
        <v>KALIMANTAN BARAT</v>
      </c>
      <c r="R3407" s="35" t="str">
        <f>IFERROR(__xludf.DUMMYFUNCTION("""COMPUTED_VALUE"""),"ISLAM")</f>
        <v>ISLAM</v>
      </c>
      <c r="S3407" s="74" t="str">
        <f>IFERROR(__xludf.DUMMYFUNCTION("""COMPUTED_VALUE"""),"MAHASISWA")</f>
        <v>MAHASISWA</v>
      </c>
      <c r="T3407" s="35" t="str">
        <f>IFERROR(__xludf.DUMMYFUNCTION("""COMPUTED_VALUE"""),"ANKLE ")</f>
        <v>ANKLE </v>
      </c>
      <c r="U3407" s="35" t="str">
        <f>IFERROR(__xludf.DUMMYFUNCTION("""COMPUTED_VALUE"""),"HOBI FUTSAL DAN KELUHAN SETIAP BANGUN TIDUR SAKIT")</f>
        <v>HOBI FUTSAL DAN KELUHAN SETIAP BANGUN TIDUR SAKIT</v>
      </c>
      <c r="V3407" s="35" t="str">
        <f>IFERROR(__xludf.DUMMYFUNCTION("""COMPUTED_VALUE"""),"085735162599")</f>
        <v>085735162599</v>
      </c>
      <c r="W3407" s="45"/>
    </row>
    <row r="3408">
      <c r="A3408" s="45"/>
      <c r="B3408" s="35" t="str">
        <f>IFERROR(__xludf.DUMMYFUNCTION("""COMPUTED_VALUE"""),"02/02/2026 13:28:57")</f>
        <v>02/02/2026 13:28:57</v>
      </c>
      <c r="C3408" s="35"/>
      <c r="D3408" s="10">
        <f>IFERROR(__xludf.DUMMYFUNCTION("""COMPUTED_VALUE"""),46055.0)</f>
        <v>46055</v>
      </c>
      <c r="E3408" s="35" t="str">
        <f>IFERROR(__xludf.DUMMYFUNCTION("""COMPUTED_VALUE"""),"02Feb")</f>
        <v>02Feb</v>
      </c>
      <c r="F3408" s="35" t="str">
        <f>IFERROR(__xludf.DUMMYFUNCTION("""COMPUTED_VALUE"""),"2026")</f>
        <v>2026</v>
      </c>
      <c r="G3408" s="35" t="str">
        <f>IFERROR(__xludf.DUMMYFUNCTION("""COMPUTED_VALUE"""),"ADI RAHMANTO ")</f>
        <v>ADI RAHMANTO </v>
      </c>
      <c r="H3408" s="35" t="str">
        <f>IFERROR(__xludf.DUMMYFUNCTION("""COMPUTED_VALUE"""),"A8426023201")</f>
        <v>A8426023201</v>
      </c>
      <c r="I3408" s="35">
        <f>IFERROR(__xludf.DUMMYFUNCTION("""COMPUTED_VALUE"""),42.0)</f>
        <v>42</v>
      </c>
      <c r="J3408" s="35" t="str">
        <f>IFERROR(__xludf.DUMMYFUNCTION("""COMPUTED_VALUE"""),"35-44 tahun")</f>
        <v>35-44 tahun</v>
      </c>
      <c r="K3408" s="35" t="str">
        <f>IFERROR(__xludf.DUMMYFUNCTION("""COMPUTED_VALUE"""),"02/04/1984")</f>
        <v>02/04/1984</v>
      </c>
      <c r="L3408" s="35" t="str">
        <f>IFERROR(__xludf.DUMMYFUNCTION("""COMPUTED_VALUE"""),"LAKI-LAKI")</f>
        <v>LAKI-LAKI</v>
      </c>
      <c r="M3408" s="35" t="str">
        <f>IFERROR(__xludf.DUMMYFUNCTION("""COMPUTED_VALUE"""),"JALAN SUKAMULIA GG.SUKMA 4 NO 7")</f>
        <v>JALAN SUKAMULIA GG.SUKMA 4 NO 7</v>
      </c>
      <c r="N3408" s="35" t="str">
        <f>IFERROR(__xludf.DUMMYFUNCTION("""COMPUTED_VALUE"""),"SEI JAWI")</f>
        <v>SEI JAWI</v>
      </c>
      <c r="O3408" s="35" t="str">
        <f>IFERROR(__xludf.DUMMYFUNCTION("""COMPUTED_VALUE"""),"PONTIANAK KOTA")</f>
        <v>PONTIANAK KOTA</v>
      </c>
      <c r="P3408" s="35" t="str">
        <f>IFERROR(__xludf.DUMMYFUNCTION("""COMPUTED_VALUE"""),"PONTIANAK ")</f>
        <v>PONTIANAK </v>
      </c>
      <c r="Q3408" s="35" t="str">
        <f>IFERROR(__xludf.DUMMYFUNCTION("""COMPUTED_VALUE"""),"KALBAR")</f>
        <v>KALBAR</v>
      </c>
      <c r="R3408" s="35" t="str">
        <f>IFERROR(__xludf.DUMMYFUNCTION("""COMPUTED_VALUE"""),"ISLAM")</f>
        <v>ISLAM</v>
      </c>
      <c r="S3408" s="74" t="str">
        <f>IFERROR(__xludf.DUMMYFUNCTION("""COMPUTED_VALUE"""),"ASN")</f>
        <v>ASN</v>
      </c>
      <c r="T3408" s="35" t="str">
        <f>IFERROR(__xludf.DUMMYFUNCTION("""COMPUTED_VALUE"""),"TANGAN KESELEO ")</f>
        <v>TANGAN KESELEO </v>
      </c>
      <c r="U3408" s="35" t="str">
        <f>IFERROR(__xludf.DUMMYFUNCTION("""COMPUTED_VALUE"""),"MOTORAN")</f>
        <v>MOTORAN</v>
      </c>
      <c r="V3408" s="35" t="str">
        <f>IFERROR(__xludf.DUMMYFUNCTION("""COMPUTED_VALUE"""),"082157593201")</f>
        <v>082157593201</v>
      </c>
      <c r="W3408" s="45"/>
    </row>
    <row r="3409">
      <c r="A3409" s="45"/>
      <c r="B3409" s="35" t="str">
        <f>IFERROR(__xludf.DUMMYFUNCTION("""COMPUTED_VALUE"""),"02/02/2026 13:31:44")</f>
        <v>02/02/2026 13:31:44</v>
      </c>
      <c r="C3409" s="35"/>
      <c r="D3409" s="10">
        <f>IFERROR(__xludf.DUMMYFUNCTION("""COMPUTED_VALUE"""),46055.0)</f>
        <v>46055</v>
      </c>
      <c r="E3409" s="35" t="str">
        <f>IFERROR(__xludf.DUMMYFUNCTION("""COMPUTED_VALUE"""),"02Feb")</f>
        <v>02Feb</v>
      </c>
      <c r="F3409" s="35" t="str">
        <f>IFERROR(__xludf.DUMMYFUNCTION("""COMPUTED_VALUE"""),"2026")</f>
        <v>2026</v>
      </c>
      <c r="G3409" s="35" t="str">
        <f>IFERROR(__xludf.DUMMYFUNCTION("""COMPUTED_VALUE"""),"EKA DEWI PRATIWI")</f>
        <v>EKA DEWI PRATIWI</v>
      </c>
      <c r="H3409" s="35" t="str">
        <f>IFERROR(__xludf.DUMMYFUNCTION("""COMPUTED_VALUE"""),"E8326023201")</f>
        <v>E8326023201</v>
      </c>
      <c r="I3409" s="35">
        <f>IFERROR(__xludf.DUMMYFUNCTION("""COMPUTED_VALUE"""),42.0)</f>
        <v>42</v>
      </c>
      <c r="J3409" s="35" t="str">
        <f>IFERROR(__xludf.DUMMYFUNCTION("""COMPUTED_VALUE"""),"35-44 tahun")</f>
        <v>35-44 tahun</v>
      </c>
      <c r="K3409" s="35" t="str">
        <f>IFERROR(__xludf.DUMMYFUNCTION("""COMPUTED_VALUE"""),"05/10/1983")</f>
        <v>05/10/1983</v>
      </c>
      <c r="L3409" s="35" t="str">
        <f>IFERROR(__xludf.DUMMYFUNCTION("""COMPUTED_VALUE"""),"PEREMPUAN")</f>
        <v>PEREMPUAN</v>
      </c>
      <c r="M3409" s="35" t="str">
        <f>IFERROR(__xludf.DUMMYFUNCTION("""COMPUTED_VALUE"""),"JALAN SUKAMULIA GG.SUKMA 4 NO 7")</f>
        <v>JALAN SUKAMULIA GG.SUKMA 4 NO 7</v>
      </c>
      <c r="N3409" s="35" t="str">
        <f>IFERROR(__xludf.DUMMYFUNCTION("""COMPUTED_VALUE"""),"SEI JAWI")</f>
        <v>SEI JAWI</v>
      </c>
      <c r="O3409" s="35" t="str">
        <f>IFERROR(__xludf.DUMMYFUNCTION("""COMPUTED_VALUE"""),"PONTIANAK KOTA")</f>
        <v>PONTIANAK KOTA</v>
      </c>
      <c r="P3409" s="35" t="str">
        <f>IFERROR(__xludf.DUMMYFUNCTION("""COMPUTED_VALUE"""),"PONTIANAK ")</f>
        <v>PONTIANAK </v>
      </c>
      <c r="Q3409" s="35" t="str">
        <f>IFERROR(__xludf.DUMMYFUNCTION("""COMPUTED_VALUE"""),"KALBAR")</f>
        <v>KALBAR</v>
      </c>
      <c r="R3409" s="35" t="str">
        <f>IFERROR(__xludf.DUMMYFUNCTION("""COMPUTED_VALUE"""),"ISLAM")</f>
        <v>ISLAM</v>
      </c>
      <c r="S3409" s="74" t="str">
        <f>IFERROR(__xludf.DUMMYFUNCTION("""COMPUTED_VALUE"""),"IRT")</f>
        <v>IRT</v>
      </c>
      <c r="T3409" s="35" t="str">
        <f>IFERROR(__xludf.DUMMYFUNCTION("""COMPUTED_VALUE"""),"BAHU KIRI SAKIT ")</f>
        <v>BAHU KIRI SAKIT </v>
      </c>
      <c r="U3409" s="35" t="str">
        <f>IFERROR(__xludf.DUMMYFUNCTION("""COMPUTED_VALUE"""),"TIDAK ADA")</f>
        <v>TIDAK ADA</v>
      </c>
      <c r="V3409" s="35" t="str">
        <f>IFERROR(__xludf.DUMMYFUNCTION("""COMPUTED_VALUE"""),"082157593201")</f>
        <v>082157593201</v>
      </c>
      <c r="W3409" s="45"/>
    </row>
    <row r="3410">
      <c r="A3410" s="45"/>
      <c r="B3410" s="35" t="str">
        <f>IFERROR(__xludf.DUMMYFUNCTION("""COMPUTED_VALUE"""),"02/02/2026 13:34:03")</f>
        <v>02/02/2026 13:34:03</v>
      </c>
      <c r="C3410" s="35"/>
      <c r="D3410" s="10">
        <f>IFERROR(__xludf.DUMMYFUNCTION("""COMPUTED_VALUE"""),46055.0)</f>
        <v>46055</v>
      </c>
      <c r="E3410" s="35" t="str">
        <f>IFERROR(__xludf.DUMMYFUNCTION("""COMPUTED_VALUE"""),"02Feb")</f>
        <v>02Feb</v>
      </c>
      <c r="F3410" s="35" t="str">
        <f>IFERROR(__xludf.DUMMYFUNCTION("""COMPUTED_VALUE"""),"2026")</f>
        <v>2026</v>
      </c>
      <c r="G3410" s="35" t="str">
        <f>IFERROR(__xludf.DUMMYFUNCTION("""COMPUTED_VALUE"""),"AIRLANGGA RADITYA SYAFIQ")</f>
        <v>AIRLANGGA RADITYA SYAFIQ</v>
      </c>
      <c r="H3410" s="35" t="str">
        <f>IFERROR(__xludf.DUMMYFUNCTION("""COMPUTED_VALUE"""),"A1526023201")</f>
        <v>A1526023201</v>
      </c>
      <c r="I3410" s="35">
        <f>IFERROR(__xludf.DUMMYFUNCTION("""COMPUTED_VALUE"""),11.0)</f>
        <v>11</v>
      </c>
      <c r="J3410" s="35" t="str">
        <f>IFERROR(__xludf.DUMMYFUNCTION("""COMPUTED_VALUE"""),"&lt; 18 tahun")</f>
        <v>&lt; 18 tahun</v>
      </c>
      <c r="K3410" s="35" t="str">
        <f>IFERROR(__xludf.DUMMYFUNCTION("""COMPUTED_VALUE"""),"08/02/2015")</f>
        <v>08/02/2015</v>
      </c>
      <c r="L3410" s="35" t="str">
        <f>IFERROR(__xludf.DUMMYFUNCTION("""COMPUTED_VALUE"""),"LAKI-LAKI")</f>
        <v>LAKI-LAKI</v>
      </c>
      <c r="M3410" s="35" t="str">
        <f>IFERROR(__xludf.DUMMYFUNCTION("""COMPUTED_VALUE"""),"JALAN SUKAMULIA GG SUKMA 4 NO 7")</f>
        <v>JALAN SUKAMULIA GG SUKMA 4 NO 7</v>
      </c>
      <c r="N3410" s="35" t="str">
        <f>IFERROR(__xludf.DUMMYFUNCTION("""COMPUTED_VALUE"""),"SEI JAWI")</f>
        <v>SEI JAWI</v>
      </c>
      <c r="O3410" s="35" t="str">
        <f>IFERROR(__xludf.DUMMYFUNCTION("""COMPUTED_VALUE"""),"PONTIANAK KOTA")</f>
        <v>PONTIANAK KOTA</v>
      </c>
      <c r="P3410" s="35" t="str">
        <f>IFERROR(__xludf.DUMMYFUNCTION("""COMPUTED_VALUE"""),"KOTA PONTIANAK ")</f>
        <v>KOTA PONTIANAK </v>
      </c>
      <c r="Q3410" s="35" t="str">
        <f>IFERROR(__xludf.DUMMYFUNCTION("""COMPUTED_VALUE"""),"KALBAR")</f>
        <v>KALBAR</v>
      </c>
      <c r="R3410" s="35" t="str">
        <f>IFERROR(__xludf.DUMMYFUNCTION("""COMPUTED_VALUE"""),"ISLAM")</f>
        <v>ISLAM</v>
      </c>
      <c r="S3410" s="74" t="str">
        <f>IFERROR(__xludf.DUMMYFUNCTION("""COMPUTED_VALUE"""),"PELAJAR")</f>
        <v>PELAJAR</v>
      </c>
      <c r="T3410" s="35" t="str">
        <f>IFERROR(__xludf.DUMMYFUNCTION("""COMPUTED_VALUE"""),"KAKI KIRI SAKIT")</f>
        <v>KAKI KIRI SAKIT</v>
      </c>
      <c r="U3410" s="35" t="str">
        <f>IFERROR(__xludf.DUMMYFUNCTION("""COMPUTED_VALUE"""),"SEPAKBOLA")</f>
        <v>SEPAKBOLA</v>
      </c>
      <c r="V3410" s="35" t="str">
        <f>IFERROR(__xludf.DUMMYFUNCTION("""COMPUTED_VALUE"""),"082157593201")</f>
        <v>082157593201</v>
      </c>
      <c r="W3410" s="45"/>
    </row>
    <row r="3411">
      <c r="A3411" s="45"/>
      <c r="B3411" s="35" t="str">
        <f>IFERROR(__xludf.DUMMYFUNCTION("""COMPUTED_VALUE"""),"02/02/2026 11:05:17")</f>
        <v>02/02/2026 11:05:17</v>
      </c>
      <c r="C3411" s="35"/>
      <c r="D3411" s="10">
        <f>IFERROR(__xludf.DUMMYFUNCTION("""COMPUTED_VALUE"""),46055.0)</f>
        <v>46055</v>
      </c>
      <c r="E3411" s="35" t="str">
        <f>IFERROR(__xludf.DUMMYFUNCTION("""COMPUTED_VALUE"""),"02Feb")</f>
        <v>02Feb</v>
      </c>
      <c r="F3411" s="35" t="str">
        <f>IFERROR(__xludf.DUMMYFUNCTION("""COMPUTED_VALUE"""),"2026")</f>
        <v>2026</v>
      </c>
      <c r="G3411" s="35" t="str">
        <f>IFERROR(__xludf.DUMMYFUNCTION("""COMPUTED_VALUE"""),"RIKA ANGGRAINI")</f>
        <v>RIKA ANGGRAINI</v>
      </c>
      <c r="H3411" s="35" t="str">
        <f>IFERROR(__xludf.DUMMYFUNCTION("""COMPUTED_VALUE"""),"R8626021144")</f>
        <v>R8626021144</v>
      </c>
      <c r="I3411" s="35">
        <f>IFERROR(__xludf.DUMMYFUNCTION("""COMPUTED_VALUE"""),39.0)</f>
        <v>39</v>
      </c>
      <c r="J3411" s="35" t="str">
        <f>IFERROR(__xludf.DUMMYFUNCTION("""COMPUTED_VALUE"""),"35-44 tahun")</f>
        <v>35-44 tahun</v>
      </c>
      <c r="K3411" s="35" t="str">
        <f>IFERROR(__xludf.DUMMYFUNCTION("""COMPUTED_VALUE"""),"12/10/1986")</f>
        <v>12/10/1986</v>
      </c>
      <c r="L3411" s="35" t="str">
        <f>IFERROR(__xludf.DUMMYFUNCTION("""COMPUTED_VALUE"""),"PEREMPUAN")</f>
        <v>PEREMPUAN</v>
      </c>
      <c r="M3411" s="35" t="str">
        <f>IFERROR(__xludf.DUMMYFUNCTION("""COMPUTED_VALUE"""),"JL TEBU GG TEGUH KARYA NO 35")</f>
        <v>JL TEBU GG TEGUH KARYA NO 35</v>
      </c>
      <c r="N3411" s="35" t="str">
        <f>IFERROR(__xludf.DUMMYFUNCTION("""COMPUTED_VALUE"""),"SUI. BELIUNG")</f>
        <v>SUI. BELIUNG</v>
      </c>
      <c r="O3411" s="35" t="str">
        <f>IFERROR(__xludf.DUMMYFUNCTION("""COMPUTED_VALUE"""),"PONTIANAK BARAT")</f>
        <v>PONTIANAK BARAT</v>
      </c>
      <c r="P3411" s="35" t="str">
        <f>IFERROR(__xludf.DUMMYFUNCTION("""COMPUTED_VALUE"""),"PONTIANAK")</f>
        <v>PONTIANAK</v>
      </c>
      <c r="Q3411" s="35" t="str">
        <f>IFERROR(__xludf.DUMMYFUNCTION("""COMPUTED_VALUE"""),"KALBAR")</f>
        <v>KALBAR</v>
      </c>
      <c r="R3411" s="35" t="str">
        <f>IFERROR(__xludf.DUMMYFUNCTION("""COMPUTED_VALUE"""),"ISLAM")</f>
        <v>ISLAM</v>
      </c>
      <c r="S3411" s="74" t="str">
        <f>IFERROR(__xludf.DUMMYFUNCTION("""COMPUTED_VALUE"""),"WIRASWASTA")</f>
        <v>WIRASWASTA</v>
      </c>
      <c r="T3411" s="35" t="str">
        <f>IFERROR(__xludf.DUMMYFUNCTION("""COMPUTED_VALUE"""),"CIDERA KAKI OLAHRAGA")</f>
        <v>CIDERA KAKI OLAHRAGA</v>
      </c>
      <c r="U3411" s="35" t="str">
        <f>IFERROR(__xludf.DUMMYFUNCTION("""COMPUTED_VALUE"""),"BERSEPEDA")</f>
        <v>BERSEPEDA</v>
      </c>
      <c r="V3411" s="35" t="str">
        <f>IFERROR(__xludf.DUMMYFUNCTION("""COMPUTED_VALUE"""),"082152491144")</f>
        <v>082152491144</v>
      </c>
      <c r="W3411" s="45"/>
    </row>
    <row r="3412">
      <c r="A3412" s="45"/>
      <c r="B3412" s="35" t="str">
        <f>IFERROR(__xludf.DUMMYFUNCTION("""COMPUTED_VALUE"""),"02/02/2026 16:27:48")</f>
        <v>02/02/2026 16:27:48</v>
      </c>
      <c r="C3412" s="35"/>
      <c r="D3412" s="10">
        <f>IFERROR(__xludf.DUMMYFUNCTION("""COMPUTED_VALUE"""),46055.0)</f>
        <v>46055</v>
      </c>
      <c r="E3412" s="35" t="str">
        <f>IFERROR(__xludf.DUMMYFUNCTION("""COMPUTED_VALUE"""),"02Feb")</f>
        <v>02Feb</v>
      </c>
      <c r="F3412" s="35" t="str">
        <f>IFERROR(__xludf.DUMMYFUNCTION("""COMPUTED_VALUE"""),"2026")</f>
        <v>2026</v>
      </c>
      <c r="G3412" s="35" t="str">
        <f>IFERROR(__xludf.DUMMYFUNCTION("""COMPUTED_VALUE"""),"ALBERT RENSEN LIUNARDY")</f>
        <v>ALBERT RENSEN LIUNARDY</v>
      </c>
      <c r="H3412" s="35" t="str">
        <f>IFERROR(__xludf.DUMMYFUNCTION("""COMPUTED_VALUE"""),"A0726020889")</f>
        <v>A0726020889</v>
      </c>
      <c r="I3412" s="35">
        <f>IFERROR(__xludf.DUMMYFUNCTION("""COMPUTED_VALUE"""),19.0)</f>
        <v>19</v>
      </c>
      <c r="J3412" s="35" t="str">
        <f>IFERROR(__xludf.DUMMYFUNCTION("""COMPUTED_VALUE"""),"18-24 tahun")</f>
        <v>18-24 tahun</v>
      </c>
      <c r="K3412" s="35" t="str">
        <f>IFERROR(__xludf.DUMMYFUNCTION("""COMPUTED_VALUE"""),"26/04/2007")</f>
        <v>26/04/2007</v>
      </c>
      <c r="L3412" s="35" t="str">
        <f>IFERROR(__xludf.DUMMYFUNCTION("""COMPUTED_VALUE"""),"LAKI-LAKI")</f>
        <v>LAKI-LAKI</v>
      </c>
      <c r="M3412" s="35" t="str">
        <f>IFERROR(__xludf.DUMMYFUNCTION("""COMPUTED_VALUE"""),"PURNAMA AGUNG 7 B9")</f>
        <v>PURNAMA AGUNG 7 B9</v>
      </c>
      <c r="N3412" s="35" t="str">
        <f>IFERROR(__xludf.DUMMYFUNCTION("""COMPUTED_VALUE"""),"PARIT TOKAYA")</f>
        <v>PARIT TOKAYA</v>
      </c>
      <c r="O3412" s="35" t="str">
        <f>IFERROR(__xludf.DUMMYFUNCTION("""COMPUTED_VALUE"""),"PONTIANAK SELATAN ")</f>
        <v>PONTIANAK SELATAN </v>
      </c>
      <c r="P3412" s="35" t="str">
        <f>IFERROR(__xludf.DUMMYFUNCTION("""COMPUTED_VALUE"""),"PONTIANAK")</f>
        <v>PONTIANAK</v>
      </c>
      <c r="Q3412" s="35" t="str">
        <f>IFERROR(__xludf.DUMMYFUNCTION("""COMPUTED_VALUE"""),"KALIMANTAN BARAT")</f>
        <v>KALIMANTAN BARAT</v>
      </c>
      <c r="R3412" s="35" t="str">
        <f>IFERROR(__xludf.DUMMYFUNCTION("""COMPUTED_VALUE"""),"PROTESTAN")</f>
        <v>PROTESTAN</v>
      </c>
      <c r="S3412" s="74" t="str">
        <f>IFERROR(__xludf.DUMMYFUNCTION("""COMPUTED_VALUE"""),"MAHASISWA")</f>
        <v>MAHASISWA</v>
      </c>
      <c r="T3412" s="35" t="str">
        <f>IFERROR(__xludf.DUMMYFUNCTION("""COMPUTED_VALUE"""),"BAHU SAKIT")</f>
        <v>BAHU SAKIT</v>
      </c>
      <c r="U3412" s="35" t="str">
        <f>IFERROR(__xludf.DUMMYFUNCTION("""COMPUTED_VALUE"""),"MAHASISWA ")</f>
        <v>MAHASISWA </v>
      </c>
      <c r="V3412" s="35" t="str">
        <f>IFERROR(__xludf.DUMMYFUNCTION("""COMPUTED_VALUE"""),"081349770889")</f>
        <v>081349770889</v>
      </c>
      <c r="W3412" s="45"/>
    </row>
    <row r="3413">
      <c r="A3413" s="45"/>
      <c r="B3413" s="35" t="str">
        <f>IFERROR(__xludf.DUMMYFUNCTION("""COMPUTED_VALUE"""),"02/02/2026 16:56:38")</f>
        <v>02/02/2026 16:56:38</v>
      </c>
      <c r="C3413" s="35"/>
      <c r="D3413" s="10">
        <f>IFERROR(__xludf.DUMMYFUNCTION("""COMPUTED_VALUE"""),46055.0)</f>
        <v>46055</v>
      </c>
      <c r="E3413" s="35" t="str">
        <f>IFERROR(__xludf.DUMMYFUNCTION("""COMPUTED_VALUE"""),"02Feb")</f>
        <v>02Feb</v>
      </c>
      <c r="F3413" s="35" t="str">
        <f>IFERROR(__xludf.DUMMYFUNCTION("""COMPUTED_VALUE"""),"2026")</f>
        <v>2026</v>
      </c>
      <c r="G3413" s="35" t="str">
        <f>IFERROR(__xludf.DUMMYFUNCTION("""COMPUTED_VALUE"""),"NURILHAM IRSYAD")</f>
        <v>NURILHAM IRSYAD</v>
      </c>
      <c r="H3413" s="35" t="str">
        <f>IFERROR(__xludf.DUMMYFUNCTION("""COMPUTED_VALUE"""),"N0426026505")</f>
        <v>N0426026505</v>
      </c>
      <c r="I3413" s="35">
        <f>IFERROR(__xludf.DUMMYFUNCTION("""COMPUTED_VALUE"""),21.0)</f>
        <v>21</v>
      </c>
      <c r="J3413" s="35" t="str">
        <f>IFERROR(__xludf.DUMMYFUNCTION("""COMPUTED_VALUE"""),"18-24 tahun")</f>
        <v>18-24 tahun</v>
      </c>
      <c r="K3413" s="35" t="str">
        <f>IFERROR(__xludf.DUMMYFUNCTION("""COMPUTED_VALUE"""),"16/07/2004")</f>
        <v>16/07/2004</v>
      </c>
      <c r="L3413" s="35" t="str">
        <f>IFERROR(__xludf.DUMMYFUNCTION("""COMPUTED_VALUE"""),"LAKI-LAKI")</f>
        <v>LAKI-LAKI</v>
      </c>
      <c r="M3413" s="35" t="str">
        <f>IFERROR(__xludf.DUMMYFUNCTION("""COMPUTED_VALUE"""),"BENTENG")</f>
        <v>BENTENG</v>
      </c>
      <c r="N3413" s="35" t="str">
        <f>IFERROR(__xludf.DUMMYFUNCTION("""COMPUTED_VALUE"""),"MARANNU")</f>
        <v>MARANNU</v>
      </c>
      <c r="O3413" s="35" t="str">
        <f>IFERROR(__xludf.DUMMYFUNCTION("""COMPUTED_VALUE"""),"MATTIRO BULU")</f>
        <v>MATTIRO BULU</v>
      </c>
      <c r="P3413" s="35" t="str">
        <f>IFERROR(__xludf.DUMMYFUNCTION("""COMPUTED_VALUE"""),"PINRANG")</f>
        <v>PINRANG</v>
      </c>
      <c r="Q3413" s="35" t="str">
        <f>IFERROR(__xludf.DUMMYFUNCTION("""COMPUTED_VALUE"""),"SULAWESI SELATAN")</f>
        <v>SULAWESI SELATAN</v>
      </c>
      <c r="R3413" s="35" t="str">
        <f>IFERROR(__xludf.DUMMYFUNCTION("""COMPUTED_VALUE"""),"ISLAM")</f>
        <v>ISLAM</v>
      </c>
      <c r="S3413" s="74" t="str">
        <f>IFERROR(__xludf.DUMMYFUNCTION("""COMPUTED_VALUE"""),"SUWASTA")</f>
        <v>SUWASTA</v>
      </c>
      <c r="T3413" s="35" t="str">
        <f>IFERROR(__xludf.DUMMYFUNCTION("""COMPUTED_VALUE"""),"SAKIT PINGGANG")</f>
        <v>SAKIT PINGGANG</v>
      </c>
      <c r="U3413" s="35" t="str">
        <f>IFERROR(__xludf.DUMMYFUNCTION("""COMPUTED_VALUE"""),"SEPAK BOLA")</f>
        <v>SEPAK BOLA</v>
      </c>
      <c r="V3413" s="35" t="str">
        <f>IFERROR(__xludf.DUMMYFUNCTION("""COMPUTED_VALUE"""),"0887436636505")</f>
        <v>0887436636505</v>
      </c>
      <c r="W3413" s="45"/>
    </row>
    <row r="3414">
      <c r="A3414" s="45"/>
      <c r="B3414" s="35" t="str">
        <f>IFERROR(__xludf.DUMMYFUNCTION("""COMPUTED_VALUE"""),"02/02/2026 19:14:20")</f>
        <v>02/02/2026 19:14:20</v>
      </c>
      <c r="C3414" s="35"/>
      <c r="D3414" s="10">
        <f>IFERROR(__xludf.DUMMYFUNCTION("""COMPUTED_VALUE"""),46055.0)</f>
        <v>46055</v>
      </c>
      <c r="E3414" s="35" t="str">
        <f>IFERROR(__xludf.DUMMYFUNCTION("""COMPUTED_VALUE"""),"02Feb")</f>
        <v>02Feb</v>
      </c>
      <c r="F3414" s="35" t="str">
        <f>IFERROR(__xludf.DUMMYFUNCTION("""COMPUTED_VALUE"""),"2026")</f>
        <v>2026</v>
      </c>
      <c r="G3414" s="35" t="str">
        <f>IFERROR(__xludf.DUMMYFUNCTION("""COMPUTED_VALUE"""),"YOHANES PELE KURNIAWAN")</f>
        <v>YOHANES PELE KURNIAWAN</v>
      </c>
      <c r="H3414" s="35" t="str">
        <f>IFERROR(__xludf.DUMMYFUNCTION("""COMPUTED_VALUE"""),"Y9426026691")</f>
        <v>Y9426026691</v>
      </c>
      <c r="I3414" s="35">
        <f>IFERROR(__xludf.DUMMYFUNCTION("""COMPUTED_VALUE"""),32.0)</f>
        <v>32</v>
      </c>
      <c r="J3414" s="35" t="str">
        <f>IFERROR(__xludf.DUMMYFUNCTION("""COMPUTED_VALUE"""),"25-34 tahun")</f>
        <v>25-34 tahun</v>
      </c>
      <c r="K3414" s="35" t="str">
        <f>IFERROR(__xludf.DUMMYFUNCTION("""COMPUTED_VALUE"""),"08/06/1994")</f>
        <v>08/06/1994</v>
      </c>
      <c r="L3414" s="35" t="str">
        <f>IFERROR(__xludf.DUMMYFUNCTION("""COMPUTED_VALUE"""),"LAKI-LAKI")</f>
        <v>LAKI-LAKI</v>
      </c>
      <c r="M3414" s="35" t="str">
        <f>IFERROR(__xludf.DUMMYFUNCTION("""COMPUTED_VALUE"""),"KOMP GEMILANG HOKILAND A3")</f>
        <v>KOMP GEMILANG HOKILAND A3</v>
      </c>
      <c r="N3414" s="35" t="str">
        <f>IFERROR(__xludf.DUMMYFUNCTION("""COMPUTED_VALUE"""),"SUNGAI RAYA DALAM")</f>
        <v>SUNGAI RAYA DALAM</v>
      </c>
      <c r="O3414" s="35" t="str">
        <f>IFERROR(__xludf.DUMMYFUNCTION("""COMPUTED_VALUE"""),"SUNGAI RAYA")</f>
        <v>SUNGAI RAYA</v>
      </c>
      <c r="P3414" s="35" t="str">
        <f>IFERROR(__xludf.DUMMYFUNCTION("""COMPUTED_VALUE"""),"KUBU RAYA")</f>
        <v>KUBU RAYA</v>
      </c>
      <c r="Q3414" s="35" t="str">
        <f>IFERROR(__xludf.DUMMYFUNCTION("""COMPUTED_VALUE"""),"KALIMANTAN BARAY")</f>
        <v>KALIMANTAN BARAY</v>
      </c>
      <c r="R3414" s="35" t="str">
        <f>IFERROR(__xludf.DUMMYFUNCTION("""COMPUTED_VALUE"""),"KATOLIK")</f>
        <v>KATOLIK</v>
      </c>
      <c r="S3414" s="74" t="str">
        <f>IFERROR(__xludf.DUMMYFUNCTION("""COMPUTED_VALUE"""),"SWASTA")</f>
        <v>SWASTA</v>
      </c>
      <c r="T3414" s="35" t="str">
        <f>IFERROR(__xludf.DUMMYFUNCTION("""COMPUTED_VALUE"""),"KAKI")</f>
        <v>KAKI</v>
      </c>
      <c r="U3414" s="35" t="str">
        <f>IFERROR(__xludf.DUMMYFUNCTION("""COMPUTED_VALUE"""),"-")</f>
        <v>-</v>
      </c>
      <c r="V3414" s="35" t="str">
        <f>IFERROR(__xludf.DUMMYFUNCTION("""COMPUTED_VALUE"""),"081348026691")</f>
        <v>081348026691</v>
      </c>
      <c r="W3414" s="45"/>
    </row>
    <row r="3415">
      <c r="A3415" s="45"/>
      <c r="B3415" s="35" t="str">
        <f>IFERROR(__xludf.DUMMYFUNCTION("""COMPUTED_VALUE"""),"02/02/2026 21:02:40")</f>
        <v>02/02/2026 21:02:40</v>
      </c>
      <c r="C3415" s="35"/>
      <c r="D3415" s="10">
        <f>IFERROR(__xludf.DUMMYFUNCTION("""COMPUTED_VALUE"""),46056.0)</f>
        <v>46056</v>
      </c>
      <c r="E3415" s="35" t="str">
        <f>IFERROR(__xludf.DUMMYFUNCTION("""COMPUTED_VALUE"""),"02Feb")</f>
        <v>02Feb</v>
      </c>
      <c r="F3415" s="35" t="str">
        <f>IFERROR(__xludf.DUMMYFUNCTION("""COMPUTED_VALUE"""),"2026")</f>
        <v>2026</v>
      </c>
      <c r="G3415" s="35" t="str">
        <f>IFERROR(__xludf.DUMMYFUNCTION("""COMPUTED_VALUE"""),"SARIJEM")</f>
        <v>SARIJEM</v>
      </c>
      <c r="H3415" s="35" t="str">
        <f>IFERROR(__xludf.DUMMYFUNCTION("""COMPUTED_VALUE"""),"S5026020981")</f>
        <v>S5026020981</v>
      </c>
      <c r="I3415" s="35">
        <f>IFERROR(__xludf.DUMMYFUNCTION("""COMPUTED_VALUE"""),76.0)</f>
        <v>76</v>
      </c>
      <c r="J3415" s="35" t="str">
        <f>IFERROR(__xludf.DUMMYFUNCTION("""COMPUTED_VALUE"""),"&gt; 44 tahun")</f>
        <v>&gt; 44 tahun</v>
      </c>
      <c r="K3415" s="35" t="str">
        <f>IFERROR(__xludf.DUMMYFUNCTION("""COMPUTED_VALUE"""),"08/01/1950")</f>
        <v>08/01/1950</v>
      </c>
      <c r="L3415" s="35" t="str">
        <f>IFERROR(__xludf.DUMMYFUNCTION("""COMPUTED_VALUE"""),"PEREMPUAN")</f>
        <v>PEREMPUAN</v>
      </c>
      <c r="M3415" s="35" t="str">
        <f>IFERROR(__xludf.DUMMYFUNCTION("""COMPUTED_VALUE"""),"JL.IMAM BONJOL GG.TANJUNH HARAPAN")</f>
        <v>JL.IMAM BONJOL GG.TANJUNH HARAPAN</v>
      </c>
      <c r="N3415" s="35" t="str">
        <f>IFERROR(__xludf.DUMMYFUNCTION("""COMPUTED_VALUE"""),"BANSIR LAUT")</f>
        <v>BANSIR LAUT</v>
      </c>
      <c r="O3415" s="35" t="str">
        <f>IFERROR(__xludf.DUMMYFUNCTION("""COMPUTED_VALUE"""),"PONTIANAK TENGGARA")</f>
        <v>PONTIANAK TENGGARA</v>
      </c>
      <c r="P3415" s="35" t="str">
        <f>IFERROR(__xludf.DUMMYFUNCTION("""COMPUTED_VALUE"""),"PONTIANAK")</f>
        <v>PONTIANAK</v>
      </c>
      <c r="Q3415" s="35" t="str">
        <f>IFERROR(__xludf.DUMMYFUNCTION("""COMPUTED_VALUE"""),"KALIMANTAN BARAT")</f>
        <v>KALIMANTAN BARAT</v>
      </c>
      <c r="R3415" s="35" t="str">
        <f>IFERROR(__xludf.DUMMYFUNCTION("""COMPUTED_VALUE"""),"ISLAM")</f>
        <v>ISLAM</v>
      </c>
      <c r="S3415" s="74" t="str">
        <f>IFERROR(__xludf.DUMMYFUNCTION("""COMPUTED_VALUE"""),"IBU RUMAH TANGGA")</f>
        <v>IBU RUMAH TANGGA</v>
      </c>
      <c r="T3415" s="35" t="str">
        <f>IFERROR(__xludf.DUMMYFUNCTION("""COMPUTED_VALUE"""),"KAKI TIDAK BISA BERJALAN")</f>
        <v>KAKI TIDAK BISA BERJALAN</v>
      </c>
      <c r="U3415" s="35" t="str">
        <f>IFERROR(__xludf.DUMMYFUNCTION("""COMPUTED_VALUE"""),".")</f>
        <v>.</v>
      </c>
      <c r="V3415" s="35" t="str">
        <f>IFERROR(__xludf.DUMMYFUNCTION("""COMPUTED_VALUE"""),"082149190981")</f>
        <v>082149190981</v>
      </c>
      <c r="W3415" s="45"/>
    </row>
    <row r="3416">
      <c r="A3416" s="45"/>
      <c r="B3416" s="35" t="str">
        <f>IFERROR(__xludf.DUMMYFUNCTION("""COMPUTED_VALUE"""),"03/02/2026 8:40:35")</f>
        <v>03/02/2026 8:40:35</v>
      </c>
      <c r="C3416" s="35"/>
      <c r="D3416" s="10">
        <f>IFERROR(__xludf.DUMMYFUNCTION("""COMPUTED_VALUE"""),46056.0)</f>
        <v>46056</v>
      </c>
      <c r="E3416" s="35" t="str">
        <f>IFERROR(__xludf.DUMMYFUNCTION("""COMPUTED_VALUE"""),"02Feb")</f>
        <v>02Feb</v>
      </c>
      <c r="F3416" s="35" t="str">
        <f>IFERROR(__xludf.DUMMYFUNCTION("""COMPUTED_VALUE"""),"2026")</f>
        <v>2026</v>
      </c>
      <c r="G3416" s="35" t="str">
        <f>IFERROR(__xludf.DUMMYFUNCTION("""COMPUTED_VALUE"""),"BAYU YOGA ")</f>
        <v>BAYU YOGA </v>
      </c>
      <c r="H3416" s="35" t="str">
        <f>IFERROR(__xludf.DUMMYFUNCTION("""COMPUTED_VALUE"""),"B0026027579")</f>
        <v>B0026027579</v>
      </c>
      <c r="I3416" s="35">
        <f>IFERROR(__xludf.DUMMYFUNCTION("""COMPUTED_VALUE"""),25.0)</f>
        <v>25</v>
      </c>
      <c r="J3416" s="35" t="str">
        <f>IFERROR(__xludf.DUMMYFUNCTION("""COMPUTED_VALUE"""),"25-34 tahun")</f>
        <v>25-34 tahun</v>
      </c>
      <c r="K3416" s="35" t="str">
        <f>IFERROR(__xludf.DUMMYFUNCTION("""COMPUTED_VALUE"""),"28/09/2000")</f>
        <v>28/09/2000</v>
      </c>
      <c r="L3416" s="35" t="str">
        <f>IFERROR(__xludf.DUMMYFUNCTION("""COMPUTED_VALUE"""),"LAKI-LAKI")</f>
        <v>LAKI-LAKI</v>
      </c>
      <c r="M3416" s="35" t="str">
        <f>IFERROR(__xludf.DUMMYFUNCTION("""COMPUTED_VALUE"""),"JL. WONOBARU GG. MADYOSARI 2")</f>
        <v>JL. WONOBARU GG. MADYOSARI 2</v>
      </c>
      <c r="N3416" s="35" t="str">
        <f>IFERROR(__xludf.DUMMYFUNCTION("""COMPUTED_VALUE"""),"AKCAYA")</f>
        <v>AKCAYA</v>
      </c>
      <c r="O3416" s="35" t="str">
        <f>IFERROR(__xludf.DUMMYFUNCTION("""COMPUTED_VALUE"""),"PONTIANAK SELATAN")</f>
        <v>PONTIANAK SELATAN</v>
      </c>
      <c r="P3416" s="35" t="str">
        <f>IFERROR(__xludf.DUMMYFUNCTION("""COMPUTED_VALUE"""),"PONTIANAK")</f>
        <v>PONTIANAK</v>
      </c>
      <c r="Q3416" s="35" t="str">
        <f>IFERROR(__xludf.DUMMYFUNCTION("""COMPUTED_VALUE"""),"KALIMANTAN BARAT")</f>
        <v>KALIMANTAN BARAT</v>
      </c>
      <c r="R3416" s="35" t="str">
        <f>IFERROR(__xludf.DUMMYFUNCTION("""COMPUTED_VALUE"""),"ISLAM")</f>
        <v>ISLAM</v>
      </c>
      <c r="S3416" s="74" t="str">
        <f>IFERROR(__xludf.DUMMYFUNCTION("""COMPUTED_VALUE"""),"SWASTA")</f>
        <v>SWASTA</v>
      </c>
      <c r="T3416" s="35" t="str">
        <f>IFERROR(__xludf.DUMMYFUNCTION("""COMPUTED_VALUE"""),"LOW BACK PAIN")</f>
        <v>LOW BACK PAIN</v>
      </c>
      <c r="U3416" s="35" t="str">
        <f>IFERROR(__xludf.DUMMYFUNCTION("""COMPUTED_VALUE"""),"GYM, KERJA")</f>
        <v>GYM, KERJA</v>
      </c>
      <c r="V3416" s="35" t="str">
        <f>IFERROR(__xludf.DUMMYFUNCTION("""COMPUTED_VALUE"""),"0895360387579")</f>
        <v>0895360387579</v>
      </c>
      <c r="W3416" s="45"/>
    </row>
    <row r="3417">
      <c r="A3417" s="45"/>
      <c r="B3417" s="35" t="str">
        <f>IFERROR(__xludf.DUMMYFUNCTION("""COMPUTED_VALUE"""),"03/02/2026 10:14:48")</f>
        <v>03/02/2026 10:14:48</v>
      </c>
      <c r="C3417" s="35"/>
      <c r="D3417" s="10">
        <f>IFERROR(__xludf.DUMMYFUNCTION("""COMPUTED_VALUE"""),46056.0)</f>
        <v>46056</v>
      </c>
      <c r="E3417" s="35" t="str">
        <f>IFERROR(__xludf.DUMMYFUNCTION("""COMPUTED_VALUE"""),"02Feb")</f>
        <v>02Feb</v>
      </c>
      <c r="F3417" s="35" t="str">
        <f>IFERROR(__xludf.DUMMYFUNCTION("""COMPUTED_VALUE"""),"2026")</f>
        <v>2026</v>
      </c>
      <c r="G3417" s="35" t="str">
        <f>IFERROR(__xludf.DUMMYFUNCTION("""COMPUTED_VALUE"""),"EDDY SANTOSO")</f>
        <v>EDDY SANTOSO</v>
      </c>
      <c r="H3417" s="35" t="str">
        <f>IFERROR(__xludf.DUMMYFUNCTION("""COMPUTED_VALUE"""),"E7026024999")</f>
        <v>E7026024999</v>
      </c>
      <c r="I3417" s="35">
        <f>IFERROR(__xludf.DUMMYFUNCTION("""COMPUTED_VALUE"""),56.0)</f>
        <v>56</v>
      </c>
      <c r="J3417" s="35" t="str">
        <f>IFERROR(__xludf.DUMMYFUNCTION("""COMPUTED_VALUE"""),"&gt; 44 tahun")</f>
        <v>&gt; 44 tahun</v>
      </c>
      <c r="K3417" s="35" t="str">
        <f>IFERROR(__xludf.DUMMYFUNCTION("""COMPUTED_VALUE"""),"27/05/1970")</f>
        <v>27/05/1970</v>
      </c>
      <c r="L3417" s="35" t="str">
        <f>IFERROR(__xludf.DUMMYFUNCTION("""COMPUTED_VALUE"""),"LAKI-LAKI")</f>
        <v>LAKI-LAKI</v>
      </c>
      <c r="M3417" s="35" t="str">
        <f>IFERROR(__xludf.DUMMYFUNCTION("""COMPUTED_VALUE"""),"JL SULAWESI GG H.SARAH")</f>
        <v>JL SULAWESI GG H.SARAH</v>
      </c>
      <c r="N3417" s="35" t="str">
        <f>IFERROR(__xludf.DUMMYFUNCTION("""COMPUTED_VALUE"""),"AKCAYA")</f>
        <v>AKCAYA</v>
      </c>
      <c r="O3417" s="35" t="str">
        <f>IFERROR(__xludf.DUMMYFUNCTION("""COMPUTED_VALUE"""),"PONTIANAK SELATAN")</f>
        <v>PONTIANAK SELATAN</v>
      </c>
      <c r="P3417" s="35" t="str">
        <f>IFERROR(__xludf.DUMMYFUNCTION("""COMPUTED_VALUE"""),"PONTIANAK")</f>
        <v>PONTIANAK</v>
      </c>
      <c r="Q3417" s="35" t="str">
        <f>IFERROR(__xludf.DUMMYFUNCTION("""COMPUTED_VALUE"""),"KALIMANTAN BARAT")</f>
        <v>KALIMANTAN BARAT</v>
      </c>
      <c r="R3417" s="35" t="str">
        <f>IFERROR(__xludf.DUMMYFUNCTION("""COMPUTED_VALUE"""),"ISLAM")</f>
        <v>ISLAM</v>
      </c>
      <c r="S3417" s="74" t="str">
        <f>IFERROR(__xludf.DUMMYFUNCTION("""COMPUTED_VALUE"""),"BUMN")</f>
        <v>BUMN</v>
      </c>
      <c r="T3417" s="35" t="str">
        <f>IFERROR(__xludf.DUMMYFUNCTION("""COMPUTED_VALUE"""),"BELL SPALSY")</f>
        <v>BELL SPALSY</v>
      </c>
      <c r="U3417" s="35" t="str">
        <f>IFERROR(__xludf.DUMMYFUNCTION("""COMPUTED_VALUE"""),"-")</f>
        <v>-</v>
      </c>
      <c r="V3417" s="35" t="str">
        <f>IFERROR(__xludf.DUMMYFUNCTION("""COMPUTED_VALUE"""),"085387214999")</f>
        <v>085387214999</v>
      </c>
      <c r="W3417" s="45"/>
    </row>
    <row r="3418">
      <c r="A3418" s="45"/>
      <c r="B3418" s="35" t="str">
        <f>IFERROR(__xludf.DUMMYFUNCTION("""COMPUTED_VALUE"""),"03/02/2026 11:23:36")</f>
        <v>03/02/2026 11:23:36</v>
      </c>
      <c r="C3418" s="35"/>
      <c r="D3418" s="10">
        <f>IFERROR(__xludf.DUMMYFUNCTION("""COMPUTED_VALUE"""),46056.0)</f>
        <v>46056</v>
      </c>
      <c r="E3418" s="35" t="str">
        <f>IFERROR(__xludf.DUMMYFUNCTION("""COMPUTED_VALUE"""),"02Feb")</f>
        <v>02Feb</v>
      </c>
      <c r="F3418" s="35" t="str">
        <f>IFERROR(__xludf.DUMMYFUNCTION("""COMPUTED_VALUE"""),"2026")</f>
        <v>2026</v>
      </c>
      <c r="G3418" s="35" t="str">
        <f>IFERROR(__xludf.DUMMYFUNCTION("""COMPUTED_VALUE"""),"TARMANTO")</f>
        <v>TARMANTO</v>
      </c>
      <c r="H3418" s="35" t="str">
        <f>IFERROR(__xludf.DUMMYFUNCTION("""COMPUTED_VALUE"""),"T8526022425")</f>
        <v>T8526022425</v>
      </c>
      <c r="I3418" s="35">
        <f>IFERROR(__xludf.DUMMYFUNCTION("""COMPUTED_VALUE"""),40.0)</f>
        <v>40</v>
      </c>
      <c r="J3418" s="35" t="str">
        <f>IFERROR(__xludf.DUMMYFUNCTION("""COMPUTED_VALUE"""),"35-44 tahun")</f>
        <v>35-44 tahun</v>
      </c>
      <c r="K3418" s="35" t="str">
        <f>IFERROR(__xludf.DUMMYFUNCTION("""COMPUTED_VALUE"""),"25/10/1985")</f>
        <v>25/10/1985</v>
      </c>
      <c r="L3418" s="35" t="str">
        <f>IFERROR(__xludf.DUMMYFUNCTION("""COMPUTED_VALUE"""),"LAKI-LAKI")</f>
        <v>LAKI-LAKI</v>
      </c>
      <c r="M3418" s="35" t="str">
        <f>IFERROR(__xludf.DUMMYFUNCTION("""COMPUTED_VALUE"""),"JL PROF M YAMIN GG USAHA MAJU")</f>
        <v>JL PROF M YAMIN GG USAHA MAJU</v>
      </c>
      <c r="N3418" s="35" t="str">
        <f>IFERROR(__xludf.DUMMYFUNCTION("""COMPUTED_VALUE"""),"KOTA BARU")</f>
        <v>KOTA BARU</v>
      </c>
      <c r="O3418" s="35" t="str">
        <f>IFERROR(__xludf.DUMMYFUNCTION("""COMPUTED_VALUE"""),"PONTIANAK SELATAN")</f>
        <v>PONTIANAK SELATAN</v>
      </c>
      <c r="P3418" s="35" t="str">
        <f>IFERROR(__xludf.DUMMYFUNCTION("""COMPUTED_VALUE"""),"PONTIANAK")</f>
        <v>PONTIANAK</v>
      </c>
      <c r="Q3418" s="35" t="str">
        <f>IFERROR(__xludf.DUMMYFUNCTION("""COMPUTED_VALUE"""),"KALIMANTAN BARAT")</f>
        <v>KALIMANTAN BARAT</v>
      </c>
      <c r="R3418" s="35" t="str">
        <f>IFERROR(__xludf.DUMMYFUNCTION("""COMPUTED_VALUE"""),"ISLAM")</f>
        <v>ISLAM</v>
      </c>
      <c r="S3418" s="74" t="str">
        <f>IFERROR(__xludf.DUMMYFUNCTION("""COMPUTED_VALUE"""),"PNS")</f>
        <v>PNS</v>
      </c>
      <c r="T3418" s="35" t="str">
        <f>IFERROR(__xludf.DUMMYFUNCTION("""COMPUTED_VALUE"""),"SAKIT PINGGANG")</f>
        <v>SAKIT PINGGANG</v>
      </c>
      <c r="U3418" s="35" t="str">
        <f>IFERROR(__xludf.DUMMYFUNCTION("""COMPUTED_VALUE"""),"BADMINTON")</f>
        <v>BADMINTON</v>
      </c>
      <c r="V3418" s="35" t="str">
        <f>IFERROR(__xludf.DUMMYFUNCTION("""COMPUTED_VALUE"""),"087845282425")</f>
        <v>087845282425</v>
      </c>
      <c r="W3418" s="45"/>
    </row>
    <row r="3419">
      <c r="A3419" s="45"/>
      <c r="B3419" s="35" t="str">
        <f>IFERROR(__xludf.DUMMYFUNCTION("""COMPUTED_VALUE"""),"03/02/2026 14:57:53")</f>
        <v>03/02/2026 14:57:53</v>
      </c>
      <c r="C3419" s="35"/>
      <c r="D3419" s="10">
        <f>IFERROR(__xludf.DUMMYFUNCTION("""COMPUTED_VALUE"""),46056.0)</f>
        <v>46056</v>
      </c>
      <c r="E3419" s="35" t="str">
        <f>IFERROR(__xludf.DUMMYFUNCTION("""COMPUTED_VALUE"""),"02Feb")</f>
        <v>02Feb</v>
      </c>
      <c r="F3419" s="35" t="str">
        <f>IFERROR(__xludf.DUMMYFUNCTION("""COMPUTED_VALUE"""),"2026")</f>
        <v>2026</v>
      </c>
      <c r="G3419" s="35" t="str">
        <f>IFERROR(__xludf.DUMMYFUNCTION("""COMPUTED_VALUE"""),"BAMBANG DWIPOJONO")</f>
        <v>BAMBANG DWIPOJONO</v>
      </c>
      <c r="H3419" s="35" t="str">
        <f>IFERROR(__xludf.DUMMYFUNCTION("""COMPUTED_VALUE"""),"B7026021215")</f>
        <v>B7026021215</v>
      </c>
      <c r="I3419" s="35">
        <f>IFERROR(__xludf.DUMMYFUNCTION("""COMPUTED_VALUE"""),55.0)</f>
        <v>55</v>
      </c>
      <c r="J3419" s="35" t="str">
        <f>IFERROR(__xludf.DUMMYFUNCTION("""COMPUTED_VALUE"""),"&gt; 44 tahun")</f>
        <v>&gt; 44 tahun</v>
      </c>
      <c r="K3419" s="35" t="str">
        <f>IFERROR(__xludf.DUMMYFUNCTION("""COMPUTED_VALUE"""),"12/08/1970")</f>
        <v>12/08/1970</v>
      </c>
      <c r="L3419" s="35" t="str">
        <f>IFERROR(__xludf.DUMMYFUNCTION("""COMPUTED_VALUE"""),"LAKI-LAKI")</f>
        <v>LAKI-LAKI</v>
      </c>
      <c r="M3419" s="35" t="str">
        <f>IFERROR(__xludf.DUMMYFUNCTION("""COMPUTED_VALUE"""),"JL. AKAU GG.BASRAH ")</f>
        <v>JL. AKAU GG.BASRAH </v>
      </c>
      <c r="N3419" s="35" t="str">
        <f>IFERROR(__xludf.DUMMYFUNCTION("""COMPUTED_VALUE"""),"SUKAMARA")</f>
        <v>SUKAMARA</v>
      </c>
      <c r="O3419" s="35" t="str">
        <f>IFERROR(__xludf.DUMMYFUNCTION("""COMPUTED_VALUE"""),"SUKAMARA")</f>
        <v>SUKAMARA</v>
      </c>
      <c r="P3419" s="35" t="str">
        <f>IFERROR(__xludf.DUMMYFUNCTION("""COMPUTED_VALUE"""),"SUKAMARA")</f>
        <v>SUKAMARA</v>
      </c>
      <c r="Q3419" s="35" t="str">
        <f>IFERROR(__xludf.DUMMYFUNCTION("""COMPUTED_VALUE"""),"KALIMANTAN TENGAH")</f>
        <v>KALIMANTAN TENGAH</v>
      </c>
      <c r="R3419" s="35" t="str">
        <f>IFERROR(__xludf.DUMMYFUNCTION("""COMPUTED_VALUE"""),"ISLAM")</f>
        <v>ISLAM</v>
      </c>
      <c r="S3419" s="74" t="str">
        <f>IFERROR(__xludf.DUMMYFUNCTION("""COMPUTED_VALUE"""),"PETANI")</f>
        <v>PETANI</v>
      </c>
      <c r="T3419" s="35" t="str">
        <f>IFERROR(__xludf.DUMMYFUNCTION("""COMPUTED_VALUE"""),"SESAK NAPAS")</f>
        <v>SESAK NAPAS</v>
      </c>
      <c r="U3419" s="35" t="str">
        <f>IFERROR(__xludf.DUMMYFUNCTION("""COMPUTED_VALUE"""),"SESAK")</f>
        <v>SESAK</v>
      </c>
      <c r="V3419" s="35" t="str">
        <f>IFERROR(__xludf.DUMMYFUNCTION("""COMPUTED_VALUE"""),"081348781215")</f>
        <v>081348781215</v>
      </c>
      <c r="W3419" s="45"/>
    </row>
    <row r="3420">
      <c r="A3420" s="45"/>
      <c r="B3420" s="35" t="str">
        <f>IFERROR(__xludf.DUMMYFUNCTION("""COMPUTED_VALUE"""),"03/02/2026 15:09:50")</f>
        <v>03/02/2026 15:09:50</v>
      </c>
      <c r="C3420" s="35"/>
      <c r="D3420" s="10">
        <f>IFERROR(__xludf.DUMMYFUNCTION("""COMPUTED_VALUE"""),46056.0)</f>
        <v>46056</v>
      </c>
      <c r="E3420" s="35" t="str">
        <f>IFERROR(__xludf.DUMMYFUNCTION("""COMPUTED_VALUE"""),"02Feb")</f>
        <v>02Feb</v>
      </c>
      <c r="F3420" s="35" t="str">
        <f>IFERROR(__xludf.DUMMYFUNCTION("""COMPUTED_VALUE"""),"2026")</f>
        <v>2026</v>
      </c>
      <c r="G3420" s="35" t="str">
        <f>IFERROR(__xludf.DUMMYFUNCTION("""COMPUTED_VALUE"""),"MAIZA AFRIANI")</f>
        <v>MAIZA AFRIANI</v>
      </c>
      <c r="H3420" s="35" t="str">
        <f>IFERROR(__xludf.DUMMYFUNCTION("""COMPUTED_VALUE"""),"M0226020373")</f>
        <v>M0226020373</v>
      </c>
      <c r="I3420" s="35">
        <f>IFERROR(__xludf.DUMMYFUNCTION("""COMPUTED_VALUE"""),23.0)</f>
        <v>23</v>
      </c>
      <c r="J3420" s="35" t="str">
        <f>IFERROR(__xludf.DUMMYFUNCTION("""COMPUTED_VALUE"""),"18-24 tahun")</f>
        <v>18-24 tahun</v>
      </c>
      <c r="K3420" s="35" t="str">
        <f>IFERROR(__xludf.DUMMYFUNCTION("""COMPUTED_VALUE"""),"21/06/2002")</f>
        <v>21/06/2002</v>
      </c>
      <c r="L3420" s="35" t="str">
        <f>IFERROR(__xludf.DUMMYFUNCTION("""COMPUTED_VALUE"""),"PEREMPUAN")</f>
        <v>PEREMPUAN</v>
      </c>
      <c r="M3420" s="35" t="str">
        <f>IFERROR(__xludf.DUMMYFUNCTION("""COMPUTED_VALUE"""),"JL. TABRANI AHMAD, GG. THAYIBAH NO 59")</f>
        <v>JL. TABRANI AHMAD, GG. THAYIBAH NO 59</v>
      </c>
      <c r="N3420" s="35" t="str">
        <f>IFERROR(__xludf.DUMMYFUNCTION("""COMPUTED_VALUE"""),"PAL LIMA")</f>
        <v>PAL LIMA</v>
      </c>
      <c r="O3420" s="35" t="str">
        <f>IFERROR(__xludf.DUMMYFUNCTION("""COMPUTED_VALUE"""),"PONTIANAK BARAT")</f>
        <v>PONTIANAK BARAT</v>
      </c>
      <c r="P3420" s="35" t="str">
        <f>IFERROR(__xludf.DUMMYFUNCTION("""COMPUTED_VALUE"""),"PONTIANAK")</f>
        <v>PONTIANAK</v>
      </c>
      <c r="Q3420" s="35" t="str">
        <f>IFERROR(__xludf.DUMMYFUNCTION("""COMPUTED_VALUE"""),"KALIMANTAN BARAT")</f>
        <v>KALIMANTAN BARAT</v>
      </c>
      <c r="R3420" s="35" t="str">
        <f>IFERROR(__xludf.DUMMYFUNCTION("""COMPUTED_VALUE"""),"ISLAM")</f>
        <v>ISLAM</v>
      </c>
      <c r="S3420" s="74" t="str">
        <f>IFERROR(__xludf.DUMMYFUNCTION("""COMPUTED_VALUE"""),"BARISTA")</f>
        <v>BARISTA</v>
      </c>
      <c r="T3420" s="35" t="str">
        <f>IFERROR(__xludf.DUMMYFUNCTION("""COMPUTED_VALUE"""),"KAKI SAKIT NYERI SEPERTI DITUSUK-TUSUK (TELAPAK KAKI) ")</f>
        <v>KAKI SAKIT NYERI SEPERTI DITUSUK-TUSUK (TELAPAK KAKI) </v>
      </c>
      <c r="U3420" s="35" t="str">
        <f>IFERROR(__xludf.DUMMYFUNCTION("""COMPUTED_VALUE"""),"MELAYANI CUSTOMER BERDIRI+- 8 JAM ")</f>
        <v>MELAYANI CUSTOMER BERDIRI+- 8 JAM </v>
      </c>
      <c r="V3420" s="35" t="str">
        <f>IFERROR(__xludf.DUMMYFUNCTION("""COMPUTED_VALUE"""),"89624540373")</f>
        <v>89624540373</v>
      </c>
      <c r="W3420" s="45"/>
    </row>
    <row r="3421">
      <c r="A3421" s="45"/>
      <c r="B3421" s="35" t="str">
        <f>IFERROR(__xludf.DUMMYFUNCTION("""COMPUTED_VALUE"""),"02/02/2026 19:54:42")</f>
        <v>02/02/2026 19:54:42</v>
      </c>
      <c r="C3421" s="35"/>
      <c r="D3421" s="10">
        <f>IFERROR(__xludf.DUMMYFUNCTION("""COMPUTED_VALUE"""),46056.0)</f>
        <v>46056</v>
      </c>
      <c r="E3421" s="35" t="str">
        <f>IFERROR(__xludf.DUMMYFUNCTION("""COMPUTED_VALUE"""),"02Feb")</f>
        <v>02Feb</v>
      </c>
      <c r="F3421" s="35" t="str">
        <f>IFERROR(__xludf.DUMMYFUNCTION("""COMPUTED_VALUE"""),"2026")</f>
        <v>2026</v>
      </c>
      <c r="G3421" s="35" t="str">
        <f>IFERROR(__xludf.DUMMYFUNCTION("""COMPUTED_VALUE"""),"ALEXANDER PUTRA DARMADI")</f>
        <v>ALEXANDER PUTRA DARMADI</v>
      </c>
      <c r="H3421" s="35" t="str">
        <f>IFERROR(__xludf.DUMMYFUNCTION("""COMPUTED_VALUE"""),"A0926020100")</f>
        <v>A0926020100</v>
      </c>
      <c r="I3421" s="35">
        <f>IFERROR(__xludf.DUMMYFUNCTION("""COMPUTED_VALUE"""),17.0)</f>
        <v>17</v>
      </c>
      <c r="J3421" s="35" t="str">
        <f>IFERROR(__xludf.DUMMYFUNCTION("""COMPUTED_VALUE"""),"&lt; 18 tahun")</f>
        <v>&lt; 18 tahun</v>
      </c>
      <c r="K3421" s="35" t="str">
        <f>IFERROR(__xludf.DUMMYFUNCTION("""COMPUTED_VALUE"""),"11/06/2009")</f>
        <v>11/06/2009</v>
      </c>
      <c r="L3421" s="35" t="str">
        <f>IFERROR(__xludf.DUMMYFUNCTION("""COMPUTED_VALUE"""),"LAKI-LAKI")</f>
        <v>LAKI-LAKI</v>
      </c>
      <c r="M3421" s="35" t="str">
        <f>IFERROR(__xludf.DUMMYFUNCTION("""COMPUTED_VALUE"""),"JL. LETJEND SOEPRAPTO V NO. 8")</f>
        <v>JL. LETJEND SOEPRAPTO V NO. 8</v>
      </c>
      <c r="N3421" s="35" t="str">
        <f>IFERROR(__xludf.DUMMYFUNCTION("""COMPUTED_VALUE"""),"BENUA MELAYU DARAT")</f>
        <v>BENUA MELAYU DARAT</v>
      </c>
      <c r="O3421" s="35" t="str">
        <f>IFERROR(__xludf.DUMMYFUNCTION("""COMPUTED_VALUE"""),"PONTIANAK SELATAN")</f>
        <v>PONTIANAK SELATAN</v>
      </c>
      <c r="P3421" s="35" t="str">
        <f>IFERROR(__xludf.DUMMYFUNCTION("""COMPUTED_VALUE"""),"KOTA PONTIANAK")</f>
        <v>KOTA PONTIANAK</v>
      </c>
      <c r="Q3421" s="35" t="str">
        <f>IFERROR(__xludf.DUMMYFUNCTION("""COMPUTED_VALUE"""),"KALIMANTAN BARAT")</f>
        <v>KALIMANTAN BARAT</v>
      </c>
      <c r="R3421" s="35" t="str">
        <f>IFERROR(__xludf.DUMMYFUNCTION("""COMPUTED_VALUE"""),"KATOLIK")</f>
        <v>KATOLIK</v>
      </c>
      <c r="S3421" s="74" t="str">
        <f>IFERROR(__xludf.DUMMYFUNCTION("""COMPUTED_VALUE"""),"PELAJAR")</f>
        <v>PELAJAR</v>
      </c>
      <c r="T3421" s="35" t="str">
        <f>IFERROR(__xludf.DUMMYFUNCTION("""COMPUTED_VALUE"""),"KAKI BENGKAK KARENA CIDERA SAAT BERMAIN FUTSAL")</f>
        <v>KAKI BENGKAK KARENA CIDERA SAAT BERMAIN FUTSAL</v>
      </c>
      <c r="U3421" s="35" t="str">
        <f>IFERROR(__xludf.DUMMYFUNCTION("""COMPUTED_VALUE"""),"FUTSAL DAN SEPAK BOLA")</f>
        <v>FUTSAL DAN SEPAK BOLA</v>
      </c>
      <c r="V3421" s="35" t="str">
        <f>IFERROR(__xludf.DUMMYFUNCTION("""COMPUTED_VALUE"""),"08125650100")</f>
        <v>08125650100</v>
      </c>
      <c r="W3421" s="45"/>
    </row>
    <row r="3422">
      <c r="A3422" s="45"/>
      <c r="B3422" s="35" t="str">
        <f>IFERROR(__xludf.DUMMYFUNCTION("""COMPUTED_VALUE"""),"04/02/2026 11:31:47")</f>
        <v>04/02/2026 11:31:47</v>
      </c>
      <c r="C3422" s="35"/>
      <c r="D3422" s="10">
        <f>IFERROR(__xludf.DUMMYFUNCTION("""COMPUTED_VALUE"""),46057.0)</f>
        <v>46057</v>
      </c>
      <c r="E3422" s="35" t="str">
        <f>IFERROR(__xludf.DUMMYFUNCTION("""COMPUTED_VALUE"""),"02Feb")</f>
        <v>02Feb</v>
      </c>
      <c r="F3422" s="35" t="str">
        <f>IFERROR(__xludf.DUMMYFUNCTION("""COMPUTED_VALUE"""),"2026")</f>
        <v>2026</v>
      </c>
      <c r="G3422" s="35" t="str">
        <f>IFERROR(__xludf.DUMMYFUNCTION("""COMPUTED_VALUE"""),"NABILA SEPTRIA NINGRUM")</f>
        <v>NABILA SEPTRIA NINGRUM</v>
      </c>
      <c r="H3422" s="35" t="str">
        <f>IFERROR(__xludf.DUMMYFUNCTION("""COMPUTED_VALUE"""),"N0326023310")</f>
        <v>N0326023310</v>
      </c>
      <c r="I3422" s="35">
        <f>IFERROR(__xludf.DUMMYFUNCTION("""COMPUTED_VALUE"""),22.0)</f>
        <v>22</v>
      </c>
      <c r="J3422" s="35" t="str">
        <f>IFERROR(__xludf.DUMMYFUNCTION("""COMPUTED_VALUE"""),"18-24 tahun")</f>
        <v>18-24 tahun</v>
      </c>
      <c r="K3422" s="35" t="str">
        <f>IFERROR(__xludf.DUMMYFUNCTION("""COMPUTED_VALUE"""),"27/09/2003")</f>
        <v>27/09/2003</v>
      </c>
      <c r="L3422" s="35" t="str">
        <f>IFERROR(__xludf.DUMMYFUNCTION("""COMPUTED_VALUE"""),"PEREMPUAN")</f>
        <v>PEREMPUAN</v>
      </c>
      <c r="M3422" s="35" t="str">
        <f>IFERROR(__xludf.DUMMYFUNCTION("""COMPUTED_VALUE"""),"JL PURNAMA KOMPLEK DINASTY INDAH BLOCK C NO 7")</f>
        <v>JL PURNAMA KOMPLEK DINASTY INDAH BLOCK C NO 7</v>
      </c>
      <c r="N3422" s="35" t="str">
        <f>IFERROR(__xludf.DUMMYFUNCTION("""COMPUTED_VALUE"""),"PARIT TOKAYA")</f>
        <v>PARIT TOKAYA</v>
      </c>
      <c r="O3422" s="35" t="str">
        <f>IFERROR(__xludf.DUMMYFUNCTION("""COMPUTED_VALUE"""),"PONTIANAK SELATAN")</f>
        <v>PONTIANAK SELATAN</v>
      </c>
      <c r="P3422" s="35" t="str">
        <f>IFERROR(__xludf.DUMMYFUNCTION("""COMPUTED_VALUE"""),"PONTIANAK")</f>
        <v>PONTIANAK</v>
      </c>
      <c r="Q3422" s="35" t="str">
        <f>IFERROR(__xludf.DUMMYFUNCTION("""COMPUTED_VALUE"""),"KALIMANTAN BARAT")</f>
        <v>KALIMANTAN BARAT</v>
      </c>
      <c r="R3422" s="35" t="str">
        <f>IFERROR(__xludf.DUMMYFUNCTION("""COMPUTED_VALUE"""),"ISLAM")</f>
        <v>ISLAM</v>
      </c>
      <c r="S3422" s="74" t="str">
        <f>IFERROR(__xludf.DUMMYFUNCTION("""COMPUTED_VALUE"""),"MAHASISWA")</f>
        <v>MAHASISWA</v>
      </c>
      <c r="T3422" s="35" t="str">
        <f>IFERROR(__xludf.DUMMYFUNCTION("""COMPUTED_VALUE"""),"TANGAN KANAN TIDAK BISA DI TEKUK JIKA DI TEKUK NYERI")</f>
        <v>TANGAN KANAN TIDAK BISA DI TEKUK JIKA DI TEKUK NYERI</v>
      </c>
      <c r="U3422" s="35" t="str">
        <f>IFERROR(__xludf.DUMMYFUNCTION("""COMPUTED_VALUE"""),"VOLLY DAN BEBERAPA HARI BELAKANGAN INI SERING ANGKAT BERAT")</f>
        <v>VOLLY DAN BEBERAPA HARI BELAKANGAN INI SERING ANGKAT BERAT</v>
      </c>
      <c r="V3422" s="35" t="str">
        <f>IFERROR(__xludf.DUMMYFUNCTION("""COMPUTED_VALUE"""),"081241493310")</f>
        <v>081241493310</v>
      </c>
      <c r="W3422" s="45"/>
    </row>
    <row r="3423">
      <c r="A3423" s="45"/>
      <c r="B3423" s="35" t="str">
        <f>IFERROR(__xludf.DUMMYFUNCTION("""COMPUTED_VALUE"""),"04/02/2026 15:49:04")</f>
        <v>04/02/2026 15:49:04</v>
      </c>
      <c r="C3423" s="35"/>
      <c r="D3423" s="10">
        <f>IFERROR(__xludf.DUMMYFUNCTION("""COMPUTED_VALUE"""),46057.0)</f>
        <v>46057</v>
      </c>
      <c r="E3423" s="35" t="str">
        <f>IFERROR(__xludf.DUMMYFUNCTION("""COMPUTED_VALUE"""),"02Feb")</f>
        <v>02Feb</v>
      </c>
      <c r="F3423" s="35" t="str">
        <f>IFERROR(__xludf.DUMMYFUNCTION("""COMPUTED_VALUE"""),"2026")</f>
        <v>2026</v>
      </c>
      <c r="G3423" s="35" t="str">
        <f>IFERROR(__xludf.DUMMYFUNCTION("""COMPUTED_VALUE"""),"WIDI TRIYANTO")</f>
        <v>WIDI TRIYANTO</v>
      </c>
      <c r="H3423" s="35" t="str">
        <f>IFERROR(__xludf.DUMMYFUNCTION("""COMPUTED_VALUE"""),"W0826026441")</f>
        <v>W0826026441</v>
      </c>
      <c r="I3423" s="35">
        <f>IFERROR(__xludf.DUMMYFUNCTION("""COMPUTED_VALUE"""),18.0)</f>
        <v>18</v>
      </c>
      <c r="J3423" s="35" t="str">
        <f>IFERROR(__xludf.DUMMYFUNCTION("""COMPUTED_VALUE"""),"&lt; 18 tahun")</f>
        <v>&lt; 18 tahun</v>
      </c>
      <c r="K3423" s="35" t="str">
        <f>IFERROR(__xludf.DUMMYFUNCTION("""COMPUTED_VALUE"""),"18/04/2008")</f>
        <v>18/04/2008</v>
      </c>
      <c r="L3423" s="35" t="str">
        <f>IFERROR(__xludf.DUMMYFUNCTION("""COMPUTED_VALUE"""),"LAKI-LAKI")</f>
        <v>LAKI-LAKI</v>
      </c>
      <c r="M3423" s="35" t="str">
        <f>IFERROR(__xludf.DUMMYFUNCTION("""COMPUTED_VALUE"""),"JL GUSTI SITUT MAHMUD GG ALI 88")</f>
        <v>JL GUSTI SITUT MAHMUD GG ALI 88</v>
      </c>
      <c r="N3423" s="35" t="str">
        <f>IFERROR(__xludf.DUMMYFUNCTION("""COMPUTED_VALUE"""),"-")</f>
        <v>-</v>
      </c>
      <c r="O3423" s="35" t="str">
        <f>IFERROR(__xludf.DUMMYFUNCTION("""COMPUTED_VALUE"""),"-")</f>
        <v>-</v>
      </c>
      <c r="P3423" s="35" t="str">
        <f>IFERROR(__xludf.DUMMYFUNCTION("""COMPUTED_VALUE"""),"PONTIANAK")</f>
        <v>PONTIANAK</v>
      </c>
      <c r="Q3423" s="35" t="str">
        <f>IFERROR(__xludf.DUMMYFUNCTION("""COMPUTED_VALUE"""),"KALIMANTAN BARAT")</f>
        <v>KALIMANTAN BARAT</v>
      </c>
      <c r="R3423" s="35" t="str">
        <f>IFERROR(__xludf.DUMMYFUNCTION("""COMPUTED_VALUE"""),"ISLAM")</f>
        <v>ISLAM</v>
      </c>
      <c r="S3423" s="74" t="str">
        <f>IFERROR(__xludf.DUMMYFUNCTION("""COMPUTED_VALUE"""),"PELAJAR")</f>
        <v>PELAJAR</v>
      </c>
      <c r="T3423" s="35" t="str">
        <f>IFERROR(__xludf.DUMMYFUNCTION("""COMPUTED_VALUE"""),"TANGAN")</f>
        <v>TANGAN</v>
      </c>
      <c r="U3423" s="35" t="str">
        <f>IFERROR(__xludf.DUMMYFUNCTION("""COMPUTED_VALUE"""),"-")</f>
        <v>-</v>
      </c>
      <c r="V3423" s="35" t="str">
        <f>IFERROR(__xludf.DUMMYFUNCTION("""COMPUTED_VALUE"""),"085828276441")</f>
        <v>085828276441</v>
      </c>
      <c r="W3423" s="45"/>
    </row>
    <row r="3424">
      <c r="A3424" s="45"/>
      <c r="B3424" s="35" t="str">
        <f>IFERROR(__xludf.DUMMYFUNCTION("""COMPUTED_VALUE"""),"04/02/2026 20:11:18")</f>
        <v>04/02/2026 20:11:18</v>
      </c>
      <c r="C3424" s="35"/>
      <c r="D3424" s="10">
        <f>IFERROR(__xludf.DUMMYFUNCTION("""COMPUTED_VALUE"""),46057.0)</f>
        <v>46057</v>
      </c>
      <c r="E3424" s="35" t="str">
        <f>IFERROR(__xludf.DUMMYFUNCTION("""COMPUTED_VALUE"""),"02Feb")</f>
        <v>02Feb</v>
      </c>
      <c r="F3424" s="35" t="str">
        <f>IFERROR(__xludf.DUMMYFUNCTION("""COMPUTED_VALUE"""),"2026")</f>
        <v>2026</v>
      </c>
      <c r="G3424" s="35" t="str">
        <f>IFERROR(__xludf.DUMMYFUNCTION("""COMPUTED_VALUE"""),"NG LIP TJIU")</f>
        <v>NG LIP TJIU</v>
      </c>
      <c r="H3424" s="35" t="str">
        <f>IFERROR(__xludf.DUMMYFUNCTION("""COMPUTED_VALUE"""),"N5726026689")</f>
        <v>N5726026689</v>
      </c>
      <c r="I3424" s="35">
        <f>IFERROR(__xludf.DUMMYFUNCTION("""COMPUTED_VALUE"""),68.0)</f>
        <v>68</v>
      </c>
      <c r="J3424" s="35" t="str">
        <f>IFERROR(__xludf.DUMMYFUNCTION("""COMPUTED_VALUE"""),"&gt; 44 tahun")</f>
        <v>&gt; 44 tahun</v>
      </c>
      <c r="K3424" s="35" t="str">
        <f>IFERROR(__xludf.DUMMYFUNCTION("""COMPUTED_VALUE"""),"19/08/1957")</f>
        <v>19/08/1957</v>
      </c>
      <c r="L3424" s="35" t="str">
        <f>IFERROR(__xludf.DUMMYFUNCTION("""COMPUTED_VALUE"""),"PEREMPUAN")</f>
        <v>PEREMPUAN</v>
      </c>
      <c r="M3424" s="35" t="str">
        <f>IFERROR(__xludf.DUMMYFUNCTION("""COMPUTED_VALUE"""),"DUSUN HILIR TENGAH II")</f>
        <v>DUSUN HILIR TENGAH II</v>
      </c>
      <c r="N3424" s="35" t="str">
        <f>IFERROR(__xludf.DUMMYFUNCTION("""COMPUTED_VALUE"""),"HILIR TENGAH")</f>
        <v>HILIR TENGAH</v>
      </c>
      <c r="O3424" s="35" t="str">
        <f>IFERROR(__xludf.DUMMYFUNCTION("""COMPUTED_VALUE"""),"NGABANG")</f>
        <v>NGABANG</v>
      </c>
      <c r="P3424" s="35" t="str">
        <f>IFERROR(__xludf.DUMMYFUNCTION("""COMPUTED_VALUE"""),"LANDAK")</f>
        <v>LANDAK</v>
      </c>
      <c r="Q3424" s="35" t="str">
        <f>IFERROR(__xludf.DUMMYFUNCTION("""COMPUTED_VALUE"""),"KALIMANTAN BARAT")</f>
        <v>KALIMANTAN BARAT</v>
      </c>
      <c r="R3424" s="35" t="str">
        <f>IFERROR(__xludf.DUMMYFUNCTION("""COMPUTED_VALUE"""),"BUDDHA")</f>
        <v>BUDDHA</v>
      </c>
      <c r="S3424" s="74" t="str">
        <f>IFERROR(__xludf.DUMMYFUNCTION("""COMPUTED_VALUE"""),"WIRASWASTA")</f>
        <v>WIRASWASTA</v>
      </c>
      <c r="T3424" s="35" t="str">
        <f>IFERROR(__xludf.DUMMYFUNCTION("""COMPUTED_VALUE"""),"li")</f>
        <v>li</v>
      </c>
      <c r="U3424" s="35" t="str">
        <f>IFERROR(__xludf.DUMMYFUNCTION("""COMPUTED_VALUE"""),"-")</f>
        <v>-</v>
      </c>
      <c r="V3424" s="35" t="str">
        <f>IFERROR(__xludf.DUMMYFUNCTION("""COMPUTED_VALUE"""),"085252206689")</f>
        <v>085252206689</v>
      </c>
      <c r="W3424" s="45"/>
    </row>
    <row r="3425">
      <c r="A3425" s="45"/>
      <c r="B3425" s="35" t="str">
        <f>IFERROR(__xludf.DUMMYFUNCTION("""COMPUTED_VALUE"""),"04/02/2026 18:41:59")</f>
        <v>04/02/2026 18:41:59</v>
      </c>
      <c r="C3425" s="35"/>
      <c r="D3425" s="10">
        <f>IFERROR(__xludf.DUMMYFUNCTION("""COMPUTED_VALUE"""),46057.0)</f>
        <v>46057</v>
      </c>
      <c r="E3425" s="35" t="str">
        <f>IFERROR(__xludf.DUMMYFUNCTION("""COMPUTED_VALUE"""),"02Feb")</f>
        <v>02Feb</v>
      </c>
      <c r="F3425" s="35" t="str">
        <f>IFERROR(__xludf.DUMMYFUNCTION("""COMPUTED_VALUE"""),"2026")</f>
        <v>2026</v>
      </c>
      <c r="G3425" s="35" t="str">
        <f>IFERROR(__xludf.DUMMYFUNCTION("""COMPUTED_VALUE"""),"HARISYAH BANDIANTO ")</f>
        <v>HARISYAH BANDIANTO </v>
      </c>
      <c r="H3425" s="35" t="str">
        <f>IFERROR(__xludf.DUMMYFUNCTION("""COMPUTED_VALUE"""),"H0126027941")</f>
        <v>H0126027941</v>
      </c>
      <c r="I3425" s="35">
        <f>IFERROR(__xludf.DUMMYFUNCTION("""COMPUTED_VALUE"""),24.0)</f>
        <v>24</v>
      </c>
      <c r="J3425" s="35" t="str">
        <f>IFERROR(__xludf.DUMMYFUNCTION("""COMPUTED_VALUE"""),"18-24 tahun")</f>
        <v>18-24 tahun</v>
      </c>
      <c r="K3425" s="35" t="str">
        <f>IFERROR(__xludf.DUMMYFUNCTION("""COMPUTED_VALUE"""),"12/11/2001")</f>
        <v>12/11/2001</v>
      </c>
      <c r="L3425" s="35" t="str">
        <f>IFERROR(__xludf.DUMMYFUNCTION("""COMPUTED_VALUE"""),"LAKI-LAKI")</f>
        <v>LAKI-LAKI</v>
      </c>
      <c r="M3425" s="35" t="str">
        <f>IFERROR(__xludf.DUMMYFUNCTION("""COMPUTED_VALUE"""),"DUSUN TANJUNG, RT/RW 005/003")</f>
        <v>DUSUN TANJUNG, RT/RW 005/003</v>
      </c>
      <c r="N3425" s="35" t="str">
        <f>IFERROR(__xludf.DUMMYFUNCTION("""COMPUTED_VALUE"""),"NANGA TAMAN")</f>
        <v>NANGA TAMAN</v>
      </c>
      <c r="O3425" s="35" t="str">
        <f>IFERROR(__xludf.DUMMYFUNCTION("""COMPUTED_VALUE"""),"NANGA TAMAN")</f>
        <v>NANGA TAMAN</v>
      </c>
      <c r="P3425" s="35" t="str">
        <f>IFERROR(__xludf.DUMMYFUNCTION("""COMPUTED_VALUE"""),"SEKADAU")</f>
        <v>SEKADAU</v>
      </c>
      <c r="Q3425" s="35" t="str">
        <f>IFERROR(__xludf.DUMMYFUNCTION("""COMPUTED_VALUE"""),"KALIMANTAN BARAT ")</f>
        <v>KALIMANTAN BARAT </v>
      </c>
      <c r="R3425" s="35" t="str">
        <f>IFERROR(__xludf.DUMMYFUNCTION("""COMPUTED_VALUE"""),"ISLAM")</f>
        <v>ISLAM</v>
      </c>
      <c r="S3425" s="74" t="str">
        <f>IFERROR(__xludf.DUMMYFUNCTION("""COMPUTED_VALUE"""),"BENDAHARA UNIT USAHA BUMDESMA")</f>
        <v>BENDAHARA UNIT USAHA BUMDESMA</v>
      </c>
      <c r="T3425" s="35" t="str">
        <f>IFERROR(__xludf.DUMMYFUNCTION("""COMPUTED_VALUE"""),"SAKIT PINGGANG SEBELAH KIRI")</f>
        <v>SAKIT PINGGANG SEBELAH KIRI</v>
      </c>
      <c r="U3425" s="35" t="str">
        <f>IFERROR(__xludf.DUMMYFUNCTION("""COMPUTED_VALUE"""),"LARI, JALAN, VOLI")</f>
        <v>LARI, JALAN, VOLI</v>
      </c>
      <c r="V3425" s="35" t="str">
        <f>IFERROR(__xludf.DUMMYFUNCTION("""COMPUTED_VALUE"""),"082211497941")</f>
        <v>082211497941</v>
      </c>
      <c r="W3425" s="45"/>
    </row>
    <row r="3426">
      <c r="A3426" s="45"/>
      <c r="B3426" s="35" t="str">
        <f>IFERROR(__xludf.DUMMYFUNCTION("""COMPUTED_VALUE"""),"04/02/2026 11:19:36")</f>
        <v>04/02/2026 11:19:36</v>
      </c>
      <c r="C3426" s="35"/>
      <c r="D3426" s="10">
        <f>IFERROR(__xludf.DUMMYFUNCTION("""COMPUTED_VALUE"""),46058.0)</f>
        <v>46058</v>
      </c>
      <c r="E3426" s="35" t="str">
        <f>IFERROR(__xludf.DUMMYFUNCTION("""COMPUTED_VALUE"""),"02Feb")</f>
        <v>02Feb</v>
      </c>
      <c r="F3426" s="35" t="str">
        <f>IFERROR(__xludf.DUMMYFUNCTION("""COMPUTED_VALUE"""),"2026")</f>
        <v>2026</v>
      </c>
      <c r="G3426" s="35" t="str">
        <f>IFERROR(__xludf.DUMMYFUNCTION("""COMPUTED_VALUE"""),"HENGKY TANUWIJAYA")</f>
        <v>HENGKY TANUWIJAYA</v>
      </c>
      <c r="H3426" s="35" t="str">
        <f>IFERROR(__xludf.DUMMYFUNCTION("""COMPUTED_VALUE"""),"H7626021976")</f>
        <v>H7626021976</v>
      </c>
      <c r="I3426" s="35">
        <f>IFERROR(__xludf.DUMMYFUNCTION("""COMPUTED_VALUE"""),50.0)</f>
        <v>50</v>
      </c>
      <c r="J3426" s="35" t="str">
        <f>IFERROR(__xludf.DUMMYFUNCTION("""COMPUTED_VALUE"""),"&gt; 44 tahun")</f>
        <v>&gt; 44 tahun</v>
      </c>
      <c r="K3426" s="35" t="str">
        <f>IFERROR(__xludf.DUMMYFUNCTION("""COMPUTED_VALUE"""),"07/06/1976")</f>
        <v>07/06/1976</v>
      </c>
      <c r="L3426" s="35" t="str">
        <f>IFERROR(__xludf.DUMMYFUNCTION("""COMPUTED_VALUE"""),"LAKI-LAKI")</f>
        <v>LAKI-LAKI</v>
      </c>
      <c r="M3426" s="35" t="str">
        <f>IFERROR(__xludf.DUMMYFUNCTION("""COMPUTED_VALUE"""),"JL PURNAMA KOMP PERMATA NO. D5")</f>
        <v>JL PURNAMA KOMP PERMATA NO. D5</v>
      </c>
      <c r="N3426" s="35" t="str">
        <f>IFERROR(__xludf.DUMMYFUNCTION("""COMPUTED_VALUE"""),"PARIT TOKAYA")</f>
        <v>PARIT TOKAYA</v>
      </c>
      <c r="O3426" s="35" t="str">
        <f>IFERROR(__xludf.DUMMYFUNCTION("""COMPUTED_VALUE"""),"PONTIANAK SELATAN")</f>
        <v>PONTIANAK SELATAN</v>
      </c>
      <c r="P3426" s="35" t="str">
        <f>IFERROR(__xludf.DUMMYFUNCTION("""COMPUTED_VALUE"""),"PONTIANAK")</f>
        <v>PONTIANAK</v>
      </c>
      <c r="Q3426" s="35" t="str">
        <f>IFERROR(__xludf.DUMMYFUNCTION("""COMPUTED_VALUE"""),"KALIMANTAN BARAT")</f>
        <v>KALIMANTAN BARAT</v>
      </c>
      <c r="R3426" s="35" t="str">
        <f>IFERROR(__xludf.DUMMYFUNCTION("""COMPUTED_VALUE"""),"BUDDHA")</f>
        <v>BUDDHA</v>
      </c>
      <c r="S3426" s="74" t="str">
        <f>IFERROR(__xludf.DUMMYFUNCTION("""COMPUTED_VALUE"""),"PEDAGANG")</f>
        <v>PEDAGANG</v>
      </c>
      <c r="T3426" s="35" t="str">
        <f>IFERROR(__xludf.DUMMYFUNCTION("""COMPUTED_VALUE"""),"SAKIT DI TUMIT KAKI")</f>
        <v>SAKIT DI TUMIT KAKI</v>
      </c>
      <c r="U3426" s="35" t="str">
        <f>IFERROR(__xludf.DUMMYFUNCTION("""COMPUTED_VALUE"""),"BASKET")</f>
        <v>BASKET</v>
      </c>
      <c r="V3426" s="35" t="str">
        <f>IFERROR(__xludf.DUMMYFUNCTION("""COMPUTED_VALUE"""),"085122971976")</f>
        <v>085122971976</v>
      </c>
      <c r="W3426" s="45"/>
    </row>
    <row r="3427">
      <c r="A3427" s="45"/>
      <c r="B3427" s="35" t="str">
        <f>IFERROR(__xludf.DUMMYFUNCTION("""COMPUTED_VALUE"""),"06/02/2026 14:15:23")</f>
        <v>06/02/2026 14:15:23</v>
      </c>
      <c r="C3427" s="35"/>
      <c r="D3427" s="10">
        <f>IFERROR(__xludf.DUMMYFUNCTION("""COMPUTED_VALUE"""),46059.0)</f>
        <v>46059</v>
      </c>
      <c r="E3427" s="35" t="str">
        <f>IFERROR(__xludf.DUMMYFUNCTION("""COMPUTED_VALUE"""),"02Feb")</f>
        <v>02Feb</v>
      </c>
      <c r="F3427" s="35" t="str">
        <f>IFERROR(__xludf.DUMMYFUNCTION("""COMPUTED_VALUE"""),"2026")</f>
        <v>2026</v>
      </c>
      <c r="G3427" s="35" t="str">
        <f>IFERROR(__xludf.DUMMYFUNCTION("""COMPUTED_VALUE"""),"FEBRIANTO LIM")</f>
        <v>FEBRIANTO LIM</v>
      </c>
      <c r="H3427" s="35" t="str">
        <f>IFERROR(__xludf.DUMMYFUNCTION("""COMPUTED_VALUE"""),"F9626022801")</f>
        <v>F9626022801</v>
      </c>
      <c r="I3427" s="35">
        <f>IFERROR(__xludf.DUMMYFUNCTION("""COMPUTED_VALUE"""),30.0)</f>
        <v>30</v>
      </c>
      <c r="J3427" s="35" t="str">
        <f>IFERROR(__xludf.DUMMYFUNCTION("""COMPUTED_VALUE"""),"25-34 tahun")</f>
        <v>25-34 tahun</v>
      </c>
      <c r="K3427" s="35" t="str">
        <f>IFERROR(__xludf.DUMMYFUNCTION("""COMPUTED_VALUE"""),"05/02/1996")</f>
        <v>05/02/1996</v>
      </c>
      <c r="L3427" s="35" t="str">
        <f>IFERROR(__xludf.DUMMYFUNCTION("""COMPUTED_VALUE"""),"LAKI-LAKI")</f>
        <v>LAKI-LAKI</v>
      </c>
      <c r="M3427" s="35" t="str">
        <f>IFERROR(__xludf.DUMMYFUNCTION("""COMPUTED_VALUE"""),"JALAN KARNA SOSIAL NO.A10 ")</f>
        <v>JALAN KARNA SOSIAL NO.A10 </v>
      </c>
      <c r="N3427" s="35" t="str">
        <f>IFERROR(__xludf.DUMMYFUNCTION("""COMPUTED_VALUE"""),"AKCAYA")</f>
        <v>AKCAYA</v>
      </c>
      <c r="O3427" s="35" t="str">
        <f>IFERROR(__xludf.DUMMYFUNCTION("""COMPUTED_VALUE"""),"PONTIANAK SELATAN")</f>
        <v>PONTIANAK SELATAN</v>
      </c>
      <c r="P3427" s="35" t="str">
        <f>IFERROR(__xludf.DUMMYFUNCTION("""COMPUTED_VALUE"""),"PONTIANAK")</f>
        <v>PONTIANAK</v>
      </c>
      <c r="Q3427" s="35" t="str">
        <f>IFERROR(__xludf.DUMMYFUNCTION("""COMPUTED_VALUE"""),"KALIMANTAN BARAT")</f>
        <v>KALIMANTAN BARAT</v>
      </c>
      <c r="R3427" s="35" t="str">
        <f>IFERROR(__xludf.DUMMYFUNCTION("""COMPUTED_VALUE"""),"BUDDHA")</f>
        <v>BUDDHA</v>
      </c>
      <c r="S3427" s="74" t="str">
        <f>IFERROR(__xludf.DUMMYFUNCTION("""COMPUTED_VALUE"""),"KARYAWAN")</f>
        <v>KARYAWAN</v>
      </c>
      <c r="T3427" s="35" t="str">
        <f>IFERROR(__xludf.DUMMYFUNCTION("""COMPUTED_VALUE"""),"SAKIT LUTUT KANAN")</f>
        <v>SAKIT LUTUT KANAN</v>
      </c>
      <c r="U3427" s="35" t="str">
        <f>IFERROR(__xludf.DUMMYFUNCTION("""COMPUTED_VALUE"""),"BADMINTON")</f>
        <v>BADMINTON</v>
      </c>
      <c r="V3427" s="35" t="str">
        <f>IFERROR(__xludf.DUMMYFUNCTION("""COMPUTED_VALUE"""),"085387252801")</f>
        <v>085387252801</v>
      </c>
      <c r="W3427" s="45"/>
    </row>
    <row r="3428">
      <c r="A3428" s="45"/>
      <c r="B3428" s="35" t="str">
        <f>IFERROR(__xludf.DUMMYFUNCTION("""COMPUTED_VALUE"""),"06/02/2026 17:41:44")</f>
        <v>06/02/2026 17:41:44</v>
      </c>
      <c r="C3428" s="35"/>
      <c r="D3428" s="10">
        <f>IFERROR(__xludf.DUMMYFUNCTION("""COMPUTED_VALUE"""),46060.0)</f>
        <v>46060</v>
      </c>
      <c r="E3428" s="35" t="str">
        <f>IFERROR(__xludf.DUMMYFUNCTION("""COMPUTED_VALUE"""),"02Feb")</f>
        <v>02Feb</v>
      </c>
      <c r="F3428" s="35" t="str">
        <f>IFERROR(__xludf.DUMMYFUNCTION("""COMPUTED_VALUE"""),"2026")</f>
        <v>2026</v>
      </c>
      <c r="G3428" s="35" t="str">
        <f>IFERROR(__xludf.DUMMYFUNCTION("""COMPUTED_VALUE"""),"LIM GEK KHIANG")</f>
        <v>LIM GEK KHIANG</v>
      </c>
      <c r="H3428" s="35" t="str">
        <f>IFERROR(__xludf.DUMMYFUNCTION("""COMPUTED_VALUE"""),"L5926020168")</f>
        <v>L5926020168</v>
      </c>
      <c r="I3428" s="35">
        <f>IFERROR(__xludf.DUMMYFUNCTION("""COMPUTED_VALUE"""),66.0)</f>
        <v>66</v>
      </c>
      <c r="J3428" s="35" t="str">
        <f>IFERROR(__xludf.DUMMYFUNCTION("""COMPUTED_VALUE"""),"&gt; 44 tahun")</f>
        <v>&gt; 44 tahun</v>
      </c>
      <c r="K3428" s="35" t="str">
        <f>IFERROR(__xludf.DUMMYFUNCTION("""COMPUTED_VALUE"""),"21/11/1959")</f>
        <v>21/11/1959</v>
      </c>
      <c r="L3428" s="35" t="str">
        <f>IFERROR(__xludf.DUMMYFUNCTION("""COMPUTED_VALUE"""),"LAKI-LAKI")</f>
        <v>LAKI-LAKI</v>
      </c>
      <c r="M3428" s="35" t="str">
        <f>IFERROR(__xludf.DUMMYFUNCTION("""COMPUTED_VALUE"""),"JLN. SUPRAPTO 6 NO. 52")</f>
        <v>JLN. SUPRAPTO 6 NO. 52</v>
      </c>
      <c r="N3428" s="35" t="str">
        <f>IFERROR(__xludf.DUMMYFUNCTION("""COMPUTED_VALUE"""),"BENUA MELAYU DARAT")</f>
        <v>BENUA MELAYU DARAT</v>
      </c>
      <c r="O3428" s="35" t="str">
        <f>IFERROR(__xludf.DUMMYFUNCTION("""COMPUTED_VALUE"""),"PONTIANAK SELATAN")</f>
        <v>PONTIANAK SELATAN</v>
      </c>
      <c r="P3428" s="35" t="str">
        <f>IFERROR(__xludf.DUMMYFUNCTION("""COMPUTED_VALUE"""),"PONTIANAK")</f>
        <v>PONTIANAK</v>
      </c>
      <c r="Q3428" s="35" t="str">
        <f>IFERROR(__xludf.DUMMYFUNCTION("""COMPUTED_VALUE"""),"KALIMANTAN BARAT")</f>
        <v>KALIMANTAN BARAT</v>
      </c>
      <c r="R3428" s="35" t="str">
        <f>IFERROR(__xludf.DUMMYFUNCTION("""COMPUTED_VALUE"""),"KATOLIK")</f>
        <v>KATOLIK</v>
      </c>
      <c r="S3428" s="74" t="str">
        <f>IFERROR(__xludf.DUMMYFUNCTION("""COMPUTED_VALUE"""),"SWASTA")</f>
        <v>SWASTA</v>
      </c>
      <c r="T3428" s="35" t="str">
        <f>IFERROR(__xludf.DUMMYFUNCTION("""COMPUTED_VALUE"""),"BAHU KANAN SAKIT")</f>
        <v>BAHU KANAN SAKIT</v>
      </c>
      <c r="U3428" s="35" t="str">
        <f>IFERROR(__xludf.DUMMYFUNCTION("""COMPUTED_VALUE"""),"KERJA DIKANTIR, KADANG GOLF")</f>
        <v>KERJA DIKANTIR, KADANG GOLF</v>
      </c>
      <c r="V3428" s="35" t="str">
        <f>IFERROR(__xludf.DUMMYFUNCTION("""COMPUTED_VALUE"""),"0811570168")</f>
        <v>0811570168</v>
      </c>
      <c r="W3428" s="45"/>
    </row>
    <row r="3429">
      <c r="A3429" s="45"/>
      <c r="B3429" s="35" t="str">
        <f>IFERROR(__xludf.DUMMYFUNCTION("""COMPUTED_VALUE"""),"07/02/2026 11:37:24")</f>
        <v>07/02/2026 11:37:24</v>
      </c>
      <c r="C3429" s="35"/>
      <c r="D3429" s="10">
        <f>IFERROR(__xludf.DUMMYFUNCTION("""COMPUTED_VALUE"""),46060.0)</f>
        <v>46060</v>
      </c>
      <c r="E3429" s="35" t="str">
        <f>IFERROR(__xludf.DUMMYFUNCTION("""COMPUTED_VALUE"""),"02Feb")</f>
        <v>02Feb</v>
      </c>
      <c r="F3429" s="35" t="str">
        <f>IFERROR(__xludf.DUMMYFUNCTION("""COMPUTED_VALUE"""),"2026")</f>
        <v>2026</v>
      </c>
      <c r="G3429" s="35" t="str">
        <f>IFERROR(__xludf.DUMMYFUNCTION("""COMPUTED_VALUE"""),"OKTAVIANA ")</f>
        <v>OKTAVIANA </v>
      </c>
      <c r="H3429" s="35" t="str">
        <f>IFERROR(__xludf.DUMMYFUNCTION("""COMPUTED_VALUE"""),"O0426023127")</f>
        <v>O0426023127</v>
      </c>
      <c r="I3429" s="35">
        <f>IFERROR(__xludf.DUMMYFUNCTION("""COMPUTED_VALUE"""),21.0)</f>
        <v>21</v>
      </c>
      <c r="J3429" s="35" t="str">
        <f>IFERROR(__xludf.DUMMYFUNCTION("""COMPUTED_VALUE"""),"18-24 tahun")</f>
        <v>18-24 tahun</v>
      </c>
      <c r="K3429" s="35" t="str">
        <f>IFERROR(__xludf.DUMMYFUNCTION("""COMPUTED_VALUE"""),"09/10/2004")</f>
        <v>09/10/2004</v>
      </c>
      <c r="L3429" s="35" t="str">
        <f>IFERROR(__xludf.DUMMYFUNCTION("""COMPUTED_VALUE"""),"PEREMPUAN")</f>
        <v>PEREMPUAN</v>
      </c>
      <c r="M3429" s="35" t="str">
        <f>IFERROR(__xludf.DUMMYFUNCTION("""COMPUTED_VALUE"""),"SINTANG ")</f>
        <v>SINTANG </v>
      </c>
      <c r="N3429" s="35" t="str">
        <f>IFERROR(__xludf.DUMMYFUNCTION("""COMPUTED_VALUE"""),"DESA AMPAR BEDANG RT 1 W2")</f>
        <v>DESA AMPAR BEDANG RT 1 W2</v>
      </c>
      <c r="O3429" s="35" t="str">
        <f>IFERROR(__xludf.DUMMYFUNCTION("""COMPUTED_VALUE"""),"BINJAI HULU ")</f>
        <v>BINJAI HULU </v>
      </c>
      <c r="P3429" s="35" t="str">
        <f>IFERROR(__xludf.DUMMYFUNCTION("""COMPUTED_VALUE"""),"KAB.SINTANG")</f>
        <v>KAB.SINTANG</v>
      </c>
      <c r="Q3429" s="35" t="str">
        <f>IFERROR(__xludf.DUMMYFUNCTION("""COMPUTED_VALUE"""),"KALIMANTAN BARAT ")</f>
        <v>KALIMANTAN BARAT </v>
      </c>
      <c r="R3429" s="35" t="str">
        <f>IFERROR(__xludf.DUMMYFUNCTION("""COMPUTED_VALUE"""),"ISLAM")</f>
        <v>ISLAM</v>
      </c>
      <c r="S3429" s="74" t="str">
        <f>IFERROR(__xludf.DUMMYFUNCTION("""COMPUTED_VALUE"""),"MAHASISWA ")</f>
        <v>MAHASISWA </v>
      </c>
      <c r="T3429" s="35" t="str">
        <f>IFERROR(__xludf.DUMMYFUNCTION("""COMPUTED_VALUE"""),"BELLS PALSY ")</f>
        <v>BELLS PALSY </v>
      </c>
      <c r="U3429" s="35" t="str">
        <f>IFERROR(__xludf.DUMMYFUNCTION("""COMPUTED_VALUE"""),"-")</f>
        <v>-</v>
      </c>
      <c r="V3429" s="35" t="str">
        <f>IFERROR(__xludf.DUMMYFUNCTION("""COMPUTED_VALUE"""),"0887436893127")</f>
        <v>0887436893127</v>
      </c>
      <c r="W3429" s="45"/>
    </row>
    <row r="3430">
      <c r="A3430" s="45"/>
      <c r="B3430" s="35" t="str">
        <f>IFERROR(__xludf.DUMMYFUNCTION("""COMPUTED_VALUE"""),"07/02/2026 14:15:21")</f>
        <v>07/02/2026 14:15:21</v>
      </c>
      <c r="C3430" s="35"/>
      <c r="D3430" s="10">
        <f>IFERROR(__xludf.DUMMYFUNCTION("""COMPUTED_VALUE"""),46060.0)</f>
        <v>46060</v>
      </c>
      <c r="E3430" s="35" t="str">
        <f>IFERROR(__xludf.DUMMYFUNCTION("""COMPUTED_VALUE"""),"02Feb")</f>
        <v>02Feb</v>
      </c>
      <c r="F3430" s="35" t="str">
        <f>IFERROR(__xludf.DUMMYFUNCTION("""COMPUTED_VALUE"""),"2026")</f>
        <v>2026</v>
      </c>
      <c r="G3430" s="35" t="str">
        <f>IFERROR(__xludf.DUMMYFUNCTION("""COMPUTED_VALUE"""),"ERMINA")</f>
        <v>ERMINA</v>
      </c>
      <c r="H3430" s="35" t="str">
        <f>IFERROR(__xludf.DUMMYFUNCTION("""COMPUTED_VALUE"""),"E6726020415")</f>
        <v>E6726020415</v>
      </c>
      <c r="I3430" s="35">
        <f>IFERROR(__xludf.DUMMYFUNCTION("""COMPUTED_VALUE"""),59.0)</f>
        <v>59</v>
      </c>
      <c r="J3430" s="35" t="str">
        <f>IFERROR(__xludf.DUMMYFUNCTION("""COMPUTED_VALUE"""),"&gt; 44 tahun")</f>
        <v>&gt; 44 tahun</v>
      </c>
      <c r="K3430" s="35" t="str">
        <f>IFERROR(__xludf.DUMMYFUNCTION("""COMPUTED_VALUE"""),"31/05/1967")</f>
        <v>31/05/1967</v>
      </c>
      <c r="L3430" s="35" t="str">
        <f>IFERROR(__xludf.DUMMYFUNCTION("""COMPUTED_VALUE"""),"PEREMPUAN")</f>
        <v>PEREMPUAN</v>
      </c>
      <c r="M3430" s="35" t="str">
        <f>IFERROR(__xludf.DUMMYFUNCTION("""COMPUTED_VALUE"""),"PERUMNAS 1JL. M. SAAD AIN NO. 16")</f>
        <v>PERUMNAS 1JL. M. SAAD AIN NO. 16</v>
      </c>
      <c r="N3430" s="35" t="str">
        <f>IFERROR(__xludf.DUMMYFUNCTION("""COMPUTED_VALUE"""),"SUNGAI JAWI LUAR")</f>
        <v>SUNGAI JAWI LUAR</v>
      </c>
      <c r="O3430" s="35" t="str">
        <f>IFERROR(__xludf.DUMMYFUNCTION("""COMPUTED_VALUE"""),"PONTIANAK BARAT")</f>
        <v>PONTIANAK BARAT</v>
      </c>
      <c r="P3430" s="35" t="str">
        <f>IFERROR(__xludf.DUMMYFUNCTION("""COMPUTED_VALUE"""),"PONTIANAK")</f>
        <v>PONTIANAK</v>
      </c>
      <c r="Q3430" s="35" t="str">
        <f>IFERROR(__xludf.DUMMYFUNCTION("""COMPUTED_VALUE"""),"KALIMANTAN BARAT")</f>
        <v>KALIMANTAN BARAT</v>
      </c>
      <c r="R3430" s="35" t="str">
        <f>IFERROR(__xludf.DUMMYFUNCTION("""COMPUTED_VALUE"""),"PROTESTAN")</f>
        <v>PROTESTAN</v>
      </c>
      <c r="S3430" s="74" t="str">
        <f>IFERROR(__xludf.DUMMYFUNCTION("""COMPUTED_VALUE"""),"IBU RUMAH TANGGA")</f>
        <v>IBU RUMAH TANGGA</v>
      </c>
      <c r="T3430" s="35" t="str">
        <f>IFERROR(__xludf.DUMMYFUNCTION("""COMPUTED_VALUE"""),"PINGGANG")</f>
        <v>PINGGANG</v>
      </c>
      <c r="U3430" s="35" t="str">
        <f>IFERROR(__xludf.DUMMYFUNCTION("""COMPUTED_VALUE"""),"-")</f>
        <v>-</v>
      </c>
      <c r="V3430" s="35" t="str">
        <f>IFERROR(__xludf.DUMMYFUNCTION("""COMPUTED_VALUE"""),"085332380415")</f>
        <v>085332380415</v>
      </c>
      <c r="W3430" s="45"/>
    </row>
    <row r="3431">
      <c r="A3431" s="45"/>
      <c r="B3431" s="35" t="str">
        <f>IFERROR(__xludf.DUMMYFUNCTION("""COMPUTED_VALUE"""),"07/02/2026 16:31:32")</f>
        <v>07/02/2026 16:31:32</v>
      </c>
      <c r="C3431" s="35"/>
      <c r="D3431" s="10">
        <f>IFERROR(__xludf.DUMMYFUNCTION("""COMPUTED_VALUE"""),46060.0)</f>
        <v>46060</v>
      </c>
      <c r="E3431" s="35" t="str">
        <f>IFERROR(__xludf.DUMMYFUNCTION("""COMPUTED_VALUE"""),"02Feb")</f>
        <v>02Feb</v>
      </c>
      <c r="F3431" s="35" t="str">
        <f>IFERROR(__xludf.DUMMYFUNCTION("""COMPUTED_VALUE"""),"2026")</f>
        <v>2026</v>
      </c>
      <c r="G3431" s="35" t="str">
        <f>IFERROR(__xludf.DUMMYFUNCTION("""COMPUTED_VALUE"""),"RIA DWI ANJANI")</f>
        <v>RIA DWI ANJANI</v>
      </c>
      <c r="H3431" s="35" t="str">
        <f>IFERROR(__xludf.DUMMYFUNCTION("""COMPUTED_VALUE"""),"R0326025528")</f>
        <v>R0326025528</v>
      </c>
      <c r="I3431" s="35">
        <f>IFERROR(__xludf.DUMMYFUNCTION("""COMPUTED_VALUE"""),23.0)</f>
        <v>23</v>
      </c>
      <c r="J3431" s="35" t="str">
        <f>IFERROR(__xludf.DUMMYFUNCTION("""COMPUTED_VALUE"""),"18-24 tahun")</f>
        <v>18-24 tahun</v>
      </c>
      <c r="K3431" s="35" t="str">
        <f>IFERROR(__xludf.DUMMYFUNCTION("""COMPUTED_VALUE"""),"27/01/2003")</f>
        <v>27/01/2003</v>
      </c>
      <c r="L3431" s="35" t="str">
        <f>IFERROR(__xludf.DUMMYFUNCTION("""COMPUTED_VALUE"""),"PEREMPUAN")</f>
        <v>PEREMPUAN</v>
      </c>
      <c r="M3431" s="35" t="str">
        <f>IFERROR(__xludf.DUMMYFUNCTION("""COMPUTED_VALUE"""),"JL. SAMBAS BARAT V/218 PERUM IV")</f>
        <v>JL. SAMBAS BARAT V/218 PERUM IV</v>
      </c>
      <c r="N3431" s="35" t="str">
        <f>IFERROR(__xludf.DUMMYFUNCTION("""COMPUTED_VALUE"""),"SAIGON")</f>
        <v>SAIGON</v>
      </c>
      <c r="O3431" s="35" t="str">
        <f>IFERROR(__xludf.DUMMYFUNCTION("""COMPUTED_VALUE"""),"PONTIANAK TIMUR")</f>
        <v>PONTIANAK TIMUR</v>
      </c>
      <c r="P3431" s="35" t="str">
        <f>IFERROR(__xludf.DUMMYFUNCTION("""COMPUTED_VALUE"""),"PONTIANAK")</f>
        <v>PONTIANAK</v>
      </c>
      <c r="Q3431" s="35" t="str">
        <f>IFERROR(__xludf.DUMMYFUNCTION("""COMPUTED_VALUE"""),"KALIMANTAN BARAT")</f>
        <v>KALIMANTAN BARAT</v>
      </c>
      <c r="R3431" s="35" t="str">
        <f>IFERROR(__xludf.DUMMYFUNCTION("""COMPUTED_VALUE"""),"ISLAM")</f>
        <v>ISLAM</v>
      </c>
      <c r="S3431" s="74" t="str">
        <f>IFERROR(__xludf.DUMMYFUNCTION("""COMPUTED_VALUE"""),"SWASTA")</f>
        <v>SWASTA</v>
      </c>
      <c r="T3431" s="35" t="str">
        <f>IFERROR(__xludf.DUMMYFUNCTION("""COMPUTED_VALUE"""),"HABIS JATUH DARI MOTOR, MAU CEK KAKI KIRI MASIH NGILU")</f>
        <v>HABIS JATUH DARI MOTOR, MAU CEK KAKI KIRI MASIH NGILU</v>
      </c>
      <c r="U3431" s="35" t="str">
        <f>IFERROR(__xludf.DUMMYFUNCTION("""COMPUTED_VALUE"""),"TIDAK ADA")</f>
        <v>TIDAK ADA</v>
      </c>
      <c r="V3431" s="35" t="str">
        <f>IFERROR(__xludf.DUMMYFUNCTION("""COMPUTED_VALUE"""),"083144175528")</f>
        <v>083144175528</v>
      </c>
      <c r="W3431" s="45"/>
    </row>
    <row r="3432">
      <c r="A3432" s="45"/>
      <c r="B3432" s="35" t="str">
        <f>IFERROR(__xludf.DUMMYFUNCTION("""COMPUTED_VALUE"""),"07/02/2026 19:24:55")</f>
        <v>07/02/2026 19:24:55</v>
      </c>
      <c r="C3432" s="35"/>
      <c r="D3432" s="10">
        <f>IFERROR(__xludf.DUMMYFUNCTION("""COMPUTED_VALUE"""),46060.0)</f>
        <v>46060</v>
      </c>
      <c r="E3432" s="35" t="str">
        <f>IFERROR(__xludf.DUMMYFUNCTION("""COMPUTED_VALUE"""),"02Feb")</f>
        <v>02Feb</v>
      </c>
      <c r="F3432" s="35" t="str">
        <f>IFERROR(__xludf.DUMMYFUNCTION("""COMPUTED_VALUE"""),"2026")</f>
        <v>2026</v>
      </c>
      <c r="G3432" s="35" t="str">
        <f>IFERROR(__xludf.DUMMYFUNCTION("""COMPUTED_VALUE"""),"ADZAN AMMAR WANDI")</f>
        <v>ADZAN AMMAR WANDI</v>
      </c>
      <c r="H3432" s="35" t="str">
        <f>IFERROR(__xludf.DUMMYFUNCTION("""COMPUTED_VALUE"""),"A9626027764")</f>
        <v>A9626027764</v>
      </c>
      <c r="I3432" s="35">
        <f>IFERROR(__xludf.DUMMYFUNCTION("""COMPUTED_VALUE"""),29.0)</f>
        <v>29</v>
      </c>
      <c r="J3432" s="35" t="str">
        <f>IFERROR(__xludf.DUMMYFUNCTION("""COMPUTED_VALUE"""),"25-34 tahun")</f>
        <v>25-34 tahun</v>
      </c>
      <c r="K3432" s="35" t="str">
        <f>IFERROR(__xludf.DUMMYFUNCTION("""COMPUTED_VALUE"""),"07/07/1996")</f>
        <v>07/07/1996</v>
      </c>
      <c r="L3432" s="35" t="str">
        <f>IFERROR(__xludf.DUMMYFUNCTION("""COMPUTED_VALUE"""),"LAKI-LAKI")</f>
        <v>LAKI-LAKI</v>
      </c>
      <c r="M3432" s="35" t="str">
        <f>IFERROR(__xludf.DUMMYFUNCTION("""COMPUTED_VALUE"""),"JL. KELING KUMANG GG. ASPOL NO. 24")</f>
        <v>JL. KELING KUMANG GG. ASPOL NO. 24</v>
      </c>
      <c r="N3432" s="35" t="str">
        <f>IFERROR(__xludf.DUMMYFUNCTION("""COMPUTED_VALUE"""),"DESA MUNGGUK")</f>
        <v>DESA MUNGGUK</v>
      </c>
      <c r="O3432" s="35" t="str">
        <f>IFERROR(__xludf.DUMMYFUNCTION("""COMPUTED_VALUE"""),"SEKADAU HILIR")</f>
        <v>SEKADAU HILIR</v>
      </c>
      <c r="P3432" s="35" t="str">
        <f>IFERROR(__xludf.DUMMYFUNCTION("""COMPUTED_VALUE"""),"SEKADAU")</f>
        <v>SEKADAU</v>
      </c>
      <c r="Q3432" s="35" t="str">
        <f>IFERROR(__xludf.DUMMYFUNCTION("""COMPUTED_VALUE"""),"KALIMANTAN BARAT")</f>
        <v>KALIMANTAN BARAT</v>
      </c>
      <c r="R3432" s="35" t="str">
        <f>IFERROR(__xludf.DUMMYFUNCTION("""COMPUTED_VALUE"""),"ISLAM")</f>
        <v>ISLAM</v>
      </c>
      <c r="S3432" s="74" t="str">
        <f>IFERROR(__xludf.DUMMYFUNCTION("""COMPUTED_VALUE"""),"POLRI")</f>
        <v>POLRI</v>
      </c>
      <c r="T3432" s="35" t="str">
        <f>IFERROR(__xludf.DUMMYFUNCTION("""COMPUTED_VALUE"""),"CIDERA ANKEL")</f>
        <v>CIDERA ANKEL</v>
      </c>
      <c r="U3432" s="35" t="str">
        <f>IFERROR(__xludf.DUMMYFUNCTION("""COMPUTED_VALUE"""),"SEPAK BOLA")</f>
        <v>SEPAK BOLA</v>
      </c>
      <c r="V3432" s="35" t="str">
        <f>IFERROR(__xludf.DUMMYFUNCTION("""COMPUTED_VALUE"""),"082114767764")</f>
        <v>082114767764</v>
      </c>
      <c r="W3432" s="45"/>
    </row>
    <row r="3433">
      <c r="A3433" s="45"/>
      <c r="B3433" s="35" t="str">
        <f>IFERROR(__xludf.DUMMYFUNCTION("""COMPUTED_VALUE"""),"07/02/2026 19:38:30")</f>
        <v>07/02/2026 19:38:30</v>
      </c>
      <c r="C3433" s="35"/>
      <c r="D3433" s="10">
        <f>IFERROR(__xludf.DUMMYFUNCTION("""COMPUTED_VALUE"""),46060.0)</f>
        <v>46060</v>
      </c>
      <c r="E3433" s="35" t="str">
        <f>IFERROR(__xludf.DUMMYFUNCTION("""COMPUTED_VALUE"""),"02Feb")</f>
        <v>02Feb</v>
      </c>
      <c r="F3433" s="35" t="str">
        <f>IFERROR(__xludf.DUMMYFUNCTION("""COMPUTED_VALUE"""),"2026")</f>
        <v>2026</v>
      </c>
      <c r="G3433" s="35" t="str">
        <f>IFERROR(__xludf.DUMMYFUNCTION("""COMPUTED_VALUE"""),"ASRIANI")</f>
        <v>ASRIANI</v>
      </c>
      <c r="H3433" s="35" t="str">
        <f>IFERROR(__xludf.DUMMYFUNCTION("""COMPUTED_VALUE"""),"A7126027657")</f>
        <v>A7126027657</v>
      </c>
      <c r="I3433" s="35">
        <f>IFERROR(__xludf.DUMMYFUNCTION("""COMPUTED_VALUE"""),55.0)</f>
        <v>55</v>
      </c>
      <c r="J3433" s="35" t="str">
        <f>IFERROR(__xludf.DUMMYFUNCTION("""COMPUTED_VALUE"""),"&gt; 44 tahun")</f>
        <v>&gt; 44 tahun</v>
      </c>
      <c r="K3433" s="35" t="str">
        <f>IFERROR(__xludf.DUMMYFUNCTION("""COMPUTED_VALUE"""),"06/06/1971")</f>
        <v>06/06/1971</v>
      </c>
      <c r="L3433" s="35" t="str">
        <f>IFERROR(__xludf.DUMMYFUNCTION("""COMPUTED_VALUE"""),"PEREMPUAN")</f>
        <v>PEREMPUAN</v>
      </c>
      <c r="M3433" s="35" t="str">
        <f>IFERROR(__xludf.DUMMYFUNCTION("""COMPUTED_VALUE"""),"JL H RAIS A RAHMAN GG MERGODADI REJO II ")</f>
        <v>JL H RAIS A RAHMAN GG MERGODADI REJO II </v>
      </c>
      <c r="N3433" s="35" t="str">
        <f>IFERROR(__xludf.DUMMYFUNCTION("""COMPUTED_VALUE"""),"SUNGAI JAWI")</f>
        <v>SUNGAI JAWI</v>
      </c>
      <c r="O3433" s="35" t="str">
        <f>IFERROR(__xludf.DUMMYFUNCTION("""COMPUTED_VALUE"""),"PONTIANAK KOTA")</f>
        <v>PONTIANAK KOTA</v>
      </c>
      <c r="P3433" s="35" t="str">
        <f>IFERROR(__xludf.DUMMYFUNCTION("""COMPUTED_VALUE"""),"PONTIANAK")</f>
        <v>PONTIANAK</v>
      </c>
      <c r="Q3433" s="35" t="str">
        <f>IFERROR(__xludf.DUMMYFUNCTION("""COMPUTED_VALUE"""),"KALIMANTAN BARAT")</f>
        <v>KALIMANTAN BARAT</v>
      </c>
      <c r="R3433" s="35" t="str">
        <f>IFERROR(__xludf.DUMMYFUNCTION("""COMPUTED_VALUE"""),"ISLAM")</f>
        <v>ISLAM</v>
      </c>
      <c r="S3433" s="74" t="str">
        <f>IFERROR(__xludf.DUMMYFUNCTION("""COMPUTED_VALUE"""),"IRT")</f>
        <v>IRT</v>
      </c>
      <c r="T3433" s="35" t="str">
        <f>IFERROR(__xludf.DUMMYFUNCTION("""COMPUTED_VALUE"""),"DI BAGUAN PAHA BAWAH TU SAKIT PAS BANGUN TIDUR SEPERTI KESETRUM.")</f>
        <v>DI BAGUAN PAHA BAWAH TU SAKIT PAS BANGUN TIDUR SEPERTI KESETRUM.</v>
      </c>
      <c r="U3433" s="35" t="str">
        <f>IFERROR(__xludf.DUMMYFUNCTION("""COMPUTED_VALUE"""),"-")</f>
        <v>-</v>
      </c>
      <c r="V3433" s="35" t="str">
        <f>IFERROR(__xludf.DUMMYFUNCTION("""COMPUTED_VALUE"""),"085386067657")</f>
        <v>085386067657</v>
      </c>
      <c r="W3433" s="45"/>
    </row>
    <row r="3434">
      <c r="A3434" s="45"/>
      <c r="B3434" s="35" t="str">
        <f>IFERROR(__xludf.DUMMYFUNCTION("""COMPUTED_VALUE"""),"07/02/2026 21:02:54")</f>
        <v>07/02/2026 21:02:54</v>
      </c>
      <c r="C3434" s="35"/>
      <c r="D3434" s="10">
        <f>IFERROR(__xludf.DUMMYFUNCTION("""COMPUTED_VALUE"""),46060.0)</f>
        <v>46060</v>
      </c>
      <c r="E3434" s="35" t="str">
        <f>IFERROR(__xludf.DUMMYFUNCTION("""COMPUTED_VALUE"""),"02Feb")</f>
        <v>02Feb</v>
      </c>
      <c r="F3434" s="35" t="str">
        <f>IFERROR(__xludf.DUMMYFUNCTION("""COMPUTED_VALUE"""),"2026")</f>
        <v>2026</v>
      </c>
      <c r="G3434" s="35" t="str">
        <f>IFERROR(__xludf.DUMMYFUNCTION("""COMPUTED_VALUE"""),"SIWA PRANATA")</f>
        <v>SIWA PRANATA</v>
      </c>
      <c r="H3434" s="35" t="str">
        <f>IFERROR(__xludf.DUMMYFUNCTION("""COMPUTED_VALUE"""),"S0126025301")</f>
        <v>S0126025301</v>
      </c>
      <c r="I3434" s="35">
        <f>IFERROR(__xludf.DUMMYFUNCTION("""COMPUTED_VALUE"""),24.0)</f>
        <v>24</v>
      </c>
      <c r="J3434" s="35" t="str">
        <f>IFERROR(__xludf.DUMMYFUNCTION("""COMPUTED_VALUE"""),"18-24 tahun")</f>
        <v>18-24 tahun</v>
      </c>
      <c r="K3434" s="35" t="str">
        <f>IFERROR(__xludf.DUMMYFUNCTION("""COMPUTED_VALUE"""),"14/07/2001")</f>
        <v>14/07/2001</v>
      </c>
      <c r="L3434" s="35" t="str">
        <f>IFERROR(__xludf.DUMMYFUNCTION("""COMPUTED_VALUE"""),"LAKI-LAKI")</f>
        <v>LAKI-LAKI</v>
      </c>
      <c r="M3434" s="35" t="str">
        <f>IFERROR(__xludf.DUMMYFUNCTION("""COMPUTED_VALUE"""),"DUSUN TANJUNG PERIUK ")</f>
        <v>DUSUN TANJUNG PERIUK </v>
      </c>
      <c r="N3434" s="35" t="str">
        <f>IFERROR(__xludf.DUMMYFUNCTION("""COMPUTED_VALUE"""),"TANJUNG MERPATI")</f>
        <v>TANJUNG MERPATI</v>
      </c>
      <c r="O3434" s="35" t="str">
        <f>IFERROR(__xludf.DUMMYFUNCTION("""COMPUTED_VALUE"""),"KEMBAYAN")</f>
        <v>KEMBAYAN</v>
      </c>
      <c r="P3434" s="35" t="str">
        <f>IFERROR(__xludf.DUMMYFUNCTION("""COMPUTED_VALUE"""),"SANGGAU")</f>
        <v>SANGGAU</v>
      </c>
      <c r="Q3434" s="35" t="str">
        <f>IFERROR(__xludf.DUMMYFUNCTION("""COMPUTED_VALUE"""),"KALIMANTAN BARAT")</f>
        <v>KALIMANTAN BARAT</v>
      </c>
      <c r="R3434" s="35" t="str">
        <f>IFERROR(__xludf.DUMMYFUNCTION("""COMPUTED_VALUE"""),"ISLAM")</f>
        <v>ISLAM</v>
      </c>
      <c r="S3434" s="74" t="str">
        <f>IFERROR(__xludf.DUMMYFUNCTION("""COMPUTED_VALUE"""),"MAHASISWA")</f>
        <v>MAHASISWA</v>
      </c>
      <c r="T3434" s="35" t="str">
        <f>IFERROR(__xludf.DUMMYFUNCTION("""COMPUTED_VALUE"""),"LUTUT")</f>
        <v>LUTUT</v>
      </c>
      <c r="U3434" s="35" t="str">
        <f>IFERROR(__xludf.DUMMYFUNCTION("""COMPUTED_VALUE"""),"-")</f>
        <v>-</v>
      </c>
      <c r="V3434" s="35" t="str">
        <f>IFERROR(__xludf.DUMMYFUNCTION("""COMPUTED_VALUE"""),"085251945301")</f>
        <v>085251945301</v>
      </c>
      <c r="W3434" s="45"/>
    </row>
    <row r="3435">
      <c r="A3435" s="45"/>
      <c r="B3435" s="35" t="str">
        <f>IFERROR(__xludf.DUMMYFUNCTION("""COMPUTED_VALUE"""),"08/02/2026 9:07:15")</f>
        <v>08/02/2026 9:07:15</v>
      </c>
      <c r="C3435" s="35"/>
      <c r="D3435" s="10">
        <f>IFERROR(__xludf.DUMMYFUNCTION("""COMPUTED_VALUE"""),46061.0)</f>
        <v>46061</v>
      </c>
      <c r="E3435" s="35" t="str">
        <f>IFERROR(__xludf.DUMMYFUNCTION("""COMPUTED_VALUE"""),"02Feb")</f>
        <v>02Feb</v>
      </c>
      <c r="F3435" s="35" t="str">
        <f>IFERROR(__xludf.DUMMYFUNCTION("""COMPUTED_VALUE"""),"2026")</f>
        <v>2026</v>
      </c>
      <c r="G3435" s="35" t="str">
        <f>IFERROR(__xludf.DUMMYFUNCTION("""COMPUTED_VALUE"""),"YANUARTI ")</f>
        <v>YANUARTI </v>
      </c>
      <c r="H3435" s="35" t="str">
        <f>IFERROR(__xludf.DUMMYFUNCTION("""COMPUTED_VALUE"""),"Y6226026451")</f>
        <v>Y6226026451</v>
      </c>
      <c r="I3435" s="35">
        <f>IFERROR(__xludf.DUMMYFUNCTION("""COMPUTED_VALUE"""),64.0)</f>
        <v>64</v>
      </c>
      <c r="J3435" s="35" t="str">
        <f>IFERROR(__xludf.DUMMYFUNCTION("""COMPUTED_VALUE"""),"&gt; 44 tahun")</f>
        <v>&gt; 44 tahun</v>
      </c>
      <c r="K3435" s="35" t="str">
        <f>IFERROR(__xludf.DUMMYFUNCTION("""COMPUTED_VALUE"""),"20/01/1962")</f>
        <v>20/01/1962</v>
      </c>
      <c r="L3435" s="35" t="str">
        <f>IFERROR(__xludf.DUMMYFUNCTION("""COMPUTED_VALUE"""),"PEREMPUAN")</f>
        <v>PEREMPUAN</v>
      </c>
      <c r="M3435" s="35" t="str">
        <f>IFERROR(__xludf.DUMMYFUNCTION("""COMPUTED_VALUE"""),"JALAN PURNAMA GG PURNAMA PATRA NO 09")</f>
        <v>JALAN PURNAMA GG PURNAMA PATRA NO 09</v>
      </c>
      <c r="N3435" s="35" t="str">
        <f>IFERROR(__xludf.DUMMYFUNCTION("""COMPUTED_VALUE"""),"AKCAYA")</f>
        <v>AKCAYA</v>
      </c>
      <c r="O3435" s="35" t="str">
        <f>IFERROR(__xludf.DUMMYFUNCTION("""COMPUTED_VALUE"""),"PONTIANAK SELATAN ")</f>
        <v>PONTIANAK SELATAN </v>
      </c>
      <c r="P3435" s="35" t="str">
        <f>IFERROR(__xludf.DUMMYFUNCTION("""COMPUTED_VALUE"""),"KOTA PONTIANAK ")</f>
        <v>KOTA PONTIANAK </v>
      </c>
      <c r="Q3435" s="35" t="str">
        <f>IFERROR(__xludf.DUMMYFUNCTION("""COMPUTED_VALUE"""),"KALIMANTAN BARAT")</f>
        <v>KALIMANTAN BARAT</v>
      </c>
      <c r="R3435" s="35" t="str">
        <f>IFERROR(__xludf.DUMMYFUNCTION("""COMPUTED_VALUE"""),"ISLAM")</f>
        <v>ISLAM</v>
      </c>
      <c r="S3435" s="74" t="str">
        <f>IFERROR(__xludf.DUMMYFUNCTION("""COMPUTED_VALUE"""),"PENSIUNAN ")</f>
        <v>PENSIUNAN </v>
      </c>
      <c r="T3435" s="35" t="str">
        <f>IFERROR(__xludf.DUMMYFUNCTION("""COMPUTED_VALUE"""),"LUTUT SAKIT ")</f>
        <v>LUTUT SAKIT </v>
      </c>
      <c r="U3435" s="35" t="str">
        <f>IFERROR(__xludf.DUMMYFUNCTION("""COMPUTED_VALUE"""),"SUKA JALAN JALAN ")</f>
        <v>SUKA JALAN JALAN </v>
      </c>
      <c r="V3435" s="35" t="str">
        <f>IFERROR(__xludf.DUMMYFUNCTION("""COMPUTED_VALUE"""),"0811576451")</f>
        <v>0811576451</v>
      </c>
      <c r="W3435" s="45"/>
    </row>
    <row r="3436">
      <c r="A3436" s="45"/>
      <c r="B3436" s="35" t="str">
        <f>IFERROR(__xludf.DUMMYFUNCTION("""COMPUTED_VALUE"""),"08/02/2026 10:12:06")</f>
        <v>08/02/2026 10:12:06</v>
      </c>
      <c r="C3436" s="35"/>
      <c r="D3436" s="10">
        <f>IFERROR(__xludf.DUMMYFUNCTION("""COMPUTED_VALUE"""),46061.0)</f>
        <v>46061</v>
      </c>
      <c r="E3436" s="35" t="str">
        <f>IFERROR(__xludf.DUMMYFUNCTION("""COMPUTED_VALUE"""),"02Feb")</f>
        <v>02Feb</v>
      </c>
      <c r="F3436" s="35" t="str">
        <f>IFERROR(__xludf.DUMMYFUNCTION("""COMPUTED_VALUE"""),"2026")</f>
        <v>2026</v>
      </c>
      <c r="G3436" s="35" t="str">
        <f>IFERROR(__xludf.DUMMYFUNCTION("""COMPUTED_VALUE"""),"IRA NORMA PERTIWI")</f>
        <v>IRA NORMA PERTIWI</v>
      </c>
      <c r="H3436" s="35" t="str">
        <f>IFERROR(__xludf.DUMMYFUNCTION("""COMPUTED_VALUE"""),"I9926028096")</f>
        <v>I9926028096</v>
      </c>
      <c r="I3436" s="35">
        <f>IFERROR(__xludf.DUMMYFUNCTION("""COMPUTED_VALUE"""),26.0)</f>
        <v>26</v>
      </c>
      <c r="J3436" s="35" t="str">
        <f>IFERROR(__xludf.DUMMYFUNCTION("""COMPUTED_VALUE"""),"25-34 tahun")</f>
        <v>25-34 tahun</v>
      </c>
      <c r="K3436" s="35" t="str">
        <f>IFERROR(__xludf.DUMMYFUNCTION("""COMPUTED_VALUE"""),"06/08/1999")</f>
        <v>06/08/1999</v>
      </c>
      <c r="L3436" s="35" t="str">
        <f>IFERROR(__xludf.DUMMYFUNCTION("""COMPUTED_VALUE"""),"PEREMPUAN")</f>
        <v>PEREMPUAN</v>
      </c>
      <c r="M3436" s="35" t="str">
        <f>IFERROR(__xludf.DUMMYFUNCTION("""COMPUTED_VALUE"""),"JL. RAYA DESA KAPUR DUSUN PARIT MAYOR ")</f>
        <v>JL. RAYA DESA KAPUR DUSUN PARIT MAYOR </v>
      </c>
      <c r="N3436" s="35" t="str">
        <f>IFERROR(__xludf.DUMMYFUNCTION("""COMPUTED_VALUE"""),"DESA KAPUR")</f>
        <v>DESA KAPUR</v>
      </c>
      <c r="O3436" s="35" t="str">
        <f>IFERROR(__xludf.DUMMYFUNCTION("""COMPUTED_VALUE"""),"KECAMATAN SUNGAI RAYA")</f>
        <v>KECAMATAN SUNGAI RAYA</v>
      </c>
      <c r="P3436" s="35" t="str">
        <f>IFERROR(__xludf.DUMMYFUNCTION("""COMPUTED_VALUE"""),"KAB. KUBU RAYA")</f>
        <v>KAB. KUBU RAYA</v>
      </c>
      <c r="Q3436" s="35" t="str">
        <f>IFERROR(__xludf.DUMMYFUNCTION("""COMPUTED_VALUE"""),"KALIMANTAN BARAT")</f>
        <v>KALIMANTAN BARAT</v>
      </c>
      <c r="R3436" s="35" t="str">
        <f>IFERROR(__xludf.DUMMYFUNCTION("""COMPUTED_VALUE"""),"ISLAM")</f>
        <v>ISLAM</v>
      </c>
      <c r="S3436" s="74" t="str">
        <f>IFERROR(__xludf.DUMMYFUNCTION("""COMPUTED_VALUE"""),"TERAPIS DI GRIYA ANAK")</f>
        <v>TERAPIS DI GRIYA ANAK</v>
      </c>
      <c r="T3436" s="35" t="str">
        <f>IFERROR(__xludf.DUMMYFUNCTION("""COMPUTED_VALUE"""),"SAAT JONGKOK SAKIT DI LUTUT SEBELAH KIRI AKIBAT JATUH TERPELESET ")</f>
        <v>SAAT JONGKOK SAKIT DI LUTUT SEBELAH KIRI AKIBAT JATUH TERPELESET </v>
      </c>
      <c r="U3436" s="35" t="str">
        <f>IFERROR(__xludf.DUMMYFUNCTION("""COMPUTED_VALUE"""),"OLAHRAGA LARI DAN AKTIVITAS KERJA ")</f>
        <v>OLAHRAGA LARI DAN AKTIVITAS KERJA </v>
      </c>
      <c r="V3436" s="35" t="str">
        <f>IFERROR(__xludf.DUMMYFUNCTION("""COMPUTED_VALUE"""),"083159368096")</f>
        <v>083159368096</v>
      </c>
      <c r="W3436" s="45"/>
    </row>
    <row r="3437">
      <c r="A3437" s="45"/>
      <c r="B3437" s="35" t="str">
        <f>IFERROR(__xludf.DUMMYFUNCTION("""COMPUTED_VALUE"""),"08/02/2026 12:41:19")</f>
        <v>08/02/2026 12:41:19</v>
      </c>
      <c r="C3437" s="35"/>
      <c r="D3437" s="10">
        <f>IFERROR(__xludf.DUMMYFUNCTION("""COMPUTED_VALUE"""),46061.0)</f>
        <v>46061</v>
      </c>
      <c r="E3437" s="35" t="str">
        <f>IFERROR(__xludf.DUMMYFUNCTION("""COMPUTED_VALUE"""),"02Feb")</f>
        <v>02Feb</v>
      </c>
      <c r="F3437" s="35" t="str">
        <f>IFERROR(__xludf.DUMMYFUNCTION("""COMPUTED_VALUE"""),"2026")</f>
        <v>2026</v>
      </c>
      <c r="G3437" s="35" t="str">
        <f>IFERROR(__xludf.DUMMYFUNCTION("""COMPUTED_VALUE"""),"AHMAD NAUFAL WIRDIYAN")</f>
        <v>AHMAD NAUFAL WIRDIYAN</v>
      </c>
      <c r="H3437" s="35" t="str">
        <f>IFERROR(__xludf.DUMMYFUNCTION("""COMPUTED_VALUE"""),"A0226022275")</f>
        <v>A0226022275</v>
      </c>
      <c r="I3437" s="35">
        <f>IFERROR(__xludf.DUMMYFUNCTION("""COMPUTED_VALUE"""),23.0)</f>
        <v>23</v>
      </c>
      <c r="J3437" s="35" t="str">
        <f>IFERROR(__xludf.DUMMYFUNCTION("""COMPUTED_VALUE"""),"18-24 tahun")</f>
        <v>18-24 tahun</v>
      </c>
      <c r="K3437" s="35" t="str">
        <f>IFERROR(__xludf.DUMMYFUNCTION("""COMPUTED_VALUE"""),"15/09/2002")</f>
        <v>15/09/2002</v>
      </c>
      <c r="L3437" s="35" t="str">
        <f>IFERROR(__xludf.DUMMYFUNCTION("""COMPUTED_VALUE"""),"LAKI-LAKI")</f>
        <v>LAKI-LAKI</v>
      </c>
      <c r="M3437" s="35" t="str">
        <f>IFERROR(__xludf.DUMMYFUNCTION("""COMPUTED_VALUE"""),"JL. A. RAHMAN SALEH NO.64")</f>
        <v>JL. A. RAHMAN SALEH NO.64</v>
      </c>
      <c r="N3437" s="35" t="str">
        <f>IFERROR(__xludf.DUMMYFUNCTION("""COMPUTED_VALUE"""),"BANGKA BELITUNG LAUT")</f>
        <v>BANGKA BELITUNG LAUT</v>
      </c>
      <c r="O3437" s="35" t="str">
        <f>IFERROR(__xludf.DUMMYFUNCTION("""COMPUTED_VALUE"""),"PONTIANAK TENGGARA")</f>
        <v>PONTIANAK TENGGARA</v>
      </c>
      <c r="P3437" s="35" t="str">
        <f>IFERROR(__xludf.DUMMYFUNCTION("""COMPUTED_VALUE"""),"KOTA PONTIANAK ")</f>
        <v>KOTA PONTIANAK </v>
      </c>
      <c r="Q3437" s="35" t="str">
        <f>IFERROR(__xludf.DUMMYFUNCTION("""COMPUTED_VALUE"""),"KALIMANTAN BARAT")</f>
        <v>KALIMANTAN BARAT</v>
      </c>
      <c r="R3437" s="35" t="str">
        <f>IFERROR(__xludf.DUMMYFUNCTION("""COMPUTED_VALUE"""),"ISLAM")</f>
        <v>ISLAM</v>
      </c>
      <c r="S3437" s="74" t="str">
        <f>IFERROR(__xludf.DUMMYFUNCTION("""COMPUTED_VALUE"""),"-")</f>
        <v>-</v>
      </c>
      <c r="T3437" s="35" t="str">
        <f>IFERROR(__xludf.DUMMYFUNCTION("""COMPUTED_VALUE"""),"LEMAH PADA KEDUA KAKI  ")</f>
        <v>LEMAH PADA KEDUA KAKI  </v>
      </c>
      <c r="U3437" s="35" t="str">
        <f>IFERROR(__xludf.DUMMYFUNCTION("""COMPUTED_VALUE"""),"TDK ADA, LEMAH NYA KARENA AUTOIMUN ")</f>
        <v>TDK ADA, LEMAH NYA KARENA AUTOIMUN </v>
      </c>
      <c r="V3437" s="35" t="str">
        <f>IFERROR(__xludf.DUMMYFUNCTION("""COMPUTED_VALUE"""),"08115702275")</f>
        <v>08115702275</v>
      </c>
      <c r="W3437" s="45"/>
    </row>
    <row r="3438">
      <c r="A3438" s="45"/>
      <c r="B3438" s="35" t="str">
        <f>IFERROR(__xludf.DUMMYFUNCTION("""COMPUTED_VALUE"""),"08/02/2026 16:55:16")</f>
        <v>08/02/2026 16:55:16</v>
      </c>
      <c r="C3438" s="35"/>
      <c r="D3438" s="10">
        <f>IFERROR(__xludf.DUMMYFUNCTION("""COMPUTED_VALUE"""),46061.0)</f>
        <v>46061</v>
      </c>
      <c r="E3438" s="35" t="str">
        <f>IFERROR(__xludf.DUMMYFUNCTION("""COMPUTED_VALUE"""),"02Feb")</f>
        <v>02Feb</v>
      </c>
      <c r="F3438" s="35" t="str">
        <f>IFERROR(__xludf.DUMMYFUNCTION("""COMPUTED_VALUE"""),"2026")</f>
        <v>2026</v>
      </c>
      <c r="G3438" s="35" t="str">
        <f>IFERROR(__xludf.DUMMYFUNCTION("""COMPUTED_VALUE"""),"JONO")</f>
        <v>JONO</v>
      </c>
      <c r="H3438" s="35" t="str">
        <f>IFERROR(__xludf.DUMMYFUNCTION("""COMPUTED_VALUE"""),"J8426026422")</f>
        <v>J8426026422</v>
      </c>
      <c r="I3438" s="35">
        <f>IFERROR(__xludf.DUMMYFUNCTION("""COMPUTED_VALUE"""),41.0)</f>
        <v>41</v>
      </c>
      <c r="J3438" s="35" t="str">
        <f>IFERROR(__xludf.DUMMYFUNCTION("""COMPUTED_VALUE"""),"35-44 tahun")</f>
        <v>35-44 tahun</v>
      </c>
      <c r="K3438" s="35" t="str">
        <f>IFERROR(__xludf.DUMMYFUNCTION("""COMPUTED_VALUE"""),"18/12/1984")</f>
        <v>18/12/1984</v>
      </c>
      <c r="L3438" s="35" t="str">
        <f>IFERROR(__xludf.DUMMYFUNCTION("""COMPUTED_VALUE"""),"LAKI-LAKI")</f>
        <v>LAKI-LAKI</v>
      </c>
      <c r="M3438" s="35" t="str">
        <f>IFERROR(__xludf.DUMMYFUNCTION("""COMPUTED_VALUE"""),"JL. SUI RAYA DALAM KOMP VILLA MITIARA MAS 4 NO. E1")</f>
        <v>JL. SUI RAYA DALAM KOMP VILLA MITIARA MAS 4 NO. E1</v>
      </c>
      <c r="N3438" s="35" t="str">
        <f>IFERROR(__xludf.DUMMYFUNCTION("""COMPUTED_VALUE"""),"BANGKA BELITUNG DARAT")</f>
        <v>BANGKA BELITUNG DARAT</v>
      </c>
      <c r="O3438" s="35" t="str">
        <f>IFERROR(__xludf.DUMMYFUNCTION("""COMPUTED_VALUE"""),"PONTIANAK TENGGARA")</f>
        <v>PONTIANAK TENGGARA</v>
      </c>
      <c r="P3438" s="35" t="str">
        <f>IFERROR(__xludf.DUMMYFUNCTION("""COMPUTED_VALUE"""),"PONTIANAK")</f>
        <v>PONTIANAK</v>
      </c>
      <c r="Q3438" s="35" t="str">
        <f>IFERROR(__xludf.DUMMYFUNCTION("""COMPUTED_VALUE"""),"KALIMANTAN BARAT")</f>
        <v>KALIMANTAN BARAT</v>
      </c>
      <c r="R3438" s="35" t="str">
        <f>IFERROR(__xludf.DUMMYFUNCTION("""COMPUTED_VALUE"""),"BUDDHA")</f>
        <v>BUDDHA</v>
      </c>
      <c r="S3438" s="74" t="str">
        <f>IFERROR(__xludf.DUMMYFUNCTION("""COMPUTED_VALUE"""),"SWASTA")</f>
        <v>SWASTA</v>
      </c>
      <c r="T3438" s="35" t="str">
        <f>IFERROR(__xludf.DUMMYFUNCTION("""COMPUTED_VALUE"""),"CIDERA BAHU AKIBAT BADMINTON DAN PUNGGUNG TERASA SEDIKIT NYERI")</f>
        <v>CIDERA BAHU AKIBAT BADMINTON DAN PUNGGUNG TERASA SEDIKIT NYERI</v>
      </c>
      <c r="U3438" s="35" t="str">
        <f>IFERROR(__xludf.DUMMYFUNCTION("""COMPUTED_VALUE"""),"BADMINTON")</f>
        <v>BADMINTON</v>
      </c>
      <c r="V3438" s="35" t="str">
        <f>IFERROR(__xludf.DUMMYFUNCTION("""COMPUTED_VALUE"""),"08129966422")</f>
        <v>08129966422</v>
      </c>
      <c r="W3438" s="45"/>
    </row>
    <row r="3439">
      <c r="A3439" s="45"/>
      <c r="B3439" s="35" t="str">
        <f>IFERROR(__xludf.DUMMYFUNCTION("""COMPUTED_VALUE"""),"08/02/2026 17:43:52")</f>
        <v>08/02/2026 17:43:52</v>
      </c>
      <c r="C3439" s="35"/>
      <c r="D3439" s="10">
        <f>IFERROR(__xludf.DUMMYFUNCTION("""COMPUTED_VALUE"""),46061.0)</f>
        <v>46061</v>
      </c>
      <c r="E3439" s="35" t="str">
        <f>IFERROR(__xludf.DUMMYFUNCTION("""COMPUTED_VALUE"""),"02Feb")</f>
        <v>02Feb</v>
      </c>
      <c r="F3439" s="35" t="str">
        <f>IFERROR(__xludf.DUMMYFUNCTION("""COMPUTED_VALUE"""),"2026")</f>
        <v>2026</v>
      </c>
      <c r="G3439" s="35" t="str">
        <f>IFERROR(__xludf.DUMMYFUNCTION("""COMPUTED_VALUE"""),"YOLA PRAVIKA")</f>
        <v>YOLA PRAVIKA</v>
      </c>
      <c r="H3439" s="35" t="str">
        <f>IFERROR(__xludf.DUMMYFUNCTION("""COMPUTED_VALUE"""),"Y8726022236")</f>
        <v>Y8726022236</v>
      </c>
      <c r="I3439" s="35">
        <f>IFERROR(__xludf.DUMMYFUNCTION("""COMPUTED_VALUE"""),39.0)</f>
        <v>39</v>
      </c>
      <c r="J3439" s="35" t="str">
        <f>IFERROR(__xludf.DUMMYFUNCTION("""COMPUTED_VALUE"""),"35-44 tahun")</f>
        <v>35-44 tahun</v>
      </c>
      <c r="K3439" s="35" t="str">
        <f>IFERROR(__xludf.DUMMYFUNCTION("""COMPUTED_VALUE"""),"12/03/1987")</f>
        <v>12/03/1987</v>
      </c>
      <c r="L3439" s="35" t="str">
        <f>IFERROR(__xludf.DUMMYFUNCTION("""COMPUTED_VALUE"""),"PEREMPUAN")</f>
        <v>PEREMPUAN</v>
      </c>
      <c r="M3439" s="35" t="str">
        <f>IFERROR(__xludf.DUMMYFUNCTION("""COMPUTED_VALUE"""),"JLN. TABRANI AHMAD KOMP. MANDAU PERMAI NO. B-16")</f>
        <v>JLN. TABRANI AHMAD KOMP. MANDAU PERMAI NO. B-16</v>
      </c>
      <c r="N3439" s="35" t="str">
        <f>IFERROR(__xludf.DUMMYFUNCTION("""COMPUTED_VALUE"""),"SUNGAI JAWI DALAM")</f>
        <v>SUNGAI JAWI DALAM</v>
      </c>
      <c r="O3439" s="35" t="str">
        <f>IFERROR(__xludf.DUMMYFUNCTION("""COMPUTED_VALUE"""),"PONTIANAK BARAT")</f>
        <v>PONTIANAK BARAT</v>
      </c>
      <c r="P3439" s="35" t="str">
        <f>IFERROR(__xludf.DUMMYFUNCTION("""COMPUTED_VALUE"""),"KOTA PONTIANAK")</f>
        <v>KOTA PONTIANAK</v>
      </c>
      <c r="Q3439" s="35" t="str">
        <f>IFERROR(__xludf.DUMMYFUNCTION("""COMPUTED_VALUE"""),"KALIMANTAN BARAT")</f>
        <v>KALIMANTAN BARAT</v>
      </c>
      <c r="R3439" s="35" t="str">
        <f>IFERROR(__xludf.DUMMYFUNCTION("""COMPUTED_VALUE"""),"ISLAM")</f>
        <v>ISLAM</v>
      </c>
      <c r="S3439" s="74" t="str">
        <f>IFERROR(__xludf.DUMMYFUNCTION("""COMPUTED_VALUE"""),"WIRASWASTA ")</f>
        <v>WIRASWASTA </v>
      </c>
      <c r="T3439" s="35" t="str">
        <f>IFERROR(__xludf.DUMMYFUNCTION("""COMPUTED_VALUE"""),"TENNIS ELBOW")</f>
        <v>TENNIS ELBOW</v>
      </c>
      <c r="U3439" s="35" t="str">
        <f>IFERROR(__xludf.DUMMYFUNCTION("""COMPUTED_VALUE"""),"MAIN TENNIS &amp; PICKLEBALL")</f>
        <v>MAIN TENNIS &amp; PICKLEBALL</v>
      </c>
      <c r="V3439" s="35" t="str">
        <f>IFERROR(__xludf.DUMMYFUNCTION("""COMPUTED_VALUE"""),"08977432236")</f>
        <v>08977432236</v>
      </c>
      <c r="W3439" s="45"/>
    </row>
    <row r="3440">
      <c r="A3440" s="45"/>
      <c r="B3440" s="35" t="str">
        <f>IFERROR(__xludf.DUMMYFUNCTION("""COMPUTED_VALUE"""),"08/02/2026 20:10:47")</f>
        <v>08/02/2026 20:10:47</v>
      </c>
      <c r="C3440" s="35"/>
      <c r="D3440" s="10">
        <f>IFERROR(__xludf.DUMMYFUNCTION("""COMPUTED_VALUE"""),46061.0)</f>
        <v>46061</v>
      </c>
      <c r="E3440" s="35" t="str">
        <f>IFERROR(__xludf.DUMMYFUNCTION("""COMPUTED_VALUE"""),"02Feb")</f>
        <v>02Feb</v>
      </c>
      <c r="F3440" s="35" t="str">
        <f>IFERROR(__xludf.DUMMYFUNCTION("""COMPUTED_VALUE"""),"2026")</f>
        <v>2026</v>
      </c>
      <c r="G3440" s="35" t="str">
        <f>IFERROR(__xludf.DUMMYFUNCTION("""COMPUTED_VALUE"""),"VIVIANI")</f>
        <v>VIVIANI</v>
      </c>
      <c r="H3440" s="35" t="str">
        <f>IFERROR(__xludf.DUMMYFUNCTION("""COMPUTED_VALUE"""),"V9626028800")</f>
        <v>V9626028800</v>
      </c>
      <c r="I3440" s="35">
        <f>IFERROR(__xludf.DUMMYFUNCTION("""COMPUTED_VALUE"""),29.0)</f>
        <v>29</v>
      </c>
      <c r="J3440" s="35" t="str">
        <f>IFERROR(__xludf.DUMMYFUNCTION("""COMPUTED_VALUE"""),"25-34 tahun")</f>
        <v>25-34 tahun</v>
      </c>
      <c r="K3440" s="35" t="str">
        <f>IFERROR(__xludf.DUMMYFUNCTION("""COMPUTED_VALUE"""),"06/10/1996")</f>
        <v>06/10/1996</v>
      </c>
      <c r="L3440" s="35" t="str">
        <f>IFERROR(__xludf.DUMMYFUNCTION("""COMPUTED_VALUE"""),"PEREMPUAN")</f>
        <v>PEREMPUAN</v>
      </c>
      <c r="M3440" s="35" t="str">
        <f>IFERROR(__xludf.DUMMYFUNCTION("""COMPUTED_VALUE"""),"JL. SUNGAI RAYA DALAM GG DANGO")</f>
        <v>JL. SUNGAI RAYA DALAM GG DANGO</v>
      </c>
      <c r="N3440" s="35" t="str">
        <f>IFERROR(__xludf.DUMMYFUNCTION("""COMPUTED_VALUE"""),"BANGKA BELITUNG DARAT")</f>
        <v>BANGKA BELITUNG DARAT</v>
      </c>
      <c r="O3440" s="35" t="str">
        <f>IFERROR(__xludf.DUMMYFUNCTION("""COMPUTED_VALUE"""),"PONTIANAK TENGGARA")</f>
        <v>PONTIANAK TENGGARA</v>
      </c>
      <c r="P3440" s="35" t="str">
        <f>IFERROR(__xludf.DUMMYFUNCTION("""COMPUTED_VALUE"""),"PONTIANAK")</f>
        <v>PONTIANAK</v>
      </c>
      <c r="Q3440" s="35" t="str">
        <f>IFERROR(__xludf.DUMMYFUNCTION("""COMPUTED_VALUE"""),"KALBAR")</f>
        <v>KALBAR</v>
      </c>
      <c r="R3440" s="35" t="str">
        <f>IFERROR(__xludf.DUMMYFUNCTION("""COMPUTED_VALUE"""),"BUDDHA")</f>
        <v>BUDDHA</v>
      </c>
      <c r="S3440" s="74" t="str">
        <f>IFERROR(__xludf.DUMMYFUNCTION("""COMPUTED_VALUE"""),"IRT")</f>
        <v>IRT</v>
      </c>
      <c r="T3440" s="35" t="str">
        <f>IFERROR(__xludf.DUMMYFUNCTION("""COMPUTED_VALUE"""),"URAT DAN OTOT LEHER KAKU DAN KESELEO")</f>
        <v>URAT DAN OTOT LEHER KAKU DAN KESELEO</v>
      </c>
      <c r="U3440" s="35" t="str">
        <f>IFERROR(__xludf.DUMMYFUNCTION("""COMPUTED_VALUE"""),"MAIN PICKLE BALL KURANG PEMANASAN. KERJA DARI SIANG - MALAM PAKAI TANG")</f>
        <v>MAIN PICKLE BALL KURANG PEMANASAN. KERJA DARI SIANG - MALAM PAKAI TANG</v>
      </c>
      <c r="V3440" s="35" t="str">
        <f>IFERROR(__xludf.DUMMYFUNCTION("""COMPUTED_VALUE"""),"0819838800")</f>
        <v>0819838800</v>
      </c>
      <c r="W3440" s="45"/>
    </row>
    <row r="3441">
      <c r="A3441" s="45"/>
      <c r="B3441" s="35" t="str">
        <f>IFERROR(__xludf.DUMMYFUNCTION("""COMPUTED_VALUE"""),"08/02/2026 23:07:30")</f>
        <v>08/02/2026 23:07:30</v>
      </c>
      <c r="C3441" s="35"/>
      <c r="D3441" s="10">
        <f>IFERROR(__xludf.DUMMYFUNCTION("""COMPUTED_VALUE"""),46062.0)</f>
        <v>46062</v>
      </c>
      <c r="E3441" s="35" t="str">
        <f>IFERROR(__xludf.DUMMYFUNCTION("""COMPUTED_VALUE"""),"02Feb")</f>
        <v>02Feb</v>
      </c>
      <c r="F3441" s="35" t="str">
        <f>IFERROR(__xludf.DUMMYFUNCTION("""COMPUTED_VALUE"""),"2026")</f>
        <v>2026</v>
      </c>
      <c r="G3441" s="35" t="str">
        <f>IFERROR(__xludf.DUMMYFUNCTION("""COMPUTED_VALUE"""),"ACHMAD MAULANA")</f>
        <v>ACHMAD MAULANA</v>
      </c>
      <c r="H3441" s="35" t="str">
        <f>IFERROR(__xludf.DUMMYFUNCTION("""COMPUTED_VALUE"""),"A8526029500")</f>
        <v>A8526029500</v>
      </c>
      <c r="I3441" s="35">
        <f>IFERROR(__xludf.DUMMYFUNCTION("""COMPUTED_VALUE"""),41.0)</f>
        <v>41</v>
      </c>
      <c r="J3441" s="35" t="str">
        <f>IFERROR(__xludf.DUMMYFUNCTION("""COMPUTED_VALUE"""),"35-44 tahun")</f>
        <v>35-44 tahun</v>
      </c>
      <c r="K3441" s="35" t="str">
        <f>IFERROR(__xludf.DUMMYFUNCTION("""COMPUTED_VALUE"""),"15/01/1985")</f>
        <v>15/01/1985</v>
      </c>
      <c r="L3441" s="35" t="str">
        <f>IFERROR(__xludf.DUMMYFUNCTION("""COMPUTED_VALUE"""),"LAKI-LAKI")</f>
        <v>LAKI-LAKI</v>
      </c>
      <c r="M3441" s="35" t="str">
        <f>IFERROR(__xludf.DUMMYFUNCTION("""COMPUTED_VALUE"""),"JALAN DANAU SENTARUM ")</f>
        <v>JALAN DANAU SENTARUM </v>
      </c>
      <c r="N3441" s="35" t="str">
        <f>IFERROR(__xludf.DUMMYFUNCTION("""COMPUTED_VALUE"""),"SUNGAI BANGKONG")</f>
        <v>SUNGAI BANGKONG</v>
      </c>
      <c r="O3441" s="35" t="str">
        <f>IFERROR(__xludf.DUMMYFUNCTION("""COMPUTED_VALUE"""),"PONTIANAK KOTA")</f>
        <v>PONTIANAK KOTA</v>
      </c>
      <c r="P3441" s="35" t="str">
        <f>IFERROR(__xludf.DUMMYFUNCTION("""COMPUTED_VALUE"""),"KOTA PONTIANAK")</f>
        <v>KOTA PONTIANAK</v>
      </c>
      <c r="Q3441" s="35" t="str">
        <f>IFERROR(__xludf.DUMMYFUNCTION("""COMPUTED_VALUE"""),"KALIMANTAN BARAT")</f>
        <v>KALIMANTAN BARAT</v>
      </c>
      <c r="R3441" s="35" t="str">
        <f>IFERROR(__xludf.DUMMYFUNCTION("""COMPUTED_VALUE"""),"ISLAM")</f>
        <v>ISLAM</v>
      </c>
      <c r="S3441" s="74" t="str">
        <f>IFERROR(__xludf.DUMMYFUNCTION("""COMPUTED_VALUE"""),"PNS")</f>
        <v>PNS</v>
      </c>
      <c r="T3441" s="35" t="str">
        <f>IFERROR(__xludf.DUMMYFUNCTION("""COMPUTED_VALUE"""),"CEDERA DI SIKU TANGAN SEBELAH KANAN")</f>
        <v>CEDERA DI SIKU TANGAN SEBELAH KANAN</v>
      </c>
      <c r="U3441" s="35" t="str">
        <f>IFERROR(__xludf.DUMMYFUNCTION("""COMPUTED_VALUE"""),"TENNIS")</f>
        <v>TENNIS</v>
      </c>
      <c r="V3441" s="35" t="str">
        <f>IFERROR(__xludf.DUMMYFUNCTION("""COMPUTED_VALUE"""),"081256599500")</f>
        <v>081256599500</v>
      </c>
      <c r="W3441" s="45"/>
    </row>
    <row r="3442">
      <c r="A3442" s="45"/>
      <c r="B3442" s="35" t="str">
        <f>IFERROR(__xludf.DUMMYFUNCTION("""COMPUTED_VALUE"""),"09/02/2026 9:36:19")</f>
        <v>09/02/2026 9:36:19</v>
      </c>
      <c r="C3442" s="35"/>
      <c r="D3442" s="10">
        <f>IFERROR(__xludf.DUMMYFUNCTION("""COMPUTED_VALUE"""),46062.0)</f>
        <v>46062</v>
      </c>
      <c r="E3442" s="35" t="str">
        <f>IFERROR(__xludf.DUMMYFUNCTION("""COMPUTED_VALUE"""),"02Feb")</f>
        <v>02Feb</v>
      </c>
      <c r="F3442" s="35" t="str">
        <f>IFERROR(__xludf.DUMMYFUNCTION("""COMPUTED_VALUE"""),"2026")</f>
        <v>2026</v>
      </c>
      <c r="G3442" s="35" t="str">
        <f>IFERROR(__xludf.DUMMYFUNCTION("""COMPUTED_VALUE"""),"VINA")</f>
        <v>VINA</v>
      </c>
      <c r="H3442" s="35" t="str">
        <f>IFERROR(__xludf.DUMMYFUNCTION("""COMPUTED_VALUE"""),"V8726021762")</f>
        <v>V8726021762</v>
      </c>
      <c r="I3442" s="35">
        <f>IFERROR(__xludf.DUMMYFUNCTION("""COMPUTED_VALUE"""),39.0)</f>
        <v>39</v>
      </c>
      <c r="J3442" s="35" t="str">
        <f>IFERROR(__xludf.DUMMYFUNCTION("""COMPUTED_VALUE"""),"35-44 tahun")</f>
        <v>35-44 tahun</v>
      </c>
      <c r="K3442" s="35" t="str">
        <f>IFERROR(__xludf.DUMMYFUNCTION("""COMPUTED_VALUE"""),"02/06/1987")</f>
        <v>02/06/1987</v>
      </c>
      <c r="L3442" s="35" t="str">
        <f>IFERROR(__xludf.DUMMYFUNCTION("""COMPUTED_VALUE"""),"PEREMPUAN")</f>
        <v>PEREMPUAN</v>
      </c>
      <c r="M3442" s="35" t="str">
        <f>IFERROR(__xludf.DUMMYFUNCTION("""COMPUTED_VALUE"""),"JL KHW HASYIM GG NURI NO 51")</f>
        <v>JL KHW HASYIM GG NURI NO 51</v>
      </c>
      <c r="N3442" s="35" t="str">
        <f>IFERROR(__xludf.DUMMYFUNCTION("""COMPUTED_VALUE"""),"TENGAAH")</f>
        <v>TENGAAH</v>
      </c>
      <c r="O3442" s="35" t="str">
        <f>IFERROR(__xludf.DUMMYFUNCTION("""COMPUTED_VALUE"""),"PONTIANAK ")</f>
        <v>PONTIANAK </v>
      </c>
      <c r="P3442" s="35" t="str">
        <f>IFERROR(__xludf.DUMMYFUNCTION("""COMPUTED_VALUE"""),"PONTIANAK KOTA")</f>
        <v>PONTIANAK KOTA</v>
      </c>
      <c r="Q3442" s="35" t="str">
        <f>IFERROR(__xludf.DUMMYFUNCTION("""COMPUTED_VALUE"""),"KALBAR")</f>
        <v>KALBAR</v>
      </c>
      <c r="R3442" s="35" t="str">
        <f>IFERROR(__xludf.DUMMYFUNCTION("""COMPUTED_VALUE"""),"BUDDHA")</f>
        <v>BUDDHA</v>
      </c>
      <c r="S3442" s="74" t="str">
        <f>IFERROR(__xludf.DUMMYFUNCTION("""COMPUTED_VALUE"""),"RUMAH TANGGA")</f>
        <v>RUMAH TANGGA</v>
      </c>
      <c r="T3442" s="35" t="str">
        <f>IFERROR(__xludf.DUMMYFUNCTION("""COMPUTED_VALUE"""),"TENNIS ELBOW ,ENGKEL KAKI")</f>
        <v>TENNIS ELBOW ,ENGKEL KAKI</v>
      </c>
      <c r="U3442" s="35" t="str">
        <f>IFERROR(__xludf.DUMMYFUNCTION("""COMPUTED_VALUE"""),"OLAHRAGA GYM DAN BADMINTON DAN LARI")</f>
        <v>OLAHRAGA GYM DAN BADMINTON DAN LARI</v>
      </c>
      <c r="V3442" s="35" t="str">
        <f>IFERROR(__xludf.DUMMYFUNCTION("""COMPUTED_VALUE"""),"085245751762")</f>
        <v>085245751762</v>
      </c>
      <c r="W3442" s="45"/>
    </row>
    <row r="3443">
      <c r="A3443" s="45"/>
      <c r="B3443" s="35" t="str">
        <f>IFERROR(__xludf.DUMMYFUNCTION("""COMPUTED_VALUE"""),"09/02/2026 10:06:15")</f>
        <v>09/02/2026 10:06:15</v>
      </c>
      <c r="C3443" s="35"/>
      <c r="D3443" s="10">
        <f>IFERROR(__xludf.DUMMYFUNCTION("""COMPUTED_VALUE"""),46063.0)</f>
        <v>46063</v>
      </c>
      <c r="E3443" s="35" t="str">
        <f>IFERROR(__xludf.DUMMYFUNCTION("""COMPUTED_VALUE"""),"02Feb")</f>
        <v>02Feb</v>
      </c>
      <c r="F3443" s="35" t="str">
        <f>IFERROR(__xludf.DUMMYFUNCTION("""COMPUTED_VALUE"""),"2026")</f>
        <v>2026</v>
      </c>
      <c r="G3443" s="35" t="str">
        <f>IFERROR(__xludf.DUMMYFUNCTION("""COMPUTED_VALUE"""),"IR DARLIYUS")</f>
        <v>IR DARLIYUS</v>
      </c>
      <c r="H3443" s="35" t="str">
        <f>IFERROR(__xludf.DUMMYFUNCTION("""COMPUTED_VALUE"""),"I5826026210")</f>
        <v>I5826026210</v>
      </c>
      <c r="I3443" s="35">
        <f>IFERROR(__xludf.DUMMYFUNCTION("""COMPUTED_VALUE"""),68.0)</f>
        <v>68</v>
      </c>
      <c r="J3443" s="35" t="str">
        <f>IFERROR(__xludf.DUMMYFUNCTION("""COMPUTED_VALUE"""),"&gt; 44 tahun")</f>
        <v>&gt; 44 tahun</v>
      </c>
      <c r="K3443" s="35" t="str">
        <f>IFERROR(__xludf.DUMMYFUNCTION("""COMPUTED_VALUE"""),"02/06/1958")</f>
        <v>02/06/1958</v>
      </c>
      <c r="L3443" s="35" t="str">
        <f>IFERROR(__xludf.DUMMYFUNCTION("""COMPUTED_VALUE"""),"LAKI-LAKI")</f>
        <v>LAKI-LAKI</v>
      </c>
      <c r="M3443" s="35" t="str">
        <f>IFERROR(__xludf.DUMMYFUNCTION("""COMPUTED_VALUE"""),"JL PUTRI CANDRA MIDI GG DUA NO 43")</f>
        <v>JL PUTRI CANDRA MIDI GG DUA NO 43</v>
      </c>
      <c r="N3443" s="35" t="str">
        <f>IFERROR(__xludf.DUMMYFUNCTION("""COMPUTED_VALUE"""),"SUI. BANGKONG")</f>
        <v>SUI. BANGKONG</v>
      </c>
      <c r="O3443" s="35" t="str">
        <f>IFERROR(__xludf.DUMMYFUNCTION("""COMPUTED_VALUE"""),"PONTIANAK KOYA")</f>
        <v>PONTIANAK KOYA</v>
      </c>
      <c r="P3443" s="35" t="str">
        <f>IFERROR(__xludf.DUMMYFUNCTION("""COMPUTED_VALUE"""),"KOTA PONTIANAK")</f>
        <v>KOTA PONTIANAK</v>
      </c>
      <c r="Q3443" s="35" t="str">
        <f>IFERROR(__xludf.DUMMYFUNCTION("""COMPUTED_VALUE"""),"KALBAR")</f>
        <v>KALBAR</v>
      </c>
      <c r="R3443" s="35" t="str">
        <f>IFERROR(__xludf.DUMMYFUNCTION("""COMPUTED_VALUE"""),"ISLAM")</f>
        <v>ISLAM</v>
      </c>
      <c r="S3443" s="74" t="str">
        <f>IFERROR(__xludf.DUMMYFUNCTION("""COMPUTED_VALUE"""),"TIDAK BEKERJA")</f>
        <v>TIDAK BEKERJA</v>
      </c>
      <c r="T3443" s="35" t="str">
        <f>IFERROR(__xludf.DUMMYFUNCTION("""COMPUTED_VALUE"""),"SAKIT DI BAGIAN PAHA KIRI KARENA KECELAKAAN")</f>
        <v>SAKIT DI BAGIAN PAHA KIRI KARENA KECELAKAAN</v>
      </c>
      <c r="U3443" s="35" t="str">
        <f>IFERROR(__xludf.DUMMYFUNCTION("""COMPUTED_VALUE"""),"TIDAK ADA")</f>
        <v>TIDAK ADA</v>
      </c>
      <c r="V3443" s="35" t="str">
        <f>IFERROR(__xludf.DUMMYFUNCTION("""COMPUTED_VALUE"""),"081522526210")</f>
        <v>081522526210</v>
      </c>
      <c r="W3443" s="45"/>
    </row>
    <row r="3444">
      <c r="A3444" s="45"/>
      <c r="B3444" s="35" t="str">
        <f>IFERROR(__xludf.DUMMYFUNCTION("""COMPUTED_VALUE"""),"09/02/2026 16:47:06")</f>
        <v>09/02/2026 16:47:06</v>
      </c>
      <c r="C3444" s="35"/>
      <c r="D3444" s="10">
        <f>IFERROR(__xludf.DUMMYFUNCTION("""COMPUTED_VALUE"""),46062.0)</f>
        <v>46062</v>
      </c>
      <c r="E3444" s="35" t="str">
        <f>IFERROR(__xludf.DUMMYFUNCTION("""COMPUTED_VALUE"""),"02Feb")</f>
        <v>02Feb</v>
      </c>
      <c r="F3444" s="35" t="str">
        <f>IFERROR(__xludf.DUMMYFUNCTION("""COMPUTED_VALUE"""),"2026")</f>
        <v>2026</v>
      </c>
      <c r="G3444" s="35" t="str">
        <f>IFERROR(__xludf.DUMMYFUNCTION("""COMPUTED_VALUE"""),"DHIPA RADITYA ")</f>
        <v>DHIPA RADITYA </v>
      </c>
      <c r="H3444" s="35" t="str">
        <f>IFERROR(__xludf.DUMMYFUNCTION("""COMPUTED_VALUE"""),"D8926021352")</f>
        <v>D8926021352</v>
      </c>
      <c r="I3444" s="35">
        <f>IFERROR(__xludf.DUMMYFUNCTION("""COMPUTED_VALUE"""),37.0)</f>
        <v>37</v>
      </c>
      <c r="J3444" s="35" t="str">
        <f>IFERROR(__xludf.DUMMYFUNCTION("""COMPUTED_VALUE"""),"35-44 tahun")</f>
        <v>35-44 tahun</v>
      </c>
      <c r="K3444" s="35" t="str">
        <f>IFERROR(__xludf.DUMMYFUNCTION("""COMPUTED_VALUE"""),"21/05/1989")</f>
        <v>21/05/1989</v>
      </c>
      <c r="L3444" s="35" t="str">
        <f>IFERROR(__xludf.DUMMYFUNCTION("""COMPUTED_VALUE"""),"LAKI-LAKI")</f>
        <v>LAKI-LAKI</v>
      </c>
      <c r="M3444" s="35" t="str">
        <f>IFERROR(__xludf.DUMMYFUNCTION("""COMPUTED_VALUE"""),"GANG PURNAMA INDAH 2 ")</f>
        <v>GANG PURNAMA INDAH 2 </v>
      </c>
      <c r="N3444" s="35" t="str">
        <f>IFERROR(__xludf.DUMMYFUNCTION("""COMPUTED_VALUE"""),"KOTA BARU ")</f>
        <v>KOTA BARU </v>
      </c>
      <c r="O3444" s="35" t="str">
        <f>IFERROR(__xludf.DUMMYFUNCTION("""COMPUTED_VALUE"""),"PONTIANAK SELATAN ")</f>
        <v>PONTIANAK SELATAN </v>
      </c>
      <c r="P3444" s="35" t="str">
        <f>IFERROR(__xludf.DUMMYFUNCTION("""COMPUTED_VALUE"""),"PONTIANAK ")</f>
        <v>PONTIANAK </v>
      </c>
      <c r="Q3444" s="35" t="str">
        <f>IFERROR(__xludf.DUMMYFUNCTION("""COMPUTED_VALUE"""),"KALIMANTAN BARAT ")</f>
        <v>KALIMANTAN BARAT </v>
      </c>
      <c r="R3444" s="35" t="str">
        <f>IFERROR(__xludf.DUMMYFUNCTION("""COMPUTED_VALUE"""),"ISLAM")</f>
        <v>ISLAM</v>
      </c>
      <c r="S3444" s="74" t="str">
        <f>IFERROR(__xludf.DUMMYFUNCTION("""COMPUTED_VALUE"""),"ASN")</f>
        <v>ASN</v>
      </c>
      <c r="T3444" s="35" t="str">
        <f>IFERROR(__xludf.DUMMYFUNCTION("""COMPUTED_VALUE"""),"SAKIT LEHER / SALAH BANTAL")</f>
        <v>SAKIT LEHER / SALAH BANTAL</v>
      </c>
      <c r="U3444" s="35" t="str">
        <f>IFERROR(__xludf.DUMMYFUNCTION("""COMPUTED_VALUE"""),"-")</f>
        <v>-</v>
      </c>
      <c r="V3444" s="35" t="str">
        <f>IFERROR(__xludf.DUMMYFUNCTION("""COMPUTED_VALUE"""),"085387311352")</f>
        <v>085387311352</v>
      </c>
      <c r="W3444" s="45"/>
    </row>
    <row r="3445">
      <c r="A3445" s="45"/>
      <c r="B3445" s="35" t="str">
        <f>IFERROR(__xludf.DUMMYFUNCTION("""COMPUTED_VALUE"""),"09/02/2026 19:35:03")</f>
        <v>09/02/2026 19:35:03</v>
      </c>
      <c r="C3445" s="35"/>
      <c r="D3445" s="10">
        <f>IFERROR(__xludf.DUMMYFUNCTION("""COMPUTED_VALUE"""),46062.0)</f>
        <v>46062</v>
      </c>
      <c r="E3445" s="35" t="str">
        <f>IFERROR(__xludf.DUMMYFUNCTION("""COMPUTED_VALUE"""),"02Feb")</f>
        <v>02Feb</v>
      </c>
      <c r="F3445" s="35" t="str">
        <f>IFERROR(__xludf.DUMMYFUNCTION("""COMPUTED_VALUE"""),"2026")</f>
        <v>2026</v>
      </c>
      <c r="G3445" s="35" t="str">
        <f>IFERROR(__xludf.DUMMYFUNCTION("""COMPUTED_VALUE"""),"OBED ROBBANI")</f>
        <v>OBED ROBBANI</v>
      </c>
      <c r="H3445" s="35" t="str">
        <f>IFERROR(__xludf.DUMMYFUNCTION("""COMPUTED_VALUE"""),"O9926020173")</f>
        <v>O9926020173</v>
      </c>
      <c r="I3445" s="35">
        <f>IFERROR(__xludf.DUMMYFUNCTION("""COMPUTED_VALUE"""),27.0)</f>
        <v>27</v>
      </c>
      <c r="J3445" s="35" t="str">
        <f>IFERROR(__xludf.DUMMYFUNCTION("""COMPUTED_VALUE"""),"25-34 tahun")</f>
        <v>25-34 tahun</v>
      </c>
      <c r="K3445" s="35" t="str">
        <f>IFERROR(__xludf.DUMMYFUNCTION("""COMPUTED_VALUE"""),"13/06/1999")</f>
        <v>13/06/1999</v>
      </c>
      <c r="L3445" s="35" t="str">
        <f>IFERROR(__xludf.DUMMYFUNCTION("""COMPUTED_VALUE"""),"LAKI-LAKI")</f>
        <v>LAKI-LAKI</v>
      </c>
      <c r="M3445" s="35" t="str">
        <f>IFERROR(__xludf.DUMMYFUNCTION("""COMPUTED_VALUE"""),"JL. KEBON PALA 1 NO.4")</f>
        <v>JL. KEBON PALA 1 NO.4</v>
      </c>
      <c r="N3445" s="35" t="str">
        <f>IFERROR(__xludf.DUMMYFUNCTION("""COMPUTED_VALUE"""),"KEBON MELATI")</f>
        <v>KEBON MELATI</v>
      </c>
      <c r="O3445" s="35" t="str">
        <f>IFERROR(__xludf.DUMMYFUNCTION("""COMPUTED_VALUE"""),"TANAH ABANG ")</f>
        <v>TANAH ABANG </v>
      </c>
      <c r="P3445" s="35" t="str">
        <f>IFERROR(__xludf.DUMMYFUNCTION("""COMPUTED_VALUE"""),"JAKARTA PUSAT")</f>
        <v>JAKARTA PUSAT</v>
      </c>
      <c r="Q3445" s="35" t="str">
        <f>IFERROR(__xludf.DUMMYFUNCTION("""COMPUTED_VALUE"""),"DKI JAKARTA")</f>
        <v>DKI JAKARTA</v>
      </c>
      <c r="R3445" s="35" t="str">
        <f>IFERROR(__xludf.DUMMYFUNCTION("""COMPUTED_VALUE"""),"ISLAM")</f>
        <v>ISLAM</v>
      </c>
      <c r="S3445" s="74" t="str">
        <f>IFERROR(__xludf.DUMMYFUNCTION("""COMPUTED_VALUE"""),"MAHASISWA")</f>
        <v>MAHASISWA</v>
      </c>
      <c r="T3445" s="35" t="str">
        <f>IFERROR(__xludf.DUMMYFUNCTION("""COMPUTED_VALUE"""),"BAHU SAMPAI LENGAN")</f>
        <v>BAHU SAMPAI LENGAN</v>
      </c>
      <c r="U3445" s="35" t="str">
        <f>IFERROR(__xludf.DUMMYFUNCTION("""COMPUTED_VALUE"""),"-")</f>
        <v>-</v>
      </c>
      <c r="V3445" s="35" t="str">
        <f>IFERROR(__xludf.DUMMYFUNCTION("""COMPUTED_VALUE"""),"085890420173")</f>
        <v>085890420173</v>
      </c>
      <c r="W3445" s="45"/>
    </row>
    <row r="3446">
      <c r="A3446" s="45"/>
      <c r="B3446" s="35" t="str">
        <f>IFERROR(__xludf.DUMMYFUNCTION("""COMPUTED_VALUE"""),"09/02/2026 20:55:31")</f>
        <v>09/02/2026 20:55:31</v>
      </c>
      <c r="C3446" s="35"/>
      <c r="D3446" s="10">
        <f>IFERROR(__xludf.DUMMYFUNCTION("""COMPUTED_VALUE"""),46062.0)</f>
        <v>46062</v>
      </c>
      <c r="E3446" s="35" t="str">
        <f>IFERROR(__xludf.DUMMYFUNCTION("""COMPUTED_VALUE"""),"02Feb")</f>
        <v>02Feb</v>
      </c>
      <c r="F3446" s="35" t="str">
        <f>IFERROR(__xludf.DUMMYFUNCTION("""COMPUTED_VALUE"""),"2026")</f>
        <v>2026</v>
      </c>
      <c r="G3446" s="35" t="str">
        <f>IFERROR(__xludf.DUMMYFUNCTION("""COMPUTED_VALUE"""),"DIAN PRAMANA RAHAYU")</f>
        <v>DIAN PRAMANA RAHAYU</v>
      </c>
      <c r="H3446" s="35" t="str">
        <f>IFERROR(__xludf.DUMMYFUNCTION("""COMPUTED_VALUE"""),"D8926026427")</f>
        <v>D8926026427</v>
      </c>
      <c r="I3446" s="35">
        <f>IFERROR(__xludf.DUMMYFUNCTION("""COMPUTED_VALUE"""),37.0)</f>
        <v>37</v>
      </c>
      <c r="J3446" s="35" t="str">
        <f>IFERROR(__xludf.DUMMYFUNCTION("""COMPUTED_VALUE"""),"35-44 tahun")</f>
        <v>35-44 tahun</v>
      </c>
      <c r="K3446" s="35" t="str">
        <f>IFERROR(__xludf.DUMMYFUNCTION("""COMPUTED_VALUE"""),"09/04/1989")</f>
        <v>09/04/1989</v>
      </c>
      <c r="L3446" s="35" t="str">
        <f>IFERROR(__xludf.DUMMYFUNCTION("""COMPUTED_VALUE"""),"PEREMPUAN")</f>
        <v>PEREMPUAN</v>
      </c>
      <c r="M3446" s="35" t="str">
        <f>IFERROR(__xludf.DUMMYFUNCTION("""COMPUTED_VALUE"""),"BONTON")</f>
        <v>BONTON</v>
      </c>
      <c r="N3446" s="35" t="str">
        <f>IFERROR(__xludf.DUMMYFUNCTION("""COMPUTED_VALUE"""),"LIMBANGAN")</f>
        <v>LIMBANGAN</v>
      </c>
      <c r="O3446" s="35" t="str">
        <f>IFERROR(__xludf.DUMMYFUNCTION("""COMPUTED_VALUE"""),"BENER")</f>
        <v>BENER</v>
      </c>
      <c r="P3446" s="35" t="str">
        <f>IFERROR(__xludf.DUMMYFUNCTION("""COMPUTED_VALUE"""),"KUTAI TIMUR")</f>
        <v>KUTAI TIMUR</v>
      </c>
      <c r="Q3446" s="35" t="str">
        <f>IFERROR(__xludf.DUMMYFUNCTION("""COMPUTED_VALUE"""),"KALIMANTAN TIMUR")</f>
        <v>KALIMANTAN TIMUR</v>
      </c>
      <c r="R3446" s="35" t="str">
        <f>IFERROR(__xludf.DUMMYFUNCTION("""COMPUTED_VALUE"""),"ISLAM")</f>
        <v>ISLAM</v>
      </c>
      <c r="S3446" s="74" t="str">
        <f>IFERROR(__xludf.DUMMYFUNCTION("""COMPUTED_VALUE"""),"TIDAK BEKERJA")</f>
        <v>TIDAK BEKERJA</v>
      </c>
      <c r="T3446" s="35" t="str">
        <f>IFERROR(__xludf.DUMMYFUNCTION("""COMPUTED_VALUE"""),"LEHER SAKIT SALAH TIDUR")</f>
        <v>LEHER SAKIT SALAH TIDUR</v>
      </c>
      <c r="U3446" s="35" t="str">
        <f>IFERROR(__xludf.DUMMYFUNCTION("""COMPUTED_VALUE"""),"-")</f>
        <v>-</v>
      </c>
      <c r="V3446" s="35" t="str">
        <f>IFERROR(__xludf.DUMMYFUNCTION("""COMPUTED_VALUE"""),"085245296427")</f>
        <v>085245296427</v>
      </c>
      <c r="W3446" s="45"/>
    </row>
    <row r="3447">
      <c r="A3447" s="45"/>
      <c r="B3447" s="35" t="str">
        <f>IFERROR(__xludf.DUMMYFUNCTION("""COMPUTED_VALUE"""),"10/02/2026 9:26:19")</f>
        <v>10/02/2026 9:26:19</v>
      </c>
      <c r="C3447" s="35"/>
      <c r="D3447" s="10">
        <f>IFERROR(__xludf.DUMMYFUNCTION("""COMPUTED_VALUE"""),46063.0)</f>
        <v>46063</v>
      </c>
      <c r="E3447" s="35" t="str">
        <f>IFERROR(__xludf.DUMMYFUNCTION("""COMPUTED_VALUE"""),"02Feb")</f>
        <v>02Feb</v>
      </c>
      <c r="F3447" s="35" t="str">
        <f>IFERROR(__xludf.DUMMYFUNCTION("""COMPUTED_VALUE"""),"2026")</f>
        <v>2026</v>
      </c>
      <c r="G3447" s="35" t="str">
        <f>IFERROR(__xludf.DUMMYFUNCTION("""COMPUTED_VALUE"""),"TRI SETIAWAN LUSLIM")</f>
        <v>TRI SETIAWAN LUSLIM</v>
      </c>
      <c r="H3447" s="35" t="str">
        <f>IFERROR(__xludf.DUMMYFUNCTION("""COMPUTED_VALUE"""),"T9426027037")</f>
        <v>T9426027037</v>
      </c>
      <c r="I3447" s="35">
        <f>IFERROR(__xludf.DUMMYFUNCTION("""COMPUTED_VALUE"""),32.0)</f>
        <v>32</v>
      </c>
      <c r="J3447" s="35" t="str">
        <f>IFERROR(__xludf.DUMMYFUNCTION("""COMPUTED_VALUE"""),"25-34 tahun")</f>
        <v>25-34 tahun</v>
      </c>
      <c r="K3447" s="35" t="str">
        <f>IFERROR(__xludf.DUMMYFUNCTION("""COMPUTED_VALUE"""),"03/03/1994")</f>
        <v>03/03/1994</v>
      </c>
      <c r="L3447" s="35" t="str">
        <f>IFERROR(__xludf.DUMMYFUNCTION("""COMPUTED_VALUE"""),"LAKI-LAKI")</f>
        <v>LAKI-LAKI</v>
      </c>
      <c r="M3447" s="35" t="str">
        <f>IFERROR(__xludf.DUMMYFUNCTION("""COMPUTED_VALUE"""),"JL BRAWIJAYA NO. 70")</f>
        <v>JL BRAWIJAYA NO. 70</v>
      </c>
      <c r="N3447" s="35" t="str">
        <f>IFERROR(__xludf.DUMMYFUNCTION("""COMPUTED_VALUE"""),"KEBALENAN")</f>
        <v>KEBALENAN</v>
      </c>
      <c r="O3447" s="35" t="str">
        <f>IFERROR(__xludf.DUMMYFUNCTION("""COMPUTED_VALUE"""),"BANYUWANGI")</f>
        <v>BANYUWANGI</v>
      </c>
      <c r="P3447" s="35" t="str">
        <f>IFERROR(__xludf.DUMMYFUNCTION("""COMPUTED_VALUE"""),"BANYUWANGI")</f>
        <v>BANYUWANGI</v>
      </c>
      <c r="Q3447" s="35" t="str">
        <f>IFERROR(__xludf.DUMMYFUNCTION("""COMPUTED_VALUE"""),"JAWA TIMUR")</f>
        <v>JAWA TIMUR</v>
      </c>
      <c r="R3447" s="35" t="str">
        <f>IFERROR(__xludf.DUMMYFUNCTION("""COMPUTED_VALUE"""),"ISLAM")</f>
        <v>ISLAM</v>
      </c>
      <c r="S3447" s="74" t="str">
        <f>IFERROR(__xludf.DUMMYFUNCTION("""COMPUTED_VALUE"""),"PEDAGANG")</f>
        <v>PEDAGANG</v>
      </c>
      <c r="T3447" s="35" t="str">
        <f>IFERROR(__xludf.DUMMYFUNCTION("""COMPUTED_VALUE"""),"BAHU ")</f>
        <v>BAHU </v>
      </c>
      <c r="U3447" s="35" t="str">
        <f>IFERROR(__xludf.DUMMYFUNCTION("""COMPUTED_VALUE"""),"-")</f>
        <v>-</v>
      </c>
      <c r="V3447" s="35" t="str">
        <f>IFERROR(__xludf.DUMMYFUNCTION("""COMPUTED_VALUE"""),"082337637037")</f>
        <v>082337637037</v>
      </c>
      <c r="W3447" s="45"/>
    </row>
    <row r="3448">
      <c r="A3448" s="45"/>
      <c r="B3448" s="35" t="str">
        <f>IFERROR(__xludf.DUMMYFUNCTION("""COMPUTED_VALUE"""),"10/02/2026 10:48:19")</f>
        <v>10/02/2026 10:48:19</v>
      </c>
      <c r="C3448" s="35"/>
      <c r="D3448" s="10">
        <f>IFERROR(__xludf.DUMMYFUNCTION("""COMPUTED_VALUE"""),46063.0)</f>
        <v>46063</v>
      </c>
      <c r="E3448" s="35" t="str">
        <f>IFERROR(__xludf.DUMMYFUNCTION("""COMPUTED_VALUE"""),"02Feb")</f>
        <v>02Feb</v>
      </c>
      <c r="F3448" s="35" t="str">
        <f>IFERROR(__xludf.DUMMYFUNCTION("""COMPUTED_VALUE"""),"2026")</f>
        <v>2026</v>
      </c>
      <c r="G3448" s="35" t="str">
        <f>IFERROR(__xludf.DUMMYFUNCTION("""COMPUTED_VALUE"""),"SUMIATI 7409")</f>
        <v>SUMIATI 7409</v>
      </c>
      <c r="H3448" s="35" t="str">
        <f>IFERROR(__xludf.DUMMYFUNCTION("""COMPUTED_VALUE"""),"S7426027751")</f>
        <v>S7426027751</v>
      </c>
      <c r="I3448" s="35">
        <f>IFERROR(__xludf.DUMMYFUNCTION("""COMPUTED_VALUE"""),51.0)</f>
        <v>51</v>
      </c>
      <c r="J3448" s="35" t="str">
        <f>IFERROR(__xludf.DUMMYFUNCTION("""COMPUTED_VALUE"""),"&gt; 44 tahun")</f>
        <v>&gt; 44 tahun</v>
      </c>
      <c r="K3448" s="35" t="str">
        <f>IFERROR(__xludf.DUMMYFUNCTION("""COMPUTED_VALUE"""),"05/09/1974")</f>
        <v>05/09/1974</v>
      </c>
      <c r="L3448" s="35" t="str">
        <f>IFERROR(__xludf.DUMMYFUNCTION("""COMPUTED_VALUE"""),"PEREMPUAN")</f>
        <v>PEREMPUAN</v>
      </c>
      <c r="M3448" s="35" t="str">
        <f>IFERROR(__xludf.DUMMYFUNCTION("""COMPUTED_VALUE"""),"JL. PARIT PANGERAN")</f>
        <v>JL. PARIT PANGERAN</v>
      </c>
      <c r="N3448" s="35" t="str">
        <f>IFERROR(__xludf.DUMMYFUNCTION("""COMPUTED_VALUE"""),"SIANTAN HULU")</f>
        <v>SIANTAN HULU</v>
      </c>
      <c r="O3448" s="35" t="str">
        <f>IFERROR(__xludf.DUMMYFUNCTION("""COMPUTED_VALUE"""),"PONTIANAK UTARA")</f>
        <v>PONTIANAK UTARA</v>
      </c>
      <c r="P3448" s="35" t="str">
        <f>IFERROR(__xludf.DUMMYFUNCTION("""COMPUTED_VALUE"""),"PONTIANAK")</f>
        <v>PONTIANAK</v>
      </c>
      <c r="Q3448" s="35" t="str">
        <f>IFERROR(__xludf.DUMMYFUNCTION("""COMPUTED_VALUE"""),"KALIMANTAN BARAT")</f>
        <v>KALIMANTAN BARAT</v>
      </c>
      <c r="R3448" s="35" t="str">
        <f>IFERROR(__xludf.DUMMYFUNCTION("""COMPUTED_VALUE"""),"ISLAM")</f>
        <v>ISLAM</v>
      </c>
      <c r="S3448" s="74" t="str">
        <f>IFERROR(__xludf.DUMMYFUNCTION("""COMPUTED_VALUE"""),"IBU RUMAH TANGGA")</f>
        <v>IBU RUMAH TANGGA</v>
      </c>
      <c r="T3448" s="35" t="str">
        <f>IFERROR(__xludf.DUMMYFUNCTION("""COMPUTED_VALUE"""),"NYERI OTOT PUNGGUNG DAN OTOT PINGGANG LEMAH")</f>
        <v>NYERI OTOT PUNGGUNG DAN OTOT PINGGANG LEMAH</v>
      </c>
      <c r="U3448" s="35" t="str">
        <f>IFERROR(__xludf.DUMMYFUNCTION("""COMPUTED_VALUE"""),"TIDAK ADA")</f>
        <v>TIDAK ADA</v>
      </c>
      <c r="V3448" s="35" t="str">
        <f>IFERROR(__xludf.DUMMYFUNCTION("""COMPUTED_VALUE"""),"082151277751")</f>
        <v>082151277751</v>
      </c>
      <c r="W3448" s="45"/>
    </row>
    <row r="3449">
      <c r="A3449" s="45"/>
      <c r="B3449" s="35" t="str">
        <f>IFERROR(__xludf.DUMMYFUNCTION("""COMPUTED_VALUE"""),"10/02/2026 11:25:44")</f>
        <v>10/02/2026 11:25:44</v>
      </c>
      <c r="C3449" s="35"/>
      <c r="D3449" s="10">
        <f>IFERROR(__xludf.DUMMYFUNCTION("""COMPUTED_VALUE"""),46063.0)</f>
        <v>46063</v>
      </c>
      <c r="E3449" s="35" t="str">
        <f>IFERROR(__xludf.DUMMYFUNCTION("""COMPUTED_VALUE"""),"02Feb")</f>
        <v>02Feb</v>
      </c>
      <c r="F3449" s="35" t="str">
        <f>IFERROR(__xludf.DUMMYFUNCTION("""COMPUTED_VALUE"""),"2026")</f>
        <v>2026</v>
      </c>
      <c r="G3449" s="35" t="str">
        <f>IFERROR(__xludf.DUMMYFUNCTION("""COMPUTED_VALUE"""),"OSCAR ASTRAYANANDA")</f>
        <v>OSCAR ASTRAYANANDA</v>
      </c>
      <c r="H3449" s="35" t="str">
        <f>IFERROR(__xludf.DUMMYFUNCTION("""COMPUTED_VALUE"""),"O0126022252")</f>
        <v>O0126022252</v>
      </c>
      <c r="I3449" s="35">
        <f>IFERROR(__xludf.DUMMYFUNCTION("""COMPUTED_VALUE"""),24.0)</f>
        <v>24</v>
      </c>
      <c r="J3449" s="35" t="str">
        <f>IFERROR(__xludf.DUMMYFUNCTION("""COMPUTED_VALUE"""),"18-24 tahun")</f>
        <v>18-24 tahun</v>
      </c>
      <c r="K3449" s="35" t="str">
        <f>IFERROR(__xludf.DUMMYFUNCTION("""COMPUTED_VALUE"""),"09/08/2001")</f>
        <v>09/08/2001</v>
      </c>
      <c r="L3449" s="35" t="str">
        <f>IFERROR(__xludf.DUMMYFUNCTION("""COMPUTED_VALUE"""),"LAKI-LAKI")</f>
        <v>LAKI-LAKI</v>
      </c>
      <c r="M3449" s="35" t="str">
        <f>IFERROR(__xludf.DUMMYFUNCTION("""COMPUTED_VALUE"""),"LADANGAN")</f>
        <v>LADANGAN</v>
      </c>
      <c r="N3449" s="35" t="str">
        <f>IFERROR(__xludf.DUMMYFUNCTION("""COMPUTED_VALUE"""),"AMBOYO SELATAN")</f>
        <v>AMBOYO SELATAN</v>
      </c>
      <c r="O3449" s="35" t="str">
        <f>IFERROR(__xludf.DUMMYFUNCTION("""COMPUTED_VALUE"""),"NGABANG")</f>
        <v>NGABANG</v>
      </c>
      <c r="P3449" s="35" t="str">
        <f>IFERROR(__xludf.DUMMYFUNCTION("""COMPUTED_VALUE"""),"LANDAK")</f>
        <v>LANDAK</v>
      </c>
      <c r="Q3449" s="35" t="str">
        <f>IFERROR(__xludf.DUMMYFUNCTION("""COMPUTED_VALUE"""),"KALIMANTAN BARAT")</f>
        <v>KALIMANTAN BARAT</v>
      </c>
      <c r="R3449" s="35" t="str">
        <f>IFERROR(__xludf.DUMMYFUNCTION("""COMPUTED_VALUE"""),"KATOLIK")</f>
        <v>KATOLIK</v>
      </c>
      <c r="S3449" s="74" t="str">
        <f>IFERROR(__xludf.DUMMYFUNCTION("""COMPUTED_VALUE"""),"WIRASWASTA")</f>
        <v>WIRASWASTA</v>
      </c>
      <c r="T3449" s="35" t="str">
        <f>IFERROR(__xludf.DUMMYFUNCTION("""COMPUTED_VALUE"""),"SAKIT DI BAWAH PUNGGUNG")</f>
        <v>SAKIT DI BAWAH PUNGGUNG</v>
      </c>
      <c r="U3449" s="35" t="str">
        <f>IFERROR(__xludf.DUMMYFUNCTION("""COMPUTED_VALUE"""),"GYM")</f>
        <v>GYM</v>
      </c>
      <c r="V3449" s="35" t="str">
        <f>IFERROR(__xludf.DUMMYFUNCTION("""COMPUTED_VALUE"""),"082321232252")</f>
        <v>082321232252</v>
      </c>
      <c r="W3449" s="45"/>
    </row>
    <row r="3450">
      <c r="A3450" s="45"/>
      <c r="B3450" s="35" t="str">
        <f>IFERROR(__xludf.DUMMYFUNCTION("""COMPUTED_VALUE"""),"10/02/2026 13:52:42")</f>
        <v>10/02/2026 13:52:42</v>
      </c>
      <c r="C3450" s="35"/>
      <c r="D3450" s="10">
        <f>IFERROR(__xludf.DUMMYFUNCTION("""COMPUTED_VALUE"""),46063.0)</f>
        <v>46063</v>
      </c>
      <c r="E3450" s="35" t="str">
        <f>IFERROR(__xludf.DUMMYFUNCTION("""COMPUTED_VALUE"""),"02Feb")</f>
        <v>02Feb</v>
      </c>
      <c r="F3450" s="35" t="str">
        <f>IFERROR(__xludf.DUMMYFUNCTION("""COMPUTED_VALUE"""),"2026")</f>
        <v>2026</v>
      </c>
      <c r="G3450" s="35" t="str">
        <f>IFERROR(__xludf.DUMMYFUNCTION("""COMPUTED_VALUE"""),"SUHADA")</f>
        <v>SUHADA</v>
      </c>
      <c r="H3450" s="35" t="str">
        <f>IFERROR(__xludf.DUMMYFUNCTION("""COMPUTED_VALUE"""),"S6126024287")</f>
        <v>S6126024287</v>
      </c>
      <c r="I3450" s="35">
        <f>IFERROR(__xludf.DUMMYFUNCTION("""COMPUTED_VALUE"""),64.0)</f>
        <v>64</v>
      </c>
      <c r="J3450" s="35" t="str">
        <f>IFERROR(__xludf.DUMMYFUNCTION("""COMPUTED_VALUE"""),"&gt; 44 tahun")</f>
        <v>&gt; 44 tahun</v>
      </c>
      <c r="K3450" s="35" t="str">
        <f>IFERROR(__xludf.DUMMYFUNCTION("""COMPUTED_VALUE"""),"26/06/1961")</f>
        <v>26/06/1961</v>
      </c>
      <c r="L3450" s="35" t="str">
        <f>IFERROR(__xludf.DUMMYFUNCTION("""COMPUTED_VALUE"""),"PEREMPUAN")</f>
        <v>PEREMPUAN</v>
      </c>
      <c r="M3450" s="35" t="str">
        <f>IFERROR(__xludf.DUMMYFUNCTION("""COMPUTED_VALUE"""),"JL. HUSEIN HAMZAH GG HASANAH NO.05")</f>
        <v>JL. HUSEIN HAMZAH GG HASANAH NO.05</v>
      </c>
      <c r="N3450" s="35" t="str">
        <f>IFERROR(__xludf.DUMMYFUNCTION("""COMPUTED_VALUE"""),"SUNGAI JAWI DALAM")</f>
        <v>SUNGAI JAWI DALAM</v>
      </c>
      <c r="O3450" s="35" t="str">
        <f>IFERROR(__xludf.DUMMYFUNCTION("""COMPUTED_VALUE"""),"PONTIANAK BARAT")</f>
        <v>PONTIANAK BARAT</v>
      </c>
      <c r="P3450" s="35" t="str">
        <f>IFERROR(__xludf.DUMMYFUNCTION("""COMPUTED_VALUE"""),"KOTA PONTIANAK")</f>
        <v>KOTA PONTIANAK</v>
      </c>
      <c r="Q3450" s="35" t="str">
        <f>IFERROR(__xludf.DUMMYFUNCTION("""COMPUTED_VALUE"""),"KALIMANTAN BARAT")</f>
        <v>KALIMANTAN BARAT</v>
      </c>
      <c r="R3450" s="35" t="str">
        <f>IFERROR(__xludf.DUMMYFUNCTION("""COMPUTED_VALUE"""),"ISLAM")</f>
        <v>ISLAM</v>
      </c>
      <c r="S3450" s="74" t="str">
        <f>IFERROR(__xludf.DUMMYFUNCTION("""COMPUTED_VALUE"""),"PNS")</f>
        <v>PNS</v>
      </c>
      <c r="T3450" s="35" t="str">
        <f>IFERROR(__xludf.DUMMYFUNCTION("""COMPUTED_VALUE"""),"BAHU SAMPAI LENGAN NYERI")</f>
        <v>BAHU SAMPAI LENGAN NYERI</v>
      </c>
      <c r="U3450" s="35" t="str">
        <f>IFERROR(__xludf.DUMMYFUNCTION("""COMPUTED_VALUE"""),"-")</f>
        <v>-</v>
      </c>
      <c r="V3450" s="35" t="str">
        <f>IFERROR(__xludf.DUMMYFUNCTION("""COMPUTED_VALUE"""),"081352014287")</f>
        <v>081352014287</v>
      </c>
      <c r="W3450" s="45"/>
    </row>
    <row r="3451">
      <c r="A3451" s="45"/>
      <c r="B3451" s="35" t="str">
        <f>IFERROR(__xludf.DUMMYFUNCTION("""COMPUTED_VALUE"""),"10/02/2026 20:47:40")</f>
        <v>10/02/2026 20:47:40</v>
      </c>
      <c r="C3451" s="35"/>
      <c r="D3451" s="10">
        <f>IFERROR(__xludf.DUMMYFUNCTION("""COMPUTED_VALUE"""),46063.0)</f>
        <v>46063</v>
      </c>
      <c r="E3451" s="35" t="str">
        <f>IFERROR(__xludf.DUMMYFUNCTION("""COMPUTED_VALUE"""),"02Feb")</f>
        <v>02Feb</v>
      </c>
      <c r="F3451" s="35" t="str">
        <f>IFERROR(__xludf.DUMMYFUNCTION("""COMPUTED_VALUE"""),"2026")</f>
        <v>2026</v>
      </c>
      <c r="G3451" s="35" t="str">
        <f>IFERROR(__xludf.DUMMYFUNCTION("""COMPUTED_VALUE"""),"RAMNAH")</f>
        <v>RAMNAH</v>
      </c>
      <c r="H3451" s="35" t="str">
        <f>IFERROR(__xludf.DUMMYFUNCTION("""COMPUTED_VALUE"""),"R6426023001")</f>
        <v>R6426023001</v>
      </c>
      <c r="I3451" s="35">
        <f>IFERROR(__xludf.DUMMYFUNCTION("""COMPUTED_VALUE"""),61.0)</f>
        <v>61</v>
      </c>
      <c r="J3451" s="35" t="str">
        <f>IFERROR(__xludf.DUMMYFUNCTION("""COMPUTED_VALUE"""),"&gt; 44 tahun")</f>
        <v>&gt; 44 tahun</v>
      </c>
      <c r="K3451" s="35" t="str">
        <f>IFERROR(__xludf.DUMMYFUNCTION("""COMPUTED_VALUE"""),"31/07/1964")</f>
        <v>31/07/1964</v>
      </c>
      <c r="L3451" s="35" t="str">
        <f>IFERROR(__xludf.DUMMYFUNCTION("""COMPUTED_VALUE"""),"LAKI-LAKI")</f>
        <v>LAKI-LAKI</v>
      </c>
      <c r="M3451" s="35" t="str">
        <f>IFERROR(__xludf.DUMMYFUNCTION("""COMPUTED_VALUE"""),"DUSUN ARANG JAYA")</f>
        <v>DUSUN ARANG JAYA</v>
      </c>
      <c r="N3451" s="35" t="str">
        <f>IFERROR(__xludf.DUMMYFUNCTION("""COMPUTED_VALUE"""),"ARANG LIMBUNG")</f>
        <v>ARANG LIMBUNG</v>
      </c>
      <c r="O3451" s="35" t="str">
        <f>IFERROR(__xludf.DUMMYFUNCTION("""COMPUTED_VALUE"""),"SUNGAI RAYA")</f>
        <v>SUNGAI RAYA</v>
      </c>
      <c r="P3451" s="35" t="str">
        <f>IFERROR(__xludf.DUMMYFUNCTION("""COMPUTED_VALUE"""),"KUBU RAYA")</f>
        <v>KUBU RAYA</v>
      </c>
      <c r="Q3451" s="35" t="str">
        <f>IFERROR(__xludf.DUMMYFUNCTION("""COMPUTED_VALUE"""),"KALIMANTAN BARAT")</f>
        <v>KALIMANTAN BARAT</v>
      </c>
      <c r="R3451" s="35" t="str">
        <f>IFERROR(__xludf.DUMMYFUNCTION("""COMPUTED_VALUE"""),"ISLAM")</f>
        <v>ISLAM</v>
      </c>
      <c r="S3451" s="74" t="str">
        <f>IFERROR(__xludf.DUMMYFUNCTION("""COMPUTED_VALUE"""),"GURU")</f>
        <v>GURU</v>
      </c>
      <c r="T3451" s="35" t="str">
        <f>IFERROR(__xludf.DUMMYFUNCTION("""COMPUTED_VALUE"""),"SAKIT DI BOKONG SEBELAH KIRI")</f>
        <v>SAKIT DI BOKONG SEBELAH KIRI</v>
      </c>
      <c r="U3451" s="35" t="str">
        <f>IFERROR(__xludf.DUMMYFUNCTION("""COMPUTED_VALUE"""),"-")</f>
        <v>-</v>
      </c>
      <c r="V3451" s="35" t="str">
        <f>IFERROR(__xludf.DUMMYFUNCTION("""COMPUTED_VALUE"""),"0895387083001")</f>
        <v>0895387083001</v>
      </c>
      <c r="W3451" s="45"/>
    </row>
    <row r="3452">
      <c r="A3452" s="45"/>
      <c r="B3452" s="35" t="str">
        <f>IFERROR(__xludf.DUMMYFUNCTION("""COMPUTED_VALUE"""),"11/02/2026 8:41:02")</f>
        <v>11/02/2026 8:41:02</v>
      </c>
      <c r="C3452" s="35"/>
      <c r="D3452" s="10">
        <f>IFERROR(__xludf.DUMMYFUNCTION("""COMPUTED_VALUE"""),46064.0)</f>
        <v>46064</v>
      </c>
      <c r="E3452" s="35" t="str">
        <f>IFERROR(__xludf.DUMMYFUNCTION("""COMPUTED_VALUE"""),"02Feb")</f>
        <v>02Feb</v>
      </c>
      <c r="F3452" s="35" t="str">
        <f>IFERROR(__xludf.DUMMYFUNCTION("""COMPUTED_VALUE"""),"2026")</f>
        <v>2026</v>
      </c>
      <c r="G3452" s="35" t="str">
        <f>IFERROR(__xludf.DUMMYFUNCTION("""COMPUTED_VALUE"""),"TAN BE LEI")</f>
        <v>TAN BE LEI</v>
      </c>
      <c r="H3452" s="35" t="str">
        <f>IFERROR(__xludf.DUMMYFUNCTION("""COMPUTED_VALUE"""),"T7226027737")</f>
        <v>T7226027737</v>
      </c>
      <c r="I3452" s="35">
        <f>IFERROR(__xludf.DUMMYFUNCTION("""COMPUTED_VALUE"""),53.0)</f>
        <v>53</v>
      </c>
      <c r="J3452" s="35" t="str">
        <f>IFERROR(__xludf.DUMMYFUNCTION("""COMPUTED_VALUE"""),"&gt; 44 tahun")</f>
        <v>&gt; 44 tahun</v>
      </c>
      <c r="K3452" s="35" t="str">
        <f>IFERROR(__xludf.DUMMYFUNCTION("""COMPUTED_VALUE"""),"14/11/1972")</f>
        <v>14/11/1972</v>
      </c>
      <c r="L3452" s="35" t="str">
        <f>IFERROR(__xludf.DUMMYFUNCTION("""COMPUTED_VALUE"""),"PEREMPUAN")</f>
        <v>PEREMPUAN</v>
      </c>
      <c r="M3452" s="35" t="str">
        <f>IFERROR(__xludf.DUMMYFUNCTION("""COMPUTED_VALUE"""),"JL AHMAD YANI MERAL")</f>
        <v>JL AHMAD YANI MERAL</v>
      </c>
      <c r="N3452" s="35" t="str">
        <f>IFERROR(__xludf.DUMMYFUNCTION("""COMPUTED_VALUE"""),"MERAL KOTA")</f>
        <v>MERAL KOTA</v>
      </c>
      <c r="O3452" s="35" t="str">
        <f>IFERROR(__xludf.DUMMYFUNCTION("""COMPUTED_VALUE"""),"MERAL")</f>
        <v>MERAL</v>
      </c>
      <c r="P3452" s="35" t="str">
        <f>IFERROR(__xludf.DUMMYFUNCTION("""COMPUTED_VALUE"""),"KARIMUN")</f>
        <v>KARIMUN</v>
      </c>
      <c r="Q3452" s="35" t="str">
        <f>IFERROR(__xludf.DUMMYFUNCTION("""COMPUTED_VALUE"""),"KEPULAUAN RIAU")</f>
        <v>KEPULAUAN RIAU</v>
      </c>
      <c r="R3452" s="35" t="str">
        <f>IFERROR(__xludf.DUMMYFUNCTION("""COMPUTED_VALUE"""),"BUDDHA")</f>
        <v>BUDDHA</v>
      </c>
      <c r="S3452" s="74" t="str">
        <f>IFERROR(__xludf.DUMMYFUNCTION("""COMPUTED_VALUE"""),"IBU RUMAH TANGGA")</f>
        <v>IBU RUMAH TANGGA</v>
      </c>
      <c r="T3452" s="35" t="str">
        <f>IFERROR(__xludf.DUMMYFUNCTION("""COMPUTED_VALUE"""),"KAKI")</f>
        <v>KAKI</v>
      </c>
      <c r="U3452" s="35" t="str">
        <f>IFERROR(__xludf.DUMMYFUNCTION("""COMPUTED_VALUE"""),"BELUM TAU")</f>
        <v>BELUM TAU</v>
      </c>
      <c r="V3452" s="35" t="str">
        <f>IFERROR(__xludf.DUMMYFUNCTION("""COMPUTED_VALUE"""),"081378007737")</f>
        <v>081378007737</v>
      </c>
      <c r="W3452" s="45"/>
    </row>
    <row r="3453">
      <c r="A3453" s="45"/>
      <c r="B3453" s="35" t="str">
        <f>IFERROR(__xludf.DUMMYFUNCTION("""COMPUTED_VALUE"""),"11/02/2026 10:06:42")</f>
        <v>11/02/2026 10:06:42</v>
      </c>
      <c r="C3453" s="35"/>
      <c r="D3453" s="10">
        <f>IFERROR(__xludf.DUMMYFUNCTION("""COMPUTED_VALUE"""),46064.0)</f>
        <v>46064</v>
      </c>
      <c r="E3453" s="35" t="str">
        <f>IFERROR(__xludf.DUMMYFUNCTION("""COMPUTED_VALUE"""),"02Feb")</f>
        <v>02Feb</v>
      </c>
      <c r="F3453" s="35" t="str">
        <f>IFERROR(__xludf.DUMMYFUNCTION("""COMPUTED_VALUE"""),"2026")</f>
        <v>2026</v>
      </c>
      <c r="G3453" s="35" t="str">
        <f>IFERROR(__xludf.DUMMYFUNCTION("""COMPUTED_VALUE"""),"M.ZAINAL")</f>
        <v>M.ZAINAL</v>
      </c>
      <c r="H3453" s="35" t="str">
        <f>IFERROR(__xludf.DUMMYFUNCTION("""COMPUTED_VALUE"""),"M9526020666")</f>
        <v>M9526020666</v>
      </c>
      <c r="I3453" s="35">
        <f>IFERROR(__xludf.DUMMYFUNCTION("""COMPUTED_VALUE"""),30.0)</f>
        <v>30</v>
      </c>
      <c r="J3453" s="35" t="str">
        <f>IFERROR(__xludf.DUMMYFUNCTION("""COMPUTED_VALUE"""),"25-34 tahun")</f>
        <v>25-34 tahun</v>
      </c>
      <c r="K3453" s="35" t="str">
        <f>IFERROR(__xludf.DUMMYFUNCTION("""COMPUTED_VALUE"""),"08/08/1995")</f>
        <v>08/08/1995</v>
      </c>
      <c r="L3453" s="35" t="str">
        <f>IFERROR(__xludf.DUMMYFUNCTION("""COMPUTED_VALUE"""),"LAKI-LAKI")</f>
        <v>LAKI-LAKI</v>
      </c>
      <c r="M3453" s="35" t="str">
        <f>IFERROR(__xludf.DUMMYFUNCTION("""COMPUTED_VALUE"""),"DUSUN MELATI")</f>
        <v>DUSUN MELATI</v>
      </c>
      <c r="N3453" s="35" t="str">
        <f>IFERROR(__xludf.DUMMYFUNCTION("""COMPUTED_VALUE"""),"SUNGAI JAGA A")</f>
        <v>SUNGAI JAGA A</v>
      </c>
      <c r="O3453" s="35" t="str">
        <f>IFERROR(__xludf.DUMMYFUNCTION("""COMPUTED_VALUE"""),"SUNGAI RAYA")</f>
        <v>SUNGAI RAYA</v>
      </c>
      <c r="P3453" s="35" t="str">
        <f>IFERROR(__xludf.DUMMYFUNCTION("""COMPUTED_VALUE"""),"BENGKAYANG")</f>
        <v>BENGKAYANG</v>
      </c>
      <c r="Q3453" s="35" t="str">
        <f>IFERROR(__xludf.DUMMYFUNCTION("""COMPUTED_VALUE"""),"KALBAR")</f>
        <v>KALBAR</v>
      </c>
      <c r="R3453" s="35" t="str">
        <f>IFERROR(__xludf.DUMMYFUNCTION("""COMPUTED_VALUE"""),"ISLAM")</f>
        <v>ISLAM</v>
      </c>
      <c r="S3453" s="74" t="str">
        <f>IFERROR(__xludf.DUMMYFUNCTION("""COMPUTED_VALUE"""),"WIRASWASTA")</f>
        <v>WIRASWASTA</v>
      </c>
      <c r="T3453" s="35" t="str">
        <f>IFERROR(__xludf.DUMMYFUNCTION("""COMPUTED_VALUE"""),"CEDERA ACL")</f>
        <v>CEDERA ACL</v>
      </c>
      <c r="U3453" s="35" t="str">
        <f>IFERROR(__xludf.DUMMYFUNCTION("""COMPUTED_VALUE"""),"FUTSAL , SEPAKA BOLA, BULU TANGKIS")</f>
        <v>FUTSAL , SEPAKA BOLA, BULU TANGKIS</v>
      </c>
      <c r="V3453" s="35" t="str">
        <f>IFERROR(__xludf.DUMMYFUNCTION("""COMPUTED_VALUE"""),"085200050666")</f>
        <v>085200050666</v>
      </c>
      <c r="W3453" s="45"/>
    </row>
    <row r="3454">
      <c r="A3454" s="45"/>
      <c r="B3454" s="35" t="str">
        <f>IFERROR(__xludf.DUMMYFUNCTION("""COMPUTED_VALUE"""),"11/02/2026 10:39:58")</f>
        <v>11/02/2026 10:39:58</v>
      </c>
      <c r="C3454" s="35"/>
      <c r="D3454" s="10">
        <f>IFERROR(__xludf.DUMMYFUNCTION("""COMPUTED_VALUE"""),46064.0)</f>
        <v>46064</v>
      </c>
      <c r="E3454" s="35" t="str">
        <f>IFERROR(__xludf.DUMMYFUNCTION("""COMPUTED_VALUE"""),"02Feb")</f>
        <v>02Feb</v>
      </c>
      <c r="F3454" s="35" t="str">
        <f>IFERROR(__xludf.DUMMYFUNCTION("""COMPUTED_VALUE"""),"2026")</f>
        <v>2026</v>
      </c>
      <c r="G3454" s="35" t="str">
        <f>IFERROR(__xludf.DUMMYFUNCTION("""COMPUTED_VALUE"""),"TITA ROSITA")</f>
        <v>TITA ROSITA</v>
      </c>
      <c r="H3454" s="35" t="str">
        <f>IFERROR(__xludf.DUMMYFUNCTION("""COMPUTED_VALUE"""),"T9426029868")</f>
        <v>T9426029868</v>
      </c>
      <c r="I3454" s="35">
        <f>IFERROR(__xludf.DUMMYFUNCTION("""COMPUTED_VALUE"""),32.0)</f>
        <v>32</v>
      </c>
      <c r="J3454" s="35" t="str">
        <f>IFERROR(__xludf.DUMMYFUNCTION("""COMPUTED_VALUE"""),"25-34 tahun")</f>
        <v>25-34 tahun</v>
      </c>
      <c r="K3454" s="35" t="str">
        <f>IFERROR(__xludf.DUMMYFUNCTION("""COMPUTED_VALUE"""),"01/05/1994")</f>
        <v>01/05/1994</v>
      </c>
      <c r="L3454" s="35" t="str">
        <f>IFERROR(__xludf.DUMMYFUNCTION("""COMPUTED_VALUE"""),"PEREMPUAN")</f>
        <v>PEREMPUAN</v>
      </c>
      <c r="M3454" s="35" t="str">
        <f>IFERROR(__xludf.DUMMYFUNCTION("""COMPUTED_VALUE"""),"PERCETAKAN NEGARA")</f>
        <v>PERCETAKAN NEGARA</v>
      </c>
      <c r="N3454" s="35" t="str">
        <f>IFERROR(__xludf.DUMMYFUNCTION("""COMPUTED_VALUE"""),"RAWASARI")</f>
        <v>RAWASARI</v>
      </c>
      <c r="O3454" s="35" t="str">
        <f>IFERROR(__xludf.DUMMYFUNCTION("""COMPUTED_VALUE"""),"CEMPAKA PUTIH")</f>
        <v>CEMPAKA PUTIH</v>
      </c>
      <c r="P3454" s="35" t="str">
        <f>IFERROR(__xludf.DUMMYFUNCTION("""COMPUTED_VALUE"""),"JKT PUSAT")</f>
        <v>JKT PUSAT</v>
      </c>
      <c r="Q3454" s="35" t="str">
        <f>IFERROR(__xludf.DUMMYFUNCTION("""COMPUTED_VALUE"""),"JKT")</f>
        <v>JKT</v>
      </c>
      <c r="R3454" s="35" t="str">
        <f>IFERROR(__xludf.DUMMYFUNCTION("""COMPUTED_VALUE"""),"ISLAM")</f>
        <v>ISLAM</v>
      </c>
      <c r="S3454" s="74" t="str">
        <f>IFERROR(__xludf.DUMMYFUNCTION("""COMPUTED_VALUE"""),"PNS")</f>
        <v>PNS</v>
      </c>
      <c r="T3454" s="35" t="str">
        <f>IFERROR(__xludf.DUMMYFUNCTION("""COMPUTED_VALUE"""),"PLANTAR FASITIS")</f>
        <v>PLANTAR FASITIS</v>
      </c>
      <c r="U3454" s="35" t="str">
        <f>IFERROR(__xludf.DUMMYFUNCTION("""COMPUTED_VALUE"""),"FUTSAL")</f>
        <v>FUTSAL</v>
      </c>
      <c r="V3454" s="35" t="str">
        <f>IFERROR(__xludf.DUMMYFUNCTION("""COMPUTED_VALUE"""),"081772859868")</f>
        <v>081772859868</v>
      </c>
      <c r="W3454" s="45"/>
    </row>
    <row r="3455">
      <c r="A3455" s="45"/>
      <c r="B3455" s="35" t="str">
        <f>IFERROR(__xludf.DUMMYFUNCTION("""COMPUTED_VALUE"""),"11/02/2026 15:03:23")</f>
        <v>11/02/2026 15:03:23</v>
      </c>
      <c r="C3455" s="35"/>
      <c r="D3455" s="10">
        <f>IFERROR(__xludf.DUMMYFUNCTION("""COMPUTED_VALUE"""),46064.0)</f>
        <v>46064</v>
      </c>
      <c r="E3455" s="35" t="str">
        <f>IFERROR(__xludf.DUMMYFUNCTION("""COMPUTED_VALUE"""),"02Feb")</f>
        <v>02Feb</v>
      </c>
      <c r="F3455" s="35" t="str">
        <f>IFERROR(__xludf.DUMMYFUNCTION("""COMPUTED_VALUE"""),"2026")</f>
        <v>2026</v>
      </c>
      <c r="G3455" s="35" t="str">
        <f>IFERROR(__xludf.DUMMYFUNCTION("""COMPUTED_VALUE"""),"DAHLIA 7206")</f>
        <v>DAHLIA 7206</v>
      </c>
      <c r="H3455" s="35" t="str">
        <f>IFERROR(__xludf.DUMMYFUNCTION("""COMPUTED_VALUE"""),"D7226025707")</f>
        <v>D7226025707</v>
      </c>
      <c r="I3455" s="35">
        <f>IFERROR(__xludf.DUMMYFUNCTION("""COMPUTED_VALUE"""),54.0)</f>
        <v>54</v>
      </c>
      <c r="J3455" s="35" t="str">
        <f>IFERROR(__xludf.DUMMYFUNCTION("""COMPUTED_VALUE"""),"&gt; 44 tahun")</f>
        <v>&gt; 44 tahun</v>
      </c>
      <c r="K3455" s="35" t="str">
        <f>IFERROR(__xludf.DUMMYFUNCTION("""COMPUTED_VALUE"""),"11/06/1972")</f>
        <v>11/06/1972</v>
      </c>
      <c r="L3455" s="35" t="str">
        <f>IFERROR(__xludf.DUMMYFUNCTION("""COMPUTED_VALUE"""),"PEREMPUAN")</f>
        <v>PEREMPUAN</v>
      </c>
      <c r="M3455" s="35" t="str">
        <f>IFERROR(__xludf.DUMMYFUNCTION("""COMPUTED_VALUE"""),"JL. KOMYOS SUDARSO GG TRI PUTRI NO.74")</f>
        <v>JL. KOMYOS SUDARSO GG TRI PUTRI NO.74</v>
      </c>
      <c r="N3455" s="35" t="str">
        <f>IFERROR(__xludf.DUMMYFUNCTION("""COMPUTED_VALUE"""),"SUNGAI BELIUNG")</f>
        <v>SUNGAI BELIUNG</v>
      </c>
      <c r="O3455" s="35" t="str">
        <f>IFERROR(__xludf.DUMMYFUNCTION("""COMPUTED_VALUE"""),"PONTIANAK BARAT")</f>
        <v>PONTIANAK BARAT</v>
      </c>
      <c r="P3455" s="35" t="str">
        <f>IFERROR(__xludf.DUMMYFUNCTION("""COMPUTED_VALUE"""),"PONTIANAK KOTA")</f>
        <v>PONTIANAK KOTA</v>
      </c>
      <c r="Q3455" s="35" t="str">
        <f>IFERROR(__xludf.DUMMYFUNCTION("""COMPUTED_VALUE"""),"KALIMANTAN BARAT")</f>
        <v>KALIMANTAN BARAT</v>
      </c>
      <c r="R3455" s="35" t="str">
        <f>IFERROR(__xludf.DUMMYFUNCTION("""COMPUTED_VALUE"""),"ISLAM")</f>
        <v>ISLAM</v>
      </c>
      <c r="S3455" s="74" t="str">
        <f>IFERROR(__xludf.DUMMYFUNCTION("""COMPUTED_VALUE"""),"IBU RUMAH TANGGA")</f>
        <v>IBU RUMAH TANGGA</v>
      </c>
      <c r="T3455" s="35" t="str">
        <f>IFERROR(__xludf.DUMMYFUNCTION("""COMPUTED_VALUE"""),"-")</f>
        <v>-</v>
      </c>
      <c r="U3455" s="35" t="str">
        <f>IFERROR(__xludf.DUMMYFUNCTION("""COMPUTED_VALUE"""),"-")</f>
        <v>-</v>
      </c>
      <c r="V3455" s="35" t="str">
        <f>IFERROR(__xludf.DUMMYFUNCTION("""COMPUTED_VALUE"""),"082150265707")</f>
        <v>082150265707</v>
      </c>
      <c r="W3455" s="45"/>
    </row>
    <row r="3456">
      <c r="A3456" s="45"/>
      <c r="B3456" s="35" t="str">
        <f>IFERROR(__xludf.DUMMYFUNCTION("""COMPUTED_VALUE"""),"11/02/2026 19:15:04")</f>
        <v>11/02/2026 19:15:04</v>
      </c>
      <c r="C3456" s="35"/>
      <c r="D3456" s="10">
        <f>IFERROR(__xludf.DUMMYFUNCTION("""COMPUTED_VALUE"""),46064.0)</f>
        <v>46064</v>
      </c>
      <c r="E3456" s="35" t="str">
        <f>IFERROR(__xludf.DUMMYFUNCTION("""COMPUTED_VALUE"""),"02Feb")</f>
        <v>02Feb</v>
      </c>
      <c r="F3456" s="35" t="str">
        <f>IFERROR(__xludf.DUMMYFUNCTION("""COMPUTED_VALUE"""),"2026")</f>
        <v>2026</v>
      </c>
      <c r="G3456" s="35" t="str">
        <f>IFERROR(__xludf.DUMMYFUNCTION("""COMPUTED_VALUE"""),"NURSILA")</f>
        <v>NURSILA</v>
      </c>
      <c r="H3456" s="35" t="str">
        <f>IFERROR(__xludf.DUMMYFUNCTION("""COMPUTED_VALUE"""),"N7426020178")</f>
        <v>N7426020178</v>
      </c>
      <c r="I3456" s="35">
        <f>IFERROR(__xludf.DUMMYFUNCTION("""COMPUTED_VALUE"""),51.0)</f>
        <v>51</v>
      </c>
      <c r="J3456" s="35" t="str">
        <f>IFERROR(__xludf.DUMMYFUNCTION("""COMPUTED_VALUE"""),"&gt; 44 tahun")</f>
        <v>&gt; 44 tahun</v>
      </c>
      <c r="K3456" s="35" t="str">
        <f>IFERROR(__xludf.DUMMYFUNCTION("""COMPUTED_VALUE"""),"05/07/1974")</f>
        <v>05/07/1974</v>
      </c>
      <c r="L3456" s="35" t="str">
        <f>IFERROR(__xludf.DUMMYFUNCTION("""COMPUTED_VALUE"""),"PEREMPUAN")</f>
        <v>PEREMPUAN</v>
      </c>
      <c r="M3456" s="35" t="str">
        <f>IFERROR(__xludf.DUMMYFUNCTION("""COMPUTED_VALUE"""),"JL WR SUPRATMAN")</f>
        <v>JL WR SUPRATMAN</v>
      </c>
      <c r="N3456" s="35" t="str">
        <f>IFERROR(__xludf.DUMMYFUNCTION("""COMPUTED_VALUE"""),"BENUA MELAYU DARAT")</f>
        <v>BENUA MELAYU DARAT</v>
      </c>
      <c r="O3456" s="35" t="str">
        <f>IFERROR(__xludf.DUMMYFUNCTION("""COMPUTED_VALUE"""),"PONTIANAK SELATAN")</f>
        <v>PONTIANAK SELATAN</v>
      </c>
      <c r="P3456" s="35" t="str">
        <f>IFERROR(__xludf.DUMMYFUNCTION("""COMPUTED_VALUE"""),"PONTIANAK")</f>
        <v>PONTIANAK</v>
      </c>
      <c r="Q3456" s="35" t="str">
        <f>IFERROR(__xludf.DUMMYFUNCTION("""COMPUTED_VALUE"""),"KALIMANTAN BARAT")</f>
        <v>KALIMANTAN BARAT</v>
      </c>
      <c r="R3456" s="35" t="str">
        <f>IFERROR(__xludf.DUMMYFUNCTION("""COMPUTED_VALUE"""),"ISLAM")</f>
        <v>ISLAM</v>
      </c>
      <c r="S3456" s="74" t="str">
        <f>IFERROR(__xludf.DUMMYFUNCTION("""COMPUTED_VALUE"""),"IRT")</f>
        <v>IRT</v>
      </c>
      <c r="T3456" s="35" t="str">
        <f>IFERROR(__xludf.DUMMYFUNCTION("""COMPUTED_VALUE"""),"TANGAN")</f>
        <v>TANGAN</v>
      </c>
      <c r="U3456" s="35" t="str">
        <f>IFERROR(__xludf.DUMMYFUNCTION("""COMPUTED_VALUE"""),"081345230178")</f>
        <v>081345230178</v>
      </c>
      <c r="V3456" s="35" t="str">
        <f>IFERROR(__xludf.DUMMYFUNCTION("""COMPUTED_VALUE"""),"081345230178")</f>
        <v>081345230178</v>
      </c>
      <c r="W3456" s="45"/>
    </row>
    <row r="3457">
      <c r="A3457" s="45"/>
      <c r="B3457" s="35" t="str">
        <f>IFERROR(__xludf.DUMMYFUNCTION("""COMPUTED_VALUE"""),"12/02/2026 10:12:22")</f>
        <v>12/02/2026 10:12:22</v>
      </c>
      <c r="C3457" s="35"/>
      <c r="D3457" s="10">
        <f>IFERROR(__xludf.DUMMYFUNCTION("""COMPUTED_VALUE"""),46065.0)</f>
        <v>46065</v>
      </c>
      <c r="E3457" s="35" t="str">
        <f>IFERROR(__xludf.DUMMYFUNCTION("""COMPUTED_VALUE"""),"02Feb")</f>
        <v>02Feb</v>
      </c>
      <c r="F3457" s="35" t="str">
        <f>IFERROR(__xludf.DUMMYFUNCTION("""COMPUTED_VALUE"""),"2026")</f>
        <v>2026</v>
      </c>
      <c r="G3457" s="35" t="str">
        <f>IFERROR(__xludf.DUMMYFUNCTION("""COMPUTED_VALUE"""),"JUNIARDI ")</f>
        <v>JUNIARDI </v>
      </c>
      <c r="H3457" s="35" t="str">
        <f>IFERROR(__xludf.DUMMYFUNCTION("""COMPUTED_VALUE"""),"J8126027501")</f>
        <v>J8126027501</v>
      </c>
      <c r="I3457" s="35">
        <f>IFERROR(__xludf.DUMMYFUNCTION("""COMPUTED_VALUE"""),44.0)</f>
        <v>44</v>
      </c>
      <c r="J3457" s="35" t="str">
        <f>IFERROR(__xludf.DUMMYFUNCTION("""COMPUTED_VALUE"""),"35-44 tahun")</f>
        <v>35-44 tahun</v>
      </c>
      <c r="K3457" s="35" t="str">
        <f>IFERROR(__xludf.DUMMYFUNCTION("""COMPUTED_VALUE"""),"26/06/1981")</f>
        <v>26/06/1981</v>
      </c>
      <c r="L3457" s="35" t="str">
        <f>IFERROR(__xludf.DUMMYFUNCTION("""COMPUTED_VALUE"""),"LAKI-LAKI")</f>
        <v>LAKI-LAKI</v>
      </c>
      <c r="M3457" s="35" t="str">
        <f>IFERROR(__xludf.DUMMYFUNCTION("""COMPUTED_VALUE"""),"RT.01/RW.01 DUSUN TERAP ")</f>
        <v>RT.01/RW.01 DUSUN TERAP </v>
      </c>
      <c r="N3457" s="35" t="str">
        <f>IFERROR(__xludf.DUMMYFUNCTION("""COMPUTED_VALUE"""),"TERAP ")</f>
        <v>TERAP </v>
      </c>
      <c r="O3457" s="35" t="str">
        <f>IFERROR(__xludf.DUMMYFUNCTION("""COMPUTED_VALUE"""),"TOHO ")</f>
        <v>TOHO </v>
      </c>
      <c r="P3457" s="35" t="str">
        <f>IFERROR(__xludf.DUMMYFUNCTION("""COMPUTED_VALUE"""),"MEMPAWAH ")</f>
        <v>MEMPAWAH </v>
      </c>
      <c r="Q3457" s="35" t="str">
        <f>IFERROR(__xludf.DUMMYFUNCTION("""COMPUTED_VALUE"""),"KALIMANTAN BARAT ")</f>
        <v>KALIMANTAN BARAT </v>
      </c>
      <c r="R3457" s="35" t="str">
        <f>IFERROR(__xludf.DUMMYFUNCTION("""COMPUTED_VALUE"""),"PROTESTAN")</f>
        <v>PROTESTAN</v>
      </c>
      <c r="S3457" s="74" t="str">
        <f>IFERROR(__xludf.DUMMYFUNCTION("""COMPUTED_VALUE"""),"PNS")</f>
        <v>PNS</v>
      </c>
      <c r="T3457" s="35" t="str">
        <f>IFERROR(__xludf.DUMMYFUNCTION("""COMPUTED_VALUE"""),"JARI TELUNJUK KAKU")</f>
        <v>JARI TELUNJUK KAKU</v>
      </c>
      <c r="U3457" s="35" t="str">
        <f>IFERROR(__xludf.DUMMYFUNCTION("""COMPUTED_VALUE"""),"MENGETIK ")</f>
        <v>MENGETIK </v>
      </c>
      <c r="V3457" s="35" t="str">
        <f>IFERROR(__xludf.DUMMYFUNCTION("""COMPUTED_VALUE"""),"85651927501")</f>
        <v>85651927501</v>
      </c>
      <c r="W3457" s="45"/>
    </row>
    <row r="3458">
      <c r="A3458" s="45"/>
      <c r="B3458" s="35" t="str">
        <f>IFERROR(__xludf.DUMMYFUNCTION("""COMPUTED_VALUE"""),"12/02/2026 10:43:21")</f>
        <v>12/02/2026 10:43:21</v>
      </c>
      <c r="C3458" s="35"/>
      <c r="D3458" s="10">
        <f>IFERROR(__xludf.DUMMYFUNCTION("""COMPUTED_VALUE"""),46065.0)</f>
        <v>46065</v>
      </c>
      <c r="E3458" s="35" t="str">
        <f>IFERROR(__xludf.DUMMYFUNCTION("""COMPUTED_VALUE"""),"02Feb")</f>
        <v>02Feb</v>
      </c>
      <c r="F3458" s="35" t="str">
        <f>IFERROR(__xludf.DUMMYFUNCTION("""COMPUTED_VALUE"""),"2026")</f>
        <v>2026</v>
      </c>
      <c r="G3458" s="35" t="str">
        <f>IFERROR(__xludf.DUMMYFUNCTION("""COMPUTED_VALUE"""),"RIO RAMANDA ")</f>
        <v>RIO RAMANDA </v>
      </c>
      <c r="H3458" s="35" t="str">
        <f>IFERROR(__xludf.DUMMYFUNCTION("""COMPUTED_VALUE"""),"R9226027667")</f>
        <v>R9226027667</v>
      </c>
      <c r="I3458" s="35">
        <f>IFERROR(__xludf.DUMMYFUNCTION("""COMPUTED_VALUE"""),34.0)</f>
        <v>34</v>
      </c>
      <c r="J3458" s="35" t="str">
        <f>IFERROR(__xludf.DUMMYFUNCTION("""COMPUTED_VALUE"""),"25-34 tahun")</f>
        <v>25-34 tahun</v>
      </c>
      <c r="K3458" s="35" t="str">
        <f>IFERROR(__xludf.DUMMYFUNCTION("""COMPUTED_VALUE"""),"01/04/1992")</f>
        <v>01/04/1992</v>
      </c>
      <c r="L3458" s="35" t="str">
        <f>IFERROR(__xludf.DUMMYFUNCTION("""COMPUTED_VALUE"""),"LAKI-LAKI")</f>
        <v>LAKI-LAKI</v>
      </c>
      <c r="M3458" s="35" t="str">
        <f>IFERROR(__xludf.DUMMYFUNCTION("""COMPUTED_VALUE"""),"JL. AMPERA, KOMP. ARI KARYA INDAH NO.8")</f>
        <v>JL. AMPERA, KOMP. ARI KARYA INDAH NO.8</v>
      </c>
      <c r="N3458" s="35" t="str">
        <f>IFERROR(__xludf.DUMMYFUNCTION("""COMPUTED_VALUE"""),"SUNGAI BANGKONG")</f>
        <v>SUNGAI BANGKONG</v>
      </c>
      <c r="O3458" s="35" t="str">
        <f>IFERROR(__xludf.DUMMYFUNCTION("""COMPUTED_VALUE"""),"PONTIANAK KOTA")</f>
        <v>PONTIANAK KOTA</v>
      </c>
      <c r="P3458" s="35" t="str">
        <f>IFERROR(__xludf.DUMMYFUNCTION("""COMPUTED_VALUE"""),"KOTA PONTIANAK")</f>
        <v>KOTA PONTIANAK</v>
      </c>
      <c r="Q3458" s="35" t="str">
        <f>IFERROR(__xludf.DUMMYFUNCTION("""COMPUTED_VALUE"""),"KALIMANTAN BARAT")</f>
        <v>KALIMANTAN BARAT</v>
      </c>
      <c r="R3458" s="35" t="str">
        <f>IFERROR(__xludf.DUMMYFUNCTION("""COMPUTED_VALUE"""),"ISLAM")</f>
        <v>ISLAM</v>
      </c>
      <c r="S3458" s="74" t="str">
        <f>IFERROR(__xludf.DUMMYFUNCTION("""COMPUTED_VALUE"""),"KARYAWAN BUMD")</f>
        <v>KARYAWAN BUMD</v>
      </c>
      <c r="T3458" s="35" t="str">
        <f>IFERROR(__xludf.DUMMYFUNCTION("""COMPUTED_VALUE"""),"TANGAN")</f>
        <v>TANGAN</v>
      </c>
      <c r="U3458" s="35" t="str">
        <f>IFERROR(__xludf.DUMMYFUNCTION("""COMPUTED_VALUE"""),"HABIS KECELAKANAAN")</f>
        <v>HABIS KECELAKANAAN</v>
      </c>
      <c r="V3458" s="35" t="str">
        <f>IFERROR(__xludf.DUMMYFUNCTION("""COMPUTED_VALUE"""),"081360177667")</f>
        <v>081360177667</v>
      </c>
      <c r="W3458" s="45"/>
    </row>
    <row r="3459">
      <c r="A3459" s="45"/>
      <c r="B3459" s="35" t="str">
        <f>IFERROR(__xludf.DUMMYFUNCTION("""COMPUTED_VALUE"""),"12/02/2026 11:39:08")</f>
        <v>12/02/2026 11:39:08</v>
      </c>
      <c r="C3459" s="35"/>
      <c r="D3459" s="10">
        <f>IFERROR(__xludf.DUMMYFUNCTION("""COMPUTED_VALUE"""),46065.0)</f>
        <v>46065</v>
      </c>
      <c r="E3459" s="35" t="str">
        <f>IFERROR(__xludf.DUMMYFUNCTION("""COMPUTED_VALUE"""),"02Feb")</f>
        <v>02Feb</v>
      </c>
      <c r="F3459" s="35" t="str">
        <f>IFERROR(__xludf.DUMMYFUNCTION("""COMPUTED_VALUE"""),"2026")</f>
        <v>2026</v>
      </c>
      <c r="G3459" s="35" t="str">
        <f>IFERROR(__xludf.DUMMYFUNCTION("""COMPUTED_VALUE"""),"ANDY PANJAYA")</f>
        <v>ANDY PANJAYA</v>
      </c>
      <c r="H3459" s="35" t="str">
        <f>IFERROR(__xludf.DUMMYFUNCTION("""COMPUTED_VALUE"""),"A0026025710")</f>
        <v>A0026025710</v>
      </c>
      <c r="I3459" s="35">
        <f>IFERROR(__xludf.DUMMYFUNCTION("""COMPUTED_VALUE"""),26.0)</f>
        <v>26</v>
      </c>
      <c r="J3459" s="35" t="str">
        <f>IFERROR(__xludf.DUMMYFUNCTION("""COMPUTED_VALUE"""),"25-34 tahun")</f>
        <v>25-34 tahun</v>
      </c>
      <c r="K3459" s="35" t="str">
        <f>IFERROR(__xludf.DUMMYFUNCTION("""COMPUTED_VALUE"""),"20/03/2000")</f>
        <v>20/03/2000</v>
      </c>
      <c r="L3459" s="35" t="str">
        <f>IFERROR(__xludf.DUMMYFUNCTION("""COMPUTED_VALUE"""),"LAKI-LAKI")</f>
        <v>LAKI-LAKI</v>
      </c>
      <c r="M3459" s="35" t="str">
        <f>IFERROR(__xludf.DUMMYFUNCTION("""COMPUTED_VALUE"""),"JALAN IMAM BONJOL GANG DALAM NO.2/1")</f>
        <v>JALAN IMAM BONJOL GANG DALAM NO.2/1</v>
      </c>
      <c r="N3459" s="35" t="str">
        <f>IFERROR(__xludf.DUMMYFUNCTION("""COMPUTED_VALUE"""),"BENUA MELAYU DARAT")</f>
        <v>BENUA MELAYU DARAT</v>
      </c>
      <c r="O3459" s="35" t="str">
        <f>IFERROR(__xludf.DUMMYFUNCTION("""COMPUTED_VALUE"""),"PONTIANAK SELATAN")</f>
        <v>PONTIANAK SELATAN</v>
      </c>
      <c r="P3459" s="35" t="str">
        <f>IFERROR(__xludf.DUMMYFUNCTION("""COMPUTED_VALUE"""),"KOTA PONTIANAK")</f>
        <v>KOTA PONTIANAK</v>
      </c>
      <c r="Q3459" s="35" t="str">
        <f>IFERROR(__xludf.DUMMYFUNCTION("""COMPUTED_VALUE"""),"KALIMANTAN BARAT")</f>
        <v>KALIMANTAN BARAT</v>
      </c>
      <c r="R3459" s="35" t="str">
        <f>IFERROR(__xludf.DUMMYFUNCTION("""COMPUTED_VALUE"""),"BUDDHA")</f>
        <v>BUDDHA</v>
      </c>
      <c r="S3459" s="74" t="str">
        <f>IFERROR(__xludf.DUMMYFUNCTION("""COMPUTED_VALUE"""),"WIRASWASTA")</f>
        <v>WIRASWASTA</v>
      </c>
      <c r="T3459" s="35" t="str">
        <f>IFERROR(__xludf.DUMMYFUNCTION("""COMPUTED_VALUE"""),"DISLOKASI BAHU")</f>
        <v>DISLOKASI BAHU</v>
      </c>
      <c r="U3459" s="35" t="str">
        <f>IFERROR(__xludf.DUMMYFUNCTION("""COMPUTED_VALUE"""),"GYM,BILLIARD, DAN BERENANG")</f>
        <v>GYM,BILLIARD, DAN BERENANG</v>
      </c>
      <c r="V3459" s="35" t="str">
        <f>IFERROR(__xludf.DUMMYFUNCTION("""COMPUTED_VALUE"""),"082165735710")</f>
        <v>082165735710</v>
      </c>
      <c r="W3459" s="45"/>
    </row>
    <row r="3460">
      <c r="A3460" s="45"/>
      <c r="B3460" s="35" t="str">
        <f>IFERROR(__xludf.DUMMYFUNCTION("""COMPUTED_VALUE"""),"12/02/2026 11:47:15")</f>
        <v>12/02/2026 11:47:15</v>
      </c>
      <c r="C3460" s="35"/>
      <c r="D3460" s="10">
        <f>IFERROR(__xludf.DUMMYFUNCTION("""COMPUTED_VALUE"""),46065.0)</f>
        <v>46065</v>
      </c>
      <c r="E3460" s="35" t="str">
        <f>IFERROR(__xludf.DUMMYFUNCTION("""COMPUTED_VALUE"""),"02Feb")</f>
        <v>02Feb</v>
      </c>
      <c r="F3460" s="35" t="str">
        <f>IFERROR(__xludf.DUMMYFUNCTION("""COMPUTED_VALUE"""),"2026")</f>
        <v>2026</v>
      </c>
      <c r="G3460" s="35" t="str">
        <f>IFERROR(__xludf.DUMMYFUNCTION("""COMPUTED_VALUE"""),"MELISA")</f>
        <v>MELISA</v>
      </c>
      <c r="H3460" s="35" t="str">
        <f>IFERROR(__xludf.DUMMYFUNCTION("""COMPUTED_VALUE"""),"M9126021128")</f>
        <v>M9126021128</v>
      </c>
      <c r="I3460" s="35">
        <f>IFERROR(__xludf.DUMMYFUNCTION("""COMPUTED_VALUE"""),35.0)</f>
        <v>35</v>
      </c>
      <c r="J3460" s="35" t="str">
        <f>IFERROR(__xludf.DUMMYFUNCTION("""COMPUTED_VALUE"""),"35-44 tahun")</f>
        <v>35-44 tahun</v>
      </c>
      <c r="K3460" s="35" t="str">
        <f>IFERROR(__xludf.DUMMYFUNCTION("""COMPUTED_VALUE"""),"08/05/1991")</f>
        <v>08/05/1991</v>
      </c>
      <c r="L3460" s="35" t="str">
        <f>IFERROR(__xludf.DUMMYFUNCTION("""COMPUTED_VALUE"""),"PEREMPUAN")</f>
        <v>PEREMPUAN</v>
      </c>
      <c r="M3460" s="35" t="str">
        <f>IFERROR(__xludf.DUMMYFUNCTION("""COMPUTED_VALUE"""),"JALAN TANJUNGPURA 132")</f>
        <v>JALAN TANJUNGPURA 132</v>
      </c>
      <c r="N3460" s="35" t="str">
        <f>IFERROR(__xludf.DUMMYFUNCTION("""COMPUTED_VALUE"""),"BENUA MELAYU DARAT")</f>
        <v>BENUA MELAYU DARAT</v>
      </c>
      <c r="O3460" s="35" t="str">
        <f>IFERROR(__xludf.DUMMYFUNCTION("""COMPUTED_VALUE"""),"PONTIANAK SELATAN")</f>
        <v>PONTIANAK SELATAN</v>
      </c>
      <c r="P3460" s="35" t="str">
        <f>IFERROR(__xludf.DUMMYFUNCTION("""COMPUTED_VALUE"""),"PONTIANAK")</f>
        <v>PONTIANAK</v>
      </c>
      <c r="Q3460" s="35" t="str">
        <f>IFERROR(__xludf.DUMMYFUNCTION("""COMPUTED_VALUE"""),"KALIMANTAN BARAT")</f>
        <v>KALIMANTAN BARAT</v>
      </c>
      <c r="R3460" s="35" t="str">
        <f>IFERROR(__xludf.DUMMYFUNCTION("""COMPUTED_VALUE"""),"KATOLIK")</f>
        <v>KATOLIK</v>
      </c>
      <c r="S3460" s="74" t="str">
        <f>IFERROR(__xludf.DUMMYFUNCTION("""COMPUTED_VALUE"""),"BUMD")</f>
        <v>BUMD</v>
      </c>
      <c r="T3460" s="35" t="str">
        <f>IFERROR(__xludf.DUMMYFUNCTION("""COMPUTED_VALUE"""),"TANGAN KANAN PEGAL SUDAH 3 MINGGU")</f>
        <v>TANGAN KANAN PEGAL SUDAH 3 MINGGU</v>
      </c>
      <c r="U3460" s="35" t="str">
        <f>IFERROR(__xludf.DUMMYFUNCTION("""COMPUTED_VALUE"""),"SEPERTINYA TIDUR DENGAN POSISI DITIMPAK ANAK BERAT 13 KG")</f>
        <v>SEPERTINYA TIDUR DENGAN POSISI DITIMPAK ANAK BERAT 13 KG</v>
      </c>
      <c r="V3460" s="35" t="str">
        <f>IFERROR(__xludf.DUMMYFUNCTION("""COMPUTED_VALUE"""),"085787271128")</f>
        <v>085787271128</v>
      </c>
      <c r="W3460" s="45"/>
    </row>
    <row r="3461">
      <c r="A3461" s="45"/>
      <c r="B3461" s="35" t="str">
        <f>IFERROR(__xludf.DUMMYFUNCTION("""COMPUTED_VALUE"""),"12/02/2026 13:31:46")</f>
        <v>12/02/2026 13:31:46</v>
      </c>
      <c r="C3461" s="35"/>
      <c r="D3461" s="10">
        <f>IFERROR(__xludf.DUMMYFUNCTION("""COMPUTED_VALUE"""),46065.0)</f>
        <v>46065</v>
      </c>
      <c r="E3461" s="35" t="str">
        <f>IFERROR(__xludf.DUMMYFUNCTION("""COMPUTED_VALUE"""),"02Feb")</f>
        <v>02Feb</v>
      </c>
      <c r="F3461" s="35" t="str">
        <f>IFERROR(__xludf.DUMMYFUNCTION("""COMPUTED_VALUE"""),"2026")</f>
        <v>2026</v>
      </c>
      <c r="G3461" s="35" t="str">
        <f>IFERROR(__xludf.DUMMYFUNCTION("""COMPUTED_VALUE"""),"ANIK LAILATUL NUTTAFIA")</f>
        <v>ANIK LAILATUL NUTTAFIA</v>
      </c>
      <c r="H3461" s="35" t="str">
        <f>IFERROR(__xludf.DUMMYFUNCTION("""COMPUTED_VALUE"""),"A8326026146")</f>
        <v>A8326026146</v>
      </c>
      <c r="I3461" s="35">
        <f>IFERROR(__xludf.DUMMYFUNCTION("""COMPUTED_VALUE"""),42.0)</f>
        <v>42</v>
      </c>
      <c r="J3461" s="35" t="str">
        <f>IFERROR(__xludf.DUMMYFUNCTION("""COMPUTED_VALUE"""),"35-44 tahun")</f>
        <v>35-44 tahun</v>
      </c>
      <c r="K3461" s="35" t="str">
        <f>IFERROR(__xludf.DUMMYFUNCTION("""COMPUTED_VALUE"""),"04/09/1983")</f>
        <v>04/09/1983</v>
      </c>
      <c r="L3461" s="35" t="str">
        <f>IFERROR(__xludf.DUMMYFUNCTION("""COMPUTED_VALUE"""),"PEREMPUAN")</f>
        <v>PEREMPUAN</v>
      </c>
      <c r="M3461" s="35" t="str">
        <f>IFERROR(__xludf.DUMMYFUNCTION("""COMPUTED_VALUE"""),"KOMP. TABRANI INDAH PERMAI A3")</f>
        <v>KOMP. TABRANI INDAH PERMAI A3</v>
      </c>
      <c r="N3461" s="35" t="str">
        <f>IFERROR(__xludf.DUMMYFUNCTION("""COMPUTED_VALUE"""),"PAL 5")</f>
        <v>PAL 5</v>
      </c>
      <c r="O3461" s="35" t="str">
        <f>IFERROR(__xludf.DUMMYFUNCTION("""COMPUTED_VALUE"""),"PTK BARAT")</f>
        <v>PTK BARAT</v>
      </c>
      <c r="P3461" s="35" t="str">
        <f>IFERROR(__xludf.DUMMYFUNCTION("""COMPUTED_VALUE"""),"PONTIANAK")</f>
        <v>PONTIANAK</v>
      </c>
      <c r="Q3461" s="35" t="str">
        <f>IFERROR(__xludf.DUMMYFUNCTION("""COMPUTED_VALUE"""),"KAL BAR")</f>
        <v>KAL BAR</v>
      </c>
      <c r="R3461" s="35" t="str">
        <f>IFERROR(__xludf.DUMMYFUNCTION("""COMPUTED_VALUE"""),"ISLAM")</f>
        <v>ISLAM</v>
      </c>
      <c r="S3461" s="74" t="str">
        <f>IFERROR(__xludf.DUMMYFUNCTION("""COMPUTED_VALUE"""),"IBU RUMAH TANGGA")</f>
        <v>IBU RUMAH TANGGA</v>
      </c>
      <c r="T3461" s="35" t="str">
        <f>IFERROR(__xludf.DUMMYFUNCTION("""COMPUTED_VALUE"""),"SAKIT DILUTUT KANAN")</f>
        <v>SAKIT DILUTUT KANAN</v>
      </c>
      <c r="U3461" s="35" t="str">
        <f>IFERROR(__xludf.DUMMYFUNCTION("""COMPUTED_VALUE"""),"KALAU ABIS JONGKOK SUSAH BERDIRI, BERJALAN JUGA SAKIT")</f>
        <v>KALAU ABIS JONGKOK SUSAH BERDIRI, BERJALAN JUGA SAKIT</v>
      </c>
      <c r="V3461" s="35" t="str">
        <f>IFERROR(__xludf.DUMMYFUNCTION("""COMPUTED_VALUE"""),"082148506146")</f>
        <v>082148506146</v>
      </c>
      <c r="W3461" s="45"/>
    </row>
    <row r="3462">
      <c r="A3462" s="45"/>
      <c r="B3462" s="35" t="str">
        <f>IFERROR(__xludf.DUMMYFUNCTION("""COMPUTED_VALUE"""),"12/02/2026 13:12:32")</f>
        <v>12/02/2026 13:12:32</v>
      </c>
      <c r="C3462" s="35"/>
      <c r="D3462" s="10">
        <f>IFERROR(__xludf.DUMMYFUNCTION("""COMPUTED_VALUE"""),46065.0)</f>
        <v>46065</v>
      </c>
      <c r="E3462" s="35" t="str">
        <f>IFERROR(__xludf.DUMMYFUNCTION("""COMPUTED_VALUE"""),"02Feb")</f>
        <v>02Feb</v>
      </c>
      <c r="F3462" s="35" t="str">
        <f>IFERROR(__xludf.DUMMYFUNCTION("""COMPUTED_VALUE"""),"2026")</f>
        <v>2026</v>
      </c>
      <c r="G3462" s="35" t="str">
        <f>IFERROR(__xludf.DUMMYFUNCTION("""COMPUTED_VALUE"""),"BRILLIAN NINDY SEPTIA")</f>
        <v>BRILLIAN NINDY SEPTIA</v>
      </c>
      <c r="H3462" s="35" t="str">
        <f>IFERROR(__xludf.DUMMYFUNCTION("""COMPUTED_VALUE"""),"B0026020046")</f>
        <v>B0026020046</v>
      </c>
      <c r="I3462" s="35">
        <f>IFERROR(__xludf.DUMMYFUNCTION("""COMPUTED_VALUE"""),25.0)</f>
        <v>25</v>
      </c>
      <c r="J3462" s="35" t="str">
        <f>IFERROR(__xludf.DUMMYFUNCTION("""COMPUTED_VALUE"""),"25-34 tahun")</f>
        <v>25-34 tahun</v>
      </c>
      <c r="K3462" s="35" t="str">
        <f>IFERROR(__xludf.DUMMYFUNCTION("""COMPUTED_VALUE"""),"04/09/2000")</f>
        <v>04/09/2000</v>
      </c>
      <c r="L3462" s="35" t="str">
        <f>IFERROR(__xludf.DUMMYFUNCTION("""COMPUTED_VALUE"""),"PEREMPUAN")</f>
        <v>PEREMPUAN</v>
      </c>
      <c r="M3462" s="35" t="str">
        <f>IFERROR(__xludf.DUMMYFUNCTION("""COMPUTED_VALUE"""),"JALAN PROF M YAMIN GG BARU NO. 17")</f>
        <v>JALAN PROF M YAMIN GG BARU NO. 17</v>
      </c>
      <c r="N3462" s="35" t="str">
        <f>IFERROR(__xludf.DUMMYFUNCTION("""COMPUTED_VALUE"""),"KELURAHAN AKCAYA")</f>
        <v>KELURAHAN AKCAYA</v>
      </c>
      <c r="O3462" s="35" t="str">
        <f>IFERROR(__xludf.DUMMYFUNCTION("""COMPUTED_VALUE"""),"KECAMATAN PONTIANAK SELATAN")</f>
        <v>KECAMATAN PONTIANAK SELATAN</v>
      </c>
      <c r="P3462" s="35" t="str">
        <f>IFERROR(__xludf.DUMMYFUNCTION("""COMPUTED_VALUE"""),"KOTA PONTIANAK")</f>
        <v>KOTA PONTIANAK</v>
      </c>
      <c r="Q3462" s="35" t="str">
        <f>IFERROR(__xludf.DUMMYFUNCTION("""COMPUTED_VALUE"""),"PROVINSI KALIMANTAN BARAT")</f>
        <v>PROVINSI KALIMANTAN BARAT</v>
      </c>
      <c r="R3462" s="35" t="str">
        <f>IFERROR(__xludf.DUMMYFUNCTION("""COMPUTED_VALUE"""),"ISLAM")</f>
        <v>ISLAM</v>
      </c>
      <c r="S3462" s="74" t="str">
        <f>IFERROR(__xludf.DUMMYFUNCTION("""COMPUTED_VALUE"""),"DOKTER GIGI")</f>
        <v>DOKTER GIGI</v>
      </c>
      <c r="T3462" s="35" t="str">
        <f>IFERROR(__xludf.DUMMYFUNCTION("""COMPUTED_VALUE"""),"PEGAL2 DAN SAKIT DI SISI KIRI, DOMINAN KAYA RASA PEDAS PANAS DI PINGGANG")</f>
        <v>PEGAL2 DAN SAKIT DI SISI KIRI, DOMINAN KAYA RASA PEDAS PANAS DI PINGGANG</v>
      </c>
      <c r="U3462" s="35" t="str">
        <f>IFERROR(__xludf.DUMMYFUNCTION("""COMPUTED_VALUE"""),"DUDUK, DUDUK DENGAN POSISI BADAN MIRING KE ARAH KANAN")</f>
        <v>DUDUK, DUDUK DENGAN POSISI BADAN MIRING KE ARAH KANAN</v>
      </c>
      <c r="V3462" s="35" t="str">
        <f>IFERROR(__xludf.DUMMYFUNCTION("""COMPUTED_VALUE"""),"087803480046")</f>
        <v>087803480046</v>
      </c>
      <c r="W3462" s="45"/>
    </row>
    <row r="3463">
      <c r="A3463" s="45"/>
      <c r="B3463" s="35" t="str">
        <f>IFERROR(__xludf.DUMMYFUNCTION("""COMPUTED_VALUE"""),"12/02/2026 16:19:27")</f>
        <v>12/02/2026 16:19:27</v>
      </c>
      <c r="C3463" s="35"/>
      <c r="D3463" s="10">
        <f>IFERROR(__xludf.DUMMYFUNCTION("""COMPUTED_VALUE"""),46065.0)</f>
        <v>46065</v>
      </c>
      <c r="E3463" s="35" t="str">
        <f>IFERROR(__xludf.DUMMYFUNCTION("""COMPUTED_VALUE"""),"02Feb")</f>
        <v>02Feb</v>
      </c>
      <c r="F3463" s="35" t="str">
        <f>IFERROR(__xludf.DUMMYFUNCTION("""COMPUTED_VALUE"""),"2026")</f>
        <v>2026</v>
      </c>
      <c r="G3463" s="35" t="str">
        <f>IFERROR(__xludf.DUMMYFUNCTION("""COMPUTED_VALUE"""),"EMI SETIAWATI ")</f>
        <v>EMI SETIAWATI </v>
      </c>
      <c r="H3463" s="35" t="str">
        <f>IFERROR(__xludf.DUMMYFUNCTION("""COMPUTED_VALUE"""),"E8026027511")</f>
        <v>E8026027511</v>
      </c>
      <c r="I3463" s="35">
        <f>IFERROR(__xludf.DUMMYFUNCTION("""COMPUTED_VALUE"""),46.0)</f>
        <v>46</v>
      </c>
      <c r="J3463" s="35" t="str">
        <f>IFERROR(__xludf.DUMMYFUNCTION("""COMPUTED_VALUE"""),"&gt; 44 tahun")</f>
        <v>&gt; 44 tahun</v>
      </c>
      <c r="K3463" s="35" t="str">
        <f>IFERROR(__xludf.DUMMYFUNCTION("""COMPUTED_VALUE"""),"01/02/1980")</f>
        <v>01/02/1980</v>
      </c>
      <c r="L3463" s="35" t="str">
        <f>IFERROR(__xludf.DUMMYFUNCTION("""COMPUTED_VALUE"""),"PEREMPUAN")</f>
        <v>PEREMPUAN</v>
      </c>
      <c r="M3463" s="35" t="str">
        <f>IFERROR(__xludf.DUMMYFUNCTION("""COMPUTED_VALUE"""),"JL. PURNAMA GG PURNAMA JAYA NO. 45")</f>
        <v>JL. PURNAMA GG PURNAMA JAYA NO. 45</v>
      </c>
      <c r="N3463" s="35" t="str">
        <f>IFERROR(__xludf.DUMMYFUNCTION("""COMPUTED_VALUE"""),"PARIT TOKAYA")</f>
        <v>PARIT TOKAYA</v>
      </c>
      <c r="O3463" s="35" t="str">
        <f>IFERROR(__xludf.DUMMYFUNCTION("""COMPUTED_VALUE"""),"PONTIANAK SELATAN")</f>
        <v>PONTIANAK SELATAN</v>
      </c>
      <c r="P3463" s="35" t="str">
        <f>IFERROR(__xludf.DUMMYFUNCTION("""COMPUTED_VALUE"""),"PONTIANAK ")</f>
        <v>PONTIANAK </v>
      </c>
      <c r="Q3463" s="35" t="str">
        <f>IFERROR(__xludf.DUMMYFUNCTION("""COMPUTED_VALUE"""),"KALIMANTAN BARAT ")</f>
        <v>KALIMANTAN BARAT </v>
      </c>
      <c r="R3463" s="35" t="str">
        <f>IFERROR(__xludf.DUMMYFUNCTION("""COMPUTED_VALUE"""),"ISLAM")</f>
        <v>ISLAM</v>
      </c>
      <c r="S3463" s="74" t="str">
        <f>IFERROR(__xludf.DUMMYFUNCTION("""COMPUTED_VALUE"""),"IRT")</f>
        <v>IRT</v>
      </c>
      <c r="T3463" s="35" t="str">
        <f>IFERROR(__xludf.DUMMYFUNCTION("""COMPUTED_VALUE"""),"NYERI LUTUT")</f>
        <v>NYERI LUTUT</v>
      </c>
      <c r="U3463" s="35" t="str">
        <f>IFERROR(__xludf.DUMMYFUNCTION("""COMPUTED_VALUE"""),"SHOLAT")</f>
        <v>SHOLAT</v>
      </c>
      <c r="V3463" s="35" t="str">
        <f>IFERROR(__xludf.DUMMYFUNCTION("""COMPUTED_VALUE"""),"08115777511")</f>
        <v>08115777511</v>
      </c>
      <c r="W3463" s="45"/>
    </row>
    <row r="3464">
      <c r="A3464" s="45"/>
      <c r="B3464" s="35" t="str">
        <f>IFERROR(__xludf.DUMMYFUNCTION("""COMPUTED_VALUE"""),"13/02/2026 15:20:07")</f>
        <v>13/02/2026 15:20:07</v>
      </c>
      <c r="C3464" s="35"/>
      <c r="D3464" s="10">
        <f>IFERROR(__xludf.DUMMYFUNCTION("""COMPUTED_VALUE"""),46066.0)</f>
        <v>46066</v>
      </c>
      <c r="E3464" s="35" t="str">
        <f>IFERROR(__xludf.DUMMYFUNCTION("""COMPUTED_VALUE"""),"02Feb")</f>
        <v>02Feb</v>
      </c>
      <c r="F3464" s="35" t="str">
        <f>IFERROR(__xludf.DUMMYFUNCTION("""COMPUTED_VALUE"""),"2026")</f>
        <v>2026</v>
      </c>
      <c r="G3464" s="35" t="str">
        <f>IFERROR(__xludf.DUMMYFUNCTION("""COMPUTED_VALUE"""),"EDO FERNANDO")</f>
        <v>EDO FERNANDO</v>
      </c>
      <c r="H3464" s="35" t="str">
        <f>IFERROR(__xludf.DUMMYFUNCTION("""COMPUTED_VALUE"""),"E9226021965")</f>
        <v>E9226021965</v>
      </c>
      <c r="I3464" s="35">
        <f>IFERROR(__xludf.DUMMYFUNCTION("""COMPUTED_VALUE"""),34.0)</f>
        <v>34</v>
      </c>
      <c r="J3464" s="35" t="str">
        <f>IFERROR(__xludf.DUMMYFUNCTION("""COMPUTED_VALUE"""),"25-34 tahun")</f>
        <v>25-34 tahun</v>
      </c>
      <c r="K3464" s="35" t="str">
        <f>IFERROR(__xludf.DUMMYFUNCTION("""COMPUTED_VALUE"""),"16/03/1992")</f>
        <v>16/03/1992</v>
      </c>
      <c r="L3464" s="35" t="str">
        <f>IFERROR(__xludf.DUMMYFUNCTION("""COMPUTED_VALUE"""),"LAKI-LAKI")</f>
        <v>LAKI-LAKI</v>
      </c>
      <c r="M3464" s="35" t="str">
        <f>IFERROR(__xludf.DUMMYFUNCTION("""COMPUTED_VALUE"""),"JALAN GAJAH MADA NO 247")</f>
        <v>JALAN GAJAH MADA NO 247</v>
      </c>
      <c r="N3464" s="35" t="str">
        <f>IFERROR(__xludf.DUMMYFUNCTION("""COMPUTED_VALUE"""),"PARIT TOKAYA")</f>
        <v>PARIT TOKAYA</v>
      </c>
      <c r="O3464" s="35" t="str">
        <f>IFERROR(__xludf.DUMMYFUNCTION("""COMPUTED_VALUE"""),"PONTIANAK SELATAN")</f>
        <v>PONTIANAK SELATAN</v>
      </c>
      <c r="P3464" s="35" t="str">
        <f>IFERROR(__xludf.DUMMYFUNCTION("""COMPUTED_VALUE"""),"PONTIANAK")</f>
        <v>PONTIANAK</v>
      </c>
      <c r="Q3464" s="35" t="str">
        <f>IFERROR(__xludf.DUMMYFUNCTION("""COMPUTED_VALUE"""),"KALIMANTAN BARAT")</f>
        <v>KALIMANTAN BARAT</v>
      </c>
      <c r="R3464" s="35" t="str">
        <f>IFERROR(__xludf.DUMMYFUNCTION("""COMPUTED_VALUE"""),"BUDDHA")</f>
        <v>BUDDHA</v>
      </c>
      <c r="S3464" s="74" t="str">
        <f>IFERROR(__xludf.DUMMYFUNCTION("""COMPUTED_VALUE"""),"WIRASWASTA")</f>
        <v>WIRASWASTA</v>
      </c>
      <c r="T3464" s="35" t="str">
        <f>IFERROR(__xludf.DUMMYFUNCTION("""COMPUTED_VALUE"""),"TERAPI PASKA OPERASI PATAH FIBULA HARI KE 31")</f>
        <v>TERAPI PASKA OPERASI PATAH FIBULA HARI KE 31</v>
      </c>
      <c r="U3464" s="35" t="str">
        <f>IFERROR(__xludf.DUMMYFUNCTION("""COMPUTED_VALUE"""),"MAIN BOLA")</f>
        <v>MAIN BOLA</v>
      </c>
      <c r="V3464" s="35" t="str">
        <f>IFERROR(__xludf.DUMMYFUNCTION("""COMPUTED_VALUE"""),"085779531965")</f>
        <v>085779531965</v>
      </c>
      <c r="W3464" s="45"/>
    </row>
    <row r="3465">
      <c r="A3465" s="45"/>
      <c r="B3465" s="35" t="str">
        <f>IFERROR(__xludf.DUMMYFUNCTION("""COMPUTED_VALUE"""),"14/02/2026 10:58:22")</f>
        <v>14/02/2026 10:58:22</v>
      </c>
      <c r="C3465" s="35"/>
      <c r="D3465" s="10">
        <f>IFERROR(__xludf.DUMMYFUNCTION("""COMPUTED_VALUE"""),46067.0)</f>
        <v>46067</v>
      </c>
      <c r="E3465" s="35" t="str">
        <f>IFERROR(__xludf.DUMMYFUNCTION("""COMPUTED_VALUE"""),"02Feb")</f>
        <v>02Feb</v>
      </c>
      <c r="F3465" s="35" t="str">
        <f>IFERROR(__xludf.DUMMYFUNCTION("""COMPUTED_VALUE"""),"2026")</f>
        <v>2026</v>
      </c>
      <c r="G3465" s="35" t="str">
        <f>IFERROR(__xludf.DUMMYFUNCTION("""COMPUTED_VALUE"""),"SILVIA 9003")</f>
        <v>SILVIA 9003</v>
      </c>
      <c r="H3465" s="35" t="str">
        <f>IFERROR(__xludf.DUMMYFUNCTION("""COMPUTED_VALUE"""),"S9026026333")</f>
        <v>S9026026333</v>
      </c>
      <c r="I3465" s="35">
        <f>IFERROR(__xludf.DUMMYFUNCTION("""COMPUTED_VALUE"""),36.0)</f>
        <v>36</v>
      </c>
      <c r="J3465" s="35" t="str">
        <f>IFERROR(__xludf.DUMMYFUNCTION("""COMPUTED_VALUE"""),"35-44 tahun")</f>
        <v>35-44 tahun</v>
      </c>
      <c r="K3465" s="35" t="str">
        <f>IFERROR(__xludf.DUMMYFUNCTION("""COMPUTED_VALUE"""),"17/03/1990")</f>
        <v>17/03/1990</v>
      </c>
      <c r="L3465" s="35" t="str">
        <f>IFERROR(__xludf.DUMMYFUNCTION("""COMPUTED_VALUE"""),"PEREMPUAN")</f>
        <v>PEREMPUAN</v>
      </c>
      <c r="M3465" s="35" t="str">
        <f>IFERROR(__xludf.DUMMYFUNCTION("""COMPUTED_VALUE"""),"JL. SURYA GG. SURYA UNGU NO. 11")</f>
        <v>JL. SURYA GG. SURYA UNGU NO. 11</v>
      </c>
      <c r="N3465" s="35" t="str">
        <f>IFERROR(__xludf.DUMMYFUNCTION("""COMPUTED_VALUE"""),"AKCAYA")</f>
        <v>AKCAYA</v>
      </c>
      <c r="O3465" s="35" t="str">
        <f>IFERROR(__xludf.DUMMYFUNCTION("""COMPUTED_VALUE"""),"PONTIANAK SELATAN")</f>
        <v>PONTIANAK SELATAN</v>
      </c>
      <c r="P3465" s="35" t="str">
        <f>IFERROR(__xludf.DUMMYFUNCTION("""COMPUTED_VALUE"""),"POMTIANAK")</f>
        <v>POMTIANAK</v>
      </c>
      <c r="Q3465" s="35" t="str">
        <f>IFERROR(__xludf.DUMMYFUNCTION("""COMPUTED_VALUE"""),"KALIMANTAN BARAT")</f>
        <v>KALIMANTAN BARAT</v>
      </c>
      <c r="R3465" s="35" t="str">
        <f>IFERROR(__xludf.DUMMYFUNCTION("""COMPUTED_VALUE"""),"PROTESTAN")</f>
        <v>PROTESTAN</v>
      </c>
      <c r="S3465" s="74" t="str">
        <f>IFERROR(__xludf.DUMMYFUNCTION("""COMPUTED_VALUE"""),"PEGAWAI BUMD")</f>
        <v>PEGAWAI BUMD</v>
      </c>
      <c r="T3465" s="35" t="str">
        <f>IFERROR(__xludf.DUMMYFUNCTION("""COMPUTED_VALUE"""),"NYERI DI LENGAN ATAS SEBELAH KANAN DEKAT BAHU DAN KESEMUTAN")</f>
        <v>NYERI DI LENGAN ATAS SEBELAH KANAN DEKAT BAHU DAN KESEMUTAN</v>
      </c>
      <c r="U3465" s="35" t="str">
        <f>IFERROR(__xludf.DUMMYFUNCTION("""COMPUTED_VALUE"""),"KERJA")</f>
        <v>KERJA</v>
      </c>
      <c r="V3465" s="35" t="str">
        <f>IFERROR(__xludf.DUMMYFUNCTION("""COMPUTED_VALUE"""),"08115776333")</f>
        <v>08115776333</v>
      </c>
      <c r="W3465" s="45"/>
    </row>
    <row r="3466">
      <c r="A3466" s="45"/>
      <c r="B3466" s="35" t="str">
        <f>IFERROR(__xludf.DUMMYFUNCTION("""COMPUTED_VALUE"""),"14/02/2026 15:31:05")</f>
        <v>14/02/2026 15:31:05</v>
      </c>
      <c r="C3466" s="35"/>
      <c r="D3466" s="10">
        <f>IFERROR(__xludf.DUMMYFUNCTION("""COMPUTED_VALUE"""),46067.0)</f>
        <v>46067</v>
      </c>
      <c r="E3466" s="35" t="str">
        <f>IFERROR(__xludf.DUMMYFUNCTION("""COMPUTED_VALUE"""),"02Feb")</f>
        <v>02Feb</v>
      </c>
      <c r="F3466" s="35" t="str">
        <f>IFERROR(__xludf.DUMMYFUNCTION("""COMPUTED_VALUE"""),"2026")</f>
        <v>2026</v>
      </c>
      <c r="G3466" s="35" t="str">
        <f>IFERROR(__xludf.DUMMYFUNCTION("""COMPUTED_VALUE"""),"ANDRIE HANDOKO")</f>
        <v>ANDRIE HANDOKO</v>
      </c>
      <c r="H3466" s="35" t="str">
        <f>IFERROR(__xludf.DUMMYFUNCTION("""COMPUTED_VALUE"""),"A8226026007")</f>
        <v>A8226026007</v>
      </c>
      <c r="I3466" s="35">
        <f>IFERROR(__xludf.DUMMYFUNCTION("""COMPUTED_VALUE"""),44.0)</f>
        <v>44</v>
      </c>
      <c r="J3466" s="35" t="str">
        <f>IFERROR(__xludf.DUMMYFUNCTION("""COMPUTED_VALUE"""),"35-44 tahun")</f>
        <v>35-44 tahun</v>
      </c>
      <c r="K3466" s="35" t="str">
        <f>IFERROR(__xludf.DUMMYFUNCTION("""COMPUTED_VALUE"""),"11/03/1982")</f>
        <v>11/03/1982</v>
      </c>
      <c r="L3466" s="35" t="str">
        <f>IFERROR(__xludf.DUMMYFUNCTION("""COMPUTED_VALUE"""),"LAKI-LAKI")</f>
        <v>LAKI-LAKI</v>
      </c>
      <c r="M3466" s="35" t="str">
        <f>IFERROR(__xludf.DUMMYFUNCTION("""COMPUTED_VALUE"""),"TELAGA GOLF CLUSTER BALI BLOK A11, SAWANGAN DEPOK JAWA BARAT")</f>
        <v>TELAGA GOLF CLUSTER BALI BLOK A11, SAWANGAN DEPOK JAWA BARAT</v>
      </c>
      <c r="N3466" s="35" t="str">
        <f>IFERROR(__xludf.DUMMYFUNCTION("""COMPUTED_VALUE"""),"SAWANGAN")</f>
        <v>SAWANGAN</v>
      </c>
      <c r="O3466" s="35" t="str">
        <f>IFERROR(__xludf.DUMMYFUNCTION("""COMPUTED_VALUE"""),"SAWANGAN")</f>
        <v>SAWANGAN</v>
      </c>
      <c r="P3466" s="35" t="str">
        <f>IFERROR(__xludf.DUMMYFUNCTION("""COMPUTED_VALUE"""),"DEPOK")</f>
        <v>DEPOK</v>
      </c>
      <c r="Q3466" s="35" t="str">
        <f>IFERROR(__xludf.DUMMYFUNCTION("""COMPUTED_VALUE"""),"JAWA BARAT")</f>
        <v>JAWA BARAT</v>
      </c>
      <c r="R3466" s="35" t="str">
        <f>IFERROR(__xludf.DUMMYFUNCTION("""COMPUTED_VALUE"""),"PROTESTAN")</f>
        <v>PROTESTAN</v>
      </c>
      <c r="S3466" s="74" t="str">
        <f>IFERROR(__xludf.DUMMYFUNCTION("""COMPUTED_VALUE"""),"POLRI")</f>
        <v>POLRI</v>
      </c>
      <c r="T3466" s="35" t="str">
        <f>IFERROR(__xludf.DUMMYFUNCTION("""COMPUTED_VALUE"""),"PERGELANGAN TANGAN KANAN SAKIT")</f>
        <v>PERGELANGAN TANGAN KANAN SAKIT</v>
      </c>
      <c r="U3466" s="35" t="str">
        <f>IFERROR(__xludf.DUMMYFUNCTION("""COMPUTED_VALUE"""),"MUAYTHAI")</f>
        <v>MUAYTHAI</v>
      </c>
      <c r="V3466" s="35" t="str">
        <f>IFERROR(__xludf.DUMMYFUNCTION("""COMPUTED_VALUE"""),"08118846007")</f>
        <v>08118846007</v>
      </c>
      <c r="W3466" s="45"/>
    </row>
    <row r="3467">
      <c r="A3467" s="45"/>
      <c r="B3467" s="35" t="str">
        <f>IFERROR(__xludf.DUMMYFUNCTION("""COMPUTED_VALUE"""),"14/02/2026 20:18:09")</f>
        <v>14/02/2026 20:18:09</v>
      </c>
      <c r="C3467" s="35"/>
      <c r="D3467" s="10">
        <f>IFERROR(__xludf.DUMMYFUNCTION("""COMPUTED_VALUE"""),46067.0)</f>
        <v>46067</v>
      </c>
      <c r="E3467" s="35" t="str">
        <f>IFERROR(__xludf.DUMMYFUNCTION("""COMPUTED_VALUE"""),"02Feb")</f>
        <v>02Feb</v>
      </c>
      <c r="F3467" s="35" t="str">
        <f>IFERROR(__xludf.DUMMYFUNCTION("""COMPUTED_VALUE"""),"2026")</f>
        <v>2026</v>
      </c>
      <c r="G3467" s="35" t="str">
        <f>IFERROR(__xludf.DUMMYFUNCTION("""COMPUTED_VALUE"""),"UMAR")</f>
        <v>UMAR</v>
      </c>
      <c r="H3467" s="35" t="str">
        <f>IFERROR(__xludf.DUMMYFUNCTION("""COMPUTED_VALUE"""),"U1826020689")</f>
        <v>U1826020689</v>
      </c>
      <c r="I3467" s="35">
        <f>IFERROR(__xludf.DUMMYFUNCTION("""COMPUTED_VALUE"""),8.0)</f>
        <v>8</v>
      </c>
      <c r="J3467" s="35" t="str">
        <f>IFERROR(__xludf.DUMMYFUNCTION("""COMPUTED_VALUE"""),"&lt; 18 tahun")</f>
        <v>&lt; 18 tahun</v>
      </c>
      <c r="K3467" s="35" t="str">
        <f>IFERROR(__xludf.DUMMYFUNCTION("""COMPUTED_VALUE"""),"27/03/2018")</f>
        <v>27/03/2018</v>
      </c>
      <c r="L3467" s="35" t="str">
        <f>IFERROR(__xludf.DUMMYFUNCTION("""COMPUTED_VALUE"""),"LAKI-LAKI")</f>
        <v>LAKI-LAKI</v>
      </c>
      <c r="M3467" s="35" t="str">
        <f>IFERROR(__xludf.DUMMYFUNCTION("""COMPUTED_VALUE"""),"JL. PADAT KARYA, KOMP. MITRA KELUARGA 4 NO. C3")</f>
        <v>JL. PADAT KARYA, KOMP. MITRA KELUARGA 4 NO. C3</v>
      </c>
      <c r="N3467" s="35" t="str">
        <f>IFERROR(__xludf.DUMMYFUNCTION("""COMPUTED_VALUE"""),"SAIGON")</f>
        <v>SAIGON</v>
      </c>
      <c r="O3467" s="35" t="str">
        <f>IFERROR(__xludf.DUMMYFUNCTION("""COMPUTED_VALUE"""),"PONTIANAK TIMUR")</f>
        <v>PONTIANAK TIMUR</v>
      </c>
      <c r="P3467" s="35" t="str">
        <f>IFERROR(__xludf.DUMMYFUNCTION("""COMPUTED_VALUE"""),"PONTIANAK")</f>
        <v>PONTIANAK</v>
      </c>
      <c r="Q3467" s="35" t="str">
        <f>IFERROR(__xludf.DUMMYFUNCTION("""COMPUTED_VALUE"""),"KALIMANTAN BARAT")</f>
        <v>KALIMANTAN BARAT</v>
      </c>
      <c r="R3467" s="35" t="str">
        <f>IFERROR(__xludf.DUMMYFUNCTION("""COMPUTED_VALUE"""),"ISLAM")</f>
        <v>ISLAM</v>
      </c>
      <c r="S3467" s="74" t="str">
        <f>IFERROR(__xludf.DUMMYFUNCTION("""COMPUTED_VALUE"""),"SISWA SD")</f>
        <v>SISWA SD</v>
      </c>
      <c r="T3467" s="35" t="str">
        <f>IFERROR(__xludf.DUMMYFUNCTION("""COMPUTED_VALUE"""),"KAKI BENTUK X")</f>
        <v>KAKI BENTUK X</v>
      </c>
      <c r="U3467" s="35" t="str">
        <f>IFERROR(__xludf.DUMMYFUNCTION("""COMPUTED_VALUE"""),"OLAH RAGA BADMINTON DAN RENANG")</f>
        <v>OLAH RAGA BADMINTON DAN RENANG</v>
      </c>
      <c r="V3467" s="35" t="str">
        <f>IFERROR(__xludf.DUMMYFUNCTION("""COMPUTED_VALUE"""),"081256280689")</f>
        <v>081256280689</v>
      </c>
      <c r="W3467" s="45"/>
    </row>
    <row r="3468">
      <c r="A3468" s="45"/>
      <c r="B3468" s="35" t="str">
        <f>IFERROR(__xludf.DUMMYFUNCTION("""COMPUTED_VALUE"""),"14/02/2026 19:51:31")</f>
        <v>14/02/2026 19:51:31</v>
      </c>
      <c r="C3468" s="35"/>
      <c r="D3468" s="10">
        <f>IFERROR(__xludf.DUMMYFUNCTION("""COMPUTED_VALUE"""),46068.0)</f>
        <v>46068</v>
      </c>
      <c r="E3468" s="35" t="str">
        <f>IFERROR(__xludf.DUMMYFUNCTION("""COMPUTED_VALUE"""),"02Feb")</f>
        <v>02Feb</v>
      </c>
      <c r="F3468" s="35" t="str">
        <f>IFERROR(__xludf.DUMMYFUNCTION("""COMPUTED_VALUE"""),"2026")</f>
        <v>2026</v>
      </c>
      <c r="G3468" s="35" t="str">
        <f>IFERROR(__xludf.DUMMYFUNCTION("""COMPUTED_VALUE"""),"M. PATRA MARMARA")</f>
        <v>M. PATRA MARMARA</v>
      </c>
      <c r="H3468" s="35" t="str">
        <f>IFERROR(__xludf.DUMMYFUNCTION("""COMPUTED_VALUE"""),"M1526028978")</f>
        <v>M1526028978</v>
      </c>
      <c r="I3468" s="35">
        <f>IFERROR(__xludf.DUMMYFUNCTION("""COMPUTED_VALUE"""),11.0)</f>
        <v>11</v>
      </c>
      <c r="J3468" s="35" t="str">
        <f>IFERROR(__xludf.DUMMYFUNCTION("""COMPUTED_VALUE"""),"&lt; 18 tahun")</f>
        <v>&lt; 18 tahun</v>
      </c>
      <c r="K3468" s="35" t="str">
        <f>IFERROR(__xludf.DUMMYFUNCTION("""COMPUTED_VALUE"""),"13/02/2015")</f>
        <v>13/02/2015</v>
      </c>
      <c r="L3468" s="35" t="str">
        <f>IFERROR(__xludf.DUMMYFUNCTION("""COMPUTED_VALUE"""),"LAKI-LAKI")</f>
        <v>LAKI-LAKI</v>
      </c>
      <c r="M3468" s="35" t="str">
        <f>IFERROR(__xludf.DUMMYFUNCTION("""COMPUTED_VALUE"""),"JL. HARAPAN JAYA, VILLA HARAPAN, NO. 3")</f>
        <v>JL. HARAPAN JAYA, VILLA HARAPAN, NO. 3</v>
      </c>
      <c r="N3468" s="35" t="str">
        <f>IFERROR(__xludf.DUMMYFUNCTION("""COMPUTED_VALUE"""),"KOTA BARU")</f>
        <v>KOTA BARU</v>
      </c>
      <c r="O3468" s="35" t="str">
        <f>IFERROR(__xludf.DUMMYFUNCTION("""COMPUTED_VALUE"""),"PONTIANAK SELATAN")</f>
        <v>PONTIANAK SELATAN</v>
      </c>
      <c r="P3468" s="35" t="str">
        <f>IFERROR(__xludf.DUMMYFUNCTION("""COMPUTED_VALUE"""),"KOTA PONTIANAK")</f>
        <v>KOTA PONTIANAK</v>
      </c>
      <c r="Q3468" s="35" t="str">
        <f>IFERROR(__xludf.DUMMYFUNCTION("""COMPUTED_VALUE"""),"KALIMANTAN BARAT")</f>
        <v>KALIMANTAN BARAT</v>
      </c>
      <c r="R3468" s="35" t="str">
        <f>IFERROR(__xludf.DUMMYFUNCTION("""COMPUTED_VALUE"""),"ISLAM")</f>
        <v>ISLAM</v>
      </c>
      <c r="S3468" s="74" t="str">
        <f>IFERROR(__xludf.DUMMYFUNCTION("""COMPUTED_VALUE"""),"PELAJAR")</f>
        <v>PELAJAR</v>
      </c>
      <c r="T3468" s="35" t="str">
        <f>IFERROR(__xludf.DUMMYFUNCTION("""COMPUTED_VALUE"""),"NYERI ENGKEL KANAN - KESELEO")</f>
        <v>NYERI ENGKEL KANAN - KESELEO</v>
      </c>
      <c r="U3468" s="35" t="str">
        <f>IFERROR(__xludf.DUMMYFUNCTION("""COMPUTED_VALUE"""),"FUTSAL ")</f>
        <v>FUTSAL </v>
      </c>
      <c r="V3468" s="35" t="str">
        <f>IFERROR(__xludf.DUMMYFUNCTION("""COMPUTED_VALUE"""),"081351998978")</f>
        <v>081351998978</v>
      </c>
      <c r="W3468" s="45"/>
    </row>
    <row r="3469">
      <c r="A3469" s="45"/>
      <c r="B3469" s="35" t="str">
        <f>IFERROR(__xludf.DUMMYFUNCTION("""COMPUTED_VALUE"""),"15/02/2026 10:35:29")</f>
        <v>15/02/2026 10:35:29</v>
      </c>
      <c r="C3469" s="35"/>
      <c r="D3469" s="10">
        <f>IFERROR(__xludf.DUMMYFUNCTION("""COMPUTED_VALUE"""),46068.0)</f>
        <v>46068</v>
      </c>
      <c r="E3469" s="35" t="str">
        <f>IFERROR(__xludf.DUMMYFUNCTION("""COMPUTED_VALUE"""),"02Feb")</f>
        <v>02Feb</v>
      </c>
      <c r="F3469" s="35" t="str">
        <f>IFERROR(__xludf.DUMMYFUNCTION("""COMPUTED_VALUE"""),"2026")</f>
        <v>2026</v>
      </c>
      <c r="G3469" s="35" t="str">
        <f>IFERROR(__xludf.DUMMYFUNCTION("""COMPUTED_VALUE"""),"RUSMA APRIANSYAH")</f>
        <v>RUSMA APRIANSYAH</v>
      </c>
      <c r="H3469" s="35" t="str">
        <f>IFERROR(__xludf.DUMMYFUNCTION("""COMPUTED_VALUE"""),"R2626021560")</f>
        <v>R2626021560</v>
      </c>
      <c r="I3469" s="35">
        <f>IFERROR(__xludf.DUMMYFUNCTION("""COMPUTED_VALUE"""),0.0)</f>
        <v>0</v>
      </c>
      <c r="J3469" s="35" t="str">
        <f>IFERROR(__xludf.DUMMYFUNCTION("""COMPUTED_VALUE"""),"&lt; 18 tahun")</f>
        <v>&lt; 18 tahun</v>
      </c>
      <c r="K3469" s="35" t="str">
        <f>IFERROR(__xludf.DUMMYFUNCTION("""COMPUTED_VALUE"""),"19/04/2026")</f>
        <v>19/04/2026</v>
      </c>
      <c r="L3469" s="35" t="str">
        <f>IFERROR(__xludf.DUMMYFUNCTION("""COMPUTED_VALUE"""),"LAKI-LAKI")</f>
        <v>LAKI-LAKI</v>
      </c>
      <c r="M3469" s="35" t="str">
        <f>IFERROR(__xludf.DUMMYFUNCTION("""COMPUTED_VALUE"""),"JL. PUTRI CANDRAMIDI GG. TRIJAYA NO. 9A PONTIANAK ")</f>
        <v>JL. PUTRI CANDRAMIDI GG. TRIJAYA NO. 9A PONTIANAK </v>
      </c>
      <c r="N3469" s="35" t="str">
        <f>IFERROR(__xludf.DUMMYFUNCTION("""COMPUTED_VALUE"""),"SUNGAI BANGKONG")</f>
        <v>SUNGAI BANGKONG</v>
      </c>
      <c r="O3469" s="35" t="str">
        <f>IFERROR(__xludf.DUMMYFUNCTION("""COMPUTED_VALUE"""),"PONTIANAK KOTA")</f>
        <v>PONTIANAK KOTA</v>
      </c>
      <c r="P3469" s="35" t="str">
        <f>IFERROR(__xludf.DUMMYFUNCTION("""COMPUTED_VALUE"""),"KOTA PONTIANAK")</f>
        <v>KOTA PONTIANAK</v>
      </c>
      <c r="Q3469" s="35" t="str">
        <f>IFERROR(__xludf.DUMMYFUNCTION("""COMPUTED_VALUE"""),"KALIMANTAN BARAT")</f>
        <v>KALIMANTAN BARAT</v>
      </c>
      <c r="R3469" s="35" t="str">
        <f>IFERROR(__xludf.DUMMYFUNCTION("""COMPUTED_VALUE"""),"ISLAM")</f>
        <v>ISLAM</v>
      </c>
      <c r="S3469" s="74" t="str">
        <f>IFERROR(__xludf.DUMMYFUNCTION("""COMPUTED_VALUE"""),"PNS")</f>
        <v>PNS</v>
      </c>
      <c r="T3469" s="35" t="str">
        <f>IFERROR(__xludf.DUMMYFUNCTION("""COMPUTED_VALUE"""),"SAKIT LUTUT, LIPATAN PAHA DAN BAHU")</f>
        <v>SAKIT LUTUT, LIPATAN PAHA DAN BAHU</v>
      </c>
      <c r="U3469" s="35" t="str">
        <f>IFERROR(__xludf.DUMMYFUNCTION("""COMPUTED_VALUE"""),"FUTSAL, JOGING, VOLY")</f>
        <v>FUTSAL, JOGING, VOLY</v>
      </c>
      <c r="V3469" s="35" t="str">
        <f>IFERROR(__xludf.DUMMYFUNCTION("""COMPUTED_VALUE"""),"085252151560")</f>
        <v>085252151560</v>
      </c>
      <c r="W3469" s="45"/>
    </row>
    <row r="3470">
      <c r="A3470" s="45"/>
      <c r="B3470" s="35" t="str">
        <f>IFERROR(__xludf.DUMMYFUNCTION("""COMPUTED_VALUE"""),"15/02/2026 14:04:06")</f>
        <v>15/02/2026 14:04:06</v>
      </c>
      <c r="C3470" s="35"/>
      <c r="D3470" s="10">
        <f>IFERROR(__xludf.DUMMYFUNCTION("""COMPUTED_VALUE"""),46068.0)</f>
        <v>46068</v>
      </c>
      <c r="E3470" s="35" t="str">
        <f>IFERROR(__xludf.DUMMYFUNCTION("""COMPUTED_VALUE"""),"02Feb")</f>
        <v>02Feb</v>
      </c>
      <c r="F3470" s="35" t="str">
        <f>IFERROR(__xludf.DUMMYFUNCTION("""COMPUTED_VALUE"""),"2026")</f>
        <v>2026</v>
      </c>
      <c r="G3470" s="35" t="str">
        <f>IFERROR(__xludf.DUMMYFUNCTION("""COMPUTED_VALUE"""),"NICHOLAS NELSON NATHANIEL")</f>
        <v>NICHOLAS NELSON NATHANIEL</v>
      </c>
      <c r="H3470" s="35" t="str">
        <f>IFERROR(__xludf.DUMMYFUNCTION("""COMPUTED_VALUE"""),"N9926023699")</f>
        <v>N9926023699</v>
      </c>
      <c r="I3470" s="35">
        <f>IFERROR(__xludf.DUMMYFUNCTION("""COMPUTED_VALUE"""),27.0)</f>
        <v>27</v>
      </c>
      <c r="J3470" s="35" t="str">
        <f>IFERROR(__xludf.DUMMYFUNCTION("""COMPUTED_VALUE"""),"25-34 tahun")</f>
        <v>25-34 tahun</v>
      </c>
      <c r="K3470" s="35" t="str">
        <f>IFERROR(__xludf.DUMMYFUNCTION("""COMPUTED_VALUE"""),"13/06/1999")</f>
        <v>13/06/1999</v>
      </c>
      <c r="L3470" s="35" t="str">
        <f>IFERROR(__xludf.DUMMYFUNCTION("""COMPUTED_VALUE"""),"LAKI-LAKI")</f>
        <v>LAKI-LAKI</v>
      </c>
      <c r="M3470" s="35" t="str">
        <f>IFERROR(__xludf.DUMMYFUNCTION("""COMPUTED_VALUE"""),"JLN SUMATERA GG MEKAR NO 30")</f>
        <v>JLN SUMATERA GG MEKAR NO 30</v>
      </c>
      <c r="N3470" s="35" t="str">
        <f>IFERROR(__xludf.DUMMYFUNCTION("""COMPUTED_VALUE"""),"AKCAYA")</f>
        <v>AKCAYA</v>
      </c>
      <c r="O3470" s="35" t="str">
        <f>IFERROR(__xludf.DUMMYFUNCTION("""COMPUTED_VALUE"""),"PONTIANAK SELATAN")</f>
        <v>PONTIANAK SELATAN</v>
      </c>
      <c r="P3470" s="35" t="str">
        <f>IFERROR(__xludf.DUMMYFUNCTION("""COMPUTED_VALUE"""),"PONTIANAK")</f>
        <v>PONTIANAK</v>
      </c>
      <c r="Q3470" s="35" t="str">
        <f>IFERROR(__xludf.DUMMYFUNCTION("""COMPUTED_VALUE"""),"KALIMANTAN BARAT")</f>
        <v>KALIMANTAN BARAT</v>
      </c>
      <c r="R3470" s="35" t="str">
        <f>IFERROR(__xludf.DUMMYFUNCTION("""COMPUTED_VALUE"""),"KATOLIK")</f>
        <v>KATOLIK</v>
      </c>
      <c r="S3470" s="74" t="str">
        <f>IFERROR(__xludf.DUMMYFUNCTION("""COMPUTED_VALUE"""),"PEGAWAI SWASTA")</f>
        <v>PEGAWAI SWASTA</v>
      </c>
      <c r="T3470" s="35" t="str">
        <f>IFERROR(__xludf.DUMMYFUNCTION("""COMPUTED_VALUE"""),"PUNGGUNG TEGANG")</f>
        <v>PUNGGUNG TEGANG</v>
      </c>
      <c r="U3470" s="35" t="str">
        <f>IFERROR(__xludf.DUMMYFUNCTION("""COMPUTED_VALUE"""),"KERJA LAPTOP")</f>
        <v>KERJA LAPTOP</v>
      </c>
      <c r="V3470" s="35" t="str">
        <f>IFERROR(__xludf.DUMMYFUNCTION("""COMPUTED_VALUE"""),"08118413699")</f>
        <v>08118413699</v>
      </c>
      <c r="W3470" s="45"/>
    </row>
    <row r="3471">
      <c r="A3471" s="45"/>
      <c r="B3471" s="35" t="str">
        <f>IFERROR(__xludf.DUMMYFUNCTION("""COMPUTED_VALUE"""),"15/02/2026 15:20:06")</f>
        <v>15/02/2026 15:20:06</v>
      </c>
      <c r="C3471" s="35"/>
      <c r="D3471" s="10">
        <f>IFERROR(__xludf.DUMMYFUNCTION("""COMPUTED_VALUE"""),46068.0)</f>
        <v>46068</v>
      </c>
      <c r="E3471" s="35" t="str">
        <f>IFERROR(__xludf.DUMMYFUNCTION("""COMPUTED_VALUE"""),"02Feb")</f>
        <v>02Feb</v>
      </c>
      <c r="F3471" s="35" t="str">
        <f>IFERROR(__xludf.DUMMYFUNCTION("""COMPUTED_VALUE"""),"2026")</f>
        <v>2026</v>
      </c>
      <c r="G3471" s="35" t="str">
        <f>IFERROR(__xludf.DUMMYFUNCTION("""COMPUTED_VALUE"""),"PATMAWATI 7309")</f>
        <v>PATMAWATI 7309</v>
      </c>
      <c r="H3471" s="35" t="str">
        <f>IFERROR(__xludf.DUMMYFUNCTION("""COMPUTED_VALUE"""),"P7326026755")</f>
        <v>P7326026755</v>
      </c>
      <c r="I3471" s="35">
        <f>IFERROR(__xludf.DUMMYFUNCTION("""COMPUTED_VALUE"""),52.0)</f>
        <v>52</v>
      </c>
      <c r="J3471" s="35" t="str">
        <f>IFERROR(__xludf.DUMMYFUNCTION("""COMPUTED_VALUE"""),"&gt; 44 tahun")</f>
        <v>&gt; 44 tahun</v>
      </c>
      <c r="K3471" s="35" t="str">
        <f>IFERROR(__xludf.DUMMYFUNCTION("""COMPUTED_VALUE"""),"10/09/1973")</f>
        <v>10/09/1973</v>
      </c>
      <c r="L3471" s="35" t="str">
        <f>IFERROR(__xludf.DUMMYFUNCTION("""COMPUTED_VALUE"""),"PEREMPUAN")</f>
        <v>PEREMPUAN</v>
      </c>
      <c r="M3471" s="35" t="str">
        <f>IFERROR(__xludf.DUMMYFUNCTION("""COMPUTED_VALUE"""),"SANGGAU")</f>
        <v>SANGGAU</v>
      </c>
      <c r="N3471" s="35" t="str">
        <f>IFERROR(__xludf.DUMMYFUNCTION("""COMPUTED_VALUE"""),"TJ KAPUAS")</f>
        <v>TJ KAPUAS</v>
      </c>
      <c r="O3471" s="35" t="str">
        <f>IFERROR(__xludf.DUMMYFUNCTION("""COMPUTED_VALUE"""),"TJ KAPUAS")</f>
        <v>TJ KAPUAS</v>
      </c>
      <c r="P3471" s="35" t="str">
        <f>IFERROR(__xludf.DUMMYFUNCTION("""COMPUTED_VALUE"""),"SANGGAU")</f>
        <v>SANGGAU</v>
      </c>
      <c r="Q3471" s="35" t="str">
        <f>IFERROR(__xludf.DUMMYFUNCTION("""COMPUTED_VALUE"""),"KALBAR")</f>
        <v>KALBAR</v>
      </c>
      <c r="R3471" s="35" t="str">
        <f>IFERROR(__xludf.DUMMYFUNCTION("""COMPUTED_VALUE"""),"ISLAM")</f>
        <v>ISLAM</v>
      </c>
      <c r="S3471" s="74" t="str">
        <f>IFERROR(__xludf.DUMMYFUNCTION("""COMPUTED_VALUE"""),"PNS")</f>
        <v>PNS</v>
      </c>
      <c r="T3471" s="35" t="str">
        <f>IFERROR(__xludf.DUMMYFUNCTION("""COMPUTED_VALUE"""),"SAKIT BAGIAN PANGGUL KEBAWAH")</f>
        <v>SAKIT BAGIAN PANGGUL KEBAWAH</v>
      </c>
      <c r="U3471" s="35" t="str">
        <f>IFERROR(__xludf.DUMMYFUNCTION("""COMPUTED_VALUE"""),"-")</f>
        <v>-</v>
      </c>
      <c r="V3471" s="35" t="str">
        <f>IFERROR(__xludf.DUMMYFUNCTION("""COMPUTED_VALUE"""),"08125666755")</f>
        <v>08125666755</v>
      </c>
      <c r="W3471" s="45"/>
    </row>
    <row r="3472">
      <c r="A3472" s="45"/>
      <c r="B3472" s="35" t="str">
        <f>IFERROR(__xludf.DUMMYFUNCTION("""COMPUTED_VALUE"""),"15/02/2026 19:29:49")</f>
        <v>15/02/2026 19:29:49</v>
      </c>
      <c r="C3472" s="35"/>
      <c r="D3472" s="10">
        <f>IFERROR(__xludf.DUMMYFUNCTION("""COMPUTED_VALUE"""),46068.0)</f>
        <v>46068</v>
      </c>
      <c r="E3472" s="35" t="str">
        <f>IFERROR(__xludf.DUMMYFUNCTION("""COMPUTED_VALUE"""),"02Feb")</f>
        <v>02Feb</v>
      </c>
      <c r="F3472" s="35" t="str">
        <f>IFERROR(__xludf.DUMMYFUNCTION("""COMPUTED_VALUE"""),"2026")</f>
        <v>2026</v>
      </c>
      <c r="G3472" s="35" t="str">
        <f>IFERROR(__xludf.DUMMYFUNCTION("""COMPUTED_VALUE"""),"MUHAMMAD RIDHO ANSYORI")</f>
        <v>MUHAMMAD RIDHO ANSYORI</v>
      </c>
      <c r="H3472" s="35" t="str">
        <f>IFERROR(__xludf.DUMMYFUNCTION("""COMPUTED_VALUE"""),"M9726022994")</f>
        <v>M9726022994</v>
      </c>
      <c r="I3472" s="35">
        <f>IFERROR(__xludf.DUMMYFUNCTION("""COMPUTED_VALUE"""),28.0)</f>
        <v>28</v>
      </c>
      <c r="J3472" s="35" t="str">
        <f>IFERROR(__xludf.DUMMYFUNCTION("""COMPUTED_VALUE"""),"25-34 tahun")</f>
        <v>25-34 tahun</v>
      </c>
      <c r="K3472" s="35" t="str">
        <f>IFERROR(__xludf.DUMMYFUNCTION("""COMPUTED_VALUE"""),"07/12/1997")</f>
        <v>07/12/1997</v>
      </c>
      <c r="L3472" s="35" t="str">
        <f>IFERROR(__xludf.DUMMYFUNCTION("""COMPUTED_VALUE"""),"LAKI-LAKI")</f>
        <v>LAKI-LAKI</v>
      </c>
      <c r="M3472" s="35" t="str">
        <f>IFERROR(__xludf.DUMMYFUNCTION("""COMPUTED_VALUE"""),"JL KESEHATAN NO 159")</f>
        <v>JL KESEHATAN NO 159</v>
      </c>
      <c r="N3472" s="35" t="str">
        <f>IFERROR(__xludf.DUMMYFUNCTION("""COMPUTED_VALUE"""),"KOTABARU")</f>
        <v>KOTABARU</v>
      </c>
      <c r="O3472" s="35" t="str">
        <f>IFERROR(__xludf.DUMMYFUNCTION("""COMPUTED_VALUE"""),"PONTIANAK SELATAN")</f>
        <v>PONTIANAK SELATAN</v>
      </c>
      <c r="P3472" s="35" t="str">
        <f>IFERROR(__xludf.DUMMYFUNCTION("""COMPUTED_VALUE"""),"PONTIANAK")</f>
        <v>PONTIANAK</v>
      </c>
      <c r="Q3472" s="35" t="str">
        <f>IFERROR(__xludf.DUMMYFUNCTION("""COMPUTED_VALUE"""),"KALIMANTAN BARAT")</f>
        <v>KALIMANTAN BARAT</v>
      </c>
      <c r="R3472" s="35" t="str">
        <f>IFERROR(__xludf.DUMMYFUNCTION("""COMPUTED_VALUE"""),"ISLAM")</f>
        <v>ISLAM</v>
      </c>
      <c r="S3472" s="74" t="str">
        <f>IFERROR(__xludf.DUMMYFUNCTION("""COMPUTED_VALUE"""),"PNS")</f>
        <v>PNS</v>
      </c>
      <c r="T3472" s="35" t="str">
        <f>IFERROR(__xludf.DUMMYFUNCTION("""COMPUTED_VALUE"""),"SAKIT DI PINGGANG DAN TULANG BELAKANG (ADA SKOLIOSIS)")</f>
        <v>SAKIT DI PINGGANG DAN TULANG BELAKANG (ADA SKOLIOSIS)</v>
      </c>
      <c r="U3472" s="35" t="str">
        <f>IFERROR(__xludf.DUMMYFUNCTION("""COMPUTED_VALUE"""),"MENGGENDONG ANAK, TENIS, BADMINTON, VOLI")</f>
        <v>MENGGENDONG ANAK, TENIS, BADMINTON, VOLI</v>
      </c>
      <c r="V3472" s="35" t="str">
        <f>IFERROR(__xludf.DUMMYFUNCTION("""COMPUTED_VALUE"""),"0881024882994")</f>
        <v>0881024882994</v>
      </c>
      <c r="W3472" s="45"/>
    </row>
    <row r="3473">
      <c r="A3473" s="45"/>
      <c r="B3473" s="35" t="str">
        <f>IFERROR(__xludf.DUMMYFUNCTION("""COMPUTED_VALUE"""),"15/02/2026 21:58:59")</f>
        <v>15/02/2026 21:58:59</v>
      </c>
      <c r="C3473" s="35"/>
      <c r="D3473" s="10">
        <f>IFERROR(__xludf.DUMMYFUNCTION("""COMPUTED_VALUE"""),46069.0)</f>
        <v>46069</v>
      </c>
      <c r="E3473" s="35" t="str">
        <f>IFERROR(__xludf.DUMMYFUNCTION("""COMPUTED_VALUE"""),"02Feb")</f>
        <v>02Feb</v>
      </c>
      <c r="F3473" s="35" t="str">
        <f>IFERROR(__xludf.DUMMYFUNCTION("""COMPUTED_VALUE"""),"2026")</f>
        <v>2026</v>
      </c>
      <c r="G3473" s="35" t="str">
        <f>IFERROR(__xludf.DUMMYFUNCTION("""COMPUTED_VALUE"""),"GEOSEPPE DE ANDREA MALDEO")</f>
        <v>GEOSEPPE DE ANDREA MALDEO</v>
      </c>
      <c r="H3473" s="35" t="str">
        <f>IFERROR(__xludf.DUMMYFUNCTION("""COMPUTED_VALUE"""),"G0026025006")</f>
        <v>G0026025006</v>
      </c>
      <c r="I3473" s="35">
        <f>IFERROR(__xludf.DUMMYFUNCTION("""COMPUTED_VALUE"""),25.0)</f>
        <v>25</v>
      </c>
      <c r="J3473" s="35" t="str">
        <f>IFERROR(__xludf.DUMMYFUNCTION("""COMPUTED_VALUE"""),"25-34 tahun")</f>
        <v>25-34 tahun</v>
      </c>
      <c r="K3473" s="35" t="str">
        <f>IFERROR(__xludf.DUMMYFUNCTION("""COMPUTED_VALUE"""),"17/06/2000")</f>
        <v>17/06/2000</v>
      </c>
      <c r="L3473" s="35" t="str">
        <f>IFERROR(__xludf.DUMMYFUNCTION("""COMPUTED_VALUE"""),"LAKI-LAKI")</f>
        <v>LAKI-LAKI</v>
      </c>
      <c r="M3473" s="35" t="str">
        <f>IFERROR(__xludf.DUMMYFUNCTION("""COMPUTED_VALUE"""),"DUSUN EMPIRANG UJUNG")</f>
        <v>DUSUN EMPIRANG UJUNG</v>
      </c>
      <c r="N3473" s="35" t="str">
        <f>IFERROR(__xludf.DUMMYFUNCTION("""COMPUTED_VALUE"""),"DESA EMPIRANG UJUNG")</f>
        <v>DESA EMPIRANG UJUNG</v>
      </c>
      <c r="O3473" s="35" t="str">
        <f>IFERROR(__xludf.DUMMYFUNCTION("""COMPUTED_VALUE"""),"BALAI")</f>
        <v>BALAI</v>
      </c>
      <c r="P3473" s="35" t="str">
        <f>IFERROR(__xludf.DUMMYFUNCTION("""COMPUTED_VALUE"""),"SANGGAU")</f>
        <v>SANGGAU</v>
      </c>
      <c r="Q3473" s="35" t="str">
        <f>IFERROR(__xludf.DUMMYFUNCTION("""COMPUTED_VALUE"""),"KALIMANTAN BARAT")</f>
        <v>KALIMANTAN BARAT</v>
      </c>
      <c r="R3473" s="35" t="str">
        <f>IFERROR(__xludf.DUMMYFUNCTION("""COMPUTED_VALUE"""),"KATOLIK")</f>
        <v>KATOLIK</v>
      </c>
      <c r="S3473" s="74" t="str">
        <f>IFERROR(__xludf.DUMMYFUNCTION("""COMPUTED_VALUE"""),"KARYAWAN SWASTA")</f>
        <v>KARYAWAN SWASTA</v>
      </c>
      <c r="T3473" s="35" t="str">
        <f>IFERROR(__xludf.DUMMYFUNCTION("""COMPUTED_VALUE"""),"NYERI TELAPAK KAKI BAGIAN BELAKANG KIRI DAN KANAN")</f>
        <v>NYERI TELAPAK KAKI BAGIAN BELAKANG KIRI DAN KANAN</v>
      </c>
      <c r="U3473" s="35" t="str">
        <f>IFERROR(__xludf.DUMMYFUNCTION("""COMPUTED_VALUE"""),"RUNNING DAN MINISOCER")</f>
        <v>RUNNING DAN MINISOCER</v>
      </c>
      <c r="V3473" s="35" t="str">
        <f>IFERROR(__xludf.DUMMYFUNCTION("""COMPUTED_VALUE"""),"085651215006")</f>
        <v>085651215006</v>
      </c>
      <c r="W3473" s="45"/>
    </row>
    <row r="3474">
      <c r="A3474" s="45"/>
      <c r="B3474" s="35" t="str">
        <f>IFERROR(__xludf.DUMMYFUNCTION("""COMPUTED_VALUE"""),"16/02/2026 13:21:08")</f>
        <v>16/02/2026 13:21:08</v>
      </c>
      <c r="C3474" s="35"/>
      <c r="D3474" s="10">
        <f>IFERROR(__xludf.DUMMYFUNCTION("""COMPUTED_VALUE"""),46069.0)</f>
        <v>46069</v>
      </c>
      <c r="E3474" s="35" t="str">
        <f>IFERROR(__xludf.DUMMYFUNCTION("""COMPUTED_VALUE"""),"02Feb")</f>
        <v>02Feb</v>
      </c>
      <c r="F3474" s="35" t="str">
        <f>IFERROR(__xludf.DUMMYFUNCTION("""COMPUTED_VALUE"""),"2026")</f>
        <v>2026</v>
      </c>
      <c r="G3474" s="35" t="str">
        <f>IFERROR(__xludf.DUMMYFUNCTION("""COMPUTED_VALUE"""),"AZIZ HIDAYAT")</f>
        <v>AZIZ HIDAYAT</v>
      </c>
      <c r="H3474" s="35" t="str">
        <f>IFERROR(__xludf.DUMMYFUNCTION("""COMPUTED_VALUE"""),"A9626026767")</f>
        <v>A9626026767</v>
      </c>
      <c r="I3474" s="35">
        <f>IFERROR(__xludf.DUMMYFUNCTION("""COMPUTED_VALUE"""),29.0)</f>
        <v>29</v>
      </c>
      <c r="J3474" s="35" t="str">
        <f>IFERROR(__xludf.DUMMYFUNCTION("""COMPUTED_VALUE"""),"25-34 tahun")</f>
        <v>25-34 tahun</v>
      </c>
      <c r="K3474" s="35" t="str">
        <f>IFERROR(__xludf.DUMMYFUNCTION("""COMPUTED_VALUE"""),"26/11/1996")</f>
        <v>26/11/1996</v>
      </c>
      <c r="L3474" s="35" t="str">
        <f>IFERROR(__xludf.DUMMYFUNCTION("""COMPUTED_VALUE"""),"LAKI-LAKI")</f>
        <v>LAKI-LAKI</v>
      </c>
      <c r="M3474" s="35" t="str">
        <f>IFERROR(__xludf.DUMMYFUNCTION("""COMPUTED_VALUE"""),"JALAN GAJAH MADA NO 85")</f>
        <v>JALAN GAJAH MADA NO 85</v>
      </c>
      <c r="N3474" s="35" t="str">
        <f>IFERROR(__xludf.DUMMYFUNCTION("""COMPUTED_VALUE"""),"BERINGIN ")</f>
        <v>BERINGIN </v>
      </c>
      <c r="O3474" s="35" t="str">
        <f>IFERROR(__xludf.DUMMYFUNCTION("""COMPUTED_VALUE"""),"KAPUAS")</f>
        <v>KAPUAS</v>
      </c>
      <c r="P3474" s="35" t="str">
        <f>IFERROR(__xludf.DUMMYFUNCTION("""COMPUTED_VALUE"""),"SANGGAU")</f>
        <v>SANGGAU</v>
      </c>
      <c r="Q3474" s="35" t="str">
        <f>IFERROR(__xludf.DUMMYFUNCTION("""COMPUTED_VALUE"""),"KALIMANTAN BARAT")</f>
        <v>KALIMANTAN BARAT</v>
      </c>
      <c r="R3474" s="35" t="str">
        <f>IFERROR(__xludf.DUMMYFUNCTION("""COMPUTED_VALUE"""),"ISLAM")</f>
        <v>ISLAM</v>
      </c>
      <c r="S3474" s="74" t="str">
        <f>IFERROR(__xludf.DUMMYFUNCTION("""COMPUTED_VALUE"""),"WIRASWASTA")</f>
        <v>WIRASWASTA</v>
      </c>
      <c r="T3474" s="35" t="str">
        <f>IFERROR(__xludf.DUMMYFUNCTION("""COMPUTED_VALUE"""),"LUTUT NGILU KETIKA MENEKUK DAN SAAT SEDANG SUJUD LUTUT TERASA SAKIT. KAKI KANAN ADA PEMBENGKAKAN SETELAH MENGALAMI CIDERA LULUT ")</f>
        <v>LUTUT NGILU KETIKA MENEKUK DAN SAAT SEDANG SUJUD LUTUT TERASA SAKIT. KAKI KANAN ADA PEMBENGKAKAN SETELAH MENGALAMI CIDERA LULUT </v>
      </c>
      <c r="U3474" s="35" t="str">
        <f>IFERROR(__xludf.DUMMYFUNCTION("""COMPUTED_VALUE"""),"SEPAKBOLA DAN KERJA ANGKUT BARANG KAKI SUKA NGILU ")</f>
        <v>SEPAKBOLA DAN KERJA ANGKUT BARANG KAKI SUKA NGILU </v>
      </c>
      <c r="V3474" s="35" t="str">
        <f>IFERROR(__xludf.DUMMYFUNCTION("""COMPUTED_VALUE"""),"089521386767")</f>
        <v>089521386767</v>
      </c>
      <c r="W3474" s="45"/>
    </row>
    <row r="3475">
      <c r="A3475" s="45"/>
      <c r="B3475" s="35" t="str">
        <f>IFERROR(__xludf.DUMMYFUNCTION("""COMPUTED_VALUE"""),"16/02/2026 16:53:21")</f>
        <v>16/02/2026 16:53:21</v>
      </c>
      <c r="C3475" s="35"/>
      <c r="D3475" s="10">
        <f>IFERROR(__xludf.DUMMYFUNCTION("""COMPUTED_VALUE"""),46069.0)</f>
        <v>46069</v>
      </c>
      <c r="E3475" s="35" t="str">
        <f>IFERROR(__xludf.DUMMYFUNCTION("""COMPUTED_VALUE"""),"02Feb")</f>
        <v>02Feb</v>
      </c>
      <c r="F3475" s="35" t="str">
        <f>IFERROR(__xludf.DUMMYFUNCTION("""COMPUTED_VALUE"""),"2026")</f>
        <v>2026</v>
      </c>
      <c r="G3475" s="35" t="str">
        <f>IFERROR(__xludf.DUMMYFUNCTION("""COMPUTED_VALUE"""),"ICHSAN CHANDRA")</f>
        <v>ICHSAN CHANDRA</v>
      </c>
      <c r="H3475" s="35" t="str">
        <f>IFERROR(__xludf.DUMMYFUNCTION("""COMPUTED_VALUE"""),"I8926024111")</f>
        <v>I8926024111</v>
      </c>
      <c r="I3475" s="35">
        <f>IFERROR(__xludf.DUMMYFUNCTION("""COMPUTED_VALUE"""),37.0)</f>
        <v>37</v>
      </c>
      <c r="J3475" s="35" t="str">
        <f>IFERROR(__xludf.DUMMYFUNCTION("""COMPUTED_VALUE"""),"35-44 tahun")</f>
        <v>35-44 tahun</v>
      </c>
      <c r="K3475" s="35" t="str">
        <f>IFERROR(__xludf.DUMMYFUNCTION("""COMPUTED_VALUE"""),"02/04/1989")</f>
        <v>02/04/1989</v>
      </c>
      <c r="L3475" s="35" t="str">
        <f>IFERROR(__xludf.DUMMYFUNCTION("""COMPUTED_VALUE"""),"LAKI-LAKI")</f>
        <v>LAKI-LAKI</v>
      </c>
      <c r="M3475" s="35" t="str">
        <f>IFERROR(__xludf.DUMMYFUNCTION("""COMPUTED_VALUE"""),"JL PURNAMA GG PURNAMA ANGGREK 3")</f>
        <v>JL PURNAMA GG PURNAMA ANGGREK 3</v>
      </c>
      <c r="N3475" s="35" t="str">
        <f>IFERROR(__xludf.DUMMYFUNCTION("""COMPUTED_VALUE"""),"PARIT TOKAYA")</f>
        <v>PARIT TOKAYA</v>
      </c>
      <c r="O3475" s="35" t="str">
        <f>IFERROR(__xludf.DUMMYFUNCTION("""COMPUTED_VALUE"""),"PONTIANAK SELATAN")</f>
        <v>PONTIANAK SELATAN</v>
      </c>
      <c r="P3475" s="35" t="str">
        <f>IFERROR(__xludf.DUMMYFUNCTION("""COMPUTED_VALUE"""),"PONTIANAK")</f>
        <v>PONTIANAK</v>
      </c>
      <c r="Q3475" s="35" t="str">
        <f>IFERROR(__xludf.DUMMYFUNCTION("""COMPUTED_VALUE"""),"KALIMANTAN BARAT")</f>
        <v>KALIMANTAN BARAT</v>
      </c>
      <c r="R3475" s="35" t="str">
        <f>IFERROR(__xludf.DUMMYFUNCTION("""COMPUTED_VALUE"""),"BUDDHA")</f>
        <v>BUDDHA</v>
      </c>
      <c r="S3475" s="74" t="str">
        <f>IFERROR(__xludf.DUMMYFUNCTION("""COMPUTED_VALUE"""),"-")</f>
        <v>-</v>
      </c>
      <c r="T3475" s="35" t="str">
        <f>IFERROR(__xludf.DUMMYFUNCTION("""COMPUTED_VALUE"""),"LUTUT")</f>
        <v>LUTUT</v>
      </c>
      <c r="U3475" s="35" t="str">
        <f>IFERROR(__xludf.DUMMYFUNCTION("""COMPUTED_VALUE"""),"-")</f>
        <v>-</v>
      </c>
      <c r="V3475" s="35" t="str">
        <f>IFERROR(__xludf.DUMMYFUNCTION("""COMPUTED_VALUE"""),"082155044111")</f>
        <v>082155044111</v>
      </c>
      <c r="W3475" s="45"/>
    </row>
    <row r="3476">
      <c r="A3476" s="45"/>
      <c r="B3476" s="35" t="str">
        <f>IFERROR(__xludf.DUMMYFUNCTION("""COMPUTED_VALUE"""),"17/02/2026 12:57:55")</f>
        <v>17/02/2026 12:57:55</v>
      </c>
      <c r="C3476" s="35"/>
      <c r="D3476" s="10">
        <f>IFERROR(__xludf.DUMMYFUNCTION("""COMPUTED_VALUE"""),46071.0)</f>
        <v>46071</v>
      </c>
      <c r="E3476" s="35" t="str">
        <f>IFERROR(__xludf.DUMMYFUNCTION("""COMPUTED_VALUE"""),"02Feb")</f>
        <v>02Feb</v>
      </c>
      <c r="F3476" s="35" t="str">
        <f>IFERROR(__xludf.DUMMYFUNCTION("""COMPUTED_VALUE"""),"2026")</f>
        <v>2026</v>
      </c>
      <c r="G3476" s="35" t="str">
        <f>IFERROR(__xludf.DUMMYFUNCTION("""COMPUTED_VALUE"""),"TJHOEA THENG KAK")</f>
        <v>TJHOEA THENG KAK</v>
      </c>
      <c r="H3476" s="35" t="str">
        <f>IFERROR(__xludf.DUMMYFUNCTION("""COMPUTED_VALUE"""),"T6526022598")</f>
        <v>T6526022598</v>
      </c>
      <c r="I3476" s="35">
        <f>IFERROR(__xludf.DUMMYFUNCTION("""COMPUTED_VALUE"""),61.0)</f>
        <v>61</v>
      </c>
      <c r="J3476" s="35" t="str">
        <f>IFERROR(__xludf.DUMMYFUNCTION("""COMPUTED_VALUE"""),"&gt; 44 tahun")</f>
        <v>&gt; 44 tahun</v>
      </c>
      <c r="K3476" s="35" t="str">
        <f>IFERROR(__xludf.DUMMYFUNCTION("""COMPUTED_VALUE"""),"10/01/1965")</f>
        <v>10/01/1965</v>
      </c>
      <c r="L3476" s="35" t="str">
        <f>IFERROR(__xludf.DUMMYFUNCTION("""COMPUTED_VALUE"""),"LAKI-LAKI")</f>
        <v>LAKI-LAKI</v>
      </c>
      <c r="M3476" s="35" t="str">
        <f>IFERROR(__xludf.DUMMYFUNCTION("""COMPUTED_VALUE"""),"JLN PARIT GOTONG ROYONG NO. 12")</f>
        <v>JLN PARIT GOTONG ROYONG NO. 12</v>
      </c>
      <c r="N3476" s="35" t="str">
        <f>IFERROR(__xludf.DUMMYFUNCTION("""COMPUTED_VALUE"""),"SIANTAN TENGAH")</f>
        <v>SIANTAN TENGAH</v>
      </c>
      <c r="O3476" s="35" t="str">
        <f>IFERROR(__xludf.DUMMYFUNCTION("""COMPUTED_VALUE"""),"PONTIANAK UTARA")</f>
        <v>PONTIANAK UTARA</v>
      </c>
      <c r="P3476" s="35" t="str">
        <f>IFERROR(__xludf.DUMMYFUNCTION("""COMPUTED_VALUE"""),"PONTIANAK")</f>
        <v>PONTIANAK</v>
      </c>
      <c r="Q3476" s="35" t="str">
        <f>IFERROR(__xludf.DUMMYFUNCTION("""COMPUTED_VALUE"""),"KALIMANTAN BARAT")</f>
        <v>KALIMANTAN BARAT</v>
      </c>
      <c r="R3476" s="35" t="str">
        <f>IFERROR(__xludf.DUMMYFUNCTION("""COMPUTED_VALUE"""),"BUDDHA")</f>
        <v>BUDDHA</v>
      </c>
      <c r="S3476" s="74" t="str">
        <f>IFERROR(__xludf.DUMMYFUNCTION("""COMPUTED_VALUE"""),"WIRASWASTA")</f>
        <v>WIRASWASTA</v>
      </c>
      <c r="T3476" s="35" t="str">
        <f>IFERROR(__xludf.DUMMYFUNCTION("""COMPUTED_VALUE"""),"KATA NICO, OTOT ITB SAKIT")</f>
        <v>KATA NICO, OTOT ITB SAKIT</v>
      </c>
      <c r="U3476" s="35" t="str">
        <f>IFERROR(__xludf.DUMMYFUNCTION("""COMPUTED_VALUE"""),"JAGA TOKO")</f>
        <v>JAGA TOKO</v>
      </c>
      <c r="V3476" s="35" t="str">
        <f>IFERROR(__xludf.DUMMYFUNCTION("""COMPUTED_VALUE"""),"082158732598")</f>
        <v>082158732598</v>
      </c>
      <c r="W3476" s="45"/>
    </row>
    <row r="3477">
      <c r="A3477" s="45"/>
      <c r="B3477" s="35" t="str">
        <f>IFERROR(__xludf.DUMMYFUNCTION("""COMPUTED_VALUE"""),"18/02/2026 7:11:30")</f>
        <v>18/02/2026 7:11:30</v>
      </c>
      <c r="C3477" s="35"/>
      <c r="D3477" s="10">
        <f>IFERROR(__xludf.DUMMYFUNCTION("""COMPUTED_VALUE"""),46071.0)</f>
        <v>46071</v>
      </c>
      <c r="E3477" s="35" t="str">
        <f>IFERROR(__xludf.DUMMYFUNCTION("""COMPUTED_VALUE"""),"02Feb")</f>
        <v>02Feb</v>
      </c>
      <c r="F3477" s="35" t="str">
        <f>IFERROR(__xludf.DUMMYFUNCTION("""COMPUTED_VALUE"""),"2026")</f>
        <v>2026</v>
      </c>
      <c r="G3477" s="35" t="str">
        <f>IFERROR(__xludf.DUMMYFUNCTION("""COMPUTED_VALUE"""),"LIM LIE SIAM")</f>
        <v>LIM LIE SIAM</v>
      </c>
      <c r="H3477" s="35" t="str">
        <f>IFERROR(__xludf.DUMMYFUNCTION("""COMPUTED_VALUE"""),"L5626021159")</f>
        <v>L5626021159</v>
      </c>
      <c r="I3477" s="35">
        <f>IFERROR(__xludf.DUMMYFUNCTION("""COMPUTED_VALUE"""),69.0)</f>
        <v>69</v>
      </c>
      <c r="J3477" s="35" t="str">
        <f>IFERROR(__xludf.DUMMYFUNCTION("""COMPUTED_VALUE"""),"&gt; 44 tahun")</f>
        <v>&gt; 44 tahun</v>
      </c>
      <c r="K3477" s="35" t="str">
        <f>IFERROR(__xludf.DUMMYFUNCTION("""COMPUTED_VALUE"""),"22/08/1956")</f>
        <v>22/08/1956</v>
      </c>
      <c r="L3477" s="35" t="str">
        <f>IFERROR(__xludf.DUMMYFUNCTION("""COMPUTED_VALUE"""),"PEREMPUAN")</f>
        <v>PEREMPUAN</v>
      </c>
      <c r="M3477" s="35" t="str">
        <f>IFERROR(__xludf.DUMMYFUNCTION("""COMPUTED_VALUE"""),"JL. W. R. SUPRATMAN NO. 15 A")</f>
        <v>JL. W. R. SUPRATMAN NO. 15 A</v>
      </c>
      <c r="N3477" s="35" t="str">
        <f>IFERROR(__xludf.DUMMYFUNCTION("""COMPUTED_VALUE"""),"BENUA MELAYU DARAT")</f>
        <v>BENUA MELAYU DARAT</v>
      </c>
      <c r="O3477" s="35" t="str">
        <f>IFERROR(__xludf.DUMMYFUNCTION("""COMPUTED_VALUE"""),"PONTIANAK SELATAN")</f>
        <v>PONTIANAK SELATAN</v>
      </c>
      <c r="P3477" s="35" t="str">
        <f>IFERROR(__xludf.DUMMYFUNCTION("""COMPUTED_VALUE"""),"KOTA PONTIANAK")</f>
        <v>KOTA PONTIANAK</v>
      </c>
      <c r="Q3477" s="35" t="str">
        <f>IFERROR(__xludf.DUMMYFUNCTION("""COMPUTED_VALUE"""),"KALIMANTAN BARAT")</f>
        <v>KALIMANTAN BARAT</v>
      </c>
      <c r="R3477" s="35" t="str">
        <f>IFERROR(__xludf.DUMMYFUNCTION("""COMPUTED_VALUE"""),"KATOLIK")</f>
        <v>KATOLIK</v>
      </c>
      <c r="S3477" s="74" t="str">
        <f>IFERROR(__xludf.DUMMYFUNCTION("""COMPUTED_VALUE"""),"IBU RUMAH TANGGA")</f>
        <v>IBU RUMAH TANGGA</v>
      </c>
      <c r="T3477" s="35" t="str">
        <f>IFERROR(__xludf.DUMMYFUNCTION("""COMPUTED_VALUE"""),"NYERI PADA LUTUT DAN KAKI")</f>
        <v>NYERI PADA LUTUT DAN KAKI</v>
      </c>
      <c r="U3477" s="35" t="str">
        <f>IFERROR(__xludf.DUMMYFUNCTION("""COMPUTED_VALUE"""),"BERDIRI LAMA SAAT MEMASAK, JALAN KAKI TERLALU LAMA")</f>
        <v>BERDIRI LAMA SAAT MEMASAK, JALAN KAKI TERLALU LAMA</v>
      </c>
      <c r="V3477" s="35" t="str">
        <f>IFERROR(__xludf.DUMMYFUNCTION("""COMPUTED_VALUE"""),"089610881159")</f>
        <v>089610881159</v>
      </c>
      <c r="W3477" s="45"/>
    </row>
    <row r="3478">
      <c r="A3478" s="45"/>
      <c r="B3478" s="35" t="str">
        <f>IFERROR(__xludf.DUMMYFUNCTION("""COMPUTED_VALUE"""),"18/02/2026 11:31:54")</f>
        <v>18/02/2026 11:31:54</v>
      </c>
      <c r="C3478" s="35"/>
      <c r="D3478" s="10">
        <f>IFERROR(__xludf.DUMMYFUNCTION("""COMPUTED_VALUE"""),46071.0)</f>
        <v>46071</v>
      </c>
      <c r="E3478" s="35" t="str">
        <f>IFERROR(__xludf.DUMMYFUNCTION("""COMPUTED_VALUE"""),"02Feb")</f>
        <v>02Feb</v>
      </c>
      <c r="F3478" s="35" t="str">
        <f>IFERROR(__xludf.DUMMYFUNCTION("""COMPUTED_VALUE"""),"2026")</f>
        <v>2026</v>
      </c>
      <c r="G3478" s="35" t="str">
        <f>IFERROR(__xludf.DUMMYFUNCTION("""COMPUTED_VALUE"""),"ELFIN ANUGERAH")</f>
        <v>ELFIN ANUGERAH</v>
      </c>
      <c r="H3478" s="35" t="str">
        <f>IFERROR(__xludf.DUMMYFUNCTION("""COMPUTED_VALUE"""),"E9926027335")</f>
        <v>E9926027335</v>
      </c>
      <c r="I3478" s="35">
        <f>IFERROR(__xludf.DUMMYFUNCTION("""COMPUTED_VALUE"""),26.0)</f>
        <v>26</v>
      </c>
      <c r="J3478" s="35" t="str">
        <f>IFERROR(__xludf.DUMMYFUNCTION("""COMPUTED_VALUE"""),"25-34 tahun")</f>
        <v>25-34 tahun</v>
      </c>
      <c r="K3478" s="35" t="str">
        <f>IFERROR(__xludf.DUMMYFUNCTION("""COMPUTED_VALUE"""),"03/11/1999")</f>
        <v>03/11/1999</v>
      </c>
      <c r="L3478" s="35" t="str">
        <f>IFERROR(__xludf.DUMMYFUNCTION("""COMPUTED_VALUE"""),"LAKI-LAKI")</f>
        <v>LAKI-LAKI</v>
      </c>
      <c r="M3478" s="35" t="str">
        <f>IFERROR(__xludf.DUMMYFUNCTION("""COMPUTED_VALUE"""),"JL JOHAR GG PELANGI NO.8")</f>
        <v>JL JOHAR GG PELANGI NO.8</v>
      </c>
      <c r="N3478" s="35" t="str">
        <f>IFERROR(__xludf.DUMMYFUNCTION("""COMPUTED_VALUE"""),"TENGAH")</f>
        <v>TENGAH</v>
      </c>
      <c r="O3478" s="35" t="str">
        <f>IFERROR(__xludf.DUMMYFUNCTION("""COMPUTED_VALUE"""),"PONTIANAK KOTA")</f>
        <v>PONTIANAK KOTA</v>
      </c>
      <c r="P3478" s="35" t="str">
        <f>IFERROR(__xludf.DUMMYFUNCTION("""COMPUTED_VALUE"""),"PONTIANAK")</f>
        <v>PONTIANAK</v>
      </c>
      <c r="Q3478" s="35" t="str">
        <f>IFERROR(__xludf.DUMMYFUNCTION("""COMPUTED_VALUE"""),"KALIMANTAN BARAT")</f>
        <v>KALIMANTAN BARAT</v>
      </c>
      <c r="R3478" s="35" t="str">
        <f>IFERROR(__xludf.DUMMYFUNCTION("""COMPUTED_VALUE"""),"ISLAM")</f>
        <v>ISLAM</v>
      </c>
      <c r="S3478" s="74" t="str">
        <f>IFERROR(__xludf.DUMMYFUNCTION("""COMPUTED_VALUE"""),"MAHASISWA")</f>
        <v>MAHASISWA</v>
      </c>
      <c r="T3478" s="35" t="str">
        <f>IFERROR(__xludf.DUMMYFUNCTION("""COMPUTED_VALUE"""),"KAKI")</f>
        <v>KAKI</v>
      </c>
      <c r="U3478" s="35" t="str">
        <f>IFERROR(__xludf.DUMMYFUNCTION("""COMPUTED_VALUE"""),"-")</f>
        <v>-</v>
      </c>
      <c r="V3478" s="35" t="str">
        <f>IFERROR(__xludf.DUMMYFUNCTION("""COMPUTED_VALUE"""),"0895377107335")</f>
        <v>0895377107335</v>
      </c>
      <c r="W3478" s="45"/>
    </row>
    <row r="3479">
      <c r="A3479" s="45"/>
      <c r="B3479" s="35" t="str">
        <f>IFERROR(__xludf.DUMMYFUNCTION("""COMPUTED_VALUE"""),"18/02/2026 14:13:35")</f>
        <v>18/02/2026 14:13:35</v>
      </c>
      <c r="C3479" s="35"/>
      <c r="D3479" s="10">
        <f>IFERROR(__xludf.DUMMYFUNCTION("""COMPUTED_VALUE"""),46071.0)</f>
        <v>46071</v>
      </c>
      <c r="E3479" s="35" t="str">
        <f>IFERROR(__xludf.DUMMYFUNCTION("""COMPUTED_VALUE"""),"02Feb")</f>
        <v>02Feb</v>
      </c>
      <c r="F3479" s="35" t="str">
        <f>IFERROR(__xludf.DUMMYFUNCTION("""COMPUTED_VALUE"""),"2026")</f>
        <v>2026</v>
      </c>
      <c r="G3479" s="35" t="str">
        <f>IFERROR(__xludf.DUMMYFUNCTION("""COMPUTED_VALUE"""),"WILIANA")</f>
        <v>WILIANA</v>
      </c>
      <c r="H3479" s="35" t="str">
        <f>IFERROR(__xludf.DUMMYFUNCTION("""COMPUTED_VALUE"""),"W3926027576")</f>
        <v>W3926027576</v>
      </c>
      <c r="I3479" s="35">
        <f>IFERROR(__xludf.DUMMYFUNCTION("""COMPUTED_VALUE"""),87.0)</f>
        <v>87</v>
      </c>
      <c r="J3479" s="35" t="str">
        <f>IFERROR(__xludf.DUMMYFUNCTION("""COMPUTED_VALUE"""),"&gt; 44 tahun")</f>
        <v>&gt; 44 tahun</v>
      </c>
      <c r="K3479" s="35" t="str">
        <f>IFERROR(__xludf.DUMMYFUNCTION("""COMPUTED_VALUE"""),"18/02/1939")</f>
        <v>18/02/1939</v>
      </c>
      <c r="L3479" s="35" t="str">
        <f>IFERROR(__xludf.DUMMYFUNCTION("""COMPUTED_VALUE"""),"PEREMPUAN")</f>
        <v>PEREMPUAN</v>
      </c>
      <c r="M3479" s="35" t="str">
        <f>IFERROR(__xludf.DUMMYFUNCTION("""COMPUTED_VALUE"""),"JL GM. SAID NO.  68")</f>
        <v>JL GM. SAID NO.  68</v>
      </c>
      <c r="N3479" s="35" t="str">
        <f>IFERROR(__xludf.DUMMYFUNCTION("""COMPUTED_VALUE"""),"AKCAYA")</f>
        <v>AKCAYA</v>
      </c>
      <c r="O3479" s="35" t="str">
        <f>IFERROR(__xludf.DUMMYFUNCTION("""COMPUTED_VALUE"""),"PONTIANAK SELATAN")</f>
        <v>PONTIANAK SELATAN</v>
      </c>
      <c r="P3479" s="35" t="str">
        <f>IFERROR(__xludf.DUMMYFUNCTION("""COMPUTED_VALUE"""),"PONTIANAK")</f>
        <v>PONTIANAK</v>
      </c>
      <c r="Q3479" s="35" t="str">
        <f>IFERROR(__xludf.DUMMYFUNCTION("""COMPUTED_VALUE"""),"KALIMANTAN BARAT ")</f>
        <v>KALIMANTAN BARAT </v>
      </c>
      <c r="R3479" s="35" t="str">
        <f>IFERROR(__xludf.DUMMYFUNCTION("""COMPUTED_VALUE"""),"KATOLIK")</f>
        <v>KATOLIK</v>
      </c>
      <c r="S3479" s="74" t="str">
        <f>IFERROR(__xludf.DUMMYFUNCTION("""COMPUTED_VALUE"""),"IBU RUMAH TANGGA")</f>
        <v>IBU RUMAH TANGGA</v>
      </c>
      <c r="T3479" s="35" t="str">
        <f>IFERROR(__xludf.DUMMYFUNCTION("""COMPUTED_VALUE"""),"-")</f>
        <v>-</v>
      </c>
      <c r="U3479" s="35" t="str">
        <f>IFERROR(__xludf.DUMMYFUNCTION("""COMPUTED_VALUE"""),"-")</f>
        <v>-</v>
      </c>
      <c r="V3479" s="35" t="str">
        <f>IFERROR(__xludf.DUMMYFUNCTION("""COMPUTED_VALUE"""),"081256637576")</f>
        <v>081256637576</v>
      </c>
      <c r="W3479" s="45"/>
    </row>
    <row r="3480">
      <c r="A3480" s="45"/>
      <c r="B3480" s="35" t="str">
        <f>IFERROR(__xludf.DUMMYFUNCTION("""COMPUTED_VALUE"""),"18/02/2026 16:11:15")</f>
        <v>18/02/2026 16:11:15</v>
      </c>
      <c r="C3480" s="35"/>
      <c r="D3480" s="10">
        <f>IFERROR(__xludf.DUMMYFUNCTION("""COMPUTED_VALUE"""),46071.0)</f>
        <v>46071</v>
      </c>
      <c r="E3480" s="35" t="str">
        <f>IFERROR(__xludf.DUMMYFUNCTION("""COMPUTED_VALUE"""),"02Feb")</f>
        <v>02Feb</v>
      </c>
      <c r="F3480" s="35" t="str">
        <f>IFERROR(__xludf.DUMMYFUNCTION("""COMPUTED_VALUE"""),"2026")</f>
        <v>2026</v>
      </c>
      <c r="G3480" s="35" t="str">
        <f>IFERROR(__xludf.DUMMYFUNCTION("""COMPUTED_VALUE"""),"DWI RACHMAWAN")</f>
        <v>DWI RACHMAWAN</v>
      </c>
      <c r="H3480" s="35" t="str">
        <f>IFERROR(__xludf.DUMMYFUNCTION("""COMPUTED_VALUE"""),"D8826021979")</f>
        <v>D8826021979</v>
      </c>
      <c r="I3480" s="35">
        <f>IFERROR(__xludf.DUMMYFUNCTION("""COMPUTED_VALUE"""),38.0)</f>
        <v>38</v>
      </c>
      <c r="J3480" s="35" t="str">
        <f>IFERROR(__xludf.DUMMYFUNCTION("""COMPUTED_VALUE"""),"35-44 tahun")</f>
        <v>35-44 tahun</v>
      </c>
      <c r="K3480" s="35" t="str">
        <f>IFERROR(__xludf.DUMMYFUNCTION("""COMPUTED_VALUE"""),"09/06/1988")</f>
        <v>09/06/1988</v>
      </c>
      <c r="L3480" s="35" t="str">
        <f>IFERROR(__xludf.DUMMYFUNCTION("""COMPUTED_VALUE"""),"LAKI-LAKI")</f>
        <v>LAKI-LAKI</v>
      </c>
      <c r="M3480" s="35" t="str">
        <f>IFERROR(__xludf.DUMMYFUNCTION("""COMPUTED_VALUE"""),"JL. DR. WAHIDIN GG. SEPAKAT 4 NO 6")</f>
        <v>JL. DR. WAHIDIN GG. SEPAKAT 4 NO 6</v>
      </c>
      <c r="N3480" s="35" t="str">
        <f>IFERROR(__xludf.DUMMYFUNCTION("""COMPUTED_VALUE"""),"SUNGAI JAWI")</f>
        <v>SUNGAI JAWI</v>
      </c>
      <c r="O3480" s="35" t="str">
        <f>IFERROR(__xludf.DUMMYFUNCTION("""COMPUTED_VALUE"""),"PONTIANAK KOTA")</f>
        <v>PONTIANAK KOTA</v>
      </c>
      <c r="P3480" s="35" t="str">
        <f>IFERROR(__xludf.DUMMYFUNCTION("""COMPUTED_VALUE"""),"PONTIANAK")</f>
        <v>PONTIANAK</v>
      </c>
      <c r="Q3480" s="35" t="str">
        <f>IFERROR(__xludf.DUMMYFUNCTION("""COMPUTED_VALUE"""),"KALIMANTAN BARAT")</f>
        <v>KALIMANTAN BARAT</v>
      </c>
      <c r="R3480" s="35" t="str">
        <f>IFERROR(__xludf.DUMMYFUNCTION("""COMPUTED_VALUE"""),"ISLAM")</f>
        <v>ISLAM</v>
      </c>
      <c r="S3480" s="74" t="str">
        <f>IFERROR(__xludf.DUMMYFUNCTION("""COMPUTED_VALUE"""),"PNS")</f>
        <v>PNS</v>
      </c>
      <c r="T3480" s="35" t="str">
        <f>IFERROR(__xludf.DUMMYFUNCTION("""COMPUTED_VALUE"""),"BAHU")</f>
        <v>BAHU</v>
      </c>
      <c r="U3480" s="35" t="str">
        <f>IFERROR(__xludf.DUMMYFUNCTION("""COMPUTED_VALUE"""),"-")</f>
        <v>-</v>
      </c>
      <c r="V3480" s="35" t="str">
        <f>IFERROR(__xludf.DUMMYFUNCTION("""COMPUTED_VALUE"""),"085797191979")</f>
        <v>085797191979</v>
      </c>
      <c r="W3480" s="45"/>
    </row>
    <row r="3481">
      <c r="A3481" s="45"/>
      <c r="B3481" s="35" t="str">
        <f>IFERROR(__xludf.DUMMYFUNCTION("""COMPUTED_VALUE"""),"19/02/2026 4:41:26")</f>
        <v>19/02/2026 4:41:26</v>
      </c>
      <c r="C3481" s="35"/>
      <c r="D3481" s="10">
        <f>IFERROR(__xludf.DUMMYFUNCTION("""COMPUTED_VALUE"""),46072.0)</f>
        <v>46072</v>
      </c>
      <c r="E3481" s="35" t="str">
        <f>IFERROR(__xludf.DUMMYFUNCTION("""COMPUTED_VALUE"""),"02Feb")</f>
        <v>02Feb</v>
      </c>
      <c r="F3481" s="35" t="str">
        <f>IFERROR(__xludf.DUMMYFUNCTION("""COMPUTED_VALUE"""),"2026")</f>
        <v>2026</v>
      </c>
      <c r="G3481" s="35" t="str">
        <f>IFERROR(__xludf.DUMMYFUNCTION("""COMPUTED_VALUE"""),"HANNY WULANDARI")</f>
        <v>HANNY WULANDARI</v>
      </c>
      <c r="H3481" s="35" t="str">
        <f>IFERROR(__xludf.DUMMYFUNCTION("""COMPUTED_VALUE"""),"H9726027223")</f>
        <v>H9726027223</v>
      </c>
      <c r="I3481" s="35">
        <f>IFERROR(__xludf.DUMMYFUNCTION("""COMPUTED_VALUE"""),29.0)</f>
        <v>29</v>
      </c>
      <c r="J3481" s="35" t="str">
        <f>IFERROR(__xludf.DUMMYFUNCTION("""COMPUTED_VALUE"""),"25-34 tahun")</f>
        <v>25-34 tahun</v>
      </c>
      <c r="K3481" s="35" t="str">
        <f>IFERROR(__xludf.DUMMYFUNCTION("""COMPUTED_VALUE"""),"24/02/1997")</f>
        <v>24/02/1997</v>
      </c>
      <c r="L3481" s="35" t="str">
        <f>IFERROR(__xludf.DUMMYFUNCTION("""COMPUTED_VALUE"""),"PEREMPUAN")</f>
        <v>PEREMPUAN</v>
      </c>
      <c r="M3481" s="35" t="str">
        <f>IFERROR(__xludf.DUMMYFUNCTION("""COMPUTED_VALUE"""),"KOMP. PIL BLOK E3 NO 10")</f>
        <v>KOMP. PIL BLOK E3 NO 10</v>
      </c>
      <c r="N3481" s="35" t="str">
        <f>IFERROR(__xludf.DUMMYFUNCTION("""COMPUTED_VALUE"""),"PARIT BARU")</f>
        <v>PARIT BARU</v>
      </c>
      <c r="O3481" s="35" t="str">
        <f>IFERROR(__xludf.DUMMYFUNCTION("""COMPUTED_VALUE"""),"SUNGAI RAYA")</f>
        <v>SUNGAI RAYA</v>
      </c>
      <c r="P3481" s="35" t="str">
        <f>IFERROR(__xludf.DUMMYFUNCTION("""COMPUTED_VALUE"""),"KUBU RAYA")</f>
        <v>KUBU RAYA</v>
      </c>
      <c r="Q3481" s="35" t="str">
        <f>IFERROR(__xludf.DUMMYFUNCTION("""COMPUTED_VALUE"""),"KALIMANTAN BARAT")</f>
        <v>KALIMANTAN BARAT</v>
      </c>
      <c r="R3481" s="35" t="str">
        <f>IFERROR(__xludf.DUMMYFUNCTION("""COMPUTED_VALUE"""),"ISLAM")</f>
        <v>ISLAM</v>
      </c>
      <c r="S3481" s="74" t="str">
        <f>IFERROR(__xludf.DUMMYFUNCTION("""COMPUTED_VALUE"""),"PNS")</f>
        <v>PNS</v>
      </c>
      <c r="T3481" s="35" t="str">
        <f>IFERROR(__xludf.DUMMYFUNCTION("""COMPUTED_VALUE"""),"NYERI DI TELAPAK KAKI")</f>
        <v>NYERI DI TELAPAK KAKI</v>
      </c>
      <c r="U3481" s="35" t="str">
        <f>IFERROR(__xludf.DUMMYFUNCTION("""COMPUTED_VALUE"""),"BERDIRI TERLALU LAMA")</f>
        <v>BERDIRI TERLALU LAMA</v>
      </c>
      <c r="V3481" s="35" t="str">
        <f>IFERROR(__xludf.DUMMYFUNCTION("""COMPUTED_VALUE"""),"081249747223")</f>
        <v>081249747223</v>
      </c>
      <c r="W3481" s="45"/>
    </row>
    <row r="3482">
      <c r="A3482" s="45"/>
      <c r="B3482" s="35" t="str">
        <f>IFERROR(__xludf.DUMMYFUNCTION("""COMPUTED_VALUE"""),"19/02/2026 10:09:51")</f>
        <v>19/02/2026 10:09:51</v>
      </c>
      <c r="C3482" s="35"/>
      <c r="D3482" s="10">
        <f>IFERROR(__xludf.DUMMYFUNCTION("""COMPUTED_VALUE"""),46072.0)</f>
        <v>46072</v>
      </c>
      <c r="E3482" s="35" t="str">
        <f>IFERROR(__xludf.DUMMYFUNCTION("""COMPUTED_VALUE"""),"02Feb")</f>
        <v>02Feb</v>
      </c>
      <c r="F3482" s="35" t="str">
        <f>IFERROR(__xludf.DUMMYFUNCTION("""COMPUTED_VALUE"""),"2026")</f>
        <v>2026</v>
      </c>
      <c r="G3482" s="35" t="str">
        <f>IFERROR(__xludf.DUMMYFUNCTION("""COMPUTED_VALUE"""),"ZAENAL HASANUDDIN ")</f>
        <v>ZAENAL HASANUDDIN </v>
      </c>
      <c r="H3482" s="35" t="str">
        <f>IFERROR(__xludf.DUMMYFUNCTION("""COMPUTED_VALUE"""),"Z5726029834")</f>
        <v>Z5726029834</v>
      </c>
      <c r="I3482" s="35">
        <f>IFERROR(__xludf.DUMMYFUNCTION("""COMPUTED_VALUE"""),68.0)</f>
        <v>68</v>
      </c>
      <c r="J3482" s="35" t="str">
        <f>IFERROR(__xludf.DUMMYFUNCTION("""COMPUTED_VALUE"""),"&gt; 44 tahun")</f>
        <v>&gt; 44 tahun</v>
      </c>
      <c r="K3482" s="35" t="str">
        <f>IFERROR(__xludf.DUMMYFUNCTION("""COMPUTED_VALUE"""),"19/08/1957")</f>
        <v>19/08/1957</v>
      </c>
      <c r="L3482" s="35" t="str">
        <f>IFERROR(__xludf.DUMMYFUNCTION("""COMPUTED_VALUE"""),"LAKI-LAKI")</f>
        <v>LAKI-LAKI</v>
      </c>
      <c r="M3482" s="35" t="str">
        <f>IFERROR(__xludf.DUMMYFUNCTION("""COMPUTED_VALUE"""),"JALAN TANJUNG HARAPAN ")</f>
        <v>JALAN TANJUNG HARAPAN </v>
      </c>
      <c r="N3482" s="35" t="str">
        <f>IFERROR(__xludf.DUMMYFUNCTION("""COMPUTED_VALUE"""),"BANJAR SERASAN ")</f>
        <v>BANJAR SERASAN </v>
      </c>
      <c r="O3482" s="35" t="str">
        <f>IFERROR(__xludf.DUMMYFUNCTION("""COMPUTED_VALUE"""),"PONTIANAK TIMUR ")</f>
        <v>PONTIANAK TIMUR </v>
      </c>
      <c r="P3482" s="35" t="str">
        <f>IFERROR(__xludf.DUMMYFUNCTION("""COMPUTED_VALUE"""),"PONTIANAK TIMUR")</f>
        <v>PONTIANAK TIMUR</v>
      </c>
      <c r="Q3482" s="35" t="str">
        <f>IFERROR(__xludf.DUMMYFUNCTION("""COMPUTED_VALUE"""),"KALIMANTAN BARAT ")</f>
        <v>KALIMANTAN BARAT </v>
      </c>
      <c r="R3482" s="35" t="str">
        <f>IFERROR(__xludf.DUMMYFUNCTION("""COMPUTED_VALUE"""),"ISLAM")</f>
        <v>ISLAM</v>
      </c>
      <c r="S3482" s="74" t="str">
        <f>IFERROR(__xludf.DUMMYFUNCTION("""COMPUTED_VALUE"""),"SWASTA")</f>
        <v>SWASTA</v>
      </c>
      <c r="T3482" s="35" t="str">
        <f>IFERROR(__xludf.DUMMYFUNCTION("""COMPUTED_VALUE"""),"KAKI PEGAL PEGAL")</f>
        <v>KAKI PEGAL PEGAL</v>
      </c>
      <c r="U3482" s="35" t="str">
        <f>IFERROR(__xludf.DUMMYFUNCTION("""COMPUTED_VALUE"""),"MATA")</f>
        <v>MATA</v>
      </c>
      <c r="V3482" s="35" t="str">
        <f>IFERROR(__xludf.DUMMYFUNCTION("""COMPUTED_VALUE"""),"082251939834")</f>
        <v>082251939834</v>
      </c>
      <c r="W3482" s="45"/>
    </row>
    <row r="3483">
      <c r="A3483" s="45"/>
      <c r="B3483" s="35" t="str">
        <f>IFERROR(__xludf.DUMMYFUNCTION("""COMPUTED_VALUE"""),"19/02/2026 10:53:27")</f>
        <v>19/02/2026 10:53:27</v>
      </c>
      <c r="C3483" s="35"/>
      <c r="D3483" s="10">
        <f>IFERROR(__xludf.DUMMYFUNCTION("""COMPUTED_VALUE"""),46072.0)</f>
        <v>46072</v>
      </c>
      <c r="E3483" s="35" t="str">
        <f>IFERROR(__xludf.DUMMYFUNCTION("""COMPUTED_VALUE"""),"02Feb")</f>
        <v>02Feb</v>
      </c>
      <c r="F3483" s="35" t="str">
        <f>IFERROR(__xludf.DUMMYFUNCTION("""COMPUTED_VALUE"""),"2026")</f>
        <v>2026</v>
      </c>
      <c r="G3483" s="35" t="str">
        <f>IFERROR(__xludf.DUMMYFUNCTION("""COMPUTED_VALUE"""),"TRI WIBOWO 9112")</f>
        <v>TRI WIBOWO 9112</v>
      </c>
      <c r="H3483" s="35" t="str">
        <f>IFERROR(__xludf.DUMMYFUNCTION("""COMPUTED_VALUE"""),"T9126022814")</f>
        <v>T9126022814</v>
      </c>
      <c r="I3483" s="35">
        <f>IFERROR(__xludf.DUMMYFUNCTION("""COMPUTED_VALUE"""),34.0)</f>
        <v>34</v>
      </c>
      <c r="J3483" s="35" t="str">
        <f>IFERROR(__xludf.DUMMYFUNCTION("""COMPUTED_VALUE"""),"25-34 tahun")</f>
        <v>25-34 tahun</v>
      </c>
      <c r="K3483" s="35" t="str">
        <f>IFERROR(__xludf.DUMMYFUNCTION("""COMPUTED_VALUE"""),"14/12/1991")</f>
        <v>14/12/1991</v>
      </c>
      <c r="L3483" s="35" t="str">
        <f>IFERROR(__xludf.DUMMYFUNCTION("""COMPUTED_VALUE"""),"LAKI-LAKI")</f>
        <v>LAKI-LAKI</v>
      </c>
      <c r="M3483" s="35" t="str">
        <f>IFERROR(__xludf.DUMMYFUNCTION("""COMPUTED_VALUE"""),"JL. KESEHATAN")</f>
        <v>JL. KESEHATAN</v>
      </c>
      <c r="N3483" s="35" t="str">
        <f>IFERROR(__xludf.DUMMYFUNCTION("""COMPUTED_VALUE"""),"KOTA BARU")</f>
        <v>KOTA BARU</v>
      </c>
      <c r="O3483" s="35" t="str">
        <f>IFERROR(__xludf.DUMMYFUNCTION("""COMPUTED_VALUE"""),"PONTIANAK SELATAN")</f>
        <v>PONTIANAK SELATAN</v>
      </c>
      <c r="P3483" s="35" t="str">
        <f>IFERROR(__xludf.DUMMYFUNCTION("""COMPUTED_VALUE"""),"PONTIANAK")</f>
        <v>PONTIANAK</v>
      </c>
      <c r="Q3483" s="35" t="str">
        <f>IFERROR(__xludf.DUMMYFUNCTION("""COMPUTED_VALUE"""),"KALIMANTAN BARAT")</f>
        <v>KALIMANTAN BARAT</v>
      </c>
      <c r="R3483" s="35" t="str">
        <f>IFERROR(__xludf.DUMMYFUNCTION("""COMPUTED_VALUE"""),"ISLAM")</f>
        <v>ISLAM</v>
      </c>
      <c r="S3483" s="74" t="str">
        <f>IFERROR(__xludf.DUMMYFUNCTION("""COMPUTED_VALUE"""),"SWASTA")</f>
        <v>SWASTA</v>
      </c>
      <c r="T3483" s="35" t="str">
        <f>IFERROR(__xludf.DUMMYFUNCTION("""COMPUTED_VALUE"""),"NYERI DITANGAN KANAN PASCA MAIN BADMINTON")</f>
        <v>NYERI DITANGAN KANAN PASCA MAIN BADMINTON</v>
      </c>
      <c r="U3483" s="35" t="str">
        <f>IFERROR(__xludf.DUMMYFUNCTION("""COMPUTED_VALUE"""),"BADMINTON PLAYER")</f>
        <v>BADMINTON PLAYER</v>
      </c>
      <c r="V3483" s="35" t="str">
        <f>IFERROR(__xludf.DUMMYFUNCTION("""COMPUTED_VALUE"""),"085252492814")</f>
        <v>085252492814</v>
      </c>
      <c r="W3483" s="45"/>
    </row>
    <row r="3484">
      <c r="A3484" s="45"/>
      <c r="B3484" s="35" t="str">
        <f>IFERROR(__xludf.DUMMYFUNCTION("""COMPUTED_VALUE"""),"19/02/2026 12:21:30")</f>
        <v>19/02/2026 12:21:30</v>
      </c>
      <c r="C3484" s="35"/>
      <c r="D3484" s="10">
        <f>IFERROR(__xludf.DUMMYFUNCTION("""COMPUTED_VALUE"""),46072.0)</f>
        <v>46072</v>
      </c>
      <c r="E3484" s="35" t="str">
        <f>IFERROR(__xludf.DUMMYFUNCTION("""COMPUTED_VALUE"""),"02Feb")</f>
        <v>02Feb</v>
      </c>
      <c r="F3484" s="35" t="str">
        <f>IFERROR(__xludf.DUMMYFUNCTION("""COMPUTED_VALUE"""),"2026")</f>
        <v>2026</v>
      </c>
      <c r="G3484" s="35" t="str">
        <f>IFERROR(__xludf.DUMMYFUNCTION("""COMPUTED_VALUE"""),"ANA 1978")</f>
        <v>ANA 1978</v>
      </c>
      <c r="H3484" s="35" t="str">
        <f>IFERROR(__xludf.DUMMYFUNCTION("""COMPUTED_VALUE"""),"A7826023784")</f>
        <v>A7826023784</v>
      </c>
      <c r="I3484" s="35">
        <f>IFERROR(__xludf.DUMMYFUNCTION("""COMPUTED_VALUE"""),47.0)</f>
        <v>47</v>
      </c>
      <c r="J3484" s="35" t="str">
        <f>IFERROR(__xludf.DUMMYFUNCTION("""COMPUTED_VALUE"""),"&gt; 44 tahun")</f>
        <v>&gt; 44 tahun</v>
      </c>
      <c r="K3484" s="35" t="str">
        <f>IFERROR(__xludf.DUMMYFUNCTION("""COMPUTED_VALUE"""),"05/08/1978")</f>
        <v>05/08/1978</v>
      </c>
      <c r="L3484" s="35" t="str">
        <f>IFERROR(__xludf.DUMMYFUNCTION("""COMPUTED_VALUE"""),"PEREMPUAN")</f>
        <v>PEREMPUAN</v>
      </c>
      <c r="M3484" s="35" t="str">
        <f>IFERROR(__xludf.DUMMYFUNCTION("""COMPUTED_VALUE"""),"JL. KESEHATAN GG SUMBER AGUNG 1 JALUR A NO. 12")</f>
        <v>JL. KESEHATAN GG SUMBER AGUNG 1 JALUR A NO. 12</v>
      </c>
      <c r="N3484" s="35" t="str">
        <f>IFERROR(__xludf.DUMMYFUNCTION("""COMPUTED_VALUE"""),"KOTA BARU")</f>
        <v>KOTA BARU</v>
      </c>
      <c r="O3484" s="35" t="str">
        <f>IFERROR(__xludf.DUMMYFUNCTION("""COMPUTED_VALUE"""),"PONTIANAK SELATAN")</f>
        <v>PONTIANAK SELATAN</v>
      </c>
      <c r="P3484" s="35" t="str">
        <f>IFERROR(__xludf.DUMMYFUNCTION("""COMPUTED_VALUE"""),"PONTIANAK")</f>
        <v>PONTIANAK</v>
      </c>
      <c r="Q3484" s="35" t="str">
        <f>IFERROR(__xludf.DUMMYFUNCTION("""COMPUTED_VALUE"""),"KALIMANTAN BARAT ")</f>
        <v>KALIMANTAN BARAT </v>
      </c>
      <c r="R3484" s="35" t="str">
        <f>IFERROR(__xludf.DUMMYFUNCTION("""COMPUTED_VALUE"""),"ISLAM")</f>
        <v>ISLAM</v>
      </c>
      <c r="S3484" s="74" t="str">
        <f>IFERROR(__xludf.DUMMYFUNCTION("""COMPUTED_VALUE"""),"KARYAWAN SWASTA")</f>
        <v>KARYAWAN SWASTA</v>
      </c>
      <c r="T3484" s="35" t="str">
        <f>IFERROR(__xludf.DUMMYFUNCTION("""COMPUTED_VALUE"""),"VERTIGO")</f>
        <v>VERTIGO</v>
      </c>
      <c r="U3484" s="35" t="str">
        <f>IFERROR(__xludf.DUMMYFUNCTION("""COMPUTED_VALUE"""),"-")</f>
        <v>-</v>
      </c>
      <c r="V3484" s="35" t="str">
        <f>IFERROR(__xludf.DUMMYFUNCTION("""COMPUTED_VALUE"""),"085245833784")</f>
        <v>085245833784</v>
      </c>
      <c r="W3484" s="45"/>
    </row>
    <row r="3485">
      <c r="A3485" s="45"/>
      <c r="B3485" s="35" t="str">
        <f>IFERROR(__xludf.DUMMYFUNCTION("""COMPUTED_VALUE"""),"19/02/2026 12:30:59")</f>
        <v>19/02/2026 12:30:59</v>
      </c>
      <c r="C3485" s="35"/>
      <c r="D3485" s="10">
        <f>IFERROR(__xludf.DUMMYFUNCTION("""COMPUTED_VALUE"""),46072.0)</f>
        <v>46072</v>
      </c>
      <c r="E3485" s="35" t="str">
        <f>IFERROR(__xludf.DUMMYFUNCTION("""COMPUTED_VALUE"""),"02Feb")</f>
        <v>02Feb</v>
      </c>
      <c r="F3485" s="35" t="str">
        <f>IFERROR(__xludf.DUMMYFUNCTION("""COMPUTED_VALUE"""),"2026")</f>
        <v>2026</v>
      </c>
      <c r="G3485" s="35" t="str">
        <f>IFERROR(__xludf.DUMMYFUNCTION("""COMPUTED_VALUE"""),"SANTY RIA TJHIE")</f>
        <v>SANTY RIA TJHIE</v>
      </c>
      <c r="H3485" s="35" t="str">
        <f>IFERROR(__xludf.DUMMYFUNCTION("""COMPUTED_VALUE"""),"S5526020100")</f>
        <v>S5526020100</v>
      </c>
      <c r="I3485" s="35">
        <f>IFERROR(__xludf.DUMMYFUNCTION("""COMPUTED_VALUE"""),71.0)</f>
        <v>71</v>
      </c>
      <c r="J3485" s="35" t="str">
        <f>IFERROR(__xludf.DUMMYFUNCTION("""COMPUTED_VALUE"""),"&gt; 44 tahun")</f>
        <v>&gt; 44 tahun</v>
      </c>
      <c r="K3485" s="35" t="str">
        <f>IFERROR(__xludf.DUMMYFUNCTION("""COMPUTED_VALUE"""),"08/05/1955")</f>
        <v>08/05/1955</v>
      </c>
      <c r="L3485" s="35" t="str">
        <f>IFERROR(__xludf.DUMMYFUNCTION("""COMPUTED_VALUE"""),"PEREMPUAN")</f>
        <v>PEREMPUAN</v>
      </c>
      <c r="M3485" s="35" t="str">
        <f>IFERROR(__xludf.DUMMYFUNCTION("""COMPUTED_VALUE"""),"JL. LETJEND SOEPRAPTO V NO. 8")</f>
        <v>JL. LETJEND SOEPRAPTO V NO. 8</v>
      </c>
      <c r="N3485" s="35" t="str">
        <f>IFERROR(__xludf.DUMMYFUNCTION("""COMPUTED_VALUE"""),"BENUA MELAYU DARAT")</f>
        <v>BENUA MELAYU DARAT</v>
      </c>
      <c r="O3485" s="35" t="str">
        <f>IFERROR(__xludf.DUMMYFUNCTION("""COMPUTED_VALUE"""),"PONTIANAK SELATAN")</f>
        <v>PONTIANAK SELATAN</v>
      </c>
      <c r="P3485" s="35" t="str">
        <f>IFERROR(__xludf.DUMMYFUNCTION("""COMPUTED_VALUE"""),"PONTIANAK")</f>
        <v>PONTIANAK</v>
      </c>
      <c r="Q3485" s="35" t="str">
        <f>IFERROR(__xludf.DUMMYFUNCTION("""COMPUTED_VALUE"""),"KALIMANTAN BARAT")</f>
        <v>KALIMANTAN BARAT</v>
      </c>
      <c r="R3485" s="35" t="str">
        <f>IFERROR(__xludf.DUMMYFUNCTION("""COMPUTED_VALUE"""),"BUDDHA")</f>
        <v>BUDDHA</v>
      </c>
      <c r="S3485" s="74" t="str">
        <f>IFERROR(__xludf.DUMMYFUNCTION("""COMPUTED_VALUE"""),"IBU RUMAH TANGGA")</f>
        <v>IBU RUMAH TANGGA</v>
      </c>
      <c r="T3485" s="35" t="str">
        <f>IFERROR(__xludf.DUMMYFUNCTION("""COMPUTED_VALUE"""),"PUNDAK DAN LEHER KERAS DAN TEGANG OTOTNYA")</f>
        <v>PUNDAK DAN LEHER KERAS DAN TEGANG OTOTNYA</v>
      </c>
      <c r="U3485" s="35" t="str">
        <f>IFERROR(__xludf.DUMMYFUNCTION("""COMPUTED_VALUE"""),"-")</f>
        <v>-</v>
      </c>
      <c r="V3485" s="35" t="str">
        <f>IFERROR(__xludf.DUMMYFUNCTION("""COMPUTED_VALUE"""),"08125640100")</f>
        <v>08125640100</v>
      </c>
      <c r="W3485" s="45"/>
    </row>
    <row r="3486">
      <c r="A3486" s="45"/>
      <c r="B3486" s="35" t="str">
        <f>IFERROR(__xludf.DUMMYFUNCTION("""COMPUTED_VALUE"""),"19/02/2026 21:02:17")</f>
        <v>19/02/2026 21:02:17</v>
      </c>
      <c r="C3486" s="35"/>
      <c r="D3486" s="10">
        <f>IFERROR(__xludf.DUMMYFUNCTION("""COMPUTED_VALUE"""),46072.0)</f>
        <v>46072</v>
      </c>
      <c r="E3486" s="35" t="str">
        <f>IFERROR(__xludf.DUMMYFUNCTION("""COMPUTED_VALUE"""),"02Feb")</f>
        <v>02Feb</v>
      </c>
      <c r="F3486" s="35" t="str">
        <f>IFERROR(__xludf.DUMMYFUNCTION("""COMPUTED_VALUE"""),"2026")</f>
        <v>2026</v>
      </c>
      <c r="G3486" s="35" t="str">
        <f>IFERROR(__xludf.DUMMYFUNCTION("""COMPUTED_VALUE"""),"ANDREAN CAHYONO")</f>
        <v>ANDREAN CAHYONO</v>
      </c>
      <c r="H3486" s="35" t="str">
        <f>IFERROR(__xludf.DUMMYFUNCTION("""COMPUTED_VALUE"""),"A9226023219")</f>
        <v>A9226023219</v>
      </c>
      <c r="I3486" s="35">
        <f>IFERROR(__xludf.DUMMYFUNCTION("""COMPUTED_VALUE"""),33.0)</f>
        <v>33</v>
      </c>
      <c r="J3486" s="35" t="str">
        <f>IFERROR(__xludf.DUMMYFUNCTION("""COMPUTED_VALUE"""),"25-34 tahun")</f>
        <v>25-34 tahun</v>
      </c>
      <c r="K3486" s="35" t="str">
        <f>IFERROR(__xludf.DUMMYFUNCTION("""COMPUTED_VALUE"""),"08/09/1992")</f>
        <v>08/09/1992</v>
      </c>
      <c r="L3486" s="35" t="str">
        <f>IFERROR(__xludf.DUMMYFUNCTION("""COMPUTED_VALUE"""),"LAKI-LAKI")</f>
        <v>LAKI-LAKI</v>
      </c>
      <c r="M3486" s="35" t="str">
        <f>IFERROR(__xludf.DUMMYFUNCTION("""COMPUTED_VALUE"""),"KOMPLEK TAMAN ANGGREK NO.61")</f>
        <v>KOMPLEK TAMAN ANGGREK NO.61</v>
      </c>
      <c r="N3486" s="35" t="str">
        <f>IFERROR(__xludf.DUMMYFUNCTION("""COMPUTED_VALUE"""),"SUKA ASIH")</f>
        <v>SUKA ASIH</v>
      </c>
      <c r="O3486" s="35" t="str">
        <f>IFERROR(__xludf.DUMMYFUNCTION("""COMPUTED_VALUE"""),"BABAKAN CIPARAY")</f>
        <v>BABAKAN CIPARAY</v>
      </c>
      <c r="P3486" s="35" t="str">
        <f>IFERROR(__xludf.DUMMYFUNCTION("""COMPUTED_VALUE"""),"KOTA BANDUNG")</f>
        <v>KOTA BANDUNG</v>
      </c>
      <c r="Q3486" s="35" t="str">
        <f>IFERROR(__xludf.DUMMYFUNCTION("""COMPUTED_VALUE"""),"JAWA BARAT")</f>
        <v>JAWA BARAT</v>
      </c>
      <c r="R3486" s="35" t="str">
        <f>IFERROR(__xludf.DUMMYFUNCTION("""COMPUTED_VALUE"""),"KATOLIK")</f>
        <v>KATOLIK</v>
      </c>
      <c r="S3486" s="74" t="str">
        <f>IFERROR(__xludf.DUMMYFUNCTION("""COMPUTED_VALUE"""),"WIRASWASTA")</f>
        <v>WIRASWASTA</v>
      </c>
      <c r="T3486" s="35" t="str">
        <f>IFERROR(__xludf.DUMMYFUNCTION("""COMPUTED_VALUE"""),"SAKIT PUNDAK ")</f>
        <v>SAKIT PUNDAK </v>
      </c>
      <c r="U3486" s="35" t="str">
        <f>IFERROR(__xludf.DUMMYFUNCTION("""COMPUTED_VALUE"""),"BASKET GENDONG ANAK")</f>
        <v>BASKET GENDONG ANAK</v>
      </c>
      <c r="V3486" s="35" t="str">
        <f>IFERROR(__xludf.DUMMYFUNCTION("""COMPUTED_VALUE"""),"0818323219")</f>
        <v>0818323219</v>
      </c>
      <c r="W3486" s="45"/>
    </row>
    <row r="3487">
      <c r="A3487" s="45"/>
      <c r="B3487" s="35" t="str">
        <f>IFERROR(__xludf.DUMMYFUNCTION("""COMPUTED_VALUE"""),"20/02/2026 10:36:48")</f>
        <v>20/02/2026 10:36:48</v>
      </c>
      <c r="C3487" s="35"/>
      <c r="D3487" s="10">
        <f>IFERROR(__xludf.DUMMYFUNCTION("""COMPUTED_VALUE"""),46073.0)</f>
        <v>46073</v>
      </c>
      <c r="E3487" s="35" t="str">
        <f>IFERROR(__xludf.DUMMYFUNCTION("""COMPUTED_VALUE"""),"02Feb")</f>
        <v>02Feb</v>
      </c>
      <c r="F3487" s="35" t="str">
        <f>IFERROR(__xludf.DUMMYFUNCTION("""COMPUTED_VALUE"""),"2026")</f>
        <v>2026</v>
      </c>
      <c r="G3487" s="35" t="str">
        <f>IFERROR(__xludf.DUMMYFUNCTION("""COMPUTED_VALUE"""),"SELVIA")</f>
        <v>SELVIA</v>
      </c>
      <c r="H3487" s="35" t="str">
        <f>IFERROR(__xludf.DUMMYFUNCTION("""COMPUTED_VALUE"""),"S9626026188")</f>
        <v>S9626026188</v>
      </c>
      <c r="I3487" s="35">
        <f>IFERROR(__xludf.DUMMYFUNCTION("""COMPUTED_VALUE"""),29.0)</f>
        <v>29</v>
      </c>
      <c r="J3487" s="35" t="str">
        <f>IFERROR(__xludf.DUMMYFUNCTION("""COMPUTED_VALUE"""),"25-34 tahun")</f>
        <v>25-34 tahun</v>
      </c>
      <c r="K3487" s="35" t="str">
        <f>IFERROR(__xludf.DUMMYFUNCTION("""COMPUTED_VALUE"""),"20/09/1996")</f>
        <v>20/09/1996</v>
      </c>
      <c r="L3487" s="35" t="str">
        <f>IFERROR(__xludf.DUMMYFUNCTION("""COMPUTED_VALUE"""),"PEREMPUAN")</f>
        <v>PEREMPUAN</v>
      </c>
      <c r="M3487" s="35" t="str">
        <f>IFERROR(__xludf.DUMMYFUNCTION("""COMPUTED_VALUE"""),"JALAN SUPRAPTO DALAM 2")</f>
        <v>JALAN SUPRAPTO DALAM 2</v>
      </c>
      <c r="N3487" s="35" t="str">
        <f>IFERROR(__xludf.DUMMYFUNCTION("""COMPUTED_VALUE"""),"BENUA MELAYU DARAT ")</f>
        <v>BENUA MELAYU DARAT </v>
      </c>
      <c r="O3487" s="35" t="str">
        <f>IFERROR(__xludf.DUMMYFUNCTION("""COMPUTED_VALUE"""),"PONTIANAK SELATAN")</f>
        <v>PONTIANAK SELATAN</v>
      </c>
      <c r="P3487" s="35" t="str">
        <f>IFERROR(__xludf.DUMMYFUNCTION("""COMPUTED_VALUE"""),"KOTA PONTIANAK ")</f>
        <v>KOTA PONTIANAK </v>
      </c>
      <c r="Q3487" s="35" t="str">
        <f>IFERROR(__xludf.DUMMYFUNCTION("""COMPUTED_VALUE"""),"KALIMANTAN BARAT ")</f>
        <v>KALIMANTAN BARAT </v>
      </c>
      <c r="R3487" s="35" t="str">
        <f>IFERROR(__xludf.DUMMYFUNCTION("""COMPUTED_VALUE"""),"BUDDHA")</f>
        <v>BUDDHA</v>
      </c>
      <c r="S3487" s="74" t="str">
        <f>IFERROR(__xludf.DUMMYFUNCTION("""COMPUTED_VALUE"""),"DAGANG ")</f>
        <v>DAGANG </v>
      </c>
      <c r="T3487" s="35" t="str">
        <f>IFERROR(__xludf.DUMMYFUNCTION("""COMPUTED_VALUE"""),"TUMIT KIRI KANAN SAKIT TIAP BANGUN ")</f>
        <v>TUMIT KIRI KANAN SAKIT TIAP BANGUN </v>
      </c>
      <c r="U3487" s="35" t="str">
        <f>IFERROR(__xludf.DUMMYFUNCTION("""COMPUTED_VALUE"""),"DAGANG KEBANYKAN BERDIRIB")</f>
        <v>DAGANG KEBANYKAN BERDIRIB</v>
      </c>
      <c r="V3487" s="35" t="str">
        <f>IFERROR(__xludf.DUMMYFUNCTION("""COMPUTED_VALUE"""),"085393886188")</f>
        <v>085393886188</v>
      </c>
      <c r="W3487" s="45"/>
    </row>
    <row r="3488">
      <c r="A3488" s="45"/>
      <c r="B3488" s="35" t="str">
        <f>IFERROR(__xludf.DUMMYFUNCTION("""COMPUTED_VALUE"""),"20/02/2026 12:29:40")</f>
        <v>20/02/2026 12:29:40</v>
      </c>
      <c r="C3488" s="35"/>
      <c r="D3488" s="10">
        <f>IFERROR(__xludf.DUMMYFUNCTION("""COMPUTED_VALUE"""),46073.0)</f>
        <v>46073</v>
      </c>
      <c r="E3488" s="35" t="str">
        <f>IFERROR(__xludf.DUMMYFUNCTION("""COMPUTED_VALUE"""),"02Feb")</f>
        <v>02Feb</v>
      </c>
      <c r="F3488" s="35" t="str">
        <f>IFERROR(__xludf.DUMMYFUNCTION("""COMPUTED_VALUE"""),"2026")</f>
        <v>2026</v>
      </c>
      <c r="G3488" s="35" t="str">
        <f>IFERROR(__xludf.DUMMYFUNCTION("""COMPUTED_VALUE"""),"TUTUT RAHMAWATI")</f>
        <v>TUTUT RAHMAWATI</v>
      </c>
      <c r="H3488" s="35" t="str">
        <f>IFERROR(__xludf.DUMMYFUNCTION("""COMPUTED_VALUE"""),"T9426023944")</f>
        <v>T9426023944</v>
      </c>
      <c r="I3488" s="35">
        <f>IFERROR(__xludf.DUMMYFUNCTION("""COMPUTED_VALUE"""),32.0)</f>
        <v>32</v>
      </c>
      <c r="J3488" s="35" t="str">
        <f>IFERROR(__xludf.DUMMYFUNCTION("""COMPUTED_VALUE"""),"25-34 tahun")</f>
        <v>25-34 tahun</v>
      </c>
      <c r="K3488" s="35" t="str">
        <f>IFERROR(__xludf.DUMMYFUNCTION("""COMPUTED_VALUE"""),"06/02/1994")</f>
        <v>06/02/1994</v>
      </c>
      <c r="L3488" s="35" t="str">
        <f>IFERROR(__xludf.DUMMYFUNCTION("""COMPUTED_VALUE"""),"PEREMPUAN")</f>
        <v>PEREMPUAN</v>
      </c>
      <c r="M3488" s="35" t="str">
        <f>IFERROR(__xludf.DUMMYFUNCTION("""COMPUTED_VALUE"""),"JL. PANGLIMA AIM")</f>
        <v>JL. PANGLIMA AIM</v>
      </c>
      <c r="N3488" s="35" t="str">
        <f>IFERROR(__xludf.DUMMYFUNCTION("""COMPUTED_VALUE"""),"TANJUNG HULU")</f>
        <v>TANJUNG HULU</v>
      </c>
      <c r="O3488" s="35" t="str">
        <f>IFERROR(__xludf.DUMMYFUNCTION("""COMPUTED_VALUE"""),"PONTIANAK TIMUR")</f>
        <v>PONTIANAK TIMUR</v>
      </c>
      <c r="P3488" s="35" t="str">
        <f>IFERROR(__xludf.DUMMYFUNCTION("""COMPUTED_VALUE"""),"PONTIANAK")</f>
        <v>PONTIANAK</v>
      </c>
      <c r="Q3488" s="35" t="str">
        <f>IFERROR(__xludf.DUMMYFUNCTION("""COMPUTED_VALUE"""),"KALIMANTAN BARAT")</f>
        <v>KALIMANTAN BARAT</v>
      </c>
      <c r="R3488" s="35" t="str">
        <f>IFERROR(__xludf.DUMMYFUNCTION("""COMPUTED_VALUE"""),"ISLAM")</f>
        <v>ISLAM</v>
      </c>
      <c r="S3488" s="74" t="str">
        <f>IFERROR(__xludf.DUMMYFUNCTION("""COMPUTED_VALUE"""),"ASN")</f>
        <v>ASN</v>
      </c>
      <c r="T3488" s="35" t="str">
        <f>IFERROR(__xludf.DUMMYFUNCTION("""COMPUTED_VALUE"""),"NYERI DAN BENGKAK DI PERGELANGAN KAKI KIRI SETELAH TERPELECOK")</f>
        <v>NYERI DAN BENGKAK DI PERGELANGAN KAKI KIRI SETELAH TERPELECOK</v>
      </c>
      <c r="U3488" s="35" t="str">
        <f>IFERROR(__xludf.DUMMYFUNCTION("""COMPUTED_VALUE"""),"-")</f>
        <v>-</v>
      </c>
      <c r="V3488" s="35" t="str">
        <f>IFERROR(__xludf.DUMMYFUNCTION("""COMPUTED_VALUE"""),"085820573944")</f>
        <v>085820573944</v>
      </c>
      <c r="W3488" s="45"/>
    </row>
    <row r="3489">
      <c r="A3489" s="45"/>
      <c r="B3489" s="35" t="str">
        <f>IFERROR(__xludf.DUMMYFUNCTION("""COMPUTED_VALUE"""),"20/02/2026 14:25:40")</f>
        <v>20/02/2026 14:25:40</v>
      </c>
      <c r="C3489" s="35"/>
      <c r="D3489" s="10">
        <f>IFERROR(__xludf.DUMMYFUNCTION("""COMPUTED_VALUE"""),46073.0)</f>
        <v>46073</v>
      </c>
      <c r="E3489" s="35" t="str">
        <f>IFERROR(__xludf.DUMMYFUNCTION("""COMPUTED_VALUE"""),"02Feb")</f>
        <v>02Feb</v>
      </c>
      <c r="F3489" s="35" t="str">
        <f>IFERROR(__xludf.DUMMYFUNCTION("""COMPUTED_VALUE"""),"2026")</f>
        <v>2026</v>
      </c>
      <c r="G3489" s="35" t="str">
        <f>IFERROR(__xludf.DUMMYFUNCTION("""COMPUTED_VALUE"""),"HAMZAH")</f>
        <v>HAMZAH</v>
      </c>
      <c r="H3489" s="35" t="str">
        <f>IFERROR(__xludf.DUMMYFUNCTION("""COMPUTED_VALUE"""),"H7026028383")</f>
        <v>H7026028383</v>
      </c>
      <c r="I3489" s="35">
        <f>IFERROR(__xludf.DUMMYFUNCTION("""COMPUTED_VALUE"""),56.0)</f>
        <v>56</v>
      </c>
      <c r="J3489" s="35" t="str">
        <f>IFERROR(__xludf.DUMMYFUNCTION("""COMPUTED_VALUE"""),"&gt; 44 tahun")</f>
        <v>&gt; 44 tahun</v>
      </c>
      <c r="K3489" s="35" t="str">
        <f>IFERROR(__xludf.DUMMYFUNCTION("""COMPUTED_VALUE"""),"17/03/1970")</f>
        <v>17/03/1970</v>
      </c>
      <c r="L3489" s="35" t="str">
        <f>IFERROR(__xludf.DUMMYFUNCTION("""COMPUTED_VALUE"""),"LAKI-LAKI")</f>
        <v>LAKI-LAKI</v>
      </c>
      <c r="M3489" s="35" t="str">
        <f>IFERROR(__xludf.DUMMYFUNCTION("""COMPUTED_VALUE"""),"JLN KARYA KOTABARU KOMPLEK KARYA CAHAYA LESTARI B20")</f>
        <v>JLN KARYA KOTABARU KOMPLEK KARYA CAHAYA LESTARI B20</v>
      </c>
      <c r="N3489" s="35" t="str">
        <f>IFERROR(__xludf.DUMMYFUNCTION("""COMPUTED_VALUE"""),"PAL SEMBILAN")</f>
        <v>PAL SEMBILAN</v>
      </c>
      <c r="O3489" s="35" t="str">
        <f>IFERROR(__xludf.DUMMYFUNCTION("""COMPUTED_VALUE"""),"SUNGAI KAKAP")</f>
        <v>SUNGAI KAKAP</v>
      </c>
      <c r="P3489" s="35" t="str">
        <f>IFERROR(__xludf.DUMMYFUNCTION("""COMPUTED_VALUE"""),"KUBU RAYA")</f>
        <v>KUBU RAYA</v>
      </c>
      <c r="Q3489" s="35" t="str">
        <f>IFERROR(__xludf.DUMMYFUNCTION("""COMPUTED_VALUE"""),"KALIMANTAN BARAT")</f>
        <v>KALIMANTAN BARAT</v>
      </c>
      <c r="R3489" s="35" t="str">
        <f>IFERROR(__xludf.DUMMYFUNCTION("""COMPUTED_VALUE"""),"ISLAM")</f>
        <v>ISLAM</v>
      </c>
      <c r="S3489" s="74" t="str">
        <f>IFERROR(__xludf.DUMMYFUNCTION("""COMPUTED_VALUE"""),"KARYAWAN SWASTA")</f>
        <v>KARYAWAN SWASTA</v>
      </c>
      <c r="T3489" s="35" t="str">
        <f>IFERROR(__xludf.DUMMYFUNCTION("""COMPUTED_VALUE"""),"PAHA KIRI TERASA NYILU SEWAKTU DUDUK/JALAN ")</f>
        <v>PAHA KIRI TERASA NYILU SEWAKTU DUDUK/JALAN </v>
      </c>
      <c r="U3489" s="35" t="str">
        <f>IFERROR(__xludf.DUMMYFUNCTION("""COMPUTED_VALUE"""),"OLAHRAGA RINGAN/SEPEDA")</f>
        <v>OLAHRAGA RINGAN/SEPEDA</v>
      </c>
      <c r="V3489" s="35" t="str">
        <f>IFERROR(__xludf.DUMMYFUNCTION("""COMPUTED_VALUE"""),"081255638383")</f>
        <v>081255638383</v>
      </c>
      <c r="W3489" s="45"/>
    </row>
    <row r="3490">
      <c r="A3490" s="45"/>
      <c r="B3490" s="35" t="str">
        <f>IFERROR(__xludf.DUMMYFUNCTION("""COMPUTED_VALUE"""),"20/02/2026 15:32:31")</f>
        <v>20/02/2026 15:32:31</v>
      </c>
      <c r="C3490" s="35"/>
      <c r="D3490" s="10">
        <f>IFERROR(__xludf.DUMMYFUNCTION("""COMPUTED_VALUE"""),46073.0)</f>
        <v>46073</v>
      </c>
      <c r="E3490" s="35" t="str">
        <f>IFERROR(__xludf.DUMMYFUNCTION("""COMPUTED_VALUE"""),"02Feb")</f>
        <v>02Feb</v>
      </c>
      <c r="F3490" s="35" t="str">
        <f>IFERROR(__xludf.DUMMYFUNCTION("""COMPUTED_VALUE"""),"2026")</f>
        <v>2026</v>
      </c>
      <c r="G3490" s="35" t="str">
        <f>IFERROR(__xludf.DUMMYFUNCTION("""COMPUTED_VALUE"""),"ANDREAS RIAN PANAMUAN ")</f>
        <v>ANDREAS RIAN PANAMUAN </v>
      </c>
      <c r="H3490" s="35" t="str">
        <f>IFERROR(__xludf.DUMMYFUNCTION("""COMPUTED_VALUE"""),"A9926026114")</f>
        <v>A9926026114</v>
      </c>
      <c r="I3490" s="35">
        <f>IFERROR(__xludf.DUMMYFUNCTION("""COMPUTED_VALUE"""),27.0)</f>
        <v>27</v>
      </c>
      <c r="J3490" s="35" t="str">
        <f>IFERROR(__xludf.DUMMYFUNCTION("""COMPUTED_VALUE"""),"25-34 tahun")</f>
        <v>25-34 tahun</v>
      </c>
      <c r="K3490" s="35" t="str">
        <f>IFERROR(__xludf.DUMMYFUNCTION("""COMPUTED_VALUE"""),"04/03/1999")</f>
        <v>04/03/1999</v>
      </c>
      <c r="L3490" s="35" t="str">
        <f>IFERROR(__xludf.DUMMYFUNCTION("""COMPUTED_VALUE"""),"LAKI-LAKI")</f>
        <v>LAKI-LAKI</v>
      </c>
      <c r="M3490" s="35" t="str">
        <f>IFERROR(__xludf.DUMMYFUNCTION("""COMPUTED_VALUE"""),"BEBANTER")</f>
        <v>BEBANTER</v>
      </c>
      <c r="N3490" s="35" t="str">
        <f>IFERROR(__xludf.DUMMYFUNCTION("""COMPUTED_VALUE"""),"DESA RETOK")</f>
        <v>DESA RETOK</v>
      </c>
      <c r="O3490" s="35" t="str">
        <f>IFERROR(__xludf.DUMMYFUNCTION("""COMPUTED_VALUE"""),"KUALA MANDOR B")</f>
        <v>KUALA MANDOR B</v>
      </c>
      <c r="P3490" s="35" t="str">
        <f>IFERROR(__xludf.DUMMYFUNCTION("""COMPUTED_VALUE"""),"KUBU RAYA")</f>
        <v>KUBU RAYA</v>
      </c>
      <c r="Q3490" s="35" t="str">
        <f>IFERROR(__xludf.DUMMYFUNCTION("""COMPUTED_VALUE"""),"KALIMANTAN BARAT ")</f>
        <v>KALIMANTAN BARAT </v>
      </c>
      <c r="R3490" s="35" t="str">
        <f>IFERROR(__xludf.DUMMYFUNCTION("""COMPUTED_VALUE"""),"KATOLIK")</f>
        <v>KATOLIK</v>
      </c>
      <c r="S3490" s="74" t="str">
        <f>IFERROR(__xludf.DUMMYFUNCTION("""COMPUTED_VALUE"""),"SWASTA ")</f>
        <v>SWASTA </v>
      </c>
      <c r="T3490" s="35" t="str">
        <f>IFERROR(__xludf.DUMMYFUNCTION("""COMPUTED_VALUE"""),"DI AWALI DENGAN TEGANG NYA URAT DI KAKI DAN SAMPAI MENGALAMI SAKIT DAN NGILU BERLEBIHAN DI BAGIAN BETIS DAN PAHA")</f>
        <v>DI AWALI DENGAN TEGANG NYA URAT DI KAKI DAN SAMPAI MENGALAMI SAKIT DAN NGILU BERLEBIHAN DI BAGIAN BETIS DAN PAHA</v>
      </c>
      <c r="U3490" s="35" t="str">
        <f>IFERROR(__xludf.DUMMYFUNCTION("""COMPUTED_VALUE"""),"OLAHRAGA ")</f>
        <v>OLAHRAGA </v>
      </c>
      <c r="V3490" s="35" t="str">
        <f>IFERROR(__xludf.DUMMYFUNCTION("""COMPUTED_VALUE"""),"085821376114")</f>
        <v>085821376114</v>
      </c>
      <c r="W3490" s="45"/>
    </row>
    <row r="3491">
      <c r="A3491" s="45"/>
      <c r="B3491" s="35" t="str">
        <f>IFERROR(__xludf.DUMMYFUNCTION("""COMPUTED_VALUE"""),"20/02/2026 17:19:43")</f>
        <v>20/02/2026 17:19:43</v>
      </c>
      <c r="C3491" s="35"/>
      <c r="D3491" s="10">
        <f>IFERROR(__xludf.DUMMYFUNCTION("""COMPUTED_VALUE"""),46073.0)</f>
        <v>46073</v>
      </c>
      <c r="E3491" s="35" t="str">
        <f>IFERROR(__xludf.DUMMYFUNCTION("""COMPUTED_VALUE"""),"02Feb")</f>
        <v>02Feb</v>
      </c>
      <c r="F3491" s="35" t="str">
        <f>IFERROR(__xludf.DUMMYFUNCTION("""COMPUTED_VALUE"""),"2026")</f>
        <v>2026</v>
      </c>
      <c r="G3491" s="35" t="str">
        <f>IFERROR(__xludf.DUMMYFUNCTION("""COMPUTED_VALUE"""),"TJHOEA DJAP KAUW")</f>
        <v>TJHOEA DJAP KAUW</v>
      </c>
      <c r="H3491" s="35" t="str">
        <f>IFERROR(__xludf.DUMMYFUNCTION("""COMPUTED_VALUE"""),"T5826028817")</f>
        <v>T5826028817</v>
      </c>
      <c r="I3491" s="35">
        <f>IFERROR(__xludf.DUMMYFUNCTION("""COMPUTED_VALUE"""),67.0)</f>
        <v>67</v>
      </c>
      <c r="J3491" s="35" t="str">
        <f>IFERROR(__xludf.DUMMYFUNCTION("""COMPUTED_VALUE"""),"&gt; 44 tahun")</f>
        <v>&gt; 44 tahun</v>
      </c>
      <c r="K3491" s="35" t="str">
        <f>IFERROR(__xludf.DUMMYFUNCTION("""COMPUTED_VALUE"""),"20/07/1958")</f>
        <v>20/07/1958</v>
      </c>
      <c r="L3491" s="35" t="str">
        <f>IFERROR(__xludf.DUMMYFUNCTION("""COMPUTED_VALUE"""),"PEREMPUAN")</f>
        <v>PEREMPUAN</v>
      </c>
      <c r="M3491" s="35" t="str">
        <f>IFERROR(__xludf.DUMMYFUNCTION("""COMPUTED_VALUE"""),"JL. PARIT GOTONG ROYONG ")</f>
        <v>JL. PARIT GOTONG ROYONG </v>
      </c>
      <c r="N3491" s="35" t="str">
        <f>IFERROR(__xludf.DUMMYFUNCTION("""COMPUTED_VALUE"""),"SIANTAN TENGAH")</f>
        <v>SIANTAN TENGAH</v>
      </c>
      <c r="O3491" s="35" t="str">
        <f>IFERROR(__xludf.DUMMYFUNCTION("""COMPUTED_VALUE"""),"PONTIANAK UTARA")</f>
        <v>PONTIANAK UTARA</v>
      </c>
      <c r="P3491" s="35" t="str">
        <f>IFERROR(__xludf.DUMMYFUNCTION("""COMPUTED_VALUE"""),"PONTIANAK ")</f>
        <v>PONTIANAK </v>
      </c>
      <c r="Q3491" s="35" t="str">
        <f>IFERROR(__xludf.DUMMYFUNCTION("""COMPUTED_VALUE"""),"KALIMANTAN BARAT")</f>
        <v>KALIMANTAN BARAT</v>
      </c>
      <c r="R3491" s="35" t="str">
        <f>IFERROR(__xludf.DUMMYFUNCTION("""COMPUTED_VALUE"""),"BUDDHA")</f>
        <v>BUDDHA</v>
      </c>
      <c r="S3491" s="74" t="str">
        <f>IFERROR(__xludf.DUMMYFUNCTION("""COMPUTED_VALUE"""),"IRT")</f>
        <v>IRT</v>
      </c>
      <c r="T3491" s="35" t="str">
        <f>IFERROR(__xludf.DUMMYFUNCTION("""COMPUTED_VALUE"""),"SAKIT PINGGUL ")</f>
        <v>SAKIT PINGGUL </v>
      </c>
      <c r="U3491" s="35" t="str">
        <f>IFERROR(__xludf.DUMMYFUNCTION("""COMPUTED_VALUE"""),"PRAMUSAJI")</f>
        <v>PRAMUSAJI</v>
      </c>
      <c r="V3491" s="35" t="str">
        <f>IFERROR(__xludf.DUMMYFUNCTION("""COMPUTED_VALUE"""),"08115718817")</f>
        <v>08115718817</v>
      </c>
      <c r="W3491" s="45"/>
    </row>
    <row r="3492">
      <c r="A3492" s="45"/>
      <c r="B3492" s="35" t="str">
        <f>IFERROR(__xludf.DUMMYFUNCTION("""COMPUTED_VALUE"""),"21/02/2026 16:12:14")</f>
        <v>21/02/2026 16:12:14</v>
      </c>
      <c r="C3492" s="35"/>
      <c r="D3492" s="10">
        <f>IFERROR(__xludf.DUMMYFUNCTION("""COMPUTED_VALUE"""),46074.0)</f>
        <v>46074</v>
      </c>
      <c r="E3492" s="35" t="str">
        <f>IFERROR(__xludf.DUMMYFUNCTION("""COMPUTED_VALUE"""),"02Feb")</f>
        <v>02Feb</v>
      </c>
      <c r="F3492" s="35" t="str">
        <f>IFERROR(__xludf.DUMMYFUNCTION("""COMPUTED_VALUE"""),"2026")</f>
        <v>2026</v>
      </c>
      <c r="G3492" s="35" t="str">
        <f>IFERROR(__xludf.DUMMYFUNCTION("""COMPUTED_VALUE"""),"SELA AMANDA ")</f>
        <v>SELA AMANDA </v>
      </c>
      <c r="H3492" s="35" t="str">
        <f>IFERROR(__xludf.DUMMYFUNCTION("""COMPUTED_VALUE"""),"S9026020911")</f>
        <v>S9026020911</v>
      </c>
      <c r="I3492" s="35">
        <f>IFERROR(__xludf.DUMMYFUNCTION("""COMPUTED_VALUE"""),35.0)</f>
        <v>35</v>
      </c>
      <c r="J3492" s="35" t="str">
        <f>IFERROR(__xludf.DUMMYFUNCTION("""COMPUTED_VALUE"""),"35-44 tahun")</f>
        <v>35-44 tahun</v>
      </c>
      <c r="K3492" s="35" t="str">
        <f>IFERROR(__xludf.DUMMYFUNCTION("""COMPUTED_VALUE"""),"16/09/1990")</f>
        <v>16/09/1990</v>
      </c>
      <c r="L3492" s="35" t="str">
        <f>IFERROR(__xludf.DUMMYFUNCTION("""COMPUTED_VALUE"""),"PEREMPUAN")</f>
        <v>PEREMPUAN</v>
      </c>
      <c r="M3492" s="35" t="str">
        <f>IFERROR(__xludf.DUMMYFUNCTION("""COMPUTED_VALUE"""),"JL TANI MAKMUR GG SAMBAS NO 53B")</f>
        <v>JL TANI MAKMUR GG SAMBAS NO 53B</v>
      </c>
      <c r="N3492" s="35" t="str">
        <f>IFERROR(__xludf.DUMMYFUNCTION("""COMPUTED_VALUE"""),"AKCAYA")</f>
        <v>AKCAYA</v>
      </c>
      <c r="O3492" s="35" t="str">
        <f>IFERROR(__xludf.DUMMYFUNCTION("""COMPUTED_VALUE"""),"PONTIANAK SELATAN ")</f>
        <v>PONTIANAK SELATAN </v>
      </c>
      <c r="P3492" s="35" t="str">
        <f>IFERROR(__xludf.DUMMYFUNCTION("""COMPUTED_VALUE"""),"PONTIANAK ")</f>
        <v>PONTIANAK </v>
      </c>
      <c r="Q3492" s="35" t="str">
        <f>IFERROR(__xludf.DUMMYFUNCTION("""COMPUTED_VALUE"""),"KALIMANTAN BARAT ")</f>
        <v>KALIMANTAN BARAT </v>
      </c>
      <c r="R3492" s="35" t="str">
        <f>IFERROR(__xludf.DUMMYFUNCTION("""COMPUTED_VALUE"""),"ISLAM")</f>
        <v>ISLAM</v>
      </c>
      <c r="S3492" s="74" t="str">
        <f>IFERROR(__xludf.DUMMYFUNCTION("""COMPUTED_VALUE"""),"-")</f>
        <v>-</v>
      </c>
      <c r="T3492" s="35" t="str">
        <f>IFERROR(__xludf.DUMMYFUNCTION("""COMPUTED_VALUE"""),"KAKI KANAN SAKIT")</f>
        <v>KAKI KANAN SAKIT</v>
      </c>
      <c r="U3492" s="35" t="str">
        <f>IFERROR(__xludf.DUMMYFUNCTION("""COMPUTED_VALUE"""),"-")</f>
        <v>-</v>
      </c>
      <c r="V3492" s="35" t="str">
        <f>IFERROR(__xludf.DUMMYFUNCTION("""COMPUTED_VALUE"""),"081253800911")</f>
        <v>081253800911</v>
      </c>
      <c r="W3492" s="45"/>
    </row>
    <row r="3493">
      <c r="A3493" s="45"/>
      <c r="B3493" s="35" t="str">
        <f>IFERROR(__xludf.DUMMYFUNCTION("""COMPUTED_VALUE"""),"21/02/2026 20:41:20")</f>
        <v>21/02/2026 20:41:20</v>
      </c>
      <c r="C3493" s="35"/>
      <c r="D3493" s="10">
        <f>IFERROR(__xludf.DUMMYFUNCTION("""COMPUTED_VALUE"""),46074.0)</f>
        <v>46074</v>
      </c>
      <c r="E3493" s="35" t="str">
        <f>IFERROR(__xludf.DUMMYFUNCTION("""COMPUTED_VALUE"""),"02Feb")</f>
        <v>02Feb</v>
      </c>
      <c r="F3493" s="35" t="str">
        <f>IFERROR(__xludf.DUMMYFUNCTION("""COMPUTED_VALUE"""),"2026")</f>
        <v>2026</v>
      </c>
      <c r="G3493" s="35" t="str">
        <f>IFERROR(__xludf.DUMMYFUNCTION("""COMPUTED_VALUE"""),"RIA ARYUNI ")</f>
        <v>RIA ARYUNI </v>
      </c>
      <c r="H3493" s="35" t="str">
        <f>IFERROR(__xludf.DUMMYFUNCTION("""COMPUTED_VALUE"""),"R9726028140")</f>
        <v>R9726028140</v>
      </c>
      <c r="I3493" s="35">
        <f>IFERROR(__xludf.DUMMYFUNCTION("""COMPUTED_VALUE"""),29.0)</f>
        <v>29</v>
      </c>
      <c r="J3493" s="35" t="str">
        <f>IFERROR(__xludf.DUMMYFUNCTION("""COMPUTED_VALUE"""),"25-34 tahun")</f>
        <v>25-34 tahun</v>
      </c>
      <c r="K3493" s="35" t="str">
        <f>IFERROR(__xludf.DUMMYFUNCTION("""COMPUTED_VALUE"""),"01/06/1997")</f>
        <v>01/06/1997</v>
      </c>
      <c r="L3493" s="35" t="str">
        <f>IFERROR(__xludf.DUMMYFUNCTION("""COMPUTED_VALUE"""),"PEREMPUAN")</f>
        <v>PEREMPUAN</v>
      </c>
      <c r="M3493" s="35" t="str">
        <f>IFERROR(__xludf.DUMMYFUNCTION("""COMPUTED_VALUE"""),"JLN MEDAN PERTANIAN ")</f>
        <v>JLN MEDAN PERTANIAN </v>
      </c>
      <c r="N3493" s="35" t="str">
        <f>IFERROR(__xludf.DUMMYFUNCTION("""COMPUTED_VALUE"""),"SUKABANGUN")</f>
        <v>SUKABANGUN</v>
      </c>
      <c r="O3493" s="35" t="str">
        <f>IFERROR(__xludf.DUMMYFUNCTION("""COMPUTED_VALUE"""),"DELTA PAWAN ")</f>
        <v>DELTA PAWAN </v>
      </c>
      <c r="P3493" s="35" t="str">
        <f>IFERROR(__xludf.DUMMYFUNCTION("""COMPUTED_VALUE"""),"KETAPANG")</f>
        <v>KETAPANG</v>
      </c>
      <c r="Q3493" s="35" t="str">
        <f>IFERROR(__xludf.DUMMYFUNCTION("""COMPUTED_VALUE"""),"KALBAR")</f>
        <v>KALBAR</v>
      </c>
      <c r="R3493" s="35" t="str">
        <f>IFERROR(__xludf.DUMMYFUNCTION("""COMPUTED_VALUE"""),"ISLAM")</f>
        <v>ISLAM</v>
      </c>
      <c r="S3493" s="74" t="str">
        <f>IFERROR(__xludf.DUMMYFUNCTION("""COMPUTED_VALUE"""),"IRT")</f>
        <v>IRT</v>
      </c>
      <c r="T3493" s="35" t="str">
        <f>IFERROR(__xludf.DUMMYFUNCTION("""COMPUTED_VALUE"""),"PEGELANGAN TANGAN SAKIT , JEMPOL KAKI SEBELAH KIRI SERING NGILU , KAKI SEBELAH KIRI SERING SENGAL DARI PINGGANG SAMPAI KE KAKI , PERGELANGAN KAKI SEBELAH KANAN SERING BUNYI ")</f>
        <v>PEGELANGAN TANGAN SAKIT , JEMPOL KAKI SEBELAH KIRI SERING NGILU , KAKI SEBELAH KIRI SERING SENGAL DARI PINGGANG SAMPAI KE KAKI , PERGELANGAN KAKI SEBELAH KANAN SERING BUNYI </v>
      </c>
      <c r="U3493" s="35" t="str">
        <f>IFERROR(__xludf.DUMMYFUNCTION("""COMPUTED_VALUE"""),"PERNAH JATUH , PERGELANGAN TANGAN KANAN TIBA "" SEPERTI TULANG MENONJOL ")</f>
        <v>PERNAH JATUH , PERGELANGAN TANGAN KANAN TIBA " SEPERTI TULANG MENONJOL </v>
      </c>
      <c r="V3493" s="35" t="str">
        <f>IFERROR(__xludf.DUMMYFUNCTION("""COMPUTED_VALUE"""),"089689688140")</f>
        <v>089689688140</v>
      </c>
      <c r="W3493" s="45"/>
    </row>
    <row r="3494">
      <c r="A3494" s="45"/>
      <c r="B3494" s="35" t="str">
        <f>IFERROR(__xludf.DUMMYFUNCTION("""COMPUTED_VALUE"""),"22/02/2026 9:18:11")</f>
        <v>22/02/2026 9:18:11</v>
      </c>
      <c r="C3494" s="35"/>
      <c r="D3494" s="10">
        <f>IFERROR(__xludf.DUMMYFUNCTION("""COMPUTED_VALUE"""),46075.0)</f>
        <v>46075</v>
      </c>
      <c r="E3494" s="35" t="str">
        <f>IFERROR(__xludf.DUMMYFUNCTION("""COMPUTED_VALUE"""),"02Feb")</f>
        <v>02Feb</v>
      </c>
      <c r="F3494" s="35" t="str">
        <f>IFERROR(__xludf.DUMMYFUNCTION("""COMPUTED_VALUE"""),"2026")</f>
        <v>2026</v>
      </c>
      <c r="G3494" s="35" t="str">
        <f>IFERROR(__xludf.DUMMYFUNCTION("""COMPUTED_VALUE"""),"H MAHDI")</f>
        <v>H MAHDI</v>
      </c>
      <c r="H3494" s="35" t="str">
        <f>IFERROR(__xludf.DUMMYFUNCTION("""COMPUTED_VALUE"""),"H5426024864")</f>
        <v>H5426024864</v>
      </c>
      <c r="I3494" s="35">
        <f>IFERROR(__xludf.DUMMYFUNCTION("""COMPUTED_VALUE"""),72.0)</f>
        <v>72</v>
      </c>
      <c r="J3494" s="35" t="str">
        <f>IFERROR(__xludf.DUMMYFUNCTION("""COMPUTED_VALUE"""),"&gt; 44 tahun")</f>
        <v>&gt; 44 tahun</v>
      </c>
      <c r="K3494" s="35" t="str">
        <f>IFERROR(__xludf.DUMMYFUNCTION("""COMPUTED_VALUE"""),"05/04/1954")</f>
        <v>05/04/1954</v>
      </c>
      <c r="L3494" s="35" t="str">
        <f>IFERROR(__xludf.DUMMYFUNCTION("""COMPUTED_VALUE"""),"LAKI-LAKI")</f>
        <v>LAKI-LAKI</v>
      </c>
      <c r="M3494" s="35" t="str">
        <f>IFERROR(__xludf.DUMMYFUNCTION("""COMPUTED_VALUE"""),"JALAN M YAMIN GANG SEKADIM NO 7")</f>
        <v>JALAN M YAMIN GANG SEKADIM NO 7</v>
      </c>
      <c r="N3494" s="35" t="str">
        <f>IFERROR(__xludf.DUMMYFUNCTION("""COMPUTED_VALUE"""),"KOTA BARU")</f>
        <v>KOTA BARU</v>
      </c>
      <c r="O3494" s="35" t="str">
        <f>IFERROR(__xludf.DUMMYFUNCTION("""COMPUTED_VALUE"""),"PONTIANAK SELATAN ")</f>
        <v>PONTIANAK SELATAN </v>
      </c>
      <c r="P3494" s="35" t="str">
        <f>IFERROR(__xludf.DUMMYFUNCTION("""COMPUTED_VALUE"""),"PONTIANAK ")</f>
        <v>PONTIANAK </v>
      </c>
      <c r="Q3494" s="35" t="str">
        <f>IFERROR(__xludf.DUMMYFUNCTION("""COMPUTED_VALUE"""),"KALIMANTAN BARAT ")</f>
        <v>KALIMANTAN BARAT </v>
      </c>
      <c r="R3494" s="35" t="str">
        <f>IFERROR(__xludf.DUMMYFUNCTION("""COMPUTED_VALUE"""),"ISLAM")</f>
        <v>ISLAM</v>
      </c>
      <c r="S3494" s="74" t="str">
        <f>IFERROR(__xludf.DUMMYFUNCTION("""COMPUTED_VALUE"""),"SWASTA")</f>
        <v>SWASTA</v>
      </c>
      <c r="T3494" s="35" t="str">
        <f>IFERROR(__xludf.DUMMYFUNCTION("""COMPUTED_VALUE"""),"SAKIT PINGGANG")</f>
        <v>SAKIT PINGGANG</v>
      </c>
      <c r="U3494" s="35" t="str">
        <f>IFERROR(__xludf.DUMMYFUNCTION("""COMPUTED_VALUE"""),"BERTUKANG")</f>
        <v>BERTUKANG</v>
      </c>
      <c r="V3494" s="35" t="str">
        <f>IFERROR(__xludf.DUMMYFUNCTION("""COMPUTED_VALUE"""),"082213424864")</f>
        <v>082213424864</v>
      </c>
      <c r="W3494" s="45"/>
    </row>
    <row r="3495">
      <c r="A3495" s="45"/>
      <c r="B3495" s="35" t="str">
        <f>IFERROR(__xludf.DUMMYFUNCTION("""COMPUTED_VALUE"""),"22/02/2026 10:53:26")</f>
        <v>22/02/2026 10:53:26</v>
      </c>
      <c r="C3495" s="35"/>
      <c r="D3495" s="10">
        <f>IFERROR(__xludf.DUMMYFUNCTION("""COMPUTED_VALUE"""),46075.0)</f>
        <v>46075</v>
      </c>
      <c r="E3495" s="35" t="str">
        <f>IFERROR(__xludf.DUMMYFUNCTION("""COMPUTED_VALUE"""),"02Feb")</f>
        <v>02Feb</v>
      </c>
      <c r="F3495" s="35" t="str">
        <f>IFERROR(__xludf.DUMMYFUNCTION("""COMPUTED_VALUE"""),"2026")</f>
        <v>2026</v>
      </c>
      <c r="G3495" s="35" t="str">
        <f>IFERROR(__xludf.DUMMYFUNCTION("""COMPUTED_VALUE"""),"CENDY VIBRIAN")</f>
        <v>CENDY VIBRIAN</v>
      </c>
      <c r="H3495" s="35" t="str">
        <f>IFERROR(__xludf.DUMMYFUNCTION("""COMPUTED_VALUE"""),"C9826024383")</f>
        <v>C9826024383</v>
      </c>
      <c r="I3495" s="35">
        <f>IFERROR(__xludf.DUMMYFUNCTION("""COMPUTED_VALUE"""),27.0)</f>
        <v>27</v>
      </c>
      <c r="J3495" s="35" t="str">
        <f>IFERROR(__xludf.DUMMYFUNCTION("""COMPUTED_VALUE"""),"25-34 tahun")</f>
        <v>25-34 tahun</v>
      </c>
      <c r="K3495" s="35" t="str">
        <f>IFERROR(__xludf.DUMMYFUNCTION("""COMPUTED_VALUE"""),"14/10/1998")</f>
        <v>14/10/1998</v>
      </c>
      <c r="L3495" s="35" t="str">
        <f>IFERROR(__xludf.DUMMYFUNCTION("""COMPUTED_VALUE"""),"LAKI-LAKI")</f>
        <v>LAKI-LAKI</v>
      </c>
      <c r="M3495" s="35" t="str">
        <f>IFERROR(__xludf.DUMMYFUNCTION("""COMPUTED_VALUE"""),"SERDAM, BATARA 2 BLOK C26")</f>
        <v>SERDAM, BATARA 2 BLOK C26</v>
      </c>
      <c r="N3495" s="35" t="str">
        <f>IFERROR(__xludf.DUMMYFUNCTION("""COMPUTED_VALUE"""),"SUI RAYA DALAM")</f>
        <v>SUI RAYA DALAM</v>
      </c>
      <c r="O3495" s="35" t="str">
        <f>IFERROR(__xludf.DUMMYFUNCTION("""COMPUTED_VALUE"""),"SUI RAYA DALAM")</f>
        <v>SUI RAYA DALAM</v>
      </c>
      <c r="P3495" s="35" t="str">
        <f>IFERROR(__xludf.DUMMYFUNCTION("""COMPUTED_VALUE"""),"KUBU RAYA")</f>
        <v>KUBU RAYA</v>
      </c>
      <c r="Q3495" s="35" t="str">
        <f>IFERROR(__xludf.DUMMYFUNCTION("""COMPUTED_VALUE"""),"KALBAR")</f>
        <v>KALBAR</v>
      </c>
      <c r="R3495" s="35" t="str">
        <f>IFERROR(__xludf.DUMMYFUNCTION("""COMPUTED_VALUE"""),"PROTESTAN")</f>
        <v>PROTESTAN</v>
      </c>
      <c r="S3495" s="74" t="str">
        <f>IFERROR(__xludf.DUMMYFUNCTION("""COMPUTED_VALUE"""),"WIRASWASTA")</f>
        <v>WIRASWASTA</v>
      </c>
      <c r="T3495" s="35" t="str">
        <f>IFERROR(__xludf.DUMMYFUNCTION("""COMPUTED_VALUE"""),"ANKLE")</f>
        <v>ANKLE</v>
      </c>
      <c r="U3495" s="35" t="str">
        <f>IFERROR(__xludf.DUMMYFUNCTION("""COMPUTED_VALUE"""),"PADEL")</f>
        <v>PADEL</v>
      </c>
      <c r="V3495" s="35" t="str">
        <f>IFERROR(__xludf.DUMMYFUNCTION("""COMPUTED_VALUE"""),"089520104383")</f>
        <v>089520104383</v>
      </c>
      <c r="W3495" s="45"/>
    </row>
    <row r="3496">
      <c r="A3496" s="45"/>
      <c r="B3496" s="35" t="str">
        <f>IFERROR(__xludf.DUMMYFUNCTION("""COMPUTED_VALUE"""),"22/02/2026 11:08:26")</f>
        <v>22/02/2026 11:08:26</v>
      </c>
      <c r="C3496" s="35"/>
      <c r="D3496" s="10">
        <f>IFERROR(__xludf.DUMMYFUNCTION("""COMPUTED_VALUE"""),46075.0)</f>
        <v>46075</v>
      </c>
      <c r="E3496" s="35" t="str">
        <f>IFERROR(__xludf.DUMMYFUNCTION("""COMPUTED_VALUE"""),"02Feb")</f>
        <v>02Feb</v>
      </c>
      <c r="F3496" s="35" t="str">
        <f>IFERROR(__xludf.DUMMYFUNCTION("""COMPUTED_VALUE"""),"2026")</f>
        <v>2026</v>
      </c>
      <c r="G3496" s="35" t="str">
        <f>IFERROR(__xludf.DUMMYFUNCTION("""COMPUTED_VALUE"""),"ALIONG")</f>
        <v>ALIONG</v>
      </c>
      <c r="H3496" s="35" t="str">
        <f>IFERROR(__xludf.DUMMYFUNCTION("""COMPUTED_VALUE"""),"A9326025869")</f>
        <v>A9326025869</v>
      </c>
      <c r="I3496" s="35">
        <f>IFERROR(__xludf.DUMMYFUNCTION("""COMPUTED_VALUE"""),32.0)</f>
        <v>32</v>
      </c>
      <c r="J3496" s="35" t="str">
        <f>IFERROR(__xludf.DUMMYFUNCTION("""COMPUTED_VALUE"""),"25-34 tahun")</f>
        <v>25-34 tahun</v>
      </c>
      <c r="K3496" s="35" t="str">
        <f>IFERROR(__xludf.DUMMYFUNCTION("""COMPUTED_VALUE"""),"19/07/1993")</f>
        <v>19/07/1993</v>
      </c>
      <c r="L3496" s="35" t="str">
        <f>IFERROR(__xludf.DUMMYFUNCTION("""COMPUTED_VALUE"""),"LAKI-LAKI")</f>
        <v>LAKI-LAKI</v>
      </c>
      <c r="M3496" s="35" t="str">
        <f>IFERROR(__xludf.DUMMYFUNCTION("""COMPUTED_VALUE"""),"BTN CITRA SEJAHTERA NO H3")</f>
        <v>BTN CITRA SEJAHTERA NO H3</v>
      </c>
      <c r="N3496" s="35" t="str">
        <f>IFERROR(__xludf.DUMMYFUNCTION("""COMPUTED_VALUE"""),"SIANTAN TENGAH")</f>
        <v>SIANTAN TENGAH</v>
      </c>
      <c r="O3496" s="35" t="str">
        <f>IFERROR(__xludf.DUMMYFUNCTION("""COMPUTED_VALUE"""),"PONTIANAK UTARA")</f>
        <v>PONTIANAK UTARA</v>
      </c>
      <c r="P3496" s="35" t="str">
        <f>IFERROR(__xludf.DUMMYFUNCTION("""COMPUTED_VALUE"""),"PONTIANAK")</f>
        <v>PONTIANAK</v>
      </c>
      <c r="Q3496" s="35" t="str">
        <f>IFERROR(__xludf.DUMMYFUNCTION("""COMPUTED_VALUE"""),"PONTIANAK")</f>
        <v>PONTIANAK</v>
      </c>
      <c r="R3496" s="35" t="str">
        <f>IFERROR(__xludf.DUMMYFUNCTION("""COMPUTED_VALUE"""),"KATOLIK")</f>
        <v>KATOLIK</v>
      </c>
      <c r="S3496" s="74" t="str">
        <f>IFERROR(__xludf.DUMMYFUNCTION("""COMPUTED_VALUE"""),"SALES")</f>
        <v>SALES</v>
      </c>
      <c r="T3496" s="35" t="str">
        <f>IFERROR(__xludf.DUMMYFUNCTION("""COMPUTED_VALUE"""),"TENDON ACHILES")</f>
        <v>TENDON ACHILES</v>
      </c>
      <c r="U3496" s="35" t="str">
        <f>IFERROR(__xludf.DUMMYFUNCTION("""COMPUTED_VALUE"""),"BOLA")</f>
        <v>BOLA</v>
      </c>
      <c r="V3496" s="35" t="str">
        <f>IFERROR(__xludf.DUMMYFUNCTION("""COMPUTED_VALUE"""),"0895387065869")</f>
        <v>0895387065869</v>
      </c>
      <c r="W3496" s="45"/>
    </row>
    <row r="3497">
      <c r="A3497" s="45"/>
      <c r="B3497" s="35" t="str">
        <f>IFERROR(__xludf.DUMMYFUNCTION("""COMPUTED_VALUE"""),"22/02/2026 11:13:27")</f>
        <v>22/02/2026 11:13:27</v>
      </c>
      <c r="C3497" s="35"/>
      <c r="D3497" s="10">
        <f>IFERROR(__xludf.DUMMYFUNCTION("""COMPUTED_VALUE"""),46075.0)</f>
        <v>46075</v>
      </c>
      <c r="E3497" s="35" t="str">
        <f>IFERROR(__xludf.DUMMYFUNCTION("""COMPUTED_VALUE"""),"02Feb")</f>
        <v>02Feb</v>
      </c>
      <c r="F3497" s="35" t="str">
        <f>IFERROR(__xludf.DUMMYFUNCTION("""COMPUTED_VALUE"""),"2026")</f>
        <v>2026</v>
      </c>
      <c r="G3497" s="35" t="str">
        <f>IFERROR(__xludf.DUMMYFUNCTION("""COMPUTED_VALUE"""),"TJONG SAU CON")</f>
        <v>TJONG SAU CON</v>
      </c>
      <c r="H3497" s="35" t="str">
        <f>IFERROR(__xludf.DUMMYFUNCTION("""COMPUTED_VALUE"""),"T6926021885")</f>
        <v>T6926021885</v>
      </c>
      <c r="I3497" s="35">
        <f>IFERROR(__xludf.DUMMYFUNCTION("""COMPUTED_VALUE"""),56.0)</f>
        <v>56</v>
      </c>
      <c r="J3497" s="35" t="str">
        <f>IFERROR(__xludf.DUMMYFUNCTION("""COMPUTED_VALUE"""),"&gt; 44 tahun")</f>
        <v>&gt; 44 tahun</v>
      </c>
      <c r="K3497" s="35" t="str">
        <f>IFERROR(__xludf.DUMMYFUNCTION("""COMPUTED_VALUE"""),"24/10/1969")</f>
        <v>24/10/1969</v>
      </c>
      <c r="L3497" s="35" t="str">
        <f>IFERROR(__xludf.DUMMYFUNCTION("""COMPUTED_VALUE"""),"LAKI-LAKI")</f>
        <v>LAKI-LAKI</v>
      </c>
      <c r="M3497" s="35" t="str">
        <f>IFERROR(__xludf.DUMMYFUNCTION("""COMPUTED_VALUE"""),"BTN CITRA SEJAHTERA NO H3")</f>
        <v>BTN CITRA SEJAHTERA NO H3</v>
      </c>
      <c r="N3497" s="35" t="str">
        <f>IFERROR(__xludf.DUMMYFUNCTION("""COMPUTED_VALUE"""),"SIANTAN TENGAH")</f>
        <v>SIANTAN TENGAH</v>
      </c>
      <c r="O3497" s="35" t="str">
        <f>IFERROR(__xludf.DUMMYFUNCTION("""COMPUTED_VALUE"""),"PONTIANAK UTARA")</f>
        <v>PONTIANAK UTARA</v>
      </c>
      <c r="P3497" s="35" t="str">
        <f>IFERROR(__xludf.DUMMYFUNCTION("""COMPUTED_VALUE"""),"PONTIANAK")</f>
        <v>PONTIANAK</v>
      </c>
      <c r="Q3497" s="35" t="str">
        <f>IFERROR(__xludf.DUMMYFUNCTION("""COMPUTED_VALUE"""),"KALIMANTAN BARAT")</f>
        <v>KALIMANTAN BARAT</v>
      </c>
      <c r="R3497" s="35" t="str">
        <f>IFERROR(__xludf.DUMMYFUNCTION("""COMPUTED_VALUE"""),"BUDDHA")</f>
        <v>BUDDHA</v>
      </c>
      <c r="S3497" s="74" t="str">
        <f>IFERROR(__xludf.DUMMYFUNCTION("""COMPUTED_VALUE"""),"BURUH")</f>
        <v>BURUH</v>
      </c>
      <c r="T3497" s="35" t="str">
        <f>IFERROR(__xludf.DUMMYFUNCTION("""COMPUTED_VALUE"""),"SAKIT DI TANGAN DEKAT PUNGGUNG")</f>
        <v>SAKIT DI TANGAN DEKAT PUNGGUNG</v>
      </c>
      <c r="U3497" s="35" t="str">
        <f>IFERROR(__xludf.DUMMYFUNCTION("""COMPUTED_VALUE"""),"BEKERJA BURUH ")</f>
        <v>BEKERJA BURUH </v>
      </c>
      <c r="V3497" s="35" t="str">
        <f>IFERROR(__xludf.DUMMYFUNCTION("""COMPUTED_VALUE"""),"081345481885")</f>
        <v>081345481885</v>
      </c>
      <c r="W3497" s="45"/>
    </row>
    <row r="3498">
      <c r="A3498" s="45"/>
      <c r="B3498" s="35" t="str">
        <f>IFERROR(__xludf.DUMMYFUNCTION("""COMPUTED_VALUE"""),"22/02/2026 11:50:55")</f>
        <v>22/02/2026 11:50:55</v>
      </c>
      <c r="C3498" s="35"/>
      <c r="D3498" s="10">
        <f>IFERROR(__xludf.DUMMYFUNCTION("""COMPUTED_VALUE"""),46075.0)</f>
        <v>46075</v>
      </c>
      <c r="E3498" s="35" t="str">
        <f>IFERROR(__xludf.DUMMYFUNCTION("""COMPUTED_VALUE"""),"02Feb")</f>
        <v>02Feb</v>
      </c>
      <c r="F3498" s="35" t="str">
        <f>IFERROR(__xludf.DUMMYFUNCTION("""COMPUTED_VALUE"""),"2026")</f>
        <v>2026</v>
      </c>
      <c r="G3498" s="35" t="str">
        <f>IFERROR(__xludf.DUMMYFUNCTION("""COMPUTED_VALUE"""),"TITIN AGUSTINA")</f>
        <v>TITIN AGUSTINA</v>
      </c>
      <c r="H3498" s="35" t="str">
        <f>IFERROR(__xludf.DUMMYFUNCTION("""COMPUTED_VALUE"""),"T7726026292")</f>
        <v>T7726026292</v>
      </c>
      <c r="I3498" s="35">
        <f>IFERROR(__xludf.DUMMYFUNCTION("""COMPUTED_VALUE"""),48.0)</f>
        <v>48</v>
      </c>
      <c r="J3498" s="35" t="str">
        <f>IFERROR(__xludf.DUMMYFUNCTION("""COMPUTED_VALUE"""),"&gt; 44 tahun")</f>
        <v>&gt; 44 tahun</v>
      </c>
      <c r="K3498" s="35" t="str">
        <f>IFERROR(__xludf.DUMMYFUNCTION("""COMPUTED_VALUE"""),"28/08/1977")</f>
        <v>28/08/1977</v>
      </c>
      <c r="L3498" s="35" t="str">
        <f>IFERROR(__xludf.DUMMYFUNCTION("""COMPUTED_VALUE"""),"PEREMPUAN")</f>
        <v>PEREMPUAN</v>
      </c>
      <c r="M3498" s="35" t="str">
        <f>IFERROR(__xludf.DUMMYFUNCTION("""COMPUTED_VALUE"""),"JALAN DANAU SENTARUM GG. SUKAMULIA JAKUR SUKMA 11 NO.7")</f>
        <v>JALAN DANAU SENTARUM GG. SUKAMULIA JAKUR SUKMA 11 NO.7</v>
      </c>
      <c r="N3498" s="35" t="str">
        <f>IFERROR(__xludf.DUMMYFUNCTION("""COMPUTED_VALUE"""),"SUNGAI JAWI")</f>
        <v>SUNGAI JAWI</v>
      </c>
      <c r="O3498" s="35" t="str">
        <f>IFERROR(__xludf.DUMMYFUNCTION("""COMPUTED_VALUE"""),"PONTIANAK KOTA")</f>
        <v>PONTIANAK KOTA</v>
      </c>
      <c r="P3498" s="35" t="str">
        <f>IFERROR(__xludf.DUMMYFUNCTION("""COMPUTED_VALUE"""),"KOTA PONTIANAK")</f>
        <v>KOTA PONTIANAK</v>
      </c>
      <c r="Q3498" s="35" t="str">
        <f>IFERROR(__xludf.DUMMYFUNCTION("""COMPUTED_VALUE"""),"KALIMANTAN BARAT")</f>
        <v>KALIMANTAN BARAT</v>
      </c>
      <c r="R3498" s="35" t="str">
        <f>IFERROR(__xludf.DUMMYFUNCTION("""COMPUTED_VALUE"""),"ISLAM")</f>
        <v>ISLAM</v>
      </c>
      <c r="S3498" s="74" t="str">
        <f>IFERROR(__xludf.DUMMYFUNCTION("""COMPUTED_VALUE"""),"PNS")</f>
        <v>PNS</v>
      </c>
      <c r="T3498" s="35" t="str">
        <f>IFERROR(__xludf.DUMMYFUNCTION("""COMPUTED_VALUE"""),"NGILU DAN TERASA OTOT ATAU TULANG  BAGIAN DADA KANAN SAMPAI KE SAMPING DEKAT PAYUDARA DAN BAGIAN TULANG BELAKANG")</f>
        <v>NGILU DAN TERASA OTOT ATAU TULANG  BAGIAN DADA KANAN SAMPAI KE SAMPING DEKAT PAYUDARA DAN BAGIAN TULANG BELAKANG</v>
      </c>
      <c r="U3498" s="35" t="str">
        <f>IFERROR(__xludf.DUMMYFUNCTION("""COMPUTED_VALUE"""),"MENGETIK, KE LAPANGAN")</f>
        <v>MENGETIK, KE LAPANGAN</v>
      </c>
      <c r="V3498" s="35" t="str">
        <f>IFERROR(__xludf.DUMMYFUNCTION("""COMPUTED_VALUE"""),"089649366292")</f>
        <v>089649366292</v>
      </c>
      <c r="W3498" s="45"/>
    </row>
    <row r="3499">
      <c r="A3499" s="45"/>
      <c r="B3499" s="35" t="str">
        <f>IFERROR(__xludf.DUMMYFUNCTION("""COMPUTED_VALUE"""),"23/02/2026 10:26:30")</f>
        <v>23/02/2026 10:26:30</v>
      </c>
      <c r="C3499" s="35"/>
      <c r="D3499" s="10">
        <f>IFERROR(__xludf.DUMMYFUNCTION("""COMPUTED_VALUE"""),46076.0)</f>
        <v>46076</v>
      </c>
      <c r="E3499" s="35" t="str">
        <f>IFERROR(__xludf.DUMMYFUNCTION("""COMPUTED_VALUE"""),"02Feb")</f>
        <v>02Feb</v>
      </c>
      <c r="F3499" s="35" t="str">
        <f>IFERROR(__xludf.DUMMYFUNCTION("""COMPUTED_VALUE"""),"2026")</f>
        <v>2026</v>
      </c>
      <c r="G3499" s="35" t="str">
        <f>IFERROR(__xludf.DUMMYFUNCTION("""COMPUTED_VALUE"""),"ERWIN, ST ")</f>
        <v>ERWIN, ST </v>
      </c>
      <c r="H3499" s="35" t="str">
        <f>IFERROR(__xludf.DUMMYFUNCTION("""COMPUTED_VALUE"""),"E6126028000")</f>
        <v>E6126028000</v>
      </c>
      <c r="I3499" s="35">
        <f>IFERROR(__xludf.DUMMYFUNCTION("""COMPUTED_VALUE"""),65.0)</f>
        <v>65</v>
      </c>
      <c r="J3499" s="35" t="str">
        <f>IFERROR(__xludf.DUMMYFUNCTION("""COMPUTED_VALUE"""),"&gt; 44 tahun")</f>
        <v>&gt; 44 tahun</v>
      </c>
      <c r="K3499" s="35" t="str">
        <f>IFERROR(__xludf.DUMMYFUNCTION("""COMPUTED_VALUE"""),"20/04/1961")</f>
        <v>20/04/1961</v>
      </c>
      <c r="L3499" s="35" t="str">
        <f>IFERROR(__xludf.DUMMYFUNCTION("""COMPUTED_VALUE"""),"LAKI-LAKI")</f>
        <v>LAKI-LAKI</v>
      </c>
      <c r="M3499" s="35" t="str">
        <f>IFERROR(__xludf.DUMMYFUNCTION("""COMPUTED_VALUE"""),"JL. H. M. SUWIGNYO GG. SUDIHARJO IV")</f>
        <v>JL. H. M. SUWIGNYO GG. SUDIHARJO IV</v>
      </c>
      <c r="N3499" s="35" t="str">
        <f>IFERROR(__xludf.DUMMYFUNCTION("""COMPUTED_VALUE"""),"SUNGAI JAWI")</f>
        <v>SUNGAI JAWI</v>
      </c>
      <c r="O3499" s="35" t="str">
        <f>IFERROR(__xludf.DUMMYFUNCTION("""COMPUTED_VALUE"""),"PONTIANAK KOTA")</f>
        <v>PONTIANAK KOTA</v>
      </c>
      <c r="P3499" s="35" t="str">
        <f>IFERROR(__xludf.DUMMYFUNCTION("""COMPUTED_VALUE"""),"PONTIANAK")</f>
        <v>PONTIANAK</v>
      </c>
      <c r="Q3499" s="35" t="str">
        <f>IFERROR(__xludf.DUMMYFUNCTION("""COMPUTED_VALUE"""),"KALIMANTAN BARAT")</f>
        <v>KALIMANTAN BARAT</v>
      </c>
      <c r="R3499" s="35" t="str">
        <f>IFERROR(__xludf.DUMMYFUNCTION("""COMPUTED_VALUE"""),"ISLAM")</f>
        <v>ISLAM</v>
      </c>
      <c r="S3499" s="74" t="str">
        <f>IFERROR(__xludf.DUMMYFUNCTION("""COMPUTED_VALUE"""),"PNS")</f>
        <v>PNS</v>
      </c>
      <c r="T3499" s="35" t="str">
        <f>IFERROR(__xludf.DUMMYFUNCTION("""COMPUTED_VALUE"""),"PUNGGUNG")</f>
        <v>PUNGGUNG</v>
      </c>
      <c r="U3499" s="35" t="str">
        <f>IFERROR(__xludf.DUMMYFUNCTION("""COMPUTED_VALUE"""),"-")</f>
        <v>-</v>
      </c>
      <c r="V3499" s="35" t="str">
        <f>IFERROR(__xludf.DUMMYFUNCTION("""COMPUTED_VALUE"""),"0895800328000")</f>
        <v>0895800328000</v>
      </c>
      <c r="W3499" s="45"/>
    </row>
    <row r="3500">
      <c r="A3500" s="45"/>
      <c r="B3500" s="35" t="str">
        <f>IFERROR(__xludf.DUMMYFUNCTION("""COMPUTED_VALUE"""),"23/02/2026 11:33:15")</f>
        <v>23/02/2026 11:33:15</v>
      </c>
      <c r="C3500" s="35"/>
      <c r="D3500" s="10">
        <f>IFERROR(__xludf.DUMMYFUNCTION("""COMPUTED_VALUE"""),46076.0)</f>
        <v>46076</v>
      </c>
      <c r="E3500" s="35" t="str">
        <f>IFERROR(__xludf.DUMMYFUNCTION("""COMPUTED_VALUE"""),"02Feb")</f>
        <v>02Feb</v>
      </c>
      <c r="F3500" s="35" t="str">
        <f>IFERROR(__xludf.DUMMYFUNCTION("""COMPUTED_VALUE"""),"2026")</f>
        <v>2026</v>
      </c>
      <c r="G3500" s="35" t="str">
        <f>IFERROR(__xludf.DUMMYFUNCTION("""COMPUTED_VALUE"""),"MUHAMAD TABSYIR")</f>
        <v>MUHAMAD TABSYIR</v>
      </c>
      <c r="H3500" s="35" t="str">
        <f>IFERROR(__xludf.DUMMYFUNCTION("""COMPUTED_VALUE"""),"M0426020509")</f>
        <v>M0426020509</v>
      </c>
      <c r="I3500" s="35">
        <f>IFERROR(__xludf.DUMMYFUNCTION("""COMPUTED_VALUE"""),21.0)</f>
        <v>21</v>
      </c>
      <c r="J3500" s="35" t="str">
        <f>IFERROR(__xludf.DUMMYFUNCTION("""COMPUTED_VALUE"""),"18-24 tahun")</f>
        <v>18-24 tahun</v>
      </c>
      <c r="K3500" s="35" t="str">
        <f>IFERROR(__xludf.DUMMYFUNCTION("""COMPUTED_VALUE"""),"09/10/2004")</f>
        <v>09/10/2004</v>
      </c>
      <c r="L3500" s="35" t="str">
        <f>IFERROR(__xludf.DUMMYFUNCTION("""COMPUTED_VALUE"""),"LAKI-LAKI")</f>
        <v>LAKI-LAKI</v>
      </c>
      <c r="M3500" s="35" t="str">
        <f>IFERROR(__xludf.DUMMYFUNCTION("""COMPUTED_VALUE"""),"JONGKONG ")</f>
        <v>JONGKONG </v>
      </c>
      <c r="N3500" s="35" t="str">
        <f>IFERROR(__xludf.DUMMYFUNCTION("""COMPUTED_VALUE"""),"JONGKONG KANAN")</f>
        <v>JONGKONG KANAN</v>
      </c>
      <c r="O3500" s="35" t="str">
        <f>IFERROR(__xludf.DUMMYFUNCTION("""COMPUTED_VALUE"""),"JONGKONG")</f>
        <v>JONGKONG</v>
      </c>
      <c r="P3500" s="35" t="str">
        <f>IFERROR(__xludf.DUMMYFUNCTION("""COMPUTED_VALUE"""),"KAPUAS HULU ")</f>
        <v>KAPUAS HULU </v>
      </c>
      <c r="Q3500" s="35" t="str">
        <f>IFERROR(__xludf.DUMMYFUNCTION("""COMPUTED_VALUE"""),"KALIMANTAN BARAT")</f>
        <v>KALIMANTAN BARAT</v>
      </c>
      <c r="R3500" s="35" t="str">
        <f>IFERROR(__xludf.DUMMYFUNCTION("""COMPUTED_VALUE"""),"ISLAM")</f>
        <v>ISLAM</v>
      </c>
      <c r="S3500" s="74" t="str">
        <f>IFERROR(__xludf.DUMMYFUNCTION("""COMPUTED_VALUE"""),"SWASTA")</f>
        <v>SWASTA</v>
      </c>
      <c r="T3500" s="35" t="str">
        <f>IFERROR(__xludf.DUMMYFUNCTION("""COMPUTED_VALUE"""),"NYERI BAGIAN LUTUT ")</f>
        <v>NYERI BAGIAN LUTUT </v>
      </c>
      <c r="U3500" s="35" t="str">
        <f>IFERROR(__xludf.DUMMYFUNCTION("""COMPUTED_VALUE"""),"TIDAK JONGKOK SEMPURNA")</f>
        <v>TIDAK JONGKOK SEMPURNA</v>
      </c>
      <c r="V3500" s="35" t="str">
        <f>IFERROR(__xludf.DUMMYFUNCTION("""COMPUTED_VALUE"""),"082254840509")</f>
        <v>082254840509</v>
      </c>
      <c r="W3500" s="45"/>
    </row>
    <row r="3501">
      <c r="A3501" s="45"/>
      <c r="B3501" s="35" t="str">
        <f>IFERROR(__xludf.DUMMYFUNCTION("""COMPUTED_VALUE"""),"23/02/2026 12:40:59")</f>
        <v>23/02/2026 12:40:59</v>
      </c>
      <c r="C3501" s="35"/>
      <c r="D3501" s="10">
        <f>IFERROR(__xludf.DUMMYFUNCTION("""COMPUTED_VALUE"""),46076.0)</f>
        <v>46076</v>
      </c>
      <c r="E3501" s="35" t="str">
        <f>IFERROR(__xludf.DUMMYFUNCTION("""COMPUTED_VALUE"""),"02Feb")</f>
        <v>02Feb</v>
      </c>
      <c r="F3501" s="35" t="str">
        <f>IFERROR(__xludf.DUMMYFUNCTION("""COMPUTED_VALUE"""),"2026")</f>
        <v>2026</v>
      </c>
      <c r="G3501" s="35" t="str">
        <f>IFERROR(__xludf.DUMMYFUNCTION("""COMPUTED_VALUE"""),"DWI MARUTO")</f>
        <v>DWI MARUTO</v>
      </c>
      <c r="H3501" s="35" t="str">
        <f>IFERROR(__xludf.DUMMYFUNCTION("""COMPUTED_VALUE"""),"D8226028883")</f>
        <v>D8226028883</v>
      </c>
      <c r="I3501" s="35">
        <f>IFERROR(__xludf.DUMMYFUNCTION("""COMPUTED_VALUE"""),44.0)</f>
        <v>44</v>
      </c>
      <c r="J3501" s="35" t="str">
        <f>IFERROR(__xludf.DUMMYFUNCTION("""COMPUTED_VALUE"""),"35-44 tahun")</f>
        <v>35-44 tahun</v>
      </c>
      <c r="K3501" s="35" t="str">
        <f>IFERROR(__xludf.DUMMYFUNCTION("""COMPUTED_VALUE"""),"14/03/1982")</f>
        <v>14/03/1982</v>
      </c>
      <c r="L3501" s="35" t="str">
        <f>IFERROR(__xludf.DUMMYFUNCTION("""COMPUTED_VALUE"""),"LAKI-LAKI")</f>
        <v>LAKI-LAKI</v>
      </c>
      <c r="M3501" s="35" t="str">
        <f>IFERROR(__xludf.DUMMYFUNCTION("""COMPUTED_VALUE"""),"KOMP. KAPUAS MAS NO. B 3")</f>
        <v>KOMP. KAPUAS MAS NO. B 3</v>
      </c>
      <c r="N3501" s="35" t="str">
        <f>IFERROR(__xludf.DUMMYFUNCTION("""COMPUTED_VALUE"""),"SUNGAI RAYA DALAM")</f>
        <v>SUNGAI RAYA DALAM</v>
      </c>
      <c r="O3501" s="35" t="str">
        <f>IFERROR(__xludf.DUMMYFUNCTION("""COMPUTED_VALUE"""),"SUNGAI RAYA ")</f>
        <v>SUNGAI RAYA </v>
      </c>
      <c r="P3501" s="35" t="str">
        <f>IFERROR(__xludf.DUMMYFUNCTION("""COMPUTED_VALUE"""),"PONTIANAK ")</f>
        <v>PONTIANAK </v>
      </c>
      <c r="Q3501" s="35" t="str">
        <f>IFERROR(__xludf.DUMMYFUNCTION("""COMPUTED_VALUE"""),"KALIMANTAN BARAT")</f>
        <v>KALIMANTAN BARAT</v>
      </c>
      <c r="R3501" s="35" t="str">
        <f>IFERROR(__xludf.DUMMYFUNCTION("""COMPUTED_VALUE"""),"PROTESTAN")</f>
        <v>PROTESTAN</v>
      </c>
      <c r="S3501" s="74" t="str">
        <f>IFERROR(__xludf.DUMMYFUNCTION("""COMPUTED_VALUE"""),"KARYAWAN SWASTA")</f>
        <v>KARYAWAN SWASTA</v>
      </c>
      <c r="T3501" s="35" t="str">
        <f>IFERROR(__xludf.DUMMYFUNCTION("""COMPUTED_VALUE"""),"SAKIT LEHER")</f>
        <v>SAKIT LEHER</v>
      </c>
      <c r="U3501" s="35" t="str">
        <f>IFERROR(__xludf.DUMMYFUNCTION("""COMPUTED_VALUE"""),"-")</f>
        <v>-</v>
      </c>
      <c r="V3501" s="35" t="str">
        <f>IFERROR(__xludf.DUMMYFUNCTION("""COMPUTED_VALUE"""),"081315698883")</f>
        <v>081315698883</v>
      </c>
      <c r="W3501" s="45"/>
    </row>
    <row r="3502">
      <c r="A3502" s="45"/>
      <c r="B3502" s="35" t="str">
        <f>IFERROR(__xludf.DUMMYFUNCTION("""COMPUTED_VALUE"""),"23/02/2026 15:08:32")</f>
        <v>23/02/2026 15:08:32</v>
      </c>
      <c r="C3502" s="35"/>
      <c r="D3502" s="10">
        <f>IFERROR(__xludf.DUMMYFUNCTION("""COMPUTED_VALUE"""),46076.0)</f>
        <v>46076</v>
      </c>
      <c r="E3502" s="35" t="str">
        <f>IFERROR(__xludf.DUMMYFUNCTION("""COMPUTED_VALUE"""),"02Feb")</f>
        <v>02Feb</v>
      </c>
      <c r="F3502" s="35" t="str">
        <f>IFERROR(__xludf.DUMMYFUNCTION("""COMPUTED_VALUE"""),"2026")</f>
        <v>2026</v>
      </c>
      <c r="G3502" s="35" t="str">
        <f>IFERROR(__xludf.DUMMYFUNCTION("""COMPUTED_VALUE"""),"ISRI ULFAINI")</f>
        <v>ISRI ULFAINI</v>
      </c>
      <c r="H3502" s="35" t="str">
        <f>IFERROR(__xludf.DUMMYFUNCTION("""COMPUTED_VALUE"""),"I9426029070")</f>
        <v>I9426029070</v>
      </c>
      <c r="I3502" s="35">
        <f>IFERROR(__xludf.DUMMYFUNCTION("""COMPUTED_VALUE"""),31.0)</f>
        <v>31</v>
      </c>
      <c r="J3502" s="35" t="str">
        <f>IFERROR(__xludf.DUMMYFUNCTION("""COMPUTED_VALUE"""),"25-34 tahun")</f>
        <v>25-34 tahun</v>
      </c>
      <c r="K3502" s="35" t="str">
        <f>IFERROR(__xludf.DUMMYFUNCTION("""COMPUTED_VALUE"""),"14/12/1994")</f>
        <v>14/12/1994</v>
      </c>
      <c r="L3502" s="35" t="str">
        <f>IFERROR(__xludf.DUMMYFUNCTION("""COMPUTED_VALUE"""),"PEREMPUAN")</f>
        <v>PEREMPUAN</v>
      </c>
      <c r="M3502" s="35" t="str">
        <f>IFERROR(__xludf.DUMMYFUNCTION("""COMPUTED_VALUE"""),"JL KESEHATAN GANG SUMBER AGUNG 1")</f>
        <v>JL KESEHATAN GANG SUMBER AGUNG 1</v>
      </c>
      <c r="N3502" s="35" t="str">
        <f>IFERROR(__xludf.DUMMYFUNCTION("""COMPUTED_VALUE"""),"KOTA BARU")</f>
        <v>KOTA BARU</v>
      </c>
      <c r="O3502" s="35" t="str">
        <f>IFERROR(__xludf.DUMMYFUNCTION("""COMPUTED_VALUE"""),"PONTIANAK SELATAN")</f>
        <v>PONTIANAK SELATAN</v>
      </c>
      <c r="P3502" s="35" t="str">
        <f>IFERROR(__xludf.DUMMYFUNCTION("""COMPUTED_VALUE"""),"PONTIANAK")</f>
        <v>PONTIANAK</v>
      </c>
      <c r="Q3502" s="35" t="str">
        <f>IFERROR(__xludf.DUMMYFUNCTION("""COMPUTED_VALUE"""),"KALIMANTAN BARAT")</f>
        <v>KALIMANTAN BARAT</v>
      </c>
      <c r="R3502" s="35" t="str">
        <f>IFERROR(__xludf.DUMMYFUNCTION("""COMPUTED_VALUE"""),"ISLAM")</f>
        <v>ISLAM</v>
      </c>
      <c r="S3502" s="74" t="str">
        <f>IFERROR(__xludf.DUMMYFUNCTION("""COMPUTED_VALUE"""),"PNS")</f>
        <v>PNS</v>
      </c>
      <c r="T3502" s="35" t="str">
        <f>IFERROR(__xludf.DUMMYFUNCTION("""COMPUTED_VALUE"""),"KAKI")</f>
        <v>KAKI</v>
      </c>
      <c r="U3502" s="35" t="str">
        <f>IFERROR(__xludf.DUMMYFUNCTION("""COMPUTED_VALUE"""),"-")</f>
        <v>-</v>
      </c>
      <c r="V3502" s="35" t="str">
        <f>IFERROR(__xludf.DUMMYFUNCTION("""COMPUTED_VALUE"""),"083196989070")</f>
        <v>083196989070</v>
      </c>
      <c r="W3502" s="45"/>
    </row>
    <row r="3503">
      <c r="A3503" s="45"/>
      <c r="B3503" s="35" t="str">
        <f>IFERROR(__xludf.DUMMYFUNCTION("""COMPUTED_VALUE"""),"23/02/2026 18:40:18")</f>
        <v>23/02/2026 18:40:18</v>
      </c>
      <c r="C3503" s="35"/>
      <c r="D3503" s="10">
        <f>IFERROR(__xludf.DUMMYFUNCTION("""COMPUTED_VALUE"""),46076.0)</f>
        <v>46076</v>
      </c>
      <c r="E3503" s="35" t="str">
        <f>IFERROR(__xludf.DUMMYFUNCTION("""COMPUTED_VALUE"""),"02Feb")</f>
        <v>02Feb</v>
      </c>
      <c r="F3503" s="35" t="str">
        <f>IFERROR(__xludf.DUMMYFUNCTION("""COMPUTED_VALUE"""),"2026")</f>
        <v>2026</v>
      </c>
      <c r="G3503" s="35" t="str">
        <f>IFERROR(__xludf.DUMMYFUNCTION("""COMPUTED_VALUE"""),"WARDOYO 8804")</f>
        <v>WARDOYO 8804</v>
      </c>
      <c r="H3503" s="35" t="str">
        <f>IFERROR(__xludf.DUMMYFUNCTION("""COMPUTED_VALUE"""),"W8826023637")</f>
        <v>W8826023637</v>
      </c>
      <c r="I3503" s="35">
        <f>IFERROR(__xludf.DUMMYFUNCTION("""COMPUTED_VALUE"""),38.0)</f>
        <v>38</v>
      </c>
      <c r="J3503" s="35" t="str">
        <f>IFERROR(__xludf.DUMMYFUNCTION("""COMPUTED_VALUE"""),"35-44 tahun")</f>
        <v>35-44 tahun</v>
      </c>
      <c r="K3503" s="35" t="str">
        <f>IFERROR(__xludf.DUMMYFUNCTION("""COMPUTED_VALUE"""),"04/04/1988")</f>
        <v>04/04/1988</v>
      </c>
      <c r="L3503" s="35" t="str">
        <f>IFERROR(__xludf.DUMMYFUNCTION("""COMPUTED_VALUE"""),"LAKI-LAKI")</f>
        <v>LAKI-LAKI</v>
      </c>
      <c r="M3503" s="35" t="str">
        <f>IFERROR(__xludf.DUMMYFUNCTION("""COMPUTED_VALUE"""),"GANG SUTRA")</f>
        <v>GANG SUTRA</v>
      </c>
      <c r="N3503" s="35" t="str">
        <f>IFERROR(__xludf.DUMMYFUNCTION("""COMPUTED_VALUE"""),"PONTIANAK")</f>
        <v>PONTIANAK</v>
      </c>
      <c r="O3503" s="35" t="str">
        <f>IFERROR(__xludf.DUMMYFUNCTION("""COMPUTED_VALUE"""),"PONTIANAK")</f>
        <v>PONTIANAK</v>
      </c>
      <c r="P3503" s="35" t="str">
        <f>IFERROR(__xludf.DUMMYFUNCTION("""COMPUTED_VALUE"""),"PONTIANAK")</f>
        <v>PONTIANAK</v>
      </c>
      <c r="Q3503" s="35" t="str">
        <f>IFERROR(__xludf.DUMMYFUNCTION("""COMPUTED_VALUE"""),"PONTIANAK")</f>
        <v>PONTIANAK</v>
      </c>
      <c r="R3503" s="35" t="str">
        <f>IFERROR(__xludf.DUMMYFUNCTION("""COMPUTED_VALUE"""),"KATOLIK")</f>
        <v>KATOLIK</v>
      </c>
      <c r="S3503" s="74" t="str">
        <f>IFERROR(__xludf.DUMMYFUNCTION("""COMPUTED_VALUE"""),"SWASTA")</f>
        <v>SWASTA</v>
      </c>
      <c r="T3503" s="35" t="str">
        <f>IFERROR(__xludf.DUMMYFUNCTION("""COMPUTED_VALUE"""),"PUNGGUNG SAKIT")</f>
        <v>PUNGGUNG SAKIT</v>
      </c>
      <c r="U3503" s="35" t="str">
        <f>IFERROR(__xludf.DUMMYFUNCTION("""COMPUTED_VALUE"""),"KERJA")</f>
        <v>KERJA</v>
      </c>
      <c r="V3503" s="35" t="str">
        <f>IFERROR(__xludf.DUMMYFUNCTION("""COMPUTED_VALUE"""),"085252593637")</f>
        <v>085252593637</v>
      </c>
      <c r="W3503" s="45"/>
    </row>
    <row r="3504">
      <c r="A3504" s="45"/>
      <c r="B3504" s="35" t="str">
        <f>IFERROR(__xludf.DUMMYFUNCTION("""COMPUTED_VALUE"""),"24/02/2026 13:45:32")</f>
        <v>24/02/2026 13:45:32</v>
      </c>
      <c r="C3504" s="35"/>
      <c r="D3504" s="10">
        <f>IFERROR(__xludf.DUMMYFUNCTION("""COMPUTED_VALUE"""),46077.0)</f>
        <v>46077</v>
      </c>
      <c r="E3504" s="35" t="str">
        <f>IFERROR(__xludf.DUMMYFUNCTION("""COMPUTED_VALUE"""),"02Feb")</f>
        <v>02Feb</v>
      </c>
      <c r="F3504" s="35" t="str">
        <f>IFERROR(__xludf.DUMMYFUNCTION("""COMPUTED_VALUE"""),"2026")</f>
        <v>2026</v>
      </c>
      <c r="G3504" s="35" t="str">
        <f>IFERROR(__xludf.DUMMYFUNCTION("""COMPUTED_VALUE"""),"ISFANDIAR, ST . MT")</f>
        <v>ISFANDIAR, ST . MT</v>
      </c>
      <c r="H3504" s="35" t="str">
        <f>IFERROR(__xludf.DUMMYFUNCTION("""COMPUTED_VALUE"""),"I7926020464")</f>
        <v>I7926020464</v>
      </c>
      <c r="I3504" s="35">
        <f>IFERROR(__xludf.DUMMYFUNCTION("""COMPUTED_VALUE"""),47.0)</f>
        <v>47</v>
      </c>
      <c r="J3504" s="35" t="str">
        <f>IFERROR(__xludf.DUMMYFUNCTION("""COMPUTED_VALUE"""),"&gt; 44 tahun")</f>
        <v>&gt; 44 tahun</v>
      </c>
      <c r="K3504" s="35" t="str">
        <f>IFERROR(__xludf.DUMMYFUNCTION("""COMPUTED_VALUE"""),"12/06/1979")</f>
        <v>12/06/1979</v>
      </c>
      <c r="L3504" s="35" t="str">
        <f>IFERROR(__xludf.DUMMYFUNCTION("""COMPUTED_VALUE"""),"LAKI-LAKI")</f>
        <v>LAKI-LAKI</v>
      </c>
      <c r="M3504" s="35" t="str">
        <f>IFERROR(__xludf.DUMMYFUNCTION("""COMPUTED_VALUE"""),"JL. DR SUTOMO GG. KARYA IV")</f>
        <v>JL. DR SUTOMO GG. KARYA IV</v>
      </c>
      <c r="N3504" s="35" t="str">
        <f>IFERROR(__xludf.DUMMYFUNCTION("""COMPUTED_VALUE"""),"SUNGAI BANGKONG")</f>
        <v>SUNGAI BANGKONG</v>
      </c>
      <c r="O3504" s="35" t="str">
        <f>IFERROR(__xludf.DUMMYFUNCTION("""COMPUTED_VALUE"""),"PONTIANAK KOTA")</f>
        <v>PONTIANAK KOTA</v>
      </c>
      <c r="P3504" s="35" t="str">
        <f>IFERROR(__xludf.DUMMYFUNCTION("""COMPUTED_VALUE"""),"PONTIANAK ")</f>
        <v>PONTIANAK </v>
      </c>
      <c r="Q3504" s="35" t="str">
        <f>IFERROR(__xludf.DUMMYFUNCTION("""COMPUTED_VALUE"""),"KALIMANTAN BARAT")</f>
        <v>KALIMANTAN BARAT</v>
      </c>
      <c r="R3504" s="35" t="str">
        <f>IFERROR(__xludf.DUMMYFUNCTION("""COMPUTED_VALUE"""),"ISLAM")</f>
        <v>ISLAM</v>
      </c>
      <c r="S3504" s="74" t="str">
        <f>IFERROR(__xludf.DUMMYFUNCTION("""COMPUTED_VALUE"""),"PNS ")</f>
        <v>PNS </v>
      </c>
      <c r="T3504" s="35" t="str">
        <f>IFERROR(__xludf.DUMMYFUNCTION("""COMPUTED_VALUE"""),"KAKI")</f>
        <v>KAKI</v>
      </c>
      <c r="U3504" s="35" t="str">
        <f>IFERROR(__xludf.DUMMYFUNCTION("""COMPUTED_VALUE"""),"-")</f>
        <v>-</v>
      </c>
      <c r="V3504" s="35" t="str">
        <f>IFERROR(__xludf.DUMMYFUNCTION("""COMPUTED_VALUE"""),"085245220464")</f>
        <v>085245220464</v>
      </c>
      <c r="W3504" s="45"/>
    </row>
    <row r="3505">
      <c r="A3505" s="45"/>
      <c r="B3505" s="35" t="str">
        <f>IFERROR(__xludf.DUMMYFUNCTION("""COMPUTED_VALUE"""),"24/02/2026 14:34:06")</f>
        <v>24/02/2026 14:34:06</v>
      </c>
      <c r="C3505" s="35"/>
      <c r="D3505" s="10">
        <f>IFERROR(__xludf.DUMMYFUNCTION("""COMPUTED_VALUE"""),46077.0)</f>
        <v>46077</v>
      </c>
      <c r="E3505" s="35" t="str">
        <f>IFERROR(__xludf.DUMMYFUNCTION("""COMPUTED_VALUE"""),"02Feb")</f>
        <v>02Feb</v>
      </c>
      <c r="F3505" s="35" t="str">
        <f>IFERROR(__xludf.DUMMYFUNCTION("""COMPUTED_VALUE"""),"2026")</f>
        <v>2026</v>
      </c>
      <c r="G3505" s="35" t="str">
        <f>IFERROR(__xludf.DUMMYFUNCTION("""COMPUTED_VALUE"""),"FERNANDO NG")</f>
        <v>FERNANDO NG</v>
      </c>
      <c r="H3505" s="35" t="str">
        <f>IFERROR(__xludf.DUMMYFUNCTION("""COMPUTED_VALUE"""),"F9926021200")</f>
        <v>F9926021200</v>
      </c>
      <c r="I3505" s="35">
        <f>IFERROR(__xludf.DUMMYFUNCTION("""COMPUTED_VALUE"""),26.0)</f>
        <v>26</v>
      </c>
      <c r="J3505" s="35" t="str">
        <f>IFERROR(__xludf.DUMMYFUNCTION("""COMPUTED_VALUE"""),"25-34 tahun")</f>
        <v>25-34 tahun</v>
      </c>
      <c r="K3505" s="35" t="str">
        <f>IFERROR(__xludf.DUMMYFUNCTION("""COMPUTED_VALUE"""),"23/08/1999")</f>
        <v>23/08/1999</v>
      </c>
      <c r="L3505" s="35" t="str">
        <f>IFERROR(__xludf.DUMMYFUNCTION("""COMPUTED_VALUE"""),"LAKI-LAKI")</f>
        <v>LAKI-LAKI</v>
      </c>
      <c r="M3505" s="35" t="str">
        <f>IFERROR(__xludf.DUMMYFUNCTION("""COMPUTED_VALUE"""),"JLN TRUNOJOYO NO 63")</f>
        <v>JLN TRUNOJOYO NO 63</v>
      </c>
      <c r="N3505" s="35" t="str">
        <f>IFERROR(__xludf.DUMMYFUNCTION("""COMPUTED_VALUE"""),"BENUA MELAYU DARAT")</f>
        <v>BENUA MELAYU DARAT</v>
      </c>
      <c r="O3505" s="35" t="str">
        <f>IFERROR(__xludf.DUMMYFUNCTION("""COMPUTED_VALUE"""),"PONTIANAK SELATAN")</f>
        <v>PONTIANAK SELATAN</v>
      </c>
      <c r="P3505" s="35" t="str">
        <f>IFERROR(__xludf.DUMMYFUNCTION("""COMPUTED_VALUE"""),"PONTIANAK")</f>
        <v>PONTIANAK</v>
      </c>
      <c r="Q3505" s="35" t="str">
        <f>IFERROR(__xludf.DUMMYFUNCTION("""COMPUTED_VALUE"""),"KALBAR")</f>
        <v>KALBAR</v>
      </c>
      <c r="R3505" s="35" t="str">
        <f>IFERROR(__xludf.DUMMYFUNCTION("""COMPUTED_VALUE"""),"BUDDHA")</f>
        <v>BUDDHA</v>
      </c>
      <c r="S3505" s="74" t="str">
        <f>IFERROR(__xludf.DUMMYFUNCTION("""COMPUTED_VALUE"""),"PELAJAR")</f>
        <v>PELAJAR</v>
      </c>
      <c r="T3505" s="35" t="str">
        <f>IFERROR(__xludf.DUMMYFUNCTION("""COMPUTED_VALUE"""),"OTOT TEREK")</f>
        <v>OTOT TEREK</v>
      </c>
      <c r="U3505" s="35" t="str">
        <f>IFERROR(__xludf.DUMMYFUNCTION("""COMPUTED_VALUE"""),"GYM JOGGING")</f>
        <v>GYM JOGGING</v>
      </c>
      <c r="V3505" s="35" t="str">
        <f>IFERROR(__xludf.DUMMYFUNCTION("""COMPUTED_VALUE"""),"0811561200")</f>
        <v>0811561200</v>
      </c>
      <c r="W3505" s="45"/>
    </row>
    <row r="3506">
      <c r="A3506" s="45"/>
      <c r="B3506" s="35" t="str">
        <f>IFERROR(__xludf.DUMMYFUNCTION("""COMPUTED_VALUE"""),"24/02/2026 16:52:04")</f>
        <v>24/02/2026 16:52:04</v>
      </c>
      <c r="C3506" s="35"/>
      <c r="D3506" s="10">
        <f>IFERROR(__xludf.DUMMYFUNCTION("""COMPUTED_VALUE"""),46077.0)</f>
        <v>46077</v>
      </c>
      <c r="E3506" s="35" t="str">
        <f>IFERROR(__xludf.DUMMYFUNCTION("""COMPUTED_VALUE"""),"02Feb")</f>
        <v>02Feb</v>
      </c>
      <c r="F3506" s="35" t="str">
        <f>IFERROR(__xludf.DUMMYFUNCTION("""COMPUTED_VALUE"""),"2026")</f>
        <v>2026</v>
      </c>
      <c r="G3506" s="35" t="str">
        <f>IFERROR(__xludf.DUMMYFUNCTION("""COMPUTED_VALUE"""),"EDI SUDIANDI")</f>
        <v>EDI SUDIANDI</v>
      </c>
      <c r="H3506" s="35" t="str">
        <f>IFERROR(__xludf.DUMMYFUNCTION("""COMPUTED_VALUE"""),"E0126026250")</f>
        <v>E0126026250</v>
      </c>
      <c r="I3506" s="35">
        <f>IFERROR(__xludf.DUMMYFUNCTION("""COMPUTED_VALUE"""),24.0)</f>
        <v>24</v>
      </c>
      <c r="J3506" s="35" t="str">
        <f>IFERROR(__xludf.DUMMYFUNCTION("""COMPUTED_VALUE"""),"18-24 tahun")</f>
        <v>18-24 tahun</v>
      </c>
      <c r="K3506" s="35" t="str">
        <f>IFERROR(__xludf.DUMMYFUNCTION("""COMPUTED_VALUE"""),"24/08/2001")</f>
        <v>24/08/2001</v>
      </c>
      <c r="L3506" s="35" t="str">
        <f>IFERROR(__xludf.DUMMYFUNCTION("""COMPUTED_VALUE"""),"LAKI-LAKI")</f>
        <v>LAKI-LAKI</v>
      </c>
      <c r="M3506" s="35" t="str">
        <f>IFERROR(__xludf.DUMMYFUNCTION("""COMPUTED_VALUE"""),"JL PAINI BARDAN")</f>
        <v>JL PAINI BARDAN</v>
      </c>
      <c r="N3506" s="35" t="str">
        <f>IFERROR(__xludf.DUMMYFUNCTION("""COMPUTED_VALUE"""),"TANJUNG HULU")</f>
        <v>TANJUNG HULU</v>
      </c>
      <c r="O3506" s="35" t="str">
        <f>IFERROR(__xludf.DUMMYFUNCTION("""COMPUTED_VALUE"""),"PONTIANAK TIMUR")</f>
        <v>PONTIANAK TIMUR</v>
      </c>
      <c r="P3506" s="35" t="str">
        <f>IFERROR(__xludf.DUMMYFUNCTION("""COMPUTED_VALUE"""),"PONTIANAK")</f>
        <v>PONTIANAK</v>
      </c>
      <c r="Q3506" s="35" t="str">
        <f>IFERROR(__xludf.DUMMYFUNCTION("""COMPUTED_VALUE"""),"KALIMANTAN BARAT")</f>
        <v>KALIMANTAN BARAT</v>
      </c>
      <c r="R3506" s="35" t="str">
        <f>IFERROR(__xludf.DUMMYFUNCTION("""COMPUTED_VALUE"""),"BUDDHA")</f>
        <v>BUDDHA</v>
      </c>
      <c r="S3506" s="74" t="str">
        <f>IFERROR(__xludf.DUMMYFUNCTION("""COMPUTED_VALUE"""),"KARYAWAN SWASTA")</f>
        <v>KARYAWAN SWASTA</v>
      </c>
      <c r="T3506" s="35" t="str">
        <f>IFERROR(__xludf.DUMMYFUNCTION("""COMPUTED_VALUE"""),"TENNIS ELBOW")</f>
        <v>TENNIS ELBOW</v>
      </c>
      <c r="U3506" s="35" t="str">
        <f>IFERROR(__xludf.DUMMYFUNCTION("""COMPUTED_VALUE"""),"PADEL DAN BADMINTON")</f>
        <v>PADEL DAN BADMINTON</v>
      </c>
      <c r="V3506" s="35" t="str">
        <f>IFERROR(__xludf.DUMMYFUNCTION("""COMPUTED_VALUE"""),"089693316250")</f>
        <v>089693316250</v>
      </c>
      <c r="W3506" s="45"/>
    </row>
    <row r="3507">
      <c r="A3507" s="45"/>
      <c r="B3507" s="35" t="str">
        <f>IFERROR(__xludf.DUMMYFUNCTION("""COMPUTED_VALUE"""),"24/02/2026 16:59:22")</f>
        <v>24/02/2026 16:59:22</v>
      </c>
      <c r="C3507" s="35"/>
      <c r="D3507" s="10">
        <f>IFERROR(__xludf.DUMMYFUNCTION("""COMPUTED_VALUE"""),46077.0)</f>
        <v>46077</v>
      </c>
      <c r="E3507" s="35" t="str">
        <f>IFERROR(__xludf.DUMMYFUNCTION("""COMPUTED_VALUE"""),"02Feb")</f>
        <v>02Feb</v>
      </c>
      <c r="F3507" s="35" t="str">
        <f>IFERROR(__xludf.DUMMYFUNCTION("""COMPUTED_VALUE"""),"2026")</f>
        <v>2026</v>
      </c>
      <c r="G3507" s="35" t="str">
        <f>IFERROR(__xludf.DUMMYFUNCTION("""COMPUTED_VALUE"""),"ABDULLAH SYAKUR ")</f>
        <v>ABDULLAH SYAKUR </v>
      </c>
      <c r="H3507" s="35" t="str">
        <f>IFERROR(__xludf.DUMMYFUNCTION("""COMPUTED_VALUE"""),"A0426021519")</f>
        <v>A0426021519</v>
      </c>
      <c r="I3507" s="35">
        <f>IFERROR(__xludf.DUMMYFUNCTION("""COMPUTED_VALUE"""),21.0)</f>
        <v>21</v>
      </c>
      <c r="J3507" s="35" t="str">
        <f>IFERROR(__xludf.DUMMYFUNCTION("""COMPUTED_VALUE"""),"18-24 tahun")</f>
        <v>18-24 tahun</v>
      </c>
      <c r="K3507" s="35" t="str">
        <f>IFERROR(__xludf.DUMMYFUNCTION("""COMPUTED_VALUE"""),"26/10/2004")</f>
        <v>26/10/2004</v>
      </c>
      <c r="L3507" s="35" t="str">
        <f>IFERROR(__xludf.DUMMYFUNCTION("""COMPUTED_VALUE"""),"LAKI-LAKI")</f>
        <v>LAKI-LAKI</v>
      </c>
      <c r="M3507" s="35" t="str">
        <f>IFERROR(__xludf.DUMMYFUNCTION("""COMPUTED_VALUE"""),"SUNGAI RAYA DALAM KOMPLEK BHAYANGKARA PERMAI ")</f>
        <v>SUNGAI RAYA DALAM KOMPLEK BHAYANGKARA PERMAI </v>
      </c>
      <c r="N3507" s="35" t="str">
        <f>IFERROR(__xludf.DUMMYFUNCTION("""COMPUTED_VALUE"""),"SUNGAI RAYA DALAM")</f>
        <v>SUNGAI RAYA DALAM</v>
      </c>
      <c r="O3507" s="35" t="str">
        <f>IFERROR(__xludf.DUMMYFUNCTION("""COMPUTED_VALUE"""),"SUNGAI RAYA")</f>
        <v>SUNGAI RAYA</v>
      </c>
      <c r="P3507" s="35" t="str">
        <f>IFERROR(__xludf.DUMMYFUNCTION("""COMPUTED_VALUE"""),"KUBU RAYA")</f>
        <v>KUBU RAYA</v>
      </c>
      <c r="Q3507" s="35" t="str">
        <f>IFERROR(__xludf.DUMMYFUNCTION("""COMPUTED_VALUE"""),"KALBAR ")</f>
        <v>KALBAR </v>
      </c>
      <c r="R3507" s="35" t="str">
        <f>IFERROR(__xludf.DUMMYFUNCTION("""COMPUTED_VALUE"""),"ISLAM")</f>
        <v>ISLAM</v>
      </c>
      <c r="S3507" s="74" t="str">
        <f>IFERROR(__xludf.DUMMYFUNCTION("""COMPUTED_VALUE"""),"-")</f>
        <v>-</v>
      </c>
      <c r="T3507" s="35" t="str">
        <f>IFERROR(__xludf.DUMMYFUNCTION("""COMPUTED_VALUE"""),"KEKAKUAN OTOT, KESEMUTAN, ")</f>
        <v>KEKAKUAN OTOT, KESEMUTAN, </v>
      </c>
      <c r="U3507" s="35" t="str">
        <f>IFERROR(__xludf.DUMMYFUNCTION("""COMPUTED_VALUE"""),"MEMANCING ")</f>
        <v>MEMANCING </v>
      </c>
      <c r="V3507" s="35" t="str">
        <f>IFERROR(__xludf.DUMMYFUNCTION("""COMPUTED_VALUE"""),"0895340501519")</f>
        <v>0895340501519</v>
      </c>
      <c r="W3507" s="45"/>
    </row>
    <row r="3508">
      <c r="A3508" s="45"/>
      <c r="B3508" s="35" t="str">
        <f>IFERROR(__xludf.DUMMYFUNCTION("""COMPUTED_VALUE"""),"24/02/2026 12:23:36")</f>
        <v>24/02/2026 12:23:36</v>
      </c>
      <c r="C3508" s="35"/>
      <c r="D3508" s="10">
        <f>IFERROR(__xludf.DUMMYFUNCTION("""COMPUTED_VALUE"""),46077.0)</f>
        <v>46077</v>
      </c>
      <c r="E3508" s="35" t="str">
        <f>IFERROR(__xludf.DUMMYFUNCTION("""COMPUTED_VALUE"""),"02Feb")</f>
        <v>02Feb</v>
      </c>
      <c r="F3508" s="35" t="str">
        <f>IFERROR(__xludf.DUMMYFUNCTION("""COMPUTED_VALUE"""),"2026")</f>
        <v>2026</v>
      </c>
      <c r="G3508" s="35" t="str">
        <f>IFERROR(__xludf.DUMMYFUNCTION("""COMPUTED_VALUE"""),"LIVI")</f>
        <v>LIVI</v>
      </c>
      <c r="H3508" s="35" t="str">
        <f>IFERROR(__xludf.DUMMYFUNCTION("""COMPUTED_VALUE"""),"L0726026162")</f>
        <v>L0726026162</v>
      </c>
      <c r="I3508" s="35">
        <f>IFERROR(__xludf.DUMMYFUNCTION("""COMPUTED_VALUE"""),18.0)</f>
        <v>18</v>
      </c>
      <c r="J3508" s="35" t="str">
        <f>IFERROR(__xludf.DUMMYFUNCTION("""COMPUTED_VALUE"""),"&lt; 18 tahun")</f>
        <v>&lt; 18 tahun</v>
      </c>
      <c r="K3508" s="35" t="str">
        <f>IFERROR(__xludf.DUMMYFUNCTION("""COMPUTED_VALUE"""),"06/09/2007")</f>
        <v>06/09/2007</v>
      </c>
      <c r="L3508" s="35" t="str">
        <f>IFERROR(__xludf.DUMMYFUNCTION("""COMPUTED_VALUE"""),"PEREMPUAN")</f>
        <v>PEREMPUAN</v>
      </c>
      <c r="M3508" s="35" t="str">
        <f>IFERROR(__xludf.DUMMYFUNCTION("""COMPUTED_VALUE"""),"JL KHW HASYIM GG NURI NO 51")</f>
        <v>JL KHW HASYIM GG NURI NO 51</v>
      </c>
      <c r="N3508" s="35" t="str">
        <f>IFERROR(__xludf.DUMMYFUNCTION("""COMPUTED_VALUE"""),"TENGAH")</f>
        <v>TENGAH</v>
      </c>
      <c r="O3508" s="35" t="str">
        <f>IFERROR(__xludf.DUMMYFUNCTION("""COMPUTED_VALUE"""),"PONTIANAK KOTA")</f>
        <v>PONTIANAK KOTA</v>
      </c>
      <c r="P3508" s="35" t="str">
        <f>IFERROR(__xludf.DUMMYFUNCTION("""COMPUTED_VALUE"""),"PONTIANAK")</f>
        <v>PONTIANAK</v>
      </c>
      <c r="Q3508" s="35" t="str">
        <f>IFERROR(__xludf.DUMMYFUNCTION("""COMPUTED_VALUE"""),"KALBAR")</f>
        <v>KALBAR</v>
      </c>
      <c r="R3508" s="35" t="str">
        <f>IFERROR(__xludf.DUMMYFUNCTION("""COMPUTED_VALUE"""),"BUDDHA")</f>
        <v>BUDDHA</v>
      </c>
      <c r="S3508" s="74" t="str">
        <f>IFERROR(__xludf.DUMMYFUNCTION("""COMPUTED_VALUE"""),"MAHASISWA")</f>
        <v>MAHASISWA</v>
      </c>
      <c r="T3508" s="35" t="str">
        <f>IFERROR(__xludf.DUMMYFUNCTION("""COMPUTED_VALUE"""),"PEGEL DI PINGGANG,PANTAT -KE PAHA")</f>
        <v>PEGEL DI PINGGANG,PANTAT -KE PAHA</v>
      </c>
      <c r="U3508" s="35" t="str">
        <f>IFERROR(__xludf.DUMMYFUNCTION("""COMPUTED_VALUE"""),"NARI")</f>
        <v>NARI</v>
      </c>
      <c r="V3508" s="35" t="str">
        <f>IFERROR(__xludf.DUMMYFUNCTION("""COMPUTED_VALUE"""),"089603996162")</f>
        <v>089603996162</v>
      </c>
      <c r="W3508" s="45"/>
    </row>
    <row r="3509">
      <c r="A3509" s="45"/>
      <c r="B3509" s="35" t="str">
        <f>IFERROR(__xludf.DUMMYFUNCTION("""COMPUTED_VALUE"""),"24/02/2026 20:15:04")</f>
        <v>24/02/2026 20:15:04</v>
      </c>
      <c r="C3509" s="35"/>
      <c r="D3509" s="10">
        <f>IFERROR(__xludf.DUMMYFUNCTION("""COMPUTED_VALUE"""),46078.0)</f>
        <v>46078</v>
      </c>
      <c r="E3509" s="35" t="str">
        <f>IFERROR(__xludf.DUMMYFUNCTION("""COMPUTED_VALUE"""),"02Feb")</f>
        <v>02Feb</v>
      </c>
      <c r="F3509" s="35" t="str">
        <f>IFERROR(__xludf.DUMMYFUNCTION("""COMPUTED_VALUE"""),"2026")</f>
        <v>2026</v>
      </c>
      <c r="G3509" s="35" t="str">
        <f>IFERROR(__xludf.DUMMYFUNCTION("""COMPUTED_VALUE"""),"RYAN PRAMIKA")</f>
        <v>RYAN PRAMIKA</v>
      </c>
      <c r="H3509" s="35" t="str">
        <f>IFERROR(__xludf.DUMMYFUNCTION("""COMPUTED_VALUE"""),"R9126025888")</f>
        <v>R9126025888</v>
      </c>
      <c r="I3509" s="35">
        <f>IFERROR(__xludf.DUMMYFUNCTION("""COMPUTED_VALUE"""),35.0)</f>
        <v>35</v>
      </c>
      <c r="J3509" s="35" t="str">
        <f>IFERROR(__xludf.DUMMYFUNCTION("""COMPUTED_VALUE"""),"35-44 tahun")</f>
        <v>35-44 tahun</v>
      </c>
      <c r="K3509" s="35" t="str">
        <f>IFERROR(__xludf.DUMMYFUNCTION("""COMPUTED_VALUE"""),"14/01/1991")</f>
        <v>14/01/1991</v>
      </c>
      <c r="L3509" s="35" t="str">
        <f>IFERROR(__xludf.DUMMYFUNCTION("""COMPUTED_VALUE"""),"LAKI-LAKI")</f>
        <v>LAKI-LAKI</v>
      </c>
      <c r="M3509" s="35" t="str">
        <f>IFERROR(__xludf.DUMMYFUNCTION("""COMPUTED_VALUE"""),"KOMPLEK CITRA SERDAM NO. C7")</f>
        <v>KOMPLEK CITRA SERDAM NO. C7</v>
      </c>
      <c r="N3509" s="35" t="str">
        <f>IFERROR(__xludf.DUMMYFUNCTION("""COMPUTED_VALUE"""),"BANGKA BELITUNG DARAT")</f>
        <v>BANGKA BELITUNG DARAT</v>
      </c>
      <c r="O3509" s="35" t="str">
        <f>IFERROR(__xludf.DUMMYFUNCTION("""COMPUTED_VALUE"""),"PONTIANAK TENGGARA")</f>
        <v>PONTIANAK TENGGARA</v>
      </c>
      <c r="P3509" s="35" t="str">
        <f>IFERROR(__xludf.DUMMYFUNCTION("""COMPUTED_VALUE"""),"PONTIANAK")</f>
        <v>PONTIANAK</v>
      </c>
      <c r="Q3509" s="35" t="str">
        <f>IFERROR(__xludf.DUMMYFUNCTION("""COMPUTED_VALUE"""),"KALIMANTAN BARAT")</f>
        <v>KALIMANTAN BARAT</v>
      </c>
      <c r="R3509" s="35" t="str">
        <f>IFERROR(__xludf.DUMMYFUNCTION("""COMPUTED_VALUE"""),"ISLAM")</f>
        <v>ISLAM</v>
      </c>
      <c r="S3509" s="74" t="str">
        <f>IFERROR(__xludf.DUMMYFUNCTION("""COMPUTED_VALUE"""),"PNS")</f>
        <v>PNS</v>
      </c>
      <c r="T3509" s="35" t="str">
        <f>IFERROR(__xludf.DUMMYFUNCTION("""COMPUTED_VALUE"""),"PEMULIHAN PASCA OPERASI ACL+MENISKUS")</f>
        <v>PEMULIHAN PASCA OPERASI ACL+MENISKUS</v>
      </c>
      <c r="U3509" s="35" t="str">
        <f>IFERROR(__xludf.DUMMYFUNCTION("""COMPUTED_VALUE"""),"HOBI BASKET, LARI, STRENGTH TRAINING")</f>
        <v>HOBI BASKET, LARI, STRENGTH TRAINING</v>
      </c>
      <c r="V3509" s="35" t="str">
        <f>IFERROR(__xludf.DUMMYFUNCTION("""COMPUTED_VALUE"""),"081381675888")</f>
        <v>081381675888</v>
      </c>
      <c r="W3509" s="45"/>
    </row>
    <row r="3510">
      <c r="A3510" s="45"/>
      <c r="B3510" s="35" t="str">
        <f>IFERROR(__xludf.DUMMYFUNCTION("""COMPUTED_VALUE"""),"25/02/2026 10:05:28")</f>
        <v>25/02/2026 10:05:28</v>
      </c>
      <c r="C3510" s="35"/>
      <c r="D3510" s="10">
        <f>IFERROR(__xludf.DUMMYFUNCTION("""COMPUTED_VALUE"""),46078.0)</f>
        <v>46078</v>
      </c>
      <c r="E3510" s="35" t="str">
        <f>IFERROR(__xludf.DUMMYFUNCTION("""COMPUTED_VALUE"""),"02Feb")</f>
        <v>02Feb</v>
      </c>
      <c r="F3510" s="35" t="str">
        <f>IFERROR(__xludf.DUMMYFUNCTION("""COMPUTED_VALUE"""),"2026")</f>
        <v>2026</v>
      </c>
      <c r="G3510" s="35" t="str">
        <f>IFERROR(__xludf.DUMMYFUNCTION("""COMPUTED_VALUE"""),"YUSI NALURITA")</f>
        <v>YUSI NALURITA</v>
      </c>
      <c r="H3510" s="35" t="str">
        <f>IFERROR(__xludf.DUMMYFUNCTION("""COMPUTED_VALUE"""),"Y9126026519")</f>
        <v>Y9126026519</v>
      </c>
      <c r="I3510" s="35">
        <f>IFERROR(__xludf.DUMMYFUNCTION("""COMPUTED_VALUE"""),34.0)</f>
        <v>34</v>
      </c>
      <c r="J3510" s="35" t="str">
        <f>IFERROR(__xludf.DUMMYFUNCTION("""COMPUTED_VALUE"""),"25-34 tahun")</f>
        <v>25-34 tahun</v>
      </c>
      <c r="K3510" s="35" t="str">
        <f>IFERROR(__xludf.DUMMYFUNCTION("""COMPUTED_VALUE"""),"29/07/1991")</f>
        <v>29/07/1991</v>
      </c>
      <c r="L3510" s="35" t="str">
        <f>IFERROR(__xludf.DUMMYFUNCTION("""COMPUTED_VALUE"""),"PEREMPUAN")</f>
        <v>PEREMPUAN</v>
      </c>
      <c r="M3510" s="35" t="str">
        <f>IFERROR(__xludf.DUMMYFUNCTION("""COMPUTED_VALUE"""),"JL REFORMASI UNTAN, GG MATEMATIKA")</f>
        <v>JL REFORMASI UNTAN, GG MATEMATIKA</v>
      </c>
      <c r="N3510" s="35" t="str">
        <f>IFERROR(__xludf.DUMMYFUNCTION("""COMPUTED_VALUE"""),"BANSIR LAUT")</f>
        <v>BANSIR LAUT</v>
      </c>
      <c r="O3510" s="35" t="str">
        <f>IFERROR(__xludf.DUMMYFUNCTION("""COMPUTED_VALUE"""),"PONTIANAK TENGGARA")</f>
        <v>PONTIANAK TENGGARA</v>
      </c>
      <c r="P3510" s="35" t="str">
        <f>IFERROR(__xludf.DUMMYFUNCTION("""COMPUTED_VALUE"""),"KOTA PONTIANAK")</f>
        <v>KOTA PONTIANAK</v>
      </c>
      <c r="Q3510" s="35" t="str">
        <f>IFERROR(__xludf.DUMMYFUNCTION("""COMPUTED_VALUE"""),"KALIMANTAN BARAT")</f>
        <v>KALIMANTAN BARAT</v>
      </c>
      <c r="R3510" s="35" t="str">
        <f>IFERROR(__xludf.DUMMYFUNCTION("""COMPUTED_VALUE"""),"ISLAM")</f>
        <v>ISLAM</v>
      </c>
      <c r="S3510" s="74" t="str">
        <f>IFERROR(__xludf.DUMMYFUNCTION("""COMPUTED_VALUE"""),"GURU")</f>
        <v>GURU</v>
      </c>
      <c r="T3510" s="35" t="str">
        <f>IFERROR(__xludf.DUMMYFUNCTION("""COMPUTED_VALUE"""),"LENGAN KANAN NGILU SAMPAI KESEMUTAN SEUJUNG JARI")</f>
        <v>LENGAN KANAN NGILU SAMPAI KESEMUTAN SEUJUNG JARI</v>
      </c>
      <c r="U3510" s="35" t="str">
        <f>IFERROR(__xludf.DUMMYFUNCTION("""COMPUTED_VALUE"""),"KEGIATAN IRT AJA")</f>
        <v>KEGIATAN IRT AJA</v>
      </c>
      <c r="V3510" s="35" t="str">
        <f>IFERROR(__xludf.DUMMYFUNCTION("""COMPUTED_VALUE"""),"089693786519")</f>
        <v>089693786519</v>
      </c>
      <c r="W3510" s="45"/>
    </row>
    <row r="3511">
      <c r="A3511" s="45"/>
      <c r="B3511" s="35" t="str">
        <f>IFERROR(__xludf.DUMMYFUNCTION("""COMPUTED_VALUE"""),"25/02/2026 10:34:36")</f>
        <v>25/02/2026 10:34:36</v>
      </c>
      <c r="C3511" s="35"/>
      <c r="D3511" s="10">
        <f>IFERROR(__xludf.DUMMYFUNCTION("""COMPUTED_VALUE"""),46078.0)</f>
        <v>46078</v>
      </c>
      <c r="E3511" s="35" t="str">
        <f>IFERROR(__xludf.DUMMYFUNCTION("""COMPUTED_VALUE"""),"02Feb")</f>
        <v>02Feb</v>
      </c>
      <c r="F3511" s="35" t="str">
        <f>IFERROR(__xludf.DUMMYFUNCTION("""COMPUTED_VALUE"""),"2026")</f>
        <v>2026</v>
      </c>
      <c r="G3511" s="35" t="str">
        <f>IFERROR(__xludf.DUMMYFUNCTION("""COMPUTED_VALUE"""),"RITA RUMIATI")</f>
        <v>RITA RUMIATI</v>
      </c>
      <c r="H3511" s="35" t="str">
        <f>IFERROR(__xludf.DUMMYFUNCTION("""COMPUTED_VALUE"""),"R7426028888")</f>
        <v>R7426028888</v>
      </c>
      <c r="I3511" s="35">
        <f>IFERROR(__xludf.DUMMYFUNCTION("""COMPUTED_VALUE"""),51.0)</f>
        <v>51</v>
      </c>
      <c r="J3511" s="35" t="str">
        <f>IFERROR(__xludf.DUMMYFUNCTION("""COMPUTED_VALUE"""),"&gt; 44 tahun")</f>
        <v>&gt; 44 tahun</v>
      </c>
      <c r="K3511" s="35" t="str">
        <f>IFERROR(__xludf.DUMMYFUNCTION("""COMPUTED_VALUE"""),"28/06/1974")</f>
        <v>28/06/1974</v>
      </c>
      <c r="L3511" s="35" t="str">
        <f>IFERROR(__xludf.DUMMYFUNCTION("""COMPUTED_VALUE"""),"PEREMPUAN")</f>
        <v>PEREMPUAN</v>
      </c>
      <c r="M3511" s="35" t="str">
        <f>IFERROR(__xludf.DUMMYFUNCTION("""COMPUTED_VALUE"""),"JALAN PURNAMA 1 GANG PURNAMA 1 NO 17")</f>
        <v>JALAN PURNAMA 1 GANG PURNAMA 1 NO 17</v>
      </c>
      <c r="N3511" s="35" t="str">
        <f>IFERROR(__xludf.DUMMYFUNCTION("""COMPUTED_VALUE"""),"PARIT TOKAYA")</f>
        <v>PARIT TOKAYA</v>
      </c>
      <c r="O3511" s="35" t="str">
        <f>IFERROR(__xludf.DUMMYFUNCTION("""COMPUTED_VALUE"""),"PONTIANAK SELATAN")</f>
        <v>PONTIANAK SELATAN</v>
      </c>
      <c r="P3511" s="35" t="str">
        <f>IFERROR(__xludf.DUMMYFUNCTION("""COMPUTED_VALUE"""),"PONTIANAK")</f>
        <v>PONTIANAK</v>
      </c>
      <c r="Q3511" s="35" t="str">
        <f>IFERROR(__xludf.DUMMYFUNCTION("""COMPUTED_VALUE"""),"KALIMANTAN BARAT")</f>
        <v>KALIMANTAN BARAT</v>
      </c>
      <c r="R3511" s="35" t="str">
        <f>IFERROR(__xludf.DUMMYFUNCTION("""COMPUTED_VALUE"""),"KATOLIK")</f>
        <v>KATOLIK</v>
      </c>
      <c r="S3511" s="74" t="str">
        <f>IFERROR(__xludf.DUMMYFUNCTION("""COMPUTED_VALUE"""),"IBU RUMAH TANGGA")</f>
        <v>IBU RUMAH TANGGA</v>
      </c>
      <c r="T3511" s="35" t="str">
        <f>IFERROR(__xludf.DUMMYFUNCTION("""COMPUTED_VALUE"""),"BAHU KE BAWAH NYERI")</f>
        <v>BAHU KE BAWAH NYERI</v>
      </c>
      <c r="U3511" s="35" t="str">
        <f>IFERROR(__xludf.DUMMYFUNCTION("""COMPUTED_VALUE"""),"JOGGING, SENAM, PEKERJAAN RUMAH")</f>
        <v>JOGGING, SENAM, PEKERJAAN RUMAH</v>
      </c>
      <c r="V3511" s="35" t="str">
        <f>IFERROR(__xludf.DUMMYFUNCTION("""COMPUTED_VALUE"""),"08125728888")</f>
        <v>08125728888</v>
      </c>
      <c r="W3511" s="45"/>
    </row>
    <row r="3512">
      <c r="A3512" s="45"/>
      <c r="B3512" s="35" t="str">
        <f>IFERROR(__xludf.DUMMYFUNCTION("""COMPUTED_VALUE"""),"25/02/2026 20:28:36")</f>
        <v>25/02/2026 20:28:36</v>
      </c>
      <c r="C3512" s="35"/>
      <c r="D3512" s="10">
        <f>IFERROR(__xludf.DUMMYFUNCTION("""COMPUTED_VALUE"""),46078.0)</f>
        <v>46078</v>
      </c>
      <c r="E3512" s="35" t="str">
        <f>IFERROR(__xludf.DUMMYFUNCTION("""COMPUTED_VALUE"""),"02Feb")</f>
        <v>02Feb</v>
      </c>
      <c r="F3512" s="35" t="str">
        <f>IFERROR(__xludf.DUMMYFUNCTION("""COMPUTED_VALUE"""),"2026")</f>
        <v>2026</v>
      </c>
      <c r="G3512" s="35" t="str">
        <f>IFERROR(__xludf.DUMMYFUNCTION("""COMPUTED_VALUE"""),"RESTI DEWANTARI")</f>
        <v>RESTI DEWANTARI</v>
      </c>
      <c r="H3512" s="35" t="str">
        <f>IFERROR(__xludf.DUMMYFUNCTION("""COMPUTED_VALUE"""),"R9726020661")</f>
        <v>R9726020661</v>
      </c>
      <c r="I3512" s="35">
        <f>IFERROR(__xludf.DUMMYFUNCTION("""COMPUTED_VALUE"""),29.0)</f>
        <v>29</v>
      </c>
      <c r="J3512" s="35" t="str">
        <f>IFERROR(__xludf.DUMMYFUNCTION("""COMPUTED_VALUE"""),"25-34 tahun")</f>
        <v>25-34 tahun</v>
      </c>
      <c r="K3512" s="35" t="str">
        <f>IFERROR(__xludf.DUMMYFUNCTION("""COMPUTED_VALUE"""),"14/06/1997")</f>
        <v>14/06/1997</v>
      </c>
      <c r="L3512" s="35" t="str">
        <f>IFERROR(__xludf.DUMMYFUNCTION("""COMPUTED_VALUE"""),"PEREMPUAN")</f>
        <v>PEREMPUAN</v>
      </c>
      <c r="M3512" s="35" t="str">
        <f>IFERROR(__xludf.DUMMYFUNCTION("""COMPUTED_VALUE"""),"JL. KARET KOMP. NUANSA ALAM 8B")</f>
        <v>JL. KARET KOMP. NUANSA ALAM 8B</v>
      </c>
      <c r="N3512" s="35" t="str">
        <f>IFERROR(__xludf.DUMMYFUNCTION("""COMPUTED_VALUE"""),"SUNGAI BELIUNG")</f>
        <v>SUNGAI BELIUNG</v>
      </c>
      <c r="O3512" s="35" t="str">
        <f>IFERROR(__xludf.DUMMYFUNCTION("""COMPUTED_VALUE"""),"PONTIANAK BARAT")</f>
        <v>PONTIANAK BARAT</v>
      </c>
      <c r="P3512" s="35" t="str">
        <f>IFERROR(__xludf.DUMMYFUNCTION("""COMPUTED_VALUE"""),"PONTIANAK")</f>
        <v>PONTIANAK</v>
      </c>
      <c r="Q3512" s="35" t="str">
        <f>IFERROR(__xludf.DUMMYFUNCTION("""COMPUTED_VALUE"""),"KALIMANTAN BARAT")</f>
        <v>KALIMANTAN BARAT</v>
      </c>
      <c r="R3512" s="35" t="str">
        <f>IFERROR(__xludf.DUMMYFUNCTION("""COMPUTED_VALUE"""),"ISLAM")</f>
        <v>ISLAM</v>
      </c>
      <c r="S3512" s="74" t="str">
        <f>IFERROR(__xludf.DUMMYFUNCTION("""COMPUTED_VALUE"""),"PELAJAR/MAHASISWA")</f>
        <v>PELAJAR/MAHASISWA</v>
      </c>
      <c r="T3512" s="35" t="str">
        <f>IFERROR(__xludf.DUMMYFUNCTION("""COMPUTED_VALUE"""),"PINGGANG")</f>
        <v>PINGGANG</v>
      </c>
      <c r="U3512" s="35" t="str">
        <f>IFERROR(__xludf.DUMMYFUNCTION("""COMPUTED_VALUE"""),"-")</f>
        <v>-</v>
      </c>
      <c r="V3512" s="35" t="str">
        <f>IFERROR(__xludf.DUMMYFUNCTION("""COMPUTED_VALUE"""),"089693900661")</f>
        <v>089693900661</v>
      </c>
      <c r="W3512" s="45"/>
    </row>
    <row r="3513">
      <c r="A3513" s="45"/>
      <c r="B3513" s="35" t="str">
        <f>IFERROR(__xludf.DUMMYFUNCTION("""COMPUTED_VALUE"""),"26/02/2026 8:22:52")</f>
        <v>26/02/2026 8:22:52</v>
      </c>
      <c r="C3513" s="35"/>
      <c r="D3513" s="10">
        <f>IFERROR(__xludf.DUMMYFUNCTION("""COMPUTED_VALUE"""),46079.0)</f>
        <v>46079</v>
      </c>
      <c r="E3513" s="35" t="str">
        <f>IFERROR(__xludf.DUMMYFUNCTION("""COMPUTED_VALUE"""),"02Feb")</f>
        <v>02Feb</v>
      </c>
      <c r="F3513" s="35" t="str">
        <f>IFERROR(__xludf.DUMMYFUNCTION("""COMPUTED_VALUE"""),"2026")</f>
        <v>2026</v>
      </c>
      <c r="G3513" s="35" t="str">
        <f>IFERROR(__xludf.DUMMYFUNCTION("""COMPUTED_VALUE"""),"SRI ROEHANI")</f>
        <v>SRI ROEHANI</v>
      </c>
      <c r="H3513" s="35" t="str">
        <f>IFERROR(__xludf.DUMMYFUNCTION("""COMPUTED_VALUE"""),"S8726025435")</f>
        <v>S8726025435</v>
      </c>
      <c r="I3513" s="35">
        <f>IFERROR(__xludf.DUMMYFUNCTION("""COMPUTED_VALUE"""),38.0)</f>
        <v>38</v>
      </c>
      <c r="J3513" s="35" t="str">
        <f>IFERROR(__xludf.DUMMYFUNCTION("""COMPUTED_VALUE"""),"35-44 tahun")</f>
        <v>35-44 tahun</v>
      </c>
      <c r="K3513" s="35" t="str">
        <f>IFERROR(__xludf.DUMMYFUNCTION("""COMPUTED_VALUE"""),"18/09/1987")</f>
        <v>18/09/1987</v>
      </c>
      <c r="L3513" s="35" t="str">
        <f>IFERROR(__xludf.DUMMYFUNCTION("""COMPUTED_VALUE"""),"PEREMPUAN")</f>
        <v>PEREMPUAN</v>
      </c>
      <c r="M3513" s="35" t="str">
        <f>IFERROR(__xludf.DUMMYFUNCTION("""COMPUTED_VALUE"""),"JLN PERWIRA NO 37 ")</f>
        <v>JLN PERWIRA NO 37 </v>
      </c>
      <c r="N3513" s="35" t="str">
        <f>IFERROR(__xludf.DUMMYFUNCTION("""COMPUTED_VALUE"""),"BUMI EMAS")</f>
        <v>BUMI EMAS</v>
      </c>
      <c r="O3513" s="35" t="str">
        <f>IFERROR(__xludf.DUMMYFUNCTION("""COMPUTED_VALUE"""),"BENGKAYANG")</f>
        <v>BENGKAYANG</v>
      </c>
      <c r="P3513" s="35" t="str">
        <f>IFERROR(__xludf.DUMMYFUNCTION("""COMPUTED_VALUE"""),"BENGKAYANG")</f>
        <v>BENGKAYANG</v>
      </c>
      <c r="Q3513" s="35" t="str">
        <f>IFERROR(__xludf.DUMMYFUNCTION("""COMPUTED_VALUE"""),"KALIMANTAN BARAT")</f>
        <v>KALIMANTAN BARAT</v>
      </c>
      <c r="R3513" s="35" t="str">
        <f>IFERROR(__xludf.DUMMYFUNCTION("""COMPUTED_VALUE"""),"ISLAM")</f>
        <v>ISLAM</v>
      </c>
      <c r="S3513" s="74" t="str">
        <f>IFERROR(__xludf.DUMMYFUNCTION("""COMPUTED_VALUE"""),"WIRASWASTA")</f>
        <v>WIRASWASTA</v>
      </c>
      <c r="T3513" s="35" t="str">
        <f>IFERROR(__xludf.DUMMYFUNCTION("""COMPUTED_VALUE"""),"NYERI PUNGGUNG ")</f>
        <v>NYERI PUNGGUNG </v>
      </c>
      <c r="U3513" s="35" t="str">
        <f>IFERROR(__xludf.DUMMYFUNCTION("""COMPUTED_VALUE"""),"HOBI : VOLLEY BALL.... AKTIVITAS HARI2 : KERJA LAPANGAN")</f>
        <v>HOBI : VOLLEY BALL.... AKTIVITAS HARI2 : KERJA LAPANGAN</v>
      </c>
      <c r="V3513" s="35" t="str">
        <f>IFERROR(__xludf.DUMMYFUNCTION("""COMPUTED_VALUE"""),"085845835435")</f>
        <v>085845835435</v>
      </c>
      <c r="W3513" s="45"/>
    </row>
    <row r="3514">
      <c r="A3514" s="45"/>
      <c r="B3514" s="35" t="str">
        <f>IFERROR(__xludf.DUMMYFUNCTION("""COMPUTED_VALUE"""),"26/02/2026 9:27:35")</f>
        <v>26/02/2026 9:27:35</v>
      </c>
      <c r="C3514" s="35"/>
      <c r="D3514" s="10">
        <f>IFERROR(__xludf.DUMMYFUNCTION("""COMPUTED_VALUE"""),46079.0)</f>
        <v>46079</v>
      </c>
      <c r="E3514" s="35" t="str">
        <f>IFERROR(__xludf.DUMMYFUNCTION("""COMPUTED_VALUE"""),"02Feb")</f>
        <v>02Feb</v>
      </c>
      <c r="F3514" s="35" t="str">
        <f>IFERROR(__xludf.DUMMYFUNCTION("""COMPUTED_VALUE"""),"2026")</f>
        <v>2026</v>
      </c>
      <c r="G3514" s="35" t="str">
        <f>IFERROR(__xludf.DUMMYFUNCTION("""COMPUTED_VALUE"""),"H.W. MANSOR ANDI MULIA")</f>
        <v>H.W. MANSOR ANDI MULIA</v>
      </c>
      <c r="H3514" s="35" t="str">
        <f>IFERROR(__xludf.DUMMYFUNCTION("""COMPUTED_VALUE"""),"H6326029065")</f>
        <v>H6326029065</v>
      </c>
      <c r="I3514" s="35">
        <f>IFERROR(__xludf.DUMMYFUNCTION("""COMPUTED_VALUE"""),63.0)</f>
        <v>63</v>
      </c>
      <c r="J3514" s="35" t="str">
        <f>IFERROR(__xludf.DUMMYFUNCTION("""COMPUTED_VALUE"""),"&gt; 44 tahun")</f>
        <v>&gt; 44 tahun</v>
      </c>
      <c r="K3514" s="35" t="str">
        <f>IFERROR(__xludf.DUMMYFUNCTION("""COMPUTED_VALUE"""),"23/05/1963")</f>
        <v>23/05/1963</v>
      </c>
      <c r="L3514" s="35" t="str">
        <f>IFERROR(__xludf.DUMMYFUNCTION("""COMPUTED_VALUE"""),"LAKI-LAKI")</f>
        <v>LAKI-LAKI</v>
      </c>
      <c r="M3514" s="35" t="str">
        <f>IFERROR(__xludf.DUMMYFUNCTION("""COMPUTED_VALUE"""),"JL. SEKADAU KP. UNTAN NO.63")</f>
        <v>JL. SEKADAU KP. UNTAN NO.63</v>
      </c>
      <c r="N3514" s="35" t="str">
        <f>IFERROR(__xludf.DUMMYFUNCTION("""COMPUTED_VALUE"""),"BANSIR LAUT")</f>
        <v>BANSIR LAUT</v>
      </c>
      <c r="O3514" s="35" t="str">
        <f>IFERROR(__xludf.DUMMYFUNCTION("""COMPUTED_VALUE"""),"PONTIANAK TENGGARA")</f>
        <v>PONTIANAK TENGGARA</v>
      </c>
      <c r="P3514" s="35" t="str">
        <f>IFERROR(__xludf.DUMMYFUNCTION("""COMPUTED_VALUE"""),"PONTIANAK ")</f>
        <v>PONTIANAK </v>
      </c>
      <c r="Q3514" s="35" t="str">
        <f>IFERROR(__xludf.DUMMYFUNCTION("""COMPUTED_VALUE"""),"KALIMANTAN BARAT")</f>
        <v>KALIMANTAN BARAT</v>
      </c>
      <c r="R3514" s="35" t="str">
        <f>IFERROR(__xludf.DUMMYFUNCTION("""COMPUTED_VALUE"""),"ISLAM")</f>
        <v>ISLAM</v>
      </c>
      <c r="S3514" s="74" t="str">
        <f>IFERROR(__xludf.DUMMYFUNCTION("""COMPUTED_VALUE"""),"PNS")</f>
        <v>PNS</v>
      </c>
      <c r="T3514" s="35" t="str">
        <f>IFERROR(__xludf.DUMMYFUNCTION("""COMPUTED_VALUE"""),"MAINTANCE LENGAN")</f>
        <v>MAINTANCE LENGAN</v>
      </c>
      <c r="U3514" s="35" t="str">
        <f>IFERROR(__xludf.DUMMYFUNCTION("""COMPUTED_VALUE"""),"-")</f>
        <v>-</v>
      </c>
      <c r="V3514" s="35" t="str">
        <f>IFERROR(__xludf.DUMMYFUNCTION("""COMPUTED_VALUE"""),"085387279065")</f>
        <v>085387279065</v>
      </c>
      <c r="W3514" s="45"/>
    </row>
    <row r="3515">
      <c r="A3515" s="45"/>
      <c r="B3515" s="35" t="str">
        <f>IFERROR(__xludf.DUMMYFUNCTION("""COMPUTED_VALUE"""),"26/02/2026 10:04:58")</f>
        <v>26/02/2026 10:04:58</v>
      </c>
      <c r="C3515" s="35"/>
      <c r="D3515" s="10">
        <f>IFERROR(__xludf.DUMMYFUNCTION("""COMPUTED_VALUE"""),46079.0)</f>
        <v>46079</v>
      </c>
      <c r="E3515" s="35" t="str">
        <f>IFERROR(__xludf.DUMMYFUNCTION("""COMPUTED_VALUE"""),"02Feb")</f>
        <v>02Feb</v>
      </c>
      <c r="F3515" s="35" t="str">
        <f>IFERROR(__xludf.DUMMYFUNCTION("""COMPUTED_VALUE"""),"2026")</f>
        <v>2026</v>
      </c>
      <c r="G3515" s="35" t="str">
        <f>IFERROR(__xludf.DUMMYFUNCTION("""COMPUTED_VALUE"""),"SATIMAN BSC")</f>
        <v>SATIMAN BSC</v>
      </c>
      <c r="H3515" s="35" t="str">
        <f>IFERROR(__xludf.DUMMYFUNCTION("""COMPUTED_VALUE"""),"S4826021464")</f>
        <v>S4826021464</v>
      </c>
      <c r="I3515" s="35">
        <f>IFERROR(__xludf.DUMMYFUNCTION("""COMPUTED_VALUE"""),78.0)</f>
        <v>78</v>
      </c>
      <c r="J3515" s="35" t="str">
        <f>IFERROR(__xludf.DUMMYFUNCTION("""COMPUTED_VALUE"""),"&gt; 44 tahun")</f>
        <v>&gt; 44 tahun</v>
      </c>
      <c r="K3515" s="35" t="str">
        <f>IFERROR(__xludf.DUMMYFUNCTION("""COMPUTED_VALUE"""),"04/06/1948")</f>
        <v>04/06/1948</v>
      </c>
      <c r="L3515" s="35" t="str">
        <f>IFERROR(__xludf.DUMMYFUNCTION("""COMPUTED_VALUE"""),"LAKI-LAKI")</f>
        <v>LAKI-LAKI</v>
      </c>
      <c r="M3515" s="35" t="str">
        <f>IFERROR(__xludf.DUMMYFUNCTION("""COMPUTED_VALUE"""),"GG. RAYA 3 NO 14 SUNGAI RAYA")</f>
        <v>GG. RAYA 3 NO 14 SUNGAI RAYA</v>
      </c>
      <c r="N3515" s="35" t="str">
        <f>IFERROR(__xludf.DUMMYFUNCTION("""COMPUTED_VALUE"""),"SUNGAI RAYA")</f>
        <v>SUNGAI RAYA</v>
      </c>
      <c r="O3515" s="35" t="str">
        <f>IFERROR(__xludf.DUMMYFUNCTION("""COMPUTED_VALUE"""),"SUNGAI RAYA")</f>
        <v>SUNGAI RAYA</v>
      </c>
      <c r="P3515" s="35" t="str">
        <f>IFERROR(__xludf.DUMMYFUNCTION("""COMPUTED_VALUE"""),"KUBU RAYA")</f>
        <v>KUBU RAYA</v>
      </c>
      <c r="Q3515" s="35" t="str">
        <f>IFERROR(__xludf.DUMMYFUNCTION("""COMPUTED_VALUE"""),"KALIMANTAN BARAT")</f>
        <v>KALIMANTAN BARAT</v>
      </c>
      <c r="R3515" s="35" t="str">
        <f>IFERROR(__xludf.DUMMYFUNCTION("""COMPUTED_VALUE"""),"ISLAM")</f>
        <v>ISLAM</v>
      </c>
      <c r="S3515" s="74" t="str">
        <f>IFERROR(__xludf.DUMMYFUNCTION("""COMPUTED_VALUE"""),"PENSIUNAN PNS")</f>
        <v>PENSIUNAN PNS</v>
      </c>
      <c r="T3515" s="35" t="str">
        <f>IFERROR(__xludf.DUMMYFUNCTION("""COMPUTED_VALUE"""),"SAKIT PINGGANG DAN SENDI LUTUT")</f>
        <v>SAKIT PINGGANG DAN SENDI LUTUT</v>
      </c>
      <c r="U3515" s="35" t="str">
        <f>IFERROR(__xludf.DUMMYFUNCTION("""COMPUTED_VALUE"""),"JATUH TERDUDUK")</f>
        <v>JATUH TERDUDUK</v>
      </c>
      <c r="V3515" s="35" t="str">
        <f>IFERROR(__xludf.DUMMYFUNCTION("""COMPUTED_VALUE"""),"081351221464")</f>
        <v>081351221464</v>
      </c>
      <c r="W3515" s="45"/>
    </row>
    <row r="3516">
      <c r="A3516" s="45"/>
      <c r="B3516" s="35" t="str">
        <f>IFERROR(__xludf.DUMMYFUNCTION("""COMPUTED_VALUE"""),"26/02/2026 11:18:12")</f>
        <v>26/02/2026 11:18:12</v>
      </c>
      <c r="C3516" s="35"/>
      <c r="D3516" s="10">
        <f>IFERROR(__xludf.DUMMYFUNCTION("""COMPUTED_VALUE"""),46079.0)</f>
        <v>46079</v>
      </c>
      <c r="E3516" s="35" t="str">
        <f>IFERROR(__xludf.DUMMYFUNCTION("""COMPUTED_VALUE"""),"02Feb")</f>
        <v>02Feb</v>
      </c>
      <c r="F3516" s="35" t="str">
        <f>IFERROR(__xludf.DUMMYFUNCTION("""COMPUTED_VALUE"""),"2026")</f>
        <v>2026</v>
      </c>
      <c r="G3516" s="35" t="str">
        <f>IFERROR(__xludf.DUMMYFUNCTION("""COMPUTED_VALUE"""),"MURTINI")</f>
        <v>MURTINI</v>
      </c>
      <c r="H3516" s="35" t="str">
        <f>IFERROR(__xludf.DUMMYFUNCTION("""COMPUTED_VALUE"""),"M8026023796")</f>
        <v>M8026023796</v>
      </c>
      <c r="I3516" s="35">
        <f>IFERROR(__xludf.DUMMYFUNCTION("""COMPUTED_VALUE"""),45.0)</f>
        <v>45</v>
      </c>
      <c r="J3516" s="35" t="str">
        <f>IFERROR(__xludf.DUMMYFUNCTION("""COMPUTED_VALUE"""),"&gt; 44 tahun")</f>
        <v>&gt; 44 tahun</v>
      </c>
      <c r="K3516" s="35" t="str">
        <f>IFERROR(__xludf.DUMMYFUNCTION("""COMPUTED_VALUE"""),"30/10/1980")</f>
        <v>30/10/1980</v>
      </c>
      <c r="L3516" s="35" t="str">
        <f>IFERROR(__xludf.DUMMYFUNCTION("""COMPUTED_VALUE"""),"PEREMPUAN")</f>
        <v>PEREMPUAN</v>
      </c>
      <c r="M3516" s="35" t="str">
        <f>IFERROR(__xludf.DUMMYFUNCTION("""COMPUTED_VALUE"""),"JALAN ALAMANDA INDAH IV BLOK PF NO.14 HARAPAN INDAH")</f>
        <v>JALAN ALAMANDA INDAH IV BLOK PF NO.14 HARAPAN INDAH</v>
      </c>
      <c r="N3516" s="35" t="str">
        <f>IFERROR(__xludf.DUMMYFUNCTION("""COMPUTED_VALUE"""),"PEJUANG")</f>
        <v>PEJUANG</v>
      </c>
      <c r="O3516" s="35" t="str">
        <f>IFERROR(__xludf.DUMMYFUNCTION("""COMPUTED_VALUE"""),"MEDAN SATRIA")</f>
        <v>MEDAN SATRIA</v>
      </c>
      <c r="P3516" s="35" t="str">
        <f>IFERROR(__xludf.DUMMYFUNCTION("""COMPUTED_VALUE"""),"BEKASI")</f>
        <v>BEKASI</v>
      </c>
      <c r="Q3516" s="35" t="str">
        <f>IFERROR(__xludf.DUMMYFUNCTION("""COMPUTED_VALUE"""),"JAWA BARAT")</f>
        <v>JAWA BARAT</v>
      </c>
      <c r="R3516" s="35" t="str">
        <f>IFERROR(__xludf.DUMMYFUNCTION("""COMPUTED_VALUE"""),"ISLAM")</f>
        <v>ISLAM</v>
      </c>
      <c r="S3516" s="74" t="str">
        <f>IFERROR(__xludf.DUMMYFUNCTION("""COMPUTED_VALUE"""),"PNS")</f>
        <v>PNS</v>
      </c>
      <c r="T3516" s="35" t="str">
        <f>IFERROR(__xludf.DUMMYFUNCTION("""COMPUTED_VALUE"""),"LUTUT SAKIT")</f>
        <v>LUTUT SAKIT</v>
      </c>
      <c r="U3516" s="35" t="str">
        <f>IFERROR(__xludf.DUMMYFUNCTION("""COMPUTED_VALUE"""),"BADMINTON")</f>
        <v>BADMINTON</v>
      </c>
      <c r="V3516" s="35" t="str">
        <f>IFERROR(__xludf.DUMMYFUNCTION("""COMPUTED_VALUE"""),"085216103796")</f>
        <v>085216103796</v>
      </c>
      <c r="W3516" s="45"/>
    </row>
    <row r="3517">
      <c r="A3517" s="45"/>
      <c r="B3517" s="35" t="str">
        <f>IFERROR(__xludf.DUMMYFUNCTION("""COMPUTED_VALUE"""),"26/02/2026 15:43:30")</f>
        <v>26/02/2026 15:43:30</v>
      </c>
      <c r="C3517" s="35"/>
      <c r="D3517" s="10">
        <f>IFERROR(__xludf.DUMMYFUNCTION("""COMPUTED_VALUE"""),46079.0)</f>
        <v>46079</v>
      </c>
      <c r="E3517" s="35" t="str">
        <f>IFERROR(__xludf.DUMMYFUNCTION("""COMPUTED_VALUE"""),"02Feb")</f>
        <v>02Feb</v>
      </c>
      <c r="F3517" s="35" t="str">
        <f>IFERROR(__xludf.DUMMYFUNCTION("""COMPUTED_VALUE"""),"2026")</f>
        <v>2026</v>
      </c>
      <c r="G3517" s="35" t="str">
        <f>IFERROR(__xludf.DUMMYFUNCTION("""COMPUTED_VALUE"""),"LIAU NYUK HIONG")</f>
        <v>LIAU NYUK HIONG</v>
      </c>
      <c r="H3517" s="35" t="str">
        <f>IFERROR(__xludf.DUMMYFUNCTION("""COMPUTED_VALUE"""),"L3326020109")</f>
        <v>L3326020109</v>
      </c>
      <c r="I3517" s="35">
        <f>IFERROR(__xludf.DUMMYFUNCTION("""COMPUTED_VALUE"""),93.0)</f>
        <v>93</v>
      </c>
      <c r="J3517" s="35" t="str">
        <f>IFERROR(__xludf.DUMMYFUNCTION("""COMPUTED_VALUE"""),"&gt; 44 tahun")</f>
        <v>&gt; 44 tahun</v>
      </c>
      <c r="K3517" s="35" t="str">
        <f>IFERROR(__xludf.DUMMYFUNCTION("""COMPUTED_VALUE"""),"16/04/1933")</f>
        <v>16/04/1933</v>
      </c>
      <c r="L3517" s="35" t="str">
        <f>IFERROR(__xludf.DUMMYFUNCTION("""COMPUTED_VALUE"""),"PEREMPUAN")</f>
        <v>PEREMPUAN</v>
      </c>
      <c r="M3517" s="35" t="str">
        <f>IFERROR(__xludf.DUMMYFUNCTION("""COMPUTED_VALUE"""),"JL. LETJEND SOEPRAPTO V NO. 8")</f>
        <v>JL. LETJEND SOEPRAPTO V NO. 8</v>
      </c>
      <c r="N3517" s="35" t="str">
        <f>IFERROR(__xludf.DUMMYFUNCTION("""COMPUTED_VALUE"""),"BENUA MELAYU DARAT")</f>
        <v>BENUA MELAYU DARAT</v>
      </c>
      <c r="O3517" s="35" t="str">
        <f>IFERROR(__xludf.DUMMYFUNCTION("""COMPUTED_VALUE"""),"PONTIANAK SELATAN")</f>
        <v>PONTIANAK SELATAN</v>
      </c>
      <c r="P3517" s="35" t="str">
        <f>IFERROR(__xludf.DUMMYFUNCTION("""COMPUTED_VALUE"""),"PONTIANAK")</f>
        <v>PONTIANAK</v>
      </c>
      <c r="Q3517" s="35" t="str">
        <f>IFERROR(__xludf.DUMMYFUNCTION("""COMPUTED_VALUE"""),"KALIMANTAN BARAT")</f>
        <v>KALIMANTAN BARAT</v>
      </c>
      <c r="R3517" s="35" t="str">
        <f>IFERROR(__xludf.DUMMYFUNCTION("""COMPUTED_VALUE"""),"BUDDHA")</f>
        <v>BUDDHA</v>
      </c>
      <c r="S3517" s="74" t="str">
        <f>IFERROR(__xludf.DUMMYFUNCTION("""COMPUTED_VALUE"""),"IRT")</f>
        <v>IRT</v>
      </c>
      <c r="T3517" s="35" t="str">
        <f>IFERROR(__xludf.DUMMYFUNCTION("""COMPUTED_VALUE"""),"LEHER")</f>
        <v>LEHER</v>
      </c>
      <c r="U3517" s="35" t="str">
        <f>IFERROR(__xludf.DUMMYFUNCTION("""COMPUTED_VALUE"""),"-")</f>
        <v>-</v>
      </c>
      <c r="V3517" s="35" t="str">
        <f>IFERROR(__xludf.DUMMYFUNCTION("""COMPUTED_VALUE"""),"08125640109")</f>
        <v>08125640109</v>
      </c>
      <c r="W3517" s="45"/>
    </row>
    <row r="3518">
      <c r="A3518" s="45"/>
      <c r="B3518" s="35" t="str">
        <f>IFERROR(__xludf.DUMMYFUNCTION("""COMPUTED_VALUE"""),"27/02/2026 11:33:40")</f>
        <v>27/02/2026 11:33:40</v>
      </c>
      <c r="C3518" s="35"/>
      <c r="D3518" s="10">
        <f>IFERROR(__xludf.DUMMYFUNCTION("""COMPUTED_VALUE"""),46080.0)</f>
        <v>46080</v>
      </c>
      <c r="E3518" s="35" t="str">
        <f>IFERROR(__xludf.DUMMYFUNCTION("""COMPUTED_VALUE"""),"02Feb")</f>
        <v>02Feb</v>
      </c>
      <c r="F3518" s="35" t="str">
        <f>IFERROR(__xludf.DUMMYFUNCTION("""COMPUTED_VALUE"""),"2026")</f>
        <v>2026</v>
      </c>
      <c r="G3518" s="35" t="str">
        <f>IFERROR(__xludf.DUMMYFUNCTION("""COMPUTED_VALUE"""),"SITI HADIJAH 5806")</f>
        <v>SITI HADIJAH 5806</v>
      </c>
      <c r="H3518" s="35" t="str">
        <f>IFERROR(__xludf.DUMMYFUNCTION("""COMPUTED_VALUE"""),"S5826022215")</f>
        <v>S5826022215</v>
      </c>
      <c r="I3518" s="35">
        <f>IFERROR(__xludf.DUMMYFUNCTION("""COMPUTED_VALUE"""),68.0)</f>
        <v>68</v>
      </c>
      <c r="J3518" s="35" t="str">
        <f>IFERROR(__xludf.DUMMYFUNCTION("""COMPUTED_VALUE"""),"&gt; 44 tahun")</f>
        <v>&gt; 44 tahun</v>
      </c>
      <c r="K3518" s="35" t="str">
        <f>IFERROR(__xludf.DUMMYFUNCTION("""COMPUTED_VALUE"""),"19/06/1958")</f>
        <v>19/06/1958</v>
      </c>
      <c r="L3518" s="35" t="str">
        <f>IFERROR(__xludf.DUMMYFUNCTION("""COMPUTED_VALUE"""),"PEREMPUAN")</f>
        <v>PEREMPUAN</v>
      </c>
      <c r="M3518" s="35" t="str">
        <f>IFERROR(__xludf.DUMMYFUNCTION("""COMPUTED_VALUE"""),"JLN KARANGAN NO 2 KOMPLEK UNTAN")</f>
        <v>JLN KARANGAN NO 2 KOMPLEK UNTAN</v>
      </c>
      <c r="N3518" s="35" t="str">
        <f>IFERROR(__xludf.DUMMYFUNCTION("""COMPUTED_VALUE"""),"BANSIR LAUT")</f>
        <v>BANSIR LAUT</v>
      </c>
      <c r="O3518" s="35" t="str">
        <f>IFERROR(__xludf.DUMMYFUNCTION("""COMPUTED_VALUE"""),"PONTIANAK TENGGARA ")</f>
        <v>PONTIANAK TENGGARA </v>
      </c>
      <c r="P3518" s="35" t="str">
        <f>IFERROR(__xludf.DUMMYFUNCTION("""COMPUTED_VALUE"""),"PONTIANAK")</f>
        <v>PONTIANAK</v>
      </c>
      <c r="Q3518" s="35" t="str">
        <f>IFERROR(__xludf.DUMMYFUNCTION("""COMPUTED_VALUE"""),"KALIMANTAN BARAT ")</f>
        <v>KALIMANTAN BARAT </v>
      </c>
      <c r="R3518" s="35" t="str">
        <f>IFERROR(__xludf.DUMMYFUNCTION("""COMPUTED_VALUE"""),"ISLAM")</f>
        <v>ISLAM</v>
      </c>
      <c r="S3518" s="74" t="str">
        <f>IFERROR(__xludf.DUMMYFUNCTION("""COMPUTED_VALUE"""),"PENSIUNAN")</f>
        <v>PENSIUNAN</v>
      </c>
      <c r="T3518" s="35" t="str">
        <f>IFERROR(__xludf.DUMMYFUNCTION("""COMPUTED_VALUE"""),"SAKIT PINGGANG, ABIS JATUH TERSANDUNG.")</f>
        <v>SAKIT PINGGANG, ABIS JATUH TERSANDUNG.</v>
      </c>
      <c r="U3518" s="35" t="str">
        <f>IFERROR(__xludf.DUMMYFUNCTION("""COMPUTED_VALUE"""),"MENANAM, MASAK")</f>
        <v>MENANAM, MASAK</v>
      </c>
      <c r="V3518" s="35" t="str">
        <f>IFERROR(__xludf.DUMMYFUNCTION("""COMPUTED_VALUE"""),"085349922215")</f>
        <v>085349922215</v>
      </c>
      <c r="W3518" s="45"/>
    </row>
    <row r="3519">
      <c r="A3519" s="45"/>
      <c r="B3519" s="35" t="str">
        <f>IFERROR(__xludf.DUMMYFUNCTION("""COMPUTED_VALUE"""),"28/02/2026 11:35:47")</f>
        <v>28/02/2026 11:35:47</v>
      </c>
      <c r="C3519" s="35"/>
      <c r="D3519" s="10">
        <f>IFERROR(__xludf.DUMMYFUNCTION("""COMPUTED_VALUE"""),46081.0)</f>
        <v>46081</v>
      </c>
      <c r="E3519" s="35" t="str">
        <f>IFERROR(__xludf.DUMMYFUNCTION("""COMPUTED_VALUE"""),"02Feb")</f>
        <v>02Feb</v>
      </c>
      <c r="F3519" s="35" t="str">
        <f>IFERROR(__xludf.DUMMYFUNCTION("""COMPUTED_VALUE"""),"2026")</f>
        <v>2026</v>
      </c>
      <c r="G3519" s="35" t="str">
        <f>IFERROR(__xludf.DUMMYFUNCTION("""COMPUTED_VALUE"""),"NAIMAH")</f>
        <v>NAIMAH</v>
      </c>
      <c r="H3519" s="35" t="str">
        <f>IFERROR(__xludf.DUMMYFUNCTION("""COMPUTED_VALUE"""),"N6526023126")</f>
        <v>N6526023126</v>
      </c>
      <c r="I3519" s="35">
        <f>IFERROR(__xludf.DUMMYFUNCTION("""COMPUTED_VALUE"""),60.0)</f>
        <v>60</v>
      </c>
      <c r="J3519" s="35" t="str">
        <f>IFERROR(__xludf.DUMMYFUNCTION("""COMPUTED_VALUE"""),"&gt; 44 tahun")</f>
        <v>&gt; 44 tahun</v>
      </c>
      <c r="K3519" s="35" t="str">
        <f>IFERROR(__xludf.DUMMYFUNCTION("""COMPUTED_VALUE"""),"21/12/1965")</f>
        <v>21/12/1965</v>
      </c>
      <c r="L3519" s="35" t="str">
        <f>IFERROR(__xludf.DUMMYFUNCTION("""COMPUTED_VALUE"""),"PEREMPUAN")</f>
        <v>PEREMPUAN</v>
      </c>
      <c r="M3519" s="35" t="str">
        <f>IFERROR(__xludf.DUMMYFUNCTION("""COMPUTED_VALUE"""),"SERDAM")</f>
        <v>SERDAM</v>
      </c>
      <c r="N3519" s="35" t="str">
        <f>IFERROR(__xludf.DUMMYFUNCTION("""COMPUTED_VALUE"""),"BANGKA BELITUNG DARAT")</f>
        <v>BANGKA BELITUNG DARAT</v>
      </c>
      <c r="O3519" s="35" t="str">
        <f>IFERROR(__xludf.DUMMYFUNCTION("""COMPUTED_VALUE"""),"PONTIANAK TENGGARA")</f>
        <v>PONTIANAK TENGGARA</v>
      </c>
      <c r="P3519" s="35" t="str">
        <f>IFERROR(__xludf.DUMMYFUNCTION("""COMPUTED_VALUE"""),"KOTA PONTIANAK")</f>
        <v>KOTA PONTIANAK</v>
      </c>
      <c r="Q3519" s="35" t="str">
        <f>IFERROR(__xludf.DUMMYFUNCTION("""COMPUTED_VALUE"""),"KALIMANTAN BARAT")</f>
        <v>KALIMANTAN BARAT</v>
      </c>
      <c r="R3519" s="35" t="str">
        <f>IFERROR(__xludf.DUMMYFUNCTION("""COMPUTED_VALUE"""),"ISLAM")</f>
        <v>ISLAM</v>
      </c>
      <c r="S3519" s="74" t="str">
        <f>IFERROR(__xludf.DUMMYFUNCTION("""COMPUTED_VALUE"""),"SWASTA")</f>
        <v>SWASTA</v>
      </c>
      <c r="T3519" s="35" t="str">
        <f>IFERROR(__xludf.DUMMYFUNCTION("""COMPUTED_VALUE"""),"DISLOKASI PERGELANGAN TANGAN ")</f>
        <v>DISLOKASI PERGELANGAN TANGAN </v>
      </c>
      <c r="U3519" s="35" t="str">
        <f>IFERROR(__xludf.DUMMYFUNCTION("""COMPUTED_VALUE"""),"IRT")</f>
        <v>IRT</v>
      </c>
      <c r="V3519" s="35" t="str">
        <f>IFERROR(__xludf.DUMMYFUNCTION("""COMPUTED_VALUE"""),"081253733126")</f>
        <v>081253733126</v>
      </c>
      <c r="W3519" s="45"/>
    </row>
    <row r="3520">
      <c r="A3520" s="45"/>
      <c r="B3520" s="35" t="str">
        <f>IFERROR(__xludf.DUMMYFUNCTION("""COMPUTED_VALUE"""),"28/02/2026 13:02:38")</f>
        <v>28/02/2026 13:02:38</v>
      </c>
      <c r="C3520" s="35"/>
      <c r="D3520" s="10">
        <f>IFERROR(__xludf.DUMMYFUNCTION("""COMPUTED_VALUE"""),46081.0)</f>
        <v>46081</v>
      </c>
      <c r="E3520" s="35" t="str">
        <f>IFERROR(__xludf.DUMMYFUNCTION("""COMPUTED_VALUE"""),"02Feb")</f>
        <v>02Feb</v>
      </c>
      <c r="F3520" s="35" t="str">
        <f>IFERROR(__xludf.DUMMYFUNCTION("""COMPUTED_VALUE"""),"2026")</f>
        <v>2026</v>
      </c>
      <c r="G3520" s="35" t="str">
        <f>IFERROR(__xludf.DUMMYFUNCTION("""COMPUTED_VALUE"""),"PUTRI RAHMA SARI ")</f>
        <v>PUTRI RAHMA SARI </v>
      </c>
      <c r="H3520" s="35" t="str">
        <f>IFERROR(__xludf.DUMMYFUNCTION("""COMPUTED_VALUE"""),"P0726022638")</f>
        <v>P0726022638</v>
      </c>
      <c r="I3520" s="35">
        <f>IFERROR(__xludf.DUMMYFUNCTION("""COMPUTED_VALUE"""),19.0)</f>
        <v>19</v>
      </c>
      <c r="J3520" s="35" t="str">
        <f>IFERROR(__xludf.DUMMYFUNCTION("""COMPUTED_VALUE"""),"18-24 tahun")</f>
        <v>18-24 tahun</v>
      </c>
      <c r="K3520" s="35" t="str">
        <f>IFERROR(__xludf.DUMMYFUNCTION("""COMPUTED_VALUE"""),"30/05/2007")</f>
        <v>30/05/2007</v>
      </c>
      <c r="L3520" s="35" t="str">
        <f>IFERROR(__xludf.DUMMYFUNCTION("""COMPUTED_VALUE"""),"PEREMPUAN")</f>
        <v>PEREMPUAN</v>
      </c>
      <c r="M3520" s="35" t="str">
        <f>IFERROR(__xludf.DUMMYFUNCTION("""COMPUTED_VALUE"""),"DUSUN MEKAR SARI II")</f>
        <v>DUSUN MEKAR SARI II</v>
      </c>
      <c r="N3520" s="35" t="str">
        <f>IFERROR(__xludf.DUMMYFUNCTION("""COMPUTED_VALUE"""),"PAAL")</f>
        <v>PAAL</v>
      </c>
      <c r="O3520" s="35" t="str">
        <f>IFERROR(__xludf.DUMMYFUNCTION("""COMPUTED_VALUE"""),"NANGA PINOH")</f>
        <v>NANGA PINOH</v>
      </c>
      <c r="P3520" s="35" t="str">
        <f>IFERROR(__xludf.DUMMYFUNCTION("""COMPUTED_VALUE"""),"MELAWI")</f>
        <v>MELAWI</v>
      </c>
      <c r="Q3520" s="35" t="str">
        <f>IFERROR(__xludf.DUMMYFUNCTION("""COMPUTED_VALUE"""),"KALIMANTAN BARAT")</f>
        <v>KALIMANTAN BARAT</v>
      </c>
      <c r="R3520" s="35" t="str">
        <f>IFERROR(__xludf.DUMMYFUNCTION("""COMPUTED_VALUE"""),"ISLAM")</f>
        <v>ISLAM</v>
      </c>
      <c r="S3520" s="74" t="str">
        <f>IFERROR(__xludf.DUMMYFUNCTION("""COMPUTED_VALUE"""),"MAHASISWI")</f>
        <v>MAHASISWI</v>
      </c>
      <c r="T3520" s="35" t="str">
        <f>IFERROR(__xludf.DUMMYFUNCTION("""COMPUTED_VALUE"""),"NYERI LUTUT SEBELAH KIRI, TEGANG DARI BELAKANG PAHA KIRI SAMPAI BELAKANG BETIS KIRI")</f>
        <v>NYERI LUTUT SEBELAH KIRI, TEGANG DARI BELAKANG PAHA KIRI SAMPAI BELAKANG BETIS KIRI</v>
      </c>
      <c r="U3520" s="35" t="str">
        <f>IFERROR(__xludf.DUMMYFUNCTION("""COMPUTED_VALUE"""),"AKIBAT JATUH")</f>
        <v>AKIBAT JATUH</v>
      </c>
      <c r="V3520" s="35" t="str">
        <f>IFERROR(__xludf.DUMMYFUNCTION("""COMPUTED_VALUE"""),"085346832638")</f>
        <v>085346832638</v>
      </c>
      <c r="W3520" s="45"/>
    </row>
    <row r="3521">
      <c r="A3521" s="45"/>
      <c r="B3521" s="35" t="str">
        <f>IFERROR(__xludf.DUMMYFUNCTION("""COMPUTED_VALUE"""),"28/02/2026 13:48:05")</f>
        <v>28/02/2026 13:48:05</v>
      </c>
      <c r="C3521" s="35"/>
      <c r="D3521" s="10">
        <f>IFERROR(__xludf.DUMMYFUNCTION("""COMPUTED_VALUE"""),46081.0)</f>
        <v>46081</v>
      </c>
      <c r="E3521" s="35" t="str">
        <f>IFERROR(__xludf.DUMMYFUNCTION("""COMPUTED_VALUE"""),"02Feb")</f>
        <v>02Feb</v>
      </c>
      <c r="F3521" s="35" t="str">
        <f>IFERROR(__xludf.DUMMYFUNCTION("""COMPUTED_VALUE"""),"2026")</f>
        <v>2026</v>
      </c>
      <c r="G3521" s="35" t="str">
        <f>IFERROR(__xludf.DUMMYFUNCTION("""COMPUTED_VALUE"""),"FEBRIAN GALIH CAHYO P")</f>
        <v>FEBRIAN GALIH CAHYO P</v>
      </c>
      <c r="H3521" s="35" t="str">
        <f>IFERROR(__xludf.DUMMYFUNCTION("""COMPUTED_VALUE"""),"F8926023541")</f>
        <v>F8926023541</v>
      </c>
      <c r="I3521" s="35">
        <f>IFERROR(__xludf.DUMMYFUNCTION("""COMPUTED_VALUE"""),37.0)</f>
        <v>37</v>
      </c>
      <c r="J3521" s="35" t="str">
        <f>IFERROR(__xludf.DUMMYFUNCTION("""COMPUTED_VALUE"""),"35-44 tahun")</f>
        <v>35-44 tahun</v>
      </c>
      <c r="K3521" s="35" t="str">
        <f>IFERROR(__xludf.DUMMYFUNCTION("""COMPUTED_VALUE"""),"04/02/1989")</f>
        <v>04/02/1989</v>
      </c>
      <c r="L3521" s="35" t="str">
        <f>IFERROR(__xludf.DUMMYFUNCTION("""COMPUTED_VALUE"""),"LAKI-LAKI")</f>
        <v>LAKI-LAKI</v>
      </c>
      <c r="M3521" s="35" t="str">
        <f>IFERROR(__xludf.DUMMYFUNCTION("""COMPUTED_VALUE"""),"JL MAYJEN SUKOWATI 7B MAGETAN")</f>
        <v>JL MAYJEN SUKOWATI 7B MAGETAN</v>
      </c>
      <c r="N3521" s="35" t="str">
        <f>IFERROR(__xludf.DUMMYFUNCTION("""COMPUTED_VALUE"""),"TAWANGANOM")</f>
        <v>TAWANGANOM</v>
      </c>
      <c r="O3521" s="35" t="str">
        <f>IFERROR(__xludf.DUMMYFUNCTION("""COMPUTED_VALUE"""),"MAGETAN")</f>
        <v>MAGETAN</v>
      </c>
      <c r="P3521" s="35" t="str">
        <f>IFERROR(__xludf.DUMMYFUNCTION("""COMPUTED_VALUE"""),"MAGETAN")</f>
        <v>MAGETAN</v>
      </c>
      <c r="Q3521" s="35" t="str">
        <f>IFERROR(__xludf.DUMMYFUNCTION("""COMPUTED_VALUE"""),"JAWA TIMUR")</f>
        <v>JAWA TIMUR</v>
      </c>
      <c r="R3521" s="35" t="str">
        <f>IFERROR(__xludf.DUMMYFUNCTION("""COMPUTED_VALUE"""),"ISLAM")</f>
        <v>ISLAM</v>
      </c>
      <c r="S3521" s="74" t="str">
        <f>IFERROR(__xludf.DUMMYFUNCTION("""COMPUTED_VALUE"""),"BUMN")</f>
        <v>BUMN</v>
      </c>
      <c r="T3521" s="35" t="str">
        <f>IFERROR(__xludf.DUMMYFUNCTION("""COMPUTED_VALUE"""),"SAKIT BAGIAN LUTUT")</f>
        <v>SAKIT BAGIAN LUTUT</v>
      </c>
      <c r="U3521" s="35" t="str">
        <f>IFERROR(__xludf.DUMMYFUNCTION("""COMPUTED_VALUE"""),"LARI")</f>
        <v>LARI</v>
      </c>
      <c r="V3521" s="35" t="str">
        <f>IFERROR(__xludf.DUMMYFUNCTION("""COMPUTED_VALUE"""),"08115713541")</f>
        <v>08115713541</v>
      </c>
      <c r="W3521" s="45"/>
    </row>
    <row r="3522">
      <c r="A3522" s="45"/>
      <c r="B3522" s="35" t="str">
        <f>IFERROR(__xludf.DUMMYFUNCTION("""COMPUTED_VALUE"""),"28/02/2026 15:09:24")</f>
        <v>28/02/2026 15:09:24</v>
      </c>
      <c r="C3522" s="35"/>
      <c r="D3522" s="10">
        <f>IFERROR(__xludf.DUMMYFUNCTION("""COMPUTED_VALUE"""),46081.0)</f>
        <v>46081</v>
      </c>
      <c r="E3522" s="35" t="str">
        <f>IFERROR(__xludf.DUMMYFUNCTION("""COMPUTED_VALUE"""),"02Feb")</f>
        <v>02Feb</v>
      </c>
      <c r="F3522" s="35" t="str">
        <f>IFERROR(__xludf.DUMMYFUNCTION("""COMPUTED_VALUE"""),"2026")</f>
        <v>2026</v>
      </c>
      <c r="G3522" s="35" t="str">
        <f>IFERROR(__xludf.DUMMYFUNCTION("""COMPUTED_VALUE"""),"ALI 7608")</f>
        <v>ALI 7608</v>
      </c>
      <c r="H3522" s="35" t="str">
        <f>IFERROR(__xludf.DUMMYFUNCTION("""COMPUTED_VALUE"""),"A7626024012")</f>
        <v>A7626024012</v>
      </c>
      <c r="I3522" s="35">
        <f>IFERROR(__xludf.DUMMYFUNCTION("""COMPUTED_VALUE"""),49.0)</f>
        <v>49</v>
      </c>
      <c r="J3522" s="35" t="str">
        <f>IFERROR(__xludf.DUMMYFUNCTION("""COMPUTED_VALUE"""),"&gt; 44 tahun")</f>
        <v>&gt; 44 tahun</v>
      </c>
      <c r="K3522" s="35" t="str">
        <f>IFERROR(__xludf.DUMMYFUNCTION("""COMPUTED_VALUE"""),"15/08/1976")</f>
        <v>15/08/1976</v>
      </c>
      <c r="L3522" s="35" t="str">
        <f>IFERROR(__xludf.DUMMYFUNCTION("""COMPUTED_VALUE"""),"LAKI-LAKI")</f>
        <v>LAKI-LAKI</v>
      </c>
      <c r="M3522" s="35" t="str">
        <f>IFERROR(__xludf.DUMMYFUNCTION("""COMPUTED_VALUE"""),"JL  PURNAMA KOMP GLOBAL PURNAMA TOWN HOUSE 999J")</f>
        <v>JL  PURNAMA KOMP GLOBAL PURNAMA TOWN HOUSE 999J</v>
      </c>
      <c r="N3522" s="35" t="str">
        <f>IFERROR(__xludf.DUMMYFUNCTION("""COMPUTED_VALUE"""),"PARIT TOKAYA")</f>
        <v>PARIT TOKAYA</v>
      </c>
      <c r="O3522" s="35" t="str">
        <f>IFERROR(__xludf.DUMMYFUNCTION("""COMPUTED_VALUE"""),"PONTIANAK SELATAN")</f>
        <v>PONTIANAK SELATAN</v>
      </c>
      <c r="P3522" s="35" t="str">
        <f>IFERROR(__xludf.DUMMYFUNCTION("""COMPUTED_VALUE"""),"KOTA PONTIANAK")</f>
        <v>KOTA PONTIANAK</v>
      </c>
      <c r="Q3522" s="35" t="str">
        <f>IFERROR(__xludf.DUMMYFUNCTION("""COMPUTED_VALUE"""),"KALIMANTAN BARAT")</f>
        <v>KALIMANTAN BARAT</v>
      </c>
      <c r="R3522" s="35" t="str">
        <f>IFERROR(__xludf.DUMMYFUNCTION("""COMPUTED_VALUE"""),"LAINNYA")</f>
        <v>LAINNYA</v>
      </c>
      <c r="S3522" s="74" t="str">
        <f>IFERROR(__xludf.DUMMYFUNCTION("""COMPUTED_VALUE"""),"WIRAUSAHA")</f>
        <v>WIRAUSAHA</v>
      </c>
      <c r="T3522" s="35" t="str">
        <f>IFERROR(__xludf.DUMMYFUNCTION("""COMPUTED_VALUE"""),"BAHU")</f>
        <v>BAHU</v>
      </c>
      <c r="U3522" s="35" t="str">
        <f>IFERROR(__xludf.DUMMYFUNCTION("""COMPUTED_VALUE"""),"-")</f>
        <v>-</v>
      </c>
      <c r="V3522" s="35" t="str">
        <f>IFERROR(__xludf.DUMMYFUNCTION("""COMPUTED_VALUE"""),"081322244012")</f>
        <v>081322244012</v>
      </c>
      <c r="W3522" s="45"/>
    </row>
    <row r="3523">
      <c r="A3523" s="45"/>
      <c r="B3523" s="35" t="str">
        <f>IFERROR(__xludf.DUMMYFUNCTION("""COMPUTED_VALUE"""),"28/02/2026 20:06:59")</f>
        <v>28/02/2026 20:06:59</v>
      </c>
      <c r="C3523" s="35"/>
      <c r="D3523" s="10">
        <f>IFERROR(__xludf.DUMMYFUNCTION("""COMPUTED_VALUE"""),46081.0)</f>
        <v>46081</v>
      </c>
      <c r="E3523" s="35" t="str">
        <f>IFERROR(__xludf.DUMMYFUNCTION("""COMPUTED_VALUE"""),"02Feb")</f>
        <v>02Feb</v>
      </c>
      <c r="F3523" s="35" t="str">
        <f>IFERROR(__xludf.DUMMYFUNCTION("""COMPUTED_VALUE"""),"2026")</f>
        <v>2026</v>
      </c>
      <c r="G3523" s="35" t="str">
        <f>IFERROR(__xludf.DUMMYFUNCTION("""COMPUTED_VALUE"""),"ALICIA")</f>
        <v>ALICIA</v>
      </c>
      <c r="H3523" s="35" t="str">
        <f>IFERROR(__xludf.DUMMYFUNCTION("""COMPUTED_VALUE"""),"A0026026799")</f>
        <v>A0026026799</v>
      </c>
      <c r="I3523" s="35">
        <f>IFERROR(__xludf.DUMMYFUNCTION("""COMPUTED_VALUE"""),26.0)</f>
        <v>26</v>
      </c>
      <c r="J3523" s="35" t="str">
        <f>IFERROR(__xludf.DUMMYFUNCTION("""COMPUTED_VALUE"""),"25-34 tahun")</f>
        <v>25-34 tahun</v>
      </c>
      <c r="K3523" s="35" t="str">
        <f>IFERROR(__xludf.DUMMYFUNCTION("""COMPUTED_VALUE"""),"10/02/2000")</f>
        <v>10/02/2000</v>
      </c>
      <c r="L3523" s="35" t="str">
        <f>IFERROR(__xludf.DUMMYFUNCTION("""COMPUTED_VALUE"""),"PEREMPUAN")</f>
        <v>PEREMPUAN</v>
      </c>
      <c r="M3523" s="35" t="str">
        <f>IFERROR(__xludf.DUMMYFUNCTION("""COMPUTED_VALUE"""),"JL. PURNAMA 2 KOMP. PURNAMA ELOK NO. F8")</f>
        <v>JL. PURNAMA 2 KOMP. PURNAMA ELOK NO. F8</v>
      </c>
      <c r="N3523" s="35" t="str">
        <f>IFERROR(__xludf.DUMMYFUNCTION("""COMPUTED_VALUE"""),"PARIT TOKAYA")</f>
        <v>PARIT TOKAYA</v>
      </c>
      <c r="O3523" s="35" t="str">
        <f>IFERROR(__xludf.DUMMYFUNCTION("""COMPUTED_VALUE"""),"PONTIANAK SELATAN")</f>
        <v>PONTIANAK SELATAN</v>
      </c>
      <c r="P3523" s="35" t="str">
        <f>IFERROR(__xludf.DUMMYFUNCTION("""COMPUTED_VALUE"""),"PONTIANAK")</f>
        <v>PONTIANAK</v>
      </c>
      <c r="Q3523" s="35" t="str">
        <f>IFERROR(__xludf.DUMMYFUNCTION("""COMPUTED_VALUE"""),"KALIMANTAN BARAT")</f>
        <v>KALIMANTAN BARAT</v>
      </c>
      <c r="R3523" s="35" t="str">
        <f>IFERROR(__xludf.DUMMYFUNCTION("""COMPUTED_VALUE"""),"KATOLIK")</f>
        <v>KATOLIK</v>
      </c>
      <c r="S3523" s="74" t="str">
        <f>IFERROR(__xludf.DUMMYFUNCTION("""COMPUTED_VALUE"""),"PRODUCT MANAGER")</f>
        <v>PRODUCT MANAGER</v>
      </c>
      <c r="T3523" s="35" t="str">
        <f>IFERROR(__xludf.DUMMYFUNCTION("""COMPUTED_VALUE"""),"LUTUT SAKIT KETIKA DITEKUK DENGAN KONDISI ADA BEBAN SEPERTI JONGKOK")</f>
        <v>LUTUT SAKIT KETIKA DITEKUK DENGAN KONDISI ADA BEBAN SEPERTI JONGKOK</v>
      </c>
      <c r="U3523" s="35" t="str">
        <f>IFERROR(__xludf.DUMMYFUNCTION("""COMPUTED_VALUE"""),"BADMINTON")</f>
        <v>BADMINTON</v>
      </c>
      <c r="V3523" s="35" t="str">
        <f>IFERROR(__xludf.DUMMYFUNCTION("""COMPUTED_VALUE"""),"089689266799")</f>
        <v>089689266799</v>
      </c>
      <c r="W3523" s="45"/>
    </row>
    <row r="3524">
      <c r="A3524" s="45"/>
      <c r="B3524" s="35" t="str">
        <f>IFERROR(__xludf.DUMMYFUNCTION("""COMPUTED_VALUE"""),"28/02/2026 20:30:30")</f>
        <v>28/02/2026 20:30:30</v>
      </c>
      <c r="C3524" s="35"/>
      <c r="D3524" s="10">
        <f>IFERROR(__xludf.DUMMYFUNCTION("""COMPUTED_VALUE"""),46081.0)</f>
        <v>46081</v>
      </c>
      <c r="E3524" s="35" t="str">
        <f>IFERROR(__xludf.DUMMYFUNCTION("""COMPUTED_VALUE"""),"02Feb")</f>
        <v>02Feb</v>
      </c>
      <c r="F3524" s="35" t="str">
        <f>IFERROR(__xludf.DUMMYFUNCTION("""COMPUTED_VALUE"""),"2026")</f>
        <v>2026</v>
      </c>
      <c r="G3524" s="35" t="str">
        <f>IFERROR(__xludf.DUMMYFUNCTION("""COMPUTED_VALUE"""),"YUNINDA WIDIASTUTI")</f>
        <v>YUNINDA WIDIASTUTI</v>
      </c>
      <c r="H3524" s="35" t="str">
        <f>IFERROR(__xludf.DUMMYFUNCTION("""COMPUTED_VALUE"""),"Y7026028019")</f>
        <v>Y7026028019</v>
      </c>
      <c r="I3524" s="35">
        <f>IFERROR(__xludf.DUMMYFUNCTION("""COMPUTED_VALUE"""),56.0)</f>
        <v>56</v>
      </c>
      <c r="J3524" s="35" t="str">
        <f>IFERROR(__xludf.DUMMYFUNCTION("""COMPUTED_VALUE"""),"&gt; 44 tahun")</f>
        <v>&gt; 44 tahun</v>
      </c>
      <c r="K3524" s="35" t="str">
        <f>IFERROR(__xludf.DUMMYFUNCTION("""COMPUTED_VALUE"""),"01/03/1970")</f>
        <v>01/03/1970</v>
      </c>
      <c r="L3524" s="35" t="str">
        <f>IFERROR(__xludf.DUMMYFUNCTION("""COMPUTED_VALUE"""),"PEREMPUAN")</f>
        <v>PEREMPUAN</v>
      </c>
      <c r="M3524" s="35" t="str">
        <f>IFERROR(__xludf.DUMMYFUNCTION("""COMPUTED_VALUE"""),"JL. KHW. HASYIM, GG. USAHA I NO. 182")</f>
        <v>JL. KHW. HASYIM, GG. USAHA I NO. 182</v>
      </c>
      <c r="N3524" s="35" t="str">
        <f>IFERROR(__xludf.DUMMYFUNCTION("""COMPUTED_VALUE"""),"SUNGAI JAWI")</f>
        <v>SUNGAI JAWI</v>
      </c>
      <c r="O3524" s="35" t="str">
        <f>IFERROR(__xludf.DUMMYFUNCTION("""COMPUTED_VALUE"""),"PONTIANAK KOTA")</f>
        <v>PONTIANAK KOTA</v>
      </c>
      <c r="P3524" s="35" t="str">
        <f>IFERROR(__xludf.DUMMYFUNCTION("""COMPUTED_VALUE"""),"PONTIANAK")</f>
        <v>PONTIANAK</v>
      </c>
      <c r="Q3524" s="35" t="str">
        <f>IFERROR(__xludf.DUMMYFUNCTION("""COMPUTED_VALUE"""),"KALBAR")</f>
        <v>KALBAR</v>
      </c>
      <c r="R3524" s="35" t="str">
        <f>IFERROR(__xludf.DUMMYFUNCTION("""COMPUTED_VALUE"""),"ISLAM")</f>
        <v>ISLAM</v>
      </c>
      <c r="S3524" s="74" t="str">
        <f>IFERROR(__xludf.DUMMYFUNCTION("""COMPUTED_VALUE"""),"RUMAH TANGGA")</f>
        <v>RUMAH TANGGA</v>
      </c>
      <c r="T3524" s="35" t="str">
        <f>IFERROR(__xludf.DUMMYFUNCTION("""COMPUTED_VALUE"""),"SAKIT MULI DARI PANGKAL PAHA SAMPAI PERGELANGAN KAKI")</f>
        <v>SAKIT MULI DARI PANGKAL PAHA SAMPAI PERGELANGAN KAKI</v>
      </c>
      <c r="U3524" s="35" t="str">
        <f>IFERROR(__xludf.DUMMYFUNCTION("""COMPUTED_VALUE"""),"TIDAK ADA")</f>
        <v>TIDAK ADA</v>
      </c>
      <c r="V3524" s="35" t="str">
        <f>IFERROR(__xludf.DUMMYFUNCTION("""COMPUTED_VALUE"""),"081346898019")</f>
        <v>081346898019</v>
      </c>
      <c r="W3524" s="45"/>
    </row>
    <row r="3525">
      <c r="A3525" s="45"/>
      <c r="B3525" s="35" t="str">
        <f>IFERROR(__xludf.DUMMYFUNCTION("""COMPUTED_VALUE"""),"01/03/2026 9:07:47")</f>
        <v>01/03/2026 9:07:47</v>
      </c>
      <c r="C3525" s="35"/>
      <c r="D3525" s="10">
        <f>IFERROR(__xludf.DUMMYFUNCTION("""COMPUTED_VALUE"""),46082.0)</f>
        <v>46082</v>
      </c>
      <c r="E3525" s="35" t="str">
        <f>IFERROR(__xludf.DUMMYFUNCTION("""COMPUTED_VALUE"""),"03Mar")</f>
        <v>03Mar</v>
      </c>
      <c r="F3525" s="35" t="str">
        <f>IFERROR(__xludf.DUMMYFUNCTION("""COMPUTED_VALUE"""),"2026")</f>
        <v>2026</v>
      </c>
      <c r="G3525" s="35" t="str">
        <f>IFERROR(__xludf.DUMMYFUNCTION("""COMPUTED_VALUE"""),"ARISTO WAHYU KANTONA")</f>
        <v>ARISTO WAHYU KANTONA</v>
      </c>
      <c r="H3525" s="35" t="str">
        <f>IFERROR(__xludf.DUMMYFUNCTION("""COMPUTED_VALUE"""),"A9726035752")</f>
        <v>A9726035752</v>
      </c>
      <c r="I3525" s="35">
        <f>IFERROR(__xludf.DUMMYFUNCTION("""COMPUTED_VALUE"""),28.0)</f>
        <v>28</v>
      </c>
      <c r="J3525" s="35" t="str">
        <f>IFERROR(__xludf.DUMMYFUNCTION("""COMPUTED_VALUE"""),"25-34 tahun")</f>
        <v>25-34 tahun</v>
      </c>
      <c r="K3525" s="35" t="str">
        <f>IFERROR(__xludf.DUMMYFUNCTION("""COMPUTED_VALUE"""),"18/12/1997")</f>
        <v>18/12/1997</v>
      </c>
      <c r="L3525" s="35" t="str">
        <f>IFERROR(__xludf.DUMMYFUNCTION("""COMPUTED_VALUE"""),"LAKI-LAKI")</f>
        <v>LAKI-LAKI</v>
      </c>
      <c r="M3525" s="35" t="str">
        <f>IFERROR(__xludf.DUMMYFUNCTION("""COMPUTED_VALUE"""),"JLN DANAU SENTARUM GG BERSAMA F3")</f>
        <v>JLN DANAU SENTARUM GG BERSAMA F3</v>
      </c>
      <c r="N3525" s="35" t="str">
        <f>IFERROR(__xludf.DUMMYFUNCTION("""COMPUTED_VALUE"""),"SUNGAI BANGKONG")</f>
        <v>SUNGAI BANGKONG</v>
      </c>
      <c r="O3525" s="35" t="str">
        <f>IFERROR(__xludf.DUMMYFUNCTION("""COMPUTED_VALUE"""),"PONTIANAK KOTA")</f>
        <v>PONTIANAK KOTA</v>
      </c>
      <c r="P3525" s="35" t="str">
        <f>IFERROR(__xludf.DUMMYFUNCTION("""COMPUTED_VALUE"""),"PONTIANAK")</f>
        <v>PONTIANAK</v>
      </c>
      <c r="Q3525" s="35" t="str">
        <f>IFERROR(__xludf.DUMMYFUNCTION("""COMPUTED_VALUE"""),"KALIMANTAN BARAT")</f>
        <v>KALIMANTAN BARAT</v>
      </c>
      <c r="R3525" s="35" t="str">
        <f>IFERROR(__xludf.DUMMYFUNCTION("""COMPUTED_VALUE"""),"KATOLIK")</f>
        <v>KATOLIK</v>
      </c>
      <c r="S3525" s="74" t="str">
        <f>IFERROR(__xludf.DUMMYFUNCTION("""COMPUTED_VALUE"""),"POLRI")</f>
        <v>POLRI</v>
      </c>
      <c r="T3525" s="35" t="str">
        <f>IFERROR(__xludf.DUMMYFUNCTION("""COMPUTED_VALUE"""),"SAKIT MENEKUK DI KAKI KIRI")</f>
        <v>SAKIT MENEKUK DI KAKI KIRI</v>
      </c>
      <c r="U3525" s="35" t="str">
        <f>IFERROR(__xludf.DUMMYFUNCTION("""COMPUTED_VALUE"""),"OLAHRAGA")</f>
        <v>OLAHRAGA</v>
      </c>
      <c r="V3525" s="35" t="str">
        <f>IFERROR(__xludf.DUMMYFUNCTION("""COMPUTED_VALUE"""),"08975035752")</f>
        <v>08975035752</v>
      </c>
      <c r="W3525" s="45"/>
    </row>
    <row r="3526">
      <c r="A3526" s="45"/>
      <c r="B3526" s="35" t="str">
        <f>IFERROR(__xludf.DUMMYFUNCTION("""COMPUTED_VALUE"""),"28/02/2026 23:01:52")</f>
        <v>28/02/2026 23:01:52</v>
      </c>
      <c r="C3526" s="35"/>
      <c r="D3526" s="10">
        <f>IFERROR(__xludf.DUMMYFUNCTION("""COMPUTED_VALUE"""),46082.0)</f>
        <v>46082</v>
      </c>
      <c r="E3526" s="35" t="str">
        <f>IFERROR(__xludf.DUMMYFUNCTION("""COMPUTED_VALUE"""),"03Mar")</f>
        <v>03Mar</v>
      </c>
      <c r="F3526" s="35" t="str">
        <f>IFERROR(__xludf.DUMMYFUNCTION("""COMPUTED_VALUE"""),"2026")</f>
        <v>2026</v>
      </c>
      <c r="G3526" s="35" t="str">
        <f>IFERROR(__xludf.DUMMYFUNCTION("""COMPUTED_VALUE"""),"NASRULLAH")</f>
        <v>NASRULLAH</v>
      </c>
      <c r="H3526" s="35" t="str">
        <f>IFERROR(__xludf.DUMMYFUNCTION("""COMPUTED_VALUE"""),"N9226030388")</f>
        <v>N9226030388</v>
      </c>
      <c r="I3526" s="35">
        <f>IFERROR(__xludf.DUMMYFUNCTION("""COMPUTED_VALUE"""),34.0)</f>
        <v>34</v>
      </c>
      <c r="J3526" s="35" t="str">
        <f>IFERROR(__xludf.DUMMYFUNCTION("""COMPUTED_VALUE"""),"25-34 tahun")</f>
        <v>25-34 tahun</v>
      </c>
      <c r="K3526" s="35" t="str">
        <f>IFERROR(__xludf.DUMMYFUNCTION("""COMPUTED_VALUE"""),"11/01/1992")</f>
        <v>11/01/1992</v>
      </c>
      <c r="L3526" s="35" t="str">
        <f>IFERROR(__xludf.DUMMYFUNCTION("""COMPUTED_VALUE"""),"LAKI-LAKI")</f>
        <v>LAKI-LAKI</v>
      </c>
      <c r="M3526" s="35" t="str">
        <f>IFERROR(__xludf.DUMMYFUNCTION("""COMPUTED_VALUE"""),"JL PELITA 1 PUNGGUR KECIL")</f>
        <v>JL PELITA 1 PUNGGUR KECIL</v>
      </c>
      <c r="N3526" s="35" t="str">
        <f>IFERROR(__xludf.DUMMYFUNCTION("""COMPUTED_VALUE"""),"PUNGGUR KECIL")</f>
        <v>PUNGGUR KECIL</v>
      </c>
      <c r="O3526" s="35" t="str">
        <f>IFERROR(__xludf.DUMMYFUNCTION("""COMPUTED_VALUE"""),"SUNGAI KAKAP")</f>
        <v>SUNGAI KAKAP</v>
      </c>
      <c r="P3526" s="35" t="str">
        <f>IFERROR(__xludf.DUMMYFUNCTION("""COMPUTED_VALUE"""),"KUBU RAYA")</f>
        <v>KUBU RAYA</v>
      </c>
      <c r="Q3526" s="35" t="str">
        <f>IFERROR(__xludf.DUMMYFUNCTION("""COMPUTED_VALUE"""),"KALIMANTAN BARAT")</f>
        <v>KALIMANTAN BARAT</v>
      </c>
      <c r="R3526" s="35" t="str">
        <f>IFERROR(__xludf.DUMMYFUNCTION("""COMPUTED_VALUE"""),"ISLAM")</f>
        <v>ISLAM</v>
      </c>
      <c r="S3526" s="74" t="str">
        <f>IFERROR(__xludf.DUMMYFUNCTION("""COMPUTED_VALUE"""),"WIRASWASTA")</f>
        <v>WIRASWASTA</v>
      </c>
      <c r="T3526" s="35" t="str">
        <f>IFERROR(__xludf.DUMMYFUNCTION("""COMPUTED_VALUE"""),"CIDERA OTOT BETIS")</f>
        <v>CIDERA OTOT BETIS</v>
      </c>
      <c r="U3526" s="35" t="str">
        <f>IFERROR(__xludf.DUMMYFUNCTION("""COMPUTED_VALUE"""),"SEPAK BOLA")</f>
        <v>SEPAK BOLA</v>
      </c>
      <c r="V3526" s="35" t="str">
        <f>IFERROR(__xludf.DUMMYFUNCTION("""COMPUTED_VALUE"""),"081528910388")</f>
        <v>081528910388</v>
      </c>
      <c r="W3526" s="45"/>
    </row>
    <row r="3527">
      <c r="A3527" s="45"/>
      <c r="B3527" s="35" t="str">
        <f>IFERROR(__xludf.DUMMYFUNCTION("""COMPUTED_VALUE"""),"02/03/2026 4:43:35")</f>
        <v>02/03/2026 4:43:35</v>
      </c>
      <c r="C3527" s="35"/>
      <c r="D3527" s="10">
        <f>IFERROR(__xludf.DUMMYFUNCTION("""COMPUTED_VALUE"""),46083.0)</f>
        <v>46083</v>
      </c>
      <c r="E3527" s="35" t="str">
        <f>IFERROR(__xludf.DUMMYFUNCTION("""COMPUTED_VALUE"""),"03Mar")</f>
        <v>03Mar</v>
      </c>
      <c r="F3527" s="35" t="str">
        <f>IFERROR(__xludf.DUMMYFUNCTION("""COMPUTED_VALUE"""),"2026")</f>
        <v>2026</v>
      </c>
      <c r="G3527" s="35" t="str">
        <f>IFERROR(__xludf.DUMMYFUNCTION("""COMPUTED_VALUE"""),"LYNDA KURNIA AGUSTINA")</f>
        <v>LYNDA KURNIA AGUSTINA</v>
      </c>
      <c r="H3527" s="35" t="str">
        <f>IFERROR(__xludf.DUMMYFUNCTION("""COMPUTED_VALUE"""),"L7126034424")</f>
        <v>L7126034424</v>
      </c>
      <c r="I3527" s="35">
        <f>IFERROR(__xludf.DUMMYFUNCTION("""COMPUTED_VALUE"""),54.0)</f>
        <v>54</v>
      </c>
      <c r="J3527" s="35" t="str">
        <f>IFERROR(__xludf.DUMMYFUNCTION("""COMPUTED_VALUE"""),"&gt; 44 tahun")</f>
        <v>&gt; 44 tahun</v>
      </c>
      <c r="K3527" s="35" t="str">
        <f>IFERROR(__xludf.DUMMYFUNCTION("""COMPUTED_VALUE"""),"08/08/1971")</f>
        <v>08/08/1971</v>
      </c>
      <c r="L3527" s="35" t="str">
        <f>IFERROR(__xludf.DUMMYFUNCTION("""COMPUTED_VALUE"""),"PEREMPUAN")</f>
        <v>PEREMPUAN</v>
      </c>
      <c r="M3527" s="35" t="str">
        <f>IFERROR(__xludf.DUMMYFUNCTION("""COMPUTED_VALUE"""),"JL. KARYA BAKTI GG. KARYA BAKTI 3 NO.36")</f>
        <v>JL. KARYA BAKTI GG. KARYA BAKTI 3 NO.36</v>
      </c>
      <c r="N3527" s="35" t="str">
        <f>IFERROR(__xludf.DUMMYFUNCTION("""COMPUTED_VALUE"""),"AKCAYA")</f>
        <v>AKCAYA</v>
      </c>
      <c r="O3527" s="35" t="str">
        <f>IFERROR(__xludf.DUMMYFUNCTION("""COMPUTED_VALUE"""),"PONTIANAK SELATAN")</f>
        <v>PONTIANAK SELATAN</v>
      </c>
      <c r="P3527" s="35" t="str">
        <f>IFERROR(__xludf.DUMMYFUNCTION("""COMPUTED_VALUE"""),"KOTA PONTIANAK")</f>
        <v>KOTA PONTIANAK</v>
      </c>
      <c r="Q3527" s="35" t="str">
        <f>IFERROR(__xludf.DUMMYFUNCTION("""COMPUTED_VALUE"""),"KALIMANTAN BARAT")</f>
        <v>KALIMANTAN BARAT</v>
      </c>
      <c r="R3527" s="35" t="str">
        <f>IFERROR(__xludf.DUMMYFUNCTION("""COMPUTED_VALUE"""),"ISLAM")</f>
        <v>ISLAM</v>
      </c>
      <c r="S3527" s="74" t="str">
        <f>IFERROR(__xludf.DUMMYFUNCTION("""COMPUTED_VALUE"""),"GURU")</f>
        <v>GURU</v>
      </c>
      <c r="T3527" s="35" t="str">
        <f>IFERROR(__xludf.DUMMYFUNCTION("""COMPUTED_VALUE"""),"KAKI SEBELAH KIRI TERASA NYERI SAAT DI TAPAK DAN TIDAK BISA DITEKUK ")</f>
        <v>KAKI SEBELAH KIRI TERASA NYERI SAAT DI TAPAK DAN TIDAK BISA DITEKUK </v>
      </c>
      <c r="U3527" s="35" t="str">
        <f>IFERROR(__xludf.DUMMYFUNCTION("""COMPUTED_VALUE"""),"MENGAJAR DAN KEGIATAN RUMAH TANGGA")</f>
        <v>MENGAJAR DAN KEGIATAN RUMAH TANGGA</v>
      </c>
      <c r="V3527" s="35" t="str">
        <f>IFERROR(__xludf.DUMMYFUNCTION("""COMPUTED_VALUE"""),"081352484424")</f>
        <v>081352484424</v>
      </c>
      <c r="W3527" s="45"/>
    </row>
    <row r="3528">
      <c r="A3528" s="45"/>
      <c r="B3528" s="35" t="str">
        <f>IFERROR(__xludf.DUMMYFUNCTION("""COMPUTED_VALUE"""),"02/03/2026 8:26:32")</f>
        <v>02/03/2026 8:26:32</v>
      </c>
      <c r="C3528" s="35"/>
      <c r="D3528" s="10">
        <f>IFERROR(__xludf.DUMMYFUNCTION("""COMPUTED_VALUE"""),46083.0)</f>
        <v>46083</v>
      </c>
      <c r="E3528" s="35" t="str">
        <f>IFERROR(__xludf.DUMMYFUNCTION("""COMPUTED_VALUE"""),"03Mar")</f>
        <v>03Mar</v>
      </c>
      <c r="F3528" s="35" t="str">
        <f>IFERROR(__xludf.DUMMYFUNCTION("""COMPUTED_VALUE"""),"2026")</f>
        <v>2026</v>
      </c>
      <c r="G3528" s="35" t="str">
        <f>IFERROR(__xludf.DUMMYFUNCTION("""COMPUTED_VALUE"""),"TRI ENI WULANDARI ")</f>
        <v>TRI ENI WULANDARI </v>
      </c>
      <c r="H3528" s="35" t="str">
        <f>IFERROR(__xludf.DUMMYFUNCTION("""COMPUTED_VALUE"""),"T9826038426")</f>
        <v>T9826038426</v>
      </c>
      <c r="I3528" s="35">
        <f>IFERROR(__xludf.DUMMYFUNCTION("""COMPUTED_VALUE"""),27.0)</f>
        <v>27</v>
      </c>
      <c r="J3528" s="35" t="str">
        <f>IFERROR(__xludf.DUMMYFUNCTION("""COMPUTED_VALUE"""),"25-34 tahun")</f>
        <v>25-34 tahun</v>
      </c>
      <c r="K3528" s="35" t="str">
        <f>IFERROR(__xludf.DUMMYFUNCTION("""COMPUTED_VALUE"""),"21/08/1998")</f>
        <v>21/08/1998</v>
      </c>
      <c r="L3528" s="35" t="str">
        <f>IFERROR(__xludf.DUMMYFUNCTION("""COMPUTED_VALUE"""),"PEREMPUAN")</f>
        <v>PEREMPUAN</v>
      </c>
      <c r="M3528" s="35" t="str">
        <f>IFERROR(__xludf.DUMMYFUNCTION("""COMPUTED_VALUE"""),"DUSUN KERAMAT 1")</f>
        <v>DUSUN KERAMAT 1</v>
      </c>
      <c r="N3528" s="35" t="str">
        <f>IFERROR(__xludf.DUMMYFUNCTION("""COMPUTED_VALUE"""),"DESA KUALA DUA")</f>
        <v>DESA KUALA DUA</v>
      </c>
      <c r="O3528" s="35" t="str">
        <f>IFERROR(__xludf.DUMMYFUNCTION("""COMPUTED_VALUE"""),"SUNGAI RAYA")</f>
        <v>SUNGAI RAYA</v>
      </c>
      <c r="P3528" s="35" t="str">
        <f>IFERROR(__xludf.DUMMYFUNCTION("""COMPUTED_VALUE"""),"KUBU RAYA")</f>
        <v>KUBU RAYA</v>
      </c>
      <c r="Q3528" s="35" t="str">
        <f>IFERROR(__xludf.DUMMYFUNCTION("""COMPUTED_VALUE"""),"KALIMANTAN BARAT ")</f>
        <v>KALIMANTAN BARAT </v>
      </c>
      <c r="R3528" s="35" t="str">
        <f>IFERROR(__xludf.DUMMYFUNCTION("""COMPUTED_VALUE"""),"ISLAM")</f>
        <v>ISLAM</v>
      </c>
      <c r="S3528" s="74" t="str">
        <f>IFERROR(__xludf.DUMMYFUNCTION("""COMPUTED_VALUE"""),"FREELANCE ")</f>
        <v>FREELANCE </v>
      </c>
      <c r="T3528" s="35" t="str">
        <f>IFERROR(__xludf.DUMMYFUNCTION("""COMPUTED_VALUE"""),"SCREENING LLD")</f>
        <v>SCREENING LLD</v>
      </c>
      <c r="U3528" s="35" t="str">
        <f>IFERROR(__xludf.DUMMYFUNCTION("""COMPUTED_VALUE"""),"GYM ")</f>
        <v>GYM </v>
      </c>
      <c r="V3528" s="35" t="str">
        <f>IFERROR(__xludf.DUMMYFUNCTION("""COMPUTED_VALUE"""),"082150698426")</f>
        <v>082150698426</v>
      </c>
      <c r="W3528" s="45"/>
    </row>
    <row r="3529">
      <c r="A3529" s="45"/>
      <c r="B3529" s="35" t="str">
        <f>IFERROR(__xludf.DUMMYFUNCTION("""COMPUTED_VALUE"""),"02/03/2026 14:18:20")</f>
        <v>02/03/2026 14:18:20</v>
      </c>
      <c r="C3529" s="35"/>
      <c r="D3529" s="10">
        <f>IFERROR(__xludf.DUMMYFUNCTION("""COMPUTED_VALUE"""),46083.0)</f>
        <v>46083</v>
      </c>
      <c r="E3529" s="35" t="str">
        <f>IFERROR(__xludf.DUMMYFUNCTION("""COMPUTED_VALUE"""),"03Mar")</f>
        <v>03Mar</v>
      </c>
      <c r="F3529" s="35" t="str">
        <f>IFERROR(__xludf.DUMMYFUNCTION("""COMPUTED_VALUE"""),"2026")</f>
        <v>2026</v>
      </c>
      <c r="G3529" s="35" t="str">
        <f>IFERROR(__xludf.DUMMYFUNCTION("""COMPUTED_VALUE"""),"AISYAH AYUDIA INARA")</f>
        <v>AISYAH AYUDIA INARA</v>
      </c>
      <c r="H3529" s="35" t="str">
        <f>IFERROR(__xludf.DUMMYFUNCTION("""COMPUTED_VALUE"""),"A1626035883")</f>
        <v>A1626035883</v>
      </c>
      <c r="I3529" s="35">
        <f>IFERROR(__xludf.DUMMYFUNCTION("""COMPUTED_VALUE"""),10.0)</f>
        <v>10</v>
      </c>
      <c r="J3529" s="35" t="str">
        <f>IFERROR(__xludf.DUMMYFUNCTION("""COMPUTED_VALUE"""),"&lt; 18 tahun")</f>
        <v>&lt; 18 tahun</v>
      </c>
      <c r="K3529" s="35" t="str">
        <f>IFERROR(__xludf.DUMMYFUNCTION("""COMPUTED_VALUE"""),"27/05/2016")</f>
        <v>27/05/2016</v>
      </c>
      <c r="L3529" s="35" t="str">
        <f>IFERROR(__xludf.DUMMYFUNCTION("""COMPUTED_VALUE"""),"PEREMPUAN")</f>
        <v>PEREMPUAN</v>
      </c>
      <c r="M3529" s="35" t="str">
        <f>IFERROR(__xludf.DUMMYFUNCTION("""COMPUTED_VALUE"""),"JL. HARAPAN JAYA GANG ASIA JAYA NO 1A ")</f>
        <v>JL. HARAPAN JAYA GANG ASIA JAYA NO 1A </v>
      </c>
      <c r="N3529" s="35" t="str">
        <f>IFERROR(__xludf.DUMMYFUNCTION("""COMPUTED_VALUE"""),"KOTA BARU ")</f>
        <v>KOTA BARU </v>
      </c>
      <c r="O3529" s="35" t="str">
        <f>IFERROR(__xludf.DUMMYFUNCTION("""COMPUTED_VALUE"""),"PONTIANAK SELATAN ")</f>
        <v>PONTIANAK SELATAN </v>
      </c>
      <c r="P3529" s="35" t="str">
        <f>IFERROR(__xludf.DUMMYFUNCTION("""COMPUTED_VALUE"""),"KOTA PONTIANAK ")</f>
        <v>KOTA PONTIANAK </v>
      </c>
      <c r="Q3529" s="35" t="str">
        <f>IFERROR(__xludf.DUMMYFUNCTION("""COMPUTED_VALUE"""),"KALIMANTAN BARAT ")</f>
        <v>KALIMANTAN BARAT </v>
      </c>
      <c r="R3529" s="35" t="str">
        <f>IFERROR(__xludf.DUMMYFUNCTION("""COMPUTED_VALUE"""),"ISLAM")</f>
        <v>ISLAM</v>
      </c>
      <c r="S3529" s="74" t="str">
        <f>IFERROR(__xludf.DUMMYFUNCTION("""COMPUTED_VALUE"""),"PELAJAR")</f>
        <v>PELAJAR</v>
      </c>
      <c r="T3529" s="35" t="str">
        <f>IFERROR(__xludf.DUMMYFUNCTION("""COMPUTED_VALUE"""),"KAKI SEBELAH KANAN TERKILIR PADA ANAK JARI KEDUA")</f>
        <v>KAKI SEBELAH KANAN TERKILIR PADA ANAK JARI KEDUA</v>
      </c>
      <c r="U3529" s="35" t="str">
        <f>IFERROR(__xludf.DUMMYFUNCTION("""COMPUTED_VALUE"""),"SEKOLAH, LES DAN LATIHAN RENANG ")</f>
        <v>SEKOLAH, LES DAN LATIHAN RENANG </v>
      </c>
      <c r="V3529" s="35" t="str">
        <f>IFERROR(__xludf.DUMMYFUNCTION("""COMPUTED_VALUE"""),"082158335883")</f>
        <v>082158335883</v>
      </c>
      <c r="W3529" s="45"/>
    </row>
    <row r="3530">
      <c r="A3530" s="45"/>
      <c r="B3530" s="35" t="str">
        <f>IFERROR(__xludf.DUMMYFUNCTION("""COMPUTED_VALUE"""),"02/03/2026 17:06:29")</f>
        <v>02/03/2026 17:06:29</v>
      </c>
      <c r="C3530" s="35"/>
      <c r="D3530" s="10">
        <f>IFERROR(__xludf.DUMMYFUNCTION("""COMPUTED_VALUE"""),46083.0)</f>
        <v>46083</v>
      </c>
      <c r="E3530" s="35" t="str">
        <f>IFERROR(__xludf.DUMMYFUNCTION("""COMPUTED_VALUE"""),"03Mar")</f>
        <v>03Mar</v>
      </c>
      <c r="F3530" s="35" t="str">
        <f>IFERROR(__xludf.DUMMYFUNCTION("""COMPUTED_VALUE"""),"2026")</f>
        <v>2026</v>
      </c>
      <c r="G3530" s="35" t="str">
        <f>IFERROR(__xludf.DUMMYFUNCTION("""COMPUTED_VALUE"""),"SITI BARIATUL KHOTIJAH")</f>
        <v>SITI BARIATUL KHOTIJAH</v>
      </c>
      <c r="H3530" s="35" t="str">
        <f>IFERROR(__xludf.DUMMYFUNCTION("""COMPUTED_VALUE"""),"S8126033647")</f>
        <v>S8126033647</v>
      </c>
      <c r="I3530" s="35">
        <f>IFERROR(__xludf.DUMMYFUNCTION("""COMPUTED_VALUE"""),44.0)</f>
        <v>44</v>
      </c>
      <c r="J3530" s="35" t="str">
        <f>IFERROR(__xludf.DUMMYFUNCTION("""COMPUTED_VALUE"""),"35-44 tahun")</f>
        <v>35-44 tahun</v>
      </c>
      <c r="K3530" s="35" t="str">
        <f>IFERROR(__xludf.DUMMYFUNCTION("""COMPUTED_VALUE"""),"06/12/1981")</f>
        <v>06/12/1981</v>
      </c>
      <c r="L3530" s="35" t="str">
        <f>IFERROR(__xludf.DUMMYFUNCTION("""COMPUTED_VALUE"""),"PEREMPUAN")</f>
        <v>PEREMPUAN</v>
      </c>
      <c r="M3530" s="35" t="str">
        <f>IFERROR(__xludf.DUMMYFUNCTION("""COMPUTED_VALUE"""),"JL TABRANI AHMAD KOMP NAVIGASI")</f>
        <v>JL TABRANI AHMAD KOMP NAVIGASI</v>
      </c>
      <c r="N3530" s="35" t="str">
        <f>IFERROR(__xludf.DUMMYFUNCTION("""COMPUTED_VALUE"""),"PAL 5")</f>
        <v>PAL 5</v>
      </c>
      <c r="O3530" s="35" t="str">
        <f>IFERROR(__xludf.DUMMYFUNCTION("""COMPUTED_VALUE"""),"PONTIANAK BARAT")</f>
        <v>PONTIANAK BARAT</v>
      </c>
      <c r="P3530" s="35" t="str">
        <f>IFERROR(__xludf.DUMMYFUNCTION("""COMPUTED_VALUE"""),"PONTIANAK")</f>
        <v>PONTIANAK</v>
      </c>
      <c r="Q3530" s="35" t="str">
        <f>IFERROR(__xludf.DUMMYFUNCTION("""COMPUTED_VALUE"""),"KALIMANTAN BARAT")</f>
        <v>KALIMANTAN BARAT</v>
      </c>
      <c r="R3530" s="35" t="str">
        <f>IFERROR(__xludf.DUMMYFUNCTION("""COMPUTED_VALUE"""),"ISLAM")</f>
        <v>ISLAM</v>
      </c>
      <c r="S3530" s="74" t="str">
        <f>IFERROR(__xludf.DUMMYFUNCTION("""COMPUTED_VALUE"""),"IRT")</f>
        <v>IRT</v>
      </c>
      <c r="T3530" s="35" t="str">
        <f>IFERROR(__xludf.DUMMYFUNCTION("""COMPUTED_VALUE"""),"SAKIT D LENGAN TANGAN")</f>
        <v>SAKIT D LENGAN TANGAN</v>
      </c>
      <c r="U3530" s="35" t="str">
        <f>IFERROR(__xludf.DUMMYFUNCTION("""COMPUTED_VALUE"""),"MEMASAK")</f>
        <v>MEMASAK</v>
      </c>
      <c r="V3530" s="35" t="str">
        <f>IFERROR(__xludf.DUMMYFUNCTION("""COMPUTED_VALUE"""),"82159973647")</f>
        <v>82159973647</v>
      </c>
      <c r="W3530" s="45"/>
    </row>
    <row r="3531">
      <c r="A3531" s="45"/>
      <c r="B3531" s="35" t="str">
        <f>IFERROR(__xludf.DUMMYFUNCTION("""COMPUTED_VALUE"""),"03/03/2026 9:28:20")</f>
        <v>03/03/2026 9:28:20</v>
      </c>
      <c r="C3531" s="35"/>
      <c r="D3531" s="10">
        <f>IFERROR(__xludf.DUMMYFUNCTION("""COMPUTED_VALUE"""),46084.0)</f>
        <v>46084</v>
      </c>
      <c r="E3531" s="35" t="str">
        <f>IFERROR(__xludf.DUMMYFUNCTION("""COMPUTED_VALUE"""),"03Mar")</f>
        <v>03Mar</v>
      </c>
      <c r="F3531" s="35" t="str">
        <f>IFERROR(__xludf.DUMMYFUNCTION("""COMPUTED_VALUE"""),"2026")</f>
        <v>2026</v>
      </c>
      <c r="G3531" s="35" t="str">
        <f>IFERROR(__xludf.DUMMYFUNCTION("""COMPUTED_VALUE"""),"NANDA PUSPITA SARI")</f>
        <v>NANDA PUSPITA SARI</v>
      </c>
      <c r="H3531" s="35" t="str">
        <f>IFERROR(__xludf.DUMMYFUNCTION("""COMPUTED_VALUE"""),"N9426032999")</f>
        <v>N9426032999</v>
      </c>
      <c r="I3531" s="35">
        <f>IFERROR(__xludf.DUMMYFUNCTION("""COMPUTED_VALUE"""),31.0)</f>
        <v>31</v>
      </c>
      <c r="J3531" s="35" t="str">
        <f>IFERROR(__xludf.DUMMYFUNCTION("""COMPUTED_VALUE"""),"25-34 tahun")</f>
        <v>25-34 tahun</v>
      </c>
      <c r="K3531" s="35" t="str">
        <f>IFERROR(__xludf.DUMMYFUNCTION("""COMPUTED_VALUE"""),"12/09/1994")</f>
        <v>12/09/1994</v>
      </c>
      <c r="L3531" s="35" t="str">
        <f>IFERROR(__xludf.DUMMYFUNCTION("""COMPUTED_VALUE"""),"PEREMPUAN")</f>
        <v>PEREMPUAN</v>
      </c>
      <c r="M3531" s="35" t="str">
        <f>IFERROR(__xludf.DUMMYFUNCTION("""COMPUTED_VALUE"""),"JL. URAI BAWADI NO. 36 A")</f>
        <v>JL. URAI BAWADI NO. 36 A</v>
      </c>
      <c r="N3531" s="35" t="str">
        <f>IFERROR(__xludf.DUMMYFUNCTION("""COMPUTED_VALUE"""),"SUNGAI BANGKONG")</f>
        <v>SUNGAI BANGKONG</v>
      </c>
      <c r="O3531" s="35" t="str">
        <f>IFERROR(__xludf.DUMMYFUNCTION("""COMPUTED_VALUE"""),"PONTIANAK KOTA")</f>
        <v>PONTIANAK KOTA</v>
      </c>
      <c r="P3531" s="35" t="str">
        <f>IFERROR(__xludf.DUMMYFUNCTION("""COMPUTED_VALUE"""),"KOTA PONTIANAK")</f>
        <v>KOTA PONTIANAK</v>
      </c>
      <c r="Q3531" s="35" t="str">
        <f>IFERROR(__xludf.DUMMYFUNCTION("""COMPUTED_VALUE"""),"KALIMANTAN BARAT")</f>
        <v>KALIMANTAN BARAT</v>
      </c>
      <c r="R3531" s="35" t="str">
        <f>IFERROR(__xludf.DUMMYFUNCTION("""COMPUTED_VALUE"""),"ISLAM")</f>
        <v>ISLAM</v>
      </c>
      <c r="S3531" s="74" t="str">
        <f>IFERROR(__xludf.DUMMYFUNCTION("""COMPUTED_VALUE"""),"IBU RUMAH TANGGA")</f>
        <v>IBU RUMAH TANGGA</v>
      </c>
      <c r="T3531" s="35" t="str">
        <f>IFERROR(__xludf.DUMMYFUNCTION("""COMPUTED_VALUE"""),"SAKIT DI SEKITARAN PINGGANG KANAN KALO UNTUK JALAN")</f>
        <v>SAKIT DI SEKITARAN PINGGANG KANAN KALO UNTUK JALAN</v>
      </c>
      <c r="U3531" s="35" t="str">
        <f>IFERROR(__xludf.DUMMYFUNCTION("""COMPUTED_VALUE"""),"BANYAK BERDIRI DAN DUDUK")</f>
        <v>BANYAK BERDIRI DAN DUDUK</v>
      </c>
      <c r="V3531" s="35" t="str">
        <f>IFERROR(__xludf.DUMMYFUNCTION("""COMPUTED_VALUE"""),"085750432999")</f>
        <v>085750432999</v>
      </c>
      <c r="W3531" s="45"/>
    </row>
    <row r="3532">
      <c r="A3532" s="45"/>
      <c r="B3532" s="35" t="str">
        <f>IFERROR(__xludf.DUMMYFUNCTION("""COMPUTED_VALUE"""),"04/03/2026 9:12:50")</f>
        <v>04/03/2026 9:12:50</v>
      </c>
      <c r="C3532" s="35"/>
      <c r="D3532" s="10">
        <f>IFERROR(__xludf.DUMMYFUNCTION("""COMPUTED_VALUE"""),46085.0)</f>
        <v>46085</v>
      </c>
      <c r="E3532" s="35" t="str">
        <f>IFERROR(__xludf.DUMMYFUNCTION("""COMPUTED_VALUE"""),"03Mar")</f>
        <v>03Mar</v>
      </c>
      <c r="F3532" s="35" t="str">
        <f>IFERROR(__xludf.DUMMYFUNCTION("""COMPUTED_VALUE"""),"2026")</f>
        <v>2026</v>
      </c>
      <c r="G3532" s="35" t="str">
        <f>IFERROR(__xludf.DUMMYFUNCTION("""COMPUTED_VALUE"""),"EMILIANA ")</f>
        <v>EMILIANA </v>
      </c>
      <c r="H3532" s="35" t="str">
        <f>IFERROR(__xludf.DUMMYFUNCTION("""COMPUTED_VALUE"""),"E8226030888")</f>
        <v>E8226030888</v>
      </c>
      <c r="I3532" s="35">
        <f>IFERROR(__xludf.DUMMYFUNCTION("""COMPUTED_VALUE"""),44.0)</f>
        <v>44</v>
      </c>
      <c r="J3532" s="35" t="str">
        <f>IFERROR(__xludf.DUMMYFUNCTION("""COMPUTED_VALUE"""),"35-44 tahun")</f>
        <v>35-44 tahun</v>
      </c>
      <c r="K3532" s="35" t="str">
        <f>IFERROR(__xludf.DUMMYFUNCTION("""COMPUTED_VALUE"""),"13/03/1982")</f>
        <v>13/03/1982</v>
      </c>
      <c r="L3532" s="35" t="str">
        <f>IFERROR(__xludf.DUMMYFUNCTION("""COMPUTED_VALUE"""),"PEREMPUAN")</f>
        <v>PEREMPUAN</v>
      </c>
      <c r="M3532" s="35" t="str">
        <f>IFERROR(__xludf.DUMMYFUNCTION("""COMPUTED_VALUE"""),"JLN. PERDANA KOMPLEK BALI AGUNG 3 B3")</f>
        <v>JLN. PERDANA KOMPLEK BALI AGUNG 3 B3</v>
      </c>
      <c r="N3532" s="35" t="str">
        <f>IFERROR(__xludf.DUMMYFUNCTION("""COMPUTED_VALUE"""),"PARIT TOKAYA")</f>
        <v>PARIT TOKAYA</v>
      </c>
      <c r="O3532" s="35" t="str">
        <f>IFERROR(__xludf.DUMMYFUNCTION("""COMPUTED_VALUE"""),"PONTIANAK SELATAN")</f>
        <v>PONTIANAK SELATAN</v>
      </c>
      <c r="P3532" s="35" t="str">
        <f>IFERROR(__xludf.DUMMYFUNCTION("""COMPUTED_VALUE"""),"PONTIANAK ")</f>
        <v>PONTIANAK </v>
      </c>
      <c r="Q3532" s="35" t="str">
        <f>IFERROR(__xludf.DUMMYFUNCTION("""COMPUTED_VALUE"""),"KALIMANTAN BARAT")</f>
        <v>KALIMANTAN BARAT</v>
      </c>
      <c r="R3532" s="35" t="str">
        <f>IFERROR(__xludf.DUMMYFUNCTION("""COMPUTED_VALUE"""),"BUDDHA")</f>
        <v>BUDDHA</v>
      </c>
      <c r="S3532" s="74" t="str">
        <f>IFERROR(__xludf.DUMMYFUNCTION("""COMPUTED_VALUE"""),"WIRASWASTA ")</f>
        <v>WIRASWASTA </v>
      </c>
      <c r="T3532" s="35" t="str">
        <f>IFERROR(__xludf.DUMMYFUNCTION("""COMPUTED_VALUE"""),"LEHER DAN TANGAN SAKIT")</f>
        <v>LEHER DAN TANGAN SAKIT</v>
      </c>
      <c r="U3532" s="35" t="str">
        <f>IFERROR(__xludf.DUMMYFUNCTION("""COMPUTED_VALUE"""),"KERJA")</f>
        <v>KERJA</v>
      </c>
      <c r="V3532" s="35" t="str">
        <f>IFERROR(__xludf.DUMMYFUNCTION("""COMPUTED_VALUE"""),"085252640888")</f>
        <v>085252640888</v>
      </c>
      <c r="W3532" s="45"/>
    </row>
    <row r="3533">
      <c r="A3533" s="45"/>
      <c r="B3533" s="35" t="str">
        <f>IFERROR(__xludf.DUMMYFUNCTION("""COMPUTED_VALUE"""),"04/03/2026 12:32:52")</f>
        <v>04/03/2026 12:32:52</v>
      </c>
      <c r="C3533" s="35"/>
      <c r="D3533" s="10">
        <f>IFERROR(__xludf.DUMMYFUNCTION("""COMPUTED_VALUE"""),46085.0)</f>
        <v>46085</v>
      </c>
      <c r="E3533" s="35" t="str">
        <f>IFERROR(__xludf.DUMMYFUNCTION("""COMPUTED_VALUE"""),"03Mar")</f>
        <v>03Mar</v>
      </c>
      <c r="F3533" s="35" t="str">
        <f>IFERROR(__xludf.DUMMYFUNCTION("""COMPUTED_VALUE"""),"2026")</f>
        <v>2026</v>
      </c>
      <c r="G3533" s="35" t="str">
        <f>IFERROR(__xludf.DUMMYFUNCTION("""COMPUTED_VALUE"""),"CARLSON KITCHIROU SETIA")</f>
        <v>CARLSON KITCHIROU SETIA</v>
      </c>
      <c r="H3533" s="35" t="str">
        <f>IFERROR(__xludf.DUMMYFUNCTION("""COMPUTED_VALUE"""),"C1526034389")</f>
        <v>C1526034389</v>
      </c>
      <c r="I3533" s="35">
        <f>IFERROR(__xludf.DUMMYFUNCTION("""COMPUTED_VALUE"""),11.0)</f>
        <v>11</v>
      </c>
      <c r="J3533" s="35" t="str">
        <f>IFERROR(__xludf.DUMMYFUNCTION("""COMPUTED_VALUE"""),"&lt; 18 tahun")</f>
        <v>&lt; 18 tahun</v>
      </c>
      <c r="K3533" s="35" t="str">
        <f>IFERROR(__xludf.DUMMYFUNCTION("""COMPUTED_VALUE"""),"26/05/2015")</f>
        <v>26/05/2015</v>
      </c>
      <c r="L3533" s="35" t="str">
        <f>IFERROR(__xludf.DUMMYFUNCTION("""COMPUTED_VALUE"""),"LAKI-LAKI")</f>
        <v>LAKI-LAKI</v>
      </c>
      <c r="M3533" s="35" t="str">
        <f>IFERROR(__xludf.DUMMYFUNCTION("""COMPUTED_VALUE"""),"JL. PURNAMA AGUNG 7 NO B21")</f>
        <v>JL. PURNAMA AGUNG 7 NO B21</v>
      </c>
      <c r="N3533" s="35" t="str">
        <f>IFERROR(__xludf.DUMMYFUNCTION("""COMPUTED_VALUE"""),"PARIT TOKAYA")</f>
        <v>PARIT TOKAYA</v>
      </c>
      <c r="O3533" s="35" t="str">
        <f>IFERROR(__xludf.DUMMYFUNCTION("""COMPUTED_VALUE"""),"PONTIANAK SELATAN")</f>
        <v>PONTIANAK SELATAN</v>
      </c>
      <c r="P3533" s="35" t="str">
        <f>IFERROR(__xludf.DUMMYFUNCTION("""COMPUTED_VALUE"""),"PONTIANAK")</f>
        <v>PONTIANAK</v>
      </c>
      <c r="Q3533" s="35" t="str">
        <f>IFERROR(__xludf.DUMMYFUNCTION("""COMPUTED_VALUE"""),"KALIMANTAN BARAT ")</f>
        <v>KALIMANTAN BARAT </v>
      </c>
      <c r="R3533" s="35" t="str">
        <f>IFERROR(__xludf.DUMMYFUNCTION("""COMPUTED_VALUE"""),"KATOLIK")</f>
        <v>KATOLIK</v>
      </c>
      <c r="S3533" s="74" t="str">
        <f>IFERROR(__xludf.DUMMYFUNCTION("""COMPUTED_VALUE"""),"PELAJAR")</f>
        <v>PELAJAR</v>
      </c>
      <c r="T3533" s="35" t="str">
        <f>IFERROR(__xludf.DUMMYFUNCTION("""COMPUTED_VALUE"""),"CEDERA LUTUT, LUTUT SAKIT KALO LARI ATAU DIPEGANG")</f>
        <v>CEDERA LUTUT, LUTUT SAKIT KALO LARI ATAU DIPEGANG</v>
      </c>
      <c r="U3533" s="35" t="str">
        <f>IFERROR(__xludf.DUMMYFUNCTION("""COMPUTED_VALUE"""),"BASKET")</f>
        <v>BASKET</v>
      </c>
      <c r="V3533" s="35" t="str">
        <f>IFERROR(__xludf.DUMMYFUNCTION("""COMPUTED_VALUE"""),"895366694389")</f>
        <v>895366694389</v>
      </c>
      <c r="W3533" s="45"/>
    </row>
    <row r="3534">
      <c r="A3534" s="45"/>
      <c r="B3534" s="35" t="str">
        <f>IFERROR(__xludf.DUMMYFUNCTION("""COMPUTED_VALUE"""),"04/03/2026 15:57:03")</f>
        <v>04/03/2026 15:57:03</v>
      </c>
      <c r="C3534" s="35"/>
      <c r="D3534" s="10">
        <f>IFERROR(__xludf.DUMMYFUNCTION("""COMPUTED_VALUE"""),46085.0)</f>
        <v>46085</v>
      </c>
      <c r="E3534" s="35" t="str">
        <f>IFERROR(__xludf.DUMMYFUNCTION("""COMPUTED_VALUE"""),"03Mar")</f>
        <v>03Mar</v>
      </c>
      <c r="F3534" s="35" t="str">
        <f>IFERROR(__xludf.DUMMYFUNCTION("""COMPUTED_VALUE"""),"2026")</f>
        <v>2026</v>
      </c>
      <c r="G3534" s="35" t="str">
        <f>IFERROR(__xludf.DUMMYFUNCTION("""COMPUTED_VALUE"""),"IQBAL EKA PUTRA")</f>
        <v>IQBAL EKA PUTRA</v>
      </c>
      <c r="H3534" s="35" t="str">
        <f>IFERROR(__xludf.DUMMYFUNCTION("""COMPUTED_VALUE"""),"I9726037451")</f>
        <v>I9726037451</v>
      </c>
      <c r="I3534" s="35">
        <f>IFERROR(__xludf.DUMMYFUNCTION("""COMPUTED_VALUE"""),29.0)</f>
        <v>29</v>
      </c>
      <c r="J3534" s="35" t="str">
        <f>IFERROR(__xludf.DUMMYFUNCTION("""COMPUTED_VALUE"""),"25-34 tahun")</f>
        <v>25-34 tahun</v>
      </c>
      <c r="K3534" s="35" t="str">
        <f>IFERROR(__xludf.DUMMYFUNCTION("""COMPUTED_VALUE"""),"21/02/1997")</f>
        <v>21/02/1997</v>
      </c>
      <c r="L3534" s="35" t="str">
        <f>IFERROR(__xludf.DUMMYFUNCTION("""COMPUTED_VALUE"""),"LAKI-LAKI")</f>
        <v>LAKI-LAKI</v>
      </c>
      <c r="M3534" s="35" t="str">
        <f>IFERROR(__xludf.DUMMYFUNCTION("""COMPUTED_VALUE"""),"ASRAMA POLRES BENGKAYANG")</f>
        <v>ASRAMA POLRES BENGKAYANG</v>
      </c>
      <c r="N3534" s="35" t="str">
        <f>IFERROR(__xludf.DUMMYFUNCTION("""COMPUTED_VALUE"""),"RANGKANG")</f>
        <v>RANGKANG</v>
      </c>
      <c r="O3534" s="35" t="str">
        <f>IFERROR(__xludf.DUMMYFUNCTION("""COMPUTED_VALUE"""),"BENGKAYANG")</f>
        <v>BENGKAYANG</v>
      </c>
      <c r="P3534" s="35" t="str">
        <f>IFERROR(__xludf.DUMMYFUNCTION("""COMPUTED_VALUE"""),"BENGKAYANG")</f>
        <v>BENGKAYANG</v>
      </c>
      <c r="Q3534" s="35" t="str">
        <f>IFERROR(__xludf.DUMMYFUNCTION("""COMPUTED_VALUE"""),"KALBAR")</f>
        <v>KALBAR</v>
      </c>
      <c r="R3534" s="35" t="str">
        <f>IFERROR(__xludf.DUMMYFUNCTION("""COMPUTED_VALUE"""),"ISLAM")</f>
        <v>ISLAM</v>
      </c>
      <c r="S3534" s="74" t="str">
        <f>IFERROR(__xludf.DUMMYFUNCTION("""COMPUTED_VALUE"""),"POLRI")</f>
        <v>POLRI</v>
      </c>
      <c r="T3534" s="35" t="str">
        <f>IFERROR(__xludf.DUMMYFUNCTION("""COMPUTED_VALUE"""),"PINGGANG BELAKANG SAKIT")</f>
        <v>PINGGANG BELAKANG SAKIT</v>
      </c>
      <c r="U3534" s="35" t="str">
        <f>IFERROR(__xludf.DUMMYFUNCTION("""COMPUTED_VALUE"""),"BADMINTON DAN LARI")</f>
        <v>BADMINTON DAN LARI</v>
      </c>
      <c r="V3534" s="35" t="str">
        <f>IFERROR(__xludf.DUMMYFUNCTION("""COMPUTED_VALUE"""),"082155617451")</f>
        <v>082155617451</v>
      </c>
      <c r="W3534" s="45"/>
    </row>
    <row r="3535">
      <c r="A3535" s="45"/>
      <c r="B3535" s="35" t="str">
        <f>IFERROR(__xludf.DUMMYFUNCTION("""COMPUTED_VALUE"""),"04/03/2026 16:26:36")</f>
        <v>04/03/2026 16:26:36</v>
      </c>
      <c r="C3535" s="35"/>
      <c r="D3535" s="10">
        <f>IFERROR(__xludf.DUMMYFUNCTION("""COMPUTED_VALUE"""),46085.0)</f>
        <v>46085</v>
      </c>
      <c r="E3535" s="35" t="str">
        <f>IFERROR(__xludf.DUMMYFUNCTION("""COMPUTED_VALUE"""),"03Mar")</f>
        <v>03Mar</v>
      </c>
      <c r="F3535" s="35" t="str">
        <f>IFERROR(__xludf.DUMMYFUNCTION("""COMPUTED_VALUE"""),"2026")</f>
        <v>2026</v>
      </c>
      <c r="G3535" s="35" t="str">
        <f>IFERROR(__xludf.DUMMYFUNCTION("""COMPUTED_VALUE"""),"AZRIEL REIVAN AKBAR")</f>
        <v>AZRIEL REIVAN AKBAR</v>
      </c>
      <c r="H3535" s="35" t="str">
        <f>IFERROR(__xludf.DUMMYFUNCTION("""COMPUTED_VALUE"""),"A0626031560")</f>
        <v>A0626031560</v>
      </c>
      <c r="I3535" s="35">
        <f>IFERROR(__xludf.DUMMYFUNCTION("""COMPUTED_VALUE"""),20.0)</f>
        <v>20</v>
      </c>
      <c r="J3535" s="35" t="str">
        <f>IFERROR(__xludf.DUMMYFUNCTION("""COMPUTED_VALUE"""),"18-24 tahun")</f>
        <v>18-24 tahun</v>
      </c>
      <c r="K3535" s="35" t="str">
        <f>IFERROR(__xludf.DUMMYFUNCTION("""COMPUTED_VALUE"""),"19/04/2006")</f>
        <v>19/04/2006</v>
      </c>
      <c r="L3535" s="35" t="str">
        <f>IFERROR(__xludf.DUMMYFUNCTION("""COMPUTED_VALUE"""),"LAKI-LAKI")</f>
        <v>LAKI-LAKI</v>
      </c>
      <c r="M3535" s="35" t="str">
        <f>IFERROR(__xludf.DUMMYFUNCTION("""COMPUTED_VALUE"""),"DANAU SENTARUM")</f>
        <v>DANAU SENTARUM</v>
      </c>
      <c r="N3535" s="35" t="str">
        <f>IFERROR(__xludf.DUMMYFUNCTION("""COMPUTED_VALUE"""),"-")</f>
        <v>-</v>
      </c>
      <c r="O3535" s="35" t="str">
        <f>IFERROR(__xludf.DUMMYFUNCTION("""COMPUTED_VALUE"""),"-")</f>
        <v>-</v>
      </c>
      <c r="P3535" s="35" t="str">
        <f>IFERROR(__xludf.DUMMYFUNCTION("""COMPUTED_VALUE"""),"PONTIANAK")</f>
        <v>PONTIANAK</v>
      </c>
      <c r="Q3535" s="35" t="str">
        <f>IFERROR(__xludf.DUMMYFUNCTION("""COMPUTED_VALUE"""),"KALIMANTAN BARAT")</f>
        <v>KALIMANTAN BARAT</v>
      </c>
      <c r="R3535" s="35" t="str">
        <f>IFERROR(__xludf.DUMMYFUNCTION("""COMPUTED_VALUE"""),"ISLAM")</f>
        <v>ISLAM</v>
      </c>
      <c r="S3535" s="74" t="str">
        <f>IFERROR(__xludf.DUMMYFUNCTION("""COMPUTED_VALUE"""),"-")</f>
        <v>-</v>
      </c>
      <c r="T3535" s="35" t="str">
        <f>IFERROR(__xludf.DUMMYFUNCTION("""COMPUTED_VALUE"""),"KAKI X")</f>
        <v>KAKI X</v>
      </c>
      <c r="U3535" s="35" t="str">
        <f>IFERROR(__xludf.DUMMYFUNCTION("""COMPUTED_VALUE"""),"-")</f>
        <v>-</v>
      </c>
      <c r="V3535" s="35" t="str">
        <f>IFERROR(__xludf.DUMMYFUNCTION("""COMPUTED_VALUE"""),"082256421560")</f>
        <v>082256421560</v>
      </c>
      <c r="W3535" s="45"/>
    </row>
    <row r="3536">
      <c r="A3536" s="45"/>
      <c r="B3536" s="35" t="str">
        <f>IFERROR(__xludf.DUMMYFUNCTION("""COMPUTED_VALUE"""),"05/03/2026 9:12:07")</f>
        <v>05/03/2026 9:12:07</v>
      </c>
      <c r="C3536" s="35"/>
      <c r="D3536" s="10">
        <f>IFERROR(__xludf.DUMMYFUNCTION("""COMPUTED_VALUE"""),46086.0)</f>
        <v>46086</v>
      </c>
      <c r="E3536" s="35" t="str">
        <f>IFERROR(__xludf.DUMMYFUNCTION("""COMPUTED_VALUE"""),"03Mar")</f>
        <v>03Mar</v>
      </c>
      <c r="F3536" s="35" t="str">
        <f>IFERROR(__xludf.DUMMYFUNCTION("""COMPUTED_VALUE"""),"2026")</f>
        <v>2026</v>
      </c>
      <c r="G3536" s="35" t="str">
        <f>IFERROR(__xludf.DUMMYFUNCTION("""COMPUTED_VALUE"""),"AGNES FELIM")</f>
        <v>AGNES FELIM</v>
      </c>
      <c r="H3536" s="35" t="str">
        <f>IFERROR(__xludf.DUMMYFUNCTION("""COMPUTED_VALUE"""),"A9726036079")</f>
        <v>A9726036079</v>
      </c>
      <c r="I3536" s="35">
        <f>IFERROR(__xludf.DUMMYFUNCTION("""COMPUTED_VALUE"""),29.0)</f>
        <v>29</v>
      </c>
      <c r="J3536" s="35" t="str">
        <f>IFERROR(__xludf.DUMMYFUNCTION("""COMPUTED_VALUE"""),"25-34 tahun")</f>
        <v>25-34 tahun</v>
      </c>
      <c r="K3536" s="35" t="str">
        <f>IFERROR(__xludf.DUMMYFUNCTION("""COMPUTED_VALUE"""),"20/05/1997")</f>
        <v>20/05/1997</v>
      </c>
      <c r="L3536" s="35" t="str">
        <f>IFERROR(__xludf.DUMMYFUNCTION("""COMPUTED_VALUE"""),"PEREMPUAN")</f>
        <v>PEREMPUAN</v>
      </c>
      <c r="M3536" s="35" t="str">
        <f>IFERROR(__xludf.DUMMYFUNCTION("""COMPUTED_VALUE"""),"JL KH AHMAD DAHLAN GG MARGOSARI NO 16")</f>
        <v>JL KH AHMAD DAHLAN GG MARGOSARI NO 16</v>
      </c>
      <c r="N3536" s="35" t="str">
        <f>IFERROR(__xludf.DUMMYFUNCTION("""COMPUTED_VALUE"""),"SUNGAI BANGKONG")</f>
        <v>SUNGAI BANGKONG</v>
      </c>
      <c r="O3536" s="35" t="str">
        <f>IFERROR(__xludf.DUMMYFUNCTION("""COMPUTED_VALUE"""),"PONTIANAK KOTA")</f>
        <v>PONTIANAK KOTA</v>
      </c>
      <c r="P3536" s="35" t="str">
        <f>IFERROR(__xludf.DUMMYFUNCTION("""COMPUTED_VALUE"""),"PONTIANAK")</f>
        <v>PONTIANAK</v>
      </c>
      <c r="Q3536" s="35" t="str">
        <f>IFERROR(__xludf.DUMMYFUNCTION("""COMPUTED_VALUE"""),"KAK")</f>
        <v>KAK</v>
      </c>
      <c r="R3536" s="35" t="str">
        <f>IFERROR(__xludf.DUMMYFUNCTION("""COMPUTED_VALUE"""),"BUDDHA")</f>
        <v>BUDDHA</v>
      </c>
      <c r="S3536" s="74" t="str">
        <f>IFERROR(__xludf.DUMMYFUNCTION("""COMPUTED_VALUE"""),"PERBANKAN")</f>
        <v>PERBANKAN</v>
      </c>
      <c r="T3536" s="35" t="str">
        <f>IFERROR(__xludf.DUMMYFUNCTION("""COMPUTED_VALUE"""),"BAGIAN PINGGANG SAKIT JIKA MEMBUNGKUK, SUDAH HAMPI 2 MINGGUAN LEWAT")</f>
        <v>BAGIAN PINGGANG SAKIT JIKA MEMBUNGKUK, SUDAH HAMPI 2 MINGGUAN LEWAT</v>
      </c>
      <c r="U3536" s="35" t="str">
        <f>IFERROR(__xludf.DUMMYFUNCTION("""COMPUTED_VALUE"""),"BANYAK DUDUK DAN BERDIRI LAMA")</f>
        <v>BANYAK DUDUK DAN BERDIRI LAMA</v>
      </c>
      <c r="V3536" s="35" t="str">
        <f>IFERROR(__xludf.DUMMYFUNCTION("""COMPUTED_VALUE"""),"08987126079")</f>
        <v>08987126079</v>
      </c>
      <c r="W3536" s="45"/>
    </row>
    <row r="3537">
      <c r="A3537" s="45"/>
      <c r="B3537" s="35" t="str">
        <f>IFERROR(__xludf.DUMMYFUNCTION("""COMPUTED_VALUE"""),"05/03/2026 9:19:14")</f>
        <v>05/03/2026 9:19:14</v>
      </c>
      <c r="C3537" s="35"/>
      <c r="D3537" s="10">
        <f>IFERROR(__xludf.DUMMYFUNCTION("""COMPUTED_VALUE"""),46087.0)</f>
        <v>46087</v>
      </c>
      <c r="E3537" s="35" t="str">
        <f>IFERROR(__xludf.DUMMYFUNCTION("""COMPUTED_VALUE"""),"03Mar")</f>
        <v>03Mar</v>
      </c>
      <c r="F3537" s="35" t="str">
        <f>IFERROR(__xludf.DUMMYFUNCTION("""COMPUTED_VALUE"""),"2026")</f>
        <v>2026</v>
      </c>
      <c r="G3537" s="35" t="str">
        <f>IFERROR(__xludf.DUMMYFUNCTION("""COMPUTED_VALUE"""),"FREDERICA")</f>
        <v>FREDERICA</v>
      </c>
      <c r="H3537" s="35" t="str">
        <f>IFERROR(__xludf.DUMMYFUNCTION("""COMPUTED_VALUE"""),"F0026039583")</f>
        <v>F0026039583</v>
      </c>
      <c r="I3537" s="35">
        <f>IFERROR(__xludf.DUMMYFUNCTION("""COMPUTED_VALUE"""),26.0)</f>
        <v>26</v>
      </c>
      <c r="J3537" s="35" t="str">
        <f>IFERROR(__xludf.DUMMYFUNCTION("""COMPUTED_VALUE"""),"25-34 tahun")</f>
        <v>25-34 tahun</v>
      </c>
      <c r="K3537" s="35" t="str">
        <f>IFERROR(__xludf.DUMMYFUNCTION("""COMPUTED_VALUE"""),"23/04/2000")</f>
        <v>23/04/2000</v>
      </c>
      <c r="L3537" s="35" t="str">
        <f>IFERROR(__xludf.DUMMYFUNCTION("""COMPUTED_VALUE"""),"PEREMPUAN")</f>
        <v>PEREMPUAN</v>
      </c>
      <c r="M3537" s="35" t="str">
        <f>IFERROR(__xludf.DUMMYFUNCTION("""COMPUTED_VALUE"""),"JLN PURNAMA GG ANGGREK 3 NO 18B")</f>
        <v>JLN PURNAMA GG ANGGREK 3 NO 18B</v>
      </c>
      <c r="N3537" s="35" t="str">
        <f>IFERROR(__xludf.DUMMYFUNCTION("""COMPUTED_VALUE"""),"PARIT TOKAYA")</f>
        <v>PARIT TOKAYA</v>
      </c>
      <c r="O3537" s="35" t="str">
        <f>IFERROR(__xludf.DUMMYFUNCTION("""COMPUTED_VALUE"""),"PONTIANAK SELATAN")</f>
        <v>PONTIANAK SELATAN</v>
      </c>
      <c r="P3537" s="35" t="str">
        <f>IFERROR(__xludf.DUMMYFUNCTION("""COMPUTED_VALUE"""),"PONTIANAK")</f>
        <v>PONTIANAK</v>
      </c>
      <c r="Q3537" s="35" t="str">
        <f>IFERROR(__xludf.DUMMYFUNCTION("""COMPUTED_VALUE"""),"KALIMANTAN BARAT")</f>
        <v>KALIMANTAN BARAT</v>
      </c>
      <c r="R3537" s="35" t="str">
        <f>IFERROR(__xludf.DUMMYFUNCTION("""COMPUTED_VALUE"""),"KHONGHUCU")</f>
        <v>KHONGHUCU</v>
      </c>
      <c r="S3537" s="74" t="str">
        <f>IFERROR(__xludf.DUMMYFUNCTION("""COMPUTED_VALUE"""),"ADMIN")</f>
        <v>ADMIN</v>
      </c>
      <c r="T3537" s="35" t="str">
        <f>IFERROR(__xludf.DUMMYFUNCTION("""COMPUTED_VALUE"""),"KAKI LUTUT SAKIT")</f>
        <v>KAKI LUTUT SAKIT</v>
      </c>
      <c r="U3537" s="35" t="str">
        <f>IFERROR(__xludf.DUMMYFUNCTION("""COMPUTED_VALUE"""),"GAK ADA")</f>
        <v>GAK ADA</v>
      </c>
      <c r="V3537" s="35" t="str">
        <f>IFERROR(__xludf.DUMMYFUNCTION("""COMPUTED_VALUE"""),"082150279583")</f>
        <v>082150279583</v>
      </c>
      <c r="W3537" s="45"/>
    </row>
    <row r="3538">
      <c r="A3538" s="45"/>
      <c r="B3538" s="35" t="str">
        <f>IFERROR(__xludf.DUMMYFUNCTION("""COMPUTED_VALUE"""),"05/03/2026 9:42:48")</f>
        <v>05/03/2026 9:42:48</v>
      </c>
      <c r="C3538" s="35"/>
      <c r="D3538" s="10">
        <f>IFERROR(__xludf.DUMMYFUNCTION("""COMPUTED_VALUE"""),46086.0)</f>
        <v>46086</v>
      </c>
      <c r="E3538" s="35" t="str">
        <f>IFERROR(__xludf.DUMMYFUNCTION("""COMPUTED_VALUE"""),"03Mar")</f>
        <v>03Mar</v>
      </c>
      <c r="F3538" s="35" t="str">
        <f>IFERROR(__xludf.DUMMYFUNCTION("""COMPUTED_VALUE"""),"2026")</f>
        <v>2026</v>
      </c>
      <c r="G3538" s="35" t="str">
        <f>IFERROR(__xludf.DUMMYFUNCTION("""COMPUTED_VALUE"""),"SULASTRI")</f>
        <v>SULASTRI</v>
      </c>
      <c r="H3538" s="35" t="str">
        <f>IFERROR(__xludf.DUMMYFUNCTION("""COMPUTED_VALUE"""),"S7026038689")</f>
        <v>S7026038689</v>
      </c>
      <c r="I3538" s="35">
        <f>IFERROR(__xludf.DUMMYFUNCTION("""COMPUTED_VALUE"""),55.0)</f>
        <v>55</v>
      </c>
      <c r="J3538" s="35" t="str">
        <f>IFERROR(__xludf.DUMMYFUNCTION("""COMPUTED_VALUE"""),"&gt; 44 tahun")</f>
        <v>&gt; 44 tahun</v>
      </c>
      <c r="K3538" s="35" t="str">
        <f>IFERROR(__xludf.DUMMYFUNCTION("""COMPUTED_VALUE"""),"18/07/1970")</f>
        <v>18/07/1970</v>
      </c>
      <c r="L3538" s="35" t="str">
        <f>IFERROR(__xludf.DUMMYFUNCTION("""COMPUTED_VALUE"""),"PEREMPUAN")</f>
        <v>PEREMPUAN</v>
      </c>
      <c r="M3538" s="35" t="str">
        <f>IFERROR(__xludf.DUMMYFUNCTION("""COMPUTED_VALUE"""),"JL PROF M YAMIN GG NIRBAYA 4 NO 7")</f>
        <v>JL PROF M YAMIN GG NIRBAYA 4 NO 7</v>
      </c>
      <c r="N3538" s="35" t="str">
        <f>IFERROR(__xludf.DUMMYFUNCTION("""COMPUTED_VALUE"""),"KOTA BARU")</f>
        <v>KOTA BARU</v>
      </c>
      <c r="O3538" s="35" t="str">
        <f>IFERROR(__xludf.DUMMYFUNCTION("""COMPUTED_VALUE"""),"PONTIANAK SELATAN")</f>
        <v>PONTIANAK SELATAN</v>
      </c>
      <c r="P3538" s="35" t="str">
        <f>IFERROR(__xludf.DUMMYFUNCTION("""COMPUTED_VALUE"""),"KOTA PONTIANAK")</f>
        <v>KOTA PONTIANAK</v>
      </c>
      <c r="Q3538" s="35" t="str">
        <f>IFERROR(__xludf.DUMMYFUNCTION("""COMPUTED_VALUE"""),"KALIMANTAN BARAT")</f>
        <v>KALIMANTAN BARAT</v>
      </c>
      <c r="R3538" s="35" t="str">
        <f>IFERROR(__xludf.DUMMYFUNCTION("""COMPUTED_VALUE"""),"ISLAM")</f>
        <v>ISLAM</v>
      </c>
      <c r="S3538" s="74" t="str">
        <f>IFERROR(__xludf.DUMMYFUNCTION("""COMPUTED_VALUE"""),"HONORER")</f>
        <v>HONORER</v>
      </c>
      <c r="T3538" s="35" t="str">
        <f>IFERROR(__xludf.DUMMYFUNCTION("""COMPUTED_VALUE"""),"STROKE TANGAN DAN KAKI KANAN")</f>
        <v>STROKE TANGAN DAN KAKI KANAN</v>
      </c>
      <c r="U3538" s="35" t="str">
        <f>IFERROR(__xludf.DUMMYFUNCTION("""COMPUTED_VALUE"""),"KERJA")</f>
        <v>KERJA</v>
      </c>
      <c r="V3538" s="35" t="str">
        <f>IFERROR(__xludf.DUMMYFUNCTION("""COMPUTED_VALUE"""),"085651208689")</f>
        <v>085651208689</v>
      </c>
      <c r="W3538" s="45"/>
    </row>
    <row r="3539">
      <c r="A3539" s="45"/>
      <c r="B3539" s="35" t="str">
        <f>IFERROR(__xludf.DUMMYFUNCTION("""COMPUTED_VALUE"""),"05/03/2026 7:46:32")</f>
        <v>05/03/2026 7:46:32</v>
      </c>
      <c r="C3539" s="35"/>
      <c r="D3539" s="10">
        <f>IFERROR(__xludf.DUMMYFUNCTION("""COMPUTED_VALUE"""),46086.0)</f>
        <v>46086</v>
      </c>
      <c r="E3539" s="35" t="str">
        <f>IFERROR(__xludf.DUMMYFUNCTION("""COMPUTED_VALUE"""),"03Mar")</f>
        <v>03Mar</v>
      </c>
      <c r="F3539" s="35" t="str">
        <f>IFERROR(__xludf.DUMMYFUNCTION("""COMPUTED_VALUE"""),"2026")</f>
        <v>2026</v>
      </c>
      <c r="G3539" s="35" t="str">
        <f>IFERROR(__xludf.DUMMYFUNCTION("""COMPUTED_VALUE"""),"SLAMET WIDODO")</f>
        <v>SLAMET WIDODO</v>
      </c>
      <c r="H3539" s="35" t="str">
        <f>IFERROR(__xludf.DUMMYFUNCTION("""COMPUTED_VALUE"""),"S8626037896")</f>
        <v>S8626037896</v>
      </c>
      <c r="I3539" s="35">
        <f>IFERROR(__xludf.DUMMYFUNCTION("""COMPUTED_VALUE"""),39.0)</f>
        <v>39</v>
      </c>
      <c r="J3539" s="35" t="str">
        <f>IFERROR(__xludf.DUMMYFUNCTION("""COMPUTED_VALUE"""),"35-44 tahun")</f>
        <v>35-44 tahun</v>
      </c>
      <c r="K3539" s="35" t="str">
        <f>IFERROR(__xludf.DUMMYFUNCTION("""COMPUTED_VALUE"""),"28/07/1986")</f>
        <v>28/07/1986</v>
      </c>
      <c r="L3539" s="35" t="str">
        <f>IFERROR(__xludf.DUMMYFUNCTION("""COMPUTED_VALUE"""),"LAKI-LAKI")</f>
        <v>LAKI-LAKI</v>
      </c>
      <c r="M3539" s="35" t="str">
        <f>IFERROR(__xludf.DUMMYFUNCTION("""COMPUTED_VALUE"""),"JALAN SUMATRA GANG MEKAR NO 48")</f>
        <v>JALAN SUMATRA GANG MEKAR NO 48</v>
      </c>
      <c r="N3539" s="35" t="str">
        <f>IFERROR(__xludf.DUMMYFUNCTION("""COMPUTED_VALUE"""),"AKCAYA")</f>
        <v>AKCAYA</v>
      </c>
      <c r="O3539" s="35" t="str">
        <f>IFERROR(__xludf.DUMMYFUNCTION("""COMPUTED_VALUE"""),"PONTIANAK KOTA ")</f>
        <v>PONTIANAK KOTA </v>
      </c>
      <c r="P3539" s="35" t="str">
        <f>IFERROR(__xludf.DUMMYFUNCTION("""COMPUTED_VALUE"""),"PONTIANAK")</f>
        <v>PONTIANAK</v>
      </c>
      <c r="Q3539" s="35" t="str">
        <f>IFERROR(__xludf.DUMMYFUNCTION("""COMPUTED_VALUE"""),"KALIMANTAN BARAT ")</f>
        <v>KALIMANTAN BARAT </v>
      </c>
      <c r="R3539" s="35" t="str">
        <f>IFERROR(__xludf.DUMMYFUNCTION("""COMPUTED_VALUE"""),"ISLAM")</f>
        <v>ISLAM</v>
      </c>
      <c r="S3539" s="74" t="str">
        <f>IFERROR(__xludf.DUMMYFUNCTION("""COMPUTED_VALUE"""),"KARYAWAN SWASTA")</f>
        <v>KARYAWAN SWASTA</v>
      </c>
      <c r="T3539" s="35" t="str">
        <f>IFERROR(__xludf.DUMMYFUNCTION("""COMPUTED_VALUE"""),"TANGAN SAKIT")</f>
        <v>TANGAN SAKIT</v>
      </c>
      <c r="U3539" s="35" t="str">
        <f>IFERROR(__xludf.DUMMYFUNCTION("""COMPUTED_VALUE"""),"SUPIR")</f>
        <v>SUPIR</v>
      </c>
      <c r="V3539" s="35" t="str">
        <f>IFERROR(__xludf.DUMMYFUNCTION("""COMPUTED_VALUE"""),"085787087896")</f>
        <v>085787087896</v>
      </c>
      <c r="W3539" s="45"/>
    </row>
    <row r="3540">
      <c r="A3540" s="45"/>
      <c r="B3540" s="35" t="str">
        <f>IFERROR(__xludf.DUMMYFUNCTION("""COMPUTED_VALUE"""),"07/03/2026 8:46:23")</f>
        <v>07/03/2026 8:46:23</v>
      </c>
      <c r="C3540" s="35"/>
      <c r="D3540" s="10">
        <f>IFERROR(__xludf.DUMMYFUNCTION("""COMPUTED_VALUE"""),46088.0)</f>
        <v>46088</v>
      </c>
      <c r="E3540" s="35" t="str">
        <f>IFERROR(__xludf.DUMMYFUNCTION("""COMPUTED_VALUE"""),"03Mar")</f>
        <v>03Mar</v>
      </c>
      <c r="F3540" s="35" t="str">
        <f>IFERROR(__xludf.DUMMYFUNCTION("""COMPUTED_VALUE"""),"2026")</f>
        <v>2026</v>
      </c>
      <c r="G3540" s="35" t="str">
        <f>IFERROR(__xludf.DUMMYFUNCTION("""COMPUTED_VALUE"""),"MOK SOI PHIN")</f>
        <v>MOK SOI PHIN</v>
      </c>
      <c r="H3540" s="35" t="str">
        <f>IFERROR(__xludf.DUMMYFUNCTION("""COMPUTED_VALUE"""),"M6026030150")</f>
        <v>M6026030150</v>
      </c>
      <c r="I3540" s="35">
        <f>IFERROR(__xludf.DUMMYFUNCTION("""COMPUTED_VALUE"""),66.0)</f>
        <v>66</v>
      </c>
      <c r="J3540" s="35" t="str">
        <f>IFERROR(__xludf.DUMMYFUNCTION("""COMPUTED_VALUE"""),"&gt; 44 tahun")</f>
        <v>&gt; 44 tahun</v>
      </c>
      <c r="K3540" s="35" t="str">
        <f>IFERROR(__xludf.DUMMYFUNCTION("""COMPUTED_VALUE"""),"23/03/1960")</f>
        <v>23/03/1960</v>
      </c>
      <c r="L3540" s="35" t="str">
        <f>IFERROR(__xludf.DUMMYFUNCTION("""COMPUTED_VALUE"""),"PEREMPUAN")</f>
        <v>PEREMPUAN</v>
      </c>
      <c r="M3540" s="35" t="str">
        <f>IFERROR(__xludf.DUMMYFUNCTION("""COMPUTED_VALUE"""),"JL ")</f>
        <v>JL </v>
      </c>
      <c r="N3540" s="35" t="str">
        <f>IFERROR(__xludf.DUMMYFUNCTION("""COMPUTED_VALUE"""),"JL JOHAR GG ALADIN NO 5")</f>
        <v>JL JOHAR GG ALADIN NO 5</v>
      </c>
      <c r="O3540" s="35" t="str">
        <f>IFERROR(__xludf.DUMMYFUNCTION("""COMPUTED_VALUE"""),"PONTIANAK KOTA")</f>
        <v>PONTIANAK KOTA</v>
      </c>
      <c r="P3540" s="35" t="str">
        <f>IFERROR(__xludf.DUMMYFUNCTION("""COMPUTED_VALUE"""),"PONTIANAK")</f>
        <v>PONTIANAK</v>
      </c>
      <c r="Q3540" s="35" t="str">
        <f>IFERROR(__xludf.DUMMYFUNCTION("""COMPUTED_VALUE"""),"KALIMANTAN BARAT")</f>
        <v>KALIMANTAN BARAT</v>
      </c>
      <c r="R3540" s="35" t="str">
        <f>IFERROR(__xludf.DUMMYFUNCTION("""COMPUTED_VALUE"""),"BUDDHA")</f>
        <v>BUDDHA</v>
      </c>
      <c r="S3540" s="74" t="str">
        <f>IFERROR(__xludf.DUMMYFUNCTION("""COMPUTED_VALUE"""),"IBU RUMAH TANGGA")</f>
        <v>IBU RUMAH TANGGA</v>
      </c>
      <c r="T3540" s="35" t="str">
        <f>IFERROR(__xludf.DUMMYFUNCTION("""COMPUTED_VALUE"""),"TIDAK BISA TEKUK")</f>
        <v>TIDAK BISA TEKUK</v>
      </c>
      <c r="U3540" s="35" t="str">
        <f>IFERROR(__xludf.DUMMYFUNCTION("""COMPUTED_VALUE"""),"CATERING")</f>
        <v>CATERING</v>
      </c>
      <c r="V3540" s="35" t="str">
        <f>IFERROR(__xludf.DUMMYFUNCTION("""COMPUTED_VALUE"""),"082352670150")</f>
        <v>082352670150</v>
      </c>
      <c r="W3540" s="45"/>
    </row>
    <row r="3541">
      <c r="A3541" s="45"/>
      <c r="B3541" s="35" t="str">
        <f>IFERROR(__xludf.DUMMYFUNCTION("""COMPUTED_VALUE"""),"07/03/2026 9:18:40")</f>
        <v>07/03/2026 9:18:40</v>
      </c>
      <c r="C3541" s="35"/>
      <c r="D3541" s="10">
        <f>IFERROR(__xludf.DUMMYFUNCTION("""COMPUTED_VALUE"""),46088.0)</f>
        <v>46088</v>
      </c>
      <c r="E3541" s="35" t="str">
        <f>IFERROR(__xludf.DUMMYFUNCTION("""COMPUTED_VALUE"""),"03Mar")</f>
        <v>03Mar</v>
      </c>
      <c r="F3541" s="35" t="str">
        <f>IFERROR(__xludf.DUMMYFUNCTION("""COMPUTED_VALUE"""),"2026")</f>
        <v>2026</v>
      </c>
      <c r="G3541" s="35" t="str">
        <f>IFERROR(__xludf.DUMMYFUNCTION("""COMPUTED_VALUE"""),"SRI SURYANINGSIH")</f>
        <v>SRI SURYANINGSIH</v>
      </c>
      <c r="H3541" s="35" t="str">
        <f>IFERROR(__xludf.DUMMYFUNCTION("""COMPUTED_VALUE"""),"S7626034226")</f>
        <v>S7626034226</v>
      </c>
      <c r="I3541" s="35">
        <f>IFERROR(__xludf.DUMMYFUNCTION("""COMPUTED_VALUE"""),50.0)</f>
        <v>50</v>
      </c>
      <c r="J3541" s="35" t="str">
        <f>IFERROR(__xludf.DUMMYFUNCTION("""COMPUTED_VALUE"""),"&gt; 44 tahun")</f>
        <v>&gt; 44 tahun</v>
      </c>
      <c r="K3541" s="35" t="str">
        <f>IFERROR(__xludf.DUMMYFUNCTION("""COMPUTED_VALUE"""),"11/01/1976")</f>
        <v>11/01/1976</v>
      </c>
      <c r="L3541" s="35" t="str">
        <f>IFERROR(__xludf.DUMMYFUNCTION("""COMPUTED_VALUE"""),"PEREMPUAN")</f>
        <v>PEREMPUAN</v>
      </c>
      <c r="M3541" s="35" t="str">
        <f>IFERROR(__xludf.DUMMYFUNCTION("""COMPUTED_VALUE"""),"JL. URAY BAWADI, GG. PODORUKUN DALAM 1 NO 52 A")</f>
        <v>JL. URAY BAWADI, GG. PODORUKUN DALAM 1 NO 52 A</v>
      </c>
      <c r="N3541" s="35" t="str">
        <f>IFERROR(__xludf.DUMMYFUNCTION("""COMPUTED_VALUE"""),"SUNGAI BANGKONG")</f>
        <v>SUNGAI BANGKONG</v>
      </c>
      <c r="O3541" s="35" t="str">
        <f>IFERROR(__xludf.DUMMYFUNCTION("""COMPUTED_VALUE"""),"PONTIANAK KOTA")</f>
        <v>PONTIANAK KOTA</v>
      </c>
      <c r="P3541" s="35" t="str">
        <f>IFERROR(__xludf.DUMMYFUNCTION("""COMPUTED_VALUE"""),"KOTA PONTIANAK")</f>
        <v>KOTA PONTIANAK</v>
      </c>
      <c r="Q3541" s="35" t="str">
        <f>IFERROR(__xludf.DUMMYFUNCTION("""COMPUTED_VALUE"""),"KALIMANTAN BARAT")</f>
        <v>KALIMANTAN BARAT</v>
      </c>
      <c r="R3541" s="35" t="str">
        <f>IFERROR(__xludf.DUMMYFUNCTION("""COMPUTED_VALUE"""),"ISLAM")</f>
        <v>ISLAM</v>
      </c>
      <c r="S3541" s="74" t="str">
        <f>IFERROR(__xludf.DUMMYFUNCTION("""COMPUTED_VALUE"""),"PNS")</f>
        <v>PNS</v>
      </c>
      <c r="T3541" s="35" t="str">
        <f>IFERROR(__xludf.DUMMYFUNCTION("""COMPUTED_VALUE"""),"FROZEN SHOULDER")</f>
        <v>FROZEN SHOULDER</v>
      </c>
      <c r="U3541" s="35" t="str">
        <f>IFERROR(__xludf.DUMMYFUNCTION("""COMPUTED_VALUE"""),"KERJA DI DEPAN LAPTOP")</f>
        <v>KERJA DI DEPAN LAPTOP</v>
      </c>
      <c r="V3541" s="35" t="str">
        <f>IFERROR(__xludf.DUMMYFUNCTION("""COMPUTED_VALUE"""),"082154724226")</f>
        <v>082154724226</v>
      </c>
      <c r="W3541" s="45"/>
    </row>
    <row r="3542">
      <c r="A3542" s="45"/>
      <c r="B3542" s="35" t="str">
        <f>IFERROR(__xludf.DUMMYFUNCTION("""COMPUTED_VALUE"""),"07/03/2026 10:51:39")</f>
        <v>07/03/2026 10:51:39</v>
      </c>
      <c r="C3542" s="35"/>
      <c r="D3542" s="10">
        <f>IFERROR(__xludf.DUMMYFUNCTION("""COMPUTED_VALUE"""),46088.0)</f>
        <v>46088</v>
      </c>
      <c r="E3542" s="35" t="str">
        <f>IFERROR(__xludf.DUMMYFUNCTION("""COMPUTED_VALUE"""),"03Mar")</f>
        <v>03Mar</v>
      </c>
      <c r="F3542" s="35" t="str">
        <f>IFERROR(__xludf.DUMMYFUNCTION("""COMPUTED_VALUE"""),"2026")</f>
        <v>2026</v>
      </c>
      <c r="G3542" s="35" t="str">
        <f>IFERROR(__xludf.DUMMYFUNCTION("""COMPUTED_VALUE"""),"LIM HUI TJU")</f>
        <v>LIM HUI TJU</v>
      </c>
      <c r="H3542" s="35" t="str">
        <f>IFERROR(__xludf.DUMMYFUNCTION("""COMPUTED_VALUE"""),"L6026031382")</f>
        <v>L6026031382</v>
      </c>
      <c r="I3542" s="35">
        <f>IFERROR(__xludf.DUMMYFUNCTION("""COMPUTED_VALUE"""),66.0)</f>
        <v>66</v>
      </c>
      <c r="J3542" s="35" t="str">
        <f>IFERROR(__xludf.DUMMYFUNCTION("""COMPUTED_VALUE"""),"&gt; 44 tahun")</f>
        <v>&gt; 44 tahun</v>
      </c>
      <c r="K3542" s="35" t="str">
        <f>IFERROR(__xludf.DUMMYFUNCTION("""COMPUTED_VALUE"""),"11/01/1960")</f>
        <v>11/01/1960</v>
      </c>
      <c r="L3542" s="35" t="str">
        <f>IFERROR(__xludf.DUMMYFUNCTION("""COMPUTED_VALUE"""),"PEREMPUAN")</f>
        <v>PEREMPUAN</v>
      </c>
      <c r="M3542" s="35" t="str">
        <f>IFERROR(__xludf.DUMMYFUNCTION("""COMPUTED_VALUE"""),"DUSUN I SUNGAI AMBAWANG KUALA")</f>
        <v>DUSUN I SUNGAI AMBAWANG KUALA</v>
      </c>
      <c r="N3542" s="35" t="str">
        <f>IFERROR(__xludf.DUMMYFUNCTION("""COMPUTED_VALUE"""),"SUNGAI AMAWANG ")</f>
        <v>SUNGAI AMAWANG </v>
      </c>
      <c r="O3542" s="35" t="str">
        <f>IFERROR(__xludf.DUMMYFUNCTION("""COMPUTED_VALUE"""),"SUNGAI AMBAWANG")</f>
        <v>SUNGAI AMBAWANG</v>
      </c>
      <c r="P3542" s="35" t="str">
        <f>IFERROR(__xludf.DUMMYFUNCTION("""COMPUTED_VALUE"""),"KUBU RAYA")</f>
        <v>KUBU RAYA</v>
      </c>
      <c r="Q3542" s="35" t="str">
        <f>IFERROR(__xludf.DUMMYFUNCTION("""COMPUTED_VALUE"""),"KALIMANTAN BARAT")</f>
        <v>KALIMANTAN BARAT</v>
      </c>
      <c r="R3542" s="35" t="str">
        <f>IFERROR(__xludf.DUMMYFUNCTION("""COMPUTED_VALUE"""),"LAINNYA")</f>
        <v>LAINNYA</v>
      </c>
      <c r="S3542" s="74" t="str">
        <f>IFERROR(__xludf.DUMMYFUNCTION("""COMPUTED_VALUE"""),"IRT")</f>
        <v>IRT</v>
      </c>
      <c r="T3542" s="35" t="str">
        <f>IFERROR(__xludf.DUMMYFUNCTION("""COMPUTED_VALUE"""),"TANGAN DAN LUTUT")</f>
        <v>TANGAN DAN LUTUT</v>
      </c>
      <c r="U3542" s="35" t="str">
        <f>IFERROR(__xludf.DUMMYFUNCTION("""COMPUTED_VALUE"""),"-")</f>
        <v>-</v>
      </c>
      <c r="V3542" s="35" t="str">
        <f>IFERROR(__xludf.DUMMYFUNCTION("""COMPUTED_VALUE"""),"0811561382")</f>
        <v>0811561382</v>
      </c>
      <c r="W3542" s="45"/>
    </row>
    <row r="3543">
      <c r="A3543" s="45"/>
      <c r="B3543" s="35" t="str">
        <f>IFERROR(__xludf.DUMMYFUNCTION("""COMPUTED_VALUE"""),"07/03/2026 13:24:36")</f>
        <v>07/03/2026 13:24:36</v>
      </c>
      <c r="C3543" s="35"/>
      <c r="D3543" s="10">
        <f>IFERROR(__xludf.DUMMYFUNCTION("""COMPUTED_VALUE"""),46088.0)</f>
        <v>46088</v>
      </c>
      <c r="E3543" s="35" t="str">
        <f>IFERROR(__xludf.DUMMYFUNCTION("""COMPUTED_VALUE"""),"03Mar")</f>
        <v>03Mar</v>
      </c>
      <c r="F3543" s="35" t="str">
        <f>IFERROR(__xludf.DUMMYFUNCTION("""COMPUTED_VALUE"""),"2026")</f>
        <v>2026</v>
      </c>
      <c r="G3543" s="35" t="str">
        <f>IFERROR(__xludf.DUMMYFUNCTION("""COMPUTED_VALUE"""),"ERLANGGA R A")</f>
        <v>ERLANGGA R A</v>
      </c>
      <c r="H3543" s="35" t="str">
        <f>IFERROR(__xludf.DUMMYFUNCTION("""COMPUTED_VALUE"""),"E9126032559")</f>
        <v>E9126032559</v>
      </c>
      <c r="I3543" s="35">
        <f>IFERROR(__xludf.DUMMYFUNCTION("""COMPUTED_VALUE"""),34.0)</f>
        <v>34</v>
      </c>
      <c r="J3543" s="35" t="str">
        <f>IFERROR(__xludf.DUMMYFUNCTION("""COMPUTED_VALUE"""),"25-34 tahun")</f>
        <v>25-34 tahun</v>
      </c>
      <c r="K3543" s="35" t="str">
        <f>IFERROR(__xludf.DUMMYFUNCTION("""COMPUTED_VALUE"""),"12/08/1991")</f>
        <v>12/08/1991</v>
      </c>
      <c r="L3543" s="35" t="str">
        <f>IFERROR(__xludf.DUMMYFUNCTION("""COMPUTED_VALUE"""),"LAKI-LAKI")</f>
        <v>LAKI-LAKI</v>
      </c>
      <c r="M3543" s="35" t="str">
        <f>IFERROR(__xludf.DUMMYFUNCTION("""COMPUTED_VALUE"""),"JALAN ADISUCIPTO GG SOSIAL NO.4")</f>
        <v>JALAN ADISUCIPTO GG SOSIAL NO.4</v>
      </c>
      <c r="N3543" s="35" t="str">
        <f>IFERROR(__xludf.DUMMYFUNCTION("""COMPUTED_VALUE"""),"BBL")</f>
        <v>BBL</v>
      </c>
      <c r="O3543" s="35" t="str">
        <f>IFERROR(__xludf.DUMMYFUNCTION("""COMPUTED_VALUE"""),"PONTIANAK TENGGARA")</f>
        <v>PONTIANAK TENGGARA</v>
      </c>
      <c r="P3543" s="35" t="str">
        <f>IFERROR(__xludf.DUMMYFUNCTION("""COMPUTED_VALUE"""),"PONTIANAK")</f>
        <v>PONTIANAK</v>
      </c>
      <c r="Q3543" s="35" t="str">
        <f>IFERROR(__xludf.DUMMYFUNCTION("""COMPUTED_VALUE"""),"KALBAR")</f>
        <v>KALBAR</v>
      </c>
      <c r="R3543" s="35" t="str">
        <f>IFERROR(__xludf.DUMMYFUNCTION("""COMPUTED_VALUE"""),"ISLAM")</f>
        <v>ISLAM</v>
      </c>
      <c r="S3543" s="74" t="str">
        <f>IFERROR(__xludf.DUMMYFUNCTION("""COMPUTED_VALUE"""),"SWASTA")</f>
        <v>SWASTA</v>
      </c>
      <c r="T3543" s="35" t="str">
        <f>IFERROR(__xludf.DUMMYFUNCTION("""COMPUTED_VALUE"""),"OTOT BAGIAN MATA KAKI SAKIT PASCA TREADMILL")</f>
        <v>OTOT BAGIAN MATA KAKI SAKIT PASCA TREADMILL</v>
      </c>
      <c r="U3543" s="35" t="str">
        <f>IFERROR(__xludf.DUMMYFUNCTION("""COMPUTED_VALUE"""),"PADEL, TENIS, JOGGING")</f>
        <v>PADEL, TENIS, JOGGING</v>
      </c>
      <c r="V3543" s="35" t="str">
        <f>IFERROR(__xludf.DUMMYFUNCTION("""COMPUTED_VALUE"""),"08115662559")</f>
        <v>08115662559</v>
      </c>
      <c r="W3543" s="45"/>
    </row>
    <row r="3544">
      <c r="A3544" s="45"/>
      <c r="B3544" s="35" t="str">
        <f>IFERROR(__xludf.DUMMYFUNCTION("""COMPUTED_VALUE"""),"07/03/2026 15:16:57")</f>
        <v>07/03/2026 15:16:57</v>
      </c>
      <c r="C3544" s="35"/>
      <c r="D3544" s="10">
        <f>IFERROR(__xludf.DUMMYFUNCTION("""COMPUTED_VALUE"""),46088.0)</f>
        <v>46088</v>
      </c>
      <c r="E3544" s="35" t="str">
        <f>IFERROR(__xludf.DUMMYFUNCTION("""COMPUTED_VALUE"""),"03Mar")</f>
        <v>03Mar</v>
      </c>
      <c r="F3544" s="35" t="str">
        <f>IFERROR(__xludf.DUMMYFUNCTION("""COMPUTED_VALUE"""),"2026")</f>
        <v>2026</v>
      </c>
      <c r="G3544" s="35" t="str">
        <f>IFERROR(__xludf.DUMMYFUNCTION("""COMPUTED_VALUE"""),"EKA HERMAWAN")</f>
        <v>EKA HERMAWAN</v>
      </c>
      <c r="H3544" s="35" t="str">
        <f>IFERROR(__xludf.DUMMYFUNCTION("""COMPUTED_VALUE"""),"E7926039349")</f>
        <v>E7926039349</v>
      </c>
      <c r="I3544" s="35">
        <f>IFERROR(__xludf.DUMMYFUNCTION("""COMPUTED_VALUE"""),46.0)</f>
        <v>46</v>
      </c>
      <c r="J3544" s="35" t="str">
        <f>IFERROR(__xludf.DUMMYFUNCTION("""COMPUTED_VALUE"""),"&gt; 44 tahun")</f>
        <v>&gt; 44 tahun</v>
      </c>
      <c r="K3544" s="35" t="str">
        <f>IFERROR(__xludf.DUMMYFUNCTION("""COMPUTED_VALUE"""),"14/08/1979")</f>
        <v>14/08/1979</v>
      </c>
      <c r="L3544" s="35" t="str">
        <f>IFERROR(__xludf.DUMMYFUNCTION("""COMPUTED_VALUE"""),"LAKI-LAKI")</f>
        <v>LAKI-LAKI</v>
      </c>
      <c r="M3544" s="35" t="str">
        <f>IFERROR(__xludf.DUMMYFUNCTION("""COMPUTED_VALUE"""),"JL PANGERAN NATAKUSUMA GG RAJAWALI NO 2")</f>
        <v>JL PANGERAN NATAKUSUMA GG RAJAWALI NO 2</v>
      </c>
      <c r="N3544" s="35" t="str">
        <f>IFERROR(__xludf.DUMMYFUNCTION("""COMPUTED_VALUE"""),"SUNGAI BANGKONG")</f>
        <v>SUNGAI BANGKONG</v>
      </c>
      <c r="O3544" s="35" t="str">
        <f>IFERROR(__xludf.DUMMYFUNCTION("""COMPUTED_VALUE"""),"PONTIANAK KOTA")</f>
        <v>PONTIANAK KOTA</v>
      </c>
      <c r="P3544" s="35" t="str">
        <f>IFERROR(__xludf.DUMMYFUNCTION("""COMPUTED_VALUE"""),"PONTIANAK")</f>
        <v>PONTIANAK</v>
      </c>
      <c r="Q3544" s="35" t="str">
        <f>IFERROR(__xludf.DUMMYFUNCTION("""COMPUTED_VALUE"""),"KALIMANTAN BARAT")</f>
        <v>KALIMANTAN BARAT</v>
      </c>
      <c r="R3544" s="35" t="str">
        <f>IFERROR(__xludf.DUMMYFUNCTION("""COMPUTED_VALUE"""),"ISLAM")</f>
        <v>ISLAM</v>
      </c>
      <c r="S3544" s="74" t="str">
        <f>IFERROR(__xludf.DUMMYFUNCTION("""COMPUTED_VALUE"""),"PNS")</f>
        <v>PNS</v>
      </c>
      <c r="T3544" s="35" t="str">
        <f>IFERROR(__xludf.DUMMYFUNCTION("""COMPUTED_VALUE"""),"SAKIT PINGGANG DAN PINGGUL SAMPE OAHA KAKI KIRI")</f>
        <v>SAKIT PINGGANG DAN PINGGUL SAMPE OAHA KAKI KIRI</v>
      </c>
      <c r="U3544" s="35" t="str">
        <f>IFERROR(__xludf.DUMMYFUNCTION("""COMPUTED_VALUE"""),"BEKERJA")</f>
        <v>BEKERJA</v>
      </c>
      <c r="V3544" s="35" t="str">
        <f>IFERROR(__xludf.DUMMYFUNCTION("""COMPUTED_VALUE"""),"081250349349")</f>
        <v>081250349349</v>
      </c>
      <c r="W3544" s="45"/>
    </row>
    <row r="3545">
      <c r="A3545" s="45"/>
      <c r="B3545" s="35" t="str">
        <f>IFERROR(__xludf.DUMMYFUNCTION("""COMPUTED_VALUE"""),"07/03/2026 16:28:13")</f>
        <v>07/03/2026 16:28:13</v>
      </c>
      <c r="C3545" s="35"/>
      <c r="D3545" s="10">
        <f>IFERROR(__xludf.DUMMYFUNCTION("""COMPUTED_VALUE"""),46088.0)</f>
        <v>46088</v>
      </c>
      <c r="E3545" s="35" t="str">
        <f>IFERROR(__xludf.DUMMYFUNCTION("""COMPUTED_VALUE"""),"03Mar")</f>
        <v>03Mar</v>
      </c>
      <c r="F3545" s="35" t="str">
        <f>IFERROR(__xludf.DUMMYFUNCTION("""COMPUTED_VALUE"""),"2026")</f>
        <v>2026</v>
      </c>
      <c r="G3545" s="35" t="str">
        <f>IFERROR(__xludf.DUMMYFUNCTION("""COMPUTED_VALUE"""),"MAD NAWIR ")</f>
        <v>MAD NAWIR </v>
      </c>
      <c r="H3545" s="35" t="str">
        <f>IFERROR(__xludf.DUMMYFUNCTION("""COMPUTED_VALUE"""),"M6826038160")</f>
        <v>M6826038160</v>
      </c>
      <c r="I3545" s="35">
        <f>IFERROR(__xludf.DUMMYFUNCTION("""COMPUTED_VALUE"""),58.0)</f>
        <v>58</v>
      </c>
      <c r="J3545" s="35" t="str">
        <f>IFERROR(__xludf.DUMMYFUNCTION("""COMPUTED_VALUE"""),"&gt; 44 tahun")</f>
        <v>&gt; 44 tahun</v>
      </c>
      <c r="K3545" s="35" t="str">
        <f>IFERROR(__xludf.DUMMYFUNCTION("""COMPUTED_VALUE"""),"03/06/1968")</f>
        <v>03/06/1968</v>
      </c>
      <c r="L3545" s="35" t="str">
        <f>IFERROR(__xludf.DUMMYFUNCTION("""COMPUTED_VALUE"""),"LAKI-LAKI")</f>
        <v>LAKI-LAKI</v>
      </c>
      <c r="M3545" s="35" t="str">
        <f>IFERROR(__xludf.DUMMYFUNCTION("""COMPUTED_VALUE"""),"JL GST SITUT MAHMUD")</f>
        <v>JL GST SITUT MAHMUD</v>
      </c>
      <c r="N3545" s="35" t="str">
        <f>IFERROR(__xludf.DUMMYFUNCTION("""COMPUTED_VALUE"""),"SIANTAN HULU")</f>
        <v>SIANTAN HULU</v>
      </c>
      <c r="O3545" s="35" t="str">
        <f>IFERROR(__xludf.DUMMYFUNCTION("""COMPUTED_VALUE"""),"PONTIANAK UTARA")</f>
        <v>PONTIANAK UTARA</v>
      </c>
      <c r="P3545" s="35" t="str">
        <f>IFERROR(__xludf.DUMMYFUNCTION("""COMPUTED_VALUE"""),"PONTIANAK")</f>
        <v>PONTIANAK</v>
      </c>
      <c r="Q3545" s="35" t="str">
        <f>IFERROR(__xludf.DUMMYFUNCTION("""COMPUTED_VALUE"""),"KALIMANTAN BARAT")</f>
        <v>KALIMANTAN BARAT</v>
      </c>
      <c r="R3545" s="35" t="str">
        <f>IFERROR(__xludf.DUMMYFUNCTION("""COMPUTED_VALUE"""),"ISLAM")</f>
        <v>ISLAM</v>
      </c>
      <c r="S3545" s="74" t="str">
        <f>IFERROR(__xludf.DUMMYFUNCTION("""COMPUTED_VALUE"""),"KARYAWAN SWASTA")</f>
        <v>KARYAWAN SWASTA</v>
      </c>
      <c r="T3545" s="35" t="str">
        <f>IFERROR(__xludf.DUMMYFUNCTION("""COMPUTED_VALUE"""),"SYARAF KEJEPIT")</f>
        <v>SYARAF KEJEPIT</v>
      </c>
      <c r="U3545" s="35" t="str">
        <f>IFERROR(__xludf.DUMMYFUNCTION("""COMPUTED_VALUE"""),"-")</f>
        <v>-</v>
      </c>
      <c r="V3545" s="35" t="str">
        <f>IFERROR(__xludf.DUMMYFUNCTION("""COMPUTED_VALUE"""),"082221188160")</f>
        <v>082221188160</v>
      </c>
      <c r="W3545" s="45"/>
    </row>
    <row r="3546">
      <c r="A3546" s="45"/>
      <c r="B3546" s="35" t="str">
        <f>IFERROR(__xludf.DUMMYFUNCTION("""COMPUTED_VALUE"""),"08/03/2026 19:50:46")</f>
        <v>08/03/2026 19:50:46</v>
      </c>
      <c r="C3546" s="35"/>
      <c r="D3546" s="10">
        <f>IFERROR(__xludf.DUMMYFUNCTION("""COMPUTED_VALUE"""),46089.0)</f>
        <v>46089</v>
      </c>
      <c r="E3546" s="35" t="str">
        <f>IFERROR(__xludf.DUMMYFUNCTION("""COMPUTED_VALUE"""),"03Mar")</f>
        <v>03Mar</v>
      </c>
      <c r="F3546" s="35"/>
      <c r="G3546" s="35" t="str">
        <f>IFERROR(__xludf.DUMMYFUNCTION("""COMPUTED_VALUE"""),"ANNISA SEPTA PAKSI")</f>
        <v>ANNISA SEPTA PAKSI</v>
      </c>
      <c r="H3546" s="35" t="str">
        <f>IFERROR(__xludf.DUMMYFUNCTION("""COMPUTED_VALUE"""),"A9626037815")</f>
        <v>A9626037815</v>
      </c>
      <c r="I3546" s="35">
        <f>IFERROR(__xludf.DUMMYFUNCTION("""COMPUTED_VALUE"""),29.0)</f>
        <v>29</v>
      </c>
      <c r="J3546" s="35" t="str">
        <f>IFERROR(__xludf.DUMMYFUNCTION("""COMPUTED_VALUE"""),"25-34 tahun")</f>
        <v>25-34 tahun</v>
      </c>
      <c r="K3546" s="35" t="str">
        <f>IFERROR(__xludf.DUMMYFUNCTION("""COMPUTED_VALUE"""),"07/09/1996")</f>
        <v>07/09/1996</v>
      </c>
      <c r="L3546" s="35" t="str">
        <f>IFERROR(__xludf.DUMMYFUNCTION("""COMPUTED_VALUE"""),"PEREMPUAN")</f>
        <v>PEREMPUAN</v>
      </c>
      <c r="M3546" s="35" t="str">
        <f>IFERROR(__xludf.DUMMYFUNCTION("""COMPUTED_VALUE"""),"JL RADEN KUSNO GG LURAH NO 14")</f>
        <v>JL RADEN KUSNO GG LURAH NO 14</v>
      </c>
      <c r="N3546" s="35" t="str">
        <f>IFERROR(__xludf.DUMMYFUNCTION("""COMPUTED_VALUE"""),"KELURAHAN TERUSAN")</f>
        <v>KELURAHAN TERUSAN</v>
      </c>
      <c r="O3546" s="35" t="str">
        <f>IFERROR(__xludf.DUMMYFUNCTION("""COMPUTED_VALUE"""),"MEMPAWAH HILIR")</f>
        <v>MEMPAWAH HILIR</v>
      </c>
      <c r="P3546" s="35" t="str">
        <f>IFERROR(__xludf.DUMMYFUNCTION("""COMPUTED_VALUE"""),"MEMPAWAH")</f>
        <v>MEMPAWAH</v>
      </c>
      <c r="Q3546" s="35" t="str">
        <f>IFERROR(__xludf.DUMMYFUNCTION("""COMPUTED_VALUE"""),"KALIMANTAN BARAT")</f>
        <v>KALIMANTAN BARAT</v>
      </c>
      <c r="R3546" s="35" t="str">
        <f>IFERROR(__xludf.DUMMYFUNCTION("""COMPUTED_VALUE"""),"ISLAM")</f>
        <v>ISLAM</v>
      </c>
      <c r="S3546" s="74" t="str">
        <f>IFERROR(__xludf.DUMMYFUNCTION("""COMPUTED_VALUE"""),"IBU RUMAH TANGGA")</f>
        <v>IBU RUMAH TANGGA</v>
      </c>
      <c r="T3546" s="35" t="str">
        <f>IFERROR(__xludf.DUMMYFUNCTION("""COMPUTED_VALUE"""),"KAKI PANJANG SEBELAH, PUNDAK TINGGI SEBELAH, TULANG PANTAT SAKIT SEPERTI SARAF KEJEPIT")</f>
        <v>KAKI PANJANG SEBELAH, PUNDAK TINGGI SEBELAH, TULANG PANTAT SAKIT SEPERTI SARAF KEJEPIT</v>
      </c>
      <c r="U3546" s="35" t="str">
        <f>IFERROR(__xludf.DUMMYFUNCTION("""COMPUTED_VALUE"""),".")</f>
        <v>.</v>
      </c>
      <c r="V3546" s="35" t="str">
        <f>IFERROR(__xludf.DUMMYFUNCTION("""COMPUTED_VALUE"""),"085820687815")</f>
        <v>085820687815</v>
      </c>
      <c r="W3546" s="45"/>
    </row>
    <row r="3547">
      <c r="A3547" s="45"/>
      <c r="B3547" s="35" t="str">
        <f>IFERROR(__xludf.DUMMYFUNCTION("""COMPUTED_VALUE"""),"09/03/2026 8:41:45")</f>
        <v>09/03/2026 8:41:45</v>
      </c>
      <c r="C3547" s="35"/>
      <c r="D3547" s="10">
        <f>IFERROR(__xludf.DUMMYFUNCTION("""COMPUTED_VALUE"""),46090.0)</f>
        <v>46090</v>
      </c>
      <c r="E3547" s="35" t="str">
        <f>IFERROR(__xludf.DUMMYFUNCTION("""COMPUTED_VALUE"""),"03Mar")</f>
        <v>03Mar</v>
      </c>
      <c r="F3547" s="35"/>
      <c r="G3547" s="35" t="str">
        <f>IFERROR(__xludf.DUMMYFUNCTION("""COMPUTED_VALUE"""),"BAGAS NUR ISLAMI")</f>
        <v>BAGAS NUR ISLAMI</v>
      </c>
      <c r="H3547" s="35" t="str">
        <f>IFERROR(__xludf.DUMMYFUNCTION("""COMPUTED_VALUE"""),"B1026034769")</f>
        <v>B1026034769</v>
      </c>
      <c r="I3547" s="35">
        <f>IFERROR(__xludf.DUMMYFUNCTION("""COMPUTED_VALUE"""),15.0)</f>
        <v>15</v>
      </c>
      <c r="J3547" s="35" t="str">
        <f>IFERROR(__xludf.DUMMYFUNCTION("""COMPUTED_VALUE"""),"&lt; 18 tahun")</f>
        <v>&lt; 18 tahun</v>
      </c>
      <c r="K3547" s="35" t="str">
        <f>IFERROR(__xludf.DUMMYFUNCTION("""COMPUTED_VALUE"""),"14/09/2010")</f>
        <v>14/09/2010</v>
      </c>
      <c r="L3547" s="35" t="str">
        <f>IFERROR(__xludf.DUMMYFUNCTION("""COMPUTED_VALUE"""),"LAKI-LAKI")</f>
        <v>LAKI-LAKI</v>
      </c>
      <c r="M3547" s="35" t="str">
        <f>IFERROR(__xludf.DUMMYFUNCTION("""COMPUTED_VALUE"""),"JLN KESEHATAN GG SUMBER AGUNG 1 JALUR 1 NO 99A")</f>
        <v>JLN KESEHATAN GG SUMBER AGUNG 1 JALUR 1 NO 99A</v>
      </c>
      <c r="N3547" s="35" t="str">
        <f>IFERROR(__xludf.DUMMYFUNCTION("""COMPUTED_VALUE"""),"KOTA BARU")</f>
        <v>KOTA BARU</v>
      </c>
      <c r="O3547" s="35" t="str">
        <f>IFERROR(__xludf.DUMMYFUNCTION("""COMPUTED_VALUE"""),"PONTIANAK SELATAN")</f>
        <v>PONTIANAK SELATAN</v>
      </c>
      <c r="P3547" s="35" t="str">
        <f>IFERROR(__xludf.DUMMYFUNCTION("""COMPUTED_VALUE"""),"PONTIANAK")</f>
        <v>PONTIANAK</v>
      </c>
      <c r="Q3547" s="35" t="str">
        <f>IFERROR(__xludf.DUMMYFUNCTION("""COMPUTED_VALUE"""),"KALIMAANTAN BARAT")</f>
        <v>KALIMAANTAN BARAT</v>
      </c>
      <c r="R3547" s="35" t="str">
        <f>IFERROR(__xludf.DUMMYFUNCTION("""COMPUTED_VALUE"""),"ISLAM")</f>
        <v>ISLAM</v>
      </c>
      <c r="S3547" s="74" t="str">
        <f>IFERROR(__xludf.DUMMYFUNCTION("""COMPUTED_VALUE"""),"PELAJAR")</f>
        <v>PELAJAR</v>
      </c>
      <c r="T3547" s="35" t="str">
        <f>IFERROR(__xludf.DUMMYFUNCTION("""COMPUTED_VALUE"""),"KAKI FLAT / BEBEK")</f>
        <v>KAKI FLAT / BEBEK</v>
      </c>
      <c r="U3547" s="35" t="str">
        <f>IFERROR(__xludf.DUMMYFUNCTION("""COMPUTED_VALUE"""),"KAKI TIDAK ADA LEKUKAN,  DAN AGAK MIRING SEDIKIT KAKI SEBELAH KIRI")</f>
        <v>KAKI TIDAK ADA LEKUKAN,  DAN AGAK MIRING SEDIKIT KAKI SEBELAH KIRI</v>
      </c>
      <c r="V3547" s="35" t="str">
        <f>IFERROR(__xludf.DUMMYFUNCTION("""COMPUTED_VALUE"""),"081649194769")</f>
        <v>081649194769</v>
      </c>
      <c r="W3547" s="45"/>
    </row>
    <row r="3548">
      <c r="A3548" s="45"/>
      <c r="B3548" s="35" t="str">
        <f>IFERROR(__xludf.DUMMYFUNCTION("""COMPUTED_VALUE"""),"09/03/2026 9:58:25")</f>
        <v>09/03/2026 9:58:25</v>
      </c>
      <c r="C3548" s="35"/>
      <c r="D3548" s="10">
        <f>IFERROR(__xludf.DUMMYFUNCTION("""COMPUTED_VALUE"""),46090.0)</f>
        <v>46090</v>
      </c>
      <c r="E3548" s="35" t="str">
        <f>IFERROR(__xludf.DUMMYFUNCTION("""COMPUTED_VALUE"""),"03Mar")</f>
        <v>03Mar</v>
      </c>
      <c r="F3548" s="35"/>
      <c r="G3548" s="35" t="str">
        <f>IFERROR(__xludf.DUMMYFUNCTION("""COMPUTED_VALUE"""),"RUFI LISTIAWATI, SE ")</f>
        <v>RUFI LISTIAWATI, SE </v>
      </c>
      <c r="H3548" s="35" t="str">
        <f>IFERROR(__xludf.DUMMYFUNCTION("""COMPUTED_VALUE"""),"R8226039346")</f>
        <v>R8226039346</v>
      </c>
      <c r="I3548" s="35">
        <f>IFERROR(__xludf.DUMMYFUNCTION("""COMPUTED_VALUE"""),43.0)</f>
        <v>43</v>
      </c>
      <c r="J3548" s="35" t="str">
        <f>IFERROR(__xludf.DUMMYFUNCTION("""COMPUTED_VALUE"""),"35-44 tahun")</f>
        <v>35-44 tahun</v>
      </c>
      <c r="K3548" s="35" t="str">
        <f>IFERROR(__xludf.DUMMYFUNCTION("""COMPUTED_VALUE"""),"23/09/1982")</f>
        <v>23/09/1982</v>
      </c>
      <c r="L3548" s="35" t="str">
        <f>IFERROR(__xludf.DUMMYFUNCTION("""COMPUTED_VALUE"""),"PEREMPUAN")</f>
        <v>PEREMPUAN</v>
      </c>
      <c r="M3548" s="35" t="str">
        <f>IFERROR(__xludf.DUMMYFUNCTION("""COMPUTED_VALUE"""),"JL PANGERAN NATAKUSUMA GG RAJAWALI NO 44")</f>
        <v>JL PANGERAN NATAKUSUMA GG RAJAWALI NO 44</v>
      </c>
      <c r="N3548" s="35" t="str">
        <f>IFERROR(__xludf.DUMMYFUNCTION("""COMPUTED_VALUE"""),"SUNGAI BANGKONG")</f>
        <v>SUNGAI BANGKONG</v>
      </c>
      <c r="O3548" s="35" t="str">
        <f>IFERROR(__xludf.DUMMYFUNCTION("""COMPUTED_VALUE"""),"PONTIANAK KOTA")</f>
        <v>PONTIANAK KOTA</v>
      </c>
      <c r="P3548" s="35" t="str">
        <f>IFERROR(__xludf.DUMMYFUNCTION("""COMPUTED_VALUE"""),"PONTIANAK ")</f>
        <v>PONTIANAK </v>
      </c>
      <c r="Q3548" s="35" t="str">
        <f>IFERROR(__xludf.DUMMYFUNCTION("""COMPUTED_VALUE"""),"KALIMANTAN BARAT")</f>
        <v>KALIMANTAN BARAT</v>
      </c>
      <c r="R3548" s="35" t="str">
        <f>IFERROR(__xludf.DUMMYFUNCTION("""COMPUTED_VALUE"""),"ISLAM")</f>
        <v>ISLAM</v>
      </c>
      <c r="S3548" s="74" t="str">
        <f>IFERROR(__xludf.DUMMYFUNCTION("""COMPUTED_VALUE"""),"IRT")</f>
        <v>IRT</v>
      </c>
      <c r="T3548" s="35" t="str">
        <f>IFERROR(__xludf.DUMMYFUNCTION("""COMPUTED_VALUE"""),"KAKI SEBELAH KIRI SAKIT DAN NGILU")</f>
        <v>KAKI SEBELAH KIRI SAKIT DAN NGILU</v>
      </c>
      <c r="U3548" s="35" t="str">
        <f>IFERROR(__xludf.DUMMYFUNCTION("""COMPUTED_VALUE"""),"MENGURUS RUMAH")</f>
        <v>MENGURUS RUMAH</v>
      </c>
      <c r="V3548" s="35" t="str">
        <f>IFERROR(__xludf.DUMMYFUNCTION("""COMPUTED_VALUE"""),"081250349346")</f>
        <v>081250349346</v>
      </c>
      <c r="W3548" s="45"/>
    </row>
    <row r="3549">
      <c r="A3549" s="45"/>
      <c r="B3549" s="35" t="str">
        <f>IFERROR(__xludf.DUMMYFUNCTION("""COMPUTED_VALUE"""),"09/03/2026 10:59:58")</f>
        <v>09/03/2026 10:59:58</v>
      </c>
      <c r="C3549" s="35"/>
      <c r="D3549" s="10">
        <f>IFERROR(__xludf.DUMMYFUNCTION("""COMPUTED_VALUE"""),46090.0)</f>
        <v>46090</v>
      </c>
      <c r="E3549" s="35" t="str">
        <f>IFERROR(__xludf.DUMMYFUNCTION("""COMPUTED_VALUE"""),"03Mar")</f>
        <v>03Mar</v>
      </c>
      <c r="F3549" s="35"/>
      <c r="G3549" s="35" t="str">
        <f>IFERROR(__xludf.DUMMYFUNCTION("""COMPUTED_VALUE"""),"SUKMAWATI")</f>
        <v>SUKMAWATI</v>
      </c>
      <c r="H3549" s="35" t="str">
        <f>IFERROR(__xludf.DUMMYFUNCTION("""COMPUTED_VALUE"""),"S9626037860")</f>
        <v>S9626037860</v>
      </c>
      <c r="I3549" s="35">
        <f>IFERROR(__xludf.DUMMYFUNCTION("""COMPUTED_VALUE"""),29.0)</f>
        <v>29</v>
      </c>
      <c r="J3549" s="35" t="str">
        <f>IFERROR(__xludf.DUMMYFUNCTION("""COMPUTED_VALUE"""),"25-34 tahun")</f>
        <v>25-34 tahun</v>
      </c>
      <c r="K3549" s="35" t="str">
        <f>IFERROR(__xludf.DUMMYFUNCTION("""COMPUTED_VALUE"""),"29/12/1996")</f>
        <v>29/12/1996</v>
      </c>
      <c r="L3549" s="35" t="str">
        <f>IFERROR(__xludf.DUMMYFUNCTION("""COMPUTED_VALUE"""),"PEREMPUAN")</f>
        <v>PEREMPUAN</v>
      </c>
      <c r="M3549" s="35" t="str">
        <f>IFERROR(__xludf.DUMMYFUNCTION("""COMPUTED_VALUE"""),"JL DANAU SENTARUM GG WONOSOBO")</f>
        <v>JL DANAU SENTARUM GG WONOSOBO</v>
      </c>
      <c r="N3549" s="35" t="str">
        <f>IFERROR(__xludf.DUMMYFUNCTION("""COMPUTED_VALUE"""),"SUI JAWI")</f>
        <v>SUI JAWI</v>
      </c>
      <c r="O3549" s="35" t="str">
        <f>IFERROR(__xludf.DUMMYFUNCTION("""COMPUTED_VALUE"""),"PONTIANAK KOTA")</f>
        <v>PONTIANAK KOTA</v>
      </c>
      <c r="P3549" s="35" t="str">
        <f>IFERROR(__xludf.DUMMYFUNCTION("""COMPUTED_VALUE"""),"KOTA")</f>
        <v>KOTA</v>
      </c>
      <c r="Q3549" s="35" t="str">
        <f>IFERROR(__xludf.DUMMYFUNCTION("""COMPUTED_VALUE"""),"KALBAR")</f>
        <v>KALBAR</v>
      </c>
      <c r="R3549" s="35" t="str">
        <f>IFERROR(__xludf.DUMMYFUNCTION("""COMPUTED_VALUE"""),"ISLAM")</f>
        <v>ISLAM</v>
      </c>
      <c r="S3549" s="74" t="str">
        <f>IFERROR(__xludf.DUMMYFUNCTION("""COMPUTED_VALUE"""),"IBU RUMAH TANGGA")</f>
        <v>IBU RUMAH TANGGA</v>
      </c>
      <c r="T3549" s="35" t="str">
        <f>IFERROR(__xludf.DUMMYFUNCTION("""COMPUTED_VALUE"""),"SAKIT NYE DI LIPATAN, URAT NYE TERIK SAKIT KALAU DI ANGKAT. DI BAWA JALAN KENA TUMPUAN KUAT SAKIT. SUSAH BUAT DI LURUSIN")</f>
        <v>SAKIT NYE DI LIPATAN, URAT NYE TERIK SAKIT KALAU DI ANGKAT. DI BAWA JALAN KENA TUMPUAN KUAT SAKIT. SUSAH BUAT DI LURUSIN</v>
      </c>
      <c r="U3549" s="35" t="str">
        <f>IFERROR(__xludf.DUMMYFUNCTION("""COMPUTED_VALUE"""),"HANYA PEKERJAAN RUMAH BIASA")</f>
        <v>HANYA PEKERJAAN RUMAH BIASA</v>
      </c>
      <c r="V3549" s="35" t="str">
        <f>IFERROR(__xludf.DUMMYFUNCTION("""COMPUTED_VALUE"""),"089664537860")</f>
        <v>089664537860</v>
      </c>
      <c r="W3549" s="45"/>
    </row>
    <row r="3550">
      <c r="A3550" s="45"/>
      <c r="B3550" s="35" t="str">
        <f>IFERROR(__xludf.DUMMYFUNCTION("""COMPUTED_VALUE"""),"09/03/2026 11:24:58")</f>
        <v>09/03/2026 11:24:58</v>
      </c>
      <c r="C3550" s="35"/>
      <c r="D3550" s="10">
        <f>IFERROR(__xludf.DUMMYFUNCTION("""COMPUTED_VALUE"""),46090.0)</f>
        <v>46090</v>
      </c>
      <c r="E3550" s="35" t="str">
        <f>IFERROR(__xludf.DUMMYFUNCTION("""COMPUTED_VALUE"""),"03Mar")</f>
        <v>03Mar</v>
      </c>
      <c r="F3550" s="35"/>
      <c r="G3550" s="35" t="str">
        <f>IFERROR(__xludf.DUMMYFUNCTION("""COMPUTED_VALUE"""),"ANDY")</f>
        <v>ANDY</v>
      </c>
      <c r="H3550" s="35" t="str">
        <f>IFERROR(__xludf.DUMMYFUNCTION("""COMPUTED_VALUE"""),"A8826033797")</f>
        <v>A8826033797</v>
      </c>
      <c r="I3550" s="35">
        <f>IFERROR(__xludf.DUMMYFUNCTION("""COMPUTED_VALUE"""),38.0)</f>
        <v>38</v>
      </c>
      <c r="J3550" s="35" t="str">
        <f>IFERROR(__xludf.DUMMYFUNCTION("""COMPUTED_VALUE"""),"35-44 tahun")</f>
        <v>35-44 tahun</v>
      </c>
      <c r="K3550" s="35" t="str">
        <f>IFERROR(__xludf.DUMMYFUNCTION("""COMPUTED_VALUE"""),"17/03/1988")</f>
        <v>17/03/1988</v>
      </c>
      <c r="L3550" s="35" t="str">
        <f>IFERROR(__xludf.DUMMYFUNCTION("""COMPUTED_VALUE"""),"LAKI-LAKI")</f>
        <v>LAKI-LAKI</v>
      </c>
      <c r="M3550" s="35" t="str">
        <f>IFERROR(__xludf.DUMMYFUNCTION("""COMPUTED_VALUE"""),"JL PURNAMA KOMP PURNAMA AGUNG V11 BLOK J NO 20")</f>
        <v>JL PURNAMA KOMP PURNAMA AGUNG V11 BLOK J NO 20</v>
      </c>
      <c r="N3550" s="35" t="str">
        <f>IFERROR(__xludf.DUMMYFUNCTION("""COMPUTED_VALUE"""),"PARIT TOKAYA")</f>
        <v>PARIT TOKAYA</v>
      </c>
      <c r="O3550" s="35" t="str">
        <f>IFERROR(__xludf.DUMMYFUNCTION("""COMPUTED_VALUE"""),"PONTIANAK SELATAN")</f>
        <v>PONTIANAK SELATAN</v>
      </c>
      <c r="P3550" s="35" t="str">
        <f>IFERROR(__xludf.DUMMYFUNCTION("""COMPUTED_VALUE"""),"PONTIANAK")</f>
        <v>PONTIANAK</v>
      </c>
      <c r="Q3550" s="35" t="str">
        <f>IFERROR(__xludf.DUMMYFUNCTION("""COMPUTED_VALUE"""),"PONTIANAK")</f>
        <v>PONTIANAK</v>
      </c>
      <c r="R3550" s="35" t="str">
        <f>IFERROR(__xludf.DUMMYFUNCTION("""COMPUTED_VALUE"""),"BUDDHA")</f>
        <v>BUDDHA</v>
      </c>
      <c r="S3550" s="74" t="str">
        <f>IFERROR(__xludf.DUMMYFUNCTION("""COMPUTED_VALUE"""),"PELAJAR/SWASTA")</f>
        <v>PELAJAR/SWASTA</v>
      </c>
      <c r="T3550" s="35" t="str">
        <f>IFERROR(__xludf.DUMMYFUNCTION("""COMPUTED_VALUE"""),"SEPERTI NY SARAF KEJEPIT")</f>
        <v>SEPERTI NY SARAF KEJEPIT</v>
      </c>
      <c r="U3550" s="35" t="str">
        <f>IFERROR(__xludf.DUMMYFUNCTION("""COMPUTED_VALUE"""),"KARENA ANGKAT BARANG")</f>
        <v>KARENA ANGKAT BARANG</v>
      </c>
      <c r="V3550" s="35" t="str">
        <f>IFERROR(__xludf.DUMMYFUNCTION("""COMPUTED_VALUE"""),"0410083797")</f>
        <v>0410083797</v>
      </c>
      <c r="W3550" s="45"/>
    </row>
    <row r="3551">
      <c r="A3551" s="45"/>
      <c r="B3551" s="35" t="str">
        <f>IFERROR(__xludf.DUMMYFUNCTION("""COMPUTED_VALUE"""),"09/03/2026 17:01:30")</f>
        <v>09/03/2026 17:01:30</v>
      </c>
      <c r="C3551" s="35"/>
      <c r="D3551" s="10">
        <f>IFERROR(__xludf.DUMMYFUNCTION("""COMPUTED_VALUE"""),46090.0)</f>
        <v>46090</v>
      </c>
      <c r="E3551" s="35" t="str">
        <f>IFERROR(__xludf.DUMMYFUNCTION("""COMPUTED_VALUE"""),"03Mar")</f>
        <v>03Mar</v>
      </c>
      <c r="F3551" s="35"/>
      <c r="G3551" s="35" t="str">
        <f>IFERROR(__xludf.DUMMYFUNCTION("""COMPUTED_VALUE"""),"ROMEO HISKIA LIMBENG")</f>
        <v>ROMEO HISKIA LIMBENG</v>
      </c>
      <c r="H3551" s="35" t="str">
        <f>IFERROR(__xludf.DUMMYFUNCTION("""COMPUTED_VALUE"""),"R8426039515")</f>
        <v>R8426039515</v>
      </c>
      <c r="I3551" s="35">
        <f>IFERROR(__xludf.DUMMYFUNCTION("""COMPUTED_VALUE"""),41.0)</f>
        <v>41</v>
      </c>
      <c r="J3551" s="35" t="str">
        <f>IFERROR(__xludf.DUMMYFUNCTION("""COMPUTED_VALUE"""),"35-44 tahun")</f>
        <v>35-44 tahun</v>
      </c>
      <c r="K3551" s="35" t="str">
        <f>IFERROR(__xludf.DUMMYFUNCTION("""COMPUTED_VALUE"""),"08/08/1984")</f>
        <v>08/08/1984</v>
      </c>
      <c r="L3551" s="35" t="str">
        <f>IFERROR(__xludf.DUMMYFUNCTION("""COMPUTED_VALUE"""),"LAKI-LAKI")</f>
        <v>LAKI-LAKI</v>
      </c>
      <c r="M3551" s="35" t="str">
        <f>IFERROR(__xludf.DUMMYFUNCTION("""COMPUTED_VALUE"""),"JL. PARIT HAJI HUSIN II. KOMP. ALEX GRIYA PERMAI I. NO. D/21. PONTIANAK ")</f>
        <v>JL. PARIT HAJI HUSIN II. KOMP. ALEX GRIYA PERMAI I. NO. D/21. PONTIANAK </v>
      </c>
      <c r="N3551" s="35" t="str">
        <f>IFERROR(__xludf.DUMMYFUNCTION("""COMPUTED_VALUE"""),"BANGKA BELITUNG DARAT")</f>
        <v>BANGKA BELITUNG DARAT</v>
      </c>
      <c r="O3551" s="35" t="str">
        <f>IFERROR(__xludf.DUMMYFUNCTION("""COMPUTED_VALUE"""),"PONTIANAK TENGGARA ")</f>
        <v>PONTIANAK TENGGARA </v>
      </c>
      <c r="P3551" s="35" t="str">
        <f>IFERROR(__xludf.DUMMYFUNCTION("""COMPUTED_VALUE"""),"PONTIANAK ")</f>
        <v>PONTIANAK </v>
      </c>
      <c r="Q3551" s="35" t="str">
        <f>IFERROR(__xludf.DUMMYFUNCTION("""COMPUTED_VALUE"""),"KALIMANTAN BARAT")</f>
        <v>KALIMANTAN BARAT</v>
      </c>
      <c r="R3551" s="35" t="str">
        <f>IFERROR(__xludf.DUMMYFUNCTION("""COMPUTED_VALUE"""),"PROTESTAN")</f>
        <v>PROTESTAN</v>
      </c>
      <c r="S3551" s="74" t="str">
        <f>IFERROR(__xludf.DUMMYFUNCTION("""COMPUTED_VALUE"""),"KARYAWAN SWASTA")</f>
        <v>KARYAWAN SWASTA</v>
      </c>
      <c r="T3551" s="35" t="str">
        <f>IFERROR(__xludf.DUMMYFUNCTION("""COMPUTED_VALUE"""),"BENGKAK PADA PAHA BAGIAN KANAN")</f>
        <v>BENGKAK PADA PAHA BAGIAN KANAN</v>
      </c>
      <c r="U3551" s="35" t="str">
        <f>IFERROR(__xludf.DUMMYFUNCTION("""COMPUTED_VALUE"""),"MINISOCCER, FUTSAL, GYM.")</f>
        <v>MINISOCCER, FUTSAL, GYM.</v>
      </c>
      <c r="V3551" s="35" t="str">
        <f>IFERROR(__xludf.DUMMYFUNCTION("""COMPUTED_VALUE"""),"085750929515")</f>
        <v>085750929515</v>
      </c>
      <c r="W3551" s="45"/>
    </row>
    <row r="3552">
      <c r="A3552" s="45"/>
      <c r="B3552" s="35" t="str">
        <f>IFERROR(__xludf.DUMMYFUNCTION("""COMPUTED_VALUE"""),"10/03/2026 11:36:47")</f>
        <v>10/03/2026 11:36:47</v>
      </c>
      <c r="C3552" s="35"/>
      <c r="D3552" s="10">
        <f>IFERROR(__xludf.DUMMYFUNCTION("""COMPUTED_VALUE"""),46091.0)</f>
        <v>46091</v>
      </c>
      <c r="E3552" s="35" t="str">
        <f>IFERROR(__xludf.DUMMYFUNCTION("""COMPUTED_VALUE"""),"03Mar")</f>
        <v>03Mar</v>
      </c>
      <c r="F3552" s="35"/>
      <c r="G3552" s="35" t="str">
        <f>IFERROR(__xludf.DUMMYFUNCTION("""COMPUTED_VALUE"""),"MUH. SHOIM MASKURI")</f>
        <v>MUH. SHOIM MASKURI</v>
      </c>
      <c r="H3552" s="35" t="str">
        <f>IFERROR(__xludf.DUMMYFUNCTION("""COMPUTED_VALUE"""),"M8526038856")</f>
        <v>M8526038856</v>
      </c>
      <c r="I3552" s="35">
        <f>IFERROR(__xludf.DUMMYFUNCTION("""COMPUTED_VALUE"""),41.0)</f>
        <v>41</v>
      </c>
      <c r="J3552" s="35" t="str">
        <f>IFERROR(__xludf.DUMMYFUNCTION("""COMPUTED_VALUE"""),"35-44 tahun")</f>
        <v>35-44 tahun</v>
      </c>
      <c r="K3552" s="35" t="str">
        <f>IFERROR(__xludf.DUMMYFUNCTION("""COMPUTED_VALUE"""),"14/06/1985")</f>
        <v>14/06/1985</v>
      </c>
      <c r="L3552" s="35" t="str">
        <f>IFERROR(__xludf.DUMMYFUNCTION("""COMPUTED_VALUE"""),"LAKI-LAKI")</f>
        <v>LAKI-LAKI</v>
      </c>
      <c r="M3552" s="35" t="str">
        <f>IFERROR(__xludf.DUMMYFUNCTION("""COMPUTED_VALUE"""),"SANDELAN RT.02, RW.04, NGAWEN, NGAWEN, KLATEN")</f>
        <v>SANDELAN RT.02, RW.04, NGAWEN, NGAWEN, KLATEN</v>
      </c>
      <c r="N3552" s="35" t="str">
        <f>IFERROR(__xludf.DUMMYFUNCTION("""COMPUTED_VALUE"""),"NGAWEN")</f>
        <v>NGAWEN</v>
      </c>
      <c r="O3552" s="35" t="str">
        <f>IFERROR(__xludf.DUMMYFUNCTION("""COMPUTED_VALUE"""),"NGAWEN")</f>
        <v>NGAWEN</v>
      </c>
      <c r="P3552" s="35" t="str">
        <f>IFERROR(__xludf.DUMMYFUNCTION("""COMPUTED_VALUE"""),"KLATEN")</f>
        <v>KLATEN</v>
      </c>
      <c r="Q3552" s="35" t="str">
        <f>IFERROR(__xludf.DUMMYFUNCTION("""COMPUTED_VALUE"""),"JAWA TENGAH")</f>
        <v>JAWA TENGAH</v>
      </c>
      <c r="R3552" s="35" t="str">
        <f>IFERROR(__xludf.DUMMYFUNCTION("""COMPUTED_VALUE"""),"ISLAM")</f>
        <v>ISLAM</v>
      </c>
      <c r="S3552" s="74" t="str">
        <f>IFERROR(__xludf.DUMMYFUNCTION("""COMPUTED_VALUE"""),"PNS")</f>
        <v>PNS</v>
      </c>
      <c r="T3552" s="35" t="str">
        <f>IFERROR(__xludf.DUMMYFUNCTION("""COMPUTED_VALUE"""),"NYERI PADA LUTUT KIRI")</f>
        <v>NYERI PADA LUTUT KIRI</v>
      </c>
      <c r="U3552" s="35" t="str">
        <f>IFERROR(__xludf.DUMMYFUNCTION("""COMPUTED_VALUE"""),"LARI")</f>
        <v>LARI</v>
      </c>
      <c r="V3552" s="35" t="str">
        <f>IFERROR(__xludf.DUMMYFUNCTION("""COMPUTED_VALUE"""),"085642758856")</f>
        <v>085642758856</v>
      </c>
      <c r="W3552" s="45"/>
    </row>
    <row r="3553">
      <c r="A3553" s="45"/>
      <c r="B3553" s="35" t="str">
        <f>IFERROR(__xludf.DUMMYFUNCTION("""COMPUTED_VALUE"""),"10/03/2026 13:26:09")</f>
        <v>10/03/2026 13:26:09</v>
      </c>
      <c r="C3553" s="35"/>
      <c r="D3553" s="10">
        <f>IFERROR(__xludf.DUMMYFUNCTION("""COMPUTED_VALUE"""),46091.0)</f>
        <v>46091</v>
      </c>
      <c r="E3553" s="35" t="str">
        <f>IFERROR(__xludf.DUMMYFUNCTION("""COMPUTED_VALUE"""),"03Mar")</f>
        <v>03Mar</v>
      </c>
      <c r="F3553" s="35"/>
      <c r="G3553" s="35" t="str">
        <f>IFERROR(__xludf.DUMMYFUNCTION("""COMPUTED_VALUE"""),"YUSAK HADI NUGROHO")</f>
        <v>YUSAK HADI NUGROHO</v>
      </c>
      <c r="H3553" s="35" t="str">
        <f>IFERROR(__xludf.DUMMYFUNCTION("""COMPUTED_VALUE"""),"Y9426034223")</f>
        <v>Y9426034223</v>
      </c>
      <c r="I3553" s="35">
        <f>IFERROR(__xludf.DUMMYFUNCTION("""COMPUTED_VALUE"""),31.0)</f>
        <v>31</v>
      </c>
      <c r="J3553" s="35" t="str">
        <f>IFERROR(__xludf.DUMMYFUNCTION("""COMPUTED_VALUE"""),"25-34 tahun")</f>
        <v>25-34 tahun</v>
      </c>
      <c r="K3553" s="35" t="str">
        <f>IFERROR(__xludf.DUMMYFUNCTION("""COMPUTED_VALUE"""),"28/07/1994")</f>
        <v>28/07/1994</v>
      </c>
      <c r="L3553" s="35" t="str">
        <f>IFERROR(__xludf.DUMMYFUNCTION("""COMPUTED_VALUE"""),"LAKI-LAKI")</f>
        <v>LAKI-LAKI</v>
      </c>
      <c r="M3553" s="35" t="str">
        <f>IFERROR(__xludf.DUMMYFUNCTION("""COMPUTED_VALUE"""),"JL URAI BAWADI GG TRIA 1 NO 74")</f>
        <v>JL URAI BAWADI GG TRIA 1 NO 74</v>
      </c>
      <c r="N3553" s="35" t="str">
        <f>IFERROR(__xludf.DUMMYFUNCTION("""COMPUTED_VALUE"""),"SUNGAI BANGKONG")</f>
        <v>SUNGAI BANGKONG</v>
      </c>
      <c r="O3553" s="35" t="str">
        <f>IFERROR(__xludf.DUMMYFUNCTION("""COMPUTED_VALUE"""),"PONTIANAK KOTA")</f>
        <v>PONTIANAK KOTA</v>
      </c>
      <c r="P3553" s="35" t="str">
        <f>IFERROR(__xludf.DUMMYFUNCTION("""COMPUTED_VALUE"""),"KOTA PONTIANAK")</f>
        <v>KOTA PONTIANAK</v>
      </c>
      <c r="Q3553" s="35" t="str">
        <f>IFERROR(__xludf.DUMMYFUNCTION("""COMPUTED_VALUE"""),"KALIMANTAN BARAT")</f>
        <v>KALIMANTAN BARAT</v>
      </c>
      <c r="R3553" s="35" t="str">
        <f>IFERROR(__xludf.DUMMYFUNCTION("""COMPUTED_VALUE"""),"PROTESTAN")</f>
        <v>PROTESTAN</v>
      </c>
      <c r="S3553" s="74" t="str">
        <f>IFERROR(__xludf.DUMMYFUNCTION("""COMPUTED_VALUE"""),"POLRI")</f>
        <v>POLRI</v>
      </c>
      <c r="T3553" s="35" t="str">
        <f>IFERROR(__xludf.DUMMYFUNCTION("""COMPUTED_VALUE"""),"CIDERA BAGIAN KAKI")</f>
        <v>CIDERA BAGIAN KAKI</v>
      </c>
      <c r="U3553" s="35" t="str">
        <f>IFERROR(__xludf.DUMMYFUNCTION("""COMPUTED_VALUE"""),"SEPAK BOLA, LARI")</f>
        <v>SEPAK BOLA, LARI</v>
      </c>
      <c r="V3553" s="35" t="str">
        <f>IFERROR(__xludf.DUMMYFUNCTION("""COMPUTED_VALUE"""),"082198084223")</f>
        <v>082198084223</v>
      </c>
      <c r="W3553" s="45"/>
    </row>
    <row r="3554">
      <c r="A3554" s="45"/>
      <c r="B3554" s="35" t="str">
        <f>IFERROR(__xludf.DUMMYFUNCTION("""COMPUTED_VALUE"""),"10/03/2026 13:39:13")</f>
        <v>10/03/2026 13:39:13</v>
      </c>
      <c r="C3554" s="35"/>
      <c r="D3554" s="10">
        <f>IFERROR(__xludf.DUMMYFUNCTION("""COMPUTED_VALUE"""),46091.0)</f>
        <v>46091</v>
      </c>
      <c r="E3554" s="35" t="str">
        <f>IFERROR(__xludf.DUMMYFUNCTION("""COMPUTED_VALUE"""),"03Mar")</f>
        <v>03Mar</v>
      </c>
      <c r="F3554" s="35"/>
      <c r="G3554" s="35" t="str">
        <f>IFERROR(__xludf.DUMMYFUNCTION("""COMPUTED_VALUE"""),"ARMAYADI")</f>
        <v>ARMAYADI</v>
      </c>
      <c r="H3554" s="35" t="str">
        <f>IFERROR(__xludf.DUMMYFUNCTION("""COMPUTED_VALUE"""),"A6126035344")</f>
        <v>A6126035344</v>
      </c>
      <c r="I3554" s="35">
        <f>IFERROR(__xludf.DUMMYFUNCTION("""COMPUTED_VALUE"""),64.0)</f>
        <v>64</v>
      </c>
      <c r="J3554" s="35" t="str">
        <f>IFERROR(__xludf.DUMMYFUNCTION("""COMPUTED_VALUE"""),"&gt; 44 tahun")</f>
        <v>&gt; 44 tahun</v>
      </c>
      <c r="K3554" s="35" t="str">
        <f>IFERROR(__xludf.DUMMYFUNCTION("""COMPUTED_VALUE"""),"06/08/1961")</f>
        <v>06/08/1961</v>
      </c>
      <c r="L3554" s="35" t="str">
        <f>IFERROR(__xludf.DUMMYFUNCTION("""COMPUTED_VALUE"""),"LAKI-LAKI")</f>
        <v>LAKI-LAKI</v>
      </c>
      <c r="M3554" s="35" t="str">
        <f>IFERROR(__xludf.DUMMYFUNCTION("""COMPUTED_VALUE"""),"JL. AR SALEH GG PANORAMA NO 9")</f>
        <v>JL. AR SALEH GG PANORAMA NO 9</v>
      </c>
      <c r="N3554" s="35" t="str">
        <f>IFERROR(__xludf.DUMMYFUNCTION("""COMPUTED_VALUE"""),"BANGKA BELITUNG DARAT")</f>
        <v>BANGKA BELITUNG DARAT</v>
      </c>
      <c r="O3554" s="35" t="str">
        <f>IFERROR(__xludf.DUMMYFUNCTION("""COMPUTED_VALUE"""),"PONTIANAK TENGGARA")</f>
        <v>PONTIANAK TENGGARA</v>
      </c>
      <c r="P3554" s="35" t="str">
        <f>IFERROR(__xludf.DUMMYFUNCTION("""COMPUTED_VALUE"""),"PONTIANAK")</f>
        <v>PONTIANAK</v>
      </c>
      <c r="Q3554" s="35" t="str">
        <f>IFERROR(__xludf.DUMMYFUNCTION("""COMPUTED_VALUE"""),"KALIMANTAN BARAT")</f>
        <v>KALIMANTAN BARAT</v>
      </c>
      <c r="R3554" s="35" t="str">
        <f>IFERROR(__xludf.DUMMYFUNCTION("""COMPUTED_VALUE"""),"ISLAM")</f>
        <v>ISLAM</v>
      </c>
      <c r="S3554" s="74" t="str">
        <f>IFERROR(__xludf.DUMMYFUNCTION("""COMPUTED_VALUE"""),"WIRASWASTA")</f>
        <v>WIRASWASTA</v>
      </c>
      <c r="T3554" s="35" t="str">
        <f>IFERROR(__xludf.DUMMYFUNCTION("""COMPUTED_VALUE"""),"STROKE")</f>
        <v>STROKE</v>
      </c>
      <c r="U3554" s="35" t="str">
        <f>IFERROR(__xludf.DUMMYFUNCTION("""COMPUTED_VALUE"""),"-")</f>
        <v>-</v>
      </c>
      <c r="V3554" s="35" t="str">
        <f>IFERROR(__xludf.DUMMYFUNCTION("""COMPUTED_VALUE"""),"081314755344")</f>
        <v>081314755344</v>
      </c>
      <c r="W3554" s="45"/>
    </row>
    <row r="3555">
      <c r="A3555" s="45"/>
      <c r="B3555" s="35" t="str">
        <f>IFERROR(__xludf.DUMMYFUNCTION("""COMPUTED_VALUE"""),"10/03/2026 16:04:32")</f>
        <v>10/03/2026 16:04:32</v>
      </c>
      <c r="C3555" s="35"/>
      <c r="D3555" s="10">
        <f>IFERROR(__xludf.DUMMYFUNCTION("""COMPUTED_VALUE"""),46091.0)</f>
        <v>46091</v>
      </c>
      <c r="E3555" s="35" t="str">
        <f>IFERROR(__xludf.DUMMYFUNCTION("""COMPUTED_VALUE"""),"03Mar")</f>
        <v>03Mar</v>
      </c>
      <c r="F3555" s="35"/>
      <c r="G3555" s="35" t="str">
        <f>IFERROR(__xludf.DUMMYFUNCTION("""COMPUTED_VALUE"""),"RUDY 279")</f>
        <v>RUDY 279</v>
      </c>
      <c r="H3555" s="35" t="str">
        <f>IFERROR(__xludf.DUMMYFUNCTION("""COMPUTED_VALUE"""),"R7726032279")</f>
        <v>R7726032279</v>
      </c>
      <c r="I3555" s="35">
        <f>IFERROR(__xludf.DUMMYFUNCTION("""COMPUTED_VALUE"""),48.0)</f>
        <v>48</v>
      </c>
      <c r="J3555" s="35" t="str">
        <f>IFERROR(__xludf.DUMMYFUNCTION("""COMPUTED_VALUE"""),"&gt; 44 tahun")</f>
        <v>&gt; 44 tahun</v>
      </c>
      <c r="K3555" s="35" t="str">
        <f>IFERROR(__xludf.DUMMYFUNCTION("""COMPUTED_VALUE"""),"02/09/1977")</f>
        <v>02/09/1977</v>
      </c>
      <c r="L3555" s="35" t="str">
        <f>IFERROR(__xludf.DUMMYFUNCTION("""COMPUTED_VALUE"""),"LAKI-LAKI")</f>
        <v>LAKI-LAKI</v>
      </c>
      <c r="M3555" s="35" t="str">
        <f>IFERROR(__xludf.DUMMYFUNCTION("""COMPUTED_VALUE"""),"JL. WONOBARU GG WONODADI KOMP WONO 29 C")</f>
        <v>JL. WONOBARU GG WONODADI KOMP WONO 29 C</v>
      </c>
      <c r="N3555" s="35" t="str">
        <f>IFERROR(__xludf.DUMMYFUNCTION("""COMPUTED_VALUE"""),"KOTA BARU")</f>
        <v>KOTA BARU</v>
      </c>
      <c r="O3555" s="35" t="str">
        <f>IFERROR(__xludf.DUMMYFUNCTION("""COMPUTED_VALUE"""),"PONTIANAK SELATAN")</f>
        <v>PONTIANAK SELATAN</v>
      </c>
      <c r="P3555" s="35" t="str">
        <f>IFERROR(__xludf.DUMMYFUNCTION("""COMPUTED_VALUE"""),"PONTIANAK")</f>
        <v>PONTIANAK</v>
      </c>
      <c r="Q3555" s="35" t="str">
        <f>IFERROR(__xludf.DUMMYFUNCTION("""COMPUTED_VALUE"""),"KALIMANTAN BARAT")</f>
        <v>KALIMANTAN BARAT</v>
      </c>
      <c r="R3555" s="35" t="str">
        <f>IFERROR(__xludf.DUMMYFUNCTION("""COMPUTED_VALUE"""),"BUDDHA")</f>
        <v>BUDDHA</v>
      </c>
      <c r="S3555" s="74" t="str">
        <f>IFERROR(__xludf.DUMMYFUNCTION("""COMPUTED_VALUE"""),"WIRASWASTA ")</f>
        <v>WIRASWASTA </v>
      </c>
      <c r="T3555" s="35" t="str">
        <f>IFERROR(__xludf.DUMMYFUNCTION("""COMPUTED_VALUE"""),"REAPAIR TENDON ACHILLES")</f>
        <v>REAPAIR TENDON ACHILLES</v>
      </c>
      <c r="U3555" s="35" t="str">
        <f>IFERROR(__xludf.DUMMYFUNCTION("""COMPUTED_VALUE"""),"-")</f>
        <v>-</v>
      </c>
      <c r="V3555" s="35" t="str">
        <f>IFERROR(__xludf.DUMMYFUNCTION("""COMPUTED_VALUE"""),"08115712279")</f>
        <v>08115712279</v>
      </c>
      <c r="W3555" s="45"/>
    </row>
    <row r="3556">
      <c r="A3556" s="45"/>
      <c r="B3556" s="35" t="str">
        <f>IFERROR(__xludf.DUMMYFUNCTION("""COMPUTED_VALUE"""),"10/03/2026 16:13:54")</f>
        <v>10/03/2026 16:13:54</v>
      </c>
      <c r="C3556" s="35"/>
      <c r="D3556" s="10">
        <f>IFERROR(__xludf.DUMMYFUNCTION("""COMPUTED_VALUE"""),46091.0)</f>
        <v>46091</v>
      </c>
      <c r="E3556" s="35" t="str">
        <f>IFERROR(__xludf.DUMMYFUNCTION("""COMPUTED_VALUE"""),"03Mar")</f>
        <v>03Mar</v>
      </c>
      <c r="F3556" s="35"/>
      <c r="G3556" s="35" t="str">
        <f>IFERROR(__xludf.DUMMYFUNCTION("""COMPUTED_VALUE"""),"IRVAN HARAHAP")</f>
        <v>IRVAN HARAHAP</v>
      </c>
      <c r="H3556" s="35" t="str">
        <f>IFERROR(__xludf.DUMMYFUNCTION("""COMPUTED_VALUE"""),"I9926032631")</f>
        <v>I9926032631</v>
      </c>
      <c r="I3556" s="35">
        <f>IFERROR(__xludf.DUMMYFUNCTION("""COMPUTED_VALUE"""),26.0)</f>
        <v>26</v>
      </c>
      <c r="J3556" s="35" t="str">
        <f>IFERROR(__xludf.DUMMYFUNCTION("""COMPUTED_VALUE"""),"25-34 tahun")</f>
        <v>25-34 tahun</v>
      </c>
      <c r="K3556" s="35" t="str">
        <f>IFERROR(__xludf.DUMMYFUNCTION("""COMPUTED_VALUE"""),"19/06/1999")</f>
        <v>19/06/1999</v>
      </c>
      <c r="L3556" s="35" t="str">
        <f>IFERROR(__xludf.DUMMYFUNCTION("""COMPUTED_VALUE"""),"LAKI-LAKI")</f>
        <v>LAKI-LAKI</v>
      </c>
      <c r="M3556" s="35" t="str">
        <f>IFERROR(__xludf.DUMMYFUNCTION("""COMPUTED_VALUE"""),"BALAI BERKUAK")</f>
        <v>BALAI BERKUAK</v>
      </c>
      <c r="N3556" s="35" t="str">
        <f>IFERROR(__xludf.DUMMYFUNCTION("""COMPUTED_VALUE"""),"BALAI PINANG")</f>
        <v>BALAI PINANG</v>
      </c>
      <c r="O3556" s="35" t="str">
        <f>IFERROR(__xludf.DUMMYFUNCTION("""COMPUTED_VALUE"""),"SIMPANG HULU")</f>
        <v>SIMPANG HULU</v>
      </c>
      <c r="P3556" s="35" t="str">
        <f>IFERROR(__xludf.DUMMYFUNCTION("""COMPUTED_VALUE"""),"KETAPANG")</f>
        <v>KETAPANG</v>
      </c>
      <c r="Q3556" s="35" t="str">
        <f>IFERROR(__xludf.DUMMYFUNCTION("""COMPUTED_VALUE"""),"KALIMANTAN BARAT")</f>
        <v>KALIMANTAN BARAT</v>
      </c>
      <c r="R3556" s="35" t="str">
        <f>IFERROR(__xludf.DUMMYFUNCTION("""COMPUTED_VALUE"""),"ISLAM")</f>
        <v>ISLAM</v>
      </c>
      <c r="S3556" s="74" t="str">
        <f>IFERROR(__xludf.DUMMYFUNCTION("""COMPUTED_VALUE"""),"SWASTA")</f>
        <v>SWASTA</v>
      </c>
      <c r="T3556" s="35" t="str">
        <f>IFERROR(__xludf.DUMMYFUNCTION("""COMPUTED_VALUE"""),"ACL")</f>
        <v>ACL</v>
      </c>
      <c r="U3556" s="35" t="str">
        <f>IFERROR(__xludf.DUMMYFUNCTION("""COMPUTED_VALUE"""),"OLAHRAGA, BOLA KAKI, VOLI")</f>
        <v>OLAHRAGA, BOLA KAKI, VOLI</v>
      </c>
      <c r="V3556" s="35" t="str">
        <f>IFERROR(__xludf.DUMMYFUNCTION("""COMPUTED_VALUE"""),"081257282631")</f>
        <v>081257282631</v>
      </c>
      <c r="W3556" s="45"/>
    </row>
    <row r="3557">
      <c r="A3557" s="45"/>
      <c r="B3557" s="35" t="str">
        <f>IFERROR(__xludf.DUMMYFUNCTION("""COMPUTED_VALUE"""),"10/03/2026 16:26:59")</f>
        <v>10/03/2026 16:26:59</v>
      </c>
      <c r="C3557" s="35"/>
      <c r="D3557" s="10">
        <f>IFERROR(__xludf.DUMMYFUNCTION("""COMPUTED_VALUE"""),46091.0)</f>
        <v>46091</v>
      </c>
      <c r="E3557" s="35" t="str">
        <f>IFERROR(__xludf.DUMMYFUNCTION("""COMPUTED_VALUE"""),"03Mar")</f>
        <v>03Mar</v>
      </c>
      <c r="F3557" s="35"/>
      <c r="G3557" s="35" t="str">
        <f>IFERROR(__xludf.DUMMYFUNCTION("""COMPUTED_VALUE"""),"HENI SURYA NINGSIH")</f>
        <v>HENI SURYA NINGSIH</v>
      </c>
      <c r="H3557" s="35" t="str">
        <f>IFERROR(__xludf.DUMMYFUNCTION("""COMPUTED_VALUE"""),"H0126030765")</f>
        <v>H0126030765</v>
      </c>
      <c r="I3557" s="35">
        <f>IFERROR(__xludf.DUMMYFUNCTION("""COMPUTED_VALUE"""),25.0)</f>
        <v>25</v>
      </c>
      <c r="J3557" s="35" t="str">
        <f>IFERROR(__xludf.DUMMYFUNCTION("""COMPUTED_VALUE"""),"25-34 tahun")</f>
        <v>25-34 tahun</v>
      </c>
      <c r="K3557" s="35" t="str">
        <f>IFERROR(__xludf.DUMMYFUNCTION("""COMPUTED_VALUE"""),"13/06/2001")</f>
        <v>13/06/2001</v>
      </c>
      <c r="L3557" s="35" t="str">
        <f>IFERROR(__xludf.DUMMYFUNCTION("""COMPUTED_VALUE"""),"PEREMPUAN")</f>
        <v>PEREMPUAN</v>
      </c>
      <c r="M3557" s="35" t="str">
        <f>IFERROR(__xludf.DUMMYFUNCTION("""COMPUTED_VALUE"""),"JALAN ADISUCIPTO KM 8,4 NO.1 ")</f>
        <v>JALAN ADISUCIPTO KM 8,4 NO.1 </v>
      </c>
      <c r="N3557" s="35" t="str">
        <f>IFERROR(__xludf.DUMMYFUNCTION("""COMPUTED_VALUE"""),"PARIT BARU")</f>
        <v>PARIT BARU</v>
      </c>
      <c r="O3557" s="35" t="str">
        <f>IFERROR(__xludf.DUMMYFUNCTION("""COMPUTED_VALUE"""),"SUNGAI RAYA")</f>
        <v>SUNGAI RAYA</v>
      </c>
      <c r="P3557" s="35" t="str">
        <f>IFERROR(__xludf.DUMMYFUNCTION("""COMPUTED_VALUE"""),"KUBURTAYA")</f>
        <v>KUBURTAYA</v>
      </c>
      <c r="Q3557" s="35" t="str">
        <f>IFERROR(__xludf.DUMMYFUNCTION("""COMPUTED_VALUE"""),"KALIMANTAN BARAT")</f>
        <v>KALIMANTAN BARAT</v>
      </c>
      <c r="R3557" s="35" t="str">
        <f>IFERROR(__xludf.DUMMYFUNCTION("""COMPUTED_VALUE"""),"KHONGHUCU")</f>
        <v>KHONGHUCU</v>
      </c>
      <c r="S3557" s="74" t="str">
        <f>IFERROR(__xludf.DUMMYFUNCTION("""COMPUTED_VALUE"""),"WIRASWASTA")</f>
        <v>WIRASWASTA</v>
      </c>
      <c r="T3557" s="35" t="str">
        <f>IFERROR(__xludf.DUMMYFUNCTION("""COMPUTED_VALUE"""),"SAKIT LEHER SAMPAI KE TRAPS ")</f>
        <v>SAKIT LEHER SAMPAI KE TRAPS </v>
      </c>
      <c r="U3557" s="35" t="str">
        <f>IFERROR(__xludf.DUMMYFUNCTION("""COMPUTED_VALUE"""),"TIDAK ADA ")</f>
        <v>TIDAK ADA </v>
      </c>
      <c r="V3557" s="35" t="str">
        <f>IFERROR(__xludf.DUMMYFUNCTION("""COMPUTED_VALUE"""),"0895704410765")</f>
        <v>0895704410765</v>
      </c>
      <c r="W3557" s="45"/>
    </row>
    <row r="3558">
      <c r="A3558" s="45"/>
      <c r="B3558" s="35" t="str">
        <f>IFERROR(__xludf.DUMMYFUNCTION("""COMPUTED_VALUE"""),"11/03/2026 11:43:09")</f>
        <v>11/03/2026 11:43:09</v>
      </c>
      <c r="C3558" s="35"/>
      <c r="D3558" s="10">
        <f>IFERROR(__xludf.DUMMYFUNCTION("""COMPUTED_VALUE"""),46092.0)</f>
        <v>46092</v>
      </c>
      <c r="E3558" s="35" t="str">
        <f>IFERROR(__xludf.DUMMYFUNCTION("""COMPUTED_VALUE"""),"03Mar")</f>
        <v>03Mar</v>
      </c>
      <c r="F3558" s="35"/>
      <c r="G3558" s="35" t="str">
        <f>IFERROR(__xludf.DUMMYFUNCTION("""COMPUTED_VALUE"""),"YANTI")</f>
        <v>YANTI</v>
      </c>
      <c r="H3558" s="35" t="str">
        <f>IFERROR(__xludf.DUMMYFUNCTION("""COMPUTED_VALUE"""),"Y7226030986")</f>
        <v>Y7226030986</v>
      </c>
      <c r="I3558" s="35">
        <f>IFERROR(__xludf.DUMMYFUNCTION("""COMPUTED_VALUE"""),53.0)</f>
        <v>53</v>
      </c>
      <c r="J3558" s="35" t="str">
        <f>IFERROR(__xludf.DUMMYFUNCTION("""COMPUTED_VALUE"""),"&gt; 44 tahun")</f>
        <v>&gt; 44 tahun</v>
      </c>
      <c r="K3558" s="35" t="str">
        <f>IFERROR(__xludf.DUMMYFUNCTION("""COMPUTED_VALUE"""),"25/08/1972")</f>
        <v>25/08/1972</v>
      </c>
      <c r="L3558" s="35" t="str">
        <f>IFERROR(__xludf.DUMMYFUNCTION("""COMPUTED_VALUE"""),"PEREMPUAN")</f>
        <v>PEREMPUAN</v>
      </c>
      <c r="M3558" s="35" t="str">
        <f>IFERROR(__xludf.DUMMYFUNCTION("""COMPUTED_VALUE"""),"JL ADISUCIPTO GG SIAGA KOMPLEK SIAGA MAKMUR NO C3")</f>
        <v>JL ADISUCIPTO GG SIAGA KOMPLEK SIAGA MAKMUR NO C3</v>
      </c>
      <c r="N3558" s="35" t="str">
        <f>IFERROR(__xludf.DUMMYFUNCTION("""COMPUTED_VALUE"""),"SUNGAI RAYA")</f>
        <v>SUNGAI RAYA</v>
      </c>
      <c r="O3558" s="35" t="str">
        <f>IFERROR(__xludf.DUMMYFUNCTION("""COMPUTED_VALUE"""),"SUNGAI RAYA")</f>
        <v>SUNGAI RAYA</v>
      </c>
      <c r="P3558" s="35" t="str">
        <f>IFERROR(__xludf.DUMMYFUNCTION("""COMPUTED_VALUE"""),"KUBU RAYA")</f>
        <v>KUBU RAYA</v>
      </c>
      <c r="Q3558" s="35" t="str">
        <f>IFERROR(__xludf.DUMMYFUNCTION("""COMPUTED_VALUE"""),"KALIMANTAN BARAT")</f>
        <v>KALIMANTAN BARAT</v>
      </c>
      <c r="R3558" s="35" t="str">
        <f>IFERROR(__xludf.DUMMYFUNCTION("""COMPUTED_VALUE"""),"KATOLIK")</f>
        <v>KATOLIK</v>
      </c>
      <c r="S3558" s="74" t="str">
        <f>IFERROR(__xludf.DUMMYFUNCTION("""COMPUTED_VALUE"""),"IBU RUMAH TANGGA")</f>
        <v>IBU RUMAH TANGGA</v>
      </c>
      <c r="T3558" s="35" t="str">
        <f>IFERROR(__xludf.DUMMYFUNCTION("""COMPUTED_VALUE"""),"TANGAN KIRI MENGALAMI CEDERA YANG MENIMBULKAN TIDAK BISA MENGGERAKKAN TANGAN, DAN PANTAT TIDAK BISA DI PAKAI DUDUK LAMA KARENA TERJATUH SAAT TURUN DARI MOTOR. ")</f>
        <v>TANGAN KIRI MENGALAMI CEDERA YANG MENIMBULKAN TIDAK BISA MENGGERAKKAN TANGAN, DAN PANTAT TIDAK BISA DI PAKAI DUDUK LAMA KARENA TERJATUH SAAT TURUN DARI MOTOR. </v>
      </c>
      <c r="U3558" s="35" t="str">
        <f>IFERROR(__xludf.DUMMYFUNCTION("""COMPUTED_VALUE"""),"TIDAK ADA")</f>
        <v>TIDAK ADA</v>
      </c>
      <c r="V3558" s="35" t="str">
        <f>IFERROR(__xludf.DUMMYFUNCTION("""COMPUTED_VALUE"""),"089688130986")</f>
        <v>089688130986</v>
      </c>
      <c r="W3558" s="45"/>
    </row>
    <row r="3559">
      <c r="A3559" s="45"/>
      <c r="B3559" s="35" t="str">
        <f>IFERROR(__xludf.DUMMYFUNCTION("""COMPUTED_VALUE"""),"11/03/2026 12:20:56")</f>
        <v>11/03/2026 12:20:56</v>
      </c>
      <c r="C3559" s="35"/>
      <c r="D3559" s="10">
        <f>IFERROR(__xludf.DUMMYFUNCTION("""COMPUTED_VALUE"""),46092.0)</f>
        <v>46092</v>
      </c>
      <c r="E3559" s="35" t="str">
        <f>IFERROR(__xludf.DUMMYFUNCTION("""COMPUTED_VALUE"""),"03Mar")</f>
        <v>03Mar</v>
      </c>
      <c r="F3559" s="35"/>
      <c r="G3559" s="35" t="str">
        <f>IFERROR(__xludf.DUMMYFUNCTION("""COMPUTED_VALUE"""),"DELIA ANGELA")</f>
        <v>DELIA ANGELA</v>
      </c>
      <c r="H3559" s="35" t="str">
        <f>IFERROR(__xludf.DUMMYFUNCTION("""COMPUTED_VALUE"""),"D8826039333")</f>
        <v>D8826039333</v>
      </c>
      <c r="I3559" s="35">
        <f>IFERROR(__xludf.DUMMYFUNCTION("""COMPUTED_VALUE"""),37.0)</f>
        <v>37</v>
      </c>
      <c r="J3559" s="35" t="str">
        <f>IFERROR(__xludf.DUMMYFUNCTION("""COMPUTED_VALUE"""),"35-44 tahun")</f>
        <v>35-44 tahun</v>
      </c>
      <c r="K3559" s="35" t="str">
        <f>IFERROR(__xludf.DUMMYFUNCTION("""COMPUTED_VALUE"""),"11/11/1988")</f>
        <v>11/11/1988</v>
      </c>
      <c r="L3559" s="35" t="str">
        <f>IFERROR(__xludf.DUMMYFUNCTION("""COMPUTED_VALUE"""),"PEREMPUAN")</f>
        <v>PEREMPUAN</v>
      </c>
      <c r="M3559" s="35" t="str">
        <f>IFERROR(__xludf.DUMMYFUNCTION("""COMPUTED_VALUE"""),"JL SERDAM KOMP VILLA GADING MANSION 2 NO. A18")</f>
        <v>JL SERDAM KOMP VILLA GADING MANSION 2 NO. A18</v>
      </c>
      <c r="N3559" s="35" t="str">
        <f>IFERROR(__xludf.DUMMYFUNCTION("""COMPUTED_VALUE"""),"BANGKA BELITUNG DARAT")</f>
        <v>BANGKA BELITUNG DARAT</v>
      </c>
      <c r="O3559" s="35" t="str">
        <f>IFERROR(__xludf.DUMMYFUNCTION("""COMPUTED_VALUE"""),"PONTIANAK TENGGARA")</f>
        <v>PONTIANAK TENGGARA</v>
      </c>
      <c r="P3559" s="35" t="str">
        <f>IFERROR(__xludf.DUMMYFUNCTION("""COMPUTED_VALUE"""),"KOTA PONTIANAK")</f>
        <v>KOTA PONTIANAK</v>
      </c>
      <c r="Q3559" s="35" t="str">
        <f>IFERROR(__xludf.DUMMYFUNCTION("""COMPUTED_VALUE"""),"KALIMANTAN BARAT")</f>
        <v>KALIMANTAN BARAT</v>
      </c>
      <c r="R3559" s="35" t="str">
        <f>IFERROR(__xludf.DUMMYFUNCTION("""COMPUTED_VALUE"""),"KATOLIK")</f>
        <v>KATOLIK</v>
      </c>
      <c r="S3559" s="74" t="str">
        <f>IFERROR(__xludf.DUMMYFUNCTION("""COMPUTED_VALUE"""),"KARYAWAN SWASTA")</f>
        <v>KARYAWAN SWASTA</v>
      </c>
      <c r="T3559" s="35" t="str">
        <f>IFERROR(__xludf.DUMMYFUNCTION("""COMPUTED_VALUE"""),"LOWER BACK ")</f>
        <v>LOWER BACK </v>
      </c>
      <c r="U3559" s="35" t="str">
        <f>IFERROR(__xludf.DUMMYFUNCTION("""COMPUTED_VALUE"""),"DUDUK DI KANTOR")</f>
        <v>DUDUK DI KANTOR</v>
      </c>
      <c r="V3559" s="35" t="str">
        <f>IFERROR(__xludf.DUMMYFUNCTION("""COMPUTED_VALUE"""),"082159509333")</f>
        <v>082159509333</v>
      </c>
      <c r="W3559" s="45"/>
    </row>
    <row r="3560">
      <c r="A3560" s="45"/>
      <c r="B3560" s="35" t="str">
        <f>IFERROR(__xludf.DUMMYFUNCTION("""COMPUTED_VALUE"""),"11/03/2026 14:43:53")</f>
        <v>11/03/2026 14:43:53</v>
      </c>
      <c r="C3560" s="35"/>
      <c r="D3560" s="10">
        <f>IFERROR(__xludf.DUMMYFUNCTION("""COMPUTED_VALUE"""),46092.0)</f>
        <v>46092</v>
      </c>
      <c r="E3560" s="35" t="str">
        <f>IFERROR(__xludf.DUMMYFUNCTION("""COMPUTED_VALUE"""),"03Mar")</f>
        <v>03Mar</v>
      </c>
      <c r="F3560" s="35"/>
      <c r="G3560" s="35" t="str">
        <f>IFERROR(__xludf.DUMMYFUNCTION("""COMPUTED_VALUE"""),"MUHAMMAD RIVQY IBRA")</f>
        <v>MUHAMMAD RIVQY IBRA</v>
      </c>
      <c r="H3560" s="35" t="str">
        <f>IFERROR(__xludf.DUMMYFUNCTION("""COMPUTED_VALUE"""),"M0326038060")</f>
        <v>M0326038060</v>
      </c>
      <c r="I3560" s="35">
        <f>IFERROR(__xludf.DUMMYFUNCTION("""COMPUTED_VALUE"""),22.0)</f>
        <v>22</v>
      </c>
      <c r="J3560" s="35" t="str">
        <f>IFERROR(__xludf.DUMMYFUNCTION("""COMPUTED_VALUE"""),"18-24 tahun")</f>
        <v>18-24 tahun</v>
      </c>
      <c r="K3560" s="35" t="str">
        <f>IFERROR(__xludf.DUMMYFUNCTION("""COMPUTED_VALUE"""),"29/08/2003")</f>
        <v>29/08/2003</v>
      </c>
      <c r="L3560" s="35" t="str">
        <f>IFERROR(__xludf.DUMMYFUNCTION("""COMPUTED_VALUE"""),"LAKI-LAKI")</f>
        <v>LAKI-LAKI</v>
      </c>
      <c r="M3560" s="35" t="str">
        <f>IFERROR(__xludf.DUMMYFUNCTION("""COMPUTED_VALUE"""),"JL PROF M YAMIN GG BATAS KOTA ")</f>
        <v>JL PROF M YAMIN GG BATAS KOTA </v>
      </c>
      <c r="N3560" s="35" t="str">
        <f>IFERROR(__xludf.DUMMYFUNCTION("""COMPUTED_VALUE"""),"KOTA BARU")</f>
        <v>KOTA BARU</v>
      </c>
      <c r="O3560" s="35" t="str">
        <f>IFERROR(__xludf.DUMMYFUNCTION("""COMPUTED_VALUE"""),"PONTIANAK SELATAN ")</f>
        <v>PONTIANAK SELATAN </v>
      </c>
      <c r="P3560" s="35" t="str">
        <f>IFERROR(__xludf.DUMMYFUNCTION("""COMPUTED_VALUE"""),"PONTIANAK ")</f>
        <v>PONTIANAK </v>
      </c>
      <c r="Q3560" s="35" t="str">
        <f>IFERROR(__xludf.DUMMYFUNCTION("""COMPUTED_VALUE"""),"KALIMANTAN BARAT ")</f>
        <v>KALIMANTAN BARAT </v>
      </c>
      <c r="R3560" s="35" t="str">
        <f>IFERROR(__xludf.DUMMYFUNCTION("""COMPUTED_VALUE"""),"ISLAM")</f>
        <v>ISLAM</v>
      </c>
      <c r="S3560" s="74" t="str">
        <f>IFERROR(__xludf.DUMMYFUNCTION("""COMPUTED_VALUE"""),"BELUM BEKERJA")</f>
        <v>BELUM BEKERJA</v>
      </c>
      <c r="T3560" s="35" t="str">
        <f>IFERROR(__xludf.DUMMYFUNCTION("""COMPUTED_VALUE"""),"SETELAH  OPERASI  LUTUT")</f>
        <v>SETELAH  OPERASI  LUTUT</v>
      </c>
      <c r="U3560" s="35" t="str">
        <f>IFERROR(__xludf.DUMMYFUNCTION("""COMPUTED_VALUE"""),"-")</f>
        <v>-</v>
      </c>
      <c r="V3560" s="35" t="str">
        <f>IFERROR(__xludf.DUMMYFUNCTION("""COMPUTED_VALUE"""),"081253438060")</f>
        <v>081253438060</v>
      </c>
      <c r="W3560" s="45"/>
    </row>
    <row r="3561">
      <c r="A3561" s="45"/>
      <c r="B3561" s="35" t="str">
        <f>IFERROR(__xludf.DUMMYFUNCTION("""COMPUTED_VALUE"""),"11/03/2026 14:47:43")</f>
        <v>11/03/2026 14:47:43</v>
      </c>
      <c r="C3561" s="35"/>
      <c r="D3561" s="10">
        <f>IFERROR(__xludf.DUMMYFUNCTION("""COMPUTED_VALUE"""),46092.0)</f>
        <v>46092</v>
      </c>
      <c r="E3561" s="35" t="str">
        <f>IFERROR(__xludf.DUMMYFUNCTION("""COMPUTED_VALUE"""),"03Mar")</f>
        <v>03Mar</v>
      </c>
      <c r="F3561" s="35"/>
      <c r="G3561" s="35" t="str">
        <f>IFERROR(__xludf.DUMMYFUNCTION("""COMPUTED_VALUE"""),"CAHAYA LANGIT DZIKRILLAH MATTAROPURA")</f>
        <v>CAHAYA LANGIT DZIKRILLAH MATTAROPURA</v>
      </c>
      <c r="H3561" s="35" t="str">
        <f>IFERROR(__xludf.DUMMYFUNCTION("""COMPUTED_VALUE"""),"C0826033323")</f>
        <v>C0826033323</v>
      </c>
      <c r="I3561" s="35">
        <f>IFERROR(__xludf.DUMMYFUNCTION("""COMPUTED_VALUE"""),17.0)</f>
        <v>17</v>
      </c>
      <c r="J3561" s="35" t="str">
        <f>IFERROR(__xludf.DUMMYFUNCTION("""COMPUTED_VALUE"""),"&lt; 18 tahun")</f>
        <v>&lt; 18 tahun</v>
      </c>
      <c r="K3561" s="35" t="str">
        <f>IFERROR(__xludf.DUMMYFUNCTION("""COMPUTED_VALUE"""),"17/07/2008")</f>
        <v>17/07/2008</v>
      </c>
      <c r="L3561" s="35" t="str">
        <f>IFERROR(__xludf.DUMMYFUNCTION("""COMPUTED_VALUE"""),"LAKI-LAKI")</f>
        <v>LAKI-LAKI</v>
      </c>
      <c r="M3561" s="35" t="str">
        <f>IFERROR(__xludf.DUMMYFUNCTION("""COMPUTED_VALUE"""),"JALAN GOR ")</f>
        <v>JALAN GOR </v>
      </c>
      <c r="N3561" s="35" t="str">
        <f>IFERROR(__xludf.DUMMYFUNCTION("""COMPUTED_VALUE"""),"MANDALA ")</f>
        <v>MANDALA </v>
      </c>
      <c r="O3561" s="35" t="str">
        <f>IFERROR(__xludf.DUMMYFUNCTION("""COMPUTED_VALUE"""),"MERAUKE")</f>
        <v>MERAUKE</v>
      </c>
      <c r="P3561" s="35" t="str">
        <f>IFERROR(__xludf.DUMMYFUNCTION("""COMPUTED_VALUE"""),"PONTIANAK ")</f>
        <v>PONTIANAK </v>
      </c>
      <c r="Q3561" s="35" t="str">
        <f>IFERROR(__xludf.DUMMYFUNCTION("""COMPUTED_VALUE"""),"KALIMANTAN BARAT")</f>
        <v>KALIMANTAN BARAT</v>
      </c>
      <c r="R3561" s="35" t="str">
        <f>IFERROR(__xludf.DUMMYFUNCTION("""COMPUTED_VALUE"""),"ISLAM")</f>
        <v>ISLAM</v>
      </c>
      <c r="S3561" s="74" t="str">
        <f>IFERROR(__xludf.DUMMYFUNCTION("""COMPUTED_VALUE"""),"MAHASISWA")</f>
        <v>MAHASISWA</v>
      </c>
      <c r="T3561" s="35" t="str">
        <f>IFERROR(__xludf.DUMMYFUNCTION("""COMPUTED_VALUE"""),"PERGELANGAN TANGAN")</f>
        <v>PERGELANGAN TANGAN</v>
      </c>
      <c r="U3561" s="35" t="str">
        <f>IFERROR(__xludf.DUMMYFUNCTION("""COMPUTED_VALUE"""),"-")</f>
        <v>-</v>
      </c>
      <c r="V3561" s="35" t="str">
        <f>IFERROR(__xludf.DUMMYFUNCTION("""COMPUTED_VALUE"""),"081344323323")</f>
        <v>081344323323</v>
      </c>
      <c r="W3561" s="45"/>
    </row>
    <row r="3562">
      <c r="A3562" s="45"/>
      <c r="B3562" s="35" t="str">
        <f>IFERROR(__xludf.DUMMYFUNCTION("""COMPUTED_VALUE"""),"12/03/2026 9:45:58")</f>
        <v>12/03/2026 9:45:58</v>
      </c>
      <c r="C3562" s="35"/>
      <c r="D3562" s="10">
        <f>IFERROR(__xludf.DUMMYFUNCTION("""COMPUTED_VALUE"""),46093.0)</f>
        <v>46093</v>
      </c>
      <c r="E3562" s="35" t="str">
        <f>IFERROR(__xludf.DUMMYFUNCTION("""COMPUTED_VALUE"""),"03Mar")</f>
        <v>03Mar</v>
      </c>
      <c r="F3562" s="35"/>
      <c r="G3562" s="35" t="str">
        <f>IFERROR(__xludf.DUMMYFUNCTION("""COMPUTED_VALUE"""),"RIKA RAHMAWATI")</f>
        <v>RIKA RAHMAWATI</v>
      </c>
      <c r="H3562" s="35" t="str">
        <f>IFERROR(__xludf.DUMMYFUNCTION("""COMPUTED_VALUE"""),"R9226033048")</f>
        <v>R9226033048</v>
      </c>
      <c r="I3562" s="35">
        <f>IFERROR(__xludf.DUMMYFUNCTION("""COMPUTED_VALUE"""),34.0)</f>
        <v>34</v>
      </c>
      <c r="J3562" s="35" t="str">
        <f>IFERROR(__xludf.DUMMYFUNCTION("""COMPUTED_VALUE"""),"25-34 tahun")</f>
        <v>25-34 tahun</v>
      </c>
      <c r="K3562" s="35" t="str">
        <f>IFERROR(__xludf.DUMMYFUNCTION("""COMPUTED_VALUE"""),"04/01/1992")</f>
        <v>04/01/1992</v>
      </c>
      <c r="L3562" s="35" t="str">
        <f>IFERROR(__xludf.DUMMYFUNCTION("""COMPUTED_VALUE"""),"PEREMPUAN")</f>
        <v>PEREMPUAN</v>
      </c>
      <c r="M3562" s="35" t="str">
        <f>IFERROR(__xludf.DUMMYFUNCTION("""COMPUTED_VALUE"""),"PERUMNAS I, JL. BAKRI L4 NO. 8 RT/RW 002/026")</f>
        <v>PERUMNAS I, JL. BAKRI L4 NO. 8 RT/RW 002/026</v>
      </c>
      <c r="N3562" s="35" t="str">
        <f>IFERROR(__xludf.DUMMYFUNCTION("""COMPUTED_VALUE"""),"SUNGAI JAWI LUAR")</f>
        <v>SUNGAI JAWI LUAR</v>
      </c>
      <c r="O3562" s="35" t="str">
        <f>IFERROR(__xludf.DUMMYFUNCTION("""COMPUTED_VALUE"""),"PONTIANAK BARAT")</f>
        <v>PONTIANAK BARAT</v>
      </c>
      <c r="P3562" s="35" t="str">
        <f>IFERROR(__xludf.DUMMYFUNCTION("""COMPUTED_VALUE"""),"PONTIANAK")</f>
        <v>PONTIANAK</v>
      </c>
      <c r="Q3562" s="35" t="str">
        <f>IFERROR(__xludf.DUMMYFUNCTION("""COMPUTED_VALUE"""),"KALIMANTAN BARAT")</f>
        <v>KALIMANTAN BARAT</v>
      </c>
      <c r="R3562" s="35" t="str">
        <f>IFERROR(__xludf.DUMMYFUNCTION("""COMPUTED_VALUE"""),"ISLAM")</f>
        <v>ISLAM</v>
      </c>
      <c r="S3562" s="74" t="str">
        <f>IFERROR(__xludf.DUMMYFUNCTION("""COMPUTED_VALUE"""),"IBU RUMAH TANGGA")</f>
        <v>IBU RUMAH TANGGA</v>
      </c>
      <c r="T3562" s="35" t="str">
        <f>IFERROR(__xludf.DUMMYFUNCTION("""COMPUTED_VALUE"""),"SAKIT PADA BOKONG DAN HIPS KANAN")</f>
        <v>SAKIT PADA BOKONG DAN HIPS KANAN</v>
      </c>
      <c r="U3562" s="35" t="str">
        <f>IFERROR(__xludf.DUMMYFUNCTION("""COMPUTED_VALUE"""),"HOBI MERAJUT, DAN YOGA")</f>
        <v>HOBI MERAJUT, DAN YOGA</v>
      </c>
      <c r="V3562" s="35" t="str">
        <f>IFERROR(__xludf.DUMMYFUNCTION("""COMPUTED_VALUE"""),"088808973048")</f>
        <v>088808973048</v>
      </c>
      <c r="W3562" s="45"/>
    </row>
    <row r="3563">
      <c r="A3563" s="45"/>
      <c r="B3563" s="35" t="str">
        <f>IFERROR(__xludf.DUMMYFUNCTION("""COMPUTED_VALUE"""),"12/03/2026 10:18:25")</f>
        <v>12/03/2026 10:18:25</v>
      </c>
      <c r="C3563" s="35"/>
      <c r="D3563" s="10">
        <f>IFERROR(__xludf.DUMMYFUNCTION("""COMPUTED_VALUE"""),46093.0)</f>
        <v>46093</v>
      </c>
      <c r="E3563" s="35" t="str">
        <f>IFERROR(__xludf.DUMMYFUNCTION("""COMPUTED_VALUE"""),"03Mar")</f>
        <v>03Mar</v>
      </c>
      <c r="F3563" s="35"/>
      <c r="G3563" s="35" t="str">
        <f>IFERROR(__xludf.DUMMYFUNCTION("""COMPUTED_VALUE"""),"ANNE YURIKA MAULUDDIN")</f>
        <v>ANNE YURIKA MAULUDDIN</v>
      </c>
      <c r="H3563" s="35" t="str">
        <f>IFERROR(__xludf.DUMMYFUNCTION("""COMPUTED_VALUE"""),"A9326037674")</f>
        <v>A9326037674</v>
      </c>
      <c r="I3563" s="35">
        <f>IFERROR(__xludf.DUMMYFUNCTION("""COMPUTED_VALUE"""),32.0)</f>
        <v>32</v>
      </c>
      <c r="J3563" s="35" t="str">
        <f>IFERROR(__xludf.DUMMYFUNCTION("""COMPUTED_VALUE"""),"25-34 tahun")</f>
        <v>25-34 tahun</v>
      </c>
      <c r="K3563" s="35" t="str">
        <f>IFERROR(__xludf.DUMMYFUNCTION("""COMPUTED_VALUE"""),"31/07/1993")</f>
        <v>31/07/1993</v>
      </c>
      <c r="L3563" s="35" t="str">
        <f>IFERROR(__xludf.DUMMYFUNCTION("""COMPUTED_VALUE"""),"PEREMPUAN")</f>
        <v>PEREMPUAN</v>
      </c>
      <c r="M3563" s="35" t="str">
        <f>IFERROR(__xludf.DUMMYFUNCTION("""COMPUTED_VALUE"""),"JL DR WAHIDIN KOMP SEPAKAT DAMAI BLOK B 22")</f>
        <v>JL DR WAHIDIN KOMP SEPAKAT DAMAI BLOK B 22</v>
      </c>
      <c r="N3563" s="35" t="str">
        <f>IFERROR(__xludf.DUMMYFUNCTION("""COMPUTED_VALUE"""),"SUNGAI JAWI")</f>
        <v>SUNGAI JAWI</v>
      </c>
      <c r="O3563" s="35" t="str">
        <f>IFERROR(__xludf.DUMMYFUNCTION("""COMPUTED_VALUE"""),"PONTIANAK KOTA")</f>
        <v>PONTIANAK KOTA</v>
      </c>
      <c r="P3563" s="35" t="str">
        <f>IFERROR(__xludf.DUMMYFUNCTION("""COMPUTED_VALUE"""),"PONTIANAK")</f>
        <v>PONTIANAK</v>
      </c>
      <c r="Q3563" s="35" t="str">
        <f>IFERROR(__xludf.DUMMYFUNCTION("""COMPUTED_VALUE"""),"KALIMANTAN BARAT")</f>
        <v>KALIMANTAN BARAT</v>
      </c>
      <c r="R3563" s="35" t="str">
        <f>IFERROR(__xludf.DUMMYFUNCTION("""COMPUTED_VALUE"""),"ISLAM")</f>
        <v>ISLAM</v>
      </c>
      <c r="S3563" s="74" t="str">
        <f>IFERROR(__xludf.DUMMYFUNCTION("""COMPUTED_VALUE"""),"SWASTA")</f>
        <v>SWASTA</v>
      </c>
      <c r="T3563" s="35" t="str">
        <f>IFERROR(__xludf.DUMMYFUNCTION("""COMPUTED_VALUE"""),"NYERI PINGGANG SAMPAI KE PAHA KANAN")</f>
        <v>NYERI PINGGANG SAMPAI KE PAHA KANAN</v>
      </c>
      <c r="U3563" s="35" t="str">
        <f>IFERROR(__xludf.DUMMYFUNCTION("""COMPUTED_VALUE"""),"PEKERJAAN RUMAH TANGGA")</f>
        <v>PEKERJAAN RUMAH TANGGA</v>
      </c>
      <c r="V3563" s="35" t="str">
        <f>IFERROR(__xludf.DUMMYFUNCTION("""COMPUTED_VALUE"""),"089666367674")</f>
        <v>089666367674</v>
      </c>
      <c r="W3563" s="45"/>
    </row>
    <row r="3564">
      <c r="A3564" s="45"/>
      <c r="B3564" s="35" t="str">
        <f>IFERROR(__xludf.DUMMYFUNCTION("""COMPUTED_VALUE"""),"12/03/2026 11:54:46")</f>
        <v>12/03/2026 11:54:46</v>
      </c>
      <c r="C3564" s="35"/>
      <c r="D3564" s="10">
        <f>IFERROR(__xludf.DUMMYFUNCTION("""COMPUTED_VALUE"""),46093.0)</f>
        <v>46093</v>
      </c>
      <c r="E3564" s="35" t="str">
        <f>IFERROR(__xludf.DUMMYFUNCTION("""COMPUTED_VALUE"""),"03Mar")</f>
        <v>03Mar</v>
      </c>
      <c r="F3564" s="35"/>
      <c r="G3564" s="35" t="str">
        <f>IFERROR(__xludf.DUMMYFUNCTION("""COMPUTED_VALUE"""),"NICKY")</f>
        <v>NICKY</v>
      </c>
      <c r="H3564" s="35" t="str">
        <f>IFERROR(__xludf.DUMMYFUNCTION("""COMPUTED_VALUE"""),"N9026035828")</f>
        <v>N9026035828</v>
      </c>
      <c r="I3564" s="35">
        <f>IFERROR(__xludf.DUMMYFUNCTION("""COMPUTED_VALUE"""),35.0)</f>
        <v>35</v>
      </c>
      <c r="J3564" s="35" t="str">
        <f>IFERROR(__xludf.DUMMYFUNCTION("""COMPUTED_VALUE"""),"35-44 tahun")</f>
        <v>35-44 tahun</v>
      </c>
      <c r="K3564" s="35" t="str">
        <f>IFERROR(__xludf.DUMMYFUNCTION("""COMPUTED_VALUE"""),"19/09/1990")</f>
        <v>19/09/1990</v>
      </c>
      <c r="L3564" s="35" t="str">
        <f>IFERROR(__xludf.DUMMYFUNCTION("""COMPUTED_VALUE"""),"PEREMPUAN")</f>
        <v>PEREMPUAN</v>
      </c>
      <c r="M3564" s="35" t="str">
        <f>IFERROR(__xludf.DUMMYFUNCTION("""COMPUTED_VALUE"""),"JALAN MERDEKA GANG BAYAN NO 34")</f>
        <v>JALAN MERDEKA GANG BAYAN NO 34</v>
      </c>
      <c r="N3564" s="35" t="str">
        <f>IFERROR(__xludf.DUMMYFUNCTION("""COMPUTED_VALUE"""),"TENGAH")</f>
        <v>TENGAH</v>
      </c>
      <c r="O3564" s="35" t="str">
        <f>IFERROR(__xludf.DUMMYFUNCTION("""COMPUTED_VALUE"""),"PONTIANAK KOTA")</f>
        <v>PONTIANAK KOTA</v>
      </c>
      <c r="P3564" s="35" t="str">
        <f>IFERROR(__xludf.DUMMYFUNCTION("""COMPUTED_VALUE"""),"PONTIANAK")</f>
        <v>PONTIANAK</v>
      </c>
      <c r="Q3564" s="35" t="str">
        <f>IFERROR(__xludf.DUMMYFUNCTION("""COMPUTED_VALUE"""),"KALIMANTAN BARAT")</f>
        <v>KALIMANTAN BARAT</v>
      </c>
      <c r="R3564" s="35" t="str">
        <f>IFERROR(__xludf.DUMMYFUNCTION("""COMPUTED_VALUE"""),"BUDDHA")</f>
        <v>BUDDHA</v>
      </c>
      <c r="S3564" s="74" t="str">
        <f>IFERROR(__xludf.DUMMYFUNCTION("""COMPUTED_VALUE"""),"KARYAWAN SWASTA")</f>
        <v>KARYAWAN SWASTA</v>
      </c>
      <c r="T3564" s="35" t="str">
        <f>IFERROR(__xludf.DUMMYFUNCTION("""COMPUTED_VALUE"""),"SAKIT DI LUTUT")</f>
        <v>SAKIT DI LUTUT</v>
      </c>
      <c r="U3564" s="35" t="str">
        <f>IFERROR(__xludf.DUMMYFUNCTION("""COMPUTED_VALUE"""),"PICKLE")</f>
        <v>PICKLE</v>
      </c>
      <c r="V3564" s="35" t="str">
        <f>IFERROR(__xludf.DUMMYFUNCTION("""COMPUTED_VALUE"""),"081255515828")</f>
        <v>081255515828</v>
      </c>
      <c r="W3564" s="45"/>
    </row>
    <row r="3565">
      <c r="A3565" s="45"/>
      <c r="B3565" s="35" t="str">
        <f>IFERROR(__xludf.DUMMYFUNCTION("""COMPUTED_VALUE"""),"12/03/2026 13:34:36")</f>
        <v>12/03/2026 13:34:36</v>
      </c>
      <c r="C3565" s="35"/>
      <c r="D3565" s="10">
        <f>IFERROR(__xludf.DUMMYFUNCTION("""COMPUTED_VALUE"""),46093.0)</f>
        <v>46093</v>
      </c>
      <c r="E3565" s="35" t="str">
        <f>IFERROR(__xludf.DUMMYFUNCTION("""COMPUTED_VALUE"""),"03Mar")</f>
        <v>03Mar</v>
      </c>
      <c r="F3565" s="35"/>
      <c r="G3565" s="35" t="str">
        <f>IFERROR(__xludf.DUMMYFUNCTION("""COMPUTED_VALUE"""),"FARADILLA")</f>
        <v>FARADILLA</v>
      </c>
      <c r="H3565" s="35" t="str">
        <f>IFERROR(__xludf.DUMMYFUNCTION("""COMPUTED_VALUE"""),"F9026031920")</f>
        <v>F9026031920</v>
      </c>
      <c r="I3565" s="35">
        <f>IFERROR(__xludf.DUMMYFUNCTION("""COMPUTED_VALUE"""),35.0)</f>
        <v>35</v>
      </c>
      <c r="J3565" s="35" t="str">
        <f>IFERROR(__xludf.DUMMYFUNCTION("""COMPUTED_VALUE"""),"35-44 tahun")</f>
        <v>35-44 tahun</v>
      </c>
      <c r="K3565" s="35" t="str">
        <f>IFERROR(__xludf.DUMMYFUNCTION("""COMPUTED_VALUE"""),"25/06/1990")</f>
        <v>25/06/1990</v>
      </c>
      <c r="L3565" s="35" t="str">
        <f>IFERROR(__xludf.DUMMYFUNCTION("""COMPUTED_VALUE"""),"PEREMPUAN")</f>
        <v>PEREMPUAN</v>
      </c>
      <c r="M3565" s="35" t="str">
        <f>IFERROR(__xludf.DUMMYFUNCTION("""COMPUTED_VALUE"""),"JL. H.R.A. RACHMAN")</f>
        <v>JL. H.R.A. RACHMAN</v>
      </c>
      <c r="N3565" s="35" t="str">
        <f>IFERROR(__xludf.DUMMYFUNCTION("""COMPUTED_VALUE"""),"SUI JAWI")</f>
        <v>SUI JAWI</v>
      </c>
      <c r="O3565" s="35" t="str">
        <f>IFERROR(__xludf.DUMMYFUNCTION("""COMPUTED_VALUE"""),"PONTIANAK KOTA")</f>
        <v>PONTIANAK KOTA</v>
      </c>
      <c r="P3565" s="35" t="str">
        <f>IFERROR(__xludf.DUMMYFUNCTION("""COMPUTED_VALUE"""),"PONTIANAK")</f>
        <v>PONTIANAK</v>
      </c>
      <c r="Q3565" s="35" t="str">
        <f>IFERROR(__xludf.DUMMYFUNCTION("""COMPUTED_VALUE"""),"KALIMANTAN BARAT")</f>
        <v>KALIMANTAN BARAT</v>
      </c>
      <c r="R3565" s="35" t="str">
        <f>IFERROR(__xludf.DUMMYFUNCTION("""COMPUTED_VALUE"""),"ISLAM")</f>
        <v>ISLAM</v>
      </c>
      <c r="S3565" s="74" t="str">
        <f>IFERROR(__xludf.DUMMYFUNCTION("""COMPUTED_VALUE"""),"-")</f>
        <v>-</v>
      </c>
      <c r="T3565" s="35" t="str">
        <f>IFERROR(__xludf.DUMMYFUNCTION("""COMPUTED_VALUE"""),"SAKIT DI AREA LEHER DAN PUNGGUNG ATAS")</f>
        <v>SAKIT DI AREA LEHER DAN PUNGGUNG ATAS</v>
      </c>
      <c r="U3565" s="35" t="str">
        <f>IFERROR(__xludf.DUMMYFUNCTION("""COMPUTED_VALUE"""),"JARANG GERAK DAN SERING MAIN HP")</f>
        <v>JARANG GERAK DAN SERING MAIN HP</v>
      </c>
      <c r="V3565" s="35" t="str">
        <f>IFERROR(__xludf.DUMMYFUNCTION("""COMPUTED_VALUE"""),"081345501920")</f>
        <v>081345501920</v>
      </c>
      <c r="W3565" s="45"/>
    </row>
    <row r="3566">
      <c r="A3566" s="45"/>
      <c r="B3566" s="35" t="str">
        <f>IFERROR(__xludf.DUMMYFUNCTION("""COMPUTED_VALUE"""),"12/03/2026 15:47:11")</f>
        <v>12/03/2026 15:47:11</v>
      </c>
      <c r="C3566" s="35"/>
      <c r="D3566" s="10">
        <f>IFERROR(__xludf.DUMMYFUNCTION("""COMPUTED_VALUE"""),46093.0)</f>
        <v>46093</v>
      </c>
      <c r="E3566" s="35" t="str">
        <f>IFERROR(__xludf.DUMMYFUNCTION("""COMPUTED_VALUE"""),"03Mar")</f>
        <v>03Mar</v>
      </c>
      <c r="F3566" s="35"/>
      <c r="G3566" s="35" t="str">
        <f>IFERROR(__xludf.DUMMYFUNCTION("""COMPUTED_VALUE"""),"HAMDIKO CIKAL JULIADI")</f>
        <v>HAMDIKO CIKAL JULIADI</v>
      </c>
      <c r="H3566" s="35" t="str">
        <f>IFERROR(__xludf.DUMMYFUNCTION("""COMPUTED_VALUE"""),"H0126035925")</f>
        <v>H0126035925</v>
      </c>
      <c r="I3566" s="35">
        <f>IFERROR(__xludf.DUMMYFUNCTION("""COMPUTED_VALUE"""),25.0)</f>
        <v>25</v>
      </c>
      <c r="J3566" s="35" t="str">
        <f>IFERROR(__xludf.DUMMYFUNCTION("""COMPUTED_VALUE"""),"25-34 tahun")</f>
        <v>25-34 tahun</v>
      </c>
      <c r="K3566" s="35" t="str">
        <f>IFERROR(__xludf.DUMMYFUNCTION("""COMPUTED_VALUE"""),"10/06/2001")</f>
        <v>10/06/2001</v>
      </c>
      <c r="L3566" s="35" t="str">
        <f>IFERROR(__xludf.DUMMYFUNCTION("""COMPUTED_VALUE"""),"LAKI-LAKI")</f>
        <v>LAKI-LAKI</v>
      </c>
      <c r="M3566" s="35" t="str">
        <f>IFERROR(__xludf.DUMMYFUNCTION("""COMPUTED_VALUE"""),"JL. WONODADI, TLK. KAPUAS, KEC. SUNGAI RAYA, KABUPATEN KUBU RAYA, KALIMANTAN BARAT, INDONESIA")</f>
        <v>JL. WONODADI, TLK. KAPUAS, KEC. SUNGAI RAYA, KABUPATEN KUBU RAYA, KALIMANTAN BARAT, INDONESIA</v>
      </c>
      <c r="N3566" s="35" t="str">
        <f>IFERROR(__xludf.DUMMYFUNCTION("""COMPUTED_VALUE"""),"ARANG LIMBUNG")</f>
        <v>ARANG LIMBUNG</v>
      </c>
      <c r="O3566" s="35" t="str">
        <f>IFERROR(__xludf.DUMMYFUNCTION("""COMPUTED_VALUE"""),"SUNGAI RAYA")</f>
        <v>SUNGAI RAYA</v>
      </c>
      <c r="P3566" s="35" t="str">
        <f>IFERROR(__xludf.DUMMYFUNCTION("""COMPUTED_VALUE"""),"KUBU RAYA")</f>
        <v>KUBU RAYA</v>
      </c>
      <c r="Q3566" s="35" t="str">
        <f>IFERROR(__xludf.DUMMYFUNCTION("""COMPUTED_VALUE"""),"KALIMANTAN BARAT")</f>
        <v>KALIMANTAN BARAT</v>
      </c>
      <c r="R3566" s="35" t="str">
        <f>IFERROR(__xludf.DUMMYFUNCTION("""COMPUTED_VALUE"""),"ISLAM")</f>
        <v>ISLAM</v>
      </c>
      <c r="S3566" s="74" t="str">
        <f>IFERROR(__xludf.DUMMYFUNCTION("""COMPUTED_VALUE"""),"KARYAWAN SWASTA")</f>
        <v>KARYAWAN SWASTA</v>
      </c>
      <c r="T3566" s="35" t="str">
        <f>IFERROR(__xludf.DUMMYFUNCTION("""COMPUTED_VALUE"""),"SAKIT PADA KAKI KIRI")</f>
        <v>SAKIT PADA KAKI KIRI</v>
      </c>
      <c r="U3566" s="35" t="str">
        <f>IFERROR(__xludf.DUMMYFUNCTION("""COMPUTED_VALUE"""),"FUTSAL")</f>
        <v>FUTSAL</v>
      </c>
      <c r="V3566" s="35" t="str">
        <f>IFERROR(__xludf.DUMMYFUNCTION("""COMPUTED_VALUE"""),"089509905925")</f>
        <v>089509905925</v>
      </c>
      <c r="W3566" s="45"/>
    </row>
    <row r="3567">
      <c r="A3567" s="45"/>
      <c r="B3567" s="35" t="str">
        <f>IFERROR(__xludf.DUMMYFUNCTION("""COMPUTED_VALUE"""),"13/03/2026 9:47:27")</f>
        <v>13/03/2026 9:47:27</v>
      </c>
      <c r="C3567" s="35"/>
      <c r="D3567" s="10">
        <f>IFERROR(__xludf.DUMMYFUNCTION("""COMPUTED_VALUE"""),46094.0)</f>
        <v>46094</v>
      </c>
      <c r="E3567" s="35" t="str">
        <f>IFERROR(__xludf.DUMMYFUNCTION("""COMPUTED_VALUE"""),"03Mar")</f>
        <v>03Mar</v>
      </c>
      <c r="F3567" s="35"/>
      <c r="G3567" s="35" t="str">
        <f>IFERROR(__xludf.DUMMYFUNCTION("""COMPUTED_VALUE"""),"EFFIE SYEKH USMAN")</f>
        <v>EFFIE SYEKH USMAN</v>
      </c>
      <c r="H3567" s="35" t="str">
        <f>IFERROR(__xludf.DUMMYFUNCTION("""COMPUTED_VALUE"""),"E7226037151")</f>
        <v>E7226037151</v>
      </c>
      <c r="I3567" s="35">
        <f>IFERROR(__xludf.DUMMYFUNCTION("""COMPUTED_VALUE"""),53.0)</f>
        <v>53</v>
      </c>
      <c r="J3567" s="35" t="str">
        <f>IFERROR(__xludf.DUMMYFUNCTION("""COMPUTED_VALUE"""),"&gt; 44 tahun")</f>
        <v>&gt; 44 tahun</v>
      </c>
      <c r="K3567" s="35" t="str">
        <f>IFERROR(__xludf.DUMMYFUNCTION("""COMPUTED_VALUE"""),"15/08/1972")</f>
        <v>15/08/1972</v>
      </c>
      <c r="L3567" s="35" t="str">
        <f>IFERROR(__xludf.DUMMYFUNCTION("""COMPUTED_VALUE"""),"PEREMPUAN")</f>
        <v>PEREMPUAN</v>
      </c>
      <c r="M3567" s="35" t="str">
        <f>IFERROR(__xludf.DUMMYFUNCTION("""COMPUTED_VALUE"""),"JL. RE. MARTADINATA KOMP. VILLA CITRA MARTA NO.14B")</f>
        <v>JL. RE. MARTADINATA KOMP. VILLA CITRA MARTA NO.14B</v>
      </c>
      <c r="N3567" s="35" t="str">
        <f>IFERROR(__xludf.DUMMYFUNCTION("""COMPUTED_VALUE"""),"PONTIANAK BARAT")</f>
        <v>PONTIANAK BARAT</v>
      </c>
      <c r="O3567" s="35" t="str">
        <f>IFERROR(__xludf.DUMMYFUNCTION("""COMPUTED_VALUE"""),"SUNGAI JAWI DALAM")</f>
        <v>SUNGAI JAWI DALAM</v>
      </c>
      <c r="P3567" s="35" t="str">
        <f>IFERROR(__xludf.DUMMYFUNCTION("""COMPUTED_VALUE"""),"PONTIANAK ")</f>
        <v>PONTIANAK </v>
      </c>
      <c r="Q3567" s="35" t="str">
        <f>IFERROR(__xludf.DUMMYFUNCTION("""COMPUTED_VALUE"""),"KALIMANTAN BARAT")</f>
        <v>KALIMANTAN BARAT</v>
      </c>
      <c r="R3567" s="35" t="str">
        <f>IFERROR(__xludf.DUMMYFUNCTION("""COMPUTED_VALUE"""),"ISLAM")</f>
        <v>ISLAM</v>
      </c>
      <c r="S3567" s="74" t="str">
        <f>IFERROR(__xludf.DUMMYFUNCTION("""COMPUTED_VALUE"""),"IBU RUMAH TANGGA")</f>
        <v>IBU RUMAH TANGGA</v>
      </c>
      <c r="T3567" s="35" t="str">
        <f>IFERROR(__xludf.DUMMYFUNCTION("""COMPUTED_VALUE"""),"INGIN FISIOTERAPI PASCA KECELAKAAN")</f>
        <v>INGIN FISIOTERAPI PASCA KECELAKAAN</v>
      </c>
      <c r="U3567" s="35" t="str">
        <f>IFERROR(__xludf.DUMMYFUNCTION("""COMPUTED_VALUE"""),"SENAM")</f>
        <v>SENAM</v>
      </c>
      <c r="V3567" s="35" t="str">
        <f>IFERROR(__xludf.DUMMYFUNCTION("""COMPUTED_VALUE"""),"089515047151")</f>
        <v>089515047151</v>
      </c>
      <c r="W3567" s="45"/>
    </row>
    <row r="3568">
      <c r="A3568" s="45"/>
      <c r="B3568" s="35" t="str">
        <f>IFERROR(__xludf.DUMMYFUNCTION("""COMPUTED_VALUE"""),"13/03/2026 10:02:51")</f>
        <v>13/03/2026 10:02:51</v>
      </c>
      <c r="C3568" s="35"/>
      <c r="D3568" s="10">
        <f>IFERROR(__xludf.DUMMYFUNCTION("""COMPUTED_VALUE"""),46094.0)</f>
        <v>46094</v>
      </c>
      <c r="E3568" s="35" t="str">
        <f>IFERROR(__xludf.DUMMYFUNCTION("""COMPUTED_VALUE"""),"03Mar")</f>
        <v>03Mar</v>
      </c>
      <c r="F3568" s="35"/>
      <c r="G3568" s="35" t="str">
        <f>IFERROR(__xludf.DUMMYFUNCTION("""COMPUTED_VALUE"""),"ANDRIA RAMA YANA")</f>
        <v>ANDRIA RAMA YANA</v>
      </c>
      <c r="H3568" s="35" t="str">
        <f>IFERROR(__xludf.DUMMYFUNCTION("""COMPUTED_VALUE"""),"A9926038293")</f>
        <v>A9926038293</v>
      </c>
      <c r="I3568" s="35">
        <f>IFERROR(__xludf.DUMMYFUNCTION("""COMPUTED_VALUE"""),26.0)</f>
        <v>26</v>
      </c>
      <c r="J3568" s="35" t="str">
        <f>IFERROR(__xludf.DUMMYFUNCTION("""COMPUTED_VALUE"""),"25-34 tahun")</f>
        <v>25-34 tahun</v>
      </c>
      <c r="K3568" s="35" t="str">
        <f>IFERROR(__xludf.DUMMYFUNCTION("""COMPUTED_VALUE"""),"19/09/1999")</f>
        <v>19/09/1999</v>
      </c>
      <c r="L3568" s="35" t="str">
        <f>IFERROR(__xludf.DUMMYFUNCTION("""COMPUTED_VALUE"""),"PEREMPUAN")</f>
        <v>PEREMPUAN</v>
      </c>
      <c r="M3568" s="35" t="str">
        <f>IFERROR(__xludf.DUMMYFUNCTION("""COMPUTED_VALUE"""),"NGABANG, KABUPATEN LANDAK")</f>
        <v>NGABANG, KABUPATEN LANDAK</v>
      </c>
      <c r="N3568" s="35" t="str">
        <f>IFERROR(__xludf.DUMMYFUNCTION("""COMPUTED_VALUE"""),"DESA ANTAN RAYAN")</f>
        <v>DESA ANTAN RAYAN</v>
      </c>
      <c r="O3568" s="35" t="str">
        <f>IFERROR(__xludf.DUMMYFUNCTION("""COMPUTED_VALUE"""),"NGABANG")</f>
        <v>NGABANG</v>
      </c>
      <c r="P3568" s="35" t="str">
        <f>IFERROR(__xludf.DUMMYFUNCTION("""COMPUTED_VALUE"""),"LANDAK")</f>
        <v>LANDAK</v>
      </c>
      <c r="Q3568" s="35" t="str">
        <f>IFERROR(__xludf.DUMMYFUNCTION("""COMPUTED_VALUE"""),"KALIMANTAN BARAT")</f>
        <v>KALIMANTAN BARAT</v>
      </c>
      <c r="R3568" s="35" t="str">
        <f>IFERROR(__xludf.DUMMYFUNCTION("""COMPUTED_VALUE"""),"PROTESTAN")</f>
        <v>PROTESTAN</v>
      </c>
      <c r="S3568" s="74" t="str">
        <f>IFERROR(__xludf.DUMMYFUNCTION("""COMPUTED_VALUE"""),"FREELANCE")</f>
        <v>FREELANCE</v>
      </c>
      <c r="T3568" s="35" t="str">
        <f>IFERROR(__xludf.DUMMYFUNCTION("""COMPUTED_VALUE"""),"CEDERA KAKI")</f>
        <v>CEDERA KAKI</v>
      </c>
      <c r="U3568" s="35" t="str">
        <f>IFERROR(__xludf.DUMMYFUNCTION("""COMPUTED_VALUE"""),"ATLET PANJAT TEBING ")</f>
        <v>ATLET PANJAT TEBING </v>
      </c>
      <c r="V3568" s="35" t="str">
        <f>IFERROR(__xludf.DUMMYFUNCTION("""COMPUTED_VALUE"""),"085849028293")</f>
        <v>085849028293</v>
      </c>
      <c r="W3568" s="45"/>
    </row>
    <row r="3569">
      <c r="A3569" s="45"/>
      <c r="B3569" s="35" t="str">
        <f>IFERROR(__xludf.DUMMYFUNCTION("""COMPUTED_VALUE"""),"13/03/2026 14:17:50")</f>
        <v>13/03/2026 14:17:50</v>
      </c>
      <c r="C3569" s="35"/>
      <c r="D3569" s="10">
        <f>IFERROR(__xludf.DUMMYFUNCTION("""COMPUTED_VALUE"""),46094.0)</f>
        <v>46094</v>
      </c>
      <c r="E3569" s="35" t="str">
        <f>IFERROR(__xludf.DUMMYFUNCTION("""COMPUTED_VALUE"""),"03Mar")</f>
        <v>03Mar</v>
      </c>
      <c r="F3569" s="35"/>
      <c r="G3569" s="35" t="str">
        <f>IFERROR(__xludf.DUMMYFUNCTION("""COMPUTED_VALUE"""),"STEVANI DHARMA YANTI")</f>
        <v>STEVANI DHARMA YANTI</v>
      </c>
      <c r="H3569" s="35" t="str">
        <f>IFERROR(__xludf.DUMMYFUNCTION("""COMPUTED_VALUE"""),"S9626030247")</f>
        <v>S9626030247</v>
      </c>
      <c r="I3569" s="35">
        <f>IFERROR(__xludf.DUMMYFUNCTION("""COMPUTED_VALUE"""),29.0)</f>
        <v>29</v>
      </c>
      <c r="J3569" s="35" t="str">
        <f>IFERROR(__xludf.DUMMYFUNCTION("""COMPUTED_VALUE"""),"25-34 tahun")</f>
        <v>25-34 tahun</v>
      </c>
      <c r="K3569" s="35" t="str">
        <f>IFERROR(__xludf.DUMMYFUNCTION("""COMPUTED_VALUE"""),"24/09/1996")</f>
        <v>24/09/1996</v>
      </c>
      <c r="L3569" s="35" t="str">
        <f>IFERROR(__xludf.DUMMYFUNCTION("""COMPUTED_VALUE"""),"PEREMPUAN")</f>
        <v>PEREMPUAN</v>
      </c>
      <c r="M3569" s="35" t="str">
        <f>IFERROR(__xludf.DUMMYFUNCTION("""COMPUTED_VALUE"""),"KAV DKI BLOK 142 NOMOR 12")</f>
        <v>KAV DKI BLOK 142 NOMOR 12</v>
      </c>
      <c r="N3569" s="35" t="str">
        <f>IFERROR(__xludf.DUMMYFUNCTION("""COMPUTED_VALUE"""),"MERUYA SELATAN")</f>
        <v>MERUYA SELATAN</v>
      </c>
      <c r="O3569" s="35" t="str">
        <f>IFERROR(__xludf.DUMMYFUNCTION("""COMPUTED_VALUE"""),"KEMBANGAN")</f>
        <v>KEMBANGAN</v>
      </c>
      <c r="P3569" s="35" t="str">
        <f>IFERROR(__xludf.DUMMYFUNCTION("""COMPUTED_VALUE"""),"JAKARTA BARAT")</f>
        <v>JAKARTA BARAT</v>
      </c>
      <c r="Q3569" s="35" t="str">
        <f>IFERROR(__xludf.DUMMYFUNCTION("""COMPUTED_VALUE"""),"DKI JAKARTA")</f>
        <v>DKI JAKARTA</v>
      </c>
      <c r="R3569" s="35" t="str">
        <f>IFERROR(__xludf.DUMMYFUNCTION("""COMPUTED_VALUE"""),"PROTESTAN")</f>
        <v>PROTESTAN</v>
      </c>
      <c r="S3569" s="74" t="str">
        <f>IFERROR(__xludf.DUMMYFUNCTION("""COMPUTED_VALUE"""),"IRT")</f>
        <v>IRT</v>
      </c>
      <c r="T3569" s="35" t="str">
        <f>IFERROR(__xludf.DUMMYFUNCTION("""COMPUTED_VALUE"""),"NYERI DI BELAKANG TELINGA AREA KEPALA BAWAH SEBELAH KANAN")</f>
        <v>NYERI DI BELAKANG TELINGA AREA KEPALA BAWAH SEBELAH KANAN</v>
      </c>
      <c r="U3569" s="35" t="str">
        <f>IFERROR(__xludf.DUMMYFUNCTION("""COMPUTED_VALUE"""),"NONTON TV, MAIN LAPTOP, TIDUR HADAP SISI KANAN")</f>
        <v>NONTON TV, MAIN LAPTOP, TIDUR HADAP SISI KANAN</v>
      </c>
      <c r="V3569" s="35" t="str">
        <f>IFERROR(__xludf.DUMMYFUNCTION("""COMPUTED_VALUE"""),"081221900247")</f>
        <v>081221900247</v>
      </c>
      <c r="W3569" s="45"/>
    </row>
    <row r="3570">
      <c r="A3570" s="45"/>
      <c r="B3570" s="35" t="str">
        <f>IFERROR(__xludf.DUMMYFUNCTION("""COMPUTED_VALUE"""),"14/03/2026 8:50:05")</f>
        <v>14/03/2026 8:50:05</v>
      </c>
      <c r="C3570" s="35"/>
      <c r="D3570" s="10">
        <f>IFERROR(__xludf.DUMMYFUNCTION("""COMPUTED_VALUE"""),46095.0)</f>
        <v>46095</v>
      </c>
      <c r="E3570" s="35" t="str">
        <f>IFERROR(__xludf.DUMMYFUNCTION("""COMPUTED_VALUE"""),"03Mar")</f>
        <v>03Mar</v>
      </c>
      <c r="F3570" s="35"/>
      <c r="G3570" s="35" t="str">
        <f>IFERROR(__xludf.DUMMYFUNCTION("""COMPUTED_VALUE"""),"HJ SUGIARTI")</f>
        <v>HJ SUGIARTI</v>
      </c>
      <c r="H3570" s="35" t="str">
        <f>IFERROR(__xludf.DUMMYFUNCTION("""COMPUTED_VALUE"""),"H7026037366")</f>
        <v>H7026037366</v>
      </c>
      <c r="I3570" s="35">
        <f>IFERROR(__xludf.DUMMYFUNCTION("""COMPUTED_VALUE"""),56.0)</f>
        <v>56</v>
      </c>
      <c r="J3570" s="35" t="str">
        <f>IFERROR(__xludf.DUMMYFUNCTION("""COMPUTED_VALUE"""),"&gt; 44 tahun")</f>
        <v>&gt; 44 tahun</v>
      </c>
      <c r="K3570" s="35" t="str">
        <f>IFERROR(__xludf.DUMMYFUNCTION("""COMPUTED_VALUE"""),"18/06/1970")</f>
        <v>18/06/1970</v>
      </c>
      <c r="L3570" s="35" t="str">
        <f>IFERROR(__xludf.DUMMYFUNCTION("""COMPUTED_VALUE"""),"PEREMPUAN")</f>
        <v>PEREMPUAN</v>
      </c>
      <c r="M3570" s="35" t="str">
        <f>IFERROR(__xludf.DUMMYFUNCTION("""COMPUTED_VALUE"""),"JL PELITA")</f>
        <v>JL PELITA</v>
      </c>
      <c r="N3570" s="35" t="str">
        <f>IFERROR(__xludf.DUMMYFUNCTION("""COMPUTED_VALUE"""),"JL PELITA 1 NO 103 PUNGGUR KECIL SUNGAI KAKAP ĶUBU RAYA KALBARA")</f>
        <v>JL PELITA 1 NO 103 PUNGGUR KECIL SUNGAI KAKAP ĶUBU RAYA KALBARA</v>
      </c>
      <c r="O3570" s="35" t="str">
        <f>IFERROR(__xludf.DUMMYFUNCTION("""COMPUTED_VALUE"""),"SUNGAI KAKAP ")</f>
        <v>SUNGAI KAKAP </v>
      </c>
      <c r="P3570" s="35" t="str">
        <f>IFERROR(__xludf.DUMMYFUNCTION("""COMPUTED_VALUE"""),"KUBU RAYA")</f>
        <v>KUBU RAYA</v>
      </c>
      <c r="Q3570" s="35" t="str">
        <f>IFERROR(__xludf.DUMMYFUNCTION("""COMPUTED_VALUE"""),"KAL BAR ")</f>
        <v>KAL BAR </v>
      </c>
      <c r="R3570" s="35" t="str">
        <f>IFERROR(__xludf.DUMMYFUNCTION("""COMPUTED_VALUE"""),"ISLAM")</f>
        <v>ISLAM</v>
      </c>
      <c r="S3570" s="74" t="str">
        <f>IFERROR(__xludf.DUMMYFUNCTION("""COMPUTED_VALUE"""),"RT")</f>
        <v>RT</v>
      </c>
      <c r="T3570" s="35" t="str">
        <f>IFERROR(__xludf.DUMMYFUNCTION("""COMPUTED_VALUE"""),"DESA  PUNNGUR KECIL")</f>
        <v>DESA  PUNNGUR KECIL</v>
      </c>
      <c r="U3570" s="35" t="str">
        <f>IFERROR(__xludf.DUMMYFUNCTION("""COMPUTED_VALUE"""),"NYERIBDI PINGGANG BAWA SAMPAI PAHA ")</f>
        <v>NYERIBDI PINGGANG BAWA SAMPAI PAHA </v>
      </c>
      <c r="V3570" s="35" t="str">
        <f>IFERROR(__xludf.DUMMYFUNCTION("""COMPUTED_VALUE"""),"081213327366")</f>
        <v>081213327366</v>
      </c>
      <c r="W3570" s="45"/>
    </row>
    <row r="3571">
      <c r="A3571" s="45"/>
      <c r="B3571" s="35" t="str">
        <f>IFERROR(__xludf.DUMMYFUNCTION("""COMPUTED_VALUE"""),"13/03/2026 19:15:31")</f>
        <v>13/03/2026 19:15:31</v>
      </c>
      <c r="C3571" s="35"/>
      <c r="D3571" s="10">
        <f>IFERROR(__xludf.DUMMYFUNCTION("""COMPUTED_VALUE"""),46095.0)</f>
        <v>46095</v>
      </c>
      <c r="E3571" s="35" t="str">
        <f>IFERROR(__xludf.DUMMYFUNCTION("""COMPUTED_VALUE"""),"03Mar")</f>
        <v>03Mar</v>
      </c>
      <c r="F3571" s="35"/>
      <c r="G3571" s="35" t="str">
        <f>IFERROR(__xludf.DUMMYFUNCTION("""COMPUTED_VALUE"""),"MARIANA")</f>
        <v>MARIANA</v>
      </c>
      <c r="H3571" s="35" t="str">
        <f>IFERROR(__xludf.DUMMYFUNCTION("""COMPUTED_VALUE"""),"M8526032638")</f>
        <v>M8526032638</v>
      </c>
      <c r="I3571" s="35">
        <f>IFERROR(__xludf.DUMMYFUNCTION("""COMPUTED_VALUE"""),41.0)</f>
        <v>41</v>
      </c>
      <c r="J3571" s="35" t="str">
        <f>IFERROR(__xludf.DUMMYFUNCTION("""COMPUTED_VALUE"""),"35-44 tahun")</f>
        <v>35-44 tahun</v>
      </c>
      <c r="K3571" s="35" t="str">
        <f>IFERROR(__xludf.DUMMYFUNCTION("""COMPUTED_VALUE"""),"21/05/1985")</f>
        <v>21/05/1985</v>
      </c>
      <c r="L3571" s="35" t="str">
        <f>IFERROR(__xludf.DUMMYFUNCTION("""COMPUTED_VALUE"""),"PEREMPUAN")</f>
        <v>PEREMPUAN</v>
      </c>
      <c r="M3571" s="35" t="str">
        <f>IFERROR(__xludf.DUMMYFUNCTION("""COMPUTED_VALUE"""),"JALAN LETJEN SOEPRAPTO V NO.8")</f>
        <v>JALAN LETJEN SOEPRAPTO V NO.8</v>
      </c>
      <c r="N3571" s="35" t="str">
        <f>IFERROR(__xludf.DUMMYFUNCTION("""COMPUTED_VALUE"""),"PONTIANAK SELATAN")</f>
        <v>PONTIANAK SELATAN</v>
      </c>
      <c r="O3571" s="35" t="str">
        <f>IFERROR(__xludf.DUMMYFUNCTION("""COMPUTED_VALUE"""),"BENUA MELAYU DARAT")</f>
        <v>BENUA MELAYU DARAT</v>
      </c>
      <c r="P3571" s="35" t="str">
        <f>IFERROR(__xludf.DUMMYFUNCTION("""COMPUTED_VALUE"""),"PONTIANAK SELATAN")</f>
        <v>PONTIANAK SELATAN</v>
      </c>
      <c r="Q3571" s="35" t="str">
        <f>IFERROR(__xludf.DUMMYFUNCTION("""COMPUTED_VALUE"""),"PONTIANAK KALBAR")</f>
        <v>PONTIANAK KALBAR</v>
      </c>
      <c r="R3571" s="35" t="str">
        <f>IFERROR(__xludf.DUMMYFUNCTION("""COMPUTED_VALUE"""),"KATOLIK")</f>
        <v>KATOLIK</v>
      </c>
      <c r="S3571" s="74" t="str">
        <f>IFERROR(__xludf.DUMMYFUNCTION("""COMPUTED_VALUE"""),"BISNIS WOMEN")</f>
        <v>BISNIS WOMEN</v>
      </c>
      <c r="T3571" s="35" t="str">
        <f>IFERROR(__xludf.DUMMYFUNCTION("""COMPUTED_VALUE"""),"KRAM")</f>
        <v>KRAM</v>
      </c>
      <c r="U3571" s="35" t="str">
        <f>IFERROR(__xludf.DUMMYFUNCTION("""COMPUTED_VALUE"""),"ONGSENG SAYUR")</f>
        <v>ONGSENG SAYUR</v>
      </c>
      <c r="V3571" s="35" t="str">
        <f>IFERROR(__xludf.DUMMYFUNCTION("""COMPUTED_VALUE"""),"08125652638")</f>
        <v>08125652638</v>
      </c>
      <c r="W3571" s="45"/>
    </row>
    <row r="3572">
      <c r="A3572" s="45"/>
      <c r="B3572" s="35" t="str">
        <f>IFERROR(__xludf.DUMMYFUNCTION("""COMPUTED_VALUE"""),"14/03/2026 13:04:06")</f>
        <v>14/03/2026 13:04:06</v>
      </c>
      <c r="C3572" s="35"/>
      <c r="D3572" s="10">
        <f>IFERROR(__xludf.DUMMYFUNCTION("""COMPUTED_VALUE"""),46095.0)</f>
        <v>46095</v>
      </c>
      <c r="E3572" s="35" t="str">
        <f>IFERROR(__xludf.DUMMYFUNCTION("""COMPUTED_VALUE"""),"03Mar")</f>
        <v>03Mar</v>
      </c>
      <c r="F3572" s="35"/>
      <c r="G3572" s="35" t="str">
        <f>IFERROR(__xludf.DUMMYFUNCTION("""COMPUTED_VALUE"""),"MUZAHIM SUFYAN ATS TSAURI ")</f>
        <v>MUZAHIM SUFYAN ATS TSAURI </v>
      </c>
      <c r="H3572" s="35" t="str">
        <f>IFERROR(__xludf.DUMMYFUNCTION("""COMPUTED_VALUE"""),"M1926031714")</f>
        <v>M1926031714</v>
      </c>
      <c r="I3572" s="35">
        <f>IFERROR(__xludf.DUMMYFUNCTION("""COMPUTED_VALUE"""),6.0)</f>
        <v>6</v>
      </c>
      <c r="J3572" s="35" t="str">
        <f>IFERROR(__xludf.DUMMYFUNCTION("""COMPUTED_VALUE"""),"&lt; 18 tahun")</f>
        <v>&lt; 18 tahun</v>
      </c>
      <c r="K3572" s="35" t="str">
        <f>IFERROR(__xludf.DUMMYFUNCTION("""COMPUTED_VALUE"""),"25/11/2019")</f>
        <v>25/11/2019</v>
      </c>
      <c r="L3572" s="35" t="str">
        <f>IFERROR(__xludf.DUMMYFUNCTION("""COMPUTED_VALUE"""),"LAKI-LAKI")</f>
        <v>LAKI-LAKI</v>
      </c>
      <c r="M3572" s="35" t="str">
        <f>IFERROR(__xludf.DUMMYFUNCTION("""COMPUTED_VALUE"""),"JL TJ RAYA 2 KOMPLEK CENDANA PERMAI 2 NOB14 ")</f>
        <v>JL TJ RAYA 2 KOMPLEK CENDANA PERMAI 2 NOB14 </v>
      </c>
      <c r="N3572" s="35" t="str">
        <f>IFERROR(__xludf.DUMMYFUNCTION("""COMPUTED_VALUE"""),"SAIGON ")</f>
        <v>SAIGON </v>
      </c>
      <c r="O3572" s="35" t="str">
        <f>IFERROR(__xludf.DUMMYFUNCTION("""COMPUTED_VALUE"""),"PONTIANAK TIMUR ")</f>
        <v>PONTIANAK TIMUR </v>
      </c>
      <c r="P3572" s="35" t="str">
        <f>IFERROR(__xludf.DUMMYFUNCTION("""COMPUTED_VALUE"""),"PONTIANAK ")</f>
        <v>PONTIANAK </v>
      </c>
      <c r="Q3572" s="35" t="str">
        <f>IFERROR(__xludf.DUMMYFUNCTION("""COMPUTED_VALUE"""),"KALIMANTAN BARAT ")</f>
        <v>KALIMANTAN BARAT </v>
      </c>
      <c r="R3572" s="35" t="str">
        <f>IFERROR(__xludf.DUMMYFUNCTION("""COMPUTED_VALUE"""),"ISLAM")</f>
        <v>ISLAM</v>
      </c>
      <c r="S3572" s="74" t="str">
        <f>IFERROR(__xludf.DUMMYFUNCTION("""COMPUTED_VALUE"""),"PELAJAR")</f>
        <v>PELAJAR</v>
      </c>
      <c r="T3572" s="35" t="str">
        <f>IFERROR(__xludf.DUMMYFUNCTION("""COMPUTED_VALUE"""),"PINGGUL TIDAK RATA")</f>
        <v>PINGGUL TIDAK RATA</v>
      </c>
      <c r="U3572" s="35" t="str">
        <f>IFERROR(__xludf.DUMMYFUNCTION("""COMPUTED_VALUE"""),"MEMBACA MEWARNAI ")</f>
        <v>MEMBACA MEWARNAI </v>
      </c>
      <c r="V3572" s="35" t="str">
        <f>IFERROR(__xludf.DUMMYFUNCTION("""COMPUTED_VALUE"""),"0895702161714")</f>
        <v>0895702161714</v>
      </c>
      <c r="W3572" s="45"/>
    </row>
    <row r="3573">
      <c r="A3573" s="45"/>
      <c r="B3573" s="35" t="str">
        <f>IFERROR(__xludf.DUMMYFUNCTION("""COMPUTED_VALUE"""),"14/03/2026 16:08:36")</f>
        <v>14/03/2026 16:08:36</v>
      </c>
      <c r="C3573" s="35"/>
      <c r="D3573" s="10">
        <f>IFERROR(__xludf.DUMMYFUNCTION("""COMPUTED_VALUE"""),46095.0)</f>
        <v>46095</v>
      </c>
      <c r="E3573" s="35" t="str">
        <f>IFERROR(__xludf.DUMMYFUNCTION("""COMPUTED_VALUE"""),"03Mar")</f>
        <v>03Mar</v>
      </c>
      <c r="F3573" s="35"/>
      <c r="G3573" s="35" t="str">
        <f>IFERROR(__xludf.DUMMYFUNCTION("""COMPUTED_VALUE"""),"RIDHO ")</f>
        <v>RIDHO </v>
      </c>
      <c r="H3573" s="35" t="str">
        <f>IFERROR(__xludf.DUMMYFUNCTION("""COMPUTED_VALUE"""),"R0026032342")</f>
        <v>R0026032342</v>
      </c>
      <c r="I3573" s="35">
        <f>IFERROR(__xludf.DUMMYFUNCTION("""COMPUTED_VALUE"""),25.0)</f>
        <v>25</v>
      </c>
      <c r="J3573" s="35" t="str">
        <f>IFERROR(__xludf.DUMMYFUNCTION("""COMPUTED_VALUE"""),"25-34 tahun")</f>
        <v>25-34 tahun</v>
      </c>
      <c r="K3573" s="35" t="str">
        <f>IFERROR(__xludf.DUMMYFUNCTION("""COMPUTED_VALUE"""),"26/09/2000")</f>
        <v>26/09/2000</v>
      </c>
      <c r="L3573" s="35" t="str">
        <f>IFERROR(__xludf.DUMMYFUNCTION("""COMPUTED_VALUE"""),"LAKI-LAKI")</f>
        <v>LAKI-LAKI</v>
      </c>
      <c r="M3573" s="35" t="str">
        <f>IFERROR(__xludf.DUMMYFUNCTION("""COMPUTED_VALUE"""),"GANG HARAPAN JAYA NO 30")</f>
        <v>GANG HARAPAN JAYA NO 30</v>
      </c>
      <c r="N3573" s="35" t="str">
        <f>IFERROR(__xludf.DUMMYFUNCTION("""COMPUTED_VALUE"""),"SUI BANGKONG")</f>
        <v>SUI BANGKONG</v>
      </c>
      <c r="O3573" s="35" t="str">
        <f>IFERROR(__xludf.DUMMYFUNCTION("""COMPUTED_VALUE"""),"PONTIANAK KOTA")</f>
        <v>PONTIANAK KOTA</v>
      </c>
      <c r="P3573" s="35" t="str">
        <f>IFERROR(__xludf.DUMMYFUNCTION("""COMPUTED_VALUE"""),"PONTI6")</f>
        <v>PONTI6</v>
      </c>
      <c r="Q3573" s="35" t="str">
        <f>IFERROR(__xludf.DUMMYFUNCTION("""COMPUTED_VALUE"""),"KALIMANTAN BARAT ")</f>
        <v>KALIMANTAN BARAT </v>
      </c>
      <c r="R3573" s="35" t="str">
        <f>IFERROR(__xludf.DUMMYFUNCTION("""COMPUTED_VALUE"""),"ISLAM")</f>
        <v>ISLAM</v>
      </c>
      <c r="S3573" s="74" t="str">
        <f>IFERROR(__xludf.DUMMYFUNCTION("""COMPUTED_VALUE"""),"KURIR PAKET")</f>
        <v>KURIR PAKET</v>
      </c>
      <c r="T3573" s="35" t="str">
        <f>IFERROR(__xludf.DUMMYFUNCTION("""COMPUTED_VALUE"""),"SAKIT BAGIAN BELAKANG LEHER TERASA NYERI SEPERTI DITUSUK-TUSUK SEWAKTU MENDONGAK KE ATAS ")</f>
        <v>SAKIT BAGIAN BELAKANG LEHER TERASA NYERI SEPERTI DITUSUK-TUSUK SEWAKTU MENDONGAK KE ATAS </v>
      </c>
      <c r="U3573" s="35" t="str">
        <f>IFERROR(__xludf.DUMMYFUNCTION("""COMPUTED_VALUE"""),"BACA KOMIK")</f>
        <v>BACA KOMIK</v>
      </c>
      <c r="V3573" s="35" t="str">
        <f>IFERROR(__xludf.DUMMYFUNCTION("""COMPUTED_VALUE"""),"089662432342")</f>
        <v>089662432342</v>
      </c>
      <c r="W3573" s="45"/>
    </row>
    <row r="3574">
      <c r="A3574" s="45"/>
      <c r="B3574" s="35" t="str">
        <f>IFERROR(__xludf.DUMMYFUNCTION("""COMPUTED_VALUE"""),"14/03/2026 17:19:04")</f>
        <v>14/03/2026 17:19:04</v>
      </c>
      <c r="C3574" s="35"/>
      <c r="D3574" s="10">
        <f>IFERROR(__xludf.DUMMYFUNCTION("""COMPUTED_VALUE"""),46095.0)</f>
        <v>46095</v>
      </c>
      <c r="E3574" s="35" t="str">
        <f>IFERROR(__xludf.DUMMYFUNCTION("""COMPUTED_VALUE"""),"03Mar")</f>
        <v>03Mar</v>
      </c>
      <c r="F3574" s="35"/>
      <c r="G3574" s="35" t="str">
        <f>IFERROR(__xludf.DUMMYFUNCTION("""COMPUTED_VALUE"""),"RUDY TAN SIAU KHIE")</f>
        <v>RUDY TAN SIAU KHIE</v>
      </c>
      <c r="H3574" s="35" t="str">
        <f>IFERROR(__xludf.DUMMYFUNCTION("""COMPUTED_VALUE"""),"R8126039180")</f>
        <v>R8126039180</v>
      </c>
      <c r="I3574" s="35">
        <f>IFERROR(__xludf.DUMMYFUNCTION("""COMPUTED_VALUE"""),45.0)</f>
        <v>45</v>
      </c>
      <c r="J3574" s="35" t="str">
        <f>IFERROR(__xludf.DUMMYFUNCTION("""COMPUTED_VALUE"""),"&gt; 44 tahun")</f>
        <v>&gt; 44 tahun</v>
      </c>
      <c r="K3574" s="35" t="str">
        <f>IFERROR(__xludf.DUMMYFUNCTION("""COMPUTED_VALUE"""),"12/01/1981")</f>
        <v>12/01/1981</v>
      </c>
      <c r="L3574" s="35" t="str">
        <f>IFERROR(__xludf.DUMMYFUNCTION("""COMPUTED_VALUE"""),"LAKI-LAKI")</f>
        <v>LAKI-LAKI</v>
      </c>
      <c r="M3574" s="35" t="str">
        <f>IFERROR(__xludf.DUMMYFUNCTION("""COMPUTED_VALUE"""),"JL LETJEN SOEPRAPTO V NO. 8")</f>
        <v>JL LETJEN SOEPRAPTO V NO. 8</v>
      </c>
      <c r="N3574" s="35" t="str">
        <f>IFERROR(__xludf.DUMMYFUNCTION("""COMPUTED_VALUE"""),"S")</f>
        <v>S</v>
      </c>
      <c r="O3574" s="35" t="str">
        <f>IFERROR(__xludf.DUMMYFUNCTION("""COMPUTED_VALUE"""),"PONTIANAK SELATAN")</f>
        <v>PONTIANAK SELATAN</v>
      </c>
      <c r="P3574" s="35" t="str">
        <f>IFERROR(__xludf.DUMMYFUNCTION("""COMPUTED_VALUE"""),"PONTIANAK ")</f>
        <v>PONTIANAK </v>
      </c>
      <c r="Q3574" s="35" t="str">
        <f>IFERROR(__xludf.DUMMYFUNCTION("""COMPUTED_VALUE"""),"KALIMANTAN BARAT ")</f>
        <v>KALIMANTAN BARAT </v>
      </c>
      <c r="R3574" s="35" t="str">
        <f>IFERROR(__xludf.DUMMYFUNCTION("""COMPUTED_VALUE"""),"BUDDHA")</f>
        <v>BUDDHA</v>
      </c>
      <c r="S3574" s="74" t="str">
        <f>IFERROR(__xludf.DUMMYFUNCTION("""COMPUTED_VALUE"""),"KARYAWAN SWASTA")</f>
        <v>KARYAWAN SWASTA</v>
      </c>
      <c r="T3574" s="35" t="str">
        <f>IFERROR(__xludf.DUMMYFUNCTION("""COMPUTED_VALUE"""),"BAHU")</f>
        <v>BAHU</v>
      </c>
      <c r="U3574" s="35" t="str">
        <f>IFERROR(__xludf.DUMMYFUNCTION("""COMPUTED_VALUE"""),"-")</f>
        <v>-</v>
      </c>
      <c r="V3574" s="35" t="str">
        <f>IFERROR(__xludf.DUMMYFUNCTION("""COMPUTED_VALUE"""),"08114919180")</f>
        <v>08114919180</v>
      </c>
      <c r="W3574" s="45"/>
    </row>
    <row r="3575">
      <c r="A3575" s="45"/>
      <c r="B3575" s="35" t="str">
        <f>IFERROR(__xludf.DUMMYFUNCTION("""COMPUTED_VALUE"""),"14/03/2026 20:47:27")</f>
        <v>14/03/2026 20:47:27</v>
      </c>
      <c r="C3575" s="35"/>
      <c r="D3575" s="10">
        <f>IFERROR(__xludf.DUMMYFUNCTION("""COMPUTED_VALUE"""),46095.0)</f>
        <v>46095</v>
      </c>
      <c r="E3575" s="35" t="str">
        <f>IFERROR(__xludf.DUMMYFUNCTION("""COMPUTED_VALUE"""),"03Mar")</f>
        <v>03Mar</v>
      </c>
      <c r="F3575" s="35"/>
      <c r="G3575" s="35" t="str">
        <f>IFERROR(__xludf.DUMMYFUNCTION("""COMPUTED_VALUE"""),"IRENE PRETTY PARDEDE")</f>
        <v>IRENE PRETTY PARDEDE</v>
      </c>
      <c r="H3575" s="35" t="str">
        <f>IFERROR(__xludf.DUMMYFUNCTION("""COMPUTED_VALUE"""),"I0126033204")</f>
        <v>I0126033204</v>
      </c>
      <c r="I3575" s="35">
        <f>IFERROR(__xludf.DUMMYFUNCTION("""COMPUTED_VALUE"""),25.0)</f>
        <v>25</v>
      </c>
      <c r="J3575" s="35" t="str">
        <f>IFERROR(__xludf.DUMMYFUNCTION("""COMPUTED_VALUE"""),"25-34 tahun")</f>
        <v>25-34 tahun</v>
      </c>
      <c r="K3575" s="35" t="str">
        <f>IFERROR(__xludf.DUMMYFUNCTION("""COMPUTED_VALUE"""),"19/02/2001")</f>
        <v>19/02/2001</v>
      </c>
      <c r="L3575" s="35" t="str">
        <f>IFERROR(__xludf.DUMMYFUNCTION("""COMPUTED_VALUE"""),"PEREMPUAN")</f>
        <v>PEREMPUAN</v>
      </c>
      <c r="M3575" s="35" t="str">
        <f>IFERROR(__xludf.DUMMYFUNCTION("""COMPUTED_VALUE"""),"JALAN MAWAR 6 NO 76")</f>
        <v>JALAN MAWAR 6 NO 76</v>
      </c>
      <c r="N3575" s="35" t="str">
        <f>IFERROR(__xludf.DUMMYFUNCTION("""COMPUTED_VALUE"""),"KELURAHAN HELVETIA TENGAH")</f>
        <v>KELURAHAN HELVETIA TENGAH</v>
      </c>
      <c r="O3575" s="35" t="str">
        <f>IFERROR(__xludf.DUMMYFUNCTION("""COMPUTED_VALUE"""),"KECAMATAN HELVETIA")</f>
        <v>KECAMATAN HELVETIA</v>
      </c>
      <c r="P3575" s="35" t="str">
        <f>IFERROR(__xludf.DUMMYFUNCTION("""COMPUTED_VALUE"""),"KOTA MEDAN")</f>
        <v>KOTA MEDAN</v>
      </c>
      <c r="Q3575" s="35" t="str">
        <f>IFERROR(__xludf.DUMMYFUNCTION("""COMPUTED_VALUE"""),"SUMATERA UTARA")</f>
        <v>SUMATERA UTARA</v>
      </c>
      <c r="R3575" s="35" t="str">
        <f>IFERROR(__xludf.DUMMYFUNCTION("""COMPUTED_VALUE"""),"PROTESTAN")</f>
        <v>PROTESTAN</v>
      </c>
      <c r="S3575" s="74" t="str">
        <f>IFERROR(__xludf.DUMMYFUNCTION("""COMPUTED_VALUE"""),"PNS")</f>
        <v>PNS</v>
      </c>
      <c r="T3575" s="35" t="str">
        <f>IFERROR(__xludf.DUMMYFUNCTION("""COMPUTED_VALUE"""),"PEGEL DI LOWER BACK DAN GLUTES SERTA TRAPS")</f>
        <v>PEGEL DI LOWER BACK DAN GLUTES SERTA TRAPS</v>
      </c>
      <c r="U3575" s="35" t="str">
        <f>IFERROR(__xludf.DUMMYFUNCTION("""COMPUTED_VALUE"""),"GYM, DUDUK SEHARIAN")</f>
        <v>GYM, DUDUK SEHARIAN</v>
      </c>
      <c r="V3575" s="35" t="str">
        <f>IFERROR(__xludf.DUMMYFUNCTION("""COMPUTED_VALUE"""),"082304053204")</f>
        <v>082304053204</v>
      </c>
      <c r="W3575" s="45"/>
    </row>
    <row r="3576">
      <c r="A3576" s="45"/>
      <c r="B3576" s="35" t="str">
        <f>IFERROR(__xludf.DUMMYFUNCTION("""COMPUTED_VALUE"""),"14/03/2026 20:43:38")</f>
        <v>14/03/2026 20:43:38</v>
      </c>
      <c r="C3576" s="35"/>
      <c r="D3576" s="10">
        <f>IFERROR(__xludf.DUMMYFUNCTION("""COMPUTED_VALUE"""),46095.0)</f>
        <v>46095</v>
      </c>
      <c r="E3576" s="35" t="str">
        <f>IFERROR(__xludf.DUMMYFUNCTION("""COMPUTED_VALUE"""),"03Mar")</f>
        <v>03Mar</v>
      </c>
      <c r="F3576" s="35"/>
      <c r="G3576" s="35" t="str">
        <f>IFERROR(__xludf.DUMMYFUNCTION("""COMPUTED_VALUE"""),"ERSAPTA ARISTO")</f>
        <v>ERSAPTA ARISTO</v>
      </c>
      <c r="H3576" s="35" t="str">
        <f>IFERROR(__xludf.DUMMYFUNCTION("""COMPUTED_VALUE"""),"E9726033405")</f>
        <v>E9726033405</v>
      </c>
      <c r="I3576" s="35">
        <f>IFERROR(__xludf.DUMMYFUNCTION("""COMPUTED_VALUE"""),29.0)</f>
        <v>29</v>
      </c>
      <c r="J3576" s="35" t="str">
        <f>IFERROR(__xludf.DUMMYFUNCTION("""COMPUTED_VALUE"""),"25-34 tahun")</f>
        <v>25-34 tahun</v>
      </c>
      <c r="K3576" s="35" t="str">
        <f>IFERROR(__xludf.DUMMYFUNCTION("""COMPUTED_VALUE"""),"14/06/1997")</f>
        <v>14/06/1997</v>
      </c>
      <c r="L3576" s="35" t="str">
        <f>IFERROR(__xludf.DUMMYFUNCTION("""COMPUTED_VALUE"""),"LAKI-LAKI")</f>
        <v>LAKI-LAKI</v>
      </c>
      <c r="M3576" s="35" t="str">
        <f>IFERROR(__xludf.DUMMYFUNCTION("""COMPUTED_VALUE"""),"JALAN TAPANG")</f>
        <v>JALAN TAPANG</v>
      </c>
      <c r="N3576" s="35" t="str">
        <f>IFERROR(__xludf.DUMMYFUNCTION("""COMPUTED_VALUE"""),"BANI AMAS")</f>
        <v>BANI AMAS</v>
      </c>
      <c r="O3576" s="35" t="str">
        <f>IFERROR(__xludf.DUMMYFUNCTION("""COMPUTED_VALUE"""),"BENGKAYANG")</f>
        <v>BENGKAYANG</v>
      </c>
      <c r="P3576" s="35" t="str">
        <f>IFERROR(__xludf.DUMMYFUNCTION("""COMPUTED_VALUE"""),"BENGKAYANG")</f>
        <v>BENGKAYANG</v>
      </c>
      <c r="Q3576" s="35" t="str">
        <f>IFERROR(__xludf.DUMMYFUNCTION("""COMPUTED_VALUE"""),"KALIMANTAN BARAT")</f>
        <v>KALIMANTAN BARAT</v>
      </c>
      <c r="R3576" s="35" t="str">
        <f>IFERROR(__xludf.DUMMYFUNCTION("""COMPUTED_VALUE"""),"KATOLIK")</f>
        <v>KATOLIK</v>
      </c>
      <c r="S3576" s="74" t="str">
        <f>IFERROR(__xludf.DUMMYFUNCTION("""COMPUTED_VALUE"""),"WIRASWASTA")</f>
        <v>WIRASWASTA</v>
      </c>
      <c r="T3576" s="35" t="str">
        <f>IFERROR(__xludf.DUMMYFUNCTION("""COMPUTED_VALUE"""),"PUNGGUL SERING PEGAL PEGAL")</f>
        <v>PUNGGUL SERING PEGAL PEGAL</v>
      </c>
      <c r="U3576" s="35" t="str">
        <f>IFERROR(__xludf.DUMMYFUNCTION("""COMPUTED_VALUE"""),"DUDUK LAMA, KARENA PEKERJAAN")</f>
        <v>DUDUK LAMA, KARENA PEKERJAAN</v>
      </c>
      <c r="V3576" s="35" t="str">
        <f>IFERROR(__xludf.DUMMYFUNCTION("""COMPUTED_VALUE"""),"081285453405")</f>
        <v>081285453405</v>
      </c>
      <c r="W3576" s="45"/>
    </row>
    <row r="3577">
      <c r="A3577" s="45"/>
      <c r="B3577" s="35" t="str">
        <f>IFERROR(__xludf.DUMMYFUNCTION("""COMPUTED_VALUE"""),"15/03/2026 9:53:21")</f>
        <v>15/03/2026 9:53:21</v>
      </c>
      <c r="C3577" s="35"/>
      <c r="D3577" s="10">
        <f>IFERROR(__xludf.DUMMYFUNCTION("""COMPUTED_VALUE"""),46096.0)</f>
        <v>46096</v>
      </c>
      <c r="E3577" s="35" t="str">
        <f>IFERROR(__xludf.DUMMYFUNCTION("""COMPUTED_VALUE"""),"03Mar")</f>
        <v>03Mar</v>
      </c>
      <c r="F3577" s="35"/>
      <c r="G3577" s="35" t="str">
        <f>IFERROR(__xludf.DUMMYFUNCTION("""COMPUTED_VALUE"""),"ZURAIDAH")</f>
        <v>ZURAIDAH</v>
      </c>
      <c r="H3577" s="35" t="str">
        <f>IFERROR(__xludf.DUMMYFUNCTION("""COMPUTED_VALUE"""),"Z6626039747")</f>
        <v>Z6626039747</v>
      </c>
      <c r="I3577" s="35">
        <f>IFERROR(__xludf.DUMMYFUNCTION("""COMPUTED_VALUE"""),59.0)</f>
        <v>59</v>
      </c>
      <c r="J3577" s="35" t="str">
        <f>IFERROR(__xludf.DUMMYFUNCTION("""COMPUTED_VALUE"""),"&gt; 44 tahun")</f>
        <v>&gt; 44 tahun</v>
      </c>
      <c r="K3577" s="35" t="str">
        <f>IFERROR(__xludf.DUMMYFUNCTION("""COMPUTED_VALUE"""),"20/11/1966")</f>
        <v>20/11/1966</v>
      </c>
      <c r="L3577" s="35" t="str">
        <f>IFERROR(__xludf.DUMMYFUNCTION("""COMPUTED_VALUE"""),"PEREMPUAN")</f>
        <v>PEREMPUAN</v>
      </c>
      <c r="M3577" s="35" t="str">
        <f>IFERROR(__xludf.DUMMYFUNCTION("""COMPUTED_VALUE"""),"JL PRAMUKA KONP PONDOK HARAPAN KITA GG CEMPAKA BLOK O NO 9")</f>
        <v>JL PRAMUKA KONP PONDOK HARAPAN KITA GG CEMPAKA BLOK O NO 9</v>
      </c>
      <c r="N3577" s="35" t="str">
        <f>IFERROR(__xludf.DUMMYFUNCTION("""COMPUTED_VALUE"""),"RENGAS KAPUAS")</f>
        <v>RENGAS KAPUAS</v>
      </c>
      <c r="O3577" s="35" t="str">
        <f>IFERROR(__xludf.DUMMYFUNCTION("""COMPUTED_VALUE"""),"SUNGAI KAKAP")</f>
        <v>SUNGAI KAKAP</v>
      </c>
      <c r="P3577" s="35" t="str">
        <f>IFERROR(__xludf.DUMMYFUNCTION("""COMPUTED_VALUE"""),"KUBURAYA")</f>
        <v>KUBURAYA</v>
      </c>
      <c r="Q3577" s="35" t="str">
        <f>IFERROR(__xludf.DUMMYFUNCTION("""COMPUTED_VALUE"""),"KALIMANTAN BARAT")</f>
        <v>KALIMANTAN BARAT</v>
      </c>
      <c r="R3577" s="35" t="str">
        <f>IFERROR(__xludf.DUMMYFUNCTION("""COMPUTED_VALUE"""),"ISLAM")</f>
        <v>ISLAM</v>
      </c>
      <c r="S3577" s="74" t="str">
        <f>IFERROR(__xludf.DUMMYFUNCTION("""COMPUTED_VALUE"""),"IBU RUMAH TANGGA")</f>
        <v>IBU RUMAH TANGGA</v>
      </c>
      <c r="T3577" s="35" t="str">
        <f>IFERROR(__xludf.DUMMYFUNCTION("""COMPUTED_VALUE"""),"SAKIT PINGGANG")</f>
        <v>SAKIT PINGGANG</v>
      </c>
      <c r="U3577" s="35" t="str">
        <f>IFERROR(__xludf.DUMMYFUNCTION("""COMPUTED_VALUE"""),"BERSIH BERSIH")</f>
        <v>BERSIH BERSIH</v>
      </c>
      <c r="V3577" s="35" t="str">
        <f>IFERROR(__xludf.DUMMYFUNCTION("""COMPUTED_VALUE"""),"089508229747")</f>
        <v>089508229747</v>
      </c>
      <c r="W3577" s="45"/>
    </row>
    <row r="3578">
      <c r="A3578" s="45"/>
      <c r="B3578" s="35" t="str">
        <f>IFERROR(__xludf.DUMMYFUNCTION("""COMPUTED_VALUE"""),"15/03/2026 9:59:34")</f>
        <v>15/03/2026 9:59:34</v>
      </c>
      <c r="C3578" s="35"/>
      <c r="D3578" s="10">
        <f>IFERROR(__xludf.DUMMYFUNCTION("""COMPUTED_VALUE"""),46096.0)</f>
        <v>46096</v>
      </c>
      <c r="E3578" s="35" t="str">
        <f>IFERROR(__xludf.DUMMYFUNCTION("""COMPUTED_VALUE"""),"03Mar")</f>
        <v>03Mar</v>
      </c>
      <c r="F3578" s="35"/>
      <c r="G3578" s="35" t="str">
        <f>IFERROR(__xludf.DUMMYFUNCTION("""COMPUTED_VALUE"""),"DARWIN SUDARMA")</f>
        <v>DARWIN SUDARMA</v>
      </c>
      <c r="H3578" s="35" t="str">
        <f>IFERROR(__xludf.DUMMYFUNCTION("""COMPUTED_VALUE"""),"D8526036369")</f>
        <v>D8526036369</v>
      </c>
      <c r="I3578" s="35">
        <f>IFERROR(__xludf.DUMMYFUNCTION("""COMPUTED_VALUE"""),41.0)</f>
        <v>41</v>
      </c>
      <c r="J3578" s="35" t="str">
        <f>IFERROR(__xludf.DUMMYFUNCTION("""COMPUTED_VALUE"""),"35-44 tahun")</f>
        <v>35-44 tahun</v>
      </c>
      <c r="K3578" s="35" t="str">
        <f>IFERROR(__xludf.DUMMYFUNCTION("""COMPUTED_VALUE"""),"12/03/1985")</f>
        <v>12/03/1985</v>
      </c>
      <c r="L3578" s="35" t="str">
        <f>IFERROR(__xludf.DUMMYFUNCTION("""COMPUTED_VALUE"""),"LAKI-LAKI")</f>
        <v>LAKI-LAKI</v>
      </c>
      <c r="M3578" s="35" t="str">
        <f>IFERROR(__xludf.DUMMYFUNCTION("""COMPUTED_VALUE"""),"GANG SUWIGNJO 1 NO. 38")</f>
        <v>GANG SUWIGNJO 1 NO. 38</v>
      </c>
      <c r="N3578" s="35" t="str">
        <f>IFERROR(__xludf.DUMMYFUNCTION("""COMPUTED_VALUE"""),"SUNGAIBANGKONG")</f>
        <v>SUNGAIBANGKONG</v>
      </c>
      <c r="O3578" s="35" t="str">
        <f>IFERROR(__xludf.DUMMYFUNCTION("""COMPUTED_VALUE"""),"PONTIANAK KOTA")</f>
        <v>PONTIANAK KOTA</v>
      </c>
      <c r="P3578" s="35" t="str">
        <f>IFERROR(__xludf.DUMMYFUNCTION("""COMPUTED_VALUE"""),"KOTA PONTIANAK")</f>
        <v>KOTA PONTIANAK</v>
      </c>
      <c r="Q3578" s="35" t="str">
        <f>IFERROR(__xludf.DUMMYFUNCTION("""COMPUTED_VALUE"""),"KALIMANTAN BARAT")</f>
        <v>KALIMANTAN BARAT</v>
      </c>
      <c r="R3578" s="35" t="str">
        <f>IFERROR(__xludf.DUMMYFUNCTION("""COMPUTED_VALUE"""),"ISLAM")</f>
        <v>ISLAM</v>
      </c>
      <c r="S3578" s="74" t="str">
        <f>IFERROR(__xludf.DUMMYFUNCTION("""COMPUTED_VALUE"""),"WIRASWASTA")</f>
        <v>WIRASWASTA</v>
      </c>
      <c r="T3578" s="35" t="str">
        <f>IFERROR(__xludf.DUMMYFUNCTION("""COMPUTED_VALUE"""),"NYERI LUTUT KIRI")</f>
        <v>NYERI LUTUT KIRI</v>
      </c>
      <c r="U3578" s="35" t="str">
        <f>IFERROR(__xludf.DUMMYFUNCTION("""COMPUTED_VALUE"""),"NAIK TANGGA")</f>
        <v>NAIK TANGGA</v>
      </c>
      <c r="V3578" s="35" t="str">
        <f>IFERROR(__xludf.DUMMYFUNCTION("""COMPUTED_VALUE"""),"085654556369")</f>
        <v>085654556369</v>
      </c>
      <c r="W3578" s="45"/>
    </row>
    <row r="3579">
      <c r="A3579" s="45"/>
      <c r="B3579" s="35" t="str">
        <f>IFERROR(__xludf.DUMMYFUNCTION("""COMPUTED_VALUE"""),"15/03/2026 10:02:24")</f>
        <v>15/03/2026 10:02:24</v>
      </c>
      <c r="C3579" s="35"/>
      <c r="D3579" s="10">
        <f>IFERROR(__xludf.DUMMYFUNCTION("""COMPUTED_VALUE"""),46096.0)</f>
        <v>46096</v>
      </c>
      <c r="E3579" s="35" t="str">
        <f>IFERROR(__xludf.DUMMYFUNCTION("""COMPUTED_VALUE"""),"03Mar")</f>
        <v>03Mar</v>
      </c>
      <c r="F3579" s="35"/>
      <c r="G3579" s="35" t="str">
        <f>IFERROR(__xludf.DUMMYFUNCTION("""COMPUTED_VALUE"""),"RAFIF DHAYYAFA AZATHY")</f>
        <v>RAFIF DHAYYAFA AZATHY</v>
      </c>
      <c r="H3579" s="35" t="str">
        <f>IFERROR(__xludf.DUMMYFUNCTION("""COMPUTED_VALUE"""),"R1026035440")</f>
        <v>R1026035440</v>
      </c>
      <c r="I3579" s="35">
        <f>IFERROR(__xludf.DUMMYFUNCTION("""COMPUTED_VALUE"""),16.0)</f>
        <v>16</v>
      </c>
      <c r="J3579" s="35" t="str">
        <f>IFERROR(__xludf.DUMMYFUNCTION("""COMPUTED_VALUE"""),"&lt; 18 tahun")</f>
        <v>&lt; 18 tahun</v>
      </c>
      <c r="K3579" s="35" t="str">
        <f>IFERROR(__xludf.DUMMYFUNCTION("""COMPUTED_VALUE"""),"28/02/2010")</f>
        <v>28/02/2010</v>
      </c>
      <c r="L3579" s="35" t="str">
        <f>IFERROR(__xludf.DUMMYFUNCTION("""COMPUTED_VALUE"""),"LAKI-LAKI")</f>
        <v>LAKI-LAKI</v>
      </c>
      <c r="M3579" s="35" t="str">
        <f>IFERROR(__xludf.DUMMYFUNCTION("""COMPUTED_VALUE"""),"JL. SUNGAI RAYA DALAM KOMP. MITRA INDAH UTAMA 7 NO. B 8 ")</f>
        <v>JL. SUNGAI RAYA DALAM KOMP. MITRA INDAH UTAMA 7 NO. B 8 </v>
      </c>
      <c r="N3579" s="35" t="str">
        <f>IFERROR(__xludf.DUMMYFUNCTION("""COMPUTED_VALUE"""),"BANGKA BELITUNG DARAT")</f>
        <v>BANGKA BELITUNG DARAT</v>
      </c>
      <c r="O3579" s="35" t="str">
        <f>IFERROR(__xludf.DUMMYFUNCTION("""COMPUTED_VALUE"""),"PONTIANAK TENGGARA")</f>
        <v>PONTIANAK TENGGARA</v>
      </c>
      <c r="P3579" s="35" t="str">
        <f>IFERROR(__xludf.DUMMYFUNCTION("""COMPUTED_VALUE"""),"PONTIANAK")</f>
        <v>PONTIANAK</v>
      </c>
      <c r="Q3579" s="35" t="str">
        <f>IFERROR(__xludf.DUMMYFUNCTION("""COMPUTED_VALUE"""),"KALIMANTAN BARAT")</f>
        <v>KALIMANTAN BARAT</v>
      </c>
      <c r="R3579" s="35" t="str">
        <f>IFERROR(__xludf.DUMMYFUNCTION("""COMPUTED_VALUE"""),"ISLAM")</f>
        <v>ISLAM</v>
      </c>
      <c r="S3579" s="74" t="str">
        <f>IFERROR(__xludf.DUMMYFUNCTION("""COMPUTED_VALUE"""),"PELAJAR")</f>
        <v>PELAJAR</v>
      </c>
      <c r="T3579" s="35" t="str">
        <f>IFERROR(__xludf.DUMMYFUNCTION("""COMPUTED_VALUE"""),"TERKENA BELLS PALSY  (WAJAH SEBELAH KANAN)")</f>
        <v>TERKENA BELLS PALSY  (WAJAH SEBELAH KANAN)</v>
      </c>
      <c r="U3579" s="35" t="str">
        <f>IFERROR(__xludf.DUMMYFUNCTION("""COMPUTED_VALUE"""),"BERGADANG, MENGGUNAKAN KIPAS ANGIN")</f>
        <v>BERGADANG, MENGGUNAKAN KIPAS ANGIN</v>
      </c>
      <c r="V3579" s="35" t="str">
        <f>IFERROR(__xludf.DUMMYFUNCTION("""COMPUTED_VALUE"""),"085245745440")</f>
        <v>085245745440</v>
      </c>
      <c r="W3579" s="45"/>
    </row>
    <row r="3580">
      <c r="A3580" s="45"/>
      <c r="B3580" s="35" t="str">
        <f>IFERROR(__xludf.DUMMYFUNCTION("""COMPUTED_VALUE"""),"16/03/2026 3:23:57")</f>
        <v>16/03/2026 3:23:57</v>
      </c>
      <c r="C3580" s="35"/>
      <c r="D3580" s="10">
        <f>IFERROR(__xludf.DUMMYFUNCTION("""COMPUTED_VALUE"""),46097.0)</f>
        <v>46097</v>
      </c>
      <c r="E3580" s="35" t="str">
        <f>IFERROR(__xludf.DUMMYFUNCTION("""COMPUTED_VALUE"""),"03Mar")</f>
        <v>03Mar</v>
      </c>
      <c r="F3580" s="35"/>
      <c r="G3580" s="35" t="str">
        <f>IFERROR(__xludf.DUMMYFUNCTION("""COMPUTED_VALUE"""),"NOVITA SARI")</f>
        <v>NOVITA SARI</v>
      </c>
      <c r="H3580" s="35" t="str">
        <f>IFERROR(__xludf.DUMMYFUNCTION("""COMPUTED_VALUE"""),"N8126039096")</f>
        <v>N8126039096</v>
      </c>
      <c r="I3580" s="35">
        <f>IFERROR(__xludf.DUMMYFUNCTION("""COMPUTED_VALUE"""),44.0)</f>
        <v>44</v>
      </c>
      <c r="J3580" s="35" t="str">
        <f>IFERROR(__xludf.DUMMYFUNCTION("""COMPUTED_VALUE"""),"35-44 tahun")</f>
        <v>35-44 tahun</v>
      </c>
      <c r="K3580" s="35" t="str">
        <f>IFERROR(__xludf.DUMMYFUNCTION("""COMPUTED_VALUE"""),"21/09/1981")</f>
        <v>21/09/1981</v>
      </c>
      <c r="L3580" s="35" t="str">
        <f>IFERROR(__xludf.DUMMYFUNCTION("""COMPUTED_VALUE"""),"PEREMPUAN")</f>
        <v>PEREMPUAN</v>
      </c>
      <c r="M3580" s="35" t="str">
        <f>IFERROR(__xludf.DUMMYFUNCTION("""COMPUTED_VALUE"""),"JL. DANAU SENTARUM GG WONOSOBO")</f>
        <v>JL. DANAU SENTARUM GG WONOSOBO</v>
      </c>
      <c r="N3580" s="35" t="str">
        <f>IFERROR(__xludf.DUMMYFUNCTION("""COMPUTED_VALUE"""),"SUI JAWI")</f>
        <v>SUI JAWI</v>
      </c>
      <c r="O3580" s="35" t="str">
        <f>IFERROR(__xludf.DUMMYFUNCTION("""COMPUTED_VALUE"""),"PONTIANAK KOTA")</f>
        <v>PONTIANAK KOTA</v>
      </c>
      <c r="P3580" s="35" t="str">
        <f>IFERROR(__xludf.DUMMYFUNCTION("""COMPUTED_VALUE"""),"PONTIANAK ")</f>
        <v>PONTIANAK </v>
      </c>
      <c r="Q3580" s="35" t="str">
        <f>IFERROR(__xludf.DUMMYFUNCTION("""COMPUTED_VALUE"""),"KALIMANTAN BARAT ")</f>
        <v>KALIMANTAN BARAT </v>
      </c>
      <c r="R3580" s="35" t="str">
        <f>IFERROR(__xludf.DUMMYFUNCTION("""COMPUTED_VALUE"""),"ISLAM")</f>
        <v>ISLAM</v>
      </c>
      <c r="S3580" s="74" t="str">
        <f>IFERROR(__xludf.DUMMYFUNCTION("""COMPUTED_VALUE"""),"IBU RUMAH TANGGA ")</f>
        <v>IBU RUMAH TANGGA </v>
      </c>
      <c r="T3580" s="35" t="str">
        <f>IFERROR(__xludf.DUMMYFUNCTION("""COMPUTED_VALUE"""),"KAKI KANAN TERKILIR")</f>
        <v>KAKI KANAN TERKILIR</v>
      </c>
      <c r="U3580" s="35" t="str">
        <f>IFERROR(__xludf.DUMMYFUNCTION("""COMPUTED_VALUE"""),"KEGIATAN RUMAH TANGGA")</f>
        <v>KEGIATAN RUMAH TANGGA</v>
      </c>
      <c r="V3580" s="35" t="str">
        <f>IFERROR(__xludf.DUMMYFUNCTION("""COMPUTED_VALUE"""),"81345209096")</f>
        <v>81345209096</v>
      </c>
      <c r="W3580" s="45"/>
    </row>
    <row r="3581">
      <c r="A3581" s="45"/>
      <c r="B3581" s="35" t="str">
        <f>IFERROR(__xludf.DUMMYFUNCTION("""COMPUTED_VALUE"""),"15/03/2026 23:45:21")</f>
        <v>15/03/2026 23:45:21</v>
      </c>
      <c r="C3581" s="35"/>
      <c r="D3581" s="10">
        <f>IFERROR(__xludf.DUMMYFUNCTION("""COMPUTED_VALUE"""),46097.0)</f>
        <v>46097</v>
      </c>
      <c r="E3581" s="35" t="str">
        <f>IFERROR(__xludf.DUMMYFUNCTION("""COMPUTED_VALUE"""),"03Mar")</f>
        <v>03Mar</v>
      </c>
      <c r="F3581" s="35"/>
      <c r="G3581" s="35" t="str">
        <f>IFERROR(__xludf.DUMMYFUNCTION("""COMPUTED_VALUE"""),"ADIB MIFTAHUL AHYAR")</f>
        <v>ADIB MIFTAHUL AHYAR</v>
      </c>
      <c r="H3581" s="35" t="str">
        <f>IFERROR(__xludf.DUMMYFUNCTION("""COMPUTED_VALUE"""),"A0026034794")</f>
        <v>A0026034794</v>
      </c>
      <c r="I3581" s="35">
        <f>IFERROR(__xludf.DUMMYFUNCTION("""COMPUTED_VALUE"""),26.0)</f>
        <v>26</v>
      </c>
      <c r="J3581" s="35" t="str">
        <f>IFERROR(__xludf.DUMMYFUNCTION("""COMPUTED_VALUE"""),"25-34 tahun")</f>
        <v>25-34 tahun</v>
      </c>
      <c r="K3581" s="35" t="str">
        <f>IFERROR(__xludf.DUMMYFUNCTION("""COMPUTED_VALUE"""),"12/06/2000")</f>
        <v>12/06/2000</v>
      </c>
      <c r="L3581" s="35" t="str">
        <f>IFERROR(__xludf.DUMMYFUNCTION("""COMPUTED_VALUE"""),"LAKI-LAKI")</f>
        <v>LAKI-LAKI</v>
      </c>
      <c r="M3581" s="35" t="str">
        <f>IFERROR(__xludf.DUMMYFUNCTION("""COMPUTED_VALUE"""),"JLN LINTAS DESA SASAN")</f>
        <v>JLN LINTAS DESA SASAN</v>
      </c>
      <c r="N3581" s="35" t="str">
        <f>IFERROR(__xludf.DUMMYFUNCTION("""COMPUTED_VALUE"""),"DESA SASAN ")</f>
        <v>DESA SASAN </v>
      </c>
      <c r="O3581" s="35" t="str">
        <f>IFERROR(__xludf.DUMMYFUNCTION("""COMPUTED_VALUE"""),"PENGKADAN")</f>
        <v>PENGKADAN</v>
      </c>
      <c r="P3581" s="35" t="str">
        <f>IFERROR(__xludf.DUMMYFUNCTION("""COMPUTED_VALUE"""),"KAPUAS HULU")</f>
        <v>KAPUAS HULU</v>
      </c>
      <c r="Q3581" s="35" t="str">
        <f>IFERROR(__xludf.DUMMYFUNCTION("""COMPUTED_VALUE"""),"KALIMANTAN BARAT")</f>
        <v>KALIMANTAN BARAT</v>
      </c>
      <c r="R3581" s="35" t="str">
        <f>IFERROR(__xludf.DUMMYFUNCTION("""COMPUTED_VALUE"""),"ISLAM")</f>
        <v>ISLAM</v>
      </c>
      <c r="S3581" s="74" t="str">
        <f>IFERROR(__xludf.DUMMYFUNCTION("""COMPUTED_VALUE"""),"SWASTA")</f>
        <v>SWASTA</v>
      </c>
      <c r="T3581" s="35" t="str">
        <f>IFERROR(__xludf.DUMMYFUNCTION("""COMPUTED_VALUE"""),"CIDERA KAKI KIRI")</f>
        <v>CIDERA KAKI KIRI</v>
      </c>
      <c r="U3581" s="35" t="str">
        <f>IFERROR(__xludf.DUMMYFUNCTION("""COMPUTED_VALUE"""),"OLAHRAGA")</f>
        <v>OLAHRAGA</v>
      </c>
      <c r="V3581" s="35" t="str">
        <f>IFERROR(__xludf.DUMMYFUNCTION("""COMPUTED_VALUE"""),"085793744794")</f>
        <v>085793744794</v>
      </c>
      <c r="W3581" s="45"/>
    </row>
    <row r="3582">
      <c r="A3582" s="45"/>
      <c r="B3582" s="35" t="str">
        <f>IFERROR(__xludf.DUMMYFUNCTION("""COMPUTED_VALUE"""),"16/03/2026 10:43:56")</f>
        <v>16/03/2026 10:43:56</v>
      </c>
      <c r="C3582" s="35"/>
      <c r="D3582" s="10">
        <f>IFERROR(__xludf.DUMMYFUNCTION("""COMPUTED_VALUE"""),46097.0)</f>
        <v>46097</v>
      </c>
      <c r="E3582" s="35" t="str">
        <f>IFERROR(__xludf.DUMMYFUNCTION("""COMPUTED_VALUE"""),"03Mar")</f>
        <v>03Mar</v>
      </c>
      <c r="F3582" s="35"/>
      <c r="G3582" s="35" t="str">
        <f>IFERROR(__xludf.DUMMYFUNCTION("""COMPUTED_VALUE"""),"LIM TJIE KIANG")</f>
        <v>LIM TJIE KIANG</v>
      </c>
      <c r="H3582" s="35" t="str">
        <f>IFERROR(__xludf.DUMMYFUNCTION("""COMPUTED_VALUE"""),"L6126030016")</f>
        <v>L6126030016</v>
      </c>
      <c r="I3582" s="35">
        <f>IFERROR(__xludf.DUMMYFUNCTION("""COMPUTED_VALUE"""),64.0)</f>
        <v>64</v>
      </c>
      <c r="J3582" s="35" t="str">
        <f>IFERROR(__xludf.DUMMYFUNCTION("""COMPUTED_VALUE"""),"&gt; 44 tahun")</f>
        <v>&gt; 44 tahun</v>
      </c>
      <c r="K3582" s="35" t="str">
        <f>IFERROR(__xludf.DUMMYFUNCTION("""COMPUTED_VALUE"""),"07/12/1961")</f>
        <v>07/12/1961</v>
      </c>
      <c r="L3582" s="35" t="str">
        <f>IFERROR(__xludf.DUMMYFUNCTION("""COMPUTED_VALUE"""),"LAKI-LAKI")</f>
        <v>LAKI-LAKI</v>
      </c>
      <c r="M3582" s="35" t="str">
        <f>IFERROR(__xludf.DUMMYFUNCTION("""COMPUTED_VALUE"""),"GANG SUEZ")</f>
        <v>GANG SUEZ</v>
      </c>
      <c r="N3582" s="35" t="str">
        <f>IFERROR(__xludf.DUMMYFUNCTION("""COMPUTED_VALUE"""),"BENUA MELAYA BARAT")</f>
        <v>BENUA MELAYA BARAT</v>
      </c>
      <c r="O3582" s="35" t="str">
        <f>IFERROR(__xludf.DUMMYFUNCTION("""COMPUTED_VALUE"""),"PONTIANAK SELATAN")</f>
        <v>PONTIANAK SELATAN</v>
      </c>
      <c r="P3582" s="35" t="str">
        <f>IFERROR(__xludf.DUMMYFUNCTION("""COMPUTED_VALUE"""),"PONTIANAK ")</f>
        <v>PONTIANAK </v>
      </c>
      <c r="Q3582" s="35" t="str">
        <f>IFERROR(__xludf.DUMMYFUNCTION("""COMPUTED_VALUE"""),"KALIMANTAN BARAT")</f>
        <v>KALIMANTAN BARAT</v>
      </c>
      <c r="R3582" s="35" t="str">
        <f>IFERROR(__xludf.DUMMYFUNCTION("""COMPUTED_VALUE"""),"LAINNYA")</f>
        <v>LAINNYA</v>
      </c>
      <c r="S3582" s="74" t="str">
        <f>IFERROR(__xludf.DUMMYFUNCTION("""COMPUTED_VALUE"""),"WIRASWASTA ")</f>
        <v>WIRASWASTA </v>
      </c>
      <c r="T3582" s="35" t="str">
        <f>IFERROR(__xludf.DUMMYFUNCTION("""COMPUTED_VALUE"""),"SYARAF LEHER KEJEPIT")</f>
        <v>SYARAF LEHER KEJEPIT</v>
      </c>
      <c r="U3582" s="35" t="str">
        <f>IFERROR(__xludf.DUMMYFUNCTION("""COMPUTED_VALUE"""),"-")</f>
        <v>-</v>
      </c>
      <c r="V3582" s="35" t="str">
        <f>IFERROR(__xludf.DUMMYFUNCTION("""COMPUTED_VALUE"""),"081256550016")</f>
        <v>081256550016</v>
      </c>
      <c r="W3582" s="45"/>
    </row>
    <row r="3583">
      <c r="A3583" s="45"/>
      <c r="B3583" s="35" t="str">
        <f>IFERROR(__xludf.DUMMYFUNCTION("""COMPUTED_VALUE"""),"16/03/2026 12:46:51")</f>
        <v>16/03/2026 12:46:51</v>
      </c>
      <c r="C3583" s="35"/>
      <c r="D3583" s="10">
        <f>IFERROR(__xludf.DUMMYFUNCTION("""COMPUTED_VALUE"""),46097.0)</f>
        <v>46097</v>
      </c>
      <c r="E3583" s="35" t="str">
        <f>IFERROR(__xludf.DUMMYFUNCTION("""COMPUTED_VALUE"""),"03Mar")</f>
        <v>03Mar</v>
      </c>
      <c r="F3583" s="35"/>
      <c r="G3583" s="35" t="str">
        <f>IFERROR(__xludf.DUMMYFUNCTION("""COMPUTED_VALUE"""),"SRIYANTI ")</f>
        <v>SRIYANTI </v>
      </c>
      <c r="H3583" s="35" t="str">
        <f>IFERROR(__xludf.DUMMYFUNCTION("""COMPUTED_VALUE"""),"S8026038889")</f>
        <v>S8026038889</v>
      </c>
      <c r="I3583" s="35">
        <f>IFERROR(__xludf.DUMMYFUNCTION("""COMPUTED_VALUE"""),45.0)</f>
        <v>45</v>
      </c>
      <c r="J3583" s="35" t="str">
        <f>IFERROR(__xludf.DUMMYFUNCTION("""COMPUTED_VALUE"""),"&gt; 44 tahun")</f>
        <v>&gt; 44 tahun</v>
      </c>
      <c r="K3583" s="35" t="str">
        <f>IFERROR(__xludf.DUMMYFUNCTION("""COMPUTED_VALUE"""),"24/08/1980")</f>
        <v>24/08/1980</v>
      </c>
      <c r="L3583" s="35" t="str">
        <f>IFERROR(__xludf.DUMMYFUNCTION("""COMPUTED_VALUE"""),"PEREMPUAN")</f>
        <v>PEREMPUAN</v>
      </c>
      <c r="M3583" s="35" t="str">
        <f>IFERROR(__xludf.DUMMYFUNCTION("""COMPUTED_VALUE"""),"JL.DR.SETIA BUDI NO.46,")</f>
        <v>JL.DR.SETIA BUDI NO.46,</v>
      </c>
      <c r="N3583" s="35" t="str">
        <f>IFERROR(__xludf.DUMMYFUNCTION("""COMPUTED_VALUE"""),"BENUA MELAYU DARAT")</f>
        <v>BENUA MELAYU DARAT</v>
      </c>
      <c r="O3583" s="35" t="str">
        <f>IFERROR(__xludf.DUMMYFUNCTION("""COMPUTED_VALUE"""),"PONTIANAK SELATAN")</f>
        <v>PONTIANAK SELATAN</v>
      </c>
      <c r="P3583" s="35" t="str">
        <f>IFERROR(__xludf.DUMMYFUNCTION("""COMPUTED_VALUE"""),"PONTIANAK")</f>
        <v>PONTIANAK</v>
      </c>
      <c r="Q3583" s="35" t="str">
        <f>IFERROR(__xludf.DUMMYFUNCTION("""COMPUTED_VALUE"""),"KALIMANTAN BARAT")</f>
        <v>KALIMANTAN BARAT</v>
      </c>
      <c r="R3583" s="35" t="str">
        <f>IFERROR(__xludf.DUMMYFUNCTION("""COMPUTED_VALUE"""),"KATOLIK")</f>
        <v>KATOLIK</v>
      </c>
      <c r="S3583" s="74" t="str">
        <f>IFERROR(__xludf.DUMMYFUNCTION("""COMPUTED_VALUE"""),"IBU RUMAH TANGGA")</f>
        <v>IBU RUMAH TANGGA</v>
      </c>
      <c r="T3583" s="35" t="str">
        <f>IFERROR(__xludf.DUMMYFUNCTION("""COMPUTED_VALUE"""),"PINGGANG SAMPAI KAKI SAKIT")</f>
        <v>PINGGANG SAMPAI KAKI SAKIT</v>
      </c>
      <c r="U3583" s="35" t="str">
        <f>IFERROR(__xludf.DUMMYFUNCTION("""COMPUTED_VALUE"""),"GYM")</f>
        <v>GYM</v>
      </c>
      <c r="V3583" s="35" t="str">
        <f>IFERROR(__xludf.DUMMYFUNCTION("""COMPUTED_VALUE"""),"082148678889")</f>
        <v>082148678889</v>
      </c>
      <c r="W3583" s="45"/>
    </row>
    <row r="3584">
      <c r="A3584" s="45"/>
      <c r="B3584" s="35" t="str">
        <f>IFERROR(__xludf.DUMMYFUNCTION("""COMPUTED_VALUE"""),"16/03/2026 15:05:12")</f>
        <v>16/03/2026 15:05:12</v>
      </c>
      <c r="C3584" s="35"/>
      <c r="D3584" s="10">
        <f>IFERROR(__xludf.DUMMYFUNCTION("""COMPUTED_VALUE"""),46097.0)</f>
        <v>46097</v>
      </c>
      <c r="E3584" s="35" t="str">
        <f>IFERROR(__xludf.DUMMYFUNCTION("""COMPUTED_VALUE"""),"03Mar")</f>
        <v>03Mar</v>
      </c>
      <c r="F3584" s="35"/>
      <c r="G3584" s="35" t="str">
        <f>IFERROR(__xludf.DUMMYFUNCTION("""COMPUTED_VALUE"""),"YUDIT NOVANDI")</f>
        <v>YUDIT NOVANDI</v>
      </c>
      <c r="H3584" s="35" t="str">
        <f>IFERROR(__xludf.DUMMYFUNCTION("""COMPUTED_VALUE"""),"Y0026037235")</f>
        <v>Y0026037235</v>
      </c>
      <c r="I3584" s="35">
        <f>IFERROR(__xludf.DUMMYFUNCTION("""COMPUTED_VALUE"""),25.0)</f>
        <v>25</v>
      </c>
      <c r="J3584" s="35" t="str">
        <f>IFERROR(__xludf.DUMMYFUNCTION("""COMPUTED_VALUE"""),"25-34 tahun")</f>
        <v>25-34 tahun</v>
      </c>
      <c r="K3584" s="35" t="str">
        <f>IFERROR(__xludf.DUMMYFUNCTION("""COMPUTED_VALUE"""),"05/11/2000")</f>
        <v>05/11/2000</v>
      </c>
      <c r="L3584" s="35" t="str">
        <f>IFERROR(__xludf.DUMMYFUNCTION("""COMPUTED_VALUE"""),"LAKI-LAKI")</f>
        <v>LAKI-LAKI</v>
      </c>
      <c r="M3584" s="35" t="str">
        <f>IFERROR(__xludf.DUMMYFUNCTION("""COMPUTED_VALUE"""),"JL HARAPAN JAYA KOMP PASAR MADANI NO A 11")</f>
        <v>JL HARAPAN JAYA KOMP PASAR MADANI NO A 11</v>
      </c>
      <c r="N3584" s="35" t="str">
        <f>IFERROR(__xludf.DUMMYFUNCTION("""COMPUTED_VALUE"""),"KOTA BARU")</f>
        <v>KOTA BARU</v>
      </c>
      <c r="O3584" s="35" t="str">
        <f>IFERROR(__xludf.DUMMYFUNCTION("""COMPUTED_VALUE"""),"PONTIANAK SELATAN")</f>
        <v>PONTIANAK SELATAN</v>
      </c>
      <c r="P3584" s="35" t="str">
        <f>IFERROR(__xludf.DUMMYFUNCTION("""COMPUTED_VALUE"""),"PONTIANAK")</f>
        <v>PONTIANAK</v>
      </c>
      <c r="Q3584" s="35" t="str">
        <f>IFERROR(__xludf.DUMMYFUNCTION("""COMPUTED_VALUE"""),"KALIMANTAN BARAT")</f>
        <v>KALIMANTAN BARAT</v>
      </c>
      <c r="R3584" s="35" t="str">
        <f>IFERROR(__xludf.DUMMYFUNCTION("""COMPUTED_VALUE"""),"ISLAM")</f>
        <v>ISLAM</v>
      </c>
      <c r="S3584" s="74" t="str">
        <f>IFERROR(__xludf.DUMMYFUNCTION("""COMPUTED_VALUE"""),"-")</f>
        <v>-</v>
      </c>
      <c r="T3584" s="35" t="str">
        <f>IFERROR(__xludf.DUMMYFUNCTION("""COMPUTED_VALUE"""),"SAKIT TUMIT BELAKANG")</f>
        <v>SAKIT TUMIT BELAKANG</v>
      </c>
      <c r="U3584" s="35" t="str">
        <f>IFERROR(__xludf.DUMMYFUNCTION("""COMPUTED_VALUE"""),"-")</f>
        <v>-</v>
      </c>
      <c r="V3584" s="35" t="str">
        <f>IFERROR(__xludf.DUMMYFUNCTION("""COMPUTED_VALUE"""),"0895370767235")</f>
        <v>0895370767235</v>
      </c>
      <c r="W3584" s="45"/>
    </row>
    <row r="3585">
      <c r="A3585" s="45"/>
      <c r="B3585" s="35" t="str">
        <f>IFERROR(__xludf.DUMMYFUNCTION("""COMPUTED_VALUE"""),"16/03/2026 19:14:20")</f>
        <v>16/03/2026 19:14:20</v>
      </c>
      <c r="C3585" s="35"/>
      <c r="D3585" s="10">
        <f>IFERROR(__xludf.DUMMYFUNCTION("""COMPUTED_VALUE"""),46098.0)</f>
        <v>46098</v>
      </c>
      <c r="E3585" s="35" t="str">
        <f>IFERROR(__xludf.DUMMYFUNCTION("""COMPUTED_VALUE"""),"03Mar")</f>
        <v>03Mar</v>
      </c>
      <c r="F3585" s="35"/>
      <c r="G3585" s="35" t="str">
        <f>IFERROR(__xludf.DUMMYFUNCTION("""COMPUTED_VALUE"""),"RINDRI FEBY UMTAI")</f>
        <v>RINDRI FEBY UMTAI</v>
      </c>
      <c r="H3585" s="35" t="str">
        <f>IFERROR(__xludf.DUMMYFUNCTION("""COMPUTED_VALUE"""),"R9726033177")</f>
        <v>R9726033177</v>
      </c>
      <c r="I3585" s="35">
        <f>IFERROR(__xludf.DUMMYFUNCTION("""COMPUTED_VALUE"""),29.0)</f>
        <v>29</v>
      </c>
      <c r="J3585" s="35" t="str">
        <f>IFERROR(__xludf.DUMMYFUNCTION("""COMPUTED_VALUE"""),"25-34 tahun")</f>
        <v>25-34 tahun</v>
      </c>
      <c r="K3585" s="35" t="str">
        <f>IFERROR(__xludf.DUMMYFUNCTION("""COMPUTED_VALUE"""),"27/02/1997")</f>
        <v>27/02/1997</v>
      </c>
      <c r="L3585" s="35" t="str">
        <f>IFERROR(__xludf.DUMMYFUNCTION("""COMPUTED_VALUE"""),"PEREMPUAN")</f>
        <v>PEREMPUAN</v>
      </c>
      <c r="M3585" s="35" t="str">
        <f>IFERROR(__xludf.DUMMYFUNCTION("""COMPUTED_VALUE"""),"JL KY SOEDARSO GG KENARI 1 DALAM NI 47")</f>
        <v>JL KY SOEDARSO GG KENARI 1 DALAM NI 47</v>
      </c>
      <c r="N3585" s="35" t="str">
        <f>IFERROR(__xludf.DUMMYFUNCTION("""COMPUTED_VALUE"""),"SUNGAI JAWI LUAR")</f>
        <v>SUNGAI JAWI LUAR</v>
      </c>
      <c r="O3585" s="35" t="str">
        <f>IFERROR(__xludf.DUMMYFUNCTION("""COMPUTED_VALUE"""),"PONTIANAK BARAT")</f>
        <v>PONTIANAK BARAT</v>
      </c>
      <c r="P3585" s="35" t="str">
        <f>IFERROR(__xludf.DUMMYFUNCTION("""COMPUTED_VALUE"""),"PONTIANAK")</f>
        <v>PONTIANAK</v>
      </c>
      <c r="Q3585" s="35" t="str">
        <f>IFERROR(__xludf.DUMMYFUNCTION("""COMPUTED_VALUE"""),"KALIMANTAN BARAT")</f>
        <v>KALIMANTAN BARAT</v>
      </c>
      <c r="R3585" s="35" t="str">
        <f>IFERROR(__xludf.DUMMYFUNCTION("""COMPUTED_VALUE"""),"ISLAM")</f>
        <v>ISLAM</v>
      </c>
      <c r="S3585" s="74" t="str">
        <f>IFERROR(__xludf.DUMMYFUNCTION("""COMPUTED_VALUE"""),"DOSEN")</f>
        <v>DOSEN</v>
      </c>
      <c r="T3585" s="35" t="str">
        <f>IFERROR(__xludf.DUMMYFUNCTION("""COMPUTED_VALUE"""),"PUNDAK SAKIT 3 HARI")</f>
        <v>PUNDAK SAKIT 3 HARI</v>
      </c>
      <c r="U3585" s="35" t="str">
        <f>IFERROR(__xludf.DUMMYFUNCTION("""COMPUTED_VALUE"""),"GENDONG ANAM")</f>
        <v>GENDONG ANAM</v>
      </c>
      <c r="V3585" s="35" t="str">
        <f>IFERROR(__xludf.DUMMYFUNCTION("""COMPUTED_VALUE"""),"085880363177")</f>
        <v>085880363177</v>
      </c>
      <c r="W3585" s="45"/>
    </row>
    <row r="3586">
      <c r="A3586" s="45"/>
      <c r="B3586" s="35" t="str">
        <f>IFERROR(__xludf.DUMMYFUNCTION("""COMPUTED_VALUE"""),"17/03/2026 10:08:38")</f>
        <v>17/03/2026 10:08:38</v>
      </c>
      <c r="C3586" s="35"/>
      <c r="D3586" s="10">
        <f>IFERROR(__xludf.DUMMYFUNCTION("""COMPUTED_VALUE"""),46098.0)</f>
        <v>46098</v>
      </c>
      <c r="E3586" s="35" t="str">
        <f>IFERROR(__xludf.DUMMYFUNCTION("""COMPUTED_VALUE"""),"03Mar")</f>
        <v>03Mar</v>
      </c>
      <c r="F3586" s="35"/>
      <c r="G3586" s="35" t="str">
        <f>IFERROR(__xludf.DUMMYFUNCTION("""COMPUTED_VALUE"""),"MUSYARADA JUNIA CANDRA ")</f>
        <v>MUSYARADA JUNIA CANDRA </v>
      </c>
      <c r="H3586" s="35" t="str">
        <f>IFERROR(__xludf.DUMMYFUNCTION("""COMPUTED_VALUE"""),"M9526036778")</f>
        <v>M9526036778</v>
      </c>
      <c r="I3586" s="35">
        <f>IFERROR(__xludf.DUMMYFUNCTION("""COMPUTED_VALUE"""),31.0)</f>
        <v>31</v>
      </c>
      <c r="J3586" s="35" t="str">
        <f>IFERROR(__xludf.DUMMYFUNCTION("""COMPUTED_VALUE"""),"25-34 tahun")</f>
        <v>25-34 tahun</v>
      </c>
      <c r="K3586" s="35" t="str">
        <f>IFERROR(__xludf.DUMMYFUNCTION("""COMPUTED_VALUE"""),"15/06/1995")</f>
        <v>15/06/1995</v>
      </c>
      <c r="L3586" s="35" t="str">
        <f>IFERROR(__xludf.DUMMYFUNCTION("""COMPUTED_VALUE"""),"LAKI-LAKI")</f>
        <v>LAKI-LAKI</v>
      </c>
      <c r="M3586" s="35" t="str">
        <f>IFERROR(__xludf.DUMMYFUNCTION("""COMPUTED_VALUE"""),"JL. KUA ANJUNGAN")</f>
        <v>JL. KUA ANJUNGAN</v>
      </c>
      <c r="N3586" s="35" t="str">
        <f>IFERROR(__xludf.DUMMYFUNCTION("""COMPUTED_VALUE"""),"ANJUNGAN MELANCAR ")</f>
        <v>ANJUNGAN MELANCAR </v>
      </c>
      <c r="O3586" s="35" t="str">
        <f>IFERROR(__xludf.DUMMYFUNCTION("""COMPUTED_VALUE"""),"ANJONGAN")</f>
        <v>ANJONGAN</v>
      </c>
      <c r="P3586" s="35" t="str">
        <f>IFERROR(__xludf.DUMMYFUNCTION("""COMPUTED_VALUE"""),"MEMPAWAH ")</f>
        <v>MEMPAWAH </v>
      </c>
      <c r="Q3586" s="35" t="str">
        <f>IFERROR(__xludf.DUMMYFUNCTION("""COMPUTED_VALUE"""),"KALIMANTAN BARAT ")</f>
        <v>KALIMANTAN BARAT </v>
      </c>
      <c r="R3586" s="35" t="str">
        <f>IFERROR(__xludf.DUMMYFUNCTION("""COMPUTED_VALUE"""),"ISLAM")</f>
        <v>ISLAM</v>
      </c>
      <c r="S3586" s="74" t="str">
        <f>IFERROR(__xludf.DUMMYFUNCTION("""COMPUTED_VALUE"""),"SWASTA")</f>
        <v>SWASTA</v>
      </c>
      <c r="T3586" s="35" t="str">
        <f>IFERROR(__xludf.DUMMYFUNCTION("""COMPUTED_VALUE"""),"CIDERA LUTUT")</f>
        <v>CIDERA LUTUT</v>
      </c>
      <c r="U3586" s="35" t="str">
        <f>IFERROR(__xludf.DUMMYFUNCTION("""COMPUTED_VALUE"""),"FUTSAL / NAIK TURUN TANGGA")</f>
        <v>FUTSAL / NAIK TURUN TANGGA</v>
      </c>
      <c r="V3586" s="35" t="str">
        <f>IFERROR(__xludf.DUMMYFUNCTION("""COMPUTED_VALUE"""),"085348186778")</f>
        <v>085348186778</v>
      </c>
      <c r="W3586" s="45"/>
    </row>
    <row r="3587">
      <c r="A3587" s="45"/>
      <c r="B3587" s="35" t="str">
        <f>IFERROR(__xludf.DUMMYFUNCTION("""COMPUTED_VALUE"""),"17/03/2026 12:32:57")</f>
        <v>17/03/2026 12:32:57</v>
      </c>
      <c r="C3587" s="35"/>
      <c r="D3587" s="10">
        <f>IFERROR(__xludf.DUMMYFUNCTION("""COMPUTED_VALUE"""),46098.0)</f>
        <v>46098</v>
      </c>
      <c r="E3587" s="35" t="str">
        <f>IFERROR(__xludf.DUMMYFUNCTION("""COMPUTED_VALUE"""),"03Mar")</f>
        <v>03Mar</v>
      </c>
      <c r="F3587" s="35"/>
      <c r="G3587" s="35" t="str">
        <f>IFERROR(__xludf.DUMMYFUNCTION("""COMPUTED_VALUE"""),"SUPARTI")</f>
        <v>SUPARTI</v>
      </c>
      <c r="H3587" s="35" t="str">
        <f>IFERROR(__xludf.DUMMYFUNCTION("""COMPUTED_VALUE"""),"S5426033895")</f>
        <v>S5426033895</v>
      </c>
      <c r="I3587" s="35">
        <f>IFERROR(__xludf.DUMMYFUNCTION("""COMPUTED_VALUE"""),71.0)</f>
        <v>71</v>
      </c>
      <c r="J3587" s="35" t="str">
        <f>IFERROR(__xludf.DUMMYFUNCTION("""COMPUTED_VALUE"""),"&gt; 44 tahun")</f>
        <v>&gt; 44 tahun</v>
      </c>
      <c r="K3587" s="35" t="str">
        <f>IFERROR(__xludf.DUMMYFUNCTION("""COMPUTED_VALUE"""),"23/07/1954")</f>
        <v>23/07/1954</v>
      </c>
      <c r="L3587" s="35" t="str">
        <f>IFERROR(__xludf.DUMMYFUNCTION("""COMPUTED_VALUE"""),"PEREMPUAN")</f>
        <v>PEREMPUAN</v>
      </c>
      <c r="M3587" s="35" t="str">
        <f>IFERROR(__xludf.DUMMYFUNCTION("""COMPUTED_VALUE"""),"JL. H. RAIS A RAHMAN GG. GUNUNG GEDE NO5")</f>
        <v>JL. H. RAIS A RAHMAN GG. GUNUNG GEDE NO5</v>
      </c>
      <c r="N3587" s="35" t="str">
        <f>IFERROR(__xludf.DUMMYFUNCTION("""COMPUTED_VALUE"""),"SUNGAI JAWI DALAM")</f>
        <v>SUNGAI JAWI DALAM</v>
      </c>
      <c r="O3587" s="35" t="str">
        <f>IFERROR(__xludf.DUMMYFUNCTION("""COMPUTED_VALUE"""),"PONTIANAK BARAT")</f>
        <v>PONTIANAK BARAT</v>
      </c>
      <c r="P3587" s="35" t="str">
        <f>IFERROR(__xludf.DUMMYFUNCTION("""COMPUTED_VALUE"""),"PONTIANAK")</f>
        <v>PONTIANAK</v>
      </c>
      <c r="Q3587" s="35" t="str">
        <f>IFERROR(__xludf.DUMMYFUNCTION("""COMPUTED_VALUE"""),"KALIMANTAN BARA")</f>
        <v>KALIMANTAN BARA</v>
      </c>
      <c r="R3587" s="35" t="str">
        <f>IFERROR(__xludf.DUMMYFUNCTION("""COMPUTED_VALUE"""),"ISLAM")</f>
        <v>ISLAM</v>
      </c>
      <c r="S3587" s="74" t="str">
        <f>IFERROR(__xludf.DUMMYFUNCTION("""COMPUTED_VALUE"""),"IBU RUMAH TANGGA")</f>
        <v>IBU RUMAH TANGGA</v>
      </c>
      <c r="T3587" s="35" t="str">
        <f>IFERROR(__xludf.DUMMYFUNCTION("""COMPUTED_VALUE"""),"NYERI PINGGANG BELAKANG (NGILU)")</f>
        <v>NYERI PINGGANG BELAKANG (NGILU)</v>
      </c>
      <c r="U3587" s="35" t="str">
        <f>IFERROR(__xludf.DUMMYFUNCTION("""COMPUTED_VALUE"""),"MEMASAK, DUDUK CUKUP LAMA, BERBERES")</f>
        <v>MEMASAK, DUDUK CUKUP LAMA, BERBERES</v>
      </c>
      <c r="V3587" s="35" t="str">
        <f>IFERROR(__xludf.DUMMYFUNCTION("""COMPUTED_VALUE"""),"08971213895")</f>
        <v>08971213895</v>
      </c>
      <c r="W3587" s="45"/>
    </row>
    <row r="3588">
      <c r="A3588" s="45"/>
      <c r="B3588" s="35" t="str">
        <f>IFERROR(__xludf.DUMMYFUNCTION("""COMPUTED_VALUE"""),"17/03/2026 14:18:34")</f>
        <v>17/03/2026 14:18:34</v>
      </c>
      <c r="C3588" s="35"/>
      <c r="D3588" s="10">
        <f>IFERROR(__xludf.DUMMYFUNCTION("""COMPUTED_VALUE"""),46098.0)</f>
        <v>46098</v>
      </c>
      <c r="E3588" s="35" t="str">
        <f>IFERROR(__xludf.DUMMYFUNCTION("""COMPUTED_VALUE"""),"03Mar")</f>
        <v>03Mar</v>
      </c>
      <c r="F3588" s="35"/>
      <c r="G3588" s="35" t="str">
        <f>IFERROR(__xludf.DUMMYFUNCTION("""COMPUTED_VALUE"""),"PUJI LESTARI DWI HANDAYANI")</f>
        <v>PUJI LESTARI DWI HANDAYANI</v>
      </c>
      <c r="H3588" s="35" t="str">
        <f>IFERROR(__xludf.DUMMYFUNCTION("""COMPUTED_VALUE"""),"P9226035207")</f>
        <v>P9226035207</v>
      </c>
      <c r="I3588" s="35">
        <f>IFERROR(__xludf.DUMMYFUNCTION("""COMPUTED_VALUE"""),33.0)</f>
        <v>33</v>
      </c>
      <c r="J3588" s="35" t="str">
        <f>IFERROR(__xludf.DUMMYFUNCTION("""COMPUTED_VALUE"""),"25-34 tahun")</f>
        <v>25-34 tahun</v>
      </c>
      <c r="K3588" s="35" t="str">
        <f>IFERROR(__xludf.DUMMYFUNCTION("""COMPUTED_VALUE"""),"20/10/1992")</f>
        <v>20/10/1992</v>
      </c>
      <c r="L3588" s="35" t="str">
        <f>IFERROR(__xludf.DUMMYFUNCTION("""COMPUTED_VALUE"""),"PEREMPUAN")</f>
        <v>PEREMPUAN</v>
      </c>
      <c r="M3588" s="35" t="str">
        <f>IFERROR(__xludf.DUMMYFUNCTION("""COMPUTED_VALUE"""),"JL WONOYOSO 1 GG V NO 1")</f>
        <v>JL WONOYOSO 1 GG V NO 1</v>
      </c>
      <c r="N3588" s="35" t="str">
        <f>IFERROR(__xludf.DUMMYFUNCTION("""COMPUTED_VALUE"""),"AKCAYA")</f>
        <v>AKCAYA</v>
      </c>
      <c r="O3588" s="35" t="str">
        <f>IFERROR(__xludf.DUMMYFUNCTION("""COMPUTED_VALUE"""),"PONTIANAK SELATAN")</f>
        <v>PONTIANAK SELATAN</v>
      </c>
      <c r="P3588" s="35" t="str">
        <f>IFERROR(__xludf.DUMMYFUNCTION("""COMPUTED_VALUE"""),"KOTA PONTIANAK")</f>
        <v>KOTA PONTIANAK</v>
      </c>
      <c r="Q3588" s="35" t="str">
        <f>IFERROR(__xludf.DUMMYFUNCTION("""COMPUTED_VALUE"""),"KALIMANTAN BARAT")</f>
        <v>KALIMANTAN BARAT</v>
      </c>
      <c r="R3588" s="35" t="str">
        <f>IFERROR(__xludf.DUMMYFUNCTION("""COMPUTED_VALUE"""),"ISLAM")</f>
        <v>ISLAM</v>
      </c>
      <c r="S3588" s="74" t="str">
        <f>IFERROR(__xludf.DUMMYFUNCTION("""COMPUTED_VALUE"""),"BUMN")</f>
        <v>BUMN</v>
      </c>
      <c r="T3588" s="35" t="str">
        <f>IFERROR(__xludf.DUMMYFUNCTION("""COMPUTED_VALUE"""),"TANGAN KANAN NYERI")</f>
        <v>TANGAN KANAN NYERI</v>
      </c>
      <c r="U3588" s="35" t="str">
        <f>IFERROR(__xludf.DUMMYFUNCTION("""COMPUTED_VALUE"""),"OLAHRAGA PADEL")</f>
        <v>OLAHRAGA PADEL</v>
      </c>
      <c r="V3588" s="35" t="str">
        <f>IFERROR(__xludf.DUMMYFUNCTION("""COMPUTED_VALUE"""),"081257385207")</f>
        <v>081257385207</v>
      </c>
      <c r="W3588" s="45"/>
    </row>
    <row r="3589">
      <c r="A3589" s="45"/>
      <c r="B3589" s="35" t="str">
        <f>IFERROR(__xludf.DUMMYFUNCTION("""COMPUTED_VALUE"""),"17/03/2026 18:35:11")</f>
        <v>17/03/2026 18:35:11</v>
      </c>
      <c r="C3589" s="35"/>
      <c r="D3589" s="10">
        <f>IFERROR(__xludf.DUMMYFUNCTION("""COMPUTED_VALUE"""),46098.0)</f>
        <v>46098</v>
      </c>
      <c r="E3589" s="35" t="str">
        <f>IFERROR(__xludf.DUMMYFUNCTION("""COMPUTED_VALUE"""),"03Mar")</f>
        <v>03Mar</v>
      </c>
      <c r="F3589" s="35"/>
      <c r="G3589" s="35" t="str">
        <f>IFERROR(__xludf.DUMMYFUNCTION("""COMPUTED_VALUE"""),"AULIA NAZWA AZZIKRA ")</f>
        <v>AULIA NAZWA AZZIKRA </v>
      </c>
      <c r="H3589" s="35" t="str">
        <f>IFERROR(__xludf.DUMMYFUNCTION("""COMPUTED_VALUE"""),"A1626032188")</f>
        <v>A1626032188</v>
      </c>
      <c r="I3589" s="35">
        <f>IFERROR(__xludf.DUMMYFUNCTION("""COMPUTED_VALUE"""),9.0)</f>
        <v>9</v>
      </c>
      <c r="J3589" s="35" t="str">
        <f>IFERROR(__xludf.DUMMYFUNCTION("""COMPUTED_VALUE"""),"&lt; 18 tahun")</f>
        <v>&lt; 18 tahun</v>
      </c>
      <c r="K3589" s="35" t="str">
        <f>IFERROR(__xludf.DUMMYFUNCTION("""COMPUTED_VALUE"""),"24/07/2016")</f>
        <v>24/07/2016</v>
      </c>
      <c r="L3589" s="35" t="str">
        <f>IFERROR(__xludf.DUMMYFUNCTION("""COMPUTED_VALUE"""),"PEREMPUAN")</f>
        <v>PEREMPUAN</v>
      </c>
      <c r="M3589" s="35" t="str">
        <f>IFERROR(__xludf.DUMMYFUNCTION("""COMPUTED_VALUE"""),"JL.SUNGAI MUSI NO 81")</f>
        <v>JL.SUNGAI MUSI NO 81</v>
      </c>
      <c r="N3589" s="35" t="str">
        <f>IFERROR(__xludf.DUMMYFUNCTION("""COMPUTED_VALUE"""),"ROBAN ")</f>
        <v>ROBAN </v>
      </c>
      <c r="O3589" s="35" t="str">
        <f>IFERROR(__xludf.DUMMYFUNCTION("""COMPUTED_VALUE"""),"SINGKAWANG TENGAH ")</f>
        <v>SINGKAWANG TENGAH </v>
      </c>
      <c r="P3589" s="35" t="str">
        <f>IFERROR(__xludf.DUMMYFUNCTION("""COMPUTED_VALUE"""),"KOTA SINGKAWANG ")</f>
        <v>KOTA SINGKAWANG </v>
      </c>
      <c r="Q3589" s="35" t="str">
        <f>IFERROR(__xludf.DUMMYFUNCTION("""COMPUTED_VALUE"""),"KALIMANTAN BARAT ")</f>
        <v>KALIMANTAN BARAT </v>
      </c>
      <c r="R3589" s="35" t="str">
        <f>IFERROR(__xludf.DUMMYFUNCTION("""COMPUTED_VALUE"""),"ISLAM")</f>
        <v>ISLAM</v>
      </c>
      <c r="S3589" s="74" t="str">
        <f>IFERROR(__xludf.DUMMYFUNCTION("""COMPUTED_VALUE"""),"PELAJAR ")</f>
        <v>PELAJAR </v>
      </c>
      <c r="T3589" s="35" t="str">
        <f>IFERROR(__xludf.DUMMYFUNCTION("""COMPUTED_VALUE"""),"NYERI BAGIAN PAHA BELAKANG DAN SAMPING (KAKI KANAN DAN KIRI)")</f>
        <v>NYERI BAGIAN PAHA BELAKANG DAN SAMPING (KAKI KANAN DAN KIRI)</v>
      </c>
      <c r="U3589" s="35" t="str">
        <f>IFERROR(__xludf.DUMMYFUNCTION("""COMPUTED_VALUE"""),"BERMAIN ")</f>
        <v>BERMAIN </v>
      </c>
      <c r="V3589" s="35" t="str">
        <f>IFERROR(__xludf.DUMMYFUNCTION("""COMPUTED_VALUE"""),"085750162188")</f>
        <v>085750162188</v>
      </c>
      <c r="W3589" s="45"/>
    </row>
    <row r="3590">
      <c r="A3590" s="45"/>
      <c r="B3590" s="35" t="str">
        <f>IFERROR(__xludf.DUMMYFUNCTION("""COMPUTED_VALUE"""),"17/03/2026 21:52:14")</f>
        <v>17/03/2026 21:52:14</v>
      </c>
      <c r="C3590" s="35"/>
      <c r="D3590" s="10">
        <f>IFERROR(__xludf.DUMMYFUNCTION("""COMPUTED_VALUE"""),46098.0)</f>
        <v>46098</v>
      </c>
      <c r="E3590" s="35" t="str">
        <f>IFERROR(__xludf.DUMMYFUNCTION("""COMPUTED_VALUE"""),"03Mar")</f>
        <v>03Mar</v>
      </c>
      <c r="F3590" s="35"/>
      <c r="G3590" s="35" t="str">
        <f>IFERROR(__xludf.DUMMYFUNCTION("""COMPUTED_VALUE"""),"AUZAIE MUHTADI")</f>
        <v>AUZAIE MUHTADI</v>
      </c>
      <c r="H3590" s="35" t="str">
        <f>IFERROR(__xludf.DUMMYFUNCTION("""COMPUTED_VALUE"""),"A5126037073")</f>
        <v>A5126037073</v>
      </c>
      <c r="I3590" s="35">
        <f>IFERROR(__xludf.DUMMYFUNCTION("""COMPUTED_VALUE"""),75.0)</f>
        <v>75</v>
      </c>
      <c r="J3590" s="35" t="str">
        <f>IFERROR(__xludf.DUMMYFUNCTION("""COMPUTED_VALUE"""),"&gt; 44 tahun")</f>
        <v>&gt; 44 tahun</v>
      </c>
      <c r="K3590" s="35" t="str">
        <f>IFERROR(__xludf.DUMMYFUNCTION("""COMPUTED_VALUE"""),"31/03/1951")</f>
        <v>31/03/1951</v>
      </c>
      <c r="L3590" s="35" t="str">
        <f>IFERROR(__xludf.DUMMYFUNCTION("""COMPUTED_VALUE"""),"LAKI-LAKI")</f>
        <v>LAKI-LAKI</v>
      </c>
      <c r="M3590" s="35" t="str">
        <f>IFERROR(__xludf.DUMMYFUNCTION("""COMPUTED_VALUE"""),"GG. HARAPAN NO 75B")</f>
        <v>GG. HARAPAN NO 75B</v>
      </c>
      <c r="N3590" s="35" t="str">
        <f>IFERROR(__xludf.DUMMYFUNCTION("""COMPUTED_VALUE"""),"SUNGAI JAWI DALAM")</f>
        <v>SUNGAI JAWI DALAM</v>
      </c>
      <c r="O3590" s="35" t="str">
        <f>IFERROR(__xludf.DUMMYFUNCTION("""COMPUTED_VALUE"""),"PONTIANAK BARAT")</f>
        <v>PONTIANAK BARAT</v>
      </c>
      <c r="P3590" s="35" t="str">
        <f>IFERROR(__xludf.DUMMYFUNCTION("""COMPUTED_VALUE"""),"PONTIANAK")</f>
        <v>PONTIANAK</v>
      </c>
      <c r="Q3590" s="35" t="str">
        <f>IFERROR(__xludf.DUMMYFUNCTION("""COMPUTED_VALUE"""),"KALIMANTAN BARAT")</f>
        <v>KALIMANTAN BARAT</v>
      </c>
      <c r="R3590" s="35" t="str">
        <f>IFERROR(__xludf.DUMMYFUNCTION("""COMPUTED_VALUE"""),"ISLAM")</f>
        <v>ISLAM</v>
      </c>
      <c r="S3590" s="74" t="str">
        <f>IFERROR(__xludf.DUMMYFUNCTION("""COMPUTED_VALUE"""),"SWASTA")</f>
        <v>SWASTA</v>
      </c>
      <c r="T3590" s="35" t="str">
        <f>IFERROR(__xludf.DUMMYFUNCTION("""COMPUTED_VALUE"""),"NYERI SENDI LUTUT KAKI KANAN DAN KIRI")</f>
        <v>NYERI SENDI LUTUT KAKI KANAN DAN KIRI</v>
      </c>
      <c r="U3590" s="35" t="str">
        <f>IFERROR(__xludf.DUMMYFUNCTION("""COMPUTED_VALUE"""),"BERMAIN TENIS")</f>
        <v>BERMAIN TENIS</v>
      </c>
      <c r="V3590" s="35" t="str">
        <f>IFERROR(__xludf.DUMMYFUNCTION("""COMPUTED_VALUE"""),"085845167073")</f>
        <v>085845167073</v>
      </c>
      <c r="W3590" s="45"/>
    </row>
    <row r="3591">
      <c r="A3591" s="45"/>
      <c r="B3591" s="35" t="str">
        <f>IFERROR(__xludf.DUMMYFUNCTION("""COMPUTED_VALUE"""),"18/03/2026 9:00:28")</f>
        <v>18/03/2026 9:00:28</v>
      </c>
      <c r="C3591" s="35"/>
      <c r="D3591" s="10">
        <f>IFERROR(__xludf.DUMMYFUNCTION("""COMPUTED_VALUE"""),46099.0)</f>
        <v>46099</v>
      </c>
      <c r="E3591" s="35" t="str">
        <f>IFERROR(__xludf.DUMMYFUNCTION("""COMPUTED_VALUE"""),"03Mar")</f>
        <v>03Mar</v>
      </c>
      <c r="F3591" s="35"/>
      <c r="G3591" s="35" t="str">
        <f>IFERROR(__xludf.DUMMYFUNCTION("""COMPUTED_VALUE"""),"NINA YUNIARTI")</f>
        <v>NINA YUNIARTI</v>
      </c>
      <c r="H3591" s="35" t="str">
        <f>IFERROR(__xludf.DUMMYFUNCTION("""COMPUTED_VALUE"""),"N8126039788")</f>
        <v>N8126039788</v>
      </c>
      <c r="I3591" s="35">
        <f>IFERROR(__xludf.DUMMYFUNCTION("""COMPUTED_VALUE"""),44.0)</f>
        <v>44</v>
      </c>
      <c r="J3591" s="35" t="str">
        <f>IFERROR(__xludf.DUMMYFUNCTION("""COMPUTED_VALUE"""),"35-44 tahun")</f>
        <v>35-44 tahun</v>
      </c>
      <c r="K3591" s="35" t="str">
        <f>IFERROR(__xludf.DUMMYFUNCTION("""COMPUTED_VALUE"""),"27/06/1981")</f>
        <v>27/06/1981</v>
      </c>
      <c r="L3591" s="35" t="str">
        <f>IFERROR(__xludf.DUMMYFUNCTION("""COMPUTED_VALUE"""),"PEREMPUAN")</f>
        <v>PEREMPUAN</v>
      </c>
      <c r="M3591" s="35" t="str">
        <f>IFERROR(__xludf.DUMMYFUNCTION("""COMPUTED_VALUE"""),"GG MARGODADIREJO 1 DALAM NO 88")</f>
        <v>GG MARGODADIREJO 1 DALAM NO 88</v>
      </c>
      <c r="N3591" s="35" t="str">
        <f>IFERROR(__xludf.DUMMYFUNCTION("""COMPUTED_VALUE"""),"SUNGAI JAWI")</f>
        <v>SUNGAI JAWI</v>
      </c>
      <c r="O3591" s="35" t="str">
        <f>IFERROR(__xludf.DUMMYFUNCTION("""COMPUTED_VALUE"""),"PONTIANAK KOTA")</f>
        <v>PONTIANAK KOTA</v>
      </c>
      <c r="P3591" s="35" t="str">
        <f>IFERROR(__xludf.DUMMYFUNCTION("""COMPUTED_VALUE"""),"PONTIANAK")</f>
        <v>PONTIANAK</v>
      </c>
      <c r="Q3591" s="35" t="str">
        <f>IFERROR(__xludf.DUMMYFUNCTION("""COMPUTED_VALUE"""),"KALIMANTAN BARAT")</f>
        <v>KALIMANTAN BARAT</v>
      </c>
      <c r="R3591" s="35" t="str">
        <f>IFERROR(__xludf.DUMMYFUNCTION("""COMPUTED_VALUE"""),"ISLAM")</f>
        <v>ISLAM</v>
      </c>
      <c r="S3591" s="74" t="str">
        <f>IFERROR(__xludf.DUMMYFUNCTION("""COMPUTED_VALUE"""),"KARYAWAN SWASTA")</f>
        <v>KARYAWAN SWASTA</v>
      </c>
      <c r="T3591" s="35" t="str">
        <f>IFERROR(__xludf.DUMMYFUNCTION("""COMPUTED_VALUE"""),"LENGAN TANGAN ATAS DEKAT BAHU SAKIT")</f>
        <v>LENGAN TANGAN ATAS DEKAT BAHU SAKIT</v>
      </c>
      <c r="U3591" s="35" t="str">
        <f>IFERROR(__xludf.DUMMYFUNCTION("""COMPUTED_VALUE"""),"-")</f>
        <v>-</v>
      </c>
      <c r="V3591" s="35" t="str">
        <f>IFERROR(__xludf.DUMMYFUNCTION("""COMPUTED_VALUE"""),"089694159788")</f>
        <v>089694159788</v>
      </c>
      <c r="W3591" s="45"/>
    </row>
    <row r="3592">
      <c r="A3592" s="45"/>
      <c r="B3592" s="35" t="str">
        <f>IFERROR(__xludf.DUMMYFUNCTION("""COMPUTED_VALUE"""),"18/03/2026 16:46:16")</f>
        <v>18/03/2026 16:46:16</v>
      </c>
      <c r="C3592" s="35"/>
      <c r="D3592" s="10">
        <f>IFERROR(__xludf.DUMMYFUNCTION("""COMPUTED_VALUE"""),46099.0)</f>
        <v>46099</v>
      </c>
      <c r="E3592" s="35" t="str">
        <f>IFERROR(__xludf.DUMMYFUNCTION("""COMPUTED_VALUE"""),"03Mar")</f>
        <v>03Mar</v>
      </c>
      <c r="F3592" s="35"/>
      <c r="G3592" s="35" t="str">
        <f>IFERROR(__xludf.DUMMYFUNCTION("""COMPUTED_VALUE"""),"BONG TJUI HA")</f>
        <v>BONG TJUI HA</v>
      </c>
      <c r="H3592" s="35" t="str">
        <f>IFERROR(__xludf.DUMMYFUNCTION("""COMPUTED_VALUE"""),"B4426034685")</f>
        <v>B4426034685</v>
      </c>
      <c r="I3592" s="35">
        <f>IFERROR(__xludf.DUMMYFUNCTION("""COMPUTED_VALUE"""),81.0)</f>
        <v>81</v>
      </c>
      <c r="J3592" s="35" t="str">
        <f>IFERROR(__xludf.DUMMYFUNCTION("""COMPUTED_VALUE"""),"&gt; 44 tahun")</f>
        <v>&gt; 44 tahun</v>
      </c>
      <c r="K3592" s="35" t="str">
        <f>IFERROR(__xludf.DUMMYFUNCTION("""COMPUTED_VALUE"""),"03/12/1944")</f>
        <v>03/12/1944</v>
      </c>
      <c r="L3592" s="35" t="str">
        <f>IFERROR(__xludf.DUMMYFUNCTION("""COMPUTED_VALUE"""),"PEREMPUAN")</f>
        <v>PEREMPUAN</v>
      </c>
      <c r="M3592" s="35" t="str">
        <f>IFERROR(__xludf.DUMMYFUNCTION("""COMPUTED_VALUE"""),"JLN.MERDEKA GG.PIPIT NO.6")</f>
        <v>JLN.MERDEKA GG.PIPIT NO.6</v>
      </c>
      <c r="N3592" s="35" t="str">
        <f>IFERROR(__xludf.DUMMYFUNCTION("""COMPUTED_VALUE"""),"TENGAH ")</f>
        <v>TENGAH </v>
      </c>
      <c r="O3592" s="35" t="str">
        <f>IFERROR(__xludf.DUMMYFUNCTION("""COMPUTED_VALUE"""),"PONTIANAK KOTA")</f>
        <v>PONTIANAK KOTA</v>
      </c>
      <c r="P3592" s="35" t="str">
        <f>IFERROR(__xludf.DUMMYFUNCTION("""COMPUTED_VALUE"""),"KOTA ")</f>
        <v>KOTA </v>
      </c>
      <c r="Q3592" s="35" t="str">
        <f>IFERROR(__xludf.DUMMYFUNCTION("""COMPUTED_VALUE"""),"KALIMANTAN BARAT ")</f>
        <v>KALIMANTAN BARAT </v>
      </c>
      <c r="R3592" s="35" t="str">
        <f>IFERROR(__xludf.DUMMYFUNCTION("""COMPUTED_VALUE"""),"BUDDHA")</f>
        <v>BUDDHA</v>
      </c>
      <c r="S3592" s="74" t="str">
        <f>IFERROR(__xludf.DUMMYFUNCTION("""COMPUTED_VALUE"""),"MENGURUS RUMAH TANGGA ")</f>
        <v>MENGURUS RUMAH TANGGA </v>
      </c>
      <c r="T3592" s="35" t="str">
        <f>IFERROR(__xludf.DUMMYFUNCTION("""COMPUTED_VALUE"""),"KAKI LEMAH TAK BISA JALAN")</f>
        <v>KAKI LEMAH TAK BISA JALAN</v>
      </c>
      <c r="U3592" s="35" t="str">
        <f>IFERROR(__xludf.DUMMYFUNCTION("""COMPUTED_VALUE"""),"DUDUK DAN BARING,NONTON")</f>
        <v>DUDUK DAN BARING,NONTON</v>
      </c>
      <c r="V3592" s="35" t="str">
        <f>IFERROR(__xludf.DUMMYFUNCTION("""COMPUTED_VALUE"""),"085756314685")</f>
        <v>085756314685</v>
      </c>
      <c r="W3592" s="45"/>
    </row>
    <row r="3593">
      <c r="A3593" s="45"/>
      <c r="B3593" s="35" t="str">
        <f>IFERROR(__xludf.DUMMYFUNCTION("""COMPUTED_VALUE"""),"18/03/2026 17:14:35")</f>
        <v>18/03/2026 17:14:35</v>
      </c>
      <c r="C3593" s="35"/>
      <c r="D3593" s="10">
        <f>IFERROR(__xludf.DUMMYFUNCTION("""COMPUTED_VALUE"""),46099.0)</f>
        <v>46099</v>
      </c>
      <c r="E3593" s="35" t="str">
        <f>IFERROR(__xludf.DUMMYFUNCTION("""COMPUTED_VALUE"""),"03Mar")</f>
        <v>03Mar</v>
      </c>
      <c r="F3593" s="35"/>
      <c r="G3593" s="35" t="str">
        <f>IFERROR(__xludf.DUMMYFUNCTION("""COMPUTED_VALUE"""),"VICO")</f>
        <v>VICO</v>
      </c>
      <c r="H3593" s="35" t="str">
        <f>IFERROR(__xludf.DUMMYFUNCTION("""COMPUTED_VALUE"""),"V0226032578")</f>
        <v>V0226032578</v>
      </c>
      <c r="I3593" s="35">
        <f>IFERROR(__xludf.DUMMYFUNCTION("""COMPUTED_VALUE"""),24.0)</f>
        <v>24</v>
      </c>
      <c r="J3593" s="35" t="str">
        <f>IFERROR(__xludf.DUMMYFUNCTION("""COMPUTED_VALUE"""),"18-24 tahun")</f>
        <v>18-24 tahun</v>
      </c>
      <c r="K3593" s="35" t="str">
        <f>IFERROR(__xludf.DUMMYFUNCTION("""COMPUTED_VALUE"""),"06/04/2002")</f>
        <v>06/04/2002</v>
      </c>
      <c r="L3593" s="35" t="str">
        <f>IFERROR(__xludf.DUMMYFUNCTION("""COMPUTED_VALUE"""),"LAKI-LAKI")</f>
        <v>LAKI-LAKI</v>
      </c>
      <c r="M3593" s="35" t="str">
        <f>IFERROR(__xludf.DUMMYFUNCTION("""COMPUTED_VALUE"""),"DUSUN BARU BELIAN")</f>
        <v>DUSUN BARU BELIAN</v>
      </c>
      <c r="N3593" s="35" t="str">
        <f>IFERROR(__xludf.DUMMYFUNCTION("""COMPUTED_VALUE"""),"TANJUNG RIA")</f>
        <v>TANJUNG RIA</v>
      </c>
      <c r="O3593" s="35" t="str">
        <f>IFERROR(__xludf.DUMMYFUNCTION("""COMPUTED_VALUE"""),"KECAMATAN SEPAUK")</f>
        <v>KECAMATAN SEPAUK</v>
      </c>
      <c r="P3593" s="35" t="str">
        <f>IFERROR(__xludf.DUMMYFUNCTION("""COMPUTED_VALUE"""),"KABUPATEN SINTANG")</f>
        <v>KABUPATEN SINTANG</v>
      </c>
      <c r="Q3593" s="35" t="str">
        <f>IFERROR(__xludf.DUMMYFUNCTION("""COMPUTED_VALUE"""),"KALIMANTAN BARAT ")</f>
        <v>KALIMANTAN BARAT </v>
      </c>
      <c r="R3593" s="35" t="str">
        <f>IFERROR(__xludf.DUMMYFUNCTION("""COMPUTED_VALUE"""),"PROTESTAN")</f>
        <v>PROTESTAN</v>
      </c>
      <c r="S3593" s="74" t="str">
        <f>IFERROR(__xludf.DUMMYFUNCTION("""COMPUTED_VALUE"""),"MARKETING")</f>
        <v>MARKETING</v>
      </c>
      <c r="T3593" s="35" t="str">
        <f>IFERROR(__xludf.DUMMYFUNCTION("""COMPUTED_VALUE"""),"PINGGANG")</f>
        <v>PINGGANG</v>
      </c>
      <c r="U3593" s="35" t="str">
        <f>IFERROR(__xludf.DUMMYFUNCTION("""COMPUTED_VALUE"""),"MAIN GAME DUDUK, DUDUK BARING SEMBARANGAN")</f>
        <v>MAIN GAME DUDUK, DUDUK BARING SEMBARANGAN</v>
      </c>
      <c r="V3593" s="35" t="str">
        <f>IFERROR(__xludf.DUMMYFUNCTION("""COMPUTED_VALUE"""),"082255322578")</f>
        <v>082255322578</v>
      </c>
      <c r="W3593" s="45"/>
    </row>
    <row r="3594">
      <c r="A3594" s="45"/>
      <c r="B3594" s="35" t="str">
        <f>IFERROR(__xludf.DUMMYFUNCTION("""COMPUTED_VALUE"""),"18/03/2026 17:33:11")</f>
        <v>18/03/2026 17:33:11</v>
      </c>
      <c r="C3594" s="35"/>
      <c r="D3594" s="10">
        <f>IFERROR(__xludf.DUMMYFUNCTION("""COMPUTED_VALUE"""),46099.0)</f>
        <v>46099</v>
      </c>
      <c r="E3594" s="35" t="str">
        <f>IFERROR(__xludf.DUMMYFUNCTION("""COMPUTED_VALUE"""),"03Mar")</f>
        <v>03Mar</v>
      </c>
      <c r="F3594" s="35"/>
      <c r="G3594" s="35" t="str">
        <f>IFERROR(__xludf.DUMMYFUNCTION("""COMPUTED_VALUE"""),"SATRIA AMARTA")</f>
        <v>SATRIA AMARTA</v>
      </c>
      <c r="H3594" s="35" t="str">
        <f>IFERROR(__xludf.DUMMYFUNCTION("""COMPUTED_VALUE"""),"S0326034144")</f>
        <v>S0326034144</v>
      </c>
      <c r="I3594" s="35">
        <f>IFERROR(__xludf.DUMMYFUNCTION("""COMPUTED_VALUE"""),23.0)</f>
        <v>23</v>
      </c>
      <c r="J3594" s="35" t="str">
        <f>IFERROR(__xludf.DUMMYFUNCTION("""COMPUTED_VALUE"""),"18-24 tahun")</f>
        <v>18-24 tahun</v>
      </c>
      <c r="K3594" s="35" t="str">
        <f>IFERROR(__xludf.DUMMYFUNCTION("""COMPUTED_VALUE"""),"23/03/2003")</f>
        <v>23/03/2003</v>
      </c>
      <c r="L3594" s="35" t="str">
        <f>IFERROR(__xludf.DUMMYFUNCTION("""COMPUTED_VALUE"""),"LAKI-LAKI")</f>
        <v>LAKI-LAKI</v>
      </c>
      <c r="M3594" s="35" t="str">
        <f>IFERROR(__xludf.DUMMYFUNCTION("""COMPUTED_VALUE"""),"JALAN TABRANI AHMAD GG H A SAMAD NO 12")</f>
        <v>JALAN TABRANI AHMAD GG H A SAMAD NO 12</v>
      </c>
      <c r="N3594" s="35" t="str">
        <f>IFERROR(__xludf.DUMMYFUNCTION("""COMPUTED_VALUE"""),"SUNGAI JAWI DALAM")</f>
        <v>SUNGAI JAWI DALAM</v>
      </c>
      <c r="O3594" s="35" t="str">
        <f>IFERROR(__xludf.DUMMYFUNCTION("""COMPUTED_VALUE"""),"PONTIANAK BARAT")</f>
        <v>PONTIANAK BARAT</v>
      </c>
      <c r="P3594" s="35" t="str">
        <f>IFERROR(__xludf.DUMMYFUNCTION("""COMPUTED_VALUE"""),"KOTA PONTIANAK")</f>
        <v>KOTA PONTIANAK</v>
      </c>
      <c r="Q3594" s="35" t="str">
        <f>IFERROR(__xludf.DUMMYFUNCTION("""COMPUTED_VALUE"""),"KALBAR")</f>
        <v>KALBAR</v>
      </c>
      <c r="R3594" s="35" t="str">
        <f>IFERROR(__xludf.DUMMYFUNCTION("""COMPUTED_VALUE"""),"ISLAM")</f>
        <v>ISLAM</v>
      </c>
      <c r="S3594" s="74" t="str">
        <f>IFERROR(__xludf.DUMMYFUNCTION("""COMPUTED_VALUE"""),"ESPORT PLAYER")</f>
        <v>ESPORT PLAYER</v>
      </c>
      <c r="T3594" s="35" t="str">
        <f>IFERROR(__xludf.DUMMYFUNCTION("""COMPUTED_VALUE"""),"SAKIT DI TELALAK TANGAN")</f>
        <v>SAKIT DI TELALAK TANGAN</v>
      </c>
      <c r="U3594" s="35" t="str">
        <f>IFERROR(__xludf.DUMMYFUNCTION("""COMPUTED_VALUE"""),"BERMAIN GAME, MEGANG HP MIRING")</f>
        <v>BERMAIN GAME, MEGANG HP MIRING</v>
      </c>
      <c r="V3594" s="35" t="str">
        <f>IFERROR(__xludf.DUMMYFUNCTION("""COMPUTED_VALUE"""),"082155064144")</f>
        <v>082155064144</v>
      </c>
      <c r="W3594" s="45"/>
    </row>
    <row r="3595">
      <c r="A3595" s="45"/>
      <c r="B3595" s="35" t="str">
        <f>IFERROR(__xludf.DUMMYFUNCTION("""COMPUTED_VALUE"""),"18/03/2026 18:02:38")</f>
        <v>18/03/2026 18:02:38</v>
      </c>
      <c r="C3595" s="35"/>
      <c r="D3595" s="10">
        <f>IFERROR(__xludf.DUMMYFUNCTION("""COMPUTED_VALUE"""),46099.0)</f>
        <v>46099</v>
      </c>
      <c r="E3595" s="35" t="str">
        <f>IFERROR(__xludf.DUMMYFUNCTION("""COMPUTED_VALUE"""),"03Mar")</f>
        <v>03Mar</v>
      </c>
      <c r="F3595" s="35"/>
      <c r="G3595" s="35" t="str">
        <f>IFERROR(__xludf.DUMMYFUNCTION("""COMPUTED_VALUE"""),"THE KWANG LENG")</f>
        <v>THE KWANG LENG</v>
      </c>
      <c r="H3595" s="35" t="str">
        <f>IFERROR(__xludf.DUMMYFUNCTION("""COMPUTED_VALUE"""),"T7326037879")</f>
        <v>T7326037879</v>
      </c>
      <c r="I3595" s="35">
        <f>IFERROR(__xludf.DUMMYFUNCTION("""COMPUTED_VALUE"""),53.0)</f>
        <v>53</v>
      </c>
      <c r="J3595" s="35" t="str">
        <f>IFERROR(__xludf.DUMMYFUNCTION("""COMPUTED_VALUE"""),"&gt; 44 tahun")</f>
        <v>&gt; 44 tahun</v>
      </c>
      <c r="K3595" s="35" t="str">
        <f>IFERROR(__xludf.DUMMYFUNCTION("""COMPUTED_VALUE"""),"22/06/1973")</f>
        <v>22/06/1973</v>
      </c>
      <c r="L3595" s="35" t="str">
        <f>IFERROR(__xludf.DUMMYFUNCTION("""COMPUTED_VALUE"""),"LAKI-LAKI")</f>
        <v>LAKI-LAKI</v>
      </c>
      <c r="M3595" s="35" t="str">
        <f>IFERROR(__xludf.DUMMYFUNCTION("""COMPUTED_VALUE"""),"JL PURNAMA 2 KOMP. PURNAMA ELOK")</f>
        <v>JL PURNAMA 2 KOMP. PURNAMA ELOK</v>
      </c>
      <c r="N3595" s="35" t="str">
        <f>IFERROR(__xludf.DUMMYFUNCTION("""COMPUTED_VALUE"""),"PARIT TOKAYA")</f>
        <v>PARIT TOKAYA</v>
      </c>
      <c r="O3595" s="35" t="str">
        <f>IFERROR(__xludf.DUMMYFUNCTION("""COMPUTED_VALUE"""),"PONTIANAK SELATAN")</f>
        <v>PONTIANAK SELATAN</v>
      </c>
      <c r="P3595" s="35" t="str">
        <f>IFERROR(__xludf.DUMMYFUNCTION("""COMPUTED_VALUE"""),"PONTIANAK")</f>
        <v>PONTIANAK</v>
      </c>
      <c r="Q3595" s="35" t="str">
        <f>IFERROR(__xludf.DUMMYFUNCTION("""COMPUTED_VALUE"""),"KALIMANTAN BARAT")</f>
        <v>KALIMANTAN BARAT</v>
      </c>
      <c r="R3595" s="35" t="str">
        <f>IFERROR(__xludf.DUMMYFUNCTION("""COMPUTED_VALUE"""),"PROTESTAN")</f>
        <v>PROTESTAN</v>
      </c>
      <c r="S3595" s="74" t="str">
        <f>IFERROR(__xludf.DUMMYFUNCTION("""COMPUTED_VALUE"""),"WIRASWASTA")</f>
        <v>WIRASWASTA</v>
      </c>
      <c r="T3595" s="35" t="str">
        <f>IFERROR(__xludf.DUMMYFUNCTION("""COMPUTED_VALUE"""),"PUNDAK")</f>
        <v>PUNDAK</v>
      </c>
      <c r="U3595" s="35" t="str">
        <f>IFERROR(__xludf.DUMMYFUNCTION("""COMPUTED_VALUE"""),"-")</f>
        <v>-</v>
      </c>
      <c r="V3595" s="35" t="str">
        <f>IFERROR(__xludf.DUMMYFUNCTION("""COMPUTED_VALUE"""),"081256717879")</f>
        <v>081256717879</v>
      </c>
      <c r="W3595" s="45"/>
    </row>
    <row r="3596">
      <c r="A3596" s="45"/>
      <c r="B3596" s="35" t="str">
        <f>IFERROR(__xludf.DUMMYFUNCTION("""COMPUTED_VALUE"""),"18/03/2026 20:17:08")</f>
        <v>18/03/2026 20:17:08</v>
      </c>
      <c r="C3596" s="35"/>
      <c r="D3596" s="10">
        <f>IFERROR(__xludf.DUMMYFUNCTION("""COMPUTED_VALUE"""),46099.0)</f>
        <v>46099</v>
      </c>
      <c r="E3596" s="35" t="str">
        <f>IFERROR(__xludf.DUMMYFUNCTION("""COMPUTED_VALUE"""),"03Mar")</f>
        <v>03Mar</v>
      </c>
      <c r="F3596" s="35"/>
      <c r="G3596" s="35" t="str">
        <f>IFERROR(__xludf.DUMMYFUNCTION("""COMPUTED_VALUE"""),"ABYAN ODHY DZAKWAN")</f>
        <v>ABYAN ODHY DZAKWAN</v>
      </c>
      <c r="H3596" s="35" t="str">
        <f>IFERROR(__xludf.DUMMYFUNCTION("""COMPUTED_VALUE"""),"A9826032419")</f>
        <v>A9826032419</v>
      </c>
      <c r="I3596" s="35">
        <f>IFERROR(__xludf.DUMMYFUNCTION("""COMPUTED_VALUE"""),27.0)</f>
        <v>27</v>
      </c>
      <c r="J3596" s="35" t="str">
        <f>IFERROR(__xludf.DUMMYFUNCTION("""COMPUTED_VALUE"""),"25-34 tahun")</f>
        <v>25-34 tahun</v>
      </c>
      <c r="K3596" s="35" t="str">
        <f>IFERROR(__xludf.DUMMYFUNCTION("""COMPUTED_VALUE"""),"28/07/1998")</f>
        <v>28/07/1998</v>
      </c>
      <c r="L3596" s="35" t="str">
        <f>IFERROR(__xludf.DUMMYFUNCTION("""COMPUTED_VALUE"""),"LAKI-LAKI")</f>
        <v>LAKI-LAKI</v>
      </c>
      <c r="M3596" s="35" t="str">
        <f>IFERROR(__xludf.DUMMYFUNCTION("""COMPUTED_VALUE"""),"PERUMAHAN TAMAN ANGGREK NO D 8")</f>
        <v>PERUMAHAN TAMAN ANGGREK NO D 8</v>
      </c>
      <c r="N3596" s="35" t="str">
        <f>IFERROR(__xludf.DUMMYFUNCTION("""COMPUTED_VALUE"""),"BANGKA BELITUNG DARAT")</f>
        <v>BANGKA BELITUNG DARAT</v>
      </c>
      <c r="O3596" s="35" t="str">
        <f>IFERROR(__xludf.DUMMYFUNCTION("""COMPUTED_VALUE"""),"PONTIANAK TENGGARA")</f>
        <v>PONTIANAK TENGGARA</v>
      </c>
      <c r="P3596" s="35" t="str">
        <f>IFERROR(__xludf.DUMMYFUNCTION("""COMPUTED_VALUE"""),"KOTA PONTIANAK")</f>
        <v>KOTA PONTIANAK</v>
      </c>
      <c r="Q3596" s="35" t="str">
        <f>IFERROR(__xludf.DUMMYFUNCTION("""COMPUTED_VALUE"""),"KALIMANTAN BARAT")</f>
        <v>KALIMANTAN BARAT</v>
      </c>
      <c r="R3596" s="35" t="str">
        <f>IFERROR(__xludf.DUMMYFUNCTION("""COMPUTED_VALUE"""),"ISLAM")</f>
        <v>ISLAM</v>
      </c>
      <c r="S3596" s="74" t="str">
        <f>IFERROR(__xludf.DUMMYFUNCTION("""COMPUTED_VALUE"""),"PNS")</f>
        <v>PNS</v>
      </c>
      <c r="T3596" s="35" t="str">
        <f>IFERROR(__xludf.DUMMYFUNCTION("""COMPUTED_VALUE"""),"TENDON KAKI KANAN DAN KIRI SETELAH MENCOBA JALAN 5K STEPS OUTDOOR")</f>
        <v>TENDON KAKI KANAN DAN KIRI SETELAH MENCOBA JALAN 5K STEPS OUTDOOR</v>
      </c>
      <c r="U3596" s="35" t="str">
        <f>IFERROR(__xludf.DUMMYFUNCTION("""COMPUTED_VALUE"""),"KERJA BANYAK DUDUK, MENCOBA JALAN")</f>
        <v>KERJA BANYAK DUDUK, MENCOBA JALAN</v>
      </c>
      <c r="V3596" s="35" t="str">
        <f>IFERROR(__xludf.DUMMYFUNCTION("""COMPUTED_VALUE"""),"085287422419")</f>
        <v>085287422419</v>
      </c>
      <c r="W3596" s="45"/>
    </row>
    <row r="3597">
      <c r="A3597" s="45"/>
      <c r="B3597" s="35" t="str">
        <f>IFERROR(__xludf.DUMMYFUNCTION("""COMPUTED_VALUE"""),"18/03/2026 20:29:14")</f>
        <v>18/03/2026 20:29:14</v>
      </c>
      <c r="C3597" s="35"/>
      <c r="D3597" s="10">
        <f>IFERROR(__xludf.DUMMYFUNCTION("""COMPUTED_VALUE"""),46099.0)</f>
        <v>46099</v>
      </c>
      <c r="E3597" s="35" t="str">
        <f>IFERROR(__xludf.DUMMYFUNCTION("""COMPUTED_VALUE"""),"03Mar")</f>
        <v>03Mar</v>
      </c>
      <c r="F3597" s="35"/>
      <c r="G3597" s="35" t="str">
        <f>IFERROR(__xludf.DUMMYFUNCTION("""COMPUTED_VALUE"""),"SHANDY")</f>
        <v>SHANDY</v>
      </c>
      <c r="H3597" s="35" t="str">
        <f>IFERROR(__xludf.DUMMYFUNCTION("""COMPUTED_VALUE"""),"S9026033902")</f>
        <v>S9026033902</v>
      </c>
      <c r="I3597" s="35">
        <f>IFERROR(__xludf.DUMMYFUNCTION("""COMPUTED_VALUE"""),35.0)</f>
        <v>35</v>
      </c>
      <c r="J3597" s="35" t="str">
        <f>IFERROR(__xludf.DUMMYFUNCTION("""COMPUTED_VALUE"""),"35-44 tahun")</f>
        <v>35-44 tahun</v>
      </c>
      <c r="K3597" s="35" t="str">
        <f>IFERROR(__xludf.DUMMYFUNCTION("""COMPUTED_VALUE"""),"20/06/1990")</f>
        <v>20/06/1990</v>
      </c>
      <c r="L3597" s="35" t="str">
        <f>IFERROR(__xludf.DUMMYFUNCTION("""COMPUTED_VALUE"""),"LAKI-LAKI")</f>
        <v>LAKI-LAKI</v>
      </c>
      <c r="M3597" s="35" t="str">
        <f>IFERROR(__xludf.DUMMYFUNCTION("""COMPUTED_VALUE"""),"JL KHW HASYIM GG.ABADI NO 21/26")</f>
        <v>JL KHW HASYIM GG.ABADI NO 21/26</v>
      </c>
      <c r="N3597" s="35" t="str">
        <f>IFERROR(__xludf.DUMMYFUNCTION("""COMPUTED_VALUE"""),"PONTIANAK")</f>
        <v>PONTIANAK</v>
      </c>
      <c r="O3597" s="35" t="str">
        <f>IFERROR(__xludf.DUMMYFUNCTION("""COMPUTED_VALUE"""),"PONTIANAK")</f>
        <v>PONTIANAK</v>
      </c>
      <c r="P3597" s="35" t="str">
        <f>IFERROR(__xludf.DUMMYFUNCTION("""COMPUTED_VALUE"""),"PONTIANAK")</f>
        <v>PONTIANAK</v>
      </c>
      <c r="Q3597" s="35" t="str">
        <f>IFERROR(__xludf.DUMMYFUNCTION("""COMPUTED_VALUE"""),"KALIMANTAN BARAT")</f>
        <v>KALIMANTAN BARAT</v>
      </c>
      <c r="R3597" s="35" t="str">
        <f>IFERROR(__xludf.DUMMYFUNCTION("""COMPUTED_VALUE"""),"KATOLIK")</f>
        <v>KATOLIK</v>
      </c>
      <c r="S3597" s="74" t="str">
        <f>IFERROR(__xludf.DUMMYFUNCTION("""COMPUTED_VALUE"""),"WIRASWASTA")</f>
        <v>WIRASWASTA</v>
      </c>
      <c r="T3597" s="35" t="str">
        <f>IFERROR(__xludf.DUMMYFUNCTION("""COMPUTED_VALUE"""),"LENGAN KIRI SERING KESEMUTAN SAMPAI JARI")</f>
        <v>LENGAN KIRI SERING KESEMUTAN SAMPAI JARI</v>
      </c>
      <c r="U3597" s="35" t="str">
        <f>IFERROR(__xludf.DUMMYFUNCTION("""COMPUTED_VALUE"""),"-")</f>
        <v>-</v>
      </c>
      <c r="V3597" s="35" t="str">
        <f>IFERROR(__xludf.DUMMYFUNCTION("""COMPUTED_VALUE"""),"081352513902")</f>
        <v>081352513902</v>
      </c>
      <c r="W3597" s="45"/>
    </row>
    <row r="3598">
      <c r="A3598" s="45"/>
      <c r="B3598" s="35" t="str">
        <f>IFERROR(__xludf.DUMMYFUNCTION("""COMPUTED_VALUE"""),"19/03/2026 9:06:39")</f>
        <v>19/03/2026 9:06:39</v>
      </c>
      <c r="C3598" s="35"/>
      <c r="D3598" s="10">
        <f>IFERROR(__xludf.DUMMYFUNCTION("""COMPUTED_VALUE"""),46100.0)</f>
        <v>46100</v>
      </c>
      <c r="E3598" s="35" t="str">
        <f>IFERROR(__xludf.DUMMYFUNCTION("""COMPUTED_VALUE"""),"03Mar")</f>
        <v>03Mar</v>
      </c>
      <c r="F3598" s="35"/>
      <c r="G3598" s="35" t="str">
        <f>IFERROR(__xludf.DUMMYFUNCTION("""COMPUTED_VALUE"""),"FENNA")</f>
        <v>FENNA</v>
      </c>
      <c r="H3598" s="35" t="str">
        <f>IFERROR(__xludf.DUMMYFUNCTION("""COMPUTED_VALUE"""),"F9526037672")</f>
        <v>F9526037672</v>
      </c>
      <c r="I3598" s="35">
        <f>IFERROR(__xludf.DUMMYFUNCTION("""COMPUTED_VALUE"""),30.0)</f>
        <v>30</v>
      </c>
      <c r="J3598" s="35" t="str">
        <f>IFERROR(__xludf.DUMMYFUNCTION("""COMPUTED_VALUE"""),"25-34 tahun")</f>
        <v>25-34 tahun</v>
      </c>
      <c r="K3598" s="35" t="str">
        <f>IFERROR(__xludf.DUMMYFUNCTION("""COMPUTED_VALUE"""),"25/09/1995")</f>
        <v>25/09/1995</v>
      </c>
      <c r="L3598" s="35" t="str">
        <f>IFERROR(__xludf.DUMMYFUNCTION("""COMPUTED_VALUE"""),"PEREMPUAN")</f>
        <v>PEREMPUAN</v>
      </c>
      <c r="M3598" s="35" t="str">
        <f>IFERROR(__xludf.DUMMYFUNCTION("""COMPUTED_VALUE"""),"JL PUTRI CANDRAMIDI, GG WAKDALEK NO 4D ")</f>
        <v>JL PUTRI CANDRAMIDI, GG WAKDALEK NO 4D </v>
      </c>
      <c r="N3598" s="35" t="str">
        <f>IFERROR(__xludf.DUMMYFUNCTION("""COMPUTED_VALUE"""),"SUNGAI BANGKONG")</f>
        <v>SUNGAI BANGKONG</v>
      </c>
      <c r="O3598" s="35" t="str">
        <f>IFERROR(__xludf.DUMMYFUNCTION("""COMPUTED_VALUE"""),"PONTIANAK KOTA")</f>
        <v>PONTIANAK KOTA</v>
      </c>
      <c r="P3598" s="35" t="str">
        <f>IFERROR(__xludf.DUMMYFUNCTION("""COMPUTED_VALUE"""),"PONTIANAK")</f>
        <v>PONTIANAK</v>
      </c>
      <c r="Q3598" s="35" t="str">
        <f>IFERROR(__xludf.DUMMYFUNCTION("""COMPUTED_VALUE"""),"KALIMANTAN BARAT ")</f>
        <v>KALIMANTAN BARAT </v>
      </c>
      <c r="R3598" s="35" t="str">
        <f>IFERROR(__xludf.DUMMYFUNCTION("""COMPUTED_VALUE"""),"LAINNYA")</f>
        <v>LAINNYA</v>
      </c>
      <c r="S3598" s="74" t="str">
        <f>IFERROR(__xludf.DUMMYFUNCTION("""COMPUTED_VALUE"""),"IRT")</f>
        <v>IRT</v>
      </c>
      <c r="T3598" s="35" t="str">
        <f>IFERROR(__xludf.DUMMYFUNCTION("""COMPUTED_VALUE"""),"LUTUT CIDERA")</f>
        <v>LUTUT CIDERA</v>
      </c>
      <c r="U3598" s="35" t="str">
        <f>IFERROR(__xludf.DUMMYFUNCTION("""COMPUTED_VALUE"""),"LARI")</f>
        <v>LARI</v>
      </c>
      <c r="V3598" s="35" t="str">
        <f>IFERROR(__xludf.DUMMYFUNCTION("""COMPUTED_VALUE"""),"087786947672")</f>
        <v>087786947672</v>
      </c>
      <c r="W3598" s="45"/>
    </row>
    <row r="3599">
      <c r="A3599" s="45"/>
      <c r="B3599" s="35" t="str">
        <f>IFERROR(__xludf.DUMMYFUNCTION("""COMPUTED_VALUE"""),"19/03/2026 10:54:19")</f>
        <v>19/03/2026 10:54:19</v>
      </c>
      <c r="C3599" s="35"/>
      <c r="D3599" s="10">
        <f>IFERROR(__xludf.DUMMYFUNCTION("""COMPUTED_VALUE"""),46100.0)</f>
        <v>46100</v>
      </c>
      <c r="E3599" s="35" t="str">
        <f>IFERROR(__xludf.DUMMYFUNCTION("""COMPUTED_VALUE"""),"03Mar")</f>
        <v>03Mar</v>
      </c>
      <c r="F3599" s="35"/>
      <c r="G3599" s="35" t="str">
        <f>IFERROR(__xludf.DUMMYFUNCTION("""COMPUTED_VALUE"""),"MONICA CHRISTY")</f>
        <v>MONICA CHRISTY</v>
      </c>
      <c r="H3599" s="35" t="str">
        <f>IFERROR(__xludf.DUMMYFUNCTION("""COMPUTED_VALUE"""),"M0126038535")</f>
        <v>M0126038535</v>
      </c>
      <c r="I3599" s="35">
        <f>IFERROR(__xludf.DUMMYFUNCTION("""COMPUTED_VALUE"""),24.0)</f>
        <v>24</v>
      </c>
      <c r="J3599" s="35" t="str">
        <f>IFERROR(__xludf.DUMMYFUNCTION("""COMPUTED_VALUE"""),"18-24 tahun")</f>
        <v>18-24 tahun</v>
      </c>
      <c r="K3599" s="35" t="str">
        <f>IFERROR(__xludf.DUMMYFUNCTION("""COMPUTED_VALUE"""),"16/12/2001")</f>
        <v>16/12/2001</v>
      </c>
      <c r="L3599" s="35" t="str">
        <f>IFERROR(__xludf.DUMMYFUNCTION("""COMPUTED_VALUE"""),"PEREMPUAN")</f>
        <v>PEREMPUAN</v>
      </c>
      <c r="M3599" s="35" t="str">
        <f>IFERROR(__xludf.DUMMYFUNCTION("""COMPUTED_VALUE"""),"JALAN KETAPANG GANG 4 NOMOR 5")</f>
        <v>JALAN KETAPANG GANG 4 NOMOR 5</v>
      </c>
      <c r="N3599" s="35" t="str">
        <f>IFERROR(__xludf.DUMMYFUNCTION("""COMPUTED_VALUE"""),"BENUA MELAYU DARAT")</f>
        <v>BENUA MELAYU DARAT</v>
      </c>
      <c r="O3599" s="35" t="str">
        <f>IFERROR(__xludf.DUMMYFUNCTION("""COMPUTED_VALUE"""),"PONTIANAK SELATAN")</f>
        <v>PONTIANAK SELATAN</v>
      </c>
      <c r="P3599" s="35" t="str">
        <f>IFERROR(__xludf.DUMMYFUNCTION("""COMPUTED_VALUE"""),"KOTA PONTIANAK")</f>
        <v>KOTA PONTIANAK</v>
      </c>
      <c r="Q3599" s="35" t="str">
        <f>IFERROR(__xludf.DUMMYFUNCTION("""COMPUTED_VALUE"""),"KALIMANTAN BARAT")</f>
        <v>KALIMANTAN BARAT</v>
      </c>
      <c r="R3599" s="35" t="str">
        <f>IFERROR(__xludf.DUMMYFUNCTION("""COMPUTED_VALUE"""),"KATOLIK")</f>
        <v>KATOLIK</v>
      </c>
      <c r="S3599" s="74" t="str">
        <f>IFERROR(__xludf.DUMMYFUNCTION("""COMPUTED_VALUE"""),"KARYAWAN SWASTA")</f>
        <v>KARYAWAN SWASTA</v>
      </c>
      <c r="T3599" s="35" t="str">
        <f>IFERROR(__xludf.DUMMYFUNCTION("""COMPUTED_VALUE"""),"SAKIT DAN NGILU DI PINGGANG KANAN")</f>
        <v>SAKIT DAN NGILU DI PINGGANG KANAN</v>
      </c>
      <c r="U3599" s="35" t="str">
        <f>IFERROR(__xludf.DUMMYFUNCTION("""COMPUTED_VALUE"""),"OLAHRAGA TREADMILL, PICKLE, DAN PADEL")</f>
        <v>OLAHRAGA TREADMILL, PICKLE, DAN PADEL</v>
      </c>
      <c r="V3599" s="35" t="str">
        <f>IFERROR(__xludf.DUMMYFUNCTION("""COMPUTED_VALUE"""),"089693798535")</f>
        <v>089693798535</v>
      </c>
      <c r="W3599" s="45"/>
    </row>
    <row r="3600">
      <c r="A3600" s="45"/>
      <c r="B3600" s="35" t="str">
        <f>IFERROR(__xludf.DUMMYFUNCTION("""COMPUTED_VALUE"""),"19/03/2026 11:50:06")</f>
        <v>19/03/2026 11:50:06</v>
      </c>
      <c r="C3600" s="35"/>
      <c r="D3600" s="10">
        <f>IFERROR(__xludf.DUMMYFUNCTION("""COMPUTED_VALUE"""),46100.0)</f>
        <v>46100</v>
      </c>
      <c r="E3600" s="35" t="str">
        <f>IFERROR(__xludf.DUMMYFUNCTION("""COMPUTED_VALUE"""),"03Mar")</f>
        <v>03Mar</v>
      </c>
      <c r="F3600" s="35"/>
      <c r="G3600" s="35" t="str">
        <f>IFERROR(__xludf.DUMMYFUNCTION("""COMPUTED_VALUE"""),"FATHIMATHUZ ZAHRAH ")</f>
        <v>FATHIMATHUZ ZAHRAH </v>
      </c>
      <c r="H3600" s="35" t="str">
        <f>IFERROR(__xludf.DUMMYFUNCTION("""COMPUTED_VALUE"""),"F9226031770")</f>
        <v>F9226031770</v>
      </c>
      <c r="I3600" s="35">
        <f>IFERROR(__xludf.DUMMYFUNCTION("""COMPUTED_VALUE"""),33.0)</f>
        <v>33</v>
      </c>
      <c r="J3600" s="35" t="str">
        <f>IFERROR(__xludf.DUMMYFUNCTION("""COMPUTED_VALUE"""),"25-34 tahun")</f>
        <v>25-34 tahun</v>
      </c>
      <c r="K3600" s="35" t="str">
        <f>IFERROR(__xludf.DUMMYFUNCTION("""COMPUTED_VALUE"""),"27/07/1992")</f>
        <v>27/07/1992</v>
      </c>
      <c r="L3600" s="35" t="str">
        <f>IFERROR(__xludf.DUMMYFUNCTION("""COMPUTED_VALUE"""),"PEREMPUAN")</f>
        <v>PEREMPUAN</v>
      </c>
      <c r="M3600" s="35" t="str">
        <f>IFERROR(__xludf.DUMMYFUNCTION("""COMPUTED_VALUE"""),"JALAN PUTRI CANDRAMIDI NOMOR 21C")</f>
        <v>JALAN PUTRI CANDRAMIDI NOMOR 21C</v>
      </c>
      <c r="N3600" s="35" t="str">
        <f>IFERROR(__xludf.DUMMYFUNCTION("""COMPUTED_VALUE"""),"SUI. BANGKONG")</f>
        <v>SUI. BANGKONG</v>
      </c>
      <c r="O3600" s="35" t="str">
        <f>IFERROR(__xludf.DUMMYFUNCTION("""COMPUTED_VALUE"""),"PONTIANAK KOTA ")</f>
        <v>PONTIANAK KOTA </v>
      </c>
      <c r="P3600" s="35" t="str">
        <f>IFERROR(__xludf.DUMMYFUNCTION("""COMPUTED_VALUE"""),"PONTIANAK ")</f>
        <v>PONTIANAK </v>
      </c>
      <c r="Q3600" s="35" t="str">
        <f>IFERROR(__xludf.DUMMYFUNCTION("""COMPUTED_VALUE"""),"KALIMANTAN BARAT")</f>
        <v>KALIMANTAN BARAT</v>
      </c>
      <c r="R3600" s="35" t="str">
        <f>IFERROR(__xludf.DUMMYFUNCTION("""COMPUTED_VALUE"""),"ISLAM")</f>
        <v>ISLAM</v>
      </c>
      <c r="S3600" s="74" t="str">
        <f>IFERROR(__xludf.DUMMYFUNCTION("""COMPUTED_VALUE"""),"PNS")</f>
        <v>PNS</v>
      </c>
      <c r="T3600" s="35" t="str">
        <f>IFERROR(__xludf.DUMMYFUNCTION("""COMPUTED_VALUE"""),"SAKIT PINGGANG")</f>
        <v>SAKIT PINGGANG</v>
      </c>
      <c r="U3600" s="35" t="str">
        <f>IFERROR(__xludf.DUMMYFUNCTION("""COMPUTED_VALUE"""),"AKTIVITAS NORMAL TAPI KADANG SUKA MENGANGKAT BEBAN BERAT ")</f>
        <v>AKTIVITAS NORMAL TAPI KADANG SUKA MENGANGKAT BEBAN BERAT </v>
      </c>
      <c r="V3600" s="35" t="str">
        <f>IFERROR(__xludf.DUMMYFUNCTION("""COMPUTED_VALUE"""),"0811571770")</f>
        <v>0811571770</v>
      </c>
      <c r="W3600" s="45"/>
    </row>
    <row r="3601">
      <c r="A3601" s="45"/>
      <c r="B3601" s="35" t="str">
        <f>IFERROR(__xludf.DUMMYFUNCTION("""COMPUTED_VALUE"""),"19/03/2026 17:42:36")</f>
        <v>19/03/2026 17:42:36</v>
      </c>
      <c r="C3601" s="35"/>
      <c r="D3601" s="10">
        <f>IFERROR(__xludf.DUMMYFUNCTION("""COMPUTED_VALUE"""),46100.0)</f>
        <v>46100</v>
      </c>
      <c r="E3601" s="35" t="str">
        <f>IFERROR(__xludf.DUMMYFUNCTION("""COMPUTED_VALUE"""),"03Mar")</f>
        <v>03Mar</v>
      </c>
      <c r="F3601" s="35"/>
      <c r="G3601" s="35" t="str">
        <f>IFERROR(__xludf.DUMMYFUNCTION("""COMPUTED_VALUE"""),"PAULA AMINAH")</f>
        <v>PAULA AMINAH</v>
      </c>
      <c r="H3601" s="35" t="str">
        <f>IFERROR(__xludf.DUMMYFUNCTION("""COMPUTED_VALUE"""),"P7926031864")</f>
        <v>P7926031864</v>
      </c>
      <c r="I3601" s="35">
        <f>IFERROR(__xludf.DUMMYFUNCTION("""COMPUTED_VALUE"""),46.0)</f>
        <v>46</v>
      </c>
      <c r="J3601" s="35" t="str">
        <f>IFERROR(__xludf.DUMMYFUNCTION("""COMPUTED_VALUE"""),"&gt; 44 tahun")</f>
        <v>&gt; 44 tahun</v>
      </c>
      <c r="K3601" s="35" t="str">
        <f>IFERROR(__xludf.DUMMYFUNCTION("""COMPUTED_VALUE"""),"28/08/1979")</f>
        <v>28/08/1979</v>
      </c>
      <c r="L3601" s="35" t="str">
        <f>IFERROR(__xludf.DUMMYFUNCTION("""COMPUTED_VALUE"""),"PEREMPUAN")</f>
        <v>PEREMPUAN</v>
      </c>
      <c r="M3601" s="35" t="str">
        <f>IFERROR(__xludf.DUMMYFUNCTION("""COMPUTED_VALUE"""),"JL. TUNAS HARAPAN KOMP SWADAYA ASRI 2")</f>
        <v>JL. TUNAS HARAPAN KOMP SWADAYA ASRI 2</v>
      </c>
      <c r="N3601" s="35" t="str">
        <f>IFERROR(__xludf.DUMMYFUNCTION("""COMPUTED_VALUE"""),"PAL SEMBILAN")</f>
        <v>PAL SEMBILAN</v>
      </c>
      <c r="O3601" s="35" t="str">
        <f>IFERROR(__xludf.DUMMYFUNCTION("""COMPUTED_VALUE"""),"SUNGAI KAKAP")</f>
        <v>SUNGAI KAKAP</v>
      </c>
      <c r="P3601" s="35" t="str">
        <f>IFERROR(__xludf.DUMMYFUNCTION("""COMPUTED_VALUE"""),"PONTIANAK")</f>
        <v>PONTIANAK</v>
      </c>
      <c r="Q3601" s="35" t="str">
        <f>IFERROR(__xludf.DUMMYFUNCTION("""COMPUTED_VALUE"""),"KALIMANTAN BARAT")</f>
        <v>KALIMANTAN BARAT</v>
      </c>
      <c r="R3601" s="35" t="str">
        <f>IFERROR(__xludf.DUMMYFUNCTION("""COMPUTED_VALUE"""),"KATOLIK")</f>
        <v>KATOLIK</v>
      </c>
      <c r="S3601" s="74" t="str">
        <f>IFERROR(__xludf.DUMMYFUNCTION("""COMPUTED_VALUE"""),"IBU RUMAT TANGGA")</f>
        <v>IBU RUMAT TANGGA</v>
      </c>
      <c r="T3601" s="35" t="str">
        <f>IFERROR(__xludf.DUMMYFUNCTION("""COMPUTED_VALUE"""),"PINGGANG KIRI KEBAWAH SAKIT NYERI, KAKI TERASA KEBAS")</f>
        <v>PINGGANG KIRI KEBAWAH SAKIT NYERI, KAKI TERASA KEBAS</v>
      </c>
      <c r="U3601" s="35" t="str">
        <f>IFERROR(__xludf.DUMMYFUNCTION("""COMPUTED_VALUE"""),"SENAM, PEKERJAAN RUMAH SEHARI HARI")</f>
        <v>SENAM, PEKERJAAN RUMAH SEHARI HARI</v>
      </c>
      <c r="V3601" s="35" t="str">
        <f>IFERROR(__xludf.DUMMYFUNCTION("""COMPUTED_VALUE"""),"08152111864")</f>
        <v>08152111864</v>
      </c>
      <c r="W3601" s="45"/>
    </row>
    <row r="3602">
      <c r="A3602" s="45"/>
      <c r="B3602" s="35" t="str">
        <f>IFERROR(__xludf.DUMMYFUNCTION("""COMPUTED_VALUE"""),"19/03/2026 19:29:53")</f>
        <v>19/03/2026 19:29:53</v>
      </c>
      <c r="C3602" s="35"/>
      <c r="D3602" s="10">
        <f>IFERROR(__xludf.DUMMYFUNCTION("""COMPUTED_VALUE"""),46100.0)</f>
        <v>46100</v>
      </c>
      <c r="E3602" s="35" t="str">
        <f>IFERROR(__xludf.DUMMYFUNCTION("""COMPUTED_VALUE"""),"03Mar")</f>
        <v>03Mar</v>
      </c>
      <c r="F3602" s="35"/>
      <c r="G3602" s="35" t="str">
        <f>IFERROR(__xludf.DUMMYFUNCTION("""COMPUTED_VALUE"""),"DZULFIKRI RIZQULLAH")</f>
        <v>DZULFIKRI RIZQULLAH</v>
      </c>
      <c r="H3602" s="35" t="str">
        <f>IFERROR(__xludf.DUMMYFUNCTION("""COMPUTED_VALUE"""),"D0226036775")</f>
        <v>D0226036775</v>
      </c>
      <c r="I3602" s="35">
        <f>IFERROR(__xludf.DUMMYFUNCTION("""COMPUTED_VALUE"""),23.0)</f>
        <v>23</v>
      </c>
      <c r="J3602" s="35" t="str">
        <f>IFERROR(__xludf.DUMMYFUNCTION("""COMPUTED_VALUE"""),"18-24 tahun")</f>
        <v>18-24 tahun</v>
      </c>
      <c r="K3602" s="35" t="str">
        <f>IFERROR(__xludf.DUMMYFUNCTION("""COMPUTED_VALUE"""),"02/10/2002")</f>
        <v>02/10/2002</v>
      </c>
      <c r="L3602" s="35" t="str">
        <f>IFERROR(__xludf.DUMMYFUNCTION("""COMPUTED_VALUE"""),"LAKI-LAKI")</f>
        <v>LAKI-LAKI</v>
      </c>
      <c r="M3602" s="35" t="str">
        <f>IFERROR(__xludf.DUMMYFUNCTION("""COMPUTED_VALUE"""),"JLN DANAU SENTARUM KOMPLEK ZAL KHALTULISTIWA D 12")</f>
        <v>JLN DANAU SENTARUM KOMPLEK ZAL KHALTULISTIWA D 12</v>
      </c>
      <c r="N3602" s="35" t="str">
        <f>IFERROR(__xludf.DUMMYFUNCTION("""COMPUTED_VALUE"""),"
SUNGAI BANGKONG")</f>
        <v>
SUNGAI BANGKONG</v>
      </c>
      <c r="O3602" s="35" t="str">
        <f>IFERROR(__xludf.DUMMYFUNCTION("""COMPUTED_VALUE"""),"PONTIANAK KOTA")</f>
        <v>PONTIANAK KOTA</v>
      </c>
      <c r="P3602" s="35" t="str">
        <f>IFERROR(__xludf.DUMMYFUNCTION("""COMPUTED_VALUE"""),"PONTIANAK")</f>
        <v>PONTIANAK</v>
      </c>
      <c r="Q3602" s="35" t="str">
        <f>IFERROR(__xludf.DUMMYFUNCTION("""COMPUTED_VALUE"""),"KALIMANTAN BARAT")</f>
        <v>KALIMANTAN BARAT</v>
      </c>
      <c r="R3602" s="35" t="str">
        <f>IFERROR(__xludf.DUMMYFUNCTION("""COMPUTED_VALUE"""),"ISLAM")</f>
        <v>ISLAM</v>
      </c>
      <c r="S3602" s="74" t="str">
        <f>IFERROR(__xludf.DUMMYFUNCTION("""COMPUTED_VALUE"""),"WIRAUSAHA")</f>
        <v>WIRAUSAHA</v>
      </c>
      <c r="T3602" s="35" t="str">
        <f>IFERROR(__xludf.DUMMYFUNCTION("""COMPUTED_VALUE"""),"CEDERA LUTUT")</f>
        <v>CEDERA LUTUT</v>
      </c>
      <c r="U3602" s="35" t="str">
        <f>IFERROR(__xludf.DUMMYFUNCTION("""COMPUTED_VALUE"""),"FUTSAL, MENDAKI")</f>
        <v>FUTSAL, MENDAKI</v>
      </c>
      <c r="V3602" s="35" t="str">
        <f>IFERROR(__xludf.DUMMYFUNCTION("""COMPUTED_VALUE"""),"085860026775")</f>
        <v>085860026775</v>
      </c>
      <c r="W3602" s="45"/>
    </row>
    <row r="3603">
      <c r="A3603" s="45"/>
      <c r="B3603" s="35" t="str">
        <f>IFERROR(__xludf.DUMMYFUNCTION("""COMPUTED_VALUE"""),"27/03/2026 11:56:07")</f>
        <v>27/03/2026 11:56:07</v>
      </c>
      <c r="C3603" s="35"/>
      <c r="D3603" s="10">
        <f>IFERROR(__xludf.DUMMYFUNCTION("""COMPUTED_VALUE"""),46109.0)</f>
        <v>46109</v>
      </c>
      <c r="E3603" s="35" t="str">
        <f>IFERROR(__xludf.DUMMYFUNCTION("""COMPUTED_VALUE"""),"03Mar")</f>
        <v>03Mar</v>
      </c>
      <c r="F3603" s="35"/>
      <c r="G3603" s="35" t="str">
        <f>IFERROR(__xludf.DUMMYFUNCTION("""COMPUTED_VALUE"""),"TYAN MIRANI")</f>
        <v>TYAN MIRANI</v>
      </c>
      <c r="H3603" s="35" t="str">
        <f>IFERROR(__xludf.DUMMYFUNCTION("""COMPUTED_VALUE"""),"T9226031551")</f>
        <v>T9226031551</v>
      </c>
      <c r="I3603" s="35">
        <f>IFERROR(__xludf.DUMMYFUNCTION("""COMPUTED_VALUE"""),33.0)</f>
        <v>33</v>
      </c>
      <c r="J3603" s="35" t="str">
        <f>IFERROR(__xludf.DUMMYFUNCTION("""COMPUTED_VALUE"""),"25-34 tahun")</f>
        <v>25-34 tahun</v>
      </c>
      <c r="K3603" s="35" t="str">
        <f>IFERROR(__xludf.DUMMYFUNCTION("""COMPUTED_VALUE"""),"06/07/1992")</f>
        <v>06/07/1992</v>
      </c>
      <c r="L3603" s="35" t="str">
        <f>IFERROR(__xludf.DUMMYFUNCTION("""COMPUTED_VALUE"""),"PEREMPUAN")</f>
        <v>PEREMPUAN</v>
      </c>
      <c r="M3603" s="35" t="str">
        <f>IFERROR(__xludf.DUMMYFUNCTION("""COMPUTED_VALUE"""),"JL PARIT HAJI HUSIEN 2 KOMPLEK IMIGRASI NO 18")</f>
        <v>JL PARIT HAJI HUSIEN 2 KOMPLEK IMIGRASI NO 18</v>
      </c>
      <c r="N3603" s="35" t="str">
        <f>IFERROR(__xludf.DUMMYFUNCTION("""COMPUTED_VALUE"""),"BANSIR DARAT")</f>
        <v>BANSIR DARAT</v>
      </c>
      <c r="O3603" s="35" t="str">
        <f>IFERROR(__xludf.DUMMYFUNCTION("""COMPUTED_VALUE"""),"PONTIANAK TENGGARA")</f>
        <v>PONTIANAK TENGGARA</v>
      </c>
      <c r="P3603" s="35" t="str">
        <f>IFERROR(__xludf.DUMMYFUNCTION("""COMPUTED_VALUE"""),"PONTIANAK")</f>
        <v>PONTIANAK</v>
      </c>
      <c r="Q3603" s="35" t="str">
        <f>IFERROR(__xludf.DUMMYFUNCTION("""COMPUTED_VALUE"""),"KALIMANTAN BARAT")</f>
        <v>KALIMANTAN BARAT</v>
      </c>
      <c r="R3603" s="35" t="str">
        <f>IFERROR(__xludf.DUMMYFUNCTION("""COMPUTED_VALUE"""),"ISLAM")</f>
        <v>ISLAM</v>
      </c>
      <c r="S3603" s="74" t="str">
        <f>IFERROR(__xludf.DUMMYFUNCTION("""COMPUTED_VALUE"""),"PPPK")</f>
        <v>PPPK</v>
      </c>
      <c r="T3603" s="35" t="str">
        <f>IFERROR(__xludf.DUMMYFUNCTION("""COMPUTED_VALUE"""),"NYERI KAKI DAN BENGKAK PADA BAG MATA KAKI DALAM . TIDAK BISA DIBAWA JALAN LAMA2 BERDIRI LAMA2 ")</f>
        <v>NYERI KAKI DAN BENGKAK PADA BAG MATA KAKI DALAM . TIDAK BISA DIBAWA JALAN LAMA2 BERDIRI LAMA2 </v>
      </c>
      <c r="U3603" s="35" t="str">
        <f>IFERROR(__xludf.DUMMYFUNCTION("""COMPUTED_VALUE"""),"RUANGAN KANTOR LANTAI 2 . AKTIVITAS HARIAN ANTAR JEMPUT ANAK LES DAN SKOLAH YANG MEMBUAT HARUS BOLAK BALIK NAIK TURUN TANGGA DAN BWA KENDARAAN")</f>
        <v>RUANGAN KANTOR LANTAI 2 . AKTIVITAS HARIAN ANTAR JEMPUT ANAK LES DAN SKOLAH YANG MEMBUAT HARUS BOLAK BALIK NAIK TURUN TANGGA DAN BWA KENDARAAN</v>
      </c>
      <c r="V3603" s="35" t="str">
        <f>IFERROR(__xludf.DUMMYFUNCTION("""COMPUTED_VALUE"""),"081258081551")</f>
        <v>081258081551</v>
      </c>
      <c r="W3603" s="45"/>
    </row>
    <row r="3604">
      <c r="A3604" s="45"/>
      <c r="B3604" s="35" t="str">
        <f>IFERROR(__xludf.DUMMYFUNCTION("""COMPUTED_VALUE"""),"27/03/2026 13:04:28")</f>
        <v>27/03/2026 13:04:28</v>
      </c>
      <c r="C3604" s="35"/>
      <c r="D3604" s="10">
        <f>IFERROR(__xludf.DUMMYFUNCTION("""COMPUTED_VALUE"""),46109.0)</f>
        <v>46109</v>
      </c>
      <c r="E3604" s="35" t="str">
        <f>IFERROR(__xludf.DUMMYFUNCTION("""COMPUTED_VALUE"""),"03Mar")</f>
        <v>03Mar</v>
      </c>
      <c r="F3604" s="35"/>
      <c r="G3604" s="35" t="str">
        <f>IFERROR(__xludf.DUMMYFUNCTION("""COMPUTED_VALUE"""),"JONATHAN NG")</f>
        <v>JONATHAN NG</v>
      </c>
      <c r="H3604" s="35" t="str">
        <f>IFERROR(__xludf.DUMMYFUNCTION("""COMPUTED_VALUE"""),"J0026035553")</f>
        <v>J0026035553</v>
      </c>
      <c r="I3604" s="35">
        <f>IFERROR(__xludf.DUMMYFUNCTION("""COMPUTED_VALUE"""),26.0)</f>
        <v>26</v>
      </c>
      <c r="J3604" s="35" t="str">
        <f>IFERROR(__xludf.DUMMYFUNCTION("""COMPUTED_VALUE"""),"25-34 tahun")</f>
        <v>25-34 tahun</v>
      </c>
      <c r="K3604" s="35" t="str">
        <f>IFERROR(__xludf.DUMMYFUNCTION("""COMPUTED_VALUE"""),"11/05/2000")</f>
        <v>11/05/2000</v>
      </c>
      <c r="L3604" s="35" t="str">
        <f>IFERROR(__xludf.DUMMYFUNCTION("""COMPUTED_VALUE"""),"LAKI-LAKI")</f>
        <v>LAKI-LAKI</v>
      </c>
      <c r="M3604" s="35" t="str">
        <f>IFERROR(__xludf.DUMMYFUNCTION("""COMPUTED_VALUE"""),"JL. HOS COKROAMINOTO")</f>
        <v>JL. HOS COKROAMINOTO</v>
      </c>
      <c r="N3604" s="35" t="str">
        <f>IFERROR(__xludf.DUMMYFUNCTION("""COMPUTED_VALUE"""),"TENGAH")</f>
        <v>TENGAH</v>
      </c>
      <c r="O3604" s="35" t="str">
        <f>IFERROR(__xludf.DUMMYFUNCTION("""COMPUTED_VALUE"""),"PONTIANAK KOTA")</f>
        <v>PONTIANAK KOTA</v>
      </c>
      <c r="P3604" s="35" t="str">
        <f>IFERROR(__xludf.DUMMYFUNCTION("""COMPUTED_VALUE"""),"PONTIANAK")</f>
        <v>PONTIANAK</v>
      </c>
      <c r="Q3604" s="35" t="str">
        <f>IFERROR(__xludf.DUMMYFUNCTION("""COMPUTED_VALUE"""),"KALIMANTAN BARAT")</f>
        <v>KALIMANTAN BARAT</v>
      </c>
      <c r="R3604" s="35" t="str">
        <f>IFERROR(__xludf.DUMMYFUNCTION("""COMPUTED_VALUE"""),"LAINNYA")</f>
        <v>LAINNYA</v>
      </c>
      <c r="S3604" s="74" t="str">
        <f>IFERROR(__xludf.DUMMYFUNCTION("""COMPUTED_VALUE"""),"WIRASWASTA")</f>
        <v>WIRASWASTA</v>
      </c>
      <c r="T3604" s="35" t="str">
        <f>IFERROR(__xludf.DUMMYFUNCTION("""COMPUTED_VALUE"""),"PUNGGUNG &amp; PERGELANGAN KAKI")</f>
        <v>PUNGGUNG &amp; PERGELANGAN KAKI</v>
      </c>
      <c r="U3604" s="35" t="str">
        <f>IFERROR(__xludf.DUMMYFUNCTION("""COMPUTED_VALUE"""),"BULUTANGKIS &amp; DUDUK UNTUK LAPTOP")</f>
        <v>BULUTANGKIS &amp; DUDUK UNTUK LAPTOP</v>
      </c>
      <c r="V3604" s="35" t="str">
        <f>IFERROR(__xludf.DUMMYFUNCTION("""COMPUTED_VALUE"""),"082158355553")</f>
        <v>082158355553</v>
      </c>
      <c r="W3604" s="45"/>
    </row>
    <row r="3605">
      <c r="A3605" s="45"/>
      <c r="B3605" s="35" t="str">
        <f>IFERROR(__xludf.DUMMYFUNCTION("""COMPUTED_VALUE"""),"26/03/2026 10:35:27")</f>
        <v>26/03/2026 10:35:27</v>
      </c>
      <c r="C3605" s="35"/>
      <c r="D3605" s="10">
        <f>IFERROR(__xludf.DUMMYFUNCTION("""COMPUTED_VALUE"""),46109.0)</f>
        <v>46109</v>
      </c>
      <c r="E3605" s="35" t="str">
        <f>IFERROR(__xludf.DUMMYFUNCTION("""COMPUTED_VALUE"""),"03Mar")</f>
        <v>03Mar</v>
      </c>
      <c r="F3605" s="35"/>
      <c r="G3605" s="35" t="str">
        <f>IFERROR(__xludf.DUMMYFUNCTION("""COMPUTED_VALUE"""),"INTAN PRATIWI KHAIRUNNISA")</f>
        <v>INTAN PRATIWI KHAIRUNNISA</v>
      </c>
      <c r="H3605" s="35" t="str">
        <f>IFERROR(__xludf.DUMMYFUNCTION("""COMPUTED_VALUE"""),"I9926038333")</f>
        <v>I9926038333</v>
      </c>
      <c r="I3605" s="35">
        <f>IFERROR(__xludf.DUMMYFUNCTION("""COMPUTED_VALUE"""),26.0)</f>
        <v>26</v>
      </c>
      <c r="J3605" s="35" t="str">
        <f>IFERROR(__xludf.DUMMYFUNCTION("""COMPUTED_VALUE"""),"25-34 tahun")</f>
        <v>25-34 tahun</v>
      </c>
      <c r="K3605" s="35" t="str">
        <f>IFERROR(__xludf.DUMMYFUNCTION("""COMPUTED_VALUE"""),"25/09/1999")</f>
        <v>25/09/1999</v>
      </c>
      <c r="L3605" s="35" t="str">
        <f>IFERROR(__xludf.DUMMYFUNCTION("""COMPUTED_VALUE"""),"PEREMPUAN")</f>
        <v>PEREMPUAN</v>
      </c>
      <c r="M3605" s="35" t="str">
        <f>IFERROR(__xludf.DUMMYFUNCTION("""COMPUTED_VALUE"""),"JL. WONOYOSO 1 GG SINTANG NO 02")</f>
        <v>JL. WONOYOSO 1 GG SINTANG NO 02</v>
      </c>
      <c r="N3605" s="35" t="str">
        <f>IFERROR(__xludf.DUMMYFUNCTION("""COMPUTED_VALUE"""),"AKCAYA")</f>
        <v>AKCAYA</v>
      </c>
      <c r="O3605" s="35" t="str">
        <f>IFERROR(__xludf.DUMMYFUNCTION("""COMPUTED_VALUE"""),"PONTIANAK SELATAN")</f>
        <v>PONTIANAK SELATAN</v>
      </c>
      <c r="P3605" s="35" t="str">
        <f>IFERROR(__xludf.DUMMYFUNCTION("""COMPUTED_VALUE"""),"PONTIANAK")</f>
        <v>PONTIANAK</v>
      </c>
      <c r="Q3605" s="35" t="str">
        <f>IFERROR(__xludf.DUMMYFUNCTION("""COMPUTED_VALUE"""),"KALBAR")</f>
        <v>KALBAR</v>
      </c>
      <c r="R3605" s="35" t="str">
        <f>IFERROR(__xludf.DUMMYFUNCTION("""COMPUTED_VALUE"""),"ISLAM")</f>
        <v>ISLAM</v>
      </c>
      <c r="S3605" s="74" t="str">
        <f>IFERROR(__xludf.DUMMYFUNCTION("""COMPUTED_VALUE"""),"GURU")</f>
        <v>GURU</v>
      </c>
      <c r="T3605" s="35" t="str">
        <f>IFERROR(__xludf.DUMMYFUNCTION("""COMPUTED_VALUE"""),"NYERI PINGGANG")</f>
        <v>NYERI PINGGANG</v>
      </c>
      <c r="U3605" s="35" t="str">
        <f>IFERROR(__xludf.DUMMYFUNCTION("""COMPUTED_VALUE"""),"DUDUK YANG TERLALU LAMA, HABIS ANGKAT GALON TIBA-TIBA SAKIT")</f>
        <v>DUDUK YANG TERLALU LAMA, HABIS ANGKAT GALON TIBA-TIBA SAKIT</v>
      </c>
      <c r="V3605" s="35" t="str">
        <f>IFERROR(__xludf.DUMMYFUNCTION("""COMPUTED_VALUE"""),"089661558333")</f>
        <v>089661558333</v>
      </c>
      <c r="W3605" s="45"/>
    </row>
    <row r="3606">
      <c r="A3606" s="45"/>
      <c r="B3606" s="35" t="str">
        <f>IFERROR(__xludf.DUMMYFUNCTION("""COMPUTED_VALUE"""),"27/03/2026 12:05:11")</f>
        <v>27/03/2026 12:05:11</v>
      </c>
      <c r="C3606" s="35"/>
      <c r="D3606" s="10">
        <f>IFERROR(__xludf.DUMMYFUNCTION("""COMPUTED_VALUE"""),46109.0)</f>
        <v>46109</v>
      </c>
      <c r="E3606" s="35" t="str">
        <f>IFERROR(__xludf.DUMMYFUNCTION("""COMPUTED_VALUE"""),"03Mar")</f>
        <v>03Mar</v>
      </c>
      <c r="F3606" s="35"/>
      <c r="G3606" s="35" t="str">
        <f>IFERROR(__xludf.DUMMYFUNCTION("""COMPUTED_VALUE"""),"AYU KOMALASARI ")</f>
        <v>AYU KOMALASARI </v>
      </c>
      <c r="H3606" s="35" t="str">
        <f>IFERROR(__xludf.DUMMYFUNCTION("""COMPUTED_VALUE"""),"A9926034269")</f>
        <v>A9926034269</v>
      </c>
      <c r="I3606" s="35">
        <f>IFERROR(__xludf.DUMMYFUNCTION("""COMPUTED_VALUE"""),26.0)</f>
        <v>26</v>
      </c>
      <c r="J3606" s="35" t="str">
        <f>IFERROR(__xludf.DUMMYFUNCTION("""COMPUTED_VALUE"""),"25-34 tahun")</f>
        <v>25-34 tahun</v>
      </c>
      <c r="K3606" s="35" t="str">
        <f>IFERROR(__xludf.DUMMYFUNCTION("""COMPUTED_VALUE"""),"24/06/1999")</f>
        <v>24/06/1999</v>
      </c>
      <c r="L3606" s="35" t="str">
        <f>IFERROR(__xludf.DUMMYFUNCTION("""COMPUTED_VALUE"""),"PEREMPUAN")</f>
        <v>PEREMPUAN</v>
      </c>
      <c r="M3606" s="35" t="str">
        <f>IFERROR(__xludf.DUMMYFUNCTION("""COMPUTED_VALUE"""),"DUSUN CENDRAWASIH ")</f>
        <v>DUSUN CENDRAWASIH </v>
      </c>
      <c r="N3606" s="35" t="str">
        <f>IFERROR(__xludf.DUMMYFUNCTION("""COMPUTED_VALUE"""),"PARIT KELADI ")</f>
        <v>PARIT KELADI </v>
      </c>
      <c r="O3606" s="35" t="str">
        <f>IFERROR(__xludf.DUMMYFUNCTION("""COMPUTED_VALUE"""),"SUNGAI KAKAP ")</f>
        <v>SUNGAI KAKAP </v>
      </c>
      <c r="P3606" s="35" t="str">
        <f>IFERROR(__xludf.DUMMYFUNCTION("""COMPUTED_VALUE"""),"KUBU RAYA")</f>
        <v>KUBU RAYA</v>
      </c>
      <c r="Q3606" s="35" t="str">
        <f>IFERROR(__xludf.DUMMYFUNCTION("""COMPUTED_VALUE"""),"KALIMANTAN BARAT")</f>
        <v>KALIMANTAN BARAT</v>
      </c>
      <c r="R3606" s="35" t="str">
        <f>IFERROR(__xludf.DUMMYFUNCTION("""COMPUTED_VALUE"""),"ISLAM")</f>
        <v>ISLAM</v>
      </c>
      <c r="S3606" s="74" t="str">
        <f>IFERROR(__xludf.DUMMYFUNCTION("""COMPUTED_VALUE"""),"GURU")</f>
        <v>GURU</v>
      </c>
      <c r="T3606" s="35" t="str">
        <f>IFERROR(__xludf.DUMMYFUNCTION("""COMPUTED_VALUE"""),"SAKIT DAN PEGAL DI BAGIAN TULANG BELIKAT SAMPAI TEMBUS KE DADA DAN TERASA SESAK ")</f>
        <v>SAKIT DAN PEGAL DI BAGIAN TULANG BELIKAT SAMPAI TEMBUS KE DADA DAN TERASA SESAK </v>
      </c>
      <c r="U3606" s="35" t="str">
        <f>IFERROR(__xludf.DUMMYFUNCTION("""COMPUTED_VALUE"""),"AKTIVITAS RUMAH (MENCUCI, MASAK, DLL)")</f>
        <v>AKTIVITAS RUMAH (MENCUCI, MASAK, DLL)</v>
      </c>
      <c r="V3606" s="35" t="str">
        <f>IFERROR(__xludf.DUMMYFUNCTION("""COMPUTED_VALUE"""),"082253074269")</f>
        <v>082253074269</v>
      </c>
      <c r="W3606" s="45"/>
    </row>
    <row r="3607">
      <c r="A3607" s="45"/>
      <c r="B3607" s="35" t="str">
        <f>IFERROR(__xludf.DUMMYFUNCTION("""COMPUTED_VALUE"""),"26/03/2026 10:43:07")</f>
        <v>26/03/2026 10:43:07</v>
      </c>
      <c r="C3607" s="35"/>
      <c r="D3607" s="10">
        <f>IFERROR(__xludf.DUMMYFUNCTION("""COMPUTED_VALUE"""),46109.0)</f>
        <v>46109</v>
      </c>
      <c r="E3607" s="35" t="str">
        <f>IFERROR(__xludf.DUMMYFUNCTION("""COMPUTED_VALUE"""),"03Mar")</f>
        <v>03Mar</v>
      </c>
      <c r="F3607" s="35"/>
      <c r="G3607" s="35" t="str">
        <f>IFERROR(__xludf.DUMMYFUNCTION("""COMPUTED_VALUE"""),"EVANDIKA DANADYAKSA")</f>
        <v>EVANDIKA DANADYAKSA</v>
      </c>
      <c r="H3607" s="35" t="str">
        <f>IFERROR(__xludf.DUMMYFUNCTION("""COMPUTED_VALUE"""),"E0926032211")</f>
        <v>E0926032211</v>
      </c>
      <c r="I3607" s="35">
        <f>IFERROR(__xludf.DUMMYFUNCTION("""COMPUTED_VALUE"""),17.0)</f>
        <v>17</v>
      </c>
      <c r="J3607" s="35" t="str">
        <f>IFERROR(__xludf.DUMMYFUNCTION("""COMPUTED_VALUE"""),"&lt; 18 tahun")</f>
        <v>&lt; 18 tahun</v>
      </c>
      <c r="K3607" s="35" t="str">
        <f>IFERROR(__xludf.DUMMYFUNCTION("""COMPUTED_VALUE"""),"22/03/2009")</f>
        <v>22/03/2009</v>
      </c>
      <c r="L3607" s="35" t="str">
        <f>IFERROR(__xludf.DUMMYFUNCTION("""COMPUTED_VALUE"""),"LAKI-LAKI")</f>
        <v>LAKI-LAKI</v>
      </c>
      <c r="M3607" s="35" t="str">
        <f>IFERROR(__xludf.DUMMYFUNCTION("""COMPUTED_VALUE"""),"JL. RAYA TENGAH NO 1")</f>
        <v>JL. RAYA TENGAH NO 1</v>
      </c>
      <c r="N3607" s="35" t="str">
        <f>IFERROR(__xludf.DUMMYFUNCTION("""COMPUTED_VALUE"""),"GEDONG")</f>
        <v>GEDONG</v>
      </c>
      <c r="O3607" s="35" t="str">
        <f>IFERROR(__xludf.DUMMYFUNCTION("""COMPUTED_VALUE"""),"PASAR REBO")</f>
        <v>PASAR REBO</v>
      </c>
      <c r="P3607" s="35" t="str">
        <f>IFERROR(__xludf.DUMMYFUNCTION("""COMPUTED_VALUE"""),"JAKARTA TIMUR")</f>
        <v>JAKARTA TIMUR</v>
      </c>
      <c r="Q3607" s="35" t="str">
        <f>IFERROR(__xludf.DUMMYFUNCTION("""COMPUTED_VALUE"""),"JAKARTA")</f>
        <v>JAKARTA</v>
      </c>
      <c r="R3607" s="35" t="str">
        <f>IFERROR(__xludf.DUMMYFUNCTION("""COMPUTED_VALUE"""),"ISLAM")</f>
        <v>ISLAM</v>
      </c>
      <c r="S3607" s="74" t="str">
        <f>IFERROR(__xludf.DUMMYFUNCTION("""COMPUTED_VALUE"""),"-")</f>
        <v>-</v>
      </c>
      <c r="T3607" s="35" t="str">
        <f>IFERROR(__xludf.DUMMYFUNCTION("""COMPUTED_VALUE"""),"LOWER BACK PAIN")</f>
        <v>LOWER BACK PAIN</v>
      </c>
      <c r="U3607" s="35" t="str">
        <f>IFERROR(__xludf.DUMMYFUNCTION("""COMPUTED_VALUE"""),"SEPAKBOLA ")</f>
        <v>SEPAKBOLA </v>
      </c>
      <c r="V3607" s="35" t="str">
        <f>IFERROR(__xludf.DUMMYFUNCTION("""COMPUTED_VALUE"""),"082252342211")</f>
        <v>082252342211</v>
      </c>
      <c r="W3607" s="45"/>
    </row>
    <row r="3608">
      <c r="A3608" s="45"/>
      <c r="B3608" s="35" t="str">
        <f>IFERROR(__xludf.DUMMYFUNCTION("""COMPUTED_VALUE"""),"28/03/2026 9:43:25")</f>
        <v>28/03/2026 9:43:25</v>
      </c>
      <c r="C3608" s="35"/>
      <c r="D3608" s="10">
        <f>IFERROR(__xludf.DUMMYFUNCTION("""COMPUTED_VALUE"""),46109.0)</f>
        <v>46109</v>
      </c>
      <c r="E3608" s="35" t="str">
        <f>IFERROR(__xludf.DUMMYFUNCTION("""COMPUTED_VALUE"""),"03Mar")</f>
        <v>03Mar</v>
      </c>
      <c r="F3608" s="35"/>
      <c r="G3608" s="35" t="str">
        <f>IFERROR(__xludf.DUMMYFUNCTION("""COMPUTED_VALUE"""),"HALIM")</f>
        <v>HALIM</v>
      </c>
      <c r="H3608" s="35" t="str">
        <f>IFERROR(__xludf.DUMMYFUNCTION("""COMPUTED_VALUE"""),"H4926030505")</f>
        <v>H4926030505</v>
      </c>
      <c r="I3608" s="35">
        <f>IFERROR(__xludf.DUMMYFUNCTION("""COMPUTED_VALUE"""),77.0)</f>
        <v>77</v>
      </c>
      <c r="J3608" s="35" t="str">
        <f>IFERROR(__xludf.DUMMYFUNCTION("""COMPUTED_VALUE"""),"&gt; 44 tahun")</f>
        <v>&gt; 44 tahun</v>
      </c>
      <c r="K3608" s="35" t="str">
        <f>IFERROR(__xludf.DUMMYFUNCTION("""COMPUTED_VALUE"""),"08/02/1949")</f>
        <v>08/02/1949</v>
      </c>
      <c r="L3608" s="35" t="str">
        <f>IFERROR(__xludf.DUMMYFUNCTION("""COMPUTED_VALUE"""),"LAKI-LAKI")</f>
        <v>LAKI-LAKI</v>
      </c>
      <c r="M3608" s="35" t="str">
        <f>IFERROR(__xludf.DUMMYFUNCTION("""COMPUTED_VALUE"""),"JL PURI ANJASMORO  BLOK L2 NO 38")</f>
        <v>JL PURI ANJASMORO  BLOK L2 NO 38</v>
      </c>
      <c r="N3608" s="35" t="str">
        <f>IFERROR(__xludf.DUMMYFUNCTION("""COMPUTED_VALUE"""),"TAWANG SARI")</f>
        <v>TAWANG SARI</v>
      </c>
      <c r="O3608" s="35" t="str">
        <f>IFERROR(__xludf.DUMMYFUNCTION("""COMPUTED_VALUE"""),"SEMARANG BARAT")</f>
        <v>SEMARANG BARAT</v>
      </c>
      <c r="P3608" s="35" t="str">
        <f>IFERROR(__xludf.DUMMYFUNCTION("""COMPUTED_VALUE"""),"SEMARANG")</f>
        <v>SEMARANG</v>
      </c>
      <c r="Q3608" s="35" t="str">
        <f>IFERROR(__xludf.DUMMYFUNCTION("""COMPUTED_VALUE"""),"JAWA TENGAH")</f>
        <v>JAWA TENGAH</v>
      </c>
      <c r="R3608" s="35" t="str">
        <f>IFERROR(__xludf.DUMMYFUNCTION("""COMPUTED_VALUE"""),"PROTESTAN")</f>
        <v>PROTESTAN</v>
      </c>
      <c r="S3608" s="74" t="str">
        <f>IFERROR(__xludf.DUMMYFUNCTION("""COMPUTED_VALUE"""),"KARYAWAN SWASTA")</f>
        <v>KARYAWAN SWASTA</v>
      </c>
      <c r="T3608" s="35" t="str">
        <f>IFERROR(__xludf.DUMMYFUNCTION("""COMPUTED_VALUE"""),"TANGAN KANAN KESELEO ")</f>
        <v>TANGAN KANAN KESELEO </v>
      </c>
      <c r="U3608" s="35" t="str">
        <f>IFERROR(__xludf.DUMMYFUNCTION("""COMPUTED_VALUE"""),"PERBAIKI BARANG")</f>
        <v>PERBAIKI BARANG</v>
      </c>
      <c r="V3608" s="35" t="str">
        <f>IFERROR(__xludf.DUMMYFUNCTION("""COMPUTED_VALUE"""),"085252570505")</f>
        <v>085252570505</v>
      </c>
      <c r="W3608" s="45"/>
    </row>
    <row r="3609">
      <c r="A3609" s="45"/>
      <c r="B3609" s="35" t="str">
        <f>IFERROR(__xludf.DUMMYFUNCTION("""COMPUTED_VALUE"""),"27/03/2026 21:29:34")</f>
        <v>27/03/2026 21:29:34</v>
      </c>
      <c r="C3609" s="35"/>
      <c r="D3609" s="10">
        <f>IFERROR(__xludf.DUMMYFUNCTION("""COMPUTED_VALUE"""),46109.0)</f>
        <v>46109</v>
      </c>
      <c r="E3609" s="35" t="str">
        <f>IFERROR(__xludf.DUMMYFUNCTION("""COMPUTED_VALUE"""),"03Mar")</f>
        <v>03Mar</v>
      </c>
      <c r="F3609" s="35"/>
      <c r="G3609" s="35" t="str">
        <f>IFERROR(__xludf.DUMMYFUNCTION("""COMPUTED_VALUE"""),"NUFI ALABSHAR")</f>
        <v>NUFI ALABSHAR</v>
      </c>
      <c r="H3609" s="35" t="str">
        <f>IFERROR(__xludf.DUMMYFUNCTION("""COMPUTED_VALUE"""),"N8426038484")</f>
        <v>N8426038484</v>
      </c>
      <c r="I3609" s="35">
        <f>IFERROR(__xludf.DUMMYFUNCTION("""COMPUTED_VALUE"""),42.0)</f>
        <v>42</v>
      </c>
      <c r="J3609" s="35" t="str">
        <f>IFERROR(__xludf.DUMMYFUNCTION("""COMPUTED_VALUE"""),"35-44 tahun")</f>
        <v>35-44 tahun</v>
      </c>
      <c r="K3609" s="35" t="str">
        <f>IFERROR(__xludf.DUMMYFUNCTION("""COMPUTED_VALUE"""),"20/05/1984")</f>
        <v>20/05/1984</v>
      </c>
      <c r="L3609" s="35" t="str">
        <f>IFERROR(__xludf.DUMMYFUNCTION("""COMPUTED_VALUE"""),"LAKI-LAKI")</f>
        <v>LAKI-LAKI</v>
      </c>
      <c r="M3609" s="35" t="str">
        <f>IFERROR(__xludf.DUMMYFUNCTION("""COMPUTED_VALUE"""),"JL DR WAHIDIN GG SEPAKAT 6 NO 22")</f>
        <v>JL DR WAHIDIN GG SEPAKAT 6 NO 22</v>
      </c>
      <c r="N3609" s="35" t="str">
        <f>IFERROR(__xludf.DUMMYFUNCTION("""COMPUTED_VALUE"""),"SUNGAI JAWI")</f>
        <v>SUNGAI JAWI</v>
      </c>
      <c r="O3609" s="35" t="str">
        <f>IFERROR(__xludf.DUMMYFUNCTION("""COMPUTED_VALUE"""),"PONTIANAK KOTA")</f>
        <v>PONTIANAK KOTA</v>
      </c>
      <c r="P3609" s="35" t="str">
        <f>IFERROR(__xludf.DUMMYFUNCTION("""COMPUTED_VALUE"""),"KOTA PONTIANAK")</f>
        <v>KOTA PONTIANAK</v>
      </c>
      <c r="Q3609" s="35" t="str">
        <f>IFERROR(__xludf.DUMMYFUNCTION("""COMPUTED_VALUE"""),"KALBAR")</f>
        <v>KALBAR</v>
      </c>
      <c r="R3609" s="35" t="str">
        <f>IFERROR(__xludf.DUMMYFUNCTION("""COMPUTED_VALUE"""),"ISLAM")</f>
        <v>ISLAM</v>
      </c>
      <c r="S3609" s="74" t="str">
        <f>IFERROR(__xludf.DUMMYFUNCTION("""COMPUTED_VALUE"""),"PNS")</f>
        <v>PNS</v>
      </c>
      <c r="T3609" s="35" t="str">
        <f>IFERROR(__xludf.DUMMYFUNCTION("""COMPUTED_VALUE"""),"FORE ARM ATAS, TANGAN KANAN. SAKIT SAAT LATERAL RISE")</f>
        <v>FORE ARM ATAS, TANGAN KANAN. SAKIT SAAT LATERAL RISE</v>
      </c>
      <c r="U3609" s="35" t="str">
        <f>IFERROR(__xludf.DUMMYFUNCTION("""COMPUTED_VALUE"""),"GYM DAN BADMINTON")</f>
        <v>GYM DAN BADMINTON</v>
      </c>
      <c r="V3609" s="35" t="str">
        <f>IFERROR(__xludf.DUMMYFUNCTION("""COMPUTED_VALUE"""),"085212348484")</f>
        <v>085212348484</v>
      </c>
      <c r="W3609" s="45"/>
    </row>
    <row r="3610">
      <c r="A3610" s="45"/>
      <c r="B3610" s="35" t="str">
        <f>IFERROR(__xludf.DUMMYFUNCTION("""COMPUTED_VALUE"""),"28/03/2026 11:01:51")</f>
        <v>28/03/2026 11:01:51</v>
      </c>
      <c r="C3610" s="35"/>
      <c r="D3610" s="10">
        <f>IFERROR(__xludf.DUMMYFUNCTION("""COMPUTED_VALUE"""),46109.0)</f>
        <v>46109</v>
      </c>
      <c r="E3610" s="35" t="str">
        <f>IFERROR(__xludf.DUMMYFUNCTION("""COMPUTED_VALUE"""),"03Mar")</f>
        <v>03Mar</v>
      </c>
      <c r="F3610" s="35"/>
      <c r="G3610" s="35" t="str">
        <f>IFERROR(__xludf.DUMMYFUNCTION("""COMPUTED_VALUE"""),"RADIHT FIRJAH TULLOH")</f>
        <v>RADIHT FIRJAH TULLOH</v>
      </c>
      <c r="H3610" s="35" t="str">
        <f>IFERROR(__xludf.DUMMYFUNCTION("""COMPUTED_VALUE"""),"R1026030074")</f>
        <v>R1026030074</v>
      </c>
      <c r="I3610" s="35">
        <f>IFERROR(__xludf.DUMMYFUNCTION("""COMPUTED_VALUE"""),15.0)</f>
        <v>15</v>
      </c>
      <c r="J3610" s="35" t="str">
        <f>IFERROR(__xludf.DUMMYFUNCTION("""COMPUTED_VALUE"""),"&lt; 18 tahun")</f>
        <v>&lt; 18 tahun</v>
      </c>
      <c r="K3610" s="35" t="str">
        <f>IFERROR(__xludf.DUMMYFUNCTION("""COMPUTED_VALUE"""),"29/11/2010")</f>
        <v>29/11/2010</v>
      </c>
      <c r="L3610" s="35" t="str">
        <f>IFERROR(__xludf.DUMMYFUNCTION("""COMPUTED_VALUE"""),"LAKI-LAKI")</f>
        <v>LAKI-LAKI</v>
      </c>
      <c r="M3610" s="35" t="str">
        <f>IFERROR(__xludf.DUMMYFUNCTION("""COMPUTED_VALUE"""),"JLN PURNAMA GG DINASTI")</f>
        <v>JLN PURNAMA GG DINASTI</v>
      </c>
      <c r="N3610" s="35" t="str">
        <f>IFERROR(__xludf.DUMMYFUNCTION("""COMPUTED_VALUE"""),"PARIT TOKAYA")</f>
        <v>PARIT TOKAYA</v>
      </c>
      <c r="O3610" s="35" t="str">
        <f>IFERROR(__xludf.DUMMYFUNCTION("""COMPUTED_VALUE"""),"PONTIANAK SELATAN ")</f>
        <v>PONTIANAK SELATAN </v>
      </c>
      <c r="P3610" s="35" t="str">
        <f>IFERROR(__xludf.DUMMYFUNCTION("""COMPUTED_VALUE"""),"KOTA PONTIANAK")</f>
        <v>KOTA PONTIANAK</v>
      </c>
      <c r="Q3610" s="35" t="str">
        <f>IFERROR(__xludf.DUMMYFUNCTION("""COMPUTED_VALUE"""),"KALIMANTAN BARAT")</f>
        <v>KALIMANTAN BARAT</v>
      </c>
      <c r="R3610" s="35" t="str">
        <f>IFERROR(__xludf.DUMMYFUNCTION("""COMPUTED_VALUE"""),"ISLAM")</f>
        <v>ISLAM</v>
      </c>
      <c r="S3610" s="74" t="str">
        <f>IFERROR(__xludf.DUMMYFUNCTION("""COMPUTED_VALUE"""),"PELAJAR")</f>
        <v>PELAJAR</v>
      </c>
      <c r="T3610" s="35" t="str">
        <f>IFERROR(__xludf.DUMMYFUNCTION("""COMPUTED_VALUE"""),"PARIT TOKAYA")</f>
        <v>PARIT TOKAYA</v>
      </c>
      <c r="U3610" s="35" t="str">
        <f>IFERROR(__xludf.DUMMYFUNCTION("""COMPUTED_VALUE"""),"SEPAK BOLA")</f>
        <v>SEPAK BOLA</v>
      </c>
      <c r="V3610" s="35" t="str">
        <f>IFERROR(__xludf.DUMMYFUNCTION("""COMPUTED_VALUE"""),"089517930074")</f>
        <v>089517930074</v>
      </c>
      <c r="W3610" s="45"/>
    </row>
    <row r="3611">
      <c r="A3611" s="45"/>
      <c r="B3611" s="35" t="str">
        <f>IFERROR(__xludf.DUMMYFUNCTION("""COMPUTED_VALUE"""),"28/03/2026 9:30:54")</f>
        <v>28/03/2026 9:30:54</v>
      </c>
      <c r="C3611" s="35"/>
      <c r="D3611" s="10">
        <f>IFERROR(__xludf.DUMMYFUNCTION("""COMPUTED_VALUE"""),46109.0)</f>
        <v>46109</v>
      </c>
      <c r="E3611" s="35" t="str">
        <f>IFERROR(__xludf.DUMMYFUNCTION("""COMPUTED_VALUE"""),"03Mar")</f>
        <v>03Mar</v>
      </c>
      <c r="F3611" s="35"/>
      <c r="G3611" s="35" t="str">
        <f>IFERROR(__xludf.DUMMYFUNCTION("""COMPUTED_VALUE"""),"MOHAMMAD GAUTAMA WAHYUDI")</f>
        <v>MOHAMMAD GAUTAMA WAHYUDI</v>
      </c>
      <c r="H3611" s="35" t="str">
        <f>IFERROR(__xludf.DUMMYFUNCTION("""COMPUTED_VALUE"""),"M9126033666")</f>
        <v>M9126033666</v>
      </c>
      <c r="I3611" s="35">
        <f>IFERROR(__xludf.DUMMYFUNCTION("""COMPUTED_VALUE"""),34.0)</f>
        <v>34</v>
      </c>
      <c r="J3611" s="35" t="str">
        <f>IFERROR(__xludf.DUMMYFUNCTION("""COMPUTED_VALUE"""),"25-34 tahun")</f>
        <v>25-34 tahun</v>
      </c>
      <c r="K3611" s="35" t="str">
        <f>IFERROR(__xludf.DUMMYFUNCTION("""COMPUTED_VALUE"""),"21/11/1991")</f>
        <v>21/11/1991</v>
      </c>
      <c r="L3611" s="35" t="str">
        <f>IFERROR(__xludf.DUMMYFUNCTION("""COMPUTED_VALUE"""),"LAKI-LAKI")</f>
        <v>LAKI-LAKI</v>
      </c>
      <c r="M3611" s="35" t="str">
        <f>IFERROR(__xludf.DUMMYFUNCTION("""COMPUTED_VALUE"""),"JL KOM YOS SUDARSO GG MELATI 2")</f>
        <v>JL KOM YOS SUDARSO GG MELATI 2</v>
      </c>
      <c r="N3611" s="35" t="str">
        <f>IFERROR(__xludf.DUMMYFUNCTION("""COMPUTED_VALUE"""),"SUNGAI BELIUNG")</f>
        <v>SUNGAI BELIUNG</v>
      </c>
      <c r="O3611" s="35" t="str">
        <f>IFERROR(__xludf.DUMMYFUNCTION("""COMPUTED_VALUE"""),"PONTIANAK BARAT")</f>
        <v>PONTIANAK BARAT</v>
      </c>
      <c r="P3611" s="35" t="str">
        <f>IFERROR(__xludf.DUMMYFUNCTION("""COMPUTED_VALUE"""),"PONTIANAK")</f>
        <v>PONTIANAK</v>
      </c>
      <c r="Q3611" s="35" t="str">
        <f>IFERROR(__xludf.DUMMYFUNCTION("""COMPUTED_VALUE"""),"KALIMANTAN BARAT")</f>
        <v>KALIMANTAN BARAT</v>
      </c>
      <c r="R3611" s="35" t="str">
        <f>IFERROR(__xludf.DUMMYFUNCTION("""COMPUTED_VALUE"""),"ISLAM")</f>
        <v>ISLAM</v>
      </c>
      <c r="S3611" s="74" t="str">
        <f>IFERROR(__xludf.DUMMYFUNCTION("""COMPUTED_VALUE"""),"KARYAWAN")</f>
        <v>KARYAWAN</v>
      </c>
      <c r="T3611" s="35" t="str">
        <f>IFERROR(__xludf.DUMMYFUNCTION("""COMPUTED_VALUE"""),"NYERI DI LUTUT")</f>
        <v>NYERI DI LUTUT</v>
      </c>
      <c r="U3611" s="35" t="str">
        <f>IFERROR(__xludf.DUMMYFUNCTION("""COMPUTED_VALUE"""),"LARI ")</f>
        <v>LARI </v>
      </c>
      <c r="V3611" s="35" t="str">
        <f>IFERROR(__xludf.DUMMYFUNCTION("""COMPUTED_VALUE"""),"08988723666")</f>
        <v>08988723666</v>
      </c>
      <c r="W3611" s="45"/>
    </row>
    <row r="3612">
      <c r="A3612" s="45"/>
      <c r="B3612" s="35" t="str">
        <f>IFERROR(__xludf.DUMMYFUNCTION("""COMPUTED_VALUE"""),"28/03/2026 12:13:12")</f>
        <v>28/03/2026 12:13:12</v>
      </c>
      <c r="C3612" s="35"/>
      <c r="D3612" s="10">
        <f>IFERROR(__xludf.DUMMYFUNCTION("""COMPUTED_VALUE"""),46109.0)</f>
        <v>46109</v>
      </c>
      <c r="E3612" s="35" t="str">
        <f>IFERROR(__xludf.DUMMYFUNCTION("""COMPUTED_VALUE"""),"03Mar")</f>
        <v>03Mar</v>
      </c>
      <c r="F3612" s="35"/>
      <c r="G3612" s="35" t="str">
        <f>IFERROR(__xludf.DUMMYFUNCTION("""COMPUTED_VALUE"""),"NURAINI")</f>
        <v>NURAINI</v>
      </c>
      <c r="H3612" s="35" t="str">
        <f>IFERROR(__xludf.DUMMYFUNCTION("""COMPUTED_VALUE"""),"N6326036753")</f>
        <v>N6326036753</v>
      </c>
      <c r="I3612" s="35">
        <f>IFERROR(__xludf.DUMMYFUNCTION("""COMPUTED_VALUE"""),62.0)</f>
        <v>62</v>
      </c>
      <c r="J3612" s="35" t="str">
        <f>IFERROR(__xludf.DUMMYFUNCTION("""COMPUTED_VALUE"""),"&gt; 44 tahun")</f>
        <v>&gt; 44 tahun</v>
      </c>
      <c r="K3612" s="35" t="str">
        <f>IFERROR(__xludf.DUMMYFUNCTION("""COMPUTED_VALUE"""),"03/10/1963")</f>
        <v>03/10/1963</v>
      </c>
      <c r="L3612" s="35" t="str">
        <f>IFERROR(__xludf.DUMMYFUNCTION("""COMPUTED_VALUE"""),"PEREMPUAN")</f>
        <v>PEREMPUAN</v>
      </c>
      <c r="M3612" s="35" t="str">
        <f>IFERROR(__xludf.DUMMYFUNCTION("""COMPUTED_VALUE"""),"JL. PUTRI DARA HITAM GG. ABADI 2 NO. 67")</f>
        <v>JL. PUTRI DARA HITAM GG. ABADI 2 NO. 67</v>
      </c>
      <c r="N3612" s="35" t="str">
        <f>IFERROR(__xludf.DUMMYFUNCTION("""COMPUTED_VALUE"""),"SEI BANGKONG")</f>
        <v>SEI BANGKONG</v>
      </c>
      <c r="O3612" s="35" t="str">
        <f>IFERROR(__xludf.DUMMYFUNCTION("""COMPUTED_VALUE"""),"PONTIANAK KOTA")</f>
        <v>PONTIANAK KOTA</v>
      </c>
      <c r="P3612" s="35" t="str">
        <f>IFERROR(__xludf.DUMMYFUNCTION("""COMPUTED_VALUE"""),"KOTA PONTIANAK ")</f>
        <v>KOTA PONTIANAK </v>
      </c>
      <c r="Q3612" s="35" t="str">
        <f>IFERROR(__xludf.DUMMYFUNCTION("""COMPUTED_VALUE"""),"KALIMANTAN BARAT ")</f>
        <v>KALIMANTAN BARAT </v>
      </c>
      <c r="R3612" s="35" t="str">
        <f>IFERROR(__xludf.DUMMYFUNCTION("""COMPUTED_VALUE"""),"ISLAM")</f>
        <v>ISLAM</v>
      </c>
      <c r="S3612" s="74" t="str">
        <f>IFERROR(__xludf.DUMMYFUNCTION("""COMPUTED_VALUE"""),"PEMBANTU RUMAH TANGGA")</f>
        <v>PEMBANTU RUMAH TANGGA</v>
      </c>
      <c r="T3612" s="35" t="str">
        <f>IFERROR(__xludf.DUMMYFUNCTION("""COMPUTED_VALUE"""),"NYERI DI AREA PINGGUL PAHA, SUSAH JALAN TEGAK, KAKI SUKA KEJANG, DAN KERAM")</f>
        <v>NYERI DI AREA PINGGUL PAHA, SUSAH JALAN TEGAK, KAKI SUKA KEJANG, DAN KERAM</v>
      </c>
      <c r="U3612" s="35" t="str">
        <f>IFERROR(__xludf.DUMMYFUNCTION("""COMPUTED_VALUE"""),"PEKERJAAN RUMAH TANGGA (MENCUCI BAJU, NYAPU, NGEPEL DLL)")</f>
        <v>PEKERJAAN RUMAH TANGGA (MENCUCI BAJU, NYAPU, NGEPEL DLL)</v>
      </c>
      <c r="V3612" s="35" t="str">
        <f>IFERROR(__xludf.DUMMYFUNCTION("""COMPUTED_VALUE"""),"081258366753")</f>
        <v>081258366753</v>
      </c>
      <c r="W3612" s="45"/>
    </row>
    <row r="3613">
      <c r="A3613" s="45"/>
      <c r="B3613" s="35" t="str">
        <f>IFERROR(__xludf.DUMMYFUNCTION("""COMPUTED_VALUE"""),"28/03/2026 12:51:28")</f>
        <v>28/03/2026 12:51:28</v>
      </c>
      <c r="C3613" s="35"/>
      <c r="D3613" s="10">
        <f>IFERROR(__xludf.DUMMYFUNCTION("""COMPUTED_VALUE"""),46109.0)</f>
        <v>46109</v>
      </c>
      <c r="E3613" s="35" t="str">
        <f>IFERROR(__xludf.DUMMYFUNCTION("""COMPUTED_VALUE"""),"03Mar")</f>
        <v>03Mar</v>
      </c>
      <c r="F3613" s="35"/>
      <c r="G3613" s="35" t="str">
        <f>IFERROR(__xludf.DUMMYFUNCTION("""COMPUTED_VALUE"""),"JIMMY CRYSTIAN")</f>
        <v>JIMMY CRYSTIAN</v>
      </c>
      <c r="H3613" s="35" t="str">
        <f>IFERROR(__xludf.DUMMYFUNCTION("""COMPUTED_VALUE"""),"J7326038855")</f>
        <v>J7326038855</v>
      </c>
      <c r="I3613" s="35">
        <f>IFERROR(__xludf.DUMMYFUNCTION("""COMPUTED_VALUE"""),52.0)</f>
        <v>52</v>
      </c>
      <c r="J3613" s="35" t="str">
        <f>IFERROR(__xludf.DUMMYFUNCTION("""COMPUTED_VALUE"""),"&gt; 44 tahun")</f>
        <v>&gt; 44 tahun</v>
      </c>
      <c r="K3613" s="35" t="str">
        <f>IFERROR(__xludf.DUMMYFUNCTION("""COMPUTED_VALUE"""),"29/09/1973")</f>
        <v>29/09/1973</v>
      </c>
      <c r="L3613" s="35" t="str">
        <f>IFERROR(__xludf.DUMMYFUNCTION("""COMPUTED_VALUE"""),"LAKI-LAKI")</f>
        <v>LAKI-LAKI</v>
      </c>
      <c r="M3613" s="35" t="str">
        <f>IFERROR(__xludf.DUMMYFUNCTION("""COMPUTED_VALUE"""),"JL. SUNGAI RAYA DALAM KOMP. BUMI BATARA 3 NO. AA- 9-10")</f>
        <v>JL. SUNGAI RAYA DALAM KOMP. BUMI BATARA 3 NO. AA- 9-10</v>
      </c>
      <c r="N3613" s="35" t="str">
        <f>IFERROR(__xludf.DUMMYFUNCTION("""COMPUTED_VALUE"""),"SUNGAI RAYA DALAM")</f>
        <v>SUNGAI RAYA DALAM</v>
      </c>
      <c r="O3613" s="35" t="str">
        <f>IFERROR(__xludf.DUMMYFUNCTION("""COMPUTED_VALUE"""),"SUNGAI RAYA ")</f>
        <v>SUNGAI RAYA </v>
      </c>
      <c r="P3613" s="35" t="str">
        <f>IFERROR(__xludf.DUMMYFUNCTION("""COMPUTED_VALUE"""),"PONTIANAK ")</f>
        <v>PONTIANAK </v>
      </c>
      <c r="Q3613" s="35" t="str">
        <f>IFERROR(__xludf.DUMMYFUNCTION("""COMPUTED_VALUE"""),"KALIMANTAN BARAT ")</f>
        <v>KALIMANTAN BARAT </v>
      </c>
      <c r="R3613" s="35" t="str">
        <f>IFERROR(__xludf.DUMMYFUNCTION("""COMPUTED_VALUE"""),"BUDDHA")</f>
        <v>BUDDHA</v>
      </c>
      <c r="S3613" s="74" t="str">
        <f>IFERROR(__xludf.DUMMYFUNCTION("""COMPUTED_VALUE"""),"PERDAGANGAN")</f>
        <v>PERDAGANGAN</v>
      </c>
      <c r="T3613" s="35" t="str">
        <f>IFERROR(__xludf.DUMMYFUNCTION("""COMPUTED_VALUE""")," OPERASI ACL")</f>
        <v> OPERASI ACL</v>
      </c>
      <c r="U3613" s="35" t="str">
        <f>IFERROR(__xludf.DUMMYFUNCTION("""COMPUTED_VALUE"""),"-")</f>
        <v>-</v>
      </c>
      <c r="V3613" s="35" t="str">
        <f>IFERROR(__xludf.DUMMYFUNCTION("""COMPUTED_VALUE"""),"082250668855")</f>
        <v>082250668855</v>
      </c>
      <c r="W3613" s="45"/>
    </row>
    <row r="3614">
      <c r="A3614" s="45"/>
      <c r="B3614" s="35" t="str">
        <f>IFERROR(__xludf.DUMMYFUNCTION("""COMPUTED_VALUE"""),"28/03/2026 20:14:59")</f>
        <v>28/03/2026 20:14:59</v>
      </c>
      <c r="C3614" s="35"/>
      <c r="D3614" s="10">
        <f>IFERROR(__xludf.DUMMYFUNCTION("""COMPUTED_VALUE"""),46109.0)</f>
        <v>46109</v>
      </c>
      <c r="E3614" s="35" t="str">
        <f>IFERROR(__xludf.DUMMYFUNCTION("""COMPUTED_VALUE"""),"03Mar")</f>
        <v>03Mar</v>
      </c>
      <c r="F3614" s="35"/>
      <c r="G3614" s="35" t="str">
        <f>IFERROR(__xludf.DUMMYFUNCTION("""COMPUTED_VALUE"""),"SANTI")</f>
        <v>SANTI</v>
      </c>
      <c r="H3614" s="35" t="str">
        <f>IFERROR(__xludf.DUMMYFUNCTION("""COMPUTED_VALUE"""),"S9426039408")</f>
        <v>S9426039408</v>
      </c>
      <c r="I3614" s="35">
        <f>IFERROR(__xludf.DUMMYFUNCTION("""COMPUTED_VALUE"""),32.0)</f>
        <v>32</v>
      </c>
      <c r="J3614" s="35" t="str">
        <f>IFERROR(__xludf.DUMMYFUNCTION("""COMPUTED_VALUE"""),"25-34 tahun")</f>
        <v>25-34 tahun</v>
      </c>
      <c r="K3614" s="35" t="str">
        <f>IFERROR(__xludf.DUMMYFUNCTION("""COMPUTED_VALUE"""),"02/01/1994")</f>
        <v>02/01/1994</v>
      </c>
      <c r="L3614" s="35" t="str">
        <f>IFERROR(__xludf.DUMMYFUNCTION("""COMPUTED_VALUE"""),"PEREMPUAN")</f>
        <v>PEREMPUAN</v>
      </c>
      <c r="M3614" s="35" t="str">
        <f>IFERROR(__xludf.DUMMYFUNCTION("""COMPUTED_VALUE"""),"DUSUN KERAMAT 1, KUALA DUA")</f>
        <v>DUSUN KERAMAT 1, KUALA DUA</v>
      </c>
      <c r="N3614" s="35" t="str">
        <f>IFERROR(__xludf.DUMMYFUNCTION("""COMPUTED_VALUE"""),"KUALA DUA")</f>
        <v>KUALA DUA</v>
      </c>
      <c r="O3614" s="35" t="str">
        <f>IFERROR(__xludf.DUMMYFUNCTION("""COMPUTED_VALUE"""),"SUNGAI RAYA")</f>
        <v>SUNGAI RAYA</v>
      </c>
      <c r="P3614" s="35" t="str">
        <f>IFERROR(__xludf.DUMMYFUNCTION("""COMPUTED_VALUE"""),"KUBU RAYA")</f>
        <v>KUBU RAYA</v>
      </c>
      <c r="Q3614" s="35" t="str">
        <f>IFERROR(__xludf.DUMMYFUNCTION("""COMPUTED_VALUE"""),"KALIMANTAN BARAT")</f>
        <v>KALIMANTAN BARAT</v>
      </c>
      <c r="R3614" s="35" t="str">
        <f>IFERROR(__xludf.DUMMYFUNCTION("""COMPUTED_VALUE"""),"BUDDHA")</f>
        <v>BUDDHA</v>
      </c>
      <c r="S3614" s="74" t="str">
        <f>IFERROR(__xludf.DUMMYFUNCTION("""COMPUTED_VALUE"""),"ADMINISTRASI")</f>
        <v>ADMINISTRASI</v>
      </c>
      <c r="T3614" s="35" t="str">
        <f>IFERROR(__xludf.DUMMYFUNCTION("""COMPUTED_VALUE"""),"SAKIT PADA KAKI KIRI")</f>
        <v>SAKIT PADA KAKI KIRI</v>
      </c>
      <c r="U3614" s="35" t="str">
        <f>IFERROR(__xludf.DUMMYFUNCTION("""COMPUTED_VALUE"""),"GYM, IKUT KELAS CROSSFIT ")</f>
        <v>GYM, IKUT KELAS CROSSFIT </v>
      </c>
      <c r="V3614" s="35" t="str">
        <f>IFERROR(__xludf.DUMMYFUNCTION("""COMPUTED_VALUE"""),"089693709408")</f>
        <v>089693709408</v>
      </c>
      <c r="W3614" s="45"/>
    </row>
    <row r="3615">
      <c r="A3615" s="45"/>
      <c r="B3615" s="35" t="str">
        <f>IFERROR(__xludf.DUMMYFUNCTION("""COMPUTED_VALUE"""),"29/03/2026 10:52:39")</f>
        <v>29/03/2026 10:52:39</v>
      </c>
      <c r="C3615" s="35"/>
      <c r="D3615" s="10">
        <f>IFERROR(__xludf.DUMMYFUNCTION("""COMPUTED_VALUE"""),46110.0)</f>
        <v>46110</v>
      </c>
      <c r="E3615" s="35" t="str">
        <f>IFERROR(__xludf.DUMMYFUNCTION("""COMPUTED_VALUE"""),"03Mar")</f>
        <v>03Mar</v>
      </c>
      <c r="F3615" s="35"/>
      <c r="G3615" s="35" t="str">
        <f>IFERROR(__xludf.DUMMYFUNCTION("""COMPUTED_VALUE"""),"DESY CHRISTIAN")</f>
        <v>DESY CHRISTIAN</v>
      </c>
      <c r="H3615" s="35" t="str">
        <f>IFERROR(__xludf.DUMMYFUNCTION("""COMPUTED_VALUE"""),"D8826034822")</f>
        <v>D8826034822</v>
      </c>
      <c r="I3615" s="35">
        <f>IFERROR(__xludf.DUMMYFUNCTION("""COMPUTED_VALUE"""),37.0)</f>
        <v>37</v>
      </c>
      <c r="J3615" s="35" t="str">
        <f>IFERROR(__xludf.DUMMYFUNCTION("""COMPUTED_VALUE"""),"35-44 tahun")</f>
        <v>35-44 tahun</v>
      </c>
      <c r="K3615" s="35" t="str">
        <f>IFERROR(__xludf.DUMMYFUNCTION("""COMPUTED_VALUE"""),"30/12/1988")</f>
        <v>30/12/1988</v>
      </c>
      <c r="L3615" s="35" t="str">
        <f>IFERROR(__xludf.DUMMYFUNCTION("""COMPUTED_VALUE"""),"PEREMPUAN")</f>
        <v>PEREMPUAN</v>
      </c>
      <c r="M3615" s="35" t="str">
        <f>IFERROR(__xludf.DUMMYFUNCTION("""COMPUTED_VALUE"""),"JL. GAJAH MADA GG GAJAH MADA 5 NO 16")</f>
        <v>JL. GAJAH MADA GG GAJAH MADA 5 NO 16</v>
      </c>
      <c r="N3615" s="35" t="str">
        <f>IFERROR(__xludf.DUMMYFUNCTION("""COMPUTED_VALUE"""),"BENUA MELAYU DARAT")</f>
        <v>BENUA MELAYU DARAT</v>
      </c>
      <c r="O3615" s="35" t="str">
        <f>IFERROR(__xludf.DUMMYFUNCTION("""COMPUTED_VALUE"""),"PONTIANAK SELATAN")</f>
        <v>PONTIANAK SELATAN</v>
      </c>
      <c r="P3615" s="35" t="str">
        <f>IFERROR(__xludf.DUMMYFUNCTION("""COMPUTED_VALUE"""),"PONTIANAK")</f>
        <v>PONTIANAK</v>
      </c>
      <c r="Q3615" s="35" t="str">
        <f>IFERROR(__xludf.DUMMYFUNCTION("""COMPUTED_VALUE"""),"KALIMANTAN BARAT")</f>
        <v>KALIMANTAN BARAT</v>
      </c>
      <c r="R3615" s="35" t="str">
        <f>IFERROR(__xludf.DUMMYFUNCTION("""COMPUTED_VALUE"""),"KATOLIK")</f>
        <v>KATOLIK</v>
      </c>
      <c r="S3615" s="74" t="str">
        <f>IFERROR(__xludf.DUMMYFUNCTION("""COMPUTED_VALUE"""),"FREELANCE")</f>
        <v>FREELANCE</v>
      </c>
      <c r="T3615" s="35" t="str">
        <f>IFERROR(__xludf.DUMMYFUNCTION("""COMPUTED_VALUE"""),"BENUA MELAYU DARAT")</f>
        <v>BENUA MELAYU DARAT</v>
      </c>
      <c r="U3615" s="35" t="str">
        <f>IFERROR(__xludf.DUMMYFUNCTION("""COMPUTED_VALUE"""),"GYM ")</f>
        <v>GYM </v>
      </c>
      <c r="V3615" s="35" t="str">
        <f>IFERROR(__xludf.DUMMYFUNCTION("""COMPUTED_VALUE"""),"085213584822")</f>
        <v>085213584822</v>
      </c>
      <c r="W3615" s="45"/>
    </row>
    <row r="3616">
      <c r="A3616" s="45"/>
      <c r="B3616" s="35" t="str">
        <f>IFERROR(__xludf.DUMMYFUNCTION("""COMPUTED_VALUE"""),"29/03/2026 5:50:13")</f>
        <v>29/03/2026 5:50:13</v>
      </c>
      <c r="C3616" s="35"/>
      <c r="D3616" s="10">
        <f>IFERROR(__xludf.DUMMYFUNCTION("""COMPUTED_VALUE"""),46110.0)</f>
        <v>46110</v>
      </c>
      <c r="E3616" s="35" t="str">
        <f>IFERROR(__xludf.DUMMYFUNCTION("""COMPUTED_VALUE"""),"03Mar")</f>
        <v>03Mar</v>
      </c>
      <c r="F3616" s="35"/>
      <c r="G3616" s="35" t="str">
        <f>IFERROR(__xludf.DUMMYFUNCTION("""COMPUTED_VALUE"""),"HENDRI SUGIANTO")</f>
        <v>HENDRI SUGIANTO</v>
      </c>
      <c r="H3616" s="35" t="str">
        <f>IFERROR(__xludf.DUMMYFUNCTION("""COMPUTED_VALUE"""),"H9526032927")</f>
        <v>H9526032927</v>
      </c>
      <c r="I3616" s="35">
        <f>IFERROR(__xludf.DUMMYFUNCTION("""COMPUTED_VALUE"""),30.0)</f>
        <v>30</v>
      </c>
      <c r="J3616" s="35" t="str">
        <f>IFERROR(__xludf.DUMMYFUNCTION("""COMPUTED_VALUE"""),"25-34 tahun")</f>
        <v>25-34 tahun</v>
      </c>
      <c r="K3616" s="35" t="str">
        <f>IFERROR(__xludf.DUMMYFUNCTION("""COMPUTED_VALUE"""),"03/09/1995")</f>
        <v>03/09/1995</v>
      </c>
      <c r="L3616" s="35" t="str">
        <f>IFERROR(__xludf.DUMMYFUNCTION("""COMPUTED_VALUE"""),"LAKI-LAKI")</f>
        <v>LAKI-LAKI</v>
      </c>
      <c r="M3616" s="35" t="str">
        <f>IFERROR(__xludf.DUMMYFUNCTION("""COMPUTED_VALUE"""),"JL ADISUCIPTO KOMP KENCANA PARK NO B18")</f>
        <v>JL ADISUCIPTO KOMP KENCANA PARK NO B18</v>
      </c>
      <c r="N3616" s="35" t="str">
        <f>IFERROR(__xludf.DUMMYFUNCTION("""COMPUTED_VALUE"""),"PARIT BARU")</f>
        <v>PARIT BARU</v>
      </c>
      <c r="O3616" s="35" t="str">
        <f>IFERROR(__xludf.DUMMYFUNCTION("""COMPUTED_VALUE"""),"SUNGAI RAYA")</f>
        <v>SUNGAI RAYA</v>
      </c>
      <c r="P3616" s="35" t="str">
        <f>IFERROR(__xludf.DUMMYFUNCTION("""COMPUTED_VALUE"""),"KUBU RAYA")</f>
        <v>KUBU RAYA</v>
      </c>
      <c r="Q3616" s="35" t="str">
        <f>IFERROR(__xludf.DUMMYFUNCTION("""COMPUTED_VALUE"""),"KALBAR")</f>
        <v>KALBAR</v>
      </c>
      <c r="R3616" s="35" t="str">
        <f>IFERROR(__xludf.DUMMYFUNCTION("""COMPUTED_VALUE"""),"KATOLIK")</f>
        <v>KATOLIK</v>
      </c>
      <c r="S3616" s="74" t="str">
        <f>IFERROR(__xludf.DUMMYFUNCTION("""COMPUTED_VALUE"""),"MARKETING")</f>
        <v>MARKETING</v>
      </c>
      <c r="T3616" s="35" t="str">
        <f>IFERROR(__xludf.DUMMYFUNCTION("""COMPUTED_VALUE"""),"LUTUT NYERI")</f>
        <v>LUTUT NYERI</v>
      </c>
      <c r="U3616" s="35" t="str">
        <f>IFERROR(__xludf.DUMMYFUNCTION("""COMPUTED_VALUE"""),"SEPAK BOLA")</f>
        <v>SEPAK BOLA</v>
      </c>
      <c r="V3616" s="35" t="str">
        <f>IFERROR(__xludf.DUMMYFUNCTION("""COMPUTED_VALUE"""),"081251992927")</f>
        <v>081251992927</v>
      </c>
      <c r="W3616" s="45"/>
    </row>
    <row r="3617">
      <c r="A3617" s="45"/>
      <c r="B3617" s="35" t="str">
        <f>IFERROR(__xludf.DUMMYFUNCTION("""COMPUTED_VALUE"""),"29/03/2026 14:23:42")</f>
        <v>29/03/2026 14:23:42</v>
      </c>
      <c r="C3617" s="35"/>
      <c r="D3617" s="10">
        <f>IFERROR(__xludf.DUMMYFUNCTION("""COMPUTED_VALUE"""),46110.0)</f>
        <v>46110</v>
      </c>
      <c r="E3617" s="35" t="str">
        <f>IFERROR(__xludf.DUMMYFUNCTION("""COMPUTED_VALUE"""),"03Mar")</f>
        <v>03Mar</v>
      </c>
      <c r="F3617" s="35"/>
      <c r="G3617" s="35" t="str">
        <f>IFERROR(__xludf.DUMMYFUNCTION("""COMPUTED_VALUE"""),"MULYATI")</f>
        <v>MULYATI</v>
      </c>
      <c r="H3617" s="35" t="str">
        <f>IFERROR(__xludf.DUMMYFUNCTION("""COMPUTED_VALUE"""),"M7726037831")</f>
        <v>M7726037831</v>
      </c>
      <c r="I3617" s="35">
        <f>IFERROR(__xludf.DUMMYFUNCTION("""COMPUTED_VALUE"""),48.0)</f>
        <v>48</v>
      </c>
      <c r="J3617" s="35" t="str">
        <f>IFERROR(__xludf.DUMMYFUNCTION("""COMPUTED_VALUE"""),"&gt; 44 tahun")</f>
        <v>&gt; 44 tahun</v>
      </c>
      <c r="K3617" s="35" t="str">
        <f>IFERROR(__xludf.DUMMYFUNCTION("""COMPUTED_VALUE"""),"10/08/1977")</f>
        <v>10/08/1977</v>
      </c>
      <c r="L3617" s="35" t="str">
        <f>IFERROR(__xludf.DUMMYFUNCTION("""COMPUTED_VALUE"""),"PEREMPUAN")</f>
        <v>PEREMPUAN</v>
      </c>
      <c r="M3617" s="35" t="str">
        <f>IFERROR(__xludf.DUMMYFUNCTION("""COMPUTED_VALUE"""),"JL SISINGAMANGARAJA NO 33")</f>
        <v>JL SISINGAMANGARAJA NO 33</v>
      </c>
      <c r="N3617" s="35" t="str">
        <f>IFERROR(__xludf.DUMMYFUNCTION("""COMPUTED_VALUE"""),"DARAT SEKIP")</f>
        <v>DARAT SEKIP</v>
      </c>
      <c r="O3617" s="35" t="str">
        <f>IFERROR(__xludf.DUMMYFUNCTION("""COMPUTED_VALUE"""),"PONTIANAK KOTA")</f>
        <v>PONTIANAK KOTA</v>
      </c>
      <c r="P3617" s="35" t="str">
        <f>IFERROR(__xludf.DUMMYFUNCTION("""COMPUTED_VALUE"""),"PONTIANAK")</f>
        <v>PONTIANAK</v>
      </c>
      <c r="Q3617" s="35" t="str">
        <f>IFERROR(__xludf.DUMMYFUNCTION("""COMPUTED_VALUE"""),"KALIMANTAN BARAT")</f>
        <v>KALIMANTAN BARAT</v>
      </c>
      <c r="R3617" s="35" t="str">
        <f>IFERROR(__xludf.DUMMYFUNCTION("""COMPUTED_VALUE"""),"KATOLIK")</f>
        <v>KATOLIK</v>
      </c>
      <c r="S3617" s="74" t="str">
        <f>IFERROR(__xludf.DUMMYFUNCTION("""COMPUTED_VALUE"""),"IBU RT")</f>
        <v>IBU RT</v>
      </c>
      <c r="T3617" s="35" t="str">
        <f>IFERROR(__xludf.DUMMYFUNCTION("""COMPUTED_VALUE"""),"LUTUT BENGKAK")</f>
        <v>LUTUT BENGKAK</v>
      </c>
      <c r="U3617" s="35" t="str">
        <f>IFERROR(__xludf.DUMMYFUNCTION("""COMPUTED_VALUE"""),"GYM")</f>
        <v>GYM</v>
      </c>
      <c r="V3617" s="35" t="str">
        <f>IFERROR(__xludf.DUMMYFUNCTION("""COMPUTED_VALUE"""),"08115667831")</f>
        <v>08115667831</v>
      </c>
      <c r="W3617" s="45"/>
    </row>
    <row r="3618">
      <c r="A3618" s="45"/>
      <c r="B3618" s="35" t="str">
        <f>IFERROR(__xludf.DUMMYFUNCTION("""COMPUTED_VALUE"""),"30/03/2026 16:43:01")</f>
        <v>30/03/2026 16:43:01</v>
      </c>
      <c r="C3618" s="35"/>
      <c r="D3618" s="10">
        <f>IFERROR(__xludf.DUMMYFUNCTION("""COMPUTED_VALUE"""),46111.0)</f>
        <v>46111</v>
      </c>
      <c r="E3618" s="35" t="str">
        <f>IFERROR(__xludf.DUMMYFUNCTION("""COMPUTED_VALUE"""),"03Mar")</f>
        <v>03Mar</v>
      </c>
      <c r="F3618" s="35"/>
      <c r="G3618" s="35" t="str">
        <f>IFERROR(__xludf.DUMMYFUNCTION("""COMPUTED_VALUE"""),"TJAI DJU")</f>
        <v>TJAI DJU</v>
      </c>
      <c r="H3618" s="35" t="str">
        <f>IFERROR(__xludf.DUMMYFUNCTION("""COMPUTED_VALUE"""),"T6126033888")</f>
        <v>T6126033888</v>
      </c>
      <c r="I3618" s="35">
        <f>IFERROR(__xludf.DUMMYFUNCTION("""COMPUTED_VALUE"""),65.0)</f>
        <v>65</v>
      </c>
      <c r="J3618" s="35" t="str">
        <f>IFERROR(__xludf.DUMMYFUNCTION("""COMPUTED_VALUE"""),"&gt; 44 tahun")</f>
        <v>&gt; 44 tahun</v>
      </c>
      <c r="K3618" s="35" t="str">
        <f>IFERROR(__xludf.DUMMYFUNCTION("""COMPUTED_VALUE"""),"04/04/1961")</f>
        <v>04/04/1961</v>
      </c>
      <c r="L3618" s="35" t="str">
        <f>IFERROR(__xludf.DUMMYFUNCTION("""COMPUTED_VALUE"""),"PEREMPUAN")</f>
        <v>PEREMPUAN</v>
      </c>
      <c r="M3618" s="35" t="str">
        <f>IFERROR(__xludf.DUMMYFUNCTION("""COMPUTED_VALUE"""),"JL PATIMURA")</f>
        <v>JL PATIMURA</v>
      </c>
      <c r="N3618" s="35" t="str">
        <f>IFERROR(__xludf.DUMMYFUNCTION("""COMPUTED_VALUE"""),"PADANG TIKAR SATU")</f>
        <v>PADANG TIKAR SATU</v>
      </c>
      <c r="O3618" s="35" t="str">
        <f>IFERROR(__xludf.DUMMYFUNCTION("""COMPUTED_VALUE"""),"BATU AMPAR")</f>
        <v>BATU AMPAR</v>
      </c>
      <c r="P3618" s="35" t="str">
        <f>IFERROR(__xludf.DUMMYFUNCTION("""COMPUTED_VALUE"""),"KUBU RAYA")</f>
        <v>KUBU RAYA</v>
      </c>
      <c r="Q3618" s="35" t="str">
        <f>IFERROR(__xludf.DUMMYFUNCTION("""COMPUTED_VALUE"""),"KALIMANTAN BARAT")</f>
        <v>KALIMANTAN BARAT</v>
      </c>
      <c r="R3618" s="35" t="str">
        <f>IFERROR(__xludf.DUMMYFUNCTION("""COMPUTED_VALUE"""),"BUDDHA")</f>
        <v>BUDDHA</v>
      </c>
      <c r="S3618" s="74" t="str">
        <f>IFERROR(__xludf.DUMMYFUNCTION("""COMPUTED_VALUE"""),"IRT")</f>
        <v>IRT</v>
      </c>
      <c r="T3618" s="35" t="str">
        <f>IFERROR(__xludf.DUMMYFUNCTION("""COMPUTED_VALUE"""),"STROKE RINGAN")</f>
        <v>STROKE RINGAN</v>
      </c>
      <c r="U3618" s="35" t="str">
        <f>IFERROR(__xludf.DUMMYFUNCTION("""COMPUTED_VALUE"""),"-")</f>
        <v>-</v>
      </c>
      <c r="V3618" s="35" t="str">
        <f>IFERROR(__xludf.DUMMYFUNCTION("""COMPUTED_VALUE"""),"08115753888")</f>
        <v>08115753888</v>
      </c>
      <c r="W3618" s="45"/>
    </row>
    <row r="3619">
      <c r="A3619" s="45"/>
      <c r="B3619" s="35" t="str">
        <f>IFERROR(__xludf.DUMMYFUNCTION("""COMPUTED_VALUE"""),"30/03/2026 20:30:09")</f>
        <v>30/03/2026 20:30:09</v>
      </c>
      <c r="C3619" s="35"/>
      <c r="D3619" s="10">
        <f>IFERROR(__xludf.DUMMYFUNCTION("""COMPUTED_VALUE"""),46111.0)</f>
        <v>46111</v>
      </c>
      <c r="E3619" s="35" t="str">
        <f>IFERROR(__xludf.DUMMYFUNCTION("""COMPUTED_VALUE"""),"03Mar")</f>
        <v>03Mar</v>
      </c>
      <c r="F3619" s="35"/>
      <c r="G3619" s="35" t="str">
        <f>IFERROR(__xludf.DUMMYFUNCTION("""COMPUTED_VALUE"""),"KLEVIN")</f>
        <v>KLEVIN</v>
      </c>
      <c r="H3619" s="35" t="str">
        <f>IFERROR(__xludf.DUMMYFUNCTION("""COMPUTED_VALUE"""),"K0426031206")</f>
        <v>K0426031206</v>
      </c>
      <c r="I3619" s="35">
        <f>IFERROR(__xludf.DUMMYFUNCTION("""COMPUTED_VALUE"""),22.0)</f>
        <v>22</v>
      </c>
      <c r="J3619" s="35" t="str">
        <f>IFERROR(__xludf.DUMMYFUNCTION("""COMPUTED_VALUE"""),"18-24 tahun")</f>
        <v>18-24 tahun</v>
      </c>
      <c r="K3619" s="35" t="str">
        <f>IFERROR(__xludf.DUMMYFUNCTION("""COMPUTED_VALUE"""),"04/01/2004")</f>
        <v>04/01/2004</v>
      </c>
      <c r="L3619" s="35" t="str">
        <f>IFERROR(__xludf.DUMMYFUNCTION("""COMPUTED_VALUE"""),"LAKI-LAKI")</f>
        <v>LAKI-LAKI</v>
      </c>
      <c r="M3619" s="35" t="str">
        <f>IFERROR(__xludf.DUMMYFUNCTION("""COMPUTED_VALUE"""),"PERUMNAS 1, GG BAYAM")</f>
        <v>PERUMNAS 1, GG BAYAM</v>
      </c>
      <c r="N3619" s="35" t="str">
        <f>IFERROR(__xludf.DUMMYFUNCTION("""COMPUTED_VALUE"""),"SUNGAI JAWI LUAR")</f>
        <v>SUNGAI JAWI LUAR</v>
      </c>
      <c r="O3619" s="35" t="str">
        <f>IFERROR(__xludf.DUMMYFUNCTION("""COMPUTED_VALUE"""),"PONTIANAK BARAT")</f>
        <v>PONTIANAK BARAT</v>
      </c>
      <c r="P3619" s="35" t="str">
        <f>IFERROR(__xludf.DUMMYFUNCTION("""COMPUTED_VALUE"""),"PONTIANAK")</f>
        <v>PONTIANAK</v>
      </c>
      <c r="Q3619" s="35" t="str">
        <f>IFERROR(__xludf.DUMMYFUNCTION("""COMPUTED_VALUE"""),"KALIMANTAN BARAT")</f>
        <v>KALIMANTAN BARAT</v>
      </c>
      <c r="R3619" s="35" t="str">
        <f>IFERROR(__xludf.DUMMYFUNCTION("""COMPUTED_VALUE"""),"KATOLIK")</f>
        <v>KATOLIK</v>
      </c>
      <c r="S3619" s="74" t="str">
        <f>IFERROR(__xludf.DUMMYFUNCTION("""COMPUTED_VALUE"""),"MAHASISWA + PART TIME MIXUE")</f>
        <v>MAHASISWA + PART TIME MIXUE</v>
      </c>
      <c r="T3619" s="35" t="str">
        <f>IFERROR(__xludf.DUMMYFUNCTION("""COMPUTED_VALUE"""),"DISLOKASI LUTUT DIAKIBATKAN KECELAKAAN, DAN FOOT DROP (CURIGA ACL) ")</f>
        <v>DISLOKASI LUTUT DIAKIBATKAN KECELAKAAN, DAN FOOT DROP (CURIGA ACL) </v>
      </c>
      <c r="U3619" s="35" t="str">
        <f>IFERROR(__xludf.DUMMYFUNCTION("""COMPUTED_VALUE"""),"KE KAMPUS DAN PALING KERJA AJA SII KAA")</f>
        <v>KE KAMPUS DAN PALING KERJA AJA SII KAA</v>
      </c>
      <c r="V3619" s="35" t="str">
        <f>IFERROR(__xludf.DUMMYFUNCTION("""COMPUTED_VALUE"""),"085696681206")</f>
        <v>085696681206</v>
      </c>
      <c r="W3619" s="45"/>
    </row>
    <row r="3620">
      <c r="A3620" s="45"/>
      <c r="B3620" s="35" t="str">
        <f>IFERROR(__xludf.DUMMYFUNCTION("""COMPUTED_VALUE"""),"31/03/2026 9:25:11")</f>
        <v>31/03/2026 9:25:11</v>
      </c>
      <c r="C3620" s="35"/>
      <c r="D3620" s="10">
        <f>IFERROR(__xludf.DUMMYFUNCTION("""COMPUTED_VALUE"""),46112.0)</f>
        <v>46112</v>
      </c>
      <c r="E3620" s="35" t="str">
        <f>IFERROR(__xludf.DUMMYFUNCTION("""COMPUTED_VALUE"""),"03Mar")</f>
        <v>03Mar</v>
      </c>
      <c r="F3620" s="35"/>
      <c r="G3620" s="35" t="str">
        <f>IFERROR(__xludf.DUMMYFUNCTION("""COMPUTED_VALUE"""),"MERIANTO")</f>
        <v>MERIANTO</v>
      </c>
      <c r="H3620" s="35" t="str">
        <f>IFERROR(__xludf.DUMMYFUNCTION("""COMPUTED_VALUE"""),"M9626037177")</f>
        <v>M9626037177</v>
      </c>
      <c r="I3620" s="35">
        <f>IFERROR(__xludf.DUMMYFUNCTION("""COMPUTED_VALUE"""),29.0)</f>
        <v>29</v>
      </c>
      <c r="J3620" s="35" t="str">
        <f>IFERROR(__xludf.DUMMYFUNCTION("""COMPUTED_VALUE"""),"25-34 tahun")</f>
        <v>25-34 tahun</v>
      </c>
      <c r="K3620" s="35" t="str">
        <f>IFERROR(__xludf.DUMMYFUNCTION("""COMPUTED_VALUE"""),"11/09/1996")</f>
        <v>11/09/1996</v>
      </c>
      <c r="L3620" s="35" t="str">
        <f>IFERROR(__xludf.DUMMYFUNCTION("""COMPUTED_VALUE"""),"LAKI-LAKI")</f>
        <v>LAKI-LAKI</v>
      </c>
      <c r="M3620" s="35" t="str">
        <f>IFERROR(__xludf.DUMMYFUNCTION("""COMPUTED_VALUE"""),"JLN GST SULUNG LELANANG GG DAMAI")</f>
        <v>JLN GST SULUNG LELANANG GG DAMAI</v>
      </c>
      <c r="N3620" s="35" t="str">
        <f>IFERROR(__xludf.DUMMYFUNCTION("""COMPUTED_VALUE"""),"BENUA MELAYU DARAT")</f>
        <v>BENUA MELAYU DARAT</v>
      </c>
      <c r="O3620" s="35" t="str">
        <f>IFERROR(__xludf.DUMMYFUNCTION("""COMPUTED_VALUE"""),"PONTIANAK SELATAN")</f>
        <v>PONTIANAK SELATAN</v>
      </c>
      <c r="P3620" s="35" t="str">
        <f>IFERROR(__xludf.DUMMYFUNCTION("""COMPUTED_VALUE"""),"PONTIANAK")</f>
        <v>PONTIANAK</v>
      </c>
      <c r="Q3620" s="35" t="str">
        <f>IFERROR(__xludf.DUMMYFUNCTION("""COMPUTED_VALUE"""),"KALIMANTAN BARAT")</f>
        <v>KALIMANTAN BARAT</v>
      </c>
      <c r="R3620" s="35" t="str">
        <f>IFERROR(__xludf.DUMMYFUNCTION("""COMPUTED_VALUE"""),"BUDDHA")</f>
        <v>BUDDHA</v>
      </c>
      <c r="S3620" s="74" t="str">
        <f>IFERROR(__xludf.DUMMYFUNCTION("""COMPUTED_VALUE"""),"SALES")</f>
        <v>SALES</v>
      </c>
      <c r="T3620" s="35" t="str">
        <f>IFERROR(__xludf.DUMMYFUNCTION("""COMPUTED_VALUE"""),"KE ENCOK PINGGANG")</f>
        <v>KE ENCOK PINGGANG</v>
      </c>
      <c r="U3620" s="35" t="str">
        <f>IFERROR(__xludf.DUMMYFUNCTION("""COMPUTED_VALUE"""),"JOGGING ")</f>
        <v>JOGGING </v>
      </c>
      <c r="V3620" s="35" t="str">
        <f>IFERROR(__xludf.DUMMYFUNCTION("""COMPUTED_VALUE"""),"085347277177")</f>
        <v>085347277177</v>
      </c>
      <c r="W3620" s="45"/>
    </row>
    <row r="3621">
      <c r="A3621" s="45"/>
      <c r="B3621" s="35" t="str">
        <f>IFERROR(__xludf.DUMMYFUNCTION("""COMPUTED_VALUE"""),"31/03/2026 10:19:36")</f>
        <v>31/03/2026 10:19:36</v>
      </c>
      <c r="C3621" s="35"/>
      <c r="D3621" s="10">
        <f>IFERROR(__xludf.DUMMYFUNCTION("""COMPUTED_VALUE"""),46112.0)</f>
        <v>46112</v>
      </c>
      <c r="E3621" s="35" t="str">
        <f>IFERROR(__xludf.DUMMYFUNCTION("""COMPUTED_VALUE"""),"03Mar")</f>
        <v>03Mar</v>
      </c>
      <c r="F3621" s="35"/>
      <c r="G3621" s="35" t="str">
        <f>IFERROR(__xludf.DUMMYFUNCTION("""COMPUTED_VALUE"""),"AGUS SILVIANDY ")</f>
        <v>AGUS SILVIANDY </v>
      </c>
      <c r="H3621" s="35" t="str">
        <f>IFERROR(__xludf.DUMMYFUNCTION("""COMPUTED_VALUE"""),"A7426037755")</f>
        <v>A7426037755</v>
      </c>
      <c r="I3621" s="35">
        <f>IFERROR(__xludf.DUMMYFUNCTION("""COMPUTED_VALUE"""),51.0)</f>
        <v>51</v>
      </c>
      <c r="J3621" s="35" t="str">
        <f>IFERROR(__xludf.DUMMYFUNCTION("""COMPUTED_VALUE"""),"&gt; 44 tahun")</f>
        <v>&gt; 44 tahun</v>
      </c>
      <c r="K3621" s="35" t="str">
        <f>IFERROR(__xludf.DUMMYFUNCTION("""COMPUTED_VALUE"""),"23/08/1974")</f>
        <v>23/08/1974</v>
      </c>
      <c r="L3621" s="35" t="str">
        <f>IFERROR(__xludf.DUMMYFUNCTION("""COMPUTED_VALUE"""),"LAKI-LAKI")</f>
        <v>LAKI-LAKI</v>
      </c>
      <c r="M3621" s="35" t="str">
        <f>IFERROR(__xludf.DUMMYFUNCTION("""COMPUTED_VALUE"""),"JLN DR WAHIDIN SUDIROHUSODO GG SEPAKAT 8 JALUR 1 NO 8 ")</f>
        <v>JLN DR WAHIDIN SUDIROHUSODO GG SEPAKAT 8 JALUR 1 NO 8 </v>
      </c>
      <c r="N3621" s="35" t="str">
        <f>IFERROR(__xludf.DUMMYFUNCTION("""COMPUTED_VALUE"""),"SEI JAWI")</f>
        <v>SEI JAWI</v>
      </c>
      <c r="O3621" s="35" t="str">
        <f>IFERROR(__xludf.DUMMYFUNCTION("""COMPUTED_VALUE"""),"PONTIANAK KOTA ")</f>
        <v>PONTIANAK KOTA </v>
      </c>
      <c r="P3621" s="35" t="str">
        <f>IFERROR(__xludf.DUMMYFUNCTION("""COMPUTED_VALUE"""),"PONTIANAK ")</f>
        <v>PONTIANAK </v>
      </c>
      <c r="Q3621" s="35" t="str">
        <f>IFERROR(__xludf.DUMMYFUNCTION("""COMPUTED_VALUE"""),"KALIMANTAN BARAT ")</f>
        <v>KALIMANTAN BARAT </v>
      </c>
      <c r="R3621" s="35" t="str">
        <f>IFERROR(__xludf.DUMMYFUNCTION("""COMPUTED_VALUE"""),"ISLAM")</f>
        <v>ISLAM</v>
      </c>
      <c r="S3621" s="74" t="str">
        <f>IFERROR(__xludf.DUMMYFUNCTION("""COMPUTED_VALUE"""),"PNS ")</f>
        <v>PNS </v>
      </c>
      <c r="T3621" s="35" t="str">
        <f>IFERROR(__xludf.DUMMYFUNCTION("""COMPUTED_VALUE"""),"URAT KETARIK DI SEPUTARAN DENGKUL")</f>
        <v>URAT KETARIK DI SEPUTARAN DENGKUL</v>
      </c>
      <c r="U3621" s="35" t="str">
        <f>IFERROR(__xludf.DUMMYFUNCTION("""COMPUTED_VALUE"""),"JOGGING / BADMINTON ")</f>
        <v>JOGGING / BADMINTON </v>
      </c>
      <c r="V3621" s="35" t="str">
        <f>IFERROR(__xludf.DUMMYFUNCTION("""COMPUTED_VALUE"""),"0811577755")</f>
        <v>0811577755</v>
      </c>
      <c r="W3621" s="45"/>
    </row>
    <row r="3622">
      <c r="A3622" s="45"/>
      <c r="B3622" s="35" t="str">
        <f>IFERROR(__xludf.DUMMYFUNCTION("""COMPUTED_VALUE"""),"31/03/2026 11:44:07")</f>
        <v>31/03/2026 11:44:07</v>
      </c>
      <c r="C3622" s="35"/>
      <c r="D3622" s="10">
        <f>IFERROR(__xludf.DUMMYFUNCTION("""COMPUTED_VALUE"""),46112.0)</f>
        <v>46112</v>
      </c>
      <c r="E3622" s="35" t="str">
        <f>IFERROR(__xludf.DUMMYFUNCTION("""COMPUTED_VALUE"""),"03Mar")</f>
        <v>03Mar</v>
      </c>
      <c r="F3622" s="35"/>
      <c r="G3622" s="35" t="str">
        <f>IFERROR(__xludf.DUMMYFUNCTION("""COMPUTED_VALUE"""),"SUJARWO")</f>
        <v>SUJARWO</v>
      </c>
      <c r="H3622" s="35" t="str">
        <f>IFERROR(__xludf.DUMMYFUNCTION("""COMPUTED_VALUE"""),"S7326031301")</f>
        <v>S7326031301</v>
      </c>
      <c r="I3622" s="35">
        <f>IFERROR(__xludf.DUMMYFUNCTION("""COMPUTED_VALUE"""),53.0)</f>
        <v>53</v>
      </c>
      <c r="J3622" s="35" t="str">
        <f>IFERROR(__xludf.DUMMYFUNCTION("""COMPUTED_VALUE"""),"&gt; 44 tahun")</f>
        <v>&gt; 44 tahun</v>
      </c>
      <c r="K3622" s="35" t="str">
        <f>IFERROR(__xludf.DUMMYFUNCTION("""COMPUTED_VALUE"""),"19/06/1973")</f>
        <v>19/06/1973</v>
      </c>
      <c r="L3622" s="35" t="str">
        <f>IFERROR(__xludf.DUMMYFUNCTION("""COMPUTED_VALUE"""),"LAKI-LAKI")</f>
        <v>LAKI-LAKI</v>
      </c>
      <c r="M3622" s="35" t="str">
        <f>IFERROR(__xludf.DUMMYFUNCTION("""COMPUTED_VALUE"""),"JL. H.M SUWIGNYO GG. TEGAL REJO II")</f>
        <v>JL. H.M SUWIGNYO GG. TEGAL REJO II</v>
      </c>
      <c r="N3622" s="35" t="str">
        <f>IFERROR(__xludf.DUMMYFUNCTION("""COMPUTED_VALUE"""),"SUNGAI JAWI")</f>
        <v>SUNGAI JAWI</v>
      </c>
      <c r="O3622" s="35" t="str">
        <f>IFERROR(__xludf.DUMMYFUNCTION("""COMPUTED_VALUE"""),"PONTIANAK KOTA")</f>
        <v>PONTIANAK KOTA</v>
      </c>
      <c r="P3622" s="35" t="str">
        <f>IFERROR(__xludf.DUMMYFUNCTION("""COMPUTED_VALUE"""),"PONTIANAK ")</f>
        <v>PONTIANAK </v>
      </c>
      <c r="Q3622" s="35" t="str">
        <f>IFERROR(__xludf.DUMMYFUNCTION("""COMPUTED_VALUE"""),"KALIMANTAN BARAT")</f>
        <v>KALIMANTAN BARAT</v>
      </c>
      <c r="R3622" s="35" t="str">
        <f>IFERROR(__xludf.DUMMYFUNCTION("""COMPUTED_VALUE"""),"ISLAM")</f>
        <v>ISLAM</v>
      </c>
      <c r="S3622" s="74" t="str">
        <f>IFERROR(__xludf.DUMMYFUNCTION("""COMPUTED_VALUE"""),"TNI")</f>
        <v>TNI</v>
      </c>
      <c r="T3622" s="35" t="str">
        <f>IFERROR(__xludf.DUMMYFUNCTION("""COMPUTED_VALUE"""),"KAKI KIRI KEBAS")</f>
        <v>KAKI KIRI KEBAS</v>
      </c>
      <c r="U3622" s="35" t="str">
        <f>IFERROR(__xludf.DUMMYFUNCTION("""COMPUTED_VALUE"""),"-")</f>
        <v>-</v>
      </c>
      <c r="V3622" s="35" t="str">
        <f>IFERROR(__xludf.DUMMYFUNCTION("""COMPUTED_VALUE"""),"081345231301")</f>
        <v>081345231301</v>
      </c>
      <c r="W3622" s="45"/>
    </row>
    <row r="3623">
      <c r="A3623" s="45"/>
      <c r="B3623" s="35" t="str">
        <f>IFERROR(__xludf.DUMMYFUNCTION("""COMPUTED_VALUE"""),"31/03/2026 13:26:07")</f>
        <v>31/03/2026 13:26:07</v>
      </c>
      <c r="C3623" s="35"/>
      <c r="D3623" s="10">
        <f>IFERROR(__xludf.DUMMYFUNCTION("""COMPUTED_VALUE"""),46112.0)</f>
        <v>46112</v>
      </c>
      <c r="E3623" s="35" t="str">
        <f>IFERROR(__xludf.DUMMYFUNCTION("""COMPUTED_VALUE"""),"03Mar")</f>
        <v>03Mar</v>
      </c>
      <c r="F3623" s="35"/>
      <c r="G3623" s="35" t="str">
        <f>IFERROR(__xludf.DUMMYFUNCTION("""COMPUTED_VALUE"""),"RIZKI KURNIASIH")</f>
        <v>RIZKI KURNIASIH</v>
      </c>
      <c r="H3623" s="35" t="str">
        <f>IFERROR(__xludf.DUMMYFUNCTION("""COMPUTED_VALUE"""),"R9026031545")</f>
        <v>R9026031545</v>
      </c>
      <c r="I3623" s="35">
        <f>IFERROR(__xludf.DUMMYFUNCTION("""COMPUTED_VALUE"""),35.0)</f>
        <v>35</v>
      </c>
      <c r="J3623" s="35" t="str">
        <f>IFERROR(__xludf.DUMMYFUNCTION("""COMPUTED_VALUE"""),"35-44 tahun")</f>
        <v>35-44 tahun</v>
      </c>
      <c r="K3623" s="35" t="str">
        <f>IFERROR(__xludf.DUMMYFUNCTION("""COMPUTED_VALUE"""),"21/10/1990")</f>
        <v>21/10/1990</v>
      </c>
      <c r="L3623" s="35" t="str">
        <f>IFERROR(__xludf.DUMMYFUNCTION("""COMPUTED_VALUE"""),"PEREMPUAN")</f>
        <v>PEREMPUAN</v>
      </c>
      <c r="M3623" s="35" t="str">
        <f>IFERROR(__xludf.DUMMYFUNCTION("""COMPUTED_VALUE"""),"SURYOWIJAYAN MJ1/170 YOGYAKARTA")</f>
        <v>SURYOWIJAYAN MJ1/170 YOGYAKARTA</v>
      </c>
      <c r="N3623" s="35" t="str">
        <f>IFERROR(__xludf.DUMMYFUNCTION("""COMPUTED_VALUE"""),"GEDONGKIWO")</f>
        <v>GEDONGKIWO</v>
      </c>
      <c r="O3623" s="35" t="str">
        <f>IFERROR(__xludf.DUMMYFUNCTION("""COMPUTED_VALUE"""),"MANTRIJERON")</f>
        <v>MANTRIJERON</v>
      </c>
      <c r="P3623" s="35" t="str">
        <f>IFERROR(__xludf.DUMMYFUNCTION("""COMPUTED_VALUE"""),"KOTA YOGYAKARTA")</f>
        <v>KOTA YOGYAKARTA</v>
      </c>
      <c r="Q3623" s="35" t="str">
        <f>IFERROR(__xludf.DUMMYFUNCTION("""COMPUTED_VALUE"""),"D.I. YOGYAKARTA")</f>
        <v>D.I. YOGYAKARTA</v>
      </c>
      <c r="R3623" s="35" t="str">
        <f>IFERROR(__xludf.DUMMYFUNCTION("""COMPUTED_VALUE"""),"ISLAM")</f>
        <v>ISLAM</v>
      </c>
      <c r="S3623" s="74" t="str">
        <f>IFERROR(__xludf.DUMMYFUNCTION("""COMPUTED_VALUE"""),"IBU RUMAH TANGGA")</f>
        <v>IBU RUMAH TANGGA</v>
      </c>
      <c r="T3623" s="35" t="str">
        <f>IFERROR(__xludf.DUMMYFUNCTION("""COMPUTED_VALUE"""),"OTOT KAKI KIRI KETARIK HINGGA MENIMBULKAN NYERI PADA TELAPAK KAKI KIRI DAN BELAKANG ATAS TUMIT")</f>
        <v>OTOT KAKI KIRI KETARIK HINGGA MENIMBULKAN NYERI PADA TELAPAK KAKI KIRI DAN BELAKANG ATAS TUMIT</v>
      </c>
      <c r="U3623" s="35" t="str">
        <f>IFERROR(__xludf.DUMMYFUNCTION("""COMPUTED_VALUE"""),"GYM")</f>
        <v>GYM</v>
      </c>
      <c r="V3623" s="35" t="str">
        <f>IFERROR(__xludf.DUMMYFUNCTION("""COMPUTED_VALUE"""),"081228081545")</f>
        <v>081228081545</v>
      </c>
      <c r="W3623" s="45"/>
    </row>
    <row r="3624">
      <c r="A3624" s="45"/>
      <c r="B3624" s="35" t="str">
        <f>IFERROR(__xludf.DUMMYFUNCTION("""COMPUTED_VALUE"""),"31/03/2026 13:32:40")</f>
        <v>31/03/2026 13:32:40</v>
      </c>
      <c r="C3624" s="35"/>
      <c r="D3624" s="10">
        <f>IFERROR(__xludf.DUMMYFUNCTION("""COMPUTED_VALUE"""),46112.0)</f>
        <v>46112</v>
      </c>
      <c r="E3624" s="35" t="str">
        <f>IFERROR(__xludf.DUMMYFUNCTION("""COMPUTED_VALUE"""),"03Mar")</f>
        <v>03Mar</v>
      </c>
      <c r="F3624" s="35"/>
      <c r="G3624" s="35" t="str">
        <f>IFERROR(__xludf.DUMMYFUNCTION("""COMPUTED_VALUE"""),"SUPIRIANI EKA LESTARI")</f>
        <v>SUPIRIANI EKA LESTARI</v>
      </c>
      <c r="H3624" s="35" t="str">
        <f>IFERROR(__xludf.DUMMYFUNCTION("""COMPUTED_VALUE"""),"S9526037161")</f>
        <v>S9526037161</v>
      </c>
      <c r="I3624" s="35">
        <f>IFERROR(__xludf.DUMMYFUNCTION("""COMPUTED_VALUE"""),30.0)</f>
        <v>30</v>
      </c>
      <c r="J3624" s="35" t="str">
        <f>IFERROR(__xludf.DUMMYFUNCTION("""COMPUTED_VALUE"""),"25-34 tahun")</f>
        <v>25-34 tahun</v>
      </c>
      <c r="K3624" s="35" t="str">
        <f>IFERROR(__xludf.DUMMYFUNCTION("""COMPUTED_VALUE"""),"18/06/1995")</f>
        <v>18/06/1995</v>
      </c>
      <c r="L3624" s="35" t="str">
        <f>IFERROR(__xludf.DUMMYFUNCTION("""COMPUTED_VALUE"""),"PEREMPUAN")</f>
        <v>PEREMPUAN</v>
      </c>
      <c r="M3624" s="35" t="str">
        <f>IFERROR(__xludf.DUMMYFUNCTION("""COMPUTED_VALUE"""),"JL. KARYA SOSIAL, KOMP.PERMATA PERMAI II BLOK G 15. ")</f>
        <v>JL. KARYA SOSIAL, KOMP.PERMATA PERMAI II BLOK G 15. </v>
      </c>
      <c r="N3624" s="35" t="str">
        <f>IFERROR(__xludf.DUMMYFUNCTION("""COMPUTED_VALUE"""),"PAL SEMBILAN")</f>
        <v>PAL SEMBILAN</v>
      </c>
      <c r="O3624" s="35" t="str">
        <f>IFERROR(__xludf.DUMMYFUNCTION("""COMPUTED_VALUE"""),"SUNGAI KAKAP")</f>
        <v>SUNGAI KAKAP</v>
      </c>
      <c r="P3624" s="35" t="str">
        <f>IFERROR(__xludf.DUMMYFUNCTION("""COMPUTED_VALUE"""),"KUBU RAYA")</f>
        <v>KUBU RAYA</v>
      </c>
      <c r="Q3624" s="35" t="str">
        <f>IFERROR(__xludf.DUMMYFUNCTION("""COMPUTED_VALUE"""),"KALIMANTAN BARAT")</f>
        <v>KALIMANTAN BARAT</v>
      </c>
      <c r="R3624" s="35" t="str">
        <f>IFERROR(__xludf.DUMMYFUNCTION("""COMPUTED_VALUE"""),"ISLAM")</f>
        <v>ISLAM</v>
      </c>
      <c r="S3624" s="74" t="str">
        <f>IFERROR(__xludf.DUMMYFUNCTION("""COMPUTED_VALUE"""),"SENIMAN")</f>
        <v>SENIMAN</v>
      </c>
      <c r="T3624" s="35" t="str">
        <f>IFERROR(__xludf.DUMMYFUNCTION("""COMPUTED_VALUE"""),"CEDERA LUTUT, SALAH JEJAK KETIKA LONCAT")</f>
        <v>CEDERA LUTUT, SALAH JEJAK KETIKA LONCAT</v>
      </c>
      <c r="U3624" s="35" t="str">
        <f>IFERROR(__xludf.DUMMYFUNCTION("""COMPUTED_VALUE"""),"LATIHAN TEATER")</f>
        <v>LATIHAN TEATER</v>
      </c>
      <c r="V3624" s="35" t="str">
        <f>IFERROR(__xludf.DUMMYFUNCTION("""COMPUTED_VALUE"""),"081215737161")</f>
        <v>081215737161</v>
      </c>
      <c r="W3624" s="45"/>
    </row>
    <row r="3625">
      <c r="A3625" s="45"/>
      <c r="B3625" s="35" t="str">
        <f>IFERROR(__xludf.DUMMYFUNCTION("""COMPUTED_VALUE"""),"31/03/2026 16:03:03")</f>
        <v>31/03/2026 16:03:03</v>
      </c>
      <c r="C3625" s="35"/>
      <c r="D3625" s="10">
        <f>IFERROR(__xludf.DUMMYFUNCTION("""COMPUTED_VALUE"""),46112.0)</f>
        <v>46112</v>
      </c>
      <c r="E3625" s="35" t="str">
        <f>IFERROR(__xludf.DUMMYFUNCTION("""COMPUTED_VALUE"""),"03Mar")</f>
        <v>03Mar</v>
      </c>
      <c r="F3625" s="35"/>
      <c r="G3625" s="35" t="str">
        <f>IFERROR(__xludf.DUMMYFUNCTION("""COMPUTED_VALUE"""),"WANDA RAHMAWAN, ST")</f>
        <v>WANDA RAHMAWAN, ST</v>
      </c>
      <c r="H3625" s="35" t="str">
        <f>IFERROR(__xludf.DUMMYFUNCTION("""COMPUTED_VALUE"""),"W8426037510")</f>
        <v>W8426037510</v>
      </c>
      <c r="I3625" s="35">
        <f>IFERROR(__xludf.DUMMYFUNCTION("""COMPUTED_VALUE"""),42.0)</f>
        <v>42</v>
      </c>
      <c r="J3625" s="35" t="str">
        <f>IFERROR(__xludf.DUMMYFUNCTION("""COMPUTED_VALUE"""),"35-44 tahun")</f>
        <v>35-44 tahun</v>
      </c>
      <c r="K3625" s="35" t="str">
        <f>IFERROR(__xludf.DUMMYFUNCTION("""COMPUTED_VALUE"""),"27/04/1984")</f>
        <v>27/04/1984</v>
      </c>
      <c r="L3625" s="35" t="str">
        <f>IFERROR(__xludf.DUMMYFUNCTION("""COMPUTED_VALUE"""),"LAKI-LAKI")</f>
        <v>LAKI-LAKI</v>
      </c>
      <c r="M3625" s="35" t="str">
        <f>IFERROR(__xludf.DUMMYFUNCTION("""COMPUTED_VALUE"""),"JL CERMAI 1/1 , KAPUAS SANGGAU")</f>
        <v>JL CERMAI 1/1 , KAPUAS SANGGAU</v>
      </c>
      <c r="N3625" s="35" t="str">
        <f>IFERROR(__xludf.DUMMYFUNCTION("""COMPUTED_VALUE"""),"SANGGAU")</f>
        <v>SANGGAU</v>
      </c>
      <c r="O3625" s="35" t="str">
        <f>IFERROR(__xludf.DUMMYFUNCTION("""COMPUTED_VALUE"""),"SANGGAU")</f>
        <v>SANGGAU</v>
      </c>
      <c r="P3625" s="35" t="str">
        <f>IFERROR(__xludf.DUMMYFUNCTION("""COMPUTED_VALUE"""),"SANGGAU")</f>
        <v>SANGGAU</v>
      </c>
      <c r="Q3625" s="35" t="str">
        <f>IFERROR(__xludf.DUMMYFUNCTION("""COMPUTED_VALUE"""),"KALIMANTAN BARAT")</f>
        <v>KALIMANTAN BARAT</v>
      </c>
      <c r="R3625" s="35" t="str">
        <f>IFERROR(__xludf.DUMMYFUNCTION("""COMPUTED_VALUE"""),"ISLAM")</f>
        <v>ISLAM</v>
      </c>
      <c r="S3625" s="74" t="str">
        <f>IFERROR(__xludf.DUMMYFUNCTION("""COMPUTED_VALUE"""),"WIRASWASTA")</f>
        <v>WIRASWASTA</v>
      </c>
      <c r="T3625" s="35" t="str">
        <f>IFERROR(__xludf.DUMMYFUNCTION("""COMPUTED_VALUE"""),"SAKIT BAHU HABIS GYM")</f>
        <v>SAKIT BAHU HABIS GYM</v>
      </c>
      <c r="U3625" s="35" t="str">
        <f>IFERROR(__xludf.DUMMYFUNCTION("""COMPUTED_VALUE"""),"-")</f>
        <v>-</v>
      </c>
      <c r="V3625" s="35" t="str">
        <f>IFERROR(__xludf.DUMMYFUNCTION("""COMPUTED_VALUE"""),"082148577510")</f>
        <v>082148577510</v>
      </c>
      <c r="W3625" s="45"/>
    </row>
    <row r="3626">
      <c r="A3626" s="45"/>
      <c r="B3626" s="35" t="str">
        <f>IFERROR(__xludf.DUMMYFUNCTION("""COMPUTED_VALUE"""),"31/03/2026 20:17:09")</f>
        <v>31/03/2026 20:17:09</v>
      </c>
      <c r="C3626" s="35"/>
      <c r="D3626" s="10">
        <f>IFERROR(__xludf.DUMMYFUNCTION("""COMPUTED_VALUE"""),46112.0)</f>
        <v>46112</v>
      </c>
      <c r="E3626" s="35" t="str">
        <f>IFERROR(__xludf.DUMMYFUNCTION("""COMPUTED_VALUE"""),"03Mar")</f>
        <v>03Mar</v>
      </c>
      <c r="F3626" s="35"/>
      <c r="G3626" s="35" t="str">
        <f>IFERROR(__xludf.DUMMYFUNCTION("""COMPUTED_VALUE"""),"REZHA ANDHIKA PUTRA")</f>
        <v>REZHA ANDHIKA PUTRA</v>
      </c>
      <c r="H3626" s="35" t="str">
        <f>IFERROR(__xludf.DUMMYFUNCTION("""COMPUTED_VALUE"""),"R9426034060")</f>
        <v>R9426034060</v>
      </c>
      <c r="I3626" s="35">
        <f>IFERROR(__xludf.DUMMYFUNCTION("""COMPUTED_VALUE"""),31.0)</f>
        <v>31</v>
      </c>
      <c r="J3626" s="35" t="str">
        <f>IFERROR(__xludf.DUMMYFUNCTION("""COMPUTED_VALUE"""),"25-34 tahun")</f>
        <v>25-34 tahun</v>
      </c>
      <c r="K3626" s="35" t="str">
        <f>IFERROR(__xludf.DUMMYFUNCTION("""COMPUTED_VALUE"""),"12/11/1994")</f>
        <v>12/11/1994</v>
      </c>
      <c r="L3626" s="35" t="str">
        <f>IFERROR(__xludf.DUMMYFUNCTION("""COMPUTED_VALUE"""),"LAKI-LAKI")</f>
        <v>LAKI-LAKI</v>
      </c>
      <c r="M3626" s="35" t="str">
        <f>IFERROR(__xludf.DUMMYFUNCTION("""COMPUTED_VALUE"""),"JERUJU PERMAI 2A BLOK F2")</f>
        <v>JERUJU PERMAI 2A BLOK F2</v>
      </c>
      <c r="N3626" s="35" t="str">
        <f>IFERROR(__xludf.DUMMYFUNCTION("""COMPUTED_VALUE"""),"SUNGAIBELIUNG")</f>
        <v>SUNGAIBELIUNG</v>
      </c>
      <c r="O3626" s="35" t="str">
        <f>IFERROR(__xludf.DUMMYFUNCTION("""COMPUTED_VALUE"""),"PONTIANAK BARAT")</f>
        <v>PONTIANAK BARAT</v>
      </c>
      <c r="P3626" s="35" t="str">
        <f>IFERROR(__xludf.DUMMYFUNCTION("""COMPUTED_VALUE"""),"KOTA PONTIANAK")</f>
        <v>KOTA PONTIANAK</v>
      </c>
      <c r="Q3626" s="35" t="str">
        <f>IFERROR(__xludf.DUMMYFUNCTION("""COMPUTED_VALUE"""),"KALIMANTAN BARAT")</f>
        <v>KALIMANTAN BARAT</v>
      </c>
      <c r="R3626" s="35" t="str">
        <f>IFERROR(__xludf.DUMMYFUNCTION("""COMPUTED_VALUE"""),"ISLAM")</f>
        <v>ISLAM</v>
      </c>
      <c r="S3626" s="74" t="str">
        <f>IFERROR(__xludf.DUMMYFUNCTION("""COMPUTED_VALUE"""),"VOKASI FARMASI")</f>
        <v>VOKASI FARMASI</v>
      </c>
      <c r="T3626" s="35" t="str">
        <f>IFERROR(__xludf.DUMMYFUNCTION("""COMPUTED_VALUE"""),"LUTUT KAKI KANAN SERING NYERI KARENA MENOPANG KAKI KIRI YANG CEDERA DISLOKASI LUTUT KIRI BULAN JUNI 2025 ")</f>
        <v>LUTUT KAKI KANAN SERING NYERI KARENA MENOPANG KAKI KIRI YANG CEDERA DISLOKASI LUTUT KIRI BULAN JUNI 2025 </v>
      </c>
      <c r="U3626" s="35" t="str">
        <f>IFERROR(__xludf.DUMMYFUNCTION("""COMPUTED_VALUE"""),"SEPAK BOLA")</f>
        <v>SEPAK BOLA</v>
      </c>
      <c r="V3626" s="35" t="str">
        <f>IFERROR(__xludf.DUMMYFUNCTION("""COMPUTED_VALUE"""),"089694004060")</f>
        <v>089694004060</v>
      </c>
      <c r="W3626" s="45"/>
    </row>
    <row r="3627">
      <c r="A3627" s="45"/>
      <c r="B3627" s="35" t="str">
        <f>IFERROR(__xludf.DUMMYFUNCTION("""COMPUTED_VALUE"""),"01/04/2026 11:44:29")</f>
        <v>01/04/2026 11:44:29</v>
      </c>
      <c r="C3627" s="35"/>
      <c r="D3627" s="10">
        <f>IFERROR(__xludf.DUMMYFUNCTION("""COMPUTED_VALUE"""),46113.0)</f>
        <v>46113</v>
      </c>
      <c r="E3627" s="35" t="str">
        <f>IFERROR(__xludf.DUMMYFUNCTION("""COMPUTED_VALUE"""),"04Apr")</f>
        <v>04Apr</v>
      </c>
      <c r="F3627" s="35"/>
      <c r="G3627" s="35" t="str">
        <f>IFERROR(__xludf.DUMMYFUNCTION("""COMPUTED_VALUE"""),"IGNES JESSICA")</f>
        <v>IGNES JESSICA</v>
      </c>
      <c r="H3627" s="35" t="str">
        <f>IFERROR(__xludf.DUMMYFUNCTION("""COMPUTED_VALUE"""),"I0226040748")</f>
        <v>I0226040748</v>
      </c>
      <c r="I3627" s="35">
        <f>IFERROR(__xludf.DUMMYFUNCTION("""COMPUTED_VALUE"""),23.0)</f>
        <v>23</v>
      </c>
      <c r="J3627" s="35" t="str">
        <f>IFERROR(__xludf.DUMMYFUNCTION("""COMPUTED_VALUE"""),"18-24 tahun")</f>
        <v>18-24 tahun</v>
      </c>
      <c r="K3627" s="35" t="str">
        <f>IFERROR(__xludf.DUMMYFUNCTION("""COMPUTED_VALUE"""),"26/09/2002")</f>
        <v>26/09/2002</v>
      </c>
      <c r="L3627" s="35" t="str">
        <f>IFERROR(__xludf.DUMMYFUNCTION("""COMPUTED_VALUE"""),"PEREMPUAN")</f>
        <v>PEREMPUAN</v>
      </c>
      <c r="M3627" s="35" t="str">
        <f>IFERROR(__xludf.DUMMYFUNCTION("""COMPUTED_VALUE"""),"JALAN PANGLIMA AIM NO 99 TANJUNG RAYA")</f>
        <v>JALAN PANGLIMA AIM NO 99 TANJUNG RAYA</v>
      </c>
      <c r="N3627" s="35" t="str">
        <f>IFERROR(__xludf.DUMMYFUNCTION("""COMPUTED_VALUE"""),"TANJUNG HULU")</f>
        <v>TANJUNG HULU</v>
      </c>
      <c r="O3627" s="35" t="str">
        <f>IFERROR(__xludf.DUMMYFUNCTION("""COMPUTED_VALUE"""),"PONTIANAK TIMUR")</f>
        <v>PONTIANAK TIMUR</v>
      </c>
      <c r="P3627" s="35" t="str">
        <f>IFERROR(__xludf.DUMMYFUNCTION("""COMPUTED_VALUE"""),"PONTIANAK")</f>
        <v>PONTIANAK</v>
      </c>
      <c r="Q3627" s="35" t="str">
        <f>IFERROR(__xludf.DUMMYFUNCTION("""COMPUTED_VALUE"""),"KALIMANTAN BARAT")</f>
        <v>KALIMANTAN BARAT</v>
      </c>
      <c r="R3627" s="35" t="str">
        <f>IFERROR(__xludf.DUMMYFUNCTION("""COMPUTED_VALUE"""),"LAINNYA")</f>
        <v>LAINNYA</v>
      </c>
      <c r="S3627" s="74" t="str">
        <f>IFERROR(__xludf.DUMMYFUNCTION("""COMPUTED_VALUE"""),"TIDAK ADA")</f>
        <v>TIDAK ADA</v>
      </c>
      <c r="T3627" s="35" t="str">
        <f>IFERROR(__xludf.DUMMYFUNCTION("""COMPUTED_VALUE"""),"KETARIK DI TRAPS KIRI")</f>
        <v>KETARIK DI TRAPS KIRI</v>
      </c>
      <c r="U3627" s="35" t="str">
        <f>IFERROR(__xludf.DUMMYFUNCTION("""COMPUTED_VALUE"""),"GYM")</f>
        <v>GYM</v>
      </c>
      <c r="V3627" s="35" t="str">
        <f>IFERROR(__xludf.DUMMYFUNCTION("""COMPUTED_VALUE"""),"089506980748")</f>
        <v>089506980748</v>
      </c>
      <c r="W3627" s="45"/>
    </row>
    <row r="3628">
      <c r="A3628" s="45"/>
      <c r="B3628" s="35" t="str">
        <f>IFERROR(__xludf.DUMMYFUNCTION("""COMPUTED_VALUE"""),"02/04/2026 9:44:07")</f>
        <v>02/04/2026 9:44:07</v>
      </c>
      <c r="C3628" s="35"/>
      <c r="D3628" s="10">
        <f>IFERROR(__xludf.DUMMYFUNCTION("""COMPUTED_VALUE"""),46114.0)</f>
        <v>46114</v>
      </c>
      <c r="E3628" s="35" t="str">
        <f>IFERROR(__xludf.DUMMYFUNCTION("""COMPUTED_VALUE"""),"04Apr")</f>
        <v>04Apr</v>
      </c>
      <c r="F3628" s="35"/>
      <c r="G3628" s="35" t="str">
        <f>IFERROR(__xludf.DUMMYFUNCTION("""COMPUTED_VALUE"""),"SUHADI")</f>
        <v>SUHADI</v>
      </c>
      <c r="H3628" s="35" t="str">
        <f>IFERROR(__xludf.DUMMYFUNCTION("""COMPUTED_VALUE"""),"S6226046575")</f>
        <v>S6226046575</v>
      </c>
      <c r="I3628" s="35">
        <f>IFERROR(__xludf.DUMMYFUNCTION("""COMPUTED_VALUE"""),64.0)</f>
        <v>64</v>
      </c>
      <c r="J3628" s="35" t="str">
        <f>IFERROR(__xludf.DUMMYFUNCTION("""COMPUTED_VALUE"""),"&gt; 44 tahun")</f>
        <v>&gt; 44 tahun</v>
      </c>
      <c r="K3628" s="35" t="str">
        <f>IFERROR(__xludf.DUMMYFUNCTION("""COMPUTED_VALUE"""),"29/03/1962")</f>
        <v>29/03/1962</v>
      </c>
      <c r="L3628" s="35" t="str">
        <f>IFERROR(__xludf.DUMMYFUNCTION("""COMPUTED_VALUE"""),"LAKI-LAKI")</f>
        <v>LAKI-LAKI</v>
      </c>
      <c r="M3628" s="35" t="str">
        <f>IFERROR(__xludf.DUMMYFUNCTION("""COMPUTED_VALUE"""),"JL PARIT TENGKORAK GG CENDANA 1 NO 63")</f>
        <v>JL PARIT TENGKORAK GG CENDANA 1 NO 63</v>
      </c>
      <c r="N3628" s="35" t="str">
        <f>IFERROR(__xludf.DUMMYFUNCTION("""COMPUTED_VALUE"""),"ARANG LIMBUNG ")</f>
        <v>ARANG LIMBUNG </v>
      </c>
      <c r="O3628" s="35" t="str">
        <f>IFERROR(__xludf.DUMMYFUNCTION("""COMPUTED_VALUE"""),"SUNGAI RAYA")</f>
        <v>SUNGAI RAYA</v>
      </c>
      <c r="P3628" s="35" t="str">
        <f>IFERROR(__xludf.DUMMYFUNCTION("""COMPUTED_VALUE"""),"KUBURAYA")</f>
        <v>KUBURAYA</v>
      </c>
      <c r="Q3628" s="35" t="str">
        <f>IFERROR(__xludf.DUMMYFUNCTION("""COMPUTED_VALUE"""),"KALIMANTAN BARAT")</f>
        <v>KALIMANTAN BARAT</v>
      </c>
      <c r="R3628" s="35" t="str">
        <f>IFERROR(__xludf.DUMMYFUNCTION("""COMPUTED_VALUE"""),"ISLAM")</f>
        <v>ISLAM</v>
      </c>
      <c r="S3628" s="74" t="str">
        <f>IFERROR(__xludf.DUMMYFUNCTION("""COMPUTED_VALUE"""),"SWASTA")</f>
        <v>SWASTA</v>
      </c>
      <c r="T3628" s="35" t="str">
        <f>IFERROR(__xludf.DUMMYFUNCTION("""COMPUTED_VALUE"""),"SAKIT PINGGANG, SUSAH BERDIRI TEGAK, JALAN BONGKOK ")</f>
        <v>SAKIT PINGGANG, SUSAH BERDIRI TEGAK, JALAN BONGKOK </v>
      </c>
      <c r="U3628" s="35" t="str">
        <f>IFERROR(__xludf.DUMMYFUNCTION("""COMPUTED_VALUE"""),"DUDUK BEKERJA")</f>
        <v>DUDUK BEKERJA</v>
      </c>
      <c r="V3628" s="35" t="str">
        <f>IFERROR(__xludf.DUMMYFUNCTION("""COMPUTED_VALUE"""),"085754446575")</f>
        <v>085754446575</v>
      </c>
      <c r="W3628" s="45"/>
    </row>
    <row r="3629">
      <c r="A3629" s="45"/>
      <c r="B3629" s="35" t="str">
        <f>IFERROR(__xludf.DUMMYFUNCTION("""COMPUTED_VALUE"""),"02/04/2026 10:40:14")</f>
        <v>02/04/2026 10:40:14</v>
      </c>
      <c r="C3629" s="35"/>
      <c r="D3629" s="10">
        <f>IFERROR(__xludf.DUMMYFUNCTION("""COMPUTED_VALUE"""),46114.0)</f>
        <v>46114</v>
      </c>
      <c r="E3629" s="35" t="str">
        <f>IFERROR(__xludf.DUMMYFUNCTION("""COMPUTED_VALUE"""),"04Apr")</f>
        <v>04Apr</v>
      </c>
      <c r="F3629" s="35"/>
      <c r="G3629" s="35" t="str">
        <f>IFERROR(__xludf.DUMMYFUNCTION("""COMPUTED_VALUE"""),"MUHAMMAD VICTOR")</f>
        <v>MUHAMMAD VICTOR</v>
      </c>
      <c r="H3629" s="35" t="str">
        <f>IFERROR(__xludf.DUMMYFUNCTION("""COMPUTED_VALUE"""),"M9226040008")</f>
        <v>M9226040008</v>
      </c>
      <c r="I3629" s="35">
        <f>IFERROR(__xludf.DUMMYFUNCTION("""COMPUTED_VALUE"""),33.0)</f>
        <v>33</v>
      </c>
      <c r="J3629" s="35" t="str">
        <f>IFERROR(__xludf.DUMMYFUNCTION("""COMPUTED_VALUE"""),"25-34 tahun")</f>
        <v>25-34 tahun</v>
      </c>
      <c r="K3629" s="35" t="str">
        <f>IFERROR(__xludf.DUMMYFUNCTION("""COMPUTED_VALUE"""),"03/07/1992")</f>
        <v>03/07/1992</v>
      </c>
      <c r="L3629" s="35" t="str">
        <f>IFERROR(__xludf.DUMMYFUNCTION("""COMPUTED_VALUE"""),"LAKI-LAKI")</f>
        <v>LAKI-LAKI</v>
      </c>
      <c r="M3629" s="35" t="str">
        <f>IFERROR(__xludf.DUMMYFUNCTION("""COMPUTED_VALUE"""),"JL KARET GG KARET BHAKTI NO B25")</f>
        <v>JL KARET GG KARET BHAKTI NO B25</v>
      </c>
      <c r="N3629" s="35" t="str">
        <f>IFERROR(__xludf.DUMMYFUNCTION("""COMPUTED_VALUE"""),"PAL LIMA")</f>
        <v>PAL LIMA</v>
      </c>
      <c r="O3629" s="35" t="str">
        <f>IFERROR(__xludf.DUMMYFUNCTION("""COMPUTED_VALUE"""),"PONTIANAK BARAT")</f>
        <v>PONTIANAK BARAT</v>
      </c>
      <c r="P3629" s="35" t="str">
        <f>IFERROR(__xludf.DUMMYFUNCTION("""COMPUTED_VALUE"""),"PONTIANAK")</f>
        <v>PONTIANAK</v>
      </c>
      <c r="Q3629" s="35" t="str">
        <f>IFERROR(__xludf.DUMMYFUNCTION("""COMPUTED_VALUE"""),"KALIMANTAN BARAT")</f>
        <v>KALIMANTAN BARAT</v>
      </c>
      <c r="R3629" s="35" t="str">
        <f>IFERROR(__xludf.DUMMYFUNCTION("""COMPUTED_VALUE"""),"ISLAM")</f>
        <v>ISLAM</v>
      </c>
      <c r="S3629" s="74" t="str">
        <f>IFERROR(__xludf.DUMMYFUNCTION("""COMPUTED_VALUE"""),"KARYAWAN SWASTA")</f>
        <v>KARYAWAN SWASTA</v>
      </c>
      <c r="T3629" s="35" t="str">
        <f>IFERROR(__xludf.DUMMYFUNCTION("""COMPUTED_VALUE"""),"SAKIT AREA PINGGANG")</f>
        <v>SAKIT AREA PINGGANG</v>
      </c>
      <c r="U3629" s="35" t="str">
        <f>IFERROR(__xludf.DUMMYFUNCTION("""COMPUTED_VALUE"""),"BEKERJA")</f>
        <v>BEKERJA</v>
      </c>
      <c r="V3629" s="35" t="str">
        <f>IFERROR(__xludf.DUMMYFUNCTION("""COMPUTED_VALUE"""),"082395920008")</f>
        <v>082395920008</v>
      </c>
      <c r="W3629" s="45"/>
    </row>
    <row r="3630">
      <c r="A3630" s="45"/>
      <c r="B3630" s="35" t="str">
        <f>IFERROR(__xludf.DUMMYFUNCTION("""COMPUTED_VALUE"""),"02/04/2026 11:53:52")</f>
        <v>02/04/2026 11:53:52</v>
      </c>
      <c r="C3630" s="35"/>
      <c r="D3630" s="10">
        <f>IFERROR(__xludf.DUMMYFUNCTION("""COMPUTED_VALUE"""),46114.0)</f>
        <v>46114</v>
      </c>
      <c r="E3630" s="35" t="str">
        <f>IFERROR(__xludf.DUMMYFUNCTION("""COMPUTED_VALUE"""),"04Apr")</f>
        <v>04Apr</v>
      </c>
      <c r="F3630" s="35"/>
      <c r="G3630" s="35" t="str">
        <f>IFERROR(__xludf.DUMMYFUNCTION("""COMPUTED_VALUE"""),"SYARIF RIZKI ALKADRI")</f>
        <v>SYARIF RIZKI ALKADRI</v>
      </c>
      <c r="H3630" s="35" t="str">
        <f>IFERROR(__xludf.DUMMYFUNCTION("""COMPUTED_VALUE"""),"S9826046507")</f>
        <v>S9826046507</v>
      </c>
      <c r="I3630" s="35">
        <f>IFERROR(__xludf.DUMMYFUNCTION("""COMPUTED_VALUE"""),28.0)</f>
        <v>28</v>
      </c>
      <c r="J3630" s="35" t="str">
        <f>IFERROR(__xludf.DUMMYFUNCTION("""COMPUTED_VALUE"""),"25-34 tahun")</f>
        <v>25-34 tahun</v>
      </c>
      <c r="K3630" s="35" t="str">
        <f>IFERROR(__xludf.DUMMYFUNCTION("""COMPUTED_VALUE"""),"09/02/1998")</f>
        <v>09/02/1998</v>
      </c>
      <c r="L3630" s="35" t="str">
        <f>IFERROR(__xludf.DUMMYFUNCTION("""COMPUTED_VALUE"""),"LAKI-LAKI")</f>
        <v>LAKI-LAKI</v>
      </c>
      <c r="M3630" s="35" t="str">
        <f>IFERROR(__xludf.DUMMYFUNCTION("""COMPUTED_VALUE"""),"JL. H ABAS, RT/RW : 008/002")</f>
        <v>JL. H ABAS, RT/RW : 008/002</v>
      </c>
      <c r="N3630" s="35" t="str">
        <f>IFERROR(__xludf.DUMMYFUNCTION("""COMPUTED_VALUE"""),"ILIR KOTA")</f>
        <v>ILIR KOTA</v>
      </c>
      <c r="O3630" s="35" t="str">
        <f>IFERROR(__xludf.DUMMYFUNCTION("""COMPUTED_VALUE"""),"KAPUAS")</f>
        <v>KAPUAS</v>
      </c>
      <c r="P3630" s="35" t="str">
        <f>IFERROR(__xludf.DUMMYFUNCTION("""COMPUTED_VALUE"""),"SANGGAU")</f>
        <v>SANGGAU</v>
      </c>
      <c r="Q3630" s="35" t="str">
        <f>IFERROR(__xludf.DUMMYFUNCTION("""COMPUTED_VALUE"""),"KALIMANTAN BARAT")</f>
        <v>KALIMANTAN BARAT</v>
      </c>
      <c r="R3630" s="35" t="str">
        <f>IFERROR(__xludf.DUMMYFUNCTION("""COMPUTED_VALUE"""),"ISLAM")</f>
        <v>ISLAM</v>
      </c>
      <c r="S3630" s="74" t="str">
        <f>IFERROR(__xludf.DUMMYFUNCTION("""COMPUTED_VALUE"""),"KARYAWAN SWASTA")</f>
        <v>KARYAWAN SWASTA</v>
      </c>
      <c r="T3630" s="35" t="str">
        <f>IFERROR(__xludf.DUMMYFUNCTION("""COMPUTED_VALUE"""),"NYERI DI LUTUT BAGIAN LUAR")</f>
        <v>NYERI DI LUTUT BAGIAN LUAR</v>
      </c>
      <c r="U3630" s="35" t="str">
        <f>IFERROR(__xludf.DUMMYFUNCTION("""COMPUTED_VALUE"""),"LARI &amp; BERSEPEDA")</f>
        <v>LARI &amp; BERSEPEDA</v>
      </c>
      <c r="V3630" s="35" t="str">
        <f>IFERROR(__xludf.DUMMYFUNCTION("""COMPUTED_VALUE"""),"085750126507")</f>
        <v>085750126507</v>
      </c>
      <c r="W3630" s="45"/>
    </row>
    <row r="3631">
      <c r="A3631" s="45"/>
      <c r="B3631" s="35" t="str">
        <f>IFERROR(__xludf.DUMMYFUNCTION("""COMPUTED_VALUE"""),"02/04/2026 14:14:05")</f>
        <v>02/04/2026 14:14:05</v>
      </c>
      <c r="C3631" s="35"/>
      <c r="D3631" s="10">
        <f>IFERROR(__xludf.DUMMYFUNCTION("""COMPUTED_VALUE"""),46114.0)</f>
        <v>46114</v>
      </c>
      <c r="E3631" s="35" t="str">
        <f>IFERROR(__xludf.DUMMYFUNCTION("""COMPUTED_VALUE"""),"04Apr")</f>
        <v>04Apr</v>
      </c>
      <c r="F3631" s="35"/>
      <c r="G3631" s="35" t="str">
        <f>IFERROR(__xludf.DUMMYFUNCTION("""COMPUTED_VALUE"""),"ACHMAD DHARMIANTO")</f>
        <v>ACHMAD DHARMIANTO</v>
      </c>
      <c r="H3631" s="35" t="str">
        <f>IFERROR(__xludf.DUMMYFUNCTION("""COMPUTED_VALUE"""),"A7926043769")</f>
        <v>A7926043769</v>
      </c>
      <c r="I3631" s="35">
        <f>IFERROR(__xludf.DUMMYFUNCTION("""COMPUTED_VALUE"""),46.0)</f>
        <v>46</v>
      </c>
      <c r="J3631" s="35" t="str">
        <f>IFERROR(__xludf.DUMMYFUNCTION("""COMPUTED_VALUE"""),"&gt; 44 tahun")</f>
        <v>&gt; 44 tahun</v>
      </c>
      <c r="K3631" s="35" t="str">
        <f>IFERROR(__xludf.DUMMYFUNCTION("""COMPUTED_VALUE"""),"04/12/1979")</f>
        <v>04/12/1979</v>
      </c>
      <c r="L3631" s="35" t="str">
        <f>IFERROR(__xludf.DUMMYFUNCTION("""COMPUTED_VALUE"""),"LAKI-LAKI")</f>
        <v>LAKI-LAKI</v>
      </c>
      <c r="M3631" s="35" t="str">
        <f>IFERROR(__xludf.DUMMYFUNCTION("""COMPUTED_VALUE"""),"JLN. MASJID VII NO. 22")</f>
        <v>JLN. MASJID VII NO. 22</v>
      </c>
      <c r="N3631" s="35" t="str">
        <f>IFERROR(__xludf.DUMMYFUNCTION("""COMPUTED_VALUE"""),"GANDARIA UTARA")</f>
        <v>GANDARIA UTARA</v>
      </c>
      <c r="O3631" s="35" t="str">
        <f>IFERROR(__xludf.DUMMYFUNCTION("""COMPUTED_VALUE"""),"KEBAYORAN BARU")</f>
        <v>KEBAYORAN BARU</v>
      </c>
      <c r="P3631" s="35" t="str">
        <f>IFERROR(__xludf.DUMMYFUNCTION("""COMPUTED_VALUE"""),"JAKARTA SELATAN")</f>
        <v>JAKARTA SELATAN</v>
      </c>
      <c r="Q3631" s="35" t="str">
        <f>IFERROR(__xludf.DUMMYFUNCTION("""COMPUTED_VALUE"""),"DKI JAKARTA")</f>
        <v>DKI JAKARTA</v>
      </c>
      <c r="R3631" s="35" t="str">
        <f>IFERROR(__xludf.DUMMYFUNCTION("""COMPUTED_VALUE"""),"ISLAM")</f>
        <v>ISLAM</v>
      </c>
      <c r="S3631" s="74" t="str">
        <f>IFERROR(__xludf.DUMMYFUNCTION("""COMPUTED_VALUE"""),"POLRI")</f>
        <v>POLRI</v>
      </c>
      <c r="T3631" s="35" t="str">
        <f>IFERROR(__xludf.DUMMYFUNCTION("""COMPUTED_VALUE"""),"BAHU DAN LUTUT CEDERA")</f>
        <v>BAHU DAN LUTUT CEDERA</v>
      </c>
      <c r="U3631" s="35" t="str">
        <f>IFERROR(__xludf.DUMMYFUNCTION("""COMPUTED_VALUE"""),"GYM DAN TENNIS LAPANGAN")</f>
        <v>GYM DAN TENNIS LAPANGAN</v>
      </c>
      <c r="V3631" s="35" t="str">
        <f>IFERROR(__xludf.DUMMYFUNCTION("""COMPUTED_VALUE"""),"0895705033769")</f>
        <v>0895705033769</v>
      </c>
      <c r="W3631" s="45"/>
    </row>
    <row r="3632">
      <c r="A3632" s="45"/>
      <c r="B3632" s="35" t="str">
        <f>IFERROR(__xludf.DUMMYFUNCTION("""COMPUTED_VALUE"""),"02/04/2026 17:26:14")</f>
        <v>02/04/2026 17:26:14</v>
      </c>
      <c r="C3632" s="35"/>
      <c r="D3632" s="10">
        <f>IFERROR(__xludf.DUMMYFUNCTION("""COMPUTED_VALUE"""),46114.0)</f>
        <v>46114</v>
      </c>
      <c r="E3632" s="35" t="str">
        <f>IFERROR(__xludf.DUMMYFUNCTION("""COMPUTED_VALUE"""),"04Apr")</f>
        <v>04Apr</v>
      </c>
      <c r="F3632" s="35"/>
      <c r="G3632" s="35" t="str">
        <f>IFERROR(__xludf.DUMMYFUNCTION("""COMPUTED_VALUE"""),"WINARSIH")</f>
        <v>WINARSIH</v>
      </c>
      <c r="H3632" s="35" t="str">
        <f>IFERROR(__xludf.DUMMYFUNCTION("""COMPUTED_VALUE"""),"W7626048376")</f>
        <v>W7626048376</v>
      </c>
      <c r="I3632" s="35">
        <f>IFERROR(__xludf.DUMMYFUNCTION("""COMPUTED_VALUE"""),50.0)</f>
        <v>50</v>
      </c>
      <c r="J3632" s="35" t="str">
        <f>IFERROR(__xludf.DUMMYFUNCTION("""COMPUTED_VALUE"""),"&gt; 44 tahun")</f>
        <v>&gt; 44 tahun</v>
      </c>
      <c r="K3632" s="35" t="str">
        <f>IFERROR(__xludf.DUMMYFUNCTION("""COMPUTED_VALUE"""),"16/02/1976")</f>
        <v>16/02/1976</v>
      </c>
      <c r="L3632" s="35" t="str">
        <f>IFERROR(__xludf.DUMMYFUNCTION("""COMPUTED_VALUE"""),"PEREMPUAN")</f>
        <v>PEREMPUAN</v>
      </c>
      <c r="M3632" s="35" t="str">
        <f>IFERROR(__xludf.DUMMYFUNCTION("""COMPUTED_VALUE"""),"JL ARTERI SUPADIO JLN WONODADI 2 RT 06 RW 11")</f>
        <v>JL ARTERI SUPADIO JLN WONODADI 2 RT 06 RW 11</v>
      </c>
      <c r="N3632" s="35" t="str">
        <f>IFERROR(__xludf.DUMMYFUNCTION("""COMPUTED_VALUE"""),"DESA ARANG LIMBUNG ")</f>
        <v>DESA ARANG LIMBUNG </v>
      </c>
      <c r="O3632" s="35" t="str">
        <f>IFERROR(__xludf.DUMMYFUNCTION("""COMPUTED_VALUE"""),"KEC SUI RAYA ")</f>
        <v>KEC SUI RAYA </v>
      </c>
      <c r="P3632" s="35" t="str">
        <f>IFERROR(__xludf.DUMMYFUNCTION("""COMPUTED_VALUE"""),"KAB KUBU RAYA ")</f>
        <v>KAB KUBU RAYA </v>
      </c>
      <c r="Q3632" s="35" t="str">
        <f>IFERROR(__xludf.DUMMYFUNCTION("""COMPUTED_VALUE"""),"PONTIANAK ")</f>
        <v>PONTIANAK </v>
      </c>
      <c r="R3632" s="35" t="str">
        <f>IFERROR(__xludf.DUMMYFUNCTION("""COMPUTED_VALUE"""),"ISLAM")</f>
        <v>ISLAM</v>
      </c>
      <c r="S3632" s="74" t="str">
        <f>IFERROR(__xludf.DUMMYFUNCTION("""COMPUTED_VALUE"""),"IBU RUMAH TANGGA ")</f>
        <v>IBU RUMAH TANGGA </v>
      </c>
      <c r="T3632" s="35" t="str">
        <f>IFERROR(__xludf.DUMMYFUNCTION("""COMPUTED_VALUE"""),"JARI TANGAN KELINGKING DAN JARI MANIS SEBAL , YG PALING SAKIT PAHA BAGIAN BELAKANG SAMPAI KE EKOR, TKALI BERDIRI DAN BERJALAN SAKIT SEKALI, BADAN TERASA LEMAS")</f>
        <v>JARI TANGAN KELINGKING DAN JARI MANIS SEBAL , YG PALING SAKIT PAHA BAGIAN BELAKANG SAMPAI KE EKOR, TKALI BERDIRI DAN BERJALAN SAKIT SEKALI, BADAN TERASA LEMAS</v>
      </c>
      <c r="U3632" s="35" t="str">
        <f>IFERROR(__xludf.DUMMYFUNCTION("""COMPUTED_VALUE"""),"AKTITAS SEHARI 2 SEMUA KEGIATAN RUMAH DILAKUKAN")</f>
        <v>AKTITAS SEHARI 2 SEMUA KEGIATAN RUMAH DILAKUKAN</v>
      </c>
      <c r="V3632" s="35" t="str">
        <f>IFERROR(__xludf.DUMMYFUNCTION("""COMPUTED_VALUE"""),"082157058376")</f>
        <v>082157058376</v>
      </c>
      <c r="W3632" s="45"/>
    </row>
    <row r="3633">
      <c r="A3633" s="45"/>
      <c r="B3633" s="35" t="str">
        <f>IFERROR(__xludf.DUMMYFUNCTION("""COMPUTED_VALUE"""),"04/04/2026 9:36:39")</f>
        <v>04/04/2026 9:36:39</v>
      </c>
      <c r="C3633" s="35"/>
      <c r="D3633" s="10">
        <f>IFERROR(__xludf.DUMMYFUNCTION("""COMPUTED_VALUE"""),46116.0)</f>
        <v>46116</v>
      </c>
      <c r="E3633" s="35" t="str">
        <f>IFERROR(__xludf.DUMMYFUNCTION("""COMPUTED_VALUE"""),"04Apr")</f>
        <v>04Apr</v>
      </c>
      <c r="F3633" s="35"/>
      <c r="G3633" s="35" t="str">
        <f>IFERROR(__xludf.DUMMYFUNCTION("""COMPUTED_VALUE"""),"AMRI PRATAMA")</f>
        <v>AMRI PRATAMA</v>
      </c>
      <c r="H3633" s="35" t="str">
        <f>IFERROR(__xludf.DUMMYFUNCTION("""COMPUTED_VALUE"""),"A9226048424")</f>
        <v>A9226048424</v>
      </c>
      <c r="I3633" s="35">
        <f>IFERROR(__xludf.DUMMYFUNCTION("""COMPUTED_VALUE"""),33.0)</f>
        <v>33</v>
      </c>
      <c r="J3633" s="35" t="str">
        <f>IFERROR(__xludf.DUMMYFUNCTION("""COMPUTED_VALUE"""),"25-34 tahun")</f>
        <v>25-34 tahun</v>
      </c>
      <c r="K3633" s="35" t="str">
        <f>IFERROR(__xludf.DUMMYFUNCTION("""COMPUTED_VALUE"""),"04/08/1992")</f>
        <v>04/08/1992</v>
      </c>
      <c r="L3633" s="35" t="str">
        <f>IFERROR(__xludf.DUMMYFUNCTION("""COMPUTED_VALUE"""),"LAKI-LAKI")</f>
        <v>LAKI-LAKI</v>
      </c>
      <c r="M3633" s="35" t="str">
        <f>IFERROR(__xludf.DUMMYFUNCTION("""COMPUTED_VALUE"""),"JALAN PADAT KARYA GG. KARYA BARU NO. A1")</f>
        <v>JALAN PADAT KARYA GG. KARYA BARU NO. A1</v>
      </c>
      <c r="N3633" s="35" t="str">
        <f>IFERROR(__xludf.DUMMYFUNCTION("""COMPUTED_VALUE"""),"BANSIR DARAT")</f>
        <v>BANSIR DARAT</v>
      </c>
      <c r="O3633" s="35" t="str">
        <f>IFERROR(__xludf.DUMMYFUNCTION("""COMPUTED_VALUE"""),"PONTIANAK TENGGARA")</f>
        <v>PONTIANAK TENGGARA</v>
      </c>
      <c r="P3633" s="35" t="str">
        <f>IFERROR(__xludf.DUMMYFUNCTION("""COMPUTED_VALUE"""),"KOTA PONTIANAK")</f>
        <v>KOTA PONTIANAK</v>
      </c>
      <c r="Q3633" s="35" t="str">
        <f>IFERROR(__xludf.DUMMYFUNCTION("""COMPUTED_VALUE"""),"KALIMANTAN BARAT")</f>
        <v>KALIMANTAN BARAT</v>
      </c>
      <c r="R3633" s="35" t="str">
        <f>IFERROR(__xludf.DUMMYFUNCTION("""COMPUTED_VALUE"""),"ISLAM")</f>
        <v>ISLAM</v>
      </c>
      <c r="S3633" s="74" t="str">
        <f>IFERROR(__xludf.DUMMYFUNCTION("""COMPUTED_VALUE"""),"PNS")</f>
        <v>PNS</v>
      </c>
      <c r="T3633" s="35" t="str">
        <f>IFERROR(__xludf.DUMMYFUNCTION("""COMPUTED_VALUE"""),"JARI MANIS SEBELAH KIRI TERKILIR JADI TIDAK BISA LURUS")</f>
        <v>JARI MANIS SEBELAH KIRI TERKILIR JADI TIDAK BISA LURUS</v>
      </c>
      <c r="U3633" s="35" t="str">
        <f>IFERROR(__xludf.DUMMYFUNCTION("""COMPUTED_VALUE"""),"BISA TERJADI DEMIKIAN PAS KEMAREN LAGI MASUKKAN BAJU KOTOR KE TAS LAUNDRY")</f>
        <v>BISA TERJADI DEMIKIAN PAS KEMAREN LAGI MASUKKAN BAJU KOTOR KE TAS LAUNDRY</v>
      </c>
      <c r="V3633" s="35" t="str">
        <f>IFERROR(__xludf.DUMMYFUNCTION("""COMPUTED_VALUE"""),"087789068424")</f>
        <v>087789068424</v>
      </c>
      <c r="W3633" s="45"/>
    </row>
    <row r="3634">
      <c r="A3634" s="45"/>
      <c r="B3634" s="35" t="str">
        <f>IFERROR(__xludf.DUMMYFUNCTION("""COMPUTED_VALUE"""),"04/04/2026 9:46:43")</f>
        <v>04/04/2026 9:46:43</v>
      </c>
      <c r="C3634" s="35"/>
      <c r="D3634" s="10">
        <f>IFERROR(__xludf.DUMMYFUNCTION("""COMPUTED_VALUE"""),46116.0)</f>
        <v>46116</v>
      </c>
      <c r="E3634" s="35" t="str">
        <f>IFERROR(__xludf.DUMMYFUNCTION("""COMPUTED_VALUE"""),"04Apr")</f>
        <v>04Apr</v>
      </c>
      <c r="F3634" s="35"/>
      <c r="G3634" s="35" t="str">
        <f>IFERROR(__xludf.DUMMYFUNCTION("""COMPUTED_VALUE"""),"MASITA LESTARI")</f>
        <v>MASITA LESTARI</v>
      </c>
      <c r="H3634" s="35" t="str">
        <f>IFERROR(__xludf.DUMMYFUNCTION("""COMPUTED_VALUE"""),"M8526041100")</f>
        <v>M8526041100</v>
      </c>
      <c r="I3634" s="35">
        <f>IFERROR(__xludf.DUMMYFUNCTION("""COMPUTED_VALUE"""),40.0)</f>
        <v>40</v>
      </c>
      <c r="J3634" s="35" t="str">
        <f>IFERROR(__xludf.DUMMYFUNCTION("""COMPUTED_VALUE"""),"35-44 tahun")</f>
        <v>35-44 tahun</v>
      </c>
      <c r="K3634" s="35" t="str">
        <f>IFERROR(__xludf.DUMMYFUNCTION("""COMPUTED_VALUE"""),"28/06/1985")</f>
        <v>28/06/1985</v>
      </c>
      <c r="L3634" s="35" t="str">
        <f>IFERROR(__xludf.DUMMYFUNCTION("""COMPUTED_VALUE"""),"PEREMPUAN")</f>
        <v>PEREMPUAN</v>
      </c>
      <c r="M3634" s="35" t="str">
        <f>IFERROR(__xludf.DUMMYFUNCTION("""COMPUTED_VALUE"""),"JL PARIT H HUSIN 2 KOMP ACISA PERMAI NO 42")</f>
        <v>JL PARIT H HUSIN 2 KOMP ACISA PERMAI NO 42</v>
      </c>
      <c r="N3634" s="35" t="str">
        <f>IFERROR(__xludf.DUMMYFUNCTION("""COMPUTED_VALUE"""),"BANGKA BELITUNG DARAT")</f>
        <v>BANGKA BELITUNG DARAT</v>
      </c>
      <c r="O3634" s="35" t="str">
        <f>IFERROR(__xludf.DUMMYFUNCTION("""COMPUTED_VALUE"""),"PONTIANAK TENGGARA")</f>
        <v>PONTIANAK TENGGARA</v>
      </c>
      <c r="P3634" s="35" t="str">
        <f>IFERROR(__xludf.DUMMYFUNCTION("""COMPUTED_VALUE"""),"PONTIANAK")</f>
        <v>PONTIANAK</v>
      </c>
      <c r="Q3634" s="35" t="str">
        <f>IFERROR(__xludf.DUMMYFUNCTION("""COMPUTED_VALUE"""),"KALIMANTAN BARAT")</f>
        <v>KALIMANTAN BARAT</v>
      </c>
      <c r="R3634" s="35" t="str">
        <f>IFERROR(__xludf.DUMMYFUNCTION("""COMPUTED_VALUE"""),"ISLAM")</f>
        <v>ISLAM</v>
      </c>
      <c r="S3634" s="74" t="str">
        <f>IFERROR(__xludf.DUMMYFUNCTION("""COMPUTED_VALUE"""),"PENSIUNAN")</f>
        <v>PENSIUNAN</v>
      </c>
      <c r="T3634" s="35" t="str">
        <f>IFERROR(__xludf.DUMMYFUNCTION("""COMPUTED_VALUE"""),"OTOT PUNGGUNG HINGGA TANGAN")</f>
        <v>OTOT PUNGGUNG HINGGA TANGAN</v>
      </c>
      <c r="U3634" s="35" t="str">
        <f>IFERROR(__xludf.DUMMYFUNCTION("""COMPUTED_VALUE"""),"-")</f>
        <v>-</v>
      </c>
      <c r="V3634" s="35" t="str">
        <f>IFERROR(__xludf.DUMMYFUNCTION("""COMPUTED_VALUE"""),"081257501100")</f>
        <v>081257501100</v>
      </c>
      <c r="W3634" s="45"/>
    </row>
    <row r="3635">
      <c r="A3635" s="45"/>
      <c r="B3635" s="35" t="str">
        <f>IFERROR(__xludf.DUMMYFUNCTION("""COMPUTED_VALUE"""),"03/04/2026 22:04:07")</f>
        <v>03/04/2026 22:04:07</v>
      </c>
      <c r="C3635" s="35"/>
      <c r="D3635" s="10">
        <f>IFERROR(__xludf.DUMMYFUNCTION("""COMPUTED_VALUE"""),46116.0)</f>
        <v>46116</v>
      </c>
      <c r="E3635" s="35" t="str">
        <f>IFERROR(__xludf.DUMMYFUNCTION("""COMPUTED_VALUE"""),"04Apr")</f>
        <v>04Apr</v>
      </c>
      <c r="F3635" s="35"/>
      <c r="G3635" s="35" t="str">
        <f>IFERROR(__xludf.DUMMYFUNCTION("""COMPUTED_VALUE"""),"RADEN SRI BINTANG PAMUNGKAS")</f>
        <v>RADEN SRI BINTANG PAMUNGKAS</v>
      </c>
      <c r="H3635" s="35" t="str">
        <f>IFERROR(__xludf.DUMMYFUNCTION("""COMPUTED_VALUE"""),"R8726044959")</f>
        <v>R8726044959</v>
      </c>
      <c r="I3635" s="35">
        <f>IFERROR(__xludf.DUMMYFUNCTION("""COMPUTED_VALUE"""),38.0)</f>
        <v>38</v>
      </c>
      <c r="J3635" s="35" t="str">
        <f>IFERROR(__xludf.DUMMYFUNCTION("""COMPUTED_VALUE"""),"35-44 tahun")</f>
        <v>35-44 tahun</v>
      </c>
      <c r="K3635" s="35" t="str">
        <f>IFERROR(__xludf.DUMMYFUNCTION("""COMPUTED_VALUE"""),"30/06/1987")</f>
        <v>30/06/1987</v>
      </c>
      <c r="L3635" s="35" t="str">
        <f>IFERROR(__xludf.DUMMYFUNCTION("""COMPUTED_VALUE"""),"LAKI-LAKI")</f>
        <v>LAKI-LAKI</v>
      </c>
      <c r="M3635" s="35" t="str">
        <f>IFERROR(__xludf.DUMMYFUNCTION("""COMPUTED_VALUE"""),"JL TEBU KOMPLEK TEBU MANDALA A 17")</f>
        <v>JL TEBU KOMPLEK TEBU MANDALA A 17</v>
      </c>
      <c r="N3635" s="35" t="str">
        <f>IFERROR(__xludf.DUMMYFUNCTION("""COMPUTED_VALUE"""),"SUNGAI JAWI DALAM")</f>
        <v>SUNGAI JAWI DALAM</v>
      </c>
      <c r="O3635" s="35" t="str">
        <f>IFERROR(__xludf.DUMMYFUNCTION("""COMPUTED_VALUE"""),"PONTIANAK BARAT")</f>
        <v>PONTIANAK BARAT</v>
      </c>
      <c r="P3635" s="35" t="str">
        <f>IFERROR(__xludf.DUMMYFUNCTION("""COMPUTED_VALUE"""),"PONTIANAK")</f>
        <v>PONTIANAK</v>
      </c>
      <c r="Q3635" s="35" t="str">
        <f>IFERROR(__xludf.DUMMYFUNCTION("""COMPUTED_VALUE"""),"KALIMANTAN BARAT")</f>
        <v>KALIMANTAN BARAT</v>
      </c>
      <c r="R3635" s="35" t="str">
        <f>IFERROR(__xludf.DUMMYFUNCTION("""COMPUTED_VALUE"""),"ISLAM")</f>
        <v>ISLAM</v>
      </c>
      <c r="S3635" s="74" t="str">
        <f>IFERROR(__xludf.DUMMYFUNCTION("""COMPUTED_VALUE"""),"ASN")</f>
        <v>ASN</v>
      </c>
      <c r="T3635" s="35" t="str">
        <f>IFERROR(__xludf.DUMMYFUNCTION("""COMPUTED_VALUE"""),"CIDERA PINGGANG")</f>
        <v>CIDERA PINGGANG</v>
      </c>
      <c r="U3635" s="35" t="str">
        <f>IFERROR(__xludf.DUMMYFUNCTION("""COMPUTED_VALUE"""),"GYM, SEPAK BOLA, DUDUK LAMA")</f>
        <v>GYM, SEPAK BOLA, DUDUK LAMA</v>
      </c>
      <c r="V3635" s="35" t="str">
        <f>IFERROR(__xludf.DUMMYFUNCTION("""COMPUTED_VALUE"""),"085720594959")</f>
        <v>085720594959</v>
      </c>
      <c r="W3635" s="45"/>
    </row>
    <row r="3636">
      <c r="A3636" s="45"/>
      <c r="B3636" s="35" t="str">
        <f>IFERROR(__xludf.DUMMYFUNCTION("""COMPUTED_VALUE"""),"04/04/2026 10:58:32")</f>
        <v>04/04/2026 10:58:32</v>
      </c>
      <c r="C3636" s="35"/>
      <c r="D3636" s="10">
        <f>IFERROR(__xludf.DUMMYFUNCTION("""COMPUTED_VALUE"""),46116.0)</f>
        <v>46116</v>
      </c>
      <c r="E3636" s="35" t="str">
        <f>IFERROR(__xludf.DUMMYFUNCTION("""COMPUTED_VALUE"""),"04Apr")</f>
        <v>04Apr</v>
      </c>
      <c r="F3636" s="35"/>
      <c r="G3636" s="35" t="str">
        <f>IFERROR(__xludf.DUMMYFUNCTION("""COMPUTED_VALUE"""),"MUHAMMAD ASWIN")</f>
        <v>MUHAMMAD ASWIN</v>
      </c>
      <c r="H3636" s="35" t="str">
        <f>IFERROR(__xludf.DUMMYFUNCTION("""COMPUTED_VALUE"""),"M9326042115")</f>
        <v>M9326042115</v>
      </c>
      <c r="I3636" s="35">
        <f>IFERROR(__xludf.DUMMYFUNCTION("""COMPUTED_VALUE"""),32.0)</f>
        <v>32</v>
      </c>
      <c r="J3636" s="35" t="str">
        <f>IFERROR(__xludf.DUMMYFUNCTION("""COMPUTED_VALUE"""),"25-34 tahun")</f>
        <v>25-34 tahun</v>
      </c>
      <c r="K3636" s="35" t="str">
        <f>IFERROR(__xludf.DUMMYFUNCTION("""COMPUTED_VALUE"""),"20/06/1993")</f>
        <v>20/06/1993</v>
      </c>
      <c r="L3636" s="35" t="str">
        <f>IFERROR(__xludf.DUMMYFUNCTION("""COMPUTED_VALUE"""),"LAKI-LAKI")</f>
        <v>LAKI-LAKI</v>
      </c>
      <c r="M3636" s="35" t="str">
        <f>IFERROR(__xludf.DUMMYFUNCTION("""COMPUTED_VALUE"""),"SEMITAU")</f>
        <v>SEMITAU</v>
      </c>
      <c r="N3636" s="35" t="str">
        <f>IFERROR(__xludf.DUMMYFUNCTION("""COMPUTED_VALUE"""),"SEMITAU HULU")</f>
        <v>SEMITAU HULU</v>
      </c>
      <c r="O3636" s="35" t="str">
        <f>IFERROR(__xludf.DUMMYFUNCTION("""COMPUTED_VALUE"""),"SEMITAU ")</f>
        <v>SEMITAU </v>
      </c>
      <c r="P3636" s="35" t="str">
        <f>IFERROR(__xludf.DUMMYFUNCTION("""COMPUTED_VALUE"""),"KAPUAS HULU ")</f>
        <v>KAPUAS HULU </v>
      </c>
      <c r="Q3636" s="35" t="str">
        <f>IFERROR(__xludf.DUMMYFUNCTION("""COMPUTED_VALUE"""),"KALIMANTAN BARAT ")</f>
        <v>KALIMANTAN BARAT </v>
      </c>
      <c r="R3636" s="35" t="str">
        <f>IFERROR(__xludf.DUMMYFUNCTION("""COMPUTED_VALUE"""),"ISLAM")</f>
        <v>ISLAM</v>
      </c>
      <c r="S3636" s="74" t="str">
        <f>IFERROR(__xludf.DUMMYFUNCTION("""COMPUTED_VALUE"""),"WIRASWASTA ")</f>
        <v>WIRASWASTA </v>
      </c>
      <c r="T3636" s="35" t="str">
        <f>IFERROR(__xludf.DUMMYFUNCTION("""COMPUTED_VALUE"""),"TULANG EKOR BENGKOK ")</f>
        <v>TULANG EKOR BENGKOK </v>
      </c>
      <c r="U3636" s="35" t="str">
        <f>IFERROR(__xludf.DUMMYFUNCTION("""COMPUTED_VALUE"""),"OLAHRAGA ")</f>
        <v>OLAHRAGA </v>
      </c>
      <c r="V3636" s="35" t="str">
        <f>IFERROR(__xludf.DUMMYFUNCTION("""COMPUTED_VALUE"""),"085752222115")</f>
        <v>085752222115</v>
      </c>
      <c r="W3636" s="45"/>
    </row>
    <row r="3637">
      <c r="A3637" s="45"/>
      <c r="B3637" s="35" t="str">
        <f>IFERROR(__xludf.DUMMYFUNCTION("""COMPUTED_VALUE"""),"04/04/2026 12:27:28")</f>
        <v>04/04/2026 12:27:28</v>
      </c>
      <c r="C3637" s="35"/>
      <c r="D3637" s="10">
        <f>IFERROR(__xludf.DUMMYFUNCTION("""COMPUTED_VALUE"""),46116.0)</f>
        <v>46116</v>
      </c>
      <c r="E3637" s="35" t="str">
        <f>IFERROR(__xludf.DUMMYFUNCTION("""COMPUTED_VALUE"""),"04Apr")</f>
        <v>04Apr</v>
      </c>
      <c r="F3637" s="35"/>
      <c r="G3637" s="35" t="str">
        <f>IFERROR(__xludf.DUMMYFUNCTION("""COMPUTED_VALUE"""),"DAVI ANUGRAH")</f>
        <v>DAVI ANUGRAH</v>
      </c>
      <c r="H3637" s="35" t="str">
        <f>IFERROR(__xludf.DUMMYFUNCTION("""COMPUTED_VALUE"""),"D0826049412")</f>
        <v>D0826049412</v>
      </c>
      <c r="I3637" s="35">
        <f>IFERROR(__xludf.DUMMYFUNCTION("""COMPUTED_VALUE"""),17.0)</f>
        <v>17</v>
      </c>
      <c r="J3637" s="35" t="str">
        <f>IFERROR(__xludf.DUMMYFUNCTION("""COMPUTED_VALUE"""),"&lt; 18 tahun")</f>
        <v>&lt; 18 tahun</v>
      </c>
      <c r="K3637" s="35" t="str">
        <f>IFERROR(__xludf.DUMMYFUNCTION("""COMPUTED_VALUE"""),"05/10/2008")</f>
        <v>05/10/2008</v>
      </c>
      <c r="L3637" s="35" t="str">
        <f>IFERROR(__xludf.DUMMYFUNCTION("""COMPUTED_VALUE"""),"LAKI-LAKI")</f>
        <v>LAKI-LAKI</v>
      </c>
      <c r="M3637" s="35" t="str">
        <f>IFERROR(__xludf.DUMMYFUNCTION("""COMPUTED_VALUE"""),"JLN KARYA BAKTI NO 10")</f>
        <v>JLN KARYA BAKTI NO 10</v>
      </c>
      <c r="N3637" s="35" t="str">
        <f>IFERROR(__xludf.DUMMYFUNCTION("""COMPUTED_VALUE"""),"SAMPIT")</f>
        <v>SAMPIT</v>
      </c>
      <c r="O3637" s="35" t="str">
        <f>IFERROR(__xludf.DUMMYFUNCTION("""COMPUTED_VALUE"""),"DELTWA PAWAN")</f>
        <v>DELTWA PAWAN</v>
      </c>
      <c r="P3637" s="35" t="str">
        <f>IFERROR(__xludf.DUMMYFUNCTION("""COMPUTED_VALUE"""),"KETAPANG")</f>
        <v>KETAPANG</v>
      </c>
      <c r="Q3637" s="35" t="str">
        <f>IFERROR(__xludf.DUMMYFUNCTION("""COMPUTED_VALUE"""),"KALIMANTAN BARAT")</f>
        <v>KALIMANTAN BARAT</v>
      </c>
      <c r="R3637" s="35" t="str">
        <f>IFERROR(__xludf.DUMMYFUNCTION("""COMPUTED_VALUE"""),"ISLAM")</f>
        <v>ISLAM</v>
      </c>
      <c r="S3637" s="74" t="str">
        <f>IFERROR(__xludf.DUMMYFUNCTION("""COMPUTED_VALUE"""),"PELAJAR")</f>
        <v>PELAJAR</v>
      </c>
      <c r="T3637" s="35" t="str">
        <f>IFERROR(__xludf.DUMMYFUNCTION("""COMPUTED_VALUE"""),"KAKI X")</f>
        <v>KAKI X</v>
      </c>
      <c r="U3637" s="35" t="str">
        <f>IFERROR(__xludf.DUMMYFUNCTION("""COMPUTED_VALUE"""),"JOGGING")</f>
        <v>JOGGING</v>
      </c>
      <c r="V3637" s="35" t="str">
        <f>IFERROR(__xludf.DUMMYFUNCTION("""COMPUTED_VALUE"""),"0895404929412")</f>
        <v>0895404929412</v>
      </c>
      <c r="W3637" s="45"/>
    </row>
    <row r="3638">
      <c r="A3638" s="45"/>
      <c r="B3638" s="35" t="str">
        <f>IFERROR(__xludf.DUMMYFUNCTION("""COMPUTED_VALUE"""),"04/04/2026 13:51:30")</f>
        <v>04/04/2026 13:51:30</v>
      </c>
      <c r="C3638" s="35"/>
      <c r="D3638" s="10">
        <f>IFERROR(__xludf.DUMMYFUNCTION("""COMPUTED_VALUE"""),46116.0)</f>
        <v>46116</v>
      </c>
      <c r="E3638" s="35" t="str">
        <f>IFERROR(__xludf.DUMMYFUNCTION("""COMPUTED_VALUE"""),"04Apr")</f>
        <v>04Apr</v>
      </c>
      <c r="F3638" s="35"/>
      <c r="G3638" s="35" t="str">
        <f>IFERROR(__xludf.DUMMYFUNCTION("""COMPUTED_VALUE"""),"CAHYANI ANUGRAH SUBEKTI")</f>
        <v>CAHYANI ANUGRAH SUBEKTI</v>
      </c>
      <c r="H3638" s="35" t="str">
        <f>IFERROR(__xludf.DUMMYFUNCTION("""COMPUTED_VALUE"""),"C9226044998")</f>
        <v>C9226044998</v>
      </c>
      <c r="I3638" s="35">
        <f>IFERROR(__xludf.DUMMYFUNCTION("""COMPUTED_VALUE"""),34.0)</f>
        <v>34</v>
      </c>
      <c r="J3638" s="35" t="str">
        <f>IFERROR(__xludf.DUMMYFUNCTION("""COMPUTED_VALUE"""),"25-34 tahun")</f>
        <v>25-34 tahun</v>
      </c>
      <c r="K3638" s="35" t="str">
        <f>IFERROR(__xludf.DUMMYFUNCTION("""COMPUTED_VALUE"""),"15/03/1992")</f>
        <v>15/03/1992</v>
      </c>
      <c r="L3638" s="35" t="str">
        <f>IFERROR(__xludf.DUMMYFUNCTION("""COMPUTED_VALUE"""),"PEREMPUAN")</f>
        <v>PEREMPUAN</v>
      </c>
      <c r="M3638" s="35" t="str">
        <f>IFERROR(__xludf.DUMMYFUNCTION("""COMPUTED_VALUE"""),"JL GUSTI HAMZAH GANG PANCASILA IV NO 86")</f>
        <v>JL GUSTI HAMZAH GANG PANCASILA IV NO 86</v>
      </c>
      <c r="N3638" s="35" t="str">
        <f>IFERROR(__xludf.DUMMYFUNCTION("""COMPUTED_VALUE"""),"SEI BANGKONG")</f>
        <v>SEI BANGKONG</v>
      </c>
      <c r="O3638" s="35" t="str">
        <f>IFERROR(__xludf.DUMMYFUNCTION("""COMPUTED_VALUE"""),"PONTIANAK KOTA")</f>
        <v>PONTIANAK KOTA</v>
      </c>
      <c r="P3638" s="35" t="str">
        <f>IFERROR(__xludf.DUMMYFUNCTION("""COMPUTED_VALUE"""),"PONTIANAK")</f>
        <v>PONTIANAK</v>
      </c>
      <c r="Q3638" s="35" t="str">
        <f>IFERROR(__xludf.DUMMYFUNCTION("""COMPUTED_VALUE"""),"KALIMANTAN BARAT")</f>
        <v>KALIMANTAN BARAT</v>
      </c>
      <c r="R3638" s="35" t="str">
        <f>IFERROR(__xludf.DUMMYFUNCTION("""COMPUTED_VALUE"""),"ISLAM")</f>
        <v>ISLAM</v>
      </c>
      <c r="S3638" s="74" t="str">
        <f>IFERROR(__xludf.DUMMYFUNCTION("""COMPUTED_VALUE"""),"-")</f>
        <v>-</v>
      </c>
      <c r="T3638" s="35" t="str">
        <f>IFERROR(__xludf.DUMMYFUNCTION("""COMPUTED_VALUE"""),"STROKE")</f>
        <v>STROKE</v>
      </c>
      <c r="U3638" s="35" t="str">
        <f>IFERROR(__xludf.DUMMYFUNCTION("""COMPUTED_VALUE"""),"-")</f>
        <v>-</v>
      </c>
      <c r="V3638" s="35" t="str">
        <f>IFERROR(__xludf.DUMMYFUNCTION("""COMPUTED_VALUE"""),"081930844998")</f>
        <v>081930844998</v>
      </c>
      <c r="W3638" s="45"/>
    </row>
    <row r="3639">
      <c r="A3639" s="45"/>
      <c r="B3639" s="35" t="str">
        <f>IFERROR(__xludf.DUMMYFUNCTION("""COMPUTED_VALUE"""),"04/04/2026 13:57:05")</f>
        <v>04/04/2026 13:57:05</v>
      </c>
      <c r="C3639" s="35"/>
      <c r="D3639" s="10">
        <f>IFERROR(__xludf.DUMMYFUNCTION("""COMPUTED_VALUE"""),46116.0)</f>
        <v>46116</v>
      </c>
      <c r="E3639" s="35" t="str">
        <f>IFERROR(__xludf.DUMMYFUNCTION("""COMPUTED_VALUE"""),"04Apr")</f>
        <v>04Apr</v>
      </c>
      <c r="F3639" s="35"/>
      <c r="G3639" s="35" t="str">
        <f>IFERROR(__xludf.DUMMYFUNCTION("""COMPUTED_VALUE"""),"BONG DJAN TJHAN ALIAN JANTONO WONGSO")</f>
        <v>BONG DJAN TJHAN ALIAN JANTONO WONGSO</v>
      </c>
      <c r="H3639" s="35" t="str">
        <f>IFERROR(__xludf.DUMMYFUNCTION("""COMPUTED_VALUE"""),"B6026043246")</f>
        <v>B6026043246</v>
      </c>
      <c r="I3639" s="35">
        <f>IFERROR(__xludf.DUMMYFUNCTION("""COMPUTED_VALUE"""),66.0)</f>
        <v>66</v>
      </c>
      <c r="J3639" s="35" t="str">
        <f>IFERROR(__xludf.DUMMYFUNCTION("""COMPUTED_VALUE"""),"&gt; 44 tahun")</f>
        <v>&gt; 44 tahun</v>
      </c>
      <c r="K3639" s="35" t="str">
        <f>IFERROR(__xludf.DUMMYFUNCTION("""COMPUTED_VALUE"""),"20/04/1960")</f>
        <v>20/04/1960</v>
      </c>
      <c r="L3639" s="35" t="str">
        <f>IFERROR(__xludf.DUMMYFUNCTION("""COMPUTED_VALUE"""),"LAKI-LAKI")</f>
        <v>LAKI-LAKI</v>
      </c>
      <c r="M3639" s="35" t="str">
        <f>IFERROR(__xludf.DUMMYFUNCTION("""COMPUTED_VALUE"""),"GANG SELAT KARIMATA 3")</f>
        <v>GANG SELAT KARIMATA 3</v>
      </c>
      <c r="N3639" s="35" t="str">
        <f>IFERROR(__xludf.DUMMYFUNCTION("""COMPUTED_VALUE"""),"SIANTAN TENGAH")</f>
        <v>SIANTAN TENGAH</v>
      </c>
      <c r="O3639" s="35" t="str">
        <f>IFERROR(__xludf.DUMMYFUNCTION("""COMPUTED_VALUE"""),"PONTIANAK UTARA")</f>
        <v>PONTIANAK UTARA</v>
      </c>
      <c r="P3639" s="35" t="str">
        <f>IFERROR(__xludf.DUMMYFUNCTION("""COMPUTED_VALUE"""),"KOTA PONTIANAK")</f>
        <v>KOTA PONTIANAK</v>
      </c>
      <c r="Q3639" s="35" t="str">
        <f>IFERROR(__xludf.DUMMYFUNCTION("""COMPUTED_VALUE"""),"KALIMANTAN BARAT ")</f>
        <v>KALIMANTAN BARAT </v>
      </c>
      <c r="R3639" s="35" t="str">
        <f>IFERROR(__xludf.DUMMYFUNCTION("""COMPUTED_VALUE"""),"BUDDHA")</f>
        <v>BUDDHA</v>
      </c>
      <c r="S3639" s="74" t="str">
        <f>IFERROR(__xludf.DUMMYFUNCTION("""COMPUTED_VALUE"""),"KARYAWAN SWASTA")</f>
        <v>KARYAWAN SWASTA</v>
      </c>
      <c r="T3639" s="35" t="str">
        <f>IFERROR(__xludf.DUMMYFUNCTION("""COMPUTED_VALUE"""),"SAKIT TULANG BELAKANG DAN AREA TULANG RUSUK")</f>
        <v>SAKIT TULANG BELAKANG DAN AREA TULANG RUSUK</v>
      </c>
      <c r="U3639" s="35" t="str">
        <f>IFERROR(__xludf.DUMMYFUNCTION("""COMPUTED_VALUE"""),"BERSIH BERSIH RUMAH")</f>
        <v>BERSIH BERSIH RUMAH</v>
      </c>
      <c r="V3639" s="35" t="str">
        <f>IFERROR(__xludf.DUMMYFUNCTION("""COMPUTED_VALUE"""),"089694363246")</f>
        <v>089694363246</v>
      </c>
      <c r="W3639" s="45"/>
    </row>
    <row r="3640">
      <c r="A3640" s="45"/>
      <c r="B3640" s="35" t="str">
        <f>IFERROR(__xludf.DUMMYFUNCTION("""COMPUTED_VALUE"""),"04/04/2026 15:49:27")</f>
        <v>04/04/2026 15:49:27</v>
      </c>
      <c r="C3640" s="35"/>
      <c r="D3640" s="10">
        <f>IFERROR(__xludf.DUMMYFUNCTION("""COMPUTED_VALUE"""),46116.0)</f>
        <v>46116</v>
      </c>
      <c r="E3640" s="35" t="str">
        <f>IFERROR(__xludf.DUMMYFUNCTION("""COMPUTED_VALUE"""),"04Apr")</f>
        <v>04Apr</v>
      </c>
      <c r="F3640" s="35"/>
      <c r="G3640" s="35" t="str">
        <f>IFERROR(__xludf.DUMMYFUNCTION("""COMPUTED_VALUE"""),"CAROLINE MISHELLE STELLA TAMBUNAN")</f>
        <v>CAROLINE MISHELLE STELLA TAMBUNAN</v>
      </c>
      <c r="H3640" s="35" t="str">
        <f>IFERROR(__xludf.DUMMYFUNCTION("""COMPUTED_VALUE"""),"C1026043676")</f>
        <v>C1026043676</v>
      </c>
      <c r="I3640" s="35">
        <f>IFERROR(__xludf.DUMMYFUNCTION("""COMPUTED_VALUE"""),16.0)</f>
        <v>16</v>
      </c>
      <c r="J3640" s="35" t="str">
        <f>IFERROR(__xludf.DUMMYFUNCTION("""COMPUTED_VALUE"""),"&lt; 18 tahun")</f>
        <v>&lt; 18 tahun</v>
      </c>
      <c r="K3640" s="35" t="str">
        <f>IFERROR(__xludf.DUMMYFUNCTION("""COMPUTED_VALUE"""),"01/05/2010")</f>
        <v>01/05/2010</v>
      </c>
      <c r="L3640" s="35" t="str">
        <f>IFERROR(__xludf.DUMMYFUNCTION("""COMPUTED_VALUE"""),"PEREMPUAN")</f>
        <v>PEREMPUAN</v>
      </c>
      <c r="M3640" s="35" t="str">
        <f>IFERROR(__xludf.DUMMYFUNCTION("""COMPUTED_VALUE"""),"KOMPLEK PONDOK INDAH PERMAI NOMOR 12A ")</f>
        <v>KOMPLEK PONDOK INDAH PERMAI NOMOR 12A </v>
      </c>
      <c r="N3640" s="35" t="str">
        <f>IFERROR(__xludf.DUMMYFUNCTION("""COMPUTED_VALUE"""),"BANGKA BELITUNG DARAT")</f>
        <v>BANGKA BELITUNG DARAT</v>
      </c>
      <c r="O3640" s="35" t="str">
        <f>IFERROR(__xludf.DUMMYFUNCTION("""COMPUTED_VALUE"""),"PONTIANAK TENGGARA")</f>
        <v>PONTIANAK TENGGARA</v>
      </c>
      <c r="P3640" s="35" t="str">
        <f>IFERROR(__xludf.DUMMYFUNCTION("""COMPUTED_VALUE"""),"KOTA PONTIANAK")</f>
        <v>KOTA PONTIANAK</v>
      </c>
      <c r="Q3640" s="35" t="str">
        <f>IFERROR(__xludf.DUMMYFUNCTION("""COMPUTED_VALUE"""),"KALIMANTAN BARAT ")</f>
        <v>KALIMANTAN BARAT </v>
      </c>
      <c r="R3640" s="35" t="str">
        <f>IFERROR(__xludf.DUMMYFUNCTION("""COMPUTED_VALUE"""),"PROTESTAN")</f>
        <v>PROTESTAN</v>
      </c>
      <c r="S3640" s="74" t="str">
        <f>IFERROR(__xludf.DUMMYFUNCTION("""COMPUTED_VALUE"""),"PELAJAR")</f>
        <v>PELAJAR</v>
      </c>
      <c r="T3640" s="35" t="str">
        <f>IFERROR(__xludf.DUMMYFUNCTION("""COMPUTED_VALUE"""),"RAHANG SUSAH DI BUKA LEBAR")</f>
        <v>RAHANG SUSAH DI BUKA LEBAR</v>
      </c>
      <c r="U3640" s="35" t="str">
        <f>IFERROR(__xludf.DUMMYFUNCTION("""COMPUTED_VALUE"""),"MAKAN AGAK SUSAH BUKA MULUT")</f>
        <v>MAKAN AGAK SUSAH BUKA MULUT</v>
      </c>
      <c r="V3640" s="35" t="str">
        <f>IFERROR(__xludf.DUMMYFUNCTION("""COMPUTED_VALUE"""),"085386723676")</f>
        <v>085386723676</v>
      </c>
      <c r="W3640" s="45"/>
    </row>
    <row r="3641">
      <c r="A3641" s="45"/>
      <c r="B3641" s="35" t="str">
        <f>IFERROR(__xludf.DUMMYFUNCTION("""COMPUTED_VALUE"""),"05/04/2026 16:36:25")</f>
        <v>05/04/2026 16:36:25</v>
      </c>
      <c r="C3641" s="35"/>
      <c r="D3641" s="10">
        <f>IFERROR(__xludf.DUMMYFUNCTION("""COMPUTED_VALUE"""),46118.0)</f>
        <v>46118</v>
      </c>
      <c r="E3641" s="35" t="str">
        <f>IFERROR(__xludf.DUMMYFUNCTION("""COMPUTED_VALUE"""),"04Apr")</f>
        <v>04Apr</v>
      </c>
      <c r="F3641" s="35"/>
      <c r="G3641" s="35" t="str">
        <f>IFERROR(__xludf.DUMMYFUNCTION("""COMPUTED_VALUE"""),"AVRIYANI NOVIYANTI")</f>
        <v>AVRIYANI NOVIYANTI</v>
      </c>
      <c r="H3641" s="35" t="str">
        <f>IFERROR(__xludf.DUMMYFUNCTION("""COMPUTED_VALUE"""),"A9026046671")</f>
        <v>A9026046671</v>
      </c>
      <c r="I3641" s="35">
        <f>IFERROR(__xludf.DUMMYFUNCTION("""COMPUTED_VALUE"""),35.0)</f>
        <v>35</v>
      </c>
      <c r="J3641" s="35" t="str">
        <f>IFERROR(__xludf.DUMMYFUNCTION("""COMPUTED_VALUE"""),"35-44 tahun")</f>
        <v>35-44 tahun</v>
      </c>
      <c r="K3641" s="35" t="str">
        <f>IFERROR(__xludf.DUMMYFUNCTION("""COMPUTED_VALUE"""),"04/11/1990")</f>
        <v>04/11/1990</v>
      </c>
      <c r="L3641" s="35" t="str">
        <f>IFERROR(__xludf.DUMMYFUNCTION("""COMPUTED_VALUE"""),"PEREMPUAN")</f>
        <v>PEREMPUAN</v>
      </c>
      <c r="M3641" s="35" t="str">
        <f>IFERROR(__xludf.DUMMYFUNCTION("""COMPUTED_VALUE"""),"JL PARIT H. HUSIN 2 BALI MAS 1 27A")</f>
        <v>JL PARIT H. HUSIN 2 BALI MAS 1 27A</v>
      </c>
      <c r="N3641" s="35" t="str">
        <f>IFERROR(__xludf.DUMMYFUNCTION("""COMPUTED_VALUE"""),"BANGKA BELITUNG DARAT")</f>
        <v>BANGKA BELITUNG DARAT</v>
      </c>
      <c r="O3641" s="35" t="str">
        <f>IFERROR(__xludf.DUMMYFUNCTION("""COMPUTED_VALUE"""),"PONTIANAK TENGGARA")</f>
        <v>PONTIANAK TENGGARA</v>
      </c>
      <c r="P3641" s="35" t="str">
        <f>IFERROR(__xludf.DUMMYFUNCTION("""COMPUTED_VALUE"""),"KOTA PONTIANAK")</f>
        <v>KOTA PONTIANAK</v>
      </c>
      <c r="Q3641" s="35" t="str">
        <f>IFERROR(__xludf.DUMMYFUNCTION("""COMPUTED_VALUE"""),"KALIMANTAN BARAT")</f>
        <v>KALIMANTAN BARAT</v>
      </c>
      <c r="R3641" s="35" t="str">
        <f>IFERROR(__xludf.DUMMYFUNCTION("""COMPUTED_VALUE"""),"ISLAM")</f>
        <v>ISLAM</v>
      </c>
      <c r="S3641" s="74" t="str">
        <f>IFERROR(__xludf.DUMMYFUNCTION("""COMPUTED_VALUE"""),"SWASTA")</f>
        <v>SWASTA</v>
      </c>
      <c r="T3641" s="35" t="str">
        <f>IFERROR(__xludf.DUMMYFUNCTION("""COMPUTED_VALUE"""),"NYERI PUNGGUNG KANAN HINGGA LEHER SEDIKIT MIGREN")</f>
        <v>NYERI PUNGGUNG KANAN HINGGA LEHER SEDIKIT MIGREN</v>
      </c>
      <c r="U3641" s="35" t="str">
        <f>IFERROR(__xludf.DUMMYFUNCTION("""COMPUTED_VALUE"""),"TENNIS")</f>
        <v>TENNIS</v>
      </c>
      <c r="V3641" s="35" t="str">
        <f>IFERROR(__xludf.DUMMYFUNCTION("""COMPUTED_VALUE"""),"081350026671")</f>
        <v>081350026671</v>
      </c>
      <c r="W3641" s="45"/>
    </row>
    <row r="3642">
      <c r="A3642" s="45"/>
      <c r="B3642" s="35" t="str">
        <f>IFERROR(__xludf.DUMMYFUNCTION("""COMPUTED_VALUE"""),"05/04/2026 17:05:14")</f>
        <v>05/04/2026 17:05:14</v>
      </c>
      <c r="C3642" s="35"/>
      <c r="D3642" s="10">
        <f>IFERROR(__xludf.DUMMYFUNCTION("""COMPUTED_VALUE"""),46118.0)</f>
        <v>46118</v>
      </c>
      <c r="E3642" s="35" t="str">
        <f>IFERROR(__xludf.DUMMYFUNCTION("""COMPUTED_VALUE"""),"04Apr")</f>
        <v>04Apr</v>
      </c>
      <c r="F3642" s="35"/>
      <c r="G3642" s="35" t="str">
        <f>IFERROR(__xludf.DUMMYFUNCTION("""COMPUTED_VALUE"""),"TEGAR NOVA PRIYATMOKO")</f>
        <v>TEGAR NOVA PRIYATMOKO</v>
      </c>
      <c r="H3642" s="35" t="str">
        <f>IFERROR(__xludf.DUMMYFUNCTION("""COMPUTED_VALUE"""),"T9526042882")</f>
        <v>T9526042882</v>
      </c>
      <c r="I3642" s="35">
        <f>IFERROR(__xludf.DUMMYFUNCTION("""COMPUTED_VALUE"""),30.0)</f>
        <v>30</v>
      </c>
      <c r="J3642" s="35" t="str">
        <f>IFERROR(__xludf.DUMMYFUNCTION("""COMPUTED_VALUE"""),"25-34 tahun")</f>
        <v>25-34 tahun</v>
      </c>
      <c r="K3642" s="35" t="str">
        <f>IFERROR(__xludf.DUMMYFUNCTION("""COMPUTED_VALUE"""),"18/11/1995")</f>
        <v>18/11/1995</v>
      </c>
      <c r="L3642" s="35" t="str">
        <f>IFERROR(__xludf.DUMMYFUNCTION("""COMPUTED_VALUE"""),"LAKI-LAKI")</f>
        <v>LAKI-LAKI</v>
      </c>
      <c r="M3642" s="35" t="str">
        <f>IFERROR(__xludf.DUMMYFUNCTION("""COMPUTED_VALUE"""),"JL. A. DJELANI MEMPAWAH")</f>
        <v>JL. A. DJELANI MEMPAWAH</v>
      </c>
      <c r="N3642" s="35" t="str">
        <f>IFERROR(__xludf.DUMMYFUNCTION("""COMPUTED_VALUE"""),"TERUSAN")</f>
        <v>TERUSAN</v>
      </c>
      <c r="O3642" s="35" t="str">
        <f>IFERROR(__xludf.DUMMYFUNCTION("""COMPUTED_VALUE"""),"MEMPAWAH HILIR")</f>
        <v>MEMPAWAH HILIR</v>
      </c>
      <c r="P3642" s="35" t="str">
        <f>IFERROR(__xludf.DUMMYFUNCTION("""COMPUTED_VALUE"""),"MEMPAWAH")</f>
        <v>MEMPAWAH</v>
      </c>
      <c r="Q3642" s="35" t="str">
        <f>IFERROR(__xludf.DUMMYFUNCTION("""COMPUTED_VALUE"""),"KALIMANTAN BARAT")</f>
        <v>KALIMANTAN BARAT</v>
      </c>
      <c r="R3642" s="35" t="str">
        <f>IFERROR(__xludf.DUMMYFUNCTION("""COMPUTED_VALUE"""),"ISLAM")</f>
        <v>ISLAM</v>
      </c>
      <c r="S3642" s="74" t="str">
        <f>IFERROR(__xludf.DUMMYFUNCTION("""COMPUTED_VALUE"""),"SWASTA")</f>
        <v>SWASTA</v>
      </c>
      <c r="T3642" s="35" t="str">
        <f>IFERROR(__xludf.DUMMYFUNCTION("""COMPUTED_VALUE"""),"LUTUT")</f>
        <v>LUTUT</v>
      </c>
      <c r="U3642" s="35" t="str">
        <f>IFERROR(__xludf.DUMMYFUNCTION("""COMPUTED_VALUE"""),"FUTSAL")</f>
        <v>FUTSAL</v>
      </c>
      <c r="V3642" s="35" t="str">
        <f>IFERROR(__xludf.DUMMYFUNCTION("""COMPUTED_VALUE"""),"081347232882")</f>
        <v>081347232882</v>
      </c>
      <c r="W3642" s="45"/>
    </row>
    <row r="3643">
      <c r="A3643" s="45"/>
      <c r="B3643" s="35" t="str">
        <f>IFERROR(__xludf.DUMMYFUNCTION("""COMPUTED_VALUE"""),"05/04/2026 18:10:43")</f>
        <v>05/04/2026 18:10:43</v>
      </c>
      <c r="C3643" s="35"/>
      <c r="D3643" s="10">
        <f>IFERROR(__xludf.DUMMYFUNCTION("""COMPUTED_VALUE"""),46118.0)</f>
        <v>46118</v>
      </c>
      <c r="E3643" s="35" t="str">
        <f>IFERROR(__xludf.DUMMYFUNCTION("""COMPUTED_VALUE"""),"04Apr")</f>
        <v>04Apr</v>
      </c>
      <c r="F3643" s="35"/>
      <c r="G3643" s="35" t="str">
        <f>IFERROR(__xludf.DUMMYFUNCTION("""COMPUTED_VALUE"""),"EVI INTAN HERIATY")</f>
        <v>EVI INTAN HERIATY</v>
      </c>
      <c r="H3643" s="35" t="str">
        <f>IFERROR(__xludf.DUMMYFUNCTION("""COMPUTED_VALUE"""),"E0026040385")</f>
        <v>E0026040385</v>
      </c>
      <c r="I3643" s="35">
        <f>IFERROR(__xludf.DUMMYFUNCTION("""COMPUTED_VALUE"""),25.0)</f>
        <v>25</v>
      </c>
      <c r="J3643" s="35" t="str">
        <f>IFERROR(__xludf.DUMMYFUNCTION("""COMPUTED_VALUE"""),"25-34 tahun")</f>
        <v>25-34 tahun</v>
      </c>
      <c r="K3643" s="35" t="str">
        <f>IFERROR(__xludf.DUMMYFUNCTION("""COMPUTED_VALUE"""),"24/10/2000")</f>
        <v>24/10/2000</v>
      </c>
      <c r="L3643" s="35" t="str">
        <f>IFERROR(__xludf.DUMMYFUNCTION("""COMPUTED_VALUE"""),"PEREMPUAN")</f>
        <v>PEREMPUAN</v>
      </c>
      <c r="M3643" s="35" t="str">
        <f>IFERROR(__xludf.DUMMYFUNCTION("""COMPUTED_VALUE"""),"JL. PEMDA , KOMPLEK STAR BORNEO RESIDENCE 3 JALUR ARWANA 2 BLOK D. 10")</f>
        <v>JL. PEMDA , KOMPLEK STAR BORNEO RESIDENCE 3 JALUR ARWANA 2 BLOK D. 10</v>
      </c>
      <c r="N3643" s="35" t="str">
        <f>IFERROR(__xludf.DUMMYFUNCTION("""COMPUTED_VALUE"""),"PARIT MAYOR")</f>
        <v>PARIT MAYOR</v>
      </c>
      <c r="O3643" s="35" t="str">
        <f>IFERROR(__xludf.DUMMYFUNCTION("""COMPUTED_VALUE"""),"PONTIANAK TIMUR")</f>
        <v>PONTIANAK TIMUR</v>
      </c>
      <c r="P3643" s="35" t="str">
        <f>IFERROR(__xludf.DUMMYFUNCTION("""COMPUTED_VALUE"""),"PONTIANAK")</f>
        <v>PONTIANAK</v>
      </c>
      <c r="Q3643" s="35" t="str">
        <f>IFERROR(__xludf.DUMMYFUNCTION("""COMPUTED_VALUE"""),"KALIMANTAN BARAT")</f>
        <v>KALIMANTAN BARAT</v>
      </c>
      <c r="R3643" s="35" t="str">
        <f>IFERROR(__xludf.DUMMYFUNCTION("""COMPUTED_VALUE"""),"ISLAM")</f>
        <v>ISLAM</v>
      </c>
      <c r="S3643" s="74" t="str">
        <f>IFERROR(__xludf.DUMMYFUNCTION("""COMPUTED_VALUE"""),"PEGAWAI")</f>
        <v>PEGAWAI</v>
      </c>
      <c r="T3643" s="35" t="str">
        <f>IFERROR(__xludf.DUMMYFUNCTION("""COMPUTED_VALUE"""),"CIDERA DI DEKAT TULANG EKOR AKIBAT JATUH DARI MOTOR")</f>
        <v>CIDERA DI DEKAT TULANG EKOR AKIBAT JATUH DARI MOTOR</v>
      </c>
      <c r="U3643" s="35" t="str">
        <f>IFERROR(__xludf.DUMMYFUNCTION("""COMPUTED_VALUE"""),"OLAHRAGA")</f>
        <v>OLAHRAGA</v>
      </c>
      <c r="V3643" s="35" t="str">
        <f>IFERROR(__xludf.DUMMYFUNCTION("""COMPUTED_VALUE"""),"083845730385")</f>
        <v>083845730385</v>
      </c>
      <c r="W3643" s="45"/>
    </row>
    <row r="3644">
      <c r="A3644" s="45"/>
      <c r="B3644" s="35" t="str">
        <f>IFERROR(__xludf.DUMMYFUNCTION("""COMPUTED_VALUE"""),"05/04/2026 17:05:14")</f>
        <v>05/04/2026 17:05:14</v>
      </c>
      <c r="C3644" s="35"/>
      <c r="D3644" s="10">
        <f>IFERROR(__xludf.DUMMYFUNCTION("""COMPUTED_VALUE"""),46118.0)</f>
        <v>46118</v>
      </c>
      <c r="E3644" s="35" t="str">
        <f>IFERROR(__xludf.DUMMYFUNCTION("""COMPUTED_VALUE"""),"04Apr")</f>
        <v>04Apr</v>
      </c>
      <c r="F3644" s="35"/>
      <c r="G3644" s="35" t="str">
        <f>IFERROR(__xludf.DUMMYFUNCTION("""COMPUTED_VALUE"""),"TEGAR NOVA PRIYATMOKO")</f>
        <v>TEGAR NOVA PRIYATMOKO</v>
      </c>
      <c r="H3644" s="35" t="str">
        <f>IFERROR(__xludf.DUMMYFUNCTION("""COMPUTED_VALUE"""),"T9526042882")</f>
        <v>T9526042882</v>
      </c>
      <c r="I3644" s="35">
        <f>IFERROR(__xludf.DUMMYFUNCTION("""COMPUTED_VALUE"""),30.0)</f>
        <v>30</v>
      </c>
      <c r="J3644" s="35" t="str">
        <f>IFERROR(__xludf.DUMMYFUNCTION("""COMPUTED_VALUE"""),"25-34 tahun")</f>
        <v>25-34 tahun</v>
      </c>
      <c r="K3644" s="35" t="str">
        <f>IFERROR(__xludf.DUMMYFUNCTION("""COMPUTED_VALUE"""),"18/11/1995")</f>
        <v>18/11/1995</v>
      </c>
      <c r="L3644" s="35" t="str">
        <f>IFERROR(__xludf.DUMMYFUNCTION("""COMPUTED_VALUE"""),"LAKI-LAKI")</f>
        <v>LAKI-LAKI</v>
      </c>
      <c r="M3644" s="35" t="str">
        <f>IFERROR(__xludf.DUMMYFUNCTION("""COMPUTED_VALUE"""),"JL. A. DJELANI MEMPAWAH")</f>
        <v>JL. A. DJELANI MEMPAWAH</v>
      </c>
      <c r="N3644" s="35" t="str">
        <f>IFERROR(__xludf.DUMMYFUNCTION("""COMPUTED_VALUE"""),"TERUSAN")</f>
        <v>TERUSAN</v>
      </c>
      <c r="O3644" s="35" t="str">
        <f>IFERROR(__xludf.DUMMYFUNCTION("""COMPUTED_VALUE"""),"MEMPAWAH HILIR")</f>
        <v>MEMPAWAH HILIR</v>
      </c>
      <c r="P3644" s="35" t="str">
        <f>IFERROR(__xludf.DUMMYFUNCTION("""COMPUTED_VALUE"""),"MEMPAWAH")</f>
        <v>MEMPAWAH</v>
      </c>
      <c r="Q3644" s="35" t="str">
        <f>IFERROR(__xludf.DUMMYFUNCTION("""COMPUTED_VALUE"""),"KALIMANTAN BARAT")</f>
        <v>KALIMANTAN BARAT</v>
      </c>
      <c r="R3644" s="35" t="str">
        <f>IFERROR(__xludf.DUMMYFUNCTION("""COMPUTED_VALUE"""),"ISLAM")</f>
        <v>ISLAM</v>
      </c>
      <c r="S3644" s="74" t="str">
        <f>IFERROR(__xludf.DUMMYFUNCTION("""COMPUTED_VALUE"""),"SWASTA")</f>
        <v>SWASTA</v>
      </c>
      <c r="T3644" s="35" t="str">
        <f>IFERROR(__xludf.DUMMYFUNCTION("""COMPUTED_VALUE"""),"LUTUT")</f>
        <v>LUTUT</v>
      </c>
      <c r="U3644" s="35" t="str">
        <f>IFERROR(__xludf.DUMMYFUNCTION("""COMPUTED_VALUE"""),"FUTSAL")</f>
        <v>FUTSAL</v>
      </c>
      <c r="V3644" s="35" t="str">
        <f>IFERROR(__xludf.DUMMYFUNCTION("""COMPUTED_VALUE"""),"081347232882")</f>
        <v>081347232882</v>
      </c>
      <c r="W3644" s="45"/>
    </row>
    <row r="3645">
      <c r="A3645" s="45"/>
      <c r="B3645" s="35" t="str">
        <f>IFERROR(__xludf.DUMMYFUNCTION("""COMPUTED_VALUE"""),"06/04/2026 9:46:10")</f>
        <v>06/04/2026 9:46:10</v>
      </c>
      <c r="C3645" s="35"/>
      <c r="D3645" s="10">
        <f>IFERROR(__xludf.DUMMYFUNCTION("""COMPUTED_VALUE"""),46118.0)</f>
        <v>46118</v>
      </c>
      <c r="E3645" s="35" t="str">
        <f>IFERROR(__xludf.DUMMYFUNCTION("""COMPUTED_VALUE"""),"04Apr")</f>
        <v>04Apr</v>
      </c>
      <c r="F3645" s="35"/>
      <c r="G3645" s="35" t="str">
        <f>IFERROR(__xludf.DUMMYFUNCTION("""COMPUTED_VALUE"""),"MUHAMMAD ATHALLAH RAISYAUQI")</f>
        <v>MUHAMMAD ATHALLAH RAISYAUQI</v>
      </c>
      <c r="H3645" s="35" t="str">
        <f>IFERROR(__xludf.DUMMYFUNCTION("""COMPUTED_VALUE"""),"M1726041285")</f>
        <v>M1726041285</v>
      </c>
      <c r="I3645" s="35">
        <f>IFERROR(__xludf.DUMMYFUNCTION("""COMPUTED_VALUE"""),9.0)</f>
        <v>9</v>
      </c>
      <c r="J3645" s="35" t="str">
        <f>IFERROR(__xludf.DUMMYFUNCTION("""COMPUTED_VALUE"""),"&lt; 18 tahun")</f>
        <v>&lt; 18 tahun</v>
      </c>
      <c r="K3645" s="35" t="str">
        <f>IFERROR(__xludf.DUMMYFUNCTION("""COMPUTED_VALUE"""),"17/05/2017")</f>
        <v>17/05/2017</v>
      </c>
      <c r="L3645" s="35" t="str">
        <f>IFERROR(__xludf.DUMMYFUNCTION("""COMPUTED_VALUE"""),"LAKI-LAKI")</f>
        <v>LAKI-LAKI</v>
      </c>
      <c r="M3645" s="35" t="str">
        <f>IFERROR(__xludf.DUMMYFUNCTION("""COMPUTED_VALUE"""),"JALAN DR. WAHIDIN S. KOMPLEK BATARA INDAH 1 BLOK B NOMOR 2 ")</f>
        <v>JALAN DR. WAHIDIN S. KOMPLEK BATARA INDAH 1 BLOK B NOMOR 2 </v>
      </c>
      <c r="N3645" s="35" t="str">
        <f>IFERROR(__xludf.DUMMYFUNCTION("""COMPUTED_VALUE"""),"KELURAHAN SUNGAI JAWI")</f>
        <v>KELURAHAN SUNGAI JAWI</v>
      </c>
      <c r="O3645" s="35" t="str">
        <f>IFERROR(__xludf.DUMMYFUNCTION("""COMPUTED_VALUE"""),"KECAMATAN PONTIANAK KOTA")</f>
        <v>KECAMATAN PONTIANAK KOTA</v>
      </c>
      <c r="P3645" s="35" t="str">
        <f>IFERROR(__xludf.DUMMYFUNCTION("""COMPUTED_VALUE"""),"KOTA PONTIANAK")</f>
        <v>KOTA PONTIANAK</v>
      </c>
      <c r="Q3645" s="35" t="str">
        <f>IFERROR(__xludf.DUMMYFUNCTION("""COMPUTED_VALUE"""),"KALIMANTAN BARAT")</f>
        <v>KALIMANTAN BARAT</v>
      </c>
      <c r="R3645" s="35" t="str">
        <f>IFERROR(__xludf.DUMMYFUNCTION("""COMPUTED_VALUE"""),"ISLAM")</f>
        <v>ISLAM</v>
      </c>
      <c r="S3645" s="74" t="str">
        <f>IFERROR(__xludf.DUMMYFUNCTION("""COMPUTED_VALUE"""),"PELAJAR")</f>
        <v>PELAJAR</v>
      </c>
      <c r="T3645" s="35" t="str">
        <f>IFERROR(__xludf.DUMMYFUNCTION("""COMPUTED_VALUE"""),"KAKI TERINDIKASI PANJANG SEBELAH DAN LUMAYAN SERING JATUH/KESANDUNG SAAT JALAN ATAU LARI")</f>
        <v>KAKI TERINDIKASI PANJANG SEBELAH DAN LUMAYAN SERING JATUH/KESANDUNG SAAT JALAN ATAU LARI</v>
      </c>
      <c r="U3645" s="35" t="str">
        <f>IFERROR(__xludf.DUMMYFUNCTION("""COMPUTED_VALUE"""),"LARI-LARI")</f>
        <v>LARI-LARI</v>
      </c>
      <c r="V3645" s="35" t="str">
        <f>IFERROR(__xludf.DUMMYFUNCTION("""COMPUTED_VALUE"""),"08116691285")</f>
        <v>08116691285</v>
      </c>
      <c r="W3645" s="45"/>
    </row>
    <row r="3646">
      <c r="A3646" s="45"/>
      <c r="B3646" s="35" t="str">
        <f>IFERROR(__xludf.DUMMYFUNCTION("""COMPUTED_VALUE"""),"06/04/2026 10:25:16")</f>
        <v>06/04/2026 10:25:16</v>
      </c>
      <c r="C3646" s="35"/>
      <c r="D3646" s="10">
        <f>IFERROR(__xludf.DUMMYFUNCTION("""COMPUTED_VALUE"""),46118.0)</f>
        <v>46118</v>
      </c>
      <c r="E3646" s="35" t="str">
        <f>IFERROR(__xludf.DUMMYFUNCTION("""COMPUTED_VALUE"""),"04Apr")</f>
        <v>04Apr</v>
      </c>
      <c r="F3646" s="35"/>
      <c r="G3646" s="35" t="str">
        <f>IFERROR(__xludf.DUMMYFUNCTION("""COMPUTED_VALUE"""),"SENG TJUAN")</f>
        <v>SENG TJUAN</v>
      </c>
      <c r="H3646" s="35" t="str">
        <f>IFERROR(__xludf.DUMMYFUNCTION("""COMPUTED_VALUE"""),"S7526040888")</f>
        <v>S7526040888</v>
      </c>
      <c r="I3646" s="35">
        <f>IFERROR(__xludf.DUMMYFUNCTION("""COMPUTED_VALUE"""),51.0)</f>
        <v>51</v>
      </c>
      <c r="J3646" s="35" t="str">
        <f>IFERROR(__xludf.DUMMYFUNCTION("""COMPUTED_VALUE"""),"&gt; 44 tahun")</f>
        <v>&gt; 44 tahun</v>
      </c>
      <c r="K3646" s="35" t="str">
        <f>IFERROR(__xludf.DUMMYFUNCTION("""COMPUTED_VALUE"""),"01/02/1975")</f>
        <v>01/02/1975</v>
      </c>
      <c r="L3646" s="35" t="str">
        <f>IFERROR(__xludf.DUMMYFUNCTION("""COMPUTED_VALUE"""),"LAKI-LAKI")</f>
        <v>LAKI-LAKI</v>
      </c>
      <c r="M3646" s="35" t="str">
        <f>IFERROR(__xludf.DUMMYFUNCTION("""COMPUTED_VALUE"""),"JLN.MARTADINATA BLOK E3")</f>
        <v>JLN.MARTADINATA BLOK E3</v>
      </c>
      <c r="N3646" s="35" t="str">
        <f>IFERROR(__xludf.DUMMYFUNCTION("""COMPUTED_VALUE"""),"SUI JAWI LUAR")</f>
        <v>SUI JAWI LUAR</v>
      </c>
      <c r="O3646" s="35" t="str">
        <f>IFERROR(__xludf.DUMMYFUNCTION("""COMPUTED_VALUE"""),"PONTIANAK BARAT")</f>
        <v>PONTIANAK BARAT</v>
      </c>
      <c r="P3646" s="35" t="str">
        <f>IFERROR(__xludf.DUMMYFUNCTION("""COMPUTED_VALUE"""),"PONTIANAK")</f>
        <v>PONTIANAK</v>
      </c>
      <c r="Q3646" s="35" t="str">
        <f>IFERROR(__xludf.DUMMYFUNCTION("""COMPUTED_VALUE"""),"KALBAR")</f>
        <v>KALBAR</v>
      </c>
      <c r="R3646" s="35" t="str">
        <f>IFERROR(__xludf.DUMMYFUNCTION("""COMPUTED_VALUE"""),"KHONGHUCU")</f>
        <v>KHONGHUCU</v>
      </c>
      <c r="S3646" s="74" t="str">
        <f>IFERROR(__xludf.DUMMYFUNCTION("""COMPUTED_VALUE"""),"SWASTA")</f>
        <v>SWASTA</v>
      </c>
      <c r="T3646" s="35" t="str">
        <f>IFERROR(__xludf.DUMMYFUNCTION("""COMPUTED_VALUE"""),"TANGAN SAKIT")</f>
        <v>TANGAN SAKIT</v>
      </c>
      <c r="U3646" s="35" t="str">
        <f>IFERROR(__xludf.DUMMYFUNCTION("""COMPUTED_VALUE"""),"KERJA DAN OLAHRAGA MUAYTHAI")</f>
        <v>KERJA DAN OLAHRAGA MUAYTHAI</v>
      </c>
      <c r="V3646" s="35" t="str">
        <f>IFERROR(__xludf.DUMMYFUNCTION("""COMPUTED_VALUE"""),"089638750888")</f>
        <v>089638750888</v>
      </c>
      <c r="W3646" s="45"/>
    </row>
    <row r="3647">
      <c r="A3647" s="45"/>
      <c r="B3647" s="35" t="str">
        <f>IFERROR(__xludf.DUMMYFUNCTION("""COMPUTED_VALUE"""),"06/04/2026 12:37:17")</f>
        <v>06/04/2026 12:37:17</v>
      </c>
      <c r="C3647" s="35"/>
      <c r="D3647" s="10">
        <f>IFERROR(__xludf.DUMMYFUNCTION("""COMPUTED_VALUE"""),46118.0)</f>
        <v>46118</v>
      </c>
      <c r="E3647" s="35" t="str">
        <f>IFERROR(__xludf.DUMMYFUNCTION("""COMPUTED_VALUE"""),"04Apr")</f>
        <v>04Apr</v>
      </c>
      <c r="F3647" s="35"/>
      <c r="G3647" s="35" t="str">
        <f>IFERROR(__xludf.DUMMYFUNCTION("""COMPUTED_VALUE"""),"SUSI")</f>
        <v>SUSI</v>
      </c>
      <c r="H3647" s="35" t="str">
        <f>IFERROR(__xludf.DUMMYFUNCTION("""COMPUTED_VALUE"""),"S9326043335")</f>
        <v>S9326043335</v>
      </c>
      <c r="I3647" s="35">
        <f>IFERROR(__xludf.DUMMYFUNCTION("""COMPUTED_VALUE"""),32.0)</f>
        <v>32</v>
      </c>
      <c r="J3647" s="35" t="str">
        <f>IFERROR(__xludf.DUMMYFUNCTION("""COMPUTED_VALUE"""),"25-34 tahun")</f>
        <v>25-34 tahun</v>
      </c>
      <c r="K3647" s="35" t="str">
        <f>IFERROR(__xludf.DUMMYFUNCTION("""COMPUTED_VALUE"""),"21/11/1993")</f>
        <v>21/11/1993</v>
      </c>
      <c r="L3647" s="35" t="str">
        <f>IFERROR(__xludf.DUMMYFUNCTION("""COMPUTED_VALUE"""),"PEREMPUAN")</f>
        <v>PEREMPUAN</v>
      </c>
      <c r="M3647" s="35" t="str">
        <f>IFERROR(__xludf.DUMMYFUNCTION("""COMPUTED_VALUE"""),"JALAN PARIT NOMOR 2 , PERUMAHAN BINTANG FLAMBOYAN NO.B2")</f>
        <v>JALAN PARIT NOMOR 2 , PERUMAHAN BINTANG FLAMBOYAN NO.B2</v>
      </c>
      <c r="N3647" s="35" t="str">
        <f>IFERROR(__xludf.DUMMYFUNCTION("""COMPUTED_VALUE"""),"PARIT BARU")</f>
        <v>PARIT BARU</v>
      </c>
      <c r="O3647" s="35" t="str">
        <f>IFERROR(__xludf.DUMMYFUNCTION("""COMPUTED_VALUE"""),"SEI/SUNGAI RAYA")</f>
        <v>SEI/SUNGAI RAYA</v>
      </c>
      <c r="P3647" s="35" t="str">
        <f>IFERROR(__xludf.DUMMYFUNCTION("""COMPUTED_VALUE"""),"KUBURAYA")</f>
        <v>KUBURAYA</v>
      </c>
      <c r="Q3647" s="35" t="str">
        <f>IFERROR(__xludf.DUMMYFUNCTION("""COMPUTED_VALUE"""),"-")</f>
        <v>-</v>
      </c>
      <c r="R3647" s="35" t="str">
        <f>IFERROR(__xludf.DUMMYFUNCTION("""COMPUTED_VALUE"""),"BUDDHA")</f>
        <v>BUDDHA</v>
      </c>
      <c r="S3647" s="74" t="str">
        <f>IFERROR(__xludf.DUMMYFUNCTION("""COMPUTED_VALUE"""),"IBU RUMAH TANGGA ")</f>
        <v>IBU RUMAH TANGGA </v>
      </c>
      <c r="T3647" s="35" t="str">
        <f>IFERROR(__xludf.DUMMYFUNCTION("""COMPUTED_VALUE"""),"BELIKAT")</f>
        <v>BELIKAT</v>
      </c>
      <c r="U3647" s="35" t="str">
        <f>IFERROR(__xludf.DUMMYFUNCTION("""COMPUTED_VALUE"""),"-")</f>
        <v>-</v>
      </c>
      <c r="V3647" s="35" t="str">
        <f>IFERROR(__xludf.DUMMYFUNCTION("""COMPUTED_VALUE"""),"082255563335")</f>
        <v>082255563335</v>
      </c>
      <c r="W3647" s="45"/>
    </row>
    <row r="3648">
      <c r="A3648" s="45"/>
      <c r="B3648" s="35" t="str">
        <f>IFERROR(__xludf.DUMMYFUNCTION("""COMPUTED_VALUE"""),"06/04/2026 11:41:59")</f>
        <v>06/04/2026 11:41:59</v>
      </c>
      <c r="C3648" s="35"/>
      <c r="D3648" s="10">
        <f>IFERROR(__xludf.DUMMYFUNCTION("""COMPUTED_VALUE"""),46118.0)</f>
        <v>46118</v>
      </c>
      <c r="E3648" s="35" t="str">
        <f>IFERROR(__xludf.DUMMYFUNCTION("""COMPUTED_VALUE"""),"04Apr")</f>
        <v>04Apr</v>
      </c>
      <c r="F3648" s="35"/>
      <c r="G3648" s="35" t="str">
        <f>IFERROR(__xludf.DUMMYFUNCTION("""COMPUTED_VALUE"""),"IRFAN MAULANA")</f>
        <v>IRFAN MAULANA</v>
      </c>
      <c r="H3648" s="35" t="str">
        <f>IFERROR(__xludf.DUMMYFUNCTION("""COMPUTED_VALUE"""),"I9526046559")</f>
        <v>I9526046559</v>
      </c>
      <c r="I3648" s="35">
        <f>IFERROR(__xludf.DUMMYFUNCTION("""COMPUTED_VALUE"""),30.0)</f>
        <v>30</v>
      </c>
      <c r="J3648" s="35" t="str">
        <f>IFERROR(__xludf.DUMMYFUNCTION("""COMPUTED_VALUE"""),"25-34 tahun")</f>
        <v>25-34 tahun</v>
      </c>
      <c r="K3648" s="35" t="str">
        <f>IFERROR(__xludf.DUMMYFUNCTION("""COMPUTED_VALUE"""),"14/08/1995")</f>
        <v>14/08/1995</v>
      </c>
      <c r="L3648" s="35" t="str">
        <f>IFERROR(__xludf.DUMMYFUNCTION("""COMPUTED_VALUE"""),"LAKI-LAKI")</f>
        <v>LAKI-LAKI</v>
      </c>
      <c r="M3648" s="35" t="str">
        <f>IFERROR(__xludf.DUMMYFUNCTION("""COMPUTED_VALUE"""),"JL TEBU NO 78")</f>
        <v>JL TEBU NO 78</v>
      </c>
      <c r="N3648" s="35" t="str">
        <f>IFERROR(__xludf.DUMMYFUNCTION("""COMPUTED_VALUE"""),"SUNGAI JAWI DALAM")</f>
        <v>SUNGAI JAWI DALAM</v>
      </c>
      <c r="O3648" s="35" t="str">
        <f>IFERROR(__xludf.DUMMYFUNCTION("""COMPUTED_VALUE"""),"PONTIANAK BARAT")</f>
        <v>PONTIANAK BARAT</v>
      </c>
      <c r="P3648" s="35" t="str">
        <f>IFERROR(__xludf.DUMMYFUNCTION("""COMPUTED_VALUE"""),"KOTA PONTIANAK")</f>
        <v>KOTA PONTIANAK</v>
      </c>
      <c r="Q3648" s="35" t="str">
        <f>IFERROR(__xludf.DUMMYFUNCTION("""COMPUTED_VALUE"""),"KALIMANTAN BARAT")</f>
        <v>KALIMANTAN BARAT</v>
      </c>
      <c r="R3648" s="35" t="str">
        <f>IFERROR(__xludf.DUMMYFUNCTION("""COMPUTED_VALUE"""),"ISLAM")</f>
        <v>ISLAM</v>
      </c>
      <c r="S3648" s="74" t="str">
        <f>IFERROR(__xludf.DUMMYFUNCTION("""COMPUTED_VALUE"""),"WIRAUSAHA")</f>
        <v>WIRAUSAHA</v>
      </c>
      <c r="T3648" s="35" t="str">
        <f>IFERROR(__xludf.DUMMYFUNCTION("""COMPUTED_VALUE"""),"NYERI DI PERGELANGAN TANGAN KIRI")</f>
        <v>NYERI DI PERGELANGAN TANGAN KIRI</v>
      </c>
      <c r="U3648" s="35" t="str">
        <f>IFERROR(__xludf.DUMMYFUNCTION("""COMPUTED_VALUE"""),"TIDAK ADA")</f>
        <v>TIDAK ADA</v>
      </c>
      <c r="V3648" s="35" t="str">
        <f>IFERROR(__xludf.DUMMYFUNCTION("""COMPUTED_VALUE"""),"085955196559")</f>
        <v>085955196559</v>
      </c>
      <c r="W3648" s="45"/>
    </row>
    <row r="3649">
      <c r="A3649" s="45"/>
      <c r="B3649" s="35" t="str">
        <f>IFERROR(__xludf.DUMMYFUNCTION("""COMPUTED_VALUE"""),"06/04/2026 21:04:08")</f>
        <v>06/04/2026 21:04:08</v>
      </c>
      <c r="C3649" s="35"/>
      <c r="D3649" s="10">
        <f>IFERROR(__xludf.DUMMYFUNCTION("""COMPUTED_VALUE"""),46118.0)</f>
        <v>46118</v>
      </c>
      <c r="E3649" s="35" t="str">
        <f>IFERROR(__xludf.DUMMYFUNCTION("""COMPUTED_VALUE"""),"04Apr")</f>
        <v>04Apr</v>
      </c>
      <c r="F3649" s="35"/>
      <c r="G3649" s="35" t="str">
        <f>IFERROR(__xludf.DUMMYFUNCTION("""COMPUTED_VALUE"""),"KARINA EKA SAKTI")</f>
        <v>KARINA EKA SAKTI</v>
      </c>
      <c r="H3649" s="35" t="str">
        <f>IFERROR(__xludf.DUMMYFUNCTION("""COMPUTED_VALUE"""),"K9626044720")</f>
        <v>K9626044720</v>
      </c>
      <c r="I3649" s="35">
        <f>IFERROR(__xludf.DUMMYFUNCTION("""COMPUTED_VALUE"""),29.0)</f>
        <v>29</v>
      </c>
      <c r="J3649" s="35" t="str">
        <f>IFERROR(__xludf.DUMMYFUNCTION("""COMPUTED_VALUE"""),"25-34 tahun")</f>
        <v>25-34 tahun</v>
      </c>
      <c r="K3649" s="35" t="str">
        <f>IFERROR(__xludf.DUMMYFUNCTION("""COMPUTED_VALUE"""),"01/10/1996")</f>
        <v>01/10/1996</v>
      </c>
      <c r="L3649" s="35" t="str">
        <f>IFERROR(__xludf.DUMMYFUNCTION("""COMPUTED_VALUE"""),"PEREMPUAN")</f>
        <v>PEREMPUAN</v>
      </c>
      <c r="M3649" s="35" t="str">
        <f>IFERROR(__xludf.DUMMYFUNCTION("""COMPUTED_VALUE"""),"JL. WONOYOSO 1 GG. V, NO.48")</f>
        <v>JL. WONOYOSO 1 GG. V, NO.48</v>
      </c>
      <c r="N3649" s="35" t="str">
        <f>IFERROR(__xludf.DUMMYFUNCTION("""COMPUTED_VALUE"""),"KEL. AKCAYA")</f>
        <v>KEL. AKCAYA</v>
      </c>
      <c r="O3649" s="35" t="str">
        <f>IFERROR(__xludf.DUMMYFUNCTION("""COMPUTED_VALUE"""),"KEC. PONTIANAK SELATAN")</f>
        <v>KEC. PONTIANAK SELATAN</v>
      </c>
      <c r="P3649" s="35" t="str">
        <f>IFERROR(__xludf.DUMMYFUNCTION("""COMPUTED_VALUE"""),"PONTIANAK")</f>
        <v>PONTIANAK</v>
      </c>
      <c r="Q3649" s="35" t="str">
        <f>IFERROR(__xludf.DUMMYFUNCTION("""COMPUTED_VALUE"""),"KALIMANTAN BARAT")</f>
        <v>KALIMANTAN BARAT</v>
      </c>
      <c r="R3649" s="35" t="str">
        <f>IFERROR(__xludf.DUMMYFUNCTION("""COMPUTED_VALUE"""),"ISLAM")</f>
        <v>ISLAM</v>
      </c>
      <c r="S3649" s="74" t="str">
        <f>IFERROR(__xludf.DUMMYFUNCTION("""COMPUTED_VALUE"""),"PENGACARA")</f>
        <v>PENGACARA</v>
      </c>
      <c r="T3649" s="35" t="str">
        <f>IFERROR(__xludf.DUMMYFUNCTION("""COMPUTED_VALUE"""),"TEGANG DI LEHER KANAN DAN KIRI SERTA LOW BACK PAIN")</f>
        <v>TEGANG DI LEHER KANAN DAN KIRI SERTA LOW BACK PAIN</v>
      </c>
      <c r="U3649" s="35" t="str">
        <f>IFERROR(__xludf.DUMMYFUNCTION("""COMPUTED_VALUE"""),"PADA SAAT KERJA LEBIH BANYAK DUDUK DAN MENGHADAP LAPTOP")</f>
        <v>PADA SAAT KERJA LEBIH BANYAK DUDUK DAN MENGHADAP LAPTOP</v>
      </c>
      <c r="V3649" s="35" t="str">
        <f>IFERROR(__xludf.DUMMYFUNCTION("""COMPUTED_VALUE"""),"08565274720")</f>
        <v>08565274720</v>
      </c>
      <c r="W3649" s="45"/>
    </row>
    <row r="3650">
      <c r="A3650" s="45"/>
      <c r="B3650" s="35" t="str">
        <f>IFERROR(__xludf.DUMMYFUNCTION("""COMPUTED_VALUE"""),"07/04/2026 10:16:11")</f>
        <v>07/04/2026 10:16:11</v>
      </c>
      <c r="C3650" s="35"/>
      <c r="D3650" s="10">
        <f>IFERROR(__xludf.DUMMYFUNCTION("""COMPUTED_VALUE"""),46119.0)</f>
        <v>46119</v>
      </c>
      <c r="E3650" s="35" t="str">
        <f>IFERROR(__xludf.DUMMYFUNCTION("""COMPUTED_VALUE"""),"04Apr")</f>
        <v>04Apr</v>
      </c>
      <c r="F3650" s="35"/>
      <c r="G3650" s="35" t="str">
        <f>IFERROR(__xludf.DUMMYFUNCTION("""COMPUTED_VALUE"""),"YUNNY ELVANDARI")</f>
        <v>YUNNY ELVANDARI</v>
      </c>
      <c r="H3650" s="35" t="str">
        <f>IFERROR(__xludf.DUMMYFUNCTION("""COMPUTED_VALUE"""),"Y8526046110")</f>
        <v>Y8526046110</v>
      </c>
      <c r="I3650" s="35">
        <f>IFERROR(__xludf.DUMMYFUNCTION("""COMPUTED_VALUE"""),40.0)</f>
        <v>40</v>
      </c>
      <c r="J3650" s="35" t="str">
        <f>IFERROR(__xludf.DUMMYFUNCTION("""COMPUTED_VALUE"""),"35-44 tahun")</f>
        <v>35-44 tahun</v>
      </c>
      <c r="K3650" s="35" t="str">
        <f>IFERROR(__xludf.DUMMYFUNCTION("""COMPUTED_VALUE"""),"24/06/1985")</f>
        <v>24/06/1985</v>
      </c>
      <c r="L3650" s="35" t="str">
        <f>IFERROR(__xludf.DUMMYFUNCTION("""COMPUTED_VALUE"""),"PEREMPUAN")</f>
        <v>PEREMPUAN</v>
      </c>
      <c r="M3650" s="35" t="str">
        <f>IFERROR(__xludf.DUMMYFUNCTION("""COMPUTED_VALUE"""),"JL. RADEN SURIF ")</f>
        <v>JL. RADEN SURIF </v>
      </c>
      <c r="N3650" s="35" t="str">
        <f>IFERROR(__xludf.DUMMYFUNCTION("""COMPUTED_VALUE"""),"SEMITAU HILIR")</f>
        <v>SEMITAU HILIR</v>
      </c>
      <c r="O3650" s="35" t="str">
        <f>IFERROR(__xludf.DUMMYFUNCTION("""COMPUTED_VALUE"""),"SEMITAU")</f>
        <v>SEMITAU</v>
      </c>
      <c r="P3650" s="35" t="str">
        <f>IFERROR(__xludf.DUMMYFUNCTION("""COMPUTED_VALUE"""),"KAPUAS HULU")</f>
        <v>KAPUAS HULU</v>
      </c>
      <c r="Q3650" s="35" t="str">
        <f>IFERROR(__xludf.DUMMYFUNCTION("""COMPUTED_VALUE"""),"KALIMANTAN BARAT ")</f>
        <v>KALIMANTAN BARAT </v>
      </c>
      <c r="R3650" s="35" t="str">
        <f>IFERROR(__xludf.DUMMYFUNCTION("""COMPUTED_VALUE"""),"ISLAM")</f>
        <v>ISLAM</v>
      </c>
      <c r="S3650" s="74" t="str">
        <f>IFERROR(__xludf.DUMMYFUNCTION("""COMPUTED_VALUE"""),"GURU")</f>
        <v>GURU</v>
      </c>
      <c r="T3650" s="35" t="str">
        <f>IFERROR(__xludf.DUMMYFUNCTION("""COMPUTED_VALUE"""),"PIRIFORMIS SINDROM (SAKIT KAKI KIRI YG MENJALAR DARI BOKONG)")</f>
        <v>PIRIFORMIS SINDROM (SAKIT KAKI KIRI YG MENJALAR DARI BOKONG)</v>
      </c>
      <c r="U3650" s="35" t="str">
        <f>IFERROR(__xludf.DUMMYFUNCTION("""COMPUTED_VALUE"""),"MEMBACA NOVEL, MENONTON DRAMA")</f>
        <v>MEMBACA NOVEL, MENONTON DRAMA</v>
      </c>
      <c r="V3650" s="35" t="str">
        <f>IFERROR(__xludf.DUMMYFUNCTION("""COMPUTED_VALUE"""),"085750336110")</f>
        <v>085750336110</v>
      </c>
      <c r="W3650" s="45"/>
    </row>
    <row r="3651">
      <c r="A3651" s="45"/>
      <c r="B3651" s="35" t="str">
        <f>IFERROR(__xludf.DUMMYFUNCTION("""COMPUTED_VALUE"""),"07/04/2026 11:34:03")</f>
        <v>07/04/2026 11:34:03</v>
      </c>
      <c r="C3651" s="35"/>
      <c r="D3651" s="10">
        <f>IFERROR(__xludf.DUMMYFUNCTION("""COMPUTED_VALUE"""),46119.0)</f>
        <v>46119</v>
      </c>
      <c r="E3651" s="35" t="str">
        <f>IFERROR(__xludf.DUMMYFUNCTION("""COMPUTED_VALUE"""),"04Apr")</f>
        <v>04Apr</v>
      </c>
      <c r="F3651" s="35"/>
      <c r="G3651" s="35" t="str">
        <f>IFERROR(__xludf.DUMMYFUNCTION("""COMPUTED_VALUE"""),"ENDANG HARYANTI")</f>
        <v>ENDANG HARYANTI</v>
      </c>
      <c r="H3651" s="35" t="str">
        <f>IFERROR(__xludf.DUMMYFUNCTION("""COMPUTED_VALUE"""),"E7026045002")</f>
        <v>E7026045002</v>
      </c>
      <c r="I3651" s="35">
        <f>IFERROR(__xludf.DUMMYFUNCTION("""COMPUTED_VALUE"""),55.0)</f>
        <v>55</v>
      </c>
      <c r="J3651" s="35" t="str">
        <f>IFERROR(__xludf.DUMMYFUNCTION("""COMPUTED_VALUE"""),"&gt; 44 tahun")</f>
        <v>&gt; 44 tahun</v>
      </c>
      <c r="K3651" s="76">
        <f>IFERROR(__xludf.DUMMYFUNCTION("""COMPUTED_VALUE"""),25918.0)</f>
        <v>25918</v>
      </c>
      <c r="L3651" s="35" t="str">
        <f>IFERROR(__xludf.DUMMYFUNCTION("""COMPUTED_VALUE"""),"PEREMPUAN")</f>
        <v>PEREMPUAN</v>
      </c>
      <c r="M3651" s="35" t="str">
        <f>IFERROR(__xludf.DUMMYFUNCTION("""COMPUTED_VALUE"""),"JALAN DR. WAHIDIN SUDIROHUSODO GANG SEPAKAT 4A NOMOR 2 PONTIANAK ")</f>
        <v>JALAN DR. WAHIDIN SUDIROHUSODO GANG SEPAKAT 4A NOMOR 2 PONTIANAK </v>
      </c>
      <c r="N3651" s="35" t="str">
        <f>IFERROR(__xludf.DUMMYFUNCTION("""COMPUTED_VALUE"""),"KELURAHAN SUNGAI JAWI")</f>
        <v>KELURAHAN SUNGAI JAWI</v>
      </c>
      <c r="O3651" s="35" t="str">
        <f>IFERROR(__xludf.DUMMYFUNCTION("""COMPUTED_VALUE"""),"PONTIANAK KOTA")</f>
        <v>PONTIANAK KOTA</v>
      </c>
      <c r="P3651" s="35" t="str">
        <f>IFERROR(__xludf.DUMMYFUNCTION("""COMPUTED_VALUE"""),"KOTA PONTIANAK ")</f>
        <v>KOTA PONTIANAK </v>
      </c>
      <c r="Q3651" s="35" t="str">
        <f>IFERROR(__xludf.DUMMYFUNCTION("""COMPUTED_VALUE"""),"KALIMANTAN BARAT ")</f>
        <v>KALIMANTAN BARAT </v>
      </c>
      <c r="R3651" s="35" t="str">
        <f>IFERROR(__xludf.DUMMYFUNCTION("""COMPUTED_VALUE"""),"ISLAM")</f>
        <v>ISLAM</v>
      </c>
      <c r="S3651" s="74" t="str">
        <f>IFERROR(__xludf.DUMMYFUNCTION("""COMPUTED_VALUE"""),"PNS (GURU)")</f>
        <v>PNS (GURU)</v>
      </c>
      <c r="T3651" s="35" t="str">
        <f>IFERROR(__xludf.DUMMYFUNCTION("""COMPUTED_VALUE"""),"SAKIT PADA KAKI KIRI BAGIAN PAHA HINGGA BOKONG ")</f>
        <v>SAKIT PADA KAKI KIRI BAGIAN PAHA HINGGA BOKONG </v>
      </c>
      <c r="U3651" s="35" t="str">
        <f>IFERROR(__xludf.DUMMYFUNCTION("""COMPUTED_VALUE"""),"JALAN SANTAI DAN OLAHRAGA BADMINTON ")</f>
        <v>JALAN SANTAI DAN OLAHRAGA BADMINTON </v>
      </c>
      <c r="V3651" s="35" t="str">
        <f>IFERROR(__xludf.DUMMYFUNCTION("""COMPUTED_VALUE"""),"081257275002")</f>
        <v>081257275002</v>
      </c>
      <c r="W3651" s="45"/>
    </row>
    <row r="3652">
      <c r="A3652" s="45"/>
      <c r="B3652" s="35" t="str">
        <f>IFERROR(__xludf.DUMMYFUNCTION("""COMPUTED_VALUE"""),"07/04/2026 19:05:48")</f>
        <v>07/04/2026 19:05:48</v>
      </c>
      <c r="C3652" s="35"/>
      <c r="D3652" s="10">
        <f>IFERROR(__xludf.DUMMYFUNCTION("""COMPUTED_VALUE"""),46119.0)</f>
        <v>46119</v>
      </c>
      <c r="E3652" s="35" t="str">
        <f>IFERROR(__xludf.DUMMYFUNCTION("""COMPUTED_VALUE"""),"04Apr")</f>
        <v>04Apr</v>
      </c>
      <c r="F3652" s="35"/>
      <c r="G3652" s="35" t="str">
        <f>IFERROR(__xludf.DUMMYFUNCTION("""COMPUTED_VALUE"""),"MAHANI ISMARIANA ")</f>
        <v>MAHANI ISMARIANA </v>
      </c>
      <c r="H3652" s="35" t="str">
        <f>IFERROR(__xludf.DUMMYFUNCTION("""COMPUTED_VALUE"""),"M6926045873")</f>
        <v>M6926045873</v>
      </c>
      <c r="I3652" s="35">
        <f>IFERROR(__xludf.DUMMYFUNCTION("""COMPUTED_VALUE"""),56.0)</f>
        <v>56</v>
      </c>
      <c r="J3652" s="35" t="str">
        <f>IFERROR(__xludf.DUMMYFUNCTION("""COMPUTED_VALUE"""),"&gt; 44 tahun")</f>
        <v>&gt; 44 tahun</v>
      </c>
      <c r="K3652" s="35" t="str">
        <f>IFERROR(__xludf.DUMMYFUNCTION("""COMPUTED_VALUE"""),"10/09/1969")</f>
        <v>10/09/1969</v>
      </c>
      <c r="L3652" s="35" t="str">
        <f>IFERROR(__xludf.DUMMYFUNCTION("""COMPUTED_VALUE"""),"PEREMPUAN")</f>
        <v>PEREMPUAN</v>
      </c>
      <c r="M3652" s="35" t="str">
        <f>IFERROR(__xludf.DUMMYFUNCTION("""COMPUTED_VALUE"""),"DUSUN SIDA KAYA RT 11")</f>
        <v>DUSUN SIDA KAYA RT 11</v>
      </c>
      <c r="N3652" s="35" t="str">
        <f>IFERROR(__xludf.DUMMYFUNCTION("""COMPUTED_VALUE"""),"SEPONTI JAYA ")</f>
        <v>SEPONTI JAYA </v>
      </c>
      <c r="O3652" s="35" t="str">
        <f>IFERROR(__xludf.DUMMYFUNCTION("""COMPUTED_VALUE"""),"SEPONTI ")</f>
        <v>SEPONTI </v>
      </c>
      <c r="P3652" s="35" t="str">
        <f>IFERROR(__xludf.DUMMYFUNCTION("""COMPUTED_VALUE"""),"KAYONG UTARA ")</f>
        <v>KAYONG UTARA </v>
      </c>
      <c r="Q3652" s="35" t="str">
        <f>IFERROR(__xludf.DUMMYFUNCTION("""COMPUTED_VALUE"""),"KALIMANTAN BARAT ")</f>
        <v>KALIMANTAN BARAT </v>
      </c>
      <c r="R3652" s="35" t="str">
        <f>IFERROR(__xludf.DUMMYFUNCTION("""COMPUTED_VALUE"""),"ISLAM")</f>
        <v>ISLAM</v>
      </c>
      <c r="S3652" s="74" t="str">
        <f>IFERROR(__xludf.DUMMYFUNCTION("""COMPUTED_VALUE"""),"PNS ")</f>
        <v>PNS </v>
      </c>
      <c r="T3652" s="35" t="str">
        <f>IFERROR(__xludf.DUMMYFUNCTION("""COMPUTED_VALUE"""),"NYERI KAKI DIBELAKANG LUTUT")</f>
        <v>NYERI KAKI DIBELAKANG LUTUT</v>
      </c>
      <c r="U3652" s="35" t="str">
        <f>IFERROR(__xludf.DUMMYFUNCTION("""COMPUTED_VALUE"""),"SENAM")</f>
        <v>SENAM</v>
      </c>
      <c r="V3652" s="35" t="str">
        <f>IFERROR(__xludf.DUMMYFUNCTION("""COMPUTED_VALUE"""),"081351925873")</f>
        <v>081351925873</v>
      </c>
      <c r="W3652" s="45"/>
    </row>
    <row r="3653">
      <c r="A3653" s="45"/>
      <c r="B3653" s="35" t="str">
        <f>IFERROR(__xludf.DUMMYFUNCTION("""COMPUTED_VALUE"""),"07/04/2026 12:18:24")</f>
        <v>07/04/2026 12:18:24</v>
      </c>
      <c r="C3653" s="35"/>
      <c r="D3653" s="10">
        <f>IFERROR(__xludf.DUMMYFUNCTION("""COMPUTED_VALUE"""),46119.0)</f>
        <v>46119</v>
      </c>
      <c r="E3653" s="35" t="str">
        <f>IFERROR(__xludf.DUMMYFUNCTION("""COMPUTED_VALUE"""),"04Apr")</f>
        <v>04Apr</v>
      </c>
      <c r="F3653" s="35"/>
      <c r="G3653" s="35" t="str">
        <f>IFERROR(__xludf.DUMMYFUNCTION("""COMPUTED_VALUE"""),"DARMIATI")</f>
        <v>DARMIATI</v>
      </c>
      <c r="H3653" s="35" t="str">
        <f>IFERROR(__xludf.DUMMYFUNCTION("""COMPUTED_VALUE"""),"D6926044555")</f>
        <v>D6926044555</v>
      </c>
      <c r="I3653" s="35">
        <f>IFERROR(__xludf.DUMMYFUNCTION("""COMPUTED_VALUE"""),56.0)</f>
        <v>56</v>
      </c>
      <c r="J3653" s="35" t="str">
        <f>IFERROR(__xludf.DUMMYFUNCTION("""COMPUTED_VALUE"""),"&gt; 44 tahun")</f>
        <v>&gt; 44 tahun</v>
      </c>
      <c r="K3653" s="35" t="str">
        <f>IFERROR(__xludf.DUMMYFUNCTION("""COMPUTED_VALUE"""),"15/08/1969")</f>
        <v>15/08/1969</v>
      </c>
      <c r="L3653" s="35" t="str">
        <f>IFERROR(__xludf.DUMMYFUNCTION("""COMPUTED_VALUE"""),"PEREMPUAN")</f>
        <v>PEREMPUAN</v>
      </c>
      <c r="M3653" s="35" t="str">
        <f>IFERROR(__xludf.DUMMYFUNCTION("""COMPUTED_VALUE"""),"JL. DR WAHIDIN S NO. 48")</f>
        <v>JL. DR WAHIDIN S NO. 48</v>
      </c>
      <c r="N3653" s="35" t="str">
        <f>IFERROR(__xludf.DUMMYFUNCTION("""COMPUTED_VALUE"""),"SEI JAWI")</f>
        <v>SEI JAWI</v>
      </c>
      <c r="O3653" s="35" t="str">
        <f>IFERROR(__xludf.DUMMYFUNCTION("""COMPUTED_VALUE"""),"PONTIANAK KOTA")</f>
        <v>PONTIANAK KOTA</v>
      </c>
      <c r="P3653" s="35" t="str">
        <f>IFERROR(__xludf.DUMMYFUNCTION("""COMPUTED_VALUE"""),"KOTA PONTIANAK")</f>
        <v>KOTA PONTIANAK</v>
      </c>
      <c r="Q3653" s="35" t="str">
        <f>IFERROR(__xludf.DUMMYFUNCTION("""COMPUTED_VALUE"""),"KALIMANTAN BARAT")</f>
        <v>KALIMANTAN BARAT</v>
      </c>
      <c r="R3653" s="35" t="str">
        <f>IFERROR(__xludf.DUMMYFUNCTION("""COMPUTED_VALUE"""),"ISLAM")</f>
        <v>ISLAM</v>
      </c>
      <c r="S3653" s="74" t="str">
        <f>IFERROR(__xludf.DUMMYFUNCTION("""COMPUTED_VALUE"""),"IBU RUMAH TANGGA")</f>
        <v>IBU RUMAH TANGGA</v>
      </c>
      <c r="T3653" s="35" t="str">
        <f>IFERROR(__xludf.DUMMYFUNCTION("""COMPUTED_VALUE"""),"STROKE PROGRESIF, SUSAH BICARA DAN TANGAN SERTA KAKI KIRI LEMAH")</f>
        <v>STROKE PROGRESIF, SUSAH BICARA DAN TANGAN SERTA KAKI KIRI LEMAH</v>
      </c>
      <c r="U3653" s="35" t="str">
        <f>IFERROR(__xludf.DUMMYFUNCTION("""COMPUTED_VALUE"""),"TIDAK ADA ")</f>
        <v>TIDAK ADA </v>
      </c>
      <c r="V3653" s="35" t="str">
        <f>IFERROR(__xludf.DUMMYFUNCTION("""COMPUTED_VALUE"""),"0811564555")</f>
        <v>0811564555</v>
      </c>
      <c r="W3653" s="45"/>
    </row>
    <row r="3654">
      <c r="A3654" s="45"/>
      <c r="B3654" s="35" t="str">
        <f>IFERROR(__xludf.DUMMYFUNCTION("""COMPUTED_VALUE"""),"07/04/2026 20:27:47")</f>
        <v>07/04/2026 20:27:47</v>
      </c>
      <c r="C3654" s="35"/>
      <c r="D3654" s="10">
        <f>IFERROR(__xludf.DUMMYFUNCTION("""COMPUTED_VALUE"""),46119.0)</f>
        <v>46119</v>
      </c>
      <c r="E3654" s="35" t="str">
        <f>IFERROR(__xludf.DUMMYFUNCTION("""COMPUTED_VALUE"""),"04Apr")</f>
        <v>04Apr</v>
      </c>
      <c r="F3654" s="35"/>
      <c r="G3654" s="35" t="str">
        <f>IFERROR(__xludf.DUMMYFUNCTION("""COMPUTED_VALUE"""),"PARMI")</f>
        <v>PARMI</v>
      </c>
      <c r="H3654" s="35" t="str">
        <f>IFERROR(__xludf.DUMMYFUNCTION("""COMPUTED_VALUE"""),"P5826046030")</f>
        <v>P5826046030</v>
      </c>
      <c r="I3654" s="35">
        <f>IFERROR(__xludf.DUMMYFUNCTION("""COMPUTED_VALUE"""),68.0)</f>
        <v>68</v>
      </c>
      <c r="J3654" s="35" t="str">
        <f>IFERROR(__xludf.DUMMYFUNCTION("""COMPUTED_VALUE"""),"&gt; 44 tahun")</f>
        <v>&gt; 44 tahun</v>
      </c>
      <c r="K3654" s="35" t="str">
        <f>IFERROR(__xludf.DUMMYFUNCTION("""COMPUTED_VALUE"""),"09/05/1958")</f>
        <v>09/05/1958</v>
      </c>
      <c r="L3654" s="35" t="str">
        <f>IFERROR(__xludf.DUMMYFUNCTION("""COMPUTED_VALUE"""),"PEREMPUAN")</f>
        <v>PEREMPUAN</v>
      </c>
      <c r="M3654" s="35" t="str">
        <f>IFERROR(__xludf.DUMMYFUNCTION("""COMPUTED_VALUE"""),"JL. GUSTI HAMZAH GG. HIDAYAH NO. 16")</f>
        <v>JL. GUSTI HAMZAH GG. HIDAYAH NO. 16</v>
      </c>
      <c r="N3654" s="35" t="str">
        <f>IFERROR(__xludf.DUMMYFUNCTION("""COMPUTED_VALUE"""),"SUNGAI JAWI")</f>
        <v>SUNGAI JAWI</v>
      </c>
      <c r="O3654" s="35" t="str">
        <f>IFERROR(__xludf.DUMMYFUNCTION("""COMPUTED_VALUE"""),"PONTIANAK KOTA")</f>
        <v>PONTIANAK KOTA</v>
      </c>
      <c r="P3654" s="35" t="str">
        <f>IFERROR(__xludf.DUMMYFUNCTION("""COMPUTED_VALUE"""),"PONTIANAK")</f>
        <v>PONTIANAK</v>
      </c>
      <c r="Q3654" s="35" t="str">
        <f>IFERROR(__xludf.DUMMYFUNCTION("""COMPUTED_VALUE"""),"KALIMANTAN BARAT")</f>
        <v>KALIMANTAN BARAT</v>
      </c>
      <c r="R3654" s="35" t="str">
        <f>IFERROR(__xludf.DUMMYFUNCTION("""COMPUTED_VALUE"""),"ISLAM")</f>
        <v>ISLAM</v>
      </c>
      <c r="S3654" s="74" t="str">
        <f>IFERROR(__xludf.DUMMYFUNCTION("""COMPUTED_VALUE"""),"IBU RUMAH TANGGA")</f>
        <v>IBU RUMAH TANGGA</v>
      </c>
      <c r="T3654" s="35" t="str">
        <f>IFERROR(__xludf.DUMMYFUNCTION("""COMPUTED_VALUE"""),"PINGGANG SAMPAI KAKI")</f>
        <v>PINGGANG SAMPAI KAKI</v>
      </c>
      <c r="U3654" s="35" t="str">
        <f>IFERROR(__xludf.DUMMYFUNCTION("""COMPUTED_VALUE"""),"-")</f>
        <v>-</v>
      </c>
      <c r="V3654" s="35" t="str">
        <f>IFERROR(__xludf.DUMMYFUNCTION("""COMPUTED_VALUE"""),"085387876030")</f>
        <v>085387876030</v>
      </c>
      <c r="W3654" s="45"/>
    </row>
    <row r="3655">
      <c r="A3655" s="45"/>
      <c r="B3655" s="35" t="str">
        <f>IFERROR(__xludf.DUMMYFUNCTION("""COMPUTED_VALUE"""),"08/04/2026 9:59:05")</f>
        <v>08/04/2026 9:59:05</v>
      </c>
      <c r="C3655" s="35"/>
      <c r="D3655" s="10">
        <f>IFERROR(__xludf.DUMMYFUNCTION("""COMPUTED_VALUE"""),46120.0)</f>
        <v>46120</v>
      </c>
      <c r="E3655" s="35" t="str">
        <f>IFERROR(__xludf.DUMMYFUNCTION("""COMPUTED_VALUE"""),"04Apr")</f>
        <v>04Apr</v>
      </c>
      <c r="F3655" s="35"/>
      <c r="G3655" s="35" t="str">
        <f>IFERROR(__xludf.DUMMYFUNCTION("""COMPUTED_VALUE"""),"IWAN MULYAWAN")</f>
        <v>IWAN MULYAWAN</v>
      </c>
      <c r="H3655" s="35" t="str">
        <f>IFERROR(__xludf.DUMMYFUNCTION("""COMPUTED_VALUE"""),"I6626049850")</f>
        <v>I6626049850</v>
      </c>
      <c r="I3655" s="35">
        <f>IFERROR(__xludf.DUMMYFUNCTION("""COMPUTED_VALUE"""),59.0)</f>
        <v>59</v>
      </c>
      <c r="J3655" s="35" t="str">
        <f>IFERROR(__xludf.DUMMYFUNCTION("""COMPUTED_VALUE"""),"&gt; 44 tahun")</f>
        <v>&gt; 44 tahun</v>
      </c>
      <c r="K3655" s="35" t="str">
        <f>IFERROR(__xludf.DUMMYFUNCTION("""COMPUTED_VALUE"""),"22/12/1966")</f>
        <v>22/12/1966</v>
      </c>
      <c r="L3655" s="35" t="str">
        <f>IFERROR(__xludf.DUMMYFUNCTION("""COMPUTED_VALUE"""),"LAKI-LAKI")</f>
        <v>LAKI-LAKI</v>
      </c>
      <c r="M3655" s="35" t="str">
        <f>IFERROR(__xludf.DUMMYFUNCTION("""COMPUTED_VALUE"""),"JL. TANJUNG RAYA 2 GG. JABAR")</f>
        <v>JL. TANJUNG RAYA 2 GG. JABAR</v>
      </c>
      <c r="N3655" s="35" t="str">
        <f>IFERROR(__xludf.DUMMYFUNCTION("""COMPUTED_VALUE"""),"SAIGON")</f>
        <v>SAIGON</v>
      </c>
      <c r="O3655" s="35" t="str">
        <f>IFERROR(__xludf.DUMMYFUNCTION("""COMPUTED_VALUE"""),"PONTIANAK TIMUR")</f>
        <v>PONTIANAK TIMUR</v>
      </c>
      <c r="P3655" s="35" t="str">
        <f>IFERROR(__xludf.DUMMYFUNCTION("""COMPUTED_VALUE"""),"PONTIANAK")</f>
        <v>PONTIANAK</v>
      </c>
      <c r="Q3655" s="35" t="str">
        <f>IFERROR(__xludf.DUMMYFUNCTION("""COMPUTED_VALUE"""),"KALIMANTAN BARAT")</f>
        <v>KALIMANTAN BARAT</v>
      </c>
      <c r="R3655" s="35" t="str">
        <f>IFERROR(__xludf.DUMMYFUNCTION("""COMPUTED_VALUE"""),"ISLAM")</f>
        <v>ISLAM</v>
      </c>
      <c r="S3655" s="74" t="str">
        <f>IFERROR(__xludf.DUMMYFUNCTION("""COMPUTED_VALUE"""),"SUPIR")</f>
        <v>SUPIR</v>
      </c>
      <c r="T3655" s="35" t="str">
        <f>IFERROR(__xludf.DUMMYFUNCTION("""COMPUTED_VALUE"""),"LENGAN TIDAK BISA DI ANGKAT FULL ATAS")</f>
        <v>LENGAN TIDAK BISA DI ANGKAT FULL ATAS</v>
      </c>
      <c r="U3655" s="35" t="str">
        <f>IFERROR(__xludf.DUMMYFUNCTION("""COMPUTED_VALUE"""),"MENGENDARAI MOBIL")</f>
        <v>MENGENDARAI MOBIL</v>
      </c>
      <c r="V3655" s="35" t="str">
        <f>IFERROR(__xludf.DUMMYFUNCTION("""COMPUTED_VALUE"""),"08985459850")</f>
        <v>08985459850</v>
      </c>
      <c r="W3655" s="45"/>
    </row>
    <row r="3656">
      <c r="A3656" s="45"/>
      <c r="B3656" s="35" t="str">
        <f>IFERROR(__xludf.DUMMYFUNCTION("""COMPUTED_VALUE"""),"08/04/2026 15:53:52")</f>
        <v>08/04/2026 15:53:52</v>
      </c>
      <c r="C3656" s="35"/>
      <c r="D3656" s="10">
        <f>IFERROR(__xludf.DUMMYFUNCTION("""COMPUTED_VALUE"""),46120.0)</f>
        <v>46120</v>
      </c>
      <c r="E3656" s="35" t="str">
        <f>IFERROR(__xludf.DUMMYFUNCTION("""COMPUTED_VALUE"""),"04Apr")</f>
        <v>04Apr</v>
      </c>
      <c r="F3656" s="35"/>
      <c r="G3656" s="35" t="str">
        <f>IFERROR(__xludf.DUMMYFUNCTION("""COMPUTED_VALUE"""),"MUHAMMAD ALFAREZZI")</f>
        <v>MUHAMMAD ALFAREZZI</v>
      </c>
      <c r="H3656" s="35" t="str">
        <f>IFERROR(__xludf.DUMMYFUNCTION("""COMPUTED_VALUE"""),"M0726042765")</f>
        <v>M0726042765</v>
      </c>
      <c r="I3656" s="35">
        <f>IFERROR(__xludf.DUMMYFUNCTION("""COMPUTED_VALUE"""),18.0)</f>
        <v>18</v>
      </c>
      <c r="J3656" s="35" t="str">
        <f>IFERROR(__xludf.DUMMYFUNCTION("""COMPUTED_VALUE"""),"&lt; 18 tahun")</f>
        <v>&lt; 18 tahun</v>
      </c>
      <c r="K3656" s="35" t="str">
        <f>IFERROR(__xludf.DUMMYFUNCTION("""COMPUTED_VALUE"""),"12/08/2007")</f>
        <v>12/08/2007</v>
      </c>
      <c r="L3656" s="35" t="str">
        <f>IFERROR(__xludf.DUMMYFUNCTION("""COMPUTED_VALUE"""),"LAKI-LAKI")</f>
        <v>LAKI-LAKI</v>
      </c>
      <c r="M3656" s="35" t="str">
        <f>IFERROR(__xludf.DUMMYFUNCTION("""COMPUTED_VALUE"""),"KOMP. PURI AKCAYA II A. 13")</f>
        <v>KOMP. PURI AKCAYA II A. 13</v>
      </c>
      <c r="N3656" s="35" t="str">
        <f>IFERROR(__xludf.DUMMYFUNCTION("""COMPUTED_VALUE"""),"SUNGAI RAYA DALAM")</f>
        <v>SUNGAI RAYA DALAM</v>
      </c>
      <c r="O3656" s="35" t="str">
        <f>IFERROR(__xludf.DUMMYFUNCTION("""COMPUTED_VALUE"""),"SUNGAI RAYA")</f>
        <v>SUNGAI RAYA</v>
      </c>
      <c r="P3656" s="35" t="str">
        <f>IFERROR(__xludf.DUMMYFUNCTION("""COMPUTED_VALUE"""),"PONTIANAK")</f>
        <v>PONTIANAK</v>
      </c>
      <c r="Q3656" s="35" t="str">
        <f>IFERROR(__xludf.DUMMYFUNCTION("""COMPUTED_VALUE"""),"KALIMANTAN BARAT")</f>
        <v>KALIMANTAN BARAT</v>
      </c>
      <c r="R3656" s="35" t="str">
        <f>IFERROR(__xludf.DUMMYFUNCTION("""COMPUTED_VALUE"""),"ISLAM")</f>
        <v>ISLAM</v>
      </c>
      <c r="S3656" s="74" t="str">
        <f>IFERROR(__xludf.DUMMYFUNCTION("""COMPUTED_VALUE"""),"PELAJAR/MAHASISWA")</f>
        <v>PELAJAR/MAHASISWA</v>
      </c>
      <c r="T3656" s="35" t="str">
        <f>IFERROR(__xludf.DUMMYFUNCTION("""COMPUTED_VALUE"""),"BAHU MIRING SEBELAH ( MAU TES POLISI)")</f>
        <v>BAHU MIRING SEBELAH ( MAU TES POLISI)</v>
      </c>
      <c r="U3656" s="35" t="str">
        <f>IFERROR(__xludf.DUMMYFUNCTION("""COMPUTED_VALUE"""),"-")</f>
        <v>-</v>
      </c>
      <c r="V3656" s="35" t="str">
        <f>IFERROR(__xludf.DUMMYFUNCTION("""COMPUTED_VALUE"""),"082155482765")</f>
        <v>082155482765</v>
      </c>
      <c r="W3656" s="45"/>
    </row>
    <row r="3657">
      <c r="A3657" s="45"/>
      <c r="B3657" s="35" t="str">
        <f>IFERROR(__xludf.DUMMYFUNCTION("""COMPUTED_VALUE"""),"08/04/2026 19:59:24")</f>
        <v>08/04/2026 19:59:24</v>
      </c>
      <c r="C3657" s="35"/>
      <c r="D3657" s="10">
        <f>IFERROR(__xludf.DUMMYFUNCTION("""COMPUTED_VALUE"""),46120.0)</f>
        <v>46120</v>
      </c>
      <c r="E3657" s="35" t="str">
        <f>IFERROR(__xludf.DUMMYFUNCTION("""COMPUTED_VALUE"""),"04Apr")</f>
        <v>04Apr</v>
      </c>
      <c r="F3657" s="35"/>
      <c r="G3657" s="35" t="str">
        <f>IFERROR(__xludf.DUMMYFUNCTION("""COMPUTED_VALUE"""),"TATA")</f>
        <v>TATA</v>
      </c>
      <c r="H3657" s="35" t="str">
        <f>IFERROR(__xludf.DUMMYFUNCTION("""COMPUTED_VALUE"""),"T0126044916")</f>
        <v>T0126044916</v>
      </c>
      <c r="I3657" s="35">
        <f>IFERROR(__xludf.DUMMYFUNCTION("""COMPUTED_VALUE"""),25.0)</f>
        <v>25</v>
      </c>
      <c r="J3657" s="35" t="str">
        <f>IFERROR(__xludf.DUMMYFUNCTION("""COMPUTED_VALUE"""),"25-34 tahun")</f>
        <v>25-34 tahun</v>
      </c>
      <c r="K3657" s="35" t="str">
        <f>IFERROR(__xludf.DUMMYFUNCTION("""COMPUTED_VALUE"""),"28/01/2001")</f>
        <v>28/01/2001</v>
      </c>
      <c r="L3657" s="35" t="str">
        <f>IFERROR(__xludf.DUMMYFUNCTION("""COMPUTED_VALUE"""),"PEREMPUAN")</f>
        <v>PEREMPUAN</v>
      </c>
      <c r="M3657" s="35" t="str">
        <f>IFERROR(__xludf.DUMMYFUNCTION("""COMPUTED_VALUE"""),"GG CERIA 9 NO 5 ( SERDAM )")</f>
        <v>GG CERIA 9 NO 5 ( SERDAM )</v>
      </c>
      <c r="N3657" s="35" t="str">
        <f>IFERROR(__xludf.DUMMYFUNCTION("""COMPUTED_VALUE"""),"SUI RAYA")</f>
        <v>SUI RAYA</v>
      </c>
      <c r="O3657" s="35" t="str">
        <f>IFERROR(__xludf.DUMMYFUNCTION("""COMPUTED_VALUE"""),"SUI RAYA DALAM")</f>
        <v>SUI RAYA DALAM</v>
      </c>
      <c r="P3657" s="35" t="str">
        <f>IFERROR(__xludf.DUMMYFUNCTION("""COMPUTED_VALUE"""),"KUBU RAYA")</f>
        <v>KUBU RAYA</v>
      </c>
      <c r="Q3657" s="35" t="str">
        <f>IFERROR(__xludf.DUMMYFUNCTION("""COMPUTED_VALUE"""),"KALIMANTAN BARAT")</f>
        <v>KALIMANTAN BARAT</v>
      </c>
      <c r="R3657" s="35" t="str">
        <f>IFERROR(__xludf.DUMMYFUNCTION("""COMPUTED_VALUE"""),"BUDDHA")</f>
        <v>BUDDHA</v>
      </c>
      <c r="S3657" s="74" t="str">
        <f>IFERROR(__xludf.DUMMYFUNCTION("""COMPUTED_VALUE"""),"IBU RUMAH TANGGA")</f>
        <v>IBU RUMAH TANGGA</v>
      </c>
      <c r="T3657" s="35" t="str">
        <f>IFERROR(__xludf.DUMMYFUNCTION("""COMPUTED_VALUE"""),"NYERI DAN SAKIT AREA ELBOW ")</f>
        <v>NYERI DAN SAKIT AREA ELBOW </v>
      </c>
      <c r="U3657" s="35" t="str">
        <f>IFERROR(__xludf.DUMMYFUNCTION("""COMPUTED_VALUE"""),"MAIN PADEL")</f>
        <v>MAIN PADEL</v>
      </c>
      <c r="V3657" s="35" t="str">
        <f>IFERROR(__xludf.DUMMYFUNCTION("""COMPUTED_VALUE"""),"089677574916")</f>
        <v>089677574916</v>
      </c>
      <c r="W3657" s="45"/>
    </row>
    <row r="3658">
      <c r="A3658" s="45"/>
      <c r="B3658" s="35" t="str">
        <f>IFERROR(__xludf.DUMMYFUNCTION("""COMPUTED_VALUE"""),"09/04/2026 9:42:50")</f>
        <v>09/04/2026 9:42:50</v>
      </c>
      <c r="C3658" s="35"/>
      <c r="D3658" s="10">
        <f>IFERROR(__xludf.DUMMYFUNCTION("""COMPUTED_VALUE"""),46121.0)</f>
        <v>46121</v>
      </c>
      <c r="E3658" s="35" t="str">
        <f>IFERROR(__xludf.DUMMYFUNCTION("""COMPUTED_VALUE"""),"04Apr")</f>
        <v>04Apr</v>
      </c>
      <c r="F3658" s="35"/>
      <c r="G3658" s="35" t="str">
        <f>IFERROR(__xludf.DUMMYFUNCTION("""COMPUTED_VALUE"""),"ENDAH ARDHIA UTAMI")</f>
        <v>ENDAH ARDHIA UTAMI</v>
      </c>
      <c r="H3658" s="35" t="str">
        <f>IFERROR(__xludf.DUMMYFUNCTION("""COMPUTED_VALUE"""),"E9826044095")</f>
        <v>E9826044095</v>
      </c>
      <c r="I3658" s="35">
        <f>IFERROR(__xludf.DUMMYFUNCTION("""COMPUTED_VALUE"""),28.0)</f>
        <v>28</v>
      </c>
      <c r="J3658" s="35" t="str">
        <f>IFERROR(__xludf.DUMMYFUNCTION("""COMPUTED_VALUE"""),"25-34 tahun")</f>
        <v>25-34 tahun</v>
      </c>
      <c r="K3658" s="35" t="str">
        <f>IFERROR(__xludf.DUMMYFUNCTION("""COMPUTED_VALUE"""),"13/05/1998")</f>
        <v>13/05/1998</v>
      </c>
      <c r="L3658" s="35" t="str">
        <f>IFERROR(__xludf.DUMMYFUNCTION("""COMPUTED_VALUE"""),"PEREMPUAN")</f>
        <v>PEREMPUAN</v>
      </c>
      <c r="M3658" s="35" t="str">
        <f>IFERROR(__xludf.DUMMYFUNCTION("""COMPUTED_VALUE"""),"JL. DR. WAHIDIN GG. SEPAKAT 4A NO. 2 PONTIANAK")</f>
        <v>JL. DR. WAHIDIN GG. SEPAKAT 4A NO. 2 PONTIANAK</v>
      </c>
      <c r="N3658" s="35" t="str">
        <f>IFERROR(__xludf.DUMMYFUNCTION("""COMPUTED_VALUE"""),"SUNGAI JAWI")</f>
        <v>SUNGAI JAWI</v>
      </c>
      <c r="O3658" s="35" t="str">
        <f>IFERROR(__xludf.DUMMYFUNCTION("""COMPUTED_VALUE"""),"PONTIANAK KOTA")</f>
        <v>PONTIANAK KOTA</v>
      </c>
      <c r="P3658" s="35" t="str">
        <f>IFERROR(__xludf.DUMMYFUNCTION("""COMPUTED_VALUE"""),"KOTA PONTIANAK")</f>
        <v>KOTA PONTIANAK</v>
      </c>
      <c r="Q3658" s="35" t="str">
        <f>IFERROR(__xludf.DUMMYFUNCTION("""COMPUTED_VALUE"""),"KALIMANTAN BARAT")</f>
        <v>KALIMANTAN BARAT</v>
      </c>
      <c r="R3658" s="35" t="str">
        <f>IFERROR(__xludf.DUMMYFUNCTION("""COMPUTED_VALUE"""),"ISLAM")</f>
        <v>ISLAM</v>
      </c>
      <c r="S3658" s="74" t="str">
        <f>IFERROR(__xludf.DUMMYFUNCTION("""COMPUTED_VALUE"""),"KARYAWAN BUMD")</f>
        <v>KARYAWAN BUMD</v>
      </c>
      <c r="T3658" s="35" t="str">
        <f>IFERROR(__xludf.DUMMYFUNCTION("""COMPUTED_VALUE"""),"SAKIT SEPERTI KEBAS DAN BERAT DI DAERAH PUNDAK DAN BAHU")</f>
        <v>SAKIT SEPERTI KEBAS DAN BERAT DI DAERAH PUNDAK DAN BAHU</v>
      </c>
      <c r="U3658" s="35" t="str">
        <f>IFERROR(__xludf.DUMMYFUNCTION("""COMPUTED_VALUE"""),"BEKERJA MENGGUNAKAN MOUSE KURANG LEBIH 7 JAM SEHARI, SCROLL HP SAMBIL TENGKURAP")</f>
        <v>BEKERJA MENGGUNAKAN MOUSE KURANG LEBIH 7 JAM SEHARI, SCROLL HP SAMBIL TENGKURAP</v>
      </c>
      <c r="V3658" s="35" t="str">
        <f>IFERROR(__xludf.DUMMYFUNCTION("""COMPUTED_VALUE"""),"085349104095")</f>
        <v>085349104095</v>
      </c>
      <c r="W3658" s="45"/>
    </row>
    <row r="3659">
      <c r="A3659" s="45"/>
      <c r="B3659" s="35" t="str">
        <f>IFERROR(__xludf.DUMMYFUNCTION("""COMPUTED_VALUE"""),"09/04/2026 10:16:51")</f>
        <v>09/04/2026 10:16:51</v>
      </c>
      <c r="C3659" s="35"/>
      <c r="D3659" s="10">
        <f>IFERROR(__xludf.DUMMYFUNCTION("""COMPUTED_VALUE"""),46121.0)</f>
        <v>46121</v>
      </c>
      <c r="E3659" s="35" t="str">
        <f>IFERROR(__xludf.DUMMYFUNCTION("""COMPUTED_VALUE"""),"04Apr")</f>
        <v>04Apr</v>
      </c>
      <c r="F3659" s="35"/>
      <c r="G3659" s="35" t="str">
        <f>IFERROR(__xludf.DUMMYFUNCTION("""COMPUTED_VALUE"""),"FITRIANA 0703")</f>
        <v>FITRIANA 0703</v>
      </c>
      <c r="H3659" s="35" t="str">
        <f>IFERROR(__xludf.DUMMYFUNCTION("""COMPUTED_VALUE"""),"F0726049692")</f>
        <v>F0726049692</v>
      </c>
      <c r="I3659" s="35">
        <f>IFERROR(__xludf.DUMMYFUNCTION("""COMPUTED_VALUE"""),19.0)</f>
        <v>19</v>
      </c>
      <c r="J3659" s="35" t="str">
        <f>IFERROR(__xludf.DUMMYFUNCTION("""COMPUTED_VALUE"""),"18-24 tahun")</f>
        <v>18-24 tahun</v>
      </c>
      <c r="K3659" s="35" t="str">
        <f>IFERROR(__xludf.DUMMYFUNCTION("""COMPUTED_VALUE"""),"29/03/2007")</f>
        <v>29/03/2007</v>
      </c>
      <c r="L3659" s="35" t="str">
        <f>IFERROR(__xludf.DUMMYFUNCTION("""COMPUTED_VALUE"""),"PEREMPUAN")</f>
        <v>PEREMPUAN</v>
      </c>
      <c r="M3659" s="35" t="str">
        <f>IFERROR(__xludf.DUMMYFUNCTION("""COMPUTED_VALUE"""),"DUSUN PARIT LINTANG")</f>
        <v>DUSUN PARIT LINTANG</v>
      </c>
      <c r="N3659" s="35" t="str">
        <f>IFERROR(__xludf.DUMMYFUNCTION("""COMPUTED_VALUE"""),"SUNGAI PANGKALAN 1")</f>
        <v>SUNGAI PANGKALAN 1</v>
      </c>
      <c r="O3659" s="35" t="str">
        <f>IFERROR(__xludf.DUMMYFUNCTION("""COMPUTED_VALUE"""),"SUNGAI RAYA")</f>
        <v>SUNGAI RAYA</v>
      </c>
      <c r="P3659" s="35" t="str">
        <f>IFERROR(__xludf.DUMMYFUNCTION("""COMPUTED_VALUE"""),"BENGKAYANG")</f>
        <v>BENGKAYANG</v>
      </c>
      <c r="Q3659" s="35" t="str">
        <f>IFERROR(__xludf.DUMMYFUNCTION("""COMPUTED_VALUE"""),"KALIMANTAN BARAT")</f>
        <v>KALIMANTAN BARAT</v>
      </c>
      <c r="R3659" s="35" t="str">
        <f>IFERROR(__xludf.DUMMYFUNCTION("""COMPUTED_VALUE"""),"ISLAM")</f>
        <v>ISLAM</v>
      </c>
      <c r="S3659" s="74" t="str">
        <f>IFERROR(__xludf.DUMMYFUNCTION("""COMPUTED_VALUE"""),"-")</f>
        <v>-</v>
      </c>
      <c r="T3659" s="35" t="str">
        <f>IFERROR(__xludf.DUMMYFUNCTION("""COMPUTED_VALUE"""),"TULANG BAHU SEBELAH KIRI LENGKET DAN OTOT BAHU PECAH")</f>
        <v>TULANG BAHU SEBELAH KIRI LENGKET DAN OTOT BAHU PECAH</v>
      </c>
      <c r="U3659" s="35" t="str">
        <f>IFERROR(__xludf.DUMMYFUNCTION("""COMPUTED_VALUE"""),"-")</f>
        <v>-</v>
      </c>
      <c r="V3659" s="35" t="str">
        <f>IFERROR(__xludf.DUMMYFUNCTION("""COMPUTED_VALUE"""),"081251499692")</f>
        <v>081251499692</v>
      </c>
      <c r="W3659" s="45"/>
    </row>
    <row r="3660">
      <c r="A3660" s="45"/>
      <c r="B3660" s="35" t="str">
        <f>IFERROR(__xludf.DUMMYFUNCTION("""COMPUTED_VALUE"""),"09/04/2026 16:18:27")</f>
        <v>09/04/2026 16:18:27</v>
      </c>
      <c r="C3660" s="35"/>
      <c r="D3660" s="10">
        <f>IFERROR(__xludf.DUMMYFUNCTION("""COMPUTED_VALUE"""),46121.0)</f>
        <v>46121</v>
      </c>
      <c r="E3660" s="35" t="str">
        <f>IFERROR(__xludf.DUMMYFUNCTION("""COMPUTED_VALUE"""),"04Apr")</f>
        <v>04Apr</v>
      </c>
      <c r="F3660" s="35"/>
      <c r="G3660" s="35" t="str">
        <f>IFERROR(__xludf.DUMMYFUNCTION("""COMPUTED_VALUE"""),"NURITA")</f>
        <v>NURITA</v>
      </c>
      <c r="H3660" s="35" t="str">
        <f>IFERROR(__xludf.DUMMYFUNCTION("""COMPUTED_VALUE"""),"N8026048918")</f>
        <v>N8026048918</v>
      </c>
      <c r="I3660" s="35">
        <f>IFERROR(__xludf.DUMMYFUNCTION("""COMPUTED_VALUE"""),45.0)</f>
        <v>45</v>
      </c>
      <c r="J3660" s="35" t="str">
        <f>IFERROR(__xludf.DUMMYFUNCTION("""COMPUTED_VALUE"""),"&gt; 44 tahun")</f>
        <v>&gt; 44 tahun</v>
      </c>
      <c r="K3660" s="35" t="str">
        <f>IFERROR(__xludf.DUMMYFUNCTION("""COMPUTED_VALUE"""),"25/10/1980")</f>
        <v>25/10/1980</v>
      </c>
      <c r="L3660" s="35" t="str">
        <f>IFERROR(__xludf.DUMMYFUNCTION("""COMPUTED_VALUE"""),"PEREMPUAN")</f>
        <v>PEREMPUAN</v>
      </c>
      <c r="M3660" s="35" t="str">
        <f>IFERROR(__xludf.DUMMYFUNCTION("""COMPUTED_VALUE"""),"JL TANJUNG PURA GG SUEZ")</f>
        <v>JL TANJUNG PURA GG SUEZ</v>
      </c>
      <c r="N3660" s="35" t="str">
        <f>IFERROR(__xludf.DUMMYFUNCTION("""COMPUTED_VALUE"""),"BENUA MELAYU DARAT")</f>
        <v>BENUA MELAYU DARAT</v>
      </c>
      <c r="O3660" s="35" t="str">
        <f>IFERROR(__xludf.DUMMYFUNCTION("""COMPUTED_VALUE"""),"PONTIANAK SELATAN")</f>
        <v>PONTIANAK SELATAN</v>
      </c>
      <c r="P3660" s="35" t="str">
        <f>IFERROR(__xludf.DUMMYFUNCTION("""COMPUTED_VALUE"""),"PONTIANAK")</f>
        <v>PONTIANAK</v>
      </c>
      <c r="Q3660" s="35" t="str">
        <f>IFERROR(__xludf.DUMMYFUNCTION("""COMPUTED_VALUE"""),"KALIMANTAN BARAT")</f>
        <v>KALIMANTAN BARAT</v>
      </c>
      <c r="R3660" s="35" t="str">
        <f>IFERROR(__xludf.DUMMYFUNCTION("""COMPUTED_VALUE"""),"BUDDHA")</f>
        <v>BUDDHA</v>
      </c>
      <c r="S3660" s="74" t="str">
        <f>IFERROR(__xludf.DUMMYFUNCTION("""COMPUTED_VALUE"""),"SWASTA")</f>
        <v>SWASTA</v>
      </c>
      <c r="T3660" s="35" t="str">
        <f>IFERROR(__xludf.DUMMYFUNCTION("""COMPUTED_VALUE"""),"TANGAN GAK BISA LURUS")</f>
        <v>TANGAN GAK BISA LURUS</v>
      </c>
      <c r="U3660" s="35" t="str">
        <f>IFERROR(__xludf.DUMMYFUNCTION("""COMPUTED_VALUE"""),"-")</f>
        <v>-</v>
      </c>
      <c r="V3660" s="35" t="str">
        <f>IFERROR(__xludf.DUMMYFUNCTION("""COMPUTED_VALUE"""),"082159968918")</f>
        <v>082159968918</v>
      </c>
      <c r="W3660" s="45"/>
    </row>
    <row r="3661">
      <c r="A3661" s="45"/>
      <c r="B3661" s="35" t="str">
        <f>IFERROR(__xludf.DUMMYFUNCTION("""COMPUTED_VALUE"""),"09/04/2026 17:34:33")</f>
        <v>09/04/2026 17:34:33</v>
      </c>
      <c r="C3661" s="35"/>
      <c r="D3661" s="10">
        <f>IFERROR(__xludf.DUMMYFUNCTION("""COMPUTED_VALUE"""),46121.0)</f>
        <v>46121</v>
      </c>
      <c r="E3661" s="35" t="str">
        <f>IFERROR(__xludf.DUMMYFUNCTION("""COMPUTED_VALUE"""),"04Apr")</f>
        <v>04Apr</v>
      </c>
      <c r="F3661" s="35"/>
      <c r="G3661" s="35" t="str">
        <f>IFERROR(__xludf.DUMMYFUNCTION("""COMPUTED_VALUE"""),"LILYANA")</f>
        <v>LILYANA</v>
      </c>
      <c r="H3661" s="35" t="str">
        <f>IFERROR(__xludf.DUMMYFUNCTION("""COMPUTED_VALUE"""),"L8026040816")</f>
        <v>L8026040816</v>
      </c>
      <c r="I3661" s="35">
        <f>IFERROR(__xludf.DUMMYFUNCTION("""COMPUTED_VALUE"""),45.0)</f>
        <v>45</v>
      </c>
      <c r="J3661" s="35" t="str">
        <f>IFERROR(__xludf.DUMMYFUNCTION("""COMPUTED_VALUE"""),"&gt; 44 tahun")</f>
        <v>&gt; 44 tahun</v>
      </c>
      <c r="K3661" s="35" t="str">
        <f>IFERROR(__xludf.DUMMYFUNCTION("""COMPUTED_VALUE"""),"10/10/1980")</f>
        <v>10/10/1980</v>
      </c>
      <c r="L3661" s="35" t="str">
        <f>IFERROR(__xludf.DUMMYFUNCTION("""COMPUTED_VALUE"""),"PEREMPUAN")</f>
        <v>PEREMPUAN</v>
      </c>
      <c r="M3661" s="35" t="str">
        <f>IFERROR(__xludf.DUMMYFUNCTION("""COMPUTED_VALUE"""),"SULTAN MUHAMMAD NO 200")</f>
        <v>SULTAN MUHAMMAD NO 200</v>
      </c>
      <c r="N3661" s="35" t="str">
        <f>IFERROR(__xludf.DUMMYFUNCTION("""COMPUTED_VALUE"""),"BENUA MELAYU LAUT")</f>
        <v>BENUA MELAYU LAUT</v>
      </c>
      <c r="O3661" s="35" t="str">
        <f>IFERROR(__xludf.DUMMYFUNCTION("""COMPUTED_VALUE"""),"PONTIANAK SELATAN")</f>
        <v>PONTIANAK SELATAN</v>
      </c>
      <c r="P3661" s="35" t="str">
        <f>IFERROR(__xludf.DUMMYFUNCTION("""COMPUTED_VALUE"""),"PONTIANAK")</f>
        <v>PONTIANAK</v>
      </c>
      <c r="Q3661" s="35" t="str">
        <f>IFERROR(__xludf.DUMMYFUNCTION("""COMPUTED_VALUE"""),"KALIMANTAN BARAT ")</f>
        <v>KALIMANTAN BARAT </v>
      </c>
      <c r="R3661" s="35" t="str">
        <f>IFERROR(__xludf.DUMMYFUNCTION("""COMPUTED_VALUE"""),"KATOLIK")</f>
        <v>KATOLIK</v>
      </c>
      <c r="S3661" s="74" t="str">
        <f>IFERROR(__xludf.DUMMYFUNCTION("""COMPUTED_VALUE"""),"IRT")</f>
        <v>IRT</v>
      </c>
      <c r="T3661" s="35" t="str">
        <f>IFERROR(__xludf.DUMMYFUNCTION("""COMPUTED_VALUE"""),"FROZEN SHOULDER")</f>
        <v>FROZEN SHOULDER</v>
      </c>
      <c r="U3661" s="35" t="str">
        <f>IFERROR(__xludf.DUMMYFUNCTION("""COMPUTED_VALUE"""),"DULU PERNAH GYM")</f>
        <v>DULU PERNAH GYM</v>
      </c>
      <c r="V3661" s="35" t="str">
        <f>IFERROR(__xludf.DUMMYFUNCTION("""COMPUTED_VALUE"""),"087818270816")</f>
        <v>087818270816</v>
      </c>
      <c r="W3661" s="45"/>
    </row>
    <row r="3662">
      <c r="A3662" s="45"/>
      <c r="B3662" s="35" t="str">
        <f>IFERROR(__xludf.DUMMYFUNCTION("""COMPUTED_VALUE"""),"09/04/2026 17:14:47")</f>
        <v>09/04/2026 17:14:47</v>
      </c>
      <c r="C3662" s="35"/>
      <c r="D3662" s="10">
        <f>IFERROR(__xludf.DUMMYFUNCTION("""COMPUTED_VALUE"""),46121.0)</f>
        <v>46121</v>
      </c>
      <c r="E3662" s="35" t="str">
        <f>IFERROR(__xludf.DUMMYFUNCTION("""COMPUTED_VALUE"""),"04Apr")</f>
        <v>04Apr</v>
      </c>
      <c r="F3662" s="35"/>
      <c r="G3662" s="35" t="str">
        <f>IFERROR(__xludf.DUMMYFUNCTION("""COMPUTED_VALUE"""),"JATMOKO")</f>
        <v>JATMOKO</v>
      </c>
      <c r="H3662" s="35" t="str">
        <f>IFERROR(__xludf.DUMMYFUNCTION("""COMPUTED_VALUE"""),"J8426042455")</f>
        <v>J8426042455</v>
      </c>
      <c r="I3662" s="35">
        <f>IFERROR(__xludf.DUMMYFUNCTION("""COMPUTED_VALUE"""),42.0)</f>
        <v>42</v>
      </c>
      <c r="J3662" s="35" t="str">
        <f>IFERROR(__xludf.DUMMYFUNCTION("""COMPUTED_VALUE"""),"35-44 tahun")</f>
        <v>35-44 tahun</v>
      </c>
      <c r="K3662" s="35" t="str">
        <f>IFERROR(__xludf.DUMMYFUNCTION("""COMPUTED_VALUE"""),"15/02/1984")</f>
        <v>15/02/1984</v>
      </c>
      <c r="L3662" s="35" t="str">
        <f>IFERROR(__xludf.DUMMYFUNCTION("""COMPUTED_VALUE"""),"LAKI-LAKI")</f>
        <v>LAKI-LAKI</v>
      </c>
      <c r="M3662" s="35" t="str">
        <f>IFERROR(__xludf.DUMMYFUNCTION("""COMPUTED_VALUE"""),"JL. IMAM BONJOL ")</f>
        <v>JL. IMAM BONJOL </v>
      </c>
      <c r="N3662" s="35" t="str">
        <f>IFERROR(__xludf.DUMMYFUNCTION("""COMPUTED_VALUE"""),"BANSIR LAUT")</f>
        <v>BANSIR LAUT</v>
      </c>
      <c r="O3662" s="35" t="str">
        <f>IFERROR(__xludf.DUMMYFUNCTION("""COMPUTED_VALUE"""),"PONTIANAK TENGGARA")</f>
        <v>PONTIANAK TENGGARA</v>
      </c>
      <c r="P3662" s="35" t="str">
        <f>IFERROR(__xludf.DUMMYFUNCTION("""COMPUTED_VALUE"""),"PONTIANAK")</f>
        <v>PONTIANAK</v>
      </c>
      <c r="Q3662" s="35" t="str">
        <f>IFERROR(__xludf.DUMMYFUNCTION("""COMPUTED_VALUE"""),"KALIMANTAN BARAT")</f>
        <v>KALIMANTAN BARAT</v>
      </c>
      <c r="R3662" s="35" t="str">
        <f>IFERROR(__xludf.DUMMYFUNCTION("""COMPUTED_VALUE"""),"ISLAM")</f>
        <v>ISLAM</v>
      </c>
      <c r="S3662" s="74" t="str">
        <f>IFERROR(__xludf.DUMMYFUNCTION("""COMPUTED_VALUE"""),"KARYAWAN SWASTA")</f>
        <v>KARYAWAN SWASTA</v>
      </c>
      <c r="T3662" s="35" t="str">
        <f>IFERROR(__xludf.DUMMYFUNCTION("""COMPUTED_VALUE"""),"LENGAN KIRI BAGIAN ATAS NYERI SAAT GERAK TERTENTU")</f>
        <v>LENGAN KIRI BAGIAN ATAS NYERI SAAT GERAK TERTENTU</v>
      </c>
      <c r="U3662" s="35" t="str">
        <f>IFERROR(__xludf.DUMMYFUNCTION("""COMPUTED_VALUE"""),"LARI/ SERVICE ALAT BERAT")</f>
        <v>LARI/ SERVICE ALAT BERAT</v>
      </c>
      <c r="V3662" s="35" t="str">
        <f>IFERROR(__xludf.DUMMYFUNCTION("""COMPUTED_VALUE"""),"081345002455")</f>
        <v>081345002455</v>
      </c>
      <c r="W3662" s="45"/>
    </row>
    <row r="3663">
      <c r="A3663" s="45"/>
      <c r="B3663" s="35" t="str">
        <f>IFERROR(__xludf.DUMMYFUNCTION("""COMPUTED_VALUE"""),"09/04/2026 16:17:20")</f>
        <v>09/04/2026 16:17:20</v>
      </c>
      <c r="C3663" s="35"/>
      <c r="D3663" s="10">
        <f>IFERROR(__xludf.DUMMYFUNCTION("""COMPUTED_VALUE"""),46122.0)</f>
        <v>46122</v>
      </c>
      <c r="E3663" s="35" t="str">
        <f>IFERROR(__xludf.DUMMYFUNCTION("""COMPUTED_VALUE"""),"04Apr")</f>
        <v>04Apr</v>
      </c>
      <c r="F3663" s="35"/>
      <c r="G3663" s="35" t="str">
        <f>IFERROR(__xludf.DUMMYFUNCTION("""COMPUTED_VALUE"""),"NG SIAM BWEE ALS ROSIANTY")</f>
        <v>NG SIAM BWEE ALS ROSIANTY</v>
      </c>
      <c r="H3663" s="35" t="str">
        <f>IFERROR(__xludf.DUMMYFUNCTION("""COMPUTED_VALUE"""),"N5826041886")</f>
        <v>N5826041886</v>
      </c>
      <c r="I3663" s="35">
        <f>IFERROR(__xludf.DUMMYFUNCTION("""COMPUTED_VALUE"""),68.0)</f>
        <v>68</v>
      </c>
      <c r="J3663" s="35" t="str">
        <f>IFERROR(__xludf.DUMMYFUNCTION("""COMPUTED_VALUE"""),"&gt; 44 tahun")</f>
        <v>&gt; 44 tahun</v>
      </c>
      <c r="K3663" s="35" t="str">
        <f>IFERROR(__xludf.DUMMYFUNCTION("""COMPUTED_VALUE"""),"10/02/1958")</f>
        <v>10/02/1958</v>
      </c>
      <c r="L3663" s="35" t="str">
        <f>IFERROR(__xludf.DUMMYFUNCTION("""COMPUTED_VALUE"""),"PEREMPUAN")</f>
        <v>PEREMPUAN</v>
      </c>
      <c r="M3663" s="35" t="str">
        <f>IFERROR(__xludf.DUMMYFUNCTION("""COMPUTED_VALUE"""),"JL H ABBAS 1 GG KELANTAN II NO 17")</f>
        <v>JL H ABBAS 1 GG KELANTAN II NO 17</v>
      </c>
      <c r="N3663" s="35" t="str">
        <f>IFERROR(__xludf.DUMMYFUNCTION("""COMPUTED_VALUE"""),"BENUA MELAYU DARAT")</f>
        <v>BENUA MELAYU DARAT</v>
      </c>
      <c r="O3663" s="35" t="str">
        <f>IFERROR(__xludf.DUMMYFUNCTION("""COMPUTED_VALUE"""),"PONTIANAK SELATAN")</f>
        <v>PONTIANAK SELATAN</v>
      </c>
      <c r="P3663" s="35" t="str">
        <f>IFERROR(__xludf.DUMMYFUNCTION("""COMPUTED_VALUE"""),"PONTIANAK")</f>
        <v>PONTIANAK</v>
      </c>
      <c r="Q3663" s="35" t="str">
        <f>IFERROR(__xludf.DUMMYFUNCTION("""COMPUTED_VALUE"""),"KALIMANTAN BARAT")</f>
        <v>KALIMANTAN BARAT</v>
      </c>
      <c r="R3663" s="35" t="str">
        <f>IFERROR(__xludf.DUMMYFUNCTION("""COMPUTED_VALUE"""),"BUDDHA")</f>
        <v>BUDDHA</v>
      </c>
      <c r="S3663" s="74" t="str">
        <f>IFERROR(__xludf.DUMMYFUNCTION("""COMPUTED_VALUE"""),"IBU RUMAH TANGGA")</f>
        <v>IBU RUMAH TANGGA</v>
      </c>
      <c r="T3663" s="35" t="str">
        <f>IFERROR(__xludf.DUMMYFUNCTION("""COMPUTED_VALUE"""),"PINGGANG")</f>
        <v>PINGGANG</v>
      </c>
      <c r="U3663" s="35" t="str">
        <f>IFERROR(__xludf.DUMMYFUNCTION("""COMPUTED_VALUE"""),"BANYAK BERDIRI")</f>
        <v>BANYAK BERDIRI</v>
      </c>
      <c r="V3663" s="35" t="str">
        <f>IFERROR(__xludf.DUMMYFUNCTION("""COMPUTED_VALUE"""),"085388441886")</f>
        <v>085388441886</v>
      </c>
      <c r="W3663" s="45"/>
    </row>
    <row r="3664">
      <c r="A3664" s="45"/>
      <c r="B3664" s="35" t="str">
        <f>IFERROR(__xludf.DUMMYFUNCTION("""COMPUTED_VALUE"""),"10/04/2026 9:54:04")</f>
        <v>10/04/2026 9:54:04</v>
      </c>
      <c r="C3664" s="35"/>
      <c r="D3664" s="10">
        <f>IFERROR(__xludf.DUMMYFUNCTION("""COMPUTED_VALUE"""),46122.0)</f>
        <v>46122</v>
      </c>
      <c r="E3664" s="35" t="str">
        <f>IFERROR(__xludf.DUMMYFUNCTION("""COMPUTED_VALUE"""),"04Apr")</f>
        <v>04Apr</v>
      </c>
      <c r="F3664" s="35"/>
      <c r="G3664" s="35" t="str">
        <f>IFERROR(__xludf.DUMMYFUNCTION("""COMPUTED_VALUE"""),"KARINA HAFZANY PUTRI")</f>
        <v>KARINA HAFZANY PUTRI</v>
      </c>
      <c r="H3664" s="35" t="str">
        <f>IFERROR(__xludf.DUMMYFUNCTION("""COMPUTED_VALUE"""),"K9526049528")</f>
        <v>K9526049528</v>
      </c>
      <c r="I3664" s="35">
        <f>IFERROR(__xludf.DUMMYFUNCTION("""COMPUTED_VALUE"""),30.0)</f>
        <v>30</v>
      </c>
      <c r="J3664" s="35" t="str">
        <f>IFERROR(__xludf.DUMMYFUNCTION("""COMPUTED_VALUE"""),"25-34 tahun")</f>
        <v>25-34 tahun</v>
      </c>
      <c r="K3664" s="35" t="str">
        <f>IFERROR(__xludf.DUMMYFUNCTION("""COMPUTED_VALUE"""),"29/11/1995")</f>
        <v>29/11/1995</v>
      </c>
      <c r="L3664" s="35" t="str">
        <f>IFERROR(__xludf.DUMMYFUNCTION("""COMPUTED_VALUE"""),"PEREMPUAN")</f>
        <v>PEREMPUAN</v>
      </c>
      <c r="M3664" s="35" t="str">
        <f>IFERROR(__xludf.DUMMYFUNCTION("""COMPUTED_VALUE"""),"JALAN TABRANI AHMAD GANG PERAMAS DALAM NO 9H")</f>
        <v>JALAN TABRANI AHMAD GANG PERAMAS DALAM NO 9H</v>
      </c>
      <c r="N3664" s="35" t="str">
        <f>IFERROR(__xludf.DUMMYFUNCTION("""COMPUTED_VALUE"""),"SUNGAI JAWI DALAM")</f>
        <v>SUNGAI JAWI DALAM</v>
      </c>
      <c r="O3664" s="35" t="str">
        <f>IFERROR(__xludf.DUMMYFUNCTION("""COMPUTED_VALUE"""),"PONTIANAK BARAT")</f>
        <v>PONTIANAK BARAT</v>
      </c>
      <c r="P3664" s="35" t="str">
        <f>IFERROR(__xludf.DUMMYFUNCTION("""COMPUTED_VALUE"""),"PONTIANAK")</f>
        <v>PONTIANAK</v>
      </c>
      <c r="Q3664" s="35" t="str">
        <f>IFERROR(__xludf.DUMMYFUNCTION("""COMPUTED_VALUE"""),"KALIMANTAN BARAT")</f>
        <v>KALIMANTAN BARAT</v>
      </c>
      <c r="R3664" s="35" t="str">
        <f>IFERROR(__xludf.DUMMYFUNCTION("""COMPUTED_VALUE"""),"ISLAM")</f>
        <v>ISLAM</v>
      </c>
      <c r="S3664" s="74" t="str">
        <f>IFERROR(__xludf.DUMMYFUNCTION("""COMPUTED_VALUE"""),"KARYAWAN")</f>
        <v>KARYAWAN</v>
      </c>
      <c r="T3664" s="35" t="str">
        <f>IFERROR(__xludf.DUMMYFUNCTION("""COMPUTED_VALUE"""),"INDIKASI SKOLIOSIS")</f>
        <v>INDIKASI SKOLIOSIS</v>
      </c>
      <c r="U3664" s="35" t="str">
        <f>IFERROR(__xludf.DUMMYFUNCTION("""COMPUTED_VALUE"""),"DUDUK KERJA")</f>
        <v>DUDUK KERJA</v>
      </c>
      <c r="V3664" s="35" t="str">
        <f>IFERROR(__xludf.DUMMYFUNCTION("""COMPUTED_VALUE"""),"0895336229528")</f>
        <v>0895336229528</v>
      </c>
      <c r="W3664" s="45"/>
    </row>
    <row r="3665">
      <c r="A3665" s="45"/>
      <c r="B3665" s="35" t="str">
        <f>IFERROR(__xludf.DUMMYFUNCTION("""COMPUTED_VALUE"""),"10/04/2026 13:32:50")</f>
        <v>10/04/2026 13:32:50</v>
      </c>
      <c r="C3665" s="35"/>
      <c r="D3665" s="10">
        <f>IFERROR(__xludf.DUMMYFUNCTION("""COMPUTED_VALUE"""),46122.0)</f>
        <v>46122</v>
      </c>
      <c r="E3665" s="35" t="str">
        <f>IFERROR(__xludf.DUMMYFUNCTION("""COMPUTED_VALUE"""),"04Apr")</f>
        <v>04Apr</v>
      </c>
      <c r="F3665" s="35"/>
      <c r="G3665" s="35" t="str">
        <f>IFERROR(__xludf.DUMMYFUNCTION("""COMPUTED_VALUE"""),"MICHAEL LIE")</f>
        <v>MICHAEL LIE</v>
      </c>
      <c r="H3665" s="35" t="str">
        <f>IFERROR(__xludf.DUMMYFUNCTION("""COMPUTED_VALUE"""),"M9526043111")</f>
        <v>M9526043111</v>
      </c>
      <c r="I3665" s="35">
        <f>IFERROR(__xludf.DUMMYFUNCTION("""COMPUTED_VALUE"""),30.0)</f>
        <v>30</v>
      </c>
      <c r="J3665" s="35" t="str">
        <f>IFERROR(__xludf.DUMMYFUNCTION("""COMPUTED_VALUE"""),"25-34 tahun")</f>
        <v>25-34 tahun</v>
      </c>
      <c r="K3665" s="35" t="str">
        <f>IFERROR(__xludf.DUMMYFUNCTION("""COMPUTED_VALUE"""),"29/07/1995")</f>
        <v>29/07/1995</v>
      </c>
      <c r="L3665" s="35" t="str">
        <f>IFERROR(__xludf.DUMMYFUNCTION("""COMPUTED_VALUE"""),"LAKI-LAKI")</f>
        <v>LAKI-LAKI</v>
      </c>
      <c r="M3665" s="35" t="str">
        <f>IFERROR(__xludf.DUMMYFUNCTION("""COMPUTED_VALUE"""),"JALAN NUSA INDAH 1 BLOK I")</f>
        <v>JALAN NUSA INDAH 1 BLOK I</v>
      </c>
      <c r="N3665" s="35" t="str">
        <f>IFERROR(__xludf.DUMMYFUNCTION("""COMPUTED_VALUE"""),"DARAT SEKIP")</f>
        <v>DARAT SEKIP</v>
      </c>
      <c r="O3665" s="35" t="str">
        <f>IFERROR(__xludf.DUMMYFUNCTION("""COMPUTED_VALUE"""),"PONTIANAK KOTA")</f>
        <v>PONTIANAK KOTA</v>
      </c>
      <c r="P3665" s="35" t="str">
        <f>IFERROR(__xludf.DUMMYFUNCTION("""COMPUTED_VALUE"""),"PONTIANAK")</f>
        <v>PONTIANAK</v>
      </c>
      <c r="Q3665" s="35" t="str">
        <f>IFERROR(__xludf.DUMMYFUNCTION("""COMPUTED_VALUE"""),"KALIMANTAN BARAT")</f>
        <v>KALIMANTAN BARAT</v>
      </c>
      <c r="R3665" s="35" t="str">
        <f>IFERROR(__xludf.DUMMYFUNCTION("""COMPUTED_VALUE"""),"PROTESTAN")</f>
        <v>PROTESTAN</v>
      </c>
      <c r="S3665" s="74" t="str">
        <f>IFERROR(__xludf.DUMMYFUNCTION("""COMPUTED_VALUE"""),"ADMIN")</f>
        <v>ADMIN</v>
      </c>
      <c r="T3665" s="35" t="str">
        <f>IFERROR(__xludf.DUMMYFUNCTION("""COMPUTED_VALUE"""),"NYERI LEHER MENJALAR KE TUBUH SISI KIRI")</f>
        <v>NYERI LEHER MENJALAR KE TUBUH SISI KIRI</v>
      </c>
      <c r="U3665" s="35" t="str">
        <f>IFERROR(__xludf.DUMMYFUNCTION("""COMPUTED_VALUE"""),"HOBBY GYM DAN PEKERJAAN ANGKAT BERAT")</f>
        <v>HOBBY GYM DAN PEKERJAAN ANGKAT BERAT</v>
      </c>
      <c r="V3665" s="35" t="str">
        <f>IFERROR(__xludf.DUMMYFUNCTION("""COMPUTED_VALUE"""),"085151383111")</f>
        <v>085151383111</v>
      </c>
      <c r="W3665" s="45"/>
    </row>
    <row r="3666">
      <c r="A3666" s="45"/>
      <c r="B3666" s="35" t="str">
        <f>IFERROR(__xludf.DUMMYFUNCTION("""COMPUTED_VALUE"""),"10/04/2026 14:06:49")</f>
        <v>10/04/2026 14:06:49</v>
      </c>
      <c r="C3666" s="35"/>
      <c r="D3666" s="10">
        <f>IFERROR(__xludf.DUMMYFUNCTION("""COMPUTED_VALUE"""),46122.0)</f>
        <v>46122</v>
      </c>
      <c r="E3666" s="35" t="str">
        <f>IFERROR(__xludf.DUMMYFUNCTION("""COMPUTED_VALUE"""),"04Apr")</f>
        <v>04Apr</v>
      </c>
      <c r="F3666" s="35"/>
      <c r="G3666" s="35" t="str">
        <f>IFERROR(__xludf.DUMMYFUNCTION("""COMPUTED_VALUE"""),"KENZIE DEAN DEWANTO")</f>
        <v>KENZIE DEAN DEWANTO</v>
      </c>
      <c r="H3666" s="35" t="str">
        <f>IFERROR(__xludf.DUMMYFUNCTION("""COMPUTED_VALUE"""),"K1726049498")</f>
        <v>K1726049498</v>
      </c>
      <c r="I3666" s="35">
        <f>IFERROR(__xludf.DUMMYFUNCTION("""COMPUTED_VALUE"""),8.0)</f>
        <v>8</v>
      </c>
      <c r="J3666" s="35" t="str">
        <f>IFERROR(__xludf.DUMMYFUNCTION("""COMPUTED_VALUE"""),"&lt; 18 tahun")</f>
        <v>&lt; 18 tahun</v>
      </c>
      <c r="K3666" s="35" t="str">
        <f>IFERROR(__xludf.DUMMYFUNCTION("""COMPUTED_VALUE"""),"05/08/2017")</f>
        <v>05/08/2017</v>
      </c>
      <c r="L3666" s="35" t="str">
        <f>IFERROR(__xludf.DUMMYFUNCTION("""COMPUTED_VALUE"""),"LAKI-LAKI")</f>
        <v>LAKI-LAKI</v>
      </c>
      <c r="M3666" s="35" t="str">
        <f>IFERROR(__xludf.DUMMYFUNCTION("""COMPUTED_VALUE"""),"JALAN 28 OKTOBER GG BIMASAKTI 2 NO 31")</f>
        <v>JALAN 28 OKTOBER GG BIMASAKTI 2 NO 31</v>
      </c>
      <c r="N3666" s="35" t="str">
        <f>IFERROR(__xludf.DUMMYFUNCTION("""COMPUTED_VALUE"""),"SIANTAN HULU")</f>
        <v>SIANTAN HULU</v>
      </c>
      <c r="O3666" s="35" t="str">
        <f>IFERROR(__xludf.DUMMYFUNCTION("""COMPUTED_VALUE"""),"PONTIANAK UTARA")</f>
        <v>PONTIANAK UTARA</v>
      </c>
      <c r="P3666" s="35" t="str">
        <f>IFERROR(__xludf.DUMMYFUNCTION("""COMPUTED_VALUE"""),"PONTIANAK")</f>
        <v>PONTIANAK</v>
      </c>
      <c r="Q3666" s="35" t="str">
        <f>IFERROR(__xludf.DUMMYFUNCTION("""COMPUTED_VALUE"""),"KALIMANTAN BARAT")</f>
        <v>KALIMANTAN BARAT</v>
      </c>
      <c r="R3666" s="35" t="str">
        <f>IFERROR(__xludf.DUMMYFUNCTION("""COMPUTED_VALUE"""),"ISLAM")</f>
        <v>ISLAM</v>
      </c>
      <c r="S3666" s="74" t="str">
        <f>IFERROR(__xludf.DUMMYFUNCTION("""COMPUTED_VALUE"""),"PELAJAR")</f>
        <v>PELAJAR</v>
      </c>
      <c r="T3666" s="35" t="str">
        <f>IFERROR(__xludf.DUMMYFUNCTION("""COMPUTED_VALUE"""),"LUTUH BERBUNYI SAAT JONGKOK. DAN SETELAH AKTIFITAS BERAT JALAN JADI PINCANG.  ")</f>
        <v>LUTUH BERBUNYI SAAT JONGKOK. DAN SETELAH AKTIFITAS BERAT JALAN JADI PINCANG.  </v>
      </c>
      <c r="U3666" s="35" t="str">
        <f>IFERROR(__xludf.DUMMYFUNCTION("""COMPUTED_VALUE"""),"MAIN FUTSAL")</f>
        <v>MAIN FUTSAL</v>
      </c>
      <c r="V3666" s="35" t="str">
        <f>IFERROR(__xludf.DUMMYFUNCTION("""COMPUTED_VALUE"""),"085245049498")</f>
        <v>085245049498</v>
      </c>
      <c r="W3666" s="45"/>
    </row>
    <row r="3667">
      <c r="A3667" s="45"/>
      <c r="B3667" s="35" t="str">
        <f>IFERROR(__xludf.DUMMYFUNCTION("""COMPUTED_VALUE"""),"10/04/2026 16:02:26")</f>
        <v>10/04/2026 16:02:26</v>
      </c>
      <c r="C3667" s="35"/>
      <c r="D3667" s="10">
        <f>IFERROR(__xludf.DUMMYFUNCTION("""COMPUTED_VALUE"""),46122.0)</f>
        <v>46122</v>
      </c>
      <c r="E3667" s="35" t="str">
        <f>IFERROR(__xludf.DUMMYFUNCTION("""COMPUTED_VALUE"""),"04Apr")</f>
        <v>04Apr</v>
      </c>
      <c r="F3667" s="35"/>
      <c r="G3667" s="35" t="str">
        <f>IFERROR(__xludf.DUMMYFUNCTION("""COMPUTED_VALUE"""),"INDUN KARTINI")</f>
        <v>INDUN KARTINI</v>
      </c>
      <c r="H3667" s="35" t="str">
        <f>IFERROR(__xludf.DUMMYFUNCTION("""COMPUTED_VALUE"""),"I5826047003")</f>
        <v>I5826047003</v>
      </c>
      <c r="I3667" s="35">
        <f>IFERROR(__xludf.DUMMYFUNCTION("""COMPUTED_VALUE"""),67.0)</f>
        <v>67</v>
      </c>
      <c r="J3667" s="35" t="str">
        <f>IFERROR(__xludf.DUMMYFUNCTION("""COMPUTED_VALUE"""),"&gt; 44 tahun")</f>
        <v>&gt; 44 tahun</v>
      </c>
      <c r="K3667" s="35" t="str">
        <f>IFERROR(__xludf.DUMMYFUNCTION("""COMPUTED_VALUE"""),"16/12/1958")</f>
        <v>16/12/1958</v>
      </c>
      <c r="L3667" s="35" t="str">
        <f>IFERROR(__xludf.DUMMYFUNCTION("""COMPUTED_VALUE"""),"PEREMPUAN")</f>
        <v>PEREMPUAN</v>
      </c>
      <c r="M3667" s="35" t="str">
        <f>IFERROR(__xludf.DUMMYFUNCTION("""COMPUTED_VALUE"""),"JL. PARIT H. HUSIN 2 KOMP. WANA BAKTI 2 NO. 29")</f>
        <v>JL. PARIT H. HUSIN 2 KOMP. WANA BAKTI 2 NO. 29</v>
      </c>
      <c r="N3667" s="35" t="str">
        <f>IFERROR(__xludf.DUMMYFUNCTION("""COMPUTED_VALUE"""),"BANGKA BELITUNG DARAT")</f>
        <v>BANGKA BELITUNG DARAT</v>
      </c>
      <c r="O3667" s="35" t="str">
        <f>IFERROR(__xludf.DUMMYFUNCTION("""COMPUTED_VALUE"""),"PONTIANAK TENGGARA")</f>
        <v>PONTIANAK TENGGARA</v>
      </c>
      <c r="P3667" s="35" t="str">
        <f>IFERROR(__xludf.DUMMYFUNCTION("""COMPUTED_VALUE"""),"KOTA PONTIANAK")</f>
        <v>KOTA PONTIANAK</v>
      </c>
      <c r="Q3667" s="35" t="str">
        <f>IFERROR(__xludf.DUMMYFUNCTION("""COMPUTED_VALUE"""),"KALIMANTAN BARAT")</f>
        <v>KALIMANTAN BARAT</v>
      </c>
      <c r="R3667" s="35" t="str">
        <f>IFERROR(__xludf.DUMMYFUNCTION("""COMPUTED_VALUE"""),"ISLAM")</f>
        <v>ISLAM</v>
      </c>
      <c r="S3667" s="74" t="str">
        <f>IFERROR(__xludf.DUMMYFUNCTION("""COMPUTED_VALUE"""),"PENSIUNAN PNS")</f>
        <v>PENSIUNAN PNS</v>
      </c>
      <c r="T3667" s="35" t="str">
        <f>IFERROR(__xludf.DUMMYFUNCTION("""COMPUTED_VALUE"""),"SARAF DI MULUT AGAK BEROT, DAN KADANG SAKIT PINGGANG")</f>
        <v>SARAF DI MULUT AGAK BEROT, DAN KADANG SAKIT PINGGANG</v>
      </c>
      <c r="U3667" s="35" t="str">
        <f>IFERROR(__xludf.DUMMYFUNCTION("""COMPUTED_VALUE"""),"JALAN KAKI")</f>
        <v>JALAN KAKI</v>
      </c>
      <c r="V3667" s="35" t="str">
        <f>IFERROR(__xludf.DUMMYFUNCTION("""COMPUTED_VALUE"""),"085245027003")</f>
        <v>085245027003</v>
      </c>
      <c r="W3667" s="45"/>
    </row>
    <row r="3668">
      <c r="A3668" s="45"/>
      <c r="B3668" s="35" t="str">
        <f>IFERROR(__xludf.DUMMYFUNCTION("""COMPUTED_VALUE"""),"10/04/2026 19:29:21")</f>
        <v>10/04/2026 19:29:21</v>
      </c>
      <c r="C3668" s="35"/>
      <c r="D3668" s="10">
        <f>IFERROR(__xludf.DUMMYFUNCTION("""COMPUTED_VALUE"""),46122.0)</f>
        <v>46122</v>
      </c>
      <c r="E3668" s="35" t="str">
        <f>IFERROR(__xludf.DUMMYFUNCTION("""COMPUTED_VALUE"""),"04Apr")</f>
        <v>04Apr</v>
      </c>
      <c r="F3668" s="35"/>
      <c r="G3668" s="35" t="str">
        <f>IFERROR(__xludf.DUMMYFUNCTION("""COMPUTED_VALUE"""),"DAFFA DEWANTA AKBAR")</f>
        <v>DAFFA DEWANTA AKBAR</v>
      </c>
      <c r="H3668" s="35" t="str">
        <f>IFERROR(__xludf.DUMMYFUNCTION("""COMPUTED_VALUE"""),"D1226044144")</f>
        <v>D1226044144</v>
      </c>
      <c r="I3668" s="35">
        <f>IFERROR(__xludf.DUMMYFUNCTION("""COMPUTED_VALUE"""),14.0)</f>
        <v>14</v>
      </c>
      <c r="J3668" s="35" t="str">
        <f>IFERROR(__xludf.DUMMYFUNCTION("""COMPUTED_VALUE"""),"&lt; 18 tahun")</f>
        <v>&lt; 18 tahun</v>
      </c>
      <c r="K3668" s="35" t="str">
        <f>IFERROR(__xludf.DUMMYFUNCTION("""COMPUTED_VALUE"""),"17/04/2012")</f>
        <v>17/04/2012</v>
      </c>
      <c r="L3668" s="35" t="str">
        <f>IFERROR(__xludf.DUMMYFUNCTION("""COMPUTED_VALUE"""),"LAKI-LAKI")</f>
        <v>LAKI-LAKI</v>
      </c>
      <c r="M3668" s="35" t="str">
        <f>IFERROR(__xludf.DUMMYFUNCTION("""COMPUTED_VALUE"""),"KOMPLEK UNTAN JL KARANGAN NO 3")</f>
        <v>KOMPLEK UNTAN JL KARANGAN NO 3</v>
      </c>
      <c r="N3668" s="35" t="str">
        <f>IFERROR(__xludf.DUMMYFUNCTION("""COMPUTED_VALUE"""),"BANSIR ")</f>
        <v>BANSIR </v>
      </c>
      <c r="O3668" s="35" t="str">
        <f>IFERROR(__xludf.DUMMYFUNCTION("""COMPUTED_VALUE"""),"PONTIANAK TENGGARA")</f>
        <v>PONTIANAK TENGGARA</v>
      </c>
      <c r="P3668" s="35" t="str">
        <f>IFERROR(__xludf.DUMMYFUNCTION("""COMPUTED_VALUE"""),"PONTIANAK")</f>
        <v>PONTIANAK</v>
      </c>
      <c r="Q3668" s="35" t="str">
        <f>IFERROR(__xludf.DUMMYFUNCTION("""COMPUTED_VALUE"""),"KALBAR")</f>
        <v>KALBAR</v>
      </c>
      <c r="R3668" s="35" t="str">
        <f>IFERROR(__xludf.DUMMYFUNCTION("""COMPUTED_VALUE"""),"ISLAM")</f>
        <v>ISLAM</v>
      </c>
      <c r="S3668" s="74" t="str">
        <f>IFERROR(__xludf.DUMMYFUNCTION("""COMPUTED_VALUE"""),"PELAJAR")</f>
        <v>PELAJAR</v>
      </c>
      <c r="T3668" s="35" t="str">
        <f>IFERROR(__xludf.DUMMYFUNCTION("""COMPUTED_VALUE"""),"NYERI DIKAKI KETIKA OLAHRAGA")</f>
        <v>NYERI DIKAKI KETIKA OLAHRAGA</v>
      </c>
      <c r="U3668" s="35" t="str">
        <f>IFERROR(__xludf.DUMMYFUNCTION("""COMPUTED_VALUE"""),"OLAHRAGA BADMINTON")</f>
        <v>OLAHRAGA BADMINTON</v>
      </c>
      <c r="V3668" s="35" t="str">
        <f>IFERROR(__xludf.DUMMYFUNCTION("""COMPUTED_VALUE"""),"081392114144")</f>
        <v>081392114144</v>
      </c>
      <c r="W3668" s="45"/>
    </row>
    <row r="3669">
      <c r="A3669" s="45"/>
      <c r="B3669" s="35" t="str">
        <f>IFERROR(__xludf.DUMMYFUNCTION("""COMPUTED_VALUE"""),"11/04/2026 5:27:33")</f>
        <v>11/04/2026 5:27:33</v>
      </c>
      <c r="C3669" s="35"/>
      <c r="D3669" s="10">
        <f>IFERROR(__xludf.DUMMYFUNCTION("""COMPUTED_VALUE"""),46123.0)</f>
        <v>46123</v>
      </c>
      <c r="E3669" s="35" t="str">
        <f>IFERROR(__xludf.DUMMYFUNCTION("""COMPUTED_VALUE"""),"04Apr")</f>
        <v>04Apr</v>
      </c>
      <c r="F3669" s="35"/>
      <c r="G3669" s="35" t="str">
        <f>IFERROR(__xludf.DUMMYFUNCTION("""COMPUTED_VALUE"""),"TARI INDRIANI")</f>
        <v>TARI INDRIANI</v>
      </c>
      <c r="H3669" s="35" t="str">
        <f>IFERROR(__xludf.DUMMYFUNCTION("""COMPUTED_VALUE"""),"T9426047155")</f>
        <v>T9426047155</v>
      </c>
      <c r="I3669" s="35">
        <f>IFERROR(__xludf.DUMMYFUNCTION("""COMPUTED_VALUE"""),32.0)</f>
        <v>32</v>
      </c>
      <c r="J3669" s="35" t="str">
        <f>IFERROR(__xludf.DUMMYFUNCTION("""COMPUTED_VALUE"""),"25-34 tahun")</f>
        <v>25-34 tahun</v>
      </c>
      <c r="K3669" s="35" t="str">
        <f>IFERROR(__xludf.DUMMYFUNCTION("""COMPUTED_VALUE"""),"28/05/1994")</f>
        <v>28/05/1994</v>
      </c>
      <c r="L3669" s="35" t="str">
        <f>IFERROR(__xludf.DUMMYFUNCTION("""COMPUTED_VALUE"""),"PEREMPUAN")</f>
        <v>PEREMPUAN</v>
      </c>
      <c r="M3669" s="35" t="str">
        <f>IFERROR(__xludf.DUMMYFUNCTION("""COMPUTED_VALUE"""),"JALAN SELAYAR GG PURWOSARI NO 28 A")</f>
        <v>JALAN SELAYAR GG PURWOSARI NO 28 A</v>
      </c>
      <c r="N3669" s="35" t="str">
        <f>IFERROR(__xludf.DUMMYFUNCTION("""COMPUTED_VALUE"""),"AKCAYA")</f>
        <v>AKCAYA</v>
      </c>
      <c r="O3669" s="35" t="str">
        <f>IFERROR(__xludf.DUMMYFUNCTION("""COMPUTED_VALUE"""),"PONTIANAK SELATAN ")</f>
        <v>PONTIANAK SELATAN </v>
      </c>
      <c r="P3669" s="35" t="str">
        <f>IFERROR(__xludf.DUMMYFUNCTION("""COMPUTED_VALUE"""),"PONTIANAK ")</f>
        <v>PONTIANAK </v>
      </c>
      <c r="Q3669" s="35" t="str">
        <f>IFERROR(__xludf.DUMMYFUNCTION("""COMPUTED_VALUE"""),"KALIMANTAN BARAT ")</f>
        <v>KALIMANTAN BARAT </v>
      </c>
      <c r="R3669" s="35" t="str">
        <f>IFERROR(__xludf.DUMMYFUNCTION("""COMPUTED_VALUE"""),"ISLAM")</f>
        <v>ISLAM</v>
      </c>
      <c r="S3669" s="74" t="str">
        <f>IFERROR(__xludf.DUMMYFUNCTION("""COMPUTED_VALUE"""),"DOSEN")</f>
        <v>DOSEN</v>
      </c>
      <c r="T3669" s="35" t="str">
        <f>IFERROR(__xludf.DUMMYFUNCTION("""COMPUTED_VALUE"""),"NYERI DI KAKI KANAN PANGKAL PAHA")</f>
        <v>NYERI DI KAKI KANAN PANGKAL PAHA</v>
      </c>
      <c r="U3669" s="35" t="str">
        <f>IFERROR(__xludf.DUMMYFUNCTION("""COMPUTED_VALUE"""),"BANYAK DUDUK, POSTUR TUBUH BUNGKUK ")</f>
        <v>BANYAK DUDUK, POSTUR TUBUH BUNGKUK </v>
      </c>
      <c r="V3669" s="35" t="str">
        <f>IFERROR(__xludf.DUMMYFUNCTION("""COMPUTED_VALUE"""),"0811577155")</f>
        <v>0811577155</v>
      </c>
      <c r="W3669" s="45"/>
    </row>
    <row r="3670">
      <c r="A3670" s="45"/>
      <c r="B3670" s="35" t="str">
        <f>IFERROR(__xludf.DUMMYFUNCTION("""COMPUTED_VALUE"""),"11/04/2026 12:07:28")</f>
        <v>11/04/2026 12:07:28</v>
      </c>
      <c r="C3670" s="35"/>
      <c r="D3670" s="10">
        <f>IFERROR(__xludf.DUMMYFUNCTION("""COMPUTED_VALUE"""),46123.0)</f>
        <v>46123</v>
      </c>
      <c r="E3670" s="35" t="str">
        <f>IFERROR(__xludf.DUMMYFUNCTION("""COMPUTED_VALUE"""),"04Apr")</f>
        <v>04Apr</v>
      </c>
      <c r="F3670" s="35"/>
      <c r="G3670" s="35" t="str">
        <f>IFERROR(__xludf.DUMMYFUNCTION("""COMPUTED_VALUE"""),"ELFIRA NATALIA ")</f>
        <v>ELFIRA NATALIA </v>
      </c>
      <c r="H3670" s="35" t="str">
        <f>IFERROR(__xludf.DUMMYFUNCTION("""COMPUTED_VALUE"""),"E9226047657")</f>
        <v>E9226047657</v>
      </c>
      <c r="I3670" s="35">
        <f>IFERROR(__xludf.DUMMYFUNCTION("""COMPUTED_VALUE"""),33.0)</f>
        <v>33</v>
      </c>
      <c r="J3670" s="35" t="str">
        <f>IFERROR(__xludf.DUMMYFUNCTION("""COMPUTED_VALUE"""),"25-34 tahun")</f>
        <v>25-34 tahun</v>
      </c>
      <c r="K3670" s="35" t="str">
        <f>IFERROR(__xludf.DUMMYFUNCTION("""COMPUTED_VALUE"""),"08/12/1992")</f>
        <v>08/12/1992</v>
      </c>
      <c r="L3670" s="35" t="str">
        <f>IFERROR(__xludf.DUMMYFUNCTION("""COMPUTED_VALUE"""),"PEREMPUAN")</f>
        <v>PEREMPUAN</v>
      </c>
      <c r="M3670" s="35" t="str">
        <f>IFERROR(__xludf.DUMMYFUNCTION("""COMPUTED_VALUE"""),"JL DR WAHIDIN PERUMAHAN MITRA UTAMA 4")</f>
        <v>JL DR WAHIDIN PERUMAHAN MITRA UTAMA 4</v>
      </c>
      <c r="N3670" s="35" t="str">
        <f>IFERROR(__xludf.DUMMYFUNCTION("""COMPUTED_VALUE"""),"SUNGAI JAWI")</f>
        <v>SUNGAI JAWI</v>
      </c>
      <c r="O3670" s="35" t="str">
        <f>IFERROR(__xludf.DUMMYFUNCTION("""COMPUTED_VALUE"""),"PONTIANAK KOTA")</f>
        <v>PONTIANAK KOTA</v>
      </c>
      <c r="P3670" s="35" t="str">
        <f>IFERROR(__xludf.DUMMYFUNCTION("""COMPUTED_VALUE"""),"PONTIANAK")</f>
        <v>PONTIANAK</v>
      </c>
      <c r="Q3670" s="35" t="str">
        <f>IFERROR(__xludf.DUMMYFUNCTION("""COMPUTED_VALUE"""),"KALIMANTAN BARAT")</f>
        <v>KALIMANTAN BARAT</v>
      </c>
      <c r="R3670" s="35" t="str">
        <f>IFERROR(__xludf.DUMMYFUNCTION("""COMPUTED_VALUE"""),"PROTESTAN")</f>
        <v>PROTESTAN</v>
      </c>
      <c r="S3670" s="74" t="str">
        <f>IFERROR(__xludf.DUMMYFUNCTION("""COMPUTED_VALUE"""),"STAFF TU SMK KESEHATAN BINA DHARMA")</f>
        <v>STAFF TU SMK KESEHATAN BINA DHARMA</v>
      </c>
      <c r="T3670" s="35" t="str">
        <f>IFERROR(__xludf.DUMMYFUNCTION("""COMPUTED_VALUE"""),"SAKIT DI BAGIAN LUTUT BETIS")</f>
        <v>SAKIT DI BAGIAN LUTUT BETIS</v>
      </c>
      <c r="U3670" s="35" t="str">
        <f>IFERROR(__xludf.DUMMYFUNCTION("""COMPUTED_VALUE"""),"BEKERJA")</f>
        <v>BEKERJA</v>
      </c>
      <c r="V3670" s="35" t="str">
        <f>IFERROR(__xludf.DUMMYFUNCTION("""COMPUTED_VALUE"""),"082250997657")</f>
        <v>082250997657</v>
      </c>
      <c r="W3670" s="45"/>
    </row>
    <row r="3671">
      <c r="A3671" s="45"/>
      <c r="B3671" s="35" t="str">
        <f>IFERROR(__xludf.DUMMYFUNCTION("""COMPUTED_VALUE"""),"11/04/2026 13:11:57")</f>
        <v>11/04/2026 13:11:57</v>
      </c>
      <c r="C3671" s="35"/>
      <c r="D3671" s="10">
        <f>IFERROR(__xludf.DUMMYFUNCTION("""COMPUTED_VALUE"""),46123.0)</f>
        <v>46123</v>
      </c>
      <c r="E3671" s="35" t="str">
        <f>IFERROR(__xludf.DUMMYFUNCTION("""COMPUTED_VALUE"""),"04Apr")</f>
        <v>04Apr</v>
      </c>
      <c r="F3671" s="35"/>
      <c r="G3671" s="35" t="str">
        <f>IFERROR(__xludf.DUMMYFUNCTION("""COMPUTED_VALUE"""),"LIP WENG")</f>
        <v>LIP WENG</v>
      </c>
      <c r="H3671" s="35" t="str">
        <f>IFERROR(__xludf.DUMMYFUNCTION("""COMPUTED_VALUE"""),"L2626048182")</f>
        <v>L2626048182</v>
      </c>
      <c r="I3671" s="35">
        <f>IFERROR(__xludf.DUMMYFUNCTION("""COMPUTED_VALUE"""),0.0)</f>
        <v>0</v>
      </c>
      <c r="J3671" s="35" t="str">
        <f>IFERROR(__xludf.DUMMYFUNCTION("""COMPUTED_VALUE"""),"&lt; 18 tahun")</f>
        <v>&lt; 18 tahun</v>
      </c>
      <c r="K3671" s="35" t="str">
        <f>IFERROR(__xludf.DUMMYFUNCTION("""COMPUTED_VALUE"""),"11/04/2026")</f>
        <v>11/04/2026</v>
      </c>
      <c r="L3671" s="35" t="str">
        <f>IFERROR(__xludf.DUMMYFUNCTION("""COMPUTED_VALUE"""),"PEREMPUAN")</f>
        <v>PEREMPUAN</v>
      </c>
      <c r="M3671" s="35" t="str">
        <f>IFERROR(__xludf.DUMMYFUNCTION("""COMPUTED_VALUE"""),"KOMP NUSA INDAH E-1")</f>
        <v>KOMP NUSA INDAH E-1</v>
      </c>
      <c r="N3671" s="35" t="str">
        <f>IFERROR(__xludf.DUMMYFUNCTION("""COMPUTED_VALUE"""),"KUBU RAYA")</f>
        <v>KUBU RAYA</v>
      </c>
      <c r="O3671" s="35" t="str">
        <f>IFERROR(__xludf.DUMMYFUNCTION("""COMPUTED_VALUE"""),"SUNGAI RAYA")</f>
        <v>SUNGAI RAYA</v>
      </c>
      <c r="P3671" s="35" t="str">
        <f>IFERROR(__xludf.DUMMYFUNCTION("""COMPUTED_VALUE"""),"KUBU RAYW")</f>
        <v>KUBU RAYW</v>
      </c>
      <c r="Q3671" s="35" t="str">
        <f>IFERROR(__xludf.DUMMYFUNCTION("""COMPUTED_VALUE"""),"KALIMANTAN BARAT")</f>
        <v>KALIMANTAN BARAT</v>
      </c>
      <c r="R3671" s="35" t="str">
        <f>IFERROR(__xludf.DUMMYFUNCTION("""COMPUTED_VALUE"""),"BUDDHA")</f>
        <v>BUDDHA</v>
      </c>
      <c r="S3671" s="74" t="str">
        <f>IFERROR(__xludf.DUMMYFUNCTION("""COMPUTED_VALUE"""),"IRT")</f>
        <v>IRT</v>
      </c>
      <c r="T3671" s="35" t="str">
        <f>IFERROR(__xludf.DUMMYFUNCTION("""COMPUTED_VALUE"""),"KAKI")</f>
        <v>KAKI</v>
      </c>
      <c r="U3671" s="35" t="str">
        <f>IFERROR(__xludf.DUMMYFUNCTION("""COMPUTED_VALUE"""),"PEKERJAAN RUMAH")</f>
        <v>PEKERJAAN RUMAH</v>
      </c>
      <c r="V3671" s="35" t="str">
        <f>IFERROR(__xludf.DUMMYFUNCTION("""COMPUTED_VALUE"""),"082255338182")</f>
        <v>082255338182</v>
      </c>
      <c r="W3671" s="45"/>
    </row>
    <row r="3672">
      <c r="A3672" s="45"/>
      <c r="B3672" s="35" t="str">
        <f>IFERROR(__xludf.DUMMYFUNCTION("""COMPUTED_VALUE"""),"11/04/2026 13:26:36")</f>
        <v>11/04/2026 13:26:36</v>
      </c>
      <c r="C3672" s="35"/>
      <c r="D3672" s="10">
        <f>IFERROR(__xludf.DUMMYFUNCTION("""COMPUTED_VALUE"""),46123.0)</f>
        <v>46123</v>
      </c>
      <c r="E3672" s="35" t="str">
        <f>IFERROR(__xludf.DUMMYFUNCTION("""COMPUTED_VALUE"""),"04Apr")</f>
        <v>04Apr</v>
      </c>
      <c r="F3672" s="35"/>
      <c r="G3672" s="35" t="str">
        <f>IFERROR(__xludf.DUMMYFUNCTION("""COMPUTED_VALUE"""),"CHERRY LIM")</f>
        <v>CHERRY LIM</v>
      </c>
      <c r="H3672" s="35" t="str">
        <f>IFERROR(__xludf.DUMMYFUNCTION("""COMPUTED_VALUE"""),"C7226048181")</f>
        <v>C7226048181</v>
      </c>
      <c r="I3672" s="35">
        <f>IFERROR(__xludf.DUMMYFUNCTION("""COMPUTED_VALUE"""),153.0)</f>
        <v>153</v>
      </c>
      <c r="J3672" s="35" t="str">
        <f>IFERROR(__xludf.DUMMYFUNCTION("""COMPUTED_VALUE"""),"&gt; 44 tahun")</f>
        <v>&gt; 44 tahun</v>
      </c>
      <c r="K3672" s="35" t="str">
        <f>IFERROR(__xludf.DUMMYFUNCTION("""COMPUTED_VALUE"""),"11/10/1872")</f>
        <v>11/10/1872</v>
      </c>
      <c r="L3672" s="35" t="str">
        <f>IFERROR(__xludf.DUMMYFUNCTION("""COMPUTED_VALUE"""),"PEREMPUAN")</f>
        <v>PEREMPUAN</v>
      </c>
      <c r="M3672" s="35" t="str">
        <f>IFERROR(__xludf.DUMMYFUNCTION("""COMPUTED_VALUE"""),"JL SUNGAI RAYA DALAM KOMP NUSA INDAH E-1")</f>
        <v>JL SUNGAI RAYA DALAM KOMP NUSA INDAH E-1</v>
      </c>
      <c r="N3672" s="35" t="str">
        <f>IFERROR(__xludf.DUMMYFUNCTION("""COMPUTED_VALUE"""),"KUBU RAYA")</f>
        <v>KUBU RAYA</v>
      </c>
      <c r="O3672" s="35" t="str">
        <f>IFERROR(__xludf.DUMMYFUNCTION("""COMPUTED_VALUE"""),"SUNGAI RAYA")</f>
        <v>SUNGAI RAYA</v>
      </c>
      <c r="P3672" s="35" t="str">
        <f>IFERROR(__xludf.DUMMYFUNCTION("""COMPUTED_VALUE"""),"KUBU RAYA")</f>
        <v>KUBU RAYA</v>
      </c>
      <c r="Q3672" s="35" t="str">
        <f>IFERROR(__xludf.DUMMYFUNCTION("""COMPUTED_VALUE"""),"KALIMANTAN BARAT")</f>
        <v>KALIMANTAN BARAT</v>
      </c>
      <c r="R3672" s="35" t="str">
        <f>IFERROR(__xludf.DUMMYFUNCTION("""COMPUTED_VALUE"""),"BUDDHA")</f>
        <v>BUDDHA</v>
      </c>
      <c r="S3672" s="74" t="str">
        <f>IFERROR(__xludf.DUMMYFUNCTION("""COMPUTED_VALUE"""),"IRT")</f>
        <v>IRT</v>
      </c>
      <c r="T3672" s="35" t="str">
        <f>IFERROR(__xludf.DUMMYFUNCTION("""COMPUTED_VALUE"""),"SIKU")</f>
        <v>SIKU</v>
      </c>
      <c r="U3672" s="35" t="str">
        <f>IFERROR(__xludf.DUMMYFUNCTION("""COMPUTED_VALUE"""),"IRT")</f>
        <v>IRT</v>
      </c>
      <c r="V3672" s="35" t="str">
        <f>IFERROR(__xludf.DUMMYFUNCTION("""COMPUTED_VALUE"""),"082255338181")</f>
        <v>082255338181</v>
      </c>
      <c r="W3672" s="45"/>
    </row>
    <row r="3673">
      <c r="A3673" s="45"/>
      <c r="B3673" s="35" t="str">
        <f>IFERROR(__xludf.DUMMYFUNCTION("""COMPUTED_VALUE"""),"11/04/2026 13:06:08")</f>
        <v>11/04/2026 13:06:08</v>
      </c>
      <c r="C3673" s="35"/>
      <c r="D3673" s="10">
        <f>IFERROR(__xludf.DUMMYFUNCTION("""COMPUTED_VALUE"""),46123.0)</f>
        <v>46123</v>
      </c>
      <c r="E3673" s="35" t="str">
        <f>IFERROR(__xludf.DUMMYFUNCTION("""COMPUTED_VALUE"""),"04Apr")</f>
        <v>04Apr</v>
      </c>
      <c r="F3673" s="35"/>
      <c r="G3673" s="35" t="str">
        <f>IFERROR(__xludf.DUMMYFUNCTION("""COMPUTED_VALUE"""),"EXCEL XAVIER LIMARCO")</f>
        <v>EXCEL XAVIER LIMARCO</v>
      </c>
      <c r="H3673" s="35" t="str">
        <f>IFERROR(__xludf.DUMMYFUNCTION("""COMPUTED_VALUE"""),"E1126045431")</f>
        <v>E1126045431</v>
      </c>
      <c r="I3673" s="35">
        <f>IFERROR(__xludf.DUMMYFUNCTION("""COMPUTED_VALUE"""),14.0)</f>
        <v>14</v>
      </c>
      <c r="J3673" s="35" t="str">
        <f>IFERROR(__xludf.DUMMYFUNCTION("""COMPUTED_VALUE"""),"&lt; 18 tahun")</f>
        <v>&lt; 18 tahun</v>
      </c>
      <c r="K3673" s="35" t="str">
        <f>IFERROR(__xludf.DUMMYFUNCTION("""COMPUTED_VALUE"""),"30/09/2011")</f>
        <v>30/09/2011</v>
      </c>
      <c r="L3673" s="35" t="str">
        <f>IFERROR(__xludf.DUMMYFUNCTION("""COMPUTED_VALUE"""),"LAKI-LAKI")</f>
        <v>LAKI-LAKI</v>
      </c>
      <c r="M3673" s="35" t="str">
        <f>IFERROR(__xludf.DUMMYFUNCTION("""COMPUTED_VALUE"""),"JL. PH HUSEIN 2 KOMP.GREEN HILL BLOK C/3")</f>
        <v>JL. PH HUSEIN 2 KOMP.GREEN HILL BLOK C/3</v>
      </c>
      <c r="N3673" s="35" t="str">
        <f>IFERROR(__xludf.DUMMYFUNCTION("""COMPUTED_VALUE"""),"BANSIR DARAT")</f>
        <v>BANSIR DARAT</v>
      </c>
      <c r="O3673" s="35" t="str">
        <f>IFERROR(__xludf.DUMMYFUNCTION("""COMPUTED_VALUE"""),"PONTIANAK TENGGARA")</f>
        <v>PONTIANAK TENGGARA</v>
      </c>
      <c r="P3673" s="35" t="str">
        <f>IFERROR(__xludf.DUMMYFUNCTION("""COMPUTED_VALUE"""),"PONTIANAK")</f>
        <v>PONTIANAK</v>
      </c>
      <c r="Q3673" s="35" t="str">
        <f>IFERROR(__xludf.DUMMYFUNCTION("""COMPUTED_VALUE"""),"KALIMANTAN BARAT")</f>
        <v>KALIMANTAN BARAT</v>
      </c>
      <c r="R3673" s="35" t="str">
        <f>IFERROR(__xludf.DUMMYFUNCTION("""COMPUTED_VALUE"""),"BUDDHA")</f>
        <v>BUDDHA</v>
      </c>
      <c r="S3673" s="74" t="str">
        <f>IFERROR(__xludf.DUMMYFUNCTION("""COMPUTED_VALUE"""),"PELAJAR")</f>
        <v>PELAJAR</v>
      </c>
      <c r="T3673" s="35" t="str">
        <f>IFERROR(__xludf.DUMMYFUNCTION("""COMPUTED_VALUE"""),"SAKIT BAGIAN PINGGANG")</f>
        <v>SAKIT BAGIAN PINGGANG</v>
      </c>
      <c r="U3673" s="35" t="str">
        <f>IFERROR(__xludf.DUMMYFUNCTION("""COMPUTED_VALUE"""),"BASKET")</f>
        <v>BASKET</v>
      </c>
      <c r="V3673" s="35" t="str">
        <f>IFERROR(__xludf.DUMMYFUNCTION("""COMPUTED_VALUE"""),"085822265431")</f>
        <v>085822265431</v>
      </c>
      <c r="W3673" s="45"/>
    </row>
    <row r="3674">
      <c r="A3674" s="45"/>
      <c r="B3674" s="35" t="str">
        <f>IFERROR(__xludf.DUMMYFUNCTION("""COMPUTED_VALUE"""),"11/04/2026 11:04:07")</f>
        <v>11/04/2026 11:04:07</v>
      </c>
      <c r="C3674" s="35"/>
      <c r="D3674" s="10">
        <f>IFERROR(__xludf.DUMMYFUNCTION("""COMPUTED_VALUE"""),46123.0)</f>
        <v>46123</v>
      </c>
      <c r="E3674" s="35" t="str">
        <f>IFERROR(__xludf.DUMMYFUNCTION("""COMPUTED_VALUE"""),"04Apr")</f>
        <v>04Apr</v>
      </c>
      <c r="F3674" s="35"/>
      <c r="G3674" s="35" t="str">
        <f>IFERROR(__xludf.DUMMYFUNCTION("""COMPUTED_VALUE"""),"DARMAWATI")</f>
        <v>DARMAWATI</v>
      </c>
      <c r="H3674" s="35" t="str">
        <f>IFERROR(__xludf.DUMMYFUNCTION("""COMPUTED_VALUE"""),"D7326044273")</f>
        <v>D7326044273</v>
      </c>
      <c r="I3674" s="35">
        <f>IFERROR(__xludf.DUMMYFUNCTION("""COMPUTED_VALUE"""),53.0)</f>
        <v>53</v>
      </c>
      <c r="J3674" s="35" t="str">
        <f>IFERROR(__xludf.DUMMYFUNCTION("""COMPUTED_VALUE"""),"&gt; 44 tahun")</f>
        <v>&gt; 44 tahun</v>
      </c>
      <c r="K3674" s="35" t="str">
        <f>IFERROR(__xludf.DUMMYFUNCTION("""COMPUTED_VALUE"""),"04/02/1973")</f>
        <v>04/02/1973</v>
      </c>
      <c r="L3674" s="35" t="str">
        <f>IFERROR(__xludf.DUMMYFUNCTION("""COMPUTED_VALUE"""),"PEREMPUAN")</f>
        <v>PEREMPUAN</v>
      </c>
      <c r="M3674" s="35" t="str">
        <f>IFERROR(__xludf.DUMMYFUNCTION("""COMPUTED_VALUE"""),"JLN. HRA RAHMAN GG BUKIT RAYA 3 NOMOR 30 PONTIANAK")</f>
        <v>JLN. HRA RAHMAN GG BUKIT RAYA 3 NOMOR 30 PONTIANAK</v>
      </c>
      <c r="N3674" s="35" t="str">
        <f>IFERROR(__xludf.DUMMYFUNCTION("""COMPUTED_VALUE"""),"SUNGAI JAWI DALAM")</f>
        <v>SUNGAI JAWI DALAM</v>
      </c>
      <c r="O3674" s="35" t="str">
        <f>IFERROR(__xludf.DUMMYFUNCTION("""COMPUTED_VALUE"""),"PONTIANAK BARAT")</f>
        <v>PONTIANAK BARAT</v>
      </c>
      <c r="P3674" s="35" t="str">
        <f>IFERROR(__xludf.DUMMYFUNCTION("""COMPUTED_VALUE"""),"KOTA PONTIANAK")</f>
        <v>KOTA PONTIANAK</v>
      </c>
      <c r="Q3674" s="35" t="str">
        <f>IFERROR(__xludf.DUMMYFUNCTION("""COMPUTED_VALUE"""),"KALBAR")</f>
        <v>KALBAR</v>
      </c>
      <c r="R3674" s="35" t="str">
        <f>IFERROR(__xludf.DUMMYFUNCTION("""COMPUTED_VALUE"""),"ISLAM")</f>
        <v>ISLAM</v>
      </c>
      <c r="S3674" s="74" t="str">
        <f>IFERROR(__xludf.DUMMYFUNCTION("""COMPUTED_VALUE"""),"IRT")</f>
        <v>IRT</v>
      </c>
      <c r="T3674" s="35" t="str">
        <f>IFERROR(__xludf.DUMMYFUNCTION("""COMPUTED_VALUE"""),"SAKIT BAGIAN TULANG KERING LUTUT KARNA JATUH DR MOTOR")</f>
        <v>SAKIT BAGIAN TULANG KERING LUTUT KARNA JATUH DR MOTOR</v>
      </c>
      <c r="U3674" s="35" t="str">
        <f>IFERROR(__xludf.DUMMYFUNCTION("""COMPUTED_VALUE"""),"JOGGING/LARI")</f>
        <v>JOGGING/LARI</v>
      </c>
      <c r="V3674" s="35" t="str">
        <f>IFERROR(__xludf.DUMMYFUNCTION("""COMPUTED_VALUE"""),"08115704273")</f>
        <v>08115704273</v>
      </c>
      <c r="W3674" s="45"/>
    </row>
    <row r="3675">
      <c r="A3675" s="45"/>
      <c r="B3675" s="35" t="str">
        <f>IFERROR(__xludf.DUMMYFUNCTION("""COMPUTED_VALUE"""),"11/04/2026 9:51:20")</f>
        <v>11/04/2026 9:51:20</v>
      </c>
      <c r="C3675" s="35"/>
      <c r="D3675" s="10">
        <f>IFERROR(__xludf.DUMMYFUNCTION("""COMPUTED_VALUE"""),46123.0)</f>
        <v>46123</v>
      </c>
      <c r="E3675" s="35" t="str">
        <f>IFERROR(__xludf.DUMMYFUNCTION("""COMPUTED_VALUE"""),"04Apr")</f>
        <v>04Apr</v>
      </c>
      <c r="F3675" s="35"/>
      <c r="G3675" s="35" t="str">
        <f>IFERROR(__xludf.DUMMYFUNCTION("""COMPUTED_VALUE"""),"SHERLY")</f>
        <v>SHERLY</v>
      </c>
      <c r="H3675" s="35" t="str">
        <f>IFERROR(__xludf.DUMMYFUNCTION("""COMPUTED_VALUE"""),"S8326045858")</f>
        <v>S8326045858</v>
      </c>
      <c r="I3675" s="35">
        <f>IFERROR(__xludf.DUMMYFUNCTION("""COMPUTED_VALUE"""),42.0)</f>
        <v>42</v>
      </c>
      <c r="J3675" s="35" t="str">
        <f>IFERROR(__xludf.DUMMYFUNCTION("""COMPUTED_VALUE"""),"35-44 tahun")</f>
        <v>35-44 tahun</v>
      </c>
      <c r="K3675" s="35" t="str">
        <f>IFERROR(__xludf.DUMMYFUNCTION("""COMPUTED_VALUE"""),"23/11/1983")</f>
        <v>23/11/1983</v>
      </c>
      <c r="L3675" s="35" t="str">
        <f>IFERROR(__xludf.DUMMYFUNCTION("""COMPUTED_VALUE"""),"PEREMPUAN")</f>
        <v>PEREMPUAN</v>
      </c>
      <c r="M3675" s="35" t="str">
        <f>IFERROR(__xludf.DUMMYFUNCTION("""COMPUTED_VALUE"""),"JL SERDAM KOMPLEKS PERMATA AGUNG ")</f>
        <v>JL SERDAM KOMPLEKS PERMATA AGUNG </v>
      </c>
      <c r="N3675" s="35" t="str">
        <f>IFERROR(__xludf.DUMMYFUNCTION("""COMPUTED_VALUE"""),"PONTIANAK KOTA")</f>
        <v>PONTIANAK KOTA</v>
      </c>
      <c r="O3675" s="35" t="str">
        <f>IFERROR(__xludf.DUMMYFUNCTION("""COMPUTED_VALUE"""),"SUBGAI RAYA")</f>
        <v>SUBGAI RAYA</v>
      </c>
      <c r="P3675" s="35" t="str">
        <f>IFERROR(__xludf.DUMMYFUNCTION("""COMPUTED_VALUE"""),"PONTIANAK")</f>
        <v>PONTIANAK</v>
      </c>
      <c r="Q3675" s="35" t="str">
        <f>IFERROR(__xludf.DUMMYFUNCTION("""COMPUTED_VALUE"""),"KALIMANTAN BARAT")</f>
        <v>KALIMANTAN BARAT</v>
      </c>
      <c r="R3675" s="35" t="str">
        <f>IFERROR(__xludf.DUMMYFUNCTION("""COMPUTED_VALUE"""),"KATOLIK")</f>
        <v>KATOLIK</v>
      </c>
      <c r="S3675" s="74" t="str">
        <f>IFERROR(__xludf.DUMMYFUNCTION("""COMPUTED_VALUE"""),"BEAUTICIAN")</f>
        <v>BEAUTICIAN</v>
      </c>
      <c r="T3675" s="35" t="str">
        <f>IFERROR(__xludf.DUMMYFUNCTION("""COMPUTED_VALUE"""),"SAKIT PERGELANGAN TANGAN")</f>
        <v>SAKIT PERGELANGAN TANGAN</v>
      </c>
      <c r="U3675" s="35" t="str">
        <f>IFERROR(__xludf.DUMMYFUNCTION("""COMPUTED_VALUE"""),"PEKERJAAN DAN OLAHRAGA")</f>
        <v>PEKERJAAN DAN OLAHRAGA</v>
      </c>
      <c r="V3675" s="35" t="str">
        <f>IFERROR(__xludf.DUMMYFUNCTION("""COMPUTED_VALUE"""),"08115775858")</f>
        <v>08115775858</v>
      </c>
      <c r="W3675" s="45"/>
    </row>
    <row r="3676">
      <c r="A3676" s="45"/>
      <c r="B3676" s="35" t="str">
        <f>IFERROR(__xludf.DUMMYFUNCTION("""COMPUTED_VALUE"""),"11/04/2026 16:46:44")</f>
        <v>11/04/2026 16:46:44</v>
      </c>
      <c r="C3676" s="35"/>
      <c r="D3676" s="10">
        <f>IFERROR(__xludf.DUMMYFUNCTION("""COMPUTED_VALUE"""),46123.0)</f>
        <v>46123</v>
      </c>
      <c r="E3676" s="35" t="str">
        <f>IFERROR(__xludf.DUMMYFUNCTION("""COMPUTED_VALUE"""),"04Apr")</f>
        <v>04Apr</v>
      </c>
      <c r="F3676" s="35"/>
      <c r="G3676" s="35" t="str">
        <f>IFERROR(__xludf.DUMMYFUNCTION("""COMPUTED_VALUE"""),"ANISA FUASANA")</f>
        <v>ANISA FUASANA</v>
      </c>
      <c r="H3676" s="35" t="str">
        <f>IFERROR(__xludf.DUMMYFUNCTION("""COMPUTED_VALUE"""),"A9626046065")</f>
        <v>A9626046065</v>
      </c>
      <c r="I3676" s="35">
        <f>IFERROR(__xludf.DUMMYFUNCTION("""COMPUTED_VALUE"""),30.0)</f>
        <v>30</v>
      </c>
      <c r="J3676" s="35" t="str">
        <f>IFERROR(__xludf.DUMMYFUNCTION("""COMPUTED_VALUE"""),"25-34 tahun")</f>
        <v>25-34 tahun</v>
      </c>
      <c r="K3676" s="35" t="str">
        <f>IFERROR(__xludf.DUMMYFUNCTION("""COMPUTED_VALUE"""),"27/01/1996")</f>
        <v>27/01/1996</v>
      </c>
      <c r="L3676" s="35" t="str">
        <f>IFERROR(__xludf.DUMMYFUNCTION("""COMPUTED_VALUE"""),"PEREMPUAN")</f>
        <v>PEREMPUAN</v>
      </c>
      <c r="M3676" s="35" t="str">
        <f>IFERROR(__xludf.DUMMYFUNCTION("""COMPUTED_VALUE"""),"JL. SUWIGNYO GG. NUR V NO. 2")</f>
        <v>JL. SUWIGNYO GG. NUR V NO. 2</v>
      </c>
      <c r="N3676" s="35" t="str">
        <f>IFERROR(__xludf.DUMMYFUNCTION("""COMPUTED_VALUE"""),"SUI JAWI")</f>
        <v>SUI JAWI</v>
      </c>
      <c r="O3676" s="35" t="str">
        <f>IFERROR(__xludf.DUMMYFUNCTION("""COMPUTED_VALUE"""),"PONTIANAK KOTA")</f>
        <v>PONTIANAK KOTA</v>
      </c>
      <c r="P3676" s="35" t="str">
        <f>IFERROR(__xludf.DUMMYFUNCTION("""COMPUTED_VALUE"""),"KOTA PONTIANAK")</f>
        <v>KOTA PONTIANAK</v>
      </c>
      <c r="Q3676" s="35" t="str">
        <f>IFERROR(__xludf.DUMMYFUNCTION("""COMPUTED_VALUE"""),"KALIMANTAN BARAT")</f>
        <v>KALIMANTAN BARAT</v>
      </c>
      <c r="R3676" s="35" t="str">
        <f>IFERROR(__xludf.DUMMYFUNCTION("""COMPUTED_VALUE"""),"ISLAM")</f>
        <v>ISLAM</v>
      </c>
      <c r="S3676" s="74" t="str">
        <f>IFERROR(__xludf.DUMMYFUNCTION("""COMPUTED_VALUE"""),"IBU RUMAH TANGGA")</f>
        <v>IBU RUMAH TANGGA</v>
      </c>
      <c r="T3676" s="35" t="str">
        <f>IFERROR(__xludf.DUMMYFUNCTION("""COMPUTED_VALUE"""),"SAKIT KAKI DI BETIS DEPAN KALO ABIS OLAHRAGA")</f>
        <v>SAKIT KAKI DI BETIS DEPAN KALO ABIS OLAHRAGA</v>
      </c>
      <c r="U3676" s="35" t="str">
        <f>IFERROR(__xludf.DUMMYFUNCTION("""COMPUTED_VALUE"""),"OLAHRAGA PADEL")</f>
        <v>OLAHRAGA PADEL</v>
      </c>
      <c r="V3676" s="35" t="str">
        <f>IFERROR(__xludf.DUMMYFUNCTION("""COMPUTED_VALUE"""),"085654186065")</f>
        <v>085654186065</v>
      </c>
      <c r="W3676" s="45"/>
    </row>
    <row r="3677">
      <c r="A3677" s="45"/>
      <c r="B3677" s="35" t="str">
        <f>IFERROR(__xludf.DUMMYFUNCTION("""COMPUTED_VALUE"""),"11/04/2026 17:12:07")</f>
        <v>11/04/2026 17:12:07</v>
      </c>
      <c r="C3677" s="35"/>
      <c r="D3677" s="10">
        <f>IFERROR(__xludf.DUMMYFUNCTION("""COMPUTED_VALUE"""),46123.0)</f>
        <v>46123</v>
      </c>
      <c r="E3677" s="35" t="str">
        <f>IFERROR(__xludf.DUMMYFUNCTION("""COMPUTED_VALUE"""),"04Apr")</f>
        <v>04Apr</v>
      </c>
      <c r="F3677" s="35"/>
      <c r="G3677" s="35" t="str">
        <f>IFERROR(__xludf.DUMMYFUNCTION("""COMPUTED_VALUE"""),"ISMAIL AKBAR")</f>
        <v>ISMAIL AKBAR</v>
      </c>
      <c r="H3677" s="35" t="str">
        <f>IFERROR(__xludf.DUMMYFUNCTION("""COMPUTED_VALUE"""),"I7326043382")</f>
        <v>I7326043382</v>
      </c>
      <c r="I3677" s="35">
        <f>IFERROR(__xludf.DUMMYFUNCTION("""COMPUTED_VALUE"""),53.0)</f>
        <v>53</v>
      </c>
      <c r="J3677" s="35" t="str">
        <f>IFERROR(__xludf.DUMMYFUNCTION("""COMPUTED_VALUE"""),"&gt; 44 tahun")</f>
        <v>&gt; 44 tahun</v>
      </c>
      <c r="K3677" s="35" t="str">
        <f>IFERROR(__xludf.DUMMYFUNCTION("""COMPUTED_VALUE"""),"15/01/1973")</f>
        <v>15/01/1973</v>
      </c>
      <c r="L3677" s="35" t="str">
        <f>IFERROR(__xludf.DUMMYFUNCTION("""COMPUTED_VALUE"""),"LAKI-LAKI")</f>
        <v>LAKI-LAKI</v>
      </c>
      <c r="M3677" s="35" t="str">
        <f>IFERROR(__xludf.DUMMYFUNCTION("""COMPUTED_VALUE"""),"JL.H.RAIS A.RAHMAN GG BUKIT RAYA 3 NO 30 RT 004 RW 007 ")</f>
        <v>JL.H.RAIS A.RAHMAN GG BUKIT RAYA 3 NO 30 RT 004 RW 007 </v>
      </c>
      <c r="N3677" s="35" t="str">
        <f>IFERROR(__xludf.DUMMYFUNCTION("""COMPUTED_VALUE"""),"SUNGAI JAWI DALAM")</f>
        <v>SUNGAI JAWI DALAM</v>
      </c>
      <c r="O3677" s="35" t="str">
        <f>IFERROR(__xludf.DUMMYFUNCTION("""COMPUTED_VALUE"""),"PONTIANAK BARAT ")</f>
        <v>PONTIANAK BARAT </v>
      </c>
      <c r="P3677" s="35" t="str">
        <f>IFERROR(__xludf.DUMMYFUNCTION("""COMPUTED_VALUE"""),"KOTA PONTIANAK ")</f>
        <v>KOTA PONTIANAK </v>
      </c>
      <c r="Q3677" s="35" t="str">
        <f>IFERROR(__xludf.DUMMYFUNCTION("""COMPUTED_VALUE"""),"KALIMANTAN BARAT ")</f>
        <v>KALIMANTAN BARAT </v>
      </c>
      <c r="R3677" s="35" t="str">
        <f>IFERROR(__xludf.DUMMYFUNCTION("""COMPUTED_VALUE"""),"ISLAM")</f>
        <v>ISLAM</v>
      </c>
      <c r="S3677" s="74" t="str">
        <f>IFERROR(__xludf.DUMMYFUNCTION("""COMPUTED_VALUE"""),"PNS")</f>
        <v>PNS</v>
      </c>
      <c r="T3677" s="35" t="str">
        <f>IFERROR(__xludf.DUMMYFUNCTION("""COMPUTED_VALUE"""),"TRIGER FINGER")</f>
        <v>TRIGER FINGER</v>
      </c>
      <c r="U3677" s="35" t="str">
        <f>IFERROR(__xludf.DUMMYFUNCTION("""COMPUTED_VALUE"""),"KOMPUTER DAN MAIN BIOLA")</f>
        <v>KOMPUTER DAN MAIN BIOLA</v>
      </c>
      <c r="V3677" s="35" t="str">
        <f>IFERROR(__xludf.DUMMYFUNCTION("""COMPUTED_VALUE"""),"081255383382")</f>
        <v>081255383382</v>
      </c>
      <c r="W3677" s="45"/>
    </row>
    <row r="3678">
      <c r="A3678" s="45"/>
      <c r="B3678" s="35" t="str">
        <f>IFERROR(__xludf.DUMMYFUNCTION("""COMPUTED_VALUE"""),"11/04/2026 19:16:55")</f>
        <v>11/04/2026 19:16:55</v>
      </c>
      <c r="C3678" s="35"/>
      <c r="D3678" s="10">
        <f>IFERROR(__xludf.DUMMYFUNCTION("""COMPUTED_VALUE"""),46123.0)</f>
        <v>46123</v>
      </c>
      <c r="E3678" s="35" t="str">
        <f>IFERROR(__xludf.DUMMYFUNCTION("""COMPUTED_VALUE"""),"04Apr")</f>
        <v>04Apr</v>
      </c>
      <c r="F3678" s="35"/>
      <c r="G3678" s="35" t="str">
        <f>IFERROR(__xludf.DUMMYFUNCTION("""COMPUTED_VALUE"""),"MULYANA")</f>
        <v>MULYANA</v>
      </c>
      <c r="H3678" s="35" t="str">
        <f>IFERROR(__xludf.DUMMYFUNCTION("""COMPUTED_VALUE"""),"M7226046441")</f>
        <v>M7226046441</v>
      </c>
      <c r="I3678" s="35">
        <f>IFERROR(__xludf.DUMMYFUNCTION("""COMPUTED_VALUE"""),54.0)</f>
        <v>54</v>
      </c>
      <c r="J3678" s="35" t="str">
        <f>IFERROR(__xludf.DUMMYFUNCTION("""COMPUTED_VALUE"""),"&gt; 44 tahun")</f>
        <v>&gt; 44 tahun</v>
      </c>
      <c r="K3678" s="35" t="str">
        <f>IFERROR(__xludf.DUMMYFUNCTION("""COMPUTED_VALUE"""),"10/04/1972")</f>
        <v>10/04/1972</v>
      </c>
      <c r="L3678" s="35" t="str">
        <f>IFERROR(__xludf.DUMMYFUNCTION("""COMPUTED_VALUE"""),"PEREMPUAN")</f>
        <v>PEREMPUAN</v>
      </c>
      <c r="M3678" s="35" t="str">
        <f>IFERROR(__xludf.DUMMYFUNCTION("""COMPUTED_VALUE"""),"GANG USAHA BERSAMA 1 NO. 11")</f>
        <v>GANG USAHA BERSAMA 1 NO. 11</v>
      </c>
      <c r="N3678" s="35" t="str">
        <f>IFERROR(__xludf.DUMMYFUNCTION("""COMPUTED_VALUE"""),"SUNGAI BELIUNG")</f>
        <v>SUNGAI BELIUNG</v>
      </c>
      <c r="O3678" s="35" t="str">
        <f>IFERROR(__xludf.DUMMYFUNCTION("""COMPUTED_VALUE"""),"PONTIANAK BARAT")</f>
        <v>PONTIANAK BARAT</v>
      </c>
      <c r="P3678" s="35" t="str">
        <f>IFERROR(__xludf.DUMMYFUNCTION("""COMPUTED_VALUE"""),"PONTIANAK")</f>
        <v>PONTIANAK</v>
      </c>
      <c r="Q3678" s="35" t="str">
        <f>IFERROR(__xludf.DUMMYFUNCTION("""COMPUTED_VALUE"""),"KALIMANTAN BARAT")</f>
        <v>KALIMANTAN BARAT</v>
      </c>
      <c r="R3678" s="35" t="str">
        <f>IFERROR(__xludf.DUMMYFUNCTION("""COMPUTED_VALUE"""),"ISLAM")</f>
        <v>ISLAM</v>
      </c>
      <c r="S3678" s="74" t="str">
        <f>IFERROR(__xludf.DUMMYFUNCTION("""COMPUTED_VALUE"""),"IBU RUMAH TANGGA")</f>
        <v>IBU RUMAH TANGGA</v>
      </c>
      <c r="T3678" s="35" t="str">
        <f>IFERROR(__xludf.DUMMYFUNCTION("""COMPUTED_VALUE"""),"NYERI PADA TUMIT, KAKI PANAS, JIKA BANGUN TIDUR TERASA SULIT MENGINJAKKAN KAKI, SETELAH DUDUK KEMUDIAN INGIN BERDIRI TERASA NYERI")</f>
        <v>NYERI PADA TUMIT, KAKI PANAS, JIKA BANGUN TIDUR TERASA SULIT MENGINJAKKAN KAKI, SETELAH DUDUK KEMUDIAN INGIN BERDIRI TERASA NYERI</v>
      </c>
      <c r="U3678" s="35" t="str">
        <f>IFERROR(__xludf.DUMMYFUNCTION("""COMPUTED_VALUE"""),"JOGING")</f>
        <v>JOGING</v>
      </c>
      <c r="V3678" s="35" t="str">
        <f>IFERROR(__xludf.DUMMYFUNCTION("""COMPUTED_VALUE"""),"089517356441")</f>
        <v>089517356441</v>
      </c>
      <c r="W3678" s="45"/>
    </row>
    <row r="3679">
      <c r="A3679" s="45"/>
      <c r="B3679" s="35" t="str">
        <f>IFERROR(__xludf.DUMMYFUNCTION("""COMPUTED_VALUE"""),"11/04/2026 9:58:06")</f>
        <v>11/04/2026 9:58:06</v>
      </c>
      <c r="C3679" s="35"/>
      <c r="D3679" s="10">
        <f>IFERROR(__xludf.DUMMYFUNCTION("""COMPUTED_VALUE"""),46123.0)</f>
        <v>46123</v>
      </c>
      <c r="E3679" s="35" t="str">
        <f>IFERROR(__xludf.DUMMYFUNCTION("""COMPUTED_VALUE"""),"04Apr")</f>
        <v>04Apr</v>
      </c>
      <c r="F3679" s="35"/>
      <c r="G3679" s="35" t="str">
        <f>IFERROR(__xludf.DUMMYFUNCTION("""COMPUTED_VALUE"""),"LUSIANA")</f>
        <v>LUSIANA</v>
      </c>
      <c r="H3679" s="35" t="str">
        <f>IFERROR(__xludf.DUMMYFUNCTION("""COMPUTED_VALUE"""),"L9426047047")</f>
        <v>L9426047047</v>
      </c>
      <c r="I3679" s="35">
        <f>IFERROR(__xludf.DUMMYFUNCTION("""COMPUTED_VALUE"""),32.0)</f>
        <v>32</v>
      </c>
      <c r="J3679" s="35" t="str">
        <f>IFERROR(__xludf.DUMMYFUNCTION("""COMPUTED_VALUE"""),"25-34 tahun")</f>
        <v>25-34 tahun</v>
      </c>
      <c r="K3679" s="35" t="str">
        <f>IFERROR(__xludf.DUMMYFUNCTION("""COMPUTED_VALUE"""),"09/05/1994")</f>
        <v>09/05/1994</v>
      </c>
      <c r="L3679" s="35" t="str">
        <f>IFERROR(__xludf.DUMMYFUNCTION("""COMPUTED_VALUE"""),"PEREMPUAN")</f>
        <v>PEREMPUAN</v>
      </c>
      <c r="M3679" s="35" t="str">
        <f>IFERROR(__xludf.DUMMYFUNCTION("""COMPUTED_VALUE"""),"JL KAMPUNG ARAB")</f>
        <v>JL KAMPUNG ARAB</v>
      </c>
      <c r="N3679" s="35" t="str">
        <f>IFERROR(__xludf.DUMMYFUNCTION("""COMPUTED_VALUE"""),"DALAM BUGIS")</f>
        <v>DALAM BUGIS</v>
      </c>
      <c r="O3679" s="35" t="str">
        <f>IFERROR(__xludf.DUMMYFUNCTION("""COMPUTED_VALUE"""),"PONTIANAK TIMUR")</f>
        <v>PONTIANAK TIMUR</v>
      </c>
      <c r="P3679" s="35" t="str">
        <f>IFERROR(__xludf.DUMMYFUNCTION("""COMPUTED_VALUE"""),"PONTIANAK")</f>
        <v>PONTIANAK</v>
      </c>
      <c r="Q3679" s="35" t="str">
        <f>IFERROR(__xludf.DUMMYFUNCTION("""COMPUTED_VALUE"""),"KALIMANTAN BARAT")</f>
        <v>KALIMANTAN BARAT</v>
      </c>
      <c r="R3679" s="35" t="str">
        <f>IFERROR(__xludf.DUMMYFUNCTION("""COMPUTED_VALUE"""),"BUDDHA")</f>
        <v>BUDDHA</v>
      </c>
      <c r="S3679" s="74" t="str">
        <f>IFERROR(__xludf.DUMMYFUNCTION("""COMPUTED_VALUE"""),"KARYAWAN SWASTA")</f>
        <v>KARYAWAN SWASTA</v>
      </c>
      <c r="T3679" s="35" t="str">
        <f>IFERROR(__xludf.DUMMYFUNCTION("""COMPUTED_VALUE"""),"BELAKANG LUTUT NYERI DAN SUSAH BERDIRI SETIAP HABIS JONGKOK LAMA")</f>
        <v>BELAKANG LUTUT NYERI DAN SUSAH BERDIRI SETIAP HABIS JONGKOK LAMA</v>
      </c>
      <c r="U3679" s="35" t="str">
        <f>IFERROR(__xludf.DUMMYFUNCTION("""COMPUTED_VALUE"""),"BADMINTON &amp; GYM")</f>
        <v>BADMINTON &amp; GYM</v>
      </c>
      <c r="V3679" s="35" t="str">
        <f>IFERROR(__xludf.DUMMYFUNCTION("""COMPUTED_VALUE"""),"082157957047")</f>
        <v>082157957047</v>
      </c>
      <c r="W3679" s="45"/>
    </row>
    <row r="3680">
      <c r="A3680" s="45" t="str">
        <f>IFERROR(__xludf.DUMMYFUNCTION("""COMPUTED_VALUE""")," ")</f>
        <v> </v>
      </c>
      <c r="B3680" s="35" t="str">
        <f>IFERROR(__xludf.DUMMYFUNCTION("""COMPUTED_VALUE"""),"12/04/2026 8:46:28")</f>
        <v>12/04/2026 8:46:28</v>
      </c>
      <c r="C3680" s="35"/>
      <c r="D3680" s="10">
        <f>IFERROR(__xludf.DUMMYFUNCTION("""COMPUTED_VALUE"""),46124.0)</f>
        <v>46124</v>
      </c>
      <c r="E3680" s="35" t="str">
        <f>IFERROR(__xludf.DUMMYFUNCTION("""COMPUTED_VALUE"""),"04Apr")</f>
        <v>04Apr</v>
      </c>
      <c r="F3680" s="35"/>
      <c r="G3680" s="35" t="str">
        <f>IFERROR(__xludf.DUMMYFUNCTION("""COMPUTED_VALUE"""),"SULISTYARINI ")</f>
        <v>SULISTYARINI </v>
      </c>
      <c r="H3680" s="35" t="str">
        <f>IFERROR(__xludf.DUMMYFUNCTION("""COMPUTED_VALUE"""),"S6526043209")</f>
        <v>S6526043209</v>
      </c>
      <c r="I3680" s="35">
        <f>IFERROR(__xludf.DUMMYFUNCTION("""COMPUTED_VALUE"""),60.0)</f>
        <v>60</v>
      </c>
      <c r="J3680" s="35" t="str">
        <f>IFERROR(__xludf.DUMMYFUNCTION("""COMPUTED_VALUE"""),"&gt; 44 tahun")</f>
        <v>&gt; 44 tahun</v>
      </c>
      <c r="K3680" s="35" t="str">
        <f>IFERROR(__xludf.DUMMYFUNCTION("""COMPUTED_VALUE"""),"17/11/1965")</f>
        <v>17/11/1965</v>
      </c>
      <c r="L3680" s="35" t="str">
        <f>IFERROR(__xludf.DUMMYFUNCTION("""COMPUTED_VALUE"""),"PEREMPUAN")</f>
        <v>PEREMPUAN</v>
      </c>
      <c r="M3680" s="35" t="str">
        <f>IFERROR(__xludf.DUMMYFUNCTION("""COMPUTED_VALUE"""),"KOMPLEK PURNAMA PERMAI")</f>
        <v>KOMPLEK PURNAMA PERMAI</v>
      </c>
      <c r="N3680" s="35" t="str">
        <f>IFERROR(__xludf.DUMMYFUNCTION("""COMPUTED_VALUE"""),"PARIT TOKAYA")</f>
        <v>PARIT TOKAYA</v>
      </c>
      <c r="O3680" s="35" t="str">
        <f>IFERROR(__xludf.DUMMYFUNCTION("""COMPUTED_VALUE"""),"PONTIANAK SELATAN")</f>
        <v>PONTIANAK SELATAN</v>
      </c>
      <c r="P3680" s="35" t="str">
        <f>IFERROR(__xludf.DUMMYFUNCTION("""COMPUTED_VALUE"""),"KOTA PONTIANAK ")</f>
        <v>KOTA PONTIANAK </v>
      </c>
      <c r="Q3680" s="35" t="str">
        <f>IFERROR(__xludf.DUMMYFUNCTION("""COMPUTED_VALUE"""),"KALIMANTAN BARAT")</f>
        <v>KALIMANTAN BARAT</v>
      </c>
      <c r="R3680" s="35" t="str">
        <f>IFERROR(__xludf.DUMMYFUNCTION("""COMPUTED_VALUE"""),"ISLAM")</f>
        <v>ISLAM</v>
      </c>
      <c r="S3680" s="74" t="str">
        <f>IFERROR(__xludf.DUMMYFUNCTION("""COMPUTED_VALUE"""),"PNS")</f>
        <v>PNS</v>
      </c>
      <c r="T3680" s="35" t="str">
        <f>IFERROR(__xludf.DUMMYFUNCTION("""COMPUTED_VALUE"""),"SAKIT PADA PINGGUL, ADA RASA TIDAK NYAMAN")</f>
        <v>SAKIT PADA PINGGUL, ADA RASA TIDAK NYAMAN</v>
      </c>
      <c r="U3680" s="35" t="str">
        <f>IFERROR(__xludf.DUMMYFUNCTION("""COMPUTED_VALUE"""),"BEKERJA SEBAGAI DOSEN")</f>
        <v>BEKERJA SEBAGAI DOSEN</v>
      </c>
      <c r="V3680" s="35" t="str">
        <f>IFERROR(__xludf.DUMMYFUNCTION("""COMPUTED_VALUE"""),"085752793209")</f>
        <v>085752793209</v>
      </c>
      <c r="W3680" s="45"/>
    </row>
    <row r="3681">
      <c r="A3681" s="45"/>
      <c r="B3681" s="35" t="str">
        <f>IFERROR(__xludf.DUMMYFUNCTION("""COMPUTED_VALUE"""),"12/04/2026 9:16:38")</f>
        <v>12/04/2026 9:16:38</v>
      </c>
      <c r="C3681" s="35"/>
      <c r="D3681" s="10">
        <f>IFERROR(__xludf.DUMMYFUNCTION("""COMPUTED_VALUE"""),46124.0)</f>
        <v>46124</v>
      </c>
      <c r="E3681" s="35" t="str">
        <f>IFERROR(__xludf.DUMMYFUNCTION("""COMPUTED_VALUE"""),"04Apr")</f>
        <v>04Apr</v>
      </c>
      <c r="F3681" s="35"/>
      <c r="G3681" s="35" t="str">
        <f>IFERROR(__xludf.DUMMYFUNCTION("""COMPUTED_VALUE"""),"ERLIN INDRIYANI ")</f>
        <v>ERLIN INDRIYANI </v>
      </c>
      <c r="H3681" s="35" t="str">
        <f>IFERROR(__xludf.DUMMYFUNCTION("""COMPUTED_VALUE"""),"E8926048960")</f>
        <v>E8926048960</v>
      </c>
      <c r="I3681" s="35">
        <f>IFERROR(__xludf.DUMMYFUNCTION("""COMPUTED_VALUE"""),36.0)</f>
        <v>36</v>
      </c>
      <c r="J3681" s="35" t="str">
        <f>IFERROR(__xludf.DUMMYFUNCTION("""COMPUTED_VALUE"""),"35-44 tahun")</f>
        <v>35-44 tahun</v>
      </c>
      <c r="K3681" s="35" t="str">
        <f>IFERROR(__xludf.DUMMYFUNCTION("""COMPUTED_VALUE"""),"06/09/1989")</f>
        <v>06/09/1989</v>
      </c>
      <c r="L3681" s="35" t="str">
        <f>IFERROR(__xludf.DUMMYFUNCTION("""COMPUTED_VALUE"""),"PEREMPUAN")</f>
        <v>PEREMPUAN</v>
      </c>
      <c r="M3681" s="35" t="str">
        <f>IFERROR(__xludf.DUMMYFUNCTION("""COMPUTED_VALUE"""),"JL AR SALEH GG AMALIA SAGITA NO 3")</f>
        <v>JL AR SALEH GG AMALIA SAGITA NO 3</v>
      </c>
      <c r="N3681" s="35" t="str">
        <f>IFERROR(__xludf.DUMMYFUNCTION("""COMPUTED_VALUE"""),"BANGKA BELITUNG LAUT ")</f>
        <v>BANGKA BELITUNG LAUT </v>
      </c>
      <c r="O3681" s="35" t="str">
        <f>IFERROR(__xludf.DUMMYFUNCTION("""COMPUTED_VALUE"""),"PONTIANAK TENGGARA ")</f>
        <v>PONTIANAK TENGGARA </v>
      </c>
      <c r="P3681" s="35" t="str">
        <f>IFERROR(__xludf.DUMMYFUNCTION("""COMPUTED_VALUE"""),"PONTIANAK ")</f>
        <v>PONTIANAK </v>
      </c>
      <c r="Q3681" s="35" t="str">
        <f>IFERROR(__xludf.DUMMYFUNCTION("""COMPUTED_VALUE"""),"KALIMANTAN BARAT ")</f>
        <v>KALIMANTAN BARAT </v>
      </c>
      <c r="R3681" s="35" t="str">
        <f>IFERROR(__xludf.DUMMYFUNCTION("""COMPUTED_VALUE"""),"ISLAM")</f>
        <v>ISLAM</v>
      </c>
      <c r="S3681" s="74" t="str">
        <f>IFERROR(__xludf.DUMMYFUNCTION("""COMPUTED_VALUE"""),"WIRASWASTA ")</f>
        <v>WIRASWASTA </v>
      </c>
      <c r="T3681" s="35" t="str">
        <f>IFERROR(__xludf.DUMMYFUNCTION("""COMPUTED_VALUE"""),"NYERI,KERAM,PEGEL PADA KAKI SEBELAH KANAN ")</f>
        <v>NYERI,KERAM,PEGEL PADA KAKI SEBELAH KANAN </v>
      </c>
      <c r="U3681" s="35" t="str">
        <f>IFERROR(__xludf.DUMMYFUNCTION("""COMPUTED_VALUE"""),"KERJA BERDIRI JALAN")</f>
        <v>KERJA BERDIRI JALAN</v>
      </c>
      <c r="V3681" s="35" t="str">
        <f>IFERROR(__xludf.DUMMYFUNCTION("""COMPUTED_VALUE"""),"082255958960")</f>
        <v>082255958960</v>
      </c>
      <c r="W3681" s="45"/>
    </row>
    <row r="3682">
      <c r="A3682" s="45"/>
      <c r="B3682" s="35" t="str">
        <f>IFERROR(__xludf.DUMMYFUNCTION("""COMPUTED_VALUE"""),"12/04/2026 9:55:12")</f>
        <v>12/04/2026 9:55:12</v>
      </c>
      <c r="C3682" s="35"/>
      <c r="D3682" s="10">
        <f>IFERROR(__xludf.DUMMYFUNCTION("""COMPUTED_VALUE"""),46124.0)</f>
        <v>46124</v>
      </c>
      <c r="E3682" s="35" t="str">
        <f>IFERROR(__xludf.DUMMYFUNCTION("""COMPUTED_VALUE"""),"04Apr")</f>
        <v>04Apr</v>
      </c>
      <c r="F3682" s="35"/>
      <c r="G3682" s="35" t="str">
        <f>IFERROR(__xludf.DUMMYFUNCTION("""COMPUTED_VALUE"""),"PRANSISKA OLIVIA")</f>
        <v>PRANSISKA OLIVIA</v>
      </c>
      <c r="H3682" s="35" t="str">
        <f>IFERROR(__xludf.DUMMYFUNCTION("""COMPUTED_VALUE"""),"P0726040580")</f>
        <v>P0726040580</v>
      </c>
      <c r="I3682" s="35">
        <f>IFERROR(__xludf.DUMMYFUNCTION("""COMPUTED_VALUE"""),19.0)</f>
        <v>19</v>
      </c>
      <c r="J3682" s="35" t="str">
        <f>IFERROR(__xludf.DUMMYFUNCTION("""COMPUTED_VALUE"""),"18-24 tahun")</f>
        <v>18-24 tahun</v>
      </c>
      <c r="K3682" s="35" t="str">
        <f>IFERROR(__xludf.DUMMYFUNCTION("""COMPUTED_VALUE"""),"26/03/2007")</f>
        <v>26/03/2007</v>
      </c>
      <c r="L3682" s="35" t="str">
        <f>IFERROR(__xludf.DUMMYFUNCTION("""COMPUTED_VALUE"""),"PEREMPUAN")</f>
        <v>PEREMPUAN</v>
      </c>
      <c r="M3682" s="35" t="str">
        <f>IFERROR(__xludf.DUMMYFUNCTION("""COMPUTED_VALUE"""),"DUSUN TUBA PASAK")</f>
        <v>DUSUN TUBA PASAK</v>
      </c>
      <c r="N3682" s="35" t="str">
        <f>IFERROR(__xludf.DUMMYFUNCTION("""COMPUTED_VALUE"""),"TUBAJUR")</f>
        <v>TUBAJUR</v>
      </c>
      <c r="O3682" s="35" t="str">
        <f>IFERROR(__xludf.DUMMYFUNCTION("""COMPUTED_VALUE"""),"TERIAK")</f>
        <v>TERIAK</v>
      </c>
      <c r="P3682" s="35" t="str">
        <f>IFERROR(__xludf.DUMMYFUNCTION("""COMPUTED_VALUE"""),"BENGKAYANG")</f>
        <v>BENGKAYANG</v>
      </c>
      <c r="Q3682" s="35" t="str">
        <f>IFERROR(__xludf.DUMMYFUNCTION("""COMPUTED_VALUE"""),"KALIMANTAN BARAT")</f>
        <v>KALIMANTAN BARAT</v>
      </c>
      <c r="R3682" s="35" t="str">
        <f>IFERROR(__xludf.DUMMYFUNCTION("""COMPUTED_VALUE"""),"KATOLIK")</f>
        <v>KATOLIK</v>
      </c>
      <c r="S3682" s="74" t="str">
        <f>IFERROR(__xludf.DUMMYFUNCTION("""COMPUTED_VALUE"""),"PELAJAR/MAHASISWA")</f>
        <v>PELAJAR/MAHASISWA</v>
      </c>
      <c r="T3682" s="35" t="str">
        <f>IFERROR(__xludf.DUMMYFUNCTION("""COMPUTED_VALUE"""),"SKOLIOSIS")</f>
        <v>SKOLIOSIS</v>
      </c>
      <c r="U3682" s="35" t="str">
        <f>IFERROR(__xludf.DUMMYFUNCTION("""COMPUTED_VALUE"""),"GYM")</f>
        <v>GYM</v>
      </c>
      <c r="V3682" s="35" t="str">
        <f>IFERROR(__xludf.DUMMYFUNCTION("""COMPUTED_VALUE"""),"081528830580")</f>
        <v>081528830580</v>
      </c>
      <c r="W3682" s="45"/>
    </row>
    <row r="3683">
      <c r="A3683" s="45"/>
      <c r="B3683" s="35" t="str">
        <f>IFERROR(__xludf.DUMMYFUNCTION("""COMPUTED_VALUE"""),"12/04/2026 14:41:11")</f>
        <v>12/04/2026 14:41:11</v>
      </c>
      <c r="C3683" s="35"/>
      <c r="D3683" s="10">
        <f>IFERROR(__xludf.DUMMYFUNCTION("""COMPUTED_VALUE"""),46124.0)</f>
        <v>46124</v>
      </c>
      <c r="E3683" s="35" t="str">
        <f>IFERROR(__xludf.DUMMYFUNCTION("""COMPUTED_VALUE"""),"04Apr")</f>
        <v>04Apr</v>
      </c>
      <c r="F3683" s="35"/>
      <c r="G3683" s="35" t="str">
        <f>IFERROR(__xludf.DUMMYFUNCTION("""COMPUTED_VALUE"""),"YUSTINA")</f>
        <v>YUSTINA</v>
      </c>
      <c r="H3683" s="35" t="str">
        <f>IFERROR(__xludf.DUMMYFUNCTION("""COMPUTED_VALUE"""),"Y5726041357")</f>
        <v>Y5726041357</v>
      </c>
      <c r="I3683" s="35">
        <f>IFERROR(__xludf.DUMMYFUNCTION("""COMPUTED_VALUE"""),68.0)</f>
        <v>68</v>
      </c>
      <c r="J3683" s="35" t="str">
        <f>IFERROR(__xludf.DUMMYFUNCTION("""COMPUTED_VALUE"""),"&gt; 44 tahun")</f>
        <v>&gt; 44 tahun</v>
      </c>
      <c r="K3683" s="35" t="str">
        <f>IFERROR(__xludf.DUMMYFUNCTION("""COMPUTED_VALUE"""),"18/11/1957")</f>
        <v>18/11/1957</v>
      </c>
      <c r="L3683" s="35" t="str">
        <f>IFERROR(__xludf.DUMMYFUNCTION("""COMPUTED_VALUE"""),"PEREMPUAN")</f>
        <v>PEREMPUAN</v>
      </c>
      <c r="M3683" s="35" t="str">
        <f>IFERROR(__xludf.DUMMYFUNCTION("""COMPUTED_VALUE"""),"TANJUNG ASAM")</f>
        <v>TANJUNG ASAM</v>
      </c>
      <c r="N3683" s="35" t="str">
        <f>IFERROR(__xludf.DUMMYFUNCTION("""COMPUTED_VALUE"""),"KAYONG HULU")</f>
        <v>KAYONG HULU</v>
      </c>
      <c r="O3683" s="35" t="str">
        <f>IFERROR(__xludf.DUMMYFUNCTION("""COMPUTED_VALUE"""),"NANGA TAYAP")</f>
        <v>NANGA TAYAP</v>
      </c>
      <c r="P3683" s="35" t="str">
        <f>IFERROR(__xludf.DUMMYFUNCTION("""COMPUTED_VALUE"""),"PONTIANAK")</f>
        <v>PONTIANAK</v>
      </c>
      <c r="Q3683" s="35" t="str">
        <f>IFERROR(__xludf.DUMMYFUNCTION("""COMPUTED_VALUE"""),"KALIMANTAN BARAT")</f>
        <v>KALIMANTAN BARAT</v>
      </c>
      <c r="R3683" s="35" t="str">
        <f>IFERROR(__xludf.DUMMYFUNCTION("""COMPUTED_VALUE"""),"KATOLIK")</f>
        <v>KATOLIK</v>
      </c>
      <c r="S3683" s="74" t="str">
        <f>IFERROR(__xludf.DUMMYFUNCTION("""COMPUTED_VALUE"""),"IBU RUMAH TANGGA")</f>
        <v>IBU RUMAH TANGGA</v>
      </c>
      <c r="T3683" s="35" t="str">
        <f>IFERROR(__xludf.DUMMYFUNCTION("""COMPUTED_VALUE"""),"PUNDAK SAMPAIK KETIAK")</f>
        <v>PUNDAK SAMPAIK KETIAK</v>
      </c>
      <c r="U3683" s="35" t="str">
        <f>IFERROR(__xludf.DUMMYFUNCTION("""COMPUTED_VALUE"""),"MENGURUS RUMAH TANGGA")</f>
        <v>MENGURUS RUMAH TANGGA</v>
      </c>
      <c r="V3683" s="35" t="str">
        <f>IFERROR(__xludf.DUMMYFUNCTION("""COMPUTED_VALUE"""),"082153231357")</f>
        <v>082153231357</v>
      </c>
      <c r="W3683" s="45"/>
    </row>
    <row r="3684">
      <c r="A3684" s="45"/>
      <c r="B3684" s="35" t="str">
        <f>IFERROR(__xludf.DUMMYFUNCTION("""COMPUTED_VALUE"""),"12/04/2026 15:33:48")</f>
        <v>12/04/2026 15:33:48</v>
      </c>
      <c r="C3684" s="35"/>
      <c r="D3684" s="10">
        <f>IFERROR(__xludf.DUMMYFUNCTION("""COMPUTED_VALUE"""),46124.0)</f>
        <v>46124</v>
      </c>
      <c r="E3684" s="35" t="str">
        <f>IFERROR(__xludf.DUMMYFUNCTION("""COMPUTED_VALUE"""),"04Apr")</f>
        <v>04Apr</v>
      </c>
      <c r="F3684" s="35"/>
      <c r="G3684" s="35" t="str">
        <f>IFERROR(__xludf.DUMMYFUNCTION("""COMPUTED_VALUE"""),"ABYAN QAYS ALFARIZ")</f>
        <v>ABYAN QAYS ALFARIZ</v>
      </c>
      <c r="H3684" s="35" t="str">
        <f>IFERROR(__xludf.DUMMYFUNCTION("""COMPUTED_VALUE"""),"A1726048503")</f>
        <v>A1726048503</v>
      </c>
      <c r="I3684" s="35">
        <f>IFERROR(__xludf.DUMMYFUNCTION("""COMPUTED_VALUE"""),9.0)</f>
        <v>9</v>
      </c>
      <c r="J3684" s="35" t="str">
        <f>IFERROR(__xludf.DUMMYFUNCTION("""COMPUTED_VALUE"""),"&lt; 18 tahun")</f>
        <v>&lt; 18 tahun</v>
      </c>
      <c r="K3684" s="35" t="str">
        <f>IFERROR(__xludf.DUMMYFUNCTION("""COMPUTED_VALUE"""),"27/04/2017")</f>
        <v>27/04/2017</v>
      </c>
      <c r="L3684" s="35" t="str">
        <f>IFERROR(__xludf.DUMMYFUNCTION("""COMPUTED_VALUE"""),"LAKI-LAKI")</f>
        <v>LAKI-LAKI</v>
      </c>
      <c r="M3684" s="35" t="str">
        <f>IFERROR(__xludf.DUMMYFUNCTION("""COMPUTED_VALUE"""),"JLN HM SUWIGNYO GG SUDIHARJO 1")</f>
        <v>JLN HM SUWIGNYO GG SUDIHARJO 1</v>
      </c>
      <c r="N3684" s="35" t="str">
        <f>IFERROR(__xludf.DUMMYFUNCTION("""COMPUTED_VALUE"""),"SUNGAI JAWI")</f>
        <v>SUNGAI JAWI</v>
      </c>
      <c r="O3684" s="35" t="str">
        <f>IFERROR(__xludf.DUMMYFUNCTION("""COMPUTED_VALUE"""),"PONTIANAK KOTA")</f>
        <v>PONTIANAK KOTA</v>
      </c>
      <c r="P3684" s="35" t="str">
        <f>IFERROR(__xludf.DUMMYFUNCTION("""COMPUTED_VALUE"""),"PONTIANAK")</f>
        <v>PONTIANAK</v>
      </c>
      <c r="Q3684" s="35" t="str">
        <f>IFERROR(__xludf.DUMMYFUNCTION("""COMPUTED_VALUE"""),"KALIMANTAN BARAT")</f>
        <v>KALIMANTAN BARAT</v>
      </c>
      <c r="R3684" s="35" t="str">
        <f>IFERROR(__xludf.DUMMYFUNCTION("""COMPUTED_VALUE"""),"ISLAM")</f>
        <v>ISLAM</v>
      </c>
      <c r="S3684" s="74" t="str">
        <f>IFERROR(__xludf.DUMMYFUNCTION("""COMPUTED_VALUE"""),"PELAJAR")</f>
        <v>PELAJAR</v>
      </c>
      <c r="T3684" s="35" t="str">
        <f>IFERROR(__xludf.DUMMYFUNCTION("""COMPUTED_VALUE"""),"BAGIAN BELAKANG LUTUT SAKIT SAAT LARI")</f>
        <v>BAGIAN BELAKANG LUTUT SAKIT SAAT LARI</v>
      </c>
      <c r="U3684" s="35" t="str">
        <f>IFERROR(__xludf.DUMMYFUNCTION("""COMPUTED_VALUE"""),"BERMAIN BOLA")</f>
        <v>BERMAIN BOLA</v>
      </c>
      <c r="V3684" s="35" t="str">
        <f>IFERROR(__xludf.DUMMYFUNCTION("""COMPUTED_VALUE"""),"085750858503")</f>
        <v>085750858503</v>
      </c>
      <c r="W3684" s="45"/>
    </row>
    <row r="3685">
      <c r="A3685" s="45"/>
      <c r="B3685" s="35" t="str">
        <f>IFERROR(__xludf.DUMMYFUNCTION("""COMPUTED_VALUE"""),"12/04/2026 17:11:35")</f>
        <v>12/04/2026 17:11:35</v>
      </c>
      <c r="C3685" s="35"/>
      <c r="D3685" s="10">
        <f>IFERROR(__xludf.DUMMYFUNCTION("""COMPUTED_VALUE"""),46124.0)</f>
        <v>46124</v>
      </c>
      <c r="E3685" s="35" t="str">
        <f>IFERROR(__xludf.DUMMYFUNCTION("""COMPUTED_VALUE"""),"04Apr")</f>
        <v>04Apr</v>
      </c>
      <c r="F3685" s="35"/>
      <c r="G3685" s="35" t="str">
        <f>IFERROR(__xludf.DUMMYFUNCTION("""COMPUTED_VALUE"""),"AUGUSTO WIJAYA")</f>
        <v>AUGUSTO WIJAYA</v>
      </c>
      <c r="H3685" s="35" t="str">
        <f>IFERROR(__xludf.DUMMYFUNCTION("""COMPUTED_VALUE"""),"A0026049744")</f>
        <v>A0026049744</v>
      </c>
      <c r="I3685" s="35">
        <f>IFERROR(__xludf.DUMMYFUNCTION("""COMPUTED_VALUE"""),25.0)</f>
        <v>25</v>
      </c>
      <c r="J3685" s="35" t="str">
        <f>IFERROR(__xludf.DUMMYFUNCTION("""COMPUTED_VALUE"""),"25-34 tahun")</f>
        <v>25-34 tahun</v>
      </c>
      <c r="K3685" s="35" t="str">
        <f>IFERROR(__xludf.DUMMYFUNCTION("""COMPUTED_VALUE"""),"29/08/2000")</f>
        <v>29/08/2000</v>
      </c>
      <c r="L3685" s="35" t="str">
        <f>IFERROR(__xludf.DUMMYFUNCTION("""COMPUTED_VALUE"""),"LAKI-LAKI")</f>
        <v>LAKI-LAKI</v>
      </c>
      <c r="M3685" s="35" t="str">
        <f>IFERROR(__xludf.DUMMYFUNCTION("""COMPUTED_VALUE"""),"DUSUN SELOON")</f>
        <v>DUSUN SELOON</v>
      </c>
      <c r="N3685" s="35" t="str">
        <f>IFERROR(__xludf.DUMMYFUNCTION("""COMPUTED_VALUE"""),"PUSAT DAMAI")</f>
        <v>PUSAT DAMAI</v>
      </c>
      <c r="O3685" s="35" t="str">
        <f>IFERROR(__xludf.DUMMYFUNCTION("""COMPUTED_VALUE"""),"PARINDU")</f>
        <v>PARINDU</v>
      </c>
      <c r="P3685" s="35" t="str">
        <f>IFERROR(__xludf.DUMMYFUNCTION("""COMPUTED_VALUE"""),"SANGGAU")</f>
        <v>SANGGAU</v>
      </c>
      <c r="Q3685" s="35" t="str">
        <f>IFERROR(__xludf.DUMMYFUNCTION("""COMPUTED_VALUE"""),"KALIMANTAN BARAT")</f>
        <v>KALIMANTAN BARAT</v>
      </c>
      <c r="R3685" s="35" t="str">
        <f>IFERROR(__xludf.DUMMYFUNCTION("""COMPUTED_VALUE"""),"KATOLIK")</f>
        <v>KATOLIK</v>
      </c>
      <c r="S3685" s="74" t="str">
        <f>IFERROR(__xludf.DUMMYFUNCTION("""COMPUTED_VALUE"""),"WIRASWASTA")</f>
        <v>WIRASWASTA</v>
      </c>
      <c r="T3685" s="35" t="str">
        <f>IFERROR(__xludf.DUMMYFUNCTION("""COMPUTED_VALUE"""),"NGILU PADA BOKONG KIRI SAMPING TULANG EKOR")</f>
        <v>NGILU PADA BOKONG KIRI SAMPING TULANG EKOR</v>
      </c>
      <c r="U3685" s="35" t="str">
        <f>IFERROR(__xludf.DUMMYFUNCTION("""COMPUTED_VALUE"""),"MENGONTROL KEBUN SAWIT DAN MEMBAWA MOBIL TERUS MENERUS")</f>
        <v>MENGONTROL KEBUN SAWIT DAN MEMBAWA MOBIL TERUS MENERUS</v>
      </c>
      <c r="V3685" s="35" t="str">
        <f>IFERROR(__xludf.DUMMYFUNCTION("""COMPUTED_VALUE"""),"082354729744")</f>
        <v>082354729744</v>
      </c>
      <c r="W3685" s="45"/>
    </row>
    <row r="3686">
      <c r="A3686" s="45"/>
      <c r="B3686" s="35" t="str">
        <f>IFERROR(__xludf.DUMMYFUNCTION("""COMPUTED_VALUE"""),"13/04/2026 11:36:50")</f>
        <v>13/04/2026 11:36:50</v>
      </c>
      <c r="C3686" s="35"/>
      <c r="D3686" s="10">
        <f>IFERROR(__xludf.DUMMYFUNCTION("""COMPUTED_VALUE"""),46125.0)</f>
        <v>46125</v>
      </c>
      <c r="E3686" s="35" t="str">
        <f>IFERROR(__xludf.DUMMYFUNCTION("""COMPUTED_VALUE"""),"04Apr")</f>
        <v>04Apr</v>
      </c>
      <c r="F3686" s="35"/>
      <c r="G3686" s="35" t="str">
        <f>IFERROR(__xludf.DUMMYFUNCTION("""COMPUTED_VALUE"""),"MUHAMMAD ZAID ASH SHAFA ")</f>
        <v>MUHAMMAD ZAID ASH SHAFA </v>
      </c>
      <c r="H3686" s="35" t="str">
        <f>IFERROR(__xludf.DUMMYFUNCTION("""COMPUTED_VALUE"""),"M0526047029")</f>
        <v>M0526047029</v>
      </c>
      <c r="I3686" s="35">
        <f>IFERROR(__xludf.DUMMYFUNCTION("""COMPUTED_VALUE"""),20.0)</f>
        <v>20</v>
      </c>
      <c r="J3686" s="35" t="str">
        <f>IFERROR(__xludf.DUMMYFUNCTION("""COMPUTED_VALUE"""),"18-24 tahun")</f>
        <v>18-24 tahun</v>
      </c>
      <c r="K3686" s="35" t="str">
        <f>IFERROR(__xludf.DUMMYFUNCTION("""COMPUTED_VALUE"""),"10/09/2005")</f>
        <v>10/09/2005</v>
      </c>
      <c r="L3686" s="35" t="str">
        <f>IFERROR(__xludf.DUMMYFUNCTION("""COMPUTED_VALUE"""),"LAKI-LAKI")</f>
        <v>LAKI-LAKI</v>
      </c>
      <c r="M3686" s="35" t="str">
        <f>IFERROR(__xludf.DUMMYFUNCTION("""COMPUTED_VALUE"""),"JL. AMPERA KOMP. GRAHA AMPERA NO.13A")</f>
        <v>JL. AMPERA KOMP. GRAHA AMPERA NO.13A</v>
      </c>
      <c r="N3686" s="35" t="str">
        <f>IFERROR(__xludf.DUMMYFUNCTION("""COMPUTED_VALUE"""),"SUNGAI BANGKONG")</f>
        <v>SUNGAI BANGKONG</v>
      </c>
      <c r="O3686" s="35" t="str">
        <f>IFERROR(__xludf.DUMMYFUNCTION("""COMPUTED_VALUE"""),"PONTIANAK KOTA")</f>
        <v>PONTIANAK KOTA</v>
      </c>
      <c r="P3686" s="35" t="str">
        <f>IFERROR(__xludf.DUMMYFUNCTION("""COMPUTED_VALUE"""),"KOTA PONTIANAK")</f>
        <v>KOTA PONTIANAK</v>
      </c>
      <c r="Q3686" s="35" t="str">
        <f>IFERROR(__xludf.DUMMYFUNCTION("""COMPUTED_VALUE"""),"KALIMANTAN BARAT")</f>
        <v>KALIMANTAN BARAT</v>
      </c>
      <c r="R3686" s="35" t="str">
        <f>IFERROR(__xludf.DUMMYFUNCTION("""COMPUTED_VALUE"""),"ISLAM")</f>
        <v>ISLAM</v>
      </c>
      <c r="S3686" s="74" t="str">
        <f>IFERROR(__xludf.DUMMYFUNCTION("""COMPUTED_VALUE"""),"POLRI")</f>
        <v>POLRI</v>
      </c>
      <c r="T3686" s="35" t="str">
        <f>IFERROR(__xludf.DUMMYFUNCTION("""COMPUTED_VALUE"""),"BENGKAK KAKI KIRI")</f>
        <v>BENGKAK KAKI KIRI</v>
      </c>
      <c r="U3686" s="35" t="str">
        <f>IFERROR(__xludf.DUMMYFUNCTION("""COMPUTED_VALUE"""),"OLAHRAGA LARI SEHARI BISA 2-3 KALI, LATIHAN"" LAIN LAPANGAN MENGGUNAKAN SEPATU PDL")</f>
        <v>OLAHRAGA LARI SEHARI BISA 2-3 KALI, LATIHAN" LAIN LAPANGAN MENGGUNAKAN SEPATU PDL</v>
      </c>
      <c r="V3686" s="35" t="str">
        <f>IFERROR(__xludf.DUMMYFUNCTION("""COMPUTED_VALUE"""),"0895372687029")</f>
        <v>0895372687029</v>
      </c>
      <c r="W3686" s="45"/>
    </row>
    <row r="3687">
      <c r="A3687" s="45"/>
      <c r="B3687" s="35" t="str">
        <f>IFERROR(__xludf.DUMMYFUNCTION("""COMPUTED_VALUE"""),"13/04/2026 11:58:43")</f>
        <v>13/04/2026 11:58:43</v>
      </c>
      <c r="C3687" s="35"/>
      <c r="D3687" s="10">
        <f>IFERROR(__xludf.DUMMYFUNCTION("""COMPUTED_VALUE"""),46125.0)</f>
        <v>46125</v>
      </c>
      <c r="E3687" s="35" t="str">
        <f>IFERROR(__xludf.DUMMYFUNCTION("""COMPUTED_VALUE"""),"04Apr")</f>
        <v>04Apr</v>
      </c>
      <c r="F3687" s="35"/>
      <c r="G3687" s="35" t="str">
        <f>IFERROR(__xludf.DUMMYFUNCTION("""COMPUTED_VALUE"""),"AGAM MARWANSYAH")</f>
        <v>AGAM MARWANSYAH</v>
      </c>
      <c r="H3687" s="35" t="str">
        <f>IFERROR(__xludf.DUMMYFUNCTION("""COMPUTED_VALUE"""),"A9626045499")</f>
        <v>A9626045499</v>
      </c>
      <c r="I3687" s="35">
        <f>IFERROR(__xludf.DUMMYFUNCTION("""COMPUTED_VALUE"""),29.0)</f>
        <v>29</v>
      </c>
      <c r="J3687" s="35" t="str">
        <f>IFERROR(__xludf.DUMMYFUNCTION("""COMPUTED_VALUE"""),"25-34 tahun")</f>
        <v>25-34 tahun</v>
      </c>
      <c r="K3687" s="35" t="str">
        <f>IFERROR(__xludf.DUMMYFUNCTION("""COMPUTED_VALUE"""),"03/07/1996")</f>
        <v>03/07/1996</v>
      </c>
      <c r="L3687" s="35" t="str">
        <f>IFERROR(__xludf.DUMMYFUNCTION("""COMPUTED_VALUE"""),"LAKI-LAKI")</f>
        <v>LAKI-LAKI</v>
      </c>
      <c r="M3687" s="35" t="str">
        <f>IFERROR(__xludf.DUMMYFUNCTION("""COMPUTED_VALUE"""),"JALAN PGA GANG RAWAMANGUN 1 NO. 3B")</f>
        <v>JALAN PGA GANG RAWAMANGUN 1 NO. 3B</v>
      </c>
      <c r="N3687" s="35" t="str">
        <f>IFERROR(__xludf.DUMMYFUNCTION("""COMPUTED_VALUE"""),"SUNGAI BANGKONG")</f>
        <v>SUNGAI BANGKONG</v>
      </c>
      <c r="O3687" s="35" t="str">
        <f>IFERROR(__xludf.DUMMYFUNCTION("""COMPUTED_VALUE"""),"PONTIANAK KOTA")</f>
        <v>PONTIANAK KOTA</v>
      </c>
      <c r="P3687" s="35" t="str">
        <f>IFERROR(__xludf.DUMMYFUNCTION("""COMPUTED_VALUE"""),"KOTA PONTIANAK")</f>
        <v>KOTA PONTIANAK</v>
      </c>
      <c r="Q3687" s="35" t="str">
        <f>IFERROR(__xludf.DUMMYFUNCTION("""COMPUTED_VALUE"""),"KALIMANTAN BARAT")</f>
        <v>KALIMANTAN BARAT</v>
      </c>
      <c r="R3687" s="35" t="str">
        <f>IFERROR(__xludf.DUMMYFUNCTION("""COMPUTED_VALUE"""),"ISLAM")</f>
        <v>ISLAM</v>
      </c>
      <c r="S3687" s="74" t="str">
        <f>IFERROR(__xludf.DUMMYFUNCTION("""COMPUTED_VALUE"""),"TATA USAHA")</f>
        <v>TATA USAHA</v>
      </c>
      <c r="T3687" s="35" t="str">
        <f>IFERROR(__xludf.DUMMYFUNCTION("""COMPUTED_VALUE"""),"NYERI / KESELEO DI BAGIAN KAKI SEBELAH KANAN")</f>
        <v>NYERI / KESELEO DI BAGIAN KAKI SEBELAH KANAN</v>
      </c>
      <c r="U3687" s="35" t="str">
        <f>IFERROR(__xludf.DUMMYFUNCTION("""COMPUTED_VALUE"""),"JOGGING PAGI")</f>
        <v>JOGGING PAGI</v>
      </c>
      <c r="V3687" s="35" t="str">
        <f>IFERROR(__xludf.DUMMYFUNCTION("""COMPUTED_VALUE"""),"081390245499")</f>
        <v>081390245499</v>
      </c>
      <c r="W3687" s="45"/>
    </row>
    <row r="3688">
      <c r="A3688" s="45"/>
      <c r="B3688" s="35" t="str">
        <f>IFERROR(__xludf.DUMMYFUNCTION("""COMPUTED_VALUE"""),"13/04/2026 12:45:20")</f>
        <v>13/04/2026 12:45:20</v>
      </c>
      <c r="C3688" s="35"/>
      <c r="D3688" s="10">
        <f>IFERROR(__xludf.DUMMYFUNCTION("""COMPUTED_VALUE"""),46125.0)</f>
        <v>46125</v>
      </c>
      <c r="E3688" s="35" t="str">
        <f>IFERROR(__xludf.DUMMYFUNCTION("""COMPUTED_VALUE"""),"04Apr")</f>
        <v>04Apr</v>
      </c>
      <c r="F3688" s="35"/>
      <c r="G3688" s="35" t="str">
        <f>IFERROR(__xludf.DUMMYFUNCTION("""COMPUTED_VALUE"""),"WENNIE YANITA")</f>
        <v>WENNIE YANITA</v>
      </c>
      <c r="H3688" s="35" t="str">
        <f>IFERROR(__xludf.DUMMYFUNCTION("""COMPUTED_VALUE"""),"W8526044145")</f>
        <v>W8526044145</v>
      </c>
      <c r="I3688" s="35">
        <f>IFERROR(__xludf.DUMMYFUNCTION("""COMPUTED_VALUE"""),41.0)</f>
        <v>41</v>
      </c>
      <c r="J3688" s="35" t="str">
        <f>IFERROR(__xludf.DUMMYFUNCTION("""COMPUTED_VALUE"""),"35-44 tahun")</f>
        <v>35-44 tahun</v>
      </c>
      <c r="K3688" s="35" t="str">
        <f>IFERROR(__xludf.DUMMYFUNCTION("""COMPUTED_VALUE"""),"16/01/1985")</f>
        <v>16/01/1985</v>
      </c>
      <c r="L3688" s="35" t="str">
        <f>IFERROR(__xludf.DUMMYFUNCTION("""COMPUTED_VALUE"""),"PEREMPUAN")</f>
        <v>PEREMPUAN</v>
      </c>
      <c r="M3688" s="35" t="str">
        <f>IFERROR(__xludf.DUMMYFUNCTION("""COMPUTED_VALUE"""),"KOMP UNTAN JL KARANGAN NO 3")</f>
        <v>KOMP UNTAN JL KARANGAN NO 3</v>
      </c>
      <c r="N3688" s="35" t="str">
        <f>IFERROR(__xludf.DUMMYFUNCTION("""COMPUTED_VALUE"""),"BASIR")</f>
        <v>BASIR</v>
      </c>
      <c r="O3688" s="35" t="str">
        <f>IFERROR(__xludf.DUMMYFUNCTION("""COMPUTED_VALUE"""),"PONTIANAK TENGGARA")</f>
        <v>PONTIANAK TENGGARA</v>
      </c>
      <c r="P3688" s="35" t="str">
        <f>IFERROR(__xludf.DUMMYFUNCTION("""COMPUTED_VALUE"""),"PONTIANAK")</f>
        <v>PONTIANAK</v>
      </c>
      <c r="Q3688" s="35" t="str">
        <f>IFERROR(__xludf.DUMMYFUNCTION("""COMPUTED_VALUE"""),"KALBAR")</f>
        <v>KALBAR</v>
      </c>
      <c r="R3688" s="35" t="str">
        <f>IFERROR(__xludf.DUMMYFUNCTION("""COMPUTED_VALUE"""),"ISLAM")</f>
        <v>ISLAM</v>
      </c>
      <c r="S3688" s="74" t="str">
        <f>IFERROR(__xludf.DUMMYFUNCTION("""COMPUTED_VALUE"""),"WIRAUSAHA")</f>
        <v>WIRAUSAHA</v>
      </c>
      <c r="T3688" s="35" t="str">
        <f>IFERROR(__xludf.DUMMYFUNCTION("""COMPUTED_VALUE"""),"PINGGANG SAKIT")</f>
        <v>PINGGANG SAKIT</v>
      </c>
      <c r="U3688" s="35" t="str">
        <f>IFERROR(__xludf.DUMMYFUNCTION("""COMPUTED_VALUE"""),"GYM")</f>
        <v>GYM</v>
      </c>
      <c r="V3688" s="35" t="str">
        <f>IFERROR(__xludf.DUMMYFUNCTION("""COMPUTED_VALUE"""),"081392114145")</f>
        <v>081392114145</v>
      </c>
      <c r="W3688" s="45"/>
    </row>
    <row r="3689">
      <c r="A3689" s="45"/>
      <c r="B3689" s="35" t="str">
        <f>IFERROR(__xludf.DUMMYFUNCTION("""COMPUTED_VALUE"""),"13/04/2026 0:12:45")</f>
        <v>13/04/2026 0:12:45</v>
      </c>
      <c r="C3689" s="35"/>
      <c r="D3689" s="10">
        <f>IFERROR(__xludf.DUMMYFUNCTION("""COMPUTED_VALUE"""),46125.0)</f>
        <v>46125</v>
      </c>
      <c r="E3689" s="35" t="str">
        <f>IFERROR(__xludf.DUMMYFUNCTION("""COMPUTED_VALUE"""),"04Apr")</f>
        <v>04Apr</v>
      </c>
      <c r="F3689" s="35"/>
      <c r="G3689" s="35" t="str">
        <f>IFERROR(__xludf.DUMMYFUNCTION("""COMPUTED_VALUE"""),"HARDIYANTO")</f>
        <v>HARDIYANTO</v>
      </c>
      <c r="H3689" s="35" t="str">
        <f>IFERROR(__xludf.DUMMYFUNCTION("""COMPUTED_VALUE"""),"H9626040899")</f>
        <v>H9626040899</v>
      </c>
      <c r="I3689" s="35">
        <f>IFERROR(__xludf.DUMMYFUNCTION("""COMPUTED_VALUE"""),30.0)</f>
        <v>30</v>
      </c>
      <c r="J3689" s="35" t="str">
        <f>IFERROR(__xludf.DUMMYFUNCTION("""COMPUTED_VALUE"""),"25-34 tahun")</f>
        <v>25-34 tahun</v>
      </c>
      <c r="K3689" s="35" t="str">
        <f>IFERROR(__xludf.DUMMYFUNCTION("""COMPUTED_VALUE"""),"19/05/1996")</f>
        <v>19/05/1996</v>
      </c>
      <c r="L3689" s="35" t="str">
        <f>IFERROR(__xludf.DUMMYFUNCTION("""COMPUTED_VALUE"""),"LAKI-LAKI")</f>
        <v>LAKI-LAKI</v>
      </c>
      <c r="M3689" s="35" t="str">
        <f>IFERROR(__xludf.DUMMYFUNCTION("""COMPUTED_VALUE"""),"GG.SUKA MULIA ")</f>
        <v>GG.SUKA MULIA </v>
      </c>
      <c r="N3689" s="35" t="str">
        <f>IFERROR(__xludf.DUMMYFUNCTION("""COMPUTED_VALUE"""),"SUNGAI JAWI")</f>
        <v>SUNGAI JAWI</v>
      </c>
      <c r="O3689" s="35" t="str">
        <f>IFERROR(__xludf.DUMMYFUNCTION("""COMPUTED_VALUE"""),"PONTIANAK")</f>
        <v>PONTIANAK</v>
      </c>
      <c r="P3689" s="35" t="str">
        <f>IFERROR(__xludf.DUMMYFUNCTION("""COMPUTED_VALUE"""),"PONTIANAK KOTA")</f>
        <v>PONTIANAK KOTA</v>
      </c>
      <c r="Q3689" s="35" t="str">
        <f>IFERROR(__xludf.DUMMYFUNCTION("""COMPUTED_VALUE"""),"KALIMANTAN BARAT")</f>
        <v>KALIMANTAN BARAT</v>
      </c>
      <c r="R3689" s="35" t="str">
        <f>IFERROR(__xludf.DUMMYFUNCTION("""COMPUTED_VALUE"""),"ISLAM")</f>
        <v>ISLAM</v>
      </c>
      <c r="S3689" s="74" t="str">
        <f>IFERROR(__xludf.DUMMYFUNCTION("""COMPUTED_VALUE"""),"WIRAUSAHA")</f>
        <v>WIRAUSAHA</v>
      </c>
      <c r="T3689" s="35" t="str">
        <f>IFERROR(__xludf.DUMMYFUNCTION("""COMPUTED_VALUE"""),"MAU LATIHAN PASCA OPERASI CLAVICULA")</f>
        <v>MAU LATIHAN PASCA OPERASI CLAVICULA</v>
      </c>
      <c r="U3689" s="35" t="str">
        <f>IFERROR(__xludf.DUMMYFUNCTION("""COMPUTED_VALUE"""),"MAIN SEPEDA")</f>
        <v>MAIN SEPEDA</v>
      </c>
      <c r="V3689" s="35" t="str">
        <f>IFERROR(__xludf.DUMMYFUNCTION("""COMPUTED_VALUE"""),"089606710899")</f>
        <v>089606710899</v>
      </c>
      <c r="W3689" s="45"/>
    </row>
    <row r="3690">
      <c r="A3690" s="45"/>
      <c r="B3690" s="35" t="str">
        <f>IFERROR(__xludf.DUMMYFUNCTION("""COMPUTED_VALUE"""),"13/04/2026 16:50:21")</f>
        <v>13/04/2026 16:50:21</v>
      </c>
      <c r="C3690" s="35"/>
      <c r="D3690" s="10">
        <f>IFERROR(__xludf.DUMMYFUNCTION("""COMPUTED_VALUE"""),46125.0)</f>
        <v>46125</v>
      </c>
      <c r="E3690" s="35" t="str">
        <f>IFERROR(__xludf.DUMMYFUNCTION("""COMPUTED_VALUE"""),"04Apr")</f>
        <v>04Apr</v>
      </c>
      <c r="F3690" s="35"/>
      <c r="G3690" s="35" t="str">
        <f>IFERROR(__xludf.DUMMYFUNCTION("""COMPUTED_VALUE"""),"DZAKY DHIAULHAQ")</f>
        <v>DZAKY DHIAULHAQ</v>
      </c>
      <c r="H3690" s="35" t="str">
        <f>IFERROR(__xludf.DUMMYFUNCTION("""COMPUTED_VALUE"""),"D0926042317")</f>
        <v>D0926042317</v>
      </c>
      <c r="I3690" s="35">
        <f>IFERROR(__xludf.DUMMYFUNCTION("""COMPUTED_VALUE"""),17.0)</f>
        <v>17</v>
      </c>
      <c r="J3690" s="35" t="str">
        <f>IFERROR(__xludf.DUMMYFUNCTION("""COMPUTED_VALUE"""),"&lt; 18 tahun")</f>
        <v>&lt; 18 tahun</v>
      </c>
      <c r="K3690" s="35" t="str">
        <f>IFERROR(__xludf.DUMMYFUNCTION("""COMPUTED_VALUE"""),"14/03/2009")</f>
        <v>14/03/2009</v>
      </c>
      <c r="L3690" s="35" t="str">
        <f>IFERROR(__xludf.DUMMYFUNCTION("""COMPUTED_VALUE"""),"LAKI-LAKI")</f>
        <v>LAKI-LAKI</v>
      </c>
      <c r="M3690" s="35" t="str">
        <f>IFERROR(__xludf.DUMMYFUNCTION("""COMPUTED_VALUE"""),"JL HUSEIN HAMZAH GANG H. USMAN 1 NO 9")</f>
        <v>JL HUSEIN HAMZAH GANG H. USMAN 1 NO 9</v>
      </c>
      <c r="N3690" s="35" t="str">
        <f>IFERROR(__xludf.DUMMYFUNCTION("""COMPUTED_VALUE"""),"PAL 5")</f>
        <v>PAL 5</v>
      </c>
      <c r="O3690" s="35" t="str">
        <f>IFERROR(__xludf.DUMMYFUNCTION("""COMPUTED_VALUE"""),"PONTIANAK BARAT")</f>
        <v>PONTIANAK BARAT</v>
      </c>
      <c r="P3690" s="35" t="str">
        <f>IFERROR(__xludf.DUMMYFUNCTION("""COMPUTED_VALUE"""),"PONTIANAK")</f>
        <v>PONTIANAK</v>
      </c>
      <c r="Q3690" s="35" t="str">
        <f>IFERROR(__xludf.DUMMYFUNCTION("""COMPUTED_VALUE"""),"KALIMANTAN BARAT")</f>
        <v>KALIMANTAN BARAT</v>
      </c>
      <c r="R3690" s="35" t="str">
        <f>IFERROR(__xludf.DUMMYFUNCTION("""COMPUTED_VALUE"""),"ISLAM")</f>
        <v>ISLAM</v>
      </c>
      <c r="S3690" s="74" t="str">
        <f>IFERROR(__xludf.DUMMYFUNCTION("""COMPUTED_VALUE"""),"PELAJAR")</f>
        <v>PELAJAR</v>
      </c>
      <c r="T3690" s="35" t="str">
        <f>IFERROR(__xludf.DUMMYFUNCTION("""COMPUTED_VALUE"""),"SKOLIOSIS")</f>
        <v>SKOLIOSIS</v>
      </c>
      <c r="U3690" s="35" t="str">
        <f>IFERROR(__xludf.DUMMYFUNCTION("""COMPUTED_VALUE"""),"BADMINTON")</f>
        <v>BADMINTON</v>
      </c>
      <c r="V3690" s="35" t="str">
        <f>IFERROR(__xludf.DUMMYFUNCTION("""COMPUTED_VALUE"""),"08115782317")</f>
        <v>08115782317</v>
      </c>
      <c r="W3690" s="45"/>
    </row>
    <row r="3691">
      <c r="A3691" s="45"/>
      <c r="B3691" s="35" t="str">
        <f>IFERROR(__xludf.DUMMYFUNCTION("""COMPUTED_VALUE"""),"13/04/2026 16:53:34")</f>
        <v>13/04/2026 16:53:34</v>
      </c>
      <c r="C3691" s="35"/>
      <c r="D3691" s="10">
        <f>IFERROR(__xludf.DUMMYFUNCTION("""COMPUTED_VALUE"""),46125.0)</f>
        <v>46125</v>
      </c>
      <c r="E3691" s="35" t="str">
        <f>IFERROR(__xludf.DUMMYFUNCTION("""COMPUTED_VALUE"""),"04Apr")</f>
        <v>04Apr</v>
      </c>
      <c r="F3691" s="35"/>
      <c r="G3691" s="35" t="str">
        <f>IFERROR(__xludf.DUMMYFUNCTION("""COMPUTED_VALUE"""),"ALWI CHANDRA ANDIKA")</f>
        <v>ALWI CHANDRA ANDIKA</v>
      </c>
      <c r="H3691" s="35" t="str">
        <f>IFERROR(__xludf.DUMMYFUNCTION("""COMPUTED_VALUE"""),"A0826048189")</f>
        <v>A0826048189</v>
      </c>
      <c r="I3691" s="35">
        <f>IFERROR(__xludf.DUMMYFUNCTION("""COMPUTED_VALUE"""),18.0)</f>
        <v>18</v>
      </c>
      <c r="J3691" s="35" t="str">
        <f>IFERROR(__xludf.DUMMYFUNCTION("""COMPUTED_VALUE"""),"&lt; 18 tahun")</f>
        <v>&lt; 18 tahun</v>
      </c>
      <c r="K3691" s="35" t="str">
        <f>IFERROR(__xludf.DUMMYFUNCTION("""COMPUTED_VALUE"""),"30/01/2008")</f>
        <v>30/01/2008</v>
      </c>
      <c r="L3691" s="35" t="str">
        <f>IFERROR(__xludf.DUMMYFUNCTION("""COMPUTED_VALUE"""),"LAKI-LAKI")</f>
        <v>LAKI-LAKI</v>
      </c>
      <c r="M3691" s="35" t="str">
        <f>IFERROR(__xludf.DUMMYFUNCTION("""COMPUTED_VALUE"""),"JL GATOT SUBROTO, GG KALIMAS ")</f>
        <v>JL GATOT SUBROTO, GG KALIMAS </v>
      </c>
      <c r="N3691" s="35" t="str">
        <f>IFERROR(__xludf.DUMMYFUNCTION("""COMPUTED_VALUE"""),"PAYA KUMANG")</f>
        <v>PAYA KUMANG</v>
      </c>
      <c r="O3691" s="35" t="str">
        <f>IFERROR(__xludf.DUMMYFUNCTION("""COMPUTED_VALUE"""),"DELTA PAWAN")</f>
        <v>DELTA PAWAN</v>
      </c>
      <c r="P3691" s="35" t="str">
        <f>IFERROR(__xludf.DUMMYFUNCTION("""COMPUTED_VALUE"""),"KETAPANG")</f>
        <v>KETAPANG</v>
      </c>
      <c r="Q3691" s="35" t="str">
        <f>IFERROR(__xludf.DUMMYFUNCTION("""COMPUTED_VALUE"""),"KALIMANTAN BARAT")</f>
        <v>KALIMANTAN BARAT</v>
      </c>
      <c r="R3691" s="35" t="str">
        <f>IFERROR(__xludf.DUMMYFUNCTION("""COMPUTED_VALUE"""),"ISLAM")</f>
        <v>ISLAM</v>
      </c>
      <c r="S3691" s="74" t="str">
        <f>IFERROR(__xludf.DUMMYFUNCTION("""COMPUTED_VALUE"""),"PELAJAR")</f>
        <v>PELAJAR</v>
      </c>
      <c r="T3691" s="35" t="str">
        <f>IFERROR(__xludf.DUMMYFUNCTION("""COMPUTED_VALUE"""),"KAKI X")</f>
        <v>KAKI X</v>
      </c>
      <c r="U3691" s="35" t="str">
        <f>IFERROR(__xludf.DUMMYFUNCTION("""COMPUTED_VALUE"""),"HOBI ATLETIK ")</f>
        <v>HOBI ATLETIK </v>
      </c>
      <c r="V3691" s="35" t="str">
        <f>IFERROR(__xludf.DUMMYFUNCTION("""COMPUTED_VALUE"""),"089693688189")</f>
        <v>089693688189</v>
      </c>
      <c r="W3691" s="45"/>
    </row>
    <row r="3692">
      <c r="A3692" s="45"/>
      <c r="B3692" s="35" t="str">
        <f>IFERROR(__xludf.DUMMYFUNCTION("""COMPUTED_VALUE"""),"13/04/2026 16:45:26")</f>
        <v>13/04/2026 16:45:26</v>
      </c>
      <c r="C3692" s="35"/>
      <c r="D3692" s="10">
        <f>IFERROR(__xludf.DUMMYFUNCTION("""COMPUTED_VALUE"""),46126.0)</f>
        <v>46126</v>
      </c>
      <c r="E3692" s="35" t="str">
        <f>IFERROR(__xludf.DUMMYFUNCTION("""COMPUTED_VALUE"""),"04Apr")</f>
        <v>04Apr</v>
      </c>
      <c r="F3692" s="35"/>
      <c r="G3692" s="35" t="str">
        <f>IFERROR(__xludf.DUMMYFUNCTION("""COMPUTED_VALUE"""),"SANDRA WIJAYA")</f>
        <v>SANDRA WIJAYA</v>
      </c>
      <c r="H3692" s="35" t="str">
        <f>IFERROR(__xludf.DUMMYFUNCTION("""COMPUTED_VALUE"""),"S9726043033")</f>
        <v>S9726043033</v>
      </c>
      <c r="I3692" s="35">
        <f>IFERROR(__xludf.DUMMYFUNCTION("""COMPUTED_VALUE"""),29.0)</f>
        <v>29</v>
      </c>
      <c r="J3692" s="35" t="str">
        <f>IFERROR(__xludf.DUMMYFUNCTION("""COMPUTED_VALUE"""),"25-34 tahun")</f>
        <v>25-34 tahun</v>
      </c>
      <c r="K3692" s="35" t="str">
        <f>IFERROR(__xludf.DUMMYFUNCTION("""COMPUTED_VALUE"""),"22/02/1997")</f>
        <v>22/02/1997</v>
      </c>
      <c r="L3692" s="35" t="str">
        <f>IFERROR(__xludf.DUMMYFUNCTION("""COMPUTED_VALUE"""),"PEREMPUAN")</f>
        <v>PEREMPUAN</v>
      </c>
      <c r="M3692" s="35" t="str">
        <f>IFERROR(__xludf.DUMMYFUNCTION("""COMPUTED_VALUE"""),"JL.SERDAM, KOMPLEKS BUMI BATARA 2, NO. B84")</f>
        <v>JL.SERDAM, KOMPLEKS BUMI BATARA 2, NO. B84</v>
      </c>
      <c r="N3692" s="35" t="str">
        <f>IFERROR(__xludf.DUMMYFUNCTION("""COMPUTED_VALUE"""),"SUNGAI RAYA DALAM")</f>
        <v>SUNGAI RAYA DALAM</v>
      </c>
      <c r="O3692" s="35" t="str">
        <f>IFERROR(__xludf.DUMMYFUNCTION("""COMPUTED_VALUE"""),"SUNGAI RAYA")</f>
        <v>SUNGAI RAYA</v>
      </c>
      <c r="P3692" s="35" t="str">
        <f>IFERROR(__xludf.DUMMYFUNCTION("""COMPUTED_VALUE"""),"KUBU RAYA")</f>
        <v>KUBU RAYA</v>
      </c>
      <c r="Q3692" s="35" t="str">
        <f>IFERROR(__xludf.DUMMYFUNCTION("""COMPUTED_VALUE"""),"KALIMANTAN BARAT")</f>
        <v>KALIMANTAN BARAT</v>
      </c>
      <c r="R3692" s="35" t="str">
        <f>IFERROR(__xludf.DUMMYFUNCTION("""COMPUTED_VALUE"""),"LAINNYA")</f>
        <v>LAINNYA</v>
      </c>
      <c r="S3692" s="74" t="str">
        <f>IFERROR(__xludf.DUMMYFUNCTION("""COMPUTED_VALUE"""),"GURU")</f>
        <v>GURU</v>
      </c>
      <c r="T3692" s="35" t="str">
        <f>IFERROR(__xludf.DUMMYFUNCTION("""COMPUTED_VALUE"""),"LUTUT BENGKAK, NYILU DAN KAKU")</f>
        <v>LUTUT BENGKAK, NYILU DAN KAKU</v>
      </c>
      <c r="U3692" s="35" t="str">
        <f>IFERROR(__xludf.DUMMYFUNCTION("""COMPUTED_VALUE"""),"BADMINTON DAN GYM")</f>
        <v>BADMINTON DAN GYM</v>
      </c>
      <c r="V3692" s="35" t="str">
        <f>IFERROR(__xludf.DUMMYFUNCTION("""COMPUTED_VALUE"""),"085389273033")</f>
        <v>085389273033</v>
      </c>
      <c r="W3692" s="45"/>
    </row>
    <row r="3693">
      <c r="A3693" s="45"/>
      <c r="B3693" s="35" t="str">
        <f>IFERROR(__xludf.DUMMYFUNCTION("""COMPUTED_VALUE"""),"14/04/2026 14:33:25")</f>
        <v>14/04/2026 14:33:25</v>
      </c>
      <c r="C3693" s="35"/>
      <c r="D3693" s="10">
        <f>IFERROR(__xludf.DUMMYFUNCTION("""COMPUTED_VALUE"""),46126.0)</f>
        <v>46126</v>
      </c>
      <c r="E3693" s="35" t="str">
        <f>IFERROR(__xludf.DUMMYFUNCTION("""COMPUTED_VALUE"""),"04Apr")</f>
        <v>04Apr</v>
      </c>
      <c r="F3693" s="35"/>
      <c r="G3693" s="35" t="str">
        <f>IFERROR(__xludf.DUMMYFUNCTION("""COMPUTED_VALUE"""),"PETER LIU")</f>
        <v>PETER LIU</v>
      </c>
      <c r="H3693" s="35" t="str">
        <f>IFERROR(__xludf.DUMMYFUNCTION("""COMPUTED_VALUE"""),"P7326043624")</f>
        <v>P7326043624</v>
      </c>
      <c r="I3693" s="35">
        <f>IFERROR(__xludf.DUMMYFUNCTION("""COMPUTED_VALUE"""),53.0)</f>
        <v>53</v>
      </c>
      <c r="J3693" s="35" t="str">
        <f>IFERROR(__xludf.DUMMYFUNCTION("""COMPUTED_VALUE"""),"&gt; 44 tahun")</f>
        <v>&gt; 44 tahun</v>
      </c>
      <c r="K3693" s="35" t="str">
        <f>IFERROR(__xludf.DUMMYFUNCTION("""COMPUTED_VALUE"""),"30/04/1973")</f>
        <v>30/04/1973</v>
      </c>
      <c r="L3693" s="35" t="str">
        <f>IFERROR(__xludf.DUMMYFUNCTION("""COMPUTED_VALUE"""),"LAKI-LAKI")</f>
        <v>LAKI-LAKI</v>
      </c>
      <c r="M3693" s="35" t="str">
        <f>IFERROR(__xludf.DUMMYFUNCTION("""COMPUTED_VALUE"""),"JALAN SERDAM KOMP. PERMATA AGUNG NO. AA1")</f>
        <v>JALAN SERDAM KOMP. PERMATA AGUNG NO. AA1</v>
      </c>
      <c r="N3693" s="35" t="str">
        <f>IFERROR(__xludf.DUMMYFUNCTION("""COMPUTED_VALUE"""),"BANGKA BELITUNG BARAT")</f>
        <v>BANGKA BELITUNG BARAT</v>
      </c>
      <c r="O3693" s="35" t="str">
        <f>IFERROR(__xludf.DUMMYFUNCTION("""COMPUTED_VALUE"""),"PONTIANAK TENGGARA ")</f>
        <v>PONTIANAK TENGGARA </v>
      </c>
      <c r="P3693" s="35" t="str">
        <f>IFERROR(__xludf.DUMMYFUNCTION("""COMPUTED_VALUE"""),"PONTIANAK ")</f>
        <v>PONTIANAK </v>
      </c>
      <c r="Q3693" s="35" t="str">
        <f>IFERROR(__xludf.DUMMYFUNCTION("""COMPUTED_VALUE"""),"KALIMANTAN BARAT")</f>
        <v>KALIMANTAN BARAT</v>
      </c>
      <c r="R3693" s="35" t="str">
        <f>IFERROR(__xludf.DUMMYFUNCTION("""COMPUTED_VALUE"""),"KATOLIK")</f>
        <v>KATOLIK</v>
      </c>
      <c r="S3693" s="74" t="str">
        <f>IFERROR(__xludf.DUMMYFUNCTION("""COMPUTED_VALUE"""),"KARYAWAN SWASTA")</f>
        <v>KARYAWAN SWASTA</v>
      </c>
      <c r="T3693" s="35" t="str">
        <f>IFERROR(__xludf.DUMMYFUNCTION("""COMPUTED_VALUE"""),"PAHA SAKIT")</f>
        <v>PAHA SAKIT</v>
      </c>
      <c r="U3693" s="35" t="str">
        <f>IFERROR(__xludf.DUMMYFUNCTION("""COMPUTED_VALUE"""),"-")</f>
        <v>-</v>
      </c>
      <c r="V3693" s="35" t="str">
        <f>IFERROR(__xludf.DUMMYFUNCTION("""COMPUTED_VALUE"""),"089527383624")</f>
        <v>089527383624</v>
      </c>
      <c r="W3693" s="45"/>
    </row>
    <row r="3694">
      <c r="A3694" s="45"/>
      <c r="B3694" s="35" t="str">
        <f>IFERROR(__xludf.DUMMYFUNCTION("""COMPUTED_VALUE"""),"14/04/2026 16:20:15")</f>
        <v>14/04/2026 16:20:15</v>
      </c>
      <c r="C3694" s="35"/>
      <c r="D3694" s="10">
        <f>IFERROR(__xludf.DUMMYFUNCTION("""COMPUTED_VALUE"""),46126.0)</f>
        <v>46126</v>
      </c>
      <c r="E3694" s="35" t="str">
        <f>IFERROR(__xludf.DUMMYFUNCTION("""COMPUTED_VALUE"""),"04Apr")</f>
        <v>04Apr</v>
      </c>
      <c r="F3694" s="35"/>
      <c r="G3694" s="35" t="str">
        <f>IFERROR(__xludf.DUMMYFUNCTION("""COMPUTED_VALUE"""),"ERWIN DJONG")</f>
        <v>ERWIN DJONG</v>
      </c>
      <c r="H3694" s="35" t="str">
        <f>IFERROR(__xludf.DUMMYFUNCTION("""COMPUTED_VALUE"""),"E6226045500")</f>
        <v>E6226045500</v>
      </c>
      <c r="I3694" s="35">
        <f>IFERROR(__xludf.DUMMYFUNCTION("""COMPUTED_VALUE"""),64.0)</f>
        <v>64</v>
      </c>
      <c r="J3694" s="35" t="str">
        <f>IFERROR(__xludf.DUMMYFUNCTION("""COMPUTED_VALUE"""),"&gt; 44 tahun")</f>
        <v>&gt; 44 tahun</v>
      </c>
      <c r="K3694" s="35" t="str">
        <f>IFERROR(__xludf.DUMMYFUNCTION("""COMPUTED_VALUE"""),"07/01/1962")</f>
        <v>07/01/1962</v>
      </c>
      <c r="L3694" s="35" t="str">
        <f>IFERROR(__xludf.DUMMYFUNCTION("""COMPUTED_VALUE"""),"LAKI-LAKI")</f>
        <v>LAKI-LAKI</v>
      </c>
      <c r="M3694" s="35" t="str">
        <f>IFERROR(__xludf.DUMMYFUNCTION("""COMPUTED_VALUE"""),"JL PURNAMA KOMP PURNAMA AGUNG VII BLOK M NO.2")</f>
        <v>JL PURNAMA KOMP PURNAMA AGUNG VII BLOK M NO.2</v>
      </c>
      <c r="N3694" s="35" t="str">
        <f>IFERROR(__xludf.DUMMYFUNCTION("""COMPUTED_VALUE"""),"PARIT TOKAYA")</f>
        <v>PARIT TOKAYA</v>
      </c>
      <c r="O3694" s="35" t="str">
        <f>IFERROR(__xludf.DUMMYFUNCTION("""COMPUTED_VALUE"""),"PONTIANAK SELATAN")</f>
        <v>PONTIANAK SELATAN</v>
      </c>
      <c r="P3694" s="35" t="str">
        <f>IFERROR(__xludf.DUMMYFUNCTION("""COMPUTED_VALUE"""),"PONTIANAK")</f>
        <v>PONTIANAK</v>
      </c>
      <c r="Q3694" s="35" t="str">
        <f>IFERROR(__xludf.DUMMYFUNCTION("""COMPUTED_VALUE"""),"KALIMANTAN BARAT")</f>
        <v>KALIMANTAN BARAT</v>
      </c>
      <c r="R3694" s="35" t="str">
        <f>IFERROR(__xludf.DUMMYFUNCTION("""COMPUTED_VALUE"""),"LAINNYA")</f>
        <v>LAINNYA</v>
      </c>
      <c r="S3694" s="74" t="str">
        <f>IFERROR(__xludf.DUMMYFUNCTION("""COMPUTED_VALUE"""),"PNS")</f>
        <v>PNS</v>
      </c>
      <c r="T3694" s="35" t="str">
        <f>IFERROR(__xludf.DUMMYFUNCTION("""COMPUTED_VALUE"""),"DADA TERIK")</f>
        <v>DADA TERIK</v>
      </c>
      <c r="U3694" s="35" t="str">
        <f>IFERROR(__xludf.DUMMYFUNCTION("""COMPUTED_VALUE"""),"-")</f>
        <v>-</v>
      </c>
      <c r="V3694" s="35" t="str">
        <f>IFERROR(__xludf.DUMMYFUNCTION("""COMPUTED_VALUE"""),"081258085500")</f>
        <v>081258085500</v>
      </c>
      <c r="W3694" s="45"/>
    </row>
    <row r="3695">
      <c r="A3695" s="45"/>
      <c r="B3695" s="35" t="str">
        <f>IFERROR(__xludf.DUMMYFUNCTION("""COMPUTED_VALUE"""),"14/04/2026 12:14:01")</f>
        <v>14/04/2026 12:14:01</v>
      </c>
      <c r="C3695" s="35"/>
      <c r="D3695" s="10">
        <f>IFERROR(__xludf.DUMMYFUNCTION("""COMPUTED_VALUE"""),46126.0)</f>
        <v>46126</v>
      </c>
      <c r="E3695" s="35" t="str">
        <f>IFERROR(__xludf.DUMMYFUNCTION("""COMPUTED_VALUE"""),"04Apr")</f>
        <v>04Apr</v>
      </c>
      <c r="F3695" s="35"/>
      <c r="G3695" s="35" t="str">
        <f>IFERROR(__xludf.DUMMYFUNCTION("""COMPUTED_VALUE"""),"FLAVIUS DARRELL ")</f>
        <v>FLAVIUS DARRELL </v>
      </c>
      <c r="H3695" s="35" t="str">
        <f>IFERROR(__xludf.DUMMYFUNCTION("""COMPUTED_VALUE"""),"F0826048647")</f>
        <v>F0826048647</v>
      </c>
      <c r="I3695" s="35">
        <f>IFERROR(__xludf.DUMMYFUNCTION("""COMPUTED_VALUE"""),17.0)</f>
        <v>17</v>
      </c>
      <c r="J3695" s="35" t="str">
        <f>IFERROR(__xludf.DUMMYFUNCTION("""COMPUTED_VALUE"""),"&lt; 18 tahun")</f>
        <v>&lt; 18 tahun</v>
      </c>
      <c r="K3695" s="35" t="str">
        <f>IFERROR(__xludf.DUMMYFUNCTION("""COMPUTED_VALUE"""),"09/07/2008")</f>
        <v>09/07/2008</v>
      </c>
      <c r="L3695" s="35" t="str">
        <f>IFERROR(__xludf.DUMMYFUNCTION("""COMPUTED_VALUE"""),"LAKI-LAKI")</f>
        <v>LAKI-LAKI</v>
      </c>
      <c r="M3695" s="35" t="str">
        <f>IFERROR(__xludf.DUMMYFUNCTION("""COMPUTED_VALUE"""),"JALAN PERDANA KOMPLEK BALI AGUNG 2")</f>
        <v>JALAN PERDANA KOMPLEK BALI AGUNG 2</v>
      </c>
      <c r="N3695" s="35" t="str">
        <f>IFERROR(__xludf.DUMMYFUNCTION("""COMPUTED_VALUE"""),"PARITTOKAYA")</f>
        <v>PARITTOKAYA</v>
      </c>
      <c r="O3695" s="35" t="str">
        <f>IFERROR(__xludf.DUMMYFUNCTION("""COMPUTED_VALUE"""),"PONTIANAK SELATAN")</f>
        <v>PONTIANAK SELATAN</v>
      </c>
      <c r="P3695" s="35" t="str">
        <f>IFERROR(__xludf.DUMMYFUNCTION("""COMPUTED_VALUE"""),"PONTIANAK")</f>
        <v>PONTIANAK</v>
      </c>
      <c r="Q3695" s="35" t="str">
        <f>IFERROR(__xludf.DUMMYFUNCTION("""COMPUTED_VALUE"""),"KALIMANTAN BARAT")</f>
        <v>KALIMANTAN BARAT</v>
      </c>
      <c r="R3695" s="35" t="str">
        <f>IFERROR(__xludf.DUMMYFUNCTION("""COMPUTED_VALUE"""),"KATOLIK")</f>
        <v>KATOLIK</v>
      </c>
      <c r="S3695" s="74" t="str">
        <f>IFERROR(__xludf.DUMMYFUNCTION("""COMPUTED_VALUE"""),"PELAJAR")</f>
        <v>PELAJAR</v>
      </c>
      <c r="T3695" s="35" t="str">
        <f>IFERROR(__xludf.DUMMYFUNCTION("""COMPUTED_VALUE"""),"BADAN PEGAL")</f>
        <v>BADAN PEGAL</v>
      </c>
      <c r="U3695" s="35" t="str">
        <f>IFERROR(__xludf.DUMMYFUNCTION("""COMPUTED_VALUE"""),"LARI, PULL UP DAN RENANG")</f>
        <v>LARI, PULL UP DAN RENANG</v>
      </c>
      <c r="V3695" s="35" t="str">
        <f>IFERROR(__xludf.DUMMYFUNCTION("""COMPUTED_VALUE"""),"085757068647")</f>
        <v>085757068647</v>
      </c>
      <c r="W3695" s="45"/>
    </row>
    <row r="3696">
      <c r="A3696" s="45"/>
      <c r="B3696" s="35" t="str">
        <f>IFERROR(__xludf.DUMMYFUNCTION("""COMPUTED_VALUE"""),"14/04/2026 16:51:15")</f>
        <v>14/04/2026 16:51:15</v>
      </c>
      <c r="C3696" s="35"/>
      <c r="D3696" s="10">
        <f>IFERROR(__xludf.DUMMYFUNCTION("""COMPUTED_VALUE"""),46126.0)</f>
        <v>46126</v>
      </c>
      <c r="E3696" s="35" t="str">
        <f>IFERROR(__xludf.DUMMYFUNCTION("""COMPUTED_VALUE"""),"04Apr")</f>
        <v>04Apr</v>
      </c>
      <c r="F3696" s="35"/>
      <c r="G3696" s="35" t="str">
        <f>IFERROR(__xludf.DUMMYFUNCTION("""COMPUTED_VALUE"""),"M. SAPARWIN A. MD")</f>
        <v>M. SAPARWIN A. MD</v>
      </c>
      <c r="H3696" s="35" t="str">
        <f>IFERROR(__xludf.DUMMYFUNCTION("""COMPUTED_VALUE"""),"M9326042953")</f>
        <v>M9326042953</v>
      </c>
      <c r="I3696" s="35">
        <f>IFERROR(__xludf.DUMMYFUNCTION("""COMPUTED_VALUE"""),32.0)</f>
        <v>32</v>
      </c>
      <c r="J3696" s="35" t="str">
        <f>IFERROR(__xludf.DUMMYFUNCTION("""COMPUTED_VALUE"""),"25-34 tahun")</f>
        <v>25-34 tahun</v>
      </c>
      <c r="K3696" s="35" t="str">
        <f>IFERROR(__xludf.DUMMYFUNCTION("""COMPUTED_VALUE"""),"07/10/1993")</f>
        <v>07/10/1993</v>
      </c>
      <c r="L3696" s="35" t="str">
        <f>IFERROR(__xludf.DUMMYFUNCTION("""COMPUTED_VALUE"""),"LAKI-LAKI")</f>
        <v>LAKI-LAKI</v>
      </c>
      <c r="M3696" s="35" t="str">
        <f>IFERROR(__xludf.DUMMYFUNCTION("""COMPUTED_VALUE"""),"JL PELITA 2 PUNGGUR KECIL")</f>
        <v>JL PELITA 2 PUNGGUR KECIL</v>
      </c>
      <c r="N3696" s="35" t="str">
        <f>IFERROR(__xludf.DUMMYFUNCTION("""COMPUTED_VALUE"""),"PUNGGUR KECIL")</f>
        <v>PUNGGUR KECIL</v>
      </c>
      <c r="O3696" s="35" t="str">
        <f>IFERROR(__xludf.DUMMYFUNCTION("""COMPUTED_VALUE"""),"SUI KAKAP")</f>
        <v>SUI KAKAP</v>
      </c>
      <c r="P3696" s="35" t="str">
        <f>IFERROR(__xludf.DUMMYFUNCTION("""COMPUTED_VALUE"""),"KUBU RAYA")</f>
        <v>KUBU RAYA</v>
      </c>
      <c r="Q3696" s="35" t="str">
        <f>IFERROR(__xludf.DUMMYFUNCTION("""COMPUTED_VALUE"""),"KALBAR")</f>
        <v>KALBAR</v>
      </c>
      <c r="R3696" s="35" t="str">
        <f>IFERROR(__xludf.DUMMYFUNCTION("""COMPUTED_VALUE"""),"ISLAM")</f>
        <v>ISLAM</v>
      </c>
      <c r="S3696" s="74" t="str">
        <f>IFERROR(__xludf.DUMMYFUNCTION("""COMPUTED_VALUE"""),"SWASTA")</f>
        <v>SWASTA</v>
      </c>
      <c r="T3696" s="35" t="str">
        <f>IFERROR(__xludf.DUMMYFUNCTION("""COMPUTED_VALUE"""),"NYERI PADA LUTUT, AKIBAT BERMAIN BOLA ( CIDERA LUTUT) ")</f>
        <v>NYERI PADA LUTUT, AKIBAT BERMAIN BOLA ( CIDERA LUTUT) </v>
      </c>
      <c r="U3696" s="35" t="str">
        <f>IFERROR(__xludf.DUMMYFUNCTION("""COMPUTED_VALUE"""),"BERMAIN MINI SOCCER")</f>
        <v>BERMAIN MINI SOCCER</v>
      </c>
      <c r="V3696" s="35" t="str">
        <f>IFERROR(__xludf.DUMMYFUNCTION("""COMPUTED_VALUE"""),"089694112953")</f>
        <v>089694112953</v>
      </c>
      <c r="W3696" s="45"/>
    </row>
    <row r="3697">
      <c r="A3697" s="45"/>
      <c r="B3697" s="35" t="str">
        <f>IFERROR(__xludf.DUMMYFUNCTION("""COMPUTED_VALUE"""),"14/04/2026 16:59:03")</f>
        <v>14/04/2026 16:59:03</v>
      </c>
      <c r="C3697" s="35"/>
      <c r="D3697" s="10">
        <f>IFERROR(__xludf.DUMMYFUNCTION("""COMPUTED_VALUE"""),46126.0)</f>
        <v>46126</v>
      </c>
      <c r="E3697" s="35" t="str">
        <f>IFERROR(__xludf.DUMMYFUNCTION("""COMPUTED_VALUE"""),"04Apr")</f>
        <v>04Apr</v>
      </c>
      <c r="F3697" s="35"/>
      <c r="G3697" s="35" t="str">
        <f>IFERROR(__xludf.DUMMYFUNCTION("""COMPUTED_VALUE"""),"IPOLIANA")</f>
        <v>IPOLIANA</v>
      </c>
      <c r="H3697" s="35" t="str">
        <f>IFERROR(__xludf.DUMMYFUNCTION("""COMPUTED_VALUE"""),"I7926048908")</f>
        <v>I7926048908</v>
      </c>
      <c r="I3697" s="35">
        <f>IFERROR(__xludf.DUMMYFUNCTION("""COMPUTED_VALUE"""),46.0)</f>
        <v>46</v>
      </c>
      <c r="J3697" s="35" t="str">
        <f>IFERROR(__xludf.DUMMYFUNCTION("""COMPUTED_VALUE"""),"&gt; 44 tahun")</f>
        <v>&gt; 44 tahun</v>
      </c>
      <c r="K3697" s="35" t="str">
        <f>IFERROR(__xludf.DUMMYFUNCTION("""COMPUTED_VALUE"""),"20/07/1979")</f>
        <v>20/07/1979</v>
      </c>
      <c r="L3697" s="35" t="str">
        <f>IFERROR(__xludf.DUMMYFUNCTION("""COMPUTED_VALUE"""),"PEREMPUAN")</f>
        <v>PEREMPUAN</v>
      </c>
      <c r="M3697" s="35" t="str">
        <f>IFERROR(__xludf.DUMMYFUNCTION("""COMPUTED_VALUE"""),"YA ")</f>
        <v>YA </v>
      </c>
      <c r="N3697" s="35" t="str">
        <f>IFERROR(__xludf.DUMMYFUNCTION("""COMPUTED_VALUE"""),"DSN SERUA DS PAOH CONCONG, ")</f>
        <v>DSN SERUA DS PAOH CONCONG, </v>
      </c>
      <c r="O3697" s="35" t="str">
        <f>IFERROR(__xludf.DUMMYFUNCTION("""COMPUTED_VALUE"""),"SIMPANG HULU ")</f>
        <v>SIMPANG HULU </v>
      </c>
      <c r="P3697" s="35" t="str">
        <f>IFERROR(__xludf.DUMMYFUNCTION("""COMPUTED_VALUE"""),"KETAPANG ")</f>
        <v>KETAPANG </v>
      </c>
      <c r="Q3697" s="35" t="str">
        <f>IFERROR(__xludf.DUMMYFUNCTION("""COMPUTED_VALUE"""),"KALIMANTAN BARAT ")</f>
        <v>KALIMANTAN BARAT </v>
      </c>
      <c r="R3697" s="35" t="str">
        <f>IFERROR(__xludf.DUMMYFUNCTION("""COMPUTED_VALUE"""),"PROTESTAN")</f>
        <v>PROTESTAN</v>
      </c>
      <c r="S3697" s="74" t="str">
        <f>IFERROR(__xludf.DUMMYFUNCTION("""COMPUTED_VALUE"""),"IBU RUMAH TANGGA ")</f>
        <v>IBU RUMAH TANGGA </v>
      </c>
      <c r="T3697" s="35" t="str">
        <f>IFERROR(__xludf.DUMMYFUNCTION("""COMPUTED_VALUE"""),"PAHA KIRI ")</f>
        <v>PAHA KIRI </v>
      </c>
      <c r="U3697" s="35" t="str">
        <f>IFERROR(__xludf.DUMMYFUNCTION("""COMPUTED_VALUE"""),"PEKERJA PETANI")</f>
        <v>PEKERJA PETANI</v>
      </c>
      <c r="V3697" s="35" t="str">
        <f>IFERROR(__xludf.DUMMYFUNCTION("""COMPUTED_VALUE"""),"082154438908")</f>
        <v>082154438908</v>
      </c>
      <c r="W3697" s="45"/>
    </row>
    <row r="3698">
      <c r="A3698" s="45"/>
      <c r="B3698" s="35" t="str">
        <f>IFERROR(__xludf.DUMMYFUNCTION("""COMPUTED_VALUE"""),"15/04/2026 7:54:26")</f>
        <v>15/04/2026 7:54:26</v>
      </c>
      <c r="C3698" s="35"/>
      <c r="D3698" s="10">
        <f>IFERROR(__xludf.DUMMYFUNCTION("""COMPUTED_VALUE"""),46127.0)</f>
        <v>46127</v>
      </c>
      <c r="E3698" s="35" t="str">
        <f>IFERROR(__xludf.DUMMYFUNCTION("""COMPUTED_VALUE"""),"04Apr")</f>
        <v>04Apr</v>
      </c>
      <c r="F3698" s="35"/>
      <c r="G3698" s="35" t="str">
        <f>IFERROR(__xludf.DUMMYFUNCTION("""COMPUTED_VALUE"""),"RIA ANANDA 8408")</f>
        <v>RIA ANANDA 8408</v>
      </c>
      <c r="H3698" s="35" t="str">
        <f>IFERROR(__xludf.DUMMYFUNCTION("""COMPUTED_VALUE"""),"R8426046592")</f>
        <v>R8426046592</v>
      </c>
      <c r="I3698" s="35">
        <f>IFERROR(__xludf.DUMMYFUNCTION("""COMPUTED_VALUE"""),41.0)</f>
        <v>41</v>
      </c>
      <c r="J3698" s="35" t="str">
        <f>IFERROR(__xludf.DUMMYFUNCTION("""COMPUTED_VALUE"""),"35-44 tahun")</f>
        <v>35-44 tahun</v>
      </c>
      <c r="K3698" s="35" t="str">
        <f>IFERROR(__xludf.DUMMYFUNCTION("""COMPUTED_VALUE"""),"06/08/1984")</f>
        <v>06/08/1984</v>
      </c>
      <c r="L3698" s="35" t="str">
        <f>IFERROR(__xludf.DUMMYFUNCTION("""COMPUTED_VALUE"""),"PEREMPUAN")</f>
        <v>PEREMPUAN</v>
      </c>
      <c r="M3698" s="35" t="str">
        <f>IFERROR(__xludf.DUMMYFUNCTION("""COMPUTED_VALUE"""),"JL TABRANI ACHMAD KOM GBK 2 NO A 5")</f>
        <v>JL TABRANI ACHMAD KOM GBK 2 NO A 5</v>
      </c>
      <c r="N3698" s="35" t="str">
        <f>IFERROR(__xludf.DUMMYFUNCTION("""COMPUTED_VALUE"""),"SUNGAI JAWI DALAM")</f>
        <v>SUNGAI JAWI DALAM</v>
      </c>
      <c r="O3698" s="35" t="str">
        <f>IFERROR(__xludf.DUMMYFUNCTION("""COMPUTED_VALUE"""),"PONTIANAK BARAT")</f>
        <v>PONTIANAK BARAT</v>
      </c>
      <c r="P3698" s="35" t="str">
        <f>IFERROR(__xludf.DUMMYFUNCTION("""COMPUTED_VALUE"""),"PONTIANAK")</f>
        <v>PONTIANAK</v>
      </c>
      <c r="Q3698" s="35" t="str">
        <f>IFERROR(__xludf.DUMMYFUNCTION("""COMPUTED_VALUE"""),"KALIMANTAN BARAT")</f>
        <v>KALIMANTAN BARAT</v>
      </c>
      <c r="R3698" s="35" t="str">
        <f>IFERROR(__xludf.DUMMYFUNCTION("""COMPUTED_VALUE"""),"ISLAM")</f>
        <v>ISLAM</v>
      </c>
      <c r="S3698" s="74" t="str">
        <f>IFERROR(__xludf.DUMMYFUNCTION("""COMPUTED_VALUE"""),"KARYAWATI")</f>
        <v>KARYAWATI</v>
      </c>
      <c r="T3698" s="35" t="str">
        <f>IFERROR(__xludf.DUMMYFUNCTION("""COMPUTED_VALUE"""),"PINGGANG BELAKANG PAHA SAMPAI BETIS SAKIT")</f>
        <v>PINGGANG BELAKANG PAHA SAMPAI BETIS SAKIT</v>
      </c>
      <c r="U3698" s="35" t="str">
        <f>IFERROR(__xludf.DUMMYFUNCTION("""COMPUTED_VALUE"""),"OLAHRAGA BADMINTON ")</f>
        <v>OLAHRAGA BADMINTON </v>
      </c>
      <c r="V3698" s="35" t="str">
        <f>IFERROR(__xludf.DUMMYFUNCTION("""COMPUTED_VALUE"""),"08115656592")</f>
        <v>08115656592</v>
      </c>
      <c r="W3698" s="45"/>
    </row>
    <row r="3699">
      <c r="A3699" s="45"/>
      <c r="B3699" s="35" t="str">
        <f>IFERROR(__xludf.DUMMYFUNCTION("""COMPUTED_VALUE"""),"15/04/2026 9:48:25")</f>
        <v>15/04/2026 9:48:25</v>
      </c>
      <c r="C3699" s="35"/>
      <c r="D3699" s="10">
        <f>IFERROR(__xludf.DUMMYFUNCTION("""COMPUTED_VALUE"""),46127.0)</f>
        <v>46127</v>
      </c>
      <c r="E3699" s="35" t="str">
        <f>IFERROR(__xludf.DUMMYFUNCTION("""COMPUTED_VALUE"""),"04Apr")</f>
        <v>04Apr</v>
      </c>
      <c r="F3699" s="35"/>
      <c r="G3699" s="35" t="str">
        <f>IFERROR(__xludf.DUMMYFUNCTION("""COMPUTED_VALUE"""),"EDI SUDIANDI")</f>
        <v>EDI SUDIANDI</v>
      </c>
      <c r="H3699" s="35" t="str">
        <f>IFERROR(__xludf.DUMMYFUNCTION("""COMPUTED_VALUE"""),"E0126046250")</f>
        <v>E0126046250</v>
      </c>
      <c r="I3699" s="35">
        <f>IFERROR(__xludf.DUMMYFUNCTION("""COMPUTED_VALUE"""),24.0)</f>
        <v>24</v>
      </c>
      <c r="J3699" s="35" t="str">
        <f>IFERROR(__xludf.DUMMYFUNCTION("""COMPUTED_VALUE"""),"18-24 tahun")</f>
        <v>18-24 tahun</v>
      </c>
      <c r="K3699" s="35" t="str">
        <f>IFERROR(__xludf.DUMMYFUNCTION("""COMPUTED_VALUE"""),"24/08/2001")</f>
        <v>24/08/2001</v>
      </c>
      <c r="L3699" s="35" t="str">
        <f>IFERROR(__xludf.DUMMYFUNCTION("""COMPUTED_VALUE"""),"LAKI-LAKI")</f>
        <v>LAKI-LAKI</v>
      </c>
      <c r="M3699" s="35" t="str">
        <f>IFERROR(__xludf.DUMMYFUNCTION("""COMPUTED_VALUE"""),"JL PAINI BARDAN")</f>
        <v>JL PAINI BARDAN</v>
      </c>
      <c r="N3699" s="35" t="str">
        <f>IFERROR(__xludf.DUMMYFUNCTION("""COMPUTED_VALUE"""),"TANJUNG HULU")</f>
        <v>TANJUNG HULU</v>
      </c>
      <c r="O3699" s="35" t="str">
        <f>IFERROR(__xludf.DUMMYFUNCTION("""COMPUTED_VALUE"""),"PONTIANAK TIMUR")</f>
        <v>PONTIANAK TIMUR</v>
      </c>
      <c r="P3699" s="35" t="str">
        <f>IFERROR(__xludf.DUMMYFUNCTION("""COMPUTED_VALUE"""),"PONTIANAK")</f>
        <v>PONTIANAK</v>
      </c>
      <c r="Q3699" s="35" t="str">
        <f>IFERROR(__xludf.DUMMYFUNCTION("""COMPUTED_VALUE"""),"KALIMANTAN BARAT")</f>
        <v>KALIMANTAN BARAT</v>
      </c>
      <c r="R3699" s="35" t="str">
        <f>IFERROR(__xludf.DUMMYFUNCTION("""COMPUTED_VALUE"""),"BUDDHA")</f>
        <v>BUDDHA</v>
      </c>
      <c r="S3699" s="74" t="str">
        <f>IFERROR(__xludf.DUMMYFUNCTION("""COMPUTED_VALUE"""),"KARYAWAN SWASTA")</f>
        <v>KARYAWAN SWASTA</v>
      </c>
      <c r="T3699" s="35" t="str">
        <f>IFERROR(__xludf.DUMMYFUNCTION("""COMPUTED_VALUE"""),"TFCC ATAU WRIST SPRAIN ( CEK MANDIRI DI GOOGLE )")</f>
        <v>TFCC ATAU WRIST SPRAIN ( CEK MANDIRI DI GOOGLE )</v>
      </c>
      <c r="U3699" s="35" t="str">
        <f>IFERROR(__xludf.DUMMYFUNCTION("""COMPUTED_VALUE"""),"BAMDINTON DAN PADEL")</f>
        <v>BAMDINTON DAN PADEL</v>
      </c>
      <c r="V3699" s="35" t="str">
        <f>IFERROR(__xludf.DUMMYFUNCTION("""COMPUTED_VALUE"""),"089693316250")</f>
        <v>089693316250</v>
      </c>
      <c r="W3699" s="45"/>
    </row>
    <row r="3700">
      <c r="A3700" s="45"/>
      <c r="B3700" s="35" t="str">
        <f>IFERROR(__xludf.DUMMYFUNCTION("""COMPUTED_VALUE"""),"15/04/2026 9:44:18")</f>
        <v>15/04/2026 9:44:18</v>
      </c>
      <c r="C3700" s="35"/>
      <c r="D3700" s="10">
        <f>IFERROR(__xludf.DUMMYFUNCTION("""COMPUTED_VALUE"""),46127.0)</f>
        <v>46127</v>
      </c>
      <c r="E3700" s="35" t="str">
        <f>IFERROR(__xludf.DUMMYFUNCTION("""COMPUTED_VALUE"""),"04Apr")</f>
        <v>04Apr</v>
      </c>
      <c r="F3700" s="35"/>
      <c r="G3700" s="35" t="str">
        <f>IFERROR(__xludf.DUMMYFUNCTION("""COMPUTED_VALUE"""),"RIDHO HENDRI FREDINATA ")</f>
        <v>RIDHO HENDRI FREDINATA </v>
      </c>
      <c r="H3700" s="35" t="str">
        <f>IFERROR(__xludf.DUMMYFUNCTION("""COMPUTED_VALUE"""),"R7926049747")</f>
        <v>R7926049747</v>
      </c>
      <c r="I3700" s="35">
        <f>IFERROR(__xludf.DUMMYFUNCTION("""COMPUTED_VALUE"""),46.0)</f>
        <v>46</v>
      </c>
      <c r="J3700" s="35" t="str">
        <f>IFERROR(__xludf.DUMMYFUNCTION("""COMPUTED_VALUE"""),"&gt; 44 tahun")</f>
        <v>&gt; 44 tahun</v>
      </c>
      <c r="K3700" s="35" t="str">
        <f>IFERROR(__xludf.DUMMYFUNCTION("""COMPUTED_VALUE"""),"30/10/1979")</f>
        <v>30/10/1979</v>
      </c>
      <c r="L3700" s="35" t="str">
        <f>IFERROR(__xludf.DUMMYFUNCTION("""COMPUTED_VALUE"""),"LAKI-LAKI")</f>
        <v>LAKI-LAKI</v>
      </c>
      <c r="M3700" s="35" t="str">
        <f>IFERROR(__xludf.DUMMYFUNCTION("""COMPUTED_VALUE"""),"JL. PARIT H HUSIN 2 KOMPLEK PERMATA PARIS A28 ")</f>
        <v>JL. PARIT H HUSIN 2 KOMPLEK PERMATA PARIS A28 </v>
      </c>
      <c r="N3700" s="35" t="str">
        <f>IFERROR(__xludf.DUMMYFUNCTION("""COMPUTED_VALUE"""),"BANSIR DARAT")</f>
        <v>BANSIR DARAT</v>
      </c>
      <c r="O3700" s="35" t="str">
        <f>IFERROR(__xludf.DUMMYFUNCTION("""COMPUTED_VALUE"""),"PONTIANAK TENGGARA ")</f>
        <v>PONTIANAK TENGGARA </v>
      </c>
      <c r="P3700" s="35" t="str">
        <f>IFERROR(__xludf.DUMMYFUNCTION("""COMPUTED_VALUE"""),"KOTA PONTIANAK ")</f>
        <v>KOTA PONTIANAK </v>
      </c>
      <c r="Q3700" s="35" t="str">
        <f>IFERROR(__xludf.DUMMYFUNCTION("""COMPUTED_VALUE"""),"KALBAR")</f>
        <v>KALBAR</v>
      </c>
      <c r="R3700" s="35" t="str">
        <f>IFERROR(__xludf.DUMMYFUNCTION("""COMPUTED_VALUE"""),"ISLAM")</f>
        <v>ISLAM</v>
      </c>
      <c r="S3700" s="74" t="str">
        <f>IFERROR(__xludf.DUMMYFUNCTION("""COMPUTED_VALUE"""),"KARYAWAN PERUSAHAAN ")</f>
        <v>KARYAWAN PERUSAHAAN </v>
      </c>
      <c r="T3700" s="35" t="str">
        <f>IFERROR(__xludf.DUMMYFUNCTION("""COMPUTED_VALUE"""),"SAKIT NYERI LUTUT KIRI")</f>
        <v>SAKIT NYERI LUTUT KIRI</v>
      </c>
      <c r="U3700" s="35" t="str">
        <f>IFERROR(__xludf.DUMMYFUNCTION("""COMPUTED_VALUE"""),"JATU DARI TANGGA")</f>
        <v>JATU DARI TANGGA</v>
      </c>
      <c r="V3700" s="35" t="str">
        <f>IFERROR(__xludf.DUMMYFUNCTION("""COMPUTED_VALUE"""),"081345209747")</f>
        <v>081345209747</v>
      </c>
      <c r="W3700" s="45"/>
    </row>
    <row r="3701">
      <c r="A3701" s="45"/>
      <c r="B3701" s="35" t="str">
        <f>IFERROR(__xludf.DUMMYFUNCTION("""COMPUTED_VALUE"""),"15/04/2026 10:29:15")</f>
        <v>15/04/2026 10:29:15</v>
      </c>
      <c r="C3701" s="35"/>
      <c r="D3701" s="10">
        <f>IFERROR(__xludf.DUMMYFUNCTION("""COMPUTED_VALUE"""),46127.0)</f>
        <v>46127</v>
      </c>
      <c r="E3701" s="35" t="str">
        <f>IFERROR(__xludf.DUMMYFUNCTION("""COMPUTED_VALUE"""),"04Apr")</f>
        <v>04Apr</v>
      </c>
      <c r="F3701" s="35"/>
      <c r="G3701" s="35" t="str">
        <f>IFERROR(__xludf.DUMMYFUNCTION("""COMPUTED_VALUE"""),"R. MUHAMMAD UMAR")</f>
        <v>R. MUHAMMAD UMAR</v>
      </c>
      <c r="H3701" s="35" t="str">
        <f>IFERROR(__xludf.DUMMYFUNCTION("""COMPUTED_VALUE"""),"R5526040490")</f>
        <v>R5526040490</v>
      </c>
      <c r="I3701" s="35">
        <f>IFERROR(__xludf.DUMMYFUNCTION("""COMPUTED_VALUE"""),71.0)</f>
        <v>71</v>
      </c>
      <c r="J3701" s="35" t="str">
        <f>IFERROR(__xludf.DUMMYFUNCTION("""COMPUTED_VALUE"""),"&gt; 44 tahun")</f>
        <v>&gt; 44 tahun</v>
      </c>
      <c r="K3701" s="35" t="str">
        <f>IFERROR(__xludf.DUMMYFUNCTION("""COMPUTED_VALUE"""),"24/03/1955")</f>
        <v>24/03/1955</v>
      </c>
      <c r="L3701" s="35" t="str">
        <f>IFERROR(__xludf.DUMMYFUNCTION("""COMPUTED_VALUE"""),"LAKI-LAKI")</f>
        <v>LAKI-LAKI</v>
      </c>
      <c r="M3701" s="35" t="str">
        <f>IFERROR(__xludf.DUMMYFUNCTION("""COMPUTED_VALUE"""),"JL PARIT H HUSIN 2 KOMP. ACISA PERMAI NO 60")</f>
        <v>JL PARIT H HUSIN 2 KOMP. ACISA PERMAI NO 60</v>
      </c>
      <c r="N3701" s="35" t="str">
        <f>IFERROR(__xludf.DUMMYFUNCTION("""COMPUTED_VALUE"""),"BANGKA BELITUNG DARAT ")</f>
        <v>BANGKA BELITUNG DARAT </v>
      </c>
      <c r="O3701" s="35" t="str">
        <f>IFERROR(__xludf.DUMMYFUNCTION("""COMPUTED_VALUE"""),"PONTIANAK TENGGARA ")</f>
        <v>PONTIANAK TENGGARA </v>
      </c>
      <c r="P3701" s="35" t="str">
        <f>IFERROR(__xludf.DUMMYFUNCTION("""COMPUTED_VALUE"""),"PONTIANAK ")</f>
        <v>PONTIANAK </v>
      </c>
      <c r="Q3701" s="35" t="str">
        <f>IFERROR(__xludf.DUMMYFUNCTION("""COMPUTED_VALUE"""),"KALIMANTAN BARAT")</f>
        <v>KALIMANTAN BARAT</v>
      </c>
      <c r="R3701" s="35" t="str">
        <f>IFERROR(__xludf.DUMMYFUNCTION("""COMPUTED_VALUE"""),"ISLAM")</f>
        <v>ISLAM</v>
      </c>
      <c r="S3701" s="74" t="str">
        <f>IFERROR(__xludf.DUMMYFUNCTION("""COMPUTED_VALUE"""),"PNS")</f>
        <v>PNS</v>
      </c>
      <c r="T3701" s="35" t="str">
        <f>IFERROR(__xludf.DUMMYFUNCTION("""COMPUTED_VALUE"""),"TANGAN KEBAS ")</f>
        <v>TANGAN KEBAS </v>
      </c>
      <c r="U3701" s="35" t="str">
        <f>IFERROR(__xludf.DUMMYFUNCTION("""COMPUTED_VALUE"""),"-")</f>
        <v>-</v>
      </c>
      <c r="V3701" s="35" t="str">
        <f>IFERROR(__xludf.DUMMYFUNCTION("""COMPUTED_VALUE"""),"083125500490")</f>
        <v>083125500490</v>
      </c>
      <c r="W3701" s="45"/>
    </row>
    <row r="3702">
      <c r="A3702" s="45"/>
      <c r="B3702" s="35" t="str">
        <f>IFERROR(__xludf.DUMMYFUNCTION("""COMPUTED_VALUE"""),"15/04/2026 10:36:50")</f>
        <v>15/04/2026 10:36:50</v>
      </c>
      <c r="C3702" s="35"/>
      <c r="D3702" s="10">
        <f>IFERROR(__xludf.DUMMYFUNCTION("""COMPUTED_VALUE"""),46127.0)</f>
        <v>46127</v>
      </c>
      <c r="E3702" s="35" t="str">
        <f>IFERROR(__xludf.DUMMYFUNCTION("""COMPUTED_VALUE"""),"04Apr")</f>
        <v>04Apr</v>
      </c>
      <c r="F3702" s="35"/>
      <c r="G3702" s="35" t="str">
        <f>IFERROR(__xludf.DUMMYFUNCTION("""COMPUTED_VALUE"""),"HERWIN FIDELIO SALAM")</f>
        <v>HERWIN FIDELIO SALAM</v>
      </c>
      <c r="H3702" s="35" t="str">
        <f>IFERROR(__xludf.DUMMYFUNCTION("""COMPUTED_VALUE"""),"H8426049089")</f>
        <v>H8426049089</v>
      </c>
      <c r="I3702" s="35">
        <f>IFERROR(__xludf.DUMMYFUNCTION("""COMPUTED_VALUE"""),41.0)</f>
        <v>41</v>
      </c>
      <c r="J3702" s="35" t="str">
        <f>IFERROR(__xludf.DUMMYFUNCTION("""COMPUTED_VALUE"""),"35-44 tahun")</f>
        <v>35-44 tahun</v>
      </c>
      <c r="K3702" s="35" t="str">
        <f>IFERROR(__xludf.DUMMYFUNCTION("""COMPUTED_VALUE"""),"25/08/1984")</f>
        <v>25/08/1984</v>
      </c>
      <c r="L3702" s="35" t="str">
        <f>IFERROR(__xludf.DUMMYFUNCTION("""COMPUTED_VALUE"""),"LAKI-LAKI")</f>
        <v>LAKI-LAKI</v>
      </c>
      <c r="M3702" s="35" t="str">
        <f>IFERROR(__xludf.DUMMYFUNCTION("""COMPUTED_VALUE"""),"JL. PARIT HJ HUSIN 2 KOMPLEK THE HERITAGE NO A7")</f>
        <v>JL. PARIT HJ HUSIN 2 KOMPLEK THE HERITAGE NO A7</v>
      </c>
      <c r="N3702" s="35" t="str">
        <f>IFERROR(__xludf.DUMMYFUNCTION("""COMPUTED_VALUE"""),"PONTIANAK TENGGARA")</f>
        <v>PONTIANAK TENGGARA</v>
      </c>
      <c r="O3702" s="35" t="str">
        <f>IFERROR(__xludf.DUMMYFUNCTION("""COMPUTED_VALUE"""),"BANGKA BELITUNG DARAT")</f>
        <v>BANGKA BELITUNG DARAT</v>
      </c>
      <c r="P3702" s="35" t="str">
        <f>IFERROR(__xludf.DUMMYFUNCTION("""COMPUTED_VALUE"""),"PONTIANAK")</f>
        <v>PONTIANAK</v>
      </c>
      <c r="Q3702" s="35" t="str">
        <f>IFERROR(__xludf.DUMMYFUNCTION("""COMPUTED_VALUE"""),"KALIMANTAN BARAT")</f>
        <v>KALIMANTAN BARAT</v>
      </c>
      <c r="R3702" s="35" t="str">
        <f>IFERROR(__xludf.DUMMYFUNCTION("""COMPUTED_VALUE"""),"KATOLIK")</f>
        <v>KATOLIK</v>
      </c>
      <c r="S3702" s="74" t="str">
        <f>IFERROR(__xludf.DUMMYFUNCTION("""COMPUTED_VALUE"""),"WIRASWASTA")</f>
        <v>WIRASWASTA</v>
      </c>
      <c r="T3702" s="35" t="str">
        <f>IFERROR(__xludf.DUMMYFUNCTION("""COMPUTED_VALUE"""),"SAKIT DI BAHU")</f>
        <v>SAKIT DI BAHU</v>
      </c>
      <c r="U3702" s="35" t="str">
        <f>IFERROR(__xludf.DUMMYFUNCTION("""COMPUTED_VALUE"""),"BEKERJA")</f>
        <v>BEKERJA</v>
      </c>
      <c r="V3702" s="35" t="str">
        <f>IFERROR(__xludf.DUMMYFUNCTION("""COMPUTED_VALUE"""),"081257459089")</f>
        <v>081257459089</v>
      </c>
      <c r="W3702" s="45"/>
    </row>
    <row r="3703">
      <c r="A3703" s="45"/>
      <c r="B3703" s="35" t="str">
        <f>IFERROR(__xludf.DUMMYFUNCTION("""COMPUTED_VALUE"""),"15/04/2026 15:11:56")</f>
        <v>15/04/2026 15:11:56</v>
      </c>
      <c r="C3703" s="35"/>
      <c r="D3703" s="10">
        <f>IFERROR(__xludf.DUMMYFUNCTION("""COMPUTED_VALUE"""),46127.0)</f>
        <v>46127</v>
      </c>
      <c r="E3703" s="35" t="str">
        <f>IFERROR(__xludf.DUMMYFUNCTION("""COMPUTED_VALUE"""),"04Apr")</f>
        <v>04Apr</v>
      </c>
      <c r="F3703" s="35"/>
      <c r="G3703" s="35" t="str">
        <f>IFERROR(__xludf.DUMMYFUNCTION("""COMPUTED_VALUE"""),"KURNIA SAYUNI ")</f>
        <v>KURNIA SAYUNI </v>
      </c>
      <c r="H3703" s="35" t="str">
        <f>IFERROR(__xludf.DUMMYFUNCTION("""COMPUTED_VALUE"""),"K0526043902")</f>
        <v>K0526043902</v>
      </c>
      <c r="I3703" s="35">
        <f>IFERROR(__xludf.DUMMYFUNCTION("""COMPUTED_VALUE"""),20.0)</f>
        <v>20</v>
      </c>
      <c r="J3703" s="35" t="str">
        <f>IFERROR(__xludf.DUMMYFUNCTION("""COMPUTED_VALUE"""),"18-24 tahun")</f>
        <v>18-24 tahun</v>
      </c>
      <c r="K3703" s="35" t="str">
        <f>IFERROR(__xludf.DUMMYFUNCTION("""COMPUTED_VALUE"""),"14/10/2005")</f>
        <v>14/10/2005</v>
      </c>
      <c r="L3703" s="35" t="str">
        <f>IFERROR(__xludf.DUMMYFUNCTION("""COMPUTED_VALUE"""),"PEREMPUAN")</f>
        <v>PEREMPUAN</v>
      </c>
      <c r="M3703" s="35" t="str">
        <f>IFERROR(__xludf.DUMMYFUNCTION("""COMPUTED_VALUE"""),"DUSUN APING DESA SEBUNGA")</f>
        <v>DUSUN APING DESA SEBUNGA</v>
      </c>
      <c r="N3703" s="35" t="str">
        <f>IFERROR(__xludf.DUMMYFUNCTION("""COMPUTED_VALUE"""),"SEBUNGA")</f>
        <v>SEBUNGA</v>
      </c>
      <c r="O3703" s="35" t="str">
        <f>IFERROR(__xludf.DUMMYFUNCTION("""COMPUTED_VALUE"""),"SAJINGAN BESAR")</f>
        <v>SAJINGAN BESAR</v>
      </c>
      <c r="P3703" s="35" t="str">
        <f>IFERROR(__xludf.DUMMYFUNCTION("""COMPUTED_VALUE"""),"SAMBAS")</f>
        <v>SAMBAS</v>
      </c>
      <c r="Q3703" s="35" t="str">
        <f>IFERROR(__xludf.DUMMYFUNCTION("""COMPUTED_VALUE"""),"KALIMANTAN BARAT")</f>
        <v>KALIMANTAN BARAT</v>
      </c>
      <c r="R3703" s="35" t="str">
        <f>IFERROR(__xludf.DUMMYFUNCTION("""COMPUTED_VALUE"""),"ISLAM")</f>
        <v>ISLAM</v>
      </c>
      <c r="S3703" s="74" t="str">
        <f>IFERROR(__xludf.DUMMYFUNCTION("""COMPUTED_VALUE"""),"KULIAH")</f>
        <v>KULIAH</v>
      </c>
      <c r="T3703" s="35" t="str">
        <f>IFERROR(__xludf.DUMMYFUNCTION("""COMPUTED_VALUE"""),"TULANG BENGKOK")</f>
        <v>TULANG BENGKOK</v>
      </c>
      <c r="U3703" s="35" t="str">
        <f>IFERROR(__xludf.DUMMYFUNCTION("""COMPUTED_VALUE"""),"LARI, RENANG, GYM")</f>
        <v>LARI, RENANG, GYM</v>
      </c>
      <c r="V3703" s="35" t="str">
        <f>IFERROR(__xludf.DUMMYFUNCTION("""COMPUTED_VALUE"""),"085396373902")</f>
        <v>085396373902</v>
      </c>
      <c r="W3703" s="45"/>
    </row>
    <row r="3704">
      <c r="A3704" s="45"/>
      <c r="B3704" s="35" t="str">
        <f>IFERROR(__xludf.DUMMYFUNCTION("""COMPUTED_VALUE"""),"16/04/2026 11:48:58")</f>
        <v>16/04/2026 11:48:58</v>
      </c>
      <c r="C3704" s="35"/>
      <c r="D3704" s="10">
        <f>IFERROR(__xludf.DUMMYFUNCTION("""COMPUTED_VALUE"""),46128.0)</f>
        <v>46128</v>
      </c>
      <c r="E3704" s="35" t="str">
        <f>IFERROR(__xludf.DUMMYFUNCTION("""COMPUTED_VALUE"""),"04Apr")</f>
        <v>04Apr</v>
      </c>
      <c r="F3704" s="35"/>
      <c r="G3704" s="35" t="str">
        <f>IFERROR(__xludf.DUMMYFUNCTION("""COMPUTED_VALUE"""),"AURELIA AGUSTA")</f>
        <v>AURELIA AGUSTA</v>
      </c>
      <c r="H3704" s="35" t="str">
        <f>IFERROR(__xludf.DUMMYFUNCTION("""COMPUTED_VALUE"""),"A9826049353")</f>
        <v>A9826049353</v>
      </c>
      <c r="I3704" s="35">
        <f>IFERROR(__xludf.DUMMYFUNCTION("""COMPUTED_VALUE"""),27.0)</f>
        <v>27</v>
      </c>
      <c r="J3704" s="35" t="str">
        <f>IFERROR(__xludf.DUMMYFUNCTION("""COMPUTED_VALUE"""),"25-34 tahun")</f>
        <v>25-34 tahun</v>
      </c>
      <c r="K3704" s="35" t="str">
        <f>IFERROR(__xludf.DUMMYFUNCTION("""COMPUTED_VALUE"""),"25/10/1998")</f>
        <v>25/10/1998</v>
      </c>
      <c r="L3704" s="35" t="str">
        <f>IFERROR(__xludf.DUMMYFUNCTION("""COMPUTED_VALUE"""),"PEREMPUAN")</f>
        <v>PEREMPUAN</v>
      </c>
      <c r="M3704" s="35" t="str">
        <f>IFERROR(__xludf.DUMMYFUNCTION("""COMPUTED_VALUE"""),"JL. RE MARTADINATA GG SEDERHANA")</f>
        <v>JL. RE MARTADINATA GG SEDERHANA</v>
      </c>
      <c r="N3704" s="35" t="str">
        <f>IFERROR(__xludf.DUMMYFUNCTION("""COMPUTED_VALUE"""),"SUNGAI JAWI DALAM")</f>
        <v>SUNGAI JAWI DALAM</v>
      </c>
      <c r="O3704" s="35" t="str">
        <f>IFERROR(__xludf.DUMMYFUNCTION("""COMPUTED_VALUE"""),"PONTIANAK BARAT")</f>
        <v>PONTIANAK BARAT</v>
      </c>
      <c r="P3704" s="35" t="str">
        <f>IFERROR(__xludf.DUMMYFUNCTION("""COMPUTED_VALUE"""),"KOTA PONTIANAK")</f>
        <v>KOTA PONTIANAK</v>
      </c>
      <c r="Q3704" s="35" t="str">
        <f>IFERROR(__xludf.DUMMYFUNCTION("""COMPUTED_VALUE"""),"KALIMANTAN BARAT")</f>
        <v>KALIMANTAN BARAT</v>
      </c>
      <c r="R3704" s="35" t="str">
        <f>IFERROR(__xludf.DUMMYFUNCTION("""COMPUTED_VALUE"""),"ISLAM")</f>
        <v>ISLAM</v>
      </c>
      <c r="S3704" s="74" t="str">
        <f>IFERROR(__xludf.DUMMYFUNCTION("""COMPUTED_VALUE"""),"IBU RUMAH TANGGA")</f>
        <v>IBU RUMAH TANGGA</v>
      </c>
      <c r="T3704" s="35" t="str">
        <f>IFERROR(__xludf.DUMMYFUNCTION("""COMPUTED_VALUE"""),"NYERI PINGGANG BELAKANG DAN MULAI MENJALAR KE ATAS")</f>
        <v>NYERI PINGGANG BELAKANG DAN MULAI MENJALAR KE ATAS</v>
      </c>
      <c r="U3704" s="35" t="str">
        <f>IFERROR(__xludf.DUMMYFUNCTION("""COMPUTED_VALUE"""),"NGONTEN, MENGGAMBAR MEWARNAI SEHINGGA BIASANYA DUDUK TERLALU LAMA. OLAHRAGA LARI/JOGING")</f>
        <v>NGONTEN, MENGGAMBAR MEWARNAI SEHINGGA BIASANYA DUDUK TERLALU LAMA. OLAHRAGA LARI/JOGING</v>
      </c>
      <c r="V3704" s="35" t="str">
        <f>IFERROR(__xludf.DUMMYFUNCTION("""COMPUTED_VALUE"""),"089520639353")</f>
        <v>089520639353</v>
      </c>
      <c r="W3704" s="45"/>
    </row>
    <row r="3705">
      <c r="A3705" s="45"/>
      <c r="B3705" s="35" t="str">
        <f>IFERROR(__xludf.DUMMYFUNCTION("""COMPUTED_VALUE"""),"16/04/2026 13:24:28")</f>
        <v>16/04/2026 13:24:28</v>
      </c>
      <c r="C3705" s="35"/>
      <c r="D3705" s="10">
        <f>IFERROR(__xludf.DUMMYFUNCTION("""COMPUTED_VALUE"""),46128.0)</f>
        <v>46128</v>
      </c>
      <c r="E3705" s="35" t="str">
        <f>IFERROR(__xludf.DUMMYFUNCTION("""COMPUTED_VALUE"""),"04Apr")</f>
        <v>04Apr</v>
      </c>
      <c r="F3705" s="35"/>
      <c r="G3705" s="35" t="str">
        <f>IFERROR(__xludf.DUMMYFUNCTION("""COMPUTED_VALUE"""),"DESTRIYANA D")</f>
        <v>DESTRIYANA D</v>
      </c>
      <c r="H3705" s="35" t="str">
        <f>IFERROR(__xludf.DUMMYFUNCTION("""COMPUTED_VALUE"""),"D9026042890")</f>
        <v>D9026042890</v>
      </c>
      <c r="I3705" s="35">
        <f>IFERROR(__xludf.DUMMYFUNCTION("""COMPUTED_VALUE"""),35.0)</f>
        <v>35</v>
      </c>
      <c r="J3705" s="35" t="str">
        <f>IFERROR(__xludf.DUMMYFUNCTION("""COMPUTED_VALUE"""),"35-44 tahun")</f>
        <v>35-44 tahun</v>
      </c>
      <c r="K3705" s="35" t="str">
        <f>IFERROR(__xludf.DUMMYFUNCTION("""COMPUTED_VALUE"""),"07/12/1990")</f>
        <v>07/12/1990</v>
      </c>
      <c r="L3705" s="35" t="str">
        <f>IFERROR(__xludf.DUMMYFUNCTION("""COMPUTED_VALUE"""),"PEREMPUAN")</f>
        <v>PEREMPUAN</v>
      </c>
      <c r="M3705" s="35" t="str">
        <f>IFERROR(__xludf.DUMMYFUNCTION("""COMPUTED_VALUE"""),"JL PROF M YAMIN GG KELUARGA BERSAMA NO 41")</f>
        <v>JL PROF M YAMIN GG KELUARGA BERSAMA NO 41</v>
      </c>
      <c r="N3705" s="35" t="str">
        <f>IFERROR(__xludf.DUMMYFUNCTION("""COMPUTED_VALUE"""),"KOTABARU")</f>
        <v>KOTABARU</v>
      </c>
      <c r="O3705" s="35" t="str">
        <f>IFERROR(__xludf.DUMMYFUNCTION("""COMPUTED_VALUE"""),"PONTIANAK SELATAN")</f>
        <v>PONTIANAK SELATAN</v>
      </c>
      <c r="P3705" s="35" t="str">
        <f>IFERROR(__xludf.DUMMYFUNCTION("""COMPUTED_VALUE"""),"PONTIANAK")</f>
        <v>PONTIANAK</v>
      </c>
      <c r="Q3705" s="35" t="str">
        <f>IFERROR(__xludf.DUMMYFUNCTION("""COMPUTED_VALUE"""),"KALIMANTAN BARAT")</f>
        <v>KALIMANTAN BARAT</v>
      </c>
      <c r="R3705" s="35" t="str">
        <f>IFERROR(__xludf.DUMMYFUNCTION("""COMPUTED_VALUE"""),"ISLAM")</f>
        <v>ISLAM</v>
      </c>
      <c r="S3705" s="74" t="str">
        <f>IFERROR(__xludf.DUMMYFUNCTION("""COMPUTED_VALUE"""),"PNS")</f>
        <v>PNS</v>
      </c>
      <c r="T3705" s="35" t="str">
        <f>IFERROR(__xludf.DUMMYFUNCTION("""COMPUTED_VALUE"""),"TANGAN SAKIT")</f>
        <v>TANGAN SAKIT</v>
      </c>
      <c r="U3705" s="35" t="str">
        <f>IFERROR(__xludf.DUMMYFUNCTION("""COMPUTED_VALUE"""),"VOLLY")</f>
        <v>VOLLY</v>
      </c>
      <c r="V3705" s="35" t="str">
        <f>IFERROR(__xludf.DUMMYFUNCTION("""COMPUTED_VALUE"""),"085350462890")</f>
        <v>085350462890</v>
      </c>
      <c r="W3705" s="45"/>
    </row>
    <row r="3706">
      <c r="A3706" s="45"/>
      <c r="B3706" s="35" t="str">
        <f>IFERROR(__xludf.DUMMYFUNCTION("""COMPUTED_VALUE"""),"16/04/2026 14:22:56")</f>
        <v>16/04/2026 14:22:56</v>
      </c>
      <c r="C3706" s="35"/>
      <c r="D3706" s="10">
        <f>IFERROR(__xludf.DUMMYFUNCTION("""COMPUTED_VALUE"""),46128.0)</f>
        <v>46128</v>
      </c>
      <c r="E3706" s="35" t="str">
        <f>IFERROR(__xludf.DUMMYFUNCTION("""COMPUTED_VALUE"""),"04Apr")</f>
        <v>04Apr</v>
      </c>
      <c r="F3706" s="35"/>
      <c r="G3706" s="35" t="str">
        <f>IFERROR(__xludf.DUMMYFUNCTION("""COMPUTED_VALUE"""),"TJIN DJAM")</f>
        <v>TJIN DJAM</v>
      </c>
      <c r="H3706" s="35" t="str">
        <f>IFERROR(__xludf.DUMMYFUNCTION("""COMPUTED_VALUE"""),"T2626042629")</f>
        <v>T2626042629</v>
      </c>
      <c r="I3706" s="35">
        <f>IFERROR(__xludf.DUMMYFUNCTION("""COMPUTED_VALUE"""),0.0)</f>
        <v>0</v>
      </c>
      <c r="J3706" s="35" t="str">
        <f>IFERROR(__xludf.DUMMYFUNCTION("""COMPUTED_VALUE"""),"&lt; 18 tahun")</f>
        <v>&lt; 18 tahun</v>
      </c>
      <c r="K3706" s="35" t="str">
        <f>IFERROR(__xludf.DUMMYFUNCTION("""COMPUTED_VALUE"""),"08/11/2026")</f>
        <v>08/11/2026</v>
      </c>
      <c r="L3706" s="35" t="str">
        <f>IFERROR(__xludf.DUMMYFUNCTION("""COMPUTED_VALUE"""),"PEREMPUAN")</f>
        <v>PEREMPUAN</v>
      </c>
      <c r="M3706" s="35" t="str">
        <f>IFERROR(__xludf.DUMMYFUNCTION("""COMPUTED_VALUE"""),"JL BUDI MULIA NO. 29")</f>
        <v>JL BUDI MULIA NO. 29</v>
      </c>
      <c r="N3706" s="35" t="str">
        <f>IFERROR(__xludf.DUMMYFUNCTION("""COMPUTED_VALUE"""),"PADEMANGAN BARAT")</f>
        <v>PADEMANGAN BARAT</v>
      </c>
      <c r="O3706" s="35" t="str">
        <f>IFERROR(__xludf.DUMMYFUNCTION("""COMPUTED_VALUE"""),"PADEMANGAN")</f>
        <v>PADEMANGAN</v>
      </c>
      <c r="P3706" s="35" t="str">
        <f>IFERROR(__xludf.DUMMYFUNCTION("""COMPUTED_VALUE"""),"PONTIANAK")</f>
        <v>PONTIANAK</v>
      </c>
      <c r="Q3706" s="35" t="str">
        <f>IFERROR(__xludf.DUMMYFUNCTION("""COMPUTED_VALUE"""),"KALIMANTAN BARAT")</f>
        <v>KALIMANTAN BARAT</v>
      </c>
      <c r="R3706" s="35" t="str">
        <f>IFERROR(__xludf.DUMMYFUNCTION("""COMPUTED_VALUE"""),"BUDDHA")</f>
        <v>BUDDHA</v>
      </c>
      <c r="S3706" s="74" t="str">
        <f>IFERROR(__xludf.DUMMYFUNCTION("""COMPUTED_VALUE"""),"IBU RUMAH TANGGA")</f>
        <v>IBU RUMAH TANGGA</v>
      </c>
      <c r="T3706" s="35" t="str">
        <f>IFERROR(__xludf.DUMMYFUNCTION("""COMPUTED_VALUE"""),"KAKI")</f>
        <v>KAKI</v>
      </c>
      <c r="U3706" s="35" t="str">
        <f>IFERROR(__xludf.DUMMYFUNCTION("""COMPUTED_VALUE"""),"-")</f>
        <v>-</v>
      </c>
      <c r="V3706" s="35" t="str">
        <f>IFERROR(__xludf.DUMMYFUNCTION("""COMPUTED_VALUE"""),"085799262629")</f>
        <v>085799262629</v>
      </c>
      <c r="W3706" s="45"/>
    </row>
    <row r="3707">
      <c r="A3707" s="45"/>
      <c r="B3707" s="35" t="str">
        <f>IFERROR(__xludf.DUMMYFUNCTION("""COMPUTED_VALUE"""),"16/04/2026 14:26:52")</f>
        <v>16/04/2026 14:26:52</v>
      </c>
      <c r="C3707" s="35"/>
      <c r="D3707" s="10">
        <f>IFERROR(__xludf.DUMMYFUNCTION("""COMPUTED_VALUE"""),46128.0)</f>
        <v>46128</v>
      </c>
      <c r="E3707" s="35" t="str">
        <f>IFERROR(__xludf.DUMMYFUNCTION("""COMPUTED_VALUE"""),"04Apr")</f>
        <v>04Apr</v>
      </c>
      <c r="F3707" s="35"/>
      <c r="G3707" s="35" t="str">
        <f>IFERROR(__xludf.DUMMYFUNCTION("""COMPUTED_VALUE"""),"PONTI INDAH SARI")</f>
        <v>PONTI INDAH SARI</v>
      </c>
      <c r="H3707" s="35" t="str">
        <f>IFERROR(__xludf.DUMMYFUNCTION("""COMPUTED_VALUE"""),"P9526042231")</f>
        <v>P9526042231</v>
      </c>
      <c r="I3707" s="35">
        <f>IFERROR(__xludf.DUMMYFUNCTION("""COMPUTED_VALUE"""),30.0)</f>
        <v>30</v>
      </c>
      <c r="J3707" s="35" t="str">
        <f>IFERROR(__xludf.DUMMYFUNCTION("""COMPUTED_VALUE"""),"25-34 tahun")</f>
        <v>25-34 tahun</v>
      </c>
      <c r="K3707" s="35" t="str">
        <f>IFERROR(__xludf.DUMMYFUNCTION("""COMPUTED_VALUE"""),"23/10/1995")</f>
        <v>23/10/1995</v>
      </c>
      <c r="L3707" s="35" t="str">
        <f>IFERROR(__xludf.DUMMYFUNCTION("""COMPUTED_VALUE"""),"PEREMPUAN")</f>
        <v>PEREMPUAN</v>
      </c>
      <c r="M3707" s="35" t="str">
        <f>IFERROR(__xludf.DUMMYFUNCTION("""COMPUTED_VALUE"""),"JLN ADISUCIPTO")</f>
        <v>JLN ADISUCIPTO</v>
      </c>
      <c r="N3707" s="35" t="str">
        <f>IFERROR(__xludf.DUMMYFUNCTION("""COMPUTED_VALUE"""),"PARIT BARU")</f>
        <v>PARIT BARU</v>
      </c>
      <c r="O3707" s="35" t="str">
        <f>IFERROR(__xludf.DUMMYFUNCTION("""COMPUTED_VALUE"""),"SUNGAI RAYA")</f>
        <v>SUNGAI RAYA</v>
      </c>
      <c r="P3707" s="35" t="str">
        <f>IFERROR(__xludf.DUMMYFUNCTION("""COMPUTED_VALUE"""),"KUBU RAYA")</f>
        <v>KUBU RAYA</v>
      </c>
      <c r="Q3707" s="35" t="str">
        <f>IFERROR(__xludf.DUMMYFUNCTION("""COMPUTED_VALUE"""),"KALIMANTAN BARAT")</f>
        <v>KALIMANTAN BARAT</v>
      </c>
      <c r="R3707" s="35" t="str">
        <f>IFERROR(__xludf.DUMMYFUNCTION("""COMPUTED_VALUE"""),"ISLAM")</f>
        <v>ISLAM</v>
      </c>
      <c r="S3707" s="74" t="str">
        <f>IFERROR(__xludf.DUMMYFUNCTION("""COMPUTED_VALUE"""),"IBU RUMAH TANGGA")</f>
        <v>IBU RUMAH TANGGA</v>
      </c>
      <c r="T3707" s="35" t="str">
        <f>IFERROR(__xludf.DUMMYFUNCTION("""COMPUTED_VALUE"""),"KESELEO TIDAK SEMBUH2 BERBULAN2")</f>
        <v>KESELEO TIDAK SEMBUH2 BERBULAN2</v>
      </c>
      <c r="U3707" s="35" t="str">
        <f>IFERROR(__xludf.DUMMYFUNCTION("""COMPUTED_VALUE"""),"TUMPUAN LEBIH AKTIF DI 1 KAKI. SEPERTI PANGKU ANAK, DLL")</f>
        <v>TUMPUAN LEBIH AKTIF DI 1 KAKI. SEPERTI PANGKU ANAK, DLL</v>
      </c>
      <c r="V3707" s="35" t="str">
        <f>IFERROR(__xludf.DUMMYFUNCTION("""COMPUTED_VALUE"""),"08115622231")</f>
        <v>08115622231</v>
      </c>
      <c r="W3707" s="45"/>
    </row>
    <row r="3708">
      <c r="A3708" s="45"/>
      <c r="B3708" s="35" t="str">
        <f>IFERROR(__xludf.DUMMYFUNCTION("""COMPUTED_VALUE"""),"16/04/2026 16:37:43")</f>
        <v>16/04/2026 16:37:43</v>
      </c>
      <c r="C3708" s="35"/>
      <c r="D3708" s="10">
        <f>IFERROR(__xludf.DUMMYFUNCTION("""COMPUTED_VALUE"""),46128.0)</f>
        <v>46128</v>
      </c>
      <c r="E3708" s="35" t="str">
        <f>IFERROR(__xludf.DUMMYFUNCTION("""COMPUTED_VALUE"""),"04Apr")</f>
        <v>04Apr</v>
      </c>
      <c r="F3708" s="35"/>
      <c r="G3708" s="35" t="str">
        <f>IFERROR(__xludf.DUMMYFUNCTION("""COMPUTED_VALUE"""),"MARLINA 7203")</f>
        <v>MARLINA 7203</v>
      </c>
      <c r="H3708" s="35" t="str">
        <f>IFERROR(__xludf.DUMMYFUNCTION("""COMPUTED_VALUE"""),"M7226049567")</f>
        <v>M7226049567</v>
      </c>
      <c r="I3708" s="35">
        <f>IFERROR(__xludf.DUMMYFUNCTION("""COMPUTED_VALUE"""),54.0)</f>
        <v>54</v>
      </c>
      <c r="J3708" s="35" t="str">
        <f>IFERROR(__xludf.DUMMYFUNCTION("""COMPUTED_VALUE"""),"&gt; 44 tahun")</f>
        <v>&gt; 44 tahun</v>
      </c>
      <c r="K3708" s="35" t="str">
        <f>IFERROR(__xludf.DUMMYFUNCTION("""COMPUTED_VALUE"""),"09/03/1972")</f>
        <v>09/03/1972</v>
      </c>
      <c r="L3708" s="35" t="str">
        <f>IFERROR(__xludf.DUMMYFUNCTION("""COMPUTED_VALUE"""),"PEREMPUAN")</f>
        <v>PEREMPUAN</v>
      </c>
      <c r="M3708" s="35" t="str">
        <f>IFERROR(__xludf.DUMMYFUNCTION("""COMPUTED_VALUE"""),"JALAN DANAU SENTARUM GANG ILHAM NO. 6 PONTIANAK")</f>
        <v>JALAN DANAU SENTARUM GANG ILHAM NO. 6 PONTIANAK</v>
      </c>
      <c r="N3708" s="35" t="str">
        <f>IFERROR(__xludf.DUMMYFUNCTION("""COMPUTED_VALUE"""),"SUNGAI BANGKONG")</f>
        <v>SUNGAI BANGKONG</v>
      </c>
      <c r="O3708" s="35" t="str">
        <f>IFERROR(__xludf.DUMMYFUNCTION("""COMPUTED_VALUE"""),"PONTIANAK KOTA")</f>
        <v>PONTIANAK KOTA</v>
      </c>
      <c r="P3708" s="35" t="str">
        <f>IFERROR(__xludf.DUMMYFUNCTION("""COMPUTED_VALUE"""),"PONTIANAK")</f>
        <v>PONTIANAK</v>
      </c>
      <c r="Q3708" s="35" t="str">
        <f>IFERROR(__xludf.DUMMYFUNCTION("""COMPUTED_VALUE"""),"KALIMANTAN BARAT")</f>
        <v>KALIMANTAN BARAT</v>
      </c>
      <c r="R3708" s="35" t="str">
        <f>IFERROR(__xludf.DUMMYFUNCTION("""COMPUTED_VALUE"""),"ISLAM")</f>
        <v>ISLAM</v>
      </c>
      <c r="S3708" s="74" t="str">
        <f>IFERROR(__xludf.DUMMYFUNCTION("""COMPUTED_VALUE"""),"GURU TK")</f>
        <v>GURU TK</v>
      </c>
      <c r="T3708" s="35" t="str">
        <f>IFERROR(__xludf.DUMMYFUNCTION("""COMPUTED_VALUE"""),"NYERI DI PERSENDIAN LENGAN KIRI")</f>
        <v>NYERI DI PERSENDIAN LENGAN KIRI</v>
      </c>
      <c r="U3708" s="35" t="str">
        <f>IFERROR(__xludf.DUMMYFUNCTION("""COMPUTED_VALUE"""),"KURANG GERAK, KURANG MINUM, KURANG ISTIRAHAT, GANGGUAN FUNGSI SYARAF")</f>
        <v>KURANG GERAK, KURANG MINUM, KURANG ISTIRAHAT, GANGGUAN FUNGSI SYARAF</v>
      </c>
      <c r="V3708" s="35" t="str">
        <f>IFERROR(__xludf.DUMMYFUNCTION("""COMPUTED_VALUE"""),"081257599567")</f>
        <v>081257599567</v>
      </c>
      <c r="W3708" s="45"/>
    </row>
    <row r="3709">
      <c r="A3709" s="45"/>
      <c r="B3709" s="35" t="str">
        <f>IFERROR(__xludf.DUMMYFUNCTION("""COMPUTED_VALUE"""),"18/04/2026 9:39:18")</f>
        <v>18/04/2026 9:39:18</v>
      </c>
      <c r="C3709" s="35"/>
      <c r="D3709" s="10">
        <f>IFERROR(__xludf.DUMMYFUNCTION("""COMPUTED_VALUE"""),46130.0)</f>
        <v>46130</v>
      </c>
      <c r="E3709" s="35" t="str">
        <f>IFERROR(__xludf.DUMMYFUNCTION("""COMPUTED_VALUE"""),"04Apr")</f>
        <v>04Apr</v>
      </c>
      <c r="F3709" s="35"/>
      <c r="G3709" s="35" t="str">
        <f>IFERROR(__xludf.DUMMYFUNCTION("""COMPUTED_VALUE"""),"XAVIO AXELL")</f>
        <v>XAVIO AXELL</v>
      </c>
      <c r="H3709" s="35" t="str">
        <f>IFERROR(__xludf.DUMMYFUNCTION("""COMPUTED_VALUE"""),"X1726047998")</f>
        <v>X1726047998</v>
      </c>
      <c r="I3709" s="35">
        <f>IFERROR(__xludf.DUMMYFUNCTION("""COMPUTED_VALUE"""),9.0)</f>
        <v>9</v>
      </c>
      <c r="J3709" s="35" t="str">
        <f>IFERROR(__xludf.DUMMYFUNCTION("""COMPUTED_VALUE"""),"&lt; 18 tahun")</f>
        <v>&lt; 18 tahun</v>
      </c>
      <c r="K3709" s="35" t="str">
        <f>IFERROR(__xludf.DUMMYFUNCTION("""COMPUTED_VALUE"""),"11/01/2017")</f>
        <v>11/01/2017</v>
      </c>
      <c r="L3709" s="35" t="str">
        <f>IFERROR(__xludf.DUMMYFUNCTION("""COMPUTED_VALUE"""),"LAKI-LAKI")</f>
        <v>LAKI-LAKI</v>
      </c>
      <c r="M3709" s="35" t="str">
        <f>IFERROR(__xludf.DUMMYFUNCTION("""COMPUTED_VALUE"""),"JL PARIT HJ HUSIN 2 KOMPLEK THE HERITAGE A7")</f>
        <v>JL PARIT HJ HUSIN 2 KOMPLEK THE HERITAGE A7</v>
      </c>
      <c r="N3709" s="35" t="str">
        <f>IFERROR(__xludf.DUMMYFUNCTION("""COMPUTED_VALUE"""),"BANGKA BELITUNG DARAT")</f>
        <v>BANGKA BELITUNG DARAT</v>
      </c>
      <c r="O3709" s="35" t="str">
        <f>IFERROR(__xludf.DUMMYFUNCTION("""COMPUTED_VALUE"""),"PONTIANAK TENGGARA")</f>
        <v>PONTIANAK TENGGARA</v>
      </c>
      <c r="P3709" s="35" t="str">
        <f>IFERROR(__xludf.DUMMYFUNCTION("""COMPUTED_VALUE"""),"PONTIANAK")</f>
        <v>PONTIANAK</v>
      </c>
      <c r="Q3709" s="35" t="str">
        <f>IFERROR(__xludf.DUMMYFUNCTION("""COMPUTED_VALUE"""),"KALIMANTAN BARAT")</f>
        <v>KALIMANTAN BARAT</v>
      </c>
      <c r="R3709" s="35" t="str">
        <f>IFERROR(__xludf.DUMMYFUNCTION("""COMPUTED_VALUE"""),"KATOLIK")</f>
        <v>KATOLIK</v>
      </c>
      <c r="S3709" s="74" t="str">
        <f>IFERROR(__xludf.DUMMYFUNCTION("""COMPUTED_VALUE"""),"PELAJAR")</f>
        <v>PELAJAR</v>
      </c>
      <c r="T3709" s="35" t="str">
        <f>IFERROR(__xludf.DUMMYFUNCTION("""COMPUTED_VALUE"""),"SAKIT DI PAHA")</f>
        <v>SAKIT DI PAHA</v>
      </c>
      <c r="U3709" s="35" t="str">
        <f>IFERROR(__xludf.DUMMYFUNCTION("""COMPUTED_VALUE"""),"SKOLAH")</f>
        <v>SKOLAH</v>
      </c>
      <c r="V3709" s="35" t="str">
        <f>IFERROR(__xludf.DUMMYFUNCTION("""COMPUTED_VALUE"""),"081345087998")</f>
        <v>081345087998</v>
      </c>
      <c r="W3709" s="45"/>
    </row>
    <row r="3710">
      <c r="A3710" s="45"/>
      <c r="B3710" s="35" t="str">
        <f>IFERROR(__xludf.DUMMYFUNCTION("""COMPUTED_VALUE"""),"18/04/2026 9:07:45")</f>
        <v>18/04/2026 9:07:45</v>
      </c>
      <c r="C3710" s="35"/>
      <c r="D3710" s="10">
        <f>IFERROR(__xludf.DUMMYFUNCTION("""COMPUTED_VALUE"""),46130.0)</f>
        <v>46130</v>
      </c>
      <c r="E3710" s="35" t="str">
        <f>IFERROR(__xludf.DUMMYFUNCTION("""COMPUTED_VALUE"""),"04Apr")</f>
        <v>04Apr</v>
      </c>
      <c r="F3710" s="35"/>
      <c r="G3710" s="35" t="str">
        <f>IFERROR(__xludf.DUMMYFUNCTION("""COMPUTED_VALUE"""),"M.RIDHO TORIS MEIDIANO ")</f>
        <v>M.RIDHO TORIS MEIDIANO </v>
      </c>
      <c r="H3710" s="35" t="str">
        <f>IFERROR(__xludf.DUMMYFUNCTION("""COMPUTED_VALUE"""),"M0926042104")</f>
        <v>M0926042104</v>
      </c>
      <c r="I3710" s="35">
        <f>IFERROR(__xludf.DUMMYFUNCTION("""COMPUTED_VALUE"""),17.0)</f>
        <v>17</v>
      </c>
      <c r="J3710" s="35" t="str">
        <f>IFERROR(__xludf.DUMMYFUNCTION("""COMPUTED_VALUE"""),"&lt; 18 tahun")</f>
        <v>&lt; 18 tahun</v>
      </c>
      <c r="K3710" s="35" t="str">
        <f>IFERROR(__xludf.DUMMYFUNCTION("""COMPUTED_VALUE"""),"26/05/2009")</f>
        <v>26/05/2009</v>
      </c>
      <c r="L3710" s="35" t="str">
        <f>IFERROR(__xludf.DUMMYFUNCTION("""COMPUTED_VALUE"""),"LAKI-LAKI")</f>
        <v>LAKI-LAKI</v>
      </c>
      <c r="M3710" s="35" t="str">
        <f>IFERROR(__xludf.DUMMYFUNCTION("""COMPUTED_VALUE"""),"JL. KARYA BARU TENGAH GG. KARYA BARU TENGAH NO 11")</f>
        <v>JL. KARYA BARU TENGAH GG. KARYA BARU TENGAH NO 11</v>
      </c>
      <c r="N3710" s="35" t="str">
        <f>IFERROR(__xludf.DUMMYFUNCTION("""COMPUTED_VALUE"""),"PARIT TOKAYA")</f>
        <v>PARIT TOKAYA</v>
      </c>
      <c r="O3710" s="35" t="str">
        <f>IFERROR(__xludf.DUMMYFUNCTION("""COMPUTED_VALUE"""),"PONTIANAK SELATAN")</f>
        <v>PONTIANAK SELATAN</v>
      </c>
      <c r="P3710" s="35" t="str">
        <f>IFERROR(__xludf.DUMMYFUNCTION("""COMPUTED_VALUE"""),"PONTIANAK ")</f>
        <v>PONTIANAK </v>
      </c>
      <c r="Q3710" s="35" t="str">
        <f>IFERROR(__xludf.DUMMYFUNCTION("""COMPUTED_VALUE"""),"KALIMANTAN BARAT")</f>
        <v>KALIMANTAN BARAT</v>
      </c>
      <c r="R3710" s="35" t="str">
        <f>IFERROR(__xludf.DUMMYFUNCTION("""COMPUTED_VALUE"""),"ISLAM")</f>
        <v>ISLAM</v>
      </c>
      <c r="S3710" s="74" t="str">
        <f>IFERROR(__xludf.DUMMYFUNCTION("""COMPUTED_VALUE"""),"PELAJAR")</f>
        <v>PELAJAR</v>
      </c>
      <c r="T3710" s="35" t="str">
        <f>IFERROR(__xludf.DUMMYFUNCTION("""COMPUTED_VALUE"""),"KRAM KAKI KETIKA PERTANDNGAN SEPAKBOLA SUDAH 2 KALI PERTANDINGAN")</f>
        <v>KRAM KAKI KETIKA PERTANDNGAN SEPAKBOLA SUDAH 2 KALI PERTANDINGAN</v>
      </c>
      <c r="U3710" s="35" t="str">
        <f>IFERROR(__xludf.DUMMYFUNCTION("""COMPUTED_VALUE"""),"SEPAKBOLA DAN FUTSAL")</f>
        <v>SEPAKBOLA DAN FUTSAL</v>
      </c>
      <c r="V3710" s="35" t="str">
        <f>IFERROR(__xludf.DUMMYFUNCTION("""COMPUTED_VALUE"""),"085349132104")</f>
        <v>085349132104</v>
      </c>
      <c r="W3710" s="45"/>
    </row>
    <row r="3711">
      <c r="A3711" s="45"/>
      <c r="B3711" s="35" t="str">
        <f>IFERROR(__xludf.DUMMYFUNCTION("""COMPUTED_VALUE"""),"18/04/2026 13:30:01")</f>
        <v>18/04/2026 13:30:01</v>
      </c>
      <c r="C3711" s="35"/>
      <c r="D3711" s="10">
        <f>IFERROR(__xludf.DUMMYFUNCTION("""COMPUTED_VALUE"""),46130.0)</f>
        <v>46130</v>
      </c>
      <c r="E3711" s="35" t="str">
        <f>IFERROR(__xludf.DUMMYFUNCTION("""COMPUTED_VALUE"""),"04Apr")</f>
        <v>04Apr</v>
      </c>
      <c r="F3711" s="35"/>
      <c r="G3711" s="35" t="str">
        <f>IFERROR(__xludf.DUMMYFUNCTION("""COMPUTED_VALUE"""),"NURHASANAH S.AG")</f>
        <v>NURHASANAH S.AG</v>
      </c>
      <c r="H3711" s="35" t="str">
        <f>IFERROR(__xludf.DUMMYFUNCTION("""COMPUTED_VALUE"""),"N7226047362")</f>
        <v>N7226047362</v>
      </c>
      <c r="I3711" s="35">
        <f>IFERROR(__xludf.DUMMYFUNCTION("""COMPUTED_VALUE"""),53.0)</f>
        <v>53</v>
      </c>
      <c r="J3711" s="35" t="str">
        <f>IFERROR(__xludf.DUMMYFUNCTION("""COMPUTED_VALUE"""),"&gt; 44 tahun")</f>
        <v>&gt; 44 tahun</v>
      </c>
      <c r="K3711" s="35" t="str">
        <f>IFERROR(__xludf.DUMMYFUNCTION("""COMPUTED_VALUE"""),"07/11/1972")</f>
        <v>07/11/1972</v>
      </c>
      <c r="L3711" s="35" t="str">
        <f>IFERROR(__xludf.DUMMYFUNCTION("""COMPUTED_VALUE"""),"PEREMPUAN")</f>
        <v>PEREMPUAN</v>
      </c>
      <c r="M3711" s="35" t="str">
        <f>IFERROR(__xludf.DUMMYFUNCTION("""COMPUTED_VALUE"""),"JL AMPERA GG CAHAYA N0 17")</f>
        <v>JL AMPERA GG CAHAYA N0 17</v>
      </c>
      <c r="N3711" s="35" t="str">
        <f>IFERROR(__xludf.DUMMYFUNCTION("""COMPUTED_VALUE"""),"SUNGAI JAWI")</f>
        <v>SUNGAI JAWI</v>
      </c>
      <c r="O3711" s="35" t="str">
        <f>IFERROR(__xludf.DUMMYFUNCTION("""COMPUTED_VALUE"""),"PONTIANAK KOTA")</f>
        <v>PONTIANAK KOTA</v>
      </c>
      <c r="P3711" s="35" t="str">
        <f>IFERROR(__xludf.DUMMYFUNCTION("""COMPUTED_VALUE"""),"PONTIANAK")</f>
        <v>PONTIANAK</v>
      </c>
      <c r="Q3711" s="35" t="str">
        <f>IFERROR(__xludf.DUMMYFUNCTION("""COMPUTED_VALUE"""),"KALIMANTAN BARAT")</f>
        <v>KALIMANTAN BARAT</v>
      </c>
      <c r="R3711" s="35" t="str">
        <f>IFERROR(__xludf.DUMMYFUNCTION("""COMPUTED_VALUE"""),"ISLAM")</f>
        <v>ISLAM</v>
      </c>
      <c r="S3711" s="74" t="str">
        <f>IFERROR(__xludf.DUMMYFUNCTION("""COMPUTED_VALUE"""),"WIRASWASTA")</f>
        <v>WIRASWASTA</v>
      </c>
      <c r="T3711" s="35" t="str">
        <f>IFERROR(__xludf.DUMMYFUNCTION("""COMPUTED_VALUE"""),"PANTAT")</f>
        <v>PANTAT</v>
      </c>
      <c r="U3711" s="35" t="str">
        <f>IFERROR(__xludf.DUMMYFUNCTION("""COMPUTED_VALUE"""),"-")</f>
        <v>-</v>
      </c>
      <c r="V3711" s="35" t="str">
        <f>IFERROR(__xludf.DUMMYFUNCTION("""COMPUTED_VALUE"""),"085347957362")</f>
        <v>085347957362</v>
      </c>
      <c r="W3711" s="45"/>
    </row>
    <row r="3712">
      <c r="A3712" s="45"/>
      <c r="B3712" s="35" t="str">
        <f>IFERROR(__xludf.DUMMYFUNCTION("""COMPUTED_VALUE"""),"18/04/2026 14:31:58")</f>
        <v>18/04/2026 14:31:58</v>
      </c>
      <c r="C3712" s="35"/>
      <c r="D3712" s="10">
        <f>IFERROR(__xludf.DUMMYFUNCTION("""COMPUTED_VALUE"""),46130.0)</f>
        <v>46130</v>
      </c>
      <c r="E3712" s="35" t="str">
        <f>IFERROR(__xludf.DUMMYFUNCTION("""COMPUTED_VALUE"""),"04Apr")</f>
        <v>04Apr</v>
      </c>
      <c r="F3712" s="35"/>
      <c r="G3712" s="35" t="str">
        <f>IFERROR(__xludf.DUMMYFUNCTION("""COMPUTED_VALUE"""),"TIFANY NATHASYA")</f>
        <v>TIFANY NATHASYA</v>
      </c>
      <c r="H3712" s="35" t="str">
        <f>IFERROR(__xludf.DUMMYFUNCTION("""COMPUTED_VALUE"""),"T9826043156")</f>
        <v>T9826043156</v>
      </c>
      <c r="I3712" s="35">
        <f>IFERROR(__xludf.DUMMYFUNCTION("""COMPUTED_VALUE"""),28.0)</f>
        <v>28</v>
      </c>
      <c r="J3712" s="35" t="str">
        <f>IFERROR(__xludf.DUMMYFUNCTION("""COMPUTED_VALUE"""),"25-34 tahun")</f>
        <v>25-34 tahun</v>
      </c>
      <c r="K3712" s="35" t="str">
        <f>IFERROR(__xludf.DUMMYFUNCTION("""COMPUTED_VALUE"""),"04/01/1998")</f>
        <v>04/01/1998</v>
      </c>
      <c r="L3712" s="35" t="str">
        <f>IFERROR(__xludf.DUMMYFUNCTION("""COMPUTED_VALUE"""),"PEREMPUAN")</f>
        <v>PEREMPUAN</v>
      </c>
      <c r="M3712" s="35" t="str">
        <f>IFERROR(__xludf.DUMMYFUNCTION("""COMPUTED_VALUE"""),"GG. MELATI NO. 3")</f>
        <v>GG. MELATI NO. 3</v>
      </c>
      <c r="N3712" s="35" t="str">
        <f>IFERROR(__xludf.DUMMYFUNCTION("""COMPUTED_VALUE"""),"PARIT BARU")</f>
        <v>PARIT BARU</v>
      </c>
      <c r="O3712" s="35" t="str">
        <f>IFERROR(__xludf.DUMMYFUNCTION("""COMPUTED_VALUE"""),"SUNGAI RAYA")</f>
        <v>SUNGAI RAYA</v>
      </c>
      <c r="P3712" s="35" t="str">
        <f>IFERROR(__xludf.DUMMYFUNCTION("""COMPUTED_VALUE"""),"KUBU RAYA")</f>
        <v>KUBU RAYA</v>
      </c>
      <c r="Q3712" s="35" t="str">
        <f>IFERROR(__xludf.DUMMYFUNCTION("""COMPUTED_VALUE"""),"KALIMANTAN BARAT")</f>
        <v>KALIMANTAN BARAT</v>
      </c>
      <c r="R3712" s="35" t="str">
        <f>IFERROR(__xludf.DUMMYFUNCTION("""COMPUTED_VALUE"""),"KATOLIK")</f>
        <v>KATOLIK</v>
      </c>
      <c r="S3712" s="74" t="str">
        <f>IFERROR(__xludf.DUMMYFUNCTION("""COMPUTED_VALUE"""),"WIRASWASTA")</f>
        <v>WIRASWASTA</v>
      </c>
      <c r="T3712" s="35" t="str">
        <f>IFERROR(__xludf.DUMMYFUNCTION("""COMPUTED_VALUE"""),"NYERI DARI PINGGANG KE BETIS")</f>
        <v>NYERI DARI PINGGANG KE BETIS</v>
      </c>
      <c r="U3712" s="35" t="str">
        <f>IFERROR(__xludf.DUMMYFUNCTION("""COMPUTED_VALUE"""),"GYM")</f>
        <v>GYM</v>
      </c>
      <c r="V3712" s="35" t="str">
        <f>IFERROR(__xludf.DUMMYFUNCTION("""COMPUTED_VALUE"""),"082158363156")</f>
        <v>082158363156</v>
      </c>
      <c r="W3712" s="45"/>
    </row>
    <row r="3713">
      <c r="A3713" s="45"/>
      <c r="B3713" s="35" t="str">
        <f>IFERROR(__xludf.DUMMYFUNCTION("""COMPUTED_VALUE"""),"18/04/2026 16:23:43")</f>
        <v>18/04/2026 16:23:43</v>
      </c>
      <c r="C3713" s="35"/>
      <c r="D3713" s="10">
        <f>IFERROR(__xludf.DUMMYFUNCTION("""COMPUTED_VALUE"""),46130.0)</f>
        <v>46130</v>
      </c>
      <c r="E3713" s="35" t="str">
        <f>IFERROR(__xludf.DUMMYFUNCTION("""COMPUTED_VALUE"""),"04Apr")</f>
        <v>04Apr</v>
      </c>
      <c r="F3713" s="35"/>
      <c r="G3713" s="35" t="str">
        <f>IFERROR(__xludf.DUMMYFUNCTION("""COMPUTED_VALUE"""),"AHMAD BUDI FAUSTAL")</f>
        <v>AHMAD BUDI FAUSTAL</v>
      </c>
      <c r="H3713" s="35" t="str">
        <f>IFERROR(__xludf.DUMMYFUNCTION("""COMPUTED_VALUE"""),"A1626045056")</f>
        <v>A1626045056</v>
      </c>
      <c r="I3713" s="35">
        <f>IFERROR(__xludf.DUMMYFUNCTION("""COMPUTED_VALUE"""),10.0)</f>
        <v>10</v>
      </c>
      <c r="J3713" s="35" t="str">
        <f>IFERROR(__xludf.DUMMYFUNCTION("""COMPUTED_VALUE"""),"&lt; 18 tahun")</f>
        <v>&lt; 18 tahun</v>
      </c>
      <c r="K3713" s="35" t="str">
        <f>IFERROR(__xludf.DUMMYFUNCTION("""COMPUTED_VALUE"""),"28/01/2016")</f>
        <v>28/01/2016</v>
      </c>
      <c r="L3713" s="35" t="str">
        <f>IFERROR(__xludf.DUMMYFUNCTION("""COMPUTED_VALUE"""),"LAKI-LAKI")</f>
        <v>LAKI-LAKI</v>
      </c>
      <c r="M3713" s="35" t="str">
        <f>IFERROR(__xludf.DUMMYFUNCTION("""COMPUTED_VALUE"""),"JL PURNAMA 1 KOMP PURNAMA PERMAI G/5")</f>
        <v>JL PURNAMA 1 KOMP PURNAMA PERMAI G/5</v>
      </c>
      <c r="N3713" s="35" t="str">
        <f>IFERROR(__xludf.DUMMYFUNCTION("""COMPUTED_VALUE"""),"PARIT TOKAYA")</f>
        <v>PARIT TOKAYA</v>
      </c>
      <c r="O3713" s="35" t="str">
        <f>IFERROR(__xludf.DUMMYFUNCTION("""COMPUTED_VALUE"""),"PONTIANAK SELATAN")</f>
        <v>PONTIANAK SELATAN</v>
      </c>
      <c r="P3713" s="35" t="str">
        <f>IFERROR(__xludf.DUMMYFUNCTION("""COMPUTED_VALUE"""),"PONTIANAK")</f>
        <v>PONTIANAK</v>
      </c>
      <c r="Q3713" s="35" t="str">
        <f>IFERROR(__xludf.DUMMYFUNCTION("""COMPUTED_VALUE"""),"KALIMANTAN BARAT")</f>
        <v>KALIMANTAN BARAT</v>
      </c>
      <c r="R3713" s="35" t="str">
        <f>IFERROR(__xludf.DUMMYFUNCTION("""COMPUTED_VALUE"""),"ISLAM")</f>
        <v>ISLAM</v>
      </c>
      <c r="S3713" s="74" t="str">
        <f>IFERROR(__xludf.DUMMYFUNCTION("""COMPUTED_VALUE"""),"PELAJAR")</f>
        <v>PELAJAR</v>
      </c>
      <c r="T3713" s="35" t="str">
        <f>IFERROR(__xludf.DUMMYFUNCTION("""COMPUTED_VALUE"""),"KAKI SUKA JINJIT")</f>
        <v>KAKI SUKA JINJIT</v>
      </c>
      <c r="U3713" s="35" t="str">
        <f>IFERROR(__xludf.DUMMYFUNCTION("""COMPUTED_VALUE"""),"-")</f>
        <v>-</v>
      </c>
      <c r="V3713" s="35" t="str">
        <f>IFERROR(__xludf.DUMMYFUNCTION("""COMPUTED_VALUE"""),"08125745056")</f>
        <v>08125745056</v>
      </c>
      <c r="W3713" s="45"/>
    </row>
    <row r="3714">
      <c r="A3714" s="45"/>
      <c r="B3714" s="35" t="str">
        <f>IFERROR(__xludf.DUMMYFUNCTION("""COMPUTED_VALUE"""),"18/04/2026 18:43:33")</f>
        <v>18/04/2026 18:43:33</v>
      </c>
      <c r="C3714" s="35"/>
      <c r="D3714" s="10">
        <f>IFERROR(__xludf.DUMMYFUNCTION("""COMPUTED_VALUE"""),46130.0)</f>
        <v>46130</v>
      </c>
      <c r="E3714" s="35" t="str">
        <f>IFERROR(__xludf.DUMMYFUNCTION("""COMPUTED_VALUE"""),"04Apr")</f>
        <v>04Apr</v>
      </c>
      <c r="F3714" s="35"/>
      <c r="G3714" s="35" t="str">
        <f>IFERROR(__xludf.DUMMYFUNCTION("""COMPUTED_VALUE"""),"FIRMAN 9407")</f>
        <v>FIRMAN 9407</v>
      </c>
      <c r="H3714" s="35" t="str">
        <f>IFERROR(__xludf.DUMMYFUNCTION("""COMPUTED_VALUE"""),"F9426041922")</f>
        <v>F9426041922</v>
      </c>
      <c r="I3714" s="35">
        <f>IFERROR(__xludf.DUMMYFUNCTION("""COMPUTED_VALUE"""),31.0)</f>
        <v>31</v>
      </c>
      <c r="J3714" s="35" t="str">
        <f>IFERROR(__xludf.DUMMYFUNCTION("""COMPUTED_VALUE"""),"25-34 tahun")</f>
        <v>25-34 tahun</v>
      </c>
      <c r="K3714" s="35" t="str">
        <f>IFERROR(__xludf.DUMMYFUNCTION("""COMPUTED_VALUE"""),"17/07/1994")</f>
        <v>17/07/1994</v>
      </c>
      <c r="L3714" s="35" t="str">
        <f>IFERROR(__xludf.DUMMYFUNCTION("""COMPUTED_VALUE"""),"LAKI-LAKI")</f>
        <v>LAKI-LAKI</v>
      </c>
      <c r="M3714" s="35" t="str">
        <f>IFERROR(__xludf.DUMMYFUNCTION("""COMPUTED_VALUE"""),"JL KHATULISTIWA GANG FAMILI 001/006")</f>
        <v>JL KHATULISTIWA GANG FAMILI 001/006</v>
      </c>
      <c r="N3714" s="35" t="str">
        <f>IFERROR(__xludf.DUMMYFUNCTION("""COMPUTED_VALUE"""),"BATU LAYANG")</f>
        <v>BATU LAYANG</v>
      </c>
      <c r="O3714" s="35" t="str">
        <f>IFERROR(__xludf.DUMMYFUNCTION("""COMPUTED_VALUE"""),"PONTIANAK UTARA")</f>
        <v>PONTIANAK UTARA</v>
      </c>
      <c r="P3714" s="35" t="str">
        <f>IFERROR(__xludf.DUMMYFUNCTION("""COMPUTED_VALUE"""),"PONTIANAK")</f>
        <v>PONTIANAK</v>
      </c>
      <c r="Q3714" s="35" t="str">
        <f>IFERROR(__xludf.DUMMYFUNCTION("""COMPUTED_VALUE"""),"KALIMANTAN BARAT")</f>
        <v>KALIMANTAN BARAT</v>
      </c>
      <c r="R3714" s="35" t="str">
        <f>IFERROR(__xludf.DUMMYFUNCTION("""COMPUTED_VALUE"""),"ISLAM")</f>
        <v>ISLAM</v>
      </c>
      <c r="S3714" s="74" t="str">
        <f>IFERROR(__xludf.DUMMYFUNCTION("""COMPUTED_VALUE"""),"MAHASISWA")</f>
        <v>MAHASISWA</v>
      </c>
      <c r="T3714" s="35" t="str">
        <f>IFERROR(__xludf.DUMMYFUNCTION("""COMPUTED_VALUE"""),"PINGGANG")</f>
        <v>PINGGANG</v>
      </c>
      <c r="U3714" s="35" t="str">
        <f>IFERROR(__xludf.DUMMYFUNCTION("""COMPUTED_VALUE"""),"-")</f>
        <v>-</v>
      </c>
      <c r="V3714" s="35" t="str">
        <f>IFERROR(__xludf.DUMMYFUNCTION("""COMPUTED_VALUE"""),"08979131922")</f>
        <v>08979131922</v>
      </c>
      <c r="W3714" s="45"/>
    </row>
    <row r="3715">
      <c r="A3715" s="45"/>
      <c r="B3715" s="35" t="str">
        <f>IFERROR(__xludf.DUMMYFUNCTION("""COMPUTED_VALUE"""),"19/04/2026 10:57:35")</f>
        <v>19/04/2026 10:57:35</v>
      </c>
      <c r="C3715" s="35"/>
      <c r="D3715" s="10">
        <f>IFERROR(__xludf.DUMMYFUNCTION("""COMPUTED_VALUE"""),46131.0)</f>
        <v>46131</v>
      </c>
      <c r="E3715" s="35" t="str">
        <f>IFERROR(__xludf.DUMMYFUNCTION("""COMPUTED_VALUE"""),"04Apr")</f>
        <v>04Apr</v>
      </c>
      <c r="F3715" s="35"/>
      <c r="G3715" s="35" t="str">
        <f>IFERROR(__xludf.DUMMYFUNCTION("""COMPUTED_VALUE"""),"VINSEN NOVENTA")</f>
        <v>VINSEN NOVENTA</v>
      </c>
      <c r="H3715" s="35" t="str">
        <f>IFERROR(__xludf.DUMMYFUNCTION("""COMPUTED_VALUE"""),"V0326042735")</f>
        <v>V0326042735</v>
      </c>
      <c r="I3715" s="35">
        <f>IFERROR(__xludf.DUMMYFUNCTION("""COMPUTED_VALUE"""),22.0)</f>
        <v>22</v>
      </c>
      <c r="J3715" s="35" t="str">
        <f>IFERROR(__xludf.DUMMYFUNCTION("""COMPUTED_VALUE"""),"18-24 tahun")</f>
        <v>18-24 tahun</v>
      </c>
      <c r="K3715" s="35" t="str">
        <f>IFERROR(__xludf.DUMMYFUNCTION("""COMPUTED_VALUE"""),"15/11/2003")</f>
        <v>15/11/2003</v>
      </c>
      <c r="L3715" s="35" t="str">
        <f>IFERROR(__xludf.DUMMYFUNCTION("""COMPUTED_VALUE"""),"LAKI-LAKI")</f>
        <v>LAKI-LAKI</v>
      </c>
      <c r="M3715" s="35" t="str">
        <f>IFERROR(__xludf.DUMMYFUNCTION("""COMPUTED_VALUE"""),"JL ADI SUCIPTO KOMP PD KITA A18")</f>
        <v>JL ADI SUCIPTO KOMP PD KITA A18</v>
      </c>
      <c r="N3715" s="35" t="str">
        <f>IFERROR(__xludf.DUMMYFUNCTION("""COMPUTED_VALUE"""),"TELUK KAPUAS")</f>
        <v>TELUK KAPUAS</v>
      </c>
      <c r="O3715" s="35" t="str">
        <f>IFERROR(__xludf.DUMMYFUNCTION("""COMPUTED_VALUE"""),"SUI RAYA")</f>
        <v>SUI RAYA</v>
      </c>
      <c r="P3715" s="35" t="str">
        <f>IFERROR(__xludf.DUMMYFUNCTION("""COMPUTED_VALUE"""),"KAB KUBU RAYA")</f>
        <v>KAB KUBU RAYA</v>
      </c>
      <c r="Q3715" s="35" t="str">
        <f>IFERROR(__xludf.DUMMYFUNCTION("""COMPUTED_VALUE"""),"KALIMANTAN BARAT")</f>
        <v>KALIMANTAN BARAT</v>
      </c>
      <c r="R3715" s="35" t="str">
        <f>IFERROR(__xludf.DUMMYFUNCTION("""COMPUTED_VALUE"""),"BUDDHA")</f>
        <v>BUDDHA</v>
      </c>
      <c r="S3715" s="74" t="str">
        <f>IFERROR(__xludf.DUMMYFUNCTION("""COMPUTED_VALUE"""),"MAHASISWA")</f>
        <v>MAHASISWA</v>
      </c>
      <c r="T3715" s="35" t="str">
        <f>IFERROR(__xludf.DUMMYFUNCTION("""COMPUTED_VALUE"""),"SAKIT DI AREA PINGGANG BELAKANG")</f>
        <v>SAKIT DI AREA PINGGANG BELAKANG</v>
      </c>
      <c r="U3715" s="35" t="str">
        <f>IFERROR(__xludf.DUMMYFUNCTION("""COMPUTED_VALUE"""),"WORKOUT")</f>
        <v>WORKOUT</v>
      </c>
      <c r="V3715" s="35" t="str">
        <f>IFERROR(__xludf.DUMMYFUNCTION("""COMPUTED_VALUE"""),"085155272735")</f>
        <v>085155272735</v>
      </c>
      <c r="W3715" s="45"/>
    </row>
    <row r="3716">
      <c r="A3716" s="45"/>
      <c r="B3716" s="35" t="str">
        <f>IFERROR(__xludf.DUMMYFUNCTION("""COMPUTED_VALUE"""),"19/04/2026 12:14:34")</f>
        <v>19/04/2026 12:14:34</v>
      </c>
      <c r="C3716" s="35"/>
      <c r="D3716" s="10">
        <f>IFERROR(__xludf.DUMMYFUNCTION("""COMPUTED_VALUE"""),46131.0)</f>
        <v>46131</v>
      </c>
      <c r="E3716" s="35" t="str">
        <f>IFERROR(__xludf.DUMMYFUNCTION("""COMPUTED_VALUE"""),"04Apr")</f>
        <v>04Apr</v>
      </c>
      <c r="F3716" s="35"/>
      <c r="G3716" s="35" t="str">
        <f>IFERROR(__xludf.DUMMYFUNCTION("""COMPUTED_VALUE"""),"RADEN FANIKA AZZAHRA")</f>
        <v>RADEN FANIKA AZZAHRA</v>
      </c>
      <c r="H3716" s="35" t="str">
        <f>IFERROR(__xludf.DUMMYFUNCTION("""COMPUTED_VALUE"""),"R1026049899")</f>
        <v>R1026049899</v>
      </c>
      <c r="I3716" s="35">
        <f>IFERROR(__xludf.DUMMYFUNCTION("""COMPUTED_VALUE"""),15.0)</f>
        <v>15</v>
      </c>
      <c r="J3716" s="35" t="str">
        <f>IFERROR(__xludf.DUMMYFUNCTION("""COMPUTED_VALUE"""),"&lt; 18 tahun")</f>
        <v>&lt; 18 tahun</v>
      </c>
      <c r="K3716" s="35" t="str">
        <f>IFERROR(__xludf.DUMMYFUNCTION("""COMPUTED_VALUE"""),"26/10/2010")</f>
        <v>26/10/2010</v>
      </c>
      <c r="L3716" s="35" t="str">
        <f>IFERROR(__xludf.DUMMYFUNCTION("""COMPUTED_VALUE"""),"PEREMPUAN")</f>
        <v>PEREMPUAN</v>
      </c>
      <c r="M3716" s="35" t="str">
        <f>IFERROR(__xludf.DUMMYFUNCTION("""COMPUTED_VALUE"""),"JL DR SUTOMO KOMP BATARA INDAH 4 B9")</f>
        <v>JL DR SUTOMO KOMP BATARA INDAH 4 B9</v>
      </c>
      <c r="N3716" s="35" t="str">
        <f>IFERROR(__xludf.DUMMYFUNCTION("""COMPUTED_VALUE"""),"SUI BANGKONG")</f>
        <v>SUI BANGKONG</v>
      </c>
      <c r="O3716" s="35" t="str">
        <f>IFERROR(__xludf.DUMMYFUNCTION("""COMPUTED_VALUE"""),"PONTIANAK KOTA")</f>
        <v>PONTIANAK KOTA</v>
      </c>
      <c r="P3716" s="35" t="str">
        <f>IFERROR(__xludf.DUMMYFUNCTION("""COMPUTED_VALUE"""),"PONTIANAK")</f>
        <v>PONTIANAK</v>
      </c>
      <c r="Q3716" s="35" t="str">
        <f>IFERROR(__xludf.DUMMYFUNCTION("""COMPUTED_VALUE"""),"KALIMANTAN BARAT")</f>
        <v>KALIMANTAN BARAT</v>
      </c>
      <c r="R3716" s="35" t="str">
        <f>IFERROR(__xludf.DUMMYFUNCTION("""COMPUTED_VALUE"""),"ISLAM")</f>
        <v>ISLAM</v>
      </c>
      <c r="S3716" s="74" t="str">
        <f>IFERROR(__xludf.DUMMYFUNCTION("""COMPUTED_VALUE"""),"SISWA")</f>
        <v>SISWA</v>
      </c>
      <c r="T3716" s="35" t="str">
        <f>IFERROR(__xludf.DUMMYFUNCTION("""COMPUTED_VALUE"""),"TUMIT DAN MATA KAKI")</f>
        <v>TUMIT DAN MATA KAKI</v>
      </c>
      <c r="U3716" s="35" t="str">
        <f>IFERROR(__xludf.DUMMYFUNCTION("""COMPUTED_VALUE"""),"TENNIS")</f>
        <v>TENNIS</v>
      </c>
      <c r="V3716" s="35" t="str">
        <f>IFERROR(__xludf.DUMMYFUNCTION("""COMPUTED_VALUE"""),"08125879899")</f>
        <v>08125879899</v>
      </c>
      <c r="W3716" s="45"/>
    </row>
    <row r="3717">
      <c r="A3717" s="45"/>
      <c r="B3717" s="35" t="str">
        <f>IFERROR(__xludf.DUMMYFUNCTION("""COMPUTED_VALUE"""),"19/04/2026 14:16:23")</f>
        <v>19/04/2026 14:16:23</v>
      </c>
      <c r="C3717" s="35"/>
      <c r="D3717" s="10">
        <f>IFERROR(__xludf.DUMMYFUNCTION("""COMPUTED_VALUE"""),46131.0)</f>
        <v>46131</v>
      </c>
      <c r="E3717" s="35" t="str">
        <f>IFERROR(__xludf.DUMMYFUNCTION("""COMPUTED_VALUE"""),"04Apr")</f>
        <v>04Apr</v>
      </c>
      <c r="F3717" s="35"/>
      <c r="G3717" s="35" t="str">
        <f>IFERROR(__xludf.DUMMYFUNCTION("""COMPUTED_VALUE"""),"NG SUI MIAUW")</f>
        <v>NG SUI MIAUW</v>
      </c>
      <c r="H3717" s="35" t="str">
        <f>IFERROR(__xludf.DUMMYFUNCTION("""COMPUTED_VALUE"""),"N5926041232")</f>
        <v>N5926041232</v>
      </c>
      <c r="I3717" s="35">
        <f>IFERROR(__xludf.DUMMYFUNCTION("""COMPUTED_VALUE"""),67.0)</f>
        <v>67</v>
      </c>
      <c r="J3717" s="35" t="str">
        <f>IFERROR(__xludf.DUMMYFUNCTION("""COMPUTED_VALUE"""),"&gt; 44 tahun")</f>
        <v>&gt; 44 tahun</v>
      </c>
      <c r="K3717" s="35" t="str">
        <f>IFERROR(__xludf.DUMMYFUNCTION("""COMPUTED_VALUE"""),"25/06/1959")</f>
        <v>25/06/1959</v>
      </c>
      <c r="L3717" s="35" t="str">
        <f>IFERROR(__xludf.DUMMYFUNCTION("""COMPUTED_VALUE"""),"PEREMPUAN")</f>
        <v>PEREMPUAN</v>
      </c>
      <c r="M3717" s="35" t="str">
        <f>IFERROR(__xludf.DUMMYFUNCTION("""COMPUTED_VALUE"""),"JLN. ADISUCIPTO KM 7,5/A6")</f>
        <v>JLN. ADISUCIPTO KM 7,5/A6</v>
      </c>
      <c r="N3717" s="35" t="str">
        <f>IFERROR(__xludf.DUMMYFUNCTION("""COMPUTED_VALUE"""),"SUNGAI RAYA")</f>
        <v>SUNGAI RAYA</v>
      </c>
      <c r="O3717" s="35" t="str">
        <f>IFERROR(__xludf.DUMMYFUNCTION("""COMPUTED_VALUE"""),"SUNGAI RAYA ")</f>
        <v>SUNGAI RAYA </v>
      </c>
      <c r="P3717" s="35" t="str">
        <f>IFERROR(__xludf.DUMMYFUNCTION("""COMPUTED_VALUE"""),"KUBURAYA")</f>
        <v>KUBURAYA</v>
      </c>
      <c r="Q3717" s="35" t="str">
        <f>IFERROR(__xludf.DUMMYFUNCTION("""COMPUTED_VALUE"""),"KALIMANTAN BARAT")</f>
        <v>KALIMANTAN BARAT</v>
      </c>
      <c r="R3717" s="35" t="str">
        <f>IFERROR(__xludf.DUMMYFUNCTION("""COMPUTED_VALUE"""),"KHONGHUCU")</f>
        <v>KHONGHUCU</v>
      </c>
      <c r="S3717" s="74" t="str">
        <f>IFERROR(__xludf.DUMMYFUNCTION("""COMPUTED_VALUE"""),"WIRASWASTA")</f>
        <v>WIRASWASTA</v>
      </c>
      <c r="T3717" s="35" t="str">
        <f>IFERROR(__xludf.DUMMYFUNCTION("""COMPUTED_VALUE"""),"SAKIT KAKI ")</f>
        <v>SAKIT KAKI </v>
      </c>
      <c r="U3717" s="35" t="str">
        <f>IFERROR(__xludf.DUMMYFUNCTION("""COMPUTED_VALUE"""),"BERDIRI TERLALU LAMA ")</f>
        <v>BERDIRI TERLALU LAMA </v>
      </c>
      <c r="V3717" s="35" t="str">
        <f>IFERROR(__xludf.DUMMYFUNCTION("""COMPUTED_VALUE"""),"082113381232")</f>
        <v>082113381232</v>
      </c>
      <c r="W3717" s="45"/>
    </row>
    <row r="3718">
      <c r="A3718" s="45"/>
      <c r="B3718" s="35" t="str">
        <f>IFERROR(__xludf.DUMMYFUNCTION("""COMPUTED_VALUE"""),"19/04/2026 14:45:19")</f>
        <v>19/04/2026 14:45:19</v>
      </c>
      <c r="C3718" s="35"/>
      <c r="D3718" s="10">
        <f>IFERROR(__xludf.DUMMYFUNCTION("""COMPUTED_VALUE"""),46131.0)</f>
        <v>46131</v>
      </c>
      <c r="E3718" s="35" t="str">
        <f>IFERROR(__xludf.DUMMYFUNCTION("""COMPUTED_VALUE"""),"04Apr")</f>
        <v>04Apr</v>
      </c>
      <c r="F3718" s="35"/>
      <c r="G3718" s="35" t="str">
        <f>IFERROR(__xludf.DUMMYFUNCTION("""COMPUTED_VALUE"""),"RENDY DWIPUTRA ")</f>
        <v>RENDY DWIPUTRA </v>
      </c>
      <c r="H3718" s="35" t="str">
        <f>IFERROR(__xludf.DUMMYFUNCTION("""COMPUTED_VALUE"""),"R0626047079")</f>
        <v>R0626047079</v>
      </c>
      <c r="I3718" s="35">
        <f>IFERROR(__xludf.DUMMYFUNCTION("""COMPUTED_VALUE"""),19.0)</f>
        <v>19</v>
      </c>
      <c r="J3718" s="35" t="str">
        <f>IFERROR(__xludf.DUMMYFUNCTION("""COMPUTED_VALUE"""),"18-24 tahun")</f>
        <v>18-24 tahun</v>
      </c>
      <c r="K3718" s="35" t="str">
        <f>IFERROR(__xludf.DUMMYFUNCTION("""COMPUTED_VALUE"""),"28/12/2006")</f>
        <v>28/12/2006</v>
      </c>
      <c r="L3718" s="35" t="str">
        <f>IFERROR(__xludf.DUMMYFUNCTION("""COMPUTED_VALUE"""),"LAKI-LAKI")</f>
        <v>LAKI-LAKI</v>
      </c>
      <c r="M3718" s="35" t="str">
        <f>IFERROR(__xludf.DUMMYFUNCTION("""COMPUTED_VALUE"""),"JL. ADI SUCIPTO KOMP. PONDOK KITA A.18")</f>
        <v>JL. ADI SUCIPTO KOMP. PONDOK KITA A.18</v>
      </c>
      <c r="N3718" s="35" t="str">
        <f>IFERROR(__xludf.DUMMYFUNCTION("""COMPUTED_VALUE"""),"TELUK KAPUAS")</f>
        <v>TELUK KAPUAS</v>
      </c>
      <c r="O3718" s="35" t="str">
        <f>IFERROR(__xludf.DUMMYFUNCTION("""COMPUTED_VALUE"""),"SUNGAI RAYA")</f>
        <v>SUNGAI RAYA</v>
      </c>
      <c r="P3718" s="35" t="str">
        <f>IFERROR(__xludf.DUMMYFUNCTION("""COMPUTED_VALUE"""),"KUBU RAYA ")</f>
        <v>KUBU RAYA </v>
      </c>
      <c r="Q3718" s="35" t="str">
        <f>IFERROR(__xludf.DUMMYFUNCTION("""COMPUTED_VALUE"""),"KALIMANTAN BARAT ")</f>
        <v>KALIMANTAN BARAT </v>
      </c>
      <c r="R3718" s="35" t="str">
        <f>IFERROR(__xludf.DUMMYFUNCTION("""COMPUTED_VALUE"""),"BUDDHA")</f>
        <v>BUDDHA</v>
      </c>
      <c r="S3718" s="74" t="str">
        <f>IFERROR(__xludf.DUMMYFUNCTION("""COMPUTED_VALUE"""),"-")</f>
        <v>-</v>
      </c>
      <c r="T3718" s="35" t="str">
        <f>IFERROR(__xludf.DUMMYFUNCTION("""COMPUTED_VALUE"""),"NYERI DI PERGELANGAN TANGAN SETELAH KECELAKAAN")</f>
        <v>NYERI DI PERGELANGAN TANGAN SETELAH KECELAKAAN</v>
      </c>
      <c r="U3718" s="35" t="str">
        <f>IFERROR(__xludf.DUMMYFUNCTION("""COMPUTED_VALUE"""),"-")</f>
        <v>-</v>
      </c>
      <c r="V3718" s="35" t="str">
        <f>IFERROR(__xludf.DUMMYFUNCTION("""COMPUTED_VALUE"""),"089694167079")</f>
        <v>089694167079</v>
      </c>
      <c r="W3718" s="45"/>
    </row>
    <row r="3719">
      <c r="A3719" s="45"/>
      <c r="B3719" s="35" t="str">
        <f>IFERROR(__xludf.DUMMYFUNCTION("""COMPUTED_VALUE"""),"19/04/2026 14:43:50")</f>
        <v>19/04/2026 14:43:50</v>
      </c>
      <c r="C3719" s="35"/>
      <c r="D3719" s="10">
        <f>IFERROR(__xludf.DUMMYFUNCTION("""COMPUTED_VALUE"""),46132.0)</f>
        <v>46132</v>
      </c>
      <c r="E3719" s="35" t="str">
        <f>IFERROR(__xludf.DUMMYFUNCTION("""COMPUTED_VALUE"""),"04Apr")</f>
        <v>04Apr</v>
      </c>
      <c r="F3719" s="35"/>
      <c r="G3719" s="35" t="str">
        <f>IFERROR(__xludf.DUMMYFUNCTION("""COMPUTED_VALUE"""),"R. TAUFAN SUGIARTO")</f>
        <v>R. TAUFAN SUGIARTO</v>
      </c>
      <c r="H3719" s="35" t="str">
        <f>IFERROR(__xludf.DUMMYFUNCTION("""COMPUTED_VALUE"""),"R8426049890")</f>
        <v>R8426049890</v>
      </c>
      <c r="I3719" s="35">
        <f>IFERROR(__xludf.DUMMYFUNCTION("""COMPUTED_VALUE"""),42.0)</f>
        <v>42</v>
      </c>
      <c r="J3719" s="35" t="str">
        <f>IFERROR(__xludf.DUMMYFUNCTION("""COMPUTED_VALUE"""),"35-44 tahun")</f>
        <v>35-44 tahun</v>
      </c>
      <c r="K3719" s="35" t="str">
        <f>IFERROR(__xludf.DUMMYFUNCTION("""COMPUTED_VALUE"""),"20/04/1984")</f>
        <v>20/04/1984</v>
      </c>
      <c r="L3719" s="35" t="str">
        <f>IFERROR(__xludf.DUMMYFUNCTION("""COMPUTED_VALUE"""),"LAKI-LAKI")</f>
        <v>LAKI-LAKI</v>
      </c>
      <c r="M3719" s="35" t="str">
        <f>IFERROR(__xludf.DUMMYFUNCTION("""COMPUTED_VALUE"""),"JL DR SUTOMO KOMP BATARA INDAH 4 BLOK B9")</f>
        <v>JL DR SUTOMO KOMP BATARA INDAH 4 BLOK B9</v>
      </c>
      <c r="N3719" s="35" t="str">
        <f>IFERROR(__xludf.DUMMYFUNCTION("""COMPUTED_VALUE"""),"SUI BANGKONG")</f>
        <v>SUI BANGKONG</v>
      </c>
      <c r="O3719" s="35" t="str">
        <f>IFERROR(__xludf.DUMMYFUNCTION("""COMPUTED_VALUE"""),"PONTIANAK KOTA")</f>
        <v>PONTIANAK KOTA</v>
      </c>
      <c r="P3719" s="35" t="str">
        <f>IFERROR(__xludf.DUMMYFUNCTION("""COMPUTED_VALUE"""),"PONTIANAK")</f>
        <v>PONTIANAK</v>
      </c>
      <c r="Q3719" s="35" t="str">
        <f>IFERROR(__xludf.DUMMYFUNCTION("""COMPUTED_VALUE"""),"KALIMANTAN BARAT")</f>
        <v>KALIMANTAN BARAT</v>
      </c>
      <c r="R3719" s="35" t="str">
        <f>IFERROR(__xludf.DUMMYFUNCTION("""COMPUTED_VALUE"""),"ISLAM")</f>
        <v>ISLAM</v>
      </c>
      <c r="S3719" s="74" t="str">
        <f>IFERROR(__xludf.DUMMYFUNCTION("""COMPUTED_VALUE"""),"PNS")</f>
        <v>PNS</v>
      </c>
      <c r="T3719" s="35" t="str">
        <f>IFERROR(__xludf.DUMMYFUNCTION("""COMPUTED_VALUE"""),"BELIKAT KIRI")</f>
        <v>BELIKAT KIRI</v>
      </c>
      <c r="U3719" s="35" t="str">
        <f>IFERROR(__xludf.DUMMYFUNCTION("""COMPUTED_VALUE"""),"JOGGING")</f>
        <v>JOGGING</v>
      </c>
      <c r="V3719" s="35" t="str">
        <f>IFERROR(__xludf.DUMMYFUNCTION("""COMPUTED_VALUE"""),"08125879890")</f>
        <v>08125879890</v>
      </c>
      <c r="W3719" s="45"/>
    </row>
    <row r="3720">
      <c r="A3720" s="45"/>
      <c r="B3720" s="35" t="str">
        <f>IFERROR(__xludf.DUMMYFUNCTION("""COMPUTED_VALUE"""),"20/04/2026 9:53:05")</f>
        <v>20/04/2026 9:53:05</v>
      </c>
      <c r="C3720" s="35"/>
      <c r="D3720" s="10">
        <f>IFERROR(__xludf.DUMMYFUNCTION("""COMPUTED_VALUE"""),46132.0)</f>
        <v>46132</v>
      </c>
      <c r="E3720" s="35" t="str">
        <f>IFERROR(__xludf.DUMMYFUNCTION("""COMPUTED_VALUE"""),"04Apr")</f>
        <v>04Apr</v>
      </c>
      <c r="F3720" s="35"/>
      <c r="G3720" s="35" t="str">
        <f>IFERROR(__xludf.DUMMYFUNCTION("""COMPUTED_VALUE"""),"H. ANDI BASO TEPU")</f>
        <v>H. ANDI BASO TEPU</v>
      </c>
      <c r="H3720" s="35" t="str">
        <f>IFERROR(__xludf.DUMMYFUNCTION("""COMPUTED_VALUE"""),"H4226046739")</f>
        <v>H4226046739</v>
      </c>
      <c r="I3720" s="35">
        <f>IFERROR(__xludf.DUMMYFUNCTION("""COMPUTED_VALUE"""),84.0)</f>
        <v>84</v>
      </c>
      <c r="J3720" s="35" t="str">
        <f>IFERROR(__xludf.DUMMYFUNCTION("""COMPUTED_VALUE"""),"&gt; 44 tahun")</f>
        <v>&gt; 44 tahun</v>
      </c>
      <c r="K3720" s="35" t="str">
        <f>IFERROR(__xludf.DUMMYFUNCTION("""COMPUTED_VALUE"""),"04/05/1942")</f>
        <v>04/05/1942</v>
      </c>
      <c r="L3720" s="35" t="str">
        <f>IFERROR(__xludf.DUMMYFUNCTION("""COMPUTED_VALUE"""),"LAKI-LAKI")</f>
        <v>LAKI-LAKI</v>
      </c>
      <c r="M3720" s="35" t="str">
        <f>IFERROR(__xludf.DUMMYFUNCTION("""COMPUTED_VALUE"""),"JL APEL NO 57")</f>
        <v>JL APEL NO 57</v>
      </c>
      <c r="N3720" s="35" t="str">
        <f>IFERROR(__xludf.DUMMYFUNCTION("""COMPUTED_VALUE"""),"SUNGAI JAWI LUAR")</f>
        <v>SUNGAI JAWI LUAR</v>
      </c>
      <c r="O3720" s="35" t="str">
        <f>IFERROR(__xludf.DUMMYFUNCTION("""COMPUTED_VALUE"""),"PONTIANAK BARAT")</f>
        <v>PONTIANAK BARAT</v>
      </c>
      <c r="P3720" s="35" t="str">
        <f>IFERROR(__xludf.DUMMYFUNCTION("""COMPUTED_VALUE"""),"PONTIANAK")</f>
        <v>PONTIANAK</v>
      </c>
      <c r="Q3720" s="35" t="str">
        <f>IFERROR(__xludf.DUMMYFUNCTION("""COMPUTED_VALUE"""),"KAIMANTAN BARAT")</f>
        <v>KAIMANTAN BARAT</v>
      </c>
      <c r="R3720" s="35" t="str">
        <f>IFERROR(__xludf.DUMMYFUNCTION("""COMPUTED_VALUE"""),"ISLAM")</f>
        <v>ISLAM</v>
      </c>
      <c r="S3720" s="74" t="str">
        <f>IFERROR(__xludf.DUMMYFUNCTION("""COMPUTED_VALUE"""),"PENSIUANAN")</f>
        <v>PENSIUANAN</v>
      </c>
      <c r="T3720" s="35" t="str">
        <f>IFERROR(__xludf.DUMMYFUNCTION("""COMPUTED_VALUE"""),"PUNGGUNG")</f>
        <v>PUNGGUNG</v>
      </c>
      <c r="U3720" s="35" t="str">
        <f>IFERROR(__xludf.DUMMYFUNCTION("""COMPUTED_VALUE"""),"-")</f>
        <v>-</v>
      </c>
      <c r="V3720" s="35" t="str">
        <f>IFERROR(__xludf.DUMMYFUNCTION("""COMPUTED_VALUE"""),"085705716739")</f>
        <v>085705716739</v>
      </c>
      <c r="W3720" s="45"/>
    </row>
    <row r="3721">
      <c r="A3721" s="45"/>
      <c r="B3721" s="35" t="str">
        <f>IFERROR(__xludf.DUMMYFUNCTION("""COMPUTED_VALUE"""),"20/04/2026 9:58:45")</f>
        <v>20/04/2026 9:58:45</v>
      </c>
      <c r="C3721" s="35"/>
      <c r="D3721" s="10">
        <f>IFERROR(__xludf.DUMMYFUNCTION("""COMPUTED_VALUE"""),46132.0)</f>
        <v>46132</v>
      </c>
      <c r="E3721" s="35" t="str">
        <f>IFERROR(__xludf.DUMMYFUNCTION("""COMPUTED_VALUE"""),"04Apr")</f>
        <v>04Apr</v>
      </c>
      <c r="F3721" s="35"/>
      <c r="G3721" s="35" t="str">
        <f>IFERROR(__xludf.DUMMYFUNCTION("""COMPUTED_VALUE"""),"NATHANIA")</f>
        <v>NATHANIA</v>
      </c>
      <c r="H3721" s="35" t="str">
        <f>IFERROR(__xludf.DUMMYFUNCTION("""COMPUTED_VALUE"""),"N9326044305")</f>
        <v>N9326044305</v>
      </c>
      <c r="I3721" s="35">
        <f>IFERROR(__xludf.DUMMYFUNCTION("""COMPUTED_VALUE"""),32.0)</f>
        <v>32</v>
      </c>
      <c r="J3721" s="35" t="str">
        <f>IFERROR(__xludf.DUMMYFUNCTION("""COMPUTED_VALUE"""),"25-34 tahun")</f>
        <v>25-34 tahun</v>
      </c>
      <c r="K3721" s="35" t="str">
        <f>IFERROR(__xludf.DUMMYFUNCTION("""COMPUTED_VALUE"""),"15/10/1993")</f>
        <v>15/10/1993</v>
      </c>
      <c r="L3721" s="35" t="str">
        <f>IFERROR(__xludf.DUMMYFUNCTION("""COMPUTED_VALUE"""),"PEREMPUAN")</f>
        <v>PEREMPUAN</v>
      </c>
      <c r="M3721" s="35" t="str">
        <f>IFERROR(__xludf.DUMMYFUNCTION("""COMPUTED_VALUE"""),"JALAN TANI MAKMUR NO 59")</f>
        <v>JALAN TANI MAKMUR NO 59</v>
      </c>
      <c r="N3721" s="35" t="str">
        <f>IFERROR(__xludf.DUMMYFUNCTION("""COMPUTED_VALUE"""),"AKCAYA")</f>
        <v>AKCAYA</v>
      </c>
      <c r="O3721" s="35" t="str">
        <f>IFERROR(__xludf.DUMMYFUNCTION("""COMPUTED_VALUE"""),"PONTIANAK SELATAN")</f>
        <v>PONTIANAK SELATAN</v>
      </c>
      <c r="P3721" s="35" t="str">
        <f>IFERROR(__xludf.DUMMYFUNCTION("""COMPUTED_VALUE"""),"KOTA PONTIANAK")</f>
        <v>KOTA PONTIANAK</v>
      </c>
      <c r="Q3721" s="35" t="str">
        <f>IFERROR(__xludf.DUMMYFUNCTION("""COMPUTED_VALUE"""),"KALIMANTAN BARAT")</f>
        <v>KALIMANTAN BARAT</v>
      </c>
      <c r="R3721" s="35" t="str">
        <f>IFERROR(__xludf.DUMMYFUNCTION("""COMPUTED_VALUE"""),"BUDDHA")</f>
        <v>BUDDHA</v>
      </c>
      <c r="S3721" s="74" t="str">
        <f>IFERROR(__xludf.DUMMYFUNCTION("""COMPUTED_VALUE"""),"SWASTA")</f>
        <v>SWASTA</v>
      </c>
      <c r="T3721" s="35" t="str">
        <f>IFERROR(__xludf.DUMMYFUNCTION("""COMPUTED_VALUE"""),"CEDERA ENGKEL KAKI SEBELAH KIRI KARNA OLAHRAGA")</f>
        <v>CEDERA ENGKEL KAKI SEBELAH KIRI KARNA OLAHRAGA</v>
      </c>
      <c r="U3721" s="35" t="str">
        <f>IFERROR(__xludf.DUMMYFUNCTION("""COMPUTED_VALUE"""),"OLAHRAGA ")</f>
        <v>OLAHRAGA </v>
      </c>
      <c r="V3721" s="35" t="str">
        <f>IFERROR(__xludf.DUMMYFUNCTION("""COMPUTED_VALUE"""),"085246504305")</f>
        <v>085246504305</v>
      </c>
      <c r="W3721" s="45"/>
    </row>
    <row r="3722">
      <c r="A3722" s="45"/>
      <c r="B3722" s="35" t="str">
        <f>IFERROR(__xludf.DUMMYFUNCTION("""COMPUTED_VALUE"""),"20/04/2026 10:35:37")</f>
        <v>20/04/2026 10:35:37</v>
      </c>
      <c r="C3722" s="35"/>
      <c r="D3722" s="10">
        <f>IFERROR(__xludf.DUMMYFUNCTION("""COMPUTED_VALUE"""),46132.0)</f>
        <v>46132</v>
      </c>
      <c r="E3722" s="35" t="str">
        <f>IFERROR(__xludf.DUMMYFUNCTION("""COMPUTED_VALUE"""),"04Apr")</f>
        <v>04Apr</v>
      </c>
      <c r="F3722" s="35"/>
      <c r="G3722" s="35" t="str">
        <f>IFERROR(__xludf.DUMMYFUNCTION("""COMPUTED_VALUE"""),"LU ZONGLIANG")</f>
        <v>LU ZONGLIANG</v>
      </c>
      <c r="H3722" s="35" t="str">
        <f>IFERROR(__xludf.DUMMYFUNCTION("""COMPUTED_VALUE"""),"L6826041528")</f>
        <v>L6826041528</v>
      </c>
      <c r="I3722" s="35">
        <f>IFERROR(__xludf.DUMMYFUNCTION("""COMPUTED_VALUE"""),58.0)</f>
        <v>58</v>
      </c>
      <c r="J3722" s="35" t="str">
        <f>IFERROR(__xludf.DUMMYFUNCTION("""COMPUTED_VALUE"""),"&gt; 44 tahun")</f>
        <v>&gt; 44 tahun</v>
      </c>
      <c r="K3722" s="35" t="str">
        <f>IFERROR(__xludf.DUMMYFUNCTION("""COMPUTED_VALUE"""),"18/04/1968")</f>
        <v>18/04/1968</v>
      </c>
      <c r="L3722" s="35" t="str">
        <f>IFERROR(__xludf.DUMMYFUNCTION("""COMPUTED_VALUE"""),"LAKI-LAKI")</f>
        <v>LAKI-LAKI</v>
      </c>
      <c r="M3722" s="35" t="str">
        <f>IFERROR(__xludf.DUMMYFUNCTION("""COMPUTED_VALUE"""),"JALAN RAYA PASAR JUNGKAT")</f>
        <v>JALAN RAYA PASAR JUNGKAT</v>
      </c>
      <c r="N3722" s="35" t="str">
        <f>IFERROR(__xludf.DUMMYFUNCTION("""COMPUTED_VALUE"""),"JUNGKAT")</f>
        <v>JUNGKAT</v>
      </c>
      <c r="O3722" s="35" t="str">
        <f>IFERROR(__xludf.DUMMYFUNCTION("""COMPUTED_VALUE"""),"JUNGKAT")</f>
        <v>JUNGKAT</v>
      </c>
      <c r="P3722" s="35" t="str">
        <f>IFERROR(__xludf.DUMMYFUNCTION("""COMPUTED_VALUE"""),"JUNGKAT")</f>
        <v>JUNGKAT</v>
      </c>
      <c r="Q3722" s="35" t="str">
        <f>IFERROR(__xludf.DUMMYFUNCTION("""COMPUTED_VALUE"""),"KALIMANTAN BARAT")</f>
        <v>KALIMANTAN BARAT</v>
      </c>
      <c r="R3722" s="35" t="str">
        <f>IFERROR(__xludf.DUMMYFUNCTION("""COMPUTED_VALUE"""),"BUDDHA")</f>
        <v>BUDDHA</v>
      </c>
      <c r="S3722" s="74" t="str">
        <f>IFERROR(__xludf.DUMMYFUNCTION("""COMPUTED_VALUE"""),"PUBLIC WORK")</f>
        <v>PUBLIC WORK</v>
      </c>
      <c r="T3722" s="35" t="str">
        <f>IFERROR(__xludf.DUMMYFUNCTION("""COMPUTED_VALUE"""),"TULANG BELAKANG DAN KAKI")</f>
        <v>TULANG BELAKANG DAN KAKI</v>
      </c>
      <c r="U3722" s="35" t="str">
        <f>IFERROR(__xludf.DUMMYFUNCTION("""COMPUTED_VALUE"""),"-")</f>
        <v>-</v>
      </c>
      <c r="V3722" s="35" t="str">
        <f>IFERROR(__xludf.DUMMYFUNCTION("""COMPUTED_VALUE"""),"089616211528")</f>
        <v>089616211528</v>
      </c>
      <c r="W3722" s="45"/>
    </row>
    <row r="3723">
      <c r="A3723" s="45"/>
      <c r="B3723" s="35" t="str">
        <f>IFERROR(__xludf.DUMMYFUNCTION("""COMPUTED_VALUE"""),"20/04/2026 11:47:57")</f>
        <v>20/04/2026 11:47:57</v>
      </c>
      <c r="C3723" s="35"/>
      <c r="D3723" s="10">
        <f>IFERROR(__xludf.DUMMYFUNCTION("""COMPUTED_VALUE"""),46132.0)</f>
        <v>46132</v>
      </c>
      <c r="E3723" s="35" t="str">
        <f>IFERROR(__xludf.DUMMYFUNCTION("""COMPUTED_VALUE"""),"04Apr")</f>
        <v>04Apr</v>
      </c>
      <c r="F3723" s="35"/>
      <c r="G3723" s="35" t="str">
        <f>IFERROR(__xludf.DUMMYFUNCTION("""COMPUTED_VALUE"""),"WILLSON LOUISSE HANSEN VILLERY")</f>
        <v>WILLSON LOUISSE HANSEN VILLERY</v>
      </c>
      <c r="H3723" s="35" t="str">
        <f>IFERROR(__xludf.DUMMYFUNCTION("""COMPUTED_VALUE"""),"W0426047124")</f>
        <v>W0426047124</v>
      </c>
      <c r="I3723" s="35">
        <f>IFERROR(__xludf.DUMMYFUNCTION("""COMPUTED_VALUE"""),21.0)</f>
        <v>21</v>
      </c>
      <c r="J3723" s="35" t="str">
        <f>IFERROR(__xludf.DUMMYFUNCTION("""COMPUTED_VALUE"""),"18-24 tahun")</f>
        <v>18-24 tahun</v>
      </c>
      <c r="K3723" s="35" t="str">
        <f>IFERROR(__xludf.DUMMYFUNCTION("""COMPUTED_VALUE"""),"21/08/2004")</f>
        <v>21/08/2004</v>
      </c>
      <c r="L3723" s="35" t="str">
        <f>IFERROR(__xludf.DUMMYFUNCTION("""COMPUTED_VALUE"""),"LAKI-LAKI")</f>
        <v>LAKI-LAKI</v>
      </c>
      <c r="M3723" s="35" t="str">
        <f>IFERROR(__xludf.DUMMYFUNCTION("""COMPUTED_VALUE"""),"GG GUNUNG SAHARI NO.29")</f>
        <v>GG GUNUNG SAHARI NO.29</v>
      </c>
      <c r="N3723" s="35" t="str">
        <f>IFERROR(__xludf.DUMMYFUNCTION("""COMPUTED_VALUE"""),"SUNGAIJAWIDALAM")</f>
        <v>SUNGAIJAWIDALAM</v>
      </c>
      <c r="O3723" s="35" t="str">
        <f>IFERROR(__xludf.DUMMYFUNCTION("""COMPUTED_VALUE"""),"PONTIANAK BARAT")</f>
        <v>PONTIANAK BARAT</v>
      </c>
      <c r="P3723" s="35" t="str">
        <f>IFERROR(__xludf.DUMMYFUNCTION("""COMPUTED_VALUE"""),"PONTIANAK")</f>
        <v>PONTIANAK</v>
      </c>
      <c r="Q3723" s="35" t="str">
        <f>IFERROR(__xludf.DUMMYFUNCTION("""COMPUTED_VALUE"""),"-")</f>
        <v>-</v>
      </c>
      <c r="R3723" s="35" t="str">
        <f>IFERROR(__xludf.DUMMYFUNCTION("""COMPUTED_VALUE"""),"BUDDHA")</f>
        <v>BUDDHA</v>
      </c>
      <c r="S3723" s="74" t="str">
        <f>IFERROR(__xludf.DUMMYFUNCTION("""COMPUTED_VALUE"""),"TIDAK BEKERJA")</f>
        <v>TIDAK BEKERJA</v>
      </c>
      <c r="T3723" s="35" t="str">
        <f>IFERROR(__xludf.DUMMYFUNCTION("""COMPUTED_VALUE"""),"PERGELANGAN TANGAN SAKIT HINGA KE JARI JARI DAN SUDAH ADA RIAWAYAT BAHU SAKIT DAN TENIS ELBOW")</f>
        <v>PERGELANGAN TANGAN SAKIT HINGA KE JARI JARI DAN SUDAH ADA RIAWAYAT BAHU SAKIT DAN TENIS ELBOW</v>
      </c>
      <c r="U3723" s="35" t="str">
        <f>IFERROR(__xludf.DUMMYFUNCTION("""COMPUTED_VALUE"""),"LATIHAN BERAT BADAN")</f>
        <v>LATIHAN BERAT BADAN</v>
      </c>
      <c r="V3723" s="35" t="str">
        <f>IFERROR(__xludf.DUMMYFUNCTION("""COMPUTED_VALUE"""),"082255717124")</f>
        <v>082255717124</v>
      </c>
      <c r="W3723" s="45"/>
    </row>
    <row r="3724">
      <c r="A3724" s="45"/>
      <c r="B3724" s="35" t="str">
        <f>IFERROR(__xludf.DUMMYFUNCTION("""COMPUTED_VALUE"""),"20/04/2026 11:58:19")</f>
        <v>20/04/2026 11:58:19</v>
      </c>
      <c r="C3724" s="35"/>
      <c r="D3724" s="10">
        <f>IFERROR(__xludf.DUMMYFUNCTION("""COMPUTED_VALUE"""),46132.0)</f>
        <v>46132</v>
      </c>
      <c r="E3724" s="35" t="str">
        <f>IFERROR(__xludf.DUMMYFUNCTION("""COMPUTED_VALUE"""),"04Apr")</f>
        <v>04Apr</v>
      </c>
      <c r="F3724" s="35"/>
      <c r="G3724" s="35" t="str">
        <f>IFERROR(__xludf.DUMMYFUNCTION("""COMPUTED_VALUE"""),"ELIS SARTIKAWATI, S.SOS")</f>
        <v>ELIS SARTIKAWATI, S.SOS</v>
      </c>
      <c r="H3724" s="35" t="str">
        <f>IFERROR(__xludf.DUMMYFUNCTION("""COMPUTED_VALUE"""),"E8326041723")</f>
        <v>E8326041723</v>
      </c>
      <c r="I3724" s="35">
        <f>IFERROR(__xludf.DUMMYFUNCTION("""COMPUTED_VALUE"""),43.0)</f>
        <v>43</v>
      </c>
      <c r="J3724" s="35" t="str">
        <f>IFERROR(__xludf.DUMMYFUNCTION("""COMPUTED_VALUE"""),"35-44 tahun")</f>
        <v>35-44 tahun</v>
      </c>
      <c r="K3724" s="35" t="str">
        <f>IFERROR(__xludf.DUMMYFUNCTION("""COMPUTED_VALUE"""),"16/03/1983")</f>
        <v>16/03/1983</v>
      </c>
      <c r="L3724" s="35" t="str">
        <f>IFERROR(__xludf.DUMMYFUNCTION("""COMPUTED_VALUE"""),"PEREMPUAN")</f>
        <v>PEREMPUAN</v>
      </c>
      <c r="M3724" s="35" t="str">
        <f>IFERROR(__xludf.DUMMYFUNCTION("""COMPUTED_VALUE"""),"JL UJUNG PANDANG KOMP JANUR ASRI NO B-18")</f>
        <v>JL UJUNG PANDANG KOMP JANUR ASRI NO B-18</v>
      </c>
      <c r="N3724" s="35" t="str">
        <f>IFERROR(__xludf.DUMMYFUNCTION("""COMPUTED_VALUE"""),"SUNGAI JAWI")</f>
        <v>SUNGAI JAWI</v>
      </c>
      <c r="O3724" s="35" t="str">
        <f>IFERROR(__xludf.DUMMYFUNCTION("""COMPUTED_VALUE"""),"PONTIANAK KOTA")</f>
        <v>PONTIANAK KOTA</v>
      </c>
      <c r="P3724" s="35" t="str">
        <f>IFERROR(__xludf.DUMMYFUNCTION("""COMPUTED_VALUE"""),"PONTIANAK")</f>
        <v>PONTIANAK</v>
      </c>
      <c r="Q3724" s="35" t="str">
        <f>IFERROR(__xludf.DUMMYFUNCTION("""COMPUTED_VALUE"""),"KALIMANTAN BARAT")</f>
        <v>KALIMANTAN BARAT</v>
      </c>
      <c r="R3724" s="35" t="str">
        <f>IFERROR(__xludf.DUMMYFUNCTION("""COMPUTED_VALUE"""),"ISLAM")</f>
        <v>ISLAM</v>
      </c>
      <c r="S3724" s="74" t="str">
        <f>IFERROR(__xludf.DUMMYFUNCTION("""COMPUTED_VALUE"""),"IRT")</f>
        <v>IRT</v>
      </c>
      <c r="T3724" s="35" t="str">
        <f>IFERROR(__xludf.DUMMYFUNCTION("""COMPUTED_VALUE"""),"KAKI")</f>
        <v>KAKI</v>
      </c>
      <c r="U3724" s="35" t="str">
        <f>IFERROR(__xludf.DUMMYFUNCTION("""COMPUTED_VALUE"""),"-")</f>
        <v>-</v>
      </c>
      <c r="V3724" s="35" t="str">
        <f>IFERROR(__xludf.DUMMYFUNCTION("""COMPUTED_VALUE"""),"085848751723")</f>
        <v>085848751723</v>
      </c>
      <c r="W3724" s="45"/>
    </row>
    <row r="3725">
      <c r="A3725" s="45"/>
      <c r="B3725" s="35" t="str">
        <f>IFERROR(__xludf.DUMMYFUNCTION("""COMPUTED_VALUE"""),"20/04/2026 12:13:53")</f>
        <v>20/04/2026 12:13:53</v>
      </c>
      <c r="C3725" s="35"/>
      <c r="D3725" s="10">
        <f>IFERROR(__xludf.DUMMYFUNCTION("""COMPUTED_VALUE"""),46132.0)</f>
        <v>46132</v>
      </c>
      <c r="E3725" s="35" t="str">
        <f>IFERROR(__xludf.DUMMYFUNCTION("""COMPUTED_VALUE"""),"04Apr")</f>
        <v>04Apr</v>
      </c>
      <c r="F3725" s="35"/>
      <c r="G3725" s="35" t="str">
        <f>IFERROR(__xludf.DUMMYFUNCTION("""COMPUTED_VALUE"""),"RESA BAYU MURTHY")</f>
        <v>RESA BAYU MURTHY</v>
      </c>
      <c r="H3725" s="35" t="str">
        <f>IFERROR(__xludf.DUMMYFUNCTION("""COMPUTED_VALUE"""),"R9626043226")</f>
        <v>R9626043226</v>
      </c>
      <c r="I3725" s="35">
        <f>IFERROR(__xludf.DUMMYFUNCTION("""COMPUTED_VALUE"""),30.0)</f>
        <v>30</v>
      </c>
      <c r="J3725" s="35" t="str">
        <f>IFERROR(__xludf.DUMMYFUNCTION("""COMPUTED_VALUE"""),"25-34 tahun")</f>
        <v>25-34 tahun</v>
      </c>
      <c r="K3725" s="35" t="str">
        <f>IFERROR(__xludf.DUMMYFUNCTION("""COMPUTED_VALUE"""),"05/05/1996")</f>
        <v>05/05/1996</v>
      </c>
      <c r="L3725" s="35" t="str">
        <f>IFERROR(__xludf.DUMMYFUNCTION("""COMPUTED_VALUE"""),"LAKI-LAKI")</f>
        <v>LAKI-LAKI</v>
      </c>
      <c r="M3725" s="35" t="str">
        <f>IFERROR(__xludf.DUMMYFUNCTION("""COMPUTED_VALUE"""),"JL MAYJEND SUTOYO RT05 RW05 KUTABANJARNEGARA, KAB BANJARNEGARA")</f>
        <v>JL MAYJEND SUTOYO RT05 RW05 KUTABANJARNEGARA, KAB BANJARNEGARA</v>
      </c>
      <c r="N3725" s="35" t="str">
        <f>IFERROR(__xludf.DUMMYFUNCTION("""COMPUTED_VALUE"""),"KUTABANJARNEGARA ")</f>
        <v>KUTABANJARNEGARA </v>
      </c>
      <c r="O3725" s="35" t="str">
        <f>IFERROR(__xludf.DUMMYFUNCTION("""COMPUTED_VALUE"""),"BANJARNEGARA ")</f>
        <v>BANJARNEGARA </v>
      </c>
      <c r="P3725" s="35" t="str">
        <f>IFERROR(__xludf.DUMMYFUNCTION("""COMPUTED_VALUE"""),"BANJARNEGARA ")</f>
        <v>BANJARNEGARA </v>
      </c>
      <c r="Q3725" s="35" t="str">
        <f>IFERROR(__xludf.DUMMYFUNCTION("""COMPUTED_VALUE"""),"JAWA TENGAH")</f>
        <v>JAWA TENGAH</v>
      </c>
      <c r="R3725" s="35" t="str">
        <f>IFERROR(__xludf.DUMMYFUNCTION("""COMPUTED_VALUE"""),"ISLAM")</f>
        <v>ISLAM</v>
      </c>
      <c r="S3725" s="74" t="str">
        <f>IFERROR(__xludf.DUMMYFUNCTION("""COMPUTED_VALUE"""),"PNS")</f>
        <v>PNS</v>
      </c>
      <c r="T3725" s="35" t="str">
        <f>IFERROR(__xludf.DUMMYFUNCTION("""COMPUTED_VALUE"""),"CEDERA PERGELANGAN TANGAN, KETIKA DI GERAKAN NGILU")</f>
        <v>CEDERA PERGELANGAN TANGAN, KETIKA DI GERAKAN NGILU</v>
      </c>
      <c r="U3725" s="35" t="str">
        <f>IFERROR(__xludf.DUMMYFUNCTION("""COMPUTED_VALUE"""),"OLAHRAGA MINI SOCER")</f>
        <v>OLAHRAGA MINI SOCER</v>
      </c>
      <c r="V3725" s="35" t="str">
        <f>IFERROR(__xludf.DUMMYFUNCTION("""COMPUTED_VALUE"""),"081246203226")</f>
        <v>081246203226</v>
      </c>
      <c r="W3725" s="45"/>
    </row>
    <row r="3726">
      <c r="A3726" s="45"/>
      <c r="B3726" s="35" t="str">
        <f>IFERROR(__xludf.DUMMYFUNCTION("""COMPUTED_VALUE"""),"20/04/2026 15:10:28")</f>
        <v>20/04/2026 15:10:28</v>
      </c>
      <c r="C3726" s="35"/>
      <c r="D3726" s="10">
        <f>IFERROR(__xludf.DUMMYFUNCTION("""COMPUTED_VALUE"""),46132.0)</f>
        <v>46132</v>
      </c>
      <c r="E3726" s="35" t="str">
        <f>IFERROR(__xludf.DUMMYFUNCTION("""COMPUTED_VALUE"""),"04Apr")</f>
        <v>04Apr</v>
      </c>
      <c r="F3726" s="35"/>
      <c r="G3726" s="35" t="str">
        <f>IFERROR(__xludf.DUMMYFUNCTION("""COMPUTED_VALUE"""),"HONG CHAI")</f>
        <v>HONG CHAI</v>
      </c>
      <c r="H3726" s="35" t="str">
        <f>IFERROR(__xludf.DUMMYFUNCTION("""COMPUTED_VALUE"""),"H7426041954")</f>
        <v>H7426041954</v>
      </c>
      <c r="I3726" s="35">
        <f>IFERROR(__xludf.DUMMYFUNCTION("""COMPUTED_VALUE"""),52.0)</f>
        <v>52</v>
      </c>
      <c r="J3726" s="35" t="str">
        <f>IFERROR(__xludf.DUMMYFUNCTION("""COMPUTED_VALUE"""),"&gt; 44 tahun")</f>
        <v>&gt; 44 tahun</v>
      </c>
      <c r="K3726" s="35" t="str">
        <f>IFERROR(__xludf.DUMMYFUNCTION("""COMPUTED_VALUE"""),"05/03/1974")</f>
        <v>05/03/1974</v>
      </c>
      <c r="L3726" s="35" t="str">
        <f>IFERROR(__xludf.DUMMYFUNCTION("""COMPUTED_VALUE"""),"PEREMPUAN")</f>
        <v>PEREMPUAN</v>
      </c>
      <c r="M3726" s="35" t="str">
        <f>IFERROR(__xludf.DUMMYFUNCTION("""COMPUTED_VALUE"""),"JALAN PARIS 2 KOMPLEK MERANTI INDAH C8")</f>
        <v>JALAN PARIS 2 KOMPLEK MERANTI INDAH C8</v>
      </c>
      <c r="N3726" s="35" t="str">
        <f>IFERROR(__xludf.DUMMYFUNCTION("""COMPUTED_VALUE"""),"BANGKA BELITUNG DARAT")</f>
        <v>BANGKA BELITUNG DARAT</v>
      </c>
      <c r="O3726" s="35" t="str">
        <f>IFERROR(__xludf.DUMMYFUNCTION("""COMPUTED_VALUE"""),"PONTIANAK TENGGARA")</f>
        <v>PONTIANAK TENGGARA</v>
      </c>
      <c r="P3726" s="35" t="str">
        <f>IFERROR(__xludf.DUMMYFUNCTION("""COMPUTED_VALUE"""),"KOTA PONTIANAK")</f>
        <v>KOTA PONTIANAK</v>
      </c>
      <c r="Q3726" s="35" t="str">
        <f>IFERROR(__xludf.DUMMYFUNCTION("""COMPUTED_VALUE"""),"KALIMANTAN BARAT")</f>
        <v>KALIMANTAN BARAT</v>
      </c>
      <c r="R3726" s="35" t="str">
        <f>IFERROR(__xludf.DUMMYFUNCTION("""COMPUTED_VALUE"""),"BUDDHA")</f>
        <v>BUDDHA</v>
      </c>
      <c r="S3726" s="74" t="str">
        <f>IFERROR(__xludf.DUMMYFUNCTION("""COMPUTED_VALUE"""),"IBU RUMAH TANGGA")</f>
        <v>IBU RUMAH TANGGA</v>
      </c>
      <c r="T3726" s="35" t="str">
        <f>IFERROR(__xludf.DUMMYFUNCTION("""COMPUTED_VALUE"""),"URAT SERING KETARIK")</f>
        <v>URAT SERING KETARIK</v>
      </c>
      <c r="U3726" s="35" t="str">
        <f>IFERROR(__xludf.DUMMYFUNCTION("""COMPUTED_VALUE"""),"AKTIVIAS RUMAH TANGGA BIASA")</f>
        <v>AKTIVIAS RUMAH TANGGA BIASA</v>
      </c>
      <c r="V3726" s="35" t="str">
        <f>IFERROR(__xludf.DUMMYFUNCTION("""COMPUTED_VALUE"""),"085345041954")</f>
        <v>085345041954</v>
      </c>
      <c r="W3726" s="45"/>
    </row>
    <row r="3727">
      <c r="A3727" s="45"/>
      <c r="B3727" s="35" t="str">
        <f>IFERROR(__xludf.DUMMYFUNCTION("""COMPUTED_VALUE"""),"20/04/2026 15:59:22")</f>
        <v>20/04/2026 15:59:22</v>
      </c>
      <c r="C3727" s="35"/>
      <c r="D3727" s="10">
        <f>IFERROR(__xludf.DUMMYFUNCTION("""COMPUTED_VALUE"""),46132.0)</f>
        <v>46132</v>
      </c>
      <c r="E3727" s="35" t="str">
        <f>IFERROR(__xludf.DUMMYFUNCTION("""COMPUTED_VALUE"""),"04Apr")</f>
        <v>04Apr</v>
      </c>
      <c r="F3727" s="35"/>
      <c r="G3727" s="35" t="str">
        <f>IFERROR(__xludf.DUMMYFUNCTION("""COMPUTED_VALUE"""),"WAHYU PAMBUDI")</f>
        <v>WAHYU PAMBUDI</v>
      </c>
      <c r="H3727" s="35" t="str">
        <f>IFERROR(__xludf.DUMMYFUNCTION("""COMPUTED_VALUE"""),"W9726049729")</f>
        <v>W9726049729</v>
      </c>
      <c r="I3727" s="35">
        <f>IFERROR(__xludf.DUMMYFUNCTION("""COMPUTED_VALUE"""),29.0)</f>
        <v>29</v>
      </c>
      <c r="J3727" s="35" t="str">
        <f>IFERROR(__xludf.DUMMYFUNCTION("""COMPUTED_VALUE"""),"25-34 tahun")</f>
        <v>25-34 tahun</v>
      </c>
      <c r="K3727" s="35" t="str">
        <f>IFERROR(__xludf.DUMMYFUNCTION("""COMPUTED_VALUE"""),"09/04/1997")</f>
        <v>09/04/1997</v>
      </c>
      <c r="L3727" s="35" t="str">
        <f>IFERROR(__xludf.DUMMYFUNCTION("""COMPUTED_VALUE"""),"LAKI-LAKI")</f>
        <v>LAKI-LAKI</v>
      </c>
      <c r="M3727" s="35" t="str">
        <f>IFERROR(__xludf.DUMMYFUNCTION("""COMPUTED_VALUE"""),"JL. ADI SUCIPTO GG NUR")</f>
        <v>JL. ADI SUCIPTO GG NUR</v>
      </c>
      <c r="N3727" s="35" t="str">
        <f>IFERROR(__xludf.DUMMYFUNCTION("""COMPUTED_VALUE"""),"LIMBUNG")</f>
        <v>LIMBUNG</v>
      </c>
      <c r="O3727" s="35" t="str">
        <f>IFERROR(__xludf.DUMMYFUNCTION("""COMPUTED_VALUE"""),"SUNGAI RAYA")</f>
        <v>SUNGAI RAYA</v>
      </c>
      <c r="P3727" s="35" t="str">
        <f>IFERROR(__xludf.DUMMYFUNCTION("""COMPUTED_VALUE"""),"KUBU RAYA")</f>
        <v>KUBU RAYA</v>
      </c>
      <c r="Q3727" s="35" t="str">
        <f>IFERROR(__xludf.DUMMYFUNCTION("""COMPUTED_VALUE"""),"KALIMANTAN BARAT")</f>
        <v>KALIMANTAN BARAT</v>
      </c>
      <c r="R3727" s="35" t="str">
        <f>IFERROR(__xludf.DUMMYFUNCTION("""COMPUTED_VALUE"""),"ISLAM")</f>
        <v>ISLAM</v>
      </c>
      <c r="S3727" s="74" t="str">
        <f>IFERROR(__xludf.DUMMYFUNCTION("""COMPUTED_VALUE"""),"SWASTA")</f>
        <v>SWASTA</v>
      </c>
      <c r="T3727" s="35" t="str">
        <f>IFERROR(__xludf.DUMMYFUNCTION("""COMPUTED_VALUE"""),"GANGGUAN FUNGSI JEMPOL TANGAN")</f>
        <v>GANGGUAN FUNGSI JEMPOL TANGAN</v>
      </c>
      <c r="U3727" s="35" t="str">
        <f>IFERROR(__xludf.DUMMYFUNCTION("""COMPUTED_VALUE"""),"-")</f>
        <v>-</v>
      </c>
      <c r="V3727" s="35" t="str">
        <f>IFERROR(__xludf.DUMMYFUNCTION("""COMPUTED_VALUE"""),"089693829729")</f>
        <v>089693829729</v>
      </c>
      <c r="W3727" s="45"/>
    </row>
    <row r="3728">
      <c r="A3728" s="45"/>
      <c r="B3728" s="35" t="str">
        <f>IFERROR(__xludf.DUMMYFUNCTION("""COMPUTED_VALUE"""),"21/04/2026 9:23:59")</f>
        <v>21/04/2026 9:23:59</v>
      </c>
      <c r="C3728" s="35"/>
      <c r="D3728" s="10">
        <f>IFERROR(__xludf.DUMMYFUNCTION("""COMPUTED_VALUE"""),46133.0)</f>
        <v>46133</v>
      </c>
      <c r="E3728" s="35" t="str">
        <f>IFERROR(__xludf.DUMMYFUNCTION("""COMPUTED_VALUE"""),"04Apr")</f>
        <v>04Apr</v>
      </c>
      <c r="F3728" s="35"/>
      <c r="G3728" s="35" t="str">
        <f>IFERROR(__xludf.DUMMYFUNCTION("""COMPUTED_VALUE"""),"SUHAIRI")</f>
        <v>SUHAIRI</v>
      </c>
      <c r="H3728" s="35" t="str">
        <f>IFERROR(__xludf.DUMMYFUNCTION("""COMPUTED_VALUE"""),"S7926040586")</f>
        <v>S7926040586</v>
      </c>
      <c r="I3728" s="35">
        <f>IFERROR(__xludf.DUMMYFUNCTION("""COMPUTED_VALUE"""),47.0)</f>
        <v>47</v>
      </c>
      <c r="J3728" s="35" t="str">
        <f>IFERROR(__xludf.DUMMYFUNCTION("""COMPUTED_VALUE"""),"&gt; 44 tahun")</f>
        <v>&gt; 44 tahun</v>
      </c>
      <c r="K3728" s="35" t="str">
        <f>IFERROR(__xludf.DUMMYFUNCTION("""COMPUTED_VALUE"""),"04/04/1979")</f>
        <v>04/04/1979</v>
      </c>
      <c r="L3728" s="35" t="str">
        <f>IFERROR(__xludf.DUMMYFUNCTION("""COMPUTED_VALUE"""),"LAKI-LAKI")</f>
        <v>LAKI-LAKI</v>
      </c>
      <c r="M3728" s="35" t="str">
        <f>IFERROR(__xludf.DUMMYFUNCTION("""COMPUTED_VALUE"""),"JLN. TANJUNG RAYA 2 GG ARYA NO 50")</f>
        <v>JLN. TANJUNG RAYA 2 GG ARYA NO 50</v>
      </c>
      <c r="N3728" s="35" t="str">
        <f>IFERROR(__xludf.DUMMYFUNCTION("""COMPUTED_VALUE"""),"SAIGON")</f>
        <v>SAIGON</v>
      </c>
      <c r="O3728" s="35" t="str">
        <f>IFERROR(__xludf.DUMMYFUNCTION("""COMPUTED_VALUE"""),"PONTIANAK TIMUR")</f>
        <v>PONTIANAK TIMUR</v>
      </c>
      <c r="P3728" s="35" t="str">
        <f>IFERROR(__xludf.DUMMYFUNCTION("""COMPUTED_VALUE"""),"PONTIANAK")</f>
        <v>PONTIANAK</v>
      </c>
      <c r="Q3728" s="35" t="str">
        <f>IFERROR(__xludf.DUMMYFUNCTION("""COMPUTED_VALUE"""),"KALIMANTAN BARAT")</f>
        <v>KALIMANTAN BARAT</v>
      </c>
      <c r="R3728" s="35" t="str">
        <f>IFERROR(__xludf.DUMMYFUNCTION("""COMPUTED_VALUE"""),"ISLAM")</f>
        <v>ISLAM</v>
      </c>
      <c r="S3728" s="74" t="str">
        <f>IFERROR(__xludf.DUMMYFUNCTION("""COMPUTED_VALUE"""),"SWASTA")</f>
        <v>SWASTA</v>
      </c>
      <c r="T3728" s="35" t="str">
        <f>IFERROR(__xludf.DUMMYFUNCTION("""COMPUTED_VALUE"""),"SAKIT PINGGANG DAN LUTUT")</f>
        <v>SAKIT PINGGANG DAN LUTUT</v>
      </c>
      <c r="U3728" s="35" t="str">
        <f>IFERROR(__xludf.DUMMYFUNCTION("""COMPUTED_VALUE"""),"JOGING ")</f>
        <v>JOGING </v>
      </c>
      <c r="V3728" s="35" t="str">
        <f>IFERROR(__xludf.DUMMYFUNCTION("""COMPUTED_VALUE"""),"087738770586")</f>
        <v>087738770586</v>
      </c>
      <c r="W3728" s="45"/>
    </row>
    <row r="3729">
      <c r="A3729" s="45"/>
      <c r="B3729" s="35" t="str">
        <f>IFERROR(__xludf.DUMMYFUNCTION("""COMPUTED_VALUE"""),"21/04/2026 10:51:03")</f>
        <v>21/04/2026 10:51:03</v>
      </c>
      <c r="C3729" s="35"/>
      <c r="D3729" s="10">
        <f>IFERROR(__xludf.DUMMYFUNCTION("""COMPUTED_VALUE"""),46133.0)</f>
        <v>46133</v>
      </c>
      <c r="E3729" s="35" t="str">
        <f>IFERROR(__xludf.DUMMYFUNCTION("""COMPUTED_VALUE"""),"04Apr")</f>
        <v>04Apr</v>
      </c>
      <c r="F3729" s="35"/>
      <c r="G3729" s="35" t="str">
        <f>IFERROR(__xludf.DUMMYFUNCTION("""COMPUTED_VALUE"""),"DAYUNDA PRAMESTI")</f>
        <v>DAYUNDA PRAMESTI</v>
      </c>
      <c r="H3729" s="35" t="str">
        <f>IFERROR(__xludf.DUMMYFUNCTION("""COMPUTED_VALUE"""),"D9926041410")</f>
        <v>D9926041410</v>
      </c>
      <c r="I3729" s="35">
        <f>IFERROR(__xludf.DUMMYFUNCTION("""COMPUTED_VALUE"""),26.0)</f>
        <v>26</v>
      </c>
      <c r="J3729" s="35" t="str">
        <f>IFERROR(__xludf.DUMMYFUNCTION("""COMPUTED_VALUE"""),"25-34 tahun")</f>
        <v>25-34 tahun</v>
      </c>
      <c r="K3729" s="35" t="str">
        <f>IFERROR(__xludf.DUMMYFUNCTION("""COMPUTED_VALUE"""),"02/11/1999")</f>
        <v>02/11/1999</v>
      </c>
      <c r="L3729" s="35" t="str">
        <f>IFERROR(__xludf.DUMMYFUNCTION("""COMPUTED_VALUE"""),"PEREMPUAN")</f>
        <v>PEREMPUAN</v>
      </c>
      <c r="M3729" s="35" t="str">
        <f>IFERROR(__xludf.DUMMYFUNCTION("""COMPUTED_VALUE"""),"TERBAN GK V GG PANDU ")</f>
        <v>TERBAN GK V GG PANDU </v>
      </c>
      <c r="N3729" s="35" t="str">
        <f>IFERROR(__xludf.DUMMYFUNCTION("""COMPUTED_VALUE"""),"TERBAN ")</f>
        <v>TERBAN </v>
      </c>
      <c r="O3729" s="35" t="str">
        <f>IFERROR(__xludf.DUMMYFUNCTION("""COMPUTED_VALUE"""),"JL. SIMANJUNTAK GKV ")</f>
        <v>JL. SIMANJUNTAK GKV </v>
      </c>
      <c r="P3729" s="35" t="str">
        <f>IFERROR(__xludf.DUMMYFUNCTION("""COMPUTED_VALUE"""),"YOGYAKARTA ")</f>
        <v>YOGYAKARTA </v>
      </c>
      <c r="Q3729" s="35" t="str">
        <f>IFERROR(__xludf.DUMMYFUNCTION("""COMPUTED_VALUE"""),"YOGYAKARTA")</f>
        <v>YOGYAKARTA</v>
      </c>
      <c r="R3729" s="35" t="str">
        <f>IFERROR(__xludf.DUMMYFUNCTION("""COMPUTED_VALUE"""),"ISLAM")</f>
        <v>ISLAM</v>
      </c>
      <c r="S3729" s="74" t="str">
        <f>IFERROR(__xludf.DUMMYFUNCTION("""COMPUTED_VALUE"""),"IBU RUMAH TANGGA")</f>
        <v>IBU RUMAH TANGGA</v>
      </c>
      <c r="T3729" s="35" t="str">
        <f>IFERROR(__xludf.DUMMYFUNCTION("""COMPUTED_VALUE"""),"NYERI LEHER, BAHU, DAN PUNGGUNG ATAS SETELAH MELAHIRKANPP")</f>
        <v>NYERI LEHER, BAHU, DAN PUNGGUNG ATAS SETELAH MELAHIRKANPP</v>
      </c>
      <c r="U3729" s="35" t="str">
        <f>IFERROR(__xludf.DUMMYFUNCTION("""COMPUTED_VALUE"""),"AKTIFITAS IBU RUMAH TANGGA MERAWAT BAYI SETELAH MELAHIRKAN JADI SERING MENBUNGKUK")</f>
        <v>AKTIFITAS IBU RUMAH TANGGA MERAWAT BAYI SETELAH MELAHIRKAN JADI SERING MENBUNGKUK</v>
      </c>
      <c r="V3729" s="35" t="str">
        <f>IFERROR(__xludf.DUMMYFUNCTION("""COMPUTED_VALUE"""),"081326241410")</f>
        <v>081326241410</v>
      </c>
      <c r="W3729" s="45"/>
    </row>
    <row r="3730">
      <c r="A3730" s="45"/>
      <c r="B3730" s="35" t="str">
        <f>IFERROR(__xludf.DUMMYFUNCTION("""COMPUTED_VALUE"""),"21/04/2026 20:07:51")</f>
        <v>21/04/2026 20:07:51</v>
      </c>
      <c r="C3730" s="35"/>
      <c r="D3730" s="10">
        <f>IFERROR(__xludf.DUMMYFUNCTION("""COMPUTED_VALUE"""),46133.0)</f>
        <v>46133</v>
      </c>
      <c r="E3730" s="35" t="str">
        <f>IFERROR(__xludf.DUMMYFUNCTION("""COMPUTED_VALUE"""),"04Apr")</f>
        <v>04Apr</v>
      </c>
      <c r="F3730" s="35"/>
      <c r="G3730" s="35" t="str">
        <f>IFERROR(__xludf.DUMMYFUNCTION("""COMPUTED_VALUE"""),"LILYANI GOJONO")</f>
        <v>LILYANI GOJONO</v>
      </c>
      <c r="H3730" s="35" t="str">
        <f>IFERROR(__xludf.DUMMYFUNCTION("""COMPUTED_VALUE"""),"L6226042686")</f>
        <v>L6226042686</v>
      </c>
      <c r="I3730" s="35">
        <f>IFERROR(__xludf.DUMMYFUNCTION("""COMPUTED_VALUE"""),64.0)</f>
        <v>64</v>
      </c>
      <c r="J3730" s="35" t="str">
        <f>IFERROR(__xludf.DUMMYFUNCTION("""COMPUTED_VALUE"""),"&gt; 44 tahun")</f>
        <v>&gt; 44 tahun</v>
      </c>
      <c r="K3730" s="35" t="str">
        <f>IFERROR(__xludf.DUMMYFUNCTION("""COMPUTED_VALUE"""),"03/02/1962")</f>
        <v>03/02/1962</v>
      </c>
      <c r="L3730" s="35" t="str">
        <f>IFERROR(__xludf.DUMMYFUNCTION("""COMPUTED_VALUE"""),"PEREMPUAN")</f>
        <v>PEREMPUAN</v>
      </c>
      <c r="M3730" s="35" t="str">
        <f>IFERROR(__xludf.DUMMYFUNCTION("""COMPUTED_VALUE"""),"JL PERDANA GG MELATI NO 89 C")</f>
        <v>JL PERDANA GG MELATI NO 89 C</v>
      </c>
      <c r="N3730" s="35" t="str">
        <f>IFERROR(__xludf.DUMMYFUNCTION("""COMPUTED_VALUE"""),"PARIT TOKAYA")</f>
        <v>PARIT TOKAYA</v>
      </c>
      <c r="O3730" s="35" t="str">
        <f>IFERROR(__xludf.DUMMYFUNCTION("""COMPUTED_VALUE"""),"PONTIANAK SELATAN")</f>
        <v>PONTIANAK SELATAN</v>
      </c>
      <c r="P3730" s="35" t="str">
        <f>IFERROR(__xludf.DUMMYFUNCTION("""COMPUTED_VALUE"""),"PONTIANAK")</f>
        <v>PONTIANAK</v>
      </c>
      <c r="Q3730" s="35" t="str">
        <f>IFERROR(__xludf.DUMMYFUNCTION("""COMPUTED_VALUE"""),"KALIMANTAN BARAT")</f>
        <v>KALIMANTAN BARAT</v>
      </c>
      <c r="R3730" s="35" t="str">
        <f>IFERROR(__xludf.DUMMYFUNCTION("""COMPUTED_VALUE"""),"BUDDHA")</f>
        <v>BUDDHA</v>
      </c>
      <c r="S3730" s="74" t="str">
        <f>IFERROR(__xludf.DUMMYFUNCTION("""COMPUTED_VALUE"""),"PENSIUNAN")</f>
        <v>PENSIUNAN</v>
      </c>
      <c r="T3730" s="35" t="str">
        <f>IFERROR(__xludf.DUMMYFUNCTION("""COMPUTED_VALUE"""),"SAKIT LENGAN SAMPAI LEHER")</f>
        <v>SAKIT LENGAN SAMPAI LEHER</v>
      </c>
      <c r="U3730" s="35" t="str">
        <f>IFERROR(__xludf.DUMMYFUNCTION("""COMPUTED_VALUE"""),"MASAK DAN PEKERJAAN IBU RT")</f>
        <v>MASAK DAN PEKERJAAN IBU RT</v>
      </c>
      <c r="V3730" s="35" t="str">
        <f>IFERROR(__xludf.DUMMYFUNCTION("""COMPUTED_VALUE"""),"08195692686")</f>
        <v>08195692686</v>
      </c>
      <c r="W3730" s="45"/>
    </row>
    <row r="3731">
      <c r="A3731" s="45"/>
      <c r="B3731" s="35" t="str">
        <f>IFERROR(__xludf.DUMMYFUNCTION("""COMPUTED_VALUE"""),"23/04/2026 15:03:36")</f>
        <v>23/04/2026 15:03:36</v>
      </c>
      <c r="C3731" s="35"/>
      <c r="D3731" s="10">
        <f>IFERROR(__xludf.DUMMYFUNCTION("""COMPUTED_VALUE"""),46135.0)</f>
        <v>46135</v>
      </c>
      <c r="E3731" s="35" t="str">
        <f>IFERROR(__xludf.DUMMYFUNCTION("""COMPUTED_VALUE"""),"04Apr")</f>
        <v>04Apr</v>
      </c>
      <c r="F3731" s="35"/>
      <c r="G3731" s="35" t="str">
        <f>IFERROR(__xludf.DUMMYFUNCTION("""COMPUTED_VALUE"""),"ANDRI KUSWARA")</f>
        <v>ANDRI KUSWARA</v>
      </c>
      <c r="H3731" s="35" t="str">
        <f>IFERROR(__xludf.DUMMYFUNCTION("""COMPUTED_VALUE"""),"A8026048622")</f>
        <v>A8026048622</v>
      </c>
      <c r="I3731" s="35">
        <f>IFERROR(__xludf.DUMMYFUNCTION("""COMPUTED_VALUE"""),45.0)</f>
        <v>45</v>
      </c>
      <c r="J3731" s="35" t="str">
        <f>IFERROR(__xludf.DUMMYFUNCTION("""COMPUTED_VALUE"""),"&gt; 44 tahun")</f>
        <v>&gt; 44 tahun</v>
      </c>
      <c r="K3731" s="35" t="str">
        <f>IFERROR(__xludf.DUMMYFUNCTION("""COMPUTED_VALUE"""),"03/08/1980")</f>
        <v>03/08/1980</v>
      </c>
      <c r="L3731" s="35" t="str">
        <f>IFERROR(__xludf.DUMMYFUNCTION("""COMPUTED_VALUE"""),"LAKI-LAKI")</f>
        <v>LAKI-LAKI</v>
      </c>
      <c r="M3731" s="35" t="str">
        <f>IFERROR(__xludf.DUMMYFUNCTION("""COMPUTED_VALUE"""),"JALAN PROF. DR. HAMKA GANG NILAM 2 NO.11 PONTIANAK")</f>
        <v>JALAN PROF. DR. HAMKA GANG NILAM 2 NO.11 PONTIANAK</v>
      </c>
      <c r="N3731" s="35" t="str">
        <f>IFERROR(__xludf.DUMMYFUNCTION("""COMPUTED_VALUE"""),"SUNGAIJAWI")</f>
        <v>SUNGAIJAWI</v>
      </c>
      <c r="O3731" s="35" t="str">
        <f>IFERROR(__xludf.DUMMYFUNCTION("""COMPUTED_VALUE"""),"PONTIANAK KOTA")</f>
        <v>PONTIANAK KOTA</v>
      </c>
      <c r="P3731" s="35" t="str">
        <f>IFERROR(__xludf.DUMMYFUNCTION("""COMPUTED_VALUE"""),"KOTA PONTIANAK")</f>
        <v>KOTA PONTIANAK</v>
      </c>
      <c r="Q3731" s="35" t="str">
        <f>IFERROR(__xludf.DUMMYFUNCTION("""COMPUTED_VALUE"""),"KALIMANTAN BARAT")</f>
        <v>KALIMANTAN BARAT</v>
      </c>
      <c r="R3731" s="35" t="str">
        <f>IFERROR(__xludf.DUMMYFUNCTION("""COMPUTED_VALUE"""),"ISLAM")</f>
        <v>ISLAM</v>
      </c>
      <c r="S3731" s="74" t="str">
        <f>IFERROR(__xludf.DUMMYFUNCTION("""COMPUTED_VALUE"""),"KARYAWAN BANK KALBAR")</f>
        <v>KARYAWAN BANK KALBAR</v>
      </c>
      <c r="T3731" s="35" t="str">
        <f>IFERROR(__xludf.DUMMYFUNCTION("""COMPUTED_VALUE"""),"SAKIT DI BELIKAT DAN BELAKANG")</f>
        <v>SAKIT DI BELIKAT DAN BELAKANG</v>
      </c>
      <c r="U3731" s="35" t="str">
        <f>IFERROR(__xludf.DUMMYFUNCTION("""COMPUTED_VALUE"""),"-")</f>
        <v>-</v>
      </c>
      <c r="V3731" s="35" t="str">
        <f>IFERROR(__xludf.DUMMYFUNCTION("""COMPUTED_VALUE"""),"085821668622")</f>
        <v>085821668622</v>
      </c>
      <c r="W3731" s="45"/>
    </row>
    <row r="3732">
      <c r="A3732" s="45"/>
      <c r="B3732" s="35" t="str">
        <f>IFERROR(__xludf.DUMMYFUNCTION("""COMPUTED_VALUE"""),"24/04/2026 9:39:19")</f>
        <v>24/04/2026 9:39:19</v>
      </c>
      <c r="C3732" s="35"/>
      <c r="D3732" s="10">
        <f>IFERROR(__xludf.DUMMYFUNCTION("""COMPUTED_VALUE"""),46136.0)</f>
        <v>46136</v>
      </c>
      <c r="E3732" s="35" t="str">
        <f>IFERROR(__xludf.DUMMYFUNCTION("""COMPUTED_VALUE"""),"04Apr")</f>
        <v>04Apr</v>
      </c>
      <c r="F3732" s="35"/>
      <c r="G3732" s="35" t="str">
        <f>IFERROR(__xludf.DUMMYFUNCTION("""COMPUTED_VALUE"""),"SUPRAPTI")</f>
        <v>SUPRAPTI</v>
      </c>
      <c r="H3732" s="35" t="str">
        <f>IFERROR(__xludf.DUMMYFUNCTION("""COMPUTED_VALUE"""),"S7726045537")</f>
        <v>S7726045537</v>
      </c>
      <c r="I3732" s="35">
        <f>IFERROR(__xludf.DUMMYFUNCTION("""COMPUTED_VALUE"""),49.0)</f>
        <v>49</v>
      </c>
      <c r="J3732" s="35" t="str">
        <f>IFERROR(__xludf.DUMMYFUNCTION("""COMPUTED_VALUE"""),"&gt; 44 tahun")</f>
        <v>&gt; 44 tahun</v>
      </c>
      <c r="K3732" s="35" t="str">
        <f>IFERROR(__xludf.DUMMYFUNCTION("""COMPUTED_VALUE"""),"24/02/1977")</f>
        <v>24/02/1977</v>
      </c>
      <c r="L3732" s="35" t="str">
        <f>IFERROR(__xludf.DUMMYFUNCTION("""COMPUTED_VALUE"""),"PEREMPUAN")</f>
        <v>PEREMPUAN</v>
      </c>
      <c r="M3732" s="35" t="str">
        <f>IFERROR(__xludf.DUMMYFUNCTION("""COMPUTED_VALUE"""),"JLN.SEJARAH GG GUNUNG POTENG 2 NO 40")</f>
        <v>JLN.SEJARAH GG GUNUNG POTENG 2 NO 40</v>
      </c>
      <c r="N3732" s="35" t="str">
        <f>IFERROR(__xludf.DUMMYFUNCTION("""COMPUTED_VALUE"""),"SEI JAWI")</f>
        <v>SEI JAWI</v>
      </c>
      <c r="O3732" s="35" t="str">
        <f>IFERROR(__xludf.DUMMYFUNCTION("""COMPUTED_VALUE"""),"PONTIANAK KOTA")</f>
        <v>PONTIANAK KOTA</v>
      </c>
      <c r="P3732" s="35" t="str">
        <f>IFERROR(__xludf.DUMMYFUNCTION("""COMPUTED_VALUE"""),"KOTA PONTIANK")</f>
        <v>KOTA PONTIANK</v>
      </c>
      <c r="Q3732" s="35" t="str">
        <f>IFERROR(__xludf.DUMMYFUNCTION("""COMPUTED_VALUE"""),"KALIMANTAN BARAT")</f>
        <v>KALIMANTAN BARAT</v>
      </c>
      <c r="R3732" s="35" t="str">
        <f>IFERROR(__xludf.DUMMYFUNCTION("""COMPUTED_VALUE"""),"ISLAM")</f>
        <v>ISLAM</v>
      </c>
      <c r="S3732" s="74" t="str">
        <f>IFERROR(__xludf.DUMMYFUNCTION("""COMPUTED_VALUE"""),"IBU RUMAH TANGGA")</f>
        <v>IBU RUMAH TANGGA</v>
      </c>
      <c r="T3732" s="35" t="str">
        <f>IFERROR(__xludf.DUMMYFUNCTION("""COMPUTED_VALUE"""),"CTS")</f>
        <v>CTS</v>
      </c>
      <c r="U3732" s="35" t="str">
        <f>IFERROR(__xludf.DUMMYFUNCTION("""COMPUTED_VALUE"""),"OLAHRAGA")</f>
        <v>OLAHRAGA</v>
      </c>
      <c r="V3732" s="35" t="str">
        <f>IFERROR(__xludf.DUMMYFUNCTION("""COMPUTED_VALUE"""),"082256895537")</f>
        <v>082256895537</v>
      </c>
      <c r="W3732" s="45"/>
    </row>
    <row r="3733">
      <c r="A3733" s="45"/>
      <c r="B3733" s="35" t="str">
        <f>IFERROR(__xludf.DUMMYFUNCTION("""COMPUTED_VALUE"""),"24/04/2026 10:59:09")</f>
        <v>24/04/2026 10:59:09</v>
      </c>
      <c r="C3733" s="35"/>
      <c r="D3733" s="10">
        <f>IFERROR(__xludf.DUMMYFUNCTION("""COMPUTED_VALUE"""),46136.0)</f>
        <v>46136</v>
      </c>
      <c r="E3733" s="35" t="str">
        <f>IFERROR(__xludf.DUMMYFUNCTION("""COMPUTED_VALUE"""),"04Apr")</f>
        <v>04Apr</v>
      </c>
      <c r="F3733" s="35"/>
      <c r="G3733" s="35" t="str">
        <f>IFERROR(__xludf.DUMMYFUNCTION("""COMPUTED_VALUE"""),"CARLIN DESMONDA")</f>
        <v>CARLIN DESMONDA</v>
      </c>
      <c r="H3733" s="35" t="str">
        <f>IFERROR(__xludf.DUMMYFUNCTION("""COMPUTED_VALUE"""),"C0826044356")</f>
        <v>C0826044356</v>
      </c>
      <c r="I3733" s="35">
        <f>IFERROR(__xludf.DUMMYFUNCTION("""COMPUTED_VALUE"""),17.0)</f>
        <v>17</v>
      </c>
      <c r="J3733" s="35" t="str">
        <f>IFERROR(__xludf.DUMMYFUNCTION("""COMPUTED_VALUE"""),"&lt; 18 tahun")</f>
        <v>&lt; 18 tahun</v>
      </c>
      <c r="K3733" s="35" t="str">
        <f>IFERROR(__xludf.DUMMYFUNCTION("""COMPUTED_VALUE"""),"16/12/2008")</f>
        <v>16/12/2008</v>
      </c>
      <c r="L3733" s="35" t="str">
        <f>IFERROR(__xludf.DUMMYFUNCTION("""COMPUTED_VALUE"""),"PEREMPUAN")</f>
        <v>PEREMPUAN</v>
      </c>
      <c r="M3733" s="35" t="str">
        <f>IFERROR(__xludf.DUMMYFUNCTION("""COMPUTED_VALUE"""),"JL. TRUNOJOYO NO. 23")</f>
        <v>JL. TRUNOJOYO NO. 23</v>
      </c>
      <c r="N3733" s="35" t="str">
        <f>IFERROR(__xludf.DUMMYFUNCTION("""COMPUTED_VALUE"""),"BENUA MELAYU DARAT")</f>
        <v>BENUA MELAYU DARAT</v>
      </c>
      <c r="O3733" s="35" t="str">
        <f>IFERROR(__xludf.DUMMYFUNCTION("""COMPUTED_VALUE"""),"PONTIANAK SELATAN")</f>
        <v>PONTIANAK SELATAN</v>
      </c>
      <c r="P3733" s="35" t="str">
        <f>IFERROR(__xludf.DUMMYFUNCTION("""COMPUTED_VALUE"""),"PONTIANAK")</f>
        <v>PONTIANAK</v>
      </c>
      <c r="Q3733" s="35" t="str">
        <f>IFERROR(__xludf.DUMMYFUNCTION("""COMPUTED_VALUE"""),"KALIMANTAN BARAT")</f>
        <v>KALIMANTAN BARAT</v>
      </c>
      <c r="R3733" s="35" t="str">
        <f>IFERROR(__xludf.DUMMYFUNCTION("""COMPUTED_VALUE"""),"BUDDHA")</f>
        <v>BUDDHA</v>
      </c>
      <c r="S3733" s="74" t="str">
        <f>IFERROR(__xludf.DUMMYFUNCTION("""COMPUTED_VALUE"""),"PELAJAR")</f>
        <v>PELAJAR</v>
      </c>
      <c r="T3733" s="35" t="str">
        <f>IFERROR(__xludf.DUMMYFUNCTION("""COMPUTED_VALUE"""),"SAKIT DI BAGIAN PERGELANGAN TANGAN")</f>
        <v>SAKIT DI BAGIAN PERGELANGAN TANGAN</v>
      </c>
      <c r="U3733" s="35" t="str">
        <f>IFERROR(__xludf.DUMMYFUNCTION("""COMPUTED_VALUE"""),"MUAYTHAI")</f>
        <v>MUAYTHAI</v>
      </c>
      <c r="V3733" s="35" t="str">
        <f>IFERROR(__xludf.DUMMYFUNCTION("""COMPUTED_VALUE"""),"081247814356")</f>
        <v>081247814356</v>
      </c>
      <c r="W3733" s="45"/>
    </row>
    <row r="3734">
      <c r="A3734" s="45"/>
      <c r="B3734" s="35" t="str">
        <f>IFERROR(__xludf.DUMMYFUNCTION("""COMPUTED_VALUE"""),"24/04/2026 12:49:47")</f>
        <v>24/04/2026 12:49:47</v>
      </c>
      <c r="C3734" s="35"/>
      <c r="D3734" s="10">
        <f>IFERROR(__xludf.DUMMYFUNCTION("""COMPUTED_VALUE"""),46136.0)</f>
        <v>46136</v>
      </c>
      <c r="E3734" s="35" t="str">
        <f>IFERROR(__xludf.DUMMYFUNCTION("""COMPUTED_VALUE"""),"04Apr")</f>
        <v>04Apr</v>
      </c>
      <c r="F3734" s="35"/>
      <c r="G3734" s="35" t="str">
        <f>IFERROR(__xludf.DUMMYFUNCTION("""COMPUTED_VALUE"""),"NG FA MOI")</f>
        <v>NG FA MOI</v>
      </c>
      <c r="H3734" s="35" t="str">
        <f>IFERROR(__xludf.DUMMYFUNCTION("""COMPUTED_VALUE"""),"N4526048181")</f>
        <v>N4526048181</v>
      </c>
      <c r="I3734" s="35">
        <f>IFERROR(__xludf.DUMMYFUNCTION("""COMPUTED_VALUE"""),81.0)</f>
        <v>81</v>
      </c>
      <c r="J3734" s="35" t="str">
        <f>IFERROR(__xludf.DUMMYFUNCTION("""COMPUTED_VALUE"""),"&gt; 44 tahun")</f>
        <v>&gt; 44 tahun</v>
      </c>
      <c r="K3734" s="35" t="str">
        <f>IFERROR(__xludf.DUMMYFUNCTION("""COMPUTED_VALUE"""),"19/06/1945")</f>
        <v>19/06/1945</v>
      </c>
      <c r="L3734" s="35" t="str">
        <f>IFERROR(__xludf.DUMMYFUNCTION("""COMPUTED_VALUE"""),"PEREMPUAN")</f>
        <v>PEREMPUAN</v>
      </c>
      <c r="M3734" s="35" t="str">
        <f>IFERROR(__xludf.DUMMYFUNCTION("""COMPUTED_VALUE"""),"JL.YOS SUDARSO NO.42")</f>
        <v>JL.YOS SUDARSO NO.42</v>
      </c>
      <c r="N3734" s="35" t="str">
        <f>IFERROR(__xludf.DUMMYFUNCTION("""COMPUTED_VALUE"""),"MELAYU")</f>
        <v>MELAYU</v>
      </c>
      <c r="O3734" s="35" t="str">
        <f>IFERROR(__xludf.DUMMYFUNCTION("""COMPUTED_VALUE"""),"SINGKAWANG BARAT")</f>
        <v>SINGKAWANG BARAT</v>
      </c>
      <c r="P3734" s="35" t="str">
        <f>IFERROR(__xludf.DUMMYFUNCTION("""COMPUTED_VALUE"""),"KOTA SINGKAWANG")</f>
        <v>KOTA SINGKAWANG</v>
      </c>
      <c r="Q3734" s="35" t="str">
        <f>IFERROR(__xludf.DUMMYFUNCTION("""COMPUTED_VALUE"""),"KAL_BAR")</f>
        <v>KAL_BAR</v>
      </c>
      <c r="R3734" s="35" t="str">
        <f>IFERROR(__xludf.DUMMYFUNCTION("""COMPUTED_VALUE"""),"BUDDHA")</f>
        <v>BUDDHA</v>
      </c>
      <c r="S3734" s="74" t="str">
        <f>IFERROR(__xludf.DUMMYFUNCTION("""COMPUTED_VALUE"""),"RUMAH TANGGA")</f>
        <v>RUMAH TANGGA</v>
      </c>
      <c r="T3734" s="35" t="str">
        <f>IFERROR(__xludf.DUMMYFUNCTION("""COMPUTED_VALUE"""),"SAKIT PINGGANG MENJALAR KE KAKI")</f>
        <v>SAKIT PINGGANG MENJALAR KE KAKI</v>
      </c>
      <c r="U3734" s="35" t="str">
        <f>IFERROR(__xludf.DUMMYFUNCTION("""COMPUTED_VALUE"""),"DUDUK LAMA KAKI KESEMUTAN")</f>
        <v>DUDUK LAMA KAKI KESEMUTAN</v>
      </c>
      <c r="V3734" s="35" t="str">
        <f>IFERROR(__xludf.DUMMYFUNCTION("""COMPUTED_VALUE"""),"082158358181")</f>
        <v>082158358181</v>
      </c>
      <c r="W3734" s="45"/>
    </row>
    <row r="3735">
      <c r="A3735" s="45"/>
      <c r="B3735" s="35" t="str">
        <f>IFERROR(__xludf.DUMMYFUNCTION("""COMPUTED_VALUE"""),"24/04/2026 16:06:56")</f>
        <v>24/04/2026 16:06:56</v>
      </c>
      <c r="C3735" s="35"/>
      <c r="D3735" s="10">
        <f>IFERROR(__xludf.DUMMYFUNCTION("""COMPUTED_VALUE"""),46136.0)</f>
        <v>46136</v>
      </c>
      <c r="E3735" s="35" t="str">
        <f>IFERROR(__xludf.DUMMYFUNCTION("""COMPUTED_VALUE"""),"04Apr")</f>
        <v>04Apr</v>
      </c>
      <c r="F3735" s="35"/>
      <c r="G3735" s="35" t="str">
        <f>IFERROR(__xludf.DUMMYFUNCTION("""COMPUTED_VALUE"""),"TIARA GALISTHA PUTRI")</f>
        <v>TIARA GALISTHA PUTRI</v>
      </c>
      <c r="H3735" s="35" t="str">
        <f>IFERROR(__xludf.DUMMYFUNCTION("""COMPUTED_VALUE"""),"T0726043346")</f>
        <v>T0726043346</v>
      </c>
      <c r="I3735" s="35">
        <f>IFERROR(__xludf.DUMMYFUNCTION("""COMPUTED_VALUE"""),18.0)</f>
        <v>18</v>
      </c>
      <c r="J3735" s="35" t="str">
        <f>IFERROR(__xludf.DUMMYFUNCTION("""COMPUTED_VALUE"""),"&lt; 18 tahun")</f>
        <v>&lt; 18 tahun</v>
      </c>
      <c r="K3735" s="35" t="str">
        <f>IFERROR(__xludf.DUMMYFUNCTION("""COMPUTED_VALUE"""),"06/12/2007")</f>
        <v>06/12/2007</v>
      </c>
      <c r="L3735" s="35" t="str">
        <f>IFERROR(__xludf.DUMMYFUNCTION("""COMPUTED_VALUE"""),"PEREMPUAN")</f>
        <v>PEREMPUAN</v>
      </c>
      <c r="M3735" s="35" t="str">
        <f>IFERROR(__xludf.DUMMYFUNCTION("""COMPUTED_VALUE"""),"JLN. ALIANYANG GG. CANDI AGUNG RW23 NO5A")</f>
        <v>JLN. ALIANYANG GG. CANDI AGUNG RW23 NO5A</v>
      </c>
      <c r="N3735" s="35" t="str">
        <f>IFERROR(__xludf.DUMMYFUNCTION("""COMPUTED_VALUE"""),"SUNGAI BANGKONG")</f>
        <v>SUNGAI BANGKONG</v>
      </c>
      <c r="O3735" s="35" t="str">
        <f>IFERROR(__xludf.DUMMYFUNCTION("""COMPUTED_VALUE"""),"PONTIANAK KOTA")</f>
        <v>PONTIANAK KOTA</v>
      </c>
      <c r="P3735" s="35" t="str">
        <f>IFERROR(__xludf.DUMMYFUNCTION("""COMPUTED_VALUE"""),"PONTIANAK")</f>
        <v>PONTIANAK</v>
      </c>
      <c r="Q3735" s="35" t="str">
        <f>IFERROR(__xludf.DUMMYFUNCTION("""COMPUTED_VALUE"""),"KALIMANTAN BARAT")</f>
        <v>KALIMANTAN BARAT</v>
      </c>
      <c r="R3735" s="35" t="str">
        <f>IFERROR(__xludf.DUMMYFUNCTION("""COMPUTED_VALUE"""),"PROTESTAN")</f>
        <v>PROTESTAN</v>
      </c>
      <c r="S3735" s="74" t="str">
        <f>IFERROR(__xludf.DUMMYFUNCTION("""COMPUTED_VALUE"""),"MAHASISWA")</f>
        <v>MAHASISWA</v>
      </c>
      <c r="T3735" s="35" t="str">
        <f>IFERROR(__xludf.DUMMYFUNCTION("""COMPUTED_VALUE"""),"LOWER BACK PAIN")</f>
        <v>LOWER BACK PAIN</v>
      </c>
      <c r="U3735" s="35" t="str">
        <f>IFERROR(__xludf.DUMMYFUNCTION("""COMPUTED_VALUE"""),"BADMINTON")</f>
        <v>BADMINTON</v>
      </c>
      <c r="V3735" s="35" t="str">
        <f>IFERROR(__xludf.DUMMYFUNCTION("""COMPUTED_VALUE"""),"087879813346")</f>
        <v>087879813346</v>
      </c>
      <c r="W3735" s="45"/>
    </row>
    <row r="3736">
      <c r="A3736" s="45"/>
      <c r="B3736" s="35" t="str">
        <f>IFERROR(__xludf.DUMMYFUNCTION("""COMPUTED_VALUE"""),"25/04/2026 10:47:39")</f>
        <v>25/04/2026 10:47:39</v>
      </c>
      <c r="C3736" s="35"/>
      <c r="D3736" s="10">
        <f>IFERROR(__xludf.DUMMYFUNCTION("""COMPUTED_VALUE"""),46137.0)</f>
        <v>46137</v>
      </c>
      <c r="E3736" s="35" t="str">
        <f>IFERROR(__xludf.DUMMYFUNCTION("""COMPUTED_VALUE"""),"04Apr")</f>
        <v>04Apr</v>
      </c>
      <c r="F3736" s="35"/>
      <c r="G3736" s="35" t="str">
        <f>IFERROR(__xludf.DUMMYFUNCTION("""COMPUTED_VALUE"""),"PRAKOSO SUSILO")</f>
        <v>PRAKOSO SUSILO</v>
      </c>
      <c r="H3736" s="35" t="str">
        <f>IFERROR(__xludf.DUMMYFUNCTION("""COMPUTED_VALUE"""),"P8426045999")</f>
        <v>P8426045999</v>
      </c>
      <c r="I3736" s="35">
        <f>IFERROR(__xludf.DUMMYFUNCTION("""COMPUTED_VALUE"""),41.0)</f>
        <v>41</v>
      </c>
      <c r="J3736" s="35" t="str">
        <f>IFERROR(__xludf.DUMMYFUNCTION("""COMPUTED_VALUE"""),"35-44 tahun")</f>
        <v>35-44 tahun</v>
      </c>
      <c r="K3736" s="35" t="str">
        <f>IFERROR(__xludf.DUMMYFUNCTION("""COMPUTED_VALUE"""),"07/12/1984")</f>
        <v>07/12/1984</v>
      </c>
      <c r="L3736" s="35" t="str">
        <f>IFERROR(__xludf.DUMMYFUNCTION("""COMPUTED_VALUE"""),"LAKI-LAKI")</f>
        <v>LAKI-LAKI</v>
      </c>
      <c r="M3736" s="35" t="str">
        <f>IFERROR(__xludf.DUMMYFUNCTION("""COMPUTED_VALUE"""),"JL. HM SUWIGNYO NO. 99 PONTIANAK")</f>
        <v>JL. HM SUWIGNYO NO. 99 PONTIANAK</v>
      </c>
      <c r="N3736" s="35" t="str">
        <f>IFERROR(__xludf.DUMMYFUNCTION("""COMPUTED_VALUE"""),"SUNGAI JAWI")</f>
        <v>SUNGAI JAWI</v>
      </c>
      <c r="O3736" s="35" t="str">
        <f>IFERROR(__xludf.DUMMYFUNCTION("""COMPUTED_VALUE"""),"PONTIANAK KOTA")</f>
        <v>PONTIANAK KOTA</v>
      </c>
      <c r="P3736" s="35" t="str">
        <f>IFERROR(__xludf.DUMMYFUNCTION("""COMPUTED_VALUE"""),"PONTIANAK ")</f>
        <v>PONTIANAK </v>
      </c>
      <c r="Q3736" s="35" t="str">
        <f>IFERROR(__xludf.DUMMYFUNCTION("""COMPUTED_VALUE"""),"KALIMANTAN BARAT")</f>
        <v>KALIMANTAN BARAT</v>
      </c>
      <c r="R3736" s="35" t="str">
        <f>IFERROR(__xludf.DUMMYFUNCTION("""COMPUTED_VALUE"""),"BUDDHA")</f>
        <v>BUDDHA</v>
      </c>
      <c r="S3736" s="74" t="str">
        <f>IFERROR(__xludf.DUMMYFUNCTION("""COMPUTED_VALUE"""),"WIRASWASTA")</f>
        <v>WIRASWASTA</v>
      </c>
      <c r="T3736" s="35" t="str">
        <f>IFERROR(__xludf.DUMMYFUNCTION("""COMPUTED_VALUE"""),"BAHU KIRI SAKIT NGILU SEPERTI MAU FROZEN SHOULDER")</f>
        <v>BAHU KIRI SAKIT NGILU SEPERTI MAU FROZEN SHOULDER</v>
      </c>
      <c r="U3736" s="35" t="str">
        <f>IFERROR(__xludf.DUMMYFUNCTION("""COMPUTED_VALUE"""),"GYM")</f>
        <v>GYM</v>
      </c>
      <c r="V3736" s="35" t="str">
        <f>IFERROR(__xludf.DUMMYFUNCTION("""COMPUTED_VALUE"""),"081915555999")</f>
        <v>081915555999</v>
      </c>
      <c r="W3736" s="45"/>
    </row>
    <row r="3737">
      <c r="A3737" s="45"/>
      <c r="B3737" s="35" t="str">
        <f>IFERROR(__xludf.DUMMYFUNCTION("""COMPUTED_VALUE"""),"25/04/2026 13:39:08")</f>
        <v>25/04/2026 13:39:08</v>
      </c>
      <c r="C3737" s="35"/>
      <c r="D3737" s="10">
        <f>IFERROR(__xludf.DUMMYFUNCTION("""COMPUTED_VALUE"""),46137.0)</f>
        <v>46137</v>
      </c>
      <c r="E3737" s="35" t="str">
        <f>IFERROR(__xludf.DUMMYFUNCTION("""COMPUTED_VALUE"""),"04Apr")</f>
        <v>04Apr</v>
      </c>
      <c r="F3737" s="35"/>
      <c r="G3737" s="35" t="str">
        <f>IFERROR(__xludf.DUMMYFUNCTION("""COMPUTED_VALUE"""),"VINNDY CHONDRO")</f>
        <v>VINNDY CHONDRO</v>
      </c>
      <c r="H3737" s="35" t="str">
        <f>IFERROR(__xludf.DUMMYFUNCTION("""COMPUTED_VALUE"""),"V9726041998")</f>
        <v>V9726041998</v>
      </c>
      <c r="I3737" s="35">
        <f>IFERROR(__xludf.DUMMYFUNCTION("""COMPUTED_VALUE"""),29.0)</f>
        <v>29</v>
      </c>
      <c r="J3737" s="35" t="str">
        <f>IFERROR(__xludf.DUMMYFUNCTION("""COMPUTED_VALUE"""),"25-34 tahun")</f>
        <v>25-34 tahun</v>
      </c>
      <c r="K3737" s="35" t="str">
        <f>IFERROR(__xludf.DUMMYFUNCTION("""COMPUTED_VALUE"""),"29/03/1997")</f>
        <v>29/03/1997</v>
      </c>
      <c r="L3737" s="35" t="str">
        <f>IFERROR(__xludf.DUMMYFUNCTION("""COMPUTED_VALUE"""),"PEREMPUAN")</f>
        <v>PEREMPUAN</v>
      </c>
      <c r="M3737" s="35" t="str">
        <f>IFERROR(__xludf.DUMMYFUNCTION("""COMPUTED_VALUE"""),"JL PARIS 2 . RUKO KOMPLEK FAJAR PERMAI NO.AA1. 081255160468 ")</f>
        <v>JL PARIS 2 . RUKO KOMPLEK FAJAR PERMAI NO.AA1. 081255160468 </v>
      </c>
      <c r="N3737" s="35" t="str">
        <f>IFERROR(__xludf.DUMMYFUNCTION("""COMPUTED_VALUE"""),"PONTIANAK")</f>
        <v>PONTIANAK</v>
      </c>
      <c r="O3737" s="35" t="str">
        <f>IFERROR(__xludf.DUMMYFUNCTION("""COMPUTED_VALUE"""),"PONTIANAK TENGGARA")</f>
        <v>PONTIANAK TENGGARA</v>
      </c>
      <c r="P3737" s="35" t="str">
        <f>IFERROR(__xludf.DUMMYFUNCTION("""COMPUTED_VALUE"""),"PONTIANAK")</f>
        <v>PONTIANAK</v>
      </c>
      <c r="Q3737" s="35" t="str">
        <f>IFERROR(__xludf.DUMMYFUNCTION("""COMPUTED_VALUE"""),"KALIMANTAN BARAT")</f>
        <v>KALIMANTAN BARAT</v>
      </c>
      <c r="R3737" s="35" t="str">
        <f>IFERROR(__xludf.DUMMYFUNCTION("""COMPUTED_VALUE"""),"KATOLIK")</f>
        <v>KATOLIK</v>
      </c>
      <c r="S3737" s="74" t="str">
        <f>IFERROR(__xludf.DUMMYFUNCTION("""COMPUTED_VALUE"""),"WIRASWASTA")</f>
        <v>WIRASWASTA</v>
      </c>
      <c r="T3737" s="35" t="str">
        <f>IFERROR(__xludf.DUMMYFUNCTION("""COMPUTED_VALUE"""),"ACL")</f>
        <v>ACL</v>
      </c>
      <c r="U3737" s="35" t="str">
        <f>IFERROR(__xludf.DUMMYFUNCTION("""COMPUTED_VALUE"""),"SEPAK BOLA , BADMINTON")</f>
        <v>SEPAK BOLA , BADMINTON</v>
      </c>
      <c r="V3737" s="35" t="str">
        <f>IFERROR(__xludf.DUMMYFUNCTION("""COMPUTED_VALUE"""),"082291351998")</f>
        <v>082291351998</v>
      </c>
      <c r="W3737" s="45"/>
    </row>
    <row r="3738">
      <c r="A3738" s="45"/>
      <c r="B3738" s="35" t="str">
        <f>IFERROR(__xludf.DUMMYFUNCTION("""COMPUTED_VALUE"""),"23/04/2026 21:53:50")</f>
        <v>23/04/2026 21:53:50</v>
      </c>
      <c r="C3738" s="35"/>
      <c r="D3738" s="10">
        <f>IFERROR(__xludf.DUMMYFUNCTION("""COMPUTED_VALUE"""),46138.0)</f>
        <v>46138</v>
      </c>
      <c r="E3738" s="35" t="str">
        <f>IFERROR(__xludf.DUMMYFUNCTION("""COMPUTED_VALUE"""),"04Apr")</f>
        <v>04Apr</v>
      </c>
      <c r="F3738" s="35"/>
      <c r="G3738" s="35" t="str">
        <f>IFERROR(__xludf.DUMMYFUNCTION("""COMPUTED_VALUE"""),"IPUNG WIJAYA ")</f>
        <v>IPUNG WIJAYA </v>
      </c>
      <c r="H3738" s="35" t="str">
        <f>IFERROR(__xludf.DUMMYFUNCTION("""COMPUTED_VALUE"""),"I6926049567")</f>
        <v>I6926049567</v>
      </c>
      <c r="I3738" s="35">
        <f>IFERROR(__xludf.DUMMYFUNCTION("""COMPUTED_VALUE"""),57.0)</f>
        <v>57</v>
      </c>
      <c r="J3738" s="35" t="str">
        <f>IFERROR(__xludf.DUMMYFUNCTION("""COMPUTED_VALUE"""),"&gt; 44 tahun")</f>
        <v>&gt; 44 tahun</v>
      </c>
      <c r="K3738" s="35" t="str">
        <f>IFERROR(__xludf.DUMMYFUNCTION("""COMPUTED_VALUE"""),"23/03/1969")</f>
        <v>23/03/1969</v>
      </c>
      <c r="L3738" s="35" t="str">
        <f>IFERROR(__xludf.DUMMYFUNCTION("""COMPUTED_VALUE"""),"LAKI-LAKI")</f>
        <v>LAKI-LAKI</v>
      </c>
      <c r="M3738" s="35" t="str">
        <f>IFERROR(__xludf.DUMMYFUNCTION("""COMPUTED_VALUE"""),"JALAN DANAU SENTARUM GANG ILHAM NO 6 PONTIANAK ")</f>
        <v>JALAN DANAU SENTARUM GANG ILHAM NO 6 PONTIANAK </v>
      </c>
      <c r="N3738" s="35" t="str">
        <f>IFERROR(__xludf.DUMMYFUNCTION("""COMPUTED_VALUE"""),"SUNGAI BANGKONG ")</f>
        <v>SUNGAI BANGKONG </v>
      </c>
      <c r="O3738" s="35" t="str">
        <f>IFERROR(__xludf.DUMMYFUNCTION("""COMPUTED_VALUE"""),"PONTIANAK KOTA ")</f>
        <v>PONTIANAK KOTA </v>
      </c>
      <c r="P3738" s="35" t="str">
        <f>IFERROR(__xludf.DUMMYFUNCTION("""COMPUTED_VALUE"""),"PONTIANAK ")</f>
        <v>PONTIANAK </v>
      </c>
      <c r="Q3738" s="35" t="str">
        <f>IFERROR(__xludf.DUMMYFUNCTION("""COMPUTED_VALUE"""),"KALIMANTAN BARAT ")</f>
        <v>KALIMANTAN BARAT </v>
      </c>
      <c r="R3738" s="35" t="str">
        <f>IFERROR(__xludf.DUMMYFUNCTION("""COMPUTED_VALUE"""),"ISLAM")</f>
        <v>ISLAM</v>
      </c>
      <c r="S3738" s="74" t="str">
        <f>IFERROR(__xludf.DUMMYFUNCTION("""COMPUTED_VALUE"""),"PNS")</f>
        <v>PNS</v>
      </c>
      <c r="T3738" s="35" t="str">
        <f>IFERROR(__xludf.DUMMYFUNCTION("""COMPUTED_VALUE"""),"NYERI/BENGKAK PERSENDIAN DIBAWAH MATA KAKI")</f>
        <v>NYERI/BENGKAK PERSENDIAN DIBAWAH MATA KAKI</v>
      </c>
      <c r="U3738" s="35" t="str">
        <f>IFERROR(__xludf.DUMMYFUNCTION("""COMPUTED_VALUE"""),"BULUTANGKIS, JOGGING, TURUN NAIK TANGGA")</f>
        <v>BULUTANGKIS, JOGGING, TURUN NAIK TANGGA</v>
      </c>
      <c r="V3738" s="35" t="str">
        <f>IFERROR(__xludf.DUMMYFUNCTION("""COMPUTED_VALUE"""),"081257599567")</f>
        <v>081257599567</v>
      </c>
      <c r="W3738" s="45"/>
    </row>
    <row r="3739">
      <c r="A3739" s="45"/>
      <c r="B3739" s="35" t="str">
        <f>IFERROR(__xludf.DUMMYFUNCTION("""COMPUTED_VALUE"""),"27/04/2026 9:58:44")</f>
        <v>27/04/2026 9:58:44</v>
      </c>
      <c r="C3739" s="35"/>
      <c r="D3739" s="10">
        <f>IFERROR(__xludf.DUMMYFUNCTION("""COMPUTED_VALUE"""),46139.0)</f>
        <v>46139</v>
      </c>
      <c r="E3739" s="35" t="str">
        <f>IFERROR(__xludf.DUMMYFUNCTION("""COMPUTED_VALUE"""),"04Apr")</f>
        <v>04Apr</v>
      </c>
      <c r="F3739" s="35"/>
      <c r="G3739" s="35" t="str">
        <f>IFERROR(__xludf.DUMMYFUNCTION("""COMPUTED_VALUE"""),"ASTERIA MARCELINE")</f>
        <v>ASTERIA MARCELINE</v>
      </c>
      <c r="H3739" s="35" t="str">
        <f>IFERROR(__xludf.DUMMYFUNCTION("""COMPUTED_VALUE"""),"A9526045122")</f>
        <v>A9526045122</v>
      </c>
      <c r="I3739" s="35">
        <f>IFERROR(__xludf.DUMMYFUNCTION("""COMPUTED_VALUE"""),31.0)</f>
        <v>31</v>
      </c>
      <c r="J3739" s="35" t="str">
        <f>IFERROR(__xludf.DUMMYFUNCTION("""COMPUTED_VALUE"""),"25-34 tahun")</f>
        <v>25-34 tahun</v>
      </c>
      <c r="K3739" s="35" t="str">
        <f>IFERROR(__xludf.DUMMYFUNCTION("""COMPUTED_VALUE"""),"03/03/1995")</f>
        <v>03/03/1995</v>
      </c>
      <c r="L3739" s="35" t="str">
        <f>IFERROR(__xludf.DUMMYFUNCTION("""COMPUTED_VALUE"""),"PEREMPUAN")</f>
        <v>PEREMPUAN</v>
      </c>
      <c r="M3739" s="35" t="str">
        <f>IFERROR(__xludf.DUMMYFUNCTION("""COMPUTED_VALUE"""),"JALAN RADEN SURIF")</f>
        <v>JALAN RADEN SURIF</v>
      </c>
      <c r="N3739" s="35" t="str">
        <f>IFERROR(__xludf.DUMMYFUNCTION("""COMPUTED_VALUE"""),"SEMITAU HILIR")</f>
        <v>SEMITAU HILIR</v>
      </c>
      <c r="O3739" s="35" t="str">
        <f>IFERROR(__xludf.DUMMYFUNCTION("""COMPUTED_VALUE"""),"SEMITAU")</f>
        <v>SEMITAU</v>
      </c>
      <c r="P3739" s="35" t="str">
        <f>IFERROR(__xludf.DUMMYFUNCTION("""COMPUTED_VALUE"""),"KAPUAS HULU")</f>
        <v>KAPUAS HULU</v>
      </c>
      <c r="Q3739" s="35" t="str">
        <f>IFERROR(__xludf.DUMMYFUNCTION("""COMPUTED_VALUE"""),"KALIMANTAN BARAT")</f>
        <v>KALIMANTAN BARAT</v>
      </c>
      <c r="R3739" s="35" t="str">
        <f>IFERROR(__xludf.DUMMYFUNCTION("""COMPUTED_VALUE"""),"KATOLIK")</f>
        <v>KATOLIK</v>
      </c>
      <c r="S3739" s="74" t="str">
        <f>IFERROR(__xludf.DUMMYFUNCTION("""COMPUTED_VALUE"""),"WIRASWASTA")</f>
        <v>WIRASWASTA</v>
      </c>
      <c r="T3739" s="35" t="str">
        <f>IFERROR(__xludf.DUMMYFUNCTION("""COMPUTED_VALUE"""),"PERGELANGAN LENGAN KANAN TERKILIR")</f>
        <v>PERGELANGAN LENGAN KANAN TERKILIR</v>
      </c>
      <c r="U3739" s="35" t="str">
        <f>IFERROR(__xludf.DUMMYFUNCTION("""COMPUTED_VALUE"""),"OLAHRAGA (PILATES, GYM, BADMINTON)")</f>
        <v>OLAHRAGA (PILATES, GYM, BADMINTON)</v>
      </c>
      <c r="V3739" s="35" t="str">
        <f>IFERROR(__xludf.DUMMYFUNCTION("""COMPUTED_VALUE"""),"081346295122")</f>
        <v>081346295122</v>
      </c>
      <c r="W3739" s="45"/>
    </row>
    <row r="3740">
      <c r="A3740" s="45"/>
      <c r="B3740" s="35" t="str">
        <f>IFERROR(__xludf.DUMMYFUNCTION("""COMPUTED_VALUE"""),"27/04/2026 11:03:24")</f>
        <v>27/04/2026 11:03:24</v>
      </c>
      <c r="C3740" s="35"/>
      <c r="D3740" s="10">
        <f>IFERROR(__xludf.DUMMYFUNCTION("""COMPUTED_VALUE"""),46139.0)</f>
        <v>46139</v>
      </c>
      <c r="E3740" s="35" t="str">
        <f>IFERROR(__xludf.DUMMYFUNCTION("""COMPUTED_VALUE"""),"04Apr")</f>
        <v>04Apr</v>
      </c>
      <c r="F3740" s="35"/>
      <c r="G3740" s="35" t="str">
        <f>IFERROR(__xludf.DUMMYFUNCTION("""COMPUTED_VALUE"""),"SEPRIDA KURNIAWATI")</f>
        <v>SEPRIDA KURNIAWATI</v>
      </c>
      <c r="H3740" s="35" t="str">
        <f>IFERROR(__xludf.DUMMYFUNCTION("""COMPUTED_VALUE"""),"S8826042858")</f>
        <v>S8826042858</v>
      </c>
      <c r="I3740" s="35">
        <f>IFERROR(__xludf.DUMMYFUNCTION("""COMPUTED_VALUE"""),37.0)</f>
        <v>37</v>
      </c>
      <c r="J3740" s="35" t="str">
        <f>IFERROR(__xludf.DUMMYFUNCTION("""COMPUTED_VALUE"""),"35-44 tahun")</f>
        <v>35-44 tahun</v>
      </c>
      <c r="K3740" s="35" t="str">
        <f>IFERROR(__xludf.DUMMYFUNCTION("""COMPUTED_VALUE"""),"30/09/1988")</f>
        <v>30/09/1988</v>
      </c>
      <c r="L3740" s="35" t="str">
        <f>IFERROR(__xludf.DUMMYFUNCTION("""COMPUTED_VALUE"""),"PEREMPUAN")</f>
        <v>PEREMPUAN</v>
      </c>
      <c r="M3740" s="35" t="str">
        <f>IFERROR(__xludf.DUMMYFUNCTION("""COMPUTED_VALUE"""),"JL.P.CANDRAMIDI GG SENTOSA NO 35 A")</f>
        <v>JL.P.CANDRAMIDI GG SENTOSA NO 35 A</v>
      </c>
      <c r="N3740" s="35" t="str">
        <f>IFERROR(__xludf.DUMMYFUNCTION("""COMPUTED_VALUE"""),"SUNGAI BANGKONG")</f>
        <v>SUNGAI BANGKONG</v>
      </c>
      <c r="O3740" s="35" t="str">
        <f>IFERROR(__xludf.DUMMYFUNCTION("""COMPUTED_VALUE"""),"PONTIANAK KOTA")</f>
        <v>PONTIANAK KOTA</v>
      </c>
      <c r="P3740" s="35" t="str">
        <f>IFERROR(__xludf.DUMMYFUNCTION("""COMPUTED_VALUE"""),"PONTIANAK")</f>
        <v>PONTIANAK</v>
      </c>
      <c r="Q3740" s="35" t="str">
        <f>IFERROR(__xludf.DUMMYFUNCTION("""COMPUTED_VALUE"""),"KALIMANTAN BARAT")</f>
        <v>KALIMANTAN BARAT</v>
      </c>
      <c r="R3740" s="35" t="str">
        <f>IFERROR(__xludf.DUMMYFUNCTION("""COMPUTED_VALUE"""),"ISLAM")</f>
        <v>ISLAM</v>
      </c>
      <c r="S3740" s="74" t="str">
        <f>IFERROR(__xludf.DUMMYFUNCTION("""COMPUTED_VALUE"""),"PNS")</f>
        <v>PNS</v>
      </c>
      <c r="T3740" s="35" t="str">
        <f>IFERROR(__xludf.DUMMYFUNCTION("""COMPUTED_VALUE"""),"NYERI DIBAGIAN LENGAN SEBALAH KANAN")</f>
        <v>NYERI DIBAGIAN LENGAN SEBALAH KANAN</v>
      </c>
      <c r="U3740" s="35" t="str">
        <f>IFERROR(__xludf.DUMMYFUNCTION("""COMPUTED_VALUE"""),"-")</f>
        <v>-</v>
      </c>
      <c r="V3740" s="35" t="str">
        <f>IFERROR(__xludf.DUMMYFUNCTION("""COMPUTED_VALUE"""),"082148062858")</f>
        <v>082148062858</v>
      </c>
      <c r="W3740" s="45"/>
    </row>
    <row r="3741">
      <c r="A3741" s="45"/>
      <c r="B3741" s="35" t="str">
        <f>IFERROR(__xludf.DUMMYFUNCTION("""COMPUTED_VALUE"""),"27/04/2026 11:03:27")</f>
        <v>27/04/2026 11:03:27</v>
      </c>
      <c r="C3741" s="35"/>
      <c r="D3741" s="10">
        <f>IFERROR(__xludf.DUMMYFUNCTION("""COMPUTED_VALUE"""),46139.0)</f>
        <v>46139</v>
      </c>
      <c r="E3741" s="35" t="str">
        <f>IFERROR(__xludf.DUMMYFUNCTION("""COMPUTED_VALUE"""),"04Apr")</f>
        <v>04Apr</v>
      </c>
      <c r="F3741" s="35"/>
      <c r="G3741" s="35" t="str">
        <f>IFERROR(__xludf.DUMMYFUNCTION("""COMPUTED_VALUE"""),"AVRIL CAPRICIA")</f>
        <v>AVRIL CAPRICIA</v>
      </c>
      <c r="H3741" s="35" t="str">
        <f>IFERROR(__xludf.DUMMYFUNCTION("""COMPUTED_VALUE"""),"A0526040818")</f>
        <v>A0526040818</v>
      </c>
      <c r="I3741" s="35">
        <f>IFERROR(__xludf.DUMMYFUNCTION("""COMPUTED_VALUE"""),21.0)</f>
        <v>21</v>
      </c>
      <c r="J3741" s="35" t="str">
        <f>IFERROR(__xludf.DUMMYFUNCTION("""COMPUTED_VALUE"""),"18-24 tahun")</f>
        <v>18-24 tahun</v>
      </c>
      <c r="K3741" s="35" t="str">
        <f>IFERROR(__xludf.DUMMYFUNCTION("""COMPUTED_VALUE"""),"03/04/2005")</f>
        <v>03/04/2005</v>
      </c>
      <c r="L3741" s="35" t="str">
        <f>IFERROR(__xludf.DUMMYFUNCTION("""COMPUTED_VALUE"""),"PEREMPUAN")</f>
        <v>PEREMPUAN</v>
      </c>
      <c r="M3741" s="35" t="str">
        <f>IFERROR(__xludf.DUMMYFUNCTION("""COMPUTED_VALUE"""),"JL GM SITUT GG BAKTI NO 32")</f>
        <v>JL GM SITUT GG BAKTI NO 32</v>
      </c>
      <c r="N3741" s="35" t="str">
        <f>IFERROR(__xludf.DUMMYFUNCTION("""COMPUTED_VALUE"""),"PASIRAN")</f>
        <v>PASIRAN</v>
      </c>
      <c r="O3741" s="35" t="str">
        <f>IFERROR(__xludf.DUMMYFUNCTION("""COMPUTED_VALUE"""),"SINGKAWANG BARAT")</f>
        <v>SINGKAWANG BARAT</v>
      </c>
      <c r="P3741" s="35" t="str">
        <f>IFERROR(__xludf.DUMMYFUNCTION("""COMPUTED_VALUE"""),"SINGKAWANG")</f>
        <v>SINGKAWANG</v>
      </c>
      <c r="Q3741" s="35" t="str">
        <f>IFERROR(__xludf.DUMMYFUNCTION("""COMPUTED_VALUE"""),"KALIMANTAN BARAT")</f>
        <v>KALIMANTAN BARAT</v>
      </c>
      <c r="R3741" s="35" t="str">
        <f>IFERROR(__xludf.DUMMYFUNCTION("""COMPUTED_VALUE"""),"PROTESTAN")</f>
        <v>PROTESTAN</v>
      </c>
      <c r="S3741" s="74" t="str">
        <f>IFERROR(__xludf.DUMMYFUNCTION("""COMPUTED_VALUE"""),"TRANSLATOR")</f>
        <v>TRANSLATOR</v>
      </c>
      <c r="T3741" s="35" t="str">
        <f>IFERROR(__xludf.DUMMYFUNCTION("""COMPUTED_VALUE"""),"PANGGUL MIRING SEBELAH")</f>
        <v>PANGGUL MIRING SEBELAH</v>
      </c>
      <c r="U3741" s="35" t="str">
        <f>IFERROR(__xludf.DUMMYFUNCTION("""COMPUTED_VALUE"""),"GYM,DUDUK")</f>
        <v>GYM,DUDUK</v>
      </c>
      <c r="V3741" s="35" t="str">
        <f>IFERROR(__xludf.DUMMYFUNCTION("""COMPUTED_VALUE"""),"089524520818")</f>
        <v>089524520818</v>
      </c>
      <c r="W3741" s="45"/>
    </row>
    <row r="3742">
      <c r="A3742" s="45"/>
      <c r="B3742" s="35" t="str">
        <f>IFERROR(__xludf.DUMMYFUNCTION("""COMPUTED_VALUE"""),"27/04/2026 13:10:40")</f>
        <v>27/04/2026 13:10:40</v>
      </c>
      <c r="C3742" s="35"/>
      <c r="D3742" s="10">
        <f>IFERROR(__xludf.DUMMYFUNCTION("""COMPUTED_VALUE"""),46139.0)</f>
        <v>46139</v>
      </c>
      <c r="E3742" s="35" t="str">
        <f>IFERROR(__xludf.DUMMYFUNCTION("""COMPUTED_VALUE"""),"04Apr")</f>
        <v>04Apr</v>
      </c>
      <c r="F3742" s="35"/>
      <c r="G3742" s="35" t="str">
        <f>IFERROR(__xludf.DUMMYFUNCTION("""COMPUTED_VALUE"""),"CAMELIA SANTIKA")</f>
        <v>CAMELIA SANTIKA</v>
      </c>
      <c r="H3742" s="35" t="str">
        <f>IFERROR(__xludf.DUMMYFUNCTION("""COMPUTED_VALUE"""),"C0026044840")</f>
        <v>C0026044840</v>
      </c>
      <c r="I3742" s="35">
        <f>IFERROR(__xludf.DUMMYFUNCTION("""COMPUTED_VALUE"""),25.0)</f>
        <v>25</v>
      </c>
      <c r="J3742" s="35" t="str">
        <f>IFERROR(__xludf.DUMMYFUNCTION("""COMPUTED_VALUE"""),"25-34 tahun")</f>
        <v>25-34 tahun</v>
      </c>
      <c r="K3742" s="35" t="str">
        <f>IFERROR(__xludf.DUMMYFUNCTION("""COMPUTED_VALUE"""),"30/11/2000")</f>
        <v>30/11/2000</v>
      </c>
      <c r="L3742" s="35" t="str">
        <f>IFERROR(__xludf.DUMMYFUNCTION("""COMPUTED_VALUE"""),"PEREMPUAN")</f>
        <v>PEREMPUAN</v>
      </c>
      <c r="M3742" s="35" t="str">
        <f>IFERROR(__xludf.DUMMYFUNCTION("""COMPUTED_VALUE"""),"JL. PROF. M. YAMIN, GG. SINAR USAHA NO. 5")</f>
        <v>JL. PROF. M. YAMIN, GG. SINAR USAHA NO. 5</v>
      </c>
      <c r="N3742" s="35" t="str">
        <f>IFERROR(__xludf.DUMMYFUNCTION("""COMPUTED_VALUE"""),"KOTA BARU")</f>
        <v>KOTA BARU</v>
      </c>
      <c r="O3742" s="35" t="str">
        <f>IFERROR(__xludf.DUMMYFUNCTION("""COMPUTED_VALUE"""),"PONTIANAK SELATAN")</f>
        <v>PONTIANAK SELATAN</v>
      </c>
      <c r="P3742" s="35" t="str">
        <f>IFERROR(__xludf.DUMMYFUNCTION("""COMPUTED_VALUE"""),"PONTIANAK")</f>
        <v>PONTIANAK</v>
      </c>
      <c r="Q3742" s="35" t="str">
        <f>IFERROR(__xludf.DUMMYFUNCTION("""COMPUTED_VALUE"""),"KALIMANTAN BARAT")</f>
        <v>KALIMANTAN BARAT</v>
      </c>
      <c r="R3742" s="35" t="str">
        <f>IFERROR(__xludf.DUMMYFUNCTION("""COMPUTED_VALUE"""),"ISLAM")</f>
        <v>ISLAM</v>
      </c>
      <c r="S3742" s="74" t="str">
        <f>IFERROR(__xludf.DUMMYFUNCTION("""COMPUTED_VALUE"""),"IBU RUMAH TANGGA")</f>
        <v>IBU RUMAH TANGGA</v>
      </c>
      <c r="T3742" s="35" t="str">
        <f>IFERROR(__xludf.DUMMYFUNCTION("""COMPUTED_VALUE"""),"NYERI DI TUMIT KAKI, SEMAKIN PARAH KETIKA BANGUN TIDUR. NYERI DI PINGGANG SUDAH LUMAYAN LAMA, SEMAKIN SAKIT KETIKA HABIS MELAKUKAN KEGIATAN MENYAPU DAN LAIN2 POSISI MEMBUNGKUK")</f>
        <v>NYERI DI TUMIT KAKI, SEMAKIN PARAH KETIKA BANGUN TIDUR. NYERI DI PINGGANG SUDAH LUMAYAN LAMA, SEMAKIN SAKIT KETIKA HABIS MELAKUKAN KEGIATAN MENYAPU DAN LAIN2 POSISI MEMBUNGKUK</v>
      </c>
      <c r="U3742" s="35" t="str">
        <f>IFERROR(__xludf.DUMMYFUNCTION("""COMPUTED_VALUE"""),"HANYA MELAKUKAN PEKERJAAN IBU RUMAH TANGGA")</f>
        <v>HANYA MELAKUKAN PEKERJAAN IBU RUMAH TANGGA</v>
      </c>
      <c r="V3742" s="35" t="str">
        <f>IFERROR(__xludf.DUMMYFUNCTION("""COMPUTED_VALUE"""),"082149624840")</f>
        <v>082149624840</v>
      </c>
      <c r="W3742" s="45"/>
    </row>
    <row r="3743">
      <c r="A3743" s="45"/>
      <c r="B3743" s="35" t="str">
        <f>IFERROR(__xludf.DUMMYFUNCTION("""COMPUTED_VALUE"""),"27/04/2026 14:20:14")</f>
        <v>27/04/2026 14:20:14</v>
      </c>
      <c r="C3743" s="35"/>
      <c r="D3743" s="10">
        <f>IFERROR(__xludf.DUMMYFUNCTION("""COMPUTED_VALUE"""),46139.0)</f>
        <v>46139</v>
      </c>
      <c r="E3743" s="35" t="str">
        <f>IFERROR(__xludf.DUMMYFUNCTION("""COMPUTED_VALUE"""),"04Apr")</f>
        <v>04Apr</v>
      </c>
      <c r="F3743" s="35"/>
      <c r="G3743" s="35" t="str">
        <f>IFERROR(__xludf.DUMMYFUNCTION("""COMPUTED_VALUE"""),"AHMADI")</f>
        <v>AHMADI</v>
      </c>
      <c r="H3743" s="35" t="str">
        <f>IFERROR(__xludf.DUMMYFUNCTION("""COMPUTED_VALUE"""),"A7226041925")</f>
        <v>A7226041925</v>
      </c>
      <c r="I3743" s="35">
        <f>IFERROR(__xludf.DUMMYFUNCTION("""COMPUTED_VALUE"""),53.0)</f>
        <v>53</v>
      </c>
      <c r="J3743" s="35" t="str">
        <f>IFERROR(__xludf.DUMMYFUNCTION("""COMPUTED_VALUE"""),"&gt; 44 tahun")</f>
        <v>&gt; 44 tahun</v>
      </c>
      <c r="K3743" s="35" t="str">
        <f>IFERROR(__xludf.DUMMYFUNCTION("""COMPUTED_VALUE"""),"01/07/1972")</f>
        <v>01/07/1972</v>
      </c>
      <c r="L3743" s="35" t="str">
        <f>IFERROR(__xludf.DUMMYFUNCTION("""COMPUTED_VALUE"""),"LAKI-LAKI")</f>
        <v>LAKI-LAKI</v>
      </c>
      <c r="M3743" s="35" t="str">
        <f>IFERROR(__xludf.DUMMYFUNCTION("""COMPUTED_VALUE"""),"DUSUN SUKA MAJU")</f>
        <v>DUSUN SUKA MAJU</v>
      </c>
      <c r="N3743" s="35" t="str">
        <f>IFERROR(__xludf.DUMMYFUNCTION("""COMPUTED_VALUE"""),"WONOREJO")</f>
        <v>WONOREJO</v>
      </c>
      <c r="O3743" s="35" t="str">
        <f>IFERROR(__xludf.DUMMYFUNCTION("""COMPUTED_VALUE"""),"SEPONTI")</f>
        <v>SEPONTI</v>
      </c>
      <c r="P3743" s="35" t="str">
        <f>IFERROR(__xludf.DUMMYFUNCTION("""COMPUTED_VALUE"""),"PONTIANAK")</f>
        <v>PONTIANAK</v>
      </c>
      <c r="Q3743" s="35" t="str">
        <f>IFERROR(__xludf.DUMMYFUNCTION("""COMPUTED_VALUE"""),"KALIMANTAN BARAT")</f>
        <v>KALIMANTAN BARAT</v>
      </c>
      <c r="R3743" s="35" t="str">
        <f>IFERROR(__xludf.DUMMYFUNCTION("""COMPUTED_VALUE"""),"ISLAM")</f>
        <v>ISLAM</v>
      </c>
      <c r="S3743" s="74" t="str">
        <f>IFERROR(__xludf.DUMMYFUNCTION("""COMPUTED_VALUE"""),"PEDAGANG")</f>
        <v>PEDAGANG</v>
      </c>
      <c r="T3743" s="35" t="str">
        <f>IFERROR(__xludf.DUMMYFUNCTION("""COMPUTED_VALUE"""),"KAKI SAKIT")</f>
        <v>KAKI SAKIT</v>
      </c>
      <c r="U3743" s="35" t="str">
        <f>IFERROR(__xludf.DUMMYFUNCTION("""COMPUTED_VALUE"""),"-")</f>
        <v>-</v>
      </c>
      <c r="V3743" s="35" t="str">
        <f>IFERROR(__xludf.DUMMYFUNCTION("""COMPUTED_VALUE"""),"082159531925")</f>
        <v>082159531925</v>
      </c>
      <c r="W3743" s="45"/>
    </row>
    <row r="3744">
      <c r="A3744" s="45"/>
      <c r="B3744" s="35" t="str">
        <f>IFERROR(__xludf.DUMMYFUNCTION("""COMPUTED_VALUE"""),"27/04/2026 14:22:56")</f>
        <v>27/04/2026 14:22:56</v>
      </c>
      <c r="C3744" s="35"/>
      <c r="D3744" s="10">
        <f>IFERROR(__xludf.DUMMYFUNCTION("""COMPUTED_VALUE"""),46139.0)</f>
        <v>46139</v>
      </c>
      <c r="E3744" s="35" t="str">
        <f>IFERROR(__xludf.DUMMYFUNCTION("""COMPUTED_VALUE"""),"04Apr")</f>
        <v>04Apr</v>
      </c>
      <c r="F3744" s="35"/>
      <c r="G3744" s="35" t="str">
        <f>IFERROR(__xludf.DUMMYFUNCTION("""COMPUTED_VALUE"""),"EVIE YULINDA")</f>
        <v>EVIE YULINDA</v>
      </c>
      <c r="H3744" s="35" t="str">
        <f>IFERROR(__xludf.DUMMYFUNCTION("""COMPUTED_VALUE"""),"E6526041157")</f>
        <v>E6526041157</v>
      </c>
      <c r="I3744" s="35">
        <f>IFERROR(__xludf.DUMMYFUNCTION("""COMPUTED_VALUE"""),60.0)</f>
        <v>60</v>
      </c>
      <c r="J3744" s="35" t="str">
        <f>IFERROR(__xludf.DUMMYFUNCTION("""COMPUTED_VALUE"""),"&gt; 44 tahun")</f>
        <v>&gt; 44 tahun</v>
      </c>
      <c r="K3744" s="35" t="str">
        <f>IFERROR(__xludf.DUMMYFUNCTION("""COMPUTED_VALUE"""),"14/07/1965")</f>
        <v>14/07/1965</v>
      </c>
      <c r="L3744" s="35" t="str">
        <f>IFERROR(__xludf.DUMMYFUNCTION("""COMPUTED_VALUE"""),"PEREMPUAN")</f>
        <v>PEREMPUAN</v>
      </c>
      <c r="M3744" s="35" t="str">
        <f>IFERROR(__xludf.DUMMYFUNCTION("""COMPUTED_VALUE"""),"JL. H.M SUWIGNYO KOMP. CITRA INDAH 1 E-10")</f>
        <v>JL. H.M SUWIGNYO KOMP. CITRA INDAH 1 E-10</v>
      </c>
      <c r="N3744" s="35" t="str">
        <f>IFERROR(__xludf.DUMMYFUNCTION("""COMPUTED_VALUE"""),"SUNGAI JAWI")</f>
        <v>SUNGAI JAWI</v>
      </c>
      <c r="O3744" s="35" t="str">
        <f>IFERROR(__xludf.DUMMYFUNCTION("""COMPUTED_VALUE"""),"PONTIANAK KOTA")</f>
        <v>PONTIANAK KOTA</v>
      </c>
      <c r="P3744" s="35" t="str">
        <f>IFERROR(__xludf.DUMMYFUNCTION("""COMPUTED_VALUE"""),"PONTIANAK")</f>
        <v>PONTIANAK</v>
      </c>
      <c r="Q3744" s="35" t="str">
        <f>IFERROR(__xludf.DUMMYFUNCTION("""COMPUTED_VALUE"""),"KALIMANTAN BARAT")</f>
        <v>KALIMANTAN BARAT</v>
      </c>
      <c r="R3744" s="35" t="str">
        <f>IFERROR(__xludf.DUMMYFUNCTION("""COMPUTED_VALUE"""),"ISLAM")</f>
        <v>ISLAM</v>
      </c>
      <c r="S3744" s="74" t="str">
        <f>IFERROR(__xludf.DUMMYFUNCTION("""COMPUTED_VALUE"""),"BUMN")</f>
        <v>BUMN</v>
      </c>
      <c r="T3744" s="35" t="str">
        <f>IFERROR(__xludf.DUMMYFUNCTION("""COMPUTED_VALUE"""),"KAKI SAKIT SAMPAI PINGGANG")</f>
        <v>KAKI SAKIT SAMPAI PINGGANG</v>
      </c>
      <c r="U3744" s="35" t="str">
        <f>IFERROR(__xludf.DUMMYFUNCTION("""COMPUTED_VALUE"""),"-")</f>
        <v>-</v>
      </c>
      <c r="V3744" s="35" t="str">
        <f>IFERROR(__xludf.DUMMYFUNCTION("""COMPUTED_VALUE"""),"0811561157")</f>
        <v>0811561157</v>
      </c>
      <c r="W3744" s="45"/>
    </row>
    <row r="3745">
      <c r="A3745" s="45"/>
      <c r="B3745" s="35" t="str">
        <f>IFERROR(__xludf.DUMMYFUNCTION("""COMPUTED_VALUE"""),"27/04/2026 14:19:55")</f>
        <v>27/04/2026 14:19:55</v>
      </c>
      <c r="C3745" s="35"/>
      <c r="D3745" s="10">
        <f>IFERROR(__xludf.DUMMYFUNCTION("""COMPUTED_VALUE"""),46139.0)</f>
        <v>46139</v>
      </c>
      <c r="E3745" s="35" t="str">
        <f>IFERROR(__xludf.DUMMYFUNCTION("""COMPUTED_VALUE"""),"04Apr")</f>
        <v>04Apr</v>
      </c>
      <c r="F3745" s="35"/>
      <c r="G3745" s="35" t="str">
        <f>IFERROR(__xludf.DUMMYFUNCTION("""COMPUTED_VALUE"""),"TOMY")</f>
        <v>TOMY</v>
      </c>
      <c r="H3745" s="35" t="str">
        <f>IFERROR(__xludf.DUMMYFUNCTION("""COMPUTED_VALUE"""),"T9026049599")</f>
        <v>T9026049599</v>
      </c>
      <c r="I3745" s="35">
        <f>IFERROR(__xludf.DUMMYFUNCTION("""COMPUTED_VALUE"""),35.0)</f>
        <v>35</v>
      </c>
      <c r="J3745" s="35" t="str">
        <f>IFERROR(__xludf.DUMMYFUNCTION("""COMPUTED_VALUE"""),"35-44 tahun")</f>
        <v>35-44 tahun</v>
      </c>
      <c r="K3745" s="35" t="str">
        <f>IFERROR(__xludf.DUMMYFUNCTION("""COMPUTED_VALUE"""),"18/09/1990")</f>
        <v>18/09/1990</v>
      </c>
      <c r="L3745" s="35" t="str">
        <f>IFERROR(__xludf.DUMMYFUNCTION("""COMPUTED_VALUE"""),"LAKI-LAKI")</f>
        <v>LAKI-LAKI</v>
      </c>
      <c r="M3745" s="35" t="str">
        <f>IFERROR(__xludf.DUMMYFUNCTION("""COMPUTED_VALUE"""),"JALAN GAMA 4 NO 67P")</f>
        <v>JALAN GAMA 4 NO 67P</v>
      </c>
      <c r="N3745" s="35" t="str">
        <f>IFERROR(__xludf.DUMMYFUNCTION("""COMPUTED_VALUE"""),"PONTIANAK ")</f>
        <v>PONTIANAK </v>
      </c>
      <c r="O3745" s="35" t="str">
        <f>IFERROR(__xludf.DUMMYFUNCTION("""COMPUTED_VALUE"""),"BENUA MELAYU DARAT")</f>
        <v>BENUA MELAYU DARAT</v>
      </c>
      <c r="P3745" s="35" t="str">
        <f>IFERROR(__xludf.DUMMYFUNCTION("""COMPUTED_VALUE"""),"PONTIANAK SELATAN")</f>
        <v>PONTIANAK SELATAN</v>
      </c>
      <c r="Q3745" s="35" t="str">
        <f>IFERROR(__xludf.DUMMYFUNCTION("""COMPUTED_VALUE"""),"KALIMANTAN BARAT")</f>
        <v>KALIMANTAN BARAT</v>
      </c>
      <c r="R3745" s="35" t="str">
        <f>IFERROR(__xludf.DUMMYFUNCTION("""COMPUTED_VALUE"""),"KATOLIK")</f>
        <v>KATOLIK</v>
      </c>
      <c r="S3745" s="74" t="str">
        <f>IFERROR(__xludf.DUMMYFUNCTION("""COMPUTED_VALUE"""),"WIRAUSAHA")</f>
        <v>WIRAUSAHA</v>
      </c>
      <c r="T3745" s="35" t="str">
        <f>IFERROR(__xludf.DUMMYFUNCTION("""COMPUTED_VALUE"""),"SALAH TIDUR GA BISA LIAT ATAS")</f>
        <v>SALAH TIDUR GA BISA LIAT ATAS</v>
      </c>
      <c r="U3745" s="35" t="str">
        <f>IFERROR(__xludf.DUMMYFUNCTION("""COMPUTED_VALUE"""),"GA TAU")</f>
        <v>GA TAU</v>
      </c>
      <c r="V3745" s="35" t="str">
        <f>IFERROR(__xludf.DUMMYFUNCTION("""COMPUTED_VALUE"""),"0285353599599")</f>
        <v>0285353599599</v>
      </c>
      <c r="W3745" s="45"/>
    </row>
    <row r="3746">
      <c r="A3746" s="45"/>
      <c r="B3746" s="35" t="str">
        <f>IFERROR(__xludf.DUMMYFUNCTION("""COMPUTED_VALUE"""),"27/04/2026 20:45:38")</f>
        <v>27/04/2026 20:45:38</v>
      </c>
      <c r="C3746" s="35"/>
      <c r="D3746" s="10">
        <f>IFERROR(__xludf.DUMMYFUNCTION("""COMPUTED_VALUE"""),46139.0)</f>
        <v>46139</v>
      </c>
      <c r="E3746" s="35" t="str">
        <f>IFERROR(__xludf.DUMMYFUNCTION("""COMPUTED_VALUE"""),"04Apr")</f>
        <v>04Apr</v>
      </c>
      <c r="F3746" s="35"/>
      <c r="G3746" s="35" t="str">
        <f>IFERROR(__xludf.DUMMYFUNCTION("""COMPUTED_VALUE"""),"AURELLIA RAHMA DWIYANTI")</f>
        <v>AURELLIA RAHMA DWIYANTI</v>
      </c>
      <c r="H3746" s="35" t="str">
        <f>IFERROR(__xludf.DUMMYFUNCTION("""COMPUTED_VALUE"""),"A0926040847")</f>
        <v>A0926040847</v>
      </c>
      <c r="I3746" s="35">
        <f>IFERROR(__xludf.DUMMYFUNCTION("""COMPUTED_VALUE"""),16.0)</f>
        <v>16</v>
      </c>
      <c r="J3746" s="35" t="str">
        <f>IFERROR(__xludf.DUMMYFUNCTION("""COMPUTED_VALUE"""),"&lt; 18 tahun")</f>
        <v>&lt; 18 tahun</v>
      </c>
      <c r="K3746" s="35" t="str">
        <f>IFERROR(__xludf.DUMMYFUNCTION("""COMPUTED_VALUE"""),"09/10/2009")</f>
        <v>09/10/2009</v>
      </c>
      <c r="L3746" s="35" t="str">
        <f>IFERROR(__xludf.DUMMYFUNCTION("""COMPUTED_VALUE"""),"PEREMPUAN")</f>
        <v>PEREMPUAN</v>
      </c>
      <c r="M3746" s="35" t="str">
        <f>IFERROR(__xludf.DUMMYFUNCTION("""COMPUTED_VALUE"""),"JL.KARYA BARU GG.KARYA BARU 3 NO 27")</f>
        <v>JL.KARYA BARU GG.KARYA BARU 3 NO 27</v>
      </c>
      <c r="N3746" s="35" t="str">
        <f>IFERROR(__xludf.DUMMYFUNCTION("""COMPUTED_VALUE"""),"PARIT TOKAYA")</f>
        <v>PARIT TOKAYA</v>
      </c>
      <c r="O3746" s="35" t="str">
        <f>IFERROR(__xludf.DUMMYFUNCTION("""COMPUTED_VALUE"""),"PONTIANAK SELATAN")</f>
        <v>PONTIANAK SELATAN</v>
      </c>
      <c r="P3746" s="35" t="str">
        <f>IFERROR(__xludf.DUMMYFUNCTION("""COMPUTED_VALUE"""),"KOTA PONTIANAK")</f>
        <v>KOTA PONTIANAK</v>
      </c>
      <c r="Q3746" s="35" t="str">
        <f>IFERROR(__xludf.DUMMYFUNCTION("""COMPUTED_VALUE"""),"KALIMANTAN BARAT")</f>
        <v>KALIMANTAN BARAT</v>
      </c>
      <c r="R3746" s="35" t="str">
        <f>IFERROR(__xludf.DUMMYFUNCTION("""COMPUTED_VALUE"""),"ISLAM")</f>
        <v>ISLAM</v>
      </c>
      <c r="S3746" s="74" t="str">
        <f>IFERROR(__xludf.DUMMYFUNCTION("""COMPUTED_VALUE"""),"PELAJAR")</f>
        <v>PELAJAR</v>
      </c>
      <c r="T3746" s="35" t="str">
        <f>IFERROR(__xludf.DUMMYFUNCTION("""COMPUTED_VALUE"""),"LUTUT BUNYI KADANG NGILU")</f>
        <v>LUTUT BUNYI KADANG NGILU</v>
      </c>
      <c r="U3746" s="35" t="str">
        <f>IFERROR(__xludf.DUMMYFUNCTION("""COMPUTED_VALUE"""),"BASKET")</f>
        <v>BASKET</v>
      </c>
      <c r="V3746" s="35" t="str">
        <f>IFERROR(__xludf.DUMMYFUNCTION("""COMPUTED_VALUE"""),"085943250847")</f>
        <v>085943250847</v>
      </c>
      <c r="W3746" s="45"/>
    </row>
    <row r="3747">
      <c r="A3747" s="45"/>
      <c r="B3747" s="35" t="str">
        <f>IFERROR(__xludf.DUMMYFUNCTION("""COMPUTED_VALUE"""),"27/04/2026 21:26:02")</f>
        <v>27/04/2026 21:26:02</v>
      </c>
      <c r="C3747" s="35"/>
      <c r="D3747" s="10">
        <f>IFERROR(__xludf.DUMMYFUNCTION("""COMPUTED_VALUE"""),46140.0)</f>
        <v>46140</v>
      </c>
      <c r="E3747" s="35" t="str">
        <f>IFERROR(__xludf.DUMMYFUNCTION("""COMPUTED_VALUE"""),"04Apr")</f>
        <v>04Apr</v>
      </c>
      <c r="F3747" s="35"/>
      <c r="G3747" s="35" t="str">
        <f>IFERROR(__xludf.DUMMYFUNCTION("""COMPUTED_VALUE"""),"ISTIQOMAH")</f>
        <v>ISTIQOMAH</v>
      </c>
      <c r="H3747" s="35" t="str">
        <f>IFERROR(__xludf.DUMMYFUNCTION("""COMPUTED_VALUE"""),"I9926040518")</f>
        <v>I9926040518</v>
      </c>
      <c r="I3747" s="35">
        <f>IFERROR(__xludf.DUMMYFUNCTION("""COMPUTED_VALUE"""),26.0)</f>
        <v>26</v>
      </c>
      <c r="J3747" s="35" t="str">
        <f>IFERROR(__xludf.DUMMYFUNCTION("""COMPUTED_VALUE"""),"25-34 tahun")</f>
        <v>25-34 tahun</v>
      </c>
      <c r="K3747" s="35" t="str">
        <f>IFERROR(__xludf.DUMMYFUNCTION("""COMPUTED_VALUE"""),"01/08/1999")</f>
        <v>01/08/1999</v>
      </c>
      <c r="L3747" s="35" t="str">
        <f>IFERROR(__xludf.DUMMYFUNCTION("""COMPUTED_VALUE"""),"PEREMPUAN")</f>
        <v>PEREMPUAN</v>
      </c>
      <c r="M3747" s="35" t="str">
        <f>IFERROR(__xludf.DUMMYFUNCTION("""COMPUTED_VALUE"""),"TANRAY 1")</f>
        <v>TANRAY 1</v>
      </c>
      <c r="N3747" s="35" t="str">
        <f>IFERROR(__xludf.DUMMYFUNCTION("""COMPUTED_VALUE"""),"TAMBELAN SAMPIT")</f>
        <v>TAMBELAN SAMPIT</v>
      </c>
      <c r="O3747" s="35" t="str">
        <f>IFERROR(__xludf.DUMMYFUNCTION("""COMPUTED_VALUE"""),"PONTIANAK TIMUR")</f>
        <v>PONTIANAK TIMUR</v>
      </c>
      <c r="P3747" s="35" t="str">
        <f>IFERROR(__xludf.DUMMYFUNCTION("""COMPUTED_VALUE"""),"PONTIANAK")</f>
        <v>PONTIANAK</v>
      </c>
      <c r="Q3747" s="35" t="str">
        <f>IFERROR(__xludf.DUMMYFUNCTION("""COMPUTED_VALUE"""),"KALBAR")</f>
        <v>KALBAR</v>
      </c>
      <c r="R3747" s="35" t="str">
        <f>IFERROR(__xludf.DUMMYFUNCTION("""COMPUTED_VALUE"""),"ISLAM")</f>
        <v>ISLAM</v>
      </c>
      <c r="S3747" s="74" t="str">
        <f>IFERROR(__xludf.DUMMYFUNCTION("""COMPUTED_VALUE"""),"PSIKOLOG KLINIS")</f>
        <v>PSIKOLOG KLINIS</v>
      </c>
      <c r="T3747" s="35" t="str">
        <f>IFERROR(__xludf.DUMMYFUNCTION("""COMPUTED_VALUE"""),"NYERI PUNDAK SBLH KANAN DN TLNG  BLKNG K KAKIII ")</f>
        <v>NYERI PUNDAK SBLH KANAN DN TLNG  BLKNG K KAKIII </v>
      </c>
      <c r="U3747" s="35" t="str">
        <f>IFERROR(__xludf.DUMMYFUNCTION("""COMPUTED_VALUE"""),"DUDUK SEHARIANN DEI PAGI SMPE MLM KERJA")</f>
        <v>DUDUK SEHARIANN DEI PAGI SMPE MLM KERJA</v>
      </c>
      <c r="V3747" s="35" t="str">
        <f>IFERROR(__xludf.DUMMYFUNCTION("""COMPUTED_VALUE"""),"089665980518")</f>
        <v>089665980518</v>
      </c>
      <c r="W3747" s="45"/>
    </row>
    <row r="3748">
      <c r="A3748" s="45"/>
      <c r="B3748" s="35" t="str">
        <f>IFERROR(__xludf.DUMMYFUNCTION("""COMPUTED_VALUE"""),"28/04/2026 10:23:13")</f>
        <v>28/04/2026 10:23:13</v>
      </c>
      <c r="C3748" s="35"/>
      <c r="D3748" s="10">
        <f>IFERROR(__xludf.DUMMYFUNCTION("""COMPUTED_VALUE"""),46140.0)</f>
        <v>46140</v>
      </c>
      <c r="E3748" s="35" t="str">
        <f>IFERROR(__xludf.DUMMYFUNCTION("""COMPUTED_VALUE"""),"04Apr")</f>
        <v>04Apr</v>
      </c>
      <c r="F3748" s="35"/>
      <c r="G3748" s="35" t="str">
        <f>IFERROR(__xludf.DUMMYFUNCTION("""COMPUTED_VALUE"""),"KARIU SIDISMO")</f>
        <v>KARIU SIDISMO</v>
      </c>
      <c r="H3748" s="35" t="str">
        <f>IFERROR(__xludf.DUMMYFUNCTION("""COMPUTED_VALUE"""),"K6226042437")</f>
        <v>K6226042437</v>
      </c>
      <c r="I3748" s="35">
        <f>IFERROR(__xludf.DUMMYFUNCTION("""COMPUTED_VALUE"""),63.0)</f>
        <v>63</v>
      </c>
      <c r="J3748" s="35" t="str">
        <f>IFERROR(__xludf.DUMMYFUNCTION("""COMPUTED_VALUE"""),"&gt; 44 tahun")</f>
        <v>&gt; 44 tahun</v>
      </c>
      <c r="K3748" s="35" t="str">
        <f>IFERROR(__xludf.DUMMYFUNCTION("""COMPUTED_VALUE"""),"21/09/1962")</f>
        <v>21/09/1962</v>
      </c>
      <c r="L3748" s="35" t="str">
        <f>IFERROR(__xludf.DUMMYFUNCTION("""COMPUTED_VALUE"""),"LAKI-LAKI")</f>
        <v>LAKI-LAKI</v>
      </c>
      <c r="M3748" s="35" t="str">
        <f>IFERROR(__xludf.DUMMYFUNCTION("""COMPUTED_VALUE"""),"JL. KY SUDARSO GG. LAMTORO JALUR 3 NO. 87")</f>
        <v>JL. KY SUDARSO GG. LAMTORO JALUR 3 NO. 87</v>
      </c>
      <c r="N3748" s="35" t="str">
        <f>IFERROR(__xludf.DUMMYFUNCTION("""COMPUTED_VALUE"""),"SUNGAI BELIUNG")</f>
        <v>SUNGAI BELIUNG</v>
      </c>
      <c r="O3748" s="35" t="str">
        <f>IFERROR(__xludf.DUMMYFUNCTION("""COMPUTED_VALUE"""),"PONTIANAK BARAT")</f>
        <v>PONTIANAK BARAT</v>
      </c>
      <c r="P3748" s="35" t="str">
        <f>IFERROR(__xludf.DUMMYFUNCTION("""COMPUTED_VALUE"""),"PONTIANAK")</f>
        <v>PONTIANAK</v>
      </c>
      <c r="Q3748" s="35" t="str">
        <f>IFERROR(__xludf.DUMMYFUNCTION("""COMPUTED_VALUE"""),"KALIMANTAN BARAT")</f>
        <v>KALIMANTAN BARAT</v>
      </c>
      <c r="R3748" s="35" t="str">
        <f>IFERROR(__xludf.DUMMYFUNCTION("""COMPUTED_VALUE"""),"ISLAM")</f>
        <v>ISLAM</v>
      </c>
      <c r="S3748" s="74" t="str">
        <f>IFERROR(__xludf.DUMMYFUNCTION("""COMPUTED_VALUE"""),"KARYAWAN SWASTA")</f>
        <v>KARYAWAN SWASTA</v>
      </c>
      <c r="T3748" s="35" t="str">
        <f>IFERROR(__xludf.DUMMYFUNCTION("""COMPUTED_VALUE"""),"SAKIT DI TULANG BELAKANG")</f>
        <v>SAKIT DI TULANG BELAKANG</v>
      </c>
      <c r="U3748" s="35" t="str">
        <f>IFERROR(__xludf.DUMMYFUNCTION("""COMPUTED_VALUE"""),"-")</f>
        <v>-</v>
      </c>
      <c r="V3748" s="35" t="str">
        <f>IFERROR(__xludf.DUMMYFUNCTION("""COMPUTED_VALUE"""),"082256442437")</f>
        <v>082256442437</v>
      </c>
      <c r="W3748" s="45"/>
    </row>
    <row r="3749">
      <c r="A3749" s="45"/>
      <c r="B3749" s="35" t="str">
        <f>IFERROR(__xludf.DUMMYFUNCTION("""COMPUTED_VALUE"""),"28/04/2026 11:40:38")</f>
        <v>28/04/2026 11:40:38</v>
      </c>
      <c r="C3749" s="35"/>
      <c r="D3749" s="10">
        <f>IFERROR(__xludf.DUMMYFUNCTION("""COMPUTED_VALUE"""),46140.0)</f>
        <v>46140</v>
      </c>
      <c r="E3749" s="35" t="str">
        <f>IFERROR(__xludf.DUMMYFUNCTION("""COMPUTED_VALUE"""),"04Apr")</f>
        <v>04Apr</v>
      </c>
      <c r="F3749" s="35"/>
      <c r="G3749" s="35" t="str">
        <f>IFERROR(__xludf.DUMMYFUNCTION("""COMPUTED_VALUE"""),"M BAMBANG SUMANTRI")</f>
        <v>M BAMBANG SUMANTRI</v>
      </c>
      <c r="H3749" s="35" t="str">
        <f>IFERROR(__xludf.DUMMYFUNCTION("""COMPUTED_VALUE"""),"M0826042608")</f>
        <v>M0826042608</v>
      </c>
      <c r="I3749" s="35">
        <f>IFERROR(__xludf.DUMMYFUNCTION("""COMPUTED_VALUE"""),18.0)</f>
        <v>18</v>
      </c>
      <c r="J3749" s="35" t="str">
        <f>IFERROR(__xludf.DUMMYFUNCTION("""COMPUTED_VALUE"""),"&lt; 18 tahun")</f>
        <v>&lt; 18 tahun</v>
      </c>
      <c r="K3749" s="35" t="str">
        <f>IFERROR(__xludf.DUMMYFUNCTION("""COMPUTED_VALUE"""),"20/05/2008")</f>
        <v>20/05/2008</v>
      </c>
      <c r="L3749" s="35" t="str">
        <f>IFERROR(__xludf.DUMMYFUNCTION("""COMPUTED_VALUE"""),"LAKI-LAKI")</f>
        <v>LAKI-LAKI</v>
      </c>
      <c r="M3749" s="35" t="str">
        <f>IFERROR(__xludf.DUMMYFUNCTION("""COMPUTED_VALUE"""),"DUSUN MARGO MULYO")</f>
        <v>DUSUN MARGO MULYO</v>
      </c>
      <c r="N3749" s="35" t="str">
        <f>IFERROR(__xludf.DUMMYFUNCTION("""COMPUTED_VALUE"""),"DESA KALIMAS BARU")</f>
        <v>DESA KALIMAS BARU</v>
      </c>
      <c r="O3749" s="35" t="str">
        <f>IFERROR(__xludf.DUMMYFUNCTION("""COMPUTED_VALUE"""),"KEC.TUMBANG TITI")</f>
        <v>KEC.TUMBANG TITI</v>
      </c>
      <c r="P3749" s="35" t="str">
        <f>IFERROR(__xludf.DUMMYFUNCTION("""COMPUTED_VALUE"""),"KETAPANG")</f>
        <v>KETAPANG</v>
      </c>
      <c r="Q3749" s="35" t="str">
        <f>IFERROR(__xludf.DUMMYFUNCTION("""COMPUTED_VALUE"""),"KALBAR")</f>
        <v>KALBAR</v>
      </c>
      <c r="R3749" s="35" t="str">
        <f>IFERROR(__xludf.DUMMYFUNCTION("""COMPUTED_VALUE"""),"ISLAM")</f>
        <v>ISLAM</v>
      </c>
      <c r="S3749" s="74" t="str">
        <f>IFERROR(__xludf.DUMMYFUNCTION("""COMPUTED_VALUE"""),"PELAJAR")</f>
        <v>PELAJAR</v>
      </c>
      <c r="T3749" s="35" t="str">
        <f>IFERROR(__xludf.DUMMYFUNCTION("""COMPUTED_VALUE"""),"KAKI X 6CM")</f>
        <v>KAKI X 6CM</v>
      </c>
      <c r="U3749" s="35" t="str">
        <f>IFERROR(__xludf.DUMMYFUNCTION("""COMPUTED_VALUE"""),"LARI")</f>
        <v>LARI</v>
      </c>
      <c r="V3749" s="35" t="str">
        <f>IFERROR(__xludf.DUMMYFUNCTION("""COMPUTED_VALUE"""),"085752502608")</f>
        <v>085752502608</v>
      </c>
      <c r="W3749" s="45"/>
    </row>
    <row r="3750">
      <c r="A3750" s="45"/>
      <c r="B3750" s="35" t="str">
        <f>IFERROR(__xludf.DUMMYFUNCTION("""COMPUTED_VALUE"""),"28/04/2026 14:28:20")</f>
        <v>28/04/2026 14:28:20</v>
      </c>
      <c r="C3750" s="35"/>
      <c r="D3750" s="10">
        <f>IFERROR(__xludf.DUMMYFUNCTION("""COMPUTED_VALUE"""),46140.0)</f>
        <v>46140</v>
      </c>
      <c r="E3750" s="35" t="str">
        <f>IFERROR(__xludf.DUMMYFUNCTION("""COMPUTED_VALUE"""),"04Apr")</f>
        <v>04Apr</v>
      </c>
      <c r="F3750" s="35"/>
      <c r="G3750" s="35" t="str">
        <f>IFERROR(__xludf.DUMMYFUNCTION("""COMPUTED_VALUE"""),"H. ANTON PRASETYO")</f>
        <v>H. ANTON PRASETYO</v>
      </c>
      <c r="H3750" s="35" t="str">
        <f>IFERROR(__xludf.DUMMYFUNCTION("""COMPUTED_VALUE"""),"H6026048898")</f>
        <v>H6026048898</v>
      </c>
      <c r="I3750" s="35">
        <f>IFERROR(__xludf.DUMMYFUNCTION("""COMPUTED_VALUE"""),66.0)</f>
        <v>66</v>
      </c>
      <c r="J3750" s="35" t="str">
        <f>IFERROR(__xludf.DUMMYFUNCTION("""COMPUTED_VALUE"""),"&gt; 44 tahun")</f>
        <v>&gt; 44 tahun</v>
      </c>
      <c r="K3750" s="35" t="str">
        <f>IFERROR(__xludf.DUMMYFUNCTION("""COMPUTED_VALUE"""),"29/05/1960")</f>
        <v>29/05/1960</v>
      </c>
      <c r="L3750" s="35" t="str">
        <f>IFERROR(__xludf.DUMMYFUNCTION("""COMPUTED_VALUE"""),"LAKI-LAKI")</f>
        <v>LAKI-LAKI</v>
      </c>
      <c r="M3750" s="35" t="str">
        <f>IFERROR(__xludf.DUMMYFUNCTION("""COMPUTED_VALUE"""),"JL. WONOBARU NO.1")</f>
        <v>JL. WONOBARU NO.1</v>
      </c>
      <c r="N3750" s="35" t="str">
        <f>IFERROR(__xludf.DUMMYFUNCTION("""COMPUTED_VALUE"""),"AKCAYA")</f>
        <v>AKCAYA</v>
      </c>
      <c r="O3750" s="35" t="str">
        <f>IFERROR(__xludf.DUMMYFUNCTION("""COMPUTED_VALUE"""),"PONTIANAK SELATAN")</f>
        <v>PONTIANAK SELATAN</v>
      </c>
      <c r="P3750" s="35" t="str">
        <f>IFERROR(__xludf.DUMMYFUNCTION("""COMPUTED_VALUE"""),"PONTIANAK")</f>
        <v>PONTIANAK</v>
      </c>
      <c r="Q3750" s="35" t="str">
        <f>IFERROR(__xludf.DUMMYFUNCTION("""COMPUTED_VALUE"""),"KALIMANTAN BARAT")</f>
        <v>KALIMANTAN BARAT</v>
      </c>
      <c r="R3750" s="35" t="str">
        <f>IFERROR(__xludf.DUMMYFUNCTION("""COMPUTED_VALUE"""),"ISLAM")</f>
        <v>ISLAM</v>
      </c>
      <c r="S3750" s="74" t="str">
        <f>IFERROR(__xludf.DUMMYFUNCTION("""COMPUTED_VALUE"""),"KARYAWAN SWASTA")</f>
        <v>KARYAWAN SWASTA</v>
      </c>
      <c r="T3750" s="35" t="str">
        <f>IFERROR(__xludf.DUMMYFUNCTION("""COMPUTED_VALUE"""),"KAKI KIRI SUSAH GERAK KARENA PERNAH STROKE")</f>
        <v>KAKI KIRI SUSAH GERAK KARENA PERNAH STROKE</v>
      </c>
      <c r="U3750" s="35" t="str">
        <f>IFERROR(__xludf.DUMMYFUNCTION("""COMPUTED_VALUE"""),"-")</f>
        <v>-</v>
      </c>
      <c r="V3750" s="35" t="str">
        <f>IFERROR(__xludf.DUMMYFUNCTION("""COMPUTED_VALUE"""),"085349898898")</f>
        <v>085349898898</v>
      </c>
      <c r="W3750" s="45"/>
    </row>
    <row r="3751">
      <c r="A3751" s="45"/>
      <c r="B3751" s="35" t="str">
        <f>IFERROR(__xludf.DUMMYFUNCTION("""COMPUTED_VALUE"""),"28/04/2026 17:13:56")</f>
        <v>28/04/2026 17:13:56</v>
      </c>
      <c r="C3751" s="35"/>
      <c r="D3751" s="10">
        <f>IFERROR(__xludf.DUMMYFUNCTION("""COMPUTED_VALUE"""),46140.0)</f>
        <v>46140</v>
      </c>
      <c r="E3751" s="35" t="str">
        <f>IFERROR(__xludf.DUMMYFUNCTION("""COMPUTED_VALUE"""),"04Apr")</f>
        <v>04Apr</v>
      </c>
      <c r="F3751" s="35"/>
      <c r="G3751" s="35" t="str">
        <f>IFERROR(__xludf.DUMMYFUNCTION("""COMPUTED_VALUE"""),"ABANG BUSRANUDIN")</f>
        <v>ABANG BUSRANUDIN</v>
      </c>
      <c r="H3751" s="35" t="str">
        <f>IFERROR(__xludf.DUMMYFUNCTION("""COMPUTED_VALUE"""),"A9526047213")</f>
        <v>A9526047213</v>
      </c>
      <c r="I3751" s="35">
        <f>IFERROR(__xludf.DUMMYFUNCTION("""COMPUTED_VALUE"""),30.0)</f>
        <v>30</v>
      </c>
      <c r="J3751" s="35" t="str">
        <f>IFERROR(__xludf.DUMMYFUNCTION("""COMPUTED_VALUE"""),"25-34 tahun")</f>
        <v>25-34 tahun</v>
      </c>
      <c r="K3751" s="35" t="str">
        <f>IFERROR(__xludf.DUMMYFUNCTION("""COMPUTED_VALUE"""),"20/10/1995")</f>
        <v>20/10/1995</v>
      </c>
      <c r="L3751" s="35" t="str">
        <f>IFERROR(__xludf.DUMMYFUNCTION("""COMPUTED_VALUE"""),"LAKI-LAKI")</f>
        <v>LAKI-LAKI</v>
      </c>
      <c r="M3751" s="35" t="str">
        <f>IFERROR(__xludf.DUMMYFUNCTION("""COMPUTED_VALUE"""),"JALAN KARYA, JALAN MASJID PARIT HARUNA KOMPLEK GRIYA TAMAN GREEN LIGHT ")</f>
        <v>JALAN KARYA, JALAN MASJID PARIT HARUNA KOMPLEK GRIYA TAMAN GREEN LIGHT </v>
      </c>
      <c r="N3751" s="35" t="str">
        <f>IFERROR(__xludf.DUMMYFUNCTION("""COMPUTED_VALUE"""),"PAL IX")</f>
        <v>PAL IX</v>
      </c>
      <c r="O3751" s="35" t="str">
        <f>IFERROR(__xludf.DUMMYFUNCTION("""COMPUTED_VALUE"""),"SUNGAI KAKAP")</f>
        <v>SUNGAI KAKAP</v>
      </c>
      <c r="P3751" s="35" t="str">
        <f>IFERROR(__xludf.DUMMYFUNCTION("""COMPUTED_VALUE"""),"KUBU RAYA")</f>
        <v>KUBU RAYA</v>
      </c>
      <c r="Q3751" s="35" t="str">
        <f>IFERROR(__xludf.DUMMYFUNCTION("""COMPUTED_VALUE"""),"KALIMANTAN BARAT")</f>
        <v>KALIMANTAN BARAT</v>
      </c>
      <c r="R3751" s="35" t="str">
        <f>IFERROR(__xludf.DUMMYFUNCTION("""COMPUTED_VALUE"""),"ISLAM")</f>
        <v>ISLAM</v>
      </c>
      <c r="S3751" s="74" t="str">
        <f>IFERROR(__xludf.DUMMYFUNCTION("""COMPUTED_VALUE"""),"SWASTA")</f>
        <v>SWASTA</v>
      </c>
      <c r="T3751" s="35" t="str">
        <f>IFERROR(__xludf.DUMMYFUNCTION("""COMPUTED_VALUE"""),"SAKIT JARI JEMPOL TANGAN KIRI")</f>
        <v>SAKIT JARI JEMPOL TANGAN KIRI</v>
      </c>
      <c r="U3751" s="35" t="str">
        <f>IFERROR(__xludf.DUMMYFUNCTION("""COMPUTED_VALUE"""),"BAWA MOTOR SAKIT, KERJA YANG ANGKAT2 SAKIT")</f>
        <v>BAWA MOTOR SAKIT, KERJA YANG ANGKAT2 SAKIT</v>
      </c>
      <c r="V3751" s="35" t="str">
        <f>IFERROR(__xludf.DUMMYFUNCTION("""COMPUTED_VALUE"""),"081520997213")</f>
        <v>081520997213</v>
      </c>
      <c r="W3751" s="45"/>
    </row>
    <row r="3752">
      <c r="A3752" s="45"/>
      <c r="B3752" s="35" t="str">
        <f>IFERROR(__xludf.DUMMYFUNCTION("""COMPUTED_VALUE"""),"29/04/2026 11:01:23")</f>
        <v>29/04/2026 11:01:23</v>
      </c>
      <c r="C3752" s="35"/>
      <c r="D3752" s="10">
        <f>IFERROR(__xludf.DUMMYFUNCTION("""COMPUTED_VALUE"""),46141.0)</f>
        <v>46141</v>
      </c>
      <c r="E3752" s="35" t="str">
        <f>IFERROR(__xludf.DUMMYFUNCTION("""COMPUTED_VALUE"""),"04Apr")</f>
        <v>04Apr</v>
      </c>
      <c r="F3752" s="35"/>
      <c r="G3752" s="35" t="str">
        <f>IFERROR(__xludf.DUMMYFUNCTION("""COMPUTED_VALUE"""),"IWAN GUNAWAN")</f>
        <v>IWAN GUNAWAN</v>
      </c>
      <c r="H3752" s="35" t="str">
        <f>IFERROR(__xludf.DUMMYFUNCTION("""COMPUTED_VALUE"""),"I8026045527")</f>
        <v>I8026045527</v>
      </c>
      <c r="I3752" s="35">
        <f>IFERROR(__xludf.DUMMYFUNCTION("""COMPUTED_VALUE"""),45.0)</f>
        <v>45</v>
      </c>
      <c r="J3752" s="35" t="str">
        <f>IFERROR(__xludf.DUMMYFUNCTION("""COMPUTED_VALUE"""),"&gt; 44 tahun")</f>
        <v>&gt; 44 tahun</v>
      </c>
      <c r="K3752" s="35" t="str">
        <f>IFERROR(__xludf.DUMMYFUNCTION("""COMPUTED_VALUE"""),"10/09/1980")</f>
        <v>10/09/1980</v>
      </c>
      <c r="L3752" s="35" t="str">
        <f>IFERROR(__xludf.DUMMYFUNCTION("""COMPUTED_VALUE"""),"LAKI-LAKI")</f>
        <v>LAKI-LAKI</v>
      </c>
      <c r="M3752" s="35" t="str">
        <f>IFERROR(__xludf.DUMMYFUNCTION("""COMPUTED_VALUE"""),"JL. TANJUNG RAYA II NO.3")</f>
        <v>JL. TANJUNG RAYA II NO.3</v>
      </c>
      <c r="N3752" s="35" t="str">
        <f>IFERROR(__xludf.DUMMYFUNCTION("""COMPUTED_VALUE"""),"SAIGON")</f>
        <v>SAIGON</v>
      </c>
      <c r="O3752" s="35" t="str">
        <f>IFERROR(__xludf.DUMMYFUNCTION("""COMPUTED_VALUE"""),"PONTIANAK TIMUR")</f>
        <v>PONTIANAK TIMUR</v>
      </c>
      <c r="P3752" s="35" t="str">
        <f>IFERROR(__xludf.DUMMYFUNCTION("""COMPUTED_VALUE"""),"PONTIANAK")</f>
        <v>PONTIANAK</v>
      </c>
      <c r="Q3752" s="35" t="str">
        <f>IFERROR(__xludf.DUMMYFUNCTION("""COMPUTED_VALUE"""),"KALIMANTAN BARAT")</f>
        <v>KALIMANTAN BARAT</v>
      </c>
      <c r="R3752" s="35" t="str">
        <f>IFERROR(__xludf.DUMMYFUNCTION("""COMPUTED_VALUE"""),"BUDDHA")</f>
        <v>BUDDHA</v>
      </c>
      <c r="S3752" s="74" t="str">
        <f>IFERROR(__xludf.DUMMYFUNCTION("""COMPUTED_VALUE"""),"KARYAWAN SWASTA")</f>
        <v>KARYAWAN SWASTA</v>
      </c>
      <c r="T3752" s="35" t="str">
        <f>IFERROR(__xludf.DUMMYFUNCTION("""COMPUTED_VALUE"""),"TANGAN KEBAS HABIS OPERASI")</f>
        <v>TANGAN KEBAS HABIS OPERASI</v>
      </c>
      <c r="U3752" s="35" t="str">
        <f>IFERROR(__xludf.DUMMYFUNCTION("""COMPUTED_VALUE"""),"-")</f>
        <v>-</v>
      </c>
      <c r="V3752" s="35" t="str">
        <f>IFERROR(__xludf.DUMMYFUNCTION("""COMPUTED_VALUE"""),"085245715527")</f>
        <v>085245715527</v>
      </c>
      <c r="W3752" s="45"/>
    </row>
    <row r="3753">
      <c r="A3753" s="45"/>
      <c r="B3753" s="35" t="str">
        <f>IFERROR(__xludf.DUMMYFUNCTION("""COMPUTED_VALUE"""),"28/04/2026 15:21:50")</f>
        <v>28/04/2026 15:21:50</v>
      </c>
      <c r="C3753" s="35"/>
      <c r="D3753" s="10">
        <f>IFERROR(__xludf.DUMMYFUNCTION("""COMPUTED_VALUE"""),46141.0)</f>
        <v>46141</v>
      </c>
      <c r="E3753" s="35" t="str">
        <f>IFERROR(__xludf.DUMMYFUNCTION("""COMPUTED_VALUE"""),"04Apr")</f>
        <v>04Apr</v>
      </c>
      <c r="F3753" s="35"/>
      <c r="G3753" s="35" t="str">
        <f>IFERROR(__xludf.DUMMYFUNCTION("""COMPUTED_VALUE"""),"AGUSTONO")</f>
        <v>AGUSTONO</v>
      </c>
      <c r="H3753" s="35" t="str">
        <f>IFERROR(__xludf.DUMMYFUNCTION("""COMPUTED_VALUE"""),"A6726040451")</f>
        <v>A6726040451</v>
      </c>
      <c r="I3753" s="35">
        <f>IFERROR(__xludf.DUMMYFUNCTION("""COMPUTED_VALUE"""),58.0)</f>
        <v>58</v>
      </c>
      <c r="J3753" s="35" t="str">
        <f>IFERROR(__xludf.DUMMYFUNCTION("""COMPUTED_VALUE"""),"&gt; 44 tahun")</f>
        <v>&gt; 44 tahun</v>
      </c>
      <c r="K3753" s="35" t="str">
        <f>IFERROR(__xludf.DUMMYFUNCTION("""COMPUTED_VALUE"""),"18/08/1967")</f>
        <v>18/08/1967</v>
      </c>
      <c r="L3753" s="35" t="str">
        <f>IFERROR(__xludf.DUMMYFUNCTION("""COMPUTED_VALUE"""),"LAKI-LAKI")</f>
        <v>LAKI-LAKI</v>
      </c>
      <c r="M3753" s="35" t="str">
        <f>IFERROR(__xludf.DUMMYFUNCTION("""COMPUTED_VALUE"""),"JL DANAU SENTARUM KOMP SEJAHTERA ")</f>
        <v>JL DANAU SENTARUM KOMP SEJAHTERA </v>
      </c>
      <c r="N3753" s="35" t="str">
        <f>IFERROR(__xludf.DUMMYFUNCTION("""COMPUTED_VALUE"""),"SUNGAI BANGKONG ")</f>
        <v>SUNGAI BANGKONG </v>
      </c>
      <c r="O3753" s="35" t="str">
        <f>IFERROR(__xludf.DUMMYFUNCTION("""COMPUTED_VALUE"""),"PONTIANAK")</f>
        <v>PONTIANAK</v>
      </c>
      <c r="P3753" s="35" t="str">
        <f>IFERROR(__xludf.DUMMYFUNCTION("""COMPUTED_VALUE"""),"KOTA PONTIANAK")</f>
        <v>KOTA PONTIANAK</v>
      </c>
      <c r="Q3753" s="35" t="str">
        <f>IFERROR(__xludf.DUMMYFUNCTION("""COMPUTED_VALUE"""),"KALIMANTAN BARAT")</f>
        <v>KALIMANTAN BARAT</v>
      </c>
      <c r="R3753" s="35" t="str">
        <f>IFERROR(__xludf.DUMMYFUNCTION("""COMPUTED_VALUE"""),"ISLAM")</f>
        <v>ISLAM</v>
      </c>
      <c r="S3753" s="74" t="str">
        <f>IFERROR(__xludf.DUMMYFUNCTION("""COMPUTED_VALUE"""),"SWASTA")</f>
        <v>SWASTA</v>
      </c>
      <c r="T3753" s="35" t="str">
        <f>IFERROR(__xludf.DUMMYFUNCTION("""COMPUTED_VALUE"""),"SAKIT PINGGANG DAN KESEMUTAN SAMPAI KAKI, DAN TANGAN KEBAS")</f>
        <v>SAKIT PINGGANG DAN KESEMUTAN SAMPAI KAKI, DAN TANGAN KEBAS</v>
      </c>
      <c r="U3753" s="35" t="str">
        <f>IFERROR(__xludf.DUMMYFUNCTION("""COMPUTED_VALUE"""),"MENGANGKAT BERAT")</f>
        <v>MENGANGKAT BERAT</v>
      </c>
      <c r="V3753" s="35" t="str">
        <f>IFERROR(__xludf.DUMMYFUNCTION("""COMPUTED_VALUE"""),"089611350451")</f>
        <v>089611350451</v>
      </c>
      <c r="W3753" s="45"/>
    </row>
    <row r="3754">
      <c r="A3754" s="45"/>
      <c r="B3754" s="35" t="str">
        <f>IFERROR(__xludf.DUMMYFUNCTION("""COMPUTED_VALUE"""),"29/04/2026 11:35:20")</f>
        <v>29/04/2026 11:35:20</v>
      </c>
      <c r="C3754" s="35"/>
      <c r="D3754" s="10">
        <f>IFERROR(__xludf.DUMMYFUNCTION("""COMPUTED_VALUE"""),46141.0)</f>
        <v>46141</v>
      </c>
      <c r="E3754" s="35" t="str">
        <f>IFERROR(__xludf.DUMMYFUNCTION("""COMPUTED_VALUE"""),"04Apr")</f>
        <v>04Apr</v>
      </c>
      <c r="F3754" s="35"/>
      <c r="G3754" s="35" t="str">
        <f>IFERROR(__xludf.DUMMYFUNCTION("""COMPUTED_VALUE"""),"LIM MOI TJU")</f>
        <v>LIM MOI TJU</v>
      </c>
      <c r="H3754" s="35" t="str">
        <f>IFERROR(__xludf.DUMMYFUNCTION("""COMPUTED_VALUE"""),"L5926043158")</f>
        <v>L5926043158</v>
      </c>
      <c r="I3754" s="35">
        <f>IFERROR(__xludf.DUMMYFUNCTION("""COMPUTED_VALUE"""),66.0)</f>
        <v>66</v>
      </c>
      <c r="J3754" s="35" t="str">
        <f>IFERROR(__xludf.DUMMYFUNCTION("""COMPUTED_VALUE"""),"&gt; 44 tahun")</f>
        <v>&gt; 44 tahun</v>
      </c>
      <c r="K3754" s="35" t="str">
        <f>IFERROR(__xludf.DUMMYFUNCTION("""COMPUTED_VALUE"""),"21/12/1959")</f>
        <v>21/12/1959</v>
      </c>
      <c r="L3754" s="35" t="str">
        <f>IFERROR(__xludf.DUMMYFUNCTION("""COMPUTED_VALUE"""),"PEREMPUAN")</f>
        <v>PEREMPUAN</v>
      </c>
      <c r="M3754" s="35" t="str">
        <f>IFERROR(__xludf.DUMMYFUNCTION("""COMPUTED_VALUE"""),"JL. PROF. M. YAMIN GG. SINAR USAHA NO. 50")</f>
        <v>JL. PROF. M. YAMIN GG. SINAR USAHA NO. 50</v>
      </c>
      <c r="N3754" s="35" t="str">
        <f>IFERROR(__xludf.DUMMYFUNCTION("""COMPUTED_VALUE"""),"KOTA BARU")</f>
        <v>KOTA BARU</v>
      </c>
      <c r="O3754" s="35" t="str">
        <f>IFERROR(__xludf.DUMMYFUNCTION("""COMPUTED_VALUE"""),"PONTIANAK SELATAN")</f>
        <v>PONTIANAK SELATAN</v>
      </c>
      <c r="P3754" s="35" t="str">
        <f>IFERROR(__xludf.DUMMYFUNCTION("""COMPUTED_VALUE"""),"PONTIANAK")</f>
        <v>PONTIANAK</v>
      </c>
      <c r="Q3754" s="35" t="str">
        <f>IFERROR(__xludf.DUMMYFUNCTION("""COMPUTED_VALUE"""),"KALIMANTAN BARAT")</f>
        <v>KALIMANTAN BARAT</v>
      </c>
      <c r="R3754" s="35" t="str">
        <f>IFERROR(__xludf.DUMMYFUNCTION("""COMPUTED_VALUE"""),"BUDDHA")</f>
        <v>BUDDHA</v>
      </c>
      <c r="S3754" s="74" t="str">
        <f>IFERROR(__xludf.DUMMYFUNCTION("""COMPUTED_VALUE"""),"IBU RUMAH TANGGA")</f>
        <v>IBU RUMAH TANGGA</v>
      </c>
      <c r="T3754" s="35" t="str">
        <f>IFERROR(__xludf.DUMMYFUNCTION("""COMPUTED_VALUE"""),"DARAH TINGGI, KOLESTEROL, BEBERAPA HARI INI KEPALA TERASA SEPERTI BENGONG, NGANTUK, MATA SULIT DIBUKA, PUNDAK KIRI TERASA SAKIT,  5 HARI LALU KEPALA TERPUKUL CUCU SAMPAI TINBUL BENJOLAN BESAR, RIWAYAT PENYAKIT, SEKITAR TAHUN 2022 PERNAH KENA GEJALA STROKE"&amp;", DAN KEMBALI BERULANG TAHUN 2024, GINJAL SEDIKIT GANGGUAN DAN BATU EMPEDU, JARI KAKI SERING KESEMUTAN, KESULITAN TIDUR. ")</f>
        <v>DARAH TINGGI, KOLESTEROL, BEBERAPA HARI INI KEPALA TERASA SEPERTI BENGONG, NGANTUK, MATA SULIT DIBUKA, PUNDAK KIRI TERASA SAKIT,  5 HARI LALU KEPALA TERPUKUL CUCU SAMPAI TINBUL BENJOLAN BESAR, RIWAYAT PENYAKIT, SEKITAR TAHUN 2022 PERNAH KENA GEJALA STROKE, DAN KEMBALI BERULANG TAHUN 2024, GINJAL SEDIKIT GANGGUAN DAN BATU EMPEDU, JARI KAKI SERING KESEMUTAN, KESULITAN TIDUR. </v>
      </c>
      <c r="U3754" s="35" t="str">
        <f>IFERROR(__xludf.DUMMYFUNCTION("""COMPUTED_VALUE"""),"PEKERJAAN RUMAH TANGGA MENGHARUSKAN BANGUN AWAL")</f>
        <v>PEKERJAAN RUMAH TANGGA MENGHARUSKAN BANGUN AWAL</v>
      </c>
      <c r="V3754" s="35" t="str">
        <f>IFERROR(__xludf.DUMMYFUNCTION("""COMPUTED_VALUE"""),"082252763158")</f>
        <v>082252763158</v>
      </c>
      <c r="W3754" s="45"/>
    </row>
    <row r="3755">
      <c r="A3755" s="45"/>
      <c r="B3755" s="35" t="str">
        <f>IFERROR(__xludf.DUMMYFUNCTION("""COMPUTED_VALUE"""),"29/04/2026 15:44:59")</f>
        <v>29/04/2026 15:44:59</v>
      </c>
      <c r="C3755" s="35"/>
      <c r="D3755" s="10">
        <f>IFERROR(__xludf.DUMMYFUNCTION("""COMPUTED_VALUE"""),46141.0)</f>
        <v>46141</v>
      </c>
      <c r="E3755" s="35" t="str">
        <f>IFERROR(__xludf.DUMMYFUNCTION("""COMPUTED_VALUE"""),"04Apr")</f>
        <v>04Apr</v>
      </c>
      <c r="F3755" s="35"/>
      <c r="G3755" s="35" t="str">
        <f>IFERROR(__xludf.DUMMYFUNCTION("""COMPUTED_VALUE"""),"DEWI WAHYUDANINGSIH")</f>
        <v>DEWI WAHYUDANINGSIH</v>
      </c>
      <c r="H3755" s="35" t="str">
        <f>IFERROR(__xludf.DUMMYFUNCTION("""COMPUTED_VALUE"""),"D7326044231")</f>
        <v>D7326044231</v>
      </c>
      <c r="I3755" s="35">
        <f>IFERROR(__xludf.DUMMYFUNCTION("""COMPUTED_VALUE"""),53.0)</f>
        <v>53</v>
      </c>
      <c r="J3755" s="35" t="str">
        <f>IFERROR(__xludf.DUMMYFUNCTION("""COMPUTED_VALUE"""),"&gt; 44 tahun")</f>
        <v>&gt; 44 tahun</v>
      </c>
      <c r="K3755" s="35" t="str">
        <f>IFERROR(__xludf.DUMMYFUNCTION("""COMPUTED_VALUE"""),"13/05/1973")</f>
        <v>13/05/1973</v>
      </c>
      <c r="L3755" s="35" t="str">
        <f>IFERROR(__xludf.DUMMYFUNCTION("""COMPUTED_VALUE"""),"PEREMPUAN")</f>
        <v>PEREMPUAN</v>
      </c>
      <c r="M3755" s="35" t="str">
        <f>IFERROR(__xludf.DUMMYFUNCTION("""COMPUTED_VALUE"""),"JL. PARIS 2 KOMP. ALEX GRIYA PERMAI 3 BLOK B NO.40")</f>
        <v>JL. PARIS 2 KOMP. ALEX GRIYA PERMAI 3 BLOK B NO.40</v>
      </c>
      <c r="N3755" s="35" t="str">
        <f>IFERROR(__xludf.DUMMYFUNCTION("""COMPUTED_VALUE"""),"BANSIR DARAT")</f>
        <v>BANSIR DARAT</v>
      </c>
      <c r="O3755" s="35" t="str">
        <f>IFERROR(__xludf.DUMMYFUNCTION("""COMPUTED_VALUE"""),"PONTIANAK TENGGARA")</f>
        <v>PONTIANAK TENGGARA</v>
      </c>
      <c r="P3755" s="35" t="str">
        <f>IFERROR(__xludf.DUMMYFUNCTION("""COMPUTED_VALUE"""),"KOTA PONTIANAK")</f>
        <v>KOTA PONTIANAK</v>
      </c>
      <c r="Q3755" s="35" t="str">
        <f>IFERROR(__xludf.DUMMYFUNCTION("""COMPUTED_VALUE"""),"KALIMANTAN BARAT")</f>
        <v>KALIMANTAN BARAT</v>
      </c>
      <c r="R3755" s="35" t="str">
        <f>IFERROR(__xludf.DUMMYFUNCTION("""COMPUTED_VALUE"""),"ISLAM")</f>
        <v>ISLAM</v>
      </c>
      <c r="S3755" s="74" t="str">
        <f>IFERROR(__xludf.DUMMYFUNCTION("""COMPUTED_VALUE"""),"IBU RUMAH TANGGA")</f>
        <v>IBU RUMAH TANGGA</v>
      </c>
      <c r="T3755" s="35" t="str">
        <f>IFERROR(__xludf.DUMMYFUNCTION("""COMPUTED_VALUE"""),"TANGAN BENGKAK, KAKU DAN TERASA NGILU TERUTAMA DI BAGIAN IBU JARI")</f>
        <v>TANGAN BENGKAK, KAKU DAN TERASA NGILU TERUTAMA DI BAGIAN IBU JARI</v>
      </c>
      <c r="U3755" s="35" t="str">
        <f>IFERROR(__xludf.DUMMYFUNCTION("""COMPUTED_VALUE"""),"TERLALU LAMA MEMEGANG PONSEL")</f>
        <v>TERLALU LAMA MEMEGANG PONSEL</v>
      </c>
      <c r="V3755" s="35" t="str">
        <f>IFERROR(__xludf.DUMMYFUNCTION("""COMPUTED_VALUE"""),"082250014231")</f>
        <v>082250014231</v>
      </c>
      <c r="W3755" s="45"/>
    </row>
    <row r="3756">
      <c r="A3756" s="45"/>
      <c r="B3756" s="35" t="str">
        <f>IFERROR(__xludf.DUMMYFUNCTION("""COMPUTED_VALUE"""),"29/04/2026 15:48:51")</f>
        <v>29/04/2026 15:48:51</v>
      </c>
      <c r="C3756" s="35"/>
      <c r="D3756" s="10">
        <f>IFERROR(__xludf.DUMMYFUNCTION("""COMPUTED_VALUE"""),46141.0)</f>
        <v>46141</v>
      </c>
      <c r="E3756" s="35" t="str">
        <f>IFERROR(__xludf.DUMMYFUNCTION("""COMPUTED_VALUE"""),"04Apr")</f>
        <v>04Apr</v>
      </c>
      <c r="F3756" s="35"/>
      <c r="G3756" s="35" t="str">
        <f>IFERROR(__xludf.DUMMYFUNCTION("""COMPUTED_VALUE"""),"PUTRI SAMPURNA DEWI")</f>
        <v>PUTRI SAMPURNA DEWI</v>
      </c>
      <c r="H3756" s="35" t="str">
        <f>IFERROR(__xludf.DUMMYFUNCTION("""COMPUTED_VALUE"""),"P9126049381")</f>
        <v>P9126049381</v>
      </c>
      <c r="I3756" s="35">
        <f>IFERROR(__xludf.DUMMYFUNCTION("""COMPUTED_VALUE"""),34.0)</f>
        <v>34</v>
      </c>
      <c r="J3756" s="35" t="str">
        <f>IFERROR(__xludf.DUMMYFUNCTION("""COMPUTED_VALUE"""),"25-34 tahun")</f>
        <v>25-34 tahun</v>
      </c>
      <c r="K3756" s="35" t="str">
        <f>IFERROR(__xludf.DUMMYFUNCTION("""COMPUTED_VALUE"""),"16/09/1991")</f>
        <v>16/09/1991</v>
      </c>
      <c r="L3756" s="35" t="str">
        <f>IFERROR(__xludf.DUMMYFUNCTION("""COMPUTED_VALUE"""),"PEREMPUAN")</f>
        <v>PEREMPUAN</v>
      </c>
      <c r="M3756" s="35" t="str">
        <f>IFERROR(__xludf.DUMMYFUNCTION("""COMPUTED_VALUE"""),"JL. PARIS 2 KOMP. ALEX GRIYA PERMAI 3 BLOK B NO.40")</f>
        <v>JL. PARIS 2 KOMP. ALEX GRIYA PERMAI 3 BLOK B NO.40</v>
      </c>
      <c r="N3756" s="35" t="str">
        <f>IFERROR(__xludf.DUMMYFUNCTION("""COMPUTED_VALUE"""),"BANSIR DARAT")</f>
        <v>BANSIR DARAT</v>
      </c>
      <c r="O3756" s="35" t="str">
        <f>IFERROR(__xludf.DUMMYFUNCTION("""COMPUTED_VALUE"""),"PONTIANAK TENGGARA")</f>
        <v>PONTIANAK TENGGARA</v>
      </c>
      <c r="P3756" s="35" t="str">
        <f>IFERROR(__xludf.DUMMYFUNCTION("""COMPUTED_VALUE"""),"KOTA PONTIANAK")</f>
        <v>KOTA PONTIANAK</v>
      </c>
      <c r="Q3756" s="35" t="str">
        <f>IFERROR(__xludf.DUMMYFUNCTION("""COMPUTED_VALUE"""),"KALIMANTAN BARAT")</f>
        <v>KALIMANTAN BARAT</v>
      </c>
      <c r="R3756" s="35" t="str">
        <f>IFERROR(__xludf.DUMMYFUNCTION("""COMPUTED_VALUE"""),"ISLAM")</f>
        <v>ISLAM</v>
      </c>
      <c r="S3756" s="74" t="str">
        <f>IFERROR(__xludf.DUMMYFUNCTION("""COMPUTED_VALUE"""),"IBU RUMAH TANGGA")</f>
        <v>IBU RUMAH TANGGA</v>
      </c>
      <c r="T3756" s="35" t="str">
        <f>IFERROR(__xludf.DUMMYFUNCTION("""COMPUTED_VALUE"""),"PEREDARAN DARAH TIDAK LANCAR, KAKI DAN PINGGANG TERKADANG TERASA PEGAL")</f>
        <v>PEREDARAN DARAH TIDAK LANCAR, KAKI DAN PINGGANG TERKADANG TERASA PEGAL</v>
      </c>
      <c r="U3756" s="35" t="str">
        <f>IFERROR(__xludf.DUMMYFUNCTION("""COMPUTED_VALUE"""),"KURANG GERAK")</f>
        <v>KURANG GERAK</v>
      </c>
      <c r="V3756" s="35" t="str">
        <f>IFERROR(__xludf.DUMMYFUNCTION("""COMPUTED_VALUE"""),"081254489381")</f>
        <v>081254489381</v>
      </c>
      <c r="W3756" s="45"/>
    </row>
    <row r="3757">
      <c r="A3757" s="45"/>
      <c r="B3757" s="35" t="str">
        <f>IFERROR(__xludf.DUMMYFUNCTION("""COMPUTED_VALUE"""),"29/04/2026 16:46:58")</f>
        <v>29/04/2026 16:46:58</v>
      </c>
      <c r="C3757" s="35"/>
      <c r="D3757" s="10">
        <f>IFERROR(__xludf.DUMMYFUNCTION("""COMPUTED_VALUE"""),46141.0)</f>
        <v>46141</v>
      </c>
      <c r="E3757" s="35" t="str">
        <f>IFERROR(__xludf.DUMMYFUNCTION("""COMPUTED_VALUE"""),"04Apr")</f>
        <v>04Apr</v>
      </c>
      <c r="F3757" s="35"/>
      <c r="G3757" s="35" t="str">
        <f>IFERROR(__xludf.DUMMYFUNCTION("""COMPUTED_VALUE"""),"ERIC")</f>
        <v>ERIC</v>
      </c>
      <c r="H3757" s="35" t="str">
        <f>IFERROR(__xludf.DUMMYFUNCTION("""COMPUTED_VALUE"""),"E9326041991")</f>
        <v>E9326041991</v>
      </c>
      <c r="I3757" s="35">
        <f>IFERROR(__xludf.DUMMYFUNCTION("""COMPUTED_VALUE"""),32.0)</f>
        <v>32</v>
      </c>
      <c r="J3757" s="35" t="str">
        <f>IFERROR(__xludf.DUMMYFUNCTION("""COMPUTED_VALUE"""),"25-34 tahun")</f>
        <v>25-34 tahun</v>
      </c>
      <c r="K3757" s="35" t="str">
        <f>IFERROR(__xludf.DUMMYFUNCTION("""COMPUTED_VALUE"""),"30/10/1993")</f>
        <v>30/10/1993</v>
      </c>
      <c r="L3757" s="35" t="str">
        <f>IFERROR(__xludf.DUMMYFUNCTION("""COMPUTED_VALUE"""),"LAKI-LAKI")</f>
        <v>LAKI-LAKI</v>
      </c>
      <c r="M3757" s="35" t="str">
        <f>IFERROR(__xludf.DUMMYFUNCTION("""COMPUTED_VALUE"""),"JL. DIPONEGORO NO 79")</f>
        <v>JL. DIPONEGORO NO 79</v>
      </c>
      <c r="N3757" s="35" t="str">
        <f>IFERROR(__xludf.DUMMYFUNCTION("""COMPUTED_VALUE"""),"DARAT SEKIP")</f>
        <v>DARAT SEKIP</v>
      </c>
      <c r="O3757" s="35" t="str">
        <f>IFERROR(__xludf.DUMMYFUNCTION("""COMPUTED_VALUE"""),"PONTIANAK KOTA")</f>
        <v>PONTIANAK KOTA</v>
      </c>
      <c r="P3757" s="35" t="str">
        <f>IFERROR(__xludf.DUMMYFUNCTION("""COMPUTED_VALUE"""),"PONTIANAK")</f>
        <v>PONTIANAK</v>
      </c>
      <c r="Q3757" s="35" t="str">
        <f>IFERROR(__xludf.DUMMYFUNCTION("""COMPUTED_VALUE"""),"KALIMANTAN BARAT")</f>
        <v>KALIMANTAN BARAT</v>
      </c>
      <c r="R3757" s="35" t="str">
        <f>IFERROR(__xludf.DUMMYFUNCTION("""COMPUTED_VALUE"""),"KATOLIK")</f>
        <v>KATOLIK</v>
      </c>
      <c r="S3757" s="74" t="str">
        <f>IFERROR(__xludf.DUMMYFUNCTION("""COMPUTED_VALUE"""),"WIRASWASTA")</f>
        <v>WIRASWASTA</v>
      </c>
      <c r="T3757" s="35" t="str">
        <f>IFERROR(__xludf.DUMMYFUNCTION("""COMPUTED_VALUE"""),"SARAF KEJEPIT KAMBUH")</f>
        <v>SARAF KEJEPIT KAMBUH</v>
      </c>
      <c r="U3757" s="35" t="str">
        <f>IFERROR(__xludf.DUMMYFUNCTION("""COMPUTED_VALUE"""),"BADMINTON")</f>
        <v>BADMINTON</v>
      </c>
      <c r="V3757" s="35" t="str">
        <f>IFERROR(__xludf.DUMMYFUNCTION("""COMPUTED_VALUE"""),"082221201991")</f>
        <v>082221201991</v>
      </c>
      <c r="W3757" s="45"/>
    </row>
    <row r="3758">
      <c r="A3758" s="45"/>
      <c r="B3758" s="35" t="str">
        <f>IFERROR(__xludf.DUMMYFUNCTION("""COMPUTED_VALUE"""),"30/04/2026 19:37:35")</f>
        <v>30/04/2026 19:37:35</v>
      </c>
      <c r="C3758" s="35"/>
      <c r="D3758" s="10">
        <f>IFERROR(__xludf.DUMMYFUNCTION("""COMPUTED_VALUE"""),46143.0)</f>
        <v>46143</v>
      </c>
      <c r="E3758" s="35" t="str">
        <f>IFERROR(__xludf.DUMMYFUNCTION("""COMPUTED_VALUE"""),"05Mei")</f>
        <v>05Mei</v>
      </c>
      <c r="F3758" s="35"/>
      <c r="G3758" s="35" t="str">
        <f>IFERROR(__xludf.DUMMYFUNCTION("""COMPUTED_VALUE"""),"YASHINTA DIAJENG KULAAN")</f>
        <v>YASHINTA DIAJENG KULAAN</v>
      </c>
      <c r="H3758" s="35" t="str">
        <f>IFERROR(__xludf.DUMMYFUNCTION("""COMPUTED_VALUE"""),"Y9426058459")</f>
        <v>Y9426058459</v>
      </c>
      <c r="I3758" s="35">
        <f>IFERROR(__xludf.DUMMYFUNCTION("""COMPUTED_VALUE"""),31.0)</f>
        <v>31</v>
      </c>
      <c r="J3758" s="35" t="str">
        <f>IFERROR(__xludf.DUMMYFUNCTION("""COMPUTED_VALUE"""),"25-34 tahun")</f>
        <v>25-34 tahun</v>
      </c>
      <c r="K3758" s="35" t="str">
        <f>IFERROR(__xludf.DUMMYFUNCTION("""COMPUTED_VALUE"""),"03/12/1994")</f>
        <v>03/12/1994</v>
      </c>
      <c r="L3758" s="35" t="str">
        <f>IFERROR(__xludf.DUMMYFUNCTION("""COMPUTED_VALUE"""),"PEREMPUAN")</f>
        <v>PEREMPUAN</v>
      </c>
      <c r="M3758" s="35" t="str">
        <f>IFERROR(__xludf.DUMMYFUNCTION("""COMPUTED_VALUE"""),"JL. PURNAMA 2. KOMPLEK PURNAMA ELOK NO G2")</f>
        <v>JL. PURNAMA 2. KOMPLEK PURNAMA ELOK NO G2</v>
      </c>
      <c r="N3758" s="35" t="str">
        <f>IFERROR(__xludf.DUMMYFUNCTION("""COMPUTED_VALUE"""),"PARITTOKAYA")</f>
        <v>PARITTOKAYA</v>
      </c>
      <c r="O3758" s="35" t="str">
        <f>IFERROR(__xludf.DUMMYFUNCTION("""COMPUTED_VALUE"""),"PONTIANAK SELATAN")</f>
        <v>PONTIANAK SELATAN</v>
      </c>
      <c r="P3758" s="35" t="str">
        <f>IFERROR(__xludf.DUMMYFUNCTION("""COMPUTED_VALUE"""),"PONTIANAK")</f>
        <v>PONTIANAK</v>
      </c>
      <c r="Q3758" s="35" t="str">
        <f>IFERROR(__xludf.DUMMYFUNCTION("""COMPUTED_VALUE"""),"KALIMANTAN BARAT")</f>
        <v>KALIMANTAN BARAT</v>
      </c>
      <c r="R3758" s="35" t="str">
        <f>IFERROR(__xludf.DUMMYFUNCTION("""COMPUTED_VALUE"""),"KATOLIK")</f>
        <v>KATOLIK</v>
      </c>
      <c r="S3758" s="74" t="str">
        <f>IFERROR(__xludf.DUMMYFUNCTION("""COMPUTED_VALUE"""),"WIRAUSAHA")</f>
        <v>WIRAUSAHA</v>
      </c>
      <c r="T3758" s="35" t="str">
        <f>IFERROR(__xludf.DUMMYFUNCTION("""COMPUTED_VALUE"""),"NYERI LUTUT")</f>
        <v>NYERI LUTUT</v>
      </c>
      <c r="U3758" s="35" t="str">
        <f>IFERROR(__xludf.DUMMYFUNCTION("""COMPUTED_VALUE"""),"OLAHRAGA ")</f>
        <v>OLAHRAGA </v>
      </c>
      <c r="V3758" s="35" t="str">
        <f>IFERROR(__xludf.DUMMYFUNCTION("""COMPUTED_VALUE"""),"081259908459")</f>
        <v>081259908459</v>
      </c>
      <c r="W3758" s="45"/>
    </row>
    <row r="3759">
      <c r="A3759" s="45"/>
      <c r="B3759" s="35" t="str">
        <f>IFERROR(__xludf.DUMMYFUNCTION("""COMPUTED_VALUE"""),"01/05/2026 18:32:17")</f>
        <v>01/05/2026 18:32:17</v>
      </c>
      <c r="C3759" s="35"/>
      <c r="D3759" s="10">
        <f>IFERROR(__xludf.DUMMYFUNCTION("""COMPUTED_VALUE"""),46144.0)</f>
        <v>46144</v>
      </c>
      <c r="E3759" s="35" t="str">
        <f>IFERROR(__xludf.DUMMYFUNCTION("""COMPUTED_VALUE"""),"05Mei")</f>
        <v>05Mei</v>
      </c>
      <c r="F3759" s="35"/>
      <c r="G3759" s="35" t="str">
        <f>IFERROR(__xludf.DUMMYFUNCTION("""COMPUTED_VALUE"""),"IKHSANUDIN 6611")</f>
        <v>IKHSANUDIN 6611</v>
      </c>
      <c r="H3759" s="35" t="str">
        <f>IFERROR(__xludf.DUMMYFUNCTION("""COMPUTED_VALUE"""),"I6626056966")</f>
        <v>I6626056966</v>
      </c>
      <c r="I3759" s="35">
        <f>IFERROR(__xludf.DUMMYFUNCTION("""COMPUTED_VALUE"""),59.0)</f>
        <v>59</v>
      </c>
      <c r="J3759" s="35" t="str">
        <f>IFERROR(__xludf.DUMMYFUNCTION("""COMPUTED_VALUE"""),"&gt; 44 tahun")</f>
        <v>&gt; 44 tahun</v>
      </c>
      <c r="K3759" s="35" t="str">
        <f>IFERROR(__xludf.DUMMYFUNCTION("""COMPUTED_VALUE"""),"05/11/1966")</f>
        <v>05/11/1966</v>
      </c>
      <c r="L3759" s="35" t="str">
        <f>IFERROR(__xludf.DUMMYFUNCTION("""COMPUTED_VALUE"""),"LAKI-LAKI")</f>
        <v>LAKI-LAKI</v>
      </c>
      <c r="M3759" s="35" t="str">
        <f>IFERROR(__xludf.DUMMYFUNCTION("""COMPUTED_VALUE"""),"JALAN NIRBAYA KOMP PURNAMA HIJAU NO 36 ")</f>
        <v>JALAN NIRBAYA KOMP PURNAMA HIJAU NO 36 </v>
      </c>
      <c r="N3759" s="35" t="str">
        <f>IFERROR(__xludf.DUMMYFUNCTION("""COMPUTED_VALUE"""),"KOTA BARU")</f>
        <v>KOTA BARU</v>
      </c>
      <c r="O3759" s="35" t="str">
        <f>IFERROR(__xludf.DUMMYFUNCTION("""COMPUTED_VALUE"""),"PONTIANAK SELATAN ")</f>
        <v>PONTIANAK SELATAN </v>
      </c>
      <c r="P3759" s="35" t="str">
        <f>IFERROR(__xludf.DUMMYFUNCTION("""COMPUTED_VALUE"""),"KOTA PONTIANAK ")</f>
        <v>KOTA PONTIANAK </v>
      </c>
      <c r="Q3759" s="35" t="str">
        <f>IFERROR(__xludf.DUMMYFUNCTION("""COMPUTED_VALUE"""),"KALIMANTAN BARAT")</f>
        <v>KALIMANTAN BARAT</v>
      </c>
      <c r="R3759" s="35" t="str">
        <f>IFERROR(__xludf.DUMMYFUNCTION("""COMPUTED_VALUE"""),"ISLAM")</f>
        <v>ISLAM</v>
      </c>
      <c r="S3759" s="74" t="str">
        <f>IFERROR(__xludf.DUMMYFUNCTION("""COMPUTED_VALUE"""),"PNS - DOSEN")</f>
        <v>PNS - DOSEN</v>
      </c>
      <c r="T3759" s="35" t="str">
        <f>IFERROR(__xludf.DUMMYFUNCTION("""COMPUTED_VALUE"""),"SAKIT KAKI, PERGELANGAN KAKI, OTOT TUNGKAI TERIK HINGGA PINGGANG, PEGAL DI AREA SPINE, SULIT GERAKAN SOLAT ORGAN TUNGKAI HINGGA KAKI, ADA KEBAS JARI TANGAN. ")</f>
        <v>SAKIT KAKI, PERGELANGAN KAKI, OTOT TUNGKAI TERIK HINGGA PINGGANG, PEGAL DI AREA SPINE, SULIT GERAKAN SOLAT ORGAN TUNGKAI HINGGA KAKI, ADA KEBAS JARI TANGAN. </v>
      </c>
      <c r="U3759" s="35" t="str">
        <f>IFERROR(__xludf.DUMMYFUNCTION("""COMPUTED_VALUE"""),"DULU SERING OLAH RAGA. JATUH DIANGGAP BIASA. PERNAH KEPELESET JATUH. PERNAH JATUH BADAN BEPILAS. ")</f>
        <v>DULU SERING OLAH RAGA. JATUH DIANGGAP BIASA. PERNAH KEPELESET JATUH. PERNAH JATUH BADAN BEPILAS. </v>
      </c>
      <c r="V3759" s="35" t="str">
        <f>IFERROR(__xludf.DUMMYFUNCTION("""COMPUTED_VALUE"""),"08125626966")</f>
        <v>08125626966</v>
      </c>
      <c r="W3759" s="45"/>
    </row>
    <row r="3760">
      <c r="A3760" s="45"/>
      <c r="B3760" s="35" t="str">
        <f>IFERROR(__xludf.DUMMYFUNCTION("""COMPUTED_VALUE"""),"02/05/2026 9:46:16")</f>
        <v>02/05/2026 9:46:16</v>
      </c>
      <c r="C3760" s="35"/>
      <c r="D3760" s="10">
        <f>IFERROR(__xludf.DUMMYFUNCTION("""COMPUTED_VALUE"""),46144.0)</f>
        <v>46144</v>
      </c>
      <c r="E3760" s="35" t="str">
        <f>IFERROR(__xludf.DUMMYFUNCTION("""COMPUTED_VALUE"""),"05Mei")</f>
        <v>05Mei</v>
      </c>
      <c r="F3760" s="35"/>
      <c r="G3760" s="35" t="str">
        <f>IFERROR(__xludf.DUMMYFUNCTION("""COMPUTED_VALUE"""),"IMAN ROMADHONI ")</f>
        <v>IMAN ROMADHONI </v>
      </c>
      <c r="H3760" s="35" t="str">
        <f>IFERROR(__xludf.DUMMYFUNCTION("""COMPUTED_VALUE"""),"I0526052947")</f>
        <v>I0526052947</v>
      </c>
      <c r="I3760" s="35">
        <f>IFERROR(__xludf.DUMMYFUNCTION("""COMPUTED_VALUE"""),20.0)</f>
        <v>20</v>
      </c>
      <c r="J3760" s="35" t="str">
        <f>IFERROR(__xludf.DUMMYFUNCTION("""COMPUTED_VALUE"""),"18-24 tahun")</f>
        <v>18-24 tahun</v>
      </c>
      <c r="K3760" s="35" t="str">
        <f>IFERROR(__xludf.DUMMYFUNCTION("""COMPUTED_VALUE"""),"09/10/2005")</f>
        <v>09/10/2005</v>
      </c>
      <c r="L3760" s="35" t="str">
        <f>IFERROR(__xludf.DUMMYFUNCTION("""COMPUTED_VALUE"""),"LAKI-LAKI")</f>
        <v>LAKI-LAKI</v>
      </c>
      <c r="M3760" s="35" t="str">
        <f>IFERROR(__xludf.DUMMYFUNCTION("""COMPUTED_VALUE"""),"NGABANG, KABUPATEN LANDAK KALIMANTAN BARAT")</f>
        <v>NGABANG, KABUPATEN LANDAK KALIMANTAN BARAT</v>
      </c>
      <c r="N3760" s="35" t="str">
        <f>IFERROR(__xludf.DUMMYFUNCTION("""COMPUTED_VALUE"""),"AMBOYO INTI")</f>
        <v>AMBOYO INTI</v>
      </c>
      <c r="O3760" s="35" t="str">
        <f>IFERROR(__xludf.DUMMYFUNCTION("""COMPUTED_VALUE"""),"NGABANG ")</f>
        <v>NGABANG </v>
      </c>
      <c r="P3760" s="35" t="str">
        <f>IFERROR(__xludf.DUMMYFUNCTION("""COMPUTED_VALUE"""),"LANDAK")</f>
        <v>LANDAK</v>
      </c>
      <c r="Q3760" s="35" t="str">
        <f>IFERROR(__xludf.DUMMYFUNCTION("""COMPUTED_VALUE"""),"KALIMANTAN BARAT")</f>
        <v>KALIMANTAN BARAT</v>
      </c>
      <c r="R3760" s="35" t="str">
        <f>IFERROR(__xludf.DUMMYFUNCTION("""COMPUTED_VALUE"""),"ISLAM")</f>
        <v>ISLAM</v>
      </c>
      <c r="S3760" s="74" t="str">
        <f>IFERROR(__xludf.DUMMYFUNCTION("""COMPUTED_VALUE"""),"MAHASISWA ")</f>
        <v>MAHASISWA </v>
      </c>
      <c r="T3760" s="35" t="str">
        <f>IFERROR(__xludf.DUMMYFUNCTION("""COMPUTED_VALUE"""),"CEDERA LUTUT")</f>
        <v>CEDERA LUTUT</v>
      </c>
      <c r="U3760" s="35" t="str">
        <f>IFERROR(__xludf.DUMMYFUNCTION("""COMPUTED_VALUE"""),"FUTSAL DAN SEPAKBOLA ")</f>
        <v>FUTSAL DAN SEPAKBOLA </v>
      </c>
      <c r="V3760" s="35" t="str">
        <f>IFERROR(__xludf.DUMMYFUNCTION("""COMPUTED_VALUE"""),"089689302947")</f>
        <v>089689302947</v>
      </c>
      <c r="W3760" s="45"/>
    </row>
    <row r="3761">
      <c r="A3761" s="45"/>
      <c r="B3761" s="35" t="str">
        <f>IFERROR(__xludf.DUMMYFUNCTION("""COMPUTED_VALUE"""),"02/05/2026 9:46:21")</f>
        <v>02/05/2026 9:46:21</v>
      </c>
      <c r="C3761" s="35"/>
      <c r="D3761" s="10">
        <f>IFERROR(__xludf.DUMMYFUNCTION("""COMPUTED_VALUE"""),46144.0)</f>
        <v>46144</v>
      </c>
      <c r="E3761" s="35" t="str">
        <f>IFERROR(__xludf.DUMMYFUNCTION("""COMPUTED_VALUE"""),"05Mei")</f>
        <v>05Mei</v>
      </c>
      <c r="F3761" s="35"/>
      <c r="G3761" s="35" t="str">
        <f>IFERROR(__xludf.DUMMYFUNCTION("""COMPUTED_VALUE"""),"MERY")</f>
        <v>MERY</v>
      </c>
      <c r="H3761" s="35" t="str">
        <f>IFERROR(__xludf.DUMMYFUNCTION("""COMPUTED_VALUE"""),"M7726058129")</f>
        <v>M7726058129</v>
      </c>
      <c r="I3761" s="35">
        <f>IFERROR(__xludf.DUMMYFUNCTION("""COMPUTED_VALUE"""),49.0)</f>
        <v>49</v>
      </c>
      <c r="J3761" s="35" t="str">
        <f>IFERROR(__xludf.DUMMYFUNCTION("""COMPUTED_VALUE"""),"&gt; 44 tahun")</f>
        <v>&gt; 44 tahun</v>
      </c>
      <c r="K3761" s="35" t="str">
        <f>IFERROR(__xludf.DUMMYFUNCTION("""COMPUTED_VALUE"""),"20/05/1977")</f>
        <v>20/05/1977</v>
      </c>
      <c r="L3761" s="35" t="str">
        <f>IFERROR(__xludf.DUMMYFUNCTION("""COMPUTED_VALUE"""),"PEREMPUAN")</f>
        <v>PEREMPUAN</v>
      </c>
      <c r="M3761" s="35" t="str">
        <f>IFERROR(__xludf.DUMMYFUNCTION("""COMPUTED_VALUE"""),"PODOMORO GG. SUDIHATI NO 17")</f>
        <v>PODOMORO GG. SUDIHATI NO 17</v>
      </c>
      <c r="N3761" s="35" t="str">
        <f>IFERROR(__xludf.DUMMYFUNCTION("""COMPUTED_VALUE"""),"SUNGAI BANGKONG")</f>
        <v>SUNGAI BANGKONG</v>
      </c>
      <c r="O3761" s="35" t="str">
        <f>IFERROR(__xludf.DUMMYFUNCTION("""COMPUTED_VALUE"""),"PONTIANAK KOTA")</f>
        <v>PONTIANAK KOTA</v>
      </c>
      <c r="P3761" s="35" t="str">
        <f>IFERROR(__xludf.DUMMYFUNCTION("""COMPUTED_VALUE"""),"PONTIANAK")</f>
        <v>PONTIANAK</v>
      </c>
      <c r="Q3761" s="35" t="str">
        <f>IFERROR(__xludf.DUMMYFUNCTION("""COMPUTED_VALUE"""),"KALIMANTAN BARAT")</f>
        <v>KALIMANTAN BARAT</v>
      </c>
      <c r="R3761" s="35" t="str">
        <f>IFERROR(__xludf.DUMMYFUNCTION("""COMPUTED_VALUE"""),"BUDDHA")</f>
        <v>BUDDHA</v>
      </c>
      <c r="S3761" s="74" t="str">
        <f>IFERROR(__xludf.DUMMYFUNCTION("""COMPUTED_VALUE"""),"IBU RT")</f>
        <v>IBU RT</v>
      </c>
      <c r="T3761" s="35" t="str">
        <f>IFERROR(__xludf.DUMMYFUNCTION("""COMPUTED_VALUE"""),"NYERI SENDI DI BAHU KIRI, SAAT INI SUSAH DIGERAKKAN DAN SEMALAM MULAI TERASA NYUT2AN")</f>
        <v>NYERI SENDI DI BAHU KIRI, SAAT INI SUSAH DIGERAKKAN DAN SEMALAM MULAI TERASA NYUT2AN</v>
      </c>
      <c r="U3761" s="35" t="str">
        <f>IFERROR(__xludf.DUMMYFUNCTION("""COMPUTED_VALUE"""),"YOGA DAN MGKN SALAH POSISI TIDUR")</f>
        <v>YOGA DAN MGKN SALAH POSISI TIDUR</v>
      </c>
      <c r="V3761" s="35" t="str">
        <f>IFERROR(__xludf.DUMMYFUNCTION("""COMPUTED_VALUE"""),"0811858129")</f>
        <v>0811858129</v>
      </c>
      <c r="W3761" s="45"/>
    </row>
    <row r="3762">
      <c r="A3762" s="45"/>
      <c r="B3762" s="35" t="str">
        <f>IFERROR(__xludf.DUMMYFUNCTION("""COMPUTED_VALUE"""),"02/05/2026 13:19:41")</f>
        <v>02/05/2026 13:19:41</v>
      </c>
      <c r="C3762" s="35"/>
      <c r="D3762" s="10">
        <f>IFERROR(__xludf.DUMMYFUNCTION("""COMPUTED_VALUE"""),46144.0)</f>
        <v>46144</v>
      </c>
      <c r="E3762" s="35" t="str">
        <f>IFERROR(__xludf.DUMMYFUNCTION("""COMPUTED_VALUE"""),"05Mei")</f>
        <v>05Mei</v>
      </c>
      <c r="F3762" s="35"/>
      <c r="G3762" s="35" t="str">
        <f>IFERROR(__xludf.DUMMYFUNCTION("""COMPUTED_VALUE"""),"HELEN")</f>
        <v>HELEN</v>
      </c>
      <c r="H3762" s="35" t="str">
        <f>IFERROR(__xludf.DUMMYFUNCTION("""COMPUTED_VALUE"""),"H8626052100")</f>
        <v>H8626052100</v>
      </c>
      <c r="I3762" s="35">
        <f>IFERROR(__xludf.DUMMYFUNCTION("""COMPUTED_VALUE"""),39.0)</f>
        <v>39</v>
      </c>
      <c r="J3762" s="35" t="str">
        <f>IFERROR(__xludf.DUMMYFUNCTION("""COMPUTED_VALUE"""),"35-44 tahun")</f>
        <v>35-44 tahun</v>
      </c>
      <c r="K3762" s="35" t="str">
        <f>IFERROR(__xludf.DUMMYFUNCTION("""COMPUTED_VALUE"""),"27/06/1986")</f>
        <v>27/06/1986</v>
      </c>
      <c r="L3762" s="35" t="str">
        <f>IFERROR(__xludf.DUMMYFUNCTION("""COMPUTED_VALUE"""),"PEREMPUAN")</f>
        <v>PEREMPUAN</v>
      </c>
      <c r="M3762" s="35" t="str">
        <f>IFERROR(__xludf.DUMMYFUNCTION("""COMPUTED_VALUE"""),"JL PURNAMA 2 KOMP VILLA PURNAMA INDAH ")</f>
        <v>JL PURNAMA 2 KOMP VILLA PURNAMA INDAH </v>
      </c>
      <c r="N3762" s="35" t="str">
        <f>IFERROR(__xludf.DUMMYFUNCTION("""COMPUTED_VALUE"""),"-")</f>
        <v>-</v>
      </c>
      <c r="O3762" s="35" t="str">
        <f>IFERROR(__xludf.DUMMYFUNCTION("""COMPUTED_VALUE"""),"-")</f>
        <v>-</v>
      </c>
      <c r="P3762" s="35" t="str">
        <f>IFERROR(__xludf.DUMMYFUNCTION("""COMPUTED_VALUE"""),"PONTIANAK")</f>
        <v>PONTIANAK</v>
      </c>
      <c r="Q3762" s="35" t="str">
        <f>IFERROR(__xludf.DUMMYFUNCTION("""COMPUTED_VALUE"""),"KALIMANTAN BARAT")</f>
        <v>KALIMANTAN BARAT</v>
      </c>
      <c r="R3762" s="35" t="str">
        <f>IFERROR(__xludf.DUMMYFUNCTION("""COMPUTED_VALUE"""),"BUDDHA")</f>
        <v>BUDDHA</v>
      </c>
      <c r="S3762" s="74" t="str">
        <f>IFERROR(__xludf.DUMMYFUNCTION("""COMPUTED_VALUE"""),"IRT")</f>
        <v>IRT</v>
      </c>
      <c r="T3762" s="35" t="str">
        <f>IFERROR(__xludf.DUMMYFUNCTION("""COMPUTED_VALUE"""),"TELAPAK KAKI, BDAN DAN JARI SAKIT")</f>
        <v>TELAPAK KAKI, BDAN DAN JARI SAKIT</v>
      </c>
      <c r="U3762" s="35" t="str">
        <f>IFERROR(__xludf.DUMMYFUNCTION("""COMPUTED_VALUE"""),"-")</f>
        <v>-</v>
      </c>
      <c r="V3762" s="35" t="str">
        <f>IFERROR(__xludf.DUMMYFUNCTION("""COMPUTED_VALUE"""),"08115682100")</f>
        <v>08115682100</v>
      </c>
      <c r="W3762" s="45"/>
    </row>
    <row r="3763">
      <c r="A3763" s="45"/>
      <c r="B3763" s="35" t="str">
        <f>IFERROR(__xludf.DUMMYFUNCTION("""COMPUTED_VALUE"""),"02/05/2026 13:48:20")</f>
        <v>02/05/2026 13:48:20</v>
      </c>
      <c r="C3763" s="35"/>
      <c r="D3763" s="10">
        <f>IFERROR(__xludf.DUMMYFUNCTION("""COMPUTED_VALUE"""),46144.0)</f>
        <v>46144</v>
      </c>
      <c r="E3763" s="35" t="str">
        <f>IFERROR(__xludf.DUMMYFUNCTION("""COMPUTED_VALUE"""),"05Mei")</f>
        <v>05Mei</v>
      </c>
      <c r="F3763" s="35"/>
      <c r="G3763" s="35" t="str">
        <f>IFERROR(__xludf.DUMMYFUNCTION("""COMPUTED_VALUE"""),"ANDRE DWI CAHYO")</f>
        <v>ANDRE DWI CAHYO</v>
      </c>
      <c r="H3763" s="35" t="str">
        <f>IFERROR(__xludf.DUMMYFUNCTION("""COMPUTED_VALUE"""),"A9626055998")</f>
        <v>A9626055998</v>
      </c>
      <c r="I3763" s="35">
        <f>IFERROR(__xludf.DUMMYFUNCTION("""COMPUTED_VALUE"""),29.0)</f>
        <v>29</v>
      </c>
      <c r="J3763" s="35" t="str">
        <f>IFERROR(__xludf.DUMMYFUNCTION("""COMPUTED_VALUE"""),"25-34 tahun")</f>
        <v>25-34 tahun</v>
      </c>
      <c r="K3763" s="35" t="str">
        <f>IFERROR(__xludf.DUMMYFUNCTION("""COMPUTED_VALUE"""),"12/11/1996")</f>
        <v>12/11/1996</v>
      </c>
      <c r="L3763" s="35" t="str">
        <f>IFERROR(__xludf.DUMMYFUNCTION("""COMPUTED_VALUE"""),"LAKI-LAKI")</f>
        <v>LAKI-LAKI</v>
      </c>
      <c r="M3763" s="35" t="str">
        <f>IFERROR(__xludf.DUMMYFUNCTION("""COMPUTED_VALUE"""),"DUSUN FAJAR KARYA")</f>
        <v>DUSUN FAJAR KARYA</v>
      </c>
      <c r="N3763" s="35" t="str">
        <f>IFERROR(__xludf.DUMMYFUNCTION("""COMPUTED_VALUE"""),"KUBU")</f>
        <v>KUBU</v>
      </c>
      <c r="O3763" s="35" t="str">
        <f>IFERROR(__xludf.DUMMYFUNCTION("""COMPUTED_VALUE"""),"KUBU")</f>
        <v>KUBU</v>
      </c>
      <c r="P3763" s="35" t="str">
        <f>IFERROR(__xludf.DUMMYFUNCTION("""COMPUTED_VALUE"""),"KUBU RAYA")</f>
        <v>KUBU RAYA</v>
      </c>
      <c r="Q3763" s="35" t="str">
        <f>IFERROR(__xludf.DUMMYFUNCTION("""COMPUTED_VALUE"""),"KALIMANTAN BARAT")</f>
        <v>KALIMANTAN BARAT</v>
      </c>
      <c r="R3763" s="35" t="str">
        <f>IFERROR(__xludf.DUMMYFUNCTION("""COMPUTED_VALUE"""),"ISLAM")</f>
        <v>ISLAM</v>
      </c>
      <c r="S3763" s="74" t="str">
        <f>IFERROR(__xludf.DUMMYFUNCTION("""COMPUTED_VALUE"""),"WIRASWASTA ")</f>
        <v>WIRASWASTA </v>
      </c>
      <c r="T3763" s="35" t="str">
        <f>IFERROR(__xludf.DUMMYFUNCTION("""COMPUTED_VALUE"""),"PEGAL BAGIAN LENGAN KANAN SELAMA 2 BULAN")</f>
        <v>PEGAL BAGIAN LENGAN KANAN SELAMA 2 BULAN</v>
      </c>
      <c r="U3763" s="35" t="str">
        <f>IFERROR(__xludf.DUMMYFUNCTION("""COMPUTED_VALUE"""),"STRENGTH TRAINING DAN TREADMILL")</f>
        <v>STRENGTH TRAINING DAN TREADMILL</v>
      </c>
      <c r="V3763" s="35" t="str">
        <f>IFERROR(__xludf.DUMMYFUNCTION("""COMPUTED_VALUE"""),"089692745998")</f>
        <v>089692745998</v>
      </c>
      <c r="W3763" s="45"/>
    </row>
    <row r="3764">
      <c r="A3764" s="45"/>
      <c r="B3764" s="35" t="str">
        <f>IFERROR(__xludf.DUMMYFUNCTION("""COMPUTED_VALUE"""),"02/05/2026 14:52:52")</f>
        <v>02/05/2026 14:52:52</v>
      </c>
      <c r="C3764" s="35"/>
      <c r="D3764" s="10">
        <f>IFERROR(__xludf.DUMMYFUNCTION("""COMPUTED_VALUE"""),46144.0)</f>
        <v>46144</v>
      </c>
      <c r="E3764" s="35" t="str">
        <f>IFERROR(__xludf.DUMMYFUNCTION("""COMPUTED_VALUE"""),"05Mei")</f>
        <v>05Mei</v>
      </c>
      <c r="F3764" s="35"/>
      <c r="G3764" s="35" t="str">
        <f>IFERROR(__xludf.DUMMYFUNCTION("""COMPUTED_VALUE"""),"DELLA SAPUTRI")</f>
        <v>DELLA SAPUTRI</v>
      </c>
      <c r="H3764" s="35" t="str">
        <f>IFERROR(__xludf.DUMMYFUNCTION("""COMPUTED_VALUE"""),"D0126051793")</f>
        <v>D0126051793</v>
      </c>
      <c r="I3764" s="35">
        <f>IFERROR(__xludf.DUMMYFUNCTION("""COMPUTED_VALUE"""),24.0)</f>
        <v>24</v>
      </c>
      <c r="J3764" s="35" t="str">
        <f>IFERROR(__xludf.DUMMYFUNCTION("""COMPUTED_VALUE"""),"18-24 tahun")</f>
        <v>18-24 tahun</v>
      </c>
      <c r="K3764" s="35" t="str">
        <f>IFERROR(__xludf.DUMMYFUNCTION("""COMPUTED_VALUE"""),"01/09/2001")</f>
        <v>01/09/2001</v>
      </c>
      <c r="L3764" s="35" t="str">
        <f>IFERROR(__xludf.DUMMYFUNCTION("""COMPUTED_VALUE"""),"PEREMPUAN")</f>
        <v>PEREMPUAN</v>
      </c>
      <c r="M3764" s="35" t="str">
        <f>IFERROR(__xludf.DUMMYFUNCTION("""COMPUTED_VALUE"""),"JALAN KESEHATAN GANG SUMBER AGUNG 1")</f>
        <v>JALAN KESEHATAN GANG SUMBER AGUNG 1</v>
      </c>
      <c r="N3764" s="35" t="str">
        <f>IFERROR(__xludf.DUMMYFUNCTION("""COMPUTED_VALUE"""),"KOTA BARU")</f>
        <v>KOTA BARU</v>
      </c>
      <c r="O3764" s="35" t="str">
        <f>IFERROR(__xludf.DUMMYFUNCTION("""COMPUTED_VALUE"""),"PONTIANAK SELATAN")</f>
        <v>PONTIANAK SELATAN</v>
      </c>
      <c r="P3764" s="35" t="str">
        <f>IFERROR(__xludf.DUMMYFUNCTION("""COMPUTED_VALUE"""),"KOTA PONTIANAK")</f>
        <v>KOTA PONTIANAK</v>
      </c>
      <c r="Q3764" s="35" t="str">
        <f>IFERROR(__xludf.DUMMYFUNCTION("""COMPUTED_VALUE"""),"KALIMANTAN BARAT")</f>
        <v>KALIMANTAN BARAT</v>
      </c>
      <c r="R3764" s="35" t="str">
        <f>IFERROR(__xludf.DUMMYFUNCTION("""COMPUTED_VALUE"""),"ISLAM")</f>
        <v>ISLAM</v>
      </c>
      <c r="S3764" s="74" t="str">
        <f>IFERROR(__xludf.DUMMYFUNCTION("""COMPUTED_VALUE"""),"-")</f>
        <v>-</v>
      </c>
      <c r="T3764" s="35" t="str">
        <f>IFERROR(__xludf.DUMMYFUNCTION("""COMPUTED_VALUE"""),"KAKI KESELEO")</f>
        <v>KAKI KESELEO</v>
      </c>
      <c r="U3764" s="35" t="str">
        <f>IFERROR(__xludf.DUMMYFUNCTION("""COMPUTED_VALUE"""),"BADMINTON")</f>
        <v>BADMINTON</v>
      </c>
      <c r="V3764" s="35" t="str">
        <f>IFERROR(__xludf.DUMMYFUNCTION("""COMPUTED_VALUE"""),"081521551793")</f>
        <v>081521551793</v>
      </c>
      <c r="W3764" s="45"/>
    </row>
    <row r="3765">
      <c r="A3765" s="45"/>
      <c r="B3765" s="35" t="str">
        <f>IFERROR(__xludf.DUMMYFUNCTION("""COMPUTED_VALUE"""),"02/05/2026 17:14:55")</f>
        <v>02/05/2026 17:14:55</v>
      </c>
      <c r="C3765" s="35"/>
      <c r="D3765" s="10">
        <f>IFERROR(__xludf.DUMMYFUNCTION("""COMPUTED_VALUE"""),46144.0)</f>
        <v>46144</v>
      </c>
      <c r="E3765" s="35" t="str">
        <f>IFERROR(__xludf.DUMMYFUNCTION("""COMPUTED_VALUE"""),"05Mei")</f>
        <v>05Mei</v>
      </c>
      <c r="F3765" s="35"/>
      <c r="G3765" s="35" t="str">
        <f>IFERROR(__xludf.DUMMYFUNCTION("""COMPUTED_VALUE"""),"ADINDA OKA KHAYLA PUTRI")</f>
        <v>ADINDA OKA KHAYLA PUTRI</v>
      </c>
      <c r="H3765" s="35" t="str">
        <f>IFERROR(__xludf.DUMMYFUNCTION("""COMPUTED_VALUE"""),"A0726050007")</f>
        <v>A0726050007</v>
      </c>
      <c r="I3765" s="35">
        <f>IFERROR(__xludf.DUMMYFUNCTION("""COMPUTED_VALUE"""),18.0)</f>
        <v>18</v>
      </c>
      <c r="J3765" s="35" t="str">
        <f>IFERROR(__xludf.DUMMYFUNCTION("""COMPUTED_VALUE"""),"&lt; 18 tahun")</f>
        <v>&lt; 18 tahun</v>
      </c>
      <c r="K3765" s="35" t="str">
        <f>IFERROR(__xludf.DUMMYFUNCTION("""COMPUTED_VALUE"""),"25/09/2007")</f>
        <v>25/09/2007</v>
      </c>
      <c r="L3765" s="35" t="str">
        <f>IFERROR(__xludf.DUMMYFUNCTION("""COMPUTED_VALUE"""),"PEREMPUAN")</f>
        <v>PEREMPUAN</v>
      </c>
      <c r="M3765" s="35" t="str">
        <f>IFERROR(__xludf.DUMMYFUNCTION("""COMPUTED_VALUE"""),"DUSUN DILAGA")</f>
        <v>DUSUN DILAGA</v>
      </c>
      <c r="N3765" s="35" t="str">
        <f>IFERROR(__xludf.DUMMYFUNCTION("""COMPUTED_VALUE"""),"BUNUT HILIR")</f>
        <v>BUNUT HILIR</v>
      </c>
      <c r="O3765" s="35" t="str">
        <f>IFERROR(__xludf.DUMMYFUNCTION("""COMPUTED_VALUE"""),"BUNUT HILIR")</f>
        <v>BUNUT HILIR</v>
      </c>
      <c r="P3765" s="35" t="str">
        <f>IFERROR(__xludf.DUMMYFUNCTION("""COMPUTED_VALUE"""),"PUTUSSIBAU")</f>
        <v>PUTUSSIBAU</v>
      </c>
      <c r="Q3765" s="35" t="str">
        <f>IFERROR(__xludf.DUMMYFUNCTION("""COMPUTED_VALUE"""),"KALIMANTAN BARAT")</f>
        <v>KALIMANTAN BARAT</v>
      </c>
      <c r="R3765" s="35" t="str">
        <f>IFERROR(__xludf.DUMMYFUNCTION("""COMPUTED_VALUE"""),"ISLAM")</f>
        <v>ISLAM</v>
      </c>
      <c r="S3765" s="74" t="str">
        <f>IFERROR(__xludf.DUMMYFUNCTION("""COMPUTED_VALUE"""),"PELAJAR")</f>
        <v>PELAJAR</v>
      </c>
      <c r="T3765" s="35" t="str">
        <f>IFERROR(__xludf.DUMMYFUNCTION("""COMPUTED_VALUE"""),"BAHU MIRING")</f>
        <v>BAHU MIRING</v>
      </c>
      <c r="U3765" s="35" t="str">
        <f>IFERROR(__xludf.DUMMYFUNCTION("""COMPUTED_VALUE"""),"-")</f>
        <v>-</v>
      </c>
      <c r="V3765" s="35" t="str">
        <f>IFERROR(__xludf.DUMMYFUNCTION("""COMPUTED_VALUE"""),"085828680007")</f>
        <v>085828680007</v>
      </c>
      <c r="W3765" s="45"/>
    </row>
    <row r="3766">
      <c r="A3766" s="45"/>
      <c r="B3766" s="35" t="str">
        <f>IFERROR(__xludf.DUMMYFUNCTION("""COMPUTED_VALUE"""),"02/05/2026 19:02:35")</f>
        <v>02/05/2026 19:02:35</v>
      </c>
      <c r="C3766" s="35"/>
      <c r="D3766" s="10">
        <f>IFERROR(__xludf.DUMMYFUNCTION("""COMPUTED_VALUE"""),46144.0)</f>
        <v>46144</v>
      </c>
      <c r="E3766" s="35" t="str">
        <f>IFERROR(__xludf.DUMMYFUNCTION("""COMPUTED_VALUE"""),"05Mei")</f>
        <v>05Mei</v>
      </c>
      <c r="F3766" s="35"/>
      <c r="G3766" s="35" t="str">
        <f>IFERROR(__xludf.DUMMYFUNCTION("""COMPUTED_VALUE"""),"EKA SUSANTI")</f>
        <v>EKA SUSANTI</v>
      </c>
      <c r="H3766" s="35" t="str">
        <f>IFERROR(__xludf.DUMMYFUNCTION("""COMPUTED_VALUE"""),"E9126058138")</f>
        <v>E9126058138</v>
      </c>
      <c r="I3766" s="35">
        <f>IFERROR(__xludf.DUMMYFUNCTION("""COMPUTED_VALUE"""),34.0)</f>
        <v>34</v>
      </c>
      <c r="J3766" s="35" t="str">
        <f>IFERROR(__xludf.DUMMYFUNCTION("""COMPUTED_VALUE"""),"25-34 tahun")</f>
        <v>25-34 tahun</v>
      </c>
      <c r="K3766" s="35" t="str">
        <f>IFERROR(__xludf.DUMMYFUNCTION("""COMPUTED_VALUE"""),"03/08/1991")</f>
        <v>03/08/1991</v>
      </c>
      <c r="L3766" s="35" t="str">
        <f>IFERROR(__xludf.DUMMYFUNCTION("""COMPUTED_VALUE"""),"PEREMPUAN")</f>
        <v>PEREMPUAN</v>
      </c>
      <c r="M3766" s="35" t="str">
        <f>IFERROR(__xludf.DUMMYFUNCTION("""COMPUTED_VALUE"""),"JL DANAU SENTARUM GG SENTARUM JAYA NO E6")</f>
        <v>JL DANAU SENTARUM GG SENTARUM JAYA NO E6</v>
      </c>
      <c r="N3766" s="35" t="str">
        <f>IFERROR(__xludf.DUMMYFUNCTION("""COMPUTED_VALUE"""),"SUNGAI BANGKONG")</f>
        <v>SUNGAI BANGKONG</v>
      </c>
      <c r="O3766" s="35" t="str">
        <f>IFERROR(__xludf.DUMMYFUNCTION("""COMPUTED_VALUE"""),"PONTIANAK KOTA")</f>
        <v>PONTIANAK KOTA</v>
      </c>
      <c r="P3766" s="35" t="str">
        <f>IFERROR(__xludf.DUMMYFUNCTION("""COMPUTED_VALUE"""),"PONTIANAK KOTA")</f>
        <v>PONTIANAK KOTA</v>
      </c>
      <c r="Q3766" s="35" t="str">
        <f>IFERROR(__xludf.DUMMYFUNCTION("""COMPUTED_VALUE"""),"KALBAR")</f>
        <v>KALBAR</v>
      </c>
      <c r="R3766" s="35" t="str">
        <f>IFERROR(__xludf.DUMMYFUNCTION("""COMPUTED_VALUE"""),"BUDDHA")</f>
        <v>BUDDHA</v>
      </c>
      <c r="S3766" s="74" t="str">
        <f>IFERROR(__xludf.DUMMYFUNCTION("""COMPUTED_VALUE"""),"SWASTA")</f>
        <v>SWASTA</v>
      </c>
      <c r="T3766" s="35" t="str">
        <f>IFERROR(__xludf.DUMMYFUNCTION("""COMPUTED_VALUE"""),"SUNGAI BANGKONG")</f>
        <v>SUNGAI BANGKONG</v>
      </c>
      <c r="U3766" s="35" t="str">
        <f>IFERROR(__xludf.DUMMYFUNCTION("""COMPUTED_VALUE"""),"ANGKAT MEJA")</f>
        <v>ANGKAT MEJA</v>
      </c>
      <c r="V3766" s="35" t="str">
        <f>IFERROR(__xludf.DUMMYFUNCTION("""COMPUTED_VALUE"""),"089669088138")</f>
        <v>089669088138</v>
      </c>
      <c r="W3766" s="45"/>
    </row>
    <row r="3767">
      <c r="A3767" s="45"/>
      <c r="B3767" s="35" t="str">
        <f>IFERROR(__xludf.DUMMYFUNCTION("""COMPUTED_VALUE"""),"02/05/2026 20:22:10")</f>
        <v>02/05/2026 20:22:10</v>
      </c>
      <c r="C3767" s="35"/>
      <c r="D3767" s="10">
        <f>IFERROR(__xludf.DUMMYFUNCTION("""COMPUTED_VALUE"""),46144.0)</f>
        <v>46144</v>
      </c>
      <c r="E3767" s="35" t="str">
        <f>IFERROR(__xludf.DUMMYFUNCTION("""COMPUTED_VALUE"""),"05Mei")</f>
        <v>05Mei</v>
      </c>
      <c r="F3767" s="35"/>
      <c r="G3767" s="35" t="str">
        <f>IFERROR(__xludf.DUMMYFUNCTION("""COMPUTED_VALUE"""),"SILKY YESSITA")</f>
        <v>SILKY YESSITA</v>
      </c>
      <c r="H3767" s="35" t="str">
        <f>IFERROR(__xludf.DUMMYFUNCTION("""COMPUTED_VALUE"""),"S7626053377")</f>
        <v>S7626053377</v>
      </c>
      <c r="I3767" s="35">
        <f>IFERROR(__xludf.DUMMYFUNCTION("""COMPUTED_VALUE"""),49.0)</f>
        <v>49</v>
      </c>
      <c r="J3767" s="35" t="str">
        <f>IFERROR(__xludf.DUMMYFUNCTION("""COMPUTED_VALUE"""),"&gt; 44 tahun")</f>
        <v>&gt; 44 tahun</v>
      </c>
      <c r="K3767" s="35" t="str">
        <f>IFERROR(__xludf.DUMMYFUNCTION("""COMPUTED_VALUE"""),"23/10/1976")</f>
        <v>23/10/1976</v>
      </c>
      <c r="L3767" s="35" t="str">
        <f>IFERROR(__xludf.DUMMYFUNCTION("""COMPUTED_VALUE"""),"PEREMPUAN")</f>
        <v>PEREMPUAN</v>
      </c>
      <c r="M3767" s="35" t="str">
        <f>IFERROR(__xludf.DUMMYFUNCTION("""COMPUTED_VALUE"""),"JL UJUNG PANDANG GG SELAT MAKASAR NO 10")</f>
        <v>JL UJUNG PANDANG GG SELAT MAKASAR NO 10</v>
      </c>
      <c r="N3767" s="35" t="str">
        <f>IFERROR(__xludf.DUMMYFUNCTION("""COMPUTED_VALUE"""),"SUNGAI JAWI")</f>
        <v>SUNGAI JAWI</v>
      </c>
      <c r="O3767" s="35" t="str">
        <f>IFERROR(__xludf.DUMMYFUNCTION("""COMPUTED_VALUE"""),"PONTIANAK KOTA")</f>
        <v>PONTIANAK KOTA</v>
      </c>
      <c r="P3767" s="35" t="str">
        <f>IFERROR(__xludf.DUMMYFUNCTION("""COMPUTED_VALUE"""),"KOTA PONTIANAK")</f>
        <v>KOTA PONTIANAK</v>
      </c>
      <c r="Q3767" s="35" t="str">
        <f>IFERROR(__xludf.DUMMYFUNCTION("""COMPUTED_VALUE"""),"KALIMANTANBARAT")</f>
        <v>KALIMANTANBARAT</v>
      </c>
      <c r="R3767" s="35" t="str">
        <f>IFERROR(__xludf.DUMMYFUNCTION("""COMPUTED_VALUE"""),"ISLAM")</f>
        <v>ISLAM</v>
      </c>
      <c r="S3767" s="74" t="str">
        <f>IFERROR(__xludf.DUMMYFUNCTION("""COMPUTED_VALUE"""),"PNS")</f>
        <v>PNS</v>
      </c>
      <c r="T3767" s="35" t="str">
        <f>IFERROR(__xludf.DUMMYFUNCTION("""COMPUTED_VALUE"""),"KENA STROKE KAKI KANAN")</f>
        <v>KENA STROKE KAKI KANAN</v>
      </c>
      <c r="U3767" s="35" t="str">
        <f>IFERROR(__xludf.DUMMYFUNCTION("""COMPUTED_VALUE"""),"BEKERJA")</f>
        <v>BEKERJA</v>
      </c>
      <c r="V3767" s="35" t="str">
        <f>IFERROR(__xludf.DUMMYFUNCTION("""COMPUTED_VALUE"""),"081256703377")</f>
        <v>081256703377</v>
      </c>
      <c r="W3767" s="45"/>
    </row>
    <row r="3768">
      <c r="A3768" s="45"/>
      <c r="B3768" s="35" t="str">
        <f>IFERROR(__xludf.DUMMYFUNCTION("""COMPUTED_VALUE"""),"03/05/2026 9:01:37")</f>
        <v>03/05/2026 9:01:37</v>
      </c>
      <c r="C3768" s="35"/>
      <c r="D3768" s="10">
        <f>IFERROR(__xludf.DUMMYFUNCTION("""COMPUTED_VALUE"""),46145.0)</f>
        <v>46145</v>
      </c>
      <c r="E3768" s="35" t="str">
        <f>IFERROR(__xludf.DUMMYFUNCTION("""COMPUTED_VALUE"""),"05Mei")</f>
        <v>05Mei</v>
      </c>
      <c r="F3768" s="35"/>
      <c r="G3768" s="35" t="str">
        <f>IFERROR(__xludf.DUMMYFUNCTION("""COMPUTED_VALUE"""),"WILLY WINARDI")</f>
        <v>WILLY WINARDI</v>
      </c>
      <c r="H3768" s="35" t="str">
        <f>IFERROR(__xludf.DUMMYFUNCTION("""COMPUTED_VALUE"""),"W8726058052")</f>
        <v>W8726058052</v>
      </c>
      <c r="I3768" s="35">
        <f>IFERROR(__xludf.DUMMYFUNCTION("""COMPUTED_VALUE"""),38.0)</f>
        <v>38</v>
      </c>
      <c r="J3768" s="35" t="str">
        <f>IFERROR(__xludf.DUMMYFUNCTION("""COMPUTED_VALUE"""),"35-44 tahun")</f>
        <v>35-44 tahun</v>
      </c>
      <c r="K3768" s="35" t="str">
        <f>IFERROR(__xludf.DUMMYFUNCTION("""COMPUTED_VALUE"""),"04/07/1987")</f>
        <v>04/07/1987</v>
      </c>
      <c r="L3768" s="35" t="str">
        <f>IFERROR(__xludf.DUMMYFUNCTION("""COMPUTED_VALUE"""),"LAKI-LAKI")</f>
        <v>LAKI-LAKI</v>
      </c>
      <c r="M3768" s="35" t="str">
        <f>IFERROR(__xludf.DUMMYFUNCTION("""COMPUTED_VALUE"""),"TAMAN CIBADUYUT INDAH")</f>
        <v>TAMAN CIBADUYUT INDAH</v>
      </c>
      <c r="N3768" s="35" t="str">
        <f>IFERROR(__xludf.DUMMYFUNCTION("""COMPUTED_VALUE"""),"CANGKUANG KULON")</f>
        <v>CANGKUANG KULON</v>
      </c>
      <c r="O3768" s="35" t="str">
        <f>IFERROR(__xludf.DUMMYFUNCTION("""COMPUTED_VALUE"""),"DAYEUHKOLOT")</f>
        <v>DAYEUHKOLOT</v>
      </c>
      <c r="P3768" s="35" t="str">
        <f>IFERROR(__xludf.DUMMYFUNCTION("""COMPUTED_VALUE"""),"BANDUNG")</f>
        <v>BANDUNG</v>
      </c>
      <c r="Q3768" s="35" t="str">
        <f>IFERROR(__xludf.DUMMYFUNCTION("""COMPUTED_VALUE"""),"JAWA BARAR")</f>
        <v>JAWA BARAR</v>
      </c>
      <c r="R3768" s="35" t="str">
        <f>IFERROR(__xludf.DUMMYFUNCTION("""COMPUTED_VALUE"""),"KATOLIK")</f>
        <v>KATOLIK</v>
      </c>
      <c r="S3768" s="74" t="str">
        <f>IFERROR(__xludf.DUMMYFUNCTION("""COMPUTED_VALUE"""),"KARYAWAN SWASTA")</f>
        <v>KARYAWAN SWASTA</v>
      </c>
      <c r="T3768" s="35" t="str">
        <f>IFERROR(__xludf.DUMMYFUNCTION("""COMPUTED_VALUE"""),"SAKIT PINGGANG")</f>
        <v>SAKIT PINGGANG</v>
      </c>
      <c r="U3768" s="35" t="str">
        <f>IFERROR(__xludf.DUMMYFUNCTION("""COMPUTED_VALUE"""),"PADEL")</f>
        <v>PADEL</v>
      </c>
      <c r="V3768" s="35" t="str">
        <f>IFERROR(__xludf.DUMMYFUNCTION("""COMPUTED_VALUE"""),"081398778052")</f>
        <v>081398778052</v>
      </c>
      <c r="W3768" s="45"/>
    </row>
    <row r="3769">
      <c r="A3769" s="45"/>
      <c r="B3769" s="35" t="str">
        <f>IFERROR(__xludf.DUMMYFUNCTION("""COMPUTED_VALUE"""),"03/05/2026 9:26:53")</f>
        <v>03/05/2026 9:26:53</v>
      </c>
      <c r="C3769" s="35"/>
      <c r="D3769" s="10">
        <f>IFERROR(__xludf.DUMMYFUNCTION("""COMPUTED_VALUE"""),46145.0)</f>
        <v>46145</v>
      </c>
      <c r="E3769" s="35" t="str">
        <f>IFERROR(__xludf.DUMMYFUNCTION("""COMPUTED_VALUE"""),"05Mei")</f>
        <v>05Mei</v>
      </c>
      <c r="F3769" s="35"/>
      <c r="G3769" s="35" t="str">
        <f>IFERROR(__xludf.DUMMYFUNCTION("""COMPUTED_VALUE"""),"DEDY HIDAYAT")</f>
        <v>DEDY HIDAYAT</v>
      </c>
      <c r="H3769" s="35" t="str">
        <f>IFERROR(__xludf.DUMMYFUNCTION("""COMPUTED_VALUE"""),"D7726053377")</f>
        <v>D7726053377</v>
      </c>
      <c r="I3769" s="35">
        <f>IFERROR(__xludf.DUMMYFUNCTION("""COMPUTED_VALUE"""),49.0)</f>
        <v>49</v>
      </c>
      <c r="J3769" s="35" t="str">
        <f>IFERROR(__xludf.DUMMYFUNCTION("""COMPUTED_VALUE"""),"&gt; 44 tahun")</f>
        <v>&gt; 44 tahun</v>
      </c>
      <c r="K3769" s="35" t="str">
        <f>IFERROR(__xludf.DUMMYFUNCTION("""COMPUTED_VALUE"""),"03/03/1977")</f>
        <v>03/03/1977</v>
      </c>
      <c r="L3769" s="35" t="str">
        <f>IFERROR(__xludf.DUMMYFUNCTION("""COMPUTED_VALUE"""),"LAKI-LAKI")</f>
        <v>LAKI-LAKI</v>
      </c>
      <c r="M3769" s="35" t="str">
        <f>IFERROR(__xludf.DUMMYFUNCTION("""COMPUTED_VALUE"""),"JL. UJUNG PANDANG 1 GG. SELAT MAKASSAR NO.16")</f>
        <v>JL. UJUNG PANDANG 1 GG. SELAT MAKASSAR NO.16</v>
      </c>
      <c r="N3769" s="35" t="str">
        <f>IFERROR(__xludf.DUMMYFUNCTION("""COMPUTED_VALUE"""),"SUNGAI JAWI")</f>
        <v>SUNGAI JAWI</v>
      </c>
      <c r="O3769" s="35" t="str">
        <f>IFERROR(__xludf.DUMMYFUNCTION("""COMPUTED_VALUE"""),"PONTIANAK KOTA")</f>
        <v>PONTIANAK KOTA</v>
      </c>
      <c r="P3769" s="35" t="str">
        <f>IFERROR(__xludf.DUMMYFUNCTION("""COMPUTED_VALUE"""),"PONTIANAK")</f>
        <v>PONTIANAK</v>
      </c>
      <c r="Q3769" s="35" t="str">
        <f>IFERROR(__xludf.DUMMYFUNCTION("""COMPUTED_VALUE"""),"KALIMANTAN BARAT")</f>
        <v>KALIMANTAN BARAT</v>
      </c>
      <c r="R3769" s="35" t="str">
        <f>IFERROR(__xludf.DUMMYFUNCTION("""COMPUTED_VALUE"""),"ISLAM")</f>
        <v>ISLAM</v>
      </c>
      <c r="S3769" s="74" t="str">
        <f>IFERROR(__xludf.DUMMYFUNCTION("""COMPUTED_VALUE"""),"PNS")</f>
        <v>PNS</v>
      </c>
      <c r="T3769" s="35" t="str">
        <f>IFERROR(__xludf.DUMMYFUNCTION("""COMPUTED_VALUE"""),"PUNDAK BELAKANG PEGAL")</f>
        <v>PUNDAK BELAKANG PEGAL</v>
      </c>
      <c r="U3769" s="35" t="str">
        <f>IFERROR(__xludf.DUMMYFUNCTION("""COMPUTED_VALUE"""),"-")</f>
        <v>-</v>
      </c>
      <c r="V3769" s="35" t="str">
        <f>IFERROR(__xludf.DUMMYFUNCTION("""COMPUTED_VALUE"""),"081256703377")</f>
        <v>081256703377</v>
      </c>
      <c r="W3769" s="45"/>
    </row>
    <row r="3770">
      <c r="A3770" s="45"/>
      <c r="B3770" s="35" t="str">
        <f>IFERROR(__xludf.DUMMYFUNCTION("""COMPUTED_VALUE"""),"03/05/2026 10:57:58")</f>
        <v>03/05/2026 10:57:58</v>
      </c>
      <c r="C3770" s="35"/>
      <c r="D3770" s="10">
        <f>IFERROR(__xludf.DUMMYFUNCTION("""COMPUTED_VALUE"""),46145.0)</f>
        <v>46145</v>
      </c>
      <c r="E3770" s="35" t="str">
        <f>IFERROR(__xludf.DUMMYFUNCTION("""COMPUTED_VALUE"""),"05Mei")</f>
        <v>05Mei</v>
      </c>
      <c r="F3770" s="35"/>
      <c r="G3770" s="35" t="str">
        <f>IFERROR(__xludf.DUMMYFUNCTION("""COMPUTED_VALUE"""),"NAROKTADENY")</f>
        <v>NAROKTADENY</v>
      </c>
      <c r="H3770" s="35" t="str">
        <f>IFERROR(__xludf.DUMMYFUNCTION("""COMPUTED_VALUE"""),"N7526051243")</f>
        <v>N7526051243</v>
      </c>
      <c r="I3770" s="35">
        <f>IFERROR(__xludf.DUMMYFUNCTION("""COMPUTED_VALUE"""),50.0)</f>
        <v>50</v>
      </c>
      <c r="J3770" s="35" t="str">
        <f>IFERROR(__xludf.DUMMYFUNCTION("""COMPUTED_VALUE"""),"&gt; 44 tahun")</f>
        <v>&gt; 44 tahun</v>
      </c>
      <c r="K3770" s="35" t="str">
        <f>IFERROR(__xludf.DUMMYFUNCTION("""COMPUTED_VALUE"""),"29/10/1975")</f>
        <v>29/10/1975</v>
      </c>
      <c r="L3770" s="35" t="str">
        <f>IFERROR(__xludf.DUMMYFUNCTION("""COMPUTED_VALUE"""),"LAKI-LAKI")</f>
        <v>LAKI-LAKI</v>
      </c>
      <c r="M3770" s="35" t="str">
        <f>IFERROR(__xludf.DUMMYFUNCTION("""COMPUTED_VALUE"""),"JL.HARPAN JAYA GG.MEGA JAYA KOMPLEK DDLIMA ASRI RESIDENCE NOMOR 2")</f>
        <v>JL.HARPAN JAYA GG.MEGA JAYA KOMPLEK DDLIMA ASRI RESIDENCE NOMOR 2</v>
      </c>
      <c r="N3770" s="35" t="str">
        <f>IFERROR(__xludf.DUMMYFUNCTION("""COMPUTED_VALUE"""),"KOTA BARU")</f>
        <v>KOTA BARU</v>
      </c>
      <c r="O3770" s="35" t="str">
        <f>IFERROR(__xludf.DUMMYFUNCTION("""COMPUTED_VALUE"""),"PONTIANAK SELATAN")</f>
        <v>PONTIANAK SELATAN</v>
      </c>
      <c r="P3770" s="35" t="str">
        <f>IFERROR(__xludf.DUMMYFUNCTION("""COMPUTED_VALUE"""),"PONTIANAK")</f>
        <v>PONTIANAK</v>
      </c>
      <c r="Q3770" s="35" t="str">
        <f>IFERROR(__xludf.DUMMYFUNCTION("""COMPUTED_VALUE"""),"KALIMANTAN BARAT")</f>
        <v>KALIMANTAN BARAT</v>
      </c>
      <c r="R3770" s="35" t="str">
        <f>IFERROR(__xludf.DUMMYFUNCTION("""COMPUTED_VALUE"""),"ISLAM")</f>
        <v>ISLAM</v>
      </c>
      <c r="S3770" s="74" t="str">
        <f>IFERROR(__xludf.DUMMYFUNCTION("""COMPUTED_VALUE"""),"SWASTA")</f>
        <v>SWASTA</v>
      </c>
      <c r="T3770" s="35" t="str">
        <f>IFERROR(__xludf.DUMMYFUNCTION("""COMPUTED_VALUE"""),"DARI PINGGANG SMPAI KAKI SAKIT SEPERTI KETARIK, SUSAH DUDUK")</f>
        <v>DARI PINGGANG SMPAI KAKI SAKIT SEPERTI KETARIK, SUSAH DUDUK</v>
      </c>
      <c r="U3770" s="35" t="str">
        <f>IFERROR(__xludf.DUMMYFUNCTION("""COMPUTED_VALUE"""),"BEBERAPA HARI KEMARIN HARUS MENGANGKAT KAKI DENGAN POSISI BERBARING")</f>
        <v>BEBERAPA HARI KEMARIN HARUS MENGANGKAT KAKI DENGAN POSISI BERBARING</v>
      </c>
      <c r="V3770" s="35" t="str">
        <f>IFERROR(__xludf.DUMMYFUNCTION("""COMPUTED_VALUE"""),"082154901243")</f>
        <v>082154901243</v>
      </c>
      <c r="W3770" s="45"/>
    </row>
    <row r="3771">
      <c r="A3771" s="45"/>
      <c r="B3771" s="35" t="str">
        <f>IFERROR(__xludf.DUMMYFUNCTION("""COMPUTED_VALUE"""),"03/05/2026 12:24:38")</f>
        <v>03/05/2026 12:24:38</v>
      </c>
      <c r="C3771" s="35"/>
      <c r="D3771" s="10">
        <f>IFERROR(__xludf.DUMMYFUNCTION("""COMPUTED_VALUE"""),46145.0)</f>
        <v>46145</v>
      </c>
      <c r="E3771" s="35" t="str">
        <f>IFERROR(__xludf.DUMMYFUNCTION("""COMPUTED_VALUE"""),"05Mei")</f>
        <v>05Mei</v>
      </c>
      <c r="F3771" s="35"/>
      <c r="G3771" s="35" t="str">
        <f>IFERROR(__xludf.DUMMYFUNCTION("""COMPUTED_VALUE"""),"WAHYU DYAH")</f>
        <v>WAHYU DYAH</v>
      </c>
      <c r="H3771" s="35" t="str">
        <f>IFERROR(__xludf.DUMMYFUNCTION("""COMPUTED_VALUE"""),"W7626050823")</f>
        <v>W7626050823</v>
      </c>
      <c r="I3771" s="35">
        <f>IFERROR(__xludf.DUMMYFUNCTION("""COMPUTED_VALUE"""),50.0)</f>
        <v>50</v>
      </c>
      <c r="J3771" s="35" t="str">
        <f>IFERROR(__xludf.DUMMYFUNCTION("""COMPUTED_VALUE"""),"&gt; 44 tahun")</f>
        <v>&gt; 44 tahun</v>
      </c>
      <c r="K3771" s="35" t="str">
        <f>IFERROR(__xludf.DUMMYFUNCTION("""COMPUTED_VALUE"""),"20/03/1976")</f>
        <v>20/03/1976</v>
      </c>
      <c r="L3771" s="35" t="str">
        <f>IFERROR(__xludf.DUMMYFUNCTION("""COMPUTED_VALUE"""),"PEREMPUAN")</f>
        <v>PEREMPUAN</v>
      </c>
      <c r="M3771" s="35" t="str">
        <f>IFERROR(__xludf.DUMMYFUNCTION("""COMPUTED_VALUE"""),"JL DANAU SENTARUM KOMPLEK SENTARUM SEJAHTERA 3 ")</f>
        <v>JL DANAU SENTARUM KOMPLEK SENTARUM SEJAHTERA 3 </v>
      </c>
      <c r="N3771" s="35" t="str">
        <f>IFERROR(__xludf.DUMMYFUNCTION("""COMPUTED_VALUE"""),"SUI BANGKONG ")</f>
        <v>SUI BANGKONG </v>
      </c>
      <c r="O3771" s="35" t="str">
        <f>IFERROR(__xludf.DUMMYFUNCTION("""COMPUTED_VALUE"""),"PONTIANAK KOTA ")</f>
        <v>PONTIANAK KOTA </v>
      </c>
      <c r="P3771" s="35" t="str">
        <f>IFERROR(__xludf.DUMMYFUNCTION("""COMPUTED_VALUE"""),"PONTIANAK ")</f>
        <v>PONTIANAK </v>
      </c>
      <c r="Q3771" s="35" t="str">
        <f>IFERROR(__xludf.DUMMYFUNCTION("""COMPUTED_VALUE"""),"KALBAR")</f>
        <v>KALBAR</v>
      </c>
      <c r="R3771" s="35" t="str">
        <f>IFERROR(__xludf.DUMMYFUNCTION("""COMPUTED_VALUE"""),"ISLAM")</f>
        <v>ISLAM</v>
      </c>
      <c r="S3771" s="74" t="str">
        <f>IFERROR(__xludf.DUMMYFUNCTION("""COMPUTED_VALUE"""),"GURU")</f>
        <v>GURU</v>
      </c>
      <c r="T3771" s="35" t="str">
        <f>IFERROR(__xludf.DUMMYFUNCTION("""COMPUTED_VALUE"""),"TEGANG LEHER DAN PUNGGUNG KANAN")</f>
        <v>TEGANG LEHER DAN PUNGGUNG KANAN</v>
      </c>
      <c r="U3771" s="35" t="str">
        <f>IFERROR(__xludf.DUMMYFUNCTION("""COMPUTED_VALUE"""),"KEGIATAN IBU RUMAH TANGGA")</f>
        <v>KEGIATAN IBU RUMAH TANGGA</v>
      </c>
      <c r="V3771" s="35" t="str">
        <f>IFERROR(__xludf.DUMMYFUNCTION("""COMPUTED_VALUE"""),"089510570823")</f>
        <v>089510570823</v>
      </c>
      <c r="W3771" s="45"/>
    </row>
    <row r="3772">
      <c r="A3772" s="45"/>
      <c r="B3772" s="35" t="str">
        <f>IFERROR(__xludf.DUMMYFUNCTION("""COMPUTED_VALUE"""),"03/05/2026 12:17:28")</f>
        <v>03/05/2026 12:17:28</v>
      </c>
      <c r="C3772" s="35"/>
      <c r="D3772" s="10">
        <f>IFERROR(__xludf.DUMMYFUNCTION("""COMPUTED_VALUE"""),46145.0)</f>
        <v>46145</v>
      </c>
      <c r="E3772" s="35" t="str">
        <f>IFERROR(__xludf.DUMMYFUNCTION("""COMPUTED_VALUE"""),"05Mei")</f>
        <v>05Mei</v>
      </c>
      <c r="F3772" s="35"/>
      <c r="G3772" s="35" t="str">
        <f>IFERROR(__xludf.DUMMYFUNCTION("""COMPUTED_VALUE"""),"ERDUS AMA MASANG")</f>
        <v>ERDUS AMA MASANG</v>
      </c>
      <c r="H3772" s="35" t="str">
        <f>IFERROR(__xludf.DUMMYFUNCTION("""COMPUTED_VALUE"""),"E8726059300")</f>
        <v>E8726059300</v>
      </c>
      <c r="I3772" s="35">
        <f>IFERROR(__xludf.DUMMYFUNCTION("""COMPUTED_VALUE"""),39.0)</f>
        <v>39</v>
      </c>
      <c r="J3772" s="35" t="str">
        <f>IFERROR(__xludf.DUMMYFUNCTION("""COMPUTED_VALUE"""),"35-44 tahun")</f>
        <v>35-44 tahun</v>
      </c>
      <c r="K3772" s="35" t="str">
        <f>IFERROR(__xludf.DUMMYFUNCTION("""COMPUTED_VALUE"""),"09/04/1987")</f>
        <v>09/04/1987</v>
      </c>
      <c r="L3772" s="35" t="str">
        <f>IFERROR(__xludf.DUMMYFUNCTION("""COMPUTED_VALUE"""),"LAKI-LAKI")</f>
        <v>LAKI-LAKI</v>
      </c>
      <c r="M3772" s="35" t="str">
        <f>IFERROR(__xludf.DUMMYFUNCTION("""COMPUTED_VALUE"""),"JL 28 OKTOBER GG PERJUANGAN NO 19 RT 001 RW 014")</f>
        <v>JL 28 OKTOBER GG PERJUANGAN NO 19 RT 001 RW 014</v>
      </c>
      <c r="N3772" s="35" t="str">
        <f>IFERROR(__xludf.DUMMYFUNCTION("""COMPUTED_VALUE"""),"SIANTAN HULU ")</f>
        <v>SIANTAN HULU </v>
      </c>
      <c r="O3772" s="35" t="str">
        <f>IFERROR(__xludf.DUMMYFUNCTION("""COMPUTED_VALUE"""),"PONTIANAK UTARA")</f>
        <v>PONTIANAK UTARA</v>
      </c>
      <c r="P3772" s="35" t="str">
        <f>IFERROR(__xludf.DUMMYFUNCTION("""COMPUTED_VALUE"""),"PONTIANAK")</f>
        <v>PONTIANAK</v>
      </c>
      <c r="Q3772" s="35" t="str">
        <f>IFERROR(__xludf.DUMMYFUNCTION("""COMPUTED_VALUE"""),"KALIMANTAN BARAT")</f>
        <v>KALIMANTAN BARAT</v>
      </c>
      <c r="R3772" s="35" t="str">
        <f>IFERROR(__xludf.DUMMYFUNCTION("""COMPUTED_VALUE"""),"KATOLIK")</f>
        <v>KATOLIK</v>
      </c>
      <c r="S3772" s="74" t="str">
        <f>IFERROR(__xludf.DUMMYFUNCTION("""COMPUTED_VALUE"""),"WIRASWASTA")</f>
        <v>WIRASWASTA</v>
      </c>
      <c r="T3772" s="35" t="str">
        <f>IFERROR(__xludf.DUMMYFUNCTION("""COMPUTED_VALUE"""),"NYERIDI BAHU DAN JEMPOL KAKI KANAN")</f>
        <v>NYERIDI BAHU DAN JEMPOL KAKI KANAN</v>
      </c>
      <c r="U3772" s="35" t="str">
        <f>IFERROR(__xludf.DUMMYFUNCTION("""COMPUTED_VALUE"""),"SEPAK BOLA")</f>
        <v>SEPAK BOLA</v>
      </c>
      <c r="V3772" s="35" t="str">
        <f>IFERROR(__xludf.DUMMYFUNCTION("""COMPUTED_VALUE"""),"0895335519300")</f>
        <v>0895335519300</v>
      </c>
      <c r="W3772" s="45"/>
    </row>
    <row r="3773">
      <c r="A3773" s="45"/>
      <c r="B3773" s="35" t="str">
        <f>IFERROR(__xludf.DUMMYFUNCTION("""COMPUTED_VALUE"""),"03/05/2026 15:48:17")</f>
        <v>03/05/2026 15:48:17</v>
      </c>
      <c r="C3773" s="35"/>
      <c r="D3773" s="10">
        <f>IFERROR(__xludf.DUMMYFUNCTION("""COMPUTED_VALUE"""),46145.0)</f>
        <v>46145</v>
      </c>
      <c r="E3773" s="35" t="str">
        <f>IFERROR(__xludf.DUMMYFUNCTION("""COMPUTED_VALUE"""),"05Mei")</f>
        <v>05Mei</v>
      </c>
      <c r="F3773" s="35"/>
      <c r="G3773" s="35" t="str">
        <f>IFERROR(__xludf.DUMMYFUNCTION("""COMPUTED_VALUE"""),"GEORGE BUDIJANTO SALIM")</f>
        <v>GEORGE BUDIJANTO SALIM</v>
      </c>
      <c r="H3773" s="35" t="str">
        <f>IFERROR(__xludf.DUMMYFUNCTION("""COMPUTED_VALUE"""),"G4826058883")</f>
        <v>G4826058883</v>
      </c>
      <c r="I3773" s="35">
        <f>IFERROR(__xludf.DUMMYFUNCTION("""COMPUTED_VALUE"""),77.0)</f>
        <v>77</v>
      </c>
      <c r="J3773" s="35" t="str">
        <f>IFERROR(__xludf.DUMMYFUNCTION("""COMPUTED_VALUE"""),"&gt; 44 tahun")</f>
        <v>&gt; 44 tahun</v>
      </c>
      <c r="K3773" s="35" t="str">
        <f>IFERROR(__xludf.DUMMYFUNCTION("""COMPUTED_VALUE"""),"28/12/1948")</f>
        <v>28/12/1948</v>
      </c>
      <c r="L3773" s="35" t="str">
        <f>IFERROR(__xludf.DUMMYFUNCTION("""COMPUTED_VALUE"""),"LAKI-LAKI")</f>
        <v>LAKI-LAKI</v>
      </c>
      <c r="M3773" s="35" t="str">
        <f>IFERROR(__xludf.DUMMYFUNCTION("""COMPUTED_VALUE"""),"JL PALAPA 2 NO 25A")</f>
        <v>JL PALAPA 2 NO 25A</v>
      </c>
      <c r="N3773" s="35" t="str">
        <f>IFERROR(__xludf.DUMMYFUNCTION("""COMPUTED_VALUE"""),"PONTIANAK")</f>
        <v>PONTIANAK</v>
      </c>
      <c r="O3773" s="35" t="str">
        <f>IFERROR(__xludf.DUMMYFUNCTION("""COMPUTED_VALUE"""),"PONTIANAK")</f>
        <v>PONTIANAK</v>
      </c>
      <c r="P3773" s="35" t="str">
        <f>IFERROR(__xludf.DUMMYFUNCTION("""COMPUTED_VALUE"""),"PONTIANAK")</f>
        <v>PONTIANAK</v>
      </c>
      <c r="Q3773" s="35" t="str">
        <f>IFERROR(__xludf.DUMMYFUNCTION("""COMPUTED_VALUE"""),"KALIMANTAN BARAT")</f>
        <v>KALIMANTAN BARAT</v>
      </c>
      <c r="R3773" s="35" t="str">
        <f>IFERROR(__xludf.DUMMYFUNCTION("""COMPUTED_VALUE"""),"BUDDHA")</f>
        <v>BUDDHA</v>
      </c>
      <c r="S3773" s="74" t="str">
        <f>IFERROR(__xludf.DUMMYFUNCTION("""COMPUTED_VALUE"""),"-")</f>
        <v>-</v>
      </c>
      <c r="T3773" s="35" t="str">
        <f>IFERROR(__xludf.DUMMYFUNCTION("""COMPUTED_VALUE"""),"STROKE")</f>
        <v>STROKE</v>
      </c>
      <c r="U3773" s="35" t="str">
        <f>IFERROR(__xludf.DUMMYFUNCTION("""COMPUTED_VALUE"""),"-")</f>
        <v>-</v>
      </c>
      <c r="V3773" s="35" t="str">
        <f>IFERROR(__xludf.DUMMYFUNCTION("""COMPUTED_VALUE"""),"087867888883")</f>
        <v>087867888883</v>
      </c>
      <c r="W3773" s="45"/>
    </row>
    <row r="3774">
      <c r="A3774" s="45"/>
      <c r="B3774" s="35" t="str">
        <f>IFERROR(__xludf.DUMMYFUNCTION("""COMPUTED_VALUE"""),"03/05/2026 18:17:37")</f>
        <v>03/05/2026 18:17:37</v>
      </c>
      <c r="C3774" s="35"/>
      <c r="D3774" s="10">
        <f>IFERROR(__xludf.DUMMYFUNCTION("""COMPUTED_VALUE"""),46145.0)</f>
        <v>46145</v>
      </c>
      <c r="E3774" s="35" t="str">
        <f>IFERROR(__xludf.DUMMYFUNCTION("""COMPUTED_VALUE"""),"05Mei")</f>
        <v>05Mei</v>
      </c>
      <c r="F3774" s="35"/>
      <c r="G3774" s="35" t="str">
        <f>IFERROR(__xludf.DUMMYFUNCTION("""COMPUTED_VALUE"""),"YANDI ALEXIS ")</f>
        <v>YANDI ALEXIS </v>
      </c>
      <c r="H3774" s="35" t="str">
        <f>IFERROR(__xludf.DUMMYFUNCTION("""COMPUTED_VALUE"""),"Y9026059998")</f>
        <v>Y9026059998</v>
      </c>
      <c r="I3774" s="35">
        <f>IFERROR(__xludf.DUMMYFUNCTION("""COMPUTED_VALUE"""),36.0)</f>
        <v>36</v>
      </c>
      <c r="J3774" s="35" t="str">
        <f>IFERROR(__xludf.DUMMYFUNCTION("""COMPUTED_VALUE"""),"35-44 tahun")</f>
        <v>35-44 tahun</v>
      </c>
      <c r="K3774" s="35" t="str">
        <f>IFERROR(__xludf.DUMMYFUNCTION("""COMPUTED_VALUE"""),"31/01/1990")</f>
        <v>31/01/1990</v>
      </c>
      <c r="L3774" s="35" t="str">
        <f>IFERROR(__xludf.DUMMYFUNCTION("""COMPUTED_VALUE"""),"LAKI-LAKI")</f>
        <v>LAKI-LAKI</v>
      </c>
      <c r="M3774" s="35" t="str">
        <f>IFERROR(__xludf.DUMMYFUNCTION("""COMPUTED_VALUE"""),"JLN SUPRAPTO IV NO 11 ")</f>
        <v>JLN SUPRAPTO IV NO 11 </v>
      </c>
      <c r="N3774" s="35" t="str">
        <f>IFERROR(__xludf.DUMMYFUNCTION("""COMPUTED_VALUE"""),"BENUA MELAYU DARAT")</f>
        <v>BENUA MELAYU DARAT</v>
      </c>
      <c r="O3774" s="35" t="str">
        <f>IFERROR(__xludf.DUMMYFUNCTION("""COMPUTED_VALUE"""),"PONTIANAK SELATAN")</f>
        <v>PONTIANAK SELATAN</v>
      </c>
      <c r="P3774" s="35" t="str">
        <f>IFERROR(__xludf.DUMMYFUNCTION("""COMPUTED_VALUE"""),"PONTIANAK")</f>
        <v>PONTIANAK</v>
      </c>
      <c r="Q3774" s="35" t="str">
        <f>IFERROR(__xludf.DUMMYFUNCTION("""COMPUTED_VALUE"""),"KALIMANTAN BARAT")</f>
        <v>KALIMANTAN BARAT</v>
      </c>
      <c r="R3774" s="35" t="str">
        <f>IFERROR(__xludf.DUMMYFUNCTION("""COMPUTED_VALUE"""),"KATOLIK")</f>
        <v>KATOLIK</v>
      </c>
      <c r="S3774" s="74" t="str">
        <f>IFERROR(__xludf.DUMMYFUNCTION("""COMPUTED_VALUE"""),"SWASTA")</f>
        <v>SWASTA</v>
      </c>
      <c r="T3774" s="35" t="str">
        <f>IFERROR(__xludf.DUMMYFUNCTION("""COMPUTED_VALUE"""),"KELUHAN SKRG MASIH NGILU DI LUTUT SETELAH OPERASI BULAN AGUSTUS 2025")</f>
        <v>KELUHAN SKRG MASIH NGILU DI LUTUT SETELAH OPERASI BULAN AGUSTUS 2025</v>
      </c>
      <c r="U3774" s="35" t="str">
        <f>IFERROR(__xludf.DUMMYFUNCTION("""COMPUTED_VALUE"""),"NAIK TURUN TANGGA")</f>
        <v>NAIK TURUN TANGGA</v>
      </c>
      <c r="V3774" s="35" t="str">
        <f>IFERROR(__xludf.DUMMYFUNCTION("""COMPUTED_VALUE"""),"081250229998")</f>
        <v>081250229998</v>
      </c>
      <c r="W3774" s="45"/>
    </row>
    <row r="3775">
      <c r="A3775" s="45"/>
      <c r="B3775" s="35" t="str">
        <f>IFERROR(__xludf.DUMMYFUNCTION("""COMPUTED_VALUE"""),"04/05/2026 10:19:49")</f>
        <v>04/05/2026 10:19:49</v>
      </c>
      <c r="C3775" s="35"/>
      <c r="D3775" s="10">
        <f>IFERROR(__xludf.DUMMYFUNCTION("""COMPUTED_VALUE"""),46146.0)</f>
        <v>46146</v>
      </c>
      <c r="E3775" s="35" t="str">
        <f>IFERROR(__xludf.DUMMYFUNCTION("""COMPUTED_VALUE"""),"05Mei")</f>
        <v>05Mei</v>
      </c>
      <c r="F3775" s="35"/>
      <c r="G3775" s="35" t="str">
        <f>IFERROR(__xludf.DUMMYFUNCTION("""COMPUTED_VALUE"""),"OWEN FRENTSEN")</f>
        <v>OWEN FRENTSEN</v>
      </c>
      <c r="H3775" s="35" t="str">
        <f>IFERROR(__xludf.DUMMYFUNCTION("""COMPUTED_VALUE"""),"O9926054447")</f>
        <v>O9926054447</v>
      </c>
      <c r="I3775" s="35">
        <f>IFERROR(__xludf.DUMMYFUNCTION("""COMPUTED_VALUE"""),26.0)</f>
        <v>26</v>
      </c>
      <c r="J3775" s="35" t="str">
        <f>IFERROR(__xludf.DUMMYFUNCTION("""COMPUTED_VALUE"""),"25-34 tahun")</f>
        <v>25-34 tahun</v>
      </c>
      <c r="K3775" s="35" t="str">
        <f>IFERROR(__xludf.DUMMYFUNCTION("""COMPUTED_VALUE"""),"07/10/1999")</f>
        <v>07/10/1999</v>
      </c>
      <c r="L3775" s="35" t="str">
        <f>IFERROR(__xludf.DUMMYFUNCTION("""COMPUTED_VALUE"""),"LAKI-LAKI")</f>
        <v>LAKI-LAKI</v>
      </c>
      <c r="M3775" s="35" t="str">
        <f>IFERROR(__xludf.DUMMYFUNCTION("""COMPUTED_VALUE"""),"JL. A.R SALEH GG. SARI LESTARI NO 18")</f>
        <v>JL. A.R SALEH GG. SARI LESTARI NO 18</v>
      </c>
      <c r="N3775" s="35" t="str">
        <f>IFERROR(__xludf.DUMMYFUNCTION("""COMPUTED_VALUE"""),"BANGKA BELITUNG LAUT")</f>
        <v>BANGKA BELITUNG LAUT</v>
      </c>
      <c r="O3775" s="35" t="str">
        <f>IFERROR(__xludf.DUMMYFUNCTION("""COMPUTED_VALUE"""),"PONTIANAK TENGGARA")</f>
        <v>PONTIANAK TENGGARA</v>
      </c>
      <c r="P3775" s="35" t="str">
        <f>IFERROR(__xludf.DUMMYFUNCTION("""COMPUTED_VALUE"""),"PONTIANAK")</f>
        <v>PONTIANAK</v>
      </c>
      <c r="Q3775" s="35" t="str">
        <f>IFERROR(__xludf.DUMMYFUNCTION("""COMPUTED_VALUE"""),"KALIMANTAN BARAT")</f>
        <v>KALIMANTAN BARAT</v>
      </c>
      <c r="R3775" s="35" t="str">
        <f>IFERROR(__xludf.DUMMYFUNCTION("""COMPUTED_VALUE"""),"BUDDHA")</f>
        <v>BUDDHA</v>
      </c>
      <c r="S3775" s="74" t="str">
        <f>IFERROR(__xludf.DUMMYFUNCTION("""COMPUTED_VALUE"""),"PEGAWAI SWASTA")</f>
        <v>PEGAWAI SWASTA</v>
      </c>
      <c r="T3775" s="35" t="str">
        <f>IFERROR(__xludf.DUMMYFUNCTION("""COMPUTED_VALUE"""),"PEGAL PUNGGUNG")</f>
        <v>PEGAL PUNGGUNG</v>
      </c>
      <c r="U3775" s="35" t="str">
        <f>IFERROR(__xludf.DUMMYFUNCTION("""COMPUTED_VALUE"""),"DUDUK DI KURSI")</f>
        <v>DUDUK DI KURSI</v>
      </c>
      <c r="V3775" s="35" t="str">
        <f>IFERROR(__xludf.DUMMYFUNCTION("""COMPUTED_VALUE"""),"081383064447")</f>
        <v>081383064447</v>
      </c>
      <c r="W3775" s="45"/>
    </row>
    <row r="3776">
      <c r="A3776" s="45"/>
      <c r="B3776" s="35" t="str">
        <f>IFERROR(__xludf.DUMMYFUNCTION("""COMPUTED_VALUE"""),"04/05/2026 11:11:51")</f>
        <v>04/05/2026 11:11:51</v>
      </c>
      <c r="C3776" s="35"/>
      <c r="D3776" s="10">
        <f>IFERROR(__xludf.DUMMYFUNCTION("""COMPUTED_VALUE"""),46146.0)</f>
        <v>46146</v>
      </c>
      <c r="E3776" s="35" t="str">
        <f>IFERROR(__xludf.DUMMYFUNCTION("""COMPUTED_VALUE"""),"05Mei")</f>
        <v>05Mei</v>
      </c>
      <c r="F3776" s="35"/>
      <c r="G3776" s="35" t="str">
        <f>IFERROR(__xludf.DUMMYFUNCTION("""COMPUTED_VALUE"""),"VINA MONIKA")</f>
        <v>VINA MONIKA</v>
      </c>
      <c r="H3776" s="35" t="str">
        <f>IFERROR(__xludf.DUMMYFUNCTION("""COMPUTED_VALUE"""),"V9826055530")</f>
        <v>V9826055530</v>
      </c>
      <c r="I3776" s="35">
        <f>IFERROR(__xludf.DUMMYFUNCTION("""COMPUTED_VALUE"""),27.0)</f>
        <v>27</v>
      </c>
      <c r="J3776" s="35" t="str">
        <f>IFERROR(__xludf.DUMMYFUNCTION("""COMPUTED_VALUE"""),"25-34 tahun")</f>
        <v>25-34 tahun</v>
      </c>
      <c r="K3776" s="35" t="str">
        <f>IFERROR(__xludf.DUMMYFUNCTION("""COMPUTED_VALUE"""),"05/10/1998")</f>
        <v>05/10/1998</v>
      </c>
      <c r="L3776" s="35" t="str">
        <f>IFERROR(__xludf.DUMMYFUNCTION("""COMPUTED_VALUE"""),"PEREMPUAN")</f>
        <v>PEREMPUAN</v>
      </c>
      <c r="M3776" s="35" t="str">
        <f>IFERROR(__xludf.DUMMYFUNCTION("""COMPUTED_VALUE"""),"JL SELAT BALI ")</f>
        <v>JL SELAT BALI </v>
      </c>
      <c r="N3776" s="35" t="str">
        <f>IFERROR(__xludf.DUMMYFUNCTION("""COMPUTED_VALUE"""),"PONTIANAK UTARA")</f>
        <v>PONTIANAK UTARA</v>
      </c>
      <c r="O3776" s="35" t="str">
        <f>IFERROR(__xludf.DUMMYFUNCTION("""COMPUTED_VALUE"""),"PONTIANAK")</f>
        <v>PONTIANAK</v>
      </c>
      <c r="P3776" s="35" t="str">
        <f>IFERROR(__xludf.DUMMYFUNCTION("""COMPUTED_VALUE"""),"PONTIANAK")</f>
        <v>PONTIANAK</v>
      </c>
      <c r="Q3776" s="35" t="str">
        <f>IFERROR(__xludf.DUMMYFUNCTION("""COMPUTED_VALUE"""),"KALBAR")</f>
        <v>KALBAR</v>
      </c>
      <c r="R3776" s="35" t="str">
        <f>IFERROR(__xludf.DUMMYFUNCTION("""COMPUTED_VALUE"""),"BUDDHA")</f>
        <v>BUDDHA</v>
      </c>
      <c r="S3776" s="74" t="str">
        <f>IFERROR(__xludf.DUMMYFUNCTION("""COMPUTED_VALUE"""),"KARYAWAN")</f>
        <v>KARYAWAN</v>
      </c>
      <c r="T3776" s="35" t="str">
        <f>IFERROR(__xludf.DUMMYFUNCTION("""COMPUTED_VALUE"""),"SAKIT DI AREA PINGGANG SUDAH SEMINGGU DAN CENDERUNG SAKIT SAAT PAGI HARI, SAAT BUNGKUK ATAU KAKI DITEKUK SAKIT BAGIAN PINGGANG, DAN SAKIT SAAT BERSIN, NGILUNYA SETELAH 3 HARI MENYEBAR KE ARAH LUTUT KANAN")</f>
        <v>SAKIT DI AREA PINGGANG SUDAH SEMINGGU DAN CENDERUNG SAKIT SAAT PAGI HARI, SAAT BUNGKUK ATAU KAKI DITEKUK SAKIT BAGIAN PINGGANG, DAN SAKIT SAAT BERSIN, NGILUNYA SETELAH 3 HARI MENYEBAR KE ARAH LUTUT KANAN</v>
      </c>
      <c r="U3776" s="35" t="str">
        <f>IFERROR(__xludf.DUMMYFUNCTION("""COMPUTED_VALUE"""),"MUNGKIN KARENA DUDUK KELAMAAN ")</f>
        <v>MUNGKIN KARENA DUDUK KELAMAAN </v>
      </c>
      <c r="V3776" s="35" t="str">
        <f>IFERROR(__xludf.DUMMYFUNCTION("""COMPUTED_VALUE"""),"081345985530")</f>
        <v>081345985530</v>
      </c>
      <c r="W3776" s="45"/>
    </row>
    <row r="3777">
      <c r="A3777" s="45"/>
      <c r="B3777" s="35" t="str">
        <f>IFERROR(__xludf.DUMMYFUNCTION("""COMPUTED_VALUE"""),"04/05/2026 18:30:38")</f>
        <v>04/05/2026 18:30:38</v>
      </c>
      <c r="C3777" s="35"/>
      <c r="D3777" s="10">
        <f>IFERROR(__xludf.DUMMYFUNCTION("""COMPUTED_VALUE"""),46146.0)</f>
        <v>46146</v>
      </c>
      <c r="E3777" s="35" t="str">
        <f>IFERROR(__xludf.DUMMYFUNCTION("""COMPUTED_VALUE"""),"05Mei")</f>
        <v>05Mei</v>
      </c>
      <c r="F3777" s="35"/>
      <c r="G3777" s="35" t="str">
        <f>IFERROR(__xludf.DUMMYFUNCTION("""COMPUTED_VALUE"""),"AMIRUL MUCHDI")</f>
        <v>AMIRUL MUCHDI</v>
      </c>
      <c r="H3777" s="35" t="str">
        <f>IFERROR(__xludf.DUMMYFUNCTION("""COMPUTED_VALUE"""),"A9826052856")</f>
        <v>A9826052856</v>
      </c>
      <c r="I3777" s="35">
        <f>IFERROR(__xludf.DUMMYFUNCTION("""COMPUTED_VALUE"""),27.0)</f>
        <v>27</v>
      </c>
      <c r="J3777" s="35" t="str">
        <f>IFERROR(__xludf.DUMMYFUNCTION("""COMPUTED_VALUE"""),"25-34 tahun")</f>
        <v>25-34 tahun</v>
      </c>
      <c r="K3777" s="35" t="str">
        <f>IFERROR(__xludf.DUMMYFUNCTION("""COMPUTED_VALUE"""),"23/06/1998")</f>
        <v>23/06/1998</v>
      </c>
      <c r="L3777" s="35" t="str">
        <f>IFERROR(__xludf.DUMMYFUNCTION("""COMPUTED_VALUE"""),"LAKI-LAKI")</f>
        <v>LAKI-LAKI</v>
      </c>
      <c r="M3777" s="35" t="str">
        <f>IFERROR(__xludf.DUMMYFUNCTION("""COMPUTED_VALUE"""),"JL. DR. WAHIDIN S")</f>
        <v>JL. DR. WAHIDIN S</v>
      </c>
      <c r="N3777" s="35" t="str">
        <f>IFERROR(__xludf.DUMMYFUNCTION("""COMPUTED_VALUE"""),"SUNGAI JAWI")</f>
        <v>SUNGAI JAWI</v>
      </c>
      <c r="O3777" s="35" t="str">
        <f>IFERROR(__xludf.DUMMYFUNCTION("""COMPUTED_VALUE"""),"PONTIANAK KOTA")</f>
        <v>PONTIANAK KOTA</v>
      </c>
      <c r="P3777" s="35" t="str">
        <f>IFERROR(__xludf.DUMMYFUNCTION("""COMPUTED_VALUE"""),"KOTA PONTIANAK")</f>
        <v>KOTA PONTIANAK</v>
      </c>
      <c r="Q3777" s="35" t="str">
        <f>IFERROR(__xludf.DUMMYFUNCTION("""COMPUTED_VALUE"""),"KALIMANTAN BARAT")</f>
        <v>KALIMANTAN BARAT</v>
      </c>
      <c r="R3777" s="35" t="str">
        <f>IFERROR(__xludf.DUMMYFUNCTION("""COMPUTED_VALUE"""),"ISLAM")</f>
        <v>ISLAM</v>
      </c>
      <c r="S3777" s="74" t="str">
        <f>IFERROR(__xludf.DUMMYFUNCTION("""COMPUTED_VALUE"""),"SWASTA")</f>
        <v>SWASTA</v>
      </c>
      <c r="T3777" s="35" t="str">
        <f>IFERROR(__xludf.DUMMYFUNCTION("""COMPUTED_VALUE"""),"TRIGER FINGER")</f>
        <v>TRIGER FINGER</v>
      </c>
      <c r="U3777" s="35" t="str">
        <f>IFERROR(__xludf.DUMMYFUNCTION("""COMPUTED_VALUE"""),"MAIN HP")</f>
        <v>MAIN HP</v>
      </c>
      <c r="V3777" s="35" t="str">
        <f>IFERROR(__xludf.DUMMYFUNCTION("""COMPUTED_VALUE"""),"085648042856")</f>
        <v>085648042856</v>
      </c>
      <c r="W3777" s="45"/>
    </row>
    <row r="3778">
      <c r="A3778" s="45"/>
      <c r="B3778" s="35" t="str">
        <f>IFERROR(__xludf.DUMMYFUNCTION("""COMPUTED_VALUE"""),"04/05/2026 19:42:48")</f>
        <v>04/05/2026 19:42:48</v>
      </c>
      <c r="C3778" s="35"/>
      <c r="D3778" s="10">
        <f>IFERROR(__xludf.DUMMYFUNCTION("""COMPUTED_VALUE"""),46146.0)</f>
        <v>46146</v>
      </c>
      <c r="E3778" s="35" t="str">
        <f>IFERROR(__xludf.DUMMYFUNCTION("""COMPUTED_VALUE"""),"05Mei")</f>
        <v>05Mei</v>
      </c>
      <c r="F3778" s="35"/>
      <c r="G3778" s="35" t="str">
        <f>IFERROR(__xludf.DUMMYFUNCTION("""COMPUTED_VALUE"""),"SISNAWATI")</f>
        <v>SISNAWATI</v>
      </c>
      <c r="H3778" s="35" t="str">
        <f>IFERROR(__xludf.DUMMYFUNCTION("""COMPUTED_VALUE"""),"S8526057973")</f>
        <v>S8526057973</v>
      </c>
      <c r="I3778" s="35">
        <f>IFERROR(__xludf.DUMMYFUNCTION("""COMPUTED_VALUE"""),40.0)</f>
        <v>40</v>
      </c>
      <c r="J3778" s="35" t="str">
        <f>IFERROR(__xludf.DUMMYFUNCTION("""COMPUTED_VALUE"""),"35-44 tahun")</f>
        <v>35-44 tahun</v>
      </c>
      <c r="K3778" s="35" t="str">
        <f>IFERROR(__xludf.DUMMYFUNCTION("""COMPUTED_VALUE"""),"16/09/1985")</f>
        <v>16/09/1985</v>
      </c>
      <c r="L3778" s="35" t="str">
        <f>IFERROR(__xludf.DUMMYFUNCTION("""COMPUTED_VALUE"""),"PEREMPUAN")</f>
        <v>PEREMPUAN</v>
      </c>
      <c r="M3778" s="35" t="str">
        <f>IFERROR(__xludf.DUMMYFUNCTION("""COMPUTED_VALUE"""),"HRA.RAHMAN GG.BERSAMA 2 NO 33B")</f>
        <v>HRA.RAHMAN GG.BERSAMA 2 NO 33B</v>
      </c>
      <c r="N3778" s="35" t="str">
        <f>IFERROR(__xludf.DUMMYFUNCTION("""COMPUTED_VALUE"""),"SUNGAI JAWI DALAM")</f>
        <v>SUNGAI JAWI DALAM</v>
      </c>
      <c r="O3778" s="35" t="str">
        <f>IFERROR(__xludf.DUMMYFUNCTION("""COMPUTED_VALUE"""),"PONTIANAK BARAT")</f>
        <v>PONTIANAK BARAT</v>
      </c>
      <c r="P3778" s="35" t="str">
        <f>IFERROR(__xludf.DUMMYFUNCTION("""COMPUTED_VALUE"""),"PONTIANAK")</f>
        <v>PONTIANAK</v>
      </c>
      <c r="Q3778" s="35" t="str">
        <f>IFERROR(__xludf.DUMMYFUNCTION("""COMPUTED_VALUE"""),"KALIMANTAN BARAT")</f>
        <v>KALIMANTAN BARAT</v>
      </c>
      <c r="R3778" s="35" t="str">
        <f>IFERROR(__xludf.DUMMYFUNCTION("""COMPUTED_VALUE"""),"ISLAM")</f>
        <v>ISLAM</v>
      </c>
      <c r="S3778" s="74" t="str">
        <f>IFERROR(__xludf.DUMMYFUNCTION("""COMPUTED_VALUE"""),"IBU RUMAH TANGGA")</f>
        <v>IBU RUMAH TANGGA</v>
      </c>
      <c r="T3778" s="35" t="str">
        <f>IFERROR(__xludf.DUMMYFUNCTION("""COMPUTED_VALUE"""),"SUNGAI JAWI")</f>
        <v>SUNGAI JAWI</v>
      </c>
      <c r="U3778" s="35" t="str">
        <f>IFERROR(__xludf.DUMMYFUNCTION("""COMPUTED_VALUE"""),"MENGANTAR ANAK SEKOLAH")</f>
        <v>MENGANTAR ANAK SEKOLAH</v>
      </c>
      <c r="V3778" s="35" t="str">
        <f>IFERROR(__xludf.DUMMYFUNCTION("""COMPUTED_VALUE"""),"085245237973")</f>
        <v>085245237973</v>
      </c>
      <c r="W3778" s="45"/>
    </row>
    <row r="3779">
      <c r="A3779" s="45"/>
      <c r="B3779" s="35" t="str">
        <f>IFERROR(__xludf.DUMMYFUNCTION("""COMPUTED_VALUE"""),"05/05/2026 9:51:39")</f>
        <v>05/05/2026 9:51:39</v>
      </c>
      <c r="C3779" s="35"/>
      <c r="D3779" s="10">
        <f>IFERROR(__xludf.DUMMYFUNCTION("""COMPUTED_VALUE"""),46147.0)</f>
        <v>46147</v>
      </c>
      <c r="E3779" s="35" t="str">
        <f>IFERROR(__xludf.DUMMYFUNCTION("""COMPUTED_VALUE"""),"05Mei")</f>
        <v>05Mei</v>
      </c>
      <c r="F3779" s="35"/>
      <c r="G3779" s="35" t="str">
        <f>IFERROR(__xludf.DUMMYFUNCTION("""COMPUTED_VALUE"""),"TAUFIKURROHMAN")</f>
        <v>TAUFIKURROHMAN</v>
      </c>
      <c r="H3779" s="35" t="str">
        <f>IFERROR(__xludf.DUMMYFUNCTION("""COMPUTED_VALUE"""),"T9726055545")</f>
        <v>T9726055545</v>
      </c>
      <c r="I3779" s="35">
        <f>IFERROR(__xludf.DUMMYFUNCTION("""COMPUTED_VALUE"""),28.0)</f>
        <v>28</v>
      </c>
      <c r="J3779" s="35" t="str">
        <f>IFERROR(__xludf.DUMMYFUNCTION("""COMPUTED_VALUE"""),"25-34 tahun")</f>
        <v>25-34 tahun</v>
      </c>
      <c r="K3779" s="35" t="str">
        <f>IFERROR(__xludf.DUMMYFUNCTION("""COMPUTED_VALUE"""),"25/10/1997")</f>
        <v>25/10/1997</v>
      </c>
      <c r="L3779" s="35" t="str">
        <f>IFERROR(__xludf.DUMMYFUNCTION("""COMPUTED_VALUE"""),"LAKI-LAKI")</f>
        <v>LAKI-LAKI</v>
      </c>
      <c r="M3779" s="35" t="str">
        <f>IFERROR(__xludf.DUMMYFUNCTION("""COMPUTED_VALUE"""),"JLN APEL GG PISANG RAJA NO 42")</f>
        <v>JLN APEL GG PISANG RAJA NO 42</v>
      </c>
      <c r="N3779" s="35" t="str">
        <f>IFERROR(__xludf.DUMMYFUNCTION("""COMPUTED_VALUE"""),"SEI JAWI LUAR")</f>
        <v>SEI JAWI LUAR</v>
      </c>
      <c r="O3779" s="35" t="str">
        <f>IFERROR(__xludf.DUMMYFUNCTION("""COMPUTED_VALUE"""),"PONTIANAK BARAT")</f>
        <v>PONTIANAK BARAT</v>
      </c>
      <c r="P3779" s="35" t="str">
        <f>IFERROR(__xludf.DUMMYFUNCTION("""COMPUTED_VALUE"""),"KOTA PONTIANAK")</f>
        <v>KOTA PONTIANAK</v>
      </c>
      <c r="Q3779" s="35" t="str">
        <f>IFERROR(__xludf.DUMMYFUNCTION("""COMPUTED_VALUE"""),"KALIMANTAN BARAT")</f>
        <v>KALIMANTAN BARAT</v>
      </c>
      <c r="R3779" s="35" t="str">
        <f>IFERROR(__xludf.DUMMYFUNCTION("""COMPUTED_VALUE"""),"ISLAM")</f>
        <v>ISLAM</v>
      </c>
      <c r="S3779" s="74" t="str">
        <f>IFERROR(__xludf.DUMMYFUNCTION("""COMPUTED_VALUE"""),"SWASTA")</f>
        <v>SWASTA</v>
      </c>
      <c r="T3779" s="35" t="str">
        <f>IFERROR(__xludf.DUMMYFUNCTION("""COMPUTED_VALUE"""),"KAKI KANAN BAGIAN LUTUT SAKIT")</f>
        <v>KAKI KANAN BAGIAN LUTUT SAKIT</v>
      </c>
      <c r="U3779" s="35" t="str">
        <f>IFERROR(__xludf.DUMMYFUNCTION("""COMPUTED_VALUE"""),"MAIN BOLA")</f>
        <v>MAIN BOLA</v>
      </c>
      <c r="V3779" s="35" t="str">
        <f>IFERROR(__xludf.DUMMYFUNCTION("""COMPUTED_VALUE"""),"089693685545")</f>
        <v>089693685545</v>
      </c>
      <c r="W3779" s="45"/>
    </row>
    <row r="3780">
      <c r="A3780" s="45"/>
      <c r="B3780" s="35" t="str">
        <f>IFERROR(__xludf.DUMMYFUNCTION("""COMPUTED_VALUE"""),"05/05/2026 10:29:20")</f>
        <v>05/05/2026 10:29:20</v>
      </c>
      <c r="C3780" s="35"/>
      <c r="D3780" s="10">
        <f>IFERROR(__xludf.DUMMYFUNCTION("""COMPUTED_VALUE"""),46147.0)</f>
        <v>46147</v>
      </c>
      <c r="E3780" s="35" t="str">
        <f>IFERROR(__xludf.DUMMYFUNCTION("""COMPUTED_VALUE"""),"05Mei")</f>
        <v>05Mei</v>
      </c>
      <c r="F3780" s="35"/>
      <c r="G3780" s="35" t="str">
        <f>IFERROR(__xludf.DUMMYFUNCTION("""COMPUTED_VALUE"""),"ASRI MUHARANI ARSA")</f>
        <v>ASRI MUHARANI ARSA</v>
      </c>
      <c r="H3780" s="35" t="str">
        <f>IFERROR(__xludf.DUMMYFUNCTION("""COMPUTED_VALUE"""),"A9626050666")</f>
        <v>A9626050666</v>
      </c>
      <c r="I3780" s="35">
        <f>IFERROR(__xludf.DUMMYFUNCTION("""COMPUTED_VALUE"""),30.0)</f>
        <v>30</v>
      </c>
      <c r="J3780" s="35" t="str">
        <f>IFERROR(__xludf.DUMMYFUNCTION("""COMPUTED_VALUE"""),"25-34 tahun")</f>
        <v>25-34 tahun</v>
      </c>
      <c r="K3780" s="35" t="str">
        <f>IFERROR(__xludf.DUMMYFUNCTION("""COMPUTED_VALUE"""),"06/06/1996")</f>
        <v>06/06/1996</v>
      </c>
      <c r="L3780" s="35" t="str">
        <f>IFERROR(__xludf.DUMMYFUNCTION("""COMPUTED_VALUE"""),"PEREMPUAN")</f>
        <v>PEREMPUAN</v>
      </c>
      <c r="M3780" s="35" t="str">
        <f>IFERROR(__xludf.DUMMYFUNCTION("""COMPUTED_VALUE"""),"JL. P.H HUSIN 2 GG BAROKAH")</f>
        <v>JL. P.H HUSIN 2 GG BAROKAH</v>
      </c>
      <c r="N3780" s="35" t="str">
        <f>IFERROR(__xludf.DUMMYFUNCTION("""COMPUTED_VALUE"""),"BANSIR DARAT")</f>
        <v>BANSIR DARAT</v>
      </c>
      <c r="O3780" s="35" t="str">
        <f>IFERROR(__xludf.DUMMYFUNCTION("""COMPUTED_VALUE"""),"PONTIANAK SELATAN")</f>
        <v>PONTIANAK SELATAN</v>
      </c>
      <c r="P3780" s="35" t="str">
        <f>IFERROR(__xludf.DUMMYFUNCTION("""COMPUTED_VALUE"""),"KOTA PONTIANAK")</f>
        <v>KOTA PONTIANAK</v>
      </c>
      <c r="Q3780" s="35" t="str">
        <f>IFERROR(__xludf.DUMMYFUNCTION("""COMPUTED_VALUE"""),"KALBAR")</f>
        <v>KALBAR</v>
      </c>
      <c r="R3780" s="35" t="str">
        <f>IFERROR(__xludf.DUMMYFUNCTION("""COMPUTED_VALUE"""),"ISLAM")</f>
        <v>ISLAM</v>
      </c>
      <c r="S3780" s="74" t="str">
        <f>IFERROR(__xludf.DUMMYFUNCTION("""COMPUTED_VALUE"""),"POLRI")</f>
        <v>POLRI</v>
      </c>
      <c r="T3780" s="35" t="str">
        <f>IFERROR(__xludf.DUMMYFUNCTION("""COMPUTED_VALUE"""),"TANGAN NYILU, SAKIT MAIN PADEL")</f>
        <v>TANGAN NYILU, SAKIT MAIN PADEL</v>
      </c>
      <c r="U3780" s="35" t="str">
        <f>IFERROR(__xludf.DUMMYFUNCTION("""COMPUTED_VALUE"""),"PADEL")</f>
        <v>PADEL</v>
      </c>
      <c r="V3780" s="35" t="str">
        <f>IFERROR(__xludf.DUMMYFUNCTION("""COMPUTED_VALUE"""),"081527000666")</f>
        <v>081527000666</v>
      </c>
      <c r="W3780" s="45"/>
    </row>
    <row r="3781">
      <c r="A3781" s="45"/>
      <c r="B3781" s="35" t="str">
        <f>IFERROR(__xludf.DUMMYFUNCTION("""COMPUTED_VALUE"""),"05/05/2026 12:43:29")</f>
        <v>05/05/2026 12:43:29</v>
      </c>
      <c r="C3781" s="35"/>
      <c r="D3781" s="10">
        <f>IFERROR(__xludf.DUMMYFUNCTION("""COMPUTED_VALUE"""),46147.0)</f>
        <v>46147</v>
      </c>
      <c r="E3781" s="35" t="str">
        <f>IFERROR(__xludf.DUMMYFUNCTION("""COMPUTED_VALUE"""),"05Mei")</f>
        <v>05Mei</v>
      </c>
      <c r="F3781" s="35"/>
      <c r="G3781" s="35" t="str">
        <f>IFERROR(__xludf.DUMMYFUNCTION("""COMPUTED_VALUE"""),"RITA")</f>
        <v>RITA</v>
      </c>
      <c r="H3781" s="35" t="str">
        <f>IFERROR(__xludf.DUMMYFUNCTION("""COMPUTED_VALUE"""),"R8626057005")</f>
        <v>R8626057005</v>
      </c>
      <c r="I3781" s="35">
        <f>IFERROR(__xludf.DUMMYFUNCTION("""COMPUTED_VALUE"""),40.0)</f>
        <v>40</v>
      </c>
      <c r="J3781" s="35" t="str">
        <f>IFERROR(__xludf.DUMMYFUNCTION("""COMPUTED_VALUE"""),"35-44 tahun")</f>
        <v>35-44 tahun</v>
      </c>
      <c r="K3781" s="35" t="str">
        <f>IFERROR(__xludf.DUMMYFUNCTION("""COMPUTED_VALUE"""),"28/05/1986")</f>
        <v>28/05/1986</v>
      </c>
      <c r="L3781" s="35" t="str">
        <f>IFERROR(__xludf.DUMMYFUNCTION("""COMPUTED_VALUE"""),"PEREMPUAN")</f>
        <v>PEREMPUAN</v>
      </c>
      <c r="M3781" s="35" t="str">
        <f>IFERROR(__xludf.DUMMYFUNCTION("""COMPUTED_VALUE"""),"JLN.H.RAIS ARAHMAN GANG KELUARGA NO 40")</f>
        <v>JLN.H.RAIS ARAHMAN GANG KELUARGA NO 40</v>
      </c>
      <c r="N3781" s="35" t="str">
        <f>IFERROR(__xludf.DUMMYFUNCTION("""COMPUTED_VALUE"""),"SUI JAWI DALAM")</f>
        <v>SUI JAWI DALAM</v>
      </c>
      <c r="O3781" s="35" t="str">
        <f>IFERROR(__xludf.DUMMYFUNCTION("""COMPUTED_VALUE"""),"PONTIANAK BARAT")</f>
        <v>PONTIANAK BARAT</v>
      </c>
      <c r="P3781" s="35" t="str">
        <f>IFERROR(__xludf.DUMMYFUNCTION("""COMPUTED_VALUE"""),"PONTIANAK")</f>
        <v>PONTIANAK</v>
      </c>
      <c r="Q3781" s="35" t="str">
        <f>IFERROR(__xludf.DUMMYFUNCTION("""COMPUTED_VALUE"""),"KALIMANTAN BARAT")</f>
        <v>KALIMANTAN BARAT</v>
      </c>
      <c r="R3781" s="35" t="str">
        <f>IFERROR(__xludf.DUMMYFUNCTION("""COMPUTED_VALUE"""),"ISLAM")</f>
        <v>ISLAM</v>
      </c>
      <c r="S3781" s="74" t="str">
        <f>IFERROR(__xludf.DUMMYFUNCTION("""COMPUTED_VALUE"""),"SWASTA")</f>
        <v>SWASTA</v>
      </c>
      <c r="T3781" s="35" t="str">
        <f>IFERROR(__xludf.DUMMYFUNCTION("""COMPUTED_VALUE"""),"NYERI PAHA")</f>
        <v>NYERI PAHA</v>
      </c>
      <c r="U3781" s="35" t="str">
        <f>IFERROR(__xludf.DUMMYFUNCTION("""COMPUTED_VALUE"""),"TIDAK ADA")</f>
        <v>TIDAK ADA</v>
      </c>
      <c r="V3781" s="35" t="str">
        <f>IFERROR(__xludf.DUMMYFUNCTION("""COMPUTED_VALUE"""),"089693887005")</f>
        <v>089693887005</v>
      </c>
      <c r="W3781" s="45"/>
    </row>
    <row r="3782">
      <c r="A3782" s="45"/>
      <c r="B3782" s="35" t="str">
        <f>IFERROR(__xludf.DUMMYFUNCTION("""COMPUTED_VALUE"""),"05/05/2026 12:09:06")</f>
        <v>05/05/2026 12:09:06</v>
      </c>
      <c r="C3782" s="35"/>
      <c r="D3782" s="10">
        <f>IFERROR(__xludf.DUMMYFUNCTION("""COMPUTED_VALUE"""),46147.0)</f>
        <v>46147</v>
      </c>
      <c r="E3782" s="35" t="str">
        <f>IFERROR(__xludf.DUMMYFUNCTION("""COMPUTED_VALUE"""),"05Mei")</f>
        <v>05Mei</v>
      </c>
      <c r="F3782" s="35"/>
      <c r="G3782" s="35" t="str">
        <f>IFERROR(__xludf.DUMMYFUNCTION("""COMPUTED_VALUE"""),"MANJA")</f>
        <v>MANJA</v>
      </c>
      <c r="H3782" s="35" t="str">
        <f>IFERROR(__xludf.DUMMYFUNCTION("""COMPUTED_VALUE"""),"M9826052194")</f>
        <v>M9826052194</v>
      </c>
      <c r="I3782" s="35">
        <f>IFERROR(__xludf.DUMMYFUNCTION("""COMPUTED_VALUE"""),28.0)</f>
        <v>28</v>
      </c>
      <c r="J3782" s="35" t="str">
        <f>IFERROR(__xludf.DUMMYFUNCTION("""COMPUTED_VALUE"""),"25-34 tahun")</f>
        <v>25-34 tahun</v>
      </c>
      <c r="K3782" s="35" t="str">
        <f>IFERROR(__xludf.DUMMYFUNCTION("""COMPUTED_VALUE"""),"21/05/1998")</f>
        <v>21/05/1998</v>
      </c>
      <c r="L3782" s="35" t="str">
        <f>IFERROR(__xludf.DUMMYFUNCTION("""COMPUTED_VALUE"""),"PEREMPUAN")</f>
        <v>PEREMPUAN</v>
      </c>
      <c r="M3782" s="35" t="str">
        <f>IFERROR(__xludf.DUMMYFUNCTION("""COMPUTED_VALUE"""),"JL.GAYUNG BERSAMBUT RT 009/RW 001")</f>
        <v>JL.GAYUNG BERSAMBUT RT 009/RW 001</v>
      </c>
      <c r="N3782" s="35" t="str">
        <f>IFERROR(__xludf.DUMMYFUNCTION("""COMPUTED_VALUE"""),"SETAPUK KECIL")</f>
        <v>SETAPUK KECIL</v>
      </c>
      <c r="O3782" s="35" t="str">
        <f>IFERROR(__xludf.DUMMYFUNCTION("""COMPUTED_VALUE"""),"SINGKAWANG UTARA")</f>
        <v>SINGKAWANG UTARA</v>
      </c>
      <c r="P3782" s="35" t="str">
        <f>IFERROR(__xludf.DUMMYFUNCTION("""COMPUTED_VALUE"""),"KOTA SINGKAWANG")</f>
        <v>KOTA SINGKAWANG</v>
      </c>
      <c r="Q3782" s="35" t="str">
        <f>IFERROR(__xludf.DUMMYFUNCTION("""COMPUTED_VALUE"""),"KALIMANTAN BARAT")</f>
        <v>KALIMANTAN BARAT</v>
      </c>
      <c r="R3782" s="35" t="str">
        <f>IFERROR(__xludf.DUMMYFUNCTION("""COMPUTED_VALUE"""),"ISLAM")</f>
        <v>ISLAM</v>
      </c>
      <c r="S3782" s="74" t="str">
        <f>IFERROR(__xludf.DUMMYFUNCTION("""COMPUTED_VALUE"""),"TENAGA PENDIDIK ")</f>
        <v>TENAGA PENDIDIK </v>
      </c>
      <c r="T3782" s="35" t="str">
        <f>IFERROR(__xludf.DUMMYFUNCTION("""COMPUTED_VALUE"""),"LEHER SAKIT , TANGAN KETIKA DIANGKAT TERASA NYERI DAN KEBAS")</f>
        <v>LEHER SAKIT , TANGAN KETIKA DIANGKAT TERASA NYERI DAN KEBAS</v>
      </c>
      <c r="U3782" s="35" t="str">
        <f>IFERROR(__xludf.DUMMYFUNCTION("""COMPUTED_VALUE"""),"MENGAJAR")</f>
        <v>MENGAJAR</v>
      </c>
      <c r="V3782" s="35" t="str">
        <f>IFERROR(__xludf.DUMMYFUNCTION("""COMPUTED_VALUE"""),"085753742194")</f>
        <v>085753742194</v>
      </c>
      <c r="W3782" s="45"/>
    </row>
    <row r="3783">
      <c r="A3783" s="45"/>
      <c r="B3783" s="35" t="str">
        <f>IFERROR(__xludf.DUMMYFUNCTION("""COMPUTED_VALUE"""),"05/05/2026 19:38:16")</f>
        <v>05/05/2026 19:38:16</v>
      </c>
      <c r="C3783" s="35"/>
      <c r="D3783" s="10">
        <f>IFERROR(__xludf.DUMMYFUNCTION("""COMPUTED_VALUE"""),46147.0)</f>
        <v>46147</v>
      </c>
      <c r="E3783" s="35" t="str">
        <f>IFERROR(__xludf.DUMMYFUNCTION("""COMPUTED_VALUE"""),"05Mei")</f>
        <v>05Mei</v>
      </c>
      <c r="F3783" s="35"/>
      <c r="G3783" s="35" t="str">
        <f>IFERROR(__xludf.DUMMYFUNCTION("""COMPUTED_VALUE"""),"GAN KONG HOK ALS KIEMHOO")</f>
        <v>GAN KONG HOK ALS KIEMHOO</v>
      </c>
      <c r="H3783" s="35" t="str">
        <f>IFERROR(__xludf.DUMMYFUNCTION("""COMPUTED_VALUE"""),"G5426057226")</f>
        <v>G5426057226</v>
      </c>
      <c r="I3783" s="35">
        <f>IFERROR(__xludf.DUMMYFUNCTION("""COMPUTED_VALUE"""),71.0)</f>
        <v>71</v>
      </c>
      <c r="J3783" s="35" t="str">
        <f>IFERROR(__xludf.DUMMYFUNCTION("""COMPUTED_VALUE"""),"&gt; 44 tahun")</f>
        <v>&gt; 44 tahun</v>
      </c>
      <c r="K3783" s="35" t="str">
        <f>IFERROR(__xludf.DUMMYFUNCTION("""COMPUTED_VALUE"""),"05/09/1954")</f>
        <v>05/09/1954</v>
      </c>
      <c r="L3783" s="35" t="str">
        <f>IFERROR(__xludf.DUMMYFUNCTION("""COMPUTED_VALUE"""),"LAKI-LAKI")</f>
        <v>LAKI-LAKI</v>
      </c>
      <c r="M3783" s="35" t="str">
        <f>IFERROR(__xludf.DUMMYFUNCTION("""COMPUTED_VALUE"""),"TANJUNG PURA NO. 406")</f>
        <v>TANJUNG PURA NO. 406</v>
      </c>
      <c r="N3783" s="35" t="str">
        <f>IFERROR(__xludf.DUMMYFUNCTION("""COMPUTED_VALUE"""),"BENUA MELAYU DARAT")</f>
        <v>BENUA MELAYU DARAT</v>
      </c>
      <c r="O3783" s="35" t="str">
        <f>IFERROR(__xludf.DUMMYFUNCTION("""COMPUTED_VALUE"""),"PONTIANAK SELATAN")</f>
        <v>PONTIANAK SELATAN</v>
      </c>
      <c r="P3783" s="35" t="str">
        <f>IFERROR(__xludf.DUMMYFUNCTION("""COMPUTED_VALUE"""),"PONTIANAK")</f>
        <v>PONTIANAK</v>
      </c>
      <c r="Q3783" s="35" t="str">
        <f>IFERROR(__xludf.DUMMYFUNCTION("""COMPUTED_VALUE"""),"KALIMANTAN BARAT")</f>
        <v>KALIMANTAN BARAT</v>
      </c>
      <c r="R3783" s="35" t="str">
        <f>IFERROR(__xludf.DUMMYFUNCTION("""COMPUTED_VALUE"""),"KATOLIK")</f>
        <v>KATOLIK</v>
      </c>
      <c r="S3783" s="74" t="str">
        <f>IFERROR(__xludf.DUMMYFUNCTION("""COMPUTED_VALUE"""),"WIRASWASTA")</f>
        <v>WIRASWASTA</v>
      </c>
      <c r="T3783" s="35" t="str">
        <f>IFERROR(__xludf.DUMMYFUNCTION("""COMPUTED_VALUE"""),"TIDAK ENAK DI BAGIAN LUTUT BELAKANG DAN PANGKAL BETIS SEBELAH KANAN")</f>
        <v>TIDAK ENAK DI BAGIAN LUTUT BELAKANG DAN PANGKAL BETIS SEBELAH KANAN</v>
      </c>
      <c r="U3783" s="35" t="str">
        <f>IFERROR(__xludf.DUMMYFUNCTION("""COMPUTED_VALUE"""),"-")</f>
        <v>-</v>
      </c>
      <c r="V3783" s="35" t="str">
        <f>IFERROR(__xludf.DUMMYFUNCTION("""COMPUTED_VALUE"""),"087818347226")</f>
        <v>087818347226</v>
      </c>
      <c r="W3783" s="45"/>
    </row>
    <row r="3784">
      <c r="A3784" s="45"/>
      <c r="B3784" s="35" t="str">
        <f>IFERROR(__xludf.DUMMYFUNCTION("""COMPUTED_VALUE"""),"06/05/2026 13:46:16")</f>
        <v>06/05/2026 13:46:16</v>
      </c>
      <c r="C3784" s="35"/>
      <c r="D3784" s="10">
        <f>IFERROR(__xludf.DUMMYFUNCTION("""COMPUTED_VALUE"""),46148.0)</f>
        <v>46148</v>
      </c>
      <c r="E3784" s="35" t="str">
        <f>IFERROR(__xludf.DUMMYFUNCTION("""COMPUTED_VALUE"""),"05Mei")</f>
        <v>05Mei</v>
      </c>
      <c r="F3784" s="35"/>
      <c r="G3784" s="35" t="str">
        <f>IFERROR(__xludf.DUMMYFUNCTION("""COMPUTED_VALUE"""),"FITRI FATIMAH")</f>
        <v>FITRI FATIMAH</v>
      </c>
      <c r="H3784" s="35" t="str">
        <f>IFERROR(__xludf.DUMMYFUNCTION("""COMPUTED_VALUE"""),"F8126053336")</f>
        <v>F8126053336</v>
      </c>
      <c r="I3784" s="35">
        <f>IFERROR(__xludf.DUMMYFUNCTION("""COMPUTED_VALUE"""),45.0)</f>
        <v>45</v>
      </c>
      <c r="J3784" s="35" t="str">
        <f>IFERROR(__xludf.DUMMYFUNCTION("""COMPUTED_VALUE"""),"&gt; 44 tahun")</f>
        <v>&gt; 44 tahun</v>
      </c>
      <c r="K3784" s="35" t="str">
        <f>IFERROR(__xludf.DUMMYFUNCTION("""COMPUTED_VALUE"""),"06/04/1981")</f>
        <v>06/04/1981</v>
      </c>
      <c r="L3784" s="35" t="str">
        <f>IFERROR(__xludf.DUMMYFUNCTION("""COMPUTED_VALUE"""),"PEREMPUAN")</f>
        <v>PEREMPUAN</v>
      </c>
      <c r="M3784" s="35" t="str">
        <f>IFERROR(__xludf.DUMMYFUNCTION("""COMPUTED_VALUE"""),"JL. IMAM BONJOL GG. BUARO NO. 85")</f>
        <v>JL. IMAM BONJOL GG. BUARO NO. 85</v>
      </c>
      <c r="N3784" s="35" t="str">
        <f>IFERROR(__xludf.DUMMYFUNCTION("""COMPUTED_VALUE"""),"BANDIT LAUT")</f>
        <v>BANDIT LAUT</v>
      </c>
      <c r="O3784" s="35" t="str">
        <f>IFERROR(__xludf.DUMMYFUNCTION("""COMPUTED_VALUE"""),"PONTIANAK TENGGARA")</f>
        <v>PONTIANAK TENGGARA</v>
      </c>
      <c r="P3784" s="35" t="str">
        <f>IFERROR(__xludf.DUMMYFUNCTION("""COMPUTED_VALUE"""),"KOTA PONTIANAK")</f>
        <v>KOTA PONTIANAK</v>
      </c>
      <c r="Q3784" s="35" t="str">
        <f>IFERROR(__xludf.DUMMYFUNCTION("""COMPUTED_VALUE"""),"KALIMANTAN BARAT")</f>
        <v>KALIMANTAN BARAT</v>
      </c>
      <c r="R3784" s="35" t="str">
        <f>IFERROR(__xludf.DUMMYFUNCTION("""COMPUTED_VALUE"""),"ISLAM")</f>
        <v>ISLAM</v>
      </c>
      <c r="S3784" s="74" t="str">
        <f>IFERROR(__xludf.DUMMYFUNCTION("""COMPUTED_VALUE"""),"PNS")</f>
        <v>PNS</v>
      </c>
      <c r="T3784" s="35" t="str">
        <f>IFERROR(__xludf.DUMMYFUNCTION("""COMPUTED_VALUE"""),"NYERI PINGGANG KRN SALAH POSISI NGAMBIL BARANG")</f>
        <v>NYERI PINGGANG KRN SALAH POSISI NGAMBIL BARANG</v>
      </c>
      <c r="U3784" s="35" t="str">
        <f>IFERROR(__xludf.DUMMYFUNCTION("""COMPUTED_VALUE"""),"-")</f>
        <v>-</v>
      </c>
      <c r="V3784" s="35" t="str">
        <f>IFERROR(__xludf.DUMMYFUNCTION("""COMPUTED_VALUE"""),"085252553336")</f>
        <v>085252553336</v>
      </c>
      <c r="W3784" s="45"/>
    </row>
    <row r="3785">
      <c r="A3785" s="45"/>
      <c r="B3785" s="35" t="str">
        <f>IFERROR(__xludf.DUMMYFUNCTION("""COMPUTED_VALUE"""),"06/05/2026 15:27:37")</f>
        <v>06/05/2026 15:27:37</v>
      </c>
      <c r="C3785" s="35"/>
      <c r="D3785" s="10">
        <f>IFERROR(__xludf.DUMMYFUNCTION("""COMPUTED_VALUE"""),46148.0)</f>
        <v>46148</v>
      </c>
      <c r="E3785" s="35" t="str">
        <f>IFERROR(__xludf.DUMMYFUNCTION("""COMPUTED_VALUE"""),"05Mei")</f>
        <v>05Mei</v>
      </c>
      <c r="F3785" s="35"/>
      <c r="G3785" s="35" t="str">
        <f>IFERROR(__xludf.DUMMYFUNCTION("""COMPUTED_VALUE"""),"CHARLES")</f>
        <v>CHARLES</v>
      </c>
      <c r="H3785" s="35" t="str">
        <f>IFERROR(__xludf.DUMMYFUNCTION("""COMPUTED_VALUE"""),"C0126058829")</f>
        <v>C0126058829</v>
      </c>
      <c r="I3785" s="35">
        <f>IFERROR(__xludf.DUMMYFUNCTION("""COMPUTED_VALUE"""),24.0)</f>
        <v>24</v>
      </c>
      <c r="J3785" s="35" t="str">
        <f>IFERROR(__xludf.DUMMYFUNCTION("""COMPUTED_VALUE"""),"18-24 tahun")</f>
        <v>18-24 tahun</v>
      </c>
      <c r="K3785" s="35" t="str">
        <f>IFERROR(__xludf.DUMMYFUNCTION("""COMPUTED_VALUE"""),"04/11/2001")</f>
        <v>04/11/2001</v>
      </c>
      <c r="L3785" s="35" t="str">
        <f>IFERROR(__xludf.DUMMYFUNCTION("""COMPUTED_VALUE"""),"LAKI-LAKI")</f>
        <v>LAKI-LAKI</v>
      </c>
      <c r="M3785" s="35" t="str">
        <f>IFERROR(__xludf.DUMMYFUNCTION("""COMPUTED_VALUE"""),"GANG SELAT SUMBA")</f>
        <v>GANG SELAT SUMBA</v>
      </c>
      <c r="N3785" s="35" t="str">
        <f>IFERROR(__xludf.DUMMYFUNCTION("""COMPUTED_VALUE"""),"SIANTAN TENGAH")</f>
        <v>SIANTAN TENGAH</v>
      </c>
      <c r="O3785" s="35" t="str">
        <f>IFERROR(__xludf.DUMMYFUNCTION("""COMPUTED_VALUE"""),"PONTIANAK UTARA")</f>
        <v>PONTIANAK UTARA</v>
      </c>
      <c r="P3785" s="35" t="str">
        <f>IFERROR(__xludf.DUMMYFUNCTION("""COMPUTED_VALUE"""),"KOTA PONTIANAK")</f>
        <v>KOTA PONTIANAK</v>
      </c>
      <c r="Q3785" s="35" t="str">
        <f>IFERROR(__xludf.DUMMYFUNCTION("""COMPUTED_VALUE"""),"KALIMANTAN BARAT")</f>
        <v>KALIMANTAN BARAT</v>
      </c>
      <c r="R3785" s="35" t="str">
        <f>IFERROR(__xludf.DUMMYFUNCTION("""COMPUTED_VALUE"""),"BUDDHA")</f>
        <v>BUDDHA</v>
      </c>
      <c r="S3785" s="74" t="str">
        <f>IFERROR(__xludf.DUMMYFUNCTION("""COMPUTED_VALUE"""),"PENJUAL KUE")</f>
        <v>PENJUAL KUE</v>
      </c>
      <c r="T3785" s="35" t="str">
        <f>IFERROR(__xludf.DUMMYFUNCTION("""COMPUTED_VALUE"""),"PERGELANGAN TANGAN CEDERA")</f>
        <v>PERGELANGAN TANGAN CEDERA</v>
      </c>
      <c r="U3785" s="35" t="str">
        <f>IFERROR(__xludf.DUMMYFUNCTION("""COMPUTED_VALUE"""),"BADMINTON / GYM")</f>
        <v>BADMINTON / GYM</v>
      </c>
      <c r="V3785" s="35" t="str">
        <f>IFERROR(__xludf.DUMMYFUNCTION("""COMPUTED_VALUE"""),"082277778829")</f>
        <v>082277778829</v>
      </c>
      <c r="W3785" s="45"/>
    </row>
    <row r="3786">
      <c r="A3786" s="45"/>
      <c r="B3786" s="35" t="str">
        <f>IFERROR(__xludf.DUMMYFUNCTION("""COMPUTED_VALUE"""),"07/05/2026 9:34:28")</f>
        <v>07/05/2026 9:34:28</v>
      </c>
      <c r="C3786" s="35"/>
      <c r="D3786" s="10">
        <f>IFERROR(__xludf.DUMMYFUNCTION("""COMPUTED_VALUE"""),46149.0)</f>
        <v>46149</v>
      </c>
      <c r="E3786" s="35" t="str">
        <f>IFERROR(__xludf.DUMMYFUNCTION("""COMPUTED_VALUE"""),"05Mei")</f>
        <v>05Mei</v>
      </c>
      <c r="F3786" s="35"/>
      <c r="G3786" s="35" t="str">
        <f>IFERROR(__xludf.DUMMYFUNCTION("""COMPUTED_VALUE"""),"JOKO PRANOTO")</f>
        <v>JOKO PRANOTO</v>
      </c>
      <c r="H3786" s="35" t="str">
        <f>IFERROR(__xludf.DUMMYFUNCTION("""COMPUTED_VALUE"""),"J9526054463")</f>
        <v>J9526054463</v>
      </c>
      <c r="I3786" s="35">
        <f>IFERROR(__xludf.DUMMYFUNCTION("""COMPUTED_VALUE"""),31.0)</f>
        <v>31</v>
      </c>
      <c r="J3786" s="35" t="str">
        <f>IFERROR(__xludf.DUMMYFUNCTION("""COMPUTED_VALUE"""),"25-34 tahun")</f>
        <v>25-34 tahun</v>
      </c>
      <c r="K3786" s="35" t="str">
        <f>IFERROR(__xludf.DUMMYFUNCTION("""COMPUTED_VALUE"""),"21/02/1995")</f>
        <v>21/02/1995</v>
      </c>
      <c r="L3786" s="35" t="str">
        <f>IFERROR(__xludf.DUMMYFUNCTION("""COMPUTED_VALUE"""),"LAKI-LAKI")</f>
        <v>LAKI-LAKI</v>
      </c>
      <c r="M3786" s="35" t="str">
        <f>IFERROR(__xludf.DUMMYFUNCTION("""COMPUTED_VALUE"""),"JL. SAWO GANG CEMPAKA INDAH NO.2")</f>
        <v>JL. SAWO GANG CEMPAKA INDAH NO.2</v>
      </c>
      <c r="N3786" s="35" t="str">
        <f>IFERROR(__xludf.DUMMYFUNCTION("""COMPUTED_VALUE"""),"SUNGAI JAWI DALAM")</f>
        <v>SUNGAI JAWI DALAM</v>
      </c>
      <c r="O3786" s="35" t="str">
        <f>IFERROR(__xludf.DUMMYFUNCTION("""COMPUTED_VALUE"""),"PONTIANAK BARAT")</f>
        <v>PONTIANAK BARAT</v>
      </c>
      <c r="P3786" s="35" t="str">
        <f>IFERROR(__xludf.DUMMYFUNCTION("""COMPUTED_VALUE"""),"PONTIANAK")</f>
        <v>PONTIANAK</v>
      </c>
      <c r="Q3786" s="35" t="str">
        <f>IFERROR(__xludf.DUMMYFUNCTION("""COMPUTED_VALUE"""),"KALIMANTAN BARAT")</f>
        <v>KALIMANTAN BARAT</v>
      </c>
      <c r="R3786" s="35" t="str">
        <f>IFERROR(__xludf.DUMMYFUNCTION("""COMPUTED_VALUE"""),"ISLAM")</f>
        <v>ISLAM</v>
      </c>
      <c r="S3786" s="74" t="str">
        <f>IFERROR(__xludf.DUMMYFUNCTION("""COMPUTED_VALUE"""),"PNS")</f>
        <v>PNS</v>
      </c>
      <c r="T3786" s="35" t="str">
        <f>IFERROR(__xludf.DUMMYFUNCTION("""COMPUTED_VALUE"""),"BAHU KIRI SAKIT SAAT RILEKS, SAKITNYA SAMPAI KE DADA DAN LEHER")</f>
        <v>BAHU KIRI SAKIT SAAT RILEKS, SAKITNYA SAMPAI KE DADA DAN LEHER</v>
      </c>
      <c r="U3786" s="35" t="str">
        <f>IFERROR(__xludf.DUMMYFUNCTION("""COMPUTED_VALUE"""),"GYM")</f>
        <v>GYM</v>
      </c>
      <c r="V3786" s="35" t="str">
        <f>IFERROR(__xludf.DUMMYFUNCTION("""COMPUTED_VALUE"""),"08174954463")</f>
        <v>08174954463</v>
      </c>
      <c r="W3786" s="45"/>
    </row>
    <row r="3787">
      <c r="A3787" s="45"/>
      <c r="B3787" s="35" t="str">
        <f>IFERROR(__xludf.DUMMYFUNCTION("""COMPUTED_VALUE"""),"07/05/2026 14:45:19")</f>
        <v>07/05/2026 14:45:19</v>
      </c>
      <c r="C3787" s="35"/>
      <c r="D3787" s="10">
        <f>IFERROR(__xludf.DUMMYFUNCTION("""COMPUTED_VALUE"""),46149.0)</f>
        <v>46149</v>
      </c>
      <c r="E3787" s="35" t="str">
        <f>IFERROR(__xludf.DUMMYFUNCTION("""COMPUTED_VALUE"""),"05Mei")</f>
        <v>05Mei</v>
      </c>
      <c r="F3787" s="35"/>
      <c r="G3787" s="35" t="str">
        <f>IFERROR(__xludf.DUMMYFUNCTION("""COMPUTED_VALUE"""),"MUHAIMIN SANI ")</f>
        <v>MUHAIMIN SANI </v>
      </c>
      <c r="H3787" s="35" t="str">
        <f>IFERROR(__xludf.DUMMYFUNCTION("""COMPUTED_VALUE"""),"M8926051205")</f>
        <v>M8926051205</v>
      </c>
      <c r="I3787" s="35">
        <f>IFERROR(__xludf.DUMMYFUNCTION("""COMPUTED_VALUE"""),37.0)</f>
        <v>37</v>
      </c>
      <c r="J3787" s="35" t="str">
        <f>IFERROR(__xludf.DUMMYFUNCTION("""COMPUTED_VALUE"""),"35-44 tahun")</f>
        <v>35-44 tahun</v>
      </c>
      <c r="K3787" s="35" t="str">
        <f>IFERROR(__xludf.DUMMYFUNCTION("""COMPUTED_VALUE"""),"25/05/1989")</f>
        <v>25/05/1989</v>
      </c>
      <c r="L3787" s="35" t="str">
        <f>IFERROR(__xludf.DUMMYFUNCTION("""COMPUTED_VALUE"""),"LAKI-LAKI")</f>
        <v>LAKI-LAKI</v>
      </c>
      <c r="M3787" s="35" t="str">
        <f>IFERROR(__xludf.DUMMYFUNCTION("""COMPUTED_VALUE"""),"KOMPLEK ADI GRIYA KARYA B14")</f>
        <v>KOMPLEK ADI GRIYA KARYA B14</v>
      </c>
      <c r="N3787" s="35" t="str">
        <f>IFERROR(__xludf.DUMMYFUNCTION("""COMPUTED_VALUE"""),"TELUK KAPUAS")</f>
        <v>TELUK KAPUAS</v>
      </c>
      <c r="O3787" s="35" t="str">
        <f>IFERROR(__xludf.DUMMYFUNCTION("""COMPUTED_VALUE"""),"SUNGAI RAYA")</f>
        <v>SUNGAI RAYA</v>
      </c>
      <c r="P3787" s="35" t="str">
        <f>IFERROR(__xludf.DUMMYFUNCTION("""COMPUTED_VALUE"""),"KUBU RAYA ")</f>
        <v>KUBU RAYA </v>
      </c>
      <c r="Q3787" s="35" t="str">
        <f>IFERROR(__xludf.DUMMYFUNCTION("""COMPUTED_VALUE"""),"KALIMANTAN BARAT ")</f>
        <v>KALIMANTAN BARAT </v>
      </c>
      <c r="R3787" s="35" t="str">
        <f>IFERROR(__xludf.DUMMYFUNCTION("""COMPUTED_VALUE"""),"ISLAM")</f>
        <v>ISLAM</v>
      </c>
      <c r="S3787" s="74" t="str">
        <f>IFERROR(__xludf.DUMMYFUNCTION("""COMPUTED_VALUE"""),"PNS")</f>
        <v>PNS</v>
      </c>
      <c r="T3787" s="35" t="str">
        <f>IFERROR(__xludf.DUMMYFUNCTION("""COMPUTED_VALUE"""),"SUBLIKASI SHOUDER KANAN")</f>
        <v>SUBLIKASI SHOUDER KANAN</v>
      </c>
      <c r="U3787" s="35" t="str">
        <f>IFERROR(__xludf.DUMMYFUNCTION("""COMPUTED_VALUE"""),"KERJA ")</f>
        <v>KERJA </v>
      </c>
      <c r="V3787" s="35" t="str">
        <f>IFERROR(__xludf.DUMMYFUNCTION("""COMPUTED_VALUE"""),"085245911205")</f>
        <v>085245911205</v>
      </c>
      <c r="W3787" s="45"/>
    </row>
    <row r="3788">
      <c r="A3788" s="45"/>
      <c r="B3788" s="35" t="str">
        <f>IFERROR(__xludf.DUMMYFUNCTION("""COMPUTED_VALUE"""),"07/05/2026 15:06:20")</f>
        <v>07/05/2026 15:06:20</v>
      </c>
      <c r="C3788" s="35"/>
      <c r="D3788" s="10">
        <f>IFERROR(__xludf.DUMMYFUNCTION("""COMPUTED_VALUE"""),46149.0)</f>
        <v>46149</v>
      </c>
      <c r="E3788" s="35" t="str">
        <f>IFERROR(__xludf.DUMMYFUNCTION("""COMPUTED_VALUE"""),"05Mei")</f>
        <v>05Mei</v>
      </c>
      <c r="F3788" s="35"/>
      <c r="G3788" s="35" t="str">
        <f>IFERROR(__xludf.DUMMYFUNCTION("""COMPUTED_VALUE"""),"PUTRI AMALIA NURMIZAN")</f>
        <v>PUTRI AMALIA NURMIZAN</v>
      </c>
      <c r="H3788" s="35" t="str">
        <f>IFERROR(__xludf.DUMMYFUNCTION("""COMPUTED_VALUE"""),"P0226050008")</f>
        <v>P0226050008</v>
      </c>
      <c r="I3788" s="35">
        <f>IFERROR(__xludf.DUMMYFUNCTION("""COMPUTED_VALUE"""),24.0)</f>
        <v>24</v>
      </c>
      <c r="J3788" s="35" t="str">
        <f>IFERROR(__xludf.DUMMYFUNCTION("""COMPUTED_VALUE"""),"18-24 tahun")</f>
        <v>18-24 tahun</v>
      </c>
      <c r="K3788" s="35" t="str">
        <f>IFERROR(__xludf.DUMMYFUNCTION("""COMPUTED_VALUE"""),"24/04/2002")</f>
        <v>24/04/2002</v>
      </c>
      <c r="L3788" s="35" t="str">
        <f>IFERROR(__xludf.DUMMYFUNCTION("""COMPUTED_VALUE"""),"PEREMPUAN")</f>
        <v>PEREMPUAN</v>
      </c>
      <c r="M3788" s="35" t="str">
        <f>IFERROR(__xludf.DUMMYFUNCTION("""COMPUTED_VALUE"""),"JL UJUNG PANDANG GANG WBISONO")</f>
        <v>JL UJUNG PANDANG GANG WBISONO</v>
      </c>
      <c r="N3788" s="35" t="str">
        <f>IFERROR(__xludf.DUMMYFUNCTION("""COMPUTED_VALUE"""),"SUNGAI JAWI")</f>
        <v>SUNGAI JAWI</v>
      </c>
      <c r="O3788" s="35" t="str">
        <f>IFERROR(__xludf.DUMMYFUNCTION("""COMPUTED_VALUE"""),"PONTIANAK KOTA")</f>
        <v>PONTIANAK KOTA</v>
      </c>
      <c r="P3788" s="35" t="str">
        <f>IFERROR(__xludf.DUMMYFUNCTION("""COMPUTED_VALUE"""),"PONTIANAK")</f>
        <v>PONTIANAK</v>
      </c>
      <c r="Q3788" s="35" t="str">
        <f>IFERROR(__xludf.DUMMYFUNCTION("""COMPUTED_VALUE"""),"KALIMANTAN BARAT")</f>
        <v>KALIMANTAN BARAT</v>
      </c>
      <c r="R3788" s="35" t="str">
        <f>IFERROR(__xludf.DUMMYFUNCTION("""COMPUTED_VALUE"""),"ISLAM")</f>
        <v>ISLAM</v>
      </c>
      <c r="S3788" s="74" t="str">
        <f>IFERROR(__xludf.DUMMYFUNCTION("""COMPUTED_VALUE"""),"GURU")</f>
        <v>GURU</v>
      </c>
      <c r="T3788" s="35" t="str">
        <f>IFERROR(__xludf.DUMMYFUNCTION("""COMPUTED_VALUE"""),"KAKI")</f>
        <v>KAKI</v>
      </c>
      <c r="U3788" s="35" t="str">
        <f>IFERROR(__xludf.DUMMYFUNCTION("""COMPUTED_VALUE"""),"-")</f>
        <v>-</v>
      </c>
      <c r="V3788" s="35" t="str">
        <f>IFERROR(__xludf.DUMMYFUNCTION("""COMPUTED_VALUE"""),"0895328050008")</f>
        <v>0895328050008</v>
      </c>
      <c r="W3788" s="45"/>
    </row>
    <row r="3789">
      <c r="A3789" s="45"/>
      <c r="B3789" s="35" t="str">
        <f>IFERROR(__xludf.DUMMYFUNCTION("""COMPUTED_VALUE"""),"07/05/2026 15:09:21")</f>
        <v>07/05/2026 15:09:21</v>
      </c>
      <c r="C3789" s="35"/>
      <c r="D3789" s="10">
        <f>IFERROR(__xludf.DUMMYFUNCTION("""COMPUTED_VALUE"""),46149.0)</f>
        <v>46149</v>
      </c>
      <c r="E3789" s="35" t="str">
        <f>IFERROR(__xludf.DUMMYFUNCTION("""COMPUTED_VALUE"""),"05Mei")</f>
        <v>05Mei</v>
      </c>
      <c r="F3789" s="35"/>
      <c r="G3789" s="35" t="str">
        <f>IFERROR(__xludf.DUMMYFUNCTION("""COMPUTED_VALUE"""),"KURNIA WIDYASTUTY")</f>
        <v>KURNIA WIDYASTUTY</v>
      </c>
      <c r="H3789" s="35" t="str">
        <f>IFERROR(__xludf.DUMMYFUNCTION("""COMPUTED_VALUE"""),"K9126053003")</f>
        <v>K9126053003</v>
      </c>
      <c r="I3789" s="35">
        <f>IFERROR(__xludf.DUMMYFUNCTION("""COMPUTED_VALUE"""),34.0)</f>
        <v>34</v>
      </c>
      <c r="J3789" s="35" t="str">
        <f>IFERROR(__xludf.DUMMYFUNCTION("""COMPUTED_VALUE"""),"25-34 tahun")</f>
        <v>25-34 tahun</v>
      </c>
      <c r="K3789" s="35" t="str">
        <f>IFERROR(__xludf.DUMMYFUNCTION("""COMPUTED_VALUE"""),"03/07/1991")</f>
        <v>03/07/1991</v>
      </c>
      <c r="L3789" s="35" t="str">
        <f>IFERROR(__xludf.DUMMYFUNCTION("""COMPUTED_VALUE"""),"PEREMPUAN")</f>
        <v>PEREMPUAN</v>
      </c>
      <c r="M3789" s="35" t="str">
        <f>IFERROR(__xludf.DUMMYFUNCTION("""COMPUTED_VALUE"""),"KP PRAMUKA")</f>
        <v>KP PRAMUKA</v>
      </c>
      <c r="N3789" s="35" t="str">
        <f>IFERROR(__xludf.DUMMYFUNCTION("""COMPUTED_VALUE"""),"ANJUNGAN")</f>
        <v>ANJUNGAN</v>
      </c>
      <c r="O3789" s="35" t="str">
        <f>IFERROR(__xludf.DUMMYFUNCTION("""COMPUTED_VALUE"""),"ANJONGAN")</f>
        <v>ANJONGAN</v>
      </c>
      <c r="P3789" s="35" t="str">
        <f>IFERROR(__xludf.DUMMYFUNCTION("""COMPUTED_VALUE"""),"MEMPAWAH")</f>
        <v>MEMPAWAH</v>
      </c>
      <c r="Q3789" s="35" t="str">
        <f>IFERROR(__xludf.DUMMYFUNCTION("""COMPUTED_VALUE"""),"KALIMANTAN BARAT")</f>
        <v>KALIMANTAN BARAT</v>
      </c>
      <c r="R3789" s="35" t="str">
        <f>IFERROR(__xludf.DUMMYFUNCTION("""COMPUTED_VALUE"""),"ISLAM")</f>
        <v>ISLAM</v>
      </c>
      <c r="S3789" s="74" t="str">
        <f>IFERROR(__xludf.DUMMYFUNCTION("""COMPUTED_VALUE"""),"WIRASWASTA")</f>
        <v>WIRASWASTA</v>
      </c>
      <c r="T3789" s="35" t="str">
        <f>IFERROR(__xludf.DUMMYFUNCTION("""COMPUTED_VALUE"""),"SAKIT BAHU KIRI")</f>
        <v>SAKIT BAHU KIRI</v>
      </c>
      <c r="U3789" s="35" t="str">
        <f>IFERROR(__xludf.DUMMYFUNCTION("""COMPUTED_VALUE"""),"BERKEMAS")</f>
        <v>BERKEMAS</v>
      </c>
      <c r="V3789" s="35" t="str">
        <f>IFERROR(__xludf.DUMMYFUNCTION("""COMPUTED_VALUE"""),"081256303003")</f>
        <v>081256303003</v>
      </c>
      <c r="W3789" s="45"/>
    </row>
    <row r="3790">
      <c r="A3790" s="45"/>
      <c r="B3790" s="35" t="str">
        <f>IFERROR(__xludf.DUMMYFUNCTION("""COMPUTED_VALUE"""),"07/05/2026 18:14:56")</f>
        <v>07/05/2026 18:14:56</v>
      </c>
      <c r="C3790" s="35"/>
      <c r="D3790" s="10">
        <f>IFERROR(__xludf.DUMMYFUNCTION("""COMPUTED_VALUE"""),46149.0)</f>
        <v>46149</v>
      </c>
      <c r="E3790" s="35" t="str">
        <f>IFERROR(__xludf.DUMMYFUNCTION("""COMPUTED_VALUE"""),"05Mei")</f>
        <v>05Mei</v>
      </c>
      <c r="F3790" s="35"/>
      <c r="G3790" s="35" t="str">
        <f>IFERROR(__xludf.DUMMYFUNCTION("""COMPUTED_VALUE"""),"EPENDI")</f>
        <v>EPENDI</v>
      </c>
      <c r="H3790" s="35" t="str">
        <f>IFERROR(__xludf.DUMMYFUNCTION("""COMPUTED_VALUE"""),"E9726051490")</f>
        <v>E9726051490</v>
      </c>
      <c r="I3790" s="35">
        <f>IFERROR(__xludf.DUMMYFUNCTION("""COMPUTED_VALUE"""),29.0)</f>
        <v>29</v>
      </c>
      <c r="J3790" s="35" t="str">
        <f>IFERROR(__xludf.DUMMYFUNCTION("""COMPUTED_VALUE"""),"25-34 tahun")</f>
        <v>25-34 tahun</v>
      </c>
      <c r="K3790" s="35" t="str">
        <f>IFERROR(__xludf.DUMMYFUNCTION("""COMPUTED_VALUE"""),"12/02/1997")</f>
        <v>12/02/1997</v>
      </c>
      <c r="L3790" s="35" t="str">
        <f>IFERROR(__xludf.DUMMYFUNCTION("""COMPUTED_VALUE"""),"LAKI-LAKI")</f>
        <v>LAKI-LAKI</v>
      </c>
      <c r="M3790" s="35" t="str">
        <f>IFERROR(__xludf.DUMMYFUNCTION("""COMPUTED_VALUE"""),"JL.RAYA KUALA DUA GG.SUMBER MAJU 2 NO.17")</f>
        <v>JL.RAYA KUALA DUA GG.SUMBER MAJU 2 NO.17</v>
      </c>
      <c r="N3790" s="35" t="str">
        <f>IFERROR(__xludf.DUMMYFUNCTION("""COMPUTED_VALUE"""),"KUALA DUA")</f>
        <v>KUALA DUA</v>
      </c>
      <c r="O3790" s="35" t="str">
        <f>IFERROR(__xludf.DUMMYFUNCTION("""COMPUTED_VALUE"""),"SUNGAI RAYA")</f>
        <v>SUNGAI RAYA</v>
      </c>
      <c r="P3790" s="35" t="str">
        <f>IFERROR(__xludf.DUMMYFUNCTION("""COMPUTED_VALUE"""),"KUBU RAYA")</f>
        <v>KUBU RAYA</v>
      </c>
      <c r="Q3790" s="35" t="str">
        <f>IFERROR(__xludf.DUMMYFUNCTION("""COMPUTED_VALUE"""),"KALIMANTAN BARAT")</f>
        <v>KALIMANTAN BARAT</v>
      </c>
      <c r="R3790" s="35" t="str">
        <f>IFERROR(__xludf.DUMMYFUNCTION("""COMPUTED_VALUE"""),"ISLAM")</f>
        <v>ISLAM</v>
      </c>
      <c r="S3790" s="74" t="str">
        <f>IFERROR(__xludf.DUMMYFUNCTION("""COMPUTED_VALUE"""),"SWASTA")</f>
        <v>SWASTA</v>
      </c>
      <c r="T3790" s="35" t="str">
        <f>IFERROR(__xludf.DUMMYFUNCTION("""COMPUTED_VALUE"""),"NYERI LUTUT ")</f>
        <v>NYERI LUTUT </v>
      </c>
      <c r="U3790" s="35" t="str">
        <f>IFERROR(__xludf.DUMMYFUNCTION("""COMPUTED_VALUE"""),"MAIN BOLA")</f>
        <v>MAIN BOLA</v>
      </c>
      <c r="V3790" s="35" t="str">
        <f>IFERROR(__xludf.DUMMYFUNCTION("""COMPUTED_VALUE"""),"081311991490")</f>
        <v>081311991490</v>
      </c>
      <c r="W3790" s="45"/>
    </row>
    <row r="3791">
      <c r="A3791" s="45"/>
      <c r="B3791" s="35" t="str">
        <f>IFERROR(__xludf.DUMMYFUNCTION("""COMPUTED_VALUE"""),"08/05/2026 9:44:56")</f>
        <v>08/05/2026 9:44:56</v>
      </c>
      <c r="C3791" s="35"/>
      <c r="D3791" s="10">
        <f>IFERROR(__xludf.DUMMYFUNCTION("""COMPUTED_VALUE"""),46150.0)</f>
        <v>46150</v>
      </c>
      <c r="E3791" s="35" t="str">
        <f>IFERROR(__xludf.DUMMYFUNCTION("""COMPUTED_VALUE"""),"05Mei")</f>
        <v>05Mei</v>
      </c>
      <c r="F3791" s="35"/>
      <c r="G3791" s="35" t="str">
        <f>IFERROR(__xludf.DUMMYFUNCTION("""COMPUTED_VALUE"""),"NOVITA ADI HANDAYANI")</f>
        <v>NOVITA ADI HANDAYANI</v>
      </c>
      <c r="H3791" s="35" t="str">
        <f>IFERROR(__xludf.DUMMYFUNCTION("""COMPUTED_VALUE"""),"N9026059606")</f>
        <v>N9026059606</v>
      </c>
      <c r="I3791" s="35">
        <f>IFERROR(__xludf.DUMMYFUNCTION("""COMPUTED_VALUE"""),35.0)</f>
        <v>35</v>
      </c>
      <c r="J3791" s="35" t="str">
        <f>IFERROR(__xludf.DUMMYFUNCTION("""COMPUTED_VALUE"""),"35-44 tahun")</f>
        <v>35-44 tahun</v>
      </c>
      <c r="K3791" s="35" t="str">
        <f>IFERROR(__xludf.DUMMYFUNCTION("""COMPUTED_VALUE"""),"03/11/1990")</f>
        <v>03/11/1990</v>
      </c>
      <c r="L3791" s="35" t="str">
        <f>IFERROR(__xludf.DUMMYFUNCTION("""COMPUTED_VALUE"""),"PEREMPUAN")</f>
        <v>PEREMPUAN</v>
      </c>
      <c r="M3791" s="35" t="str">
        <f>IFERROR(__xludf.DUMMYFUNCTION("""COMPUTED_VALUE"""),"AMPERA KOMPLEK VILLA MUTIARA MAS 1")</f>
        <v>AMPERA KOMPLEK VILLA MUTIARA MAS 1</v>
      </c>
      <c r="N3791" s="35" t="str">
        <f>IFERROR(__xludf.DUMMYFUNCTION("""COMPUTED_VALUE"""),"SUNGAI BANGKONG")</f>
        <v>SUNGAI BANGKONG</v>
      </c>
      <c r="O3791" s="35" t="str">
        <f>IFERROR(__xludf.DUMMYFUNCTION("""COMPUTED_VALUE"""),"PONTIANAK KOTA")</f>
        <v>PONTIANAK KOTA</v>
      </c>
      <c r="P3791" s="35" t="str">
        <f>IFERROR(__xludf.DUMMYFUNCTION("""COMPUTED_VALUE"""),"PONTIANAK ")</f>
        <v>PONTIANAK </v>
      </c>
      <c r="Q3791" s="35" t="str">
        <f>IFERROR(__xludf.DUMMYFUNCTION("""COMPUTED_VALUE"""),"KALIMANTAN BARAT")</f>
        <v>KALIMANTAN BARAT</v>
      </c>
      <c r="R3791" s="35" t="str">
        <f>IFERROR(__xludf.DUMMYFUNCTION("""COMPUTED_VALUE"""),"ISLAM")</f>
        <v>ISLAM</v>
      </c>
      <c r="S3791" s="74" t="str">
        <f>IFERROR(__xludf.DUMMYFUNCTION("""COMPUTED_VALUE"""),"IBU RUMAH TANGGA")</f>
        <v>IBU RUMAH TANGGA</v>
      </c>
      <c r="T3791" s="35" t="str">
        <f>IFERROR(__xludf.DUMMYFUNCTION("""COMPUTED_VALUE"""),"KAKI DAN TANGAN ")</f>
        <v>KAKI DAN TANGAN </v>
      </c>
      <c r="U3791" s="35" t="str">
        <f>IFERROR(__xludf.DUMMYFUNCTION("""COMPUTED_VALUE"""),"SEPERTI BIASA")</f>
        <v>SEPERTI BIASA</v>
      </c>
      <c r="V3791" s="35" t="str">
        <f>IFERROR(__xludf.DUMMYFUNCTION("""COMPUTED_VALUE"""),"085245729606")</f>
        <v>085245729606</v>
      </c>
      <c r="W3791" s="45"/>
    </row>
    <row r="3792">
      <c r="A3792" s="45"/>
      <c r="B3792" s="35" t="str">
        <f>IFERROR(__xludf.DUMMYFUNCTION("""COMPUTED_VALUE"""),"08/05/2026 10:21:48")</f>
        <v>08/05/2026 10:21:48</v>
      </c>
      <c r="C3792" s="35"/>
      <c r="D3792" s="10">
        <f>IFERROR(__xludf.DUMMYFUNCTION("""COMPUTED_VALUE"""),46150.0)</f>
        <v>46150</v>
      </c>
      <c r="E3792" s="35" t="str">
        <f>IFERROR(__xludf.DUMMYFUNCTION("""COMPUTED_VALUE"""),"05Mei")</f>
        <v>05Mei</v>
      </c>
      <c r="F3792" s="35"/>
      <c r="G3792" s="35" t="str">
        <f>IFERROR(__xludf.DUMMYFUNCTION("""COMPUTED_VALUE"""),"DINDA RIFA RISKI HANDAYANI")</f>
        <v>DINDA RIFA RISKI HANDAYANI</v>
      </c>
      <c r="H3792" s="35" t="str">
        <f>IFERROR(__xludf.DUMMYFUNCTION("""COMPUTED_VALUE"""),"D9626050731")</f>
        <v>D9626050731</v>
      </c>
      <c r="I3792" s="35">
        <f>IFERROR(__xludf.DUMMYFUNCTION("""COMPUTED_VALUE"""),30.0)</f>
        <v>30</v>
      </c>
      <c r="J3792" s="35" t="str">
        <f>IFERROR(__xludf.DUMMYFUNCTION("""COMPUTED_VALUE"""),"25-34 tahun")</f>
        <v>25-34 tahun</v>
      </c>
      <c r="K3792" s="35" t="str">
        <f>IFERROR(__xludf.DUMMYFUNCTION("""COMPUTED_VALUE"""),"25/03/1996")</f>
        <v>25/03/1996</v>
      </c>
      <c r="L3792" s="35" t="str">
        <f>IFERROR(__xludf.DUMMYFUNCTION("""COMPUTED_VALUE"""),"PEREMPUAN")</f>
        <v>PEREMPUAN</v>
      </c>
      <c r="M3792" s="35" t="str">
        <f>IFERROR(__xludf.DUMMYFUNCTION("""COMPUTED_VALUE"""),"JL DR WAHIDIN KOMPLEK SEPAKAT DAMAI")</f>
        <v>JL DR WAHIDIN KOMPLEK SEPAKAT DAMAI</v>
      </c>
      <c r="N3792" s="35" t="str">
        <f>IFERROR(__xludf.DUMMYFUNCTION("""COMPUTED_VALUE"""),"SUNGAI JAWI")</f>
        <v>SUNGAI JAWI</v>
      </c>
      <c r="O3792" s="35" t="str">
        <f>IFERROR(__xludf.DUMMYFUNCTION("""COMPUTED_VALUE"""),"PONTIANAK KOTA")</f>
        <v>PONTIANAK KOTA</v>
      </c>
      <c r="P3792" s="35" t="str">
        <f>IFERROR(__xludf.DUMMYFUNCTION("""COMPUTED_VALUE"""),"KOTA PONTIANAK")</f>
        <v>KOTA PONTIANAK</v>
      </c>
      <c r="Q3792" s="35" t="str">
        <f>IFERROR(__xludf.DUMMYFUNCTION("""COMPUTED_VALUE"""),"KALIMANTAN BARAT")</f>
        <v>KALIMANTAN BARAT</v>
      </c>
      <c r="R3792" s="35" t="str">
        <f>IFERROR(__xludf.DUMMYFUNCTION("""COMPUTED_VALUE"""),"ISLAM")</f>
        <v>ISLAM</v>
      </c>
      <c r="S3792" s="74" t="str">
        <f>IFERROR(__xludf.DUMMYFUNCTION("""COMPUTED_VALUE"""),"IBU RUMAH TANGGA")</f>
        <v>IBU RUMAH TANGGA</v>
      </c>
      <c r="T3792" s="35" t="str">
        <f>IFERROR(__xludf.DUMMYFUNCTION("""COMPUTED_VALUE"""),"SAKIT DI BAGIAN BELAKANG BELAKANG , LEHER KANAN DAN MENJALAR KE TANGAN AREA PERGELANGAN TANGAN ")</f>
        <v>SAKIT DI BAGIAN BELAKANG BELAKANG , LEHER KANAN DAN MENJALAR KE TANGAN AREA PERGELANGAN TANGAN </v>
      </c>
      <c r="U3792" s="35" t="str">
        <f>IFERROR(__xludf.DUMMYFUNCTION("""COMPUTED_VALUE"""),"MENGETIK LAPTOP ATAU HP KARNA BALAS CHAT KONSUMEN , MENGGENDONG ANAK . DUDUK LAMA KARNA NGEDIT ATAU PRODUKSI ")</f>
        <v>MENGETIK LAPTOP ATAU HP KARNA BALAS CHAT KONSUMEN , MENGGENDONG ANAK . DUDUK LAMA KARNA NGEDIT ATAU PRODUKSI </v>
      </c>
      <c r="V3792" s="35" t="str">
        <f>IFERROR(__xludf.DUMMYFUNCTION("""COMPUTED_VALUE"""),"081545160731")</f>
        <v>081545160731</v>
      </c>
      <c r="W3792" s="45"/>
    </row>
    <row r="3793">
      <c r="A3793" s="45"/>
      <c r="B3793" s="35" t="str">
        <f>IFERROR(__xludf.DUMMYFUNCTION("""COMPUTED_VALUE"""),"08/05/2026 11:27:06")</f>
        <v>08/05/2026 11:27:06</v>
      </c>
      <c r="C3793" s="35"/>
      <c r="D3793" s="10">
        <f>IFERROR(__xludf.DUMMYFUNCTION("""COMPUTED_VALUE"""),46150.0)</f>
        <v>46150</v>
      </c>
      <c r="E3793" s="35" t="str">
        <f>IFERROR(__xludf.DUMMYFUNCTION("""COMPUTED_VALUE"""),"05Mei")</f>
        <v>05Mei</v>
      </c>
      <c r="F3793" s="35"/>
      <c r="G3793" s="35" t="str">
        <f>IFERROR(__xludf.DUMMYFUNCTION("""COMPUTED_VALUE"""),"CIPTA CAKRA DIRAJA PUTRA")</f>
        <v>CIPTA CAKRA DIRAJA PUTRA</v>
      </c>
      <c r="H3793" s="35" t="str">
        <f>IFERROR(__xludf.DUMMYFUNCTION("""COMPUTED_VALUE"""),"C8926057927")</f>
        <v>C8926057927</v>
      </c>
      <c r="I3793" s="35">
        <f>IFERROR(__xludf.DUMMYFUNCTION("""COMPUTED_VALUE"""),36.0)</f>
        <v>36</v>
      </c>
      <c r="J3793" s="35" t="str">
        <f>IFERROR(__xludf.DUMMYFUNCTION("""COMPUTED_VALUE"""),"35-44 tahun")</f>
        <v>35-44 tahun</v>
      </c>
      <c r="K3793" s="35" t="str">
        <f>IFERROR(__xludf.DUMMYFUNCTION("""COMPUTED_VALUE"""),"27/12/1989")</f>
        <v>27/12/1989</v>
      </c>
      <c r="L3793" s="35" t="str">
        <f>IFERROR(__xludf.DUMMYFUNCTION("""COMPUTED_VALUE"""),"LAKI-LAKI")</f>
        <v>LAKI-LAKI</v>
      </c>
      <c r="M3793" s="35" t="str">
        <f>IFERROR(__xludf.DUMMYFUNCTION("""COMPUTED_VALUE"""),"JL. PARIT HAJI HUSIN 2, KOMPLEK MUTIARA GARING NO. B12")</f>
        <v>JL. PARIT HAJI HUSIN 2, KOMPLEK MUTIARA GARING NO. B12</v>
      </c>
      <c r="N3793" s="35" t="str">
        <f>IFERROR(__xludf.DUMMYFUNCTION("""COMPUTED_VALUE"""),"BANGKA BELITUNG DARAT")</f>
        <v>BANGKA BELITUNG DARAT</v>
      </c>
      <c r="O3793" s="35" t="str">
        <f>IFERROR(__xludf.DUMMYFUNCTION("""COMPUTED_VALUE"""),"PONTIANAK TENGGARA")</f>
        <v>PONTIANAK TENGGARA</v>
      </c>
      <c r="P3793" s="35" t="str">
        <f>IFERROR(__xludf.DUMMYFUNCTION("""COMPUTED_VALUE"""),"KOTA PONTIANAK")</f>
        <v>KOTA PONTIANAK</v>
      </c>
      <c r="Q3793" s="35" t="str">
        <f>IFERROR(__xludf.DUMMYFUNCTION("""COMPUTED_VALUE"""),"KALIMANTAN BARAT")</f>
        <v>KALIMANTAN BARAT</v>
      </c>
      <c r="R3793" s="35" t="str">
        <f>IFERROR(__xludf.DUMMYFUNCTION("""COMPUTED_VALUE"""),"KATOLIK")</f>
        <v>KATOLIK</v>
      </c>
      <c r="S3793" s="74" t="str">
        <f>IFERROR(__xludf.DUMMYFUNCTION("""COMPUTED_VALUE"""),"SWASTA")</f>
        <v>SWASTA</v>
      </c>
      <c r="T3793" s="35" t="str">
        <f>IFERROR(__xludf.DUMMYFUNCTION("""COMPUTED_VALUE"""),"CEDERA ANKLE KAKI KANAN")</f>
        <v>CEDERA ANKLE KAKI KANAN</v>
      </c>
      <c r="U3793" s="35" t="str">
        <f>IFERROR(__xludf.DUMMYFUNCTION("""COMPUTED_VALUE"""),"LARI")</f>
        <v>LARI</v>
      </c>
      <c r="V3793" s="35" t="str">
        <f>IFERROR(__xludf.DUMMYFUNCTION("""COMPUTED_VALUE"""),"085252657927")</f>
        <v>085252657927</v>
      </c>
      <c r="W3793" s="45"/>
    </row>
    <row r="3794">
      <c r="A3794" s="45"/>
      <c r="B3794" s="35" t="str">
        <f>IFERROR(__xludf.DUMMYFUNCTION("""COMPUTED_VALUE"""),"08/05/2026 12:50:37")</f>
        <v>08/05/2026 12:50:37</v>
      </c>
      <c r="C3794" s="35"/>
      <c r="D3794" s="10">
        <f>IFERROR(__xludf.DUMMYFUNCTION("""COMPUTED_VALUE"""),46150.0)</f>
        <v>46150</v>
      </c>
      <c r="E3794" s="35" t="str">
        <f>IFERROR(__xludf.DUMMYFUNCTION("""COMPUTED_VALUE"""),"05Mei")</f>
        <v>05Mei</v>
      </c>
      <c r="F3794" s="35"/>
      <c r="G3794" s="35" t="str">
        <f>IFERROR(__xludf.DUMMYFUNCTION("""COMPUTED_VALUE"""),"PHILIP ST")</f>
        <v>PHILIP ST</v>
      </c>
      <c r="H3794" s="35" t="str">
        <f>IFERROR(__xludf.DUMMYFUNCTION("""COMPUTED_VALUE"""),"P8926051408")</f>
        <v>P8926051408</v>
      </c>
      <c r="I3794" s="35">
        <f>IFERROR(__xludf.DUMMYFUNCTION("""COMPUTED_VALUE"""),36.0)</f>
        <v>36</v>
      </c>
      <c r="J3794" s="35" t="str">
        <f>IFERROR(__xludf.DUMMYFUNCTION("""COMPUTED_VALUE"""),"35-44 tahun")</f>
        <v>35-44 tahun</v>
      </c>
      <c r="K3794" s="35" t="str">
        <f>IFERROR(__xludf.DUMMYFUNCTION("""COMPUTED_VALUE"""),"18/09/1989")</f>
        <v>18/09/1989</v>
      </c>
      <c r="L3794" s="35" t="str">
        <f>IFERROR(__xludf.DUMMYFUNCTION("""COMPUTED_VALUE"""),"LAKI-LAKI")</f>
        <v>LAKI-LAKI</v>
      </c>
      <c r="M3794" s="35" t="str">
        <f>IFERROR(__xludf.DUMMYFUNCTION("""COMPUTED_VALUE"""),"JL NIRBAYA NO 2")</f>
        <v>JL NIRBAYA NO 2</v>
      </c>
      <c r="N3794" s="35" t="str">
        <f>IFERROR(__xludf.DUMMYFUNCTION("""COMPUTED_VALUE"""),"KOTA BARU")</f>
        <v>KOTA BARU</v>
      </c>
      <c r="O3794" s="35" t="str">
        <f>IFERROR(__xludf.DUMMYFUNCTION("""COMPUTED_VALUE"""),"PONTIANAK SELATAN")</f>
        <v>PONTIANAK SELATAN</v>
      </c>
      <c r="P3794" s="35" t="str">
        <f>IFERROR(__xludf.DUMMYFUNCTION("""COMPUTED_VALUE"""),"KOTA PONTIANAK")</f>
        <v>KOTA PONTIANAK</v>
      </c>
      <c r="Q3794" s="35" t="str">
        <f>IFERROR(__xludf.DUMMYFUNCTION("""COMPUTED_VALUE"""),"KALBAR")</f>
        <v>KALBAR</v>
      </c>
      <c r="R3794" s="35" t="str">
        <f>IFERROR(__xludf.DUMMYFUNCTION("""COMPUTED_VALUE"""),"BUDDHA")</f>
        <v>BUDDHA</v>
      </c>
      <c r="S3794" s="74" t="str">
        <f>IFERROR(__xludf.DUMMYFUNCTION("""COMPUTED_VALUE"""),"SWASTA")</f>
        <v>SWASTA</v>
      </c>
      <c r="T3794" s="35" t="str">
        <f>IFERROR(__xludf.DUMMYFUNCTION("""COMPUTED_VALUE"""),"SAKIT DI LUTUT SAAT TEKUK DAN TURUN TANGGA")</f>
        <v>SAKIT DI LUTUT SAAT TEKUK DAN TURUN TANGGA</v>
      </c>
      <c r="U3794" s="35" t="str">
        <f>IFERROR(__xludf.DUMMYFUNCTION("""COMPUTED_VALUE"""),"GYM DAN LARI")</f>
        <v>GYM DAN LARI</v>
      </c>
      <c r="V3794" s="35" t="str">
        <f>IFERROR(__xludf.DUMMYFUNCTION("""COMPUTED_VALUE"""),"081253591408")</f>
        <v>081253591408</v>
      </c>
      <c r="W3794" s="45"/>
    </row>
    <row r="3795">
      <c r="A3795" s="45"/>
      <c r="B3795" s="35" t="str">
        <f>IFERROR(__xludf.DUMMYFUNCTION("""COMPUTED_VALUE"""),"08/05/2026 17:16:13")</f>
        <v>08/05/2026 17:16:13</v>
      </c>
      <c r="C3795" s="35"/>
      <c r="D3795" s="10">
        <f>IFERROR(__xludf.DUMMYFUNCTION("""COMPUTED_VALUE"""),46150.0)</f>
        <v>46150</v>
      </c>
      <c r="E3795" s="35" t="str">
        <f>IFERROR(__xludf.DUMMYFUNCTION("""COMPUTED_VALUE"""),"05Mei")</f>
        <v>05Mei</v>
      </c>
      <c r="F3795" s="35"/>
      <c r="G3795" s="35" t="str">
        <f>IFERROR(__xludf.DUMMYFUNCTION("""COMPUTED_VALUE"""),"ATI 7506")</f>
        <v>ATI 7506</v>
      </c>
      <c r="H3795" s="35" t="str">
        <f>IFERROR(__xludf.DUMMYFUNCTION("""COMPUTED_VALUE"""),"A7526055628")</f>
        <v>A7526055628</v>
      </c>
      <c r="I3795" s="35">
        <f>IFERROR(__xludf.DUMMYFUNCTION("""COMPUTED_VALUE"""),50.0)</f>
        <v>50</v>
      </c>
      <c r="J3795" s="35" t="str">
        <f>IFERROR(__xludf.DUMMYFUNCTION("""COMPUTED_VALUE"""),"&gt; 44 tahun")</f>
        <v>&gt; 44 tahun</v>
      </c>
      <c r="K3795" s="35" t="str">
        <f>IFERROR(__xludf.DUMMYFUNCTION("""COMPUTED_VALUE"""),"25/06/1975")</f>
        <v>25/06/1975</v>
      </c>
      <c r="L3795" s="35" t="str">
        <f>IFERROR(__xludf.DUMMYFUNCTION("""COMPUTED_VALUE"""),"PEREMPUAN")</f>
        <v>PEREMPUAN</v>
      </c>
      <c r="M3795" s="35" t="str">
        <f>IFERROR(__xludf.DUMMYFUNCTION("""COMPUTED_VALUE"""),"DUSUN OMPENG DESA SELANGE KECAMATAN MERANTI KABUPATEN LANDAK")</f>
        <v>DUSUN OMPENG DESA SELANGE KECAMATAN MERANTI KABUPATEN LANDAK</v>
      </c>
      <c r="N3795" s="35" t="str">
        <f>IFERROR(__xludf.DUMMYFUNCTION("""COMPUTED_VALUE"""),"SELANGE")</f>
        <v>SELANGE</v>
      </c>
      <c r="O3795" s="35" t="str">
        <f>IFERROR(__xludf.DUMMYFUNCTION("""COMPUTED_VALUE"""),"MERANTI")</f>
        <v>MERANTI</v>
      </c>
      <c r="P3795" s="35" t="str">
        <f>IFERROR(__xludf.DUMMYFUNCTION("""COMPUTED_VALUE"""),"LANDAK")</f>
        <v>LANDAK</v>
      </c>
      <c r="Q3795" s="35" t="str">
        <f>IFERROR(__xludf.DUMMYFUNCTION("""COMPUTED_VALUE"""),"KALIMANTAN BARAT")</f>
        <v>KALIMANTAN BARAT</v>
      </c>
      <c r="R3795" s="35" t="str">
        <f>IFERROR(__xludf.DUMMYFUNCTION("""COMPUTED_VALUE"""),"KATOLIK")</f>
        <v>KATOLIK</v>
      </c>
      <c r="S3795" s="74" t="str">
        <f>IFERROR(__xludf.DUMMYFUNCTION("""COMPUTED_VALUE"""),"IBU RUMAH TANGGA")</f>
        <v>IBU RUMAH TANGGA</v>
      </c>
      <c r="T3795" s="35" t="str">
        <f>IFERROR(__xludf.DUMMYFUNCTION("""COMPUTED_VALUE"""),"PINGGANG DAN LUTUT NGILU KALO DI BAWA DUDUK TRUS BERDIRI SUKA SAKIT")</f>
        <v>PINGGANG DAN LUTUT NGILU KALO DI BAWA DUDUK TRUS BERDIRI SUKA SAKIT</v>
      </c>
      <c r="U3795" s="35" t="str">
        <f>IFERROR(__xludf.DUMMYFUNCTION("""COMPUTED_VALUE"""),"BERLADANG")</f>
        <v>BERLADANG</v>
      </c>
      <c r="V3795" s="35" t="str">
        <f>IFERROR(__xludf.DUMMYFUNCTION("""COMPUTED_VALUE"""),"081217335628")</f>
        <v>081217335628</v>
      </c>
      <c r="W3795" s="45"/>
    </row>
    <row r="3796">
      <c r="A3796" s="45"/>
      <c r="B3796" s="35" t="str">
        <f>IFERROR(__xludf.DUMMYFUNCTION("""COMPUTED_VALUE"""),"09/05/2026 8:52:31")</f>
        <v>09/05/2026 8:52:31</v>
      </c>
      <c r="C3796" s="35"/>
      <c r="D3796" s="10">
        <f>IFERROR(__xludf.DUMMYFUNCTION("""COMPUTED_VALUE"""),46151.0)</f>
        <v>46151</v>
      </c>
      <c r="E3796" s="35" t="str">
        <f>IFERROR(__xludf.DUMMYFUNCTION("""COMPUTED_VALUE"""),"05Mei")</f>
        <v>05Mei</v>
      </c>
      <c r="F3796" s="35"/>
      <c r="G3796" s="35" t="str">
        <f>IFERROR(__xludf.DUMMYFUNCTION("""COMPUTED_VALUE"""),"EKO NOPRIYANTO ")</f>
        <v>EKO NOPRIYANTO </v>
      </c>
      <c r="H3796" s="35" t="str">
        <f>IFERROR(__xludf.DUMMYFUNCTION("""COMPUTED_VALUE"""),"E8226059888")</f>
        <v>E8226059888</v>
      </c>
      <c r="I3796" s="35">
        <f>IFERROR(__xludf.DUMMYFUNCTION("""COMPUTED_VALUE"""),43.0)</f>
        <v>43</v>
      </c>
      <c r="J3796" s="35" t="str">
        <f>IFERROR(__xludf.DUMMYFUNCTION("""COMPUTED_VALUE"""),"35-44 tahun")</f>
        <v>35-44 tahun</v>
      </c>
      <c r="K3796" s="35" t="str">
        <f>IFERROR(__xludf.DUMMYFUNCTION("""COMPUTED_VALUE"""),"29/11/1982")</f>
        <v>29/11/1982</v>
      </c>
      <c r="L3796" s="35" t="str">
        <f>IFERROR(__xludf.DUMMYFUNCTION("""COMPUTED_VALUE"""),"LAKI-LAKI")</f>
        <v>LAKI-LAKI</v>
      </c>
      <c r="M3796" s="35" t="str">
        <f>IFERROR(__xludf.DUMMYFUNCTION("""COMPUTED_VALUE"""),"JALAN PURNAMA GANG DINASTI")</f>
        <v>JALAN PURNAMA GANG DINASTI</v>
      </c>
      <c r="N3796" s="35" t="str">
        <f>IFERROR(__xludf.DUMMYFUNCTION("""COMPUTED_VALUE"""),"PARITTOKAYA ")</f>
        <v>PARITTOKAYA </v>
      </c>
      <c r="O3796" s="35" t="str">
        <f>IFERROR(__xludf.DUMMYFUNCTION("""COMPUTED_VALUE"""),"PONTIANAK SELATAN ")</f>
        <v>PONTIANAK SELATAN </v>
      </c>
      <c r="P3796" s="35" t="str">
        <f>IFERROR(__xludf.DUMMYFUNCTION("""COMPUTED_VALUE"""),"KOTA PONTIANAK ")</f>
        <v>KOTA PONTIANAK </v>
      </c>
      <c r="Q3796" s="35" t="str">
        <f>IFERROR(__xludf.DUMMYFUNCTION("""COMPUTED_VALUE"""),"KALIMANTAN BARAT")</f>
        <v>KALIMANTAN BARAT</v>
      </c>
      <c r="R3796" s="35" t="str">
        <f>IFERROR(__xludf.DUMMYFUNCTION("""COMPUTED_VALUE"""),"ISLAM")</f>
        <v>ISLAM</v>
      </c>
      <c r="S3796" s="74" t="str">
        <f>IFERROR(__xludf.DUMMYFUNCTION("""COMPUTED_VALUE"""),"POLRI")</f>
        <v>POLRI</v>
      </c>
      <c r="T3796" s="35" t="str">
        <f>IFERROR(__xludf.DUMMYFUNCTION("""COMPUTED_VALUE"""),"LEHER KAKU")</f>
        <v>LEHER KAKU</v>
      </c>
      <c r="U3796" s="35" t="str">
        <f>IFERROR(__xludf.DUMMYFUNCTION("""COMPUTED_VALUE"""),"TERASA PEGAL DI LEHER SETIAP BANGUN TIDUR")</f>
        <v>TERASA PEGAL DI LEHER SETIAP BANGUN TIDUR</v>
      </c>
      <c r="V3796" s="35" t="str">
        <f>IFERROR(__xludf.DUMMYFUNCTION("""COMPUTED_VALUE"""),"085252669888")</f>
        <v>085252669888</v>
      </c>
      <c r="W3796" s="45"/>
    </row>
    <row r="3797">
      <c r="A3797" s="45"/>
      <c r="B3797" s="35" t="str">
        <f>IFERROR(__xludf.DUMMYFUNCTION("""COMPUTED_VALUE"""),"29/04/2026 22:44:22")</f>
        <v>29/04/2026 22:44:22</v>
      </c>
      <c r="C3797" s="35"/>
      <c r="D3797" s="10">
        <f>IFERROR(__xludf.DUMMYFUNCTION("""COMPUTED_VALUE"""),46151.0)</f>
        <v>46151</v>
      </c>
      <c r="E3797" s="35" t="str">
        <f>IFERROR(__xludf.DUMMYFUNCTION("""COMPUTED_VALUE"""),"05Mei")</f>
        <v>05Mei</v>
      </c>
      <c r="F3797" s="35"/>
      <c r="G3797" s="35" t="str">
        <f>IFERROR(__xludf.DUMMYFUNCTION("""COMPUTED_VALUE"""),"MUHAMMAD MUFID EIMAN ANANDA")</f>
        <v>MUHAMMAD MUFID EIMAN ANANDA</v>
      </c>
      <c r="H3797" s="35" t="str">
        <f>IFERROR(__xludf.DUMMYFUNCTION("""COMPUTED_VALUE"""),"M0026050782")</f>
        <v>M0026050782</v>
      </c>
      <c r="I3797" s="35">
        <f>IFERROR(__xludf.DUMMYFUNCTION("""COMPUTED_VALUE"""),25.0)</f>
        <v>25</v>
      </c>
      <c r="J3797" s="35" t="str">
        <f>IFERROR(__xludf.DUMMYFUNCTION("""COMPUTED_VALUE"""),"25-34 tahun")</f>
        <v>25-34 tahun</v>
      </c>
      <c r="K3797" s="35" t="str">
        <f>IFERROR(__xludf.DUMMYFUNCTION("""COMPUTED_VALUE"""),"20/10/2000")</f>
        <v>20/10/2000</v>
      </c>
      <c r="L3797" s="35" t="str">
        <f>IFERROR(__xludf.DUMMYFUNCTION("""COMPUTED_VALUE"""),"LAKI-LAKI")</f>
        <v>LAKI-LAKI</v>
      </c>
      <c r="M3797" s="35" t="str">
        <f>IFERROR(__xludf.DUMMYFUNCTION("""COMPUTED_VALUE"""),"JALAN TANJUNG RAYA 1 GG. FAMILI")</f>
        <v>JALAN TANJUNG RAYA 1 GG. FAMILI</v>
      </c>
      <c r="N3797" s="35" t="str">
        <f>IFERROR(__xludf.DUMMYFUNCTION("""COMPUTED_VALUE"""),"TAMBELAN SAMPIT")</f>
        <v>TAMBELAN SAMPIT</v>
      </c>
      <c r="O3797" s="35" t="str">
        <f>IFERROR(__xludf.DUMMYFUNCTION("""COMPUTED_VALUE"""),"PONTIANAK TIMUR")</f>
        <v>PONTIANAK TIMUR</v>
      </c>
      <c r="P3797" s="35" t="str">
        <f>IFERROR(__xludf.DUMMYFUNCTION("""COMPUTED_VALUE"""),"PONTIANAK")</f>
        <v>PONTIANAK</v>
      </c>
      <c r="Q3797" s="35" t="str">
        <f>IFERROR(__xludf.DUMMYFUNCTION("""COMPUTED_VALUE"""),"KALIMANTAN BARAT")</f>
        <v>KALIMANTAN BARAT</v>
      </c>
      <c r="R3797" s="35" t="str">
        <f>IFERROR(__xludf.DUMMYFUNCTION("""COMPUTED_VALUE"""),"ISLAM")</f>
        <v>ISLAM</v>
      </c>
      <c r="S3797" s="74" t="str">
        <f>IFERROR(__xludf.DUMMYFUNCTION("""COMPUTED_VALUE"""),"SWASTA")</f>
        <v>SWASTA</v>
      </c>
      <c r="T3797" s="35" t="str">
        <f>IFERROR(__xludf.DUMMYFUNCTION("""COMPUTED_VALUE"""),"MENISCUS")</f>
        <v>MENISCUS</v>
      </c>
      <c r="U3797" s="35" t="str">
        <f>IFERROR(__xludf.DUMMYFUNCTION("""COMPUTED_VALUE"""),"FUTSAL")</f>
        <v>FUTSAL</v>
      </c>
      <c r="V3797" s="35" t="str">
        <f>IFERROR(__xludf.DUMMYFUNCTION("""COMPUTED_VALUE"""),"085312810782")</f>
        <v>085312810782</v>
      </c>
      <c r="W3797" s="45"/>
    </row>
    <row r="3798">
      <c r="A3798" s="45"/>
      <c r="B3798" s="35" t="str">
        <f>IFERROR(__xludf.DUMMYFUNCTION("""COMPUTED_VALUE"""),"09/05/2026 18:47:15")</f>
        <v>09/05/2026 18:47:15</v>
      </c>
      <c r="C3798" s="35"/>
      <c r="D3798" s="10">
        <f>IFERROR(__xludf.DUMMYFUNCTION("""COMPUTED_VALUE"""),46151.0)</f>
        <v>46151</v>
      </c>
      <c r="E3798" s="35" t="str">
        <f>IFERROR(__xludf.DUMMYFUNCTION("""COMPUTED_VALUE"""),"05Mei")</f>
        <v>05Mei</v>
      </c>
      <c r="F3798" s="35"/>
      <c r="G3798" s="35" t="str">
        <f>IFERROR(__xludf.DUMMYFUNCTION("""COMPUTED_VALUE"""),"JOVITA APRIANA")</f>
        <v>JOVITA APRIANA</v>
      </c>
      <c r="H3798" s="35" t="str">
        <f>IFERROR(__xludf.DUMMYFUNCTION("""COMPUTED_VALUE"""),"J0026050411")</f>
        <v>J0026050411</v>
      </c>
      <c r="I3798" s="35">
        <f>IFERROR(__xludf.DUMMYFUNCTION("""COMPUTED_VALUE"""),26.0)</f>
        <v>26</v>
      </c>
      <c r="J3798" s="35" t="str">
        <f>IFERROR(__xludf.DUMMYFUNCTION("""COMPUTED_VALUE"""),"25-34 tahun")</f>
        <v>25-34 tahun</v>
      </c>
      <c r="K3798" s="35" t="str">
        <f>IFERROR(__xludf.DUMMYFUNCTION("""COMPUTED_VALUE"""),"11/04/2000")</f>
        <v>11/04/2000</v>
      </c>
      <c r="L3798" s="35" t="str">
        <f>IFERROR(__xludf.DUMMYFUNCTION("""COMPUTED_VALUE"""),"PEREMPUAN")</f>
        <v>PEREMPUAN</v>
      </c>
      <c r="M3798" s="35" t="str">
        <f>IFERROR(__xludf.DUMMYFUNCTION("""COMPUTED_VALUE"""),"JL. SULTAN ABDURRAHMAN NO.112F")</f>
        <v>JL. SULTAN ABDURRAHMAN NO.112F</v>
      </c>
      <c r="N3798" s="35" t="str">
        <f>IFERROR(__xludf.DUMMYFUNCTION("""COMPUTED_VALUE"""),"AKCAYA")</f>
        <v>AKCAYA</v>
      </c>
      <c r="O3798" s="35" t="str">
        <f>IFERROR(__xludf.DUMMYFUNCTION("""COMPUTED_VALUE"""),"PONTIANAK SELATAN")</f>
        <v>PONTIANAK SELATAN</v>
      </c>
      <c r="P3798" s="35" t="str">
        <f>IFERROR(__xludf.DUMMYFUNCTION("""COMPUTED_VALUE"""),"PONTIANAK")</f>
        <v>PONTIANAK</v>
      </c>
      <c r="Q3798" s="35" t="str">
        <f>IFERROR(__xludf.DUMMYFUNCTION("""COMPUTED_VALUE"""),"KALIMANTAN BARAT")</f>
        <v>KALIMANTAN BARAT</v>
      </c>
      <c r="R3798" s="35" t="str">
        <f>IFERROR(__xludf.DUMMYFUNCTION("""COMPUTED_VALUE"""),"BUDDHA")</f>
        <v>BUDDHA</v>
      </c>
      <c r="S3798" s="74" t="str">
        <f>IFERROR(__xludf.DUMMYFUNCTION("""COMPUTED_VALUE"""),"KARYAWAN")</f>
        <v>KARYAWAN</v>
      </c>
      <c r="T3798" s="35" t="str">
        <f>IFERROR(__xludf.DUMMYFUNCTION("""COMPUTED_VALUE"""),"SAKIT DI BANGIAN ANKLE")</f>
        <v>SAKIT DI BANGIAN ANKLE</v>
      </c>
      <c r="U3798" s="35" t="str">
        <f>IFERROR(__xludf.DUMMYFUNCTION("""COMPUTED_VALUE"""),"BADMINTON")</f>
        <v>BADMINTON</v>
      </c>
      <c r="V3798" s="35" t="str">
        <f>IFERROR(__xludf.DUMMYFUNCTION("""COMPUTED_VALUE"""),"08115740411")</f>
        <v>08115740411</v>
      </c>
      <c r="W3798" s="45"/>
    </row>
    <row r="3799">
      <c r="A3799" s="45"/>
      <c r="B3799" s="35" t="str">
        <f>IFERROR(__xludf.DUMMYFUNCTION("""COMPUTED_VALUE"""),"09/05/2026 18:57:35")</f>
        <v>09/05/2026 18:57:35</v>
      </c>
      <c r="C3799" s="35"/>
      <c r="D3799" s="10">
        <f>IFERROR(__xludf.DUMMYFUNCTION("""COMPUTED_VALUE"""),46151.0)</f>
        <v>46151</v>
      </c>
      <c r="E3799" s="35" t="str">
        <f>IFERROR(__xludf.DUMMYFUNCTION("""COMPUTED_VALUE"""),"05Mei")</f>
        <v>05Mei</v>
      </c>
      <c r="F3799" s="35"/>
      <c r="G3799" s="35" t="str">
        <f>IFERROR(__xludf.DUMMYFUNCTION("""COMPUTED_VALUE"""),"SYARIF MUHAMMAD RIDWAN")</f>
        <v>SYARIF MUHAMMAD RIDWAN</v>
      </c>
      <c r="H3799" s="35" t="str">
        <f>IFERROR(__xludf.DUMMYFUNCTION("""COMPUTED_VALUE"""),"S9926054786")</f>
        <v>S9926054786</v>
      </c>
      <c r="I3799" s="35">
        <f>IFERROR(__xludf.DUMMYFUNCTION("""COMPUTED_VALUE"""),26.0)</f>
        <v>26</v>
      </c>
      <c r="J3799" s="35" t="str">
        <f>IFERROR(__xludf.DUMMYFUNCTION("""COMPUTED_VALUE"""),"25-34 tahun")</f>
        <v>25-34 tahun</v>
      </c>
      <c r="K3799" s="35" t="str">
        <f>IFERROR(__xludf.DUMMYFUNCTION("""COMPUTED_VALUE"""),"19/11/1999")</f>
        <v>19/11/1999</v>
      </c>
      <c r="L3799" s="35" t="str">
        <f>IFERROR(__xludf.DUMMYFUNCTION("""COMPUTED_VALUE"""),"LAKI-LAKI")</f>
        <v>LAKI-LAKI</v>
      </c>
      <c r="M3799" s="35" t="str">
        <f>IFERROR(__xludf.DUMMYFUNCTION("""COMPUTED_VALUE"""),"JL TJ RAYA 1 GG PRASAJA")</f>
        <v>JL TJ RAYA 1 GG PRASAJA</v>
      </c>
      <c r="N3799" s="35" t="str">
        <f>IFERROR(__xludf.DUMMYFUNCTION("""COMPUTED_VALUE"""),"DALAM BUGIS")</f>
        <v>DALAM BUGIS</v>
      </c>
      <c r="O3799" s="35" t="str">
        <f>IFERROR(__xludf.DUMMYFUNCTION("""COMPUTED_VALUE"""),"PONTIANAK TIMUR")</f>
        <v>PONTIANAK TIMUR</v>
      </c>
      <c r="P3799" s="35" t="str">
        <f>IFERROR(__xludf.DUMMYFUNCTION("""COMPUTED_VALUE"""),"PONTIANAK")</f>
        <v>PONTIANAK</v>
      </c>
      <c r="Q3799" s="35" t="str">
        <f>IFERROR(__xludf.DUMMYFUNCTION("""COMPUTED_VALUE"""),"KALIMANTAN BARAT")</f>
        <v>KALIMANTAN BARAT</v>
      </c>
      <c r="R3799" s="35" t="str">
        <f>IFERROR(__xludf.DUMMYFUNCTION("""COMPUTED_VALUE"""),"ISLAM")</f>
        <v>ISLAM</v>
      </c>
      <c r="S3799" s="74" t="str">
        <f>IFERROR(__xludf.DUMMYFUNCTION("""COMPUTED_VALUE"""),"PEGAWAI NEGERI SIPIL")</f>
        <v>PEGAWAI NEGERI SIPIL</v>
      </c>
      <c r="T3799" s="35" t="str">
        <f>IFERROR(__xludf.DUMMYFUNCTION("""COMPUTED_VALUE"""),"SEKITARAN LUTUT PASCA CEDERA ")</f>
        <v>SEKITARAN LUTUT PASCA CEDERA </v>
      </c>
      <c r="U3799" s="35" t="str">
        <f>IFERROR(__xludf.DUMMYFUNCTION("""COMPUTED_VALUE"""),"SEPAK BOLA")</f>
        <v>SEPAK BOLA</v>
      </c>
      <c r="V3799" s="35" t="str">
        <f>IFERROR(__xludf.DUMMYFUNCTION("""COMPUTED_VALUE"""),"085822634786")</f>
        <v>085822634786</v>
      </c>
      <c r="W3799" s="45"/>
    </row>
    <row r="3800">
      <c r="A3800" s="45"/>
      <c r="B3800" s="35" t="str">
        <f>IFERROR(__xludf.DUMMYFUNCTION("""COMPUTED_VALUE"""),"09/05/2026 19:58:41")</f>
        <v>09/05/2026 19:58:41</v>
      </c>
      <c r="C3800" s="35"/>
      <c r="D3800" s="10">
        <f>IFERROR(__xludf.DUMMYFUNCTION("""COMPUTED_VALUE"""),46152.0)</f>
        <v>46152</v>
      </c>
      <c r="E3800" s="35" t="str">
        <f>IFERROR(__xludf.DUMMYFUNCTION("""COMPUTED_VALUE"""),"05Mei")</f>
        <v>05Mei</v>
      </c>
      <c r="F3800" s="35"/>
      <c r="G3800" s="35" t="str">
        <f>IFERROR(__xludf.DUMMYFUNCTION("""COMPUTED_VALUE"""),"REFINKHA ZETYA ARNINDHA")</f>
        <v>REFINKHA ZETYA ARNINDHA</v>
      </c>
      <c r="H3800" s="35" t="str">
        <f>IFERROR(__xludf.DUMMYFUNCTION("""COMPUTED_VALUE"""),"R0726050690")</f>
        <v>R0726050690</v>
      </c>
      <c r="I3800" s="35">
        <f>IFERROR(__xludf.DUMMYFUNCTION("""COMPUTED_VALUE"""),19.0)</f>
        <v>19</v>
      </c>
      <c r="J3800" s="35" t="str">
        <f>IFERROR(__xludf.DUMMYFUNCTION("""COMPUTED_VALUE"""),"18-24 tahun")</f>
        <v>18-24 tahun</v>
      </c>
      <c r="K3800" s="35" t="str">
        <f>IFERROR(__xludf.DUMMYFUNCTION("""COMPUTED_VALUE"""),"31/03/2007")</f>
        <v>31/03/2007</v>
      </c>
      <c r="L3800" s="35" t="str">
        <f>IFERROR(__xludf.DUMMYFUNCTION("""COMPUTED_VALUE"""),"PEREMPUAN")</f>
        <v>PEREMPUAN</v>
      </c>
      <c r="M3800" s="35" t="str">
        <f>IFERROR(__xludf.DUMMYFUNCTION("""COMPUTED_VALUE"""),"JLN DANAU SENTARUM KOMP. SENTARUM SEJAHTERA 2")</f>
        <v>JLN DANAU SENTARUM KOMP. SENTARUM SEJAHTERA 2</v>
      </c>
      <c r="N3800" s="35" t="str">
        <f>IFERROR(__xludf.DUMMYFUNCTION("""COMPUTED_VALUE"""),"SUI BANGKONG")</f>
        <v>SUI BANGKONG</v>
      </c>
      <c r="O3800" s="35" t="str">
        <f>IFERROR(__xludf.DUMMYFUNCTION("""COMPUTED_VALUE"""),"PONTIANAK KOTA ")</f>
        <v>PONTIANAK KOTA </v>
      </c>
      <c r="P3800" s="35" t="str">
        <f>IFERROR(__xludf.DUMMYFUNCTION("""COMPUTED_VALUE"""),"KOTA PONTIANAK")</f>
        <v>KOTA PONTIANAK</v>
      </c>
      <c r="Q3800" s="35" t="str">
        <f>IFERROR(__xludf.DUMMYFUNCTION("""COMPUTED_VALUE"""),"KALIMANTAN BARAT")</f>
        <v>KALIMANTAN BARAT</v>
      </c>
      <c r="R3800" s="35" t="str">
        <f>IFERROR(__xludf.DUMMYFUNCTION("""COMPUTED_VALUE"""),"ISLAM")</f>
        <v>ISLAM</v>
      </c>
      <c r="S3800" s="74" t="str">
        <f>IFERROR(__xludf.DUMMYFUNCTION("""COMPUTED_VALUE"""),"MAHASISWI")</f>
        <v>MAHASISWI</v>
      </c>
      <c r="T3800" s="35" t="str">
        <f>IFERROR(__xludf.DUMMYFUNCTION("""COMPUTED_VALUE"""),"TANGAN DAN KAKI KIRI LEMAH..KESEIMBANFAN KURANG")</f>
        <v>TANGAN DAN KAKI KIRI LEMAH..KESEIMBANFAN KURANG</v>
      </c>
      <c r="U3800" s="35" t="str">
        <f>IFERROR(__xludf.DUMMYFUNCTION("""COMPUTED_VALUE"""),"-")</f>
        <v>-</v>
      </c>
      <c r="V3800" s="35" t="str">
        <f>IFERROR(__xludf.DUMMYFUNCTION("""COMPUTED_VALUE"""),"089518330690")</f>
        <v>089518330690</v>
      </c>
      <c r="W3800" s="45"/>
    </row>
    <row r="3801">
      <c r="A3801" s="45"/>
      <c r="B3801" s="35" t="str">
        <f>IFERROR(__xludf.DUMMYFUNCTION("""COMPUTED_VALUE"""),"10/05/2026 9:32:04")</f>
        <v>10/05/2026 9:32:04</v>
      </c>
      <c r="C3801" s="35"/>
      <c r="D3801" s="10">
        <f>IFERROR(__xludf.DUMMYFUNCTION("""COMPUTED_VALUE"""),46152.0)</f>
        <v>46152</v>
      </c>
      <c r="E3801" s="35" t="str">
        <f>IFERROR(__xludf.DUMMYFUNCTION("""COMPUTED_VALUE"""),"05Mei")</f>
        <v>05Mei</v>
      </c>
      <c r="F3801" s="35"/>
      <c r="G3801" s="35" t="str">
        <f>IFERROR(__xludf.DUMMYFUNCTION("""COMPUTED_VALUE"""),"HARRIS CESAR")</f>
        <v>HARRIS CESAR</v>
      </c>
      <c r="H3801" s="35" t="str">
        <f>IFERROR(__xludf.DUMMYFUNCTION("""COMPUTED_VALUE"""),"H8726055656")</f>
        <v>H8726055656</v>
      </c>
      <c r="I3801" s="35">
        <f>IFERROR(__xludf.DUMMYFUNCTION("""COMPUTED_VALUE"""),38.0)</f>
        <v>38</v>
      </c>
      <c r="J3801" s="35" t="str">
        <f>IFERROR(__xludf.DUMMYFUNCTION("""COMPUTED_VALUE"""),"35-44 tahun")</f>
        <v>35-44 tahun</v>
      </c>
      <c r="K3801" s="35" t="str">
        <f>IFERROR(__xludf.DUMMYFUNCTION("""COMPUTED_VALUE"""),"15/09/1987")</f>
        <v>15/09/1987</v>
      </c>
      <c r="L3801" s="35" t="str">
        <f>IFERROR(__xludf.DUMMYFUNCTION("""COMPUTED_VALUE"""),"LAKI-LAKI")</f>
        <v>LAKI-LAKI</v>
      </c>
      <c r="M3801" s="35" t="str">
        <f>IFERROR(__xludf.DUMMYFUNCTION("""COMPUTED_VALUE"""),"JL. SURYA SUCI NO. 51.C")</f>
        <v>JL. SURYA SUCI NO. 51.C</v>
      </c>
      <c r="N3801" s="35" t="str">
        <f>IFERROR(__xludf.DUMMYFUNCTION("""COMPUTED_VALUE"""),"AKCAYA")</f>
        <v>AKCAYA</v>
      </c>
      <c r="O3801" s="35" t="str">
        <f>IFERROR(__xludf.DUMMYFUNCTION("""COMPUTED_VALUE"""),"PONTIANAK SELATAN")</f>
        <v>PONTIANAK SELATAN</v>
      </c>
      <c r="P3801" s="35" t="str">
        <f>IFERROR(__xludf.DUMMYFUNCTION("""COMPUTED_VALUE"""),"PONTIANAK")</f>
        <v>PONTIANAK</v>
      </c>
      <c r="Q3801" s="35" t="str">
        <f>IFERROR(__xludf.DUMMYFUNCTION("""COMPUTED_VALUE"""),"KAKBAR")</f>
        <v>KAKBAR</v>
      </c>
      <c r="R3801" s="35" t="str">
        <f>IFERROR(__xludf.DUMMYFUNCTION("""COMPUTED_VALUE"""),"ISLAM")</f>
        <v>ISLAM</v>
      </c>
      <c r="S3801" s="74" t="str">
        <f>IFERROR(__xludf.DUMMYFUNCTION("""COMPUTED_VALUE"""),"ONS")</f>
        <v>ONS</v>
      </c>
      <c r="T3801" s="35" t="str">
        <f>IFERROR(__xludf.DUMMYFUNCTION("""COMPUTED_VALUE"""),"NYERI DI PUNGGUNG, PINGGANG, DAN KAKI")</f>
        <v>NYERI DI PUNGGUNG, PINGGANG, DAN KAKI</v>
      </c>
      <c r="U3801" s="35" t="str">
        <f>IFERROR(__xludf.DUMMYFUNCTION("""COMPUTED_VALUE"""),"BERKENDARA JAUH, BERDIRI LAMA")</f>
        <v>BERKENDARA JAUH, BERDIRI LAMA</v>
      </c>
      <c r="V3801" s="35" t="str">
        <f>IFERROR(__xludf.DUMMYFUNCTION("""COMPUTED_VALUE"""),"085252585656")</f>
        <v>085252585656</v>
      </c>
      <c r="W3801" s="45"/>
    </row>
    <row r="3802">
      <c r="A3802" s="45"/>
      <c r="B3802" s="35" t="str">
        <f>IFERROR(__xludf.DUMMYFUNCTION("""COMPUTED_VALUE"""),"10/05/2026 9:33:53")</f>
        <v>10/05/2026 9:33:53</v>
      </c>
      <c r="C3802" s="35"/>
      <c r="D3802" s="10">
        <f>IFERROR(__xludf.DUMMYFUNCTION("""COMPUTED_VALUE"""),46152.0)</f>
        <v>46152</v>
      </c>
      <c r="E3802" s="35" t="str">
        <f>IFERROR(__xludf.DUMMYFUNCTION("""COMPUTED_VALUE"""),"05Mei")</f>
        <v>05Mei</v>
      </c>
      <c r="F3802" s="35"/>
      <c r="G3802" s="35" t="str">
        <f>IFERROR(__xludf.DUMMYFUNCTION("""COMPUTED_VALUE"""),"NATAYA RAFIF")</f>
        <v>NATAYA RAFIF</v>
      </c>
      <c r="H3802" s="35" t="str">
        <f>IFERROR(__xludf.DUMMYFUNCTION("""COMPUTED_VALUE"""),"N1826055656")</f>
        <v>N1826055656</v>
      </c>
      <c r="I3802" s="35">
        <f>IFERROR(__xludf.DUMMYFUNCTION("""COMPUTED_VALUE"""),7.0)</f>
        <v>7</v>
      </c>
      <c r="J3802" s="35" t="str">
        <f>IFERROR(__xludf.DUMMYFUNCTION("""COMPUTED_VALUE"""),"&lt; 18 tahun")</f>
        <v>&lt; 18 tahun</v>
      </c>
      <c r="K3802" s="35" t="str">
        <f>IFERROR(__xludf.DUMMYFUNCTION("""COMPUTED_VALUE"""),"22/06/2018")</f>
        <v>22/06/2018</v>
      </c>
      <c r="L3802" s="35" t="str">
        <f>IFERROR(__xludf.DUMMYFUNCTION("""COMPUTED_VALUE"""),"LAKI-LAKI")</f>
        <v>LAKI-LAKI</v>
      </c>
      <c r="M3802" s="35" t="str">
        <f>IFERROR(__xludf.DUMMYFUNCTION("""COMPUTED_VALUE"""),"JL. SURYA SUCI NO. 51C")</f>
        <v>JL. SURYA SUCI NO. 51C</v>
      </c>
      <c r="N3802" s="35" t="str">
        <f>IFERROR(__xludf.DUMMYFUNCTION("""COMPUTED_VALUE"""),"AKCAYA")</f>
        <v>AKCAYA</v>
      </c>
      <c r="O3802" s="35" t="str">
        <f>IFERROR(__xludf.DUMMYFUNCTION("""COMPUTED_VALUE"""),"PONTIANAK SELATAN")</f>
        <v>PONTIANAK SELATAN</v>
      </c>
      <c r="P3802" s="35" t="str">
        <f>IFERROR(__xludf.DUMMYFUNCTION("""COMPUTED_VALUE"""),"PONTIANAK")</f>
        <v>PONTIANAK</v>
      </c>
      <c r="Q3802" s="35" t="str">
        <f>IFERROR(__xludf.DUMMYFUNCTION("""COMPUTED_VALUE"""),"KALBAR")</f>
        <v>KALBAR</v>
      </c>
      <c r="R3802" s="35" t="str">
        <f>IFERROR(__xludf.DUMMYFUNCTION("""COMPUTED_VALUE"""),"ISLAM")</f>
        <v>ISLAM</v>
      </c>
      <c r="S3802" s="74" t="str">
        <f>IFERROR(__xludf.DUMMYFUNCTION("""COMPUTED_VALUE"""),"PELAJAR")</f>
        <v>PELAJAR</v>
      </c>
      <c r="T3802" s="35" t="str">
        <f>IFERROR(__xludf.DUMMYFUNCTION("""COMPUTED_VALUE"""),"SAKIT DI PINGGANG, DAN KAKI")</f>
        <v>SAKIT DI PINGGANG, DAN KAKI</v>
      </c>
      <c r="U3802" s="35" t="str">
        <f>IFERROR(__xludf.DUMMYFUNCTION("""COMPUTED_VALUE"""),"BERENANG")</f>
        <v>BERENANG</v>
      </c>
      <c r="V3802" s="35" t="str">
        <f>IFERROR(__xludf.DUMMYFUNCTION("""COMPUTED_VALUE"""),"085252585656")</f>
        <v>085252585656</v>
      </c>
      <c r="W3802" s="45"/>
    </row>
    <row r="3803">
      <c r="A3803" s="45"/>
      <c r="B3803" s="35" t="str">
        <f>IFERROR(__xludf.DUMMYFUNCTION("""COMPUTED_VALUE"""),"10/05/2026 10:22:01")</f>
        <v>10/05/2026 10:22:01</v>
      </c>
      <c r="C3803" s="35"/>
      <c r="D3803" s="10">
        <f>IFERROR(__xludf.DUMMYFUNCTION("""COMPUTED_VALUE"""),46152.0)</f>
        <v>46152</v>
      </c>
      <c r="E3803" s="35" t="str">
        <f>IFERROR(__xludf.DUMMYFUNCTION("""COMPUTED_VALUE"""),"05Mei")</f>
        <v>05Mei</v>
      </c>
      <c r="F3803" s="35"/>
      <c r="G3803" s="35" t="str">
        <f>IFERROR(__xludf.DUMMYFUNCTION("""COMPUTED_VALUE"""),"DEVI VERONICA")</f>
        <v>DEVI VERONICA</v>
      </c>
      <c r="H3803" s="35" t="str">
        <f>IFERROR(__xludf.DUMMYFUNCTION("""COMPUTED_VALUE"""),"D9626054488")</f>
        <v>D9626054488</v>
      </c>
      <c r="I3803" s="35">
        <f>IFERROR(__xludf.DUMMYFUNCTION("""COMPUTED_VALUE"""),29.0)</f>
        <v>29</v>
      </c>
      <c r="J3803" s="35" t="str">
        <f>IFERROR(__xludf.DUMMYFUNCTION("""COMPUTED_VALUE"""),"25-34 tahun")</f>
        <v>25-34 tahun</v>
      </c>
      <c r="K3803" s="35" t="str">
        <f>IFERROR(__xludf.DUMMYFUNCTION("""COMPUTED_VALUE"""),"17/12/1996")</f>
        <v>17/12/1996</v>
      </c>
      <c r="L3803" s="35" t="str">
        <f>IFERROR(__xludf.DUMMYFUNCTION("""COMPUTED_VALUE"""),"PEREMPUAN")</f>
        <v>PEREMPUAN</v>
      </c>
      <c r="M3803" s="35" t="str">
        <f>IFERROR(__xludf.DUMMYFUNCTION("""COMPUTED_VALUE"""),"JL KHA DAHLAN")</f>
        <v>JL KHA DAHLAN</v>
      </c>
      <c r="N3803" s="35" t="str">
        <f>IFERROR(__xludf.DUMMYFUNCTION("""COMPUTED_VALUE"""),"DARAT SEKIP")</f>
        <v>DARAT SEKIP</v>
      </c>
      <c r="O3803" s="35" t="str">
        <f>IFERROR(__xludf.DUMMYFUNCTION("""COMPUTED_VALUE"""),"PONTIANAK KOTA")</f>
        <v>PONTIANAK KOTA</v>
      </c>
      <c r="P3803" s="35" t="str">
        <f>IFERROR(__xludf.DUMMYFUNCTION("""COMPUTED_VALUE"""),"KOTA PONTIANAK")</f>
        <v>KOTA PONTIANAK</v>
      </c>
      <c r="Q3803" s="35" t="str">
        <f>IFERROR(__xludf.DUMMYFUNCTION("""COMPUTED_VALUE"""),"KALIMANTAN BARAT")</f>
        <v>KALIMANTAN BARAT</v>
      </c>
      <c r="R3803" s="35" t="str">
        <f>IFERROR(__xludf.DUMMYFUNCTION("""COMPUTED_VALUE"""),"BUDDHA")</f>
        <v>BUDDHA</v>
      </c>
      <c r="S3803" s="74" t="str">
        <f>IFERROR(__xludf.DUMMYFUNCTION("""COMPUTED_VALUE"""),"SWASTA")</f>
        <v>SWASTA</v>
      </c>
      <c r="T3803" s="35" t="str">
        <f>IFERROR(__xludf.DUMMYFUNCTION("""COMPUTED_VALUE"""),"ANKLE KANAN TERKILIR ")</f>
        <v>ANKLE KANAN TERKILIR </v>
      </c>
      <c r="U3803" s="35" t="str">
        <f>IFERROR(__xludf.DUMMYFUNCTION("""COMPUTED_VALUE"""),"STRENGTH TRAINING, PILATES, RUNNING, MUAYTHAI, TENNIS (ADA JADWAL RUTIN)")</f>
        <v>STRENGTH TRAINING, PILATES, RUNNING, MUAYTHAI, TENNIS (ADA JADWAL RUTIN)</v>
      </c>
      <c r="V3803" s="35" t="str">
        <f>IFERROR(__xludf.DUMMYFUNCTION("""COMPUTED_VALUE"""),"085348174488")</f>
        <v>085348174488</v>
      </c>
      <c r="W3803" s="45"/>
    </row>
    <row r="3804">
      <c r="A3804" s="45"/>
      <c r="B3804" s="35" t="str">
        <f>IFERROR(__xludf.DUMMYFUNCTION("""COMPUTED_VALUE"""),"10/05/2026 18:03:27")</f>
        <v>10/05/2026 18:03:27</v>
      </c>
      <c r="C3804" s="35"/>
      <c r="D3804" s="10">
        <f>IFERROR(__xludf.DUMMYFUNCTION("""COMPUTED_VALUE"""),46152.0)</f>
        <v>46152</v>
      </c>
      <c r="E3804" s="35" t="str">
        <f>IFERROR(__xludf.DUMMYFUNCTION("""COMPUTED_VALUE"""),"05Mei")</f>
        <v>05Mei</v>
      </c>
      <c r="F3804" s="35"/>
      <c r="G3804" s="35" t="str">
        <f>IFERROR(__xludf.DUMMYFUNCTION("""COMPUTED_VALUE"""),"MUHAJIR HILAL")</f>
        <v>MUHAJIR HILAL</v>
      </c>
      <c r="H3804" s="35" t="str">
        <f>IFERROR(__xludf.DUMMYFUNCTION("""COMPUTED_VALUE"""),"M9926054445")</f>
        <v>M9926054445</v>
      </c>
      <c r="I3804" s="35">
        <f>IFERROR(__xludf.DUMMYFUNCTION("""COMPUTED_VALUE"""),27.0)</f>
        <v>27</v>
      </c>
      <c r="J3804" s="35" t="str">
        <f>IFERROR(__xludf.DUMMYFUNCTION("""COMPUTED_VALUE"""),"25-34 tahun")</f>
        <v>25-34 tahun</v>
      </c>
      <c r="K3804" s="35" t="str">
        <f>IFERROR(__xludf.DUMMYFUNCTION("""COMPUTED_VALUE"""),"19/04/1999")</f>
        <v>19/04/1999</v>
      </c>
      <c r="L3804" s="35" t="str">
        <f>IFERROR(__xludf.DUMMYFUNCTION("""COMPUTED_VALUE"""),"LAKI-LAKI")</f>
        <v>LAKI-LAKI</v>
      </c>
      <c r="M3804" s="35" t="str">
        <f>IFERROR(__xludf.DUMMYFUNCTION("""COMPUTED_VALUE"""),"JL LINGKAR 2")</f>
        <v>JL LINGKAR 2</v>
      </c>
      <c r="N3804" s="35" t="str">
        <f>IFERROR(__xludf.DUMMYFUNCTION("""COMPUTED_VALUE"""),"PEKAN ARBA")</f>
        <v>PEKAN ARBA</v>
      </c>
      <c r="O3804" s="35" t="str">
        <f>IFERROR(__xludf.DUMMYFUNCTION("""COMPUTED_VALUE"""),"TEMBILAHAN ")</f>
        <v>TEMBILAHAN </v>
      </c>
      <c r="P3804" s="35" t="str">
        <f>IFERROR(__xludf.DUMMYFUNCTION("""COMPUTED_VALUE"""),"INDRAGIRI HILIR")</f>
        <v>INDRAGIRI HILIR</v>
      </c>
      <c r="Q3804" s="35" t="str">
        <f>IFERROR(__xludf.DUMMYFUNCTION("""COMPUTED_VALUE"""),"RIAU")</f>
        <v>RIAU</v>
      </c>
      <c r="R3804" s="35" t="str">
        <f>IFERROR(__xludf.DUMMYFUNCTION("""COMPUTED_VALUE"""),"ISLAM")</f>
        <v>ISLAM</v>
      </c>
      <c r="S3804" s="74" t="str">
        <f>IFERROR(__xludf.DUMMYFUNCTION("""COMPUTED_VALUE"""),"-")</f>
        <v>-</v>
      </c>
      <c r="T3804" s="35" t="str">
        <f>IFERROR(__xludf.DUMMYFUNCTION("""COMPUTED_VALUE"""),"SPRINED ANKLE")</f>
        <v>SPRINED ANKLE</v>
      </c>
      <c r="U3804" s="35" t="str">
        <f>IFERROR(__xludf.DUMMYFUNCTION("""COMPUTED_VALUE"""),"OLAHRAGA")</f>
        <v>OLAHRAGA</v>
      </c>
      <c r="V3804" s="35" t="str">
        <f>IFERROR(__xludf.DUMMYFUNCTION("""COMPUTED_VALUE"""),"082288294445")</f>
        <v>082288294445</v>
      </c>
      <c r="W3804" s="45"/>
    </row>
    <row r="3805">
      <c r="A3805" s="45"/>
      <c r="B3805" s="35" t="str">
        <f>IFERROR(__xludf.DUMMYFUNCTION("""COMPUTED_VALUE"""),"11/05/2026 8:33:46")</f>
        <v>11/05/2026 8:33:46</v>
      </c>
      <c r="C3805" s="35"/>
      <c r="D3805" s="10">
        <f>IFERROR(__xludf.DUMMYFUNCTION("""COMPUTED_VALUE"""),46153.0)</f>
        <v>46153</v>
      </c>
      <c r="E3805" s="35" t="str">
        <f>IFERROR(__xludf.DUMMYFUNCTION("""COMPUTED_VALUE"""),"05Mei")</f>
        <v>05Mei</v>
      </c>
      <c r="F3805" s="35"/>
      <c r="G3805" s="35" t="str">
        <f>IFERROR(__xludf.DUMMYFUNCTION("""COMPUTED_VALUE"""),"KUKUH ")</f>
        <v>KUKUH </v>
      </c>
      <c r="H3805" s="35" t="str">
        <f>IFERROR(__xludf.DUMMYFUNCTION("""COMPUTED_VALUE"""),"K9226050904")</f>
        <v>K9226050904</v>
      </c>
      <c r="I3805" s="35">
        <f>IFERROR(__xludf.DUMMYFUNCTION("""COMPUTED_VALUE"""),34.0)</f>
        <v>34</v>
      </c>
      <c r="J3805" s="35" t="str">
        <f>IFERROR(__xludf.DUMMYFUNCTION("""COMPUTED_VALUE"""),"25-34 tahun")</f>
        <v>25-34 tahun</v>
      </c>
      <c r="K3805" s="35" t="str">
        <f>IFERROR(__xludf.DUMMYFUNCTION("""COMPUTED_VALUE"""),"22/03/1992")</f>
        <v>22/03/1992</v>
      </c>
      <c r="L3805" s="35" t="str">
        <f>IFERROR(__xludf.DUMMYFUNCTION("""COMPUTED_VALUE"""),"LAKI-LAKI")</f>
        <v>LAKI-LAKI</v>
      </c>
      <c r="M3805" s="35" t="str">
        <f>IFERROR(__xludf.DUMMYFUNCTION("""COMPUTED_VALUE"""),"PROM M YAMIN")</f>
        <v>PROM M YAMIN</v>
      </c>
      <c r="N3805" s="35" t="str">
        <f>IFERROR(__xludf.DUMMYFUNCTION("""COMPUTED_VALUE"""),"KOTA BARU")</f>
        <v>KOTA BARU</v>
      </c>
      <c r="O3805" s="35" t="str">
        <f>IFERROR(__xludf.DUMMYFUNCTION("""COMPUTED_VALUE"""),"PONTIANAK SELATAN ")</f>
        <v>PONTIANAK SELATAN </v>
      </c>
      <c r="P3805" s="35" t="str">
        <f>IFERROR(__xludf.DUMMYFUNCTION("""COMPUTED_VALUE"""),"PONTIANAK")</f>
        <v>PONTIANAK</v>
      </c>
      <c r="Q3805" s="35" t="str">
        <f>IFERROR(__xludf.DUMMYFUNCTION("""COMPUTED_VALUE"""),"KALBAR")</f>
        <v>KALBAR</v>
      </c>
      <c r="R3805" s="35" t="str">
        <f>IFERROR(__xludf.DUMMYFUNCTION("""COMPUTED_VALUE"""),"ISLAM")</f>
        <v>ISLAM</v>
      </c>
      <c r="S3805" s="74" t="str">
        <f>IFERROR(__xludf.DUMMYFUNCTION("""COMPUTED_VALUE"""),"-")</f>
        <v>-</v>
      </c>
      <c r="T3805" s="35" t="str">
        <f>IFERROR(__xludf.DUMMYFUNCTION("""COMPUTED_VALUE"""),"NYERI PINGGANG")</f>
        <v>NYERI PINGGANG</v>
      </c>
      <c r="U3805" s="35" t="str">
        <f>IFERROR(__xludf.DUMMYFUNCTION("""COMPUTED_VALUE"""),"GYM ")</f>
        <v>GYM </v>
      </c>
      <c r="V3805" s="35" t="str">
        <f>IFERROR(__xludf.DUMMYFUNCTION("""COMPUTED_VALUE"""),"089623880904")</f>
        <v>089623880904</v>
      </c>
      <c r="W3805" s="45"/>
    </row>
    <row r="3806">
      <c r="A3806" s="45"/>
      <c r="B3806" s="35" t="str">
        <f>IFERROR(__xludf.DUMMYFUNCTION("""COMPUTED_VALUE"""),"11/05/2026 9:04:45")</f>
        <v>11/05/2026 9:04:45</v>
      </c>
      <c r="C3806" s="35"/>
      <c r="D3806" s="10">
        <f>IFERROR(__xludf.DUMMYFUNCTION("""COMPUTED_VALUE"""),46153.0)</f>
        <v>46153</v>
      </c>
      <c r="E3806" s="35" t="str">
        <f>IFERROR(__xludf.DUMMYFUNCTION("""COMPUTED_VALUE"""),"05Mei")</f>
        <v>05Mei</v>
      </c>
      <c r="F3806" s="35"/>
      <c r="G3806" s="35" t="str">
        <f>IFERROR(__xludf.DUMMYFUNCTION("""COMPUTED_VALUE"""),"PURNAMA YUNIARSIH")</f>
        <v>PURNAMA YUNIARSIH</v>
      </c>
      <c r="H3806" s="35" t="str">
        <f>IFERROR(__xludf.DUMMYFUNCTION("""COMPUTED_VALUE"""),"P9626059787")</f>
        <v>P9626059787</v>
      </c>
      <c r="I3806" s="35">
        <f>IFERROR(__xludf.DUMMYFUNCTION("""COMPUTED_VALUE"""),30.0)</f>
        <v>30</v>
      </c>
      <c r="J3806" s="35" t="str">
        <f>IFERROR(__xludf.DUMMYFUNCTION("""COMPUTED_VALUE"""),"25-34 tahun")</f>
        <v>25-34 tahun</v>
      </c>
      <c r="K3806" s="35" t="str">
        <f>IFERROR(__xludf.DUMMYFUNCTION("""COMPUTED_VALUE"""),"02/06/1996")</f>
        <v>02/06/1996</v>
      </c>
      <c r="L3806" s="35" t="str">
        <f>IFERROR(__xludf.DUMMYFUNCTION("""COMPUTED_VALUE"""),"PEREMPUAN")</f>
        <v>PEREMPUAN</v>
      </c>
      <c r="M3806" s="35" t="str">
        <f>IFERROR(__xludf.DUMMYFUNCTION("""COMPUTED_VALUE"""),"JL. HUSEIN HAMZAH KOMP.PANG 5 GREEN LEAF NO.21")</f>
        <v>JL. HUSEIN HAMZAH KOMP.PANG 5 GREEN LEAF NO.21</v>
      </c>
      <c r="N3806" s="35" t="str">
        <f>IFERROR(__xludf.DUMMYFUNCTION("""COMPUTED_VALUE"""),"PAL LIMA")</f>
        <v>PAL LIMA</v>
      </c>
      <c r="O3806" s="35" t="str">
        <f>IFERROR(__xludf.DUMMYFUNCTION("""COMPUTED_VALUE"""),"PONTIANAK BARAT")</f>
        <v>PONTIANAK BARAT</v>
      </c>
      <c r="P3806" s="35" t="str">
        <f>IFERROR(__xludf.DUMMYFUNCTION("""COMPUTED_VALUE"""),"PONTIANAK")</f>
        <v>PONTIANAK</v>
      </c>
      <c r="Q3806" s="35" t="str">
        <f>IFERROR(__xludf.DUMMYFUNCTION("""COMPUTED_VALUE"""),"KALIMANTAN BARAT")</f>
        <v>KALIMANTAN BARAT</v>
      </c>
      <c r="R3806" s="35" t="str">
        <f>IFERROR(__xludf.DUMMYFUNCTION("""COMPUTED_VALUE"""),"ISLAM")</f>
        <v>ISLAM</v>
      </c>
      <c r="S3806" s="74" t="str">
        <f>IFERROR(__xludf.DUMMYFUNCTION("""COMPUTED_VALUE"""),"IBU RUMAH TANGGA")</f>
        <v>IBU RUMAH TANGGA</v>
      </c>
      <c r="T3806" s="35" t="str">
        <f>IFERROR(__xludf.DUMMYFUNCTION("""COMPUTED_VALUE"""),"NGILU DI TUMIT, DAN BAHU PERGELANGAN BELAKANG TANGAN.")</f>
        <v>NGILU DI TUMIT, DAN BAHU PERGELANGAN BELAKANG TANGAN.</v>
      </c>
      <c r="U3806" s="35" t="str">
        <f>IFERROR(__xludf.DUMMYFUNCTION("""COMPUTED_VALUE"""),"PEKERJAAN RUMAH")</f>
        <v>PEKERJAAN RUMAH</v>
      </c>
      <c r="V3806" s="35" t="str">
        <f>IFERROR(__xludf.DUMMYFUNCTION("""COMPUTED_VALUE"""),"085259969787")</f>
        <v>085259969787</v>
      </c>
      <c r="W3806" s="45"/>
    </row>
    <row r="3807">
      <c r="A3807" s="45"/>
      <c r="B3807" s="35" t="str">
        <f>IFERROR(__xludf.DUMMYFUNCTION("""COMPUTED_VALUE"""),"11/05/2026 10:57:47")</f>
        <v>11/05/2026 10:57:47</v>
      </c>
      <c r="C3807" s="35"/>
      <c r="D3807" s="10">
        <f>IFERROR(__xludf.DUMMYFUNCTION("""COMPUTED_VALUE"""),46153.0)</f>
        <v>46153</v>
      </c>
      <c r="E3807" s="35" t="str">
        <f>IFERROR(__xludf.DUMMYFUNCTION("""COMPUTED_VALUE"""),"05Mei")</f>
        <v>05Mei</v>
      </c>
      <c r="F3807" s="35"/>
      <c r="G3807" s="35" t="str">
        <f>IFERROR(__xludf.DUMMYFUNCTION("""COMPUTED_VALUE"""),"OMAR F. FISABILILLAH")</f>
        <v>OMAR F. FISABILILLAH</v>
      </c>
      <c r="H3807" s="35" t="str">
        <f>IFERROR(__xludf.DUMMYFUNCTION("""COMPUTED_VALUE"""),"O1826051795")</f>
        <v>O1826051795</v>
      </c>
      <c r="I3807" s="35">
        <f>IFERROR(__xludf.DUMMYFUNCTION("""COMPUTED_VALUE"""),7.0)</f>
        <v>7</v>
      </c>
      <c r="J3807" s="35" t="str">
        <f>IFERROR(__xludf.DUMMYFUNCTION("""COMPUTED_VALUE"""),"&lt; 18 tahun")</f>
        <v>&lt; 18 tahun</v>
      </c>
      <c r="K3807" s="35" t="str">
        <f>IFERROR(__xludf.DUMMYFUNCTION("""COMPUTED_VALUE"""),"22/07/2018")</f>
        <v>22/07/2018</v>
      </c>
      <c r="L3807" s="35" t="str">
        <f>IFERROR(__xludf.DUMMYFUNCTION("""COMPUTED_VALUE"""),"LAKI-LAKI")</f>
        <v>LAKI-LAKI</v>
      </c>
      <c r="M3807" s="35" t="str">
        <f>IFERROR(__xludf.DUMMYFUNCTION("""COMPUTED_VALUE"""),"JL KARET KOMP KARET INDAH AB № A.18")</f>
        <v>JL KARET KOMP KARET INDAH AB № A.18</v>
      </c>
      <c r="N3807" s="35" t="str">
        <f>IFERROR(__xludf.DUMMYFUNCTION("""COMPUTED_VALUE"""),"SUNGAI BELIUNG")</f>
        <v>SUNGAI BELIUNG</v>
      </c>
      <c r="O3807" s="35" t="str">
        <f>IFERROR(__xludf.DUMMYFUNCTION("""COMPUTED_VALUE"""),"PONTIANAKA BARAT")</f>
        <v>PONTIANAKA BARAT</v>
      </c>
      <c r="P3807" s="35" t="str">
        <f>IFERROR(__xludf.DUMMYFUNCTION("""COMPUTED_VALUE"""),"KOTA PONTIANAK")</f>
        <v>KOTA PONTIANAK</v>
      </c>
      <c r="Q3807" s="35" t="str">
        <f>IFERROR(__xludf.DUMMYFUNCTION("""COMPUTED_VALUE"""),"KAL BAR")</f>
        <v>KAL BAR</v>
      </c>
      <c r="R3807" s="35" t="str">
        <f>IFERROR(__xludf.DUMMYFUNCTION("""COMPUTED_VALUE"""),"ISLAM")</f>
        <v>ISLAM</v>
      </c>
      <c r="S3807" s="74" t="str">
        <f>IFERROR(__xludf.DUMMYFUNCTION("""COMPUTED_VALUE"""),"PELAJAR")</f>
        <v>PELAJAR</v>
      </c>
      <c r="T3807" s="35" t="str">
        <f>IFERROR(__xludf.DUMMYFUNCTION("""COMPUTED_VALUE"""),"KAKI SAKIT SUSAH BERDIRI APALAGI BERJALAN, DIAGNOSA AWAL URAT KETARIK")</f>
        <v>KAKI SAKIT SUSAH BERDIRI APALAGI BERJALAN, DIAGNOSA AWAL URAT KETARIK</v>
      </c>
      <c r="U3807" s="35" t="str">
        <f>IFERROR(__xludf.DUMMYFUNCTION("""COMPUTED_VALUE"""),"SUKA TIDUR DG KAKI POSISI KE ATAS MENEMPEL KE DINDING")</f>
        <v>SUKA TIDUR DG KAKI POSISI KE ATAS MENEMPEL KE DINDING</v>
      </c>
      <c r="V3807" s="35" t="str">
        <f>IFERROR(__xludf.DUMMYFUNCTION("""COMPUTED_VALUE"""),"085716441795")</f>
        <v>085716441795</v>
      </c>
      <c r="W3807" s="45"/>
    </row>
    <row r="3808">
      <c r="A3808" s="45"/>
      <c r="B3808" s="35" t="str">
        <f>IFERROR(__xludf.DUMMYFUNCTION("""COMPUTED_VALUE"""),"11/05/2026 15:31:10")</f>
        <v>11/05/2026 15:31:10</v>
      </c>
      <c r="C3808" s="35"/>
      <c r="D3808" s="10">
        <f>IFERROR(__xludf.DUMMYFUNCTION("""COMPUTED_VALUE"""),46153.0)</f>
        <v>46153</v>
      </c>
      <c r="E3808" s="35" t="str">
        <f>IFERROR(__xludf.DUMMYFUNCTION("""COMPUTED_VALUE"""),"05Mei")</f>
        <v>05Mei</v>
      </c>
      <c r="F3808" s="35"/>
      <c r="G3808" s="35" t="str">
        <f>IFERROR(__xludf.DUMMYFUNCTION("""COMPUTED_VALUE"""),"ASRI HUMAIRA ")</f>
        <v>ASRI HUMAIRA </v>
      </c>
      <c r="H3808" s="35" t="str">
        <f>IFERROR(__xludf.DUMMYFUNCTION("""COMPUTED_VALUE"""),"A0426059008")</f>
        <v>A0426059008</v>
      </c>
      <c r="I3808" s="35">
        <f>IFERROR(__xludf.DUMMYFUNCTION("""COMPUTED_VALUE"""),22.0)</f>
        <v>22</v>
      </c>
      <c r="J3808" s="35" t="str">
        <f>IFERROR(__xludf.DUMMYFUNCTION("""COMPUTED_VALUE"""),"18-24 tahun")</f>
        <v>18-24 tahun</v>
      </c>
      <c r="K3808" s="35" t="str">
        <f>IFERROR(__xludf.DUMMYFUNCTION("""COMPUTED_VALUE"""),"15/05/2004")</f>
        <v>15/05/2004</v>
      </c>
      <c r="L3808" s="35" t="str">
        <f>IFERROR(__xludf.DUMMYFUNCTION("""COMPUTED_VALUE"""),"PEREMPUAN")</f>
        <v>PEREMPUAN</v>
      </c>
      <c r="M3808" s="35" t="str">
        <f>IFERROR(__xludf.DUMMYFUNCTION("""COMPUTED_VALUE"""),"JL H R A RAHMAN GG SENTOSA NO.47")</f>
        <v>JL H R A RAHMAN GG SENTOSA NO.47</v>
      </c>
      <c r="N3808" s="35" t="str">
        <f>IFERROR(__xludf.DUMMYFUNCTION("""COMPUTED_VALUE"""),"SUNGAI JAWI DALAM")</f>
        <v>SUNGAI JAWI DALAM</v>
      </c>
      <c r="O3808" s="35" t="str">
        <f>IFERROR(__xludf.DUMMYFUNCTION("""COMPUTED_VALUE"""),"PONTIANAK BARAT")</f>
        <v>PONTIANAK BARAT</v>
      </c>
      <c r="P3808" s="35" t="str">
        <f>IFERROR(__xludf.DUMMYFUNCTION("""COMPUTED_VALUE"""),"PONTIANAK")</f>
        <v>PONTIANAK</v>
      </c>
      <c r="Q3808" s="35" t="str">
        <f>IFERROR(__xludf.DUMMYFUNCTION("""COMPUTED_VALUE"""),"KALIMANTAN BARAT")</f>
        <v>KALIMANTAN BARAT</v>
      </c>
      <c r="R3808" s="35" t="str">
        <f>IFERROR(__xludf.DUMMYFUNCTION("""COMPUTED_VALUE"""),"ISLAM")</f>
        <v>ISLAM</v>
      </c>
      <c r="S3808" s="74" t="str">
        <f>IFERROR(__xludf.DUMMYFUNCTION("""COMPUTED_VALUE"""),"PELAJAR")</f>
        <v>PELAJAR</v>
      </c>
      <c r="T3808" s="35" t="str">
        <f>IFERROR(__xludf.DUMMYFUNCTION("""COMPUTED_VALUE"""),"TELAPAK KAKI")</f>
        <v>TELAPAK KAKI</v>
      </c>
      <c r="U3808" s="35" t="str">
        <f>IFERROR(__xludf.DUMMYFUNCTION("""COMPUTED_VALUE"""),"-")</f>
        <v>-</v>
      </c>
      <c r="V3808" s="35" t="str">
        <f>IFERROR(__xludf.DUMMYFUNCTION("""COMPUTED_VALUE"""),"081253319008")</f>
        <v>081253319008</v>
      </c>
      <c r="W3808" s="45"/>
    </row>
    <row r="3809">
      <c r="A3809" s="45"/>
      <c r="B3809" s="35" t="str">
        <f>IFERROR(__xludf.DUMMYFUNCTION("""COMPUTED_VALUE"""),"11/05/2026 18:22:40")</f>
        <v>11/05/2026 18:22:40</v>
      </c>
      <c r="C3809" s="35"/>
      <c r="D3809" s="10">
        <f>IFERROR(__xludf.DUMMYFUNCTION("""COMPUTED_VALUE"""),46153.0)</f>
        <v>46153</v>
      </c>
      <c r="E3809" s="35" t="str">
        <f>IFERROR(__xludf.DUMMYFUNCTION("""COMPUTED_VALUE"""),"05Mei")</f>
        <v>05Mei</v>
      </c>
      <c r="F3809" s="35"/>
      <c r="G3809" s="35" t="str">
        <f>IFERROR(__xludf.DUMMYFUNCTION("""COMPUTED_VALUE"""),"SRI RAHMANI")</f>
        <v>SRI RAHMANI</v>
      </c>
      <c r="H3809" s="35" t="str">
        <f>IFERROR(__xludf.DUMMYFUNCTION("""COMPUTED_VALUE"""),"S8526052373")</f>
        <v>S8526052373</v>
      </c>
      <c r="I3809" s="35">
        <f>IFERROR(__xludf.DUMMYFUNCTION("""COMPUTED_VALUE"""),41.0)</f>
        <v>41</v>
      </c>
      <c r="J3809" s="35" t="str">
        <f>IFERROR(__xludf.DUMMYFUNCTION("""COMPUTED_VALUE"""),"35-44 tahun")</f>
        <v>35-44 tahun</v>
      </c>
      <c r="K3809" s="35" t="str">
        <f>IFERROR(__xludf.DUMMYFUNCTION("""COMPUTED_VALUE"""),"29/03/1985")</f>
        <v>29/03/1985</v>
      </c>
      <c r="L3809" s="35" t="str">
        <f>IFERROR(__xludf.DUMMYFUNCTION("""COMPUTED_VALUE"""),"PEREMPUAN")</f>
        <v>PEREMPUAN</v>
      </c>
      <c r="M3809" s="35" t="str">
        <f>IFERROR(__xludf.DUMMYFUNCTION("""COMPUTED_VALUE"""),"JL. KESEHATAN GG. BAKTI HUSADA")</f>
        <v>JL. KESEHATAN GG. BAKTI HUSADA</v>
      </c>
      <c r="N3809" s="35" t="str">
        <f>IFERROR(__xludf.DUMMYFUNCTION("""COMPUTED_VALUE"""),"KOTA BARU")</f>
        <v>KOTA BARU</v>
      </c>
      <c r="O3809" s="35" t="str">
        <f>IFERROR(__xludf.DUMMYFUNCTION("""COMPUTED_VALUE"""),"PONTIANAK SELATAN")</f>
        <v>PONTIANAK SELATAN</v>
      </c>
      <c r="P3809" s="35" t="str">
        <f>IFERROR(__xludf.DUMMYFUNCTION("""COMPUTED_VALUE"""),"PONTIANAK")</f>
        <v>PONTIANAK</v>
      </c>
      <c r="Q3809" s="35" t="str">
        <f>IFERROR(__xludf.DUMMYFUNCTION("""COMPUTED_VALUE"""),"KALIMANTAN BARAT")</f>
        <v>KALIMANTAN BARAT</v>
      </c>
      <c r="R3809" s="35" t="str">
        <f>IFERROR(__xludf.DUMMYFUNCTION("""COMPUTED_VALUE"""),"ISLAM")</f>
        <v>ISLAM</v>
      </c>
      <c r="S3809" s="74" t="str">
        <f>IFERROR(__xludf.DUMMYFUNCTION("""COMPUTED_VALUE"""),"RUMAH TANGGA")</f>
        <v>RUMAH TANGGA</v>
      </c>
      <c r="T3809" s="35" t="str">
        <f>IFERROR(__xludf.DUMMYFUNCTION("""COMPUTED_VALUE"""),"SAKIT PINGGANG DI SEBELAH KIRI SAMPAI KE BELAKANG KAKI KIRI")</f>
        <v>SAKIT PINGGANG DI SEBELAH KIRI SAMPAI KE BELAKANG KAKI KIRI</v>
      </c>
      <c r="U3809" s="35" t="str">
        <f>IFERROR(__xludf.DUMMYFUNCTION("""COMPUTED_VALUE"""),"TIDAK ADA")</f>
        <v>TIDAK ADA</v>
      </c>
      <c r="V3809" s="35" t="str">
        <f>IFERROR(__xludf.DUMMYFUNCTION("""COMPUTED_VALUE"""),"085828722373")</f>
        <v>085828722373</v>
      </c>
      <c r="W3809" s="45"/>
    </row>
    <row r="3810">
      <c r="A3810" s="45"/>
      <c r="B3810" s="35" t="str">
        <f>IFERROR(__xludf.DUMMYFUNCTION("""COMPUTED_VALUE"""),"12/05/2026 10:06:01")</f>
        <v>12/05/2026 10:06:01</v>
      </c>
      <c r="C3810" s="35"/>
      <c r="D3810" s="10">
        <f>IFERROR(__xludf.DUMMYFUNCTION("""COMPUTED_VALUE"""),46154.0)</f>
        <v>46154</v>
      </c>
      <c r="E3810" s="35" t="str">
        <f>IFERROR(__xludf.DUMMYFUNCTION("""COMPUTED_VALUE"""),"05Mei")</f>
        <v>05Mei</v>
      </c>
      <c r="F3810" s="35"/>
      <c r="G3810" s="35" t="str">
        <f>IFERROR(__xludf.DUMMYFUNCTION("""COMPUTED_VALUE"""),"NURUL AQIDATUL KHAIRINA ")</f>
        <v>NURUL AQIDATUL KHAIRINA </v>
      </c>
      <c r="H3810" s="35" t="str">
        <f>IFERROR(__xludf.DUMMYFUNCTION("""COMPUTED_VALUE"""),"N0026050245")</f>
        <v>N0026050245</v>
      </c>
      <c r="I3810" s="35">
        <f>IFERROR(__xludf.DUMMYFUNCTION("""COMPUTED_VALUE"""),26.0)</f>
        <v>26</v>
      </c>
      <c r="J3810" s="35" t="str">
        <f>IFERROR(__xludf.DUMMYFUNCTION("""COMPUTED_VALUE"""),"25-34 tahun")</f>
        <v>25-34 tahun</v>
      </c>
      <c r="K3810" s="35" t="str">
        <f>IFERROR(__xludf.DUMMYFUNCTION("""COMPUTED_VALUE"""),"30/03/2000")</f>
        <v>30/03/2000</v>
      </c>
      <c r="L3810" s="35" t="str">
        <f>IFERROR(__xludf.DUMMYFUNCTION("""COMPUTED_VALUE"""),"PEREMPUAN")</f>
        <v>PEREMPUAN</v>
      </c>
      <c r="M3810" s="35" t="str">
        <f>IFERROR(__xludf.DUMMYFUNCTION("""COMPUTED_VALUE"""),"JL. PROF. M. YAMIN GANG BINA KARYA NO.19")</f>
        <v>JL. PROF. M. YAMIN GANG BINA KARYA NO.19</v>
      </c>
      <c r="N3810" s="35" t="str">
        <f>IFERROR(__xludf.DUMMYFUNCTION("""COMPUTED_VALUE"""),"KOTA BARU")</f>
        <v>KOTA BARU</v>
      </c>
      <c r="O3810" s="35" t="str">
        <f>IFERROR(__xludf.DUMMYFUNCTION("""COMPUTED_VALUE"""),"PONTIANAK SELATAN")</f>
        <v>PONTIANAK SELATAN</v>
      </c>
      <c r="P3810" s="35" t="str">
        <f>IFERROR(__xludf.DUMMYFUNCTION("""COMPUTED_VALUE"""),"KOTA PONTIANAK")</f>
        <v>KOTA PONTIANAK</v>
      </c>
      <c r="Q3810" s="35" t="str">
        <f>IFERROR(__xludf.DUMMYFUNCTION("""COMPUTED_VALUE"""),"KALIMANTAN BARAT")</f>
        <v>KALIMANTAN BARAT</v>
      </c>
      <c r="R3810" s="35" t="str">
        <f>IFERROR(__xludf.DUMMYFUNCTION("""COMPUTED_VALUE"""),"ISLAM")</f>
        <v>ISLAM</v>
      </c>
      <c r="S3810" s="74" t="str">
        <f>IFERROR(__xludf.DUMMYFUNCTION("""COMPUTED_VALUE"""),"DOKTER")</f>
        <v>DOKTER</v>
      </c>
      <c r="T3810" s="35" t="str">
        <f>IFERROR(__xludf.DUMMYFUNCTION("""COMPUTED_VALUE"""),"SKOLIOSIS")</f>
        <v>SKOLIOSIS</v>
      </c>
      <c r="U3810" s="35" t="str">
        <f>IFERROR(__xludf.DUMMYFUNCTION("""COMPUTED_VALUE"""),"-")</f>
        <v>-</v>
      </c>
      <c r="V3810" s="35" t="str">
        <f>IFERROR(__xludf.DUMMYFUNCTION("""COMPUTED_VALUE"""),"089635150245")</f>
        <v>089635150245</v>
      </c>
      <c r="W3810" s="45"/>
    </row>
    <row r="3811">
      <c r="A3811" s="45"/>
      <c r="B3811" s="35" t="str">
        <f>IFERROR(__xludf.DUMMYFUNCTION("""COMPUTED_VALUE"""),"12/05/2026 17:10:40")</f>
        <v>12/05/2026 17:10:40</v>
      </c>
      <c r="C3811" s="35"/>
      <c r="D3811" s="10">
        <f>IFERROR(__xludf.DUMMYFUNCTION("""COMPUTED_VALUE"""),46154.0)</f>
        <v>46154</v>
      </c>
      <c r="E3811" s="35" t="str">
        <f>IFERROR(__xludf.DUMMYFUNCTION("""COMPUTED_VALUE"""),"05Mei")</f>
        <v>05Mei</v>
      </c>
      <c r="F3811" s="35"/>
      <c r="G3811" s="35" t="str">
        <f>IFERROR(__xludf.DUMMYFUNCTION("""COMPUTED_VALUE"""),"M.ROZALI")</f>
        <v>M.ROZALI</v>
      </c>
      <c r="H3811" s="35" t="str">
        <f>IFERROR(__xludf.DUMMYFUNCTION("""COMPUTED_VALUE"""),"M8426053002")</f>
        <v>M8426053002</v>
      </c>
      <c r="I3811" s="35">
        <f>IFERROR(__xludf.DUMMYFUNCTION("""COMPUTED_VALUE"""),41.0)</f>
        <v>41</v>
      </c>
      <c r="J3811" s="35" t="str">
        <f>IFERROR(__xludf.DUMMYFUNCTION("""COMPUTED_VALUE"""),"35-44 tahun")</f>
        <v>35-44 tahun</v>
      </c>
      <c r="K3811" s="35" t="str">
        <f>IFERROR(__xludf.DUMMYFUNCTION("""COMPUTED_VALUE"""),"28/12/1984")</f>
        <v>28/12/1984</v>
      </c>
      <c r="L3811" s="35" t="str">
        <f>IFERROR(__xludf.DUMMYFUNCTION("""COMPUTED_VALUE"""),"LAKI-LAKI")</f>
        <v>LAKI-LAKI</v>
      </c>
      <c r="M3811" s="35" t="str">
        <f>IFERROR(__xludf.DUMMYFUNCTION("""COMPUTED_VALUE"""),"KP,PRAMUKA")</f>
        <v>KP,PRAMUKA</v>
      </c>
      <c r="N3811" s="35" t="str">
        <f>IFERROR(__xludf.DUMMYFUNCTION("""COMPUTED_VALUE"""),"ANJUNGAN")</f>
        <v>ANJUNGAN</v>
      </c>
      <c r="O3811" s="35" t="str">
        <f>IFERROR(__xludf.DUMMYFUNCTION("""COMPUTED_VALUE"""),"ANJONGAN")</f>
        <v>ANJONGAN</v>
      </c>
      <c r="P3811" s="35" t="str">
        <f>IFERROR(__xludf.DUMMYFUNCTION("""COMPUTED_VALUE"""),"MEMPAWAH")</f>
        <v>MEMPAWAH</v>
      </c>
      <c r="Q3811" s="35" t="str">
        <f>IFERROR(__xludf.DUMMYFUNCTION("""COMPUTED_VALUE"""),"KALIMANTAN BARAT")</f>
        <v>KALIMANTAN BARAT</v>
      </c>
      <c r="R3811" s="35" t="str">
        <f>IFERROR(__xludf.DUMMYFUNCTION("""COMPUTED_VALUE"""),"ISLAM")</f>
        <v>ISLAM</v>
      </c>
      <c r="S3811" s="74" t="str">
        <f>IFERROR(__xludf.DUMMYFUNCTION("""COMPUTED_VALUE"""),"POLRI")</f>
        <v>POLRI</v>
      </c>
      <c r="T3811" s="35" t="str">
        <f>IFERROR(__xludf.DUMMYFUNCTION("""COMPUTED_VALUE"""),"SAKIT DI  SENDI MATA KAKI")</f>
        <v>SAKIT DI  SENDI MATA KAKI</v>
      </c>
      <c r="U3811" s="35" t="str">
        <f>IFERROR(__xludf.DUMMYFUNCTION("""COMPUTED_VALUE"""),"OLAHRAGA BADMINTON")</f>
        <v>OLAHRAGA BADMINTON</v>
      </c>
      <c r="V3811" s="35" t="str">
        <f>IFERROR(__xludf.DUMMYFUNCTION("""COMPUTED_VALUE"""),"081256303002")</f>
        <v>081256303002</v>
      </c>
      <c r="W3811" s="45"/>
    </row>
    <row r="3812">
      <c r="A3812" s="45"/>
      <c r="B3812" s="35" t="str">
        <f>IFERROR(__xludf.DUMMYFUNCTION("""COMPUTED_VALUE"""),"12/05/2026 18:54:45")</f>
        <v>12/05/2026 18:54:45</v>
      </c>
      <c r="C3812" s="35"/>
      <c r="D3812" s="10">
        <f>IFERROR(__xludf.DUMMYFUNCTION("""COMPUTED_VALUE"""),46154.0)</f>
        <v>46154</v>
      </c>
      <c r="E3812" s="35" t="str">
        <f>IFERROR(__xludf.DUMMYFUNCTION("""COMPUTED_VALUE"""),"05Mei")</f>
        <v>05Mei</v>
      </c>
      <c r="F3812" s="35"/>
      <c r="G3812" s="35" t="str">
        <f>IFERROR(__xludf.DUMMYFUNCTION("""COMPUTED_VALUE"""),"SRI RATNAWATI")</f>
        <v>SRI RATNAWATI</v>
      </c>
      <c r="H3812" s="35" t="str">
        <f>IFERROR(__xludf.DUMMYFUNCTION("""COMPUTED_VALUE"""),"S7226053356")</f>
        <v>S7226053356</v>
      </c>
      <c r="I3812" s="35">
        <f>IFERROR(__xludf.DUMMYFUNCTION("""COMPUTED_VALUE"""),53.0)</f>
        <v>53</v>
      </c>
      <c r="J3812" s="35" t="str">
        <f>IFERROR(__xludf.DUMMYFUNCTION("""COMPUTED_VALUE"""),"&gt; 44 tahun")</f>
        <v>&gt; 44 tahun</v>
      </c>
      <c r="K3812" s="35" t="str">
        <f>IFERROR(__xludf.DUMMYFUNCTION("""COMPUTED_VALUE"""),"10/09/1972")</f>
        <v>10/09/1972</v>
      </c>
      <c r="L3812" s="35" t="str">
        <f>IFERROR(__xludf.DUMMYFUNCTION("""COMPUTED_VALUE"""),"PEREMPUAN")</f>
        <v>PEREMPUAN</v>
      </c>
      <c r="M3812" s="35" t="str">
        <f>IFERROR(__xludf.DUMMYFUNCTION("""COMPUTED_VALUE"""),"GG. TEGAL REJO 2 NO. 17")</f>
        <v>GG. TEGAL REJO 2 NO. 17</v>
      </c>
      <c r="N3812" s="35" t="str">
        <f>IFERROR(__xludf.DUMMYFUNCTION("""COMPUTED_VALUE"""),"SUNGAI JAWI")</f>
        <v>SUNGAI JAWI</v>
      </c>
      <c r="O3812" s="35" t="str">
        <f>IFERROR(__xludf.DUMMYFUNCTION("""COMPUTED_VALUE"""),"PONTIANAK KOTA")</f>
        <v>PONTIANAK KOTA</v>
      </c>
      <c r="P3812" s="35" t="str">
        <f>IFERROR(__xludf.DUMMYFUNCTION("""COMPUTED_VALUE"""),"KOTA PONTIANAK")</f>
        <v>KOTA PONTIANAK</v>
      </c>
      <c r="Q3812" s="35" t="str">
        <f>IFERROR(__xludf.DUMMYFUNCTION("""COMPUTED_VALUE"""),"KALIMANTAN BARAT")</f>
        <v>KALIMANTAN BARAT</v>
      </c>
      <c r="R3812" s="35" t="str">
        <f>IFERROR(__xludf.DUMMYFUNCTION("""COMPUTED_VALUE"""),"ISLAM")</f>
        <v>ISLAM</v>
      </c>
      <c r="S3812" s="74" t="str">
        <f>IFERROR(__xludf.DUMMYFUNCTION("""COMPUTED_VALUE"""),"PEGAWAI WARUNG")</f>
        <v>PEGAWAI WARUNG</v>
      </c>
      <c r="T3812" s="35" t="str">
        <f>IFERROR(__xludf.DUMMYFUNCTION("""COMPUTED_VALUE"""),"SEMPAT KE DOKTER DAN KATANYA FROZEN SHOULDER TANGAN SEBELAH KANAN JADI GAK BISA DIANGKAT LURUS KE ATAS SAMA NYERI PERGELANGAN BAHU")</f>
        <v>SEMPAT KE DOKTER DAN KATANYA FROZEN SHOULDER TANGAN SEBELAH KANAN JADI GAK BISA DIANGKAT LURUS KE ATAS SAMA NYERI PERGELANGAN BAHU</v>
      </c>
      <c r="U3812" s="35" t="str">
        <f>IFERROR(__xludf.DUMMYFUNCTION("""COMPUTED_VALUE"""),"TIAP HARI MEMASAK DALAM JUMLAH BESAR KARENA PEKERJAAN")</f>
        <v>TIAP HARI MEMASAK DALAM JUMLAH BESAR KARENA PEKERJAAN</v>
      </c>
      <c r="V3812" s="35" t="str">
        <f>IFERROR(__xludf.DUMMYFUNCTION("""COMPUTED_VALUE"""),"087803273356")</f>
        <v>087803273356</v>
      </c>
      <c r="W3812" s="45"/>
    </row>
    <row r="3813">
      <c r="A3813" s="45"/>
      <c r="B3813" s="35" t="str">
        <f>IFERROR(__xludf.DUMMYFUNCTION("""COMPUTED_VALUE"""),"12/05/2026 19:08:39")</f>
        <v>12/05/2026 19:08:39</v>
      </c>
      <c r="C3813" s="35"/>
      <c r="D3813" s="10">
        <f>IFERROR(__xludf.DUMMYFUNCTION("""COMPUTED_VALUE"""),46154.0)</f>
        <v>46154</v>
      </c>
      <c r="E3813" s="35" t="str">
        <f>IFERROR(__xludf.DUMMYFUNCTION("""COMPUTED_VALUE"""),"05Mei")</f>
        <v>05Mei</v>
      </c>
      <c r="F3813" s="35"/>
      <c r="G3813" s="35" t="str">
        <f>IFERROR(__xludf.DUMMYFUNCTION("""COMPUTED_VALUE"""),"DARWIN TARIGAN")</f>
        <v>DARWIN TARIGAN</v>
      </c>
      <c r="H3813" s="35" t="str">
        <f>IFERROR(__xludf.DUMMYFUNCTION("""COMPUTED_VALUE"""),"D8526052798")</f>
        <v>D8526052798</v>
      </c>
      <c r="I3813" s="35">
        <f>IFERROR(__xludf.DUMMYFUNCTION("""COMPUTED_VALUE"""),40.0)</f>
        <v>40</v>
      </c>
      <c r="J3813" s="35" t="str">
        <f>IFERROR(__xludf.DUMMYFUNCTION("""COMPUTED_VALUE"""),"35-44 tahun")</f>
        <v>35-44 tahun</v>
      </c>
      <c r="K3813" s="35" t="str">
        <f>IFERROR(__xludf.DUMMYFUNCTION("""COMPUTED_VALUE"""),"07/10/1985")</f>
        <v>07/10/1985</v>
      </c>
      <c r="L3813" s="35" t="str">
        <f>IFERROR(__xludf.DUMMYFUNCTION("""COMPUTED_VALUE"""),"LAKI-LAKI")</f>
        <v>LAKI-LAKI</v>
      </c>
      <c r="M3813" s="35" t="str">
        <f>IFERROR(__xludf.DUMMYFUNCTION("""COMPUTED_VALUE"""),"JL. UTAMA NO. 178 MEDAN")</f>
        <v>JL. UTAMA NO. 178 MEDAN</v>
      </c>
      <c r="N3813" s="35" t="str">
        <f>IFERROR(__xludf.DUMMYFUNCTION("""COMPUTED_VALUE"""),"KOTA MATSUM II")</f>
        <v>KOTA MATSUM II</v>
      </c>
      <c r="O3813" s="35" t="str">
        <f>IFERROR(__xludf.DUMMYFUNCTION("""COMPUTED_VALUE"""),"MEDAN AREA")</f>
        <v>MEDAN AREA</v>
      </c>
      <c r="P3813" s="35" t="str">
        <f>IFERROR(__xludf.DUMMYFUNCTION("""COMPUTED_VALUE"""),"KOTA MESAN")</f>
        <v>KOTA MESAN</v>
      </c>
      <c r="Q3813" s="35" t="str">
        <f>IFERROR(__xludf.DUMMYFUNCTION("""COMPUTED_VALUE"""),"SUMATERA UTARA")</f>
        <v>SUMATERA UTARA</v>
      </c>
      <c r="R3813" s="35" t="str">
        <f>IFERROR(__xludf.DUMMYFUNCTION("""COMPUTED_VALUE"""),"ISLAM")</f>
        <v>ISLAM</v>
      </c>
      <c r="S3813" s="74" t="str">
        <f>IFERROR(__xludf.DUMMYFUNCTION("""COMPUTED_VALUE"""),"PNS")</f>
        <v>PNS</v>
      </c>
      <c r="T3813" s="35" t="str">
        <f>IFERROR(__xludf.DUMMYFUNCTION("""COMPUTED_VALUE"""),"BAGIAN KAKI KIRI")</f>
        <v>BAGIAN KAKI KIRI</v>
      </c>
      <c r="U3813" s="35" t="str">
        <f>IFERROR(__xludf.DUMMYFUNCTION("""COMPUTED_VALUE"""),"MINI SOCCER")</f>
        <v>MINI SOCCER</v>
      </c>
      <c r="V3813" s="35" t="str">
        <f>IFERROR(__xludf.DUMMYFUNCTION("""COMPUTED_VALUE"""),"081370872798")</f>
        <v>081370872798</v>
      </c>
      <c r="W3813" s="45"/>
    </row>
    <row r="3814">
      <c r="A3814" s="45"/>
      <c r="B3814" s="35" t="str">
        <f>IFERROR(__xludf.DUMMYFUNCTION("""COMPUTED_VALUE"""),"13/05/2026 11:21:59")</f>
        <v>13/05/2026 11:21:59</v>
      </c>
      <c r="C3814" s="35"/>
      <c r="D3814" s="10">
        <f>IFERROR(__xludf.DUMMYFUNCTION("""COMPUTED_VALUE"""),46155.0)</f>
        <v>46155</v>
      </c>
      <c r="E3814" s="35" t="str">
        <f>IFERROR(__xludf.DUMMYFUNCTION("""COMPUTED_VALUE"""),"05Mei")</f>
        <v>05Mei</v>
      </c>
      <c r="F3814" s="35"/>
      <c r="G3814" s="35" t="str">
        <f>IFERROR(__xludf.DUMMYFUNCTION("""COMPUTED_VALUE"""),"JUPRIL MARDA")</f>
        <v>JUPRIL MARDA</v>
      </c>
      <c r="H3814" s="35" t="str">
        <f>IFERROR(__xludf.DUMMYFUNCTION("""COMPUTED_VALUE"""),"J9526052855")</f>
        <v>J9526052855</v>
      </c>
      <c r="I3814" s="35">
        <f>IFERROR(__xludf.DUMMYFUNCTION("""COMPUTED_VALUE"""),31.0)</f>
        <v>31</v>
      </c>
      <c r="J3814" s="35" t="str">
        <f>IFERROR(__xludf.DUMMYFUNCTION("""COMPUTED_VALUE"""),"25-34 tahun")</f>
        <v>25-34 tahun</v>
      </c>
      <c r="K3814" s="35" t="str">
        <f>IFERROR(__xludf.DUMMYFUNCTION("""COMPUTED_VALUE"""),"17/04/1995")</f>
        <v>17/04/1995</v>
      </c>
      <c r="L3814" s="35" t="str">
        <f>IFERROR(__xludf.DUMMYFUNCTION("""COMPUTED_VALUE"""),"LAKI-LAKI")</f>
        <v>LAKI-LAKI</v>
      </c>
      <c r="M3814" s="35" t="str">
        <f>IFERROR(__xludf.DUMMYFUNCTION("""COMPUTED_VALUE"""),"JLN KEBANGKITTAN NASIONAL")</f>
        <v>JLN KEBANGKITTAN NASIONAL</v>
      </c>
      <c r="N3814" s="35" t="str">
        <f>IFERROR(__xludf.DUMMYFUNCTION("""COMPUTED_VALUE"""),"BATU LAYAMG")</f>
        <v>BATU LAYAMG</v>
      </c>
      <c r="O3814" s="35" t="str">
        <f>IFERROR(__xludf.DUMMYFUNCTION("""COMPUTED_VALUE"""),"PONTIANAK UTARA")</f>
        <v>PONTIANAK UTARA</v>
      </c>
      <c r="P3814" s="35" t="str">
        <f>IFERROR(__xludf.DUMMYFUNCTION("""COMPUTED_VALUE"""),"PONTIANAK")</f>
        <v>PONTIANAK</v>
      </c>
      <c r="Q3814" s="35" t="str">
        <f>IFERROR(__xludf.DUMMYFUNCTION("""COMPUTED_VALUE"""),"KALIMANTAN BARAT")</f>
        <v>KALIMANTAN BARAT</v>
      </c>
      <c r="R3814" s="35" t="str">
        <f>IFERROR(__xludf.DUMMYFUNCTION("""COMPUTED_VALUE"""),"ISLAM")</f>
        <v>ISLAM</v>
      </c>
      <c r="S3814" s="74" t="str">
        <f>IFERROR(__xludf.DUMMYFUNCTION("""COMPUTED_VALUE"""),"KARYAWAN SWASTA")</f>
        <v>KARYAWAN SWASTA</v>
      </c>
      <c r="T3814" s="35" t="str">
        <f>IFERROR(__xludf.DUMMYFUNCTION("""COMPUTED_VALUE"""),"NYRI DIBAHU")</f>
        <v>NYRI DIBAHU</v>
      </c>
      <c r="U3814" s="35" t="str">
        <f>IFERROR(__xludf.DUMMYFUNCTION("""COMPUTED_VALUE"""),"GYM")</f>
        <v>GYM</v>
      </c>
      <c r="V3814" s="35" t="str">
        <f>IFERROR(__xludf.DUMMYFUNCTION("""COMPUTED_VALUE"""),"082255702855")</f>
        <v>082255702855</v>
      </c>
      <c r="W3814" s="45"/>
    </row>
    <row r="3815">
      <c r="A3815" s="45"/>
      <c r="B3815" s="35" t="str">
        <f>IFERROR(__xludf.DUMMYFUNCTION("""COMPUTED_VALUE"""),"13/05/2026 14:12:09")</f>
        <v>13/05/2026 14:12:09</v>
      </c>
      <c r="C3815" s="35"/>
      <c r="D3815" s="10">
        <f>IFERROR(__xludf.DUMMYFUNCTION("""COMPUTED_VALUE"""),46155.0)</f>
        <v>46155</v>
      </c>
      <c r="E3815" s="35" t="str">
        <f>IFERROR(__xludf.DUMMYFUNCTION("""COMPUTED_VALUE"""),"05Mei")</f>
        <v>05Mei</v>
      </c>
      <c r="F3815" s="35"/>
      <c r="G3815" s="35" t="str">
        <f>IFERROR(__xludf.DUMMYFUNCTION("""COMPUTED_VALUE"""),"HJ HALIJAH")</f>
        <v>HJ HALIJAH</v>
      </c>
      <c r="H3815" s="35" t="str">
        <f>IFERROR(__xludf.DUMMYFUNCTION("""COMPUTED_VALUE"""),"H6226055912")</f>
        <v>H6226055912</v>
      </c>
      <c r="I3815" s="35">
        <f>IFERROR(__xludf.DUMMYFUNCTION("""COMPUTED_VALUE"""),64.0)</f>
        <v>64</v>
      </c>
      <c r="J3815" s="35" t="str">
        <f>IFERROR(__xludf.DUMMYFUNCTION("""COMPUTED_VALUE"""),"&gt; 44 tahun")</f>
        <v>&gt; 44 tahun</v>
      </c>
      <c r="K3815" s="35" t="str">
        <f>IFERROR(__xludf.DUMMYFUNCTION("""COMPUTED_VALUE"""),"15/03/1962")</f>
        <v>15/03/1962</v>
      </c>
      <c r="L3815" s="35" t="str">
        <f>IFERROR(__xludf.DUMMYFUNCTION("""COMPUTED_VALUE"""),"PEREMPUAN")</f>
        <v>PEREMPUAN</v>
      </c>
      <c r="M3815" s="35" t="str">
        <f>IFERROR(__xludf.DUMMYFUNCTION("""COMPUTED_VALUE"""),"JL TELUK PAKEDAI II")</f>
        <v>JL TELUK PAKEDAI II</v>
      </c>
      <c r="N3815" s="35" t="str">
        <f>IFERROR(__xludf.DUMMYFUNCTION("""COMPUTED_VALUE"""),"TELUK PAKEDAI II")</f>
        <v>TELUK PAKEDAI II</v>
      </c>
      <c r="O3815" s="35" t="str">
        <f>IFERROR(__xludf.DUMMYFUNCTION("""COMPUTED_VALUE"""),"TELUK PAKEDAI")</f>
        <v>TELUK PAKEDAI</v>
      </c>
      <c r="P3815" s="35" t="str">
        <f>IFERROR(__xludf.DUMMYFUNCTION("""COMPUTED_VALUE"""),"PONTIANAK")</f>
        <v>PONTIANAK</v>
      </c>
      <c r="Q3815" s="35" t="str">
        <f>IFERROR(__xludf.DUMMYFUNCTION("""COMPUTED_VALUE"""),"KALIMANTAN BARAT")</f>
        <v>KALIMANTAN BARAT</v>
      </c>
      <c r="R3815" s="35" t="str">
        <f>IFERROR(__xludf.DUMMYFUNCTION("""COMPUTED_VALUE"""),"ISLAM")</f>
        <v>ISLAM</v>
      </c>
      <c r="S3815" s="74" t="str">
        <f>IFERROR(__xludf.DUMMYFUNCTION("""COMPUTED_VALUE"""),"IRT")</f>
        <v>IRT</v>
      </c>
      <c r="T3815" s="35" t="str">
        <f>IFERROR(__xludf.DUMMYFUNCTION("""COMPUTED_VALUE"""),"LUTUT")</f>
        <v>LUTUT</v>
      </c>
      <c r="U3815" s="35" t="str">
        <f>IFERROR(__xludf.DUMMYFUNCTION("""COMPUTED_VALUE"""),"-")</f>
        <v>-</v>
      </c>
      <c r="V3815" s="35" t="str">
        <f>IFERROR(__xludf.DUMMYFUNCTION("""COMPUTED_VALUE"""),"081349725912")</f>
        <v>081349725912</v>
      </c>
      <c r="W3815" s="45"/>
    </row>
    <row r="3816">
      <c r="A3816" s="45"/>
      <c r="B3816" s="35" t="str">
        <f>IFERROR(__xludf.DUMMYFUNCTION("""COMPUTED_VALUE"""),"13/05/2026 19:23:40")</f>
        <v>13/05/2026 19:23:40</v>
      </c>
      <c r="C3816" s="35"/>
      <c r="D3816" s="10">
        <f>IFERROR(__xludf.DUMMYFUNCTION("""COMPUTED_VALUE"""),46155.0)</f>
        <v>46155</v>
      </c>
      <c r="E3816" s="35" t="str">
        <f>IFERROR(__xludf.DUMMYFUNCTION("""COMPUTED_VALUE"""),"05Mei")</f>
        <v>05Mei</v>
      </c>
      <c r="F3816" s="35"/>
      <c r="G3816" s="35" t="str">
        <f>IFERROR(__xludf.DUMMYFUNCTION("""COMPUTED_VALUE"""),"HJ RITA")</f>
        <v>HJ RITA</v>
      </c>
      <c r="H3816" s="35" t="str">
        <f>IFERROR(__xludf.DUMMYFUNCTION("""COMPUTED_VALUE"""),"H6926050314")</f>
        <v>H6926050314</v>
      </c>
      <c r="I3816" s="35">
        <f>IFERROR(__xludf.DUMMYFUNCTION("""COMPUTED_VALUE"""),56.0)</f>
        <v>56</v>
      </c>
      <c r="J3816" s="35" t="str">
        <f>IFERROR(__xludf.DUMMYFUNCTION("""COMPUTED_VALUE"""),"&gt; 44 tahun")</f>
        <v>&gt; 44 tahun</v>
      </c>
      <c r="K3816" s="35" t="str">
        <f>IFERROR(__xludf.DUMMYFUNCTION("""COMPUTED_VALUE"""),"27/11/1969")</f>
        <v>27/11/1969</v>
      </c>
      <c r="L3816" s="35" t="str">
        <f>IFERROR(__xludf.DUMMYFUNCTION("""COMPUTED_VALUE"""),"PEREMPUAN")</f>
        <v>PEREMPUAN</v>
      </c>
      <c r="M3816" s="35" t="str">
        <f>IFERROR(__xludf.DUMMYFUNCTION("""COMPUTED_VALUE"""),"DSN SIMPANG EMPAT")</f>
        <v>DSN SIMPANG EMPAT</v>
      </c>
      <c r="N3816" s="35" t="str">
        <f>IFERROR(__xludf.DUMMYFUNCTION("""COMPUTED_VALUE"""),"SIMPANG EMPAT")</f>
        <v>SIMPANG EMPAT</v>
      </c>
      <c r="O3816" s="35" t="str">
        <f>IFERROR(__xludf.DUMMYFUNCTION("""COMPUTED_VALUE"""),"TANGGARAN")</f>
        <v>TANGGARAN</v>
      </c>
      <c r="P3816" s="35" t="str">
        <f>IFERROR(__xludf.DUMMYFUNCTION("""COMPUTED_VALUE"""),"PONTIANAK")</f>
        <v>PONTIANAK</v>
      </c>
      <c r="Q3816" s="35" t="str">
        <f>IFERROR(__xludf.DUMMYFUNCTION("""COMPUTED_VALUE"""),"KALIMANTAN BARAT")</f>
        <v>KALIMANTAN BARAT</v>
      </c>
      <c r="R3816" s="35" t="str">
        <f>IFERROR(__xludf.DUMMYFUNCTION("""COMPUTED_VALUE"""),"ISLAM")</f>
        <v>ISLAM</v>
      </c>
      <c r="S3816" s="74" t="str">
        <f>IFERROR(__xludf.DUMMYFUNCTION("""COMPUTED_VALUE"""),"WIRASWASTA")</f>
        <v>WIRASWASTA</v>
      </c>
      <c r="T3816" s="35" t="str">
        <f>IFERROR(__xludf.DUMMYFUNCTION("""COMPUTED_VALUE"""),"NYERI PINGGANG DAN SARAF KEJEPIT")</f>
        <v>NYERI PINGGANG DAN SARAF KEJEPIT</v>
      </c>
      <c r="U3816" s="35" t="str">
        <f>IFERROR(__xludf.DUMMYFUNCTION("""COMPUTED_VALUE"""),"-")</f>
        <v>-</v>
      </c>
      <c r="V3816" s="35" t="str">
        <f>IFERROR(__xludf.DUMMYFUNCTION("""COMPUTED_VALUE"""),"0895376930314")</f>
        <v>0895376930314</v>
      </c>
      <c r="W3816" s="45"/>
    </row>
    <row r="3817">
      <c r="A3817" s="45"/>
      <c r="B3817" s="35" t="str">
        <f>IFERROR(__xludf.DUMMYFUNCTION("""COMPUTED_VALUE"""),"13/05/2026 19:51:47")</f>
        <v>13/05/2026 19:51:47</v>
      </c>
      <c r="C3817" s="35"/>
      <c r="D3817" s="10">
        <f>IFERROR(__xludf.DUMMYFUNCTION("""COMPUTED_VALUE"""),46155.0)</f>
        <v>46155</v>
      </c>
      <c r="E3817" s="35" t="str">
        <f>IFERROR(__xludf.DUMMYFUNCTION("""COMPUTED_VALUE"""),"05Mei")</f>
        <v>05Mei</v>
      </c>
      <c r="F3817" s="35"/>
      <c r="G3817" s="35" t="str">
        <f>IFERROR(__xludf.DUMMYFUNCTION("""COMPUTED_VALUE"""),"ANNY MAYESTI")</f>
        <v>ANNY MAYESTI</v>
      </c>
      <c r="H3817" s="35" t="str">
        <f>IFERROR(__xludf.DUMMYFUNCTION("""COMPUTED_VALUE"""),"A6726059726")</f>
        <v>A6726059726</v>
      </c>
      <c r="I3817" s="35">
        <f>IFERROR(__xludf.DUMMYFUNCTION("""COMPUTED_VALUE"""),59.0)</f>
        <v>59</v>
      </c>
      <c r="J3817" s="35" t="str">
        <f>IFERROR(__xludf.DUMMYFUNCTION("""COMPUTED_VALUE"""),"&gt; 44 tahun")</f>
        <v>&gt; 44 tahun</v>
      </c>
      <c r="K3817" s="35" t="str">
        <f>IFERROR(__xludf.DUMMYFUNCTION("""COMPUTED_VALUE"""),"13/05/1967")</f>
        <v>13/05/1967</v>
      </c>
      <c r="L3817" s="35" t="str">
        <f>IFERROR(__xludf.DUMMYFUNCTION("""COMPUTED_VALUE"""),"PEREMPUAN")</f>
        <v>PEREMPUAN</v>
      </c>
      <c r="M3817" s="35" t="str">
        <f>IFERROR(__xludf.DUMMYFUNCTION("""COMPUTED_VALUE"""),"BALAI BERKUAK")</f>
        <v>BALAI BERKUAK</v>
      </c>
      <c r="N3817" s="35" t="str">
        <f>IFERROR(__xludf.DUMMYFUNCTION("""COMPUTED_VALUE"""),"BALAI PINANG")</f>
        <v>BALAI PINANG</v>
      </c>
      <c r="O3817" s="35" t="str">
        <f>IFERROR(__xludf.DUMMYFUNCTION("""COMPUTED_VALUE"""),"SIMPANG HULU")</f>
        <v>SIMPANG HULU</v>
      </c>
      <c r="P3817" s="35" t="str">
        <f>IFERROR(__xludf.DUMMYFUNCTION("""COMPUTED_VALUE"""),"BENGKAYANG")</f>
        <v>BENGKAYANG</v>
      </c>
      <c r="Q3817" s="35" t="str">
        <f>IFERROR(__xludf.DUMMYFUNCTION("""COMPUTED_VALUE"""),"KALIMANTAN BARAT")</f>
        <v>KALIMANTAN BARAT</v>
      </c>
      <c r="R3817" s="35" t="str">
        <f>IFERROR(__xludf.DUMMYFUNCTION("""COMPUTED_VALUE"""),"KATOLIK")</f>
        <v>KATOLIK</v>
      </c>
      <c r="S3817" s="74" t="str">
        <f>IFERROR(__xludf.DUMMYFUNCTION("""COMPUTED_VALUE"""),"GURU")</f>
        <v>GURU</v>
      </c>
      <c r="T3817" s="35" t="str">
        <f>IFERROR(__xludf.DUMMYFUNCTION("""COMPUTED_VALUE"""),"PINGGANG NYERI")</f>
        <v>PINGGANG NYERI</v>
      </c>
      <c r="U3817" s="35" t="str">
        <f>IFERROR(__xludf.DUMMYFUNCTION("""COMPUTED_VALUE"""),"-")</f>
        <v>-</v>
      </c>
      <c r="V3817" s="35" t="str">
        <f>IFERROR(__xludf.DUMMYFUNCTION("""COMPUTED_VALUE"""),"082158409726")</f>
        <v>082158409726</v>
      </c>
      <c r="W3817" s="45"/>
    </row>
    <row r="3818">
      <c r="A3818" s="45"/>
      <c r="B3818" s="35" t="str">
        <f>IFERROR(__xludf.DUMMYFUNCTION("""COMPUTED_VALUE"""),"15/05/2026 9:19:32")</f>
        <v>15/05/2026 9:19:32</v>
      </c>
      <c r="C3818" s="35"/>
      <c r="D3818" s="10">
        <f>IFERROR(__xludf.DUMMYFUNCTION("""COMPUTED_VALUE"""),46157.0)</f>
        <v>46157</v>
      </c>
      <c r="E3818" s="35" t="str">
        <f>IFERROR(__xludf.DUMMYFUNCTION("""COMPUTED_VALUE"""),"05Mei")</f>
        <v>05Mei</v>
      </c>
      <c r="F3818" s="35"/>
      <c r="G3818" s="35" t="str">
        <f>IFERROR(__xludf.DUMMYFUNCTION("""COMPUTED_VALUE"""),"HJ SUMARNI")</f>
        <v>HJ SUMARNI</v>
      </c>
      <c r="H3818" s="35" t="str">
        <f>IFERROR(__xludf.DUMMYFUNCTION("""COMPUTED_VALUE"""),"H6426056966")</f>
        <v>H6426056966</v>
      </c>
      <c r="I3818" s="35">
        <f>IFERROR(__xludf.DUMMYFUNCTION("""COMPUTED_VALUE"""),61.0)</f>
        <v>61</v>
      </c>
      <c r="J3818" s="35" t="str">
        <f>IFERROR(__xludf.DUMMYFUNCTION("""COMPUTED_VALUE"""),"&gt; 44 tahun")</f>
        <v>&gt; 44 tahun</v>
      </c>
      <c r="K3818" s="35" t="str">
        <f>IFERROR(__xludf.DUMMYFUNCTION("""COMPUTED_VALUE"""),"21/12/1964")</f>
        <v>21/12/1964</v>
      </c>
      <c r="L3818" s="35" t="str">
        <f>IFERROR(__xludf.DUMMYFUNCTION("""COMPUTED_VALUE"""),"PEREMPUAN")</f>
        <v>PEREMPUAN</v>
      </c>
      <c r="M3818" s="35" t="str">
        <f>IFERROR(__xludf.DUMMYFUNCTION("""COMPUTED_VALUE"""),"JALAN PERDAMAIAN")</f>
        <v>JALAN PERDAMAIAN</v>
      </c>
      <c r="N3818" s="35" t="str">
        <f>IFERROR(__xludf.DUMMYFUNCTION("""COMPUTED_VALUE"""),"PAL 9")</f>
        <v>PAL 9</v>
      </c>
      <c r="O3818" s="35" t="str">
        <f>IFERROR(__xludf.DUMMYFUNCTION("""COMPUTED_VALUE"""),"SUI KAKAP")</f>
        <v>SUI KAKAP</v>
      </c>
      <c r="P3818" s="35" t="str">
        <f>IFERROR(__xludf.DUMMYFUNCTION("""COMPUTED_VALUE"""),"KUBU RAYA")</f>
        <v>KUBU RAYA</v>
      </c>
      <c r="Q3818" s="35" t="str">
        <f>IFERROR(__xludf.DUMMYFUNCTION("""COMPUTED_VALUE"""),"KALIMANTAN BARAT")</f>
        <v>KALIMANTAN BARAT</v>
      </c>
      <c r="R3818" s="35" t="str">
        <f>IFERROR(__xludf.DUMMYFUNCTION("""COMPUTED_VALUE"""),"ISLAM")</f>
        <v>ISLAM</v>
      </c>
      <c r="S3818" s="74" t="str">
        <f>IFERROR(__xludf.DUMMYFUNCTION("""COMPUTED_VALUE"""),"IRT")</f>
        <v>IRT</v>
      </c>
      <c r="T3818" s="35" t="str">
        <f>IFERROR(__xludf.DUMMYFUNCTION("""COMPUTED_VALUE"""),"POST OPERASI GANTI LUTUT")</f>
        <v>POST OPERASI GANTI LUTUT</v>
      </c>
      <c r="U3818" s="35" t="str">
        <f>IFERROR(__xludf.DUMMYFUNCTION("""COMPUTED_VALUE"""),"IRT")</f>
        <v>IRT</v>
      </c>
      <c r="V3818" s="35" t="str">
        <f>IFERROR(__xludf.DUMMYFUNCTION("""COMPUTED_VALUE"""),"081231756966")</f>
        <v>081231756966</v>
      </c>
      <c r="W3818" s="45"/>
    </row>
    <row r="3819">
      <c r="A3819" s="45"/>
      <c r="B3819" s="35" t="str">
        <f>IFERROR(__xludf.DUMMYFUNCTION("""COMPUTED_VALUE"""),"15/05/2026 10:03:09")</f>
        <v>15/05/2026 10:03:09</v>
      </c>
      <c r="C3819" s="35"/>
      <c r="D3819" s="10">
        <f>IFERROR(__xludf.DUMMYFUNCTION("""COMPUTED_VALUE"""),46157.0)</f>
        <v>46157</v>
      </c>
      <c r="E3819" s="35" t="str">
        <f>IFERROR(__xludf.DUMMYFUNCTION("""COMPUTED_VALUE"""),"05Mei")</f>
        <v>05Mei</v>
      </c>
      <c r="F3819" s="35"/>
      <c r="G3819" s="35" t="str">
        <f>IFERROR(__xludf.DUMMYFUNCTION("""COMPUTED_VALUE"""),"CUI FA")</f>
        <v>CUI FA</v>
      </c>
      <c r="H3819" s="35" t="str">
        <f>IFERROR(__xludf.DUMMYFUNCTION("""COMPUTED_VALUE"""),"C6826057609")</f>
        <v>C6826057609</v>
      </c>
      <c r="I3819" s="35">
        <f>IFERROR(__xludf.DUMMYFUNCTION("""COMPUTED_VALUE"""),57.0)</f>
        <v>57</v>
      </c>
      <c r="J3819" s="35" t="str">
        <f>IFERROR(__xludf.DUMMYFUNCTION("""COMPUTED_VALUE"""),"&gt; 44 tahun")</f>
        <v>&gt; 44 tahun</v>
      </c>
      <c r="K3819" s="35" t="str">
        <f>IFERROR(__xludf.DUMMYFUNCTION("""COMPUTED_VALUE"""),"18/08/1968")</f>
        <v>18/08/1968</v>
      </c>
      <c r="L3819" s="35" t="str">
        <f>IFERROR(__xludf.DUMMYFUNCTION("""COMPUTED_VALUE"""),"PEREMPUAN")</f>
        <v>PEREMPUAN</v>
      </c>
      <c r="M3819" s="35" t="str">
        <f>IFERROR(__xludf.DUMMYFUNCTION("""COMPUTED_VALUE"""),"GG. SWAKARYA 2")</f>
        <v>GG. SWAKARYA 2</v>
      </c>
      <c r="N3819" s="35" t="str">
        <f>IFERROR(__xludf.DUMMYFUNCTION("""COMPUTED_VALUE"""),"KOTA BARU")</f>
        <v>KOTA BARU</v>
      </c>
      <c r="O3819" s="35" t="str">
        <f>IFERROR(__xludf.DUMMYFUNCTION("""COMPUTED_VALUE"""),"PONTIANAK SELATAN")</f>
        <v>PONTIANAK SELATAN</v>
      </c>
      <c r="P3819" s="35" t="str">
        <f>IFERROR(__xludf.DUMMYFUNCTION("""COMPUTED_VALUE"""),"KOTA PONTIANAK")</f>
        <v>KOTA PONTIANAK</v>
      </c>
      <c r="Q3819" s="35" t="str">
        <f>IFERROR(__xludf.DUMMYFUNCTION("""COMPUTED_VALUE"""),"KALIMANTAN BARAT")</f>
        <v>KALIMANTAN BARAT</v>
      </c>
      <c r="R3819" s="35" t="str">
        <f>IFERROR(__xludf.DUMMYFUNCTION("""COMPUTED_VALUE"""),"PROTESTAN")</f>
        <v>PROTESTAN</v>
      </c>
      <c r="S3819" s="74" t="str">
        <f>IFERROR(__xludf.DUMMYFUNCTION("""COMPUTED_VALUE"""),"-")</f>
        <v>-</v>
      </c>
      <c r="T3819" s="35" t="str">
        <f>IFERROR(__xludf.DUMMYFUNCTION("""COMPUTED_VALUE"""),"KAKI SAKIT, KARNA SBLM NYA TERPELESET")</f>
        <v>KAKI SAKIT, KARNA SBLM NYA TERPELESET</v>
      </c>
      <c r="U3819" s="35" t="str">
        <f>IFERROR(__xludf.DUMMYFUNCTION("""COMPUTED_VALUE"""),"-")</f>
        <v>-</v>
      </c>
      <c r="V3819" s="35" t="str">
        <f>IFERROR(__xludf.DUMMYFUNCTION("""COMPUTED_VALUE"""),"089521297609")</f>
        <v>089521297609</v>
      </c>
      <c r="W3819" s="45"/>
    </row>
    <row r="3820">
      <c r="A3820" s="45"/>
      <c r="B3820" s="35" t="str">
        <f>IFERROR(__xludf.DUMMYFUNCTION("""COMPUTED_VALUE"""),"15/05/2026 10:44:30")</f>
        <v>15/05/2026 10:44:30</v>
      </c>
      <c r="C3820" s="35"/>
      <c r="D3820" s="10">
        <f>IFERROR(__xludf.DUMMYFUNCTION("""COMPUTED_VALUE"""),46157.0)</f>
        <v>46157</v>
      </c>
      <c r="E3820" s="35" t="str">
        <f>IFERROR(__xludf.DUMMYFUNCTION("""COMPUTED_VALUE"""),"05Mei")</f>
        <v>05Mei</v>
      </c>
      <c r="F3820" s="35"/>
      <c r="G3820" s="35" t="str">
        <f>IFERROR(__xludf.DUMMYFUNCTION("""COMPUTED_VALUE"""),"PUTRI DUTA SENOPATI")</f>
        <v>PUTRI DUTA SENOPATI</v>
      </c>
      <c r="H3820" s="35" t="str">
        <f>IFERROR(__xludf.DUMMYFUNCTION("""COMPUTED_VALUE"""),"P0026052666")</f>
        <v>P0026052666</v>
      </c>
      <c r="I3820" s="35">
        <f>IFERROR(__xludf.DUMMYFUNCTION("""COMPUTED_VALUE"""),26.0)</f>
        <v>26</v>
      </c>
      <c r="J3820" s="35" t="str">
        <f>IFERROR(__xludf.DUMMYFUNCTION("""COMPUTED_VALUE"""),"25-34 tahun")</f>
        <v>25-34 tahun</v>
      </c>
      <c r="K3820" s="35" t="str">
        <f>IFERROR(__xludf.DUMMYFUNCTION("""COMPUTED_VALUE"""),"23/02/2000")</f>
        <v>23/02/2000</v>
      </c>
      <c r="L3820" s="35" t="str">
        <f>IFERROR(__xludf.DUMMYFUNCTION("""COMPUTED_VALUE"""),"PEREMPUAN")</f>
        <v>PEREMPUAN</v>
      </c>
      <c r="M3820" s="35" t="str">
        <f>IFERROR(__xludf.DUMMYFUNCTION("""COMPUTED_VALUE"""),"JALAN APEL KOMPLEK PEMDA JALUR D 87")</f>
        <v>JALAN APEL KOMPLEK PEMDA JALUR D 87</v>
      </c>
      <c r="N3820" s="35" t="str">
        <f>IFERROR(__xludf.DUMMYFUNCTION("""COMPUTED_VALUE"""),"SUNGAI JAWI LUAR")</f>
        <v>SUNGAI JAWI LUAR</v>
      </c>
      <c r="O3820" s="35" t="str">
        <f>IFERROR(__xludf.DUMMYFUNCTION("""COMPUTED_VALUE"""),"PONTIANAK BARAT")</f>
        <v>PONTIANAK BARAT</v>
      </c>
      <c r="P3820" s="35" t="str">
        <f>IFERROR(__xludf.DUMMYFUNCTION("""COMPUTED_VALUE"""),"PONTIANAK ")</f>
        <v>PONTIANAK </v>
      </c>
      <c r="Q3820" s="35" t="str">
        <f>IFERROR(__xludf.DUMMYFUNCTION("""COMPUTED_VALUE"""),"KALIMANTAN BARAT")</f>
        <v>KALIMANTAN BARAT</v>
      </c>
      <c r="R3820" s="35" t="str">
        <f>IFERROR(__xludf.DUMMYFUNCTION("""COMPUTED_VALUE"""),"ISLAM")</f>
        <v>ISLAM</v>
      </c>
      <c r="S3820" s="74" t="str">
        <f>IFERROR(__xludf.DUMMYFUNCTION("""COMPUTED_VALUE"""),"PRANATA LABKES")</f>
        <v>PRANATA LABKES</v>
      </c>
      <c r="T3820" s="35" t="str">
        <f>IFERROR(__xludf.DUMMYFUNCTION("""COMPUTED_VALUE"""),"NYERI PADA PINGGUL HINGGA KE BAGIAN BELAKANG ±1 MINGGU, MULAI TERASA SAKIT SAAT DIBAWA JALAN")</f>
        <v>NYERI PADA PINGGUL HINGGA KE BAGIAN BELAKANG ±1 MINGGU, MULAI TERASA SAKIT SAAT DIBAWA JALAN</v>
      </c>
      <c r="U3820" s="35" t="str">
        <f>IFERROR(__xludf.DUMMYFUNCTION("""COMPUTED_VALUE"""),"JOGGING/RUNNING")</f>
        <v>JOGGING/RUNNING</v>
      </c>
      <c r="V3820" s="35" t="str">
        <f>IFERROR(__xludf.DUMMYFUNCTION("""COMPUTED_VALUE"""),"087703562666")</f>
        <v>087703562666</v>
      </c>
      <c r="W3820" s="45"/>
    </row>
    <row r="3821">
      <c r="A3821" s="45"/>
      <c r="B3821" s="35" t="str">
        <f>IFERROR(__xludf.DUMMYFUNCTION("""COMPUTED_VALUE"""),"15/05/2026 10:55:17")</f>
        <v>15/05/2026 10:55:17</v>
      </c>
      <c r="C3821" s="35"/>
      <c r="D3821" s="10">
        <f>IFERROR(__xludf.DUMMYFUNCTION("""COMPUTED_VALUE"""),46157.0)</f>
        <v>46157</v>
      </c>
      <c r="E3821" s="35" t="str">
        <f>IFERROR(__xludf.DUMMYFUNCTION("""COMPUTED_VALUE"""),"05Mei")</f>
        <v>05Mei</v>
      </c>
      <c r="F3821" s="35"/>
      <c r="G3821" s="35" t="str">
        <f>IFERROR(__xludf.DUMMYFUNCTION("""COMPUTED_VALUE"""),"SARAH JEMBARANITA ")</f>
        <v>SARAH JEMBARANITA </v>
      </c>
      <c r="H3821" s="35" t="str">
        <f>IFERROR(__xludf.DUMMYFUNCTION("""COMPUTED_VALUE"""),"S9926057229")</f>
        <v>S9926057229</v>
      </c>
      <c r="I3821" s="35">
        <f>IFERROR(__xludf.DUMMYFUNCTION("""COMPUTED_VALUE"""),27.0)</f>
        <v>27</v>
      </c>
      <c r="J3821" s="35" t="str">
        <f>IFERROR(__xludf.DUMMYFUNCTION("""COMPUTED_VALUE"""),"25-34 tahun")</f>
        <v>25-34 tahun</v>
      </c>
      <c r="K3821" s="35" t="str">
        <f>IFERROR(__xludf.DUMMYFUNCTION("""COMPUTED_VALUE"""),"08/05/1999")</f>
        <v>08/05/1999</v>
      </c>
      <c r="L3821" s="35" t="str">
        <f>IFERROR(__xludf.DUMMYFUNCTION("""COMPUTED_VALUE"""),"PEREMPUAN")</f>
        <v>PEREMPUAN</v>
      </c>
      <c r="M3821" s="35" t="str">
        <f>IFERROR(__xludf.DUMMYFUNCTION("""COMPUTED_VALUE"""),"JL. K. H. AGUS SALIM, GG. H. UMAR NO. 5")</f>
        <v>JL. K. H. AGUS SALIM, GG. H. UMAR NO. 5</v>
      </c>
      <c r="N3821" s="35" t="str">
        <f>IFERROR(__xludf.DUMMYFUNCTION("""COMPUTED_VALUE"""),"SAMPIT ")</f>
        <v>SAMPIT </v>
      </c>
      <c r="O3821" s="35" t="str">
        <f>IFERROR(__xludf.DUMMYFUNCTION("""COMPUTED_VALUE"""),"DELTA PAWAN")</f>
        <v>DELTA PAWAN</v>
      </c>
      <c r="P3821" s="35" t="str">
        <f>IFERROR(__xludf.DUMMYFUNCTION("""COMPUTED_VALUE"""),"KETAPANG ")</f>
        <v>KETAPANG </v>
      </c>
      <c r="Q3821" s="35" t="str">
        <f>IFERROR(__xludf.DUMMYFUNCTION("""COMPUTED_VALUE"""),"KALIMANTAN BARAT")</f>
        <v>KALIMANTAN BARAT</v>
      </c>
      <c r="R3821" s="35" t="str">
        <f>IFERROR(__xludf.DUMMYFUNCTION("""COMPUTED_VALUE"""),"ISLAM")</f>
        <v>ISLAM</v>
      </c>
      <c r="S3821" s="74" t="str">
        <f>IFERROR(__xludf.DUMMYFUNCTION("""COMPUTED_VALUE"""),"GURU SD")</f>
        <v>GURU SD</v>
      </c>
      <c r="T3821" s="35" t="str">
        <f>IFERROR(__xludf.DUMMYFUNCTION("""COMPUTED_VALUE"""),"KELUHANNYA NYERI DI BAGIAN LUTUT DAN PANGKAL PAHA SUDAH SEKITAR SEMINGGU, RASA NYERINYA HILANG-DATANG (KAKI KANAN). TIDAK ADA JATUH ATAU NABRAK. DIMINGGU SEBELUMNYA TERASA PEGAL SEKALI DI BAGIAN KEDUA BETIS.")</f>
        <v>KELUHANNYA NYERI DI BAGIAN LUTUT DAN PANGKAL PAHA SUDAH SEKITAR SEMINGGU, RASA NYERINYA HILANG-DATANG (KAKI KANAN). TIDAK ADA JATUH ATAU NABRAK. DIMINGGU SEBELUMNYA TERASA PEGAL SEKALI DI BAGIAN KEDUA BETIS.</v>
      </c>
      <c r="U3821" s="35" t="str">
        <f>IFERROR(__xludf.DUMMYFUNCTION("""COMPUTED_VALUE"""),"NAIK-TURUN TANGGA ")</f>
        <v>NAIK-TURUN TANGGA </v>
      </c>
      <c r="V3821" s="35" t="str">
        <f>IFERROR(__xludf.DUMMYFUNCTION("""COMPUTED_VALUE"""),"089620657229")</f>
        <v>089620657229</v>
      </c>
      <c r="W3821" s="45"/>
    </row>
    <row r="3822">
      <c r="A3822" s="45"/>
      <c r="B3822" s="35" t="str">
        <f>IFERROR(__xludf.DUMMYFUNCTION("""COMPUTED_VALUE"""),"14/05/2026 16:31:01")</f>
        <v>14/05/2026 16:31:01</v>
      </c>
      <c r="C3822" s="35"/>
      <c r="D3822" s="10">
        <f>IFERROR(__xludf.DUMMYFUNCTION("""COMPUTED_VALUE"""),46157.0)</f>
        <v>46157</v>
      </c>
      <c r="E3822" s="35" t="str">
        <f>IFERROR(__xludf.DUMMYFUNCTION("""COMPUTED_VALUE"""),"05Mei")</f>
        <v>05Mei</v>
      </c>
      <c r="F3822" s="35"/>
      <c r="G3822" s="35" t="str">
        <f>IFERROR(__xludf.DUMMYFUNCTION("""COMPUTED_VALUE"""),"ERVINA")</f>
        <v>ERVINA</v>
      </c>
      <c r="H3822" s="35" t="str">
        <f>IFERROR(__xludf.DUMMYFUNCTION("""COMPUTED_VALUE"""),"E9426057887")</f>
        <v>E9426057887</v>
      </c>
      <c r="I3822" s="35">
        <f>IFERROR(__xludf.DUMMYFUNCTION("""COMPUTED_VALUE"""),31.0)</f>
        <v>31</v>
      </c>
      <c r="J3822" s="35" t="str">
        <f>IFERROR(__xludf.DUMMYFUNCTION("""COMPUTED_VALUE"""),"25-34 tahun")</f>
        <v>25-34 tahun</v>
      </c>
      <c r="K3822" s="35" t="str">
        <f>IFERROR(__xludf.DUMMYFUNCTION("""COMPUTED_VALUE"""),"08/09/1994")</f>
        <v>08/09/1994</v>
      </c>
      <c r="L3822" s="35" t="str">
        <f>IFERROR(__xludf.DUMMYFUNCTION("""COMPUTED_VALUE"""),"PEREMPUAN")</f>
        <v>PEREMPUAN</v>
      </c>
      <c r="M3822" s="35" t="str">
        <f>IFERROR(__xludf.DUMMYFUNCTION("""COMPUTED_VALUE"""),"JL. PURNAMA 2 KOMPLEK VILLA PURNAMA INDAH NO C4")</f>
        <v>JL. PURNAMA 2 KOMPLEK VILLA PURNAMA INDAH NO C4</v>
      </c>
      <c r="N3822" s="35" t="str">
        <f>IFERROR(__xludf.DUMMYFUNCTION("""COMPUTED_VALUE"""),"KEL BENUA MELAYU DARAT")</f>
        <v>KEL BENUA MELAYU DARAT</v>
      </c>
      <c r="O3822" s="35" t="str">
        <f>IFERROR(__xludf.DUMMYFUNCTION("""COMPUTED_VALUE"""),"PONTIANAK SELATAN")</f>
        <v>PONTIANAK SELATAN</v>
      </c>
      <c r="P3822" s="35" t="str">
        <f>IFERROR(__xludf.DUMMYFUNCTION("""COMPUTED_VALUE"""),"PONTIANAK")</f>
        <v>PONTIANAK</v>
      </c>
      <c r="Q3822" s="35" t="str">
        <f>IFERROR(__xludf.DUMMYFUNCTION("""COMPUTED_VALUE"""),"KALIMANTAN BARAR")</f>
        <v>KALIMANTAN BARAR</v>
      </c>
      <c r="R3822" s="35" t="str">
        <f>IFERROR(__xludf.DUMMYFUNCTION("""COMPUTED_VALUE"""),"KATOLIK")</f>
        <v>KATOLIK</v>
      </c>
      <c r="S3822" s="74" t="str">
        <f>IFERROR(__xludf.DUMMYFUNCTION("""COMPUTED_VALUE"""),"IBU RUMAH TANGGA")</f>
        <v>IBU RUMAH TANGGA</v>
      </c>
      <c r="T3822" s="35" t="str">
        <f>IFERROR(__xludf.DUMMYFUNCTION("""COMPUTED_VALUE"""),"SAKIT DIBAGIAN PANTAT KE PAHA ")</f>
        <v>SAKIT DIBAGIAN PANTAT KE PAHA </v>
      </c>
      <c r="U3822" s="35" t="str">
        <f>IFERROR(__xludf.DUMMYFUNCTION("""COMPUTED_VALUE"""),"SEHABIS MAIN BASKET")</f>
        <v>SEHABIS MAIN BASKET</v>
      </c>
      <c r="V3822" s="35" t="str">
        <f>IFERROR(__xludf.DUMMYFUNCTION("""COMPUTED_VALUE"""),"082254867887")</f>
        <v>082254867887</v>
      </c>
      <c r="W3822" s="45"/>
    </row>
    <row r="3823">
      <c r="A3823" s="45"/>
      <c r="B3823" s="35" t="str">
        <f>IFERROR(__xludf.DUMMYFUNCTION("""COMPUTED_VALUE"""),"15/05/2026 15:08:18")</f>
        <v>15/05/2026 15:08:18</v>
      </c>
      <c r="C3823" s="35"/>
      <c r="D3823" s="10">
        <f>IFERROR(__xludf.DUMMYFUNCTION("""COMPUTED_VALUE"""),46157.0)</f>
        <v>46157</v>
      </c>
      <c r="E3823" s="35" t="str">
        <f>IFERROR(__xludf.DUMMYFUNCTION("""COMPUTED_VALUE"""),"05Mei")</f>
        <v>05Mei</v>
      </c>
      <c r="F3823" s="35"/>
      <c r="G3823" s="35" t="str">
        <f>IFERROR(__xludf.DUMMYFUNCTION("""COMPUTED_VALUE"""),"FAUZY SETYAWAN")</f>
        <v>FAUZY SETYAWAN</v>
      </c>
      <c r="H3823" s="35" t="str">
        <f>IFERROR(__xludf.DUMMYFUNCTION("""COMPUTED_VALUE"""),"F0426052331")</f>
        <v>F0426052331</v>
      </c>
      <c r="I3823" s="35">
        <f>IFERROR(__xludf.DUMMYFUNCTION("""COMPUTED_VALUE"""),21.0)</f>
        <v>21</v>
      </c>
      <c r="J3823" s="35" t="str">
        <f>IFERROR(__xludf.DUMMYFUNCTION("""COMPUTED_VALUE"""),"18-24 tahun")</f>
        <v>18-24 tahun</v>
      </c>
      <c r="K3823" s="35" t="str">
        <f>IFERROR(__xludf.DUMMYFUNCTION("""COMPUTED_VALUE"""),"09/10/2004")</f>
        <v>09/10/2004</v>
      </c>
      <c r="L3823" s="35" t="str">
        <f>IFERROR(__xludf.DUMMYFUNCTION("""COMPUTED_VALUE"""),"LAKI-LAKI")</f>
        <v>LAKI-LAKI</v>
      </c>
      <c r="M3823" s="35" t="str">
        <f>IFERROR(__xludf.DUMMYFUNCTION("""COMPUTED_VALUE"""),"JL.CIBUBUR II NO79 RT 07 RW O2")</f>
        <v>JL.CIBUBUR II NO79 RT 07 RW O2</v>
      </c>
      <c r="N3823" s="35" t="str">
        <f>IFERROR(__xludf.DUMMYFUNCTION("""COMPUTED_VALUE"""),"CIRACAS")</f>
        <v>CIRACAS</v>
      </c>
      <c r="O3823" s="35" t="str">
        <f>IFERROR(__xludf.DUMMYFUNCTION("""COMPUTED_VALUE"""),"CIBUBUR ")</f>
        <v>CIBUBUR </v>
      </c>
      <c r="P3823" s="35" t="str">
        <f>IFERROR(__xludf.DUMMYFUNCTION("""COMPUTED_VALUE"""),"JAKARTA TIMUR ")</f>
        <v>JAKARTA TIMUR </v>
      </c>
      <c r="Q3823" s="35" t="str">
        <f>IFERROR(__xludf.DUMMYFUNCTION("""COMPUTED_VALUE"""),"DKI JAKARTA")</f>
        <v>DKI JAKARTA</v>
      </c>
      <c r="R3823" s="35" t="str">
        <f>IFERROR(__xludf.DUMMYFUNCTION("""COMPUTED_VALUE"""),"ISLAM")</f>
        <v>ISLAM</v>
      </c>
      <c r="S3823" s="74" t="str">
        <f>IFERROR(__xludf.DUMMYFUNCTION("""COMPUTED_VALUE"""),"MAHASISWA ")</f>
        <v>MAHASISWA </v>
      </c>
      <c r="T3823" s="35" t="str">
        <f>IFERROR(__xludf.DUMMYFUNCTION("""COMPUTED_VALUE"""),"SAKIT DENGKUL BAGIAN LUAR DI BAGIAN KIRI SEPERTI GEJALA ITBS")</f>
        <v>SAKIT DENGKUL BAGIAN LUAR DI BAGIAN KIRI SEPERTI GEJALA ITBS</v>
      </c>
      <c r="U3823" s="35" t="str">
        <f>IFERROR(__xludf.DUMMYFUNCTION("""COMPUTED_VALUE"""),"PELARI")</f>
        <v>PELARI</v>
      </c>
      <c r="V3823" s="35" t="str">
        <f>IFERROR(__xludf.DUMMYFUNCTION("""COMPUTED_VALUE"""),"085183502331")</f>
        <v>085183502331</v>
      </c>
      <c r="W3823" s="45"/>
    </row>
    <row r="3824">
      <c r="A3824" s="45"/>
      <c r="B3824" s="35" t="str">
        <f>IFERROR(__xludf.DUMMYFUNCTION("""COMPUTED_VALUE"""),"15/05/2026 15:55:06")</f>
        <v>15/05/2026 15:55:06</v>
      </c>
      <c r="C3824" s="35"/>
      <c r="D3824" s="10">
        <f>IFERROR(__xludf.DUMMYFUNCTION("""COMPUTED_VALUE"""),46157.0)</f>
        <v>46157</v>
      </c>
      <c r="E3824" s="35" t="str">
        <f>IFERROR(__xludf.DUMMYFUNCTION("""COMPUTED_VALUE"""),"05Mei")</f>
        <v>05Mei</v>
      </c>
      <c r="F3824" s="35"/>
      <c r="G3824" s="35" t="str">
        <f>IFERROR(__xludf.DUMMYFUNCTION("""COMPUTED_VALUE"""),"ABDUL MANAN ARSYUL")</f>
        <v>ABDUL MANAN ARSYUL</v>
      </c>
      <c r="H3824" s="35" t="str">
        <f>IFERROR(__xludf.DUMMYFUNCTION("""COMPUTED_VALUE"""),"A5026056699")</f>
        <v>A5026056699</v>
      </c>
      <c r="I3824" s="35">
        <f>IFERROR(__xludf.DUMMYFUNCTION("""COMPUTED_VALUE"""),76.0)</f>
        <v>76</v>
      </c>
      <c r="J3824" s="35" t="str">
        <f>IFERROR(__xludf.DUMMYFUNCTION("""COMPUTED_VALUE"""),"&gt; 44 tahun")</f>
        <v>&gt; 44 tahun</v>
      </c>
      <c r="K3824" s="35" t="str">
        <f>IFERROR(__xludf.DUMMYFUNCTION("""COMPUTED_VALUE"""),"11/03/1950")</f>
        <v>11/03/1950</v>
      </c>
      <c r="L3824" s="35" t="str">
        <f>IFERROR(__xludf.DUMMYFUNCTION("""COMPUTED_VALUE"""),"LAKI-LAKI")</f>
        <v>LAKI-LAKI</v>
      </c>
      <c r="M3824" s="35" t="str">
        <f>IFERROR(__xludf.DUMMYFUNCTION("""COMPUTED_VALUE"""),"SINAR KODOTU")</f>
        <v>SINAR KODOTU</v>
      </c>
      <c r="N3824" s="35" t="str">
        <f>IFERROR(__xludf.DUMMYFUNCTION("""COMPUTED_VALUE"""),"NANGA SERAWAI")</f>
        <v>NANGA SERAWAI</v>
      </c>
      <c r="O3824" s="35" t="str">
        <f>IFERROR(__xludf.DUMMYFUNCTION("""COMPUTED_VALUE"""),"SERAWAI")</f>
        <v>SERAWAI</v>
      </c>
      <c r="P3824" s="35" t="str">
        <f>IFERROR(__xludf.DUMMYFUNCTION("""COMPUTED_VALUE"""),"SINTANG")</f>
        <v>SINTANG</v>
      </c>
      <c r="Q3824" s="35" t="str">
        <f>IFERROR(__xludf.DUMMYFUNCTION("""COMPUTED_VALUE"""),"KALIMANTAN BARAT")</f>
        <v>KALIMANTAN BARAT</v>
      </c>
      <c r="R3824" s="35" t="str">
        <f>IFERROR(__xludf.DUMMYFUNCTION("""COMPUTED_VALUE"""),"ISLAM")</f>
        <v>ISLAM</v>
      </c>
      <c r="S3824" s="74" t="str">
        <f>IFERROR(__xludf.DUMMYFUNCTION("""COMPUTED_VALUE"""),"WIRASWASTA")</f>
        <v>WIRASWASTA</v>
      </c>
      <c r="T3824" s="35" t="str">
        <f>IFERROR(__xludf.DUMMYFUNCTION("""COMPUTED_VALUE"""),"NYERI SENDI SENDI")</f>
        <v>NYERI SENDI SENDI</v>
      </c>
      <c r="U3824" s="35" t="str">
        <f>IFERROR(__xludf.DUMMYFUNCTION("""COMPUTED_VALUE"""),"JALAN PAGI")</f>
        <v>JALAN PAGI</v>
      </c>
      <c r="V3824" s="35" t="str">
        <f>IFERROR(__xludf.DUMMYFUNCTION("""COMPUTED_VALUE"""),"081392446699")</f>
        <v>081392446699</v>
      </c>
      <c r="W3824" s="45"/>
    </row>
    <row r="3825">
      <c r="A3825" s="45"/>
      <c r="B3825" s="35" t="str">
        <f>IFERROR(__xludf.DUMMYFUNCTION("""COMPUTED_VALUE"""),"15/05/2026 14:56:58")</f>
        <v>15/05/2026 14:56:58</v>
      </c>
      <c r="C3825" s="35"/>
      <c r="D3825" s="10">
        <f>IFERROR(__xludf.DUMMYFUNCTION("""COMPUTED_VALUE"""),46157.0)</f>
        <v>46157</v>
      </c>
      <c r="E3825" s="35" t="str">
        <f>IFERROR(__xludf.DUMMYFUNCTION("""COMPUTED_VALUE"""),"05Mei")</f>
        <v>05Mei</v>
      </c>
      <c r="F3825" s="35"/>
      <c r="G3825" s="35" t="str">
        <f>IFERROR(__xludf.DUMMYFUNCTION("""COMPUTED_VALUE"""),"TJANG KHENG")</f>
        <v>TJANG KHENG</v>
      </c>
      <c r="H3825" s="35" t="str">
        <f>IFERROR(__xludf.DUMMYFUNCTION("""COMPUTED_VALUE"""),"T4626051927")</f>
        <v>T4626051927</v>
      </c>
      <c r="I3825" s="35">
        <f>IFERROR(__xludf.DUMMYFUNCTION("""COMPUTED_VALUE"""),80.0)</f>
        <v>80</v>
      </c>
      <c r="J3825" s="35" t="str">
        <f>IFERROR(__xludf.DUMMYFUNCTION("""COMPUTED_VALUE"""),"&gt; 44 tahun")</f>
        <v>&gt; 44 tahun</v>
      </c>
      <c r="K3825" s="35" t="str">
        <f>IFERROR(__xludf.DUMMYFUNCTION("""COMPUTED_VALUE"""),"20/03/1946")</f>
        <v>20/03/1946</v>
      </c>
      <c r="L3825" s="35" t="str">
        <f>IFERROR(__xludf.DUMMYFUNCTION("""COMPUTED_VALUE"""),"PEREMPUAN")</f>
        <v>PEREMPUAN</v>
      </c>
      <c r="M3825" s="35" t="str">
        <f>IFERROR(__xludf.DUMMYFUNCTION("""COMPUTED_VALUE"""),"PASAR SENTRAL PAL 9. NO 54")</f>
        <v>PASAR SENTRAL PAL 9. NO 54</v>
      </c>
      <c r="N3825" s="35" t="str">
        <f>IFERROR(__xludf.DUMMYFUNCTION("""COMPUTED_VALUE"""),"PAL 9")</f>
        <v>PAL 9</v>
      </c>
      <c r="O3825" s="35" t="str">
        <f>IFERROR(__xludf.DUMMYFUNCTION("""COMPUTED_VALUE"""),"SUNGAI KAKAP")</f>
        <v>SUNGAI KAKAP</v>
      </c>
      <c r="P3825" s="35" t="str">
        <f>IFERROR(__xludf.DUMMYFUNCTION("""COMPUTED_VALUE"""),"KUBU RAYA")</f>
        <v>KUBU RAYA</v>
      </c>
      <c r="Q3825" s="35" t="str">
        <f>IFERROR(__xludf.DUMMYFUNCTION("""COMPUTED_VALUE"""),"KALIMANTAN BARAT")</f>
        <v>KALIMANTAN BARAT</v>
      </c>
      <c r="R3825" s="35" t="str">
        <f>IFERROR(__xludf.DUMMYFUNCTION("""COMPUTED_VALUE"""),"BUDDHA")</f>
        <v>BUDDHA</v>
      </c>
      <c r="S3825" s="74" t="str">
        <f>IFERROR(__xludf.DUMMYFUNCTION("""COMPUTED_VALUE"""),"IBU RUMAH TANGGA")</f>
        <v>IBU RUMAH TANGGA</v>
      </c>
      <c r="T3825" s="35" t="str">
        <f>IFERROR(__xludf.DUMMYFUNCTION("""COMPUTED_VALUE"""),"STROKE KIRI")</f>
        <v>STROKE KIRI</v>
      </c>
      <c r="U3825" s="35" t="str">
        <f>IFERROR(__xludf.DUMMYFUNCTION("""COMPUTED_VALUE"""),"STROKE")</f>
        <v>STROKE</v>
      </c>
      <c r="V3825" s="35" t="str">
        <f>IFERROR(__xludf.DUMMYFUNCTION("""COMPUTED_VALUE"""),"089680271927")</f>
        <v>089680271927</v>
      </c>
      <c r="W3825" s="45"/>
    </row>
    <row r="3826">
      <c r="A3826" s="45"/>
      <c r="B3826" s="35" t="str">
        <f>IFERROR(__xludf.DUMMYFUNCTION("""COMPUTED_VALUE"""),"15/05/2026 21:00:41")</f>
        <v>15/05/2026 21:00:41</v>
      </c>
      <c r="C3826" s="35"/>
      <c r="D3826" s="10">
        <f>IFERROR(__xludf.DUMMYFUNCTION("""COMPUTED_VALUE"""),46157.0)</f>
        <v>46157</v>
      </c>
      <c r="E3826" s="35" t="str">
        <f>IFERROR(__xludf.DUMMYFUNCTION("""COMPUTED_VALUE"""),"05Mei")</f>
        <v>05Mei</v>
      </c>
      <c r="F3826" s="35"/>
      <c r="G3826" s="35" t="str">
        <f>IFERROR(__xludf.DUMMYFUNCTION("""COMPUTED_VALUE"""),"PONIA PASTIAGE")</f>
        <v>PONIA PASTIAGE</v>
      </c>
      <c r="H3826" s="35" t="str">
        <f>IFERROR(__xludf.DUMMYFUNCTION("""COMPUTED_VALUE"""),"P0626052601")</f>
        <v>P0626052601</v>
      </c>
      <c r="I3826" s="35">
        <f>IFERROR(__xludf.DUMMYFUNCTION("""COMPUTED_VALUE"""),20.0)</f>
        <v>20</v>
      </c>
      <c r="J3826" s="35" t="str">
        <f>IFERROR(__xludf.DUMMYFUNCTION("""COMPUTED_VALUE"""),"18-24 tahun")</f>
        <v>18-24 tahun</v>
      </c>
      <c r="K3826" s="35" t="str">
        <f>IFERROR(__xludf.DUMMYFUNCTION("""COMPUTED_VALUE"""),"22/04/2006")</f>
        <v>22/04/2006</v>
      </c>
      <c r="L3826" s="35" t="str">
        <f>IFERROR(__xludf.DUMMYFUNCTION("""COMPUTED_VALUE"""),"PEREMPUAN")</f>
        <v>PEREMPUAN</v>
      </c>
      <c r="M3826" s="35" t="str">
        <f>IFERROR(__xludf.DUMMYFUNCTION("""COMPUTED_VALUE"""),"TIGA DESA")</f>
        <v>TIGA DESA</v>
      </c>
      <c r="N3826" s="35" t="str">
        <f>IFERROR(__xludf.DUMMYFUNCTION("""COMPUTED_VALUE"""),"TRITA KENCANA")</f>
        <v>TRITA KENCANA</v>
      </c>
      <c r="O3826" s="35" t="str">
        <f>IFERROR(__xludf.DUMMYFUNCTION("""COMPUTED_VALUE"""),"BENGKAYANG")</f>
        <v>BENGKAYANG</v>
      </c>
      <c r="P3826" s="35" t="str">
        <f>IFERROR(__xludf.DUMMYFUNCTION("""COMPUTED_VALUE"""),"BENGKAYANG")</f>
        <v>BENGKAYANG</v>
      </c>
      <c r="Q3826" s="35" t="str">
        <f>IFERROR(__xludf.DUMMYFUNCTION("""COMPUTED_VALUE"""),"KALIMANTAN BARAT")</f>
        <v>KALIMANTAN BARAT</v>
      </c>
      <c r="R3826" s="35" t="str">
        <f>IFERROR(__xludf.DUMMYFUNCTION("""COMPUTED_VALUE"""),"PROTESTAN")</f>
        <v>PROTESTAN</v>
      </c>
      <c r="S3826" s="74" t="str">
        <f>IFERROR(__xludf.DUMMYFUNCTION("""COMPUTED_VALUE"""),"MAHASISWA ")</f>
        <v>MAHASISWA </v>
      </c>
      <c r="T3826" s="35" t="str">
        <f>IFERROR(__xludf.DUMMYFUNCTION("""COMPUTED_VALUE"""),"MUKA KAKU SEBELAH KANAN,MATA TIDAK BISA DI PEJAM DAN ALIS TIDAK BISA DI GERAKAN,SENYUM SUSAH KAKU MATA SUSAH DI TUTUP RASA NYA KAKU.")</f>
        <v>MUKA KAKU SEBELAH KANAN,MATA TIDAK BISA DI PEJAM DAN ALIS TIDAK BISA DI GERAKAN,SENYUM SUSAH KAKU MATA SUSAH DI TUTUP RASA NYA KAKU.</v>
      </c>
      <c r="U3826" s="35" t="str">
        <f>IFERROR(__xludf.DUMMYFUNCTION("""COMPUTED_VALUE"""),"SCROL HP")</f>
        <v>SCROL HP</v>
      </c>
      <c r="V3826" s="35" t="str">
        <f>IFERROR(__xludf.DUMMYFUNCTION("""COMPUTED_VALUE"""),"082350982601")</f>
        <v>082350982601</v>
      </c>
      <c r="W3826" s="45"/>
    </row>
    <row r="3827">
      <c r="A3827" s="45"/>
      <c r="B3827" s="35" t="str">
        <f>IFERROR(__xludf.DUMMYFUNCTION("""COMPUTED_VALUE"""),"17/05/2026 16:25:29")</f>
        <v>17/05/2026 16:25:29</v>
      </c>
      <c r="C3827" s="35"/>
      <c r="D3827" s="10">
        <f>IFERROR(__xludf.DUMMYFUNCTION("""COMPUTED_VALUE"""),46159.0)</f>
        <v>46159</v>
      </c>
      <c r="E3827" s="35" t="str">
        <f>IFERROR(__xludf.DUMMYFUNCTION("""COMPUTED_VALUE"""),"05Mei")</f>
        <v>05Mei</v>
      </c>
      <c r="F3827" s="35"/>
      <c r="G3827" s="35" t="str">
        <f>IFERROR(__xludf.DUMMYFUNCTION("""COMPUTED_VALUE"""),"MUHAMMAD IRFAN DJUHA")</f>
        <v>MUHAMMAD IRFAN DJUHA</v>
      </c>
      <c r="H3827" s="35" t="str">
        <f>IFERROR(__xludf.DUMMYFUNCTION("""COMPUTED_VALUE"""),"M9726058718")</f>
        <v>M9726058718</v>
      </c>
      <c r="I3827" s="35">
        <f>IFERROR(__xludf.DUMMYFUNCTION("""COMPUTED_VALUE"""),29.0)</f>
        <v>29</v>
      </c>
      <c r="J3827" s="35" t="str">
        <f>IFERROR(__xludf.DUMMYFUNCTION("""COMPUTED_VALUE"""),"25-34 tahun")</f>
        <v>25-34 tahun</v>
      </c>
      <c r="K3827" s="35" t="str">
        <f>IFERROR(__xludf.DUMMYFUNCTION("""COMPUTED_VALUE"""),"07/05/1997")</f>
        <v>07/05/1997</v>
      </c>
      <c r="L3827" s="35" t="str">
        <f>IFERROR(__xludf.DUMMYFUNCTION("""COMPUTED_VALUE"""),"LAKI-LAKI")</f>
        <v>LAKI-LAKI</v>
      </c>
      <c r="M3827" s="35" t="str">
        <f>IFERROR(__xludf.DUMMYFUNCTION("""COMPUTED_VALUE"""),"JL. PROF M YAMIN GANG. TELADAN NO. 11")</f>
        <v>JL. PROF M YAMIN GANG. TELADAN NO. 11</v>
      </c>
      <c r="N3827" s="35" t="str">
        <f>IFERROR(__xludf.DUMMYFUNCTION("""COMPUTED_VALUE"""),"KOTA BARU")</f>
        <v>KOTA BARU</v>
      </c>
      <c r="O3827" s="35" t="str">
        <f>IFERROR(__xludf.DUMMYFUNCTION("""COMPUTED_VALUE"""),"PONTIANAK SELATAN")</f>
        <v>PONTIANAK SELATAN</v>
      </c>
      <c r="P3827" s="35" t="str">
        <f>IFERROR(__xludf.DUMMYFUNCTION("""COMPUTED_VALUE"""),"KOTA PONTIANAK")</f>
        <v>KOTA PONTIANAK</v>
      </c>
      <c r="Q3827" s="35" t="str">
        <f>IFERROR(__xludf.DUMMYFUNCTION("""COMPUTED_VALUE"""),"KALIMANTAN BARAT")</f>
        <v>KALIMANTAN BARAT</v>
      </c>
      <c r="R3827" s="35" t="str">
        <f>IFERROR(__xludf.DUMMYFUNCTION("""COMPUTED_VALUE"""),"ISLAM")</f>
        <v>ISLAM</v>
      </c>
      <c r="S3827" s="74" t="str">
        <f>IFERROR(__xludf.DUMMYFUNCTION("""COMPUTED_VALUE"""),"KARYAWAN SWASTA")</f>
        <v>KARYAWAN SWASTA</v>
      </c>
      <c r="T3827" s="35" t="str">
        <f>IFERROR(__xludf.DUMMYFUNCTION("""COMPUTED_VALUE"""),"JARI TELUNJUK TANGAN KIRI TERKILIR")</f>
        <v>JARI TELUNJUK TANGAN KIRI TERKILIR</v>
      </c>
      <c r="U3827" s="35" t="str">
        <f>IFERROR(__xludf.DUMMYFUNCTION("""COMPUTED_VALUE"""),"GOWES")</f>
        <v>GOWES</v>
      </c>
      <c r="V3827" s="35" t="str">
        <f>IFERROR(__xludf.DUMMYFUNCTION("""COMPUTED_VALUE"""),"082249078718")</f>
        <v>082249078718</v>
      </c>
      <c r="W3827" s="45"/>
    </row>
    <row r="3828">
      <c r="A3828" s="45"/>
      <c r="B3828" s="35" t="str">
        <f>IFERROR(__xludf.DUMMYFUNCTION("""COMPUTED_VALUE"""),"17/05/2026 19:41:20")</f>
        <v>17/05/2026 19:41:20</v>
      </c>
      <c r="C3828" s="35"/>
      <c r="D3828" s="10">
        <f>IFERROR(__xludf.DUMMYFUNCTION("""COMPUTED_VALUE"""),46159.0)</f>
        <v>46159</v>
      </c>
      <c r="E3828" s="35" t="str">
        <f>IFERROR(__xludf.DUMMYFUNCTION("""COMPUTED_VALUE"""),"05Mei")</f>
        <v>05Mei</v>
      </c>
      <c r="F3828" s="35"/>
      <c r="G3828" s="35" t="str">
        <f>IFERROR(__xludf.DUMMYFUNCTION("""COMPUTED_VALUE"""),"ORM TIA KHASINA")</f>
        <v>ORM TIA KHASINA</v>
      </c>
      <c r="H3828" s="35" t="str">
        <f>IFERROR(__xludf.DUMMYFUNCTION("""COMPUTED_VALUE"""),"O9626053094")</f>
        <v>O9626053094</v>
      </c>
      <c r="I3828" s="35">
        <f>IFERROR(__xludf.DUMMYFUNCTION("""COMPUTED_VALUE"""),29.0)</f>
        <v>29</v>
      </c>
      <c r="J3828" s="35" t="str">
        <f>IFERROR(__xludf.DUMMYFUNCTION("""COMPUTED_VALUE"""),"25-34 tahun")</f>
        <v>25-34 tahun</v>
      </c>
      <c r="K3828" s="35" t="str">
        <f>IFERROR(__xludf.DUMMYFUNCTION("""COMPUTED_VALUE"""),"10/10/1996")</f>
        <v>10/10/1996</v>
      </c>
      <c r="L3828" s="35" t="str">
        <f>IFERROR(__xludf.DUMMYFUNCTION("""COMPUTED_VALUE"""),"PEREMPUAN")</f>
        <v>PEREMPUAN</v>
      </c>
      <c r="M3828" s="35" t="str">
        <f>IFERROR(__xludf.DUMMYFUNCTION("""COMPUTED_VALUE"""),"JL. KESEHATAN GG KESEHATAN DALAM NO 4")</f>
        <v>JL. KESEHATAN GG KESEHATAN DALAM NO 4</v>
      </c>
      <c r="N3828" s="35" t="str">
        <f>IFERROR(__xludf.DUMMYFUNCTION("""COMPUTED_VALUE"""),"KOTABARU")</f>
        <v>KOTABARU</v>
      </c>
      <c r="O3828" s="35" t="str">
        <f>IFERROR(__xludf.DUMMYFUNCTION("""COMPUTED_VALUE"""),"PONTIANAK SELATAN")</f>
        <v>PONTIANAK SELATAN</v>
      </c>
      <c r="P3828" s="35" t="str">
        <f>IFERROR(__xludf.DUMMYFUNCTION("""COMPUTED_VALUE"""),"PONTIANAK")</f>
        <v>PONTIANAK</v>
      </c>
      <c r="Q3828" s="35" t="str">
        <f>IFERROR(__xludf.DUMMYFUNCTION("""COMPUTED_VALUE"""),"KALIMANTAN BARAT")</f>
        <v>KALIMANTAN BARAT</v>
      </c>
      <c r="R3828" s="35" t="str">
        <f>IFERROR(__xludf.DUMMYFUNCTION("""COMPUTED_VALUE"""),"ISLAM")</f>
        <v>ISLAM</v>
      </c>
      <c r="S3828" s="74" t="str">
        <f>IFERROR(__xludf.DUMMYFUNCTION("""COMPUTED_VALUE"""),"WIRASWASTA ")</f>
        <v>WIRASWASTA </v>
      </c>
      <c r="T3828" s="35" t="str">
        <f>IFERROR(__xludf.DUMMYFUNCTION("""COMPUTED_VALUE"""),"KESULITAN KESEIMBANGAN TERUTAMA AREA KAKI")</f>
        <v>KESULITAN KESEIMBANGAN TERUTAMA AREA KAKI</v>
      </c>
      <c r="U3828" s="35" t="str">
        <f>IFERROR(__xludf.DUMMYFUNCTION("""COMPUTED_VALUE"""),"YOGA")</f>
        <v>YOGA</v>
      </c>
      <c r="V3828" s="35" t="str">
        <f>IFERROR(__xludf.DUMMYFUNCTION("""COMPUTED_VALUE"""),"089647593094")</f>
        <v>089647593094</v>
      </c>
      <c r="W3828" s="45"/>
    </row>
    <row r="3829">
      <c r="A3829" s="45"/>
      <c r="B3829" s="35" t="str">
        <f>IFERROR(__xludf.DUMMYFUNCTION("""COMPUTED_VALUE"""),"17/05/2026 20:00:04")</f>
        <v>17/05/2026 20:00:04</v>
      </c>
      <c r="C3829" s="35"/>
      <c r="D3829" s="10">
        <f>IFERROR(__xludf.DUMMYFUNCTION("""COMPUTED_VALUE"""),46160.0)</f>
        <v>46160</v>
      </c>
      <c r="E3829" s="35" t="str">
        <f>IFERROR(__xludf.DUMMYFUNCTION("""COMPUTED_VALUE"""),"05Mei")</f>
        <v>05Mei</v>
      </c>
      <c r="F3829" s="35"/>
      <c r="G3829" s="35" t="str">
        <f>IFERROR(__xludf.DUMMYFUNCTION("""COMPUTED_VALUE"""),"JIMMY MARLANTIKA")</f>
        <v>JIMMY MARLANTIKA</v>
      </c>
      <c r="H3829" s="35" t="str">
        <f>IFERROR(__xludf.DUMMYFUNCTION("""COMPUTED_VALUE"""),"J9526052393")</f>
        <v>J9526052393</v>
      </c>
      <c r="I3829" s="35">
        <f>IFERROR(__xludf.DUMMYFUNCTION("""COMPUTED_VALUE"""),31.0)</f>
        <v>31</v>
      </c>
      <c r="J3829" s="35" t="str">
        <f>IFERROR(__xludf.DUMMYFUNCTION("""COMPUTED_VALUE"""),"25-34 tahun")</f>
        <v>25-34 tahun</v>
      </c>
      <c r="K3829" s="35" t="str">
        <f>IFERROR(__xludf.DUMMYFUNCTION("""COMPUTED_VALUE"""),"29/03/1995")</f>
        <v>29/03/1995</v>
      </c>
      <c r="L3829" s="35" t="str">
        <f>IFERROR(__xludf.DUMMYFUNCTION("""COMPUTED_VALUE"""),"LAKI-LAKI")</f>
        <v>LAKI-LAKI</v>
      </c>
      <c r="M3829" s="35" t="str">
        <f>IFERROR(__xludf.DUMMYFUNCTION("""COMPUTED_VALUE"""),"JL PARIT NO2")</f>
        <v>JL PARIT NO2</v>
      </c>
      <c r="N3829" s="35" t="str">
        <f>IFERROR(__xludf.DUMMYFUNCTION("""COMPUTED_VALUE"""),"PARIT BARU")</f>
        <v>PARIT BARU</v>
      </c>
      <c r="O3829" s="35" t="str">
        <f>IFERROR(__xludf.DUMMYFUNCTION("""COMPUTED_VALUE"""),"SUNGAI RAYA")</f>
        <v>SUNGAI RAYA</v>
      </c>
      <c r="P3829" s="35" t="str">
        <f>IFERROR(__xludf.DUMMYFUNCTION("""COMPUTED_VALUE"""),"KUBU RAYA")</f>
        <v>KUBU RAYA</v>
      </c>
      <c r="Q3829" s="35" t="str">
        <f>IFERROR(__xludf.DUMMYFUNCTION("""COMPUTED_VALUE"""),"KALIMANTAN BARAT")</f>
        <v>KALIMANTAN BARAT</v>
      </c>
      <c r="R3829" s="35" t="str">
        <f>IFERROR(__xludf.DUMMYFUNCTION("""COMPUTED_VALUE"""),"ISLAM")</f>
        <v>ISLAM</v>
      </c>
      <c r="S3829" s="74" t="str">
        <f>IFERROR(__xludf.DUMMYFUNCTION("""COMPUTED_VALUE"""),"MEKANIK")</f>
        <v>MEKANIK</v>
      </c>
      <c r="T3829" s="35" t="str">
        <f>IFERROR(__xludf.DUMMYFUNCTION("""COMPUTED_VALUE"""),"SAKIT DI BAGIAN BAHU")</f>
        <v>SAKIT DI BAGIAN BAHU</v>
      </c>
      <c r="U3829" s="35" t="str">
        <f>IFERROR(__xludf.DUMMYFUNCTION("""COMPUTED_VALUE"""),"BADMINTON")</f>
        <v>BADMINTON</v>
      </c>
      <c r="V3829" s="35" t="str">
        <f>IFERROR(__xludf.DUMMYFUNCTION("""COMPUTED_VALUE"""),"089693302393")</f>
        <v>089693302393</v>
      </c>
      <c r="W3829" s="45"/>
    </row>
    <row r="3830">
      <c r="A3830" s="45" t="str">
        <f>IFERROR(__xludf.DUMMYFUNCTION("""COMPUTED_VALUE"""),"F")</f>
        <v>F</v>
      </c>
      <c r="B3830" s="35" t="str">
        <f>IFERROR(__xludf.DUMMYFUNCTION("""COMPUTED_VALUE"""),"17/05/2026 21:57:38")</f>
        <v>17/05/2026 21:57:38</v>
      </c>
      <c r="C3830" s="35"/>
      <c r="D3830" s="10">
        <f>IFERROR(__xludf.DUMMYFUNCTION("""COMPUTED_VALUE"""),46160.0)</f>
        <v>46160</v>
      </c>
      <c r="E3830" s="35" t="str">
        <f>IFERROR(__xludf.DUMMYFUNCTION("""COMPUTED_VALUE"""),"05Mei")</f>
        <v>05Mei</v>
      </c>
      <c r="F3830" s="35"/>
      <c r="G3830" s="35" t="str">
        <f>IFERROR(__xludf.DUMMYFUNCTION("""COMPUTED_VALUE"""),"FALIH SYHAFWAN ALMY")</f>
        <v>FALIH SYHAFWAN ALMY</v>
      </c>
      <c r="H3830" s="35" t="str">
        <f>IFERROR(__xludf.DUMMYFUNCTION("""COMPUTED_VALUE"""),"F0326054250")</f>
        <v>F0326054250</v>
      </c>
      <c r="I3830" s="35">
        <f>IFERROR(__xludf.DUMMYFUNCTION("""COMPUTED_VALUE"""),22.0)</f>
        <v>22</v>
      </c>
      <c r="J3830" s="35" t="str">
        <f>IFERROR(__xludf.DUMMYFUNCTION("""COMPUTED_VALUE"""),"18-24 tahun")</f>
        <v>18-24 tahun</v>
      </c>
      <c r="K3830" s="35" t="str">
        <f>IFERROR(__xludf.DUMMYFUNCTION("""COMPUTED_VALUE"""),"28/08/2003")</f>
        <v>28/08/2003</v>
      </c>
      <c r="L3830" s="35" t="str">
        <f>IFERROR(__xludf.DUMMYFUNCTION("""COMPUTED_VALUE"""),"LAKI-LAKI")</f>
        <v>LAKI-LAKI</v>
      </c>
      <c r="M3830" s="35" t="str">
        <f>IFERROR(__xludf.DUMMYFUNCTION("""COMPUTED_VALUE"""),"JL. JENDERAL SUDIRMAN NO 6 ")</f>
        <v>JL. JENDERAL SUDIRMAN NO 6 </v>
      </c>
      <c r="N3830" s="35" t="str">
        <f>IFERROR(__xludf.DUMMYFUNCTION("""COMPUTED_VALUE"""),"BUNUT")</f>
        <v>BUNUT</v>
      </c>
      <c r="O3830" s="35" t="str">
        <f>IFERROR(__xludf.DUMMYFUNCTION("""COMPUTED_VALUE"""),"KAPUAS")</f>
        <v>KAPUAS</v>
      </c>
      <c r="P3830" s="35" t="str">
        <f>IFERROR(__xludf.DUMMYFUNCTION("""COMPUTED_VALUE"""),"SANGGAU")</f>
        <v>SANGGAU</v>
      </c>
      <c r="Q3830" s="35" t="str">
        <f>IFERROR(__xludf.DUMMYFUNCTION("""COMPUTED_VALUE"""),"KALIMANTAN BARAT")</f>
        <v>KALIMANTAN BARAT</v>
      </c>
      <c r="R3830" s="35" t="str">
        <f>IFERROR(__xludf.DUMMYFUNCTION("""COMPUTED_VALUE"""),"ISLAM")</f>
        <v>ISLAM</v>
      </c>
      <c r="S3830" s="74" t="str">
        <f>IFERROR(__xludf.DUMMYFUNCTION("""COMPUTED_VALUE"""),"MAHASISWA")</f>
        <v>MAHASISWA</v>
      </c>
      <c r="T3830" s="35" t="str">
        <f>IFERROR(__xludf.DUMMYFUNCTION("""COMPUTED_VALUE"""),"SAKIT KAKI SEBELAH KANAN ( ANKLE)")</f>
        <v>SAKIT KAKI SEBELAH KANAN ( ANKLE)</v>
      </c>
      <c r="U3830" s="35" t="str">
        <f>IFERROR(__xludf.DUMMYFUNCTION("""COMPUTED_VALUE"""),"BASKET")</f>
        <v>BASKET</v>
      </c>
      <c r="V3830" s="35" t="str">
        <f>IFERROR(__xludf.DUMMYFUNCTION("""COMPUTED_VALUE"""),"082254344250")</f>
        <v>082254344250</v>
      </c>
      <c r="W3830" s="45"/>
    </row>
    <row r="3831">
      <c r="A3831" s="45"/>
      <c r="B3831" s="35" t="str">
        <f>IFERROR(__xludf.DUMMYFUNCTION("""COMPUTED_VALUE"""),"18/05/2026 16:07:45")</f>
        <v>18/05/2026 16:07:45</v>
      </c>
      <c r="C3831" s="35"/>
      <c r="D3831" s="10">
        <f>IFERROR(__xludf.DUMMYFUNCTION("""COMPUTED_VALUE"""),46160.0)</f>
        <v>46160</v>
      </c>
      <c r="E3831" s="35" t="str">
        <f>IFERROR(__xludf.DUMMYFUNCTION("""COMPUTED_VALUE"""),"05Mei")</f>
        <v>05Mei</v>
      </c>
      <c r="F3831" s="35"/>
      <c r="G3831" s="35" t="str">
        <f>IFERROR(__xludf.DUMMYFUNCTION("""COMPUTED_VALUE"""),"NABILA ZHAFIRA FASYA")</f>
        <v>NABILA ZHAFIRA FASYA</v>
      </c>
      <c r="H3831" s="35" t="str">
        <f>IFERROR(__xludf.DUMMYFUNCTION("""COMPUTED_VALUE"""),"N9726059066")</f>
        <v>N9726059066</v>
      </c>
      <c r="I3831" s="35">
        <f>IFERROR(__xludf.DUMMYFUNCTION("""COMPUTED_VALUE"""),28.0)</f>
        <v>28</v>
      </c>
      <c r="J3831" s="35" t="str">
        <f>IFERROR(__xludf.DUMMYFUNCTION("""COMPUTED_VALUE"""),"25-34 tahun")</f>
        <v>25-34 tahun</v>
      </c>
      <c r="K3831" s="35" t="str">
        <f>IFERROR(__xludf.DUMMYFUNCTION("""COMPUTED_VALUE"""),"10/10/1997")</f>
        <v>10/10/1997</v>
      </c>
      <c r="L3831" s="35" t="str">
        <f>IFERROR(__xludf.DUMMYFUNCTION("""COMPUTED_VALUE"""),"PEREMPUAN")</f>
        <v>PEREMPUAN</v>
      </c>
      <c r="M3831" s="35" t="str">
        <f>IFERROR(__xludf.DUMMYFUNCTION("""COMPUTED_VALUE"""),"JL. WONOYOSO 1 GG.3 NO.9")</f>
        <v>JL. WONOYOSO 1 GG.3 NO.9</v>
      </c>
      <c r="N3831" s="35" t="str">
        <f>IFERROR(__xludf.DUMMYFUNCTION("""COMPUTED_VALUE"""),"AKCAYA")</f>
        <v>AKCAYA</v>
      </c>
      <c r="O3831" s="35" t="str">
        <f>IFERROR(__xludf.DUMMYFUNCTION("""COMPUTED_VALUE"""),"PONTIANAK SELATAN")</f>
        <v>PONTIANAK SELATAN</v>
      </c>
      <c r="P3831" s="35" t="str">
        <f>IFERROR(__xludf.DUMMYFUNCTION("""COMPUTED_VALUE"""),"PONTIANAK")</f>
        <v>PONTIANAK</v>
      </c>
      <c r="Q3831" s="35" t="str">
        <f>IFERROR(__xludf.DUMMYFUNCTION("""COMPUTED_VALUE"""),"KALIMANTAN BARAT")</f>
        <v>KALIMANTAN BARAT</v>
      </c>
      <c r="R3831" s="35" t="str">
        <f>IFERROR(__xludf.DUMMYFUNCTION("""COMPUTED_VALUE"""),"ISLAM")</f>
        <v>ISLAM</v>
      </c>
      <c r="S3831" s="74" t="str">
        <f>IFERROR(__xludf.DUMMYFUNCTION("""COMPUTED_VALUE"""),"KARYAWAN BUMD")</f>
        <v>KARYAWAN BUMD</v>
      </c>
      <c r="T3831" s="35" t="str">
        <f>IFERROR(__xludf.DUMMYFUNCTION("""COMPUTED_VALUE"""),"NYERI DI PINGGUL SEBELAH KANAN UDH SEBULAN")</f>
        <v>NYERI DI PINGGUL SEBELAH KANAN UDH SEBULAN</v>
      </c>
      <c r="U3831" s="35" t="str">
        <f>IFERROR(__xludf.DUMMYFUNCTION("""COMPUTED_VALUE"""),"KADANG ZUMBA, TP INI SAKIT STELAH PEMAKAIAN SEPATU HEELS PAS ACARA UNDANGAN ")</f>
        <v>KADANG ZUMBA, TP INI SAKIT STELAH PEMAKAIAN SEPATU HEELS PAS ACARA UNDANGAN </v>
      </c>
      <c r="V3831" s="35" t="str">
        <f>IFERROR(__xludf.DUMMYFUNCTION("""COMPUTED_VALUE"""),"085753129066")</f>
        <v>085753129066</v>
      </c>
      <c r="W3831" s="45"/>
    </row>
    <row r="3832">
      <c r="A3832" s="45"/>
      <c r="B3832" s="35" t="str">
        <f>IFERROR(__xludf.DUMMYFUNCTION("""COMPUTED_VALUE"""),"18/05/2026 17:45:13")</f>
        <v>18/05/2026 17:45:13</v>
      </c>
      <c r="C3832" s="35"/>
      <c r="D3832" s="10">
        <f>IFERROR(__xludf.DUMMYFUNCTION("""COMPUTED_VALUE"""),46160.0)</f>
        <v>46160</v>
      </c>
      <c r="E3832" s="35" t="str">
        <f>IFERROR(__xludf.DUMMYFUNCTION("""COMPUTED_VALUE"""),"05Mei")</f>
        <v>05Mei</v>
      </c>
      <c r="F3832" s="35"/>
      <c r="G3832" s="35" t="str">
        <f>IFERROR(__xludf.DUMMYFUNCTION("""COMPUTED_VALUE"""),"M. RAFAEL ALFANZA")</f>
        <v>M. RAFAEL ALFANZA</v>
      </c>
      <c r="H3832" s="35" t="str">
        <f>IFERROR(__xludf.DUMMYFUNCTION("""COMPUTED_VALUE"""),"M0626058282")</f>
        <v>M0626058282</v>
      </c>
      <c r="I3832" s="35">
        <f>IFERROR(__xludf.DUMMYFUNCTION("""COMPUTED_VALUE"""),20.0)</f>
        <v>20</v>
      </c>
      <c r="J3832" s="35" t="str">
        <f>IFERROR(__xludf.DUMMYFUNCTION("""COMPUTED_VALUE"""),"18-24 tahun")</f>
        <v>18-24 tahun</v>
      </c>
      <c r="K3832" s="35" t="str">
        <f>IFERROR(__xludf.DUMMYFUNCTION("""COMPUTED_VALUE"""),"10/06/2006")</f>
        <v>10/06/2006</v>
      </c>
      <c r="L3832" s="35" t="str">
        <f>IFERROR(__xludf.DUMMYFUNCTION("""COMPUTED_VALUE"""),"LAKI-LAKI")</f>
        <v>LAKI-LAKI</v>
      </c>
      <c r="M3832" s="35" t="str">
        <f>IFERROR(__xludf.DUMMYFUNCTION("""COMPUTED_VALUE"""),"JALAN AMPERA GG. H. A KARIM")</f>
        <v>JALAN AMPERA GG. H. A KARIM</v>
      </c>
      <c r="N3832" s="35" t="str">
        <f>IFERROR(__xludf.DUMMYFUNCTION("""COMPUTED_VALUE"""),"KOTA BARU")</f>
        <v>KOTA BARU</v>
      </c>
      <c r="O3832" s="35" t="str">
        <f>IFERROR(__xludf.DUMMYFUNCTION("""COMPUTED_VALUE"""),"PONTIANAK SELATAN")</f>
        <v>PONTIANAK SELATAN</v>
      </c>
      <c r="P3832" s="35" t="str">
        <f>IFERROR(__xludf.DUMMYFUNCTION("""COMPUTED_VALUE"""),"PONTIANAK")</f>
        <v>PONTIANAK</v>
      </c>
      <c r="Q3832" s="35" t="str">
        <f>IFERROR(__xludf.DUMMYFUNCTION("""COMPUTED_VALUE"""),"KALIMANTAN BARAT")</f>
        <v>KALIMANTAN BARAT</v>
      </c>
      <c r="R3832" s="35" t="str">
        <f>IFERROR(__xludf.DUMMYFUNCTION("""COMPUTED_VALUE"""),"ISLAM")</f>
        <v>ISLAM</v>
      </c>
      <c r="S3832" s="74" t="str">
        <f>IFERROR(__xludf.DUMMYFUNCTION("""COMPUTED_VALUE"""),"TIDAK BEKERJA")</f>
        <v>TIDAK BEKERJA</v>
      </c>
      <c r="T3832" s="35" t="str">
        <f>IFERROR(__xludf.DUMMYFUNCTION("""COMPUTED_VALUE"""),"LUTUT")</f>
        <v>LUTUT</v>
      </c>
      <c r="U3832" s="35" t="str">
        <f>IFERROR(__xludf.DUMMYFUNCTION("""COMPUTED_VALUE"""),"-")</f>
        <v>-</v>
      </c>
      <c r="V3832" s="35" t="str">
        <f>IFERROR(__xludf.DUMMYFUNCTION("""COMPUTED_VALUE"""),"0895327568282")</f>
        <v>0895327568282</v>
      </c>
      <c r="W3832" s="45"/>
    </row>
    <row r="3833">
      <c r="A3833" s="45"/>
      <c r="B3833" s="35" t="str">
        <f>IFERROR(__xludf.DUMMYFUNCTION("""COMPUTED_VALUE"""),"19/05/2026 9:23:20")</f>
        <v>19/05/2026 9:23:20</v>
      </c>
      <c r="C3833" s="35"/>
      <c r="D3833" s="10">
        <f>IFERROR(__xludf.DUMMYFUNCTION("""COMPUTED_VALUE"""),46161.0)</f>
        <v>46161</v>
      </c>
      <c r="E3833" s="35" t="str">
        <f>IFERROR(__xludf.DUMMYFUNCTION("""COMPUTED_VALUE"""),"05Mei")</f>
        <v>05Mei</v>
      </c>
      <c r="F3833" s="35"/>
      <c r="G3833" s="35" t="str">
        <f>IFERROR(__xludf.DUMMYFUNCTION("""COMPUTED_VALUE"""),"TETY MAULIZAR")</f>
        <v>TETY MAULIZAR</v>
      </c>
      <c r="H3833" s="35" t="str">
        <f>IFERROR(__xludf.DUMMYFUNCTION("""COMPUTED_VALUE"""),"T9426050942")</f>
        <v>T9426050942</v>
      </c>
      <c r="I3833" s="35">
        <f>IFERROR(__xludf.DUMMYFUNCTION("""COMPUTED_VALUE"""),31.0)</f>
        <v>31</v>
      </c>
      <c r="J3833" s="35" t="str">
        <f>IFERROR(__xludf.DUMMYFUNCTION("""COMPUTED_VALUE"""),"25-34 tahun")</f>
        <v>25-34 tahun</v>
      </c>
      <c r="K3833" s="35" t="str">
        <f>IFERROR(__xludf.DUMMYFUNCTION("""COMPUTED_VALUE"""),"16/08/1994")</f>
        <v>16/08/1994</v>
      </c>
      <c r="L3833" s="35" t="str">
        <f>IFERROR(__xludf.DUMMYFUNCTION("""COMPUTED_VALUE"""),"PEREMPUAN")</f>
        <v>PEREMPUAN</v>
      </c>
      <c r="M3833" s="35" t="str">
        <f>IFERROR(__xludf.DUMMYFUNCTION("""COMPUTED_VALUE"""),"JL. H. RAIS A. RAHMAN GANG TIONGKANDANG 2 NOMOR 60 B")</f>
        <v>JL. H. RAIS A. RAHMAN GANG TIONGKANDANG 2 NOMOR 60 B</v>
      </c>
      <c r="N3833" s="35" t="str">
        <f>IFERROR(__xludf.DUMMYFUNCTION("""COMPUTED_VALUE"""),"SUNGAI JAWI")</f>
        <v>SUNGAI JAWI</v>
      </c>
      <c r="O3833" s="35" t="str">
        <f>IFERROR(__xludf.DUMMYFUNCTION("""COMPUTED_VALUE"""),"PONTIANAK BARAT")</f>
        <v>PONTIANAK BARAT</v>
      </c>
      <c r="P3833" s="35" t="str">
        <f>IFERROR(__xludf.DUMMYFUNCTION("""COMPUTED_VALUE"""),"PONTIANAK")</f>
        <v>PONTIANAK</v>
      </c>
      <c r="Q3833" s="35" t="str">
        <f>IFERROR(__xludf.DUMMYFUNCTION("""COMPUTED_VALUE"""),"KALIMANTAN BARAT")</f>
        <v>KALIMANTAN BARAT</v>
      </c>
      <c r="R3833" s="35" t="str">
        <f>IFERROR(__xludf.DUMMYFUNCTION("""COMPUTED_VALUE"""),"ISLAM")</f>
        <v>ISLAM</v>
      </c>
      <c r="S3833" s="74" t="str">
        <f>IFERROR(__xludf.DUMMYFUNCTION("""COMPUTED_VALUE"""),"IBU RUMAH TANGGA")</f>
        <v>IBU RUMAH TANGGA</v>
      </c>
      <c r="T3833" s="35" t="str">
        <f>IFERROR(__xludf.DUMMYFUNCTION("""COMPUTED_VALUE"""),"SAKIT PINGGANG")</f>
        <v>SAKIT PINGGANG</v>
      </c>
      <c r="U3833" s="35" t="str">
        <f>IFERROR(__xludf.DUMMYFUNCTION("""COMPUTED_VALUE"""),"KURANG LEBIH 3 BULAN INI SEDANG OLAHRAGA PADEL")</f>
        <v>KURANG LEBIH 3 BULAN INI SEDANG OLAHRAGA PADEL</v>
      </c>
      <c r="V3833" s="35" t="str">
        <f>IFERROR(__xludf.DUMMYFUNCTION("""COMPUTED_VALUE"""),"081253050942")</f>
        <v>081253050942</v>
      </c>
      <c r="W3833" s="45"/>
    </row>
    <row r="3834">
      <c r="A3834" s="45"/>
      <c r="B3834" s="35" t="str">
        <f>IFERROR(__xludf.DUMMYFUNCTION("""COMPUTED_VALUE"""),"19/05/2026 11:59:00")</f>
        <v>19/05/2026 11:59:00</v>
      </c>
      <c r="C3834" s="35"/>
      <c r="D3834" s="10">
        <f>IFERROR(__xludf.DUMMYFUNCTION("""COMPUTED_VALUE"""),46161.0)</f>
        <v>46161</v>
      </c>
      <c r="E3834" s="35" t="str">
        <f>IFERROR(__xludf.DUMMYFUNCTION("""COMPUTED_VALUE"""),"05Mei")</f>
        <v>05Mei</v>
      </c>
      <c r="F3834" s="35"/>
      <c r="G3834" s="35" t="str">
        <f>IFERROR(__xludf.DUMMYFUNCTION("""COMPUTED_VALUE"""),"MARINI")</f>
        <v>MARINI</v>
      </c>
      <c r="H3834" s="35" t="str">
        <f>IFERROR(__xludf.DUMMYFUNCTION("""COMPUTED_VALUE"""),"M8226052553")</f>
        <v>M8226052553</v>
      </c>
      <c r="I3834" s="35">
        <f>IFERROR(__xludf.DUMMYFUNCTION("""COMPUTED_VALUE"""),44.0)</f>
        <v>44</v>
      </c>
      <c r="J3834" s="35" t="str">
        <f>IFERROR(__xludf.DUMMYFUNCTION("""COMPUTED_VALUE"""),"35-44 tahun")</f>
        <v>35-44 tahun</v>
      </c>
      <c r="K3834" s="35" t="str">
        <f>IFERROR(__xludf.DUMMYFUNCTION("""COMPUTED_VALUE"""),"29/03/1982")</f>
        <v>29/03/1982</v>
      </c>
      <c r="L3834" s="35" t="str">
        <f>IFERROR(__xludf.DUMMYFUNCTION("""COMPUTED_VALUE"""),"PEREMPUAN")</f>
        <v>PEREMPUAN</v>
      </c>
      <c r="M3834" s="35" t="str">
        <f>IFERROR(__xludf.DUMMYFUNCTION("""COMPUTED_VALUE"""),"JL. UTEH ABEN")</f>
        <v>JL. UTEH ABEN</v>
      </c>
      <c r="N3834" s="35" t="str">
        <f>IFERROR(__xludf.DUMMYFUNCTION("""COMPUTED_VALUE"""),"DESA MUNGGUK")</f>
        <v>DESA MUNGGUK</v>
      </c>
      <c r="O3834" s="35" t="str">
        <f>IFERROR(__xludf.DUMMYFUNCTION("""COMPUTED_VALUE"""),"SEKADAU HILIR")</f>
        <v>SEKADAU HILIR</v>
      </c>
      <c r="P3834" s="35" t="str">
        <f>IFERROR(__xludf.DUMMYFUNCTION("""COMPUTED_VALUE"""),"SEKADAU")</f>
        <v>SEKADAU</v>
      </c>
      <c r="Q3834" s="35" t="str">
        <f>IFERROR(__xludf.DUMMYFUNCTION("""COMPUTED_VALUE"""),"KALIMANTAN BARAT")</f>
        <v>KALIMANTAN BARAT</v>
      </c>
      <c r="R3834" s="35" t="str">
        <f>IFERROR(__xludf.DUMMYFUNCTION("""COMPUTED_VALUE"""),"ISLAM")</f>
        <v>ISLAM</v>
      </c>
      <c r="S3834" s="74" t="str">
        <f>IFERROR(__xludf.DUMMYFUNCTION("""COMPUTED_VALUE"""),"IBU RUMAH TANGGA")</f>
        <v>IBU RUMAH TANGGA</v>
      </c>
      <c r="T3834" s="35" t="str">
        <f>IFERROR(__xludf.DUMMYFUNCTION("""COMPUTED_VALUE"""),"ACL LUTUT DAN PERSIAPAN OPERASI")</f>
        <v>ACL LUTUT DAN PERSIAPAN OPERASI</v>
      </c>
      <c r="U3834" s="35" t="str">
        <f>IFERROR(__xludf.DUMMYFUNCTION("""COMPUTED_VALUE"""),"BANYAK BERGERAK ")</f>
        <v>BANYAK BERGERAK </v>
      </c>
      <c r="V3834" s="35" t="str">
        <f>IFERROR(__xludf.DUMMYFUNCTION("""COMPUTED_VALUE"""),"081295162553")</f>
        <v>081295162553</v>
      </c>
      <c r="W3834" s="45"/>
    </row>
    <row r="3835">
      <c r="A3835" s="45"/>
      <c r="B3835" s="35" t="str">
        <f>IFERROR(__xludf.DUMMYFUNCTION("""COMPUTED_VALUE"""),"19/05/2026 17:40:41")</f>
        <v>19/05/2026 17:40:41</v>
      </c>
      <c r="C3835" s="35"/>
      <c r="D3835" s="10">
        <f>IFERROR(__xludf.DUMMYFUNCTION("""COMPUTED_VALUE"""),46161.0)</f>
        <v>46161</v>
      </c>
      <c r="E3835" s="35" t="str">
        <f>IFERROR(__xludf.DUMMYFUNCTION("""COMPUTED_VALUE"""),"05Mei")</f>
        <v>05Mei</v>
      </c>
      <c r="F3835" s="35"/>
      <c r="G3835" s="35" t="str">
        <f>IFERROR(__xludf.DUMMYFUNCTION("""COMPUTED_VALUE"""),"NOVIZAR HARTADY")</f>
        <v>NOVIZAR HARTADY</v>
      </c>
      <c r="H3835" s="35" t="str">
        <f>IFERROR(__xludf.DUMMYFUNCTION("""COMPUTED_VALUE"""),"N9526053478")</f>
        <v>N9526053478</v>
      </c>
      <c r="I3835" s="35">
        <f>IFERROR(__xludf.DUMMYFUNCTION("""COMPUTED_VALUE"""),30.0)</f>
        <v>30</v>
      </c>
      <c r="J3835" s="35" t="str">
        <f>IFERROR(__xludf.DUMMYFUNCTION("""COMPUTED_VALUE"""),"25-34 tahun")</f>
        <v>25-34 tahun</v>
      </c>
      <c r="K3835" s="35" t="str">
        <f>IFERROR(__xludf.DUMMYFUNCTION("""COMPUTED_VALUE"""),"25/11/1995")</f>
        <v>25/11/1995</v>
      </c>
      <c r="L3835" s="35" t="str">
        <f>IFERROR(__xludf.DUMMYFUNCTION("""COMPUTED_VALUE"""),"LAKI-LAKI")</f>
        <v>LAKI-LAKI</v>
      </c>
      <c r="M3835" s="35" t="str">
        <f>IFERROR(__xludf.DUMMYFUNCTION("""COMPUTED_VALUE"""),"JALAN SUI RAYA DALAM")</f>
        <v>JALAN SUI RAYA DALAM</v>
      </c>
      <c r="N3835" s="35" t="str">
        <f>IFERROR(__xludf.DUMMYFUNCTION("""COMPUTED_VALUE"""),"SUNGAI RAYA DALAM")</f>
        <v>SUNGAI RAYA DALAM</v>
      </c>
      <c r="O3835" s="35" t="str">
        <f>IFERROR(__xludf.DUMMYFUNCTION("""COMPUTED_VALUE"""),"SUNGAI RAYA")</f>
        <v>SUNGAI RAYA</v>
      </c>
      <c r="P3835" s="35" t="str">
        <f>IFERROR(__xludf.DUMMYFUNCTION("""COMPUTED_VALUE"""),"KUBU RAYA")</f>
        <v>KUBU RAYA</v>
      </c>
      <c r="Q3835" s="35" t="str">
        <f>IFERROR(__xludf.DUMMYFUNCTION("""COMPUTED_VALUE"""),"KALIMANTAN BARAT")</f>
        <v>KALIMANTAN BARAT</v>
      </c>
      <c r="R3835" s="35" t="str">
        <f>IFERROR(__xludf.DUMMYFUNCTION("""COMPUTED_VALUE"""),"ISLAM")</f>
        <v>ISLAM</v>
      </c>
      <c r="S3835" s="74" t="str">
        <f>IFERROR(__xludf.DUMMYFUNCTION("""COMPUTED_VALUE"""),"TIDAK BEKERJA")</f>
        <v>TIDAK BEKERJA</v>
      </c>
      <c r="T3835" s="35" t="str">
        <f>IFERROR(__xludf.DUMMYFUNCTION("""COMPUTED_VALUE"""),"SHIN SPLINT")</f>
        <v>SHIN SPLINT</v>
      </c>
      <c r="U3835" s="35" t="str">
        <f>IFERROR(__xludf.DUMMYFUNCTION("""COMPUTED_VALUE"""),"-")</f>
        <v>-</v>
      </c>
      <c r="V3835" s="35" t="str">
        <f>IFERROR(__xludf.DUMMYFUNCTION("""COMPUTED_VALUE"""),"0895626803478")</f>
        <v>0895626803478</v>
      </c>
      <c r="W3835" s="45"/>
    </row>
    <row r="3836">
      <c r="A3836" s="45"/>
      <c r="B3836" s="35" t="str">
        <f>IFERROR(__xludf.DUMMYFUNCTION("""COMPUTED_VALUE"""),"19/05/2026 18:10:06")</f>
        <v>19/05/2026 18:10:06</v>
      </c>
      <c r="C3836" s="35"/>
      <c r="D3836" s="10">
        <f>IFERROR(__xludf.DUMMYFUNCTION("""COMPUTED_VALUE"""),46161.0)</f>
        <v>46161</v>
      </c>
      <c r="E3836" s="35" t="str">
        <f>IFERROR(__xludf.DUMMYFUNCTION("""COMPUTED_VALUE"""),"05Mei")</f>
        <v>05Mei</v>
      </c>
      <c r="F3836" s="35"/>
      <c r="G3836" s="35" t="str">
        <f>IFERROR(__xludf.DUMMYFUNCTION("""COMPUTED_VALUE"""),"SOBIB")</f>
        <v>SOBIB</v>
      </c>
      <c r="H3836" s="35" t="str">
        <f>IFERROR(__xludf.DUMMYFUNCTION("""COMPUTED_VALUE"""),"S6426051084")</f>
        <v>S6426051084</v>
      </c>
      <c r="I3836" s="35">
        <f>IFERROR(__xludf.DUMMYFUNCTION("""COMPUTED_VALUE"""),62.0)</f>
        <v>62</v>
      </c>
      <c r="J3836" s="35" t="str">
        <f>IFERROR(__xludf.DUMMYFUNCTION("""COMPUTED_VALUE"""),"&gt; 44 tahun")</f>
        <v>&gt; 44 tahun</v>
      </c>
      <c r="K3836" s="35" t="str">
        <f>IFERROR(__xludf.DUMMYFUNCTION("""COMPUTED_VALUE"""),"12/06/1964")</f>
        <v>12/06/1964</v>
      </c>
      <c r="L3836" s="35" t="str">
        <f>IFERROR(__xludf.DUMMYFUNCTION("""COMPUTED_VALUE"""),"LAKI-LAKI")</f>
        <v>LAKI-LAKI</v>
      </c>
      <c r="M3836" s="35" t="str">
        <f>IFERROR(__xludf.DUMMYFUNCTION("""COMPUTED_VALUE"""),"JL. 28 OKTOBER GG. SIDO MUKTI")</f>
        <v>JL. 28 OKTOBER GG. SIDO MUKTI</v>
      </c>
      <c r="N3836" s="35" t="str">
        <f>IFERROR(__xludf.DUMMYFUNCTION("""COMPUTED_VALUE"""),"KELURAHAN SIANTAN HULU")</f>
        <v>KELURAHAN SIANTAN HULU</v>
      </c>
      <c r="O3836" s="35" t="str">
        <f>IFERROR(__xludf.DUMMYFUNCTION("""COMPUTED_VALUE"""),"KECAMATAN PONTIANAK UTARA")</f>
        <v>KECAMATAN PONTIANAK UTARA</v>
      </c>
      <c r="P3836" s="35" t="str">
        <f>IFERROR(__xludf.DUMMYFUNCTION("""COMPUTED_VALUE"""),"KOTA PONTIANAK")</f>
        <v>KOTA PONTIANAK</v>
      </c>
      <c r="Q3836" s="35" t="str">
        <f>IFERROR(__xludf.DUMMYFUNCTION("""COMPUTED_VALUE"""),"KALIMANTAN BARAT")</f>
        <v>KALIMANTAN BARAT</v>
      </c>
      <c r="R3836" s="35" t="str">
        <f>IFERROR(__xludf.DUMMYFUNCTION("""COMPUTED_VALUE"""),"ISLAM")</f>
        <v>ISLAM</v>
      </c>
      <c r="S3836" s="74" t="str">
        <f>IFERROR(__xludf.DUMMYFUNCTION("""COMPUTED_VALUE"""),"PENSIUN")</f>
        <v>PENSIUN</v>
      </c>
      <c r="T3836" s="35" t="str">
        <f>IFERROR(__xludf.DUMMYFUNCTION("""COMPUTED_VALUE"""),"LEMAH PADA KAKI DAN TANGAN SEBELAH KANAN")</f>
        <v>LEMAH PADA KAKI DAN TANGAN SEBELAH KANAN</v>
      </c>
      <c r="U3836" s="35" t="str">
        <f>IFERROR(__xludf.DUMMYFUNCTION("""COMPUTED_VALUE"""),"BERKEBUN")</f>
        <v>BERKEBUN</v>
      </c>
      <c r="V3836" s="35" t="str">
        <f>IFERROR(__xludf.DUMMYFUNCTION("""COMPUTED_VALUE"""),"089693761084")</f>
        <v>089693761084</v>
      </c>
      <c r="W3836" s="45"/>
    </row>
    <row r="3837">
      <c r="A3837" s="45"/>
      <c r="B3837" s="35" t="str">
        <f>IFERROR(__xludf.DUMMYFUNCTION("""COMPUTED_VALUE"""),"20/05/2026 10:28:42")</f>
        <v>20/05/2026 10:28:42</v>
      </c>
      <c r="C3837" s="35"/>
      <c r="D3837" s="10">
        <f>IFERROR(__xludf.DUMMYFUNCTION("""COMPUTED_VALUE"""),46162.0)</f>
        <v>46162</v>
      </c>
      <c r="E3837" s="35" t="str">
        <f>IFERROR(__xludf.DUMMYFUNCTION("""COMPUTED_VALUE"""),"05Mei")</f>
        <v>05Mei</v>
      </c>
      <c r="F3837" s="35"/>
      <c r="G3837" s="35" t="str">
        <f>IFERROR(__xludf.DUMMYFUNCTION("""COMPUTED_VALUE"""),"FATIH RIDHO PERMANA ")</f>
        <v>FATIH RIDHO PERMANA </v>
      </c>
      <c r="H3837" s="35" t="str">
        <f>IFERROR(__xludf.DUMMYFUNCTION("""COMPUTED_VALUE"""),"F1126059700")</f>
        <v>F1126059700</v>
      </c>
      <c r="I3837" s="35">
        <f>IFERROR(__xludf.DUMMYFUNCTION("""COMPUTED_VALUE"""),15.0)</f>
        <v>15</v>
      </c>
      <c r="J3837" s="35" t="str">
        <f>IFERROR(__xludf.DUMMYFUNCTION("""COMPUTED_VALUE"""),"&lt; 18 tahun")</f>
        <v>&lt; 18 tahun</v>
      </c>
      <c r="K3837" s="35" t="str">
        <f>IFERROR(__xludf.DUMMYFUNCTION("""COMPUTED_VALUE"""),"09/01/2011")</f>
        <v>09/01/2011</v>
      </c>
      <c r="L3837" s="35" t="str">
        <f>IFERROR(__xludf.DUMMYFUNCTION("""COMPUTED_VALUE"""),"LAKI-LAKI")</f>
        <v>LAKI-LAKI</v>
      </c>
      <c r="M3837" s="35" t="str">
        <f>IFERROR(__xludf.DUMMYFUNCTION("""COMPUTED_VALUE"""),"JL. AMPERA KOMP. PERMATA AMPERA F8")</f>
        <v>JL. AMPERA KOMP. PERMATA AMPERA F8</v>
      </c>
      <c r="N3837" s="35" t="str">
        <f>IFERROR(__xludf.DUMMYFUNCTION("""COMPUTED_VALUE"""),"SUNGAI JAWI")</f>
        <v>SUNGAI JAWI</v>
      </c>
      <c r="O3837" s="35" t="str">
        <f>IFERROR(__xludf.DUMMYFUNCTION("""COMPUTED_VALUE"""),"PONTIANAK KOTA ")</f>
        <v>PONTIANAK KOTA </v>
      </c>
      <c r="P3837" s="35" t="str">
        <f>IFERROR(__xludf.DUMMYFUNCTION("""COMPUTED_VALUE"""),"PONTIANAK ")</f>
        <v>PONTIANAK </v>
      </c>
      <c r="Q3837" s="35" t="str">
        <f>IFERROR(__xludf.DUMMYFUNCTION("""COMPUTED_VALUE"""),"KALIMANTAN BARAT ")</f>
        <v>KALIMANTAN BARAT </v>
      </c>
      <c r="R3837" s="35" t="str">
        <f>IFERROR(__xludf.DUMMYFUNCTION("""COMPUTED_VALUE"""),"ISLAM")</f>
        <v>ISLAM</v>
      </c>
      <c r="S3837" s="74" t="str">
        <f>IFERROR(__xludf.DUMMYFUNCTION("""COMPUTED_VALUE"""),"PELAJAR")</f>
        <v>PELAJAR</v>
      </c>
      <c r="T3837" s="35" t="str">
        <f>IFERROR(__xludf.DUMMYFUNCTION("""COMPUTED_VALUE"""),"NYERI BAGIAN PANTAT SAAT MENUNDUK ")</f>
        <v>NYERI BAGIAN PANTAT SAAT MENUNDUK </v>
      </c>
      <c r="U3837" s="35" t="str">
        <f>IFERROR(__xludf.DUMMYFUNCTION("""COMPUTED_VALUE"""),"OLAHRAGA ")</f>
        <v>OLAHRAGA </v>
      </c>
      <c r="V3837" s="35" t="str">
        <f>IFERROR(__xludf.DUMMYFUNCTION("""COMPUTED_VALUE"""),"081345039700")</f>
        <v>081345039700</v>
      </c>
      <c r="W3837" s="45"/>
    </row>
    <row r="3838">
      <c r="A3838" s="45"/>
      <c r="B3838" s="35" t="str">
        <f>IFERROR(__xludf.DUMMYFUNCTION("""COMPUTED_VALUE"""),"20/05/2026 14:17:59")</f>
        <v>20/05/2026 14:17:59</v>
      </c>
      <c r="C3838" s="35"/>
      <c r="D3838" s="10">
        <f>IFERROR(__xludf.DUMMYFUNCTION("""COMPUTED_VALUE"""),46162.0)</f>
        <v>46162</v>
      </c>
      <c r="E3838" s="35" t="str">
        <f>IFERROR(__xludf.DUMMYFUNCTION("""COMPUTED_VALUE"""),"05Mei")</f>
        <v>05Mei</v>
      </c>
      <c r="F3838" s="35"/>
      <c r="G3838" s="35" t="str">
        <f>IFERROR(__xludf.DUMMYFUNCTION("""COMPUTED_VALUE"""),"HENGKY")</f>
        <v>HENGKY</v>
      </c>
      <c r="H3838" s="35" t="str">
        <f>IFERROR(__xludf.DUMMYFUNCTION("""COMPUTED_VALUE"""),"H0426052417")</f>
        <v>H0426052417</v>
      </c>
      <c r="I3838" s="35">
        <f>IFERROR(__xludf.DUMMYFUNCTION("""COMPUTED_VALUE"""),22.0)</f>
        <v>22</v>
      </c>
      <c r="J3838" s="35" t="str">
        <f>IFERROR(__xludf.DUMMYFUNCTION("""COMPUTED_VALUE"""),"18-24 tahun")</f>
        <v>18-24 tahun</v>
      </c>
      <c r="K3838" s="35" t="str">
        <f>IFERROR(__xludf.DUMMYFUNCTION("""COMPUTED_VALUE"""),"24/04/2004")</f>
        <v>24/04/2004</v>
      </c>
      <c r="L3838" s="35" t="str">
        <f>IFERROR(__xludf.DUMMYFUNCTION("""COMPUTED_VALUE"""),"LAKI-LAKI")</f>
        <v>LAKI-LAKI</v>
      </c>
      <c r="M3838" s="35" t="str">
        <f>IFERROR(__xludf.DUMMYFUNCTION("""COMPUTED_VALUE"""),"JL.PURNAMA GANG PURNAMA ANGREEK II NO.D5")</f>
        <v>JL.PURNAMA GANG PURNAMA ANGREEK II NO.D5</v>
      </c>
      <c r="N3838" s="35" t="str">
        <f>IFERROR(__xludf.DUMMYFUNCTION("""COMPUTED_VALUE"""),"PARIT TOKAYA")</f>
        <v>PARIT TOKAYA</v>
      </c>
      <c r="O3838" s="35" t="str">
        <f>IFERROR(__xludf.DUMMYFUNCTION("""COMPUTED_VALUE"""),"PONTIANAK SELATAN")</f>
        <v>PONTIANAK SELATAN</v>
      </c>
      <c r="P3838" s="35" t="str">
        <f>IFERROR(__xludf.DUMMYFUNCTION("""COMPUTED_VALUE"""),"PONTIANAK")</f>
        <v>PONTIANAK</v>
      </c>
      <c r="Q3838" s="35" t="str">
        <f>IFERROR(__xludf.DUMMYFUNCTION("""COMPUTED_VALUE"""),"KALIMANTAN BARAT")</f>
        <v>KALIMANTAN BARAT</v>
      </c>
      <c r="R3838" s="35" t="str">
        <f>IFERROR(__xludf.DUMMYFUNCTION("""COMPUTED_VALUE"""),"BUDDHA")</f>
        <v>BUDDHA</v>
      </c>
      <c r="S3838" s="74" t="str">
        <f>IFERROR(__xludf.DUMMYFUNCTION("""COMPUTED_VALUE"""),"KARYAWAN")</f>
        <v>KARYAWAN</v>
      </c>
      <c r="T3838" s="35" t="str">
        <f>IFERROR(__xludf.DUMMYFUNCTION("""COMPUTED_VALUE"""),"KAKI KANAN LEBIH PANJANG, KALAU DILURUSKAN NAIK SAMPAI PINGGANG JADI MIRING BADANNYA")</f>
        <v>KAKI KANAN LEBIH PANJANG, KALAU DILURUSKAN NAIK SAMPAI PINGGANG JADI MIRING BADANNYA</v>
      </c>
      <c r="U3838" s="35" t="str">
        <f>IFERROR(__xludf.DUMMYFUNCTION("""COMPUTED_VALUE"""),"GYM, DUDUK KERJA")</f>
        <v>GYM, DUDUK KERJA</v>
      </c>
      <c r="V3838" s="35" t="str">
        <f>IFERROR(__xludf.DUMMYFUNCTION("""COMPUTED_VALUE"""),"0895702492417")</f>
        <v>0895702492417</v>
      </c>
      <c r="W3838" s="45"/>
    </row>
    <row r="3839">
      <c r="A3839" s="45"/>
      <c r="B3839" s="35" t="str">
        <f>IFERROR(__xludf.DUMMYFUNCTION("""COMPUTED_VALUE"""),"20/05/2026 15:49:52")</f>
        <v>20/05/2026 15:49:52</v>
      </c>
      <c r="C3839" s="35"/>
      <c r="D3839" s="10">
        <f>IFERROR(__xludf.DUMMYFUNCTION("""COMPUTED_VALUE"""),46162.0)</f>
        <v>46162</v>
      </c>
      <c r="E3839" s="35" t="str">
        <f>IFERROR(__xludf.DUMMYFUNCTION("""COMPUTED_VALUE"""),"05Mei")</f>
        <v>05Mei</v>
      </c>
      <c r="F3839" s="35"/>
      <c r="G3839" s="35" t="str">
        <f>IFERROR(__xludf.DUMMYFUNCTION("""COMPUTED_VALUE"""),"KRISTIAN DENNIS")</f>
        <v>KRISTIAN DENNIS</v>
      </c>
      <c r="H3839" s="35" t="str">
        <f>IFERROR(__xludf.DUMMYFUNCTION("""COMPUTED_VALUE"""),"K0726053360")</f>
        <v>K0726053360</v>
      </c>
      <c r="I3839" s="35">
        <f>IFERROR(__xludf.DUMMYFUNCTION("""COMPUTED_VALUE"""),18.0)</f>
        <v>18</v>
      </c>
      <c r="J3839" s="35" t="str">
        <f>IFERROR(__xludf.DUMMYFUNCTION("""COMPUTED_VALUE"""),"&lt; 18 tahun")</f>
        <v>&lt; 18 tahun</v>
      </c>
      <c r="K3839" s="35" t="str">
        <f>IFERROR(__xludf.DUMMYFUNCTION("""COMPUTED_VALUE"""),"24/12/2007")</f>
        <v>24/12/2007</v>
      </c>
      <c r="L3839" s="35" t="str">
        <f>IFERROR(__xludf.DUMMYFUNCTION("""COMPUTED_VALUE"""),"LAKI-LAKI")</f>
        <v>LAKI-LAKI</v>
      </c>
      <c r="M3839" s="35" t="str">
        <f>IFERROR(__xludf.DUMMYFUNCTION("""COMPUTED_VALUE"""),"DUSUN BELIAN PERMAI")</f>
        <v>DUSUN BELIAN PERMAI</v>
      </c>
      <c r="N3839" s="35" t="str">
        <f>IFERROR(__xludf.DUMMYFUNCTION("""COMPUTED_VALUE"""),"PAAL")</f>
        <v>PAAL</v>
      </c>
      <c r="O3839" s="35" t="str">
        <f>IFERROR(__xludf.DUMMYFUNCTION("""COMPUTED_VALUE"""),"NANGA PINOH ")</f>
        <v>NANGA PINOH </v>
      </c>
      <c r="P3839" s="35" t="str">
        <f>IFERROR(__xludf.DUMMYFUNCTION("""COMPUTED_VALUE"""),"MELAWI")</f>
        <v>MELAWI</v>
      </c>
      <c r="Q3839" s="35" t="str">
        <f>IFERROR(__xludf.DUMMYFUNCTION("""COMPUTED_VALUE"""),"KALBAR")</f>
        <v>KALBAR</v>
      </c>
      <c r="R3839" s="35" t="str">
        <f>IFERROR(__xludf.DUMMYFUNCTION("""COMPUTED_VALUE"""),"PROTESTAN")</f>
        <v>PROTESTAN</v>
      </c>
      <c r="S3839" s="74" t="str">
        <f>IFERROR(__xludf.DUMMYFUNCTION("""COMPUTED_VALUE"""),"MAHASISWA ")</f>
        <v>MAHASISWA </v>
      </c>
      <c r="T3839" s="35" t="str">
        <f>IFERROR(__xludf.DUMMYFUNCTION("""COMPUTED_VALUE"""),"LUTUT KANAN BENGKAK AKIBAT KECELAKAAN ")</f>
        <v>LUTUT KANAN BENGKAK AKIBAT KECELAKAAN </v>
      </c>
      <c r="U3839" s="35" t="str">
        <f>IFERROR(__xludf.DUMMYFUNCTION("""COMPUTED_VALUE"""),"FUTSAL/BOLA")</f>
        <v>FUTSAL/BOLA</v>
      </c>
      <c r="V3839" s="35" t="str">
        <f>IFERROR(__xludf.DUMMYFUNCTION("""COMPUTED_VALUE"""),"082254993360")</f>
        <v>082254993360</v>
      </c>
      <c r="W3839" s="45"/>
    </row>
    <row r="3840">
      <c r="A3840" s="45"/>
      <c r="B3840" s="35" t="str">
        <f>IFERROR(__xludf.DUMMYFUNCTION("""COMPUTED_VALUE"""),"20/05/2026 14:51:05")</f>
        <v>20/05/2026 14:51:05</v>
      </c>
      <c r="C3840" s="35"/>
      <c r="D3840" s="10">
        <f>IFERROR(__xludf.DUMMYFUNCTION("""COMPUTED_VALUE"""),46162.0)</f>
        <v>46162</v>
      </c>
      <c r="E3840" s="35" t="str">
        <f>IFERROR(__xludf.DUMMYFUNCTION("""COMPUTED_VALUE"""),"05Mei")</f>
        <v>05Mei</v>
      </c>
      <c r="F3840" s="35"/>
      <c r="G3840" s="35" t="str">
        <f>IFERROR(__xludf.DUMMYFUNCTION("""COMPUTED_VALUE"""),"CHAIRUL DWIYANDI")</f>
        <v>CHAIRUL DWIYANDI</v>
      </c>
      <c r="H3840" s="35" t="str">
        <f>IFERROR(__xludf.DUMMYFUNCTION("""COMPUTED_VALUE"""),"C9226050306")</f>
        <v>C9226050306</v>
      </c>
      <c r="I3840" s="35">
        <f>IFERROR(__xludf.DUMMYFUNCTION("""COMPUTED_VALUE"""),33.0)</f>
        <v>33</v>
      </c>
      <c r="J3840" s="35" t="str">
        <f>IFERROR(__xludf.DUMMYFUNCTION("""COMPUTED_VALUE"""),"25-34 tahun")</f>
        <v>25-34 tahun</v>
      </c>
      <c r="K3840" s="35" t="str">
        <f>IFERROR(__xludf.DUMMYFUNCTION("""COMPUTED_VALUE"""),"14/12/1992")</f>
        <v>14/12/1992</v>
      </c>
      <c r="L3840" s="35" t="str">
        <f>IFERROR(__xludf.DUMMYFUNCTION("""COMPUTED_VALUE"""),"LAKI-LAKI")</f>
        <v>LAKI-LAKI</v>
      </c>
      <c r="M3840" s="35" t="str">
        <f>IFERROR(__xludf.DUMMYFUNCTION("""COMPUTED_VALUE"""),"JL TANJUNG RAYA 2 GG MUSYAWARAH")</f>
        <v>JL TANJUNG RAYA 2 GG MUSYAWARAH</v>
      </c>
      <c r="N3840" s="35" t="str">
        <f>IFERROR(__xludf.DUMMYFUNCTION("""COMPUTED_VALUE"""),"DALAM BUGIS")</f>
        <v>DALAM BUGIS</v>
      </c>
      <c r="O3840" s="35" t="str">
        <f>IFERROR(__xludf.DUMMYFUNCTION("""COMPUTED_VALUE"""),"PONTIANAK TIMUR")</f>
        <v>PONTIANAK TIMUR</v>
      </c>
      <c r="P3840" s="35" t="str">
        <f>IFERROR(__xludf.DUMMYFUNCTION("""COMPUTED_VALUE"""),"PONTIANAK")</f>
        <v>PONTIANAK</v>
      </c>
      <c r="Q3840" s="35" t="str">
        <f>IFERROR(__xludf.DUMMYFUNCTION("""COMPUTED_VALUE"""),"KALIMANTAN BARAT")</f>
        <v>KALIMANTAN BARAT</v>
      </c>
      <c r="R3840" s="35" t="str">
        <f>IFERROR(__xludf.DUMMYFUNCTION("""COMPUTED_VALUE"""),"ISLAM")</f>
        <v>ISLAM</v>
      </c>
      <c r="S3840" s="74" t="str">
        <f>IFERROR(__xludf.DUMMYFUNCTION("""COMPUTED_VALUE"""),"FREELANCE")</f>
        <v>FREELANCE</v>
      </c>
      <c r="T3840" s="35" t="str">
        <f>IFERROR(__xludf.DUMMYFUNCTION("""COMPUTED_VALUE"""),"SAKIT PINGGANG")</f>
        <v>SAKIT PINGGANG</v>
      </c>
      <c r="U3840" s="35" t="str">
        <f>IFERROR(__xludf.DUMMYFUNCTION("""COMPUTED_VALUE"""),"HABIS KERJA LUMAYAN PAKE TENAGA, ANGKAT2 MINERAL DUS2AN")</f>
        <v>HABIS KERJA LUMAYAN PAKE TENAGA, ANGKAT2 MINERAL DUS2AN</v>
      </c>
      <c r="V3840" s="35" t="str">
        <f>IFERROR(__xludf.DUMMYFUNCTION("""COMPUTED_VALUE"""),"085167550306")</f>
        <v>085167550306</v>
      </c>
      <c r="W3840" s="45"/>
    </row>
    <row r="3841">
      <c r="A3841" s="45"/>
      <c r="B3841" s="35" t="str">
        <f>IFERROR(__xludf.DUMMYFUNCTION("""COMPUTED_VALUE"""),"20/05/2026 18:53:36")</f>
        <v>20/05/2026 18:53:36</v>
      </c>
      <c r="C3841" s="35"/>
      <c r="D3841" s="10">
        <f>IFERROR(__xludf.DUMMYFUNCTION("""COMPUTED_VALUE"""),46162.0)</f>
        <v>46162</v>
      </c>
      <c r="E3841" s="35" t="str">
        <f>IFERROR(__xludf.DUMMYFUNCTION("""COMPUTED_VALUE"""),"05Mei")</f>
        <v>05Mei</v>
      </c>
      <c r="F3841" s="35"/>
      <c r="G3841" s="35" t="str">
        <f>IFERROR(__xludf.DUMMYFUNCTION("""COMPUTED_VALUE"""),"HERMAN")</f>
        <v>HERMAN</v>
      </c>
      <c r="H3841" s="35" t="str">
        <f>IFERROR(__xludf.DUMMYFUNCTION("""COMPUTED_VALUE"""),"H7726050221")</f>
        <v>H7726050221</v>
      </c>
      <c r="I3841" s="35">
        <f>IFERROR(__xludf.DUMMYFUNCTION("""COMPUTED_VALUE"""),48.0)</f>
        <v>48</v>
      </c>
      <c r="J3841" s="35" t="str">
        <f>IFERROR(__xludf.DUMMYFUNCTION("""COMPUTED_VALUE"""),"&gt; 44 tahun")</f>
        <v>&gt; 44 tahun</v>
      </c>
      <c r="K3841" s="35" t="str">
        <f>IFERROR(__xludf.DUMMYFUNCTION("""COMPUTED_VALUE"""),"16/10/1977")</f>
        <v>16/10/1977</v>
      </c>
      <c r="L3841" s="35" t="str">
        <f>IFERROR(__xludf.DUMMYFUNCTION("""COMPUTED_VALUE"""),"LAKI-LAKI")</f>
        <v>LAKI-LAKI</v>
      </c>
      <c r="M3841" s="35" t="str">
        <f>IFERROR(__xludf.DUMMYFUNCTION("""COMPUTED_VALUE"""),"JL SELAT SUMBA GG LESTARI KOMPLEK LESTARI INDAH")</f>
        <v>JL SELAT SUMBA GG LESTARI KOMPLEK LESTARI INDAH</v>
      </c>
      <c r="N3841" s="35" t="str">
        <f>IFERROR(__xludf.DUMMYFUNCTION("""COMPUTED_VALUE"""),"SIANTAN TENGAH")</f>
        <v>SIANTAN TENGAH</v>
      </c>
      <c r="O3841" s="35" t="str">
        <f>IFERROR(__xludf.DUMMYFUNCTION("""COMPUTED_VALUE"""),"PONTIANAK UTARA")</f>
        <v>PONTIANAK UTARA</v>
      </c>
      <c r="P3841" s="35" t="str">
        <f>IFERROR(__xludf.DUMMYFUNCTION("""COMPUTED_VALUE"""),"PONTIANAK")</f>
        <v>PONTIANAK</v>
      </c>
      <c r="Q3841" s="35" t="str">
        <f>IFERROR(__xludf.DUMMYFUNCTION("""COMPUTED_VALUE"""),"KALIMANTAN BARAT")</f>
        <v>KALIMANTAN BARAT</v>
      </c>
      <c r="R3841" s="35" t="str">
        <f>IFERROR(__xludf.DUMMYFUNCTION("""COMPUTED_VALUE"""),"BUDDHA")</f>
        <v>BUDDHA</v>
      </c>
      <c r="S3841" s="74" t="str">
        <f>IFERROR(__xludf.DUMMYFUNCTION("""COMPUTED_VALUE"""),"WIRASWASTA")</f>
        <v>WIRASWASTA</v>
      </c>
      <c r="T3841" s="35" t="str">
        <f>IFERROR(__xludf.DUMMYFUNCTION("""COMPUTED_VALUE"""),"SEBELAH JARI TANGAN BELUM BISA DIGERAKKAN DAN DIGENGGAM TERUS SEDIKIT BENGKAK")</f>
        <v>SEBELAH JARI TANGAN BELUM BISA DIGERAKKAN DAN DIGENGGAM TERUS SEDIKIT BENGKAK</v>
      </c>
      <c r="U3841" s="35" t="str">
        <f>IFERROR(__xludf.DUMMYFUNCTION("""COMPUTED_VALUE"""),"LEBIH SERING PENCET HP")</f>
        <v>LEBIH SERING PENCET HP</v>
      </c>
      <c r="V3841" s="35" t="str">
        <f>IFERROR(__xludf.DUMMYFUNCTION("""COMPUTED_VALUE"""),"081349340221")</f>
        <v>081349340221</v>
      </c>
      <c r="W3841" s="45"/>
    </row>
    <row r="3842">
      <c r="A3842" s="45"/>
      <c r="B3842" s="35" t="str">
        <f>IFERROR(__xludf.DUMMYFUNCTION("""COMPUTED_VALUE"""),"20/05/2026 17:11:33")</f>
        <v>20/05/2026 17:11:33</v>
      </c>
      <c r="C3842" s="35"/>
      <c r="D3842" s="10">
        <f>IFERROR(__xludf.DUMMYFUNCTION("""COMPUTED_VALUE"""),46162.0)</f>
        <v>46162</v>
      </c>
      <c r="E3842" s="35" t="str">
        <f>IFERROR(__xludf.DUMMYFUNCTION("""COMPUTED_VALUE"""),"05Mei")</f>
        <v>05Mei</v>
      </c>
      <c r="F3842" s="35"/>
      <c r="G3842" s="35" t="str">
        <f>IFERROR(__xludf.DUMMYFUNCTION("""COMPUTED_VALUE"""),"TARI MARDIANA")</f>
        <v>TARI MARDIANA</v>
      </c>
      <c r="H3842" s="35" t="str">
        <f>IFERROR(__xludf.DUMMYFUNCTION("""COMPUTED_VALUE"""),"T8926058124")</f>
        <v>T8926058124</v>
      </c>
      <c r="I3842" s="35">
        <f>IFERROR(__xludf.DUMMYFUNCTION("""COMPUTED_VALUE"""),37.0)</f>
        <v>37</v>
      </c>
      <c r="J3842" s="35" t="str">
        <f>IFERROR(__xludf.DUMMYFUNCTION("""COMPUTED_VALUE"""),"35-44 tahun")</f>
        <v>35-44 tahun</v>
      </c>
      <c r="K3842" s="35" t="str">
        <f>IFERROR(__xludf.DUMMYFUNCTION("""COMPUTED_VALUE"""),"19/03/1989")</f>
        <v>19/03/1989</v>
      </c>
      <c r="L3842" s="35" t="str">
        <f>IFERROR(__xludf.DUMMYFUNCTION("""COMPUTED_VALUE"""),"PEREMPUAN")</f>
        <v>PEREMPUAN</v>
      </c>
      <c r="M3842" s="35" t="str">
        <f>IFERROR(__xludf.DUMMYFUNCTION("""COMPUTED_VALUE"""),"JL. P. NATAKUSUMA GG. KARANGANYAR NO 24")</f>
        <v>JL. P. NATAKUSUMA GG. KARANGANYAR NO 24</v>
      </c>
      <c r="N3842" s="35" t="str">
        <f>IFERROR(__xludf.DUMMYFUNCTION("""COMPUTED_VALUE"""),"KEL. SUNGAI BANGKONG")</f>
        <v>KEL. SUNGAI BANGKONG</v>
      </c>
      <c r="O3842" s="35" t="str">
        <f>IFERROR(__xludf.DUMMYFUNCTION("""COMPUTED_VALUE"""),"KECAMATAN PONTIANAK KOTA")</f>
        <v>KECAMATAN PONTIANAK KOTA</v>
      </c>
      <c r="P3842" s="35" t="str">
        <f>IFERROR(__xludf.DUMMYFUNCTION("""COMPUTED_VALUE"""),"KOTA PONTIANAK")</f>
        <v>KOTA PONTIANAK</v>
      </c>
      <c r="Q3842" s="35" t="str">
        <f>IFERROR(__xludf.DUMMYFUNCTION("""COMPUTED_VALUE"""),"KALIMANTAN BARAT")</f>
        <v>KALIMANTAN BARAT</v>
      </c>
      <c r="R3842" s="35" t="str">
        <f>IFERROR(__xludf.DUMMYFUNCTION("""COMPUTED_VALUE"""),"ISLAM")</f>
        <v>ISLAM</v>
      </c>
      <c r="S3842" s="74" t="str">
        <f>IFERROR(__xludf.DUMMYFUNCTION("""COMPUTED_VALUE"""),"SWASTA")</f>
        <v>SWASTA</v>
      </c>
      <c r="T3842" s="35" t="str">
        <f>IFERROR(__xludf.DUMMYFUNCTION("""COMPUTED_VALUE"""),"SAKIT DI PERGELANGAN TANGAN KANAN, SAKIT SAAT POSISI SUJUD, SAKIT HILANG DATANG SUDAH SEMINGGU")</f>
        <v>SAKIT DI PERGELANGAN TANGAN KANAN, SAKIT SAAT POSISI SUJUD, SAKIT HILANG DATANG SUDAH SEMINGGU</v>
      </c>
      <c r="U3842" s="35" t="str">
        <f>IFERROR(__xludf.DUMMYFUNCTION("""COMPUTED_VALUE"""),"MAIN PICKLE, TENIS, BEKERJA SEHARIAN MENGETIK")</f>
        <v>MAIN PICKLE, TENIS, BEKERJA SEHARIAN MENGETIK</v>
      </c>
      <c r="V3842" s="35" t="str">
        <f>IFERROR(__xludf.DUMMYFUNCTION("""COMPUTED_VALUE"""),"087715728124")</f>
        <v>087715728124</v>
      </c>
      <c r="W3842" s="45"/>
    </row>
    <row r="3843">
      <c r="A3843" s="45"/>
      <c r="B3843" s="35" t="str">
        <f>IFERROR(__xludf.DUMMYFUNCTION("""COMPUTED_VALUE"""),"20/05/2026 18:53:36")</f>
        <v>20/05/2026 18:53:36</v>
      </c>
      <c r="C3843" s="35"/>
      <c r="D3843" s="10">
        <f>IFERROR(__xludf.DUMMYFUNCTION("""COMPUTED_VALUE"""),46163.0)</f>
        <v>46163</v>
      </c>
      <c r="E3843" s="35" t="str">
        <f>IFERROR(__xludf.DUMMYFUNCTION("""COMPUTED_VALUE"""),"05Mei")</f>
        <v>05Mei</v>
      </c>
      <c r="F3843" s="35"/>
      <c r="G3843" s="35" t="str">
        <f>IFERROR(__xludf.DUMMYFUNCTION("""COMPUTED_VALUE"""),"HERMAN")</f>
        <v>HERMAN</v>
      </c>
      <c r="H3843" s="35" t="str">
        <f>IFERROR(__xludf.DUMMYFUNCTION("""COMPUTED_VALUE"""),"H7726050221")</f>
        <v>H7726050221</v>
      </c>
      <c r="I3843" s="35">
        <f>IFERROR(__xludf.DUMMYFUNCTION("""COMPUTED_VALUE"""),48.0)</f>
        <v>48</v>
      </c>
      <c r="J3843" s="35" t="str">
        <f>IFERROR(__xludf.DUMMYFUNCTION("""COMPUTED_VALUE"""),"&gt; 44 tahun")</f>
        <v>&gt; 44 tahun</v>
      </c>
      <c r="K3843" s="35" t="str">
        <f>IFERROR(__xludf.DUMMYFUNCTION("""COMPUTED_VALUE"""),"16/10/1977")</f>
        <v>16/10/1977</v>
      </c>
      <c r="L3843" s="35" t="str">
        <f>IFERROR(__xludf.DUMMYFUNCTION("""COMPUTED_VALUE"""),"LAKI-LAKI")</f>
        <v>LAKI-LAKI</v>
      </c>
      <c r="M3843" s="35" t="str">
        <f>IFERROR(__xludf.DUMMYFUNCTION("""COMPUTED_VALUE"""),"JL SELAT SUMBA GG LESTARI KOMPLEK LESTARI INDAH")</f>
        <v>JL SELAT SUMBA GG LESTARI KOMPLEK LESTARI INDAH</v>
      </c>
      <c r="N3843" s="35" t="str">
        <f>IFERROR(__xludf.DUMMYFUNCTION("""COMPUTED_VALUE"""),"SIANTAN TENGAH")</f>
        <v>SIANTAN TENGAH</v>
      </c>
      <c r="O3843" s="35" t="str">
        <f>IFERROR(__xludf.DUMMYFUNCTION("""COMPUTED_VALUE"""),"PONTIANAK UTARA")</f>
        <v>PONTIANAK UTARA</v>
      </c>
      <c r="P3843" s="35" t="str">
        <f>IFERROR(__xludf.DUMMYFUNCTION("""COMPUTED_VALUE"""),"PONTIANAK")</f>
        <v>PONTIANAK</v>
      </c>
      <c r="Q3843" s="35" t="str">
        <f>IFERROR(__xludf.DUMMYFUNCTION("""COMPUTED_VALUE"""),"KALIMANTAN BARAT")</f>
        <v>KALIMANTAN BARAT</v>
      </c>
      <c r="R3843" s="35" t="str">
        <f>IFERROR(__xludf.DUMMYFUNCTION("""COMPUTED_VALUE"""),"BUDDHA")</f>
        <v>BUDDHA</v>
      </c>
      <c r="S3843" s="74" t="str">
        <f>IFERROR(__xludf.DUMMYFUNCTION("""COMPUTED_VALUE"""),"WIRASWASTA")</f>
        <v>WIRASWASTA</v>
      </c>
      <c r="T3843" s="35" t="str">
        <f>IFERROR(__xludf.DUMMYFUNCTION("""COMPUTED_VALUE"""),"SEBELAH JARI TANGAN BELUM BISA DIGERAKKAN DAN DIGENGGAM TERUS SEDIKIT BENGKAK")</f>
        <v>SEBELAH JARI TANGAN BELUM BISA DIGERAKKAN DAN DIGENGGAM TERUS SEDIKIT BENGKAK</v>
      </c>
      <c r="U3843" s="35" t="str">
        <f>IFERROR(__xludf.DUMMYFUNCTION("""COMPUTED_VALUE"""),"LEBIH SERING PENCET HP")</f>
        <v>LEBIH SERING PENCET HP</v>
      </c>
      <c r="V3843" s="35" t="str">
        <f>IFERROR(__xludf.DUMMYFUNCTION("""COMPUTED_VALUE"""),"081349340221")</f>
        <v>081349340221</v>
      </c>
      <c r="W3843" s="45"/>
    </row>
    <row r="3844">
      <c r="A3844" s="45"/>
      <c r="B3844" s="35" t="str">
        <f>IFERROR(__xludf.DUMMYFUNCTION("""COMPUTED_VALUE"""),"21/05/2026 9:41:15")</f>
        <v>21/05/2026 9:41:15</v>
      </c>
      <c r="C3844" s="35"/>
      <c r="D3844" s="10">
        <f>IFERROR(__xludf.DUMMYFUNCTION("""COMPUTED_VALUE"""),46163.0)</f>
        <v>46163</v>
      </c>
      <c r="E3844" s="35" t="str">
        <f>IFERROR(__xludf.DUMMYFUNCTION("""COMPUTED_VALUE"""),"05Mei")</f>
        <v>05Mei</v>
      </c>
      <c r="F3844" s="35"/>
      <c r="G3844" s="35" t="str">
        <f>IFERROR(__xludf.DUMMYFUNCTION("""COMPUTED_VALUE"""),"ERIK RADJALI 5103")</f>
        <v>ERIK RADJALI 5103</v>
      </c>
      <c r="H3844" s="35" t="str">
        <f>IFERROR(__xludf.DUMMYFUNCTION("""COMPUTED_VALUE"""),"E5126051303")</f>
        <v>E5126051303</v>
      </c>
      <c r="I3844" s="35">
        <f>IFERROR(__xludf.DUMMYFUNCTION("""COMPUTED_VALUE"""),75.0)</f>
        <v>75</v>
      </c>
      <c r="J3844" s="35" t="str">
        <f>IFERROR(__xludf.DUMMYFUNCTION("""COMPUTED_VALUE"""),"&gt; 44 tahun")</f>
        <v>&gt; 44 tahun</v>
      </c>
      <c r="K3844" s="35" t="str">
        <f>IFERROR(__xludf.DUMMYFUNCTION("""COMPUTED_VALUE"""),"05/03/1951")</f>
        <v>05/03/1951</v>
      </c>
      <c r="L3844" s="35" t="str">
        <f>IFERROR(__xludf.DUMMYFUNCTION("""COMPUTED_VALUE"""),"LAKI-LAKI")</f>
        <v>LAKI-LAKI</v>
      </c>
      <c r="M3844" s="35" t="str">
        <f>IFERROR(__xludf.DUMMYFUNCTION("""COMPUTED_VALUE"""),"JL. NUSA INDAH BARU BLOK B7 ")</f>
        <v>JL. NUSA INDAH BARU BLOK B7 </v>
      </c>
      <c r="N3844" s="35" t="str">
        <f>IFERROR(__xludf.DUMMYFUNCTION("""COMPUTED_VALUE"""),"DARAT SEKIP")</f>
        <v>DARAT SEKIP</v>
      </c>
      <c r="O3844" s="35" t="str">
        <f>IFERROR(__xludf.DUMMYFUNCTION("""COMPUTED_VALUE"""),"PONTIANAK KOTA")</f>
        <v>PONTIANAK KOTA</v>
      </c>
      <c r="P3844" s="35" t="str">
        <f>IFERROR(__xludf.DUMMYFUNCTION("""COMPUTED_VALUE"""),"KOTA PONTIANAK")</f>
        <v>KOTA PONTIANAK</v>
      </c>
      <c r="Q3844" s="35" t="str">
        <f>IFERROR(__xludf.DUMMYFUNCTION("""COMPUTED_VALUE"""),"KALIMANTAN BARAT")</f>
        <v>KALIMANTAN BARAT</v>
      </c>
      <c r="R3844" s="35" t="str">
        <f>IFERROR(__xludf.DUMMYFUNCTION("""COMPUTED_VALUE"""),"KHONGHUCU")</f>
        <v>KHONGHUCU</v>
      </c>
      <c r="S3844" s="74" t="str">
        <f>IFERROR(__xludf.DUMMYFUNCTION("""COMPUTED_VALUE"""),"SWASTA")</f>
        <v>SWASTA</v>
      </c>
      <c r="T3844" s="35" t="str">
        <f>IFERROR(__xludf.DUMMYFUNCTION("""COMPUTED_VALUE"""),"POST OP BILATERAL KNEE REPLACEMENT")</f>
        <v>POST OP BILATERAL KNEE REPLACEMENT</v>
      </c>
      <c r="U3844" s="35" t="str">
        <f>IFERROR(__xludf.DUMMYFUNCTION("""COMPUTED_VALUE"""),"OLAHRAGA LARI")</f>
        <v>OLAHRAGA LARI</v>
      </c>
      <c r="V3844" s="35" t="str">
        <f>IFERROR(__xludf.DUMMYFUNCTION("""COMPUTED_VALUE"""),"081350001303")</f>
        <v>081350001303</v>
      </c>
      <c r="W3844" s="45"/>
    </row>
    <row r="3845">
      <c r="A3845" s="45"/>
      <c r="B3845" s="35" t="str">
        <f>IFERROR(__xludf.DUMMYFUNCTION("""COMPUTED_VALUE"""),"21/05/2026 11:18:50")</f>
        <v>21/05/2026 11:18:50</v>
      </c>
      <c r="C3845" s="35"/>
      <c r="D3845" s="10">
        <f>IFERROR(__xludf.DUMMYFUNCTION("""COMPUTED_VALUE"""),46163.0)</f>
        <v>46163</v>
      </c>
      <c r="E3845" s="35" t="str">
        <f>IFERROR(__xludf.DUMMYFUNCTION("""COMPUTED_VALUE"""),"05Mei")</f>
        <v>05Mei</v>
      </c>
      <c r="F3845" s="35"/>
      <c r="G3845" s="35" t="str">
        <f>IFERROR(__xludf.DUMMYFUNCTION("""COMPUTED_VALUE"""),"UTIN AGUSTINA")</f>
        <v>UTIN AGUSTINA</v>
      </c>
      <c r="H3845" s="35" t="str">
        <f>IFERROR(__xludf.DUMMYFUNCTION("""COMPUTED_VALUE"""),"U7726055548")</f>
        <v>U7726055548</v>
      </c>
      <c r="I3845" s="35">
        <f>IFERROR(__xludf.DUMMYFUNCTION("""COMPUTED_VALUE"""),48.0)</f>
        <v>48</v>
      </c>
      <c r="J3845" s="35" t="str">
        <f>IFERROR(__xludf.DUMMYFUNCTION("""COMPUTED_VALUE"""),"&gt; 44 tahun")</f>
        <v>&gt; 44 tahun</v>
      </c>
      <c r="K3845" s="35" t="str">
        <f>IFERROR(__xludf.DUMMYFUNCTION("""COMPUTED_VALUE"""),"16/08/1977")</f>
        <v>16/08/1977</v>
      </c>
      <c r="L3845" s="35" t="str">
        <f>IFERROR(__xludf.DUMMYFUNCTION("""COMPUTED_VALUE"""),"PEREMPUAN")</f>
        <v>PEREMPUAN</v>
      </c>
      <c r="M3845" s="35" t="str">
        <f>IFERROR(__xludf.DUMMYFUNCTION("""COMPUTED_VALUE"""),"KOMP DINASTI INDAH NO A.8")</f>
        <v>KOMP DINASTI INDAH NO A.8</v>
      </c>
      <c r="N3845" s="35" t="str">
        <f>IFERROR(__xludf.DUMMYFUNCTION("""COMPUTED_VALUE"""),"PARIT TOKAYA")</f>
        <v>PARIT TOKAYA</v>
      </c>
      <c r="O3845" s="35" t="str">
        <f>IFERROR(__xludf.DUMMYFUNCTION("""COMPUTED_VALUE"""),"PONTIANAK SELATAN")</f>
        <v>PONTIANAK SELATAN</v>
      </c>
      <c r="P3845" s="35" t="str">
        <f>IFERROR(__xludf.DUMMYFUNCTION("""COMPUTED_VALUE"""),"PONTIANAK")</f>
        <v>PONTIANAK</v>
      </c>
      <c r="Q3845" s="35" t="str">
        <f>IFERROR(__xludf.DUMMYFUNCTION("""COMPUTED_VALUE"""),"KALIAMANTAN BARAT")</f>
        <v>KALIAMANTAN BARAT</v>
      </c>
      <c r="R3845" s="35" t="str">
        <f>IFERROR(__xludf.DUMMYFUNCTION("""COMPUTED_VALUE"""),"ISLAM")</f>
        <v>ISLAM</v>
      </c>
      <c r="S3845" s="74" t="str">
        <f>IFERROR(__xludf.DUMMYFUNCTION("""COMPUTED_VALUE"""),"WIRASWASTA")</f>
        <v>WIRASWASTA</v>
      </c>
      <c r="T3845" s="35" t="str">
        <f>IFERROR(__xludf.DUMMYFUNCTION("""COMPUTED_VALUE"""),"TANGAN")</f>
        <v>TANGAN</v>
      </c>
      <c r="U3845" s="35" t="str">
        <f>IFERROR(__xludf.DUMMYFUNCTION("""COMPUTED_VALUE"""),"-")</f>
        <v>-</v>
      </c>
      <c r="V3845" s="35" t="str">
        <f>IFERROR(__xludf.DUMMYFUNCTION("""COMPUTED_VALUE"""),"081253325548")</f>
        <v>081253325548</v>
      </c>
      <c r="W3845" s="45"/>
    </row>
    <row r="3846">
      <c r="A3846" s="45"/>
      <c r="B3846" s="35" t="str">
        <f>IFERROR(__xludf.DUMMYFUNCTION("""COMPUTED_VALUE"""),"21/05/2026 11:03:38")</f>
        <v>21/05/2026 11:03:38</v>
      </c>
      <c r="C3846" s="35"/>
      <c r="D3846" s="10">
        <f>IFERROR(__xludf.DUMMYFUNCTION("""COMPUTED_VALUE"""),46163.0)</f>
        <v>46163</v>
      </c>
      <c r="E3846" s="35" t="str">
        <f>IFERROR(__xludf.DUMMYFUNCTION("""COMPUTED_VALUE"""),"05Mei")</f>
        <v>05Mei</v>
      </c>
      <c r="F3846" s="35"/>
      <c r="G3846" s="35" t="str">
        <f>IFERROR(__xludf.DUMMYFUNCTION("""COMPUTED_VALUE"""),"M AKHTAR ALFARIZY")</f>
        <v>M AKHTAR ALFARIZY</v>
      </c>
      <c r="H3846" s="35" t="str">
        <f>IFERROR(__xludf.DUMMYFUNCTION("""COMPUTED_VALUE"""),"M1826056272")</f>
        <v>M1826056272</v>
      </c>
      <c r="I3846" s="35">
        <f>IFERROR(__xludf.DUMMYFUNCTION("""COMPUTED_VALUE"""),8.0)</f>
        <v>8</v>
      </c>
      <c r="J3846" s="35" t="str">
        <f>IFERROR(__xludf.DUMMYFUNCTION("""COMPUTED_VALUE"""),"&lt; 18 tahun")</f>
        <v>&lt; 18 tahun</v>
      </c>
      <c r="K3846" s="35" t="str">
        <f>IFERROR(__xludf.DUMMYFUNCTION("""COMPUTED_VALUE"""),"29/04/2018")</f>
        <v>29/04/2018</v>
      </c>
      <c r="L3846" s="35" t="str">
        <f>IFERROR(__xludf.DUMMYFUNCTION("""COMPUTED_VALUE"""),"LAKI-LAKI")</f>
        <v>LAKI-LAKI</v>
      </c>
      <c r="M3846" s="35" t="str">
        <f>IFERROR(__xludf.DUMMYFUNCTION("""COMPUTED_VALUE"""),"PROF M YAMIN GG PGA 3")</f>
        <v>PROF M YAMIN GG PGA 3</v>
      </c>
      <c r="N3846" s="35" t="str">
        <f>IFERROR(__xludf.DUMMYFUNCTION("""COMPUTED_VALUE"""),"SEI BANGKONG")</f>
        <v>SEI BANGKONG</v>
      </c>
      <c r="O3846" s="35" t="str">
        <f>IFERROR(__xludf.DUMMYFUNCTION("""COMPUTED_VALUE"""),"PONTIANAK KOTA")</f>
        <v>PONTIANAK KOTA</v>
      </c>
      <c r="P3846" s="35" t="str">
        <f>IFERROR(__xludf.DUMMYFUNCTION("""COMPUTED_VALUE"""),"KOTA PONTIANAK")</f>
        <v>KOTA PONTIANAK</v>
      </c>
      <c r="Q3846" s="35" t="str">
        <f>IFERROR(__xludf.DUMMYFUNCTION("""COMPUTED_VALUE"""),"KALIMANTAN BARAT")</f>
        <v>KALIMANTAN BARAT</v>
      </c>
      <c r="R3846" s="35" t="str">
        <f>IFERROR(__xludf.DUMMYFUNCTION("""COMPUTED_VALUE"""),"ISLAM")</f>
        <v>ISLAM</v>
      </c>
      <c r="S3846" s="74" t="str">
        <f>IFERROR(__xludf.DUMMYFUNCTION("""COMPUTED_VALUE"""),"-")</f>
        <v>-</v>
      </c>
      <c r="T3846" s="35" t="str">
        <f>IFERROR(__xludf.DUMMYFUNCTION("""COMPUTED_VALUE"""),"SAKIT DI BAGIAN PAHA BAGIAN ATAS")</f>
        <v>SAKIT DI BAGIAN PAHA BAGIAN ATAS</v>
      </c>
      <c r="U3846" s="35" t="str">
        <f>IFERROR(__xludf.DUMMYFUNCTION("""COMPUTED_VALUE"""),"MALAM NYA MAIN LARI2 AN TERUS SAKIT SETELAH BANGUN TIDUR")</f>
        <v>MALAM NYA MAIN LARI2 AN TERUS SAKIT SETELAH BANGUN TIDUR</v>
      </c>
      <c r="V3846" s="35" t="str">
        <f>IFERROR(__xludf.DUMMYFUNCTION("""COMPUTED_VALUE"""),"085349106272")</f>
        <v>085349106272</v>
      </c>
      <c r="W3846" s="45"/>
    </row>
    <row r="3847">
      <c r="A3847" s="45"/>
      <c r="B3847" s="35" t="str">
        <f>IFERROR(__xludf.DUMMYFUNCTION("""COMPUTED_VALUE"""),"21/05/2026 11:38:46")</f>
        <v>21/05/2026 11:38:46</v>
      </c>
      <c r="C3847" s="35"/>
      <c r="D3847" s="10">
        <f>IFERROR(__xludf.DUMMYFUNCTION("""COMPUTED_VALUE"""),46163.0)</f>
        <v>46163</v>
      </c>
      <c r="E3847" s="35" t="str">
        <f>IFERROR(__xludf.DUMMYFUNCTION("""COMPUTED_VALUE"""),"05Mei")</f>
        <v>05Mei</v>
      </c>
      <c r="F3847" s="35"/>
      <c r="G3847" s="35" t="str">
        <f>IFERROR(__xludf.DUMMYFUNCTION("""COMPUTED_VALUE"""),"YOVIE VERA APRIANTY")</f>
        <v>YOVIE VERA APRIANTY</v>
      </c>
      <c r="H3847" s="35" t="str">
        <f>IFERROR(__xludf.DUMMYFUNCTION("""COMPUTED_VALUE"""),"Y7826052029")</f>
        <v>Y7826052029</v>
      </c>
      <c r="I3847" s="35">
        <f>IFERROR(__xludf.DUMMYFUNCTION("""COMPUTED_VALUE"""),48.0)</f>
        <v>48</v>
      </c>
      <c r="J3847" s="35" t="str">
        <f>IFERROR(__xludf.DUMMYFUNCTION("""COMPUTED_VALUE"""),"&gt; 44 tahun")</f>
        <v>&gt; 44 tahun</v>
      </c>
      <c r="K3847" s="35" t="str">
        <f>IFERROR(__xludf.DUMMYFUNCTION("""COMPUTED_VALUE"""),"21/04/1978")</f>
        <v>21/04/1978</v>
      </c>
      <c r="L3847" s="35" t="str">
        <f>IFERROR(__xludf.DUMMYFUNCTION("""COMPUTED_VALUE"""),"PEREMPUAN")</f>
        <v>PEREMPUAN</v>
      </c>
      <c r="M3847" s="35" t="str">
        <f>IFERROR(__xludf.DUMMYFUNCTION("""COMPUTED_VALUE"""),"JL PATTIMURA NO 02")</f>
        <v>JL PATTIMURA NO 02</v>
      </c>
      <c r="N3847" s="35" t="str">
        <f>IFERROR(__xludf.DUMMYFUNCTION("""COMPUTED_VALUE"""),"PEMATANG KANDIS")</f>
        <v>PEMATANG KANDIS</v>
      </c>
      <c r="O3847" s="35" t="str">
        <f>IFERROR(__xludf.DUMMYFUNCTION("""COMPUTED_VALUE"""),"BANGKO")</f>
        <v>BANGKO</v>
      </c>
      <c r="P3847" s="35" t="str">
        <f>IFERROR(__xludf.DUMMYFUNCTION("""COMPUTED_VALUE"""),"MERANGIN")</f>
        <v>MERANGIN</v>
      </c>
      <c r="Q3847" s="35" t="str">
        <f>IFERROR(__xludf.DUMMYFUNCTION("""COMPUTED_VALUE"""),"JAMBI")</f>
        <v>JAMBI</v>
      </c>
      <c r="R3847" s="35" t="str">
        <f>IFERROR(__xludf.DUMMYFUNCTION("""COMPUTED_VALUE"""),"ISLAM")</f>
        <v>ISLAM</v>
      </c>
      <c r="S3847" s="74" t="str">
        <f>IFERROR(__xludf.DUMMYFUNCTION("""COMPUTED_VALUE"""),"IBU RUMAH TANGGA")</f>
        <v>IBU RUMAH TANGGA</v>
      </c>
      <c r="T3847" s="35" t="str">
        <f>IFERROR(__xludf.DUMMYFUNCTION("""COMPUTED_VALUE"""),"KALO HBS OLGA TENIS DR PANGKAL PAHA SMPE LUTUT KEJANG,KALO MAU SUJUD SAKIT")</f>
        <v>KALO HBS OLGA TENIS DR PANGKAL PAHA SMPE LUTUT KEJANG,KALO MAU SUJUD SAKIT</v>
      </c>
      <c r="U3847" s="35" t="str">
        <f>IFERROR(__xludf.DUMMYFUNCTION("""COMPUTED_VALUE"""),"OLAHBTAGA")</f>
        <v>OLAHBTAGA</v>
      </c>
      <c r="V3847" s="35" t="str">
        <f>IFERROR(__xludf.DUMMYFUNCTION("""COMPUTED_VALUE"""),"082181232029")</f>
        <v>082181232029</v>
      </c>
      <c r="W3847" s="45"/>
    </row>
    <row r="3848">
      <c r="A3848" s="45"/>
      <c r="B3848" s="35" t="str">
        <f>IFERROR(__xludf.DUMMYFUNCTION("""COMPUTED_VALUE"""),"22/05/2026 9:57:59")</f>
        <v>22/05/2026 9:57:59</v>
      </c>
      <c r="C3848" s="35"/>
      <c r="D3848" s="10">
        <f>IFERROR(__xludf.DUMMYFUNCTION("""COMPUTED_VALUE"""),46164.0)</f>
        <v>46164</v>
      </c>
      <c r="E3848" s="35" t="str">
        <f>IFERROR(__xludf.DUMMYFUNCTION("""COMPUTED_VALUE"""),"05Mei")</f>
        <v>05Mei</v>
      </c>
      <c r="F3848" s="35"/>
      <c r="G3848" s="35" t="str">
        <f>IFERROR(__xludf.DUMMYFUNCTION("""COMPUTED_VALUE"""),"VITARIA LINA")</f>
        <v>VITARIA LINA</v>
      </c>
      <c r="H3848" s="35" t="str">
        <f>IFERROR(__xludf.DUMMYFUNCTION("""COMPUTED_VALUE"""),"V7726051923")</f>
        <v>V7726051923</v>
      </c>
      <c r="I3848" s="35">
        <f>IFERROR(__xludf.DUMMYFUNCTION("""COMPUTED_VALUE"""),48.0)</f>
        <v>48</v>
      </c>
      <c r="J3848" s="35" t="str">
        <f>IFERROR(__xludf.DUMMYFUNCTION("""COMPUTED_VALUE"""),"&gt; 44 tahun")</f>
        <v>&gt; 44 tahun</v>
      </c>
      <c r="K3848" s="35" t="str">
        <f>IFERROR(__xludf.DUMMYFUNCTION("""COMPUTED_VALUE"""),"28/11/1977")</f>
        <v>28/11/1977</v>
      </c>
      <c r="L3848" s="35" t="str">
        <f>IFERROR(__xludf.DUMMYFUNCTION("""COMPUTED_VALUE"""),"PEREMPUAN")</f>
        <v>PEREMPUAN</v>
      </c>
      <c r="M3848" s="35" t="str">
        <f>IFERROR(__xludf.DUMMYFUNCTION("""COMPUTED_VALUE"""),"JL RAYA SUNGAI KAKAP GG AMANAH NO 54")</f>
        <v>JL RAYA SUNGAI KAKAP GG AMANAH NO 54</v>
      </c>
      <c r="N3848" s="35" t="str">
        <f>IFERROR(__xludf.DUMMYFUNCTION("""COMPUTED_VALUE"""),"SUNGAI KAKAP")</f>
        <v>SUNGAI KAKAP</v>
      </c>
      <c r="O3848" s="35" t="str">
        <f>IFERROR(__xludf.DUMMYFUNCTION("""COMPUTED_VALUE"""),"SUNGAI KAKAP")</f>
        <v>SUNGAI KAKAP</v>
      </c>
      <c r="P3848" s="35" t="str">
        <f>IFERROR(__xludf.DUMMYFUNCTION("""COMPUTED_VALUE"""),"PONTIANAK")</f>
        <v>PONTIANAK</v>
      </c>
      <c r="Q3848" s="35" t="str">
        <f>IFERROR(__xludf.DUMMYFUNCTION("""COMPUTED_VALUE"""),"KALIMNATAN BARAT")</f>
        <v>KALIMNATAN BARAT</v>
      </c>
      <c r="R3848" s="35" t="str">
        <f>IFERROR(__xludf.DUMMYFUNCTION("""COMPUTED_VALUE"""),"BUDDHA")</f>
        <v>BUDDHA</v>
      </c>
      <c r="S3848" s="74" t="str">
        <f>IFERROR(__xludf.DUMMYFUNCTION("""COMPUTED_VALUE"""),"WIRASWASTA")</f>
        <v>WIRASWASTA</v>
      </c>
      <c r="T3848" s="35" t="str">
        <f>IFERROR(__xludf.DUMMYFUNCTION("""COMPUTED_VALUE"""),"PINGGANG")</f>
        <v>PINGGANG</v>
      </c>
      <c r="U3848" s="35" t="str">
        <f>IFERROR(__xludf.DUMMYFUNCTION("""COMPUTED_VALUE"""),"-")</f>
        <v>-</v>
      </c>
      <c r="V3848" s="35" t="str">
        <f>IFERROR(__xludf.DUMMYFUNCTION("""COMPUTED_VALUE"""),"085680271923")</f>
        <v>085680271923</v>
      </c>
      <c r="W3848" s="45"/>
    </row>
    <row r="3849">
      <c r="A3849" s="45"/>
      <c r="B3849" s="35" t="str">
        <f>IFERROR(__xludf.DUMMYFUNCTION("""COMPUTED_VALUE"""),"22/05/2026 14:08:25")</f>
        <v>22/05/2026 14:08:25</v>
      </c>
      <c r="C3849" s="35"/>
      <c r="D3849" s="10">
        <f>IFERROR(__xludf.DUMMYFUNCTION("""COMPUTED_VALUE"""),46164.0)</f>
        <v>46164</v>
      </c>
      <c r="E3849" s="35" t="str">
        <f>IFERROR(__xludf.DUMMYFUNCTION("""COMPUTED_VALUE"""),"05Mei")</f>
        <v>05Mei</v>
      </c>
      <c r="F3849" s="35"/>
      <c r="G3849" s="35" t="str">
        <f>IFERROR(__xludf.DUMMYFUNCTION("""COMPUTED_VALUE"""),"RIO ANGGARA")</f>
        <v>RIO ANGGARA</v>
      </c>
      <c r="H3849" s="35" t="str">
        <f>IFERROR(__xludf.DUMMYFUNCTION("""COMPUTED_VALUE"""),"R9026059626")</f>
        <v>R9026059626</v>
      </c>
      <c r="I3849" s="35">
        <f>IFERROR(__xludf.DUMMYFUNCTION("""COMPUTED_VALUE"""),36.0)</f>
        <v>36</v>
      </c>
      <c r="J3849" s="35" t="str">
        <f>IFERROR(__xludf.DUMMYFUNCTION("""COMPUTED_VALUE"""),"35-44 tahun")</f>
        <v>35-44 tahun</v>
      </c>
      <c r="K3849" s="35" t="str">
        <f>IFERROR(__xludf.DUMMYFUNCTION("""COMPUTED_VALUE"""),"06/05/1990")</f>
        <v>06/05/1990</v>
      </c>
      <c r="L3849" s="35" t="str">
        <f>IFERROR(__xludf.DUMMYFUNCTION("""COMPUTED_VALUE"""),"LAKI-LAKI")</f>
        <v>LAKI-LAKI</v>
      </c>
      <c r="M3849" s="35" t="str">
        <f>IFERROR(__xludf.DUMMYFUNCTION("""COMPUTED_VALUE"""),"JLN. SULTAN ABDURRAHMAN")</f>
        <v>JLN. SULTAN ABDURRAHMAN</v>
      </c>
      <c r="N3849" s="35" t="str">
        <f>IFERROR(__xludf.DUMMYFUNCTION("""COMPUTED_VALUE"""),"SUNGAI BANGKONG")</f>
        <v>SUNGAI BANGKONG</v>
      </c>
      <c r="O3849" s="35" t="str">
        <f>IFERROR(__xludf.DUMMYFUNCTION("""COMPUTED_VALUE"""),"PONTIANAK KOTA")</f>
        <v>PONTIANAK KOTA</v>
      </c>
      <c r="P3849" s="35" t="str">
        <f>IFERROR(__xludf.DUMMYFUNCTION("""COMPUTED_VALUE"""),"PONTIANAK")</f>
        <v>PONTIANAK</v>
      </c>
      <c r="Q3849" s="35" t="str">
        <f>IFERROR(__xludf.DUMMYFUNCTION("""COMPUTED_VALUE"""),"KALIMANTAN BARAT")</f>
        <v>KALIMANTAN BARAT</v>
      </c>
      <c r="R3849" s="35" t="str">
        <f>IFERROR(__xludf.DUMMYFUNCTION("""COMPUTED_VALUE"""),"ISLAM")</f>
        <v>ISLAM</v>
      </c>
      <c r="S3849" s="74" t="str">
        <f>IFERROR(__xludf.DUMMYFUNCTION("""COMPUTED_VALUE"""),"ASN")</f>
        <v>ASN</v>
      </c>
      <c r="T3849" s="35" t="str">
        <f>IFERROR(__xludf.DUMMYFUNCTION("""COMPUTED_VALUE"""),"RADANG SENDI")</f>
        <v>RADANG SENDI</v>
      </c>
      <c r="U3849" s="35" t="str">
        <f>IFERROR(__xludf.DUMMYFUNCTION("""COMPUTED_VALUE"""),"OLAHRAGA")</f>
        <v>OLAHRAGA</v>
      </c>
      <c r="V3849" s="35" t="str">
        <f>IFERROR(__xludf.DUMMYFUNCTION("""COMPUTED_VALUE"""),"081362019626")</f>
        <v>081362019626</v>
      </c>
      <c r="W3849" s="45"/>
    </row>
    <row r="3850">
      <c r="A3850" s="45"/>
      <c r="B3850" s="35" t="str">
        <f>IFERROR(__xludf.DUMMYFUNCTION("""COMPUTED_VALUE"""),"23/05/2026 12:39:33")</f>
        <v>23/05/2026 12:39:33</v>
      </c>
      <c r="C3850" s="35"/>
      <c r="D3850" s="10">
        <f>IFERROR(__xludf.DUMMYFUNCTION("""COMPUTED_VALUE"""),46165.0)</f>
        <v>46165</v>
      </c>
      <c r="E3850" s="35" t="str">
        <f>IFERROR(__xludf.DUMMYFUNCTION("""COMPUTED_VALUE"""),"05Mei")</f>
        <v>05Mei</v>
      </c>
      <c r="F3850" s="35"/>
      <c r="G3850" s="35" t="str">
        <f>IFERROR(__xludf.DUMMYFUNCTION("""COMPUTED_VALUE"""),"NOVA IRMA ADIHANDAYANI")</f>
        <v>NOVA IRMA ADIHANDAYANI</v>
      </c>
      <c r="H3850" s="35" t="str">
        <f>IFERROR(__xludf.DUMMYFUNCTION("""COMPUTED_VALUE"""),"N9226052097")</f>
        <v>N9226052097</v>
      </c>
      <c r="I3850" s="35">
        <f>IFERROR(__xludf.DUMMYFUNCTION("""COMPUTED_VALUE"""),34.0)</f>
        <v>34</v>
      </c>
      <c r="J3850" s="35" t="str">
        <f>IFERROR(__xludf.DUMMYFUNCTION("""COMPUTED_VALUE"""),"25-34 tahun")</f>
        <v>25-34 tahun</v>
      </c>
      <c r="K3850" s="35" t="str">
        <f>IFERROR(__xludf.DUMMYFUNCTION("""COMPUTED_VALUE"""),"23/01/1992")</f>
        <v>23/01/1992</v>
      </c>
      <c r="L3850" s="35" t="str">
        <f>IFERROR(__xludf.DUMMYFUNCTION("""COMPUTED_VALUE"""),"PEREMPUAN")</f>
        <v>PEREMPUAN</v>
      </c>
      <c r="M3850" s="35" t="str">
        <f>IFERROR(__xludf.DUMMYFUNCTION("""COMPUTED_VALUE"""),"JL SAMBAS TINUR 8 NO 117")</f>
        <v>JL SAMBAS TINUR 8 NO 117</v>
      </c>
      <c r="N3850" s="35" t="str">
        <f>IFERROR(__xludf.DUMMYFUNCTION("""COMPUTED_VALUE"""),"KELURAHAN SAIGON")</f>
        <v>KELURAHAN SAIGON</v>
      </c>
      <c r="O3850" s="35" t="str">
        <f>IFERROR(__xludf.DUMMYFUNCTION("""COMPUTED_VALUE"""),"PONTIANAK TIMUR")</f>
        <v>PONTIANAK TIMUR</v>
      </c>
      <c r="P3850" s="35" t="str">
        <f>IFERROR(__xludf.DUMMYFUNCTION("""COMPUTED_VALUE"""),"KOTA")</f>
        <v>KOTA</v>
      </c>
      <c r="Q3850" s="35" t="str">
        <f>IFERROR(__xludf.DUMMYFUNCTION("""COMPUTED_VALUE"""),"KALIMANTAN BARAT")</f>
        <v>KALIMANTAN BARAT</v>
      </c>
      <c r="R3850" s="35" t="str">
        <f>IFERROR(__xludf.DUMMYFUNCTION("""COMPUTED_VALUE"""),"ISLAM")</f>
        <v>ISLAM</v>
      </c>
      <c r="S3850" s="74" t="str">
        <f>IFERROR(__xludf.DUMMYFUNCTION("""COMPUTED_VALUE"""),"IBU RUMAH TANGGA")</f>
        <v>IBU RUMAH TANGGA</v>
      </c>
      <c r="T3850" s="35" t="str">
        <f>IFERROR(__xludf.DUMMYFUNCTION("""COMPUTED_VALUE"""),"SEBAL TANGAN KAKI SULIT BERBICARA")</f>
        <v>SEBAL TANGAN KAKI SULIT BERBICARA</v>
      </c>
      <c r="U3850" s="35" t="str">
        <f>IFERROR(__xludf.DUMMYFUNCTION("""COMPUTED_VALUE"""),"BERKEBUN")</f>
        <v>BERKEBUN</v>
      </c>
      <c r="V3850" s="35" t="str">
        <f>IFERROR(__xludf.DUMMYFUNCTION("""COMPUTED_VALUE"""),"082350842097")</f>
        <v>082350842097</v>
      </c>
      <c r="W3850" s="45"/>
    </row>
    <row r="3851">
      <c r="A3851" s="45"/>
      <c r="B3851" s="35" t="str">
        <f>IFERROR(__xludf.DUMMYFUNCTION("""COMPUTED_VALUE"""),"23/05/2026 13:56:47")</f>
        <v>23/05/2026 13:56:47</v>
      </c>
      <c r="C3851" s="35"/>
      <c r="D3851" s="10">
        <f>IFERROR(__xludf.DUMMYFUNCTION("""COMPUTED_VALUE"""),46165.0)</f>
        <v>46165</v>
      </c>
      <c r="E3851" s="35" t="str">
        <f>IFERROR(__xludf.DUMMYFUNCTION("""COMPUTED_VALUE"""),"05Mei")</f>
        <v>05Mei</v>
      </c>
      <c r="F3851" s="35"/>
      <c r="G3851" s="35" t="str">
        <f>IFERROR(__xludf.DUMMYFUNCTION("""COMPUTED_VALUE"""),"ARIENDI FITRI")</f>
        <v>ARIENDI FITRI</v>
      </c>
      <c r="H3851" s="35" t="str">
        <f>IFERROR(__xludf.DUMMYFUNCTION("""COMPUTED_VALUE"""),"A0226059038")</f>
        <v>A0226059038</v>
      </c>
      <c r="I3851" s="35">
        <f>IFERROR(__xludf.DUMMYFUNCTION("""COMPUTED_VALUE"""),23.0)</f>
        <v>23</v>
      </c>
      <c r="J3851" s="35" t="str">
        <f>IFERROR(__xludf.DUMMYFUNCTION("""COMPUTED_VALUE"""),"18-24 tahun")</f>
        <v>18-24 tahun</v>
      </c>
      <c r="K3851" s="35" t="str">
        <f>IFERROR(__xludf.DUMMYFUNCTION("""COMPUTED_VALUE"""),"05/12/2002")</f>
        <v>05/12/2002</v>
      </c>
      <c r="L3851" s="35" t="str">
        <f>IFERROR(__xludf.DUMMYFUNCTION("""COMPUTED_VALUE"""),"PEREMPUAN")</f>
        <v>PEREMPUAN</v>
      </c>
      <c r="M3851" s="35" t="str">
        <f>IFERROR(__xludf.DUMMYFUNCTION("""COMPUTED_VALUE"""),"JL. MERDEKA SELATAN")</f>
        <v>JL. MERDEKA SELATAN</v>
      </c>
      <c r="N3851" s="35" t="str">
        <f>IFERROR(__xludf.DUMMYFUNCTION("""COMPUTED_VALUE"""),"DESA SUNGAI RINGIN")</f>
        <v>DESA SUNGAI RINGIN</v>
      </c>
      <c r="O3851" s="35" t="str">
        <f>IFERROR(__xludf.DUMMYFUNCTION("""COMPUTED_VALUE"""),"SEKADAU HILIR")</f>
        <v>SEKADAU HILIR</v>
      </c>
      <c r="P3851" s="35" t="str">
        <f>IFERROR(__xludf.DUMMYFUNCTION("""COMPUTED_VALUE"""),"KABUPATEN SEKADAU")</f>
        <v>KABUPATEN SEKADAU</v>
      </c>
      <c r="Q3851" s="35" t="str">
        <f>IFERROR(__xludf.DUMMYFUNCTION("""COMPUTED_VALUE"""),"KALIMANTAN BARAT")</f>
        <v>KALIMANTAN BARAT</v>
      </c>
      <c r="R3851" s="35" t="str">
        <f>IFERROR(__xludf.DUMMYFUNCTION("""COMPUTED_VALUE"""),"ISLAM")</f>
        <v>ISLAM</v>
      </c>
      <c r="S3851" s="74" t="str">
        <f>IFERROR(__xludf.DUMMYFUNCTION("""COMPUTED_VALUE"""),"SWASTA")</f>
        <v>SWASTA</v>
      </c>
      <c r="T3851" s="35" t="str">
        <f>IFERROR(__xludf.DUMMYFUNCTION("""COMPUTED_VALUE"""),"NYERI PERGELANGAN TANGAN")</f>
        <v>NYERI PERGELANGAN TANGAN</v>
      </c>
      <c r="U3851" s="35" t="str">
        <f>IFERROR(__xludf.DUMMYFUNCTION("""COMPUTED_VALUE"""),"-")</f>
        <v>-</v>
      </c>
      <c r="V3851" s="35" t="str">
        <f>IFERROR(__xludf.DUMMYFUNCTION("""COMPUTED_VALUE"""),"085822649038")</f>
        <v>085822649038</v>
      </c>
      <c r="W3851" s="45"/>
    </row>
    <row r="3852">
      <c r="A3852" s="45"/>
      <c r="B3852" s="35" t="str">
        <f>IFERROR(__xludf.DUMMYFUNCTION("""COMPUTED_VALUE"""),"23/05/2026 16:48:49")</f>
        <v>23/05/2026 16:48:49</v>
      </c>
      <c r="C3852" s="35"/>
      <c r="D3852" s="10">
        <f>IFERROR(__xludf.DUMMYFUNCTION("""COMPUTED_VALUE"""),46165.0)</f>
        <v>46165</v>
      </c>
      <c r="E3852" s="35" t="str">
        <f>IFERROR(__xludf.DUMMYFUNCTION("""COMPUTED_VALUE"""),"05Mei")</f>
        <v>05Mei</v>
      </c>
      <c r="F3852" s="35"/>
      <c r="G3852" s="35" t="str">
        <f>IFERROR(__xludf.DUMMYFUNCTION("""COMPUTED_VALUE"""),"SINAH")</f>
        <v>SINAH</v>
      </c>
      <c r="H3852" s="35" t="str">
        <f>IFERROR(__xludf.DUMMYFUNCTION("""COMPUTED_VALUE"""),"S7126052338")</f>
        <v>S7126052338</v>
      </c>
      <c r="I3852" s="35">
        <f>IFERROR(__xludf.DUMMYFUNCTION("""COMPUTED_VALUE"""),54.0)</f>
        <v>54</v>
      </c>
      <c r="J3852" s="35" t="str">
        <f>IFERROR(__xludf.DUMMYFUNCTION("""COMPUTED_VALUE"""),"&gt; 44 tahun")</f>
        <v>&gt; 44 tahun</v>
      </c>
      <c r="K3852" s="35" t="str">
        <f>IFERROR(__xludf.DUMMYFUNCTION("""COMPUTED_VALUE"""),"10/07/1971")</f>
        <v>10/07/1971</v>
      </c>
      <c r="L3852" s="35" t="str">
        <f>IFERROR(__xludf.DUMMYFUNCTION("""COMPUTED_VALUE"""),"PEREMPUAN")</f>
        <v>PEREMPUAN</v>
      </c>
      <c r="M3852" s="35" t="str">
        <f>IFERROR(__xludf.DUMMYFUNCTION("""COMPUTED_VALUE"""),"JL NIRBAYA GANG NIRBAYA 5")</f>
        <v>JL NIRBAYA GANG NIRBAYA 5</v>
      </c>
      <c r="N3852" s="35" t="str">
        <f>IFERROR(__xludf.DUMMYFUNCTION("""COMPUTED_VALUE"""),"KOTA BARU")</f>
        <v>KOTA BARU</v>
      </c>
      <c r="O3852" s="35" t="str">
        <f>IFERROR(__xludf.DUMMYFUNCTION("""COMPUTED_VALUE"""),"PONTIANAK SELATAN")</f>
        <v>PONTIANAK SELATAN</v>
      </c>
      <c r="P3852" s="35" t="str">
        <f>IFERROR(__xludf.DUMMYFUNCTION("""COMPUTED_VALUE"""),"PONTIANAK")</f>
        <v>PONTIANAK</v>
      </c>
      <c r="Q3852" s="35" t="str">
        <f>IFERROR(__xludf.DUMMYFUNCTION("""COMPUTED_VALUE"""),"KALIMANTAN BARAT")</f>
        <v>KALIMANTAN BARAT</v>
      </c>
      <c r="R3852" s="35" t="str">
        <f>IFERROR(__xludf.DUMMYFUNCTION("""COMPUTED_VALUE"""),"ISLAM")</f>
        <v>ISLAM</v>
      </c>
      <c r="S3852" s="74" t="str">
        <f>IFERROR(__xludf.DUMMYFUNCTION("""COMPUTED_VALUE"""),"IRT")</f>
        <v>IRT</v>
      </c>
      <c r="T3852" s="35" t="str">
        <f>IFERROR(__xludf.DUMMYFUNCTION("""COMPUTED_VALUE"""),"PINGGANG DAN BOKONG BAWAH")</f>
        <v>PINGGANG DAN BOKONG BAWAH</v>
      </c>
      <c r="U3852" s="35" t="str">
        <f>IFERROR(__xludf.DUMMYFUNCTION("""COMPUTED_VALUE"""),"-")</f>
        <v>-</v>
      </c>
      <c r="V3852" s="35" t="str">
        <f>IFERROR(__xludf.DUMMYFUNCTION("""COMPUTED_VALUE"""),"085820052338")</f>
        <v>085820052338</v>
      </c>
      <c r="W3852" s="45"/>
    </row>
    <row r="3853">
      <c r="A3853" s="45"/>
      <c r="B3853" s="35" t="str">
        <f>IFERROR(__xludf.DUMMYFUNCTION("""COMPUTED_VALUE"""),"23/05/2026 20:11:35")</f>
        <v>23/05/2026 20:11:35</v>
      </c>
      <c r="C3853" s="35"/>
      <c r="D3853" s="10">
        <f>IFERROR(__xludf.DUMMYFUNCTION("""COMPUTED_VALUE"""),46165.0)</f>
        <v>46165</v>
      </c>
      <c r="E3853" s="35" t="str">
        <f>IFERROR(__xludf.DUMMYFUNCTION("""COMPUTED_VALUE"""),"05Mei")</f>
        <v>05Mei</v>
      </c>
      <c r="F3853" s="35"/>
      <c r="G3853" s="35" t="str">
        <f>IFERROR(__xludf.DUMMYFUNCTION("""COMPUTED_VALUE"""),"FIRMAN DESTYAN")</f>
        <v>FIRMAN DESTYAN</v>
      </c>
      <c r="H3853" s="35" t="str">
        <f>IFERROR(__xludf.DUMMYFUNCTION("""COMPUTED_VALUE"""),"F0026054746")</f>
        <v>F0026054746</v>
      </c>
      <c r="I3853" s="35">
        <f>IFERROR(__xludf.DUMMYFUNCTION("""COMPUTED_VALUE"""),25.0)</f>
        <v>25</v>
      </c>
      <c r="J3853" s="35" t="str">
        <f>IFERROR(__xludf.DUMMYFUNCTION("""COMPUTED_VALUE"""),"25-34 tahun")</f>
        <v>25-34 tahun</v>
      </c>
      <c r="K3853" s="35" t="str">
        <f>IFERROR(__xludf.DUMMYFUNCTION("""COMPUTED_VALUE"""),"07/12/2000")</f>
        <v>07/12/2000</v>
      </c>
      <c r="L3853" s="35" t="str">
        <f>IFERROR(__xludf.DUMMYFUNCTION("""COMPUTED_VALUE"""),"LAKI-LAKI")</f>
        <v>LAKI-LAKI</v>
      </c>
      <c r="M3853" s="35" t="str">
        <f>IFERROR(__xludf.DUMMYFUNCTION("""COMPUTED_VALUE"""),"JL PURNAMA GANG PURNAMA 8 ")</f>
        <v>JL PURNAMA GANG PURNAMA 8 </v>
      </c>
      <c r="N3853" s="35" t="str">
        <f>IFERROR(__xludf.DUMMYFUNCTION("""COMPUTED_VALUE"""),"PARIT TOKAYA")</f>
        <v>PARIT TOKAYA</v>
      </c>
      <c r="O3853" s="35" t="str">
        <f>IFERROR(__xludf.DUMMYFUNCTION("""COMPUTED_VALUE"""),"PONTIANAK SELATAN")</f>
        <v>PONTIANAK SELATAN</v>
      </c>
      <c r="P3853" s="35" t="str">
        <f>IFERROR(__xludf.DUMMYFUNCTION("""COMPUTED_VALUE"""),"PONTIANAK")</f>
        <v>PONTIANAK</v>
      </c>
      <c r="Q3853" s="35" t="str">
        <f>IFERROR(__xludf.DUMMYFUNCTION("""COMPUTED_VALUE"""),"KALIMANTAN BARAT")</f>
        <v>KALIMANTAN BARAT</v>
      </c>
      <c r="R3853" s="35" t="str">
        <f>IFERROR(__xludf.DUMMYFUNCTION("""COMPUTED_VALUE"""),"ISLAM")</f>
        <v>ISLAM</v>
      </c>
      <c r="S3853" s="74" t="str">
        <f>IFERROR(__xludf.DUMMYFUNCTION("""COMPUTED_VALUE"""),"MAHASISWA")</f>
        <v>MAHASISWA</v>
      </c>
      <c r="T3853" s="35" t="str">
        <f>IFERROR(__xludf.DUMMYFUNCTION("""COMPUTED_VALUE"""),"MATA KAKI")</f>
        <v>MATA KAKI</v>
      </c>
      <c r="U3853" s="35" t="str">
        <f>IFERROR(__xludf.DUMMYFUNCTION("""COMPUTED_VALUE"""),"-")</f>
        <v>-</v>
      </c>
      <c r="V3853" s="35" t="str">
        <f>IFERROR(__xludf.DUMMYFUNCTION("""COMPUTED_VALUE"""),"089693844746")</f>
        <v>089693844746</v>
      </c>
      <c r="W3853" s="45"/>
    </row>
    <row r="3854">
      <c r="A3854" s="45"/>
      <c r="B3854" s="35" t="str">
        <f>IFERROR(__xludf.DUMMYFUNCTION("""COMPUTED_VALUE"""),"23/05/2026 20:37:23")</f>
        <v>23/05/2026 20:37:23</v>
      </c>
      <c r="C3854" s="35"/>
      <c r="D3854" s="10">
        <f>IFERROR(__xludf.DUMMYFUNCTION("""COMPUTED_VALUE"""),46165.0)</f>
        <v>46165</v>
      </c>
      <c r="E3854" s="35" t="str">
        <f>IFERROR(__xludf.DUMMYFUNCTION("""COMPUTED_VALUE"""),"05Mei")</f>
        <v>05Mei</v>
      </c>
      <c r="F3854" s="35"/>
      <c r="G3854" s="35" t="str">
        <f>IFERROR(__xludf.DUMMYFUNCTION("""COMPUTED_VALUE"""),"IRFAN RACHMAN HAKIM")</f>
        <v>IRFAN RACHMAN HAKIM</v>
      </c>
      <c r="H3854" s="35" t="str">
        <f>IFERROR(__xludf.DUMMYFUNCTION("""COMPUTED_VALUE"""),"I9026059114")</f>
        <v>I9026059114</v>
      </c>
      <c r="I3854" s="35">
        <f>IFERROR(__xludf.DUMMYFUNCTION("""COMPUTED_VALUE"""),35.0)</f>
        <v>35</v>
      </c>
      <c r="J3854" s="35" t="str">
        <f>IFERROR(__xludf.DUMMYFUNCTION("""COMPUTED_VALUE"""),"35-44 tahun")</f>
        <v>35-44 tahun</v>
      </c>
      <c r="K3854" s="35" t="str">
        <f>IFERROR(__xludf.DUMMYFUNCTION("""COMPUTED_VALUE"""),"30/08/1990")</f>
        <v>30/08/1990</v>
      </c>
      <c r="L3854" s="35" t="str">
        <f>IFERROR(__xludf.DUMMYFUNCTION("""COMPUTED_VALUE"""),"LAKI-LAKI")</f>
        <v>LAKI-LAKI</v>
      </c>
      <c r="M3854" s="35" t="str">
        <f>IFERROR(__xludf.DUMMYFUNCTION("""COMPUTED_VALUE"""),"JL H M SUWIGNYO")</f>
        <v>JL H M SUWIGNYO</v>
      </c>
      <c r="N3854" s="35" t="str">
        <f>IFERROR(__xludf.DUMMYFUNCTION("""COMPUTED_VALUE"""),"SUNGAI JAWI")</f>
        <v>SUNGAI JAWI</v>
      </c>
      <c r="O3854" s="35" t="str">
        <f>IFERROR(__xludf.DUMMYFUNCTION("""COMPUTED_VALUE"""),"PONTIANAK KOTA")</f>
        <v>PONTIANAK KOTA</v>
      </c>
      <c r="P3854" s="35" t="str">
        <f>IFERROR(__xludf.DUMMYFUNCTION("""COMPUTED_VALUE"""),"PONTIANAK")</f>
        <v>PONTIANAK</v>
      </c>
      <c r="Q3854" s="35" t="str">
        <f>IFERROR(__xludf.DUMMYFUNCTION("""COMPUTED_VALUE"""),"KALIMANTAN BARAT")</f>
        <v>KALIMANTAN BARAT</v>
      </c>
      <c r="R3854" s="35" t="str">
        <f>IFERROR(__xludf.DUMMYFUNCTION("""COMPUTED_VALUE"""),"ISLAM")</f>
        <v>ISLAM</v>
      </c>
      <c r="S3854" s="74" t="str">
        <f>IFERROR(__xludf.DUMMYFUNCTION("""COMPUTED_VALUE"""),"BUMD")</f>
        <v>BUMD</v>
      </c>
      <c r="T3854" s="35" t="str">
        <f>IFERROR(__xludf.DUMMYFUNCTION("""COMPUTED_VALUE"""),"BENGKAK PADA BETIS")</f>
        <v>BENGKAK PADA BETIS</v>
      </c>
      <c r="U3854" s="35" t="str">
        <f>IFERROR(__xludf.DUMMYFUNCTION("""COMPUTED_VALUE"""),"SEPAK BOLA")</f>
        <v>SEPAK BOLA</v>
      </c>
      <c r="V3854" s="35" t="str">
        <f>IFERROR(__xludf.DUMMYFUNCTION("""COMPUTED_VALUE"""),"089699999114")</f>
        <v>089699999114</v>
      </c>
      <c r="W3854" s="45"/>
    </row>
    <row r="3855">
      <c r="A3855" s="45"/>
      <c r="B3855" s="35" t="str">
        <f>IFERROR(__xludf.DUMMYFUNCTION("""COMPUTED_VALUE"""),"23/05/2026 22:51:31")</f>
        <v>23/05/2026 22:51:31</v>
      </c>
      <c r="C3855" s="35"/>
      <c r="D3855" s="10">
        <f>IFERROR(__xludf.DUMMYFUNCTION("""COMPUTED_VALUE"""),46166.0)</f>
        <v>46166</v>
      </c>
      <c r="E3855" s="35" t="str">
        <f>IFERROR(__xludf.DUMMYFUNCTION("""COMPUTED_VALUE"""),"05Mei")</f>
        <v>05Mei</v>
      </c>
      <c r="F3855" s="35"/>
      <c r="G3855" s="35" t="str">
        <f>IFERROR(__xludf.DUMMYFUNCTION("""COMPUTED_VALUE"""),"HENDRY")</f>
        <v>HENDRY</v>
      </c>
      <c r="H3855" s="35" t="str">
        <f>IFERROR(__xludf.DUMMYFUNCTION("""COMPUTED_VALUE"""),"H8426053685")</f>
        <v>H8426053685</v>
      </c>
      <c r="I3855" s="35">
        <f>IFERROR(__xludf.DUMMYFUNCTION("""COMPUTED_VALUE"""),41.0)</f>
        <v>41</v>
      </c>
      <c r="J3855" s="35" t="str">
        <f>IFERROR(__xludf.DUMMYFUNCTION("""COMPUTED_VALUE"""),"35-44 tahun")</f>
        <v>35-44 tahun</v>
      </c>
      <c r="K3855" s="35" t="str">
        <f>IFERROR(__xludf.DUMMYFUNCTION("""COMPUTED_VALUE"""),"04/11/1984")</f>
        <v>04/11/1984</v>
      </c>
      <c r="L3855" s="35" t="str">
        <f>IFERROR(__xludf.DUMMYFUNCTION("""COMPUTED_VALUE"""),"LAKI-LAKI")</f>
        <v>LAKI-LAKI</v>
      </c>
      <c r="M3855" s="35" t="str">
        <f>IFERROR(__xludf.DUMMYFUNCTION("""COMPUTED_VALUE"""),"JALAN TANJUNGPURA GANG SUKADANA ")</f>
        <v>JALAN TANJUNGPURA GANG SUKADANA </v>
      </c>
      <c r="N3855" s="35" t="str">
        <f>IFERROR(__xludf.DUMMYFUNCTION("""COMPUTED_VALUE"""),"BENUA MELAYU DARAT")</f>
        <v>BENUA MELAYU DARAT</v>
      </c>
      <c r="O3855" s="35" t="str">
        <f>IFERROR(__xludf.DUMMYFUNCTION("""COMPUTED_VALUE"""),"PONTIANAK SELATAN")</f>
        <v>PONTIANAK SELATAN</v>
      </c>
      <c r="P3855" s="35" t="str">
        <f>IFERROR(__xludf.DUMMYFUNCTION("""COMPUTED_VALUE"""),"KOTA PONTIANAK")</f>
        <v>KOTA PONTIANAK</v>
      </c>
      <c r="Q3855" s="35" t="str">
        <f>IFERROR(__xludf.DUMMYFUNCTION("""COMPUTED_VALUE"""),"KALBAR")</f>
        <v>KALBAR</v>
      </c>
      <c r="R3855" s="35" t="str">
        <f>IFERROR(__xludf.DUMMYFUNCTION("""COMPUTED_VALUE"""),"BUDDHA")</f>
        <v>BUDDHA</v>
      </c>
      <c r="S3855" s="74" t="str">
        <f>IFERROR(__xludf.DUMMYFUNCTION("""COMPUTED_VALUE"""),"SWASTA")</f>
        <v>SWASTA</v>
      </c>
      <c r="T3855" s="35" t="str">
        <f>IFERROR(__xludf.DUMMYFUNCTION("""COMPUTED_VALUE"""),"SAKIT PINGGANG")</f>
        <v>SAKIT PINGGANG</v>
      </c>
      <c r="U3855" s="35" t="str">
        <f>IFERROR(__xludf.DUMMYFUNCTION("""COMPUTED_VALUE"""),"BADMINTON")</f>
        <v>BADMINTON</v>
      </c>
      <c r="V3855" s="35" t="str">
        <f>IFERROR(__xludf.DUMMYFUNCTION("""COMPUTED_VALUE"""),"089693703685")</f>
        <v>089693703685</v>
      </c>
      <c r="W3855" s="45"/>
    </row>
    <row r="3856">
      <c r="A3856" s="45"/>
      <c r="B3856" s="35" t="str">
        <f>IFERROR(__xludf.DUMMYFUNCTION("""COMPUTED_VALUE"""),"24/05/2026 11:00:43")</f>
        <v>24/05/2026 11:00:43</v>
      </c>
      <c r="C3856" s="35"/>
      <c r="D3856" s="10">
        <f>IFERROR(__xludf.DUMMYFUNCTION("""COMPUTED_VALUE"""),46166.0)</f>
        <v>46166</v>
      </c>
      <c r="E3856" s="35" t="str">
        <f>IFERROR(__xludf.DUMMYFUNCTION("""COMPUTED_VALUE"""),"05Mei")</f>
        <v>05Mei</v>
      </c>
      <c r="F3856" s="35"/>
      <c r="G3856" s="35" t="str">
        <f>IFERROR(__xludf.DUMMYFUNCTION("""COMPUTED_VALUE"""),"MIKHAEL KEVIN")</f>
        <v>MIKHAEL KEVIN</v>
      </c>
      <c r="H3856" s="35" t="str">
        <f>IFERROR(__xludf.DUMMYFUNCTION("""COMPUTED_VALUE"""),"M0326050192")</f>
        <v>M0326050192</v>
      </c>
      <c r="I3856" s="35">
        <f>IFERROR(__xludf.DUMMYFUNCTION("""COMPUTED_VALUE"""),22.0)</f>
        <v>22</v>
      </c>
      <c r="J3856" s="35" t="str">
        <f>IFERROR(__xludf.DUMMYFUNCTION("""COMPUTED_VALUE"""),"18-24 tahun")</f>
        <v>18-24 tahun</v>
      </c>
      <c r="K3856" s="35" t="str">
        <f>IFERROR(__xludf.DUMMYFUNCTION("""COMPUTED_VALUE"""),"23/09/2003")</f>
        <v>23/09/2003</v>
      </c>
      <c r="L3856" s="35" t="str">
        <f>IFERROR(__xludf.DUMMYFUNCTION("""COMPUTED_VALUE"""),"LAKI-LAKI")</f>
        <v>LAKI-LAKI</v>
      </c>
      <c r="M3856" s="35" t="str">
        <f>IFERROR(__xludf.DUMMYFUNCTION("""COMPUTED_VALUE"""),"JALAN KELAM GG. GERIANV")</f>
        <v>JALAN KELAM GG. GERIANV</v>
      </c>
      <c r="N3856" s="35" t="str">
        <f>IFERROR(__xludf.DUMMYFUNCTION("""COMPUTED_VALUE"""),"ALAI")</f>
        <v>ALAI</v>
      </c>
      <c r="O3856" s="35" t="str">
        <f>IFERROR(__xludf.DUMMYFUNCTION("""COMPUTED_VALUE"""),"SINTANG")</f>
        <v>SINTANG</v>
      </c>
      <c r="P3856" s="35" t="str">
        <f>IFERROR(__xludf.DUMMYFUNCTION("""COMPUTED_VALUE"""),"SINTANG")</f>
        <v>SINTANG</v>
      </c>
      <c r="Q3856" s="35" t="str">
        <f>IFERROR(__xludf.DUMMYFUNCTION("""COMPUTED_VALUE"""),"KALIMANTAN BARAT")</f>
        <v>KALIMANTAN BARAT</v>
      </c>
      <c r="R3856" s="35" t="str">
        <f>IFERROR(__xludf.DUMMYFUNCTION("""COMPUTED_VALUE"""),"KATOLIK")</f>
        <v>KATOLIK</v>
      </c>
      <c r="S3856" s="74" t="str">
        <f>IFERROR(__xludf.DUMMYFUNCTION("""COMPUTED_VALUE"""),"BELUM/TIDAK BERKERJA")</f>
        <v>BELUM/TIDAK BERKERJA</v>
      </c>
      <c r="T3856" s="35" t="str">
        <f>IFERROR(__xludf.DUMMYFUNCTION("""COMPUTED_VALUE"""),"KAKI SEBELAH KANAN NYERI, SAMPAI KE PANGKAL PAHA")</f>
        <v>KAKI SEBELAH KANAN NYERI, SAMPAI KE PANGKAL PAHA</v>
      </c>
      <c r="U3856" s="35" t="str">
        <f>IFERROR(__xludf.DUMMYFUNCTION("""COMPUTED_VALUE"""),"BEKERJA, MAIN BOLA, BADMINTON")</f>
        <v>BEKERJA, MAIN BOLA, BADMINTON</v>
      </c>
      <c r="V3856" s="35" t="str">
        <f>IFERROR(__xludf.DUMMYFUNCTION("""COMPUTED_VALUE"""),"085750110192")</f>
        <v>085750110192</v>
      </c>
      <c r="W3856" s="45"/>
    </row>
    <row r="3857">
      <c r="A3857" s="45"/>
      <c r="B3857" s="35" t="str">
        <f>IFERROR(__xludf.DUMMYFUNCTION("""COMPUTED_VALUE"""),"24/05/2026 12:02:16")</f>
        <v>24/05/2026 12:02:16</v>
      </c>
      <c r="C3857" s="35"/>
      <c r="D3857" s="10">
        <f>IFERROR(__xludf.DUMMYFUNCTION("""COMPUTED_VALUE"""),46166.0)</f>
        <v>46166</v>
      </c>
      <c r="E3857" s="35" t="str">
        <f>IFERROR(__xludf.DUMMYFUNCTION("""COMPUTED_VALUE"""),"05Mei")</f>
        <v>05Mei</v>
      </c>
      <c r="F3857" s="35"/>
      <c r="G3857" s="35" t="str">
        <f>IFERROR(__xludf.DUMMYFUNCTION("""COMPUTED_VALUE"""),"YASHINTA DIAJENG KULAAN")</f>
        <v>YASHINTA DIAJENG KULAAN</v>
      </c>
      <c r="H3857" s="35" t="str">
        <f>IFERROR(__xludf.DUMMYFUNCTION("""COMPUTED_VALUE"""),"Y9426058456")</f>
        <v>Y9426058456</v>
      </c>
      <c r="I3857" s="35">
        <f>IFERROR(__xludf.DUMMYFUNCTION("""COMPUTED_VALUE"""),31.0)</f>
        <v>31</v>
      </c>
      <c r="J3857" s="35" t="str">
        <f>IFERROR(__xludf.DUMMYFUNCTION("""COMPUTED_VALUE"""),"25-34 tahun")</f>
        <v>25-34 tahun</v>
      </c>
      <c r="K3857" s="35" t="str">
        <f>IFERROR(__xludf.DUMMYFUNCTION("""COMPUTED_VALUE"""),"03/12/1994")</f>
        <v>03/12/1994</v>
      </c>
      <c r="L3857" s="35" t="str">
        <f>IFERROR(__xludf.DUMMYFUNCTION("""COMPUTED_VALUE"""),"PEREMPUAN")</f>
        <v>PEREMPUAN</v>
      </c>
      <c r="M3857" s="35" t="str">
        <f>IFERROR(__xludf.DUMMYFUNCTION("""COMPUTED_VALUE"""),"JL PURNAMA 2. KOMPLEK PURNAMA ELOK NO G2")</f>
        <v>JL PURNAMA 2. KOMPLEK PURNAMA ELOK NO G2</v>
      </c>
      <c r="N3857" s="35" t="str">
        <f>IFERROR(__xludf.DUMMYFUNCTION("""COMPUTED_VALUE"""),"PARIT TOKAYA")</f>
        <v>PARIT TOKAYA</v>
      </c>
      <c r="O3857" s="35" t="str">
        <f>IFERROR(__xludf.DUMMYFUNCTION("""COMPUTED_VALUE"""),"PONTIANAK SELATAN")</f>
        <v>PONTIANAK SELATAN</v>
      </c>
      <c r="P3857" s="35" t="str">
        <f>IFERROR(__xludf.DUMMYFUNCTION("""COMPUTED_VALUE"""),"PONTIANAK")</f>
        <v>PONTIANAK</v>
      </c>
      <c r="Q3857" s="35" t="str">
        <f>IFERROR(__xludf.DUMMYFUNCTION("""COMPUTED_VALUE"""),"KALIMANTAN BARAT")</f>
        <v>KALIMANTAN BARAT</v>
      </c>
      <c r="R3857" s="35" t="str">
        <f>IFERROR(__xludf.DUMMYFUNCTION("""COMPUTED_VALUE"""),"KATOLIK")</f>
        <v>KATOLIK</v>
      </c>
      <c r="S3857" s="74" t="str">
        <f>IFERROR(__xludf.DUMMYFUNCTION("""COMPUTED_VALUE"""),"WIRAUSAHA")</f>
        <v>WIRAUSAHA</v>
      </c>
      <c r="T3857" s="35" t="str">
        <f>IFERROR(__xludf.DUMMYFUNCTION("""COMPUTED_VALUE"""),"WRIST INJURY")</f>
        <v>WRIST INJURY</v>
      </c>
      <c r="U3857" s="35" t="str">
        <f>IFERROR(__xludf.DUMMYFUNCTION("""COMPUTED_VALUE"""),"OLAHRAGA")</f>
        <v>OLAHRAGA</v>
      </c>
      <c r="V3857" s="35" t="str">
        <f>IFERROR(__xludf.DUMMYFUNCTION("""COMPUTED_VALUE"""),"081259908456")</f>
        <v>081259908456</v>
      </c>
      <c r="W3857" s="45"/>
    </row>
    <row r="3858">
      <c r="A3858" s="45"/>
      <c r="B3858" s="35" t="str">
        <f>IFERROR(__xludf.DUMMYFUNCTION("""COMPUTED_VALUE"""),"24/05/2026 13:39:53")</f>
        <v>24/05/2026 13:39:53</v>
      </c>
      <c r="C3858" s="35"/>
      <c r="D3858" s="10">
        <f>IFERROR(__xludf.DUMMYFUNCTION("""COMPUTED_VALUE"""),46166.0)</f>
        <v>46166</v>
      </c>
      <c r="E3858" s="35" t="str">
        <f>IFERROR(__xludf.DUMMYFUNCTION("""COMPUTED_VALUE"""),"05Mei")</f>
        <v>05Mei</v>
      </c>
      <c r="F3858" s="35"/>
      <c r="G3858" s="35" t="str">
        <f>IFERROR(__xludf.DUMMYFUNCTION("""COMPUTED_VALUE"""),"RENALDI ADITYA DWI SAPUTRA")</f>
        <v>RENALDI ADITYA DWI SAPUTRA</v>
      </c>
      <c r="H3858" s="35" t="str">
        <f>IFERROR(__xludf.DUMMYFUNCTION("""COMPUTED_VALUE"""),"R9826050541")</f>
        <v>R9826050541</v>
      </c>
      <c r="I3858" s="35">
        <f>IFERROR(__xludf.DUMMYFUNCTION("""COMPUTED_VALUE"""),27.0)</f>
        <v>27</v>
      </c>
      <c r="J3858" s="35" t="str">
        <f>IFERROR(__xludf.DUMMYFUNCTION("""COMPUTED_VALUE"""),"25-34 tahun")</f>
        <v>25-34 tahun</v>
      </c>
      <c r="K3858" s="35" t="str">
        <f>IFERROR(__xludf.DUMMYFUNCTION("""COMPUTED_VALUE"""),"08/12/1998")</f>
        <v>08/12/1998</v>
      </c>
      <c r="L3858" s="35" t="str">
        <f>IFERROR(__xludf.DUMMYFUNCTION("""COMPUTED_VALUE"""),"LAKI-LAKI")</f>
        <v>LAKI-LAKI</v>
      </c>
      <c r="M3858" s="35" t="str">
        <f>IFERROR(__xludf.DUMMYFUNCTION("""COMPUTED_VALUE"""),"JLN PUTRI CANDRAMIDI GG SANJAYA")</f>
        <v>JLN PUTRI CANDRAMIDI GG SANJAYA</v>
      </c>
      <c r="N3858" s="35" t="str">
        <f>IFERROR(__xludf.DUMMYFUNCTION("""COMPUTED_VALUE"""),"SUI BANGKONG")</f>
        <v>SUI BANGKONG</v>
      </c>
      <c r="O3858" s="35" t="str">
        <f>IFERROR(__xludf.DUMMYFUNCTION("""COMPUTED_VALUE"""),"PONTIANAK KOTA")</f>
        <v>PONTIANAK KOTA</v>
      </c>
      <c r="P3858" s="35" t="str">
        <f>IFERROR(__xludf.DUMMYFUNCTION("""COMPUTED_VALUE"""),"KOTA PONTIANAK")</f>
        <v>KOTA PONTIANAK</v>
      </c>
      <c r="Q3858" s="35" t="str">
        <f>IFERROR(__xludf.DUMMYFUNCTION("""COMPUTED_VALUE"""),"KALIMANTAN BARAT")</f>
        <v>KALIMANTAN BARAT</v>
      </c>
      <c r="R3858" s="35" t="str">
        <f>IFERROR(__xludf.DUMMYFUNCTION("""COMPUTED_VALUE"""),"ISLAM")</f>
        <v>ISLAM</v>
      </c>
      <c r="S3858" s="74" t="str">
        <f>IFERROR(__xludf.DUMMYFUNCTION("""COMPUTED_VALUE"""),"SWASTA ")</f>
        <v>SWASTA </v>
      </c>
      <c r="T3858" s="35" t="str">
        <f>IFERROR(__xludf.DUMMYFUNCTION("""COMPUTED_VALUE"""),"SAKIT LUTUT")</f>
        <v>SAKIT LUTUT</v>
      </c>
      <c r="U3858" s="35" t="str">
        <f>IFERROR(__xludf.DUMMYFUNCTION("""COMPUTED_VALUE"""),"KERJA")</f>
        <v>KERJA</v>
      </c>
      <c r="V3858" s="35" t="str">
        <f>IFERROR(__xludf.DUMMYFUNCTION("""COMPUTED_VALUE"""),"082353100541")</f>
        <v>082353100541</v>
      </c>
      <c r="W3858" s="45"/>
    </row>
    <row r="3859">
      <c r="A3859" s="45"/>
      <c r="B3859" s="35" t="str">
        <f>IFERROR(__xludf.DUMMYFUNCTION("""COMPUTED_VALUE"""),"24/05/2026 11:46:32")</f>
        <v>24/05/2026 11:46:32</v>
      </c>
      <c r="C3859" s="35"/>
      <c r="D3859" s="10">
        <f>IFERROR(__xludf.DUMMYFUNCTION("""COMPUTED_VALUE"""),46166.0)</f>
        <v>46166</v>
      </c>
      <c r="E3859" s="35" t="str">
        <f>IFERROR(__xludf.DUMMYFUNCTION("""COMPUTED_VALUE"""),"05Mei")</f>
        <v>05Mei</v>
      </c>
      <c r="F3859" s="35"/>
      <c r="G3859" s="35" t="str">
        <f>IFERROR(__xludf.DUMMYFUNCTION("""COMPUTED_VALUE"""),"NAYYARA TSABITA YUMNA")</f>
        <v>NAYYARA TSABITA YUMNA</v>
      </c>
      <c r="H3859" s="35" t="str">
        <f>IFERROR(__xludf.DUMMYFUNCTION("""COMPUTED_VALUE"""),"N1726054313")</f>
        <v>N1726054313</v>
      </c>
      <c r="I3859" s="35">
        <f>IFERROR(__xludf.DUMMYFUNCTION("""COMPUTED_VALUE"""),9.0)</f>
        <v>9</v>
      </c>
      <c r="J3859" s="35" t="str">
        <f>IFERROR(__xludf.DUMMYFUNCTION("""COMPUTED_VALUE"""),"&lt; 18 tahun")</f>
        <v>&lt; 18 tahun</v>
      </c>
      <c r="K3859" s="35" t="str">
        <f>IFERROR(__xludf.DUMMYFUNCTION("""COMPUTED_VALUE"""),"19/03/2017")</f>
        <v>19/03/2017</v>
      </c>
      <c r="L3859" s="35" t="str">
        <f>IFERROR(__xludf.DUMMYFUNCTION("""COMPUTED_VALUE"""),"PEREMPUAN")</f>
        <v>PEREMPUAN</v>
      </c>
      <c r="M3859" s="35" t="str">
        <f>IFERROR(__xludf.DUMMYFUNCTION("""COMPUTED_VALUE"""),"JL ARTERI SUPADIO, KOMPLEK ADI GRIYA KARYA BLOK K NO. 9")</f>
        <v>JL ARTERI SUPADIO, KOMPLEK ADI GRIYA KARYA BLOK K NO. 9</v>
      </c>
      <c r="N3859" s="35" t="str">
        <f>IFERROR(__xludf.DUMMYFUNCTION("""COMPUTED_VALUE"""),"TELUK KAPUAS")</f>
        <v>TELUK KAPUAS</v>
      </c>
      <c r="O3859" s="35" t="str">
        <f>IFERROR(__xludf.DUMMYFUNCTION("""COMPUTED_VALUE"""),"SUNGAI RAYA")</f>
        <v>SUNGAI RAYA</v>
      </c>
      <c r="P3859" s="35" t="str">
        <f>IFERROR(__xludf.DUMMYFUNCTION("""COMPUTED_VALUE"""),"KUBU RAYA")</f>
        <v>KUBU RAYA</v>
      </c>
      <c r="Q3859" s="35" t="str">
        <f>IFERROR(__xludf.DUMMYFUNCTION("""COMPUTED_VALUE"""),"KALIMANTAN BARAT")</f>
        <v>KALIMANTAN BARAT</v>
      </c>
      <c r="R3859" s="35" t="str">
        <f>IFERROR(__xludf.DUMMYFUNCTION("""COMPUTED_VALUE"""),"ISLAM")</f>
        <v>ISLAM</v>
      </c>
      <c r="S3859" s="74" t="str">
        <f>IFERROR(__xludf.DUMMYFUNCTION("""COMPUTED_VALUE"""),"PELAJAR")</f>
        <v>PELAJAR</v>
      </c>
      <c r="T3859" s="35" t="str">
        <f>IFERROR(__xludf.DUMMYFUNCTION("""COMPUTED_VALUE"""),"SAKIT PADA TULANG EKOR")</f>
        <v>SAKIT PADA TULANG EKOR</v>
      </c>
      <c r="U3859" s="35" t="str">
        <f>IFERROR(__xludf.DUMMYFUNCTION("""COMPUTED_VALUE"""),"LARI")</f>
        <v>LARI</v>
      </c>
      <c r="V3859" s="35" t="str">
        <f>IFERROR(__xludf.DUMMYFUNCTION("""COMPUTED_VALUE"""),"081345684313")</f>
        <v>081345684313</v>
      </c>
      <c r="W3859" s="45"/>
    </row>
    <row r="3860">
      <c r="A3860" s="45"/>
      <c r="B3860" s="35" t="str">
        <f>IFERROR(__xludf.DUMMYFUNCTION("""COMPUTED_VALUE"""),"24/05/2026 14:03:07")</f>
        <v>24/05/2026 14:03:07</v>
      </c>
      <c r="C3860" s="35"/>
      <c r="D3860" s="10">
        <f>IFERROR(__xludf.DUMMYFUNCTION("""COMPUTED_VALUE"""),46166.0)</f>
        <v>46166</v>
      </c>
      <c r="E3860" s="35" t="str">
        <f>IFERROR(__xludf.DUMMYFUNCTION("""COMPUTED_VALUE"""),"05Mei")</f>
        <v>05Mei</v>
      </c>
      <c r="F3860" s="35"/>
      <c r="G3860" s="35" t="str">
        <f>IFERROR(__xludf.DUMMYFUNCTION("""COMPUTED_VALUE"""),"WULANDARI SAPUTRI")</f>
        <v>WULANDARI SAPUTRI</v>
      </c>
      <c r="H3860" s="35" t="str">
        <f>IFERROR(__xludf.DUMMYFUNCTION("""COMPUTED_VALUE"""),"W8926055767")</f>
        <v>W8926055767</v>
      </c>
      <c r="I3860" s="35">
        <f>IFERROR(__xludf.DUMMYFUNCTION("""COMPUTED_VALUE"""),36.0)</f>
        <v>36</v>
      </c>
      <c r="J3860" s="35" t="str">
        <f>IFERROR(__xludf.DUMMYFUNCTION("""COMPUTED_VALUE"""),"35-44 tahun")</f>
        <v>35-44 tahun</v>
      </c>
      <c r="K3860" s="35" t="str">
        <f>IFERROR(__xludf.DUMMYFUNCTION("""COMPUTED_VALUE"""),"25/08/1989")</f>
        <v>25/08/1989</v>
      </c>
      <c r="L3860" s="35" t="str">
        <f>IFERROR(__xludf.DUMMYFUNCTION("""COMPUTED_VALUE"""),"PEREMPUAN")</f>
        <v>PEREMPUAN</v>
      </c>
      <c r="M3860" s="35" t="str">
        <f>IFERROR(__xludf.DUMMYFUNCTION("""COMPUTED_VALUE"""),"JLN. PROF. M. YAMIN GANG GUNUNG KOTA NO.8")</f>
        <v>JLN. PROF. M. YAMIN GANG GUNUNG KOTA NO.8</v>
      </c>
      <c r="N3860" s="35" t="str">
        <f>IFERROR(__xludf.DUMMYFUNCTION("""COMPUTED_VALUE"""),"KOTA BARU")</f>
        <v>KOTA BARU</v>
      </c>
      <c r="O3860" s="35" t="str">
        <f>IFERROR(__xludf.DUMMYFUNCTION("""COMPUTED_VALUE"""),"PONTIANAK SELATAN")</f>
        <v>PONTIANAK SELATAN</v>
      </c>
      <c r="P3860" s="35" t="str">
        <f>IFERROR(__xludf.DUMMYFUNCTION("""COMPUTED_VALUE"""),"PONTIANAK ")</f>
        <v>PONTIANAK </v>
      </c>
      <c r="Q3860" s="35" t="str">
        <f>IFERROR(__xludf.DUMMYFUNCTION("""COMPUTED_VALUE"""),"KALIMANTAN BARAT")</f>
        <v>KALIMANTAN BARAT</v>
      </c>
      <c r="R3860" s="35" t="str">
        <f>IFERROR(__xludf.DUMMYFUNCTION("""COMPUTED_VALUE"""),"ISLAM")</f>
        <v>ISLAM</v>
      </c>
      <c r="S3860" s="74" t="str">
        <f>IFERROR(__xludf.DUMMYFUNCTION("""COMPUTED_VALUE"""),"IBU RUMAH TANGGA")</f>
        <v>IBU RUMAH TANGGA</v>
      </c>
      <c r="T3860" s="35" t="str">
        <f>IFERROR(__xludf.DUMMYFUNCTION("""COMPUTED_VALUE"""),"NYERI PINGGANG")</f>
        <v>NYERI PINGGANG</v>
      </c>
      <c r="U3860" s="35" t="str">
        <f>IFERROR(__xludf.DUMMYFUNCTION("""COMPUTED_VALUE"""),"OLAHRAGA ")</f>
        <v>OLAHRAGA </v>
      </c>
      <c r="V3860" s="35" t="str">
        <f>IFERROR(__xludf.DUMMYFUNCTION("""COMPUTED_VALUE"""),"081257185767")</f>
        <v>081257185767</v>
      </c>
      <c r="W3860" s="45"/>
    </row>
    <row r="3861">
      <c r="A3861" s="45"/>
      <c r="B3861" s="35" t="str">
        <f>IFERROR(__xludf.DUMMYFUNCTION("""COMPUTED_VALUE"""),"24/05/2026 15:28:43")</f>
        <v>24/05/2026 15:28:43</v>
      </c>
      <c r="C3861" s="35"/>
      <c r="D3861" s="10">
        <f>IFERROR(__xludf.DUMMYFUNCTION("""COMPUTED_VALUE"""),46166.0)</f>
        <v>46166</v>
      </c>
      <c r="E3861" s="35" t="str">
        <f>IFERROR(__xludf.DUMMYFUNCTION("""COMPUTED_VALUE"""),"05Mei")</f>
        <v>05Mei</v>
      </c>
      <c r="F3861" s="35"/>
      <c r="G3861" s="35" t="str">
        <f>IFERROR(__xludf.DUMMYFUNCTION("""COMPUTED_VALUE"""),"JURIYATI")</f>
        <v>JURIYATI</v>
      </c>
      <c r="H3861" s="35" t="str">
        <f>IFERROR(__xludf.DUMMYFUNCTION("""COMPUTED_VALUE"""),"J6926050248")</f>
        <v>J6926050248</v>
      </c>
      <c r="I3861" s="35">
        <f>IFERROR(__xludf.DUMMYFUNCTION("""COMPUTED_VALUE"""),57.0)</f>
        <v>57</v>
      </c>
      <c r="J3861" s="35" t="str">
        <f>IFERROR(__xludf.DUMMYFUNCTION("""COMPUTED_VALUE"""),"&gt; 44 tahun")</f>
        <v>&gt; 44 tahun</v>
      </c>
      <c r="K3861" s="35" t="str">
        <f>IFERROR(__xludf.DUMMYFUNCTION("""COMPUTED_VALUE"""),"31/01/1969")</f>
        <v>31/01/1969</v>
      </c>
      <c r="L3861" s="35" t="str">
        <f>IFERROR(__xludf.DUMMYFUNCTION("""COMPUTED_VALUE"""),"PEREMPUAN")</f>
        <v>PEREMPUAN</v>
      </c>
      <c r="M3861" s="35" t="str">
        <f>IFERROR(__xludf.DUMMYFUNCTION("""COMPUTED_VALUE"""),"CABANG KIRI")</f>
        <v>CABANG KIRI</v>
      </c>
      <c r="N3861" s="35" t="str">
        <f>IFERROR(__xludf.DUMMYFUNCTION("""COMPUTED_VALUE"""),"SUNGAI RAYA")</f>
        <v>SUNGAI RAYA</v>
      </c>
      <c r="O3861" s="35" t="str">
        <f>IFERROR(__xludf.DUMMYFUNCTION("""COMPUTED_VALUE"""),"SUNGAI RAYA")</f>
        <v>SUNGAI RAYA</v>
      </c>
      <c r="P3861" s="35" t="str">
        <f>IFERROR(__xludf.DUMMYFUNCTION("""COMPUTED_VALUE"""),"KUBU RAYA")</f>
        <v>KUBU RAYA</v>
      </c>
      <c r="Q3861" s="35" t="str">
        <f>IFERROR(__xludf.DUMMYFUNCTION("""COMPUTED_VALUE"""),"KALIMANTAN BARAT")</f>
        <v>KALIMANTAN BARAT</v>
      </c>
      <c r="R3861" s="35" t="str">
        <f>IFERROR(__xludf.DUMMYFUNCTION("""COMPUTED_VALUE"""),"ISLAM")</f>
        <v>ISLAM</v>
      </c>
      <c r="S3861" s="74" t="str">
        <f>IFERROR(__xludf.DUMMYFUNCTION("""COMPUTED_VALUE"""),"IRT")</f>
        <v>IRT</v>
      </c>
      <c r="T3861" s="35" t="str">
        <f>IFERROR(__xludf.DUMMYFUNCTION("""COMPUTED_VALUE"""),"SAKIT TELAPAK KAI")</f>
        <v>SAKIT TELAPAK KAI</v>
      </c>
      <c r="U3861" s="35" t="str">
        <f>IFERROR(__xludf.DUMMYFUNCTION("""COMPUTED_VALUE"""),"MASAK, MENCUCI, DLL")</f>
        <v>MASAK, MENCUCI, DLL</v>
      </c>
      <c r="V3861" s="35" t="str">
        <f>IFERROR(__xludf.DUMMYFUNCTION("""COMPUTED_VALUE"""),"08981380248")</f>
        <v>08981380248</v>
      </c>
      <c r="W3861" s="45"/>
    </row>
    <row r="3862">
      <c r="A3862" s="45"/>
      <c r="B3862" s="35" t="str">
        <f>IFERROR(__xludf.DUMMYFUNCTION("""COMPUTED_VALUE"""),"25/05/2026 11:10:18")</f>
        <v>25/05/2026 11:10:18</v>
      </c>
      <c r="C3862" s="35"/>
      <c r="D3862" s="10">
        <f>IFERROR(__xludf.DUMMYFUNCTION("""COMPUTED_VALUE"""),46167.0)</f>
        <v>46167</v>
      </c>
      <c r="E3862" s="35" t="str">
        <f>IFERROR(__xludf.DUMMYFUNCTION("""COMPUTED_VALUE"""),"05Mei")</f>
        <v>05Mei</v>
      </c>
      <c r="F3862" s="35"/>
      <c r="G3862" s="35" t="str">
        <f>IFERROR(__xludf.DUMMYFUNCTION("""COMPUTED_VALUE"""),"U. HERU ISWIRNANDA")</f>
        <v>U. HERU ISWIRNANDA</v>
      </c>
      <c r="H3862" s="35" t="str">
        <f>IFERROR(__xludf.DUMMYFUNCTION("""COMPUTED_VALUE"""),"U8726050256")</f>
        <v>U8726050256</v>
      </c>
      <c r="I3862" s="35">
        <f>IFERROR(__xludf.DUMMYFUNCTION("""COMPUTED_VALUE"""),38.0)</f>
        <v>38</v>
      </c>
      <c r="J3862" s="35" t="str">
        <f>IFERROR(__xludf.DUMMYFUNCTION("""COMPUTED_VALUE"""),"35-44 tahun")</f>
        <v>35-44 tahun</v>
      </c>
      <c r="K3862" s="35" t="str">
        <f>IFERROR(__xludf.DUMMYFUNCTION("""COMPUTED_VALUE"""),"04/07/1987")</f>
        <v>04/07/1987</v>
      </c>
      <c r="L3862" s="35" t="str">
        <f>IFERROR(__xludf.DUMMYFUNCTION("""COMPUTED_VALUE"""),"LAKI-LAKI")</f>
        <v>LAKI-LAKI</v>
      </c>
      <c r="M3862" s="35" t="str">
        <f>IFERROR(__xludf.DUMMYFUNCTION("""COMPUTED_VALUE"""),"JL. KARYA BARU")</f>
        <v>JL. KARYA BARU</v>
      </c>
      <c r="N3862" s="35" t="str">
        <f>IFERROR(__xludf.DUMMYFUNCTION("""COMPUTED_VALUE"""),"PARIT TOKAYA")</f>
        <v>PARIT TOKAYA</v>
      </c>
      <c r="O3862" s="35" t="str">
        <f>IFERROR(__xludf.DUMMYFUNCTION("""COMPUTED_VALUE"""),"PONTIANAK SELATAN")</f>
        <v>PONTIANAK SELATAN</v>
      </c>
      <c r="P3862" s="35" t="str">
        <f>IFERROR(__xludf.DUMMYFUNCTION("""COMPUTED_VALUE"""),"PONTIANAK")</f>
        <v>PONTIANAK</v>
      </c>
      <c r="Q3862" s="35" t="str">
        <f>IFERROR(__xludf.DUMMYFUNCTION("""COMPUTED_VALUE"""),"KALIMANTAN BARAT")</f>
        <v>KALIMANTAN BARAT</v>
      </c>
      <c r="R3862" s="35" t="str">
        <f>IFERROR(__xludf.DUMMYFUNCTION("""COMPUTED_VALUE"""),"ISLAM")</f>
        <v>ISLAM</v>
      </c>
      <c r="S3862" s="74" t="str">
        <f>IFERROR(__xludf.DUMMYFUNCTION("""COMPUTED_VALUE"""),"WIRAUSAHA")</f>
        <v>WIRAUSAHA</v>
      </c>
      <c r="T3862" s="35" t="str">
        <f>IFERROR(__xludf.DUMMYFUNCTION("""COMPUTED_VALUE"""),"PERGELANGAN KAKI SAKIT DITEKUK, PINGGANG SAKIT")</f>
        <v>PERGELANGAN KAKI SAKIT DITEKUK, PINGGANG SAKIT</v>
      </c>
      <c r="U3862" s="35" t="str">
        <f>IFERROR(__xludf.DUMMYFUNCTION("""COMPUTED_VALUE"""),"JUALAN")</f>
        <v>JUALAN</v>
      </c>
      <c r="V3862" s="35" t="str">
        <f>IFERROR(__xludf.DUMMYFUNCTION("""COMPUTED_VALUE"""),"085252510256")</f>
        <v>085252510256</v>
      </c>
      <c r="W3862" s="45"/>
    </row>
    <row r="3863">
      <c r="A3863" s="45"/>
      <c r="B3863" s="35" t="str">
        <f>IFERROR(__xludf.DUMMYFUNCTION("""COMPUTED_VALUE"""),"25/05/2026 18:12:38")</f>
        <v>25/05/2026 18:12:38</v>
      </c>
      <c r="C3863" s="35"/>
      <c r="D3863" s="10">
        <f>IFERROR(__xludf.DUMMYFUNCTION("""COMPUTED_VALUE"""),46167.0)</f>
        <v>46167</v>
      </c>
      <c r="E3863" s="35" t="str">
        <f>IFERROR(__xludf.DUMMYFUNCTION("""COMPUTED_VALUE"""),"05Mei")</f>
        <v>05Mei</v>
      </c>
      <c r="F3863" s="35"/>
      <c r="G3863" s="35" t="str">
        <f>IFERROR(__xludf.DUMMYFUNCTION("""COMPUTED_VALUE"""),"KENRICH ELSON UTOMO")</f>
        <v>KENRICH ELSON UTOMO</v>
      </c>
      <c r="H3863" s="35" t="str">
        <f>IFERROR(__xludf.DUMMYFUNCTION("""COMPUTED_VALUE"""),"K1426059293")</f>
        <v>K1426059293</v>
      </c>
      <c r="I3863" s="35">
        <f>IFERROR(__xludf.DUMMYFUNCTION("""COMPUTED_VALUE"""),12.0)</f>
        <v>12</v>
      </c>
      <c r="J3863" s="35" t="str">
        <f>IFERROR(__xludf.DUMMYFUNCTION("""COMPUTED_VALUE"""),"&lt; 18 tahun")</f>
        <v>&lt; 18 tahun</v>
      </c>
      <c r="K3863" s="35" t="str">
        <f>IFERROR(__xludf.DUMMYFUNCTION("""COMPUTED_VALUE"""),"18/05/2014")</f>
        <v>18/05/2014</v>
      </c>
      <c r="L3863" s="35" t="str">
        <f>IFERROR(__xludf.DUMMYFUNCTION("""COMPUTED_VALUE"""),"LAKI-LAKI")</f>
        <v>LAKI-LAKI</v>
      </c>
      <c r="M3863" s="35" t="str">
        <f>IFERROR(__xludf.DUMMYFUNCTION("""COMPUTED_VALUE"""),"JL WONOYOSO GG. 5 NO. 10")</f>
        <v>JL WONOYOSO GG. 5 NO. 10</v>
      </c>
      <c r="N3863" s="35" t="str">
        <f>IFERROR(__xludf.DUMMYFUNCTION("""COMPUTED_VALUE"""),"AKCAYA")</f>
        <v>AKCAYA</v>
      </c>
      <c r="O3863" s="35" t="str">
        <f>IFERROR(__xludf.DUMMYFUNCTION("""COMPUTED_VALUE"""),"PONTIANAK SELATAN")</f>
        <v>PONTIANAK SELATAN</v>
      </c>
      <c r="P3863" s="35" t="str">
        <f>IFERROR(__xludf.DUMMYFUNCTION("""COMPUTED_VALUE"""),"PONTIANAK")</f>
        <v>PONTIANAK</v>
      </c>
      <c r="Q3863" s="35" t="str">
        <f>IFERROR(__xludf.DUMMYFUNCTION("""COMPUTED_VALUE"""),"KALIMANTAN BARAT")</f>
        <v>KALIMANTAN BARAT</v>
      </c>
      <c r="R3863" s="35" t="str">
        <f>IFERROR(__xludf.DUMMYFUNCTION("""COMPUTED_VALUE"""),"KATOLIK")</f>
        <v>KATOLIK</v>
      </c>
      <c r="S3863" s="74" t="str">
        <f>IFERROR(__xludf.DUMMYFUNCTION("""COMPUTED_VALUE"""),"PELAJAR")</f>
        <v>PELAJAR</v>
      </c>
      <c r="T3863" s="35" t="str">
        <f>IFERROR(__xludf.DUMMYFUNCTION("""COMPUTED_VALUE"""),"ACHILLES TENDON SAKIT")</f>
        <v>ACHILLES TENDON SAKIT</v>
      </c>
      <c r="U3863" s="35" t="str">
        <f>IFERROR(__xludf.DUMMYFUNCTION("""COMPUTED_VALUE"""),"BASKET")</f>
        <v>BASKET</v>
      </c>
      <c r="V3863" s="35" t="str">
        <f>IFERROR(__xludf.DUMMYFUNCTION("""COMPUTED_VALUE"""),"081284849293")</f>
        <v>081284849293</v>
      </c>
      <c r="W3863" s="45"/>
    </row>
    <row r="3864">
      <c r="A3864" s="45"/>
      <c r="B3864" s="35" t="str">
        <f>IFERROR(__xludf.DUMMYFUNCTION("""COMPUTED_VALUE"""),"26/05/2026 9:48:32")</f>
        <v>26/05/2026 9:48:32</v>
      </c>
      <c r="C3864" s="35"/>
      <c r="D3864" s="10">
        <f>IFERROR(__xludf.DUMMYFUNCTION("""COMPUTED_VALUE"""),46168.0)</f>
        <v>46168</v>
      </c>
      <c r="E3864" s="35" t="str">
        <f>IFERROR(__xludf.DUMMYFUNCTION("""COMPUTED_VALUE"""),"05Mei")</f>
        <v>05Mei</v>
      </c>
      <c r="F3864" s="35"/>
      <c r="G3864" s="35" t="str">
        <f>IFERROR(__xludf.DUMMYFUNCTION("""COMPUTED_VALUE"""),"ELISABET ELISA ")</f>
        <v>ELISABET ELISA </v>
      </c>
      <c r="H3864" s="35" t="str">
        <f>IFERROR(__xludf.DUMMYFUNCTION("""COMPUTED_VALUE"""),"E0626052183")</f>
        <v>E0626052183</v>
      </c>
      <c r="I3864" s="35">
        <f>IFERROR(__xludf.DUMMYFUNCTION("""COMPUTED_VALUE"""),19.0)</f>
        <v>19</v>
      </c>
      <c r="J3864" s="35" t="str">
        <f>IFERROR(__xludf.DUMMYFUNCTION("""COMPUTED_VALUE"""),"18-24 tahun")</f>
        <v>18-24 tahun</v>
      </c>
      <c r="K3864" s="35" t="str">
        <f>IFERROR(__xludf.DUMMYFUNCTION("""COMPUTED_VALUE"""),"21/08/2006")</f>
        <v>21/08/2006</v>
      </c>
      <c r="L3864" s="35" t="str">
        <f>IFERROR(__xludf.DUMMYFUNCTION("""COMPUTED_VALUE"""),"PEREMPUAN")</f>
        <v>PEREMPUAN</v>
      </c>
      <c r="M3864" s="35" t="str">
        <f>IFERROR(__xludf.DUMMYFUNCTION("""COMPUTED_VALUE"""),"DUSUN ENGKERSIK BATU LEBUR")</f>
        <v>DUSUN ENGKERSIK BATU LEBUR</v>
      </c>
      <c r="N3864" s="35" t="str">
        <f>IFERROR(__xludf.DUMMYFUNCTION("""COMPUTED_VALUE"""),"ENGKERSIK ")</f>
        <v>ENGKERSIK </v>
      </c>
      <c r="O3864" s="35" t="str">
        <f>IFERROR(__xludf.DUMMYFUNCTION("""COMPUTED_VALUE"""),"SEKADAU HILIR")</f>
        <v>SEKADAU HILIR</v>
      </c>
      <c r="P3864" s="35" t="str">
        <f>IFERROR(__xludf.DUMMYFUNCTION("""COMPUTED_VALUE"""),"SEKADAU")</f>
        <v>SEKADAU</v>
      </c>
      <c r="Q3864" s="35" t="str">
        <f>IFERROR(__xludf.DUMMYFUNCTION("""COMPUTED_VALUE"""),"KALIMANTAN BARAT")</f>
        <v>KALIMANTAN BARAT</v>
      </c>
      <c r="R3864" s="35" t="str">
        <f>IFERROR(__xludf.DUMMYFUNCTION("""COMPUTED_VALUE"""),"KATOLIK")</f>
        <v>KATOLIK</v>
      </c>
      <c r="S3864" s="74" t="str">
        <f>IFERROR(__xludf.DUMMYFUNCTION("""COMPUTED_VALUE"""),"MAHASISWA ")</f>
        <v>MAHASISWA </v>
      </c>
      <c r="T3864" s="35" t="str">
        <f>IFERROR(__xludf.DUMMYFUNCTION("""COMPUTED_VALUE"""),"CEDERA TANGAN DAN KAKI")</f>
        <v>CEDERA TANGAN DAN KAKI</v>
      </c>
      <c r="U3864" s="35" t="str">
        <f>IFERROR(__xludf.DUMMYFUNCTION("""COMPUTED_VALUE"""),"OLAHRAGA (MUAYTHAI DAN LAIN-LAIN)")</f>
        <v>OLAHRAGA (MUAYTHAI DAN LAIN-LAIN)</v>
      </c>
      <c r="V3864" s="35" t="str">
        <f>IFERROR(__xludf.DUMMYFUNCTION("""COMPUTED_VALUE"""),"082154392183")</f>
        <v>082154392183</v>
      </c>
      <c r="W3864" s="45"/>
    </row>
    <row r="3865">
      <c r="A3865" s="45"/>
      <c r="B3865" s="35" t="str">
        <f>IFERROR(__xludf.DUMMYFUNCTION("""COMPUTED_VALUE"""),"26/05/2026 12:06:06")</f>
        <v>26/05/2026 12:06:06</v>
      </c>
      <c r="C3865" s="35"/>
      <c r="D3865" s="10">
        <f>IFERROR(__xludf.DUMMYFUNCTION("""COMPUTED_VALUE"""),46168.0)</f>
        <v>46168</v>
      </c>
      <c r="E3865" s="35" t="str">
        <f>IFERROR(__xludf.DUMMYFUNCTION("""COMPUTED_VALUE"""),"05Mei")</f>
        <v>05Mei</v>
      </c>
      <c r="F3865" s="35"/>
      <c r="G3865" s="35" t="str">
        <f>IFERROR(__xludf.DUMMYFUNCTION("""COMPUTED_VALUE"""),"PUTRI TIYA RISNA DEWI")</f>
        <v>PUTRI TIYA RISNA DEWI</v>
      </c>
      <c r="H3865" s="35" t="str">
        <f>IFERROR(__xludf.DUMMYFUNCTION("""COMPUTED_VALUE"""),"P9926053436")</f>
        <v>P9926053436</v>
      </c>
      <c r="I3865" s="35">
        <f>IFERROR(__xludf.DUMMYFUNCTION("""COMPUTED_VALUE"""),26.0)</f>
        <v>26</v>
      </c>
      <c r="J3865" s="35" t="str">
        <f>IFERROR(__xludf.DUMMYFUNCTION("""COMPUTED_VALUE"""),"25-34 tahun")</f>
        <v>25-34 tahun</v>
      </c>
      <c r="K3865" s="35" t="str">
        <f>IFERROR(__xludf.DUMMYFUNCTION("""COMPUTED_VALUE"""),"22/11/1999")</f>
        <v>22/11/1999</v>
      </c>
      <c r="L3865" s="35" t="str">
        <f>IFERROR(__xludf.DUMMYFUNCTION("""COMPUTED_VALUE"""),"PEREMPUAN")</f>
        <v>PEREMPUAN</v>
      </c>
      <c r="M3865" s="35" t="str">
        <f>IFERROR(__xludf.DUMMYFUNCTION("""COMPUTED_VALUE"""),"GG. DUKU BARU NO.1, SUNGAI JAWI LUAR, KEC. PONTIANAK BAR., KOTA PONTIANAK, KALIMANTAN BARAT 78244, INDONESIA")</f>
        <v>GG. DUKU BARU NO.1, SUNGAI JAWI LUAR, KEC. PONTIANAK BAR., KOTA PONTIANAK, KALIMANTAN BARAT 78244, INDONESIA</v>
      </c>
      <c r="N3865" s="35" t="str">
        <f>IFERROR(__xludf.DUMMYFUNCTION("""COMPUTED_VALUE"""),"SUNGAI JAWI LUAR")</f>
        <v>SUNGAI JAWI LUAR</v>
      </c>
      <c r="O3865" s="35" t="str">
        <f>IFERROR(__xludf.DUMMYFUNCTION("""COMPUTED_VALUE"""),"PONTIANAK BARAT ")</f>
        <v>PONTIANAK BARAT </v>
      </c>
      <c r="P3865" s="35" t="str">
        <f>IFERROR(__xludf.DUMMYFUNCTION("""COMPUTED_VALUE"""),"PONTIANAK")</f>
        <v>PONTIANAK</v>
      </c>
      <c r="Q3865" s="35" t="str">
        <f>IFERROR(__xludf.DUMMYFUNCTION("""COMPUTED_VALUE"""),"KAIMANTAN BARAT")</f>
        <v>KAIMANTAN BARAT</v>
      </c>
      <c r="R3865" s="35" t="str">
        <f>IFERROR(__xludf.DUMMYFUNCTION("""COMPUTED_VALUE"""),"ISLAM")</f>
        <v>ISLAM</v>
      </c>
      <c r="S3865" s="74" t="str">
        <f>IFERROR(__xludf.DUMMYFUNCTION("""COMPUTED_VALUE"""),"SWASTA")</f>
        <v>SWASTA</v>
      </c>
      <c r="T3865" s="35" t="str">
        <f>IFERROR(__xludf.DUMMYFUNCTION("""COMPUTED_VALUE"""),"SAYA KECELAKAAN TGL 4 MEI SMPAI SKRNG JALAN NY MASIH PINCANG")</f>
        <v>SAYA KECELAKAAN TGL 4 MEI SMPAI SKRNG JALAN NY MASIH PINCANG</v>
      </c>
      <c r="U3865" s="35" t="str">
        <f>IFERROR(__xludf.DUMMYFUNCTION("""COMPUTED_VALUE"""),"TIDAK ADA")</f>
        <v>TIDAK ADA</v>
      </c>
      <c r="V3865" s="35" t="str">
        <f>IFERROR(__xludf.DUMMYFUNCTION("""COMPUTED_VALUE"""),"085849673436")</f>
        <v>085849673436</v>
      </c>
      <c r="W3865" s="45"/>
    </row>
    <row r="3866">
      <c r="A3866" s="45"/>
      <c r="B3866" s="35" t="str">
        <f>IFERROR(__xludf.DUMMYFUNCTION("""COMPUTED_VALUE"""),"26/05/2026 15:59:32")</f>
        <v>26/05/2026 15:59:32</v>
      </c>
      <c r="C3866" s="35"/>
      <c r="D3866" s="10">
        <f>IFERROR(__xludf.DUMMYFUNCTION("""COMPUTED_VALUE"""),46168.0)</f>
        <v>46168</v>
      </c>
      <c r="E3866" s="35" t="str">
        <f>IFERROR(__xludf.DUMMYFUNCTION("""COMPUTED_VALUE"""),"05Mei")</f>
        <v>05Mei</v>
      </c>
      <c r="F3866" s="35"/>
      <c r="G3866" s="35" t="str">
        <f>IFERROR(__xludf.DUMMYFUNCTION("""COMPUTED_VALUE"""),"NADIA STEVANIA ")</f>
        <v>NADIA STEVANIA </v>
      </c>
      <c r="H3866" s="35" t="str">
        <f>IFERROR(__xludf.DUMMYFUNCTION("""COMPUTED_VALUE"""),"N0226059688")</f>
        <v>N0226059688</v>
      </c>
      <c r="I3866" s="35">
        <f>IFERROR(__xludf.DUMMYFUNCTION("""COMPUTED_VALUE"""),23.0)</f>
        <v>23</v>
      </c>
      <c r="J3866" s="35" t="str">
        <f>IFERROR(__xludf.DUMMYFUNCTION("""COMPUTED_VALUE"""),"18-24 tahun")</f>
        <v>18-24 tahun</v>
      </c>
      <c r="K3866" s="35" t="str">
        <f>IFERROR(__xludf.DUMMYFUNCTION("""COMPUTED_VALUE"""),"16/08/2002")</f>
        <v>16/08/2002</v>
      </c>
      <c r="L3866" s="35" t="str">
        <f>IFERROR(__xludf.DUMMYFUNCTION("""COMPUTED_VALUE"""),"PEREMPUAN")</f>
        <v>PEREMPUAN</v>
      </c>
      <c r="M3866" s="35" t="str">
        <f>IFERROR(__xludf.DUMMYFUNCTION("""COMPUTED_VALUE"""),"DUSUN KARYA TANI ")</f>
        <v>DUSUN KARYA TANI </v>
      </c>
      <c r="N3866" s="35" t="str">
        <f>IFERROR(__xludf.DUMMYFUNCTION("""COMPUTED_VALUE"""),"SUNGAI BELIDAK")</f>
        <v>SUNGAI BELIDAK</v>
      </c>
      <c r="O3866" s="35" t="str">
        <f>IFERROR(__xludf.DUMMYFUNCTION("""COMPUTED_VALUE"""),"SUNGAI KAKAP")</f>
        <v>SUNGAI KAKAP</v>
      </c>
      <c r="P3866" s="35" t="str">
        <f>IFERROR(__xludf.DUMMYFUNCTION("""COMPUTED_VALUE"""),"KUBU RAYA")</f>
        <v>KUBU RAYA</v>
      </c>
      <c r="Q3866" s="35" t="str">
        <f>IFERROR(__xludf.DUMMYFUNCTION("""COMPUTED_VALUE"""),"KALIMANTAN BARAT")</f>
        <v>KALIMANTAN BARAT</v>
      </c>
      <c r="R3866" s="35" t="str">
        <f>IFERROR(__xludf.DUMMYFUNCTION("""COMPUTED_VALUE"""),"ISLAM")</f>
        <v>ISLAM</v>
      </c>
      <c r="S3866" s="74" t="str">
        <f>IFERROR(__xludf.DUMMYFUNCTION("""COMPUTED_VALUE"""),"SALES PRAMUNIAGA ")</f>
        <v>SALES PRAMUNIAGA </v>
      </c>
      <c r="T3866" s="35" t="str">
        <f>IFERROR(__xludf.DUMMYFUNCTION("""COMPUTED_VALUE"""),"BELLS PALSY ")</f>
        <v>BELLS PALSY </v>
      </c>
      <c r="U3866" s="35" t="str">
        <f>IFERROR(__xludf.DUMMYFUNCTION("""COMPUTED_VALUE"""),"TIDAK ADA")</f>
        <v>TIDAK ADA</v>
      </c>
      <c r="V3866" s="35" t="str">
        <f>IFERROR(__xludf.DUMMYFUNCTION("""COMPUTED_VALUE"""),"089524519688")</f>
        <v>089524519688</v>
      </c>
      <c r="W3866" s="45"/>
    </row>
    <row r="3867">
      <c r="A3867" s="45"/>
      <c r="B3867" s="35" t="str">
        <f>IFERROR(__xludf.DUMMYFUNCTION("""COMPUTED_VALUE"""),"26/05/2026 16:15:24")</f>
        <v>26/05/2026 16:15:24</v>
      </c>
      <c r="C3867" s="35"/>
      <c r="D3867" s="10">
        <f>IFERROR(__xludf.DUMMYFUNCTION("""COMPUTED_VALUE"""),46168.0)</f>
        <v>46168</v>
      </c>
      <c r="E3867" s="35" t="str">
        <f>IFERROR(__xludf.DUMMYFUNCTION("""COMPUTED_VALUE"""),"05Mei")</f>
        <v>05Mei</v>
      </c>
      <c r="F3867" s="35"/>
      <c r="G3867" s="35" t="str">
        <f>IFERROR(__xludf.DUMMYFUNCTION("""COMPUTED_VALUE"""),"WITONO")</f>
        <v>WITONO</v>
      </c>
      <c r="H3867" s="35" t="str">
        <f>IFERROR(__xludf.DUMMYFUNCTION("""COMPUTED_VALUE"""),"W7026057821")</f>
        <v>W7026057821</v>
      </c>
      <c r="I3867" s="35">
        <f>IFERROR(__xludf.DUMMYFUNCTION("""COMPUTED_VALUE"""),55.0)</f>
        <v>55</v>
      </c>
      <c r="J3867" s="35" t="str">
        <f>IFERROR(__xludf.DUMMYFUNCTION("""COMPUTED_VALUE"""),"&gt; 44 tahun")</f>
        <v>&gt; 44 tahun</v>
      </c>
      <c r="K3867" s="35" t="str">
        <f>IFERROR(__xludf.DUMMYFUNCTION("""COMPUTED_VALUE"""),"24/12/1970")</f>
        <v>24/12/1970</v>
      </c>
      <c r="L3867" s="35" t="str">
        <f>IFERROR(__xludf.DUMMYFUNCTION("""COMPUTED_VALUE"""),"LAKI-LAKI")</f>
        <v>LAKI-LAKI</v>
      </c>
      <c r="M3867" s="35" t="str">
        <f>IFERROR(__xludf.DUMMYFUNCTION("""COMPUTED_VALUE"""),"JL SISINGAMANGARAJA NO 33")</f>
        <v>JL SISINGAMANGARAJA NO 33</v>
      </c>
      <c r="N3867" s="35" t="str">
        <f>IFERROR(__xludf.DUMMYFUNCTION("""COMPUTED_VALUE"""),"DARAT SEKIP")</f>
        <v>DARAT SEKIP</v>
      </c>
      <c r="O3867" s="35" t="str">
        <f>IFERROR(__xludf.DUMMYFUNCTION("""COMPUTED_VALUE"""),"PONTIANAK KOTA")</f>
        <v>PONTIANAK KOTA</v>
      </c>
      <c r="P3867" s="35" t="str">
        <f>IFERROR(__xludf.DUMMYFUNCTION("""COMPUTED_VALUE"""),"KOTA PONTIANAK")</f>
        <v>KOTA PONTIANAK</v>
      </c>
      <c r="Q3867" s="35" t="str">
        <f>IFERROR(__xludf.DUMMYFUNCTION("""COMPUTED_VALUE"""),"KALIMANTAN BARAT")</f>
        <v>KALIMANTAN BARAT</v>
      </c>
      <c r="R3867" s="35" t="str">
        <f>IFERROR(__xludf.DUMMYFUNCTION("""COMPUTED_VALUE"""),"KATOLIK")</f>
        <v>KATOLIK</v>
      </c>
      <c r="S3867" s="74" t="str">
        <f>IFERROR(__xludf.DUMMYFUNCTION("""COMPUTED_VALUE"""),"WIRASWASTA")</f>
        <v>WIRASWASTA</v>
      </c>
      <c r="T3867" s="35" t="str">
        <f>IFERROR(__xludf.DUMMYFUNCTION("""COMPUTED_VALUE"""),"SARAF TERJEPIT")</f>
        <v>SARAF TERJEPIT</v>
      </c>
      <c r="U3867" s="35" t="str">
        <f>IFERROR(__xludf.DUMMYFUNCTION("""COMPUTED_VALUE"""),"DUDUK DIKANTOR, SOSMED")</f>
        <v>DUDUK DIKANTOR, SOSMED</v>
      </c>
      <c r="V3867" s="35" t="str">
        <f>IFERROR(__xludf.DUMMYFUNCTION("""COMPUTED_VALUE"""),"0811567821")</f>
        <v>0811567821</v>
      </c>
      <c r="W3867" s="45"/>
    </row>
    <row r="3868">
      <c r="A3868" s="45"/>
      <c r="B3868" s="35" t="str">
        <f>IFERROR(__xludf.DUMMYFUNCTION("""COMPUTED_VALUE"""),"26/05/2026 19:36:02")</f>
        <v>26/05/2026 19:36:02</v>
      </c>
      <c r="C3868" s="35"/>
      <c r="D3868" s="10">
        <f>IFERROR(__xludf.DUMMYFUNCTION("""COMPUTED_VALUE"""),46168.0)</f>
        <v>46168</v>
      </c>
      <c r="E3868" s="35" t="str">
        <f>IFERROR(__xludf.DUMMYFUNCTION("""COMPUTED_VALUE"""),"05Mei")</f>
        <v>05Mei</v>
      </c>
      <c r="F3868" s="35"/>
      <c r="G3868" s="35" t="str">
        <f>IFERROR(__xludf.DUMMYFUNCTION("""COMPUTED_VALUE"""),"NURYANI")</f>
        <v>NURYANI</v>
      </c>
      <c r="H3868" s="35" t="str">
        <f>IFERROR(__xludf.DUMMYFUNCTION("""COMPUTED_VALUE"""),"N6326055144")</f>
        <v>N6326055144</v>
      </c>
      <c r="I3868" s="35">
        <f>IFERROR(__xludf.DUMMYFUNCTION("""COMPUTED_VALUE"""),62.0)</f>
        <v>62</v>
      </c>
      <c r="J3868" s="35" t="str">
        <f>IFERROR(__xludf.DUMMYFUNCTION("""COMPUTED_VALUE"""),"&gt; 44 tahun")</f>
        <v>&gt; 44 tahun</v>
      </c>
      <c r="K3868" s="35" t="str">
        <f>IFERROR(__xludf.DUMMYFUNCTION("""COMPUTED_VALUE"""),"30/12/1963")</f>
        <v>30/12/1963</v>
      </c>
      <c r="L3868" s="35" t="str">
        <f>IFERROR(__xludf.DUMMYFUNCTION("""COMPUTED_VALUE"""),"PEREMPUAN")</f>
        <v>PEREMPUAN</v>
      </c>
      <c r="M3868" s="35" t="str">
        <f>IFERROR(__xludf.DUMMYFUNCTION("""COMPUTED_VALUE"""),"JALAN TANJUNG HARAPAN GG. BUDI JAYA NO.5 ")</f>
        <v>JALAN TANJUNG HARAPAN GG. BUDI JAYA NO.5 </v>
      </c>
      <c r="N3868" s="35" t="str">
        <f>IFERROR(__xludf.DUMMYFUNCTION("""COMPUTED_VALUE"""),"BANJAR SERASAN")</f>
        <v>BANJAR SERASAN</v>
      </c>
      <c r="O3868" s="35" t="str">
        <f>IFERROR(__xludf.DUMMYFUNCTION("""COMPUTED_VALUE"""),"PONTIANAK TIMUR")</f>
        <v>PONTIANAK TIMUR</v>
      </c>
      <c r="P3868" s="35" t="str">
        <f>IFERROR(__xludf.DUMMYFUNCTION("""COMPUTED_VALUE"""),"KOTA PONTIANAK")</f>
        <v>KOTA PONTIANAK</v>
      </c>
      <c r="Q3868" s="35" t="str">
        <f>IFERROR(__xludf.DUMMYFUNCTION("""COMPUTED_VALUE"""),"KALIMANTAN BARAT")</f>
        <v>KALIMANTAN BARAT</v>
      </c>
      <c r="R3868" s="35" t="str">
        <f>IFERROR(__xludf.DUMMYFUNCTION("""COMPUTED_VALUE"""),"ISLAM")</f>
        <v>ISLAM</v>
      </c>
      <c r="S3868" s="74" t="str">
        <f>IFERROR(__xludf.DUMMYFUNCTION("""COMPUTED_VALUE"""),"IBU RUMAH TANGGA")</f>
        <v>IBU RUMAH TANGGA</v>
      </c>
      <c r="T3868" s="35" t="str">
        <f>IFERROR(__xludf.DUMMYFUNCTION("""COMPUTED_VALUE"""),"NYERI PADA PINGGANG SAMPAI KAKI BAGIAN KANAN (PENGAPURAN TULANG SENDI DAN EKOR)")</f>
        <v>NYERI PADA PINGGANG SAMPAI KAKI BAGIAN KANAN (PENGAPURAN TULANG SENDI DAN EKOR)</v>
      </c>
      <c r="U3868" s="35" t="str">
        <f>IFERROR(__xludf.DUMMYFUNCTION("""COMPUTED_VALUE"""),"TIDAK ADA")</f>
        <v>TIDAK ADA</v>
      </c>
      <c r="V3868" s="35" t="str">
        <f>IFERROR(__xludf.DUMMYFUNCTION("""COMPUTED_VALUE"""),"081255505144")</f>
        <v>081255505144</v>
      </c>
      <c r="W3868" s="45"/>
    </row>
    <row r="3869">
      <c r="A3869" s="45"/>
      <c r="B3869" s="35" t="str">
        <f>IFERROR(__xludf.DUMMYFUNCTION("""COMPUTED_VALUE"""),"28/05/2026 14:31:39")</f>
        <v>28/05/2026 14:31:39</v>
      </c>
      <c r="C3869" s="35"/>
      <c r="D3869" s="10">
        <f>IFERROR(__xludf.DUMMYFUNCTION("""COMPUTED_VALUE"""),46170.0)</f>
        <v>46170</v>
      </c>
      <c r="E3869" s="35" t="str">
        <f>IFERROR(__xludf.DUMMYFUNCTION("""COMPUTED_VALUE"""),"05Mei")</f>
        <v>05Mei</v>
      </c>
      <c r="F3869" s="35"/>
      <c r="G3869" s="35" t="str">
        <f>IFERROR(__xludf.DUMMYFUNCTION("""COMPUTED_VALUE"""),"WAGIATI")</f>
        <v>WAGIATI</v>
      </c>
      <c r="H3869" s="35" t="str">
        <f>IFERROR(__xludf.DUMMYFUNCTION("""COMPUTED_VALUE"""),"W7526056253")</f>
        <v>W7526056253</v>
      </c>
      <c r="I3869" s="35">
        <f>IFERROR(__xludf.DUMMYFUNCTION("""COMPUTED_VALUE"""),50.0)</f>
        <v>50</v>
      </c>
      <c r="J3869" s="35" t="str">
        <f>IFERROR(__xludf.DUMMYFUNCTION("""COMPUTED_VALUE"""),"&gt; 44 tahun")</f>
        <v>&gt; 44 tahun</v>
      </c>
      <c r="K3869" s="35" t="str">
        <f>IFERROR(__xludf.DUMMYFUNCTION("""COMPUTED_VALUE"""),"04/07/1975")</f>
        <v>04/07/1975</v>
      </c>
      <c r="L3869" s="35" t="str">
        <f>IFERROR(__xludf.DUMMYFUNCTION("""COMPUTED_VALUE"""),"PEREMPUAN")</f>
        <v>PEREMPUAN</v>
      </c>
      <c r="M3869" s="35" t="str">
        <f>IFERROR(__xludf.DUMMYFUNCTION("""COMPUTED_VALUE"""),"JL PROF M YAMIN")</f>
        <v>JL PROF M YAMIN</v>
      </c>
      <c r="N3869" s="35" t="str">
        <f>IFERROR(__xludf.DUMMYFUNCTION("""COMPUTED_VALUE"""),"KOTA BARU")</f>
        <v>KOTA BARU</v>
      </c>
      <c r="O3869" s="35" t="str">
        <f>IFERROR(__xludf.DUMMYFUNCTION("""COMPUTED_VALUE"""),"PONTIANAK SELATAN")</f>
        <v>PONTIANAK SELATAN</v>
      </c>
      <c r="P3869" s="35" t="str">
        <f>IFERROR(__xludf.DUMMYFUNCTION("""COMPUTED_VALUE"""),"PONTIANAK")</f>
        <v>PONTIANAK</v>
      </c>
      <c r="Q3869" s="35" t="str">
        <f>IFERROR(__xludf.DUMMYFUNCTION("""COMPUTED_VALUE"""),"KALIMANTAN BARAT")</f>
        <v>KALIMANTAN BARAT</v>
      </c>
      <c r="R3869" s="35" t="str">
        <f>IFERROR(__xludf.DUMMYFUNCTION("""COMPUTED_VALUE"""),"ISLAM")</f>
        <v>ISLAM</v>
      </c>
      <c r="S3869" s="74" t="str">
        <f>IFERROR(__xludf.DUMMYFUNCTION("""COMPUTED_VALUE"""),"IRT")</f>
        <v>IRT</v>
      </c>
      <c r="T3869" s="35" t="str">
        <f>IFERROR(__xludf.DUMMYFUNCTION("""COMPUTED_VALUE"""),"PINGGANG")</f>
        <v>PINGGANG</v>
      </c>
      <c r="U3869" s="35" t="str">
        <f>IFERROR(__xludf.DUMMYFUNCTION("""COMPUTED_VALUE"""),"-")</f>
        <v>-</v>
      </c>
      <c r="V3869" s="35" t="str">
        <f>IFERROR(__xludf.DUMMYFUNCTION("""COMPUTED_VALUE"""),"0887736376253")</f>
        <v>0887736376253</v>
      </c>
      <c r="W3869" s="45"/>
    </row>
    <row r="3870">
      <c r="A3870" s="45"/>
      <c r="B3870" s="35" t="str">
        <f>IFERROR(__xludf.DUMMYFUNCTION("""COMPUTED_VALUE"""),"28/05/2026 16:02:49")</f>
        <v>28/05/2026 16:02:49</v>
      </c>
      <c r="C3870" s="35"/>
      <c r="D3870" s="10">
        <f>IFERROR(__xludf.DUMMYFUNCTION("""COMPUTED_VALUE"""),46170.0)</f>
        <v>46170</v>
      </c>
      <c r="E3870" s="35" t="str">
        <f>IFERROR(__xludf.DUMMYFUNCTION("""COMPUTED_VALUE"""),"05Mei")</f>
        <v>05Mei</v>
      </c>
      <c r="F3870" s="35"/>
      <c r="G3870" s="35" t="str">
        <f>IFERROR(__xludf.DUMMYFUNCTION("""COMPUTED_VALUE"""),"FIRDA")</f>
        <v>FIRDA</v>
      </c>
      <c r="H3870" s="35" t="str">
        <f>IFERROR(__xludf.DUMMYFUNCTION("""COMPUTED_VALUE"""),"F8926051000")</f>
        <v>F8926051000</v>
      </c>
      <c r="I3870" s="35">
        <f>IFERROR(__xludf.DUMMYFUNCTION("""COMPUTED_VALUE"""),37.0)</f>
        <v>37</v>
      </c>
      <c r="J3870" s="35" t="str">
        <f>IFERROR(__xludf.DUMMYFUNCTION("""COMPUTED_VALUE"""),"35-44 tahun")</f>
        <v>35-44 tahun</v>
      </c>
      <c r="K3870" s="35" t="str">
        <f>IFERROR(__xludf.DUMMYFUNCTION("""COMPUTED_VALUE"""),"25/05/1989")</f>
        <v>25/05/1989</v>
      </c>
      <c r="L3870" s="35" t="str">
        <f>IFERROR(__xludf.DUMMYFUNCTION("""COMPUTED_VALUE"""),"PEREMPUAN")</f>
        <v>PEREMPUAN</v>
      </c>
      <c r="M3870" s="35" t="str">
        <f>IFERROR(__xludf.DUMMYFUNCTION("""COMPUTED_VALUE"""),"JL. TANJUNG RAYA GG. MUTIARA NO. 17")</f>
        <v>JL. TANJUNG RAYA GG. MUTIARA NO. 17</v>
      </c>
      <c r="N3870" s="35" t="str">
        <f>IFERROR(__xludf.DUMMYFUNCTION("""COMPUTED_VALUE"""),"SAIGON")</f>
        <v>SAIGON</v>
      </c>
      <c r="O3870" s="35" t="str">
        <f>IFERROR(__xludf.DUMMYFUNCTION("""COMPUTED_VALUE"""),"PONTIANAK TIMUR")</f>
        <v>PONTIANAK TIMUR</v>
      </c>
      <c r="P3870" s="35" t="str">
        <f>IFERROR(__xludf.DUMMYFUNCTION("""COMPUTED_VALUE"""),"PONTIANAK")</f>
        <v>PONTIANAK</v>
      </c>
      <c r="Q3870" s="35" t="str">
        <f>IFERROR(__xludf.DUMMYFUNCTION("""COMPUTED_VALUE"""),"KALIMANTAN BARAT")</f>
        <v>KALIMANTAN BARAT</v>
      </c>
      <c r="R3870" s="35" t="str">
        <f>IFERROR(__xludf.DUMMYFUNCTION("""COMPUTED_VALUE"""),"ISLAM")</f>
        <v>ISLAM</v>
      </c>
      <c r="S3870" s="74" t="str">
        <f>IFERROR(__xludf.DUMMYFUNCTION("""COMPUTED_VALUE"""),"ASN")</f>
        <v>ASN</v>
      </c>
      <c r="T3870" s="35" t="str">
        <f>IFERROR(__xludf.DUMMYFUNCTION("""COMPUTED_VALUE"""),"TANGAN DAN KAKI KEBAS")</f>
        <v>TANGAN DAN KAKI KEBAS</v>
      </c>
      <c r="U3870" s="35" t="str">
        <f>IFERROR(__xludf.DUMMYFUNCTION("""COMPUTED_VALUE"""),"MENYUSUI")</f>
        <v>MENYUSUI</v>
      </c>
      <c r="V3870" s="35" t="str">
        <f>IFERROR(__xludf.DUMMYFUNCTION("""COMPUTED_VALUE"""),"085252581000")</f>
        <v>085252581000</v>
      </c>
      <c r="W3870" s="45"/>
    </row>
    <row r="3871">
      <c r="A3871" s="45"/>
      <c r="B3871" s="35" t="str">
        <f>IFERROR(__xludf.DUMMYFUNCTION("""COMPUTED_VALUE"""),"28/05/2026 13:57:51")</f>
        <v>28/05/2026 13:57:51</v>
      </c>
      <c r="C3871" s="35"/>
      <c r="D3871" s="10">
        <f>IFERROR(__xludf.DUMMYFUNCTION("""COMPUTED_VALUE"""),46170.0)</f>
        <v>46170</v>
      </c>
      <c r="E3871" s="35" t="str">
        <f>IFERROR(__xludf.DUMMYFUNCTION("""COMPUTED_VALUE"""),"05Mei")</f>
        <v>05Mei</v>
      </c>
      <c r="F3871" s="35"/>
      <c r="G3871" s="35" t="str">
        <f>IFERROR(__xludf.DUMMYFUNCTION("""COMPUTED_VALUE"""),"MUHAMMAD SOULTANI")</f>
        <v>MUHAMMAD SOULTANI</v>
      </c>
      <c r="H3871" s="35" t="str">
        <f>IFERROR(__xludf.DUMMYFUNCTION("""COMPUTED_VALUE"""),"M8726057870")</f>
        <v>M8726057870</v>
      </c>
      <c r="I3871" s="35">
        <f>IFERROR(__xludf.DUMMYFUNCTION("""COMPUTED_VALUE"""),38.0)</f>
        <v>38</v>
      </c>
      <c r="J3871" s="35" t="str">
        <f>IFERROR(__xludf.DUMMYFUNCTION("""COMPUTED_VALUE"""),"35-44 tahun")</f>
        <v>35-44 tahun</v>
      </c>
      <c r="K3871" s="35" t="str">
        <f>IFERROR(__xludf.DUMMYFUNCTION("""COMPUTED_VALUE"""),"08/07/1987")</f>
        <v>08/07/1987</v>
      </c>
      <c r="L3871" s="35" t="str">
        <f>IFERROR(__xludf.DUMMYFUNCTION("""COMPUTED_VALUE"""),"LAKI-LAKI")</f>
        <v>LAKI-LAKI</v>
      </c>
      <c r="M3871" s="35" t="str">
        <f>IFERROR(__xludf.DUMMYFUNCTION("""COMPUTED_VALUE"""),"KOMPLEK TAMAN SENTOSA BLOK C4 NO 20")</f>
        <v>KOMPLEK TAMAN SENTOSA BLOK C4 NO 20</v>
      </c>
      <c r="N3871" s="35" t="str">
        <f>IFERROR(__xludf.DUMMYFUNCTION("""COMPUTED_VALUE"""),"PASIRSARI")</f>
        <v>PASIRSARI</v>
      </c>
      <c r="O3871" s="35" t="str">
        <f>IFERROR(__xludf.DUMMYFUNCTION("""COMPUTED_VALUE"""),"CIKARANG SELATAN")</f>
        <v>CIKARANG SELATAN</v>
      </c>
      <c r="P3871" s="35" t="str">
        <f>IFERROR(__xludf.DUMMYFUNCTION("""COMPUTED_VALUE"""),"BEKASI")</f>
        <v>BEKASI</v>
      </c>
      <c r="Q3871" s="35" t="str">
        <f>IFERROR(__xludf.DUMMYFUNCTION("""COMPUTED_VALUE"""),"JAWA BARAT")</f>
        <v>JAWA BARAT</v>
      </c>
      <c r="R3871" s="35" t="str">
        <f>IFERROR(__xludf.DUMMYFUNCTION("""COMPUTED_VALUE"""),"ISLAM")</f>
        <v>ISLAM</v>
      </c>
      <c r="S3871" s="74" t="str">
        <f>IFERROR(__xludf.DUMMYFUNCTION("""COMPUTED_VALUE"""),"PEGAWAI SWASTA")</f>
        <v>PEGAWAI SWASTA</v>
      </c>
      <c r="T3871" s="35" t="str">
        <f>IFERROR(__xludf.DUMMYFUNCTION("""COMPUTED_VALUE"""),"NYERI BAHU KANAN YG MENJALAR DARI LEHER BELAKAN SISI KANAN DAN BELIKAT KANAN")</f>
        <v>NYERI BAHU KANAN YG MENJALAR DARI LEHER BELAKAN SISI KANAN DAN BELIKAT KANAN</v>
      </c>
      <c r="U3871" s="35" t="str">
        <f>IFERROR(__xludf.DUMMYFUNCTION("""COMPUTED_VALUE"""),"BJJ / WEIGHT LIFTING")</f>
        <v>BJJ / WEIGHT LIFTING</v>
      </c>
      <c r="V3871" s="35" t="str">
        <f>IFERROR(__xludf.DUMMYFUNCTION("""COMPUTED_VALUE"""),"08111987870")</f>
        <v>08111987870</v>
      </c>
      <c r="W3871" s="45"/>
    </row>
    <row r="3872">
      <c r="A3872" s="45"/>
      <c r="B3872" s="35" t="str">
        <f>IFERROR(__xludf.DUMMYFUNCTION("""COMPUTED_VALUE"""),"28/05/2026 16:51:31")</f>
        <v>28/05/2026 16:51:31</v>
      </c>
      <c r="C3872" s="35"/>
      <c r="D3872" s="10">
        <f>IFERROR(__xludf.DUMMYFUNCTION("""COMPUTED_VALUE"""),46170.0)</f>
        <v>46170</v>
      </c>
      <c r="E3872" s="35" t="str">
        <f>IFERROR(__xludf.DUMMYFUNCTION("""COMPUTED_VALUE"""),"05Mei")</f>
        <v>05Mei</v>
      </c>
      <c r="F3872" s="35"/>
      <c r="G3872" s="35" t="str">
        <f>IFERROR(__xludf.DUMMYFUNCTION("""COMPUTED_VALUE"""),"SAODAH")</f>
        <v>SAODAH</v>
      </c>
      <c r="H3872" s="35" t="str">
        <f>IFERROR(__xludf.DUMMYFUNCTION("""COMPUTED_VALUE"""),"S6026058929")</f>
        <v>S6026058929</v>
      </c>
      <c r="I3872" s="35">
        <f>IFERROR(__xludf.DUMMYFUNCTION("""COMPUTED_VALUE"""),65.0)</f>
        <v>65</v>
      </c>
      <c r="J3872" s="35" t="str">
        <f>IFERROR(__xludf.DUMMYFUNCTION("""COMPUTED_VALUE"""),"&gt; 44 tahun")</f>
        <v>&gt; 44 tahun</v>
      </c>
      <c r="K3872" s="35" t="str">
        <f>IFERROR(__xludf.DUMMYFUNCTION("""COMPUTED_VALUE"""),"26/06/1960")</f>
        <v>26/06/1960</v>
      </c>
      <c r="L3872" s="35" t="str">
        <f>IFERROR(__xludf.DUMMYFUNCTION("""COMPUTED_VALUE"""),"PEREMPUAN")</f>
        <v>PEREMPUAN</v>
      </c>
      <c r="M3872" s="35" t="str">
        <f>IFERROR(__xludf.DUMMYFUNCTION("""COMPUTED_VALUE"""),"GG. SWAKARYA")</f>
        <v>GG. SWAKARYA</v>
      </c>
      <c r="N3872" s="35" t="str">
        <f>IFERROR(__xludf.DUMMYFUNCTION("""COMPUTED_VALUE"""),"KOTA BARU")</f>
        <v>KOTA BARU</v>
      </c>
      <c r="O3872" s="35" t="str">
        <f>IFERROR(__xludf.DUMMYFUNCTION("""COMPUTED_VALUE"""),"PONTIANAK SELATAN")</f>
        <v>PONTIANAK SELATAN</v>
      </c>
      <c r="P3872" s="35" t="str">
        <f>IFERROR(__xludf.DUMMYFUNCTION("""COMPUTED_VALUE"""),"PONTIANAK")</f>
        <v>PONTIANAK</v>
      </c>
      <c r="Q3872" s="35" t="str">
        <f>IFERROR(__xludf.DUMMYFUNCTION("""COMPUTED_VALUE"""),"KALIMANTAN BARAT")</f>
        <v>KALIMANTAN BARAT</v>
      </c>
      <c r="R3872" s="35" t="str">
        <f>IFERROR(__xludf.DUMMYFUNCTION("""COMPUTED_VALUE"""),"ISLAM")</f>
        <v>ISLAM</v>
      </c>
      <c r="S3872" s="74" t="str">
        <f>IFERROR(__xludf.DUMMYFUNCTION("""COMPUTED_VALUE"""),"PERDAGANGAN")</f>
        <v>PERDAGANGAN</v>
      </c>
      <c r="T3872" s="35" t="str">
        <f>IFERROR(__xludf.DUMMYFUNCTION("""COMPUTED_VALUE"""),"STROKE")</f>
        <v>STROKE</v>
      </c>
      <c r="U3872" s="35" t="str">
        <f>IFERROR(__xludf.DUMMYFUNCTION("""COMPUTED_VALUE"""),"BERJUALAN SETIAP HARI")</f>
        <v>BERJUALAN SETIAP HARI</v>
      </c>
      <c r="V3872" s="35" t="str">
        <f>IFERROR(__xludf.DUMMYFUNCTION("""COMPUTED_VALUE"""),"0891738929")</f>
        <v>0891738929</v>
      </c>
      <c r="W3872" s="45"/>
    </row>
    <row r="3873">
      <c r="A3873" s="45"/>
      <c r="B3873" s="35" t="str">
        <f>IFERROR(__xludf.DUMMYFUNCTION("""COMPUTED_VALUE"""),"29/05/2026 9:32:10")</f>
        <v>29/05/2026 9:32:10</v>
      </c>
      <c r="C3873" s="35"/>
      <c r="D3873" s="10">
        <f>IFERROR(__xludf.DUMMYFUNCTION("""COMPUTED_VALUE"""),46171.0)</f>
        <v>46171</v>
      </c>
      <c r="E3873" s="35" t="str">
        <f>IFERROR(__xludf.DUMMYFUNCTION("""COMPUTED_VALUE"""),"05Mei")</f>
        <v>05Mei</v>
      </c>
      <c r="F3873" s="35"/>
      <c r="G3873" s="35" t="str">
        <f>IFERROR(__xludf.DUMMYFUNCTION("""COMPUTED_VALUE"""),"SUDARTI RAHMAN")</f>
        <v>SUDARTI RAHMAN</v>
      </c>
      <c r="H3873" s="35" t="str">
        <f>IFERROR(__xludf.DUMMYFUNCTION("""COMPUTED_VALUE"""),"S5826059696")</f>
        <v>S5826059696</v>
      </c>
      <c r="I3873" s="35">
        <f>IFERROR(__xludf.DUMMYFUNCTION("""COMPUTED_VALUE"""),68.0)</f>
        <v>68</v>
      </c>
      <c r="J3873" s="35" t="str">
        <f>IFERROR(__xludf.DUMMYFUNCTION("""COMPUTED_VALUE"""),"&gt; 44 tahun")</f>
        <v>&gt; 44 tahun</v>
      </c>
      <c r="K3873" s="35" t="str">
        <f>IFERROR(__xludf.DUMMYFUNCTION("""COMPUTED_VALUE"""),"21/02/1958")</f>
        <v>21/02/1958</v>
      </c>
      <c r="L3873" s="35" t="str">
        <f>IFERROR(__xludf.DUMMYFUNCTION("""COMPUTED_VALUE"""),"PEREMPUAN")</f>
        <v>PEREMPUAN</v>
      </c>
      <c r="M3873" s="35" t="str">
        <f>IFERROR(__xludf.DUMMYFUNCTION("""COMPUTED_VALUE"""),"JL KHA DAHLAN GG DODI 2 NO. 107F")</f>
        <v>JL KHA DAHLAN GG DODI 2 NO. 107F</v>
      </c>
      <c r="N3873" s="35" t="str">
        <f>IFERROR(__xludf.DUMMYFUNCTION("""COMPUTED_VALUE"""),"TENGAH")</f>
        <v>TENGAH</v>
      </c>
      <c r="O3873" s="35" t="str">
        <f>IFERROR(__xludf.DUMMYFUNCTION("""COMPUTED_VALUE"""),"PONTIANAK KOTA")</f>
        <v>PONTIANAK KOTA</v>
      </c>
      <c r="P3873" s="35" t="str">
        <f>IFERROR(__xludf.DUMMYFUNCTION("""COMPUTED_VALUE"""),"PONTIANAK")</f>
        <v>PONTIANAK</v>
      </c>
      <c r="Q3873" s="35" t="str">
        <f>IFERROR(__xludf.DUMMYFUNCTION("""COMPUTED_VALUE"""),"KALIMANTAN BARAT")</f>
        <v>KALIMANTAN BARAT</v>
      </c>
      <c r="R3873" s="35" t="str">
        <f>IFERROR(__xludf.DUMMYFUNCTION("""COMPUTED_VALUE"""),"KATOLIK")</f>
        <v>KATOLIK</v>
      </c>
      <c r="S3873" s="74" t="str">
        <f>IFERROR(__xludf.DUMMYFUNCTION("""COMPUTED_VALUE"""),"IBU RUMAH TANGGA")</f>
        <v>IBU RUMAH TANGGA</v>
      </c>
      <c r="T3873" s="35" t="str">
        <f>IFERROR(__xludf.DUMMYFUNCTION("""COMPUTED_VALUE"""),"SAKIT DI BAGIAN KAKI")</f>
        <v>SAKIT DI BAGIAN KAKI</v>
      </c>
      <c r="U3873" s="35" t="str">
        <f>IFERROR(__xludf.DUMMYFUNCTION("""COMPUTED_VALUE"""),"IBU RUMAH TANGGA")</f>
        <v>IBU RUMAH TANGGA</v>
      </c>
      <c r="V3873" s="35" t="str">
        <f>IFERROR(__xludf.DUMMYFUNCTION("""COMPUTED_VALUE"""),"08115619696")</f>
        <v>08115619696</v>
      </c>
      <c r="W3873" s="45"/>
    </row>
    <row r="3874">
      <c r="A3874" s="45"/>
      <c r="B3874" s="35" t="str">
        <f>IFERROR(__xludf.DUMMYFUNCTION("""COMPUTED_VALUE"""),"29/05/2026 11:09:51")</f>
        <v>29/05/2026 11:09:51</v>
      </c>
      <c r="C3874" s="35"/>
      <c r="D3874" s="10">
        <f>IFERROR(__xludf.DUMMYFUNCTION("""COMPUTED_VALUE"""),46171.0)</f>
        <v>46171</v>
      </c>
      <c r="E3874" s="35" t="str">
        <f>IFERROR(__xludf.DUMMYFUNCTION("""COMPUTED_VALUE"""),"05Mei")</f>
        <v>05Mei</v>
      </c>
      <c r="F3874" s="35"/>
      <c r="G3874" s="35" t="str">
        <f>IFERROR(__xludf.DUMMYFUNCTION("""COMPUTED_VALUE"""),"INDRA SETIYAWAN")</f>
        <v>INDRA SETIYAWAN</v>
      </c>
      <c r="H3874" s="35" t="str">
        <f>IFERROR(__xludf.DUMMYFUNCTION("""COMPUTED_VALUE"""),"I9926051758")</f>
        <v>I9926051758</v>
      </c>
      <c r="I3874" s="35">
        <f>IFERROR(__xludf.DUMMYFUNCTION("""COMPUTED_VALUE"""),26.0)</f>
        <v>26</v>
      </c>
      <c r="J3874" s="35" t="str">
        <f>IFERROR(__xludf.DUMMYFUNCTION("""COMPUTED_VALUE"""),"25-34 tahun")</f>
        <v>25-34 tahun</v>
      </c>
      <c r="K3874" s="35" t="str">
        <f>IFERROR(__xludf.DUMMYFUNCTION("""COMPUTED_VALUE"""),"13/07/1999")</f>
        <v>13/07/1999</v>
      </c>
      <c r="L3874" s="35" t="str">
        <f>IFERROR(__xludf.DUMMYFUNCTION("""COMPUTED_VALUE"""),"LAKI-LAKI")</f>
        <v>LAKI-LAKI</v>
      </c>
      <c r="M3874" s="35" t="str">
        <f>IFERROR(__xludf.DUMMYFUNCTION("""COMPUTED_VALUE"""),"JL SEI RAYA DALAM GG RAYA NO 11")</f>
        <v>JL SEI RAYA DALAM GG RAYA NO 11</v>
      </c>
      <c r="N3874" s="35" t="str">
        <f>IFERROR(__xludf.DUMMYFUNCTION("""COMPUTED_VALUE"""),"SEI RAYA")</f>
        <v>SEI RAYA</v>
      </c>
      <c r="O3874" s="35" t="str">
        <f>IFERROR(__xludf.DUMMYFUNCTION("""COMPUTED_VALUE"""),"SEI RAYA")</f>
        <v>SEI RAYA</v>
      </c>
      <c r="P3874" s="35" t="str">
        <f>IFERROR(__xludf.DUMMYFUNCTION("""COMPUTED_VALUE"""),"KUBU RAYA")</f>
        <v>KUBU RAYA</v>
      </c>
      <c r="Q3874" s="35" t="str">
        <f>IFERROR(__xludf.DUMMYFUNCTION("""COMPUTED_VALUE"""),"KALIMANTAN BARAT")</f>
        <v>KALIMANTAN BARAT</v>
      </c>
      <c r="R3874" s="35" t="str">
        <f>IFERROR(__xludf.DUMMYFUNCTION("""COMPUTED_VALUE"""),"ISLAM")</f>
        <v>ISLAM</v>
      </c>
      <c r="S3874" s="74" t="str">
        <f>IFERROR(__xludf.DUMMYFUNCTION("""COMPUTED_VALUE"""),"SWASTA")</f>
        <v>SWASTA</v>
      </c>
      <c r="T3874" s="35" t="str">
        <f>IFERROR(__xludf.DUMMYFUNCTION("""COMPUTED_VALUE"""),"LUTUT BENGKAK")</f>
        <v>LUTUT BENGKAK</v>
      </c>
      <c r="U3874" s="35" t="str">
        <f>IFERROR(__xludf.DUMMYFUNCTION("""COMPUTED_VALUE"""),"CIDERA KARNA MAIN SKATE UNTUK SEKARANG AKTIVITAS SEHARI HARI KERJA ")</f>
        <v>CIDERA KARNA MAIN SKATE UNTUK SEKARANG AKTIVITAS SEHARI HARI KERJA </v>
      </c>
      <c r="V3874" s="35" t="str">
        <f>IFERROR(__xludf.DUMMYFUNCTION("""COMPUTED_VALUE"""),"08978571758")</f>
        <v>08978571758</v>
      </c>
      <c r="W3874" s="45"/>
    </row>
    <row r="3875">
      <c r="A3875" s="45"/>
      <c r="B3875" s="35" t="str">
        <f>IFERROR(__xludf.DUMMYFUNCTION("""COMPUTED_VALUE"""),"29/05/2026 13:01:49")</f>
        <v>29/05/2026 13:01:49</v>
      </c>
      <c r="C3875" s="35"/>
      <c r="D3875" s="10">
        <f>IFERROR(__xludf.DUMMYFUNCTION("""COMPUTED_VALUE"""),46171.0)</f>
        <v>46171</v>
      </c>
      <c r="E3875" s="35" t="str">
        <f>IFERROR(__xludf.DUMMYFUNCTION("""COMPUTED_VALUE"""),"05Mei")</f>
        <v>05Mei</v>
      </c>
      <c r="F3875" s="35"/>
      <c r="G3875" s="35" t="str">
        <f>IFERROR(__xludf.DUMMYFUNCTION("""COMPUTED_VALUE"""),"MARIA AGNES ")</f>
        <v>MARIA AGNES </v>
      </c>
      <c r="H3875" s="35" t="str">
        <f>IFERROR(__xludf.DUMMYFUNCTION("""COMPUTED_VALUE"""),"M9626055850")</f>
        <v>M9626055850</v>
      </c>
      <c r="I3875" s="35">
        <f>IFERROR(__xludf.DUMMYFUNCTION("""COMPUTED_VALUE"""),29.0)</f>
        <v>29</v>
      </c>
      <c r="J3875" s="35" t="str">
        <f>IFERROR(__xludf.DUMMYFUNCTION("""COMPUTED_VALUE"""),"25-34 tahun")</f>
        <v>25-34 tahun</v>
      </c>
      <c r="K3875" s="35" t="str">
        <f>IFERROR(__xludf.DUMMYFUNCTION("""COMPUTED_VALUE"""),"22/06/1996")</f>
        <v>22/06/1996</v>
      </c>
      <c r="L3875" s="35" t="str">
        <f>IFERROR(__xludf.DUMMYFUNCTION("""COMPUTED_VALUE"""),"PEREMPUAN")</f>
        <v>PEREMPUAN</v>
      </c>
      <c r="M3875" s="35" t="str">
        <f>IFERROR(__xludf.DUMMYFUNCTION("""COMPUTED_VALUE"""),"DUSUN SIMPANG TANJUNG RT 004 KELURAHAN BINJAI KECAMATAN TAYAN HULU KABUPATEN SANGGAU")</f>
        <v>DUSUN SIMPANG TANJUNG RT 004 KELURAHAN BINJAI KECAMATAN TAYAN HULU KABUPATEN SANGGAU</v>
      </c>
      <c r="N3875" s="35" t="str">
        <f>IFERROR(__xludf.DUMMYFUNCTION("""COMPUTED_VALUE"""),"BINJAI")</f>
        <v>BINJAI</v>
      </c>
      <c r="O3875" s="35" t="str">
        <f>IFERROR(__xludf.DUMMYFUNCTION("""COMPUTED_VALUE"""),"TAYAN HULU")</f>
        <v>TAYAN HULU</v>
      </c>
      <c r="P3875" s="35" t="str">
        <f>IFERROR(__xludf.DUMMYFUNCTION("""COMPUTED_VALUE"""),"SANGGAU")</f>
        <v>SANGGAU</v>
      </c>
      <c r="Q3875" s="35" t="str">
        <f>IFERROR(__xludf.DUMMYFUNCTION("""COMPUTED_VALUE"""),"KALIMANTAN BARAT ")</f>
        <v>KALIMANTAN BARAT </v>
      </c>
      <c r="R3875" s="35" t="str">
        <f>IFERROR(__xludf.DUMMYFUNCTION("""COMPUTED_VALUE"""),"PROTESTAN")</f>
        <v>PROTESTAN</v>
      </c>
      <c r="S3875" s="74" t="str">
        <f>IFERROR(__xludf.DUMMYFUNCTION("""COMPUTED_VALUE"""),"WIRASWASTA")</f>
        <v>WIRASWASTA</v>
      </c>
      <c r="T3875" s="35" t="str">
        <f>IFERROR(__xludf.DUMMYFUNCTION("""COMPUTED_VALUE"""),"LOWER BACK PAIN")</f>
        <v>LOWER BACK PAIN</v>
      </c>
      <c r="U3875" s="35" t="str">
        <f>IFERROR(__xludf.DUMMYFUNCTION("""COMPUTED_VALUE"""),"OLAHRAGA ANGKAT BEBAN, DUDUK LAMA ")</f>
        <v>OLAHRAGA ANGKAT BEBAN, DUDUK LAMA </v>
      </c>
      <c r="V3875" s="35" t="str">
        <f>IFERROR(__xludf.DUMMYFUNCTION("""COMPUTED_VALUE"""),"085183015850")</f>
        <v>085183015850</v>
      </c>
      <c r="W3875" s="45"/>
    </row>
    <row r="3876">
      <c r="A3876" s="45"/>
      <c r="B3876" s="35" t="str">
        <f>IFERROR(__xludf.DUMMYFUNCTION("""COMPUTED_VALUE"""),"29/05/2026 14:15:39")</f>
        <v>29/05/2026 14:15:39</v>
      </c>
      <c r="C3876" s="35"/>
      <c r="D3876" s="10">
        <f>IFERROR(__xludf.DUMMYFUNCTION("""COMPUTED_VALUE"""),46171.0)</f>
        <v>46171</v>
      </c>
      <c r="E3876" s="35" t="str">
        <f>IFERROR(__xludf.DUMMYFUNCTION("""COMPUTED_VALUE"""),"05Mei")</f>
        <v>05Mei</v>
      </c>
      <c r="F3876" s="35"/>
      <c r="G3876" s="35" t="str">
        <f>IFERROR(__xludf.DUMMYFUNCTION("""COMPUTED_VALUE"""),"HADI YULIANTO")</f>
        <v>HADI YULIANTO</v>
      </c>
      <c r="H3876" s="35" t="str">
        <f>IFERROR(__xludf.DUMMYFUNCTION("""COMPUTED_VALUE"""),"H9126053438")</f>
        <v>H9126053438</v>
      </c>
      <c r="I3876" s="35">
        <f>IFERROR(__xludf.DUMMYFUNCTION("""COMPUTED_VALUE"""),35.0)</f>
        <v>35</v>
      </c>
      <c r="J3876" s="35" t="str">
        <f>IFERROR(__xludf.DUMMYFUNCTION("""COMPUTED_VALUE"""),"35-44 tahun")</f>
        <v>35-44 tahun</v>
      </c>
      <c r="K3876" s="35" t="str">
        <f>IFERROR(__xludf.DUMMYFUNCTION("""COMPUTED_VALUE"""),"17/06/1991")</f>
        <v>17/06/1991</v>
      </c>
      <c r="L3876" s="35" t="str">
        <f>IFERROR(__xludf.DUMMYFUNCTION("""COMPUTED_VALUE"""),"LAKI-LAKI")</f>
        <v>LAKI-LAKI</v>
      </c>
      <c r="M3876" s="35" t="str">
        <f>IFERROR(__xludf.DUMMYFUNCTION("""COMPUTED_VALUE"""),"JL PARIT TENGAH GG SANUBARI 2")</f>
        <v>JL PARIT TENGAH GG SANUBARI 2</v>
      </c>
      <c r="N3876" s="35" t="str">
        <f>IFERROR(__xludf.DUMMYFUNCTION("""COMPUTED_VALUE"""),"SUNGAI BELIUNG")</f>
        <v>SUNGAI BELIUNG</v>
      </c>
      <c r="O3876" s="35" t="str">
        <f>IFERROR(__xludf.DUMMYFUNCTION("""COMPUTED_VALUE"""),"PONTIANAK BARAT")</f>
        <v>PONTIANAK BARAT</v>
      </c>
      <c r="P3876" s="35" t="str">
        <f>IFERROR(__xludf.DUMMYFUNCTION("""COMPUTED_VALUE"""),"PONTIANAK")</f>
        <v>PONTIANAK</v>
      </c>
      <c r="Q3876" s="35" t="str">
        <f>IFERROR(__xludf.DUMMYFUNCTION("""COMPUTED_VALUE"""),"KALIMANTAN BARAT")</f>
        <v>KALIMANTAN BARAT</v>
      </c>
      <c r="R3876" s="35" t="str">
        <f>IFERROR(__xludf.DUMMYFUNCTION("""COMPUTED_VALUE"""),"ISLAM")</f>
        <v>ISLAM</v>
      </c>
      <c r="S3876" s="74" t="str">
        <f>IFERROR(__xludf.DUMMYFUNCTION("""COMPUTED_VALUE"""),"SWASTA")</f>
        <v>SWASTA</v>
      </c>
      <c r="T3876" s="35" t="str">
        <f>IFERROR(__xludf.DUMMYFUNCTION("""COMPUTED_VALUE"""),"SALAH URAT")</f>
        <v>SALAH URAT</v>
      </c>
      <c r="U3876" s="35" t="str">
        <f>IFERROR(__xludf.DUMMYFUNCTION("""COMPUTED_VALUE"""),"DUDUK DEPAN LAPTOP")</f>
        <v>DUDUK DEPAN LAPTOP</v>
      </c>
      <c r="V3876" s="35" t="str">
        <f>IFERROR(__xludf.DUMMYFUNCTION("""COMPUTED_VALUE"""),"082195253438")</f>
        <v>082195253438</v>
      </c>
      <c r="W3876" s="45"/>
    </row>
    <row r="3877">
      <c r="A3877" s="45"/>
      <c r="B3877" s="35" t="str">
        <f>IFERROR(__xludf.DUMMYFUNCTION("""COMPUTED_VALUE"""),"29/05/2026 14:40:01")</f>
        <v>29/05/2026 14:40:01</v>
      </c>
      <c r="C3877" s="35"/>
      <c r="D3877" s="10">
        <f>IFERROR(__xludf.DUMMYFUNCTION("""COMPUTED_VALUE"""),46171.0)</f>
        <v>46171</v>
      </c>
      <c r="E3877" s="35" t="str">
        <f>IFERROR(__xludf.DUMMYFUNCTION("""COMPUTED_VALUE"""),"05Mei")</f>
        <v>05Mei</v>
      </c>
      <c r="F3877" s="35"/>
      <c r="G3877" s="35" t="str">
        <f>IFERROR(__xludf.DUMMYFUNCTION("""COMPUTED_VALUE"""),"MUHAMMAD ADITYA HAPSORO")</f>
        <v>MUHAMMAD ADITYA HAPSORO</v>
      </c>
      <c r="H3877" s="35" t="str">
        <f>IFERROR(__xludf.DUMMYFUNCTION("""COMPUTED_VALUE"""),"M9726059925")</f>
        <v>M9726059925</v>
      </c>
      <c r="I3877" s="35">
        <f>IFERROR(__xludf.DUMMYFUNCTION("""COMPUTED_VALUE"""),28.0)</f>
        <v>28</v>
      </c>
      <c r="J3877" s="35" t="str">
        <f>IFERROR(__xludf.DUMMYFUNCTION("""COMPUTED_VALUE"""),"25-34 tahun")</f>
        <v>25-34 tahun</v>
      </c>
      <c r="K3877" s="35" t="str">
        <f>IFERROR(__xludf.DUMMYFUNCTION("""COMPUTED_VALUE"""),"19/10/1997")</f>
        <v>19/10/1997</v>
      </c>
      <c r="L3877" s="35" t="str">
        <f>IFERROR(__xludf.DUMMYFUNCTION("""COMPUTED_VALUE"""),"LAKI-LAKI")</f>
        <v>LAKI-LAKI</v>
      </c>
      <c r="M3877" s="35" t="str">
        <f>IFERROR(__xludf.DUMMYFUNCTION("""COMPUTED_VALUE"""),"JL. SUMATERA GG. MEKAR NO. 48")</f>
        <v>JL. SUMATERA GG. MEKAR NO. 48</v>
      </c>
      <c r="N3877" s="35" t="str">
        <f>IFERROR(__xludf.DUMMYFUNCTION("""COMPUTED_VALUE"""),"AKCAYA")</f>
        <v>AKCAYA</v>
      </c>
      <c r="O3877" s="35" t="str">
        <f>IFERROR(__xludf.DUMMYFUNCTION("""COMPUTED_VALUE"""),"PONTIANAK SELATAN")</f>
        <v>PONTIANAK SELATAN</v>
      </c>
      <c r="P3877" s="35" t="str">
        <f>IFERROR(__xludf.DUMMYFUNCTION("""COMPUTED_VALUE"""),"PONTIANAK")</f>
        <v>PONTIANAK</v>
      </c>
      <c r="Q3877" s="35" t="str">
        <f>IFERROR(__xludf.DUMMYFUNCTION("""COMPUTED_VALUE"""),"PROVINSI KALIMANTAN BARAT")</f>
        <v>PROVINSI KALIMANTAN BARAT</v>
      </c>
      <c r="R3877" s="35" t="str">
        <f>IFERROR(__xludf.DUMMYFUNCTION("""COMPUTED_VALUE"""),"ISLAM")</f>
        <v>ISLAM</v>
      </c>
      <c r="S3877" s="74" t="str">
        <f>IFERROR(__xludf.DUMMYFUNCTION("""COMPUTED_VALUE"""),"PELAJAR/MAHASISWA")</f>
        <v>PELAJAR/MAHASISWA</v>
      </c>
      <c r="T3877" s="35" t="str">
        <f>IFERROR(__xludf.DUMMYFUNCTION("""COMPUTED_VALUE"""),"SHOULDER BACK ELBOW PAIN")</f>
        <v>SHOULDER BACK ELBOW PAIN</v>
      </c>
      <c r="U3877" s="35" t="str">
        <f>IFERROR(__xludf.DUMMYFUNCTION("""COMPUTED_VALUE"""),"TENIS PICKLE PADEL")</f>
        <v>TENIS PICKLE PADEL</v>
      </c>
      <c r="V3877" s="35" t="str">
        <f>IFERROR(__xludf.DUMMYFUNCTION("""COMPUTED_VALUE"""),"085293239925")</f>
        <v>085293239925</v>
      </c>
      <c r="W3877" s="45"/>
    </row>
    <row r="3878">
      <c r="A3878" s="45"/>
      <c r="B3878" s="35" t="str">
        <f>IFERROR(__xludf.DUMMYFUNCTION("""COMPUTED_VALUE"""),"29/05/2026 19:21:20")</f>
        <v>29/05/2026 19:21:20</v>
      </c>
      <c r="C3878" s="35"/>
      <c r="D3878" s="10">
        <f>IFERROR(__xludf.DUMMYFUNCTION("""COMPUTED_VALUE"""),46171.0)</f>
        <v>46171</v>
      </c>
      <c r="E3878" s="35" t="str">
        <f>IFERROR(__xludf.DUMMYFUNCTION("""COMPUTED_VALUE"""),"05Mei")</f>
        <v>05Mei</v>
      </c>
      <c r="F3878" s="35"/>
      <c r="G3878" s="35" t="str">
        <f>IFERROR(__xludf.DUMMYFUNCTION("""COMPUTED_VALUE"""),"GEMILANG HOSHI HAYET ")</f>
        <v>GEMILANG HOSHI HAYET </v>
      </c>
      <c r="H3878" s="35" t="str">
        <f>IFERROR(__xludf.DUMMYFUNCTION("""COMPUTED_VALUE"""),"G1126056837")</f>
        <v>G1126056837</v>
      </c>
      <c r="I3878" s="35">
        <f>IFERROR(__xludf.DUMMYFUNCTION("""COMPUTED_VALUE"""),14.0)</f>
        <v>14</v>
      </c>
      <c r="J3878" s="35" t="str">
        <f>IFERROR(__xludf.DUMMYFUNCTION("""COMPUTED_VALUE"""),"&lt; 18 tahun")</f>
        <v>&lt; 18 tahun</v>
      </c>
      <c r="K3878" s="35" t="str">
        <f>IFERROR(__xludf.DUMMYFUNCTION("""COMPUTED_VALUE"""),"12/07/2011")</f>
        <v>12/07/2011</v>
      </c>
      <c r="L3878" s="35" t="str">
        <f>IFERROR(__xludf.DUMMYFUNCTION("""COMPUTED_VALUE"""),"LAKI-LAKI")</f>
        <v>LAKI-LAKI</v>
      </c>
      <c r="M3878" s="35" t="str">
        <f>IFERROR(__xludf.DUMMYFUNCTION("""COMPUTED_VALUE"""),"JL.TRANSKALIMANTAN NO.88")</f>
        <v>JL.TRANSKALIMANTAN NO.88</v>
      </c>
      <c r="N3878" s="35" t="str">
        <f>IFERROR(__xludf.DUMMYFUNCTION("""COMPUTED_VALUE"""),"-")</f>
        <v>-</v>
      </c>
      <c r="O3878" s="35" t="str">
        <f>IFERROR(__xludf.DUMMYFUNCTION("""COMPUTED_VALUE"""),"-")</f>
        <v>-</v>
      </c>
      <c r="P3878" s="35" t="str">
        <f>IFERROR(__xludf.DUMMYFUNCTION("""COMPUTED_VALUE"""),"KUBU RAYA")</f>
        <v>KUBU RAYA</v>
      </c>
      <c r="Q3878" s="35" t="str">
        <f>IFERROR(__xludf.DUMMYFUNCTION("""COMPUTED_VALUE"""),"KALIMANTAN BARAT ")</f>
        <v>KALIMANTAN BARAT </v>
      </c>
      <c r="R3878" s="35" t="str">
        <f>IFERROR(__xludf.DUMMYFUNCTION("""COMPUTED_VALUE"""),"ISLAM")</f>
        <v>ISLAM</v>
      </c>
      <c r="S3878" s="74" t="str">
        <f>IFERROR(__xludf.DUMMYFUNCTION("""COMPUTED_VALUE"""),"PELAJAR")</f>
        <v>PELAJAR</v>
      </c>
      <c r="T3878" s="35" t="str">
        <f>IFERROR(__xludf.DUMMYFUNCTION("""COMPUTED_VALUE"""),"JATUH PADA SAAT TANDING BASKET DI BAGIAN TULANG EKOR")</f>
        <v>JATUH PADA SAAT TANDING BASKET DI BAGIAN TULANG EKOR</v>
      </c>
      <c r="U3878" s="35" t="str">
        <f>IFERROR(__xludf.DUMMYFUNCTION("""COMPUTED_VALUE"""),"BASKET")</f>
        <v>BASKET</v>
      </c>
      <c r="V3878" s="35" t="str">
        <f>IFERROR(__xludf.DUMMYFUNCTION("""COMPUTED_VALUE"""),"082350686837")</f>
        <v>082350686837</v>
      </c>
      <c r="W3878" s="45"/>
    </row>
    <row r="3879">
      <c r="A3879" s="45"/>
      <c r="B3879" s="35" t="str">
        <f>IFERROR(__xludf.DUMMYFUNCTION("""COMPUTED_VALUE"""),"29/05/2026 17:22:44")</f>
        <v>29/05/2026 17:22:44</v>
      </c>
      <c r="C3879" s="35"/>
      <c r="D3879" s="10">
        <f>IFERROR(__xludf.DUMMYFUNCTION("""COMPUTED_VALUE"""),46171.0)</f>
        <v>46171</v>
      </c>
      <c r="E3879" s="35" t="str">
        <f>IFERROR(__xludf.DUMMYFUNCTION("""COMPUTED_VALUE"""),"05Mei")</f>
        <v>05Mei</v>
      </c>
      <c r="F3879" s="35"/>
      <c r="G3879" s="35" t="str">
        <f>IFERROR(__xludf.DUMMYFUNCTION("""COMPUTED_VALUE"""),"HENDRI BUDIYANTO")</f>
        <v>HENDRI BUDIYANTO</v>
      </c>
      <c r="H3879" s="35" t="str">
        <f>IFERROR(__xludf.DUMMYFUNCTION("""COMPUTED_VALUE"""),"H0326059855")</f>
        <v>H0326059855</v>
      </c>
      <c r="I3879" s="35">
        <f>IFERROR(__xludf.DUMMYFUNCTION("""COMPUTED_VALUE"""),23.0)</f>
        <v>23</v>
      </c>
      <c r="J3879" s="35" t="str">
        <f>IFERROR(__xludf.DUMMYFUNCTION("""COMPUTED_VALUE"""),"18-24 tahun")</f>
        <v>18-24 tahun</v>
      </c>
      <c r="K3879" s="35" t="str">
        <f>IFERROR(__xludf.DUMMYFUNCTION("""COMPUTED_VALUE"""),"18/04/2003")</f>
        <v>18/04/2003</v>
      </c>
      <c r="L3879" s="35" t="str">
        <f>IFERROR(__xludf.DUMMYFUNCTION("""COMPUTED_VALUE"""),"LAKI-LAKI")</f>
        <v>LAKI-LAKI</v>
      </c>
      <c r="M3879" s="35" t="str">
        <f>IFERROR(__xludf.DUMMYFUNCTION("""COMPUTED_VALUE"""),"RAYA KAKAP, PAL 9")</f>
        <v>RAYA KAKAP, PAL 9</v>
      </c>
      <c r="N3879" s="35" t="str">
        <f>IFERROR(__xludf.DUMMYFUNCTION("""COMPUTED_VALUE"""),"PAL 9")</f>
        <v>PAL 9</v>
      </c>
      <c r="O3879" s="35" t="str">
        <f>IFERROR(__xludf.DUMMYFUNCTION("""COMPUTED_VALUE"""),"SUNGAI KAKAP")</f>
        <v>SUNGAI KAKAP</v>
      </c>
      <c r="P3879" s="35" t="str">
        <f>IFERROR(__xludf.DUMMYFUNCTION("""COMPUTED_VALUE"""),"KUBU RAYA")</f>
        <v>KUBU RAYA</v>
      </c>
      <c r="Q3879" s="35" t="str">
        <f>IFERROR(__xludf.DUMMYFUNCTION("""COMPUTED_VALUE"""),"KALIMANTAN BARAT")</f>
        <v>KALIMANTAN BARAT</v>
      </c>
      <c r="R3879" s="35" t="str">
        <f>IFERROR(__xludf.DUMMYFUNCTION("""COMPUTED_VALUE"""),"BUDDHA")</f>
        <v>BUDDHA</v>
      </c>
      <c r="S3879" s="74" t="str">
        <f>IFERROR(__xludf.DUMMYFUNCTION("""COMPUTED_VALUE"""),"SWASTA")</f>
        <v>SWASTA</v>
      </c>
      <c r="T3879" s="35" t="str">
        <f>IFERROR(__xludf.DUMMYFUNCTION("""COMPUTED_VALUE"""),"RASA SAKIT/ PEGAL, DARI PUNDAK SAMPAI KAKI")</f>
        <v>RASA SAKIT/ PEGAL, DARI PUNDAK SAMPAI KAKI</v>
      </c>
      <c r="U3879" s="35" t="str">
        <f>IFERROR(__xludf.DUMMYFUNCTION("""COMPUTED_VALUE"""),"PEKERJAAN")</f>
        <v>PEKERJAAN</v>
      </c>
      <c r="V3879" s="35" t="str">
        <f>IFERROR(__xludf.DUMMYFUNCTION("""COMPUTED_VALUE"""),"089508239855")</f>
        <v>089508239855</v>
      </c>
      <c r="W3879" s="45"/>
    </row>
    <row r="3880">
      <c r="A3880" s="45"/>
      <c r="B3880" s="35" t="str">
        <f>IFERROR(__xludf.DUMMYFUNCTION("""COMPUTED_VALUE"""),"30/05/2026 9:44:40")</f>
        <v>30/05/2026 9:44:40</v>
      </c>
      <c r="C3880" s="35"/>
      <c r="D3880" s="10">
        <f>IFERROR(__xludf.DUMMYFUNCTION("""COMPUTED_VALUE"""),46172.0)</f>
        <v>46172</v>
      </c>
      <c r="E3880" s="35" t="str">
        <f>IFERROR(__xludf.DUMMYFUNCTION("""COMPUTED_VALUE"""),"05Mei")</f>
        <v>05Mei</v>
      </c>
      <c r="F3880" s="35"/>
      <c r="G3880" s="35" t="str">
        <f>IFERROR(__xludf.DUMMYFUNCTION("""COMPUTED_VALUE"""),"TITIK HARYATI")</f>
        <v>TITIK HARYATI</v>
      </c>
      <c r="H3880" s="35" t="str">
        <f>IFERROR(__xludf.DUMMYFUNCTION("""COMPUTED_VALUE"""),"T5326050902")</f>
        <v>T5326050902</v>
      </c>
      <c r="I3880" s="35">
        <f>IFERROR(__xludf.DUMMYFUNCTION("""COMPUTED_VALUE"""),73.0)</f>
        <v>73</v>
      </c>
      <c r="J3880" s="35" t="str">
        <f>IFERROR(__xludf.DUMMYFUNCTION("""COMPUTED_VALUE"""),"&gt; 44 tahun")</f>
        <v>&gt; 44 tahun</v>
      </c>
      <c r="K3880" s="35" t="str">
        <f>IFERROR(__xludf.DUMMYFUNCTION("""COMPUTED_VALUE"""),"18/05/1953")</f>
        <v>18/05/1953</v>
      </c>
      <c r="L3880" s="35" t="str">
        <f>IFERROR(__xludf.DUMMYFUNCTION("""COMPUTED_VALUE"""),"PEREMPUAN")</f>
        <v>PEREMPUAN</v>
      </c>
      <c r="M3880" s="35" t="str">
        <f>IFERROR(__xludf.DUMMYFUNCTION("""COMPUTED_VALUE"""),"JL SRIKAYA DALAM NO 28")</f>
        <v>JL SRIKAYA DALAM NO 28</v>
      </c>
      <c r="N3880" s="35" t="str">
        <f>IFERROR(__xludf.DUMMYFUNCTION("""COMPUTED_VALUE"""),"SUNGAI JAWI LUAR")</f>
        <v>SUNGAI JAWI LUAR</v>
      </c>
      <c r="O3880" s="35" t="str">
        <f>IFERROR(__xludf.DUMMYFUNCTION("""COMPUTED_VALUE"""),"PONTIANAK BARAT")</f>
        <v>PONTIANAK BARAT</v>
      </c>
      <c r="P3880" s="35" t="str">
        <f>IFERROR(__xludf.DUMMYFUNCTION("""COMPUTED_VALUE"""),"KOTA PONTIANAK")</f>
        <v>KOTA PONTIANAK</v>
      </c>
      <c r="Q3880" s="35" t="str">
        <f>IFERROR(__xludf.DUMMYFUNCTION("""COMPUTED_VALUE"""),"KALIMANTAN BARAT")</f>
        <v>KALIMANTAN BARAT</v>
      </c>
      <c r="R3880" s="35" t="str">
        <f>IFERROR(__xludf.DUMMYFUNCTION("""COMPUTED_VALUE"""),"ISLAM")</f>
        <v>ISLAM</v>
      </c>
      <c r="S3880" s="74" t="str">
        <f>IFERROR(__xludf.DUMMYFUNCTION("""COMPUTED_VALUE"""),"IRT")</f>
        <v>IRT</v>
      </c>
      <c r="T3880" s="35" t="str">
        <f>IFERROR(__xludf.DUMMYFUNCTION("""COMPUTED_VALUE"""),"KAKI SEBELAH HABIS JATUH")</f>
        <v>KAKI SEBELAH HABIS JATUH</v>
      </c>
      <c r="U3880" s="35" t="str">
        <f>IFERROR(__xludf.DUMMYFUNCTION("""COMPUTED_VALUE"""),"BEBERES RUMAH")</f>
        <v>BEBERES RUMAH</v>
      </c>
      <c r="V3880" s="35" t="str">
        <f>IFERROR(__xludf.DUMMYFUNCTION("""COMPUTED_VALUE"""),"08125770902")</f>
        <v>08125770902</v>
      </c>
      <c r="W3880" s="45"/>
    </row>
    <row r="3881">
      <c r="A3881" s="45"/>
      <c r="B3881" s="35" t="str">
        <f>IFERROR(__xludf.DUMMYFUNCTION("""COMPUTED_VALUE"""),"30/05/2026 14:18:00")</f>
        <v>30/05/2026 14:18:00</v>
      </c>
      <c r="C3881" s="35"/>
      <c r="D3881" s="10">
        <f>IFERROR(__xludf.DUMMYFUNCTION("""COMPUTED_VALUE"""),46172.0)</f>
        <v>46172</v>
      </c>
      <c r="E3881" s="35" t="str">
        <f>IFERROR(__xludf.DUMMYFUNCTION("""COMPUTED_VALUE"""),"05Mei")</f>
        <v>05Mei</v>
      </c>
      <c r="F3881" s="35"/>
      <c r="G3881" s="35" t="str">
        <f>IFERROR(__xludf.DUMMYFUNCTION("""COMPUTED_VALUE"""),"ABDIAS JURITINO")</f>
        <v>ABDIAS JURITINO</v>
      </c>
      <c r="H3881" s="35" t="str">
        <f>IFERROR(__xludf.DUMMYFUNCTION("""COMPUTED_VALUE"""),"A0526051851")</f>
        <v>A0526051851</v>
      </c>
      <c r="I3881" s="35">
        <f>IFERROR(__xludf.DUMMYFUNCTION("""COMPUTED_VALUE"""),20.0)</f>
        <v>20</v>
      </c>
      <c r="J3881" s="35" t="str">
        <f>IFERROR(__xludf.DUMMYFUNCTION("""COMPUTED_VALUE"""),"18-24 tahun")</f>
        <v>18-24 tahun</v>
      </c>
      <c r="K3881" s="35" t="str">
        <f>IFERROR(__xludf.DUMMYFUNCTION("""COMPUTED_VALUE"""),"18/11/2005")</f>
        <v>18/11/2005</v>
      </c>
      <c r="L3881" s="35" t="str">
        <f>IFERROR(__xludf.DUMMYFUNCTION("""COMPUTED_VALUE"""),"LAKI-LAKI")</f>
        <v>LAKI-LAKI</v>
      </c>
      <c r="M3881" s="35" t="str">
        <f>IFERROR(__xludf.DUMMYFUNCTION("""COMPUTED_VALUE"""),"DUSUN SERIBOT")</f>
        <v>DUSUN SERIBOT</v>
      </c>
      <c r="N3881" s="35" t="str">
        <f>IFERROR(__xludf.DUMMYFUNCTION("""COMPUTED_VALUE"""),"UPE")</f>
        <v>UPE</v>
      </c>
      <c r="O3881" s="35" t="str">
        <f>IFERROR(__xludf.DUMMYFUNCTION("""COMPUTED_VALUE"""),"BONTI")</f>
        <v>BONTI</v>
      </c>
      <c r="P3881" s="35" t="str">
        <f>IFERROR(__xludf.DUMMYFUNCTION("""COMPUTED_VALUE"""),"SANGGAU")</f>
        <v>SANGGAU</v>
      </c>
      <c r="Q3881" s="35" t="str">
        <f>IFERROR(__xludf.DUMMYFUNCTION("""COMPUTED_VALUE"""),"KALIMANTAN BARAT")</f>
        <v>KALIMANTAN BARAT</v>
      </c>
      <c r="R3881" s="35" t="str">
        <f>IFERROR(__xludf.DUMMYFUNCTION("""COMPUTED_VALUE"""),"KATOLIK")</f>
        <v>KATOLIK</v>
      </c>
      <c r="S3881" s="74" t="str">
        <f>IFERROR(__xludf.DUMMYFUNCTION("""COMPUTED_VALUE"""),"MAHASISWA")</f>
        <v>MAHASISWA</v>
      </c>
      <c r="T3881" s="35" t="str">
        <f>IFERROR(__xludf.DUMMYFUNCTION("""COMPUTED_VALUE"""),"HABIS OPERASI")</f>
        <v>HABIS OPERASI</v>
      </c>
      <c r="U3881" s="35" t="str">
        <f>IFERROR(__xludf.DUMMYFUNCTION("""COMPUTED_VALUE"""),"-")</f>
        <v>-</v>
      </c>
      <c r="V3881" s="35" t="str">
        <f>IFERROR(__xludf.DUMMYFUNCTION("""COMPUTED_VALUE"""),"085388971851")</f>
        <v>085388971851</v>
      </c>
      <c r="W3881" s="45"/>
    </row>
    <row r="3882">
      <c r="A3882" s="45"/>
      <c r="B3882" s="35" t="str">
        <f>IFERROR(__xludf.DUMMYFUNCTION("""COMPUTED_VALUE"""),"30/05/2026 21:32:27")</f>
        <v>30/05/2026 21:32:27</v>
      </c>
      <c r="C3882" s="35"/>
      <c r="D3882" s="10">
        <f>IFERROR(__xludf.DUMMYFUNCTION("""COMPUTED_VALUE"""),46174.0)</f>
        <v>46174</v>
      </c>
      <c r="E3882" s="35" t="str">
        <f>IFERROR(__xludf.DUMMYFUNCTION("""COMPUTED_VALUE"""),"06Jun")</f>
        <v>06Jun</v>
      </c>
      <c r="F3882" s="35"/>
      <c r="G3882" s="35" t="str">
        <f>IFERROR(__xludf.DUMMYFUNCTION("""COMPUTED_VALUE"""),"SALWA SALSABILA")</f>
        <v>SALWA SALSABILA</v>
      </c>
      <c r="H3882" s="35" t="str">
        <f>IFERROR(__xludf.DUMMYFUNCTION("""COMPUTED_VALUE"""),"S9926063350")</f>
        <v>S9926063350</v>
      </c>
      <c r="I3882" s="35">
        <f>IFERROR(__xludf.DUMMYFUNCTION("""COMPUTED_VALUE"""),27.0)</f>
        <v>27</v>
      </c>
      <c r="J3882" s="35" t="str">
        <f>IFERROR(__xludf.DUMMYFUNCTION("""COMPUTED_VALUE"""),"25-34 tahun")</f>
        <v>25-34 tahun</v>
      </c>
      <c r="K3882" s="35" t="str">
        <f>IFERROR(__xludf.DUMMYFUNCTION("""COMPUTED_VALUE"""),"21/05/1999")</f>
        <v>21/05/1999</v>
      </c>
      <c r="L3882" s="35" t="str">
        <f>IFERROR(__xludf.DUMMYFUNCTION("""COMPUTED_VALUE"""),"PEREMPUAN")</f>
        <v>PEREMPUAN</v>
      </c>
      <c r="M3882" s="35" t="str">
        <f>IFERROR(__xludf.DUMMYFUNCTION("""COMPUTED_VALUE"""),"GG. TEGAL REJO 2 NO. 17")</f>
        <v>GG. TEGAL REJO 2 NO. 17</v>
      </c>
      <c r="N3882" s="35" t="str">
        <f>IFERROR(__xludf.DUMMYFUNCTION("""COMPUTED_VALUE"""),"SUNGAI JAWI")</f>
        <v>SUNGAI JAWI</v>
      </c>
      <c r="O3882" s="35" t="str">
        <f>IFERROR(__xludf.DUMMYFUNCTION("""COMPUTED_VALUE"""),"PONTIANAK KOTA")</f>
        <v>PONTIANAK KOTA</v>
      </c>
      <c r="P3882" s="35" t="str">
        <f>IFERROR(__xludf.DUMMYFUNCTION("""COMPUTED_VALUE"""),"KOTA PONTIANAK")</f>
        <v>KOTA PONTIANAK</v>
      </c>
      <c r="Q3882" s="35" t="str">
        <f>IFERROR(__xludf.DUMMYFUNCTION("""COMPUTED_VALUE"""),"KALIMANTAN BARAT")</f>
        <v>KALIMANTAN BARAT</v>
      </c>
      <c r="R3882" s="35" t="str">
        <f>IFERROR(__xludf.DUMMYFUNCTION("""COMPUTED_VALUE"""),"ISLAM")</f>
        <v>ISLAM</v>
      </c>
      <c r="S3882" s="74" t="str">
        <f>IFERROR(__xludf.DUMMYFUNCTION("""COMPUTED_VALUE"""),"GURU")</f>
        <v>GURU</v>
      </c>
      <c r="T3882" s="35" t="str">
        <f>IFERROR(__xludf.DUMMYFUNCTION("""COMPUTED_VALUE"""),"AWALNYA BANGUN TIDUR SIANG TULANG BELAKANG TENGAH BAWAH TERASA SAKIT SEPERTI KETARIK LALU SAKITNYA HILANG DATANG SAMPAI SAAT INI SAKITNYA DI BAGIAN PINGGANG SEBELAH KIRI SEPERTI KETARIK. SAKIT KETIKA BUNGKUK ATAU ATAU JONGKOK LAMA")</f>
        <v>AWALNYA BANGUN TIDUR SIANG TULANG BELAKANG TENGAH BAWAH TERASA SAKIT SEPERTI KETARIK LALU SAKITNYA HILANG DATANG SAMPAI SAAT INI SAKITNYA DI BAGIAN PINGGANG SEBELAH KIRI SEPERTI KETARIK. SAKIT KETIKA BUNGKUK ATAU ATAU JONGKOK LAMA</v>
      </c>
      <c r="U3882" s="35" t="str">
        <f>IFERROR(__xludf.DUMMYFUNCTION("""COMPUTED_VALUE"""),"TIDAK ADA, KARENA SAKITNYA MUNCUL WAKTU BANGUN TIDUR SIANG")</f>
        <v>TIDAK ADA, KARENA SAKITNYA MUNCUL WAKTU BANGUN TIDUR SIANG</v>
      </c>
      <c r="V3882" s="35" t="str">
        <f>IFERROR(__xludf.DUMMYFUNCTION("""COMPUTED_VALUE"""),"087803273350")</f>
        <v>087803273350</v>
      </c>
      <c r="W3882" s="45"/>
    </row>
    <row r="3883">
      <c r="A3883" s="45"/>
      <c r="B3883" s="35" t="str">
        <f>IFERROR(__xludf.DUMMYFUNCTION("""COMPUTED_VALUE"""),"02/06/2026 9:49:08")</f>
        <v>02/06/2026 9:49:08</v>
      </c>
      <c r="C3883" s="35"/>
      <c r="D3883" s="10">
        <f>IFERROR(__xludf.DUMMYFUNCTION("""COMPUTED_VALUE"""),46175.0)</f>
        <v>46175</v>
      </c>
      <c r="E3883" s="35" t="str">
        <f>IFERROR(__xludf.DUMMYFUNCTION("""COMPUTED_VALUE"""),"06Jun")</f>
        <v>06Jun</v>
      </c>
      <c r="F3883" s="35"/>
      <c r="G3883" s="35" t="str">
        <f>IFERROR(__xludf.DUMMYFUNCTION("""COMPUTED_VALUE"""),"SANGAPTA SITEPU")</f>
        <v>SANGAPTA SITEPU</v>
      </c>
      <c r="H3883" s="35" t="str">
        <f>IFERROR(__xludf.DUMMYFUNCTION("""COMPUTED_VALUE"""),"S8526068861")</f>
        <v>S8526068861</v>
      </c>
      <c r="I3883" s="35">
        <f>IFERROR(__xludf.DUMMYFUNCTION("""COMPUTED_VALUE"""),41.0)</f>
        <v>41</v>
      </c>
      <c r="J3883" s="35" t="str">
        <f>IFERROR(__xludf.DUMMYFUNCTION("""COMPUTED_VALUE"""),"35-44 tahun")</f>
        <v>35-44 tahun</v>
      </c>
      <c r="K3883" s="75">
        <f>IFERROR(__xludf.DUMMYFUNCTION("""COMPUTED_VALUE"""),31188.0)</f>
        <v>31188</v>
      </c>
      <c r="L3883" s="35" t="str">
        <f>IFERROR(__xludf.DUMMYFUNCTION("""COMPUTED_VALUE"""),"LAKI-LAKI")</f>
        <v>LAKI-LAKI</v>
      </c>
      <c r="M3883" s="35" t="str">
        <f>IFERROR(__xludf.DUMMYFUNCTION("""COMPUTED_VALUE"""),"ANDALAS")</f>
        <v>ANDALAS</v>
      </c>
      <c r="N3883" s="35" t="str">
        <f>IFERROR(__xludf.DUMMYFUNCTION("""COMPUTED_VALUE"""),"ARANG LIMBUNG")</f>
        <v>ARANG LIMBUNG</v>
      </c>
      <c r="O3883" s="35" t="str">
        <f>IFERROR(__xludf.DUMMYFUNCTION("""COMPUTED_VALUE"""),"SUNGAIRAYA")</f>
        <v>SUNGAIRAYA</v>
      </c>
      <c r="P3883" s="35" t="str">
        <f>IFERROR(__xludf.DUMMYFUNCTION("""COMPUTED_VALUE"""),"KUBU RAYA")</f>
        <v>KUBU RAYA</v>
      </c>
      <c r="Q3883" s="35" t="str">
        <f>IFERROR(__xludf.DUMMYFUNCTION("""COMPUTED_VALUE"""),"KALIMANTAN BARAT")</f>
        <v>KALIMANTAN BARAT</v>
      </c>
      <c r="R3883" s="35" t="str">
        <f>IFERROR(__xludf.DUMMYFUNCTION("""COMPUTED_VALUE"""),"PROTESTAN")</f>
        <v>PROTESTAN</v>
      </c>
      <c r="S3883" s="74" t="str">
        <f>IFERROR(__xludf.DUMMYFUNCTION("""COMPUTED_VALUE"""),"SWASTA")</f>
        <v>SWASTA</v>
      </c>
      <c r="T3883" s="35" t="str">
        <f>IFERROR(__xludf.DUMMYFUNCTION("""COMPUTED_VALUE"""),"SEBAL DIPAHA KIRI")</f>
        <v>SEBAL DIPAHA KIRI</v>
      </c>
      <c r="U3883" s="35" t="str">
        <f>IFERROR(__xludf.DUMMYFUNCTION("""COMPUTED_VALUE"""),"TIDAK ADA")</f>
        <v>TIDAK ADA</v>
      </c>
      <c r="V3883" s="35" t="str">
        <f>IFERROR(__xludf.DUMMYFUNCTION("""COMPUTED_VALUE"""),"089689178861")</f>
        <v>089689178861</v>
      </c>
      <c r="W3883" s="45"/>
    </row>
    <row r="3884">
      <c r="A3884" s="45"/>
      <c r="B3884" s="35" t="str">
        <f>IFERROR(__xludf.DUMMYFUNCTION("""COMPUTED_VALUE"""),"02/06/2026 10:06:24")</f>
        <v>02/06/2026 10:06:24</v>
      </c>
      <c r="C3884" s="35"/>
      <c r="D3884" s="10">
        <f>IFERROR(__xludf.DUMMYFUNCTION("""COMPUTED_VALUE"""),46175.0)</f>
        <v>46175</v>
      </c>
      <c r="E3884" s="35" t="str">
        <f>IFERROR(__xludf.DUMMYFUNCTION("""COMPUTED_VALUE"""),"06Jun")</f>
        <v>06Jun</v>
      </c>
      <c r="F3884" s="35"/>
      <c r="G3884" s="35" t="str">
        <f>IFERROR(__xludf.DUMMYFUNCTION("""COMPUTED_VALUE"""),"RIRIN PURNAMA DEWI")</f>
        <v>RIRIN PURNAMA DEWI</v>
      </c>
      <c r="H3884" s="35" t="str">
        <f>IFERROR(__xludf.DUMMYFUNCTION("""COMPUTED_VALUE"""),"R9526069710")</f>
        <v>R9526069710</v>
      </c>
      <c r="I3884" s="35">
        <f>IFERROR(__xludf.DUMMYFUNCTION("""COMPUTED_VALUE"""),30.0)</f>
        <v>30</v>
      </c>
      <c r="J3884" s="35" t="str">
        <f>IFERROR(__xludf.DUMMYFUNCTION("""COMPUTED_VALUE"""),"25-34 tahun")</f>
        <v>25-34 tahun</v>
      </c>
      <c r="K3884" s="35" t="str">
        <f>IFERROR(__xludf.DUMMYFUNCTION("""COMPUTED_VALUE"""),"12/07/1995")</f>
        <v>12/07/1995</v>
      </c>
      <c r="L3884" s="35" t="str">
        <f>IFERROR(__xludf.DUMMYFUNCTION("""COMPUTED_VALUE"""),"PEREMPUAN")</f>
        <v>PEREMPUAN</v>
      </c>
      <c r="M3884" s="35" t="str">
        <f>IFERROR(__xludf.DUMMYFUNCTION("""COMPUTED_VALUE"""),"JL. KARANGAN NO. 32 KOMP. UNTAN ")</f>
        <v>JL. KARANGAN NO. 32 KOMP. UNTAN </v>
      </c>
      <c r="N3884" s="35" t="str">
        <f>IFERROR(__xludf.DUMMYFUNCTION("""COMPUTED_VALUE"""),"BANSIR LAUT")</f>
        <v>BANSIR LAUT</v>
      </c>
      <c r="O3884" s="35" t="str">
        <f>IFERROR(__xludf.DUMMYFUNCTION("""COMPUTED_VALUE"""),"PONTIANAK TENGGARA")</f>
        <v>PONTIANAK TENGGARA</v>
      </c>
      <c r="P3884" s="35" t="str">
        <f>IFERROR(__xludf.DUMMYFUNCTION("""COMPUTED_VALUE"""),"KOTA PONTIANAK")</f>
        <v>KOTA PONTIANAK</v>
      </c>
      <c r="Q3884" s="35" t="str">
        <f>IFERROR(__xludf.DUMMYFUNCTION("""COMPUTED_VALUE"""),"KALIMANTAN BARAT")</f>
        <v>KALIMANTAN BARAT</v>
      </c>
      <c r="R3884" s="35" t="str">
        <f>IFERROR(__xludf.DUMMYFUNCTION("""COMPUTED_VALUE"""),"ISLAM")</f>
        <v>ISLAM</v>
      </c>
      <c r="S3884" s="74" t="str">
        <f>IFERROR(__xludf.DUMMYFUNCTION("""COMPUTED_VALUE"""),"IRT ")</f>
        <v>IRT </v>
      </c>
      <c r="T3884" s="35" t="str">
        <f>IFERROR(__xludf.DUMMYFUNCTION("""COMPUTED_VALUE"""),"SAKIT BAHU DAN BELIKAT KANAN")</f>
        <v>SAKIT BAHU DAN BELIKAT KANAN</v>
      </c>
      <c r="U3884" s="35" t="str">
        <f>IFERROR(__xludf.DUMMYFUNCTION("""COMPUTED_VALUE"""),"GYM")</f>
        <v>GYM</v>
      </c>
      <c r="V3884" s="35" t="str">
        <f>IFERROR(__xludf.DUMMYFUNCTION("""COMPUTED_VALUE"""),"082155249710")</f>
        <v>082155249710</v>
      </c>
      <c r="W3884" s="45"/>
    </row>
    <row r="3885">
      <c r="A3885" s="45"/>
      <c r="B3885" s="35" t="str">
        <f>IFERROR(__xludf.DUMMYFUNCTION("""COMPUTED_VALUE"""),"02/06/2026 10:08:59")</f>
        <v>02/06/2026 10:08:59</v>
      </c>
      <c r="C3885" s="35"/>
      <c r="D3885" s="10">
        <f>IFERROR(__xludf.DUMMYFUNCTION("""COMPUTED_VALUE"""),46175.0)</f>
        <v>46175</v>
      </c>
      <c r="E3885" s="35" t="str">
        <f>IFERROR(__xludf.DUMMYFUNCTION("""COMPUTED_VALUE"""),"06Jun")</f>
        <v>06Jun</v>
      </c>
      <c r="F3885" s="35"/>
      <c r="G3885" s="35" t="str">
        <f>IFERROR(__xludf.DUMMYFUNCTION("""COMPUTED_VALUE"""),"SAMIMA")</f>
        <v>SAMIMA</v>
      </c>
      <c r="H3885" s="35" t="str">
        <f>IFERROR(__xludf.DUMMYFUNCTION("""COMPUTED_VALUE"""),"S9826060651")</f>
        <v>S9826060651</v>
      </c>
      <c r="I3885" s="35">
        <f>IFERROR(__xludf.DUMMYFUNCTION("""COMPUTED_VALUE"""),27.0)</f>
        <v>27</v>
      </c>
      <c r="J3885" s="35" t="str">
        <f>IFERROR(__xludf.DUMMYFUNCTION("""COMPUTED_VALUE"""),"25-34 tahun")</f>
        <v>25-34 tahun</v>
      </c>
      <c r="K3885" s="76">
        <f>IFERROR(__xludf.DUMMYFUNCTION("""COMPUTED_VALUE"""),36139.0)</f>
        <v>36139</v>
      </c>
      <c r="L3885" s="35" t="str">
        <f>IFERROR(__xludf.DUMMYFUNCTION("""COMPUTED_VALUE"""),"LAKI-LAKI")</f>
        <v>LAKI-LAKI</v>
      </c>
      <c r="M3885" s="35" t="str">
        <f>IFERROR(__xludf.DUMMYFUNCTION("""COMPUTED_VALUE"""),"JALAN KARYATA")</f>
        <v>JALAN KARYATA</v>
      </c>
      <c r="N3885" s="35" t="str">
        <f>IFERROR(__xludf.DUMMYFUNCTION("""COMPUTED_VALUE"""),"SUNGAI DERAS")</f>
        <v>SUNGAI DERAS</v>
      </c>
      <c r="O3885" s="35" t="str">
        <f>IFERROR(__xludf.DUMMYFUNCTION("""COMPUTED_VALUE"""),"TELOK PAKEDAI")</f>
        <v>TELOK PAKEDAI</v>
      </c>
      <c r="P3885" s="35" t="str">
        <f>IFERROR(__xludf.DUMMYFUNCTION("""COMPUTED_VALUE"""),"KUBU RAYA")</f>
        <v>KUBU RAYA</v>
      </c>
      <c r="Q3885" s="35" t="str">
        <f>IFERROR(__xludf.DUMMYFUNCTION("""COMPUTED_VALUE"""),"KALIMANTAN BARAT")</f>
        <v>KALIMANTAN BARAT</v>
      </c>
      <c r="R3885" s="35" t="str">
        <f>IFERROR(__xludf.DUMMYFUNCTION("""COMPUTED_VALUE"""),"ISLAM")</f>
        <v>ISLAM</v>
      </c>
      <c r="S3885" s="74" t="str">
        <f>IFERROR(__xludf.DUMMYFUNCTION("""COMPUTED_VALUE"""),"DREPER")</f>
        <v>DREPER</v>
      </c>
      <c r="T3885" s="35" t="str">
        <f>IFERROR(__xludf.DUMMYFUNCTION("""COMPUTED_VALUE"""),"CITDRA LUTUT")</f>
        <v>CITDRA LUTUT</v>
      </c>
      <c r="U3885" s="35" t="str">
        <f>IFERROR(__xludf.DUMMYFUNCTION("""COMPUTED_VALUE"""),"BOLA")</f>
        <v>BOLA</v>
      </c>
      <c r="V3885" s="35" t="str">
        <f>IFERROR(__xludf.DUMMYFUNCTION("""COMPUTED_VALUE"""),"085828350651")</f>
        <v>085828350651</v>
      </c>
      <c r="W3885" s="45"/>
    </row>
    <row r="3886">
      <c r="A3886" s="45"/>
      <c r="B3886" s="35" t="str">
        <f>IFERROR(__xludf.DUMMYFUNCTION("""COMPUTED_VALUE"""),"02/06/2026 10:25:52")</f>
        <v>02/06/2026 10:25:52</v>
      </c>
      <c r="C3886" s="35"/>
      <c r="D3886" s="10">
        <f>IFERROR(__xludf.DUMMYFUNCTION("""COMPUTED_VALUE"""),46175.0)</f>
        <v>46175</v>
      </c>
      <c r="E3886" s="35" t="str">
        <f>IFERROR(__xludf.DUMMYFUNCTION("""COMPUTED_VALUE"""),"06Jun")</f>
        <v>06Jun</v>
      </c>
      <c r="F3886" s="35"/>
      <c r="G3886" s="35" t="str">
        <f>IFERROR(__xludf.DUMMYFUNCTION("""COMPUTED_VALUE"""),"SYF NURAINI")</f>
        <v>SYF NURAINI</v>
      </c>
      <c r="H3886" s="35" t="str">
        <f>IFERROR(__xludf.DUMMYFUNCTION("""COMPUTED_VALUE"""),"S6626068878")</f>
        <v>S6626068878</v>
      </c>
      <c r="I3886" s="35">
        <f>IFERROR(__xludf.DUMMYFUNCTION("""COMPUTED_VALUE"""),60.0)</f>
        <v>60</v>
      </c>
      <c r="J3886" s="35" t="str">
        <f>IFERROR(__xludf.DUMMYFUNCTION("""COMPUTED_VALUE"""),"&gt; 44 tahun")</f>
        <v>&gt; 44 tahun</v>
      </c>
      <c r="K3886" s="35" t="str">
        <f>IFERROR(__xludf.DUMMYFUNCTION("""COMPUTED_VALUE"""),"23/04/1966")</f>
        <v>23/04/1966</v>
      </c>
      <c r="L3886" s="35" t="str">
        <f>IFERROR(__xludf.DUMMYFUNCTION("""COMPUTED_VALUE"""),"PEREMPUAN")</f>
        <v>PEREMPUAN</v>
      </c>
      <c r="M3886" s="35" t="str">
        <f>IFERROR(__xludf.DUMMYFUNCTION("""COMPUTED_VALUE"""),"JL SULAWESI GG KARYA BAKTI 3 NO 1 C")</f>
        <v>JL SULAWESI GG KARYA BAKTI 3 NO 1 C</v>
      </c>
      <c r="N3886" s="35" t="str">
        <f>IFERROR(__xludf.DUMMYFUNCTION("""COMPUTED_VALUE"""),"AKCAYA")</f>
        <v>AKCAYA</v>
      </c>
      <c r="O3886" s="35" t="str">
        <f>IFERROR(__xludf.DUMMYFUNCTION("""COMPUTED_VALUE"""),"PONTIANAK SELATAN")</f>
        <v>PONTIANAK SELATAN</v>
      </c>
      <c r="P3886" s="35" t="str">
        <f>IFERROR(__xludf.DUMMYFUNCTION("""COMPUTED_VALUE"""),"PONTIANAK")</f>
        <v>PONTIANAK</v>
      </c>
      <c r="Q3886" s="35" t="str">
        <f>IFERROR(__xludf.DUMMYFUNCTION("""COMPUTED_VALUE"""),"KALIMANTAN BARAT")</f>
        <v>KALIMANTAN BARAT</v>
      </c>
      <c r="R3886" s="35" t="str">
        <f>IFERROR(__xludf.DUMMYFUNCTION("""COMPUTED_VALUE"""),"ISLAM")</f>
        <v>ISLAM</v>
      </c>
      <c r="S3886" s="74" t="str">
        <f>IFERROR(__xludf.DUMMYFUNCTION("""COMPUTED_VALUE"""),"IBU RUMAH TANGGA")</f>
        <v>IBU RUMAH TANGGA</v>
      </c>
      <c r="T3886" s="35" t="str">
        <f>IFERROR(__xludf.DUMMYFUNCTION("""COMPUTED_VALUE"""),"BERDIRI LAMA SELURUH BADAN BERGETAR")</f>
        <v>BERDIRI LAMA SELURUH BADAN BERGETAR</v>
      </c>
      <c r="U3886" s="35" t="str">
        <f>IFERROR(__xludf.DUMMYFUNCTION("""COMPUTED_VALUE"""),"DIRUMAH SAJA")</f>
        <v>DIRUMAH SAJA</v>
      </c>
      <c r="V3886" s="35" t="str">
        <f>IFERROR(__xludf.DUMMYFUNCTION("""COMPUTED_VALUE"""),"0811578878")</f>
        <v>0811578878</v>
      </c>
      <c r="W3886" s="45"/>
    </row>
    <row r="3887">
      <c r="A3887" s="45"/>
      <c r="B3887" s="35" t="str">
        <f>IFERROR(__xludf.DUMMYFUNCTION("""COMPUTED_VALUE"""),"02/06/2026 10:54:52")</f>
        <v>02/06/2026 10:54:52</v>
      </c>
      <c r="C3887" s="35"/>
      <c r="D3887" s="10">
        <f>IFERROR(__xludf.DUMMYFUNCTION("""COMPUTED_VALUE"""),46175.0)</f>
        <v>46175</v>
      </c>
      <c r="E3887" s="35" t="str">
        <f>IFERROR(__xludf.DUMMYFUNCTION("""COMPUTED_VALUE"""),"06Jun")</f>
        <v>06Jun</v>
      </c>
      <c r="F3887" s="35"/>
      <c r="G3887" s="35" t="str">
        <f>IFERROR(__xludf.DUMMYFUNCTION("""COMPUTED_VALUE"""),"MUHAMMAD LUTHFIR RAHMAN")</f>
        <v>MUHAMMAD LUTHFIR RAHMAN</v>
      </c>
      <c r="H3887" s="35" t="str">
        <f>IFERROR(__xludf.DUMMYFUNCTION("""COMPUTED_VALUE"""),"M1326066368")</f>
        <v>M1326066368</v>
      </c>
      <c r="I3887" s="35">
        <f>IFERROR(__xludf.DUMMYFUNCTION("""COMPUTED_VALUE"""),13.0)</f>
        <v>13</v>
      </c>
      <c r="J3887" s="35" t="str">
        <f>IFERROR(__xludf.DUMMYFUNCTION("""COMPUTED_VALUE"""),"&lt; 18 tahun")</f>
        <v>&lt; 18 tahun</v>
      </c>
      <c r="K3887" s="35" t="str">
        <f>IFERROR(__xludf.DUMMYFUNCTION("""COMPUTED_VALUE"""),"01/01/2013")</f>
        <v>01/01/2013</v>
      </c>
      <c r="L3887" s="35" t="str">
        <f>IFERROR(__xludf.DUMMYFUNCTION("""COMPUTED_VALUE"""),"LAKI-LAKI")</f>
        <v>LAKI-LAKI</v>
      </c>
      <c r="M3887" s="35" t="str">
        <f>IFERROR(__xludf.DUMMYFUNCTION("""COMPUTED_VALUE"""),"JALAN PARIT TENGKORAK ASRAMA RIMBA RAMIN D03")</f>
        <v>JALAN PARIT TENGKORAK ASRAMA RIMBA RAMIN D03</v>
      </c>
      <c r="N3887" s="35" t="str">
        <f>IFERROR(__xludf.DUMMYFUNCTION("""COMPUTED_VALUE"""),"PARIT BARU")</f>
        <v>PARIT BARU</v>
      </c>
      <c r="O3887" s="35" t="str">
        <f>IFERROR(__xludf.DUMMYFUNCTION("""COMPUTED_VALUE"""),"SUNGAI RAYA")</f>
        <v>SUNGAI RAYA</v>
      </c>
      <c r="P3887" s="35" t="str">
        <f>IFERROR(__xludf.DUMMYFUNCTION("""COMPUTED_VALUE"""),"KUBU RAYA")</f>
        <v>KUBU RAYA</v>
      </c>
      <c r="Q3887" s="35" t="str">
        <f>IFERROR(__xludf.DUMMYFUNCTION("""COMPUTED_VALUE"""),"KALIMANTAN BARAT")</f>
        <v>KALIMANTAN BARAT</v>
      </c>
      <c r="R3887" s="35" t="str">
        <f>IFERROR(__xludf.DUMMYFUNCTION("""COMPUTED_VALUE"""),"ISLAM")</f>
        <v>ISLAM</v>
      </c>
      <c r="S3887" s="74" t="str">
        <f>IFERROR(__xludf.DUMMYFUNCTION("""COMPUTED_VALUE"""),"PELAJAR")</f>
        <v>PELAJAR</v>
      </c>
      <c r="T3887" s="35" t="str">
        <f>IFERROR(__xludf.DUMMYFUNCTION("""COMPUTED_VALUE"""),"SAKIT DI LUTUT DEPAN KANAN")</f>
        <v>SAKIT DI LUTUT DEPAN KANAN</v>
      </c>
      <c r="U3887" s="35" t="str">
        <f>IFERROR(__xludf.DUMMYFUNCTION("""COMPUTED_VALUE"""),"BADMINTON")</f>
        <v>BADMINTON</v>
      </c>
      <c r="V3887" s="35" t="str">
        <f>IFERROR(__xludf.DUMMYFUNCTION("""COMPUTED_VALUE"""),"089663756368")</f>
        <v>089663756368</v>
      </c>
      <c r="W3887" s="45"/>
    </row>
    <row r="3888">
      <c r="A3888" s="45"/>
      <c r="B3888" s="35" t="str">
        <f>IFERROR(__xludf.DUMMYFUNCTION("""COMPUTED_VALUE"""),"02/06/2026 11:25:24")</f>
        <v>02/06/2026 11:25:24</v>
      </c>
      <c r="C3888" s="35"/>
      <c r="D3888" s="10">
        <f>IFERROR(__xludf.DUMMYFUNCTION("""COMPUTED_VALUE"""),46175.0)</f>
        <v>46175</v>
      </c>
      <c r="E3888" s="35" t="str">
        <f>IFERROR(__xludf.DUMMYFUNCTION("""COMPUTED_VALUE"""),"06Jun")</f>
        <v>06Jun</v>
      </c>
      <c r="F3888" s="35"/>
      <c r="G3888" s="35" t="str">
        <f>IFERROR(__xludf.DUMMYFUNCTION("""COMPUTED_VALUE"""),"R. ADANG ERI RISWANA")</f>
        <v>R. ADANG ERI RISWANA</v>
      </c>
      <c r="H3888" s="35" t="str">
        <f>IFERROR(__xludf.DUMMYFUNCTION("""COMPUTED_VALUE"""),"R8026065125")</f>
        <v>R8026065125</v>
      </c>
      <c r="I3888" s="35">
        <f>IFERROR(__xludf.DUMMYFUNCTION("""COMPUTED_VALUE"""),45.0)</f>
        <v>45</v>
      </c>
      <c r="J3888" s="35" t="str">
        <f>IFERROR(__xludf.DUMMYFUNCTION("""COMPUTED_VALUE"""),"&gt; 44 tahun")</f>
        <v>&gt; 44 tahun</v>
      </c>
      <c r="K3888" s="35" t="str">
        <f>IFERROR(__xludf.DUMMYFUNCTION("""COMPUTED_VALUE"""),"29/09/1980")</f>
        <v>29/09/1980</v>
      </c>
      <c r="L3888" s="35" t="str">
        <f>IFERROR(__xludf.DUMMYFUNCTION("""COMPUTED_VALUE"""),"LAKI-LAKI")</f>
        <v>LAKI-LAKI</v>
      </c>
      <c r="M3888" s="35" t="str">
        <f>IFERROR(__xludf.DUMMYFUNCTION("""COMPUTED_VALUE"""),"JL.DR. SUTOMO, GG SARIKATON DALAM 3 NO.40.A")</f>
        <v>JL.DR. SUTOMO, GG SARIKATON DALAM 3 NO.40.A</v>
      </c>
      <c r="N3888" s="35" t="str">
        <f>IFERROR(__xludf.DUMMYFUNCTION("""COMPUTED_VALUE"""),"SUNGAI BANGKONG")</f>
        <v>SUNGAI BANGKONG</v>
      </c>
      <c r="O3888" s="35" t="str">
        <f>IFERROR(__xludf.DUMMYFUNCTION("""COMPUTED_VALUE"""),"PONTIANAK KOTA")</f>
        <v>PONTIANAK KOTA</v>
      </c>
      <c r="P3888" s="35" t="str">
        <f>IFERROR(__xludf.DUMMYFUNCTION("""COMPUTED_VALUE"""),"PONTIANAK")</f>
        <v>PONTIANAK</v>
      </c>
      <c r="Q3888" s="35" t="str">
        <f>IFERROR(__xludf.DUMMYFUNCTION("""COMPUTED_VALUE"""),"KALIMANTAN BARAT")</f>
        <v>KALIMANTAN BARAT</v>
      </c>
      <c r="R3888" s="35" t="str">
        <f>IFERROR(__xludf.DUMMYFUNCTION("""COMPUTED_VALUE"""),"ISLAM")</f>
        <v>ISLAM</v>
      </c>
      <c r="S3888" s="74" t="str">
        <f>IFERROR(__xludf.DUMMYFUNCTION("""COMPUTED_VALUE"""),"SWASTA")</f>
        <v>SWASTA</v>
      </c>
      <c r="T3888" s="35" t="str">
        <f>IFERROR(__xludf.DUMMYFUNCTION("""COMPUTED_VALUE"""),"SAKIT PINGGANG")</f>
        <v>SAKIT PINGGANG</v>
      </c>
      <c r="U3888" s="35" t="str">
        <f>IFERROR(__xludf.DUMMYFUNCTION("""COMPUTED_VALUE"""),"BYK AKTIVITAS D DPN LAPTOP")</f>
        <v>BYK AKTIVITAS D DPN LAPTOP</v>
      </c>
      <c r="V3888" s="35" t="str">
        <f>IFERROR(__xludf.DUMMYFUNCTION("""COMPUTED_VALUE"""),"082148675125")</f>
        <v>082148675125</v>
      </c>
      <c r="W3888" s="45"/>
    </row>
    <row r="3889">
      <c r="A3889" s="45"/>
      <c r="B3889" s="35" t="str">
        <f>IFERROR(__xludf.DUMMYFUNCTION("""COMPUTED_VALUE"""),"02/06/2026 12:29:23")</f>
        <v>02/06/2026 12:29:23</v>
      </c>
      <c r="C3889" s="35"/>
      <c r="D3889" s="10">
        <f>IFERROR(__xludf.DUMMYFUNCTION("""COMPUTED_VALUE"""),46175.0)</f>
        <v>46175</v>
      </c>
      <c r="E3889" s="35" t="str">
        <f>IFERROR(__xludf.DUMMYFUNCTION("""COMPUTED_VALUE"""),"06Jun")</f>
        <v>06Jun</v>
      </c>
      <c r="F3889" s="35"/>
      <c r="G3889" s="35" t="str">
        <f>IFERROR(__xludf.DUMMYFUNCTION("""COMPUTED_VALUE"""),"HERMI HERMAWAN")</f>
        <v>HERMI HERMAWAN</v>
      </c>
      <c r="H3889" s="35" t="str">
        <f>IFERROR(__xludf.DUMMYFUNCTION("""COMPUTED_VALUE"""),"H8126061485")</f>
        <v>H8126061485</v>
      </c>
      <c r="I3889" s="35">
        <f>IFERROR(__xludf.DUMMYFUNCTION("""COMPUTED_VALUE"""),45.0)</f>
        <v>45</v>
      </c>
      <c r="J3889" s="35" t="str">
        <f>IFERROR(__xludf.DUMMYFUNCTION("""COMPUTED_VALUE"""),"&gt; 44 tahun")</f>
        <v>&gt; 44 tahun</v>
      </c>
      <c r="K3889" s="35" t="str">
        <f>IFERROR(__xludf.DUMMYFUNCTION("""COMPUTED_VALUE"""),"28/05/1981")</f>
        <v>28/05/1981</v>
      </c>
      <c r="L3889" s="35" t="str">
        <f>IFERROR(__xludf.DUMMYFUNCTION("""COMPUTED_VALUE"""),"LAKI-LAKI")</f>
        <v>LAKI-LAKI</v>
      </c>
      <c r="M3889" s="35" t="str">
        <f>IFERROR(__xludf.DUMMYFUNCTION("""COMPUTED_VALUE"""),"JL.SURYA GANG SURYA JINGGA NO.20A")</f>
        <v>JL.SURYA GANG SURYA JINGGA NO.20A</v>
      </c>
      <c r="N3889" s="35" t="str">
        <f>IFERROR(__xludf.DUMMYFUNCTION("""COMPUTED_VALUE"""),"AKCAYA")</f>
        <v>AKCAYA</v>
      </c>
      <c r="O3889" s="35" t="str">
        <f>IFERROR(__xludf.DUMMYFUNCTION("""COMPUTED_VALUE"""),"PONTIANAK SELATAN")</f>
        <v>PONTIANAK SELATAN</v>
      </c>
      <c r="P3889" s="35" t="str">
        <f>IFERROR(__xludf.DUMMYFUNCTION("""COMPUTED_VALUE"""),"KOTA PONTIANAK")</f>
        <v>KOTA PONTIANAK</v>
      </c>
      <c r="Q3889" s="35" t="str">
        <f>IFERROR(__xludf.DUMMYFUNCTION("""COMPUTED_VALUE"""),"KALIMANTAN BARAT")</f>
        <v>KALIMANTAN BARAT</v>
      </c>
      <c r="R3889" s="35" t="str">
        <f>IFERROR(__xludf.DUMMYFUNCTION("""COMPUTED_VALUE"""),"ISLAM")</f>
        <v>ISLAM</v>
      </c>
      <c r="S3889" s="74" t="str">
        <f>IFERROR(__xludf.DUMMYFUNCTION("""COMPUTED_VALUE"""),"SWASTA")</f>
        <v>SWASTA</v>
      </c>
      <c r="T3889" s="35" t="str">
        <f>IFERROR(__xludf.DUMMYFUNCTION("""COMPUTED_VALUE"""),"KAKI KIRI LEMAH")</f>
        <v>KAKI KIRI LEMAH</v>
      </c>
      <c r="U3889" s="35" t="str">
        <f>IFERROR(__xludf.DUMMYFUNCTION("""COMPUTED_VALUE"""),"JALAN ")</f>
        <v>JALAN </v>
      </c>
      <c r="V3889" s="35" t="str">
        <f>IFERROR(__xludf.DUMMYFUNCTION("""COMPUTED_VALUE"""),"082137441485")</f>
        <v>082137441485</v>
      </c>
      <c r="W3889" s="45"/>
    </row>
    <row r="3890">
      <c r="A3890" s="45"/>
      <c r="B3890" s="35" t="str">
        <f>IFERROR(__xludf.DUMMYFUNCTION("""COMPUTED_VALUE"""),"02/06/2026 13:20:26")</f>
        <v>02/06/2026 13:20:26</v>
      </c>
      <c r="C3890" s="35"/>
      <c r="D3890" s="10">
        <f>IFERROR(__xludf.DUMMYFUNCTION("""COMPUTED_VALUE"""),46175.0)</f>
        <v>46175</v>
      </c>
      <c r="E3890" s="35" t="str">
        <f>IFERROR(__xludf.DUMMYFUNCTION("""COMPUTED_VALUE"""),"06Jun")</f>
        <v>06Jun</v>
      </c>
      <c r="F3890" s="35"/>
      <c r="G3890" s="35" t="str">
        <f>IFERROR(__xludf.DUMMYFUNCTION("""COMPUTED_VALUE"""),"ENDY MAULIDI")</f>
        <v>ENDY MAULIDI</v>
      </c>
      <c r="H3890" s="35" t="str">
        <f>IFERROR(__xludf.DUMMYFUNCTION("""COMPUTED_VALUE"""),"E9226067470")</f>
        <v>E9226067470</v>
      </c>
      <c r="I3890" s="35">
        <f>IFERROR(__xludf.DUMMYFUNCTION("""COMPUTED_VALUE"""),33.0)</f>
        <v>33</v>
      </c>
      <c r="J3890" s="35" t="str">
        <f>IFERROR(__xludf.DUMMYFUNCTION("""COMPUTED_VALUE"""),"25-34 tahun")</f>
        <v>25-34 tahun</v>
      </c>
      <c r="K3890" s="35" t="str">
        <f>IFERROR(__xludf.DUMMYFUNCTION("""COMPUTED_VALUE"""),"02/12/1992")</f>
        <v>02/12/1992</v>
      </c>
      <c r="L3890" s="35" t="str">
        <f>IFERROR(__xludf.DUMMYFUNCTION("""COMPUTED_VALUE"""),"LAKI-LAKI")</f>
        <v>LAKI-LAKI</v>
      </c>
      <c r="M3890" s="35" t="str">
        <f>IFERROR(__xludf.DUMMYFUNCTION("""COMPUTED_VALUE"""),"DUSUN MERAK, RT 02/RW 08")</f>
        <v>DUSUN MERAK, RT 02/RW 08</v>
      </c>
      <c r="N3890" s="35" t="str">
        <f>IFERROR(__xludf.DUMMYFUNCTION("""COMPUTED_VALUE"""),"SUNGAI KAKAP")</f>
        <v>SUNGAI KAKAP</v>
      </c>
      <c r="O3890" s="35" t="str">
        <f>IFERROR(__xludf.DUMMYFUNCTION("""COMPUTED_VALUE"""),"SUNGAI KAKAP")</f>
        <v>SUNGAI KAKAP</v>
      </c>
      <c r="P3890" s="35" t="str">
        <f>IFERROR(__xludf.DUMMYFUNCTION("""COMPUTED_VALUE"""),"KUBU RAYA")</f>
        <v>KUBU RAYA</v>
      </c>
      <c r="Q3890" s="35" t="str">
        <f>IFERROR(__xludf.DUMMYFUNCTION("""COMPUTED_VALUE"""),"KALIMANTAN BARAT")</f>
        <v>KALIMANTAN BARAT</v>
      </c>
      <c r="R3890" s="35" t="str">
        <f>IFERROR(__xludf.DUMMYFUNCTION("""COMPUTED_VALUE"""),"ISLAM")</f>
        <v>ISLAM</v>
      </c>
      <c r="S3890" s="74" t="str">
        <f>IFERROR(__xludf.DUMMYFUNCTION("""COMPUTED_VALUE"""),"PPPK GURU")</f>
        <v>PPPK GURU</v>
      </c>
      <c r="T3890" s="35" t="str">
        <f>IFERROR(__xludf.DUMMYFUNCTION("""COMPUTED_VALUE"""),"KELUHAN DI NYERI DI PINGGANG HINGGA UJUNG KAKI KIRI, DAN NYERI DI PERGELANGAN TANGAN KIRI")</f>
        <v>KELUHAN DI NYERI DI PINGGANG HINGGA UJUNG KAKI KIRI, DAN NYERI DI PERGELANGAN TANGAN KIRI</v>
      </c>
      <c r="U3890" s="35" t="str">
        <f>IFERROR(__xludf.DUMMYFUNCTION("""COMPUTED_VALUE"""),"SERING JALAN KAKI JARAK JAUH, PUSH UP DAN ANGKAT BARBEL 5KG DI RUMAH")</f>
        <v>SERING JALAN KAKI JARAK JAUH, PUSH UP DAN ANGKAT BARBEL 5KG DI RUMAH</v>
      </c>
      <c r="V3890" s="35" t="str">
        <f>IFERROR(__xludf.DUMMYFUNCTION("""COMPUTED_VALUE"""),"085252097470")</f>
        <v>085252097470</v>
      </c>
      <c r="W3890" s="45"/>
    </row>
    <row r="3891">
      <c r="A3891" s="45"/>
      <c r="B3891" s="35" t="str">
        <f>IFERROR(__xludf.DUMMYFUNCTION("""COMPUTED_VALUE"""),"02/06/2026 17:16:59")</f>
        <v>02/06/2026 17:16:59</v>
      </c>
      <c r="C3891" s="35"/>
      <c r="D3891" s="10">
        <f>IFERROR(__xludf.DUMMYFUNCTION("""COMPUTED_VALUE"""),46175.0)</f>
        <v>46175</v>
      </c>
      <c r="E3891" s="35" t="str">
        <f>IFERROR(__xludf.DUMMYFUNCTION("""COMPUTED_VALUE"""),"06Jun")</f>
        <v>06Jun</v>
      </c>
      <c r="F3891" s="35"/>
      <c r="G3891" s="35" t="str">
        <f>IFERROR(__xludf.DUMMYFUNCTION("""COMPUTED_VALUE"""),"HAIKAL DEVEN")</f>
        <v>HAIKAL DEVEN</v>
      </c>
      <c r="H3891" s="35" t="str">
        <f>IFERROR(__xludf.DUMMYFUNCTION("""COMPUTED_VALUE"""),"H1026068810")</f>
        <v>H1026068810</v>
      </c>
      <c r="I3891" s="35">
        <f>IFERROR(__xludf.DUMMYFUNCTION("""COMPUTED_VALUE"""),16.0)</f>
        <v>16</v>
      </c>
      <c r="J3891" s="35" t="str">
        <f>IFERROR(__xludf.DUMMYFUNCTION("""COMPUTED_VALUE"""),"&lt; 18 tahun")</f>
        <v>&lt; 18 tahun</v>
      </c>
      <c r="K3891" s="35" t="str">
        <f>IFERROR(__xludf.DUMMYFUNCTION("""COMPUTED_VALUE"""),"10/06/2010")</f>
        <v>10/06/2010</v>
      </c>
      <c r="L3891" s="35" t="str">
        <f>IFERROR(__xludf.DUMMYFUNCTION("""COMPUTED_VALUE"""),"LAKI-LAKI")</f>
        <v>LAKI-LAKI</v>
      </c>
      <c r="M3891" s="35" t="str">
        <f>IFERROR(__xludf.DUMMYFUNCTION("""COMPUTED_VALUE"""),"KOMP. CENDANA RAYA NO A.22")</f>
        <v>KOMP. CENDANA RAYA NO A.22</v>
      </c>
      <c r="N3891" s="35" t="str">
        <f>IFERROR(__xludf.DUMMYFUNCTION("""COMPUTED_VALUE"""),"SUNGAI RAYA")</f>
        <v>SUNGAI RAYA</v>
      </c>
      <c r="O3891" s="35" t="str">
        <f>IFERROR(__xludf.DUMMYFUNCTION("""COMPUTED_VALUE"""),"SUNGAI RAYA")</f>
        <v>SUNGAI RAYA</v>
      </c>
      <c r="P3891" s="35" t="str">
        <f>IFERROR(__xludf.DUMMYFUNCTION("""COMPUTED_VALUE"""),"PONTIANAK")</f>
        <v>PONTIANAK</v>
      </c>
      <c r="Q3891" s="35" t="str">
        <f>IFERROR(__xludf.DUMMYFUNCTION("""COMPUTED_VALUE"""),"KALIMANTAN BARAT")</f>
        <v>KALIMANTAN BARAT</v>
      </c>
      <c r="R3891" s="35" t="str">
        <f>IFERROR(__xludf.DUMMYFUNCTION("""COMPUTED_VALUE"""),"ISLAM")</f>
        <v>ISLAM</v>
      </c>
      <c r="S3891" s="74" t="str">
        <f>IFERROR(__xludf.DUMMYFUNCTION("""COMPUTED_VALUE"""),"PELAJAR")</f>
        <v>PELAJAR</v>
      </c>
      <c r="T3891" s="35" t="str">
        <f>IFERROR(__xludf.DUMMYFUNCTION("""COMPUTED_VALUE"""),"KELUHAN PADA KAKI KIRI, CEDERA LUTUT, GEJALA AWALNYA PEMBENGKAKAN DAN NYERI, SETELAH BEBERAPA HARI PEMBENGKAKAN BERKURANG DAN NYERI MASI TERASA KETIKA SELESAI MELAKUKAN KEGIATAN ATAU AKTIVITAS YG MENGGUNAKAN KAKI")</f>
        <v>KELUHAN PADA KAKI KIRI, CEDERA LUTUT, GEJALA AWALNYA PEMBENGKAKAN DAN NYERI, SETELAH BEBERAPA HARI PEMBENGKAKAN BERKURANG DAN NYERI MASI TERASA KETIKA SELESAI MELAKUKAN KEGIATAN ATAU AKTIVITAS YG MENGGUNAKAN KAKI</v>
      </c>
      <c r="U3891" s="35" t="str">
        <f>IFERROR(__xludf.DUMMYFUNCTION("""COMPUTED_VALUE"""),"BERMAIN BASKET")</f>
        <v>BERMAIN BASKET</v>
      </c>
      <c r="V3891" s="35" t="str">
        <f>IFERROR(__xludf.DUMMYFUNCTION("""COMPUTED_VALUE"""),"082256878810")</f>
        <v>082256878810</v>
      </c>
      <c r="W3891" s="45"/>
    </row>
    <row r="3892">
      <c r="A3892" s="45"/>
      <c r="B3892" s="35" t="str">
        <f>IFERROR(__xludf.DUMMYFUNCTION("""COMPUTED_VALUE"""),"03/06/2026 15:53:23")</f>
        <v>03/06/2026 15:53:23</v>
      </c>
      <c r="C3892" s="35"/>
      <c r="D3892" s="10">
        <f>IFERROR(__xludf.DUMMYFUNCTION("""COMPUTED_VALUE"""),46176.0)</f>
        <v>46176</v>
      </c>
      <c r="E3892" s="35" t="str">
        <f>IFERROR(__xludf.DUMMYFUNCTION("""COMPUTED_VALUE"""),"06Jun")</f>
        <v>06Jun</v>
      </c>
      <c r="F3892" s="35"/>
      <c r="G3892" s="35" t="str">
        <f>IFERROR(__xludf.DUMMYFUNCTION("""COMPUTED_VALUE"""),"TUTI MULYATI")</f>
        <v>TUTI MULYATI</v>
      </c>
      <c r="H3892" s="35" t="str">
        <f>IFERROR(__xludf.DUMMYFUNCTION("""COMPUTED_VALUE"""),"T6326061565")</f>
        <v>T6326061565</v>
      </c>
      <c r="I3892" s="35">
        <f>IFERROR(__xludf.DUMMYFUNCTION("""COMPUTED_VALUE"""),63.0)</f>
        <v>63</v>
      </c>
      <c r="J3892" s="35" t="str">
        <f>IFERROR(__xludf.DUMMYFUNCTION("""COMPUTED_VALUE"""),"&gt; 44 tahun")</f>
        <v>&gt; 44 tahun</v>
      </c>
      <c r="K3892" s="35" t="str">
        <f>IFERROR(__xludf.DUMMYFUNCTION("""COMPUTED_VALUE"""),"31/01/1963")</f>
        <v>31/01/1963</v>
      </c>
      <c r="L3892" s="35" t="str">
        <f>IFERROR(__xludf.DUMMYFUNCTION("""COMPUTED_VALUE"""),"PEREMPUAN")</f>
        <v>PEREMPUAN</v>
      </c>
      <c r="M3892" s="35" t="str">
        <f>IFERROR(__xludf.DUMMYFUNCTION("""COMPUTED_VALUE"""),"GG. PURWOSARI II NO.34 A")</f>
        <v>GG. PURWOSARI II NO.34 A</v>
      </c>
      <c r="N3892" s="35" t="str">
        <f>IFERROR(__xludf.DUMMYFUNCTION("""COMPUTED_VALUE"""),"AKCAYA")</f>
        <v>AKCAYA</v>
      </c>
      <c r="O3892" s="35" t="str">
        <f>IFERROR(__xludf.DUMMYFUNCTION("""COMPUTED_VALUE"""),"PONTIANAK SELATAN")</f>
        <v>PONTIANAK SELATAN</v>
      </c>
      <c r="P3892" s="35" t="str">
        <f>IFERROR(__xludf.DUMMYFUNCTION("""COMPUTED_VALUE"""),"PONTIANAK")</f>
        <v>PONTIANAK</v>
      </c>
      <c r="Q3892" s="35" t="str">
        <f>IFERROR(__xludf.DUMMYFUNCTION("""COMPUTED_VALUE"""),"KALIMANTAN BARAT")</f>
        <v>KALIMANTAN BARAT</v>
      </c>
      <c r="R3892" s="35" t="str">
        <f>IFERROR(__xludf.DUMMYFUNCTION("""COMPUTED_VALUE"""),"ISLAM")</f>
        <v>ISLAM</v>
      </c>
      <c r="S3892" s="74" t="str">
        <f>IFERROR(__xludf.DUMMYFUNCTION("""COMPUTED_VALUE"""),"IRT")</f>
        <v>IRT</v>
      </c>
      <c r="T3892" s="35" t="str">
        <f>IFERROR(__xludf.DUMMYFUNCTION("""COMPUTED_VALUE"""),"KAKI TERASA NYERI")</f>
        <v>KAKI TERASA NYERI</v>
      </c>
      <c r="U3892" s="35" t="str">
        <f>IFERROR(__xludf.DUMMYFUNCTION("""COMPUTED_VALUE"""),"-")</f>
        <v>-</v>
      </c>
      <c r="V3892" s="35" t="str">
        <f>IFERROR(__xludf.DUMMYFUNCTION("""COMPUTED_VALUE"""),"085246061565")</f>
        <v>085246061565</v>
      </c>
      <c r="W3892" s="45"/>
    </row>
    <row r="3893">
      <c r="A3893" s="45"/>
      <c r="B3893" s="35" t="str">
        <f>IFERROR(__xludf.DUMMYFUNCTION("""COMPUTED_VALUE"""),"03/06/2026 13:13:20")</f>
        <v>03/06/2026 13:13:20</v>
      </c>
      <c r="C3893" s="35"/>
      <c r="D3893" s="10">
        <f>IFERROR(__xludf.DUMMYFUNCTION("""COMPUTED_VALUE"""),46176.0)</f>
        <v>46176</v>
      </c>
      <c r="E3893" s="35" t="str">
        <f>IFERROR(__xludf.DUMMYFUNCTION("""COMPUTED_VALUE"""),"06Jun")</f>
        <v>06Jun</v>
      </c>
      <c r="F3893" s="35"/>
      <c r="G3893" s="35" t="str">
        <f>IFERROR(__xludf.DUMMYFUNCTION("""COMPUTED_VALUE"""),"RHAFA AL QAHFY")</f>
        <v>RHAFA AL QAHFY</v>
      </c>
      <c r="H3893" s="35" t="str">
        <f>IFERROR(__xludf.DUMMYFUNCTION("""COMPUTED_VALUE"""),"R0726065339")</f>
        <v>R0726065339</v>
      </c>
      <c r="I3893" s="35">
        <f>IFERROR(__xludf.DUMMYFUNCTION("""COMPUTED_VALUE"""),18.0)</f>
        <v>18</v>
      </c>
      <c r="J3893" s="35" t="str">
        <f>IFERROR(__xludf.DUMMYFUNCTION("""COMPUTED_VALUE"""),"&lt; 18 tahun")</f>
        <v>&lt; 18 tahun</v>
      </c>
      <c r="K3893" s="35" t="str">
        <f>IFERROR(__xludf.DUMMYFUNCTION("""COMPUTED_VALUE"""),"20/09/2007")</f>
        <v>20/09/2007</v>
      </c>
      <c r="L3893" s="35" t="str">
        <f>IFERROR(__xludf.DUMMYFUNCTION("""COMPUTED_VALUE"""),"LAKI-LAKI")</f>
        <v>LAKI-LAKI</v>
      </c>
      <c r="M3893" s="35" t="str">
        <f>IFERROR(__xludf.DUMMYFUNCTION("""COMPUTED_VALUE"""),"JALAN AHMAD YANI NO 13 SINTANG")</f>
        <v>JALAN AHMAD YANI NO 13 SINTANG</v>
      </c>
      <c r="N3893" s="35" t="str">
        <f>IFERROR(__xludf.DUMMYFUNCTION("""COMPUTED_VALUE"""),"TANJUNG PURI")</f>
        <v>TANJUNG PURI</v>
      </c>
      <c r="O3893" s="35" t="str">
        <f>IFERROR(__xludf.DUMMYFUNCTION("""COMPUTED_VALUE"""),"SINTANG")</f>
        <v>SINTANG</v>
      </c>
      <c r="P3893" s="35" t="str">
        <f>IFERROR(__xludf.DUMMYFUNCTION("""COMPUTED_VALUE"""),"SINTANG")</f>
        <v>SINTANG</v>
      </c>
      <c r="Q3893" s="35" t="str">
        <f>IFERROR(__xludf.DUMMYFUNCTION("""COMPUTED_VALUE"""),"KALIMANTAN BARAT")</f>
        <v>KALIMANTAN BARAT</v>
      </c>
      <c r="R3893" s="35" t="str">
        <f>IFERROR(__xludf.DUMMYFUNCTION("""COMPUTED_VALUE"""),"ISLAM")</f>
        <v>ISLAM</v>
      </c>
      <c r="S3893" s="74" t="str">
        <f>IFERROR(__xludf.DUMMYFUNCTION("""COMPUTED_VALUE"""),"MAHASISWA")</f>
        <v>MAHASISWA</v>
      </c>
      <c r="T3893" s="35" t="str">
        <f>IFERROR(__xludf.DUMMYFUNCTION("""COMPUTED_VALUE"""),"CIDERA LUTUT")</f>
        <v>CIDERA LUTUT</v>
      </c>
      <c r="U3893" s="35" t="str">
        <f>IFERROR(__xludf.DUMMYFUNCTION("""COMPUTED_VALUE"""),"SEPAK BOLA, MINSOC DAN FUTSAL")</f>
        <v>SEPAK BOLA, MINSOC DAN FUTSAL</v>
      </c>
      <c r="V3893" s="35" t="str">
        <f>IFERROR(__xludf.DUMMYFUNCTION("""COMPUTED_VALUE"""),"081520965339")</f>
        <v>081520965339</v>
      </c>
      <c r="W3893" s="45"/>
    </row>
    <row r="3894">
      <c r="A3894" s="45"/>
      <c r="B3894" s="35" t="str">
        <f>IFERROR(__xludf.DUMMYFUNCTION("""COMPUTED_VALUE"""),"04/06/2026 11:47:20")</f>
        <v>04/06/2026 11:47:20</v>
      </c>
      <c r="C3894" s="35"/>
      <c r="D3894" s="10">
        <f>IFERROR(__xludf.DUMMYFUNCTION("""COMPUTED_VALUE"""),46177.0)</f>
        <v>46177</v>
      </c>
      <c r="E3894" s="35" t="str">
        <f>IFERROR(__xludf.DUMMYFUNCTION("""COMPUTED_VALUE"""),"06Jun")</f>
        <v>06Jun</v>
      </c>
      <c r="F3894" s="35"/>
      <c r="G3894" s="35" t="str">
        <f>IFERROR(__xludf.DUMMYFUNCTION("""COMPUTED_VALUE"""),"YULIA RAMADHIYANTI")</f>
        <v>YULIA RAMADHIYANTI</v>
      </c>
      <c r="H3894" s="35" t="str">
        <f>IFERROR(__xludf.DUMMYFUNCTION("""COMPUTED_VALUE"""),"Y8226066566")</f>
        <v>Y8226066566</v>
      </c>
      <c r="I3894" s="35">
        <f>IFERROR(__xludf.DUMMYFUNCTION("""COMPUTED_VALUE"""),43.0)</f>
        <v>43</v>
      </c>
      <c r="J3894" s="35" t="str">
        <f>IFERROR(__xludf.DUMMYFUNCTION("""COMPUTED_VALUE"""),"35-44 tahun")</f>
        <v>35-44 tahun</v>
      </c>
      <c r="K3894" s="35" t="str">
        <f>IFERROR(__xludf.DUMMYFUNCTION("""COMPUTED_VALUE"""),"02/07/1982")</f>
        <v>02/07/1982</v>
      </c>
      <c r="L3894" s="35" t="str">
        <f>IFERROR(__xludf.DUMMYFUNCTION("""COMPUTED_VALUE"""),"PEREMPUAN")</f>
        <v>PEREMPUAN</v>
      </c>
      <c r="M3894" s="35" t="str">
        <f>IFERROR(__xludf.DUMMYFUNCTION("""COMPUTED_VALUE"""),"JALAN MERANTI GANG MERANTI 6 NO 5")</f>
        <v>JALAN MERANTI GANG MERANTI 6 NO 5</v>
      </c>
      <c r="N3894" s="35" t="str">
        <f>IFERROR(__xludf.DUMMYFUNCTION("""COMPUTED_VALUE"""),"DARAT SEKIP")</f>
        <v>DARAT SEKIP</v>
      </c>
      <c r="O3894" s="35" t="str">
        <f>IFERROR(__xludf.DUMMYFUNCTION("""COMPUTED_VALUE"""),"PONTIANAK KOTA")</f>
        <v>PONTIANAK KOTA</v>
      </c>
      <c r="P3894" s="35" t="str">
        <f>IFERROR(__xludf.DUMMYFUNCTION("""COMPUTED_VALUE"""),"PONTIANAK")</f>
        <v>PONTIANAK</v>
      </c>
      <c r="Q3894" s="35" t="str">
        <f>IFERROR(__xludf.DUMMYFUNCTION("""COMPUTED_VALUE"""),"KALIMANTAN BARAT")</f>
        <v>KALIMANTAN BARAT</v>
      </c>
      <c r="R3894" s="35" t="str">
        <f>IFERROR(__xludf.DUMMYFUNCTION("""COMPUTED_VALUE"""),"ISLAM")</f>
        <v>ISLAM</v>
      </c>
      <c r="S3894" s="74" t="str">
        <f>IFERROR(__xludf.DUMMYFUNCTION("""COMPUTED_VALUE"""),"SWASTA")</f>
        <v>SWASTA</v>
      </c>
      <c r="T3894" s="35" t="str">
        <f>IFERROR(__xludf.DUMMYFUNCTION("""COMPUTED_VALUE"""),"NYERI DI PINGGANG SAMPAI KAKI")</f>
        <v>NYERI DI PINGGANG SAMPAI KAKI</v>
      </c>
      <c r="U3894" s="35" t="str">
        <f>IFERROR(__xludf.DUMMYFUNCTION("""COMPUTED_VALUE"""),"DUDUK SEHARIAN")</f>
        <v>DUDUK SEHARIAN</v>
      </c>
      <c r="V3894" s="35" t="str">
        <f>IFERROR(__xludf.DUMMYFUNCTION("""COMPUTED_VALUE"""),"0895365266566")</f>
        <v>0895365266566</v>
      </c>
      <c r="W3894" s="45"/>
    </row>
    <row r="3895">
      <c r="A3895" s="45"/>
      <c r="B3895" s="35" t="str">
        <f>IFERROR(__xludf.DUMMYFUNCTION("""COMPUTED_VALUE"""),"04/06/2026 13:21:21")</f>
        <v>04/06/2026 13:21:21</v>
      </c>
      <c r="C3895" s="35"/>
      <c r="D3895" s="10">
        <f>IFERROR(__xludf.DUMMYFUNCTION("""COMPUTED_VALUE"""),46177.0)</f>
        <v>46177</v>
      </c>
      <c r="E3895" s="35" t="str">
        <f>IFERROR(__xludf.DUMMYFUNCTION("""COMPUTED_VALUE"""),"06Jun")</f>
        <v>06Jun</v>
      </c>
      <c r="F3895" s="35"/>
      <c r="G3895" s="35" t="str">
        <f>IFERROR(__xludf.DUMMYFUNCTION("""COMPUTED_VALUE"""),"HASAN BASRI ")</f>
        <v>HASAN BASRI </v>
      </c>
      <c r="H3895" s="35" t="str">
        <f>IFERROR(__xludf.DUMMYFUNCTION("""COMPUTED_VALUE"""),"H6526063635")</f>
        <v>H6526063635</v>
      </c>
      <c r="I3895" s="35">
        <f>IFERROR(__xludf.DUMMYFUNCTION("""COMPUTED_VALUE"""),61.0)</f>
        <v>61</v>
      </c>
      <c r="J3895" s="35" t="str">
        <f>IFERROR(__xludf.DUMMYFUNCTION("""COMPUTED_VALUE"""),"&gt; 44 tahun")</f>
        <v>&gt; 44 tahun</v>
      </c>
      <c r="K3895" s="35" t="str">
        <f>IFERROR(__xludf.DUMMYFUNCTION("""COMPUTED_VALUE"""),"07/02/1965")</f>
        <v>07/02/1965</v>
      </c>
      <c r="L3895" s="35" t="str">
        <f>IFERROR(__xludf.DUMMYFUNCTION("""COMPUTED_VALUE"""),"LAKI-LAKI")</f>
        <v>LAKI-LAKI</v>
      </c>
      <c r="M3895" s="35" t="str">
        <f>IFERROR(__xludf.DUMMYFUNCTION("""COMPUTED_VALUE"""),"PONDOK INDAH LESTARI BLOK D6 NO 12B PARET BARU SUNGAI RAYA KABUPATEN KUBU RAYA ")</f>
        <v>PONDOK INDAH LESTARI BLOK D6 NO 12B PARET BARU SUNGAI RAYA KABUPATEN KUBU RAYA </v>
      </c>
      <c r="N3895" s="35" t="str">
        <f>IFERROR(__xludf.DUMMYFUNCTION("""COMPUTED_VALUE"""),"PARET BARU ")</f>
        <v>PARET BARU </v>
      </c>
      <c r="O3895" s="35" t="str">
        <f>IFERROR(__xludf.DUMMYFUNCTION("""COMPUTED_VALUE"""),"SUNGAI RAYA ")</f>
        <v>SUNGAI RAYA </v>
      </c>
      <c r="P3895" s="35" t="str">
        <f>IFERROR(__xludf.DUMMYFUNCTION("""COMPUTED_VALUE"""),"KUBU RAYA ")</f>
        <v>KUBU RAYA </v>
      </c>
      <c r="Q3895" s="35" t="str">
        <f>IFERROR(__xludf.DUMMYFUNCTION("""COMPUTED_VALUE"""),"KALBAR ")</f>
        <v>KALBAR </v>
      </c>
      <c r="R3895" s="35" t="str">
        <f>IFERROR(__xludf.DUMMYFUNCTION("""COMPUTED_VALUE"""),"ISLAM")</f>
        <v>ISLAM</v>
      </c>
      <c r="S3895" s="74" t="str">
        <f>IFERROR(__xludf.DUMMYFUNCTION("""COMPUTED_VALUE"""),"SWASTA ")</f>
        <v>SWASTA </v>
      </c>
      <c r="T3895" s="35" t="str">
        <f>IFERROR(__xludf.DUMMYFUNCTION("""COMPUTED_VALUE"""),"STRUK RINGAN ")</f>
        <v>STRUK RINGAN </v>
      </c>
      <c r="U3895" s="35" t="str">
        <f>IFERROR(__xludf.DUMMYFUNCTION("""COMPUTED_VALUE"""),"BIASA SAJA")</f>
        <v>BIASA SAJA</v>
      </c>
      <c r="V3895" s="35" t="str">
        <f>IFERROR(__xludf.DUMMYFUNCTION("""COMPUTED_VALUE"""),"081251443635")</f>
        <v>081251443635</v>
      </c>
      <c r="W3895" s="45"/>
    </row>
    <row r="3896">
      <c r="A3896" s="45"/>
      <c r="B3896" s="35" t="str">
        <f>IFERROR(__xludf.DUMMYFUNCTION("""COMPUTED_VALUE"""),"04/06/2026 16:52:28")</f>
        <v>04/06/2026 16:52:28</v>
      </c>
      <c r="C3896" s="35"/>
      <c r="D3896" s="10">
        <f>IFERROR(__xludf.DUMMYFUNCTION("""COMPUTED_VALUE"""),46177.0)</f>
        <v>46177</v>
      </c>
      <c r="E3896" s="35" t="str">
        <f>IFERROR(__xludf.DUMMYFUNCTION("""COMPUTED_VALUE"""),"06Jun")</f>
        <v>06Jun</v>
      </c>
      <c r="F3896" s="35"/>
      <c r="G3896" s="35" t="str">
        <f>IFERROR(__xludf.DUMMYFUNCTION("""COMPUTED_VALUE"""),"IPAH SIDA , S.E.")</f>
        <v>IPAH SIDA , S.E.</v>
      </c>
      <c r="H3896" s="35" t="str">
        <f>IFERROR(__xludf.DUMMYFUNCTION("""COMPUTED_VALUE"""),"I8426061984")</f>
        <v>I8426061984</v>
      </c>
      <c r="I3896" s="35">
        <f>IFERROR(__xludf.DUMMYFUNCTION("""COMPUTED_VALUE"""),41.0)</f>
        <v>41</v>
      </c>
      <c r="J3896" s="35" t="str">
        <f>IFERROR(__xludf.DUMMYFUNCTION("""COMPUTED_VALUE"""),"35-44 tahun")</f>
        <v>35-44 tahun</v>
      </c>
      <c r="K3896" s="35" t="str">
        <f>IFERROR(__xludf.DUMMYFUNCTION("""COMPUTED_VALUE"""),"25/06/1984")</f>
        <v>25/06/1984</v>
      </c>
      <c r="L3896" s="35" t="str">
        <f>IFERROR(__xludf.DUMMYFUNCTION("""COMPUTED_VALUE"""),"PEREMPUAN")</f>
        <v>PEREMPUAN</v>
      </c>
      <c r="M3896" s="35" t="str">
        <f>IFERROR(__xludf.DUMMYFUNCTION("""COMPUTED_VALUE"""),"JL. DANAU SENTARUM KOMPL.SENTARUM SEJAHTERA 3. NO. H8")</f>
        <v>JL. DANAU SENTARUM KOMPL.SENTARUM SEJAHTERA 3. NO. H8</v>
      </c>
      <c r="N3896" s="35" t="str">
        <f>IFERROR(__xludf.DUMMYFUNCTION("""COMPUTED_VALUE"""),"SUNGAI BANGKONG")</f>
        <v>SUNGAI BANGKONG</v>
      </c>
      <c r="O3896" s="35" t="str">
        <f>IFERROR(__xludf.DUMMYFUNCTION("""COMPUTED_VALUE"""),"PONTIANAK KOTA")</f>
        <v>PONTIANAK KOTA</v>
      </c>
      <c r="P3896" s="35" t="str">
        <f>IFERROR(__xludf.DUMMYFUNCTION("""COMPUTED_VALUE"""),"KOTA PONTIANAK")</f>
        <v>KOTA PONTIANAK</v>
      </c>
      <c r="Q3896" s="35" t="str">
        <f>IFERROR(__xludf.DUMMYFUNCTION("""COMPUTED_VALUE"""),"KALIMANTAN BARAT")</f>
        <v>KALIMANTAN BARAT</v>
      </c>
      <c r="R3896" s="35" t="str">
        <f>IFERROR(__xludf.DUMMYFUNCTION("""COMPUTED_VALUE"""),"ISLAM")</f>
        <v>ISLAM</v>
      </c>
      <c r="S3896" s="74" t="str">
        <f>IFERROR(__xludf.DUMMYFUNCTION("""COMPUTED_VALUE"""),"WIRASWATA")</f>
        <v>WIRASWATA</v>
      </c>
      <c r="T3896" s="35" t="str">
        <f>IFERROR(__xludf.DUMMYFUNCTION("""COMPUTED_VALUE"""),"NYERI PERGELANGAN TANGAN, DAN LENGAN ATAS KANAN")</f>
        <v>NYERI PERGELANGAN TANGAN, DAN LENGAN ATAS KANAN</v>
      </c>
      <c r="U3896" s="35" t="str">
        <f>IFERROR(__xludf.DUMMYFUNCTION("""COMPUTED_VALUE"""),"PERGELANGAN TANGAN SAAT DI TEKUK UNTUK BERTUMPU, LENGAN ATAS SALAH POSISI BADAN SAAT AMBIL SESUATU, BADMINTON")</f>
        <v>PERGELANGAN TANGAN SAAT DI TEKUK UNTUK BERTUMPU, LENGAN ATAS SALAH POSISI BADAN SAAT AMBIL SESUATU, BADMINTON</v>
      </c>
      <c r="V3896" s="35" t="str">
        <f>IFERROR(__xludf.DUMMYFUNCTION("""COMPUTED_VALUE"""),"081282071984")</f>
        <v>081282071984</v>
      </c>
      <c r="W3896" s="45"/>
    </row>
    <row r="3897">
      <c r="A3897" s="45"/>
      <c r="B3897" s="35" t="str">
        <f>IFERROR(__xludf.DUMMYFUNCTION("""COMPUTED_VALUE"""),"05/06/2026 9:00:28")</f>
        <v>05/06/2026 9:00:28</v>
      </c>
      <c r="C3897" s="35"/>
      <c r="D3897" s="10">
        <f>IFERROR(__xludf.DUMMYFUNCTION("""COMPUTED_VALUE"""),46178.0)</f>
        <v>46178</v>
      </c>
      <c r="E3897" s="35" t="str">
        <f>IFERROR(__xludf.DUMMYFUNCTION("""COMPUTED_VALUE"""),"06Jun")</f>
        <v>06Jun</v>
      </c>
      <c r="F3897" s="35"/>
      <c r="G3897" s="35" t="str">
        <f>IFERROR(__xludf.DUMMYFUNCTION("""COMPUTED_VALUE"""),"NINING DWI PUSPITASARI ")</f>
        <v>NINING DWI PUSPITASARI </v>
      </c>
      <c r="H3897" s="35" t="str">
        <f>IFERROR(__xludf.DUMMYFUNCTION("""COMPUTED_VALUE"""),"N9026065696")</f>
        <v>N9026065696</v>
      </c>
      <c r="I3897" s="35">
        <f>IFERROR(__xludf.DUMMYFUNCTION("""COMPUTED_VALUE"""),35.0)</f>
        <v>35</v>
      </c>
      <c r="J3897" s="35" t="str">
        <f>IFERROR(__xludf.DUMMYFUNCTION("""COMPUTED_VALUE"""),"35-44 tahun")</f>
        <v>35-44 tahun</v>
      </c>
      <c r="K3897" s="35" t="str">
        <f>IFERROR(__xludf.DUMMYFUNCTION("""COMPUTED_VALUE"""),"06/07/1990")</f>
        <v>06/07/1990</v>
      </c>
      <c r="L3897" s="35" t="str">
        <f>IFERROR(__xludf.DUMMYFUNCTION("""COMPUTED_VALUE"""),"PEREMPUAN")</f>
        <v>PEREMPUAN</v>
      </c>
      <c r="M3897" s="35" t="str">
        <f>IFERROR(__xludf.DUMMYFUNCTION("""COMPUTED_VALUE"""),"JL PROF M YAMIN, GG MELATI 1 NO 4")</f>
        <v>JL PROF M YAMIN, GG MELATI 1 NO 4</v>
      </c>
      <c r="N3897" s="35" t="str">
        <f>IFERROR(__xludf.DUMMYFUNCTION("""COMPUTED_VALUE"""),"SUNGAI BANGKONG")</f>
        <v>SUNGAI BANGKONG</v>
      </c>
      <c r="O3897" s="35" t="str">
        <f>IFERROR(__xludf.DUMMYFUNCTION("""COMPUTED_VALUE"""),"PONTIANAK KOTA")</f>
        <v>PONTIANAK KOTA</v>
      </c>
      <c r="P3897" s="35" t="str">
        <f>IFERROR(__xludf.DUMMYFUNCTION("""COMPUTED_VALUE"""),"PONTIANAK ")</f>
        <v>PONTIANAK </v>
      </c>
      <c r="Q3897" s="35" t="str">
        <f>IFERROR(__xludf.DUMMYFUNCTION("""COMPUTED_VALUE"""),"KALIMANTAN BARAT ")</f>
        <v>KALIMANTAN BARAT </v>
      </c>
      <c r="R3897" s="35" t="str">
        <f>IFERROR(__xludf.DUMMYFUNCTION("""COMPUTED_VALUE"""),"ISLAM")</f>
        <v>ISLAM</v>
      </c>
      <c r="S3897" s="74" t="str">
        <f>IFERROR(__xludf.DUMMYFUNCTION("""COMPUTED_VALUE"""),"PNS")</f>
        <v>PNS</v>
      </c>
      <c r="T3897" s="35" t="str">
        <f>IFERROR(__xludf.DUMMYFUNCTION("""COMPUTED_VALUE"""),"NYERI PINGGANG SETELAH 2 HARI SEBELUMNYA TERPELESET JATUH TERDUDUK")</f>
        <v>NYERI PINGGANG SETELAH 2 HARI SEBELUMNYA TERPELESET JATUH TERDUDUK</v>
      </c>
      <c r="U3897" s="35" t="str">
        <f>IFERROR(__xludf.DUMMYFUNCTION("""COMPUTED_VALUE"""),"TIDAK ADA SPESIFIK. AKTIVITAS SEHARI2 SEPERTI BEKERJA DAN MENGURUS RUMAH")</f>
        <v>TIDAK ADA SPESIFIK. AKTIVITAS SEHARI2 SEPERTI BEKERJA DAN MENGURUS RUMAH</v>
      </c>
      <c r="V3897" s="35" t="str">
        <f>IFERROR(__xludf.DUMMYFUNCTION("""COMPUTED_VALUE"""),"085252025696")</f>
        <v>085252025696</v>
      </c>
      <c r="W3897" s="45"/>
    </row>
    <row r="3898">
      <c r="A3898" s="45"/>
      <c r="B3898" s="35" t="str">
        <f>IFERROR(__xludf.DUMMYFUNCTION("""COMPUTED_VALUE"""),"05/06/2026 9:39:11")</f>
        <v>05/06/2026 9:39:11</v>
      </c>
      <c r="C3898" s="35"/>
      <c r="D3898" s="10">
        <f>IFERROR(__xludf.DUMMYFUNCTION("""COMPUTED_VALUE"""),46178.0)</f>
        <v>46178</v>
      </c>
      <c r="E3898" s="35" t="str">
        <f>IFERROR(__xludf.DUMMYFUNCTION("""COMPUTED_VALUE"""),"06Jun")</f>
        <v>06Jun</v>
      </c>
      <c r="F3898" s="35"/>
      <c r="G3898" s="35" t="str">
        <f>IFERROR(__xludf.DUMMYFUNCTION("""COMPUTED_VALUE"""),"STIVEN")</f>
        <v>STIVEN</v>
      </c>
      <c r="H3898" s="35" t="str">
        <f>IFERROR(__xludf.DUMMYFUNCTION("""COMPUTED_VALUE"""),"S0426068353")</f>
        <v>S0426068353</v>
      </c>
      <c r="I3898" s="35">
        <f>IFERROR(__xludf.DUMMYFUNCTION("""COMPUTED_VALUE"""),21.0)</f>
        <v>21</v>
      </c>
      <c r="J3898" s="35" t="str">
        <f>IFERROR(__xludf.DUMMYFUNCTION("""COMPUTED_VALUE"""),"18-24 tahun")</f>
        <v>18-24 tahun</v>
      </c>
      <c r="K3898" s="35" t="str">
        <f>IFERROR(__xludf.DUMMYFUNCTION("""COMPUTED_VALUE"""),"20/12/2004")</f>
        <v>20/12/2004</v>
      </c>
      <c r="L3898" s="35" t="str">
        <f>IFERROR(__xludf.DUMMYFUNCTION("""COMPUTED_VALUE"""),"LAKI-LAKI")</f>
        <v>LAKI-LAKI</v>
      </c>
      <c r="M3898" s="35" t="str">
        <f>IFERROR(__xludf.DUMMYFUNCTION("""COMPUTED_VALUE"""),"JALAN PASAR TENGAH")</f>
        <v>JALAN PASAR TENGAH</v>
      </c>
      <c r="N3898" s="35" t="str">
        <f>IFERROR(__xludf.DUMMYFUNCTION("""COMPUTED_VALUE"""),"BUMI EMAS")</f>
        <v>BUMI EMAS</v>
      </c>
      <c r="O3898" s="35" t="str">
        <f>IFERROR(__xludf.DUMMYFUNCTION("""COMPUTED_VALUE"""),"BENGKAYANG")</f>
        <v>BENGKAYANG</v>
      </c>
      <c r="P3898" s="35" t="str">
        <f>IFERROR(__xludf.DUMMYFUNCTION("""COMPUTED_VALUE"""),"BENGKAYANG")</f>
        <v>BENGKAYANG</v>
      </c>
      <c r="Q3898" s="35" t="str">
        <f>IFERROR(__xludf.DUMMYFUNCTION("""COMPUTED_VALUE"""),"KALIMANTAN BARAT")</f>
        <v>KALIMANTAN BARAT</v>
      </c>
      <c r="R3898" s="35" t="str">
        <f>IFERROR(__xludf.DUMMYFUNCTION("""COMPUTED_VALUE"""),"BUDDHA")</f>
        <v>BUDDHA</v>
      </c>
      <c r="S3898" s="74" t="str">
        <f>IFERROR(__xludf.DUMMYFUNCTION("""COMPUTED_VALUE"""),"MAHASISWA")</f>
        <v>MAHASISWA</v>
      </c>
      <c r="T3898" s="35" t="str">
        <f>IFERROR(__xludf.DUMMYFUNCTION("""COMPUTED_VALUE"""),"CEDERA ANKLE")</f>
        <v>CEDERA ANKLE</v>
      </c>
      <c r="U3898" s="35" t="str">
        <f>IFERROR(__xludf.DUMMYFUNCTION("""COMPUTED_VALUE"""),"BERMAIN BOLA")</f>
        <v>BERMAIN BOLA</v>
      </c>
      <c r="V3898" s="35" t="str">
        <f>IFERROR(__xludf.DUMMYFUNCTION("""COMPUTED_VALUE"""),"089603558353")</f>
        <v>089603558353</v>
      </c>
      <c r="W3898" s="45"/>
    </row>
    <row r="3899">
      <c r="A3899" s="45"/>
      <c r="B3899" s="35" t="str">
        <f>IFERROR(__xludf.DUMMYFUNCTION("""COMPUTED_VALUE"""),"05/06/2026 10:41:08")</f>
        <v>05/06/2026 10:41:08</v>
      </c>
      <c r="C3899" s="35"/>
      <c r="D3899" s="10">
        <f>IFERROR(__xludf.DUMMYFUNCTION("""COMPUTED_VALUE"""),46178.0)</f>
        <v>46178</v>
      </c>
      <c r="E3899" s="35" t="str">
        <f>IFERROR(__xludf.DUMMYFUNCTION("""COMPUTED_VALUE"""),"06Jun")</f>
        <v>06Jun</v>
      </c>
      <c r="F3899" s="35"/>
      <c r="G3899" s="35" t="str">
        <f>IFERROR(__xludf.DUMMYFUNCTION("""COMPUTED_VALUE"""),"ALDI RANDY YUDO")</f>
        <v>ALDI RANDY YUDO</v>
      </c>
      <c r="H3899" s="35" t="str">
        <f>IFERROR(__xludf.DUMMYFUNCTION("""COMPUTED_VALUE"""),"A9226062020")</f>
        <v>A9226062020</v>
      </c>
      <c r="I3899" s="35">
        <f>IFERROR(__xludf.DUMMYFUNCTION("""COMPUTED_VALUE"""),34.0)</f>
        <v>34</v>
      </c>
      <c r="J3899" s="35" t="str">
        <f>IFERROR(__xludf.DUMMYFUNCTION("""COMPUTED_VALUE"""),"25-34 tahun")</f>
        <v>25-34 tahun</v>
      </c>
      <c r="K3899" s="35" t="str">
        <f>IFERROR(__xludf.DUMMYFUNCTION("""COMPUTED_VALUE"""),"09/02/1992")</f>
        <v>09/02/1992</v>
      </c>
      <c r="L3899" s="35" t="str">
        <f>IFERROR(__xludf.DUMMYFUNCTION("""COMPUTED_VALUE"""),"LAKI-LAKI")</f>
        <v>LAKI-LAKI</v>
      </c>
      <c r="M3899" s="35" t="str">
        <f>IFERROR(__xludf.DUMMYFUNCTION("""COMPUTED_VALUE"""),"JALAN PERDANA KOMP BALI AGUNG 2 NO F1")</f>
        <v>JALAN PERDANA KOMP BALI AGUNG 2 NO F1</v>
      </c>
      <c r="N3899" s="35" t="str">
        <f>IFERROR(__xludf.DUMMYFUNCTION("""COMPUTED_VALUE"""),"PARIT TOKAYA")</f>
        <v>PARIT TOKAYA</v>
      </c>
      <c r="O3899" s="35" t="str">
        <f>IFERROR(__xludf.DUMMYFUNCTION("""COMPUTED_VALUE"""),"PONTIANAK SELATAN")</f>
        <v>PONTIANAK SELATAN</v>
      </c>
      <c r="P3899" s="35" t="str">
        <f>IFERROR(__xludf.DUMMYFUNCTION("""COMPUTED_VALUE"""),"PONTIANAK SELATAN")</f>
        <v>PONTIANAK SELATAN</v>
      </c>
      <c r="Q3899" s="35" t="str">
        <f>IFERROR(__xludf.DUMMYFUNCTION("""COMPUTED_VALUE"""),"KALIMANTAN BARAT")</f>
        <v>KALIMANTAN BARAT</v>
      </c>
      <c r="R3899" s="35" t="str">
        <f>IFERROR(__xludf.DUMMYFUNCTION("""COMPUTED_VALUE"""),"ISLAM")</f>
        <v>ISLAM</v>
      </c>
      <c r="S3899" s="74" t="str">
        <f>IFERROR(__xludf.DUMMYFUNCTION("""COMPUTED_VALUE"""),"BUMD")</f>
        <v>BUMD</v>
      </c>
      <c r="T3899" s="35" t="str">
        <f>IFERROR(__xludf.DUMMYFUNCTION("""COMPUTED_VALUE"""),"SAKIT PERGELANGAN TANGAN KANAN DAN DAN PUNDAK KIRI NYERI")</f>
        <v>SAKIT PERGELANGAN TANGAN KANAN DAN DAN PUNDAK KIRI NYERI</v>
      </c>
      <c r="U3899" s="35" t="str">
        <f>IFERROR(__xludf.DUMMYFUNCTION("""COMPUTED_VALUE"""),"TENIS")</f>
        <v>TENIS</v>
      </c>
      <c r="V3899" s="35" t="str">
        <f>IFERROR(__xludf.DUMMYFUNCTION("""COMPUTED_VALUE"""),"08115732020")</f>
        <v>08115732020</v>
      </c>
      <c r="W3899" s="45"/>
    </row>
    <row r="3900">
      <c r="A3900" s="45" t="str">
        <f>IFERROR(__xludf.DUMMYFUNCTION("""COMPUTED_VALUE"""),"d")</f>
        <v>d</v>
      </c>
      <c r="B3900" s="35" t="str">
        <f>IFERROR(__xludf.DUMMYFUNCTION("""COMPUTED_VALUE"""),"05/06/2026 15:25:28")</f>
        <v>05/06/2026 15:25:28</v>
      </c>
      <c r="C3900" s="35"/>
      <c r="D3900" s="10">
        <f>IFERROR(__xludf.DUMMYFUNCTION("""COMPUTED_VALUE"""),46178.0)</f>
        <v>46178</v>
      </c>
      <c r="E3900" s="35" t="str">
        <f>IFERROR(__xludf.DUMMYFUNCTION("""COMPUTED_VALUE"""),"06Jun")</f>
        <v>06Jun</v>
      </c>
      <c r="F3900" s="35"/>
      <c r="G3900" s="35" t="str">
        <f>IFERROR(__xludf.DUMMYFUNCTION("""COMPUTED_VALUE"""),"EFRIANA")</f>
        <v>EFRIANA</v>
      </c>
      <c r="H3900" s="35" t="str">
        <f>IFERROR(__xludf.DUMMYFUNCTION("""COMPUTED_VALUE"""),"E9426069108")</f>
        <v>E9426069108</v>
      </c>
      <c r="I3900" s="35">
        <f>IFERROR(__xludf.DUMMYFUNCTION("""COMPUTED_VALUE"""),32.0)</f>
        <v>32</v>
      </c>
      <c r="J3900" s="35" t="str">
        <f>IFERROR(__xludf.DUMMYFUNCTION("""COMPUTED_VALUE"""),"25-34 tahun")</f>
        <v>25-34 tahun</v>
      </c>
      <c r="K3900" s="35" t="str">
        <f>IFERROR(__xludf.DUMMYFUNCTION("""COMPUTED_VALUE"""),"23/04/1994")</f>
        <v>23/04/1994</v>
      </c>
      <c r="L3900" s="35" t="str">
        <f>IFERROR(__xludf.DUMMYFUNCTION("""COMPUTED_VALUE"""),"PEREMPUAN")</f>
        <v>PEREMPUAN</v>
      </c>
      <c r="M3900" s="35" t="str">
        <f>IFERROR(__xludf.DUMMYFUNCTION("""COMPUTED_VALUE"""),"JL. ALIANYANG. GG. RAHAYU NO. 20")</f>
        <v>JL. ALIANYANG. GG. RAHAYU NO. 20</v>
      </c>
      <c r="N3900" s="35" t="str">
        <f>IFERROR(__xludf.DUMMYFUNCTION("""COMPUTED_VALUE"""),"SUI BANGKONG")</f>
        <v>SUI BANGKONG</v>
      </c>
      <c r="O3900" s="35" t="str">
        <f>IFERROR(__xludf.DUMMYFUNCTION("""COMPUTED_VALUE"""),"PONTIANAK KOTA")</f>
        <v>PONTIANAK KOTA</v>
      </c>
      <c r="P3900" s="35" t="str">
        <f>IFERROR(__xludf.DUMMYFUNCTION("""COMPUTED_VALUE"""),"PONTIANAK")</f>
        <v>PONTIANAK</v>
      </c>
      <c r="Q3900" s="35" t="str">
        <f>IFERROR(__xludf.DUMMYFUNCTION("""COMPUTED_VALUE"""),"KALIMANTAN BARAT")</f>
        <v>KALIMANTAN BARAT</v>
      </c>
      <c r="R3900" s="35" t="str">
        <f>IFERROR(__xludf.DUMMYFUNCTION("""COMPUTED_VALUE"""),"BUDDHA")</f>
        <v>BUDDHA</v>
      </c>
      <c r="S3900" s="74" t="str">
        <f>IFERROR(__xludf.DUMMYFUNCTION("""COMPUTED_VALUE"""),"IBU RUMAH TANGGA")</f>
        <v>IBU RUMAH TANGGA</v>
      </c>
      <c r="T3900" s="35" t="str">
        <f>IFERROR(__xludf.DUMMYFUNCTION("""COMPUTED_VALUE"""),"PINGGANG SAKIT")</f>
        <v>PINGGANG SAKIT</v>
      </c>
      <c r="U3900" s="35" t="str">
        <f>IFERROR(__xludf.DUMMYFUNCTION("""COMPUTED_VALUE"""),"AD NGEGYM")</f>
        <v>AD NGEGYM</v>
      </c>
      <c r="V3900" s="35" t="str">
        <f>IFERROR(__xludf.DUMMYFUNCTION("""COMPUTED_VALUE"""),"081258579108")</f>
        <v>081258579108</v>
      </c>
      <c r="W3900" s="45"/>
    </row>
    <row r="3901">
      <c r="A3901" s="45"/>
      <c r="B3901" s="35" t="str">
        <f>IFERROR(__xludf.DUMMYFUNCTION("""COMPUTED_VALUE"""),"05/06/2026 15:29:26")</f>
        <v>05/06/2026 15:29:26</v>
      </c>
      <c r="C3901" s="35"/>
      <c r="D3901" s="10">
        <f>IFERROR(__xludf.DUMMYFUNCTION("""COMPUTED_VALUE"""),46178.0)</f>
        <v>46178</v>
      </c>
      <c r="E3901" s="35" t="str">
        <f>IFERROR(__xludf.DUMMYFUNCTION("""COMPUTED_VALUE"""),"06Jun")</f>
        <v>06Jun</v>
      </c>
      <c r="F3901" s="35"/>
      <c r="G3901" s="35" t="str">
        <f>IFERROR(__xludf.DUMMYFUNCTION("""COMPUTED_VALUE"""),"SUMARNI")</f>
        <v>SUMARNI</v>
      </c>
      <c r="H3901" s="35" t="str">
        <f>IFERROR(__xludf.DUMMYFUNCTION("""COMPUTED_VALUE"""),"S8226060509")</f>
        <v>S8226060509</v>
      </c>
      <c r="I3901" s="35">
        <f>IFERROR(__xludf.DUMMYFUNCTION("""COMPUTED_VALUE"""),44.0)</f>
        <v>44</v>
      </c>
      <c r="J3901" s="35" t="str">
        <f>IFERROR(__xludf.DUMMYFUNCTION("""COMPUTED_VALUE"""),"35-44 tahun")</f>
        <v>35-44 tahun</v>
      </c>
      <c r="K3901" s="35" t="str">
        <f>IFERROR(__xludf.DUMMYFUNCTION("""COMPUTED_VALUE"""),"12/03/1982")</f>
        <v>12/03/1982</v>
      </c>
      <c r="L3901" s="35" t="str">
        <f>IFERROR(__xludf.DUMMYFUNCTION("""COMPUTED_VALUE"""),"PEREMPUAN")</f>
        <v>PEREMPUAN</v>
      </c>
      <c r="M3901" s="35" t="str">
        <f>IFERROR(__xludf.DUMMYFUNCTION("""COMPUTED_VALUE"""),"JL. M. YUSUF, GG. TOMAN, NO. 1")</f>
        <v>JL. M. YUSUF, GG. TOMAN, NO. 1</v>
      </c>
      <c r="N3901" s="35" t="str">
        <f>IFERROR(__xludf.DUMMYFUNCTION("""COMPUTED_VALUE"""),"SUNGAI JAWI LUAR")</f>
        <v>SUNGAI JAWI LUAR</v>
      </c>
      <c r="O3901" s="35" t="str">
        <f>IFERROR(__xludf.DUMMYFUNCTION("""COMPUTED_VALUE"""),"PONTIANAK BARAT")</f>
        <v>PONTIANAK BARAT</v>
      </c>
      <c r="P3901" s="35" t="str">
        <f>IFERROR(__xludf.DUMMYFUNCTION("""COMPUTED_VALUE"""),"KOTA PONTIANAK")</f>
        <v>KOTA PONTIANAK</v>
      </c>
      <c r="Q3901" s="35" t="str">
        <f>IFERROR(__xludf.DUMMYFUNCTION("""COMPUTED_VALUE"""),"KALIMANTAN BARAT")</f>
        <v>KALIMANTAN BARAT</v>
      </c>
      <c r="R3901" s="35" t="str">
        <f>IFERROR(__xludf.DUMMYFUNCTION("""COMPUTED_VALUE"""),"ISLAM")</f>
        <v>ISLAM</v>
      </c>
      <c r="S3901" s="74" t="str">
        <f>IFERROR(__xludf.DUMMYFUNCTION("""COMPUTED_VALUE"""),"PNS")</f>
        <v>PNS</v>
      </c>
      <c r="T3901" s="35" t="str">
        <f>IFERROR(__xludf.DUMMYFUNCTION("""COMPUTED_VALUE"""),"KAKI SAKIT, DAN TANGAN SAKIT")</f>
        <v>KAKI SAKIT, DAN TANGAN SAKIT</v>
      </c>
      <c r="U3901" s="35" t="str">
        <f>IFERROR(__xludf.DUMMYFUNCTION("""COMPUTED_VALUE"""),"KERJA")</f>
        <v>KERJA</v>
      </c>
      <c r="V3901" s="35" t="str">
        <f>IFERROR(__xludf.DUMMYFUNCTION("""COMPUTED_VALUE"""),"081345080509")</f>
        <v>081345080509</v>
      </c>
      <c r="W3901" s="45"/>
    </row>
    <row r="3902">
      <c r="A3902" s="45"/>
      <c r="B3902" s="35" t="str">
        <f>IFERROR(__xludf.DUMMYFUNCTION("""COMPUTED_VALUE"""),"06/06/2026 9:53:24")</f>
        <v>06/06/2026 9:53:24</v>
      </c>
      <c r="C3902" s="35"/>
      <c r="D3902" s="10">
        <f>IFERROR(__xludf.DUMMYFUNCTION("""COMPUTED_VALUE"""),46179.0)</f>
        <v>46179</v>
      </c>
      <c r="E3902" s="35" t="str">
        <f>IFERROR(__xludf.DUMMYFUNCTION("""COMPUTED_VALUE"""),"06Jun")</f>
        <v>06Jun</v>
      </c>
      <c r="F3902" s="35"/>
      <c r="G3902" s="35" t="str">
        <f>IFERROR(__xludf.DUMMYFUNCTION("""COMPUTED_VALUE"""),"NISAH")</f>
        <v>NISAH</v>
      </c>
      <c r="H3902" s="35" t="str">
        <f>IFERROR(__xludf.DUMMYFUNCTION("""COMPUTED_VALUE"""),"N7226062266")</f>
        <v>N7226062266</v>
      </c>
      <c r="I3902" s="35">
        <f>IFERROR(__xludf.DUMMYFUNCTION("""COMPUTED_VALUE"""),53.0)</f>
        <v>53</v>
      </c>
      <c r="J3902" s="35" t="str">
        <f>IFERROR(__xludf.DUMMYFUNCTION("""COMPUTED_VALUE"""),"&gt; 44 tahun")</f>
        <v>&gt; 44 tahun</v>
      </c>
      <c r="K3902" s="35" t="str">
        <f>IFERROR(__xludf.DUMMYFUNCTION("""COMPUTED_VALUE"""),"10/10/1972")</f>
        <v>10/10/1972</v>
      </c>
      <c r="L3902" s="35" t="str">
        <f>IFERROR(__xludf.DUMMYFUNCTION("""COMPUTED_VALUE"""),"PEREMPUAN")</f>
        <v>PEREMPUAN</v>
      </c>
      <c r="M3902" s="35" t="str">
        <f>IFERROR(__xludf.DUMMYFUNCTION("""COMPUTED_VALUE"""),"ENTIKONG ")</f>
        <v>ENTIKONG </v>
      </c>
      <c r="N3902" s="35" t="str">
        <f>IFERROR(__xludf.DUMMYFUNCTION("""COMPUTED_VALUE"""),"ENTIKONG ")</f>
        <v>ENTIKONG </v>
      </c>
      <c r="O3902" s="35" t="str">
        <f>IFERROR(__xludf.DUMMYFUNCTION("""COMPUTED_VALUE"""),"ENTIKONG ")</f>
        <v>ENTIKONG </v>
      </c>
      <c r="P3902" s="35" t="str">
        <f>IFERROR(__xludf.DUMMYFUNCTION("""COMPUTED_VALUE"""),"PONTIANAK ")</f>
        <v>PONTIANAK </v>
      </c>
      <c r="Q3902" s="35" t="str">
        <f>IFERROR(__xludf.DUMMYFUNCTION("""COMPUTED_VALUE"""),"KALIMANTAN BARAT ")</f>
        <v>KALIMANTAN BARAT </v>
      </c>
      <c r="R3902" s="35" t="str">
        <f>IFERROR(__xludf.DUMMYFUNCTION("""COMPUTED_VALUE"""),"ISLAM")</f>
        <v>ISLAM</v>
      </c>
      <c r="S3902" s="74" t="str">
        <f>IFERROR(__xludf.DUMMYFUNCTION("""COMPUTED_VALUE"""),"IBU RUMAH TANGGA ")</f>
        <v>IBU RUMAH TANGGA </v>
      </c>
      <c r="T3902" s="35" t="str">
        <f>IFERROR(__xludf.DUMMYFUNCTION("""COMPUTED_VALUE"""),"STROKE, MATI SEBELAH BADAN, TANGAN KIRI DAN KAKI KIRI LUMPUH.")</f>
        <v>STROKE, MATI SEBELAH BADAN, TANGAN KIRI DAN KAKI KIRI LUMPUH.</v>
      </c>
      <c r="U3902" s="35" t="str">
        <f>IFERROR(__xludf.DUMMYFUNCTION("""COMPUTED_VALUE"""),"BERKEBUN ")</f>
        <v>BERKEBUN </v>
      </c>
      <c r="V3902" s="35" t="str">
        <f>IFERROR(__xludf.DUMMYFUNCTION("""COMPUTED_VALUE"""),"082352642266")</f>
        <v>082352642266</v>
      </c>
      <c r="W3902" s="45"/>
    </row>
    <row r="3903">
      <c r="A3903" s="45"/>
      <c r="B3903" s="35" t="str">
        <f>IFERROR(__xludf.DUMMYFUNCTION("""COMPUTED_VALUE"""),"06/06/2026 10:58:05")</f>
        <v>06/06/2026 10:58:05</v>
      </c>
      <c r="C3903" s="35"/>
      <c r="D3903" s="10">
        <f>IFERROR(__xludf.DUMMYFUNCTION("""COMPUTED_VALUE"""),46179.0)</f>
        <v>46179</v>
      </c>
      <c r="E3903" s="35" t="str">
        <f>IFERROR(__xludf.DUMMYFUNCTION("""COMPUTED_VALUE"""),"06Jun")</f>
        <v>06Jun</v>
      </c>
      <c r="F3903" s="35"/>
      <c r="G3903" s="35" t="str">
        <f>IFERROR(__xludf.DUMMYFUNCTION("""COMPUTED_VALUE"""),"DEWI")</f>
        <v>DEWI</v>
      </c>
      <c r="H3903" s="35" t="str">
        <f>IFERROR(__xludf.DUMMYFUNCTION("""COMPUTED_VALUE"""),"D892606ba")</f>
        <v>D892606ba</v>
      </c>
      <c r="I3903" s="35">
        <f>IFERROR(__xludf.DUMMYFUNCTION("""COMPUTED_VALUE"""),37.0)</f>
        <v>37</v>
      </c>
      <c r="J3903" s="35" t="str">
        <f>IFERROR(__xludf.DUMMYFUNCTION("""COMPUTED_VALUE"""),"35-44 tahun")</f>
        <v>35-44 tahun</v>
      </c>
      <c r="K3903" s="35" t="str">
        <f>IFERROR(__xludf.DUMMYFUNCTION("""COMPUTED_VALUE"""),"24/02/1989")</f>
        <v>24/02/1989</v>
      </c>
      <c r="L3903" s="35" t="str">
        <f>IFERROR(__xludf.DUMMYFUNCTION("""COMPUTED_VALUE"""),"PEREMPUAN")</f>
        <v>PEREMPUAN</v>
      </c>
      <c r="M3903" s="35" t="str">
        <f>IFERROR(__xludf.DUMMYFUNCTION("""COMPUTED_VALUE"""),"GG BERINGIN 2 NO. 75B")</f>
        <v>GG BERINGIN 2 NO. 75B</v>
      </c>
      <c r="N3903" s="35" t="str">
        <f>IFERROR(__xludf.DUMMYFUNCTION("""COMPUTED_VALUE"""),"DARAT SEKIP")</f>
        <v>DARAT SEKIP</v>
      </c>
      <c r="O3903" s="35" t="str">
        <f>IFERROR(__xludf.DUMMYFUNCTION("""COMPUTED_VALUE"""),"PONTIANAK KOTA")</f>
        <v>PONTIANAK KOTA</v>
      </c>
      <c r="P3903" s="35" t="str">
        <f>IFERROR(__xludf.DUMMYFUNCTION("""COMPUTED_VALUE"""),"PONTIANAK")</f>
        <v>PONTIANAK</v>
      </c>
      <c r="Q3903" s="35" t="str">
        <f>IFERROR(__xludf.DUMMYFUNCTION("""COMPUTED_VALUE"""),"PONTIANAK")</f>
        <v>PONTIANAK</v>
      </c>
      <c r="R3903" s="35" t="str">
        <f>IFERROR(__xludf.DUMMYFUNCTION("""COMPUTED_VALUE"""),"KATOLIK")</f>
        <v>KATOLIK</v>
      </c>
      <c r="S3903" s="74" t="str">
        <f>IFERROR(__xludf.DUMMYFUNCTION("""COMPUTED_VALUE"""),"DOSEN")</f>
        <v>DOSEN</v>
      </c>
      <c r="T3903" s="35" t="str">
        <f>IFERROR(__xludf.DUMMYFUNCTION("""COMPUTED_VALUE"""),"LUTUT SAKIT")</f>
        <v>LUTUT SAKIT</v>
      </c>
      <c r="U3903" s="35" t="str">
        <f>IFERROR(__xludf.DUMMYFUNCTION("""COMPUTED_VALUE"""),"GYM, TENIS (KADANG2) ")</f>
        <v>GYM, TENIS (KADANG2) </v>
      </c>
      <c r="V3903" s="35" t="str">
        <f>IFERROR(__xludf.DUMMYFUNCTION("""COMPUTED_VALUE"""),"ba")</f>
        <v>ba</v>
      </c>
      <c r="W3903" s="45"/>
    </row>
    <row r="3904">
      <c r="A3904" s="45"/>
      <c r="B3904" s="35" t="str">
        <f>IFERROR(__xludf.DUMMYFUNCTION("""COMPUTED_VALUE"""),"06/06/2026 14:48:36")</f>
        <v>06/06/2026 14:48:36</v>
      </c>
      <c r="C3904" s="35"/>
      <c r="D3904" s="10">
        <f>IFERROR(__xludf.DUMMYFUNCTION("""COMPUTED_VALUE"""),46179.0)</f>
        <v>46179</v>
      </c>
      <c r="E3904" s="35" t="str">
        <f>IFERROR(__xludf.DUMMYFUNCTION("""COMPUTED_VALUE"""),"06Jun")</f>
        <v>06Jun</v>
      </c>
      <c r="F3904" s="35"/>
      <c r="G3904" s="35" t="str">
        <f>IFERROR(__xludf.DUMMYFUNCTION("""COMPUTED_VALUE"""),"DIAH KURNIATI")</f>
        <v>DIAH KURNIATI</v>
      </c>
      <c r="H3904" s="35" t="str">
        <f>IFERROR(__xludf.DUMMYFUNCTION("""COMPUTED_VALUE"""),"D8026067741")</f>
        <v>D8026067741</v>
      </c>
      <c r="I3904" s="35">
        <f>IFERROR(__xludf.DUMMYFUNCTION("""COMPUTED_VALUE"""),45.0)</f>
        <v>45</v>
      </c>
      <c r="J3904" s="35" t="str">
        <f>IFERROR(__xludf.DUMMYFUNCTION("""COMPUTED_VALUE"""),"&gt; 44 tahun")</f>
        <v>&gt; 44 tahun</v>
      </c>
      <c r="K3904" s="35" t="str">
        <f>IFERROR(__xludf.DUMMYFUNCTION("""COMPUTED_VALUE"""),"13/12/1980")</f>
        <v>13/12/1980</v>
      </c>
      <c r="L3904" s="35" t="str">
        <f>IFERROR(__xludf.DUMMYFUNCTION("""COMPUTED_VALUE"""),"PEREMPUAN")</f>
        <v>PEREMPUAN</v>
      </c>
      <c r="M3904" s="35" t="str">
        <f>IFERROR(__xludf.DUMMYFUNCTION("""COMPUTED_VALUE"""),"JL. KHATULISTIWA GG. USAHA KELUARGA")</f>
        <v>JL. KHATULISTIWA GG. USAHA KELUARGA</v>
      </c>
      <c r="N3904" s="35" t="str">
        <f>IFERROR(__xludf.DUMMYFUNCTION("""COMPUTED_VALUE"""),"BATU LAYANG")</f>
        <v>BATU LAYANG</v>
      </c>
      <c r="O3904" s="35" t="str">
        <f>IFERROR(__xludf.DUMMYFUNCTION("""COMPUTED_VALUE"""),"PONTIANAK UTARA")</f>
        <v>PONTIANAK UTARA</v>
      </c>
      <c r="P3904" s="35" t="str">
        <f>IFERROR(__xludf.DUMMYFUNCTION("""COMPUTED_VALUE"""),"PONTIANAK")</f>
        <v>PONTIANAK</v>
      </c>
      <c r="Q3904" s="35" t="str">
        <f>IFERROR(__xludf.DUMMYFUNCTION("""COMPUTED_VALUE"""),"KALBAR")</f>
        <v>KALBAR</v>
      </c>
      <c r="R3904" s="35" t="str">
        <f>IFERROR(__xludf.DUMMYFUNCTION("""COMPUTED_VALUE"""),"ISLAM")</f>
        <v>ISLAM</v>
      </c>
      <c r="S3904" s="74" t="str">
        <f>IFERROR(__xludf.DUMMYFUNCTION("""COMPUTED_VALUE"""),"KRY SWASTA")</f>
        <v>KRY SWASTA</v>
      </c>
      <c r="T3904" s="35" t="str">
        <f>IFERROR(__xludf.DUMMYFUNCTION("""COMPUTED_VALUE"""),"KAKI KIRI SAKIT KETIKA DITEKUK")</f>
        <v>KAKI KIRI SAKIT KETIKA DITEKUK</v>
      </c>
      <c r="U3904" s="35" t="str">
        <f>IFERROR(__xludf.DUMMYFUNCTION("""COMPUTED_VALUE"""),"JALAN KAKI/DUDUK ")</f>
        <v>JALAN KAKI/DUDUK </v>
      </c>
      <c r="V3904" s="35" t="str">
        <f>IFERROR(__xludf.DUMMYFUNCTION("""COMPUTED_VALUE"""),"08134567741")</f>
        <v>08134567741</v>
      </c>
      <c r="W3904" s="45"/>
    </row>
    <row r="3905">
      <c r="A3905" s="45"/>
      <c r="B3905" s="35" t="str">
        <f>IFERROR(__xludf.DUMMYFUNCTION("""COMPUTED_VALUE"""),"06/06/2026 15:31:18")</f>
        <v>06/06/2026 15:31:18</v>
      </c>
      <c r="C3905" s="35"/>
      <c r="D3905" s="10">
        <f>IFERROR(__xludf.DUMMYFUNCTION("""COMPUTED_VALUE"""),46179.0)</f>
        <v>46179</v>
      </c>
      <c r="E3905" s="35" t="str">
        <f>IFERROR(__xludf.DUMMYFUNCTION("""COMPUTED_VALUE"""),"06Jun")</f>
        <v>06Jun</v>
      </c>
      <c r="F3905" s="35"/>
      <c r="G3905" s="35" t="str">
        <f>IFERROR(__xludf.DUMMYFUNCTION("""COMPUTED_VALUE"""),"HERMI HERMAWAN")</f>
        <v>HERMI HERMAWAN</v>
      </c>
      <c r="H3905" s="35" t="str">
        <f>IFERROR(__xludf.DUMMYFUNCTION("""COMPUTED_VALUE"""),"H8126067772")</f>
        <v>H8126067772</v>
      </c>
      <c r="I3905" s="35">
        <f>IFERROR(__xludf.DUMMYFUNCTION("""COMPUTED_VALUE"""),45.0)</f>
        <v>45</v>
      </c>
      <c r="J3905" s="35" t="str">
        <f>IFERROR(__xludf.DUMMYFUNCTION("""COMPUTED_VALUE"""),"&gt; 44 tahun")</f>
        <v>&gt; 44 tahun</v>
      </c>
      <c r="K3905" s="35" t="str">
        <f>IFERROR(__xludf.DUMMYFUNCTION("""COMPUTED_VALUE"""),"28/05/1981")</f>
        <v>28/05/1981</v>
      </c>
      <c r="L3905" s="35" t="str">
        <f>IFERROR(__xludf.DUMMYFUNCTION("""COMPUTED_VALUE"""),"LAKI-LAKI")</f>
        <v>LAKI-LAKI</v>
      </c>
      <c r="M3905" s="35" t="str">
        <f>IFERROR(__xludf.DUMMYFUNCTION("""COMPUTED_VALUE"""),"JL.SURYA GANG SURYA JINGGA NO.20A")</f>
        <v>JL.SURYA GANG SURYA JINGGA NO.20A</v>
      </c>
      <c r="N3905" s="35" t="str">
        <f>IFERROR(__xludf.DUMMYFUNCTION("""COMPUTED_VALUE"""),"AKCAYA")</f>
        <v>AKCAYA</v>
      </c>
      <c r="O3905" s="35" t="str">
        <f>IFERROR(__xludf.DUMMYFUNCTION("""COMPUTED_VALUE"""),"PONTIANAK SELATAN")</f>
        <v>PONTIANAK SELATAN</v>
      </c>
      <c r="P3905" s="35" t="str">
        <f>IFERROR(__xludf.DUMMYFUNCTION("""COMPUTED_VALUE"""),"KOTA PONTIANAK")</f>
        <v>KOTA PONTIANAK</v>
      </c>
      <c r="Q3905" s="35" t="str">
        <f>IFERROR(__xludf.DUMMYFUNCTION("""COMPUTED_VALUE"""),"KALIMANTAN BARAT")</f>
        <v>KALIMANTAN BARAT</v>
      </c>
      <c r="R3905" s="35" t="str">
        <f>IFERROR(__xludf.DUMMYFUNCTION("""COMPUTED_VALUE"""),"ISLAM")</f>
        <v>ISLAM</v>
      </c>
      <c r="S3905" s="74" t="str">
        <f>IFERROR(__xludf.DUMMYFUNCTION("""COMPUTED_VALUE"""),"SWASTA")</f>
        <v>SWASTA</v>
      </c>
      <c r="T3905" s="35" t="str">
        <f>IFERROR(__xludf.DUMMYFUNCTION("""COMPUTED_VALUE"""),"STROKE (KAKI LEMAH SEBELAH KIRI)")</f>
        <v>STROKE (KAKI LEMAH SEBELAH KIRI)</v>
      </c>
      <c r="U3905" s="35" t="str">
        <f>IFERROR(__xludf.DUMMYFUNCTION("""COMPUTED_VALUE"""),"JALAN")</f>
        <v>JALAN</v>
      </c>
      <c r="V3905" s="35" t="str">
        <f>IFERROR(__xludf.DUMMYFUNCTION("""COMPUTED_VALUE"""),"081257537772")</f>
        <v>081257537772</v>
      </c>
      <c r="W3905" s="45"/>
    </row>
    <row r="3906">
      <c r="A3906" s="45"/>
      <c r="B3906" s="35" t="str">
        <f>IFERROR(__xludf.DUMMYFUNCTION("""COMPUTED_VALUE"""),"06/06/2026 14:48:36")</f>
        <v>06/06/2026 14:48:36</v>
      </c>
      <c r="C3906" s="35"/>
      <c r="D3906" s="10">
        <f>IFERROR(__xludf.DUMMYFUNCTION("""COMPUTED_VALUE"""),46179.0)</f>
        <v>46179</v>
      </c>
      <c r="E3906" s="35" t="str">
        <f>IFERROR(__xludf.DUMMYFUNCTION("""COMPUTED_VALUE"""),"06Jun")</f>
        <v>06Jun</v>
      </c>
      <c r="F3906" s="35"/>
      <c r="G3906" s="35" t="str">
        <f>IFERROR(__xludf.DUMMYFUNCTION("""COMPUTED_VALUE"""),"DIAH KURNIATI")</f>
        <v>DIAH KURNIATI</v>
      </c>
      <c r="H3906" s="35" t="str">
        <f>IFERROR(__xludf.DUMMYFUNCTION("""COMPUTED_VALUE"""),"D8026067741")</f>
        <v>D8026067741</v>
      </c>
      <c r="I3906" s="35">
        <f>IFERROR(__xludf.DUMMYFUNCTION("""COMPUTED_VALUE"""),45.0)</f>
        <v>45</v>
      </c>
      <c r="J3906" s="35" t="str">
        <f>IFERROR(__xludf.DUMMYFUNCTION("""COMPUTED_VALUE"""),"&gt; 44 tahun")</f>
        <v>&gt; 44 tahun</v>
      </c>
      <c r="K3906" s="35" t="str">
        <f>IFERROR(__xludf.DUMMYFUNCTION("""COMPUTED_VALUE"""),"13/12/1980")</f>
        <v>13/12/1980</v>
      </c>
      <c r="L3906" s="35" t="str">
        <f>IFERROR(__xludf.DUMMYFUNCTION("""COMPUTED_VALUE"""),"PEREMPUAN")</f>
        <v>PEREMPUAN</v>
      </c>
      <c r="M3906" s="35" t="str">
        <f>IFERROR(__xludf.DUMMYFUNCTION("""COMPUTED_VALUE"""),"JL. KHATULISTIWA GG. USAHA KELUARGA")</f>
        <v>JL. KHATULISTIWA GG. USAHA KELUARGA</v>
      </c>
      <c r="N3906" s="35" t="str">
        <f>IFERROR(__xludf.DUMMYFUNCTION("""COMPUTED_VALUE"""),"BATU LAYANG")</f>
        <v>BATU LAYANG</v>
      </c>
      <c r="O3906" s="35" t="str">
        <f>IFERROR(__xludf.DUMMYFUNCTION("""COMPUTED_VALUE"""),"PONTIANAK UTARA")</f>
        <v>PONTIANAK UTARA</v>
      </c>
      <c r="P3906" s="35" t="str">
        <f>IFERROR(__xludf.DUMMYFUNCTION("""COMPUTED_VALUE"""),"PONTIANAK")</f>
        <v>PONTIANAK</v>
      </c>
      <c r="Q3906" s="35" t="str">
        <f>IFERROR(__xludf.DUMMYFUNCTION("""COMPUTED_VALUE"""),"KALBAR")</f>
        <v>KALBAR</v>
      </c>
      <c r="R3906" s="35" t="str">
        <f>IFERROR(__xludf.DUMMYFUNCTION("""COMPUTED_VALUE"""),"ISLAM")</f>
        <v>ISLAM</v>
      </c>
      <c r="S3906" s="74" t="str">
        <f>IFERROR(__xludf.DUMMYFUNCTION("""COMPUTED_VALUE"""),"KRY SWASTA")</f>
        <v>KRY SWASTA</v>
      </c>
      <c r="T3906" s="35" t="str">
        <f>IFERROR(__xludf.DUMMYFUNCTION("""COMPUTED_VALUE"""),"KAKI KIRI SAKIT KETIKA DITEKUK")</f>
        <v>KAKI KIRI SAKIT KETIKA DITEKUK</v>
      </c>
      <c r="U3906" s="35" t="str">
        <f>IFERROR(__xludf.DUMMYFUNCTION("""COMPUTED_VALUE"""),"JALAN KAKI/DUDUK ")</f>
        <v>JALAN KAKI/DUDUK </v>
      </c>
      <c r="V3906" s="35" t="str">
        <f>IFERROR(__xludf.DUMMYFUNCTION("""COMPUTED_VALUE"""),"08134567741")</f>
        <v>08134567741</v>
      </c>
      <c r="W3906" s="45"/>
    </row>
    <row r="3907">
      <c r="A3907" s="45"/>
      <c r="B3907" s="35" t="str">
        <f>IFERROR(__xludf.DUMMYFUNCTION("""COMPUTED_VALUE"""),"06/06/2026 15:31:18")</f>
        <v>06/06/2026 15:31:18</v>
      </c>
      <c r="C3907" s="35"/>
      <c r="D3907" s="10">
        <f>IFERROR(__xludf.DUMMYFUNCTION("""COMPUTED_VALUE"""),46179.0)</f>
        <v>46179</v>
      </c>
      <c r="E3907" s="35" t="str">
        <f>IFERROR(__xludf.DUMMYFUNCTION("""COMPUTED_VALUE"""),"06Jun")</f>
        <v>06Jun</v>
      </c>
      <c r="F3907" s="35"/>
      <c r="G3907" s="35" t="str">
        <f>IFERROR(__xludf.DUMMYFUNCTION("""COMPUTED_VALUE"""),"HERMI HERMAWAN")</f>
        <v>HERMI HERMAWAN</v>
      </c>
      <c r="H3907" s="35" t="str">
        <f>IFERROR(__xludf.DUMMYFUNCTION("""COMPUTED_VALUE"""),"H8126067772")</f>
        <v>H8126067772</v>
      </c>
      <c r="I3907" s="35">
        <f>IFERROR(__xludf.DUMMYFUNCTION("""COMPUTED_VALUE"""),45.0)</f>
        <v>45</v>
      </c>
      <c r="J3907" s="35" t="str">
        <f>IFERROR(__xludf.DUMMYFUNCTION("""COMPUTED_VALUE"""),"&gt; 44 tahun")</f>
        <v>&gt; 44 tahun</v>
      </c>
      <c r="K3907" s="35" t="str">
        <f>IFERROR(__xludf.DUMMYFUNCTION("""COMPUTED_VALUE"""),"28/05/1981")</f>
        <v>28/05/1981</v>
      </c>
      <c r="L3907" s="35" t="str">
        <f>IFERROR(__xludf.DUMMYFUNCTION("""COMPUTED_VALUE"""),"LAKI-LAKI")</f>
        <v>LAKI-LAKI</v>
      </c>
      <c r="M3907" s="35" t="str">
        <f>IFERROR(__xludf.DUMMYFUNCTION("""COMPUTED_VALUE"""),"JL.SURYA GANG SURYA JINGGA NO.20A")</f>
        <v>JL.SURYA GANG SURYA JINGGA NO.20A</v>
      </c>
      <c r="N3907" s="35" t="str">
        <f>IFERROR(__xludf.DUMMYFUNCTION("""COMPUTED_VALUE"""),"AKCAYA")</f>
        <v>AKCAYA</v>
      </c>
      <c r="O3907" s="35" t="str">
        <f>IFERROR(__xludf.DUMMYFUNCTION("""COMPUTED_VALUE"""),"PONTIANAK SELATAN")</f>
        <v>PONTIANAK SELATAN</v>
      </c>
      <c r="P3907" s="35" t="str">
        <f>IFERROR(__xludf.DUMMYFUNCTION("""COMPUTED_VALUE"""),"KOTA PONTIANAK")</f>
        <v>KOTA PONTIANAK</v>
      </c>
      <c r="Q3907" s="35" t="str">
        <f>IFERROR(__xludf.DUMMYFUNCTION("""COMPUTED_VALUE"""),"KALIMANTAN BARAT")</f>
        <v>KALIMANTAN BARAT</v>
      </c>
      <c r="R3907" s="35" t="str">
        <f>IFERROR(__xludf.DUMMYFUNCTION("""COMPUTED_VALUE"""),"ISLAM")</f>
        <v>ISLAM</v>
      </c>
      <c r="S3907" s="74" t="str">
        <f>IFERROR(__xludf.DUMMYFUNCTION("""COMPUTED_VALUE"""),"SWASTA")</f>
        <v>SWASTA</v>
      </c>
      <c r="T3907" s="35" t="str">
        <f>IFERROR(__xludf.DUMMYFUNCTION("""COMPUTED_VALUE"""),"STROKE (KAKI LEMAH SEBELAH KIRI)")</f>
        <v>STROKE (KAKI LEMAH SEBELAH KIRI)</v>
      </c>
      <c r="U3907" s="35" t="str">
        <f>IFERROR(__xludf.DUMMYFUNCTION("""COMPUTED_VALUE"""),"JALAN")</f>
        <v>JALAN</v>
      </c>
      <c r="V3907" s="35" t="str">
        <f>IFERROR(__xludf.DUMMYFUNCTION("""COMPUTED_VALUE"""),"081257537772")</f>
        <v>081257537772</v>
      </c>
      <c r="W3907" s="45"/>
    </row>
    <row r="3908">
      <c r="A3908" s="45"/>
      <c r="B3908" s="35" t="str">
        <f>IFERROR(__xludf.DUMMYFUNCTION("""COMPUTED_VALUE"""),"06/06/2026 15:50:59")</f>
        <v>06/06/2026 15:50:59</v>
      </c>
      <c r="C3908" s="35"/>
      <c r="D3908" s="10">
        <f>IFERROR(__xludf.DUMMYFUNCTION("""COMPUTED_VALUE"""),46179.0)</f>
        <v>46179</v>
      </c>
      <c r="E3908" s="35" t="str">
        <f>IFERROR(__xludf.DUMMYFUNCTION("""COMPUTED_VALUE"""),"06Jun")</f>
        <v>06Jun</v>
      </c>
      <c r="F3908" s="35"/>
      <c r="G3908" s="35" t="str">
        <f>IFERROR(__xludf.DUMMYFUNCTION("""COMPUTED_VALUE"""),"DARA APRILA YUSLYANI")</f>
        <v>DARA APRILA YUSLYANI</v>
      </c>
      <c r="H3908" s="35" t="str">
        <f>IFERROR(__xludf.DUMMYFUNCTION("""COMPUTED_VALUE"""),"D9526063678")</f>
        <v>D9526063678</v>
      </c>
      <c r="I3908" s="35">
        <f>IFERROR(__xludf.DUMMYFUNCTION("""COMPUTED_VALUE"""),31.0)</f>
        <v>31</v>
      </c>
      <c r="J3908" s="35" t="str">
        <f>IFERROR(__xludf.DUMMYFUNCTION("""COMPUTED_VALUE"""),"25-34 tahun")</f>
        <v>25-34 tahun</v>
      </c>
      <c r="K3908" s="35" t="str">
        <f>IFERROR(__xludf.DUMMYFUNCTION("""COMPUTED_VALUE"""),"14/04/1995")</f>
        <v>14/04/1995</v>
      </c>
      <c r="L3908" s="35" t="str">
        <f>IFERROR(__xludf.DUMMYFUNCTION("""COMPUTED_VALUE"""),"PEREMPUAN")</f>
        <v>PEREMPUAN</v>
      </c>
      <c r="M3908" s="35" t="str">
        <f>IFERROR(__xludf.DUMMYFUNCTION("""COMPUTED_VALUE"""),"JL HUSEIN HAMZAH GG KRAKATAU 3")</f>
        <v>JL HUSEIN HAMZAH GG KRAKATAU 3</v>
      </c>
      <c r="N3908" s="35" t="str">
        <f>IFERROR(__xludf.DUMMYFUNCTION("""COMPUTED_VALUE"""),"SUNGAI JAWI DALAM")</f>
        <v>SUNGAI JAWI DALAM</v>
      </c>
      <c r="O3908" s="35" t="str">
        <f>IFERROR(__xludf.DUMMYFUNCTION("""COMPUTED_VALUE"""),"PONTIANAK BARAT")</f>
        <v>PONTIANAK BARAT</v>
      </c>
      <c r="P3908" s="35" t="str">
        <f>IFERROR(__xludf.DUMMYFUNCTION("""COMPUTED_VALUE"""),"KOTA PONTIA AK")</f>
        <v>KOTA PONTIA AK</v>
      </c>
      <c r="Q3908" s="35" t="str">
        <f>IFERROR(__xludf.DUMMYFUNCTION("""COMPUTED_VALUE"""),"KALIMANTAN BARAT")</f>
        <v>KALIMANTAN BARAT</v>
      </c>
      <c r="R3908" s="35" t="str">
        <f>IFERROR(__xludf.DUMMYFUNCTION("""COMPUTED_VALUE"""),"ISLAM")</f>
        <v>ISLAM</v>
      </c>
      <c r="S3908" s="74" t="str">
        <f>IFERROR(__xludf.DUMMYFUNCTION("""COMPUTED_VALUE"""),"POLRI")</f>
        <v>POLRI</v>
      </c>
      <c r="T3908" s="35" t="str">
        <f>IFERROR(__xludf.DUMMYFUNCTION("""COMPUTED_VALUE"""),"LUTUT KANAN KIRI KAKU")</f>
        <v>LUTUT KANAN KIRI KAKU</v>
      </c>
      <c r="U3908" s="35" t="str">
        <f>IFERROR(__xludf.DUMMYFUNCTION("""COMPUTED_VALUE"""),"OLAHRAGA")</f>
        <v>OLAHRAGA</v>
      </c>
      <c r="V3908" s="35" t="str">
        <f>IFERROR(__xludf.DUMMYFUNCTION("""COMPUTED_VALUE"""),"072255353678")</f>
        <v>072255353678</v>
      </c>
      <c r="W3908" s="45"/>
    </row>
    <row r="3909">
      <c r="A3909" s="45"/>
      <c r="B3909" s="35" t="str">
        <f>IFERROR(__xludf.DUMMYFUNCTION("""COMPUTED_VALUE"""),"06/06/2026 19:19:10")</f>
        <v>06/06/2026 19:19:10</v>
      </c>
      <c r="C3909" s="35"/>
      <c r="D3909" s="10">
        <f>IFERROR(__xludf.DUMMYFUNCTION("""COMPUTED_VALUE"""),46179.0)</f>
        <v>46179</v>
      </c>
      <c r="E3909" s="35" t="str">
        <f>IFERROR(__xludf.DUMMYFUNCTION("""COMPUTED_VALUE"""),"06Jun")</f>
        <v>06Jun</v>
      </c>
      <c r="F3909" s="35"/>
      <c r="G3909" s="35" t="str">
        <f>IFERROR(__xludf.DUMMYFUNCTION("""COMPUTED_VALUE"""),"ROBIYATI")</f>
        <v>ROBIYATI</v>
      </c>
      <c r="H3909" s="35" t="str">
        <f>IFERROR(__xludf.DUMMYFUNCTION("""COMPUTED_VALUE"""),"R7626066583")</f>
        <v>R7626066583</v>
      </c>
      <c r="I3909" s="35">
        <f>IFERROR(__xludf.DUMMYFUNCTION("""COMPUTED_VALUE"""),49.0)</f>
        <v>49</v>
      </c>
      <c r="J3909" s="35" t="str">
        <f>IFERROR(__xludf.DUMMYFUNCTION("""COMPUTED_VALUE"""),"&gt; 44 tahun")</f>
        <v>&gt; 44 tahun</v>
      </c>
      <c r="K3909" s="35" t="str">
        <f>IFERROR(__xludf.DUMMYFUNCTION("""COMPUTED_VALUE"""),"28/07/1976")</f>
        <v>28/07/1976</v>
      </c>
      <c r="L3909" s="35" t="str">
        <f>IFERROR(__xludf.DUMMYFUNCTION("""COMPUTED_VALUE"""),"PEREMPUAN")</f>
        <v>PEREMPUAN</v>
      </c>
      <c r="M3909" s="35" t="str">
        <f>IFERROR(__xludf.DUMMYFUNCTION("""COMPUTED_VALUE"""),"JL KARYA SOSIAL KOMP BALI ASRI 2 BLOK F 14")</f>
        <v>JL KARYA SOSIAL KOMP BALI ASRI 2 BLOK F 14</v>
      </c>
      <c r="N3909" s="35" t="str">
        <f>IFERROR(__xludf.DUMMYFUNCTION("""COMPUTED_VALUE"""),"PAL SEMBILAN ")</f>
        <v>PAL SEMBILAN </v>
      </c>
      <c r="O3909" s="35" t="str">
        <f>IFERROR(__xludf.DUMMYFUNCTION("""COMPUTED_VALUE"""),"SUNGAI KAKAP")</f>
        <v>SUNGAI KAKAP</v>
      </c>
      <c r="P3909" s="35" t="str">
        <f>IFERROR(__xludf.DUMMYFUNCTION("""COMPUTED_VALUE"""),"KUBU RAYA ")</f>
        <v>KUBU RAYA </v>
      </c>
      <c r="Q3909" s="35" t="str">
        <f>IFERROR(__xludf.DUMMYFUNCTION("""COMPUTED_VALUE"""),"KALIMANTAN BARAT ")</f>
        <v>KALIMANTAN BARAT </v>
      </c>
      <c r="R3909" s="35" t="str">
        <f>IFERROR(__xludf.DUMMYFUNCTION("""COMPUTED_VALUE"""),"ISLAM")</f>
        <v>ISLAM</v>
      </c>
      <c r="S3909" s="74" t="str">
        <f>IFERROR(__xludf.DUMMYFUNCTION("""COMPUTED_VALUE"""),"IRT")</f>
        <v>IRT</v>
      </c>
      <c r="T3909" s="35" t="str">
        <f>IFERROR(__xludf.DUMMYFUNCTION("""COMPUTED_VALUE"""),"KEBAS KAKI DAN TANGAN ")</f>
        <v>KEBAS KAKI DAN TANGAN </v>
      </c>
      <c r="U3909" s="35" t="str">
        <f>IFERROR(__xludf.DUMMYFUNCTION("""COMPUTED_VALUE"""),"TIDAK ADA ")</f>
        <v>TIDAK ADA </v>
      </c>
      <c r="V3909" s="35" t="str">
        <f>IFERROR(__xludf.DUMMYFUNCTION("""COMPUTED_VALUE"""),"087725986583")</f>
        <v>087725986583</v>
      </c>
      <c r="W3909" s="45"/>
    </row>
    <row r="3910">
      <c r="A3910" s="45"/>
      <c r="B3910" s="35" t="str">
        <f>IFERROR(__xludf.DUMMYFUNCTION("""COMPUTED_VALUE"""),"06/06/2026 19:55:51")</f>
        <v>06/06/2026 19:55:51</v>
      </c>
      <c r="C3910" s="35"/>
      <c r="D3910" s="10">
        <f>IFERROR(__xludf.DUMMYFUNCTION("""COMPUTED_VALUE"""),46179.0)</f>
        <v>46179</v>
      </c>
      <c r="E3910" s="35" t="str">
        <f>IFERROR(__xludf.DUMMYFUNCTION("""COMPUTED_VALUE"""),"06Jun")</f>
        <v>06Jun</v>
      </c>
      <c r="F3910" s="35"/>
      <c r="G3910" s="35" t="str">
        <f>IFERROR(__xludf.DUMMYFUNCTION("""COMPUTED_VALUE"""),"KUKUH WIDADI")</f>
        <v>KUKUH WIDADI</v>
      </c>
      <c r="H3910" s="35" t="str">
        <f>IFERROR(__xludf.DUMMYFUNCTION("""COMPUTED_VALUE"""),"K9026061487")</f>
        <v>K9026061487</v>
      </c>
      <c r="I3910" s="35">
        <f>IFERROR(__xludf.DUMMYFUNCTION("""COMPUTED_VALUE"""),35.0)</f>
        <v>35</v>
      </c>
      <c r="J3910" s="35" t="str">
        <f>IFERROR(__xludf.DUMMYFUNCTION("""COMPUTED_VALUE"""),"35-44 tahun")</f>
        <v>35-44 tahun</v>
      </c>
      <c r="K3910" s="35" t="str">
        <f>IFERROR(__xludf.DUMMYFUNCTION("""COMPUTED_VALUE"""),"17/09/1990")</f>
        <v>17/09/1990</v>
      </c>
      <c r="L3910" s="35" t="str">
        <f>IFERROR(__xludf.DUMMYFUNCTION("""COMPUTED_VALUE"""),"LAKI-LAKI")</f>
        <v>LAKI-LAKI</v>
      </c>
      <c r="M3910" s="35" t="str">
        <f>IFERROR(__xludf.DUMMYFUNCTION("""COMPUTED_VALUE"""),"KOMPLEK MEKAR BARU REGENCY BLOK D NI 16")</f>
        <v>KOMPLEK MEKAR BARU REGENCY BLOK D NI 16</v>
      </c>
      <c r="N3910" s="35" t="str">
        <f>IFERROR(__xludf.DUMMYFUNCTION("""COMPUTED_VALUE"""),"MEKAR BARU")</f>
        <v>MEKAR BARU</v>
      </c>
      <c r="O3910" s="35" t="str">
        <f>IFERROR(__xludf.DUMMYFUNCTION("""COMPUTED_VALUE"""),"SUNGAI RAYA")</f>
        <v>SUNGAI RAYA</v>
      </c>
      <c r="P3910" s="35" t="str">
        <f>IFERROR(__xludf.DUMMYFUNCTION("""COMPUTED_VALUE"""),"KUBU RAYA")</f>
        <v>KUBU RAYA</v>
      </c>
      <c r="Q3910" s="35" t="str">
        <f>IFERROR(__xludf.DUMMYFUNCTION("""COMPUTED_VALUE"""),"KALBAR")</f>
        <v>KALBAR</v>
      </c>
      <c r="R3910" s="35" t="str">
        <f>IFERROR(__xludf.DUMMYFUNCTION("""COMPUTED_VALUE"""),"ISLAM")</f>
        <v>ISLAM</v>
      </c>
      <c r="S3910" s="74" t="str">
        <f>IFERROR(__xludf.DUMMYFUNCTION("""COMPUTED_VALUE"""),"SWASTA ")</f>
        <v>SWASTA </v>
      </c>
      <c r="T3910" s="35" t="str">
        <f>IFERROR(__xludf.DUMMYFUNCTION("""COMPUTED_VALUE"""),"PERGELANGAN KAKI JEMPOL BENGKAK DAN SAKIT UNTUK JALAN")</f>
        <v>PERGELANGAN KAKI JEMPOL BENGKAK DAN SAKIT UNTUK JALAN</v>
      </c>
      <c r="U3910" s="35" t="str">
        <f>IFERROR(__xludf.DUMMYFUNCTION("""COMPUTED_VALUE"""),"KERJA")</f>
        <v>KERJA</v>
      </c>
      <c r="V3910" s="35" t="str">
        <f>IFERROR(__xludf.DUMMYFUNCTION("""COMPUTED_VALUE"""),"089665151487")</f>
        <v>089665151487</v>
      </c>
      <c r="W3910" s="45"/>
    </row>
    <row r="3911">
      <c r="A3911" s="45"/>
      <c r="B3911" s="35" t="str">
        <f>IFERROR(__xludf.DUMMYFUNCTION("""COMPUTED_VALUE"""),"07/06/2026 9:28:34")</f>
        <v>07/06/2026 9:28:34</v>
      </c>
      <c r="C3911" s="35"/>
      <c r="D3911" s="10">
        <f>IFERROR(__xludf.DUMMYFUNCTION("""COMPUTED_VALUE"""),46180.0)</f>
        <v>46180</v>
      </c>
      <c r="E3911" s="35" t="str">
        <f>IFERROR(__xludf.DUMMYFUNCTION("""COMPUTED_VALUE"""),"06Jun")</f>
        <v>06Jun</v>
      </c>
      <c r="F3911" s="35"/>
      <c r="G3911" s="35" t="str">
        <f>IFERROR(__xludf.DUMMYFUNCTION("""COMPUTED_VALUE"""),"HABIBULLAH")</f>
        <v>HABIBULLAH</v>
      </c>
      <c r="H3911" s="35" t="str">
        <f>IFERROR(__xludf.DUMMYFUNCTION("""COMPUTED_VALUE"""),"H7626060660")</f>
        <v>H7626060660</v>
      </c>
      <c r="I3911" s="35">
        <f>IFERROR(__xludf.DUMMYFUNCTION("""COMPUTED_VALUE"""),49.0)</f>
        <v>49</v>
      </c>
      <c r="J3911" s="35" t="str">
        <f>IFERROR(__xludf.DUMMYFUNCTION("""COMPUTED_VALUE"""),"&gt; 44 tahun")</f>
        <v>&gt; 44 tahun</v>
      </c>
      <c r="K3911" s="35" t="str">
        <f>IFERROR(__xludf.DUMMYFUNCTION("""COMPUTED_VALUE"""),"05/07/1976")</f>
        <v>05/07/1976</v>
      </c>
      <c r="L3911" s="35" t="str">
        <f>IFERROR(__xludf.DUMMYFUNCTION("""COMPUTED_VALUE"""),"LAKI-LAKI")</f>
        <v>LAKI-LAKI</v>
      </c>
      <c r="M3911" s="35" t="str">
        <f>IFERROR(__xludf.DUMMYFUNCTION("""COMPUTED_VALUE"""),"JL.AMPERA KOMPLEK PERMATA AMPERA BLOK F10")</f>
        <v>JL.AMPERA KOMPLEK PERMATA AMPERA BLOK F10</v>
      </c>
      <c r="N3911" s="35" t="str">
        <f>IFERROR(__xludf.DUMMYFUNCTION("""COMPUTED_VALUE"""),"SUNGAI  JAWI")</f>
        <v>SUNGAI  JAWI</v>
      </c>
      <c r="O3911" s="35" t="str">
        <f>IFERROR(__xludf.DUMMYFUNCTION("""COMPUTED_VALUE"""),"PONTIANAK KOTA")</f>
        <v>PONTIANAK KOTA</v>
      </c>
      <c r="P3911" s="35" t="str">
        <f>IFERROR(__xludf.DUMMYFUNCTION("""COMPUTED_VALUE"""),"PONTIANAK")</f>
        <v>PONTIANAK</v>
      </c>
      <c r="Q3911" s="35" t="str">
        <f>IFERROR(__xludf.DUMMYFUNCTION("""COMPUTED_VALUE"""),"KALIMANTAN BARAT")</f>
        <v>KALIMANTAN BARAT</v>
      </c>
      <c r="R3911" s="35" t="str">
        <f>IFERROR(__xludf.DUMMYFUNCTION("""COMPUTED_VALUE"""),"ISLAM")</f>
        <v>ISLAM</v>
      </c>
      <c r="S3911" s="74" t="str">
        <f>IFERROR(__xludf.DUMMYFUNCTION("""COMPUTED_VALUE"""),"SWASTA")</f>
        <v>SWASTA</v>
      </c>
      <c r="T3911" s="35" t="str">
        <f>IFERROR(__xludf.DUMMYFUNCTION("""COMPUTED_VALUE"""),"BANGUN TIDUR JARI JARI SEBELAH KIRI KAKU SULIT DIGERAKAN DISERTAI NYERI")</f>
        <v>BANGUN TIDUR JARI JARI SEBELAH KIRI KAKU SULIT DIGERAKAN DISERTAI NYERI</v>
      </c>
      <c r="U3911" s="35" t="str">
        <f>IFERROR(__xludf.DUMMYFUNCTION("""COMPUTED_VALUE"""),"SERING MENGGUNAKAN LAPTOP")</f>
        <v>SERING MENGGUNAKAN LAPTOP</v>
      </c>
      <c r="V3911" s="35" t="str">
        <f>IFERROR(__xludf.DUMMYFUNCTION("""COMPUTED_VALUE"""),"081253430660")</f>
        <v>081253430660</v>
      </c>
      <c r="W3911" s="45"/>
    </row>
    <row r="3912">
      <c r="A3912" s="45"/>
      <c r="B3912" s="35" t="str">
        <f>IFERROR(__xludf.DUMMYFUNCTION("""COMPUTED_VALUE"""),"07/06/2026 10:22:34")</f>
        <v>07/06/2026 10:22:34</v>
      </c>
      <c r="C3912" s="35"/>
      <c r="D3912" s="10">
        <f>IFERROR(__xludf.DUMMYFUNCTION("""COMPUTED_VALUE"""),46180.0)</f>
        <v>46180</v>
      </c>
      <c r="E3912" s="35" t="str">
        <f>IFERROR(__xludf.DUMMYFUNCTION("""COMPUTED_VALUE"""),"06Jun")</f>
        <v>06Jun</v>
      </c>
      <c r="F3912" s="35"/>
      <c r="G3912" s="35" t="str">
        <f>IFERROR(__xludf.DUMMYFUNCTION("""COMPUTED_VALUE"""),"SYARIF MAUDUDI ANSARI")</f>
        <v>SYARIF MAUDUDI ANSARI</v>
      </c>
      <c r="H3912" s="35" t="str">
        <f>IFERROR(__xludf.DUMMYFUNCTION("""COMPUTED_VALUE"""),"S9026069284")</f>
        <v>S9026069284</v>
      </c>
      <c r="I3912" s="35">
        <f>IFERROR(__xludf.DUMMYFUNCTION("""COMPUTED_VALUE"""),36.0)</f>
        <v>36</v>
      </c>
      <c r="J3912" s="35" t="str">
        <f>IFERROR(__xludf.DUMMYFUNCTION("""COMPUTED_VALUE"""),"35-44 tahun")</f>
        <v>35-44 tahun</v>
      </c>
      <c r="K3912" s="35" t="str">
        <f>IFERROR(__xludf.DUMMYFUNCTION("""COMPUTED_VALUE"""),"18/03/1990")</f>
        <v>18/03/1990</v>
      </c>
      <c r="L3912" s="35" t="str">
        <f>IFERROR(__xludf.DUMMYFUNCTION("""COMPUTED_VALUE"""),"LAKI-LAKI")</f>
        <v>LAKI-LAKI</v>
      </c>
      <c r="M3912" s="35" t="str">
        <f>IFERROR(__xludf.DUMMYFUNCTION("""COMPUTED_VALUE"""),"JL. DANAU SENTARUM GG.HIDAYATULLAH NO 19")</f>
        <v>JL. DANAU SENTARUM GG.HIDAYATULLAH NO 19</v>
      </c>
      <c r="N3912" s="35" t="str">
        <f>IFERROR(__xludf.DUMMYFUNCTION("""COMPUTED_VALUE"""),"KELURAHAN SUNGAI BANGKONG")</f>
        <v>KELURAHAN SUNGAI BANGKONG</v>
      </c>
      <c r="O3912" s="35" t="str">
        <f>IFERROR(__xludf.DUMMYFUNCTION("""COMPUTED_VALUE"""),"KECAMATAN PONTIANAK KOTA")</f>
        <v>KECAMATAN PONTIANAK KOTA</v>
      </c>
      <c r="P3912" s="35" t="str">
        <f>IFERROR(__xludf.DUMMYFUNCTION("""COMPUTED_VALUE"""),"KOTA PONTIANAK")</f>
        <v>KOTA PONTIANAK</v>
      </c>
      <c r="Q3912" s="35" t="str">
        <f>IFERROR(__xludf.DUMMYFUNCTION("""COMPUTED_VALUE"""),"KALIMANTAN BARAT")</f>
        <v>KALIMANTAN BARAT</v>
      </c>
      <c r="R3912" s="35" t="str">
        <f>IFERROR(__xludf.DUMMYFUNCTION("""COMPUTED_VALUE"""),"ISLAM")</f>
        <v>ISLAM</v>
      </c>
      <c r="S3912" s="74" t="str">
        <f>IFERROR(__xludf.DUMMYFUNCTION("""COMPUTED_VALUE"""),"PNS")</f>
        <v>PNS</v>
      </c>
      <c r="T3912" s="35" t="str">
        <f>IFERROR(__xludf.DUMMYFUNCTION("""COMPUTED_VALUE"""),"CIDERA SELANGKANGAN KAKI MAIN BOLA")</f>
        <v>CIDERA SELANGKANGAN KAKI MAIN BOLA</v>
      </c>
      <c r="U3912" s="35" t="str">
        <f>IFERROR(__xludf.DUMMYFUNCTION("""COMPUTED_VALUE"""),"BERMAIN BOLA")</f>
        <v>BERMAIN BOLA</v>
      </c>
      <c r="V3912" s="35" t="str">
        <f>IFERROR(__xludf.DUMMYFUNCTION("""COMPUTED_VALUE"""),"085245959284")</f>
        <v>085245959284</v>
      </c>
      <c r="W3912" s="45"/>
    </row>
    <row r="3913">
      <c r="A3913" s="45"/>
      <c r="B3913" s="35" t="str">
        <f>IFERROR(__xludf.DUMMYFUNCTION("""COMPUTED_VALUE"""),"07/06/2026 11:59:47")</f>
        <v>07/06/2026 11:59:47</v>
      </c>
      <c r="C3913" s="35"/>
      <c r="D3913" s="10">
        <f>IFERROR(__xludf.DUMMYFUNCTION("""COMPUTED_VALUE"""),46180.0)</f>
        <v>46180</v>
      </c>
      <c r="E3913" s="35" t="str">
        <f>IFERROR(__xludf.DUMMYFUNCTION("""COMPUTED_VALUE"""),"06Jun")</f>
        <v>06Jun</v>
      </c>
      <c r="F3913" s="35"/>
      <c r="G3913" s="35" t="str">
        <f>IFERROR(__xludf.DUMMYFUNCTION("""COMPUTED_VALUE"""),"ARINI")</f>
        <v>ARINI</v>
      </c>
      <c r="H3913" s="35" t="str">
        <f>IFERROR(__xludf.DUMMYFUNCTION("""COMPUTED_VALUE"""),"A7726065868")</f>
        <v>A7726065868</v>
      </c>
      <c r="I3913" s="35">
        <f>IFERROR(__xludf.DUMMYFUNCTION("""COMPUTED_VALUE"""),49.0)</f>
        <v>49</v>
      </c>
      <c r="J3913" s="35" t="str">
        <f>IFERROR(__xludf.DUMMYFUNCTION("""COMPUTED_VALUE"""),"&gt; 44 tahun")</f>
        <v>&gt; 44 tahun</v>
      </c>
      <c r="K3913" s="35" t="str">
        <f>IFERROR(__xludf.DUMMYFUNCTION("""COMPUTED_VALUE"""),"20/04/1977")</f>
        <v>20/04/1977</v>
      </c>
      <c r="L3913" s="35" t="str">
        <f>IFERROR(__xludf.DUMMYFUNCTION("""COMPUTED_VALUE"""),"PEREMPUAN")</f>
        <v>PEREMPUAN</v>
      </c>
      <c r="M3913" s="35" t="str">
        <f>IFERROR(__xludf.DUMMYFUNCTION("""COMPUTED_VALUE"""),"DR AETIA BUDI 2 /15")</f>
        <v>DR AETIA BUDI 2 /15</v>
      </c>
      <c r="N3913" s="35" t="str">
        <f>IFERROR(__xludf.DUMMYFUNCTION("""COMPUTED_VALUE"""),"BENUA MELAYU DARAT")</f>
        <v>BENUA MELAYU DARAT</v>
      </c>
      <c r="O3913" s="35" t="str">
        <f>IFERROR(__xludf.DUMMYFUNCTION("""COMPUTED_VALUE"""),"PONTIANAK SELATAN")</f>
        <v>PONTIANAK SELATAN</v>
      </c>
      <c r="P3913" s="35" t="str">
        <f>IFERROR(__xludf.DUMMYFUNCTION("""COMPUTED_VALUE"""),"PONTIANAK")</f>
        <v>PONTIANAK</v>
      </c>
      <c r="Q3913" s="35" t="str">
        <f>IFERROR(__xludf.DUMMYFUNCTION("""COMPUTED_VALUE"""),"KALBAR")</f>
        <v>KALBAR</v>
      </c>
      <c r="R3913" s="35" t="str">
        <f>IFERROR(__xludf.DUMMYFUNCTION("""COMPUTED_VALUE"""),"PROTESTAN")</f>
        <v>PROTESTAN</v>
      </c>
      <c r="S3913" s="74" t="str">
        <f>IFERROR(__xludf.DUMMYFUNCTION("""COMPUTED_VALUE"""),"IRT")</f>
        <v>IRT</v>
      </c>
      <c r="T3913" s="35" t="str">
        <f>IFERROR(__xludf.DUMMYFUNCTION("""COMPUTED_VALUE"""),"SAKIT PADA BAHU ")</f>
        <v>SAKIT PADA BAHU </v>
      </c>
      <c r="U3913" s="35" t="str">
        <f>IFERROR(__xludf.DUMMYFUNCTION("""COMPUTED_VALUE"""),"GYM , POLE DANCE , DANCE ")</f>
        <v>GYM , POLE DANCE , DANCE </v>
      </c>
      <c r="V3913" s="35" t="str">
        <f>IFERROR(__xludf.DUMMYFUNCTION("""COMPUTED_VALUE"""),"08125605868")</f>
        <v>08125605868</v>
      </c>
      <c r="W3913" s="45"/>
    </row>
    <row r="3914">
      <c r="A3914" s="45"/>
      <c r="B3914" s="35" t="str">
        <f>IFERROR(__xludf.DUMMYFUNCTION("""COMPUTED_VALUE"""),"07/06/2026 13:31:40")</f>
        <v>07/06/2026 13:31:40</v>
      </c>
      <c r="C3914" s="35"/>
      <c r="D3914" s="10">
        <f>IFERROR(__xludf.DUMMYFUNCTION("""COMPUTED_VALUE"""),46180.0)</f>
        <v>46180</v>
      </c>
      <c r="E3914" s="35" t="str">
        <f>IFERROR(__xludf.DUMMYFUNCTION("""COMPUTED_VALUE"""),"06Jun")</f>
        <v>06Jun</v>
      </c>
      <c r="F3914" s="35"/>
      <c r="G3914" s="35" t="str">
        <f>IFERROR(__xludf.DUMMYFUNCTION("""COMPUTED_VALUE"""),"JAWARIYAH")</f>
        <v>JAWARIYAH</v>
      </c>
      <c r="H3914" s="35" t="str">
        <f>IFERROR(__xludf.DUMMYFUNCTION("""COMPUTED_VALUE"""),"J6426063757")</f>
        <v>J6426063757</v>
      </c>
      <c r="I3914" s="35">
        <f>IFERROR(__xludf.DUMMYFUNCTION("""COMPUTED_VALUE"""),62.0)</f>
        <v>62</v>
      </c>
      <c r="J3914" s="35" t="str">
        <f>IFERROR(__xludf.DUMMYFUNCTION("""COMPUTED_VALUE"""),"&gt; 44 tahun")</f>
        <v>&gt; 44 tahun</v>
      </c>
      <c r="K3914" s="35" t="str">
        <f>IFERROR(__xludf.DUMMYFUNCTION("""COMPUTED_VALUE"""),"01/01/1964")</f>
        <v>01/01/1964</v>
      </c>
      <c r="L3914" s="35" t="str">
        <f>IFERROR(__xludf.DUMMYFUNCTION("""COMPUTED_VALUE"""),"PEREMPUAN")</f>
        <v>PEREMPUAN</v>
      </c>
      <c r="M3914" s="35" t="str">
        <f>IFERROR(__xludf.DUMMYFUNCTION("""COMPUTED_VALUE"""),"SUNGAI MASJID, RT 008, RW 003")</f>
        <v>SUNGAI MASJID, RT 008, RW 003</v>
      </c>
      <c r="N3914" s="35" t="str">
        <f>IFERROR(__xludf.DUMMYFUNCTION("""COMPUTED_VALUE"""),"DESA MEDAN MAS")</f>
        <v>DESA MEDAN MAS</v>
      </c>
      <c r="O3914" s="35" t="str">
        <f>IFERROR(__xludf.DUMMYFUNCTION("""COMPUTED_VALUE"""),"BATU AMPAR")</f>
        <v>BATU AMPAR</v>
      </c>
      <c r="P3914" s="35" t="str">
        <f>IFERROR(__xludf.DUMMYFUNCTION("""COMPUTED_VALUE"""),"KUBU RAYA")</f>
        <v>KUBU RAYA</v>
      </c>
      <c r="Q3914" s="35" t="str">
        <f>IFERROR(__xludf.DUMMYFUNCTION("""COMPUTED_VALUE"""),"KALIMANTAN BARAT")</f>
        <v>KALIMANTAN BARAT</v>
      </c>
      <c r="R3914" s="35" t="str">
        <f>IFERROR(__xludf.DUMMYFUNCTION("""COMPUTED_VALUE"""),"ISLAM")</f>
        <v>ISLAM</v>
      </c>
      <c r="S3914" s="74" t="str">
        <f>IFERROR(__xludf.DUMMYFUNCTION("""COMPUTED_VALUE"""),"MENGURUS RUMAH TANGGA")</f>
        <v>MENGURUS RUMAH TANGGA</v>
      </c>
      <c r="T3914" s="35" t="str">
        <f>IFERROR(__xludf.DUMMYFUNCTION("""COMPUTED_VALUE"""),"SYARAF KEJEPIT, NYERI PINGGANG, PUNGGUNG, SAMPAI KE BETIS")</f>
        <v>SYARAF KEJEPIT, NYERI PINGGANG, PUNGGUNG, SAMPAI KE BETIS</v>
      </c>
      <c r="U3914" s="35" t="str">
        <f>IFERROR(__xludf.DUMMYFUNCTION("""COMPUTED_VALUE"""),"BERKEBUN DI PEKARANGAN RUMAH")</f>
        <v>BERKEBUN DI PEKARANGAN RUMAH</v>
      </c>
      <c r="V3914" s="35" t="str">
        <f>IFERROR(__xludf.DUMMYFUNCTION("""COMPUTED_VALUE"""),"085778433757")</f>
        <v>085778433757</v>
      </c>
      <c r="W3914" s="45"/>
    </row>
    <row r="3915">
      <c r="A3915" s="45"/>
      <c r="B3915" s="35" t="str">
        <f>IFERROR(__xludf.DUMMYFUNCTION("""COMPUTED_VALUE"""),"07/06/2026 13:34:01")</f>
        <v>07/06/2026 13:34:01</v>
      </c>
      <c r="C3915" s="35"/>
      <c r="D3915" s="10">
        <f>IFERROR(__xludf.DUMMYFUNCTION("""COMPUTED_VALUE"""),46180.0)</f>
        <v>46180</v>
      </c>
      <c r="E3915" s="35" t="str">
        <f>IFERROR(__xludf.DUMMYFUNCTION("""COMPUTED_VALUE"""),"06Jun")</f>
        <v>06Jun</v>
      </c>
      <c r="F3915" s="35"/>
      <c r="G3915" s="35" t="str">
        <f>IFERROR(__xludf.DUMMYFUNCTION("""COMPUTED_VALUE"""),"SHOCHIHATUZ")</f>
        <v>SHOCHIHATUZ</v>
      </c>
      <c r="H3915" s="35" t="str">
        <f>IFERROR(__xludf.DUMMYFUNCTION("""COMPUTED_VALUE"""),"S9426069383")</f>
        <v>S9426069383</v>
      </c>
      <c r="I3915" s="35">
        <f>IFERROR(__xludf.DUMMYFUNCTION("""COMPUTED_VALUE"""),31.0)</f>
        <v>31</v>
      </c>
      <c r="J3915" s="35" t="str">
        <f>IFERROR(__xludf.DUMMYFUNCTION("""COMPUTED_VALUE"""),"25-34 tahun")</f>
        <v>25-34 tahun</v>
      </c>
      <c r="K3915" s="35" t="str">
        <f>IFERROR(__xludf.DUMMYFUNCTION("""COMPUTED_VALUE"""),"18/06/1994")</f>
        <v>18/06/1994</v>
      </c>
      <c r="L3915" s="35" t="str">
        <f>IFERROR(__xludf.DUMMYFUNCTION("""COMPUTED_VALUE"""),"PEREMPUAN")</f>
        <v>PEREMPUAN</v>
      </c>
      <c r="M3915" s="35" t="str">
        <f>IFERROR(__xludf.DUMMYFUNCTION("""COMPUTED_VALUE"""),"PERUM MUTIARA ")</f>
        <v>PERUM MUTIARA </v>
      </c>
      <c r="N3915" s="35" t="str">
        <f>IFERROR(__xludf.DUMMYFUNCTION("""COMPUTED_VALUE"""),"MALANG")</f>
        <v>MALANG</v>
      </c>
      <c r="O3915" s="35" t="str">
        <f>IFERROR(__xludf.DUMMYFUNCTION("""COMPUTED_VALUE"""),"MALANG")</f>
        <v>MALANG</v>
      </c>
      <c r="P3915" s="35" t="str">
        <f>IFERROR(__xludf.DUMMYFUNCTION("""COMPUTED_VALUE"""),"MALANG")</f>
        <v>MALANG</v>
      </c>
      <c r="Q3915" s="35" t="str">
        <f>IFERROR(__xludf.DUMMYFUNCTION("""COMPUTED_VALUE"""),"JAWA TIMUR")</f>
        <v>JAWA TIMUR</v>
      </c>
      <c r="R3915" s="35" t="str">
        <f>IFERROR(__xludf.DUMMYFUNCTION("""COMPUTED_VALUE"""),"ISLAM")</f>
        <v>ISLAM</v>
      </c>
      <c r="S3915" s="74" t="str">
        <f>IFERROR(__xludf.DUMMYFUNCTION("""COMPUTED_VALUE"""),"KARYAWAN")</f>
        <v>KARYAWAN</v>
      </c>
      <c r="T3915" s="35" t="str">
        <f>IFERROR(__xludf.DUMMYFUNCTION("""COMPUTED_VALUE"""),"SAKIT DI DAERAH KAKI DAN TELAPAK KAKI")</f>
        <v>SAKIT DI DAERAH KAKI DAN TELAPAK KAKI</v>
      </c>
      <c r="U3915" s="35" t="str">
        <f>IFERROR(__xludf.DUMMYFUNCTION("""COMPUTED_VALUE"""),"JALAN PAGI/SORE, LARI, YOGA")</f>
        <v>JALAN PAGI/SORE, LARI, YOGA</v>
      </c>
      <c r="V3915" s="35" t="str">
        <f>IFERROR(__xludf.DUMMYFUNCTION("""COMPUTED_VALUE"""),"083854299383")</f>
        <v>083854299383</v>
      </c>
      <c r="W3915" s="45"/>
    </row>
    <row r="3916">
      <c r="A3916" s="45"/>
      <c r="B3916" s="35" t="str">
        <f>IFERROR(__xludf.DUMMYFUNCTION("""COMPUTED_VALUE"""),"07/06/2026 15:25:15")</f>
        <v>07/06/2026 15:25:15</v>
      </c>
      <c r="C3916" s="35"/>
      <c r="D3916" s="10">
        <f>IFERROR(__xludf.DUMMYFUNCTION("""COMPUTED_VALUE"""),46180.0)</f>
        <v>46180</v>
      </c>
      <c r="E3916" s="35" t="str">
        <f>IFERROR(__xludf.DUMMYFUNCTION("""COMPUTED_VALUE"""),"06Jun")</f>
        <v>06Jun</v>
      </c>
      <c r="F3916" s="35"/>
      <c r="G3916" s="35" t="str">
        <f>IFERROR(__xludf.DUMMYFUNCTION("""COMPUTED_VALUE"""),"LUKAS FAJAR")</f>
        <v>LUKAS FAJAR</v>
      </c>
      <c r="H3916" s="35" t="str">
        <f>IFERROR(__xludf.DUMMYFUNCTION("""COMPUTED_VALUE"""),"L0126069099")</f>
        <v>L0126069099</v>
      </c>
      <c r="I3916" s="35">
        <f>IFERROR(__xludf.DUMMYFUNCTION("""COMPUTED_VALUE"""),25.0)</f>
        <v>25</v>
      </c>
      <c r="J3916" s="35" t="str">
        <f>IFERROR(__xludf.DUMMYFUNCTION("""COMPUTED_VALUE"""),"25-34 tahun")</f>
        <v>25-34 tahun</v>
      </c>
      <c r="K3916" s="35" t="str">
        <f>IFERROR(__xludf.DUMMYFUNCTION("""COMPUTED_VALUE"""),"28/04/2001")</f>
        <v>28/04/2001</v>
      </c>
      <c r="L3916" s="35" t="str">
        <f>IFERROR(__xludf.DUMMYFUNCTION("""COMPUTED_VALUE"""),"LAKI-LAKI")</f>
        <v>LAKI-LAKI</v>
      </c>
      <c r="M3916" s="35" t="str">
        <f>IFERROR(__xludf.DUMMYFUNCTION("""COMPUTED_VALUE"""),"BALAI BERKUAK")</f>
        <v>BALAI BERKUAK</v>
      </c>
      <c r="N3916" s="35" t="str">
        <f>IFERROR(__xludf.DUMMYFUNCTION("""COMPUTED_VALUE"""),"BALAI PINANG")</f>
        <v>BALAI PINANG</v>
      </c>
      <c r="O3916" s="35" t="str">
        <f>IFERROR(__xludf.DUMMYFUNCTION("""COMPUTED_VALUE"""),"SIMPANG HULU")</f>
        <v>SIMPANG HULU</v>
      </c>
      <c r="P3916" s="35" t="str">
        <f>IFERROR(__xludf.DUMMYFUNCTION("""COMPUTED_VALUE"""),"KETAPANG")</f>
        <v>KETAPANG</v>
      </c>
      <c r="Q3916" s="35" t="str">
        <f>IFERROR(__xludf.DUMMYFUNCTION("""COMPUTED_VALUE"""),"KALIMANTAN BARAT")</f>
        <v>KALIMANTAN BARAT</v>
      </c>
      <c r="R3916" s="35" t="str">
        <f>IFERROR(__xludf.DUMMYFUNCTION("""COMPUTED_VALUE"""),"KATOLIK")</f>
        <v>KATOLIK</v>
      </c>
      <c r="S3916" s="74" t="str">
        <f>IFERROR(__xludf.DUMMYFUNCTION("""COMPUTED_VALUE"""),"WIRAUSAHA")</f>
        <v>WIRAUSAHA</v>
      </c>
      <c r="T3916" s="35" t="str">
        <f>IFERROR(__xludf.DUMMYFUNCTION("""COMPUTED_VALUE"""),"CEDERA LUTUT")</f>
        <v>CEDERA LUTUT</v>
      </c>
      <c r="U3916" s="35" t="str">
        <f>IFERROR(__xludf.DUMMYFUNCTION("""COMPUTED_VALUE"""),"FUTSAL")</f>
        <v>FUTSAL</v>
      </c>
      <c r="V3916" s="35" t="str">
        <f>IFERROR(__xludf.DUMMYFUNCTION("""COMPUTED_VALUE"""),"082250349099")</f>
        <v>082250349099</v>
      </c>
      <c r="W3916" s="45"/>
    </row>
    <row r="3917">
      <c r="A3917" s="45"/>
      <c r="B3917" s="35" t="str">
        <f>IFERROR(__xludf.DUMMYFUNCTION("""COMPUTED_VALUE"""),"08/06/2026 10:53:32")</f>
        <v>08/06/2026 10:53:32</v>
      </c>
      <c r="C3917" s="35"/>
      <c r="D3917" s="10">
        <f>IFERROR(__xludf.DUMMYFUNCTION("""COMPUTED_VALUE"""),46181.0)</f>
        <v>46181</v>
      </c>
      <c r="E3917" s="35" t="str">
        <f>IFERROR(__xludf.DUMMYFUNCTION("""COMPUTED_VALUE"""),"06Jun")</f>
        <v>06Jun</v>
      </c>
      <c r="F3917" s="35"/>
      <c r="G3917" s="35" t="str">
        <f>IFERROR(__xludf.DUMMYFUNCTION("""COMPUTED_VALUE"""),"ZAKI MUBARAK")</f>
        <v>ZAKI MUBARAK</v>
      </c>
      <c r="H3917" s="35" t="str">
        <f>IFERROR(__xludf.DUMMYFUNCTION("""COMPUTED_VALUE"""),"Z0226060742")</f>
        <v>Z0226060742</v>
      </c>
      <c r="I3917" s="35">
        <f>IFERROR(__xludf.DUMMYFUNCTION("""COMPUTED_VALUE"""),23.0)</f>
        <v>23</v>
      </c>
      <c r="J3917" s="35" t="str">
        <f>IFERROR(__xludf.DUMMYFUNCTION("""COMPUTED_VALUE"""),"18-24 tahun")</f>
        <v>18-24 tahun</v>
      </c>
      <c r="K3917" s="35" t="str">
        <f>IFERROR(__xludf.DUMMYFUNCTION("""COMPUTED_VALUE"""),"08/07/2002")</f>
        <v>08/07/2002</v>
      </c>
      <c r="L3917" s="35" t="str">
        <f>IFERROR(__xludf.DUMMYFUNCTION("""COMPUTED_VALUE"""),"LAKI-LAKI")</f>
        <v>LAKI-LAKI</v>
      </c>
      <c r="M3917" s="35" t="str">
        <f>IFERROR(__xludf.DUMMYFUNCTION("""COMPUTED_VALUE"""),"P")</f>
        <v>P</v>
      </c>
      <c r="N3917" s="35" t="str">
        <f>IFERROR(__xludf.DUMMYFUNCTION("""COMPUTED_VALUE"""),"SUI BELIUNG")</f>
        <v>SUI BELIUNG</v>
      </c>
      <c r="O3917" s="35" t="str">
        <f>IFERROR(__xludf.DUMMYFUNCTION("""COMPUTED_VALUE"""),"PONTIANAK BARAT")</f>
        <v>PONTIANAK BARAT</v>
      </c>
      <c r="P3917" s="35" t="str">
        <f>IFERROR(__xludf.DUMMYFUNCTION("""COMPUTED_VALUE"""),"PONTIANAK")</f>
        <v>PONTIANAK</v>
      </c>
      <c r="Q3917" s="35" t="str">
        <f>IFERROR(__xludf.DUMMYFUNCTION("""COMPUTED_VALUE"""),"KALIMANTAN BARAT")</f>
        <v>KALIMANTAN BARAT</v>
      </c>
      <c r="R3917" s="35" t="str">
        <f>IFERROR(__xludf.DUMMYFUNCTION("""COMPUTED_VALUE"""),"ISLAM")</f>
        <v>ISLAM</v>
      </c>
      <c r="S3917" s="74" t="str">
        <f>IFERROR(__xludf.DUMMYFUNCTION("""COMPUTED_VALUE"""),"SWASTA ")</f>
        <v>SWASTA </v>
      </c>
      <c r="T3917" s="35" t="str">
        <f>IFERROR(__xludf.DUMMYFUNCTION("""COMPUTED_VALUE"""),"PERGELANGAN KAKI TERKILIR")</f>
        <v>PERGELANGAN KAKI TERKILIR</v>
      </c>
      <c r="U3917" s="35" t="str">
        <f>IFERROR(__xludf.DUMMYFUNCTION("""COMPUTED_VALUE"""),"TENNIS/ PADEL")</f>
        <v>TENNIS/ PADEL</v>
      </c>
      <c r="V3917" s="35" t="str">
        <f>IFERROR(__xludf.DUMMYFUNCTION("""COMPUTED_VALUE"""),"0895704120742")</f>
        <v>0895704120742</v>
      </c>
      <c r="W3917" s="45"/>
    </row>
    <row r="3918">
      <c r="A3918" s="45" t="str">
        <f>IFERROR(__xludf.DUMMYFUNCTION("""COMPUTED_VALUE"""),"F")</f>
        <v>F</v>
      </c>
      <c r="B3918" s="35" t="str">
        <f>IFERROR(__xludf.DUMMYFUNCTION("""COMPUTED_VALUE"""),"08/06/2026 12:06:32")</f>
        <v>08/06/2026 12:06:32</v>
      </c>
      <c r="C3918" s="35"/>
      <c r="D3918" s="10">
        <f>IFERROR(__xludf.DUMMYFUNCTION("""COMPUTED_VALUE"""),46181.0)</f>
        <v>46181</v>
      </c>
      <c r="E3918" s="35" t="str">
        <f>IFERROR(__xludf.DUMMYFUNCTION("""COMPUTED_VALUE"""),"06Jun")</f>
        <v>06Jun</v>
      </c>
      <c r="F3918" s="35"/>
      <c r="G3918" s="35" t="str">
        <f>IFERROR(__xludf.DUMMYFUNCTION("""COMPUTED_VALUE"""),"MILAWATY")</f>
        <v>MILAWATY</v>
      </c>
      <c r="H3918" s="35" t="str">
        <f>IFERROR(__xludf.DUMMYFUNCTION("""COMPUTED_VALUE"""),"M6326065357")</f>
        <v>M6326065357</v>
      </c>
      <c r="I3918" s="35">
        <f>IFERROR(__xludf.DUMMYFUNCTION("""COMPUTED_VALUE"""),62.0)</f>
        <v>62</v>
      </c>
      <c r="J3918" s="35" t="str">
        <f>IFERROR(__xludf.DUMMYFUNCTION("""COMPUTED_VALUE"""),"&gt; 44 tahun")</f>
        <v>&gt; 44 tahun</v>
      </c>
      <c r="K3918" s="35" t="str">
        <f>IFERROR(__xludf.DUMMYFUNCTION("""COMPUTED_VALUE"""),"05/07/1963")</f>
        <v>05/07/1963</v>
      </c>
      <c r="L3918" s="35" t="str">
        <f>IFERROR(__xludf.DUMMYFUNCTION("""COMPUTED_VALUE"""),"PEREMPUAN")</f>
        <v>PEREMPUAN</v>
      </c>
      <c r="M3918" s="35" t="str">
        <f>IFERROR(__xludf.DUMMYFUNCTION("""COMPUTED_VALUE"""),"JL. M. YAMIN, GG USAHA BARU")</f>
        <v>JL. M. YAMIN, GG USAHA BARU</v>
      </c>
      <c r="N3918" s="35" t="str">
        <f>IFERROR(__xludf.DUMMYFUNCTION("""COMPUTED_VALUE"""),"KOTA BARU")</f>
        <v>KOTA BARU</v>
      </c>
      <c r="O3918" s="35" t="str">
        <f>IFERROR(__xludf.DUMMYFUNCTION("""COMPUTED_VALUE"""),"PONTIANAK SELATAN")</f>
        <v>PONTIANAK SELATAN</v>
      </c>
      <c r="P3918" s="35" t="str">
        <f>IFERROR(__xludf.DUMMYFUNCTION("""COMPUTED_VALUE"""),"PONTIANAK")</f>
        <v>PONTIANAK</v>
      </c>
      <c r="Q3918" s="35" t="str">
        <f>IFERROR(__xludf.DUMMYFUNCTION("""COMPUTED_VALUE"""),"KALIMANTAN BARAT")</f>
        <v>KALIMANTAN BARAT</v>
      </c>
      <c r="R3918" s="35" t="str">
        <f>IFERROR(__xludf.DUMMYFUNCTION("""COMPUTED_VALUE"""),"ISLAM")</f>
        <v>ISLAM</v>
      </c>
      <c r="S3918" s="74" t="str">
        <f>IFERROR(__xludf.DUMMYFUNCTION("""COMPUTED_VALUE"""),"PNS")</f>
        <v>PNS</v>
      </c>
      <c r="T3918" s="35" t="str">
        <f>IFERROR(__xludf.DUMMYFUNCTION("""COMPUTED_VALUE"""),"STROKE RINGAN BAGIAN TANGAN &amp; KAKI KIRI")</f>
        <v>STROKE RINGAN BAGIAN TANGAN &amp; KAKI KIRI</v>
      </c>
      <c r="U3918" s="35" t="str">
        <f>IFERROR(__xludf.DUMMYFUNCTION("""COMPUTED_VALUE"""),"-")</f>
        <v>-</v>
      </c>
      <c r="V3918" s="35" t="str">
        <f>IFERROR(__xludf.DUMMYFUNCTION("""COMPUTED_VALUE"""),"081254605357")</f>
        <v>081254605357</v>
      </c>
      <c r="W3918" s="45"/>
    </row>
    <row r="3919">
      <c r="A3919" s="45"/>
      <c r="B3919" s="35" t="str">
        <f>IFERROR(__xludf.DUMMYFUNCTION("""COMPUTED_VALUE"""),"08/06/2026 16:34:05")</f>
        <v>08/06/2026 16:34:05</v>
      </c>
      <c r="C3919" s="35"/>
      <c r="D3919" s="10">
        <f>IFERROR(__xludf.DUMMYFUNCTION("""COMPUTED_VALUE"""),46181.0)</f>
        <v>46181</v>
      </c>
      <c r="E3919" s="35" t="str">
        <f>IFERROR(__xludf.DUMMYFUNCTION("""COMPUTED_VALUE"""),"06Jun")</f>
        <v>06Jun</v>
      </c>
      <c r="F3919" s="35"/>
      <c r="G3919" s="35" t="str">
        <f>IFERROR(__xludf.DUMMYFUNCTION("""COMPUTED_VALUE"""),"ARIF 6912")</f>
        <v>ARIF 6912</v>
      </c>
      <c r="H3919" s="35" t="str">
        <f>IFERROR(__xludf.DUMMYFUNCTION("""COMPUTED_VALUE"""),"A6926067526")</f>
        <v>A6926067526</v>
      </c>
      <c r="I3919" s="35">
        <f>IFERROR(__xludf.DUMMYFUNCTION("""COMPUTED_VALUE"""),56.0)</f>
        <v>56</v>
      </c>
      <c r="J3919" s="35" t="str">
        <f>IFERROR(__xludf.DUMMYFUNCTION("""COMPUTED_VALUE"""),"&gt; 44 tahun")</f>
        <v>&gt; 44 tahun</v>
      </c>
      <c r="K3919" s="35" t="str">
        <f>IFERROR(__xludf.DUMMYFUNCTION("""COMPUTED_VALUE"""),"11/12/0069")</f>
        <v>11/12/0069</v>
      </c>
      <c r="L3919" s="35" t="str">
        <f>IFERROR(__xludf.DUMMYFUNCTION("""COMPUTED_VALUE"""),"LAKI-LAKI")</f>
        <v>LAKI-LAKI</v>
      </c>
      <c r="M3919" s="35" t="str">
        <f>IFERROR(__xludf.DUMMYFUNCTION("""COMPUTED_VALUE"""),"GG.DWIJAYA NO 7")</f>
        <v>GG.DWIJAYA NO 7</v>
      </c>
      <c r="N3919" s="35" t="str">
        <f>IFERROR(__xludf.DUMMYFUNCTION("""COMPUTED_VALUE"""),"SEI BANGKONG")</f>
        <v>SEI BANGKONG</v>
      </c>
      <c r="O3919" s="35" t="str">
        <f>IFERROR(__xludf.DUMMYFUNCTION("""COMPUTED_VALUE"""),"PONTIANAK KOTA")</f>
        <v>PONTIANAK KOTA</v>
      </c>
      <c r="P3919" s="35" t="str">
        <f>IFERROR(__xludf.DUMMYFUNCTION("""COMPUTED_VALUE"""),"PONTIANAK")</f>
        <v>PONTIANAK</v>
      </c>
      <c r="Q3919" s="35" t="str">
        <f>IFERROR(__xludf.DUMMYFUNCTION("""COMPUTED_VALUE"""),"KAL BAR")</f>
        <v>KAL BAR</v>
      </c>
      <c r="R3919" s="35" t="str">
        <f>IFERROR(__xludf.DUMMYFUNCTION("""COMPUTED_VALUE"""),"ISLAM")</f>
        <v>ISLAM</v>
      </c>
      <c r="S3919" s="74" t="str">
        <f>IFERROR(__xludf.DUMMYFUNCTION("""COMPUTED_VALUE"""),"PNS")</f>
        <v>PNS</v>
      </c>
      <c r="T3919" s="35" t="str">
        <f>IFERROR(__xludf.DUMMYFUNCTION("""COMPUTED_VALUE"""),"NYERI LENGAN DAN PINGGUL")</f>
        <v>NYERI LENGAN DAN PINGGUL</v>
      </c>
      <c r="U3919" s="35" t="str">
        <f>IFERROR(__xludf.DUMMYFUNCTION("""COMPUTED_VALUE"""),"OLAH RAGA, MENGAJAR")</f>
        <v>OLAH RAGA, MENGAJAR</v>
      </c>
      <c r="V3919" s="35" t="str">
        <f>IFERROR(__xludf.DUMMYFUNCTION("""COMPUTED_VALUE"""),"08115777526")</f>
        <v>08115777526</v>
      </c>
      <c r="W3919" s="45"/>
    </row>
    <row r="3920">
      <c r="A3920" s="45"/>
      <c r="B3920" s="35" t="str">
        <f>IFERROR(__xludf.DUMMYFUNCTION("""COMPUTED_VALUE"""),"08/06/2026 17:35:21")</f>
        <v>08/06/2026 17:35:21</v>
      </c>
      <c r="C3920" s="35"/>
      <c r="D3920" s="10">
        <f>IFERROR(__xludf.DUMMYFUNCTION("""COMPUTED_VALUE"""),46181.0)</f>
        <v>46181</v>
      </c>
      <c r="E3920" s="35" t="str">
        <f>IFERROR(__xludf.DUMMYFUNCTION("""COMPUTED_VALUE"""),"06Jun")</f>
        <v>06Jun</v>
      </c>
      <c r="F3920" s="35"/>
      <c r="G3920" s="35" t="str">
        <f>IFERROR(__xludf.DUMMYFUNCTION("""COMPUTED_VALUE"""),"SUWARDI TJANDRA")</f>
        <v>SUWARDI TJANDRA</v>
      </c>
      <c r="H3920" s="35" t="str">
        <f>IFERROR(__xludf.DUMMYFUNCTION("""COMPUTED_VALUE"""),"S6426061560")</f>
        <v>S6426061560</v>
      </c>
      <c r="I3920" s="35">
        <f>IFERROR(__xludf.DUMMYFUNCTION("""COMPUTED_VALUE"""),62.0)</f>
        <v>62</v>
      </c>
      <c r="J3920" s="35" t="str">
        <f>IFERROR(__xludf.DUMMYFUNCTION("""COMPUTED_VALUE"""),"&gt; 44 tahun")</f>
        <v>&gt; 44 tahun</v>
      </c>
      <c r="K3920" s="35" t="str">
        <f>IFERROR(__xludf.DUMMYFUNCTION("""COMPUTED_VALUE"""),"28/01/1964")</f>
        <v>28/01/1964</v>
      </c>
      <c r="L3920" s="35" t="str">
        <f>IFERROR(__xludf.DUMMYFUNCTION("""COMPUTED_VALUE"""),"LAKI-LAKI")</f>
        <v>LAKI-LAKI</v>
      </c>
      <c r="M3920" s="35" t="str">
        <f>IFERROR(__xludf.DUMMYFUNCTION("""COMPUTED_VALUE"""),"JL IMAM BONJOL GANG GARUDA II NO.56 D")</f>
        <v>JL IMAM BONJOL GANG GARUDA II NO.56 D</v>
      </c>
      <c r="N3920" s="35" t="str">
        <f>IFERROR(__xludf.DUMMYFUNCTION("""COMPUTED_VALUE"""),"BENUA MELAYU LAUT")</f>
        <v>BENUA MELAYU LAUT</v>
      </c>
      <c r="O3920" s="35" t="str">
        <f>IFERROR(__xludf.DUMMYFUNCTION("""COMPUTED_VALUE"""),"PONTIANAK SELATAN")</f>
        <v>PONTIANAK SELATAN</v>
      </c>
      <c r="P3920" s="35" t="str">
        <f>IFERROR(__xludf.DUMMYFUNCTION("""COMPUTED_VALUE"""),"PONTIANAK")</f>
        <v>PONTIANAK</v>
      </c>
      <c r="Q3920" s="35" t="str">
        <f>IFERROR(__xludf.DUMMYFUNCTION("""COMPUTED_VALUE"""),"KALIMANTAN BARAT")</f>
        <v>KALIMANTAN BARAT</v>
      </c>
      <c r="R3920" s="35" t="str">
        <f>IFERROR(__xludf.DUMMYFUNCTION("""COMPUTED_VALUE"""),"BUDDHA")</f>
        <v>BUDDHA</v>
      </c>
      <c r="S3920" s="74" t="str">
        <f>IFERROR(__xludf.DUMMYFUNCTION("""COMPUTED_VALUE"""),"SWASTA")</f>
        <v>SWASTA</v>
      </c>
      <c r="T3920" s="35" t="str">
        <f>IFERROR(__xludf.DUMMYFUNCTION("""COMPUTED_VALUE"""),"-")</f>
        <v>-</v>
      </c>
      <c r="U3920" s="35" t="str">
        <f>IFERROR(__xludf.DUMMYFUNCTION("""COMPUTED_VALUE"""),"-")</f>
        <v>-</v>
      </c>
      <c r="V3920" s="35" t="str">
        <f>IFERROR(__xludf.DUMMYFUNCTION("""COMPUTED_VALUE"""),"081257591560")</f>
        <v>081257591560</v>
      </c>
      <c r="W3920" s="45"/>
    </row>
    <row r="3921">
      <c r="A3921" s="45"/>
      <c r="B3921" s="35" t="str">
        <f>IFERROR(__xludf.DUMMYFUNCTION("""COMPUTED_VALUE"""),"08/06/2026 18:33:41")</f>
        <v>08/06/2026 18:33:41</v>
      </c>
      <c r="C3921" s="35"/>
      <c r="D3921" s="10">
        <f>IFERROR(__xludf.DUMMYFUNCTION("""COMPUTED_VALUE"""),46181.0)</f>
        <v>46181</v>
      </c>
      <c r="E3921" s="35" t="str">
        <f>IFERROR(__xludf.DUMMYFUNCTION("""COMPUTED_VALUE"""),"06Jun")</f>
        <v>06Jun</v>
      </c>
      <c r="F3921" s="35"/>
      <c r="G3921" s="35" t="str">
        <f>IFERROR(__xludf.DUMMYFUNCTION("""COMPUTED_VALUE"""),"HERLINA 7309")</f>
        <v>HERLINA 7309</v>
      </c>
      <c r="H3921" s="35" t="str">
        <f>IFERROR(__xludf.DUMMYFUNCTION("""COMPUTED_VALUE"""),"H7326064128")</f>
        <v>H7326064128</v>
      </c>
      <c r="I3921" s="35">
        <f>IFERROR(__xludf.DUMMYFUNCTION("""COMPUTED_VALUE"""),52.0)</f>
        <v>52</v>
      </c>
      <c r="J3921" s="35" t="str">
        <f>IFERROR(__xludf.DUMMYFUNCTION("""COMPUTED_VALUE"""),"&gt; 44 tahun")</f>
        <v>&gt; 44 tahun</v>
      </c>
      <c r="K3921" s="35" t="str">
        <f>IFERROR(__xludf.DUMMYFUNCTION("""COMPUTED_VALUE"""),"27/09/1973")</f>
        <v>27/09/1973</v>
      </c>
      <c r="L3921" s="35" t="str">
        <f>IFERROR(__xludf.DUMMYFUNCTION("""COMPUTED_VALUE"""),"PEREMPUAN")</f>
        <v>PEREMPUAN</v>
      </c>
      <c r="M3921" s="35" t="str">
        <f>IFERROR(__xludf.DUMMYFUNCTION("""COMPUTED_VALUE"""),"JL DR WAHIDIN SUDIRO HUSODO")</f>
        <v>JL DR WAHIDIN SUDIRO HUSODO</v>
      </c>
      <c r="N3921" s="35" t="str">
        <f>IFERROR(__xludf.DUMMYFUNCTION("""COMPUTED_VALUE"""),"SUNGAI JAWI")</f>
        <v>SUNGAI JAWI</v>
      </c>
      <c r="O3921" s="35" t="str">
        <f>IFERROR(__xludf.DUMMYFUNCTION("""COMPUTED_VALUE"""),"PONTIANAK KOTA")</f>
        <v>PONTIANAK KOTA</v>
      </c>
      <c r="P3921" s="35" t="str">
        <f>IFERROR(__xludf.DUMMYFUNCTION("""COMPUTED_VALUE"""),"PONTIANAK KOTA")</f>
        <v>PONTIANAK KOTA</v>
      </c>
      <c r="Q3921" s="35" t="str">
        <f>IFERROR(__xludf.DUMMYFUNCTION("""COMPUTED_VALUE"""),"KALIMANTAN BARAT")</f>
        <v>KALIMANTAN BARAT</v>
      </c>
      <c r="R3921" s="35" t="str">
        <f>IFERROR(__xludf.DUMMYFUNCTION("""COMPUTED_VALUE"""),"ISLAM")</f>
        <v>ISLAM</v>
      </c>
      <c r="S3921" s="74" t="str">
        <f>IFERROR(__xludf.DUMMYFUNCTION("""COMPUTED_VALUE"""),"IBU RUMAH TANGGA")</f>
        <v>IBU RUMAH TANGGA</v>
      </c>
      <c r="T3921" s="35" t="str">
        <f>IFERROR(__xludf.DUMMYFUNCTION("""COMPUTED_VALUE"""),"SAKIT PINGGANG SAMPAI UJUNG KAKI, KEBAS DAN KAKI SEBELAH KIRI KESEMUTAN, SERTA SAKIT PUNGGUNG")</f>
        <v>SAKIT PINGGANG SAMPAI UJUNG KAKI, KEBAS DAN KAKI SEBELAH KIRI KESEMUTAN, SERTA SAKIT PUNGGUNG</v>
      </c>
      <c r="U3921" s="35" t="str">
        <f>IFERROR(__xludf.DUMMYFUNCTION("""COMPUTED_VALUE"""),"MEMASAK, KEMAS RUMAH")</f>
        <v>MEMASAK, KEMAS RUMAH</v>
      </c>
      <c r="V3921" s="35" t="str">
        <f>IFERROR(__xludf.DUMMYFUNCTION("""COMPUTED_VALUE"""),"081339974128")</f>
        <v>081339974128</v>
      </c>
      <c r="W3921" s="45"/>
    </row>
    <row r="3922">
      <c r="A3922" s="45"/>
      <c r="B3922" s="35" t="str">
        <f>IFERROR(__xludf.DUMMYFUNCTION("""COMPUTED_VALUE"""),"08/06/2026 19:40:46")</f>
        <v>08/06/2026 19:40:46</v>
      </c>
      <c r="C3922" s="35"/>
      <c r="D3922" s="10">
        <f>IFERROR(__xludf.DUMMYFUNCTION("""COMPUTED_VALUE"""),46181.0)</f>
        <v>46181</v>
      </c>
      <c r="E3922" s="35" t="str">
        <f>IFERROR(__xludf.DUMMYFUNCTION("""COMPUTED_VALUE"""),"06Jun")</f>
        <v>06Jun</v>
      </c>
      <c r="F3922" s="35"/>
      <c r="G3922" s="35" t="str">
        <f>IFERROR(__xludf.DUMMYFUNCTION("""COMPUTED_VALUE"""),"FADHIL AL FATAH")</f>
        <v>FADHIL AL FATAH</v>
      </c>
      <c r="H3922" s="35" t="str">
        <f>IFERROR(__xludf.DUMMYFUNCTION("""COMPUTED_VALUE"""),"F9426065585")</f>
        <v>F9426065585</v>
      </c>
      <c r="I3922" s="35">
        <f>IFERROR(__xludf.DUMMYFUNCTION("""COMPUTED_VALUE"""),31.0)</f>
        <v>31</v>
      </c>
      <c r="J3922" s="35" t="str">
        <f>IFERROR(__xludf.DUMMYFUNCTION("""COMPUTED_VALUE"""),"25-34 tahun")</f>
        <v>25-34 tahun</v>
      </c>
      <c r="K3922" s="35" t="str">
        <f>IFERROR(__xludf.DUMMYFUNCTION("""COMPUTED_VALUE"""),"17/12/1994")</f>
        <v>17/12/1994</v>
      </c>
      <c r="L3922" s="35" t="str">
        <f>IFERROR(__xludf.DUMMYFUNCTION("""COMPUTED_VALUE"""),"LAKI-LAKI")</f>
        <v>LAKI-LAKI</v>
      </c>
      <c r="M3922" s="35" t="str">
        <f>IFERROR(__xludf.DUMMYFUNCTION("""COMPUTED_VALUE"""),"JL. PANGERAN NATAKUSUMA, GG. JAMBI 2, NO. 06")</f>
        <v>JL. PANGERAN NATAKUSUMA, GG. JAMBI 2, NO. 06</v>
      </c>
      <c r="N3922" s="35" t="str">
        <f>IFERROR(__xludf.DUMMYFUNCTION("""COMPUTED_VALUE"""),"SUNGAI BANGKONG")</f>
        <v>SUNGAI BANGKONG</v>
      </c>
      <c r="O3922" s="35" t="str">
        <f>IFERROR(__xludf.DUMMYFUNCTION("""COMPUTED_VALUE"""),"PONTIANAK KOTA")</f>
        <v>PONTIANAK KOTA</v>
      </c>
      <c r="P3922" s="35" t="str">
        <f>IFERROR(__xludf.DUMMYFUNCTION("""COMPUTED_VALUE"""),"PONTIANAK")</f>
        <v>PONTIANAK</v>
      </c>
      <c r="Q3922" s="35" t="str">
        <f>IFERROR(__xludf.DUMMYFUNCTION("""COMPUTED_VALUE"""),"KALIMANTAN BARAT")</f>
        <v>KALIMANTAN BARAT</v>
      </c>
      <c r="R3922" s="35" t="str">
        <f>IFERROR(__xludf.DUMMYFUNCTION("""COMPUTED_VALUE"""),"ISLAM")</f>
        <v>ISLAM</v>
      </c>
      <c r="S3922" s="74" t="str">
        <f>IFERROR(__xludf.DUMMYFUNCTION("""COMPUTED_VALUE"""),"BUMN")</f>
        <v>BUMN</v>
      </c>
      <c r="T3922" s="35" t="str">
        <f>IFERROR(__xludf.DUMMYFUNCTION("""COMPUTED_VALUE"""),"NYERI SENDI LUTUT")</f>
        <v>NYERI SENDI LUTUT</v>
      </c>
      <c r="U3922" s="35" t="str">
        <f>IFERROR(__xludf.DUMMYFUNCTION("""COMPUTED_VALUE"""),"SEPAK BOLA, BADMINTON, JOGGING")</f>
        <v>SEPAK BOLA, BADMINTON, JOGGING</v>
      </c>
      <c r="V3922" s="35" t="str">
        <f>IFERROR(__xludf.DUMMYFUNCTION("""COMPUTED_VALUE"""),"082254125585")</f>
        <v>082254125585</v>
      </c>
      <c r="W3922" s="45"/>
    </row>
    <row r="3923">
      <c r="A3923" s="45"/>
      <c r="B3923" s="35" t="str">
        <f>IFERROR(__xludf.DUMMYFUNCTION("""COMPUTED_VALUE"""),"08/06/2026 19:50:14")</f>
        <v>08/06/2026 19:50:14</v>
      </c>
      <c r="C3923" s="35"/>
      <c r="D3923" s="10">
        <f>IFERROR(__xludf.DUMMYFUNCTION("""COMPUTED_VALUE"""),46181.0)</f>
        <v>46181</v>
      </c>
      <c r="E3923" s="35" t="str">
        <f>IFERROR(__xludf.DUMMYFUNCTION("""COMPUTED_VALUE"""),"06Jun")</f>
        <v>06Jun</v>
      </c>
      <c r="F3923" s="35"/>
      <c r="G3923" s="35" t="str">
        <f>IFERROR(__xludf.DUMMYFUNCTION("""COMPUTED_VALUE"""),"WAHYUDIN CIPTADI")</f>
        <v>WAHYUDIN CIPTADI</v>
      </c>
      <c r="H3923" s="35" t="str">
        <f>IFERROR(__xludf.DUMMYFUNCTION("""COMPUTED_VALUE"""),"W7826064195")</f>
        <v>W7826064195</v>
      </c>
      <c r="I3923" s="35">
        <f>IFERROR(__xludf.DUMMYFUNCTION("""COMPUTED_VALUE"""),47.0)</f>
        <v>47</v>
      </c>
      <c r="J3923" s="35" t="str">
        <f>IFERROR(__xludf.DUMMYFUNCTION("""COMPUTED_VALUE"""),"&gt; 44 tahun")</f>
        <v>&gt; 44 tahun</v>
      </c>
      <c r="K3923" s="35" t="str">
        <f>IFERROR(__xludf.DUMMYFUNCTION("""COMPUTED_VALUE"""),"01/07/1978")</f>
        <v>01/07/1978</v>
      </c>
      <c r="L3923" s="35" t="str">
        <f>IFERROR(__xludf.DUMMYFUNCTION("""COMPUTED_VALUE"""),"LAKI-LAKI")</f>
        <v>LAKI-LAKI</v>
      </c>
      <c r="M3923" s="35" t="str">
        <f>IFERROR(__xludf.DUMMYFUNCTION("""COMPUTED_VALUE"""),"JL. ALIANYANG KOMPLEK PERTANIAN NO. 5")</f>
        <v>JL. ALIANYANG KOMPLEK PERTANIAN NO. 5</v>
      </c>
      <c r="N3923" s="35" t="str">
        <f>IFERROR(__xludf.DUMMYFUNCTION("""COMPUTED_VALUE"""),"KELURAHAN SUI BANGKONG")</f>
        <v>KELURAHAN SUI BANGKONG</v>
      </c>
      <c r="O3923" s="35" t="str">
        <f>IFERROR(__xludf.DUMMYFUNCTION("""COMPUTED_VALUE"""),"PONTIANAK KOTA")</f>
        <v>PONTIANAK KOTA</v>
      </c>
      <c r="P3923" s="35" t="str">
        <f>IFERROR(__xludf.DUMMYFUNCTION("""COMPUTED_VALUE"""),"PONTIANAK ")</f>
        <v>PONTIANAK </v>
      </c>
      <c r="Q3923" s="35" t="str">
        <f>IFERROR(__xludf.DUMMYFUNCTION("""COMPUTED_VALUE"""),"KALIMANTAN BARAT")</f>
        <v>KALIMANTAN BARAT</v>
      </c>
      <c r="R3923" s="35" t="str">
        <f>IFERROR(__xludf.DUMMYFUNCTION("""COMPUTED_VALUE"""),"ISLAM")</f>
        <v>ISLAM</v>
      </c>
      <c r="S3923" s="74" t="str">
        <f>IFERROR(__xludf.DUMMYFUNCTION("""COMPUTED_VALUE"""),"DOSEN")</f>
        <v>DOSEN</v>
      </c>
      <c r="T3923" s="35" t="str">
        <f>IFERROR(__xludf.DUMMYFUNCTION("""COMPUTED_VALUE"""),"TANGAN KANAN DAN KAKI KANAN LEMAH DAN KAKU")</f>
        <v>TANGAN KANAN DAN KAKI KANAN LEMAH DAN KAKU</v>
      </c>
      <c r="U3923" s="35" t="str">
        <f>IFERROR(__xludf.DUMMYFUNCTION("""COMPUTED_VALUE"""),"STROKE ")</f>
        <v>STROKE </v>
      </c>
      <c r="V3923" s="35" t="str">
        <f>IFERROR(__xludf.DUMMYFUNCTION("""COMPUTED_VALUE"""),"08129524195")</f>
        <v>08129524195</v>
      </c>
      <c r="W3923" s="45"/>
    </row>
    <row r="3924">
      <c r="A3924" s="45"/>
      <c r="B3924" s="35" t="str">
        <f>IFERROR(__xludf.DUMMYFUNCTION("""COMPUTED_VALUE"""),"09/06/2026 12:01:28")</f>
        <v>09/06/2026 12:01:28</v>
      </c>
      <c r="C3924" s="35"/>
      <c r="D3924" s="10">
        <f>IFERROR(__xludf.DUMMYFUNCTION("""COMPUTED_VALUE"""),46182.0)</f>
        <v>46182</v>
      </c>
      <c r="E3924" s="35" t="str">
        <f>IFERROR(__xludf.DUMMYFUNCTION("""COMPUTED_VALUE"""),"06Jun")</f>
        <v>06Jun</v>
      </c>
      <c r="F3924" s="35"/>
      <c r="G3924" s="35" t="str">
        <f>IFERROR(__xludf.DUMMYFUNCTION("""COMPUTED_VALUE"""),"DEWI978")</f>
        <v>DEWI978</v>
      </c>
      <c r="H3924" s="35" t="str">
        <f>IFERROR(__xludf.DUMMYFUNCTION("""COMPUTED_VALUE"""),"D7926067523")</f>
        <v>D7926067523</v>
      </c>
      <c r="I3924" s="35">
        <f>IFERROR(__xludf.DUMMYFUNCTION("""COMPUTED_VALUE"""),47.0)</f>
        <v>47</v>
      </c>
      <c r="J3924" s="35" t="str">
        <f>IFERROR(__xludf.DUMMYFUNCTION("""COMPUTED_VALUE"""),"&gt; 44 tahun")</f>
        <v>&gt; 44 tahun</v>
      </c>
      <c r="K3924" s="35" t="str">
        <f>IFERROR(__xludf.DUMMYFUNCTION("""COMPUTED_VALUE"""),"07/01/1979")</f>
        <v>07/01/1979</v>
      </c>
      <c r="L3924" s="35" t="str">
        <f>IFERROR(__xludf.DUMMYFUNCTION("""COMPUTED_VALUE"""),"PEREMPUAN")</f>
        <v>PEREMPUAN</v>
      </c>
      <c r="M3924" s="35" t="str">
        <f>IFERROR(__xludf.DUMMYFUNCTION("""COMPUTED_VALUE"""),"SERDAM")</f>
        <v>SERDAM</v>
      </c>
      <c r="N3924" s="35" t="str">
        <f>IFERROR(__xludf.DUMMYFUNCTION("""COMPUTED_VALUE"""),"SUNGAI RAYA")</f>
        <v>SUNGAI RAYA</v>
      </c>
      <c r="O3924" s="35" t="str">
        <f>IFERROR(__xludf.DUMMYFUNCTION("""COMPUTED_VALUE"""),"SUNGAI RAYA")</f>
        <v>SUNGAI RAYA</v>
      </c>
      <c r="P3924" s="35" t="str">
        <f>IFERROR(__xludf.DUMMYFUNCTION("""COMPUTED_VALUE"""),"KUBU RAYA")</f>
        <v>KUBU RAYA</v>
      </c>
      <c r="Q3924" s="35" t="str">
        <f>IFERROR(__xludf.DUMMYFUNCTION("""COMPUTED_VALUE"""),"KALIMANTAN BARAT")</f>
        <v>KALIMANTAN BARAT</v>
      </c>
      <c r="R3924" s="35" t="str">
        <f>IFERROR(__xludf.DUMMYFUNCTION("""COMPUTED_VALUE"""),"BUDDHA")</f>
        <v>BUDDHA</v>
      </c>
      <c r="S3924" s="74" t="str">
        <f>IFERROR(__xludf.DUMMYFUNCTION("""COMPUTED_VALUE"""),"IRT")</f>
        <v>IRT</v>
      </c>
      <c r="T3924" s="35" t="str">
        <f>IFERROR(__xludf.DUMMYFUNCTION("""COMPUTED_VALUE"""),"JEMPOL DAN PERGELANGAN TANGAN")</f>
        <v>JEMPOL DAN PERGELANGAN TANGAN</v>
      </c>
      <c r="U3924" s="35" t="str">
        <f>IFERROR(__xludf.DUMMYFUNCTION("""COMPUTED_VALUE"""),"-")</f>
        <v>-</v>
      </c>
      <c r="V3924" s="35" t="str">
        <f>IFERROR(__xludf.DUMMYFUNCTION("""COMPUTED_VALUE"""),"082154177523")</f>
        <v>082154177523</v>
      </c>
      <c r="W3924" s="45"/>
    </row>
    <row r="3925">
      <c r="A3925" s="45"/>
      <c r="B3925" s="35" t="str">
        <f>IFERROR(__xludf.DUMMYFUNCTION("""COMPUTED_VALUE"""),"09/06/2026 13:22:50")</f>
        <v>09/06/2026 13:22:50</v>
      </c>
      <c r="C3925" s="35"/>
      <c r="D3925" s="10">
        <f>IFERROR(__xludf.DUMMYFUNCTION("""COMPUTED_VALUE"""),46182.0)</f>
        <v>46182</v>
      </c>
      <c r="E3925" s="35" t="str">
        <f>IFERROR(__xludf.DUMMYFUNCTION("""COMPUTED_VALUE"""),"06Jun")</f>
        <v>06Jun</v>
      </c>
      <c r="F3925" s="35"/>
      <c r="G3925" s="35" t="str">
        <f>IFERROR(__xludf.DUMMYFUNCTION("""COMPUTED_VALUE"""),"ENDANG TUTI SETIAWATI")</f>
        <v>ENDANG TUTI SETIAWATI</v>
      </c>
      <c r="H3925" s="35" t="str">
        <f>IFERROR(__xludf.DUMMYFUNCTION("""COMPUTED_VALUE"""),"E7526069163")</f>
        <v>E7526069163</v>
      </c>
      <c r="I3925" s="35">
        <f>IFERROR(__xludf.DUMMYFUNCTION("""COMPUTED_VALUE"""),51.0)</f>
        <v>51</v>
      </c>
      <c r="J3925" s="35" t="str">
        <f>IFERROR(__xludf.DUMMYFUNCTION("""COMPUTED_VALUE"""),"&gt; 44 tahun")</f>
        <v>&gt; 44 tahun</v>
      </c>
      <c r="K3925" s="35" t="str">
        <f>IFERROR(__xludf.DUMMYFUNCTION("""COMPUTED_VALUE"""),"25/03/1975")</f>
        <v>25/03/1975</v>
      </c>
      <c r="L3925" s="35" t="str">
        <f>IFERROR(__xludf.DUMMYFUNCTION("""COMPUTED_VALUE"""),"PEREMPUAN")</f>
        <v>PEREMPUAN</v>
      </c>
      <c r="M3925" s="35" t="str">
        <f>IFERROR(__xludf.DUMMYFUNCTION("""COMPUTED_VALUE"""),"JL. PARIT H. HUSIN 1 GG. AL HIDAYAH NO. 1")</f>
        <v>JL. PARIT H. HUSIN 1 GG. AL HIDAYAH NO. 1</v>
      </c>
      <c r="N3925" s="35" t="str">
        <f>IFERROR(__xludf.DUMMYFUNCTION("""COMPUTED_VALUE"""),"BANGKA BELITUNG LAUT")</f>
        <v>BANGKA BELITUNG LAUT</v>
      </c>
      <c r="O3925" s="35" t="str">
        <f>IFERROR(__xludf.DUMMYFUNCTION("""COMPUTED_VALUE"""),"PONTIANAK TENGGARA")</f>
        <v>PONTIANAK TENGGARA</v>
      </c>
      <c r="P3925" s="35" t="str">
        <f>IFERROR(__xludf.DUMMYFUNCTION("""COMPUTED_VALUE"""),"PONTIANAK")</f>
        <v>PONTIANAK</v>
      </c>
      <c r="Q3925" s="35" t="str">
        <f>IFERROR(__xludf.DUMMYFUNCTION("""COMPUTED_VALUE"""),"KALIMANTAN BARAT")</f>
        <v>KALIMANTAN BARAT</v>
      </c>
      <c r="R3925" s="35" t="str">
        <f>IFERROR(__xludf.DUMMYFUNCTION("""COMPUTED_VALUE"""),"ISLAM")</f>
        <v>ISLAM</v>
      </c>
      <c r="S3925" s="74" t="str">
        <f>IFERROR(__xludf.DUMMYFUNCTION("""COMPUTED_VALUE"""),"IRT")</f>
        <v>IRT</v>
      </c>
      <c r="T3925" s="35" t="str">
        <f>IFERROR(__xludf.DUMMYFUNCTION("""COMPUTED_VALUE"""),"NYERI PINGGANG DAN PUNDAK")</f>
        <v>NYERI PINGGANG DAN PUNDAK</v>
      </c>
      <c r="U3925" s="35" t="str">
        <f>IFERROR(__xludf.DUMMYFUNCTION("""COMPUTED_VALUE"""),"-")</f>
        <v>-</v>
      </c>
      <c r="V3925" s="35" t="str">
        <f>IFERROR(__xludf.DUMMYFUNCTION("""COMPUTED_VALUE"""),"081345659163")</f>
        <v>081345659163</v>
      </c>
      <c r="W3925" s="45"/>
    </row>
    <row r="3926">
      <c r="A3926" s="45"/>
      <c r="B3926" s="35"/>
      <c r="C3926" s="35"/>
      <c r="D3926" s="10"/>
      <c r="E3926" s="35" t="str">
        <f>IFERROR(__xludf.DUMMYFUNCTION("""COMPUTED_VALUE"""),"")</f>
        <v/>
      </c>
      <c r="F3926" s="35" t="str">
        <f>IFERROR(__xludf.DUMMYFUNCTION("""COMPUTED_VALUE"""),"1899")</f>
        <v>1899</v>
      </c>
      <c r="G3926" s="35"/>
      <c r="H3926" s="35" t="str">
        <f>IFERROR(__xludf.DUMMYFUNCTION("""COMPUTED_VALUE"""),"")</f>
        <v/>
      </c>
      <c r="I3926" s="35" t="str">
        <f>IFERROR(__xludf.DUMMYFUNCTION("""COMPUTED_VALUE"""),"")</f>
        <v/>
      </c>
      <c r="J3926" s="35" t="str">
        <f>IFERROR(__xludf.DUMMYFUNCTION("""COMPUTED_VALUE"""),"")</f>
        <v/>
      </c>
      <c r="K3926" s="35"/>
      <c r="L3926" s="35"/>
      <c r="M3926" s="35"/>
      <c r="N3926" s="35"/>
      <c r="O3926" s="35"/>
      <c r="P3926" s="35"/>
      <c r="Q3926" s="35"/>
      <c r="R3926" s="35"/>
      <c r="S3926" s="74"/>
      <c r="T3926" s="35"/>
      <c r="U3926" s="35"/>
      <c r="V3926" s="35"/>
      <c r="W3926" s="45"/>
    </row>
    <row r="3927">
      <c r="A3927" s="45"/>
      <c r="B3927" s="35"/>
      <c r="C3927" s="35"/>
      <c r="D3927" s="10"/>
      <c r="E3927" s="35" t="str">
        <f>IFERROR(__xludf.DUMMYFUNCTION("""COMPUTED_VALUE"""),"")</f>
        <v/>
      </c>
      <c r="F3927" s="35" t="str">
        <f>IFERROR(__xludf.DUMMYFUNCTION("""COMPUTED_VALUE"""),"1899")</f>
        <v>1899</v>
      </c>
      <c r="G3927" s="35"/>
      <c r="H3927" s="35" t="str">
        <f>IFERROR(__xludf.DUMMYFUNCTION("""COMPUTED_VALUE"""),"")</f>
        <v/>
      </c>
      <c r="I3927" s="35" t="str">
        <f>IFERROR(__xludf.DUMMYFUNCTION("""COMPUTED_VALUE"""),"")</f>
        <v/>
      </c>
      <c r="J3927" s="35" t="str">
        <f>IFERROR(__xludf.DUMMYFUNCTION("""COMPUTED_VALUE"""),"")</f>
        <v/>
      </c>
      <c r="K3927" s="35"/>
      <c r="L3927" s="35"/>
      <c r="M3927" s="35"/>
      <c r="N3927" s="35"/>
      <c r="O3927" s="35"/>
      <c r="P3927" s="35"/>
      <c r="Q3927" s="35"/>
      <c r="R3927" s="35"/>
      <c r="S3927" s="74"/>
      <c r="T3927" s="35"/>
      <c r="U3927" s="35"/>
      <c r="V3927" s="35"/>
      <c r="W3927" s="45"/>
    </row>
    <row r="3928">
      <c r="A3928" s="45"/>
      <c r="B3928" s="35"/>
      <c r="C3928" s="35"/>
      <c r="D3928" s="10"/>
      <c r="E3928" s="35" t="str">
        <f>IFERROR(__xludf.DUMMYFUNCTION("""COMPUTED_VALUE"""),"")</f>
        <v/>
      </c>
      <c r="F3928" s="35" t="str">
        <f>IFERROR(__xludf.DUMMYFUNCTION("""COMPUTED_VALUE"""),"1899")</f>
        <v>1899</v>
      </c>
      <c r="G3928" s="35"/>
      <c r="H3928" s="35" t="str">
        <f>IFERROR(__xludf.DUMMYFUNCTION("""COMPUTED_VALUE"""),"")</f>
        <v/>
      </c>
      <c r="I3928" s="35" t="str">
        <f>IFERROR(__xludf.DUMMYFUNCTION("""COMPUTED_VALUE"""),"")</f>
        <v/>
      </c>
      <c r="J3928" s="35" t="str">
        <f>IFERROR(__xludf.DUMMYFUNCTION("""COMPUTED_VALUE"""),"")</f>
        <v/>
      </c>
      <c r="K3928" s="35"/>
      <c r="L3928" s="35"/>
      <c r="M3928" s="35"/>
      <c r="N3928" s="35"/>
      <c r="O3928" s="35"/>
      <c r="P3928" s="35"/>
      <c r="Q3928" s="35"/>
      <c r="R3928" s="35"/>
      <c r="S3928" s="74"/>
      <c r="T3928" s="35"/>
      <c r="U3928" s="35"/>
      <c r="V3928" s="35"/>
      <c r="W3928" s="45"/>
    </row>
    <row r="3929">
      <c r="A3929" s="45"/>
      <c r="B3929" s="35"/>
      <c r="C3929" s="35"/>
      <c r="D3929" s="10"/>
      <c r="E3929" s="35" t="str">
        <f>IFERROR(__xludf.DUMMYFUNCTION("""COMPUTED_VALUE"""),"")</f>
        <v/>
      </c>
      <c r="F3929" s="35" t="str">
        <f>IFERROR(__xludf.DUMMYFUNCTION("""COMPUTED_VALUE"""),"1899")</f>
        <v>1899</v>
      </c>
      <c r="G3929" s="35"/>
      <c r="H3929" s="35" t="str">
        <f>IFERROR(__xludf.DUMMYFUNCTION("""COMPUTED_VALUE"""),"")</f>
        <v/>
      </c>
      <c r="I3929" s="35" t="str">
        <f>IFERROR(__xludf.DUMMYFUNCTION("""COMPUTED_VALUE"""),"")</f>
        <v/>
      </c>
      <c r="J3929" s="35" t="str">
        <f>IFERROR(__xludf.DUMMYFUNCTION("""COMPUTED_VALUE"""),"")</f>
        <v/>
      </c>
      <c r="K3929" s="35"/>
      <c r="L3929" s="35"/>
      <c r="M3929" s="35"/>
      <c r="N3929" s="35"/>
      <c r="O3929" s="35"/>
      <c r="P3929" s="35"/>
      <c r="Q3929" s="35"/>
      <c r="R3929" s="35"/>
      <c r="S3929" s="74"/>
      <c r="T3929" s="35"/>
      <c r="U3929" s="35"/>
      <c r="V3929" s="35"/>
      <c r="W3929" s="45"/>
    </row>
    <row r="3930">
      <c r="A3930" s="45"/>
      <c r="B3930" s="35"/>
      <c r="C3930" s="35"/>
      <c r="D3930" s="10"/>
      <c r="E3930" s="35" t="str">
        <f>IFERROR(__xludf.DUMMYFUNCTION("""COMPUTED_VALUE"""),"")</f>
        <v/>
      </c>
      <c r="F3930" s="35" t="str">
        <f>IFERROR(__xludf.DUMMYFUNCTION("""COMPUTED_VALUE"""),"1899")</f>
        <v>1899</v>
      </c>
      <c r="G3930" s="35"/>
      <c r="H3930" s="35" t="str">
        <f>IFERROR(__xludf.DUMMYFUNCTION("""COMPUTED_VALUE"""),"")</f>
        <v/>
      </c>
      <c r="I3930" s="35" t="str">
        <f>IFERROR(__xludf.DUMMYFUNCTION("""COMPUTED_VALUE"""),"")</f>
        <v/>
      </c>
      <c r="J3930" s="35" t="str">
        <f>IFERROR(__xludf.DUMMYFUNCTION("""COMPUTED_VALUE"""),"")</f>
        <v/>
      </c>
      <c r="K3930" s="35"/>
      <c r="L3930" s="35"/>
      <c r="M3930" s="35"/>
      <c r="N3930" s="35"/>
      <c r="O3930" s="35"/>
      <c r="P3930" s="35"/>
      <c r="Q3930" s="35"/>
      <c r="R3930" s="35"/>
      <c r="S3930" s="74"/>
      <c r="T3930" s="35"/>
      <c r="U3930" s="35"/>
      <c r="V3930" s="35"/>
      <c r="W3930" s="45"/>
    </row>
    <row r="3931">
      <c r="A3931" s="45"/>
      <c r="B3931" s="35"/>
      <c r="C3931" s="35"/>
      <c r="D3931" s="10"/>
      <c r="E3931" s="35" t="str">
        <f>IFERROR(__xludf.DUMMYFUNCTION("""COMPUTED_VALUE"""),"")</f>
        <v/>
      </c>
      <c r="F3931" s="35" t="str">
        <f>IFERROR(__xludf.DUMMYFUNCTION("""COMPUTED_VALUE"""),"1899")</f>
        <v>1899</v>
      </c>
      <c r="G3931" s="35"/>
      <c r="H3931" s="35" t="str">
        <f>IFERROR(__xludf.DUMMYFUNCTION("""COMPUTED_VALUE"""),"")</f>
        <v/>
      </c>
      <c r="I3931" s="35" t="str">
        <f>IFERROR(__xludf.DUMMYFUNCTION("""COMPUTED_VALUE"""),"")</f>
        <v/>
      </c>
      <c r="J3931" s="35" t="str">
        <f>IFERROR(__xludf.DUMMYFUNCTION("""COMPUTED_VALUE"""),"")</f>
        <v/>
      </c>
      <c r="K3931" s="35"/>
      <c r="L3931" s="35"/>
      <c r="M3931" s="35"/>
      <c r="N3931" s="35"/>
      <c r="O3931" s="35"/>
      <c r="P3931" s="35"/>
      <c r="Q3931" s="35"/>
      <c r="R3931" s="35"/>
      <c r="S3931" s="74"/>
      <c r="T3931" s="35"/>
      <c r="U3931" s="35"/>
      <c r="V3931" s="35"/>
      <c r="W3931" s="45"/>
    </row>
    <row r="3932">
      <c r="A3932" s="45"/>
      <c r="B3932" s="35"/>
      <c r="C3932" s="35"/>
      <c r="D3932" s="10"/>
      <c r="E3932" s="35" t="str">
        <f>IFERROR(__xludf.DUMMYFUNCTION("""COMPUTED_VALUE"""),"")</f>
        <v/>
      </c>
      <c r="F3932" s="35" t="str">
        <f>IFERROR(__xludf.DUMMYFUNCTION("""COMPUTED_VALUE"""),"1899")</f>
        <v>1899</v>
      </c>
      <c r="G3932" s="35"/>
      <c r="H3932" s="35" t="str">
        <f>IFERROR(__xludf.DUMMYFUNCTION("""COMPUTED_VALUE"""),"")</f>
        <v/>
      </c>
      <c r="I3932" s="35" t="str">
        <f>IFERROR(__xludf.DUMMYFUNCTION("""COMPUTED_VALUE"""),"")</f>
        <v/>
      </c>
      <c r="J3932" s="35" t="str">
        <f>IFERROR(__xludf.DUMMYFUNCTION("""COMPUTED_VALUE"""),"")</f>
        <v/>
      </c>
      <c r="K3932" s="35"/>
      <c r="L3932" s="35"/>
      <c r="M3932" s="35"/>
      <c r="N3932" s="35"/>
      <c r="O3932" s="35"/>
      <c r="P3932" s="35"/>
      <c r="Q3932" s="35"/>
      <c r="R3932" s="35"/>
      <c r="S3932" s="74"/>
      <c r="T3932" s="35"/>
      <c r="U3932" s="35"/>
      <c r="V3932" s="35"/>
      <c r="W3932" s="45"/>
    </row>
    <row r="3933">
      <c r="A3933" s="45"/>
      <c r="B3933" s="35"/>
      <c r="C3933" s="35"/>
      <c r="D3933" s="10"/>
      <c r="E3933" s="35" t="str">
        <f>IFERROR(__xludf.DUMMYFUNCTION("""COMPUTED_VALUE"""),"")</f>
        <v/>
      </c>
      <c r="F3933" s="35" t="str">
        <f>IFERROR(__xludf.DUMMYFUNCTION("""COMPUTED_VALUE"""),"1899")</f>
        <v>1899</v>
      </c>
      <c r="G3933" s="35"/>
      <c r="H3933" s="35" t="str">
        <f>IFERROR(__xludf.DUMMYFUNCTION("""COMPUTED_VALUE"""),"")</f>
        <v/>
      </c>
      <c r="I3933" s="35" t="str">
        <f>IFERROR(__xludf.DUMMYFUNCTION("""COMPUTED_VALUE"""),"")</f>
        <v/>
      </c>
      <c r="J3933" s="35" t="str">
        <f>IFERROR(__xludf.DUMMYFUNCTION("""COMPUTED_VALUE"""),"")</f>
        <v/>
      </c>
      <c r="K3933" s="35"/>
      <c r="L3933" s="35"/>
      <c r="M3933" s="35"/>
      <c r="N3933" s="35"/>
      <c r="O3933" s="35"/>
      <c r="P3933" s="35"/>
      <c r="Q3933" s="35"/>
      <c r="R3933" s="35"/>
      <c r="S3933" s="74"/>
      <c r="T3933" s="35"/>
      <c r="U3933" s="35"/>
      <c r="V3933" s="35"/>
      <c r="W3933" s="45"/>
    </row>
    <row r="3934">
      <c r="A3934" s="45"/>
      <c r="B3934" s="35"/>
      <c r="C3934" s="35"/>
      <c r="D3934" s="10"/>
      <c r="E3934" s="35" t="str">
        <f>IFERROR(__xludf.DUMMYFUNCTION("""COMPUTED_VALUE"""),"")</f>
        <v/>
      </c>
      <c r="F3934" s="35" t="str">
        <f>IFERROR(__xludf.DUMMYFUNCTION("""COMPUTED_VALUE"""),"1899")</f>
        <v>1899</v>
      </c>
      <c r="G3934" s="35"/>
      <c r="H3934" s="35" t="str">
        <f>IFERROR(__xludf.DUMMYFUNCTION("""COMPUTED_VALUE"""),"")</f>
        <v/>
      </c>
      <c r="I3934" s="35" t="str">
        <f>IFERROR(__xludf.DUMMYFUNCTION("""COMPUTED_VALUE"""),"")</f>
        <v/>
      </c>
      <c r="J3934" s="35" t="str">
        <f>IFERROR(__xludf.DUMMYFUNCTION("""COMPUTED_VALUE"""),"")</f>
        <v/>
      </c>
      <c r="K3934" s="35"/>
      <c r="L3934" s="35"/>
      <c r="M3934" s="35"/>
      <c r="N3934" s="35"/>
      <c r="O3934" s="35"/>
      <c r="P3934" s="35"/>
      <c r="Q3934" s="35"/>
      <c r="R3934" s="35"/>
      <c r="S3934" s="74"/>
      <c r="T3934" s="35"/>
      <c r="U3934" s="35"/>
      <c r="V3934" s="35"/>
      <c r="W3934" s="45"/>
    </row>
    <row r="3935">
      <c r="A3935" s="45"/>
      <c r="B3935" s="35"/>
      <c r="C3935" s="35"/>
      <c r="D3935" s="10"/>
      <c r="E3935" s="35" t="str">
        <f>IFERROR(__xludf.DUMMYFUNCTION("""COMPUTED_VALUE"""),"")</f>
        <v/>
      </c>
      <c r="F3935" s="35" t="str">
        <f>IFERROR(__xludf.DUMMYFUNCTION("""COMPUTED_VALUE"""),"1899")</f>
        <v>1899</v>
      </c>
      <c r="G3935" s="35"/>
      <c r="H3935" s="35" t="str">
        <f>IFERROR(__xludf.DUMMYFUNCTION("""COMPUTED_VALUE"""),"")</f>
        <v/>
      </c>
      <c r="I3935" s="35" t="str">
        <f>IFERROR(__xludf.DUMMYFUNCTION("""COMPUTED_VALUE"""),"")</f>
        <v/>
      </c>
      <c r="J3935" s="35" t="str">
        <f>IFERROR(__xludf.DUMMYFUNCTION("""COMPUTED_VALUE"""),"")</f>
        <v/>
      </c>
      <c r="K3935" s="35"/>
      <c r="L3935" s="35"/>
      <c r="M3935" s="35"/>
      <c r="N3935" s="35"/>
      <c r="O3935" s="35"/>
      <c r="P3935" s="35"/>
      <c r="Q3935" s="35"/>
      <c r="R3935" s="35"/>
      <c r="S3935" s="74"/>
      <c r="T3935" s="35"/>
      <c r="U3935" s="35"/>
      <c r="V3935" s="35"/>
      <c r="W3935" s="45"/>
    </row>
    <row r="3936">
      <c r="A3936" s="45"/>
      <c r="B3936" s="35"/>
      <c r="C3936" s="35"/>
      <c r="D3936" s="10"/>
      <c r="E3936" s="35" t="str">
        <f>IFERROR(__xludf.DUMMYFUNCTION("""COMPUTED_VALUE"""),"")</f>
        <v/>
      </c>
      <c r="F3936" s="35" t="str">
        <f>IFERROR(__xludf.DUMMYFUNCTION("""COMPUTED_VALUE"""),"1899")</f>
        <v>1899</v>
      </c>
      <c r="G3936" s="35"/>
      <c r="H3936" s="35" t="str">
        <f>IFERROR(__xludf.DUMMYFUNCTION("""COMPUTED_VALUE"""),"")</f>
        <v/>
      </c>
      <c r="I3936" s="35" t="str">
        <f>IFERROR(__xludf.DUMMYFUNCTION("""COMPUTED_VALUE"""),"")</f>
        <v/>
      </c>
      <c r="J3936" s="35" t="str">
        <f>IFERROR(__xludf.DUMMYFUNCTION("""COMPUTED_VALUE"""),"")</f>
        <v/>
      </c>
      <c r="K3936" s="35"/>
      <c r="L3936" s="35"/>
      <c r="M3936" s="35"/>
      <c r="N3936" s="35"/>
      <c r="O3936" s="35"/>
      <c r="P3936" s="35"/>
      <c r="Q3936" s="35"/>
      <c r="R3936" s="35"/>
      <c r="S3936" s="74"/>
      <c r="T3936" s="35"/>
      <c r="U3936" s="35"/>
      <c r="V3936" s="35"/>
      <c r="W3936" s="45"/>
    </row>
    <row r="3937">
      <c r="A3937" s="45"/>
      <c r="B3937" s="35"/>
      <c r="C3937" s="35"/>
      <c r="D3937" s="10"/>
      <c r="E3937" s="35" t="str">
        <f>IFERROR(__xludf.DUMMYFUNCTION("""COMPUTED_VALUE"""),"")</f>
        <v/>
      </c>
      <c r="F3937" s="35" t="str">
        <f>IFERROR(__xludf.DUMMYFUNCTION("""COMPUTED_VALUE"""),"1899")</f>
        <v>1899</v>
      </c>
      <c r="G3937" s="35"/>
      <c r="H3937" s="35" t="str">
        <f>IFERROR(__xludf.DUMMYFUNCTION("""COMPUTED_VALUE"""),"")</f>
        <v/>
      </c>
      <c r="I3937" s="35" t="str">
        <f>IFERROR(__xludf.DUMMYFUNCTION("""COMPUTED_VALUE"""),"")</f>
        <v/>
      </c>
      <c r="J3937" s="35" t="str">
        <f>IFERROR(__xludf.DUMMYFUNCTION("""COMPUTED_VALUE"""),"")</f>
        <v/>
      </c>
      <c r="K3937" s="35"/>
      <c r="L3937" s="35"/>
      <c r="M3937" s="35"/>
      <c r="N3937" s="35"/>
      <c r="O3937" s="35"/>
      <c r="P3937" s="35"/>
      <c r="Q3937" s="35"/>
      <c r="R3937" s="35"/>
      <c r="S3937" s="74"/>
      <c r="T3937" s="35"/>
      <c r="U3937" s="35"/>
      <c r="V3937" s="35"/>
      <c r="W3937" s="45"/>
    </row>
    <row r="3938">
      <c r="A3938" s="45"/>
      <c r="B3938" s="35"/>
      <c r="C3938" s="35"/>
      <c r="D3938" s="10"/>
      <c r="E3938" s="35" t="str">
        <f>IFERROR(__xludf.DUMMYFUNCTION("""COMPUTED_VALUE"""),"")</f>
        <v/>
      </c>
      <c r="F3938" s="35" t="str">
        <f>IFERROR(__xludf.DUMMYFUNCTION("""COMPUTED_VALUE"""),"1899")</f>
        <v>1899</v>
      </c>
      <c r="G3938" s="35"/>
      <c r="H3938" s="35" t="str">
        <f>IFERROR(__xludf.DUMMYFUNCTION("""COMPUTED_VALUE"""),"")</f>
        <v/>
      </c>
      <c r="I3938" s="35" t="str">
        <f>IFERROR(__xludf.DUMMYFUNCTION("""COMPUTED_VALUE"""),"")</f>
        <v/>
      </c>
      <c r="J3938" s="35" t="str">
        <f>IFERROR(__xludf.DUMMYFUNCTION("""COMPUTED_VALUE"""),"")</f>
        <v/>
      </c>
      <c r="K3938" s="35"/>
      <c r="L3938" s="35"/>
      <c r="M3938" s="35"/>
      <c r="N3938" s="35"/>
      <c r="O3938" s="35"/>
      <c r="P3938" s="35"/>
      <c r="Q3938" s="35"/>
      <c r="R3938" s="35"/>
      <c r="S3938" s="74"/>
      <c r="T3938" s="35"/>
      <c r="U3938" s="35"/>
      <c r="V3938" s="35"/>
      <c r="W3938" s="45"/>
    </row>
    <row r="3939">
      <c r="A3939" s="45"/>
      <c r="B3939" s="35"/>
      <c r="C3939" s="35"/>
      <c r="D3939" s="10"/>
      <c r="E3939" s="35" t="str">
        <f>IFERROR(__xludf.DUMMYFUNCTION("""COMPUTED_VALUE"""),"")</f>
        <v/>
      </c>
      <c r="F3939" s="35" t="str">
        <f>IFERROR(__xludf.DUMMYFUNCTION("""COMPUTED_VALUE"""),"1899")</f>
        <v>1899</v>
      </c>
      <c r="G3939" s="35"/>
      <c r="H3939" s="35" t="str">
        <f>IFERROR(__xludf.DUMMYFUNCTION("""COMPUTED_VALUE"""),"")</f>
        <v/>
      </c>
      <c r="I3939" s="35" t="str">
        <f>IFERROR(__xludf.DUMMYFUNCTION("""COMPUTED_VALUE"""),"")</f>
        <v/>
      </c>
      <c r="J3939" s="35" t="str">
        <f>IFERROR(__xludf.DUMMYFUNCTION("""COMPUTED_VALUE"""),"")</f>
        <v/>
      </c>
      <c r="K3939" s="35"/>
      <c r="L3939" s="35"/>
      <c r="M3939" s="35"/>
      <c r="N3939" s="35"/>
      <c r="O3939" s="35"/>
      <c r="P3939" s="35"/>
      <c r="Q3939" s="35"/>
      <c r="R3939" s="35"/>
      <c r="S3939" s="74"/>
      <c r="T3939" s="35"/>
      <c r="U3939" s="35"/>
      <c r="V3939" s="35"/>
      <c r="W3939" s="45"/>
    </row>
    <row r="3940">
      <c r="A3940" s="45"/>
      <c r="B3940" s="35"/>
      <c r="C3940" s="35"/>
      <c r="D3940" s="10"/>
      <c r="E3940" s="35" t="str">
        <f>IFERROR(__xludf.DUMMYFUNCTION("""COMPUTED_VALUE"""),"")</f>
        <v/>
      </c>
      <c r="F3940" s="35" t="str">
        <f>IFERROR(__xludf.DUMMYFUNCTION("""COMPUTED_VALUE"""),"1899")</f>
        <v>1899</v>
      </c>
      <c r="G3940" s="35"/>
      <c r="H3940" s="35" t="str">
        <f>IFERROR(__xludf.DUMMYFUNCTION("""COMPUTED_VALUE"""),"")</f>
        <v/>
      </c>
      <c r="I3940" s="35" t="str">
        <f>IFERROR(__xludf.DUMMYFUNCTION("""COMPUTED_VALUE"""),"")</f>
        <v/>
      </c>
      <c r="J3940" s="35" t="str">
        <f>IFERROR(__xludf.DUMMYFUNCTION("""COMPUTED_VALUE"""),"")</f>
        <v/>
      </c>
      <c r="K3940" s="35"/>
      <c r="L3940" s="35"/>
      <c r="M3940" s="35"/>
      <c r="N3940" s="35"/>
      <c r="O3940" s="35"/>
      <c r="P3940" s="35"/>
      <c r="Q3940" s="35"/>
      <c r="R3940" s="35"/>
      <c r="S3940" s="74"/>
      <c r="T3940" s="35"/>
      <c r="U3940" s="35"/>
      <c r="V3940" s="35"/>
      <c r="W3940" s="45"/>
    </row>
    <row r="3941">
      <c r="A3941" s="45"/>
      <c r="B3941" s="35"/>
      <c r="C3941" s="35"/>
      <c r="D3941" s="10"/>
      <c r="E3941" s="35" t="str">
        <f>IFERROR(__xludf.DUMMYFUNCTION("""COMPUTED_VALUE"""),"")</f>
        <v/>
      </c>
      <c r="F3941" s="35" t="str">
        <f>IFERROR(__xludf.DUMMYFUNCTION("""COMPUTED_VALUE"""),"1899")</f>
        <v>1899</v>
      </c>
      <c r="G3941" s="35"/>
      <c r="H3941" s="35" t="str">
        <f>IFERROR(__xludf.DUMMYFUNCTION("""COMPUTED_VALUE"""),"")</f>
        <v/>
      </c>
      <c r="I3941" s="35" t="str">
        <f>IFERROR(__xludf.DUMMYFUNCTION("""COMPUTED_VALUE"""),"")</f>
        <v/>
      </c>
      <c r="J3941" s="35" t="str">
        <f>IFERROR(__xludf.DUMMYFUNCTION("""COMPUTED_VALUE"""),"")</f>
        <v/>
      </c>
      <c r="K3941" s="35"/>
      <c r="L3941" s="35"/>
      <c r="M3941" s="35"/>
      <c r="N3941" s="35"/>
      <c r="O3941" s="35"/>
      <c r="P3941" s="35"/>
      <c r="Q3941" s="35"/>
      <c r="R3941" s="35"/>
      <c r="S3941" s="74"/>
      <c r="T3941" s="35"/>
      <c r="U3941" s="35"/>
      <c r="V3941" s="35"/>
      <c r="W3941" s="45"/>
    </row>
    <row r="3942">
      <c r="A3942" s="45"/>
      <c r="B3942" s="35"/>
      <c r="C3942" s="35"/>
      <c r="D3942" s="10"/>
      <c r="E3942" s="35" t="str">
        <f>IFERROR(__xludf.DUMMYFUNCTION("""COMPUTED_VALUE"""),"")</f>
        <v/>
      </c>
      <c r="F3942" s="35" t="str">
        <f>IFERROR(__xludf.DUMMYFUNCTION("""COMPUTED_VALUE"""),"1899")</f>
        <v>1899</v>
      </c>
      <c r="G3942" s="35"/>
      <c r="H3942" s="35" t="str">
        <f>IFERROR(__xludf.DUMMYFUNCTION("""COMPUTED_VALUE"""),"")</f>
        <v/>
      </c>
      <c r="I3942" s="35" t="str">
        <f>IFERROR(__xludf.DUMMYFUNCTION("""COMPUTED_VALUE"""),"")</f>
        <v/>
      </c>
      <c r="J3942" s="35" t="str">
        <f>IFERROR(__xludf.DUMMYFUNCTION("""COMPUTED_VALUE"""),"")</f>
        <v/>
      </c>
      <c r="K3942" s="35"/>
      <c r="L3942" s="35"/>
      <c r="M3942" s="35"/>
      <c r="N3942" s="35"/>
      <c r="O3942" s="35"/>
      <c r="P3942" s="35"/>
      <c r="Q3942" s="35"/>
      <c r="R3942" s="35"/>
      <c r="S3942" s="74"/>
      <c r="T3942" s="35"/>
      <c r="U3942" s="35"/>
      <c r="V3942" s="35"/>
      <c r="W3942" s="45"/>
    </row>
    <row r="3943">
      <c r="A3943" s="45"/>
      <c r="B3943" s="35"/>
      <c r="C3943" s="35"/>
      <c r="D3943" s="10"/>
      <c r="E3943" s="35" t="str">
        <f>IFERROR(__xludf.DUMMYFUNCTION("""COMPUTED_VALUE"""),"")</f>
        <v/>
      </c>
      <c r="F3943" s="35" t="str">
        <f>IFERROR(__xludf.DUMMYFUNCTION("""COMPUTED_VALUE"""),"1899")</f>
        <v>1899</v>
      </c>
      <c r="G3943" s="35"/>
      <c r="H3943" s="35" t="str">
        <f>IFERROR(__xludf.DUMMYFUNCTION("""COMPUTED_VALUE"""),"")</f>
        <v/>
      </c>
      <c r="I3943" s="35" t="str">
        <f>IFERROR(__xludf.DUMMYFUNCTION("""COMPUTED_VALUE"""),"")</f>
        <v/>
      </c>
      <c r="J3943" s="35" t="str">
        <f>IFERROR(__xludf.DUMMYFUNCTION("""COMPUTED_VALUE"""),"")</f>
        <v/>
      </c>
      <c r="K3943" s="35"/>
      <c r="L3943" s="35"/>
      <c r="M3943" s="35"/>
      <c r="N3943" s="35"/>
      <c r="O3943" s="35"/>
      <c r="P3943" s="35"/>
      <c r="Q3943" s="35"/>
      <c r="R3943" s="35"/>
      <c r="S3943" s="74"/>
      <c r="T3943" s="35"/>
      <c r="U3943" s="35"/>
      <c r="V3943" s="35"/>
      <c r="W3943" s="45"/>
    </row>
    <row r="3944">
      <c r="A3944" s="45"/>
      <c r="B3944" s="35"/>
      <c r="C3944" s="35"/>
      <c r="D3944" s="10"/>
      <c r="E3944" s="35" t="str">
        <f>IFERROR(__xludf.DUMMYFUNCTION("""COMPUTED_VALUE"""),"")</f>
        <v/>
      </c>
      <c r="F3944" s="35" t="str">
        <f>IFERROR(__xludf.DUMMYFUNCTION("""COMPUTED_VALUE"""),"1899")</f>
        <v>1899</v>
      </c>
      <c r="G3944" s="35"/>
      <c r="H3944" s="35" t="str">
        <f>IFERROR(__xludf.DUMMYFUNCTION("""COMPUTED_VALUE"""),"")</f>
        <v/>
      </c>
      <c r="I3944" s="35" t="str">
        <f>IFERROR(__xludf.DUMMYFUNCTION("""COMPUTED_VALUE"""),"")</f>
        <v/>
      </c>
      <c r="J3944" s="35" t="str">
        <f>IFERROR(__xludf.DUMMYFUNCTION("""COMPUTED_VALUE"""),"")</f>
        <v/>
      </c>
      <c r="K3944" s="35"/>
      <c r="L3944" s="35"/>
      <c r="M3944" s="35"/>
      <c r="N3944" s="35"/>
      <c r="O3944" s="35"/>
      <c r="P3944" s="35"/>
      <c r="Q3944" s="35"/>
      <c r="R3944" s="35"/>
      <c r="S3944" s="74"/>
      <c r="T3944" s="35"/>
      <c r="U3944" s="35"/>
      <c r="V3944" s="35"/>
      <c r="W3944" s="45"/>
    </row>
    <row r="3945">
      <c r="A3945" s="45"/>
      <c r="B3945" s="35"/>
      <c r="C3945" s="35"/>
      <c r="D3945" s="10"/>
      <c r="E3945" s="35" t="str">
        <f>IFERROR(__xludf.DUMMYFUNCTION("""COMPUTED_VALUE"""),"")</f>
        <v/>
      </c>
      <c r="F3945" s="35" t="str">
        <f>IFERROR(__xludf.DUMMYFUNCTION("""COMPUTED_VALUE"""),"1899")</f>
        <v>1899</v>
      </c>
      <c r="G3945" s="35"/>
      <c r="H3945" s="35" t="str">
        <f>IFERROR(__xludf.DUMMYFUNCTION("""COMPUTED_VALUE"""),"")</f>
        <v/>
      </c>
      <c r="I3945" s="35" t="str">
        <f>IFERROR(__xludf.DUMMYFUNCTION("""COMPUTED_VALUE"""),"")</f>
        <v/>
      </c>
      <c r="J3945" s="35" t="str">
        <f>IFERROR(__xludf.DUMMYFUNCTION("""COMPUTED_VALUE"""),"")</f>
        <v/>
      </c>
      <c r="K3945" s="35"/>
      <c r="L3945" s="35"/>
      <c r="M3945" s="35"/>
      <c r="N3945" s="35"/>
      <c r="O3945" s="35"/>
      <c r="P3945" s="35"/>
      <c r="Q3945" s="35"/>
      <c r="R3945" s="35"/>
      <c r="S3945" s="74"/>
      <c r="T3945" s="35"/>
      <c r="U3945" s="35"/>
      <c r="V3945" s="35"/>
      <c r="W3945" s="45"/>
    </row>
    <row r="3946">
      <c r="A3946" s="45"/>
      <c r="B3946" s="35"/>
      <c r="C3946" s="35"/>
      <c r="D3946" s="10"/>
      <c r="E3946" s="35" t="str">
        <f>IFERROR(__xludf.DUMMYFUNCTION("""COMPUTED_VALUE"""),"")</f>
        <v/>
      </c>
      <c r="F3946" s="35" t="str">
        <f>IFERROR(__xludf.DUMMYFUNCTION("""COMPUTED_VALUE"""),"1899")</f>
        <v>1899</v>
      </c>
      <c r="G3946" s="35"/>
      <c r="H3946" s="35" t="str">
        <f>IFERROR(__xludf.DUMMYFUNCTION("""COMPUTED_VALUE"""),"")</f>
        <v/>
      </c>
      <c r="I3946" s="35" t="str">
        <f>IFERROR(__xludf.DUMMYFUNCTION("""COMPUTED_VALUE"""),"")</f>
        <v/>
      </c>
      <c r="J3946" s="35" t="str">
        <f>IFERROR(__xludf.DUMMYFUNCTION("""COMPUTED_VALUE"""),"")</f>
        <v/>
      </c>
      <c r="K3946" s="35"/>
      <c r="L3946" s="35"/>
      <c r="M3946" s="35"/>
      <c r="N3946" s="35"/>
      <c r="O3946" s="35"/>
      <c r="P3946" s="35"/>
      <c r="Q3946" s="35"/>
      <c r="R3946" s="35"/>
      <c r="S3946" s="74"/>
      <c r="T3946" s="35"/>
      <c r="U3946" s="35"/>
      <c r="V3946" s="35"/>
      <c r="W3946" s="45"/>
    </row>
    <row r="3947">
      <c r="A3947" s="45"/>
      <c r="B3947" s="35"/>
      <c r="C3947" s="35"/>
      <c r="D3947" s="10"/>
      <c r="E3947" s="35" t="str">
        <f>IFERROR(__xludf.DUMMYFUNCTION("""COMPUTED_VALUE"""),"")</f>
        <v/>
      </c>
      <c r="F3947" s="35" t="str">
        <f>IFERROR(__xludf.DUMMYFUNCTION("""COMPUTED_VALUE"""),"1899")</f>
        <v>1899</v>
      </c>
      <c r="G3947" s="35"/>
      <c r="H3947" s="35" t="str">
        <f>IFERROR(__xludf.DUMMYFUNCTION("""COMPUTED_VALUE"""),"")</f>
        <v/>
      </c>
      <c r="I3947" s="35" t="str">
        <f>IFERROR(__xludf.DUMMYFUNCTION("""COMPUTED_VALUE"""),"")</f>
        <v/>
      </c>
      <c r="J3947" s="35" t="str">
        <f>IFERROR(__xludf.DUMMYFUNCTION("""COMPUTED_VALUE"""),"")</f>
        <v/>
      </c>
      <c r="K3947" s="35"/>
      <c r="L3947" s="35"/>
      <c r="M3947" s="35"/>
      <c r="N3947" s="35"/>
      <c r="O3947" s="35"/>
      <c r="P3947" s="35"/>
      <c r="Q3947" s="35"/>
      <c r="R3947" s="35"/>
      <c r="S3947" s="74"/>
      <c r="T3947" s="35"/>
      <c r="U3947" s="35"/>
      <c r="V3947" s="35"/>
      <c r="W3947" s="45"/>
    </row>
    <row r="3948">
      <c r="A3948" s="45"/>
      <c r="B3948" s="35"/>
      <c r="C3948" s="35"/>
      <c r="D3948" s="10"/>
      <c r="E3948" s="35" t="str">
        <f>IFERROR(__xludf.DUMMYFUNCTION("""COMPUTED_VALUE"""),"")</f>
        <v/>
      </c>
      <c r="F3948" s="35" t="str">
        <f>IFERROR(__xludf.DUMMYFUNCTION("""COMPUTED_VALUE"""),"1899")</f>
        <v>1899</v>
      </c>
      <c r="G3948" s="35"/>
      <c r="H3948" s="35" t="str">
        <f>IFERROR(__xludf.DUMMYFUNCTION("""COMPUTED_VALUE"""),"")</f>
        <v/>
      </c>
      <c r="I3948" s="35" t="str">
        <f>IFERROR(__xludf.DUMMYFUNCTION("""COMPUTED_VALUE"""),"")</f>
        <v/>
      </c>
      <c r="J3948" s="35" t="str">
        <f>IFERROR(__xludf.DUMMYFUNCTION("""COMPUTED_VALUE"""),"")</f>
        <v/>
      </c>
      <c r="K3948" s="35"/>
      <c r="L3948" s="35"/>
      <c r="M3948" s="35"/>
      <c r="N3948" s="35"/>
      <c r="O3948" s="35"/>
      <c r="P3948" s="35"/>
      <c r="Q3948" s="35"/>
      <c r="R3948" s="35"/>
      <c r="S3948" s="74"/>
      <c r="T3948" s="35"/>
      <c r="U3948" s="35"/>
      <c r="V3948" s="35"/>
      <c r="W3948" s="45"/>
    </row>
    <row r="3949">
      <c r="A3949" s="45"/>
      <c r="B3949" s="35"/>
      <c r="C3949" s="35"/>
      <c r="D3949" s="10"/>
      <c r="E3949" s="35" t="str">
        <f>IFERROR(__xludf.DUMMYFUNCTION("""COMPUTED_VALUE"""),"")</f>
        <v/>
      </c>
      <c r="F3949" s="35" t="str">
        <f>IFERROR(__xludf.DUMMYFUNCTION("""COMPUTED_VALUE"""),"1899")</f>
        <v>1899</v>
      </c>
      <c r="G3949" s="35"/>
      <c r="H3949" s="35" t="str">
        <f>IFERROR(__xludf.DUMMYFUNCTION("""COMPUTED_VALUE"""),"")</f>
        <v/>
      </c>
      <c r="I3949" s="35" t="str">
        <f>IFERROR(__xludf.DUMMYFUNCTION("""COMPUTED_VALUE"""),"")</f>
        <v/>
      </c>
      <c r="J3949" s="35" t="str">
        <f>IFERROR(__xludf.DUMMYFUNCTION("""COMPUTED_VALUE"""),"")</f>
        <v/>
      </c>
      <c r="K3949" s="35"/>
      <c r="L3949" s="35"/>
      <c r="M3949" s="35"/>
      <c r="N3949" s="35"/>
      <c r="O3949" s="35"/>
      <c r="P3949" s="35"/>
      <c r="Q3949" s="35"/>
      <c r="R3949" s="35"/>
      <c r="S3949" s="74"/>
      <c r="T3949" s="35"/>
      <c r="U3949" s="35"/>
      <c r="V3949" s="35"/>
      <c r="W3949" s="45"/>
    </row>
    <row r="3950">
      <c r="A3950" s="45"/>
      <c r="B3950" s="35"/>
      <c r="C3950" s="35"/>
      <c r="D3950" s="10"/>
      <c r="E3950" s="35" t="str">
        <f>IFERROR(__xludf.DUMMYFUNCTION("""COMPUTED_VALUE"""),"")</f>
        <v/>
      </c>
      <c r="F3950" s="35" t="str">
        <f>IFERROR(__xludf.DUMMYFUNCTION("""COMPUTED_VALUE"""),"1899")</f>
        <v>1899</v>
      </c>
      <c r="G3950" s="35"/>
      <c r="H3950" s="35" t="str">
        <f>IFERROR(__xludf.DUMMYFUNCTION("""COMPUTED_VALUE"""),"")</f>
        <v/>
      </c>
      <c r="I3950" s="35" t="str">
        <f>IFERROR(__xludf.DUMMYFUNCTION("""COMPUTED_VALUE"""),"")</f>
        <v/>
      </c>
      <c r="J3950" s="35" t="str">
        <f>IFERROR(__xludf.DUMMYFUNCTION("""COMPUTED_VALUE"""),"")</f>
        <v/>
      </c>
      <c r="K3950" s="35"/>
      <c r="L3950" s="35"/>
      <c r="M3950" s="35"/>
      <c r="N3950" s="35"/>
      <c r="O3950" s="35"/>
      <c r="P3950" s="35"/>
      <c r="Q3950" s="35"/>
      <c r="R3950" s="35"/>
      <c r="S3950" s="74"/>
      <c r="T3950" s="35"/>
      <c r="U3950" s="35"/>
      <c r="V3950" s="35"/>
      <c r="W3950" s="45"/>
    </row>
    <row r="3951">
      <c r="A3951" s="45"/>
      <c r="B3951" s="35"/>
      <c r="C3951" s="35"/>
      <c r="D3951" s="10"/>
      <c r="E3951" s="35" t="str">
        <f>IFERROR(__xludf.DUMMYFUNCTION("""COMPUTED_VALUE"""),"")</f>
        <v/>
      </c>
      <c r="F3951" s="35" t="str">
        <f>IFERROR(__xludf.DUMMYFUNCTION("""COMPUTED_VALUE"""),"1899")</f>
        <v>1899</v>
      </c>
      <c r="G3951" s="35"/>
      <c r="H3951" s="35" t="str">
        <f>IFERROR(__xludf.DUMMYFUNCTION("""COMPUTED_VALUE"""),"")</f>
        <v/>
      </c>
      <c r="I3951" s="35" t="str">
        <f>IFERROR(__xludf.DUMMYFUNCTION("""COMPUTED_VALUE"""),"")</f>
        <v/>
      </c>
      <c r="J3951" s="35" t="str">
        <f>IFERROR(__xludf.DUMMYFUNCTION("""COMPUTED_VALUE"""),"")</f>
        <v/>
      </c>
      <c r="K3951" s="35"/>
      <c r="L3951" s="35"/>
      <c r="M3951" s="35"/>
      <c r="N3951" s="35"/>
      <c r="O3951" s="35"/>
      <c r="P3951" s="35"/>
      <c r="Q3951" s="35"/>
      <c r="R3951" s="35"/>
      <c r="S3951" s="74"/>
      <c r="T3951" s="35"/>
      <c r="U3951" s="35"/>
      <c r="V3951" s="35"/>
      <c r="W3951" s="45"/>
    </row>
    <row r="3952">
      <c r="A3952" s="45"/>
      <c r="B3952" s="35"/>
      <c r="C3952" s="35"/>
      <c r="D3952" s="10"/>
      <c r="E3952" s="35" t="str">
        <f>IFERROR(__xludf.DUMMYFUNCTION("""COMPUTED_VALUE"""),"")</f>
        <v/>
      </c>
      <c r="F3952" s="35" t="str">
        <f>IFERROR(__xludf.DUMMYFUNCTION("""COMPUTED_VALUE"""),"1899")</f>
        <v>1899</v>
      </c>
      <c r="G3952" s="35"/>
      <c r="H3952" s="35" t="str">
        <f>IFERROR(__xludf.DUMMYFUNCTION("""COMPUTED_VALUE"""),"")</f>
        <v/>
      </c>
      <c r="I3952" s="35" t="str">
        <f>IFERROR(__xludf.DUMMYFUNCTION("""COMPUTED_VALUE"""),"")</f>
        <v/>
      </c>
      <c r="J3952" s="35" t="str">
        <f>IFERROR(__xludf.DUMMYFUNCTION("""COMPUTED_VALUE"""),"")</f>
        <v/>
      </c>
      <c r="K3952" s="35"/>
      <c r="L3952" s="35"/>
      <c r="M3952" s="35"/>
      <c r="N3952" s="35"/>
      <c r="O3952" s="35"/>
      <c r="P3952" s="35"/>
      <c r="Q3952" s="35"/>
      <c r="R3952" s="35"/>
      <c r="S3952" s="74"/>
      <c r="T3952" s="35"/>
      <c r="U3952" s="35"/>
      <c r="V3952" s="35"/>
      <c r="W3952" s="45"/>
    </row>
    <row r="3953">
      <c r="A3953" s="45"/>
      <c r="B3953" s="35"/>
      <c r="C3953" s="35"/>
      <c r="D3953" s="10"/>
      <c r="E3953" s="35" t="str">
        <f>IFERROR(__xludf.DUMMYFUNCTION("""COMPUTED_VALUE"""),"")</f>
        <v/>
      </c>
      <c r="F3953" s="35" t="str">
        <f>IFERROR(__xludf.DUMMYFUNCTION("""COMPUTED_VALUE"""),"1899")</f>
        <v>1899</v>
      </c>
      <c r="G3953" s="35"/>
      <c r="H3953" s="35" t="str">
        <f>IFERROR(__xludf.DUMMYFUNCTION("""COMPUTED_VALUE"""),"")</f>
        <v/>
      </c>
      <c r="I3953" s="35" t="str">
        <f>IFERROR(__xludf.DUMMYFUNCTION("""COMPUTED_VALUE"""),"")</f>
        <v/>
      </c>
      <c r="J3953" s="35" t="str">
        <f>IFERROR(__xludf.DUMMYFUNCTION("""COMPUTED_VALUE"""),"")</f>
        <v/>
      </c>
      <c r="K3953" s="35"/>
      <c r="L3953" s="35"/>
      <c r="M3953" s="35"/>
      <c r="N3953" s="35"/>
      <c r="O3953" s="35"/>
      <c r="P3953" s="35"/>
      <c r="Q3953" s="35"/>
      <c r="R3953" s="35"/>
      <c r="S3953" s="74"/>
      <c r="T3953" s="35"/>
      <c r="U3953" s="35"/>
      <c r="V3953" s="35"/>
      <c r="W3953" s="45"/>
    </row>
    <row r="3954">
      <c r="A3954" s="45"/>
      <c r="B3954" s="35"/>
      <c r="C3954" s="35"/>
      <c r="D3954" s="10"/>
      <c r="E3954" s="35" t="str">
        <f>IFERROR(__xludf.DUMMYFUNCTION("""COMPUTED_VALUE"""),"")</f>
        <v/>
      </c>
      <c r="F3954" s="35" t="str">
        <f>IFERROR(__xludf.DUMMYFUNCTION("""COMPUTED_VALUE"""),"1899")</f>
        <v>1899</v>
      </c>
      <c r="G3954" s="35"/>
      <c r="H3954" s="35" t="str">
        <f>IFERROR(__xludf.DUMMYFUNCTION("""COMPUTED_VALUE"""),"")</f>
        <v/>
      </c>
      <c r="I3954" s="35" t="str">
        <f>IFERROR(__xludf.DUMMYFUNCTION("""COMPUTED_VALUE"""),"")</f>
        <v/>
      </c>
      <c r="J3954" s="35" t="str">
        <f>IFERROR(__xludf.DUMMYFUNCTION("""COMPUTED_VALUE"""),"")</f>
        <v/>
      </c>
      <c r="K3954" s="35"/>
      <c r="L3954" s="35"/>
      <c r="M3954" s="35"/>
      <c r="N3954" s="35"/>
      <c r="O3954" s="35"/>
      <c r="P3954" s="35"/>
      <c r="Q3954" s="35"/>
      <c r="R3954" s="35"/>
      <c r="S3954" s="74"/>
      <c r="T3954" s="35"/>
      <c r="U3954" s="35"/>
      <c r="V3954" s="35"/>
      <c r="W3954" s="45"/>
    </row>
    <row r="3955">
      <c r="A3955" s="45"/>
      <c r="B3955" s="35"/>
      <c r="C3955" s="35"/>
      <c r="D3955" s="10"/>
      <c r="E3955" s="35" t="str">
        <f>IFERROR(__xludf.DUMMYFUNCTION("""COMPUTED_VALUE"""),"")</f>
        <v/>
      </c>
      <c r="F3955" s="35" t="str">
        <f>IFERROR(__xludf.DUMMYFUNCTION("""COMPUTED_VALUE"""),"1899")</f>
        <v>1899</v>
      </c>
      <c r="G3955" s="35"/>
      <c r="H3955" s="35" t="str">
        <f>IFERROR(__xludf.DUMMYFUNCTION("""COMPUTED_VALUE"""),"")</f>
        <v/>
      </c>
      <c r="I3955" s="35" t="str">
        <f>IFERROR(__xludf.DUMMYFUNCTION("""COMPUTED_VALUE"""),"")</f>
        <v/>
      </c>
      <c r="J3955" s="35" t="str">
        <f>IFERROR(__xludf.DUMMYFUNCTION("""COMPUTED_VALUE"""),"")</f>
        <v/>
      </c>
      <c r="K3955" s="35"/>
      <c r="L3955" s="35"/>
      <c r="M3955" s="35"/>
      <c r="N3955" s="35"/>
      <c r="O3955" s="35"/>
      <c r="P3955" s="35"/>
      <c r="Q3955" s="35"/>
      <c r="R3955" s="35"/>
      <c r="S3955" s="74"/>
      <c r="T3955" s="35"/>
      <c r="U3955" s="35"/>
      <c r="V3955" s="35"/>
      <c r="W3955" s="45"/>
    </row>
    <row r="3956">
      <c r="A3956" s="45"/>
      <c r="B3956" s="35"/>
      <c r="C3956" s="35"/>
      <c r="D3956" s="10"/>
      <c r="E3956" s="35" t="str">
        <f>IFERROR(__xludf.DUMMYFUNCTION("""COMPUTED_VALUE"""),"")</f>
        <v/>
      </c>
      <c r="F3956" s="35" t="str">
        <f>IFERROR(__xludf.DUMMYFUNCTION("""COMPUTED_VALUE"""),"1899")</f>
        <v>1899</v>
      </c>
      <c r="G3956" s="35"/>
      <c r="H3956" s="35" t="str">
        <f>IFERROR(__xludf.DUMMYFUNCTION("""COMPUTED_VALUE"""),"")</f>
        <v/>
      </c>
      <c r="I3956" s="35" t="str">
        <f>IFERROR(__xludf.DUMMYFUNCTION("""COMPUTED_VALUE"""),"")</f>
        <v/>
      </c>
      <c r="J3956" s="35" t="str">
        <f>IFERROR(__xludf.DUMMYFUNCTION("""COMPUTED_VALUE"""),"")</f>
        <v/>
      </c>
      <c r="K3956" s="35"/>
      <c r="L3956" s="35"/>
      <c r="M3956" s="35"/>
      <c r="N3956" s="35"/>
      <c r="O3956" s="35"/>
      <c r="P3956" s="35"/>
      <c r="Q3956" s="35"/>
      <c r="R3956" s="35"/>
      <c r="S3956" s="74"/>
      <c r="T3956" s="35"/>
      <c r="U3956" s="35"/>
      <c r="V3956" s="35"/>
      <c r="W3956" s="45"/>
    </row>
    <row r="3957">
      <c r="A3957" s="45"/>
      <c r="B3957" s="35"/>
      <c r="C3957" s="35"/>
      <c r="D3957" s="10"/>
      <c r="E3957" s="35" t="str">
        <f>IFERROR(__xludf.DUMMYFUNCTION("""COMPUTED_VALUE"""),"")</f>
        <v/>
      </c>
      <c r="F3957" s="35" t="str">
        <f>IFERROR(__xludf.DUMMYFUNCTION("""COMPUTED_VALUE"""),"1899")</f>
        <v>1899</v>
      </c>
      <c r="G3957" s="35"/>
      <c r="H3957" s="35" t="str">
        <f>IFERROR(__xludf.DUMMYFUNCTION("""COMPUTED_VALUE"""),"")</f>
        <v/>
      </c>
      <c r="I3957" s="35" t="str">
        <f>IFERROR(__xludf.DUMMYFUNCTION("""COMPUTED_VALUE"""),"")</f>
        <v/>
      </c>
      <c r="J3957" s="35" t="str">
        <f>IFERROR(__xludf.DUMMYFUNCTION("""COMPUTED_VALUE"""),"")</f>
        <v/>
      </c>
      <c r="K3957" s="35"/>
      <c r="L3957" s="35"/>
      <c r="M3957" s="35"/>
      <c r="N3957" s="35"/>
      <c r="O3957" s="35"/>
      <c r="P3957" s="35"/>
      <c r="Q3957" s="35"/>
      <c r="R3957" s="35"/>
      <c r="S3957" s="74"/>
      <c r="T3957" s="35"/>
      <c r="U3957" s="35"/>
      <c r="V3957" s="35"/>
      <c r="W3957" s="45"/>
    </row>
    <row r="3958">
      <c r="A3958" s="45"/>
      <c r="B3958" s="35"/>
      <c r="C3958" s="35"/>
      <c r="D3958" s="10"/>
      <c r="E3958" s="35" t="str">
        <f>IFERROR(__xludf.DUMMYFUNCTION("""COMPUTED_VALUE"""),"")</f>
        <v/>
      </c>
      <c r="F3958" s="35" t="str">
        <f>IFERROR(__xludf.DUMMYFUNCTION("""COMPUTED_VALUE"""),"1899")</f>
        <v>1899</v>
      </c>
      <c r="G3958" s="35"/>
      <c r="H3958" s="35" t="str">
        <f>IFERROR(__xludf.DUMMYFUNCTION("""COMPUTED_VALUE"""),"")</f>
        <v/>
      </c>
      <c r="I3958" s="35" t="str">
        <f>IFERROR(__xludf.DUMMYFUNCTION("""COMPUTED_VALUE"""),"")</f>
        <v/>
      </c>
      <c r="J3958" s="35" t="str">
        <f>IFERROR(__xludf.DUMMYFUNCTION("""COMPUTED_VALUE"""),"")</f>
        <v/>
      </c>
      <c r="K3958" s="35"/>
      <c r="L3958" s="35"/>
      <c r="M3958" s="35"/>
      <c r="N3958" s="35"/>
      <c r="O3958" s="35"/>
      <c r="P3958" s="35"/>
      <c r="Q3958" s="35"/>
      <c r="R3958" s="35"/>
      <c r="S3958" s="74"/>
      <c r="T3958" s="35"/>
      <c r="U3958" s="35"/>
      <c r="V3958" s="35"/>
      <c r="W3958" s="45"/>
    </row>
    <row r="3959">
      <c r="A3959" s="45"/>
      <c r="B3959" s="35"/>
      <c r="C3959" s="35"/>
      <c r="D3959" s="10"/>
      <c r="E3959" s="35" t="str">
        <f>IFERROR(__xludf.DUMMYFUNCTION("""COMPUTED_VALUE"""),"")</f>
        <v/>
      </c>
      <c r="F3959" s="35" t="str">
        <f>IFERROR(__xludf.DUMMYFUNCTION("""COMPUTED_VALUE"""),"1899")</f>
        <v>1899</v>
      </c>
      <c r="G3959" s="35"/>
      <c r="H3959" s="35" t="str">
        <f>IFERROR(__xludf.DUMMYFUNCTION("""COMPUTED_VALUE"""),"")</f>
        <v/>
      </c>
      <c r="I3959" s="35" t="str">
        <f>IFERROR(__xludf.DUMMYFUNCTION("""COMPUTED_VALUE"""),"")</f>
        <v/>
      </c>
      <c r="J3959" s="35" t="str">
        <f>IFERROR(__xludf.DUMMYFUNCTION("""COMPUTED_VALUE"""),"")</f>
        <v/>
      </c>
      <c r="K3959" s="35"/>
      <c r="L3959" s="35"/>
      <c r="M3959" s="35"/>
      <c r="N3959" s="35"/>
      <c r="O3959" s="35"/>
      <c r="P3959" s="35"/>
      <c r="Q3959" s="35"/>
      <c r="R3959" s="35"/>
      <c r="S3959" s="74"/>
      <c r="T3959" s="35"/>
      <c r="U3959" s="35"/>
      <c r="V3959" s="35"/>
      <c r="W3959" s="45"/>
    </row>
    <row r="3960">
      <c r="A3960" s="45"/>
      <c r="B3960" s="35"/>
      <c r="C3960" s="35"/>
      <c r="D3960" s="10"/>
      <c r="E3960" s="35" t="str">
        <f>IFERROR(__xludf.DUMMYFUNCTION("""COMPUTED_VALUE"""),"")</f>
        <v/>
      </c>
      <c r="F3960" s="35" t="str">
        <f>IFERROR(__xludf.DUMMYFUNCTION("""COMPUTED_VALUE"""),"1899")</f>
        <v>1899</v>
      </c>
      <c r="G3960" s="35"/>
      <c r="H3960" s="35" t="str">
        <f>IFERROR(__xludf.DUMMYFUNCTION("""COMPUTED_VALUE"""),"")</f>
        <v/>
      </c>
      <c r="I3960" s="35" t="str">
        <f>IFERROR(__xludf.DUMMYFUNCTION("""COMPUTED_VALUE"""),"")</f>
        <v/>
      </c>
      <c r="J3960" s="35" t="str">
        <f>IFERROR(__xludf.DUMMYFUNCTION("""COMPUTED_VALUE"""),"")</f>
        <v/>
      </c>
      <c r="K3960" s="35"/>
      <c r="L3960" s="35"/>
      <c r="M3960" s="35"/>
      <c r="N3960" s="35"/>
      <c r="O3960" s="35"/>
      <c r="P3960" s="35"/>
      <c r="Q3960" s="35"/>
      <c r="R3960" s="35"/>
      <c r="S3960" s="74"/>
      <c r="T3960" s="35"/>
      <c r="U3960" s="35"/>
      <c r="V3960" s="35"/>
      <c r="W3960" s="45"/>
    </row>
    <row r="3961">
      <c r="A3961" s="45"/>
      <c r="B3961" s="35"/>
      <c r="C3961" s="35"/>
      <c r="D3961" s="10"/>
      <c r="E3961" s="35" t="str">
        <f>IFERROR(__xludf.DUMMYFUNCTION("""COMPUTED_VALUE"""),"")</f>
        <v/>
      </c>
      <c r="F3961" s="35" t="str">
        <f>IFERROR(__xludf.DUMMYFUNCTION("""COMPUTED_VALUE"""),"1899")</f>
        <v>1899</v>
      </c>
      <c r="G3961" s="35"/>
      <c r="H3961" s="35" t="str">
        <f>IFERROR(__xludf.DUMMYFUNCTION("""COMPUTED_VALUE"""),"")</f>
        <v/>
      </c>
      <c r="I3961" s="35" t="str">
        <f>IFERROR(__xludf.DUMMYFUNCTION("""COMPUTED_VALUE"""),"")</f>
        <v/>
      </c>
      <c r="J3961" s="35" t="str">
        <f>IFERROR(__xludf.DUMMYFUNCTION("""COMPUTED_VALUE"""),"")</f>
        <v/>
      </c>
      <c r="K3961" s="35"/>
      <c r="L3961" s="35"/>
      <c r="M3961" s="35"/>
      <c r="N3961" s="35"/>
      <c r="O3961" s="35"/>
      <c r="P3961" s="35"/>
      <c r="Q3961" s="35"/>
      <c r="R3961" s="35"/>
      <c r="S3961" s="74"/>
      <c r="T3961" s="35"/>
      <c r="U3961" s="35"/>
      <c r="V3961" s="35"/>
      <c r="W3961" s="45"/>
    </row>
    <row r="3962">
      <c r="A3962" s="45"/>
      <c r="B3962" s="35"/>
      <c r="C3962" s="35"/>
      <c r="D3962" s="10"/>
      <c r="E3962" s="35" t="str">
        <f>IFERROR(__xludf.DUMMYFUNCTION("""COMPUTED_VALUE"""),"")</f>
        <v/>
      </c>
      <c r="F3962" s="35" t="str">
        <f>IFERROR(__xludf.DUMMYFUNCTION("""COMPUTED_VALUE"""),"1899")</f>
        <v>1899</v>
      </c>
      <c r="G3962" s="35"/>
      <c r="H3962" s="35" t="str">
        <f>IFERROR(__xludf.DUMMYFUNCTION("""COMPUTED_VALUE"""),"")</f>
        <v/>
      </c>
      <c r="I3962" s="35" t="str">
        <f>IFERROR(__xludf.DUMMYFUNCTION("""COMPUTED_VALUE"""),"")</f>
        <v/>
      </c>
      <c r="J3962" s="35" t="str">
        <f>IFERROR(__xludf.DUMMYFUNCTION("""COMPUTED_VALUE"""),"")</f>
        <v/>
      </c>
      <c r="K3962" s="35"/>
      <c r="L3962" s="35"/>
      <c r="M3962" s="35"/>
      <c r="N3962" s="35"/>
      <c r="O3962" s="35"/>
      <c r="P3962" s="35"/>
      <c r="Q3962" s="35"/>
      <c r="R3962" s="35"/>
      <c r="S3962" s="74"/>
      <c r="T3962" s="35"/>
      <c r="U3962" s="35"/>
      <c r="V3962" s="35"/>
      <c r="W3962" s="45"/>
    </row>
    <row r="3963">
      <c r="A3963" s="45"/>
      <c r="B3963" s="35"/>
      <c r="C3963" s="35"/>
      <c r="D3963" s="10"/>
      <c r="E3963" s="35" t="str">
        <f>IFERROR(__xludf.DUMMYFUNCTION("""COMPUTED_VALUE"""),"")</f>
        <v/>
      </c>
      <c r="F3963" s="35" t="str">
        <f>IFERROR(__xludf.DUMMYFUNCTION("""COMPUTED_VALUE"""),"1899")</f>
        <v>1899</v>
      </c>
      <c r="G3963" s="35"/>
      <c r="H3963" s="35" t="str">
        <f>IFERROR(__xludf.DUMMYFUNCTION("""COMPUTED_VALUE"""),"")</f>
        <v/>
      </c>
      <c r="I3963" s="35" t="str">
        <f>IFERROR(__xludf.DUMMYFUNCTION("""COMPUTED_VALUE"""),"")</f>
        <v/>
      </c>
      <c r="J3963" s="35" t="str">
        <f>IFERROR(__xludf.DUMMYFUNCTION("""COMPUTED_VALUE"""),"")</f>
        <v/>
      </c>
      <c r="K3963" s="35"/>
      <c r="L3963" s="35"/>
      <c r="M3963" s="35"/>
      <c r="N3963" s="35"/>
      <c r="O3963" s="35"/>
      <c r="P3963" s="35"/>
      <c r="Q3963" s="35"/>
      <c r="R3963" s="35"/>
      <c r="S3963" s="74"/>
      <c r="T3963" s="35"/>
      <c r="U3963" s="35"/>
      <c r="V3963" s="35"/>
      <c r="W3963" s="45"/>
    </row>
    <row r="3964">
      <c r="A3964" s="45"/>
      <c r="B3964" s="35"/>
      <c r="C3964" s="35"/>
      <c r="D3964" s="10"/>
      <c r="E3964" s="35" t="str">
        <f>IFERROR(__xludf.DUMMYFUNCTION("""COMPUTED_VALUE"""),"")</f>
        <v/>
      </c>
      <c r="F3964" s="35" t="str">
        <f>IFERROR(__xludf.DUMMYFUNCTION("""COMPUTED_VALUE"""),"1899")</f>
        <v>1899</v>
      </c>
      <c r="G3964" s="35"/>
      <c r="H3964" s="35" t="str">
        <f>IFERROR(__xludf.DUMMYFUNCTION("""COMPUTED_VALUE"""),"")</f>
        <v/>
      </c>
      <c r="I3964" s="35" t="str">
        <f>IFERROR(__xludf.DUMMYFUNCTION("""COMPUTED_VALUE"""),"")</f>
        <v/>
      </c>
      <c r="J3964" s="35" t="str">
        <f>IFERROR(__xludf.DUMMYFUNCTION("""COMPUTED_VALUE"""),"")</f>
        <v/>
      </c>
      <c r="K3964" s="35"/>
      <c r="L3964" s="35"/>
      <c r="M3964" s="35"/>
      <c r="N3964" s="35"/>
      <c r="O3964" s="35"/>
      <c r="P3964" s="35"/>
      <c r="Q3964" s="35"/>
      <c r="R3964" s="35"/>
      <c r="S3964" s="74"/>
      <c r="T3964" s="35"/>
      <c r="U3964" s="35"/>
      <c r="V3964" s="35"/>
      <c r="W3964" s="45"/>
    </row>
    <row r="3965">
      <c r="A3965" s="45"/>
      <c r="B3965" s="35"/>
      <c r="C3965" s="35"/>
      <c r="D3965" s="10"/>
      <c r="E3965" s="35" t="str">
        <f>IFERROR(__xludf.DUMMYFUNCTION("""COMPUTED_VALUE"""),"")</f>
        <v/>
      </c>
      <c r="F3965" s="35" t="str">
        <f>IFERROR(__xludf.DUMMYFUNCTION("""COMPUTED_VALUE"""),"1899")</f>
        <v>1899</v>
      </c>
      <c r="G3965" s="35"/>
      <c r="H3965" s="35" t="str">
        <f>IFERROR(__xludf.DUMMYFUNCTION("""COMPUTED_VALUE"""),"")</f>
        <v/>
      </c>
      <c r="I3965" s="35" t="str">
        <f>IFERROR(__xludf.DUMMYFUNCTION("""COMPUTED_VALUE"""),"")</f>
        <v/>
      </c>
      <c r="J3965" s="35" t="str">
        <f>IFERROR(__xludf.DUMMYFUNCTION("""COMPUTED_VALUE"""),"")</f>
        <v/>
      </c>
      <c r="K3965" s="35"/>
      <c r="L3965" s="35"/>
      <c r="M3965" s="35"/>
      <c r="N3965" s="35"/>
      <c r="O3965" s="35"/>
      <c r="P3965" s="35"/>
      <c r="Q3965" s="35"/>
      <c r="R3965" s="35"/>
      <c r="S3965" s="74"/>
      <c r="T3965" s="35"/>
      <c r="U3965" s="35"/>
      <c r="V3965" s="35"/>
      <c r="W3965" s="45"/>
    </row>
    <row r="3966">
      <c r="A3966" s="45"/>
      <c r="B3966" s="35"/>
      <c r="C3966" s="35"/>
      <c r="D3966" s="10"/>
      <c r="E3966" s="35" t="str">
        <f>IFERROR(__xludf.DUMMYFUNCTION("""COMPUTED_VALUE"""),"")</f>
        <v/>
      </c>
      <c r="F3966" s="35" t="str">
        <f>IFERROR(__xludf.DUMMYFUNCTION("""COMPUTED_VALUE"""),"1899")</f>
        <v>1899</v>
      </c>
      <c r="G3966" s="35"/>
      <c r="H3966" s="35" t="str">
        <f>IFERROR(__xludf.DUMMYFUNCTION("""COMPUTED_VALUE"""),"")</f>
        <v/>
      </c>
      <c r="I3966" s="35" t="str">
        <f>IFERROR(__xludf.DUMMYFUNCTION("""COMPUTED_VALUE"""),"")</f>
        <v/>
      </c>
      <c r="J3966" s="35" t="str">
        <f>IFERROR(__xludf.DUMMYFUNCTION("""COMPUTED_VALUE"""),"")</f>
        <v/>
      </c>
      <c r="K3966" s="35"/>
      <c r="L3966" s="35"/>
      <c r="M3966" s="35"/>
      <c r="N3966" s="35"/>
      <c r="O3966" s="35"/>
      <c r="P3966" s="35"/>
      <c r="Q3966" s="35"/>
      <c r="R3966" s="35"/>
      <c r="S3966" s="74"/>
      <c r="T3966" s="35"/>
      <c r="U3966" s="35"/>
      <c r="V3966" s="35"/>
      <c r="W3966" s="45"/>
    </row>
    <row r="3967">
      <c r="A3967" s="45"/>
      <c r="B3967" s="35"/>
      <c r="C3967" s="35"/>
      <c r="D3967" s="10"/>
      <c r="E3967" s="35" t="str">
        <f>IFERROR(__xludf.DUMMYFUNCTION("""COMPUTED_VALUE"""),"")</f>
        <v/>
      </c>
      <c r="F3967" s="35" t="str">
        <f>IFERROR(__xludf.DUMMYFUNCTION("""COMPUTED_VALUE"""),"1899")</f>
        <v>1899</v>
      </c>
      <c r="G3967" s="35"/>
      <c r="H3967" s="35" t="str">
        <f>IFERROR(__xludf.DUMMYFUNCTION("""COMPUTED_VALUE"""),"")</f>
        <v/>
      </c>
      <c r="I3967" s="35" t="str">
        <f>IFERROR(__xludf.DUMMYFUNCTION("""COMPUTED_VALUE"""),"")</f>
        <v/>
      </c>
      <c r="J3967" s="35" t="str">
        <f>IFERROR(__xludf.DUMMYFUNCTION("""COMPUTED_VALUE"""),"")</f>
        <v/>
      </c>
      <c r="K3967" s="35"/>
      <c r="L3967" s="35"/>
      <c r="M3967" s="35"/>
      <c r="N3967" s="35"/>
      <c r="O3967" s="35"/>
      <c r="P3967" s="35"/>
      <c r="Q3967" s="35"/>
      <c r="R3967" s="35"/>
      <c r="S3967" s="74"/>
      <c r="T3967" s="35"/>
      <c r="U3967" s="35"/>
      <c r="V3967" s="35"/>
      <c r="W3967" s="45"/>
    </row>
    <row r="3968">
      <c r="A3968" s="45"/>
      <c r="B3968" s="35"/>
      <c r="C3968" s="35"/>
      <c r="D3968" s="10"/>
      <c r="E3968" s="35" t="str">
        <f>IFERROR(__xludf.DUMMYFUNCTION("""COMPUTED_VALUE"""),"")</f>
        <v/>
      </c>
      <c r="F3968" s="35" t="str">
        <f>IFERROR(__xludf.DUMMYFUNCTION("""COMPUTED_VALUE"""),"1899")</f>
        <v>1899</v>
      </c>
      <c r="G3968" s="35"/>
      <c r="H3968" s="35" t="str">
        <f>IFERROR(__xludf.DUMMYFUNCTION("""COMPUTED_VALUE"""),"")</f>
        <v/>
      </c>
      <c r="I3968" s="35" t="str">
        <f>IFERROR(__xludf.DUMMYFUNCTION("""COMPUTED_VALUE"""),"")</f>
        <v/>
      </c>
      <c r="J3968" s="35" t="str">
        <f>IFERROR(__xludf.DUMMYFUNCTION("""COMPUTED_VALUE"""),"")</f>
        <v/>
      </c>
      <c r="K3968" s="35"/>
      <c r="L3968" s="35"/>
      <c r="M3968" s="35"/>
      <c r="N3968" s="35"/>
      <c r="O3968" s="35"/>
      <c r="P3968" s="35"/>
      <c r="Q3968" s="35"/>
      <c r="R3968" s="35"/>
      <c r="S3968" s="74"/>
      <c r="T3968" s="35"/>
      <c r="U3968" s="35"/>
      <c r="V3968" s="35"/>
      <c r="W3968" s="45"/>
    </row>
    <row r="3969">
      <c r="A3969" s="45"/>
      <c r="B3969" s="35"/>
      <c r="C3969" s="35"/>
      <c r="D3969" s="10"/>
      <c r="E3969" s="35" t="str">
        <f>IFERROR(__xludf.DUMMYFUNCTION("""COMPUTED_VALUE"""),"")</f>
        <v/>
      </c>
      <c r="F3969" s="35" t="str">
        <f>IFERROR(__xludf.DUMMYFUNCTION("""COMPUTED_VALUE"""),"1899")</f>
        <v>1899</v>
      </c>
      <c r="G3969" s="35"/>
      <c r="H3969" s="35" t="str">
        <f>IFERROR(__xludf.DUMMYFUNCTION("""COMPUTED_VALUE"""),"")</f>
        <v/>
      </c>
      <c r="I3969" s="35" t="str">
        <f>IFERROR(__xludf.DUMMYFUNCTION("""COMPUTED_VALUE"""),"")</f>
        <v/>
      </c>
      <c r="J3969" s="35" t="str">
        <f>IFERROR(__xludf.DUMMYFUNCTION("""COMPUTED_VALUE"""),"")</f>
        <v/>
      </c>
      <c r="K3969" s="35"/>
      <c r="L3969" s="35"/>
      <c r="M3969" s="35"/>
      <c r="N3969" s="35"/>
      <c r="O3969" s="35"/>
      <c r="P3969" s="35"/>
      <c r="Q3969" s="35"/>
      <c r="R3969" s="35"/>
      <c r="S3969" s="74"/>
      <c r="T3969" s="35"/>
      <c r="U3969" s="35"/>
      <c r="V3969" s="35"/>
      <c r="W3969" s="45"/>
    </row>
    <row r="3970">
      <c r="A3970" s="45"/>
      <c r="B3970" s="35"/>
      <c r="C3970" s="35"/>
      <c r="D3970" s="10"/>
      <c r="E3970" s="35" t="str">
        <f>IFERROR(__xludf.DUMMYFUNCTION("""COMPUTED_VALUE"""),"")</f>
        <v/>
      </c>
      <c r="F3970" s="35" t="str">
        <f>IFERROR(__xludf.DUMMYFUNCTION("""COMPUTED_VALUE"""),"1899")</f>
        <v>1899</v>
      </c>
      <c r="G3970" s="35"/>
      <c r="H3970" s="35" t="str">
        <f>IFERROR(__xludf.DUMMYFUNCTION("""COMPUTED_VALUE"""),"")</f>
        <v/>
      </c>
      <c r="I3970" s="35" t="str">
        <f>IFERROR(__xludf.DUMMYFUNCTION("""COMPUTED_VALUE"""),"")</f>
        <v/>
      </c>
      <c r="J3970" s="35" t="str">
        <f>IFERROR(__xludf.DUMMYFUNCTION("""COMPUTED_VALUE"""),"")</f>
        <v/>
      </c>
      <c r="K3970" s="35"/>
      <c r="L3970" s="35"/>
      <c r="M3970" s="35"/>
      <c r="N3970" s="35"/>
      <c r="O3970" s="35"/>
      <c r="P3970" s="35"/>
      <c r="Q3970" s="35"/>
      <c r="R3970" s="35"/>
      <c r="S3970" s="74"/>
      <c r="T3970" s="35"/>
      <c r="U3970" s="35"/>
      <c r="V3970" s="35"/>
      <c r="W3970" s="45"/>
    </row>
    <row r="3971">
      <c r="A3971" s="45"/>
      <c r="B3971" s="35"/>
      <c r="C3971" s="35"/>
      <c r="D3971" s="10"/>
      <c r="E3971" s="35" t="str">
        <f>IFERROR(__xludf.DUMMYFUNCTION("""COMPUTED_VALUE"""),"")</f>
        <v/>
      </c>
      <c r="F3971" s="35" t="str">
        <f>IFERROR(__xludf.DUMMYFUNCTION("""COMPUTED_VALUE"""),"1899")</f>
        <v>1899</v>
      </c>
      <c r="G3971" s="35"/>
      <c r="H3971" s="35" t="str">
        <f>IFERROR(__xludf.DUMMYFUNCTION("""COMPUTED_VALUE"""),"")</f>
        <v/>
      </c>
      <c r="I3971" s="35" t="str">
        <f>IFERROR(__xludf.DUMMYFUNCTION("""COMPUTED_VALUE"""),"")</f>
        <v/>
      </c>
      <c r="J3971" s="35" t="str">
        <f>IFERROR(__xludf.DUMMYFUNCTION("""COMPUTED_VALUE"""),"")</f>
        <v/>
      </c>
      <c r="K3971" s="35"/>
      <c r="L3971" s="35"/>
      <c r="M3971" s="35"/>
      <c r="N3971" s="35"/>
      <c r="O3971" s="35"/>
      <c r="P3971" s="35"/>
      <c r="Q3971" s="35"/>
      <c r="R3971" s="35"/>
      <c r="S3971" s="74"/>
      <c r="T3971" s="35"/>
      <c r="U3971" s="35"/>
      <c r="V3971" s="35"/>
      <c r="W3971" s="45"/>
    </row>
    <row r="3972">
      <c r="A3972" s="45"/>
      <c r="B3972" s="35"/>
      <c r="C3972" s="35"/>
      <c r="D3972" s="10"/>
      <c r="E3972" s="35" t="str">
        <f>IFERROR(__xludf.DUMMYFUNCTION("""COMPUTED_VALUE"""),"")</f>
        <v/>
      </c>
      <c r="F3972" s="35" t="str">
        <f>IFERROR(__xludf.DUMMYFUNCTION("""COMPUTED_VALUE"""),"1899")</f>
        <v>1899</v>
      </c>
      <c r="G3972" s="35"/>
      <c r="H3972" s="35" t="str">
        <f>IFERROR(__xludf.DUMMYFUNCTION("""COMPUTED_VALUE"""),"")</f>
        <v/>
      </c>
      <c r="I3972" s="35" t="str">
        <f>IFERROR(__xludf.DUMMYFUNCTION("""COMPUTED_VALUE"""),"")</f>
        <v/>
      </c>
      <c r="J3972" s="35" t="str">
        <f>IFERROR(__xludf.DUMMYFUNCTION("""COMPUTED_VALUE"""),"")</f>
        <v/>
      </c>
      <c r="K3972" s="35"/>
      <c r="L3972" s="35"/>
      <c r="M3972" s="35"/>
      <c r="N3972" s="35"/>
      <c r="O3972" s="35"/>
      <c r="P3972" s="35"/>
      <c r="Q3972" s="35"/>
      <c r="R3972" s="35"/>
      <c r="S3972" s="74"/>
      <c r="T3972" s="35"/>
      <c r="U3972" s="35"/>
      <c r="V3972" s="35"/>
      <c r="W3972" s="45"/>
    </row>
    <row r="3973">
      <c r="A3973" s="45"/>
      <c r="B3973" s="35"/>
      <c r="C3973" s="35"/>
      <c r="D3973" s="10"/>
      <c r="E3973" s="35" t="str">
        <f>IFERROR(__xludf.DUMMYFUNCTION("""COMPUTED_VALUE"""),"")</f>
        <v/>
      </c>
      <c r="F3973" s="35" t="str">
        <f>IFERROR(__xludf.DUMMYFUNCTION("""COMPUTED_VALUE"""),"1899")</f>
        <v>1899</v>
      </c>
      <c r="G3973" s="35"/>
      <c r="H3973" s="35" t="str">
        <f>IFERROR(__xludf.DUMMYFUNCTION("""COMPUTED_VALUE"""),"")</f>
        <v/>
      </c>
      <c r="I3973" s="35" t="str">
        <f>IFERROR(__xludf.DUMMYFUNCTION("""COMPUTED_VALUE"""),"")</f>
        <v/>
      </c>
      <c r="J3973" s="35" t="str">
        <f>IFERROR(__xludf.DUMMYFUNCTION("""COMPUTED_VALUE"""),"")</f>
        <v/>
      </c>
      <c r="K3973" s="35"/>
      <c r="L3973" s="35"/>
      <c r="M3973" s="35"/>
      <c r="N3973" s="35"/>
      <c r="O3973" s="35"/>
      <c r="P3973" s="35"/>
      <c r="Q3973" s="35"/>
      <c r="R3973" s="35"/>
      <c r="S3973" s="74"/>
      <c r="T3973" s="35"/>
      <c r="U3973" s="35"/>
      <c r="V3973" s="35"/>
      <c r="W3973" s="45"/>
    </row>
    <row r="3974">
      <c r="A3974" s="45"/>
      <c r="B3974" s="35"/>
      <c r="C3974" s="35"/>
      <c r="D3974" s="10"/>
      <c r="E3974" s="35" t="str">
        <f>IFERROR(__xludf.DUMMYFUNCTION("""COMPUTED_VALUE"""),"")</f>
        <v/>
      </c>
      <c r="F3974" s="35" t="str">
        <f>IFERROR(__xludf.DUMMYFUNCTION("""COMPUTED_VALUE"""),"1899")</f>
        <v>1899</v>
      </c>
      <c r="G3974" s="35"/>
      <c r="H3974" s="35" t="str">
        <f>IFERROR(__xludf.DUMMYFUNCTION("""COMPUTED_VALUE"""),"")</f>
        <v/>
      </c>
      <c r="I3974" s="35" t="str">
        <f>IFERROR(__xludf.DUMMYFUNCTION("""COMPUTED_VALUE"""),"")</f>
        <v/>
      </c>
      <c r="J3974" s="35" t="str">
        <f>IFERROR(__xludf.DUMMYFUNCTION("""COMPUTED_VALUE"""),"")</f>
        <v/>
      </c>
      <c r="K3974" s="35"/>
      <c r="L3974" s="35"/>
      <c r="M3974" s="35"/>
      <c r="N3974" s="35"/>
      <c r="O3974" s="35"/>
      <c r="P3974" s="35"/>
      <c r="Q3974" s="35"/>
      <c r="R3974" s="35"/>
      <c r="S3974" s="74"/>
      <c r="T3974" s="35"/>
      <c r="U3974" s="35"/>
      <c r="V3974" s="35"/>
      <c r="W3974" s="45"/>
    </row>
    <row r="3975">
      <c r="A3975" s="45"/>
      <c r="B3975" s="35"/>
      <c r="C3975" s="35"/>
      <c r="D3975" s="10"/>
      <c r="E3975" s="35" t="str">
        <f>IFERROR(__xludf.DUMMYFUNCTION("""COMPUTED_VALUE"""),"")</f>
        <v/>
      </c>
      <c r="F3975" s="35" t="str">
        <f>IFERROR(__xludf.DUMMYFUNCTION("""COMPUTED_VALUE"""),"1899")</f>
        <v>1899</v>
      </c>
      <c r="G3975" s="35"/>
      <c r="H3975" s="35" t="str">
        <f>IFERROR(__xludf.DUMMYFUNCTION("""COMPUTED_VALUE"""),"")</f>
        <v/>
      </c>
      <c r="I3975" s="35" t="str">
        <f>IFERROR(__xludf.DUMMYFUNCTION("""COMPUTED_VALUE"""),"")</f>
        <v/>
      </c>
      <c r="J3975" s="35" t="str">
        <f>IFERROR(__xludf.DUMMYFUNCTION("""COMPUTED_VALUE"""),"")</f>
        <v/>
      </c>
      <c r="K3975" s="35"/>
      <c r="L3975" s="35"/>
      <c r="M3975" s="35"/>
      <c r="N3975" s="35"/>
      <c r="O3975" s="35"/>
      <c r="P3975" s="35"/>
      <c r="Q3975" s="35"/>
      <c r="R3975" s="35"/>
      <c r="S3975" s="74"/>
      <c r="T3975" s="35"/>
      <c r="U3975" s="35"/>
      <c r="V3975" s="35"/>
      <c r="W3975" s="45"/>
    </row>
    <row r="3976">
      <c r="A3976" s="45"/>
      <c r="B3976" s="35"/>
      <c r="C3976" s="35"/>
      <c r="D3976" s="10"/>
      <c r="E3976" s="35" t="str">
        <f>IFERROR(__xludf.DUMMYFUNCTION("""COMPUTED_VALUE"""),"")</f>
        <v/>
      </c>
      <c r="F3976" s="35" t="str">
        <f>IFERROR(__xludf.DUMMYFUNCTION("""COMPUTED_VALUE"""),"1899")</f>
        <v>1899</v>
      </c>
      <c r="G3976" s="35"/>
      <c r="H3976" s="35" t="str">
        <f>IFERROR(__xludf.DUMMYFUNCTION("""COMPUTED_VALUE"""),"")</f>
        <v/>
      </c>
      <c r="I3976" s="35" t="str">
        <f>IFERROR(__xludf.DUMMYFUNCTION("""COMPUTED_VALUE"""),"")</f>
        <v/>
      </c>
      <c r="J3976" s="35" t="str">
        <f>IFERROR(__xludf.DUMMYFUNCTION("""COMPUTED_VALUE"""),"")</f>
        <v/>
      </c>
      <c r="K3976" s="35"/>
      <c r="L3976" s="35"/>
      <c r="M3976" s="35"/>
      <c r="N3976" s="35"/>
      <c r="O3976" s="35"/>
      <c r="P3976" s="35"/>
      <c r="Q3976" s="35"/>
      <c r="R3976" s="35"/>
      <c r="S3976" s="74"/>
      <c r="T3976" s="35"/>
      <c r="U3976" s="35"/>
      <c r="V3976" s="35"/>
      <c r="W3976" s="45"/>
    </row>
    <row r="3977">
      <c r="A3977" s="45"/>
      <c r="B3977" s="35"/>
      <c r="C3977" s="35"/>
      <c r="D3977" s="10"/>
      <c r="E3977" s="35" t="str">
        <f>IFERROR(__xludf.DUMMYFUNCTION("""COMPUTED_VALUE"""),"")</f>
        <v/>
      </c>
      <c r="F3977" s="35" t="str">
        <f>IFERROR(__xludf.DUMMYFUNCTION("""COMPUTED_VALUE"""),"1899")</f>
        <v>1899</v>
      </c>
      <c r="G3977" s="35"/>
      <c r="H3977" s="35" t="str">
        <f>IFERROR(__xludf.DUMMYFUNCTION("""COMPUTED_VALUE"""),"")</f>
        <v/>
      </c>
      <c r="I3977" s="35" t="str">
        <f>IFERROR(__xludf.DUMMYFUNCTION("""COMPUTED_VALUE"""),"")</f>
        <v/>
      </c>
      <c r="J3977" s="35" t="str">
        <f>IFERROR(__xludf.DUMMYFUNCTION("""COMPUTED_VALUE"""),"")</f>
        <v/>
      </c>
      <c r="K3977" s="35"/>
      <c r="L3977" s="35"/>
      <c r="M3977" s="35"/>
      <c r="N3977" s="35"/>
      <c r="O3977" s="35"/>
      <c r="P3977" s="35"/>
      <c r="Q3977" s="35"/>
      <c r="R3977" s="35"/>
      <c r="S3977" s="74"/>
      <c r="T3977" s="35"/>
      <c r="U3977" s="35"/>
      <c r="V3977" s="35"/>
      <c r="W3977" s="45"/>
    </row>
    <row r="3978">
      <c r="A3978" s="45"/>
      <c r="B3978" s="35"/>
      <c r="C3978" s="35"/>
      <c r="D3978" s="10"/>
      <c r="E3978" s="35" t="str">
        <f>IFERROR(__xludf.DUMMYFUNCTION("""COMPUTED_VALUE"""),"")</f>
        <v/>
      </c>
      <c r="F3978" s="35" t="str">
        <f>IFERROR(__xludf.DUMMYFUNCTION("""COMPUTED_VALUE"""),"1899")</f>
        <v>1899</v>
      </c>
      <c r="G3978" s="35"/>
      <c r="H3978" s="35" t="str">
        <f>IFERROR(__xludf.DUMMYFUNCTION("""COMPUTED_VALUE"""),"")</f>
        <v/>
      </c>
      <c r="I3978" s="35" t="str">
        <f>IFERROR(__xludf.DUMMYFUNCTION("""COMPUTED_VALUE"""),"")</f>
        <v/>
      </c>
      <c r="J3978" s="35" t="str">
        <f>IFERROR(__xludf.DUMMYFUNCTION("""COMPUTED_VALUE"""),"")</f>
        <v/>
      </c>
      <c r="K3978" s="35"/>
      <c r="L3978" s="35"/>
      <c r="M3978" s="35"/>
      <c r="N3978" s="35"/>
      <c r="O3978" s="35"/>
      <c r="P3978" s="35"/>
      <c r="Q3978" s="35"/>
      <c r="R3978" s="35"/>
      <c r="S3978" s="74"/>
      <c r="T3978" s="35"/>
      <c r="U3978" s="35"/>
      <c r="V3978" s="35"/>
      <c r="W3978" s="45"/>
    </row>
    <row r="3979">
      <c r="A3979" s="45"/>
      <c r="B3979" s="35"/>
      <c r="C3979" s="35"/>
      <c r="D3979" s="10"/>
      <c r="E3979" s="35" t="str">
        <f>IFERROR(__xludf.DUMMYFUNCTION("""COMPUTED_VALUE"""),"")</f>
        <v/>
      </c>
      <c r="F3979" s="35" t="str">
        <f>IFERROR(__xludf.DUMMYFUNCTION("""COMPUTED_VALUE"""),"1899")</f>
        <v>1899</v>
      </c>
      <c r="G3979" s="35"/>
      <c r="H3979" s="35" t="str">
        <f>IFERROR(__xludf.DUMMYFUNCTION("""COMPUTED_VALUE"""),"")</f>
        <v/>
      </c>
      <c r="I3979" s="35" t="str">
        <f>IFERROR(__xludf.DUMMYFUNCTION("""COMPUTED_VALUE"""),"")</f>
        <v/>
      </c>
      <c r="J3979" s="35" t="str">
        <f>IFERROR(__xludf.DUMMYFUNCTION("""COMPUTED_VALUE"""),"")</f>
        <v/>
      </c>
      <c r="K3979" s="35"/>
      <c r="L3979" s="35"/>
      <c r="M3979" s="35"/>
      <c r="N3979" s="35"/>
      <c r="O3979" s="35"/>
      <c r="P3979" s="35"/>
      <c r="Q3979" s="35"/>
      <c r="R3979" s="35"/>
      <c r="S3979" s="74"/>
      <c r="T3979" s="35"/>
      <c r="U3979" s="35"/>
      <c r="V3979" s="35"/>
      <c r="W3979" s="45"/>
    </row>
    <row r="3980">
      <c r="A3980" s="45"/>
      <c r="B3980" s="35"/>
      <c r="C3980" s="35"/>
      <c r="D3980" s="10"/>
      <c r="E3980" s="35" t="str">
        <f>IFERROR(__xludf.DUMMYFUNCTION("""COMPUTED_VALUE"""),"")</f>
        <v/>
      </c>
      <c r="F3980" s="35" t="str">
        <f>IFERROR(__xludf.DUMMYFUNCTION("""COMPUTED_VALUE"""),"1899")</f>
        <v>1899</v>
      </c>
      <c r="G3980" s="35"/>
      <c r="H3980" s="35" t="str">
        <f>IFERROR(__xludf.DUMMYFUNCTION("""COMPUTED_VALUE"""),"")</f>
        <v/>
      </c>
      <c r="I3980" s="35" t="str">
        <f>IFERROR(__xludf.DUMMYFUNCTION("""COMPUTED_VALUE"""),"")</f>
        <v/>
      </c>
      <c r="J3980" s="35" t="str">
        <f>IFERROR(__xludf.DUMMYFUNCTION("""COMPUTED_VALUE"""),"")</f>
        <v/>
      </c>
      <c r="K3980" s="35"/>
      <c r="L3980" s="35"/>
      <c r="M3980" s="35"/>
      <c r="N3980" s="35"/>
      <c r="O3980" s="35"/>
      <c r="P3980" s="35"/>
      <c r="Q3980" s="35"/>
      <c r="R3980" s="35"/>
      <c r="S3980" s="74"/>
      <c r="T3980" s="35"/>
      <c r="U3980" s="35"/>
      <c r="V3980" s="35"/>
      <c r="W3980" s="45"/>
    </row>
    <row r="3981">
      <c r="A3981" s="45"/>
      <c r="B3981" s="35"/>
      <c r="C3981" s="35"/>
      <c r="D3981" s="10"/>
      <c r="E3981" s="35" t="str">
        <f>IFERROR(__xludf.DUMMYFUNCTION("""COMPUTED_VALUE"""),"")</f>
        <v/>
      </c>
      <c r="F3981" s="35" t="str">
        <f>IFERROR(__xludf.DUMMYFUNCTION("""COMPUTED_VALUE"""),"1899")</f>
        <v>1899</v>
      </c>
      <c r="G3981" s="35"/>
      <c r="H3981" s="35" t="str">
        <f>IFERROR(__xludf.DUMMYFUNCTION("""COMPUTED_VALUE"""),"")</f>
        <v/>
      </c>
      <c r="I3981" s="35" t="str">
        <f>IFERROR(__xludf.DUMMYFUNCTION("""COMPUTED_VALUE"""),"")</f>
        <v/>
      </c>
      <c r="J3981" s="35" t="str">
        <f>IFERROR(__xludf.DUMMYFUNCTION("""COMPUTED_VALUE"""),"")</f>
        <v/>
      </c>
      <c r="K3981" s="35"/>
      <c r="L3981" s="35"/>
      <c r="M3981" s="35"/>
      <c r="N3981" s="35"/>
      <c r="O3981" s="35"/>
      <c r="P3981" s="35"/>
      <c r="Q3981" s="35"/>
      <c r="R3981" s="35"/>
      <c r="S3981" s="74"/>
      <c r="T3981" s="35"/>
      <c r="U3981" s="35"/>
      <c r="V3981" s="35"/>
      <c r="W3981" s="45"/>
    </row>
    <row r="3982">
      <c r="A3982" s="45"/>
      <c r="B3982" s="35"/>
      <c r="C3982" s="35"/>
      <c r="D3982" s="10"/>
      <c r="E3982" s="35" t="str">
        <f>IFERROR(__xludf.DUMMYFUNCTION("""COMPUTED_VALUE"""),"")</f>
        <v/>
      </c>
      <c r="F3982" s="35" t="str">
        <f>IFERROR(__xludf.DUMMYFUNCTION("""COMPUTED_VALUE"""),"1899")</f>
        <v>1899</v>
      </c>
      <c r="G3982" s="35"/>
      <c r="H3982" s="35" t="str">
        <f>IFERROR(__xludf.DUMMYFUNCTION("""COMPUTED_VALUE"""),"")</f>
        <v/>
      </c>
      <c r="I3982" s="35" t="str">
        <f>IFERROR(__xludf.DUMMYFUNCTION("""COMPUTED_VALUE"""),"")</f>
        <v/>
      </c>
      <c r="J3982" s="35" t="str">
        <f>IFERROR(__xludf.DUMMYFUNCTION("""COMPUTED_VALUE"""),"")</f>
        <v/>
      </c>
      <c r="K3982" s="35"/>
      <c r="L3982" s="35"/>
      <c r="M3982" s="35"/>
      <c r="N3982" s="35"/>
      <c r="O3982" s="35"/>
      <c r="P3982" s="35"/>
      <c r="Q3982" s="35"/>
      <c r="R3982" s="35"/>
      <c r="S3982" s="74"/>
      <c r="T3982" s="35"/>
      <c r="U3982" s="35"/>
      <c r="V3982" s="35"/>
      <c r="W3982" s="45"/>
    </row>
    <row r="3983">
      <c r="A3983" s="45"/>
      <c r="B3983" s="35"/>
      <c r="C3983" s="35"/>
      <c r="D3983" s="10"/>
      <c r="E3983" s="35" t="str">
        <f>IFERROR(__xludf.DUMMYFUNCTION("""COMPUTED_VALUE"""),"")</f>
        <v/>
      </c>
      <c r="F3983" s="35" t="str">
        <f>IFERROR(__xludf.DUMMYFUNCTION("""COMPUTED_VALUE"""),"1899")</f>
        <v>1899</v>
      </c>
      <c r="G3983" s="35"/>
      <c r="H3983" s="35" t="str">
        <f>IFERROR(__xludf.DUMMYFUNCTION("""COMPUTED_VALUE"""),"")</f>
        <v/>
      </c>
      <c r="I3983" s="35" t="str">
        <f>IFERROR(__xludf.DUMMYFUNCTION("""COMPUTED_VALUE"""),"")</f>
        <v/>
      </c>
      <c r="J3983" s="35" t="str">
        <f>IFERROR(__xludf.DUMMYFUNCTION("""COMPUTED_VALUE"""),"")</f>
        <v/>
      </c>
      <c r="K3983" s="35"/>
      <c r="L3983" s="35"/>
      <c r="M3983" s="35"/>
      <c r="N3983" s="35"/>
      <c r="O3983" s="35"/>
      <c r="P3983" s="35"/>
      <c r="Q3983" s="35"/>
      <c r="R3983" s="35"/>
      <c r="S3983" s="74"/>
      <c r="T3983" s="35"/>
      <c r="U3983" s="35"/>
      <c r="V3983" s="35"/>
      <c r="W3983" s="45"/>
    </row>
    <row r="3984">
      <c r="A3984" s="45"/>
      <c r="B3984" s="35"/>
      <c r="C3984" s="35"/>
      <c r="D3984" s="10"/>
      <c r="E3984" s="35" t="str">
        <f>IFERROR(__xludf.DUMMYFUNCTION("""COMPUTED_VALUE"""),"")</f>
        <v/>
      </c>
      <c r="F3984" s="35" t="str">
        <f>IFERROR(__xludf.DUMMYFUNCTION("""COMPUTED_VALUE"""),"1899")</f>
        <v>1899</v>
      </c>
      <c r="G3984" s="35"/>
      <c r="H3984" s="35" t="str">
        <f>IFERROR(__xludf.DUMMYFUNCTION("""COMPUTED_VALUE"""),"")</f>
        <v/>
      </c>
      <c r="I3984" s="35" t="str">
        <f>IFERROR(__xludf.DUMMYFUNCTION("""COMPUTED_VALUE"""),"")</f>
        <v/>
      </c>
      <c r="J3984" s="35" t="str">
        <f>IFERROR(__xludf.DUMMYFUNCTION("""COMPUTED_VALUE"""),"")</f>
        <v/>
      </c>
      <c r="K3984" s="35"/>
      <c r="L3984" s="35"/>
      <c r="M3984" s="35"/>
      <c r="N3984" s="35"/>
      <c r="O3984" s="35"/>
      <c r="P3984" s="35"/>
      <c r="Q3984" s="35"/>
      <c r="R3984" s="35"/>
      <c r="S3984" s="74"/>
      <c r="T3984" s="35"/>
      <c r="U3984" s="35"/>
      <c r="V3984" s="35"/>
      <c r="W3984" s="45"/>
    </row>
    <row r="3985">
      <c r="A3985" s="45"/>
      <c r="B3985" s="35"/>
      <c r="C3985" s="35"/>
      <c r="D3985" s="10"/>
      <c r="E3985" s="35" t="str">
        <f>IFERROR(__xludf.DUMMYFUNCTION("""COMPUTED_VALUE"""),"")</f>
        <v/>
      </c>
      <c r="F3985" s="35" t="str">
        <f>IFERROR(__xludf.DUMMYFUNCTION("""COMPUTED_VALUE"""),"1899")</f>
        <v>1899</v>
      </c>
      <c r="G3985" s="35"/>
      <c r="H3985" s="35" t="str">
        <f>IFERROR(__xludf.DUMMYFUNCTION("""COMPUTED_VALUE"""),"")</f>
        <v/>
      </c>
      <c r="I3985" s="35" t="str">
        <f>IFERROR(__xludf.DUMMYFUNCTION("""COMPUTED_VALUE"""),"")</f>
        <v/>
      </c>
      <c r="J3985" s="35" t="str">
        <f>IFERROR(__xludf.DUMMYFUNCTION("""COMPUTED_VALUE"""),"")</f>
        <v/>
      </c>
      <c r="K3985" s="35"/>
      <c r="L3985" s="35"/>
      <c r="M3985" s="35"/>
      <c r="N3985" s="35"/>
      <c r="O3985" s="35"/>
      <c r="P3985" s="35"/>
      <c r="Q3985" s="35"/>
      <c r="R3985" s="35"/>
      <c r="S3985" s="74"/>
      <c r="T3985" s="35"/>
      <c r="U3985" s="35"/>
      <c r="V3985" s="35"/>
      <c r="W3985" s="45"/>
    </row>
    <row r="3986">
      <c r="A3986" s="45"/>
      <c r="B3986" s="35"/>
      <c r="C3986" s="35"/>
      <c r="D3986" s="10"/>
      <c r="E3986" s="35" t="str">
        <f>IFERROR(__xludf.DUMMYFUNCTION("""COMPUTED_VALUE"""),"")</f>
        <v/>
      </c>
      <c r="F3986" s="35" t="str">
        <f>IFERROR(__xludf.DUMMYFUNCTION("""COMPUTED_VALUE"""),"1899")</f>
        <v>1899</v>
      </c>
      <c r="G3986" s="35"/>
      <c r="H3986" s="35" t="str">
        <f>IFERROR(__xludf.DUMMYFUNCTION("""COMPUTED_VALUE"""),"")</f>
        <v/>
      </c>
      <c r="I3986" s="35" t="str">
        <f>IFERROR(__xludf.DUMMYFUNCTION("""COMPUTED_VALUE"""),"")</f>
        <v/>
      </c>
      <c r="J3986" s="35" t="str">
        <f>IFERROR(__xludf.DUMMYFUNCTION("""COMPUTED_VALUE"""),"")</f>
        <v/>
      </c>
      <c r="K3986" s="35"/>
      <c r="L3986" s="35"/>
      <c r="M3986" s="35"/>
      <c r="N3986" s="35"/>
      <c r="O3986" s="35"/>
      <c r="P3986" s="35"/>
      <c r="Q3986" s="35"/>
      <c r="R3986" s="35"/>
      <c r="S3986" s="74"/>
      <c r="T3986" s="35"/>
      <c r="U3986" s="35"/>
      <c r="V3986" s="35"/>
      <c r="W3986" s="45"/>
    </row>
    <row r="3987">
      <c r="A3987" s="45"/>
      <c r="B3987" s="35"/>
      <c r="C3987" s="35"/>
      <c r="D3987" s="10"/>
      <c r="E3987" s="35" t="str">
        <f>IFERROR(__xludf.DUMMYFUNCTION("""COMPUTED_VALUE"""),"")</f>
        <v/>
      </c>
      <c r="F3987" s="35" t="str">
        <f>IFERROR(__xludf.DUMMYFUNCTION("""COMPUTED_VALUE"""),"1899")</f>
        <v>1899</v>
      </c>
      <c r="G3987" s="35"/>
      <c r="H3987" s="35" t="str">
        <f>IFERROR(__xludf.DUMMYFUNCTION("""COMPUTED_VALUE"""),"")</f>
        <v/>
      </c>
      <c r="I3987" s="35" t="str">
        <f>IFERROR(__xludf.DUMMYFUNCTION("""COMPUTED_VALUE"""),"")</f>
        <v/>
      </c>
      <c r="J3987" s="35" t="str">
        <f>IFERROR(__xludf.DUMMYFUNCTION("""COMPUTED_VALUE"""),"")</f>
        <v/>
      </c>
      <c r="K3987" s="35"/>
      <c r="L3987" s="35"/>
      <c r="M3987" s="35"/>
      <c r="N3987" s="35"/>
      <c r="O3987" s="35"/>
      <c r="P3987" s="35"/>
      <c r="Q3987" s="35"/>
      <c r="R3987" s="35"/>
      <c r="S3987" s="74"/>
      <c r="T3987" s="35"/>
      <c r="U3987" s="35"/>
      <c r="V3987" s="35"/>
      <c r="W3987" s="45"/>
    </row>
    <row r="3988">
      <c r="A3988" s="45"/>
      <c r="B3988" s="35"/>
      <c r="C3988" s="35"/>
      <c r="D3988" s="10"/>
      <c r="E3988" s="35" t="str">
        <f>IFERROR(__xludf.DUMMYFUNCTION("""COMPUTED_VALUE"""),"")</f>
        <v/>
      </c>
      <c r="F3988" s="35" t="str">
        <f>IFERROR(__xludf.DUMMYFUNCTION("""COMPUTED_VALUE"""),"1899")</f>
        <v>1899</v>
      </c>
      <c r="G3988" s="35"/>
      <c r="H3988" s="35" t="str">
        <f>IFERROR(__xludf.DUMMYFUNCTION("""COMPUTED_VALUE"""),"")</f>
        <v/>
      </c>
      <c r="I3988" s="35" t="str">
        <f>IFERROR(__xludf.DUMMYFUNCTION("""COMPUTED_VALUE"""),"")</f>
        <v/>
      </c>
      <c r="J3988" s="35" t="str">
        <f>IFERROR(__xludf.DUMMYFUNCTION("""COMPUTED_VALUE"""),"")</f>
        <v/>
      </c>
      <c r="K3988" s="35"/>
      <c r="L3988" s="35"/>
      <c r="M3988" s="35"/>
      <c r="N3988" s="35"/>
      <c r="O3988" s="35"/>
      <c r="P3988" s="35"/>
      <c r="Q3988" s="35"/>
      <c r="R3988" s="35"/>
      <c r="S3988" s="74"/>
      <c r="T3988" s="35"/>
      <c r="U3988" s="35"/>
      <c r="V3988" s="35"/>
      <c r="W3988" s="45"/>
    </row>
    <row r="3989">
      <c r="A3989" s="45"/>
      <c r="B3989" s="35"/>
      <c r="C3989" s="35"/>
      <c r="D3989" s="10"/>
      <c r="E3989" s="35" t="str">
        <f>IFERROR(__xludf.DUMMYFUNCTION("""COMPUTED_VALUE"""),"")</f>
        <v/>
      </c>
      <c r="F3989" s="35" t="str">
        <f>IFERROR(__xludf.DUMMYFUNCTION("""COMPUTED_VALUE"""),"1899")</f>
        <v>1899</v>
      </c>
      <c r="G3989" s="35"/>
      <c r="H3989" s="35" t="str">
        <f>IFERROR(__xludf.DUMMYFUNCTION("""COMPUTED_VALUE"""),"")</f>
        <v/>
      </c>
      <c r="I3989" s="35" t="str">
        <f>IFERROR(__xludf.DUMMYFUNCTION("""COMPUTED_VALUE"""),"")</f>
        <v/>
      </c>
      <c r="J3989" s="35" t="str">
        <f>IFERROR(__xludf.DUMMYFUNCTION("""COMPUTED_VALUE"""),"")</f>
        <v/>
      </c>
      <c r="K3989" s="35"/>
      <c r="L3989" s="35"/>
      <c r="M3989" s="35"/>
      <c r="N3989" s="35"/>
      <c r="O3989" s="35"/>
      <c r="P3989" s="35"/>
      <c r="Q3989" s="35"/>
      <c r="R3989" s="35"/>
      <c r="S3989" s="74"/>
      <c r="T3989" s="35"/>
      <c r="U3989" s="35"/>
      <c r="V3989" s="35"/>
      <c r="W3989" s="45"/>
    </row>
    <row r="3990">
      <c r="A3990" s="45"/>
      <c r="B3990" s="35"/>
      <c r="C3990" s="35"/>
      <c r="D3990" s="10"/>
      <c r="E3990" s="35" t="str">
        <f>IFERROR(__xludf.DUMMYFUNCTION("""COMPUTED_VALUE"""),"")</f>
        <v/>
      </c>
      <c r="F3990" s="35" t="str">
        <f>IFERROR(__xludf.DUMMYFUNCTION("""COMPUTED_VALUE"""),"1899")</f>
        <v>1899</v>
      </c>
      <c r="G3990" s="35"/>
      <c r="H3990" s="35" t="str">
        <f>IFERROR(__xludf.DUMMYFUNCTION("""COMPUTED_VALUE"""),"")</f>
        <v/>
      </c>
      <c r="I3990" s="35" t="str">
        <f>IFERROR(__xludf.DUMMYFUNCTION("""COMPUTED_VALUE"""),"")</f>
        <v/>
      </c>
      <c r="J3990" s="35" t="str">
        <f>IFERROR(__xludf.DUMMYFUNCTION("""COMPUTED_VALUE"""),"")</f>
        <v/>
      </c>
      <c r="K3990" s="35"/>
      <c r="L3990" s="35"/>
      <c r="M3990" s="35"/>
      <c r="N3990" s="35"/>
      <c r="O3990" s="35"/>
      <c r="P3990" s="35"/>
      <c r="Q3990" s="35"/>
      <c r="R3990" s="35"/>
      <c r="S3990" s="74"/>
      <c r="T3990" s="35"/>
      <c r="U3990" s="35"/>
      <c r="V3990" s="35"/>
      <c r="W3990" s="45"/>
    </row>
    <row r="3991">
      <c r="A3991" s="45"/>
      <c r="B3991" s="35"/>
      <c r="C3991" s="35"/>
      <c r="D3991" s="10"/>
      <c r="E3991" s="35" t="str">
        <f>IFERROR(__xludf.DUMMYFUNCTION("""COMPUTED_VALUE"""),"")</f>
        <v/>
      </c>
      <c r="F3991" s="35" t="str">
        <f>IFERROR(__xludf.DUMMYFUNCTION("""COMPUTED_VALUE"""),"1899")</f>
        <v>1899</v>
      </c>
      <c r="G3991" s="35"/>
      <c r="H3991" s="35" t="str">
        <f>IFERROR(__xludf.DUMMYFUNCTION("""COMPUTED_VALUE"""),"")</f>
        <v/>
      </c>
      <c r="I3991" s="35" t="str">
        <f>IFERROR(__xludf.DUMMYFUNCTION("""COMPUTED_VALUE"""),"")</f>
        <v/>
      </c>
      <c r="J3991" s="35" t="str">
        <f>IFERROR(__xludf.DUMMYFUNCTION("""COMPUTED_VALUE"""),"")</f>
        <v/>
      </c>
      <c r="K3991" s="35"/>
      <c r="L3991" s="35"/>
      <c r="M3991" s="35"/>
      <c r="N3991" s="35"/>
      <c r="O3991" s="35"/>
      <c r="P3991" s="35"/>
      <c r="Q3991" s="35"/>
      <c r="R3991" s="35"/>
      <c r="S3991" s="74"/>
      <c r="T3991" s="35"/>
      <c r="U3991" s="35"/>
      <c r="V3991" s="35"/>
      <c r="W3991" s="45"/>
    </row>
    <row r="3992">
      <c r="A3992" s="45"/>
      <c r="B3992" s="35"/>
      <c r="C3992" s="35"/>
      <c r="D3992" s="10"/>
      <c r="E3992" s="35" t="str">
        <f>IFERROR(__xludf.DUMMYFUNCTION("""COMPUTED_VALUE"""),"")</f>
        <v/>
      </c>
      <c r="F3992" s="35" t="str">
        <f>IFERROR(__xludf.DUMMYFUNCTION("""COMPUTED_VALUE"""),"1899")</f>
        <v>1899</v>
      </c>
      <c r="G3992" s="35"/>
      <c r="H3992" s="35" t="str">
        <f>IFERROR(__xludf.DUMMYFUNCTION("""COMPUTED_VALUE"""),"")</f>
        <v/>
      </c>
      <c r="I3992" s="35" t="str">
        <f>IFERROR(__xludf.DUMMYFUNCTION("""COMPUTED_VALUE"""),"")</f>
        <v/>
      </c>
      <c r="J3992" s="35" t="str">
        <f>IFERROR(__xludf.DUMMYFUNCTION("""COMPUTED_VALUE"""),"")</f>
        <v/>
      </c>
      <c r="K3992" s="35"/>
      <c r="L3992" s="35"/>
      <c r="M3992" s="35"/>
      <c r="N3992" s="35"/>
      <c r="O3992" s="35"/>
      <c r="P3992" s="35"/>
      <c r="Q3992" s="35"/>
      <c r="R3992" s="35"/>
      <c r="S3992" s="74"/>
      <c r="T3992" s="35"/>
      <c r="U3992" s="35"/>
      <c r="V3992" s="35"/>
      <c r="W3992" s="45"/>
    </row>
    <row r="3993">
      <c r="A3993" s="45"/>
      <c r="B3993" s="35"/>
      <c r="C3993" s="35"/>
      <c r="D3993" s="10"/>
      <c r="E3993" s="35" t="str">
        <f>IFERROR(__xludf.DUMMYFUNCTION("""COMPUTED_VALUE"""),"")</f>
        <v/>
      </c>
      <c r="F3993" s="35" t="str">
        <f>IFERROR(__xludf.DUMMYFUNCTION("""COMPUTED_VALUE"""),"1899")</f>
        <v>1899</v>
      </c>
      <c r="G3993" s="35"/>
      <c r="H3993" s="35" t="str">
        <f>IFERROR(__xludf.DUMMYFUNCTION("""COMPUTED_VALUE"""),"")</f>
        <v/>
      </c>
      <c r="I3993" s="35" t="str">
        <f>IFERROR(__xludf.DUMMYFUNCTION("""COMPUTED_VALUE"""),"")</f>
        <v/>
      </c>
      <c r="J3993" s="35" t="str">
        <f>IFERROR(__xludf.DUMMYFUNCTION("""COMPUTED_VALUE"""),"")</f>
        <v/>
      </c>
      <c r="K3993" s="35"/>
      <c r="L3993" s="35"/>
      <c r="M3993" s="35"/>
      <c r="N3993" s="35"/>
      <c r="O3993" s="35"/>
      <c r="P3993" s="35"/>
      <c r="Q3993" s="35"/>
      <c r="R3993" s="35"/>
      <c r="S3993" s="74"/>
      <c r="T3993" s="35"/>
      <c r="U3993" s="35"/>
      <c r="V3993" s="35"/>
      <c r="W3993" s="45"/>
    </row>
    <row r="3994">
      <c r="A3994" s="45"/>
      <c r="B3994" s="35"/>
      <c r="C3994" s="35"/>
      <c r="D3994" s="10"/>
      <c r="E3994" s="35" t="str">
        <f>IFERROR(__xludf.DUMMYFUNCTION("""COMPUTED_VALUE"""),"")</f>
        <v/>
      </c>
      <c r="F3994" s="35" t="str">
        <f>IFERROR(__xludf.DUMMYFUNCTION("""COMPUTED_VALUE"""),"1899")</f>
        <v>1899</v>
      </c>
      <c r="G3994" s="35"/>
      <c r="H3994" s="35" t="str">
        <f>IFERROR(__xludf.DUMMYFUNCTION("""COMPUTED_VALUE"""),"")</f>
        <v/>
      </c>
      <c r="I3994" s="35" t="str">
        <f>IFERROR(__xludf.DUMMYFUNCTION("""COMPUTED_VALUE"""),"")</f>
        <v/>
      </c>
      <c r="J3994" s="35" t="str">
        <f>IFERROR(__xludf.DUMMYFUNCTION("""COMPUTED_VALUE"""),"")</f>
        <v/>
      </c>
      <c r="K3994" s="35"/>
      <c r="L3994" s="35"/>
      <c r="M3994" s="35"/>
      <c r="N3994" s="35"/>
      <c r="O3994" s="35"/>
      <c r="P3994" s="35"/>
      <c r="Q3994" s="35"/>
      <c r="R3994" s="35"/>
      <c r="S3994" s="74"/>
      <c r="T3994" s="35"/>
      <c r="U3994" s="35"/>
      <c r="V3994" s="35"/>
      <c r="W3994" s="45"/>
    </row>
    <row r="3995">
      <c r="A3995" s="45"/>
      <c r="B3995" s="35"/>
      <c r="C3995" s="35"/>
      <c r="D3995" s="10"/>
      <c r="E3995" s="35" t="str">
        <f>IFERROR(__xludf.DUMMYFUNCTION("""COMPUTED_VALUE"""),"")</f>
        <v/>
      </c>
      <c r="F3995" s="35" t="str">
        <f>IFERROR(__xludf.DUMMYFUNCTION("""COMPUTED_VALUE"""),"1899")</f>
        <v>1899</v>
      </c>
      <c r="G3995" s="35"/>
      <c r="H3995" s="35" t="str">
        <f>IFERROR(__xludf.DUMMYFUNCTION("""COMPUTED_VALUE"""),"")</f>
        <v/>
      </c>
      <c r="I3995" s="35" t="str">
        <f>IFERROR(__xludf.DUMMYFUNCTION("""COMPUTED_VALUE"""),"")</f>
        <v/>
      </c>
      <c r="J3995" s="35" t="str">
        <f>IFERROR(__xludf.DUMMYFUNCTION("""COMPUTED_VALUE"""),"")</f>
        <v/>
      </c>
      <c r="K3995" s="35"/>
      <c r="L3995" s="35"/>
      <c r="M3995" s="35"/>
      <c r="N3995" s="35"/>
      <c r="O3995" s="35"/>
      <c r="P3995" s="35"/>
      <c r="Q3995" s="35"/>
      <c r="R3995" s="35"/>
      <c r="S3995" s="74"/>
      <c r="T3995" s="35"/>
      <c r="U3995" s="35"/>
      <c r="V3995" s="35"/>
      <c r="W3995" s="45"/>
    </row>
    <row r="3996">
      <c r="A3996" s="45"/>
      <c r="B3996" s="35"/>
      <c r="C3996" s="35"/>
      <c r="D3996" s="10"/>
      <c r="E3996" s="35" t="str">
        <f>IFERROR(__xludf.DUMMYFUNCTION("""COMPUTED_VALUE"""),"")</f>
        <v/>
      </c>
      <c r="F3996" s="35" t="str">
        <f>IFERROR(__xludf.DUMMYFUNCTION("""COMPUTED_VALUE"""),"1899")</f>
        <v>1899</v>
      </c>
      <c r="G3996" s="35"/>
      <c r="H3996" s="35" t="str">
        <f>IFERROR(__xludf.DUMMYFUNCTION("""COMPUTED_VALUE"""),"")</f>
        <v/>
      </c>
      <c r="I3996" s="35" t="str">
        <f>IFERROR(__xludf.DUMMYFUNCTION("""COMPUTED_VALUE"""),"")</f>
        <v/>
      </c>
      <c r="J3996" s="35" t="str">
        <f>IFERROR(__xludf.DUMMYFUNCTION("""COMPUTED_VALUE"""),"")</f>
        <v/>
      </c>
      <c r="K3996" s="35"/>
      <c r="L3996" s="35"/>
      <c r="M3996" s="35"/>
      <c r="N3996" s="35"/>
      <c r="O3996" s="35"/>
      <c r="P3996" s="35"/>
      <c r="Q3996" s="35"/>
      <c r="R3996" s="35"/>
      <c r="S3996" s="74"/>
      <c r="T3996" s="35"/>
      <c r="U3996" s="35"/>
      <c r="V3996" s="35"/>
      <c r="W3996" s="45"/>
    </row>
    <row r="3997">
      <c r="A3997" s="45"/>
      <c r="B3997" s="35"/>
      <c r="C3997" s="35"/>
      <c r="D3997" s="10"/>
      <c r="E3997" s="35" t="str">
        <f>IFERROR(__xludf.DUMMYFUNCTION("""COMPUTED_VALUE"""),"")</f>
        <v/>
      </c>
      <c r="F3997" s="35" t="str">
        <f>IFERROR(__xludf.DUMMYFUNCTION("""COMPUTED_VALUE"""),"1899")</f>
        <v>1899</v>
      </c>
      <c r="G3997" s="35"/>
      <c r="H3997" s="35" t="str">
        <f>IFERROR(__xludf.DUMMYFUNCTION("""COMPUTED_VALUE"""),"")</f>
        <v/>
      </c>
      <c r="I3997" s="35" t="str">
        <f>IFERROR(__xludf.DUMMYFUNCTION("""COMPUTED_VALUE"""),"")</f>
        <v/>
      </c>
      <c r="J3997" s="35" t="str">
        <f>IFERROR(__xludf.DUMMYFUNCTION("""COMPUTED_VALUE"""),"")</f>
        <v/>
      </c>
      <c r="K3997" s="35"/>
      <c r="L3997" s="35"/>
      <c r="M3997" s="35"/>
      <c r="N3997" s="35"/>
      <c r="O3997" s="35"/>
      <c r="P3997" s="35"/>
      <c r="Q3997" s="35"/>
      <c r="R3997" s="35"/>
      <c r="S3997" s="74"/>
      <c r="T3997" s="35"/>
      <c r="U3997" s="35"/>
      <c r="V3997" s="35"/>
      <c r="W3997" s="45"/>
    </row>
    <row r="3998">
      <c r="A3998" s="45"/>
      <c r="B3998" s="35"/>
      <c r="C3998" s="35"/>
      <c r="D3998" s="10"/>
      <c r="E3998" s="35" t="str">
        <f>IFERROR(__xludf.DUMMYFUNCTION("""COMPUTED_VALUE"""),"")</f>
        <v/>
      </c>
      <c r="F3998" s="35" t="str">
        <f>IFERROR(__xludf.DUMMYFUNCTION("""COMPUTED_VALUE"""),"1899")</f>
        <v>1899</v>
      </c>
      <c r="G3998" s="35"/>
      <c r="H3998" s="35" t="str">
        <f>IFERROR(__xludf.DUMMYFUNCTION("""COMPUTED_VALUE"""),"")</f>
        <v/>
      </c>
      <c r="I3998" s="35" t="str">
        <f>IFERROR(__xludf.DUMMYFUNCTION("""COMPUTED_VALUE"""),"")</f>
        <v/>
      </c>
      <c r="J3998" s="35" t="str">
        <f>IFERROR(__xludf.DUMMYFUNCTION("""COMPUTED_VALUE"""),"")</f>
        <v/>
      </c>
      <c r="K3998" s="35"/>
      <c r="L3998" s="35"/>
      <c r="M3998" s="35"/>
      <c r="N3998" s="35"/>
      <c r="O3998" s="35"/>
      <c r="P3998" s="35"/>
      <c r="Q3998" s="35"/>
      <c r="R3998" s="35"/>
      <c r="S3998" s="74"/>
      <c r="T3998" s="35"/>
      <c r="U3998" s="35"/>
      <c r="V3998" s="35"/>
      <c r="W3998" s="45"/>
    </row>
    <row r="3999">
      <c r="A3999" s="45"/>
      <c r="B3999" s="35"/>
      <c r="C3999" s="35"/>
      <c r="D3999" s="10"/>
      <c r="E3999" s="35" t="str">
        <f>IFERROR(__xludf.DUMMYFUNCTION("""COMPUTED_VALUE"""),"")</f>
        <v/>
      </c>
      <c r="F3999" s="35" t="str">
        <f>IFERROR(__xludf.DUMMYFUNCTION("""COMPUTED_VALUE"""),"1899")</f>
        <v>1899</v>
      </c>
      <c r="G3999" s="35"/>
      <c r="H3999" s="35" t="str">
        <f>IFERROR(__xludf.DUMMYFUNCTION("""COMPUTED_VALUE"""),"")</f>
        <v/>
      </c>
      <c r="I3999" s="35" t="str">
        <f>IFERROR(__xludf.DUMMYFUNCTION("""COMPUTED_VALUE"""),"")</f>
        <v/>
      </c>
      <c r="J3999" s="35" t="str">
        <f>IFERROR(__xludf.DUMMYFUNCTION("""COMPUTED_VALUE"""),"")</f>
        <v/>
      </c>
      <c r="K3999" s="35"/>
      <c r="L3999" s="35"/>
      <c r="M3999" s="35"/>
      <c r="N3999" s="35"/>
      <c r="O3999" s="35"/>
      <c r="P3999" s="35"/>
      <c r="Q3999" s="35"/>
      <c r="R3999" s="35"/>
      <c r="S3999" s="74"/>
      <c r="T3999" s="35"/>
      <c r="U3999" s="35"/>
      <c r="V3999" s="35"/>
      <c r="W3999" s="45"/>
    </row>
    <row r="4000">
      <c r="A4000" s="45"/>
      <c r="B4000" s="35"/>
      <c r="C4000" s="35"/>
      <c r="D4000" s="10"/>
      <c r="E4000" s="35" t="str">
        <f>IFERROR(__xludf.DUMMYFUNCTION("""COMPUTED_VALUE"""),"")</f>
        <v/>
      </c>
      <c r="F4000" s="35" t="str">
        <f>IFERROR(__xludf.DUMMYFUNCTION("""COMPUTED_VALUE"""),"1899")</f>
        <v>1899</v>
      </c>
      <c r="G4000" s="35"/>
      <c r="H4000" s="35" t="str">
        <f>IFERROR(__xludf.DUMMYFUNCTION("""COMPUTED_VALUE"""),"")</f>
        <v/>
      </c>
      <c r="I4000" s="35" t="str">
        <f>IFERROR(__xludf.DUMMYFUNCTION("""COMPUTED_VALUE"""),"")</f>
        <v/>
      </c>
      <c r="J4000" s="35" t="str">
        <f>IFERROR(__xludf.DUMMYFUNCTION("""COMPUTED_VALUE"""),"")</f>
        <v/>
      </c>
      <c r="K4000" s="35"/>
      <c r="L4000" s="35"/>
      <c r="M4000" s="35"/>
      <c r="N4000" s="35"/>
      <c r="O4000" s="35"/>
      <c r="P4000" s="35"/>
      <c r="Q4000" s="35"/>
      <c r="R4000" s="35"/>
      <c r="S4000" s="74"/>
      <c r="T4000" s="35"/>
      <c r="U4000" s="35"/>
      <c r="V4000" s="35"/>
      <c r="W4000" s="45"/>
    </row>
    <row r="4001">
      <c r="A4001" s="45"/>
      <c r="B4001" s="35"/>
      <c r="C4001" s="35"/>
      <c r="D4001" s="10"/>
      <c r="E4001" s="35" t="str">
        <f>IFERROR(__xludf.DUMMYFUNCTION("""COMPUTED_VALUE"""),"")</f>
        <v/>
      </c>
      <c r="F4001" s="35" t="str">
        <f>IFERROR(__xludf.DUMMYFUNCTION("""COMPUTED_VALUE"""),"1899")</f>
        <v>1899</v>
      </c>
      <c r="G4001" s="35"/>
      <c r="H4001" s="35" t="str">
        <f>IFERROR(__xludf.DUMMYFUNCTION("""COMPUTED_VALUE"""),"")</f>
        <v/>
      </c>
      <c r="I4001" s="35" t="str">
        <f>IFERROR(__xludf.DUMMYFUNCTION("""COMPUTED_VALUE"""),"")</f>
        <v/>
      </c>
      <c r="J4001" s="35" t="str">
        <f>IFERROR(__xludf.DUMMYFUNCTION("""COMPUTED_VALUE"""),"")</f>
        <v/>
      </c>
      <c r="K4001" s="35"/>
      <c r="L4001" s="35"/>
      <c r="M4001" s="35"/>
      <c r="N4001" s="35"/>
      <c r="O4001" s="35"/>
      <c r="P4001" s="35"/>
      <c r="Q4001" s="35"/>
      <c r="R4001" s="35"/>
      <c r="S4001" s="74"/>
      <c r="T4001" s="35"/>
      <c r="U4001" s="35"/>
      <c r="V4001" s="35"/>
      <c r="W4001" s="45"/>
    </row>
    <row r="4002">
      <c r="A4002" s="45"/>
      <c r="B4002" s="35"/>
      <c r="C4002" s="35"/>
      <c r="D4002" s="10"/>
      <c r="E4002" s="35" t="str">
        <f>IFERROR(__xludf.DUMMYFUNCTION("""COMPUTED_VALUE"""),"")</f>
        <v/>
      </c>
      <c r="F4002" s="35" t="str">
        <f>IFERROR(__xludf.DUMMYFUNCTION("""COMPUTED_VALUE"""),"1899")</f>
        <v>1899</v>
      </c>
      <c r="G4002" s="35"/>
      <c r="H4002" s="35" t="str">
        <f>IFERROR(__xludf.DUMMYFUNCTION("""COMPUTED_VALUE"""),"")</f>
        <v/>
      </c>
      <c r="I4002" s="35" t="str">
        <f>IFERROR(__xludf.DUMMYFUNCTION("""COMPUTED_VALUE"""),"")</f>
        <v/>
      </c>
      <c r="J4002" s="35" t="str">
        <f>IFERROR(__xludf.DUMMYFUNCTION("""COMPUTED_VALUE"""),"")</f>
        <v/>
      </c>
      <c r="K4002" s="35"/>
      <c r="L4002" s="35"/>
      <c r="M4002" s="35"/>
      <c r="N4002" s="35"/>
      <c r="O4002" s="35"/>
      <c r="P4002" s="35"/>
      <c r="Q4002" s="35"/>
      <c r="R4002" s="35"/>
      <c r="S4002" s="74"/>
      <c r="T4002" s="35"/>
      <c r="U4002" s="35"/>
      <c r="V4002" s="35"/>
      <c r="W4002" s="45"/>
    </row>
    <row r="4003">
      <c r="A4003" s="45"/>
      <c r="B4003" s="35"/>
      <c r="C4003" s="35"/>
      <c r="D4003" s="10"/>
      <c r="E4003" s="35" t="str">
        <f>IFERROR(__xludf.DUMMYFUNCTION("""COMPUTED_VALUE"""),"")</f>
        <v/>
      </c>
      <c r="F4003" s="35" t="str">
        <f>IFERROR(__xludf.DUMMYFUNCTION("""COMPUTED_VALUE"""),"1899")</f>
        <v>1899</v>
      </c>
      <c r="G4003" s="35"/>
      <c r="H4003" s="35" t="str">
        <f>IFERROR(__xludf.DUMMYFUNCTION("""COMPUTED_VALUE"""),"")</f>
        <v/>
      </c>
      <c r="I4003" s="35" t="str">
        <f>IFERROR(__xludf.DUMMYFUNCTION("""COMPUTED_VALUE"""),"")</f>
        <v/>
      </c>
      <c r="J4003" s="35" t="str">
        <f>IFERROR(__xludf.DUMMYFUNCTION("""COMPUTED_VALUE"""),"")</f>
        <v/>
      </c>
      <c r="K4003" s="35"/>
      <c r="L4003" s="35"/>
      <c r="M4003" s="35"/>
      <c r="N4003" s="35"/>
      <c r="O4003" s="35"/>
      <c r="P4003" s="35"/>
      <c r="Q4003" s="35"/>
      <c r="R4003" s="35"/>
      <c r="S4003" s="74"/>
      <c r="T4003" s="35"/>
      <c r="U4003" s="35"/>
      <c r="V4003" s="35"/>
      <c r="W4003" s="45"/>
    </row>
    <row r="4004">
      <c r="A4004" s="45"/>
      <c r="B4004" s="35"/>
      <c r="C4004" s="35"/>
      <c r="D4004" s="10"/>
      <c r="E4004" s="35" t="str">
        <f>IFERROR(__xludf.DUMMYFUNCTION("""COMPUTED_VALUE"""),"")</f>
        <v/>
      </c>
      <c r="F4004" s="35" t="str">
        <f>IFERROR(__xludf.DUMMYFUNCTION("""COMPUTED_VALUE"""),"1899")</f>
        <v>1899</v>
      </c>
      <c r="G4004" s="35"/>
      <c r="H4004" s="35" t="str">
        <f>IFERROR(__xludf.DUMMYFUNCTION("""COMPUTED_VALUE"""),"")</f>
        <v/>
      </c>
      <c r="I4004" s="35" t="str">
        <f>IFERROR(__xludf.DUMMYFUNCTION("""COMPUTED_VALUE"""),"")</f>
        <v/>
      </c>
      <c r="J4004" s="35" t="str">
        <f>IFERROR(__xludf.DUMMYFUNCTION("""COMPUTED_VALUE"""),"")</f>
        <v/>
      </c>
      <c r="K4004" s="35"/>
      <c r="L4004" s="35"/>
      <c r="M4004" s="35"/>
      <c r="N4004" s="35"/>
      <c r="O4004" s="35"/>
      <c r="P4004" s="35"/>
      <c r="Q4004" s="35"/>
      <c r="R4004" s="35"/>
      <c r="S4004" s="74"/>
      <c r="T4004" s="35"/>
      <c r="U4004" s="35"/>
      <c r="V4004" s="35"/>
      <c r="W4004" s="45"/>
    </row>
    <row r="4005">
      <c r="A4005" s="45"/>
      <c r="B4005" s="35"/>
      <c r="C4005" s="35"/>
      <c r="D4005" s="10"/>
      <c r="E4005" s="35" t="str">
        <f>IFERROR(__xludf.DUMMYFUNCTION("""COMPUTED_VALUE"""),"")</f>
        <v/>
      </c>
      <c r="F4005" s="35" t="str">
        <f>IFERROR(__xludf.DUMMYFUNCTION("""COMPUTED_VALUE"""),"1899")</f>
        <v>1899</v>
      </c>
      <c r="G4005" s="35"/>
      <c r="H4005" s="35" t="str">
        <f>IFERROR(__xludf.DUMMYFUNCTION("""COMPUTED_VALUE"""),"")</f>
        <v/>
      </c>
      <c r="I4005" s="35" t="str">
        <f>IFERROR(__xludf.DUMMYFUNCTION("""COMPUTED_VALUE"""),"")</f>
        <v/>
      </c>
      <c r="J4005" s="35" t="str">
        <f>IFERROR(__xludf.DUMMYFUNCTION("""COMPUTED_VALUE"""),"")</f>
        <v/>
      </c>
      <c r="K4005" s="35"/>
      <c r="L4005" s="35"/>
      <c r="M4005" s="35"/>
      <c r="N4005" s="35"/>
      <c r="O4005" s="35"/>
      <c r="P4005" s="35"/>
      <c r="Q4005" s="35"/>
      <c r="R4005" s="35"/>
      <c r="S4005" s="74"/>
      <c r="T4005" s="35"/>
      <c r="U4005" s="35"/>
      <c r="V4005" s="35"/>
      <c r="W4005" s="45"/>
    </row>
    <row r="4006">
      <c r="A4006" s="45"/>
      <c r="B4006" s="35"/>
      <c r="C4006" s="35"/>
      <c r="D4006" s="10"/>
      <c r="E4006" s="35" t="str">
        <f>IFERROR(__xludf.DUMMYFUNCTION("""COMPUTED_VALUE"""),"")</f>
        <v/>
      </c>
      <c r="F4006" s="35" t="str">
        <f>IFERROR(__xludf.DUMMYFUNCTION("""COMPUTED_VALUE"""),"1899")</f>
        <v>1899</v>
      </c>
      <c r="G4006" s="35"/>
      <c r="H4006" s="35" t="str">
        <f>IFERROR(__xludf.DUMMYFUNCTION("""COMPUTED_VALUE"""),"")</f>
        <v/>
      </c>
      <c r="I4006" s="35" t="str">
        <f>IFERROR(__xludf.DUMMYFUNCTION("""COMPUTED_VALUE"""),"")</f>
        <v/>
      </c>
      <c r="J4006" s="35" t="str">
        <f>IFERROR(__xludf.DUMMYFUNCTION("""COMPUTED_VALUE"""),"")</f>
        <v/>
      </c>
      <c r="K4006" s="35"/>
      <c r="L4006" s="35"/>
      <c r="M4006" s="35"/>
      <c r="N4006" s="35"/>
      <c r="O4006" s="35"/>
      <c r="P4006" s="35"/>
      <c r="Q4006" s="35"/>
      <c r="R4006" s="35"/>
      <c r="S4006" s="74"/>
      <c r="T4006" s="35"/>
      <c r="U4006" s="35"/>
      <c r="V4006" s="35"/>
      <c r="W4006" s="45"/>
    </row>
    <row r="4007">
      <c r="A4007" s="45"/>
      <c r="B4007" s="35"/>
      <c r="C4007" s="35"/>
      <c r="D4007" s="10"/>
      <c r="E4007" s="35" t="str">
        <f>IFERROR(__xludf.DUMMYFUNCTION("""COMPUTED_VALUE"""),"")</f>
        <v/>
      </c>
      <c r="F4007" s="35" t="str">
        <f>IFERROR(__xludf.DUMMYFUNCTION("""COMPUTED_VALUE"""),"1899")</f>
        <v>1899</v>
      </c>
      <c r="G4007" s="35"/>
      <c r="H4007" s="35" t="str">
        <f>IFERROR(__xludf.DUMMYFUNCTION("""COMPUTED_VALUE"""),"")</f>
        <v/>
      </c>
      <c r="I4007" s="35" t="str">
        <f>IFERROR(__xludf.DUMMYFUNCTION("""COMPUTED_VALUE"""),"")</f>
        <v/>
      </c>
      <c r="J4007" s="35" t="str">
        <f>IFERROR(__xludf.DUMMYFUNCTION("""COMPUTED_VALUE"""),"")</f>
        <v/>
      </c>
      <c r="K4007" s="35"/>
      <c r="L4007" s="35"/>
      <c r="M4007" s="35"/>
      <c r="N4007" s="35"/>
      <c r="O4007" s="35"/>
      <c r="P4007" s="35"/>
      <c r="Q4007" s="35"/>
      <c r="R4007" s="35"/>
      <c r="S4007" s="74"/>
      <c r="T4007" s="35"/>
      <c r="U4007" s="35"/>
      <c r="V4007" s="35"/>
      <c r="W4007" s="45"/>
    </row>
    <row r="4008">
      <c r="A4008" s="45"/>
      <c r="B4008" s="35"/>
      <c r="C4008" s="35"/>
      <c r="D4008" s="10"/>
      <c r="E4008" s="35" t="str">
        <f>IFERROR(__xludf.DUMMYFUNCTION("""COMPUTED_VALUE"""),"")</f>
        <v/>
      </c>
      <c r="F4008" s="35" t="str">
        <f>IFERROR(__xludf.DUMMYFUNCTION("""COMPUTED_VALUE"""),"1899")</f>
        <v>1899</v>
      </c>
      <c r="G4008" s="35"/>
      <c r="H4008" s="35" t="str">
        <f>IFERROR(__xludf.DUMMYFUNCTION("""COMPUTED_VALUE"""),"")</f>
        <v/>
      </c>
      <c r="I4008" s="35" t="str">
        <f>IFERROR(__xludf.DUMMYFUNCTION("""COMPUTED_VALUE"""),"")</f>
        <v/>
      </c>
      <c r="J4008" s="35" t="str">
        <f>IFERROR(__xludf.DUMMYFUNCTION("""COMPUTED_VALUE"""),"")</f>
        <v/>
      </c>
      <c r="K4008" s="35"/>
      <c r="L4008" s="35"/>
      <c r="M4008" s="35"/>
      <c r="N4008" s="35"/>
      <c r="O4008" s="35"/>
      <c r="P4008" s="35"/>
      <c r="Q4008" s="35"/>
      <c r="R4008" s="35"/>
      <c r="S4008" s="74"/>
      <c r="T4008" s="35"/>
      <c r="U4008" s="35"/>
      <c r="V4008" s="35"/>
      <c r="W4008" s="45"/>
    </row>
    <row r="4009">
      <c r="A4009" s="45"/>
      <c r="B4009" s="35"/>
      <c r="C4009" s="35"/>
      <c r="D4009" s="10"/>
      <c r="E4009" s="35" t="str">
        <f>IFERROR(__xludf.DUMMYFUNCTION("""COMPUTED_VALUE"""),"")</f>
        <v/>
      </c>
      <c r="F4009" s="35" t="str">
        <f>IFERROR(__xludf.DUMMYFUNCTION("""COMPUTED_VALUE"""),"1899")</f>
        <v>1899</v>
      </c>
      <c r="G4009" s="35"/>
      <c r="H4009" s="35" t="str">
        <f>IFERROR(__xludf.DUMMYFUNCTION("""COMPUTED_VALUE"""),"")</f>
        <v/>
      </c>
      <c r="I4009" s="35" t="str">
        <f>IFERROR(__xludf.DUMMYFUNCTION("""COMPUTED_VALUE"""),"")</f>
        <v/>
      </c>
      <c r="J4009" s="35" t="str">
        <f>IFERROR(__xludf.DUMMYFUNCTION("""COMPUTED_VALUE"""),"")</f>
        <v/>
      </c>
      <c r="K4009" s="35"/>
      <c r="L4009" s="35"/>
      <c r="M4009" s="35"/>
      <c r="N4009" s="35"/>
      <c r="O4009" s="35"/>
      <c r="P4009" s="35"/>
      <c r="Q4009" s="35"/>
      <c r="R4009" s="35"/>
      <c r="S4009" s="74"/>
      <c r="T4009" s="35"/>
      <c r="U4009" s="35"/>
      <c r="V4009" s="35"/>
      <c r="W4009" s="45"/>
    </row>
    <row r="4010">
      <c r="A4010" s="45"/>
      <c r="B4010" s="35"/>
      <c r="C4010" s="35"/>
      <c r="D4010" s="10"/>
      <c r="E4010" s="35" t="str">
        <f>IFERROR(__xludf.DUMMYFUNCTION("""COMPUTED_VALUE"""),"")</f>
        <v/>
      </c>
      <c r="F4010" s="35" t="str">
        <f>IFERROR(__xludf.DUMMYFUNCTION("""COMPUTED_VALUE"""),"1899")</f>
        <v>1899</v>
      </c>
      <c r="G4010" s="35"/>
      <c r="H4010" s="35" t="str">
        <f>IFERROR(__xludf.DUMMYFUNCTION("""COMPUTED_VALUE"""),"")</f>
        <v/>
      </c>
      <c r="I4010" s="35" t="str">
        <f>IFERROR(__xludf.DUMMYFUNCTION("""COMPUTED_VALUE"""),"")</f>
        <v/>
      </c>
      <c r="J4010" s="35" t="str">
        <f>IFERROR(__xludf.DUMMYFUNCTION("""COMPUTED_VALUE"""),"")</f>
        <v/>
      </c>
      <c r="K4010" s="35"/>
      <c r="L4010" s="35"/>
      <c r="M4010" s="35"/>
      <c r="N4010" s="35"/>
      <c r="O4010" s="35"/>
      <c r="P4010" s="35"/>
      <c r="Q4010" s="35"/>
      <c r="R4010" s="35"/>
      <c r="S4010" s="74"/>
      <c r="T4010" s="35"/>
      <c r="U4010" s="35"/>
      <c r="V4010" s="35"/>
      <c r="W4010" s="45"/>
    </row>
    <row r="4011">
      <c r="A4011" s="45"/>
      <c r="B4011" s="35"/>
      <c r="C4011" s="35"/>
      <c r="D4011" s="10"/>
      <c r="E4011" s="35" t="str">
        <f>IFERROR(__xludf.DUMMYFUNCTION("""COMPUTED_VALUE"""),"")</f>
        <v/>
      </c>
      <c r="F4011" s="35" t="str">
        <f>IFERROR(__xludf.DUMMYFUNCTION("""COMPUTED_VALUE"""),"1899")</f>
        <v>1899</v>
      </c>
      <c r="G4011" s="35"/>
      <c r="H4011" s="35" t="str">
        <f>IFERROR(__xludf.DUMMYFUNCTION("""COMPUTED_VALUE"""),"")</f>
        <v/>
      </c>
      <c r="I4011" s="35" t="str">
        <f>IFERROR(__xludf.DUMMYFUNCTION("""COMPUTED_VALUE"""),"")</f>
        <v/>
      </c>
      <c r="J4011" s="35" t="str">
        <f>IFERROR(__xludf.DUMMYFUNCTION("""COMPUTED_VALUE"""),"")</f>
        <v/>
      </c>
      <c r="K4011" s="35"/>
      <c r="L4011" s="35"/>
      <c r="M4011" s="35"/>
      <c r="N4011" s="35"/>
      <c r="O4011" s="35"/>
      <c r="P4011" s="35"/>
      <c r="Q4011" s="35"/>
      <c r="R4011" s="35"/>
      <c r="S4011" s="74"/>
      <c r="T4011" s="35"/>
      <c r="U4011" s="35"/>
      <c r="V4011" s="35"/>
      <c r="W4011" s="45"/>
    </row>
    <row r="4012">
      <c r="A4012" s="45"/>
      <c r="B4012" s="35"/>
      <c r="C4012" s="35"/>
      <c r="D4012" s="10"/>
      <c r="E4012" s="35" t="str">
        <f>IFERROR(__xludf.DUMMYFUNCTION("""COMPUTED_VALUE"""),"")</f>
        <v/>
      </c>
      <c r="F4012" s="35" t="str">
        <f>IFERROR(__xludf.DUMMYFUNCTION("""COMPUTED_VALUE"""),"1899")</f>
        <v>1899</v>
      </c>
      <c r="G4012" s="35"/>
      <c r="H4012" s="35" t="str">
        <f>IFERROR(__xludf.DUMMYFUNCTION("""COMPUTED_VALUE"""),"")</f>
        <v/>
      </c>
      <c r="I4012" s="35" t="str">
        <f>IFERROR(__xludf.DUMMYFUNCTION("""COMPUTED_VALUE"""),"")</f>
        <v/>
      </c>
      <c r="J4012" s="35" t="str">
        <f>IFERROR(__xludf.DUMMYFUNCTION("""COMPUTED_VALUE"""),"")</f>
        <v/>
      </c>
      <c r="K4012" s="35"/>
      <c r="L4012" s="35"/>
      <c r="M4012" s="35"/>
      <c r="N4012" s="35"/>
      <c r="O4012" s="35"/>
      <c r="P4012" s="35"/>
      <c r="Q4012" s="35"/>
      <c r="R4012" s="35"/>
      <c r="S4012" s="74"/>
      <c r="T4012" s="35"/>
      <c r="U4012" s="35"/>
      <c r="V4012" s="35"/>
      <c r="W4012" s="45"/>
    </row>
    <row r="4013">
      <c r="A4013" s="45"/>
      <c r="B4013" s="35"/>
      <c r="C4013" s="35"/>
      <c r="D4013" s="10"/>
      <c r="E4013" s="35" t="str">
        <f>IFERROR(__xludf.DUMMYFUNCTION("""COMPUTED_VALUE"""),"")</f>
        <v/>
      </c>
      <c r="F4013" s="35" t="str">
        <f>IFERROR(__xludf.DUMMYFUNCTION("""COMPUTED_VALUE"""),"1899")</f>
        <v>1899</v>
      </c>
      <c r="G4013" s="35"/>
      <c r="H4013" s="35" t="str">
        <f>IFERROR(__xludf.DUMMYFUNCTION("""COMPUTED_VALUE"""),"")</f>
        <v/>
      </c>
      <c r="I4013" s="35" t="str">
        <f>IFERROR(__xludf.DUMMYFUNCTION("""COMPUTED_VALUE"""),"")</f>
        <v/>
      </c>
      <c r="J4013" s="35" t="str">
        <f>IFERROR(__xludf.DUMMYFUNCTION("""COMPUTED_VALUE"""),"")</f>
        <v/>
      </c>
      <c r="K4013" s="35"/>
      <c r="L4013" s="35"/>
      <c r="M4013" s="35"/>
      <c r="N4013" s="35"/>
      <c r="O4013" s="35"/>
      <c r="P4013" s="35"/>
      <c r="Q4013" s="35"/>
      <c r="R4013" s="35"/>
      <c r="S4013" s="74"/>
      <c r="T4013" s="35"/>
      <c r="U4013" s="35"/>
      <c r="V4013" s="35"/>
      <c r="W4013" s="45"/>
    </row>
    <row r="4014">
      <c r="A4014" s="45"/>
      <c r="B4014" s="35"/>
      <c r="C4014" s="35"/>
      <c r="D4014" s="10"/>
      <c r="E4014" s="35" t="str">
        <f>IFERROR(__xludf.DUMMYFUNCTION("""COMPUTED_VALUE"""),"")</f>
        <v/>
      </c>
      <c r="F4014" s="35" t="str">
        <f>IFERROR(__xludf.DUMMYFUNCTION("""COMPUTED_VALUE"""),"1899")</f>
        <v>1899</v>
      </c>
      <c r="G4014" s="35"/>
      <c r="H4014" s="35" t="str">
        <f>IFERROR(__xludf.DUMMYFUNCTION("""COMPUTED_VALUE"""),"")</f>
        <v/>
      </c>
      <c r="I4014" s="35" t="str">
        <f>IFERROR(__xludf.DUMMYFUNCTION("""COMPUTED_VALUE"""),"")</f>
        <v/>
      </c>
      <c r="J4014" s="35" t="str">
        <f>IFERROR(__xludf.DUMMYFUNCTION("""COMPUTED_VALUE"""),"")</f>
        <v/>
      </c>
      <c r="K4014" s="35"/>
      <c r="L4014" s="35"/>
      <c r="M4014" s="35"/>
      <c r="N4014" s="35"/>
      <c r="O4014" s="35"/>
      <c r="P4014" s="35"/>
      <c r="Q4014" s="35"/>
      <c r="R4014" s="35"/>
      <c r="S4014" s="74"/>
      <c r="T4014" s="35"/>
      <c r="U4014" s="35"/>
      <c r="V4014" s="35"/>
      <c r="W4014" s="45"/>
    </row>
    <row r="4015">
      <c r="A4015" s="45"/>
      <c r="B4015" s="35"/>
      <c r="C4015" s="35"/>
      <c r="D4015" s="10"/>
      <c r="E4015" s="35" t="str">
        <f>IFERROR(__xludf.DUMMYFUNCTION("""COMPUTED_VALUE"""),"")</f>
        <v/>
      </c>
      <c r="F4015" s="35" t="str">
        <f>IFERROR(__xludf.DUMMYFUNCTION("""COMPUTED_VALUE"""),"1899")</f>
        <v>1899</v>
      </c>
      <c r="G4015" s="35"/>
      <c r="H4015" s="35" t="str">
        <f>IFERROR(__xludf.DUMMYFUNCTION("""COMPUTED_VALUE"""),"")</f>
        <v/>
      </c>
      <c r="I4015" s="35" t="str">
        <f>IFERROR(__xludf.DUMMYFUNCTION("""COMPUTED_VALUE"""),"")</f>
        <v/>
      </c>
      <c r="J4015" s="35" t="str">
        <f>IFERROR(__xludf.DUMMYFUNCTION("""COMPUTED_VALUE"""),"")</f>
        <v/>
      </c>
      <c r="K4015" s="35"/>
      <c r="L4015" s="35"/>
      <c r="M4015" s="35"/>
      <c r="N4015" s="35"/>
      <c r="O4015" s="35"/>
      <c r="P4015" s="35"/>
      <c r="Q4015" s="35"/>
      <c r="R4015" s="35"/>
      <c r="S4015" s="74"/>
      <c r="T4015" s="35"/>
      <c r="U4015" s="35"/>
      <c r="V4015" s="35"/>
      <c r="W4015" s="45"/>
    </row>
    <row r="4016">
      <c r="A4016" s="45"/>
      <c r="B4016" s="35"/>
      <c r="C4016" s="35"/>
      <c r="D4016" s="10"/>
      <c r="E4016" s="35" t="str">
        <f>IFERROR(__xludf.DUMMYFUNCTION("""COMPUTED_VALUE"""),"")</f>
        <v/>
      </c>
      <c r="F4016" s="35" t="str">
        <f>IFERROR(__xludf.DUMMYFUNCTION("""COMPUTED_VALUE"""),"1899")</f>
        <v>1899</v>
      </c>
      <c r="G4016" s="35"/>
      <c r="H4016" s="35" t="str">
        <f>IFERROR(__xludf.DUMMYFUNCTION("""COMPUTED_VALUE"""),"")</f>
        <v/>
      </c>
      <c r="I4016" s="35" t="str">
        <f>IFERROR(__xludf.DUMMYFUNCTION("""COMPUTED_VALUE"""),"")</f>
        <v/>
      </c>
      <c r="J4016" s="35" t="str">
        <f>IFERROR(__xludf.DUMMYFUNCTION("""COMPUTED_VALUE"""),"")</f>
        <v/>
      </c>
      <c r="K4016" s="35"/>
      <c r="L4016" s="35"/>
      <c r="M4016" s="35"/>
      <c r="N4016" s="35"/>
      <c r="O4016" s="35"/>
      <c r="P4016" s="35"/>
      <c r="Q4016" s="35"/>
      <c r="R4016" s="35"/>
      <c r="S4016" s="74"/>
      <c r="T4016" s="35"/>
      <c r="U4016" s="35"/>
      <c r="V4016" s="35"/>
      <c r="W4016" s="45"/>
    </row>
    <row r="4017">
      <c r="A4017" s="45"/>
      <c r="B4017" s="35"/>
      <c r="C4017" s="35"/>
      <c r="D4017" s="10"/>
      <c r="E4017" s="35" t="str">
        <f>IFERROR(__xludf.DUMMYFUNCTION("""COMPUTED_VALUE"""),"")</f>
        <v/>
      </c>
      <c r="F4017" s="35" t="str">
        <f>IFERROR(__xludf.DUMMYFUNCTION("""COMPUTED_VALUE"""),"1899")</f>
        <v>1899</v>
      </c>
      <c r="G4017" s="35"/>
      <c r="H4017" s="35" t="str">
        <f>IFERROR(__xludf.DUMMYFUNCTION("""COMPUTED_VALUE"""),"")</f>
        <v/>
      </c>
      <c r="I4017" s="35" t="str">
        <f>IFERROR(__xludf.DUMMYFUNCTION("""COMPUTED_VALUE"""),"")</f>
        <v/>
      </c>
      <c r="J4017" s="35" t="str">
        <f>IFERROR(__xludf.DUMMYFUNCTION("""COMPUTED_VALUE"""),"")</f>
        <v/>
      </c>
      <c r="K4017" s="35"/>
      <c r="L4017" s="35"/>
      <c r="M4017" s="35"/>
      <c r="N4017" s="35"/>
      <c r="O4017" s="35"/>
      <c r="P4017" s="35"/>
      <c r="Q4017" s="35"/>
      <c r="R4017" s="35"/>
      <c r="S4017" s="74"/>
      <c r="T4017" s="35"/>
      <c r="U4017" s="35"/>
      <c r="V4017" s="35"/>
      <c r="W4017" s="45"/>
    </row>
    <row r="4018">
      <c r="A4018" s="45"/>
      <c r="B4018" s="35"/>
      <c r="C4018" s="35"/>
      <c r="D4018" s="10"/>
      <c r="E4018" s="35" t="str">
        <f>IFERROR(__xludf.DUMMYFUNCTION("""COMPUTED_VALUE"""),"")</f>
        <v/>
      </c>
      <c r="F4018" s="35" t="str">
        <f>IFERROR(__xludf.DUMMYFUNCTION("""COMPUTED_VALUE"""),"1899")</f>
        <v>1899</v>
      </c>
      <c r="G4018" s="35"/>
      <c r="H4018" s="35" t="str">
        <f>IFERROR(__xludf.DUMMYFUNCTION("""COMPUTED_VALUE"""),"")</f>
        <v/>
      </c>
      <c r="I4018" s="35" t="str">
        <f>IFERROR(__xludf.DUMMYFUNCTION("""COMPUTED_VALUE"""),"")</f>
        <v/>
      </c>
      <c r="J4018" s="35" t="str">
        <f>IFERROR(__xludf.DUMMYFUNCTION("""COMPUTED_VALUE"""),"")</f>
        <v/>
      </c>
      <c r="K4018" s="35"/>
      <c r="L4018" s="35"/>
      <c r="M4018" s="35"/>
      <c r="N4018" s="35"/>
      <c r="O4018" s="35"/>
      <c r="P4018" s="35"/>
      <c r="Q4018" s="35"/>
      <c r="R4018" s="35"/>
      <c r="S4018" s="74"/>
      <c r="T4018" s="35"/>
      <c r="U4018" s="35"/>
      <c r="V4018" s="35"/>
      <c r="W4018" s="45"/>
    </row>
    <row r="4019">
      <c r="A4019" s="45"/>
      <c r="B4019" s="35"/>
      <c r="C4019" s="35"/>
      <c r="D4019" s="10"/>
      <c r="E4019" s="35" t="str">
        <f>IFERROR(__xludf.DUMMYFUNCTION("""COMPUTED_VALUE"""),"")</f>
        <v/>
      </c>
      <c r="F4019" s="35" t="str">
        <f>IFERROR(__xludf.DUMMYFUNCTION("""COMPUTED_VALUE"""),"1899")</f>
        <v>1899</v>
      </c>
      <c r="G4019" s="35"/>
      <c r="H4019" s="35" t="str">
        <f>IFERROR(__xludf.DUMMYFUNCTION("""COMPUTED_VALUE"""),"")</f>
        <v/>
      </c>
      <c r="I4019" s="35" t="str">
        <f>IFERROR(__xludf.DUMMYFUNCTION("""COMPUTED_VALUE"""),"")</f>
        <v/>
      </c>
      <c r="J4019" s="35" t="str">
        <f>IFERROR(__xludf.DUMMYFUNCTION("""COMPUTED_VALUE"""),"")</f>
        <v/>
      </c>
      <c r="K4019" s="35"/>
      <c r="L4019" s="35"/>
      <c r="M4019" s="35"/>
      <c r="N4019" s="35"/>
      <c r="O4019" s="35"/>
      <c r="P4019" s="35"/>
      <c r="Q4019" s="35"/>
      <c r="R4019" s="35"/>
      <c r="S4019" s="74"/>
      <c r="T4019" s="35"/>
      <c r="U4019" s="35"/>
      <c r="V4019" s="35"/>
      <c r="W4019" s="45"/>
    </row>
    <row r="4020">
      <c r="A4020" s="45"/>
      <c r="B4020" s="35"/>
      <c r="C4020" s="35"/>
      <c r="D4020" s="10"/>
      <c r="E4020" s="35" t="str">
        <f>IFERROR(__xludf.DUMMYFUNCTION("""COMPUTED_VALUE"""),"")</f>
        <v/>
      </c>
      <c r="F4020" s="35" t="str">
        <f>IFERROR(__xludf.DUMMYFUNCTION("""COMPUTED_VALUE"""),"1899")</f>
        <v>1899</v>
      </c>
      <c r="G4020" s="35"/>
      <c r="H4020" s="35" t="str">
        <f>IFERROR(__xludf.DUMMYFUNCTION("""COMPUTED_VALUE"""),"")</f>
        <v/>
      </c>
      <c r="I4020" s="35" t="str">
        <f>IFERROR(__xludf.DUMMYFUNCTION("""COMPUTED_VALUE"""),"")</f>
        <v/>
      </c>
      <c r="J4020" s="35" t="str">
        <f>IFERROR(__xludf.DUMMYFUNCTION("""COMPUTED_VALUE"""),"")</f>
        <v/>
      </c>
      <c r="K4020" s="35"/>
      <c r="L4020" s="35"/>
      <c r="M4020" s="35"/>
      <c r="N4020" s="35"/>
      <c r="O4020" s="35"/>
      <c r="P4020" s="35"/>
      <c r="Q4020" s="35"/>
      <c r="R4020" s="35"/>
      <c r="S4020" s="74"/>
      <c r="T4020" s="35"/>
      <c r="U4020" s="35"/>
      <c r="V4020" s="35"/>
      <c r="W4020" s="45"/>
    </row>
    <row r="4021">
      <c r="A4021" s="45"/>
      <c r="B4021" s="35"/>
      <c r="C4021" s="35"/>
      <c r="D4021" s="10"/>
      <c r="E4021" s="35" t="str">
        <f>IFERROR(__xludf.DUMMYFUNCTION("""COMPUTED_VALUE"""),"")</f>
        <v/>
      </c>
      <c r="F4021" s="35" t="str">
        <f>IFERROR(__xludf.DUMMYFUNCTION("""COMPUTED_VALUE"""),"1899")</f>
        <v>1899</v>
      </c>
      <c r="G4021" s="35"/>
      <c r="H4021" s="35" t="str">
        <f>IFERROR(__xludf.DUMMYFUNCTION("""COMPUTED_VALUE"""),"")</f>
        <v/>
      </c>
      <c r="I4021" s="35" t="str">
        <f>IFERROR(__xludf.DUMMYFUNCTION("""COMPUTED_VALUE"""),"")</f>
        <v/>
      </c>
      <c r="J4021" s="35" t="str">
        <f>IFERROR(__xludf.DUMMYFUNCTION("""COMPUTED_VALUE"""),"")</f>
        <v/>
      </c>
      <c r="K4021" s="35"/>
      <c r="L4021" s="35"/>
      <c r="M4021" s="35"/>
      <c r="N4021" s="35"/>
      <c r="O4021" s="35"/>
      <c r="P4021" s="35"/>
      <c r="Q4021" s="35"/>
      <c r="R4021" s="35"/>
      <c r="S4021" s="74"/>
      <c r="T4021" s="35"/>
      <c r="U4021" s="35"/>
      <c r="V4021" s="35"/>
      <c r="W4021" s="45"/>
    </row>
    <row r="4022">
      <c r="A4022" s="45"/>
      <c r="B4022" s="35"/>
      <c r="C4022" s="35"/>
      <c r="D4022" s="10"/>
      <c r="E4022" s="35" t="str">
        <f>IFERROR(__xludf.DUMMYFUNCTION("""COMPUTED_VALUE"""),"")</f>
        <v/>
      </c>
      <c r="F4022" s="35" t="str">
        <f>IFERROR(__xludf.DUMMYFUNCTION("""COMPUTED_VALUE"""),"1899")</f>
        <v>1899</v>
      </c>
      <c r="G4022" s="35"/>
      <c r="H4022" s="35" t="str">
        <f>IFERROR(__xludf.DUMMYFUNCTION("""COMPUTED_VALUE"""),"")</f>
        <v/>
      </c>
      <c r="I4022" s="35" t="str">
        <f>IFERROR(__xludf.DUMMYFUNCTION("""COMPUTED_VALUE"""),"")</f>
        <v/>
      </c>
      <c r="J4022" s="35" t="str">
        <f>IFERROR(__xludf.DUMMYFUNCTION("""COMPUTED_VALUE"""),"")</f>
        <v/>
      </c>
      <c r="K4022" s="35"/>
      <c r="L4022" s="35"/>
      <c r="M4022" s="35"/>
      <c r="N4022" s="35"/>
      <c r="O4022" s="35"/>
      <c r="P4022" s="35"/>
      <c r="Q4022" s="35"/>
      <c r="R4022" s="35"/>
      <c r="S4022" s="74"/>
      <c r="T4022" s="35"/>
      <c r="U4022" s="35"/>
      <c r="V4022" s="35"/>
      <c r="W4022" s="45"/>
    </row>
    <row r="4023">
      <c r="A4023" s="45"/>
      <c r="B4023" s="35"/>
      <c r="C4023" s="35"/>
      <c r="D4023" s="10"/>
      <c r="E4023" s="35" t="str">
        <f>IFERROR(__xludf.DUMMYFUNCTION("""COMPUTED_VALUE"""),"")</f>
        <v/>
      </c>
      <c r="F4023" s="35" t="str">
        <f>IFERROR(__xludf.DUMMYFUNCTION("""COMPUTED_VALUE"""),"1899")</f>
        <v>1899</v>
      </c>
      <c r="G4023" s="35"/>
      <c r="H4023" s="35" t="str">
        <f>IFERROR(__xludf.DUMMYFUNCTION("""COMPUTED_VALUE"""),"")</f>
        <v/>
      </c>
      <c r="I4023" s="35" t="str">
        <f>IFERROR(__xludf.DUMMYFUNCTION("""COMPUTED_VALUE"""),"")</f>
        <v/>
      </c>
      <c r="J4023" s="35" t="str">
        <f>IFERROR(__xludf.DUMMYFUNCTION("""COMPUTED_VALUE"""),"")</f>
        <v/>
      </c>
      <c r="K4023" s="35"/>
      <c r="L4023" s="35"/>
      <c r="M4023" s="35"/>
      <c r="N4023" s="35"/>
      <c r="O4023" s="35"/>
      <c r="P4023" s="35"/>
      <c r="Q4023" s="35"/>
      <c r="R4023" s="35"/>
      <c r="S4023" s="74"/>
      <c r="T4023" s="35"/>
      <c r="U4023" s="35"/>
      <c r="V4023" s="35"/>
      <c r="W4023" s="45"/>
    </row>
    <row r="4024">
      <c r="A4024" s="45"/>
      <c r="B4024" s="35"/>
      <c r="C4024" s="35"/>
      <c r="D4024" s="10"/>
      <c r="E4024" s="35" t="str">
        <f>IFERROR(__xludf.DUMMYFUNCTION("""COMPUTED_VALUE"""),"")</f>
        <v/>
      </c>
      <c r="F4024" s="35" t="str">
        <f>IFERROR(__xludf.DUMMYFUNCTION("""COMPUTED_VALUE"""),"1899")</f>
        <v>1899</v>
      </c>
      <c r="G4024" s="35"/>
      <c r="H4024" s="35" t="str">
        <f>IFERROR(__xludf.DUMMYFUNCTION("""COMPUTED_VALUE"""),"")</f>
        <v/>
      </c>
      <c r="I4024" s="35" t="str">
        <f>IFERROR(__xludf.DUMMYFUNCTION("""COMPUTED_VALUE"""),"")</f>
        <v/>
      </c>
      <c r="J4024" s="35" t="str">
        <f>IFERROR(__xludf.DUMMYFUNCTION("""COMPUTED_VALUE"""),"")</f>
        <v/>
      </c>
      <c r="K4024" s="35"/>
      <c r="L4024" s="35"/>
      <c r="M4024" s="35"/>
      <c r="N4024" s="35"/>
      <c r="O4024" s="35"/>
      <c r="P4024" s="35"/>
      <c r="Q4024" s="35"/>
      <c r="R4024" s="35"/>
      <c r="S4024" s="74"/>
      <c r="T4024" s="35"/>
      <c r="U4024" s="35"/>
      <c r="V4024" s="35"/>
      <c r="W4024" s="45"/>
    </row>
    <row r="4025">
      <c r="A4025" s="45"/>
      <c r="B4025" s="35"/>
      <c r="C4025" s="35"/>
      <c r="D4025" s="10"/>
      <c r="E4025" s="35" t="str">
        <f>IFERROR(__xludf.DUMMYFUNCTION("""COMPUTED_VALUE"""),"")</f>
        <v/>
      </c>
      <c r="F4025" s="35" t="str">
        <f>IFERROR(__xludf.DUMMYFUNCTION("""COMPUTED_VALUE"""),"1899")</f>
        <v>1899</v>
      </c>
      <c r="G4025" s="35"/>
      <c r="H4025" s="35" t="str">
        <f>IFERROR(__xludf.DUMMYFUNCTION("""COMPUTED_VALUE"""),"")</f>
        <v/>
      </c>
      <c r="I4025" s="35" t="str">
        <f>IFERROR(__xludf.DUMMYFUNCTION("""COMPUTED_VALUE"""),"")</f>
        <v/>
      </c>
      <c r="J4025" s="35" t="str">
        <f>IFERROR(__xludf.DUMMYFUNCTION("""COMPUTED_VALUE"""),"")</f>
        <v/>
      </c>
      <c r="K4025" s="35"/>
      <c r="L4025" s="35"/>
      <c r="M4025" s="35"/>
      <c r="N4025" s="35"/>
      <c r="O4025" s="35"/>
      <c r="P4025" s="35"/>
      <c r="Q4025" s="35"/>
      <c r="R4025" s="35"/>
      <c r="S4025" s="74"/>
      <c r="T4025" s="35"/>
      <c r="U4025" s="35"/>
      <c r="V4025" s="35"/>
      <c r="W4025" s="45"/>
    </row>
    <row r="4026">
      <c r="A4026" s="45"/>
      <c r="B4026" s="35"/>
      <c r="C4026" s="35"/>
      <c r="D4026" s="10"/>
      <c r="E4026" s="35" t="str">
        <f>IFERROR(__xludf.DUMMYFUNCTION("""COMPUTED_VALUE"""),"")</f>
        <v/>
      </c>
      <c r="F4026" s="35" t="str">
        <f>IFERROR(__xludf.DUMMYFUNCTION("""COMPUTED_VALUE"""),"1899")</f>
        <v>1899</v>
      </c>
      <c r="G4026" s="35"/>
      <c r="H4026" s="35" t="str">
        <f>IFERROR(__xludf.DUMMYFUNCTION("""COMPUTED_VALUE"""),"")</f>
        <v/>
      </c>
      <c r="I4026" s="35" t="str">
        <f>IFERROR(__xludf.DUMMYFUNCTION("""COMPUTED_VALUE"""),"")</f>
        <v/>
      </c>
      <c r="J4026" s="35" t="str">
        <f>IFERROR(__xludf.DUMMYFUNCTION("""COMPUTED_VALUE"""),"")</f>
        <v/>
      </c>
      <c r="K4026" s="35"/>
      <c r="L4026" s="35"/>
      <c r="M4026" s="35"/>
      <c r="N4026" s="35"/>
      <c r="O4026" s="35"/>
      <c r="P4026" s="35"/>
      <c r="Q4026" s="35"/>
      <c r="R4026" s="35"/>
      <c r="S4026" s="74"/>
      <c r="T4026" s="35"/>
      <c r="U4026" s="35"/>
      <c r="V4026" s="35"/>
      <c r="W4026" s="45"/>
    </row>
    <row r="4027">
      <c r="A4027" s="45"/>
      <c r="B4027" s="35"/>
      <c r="C4027" s="35"/>
      <c r="D4027" s="10"/>
      <c r="E4027" s="35" t="str">
        <f>IFERROR(__xludf.DUMMYFUNCTION("""COMPUTED_VALUE"""),"")</f>
        <v/>
      </c>
      <c r="F4027" s="35" t="str">
        <f>IFERROR(__xludf.DUMMYFUNCTION("""COMPUTED_VALUE"""),"1899")</f>
        <v>1899</v>
      </c>
      <c r="G4027" s="35"/>
      <c r="H4027" s="35" t="str">
        <f>IFERROR(__xludf.DUMMYFUNCTION("""COMPUTED_VALUE"""),"")</f>
        <v/>
      </c>
      <c r="I4027" s="35" t="str">
        <f>IFERROR(__xludf.DUMMYFUNCTION("""COMPUTED_VALUE"""),"")</f>
        <v/>
      </c>
      <c r="J4027" s="35" t="str">
        <f>IFERROR(__xludf.DUMMYFUNCTION("""COMPUTED_VALUE"""),"")</f>
        <v/>
      </c>
      <c r="K4027" s="35"/>
      <c r="L4027" s="35"/>
      <c r="M4027" s="35"/>
      <c r="N4027" s="35"/>
      <c r="O4027" s="35"/>
      <c r="P4027" s="35"/>
      <c r="Q4027" s="35"/>
      <c r="R4027" s="35"/>
      <c r="S4027" s="74"/>
      <c r="T4027" s="35"/>
      <c r="U4027" s="35"/>
      <c r="V4027" s="35"/>
      <c r="W4027" s="45"/>
    </row>
    <row r="4028">
      <c r="A4028" s="45"/>
      <c r="B4028" s="35"/>
      <c r="C4028" s="35"/>
      <c r="D4028" s="10"/>
      <c r="E4028" s="35" t="str">
        <f>IFERROR(__xludf.DUMMYFUNCTION("""COMPUTED_VALUE"""),"")</f>
        <v/>
      </c>
      <c r="F4028" s="35" t="str">
        <f>IFERROR(__xludf.DUMMYFUNCTION("""COMPUTED_VALUE"""),"1899")</f>
        <v>1899</v>
      </c>
      <c r="G4028" s="35"/>
      <c r="H4028" s="35" t="str">
        <f>IFERROR(__xludf.DUMMYFUNCTION("""COMPUTED_VALUE"""),"")</f>
        <v/>
      </c>
      <c r="I4028" s="35" t="str">
        <f>IFERROR(__xludf.DUMMYFUNCTION("""COMPUTED_VALUE"""),"")</f>
        <v/>
      </c>
      <c r="J4028" s="35" t="str">
        <f>IFERROR(__xludf.DUMMYFUNCTION("""COMPUTED_VALUE"""),"")</f>
        <v/>
      </c>
      <c r="K4028" s="35"/>
      <c r="L4028" s="35"/>
      <c r="M4028" s="35"/>
      <c r="N4028" s="35"/>
      <c r="O4028" s="35"/>
      <c r="P4028" s="35"/>
      <c r="Q4028" s="35"/>
      <c r="R4028" s="35"/>
      <c r="S4028" s="74"/>
      <c r="T4028" s="35"/>
      <c r="U4028" s="35"/>
      <c r="V4028" s="35"/>
      <c r="W4028" s="45"/>
    </row>
    <row r="4029">
      <c r="A4029" s="45"/>
      <c r="B4029" s="35"/>
      <c r="C4029" s="35"/>
      <c r="D4029" s="10"/>
      <c r="E4029" s="35" t="str">
        <f>IFERROR(__xludf.DUMMYFUNCTION("""COMPUTED_VALUE"""),"")</f>
        <v/>
      </c>
      <c r="F4029" s="35" t="str">
        <f>IFERROR(__xludf.DUMMYFUNCTION("""COMPUTED_VALUE"""),"1899")</f>
        <v>1899</v>
      </c>
      <c r="G4029" s="35"/>
      <c r="H4029" s="35" t="str">
        <f>IFERROR(__xludf.DUMMYFUNCTION("""COMPUTED_VALUE"""),"")</f>
        <v/>
      </c>
      <c r="I4029" s="35" t="str">
        <f>IFERROR(__xludf.DUMMYFUNCTION("""COMPUTED_VALUE"""),"")</f>
        <v/>
      </c>
      <c r="J4029" s="35" t="str">
        <f>IFERROR(__xludf.DUMMYFUNCTION("""COMPUTED_VALUE"""),"")</f>
        <v/>
      </c>
      <c r="K4029" s="35"/>
      <c r="L4029" s="35"/>
      <c r="M4029" s="35"/>
      <c r="N4029" s="35"/>
      <c r="O4029" s="35"/>
      <c r="P4029" s="35"/>
      <c r="Q4029" s="35"/>
      <c r="R4029" s="35"/>
      <c r="S4029" s="74"/>
      <c r="T4029" s="35"/>
      <c r="U4029" s="35"/>
      <c r="V4029" s="35"/>
      <c r="W4029" s="45"/>
    </row>
    <row r="4030">
      <c r="A4030" s="45"/>
      <c r="B4030" s="35"/>
      <c r="C4030" s="35"/>
      <c r="D4030" s="10"/>
      <c r="E4030" s="35" t="str">
        <f>IFERROR(__xludf.DUMMYFUNCTION("""COMPUTED_VALUE"""),"")</f>
        <v/>
      </c>
      <c r="F4030" s="35" t="str">
        <f>IFERROR(__xludf.DUMMYFUNCTION("""COMPUTED_VALUE"""),"1899")</f>
        <v>1899</v>
      </c>
      <c r="G4030" s="35"/>
      <c r="H4030" s="35" t="str">
        <f>IFERROR(__xludf.DUMMYFUNCTION("""COMPUTED_VALUE"""),"")</f>
        <v/>
      </c>
      <c r="I4030" s="35" t="str">
        <f>IFERROR(__xludf.DUMMYFUNCTION("""COMPUTED_VALUE"""),"")</f>
        <v/>
      </c>
      <c r="J4030" s="35" t="str">
        <f>IFERROR(__xludf.DUMMYFUNCTION("""COMPUTED_VALUE"""),"")</f>
        <v/>
      </c>
      <c r="K4030" s="35"/>
      <c r="L4030" s="35"/>
      <c r="M4030" s="35"/>
      <c r="N4030" s="35"/>
      <c r="O4030" s="35"/>
      <c r="P4030" s="35"/>
      <c r="Q4030" s="35"/>
      <c r="R4030" s="35"/>
      <c r="S4030" s="74"/>
      <c r="T4030" s="35"/>
      <c r="U4030" s="35"/>
      <c r="V4030" s="35"/>
      <c r="W4030" s="45"/>
    </row>
    <row r="4031">
      <c r="A4031" s="45"/>
      <c r="B4031" s="35"/>
      <c r="C4031" s="35"/>
      <c r="D4031" s="10"/>
      <c r="E4031" s="35" t="str">
        <f>IFERROR(__xludf.DUMMYFUNCTION("""COMPUTED_VALUE"""),"")</f>
        <v/>
      </c>
      <c r="F4031" s="35" t="str">
        <f>IFERROR(__xludf.DUMMYFUNCTION("""COMPUTED_VALUE"""),"1899")</f>
        <v>1899</v>
      </c>
      <c r="G4031" s="35"/>
      <c r="H4031" s="35" t="str">
        <f>IFERROR(__xludf.DUMMYFUNCTION("""COMPUTED_VALUE"""),"")</f>
        <v/>
      </c>
      <c r="I4031" s="35" t="str">
        <f>IFERROR(__xludf.DUMMYFUNCTION("""COMPUTED_VALUE"""),"")</f>
        <v/>
      </c>
      <c r="J4031" s="35" t="str">
        <f>IFERROR(__xludf.DUMMYFUNCTION("""COMPUTED_VALUE"""),"")</f>
        <v/>
      </c>
      <c r="K4031" s="35"/>
      <c r="L4031" s="35"/>
      <c r="M4031" s="35"/>
      <c r="N4031" s="35"/>
      <c r="O4031" s="35"/>
      <c r="P4031" s="35"/>
      <c r="Q4031" s="35"/>
      <c r="R4031" s="35"/>
      <c r="S4031" s="74"/>
      <c r="T4031" s="35"/>
      <c r="U4031" s="35"/>
      <c r="V4031" s="35"/>
      <c r="W4031" s="45"/>
    </row>
    <row r="4032">
      <c r="A4032" s="45"/>
      <c r="B4032" s="35"/>
      <c r="C4032" s="35"/>
      <c r="D4032" s="10"/>
      <c r="E4032" s="35" t="str">
        <f>IFERROR(__xludf.DUMMYFUNCTION("""COMPUTED_VALUE"""),"")</f>
        <v/>
      </c>
      <c r="F4032" s="35" t="str">
        <f>IFERROR(__xludf.DUMMYFUNCTION("""COMPUTED_VALUE"""),"1899")</f>
        <v>1899</v>
      </c>
      <c r="G4032" s="35"/>
      <c r="H4032" s="35" t="str">
        <f>IFERROR(__xludf.DUMMYFUNCTION("""COMPUTED_VALUE"""),"")</f>
        <v/>
      </c>
      <c r="I4032" s="35" t="str">
        <f>IFERROR(__xludf.DUMMYFUNCTION("""COMPUTED_VALUE"""),"")</f>
        <v/>
      </c>
      <c r="J4032" s="35" t="str">
        <f>IFERROR(__xludf.DUMMYFUNCTION("""COMPUTED_VALUE"""),"")</f>
        <v/>
      </c>
      <c r="K4032" s="35"/>
      <c r="L4032" s="35"/>
      <c r="M4032" s="35"/>
      <c r="N4032" s="35"/>
      <c r="O4032" s="35"/>
      <c r="P4032" s="35"/>
      <c r="Q4032" s="35"/>
      <c r="R4032" s="35"/>
      <c r="S4032" s="74"/>
      <c r="T4032" s="35"/>
      <c r="U4032" s="35"/>
      <c r="V4032" s="35"/>
      <c r="W4032" s="45"/>
    </row>
    <row r="4033">
      <c r="A4033" s="45"/>
      <c r="B4033" s="35"/>
      <c r="C4033" s="35"/>
      <c r="D4033" s="10"/>
      <c r="E4033" s="35" t="str">
        <f>IFERROR(__xludf.DUMMYFUNCTION("""COMPUTED_VALUE"""),"")</f>
        <v/>
      </c>
      <c r="F4033" s="35" t="str">
        <f>IFERROR(__xludf.DUMMYFUNCTION("""COMPUTED_VALUE"""),"1899")</f>
        <v>1899</v>
      </c>
      <c r="G4033" s="35"/>
      <c r="H4033" s="35" t="str">
        <f>IFERROR(__xludf.DUMMYFUNCTION("""COMPUTED_VALUE"""),"")</f>
        <v/>
      </c>
      <c r="I4033" s="35" t="str">
        <f>IFERROR(__xludf.DUMMYFUNCTION("""COMPUTED_VALUE"""),"")</f>
        <v/>
      </c>
      <c r="J4033" s="35" t="str">
        <f>IFERROR(__xludf.DUMMYFUNCTION("""COMPUTED_VALUE"""),"")</f>
        <v/>
      </c>
      <c r="K4033" s="35"/>
      <c r="L4033" s="35"/>
      <c r="M4033" s="35"/>
      <c r="N4033" s="35"/>
      <c r="O4033" s="35"/>
      <c r="P4033" s="35"/>
      <c r="Q4033" s="35"/>
      <c r="R4033" s="35"/>
      <c r="S4033" s="74"/>
      <c r="T4033" s="35"/>
      <c r="U4033" s="35"/>
      <c r="V4033" s="35"/>
      <c r="W4033" s="45"/>
    </row>
    <row r="4034">
      <c r="A4034" s="45"/>
      <c r="B4034" s="35"/>
      <c r="C4034" s="35"/>
      <c r="D4034" s="10"/>
      <c r="E4034" s="35" t="str">
        <f>IFERROR(__xludf.DUMMYFUNCTION("""COMPUTED_VALUE"""),"")</f>
        <v/>
      </c>
      <c r="F4034" s="35" t="str">
        <f>IFERROR(__xludf.DUMMYFUNCTION("""COMPUTED_VALUE"""),"1899")</f>
        <v>1899</v>
      </c>
      <c r="G4034" s="35"/>
      <c r="H4034" s="35" t="str">
        <f>IFERROR(__xludf.DUMMYFUNCTION("""COMPUTED_VALUE"""),"")</f>
        <v/>
      </c>
      <c r="I4034" s="35" t="str">
        <f>IFERROR(__xludf.DUMMYFUNCTION("""COMPUTED_VALUE"""),"")</f>
        <v/>
      </c>
      <c r="J4034" s="35" t="str">
        <f>IFERROR(__xludf.DUMMYFUNCTION("""COMPUTED_VALUE"""),"")</f>
        <v/>
      </c>
      <c r="K4034" s="35"/>
      <c r="L4034" s="35"/>
      <c r="M4034" s="35"/>
      <c r="N4034" s="35"/>
      <c r="O4034" s="35"/>
      <c r="P4034" s="35"/>
      <c r="Q4034" s="35"/>
      <c r="R4034" s="35"/>
      <c r="S4034" s="74"/>
      <c r="T4034" s="35"/>
      <c r="U4034" s="35"/>
      <c r="V4034" s="35"/>
      <c r="W4034" s="45"/>
    </row>
    <row r="4035">
      <c r="A4035" s="45"/>
      <c r="B4035" s="35"/>
      <c r="C4035" s="35"/>
      <c r="D4035" s="10"/>
      <c r="E4035" s="35" t="str">
        <f>IFERROR(__xludf.DUMMYFUNCTION("""COMPUTED_VALUE"""),"")</f>
        <v/>
      </c>
      <c r="F4035" s="35" t="str">
        <f>IFERROR(__xludf.DUMMYFUNCTION("""COMPUTED_VALUE"""),"1899")</f>
        <v>1899</v>
      </c>
      <c r="G4035" s="35"/>
      <c r="H4035" s="35" t="str">
        <f>IFERROR(__xludf.DUMMYFUNCTION("""COMPUTED_VALUE"""),"")</f>
        <v/>
      </c>
      <c r="I4035" s="35" t="str">
        <f>IFERROR(__xludf.DUMMYFUNCTION("""COMPUTED_VALUE"""),"")</f>
        <v/>
      </c>
      <c r="J4035" s="35" t="str">
        <f>IFERROR(__xludf.DUMMYFUNCTION("""COMPUTED_VALUE"""),"")</f>
        <v/>
      </c>
      <c r="K4035" s="35"/>
      <c r="L4035" s="35"/>
      <c r="M4035" s="35"/>
      <c r="N4035" s="35"/>
      <c r="O4035" s="35"/>
      <c r="P4035" s="35"/>
      <c r="Q4035" s="35"/>
      <c r="R4035" s="35"/>
      <c r="S4035" s="74"/>
      <c r="T4035" s="35"/>
      <c r="U4035" s="35"/>
      <c r="V4035" s="35"/>
      <c r="W4035" s="45"/>
    </row>
    <row r="4036">
      <c r="A4036" s="45"/>
      <c r="B4036" s="35"/>
      <c r="C4036" s="35"/>
      <c r="D4036" s="10"/>
      <c r="E4036" s="35" t="str">
        <f>IFERROR(__xludf.DUMMYFUNCTION("""COMPUTED_VALUE"""),"")</f>
        <v/>
      </c>
      <c r="F4036" s="35" t="str">
        <f>IFERROR(__xludf.DUMMYFUNCTION("""COMPUTED_VALUE"""),"1899")</f>
        <v>1899</v>
      </c>
      <c r="G4036" s="35"/>
      <c r="H4036" s="35" t="str">
        <f>IFERROR(__xludf.DUMMYFUNCTION("""COMPUTED_VALUE"""),"")</f>
        <v/>
      </c>
      <c r="I4036" s="35" t="str">
        <f>IFERROR(__xludf.DUMMYFUNCTION("""COMPUTED_VALUE"""),"")</f>
        <v/>
      </c>
      <c r="J4036" s="35" t="str">
        <f>IFERROR(__xludf.DUMMYFUNCTION("""COMPUTED_VALUE"""),"")</f>
        <v/>
      </c>
      <c r="K4036" s="35"/>
      <c r="L4036" s="35"/>
      <c r="M4036" s="35"/>
      <c r="N4036" s="35"/>
      <c r="O4036" s="35"/>
      <c r="P4036" s="35"/>
      <c r="Q4036" s="35"/>
      <c r="R4036" s="35"/>
      <c r="S4036" s="74"/>
      <c r="T4036" s="35"/>
      <c r="U4036" s="35"/>
      <c r="V4036" s="35"/>
      <c r="W4036" s="45"/>
    </row>
    <row r="4037">
      <c r="A4037" s="45"/>
      <c r="B4037" s="35"/>
      <c r="C4037" s="35"/>
      <c r="D4037" s="10"/>
      <c r="E4037" s="35" t="str">
        <f>IFERROR(__xludf.DUMMYFUNCTION("""COMPUTED_VALUE"""),"")</f>
        <v/>
      </c>
      <c r="F4037" s="35" t="str">
        <f>IFERROR(__xludf.DUMMYFUNCTION("""COMPUTED_VALUE"""),"1899")</f>
        <v>1899</v>
      </c>
      <c r="G4037" s="35"/>
      <c r="H4037" s="35" t="str">
        <f>IFERROR(__xludf.DUMMYFUNCTION("""COMPUTED_VALUE"""),"")</f>
        <v/>
      </c>
      <c r="I4037" s="35" t="str">
        <f>IFERROR(__xludf.DUMMYFUNCTION("""COMPUTED_VALUE"""),"")</f>
        <v/>
      </c>
      <c r="J4037" s="35" t="str">
        <f>IFERROR(__xludf.DUMMYFUNCTION("""COMPUTED_VALUE"""),"")</f>
        <v/>
      </c>
      <c r="K4037" s="35"/>
      <c r="L4037" s="35"/>
      <c r="M4037" s="35"/>
      <c r="N4037" s="35"/>
      <c r="O4037" s="35"/>
      <c r="P4037" s="35"/>
      <c r="Q4037" s="35"/>
      <c r="R4037" s="35"/>
      <c r="S4037" s="74"/>
      <c r="T4037" s="35"/>
      <c r="U4037" s="35"/>
      <c r="V4037" s="35"/>
      <c r="W4037" s="45"/>
    </row>
    <row r="4038">
      <c r="A4038" s="45"/>
      <c r="B4038" s="35"/>
      <c r="C4038" s="35"/>
      <c r="D4038" s="10"/>
      <c r="E4038" s="35" t="str">
        <f>IFERROR(__xludf.DUMMYFUNCTION("""COMPUTED_VALUE"""),"")</f>
        <v/>
      </c>
      <c r="F4038" s="35" t="str">
        <f>IFERROR(__xludf.DUMMYFUNCTION("""COMPUTED_VALUE"""),"1899")</f>
        <v>1899</v>
      </c>
      <c r="G4038" s="35"/>
      <c r="H4038" s="35" t="str">
        <f>IFERROR(__xludf.DUMMYFUNCTION("""COMPUTED_VALUE"""),"")</f>
        <v/>
      </c>
      <c r="I4038" s="35" t="str">
        <f>IFERROR(__xludf.DUMMYFUNCTION("""COMPUTED_VALUE"""),"")</f>
        <v/>
      </c>
      <c r="J4038" s="35" t="str">
        <f>IFERROR(__xludf.DUMMYFUNCTION("""COMPUTED_VALUE"""),"")</f>
        <v/>
      </c>
      <c r="K4038" s="35"/>
      <c r="L4038" s="35"/>
      <c r="M4038" s="35"/>
      <c r="N4038" s="35"/>
      <c r="O4038" s="35"/>
      <c r="P4038" s="35"/>
      <c r="Q4038" s="35"/>
      <c r="R4038" s="35"/>
      <c r="S4038" s="74"/>
      <c r="T4038" s="35"/>
      <c r="U4038" s="35"/>
      <c r="V4038" s="35"/>
      <c r="W4038" s="45"/>
    </row>
    <row r="4039">
      <c r="A4039" s="45"/>
      <c r="B4039" s="35"/>
      <c r="C4039" s="35"/>
      <c r="D4039" s="10"/>
      <c r="E4039" s="35" t="str">
        <f>IFERROR(__xludf.DUMMYFUNCTION("""COMPUTED_VALUE"""),"")</f>
        <v/>
      </c>
      <c r="F4039" s="35" t="str">
        <f>IFERROR(__xludf.DUMMYFUNCTION("""COMPUTED_VALUE"""),"1899")</f>
        <v>1899</v>
      </c>
      <c r="G4039" s="35"/>
      <c r="H4039" s="35" t="str">
        <f>IFERROR(__xludf.DUMMYFUNCTION("""COMPUTED_VALUE"""),"")</f>
        <v/>
      </c>
      <c r="I4039" s="35" t="str">
        <f>IFERROR(__xludf.DUMMYFUNCTION("""COMPUTED_VALUE"""),"")</f>
        <v/>
      </c>
      <c r="J4039" s="35" t="str">
        <f>IFERROR(__xludf.DUMMYFUNCTION("""COMPUTED_VALUE"""),"")</f>
        <v/>
      </c>
      <c r="K4039" s="35"/>
      <c r="L4039" s="35"/>
      <c r="M4039" s="35"/>
      <c r="N4039" s="35"/>
      <c r="O4039" s="35"/>
      <c r="P4039" s="35"/>
      <c r="Q4039" s="35"/>
      <c r="R4039" s="35"/>
      <c r="S4039" s="74"/>
      <c r="T4039" s="35"/>
      <c r="U4039" s="35"/>
      <c r="V4039" s="35"/>
      <c r="W4039" s="45"/>
    </row>
    <row r="4040">
      <c r="A4040" s="45"/>
      <c r="B4040" s="35"/>
      <c r="C4040" s="35"/>
      <c r="D4040" s="10"/>
      <c r="E4040" s="35" t="str">
        <f>IFERROR(__xludf.DUMMYFUNCTION("""COMPUTED_VALUE"""),"")</f>
        <v/>
      </c>
      <c r="F4040" s="35" t="str">
        <f>IFERROR(__xludf.DUMMYFUNCTION("""COMPUTED_VALUE"""),"1899")</f>
        <v>1899</v>
      </c>
      <c r="G4040" s="35"/>
      <c r="H4040" s="35" t="str">
        <f>IFERROR(__xludf.DUMMYFUNCTION("""COMPUTED_VALUE"""),"")</f>
        <v/>
      </c>
      <c r="I4040" s="35" t="str">
        <f>IFERROR(__xludf.DUMMYFUNCTION("""COMPUTED_VALUE"""),"")</f>
        <v/>
      </c>
      <c r="J4040" s="35" t="str">
        <f>IFERROR(__xludf.DUMMYFUNCTION("""COMPUTED_VALUE"""),"")</f>
        <v/>
      </c>
      <c r="K4040" s="35"/>
      <c r="L4040" s="35"/>
      <c r="M4040" s="35"/>
      <c r="N4040" s="35"/>
      <c r="O4040" s="35"/>
      <c r="P4040" s="35"/>
      <c r="Q4040" s="35"/>
      <c r="R4040" s="35"/>
      <c r="S4040" s="74"/>
      <c r="T4040" s="35"/>
      <c r="U4040" s="35"/>
      <c r="V4040" s="35"/>
      <c r="W4040" s="45"/>
    </row>
    <row r="4041">
      <c r="A4041" s="45"/>
      <c r="B4041" s="35"/>
      <c r="C4041" s="35"/>
      <c r="D4041" s="10"/>
      <c r="E4041" s="35" t="str">
        <f>IFERROR(__xludf.DUMMYFUNCTION("""COMPUTED_VALUE"""),"")</f>
        <v/>
      </c>
      <c r="F4041" s="35" t="str">
        <f>IFERROR(__xludf.DUMMYFUNCTION("""COMPUTED_VALUE"""),"1899")</f>
        <v>1899</v>
      </c>
      <c r="G4041" s="35"/>
      <c r="H4041" s="35" t="str">
        <f>IFERROR(__xludf.DUMMYFUNCTION("""COMPUTED_VALUE"""),"")</f>
        <v/>
      </c>
      <c r="I4041" s="35" t="str">
        <f>IFERROR(__xludf.DUMMYFUNCTION("""COMPUTED_VALUE"""),"")</f>
        <v/>
      </c>
      <c r="J4041" s="35" t="str">
        <f>IFERROR(__xludf.DUMMYFUNCTION("""COMPUTED_VALUE"""),"")</f>
        <v/>
      </c>
      <c r="K4041" s="35"/>
      <c r="L4041" s="35"/>
      <c r="M4041" s="35"/>
      <c r="N4041" s="35"/>
      <c r="O4041" s="35"/>
      <c r="P4041" s="35"/>
      <c r="Q4041" s="35"/>
      <c r="R4041" s="35"/>
      <c r="S4041" s="74"/>
      <c r="T4041" s="35"/>
      <c r="U4041" s="35"/>
      <c r="V4041" s="35"/>
      <c r="W4041" s="45"/>
    </row>
    <row r="4042">
      <c r="A4042" s="45"/>
      <c r="B4042" s="35"/>
      <c r="C4042" s="35"/>
      <c r="D4042" s="10"/>
      <c r="E4042" s="35" t="str">
        <f>IFERROR(__xludf.DUMMYFUNCTION("""COMPUTED_VALUE"""),"")</f>
        <v/>
      </c>
      <c r="F4042" s="35" t="str">
        <f>IFERROR(__xludf.DUMMYFUNCTION("""COMPUTED_VALUE"""),"1899")</f>
        <v>1899</v>
      </c>
      <c r="G4042" s="35"/>
      <c r="H4042" s="35" t="str">
        <f>IFERROR(__xludf.DUMMYFUNCTION("""COMPUTED_VALUE"""),"")</f>
        <v/>
      </c>
      <c r="I4042" s="35" t="str">
        <f>IFERROR(__xludf.DUMMYFUNCTION("""COMPUTED_VALUE"""),"")</f>
        <v/>
      </c>
      <c r="J4042" s="35" t="str">
        <f>IFERROR(__xludf.DUMMYFUNCTION("""COMPUTED_VALUE"""),"")</f>
        <v/>
      </c>
      <c r="K4042" s="35"/>
      <c r="L4042" s="35"/>
      <c r="M4042" s="35"/>
      <c r="N4042" s="35"/>
      <c r="O4042" s="35"/>
      <c r="P4042" s="35"/>
      <c r="Q4042" s="35"/>
      <c r="R4042" s="35"/>
      <c r="S4042" s="74"/>
      <c r="T4042" s="35"/>
      <c r="U4042" s="35"/>
      <c r="V4042" s="35"/>
      <c r="W4042" s="45"/>
    </row>
    <row r="4043">
      <c r="A4043" s="45"/>
      <c r="B4043" s="35"/>
      <c r="C4043" s="35"/>
      <c r="D4043" s="10"/>
      <c r="E4043" s="35" t="str">
        <f>IFERROR(__xludf.DUMMYFUNCTION("""COMPUTED_VALUE"""),"")</f>
        <v/>
      </c>
      <c r="F4043" s="35" t="str">
        <f>IFERROR(__xludf.DUMMYFUNCTION("""COMPUTED_VALUE"""),"1899")</f>
        <v>1899</v>
      </c>
      <c r="G4043" s="35"/>
      <c r="H4043" s="35" t="str">
        <f>IFERROR(__xludf.DUMMYFUNCTION("""COMPUTED_VALUE"""),"")</f>
        <v/>
      </c>
      <c r="I4043" s="35" t="str">
        <f>IFERROR(__xludf.DUMMYFUNCTION("""COMPUTED_VALUE"""),"")</f>
        <v/>
      </c>
      <c r="J4043" s="35" t="str">
        <f>IFERROR(__xludf.DUMMYFUNCTION("""COMPUTED_VALUE"""),"")</f>
        <v/>
      </c>
      <c r="K4043" s="35"/>
      <c r="L4043" s="35"/>
      <c r="M4043" s="35"/>
      <c r="N4043" s="35"/>
      <c r="O4043" s="35"/>
      <c r="P4043" s="35"/>
      <c r="Q4043" s="35"/>
      <c r="R4043" s="35"/>
      <c r="S4043" s="74"/>
      <c r="T4043" s="35"/>
      <c r="U4043" s="35"/>
      <c r="V4043" s="35"/>
      <c r="W4043" s="45"/>
    </row>
    <row r="4044">
      <c r="A4044" s="45"/>
      <c r="B4044" s="35"/>
      <c r="C4044" s="35"/>
      <c r="D4044" s="10"/>
      <c r="E4044" s="35" t="str">
        <f>IFERROR(__xludf.DUMMYFUNCTION("""COMPUTED_VALUE"""),"")</f>
        <v/>
      </c>
      <c r="F4044" s="35" t="str">
        <f>IFERROR(__xludf.DUMMYFUNCTION("""COMPUTED_VALUE"""),"1899")</f>
        <v>1899</v>
      </c>
      <c r="G4044" s="35"/>
      <c r="H4044" s="35" t="str">
        <f>IFERROR(__xludf.DUMMYFUNCTION("""COMPUTED_VALUE"""),"")</f>
        <v/>
      </c>
      <c r="I4044" s="35" t="str">
        <f>IFERROR(__xludf.DUMMYFUNCTION("""COMPUTED_VALUE"""),"")</f>
        <v/>
      </c>
      <c r="J4044" s="35" t="str">
        <f>IFERROR(__xludf.DUMMYFUNCTION("""COMPUTED_VALUE"""),"")</f>
        <v/>
      </c>
      <c r="K4044" s="35"/>
      <c r="L4044" s="35"/>
      <c r="M4044" s="35"/>
      <c r="N4044" s="35"/>
      <c r="O4044" s="35"/>
      <c r="P4044" s="35"/>
      <c r="Q4044" s="35"/>
      <c r="R4044" s="35"/>
      <c r="S4044" s="74"/>
      <c r="T4044" s="35"/>
      <c r="U4044" s="35"/>
      <c r="V4044" s="35"/>
      <c r="W4044" s="45"/>
    </row>
    <row r="4045">
      <c r="A4045" s="45"/>
      <c r="B4045" s="35"/>
      <c r="C4045" s="35"/>
      <c r="D4045" s="10"/>
      <c r="E4045" s="35" t="str">
        <f>IFERROR(__xludf.DUMMYFUNCTION("""COMPUTED_VALUE"""),"")</f>
        <v/>
      </c>
      <c r="F4045" s="35" t="str">
        <f>IFERROR(__xludf.DUMMYFUNCTION("""COMPUTED_VALUE"""),"1899")</f>
        <v>1899</v>
      </c>
      <c r="G4045" s="35"/>
      <c r="H4045" s="35" t="str">
        <f>IFERROR(__xludf.DUMMYFUNCTION("""COMPUTED_VALUE"""),"")</f>
        <v/>
      </c>
      <c r="I4045" s="35" t="str">
        <f>IFERROR(__xludf.DUMMYFUNCTION("""COMPUTED_VALUE"""),"")</f>
        <v/>
      </c>
      <c r="J4045" s="35" t="str">
        <f>IFERROR(__xludf.DUMMYFUNCTION("""COMPUTED_VALUE"""),"")</f>
        <v/>
      </c>
      <c r="K4045" s="35"/>
      <c r="L4045" s="35"/>
      <c r="M4045" s="35"/>
      <c r="N4045" s="35"/>
      <c r="O4045" s="35"/>
      <c r="P4045" s="35"/>
      <c r="Q4045" s="35"/>
      <c r="R4045" s="35"/>
      <c r="S4045" s="74"/>
      <c r="T4045" s="35"/>
      <c r="U4045" s="35"/>
      <c r="V4045" s="35"/>
      <c r="W4045" s="45"/>
    </row>
    <row r="4046">
      <c r="A4046" s="45"/>
      <c r="B4046" s="35"/>
      <c r="C4046" s="35"/>
      <c r="D4046" s="10"/>
      <c r="E4046" s="35" t="str">
        <f>IFERROR(__xludf.DUMMYFUNCTION("""COMPUTED_VALUE"""),"")</f>
        <v/>
      </c>
      <c r="F4046" s="35" t="str">
        <f>IFERROR(__xludf.DUMMYFUNCTION("""COMPUTED_VALUE"""),"1899")</f>
        <v>1899</v>
      </c>
      <c r="G4046" s="35"/>
      <c r="H4046" s="35" t="str">
        <f>IFERROR(__xludf.DUMMYFUNCTION("""COMPUTED_VALUE"""),"")</f>
        <v/>
      </c>
      <c r="I4046" s="35" t="str">
        <f>IFERROR(__xludf.DUMMYFUNCTION("""COMPUTED_VALUE"""),"")</f>
        <v/>
      </c>
      <c r="J4046" s="35" t="str">
        <f>IFERROR(__xludf.DUMMYFUNCTION("""COMPUTED_VALUE"""),"")</f>
        <v/>
      </c>
      <c r="K4046" s="35"/>
      <c r="L4046" s="35"/>
      <c r="M4046" s="35"/>
      <c r="N4046" s="35"/>
      <c r="O4046" s="35"/>
      <c r="P4046" s="35"/>
      <c r="Q4046" s="35"/>
      <c r="R4046" s="35"/>
      <c r="S4046" s="74"/>
      <c r="T4046" s="35"/>
      <c r="U4046" s="35"/>
      <c r="V4046" s="35"/>
      <c r="W4046" s="45"/>
    </row>
    <row r="4047">
      <c r="A4047" s="45"/>
      <c r="B4047" s="35"/>
      <c r="C4047" s="35"/>
      <c r="D4047" s="10"/>
      <c r="E4047" s="35" t="str">
        <f>IFERROR(__xludf.DUMMYFUNCTION("""COMPUTED_VALUE"""),"")</f>
        <v/>
      </c>
      <c r="F4047" s="35" t="str">
        <f>IFERROR(__xludf.DUMMYFUNCTION("""COMPUTED_VALUE"""),"1899")</f>
        <v>1899</v>
      </c>
      <c r="G4047" s="35"/>
      <c r="H4047" s="35" t="str">
        <f>IFERROR(__xludf.DUMMYFUNCTION("""COMPUTED_VALUE"""),"")</f>
        <v/>
      </c>
      <c r="I4047" s="35" t="str">
        <f>IFERROR(__xludf.DUMMYFUNCTION("""COMPUTED_VALUE"""),"")</f>
        <v/>
      </c>
      <c r="J4047" s="35" t="str">
        <f>IFERROR(__xludf.DUMMYFUNCTION("""COMPUTED_VALUE"""),"")</f>
        <v/>
      </c>
      <c r="K4047" s="35"/>
      <c r="L4047" s="35"/>
      <c r="M4047" s="35"/>
      <c r="N4047" s="35"/>
      <c r="O4047" s="35"/>
      <c r="P4047" s="35"/>
      <c r="Q4047" s="35"/>
      <c r="R4047" s="35"/>
      <c r="S4047" s="74"/>
      <c r="T4047" s="35"/>
      <c r="U4047" s="35"/>
      <c r="V4047" s="35"/>
      <c r="W4047" s="45"/>
    </row>
    <row r="4048">
      <c r="A4048" s="45"/>
      <c r="B4048" s="35"/>
      <c r="C4048" s="35"/>
      <c r="D4048" s="10"/>
      <c r="E4048" s="35" t="str">
        <f>IFERROR(__xludf.DUMMYFUNCTION("""COMPUTED_VALUE"""),"")</f>
        <v/>
      </c>
      <c r="F4048" s="35" t="str">
        <f>IFERROR(__xludf.DUMMYFUNCTION("""COMPUTED_VALUE"""),"1899")</f>
        <v>1899</v>
      </c>
      <c r="G4048" s="35"/>
      <c r="H4048" s="35" t="str">
        <f>IFERROR(__xludf.DUMMYFUNCTION("""COMPUTED_VALUE"""),"")</f>
        <v/>
      </c>
      <c r="I4048" s="35" t="str">
        <f>IFERROR(__xludf.DUMMYFUNCTION("""COMPUTED_VALUE"""),"")</f>
        <v/>
      </c>
      <c r="J4048" s="35" t="str">
        <f>IFERROR(__xludf.DUMMYFUNCTION("""COMPUTED_VALUE"""),"")</f>
        <v/>
      </c>
      <c r="K4048" s="35"/>
      <c r="L4048" s="35"/>
      <c r="M4048" s="35"/>
      <c r="N4048" s="35"/>
      <c r="O4048" s="35"/>
      <c r="P4048" s="35"/>
      <c r="Q4048" s="35"/>
      <c r="R4048" s="35"/>
      <c r="S4048" s="74"/>
      <c r="T4048" s="35"/>
      <c r="U4048" s="35"/>
      <c r="V4048" s="35"/>
      <c r="W4048" s="45"/>
    </row>
    <row r="4049">
      <c r="A4049" s="45"/>
      <c r="B4049" s="35"/>
      <c r="C4049" s="35"/>
      <c r="D4049" s="10"/>
      <c r="E4049" s="35" t="str">
        <f>IFERROR(__xludf.DUMMYFUNCTION("""COMPUTED_VALUE"""),"")</f>
        <v/>
      </c>
      <c r="F4049" s="35" t="str">
        <f>IFERROR(__xludf.DUMMYFUNCTION("""COMPUTED_VALUE"""),"1899")</f>
        <v>1899</v>
      </c>
      <c r="G4049" s="35"/>
      <c r="H4049" s="35" t="str">
        <f>IFERROR(__xludf.DUMMYFUNCTION("""COMPUTED_VALUE"""),"")</f>
        <v/>
      </c>
      <c r="I4049" s="35" t="str">
        <f>IFERROR(__xludf.DUMMYFUNCTION("""COMPUTED_VALUE"""),"")</f>
        <v/>
      </c>
      <c r="J4049" s="35" t="str">
        <f>IFERROR(__xludf.DUMMYFUNCTION("""COMPUTED_VALUE"""),"")</f>
        <v/>
      </c>
      <c r="K4049" s="35"/>
      <c r="L4049" s="35"/>
      <c r="M4049" s="35"/>
      <c r="N4049" s="35"/>
      <c r="O4049" s="35"/>
      <c r="P4049" s="35"/>
      <c r="Q4049" s="35"/>
      <c r="R4049" s="35"/>
      <c r="S4049" s="74"/>
      <c r="T4049" s="35"/>
      <c r="U4049" s="35"/>
      <c r="V4049" s="35"/>
      <c r="W4049" s="45"/>
    </row>
    <row r="4050">
      <c r="A4050" s="45"/>
      <c r="B4050" s="35"/>
      <c r="C4050" s="35"/>
      <c r="D4050" s="10"/>
      <c r="E4050" s="35" t="str">
        <f>IFERROR(__xludf.DUMMYFUNCTION("""COMPUTED_VALUE"""),"")</f>
        <v/>
      </c>
      <c r="F4050" s="35" t="str">
        <f>IFERROR(__xludf.DUMMYFUNCTION("""COMPUTED_VALUE"""),"1899")</f>
        <v>1899</v>
      </c>
      <c r="G4050" s="35"/>
      <c r="H4050" s="35" t="str">
        <f>IFERROR(__xludf.DUMMYFUNCTION("""COMPUTED_VALUE"""),"")</f>
        <v/>
      </c>
      <c r="I4050" s="35" t="str">
        <f>IFERROR(__xludf.DUMMYFUNCTION("""COMPUTED_VALUE"""),"")</f>
        <v/>
      </c>
      <c r="J4050" s="35" t="str">
        <f>IFERROR(__xludf.DUMMYFUNCTION("""COMPUTED_VALUE"""),"")</f>
        <v/>
      </c>
      <c r="K4050" s="35"/>
      <c r="L4050" s="35"/>
      <c r="M4050" s="35"/>
      <c r="N4050" s="35"/>
      <c r="O4050" s="35"/>
      <c r="P4050" s="35"/>
      <c r="Q4050" s="35"/>
      <c r="R4050" s="35"/>
      <c r="S4050" s="74"/>
      <c r="T4050" s="35"/>
      <c r="U4050" s="35"/>
      <c r="V4050" s="35"/>
      <c r="W4050" s="45"/>
    </row>
    <row r="4051">
      <c r="A4051" s="45"/>
      <c r="B4051" s="35"/>
      <c r="C4051" s="35"/>
      <c r="D4051" s="10"/>
      <c r="E4051" s="35" t="str">
        <f>IFERROR(__xludf.DUMMYFUNCTION("""COMPUTED_VALUE"""),"")</f>
        <v/>
      </c>
      <c r="F4051" s="35" t="str">
        <f>IFERROR(__xludf.DUMMYFUNCTION("""COMPUTED_VALUE"""),"1899")</f>
        <v>1899</v>
      </c>
      <c r="G4051" s="35"/>
      <c r="H4051" s="35" t="str">
        <f>IFERROR(__xludf.DUMMYFUNCTION("""COMPUTED_VALUE"""),"")</f>
        <v/>
      </c>
      <c r="I4051" s="35" t="str">
        <f>IFERROR(__xludf.DUMMYFUNCTION("""COMPUTED_VALUE"""),"")</f>
        <v/>
      </c>
      <c r="J4051" s="35" t="str">
        <f>IFERROR(__xludf.DUMMYFUNCTION("""COMPUTED_VALUE"""),"")</f>
        <v/>
      </c>
      <c r="K4051" s="35"/>
      <c r="L4051" s="35"/>
      <c r="M4051" s="35"/>
      <c r="N4051" s="35"/>
      <c r="O4051" s="35"/>
      <c r="P4051" s="35"/>
      <c r="Q4051" s="35"/>
      <c r="R4051" s="35"/>
      <c r="S4051" s="74"/>
      <c r="T4051" s="35"/>
      <c r="U4051" s="35"/>
      <c r="V4051" s="35"/>
      <c r="W4051" s="45"/>
    </row>
    <row r="4052">
      <c r="A4052" s="45"/>
      <c r="B4052" s="35"/>
      <c r="C4052" s="35"/>
      <c r="D4052" s="10"/>
      <c r="E4052" s="35" t="str">
        <f>IFERROR(__xludf.DUMMYFUNCTION("""COMPUTED_VALUE"""),"")</f>
        <v/>
      </c>
      <c r="F4052" s="35" t="str">
        <f>IFERROR(__xludf.DUMMYFUNCTION("""COMPUTED_VALUE"""),"1899")</f>
        <v>1899</v>
      </c>
      <c r="G4052" s="35"/>
      <c r="H4052" s="35" t="str">
        <f>IFERROR(__xludf.DUMMYFUNCTION("""COMPUTED_VALUE"""),"")</f>
        <v/>
      </c>
      <c r="I4052" s="35" t="str">
        <f>IFERROR(__xludf.DUMMYFUNCTION("""COMPUTED_VALUE"""),"")</f>
        <v/>
      </c>
      <c r="J4052" s="35" t="str">
        <f>IFERROR(__xludf.DUMMYFUNCTION("""COMPUTED_VALUE"""),"")</f>
        <v/>
      </c>
      <c r="K4052" s="35"/>
      <c r="L4052" s="35"/>
      <c r="M4052" s="35"/>
      <c r="N4052" s="35"/>
      <c r="O4052" s="35"/>
      <c r="P4052" s="35"/>
      <c r="Q4052" s="35"/>
      <c r="R4052" s="35"/>
      <c r="S4052" s="74"/>
      <c r="T4052" s="35"/>
      <c r="U4052" s="35"/>
      <c r="V4052" s="35"/>
      <c r="W4052" s="45"/>
    </row>
    <row r="4053">
      <c r="A4053" s="45"/>
      <c r="B4053" s="35"/>
      <c r="C4053" s="35"/>
      <c r="D4053" s="10"/>
      <c r="E4053" s="35" t="str">
        <f>IFERROR(__xludf.DUMMYFUNCTION("""COMPUTED_VALUE"""),"")</f>
        <v/>
      </c>
      <c r="F4053" s="35" t="str">
        <f>IFERROR(__xludf.DUMMYFUNCTION("""COMPUTED_VALUE"""),"1899")</f>
        <v>1899</v>
      </c>
      <c r="G4053" s="35"/>
      <c r="H4053" s="35" t="str">
        <f>IFERROR(__xludf.DUMMYFUNCTION("""COMPUTED_VALUE"""),"")</f>
        <v/>
      </c>
      <c r="I4053" s="35" t="str">
        <f>IFERROR(__xludf.DUMMYFUNCTION("""COMPUTED_VALUE"""),"")</f>
        <v/>
      </c>
      <c r="J4053" s="35" t="str">
        <f>IFERROR(__xludf.DUMMYFUNCTION("""COMPUTED_VALUE"""),"")</f>
        <v/>
      </c>
      <c r="K4053" s="35"/>
      <c r="L4053" s="35"/>
      <c r="M4053" s="35"/>
      <c r="N4053" s="35"/>
      <c r="O4053" s="35"/>
      <c r="P4053" s="35"/>
      <c r="Q4053" s="35"/>
      <c r="R4053" s="35"/>
      <c r="S4053" s="74"/>
      <c r="T4053" s="35"/>
      <c r="U4053" s="35"/>
      <c r="V4053" s="35"/>
      <c r="W4053" s="45"/>
    </row>
    <row r="4054">
      <c r="A4054" s="45"/>
      <c r="B4054" s="35"/>
      <c r="C4054" s="35"/>
      <c r="D4054" s="10"/>
      <c r="E4054" s="35" t="str">
        <f>IFERROR(__xludf.DUMMYFUNCTION("""COMPUTED_VALUE"""),"")</f>
        <v/>
      </c>
      <c r="F4054" s="35" t="str">
        <f>IFERROR(__xludf.DUMMYFUNCTION("""COMPUTED_VALUE"""),"1899")</f>
        <v>1899</v>
      </c>
      <c r="G4054" s="35"/>
      <c r="H4054" s="35" t="str">
        <f>IFERROR(__xludf.DUMMYFUNCTION("""COMPUTED_VALUE"""),"")</f>
        <v/>
      </c>
      <c r="I4054" s="35" t="str">
        <f>IFERROR(__xludf.DUMMYFUNCTION("""COMPUTED_VALUE"""),"")</f>
        <v/>
      </c>
      <c r="J4054" s="35" t="str">
        <f>IFERROR(__xludf.DUMMYFUNCTION("""COMPUTED_VALUE"""),"")</f>
        <v/>
      </c>
      <c r="K4054" s="35"/>
      <c r="L4054" s="35"/>
      <c r="M4054" s="35"/>
      <c r="N4054" s="35"/>
      <c r="O4054" s="35"/>
      <c r="P4054" s="35"/>
      <c r="Q4054" s="35"/>
      <c r="R4054" s="35"/>
      <c r="S4054" s="74"/>
      <c r="T4054" s="35"/>
      <c r="U4054" s="35"/>
      <c r="V4054" s="35"/>
      <c r="W4054" s="45"/>
    </row>
    <row r="4055">
      <c r="A4055" s="45"/>
      <c r="B4055" s="35"/>
      <c r="C4055" s="35"/>
      <c r="D4055" s="10"/>
      <c r="E4055" s="35" t="str">
        <f>IFERROR(__xludf.DUMMYFUNCTION("""COMPUTED_VALUE"""),"")</f>
        <v/>
      </c>
      <c r="F4055" s="35" t="str">
        <f>IFERROR(__xludf.DUMMYFUNCTION("""COMPUTED_VALUE"""),"1899")</f>
        <v>1899</v>
      </c>
      <c r="G4055" s="35"/>
      <c r="H4055" s="35" t="str">
        <f>IFERROR(__xludf.DUMMYFUNCTION("""COMPUTED_VALUE"""),"")</f>
        <v/>
      </c>
      <c r="I4055" s="35" t="str">
        <f>IFERROR(__xludf.DUMMYFUNCTION("""COMPUTED_VALUE"""),"")</f>
        <v/>
      </c>
      <c r="J4055" s="35" t="str">
        <f>IFERROR(__xludf.DUMMYFUNCTION("""COMPUTED_VALUE"""),"")</f>
        <v/>
      </c>
      <c r="K4055" s="35"/>
      <c r="L4055" s="35"/>
      <c r="M4055" s="35"/>
      <c r="N4055" s="35"/>
      <c r="O4055" s="35"/>
      <c r="P4055" s="35"/>
      <c r="Q4055" s="35"/>
      <c r="R4055" s="35"/>
      <c r="S4055" s="74"/>
      <c r="T4055" s="35"/>
      <c r="U4055" s="35"/>
      <c r="V4055" s="35"/>
      <c r="W4055" s="45"/>
    </row>
    <row r="4056">
      <c r="A4056" s="45"/>
      <c r="B4056" s="35"/>
      <c r="C4056" s="35"/>
      <c r="D4056" s="10"/>
      <c r="E4056" s="35" t="str">
        <f>IFERROR(__xludf.DUMMYFUNCTION("""COMPUTED_VALUE"""),"")</f>
        <v/>
      </c>
      <c r="F4056" s="35" t="str">
        <f>IFERROR(__xludf.DUMMYFUNCTION("""COMPUTED_VALUE"""),"1899")</f>
        <v>1899</v>
      </c>
      <c r="G4056" s="35"/>
      <c r="H4056" s="35" t="str">
        <f>IFERROR(__xludf.DUMMYFUNCTION("""COMPUTED_VALUE"""),"")</f>
        <v/>
      </c>
      <c r="I4056" s="35" t="str">
        <f>IFERROR(__xludf.DUMMYFUNCTION("""COMPUTED_VALUE"""),"")</f>
        <v/>
      </c>
      <c r="J4056" s="35" t="str">
        <f>IFERROR(__xludf.DUMMYFUNCTION("""COMPUTED_VALUE"""),"")</f>
        <v/>
      </c>
      <c r="K4056" s="35"/>
      <c r="L4056" s="35"/>
      <c r="M4056" s="35"/>
      <c r="N4056" s="35"/>
      <c r="O4056" s="35"/>
      <c r="P4056" s="35"/>
      <c r="Q4056" s="35"/>
      <c r="R4056" s="35"/>
      <c r="S4056" s="74"/>
      <c r="T4056" s="35"/>
      <c r="U4056" s="35"/>
      <c r="V4056" s="35"/>
      <c r="W4056" s="45"/>
    </row>
    <row r="4057">
      <c r="A4057" s="45"/>
      <c r="B4057" s="35"/>
      <c r="C4057" s="35"/>
      <c r="D4057" s="10"/>
      <c r="E4057" s="35" t="str">
        <f>IFERROR(__xludf.DUMMYFUNCTION("""COMPUTED_VALUE"""),"")</f>
        <v/>
      </c>
      <c r="F4057" s="35" t="str">
        <f>IFERROR(__xludf.DUMMYFUNCTION("""COMPUTED_VALUE"""),"1899")</f>
        <v>1899</v>
      </c>
      <c r="G4057" s="35"/>
      <c r="H4057" s="35" t="str">
        <f>IFERROR(__xludf.DUMMYFUNCTION("""COMPUTED_VALUE"""),"")</f>
        <v/>
      </c>
      <c r="I4057" s="35" t="str">
        <f>IFERROR(__xludf.DUMMYFUNCTION("""COMPUTED_VALUE"""),"")</f>
        <v/>
      </c>
      <c r="J4057" s="35" t="str">
        <f>IFERROR(__xludf.DUMMYFUNCTION("""COMPUTED_VALUE"""),"")</f>
        <v/>
      </c>
      <c r="K4057" s="35"/>
      <c r="L4057" s="35"/>
      <c r="M4057" s="35"/>
      <c r="N4057" s="35"/>
      <c r="O4057" s="35"/>
      <c r="P4057" s="35"/>
      <c r="Q4057" s="35"/>
      <c r="R4057" s="35"/>
      <c r="S4057" s="74"/>
      <c r="T4057" s="35"/>
      <c r="U4057" s="35"/>
      <c r="V4057" s="35"/>
      <c r="W4057" s="45"/>
    </row>
    <row r="4058">
      <c r="A4058" s="45"/>
      <c r="B4058" s="35"/>
      <c r="C4058" s="35"/>
      <c r="D4058" s="10"/>
      <c r="E4058" s="35" t="str">
        <f>IFERROR(__xludf.DUMMYFUNCTION("""COMPUTED_VALUE"""),"")</f>
        <v/>
      </c>
      <c r="F4058" s="35" t="str">
        <f>IFERROR(__xludf.DUMMYFUNCTION("""COMPUTED_VALUE"""),"1899")</f>
        <v>1899</v>
      </c>
      <c r="G4058" s="35"/>
      <c r="H4058" s="35" t="str">
        <f>IFERROR(__xludf.DUMMYFUNCTION("""COMPUTED_VALUE"""),"")</f>
        <v/>
      </c>
      <c r="I4058" s="35" t="str">
        <f>IFERROR(__xludf.DUMMYFUNCTION("""COMPUTED_VALUE"""),"")</f>
        <v/>
      </c>
      <c r="J4058" s="35" t="str">
        <f>IFERROR(__xludf.DUMMYFUNCTION("""COMPUTED_VALUE"""),"")</f>
        <v/>
      </c>
      <c r="K4058" s="35"/>
      <c r="L4058" s="35"/>
      <c r="M4058" s="35"/>
      <c r="N4058" s="35"/>
      <c r="O4058" s="35"/>
      <c r="P4058" s="35"/>
      <c r="Q4058" s="35"/>
      <c r="R4058" s="35"/>
      <c r="S4058" s="74"/>
      <c r="T4058" s="35"/>
      <c r="U4058" s="35"/>
      <c r="V4058" s="35"/>
      <c r="W4058" s="45"/>
    </row>
    <row r="4059">
      <c r="A4059" s="45"/>
      <c r="B4059" s="35"/>
      <c r="C4059" s="35"/>
      <c r="D4059" s="10"/>
      <c r="E4059" s="35" t="str">
        <f>IFERROR(__xludf.DUMMYFUNCTION("""COMPUTED_VALUE"""),"")</f>
        <v/>
      </c>
      <c r="F4059" s="35" t="str">
        <f>IFERROR(__xludf.DUMMYFUNCTION("""COMPUTED_VALUE"""),"1899")</f>
        <v>1899</v>
      </c>
      <c r="G4059" s="35"/>
      <c r="H4059" s="35" t="str">
        <f>IFERROR(__xludf.DUMMYFUNCTION("""COMPUTED_VALUE"""),"")</f>
        <v/>
      </c>
      <c r="I4059" s="35" t="str">
        <f>IFERROR(__xludf.DUMMYFUNCTION("""COMPUTED_VALUE"""),"")</f>
        <v/>
      </c>
      <c r="J4059" s="35" t="str">
        <f>IFERROR(__xludf.DUMMYFUNCTION("""COMPUTED_VALUE"""),"")</f>
        <v/>
      </c>
      <c r="K4059" s="35"/>
      <c r="L4059" s="35"/>
      <c r="M4059" s="35"/>
      <c r="N4059" s="35"/>
      <c r="O4059" s="35"/>
      <c r="P4059" s="35"/>
      <c r="Q4059" s="35"/>
      <c r="R4059" s="35"/>
      <c r="S4059" s="74"/>
      <c r="T4059" s="35"/>
      <c r="U4059" s="35"/>
      <c r="V4059" s="35"/>
      <c r="W4059" s="45"/>
    </row>
    <row r="4060">
      <c r="A4060" s="45"/>
      <c r="B4060" s="35"/>
      <c r="C4060" s="35"/>
      <c r="D4060" s="10"/>
      <c r="E4060" s="35" t="str">
        <f>IFERROR(__xludf.DUMMYFUNCTION("""COMPUTED_VALUE"""),"")</f>
        <v/>
      </c>
      <c r="F4060" s="35" t="str">
        <f>IFERROR(__xludf.DUMMYFUNCTION("""COMPUTED_VALUE"""),"1899")</f>
        <v>1899</v>
      </c>
      <c r="G4060" s="35"/>
      <c r="H4060" s="35" t="str">
        <f>IFERROR(__xludf.DUMMYFUNCTION("""COMPUTED_VALUE"""),"")</f>
        <v/>
      </c>
      <c r="I4060" s="35" t="str">
        <f>IFERROR(__xludf.DUMMYFUNCTION("""COMPUTED_VALUE"""),"")</f>
        <v/>
      </c>
      <c r="J4060" s="35" t="str">
        <f>IFERROR(__xludf.DUMMYFUNCTION("""COMPUTED_VALUE"""),"")</f>
        <v/>
      </c>
      <c r="K4060" s="35"/>
      <c r="L4060" s="35"/>
      <c r="M4060" s="35"/>
      <c r="N4060" s="35"/>
      <c r="O4060" s="35"/>
      <c r="P4060" s="35"/>
      <c r="Q4060" s="35"/>
      <c r="R4060" s="35"/>
      <c r="S4060" s="74"/>
      <c r="T4060" s="35"/>
      <c r="U4060" s="35"/>
      <c r="V4060" s="35"/>
      <c r="W4060" s="45"/>
    </row>
    <row r="4061">
      <c r="A4061" s="45"/>
      <c r="B4061" s="35"/>
      <c r="C4061" s="35"/>
      <c r="D4061" s="10"/>
      <c r="E4061" s="35" t="str">
        <f>IFERROR(__xludf.DUMMYFUNCTION("""COMPUTED_VALUE"""),"")</f>
        <v/>
      </c>
      <c r="F4061" s="35" t="str">
        <f>IFERROR(__xludf.DUMMYFUNCTION("""COMPUTED_VALUE"""),"1899")</f>
        <v>1899</v>
      </c>
      <c r="G4061" s="35"/>
      <c r="H4061" s="35" t="str">
        <f>IFERROR(__xludf.DUMMYFUNCTION("""COMPUTED_VALUE"""),"")</f>
        <v/>
      </c>
      <c r="I4061" s="35" t="str">
        <f>IFERROR(__xludf.DUMMYFUNCTION("""COMPUTED_VALUE"""),"")</f>
        <v/>
      </c>
      <c r="J4061" s="35" t="str">
        <f>IFERROR(__xludf.DUMMYFUNCTION("""COMPUTED_VALUE"""),"")</f>
        <v/>
      </c>
      <c r="K4061" s="35"/>
      <c r="L4061" s="35"/>
      <c r="M4061" s="35"/>
      <c r="N4061" s="35"/>
      <c r="O4061" s="35"/>
      <c r="P4061" s="35"/>
      <c r="Q4061" s="35"/>
      <c r="R4061" s="35"/>
      <c r="S4061" s="74"/>
      <c r="T4061" s="35"/>
      <c r="U4061" s="35"/>
      <c r="V4061" s="35"/>
      <c r="W4061" s="45"/>
    </row>
    <row r="4062">
      <c r="A4062" s="45"/>
      <c r="B4062" s="35"/>
      <c r="C4062" s="35"/>
      <c r="D4062" s="10"/>
      <c r="E4062" s="35" t="str">
        <f>IFERROR(__xludf.DUMMYFUNCTION("""COMPUTED_VALUE"""),"")</f>
        <v/>
      </c>
      <c r="F4062" s="35" t="str">
        <f>IFERROR(__xludf.DUMMYFUNCTION("""COMPUTED_VALUE"""),"1899")</f>
        <v>1899</v>
      </c>
      <c r="G4062" s="35"/>
      <c r="H4062" s="35" t="str">
        <f>IFERROR(__xludf.DUMMYFUNCTION("""COMPUTED_VALUE"""),"")</f>
        <v/>
      </c>
      <c r="I4062" s="35" t="str">
        <f>IFERROR(__xludf.DUMMYFUNCTION("""COMPUTED_VALUE"""),"")</f>
        <v/>
      </c>
      <c r="J4062" s="35" t="str">
        <f>IFERROR(__xludf.DUMMYFUNCTION("""COMPUTED_VALUE"""),"")</f>
        <v/>
      </c>
      <c r="K4062" s="35"/>
      <c r="L4062" s="35"/>
      <c r="M4062" s="35"/>
      <c r="N4062" s="35"/>
      <c r="O4062" s="35"/>
      <c r="P4062" s="35"/>
      <c r="Q4062" s="35"/>
      <c r="R4062" s="35"/>
      <c r="S4062" s="74"/>
      <c r="T4062" s="35"/>
      <c r="U4062" s="35"/>
      <c r="V4062" s="35"/>
      <c r="W4062" s="45"/>
    </row>
    <row r="4063">
      <c r="A4063" s="45"/>
      <c r="B4063" s="35"/>
      <c r="C4063" s="35"/>
      <c r="D4063" s="10"/>
      <c r="E4063" s="35" t="str">
        <f>IFERROR(__xludf.DUMMYFUNCTION("""COMPUTED_VALUE"""),"")</f>
        <v/>
      </c>
      <c r="F4063" s="35" t="str">
        <f>IFERROR(__xludf.DUMMYFUNCTION("""COMPUTED_VALUE"""),"1899")</f>
        <v>1899</v>
      </c>
      <c r="G4063" s="35"/>
      <c r="H4063" s="35" t="str">
        <f>IFERROR(__xludf.DUMMYFUNCTION("""COMPUTED_VALUE"""),"")</f>
        <v/>
      </c>
      <c r="I4063" s="35" t="str">
        <f>IFERROR(__xludf.DUMMYFUNCTION("""COMPUTED_VALUE"""),"")</f>
        <v/>
      </c>
      <c r="J4063" s="35" t="str">
        <f>IFERROR(__xludf.DUMMYFUNCTION("""COMPUTED_VALUE"""),"")</f>
        <v/>
      </c>
      <c r="K4063" s="35"/>
      <c r="L4063" s="35"/>
      <c r="M4063" s="35"/>
      <c r="N4063" s="35"/>
      <c r="O4063" s="35"/>
      <c r="P4063" s="35"/>
      <c r="Q4063" s="35"/>
      <c r="R4063" s="35"/>
      <c r="S4063" s="74"/>
      <c r="T4063" s="35"/>
      <c r="U4063" s="35"/>
      <c r="V4063" s="35"/>
      <c r="W4063" s="45"/>
    </row>
    <row r="4064">
      <c r="A4064" s="45"/>
      <c r="B4064" s="35"/>
      <c r="C4064" s="35"/>
      <c r="D4064" s="10"/>
      <c r="E4064" s="35" t="str">
        <f>IFERROR(__xludf.DUMMYFUNCTION("""COMPUTED_VALUE"""),"")</f>
        <v/>
      </c>
      <c r="F4064" s="35" t="str">
        <f>IFERROR(__xludf.DUMMYFUNCTION("""COMPUTED_VALUE"""),"1899")</f>
        <v>1899</v>
      </c>
      <c r="G4064" s="35"/>
      <c r="H4064" s="35" t="str">
        <f>IFERROR(__xludf.DUMMYFUNCTION("""COMPUTED_VALUE"""),"")</f>
        <v/>
      </c>
      <c r="I4064" s="35" t="str">
        <f>IFERROR(__xludf.DUMMYFUNCTION("""COMPUTED_VALUE"""),"")</f>
        <v/>
      </c>
      <c r="J4064" s="35" t="str">
        <f>IFERROR(__xludf.DUMMYFUNCTION("""COMPUTED_VALUE"""),"")</f>
        <v/>
      </c>
      <c r="K4064" s="35"/>
      <c r="L4064" s="35"/>
      <c r="M4064" s="35"/>
      <c r="N4064" s="35"/>
      <c r="O4064" s="35"/>
      <c r="P4064" s="35"/>
      <c r="Q4064" s="35"/>
      <c r="R4064" s="35"/>
      <c r="S4064" s="74"/>
      <c r="T4064" s="35"/>
      <c r="U4064" s="35"/>
      <c r="V4064" s="35"/>
      <c r="W4064" s="45"/>
    </row>
    <row r="4065">
      <c r="A4065" s="45"/>
      <c r="B4065" s="35"/>
      <c r="C4065" s="35"/>
      <c r="D4065" s="10"/>
      <c r="E4065" s="35" t="str">
        <f>IFERROR(__xludf.DUMMYFUNCTION("""COMPUTED_VALUE"""),"")</f>
        <v/>
      </c>
      <c r="F4065" s="35" t="str">
        <f>IFERROR(__xludf.DUMMYFUNCTION("""COMPUTED_VALUE"""),"1899")</f>
        <v>1899</v>
      </c>
      <c r="G4065" s="35"/>
      <c r="H4065" s="35" t="str">
        <f>IFERROR(__xludf.DUMMYFUNCTION("""COMPUTED_VALUE"""),"")</f>
        <v/>
      </c>
      <c r="I4065" s="35" t="str">
        <f>IFERROR(__xludf.DUMMYFUNCTION("""COMPUTED_VALUE"""),"")</f>
        <v/>
      </c>
      <c r="J4065" s="35" t="str">
        <f>IFERROR(__xludf.DUMMYFUNCTION("""COMPUTED_VALUE"""),"")</f>
        <v/>
      </c>
      <c r="K4065" s="35"/>
      <c r="L4065" s="35"/>
      <c r="M4065" s="35"/>
      <c r="N4065" s="35"/>
      <c r="O4065" s="35"/>
      <c r="P4065" s="35"/>
      <c r="Q4065" s="35"/>
      <c r="R4065" s="35"/>
      <c r="S4065" s="74"/>
      <c r="T4065" s="35"/>
      <c r="U4065" s="35"/>
      <c r="V4065" s="35"/>
      <c r="W4065" s="45"/>
    </row>
    <row r="4066">
      <c r="A4066" s="45"/>
      <c r="B4066" s="35"/>
      <c r="C4066" s="35"/>
      <c r="D4066" s="10"/>
      <c r="E4066" s="35" t="str">
        <f>IFERROR(__xludf.DUMMYFUNCTION("""COMPUTED_VALUE"""),"")</f>
        <v/>
      </c>
      <c r="F4066" s="35" t="str">
        <f>IFERROR(__xludf.DUMMYFUNCTION("""COMPUTED_VALUE"""),"1899")</f>
        <v>1899</v>
      </c>
      <c r="G4066" s="35"/>
      <c r="H4066" s="35" t="str">
        <f>IFERROR(__xludf.DUMMYFUNCTION("""COMPUTED_VALUE"""),"")</f>
        <v/>
      </c>
      <c r="I4066" s="35" t="str">
        <f>IFERROR(__xludf.DUMMYFUNCTION("""COMPUTED_VALUE"""),"")</f>
        <v/>
      </c>
      <c r="J4066" s="35" t="str">
        <f>IFERROR(__xludf.DUMMYFUNCTION("""COMPUTED_VALUE"""),"")</f>
        <v/>
      </c>
      <c r="K4066" s="35"/>
      <c r="L4066" s="35"/>
      <c r="M4066" s="35"/>
      <c r="N4066" s="35"/>
      <c r="O4066" s="35"/>
      <c r="P4066" s="35"/>
      <c r="Q4066" s="35"/>
      <c r="R4066" s="35"/>
      <c r="S4066" s="74"/>
      <c r="T4066" s="35"/>
      <c r="U4066" s="35"/>
      <c r="V4066" s="35"/>
      <c r="W4066" s="45"/>
    </row>
    <row r="4067">
      <c r="A4067" s="45"/>
      <c r="B4067" s="35"/>
      <c r="C4067" s="35"/>
      <c r="D4067" s="10"/>
      <c r="E4067" s="35" t="str">
        <f>IFERROR(__xludf.DUMMYFUNCTION("""COMPUTED_VALUE"""),"")</f>
        <v/>
      </c>
      <c r="F4067" s="35" t="str">
        <f>IFERROR(__xludf.DUMMYFUNCTION("""COMPUTED_VALUE"""),"1899")</f>
        <v>1899</v>
      </c>
      <c r="G4067" s="35"/>
      <c r="H4067" s="35" t="str">
        <f>IFERROR(__xludf.DUMMYFUNCTION("""COMPUTED_VALUE"""),"")</f>
        <v/>
      </c>
      <c r="I4067" s="35" t="str">
        <f>IFERROR(__xludf.DUMMYFUNCTION("""COMPUTED_VALUE"""),"")</f>
        <v/>
      </c>
      <c r="J4067" s="35" t="str">
        <f>IFERROR(__xludf.DUMMYFUNCTION("""COMPUTED_VALUE"""),"")</f>
        <v/>
      </c>
      <c r="K4067" s="35"/>
      <c r="L4067" s="35"/>
      <c r="M4067" s="35"/>
      <c r="N4067" s="35"/>
      <c r="O4067" s="35"/>
      <c r="P4067" s="35"/>
      <c r="Q4067" s="35"/>
      <c r="R4067" s="35"/>
      <c r="S4067" s="74"/>
      <c r="T4067" s="35"/>
      <c r="U4067" s="35"/>
      <c r="V4067" s="35"/>
      <c r="W4067" s="45"/>
    </row>
    <row r="4068">
      <c r="A4068" s="45"/>
      <c r="B4068" s="35"/>
      <c r="C4068" s="35"/>
      <c r="D4068" s="10"/>
      <c r="E4068" s="35" t="str">
        <f>IFERROR(__xludf.DUMMYFUNCTION("""COMPUTED_VALUE"""),"")</f>
        <v/>
      </c>
      <c r="F4068" s="35" t="str">
        <f>IFERROR(__xludf.DUMMYFUNCTION("""COMPUTED_VALUE"""),"1899")</f>
        <v>1899</v>
      </c>
      <c r="G4068" s="35"/>
      <c r="H4068" s="35" t="str">
        <f>IFERROR(__xludf.DUMMYFUNCTION("""COMPUTED_VALUE"""),"")</f>
        <v/>
      </c>
      <c r="I4068" s="35" t="str">
        <f>IFERROR(__xludf.DUMMYFUNCTION("""COMPUTED_VALUE"""),"")</f>
        <v/>
      </c>
      <c r="J4068" s="35" t="str">
        <f>IFERROR(__xludf.DUMMYFUNCTION("""COMPUTED_VALUE"""),"")</f>
        <v/>
      </c>
      <c r="K4068" s="35"/>
      <c r="L4068" s="35"/>
      <c r="M4068" s="35"/>
      <c r="N4068" s="35"/>
      <c r="O4068" s="35"/>
      <c r="P4068" s="35"/>
      <c r="Q4068" s="35"/>
      <c r="R4068" s="35"/>
      <c r="S4068" s="74"/>
      <c r="T4068" s="35"/>
      <c r="U4068" s="35"/>
      <c r="V4068" s="35"/>
      <c r="W4068" s="45"/>
    </row>
    <row r="4069">
      <c r="A4069" s="45"/>
      <c r="B4069" s="35"/>
      <c r="C4069" s="35"/>
      <c r="D4069" s="10"/>
      <c r="E4069" s="35" t="str">
        <f>IFERROR(__xludf.DUMMYFUNCTION("""COMPUTED_VALUE"""),"")</f>
        <v/>
      </c>
      <c r="F4069" s="35" t="str">
        <f>IFERROR(__xludf.DUMMYFUNCTION("""COMPUTED_VALUE"""),"1899")</f>
        <v>1899</v>
      </c>
      <c r="G4069" s="35"/>
      <c r="H4069" s="35" t="str">
        <f>IFERROR(__xludf.DUMMYFUNCTION("""COMPUTED_VALUE"""),"")</f>
        <v/>
      </c>
      <c r="I4069" s="35" t="str">
        <f>IFERROR(__xludf.DUMMYFUNCTION("""COMPUTED_VALUE"""),"")</f>
        <v/>
      </c>
      <c r="J4069" s="35" t="str">
        <f>IFERROR(__xludf.DUMMYFUNCTION("""COMPUTED_VALUE"""),"")</f>
        <v/>
      </c>
      <c r="K4069" s="35"/>
      <c r="L4069" s="35"/>
      <c r="M4069" s="35"/>
      <c r="N4069" s="35"/>
      <c r="O4069" s="35"/>
      <c r="P4069" s="35"/>
      <c r="Q4069" s="35"/>
      <c r="R4069" s="35"/>
      <c r="S4069" s="74"/>
      <c r="T4069" s="35"/>
      <c r="U4069" s="35"/>
      <c r="V4069" s="35"/>
      <c r="W4069" s="45"/>
    </row>
    <row r="4070">
      <c r="A4070" s="45"/>
      <c r="B4070" s="35"/>
      <c r="C4070" s="35"/>
      <c r="D4070" s="10"/>
      <c r="E4070" s="35" t="str">
        <f>IFERROR(__xludf.DUMMYFUNCTION("""COMPUTED_VALUE"""),"")</f>
        <v/>
      </c>
      <c r="F4070" s="35" t="str">
        <f>IFERROR(__xludf.DUMMYFUNCTION("""COMPUTED_VALUE"""),"1899")</f>
        <v>1899</v>
      </c>
      <c r="G4070" s="35"/>
      <c r="H4070" s="35" t="str">
        <f>IFERROR(__xludf.DUMMYFUNCTION("""COMPUTED_VALUE"""),"")</f>
        <v/>
      </c>
      <c r="I4070" s="35" t="str">
        <f>IFERROR(__xludf.DUMMYFUNCTION("""COMPUTED_VALUE"""),"")</f>
        <v/>
      </c>
      <c r="J4070" s="35" t="str">
        <f>IFERROR(__xludf.DUMMYFUNCTION("""COMPUTED_VALUE"""),"")</f>
        <v/>
      </c>
      <c r="K4070" s="35"/>
      <c r="L4070" s="35"/>
      <c r="M4070" s="35"/>
      <c r="N4070" s="35"/>
      <c r="O4070" s="35"/>
      <c r="P4070" s="35"/>
      <c r="Q4070" s="35"/>
      <c r="R4070" s="35"/>
      <c r="S4070" s="74"/>
      <c r="T4070" s="35"/>
      <c r="U4070" s="35"/>
      <c r="V4070" s="35"/>
      <c r="W4070" s="45"/>
    </row>
    <row r="4071">
      <c r="A4071" s="45"/>
      <c r="B4071" s="35"/>
      <c r="C4071" s="35"/>
      <c r="D4071" s="10"/>
      <c r="E4071" s="35" t="str">
        <f>IFERROR(__xludf.DUMMYFUNCTION("""COMPUTED_VALUE"""),"")</f>
        <v/>
      </c>
      <c r="F4071" s="35" t="str">
        <f>IFERROR(__xludf.DUMMYFUNCTION("""COMPUTED_VALUE"""),"1899")</f>
        <v>1899</v>
      </c>
      <c r="G4071" s="35"/>
      <c r="H4071" s="35" t="str">
        <f>IFERROR(__xludf.DUMMYFUNCTION("""COMPUTED_VALUE"""),"")</f>
        <v/>
      </c>
      <c r="I4071" s="35" t="str">
        <f>IFERROR(__xludf.DUMMYFUNCTION("""COMPUTED_VALUE"""),"")</f>
        <v/>
      </c>
      <c r="J4071" s="35" t="str">
        <f>IFERROR(__xludf.DUMMYFUNCTION("""COMPUTED_VALUE"""),"")</f>
        <v/>
      </c>
      <c r="K4071" s="35"/>
      <c r="L4071" s="35"/>
      <c r="M4071" s="35"/>
      <c r="N4071" s="35"/>
      <c r="O4071" s="35"/>
      <c r="P4071" s="35"/>
      <c r="Q4071" s="35"/>
      <c r="R4071" s="35"/>
      <c r="S4071" s="74"/>
      <c r="T4071" s="35"/>
      <c r="U4071" s="35"/>
      <c r="V4071" s="35"/>
      <c r="W4071" s="45"/>
    </row>
    <row r="4072">
      <c r="A4072" s="45"/>
      <c r="B4072" s="35"/>
      <c r="C4072" s="35"/>
      <c r="D4072" s="10"/>
      <c r="E4072" s="35" t="str">
        <f>IFERROR(__xludf.DUMMYFUNCTION("""COMPUTED_VALUE"""),"")</f>
        <v/>
      </c>
      <c r="F4072" s="35" t="str">
        <f>IFERROR(__xludf.DUMMYFUNCTION("""COMPUTED_VALUE"""),"1899")</f>
        <v>1899</v>
      </c>
      <c r="G4072" s="35"/>
      <c r="H4072" s="35" t="str">
        <f>IFERROR(__xludf.DUMMYFUNCTION("""COMPUTED_VALUE"""),"")</f>
        <v/>
      </c>
      <c r="I4072" s="35" t="str">
        <f>IFERROR(__xludf.DUMMYFUNCTION("""COMPUTED_VALUE"""),"")</f>
        <v/>
      </c>
      <c r="J4072" s="35" t="str">
        <f>IFERROR(__xludf.DUMMYFUNCTION("""COMPUTED_VALUE"""),"")</f>
        <v/>
      </c>
      <c r="K4072" s="35"/>
      <c r="L4072" s="35"/>
      <c r="M4072" s="35"/>
      <c r="N4072" s="35"/>
      <c r="O4072" s="35"/>
      <c r="P4072" s="35"/>
      <c r="Q4072" s="35"/>
      <c r="R4072" s="35"/>
      <c r="S4072" s="74"/>
      <c r="T4072" s="35"/>
      <c r="U4072" s="35"/>
      <c r="V4072" s="35"/>
      <c r="W4072" s="45"/>
    </row>
    <row r="4073">
      <c r="A4073" s="45"/>
      <c r="B4073" s="35"/>
      <c r="C4073" s="35"/>
      <c r="D4073" s="10"/>
      <c r="E4073" s="35" t="str">
        <f>IFERROR(__xludf.DUMMYFUNCTION("""COMPUTED_VALUE"""),"")</f>
        <v/>
      </c>
      <c r="F4073" s="35" t="str">
        <f>IFERROR(__xludf.DUMMYFUNCTION("""COMPUTED_VALUE"""),"1899")</f>
        <v>1899</v>
      </c>
      <c r="G4073" s="35"/>
      <c r="H4073" s="35" t="str">
        <f>IFERROR(__xludf.DUMMYFUNCTION("""COMPUTED_VALUE"""),"")</f>
        <v/>
      </c>
      <c r="I4073" s="35" t="str">
        <f>IFERROR(__xludf.DUMMYFUNCTION("""COMPUTED_VALUE"""),"")</f>
        <v/>
      </c>
      <c r="J4073" s="35" t="str">
        <f>IFERROR(__xludf.DUMMYFUNCTION("""COMPUTED_VALUE"""),"")</f>
        <v/>
      </c>
      <c r="K4073" s="35"/>
      <c r="L4073" s="35"/>
      <c r="M4073" s="35"/>
      <c r="N4073" s="35"/>
      <c r="O4073" s="35"/>
      <c r="P4073" s="35"/>
      <c r="Q4073" s="35"/>
      <c r="R4073" s="35"/>
      <c r="S4073" s="74"/>
      <c r="T4073" s="35"/>
      <c r="U4073" s="35"/>
      <c r="V4073" s="35"/>
      <c r="W4073" s="45"/>
    </row>
    <row r="4074">
      <c r="A4074" s="45"/>
      <c r="B4074" s="35"/>
      <c r="C4074" s="35"/>
      <c r="D4074" s="10"/>
      <c r="E4074" s="35" t="str">
        <f>IFERROR(__xludf.DUMMYFUNCTION("""COMPUTED_VALUE"""),"")</f>
        <v/>
      </c>
      <c r="F4074" s="35" t="str">
        <f>IFERROR(__xludf.DUMMYFUNCTION("""COMPUTED_VALUE"""),"1899")</f>
        <v>1899</v>
      </c>
      <c r="G4074" s="35"/>
      <c r="H4074" s="35" t="str">
        <f>IFERROR(__xludf.DUMMYFUNCTION("""COMPUTED_VALUE"""),"")</f>
        <v/>
      </c>
      <c r="I4074" s="35" t="str">
        <f>IFERROR(__xludf.DUMMYFUNCTION("""COMPUTED_VALUE"""),"")</f>
        <v/>
      </c>
      <c r="J4074" s="35" t="str">
        <f>IFERROR(__xludf.DUMMYFUNCTION("""COMPUTED_VALUE"""),"")</f>
        <v/>
      </c>
      <c r="K4074" s="35"/>
      <c r="L4074" s="35"/>
      <c r="M4074" s="35"/>
      <c r="N4074" s="35"/>
      <c r="O4074" s="35"/>
      <c r="P4074" s="35"/>
      <c r="Q4074" s="35"/>
      <c r="R4074" s="35"/>
      <c r="S4074" s="74"/>
      <c r="T4074" s="35"/>
      <c r="U4074" s="35"/>
      <c r="V4074" s="35"/>
      <c r="W4074" s="45"/>
    </row>
    <row r="4075">
      <c r="A4075" s="45"/>
      <c r="B4075" s="35"/>
      <c r="C4075" s="35"/>
      <c r="D4075" s="10"/>
      <c r="E4075" s="35" t="str">
        <f>IFERROR(__xludf.DUMMYFUNCTION("""COMPUTED_VALUE"""),"")</f>
        <v/>
      </c>
      <c r="F4075" s="35" t="str">
        <f>IFERROR(__xludf.DUMMYFUNCTION("""COMPUTED_VALUE"""),"1899")</f>
        <v>1899</v>
      </c>
      <c r="G4075" s="35"/>
      <c r="H4075" s="35" t="str">
        <f>IFERROR(__xludf.DUMMYFUNCTION("""COMPUTED_VALUE"""),"")</f>
        <v/>
      </c>
      <c r="I4075" s="35" t="str">
        <f>IFERROR(__xludf.DUMMYFUNCTION("""COMPUTED_VALUE"""),"")</f>
        <v/>
      </c>
      <c r="J4075" s="35" t="str">
        <f>IFERROR(__xludf.DUMMYFUNCTION("""COMPUTED_VALUE"""),"")</f>
        <v/>
      </c>
      <c r="K4075" s="35"/>
      <c r="L4075" s="35"/>
      <c r="M4075" s="35"/>
      <c r="N4075" s="35"/>
      <c r="O4075" s="35"/>
      <c r="P4075" s="35"/>
      <c r="Q4075" s="35"/>
      <c r="R4075" s="35"/>
      <c r="S4075" s="74"/>
      <c r="T4075" s="35"/>
      <c r="U4075" s="35"/>
      <c r="V4075" s="35"/>
      <c r="W4075" s="45"/>
    </row>
    <row r="4076">
      <c r="A4076" s="45"/>
      <c r="B4076" s="35"/>
      <c r="C4076" s="35"/>
      <c r="D4076" s="10"/>
      <c r="E4076" s="35" t="str">
        <f>IFERROR(__xludf.DUMMYFUNCTION("""COMPUTED_VALUE"""),"")</f>
        <v/>
      </c>
      <c r="F4076" s="35" t="str">
        <f>IFERROR(__xludf.DUMMYFUNCTION("""COMPUTED_VALUE"""),"1899")</f>
        <v>1899</v>
      </c>
      <c r="G4076" s="35"/>
      <c r="H4076" s="35" t="str">
        <f>IFERROR(__xludf.DUMMYFUNCTION("""COMPUTED_VALUE"""),"")</f>
        <v/>
      </c>
      <c r="I4076" s="35" t="str">
        <f>IFERROR(__xludf.DUMMYFUNCTION("""COMPUTED_VALUE"""),"")</f>
        <v/>
      </c>
      <c r="J4076" s="35" t="str">
        <f>IFERROR(__xludf.DUMMYFUNCTION("""COMPUTED_VALUE"""),"")</f>
        <v/>
      </c>
      <c r="K4076" s="35"/>
      <c r="L4076" s="35"/>
      <c r="M4076" s="35"/>
      <c r="N4076" s="35"/>
      <c r="O4076" s="35"/>
      <c r="P4076" s="35"/>
      <c r="Q4076" s="35"/>
      <c r="R4076" s="35"/>
      <c r="S4076" s="74"/>
      <c r="T4076" s="35"/>
      <c r="U4076" s="35"/>
      <c r="V4076" s="35"/>
      <c r="W4076" s="45"/>
    </row>
    <row r="4077">
      <c r="A4077" s="45"/>
      <c r="B4077" s="35"/>
      <c r="C4077" s="35"/>
      <c r="D4077" s="10"/>
      <c r="E4077" s="35" t="str">
        <f>IFERROR(__xludf.DUMMYFUNCTION("""COMPUTED_VALUE"""),"")</f>
        <v/>
      </c>
      <c r="F4077" s="35" t="str">
        <f>IFERROR(__xludf.DUMMYFUNCTION("""COMPUTED_VALUE"""),"1899")</f>
        <v>1899</v>
      </c>
      <c r="G4077" s="35"/>
      <c r="H4077" s="35" t="str">
        <f>IFERROR(__xludf.DUMMYFUNCTION("""COMPUTED_VALUE"""),"")</f>
        <v/>
      </c>
      <c r="I4077" s="35" t="str">
        <f>IFERROR(__xludf.DUMMYFUNCTION("""COMPUTED_VALUE"""),"")</f>
        <v/>
      </c>
      <c r="J4077" s="35" t="str">
        <f>IFERROR(__xludf.DUMMYFUNCTION("""COMPUTED_VALUE"""),"")</f>
        <v/>
      </c>
      <c r="K4077" s="35"/>
      <c r="L4077" s="35"/>
      <c r="M4077" s="35"/>
      <c r="N4077" s="35"/>
      <c r="O4077" s="35"/>
      <c r="P4077" s="35"/>
      <c r="Q4077" s="35"/>
      <c r="R4077" s="35"/>
      <c r="S4077" s="74"/>
      <c r="T4077" s="35"/>
      <c r="U4077" s="35"/>
      <c r="V4077" s="35"/>
      <c r="W4077" s="45"/>
    </row>
    <row r="4078">
      <c r="A4078" s="45"/>
      <c r="B4078" s="35"/>
      <c r="C4078" s="35"/>
      <c r="D4078" s="10"/>
      <c r="E4078" s="35" t="str">
        <f>IFERROR(__xludf.DUMMYFUNCTION("""COMPUTED_VALUE"""),"")</f>
        <v/>
      </c>
      <c r="F4078" s="35" t="str">
        <f>IFERROR(__xludf.DUMMYFUNCTION("""COMPUTED_VALUE"""),"1899")</f>
        <v>1899</v>
      </c>
      <c r="G4078" s="35"/>
      <c r="H4078" s="35" t="str">
        <f>IFERROR(__xludf.DUMMYFUNCTION("""COMPUTED_VALUE"""),"")</f>
        <v/>
      </c>
      <c r="I4078" s="35" t="str">
        <f>IFERROR(__xludf.DUMMYFUNCTION("""COMPUTED_VALUE"""),"")</f>
        <v/>
      </c>
      <c r="J4078" s="35" t="str">
        <f>IFERROR(__xludf.DUMMYFUNCTION("""COMPUTED_VALUE"""),"")</f>
        <v/>
      </c>
      <c r="K4078" s="35"/>
      <c r="L4078" s="35"/>
      <c r="M4078" s="35"/>
      <c r="N4078" s="35"/>
      <c r="O4078" s="35"/>
      <c r="P4078" s="35"/>
      <c r="Q4078" s="35"/>
      <c r="R4078" s="35"/>
      <c r="S4078" s="74"/>
      <c r="T4078" s="35"/>
      <c r="U4078" s="35"/>
      <c r="V4078" s="35"/>
      <c r="W4078" s="45"/>
    </row>
    <row r="4079">
      <c r="A4079" s="45"/>
      <c r="B4079" s="35"/>
      <c r="C4079" s="35"/>
      <c r="D4079" s="10"/>
      <c r="E4079" s="35" t="str">
        <f>IFERROR(__xludf.DUMMYFUNCTION("""COMPUTED_VALUE"""),"")</f>
        <v/>
      </c>
      <c r="F4079" s="35" t="str">
        <f>IFERROR(__xludf.DUMMYFUNCTION("""COMPUTED_VALUE"""),"1899")</f>
        <v>1899</v>
      </c>
      <c r="G4079" s="35"/>
      <c r="H4079" s="35" t="str">
        <f>IFERROR(__xludf.DUMMYFUNCTION("""COMPUTED_VALUE"""),"")</f>
        <v/>
      </c>
      <c r="I4079" s="35" t="str">
        <f>IFERROR(__xludf.DUMMYFUNCTION("""COMPUTED_VALUE"""),"")</f>
        <v/>
      </c>
      <c r="J4079" s="35" t="str">
        <f>IFERROR(__xludf.DUMMYFUNCTION("""COMPUTED_VALUE"""),"")</f>
        <v/>
      </c>
      <c r="K4079" s="35"/>
      <c r="L4079" s="35"/>
      <c r="M4079" s="35"/>
      <c r="N4079" s="35"/>
      <c r="O4079" s="35"/>
      <c r="P4079" s="35"/>
      <c r="Q4079" s="35"/>
      <c r="R4079" s="35"/>
      <c r="S4079" s="74"/>
      <c r="T4079" s="35"/>
      <c r="U4079" s="35"/>
      <c r="V4079" s="35"/>
      <c r="W4079" s="45"/>
    </row>
    <row r="4080">
      <c r="A4080" s="45"/>
      <c r="B4080" s="35"/>
      <c r="C4080" s="35"/>
      <c r="D4080" s="10"/>
      <c r="E4080" s="35" t="str">
        <f>IFERROR(__xludf.DUMMYFUNCTION("""COMPUTED_VALUE"""),"")</f>
        <v/>
      </c>
      <c r="F4080" s="35" t="str">
        <f>IFERROR(__xludf.DUMMYFUNCTION("""COMPUTED_VALUE"""),"1899")</f>
        <v>1899</v>
      </c>
      <c r="G4080" s="35"/>
      <c r="H4080" s="35" t="str">
        <f>IFERROR(__xludf.DUMMYFUNCTION("""COMPUTED_VALUE"""),"")</f>
        <v/>
      </c>
      <c r="I4080" s="35" t="str">
        <f>IFERROR(__xludf.DUMMYFUNCTION("""COMPUTED_VALUE"""),"")</f>
        <v/>
      </c>
      <c r="J4080" s="35" t="str">
        <f>IFERROR(__xludf.DUMMYFUNCTION("""COMPUTED_VALUE"""),"")</f>
        <v/>
      </c>
      <c r="K4080" s="35"/>
      <c r="L4080" s="35"/>
      <c r="M4080" s="35"/>
      <c r="N4080" s="35"/>
      <c r="O4080" s="35"/>
      <c r="P4080" s="35"/>
      <c r="Q4080" s="35"/>
      <c r="R4080" s="35"/>
      <c r="S4080" s="74"/>
      <c r="T4080" s="35"/>
      <c r="U4080" s="35"/>
      <c r="V4080" s="35"/>
      <c r="W4080" s="45"/>
    </row>
    <row r="4081">
      <c r="A4081" s="45"/>
      <c r="B4081" s="35"/>
      <c r="C4081" s="35"/>
      <c r="D4081" s="10"/>
      <c r="E4081" s="35" t="str">
        <f>IFERROR(__xludf.DUMMYFUNCTION("""COMPUTED_VALUE"""),"")</f>
        <v/>
      </c>
      <c r="F4081" s="35" t="str">
        <f>IFERROR(__xludf.DUMMYFUNCTION("""COMPUTED_VALUE"""),"1899")</f>
        <v>1899</v>
      </c>
      <c r="G4081" s="35"/>
      <c r="H4081" s="35" t="str">
        <f>IFERROR(__xludf.DUMMYFUNCTION("""COMPUTED_VALUE"""),"")</f>
        <v/>
      </c>
      <c r="I4081" s="35" t="str">
        <f>IFERROR(__xludf.DUMMYFUNCTION("""COMPUTED_VALUE"""),"")</f>
        <v/>
      </c>
      <c r="J4081" s="35" t="str">
        <f>IFERROR(__xludf.DUMMYFUNCTION("""COMPUTED_VALUE"""),"")</f>
        <v/>
      </c>
      <c r="K4081" s="35"/>
      <c r="L4081" s="35"/>
      <c r="M4081" s="35"/>
      <c r="N4081" s="35"/>
      <c r="O4081" s="35"/>
      <c r="P4081" s="35"/>
      <c r="Q4081" s="35"/>
      <c r="R4081" s="35"/>
      <c r="S4081" s="74"/>
      <c r="T4081" s="35"/>
      <c r="U4081" s="35"/>
      <c r="V4081" s="35"/>
      <c r="W4081" s="45"/>
    </row>
    <row r="4082">
      <c r="A4082" s="45"/>
      <c r="B4082" s="35"/>
      <c r="C4082" s="35"/>
      <c r="D4082" s="10"/>
      <c r="E4082" s="35" t="str">
        <f>IFERROR(__xludf.DUMMYFUNCTION("""COMPUTED_VALUE"""),"")</f>
        <v/>
      </c>
      <c r="F4082" s="35" t="str">
        <f>IFERROR(__xludf.DUMMYFUNCTION("""COMPUTED_VALUE"""),"1899")</f>
        <v>1899</v>
      </c>
      <c r="G4082" s="35"/>
      <c r="H4082" s="35" t="str">
        <f>IFERROR(__xludf.DUMMYFUNCTION("""COMPUTED_VALUE"""),"")</f>
        <v/>
      </c>
      <c r="I4082" s="35" t="str">
        <f>IFERROR(__xludf.DUMMYFUNCTION("""COMPUTED_VALUE"""),"")</f>
        <v/>
      </c>
      <c r="J4082" s="35" t="str">
        <f>IFERROR(__xludf.DUMMYFUNCTION("""COMPUTED_VALUE"""),"")</f>
        <v/>
      </c>
      <c r="K4082" s="35"/>
      <c r="L4082" s="35"/>
      <c r="M4082" s="35"/>
      <c r="N4082" s="35"/>
      <c r="O4082" s="35"/>
      <c r="P4082" s="35"/>
      <c r="Q4082" s="35"/>
      <c r="R4082" s="35"/>
      <c r="S4082" s="74"/>
      <c r="T4082" s="35"/>
      <c r="U4082" s="35"/>
      <c r="V4082" s="35"/>
      <c r="W4082" s="45"/>
    </row>
    <row r="4083">
      <c r="A4083" s="45"/>
      <c r="B4083" s="35"/>
      <c r="C4083" s="35"/>
      <c r="D4083" s="10"/>
      <c r="E4083" s="35" t="str">
        <f>IFERROR(__xludf.DUMMYFUNCTION("""COMPUTED_VALUE"""),"")</f>
        <v/>
      </c>
      <c r="F4083" s="35" t="str">
        <f>IFERROR(__xludf.DUMMYFUNCTION("""COMPUTED_VALUE"""),"1899")</f>
        <v>1899</v>
      </c>
      <c r="G4083" s="35"/>
      <c r="H4083" s="35" t="str">
        <f>IFERROR(__xludf.DUMMYFUNCTION("""COMPUTED_VALUE"""),"")</f>
        <v/>
      </c>
      <c r="I4083" s="35" t="str">
        <f>IFERROR(__xludf.DUMMYFUNCTION("""COMPUTED_VALUE"""),"")</f>
        <v/>
      </c>
      <c r="J4083" s="35" t="str">
        <f>IFERROR(__xludf.DUMMYFUNCTION("""COMPUTED_VALUE"""),"")</f>
        <v/>
      </c>
      <c r="K4083" s="35"/>
      <c r="L4083" s="35"/>
      <c r="M4083" s="35"/>
      <c r="N4083" s="35"/>
      <c r="O4083" s="35"/>
      <c r="P4083" s="35"/>
      <c r="Q4083" s="35"/>
      <c r="R4083" s="35"/>
      <c r="S4083" s="74"/>
      <c r="T4083" s="35"/>
      <c r="U4083" s="35"/>
      <c r="V4083" s="35"/>
      <c r="W4083" s="45"/>
    </row>
    <row r="4084">
      <c r="A4084" s="45"/>
      <c r="B4084" s="35"/>
      <c r="C4084" s="35"/>
      <c r="D4084" s="10"/>
      <c r="E4084" s="35" t="str">
        <f>IFERROR(__xludf.DUMMYFUNCTION("""COMPUTED_VALUE"""),"")</f>
        <v/>
      </c>
      <c r="F4084" s="35" t="str">
        <f>IFERROR(__xludf.DUMMYFUNCTION("""COMPUTED_VALUE"""),"1899")</f>
        <v>1899</v>
      </c>
      <c r="G4084" s="35"/>
      <c r="H4084" s="35" t="str">
        <f>IFERROR(__xludf.DUMMYFUNCTION("""COMPUTED_VALUE"""),"")</f>
        <v/>
      </c>
      <c r="I4084" s="35" t="str">
        <f>IFERROR(__xludf.DUMMYFUNCTION("""COMPUTED_VALUE"""),"")</f>
        <v/>
      </c>
      <c r="J4084" s="35" t="str">
        <f>IFERROR(__xludf.DUMMYFUNCTION("""COMPUTED_VALUE"""),"")</f>
        <v/>
      </c>
      <c r="K4084" s="35"/>
      <c r="L4084" s="35"/>
      <c r="M4084" s="35"/>
      <c r="N4084" s="35"/>
      <c r="O4084" s="35"/>
      <c r="P4084" s="35"/>
      <c r="Q4084" s="35"/>
      <c r="R4084" s="35"/>
      <c r="S4084" s="74"/>
      <c r="T4084" s="35"/>
      <c r="U4084" s="35"/>
      <c r="V4084" s="35"/>
      <c r="W4084" s="45"/>
    </row>
    <row r="4085">
      <c r="A4085" s="45"/>
      <c r="B4085" s="35"/>
      <c r="C4085" s="35"/>
      <c r="D4085" s="10"/>
      <c r="E4085" s="35" t="str">
        <f>IFERROR(__xludf.DUMMYFUNCTION("""COMPUTED_VALUE"""),"")</f>
        <v/>
      </c>
      <c r="F4085" s="35" t="str">
        <f>IFERROR(__xludf.DUMMYFUNCTION("""COMPUTED_VALUE"""),"1899")</f>
        <v>1899</v>
      </c>
      <c r="G4085" s="35"/>
      <c r="H4085" s="35" t="str">
        <f>IFERROR(__xludf.DUMMYFUNCTION("""COMPUTED_VALUE"""),"")</f>
        <v/>
      </c>
      <c r="I4085" s="35" t="str">
        <f>IFERROR(__xludf.DUMMYFUNCTION("""COMPUTED_VALUE"""),"")</f>
        <v/>
      </c>
      <c r="J4085" s="35" t="str">
        <f>IFERROR(__xludf.DUMMYFUNCTION("""COMPUTED_VALUE"""),"")</f>
        <v/>
      </c>
      <c r="K4085" s="35"/>
      <c r="L4085" s="35"/>
      <c r="M4085" s="35"/>
      <c r="N4085" s="35"/>
      <c r="O4085" s="35"/>
      <c r="P4085" s="35"/>
      <c r="Q4085" s="35"/>
      <c r="R4085" s="35"/>
      <c r="S4085" s="74"/>
      <c r="T4085" s="35"/>
      <c r="U4085" s="35"/>
      <c r="V4085" s="35"/>
      <c r="W4085" s="45"/>
    </row>
    <row r="4086">
      <c r="A4086" s="45"/>
      <c r="B4086" s="35"/>
      <c r="C4086" s="35"/>
      <c r="D4086" s="10"/>
      <c r="E4086" s="35" t="str">
        <f>IFERROR(__xludf.DUMMYFUNCTION("""COMPUTED_VALUE"""),"")</f>
        <v/>
      </c>
      <c r="F4086" s="35" t="str">
        <f>IFERROR(__xludf.DUMMYFUNCTION("""COMPUTED_VALUE"""),"1899")</f>
        <v>1899</v>
      </c>
      <c r="G4086" s="35"/>
      <c r="H4086" s="35" t="str">
        <f>IFERROR(__xludf.DUMMYFUNCTION("""COMPUTED_VALUE"""),"")</f>
        <v/>
      </c>
      <c r="I4086" s="35" t="str">
        <f>IFERROR(__xludf.DUMMYFUNCTION("""COMPUTED_VALUE"""),"")</f>
        <v/>
      </c>
      <c r="J4086" s="35" t="str">
        <f>IFERROR(__xludf.DUMMYFUNCTION("""COMPUTED_VALUE"""),"")</f>
        <v/>
      </c>
      <c r="K4086" s="35"/>
      <c r="L4086" s="35"/>
      <c r="M4086" s="35"/>
      <c r="N4086" s="35"/>
      <c r="O4086" s="35"/>
      <c r="P4086" s="35"/>
      <c r="Q4086" s="35"/>
      <c r="R4086" s="35"/>
      <c r="S4086" s="74"/>
      <c r="T4086" s="35"/>
      <c r="U4086" s="35"/>
      <c r="V4086" s="35"/>
      <c r="W4086" s="45"/>
    </row>
    <row r="4087">
      <c r="A4087" s="45"/>
      <c r="B4087" s="35"/>
      <c r="C4087" s="35"/>
      <c r="D4087" s="10"/>
      <c r="E4087" s="35" t="str">
        <f>IFERROR(__xludf.DUMMYFUNCTION("""COMPUTED_VALUE"""),"")</f>
        <v/>
      </c>
      <c r="F4087" s="35" t="str">
        <f>IFERROR(__xludf.DUMMYFUNCTION("""COMPUTED_VALUE"""),"1899")</f>
        <v>1899</v>
      </c>
      <c r="G4087" s="35"/>
      <c r="H4087" s="35" t="str">
        <f>IFERROR(__xludf.DUMMYFUNCTION("""COMPUTED_VALUE"""),"")</f>
        <v/>
      </c>
      <c r="I4087" s="35" t="str">
        <f>IFERROR(__xludf.DUMMYFUNCTION("""COMPUTED_VALUE"""),"")</f>
        <v/>
      </c>
      <c r="J4087" s="35" t="str">
        <f>IFERROR(__xludf.DUMMYFUNCTION("""COMPUTED_VALUE"""),"")</f>
        <v/>
      </c>
      <c r="K4087" s="35"/>
      <c r="L4087" s="35"/>
      <c r="M4087" s="35"/>
      <c r="N4087" s="35"/>
      <c r="O4087" s="35"/>
      <c r="P4087" s="35"/>
      <c r="Q4087" s="35"/>
      <c r="R4087" s="35"/>
      <c r="S4087" s="74"/>
      <c r="T4087" s="35"/>
      <c r="U4087" s="35"/>
      <c r="V4087" s="35"/>
      <c r="W4087" s="45"/>
    </row>
    <row r="4088">
      <c r="A4088" s="45"/>
      <c r="B4088" s="35"/>
      <c r="C4088" s="35"/>
      <c r="D4088" s="10"/>
      <c r="E4088" s="35" t="str">
        <f>IFERROR(__xludf.DUMMYFUNCTION("""COMPUTED_VALUE"""),"")</f>
        <v/>
      </c>
      <c r="F4088" s="35" t="str">
        <f>IFERROR(__xludf.DUMMYFUNCTION("""COMPUTED_VALUE"""),"1899")</f>
        <v>1899</v>
      </c>
      <c r="G4088" s="35"/>
      <c r="H4088" s="35" t="str">
        <f>IFERROR(__xludf.DUMMYFUNCTION("""COMPUTED_VALUE"""),"")</f>
        <v/>
      </c>
      <c r="I4088" s="35" t="str">
        <f>IFERROR(__xludf.DUMMYFUNCTION("""COMPUTED_VALUE"""),"")</f>
        <v/>
      </c>
      <c r="J4088" s="35" t="str">
        <f>IFERROR(__xludf.DUMMYFUNCTION("""COMPUTED_VALUE"""),"")</f>
        <v/>
      </c>
      <c r="K4088" s="35"/>
      <c r="L4088" s="35"/>
      <c r="M4088" s="35"/>
      <c r="N4088" s="35"/>
      <c r="O4088" s="35"/>
      <c r="P4088" s="35"/>
      <c r="Q4088" s="35"/>
      <c r="R4088" s="35"/>
      <c r="S4088" s="74"/>
      <c r="T4088" s="35"/>
      <c r="U4088" s="35"/>
      <c r="V4088" s="35"/>
      <c r="W4088" s="45"/>
    </row>
    <row r="4089">
      <c r="A4089" s="45"/>
      <c r="B4089" s="35"/>
      <c r="C4089" s="35"/>
      <c r="D4089" s="10"/>
      <c r="E4089" s="35" t="str">
        <f>IFERROR(__xludf.DUMMYFUNCTION("""COMPUTED_VALUE"""),"")</f>
        <v/>
      </c>
      <c r="F4089" s="35" t="str">
        <f>IFERROR(__xludf.DUMMYFUNCTION("""COMPUTED_VALUE"""),"1899")</f>
        <v>1899</v>
      </c>
      <c r="G4089" s="35"/>
      <c r="H4089" s="35" t="str">
        <f>IFERROR(__xludf.DUMMYFUNCTION("""COMPUTED_VALUE"""),"")</f>
        <v/>
      </c>
      <c r="I4089" s="35" t="str">
        <f>IFERROR(__xludf.DUMMYFUNCTION("""COMPUTED_VALUE"""),"")</f>
        <v/>
      </c>
      <c r="J4089" s="35" t="str">
        <f>IFERROR(__xludf.DUMMYFUNCTION("""COMPUTED_VALUE"""),"")</f>
        <v/>
      </c>
      <c r="K4089" s="35"/>
      <c r="L4089" s="35"/>
      <c r="M4089" s="35"/>
      <c r="N4089" s="35"/>
      <c r="O4089" s="35"/>
      <c r="P4089" s="35"/>
      <c r="Q4089" s="35"/>
      <c r="R4089" s="35"/>
      <c r="S4089" s="74"/>
      <c r="T4089" s="35"/>
      <c r="U4089" s="35"/>
      <c r="V4089" s="35"/>
      <c r="W4089" s="45"/>
    </row>
    <row r="4090">
      <c r="A4090" s="45"/>
      <c r="B4090" s="35"/>
      <c r="C4090" s="35"/>
      <c r="D4090" s="10"/>
      <c r="E4090" s="35" t="str">
        <f>IFERROR(__xludf.DUMMYFUNCTION("""COMPUTED_VALUE"""),"")</f>
        <v/>
      </c>
      <c r="F4090" s="35" t="str">
        <f>IFERROR(__xludf.DUMMYFUNCTION("""COMPUTED_VALUE"""),"1899")</f>
        <v>1899</v>
      </c>
      <c r="G4090" s="35"/>
      <c r="H4090" s="35" t="str">
        <f>IFERROR(__xludf.DUMMYFUNCTION("""COMPUTED_VALUE"""),"")</f>
        <v/>
      </c>
      <c r="I4090" s="35" t="str">
        <f>IFERROR(__xludf.DUMMYFUNCTION("""COMPUTED_VALUE"""),"")</f>
        <v/>
      </c>
      <c r="J4090" s="35" t="str">
        <f>IFERROR(__xludf.DUMMYFUNCTION("""COMPUTED_VALUE"""),"")</f>
        <v/>
      </c>
      <c r="K4090" s="35"/>
      <c r="L4090" s="35"/>
      <c r="M4090" s="35"/>
      <c r="N4090" s="35"/>
      <c r="O4090" s="35"/>
      <c r="P4090" s="35"/>
      <c r="Q4090" s="35"/>
      <c r="R4090" s="35"/>
      <c r="S4090" s="74"/>
      <c r="T4090" s="35"/>
      <c r="U4090" s="35"/>
      <c r="V4090" s="35"/>
      <c r="W4090" s="45"/>
    </row>
    <row r="4091">
      <c r="A4091" s="45"/>
      <c r="B4091" s="35"/>
      <c r="C4091" s="35"/>
      <c r="D4091" s="10"/>
      <c r="E4091" s="35" t="str">
        <f>IFERROR(__xludf.DUMMYFUNCTION("""COMPUTED_VALUE"""),"")</f>
        <v/>
      </c>
      <c r="F4091" s="35" t="str">
        <f>IFERROR(__xludf.DUMMYFUNCTION("""COMPUTED_VALUE"""),"1899")</f>
        <v>1899</v>
      </c>
      <c r="G4091" s="35"/>
      <c r="H4091" s="35" t="str">
        <f>IFERROR(__xludf.DUMMYFUNCTION("""COMPUTED_VALUE"""),"")</f>
        <v/>
      </c>
      <c r="I4091" s="35" t="str">
        <f>IFERROR(__xludf.DUMMYFUNCTION("""COMPUTED_VALUE"""),"")</f>
        <v/>
      </c>
      <c r="J4091" s="35" t="str">
        <f>IFERROR(__xludf.DUMMYFUNCTION("""COMPUTED_VALUE"""),"")</f>
        <v/>
      </c>
      <c r="K4091" s="35"/>
      <c r="L4091" s="35"/>
      <c r="M4091" s="35"/>
      <c r="N4091" s="35"/>
      <c r="O4091" s="35"/>
      <c r="P4091" s="35"/>
      <c r="Q4091" s="35"/>
      <c r="R4091" s="35"/>
      <c r="S4091" s="74"/>
      <c r="T4091" s="35"/>
      <c r="U4091" s="35"/>
      <c r="V4091" s="35"/>
      <c r="W4091" s="45"/>
    </row>
    <row r="4092">
      <c r="A4092" s="45"/>
      <c r="B4092" s="35"/>
      <c r="C4092" s="35"/>
      <c r="D4092" s="10"/>
      <c r="E4092" s="35" t="str">
        <f>IFERROR(__xludf.DUMMYFUNCTION("""COMPUTED_VALUE"""),"")</f>
        <v/>
      </c>
      <c r="F4092" s="35" t="str">
        <f>IFERROR(__xludf.DUMMYFUNCTION("""COMPUTED_VALUE"""),"1899")</f>
        <v>1899</v>
      </c>
      <c r="G4092" s="35"/>
      <c r="H4092" s="35" t="str">
        <f>IFERROR(__xludf.DUMMYFUNCTION("""COMPUTED_VALUE"""),"")</f>
        <v/>
      </c>
      <c r="I4092" s="35" t="str">
        <f>IFERROR(__xludf.DUMMYFUNCTION("""COMPUTED_VALUE"""),"")</f>
        <v/>
      </c>
      <c r="J4092" s="35" t="str">
        <f>IFERROR(__xludf.DUMMYFUNCTION("""COMPUTED_VALUE"""),"")</f>
        <v/>
      </c>
      <c r="K4092" s="35"/>
      <c r="L4092" s="35"/>
      <c r="M4092" s="35"/>
      <c r="N4092" s="35"/>
      <c r="O4092" s="35"/>
      <c r="P4092" s="35"/>
      <c r="Q4092" s="35"/>
      <c r="R4092" s="35"/>
      <c r="S4092" s="74"/>
      <c r="T4092" s="35"/>
      <c r="U4092" s="35"/>
      <c r="V4092" s="35"/>
      <c r="W4092" s="45"/>
    </row>
    <row r="4093">
      <c r="A4093" s="45"/>
      <c r="B4093" s="35"/>
      <c r="C4093" s="35"/>
      <c r="D4093" s="10"/>
      <c r="E4093" s="35" t="str">
        <f>IFERROR(__xludf.DUMMYFUNCTION("""COMPUTED_VALUE"""),"")</f>
        <v/>
      </c>
      <c r="F4093" s="35" t="str">
        <f>IFERROR(__xludf.DUMMYFUNCTION("""COMPUTED_VALUE"""),"1899")</f>
        <v>1899</v>
      </c>
      <c r="G4093" s="35"/>
      <c r="H4093" s="35" t="str">
        <f>IFERROR(__xludf.DUMMYFUNCTION("""COMPUTED_VALUE"""),"")</f>
        <v/>
      </c>
      <c r="I4093" s="35" t="str">
        <f>IFERROR(__xludf.DUMMYFUNCTION("""COMPUTED_VALUE"""),"")</f>
        <v/>
      </c>
      <c r="J4093" s="35" t="str">
        <f>IFERROR(__xludf.DUMMYFUNCTION("""COMPUTED_VALUE"""),"")</f>
        <v/>
      </c>
      <c r="K4093" s="35"/>
      <c r="L4093" s="35"/>
      <c r="M4093" s="35"/>
      <c r="N4093" s="35"/>
      <c r="O4093" s="35"/>
      <c r="P4093" s="35"/>
      <c r="Q4093" s="35"/>
      <c r="R4093" s="35"/>
      <c r="S4093" s="74"/>
      <c r="T4093" s="35"/>
      <c r="U4093" s="35"/>
      <c r="V4093" s="35"/>
      <c r="W4093" s="45"/>
    </row>
    <row r="4094">
      <c r="A4094" s="45"/>
      <c r="B4094" s="35"/>
      <c r="C4094" s="35"/>
      <c r="D4094" s="10"/>
      <c r="E4094" s="35" t="str">
        <f>IFERROR(__xludf.DUMMYFUNCTION("""COMPUTED_VALUE"""),"")</f>
        <v/>
      </c>
      <c r="F4094" s="35" t="str">
        <f>IFERROR(__xludf.DUMMYFUNCTION("""COMPUTED_VALUE"""),"1899")</f>
        <v>1899</v>
      </c>
      <c r="G4094" s="35"/>
      <c r="H4094" s="35" t="str">
        <f>IFERROR(__xludf.DUMMYFUNCTION("""COMPUTED_VALUE"""),"")</f>
        <v/>
      </c>
      <c r="I4094" s="35" t="str">
        <f>IFERROR(__xludf.DUMMYFUNCTION("""COMPUTED_VALUE"""),"")</f>
        <v/>
      </c>
      <c r="J4094" s="35" t="str">
        <f>IFERROR(__xludf.DUMMYFUNCTION("""COMPUTED_VALUE"""),"")</f>
        <v/>
      </c>
      <c r="K4094" s="35"/>
      <c r="L4094" s="35"/>
      <c r="M4094" s="35"/>
      <c r="N4094" s="35"/>
      <c r="O4094" s="35"/>
      <c r="P4094" s="35"/>
      <c r="Q4094" s="35"/>
      <c r="R4094" s="35"/>
      <c r="S4094" s="74"/>
      <c r="T4094" s="35"/>
      <c r="U4094" s="35"/>
      <c r="V4094" s="35"/>
      <c r="W4094" s="45"/>
    </row>
    <row r="4095">
      <c r="A4095" s="45"/>
      <c r="B4095" s="35"/>
      <c r="C4095" s="35"/>
      <c r="D4095" s="10"/>
      <c r="E4095" s="35" t="str">
        <f>IFERROR(__xludf.DUMMYFUNCTION("""COMPUTED_VALUE"""),"")</f>
        <v/>
      </c>
      <c r="F4095" s="35" t="str">
        <f>IFERROR(__xludf.DUMMYFUNCTION("""COMPUTED_VALUE"""),"1899")</f>
        <v>1899</v>
      </c>
      <c r="G4095" s="35"/>
      <c r="H4095" s="35" t="str">
        <f>IFERROR(__xludf.DUMMYFUNCTION("""COMPUTED_VALUE"""),"")</f>
        <v/>
      </c>
      <c r="I4095" s="35" t="str">
        <f>IFERROR(__xludf.DUMMYFUNCTION("""COMPUTED_VALUE"""),"")</f>
        <v/>
      </c>
      <c r="J4095" s="35" t="str">
        <f>IFERROR(__xludf.DUMMYFUNCTION("""COMPUTED_VALUE"""),"")</f>
        <v/>
      </c>
      <c r="K4095" s="35"/>
      <c r="L4095" s="35"/>
      <c r="M4095" s="35"/>
      <c r="N4095" s="35"/>
      <c r="O4095" s="35"/>
      <c r="P4095" s="35"/>
      <c r="Q4095" s="35"/>
      <c r="R4095" s="35"/>
      <c r="S4095" s="74"/>
      <c r="T4095" s="35"/>
      <c r="U4095" s="35"/>
      <c r="V4095" s="35"/>
      <c r="W4095" s="45"/>
    </row>
    <row r="4096">
      <c r="A4096" s="45"/>
      <c r="B4096" s="35"/>
      <c r="C4096" s="35"/>
      <c r="D4096" s="10"/>
      <c r="E4096" s="35" t="str">
        <f>IFERROR(__xludf.DUMMYFUNCTION("""COMPUTED_VALUE"""),"")</f>
        <v/>
      </c>
      <c r="F4096" s="35" t="str">
        <f>IFERROR(__xludf.DUMMYFUNCTION("""COMPUTED_VALUE"""),"1899")</f>
        <v>1899</v>
      </c>
      <c r="G4096" s="35"/>
      <c r="H4096" s="35" t="str">
        <f>IFERROR(__xludf.DUMMYFUNCTION("""COMPUTED_VALUE"""),"")</f>
        <v/>
      </c>
      <c r="I4096" s="35" t="str">
        <f>IFERROR(__xludf.DUMMYFUNCTION("""COMPUTED_VALUE"""),"")</f>
        <v/>
      </c>
      <c r="J4096" s="35" t="str">
        <f>IFERROR(__xludf.DUMMYFUNCTION("""COMPUTED_VALUE"""),"")</f>
        <v/>
      </c>
      <c r="K4096" s="35"/>
      <c r="L4096" s="35"/>
      <c r="M4096" s="35"/>
      <c r="N4096" s="35"/>
      <c r="O4096" s="35"/>
      <c r="P4096" s="35"/>
      <c r="Q4096" s="35"/>
      <c r="R4096" s="35"/>
      <c r="S4096" s="74"/>
      <c r="T4096" s="35"/>
      <c r="U4096" s="35"/>
      <c r="V4096" s="35"/>
      <c r="W4096" s="45"/>
    </row>
    <row r="4097">
      <c r="A4097" s="45"/>
      <c r="B4097" s="35"/>
      <c r="C4097" s="35"/>
      <c r="D4097" s="10"/>
      <c r="E4097" s="35" t="str">
        <f>IFERROR(__xludf.DUMMYFUNCTION("""COMPUTED_VALUE"""),"")</f>
        <v/>
      </c>
      <c r="F4097" s="35" t="str">
        <f>IFERROR(__xludf.DUMMYFUNCTION("""COMPUTED_VALUE"""),"1899")</f>
        <v>1899</v>
      </c>
      <c r="G4097" s="35"/>
      <c r="H4097" s="35" t="str">
        <f>IFERROR(__xludf.DUMMYFUNCTION("""COMPUTED_VALUE"""),"")</f>
        <v/>
      </c>
      <c r="I4097" s="35" t="str">
        <f>IFERROR(__xludf.DUMMYFUNCTION("""COMPUTED_VALUE"""),"")</f>
        <v/>
      </c>
      <c r="J4097" s="35" t="str">
        <f>IFERROR(__xludf.DUMMYFUNCTION("""COMPUTED_VALUE"""),"")</f>
        <v/>
      </c>
      <c r="K4097" s="35"/>
      <c r="L4097" s="35"/>
      <c r="M4097" s="35"/>
      <c r="N4097" s="35"/>
      <c r="O4097" s="35"/>
      <c r="P4097" s="35"/>
      <c r="Q4097" s="35"/>
      <c r="R4097" s="35"/>
      <c r="S4097" s="74"/>
      <c r="T4097" s="35"/>
      <c r="U4097" s="35"/>
      <c r="V4097" s="35"/>
      <c r="W4097" s="45"/>
    </row>
    <row r="4098">
      <c r="A4098" s="45"/>
      <c r="B4098" s="35"/>
      <c r="C4098" s="35"/>
      <c r="D4098" s="10"/>
      <c r="E4098" s="35" t="str">
        <f>IFERROR(__xludf.DUMMYFUNCTION("""COMPUTED_VALUE"""),"")</f>
        <v/>
      </c>
      <c r="F4098" s="35" t="str">
        <f>IFERROR(__xludf.DUMMYFUNCTION("""COMPUTED_VALUE"""),"1899")</f>
        <v>1899</v>
      </c>
      <c r="G4098" s="35"/>
      <c r="H4098" s="35" t="str">
        <f>IFERROR(__xludf.DUMMYFUNCTION("""COMPUTED_VALUE"""),"")</f>
        <v/>
      </c>
      <c r="I4098" s="35" t="str">
        <f>IFERROR(__xludf.DUMMYFUNCTION("""COMPUTED_VALUE"""),"")</f>
        <v/>
      </c>
      <c r="J4098" s="35" t="str">
        <f>IFERROR(__xludf.DUMMYFUNCTION("""COMPUTED_VALUE"""),"")</f>
        <v/>
      </c>
      <c r="K4098" s="35"/>
      <c r="L4098" s="35"/>
      <c r="M4098" s="35"/>
      <c r="N4098" s="35"/>
      <c r="O4098" s="35"/>
      <c r="P4098" s="35"/>
      <c r="Q4098" s="35"/>
      <c r="R4098" s="35"/>
      <c r="S4098" s="74"/>
      <c r="T4098" s="35"/>
      <c r="U4098" s="35"/>
      <c r="V4098" s="35"/>
      <c r="W4098" s="45"/>
    </row>
    <row r="4099">
      <c r="A4099" s="45"/>
      <c r="B4099" s="35"/>
      <c r="C4099" s="35"/>
      <c r="D4099" s="10"/>
      <c r="E4099" s="35" t="str">
        <f>IFERROR(__xludf.DUMMYFUNCTION("""COMPUTED_VALUE"""),"")</f>
        <v/>
      </c>
      <c r="F4099" s="35" t="str">
        <f>IFERROR(__xludf.DUMMYFUNCTION("""COMPUTED_VALUE"""),"1899")</f>
        <v>1899</v>
      </c>
      <c r="G4099" s="35"/>
      <c r="H4099" s="35" t="str">
        <f>IFERROR(__xludf.DUMMYFUNCTION("""COMPUTED_VALUE"""),"")</f>
        <v/>
      </c>
      <c r="I4099" s="35" t="str">
        <f>IFERROR(__xludf.DUMMYFUNCTION("""COMPUTED_VALUE"""),"")</f>
        <v/>
      </c>
      <c r="J4099" s="35" t="str">
        <f>IFERROR(__xludf.DUMMYFUNCTION("""COMPUTED_VALUE"""),"")</f>
        <v/>
      </c>
      <c r="K4099" s="35"/>
      <c r="L4099" s="35"/>
      <c r="M4099" s="35"/>
      <c r="N4099" s="35"/>
      <c r="O4099" s="35"/>
      <c r="P4099" s="35"/>
      <c r="Q4099" s="35"/>
      <c r="R4099" s="35"/>
      <c r="S4099" s="74"/>
      <c r="T4099" s="35"/>
      <c r="U4099" s="35"/>
      <c r="V4099" s="35"/>
      <c r="W4099" s="45"/>
    </row>
    <row r="4100">
      <c r="A4100" s="45"/>
      <c r="B4100" s="35"/>
      <c r="C4100" s="35"/>
      <c r="D4100" s="10"/>
      <c r="E4100" s="35" t="str">
        <f>IFERROR(__xludf.DUMMYFUNCTION("""COMPUTED_VALUE"""),"")</f>
        <v/>
      </c>
      <c r="F4100" s="35" t="str">
        <f>IFERROR(__xludf.DUMMYFUNCTION("""COMPUTED_VALUE"""),"1899")</f>
        <v>1899</v>
      </c>
      <c r="G4100" s="35"/>
      <c r="H4100" s="35" t="str">
        <f>IFERROR(__xludf.DUMMYFUNCTION("""COMPUTED_VALUE"""),"")</f>
        <v/>
      </c>
      <c r="I4100" s="35" t="str">
        <f>IFERROR(__xludf.DUMMYFUNCTION("""COMPUTED_VALUE"""),"")</f>
        <v/>
      </c>
      <c r="J4100" s="35" t="str">
        <f>IFERROR(__xludf.DUMMYFUNCTION("""COMPUTED_VALUE"""),"")</f>
        <v/>
      </c>
      <c r="K4100" s="35"/>
      <c r="L4100" s="35"/>
      <c r="M4100" s="35"/>
      <c r="N4100" s="35"/>
      <c r="O4100" s="35"/>
      <c r="P4100" s="35"/>
      <c r="Q4100" s="35"/>
      <c r="R4100" s="35"/>
      <c r="S4100" s="74"/>
      <c r="T4100" s="35"/>
      <c r="U4100" s="35"/>
      <c r="V4100" s="35"/>
      <c r="W4100" s="45"/>
    </row>
    <row r="4101">
      <c r="A4101" s="45"/>
      <c r="B4101" s="35"/>
      <c r="C4101" s="35"/>
      <c r="D4101" s="10"/>
      <c r="E4101" s="35" t="str">
        <f>IFERROR(__xludf.DUMMYFUNCTION("""COMPUTED_VALUE"""),"")</f>
        <v/>
      </c>
      <c r="F4101" s="35" t="str">
        <f>IFERROR(__xludf.DUMMYFUNCTION("""COMPUTED_VALUE"""),"1899")</f>
        <v>1899</v>
      </c>
      <c r="G4101" s="35"/>
      <c r="H4101" s="35" t="str">
        <f>IFERROR(__xludf.DUMMYFUNCTION("""COMPUTED_VALUE"""),"")</f>
        <v/>
      </c>
      <c r="I4101" s="35" t="str">
        <f>IFERROR(__xludf.DUMMYFUNCTION("""COMPUTED_VALUE"""),"")</f>
        <v/>
      </c>
      <c r="J4101" s="35" t="str">
        <f>IFERROR(__xludf.DUMMYFUNCTION("""COMPUTED_VALUE"""),"")</f>
        <v/>
      </c>
      <c r="K4101" s="35"/>
      <c r="L4101" s="35"/>
      <c r="M4101" s="35"/>
      <c r="N4101" s="35"/>
      <c r="O4101" s="35"/>
      <c r="P4101" s="35"/>
      <c r="Q4101" s="35"/>
      <c r="R4101" s="35"/>
      <c r="S4101" s="74"/>
      <c r="T4101" s="35"/>
      <c r="U4101" s="35"/>
      <c r="V4101" s="35"/>
      <c r="W4101" s="45"/>
    </row>
    <row r="4102">
      <c r="A4102" s="45"/>
      <c r="B4102" s="35"/>
      <c r="C4102" s="35"/>
      <c r="D4102" s="10"/>
      <c r="E4102" s="35" t="str">
        <f>IFERROR(__xludf.DUMMYFUNCTION("""COMPUTED_VALUE"""),"")</f>
        <v/>
      </c>
      <c r="F4102" s="35" t="str">
        <f>IFERROR(__xludf.DUMMYFUNCTION("""COMPUTED_VALUE"""),"1899")</f>
        <v>1899</v>
      </c>
      <c r="G4102" s="35"/>
      <c r="H4102" s="35" t="str">
        <f>IFERROR(__xludf.DUMMYFUNCTION("""COMPUTED_VALUE"""),"")</f>
        <v/>
      </c>
      <c r="I4102" s="35" t="str">
        <f>IFERROR(__xludf.DUMMYFUNCTION("""COMPUTED_VALUE"""),"")</f>
        <v/>
      </c>
      <c r="J4102" s="35" t="str">
        <f>IFERROR(__xludf.DUMMYFUNCTION("""COMPUTED_VALUE"""),"")</f>
        <v/>
      </c>
      <c r="K4102" s="35"/>
      <c r="L4102" s="35"/>
      <c r="M4102" s="35"/>
      <c r="N4102" s="35"/>
      <c r="O4102" s="35"/>
      <c r="P4102" s="35"/>
      <c r="Q4102" s="35"/>
      <c r="R4102" s="35"/>
      <c r="S4102" s="74"/>
      <c r="T4102" s="35"/>
      <c r="U4102" s="35"/>
      <c r="V4102" s="35"/>
      <c r="W4102" s="45"/>
    </row>
    <row r="4103">
      <c r="A4103" s="45"/>
      <c r="B4103" s="35"/>
      <c r="C4103" s="35"/>
      <c r="D4103" s="10"/>
      <c r="E4103" s="35" t="str">
        <f>IFERROR(__xludf.DUMMYFUNCTION("""COMPUTED_VALUE"""),"")</f>
        <v/>
      </c>
      <c r="F4103" s="35" t="str">
        <f>IFERROR(__xludf.DUMMYFUNCTION("""COMPUTED_VALUE"""),"1899")</f>
        <v>1899</v>
      </c>
      <c r="G4103" s="35"/>
      <c r="H4103" s="35" t="str">
        <f>IFERROR(__xludf.DUMMYFUNCTION("""COMPUTED_VALUE"""),"")</f>
        <v/>
      </c>
      <c r="I4103" s="35" t="str">
        <f>IFERROR(__xludf.DUMMYFUNCTION("""COMPUTED_VALUE"""),"")</f>
        <v/>
      </c>
      <c r="J4103" s="35" t="str">
        <f>IFERROR(__xludf.DUMMYFUNCTION("""COMPUTED_VALUE"""),"")</f>
        <v/>
      </c>
      <c r="K4103" s="35"/>
      <c r="L4103" s="35"/>
      <c r="M4103" s="35"/>
      <c r="N4103" s="35"/>
      <c r="O4103" s="35"/>
      <c r="P4103" s="35"/>
      <c r="Q4103" s="35"/>
      <c r="R4103" s="35"/>
      <c r="S4103" s="74"/>
      <c r="T4103" s="35"/>
      <c r="U4103" s="35"/>
      <c r="V4103" s="35"/>
      <c r="W4103" s="45"/>
    </row>
    <row r="4104">
      <c r="A4104" s="45"/>
      <c r="B4104" s="35"/>
      <c r="C4104" s="35"/>
      <c r="D4104" s="10"/>
      <c r="E4104" s="35" t="str">
        <f>IFERROR(__xludf.DUMMYFUNCTION("""COMPUTED_VALUE"""),"")</f>
        <v/>
      </c>
      <c r="F4104" s="35" t="str">
        <f>IFERROR(__xludf.DUMMYFUNCTION("""COMPUTED_VALUE"""),"1899")</f>
        <v>1899</v>
      </c>
      <c r="G4104" s="35"/>
      <c r="H4104" s="35" t="str">
        <f>IFERROR(__xludf.DUMMYFUNCTION("""COMPUTED_VALUE"""),"")</f>
        <v/>
      </c>
      <c r="I4104" s="35" t="str">
        <f>IFERROR(__xludf.DUMMYFUNCTION("""COMPUTED_VALUE"""),"")</f>
        <v/>
      </c>
      <c r="J4104" s="35" t="str">
        <f>IFERROR(__xludf.DUMMYFUNCTION("""COMPUTED_VALUE"""),"")</f>
        <v/>
      </c>
      <c r="K4104" s="35"/>
      <c r="L4104" s="35"/>
      <c r="M4104" s="35"/>
      <c r="N4104" s="35"/>
      <c r="O4104" s="35"/>
      <c r="P4104" s="35"/>
      <c r="Q4104" s="35"/>
      <c r="R4104" s="35"/>
      <c r="S4104" s="74"/>
      <c r="T4104" s="35"/>
      <c r="U4104" s="35"/>
      <c r="V4104" s="35"/>
      <c r="W4104" s="45"/>
    </row>
    <row r="4105">
      <c r="A4105" s="45"/>
      <c r="B4105" s="35"/>
      <c r="C4105" s="35"/>
      <c r="D4105" s="10"/>
      <c r="E4105" s="35" t="str">
        <f>IFERROR(__xludf.DUMMYFUNCTION("""COMPUTED_VALUE"""),"")</f>
        <v/>
      </c>
      <c r="F4105" s="35" t="str">
        <f>IFERROR(__xludf.DUMMYFUNCTION("""COMPUTED_VALUE"""),"1899")</f>
        <v>1899</v>
      </c>
      <c r="G4105" s="35"/>
      <c r="H4105" s="35" t="str">
        <f>IFERROR(__xludf.DUMMYFUNCTION("""COMPUTED_VALUE"""),"")</f>
        <v/>
      </c>
      <c r="I4105" s="35" t="str">
        <f>IFERROR(__xludf.DUMMYFUNCTION("""COMPUTED_VALUE"""),"")</f>
        <v/>
      </c>
      <c r="J4105" s="35" t="str">
        <f>IFERROR(__xludf.DUMMYFUNCTION("""COMPUTED_VALUE"""),"")</f>
        <v/>
      </c>
      <c r="K4105" s="35"/>
      <c r="L4105" s="35"/>
      <c r="M4105" s="35"/>
      <c r="N4105" s="35"/>
      <c r="O4105" s="35"/>
      <c r="P4105" s="35"/>
      <c r="Q4105" s="35"/>
      <c r="R4105" s="35"/>
      <c r="S4105" s="74"/>
      <c r="T4105" s="35"/>
      <c r="U4105" s="35"/>
      <c r="V4105" s="35"/>
      <c r="W4105" s="45"/>
    </row>
    <row r="4106">
      <c r="A4106" s="45"/>
      <c r="B4106" s="35"/>
      <c r="C4106" s="35"/>
      <c r="D4106" s="10"/>
      <c r="E4106" s="35" t="str">
        <f>IFERROR(__xludf.DUMMYFUNCTION("""COMPUTED_VALUE"""),"")</f>
        <v/>
      </c>
      <c r="F4106" s="35" t="str">
        <f>IFERROR(__xludf.DUMMYFUNCTION("""COMPUTED_VALUE"""),"1899")</f>
        <v>1899</v>
      </c>
      <c r="G4106" s="35"/>
      <c r="H4106" s="35" t="str">
        <f>IFERROR(__xludf.DUMMYFUNCTION("""COMPUTED_VALUE"""),"")</f>
        <v/>
      </c>
      <c r="I4106" s="35" t="str">
        <f>IFERROR(__xludf.DUMMYFUNCTION("""COMPUTED_VALUE"""),"")</f>
        <v/>
      </c>
      <c r="J4106" s="35" t="str">
        <f>IFERROR(__xludf.DUMMYFUNCTION("""COMPUTED_VALUE"""),"")</f>
        <v/>
      </c>
      <c r="K4106" s="35"/>
      <c r="L4106" s="35"/>
      <c r="M4106" s="35"/>
      <c r="N4106" s="35"/>
      <c r="O4106" s="35"/>
      <c r="P4106" s="35"/>
      <c r="Q4106" s="35"/>
      <c r="R4106" s="35"/>
      <c r="S4106" s="74"/>
      <c r="T4106" s="35"/>
      <c r="U4106" s="35"/>
      <c r="V4106" s="35"/>
      <c r="W4106" s="45"/>
    </row>
    <row r="4107">
      <c r="A4107" s="45"/>
      <c r="B4107" s="35"/>
      <c r="C4107" s="35"/>
      <c r="D4107" s="10"/>
      <c r="E4107" s="35" t="str">
        <f>IFERROR(__xludf.DUMMYFUNCTION("""COMPUTED_VALUE"""),"")</f>
        <v/>
      </c>
      <c r="F4107" s="35" t="str">
        <f>IFERROR(__xludf.DUMMYFUNCTION("""COMPUTED_VALUE"""),"1899")</f>
        <v>1899</v>
      </c>
      <c r="G4107" s="35"/>
      <c r="H4107" s="35" t="str">
        <f>IFERROR(__xludf.DUMMYFUNCTION("""COMPUTED_VALUE"""),"")</f>
        <v/>
      </c>
      <c r="I4107" s="35" t="str">
        <f>IFERROR(__xludf.DUMMYFUNCTION("""COMPUTED_VALUE"""),"")</f>
        <v/>
      </c>
      <c r="J4107" s="35" t="str">
        <f>IFERROR(__xludf.DUMMYFUNCTION("""COMPUTED_VALUE"""),"")</f>
        <v/>
      </c>
      <c r="K4107" s="35"/>
      <c r="L4107" s="35"/>
      <c r="M4107" s="35"/>
      <c r="N4107" s="35"/>
      <c r="O4107" s="35"/>
      <c r="P4107" s="35"/>
      <c r="Q4107" s="35"/>
      <c r="R4107" s="35"/>
      <c r="S4107" s="74"/>
      <c r="T4107" s="35"/>
      <c r="U4107" s="35"/>
      <c r="V4107" s="35"/>
      <c r="W4107" s="45"/>
    </row>
    <row r="4108">
      <c r="A4108" s="45"/>
      <c r="B4108" s="35"/>
      <c r="C4108" s="35"/>
      <c r="D4108" s="10"/>
      <c r="E4108" s="35" t="str">
        <f>IFERROR(__xludf.DUMMYFUNCTION("""COMPUTED_VALUE"""),"")</f>
        <v/>
      </c>
      <c r="F4108" s="35" t="str">
        <f>IFERROR(__xludf.DUMMYFUNCTION("""COMPUTED_VALUE"""),"1899")</f>
        <v>1899</v>
      </c>
      <c r="G4108" s="35"/>
      <c r="H4108" s="35" t="str">
        <f>IFERROR(__xludf.DUMMYFUNCTION("""COMPUTED_VALUE"""),"")</f>
        <v/>
      </c>
      <c r="I4108" s="35" t="str">
        <f>IFERROR(__xludf.DUMMYFUNCTION("""COMPUTED_VALUE"""),"")</f>
        <v/>
      </c>
      <c r="J4108" s="35" t="str">
        <f>IFERROR(__xludf.DUMMYFUNCTION("""COMPUTED_VALUE"""),"")</f>
        <v/>
      </c>
      <c r="K4108" s="35"/>
      <c r="L4108" s="35"/>
      <c r="M4108" s="35"/>
      <c r="N4108" s="35"/>
      <c r="O4108" s="35"/>
      <c r="P4108" s="35"/>
      <c r="Q4108" s="35"/>
      <c r="R4108" s="35"/>
      <c r="S4108" s="74"/>
      <c r="T4108" s="35"/>
      <c r="U4108" s="35"/>
      <c r="V4108" s="35"/>
      <c r="W4108" s="45"/>
    </row>
    <row r="4109">
      <c r="A4109" s="45"/>
      <c r="B4109" s="35"/>
      <c r="C4109" s="35"/>
      <c r="D4109" s="10"/>
      <c r="E4109" s="35" t="str">
        <f>IFERROR(__xludf.DUMMYFUNCTION("""COMPUTED_VALUE"""),"")</f>
        <v/>
      </c>
      <c r="F4109" s="35" t="str">
        <f>IFERROR(__xludf.DUMMYFUNCTION("""COMPUTED_VALUE"""),"1899")</f>
        <v>1899</v>
      </c>
      <c r="G4109" s="35"/>
      <c r="H4109" s="35" t="str">
        <f>IFERROR(__xludf.DUMMYFUNCTION("""COMPUTED_VALUE"""),"")</f>
        <v/>
      </c>
      <c r="I4109" s="35" t="str">
        <f>IFERROR(__xludf.DUMMYFUNCTION("""COMPUTED_VALUE"""),"")</f>
        <v/>
      </c>
      <c r="J4109" s="35" t="str">
        <f>IFERROR(__xludf.DUMMYFUNCTION("""COMPUTED_VALUE"""),"")</f>
        <v/>
      </c>
      <c r="K4109" s="35"/>
      <c r="L4109" s="35"/>
      <c r="M4109" s="35"/>
      <c r="N4109" s="35"/>
      <c r="O4109" s="35"/>
      <c r="P4109" s="35"/>
      <c r="Q4109" s="35"/>
      <c r="R4109" s="35"/>
      <c r="S4109" s="74"/>
      <c r="T4109" s="35"/>
      <c r="U4109" s="35"/>
      <c r="V4109" s="35"/>
      <c r="W4109" s="45"/>
    </row>
    <row r="4110">
      <c r="A4110" s="45"/>
      <c r="B4110" s="35"/>
      <c r="C4110" s="35"/>
      <c r="D4110" s="10"/>
      <c r="E4110" s="35" t="str">
        <f>IFERROR(__xludf.DUMMYFUNCTION("""COMPUTED_VALUE"""),"")</f>
        <v/>
      </c>
      <c r="F4110" s="35" t="str">
        <f>IFERROR(__xludf.DUMMYFUNCTION("""COMPUTED_VALUE"""),"1899")</f>
        <v>1899</v>
      </c>
      <c r="G4110" s="35"/>
      <c r="H4110" s="35" t="str">
        <f>IFERROR(__xludf.DUMMYFUNCTION("""COMPUTED_VALUE"""),"")</f>
        <v/>
      </c>
      <c r="I4110" s="35" t="str">
        <f>IFERROR(__xludf.DUMMYFUNCTION("""COMPUTED_VALUE"""),"")</f>
        <v/>
      </c>
      <c r="J4110" s="35" t="str">
        <f>IFERROR(__xludf.DUMMYFUNCTION("""COMPUTED_VALUE"""),"")</f>
        <v/>
      </c>
      <c r="K4110" s="35"/>
      <c r="L4110" s="35"/>
      <c r="M4110" s="35"/>
      <c r="N4110" s="35"/>
      <c r="O4110" s="35"/>
      <c r="P4110" s="35"/>
      <c r="Q4110" s="35"/>
      <c r="R4110" s="35"/>
      <c r="S4110" s="74"/>
      <c r="T4110" s="35"/>
      <c r="U4110" s="35"/>
      <c r="V4110" s="35"/>
      <c r="W4110" s="45"/>
    </row>
    <row r="4111">
      <c r="A4111" s="45"/>
      <c r="B4111" s="35"/>
      <c r="C4111" s="35"/>
      <c r="D4111" s="10"/>
      <c r="E4111" s="35" t="str">
        <f>IFERROR(__xludf.DUMMYFUNCTION("""COMPUTED_VALUE"""),"")</f>
        <v/>
      </c>
      <c r="F4111" s="35" t="str">
        <f>IFERROR(__xludf.DUMMYFUNCTION("""COMPUTED_VALUE"""),"1899")</f>
        <v>1899</v>
      </c>
      <c r="G4111" s="35"/>
      <c r="H4111" s="35" t="str">
        <f>IFERROR(__xludf.DUMMYFUNCTION("""COMPUTED_VALUE"""),"")</f>
        <v/>
      </c>
      <c r="I4111" s="35" t="str">
        <f>IFERROR(__xludf.DUMMYFUNCTION("""COMPUTED_VALUE"""),"")</f>
        <v/>
      </c>
      <c r="J4111" s="35" t="str">
        <f>IFERROR(__xludf.DUMMYFUNCTION("""COMPUTED_VALUE"""),"")</f>
        <v/>
      </c>
      <c r="K4111" s="35"/>
      <c r="L4111" s="35"/>
      <c r="M4111" s="35"/>
      <c r="N4111" s="35"/>
      <c r="O4111" s="35"/>
      <c r="P4111" s="35"/>
      <c r="Q4111" s="35"/>
      <c r="R4111" s="35"/>
      <c r="S4111" s="74"/>
      <c r="T4111" s="35"/>
      <c r="U4111" s="35"/>
      <c r="V4111" s="35"/>
      <c r="W4111" s="45"/>
    </row>
    <row r="4112">
      <c r="A4112" s="45"/>
      <c r="B4112" s="35"/>
      <c r="C4112" s="35"/>
      <c r="D4112" s="10"/>
      <c r="E4112" s="35" t="str">
        <f>IFERROR(__xludf.DUMMYFUNCTION("""COMPUTED_VALUE"""),"")</f>
        <v/>
      </c>
      <c r="F4112" s="35" t="str">
        <f>IFERROR(__xludf.DUMMYFUNCTION("""COMPUTED_VALUE"""),"1899")</f>
        <v>1899</v>
      </c>
      <c r="G4112" s="35"/>
      <c r="H4112" s="35" t="str">
        <f>IFERROR(__xludf.DUMMYFUNCTION("""COMPUTED_VALUE"""),"")</f>
        <v/>
      </c>
      <c r="I4112" s="35" t="str">
        <f>IFERROR(__xludf.DUMMYFUNCTION("""COMPUTED_VALUE"""),"")</f>
        <v/>
      </c>
      <c r="J4112" s="35" t="str">
        <f>IFERROR(__xludf.DUMMYFUNCTION("""COMPUTED_VALUE"""),"")</f>
        <v/>
      </c>
      <c r="K4112" s="35"/>
      <c r="L4112" s="35"/>
      <c r="M4112" s="35"/>
      <c r="N4112" s="35"/>
      <c r="O4112" s="35"/>
      <c r="P4112" s="35"/>
      <c r="Q4112" s="35"/>
      <c r="R4112" s="35"/>
      <c r="S4112" s="74"/>
      <c r="T4112" s="35"/>
      <c r="U4112" s="35"/>
      <c r="V4112" s="35"/>
      <c r="W4112" s="45"/>
    </row>
    <row r="4113">
      <c r="A4113" s="45"/>
      <c r="B4113" s="35"/>
      <c r="C4113" s="35"/>
      <c r="D4113" s="10"/>
      <c r="E4113" s="35" t="str">
        <f>IFERROR(__xludf.DUMMYFUNCTION("""COMPUTED_VALUE"""),"")</f>
        <v/>
      </c>
      <c r="F4113" s="35" t="str">
        <f>IFERROR(__xludf.DUMMYFUNCTION("""COMPUTED_VALUE"""),"1899")</f>
        <v>1899</v>
      </c>
      <c r="G4113" s="35"/>
      <c r="H4113" s="35" t="str">
        <f>IFERROR(__xludf.DUMMYFUNCTION("""COMPUTED_VALUE"""),"")</f>
        <v/>
      </c>
      <c r="I4113" s="35" t="str">
        <f>IFERROR(__xludf.DUMMYFUNCTION("""COMPUTED_VALUE"""),"")</f>
        <v/>
      </c>
      <c r="J4113" s="35" t="str">
        <f>IFERROR(__xludf.DUMMYFUNCTION("""COMPUTED_VALUE"""),"")</f>
        <v/>
      </c>
      <c r="K4113" s="35"/>
      <c r="L4113" s="35"/>
      <c r="M4113" s="35"/>
      <c r="N4113" s="35"/>
      <c r="O4113" s="35"/>
      <c r="P4113" s="35"/>
      <c r="Q4113" s="35"/>
      <c r="R4113" s="35"/>
      <c r="S4113" s="74"/>
      <c r="T4113" s="35"/>
      <c r="U4113" s="35"/>
      <c r="V4113" s="35"/>
      <c r="W4113" s="45"/>
    </row>
    <row r="4114">
      <c r="A4114" s="45"/>
      <c r="B4114" s="35"/>
      <c r="C4114" s="35"/>
      <c r="D4114" s="10"/>
      <c r="E4114" s="35" t="str">
        <f>IFERROR(__xludf.DUMMYFUNCTION("""COMPUTED_VALUE"""),"")</f>
        <v/>
      </c>
      <c r="F4114" s="35" t="str">
        <f>IFERROR(__xludf.DUMMYFUNCTION("""COMPUTED_VALUE"""),"1899")</f>
        <v>1899</v>
      </c>
      <c r="G4114" s="35"/>
      <c r="H4114" s="35" t="str">
        <f>IFERROR(__xludf.DUMMYFUNCTION("""COMPUTED_VALUE"""),"")</f>
        <v/>
      </c>
      <c r="I4114" s="35" t="str">
        <f>IFERROR(__xludf.DUMMYFUNCTION("""COMPUTED_VALUE"""),"")</f>
        <v/>
      </c>
      <c r="J4114" s="35" t="str">
        <f>IFERROR(__xludf.DUMMYFUNCTION("""COMPUTED_VALUE"""),"")</f>
        <v/>
      </c>
      <c r="K4114" s="35"/>
      <c r="L4114" s="35"/>
      <c r="M4114" s="35"/>
      <c r="N4114" s="35"/>
      <c r="O4114" s="35"/>
      <c r="P4114" s="35"/>
      <c r="Q4114" s="35"/>
      <c r="R4114" s="35"/>
      <c r="S4114" s="74"/>
      <c r="T4114" s="35"/>
      <c r="U4114" s="35"/>
      <c r="V4114" s="35"/>
      <c r="W4114" s="45"/>
    </row>
    <row r="4115">
      <c r="A4115" s="45"/>
      <c r="B4115" s="35"/>
      <c r="C4115" s="35"/>
      <c r="D4115" s="10"/>
      <c r="E4115" s="35" t="str">
        <f>IFERROR(__xludf.DUMMYFUNCTION("""COMPUTED_VALUE"""),"")</f>
        <v/>
      </c>
      <c r="F4115" s="35" t="str">
        <f>IFERROR(__xludf.DUMMYFUNCTION("""COMPUTED_VALUE"""),"1899")</f>
        <v>1899</v>
      </c>
      <c r="G4115" s="35"/>
      <c r="H4115" s="35" t="str">
        <f>IFERROR(__xludf.DUMMYFUNCTION("""COMPUTED_VALUE"""),"")</f>
        <v/>
      </c>
      <c r="I4115" s="35" t="str">
        <f>IFERROR(__xludf.DUMMYFUNCTION("""COMPUTED_VALUE"""),"")</f>
        <v/>
      </c>
      <c r="J4115" s="35" t="str">
        <f>IFERROR(__xludf.DUMMYFUNCTION("""COMPUTED_VALUE"""),"")</f>
        <v/>
      </c>
      <c r="K4115" s="35"/>
      <c r="L4115" s="35"/>
      <c r="M4115" s="35"/>
      <c r="N4115" s="35"/>
      <c r="O4115" s="35"/>
      <c r="P4115" s="35"/>
      <c r="Q4115" s="35"/>
      <c r="R4115" s="35"/>
      <c r="S4115" s="74"/>
      <c r="T4115" s="35"/>
      <c r="U4115" s="35"/>
      <c r="V4115" s="35"/>
      <c r="W4115" s="45"/>
    </row>
    <row r="4116">
      <c r="A4116" s="45"/>
      <c r="B4116" s="35"/>
      <c r="C4116" s="35"/>
      <c r="D4116" s="10"/>
      <c r="E4116" s="35" t="str">
        <f>IFERROR(__xludf.DUMMYFUNCTION("""COMPUTED_VALUE"""),"")</f>
        <v/>
      </c>
      <c r="F4116" s="35" t="str">
        <f>IFERROR(__xludf.DUMMYFUNCTION("""COMPUTED_VALUE"""),"1899")</f>
        <v>1899</v>
      </c>
      <c r="G4116" s="35"/>
      <c r="H4116" s="35" t="str">
        <f>IFERROR(__xludf.DUMMYFUNCTION("""COMPUTED_VALUE"""),"")</f>
        <v/>
      </c>
      <c r="I4116" s="35" t="str">
        <f>IFERROR(__xludf.DUMMYFUNCTION("""COMPUTED_VALUE"""),"")</f>
        <v/>
      </c>
      <c r="J4116" s="35" t="str">
        <f>IFERROR(__xludf.DUMMYFUNCTION("""COMPUTED_VALUE"""),"")</f>
        <v/>
      </c>
      <c r="K4116" s="35"/>
      <c r="L4116" s="35"/>
      <c r="M4116" s="35"/>
      <c r="N4116" s="35"/>
      <c r="O4116" s="35"/>
      <c r="P4116" s="35"/>
      <c r="Q4116" s="35"/>
      <c r="R4116" s="35"/>
      <c r="S4116" s="74"/>
      <c r="T4116" s="35"/>
      <c r="U4116" s="35"/>
      <c r="V4116" s="35"/>
      <c r="W4116" s="45"/>
    </row>
    <row r="4117">
      <c r="A4117" s="45"/>
      <c r="B4117" s="35"/>
      <c r="C4117" s="35"/>
      <c r="D4117" s="10"/>
      <c r="E4117" s="35" t="str">
        <f>IFERROR(__xludf.DUMMYFUNCTION("""COMPUTED_VALUE"""),"")</f>
        <v/>
      </c>
      <c r="F4117" s="35" t="str">
        <f>IFERROR(__xludf.DUMMYFUNCTION("""COMPUTED_VALUE"""),"1899")</f>
        <v>1899</v>
      </c>
      <c r="G4117" s="35"/>
      <c r="H4117" s="35" t="str">
        <f>IFERROR(__xludf.DUMMYFUNCTION("""COMPUTED_VALUE"""),"")</f>
        <v/>
      </c>
      <c r="I4117" s="35" t="str">
        <f>IFERROR(__xludf.DUMMYFUNCTION("""COMPUTED_VALUE"""),"")</f>
        <v/>
      </c>
      <c r="J4117" s="35" t="str">
        <f>IFERROR(__xludf.DUMMYFUNCTION("""COMPUTED_VALUE"""),"")</f>
        <v/>
      </c>
      <c r="K4117" s="35"/>
      <c r="L4117" s="35"/>
      <c r="M4117" s="35"/>
      <c r="N4117" s="35"/>
      <c r="O4117" s="35"/>
      <c r="P4117" s="35"/>
      <c r="Q4117" s="35"/>
      <c r="R4117" s="35"/>
      <c r="S4117" s="74"/>
      <c r="T4117" s="35"/>
      <c r="U4117" s="35"/>
      <c r="V4117" s="35"/>
      <c r="W4117" s="45"/>
    </row>
    <row r="4118">
      <c r="A4118" s="45"/>
      <c r="B4118" s="35"/>
      <c r="C4118" s="35"/>
      <c r="D4118" s="10"/>
      <c r="E4118" s="35" t="str">
        <f>IFERROR(__xludf.DUMMYFUNCTION("""COMPUTED_VALUE"""),"")</f>
        <v/>
      </c>
      <c r="F4118" s="35" t="str">
        <f>IFERROR(__xludf.DUMMYFUNCTION("""COMPUTED_VALUE"""),"1899")</f>
        <v>1899</v>
      </c>
      <c r="G4118" s="35"/>
      <c r="H4118" s="35" t="str">
        <f>IFERROR(__xludf.DUMMYFUNCTION("""COMPUTED_VALUE"""),"")</f>
        <v/>
      </c>
      <c r="I4118" s="35" t="str">
        <f>IFERROR(__xludf.DUMMYFUNCTION("""COMPUTED_VALUE"""),"")</f>
        <v/>
      </c>
      <c r="J4118" s="35" t="str">
        <f>IFERROR(__xludf.DUMMYFUNCTION("""COMPUTED_VALUE"""),"")</f>
        <v/>
      </c>
      <c r="K4118" s="35"/>
      <c r="L4118" s="35"/>
      <c r="M4118" s="35"/>
      <c r="N4118" s="35"/>
      <c r="O4118" s="35"/>
      <c r="P4118" s="35"/>
      <c r="Q4118" s="35"/>
      <c r="R4118" s="35"/>
      <c r="S4118" s="74"/>
      <c r="T4118" s="35"/>
      <c r="U4118" s="35"/>
      <c r="V4118" s="35"/>
      <c r="W4118" s="45"/>
    </row>
    <row r="4119">
      <c r="A4119" s="45"/>
      <c r="B4119" s="35"/>
      <c r="C4119" s="35"/>
      <c r="D4119" s="10"/>
      <c r="E4119" s="35" t="str">
        <f>IFERROR(__xludf.DUMMYFUNCTION("""COMPUTED_VALUE"""),"")</f>
        <v/>
      </c>
      <c r="F4119" s="35" t="str">
        <f>IFERROR(__xludf.DUMMYFUNCTION("""COMPUTED_VALUE"""),"1899")</f>
        <v>1899</v>
      </c>
      <c r="G4119" s="35"/>
      <c r="H4119" s="35" t="str">
        <f>IFERROR(__xludf.DUMMYFUNCTION("""COMPUTED_VALUE"""),"")</f>
        <v/>
      </c>
      <c r="I4119" s="35" t="str">
        <f>IFERROR(__xludf.DUMMYFUNCTION("""COMPUTED_VALUE"""),"")</f>
        <v/>
      </c>
      <c r="J4119" s="35" t="str">
        <f>IFERROR(__xludf.DUMMYFUNCTION("""COMPUTED_VALUE"""),"")</f>
        <v/>
      </c>
      <c r="K4119" s="35"/>
      <c r="L4119" s="35"/>
      <c r="M4119" s="35"/>
      <c r="N4119" s="35"/>
      <c r="O4119" s="35"/>
      <c r="P4119" s="35"/>
      <c r="Q4119" s="35"/>
      <c r="R4119" s="35"/>
      <c r="S4119" s="74"/>
      <c r="T4119" s="35"/>
      <c r="U4119" s="35"/>
      <c r="V4119" s="35"/>
      <c r="W4119" s="45"/>
    </row>
    <row r="4120">
      <c r="A4120" s="45"/>
      <c r="B4120" s="35"/>
      <c r="C4120" s="35"/>
      <c r="D4120" s="10"/>
      <c r="E4120" s="35" t="str">
        <f>IFERROR(__xludf.DUMMYFUNCTION("""COMPUTED_VALUE"""),"")</f>
        <v/>
      </c>
      <c r="F4120" s="35" t="str">
        <f>IFERROR(__xludf.DUMMYFUNCTION("""COMPUTED_VALUE"""),"1899")</f>
        <v>1899</v>
      </c>
      <c r="G4120" s="35"/>
      <c r="H4120" s="35" t="str">
        <f>IFERROR(__xludf.DUMMYFUNCTION("""COMPUTED_VALUE"""),"")</f>
        <v/>
      </c>
      <c r="I4120" s="35" t="str">
        <f>IFERROR(__xludf.DUMMYFUNCTION("""COMPUTED_VALUE"""),"")</f>
        <v/>
      </c>
      <c r="J4120" s="35" t="str">
        <f>IFERROR(__xludf.DUMMYFUNCTION("""COMPUTED_VALUE"""),"")</f>
        <v/>
      </c>
      <c r="K4120" s="35"/>
      <c r="L4120" s="35"/>
      <c r="M4120" s="35"/>
      <c r="N4120" s="35"/>
      <c r="O4120" s="35"/>
      <c r="P4120" s="35"/>
      <c r="Q4120" s="35"/>
      <c r="R4120" s="35"/>
      <c r="S4120" s="74"/>
      <c r="T4120" s="35"/>
      <c r="U4120" s="35"/>
      <c r="V4120" s="35"/>
      <c r="W4120" s="45"/>
    </row>
    <row r="4121">
      <c r="A4121" s="45"/>
      <c r="B4121" s="35"/>
      <c r="C4121" s="35"/>
      <c r="D4121" s="10"/>
      <c r="E4121" s="35" t="str">
        <f>IFERROR(__xludf.DUMMYFUNCTION("""COMPUTED_VALUE"""),"")</f>
        <v/>
      </c>
      <c r="F4121" s="35" t="str">
        <f>IFERROR(__xludf.DUMMYFUNCTION("""COMPUTED_VALUE"""),"1899")</f>
        <v>1899</v>
      </c>
      <c r="G4121" s="35"/>
      <c r="H4121" s="35" t="str">
        <f>IFERROR(__xludf.DUMMYFUNCTION("""COMPUTED_VALUE"""),"")</f>
        <v/>
      </c>
      <c r="I4121" s="35" t="str">
        <f>IFERROR(__xludf.DUMMYFUNCTION("""COMPUTED_VALUE"""),"")</f>
        <v/>
      </c>
      <c r="J4121" s="35" t="str">
        <f>IFERROR(__xludf.DUMMYFUNCTION("""COMPUTED_VALUE"""),"")</f>
        <v/>
      </c>
      <c r="K4121" s="35"/>
      <c r="L4121" s="35"/>
      <c r="M4121" s="35"/>
      <c r="N4121" s="35"/>
      <c r="O4121" s="35"/>
      <c r="P4121" s="35"/>
      <c r="Q4121" s="35"/>
      <c r="R4121" s="35"/>
      <c r="S4121" s="74"/>
      <c r="T4121" s="35"/>
      <c r="U4121" s="35"/>
      <c r="V4121" s="35"/>
      <c r="W4121" s="45"/>
    </row>
    <row r="4122">
      <c r="A4122" s="45"/>
      <c r="B4122" s="35"/>
      <c r="C4122" s="35"/>
      <c r="D4122" s="10"/>
      <c r="E4122" s="35" t="str">
        <f>IFERROR(__xludf.DUMMYFUNCTION("""COMPUTED_VALUE"""),"")</f>
        <v/>
      </c>
      <c r="F4122" s="35" t="str">
        <f>IFERROR(__xludf.DUMMYFUNCTION("""COMPUTED_VALUE"""),"1899")</f>
        <v>1899</v>
      </c>
      <c r="G4122" s="35"/>
      <c r="H4122" s="35" t="str">
        <f>IFERROR(__xludf.DUMMYFUNCTION("""COMPUTED_VALUE"""),"")</f>
        <v/>
      </c>
      <c r="I4122" s="35" t="str">
        <f>IFERROR(__xludf.DUMMYFUNCTION("""COMPUTED_VALUE"""),"")</f>
        <v/>
      </c>
      <c r="J4122" s="35" t="str">
        <f>IFERROR(__xludf.DUMMYFUNCTION("""COMPUTED_VALUE"""),"")</f>
        <v/>
      </c>
      <c r="K4122" s="35"/>
      <c r="L4122" s="35"/>
      <c r="M4122" s="35"/>
      <c r="N4122" s="35"/>
      <c r="O4122" s="35"/>
      <c r="P4122" s="35"/>
      <c r="Q4122" s="35"/>
      <c r="R4122" s="35"/>
      <c r="S4122" s="74"/>
      <c r="T4122" s="35"/>
      <c r="U4122" s="35"/>
      <c r="V4122" s="35"/>
      <c r="W4122" s="45"/>
    </row>
    <row r="4123">
      <c r="A4123" s="45"/>
      <c r="B4123" s="35"/>
      <c r="C4123" s="35"/>
      <c r="D4123" s="10"/>
      <c r="E4123" s="35" t="str">
        <f>IFERROR(__xludf.DUMMYFUNCTION("""COMPUTED_VALUE"""),"")</f>
        <v/>
      </c>
      <c r="F4123" s="35" t="str">
        <f>IFERROR(__xludf.DUMMYFUNCTION("""COMPUTED_VALUE"""),"1899")</f>
        <v>1899</v>
      </c>
      <c r="G4123" s="35"/>
      <c r="H4123" s="35" t="str">
        <f>IFERROR(__xludf.DUMMYFUNCTION("""COMPUTED_VALUE"""),"")</f>
        <v/>
      </c>
      <c r="I4123" s="35" t="str">
        <f>IFERROR(__xludf.DUMMYFUNCTION("""COMPUTED_VALUE"""),"")</f>
        <v/>
      </c>
      <c r="J4123" s="35" t="str">
        <f>IFERROR(__xludf.DUMMYFUNCTION("""COMPUTED_VALUE"""),"")</f>
        <v/>
      </c>
      <c r="K4123" s="35"/>
      <c r="L4123" s="35"/>
      <c r="M4123" s="35"/>
      <c r="N4123" s="35"/>
      <c r="O4123" s="35"/>
      <c r="P4123" s="35"/>
      <c r="Q4123" s="35"/>
      <c r="R4123" s="35"/>
      <c r="S4123" s="74"/>
      <c r="T4123" s="35"/>
      <c r="U4123" s="35"/>
      <c r="V4123" s="35"/>
      <c r="W4123" s="45"/>
    </row>
    <row r="4124">
      <c r="A4124" s="45"/>
      <c r="B4124" s="35"/>
      <c r="C4124" s="35"/>
      <c r="D4124" s="10"/>
      <c r="E4124" s="35" t="str">
        <f>IFERROR(__xludf.DUMMYFUNCTION("""COMPUTED_VALUE"""),"")</f>
        <v/>
      </c>
      <c r="F4124" s="35" t="str">
        <f>IFERROR(__xludf.DUMMYFUNCTION("""COMPUTED_VALUE"""),"1899")</f>
        <v>1899</v>
      </c>
      <c r="G4124" s="35"/>
      <c r="H4124" s="35" t="str">
        <f>IFERROR(__xludf.DUMMYFUNCTION("""COMPUTED_VALUE"""),"")</f>
        <v/>
      </c>
      <c r="I4124" s="35" t="str">
        <f>IFERROR(__xludf.DUMMYFUNCTION("""COMPUTED_VALUE"""),"")</f>
        <v/>
      </c>
      <c r="J4124" s="35" t="str">
        <f>IFERROR(__xludf.DUMMYFUNCTION("""COMPUTED_VALUE"""),"")</f>
        <v/>
      </c>
      <c r="K4124" s="35"/>
      <c r="L4124" s="35"/>
      <c r="M4124" s="35"/>
      <c r="N4124" s="35"/>
      <c r="O4124" s="35"/>
      <c r="P4124" s="35"/>
      <c r="Q4124" s="35"/>
      <c r="R4124" s="35"/>
      <c r="S4124" s="74"/>
      <c r="T4124" s="35"/>
      <c r="U4124" s="35"/>
      <c r="V4124" s="35"/>
      <c r="W4124" s="45"/>
    </row>
    <row r="4125">
      <c r="A4125" s="45"/>
      <c r="B4125" s="35"/>
      <c r="C4125" s="35"/>
      <c r="D4125" s="10"/>
      <c r="E4125" s="35" t="str">
        <f>IFERROR(__xludf.DUMMYFUNCTION("""COMPUTED_VALUE"""),"")</f>
        <v/>
      </c>
      <c r="F4125" s="35" t="str">
        <f>IFERROR(__xludf.DUMMYFUNCTION("""COMPUTED_VALUE"""),"1899")</f>
        <v>1899</v>
      </c>
      <c r="G4125" s="35"/>
      <c r="H4125" s="35" t="str">
        <f>IFERROR(__xludf.DUMMYFUNCTION("""COMPUTED_VALUE"""),"")</f>
        <v/>
      </c>
      <c r="I4125" s="35" t="str">
        <f>IFERROR(__xludf.DUMMYFUNCTION("""COMPUTED_VALUE"""),"")</f>
        <v/>
      </c>
      <c r="J4125" s="35" t="str">
        <f>IFERROR(__xludf.DUMMYFUNCTION("""COMPUTED_VALUE"""),"")</f>
        <v/>
      </c>
      <c r="K4125" s="35"/>
      <c r="L4125" s="35"/>
      <c r="M4125" s="35"/>
      <c r="N4125" s="35"/>
      <c r="O4125" s="35"/>
      <c r="P4125" s="35"/>
      <c r="Q4125" s="35"/>
      <c r="R4125" s="35"/>
      <c r="S4125" s="74"/>
      <c r="T4125" s="35"/>
      <c r="U4125" s="35"/>
      <c r="V4125" s="35"/>
      <c r="W4125" s="45"/>
    </row>
    <row r="4126">
      <c r="A4126" s="45"/>
      <c r="B4126" s="35"/>
      <c r="C4126" s="35"/>
      <c r="D4126" s="10"/>
      <c r="E4126" s="35" t="str">
        <f>IFERROR(__xludf.DUMMYFUNCTION("""COMPUTED_VALUE"""),"")</f>
        <v/>
      </c>
      <c r="F4126" s="35" t="str">
        <f>IFERROR(__xludf.DUMMYFUNCTION("""COMPUTED_VALUE"""),"1899")</f>
        <v>1899</v>
      </c>
      <c r="G4126" s="35"/>
      <c r="H4126" s="35" t="str">
        <f>IFERROR(__xludf.DUMMYFUNCTION("""COMPUTED_VALUE"""),"")</f>
        <v/>
      </c>
      <c r="I4126" s="35" t="str">
        <f>IFERROR(__xludf.DUMMYFUNCTION("""COMPUTED_VALUE"""),"")</f>
        <v/>
      </c>
      <c r="J4126" s="35" t="str">
        <f>IFERROR(__xludf.DUMMYFUNCTION("""COMPUTED_VALUE"""),"")</f>
        <v/>
      </c>
      <c r="K4126" s="35"/>
      <c r="L4126" s="35"/>
      <c r="M4126" s="35"/>
      <c r="N4126" s="35"/>
      <c r="O4126" s="35"/>
      <c r="P4126" s="35"/>
      <c r="Q4126" s="35"/>
      <c r="R4126" s="35"/>
      <c r="S4126" s="74"/>
      <c r="T4126" s="35"/>
      <c r="U4126" s="35"/>
      <c r="V4126" s="35"/>
      <c r="W4126" s="45"/>
    </row>
    <row r="4127">
      <c r="A4127" s="45"/>
      <c r="B4127" s="35"/>
      <c r="C4127" s="35"/>
      <c r="D4127" s="10"/>
      <c r="E4127" s="35" t="str">
        <f>IFERROR(__xludf.DUMMYFUNCTION("""COMPUTED_VALUE"""),"")</f>
        <v/>
      </c>
      <c r="F4127" s="35" t="str">
        <f>IFERROR(__xludf.DUMMYFUNCTION("""COMPUTED_VALUE"""),"1899")</f>
        <v>1899</v>
      </c>
      <c r="G4127" s="35"/>
      <c r="H4127" s="35" t="str">
        <f>IFERROR(__xludf.DUMMYFUNCTION("""COMPUTED_VALUE"""),"")</f>
        <v/>
      </c>
      <c r="I4127" s="35" t="str">
        <f>IFERROR(__xludf.DUMMYFUNCTION("""COMPUTED_VALUE"""),"")</f>
        <v/>
      </c>
      <c r="J4127" s="35" t="str">
        <f>IFERROR(__xludf.DUMMYFUNCTION("""COMPUTED_VALUE"""),"")</f>
        <v/>
      </c>
      <c r="K4127" s="35"/>
      <c r="L4127" s="35"/>
      <c r="M4127" s="35"/>
      <c r="N4127" s="35"/>
      <c r="O4127" s="35"/>
      <c r="P4127" s="35"/>
      <c r="Q4127" s="35"/>
      <c r="R4127" s="35"/>
      <c r="S4127" s="74"/>
      <c r="T4127" s="35"/>
      <c r="U4127" s="35"/>
      <c r="V4127" s="35"/>
      <c r="W4127" s="45"/>
    </row>
    <row r="4128">
      <c r="A4128" s="45"/>
      <c r="B4128" s="35"/>
      <c r="C4128" s="35"/>
      <c r="D4128" s="10"/>
      <c r="E4128" s="35" t="str">
        <f>IFERROR(__xludf.DUMMYFUNCTION("""COMPUTED_VALUE"""),"")</f>
        <v/>
      </c>
      <c r="F4128" s="35" t="str">
        <f>IFERROR(__xludf.DUMMYFUNCTION("""COMPUTED_VALUE"""),"1899")</f>
        <v>1899</v>
      </c>
      <c r="G4128" s="35"/>
      <c r="H4128" s="35" t="str">
        <f>IFERROR(__xludf.DUMMYFUNCTION("""COMPUTED_VALUE"""),"")</f>
        <v/>
      </c>
      <c r="I4128" s="35" t="str">
        <f>IFERROR(__xludf.DUMMYFUNCTION("""COMPUTED_VALUE"""),"")</f>
        <v/>
      </c>
      <c r="J4128" s="35" t="str">
        <f>IFERROR(__xludf.DUMMYFUNCTION("""COMPUTED_VALUE"""),"")</f>
        <v/>
      </c>
      <c r="K4128" s="35"/>
      <c r="L4128" s="35"/>
      <c r="M4128" s="35"/>
      <c r="N4128" s="35"/>
      <c r="O4128" s="35"/>
      <c r="P4128" s="35"/>
      <c r="Q4128" s="35"/>
      <c r="R4128" s="35"/>
      <c r="S4128" s="74"/>
      <c r="T4128" s="35"/>
      <c r="U4128" s="35"/>
      <c r="V4128" s="35"/>
      <c r="W4128" s="45"/>
    </row>
    <row r="4129">
      <c r="A4129" s="45"/>
      <c r="B4129" s="35"/>
      <c r="C4129" s="35"/>
      <c r="D4129" s="10"/>
      <c r="E4129" s="35" t="str">
        <f>IFERROR(__xludf.DUMMYFUNCTION("""COMPUTED_VALUE"""),"")</f>
        <v/>
      </c>
      <c r="F4129" s="35" t="str">
        <f>IFERROR(__xludf.DUMMYFUNCTION("""COMPUTED_VALUE"""),"1899")</f>
        <v>1899</v>
      </c>
      <c r="G4129" s="35"/>
      <c r="H4129" s="35" t="str">
        <f>IFERROR(__xludf.DUMMYFUNCTION("""COMPUTED_VALUE"""),"")</f>
        <v/>
      </c>
      <c r="I4129" s="35" t="str">
        <f>IFERROR(__xludf.DUMMYFUNCTION("""COMPUTED_VALUE"""),"")</f>
        <v/>
      </c>
      <c r="J4129" s="35" t="str">
        <f>IFERROR(__xludf.DUMMYFUNCTION("""COMPUTED_VALUE"""),"")</f>
        <v/>
      </c>
      <c r="K4129" s="35"/>
      <c r="L4129" s="35"/>
      <c r="M4129" s="35"/>
      <c r="N4129" s="35"/>
      <c r="O4129" s="35"/>
      <c r="P4129" s="35"/>
      <c r="Q4129" s="35"/>
      <c r="R4129" s="35"/>
      <c r="S4129" s="74"/>
      <c r="T4129" s="35"/>
      <c r="U4129" s="35"/>
      <c r="V4129" s="35"/>
      <c r="W4129" s="45"/>
    </row>
    <row r="4130">
      <c r="A4130" s="45"/>
      <c r="B4130" s="35"/>
      <c r="C4130" s="35"/>
      <c r="D4130" s="10"/>
      <c r="E4130" s="35" t="str">
        <f>IFERROR(__xludf.DUMMYFUNCTION("""COMPUTED_VALUE"""),"")</f>
        <v/>
      </c>
      <c r="F4130" s="35" t="str">
        <f>IFERROR(__xludf.DUMMYFUNCTION("""COMPUTED_VALUE"""),"1899")</f>
        <v>1899</v>
      </c>
      <c r="G4130" s="35"/>
      <c r="H4130" s="35" t="str">
        <f>IFERROR(__xludf.DUMMYFUNCTION("""COMPUTED_VALUE"""),"")</f>
        <v/>
      </c>
      <c r="I4130" s="35" t="str">
        <f>IFERROR(__xludf.DUMMYFUNCTION("""COMPUTED_VALUE"""),"")</f>
        <v/>
      </c>
      <c r="J4130" s="35" t="str">
        <f>IFERROR(__xludf.DUMMYFUNCTION("""COMPUTED_VALUE"""),"")</f>
        <v/>
      </c>
      <c r="K4130" s="35"/>
      <c r="L4130" s="35"/>
      <c r="M4130" s="35"/>
      <c r="N4130" s="35"/>
      <c r="O4130" s="35"/>
      <c r="P4130" s="35"/>
      <c r="Q4130" s="35"/>
      <c r="R4130" s="35"/>
      <c r="S4130" s="74"/>
      <c r="T4130" s="35"/>
      <c r="U4130" s="35"/>
      <c r="V4130" s="35"/>
      <c r="W4130" s="45"/>
    </row>
    <row r="4131">
      <c r="A4131" s="45"/>
      <c r="B4131" s="35"/>
      <c r="C4131" s="35"/>
      <c r="D4131" s="10"/>
      <c r="E4131" s="35" t="str">
        <f>IFERROR(__xludf.DUMMYFUNCTION("""COMPUTED_VALUE"""),"")</f>
        <v/>
      </c>
      <c r="F4131" s="35" t="str">
        <f>IFERROR(__xludf.DUMMYFUNCTION("""COMPUTED_VALUE"""),"1899")</f>
        <v>1899</v>
      </c>
      <c r="G4131" s="35"/>
      <c r="H4131" s="35" t="str">
        <f>IFERROR(__xludf.DUMMYFUNCTION("""COMPUTED_VALUE"""),"")</f>
        <v/>
      </c>
      <c r="I4131" s="35" t="str">
        <f>IFERROR(__xludf.DUMMYFUNCTION("""COMPUTED_VALUE"""),"")</f>
        <v/>
      </c>
      <c r="J4131" s="35" t="str">
        <f>IFERROR(__xludf.DUMMYFUNCTION("""COMPUTED_VALUE"""),"")</f>
        <v/>
      </c>
      <c r="K4131" s="35"/>
      <c r="L4131" s="35"/>
      <c r="M4131" s="35"/>
      <c r="N4131" s="35"/>
      <c r="O4131" s="35"/>
      <c r="P4131" s="35"/>
      <c r="Q4131" s="35"/>
      <c r="R4131" s="35"/>
      <c r="S4131" s="74"/>
      <c r="T4131" s="35"/>
      <c r="U4131" s="35"/>
      <c r="V4131" s="35"/>
      <c r="W4131" s="45"/>
    </row>
    <row r="4132">
      <c r="A4132" s="45"/>
      <c r="B4132" s="35"/>
      <c r="C4132" s="35"/>
      <c r="D4132" s="10"/>
      <c r="E4132" s="35" t="str">
        <f>IFERROR(__xludf.DUMMYFUNCTION("""COMPUTED_VALUE"""),"")</f>
        <v/>
      </c>
      <c r="F4132" s="35" t="str">
        <f>IFERROR(__xludf.DUMMYFUNCTION("""COMPUTED_VALUE"""),"1899")</f>
        <v>1899</v>
      </c>
      <c r="G4132" s="35"/>
      <c r="H4132" s="35" t="str">
        <f>IFERROR(__xludf.DUMMYFUNCTION("""COMPUTED_VALUE"""),"")</f>
        <v/>
      </c>
      <c r="I4132" s="35" t="str">
        <f>IFERROR(__xludf.DUMMYFUNCTION("""COMPUTED_VALUE"""),"")</f>
        <v/>
      </c>
      <c r="J4132" s="35" t="str">
        <f>IFERROR(__xludf.DUMMYFUNCTION("""COMPUTED_VALUE"""),"")</f>
        <v/>
      </c>
      <c r="K4132" s="35"/>
      <c r="L4132" s="35"/>
      <c r="M4132" s="35"/>
      <c r="N4132" s="35"/>
      <c r="O4132" s="35"/>
      <c r="P4132" s="35"/>
      <c r="Q4132" s="35"/>
      <c r="R4132" s="35"/>
      <c r="S4132" s="74"/>
      <c r="T4132" s="35"/>
      <c r="U4132" s="35"/>
      <c r="V4132" s="35"/>
      <c r="W4132" s="45"/>
    </row>
    <row r="4133">
      <c r="A4133" s="45"/>
      <c r="B4133" s="35"/>
      <c r="C4133" s="35"/>
      <c r="D4133" s="10"/>
      <c r="E4133" s="35" t="str">
        <f>IFERROR(__xludf.DUMMYFUNCTION("""COMPUTED_VALUE"""),"")</f>
        <v/>
      </c>
      <c r="F4133" s="35" t="str">
        <f>IFERROR(__xludf.DUMMYFUNCTION("""COMPUTED_VALUE"""),"1899")</f>
        <v>1899</v>
      </c>
      <c r="G4133" s="35"/>
      <c r="H4133" s="35" t="str">
        <f>IFERROR(__xludf.DUMMYFUNCTION("""COMPUTED_VALUE"""),"")</f>
        <v/>
      </c>
      <c r="I4133" s="35" t="str">
        <f>IFERROR(__xludf.DUMMYFUNCTION("""COMPUTED_VALUE"""),"")</f>
        <v/>
      </c>
      <c r="J4133" s="35" t="str">
        <f>IFERROR(__xludf.DUMMYFUNCTION("""COMPUTED_VALUE"""),"")</f>
        <v/>
      </c>
      <c r="K4133" s="35"/>
      <c r="L4133" s="35"/>
      <c r="M4133" s="35"/>
      <c r="N4133" s="35"/>
      <c r="O4133" s="35"/>
      <c r="P4133" s="35"/>
      <c r="Q4133" s="35"/>
      <c r="R4133" s="35"/>
      <c r="S4133" s="74"/>
      <c r="T4133" s="35"/>
      <c r="U4133" s="35"/>
      <c r="V4133" s="35"/>
      <c r="W4133" s="45"/>
    </row>
    <row r="4134">
      <c r="A4134" s="45"/>
      <c r="B4134" s="35"/>
      <c r="C4134" s="35"/>
      <c r="D4134" s="10"/>
      <c r="E4134" s="35" t="str">
        <f>IFERROR(__xludf.DUMMYFUNCTION("""COMPUTED_VALUE"""),"")</f>
        <v/>
      </c>
      <c r="F4134" s="35" t="str">
        <f>IFERROR(__xludf.DUMMYFUNCTION("""COMPUTED_VALUE"""),"1899")</f>
        <v>1899</v>
      </c>
      <c r="G4134" s="35"/>
      <c r="H4134" s="35" t="str">
        <f>IFERROR(__xludf.DUMMYFUNCTION("""COMPUTED_VALUE"""),"")</f>
        <v/>
      </c>
      <c r="I4134" s="35" t="str">
        <f>IFERROR(__xludf.DUMMYFUNCTION("""COMPUTED_VALUE"""),"")</f>
        <v/>
      </c>
      <c r="J4134" s="35" t="str">
        <f>IFERROR(__xludf.DUMMYFUNCTION("""COMPUTED_VALUE"""),"")</f>
        <v/>
      </c>
      <c r="K4134" s="35"/>
      <c r="L4134" s="35"/>
      <c r="M4134" s="35"/>
      <c r="N4134" s="35"/>
      <c r="O4134" s="35"/>
      <c r="P4134" s="35"/>
      <c r="Q4134" s="35"/>
      <c r="R4134" s="35"/>
      <c r="S4134" s="74"/>
      <c r="T4134" s="35"/>
      <c r="U4134" s="35"/>
      <c r="V4134" s="35"/>
      <c r="W4134" s="45"/>
    </row>
    <row r="4135">
      <c r="A4135" s="45"/>
      <c r="B4135" s="35"/>
      <c r="C4135" s="35"/>
      <c r="D4135" s="10"/>
      <c r="E4135" s="35" t="str">
        <f>IFERROR(__xludf.DUMMYFUNCTION("""COMPUTED_VALUE"""),"")</f>
        <v/>
      </c>
      <c r="F4135" s="35" t="str">
        <f>IFERROR(__xludf.DUMMYFUNCTION("""COMPUTED_VALUE"""),"1899")</f>
        <v>1899</v>
      </c>
      <c r="G4135" s="35"/>
      <c r="H4135" s="35" t="str">
        <f>IFERROR(__xludf.DUMMYFUNCTION("""COMPUTED_VALUE"""),"")</f>
        <v/>
      </c>
      <c r="I4135" s="35" t="str">
        <f>IFERROR(__xludf.DUMMYFUNCTION("""COMPUTED_VALUE"""),"")</f>
        <v/>
      </c>
      <c r="J4135" s="35" t="str">
        <f>IFERROR(__xludf.DUMMYFUNCTION("""COMPUTED_VALUE"""),"")</f>
        <v/>
      </c>
      <c r="K4135" s="35"/>
      <c r="L4135" s="35"/>
      <c r="M4135" s="35"/>
      <c r="N4135" s="35"/>
      <c r="O4135" s="35"/>
      <c r="P4135" s="35"/>
      <c r="Q4135" s="35"/>
      <c r="R4135" s="35"/>
      <c r="S4135" s="74"/>
      <c r="T4135" s="35"/>
      <c r="U4135" s="35"/>
      <c r="V4135" s="35"/>
      <c r="W4135" s="45"/>
    </row>
    <row r="4136">
      <c r="A4136" s="45"/>
      <c r="B4136" s="35"/>
      <c r="C4136" s="35"/>
      <c r="D4136" s="10"/>
      <c r="E4136" s="35" t="str">
        <f>IFERROR(__xludf.DUMMYFUNCTION("""COMPUTED_VALUE"""),"")</f>
        <v/>
      </c>
      <c r="F4136" s="35" t="str">
        <f>IFERROR(__xludf.DUMMYFUNCTION("""COMPUTED_VALUE"""),"1899")</f>
        <v>1899</v>
      </c>
      <c r="G4136" s="35"/>
      <c r="H4136" s="35" t="str">
        <f>IFERROR(__xludf.DUMMYFUNCTION("""COMPUTED_VALUE"""),"")</f>
        <v/>
      </c>
      <c r="I4136" s="35" t="str">
        <f>IFERROR(__xludf.DUMMYFUNCTION("""COMPUTED_VALUE"""),"")</f>
        <v/>
      </c>
      <c r="J4136" s="35" t="str">
        <f>IFERROR(__xludf.DUMMYFUNCTION("""COMPUTED_VALUE"""),"")</f>
        <v/>
      </c>
      <c r="K4136" s="35"/>
      <c r="L4136" s="35"/>
      <c r="M4136" s="35"/>
      <c r="N4136" s="35"/>
      <c r="O4136" s="35"/>
      <c r="P4136" s="35"/>
      <c r="Q4136" s="35"/>
      <c r="R4136" s="35"/>
      <c r="S4136" s="74"/>
      <c r="T4136" s="35"/>
      <c r="U4136" s="35"/>
      <c r="V4136" s="35"/>
      <c r="W4136" s="45"/>
    </row>
    <row r="4137">
      <c r="A4137" s="45"/>
      <c r="B4137" s="35"/>
      <c r="C4137" s="35"/>
      <c r="D4137" s="10"/>
      <c r="E4137" s="35" t="str">
        <f>IFERROR(__xludf.DUMMYFUNCTION("""COMPUTED_VALUE"""),"")</f>
        <v/>
      </c>
      <c r="F4137" s="35" t="str">
        <f>IFERROR(__xludf.DUMMYFUNCTION("""COMPUTED_VALUE"""),"1899")</f>
        <v>1899</v>
      </c>
      <c r="G4137" s="35"/>
      <c r="H4137" s="35" t="str">
        <f>IFERROR(__xludf.DUMMYFUNCTION("""COMPUTED_VALUE"""),"")</f>
        <v/>
      </c>
      <c r="I4137" s="35" t="str">
        <f>IFERROR(__xludf.DUMMYFUNCTION("""COMPUTED_VALUE"""),"")</f>
        <v/>
      </c>
      <c r="J4137" s="35" t="str">
        <f>IFERROR(__xludf.DUMMYFUNCTION("""COMPUTED_VALUE"""),"")</f>
        <v/>
      </c>
      <c r="K4137" s="35"/>
      <c r="L4137" s="35"/>
      <c r="M4137" s="35"/>
      <c r="N4137" s="35"/>
      <c r="O4137" s="35"/>
      <c r="P4137" s="35"/>
      <c r="Q4137" s="35"/>
      <c r="R4137" s="35"/>
      <c r="S4137" s="74"/>
      <c r="T4137" s="35"/>
      <c r="U4137" s="35"/>
      <c r="V4137" s="35"/>
      <c r="W4137" s="45"/>
    </row>
    <row r="4138">
      <c r="A4138" s="45"/>
      <c r="B4138" s="35"/>
      <c r="C4138" s="35"/>
      <c r="D4138" s="10"/>
      <c r="E4138" s="35" t="str">
        <f>IFERROR(__xludf.DUMMYFUNCTION("""COMPUTED_VALUE"""),"")</f>
        <v/>
      </c>
      <c r="F4138" s="35" t="str">
        <f>IFERROR(__xludf.DUMMYFUNCTION("""COMPUTED_VALUE"""),"1899")</f>
        <v>1899</v>
      </c>
      <c r="G4138" s="35"/>
      <c r="H4138" s="35" t="str">
        <f>IFERROR(__xludf.DUMMYFUNCTION("""COMPUTED_VALUE"""),"")</f>
        <v/>
      </c>
      <c r="I4138" s="35" t="str">
        <f>IFERROR(__xludf.DUMMYFUNCTION("""COMPUTED_VALUE"""),"")</f>
        <v/>
      </c>
      <c r="J4138" s="35" t="str">
        <f>IFERROR(__xludf.DUMMYFUNCTION("""COMPUTED_VALUE"""),"")</f>
        <v/>
      </c>
      <c r="K4138" s="35"/>
      <c r="L4138" s="35"/>
      <c r="M4138" s="35"/>
      <c r="N4138" s="35"/>
      <c r="O4138" s="35"/>
      <c r="P4138" s="35"/>
      <c r="Q4138" s="35"/>
      <c r="R4138" s="35"/>
      <c r="S4138" s="74"/>
      <c r="T4138" s="35"/>
      <c r="U4138" s="35"/>
      <c r="V4138" s="35"/>
      <c r="W4138" s="45"/>
    </row>
    <row r="4139">
      <c r="A4139" s="45"/>
      <c r="B4139" s="35"/>
      <c r="C4139" s="35"/>
      <c r="D4139" s="10"/>
      <c r="E4139" s="35" t="str">
        <f>IFERROR(__xludf.DUMMYFUNCTION("""COMPUTED_VALUE"""),"")</f>
        <v/>
      </c>
      <c r="F4139" s="35" t="str">
        <f>IFERROR(__xludf.DUMMYFUNCTION("""COMPUTED_VALUE"""),"1899")</f>
        <v>1899</v>
      </c>
      <c r="G4139" s="35"/>
      <c r="H4139" s="35" t="str">
        <f>IFERROR(__xludf.DUMMYFUNCTION("""COMPUTED_VALUE"""),"")</f>
        <v/>
      </c>
      <c r="I4139" s="35" t="str">
        <f>IFERROR(__xludf.DUMMYFUNCTION("""COMPUTED_VALUE"""),"")</f>
        <v/>
      </c>
      <c r="J4139" s="35" t="str">
        <f>IFERROR(__xludf.DUMMYFUNCTION("""COMPUTED_VALUE"""),"")</f>
        <v/>
      </c>
      <c r="K4139" s="35"/>
      <c r="L4139" s="35"/>
      <c r="M4139" s="35"/>
      <c r="N4139" s="35"/>
      <c r="O4139" s="35"/>
      <c r="P4139" s="35"/>
      <c r="Q4139" s="35"/>
      <c r="R4139" s="35"/>
      <c r="S4139" s="74"/>
      <c r="T4139" s="35"/>
      <c r="U4139" s="35"/>
      <c r="V4139" s="35"/>
      <c r="W4139" s="45"/>
    </row>
    <row r="4140">
      <c r="A4140" s="45"/>
      <c r="B4140" s="35"/>
      <c r="C4140" s="35"/>
      <c r="D4140" s="10"/>
      <c r="E4140" s="35" t="str">
        <f>IFERROR(__xludf.DUMMYFUNCTION("""COMPUTED_VALUE"""),"")</f>
        <v/>
      </c>
      <c r="F4140" s="35" t="str">
        <f>IFERROR(__xludf.DUMMYFUNCTION("""COMPUTED_VALUE"""),"1899")</f>
        <v>1899</v>
      </c>
      <c r="G4140" s="35"/>
      <c r="H4140" s="35" t="str">
        <f>IFERROR(__xludf.DUMMYFUNCTION("""COMPUTED_VALUE"""),"")</f>
        <v/>
      </c>
      <c r="I4140" s="35" t="str">
        <f>IFERROR(__xludf.DUMMYFUNCTION("""COMPUTED_VALUE"""),"")</f>
        <v/>
      </c>
      <c r="J4140" s="35" t="str">
        <f>IFERROR(__xludf.DUMMYFUNCTION("""COMPUTED_VALUE"""),"")</f>
        <v/>
      </c>
      <c r="K4140" s="35"/>
      <c r="L4140" s="35"/>
      <c r="M4140" s="35"/>
      <c r="N4140" s="35"/>
      <c r="O4140" s="35"/>
      <c r="P4140" s="35"/>
      <c r="Q4140" s="35"/>
      <c r="R4140" s="35"/>
      <c r="S4140" s="74"/>
      <c r="T4140" s="35"/>
      <c r="U4140" s="35"/>
      <c r="V4140" s="35"/>
      <c r="W4140" s="45"/>
    </row>
    <row r="4141">
      <c r="A4141" s="45"/>
      <c r="B4141" s="35"/>
      <c r="C4141" s="35"/>
      <c r="D4141" s="10"/>
      <c r="E4141" s="35" t="str">
        <f>IFERROR(__xludf.DUMMYFUNCTION("""COMPUTED_VALUE"""),"")</f>
        <v/>
      </c>
      <c r="F4141" s="35" t="str">
        <f>IFERROR(__xludf.DUMMYFUNCTION("""COMPUTED_VALUE"""),"1899")</f>
        <v>1899</v>
      </c>
      <c r="G4141" s="35"/>
      <c r="H4141" s="35" t="str">
        <f>IFERROR(__xludf.DUMMYFUNCTION("""COMPUTED_VALUE"""),"")</f>
        <v/>
      </c>
      <c r="I4141" s="35" t="str">
        <f>IFERROR(__xludf.DUMMYFUNCTION("""COMPUTED_VALUE"""),"")</f>
        <v/>
      </c>
      <c r="J4141" s="35" t="str">
        <f>IFERROR(__xludf.DUMMYFUNCTION("""COMPUTED_VALUE"""),"")</f>
        <v/>
      </c>
      <c r="K4141" s="35"/>
      <c r="L4141" s="35"/>
      <c r="M4141" s="35"/>
      <c r="N4141" s="35"/>
      <c r="O4141" s="35"/>
      <c r="P4141" s="35"/>
      <c r="Q4141" s="35"/>
      <c r="R4141" s="35"/>
      <c r="S4141" s="74"/>
      <c r="T4141" s="35"/>
      <c r="U4141" s="35"/>
      <c r="V4141" s="35"/>
      <c r="W4141" s="45"/>
    </row>
    <row r="4142">
      <c r="A4142" s="45"/>
      <c r="B4142" s="35"/>
      <c r="C4142" s="35"/>
      <c r="D4142" s="10"/>
      <c r="E4142" s="35" t="str">
        <f>IFERROR(__xludf.DUMMYFUNCTION("""COMPUTED_VALUE"""),"")</f>
        <v/>
      </c>
      <c r="F4142" s="35" t="str">
        <f>IFERROR(__xludf.DUMMYFUNCTION("""COMPUTED_VALUE"""),"1899")</f>
        <v>1899</v>
      </c>
      <c r="G4142" s="35"/>
      <c r="H4142" s="35" t="str">
        <f>IFERROR(__xludf.DUMMYFUNCTION("""COMPUTED_VALUE"""),"")</f>
        <v/>
      </c>
      <c r="I4142" s="35" t="str">
        <f>IFERROR(__xludf.DUMMYFUNCTION("""COMPUTED_VALUE"""),"")</f>
        <v/>
      </c>
      <c r="J4142" s="35" t="str">
        <f>IFERROR(__xludf.DUMMYFUNCTION("""COMPUTED_VALUE"""),"")</f>
        <v/>
      </c>
      <c r="K4142" s="35"/>
      <c r="L4142" s="35"/>
      <c r="M4142" s="35"/>
      <c r="N4142" s="35"/>
      <c r="O4142" s="35"/>
      <c r="P4142" s="35"/>
      <c r="Q4142" s="35"/>
      <c r="R4142" s="35"/>
      <c r="S4142" s="74"/>
      <c r="T4142" s="35"/>
      <c r="U4142" s="35"/>
      <c r="V4142" s="35"/>
      <c r="W4142" s="45"/>
    </row>
    <row r="4143">
      <c r="A4143" s="45"/>
      <c r="B4143" s="35"/>
      <c r="C4143" s="35"/>
      <c r="D4143" s="10"/>
      <c r="E4143" s="35" t="str">
        <f>IFERROR(__xludf.DUMMYFUNCTION("""COMPUTED_VALUE"""),"")</f>
        <v/>
      </c>
      <c r="F4143" s="35" t="str">
        <f>IFERROR(__xludf.DUMMYFUNCTION("""COMPUTED_VALUE"""),"1899")</f>
        <v>1899</v>
      </c>
      <c r="G4143" s="35"/>
      <c r="H4143" s="35" t="str">
        <f>IFERROR(__xludf.DUMMYFUNCTION("""COMPUTED_VALUE"""),"")</f>
        <v/>
      </c>
      <c r="I4143" s="35" t="str">
        <f>IFERROR(__xludf.DUMMYFUNCTION("""COMPUTED_VALUE"""),"")</f>
        <v/>
      </c>
      <c r="J4143" s="35" t="str">
        <f>IFERROR(__xludf.DUMMYFUNCTION("""COMPUTED_VALUE"""),"")</f>
        <v/>
      </c>
      <c r="K4143" s="35"/>
      <c r="L4143" s="35"/>
      <c r="M4143" s="35"/>
      <c r="N4143" s="35"/>
      <c r="O4143" s="35"/>
      <c r="P4143" s="35"/>
      <c r="Q4143" s="35"/>
      <c r="R4143" s="35"/>
      <c r="S4143" s="74"/>
      <c r="T4143" s="35"/>
      <c r="U4143" s="35"/>
      <c r="V4143" s="35"/>
      <c r="W4143" s="45"/>
    </row>
    <row r="4144">
      <c r="A4144" s="45"/>
      <c r="B4144" s="35"/>
      <c r="C4144" s="35"/>
      <c r="D4144" s="10"/>
      <c r="E4144" s="35" t="str">
        <f>IFERROR(__xludf.DUMMYFUNCTION("""COMPUTED_VALUE"""),"")</f>
        <v/>
      </c>
      <c r="F4144" s="35" t="str">
        <f>IFERROR(__xludf.DUMMYFUNCTION("""COMPUTED_VALUE"""),"1899")</f>
        <v>1899</v>
      </c>
      <c r="G4144" s="35"/>
      <c r="H4144" s="35" t="str">
        <f>IFERROR(__xludf.DUMMYFUNCTION("""COMPUTED_VALUE"""),"")</f>
        <v/>
      </c>
      <c r="I4144" s="35" t="str">
        <f>IFERROR(__xludf.DUMMYFUNCTION("""COMPUTED_VALUE"""),"")</f>
        <v/>
      </c>
      <c r="J4144" s="35" t="str">
        <f>IFERROR(__xludf.DUMMYFUNCTION("""COMPUTED_VALUE"""),"")</f>
        <v/>
      </c>
      <c r="K4144" s="35"/>
      <c r="L4144" s="35"/>
      <c r="M4144" s="35"/>
      <c r="N4144" s="35"/>
      <c r="O4144" s="35"/>
      <c r="P4144" s="35"/>
      <c r="Q4144" s="35"/>
      <c r="R4144" s="35"/>
      <c r="S4144" s="74"/>
      <c r="T4144" s="35"/>
      <c r="U4144" s="35"/>
      <c r="V4144" s="35"/>
      <c r="W4144" s="45"/>
    </row>
    <row r="4145">
      <c r="A4145" s="45"/>
      <c r="B4145" s="35"/>
      <c r="C4145" s="35"/>
      <c r="D4145" s="10"/>
      <c r="E4145" s="35" t="str">
        <f>IFERROR(__xludf.DUMMYFUNCTION("""COMPUTED_VALUE"""),"")</f>
        <v/>
      </c>
      <c r="F4145" s="35" t="str">
        <f>IFERROR(__xludf.DUMMYFUNCTION("""COMPUTED_VALUE"""),"1899")</f>
        <v>1899</v>
      </c>
      <c r="G4145" s="35"/>
      <c r="H4145" s="35" t="str">
        <f>IFERROR(__xludf.DUMMYFUNCTION("""COMPUTED_VALUE"""),"")</f>
        <v/>
      </c>
      <c r="I4145" s="35" t="str">
        <f>IFERROR(__xludf.DUMMYFUNCTION("""COMPUTED_VALUE"""),"")</f>
        <v/>
      </c>
      <c r="J4145" s="35" t="str">
        <f>IFERROR(__xludf.DUMMYFUNCTION("""COMPUTED_VALUE"""),"")</f>
        <v/>
      </c>
      <c r="K4145" s="35"/>
      <c r="L4145" s="35"/>
      <c r="M4145" s="35"/>
      <c r="N4145" s="35"/>
      <c r="O4145" s="35"/>
      <c r="P4145" s="35"/>
      <c r="Q4145" s="35"/>
      <c r="R4145" s="35"/>
      <c r="S4145" s="74"/>
      <c r="T4145" s="35"/>
      <c r="U4145" s="35"/>
      <c r="V4145" s="35"/>
      <c r="W4145" s="45"/>
    </row>
    <row r="4146">
      <c r="A4146" s="45"/>
      <c r="B4146" s="35"/>
      <c r="C4146" s="35"/>
      <c r="D4146" s="10"/>
      <c r="E4146" s="35" t="str">
        <f>IFERROR(__xludf.DUMMYFUNCTION("""COMPUTED_VALUE"""),"")</f>
        <v/>
      </c>
      <c r="F4146" s="35" t="str">
        <f>IFERROR(__xludf.DUMMYFUNCTION("""COMPUTED_VALUE"""),"1899")</f>
        <v>1899</v>
      </c>
      <c r="G4146" s="35"/>
      <c r="H4146" s="35" t="str">
        <f>IFERROR(__xludf.DUMMYFUNCTION("""COMPUTED_VALUE"""),"")</f>
        <v/>
      </c>
      <c r="I4146" s="35" t="str">
        <f>IFERROR(__xludf.DUMMYFUNCTION("""COMPUTED_VALUE"""),"")</f>
        <v/>
      </c>
      <c r="J4146" s="35" t="str">
        <f>IFERROR(__xludf.DUMMYFUNCTION("""COMPUTED_VALUE"""),"")</f>
        <v/>
      </c>
      <c r="K4146" s="35"/>
      <c r="L4146" s="35"/>
      <c r="M4146" s="35"/>
      <c r="N4146" s="35"/>
      <c r="O4146" s="35"/>
      <c r="P4146" s="35"/>
      <c r="Q4146" s="35"/>
      <c r="R4146" s="35"/>
      <c r="S4146" s="74"/>
      <c r="T4146" s="35"/>
      <c r="U4146" s="35"/>
      <c r="V4146" s="35"/>
      <c r="W4146" s="45"/>
    </row>
    <row r="4147">
      <c r="A4147" s="45"/>
      <c r="B4147" s="35"/>
      <c r="C4147" s="35"/>
      <c r="D4147" s="10"/>
      <c r="E4147" s="35" t="str">
        <f>IFERROR(__xludf.DUMMYFUNCTION("""COMPUTED_VALUE"""),"")</f>
        <v/>
      </c>
      <c r="F4147" s="35" t="str">
        <f>IFERROR(__xludf.DUMMYFUNCTION("""COMPUTED_VALUE"""),"1899")</f>
        <v>1899</v>
      </c>
      <c r="G4147" s="35"/>
      <c r="H4147" s="35" t="str">
        <f>IFERROR(__xludf.DUMMYFUNCTION("""COMPUTED_VALUE"""),"")</f>
        <v/>
      </c>
      <c r="I4147" s="35" t="str">
        <f>IFERROR(__xludf.DUMMYFUNCTION("""COMPUTED_VALUE"""),"")</f>
        <v/>
      </c>
      <c r="J4147" s="35" t="str">
        <f>IFERROR(__xludf.DUMMYFUNCTION("""COMPUTED_VALUE"""),"")</f>
        <v/>
      </c>
      <c r="K4147" s="35"/>
      <c r="L4147" s="35"/>
      <c r="M4147" s="35"/>
      <c r="N4147" s="35"/>
      <c r="O4147" s="35"/>
      <c r="P4147" s="35"/>
      <c r="Q4147" s="35"/>
      <c r="R4147" s="35"/>
      <c r="S4147" s="74"/>
      <c r="T4147" s="35"/>
      <c r="U4147" s="35"/>
      <c r="V4147" s="35"/>
      <c r="W4147" s="45"/>
    </row>
    <row r="4148">
      <c r="A4148" s="45"/>
      <c r="B4148" s="35"/>
      <c r="C4148" s="35"/>
      <c r="D4148" s="10"/>
      <c r="E4148" s="35" t="str">
        <f>IFERROR(__xludf.DUMMYFUNCTION("""COMPUTED_VALUE"""),"")</f>
        <v/>
      </c>
      <c r="F4148" s="35" t="str">
        <f>IFERROR(__xludf.DUMMYFUNCTION("""COMPUTED_VALUE"""),"1899")</f>
        <v>1899</v>
      </c>
      <c r="G4148" s="35"/>
      <c r="H4148" s="35" t="str">
        <f>IFERROR(__xludf.DUMMYFUNCTION("""COMPUTED_VALUE"""),"")</f>
        <v/>
      </c>
      <c r="I4148" s="35" t="str">
        <f>IFERROR(__xludf.DUMMYFUNCTION("""COMPUTED_VALUE"""),"")</f>
        <v/>
      </c>
      <c r="J4148" s="35" t="str">
        <f>IFERROR(__xludf.DUMMYFUNCTION("""COMPUTED_VALUE"""),"")</f>
        <v/>
      </c>
      <c r="K4148" s="35"/>
      <c r="L4148" s="35"/>
      <c r="M4148" s="35"/>
      <c r="N4148" s="35"/>
      <c r="O4148" s="35"/>
      <c r="P4148" s="35"/>
      <c r="Q4148" s="35"/>
      <c r="R4148" s="35"/>
      <c r="S4148" s="74"/>
      <c r="T4148" s="35"/>
      <c r="U4148" s="35"/>
      <c r="V4148" s="35"/>
      <c r="W4148" s="45"/>
    </row>
    <row r="4149">
      <c r="A4149" s="45"/>
      <c r="B4149" s="35"/>
      <c r="C4149" s="35"/>
      <c r="D4149" s="10"/>
      <c r="E4149" s="35" t="str">
        <f>IFERROR(__xludf.DUMMYFUNCTION("""COMPUTED_VALUE"""),"")</f>
        <v/>
      </c>
      <c r="F4149" s="35" t="str">
        <f>IFERROR(__xludf.DUMMYFUNCTION("""COMPUTED_VALUE"""),"1899")</f>
        <v>1899</v>
      </c>
      <c r="G4149" s="35"/>
      <c r="H4149" s="35" t="str">
        <f>IFERROR(__xludf.DUMMYFUNCTION("""COMPUTED_VALUE"""),"")</f>
        <v/>
      </c>
      <c r="I4149" s="35" t="str">
        <f>IFERROR(__xludf.DUMMYFUNCTION("""COMPUTED_VALUE"""),"")</f>
        <v/>
      </c>
      <c r="J4149" s="35" t="str">
        <f>IFERROR(__xludf.DUMMYFUNCTION("""COMPUTED_VALUE"""),"")</f>
        <v/>
      </c>
      <c r="K4149" s="35"/>
      <c r="L4149" s="35"/>
      <c r="M4149" s="35"/>
      <c r="N4149" s="35"/>
      <c r="O4149" s="35"/>
      <c r="P4149" s="35"/>
      <c r="Q4149" s="35"/>
      <c r="R4149" s="35"/>
      <c r="S4149" s="74"/>
      <c r="T4149" s="35"/>
      <c r="U4149" s="35"/>
      <c r="V4149" s="35"/>
      <c r="W4149" s="45"/>
    </row>
    <row r="4150">
      <c r="A4150" s="45"/>
      <c r="B4150" s="35"/>
      <c r="C4150" s="35"/>
      <c r="D4150" s="10"/>
      <c r="E4150" s="35" t="str">
        <f>IFERROR(__xludf.DUMMYFUNCTION("""COMPUTED_VALUE"""),"")</f>
        <v/>
      </c>
      <c r="F4150" s="35" t="str">
        <f>IFERROR(__xludf.DUMMYFUNCTION("""COMPUTED_VALUE"""),"1899")</f>
        <v>1899</v>
      </c>
      <c r="G4150" s="35"/>
      <c r="H4150" s="35" t="str">
        <f>IFERROR(__xludf.DUMMYFUNCTION("""COMPUTED_VALUE"""),"")</f>
        <v/>
      </c>
      <c r="I4150" s="35" t="str">
        <f>IFERROR(__xludf.DUMMYFUNCTION("""COMPUTED_VALUE"""),"")</f>
        <v/>
      </c>
      <c r="J4150" s="35" t="str">
        <f>IFERROR(__xludf.DUMMYFUNCTION("""COMPUTED_VALUE"""),"")</f>
        <v/>
      </c>
      <c r="K4150" s="35"/>
      <c r="L4150" s="35"/>
      <c r="M4150" s="35"/>
      <c r="N4150" s="35"/>
      <c r="O4150" s="35"/>
      <c r="P4150" s="35"/>
      <c r="Q4150" s="35"/>
      <c r="R4150" s="35"/>
      <c r="S4150" s="74"/>
      <c r="T4150" s="35"/>
      <c r="U4150" s="35"/>
      <c r="V4150" s="35"/>
      <c r="W4150" s="45"/>
    </row>
    <row r="4151">
      <c r="A4151" s="45"/>
      <c r="B4151" s="35"/>
      <c r="C4151" s="35"/>
      <c r="D4151" s="10"/>
      <c r="E4151" s="35" t="str">
        <f>IFERROR(__xludf.DUMMYFUNCTION("""COMPUTED_VALUE"""),"")</f>
        <v/>
      </c>
      <c r="F4151" s="35" t="str">
        <f>IFERROR(__xludf.DUMMYFUNCTION("""COMPUTED_VALUE"""),"1899")</f>
        <v>1899</v>
      </c>
      <c r="G4151" s="35"/>
      <c r="H4151" s="35" t="str">
        <f>IFERROR(__xludf.DUMMYFUNCTION("""COMPUTED_VALUE"""),"")</f>
        <v/>
      </c>
      <c r="I4151" s="35" t="str">
        <f>IFERROR(__xludf.DUMMYFUNCTION("""COMPUTED_VALUE"""),"")</f>
        <v/>
      </c>
      <c r="J4151" s="35" t="str">
        <f>IFERROR(__xludf.DUMMYFUNCTION("""COMPUTED_VALUE"""),"")</f>
        <v/>
      </c>
      <c r="K4151" s="35"/>
      <c r="L4151" s="35"/>
      <c r="M4151" s="35"/>
      <c r="N4151" s="35"/>
      <c r="O4151" s="35"/>
      <c r="P4151" s="35"/>
      <c r="Q4151" s="35"/>
      <c r="R4151" s="35"/>
      <c r="S4151" s="74"/>
      <c r="T4151" s="35"/>
      <c r="U4151" s="35"/>
      <c r="V4151" s="35"/>
      <c r="W4151" s="45"/>
    </row>
    <row r="4152">
      <c r="A4152" s="45"/>
      <c r="B4152" s="35"/>
      <c r="C4152" s="35"/>
      <c r="D4152" s="10"/>
      <c r="E4152" s="35" t="str">
        <f>IFERROR(__xludf.DUMMYFUNCTION("""COMPUTED_VALUE"""),"")</f>
        <v/>
      </c>
      <c r="F4152" s="35" t="str">
        <f>IFERROR(__xludf.DUMMYFUNCTION("""COMPUTED_VALUE"""),"1899")</f>
        <v>1899</v>
      </c>
      <c r="G4152" s="35"/>
      <c r="H4152" s="35" t="str">
        <f>IFERROR(__xludf.DUMMYFUNCTION("""COMPUTED_VALUE"""),"")</f>
        <v/>
      </c>
      <c r="I4152" s="35" t="str">
        <f>IFERROR(__xludf.DUMMYFUNCTION("""COMPUTED_VALUE"""),"")</f>
        <v/>
      </c>
      <c r="J4152" s="35" t="str">
        <f>IFERROR(__xludf.DUMMYFUNCTION("""COMPUTED_VALUE"""),"")</f>
        <v/>
      </c>
      <c r="K4152" s="35"/>
      <c r="L4152" s="35"/>
      <c r="M4152" s="35"/>
      <c r="N4152" s="35"/>
      <c r="O4152" s="35"/>
      <c r="P4152" s="35"/>
      <c r="Q4152" s="35"/>
      <c r="R4152" s="35"/>
      <c r="S4152" s="74"/>
      <c r="T4152" s="35"/>
      <c r="U4152" s="35"/>
      <c r="V4152" s="35"/>
      <c r="W4152" s="45"/>
    </row>
    <row r="4153">
      <c r="A4153" s="45"/>
      <c r="B4153" s="35"/>
      <c r="C4153" s="35"/>
      <c r="D4153" s="10"/>
      <c r="E4153" s="35" t="str">
        <f>IFERROR(__xludf.DUMMYFUNCTION("""COMPUTED_VALUE"""),"")</f>
        <v/>
      </c>
      <c r="F4153" s="35" t="str">
        <f>IFERROR(__xludf.DUMMYFUNCTION("""COMPUTED_VALUE"""),"1899")</f>
        <v>1899</v>
      </c>
      <c r="G4153" s="35"/>
      <c r="H4153" s="35" t="str">
        <f>IFERROR(__xludf.DUMMYFUNCTION("""COMPUTED_VALUE"""),"")</f>
        <v/>
      </c>
      <c r="I4153" s="35" t="str">
        <f>IFERROR(__xludf.DUMMYFUNCTION("""COMPUTED_VALUE"""),"")</f>
        <v/>
      </c>
      <c r="J4153" s="35" t="str">
        <f>IFERROR(__xludf.DUMMYFUNCTION("""COMPUTED_VALUE"""),"")</f>
        <v/>
      </c>
      <c r="K4153" s="35"/>
      <c r="L4153" s="35"/>
      <c r="M4153" s="35"/>
      <c r="N4153" s="35"/>
      <c r="O4153" s="35"/>
      <c r="P4153" s="35"/>
      <c r="Q4153" s="35"/>
      <c r="R4153" s="35"/>
      <c r="S4153" s="74"/>
      <c r="T4153" s="35"/>
      <c r="U4153" s="35"/>
      <c r="V4153" s="35"/>
      <c r="W4153" s="45"/>
    </row>
    <row r="4154">
      <c r="A4154" s="45"/>
      <c r="B4154" s="35"/>
      <c r="C4154" s="35"/>
      <c r="D4154" s="10"/>
      <c r="E4154" s="35" t="str">
        <f>IFERROR(__xludf.DUMMYFUNCTION("""COMPUTED_VALUE"""),"")</f>
        <v/>
      </c>
      <c r="F4154" s="35" t="str">
        <f>IFERROR(__xludf.DUMMYFUNCTION("""COMPUTED_VALUE"""),"1899")</f>
        <v>1899</v>
      </c>
      <c r="G4154" s="35"/>
      <c r="H4154" s="35" t="str">
        <f>IFERROR(__xludf.DUMMYFUNCTION("""COMPUTED_VALUE"""),"")</f>
        <v/>
      </c>
      <c r="I4154" s="35" t="str">
        <f>IFERROR(__xludf.DUMMYFUNCTION("""COMPUTED_VALUE"""),"")</f>
        <v/>
      </c>
      <c r="J4154" s="35" t="str">
        <f>IFERROR(__xludf.DUMMYFUNCTION("""COMPUTED_VALUE"""),"")</f>
        <v/>
      </c>
      <c r="K4154" s="35"/>
      <c r="L4154" s="35"/>
      <c r="M4154" s="35"/>
      <c r="N4154" s="35"/>
      <c r="O4154" s="35"/>
      <c r="P4154" s="35"/>
      <c r="Q4154" s="35"/>
      <c r="R4154" s="35"/>
      <c r="S4154" s="74"/>
      <c r="T4154" s="35"/>
      <c r="U4154" s="35"/>
      <c r="V4154" s="35"/>
      <c r="W4154" s="45"/>
    </row>
    <row r="4155">
      <c r="A4155" s="45"/>
      <c r="B4155" s="35"/>
      <c r="C4155" s="35"/>
      <c r="D4155" s="10"/>
      <c r="E4155" s="35" t="str">
        <f>IFERROR(__xludf.DUMMYFUNCTION("""COMPUTED_VALUE"""),"")</f>
        <v/>
      </c>
      <c r="F4155" s="35" t="str">
        <f>IFERROR(__xludf.DUMMYFUNCTION("""COMPUTED_VALUE"""),"1899")</f>
        <v>1899</v>
      </c>
      <c r="G4155" s="35"/>
      <c r="H4155" s="35" t="str">
        <f>IFERROR(__xludf.DUMMYFUNCTION("""COMPUTED_VALUE"""),"")</f>
        <v/>
      </c>
      <c r="I4155" s="35" t="str">
        <f>IFERROR(__xludf.DUMMYFUNCTION("""COMPUTED_VALUE"""),"")</f>
        <v/>
      </c>
      <c r="J4155" s="35" t="str">
        <f>IFERROR(__xludf.DUMMYFUNCTION("""COMPUTED_VALUE"""),"")</f>
        <v/>
      </c>
      <c r="K4155" s="35"/>
      <c r="L4155" s="35"/>
      <c r="M4155" s="35"/>
      <c r="N4155" s="35"/>
      <c r="O4155" s="35"/>
      <c r="P4155" s="35"/>
      <c r="Q4155" s="35"/>
      <c r="R4155" s="35"/>
      <c r="S4155" s="74"/>
      <c r="T4155" s="35"/>
      <c r="U4155" s="35"/>
      <c r="V4155" s="35"/>
      <c r="W4155" s="45"/>
    </row>
    <row r="4156">
      <c r="A4156" s="45"/>
      <c r="B4156" s="35"/>
      <c r="C4156" s="35"/>
      <c r="D4156" s="10"/>
      <c r="E4156" s="35" t="str">
        <f>IFERROR(__xludf.DUMMYFUNCTION("""COMPUTED_VALUE"""),"")</f>
        <v/>
      </c>
      <c r="F4156" s="35" t="str">
        <f>IFERROR(__xludf.DUMMYFUNCTION("""COMPUTED_VALUE"""),"1899")</f>
        <v>1899</v>
      </c>
      <c r="G4156" s="35"/>
      <c r="H4156" s="35" t="str">
        <f>IFERROR(__xludf.DUMMYFUNCTION("""COMPUTED_VALUE"""),"")</f>
        <v/>
      </c>
      <c r="I4156" s="35" t="str">
        <f>IFERROR(__xludf.DUMMYFUNCTION("""COMPUTED_VALUE"""),"")</f>
        <v/>
      </c>
      <c r="J4156" s="35" t="str">
        <f>IFERROR(__xludf.DUMMYFUNCTION("""COMPUTED_VALUE"""),"")</f>
        <v/>
      </c>
      <c r="K4156" s="35"/>
      <c r="L4156" s="35"/>
      <c r="M4156" s="35"/>
      <c r="N4156" s="35"/>
      <c r="O4156" s="35"/>
      <c r="P4156" s="35"/>
      <c r="Q4156" s="35"/>
      <c r="R4156" s="35"/>
      <c r="S4156" s="74"/>
      <c r="T4156" s="35"/>
      <c r="U4156" s="35"/>
      <c r="V4156" s="35"/>
      <c r="W4156" s="45"/>
    </row>
    <row r="4157">
      <c r="A4157" s="45"/>
      <c r="B4157" s="35"/>
      <c r="C4157" s="35"/>
      <c r="D4157" s="10"/>
      <c r="E4157" s="35" t="str">
        <f>IFERROR(__xludf.DUMMYFUNCTION("""COMPUTED_VALUE"""),"")</f>
        <v/>
      </c>
      <c r="F4157" s="35" t="str">
        <f>IFERROR(__xludf.DUMMYFUNCTION("""COMPUTED_VALUE"""),"1899")</f>
        <v>1899</v>
      </c>
      <c r="G4157" s="35"/>
      <c r="H4157" s="35" t="str">
        <f>IFERROR(__xludf.DUMMYFUNCTION("""COMPUTED_VALUE"""),"")</f>
        <v/>
      </c>
      <c r="I4157" s="35" t="str">
        <f>IFERROR(__xludf.DUMMYFUNCTION("""COMPUTED_VALUE"""),"")</f>
        <v/>
      </c>
      <c r="J4157" s="35" t="str">
        <f>IFERROR(__xludf.DUMMYFUNCTION("""COMPUTED_VALUE"""),"")</f>
        <v/>
      </c>
      <c r="K4157" s="35"/>
      <c r="L4157" s="35"/>
      <c r="M4157" s="35"/>
      <c r="N4157" s="35"/>
      <c r="O4157" s="35"/>
      <c r="P4157" s="35"/>
      <c r="Q4157" s="35"/>
      <c r="R4157" s="35"/>
      <c r="S4157" s="74"/>
      <c r="T4157" s="35"/>
      <c r="U4157" s="35"/>
      <c r="V4157" s="35"/>
      <c r="W4157" s="45"/>
    </row>
    <row r="4158">
      <c r="A4158" s="45"/>
      <c r="B4158" s="35"/>
      <c r="C4158" s="35"/>
      <c r="D4158" s="10"/>
      <c r="E4158" s="35" t="str">
        <f>IFERROR(__xludf.DUMMYFUNCTION("""COMPUTED_VALUE"""),"")</f>
        <v/>
      </c>
      <c r="F4158" s="35" t="str">
        <f>IFERROR(__xludf.DUMMYFUNCTION("""COMPUTED_VALUE"""),"1899")</f>
        <v>1899</v>
      </c>
      <c r="G4158" s="35"/>
      <c r="H4158" s="35" t="str">
        <f>IFERROR(__xludf.DUMMYFUNCTION("""COMPUTED_VALUE"""),"")</f>
        <v/>
      </c>
      <c r="I4158" s="35" t="str">
        <f>IFERROR(__xludf.DUMMYFUNCTION("""COMPUTED_VALUE"""),"")</f>
        <v/>
      </c>
      <c r="J4158" s="35" t="str">
        <f>IFERROR(__xludf.DUMMYFUNCTION("""COMPUTED_VALUE"""),"")</f>
        <v/>
      </c>
      <c r="K4158" s="35"/>
      <c r="L4158" s="35"/>
      <c r="M4158" s="35"/>
      <c r="N4158" s="35"/>
      <c r="O4158" s="35"/>
      <c r="P4158" s="35"/>
      <c r="Q4158" s="35"/>
      <c r="R4158" s="35"/>
      <c r="S4158" s="74"/>
      <c r="T4158" s="35"/>
      <c r="U4158" s="35"/>
      <c r="V4158" s="35"/>
      <c r="W4158" s="45"/>
    </row>
    <row r="4159">
      <c r="A4159" s="45"/>
      <c r="B4159" s="35"/>
      <c r="C4159" s="35"/>
      <c r="D4159" s="10"/>
      <c r="E4159" s="35" t="str">
        <f>IFERROR(__xludf.DUMMYFUNCTION("""COMPUTED_VALUE"""),"")</f>
        <v/>
      </c>
      <c r="F4159" s="35" t="str">
        <f>IFERROR(__xludf.DUMMYFUNCTION("""COMPUTED_VALUE"""),"1899")</f>
        <v>1899</v>
      </c>
      <c r="G4159" s="35"/>
      <c r="H4159" s="35" t="str">
        <f>IFERROR(__xludf.DUMMYFUNCTION("""COMPUTED_VALUE"""),"")</f>
        <v/>
      </c>
      <c r="I4159" s="35" t="str">
        <f>IFERROR(__xludf.DUMMYFUNCTION("""COMPUTED_VALUE"""),"")</f>
        <v/>
      </c>
      <c r="J4159" s="35" t="str">
        <f>IFERROR(__xludf.DUMMYFUNCTION("""COMPUTED_VALUE"""),"")</f>
        <v/>
      </c>
      <c r="K4159" s="35"/>
      <c r="L4159" s="35"/>
      <c r="M4159" s="35"/>
      <c r="N4159" s="35"/>
      <c r="O4159" s="35"/>
      <c r="P4159" s="35"/>
      <c r="Q4159" s="35"/>
      <c r="R4159" s="35"/>
      <c r="S4159" s="74"/>
      <c r="T4159" s="35"/>
      <c r="U4159" s="35"/>
      <c r="V4159" s="35"/>
      <c r="W4159" s="45"/>
    </row>
    <row r="4160">
      <c r="A4160" s="45"/>
      <c r="B4160" s="35"/>
      <c r="C4160" s="35"/>
      <c r="D4160" s="10"/>
      <c r="E4160" s="35" t="str">
        <f>IFERROR(__xludf.DUMMYFUNCTION("""COMPUTED_VALUE"""),"")</f>
        <v/>
      </c>
      <c r="F4160" s="35" t="str">
        <f>IFERROR(__xludf.DUMMYFUNCTION("""COMPUTED_VALUE"""),"1899")</f>
        <v>1899</v>
      </c>
      <c r="G4160" s="35"/>
      <c r="H4160" s="35" t="str">
        <f>IFERROR(__xludf.DUMMYFUNCTION("""COMPUTED_VALUE"""),"")</f>
        <v/>
      </c>
      <c r="I4160" s="35" t="str">
        <f>IFERROR(__xludf.DUMMYFUNCTION("""COMPUTED_VALUE"""),"")</f>
        <v/>
      </c>
      <c r="J4160" s="35" t="str">
        <f>IFERROR(__xludf.DUMMYFUNCTION("""COMPUTED_VALUE"""),"")</f>
        <v/>
      </c>
      <c r="K4160" s="35"/>
      <c r="L4160" s="35"/>
      <c r="M4160" s="35"/>
      <c r="N4160" s="35"/>
      <c r="O4160" s="35"/>
      <c r="P4160" s="35"/>
      <c r="Q4160" s="35"/>
      <c r="R4160" s="35"/>
      <c r="S4160" s="74"/>
      <c r="T4160" s="35"/>
      <c r="U4160" s="35"/>
      <c r="V4160" s="35"/>
      <c r="W4160" s="45"/>
    </row>
    <row r="4161">
      <c r="A4161" s="45"/>
      <c r="B4161" s="35"/>
      <c r="C4161" s="35"/>
      <c r="D4161" s="10"/>
      <c r="E4161" s="35" t="str">
        <f>IFERROR(__xludf.DUMMYFUNCTION("""COMPUTED_VALUE"""),"")</f>
        <v/>
      </c>
      <c r="F4161" s="35" t="str">
        <f>IFERROR(__xludf.DUMMYFUNCTION("""COMPUTED_VALUE"""),"1899")</f>
        <v>1899</v>
      </c>
      <c r="G4161" s="35"/>
      <c r="H4161" s="35" t="str">
        <f>IFERROR(__xludf.DUMMYFUNCTION("""COMPUTED_VALUE"""),"")</f>
        <v/>
      </c>
      <c r="I4161" s="35" t="str">
        <f>IFERROR(__xludf.DUMMYFUNCTION("""COMPUTED_VALUE"""),"")</f>
        <v/>
      </c>
      <c r="J4161" s="35" t="str">
        <f>IFERROR(__xludf.DUMMYFUNCTION("""COMPUTED_VALUE"""),"")</f>
        <v/>
      </c>
      <c r="K4161" s="35"/>
      <c r="L4161" s="35"/>
      <c r="M4161" s="35"/>
      <c r="N4161" s="35"/>
      <c r="O4161" s="35"/>
      <c r="P4161" s="35"/>
      <c r="Q4161" s="35"/>
      <c r="R4161" s="35"/>
      <c r="S4161" s="74"/>
      <c r="T4161" s="35"/>
      <c r="U4161" s="35"/>
      <c r="V4161" s="35"/>
      <c r="W4161" s="45"/>
    </row>
    <row r="4162">
      <c r="A4162" s="45"/>
      <c r="B4162" s="35"/>
      <c r="C4162" s="35"/>
      <c r="D4162" s="10"/>
      <c r="E4162" s="35" t="str">
        <f>IFERROR(__xludf.DUMMYFUNCTION("""COMPUTED_VALUE"""),"")</f>
        <v/>
      </c>
      <c r="F4162" s="35" t="str">
        <f>IFERROR(__xludf.DUMMYFUNCTION("""COMPUTED_VALUE"""),"1899")</f>
        <v>1899</v>
      </c>
      <c r="G4162" s="35"/>
      <c r="H4162" s="35" t="str">
        <f>IFERROR(__xludf.DUMMYFUNCTION("""COMPUTED_VALUE"""),"")</f>
        <v/>
      </c>
      <c r="I4162" s="35" t="str">
        <f>IFERROR(__xludf.DUMMYFUNCTION("""COMPUTED_VALUE"""),"")</f>
        <v/>
      </c>
      <c r="J4162" s="35" t="str">
        <f>IFERROR(__xludf.DUMMYFUNCTION("""COMPUTED_VALUE"""),"")</f>
        <v/>
      </c>
      <c r="K4162" s="35"/>
      <c r="L4162" s="35"/>
      <c r="M4162" s="35"/>
      <c r="N4162" s="35"/>
      <c r="O4162" s="35"/>
      <c r="P4162" s="35"/>
      <c r="Q4162" s="35"/>
      <c r="R4162" s="35"/>
      <c r="S4162" s="74"/>
      <c r="T4162" s="35"/>
      <c r="U4162" s="35"/>
      <c r="V4162" s="35"/>
      <c r="W4162" s="45"/>
    </row>
    <row r="4163">
      <c r="A4163" s="45"/>
      <c r="B4163" s="35"/>
      <c r="C4163" s="35"/>
      <c r="D4163" s="10"/>
      <c r="E4163" s="35" t="str">
        <f>IFERROR(__xludf.DUMMYFUNCTION("""COMPUTED_VALUE"""),"")</f>
        <v/>
      </c>
      <c r="F4163" s="35" t="str">
        <f>IFERROR(__xludf.DUMMYFUNCTION("""COMPUTED_VALUE"""),"1899")</f>
        <v>1899</v>
      </c>
      <c r="G4163" s="35"/>
      <c r="H4163" s="35" t="str">
        <f>IFERROR(__xludf.DUMMYFUNCTION("""COMPUTED_VALUE"""),"")</f>
        <v/>
      </c>
      <c r="I4163" s="35" t="str">
        <f>IFERROR(__xludf.DUMMYFUNCTION("""COMPUTED_VALUE"""),"")</f>
        <v/>
      </c>
      <c r="J4163" s="35" t="str">
        <f>IFERROR(__xludf.DUMMYFUNCTION("""COMPUTED_VALUE"""),"")</f>
        <v/>
      </c>
      <c r="K4163" s="35"/>
      <c r="L4163" s="35"/>
      <c r="M4163" s="35"/>
      <c r="N4163" s="35"/>
      <c r="O4163" s="35"/>
      <c r="P4163" s="35"/>
      <c r="Q4163" s="35"/>
      <c r="R4163" s="35"/>
      <c r="S4163" s="74"/>
      <c r="T4163" s="35"/>
      <c r="U4163" s="35"/>
      <c r="V4163" s="35"/>
      <c r="W4163" s="45"/>
    </row>
    <row r="4164">
      <c r="A4164" s="45"/>
      <c r="B4164" s="35"/>
      <c r="C4164" s="35"/>
      <c r="D4164" s="10"/>
      <c r="E4164" s="35" t="str">
        <f>IFERROR(__xludf.DUMMYFUNCTION("""COMPUTED_VALUE"""),"")</f>
        <v/>
      </c>
      <c r="F4164" s="35" t="str">
        <f>IFERROR(__xludf.DUMMYFUNCTION("""COMPUTED_VALUE"""),"1899")</f>
        <v>1899</v>
      </c>
      <c r="G4164" s="35"/>
      <c r="H4164" s="35" t="str">
        <f>IFERROR(__xludf.DUMMYFUNCTION("""COMPUTED_VALUE"""),"")</f>
        <v/>
      </c>
      <c r="I4164" s="35" t="str">
        <f>IFERROR(__xludf.DUMMYFUNCTION("""COMPUTED_VALUE"""),"")</f>
        <v/>
      </c>
      <c r="J4164" s="35" t="str">
        <f>IFERROR(__xludf.DUMMYFUNCTION("""COMPUTED_VALUE"""),"")</f>
        <v/>
      </c>
      <c r="K4164" s="35"/>
      <c r="L4164" s="35"/>
      <c r="M4164" s="35"/>
      <c r="N4164" s="35"/>
      <c r="O4164" s="35"/>
      <c r="P4164" s="35"/>
      <c r="Q4164" s="35"/>
      <c r="R4164" s="35"/>
      <c r="S4164" s="74"/>
      <c r="T4164" s="35"/>
      <c r="U4164" s="35"/>
      <c r="V4164" s="35"/>
      <c r="W4164" s="45"/>
    </row>
    <row r="4165">
      <c r="A4165" s="45"/>
      <c r="B4165" s="35"/>
      <c r="C4165" s="35"/>
      <c r="D4165" s="10"/>
      <c r="E4165" s="35" t="str">
        <f>IFERROR(__xludf.DUMMYFUNCTION("""COMPUTED_VALUE"""),"")</f>
        <v/>
      </c>
      <c r="F4165" s="35" t="str">
        <f>IFERROR(__xludf.DUMMYFUNCTION("""COMPUTED_VALUE"""),"1899")</f>
        <v>1899</v>
      </c>
      <c r="G4165" s="35"/>
      <c r="H4165" s="35" t="str">
        <f>IFERROR(__xludf.DUMMYFUNCTION("""COMPUTED_VALUE"""),"")</f>
        <v/>
      </c>
      <c r="I4165" s="35" t="str">
        <f>IFERROR(__xludf.DUMMYFUNCTION("""COMPUTED_VALUE"""),"")</f>
        <v/>
      </c>
      <c r="J4165" s="35" t="str">
        <f>IFERROR(__xludf.DUMMYFUNCTION("""COMPUTED_VALUE"""),"")</f>
        <v/>
      </c>
      <c r="K4165" s="35"/>
      <c r="L4165" s="35"/>
      <c r="M4165" s="35"/>
      <c r="N4165" s="35"/>
      <c r="O4165" s="35"/>
      <c r="P4165" s="35"/>
      <c r="Q4165" s="35"/>
      <c r="R4165" s="35"/>
      <c r="S4165" s="74"/>
      <c r="T4165" s="35"/>
      <c r="U4165" s="35"/>
      <c r="V4165" s="35"/>
      <c r="W4165" s="45"/>
    </row>
    <row r="4166">
      <c r="A4166" s="45"/>
      <c r="B4166" s="35"/>
      <c r="C4166" s="35"/>
      <c r="D4166" s="10"/>
      <c r="E4166" s="35" t="str">
        <f>IFERROR(__xludf.DUMMYFUNCTION("""COMPUTED_VALUE"""),"")</f>
        <v/>
      </c>
      <c r="F4166" s="35" t="str">
        <f>IFERROR(__xludf.DUMMYFUNCTION("""COMPUTED_VALUE"""),"1899")</f>
        <v>1899</v>
      </c>
      <c r="G4166" s="35"/>
      <c r="H4166" s="35" t="str">
        <f>IFERROR(__xludf.DUMMYFUNCTION("""COMPUTED_VALUE"""),"")</f>
        <v/>
      </c>
      <c r="I4166" s="35" t="str">
        <f>IFERROR(__xludf.DUMMYFUNCTION("""COMPUTED_VALUE"""),"")</f>
        <v/>
      </c>
      <c r="J4166" s="35" t="str">
        <f>IFERROR(__xludf.DUMMYFUNCTION("""COMPUTED_VALUE"""),"")</f>
        <v/>
      </c>
      <c r="K4166" s="35"/>
      <c r="L4166" s="35"/>
      <c r="M4166" s="35"/>
      <c r="N4166" s="35"/>
      <c r="O4166" s="35"/>
      <c r="P4166" s="35"/>
      <c r="Q4166" s="35"/>
      <c r="R4166" s="35"/>
      <c r="S4166" s="74"/>
      <c r="T4166" s="35"/>
      <c r="U4166" s="35"/>
      <c r="V4166" s="35"/>
      <c r="W4166" s="45"/>
    </row>
    <row r="4167">
      <c r="A4167" s="45"/>
      <c r="B4167" s="35"/>
      <c r="C4167" s="35"/>
      <c r="D4167" s="10"/>
      <c r="E4167" s="35" t="str">
        <f>IFERROR(__xludf.DUMMYFUNCTION("""COMPUTED_VALUE"""),"")</f>
        <v/>
      </c>
      <c r="F4167" s="35" t="str">
        <f>IFERROR(__xludf.DUMMYFUNCTION("""COMPUTED_VALUE"""),"1899")</f>
        <v>1899</v>
      </c>
      <c r="G4167" s="35"/>
      <c r="H4167" s="35" t="str">
        <f>IFERROR(__xludf.DUMMYFUNCTION("""COMPUTED_VALUE"""),"")</f>
        <v/>
      </c>
      <c r="I4167" s="35" t="str">
        <f>IFERROR(__xludf.DUMMYFUNCTION("""COMPUTED_VALUE"""),"")</f>
        <v/>
      </c>
      <c r="J4167" s="35" t="str">
        <f>IFERROR(__xludf.DUMMYFUNCTION("""COMPUTED_VALUE"""),"")</f>
        <v/>
      </c>
      <c r="K4167" s="35"/>
      <c r="L4167" s="35"/>
      <c r="M4167" s="35"/>
      <c r="N4167" s="35"/>
      <c r="O4167" s="35"/>
      <c r="P4167" s="35"/>
      <c r="Q4167" s="35"/>
      <c r="R4167" s="35"/>
      <c r="S4167" s="74"/>
      <c r="T4167" s="35"/>
      <c r="U4167" s="35"/>
      <c r="V4167" s="35"/>
      <c r="W4167" s="45"/>
    </row>
    <row r="4168">
      <c r="A4168" s="45"/>
      <c r="B4168" s="35"/>
      <c r="C4168" s="35"/>
      <c r="D4168" s="10"/>
      <c r="E4168" s="35" t="str">
        <f>IFERROR(__xludf.DUMMYFUNCTION("""COMPUTED_VALUE"""),"")</f>
        <v/>
      </c>
      <c r="F4168" s="35" t="str">
        <f>IFERROR(__xludf.DUMMYFUNCTION("""COMPUTED_VALUE"""),"1899")</f>
        <v>1899</v>
      </c>
      <c r="G4168" s="35"/>
      <c r="H4168" s="35" t="str">
        <f>IFERROR(__xludf.DUMMYFUNCTION("""COMPUTED_VALUE"""),"")</f>
        <v/>
      </c>
      <c r="I4168" s="35" t="str">
        <f>IFERROR(__xludf.DUMMYFUNCTION("""COMPUTED_VALUE"""),"")</f>
        <v/>
      </c>
      <c r="J4168" s="35" t="str">
        <f>IFERROR(__xludf.DUMMYFUNCTION("""COMPUTED_VALUE"""),"")</f>
        <v/>
      </c>
      <c r="K4168" s="35"/>
      <c r="L4168" s="35"/>
      <c r="M4168" s="35"/>
      <c r="N4168" s="35"/>
      <c r="O4168" s="35"/>
      <c r="P4168" s="35"/>
      <c r="Q4168" s="35"/>
      <c r="R4168" s="35"/>
      <c r="S4168" s="74"/>
      <c r="T4168" s="35"/>
      <c r="U4168" s="35"/>
      <c r="V4168" s="35"/>
      <c r="W4168" s="45"/>
    </row>
    <row r="4169">
      <c r="A4169" s="45"/>
      <c r="B4169" s="35"/>
      <c r="C4169" s="35"/>
      <c r="D4169" s="10"/>
      <c r="E4169" s="35" t="str">
        <f>IFERROR(__xludf.DUMMYFUNCTION("""COMPUTED_VALUE"""),"")</f>
        <v/>
      </c>
      <c r="F4169" s="35" t="str">
        <f>IFERROR(__xludf.DUMMYFUNCTION("""COMPUTED_VALUE"""),"1899")</f>
        <v>1899</v>
      </c>
      <c r="G4169" s="35"/>
      <c r="H4169" s="35" t="str">
        <f>IFERROR(__xludf.DUMMYFUNCTION("""COMPUTED_VALUE"""),"")</f>
        <v/>
      </c>
      <c r="I4169" s="35" t="str">
        <f>IFERROR(__xludf.DUMMYFUNCTION("""COMPUTED_VALUE"""),"")</f>
        <v/>
      </c>
      <c r="J4169" s="35" t="str">
        <f>IFERROR(__xludf.DUMMYFUNCTION("""COMPUTED_VALUE"""),"")</f>
        <v/>
      </c>
      <c r="K4169" s="35"/>
      <c r="L4169" s="35"/>
      <c r="M4169" s="35"/>
      <c r="N4169" s="35"/>
      <c r="O4169" s="35"/>
      <c r="P4169" s="35"/>
      <c r="Q4169" s="35"/>
      <c r="R4169" s="35"/>
      <c r="S4169" s="74"/>
      <c r="T4169" s="35"/>
      <c r="U4169" s="35"/>
      <c r="V4169" s="35"/>
      <c r="W4169" s="45"/>
    </row>
    <row r="4170">
      <c r="A4170" s="45"/>
      <c r="B4170" s="35"/>
      <c r="C4170" s="35"/>
      <c r="D4170" s="10"/>
      <c r="E4170" s="35" t="str">
        <f>IFERROR(__xludf.DUMMYFUNCTION("""COMPUTED_VALUE"""),"")</f>
        <v/>
      </c>
      <c r="F4170" s="35" t="str">
        <f>IFERROR(__xludf.DUMMYFUNCTION("""COMPUTED_VALUE"""),"1899")</f>
        <v>1899</v>
      </c>
      <c r="G4170" s="35"/>
      <c r="H4170" s="35" t="str">
        <f>IFERROR(__xludf.DUMMYFUNCTION("""COMPUTED_VALUE"""),"")</f>
        <v/>
      </c>
      <c r="I4170" s="35" t="str">
        <f>IFERROR(__xludf.DUMMYFUNCTION("""COMPUTED_VALUE"""),"")</f>
        <v/>
      </c>
      <c r="J4170" s="35" t="str">
        <f>IFERROR(__xludf.DUMMYFUNCTION("""COMPUTED_VALUE"""),"")</f>
        <v/>
      </c>
      <c r="K4170" s="35"/>
      <c r="L4170" s="35"/>
      <c r="M4170" s="35"/>
      <c r="N4170" s="35"/>
      <c r="O4170" s="35"/>
      <c r="P4170" s="35"/>
      <c r="Q4170" s="35"/>
      <c r="R4170" s="35"/>
      <c r="S4170" s="74"/>
      <c r="T4170" s="35"/>
      <c r="U4170" s="35"/>
      <c r="V4170" s="35"/>
      <c r="W4170" s="45"/>
    </row>
    <row r="4171">
      <c r="A4171" s="45"/>
      <c r="B4171" s="35"/>
      <c r="C4171" s="35"/>
      <c r="D4171" s="10"/>
      <c r="E4171" s="35" t="str">
        <f>IFERROR(__xludf.DUMMYFUNCTION("""COMPUTED_VALUE"""),"")</f>
        <v/>
      </c>
      <c r="F4171" s="35" t="str">
        <f>IFERROR(__xludf.DUMMYFUNCTION("""COMPUTED_VALUE"""),"1899")</f>
        <v>1899</v>
      </c>
      <c r="G4171" s="35"/>
      <c r="H4171" s="35" t="str">
        <f>IFERROR(__xludf.DUMMYFUNCTION("""COMPUTED_VALUE"""),"")</f>
        <v/>
      </c>
      <c r="I4171" s="35" t="str">
        <f>IFERROR(__xludf.DUMMYFUNCTION("""COMPUTED_VALUE"""),"")</f>
        <v/>
      </c>
      <c r="J4171" s="35" t="str">
        <f>IFERROR(__xludf.DUMMYFUNCTION("""COMPUTED_VALUE"""),"")</f>
        <v/>
      </c>
      <c r="K4171" s="35"/>
      <c r="L4171" s="35"/>
      <c r="M4171" s="35"/>
      <c r="N4171" s="35"/>
      <c r="O4171" s="35"/>
      <c r="P4171" s="35"/>
      <c r="Q4171" s="35"/>
      <c r="R4171" s="35"/>
      <c r="S4171" s="74"/>
      <c r="T4171" s="35"/>
      <c r="U4171" s="35"/>
      <c r="V4171" s="35"/>
      <c r="W4171" s="45"/>
    </row>
    <row r="4172">
      <c r="A4172" s="45"/>
      <c r="B4172" s="35"/>
      <c r="C4172" s="35"/>
      <c r="D4172" s="10"/>
      <c r="E4172" s="35" t="str">
        <f>IFERROR(__xludf.DUMMYFUNCTION("""COMPUTED_VALUE"""),"")</f>
        <v/>
      </c>
      <c r="F4172" s="35" t="str">
        <f>IFERROR(__xludf.DUMMYFUNCTION("""COMPUTED_VALUE"""),"1899")</f>
        <v>1899</v>
      </c>
      <c r="G4172" s="35"/>
      <c r="H4172" s="35" t="str">
        <f>IFERROR(__xludf.DUMMYFUNCTION("""COMPUTED_VALUE"""),"")</f>
        <v/>
      </c>
      <c r="I4172" s="35" t="str">
        <f>IFERROR(__xludf.DUMMYFUNCTION("""COMPUTED_VALUE"""),"")</f>
        <v/>
      </c>
      <c r="J4172" s="35" t="str">
        <f>IFERROR(__xludf.DUMMYFUNCTION("""COMPUTED_VALUE"""),"")</f>
        <v/>
      </c>
      <c r="K4172" s="35"/>
      <c r="L4172" s="35"/>
      <c r="M4172" s="35"/>
      <c r="N4172" s="35"/>
      <c r="O4172" s="35"/>
      <c r="P4172" s="35"/>
      <c r="Q4172" s="35"/>
      <c r="R4172" s="35"/>
      <c r="S4172" s="74"/>
      <c r="T4172" s="35"/>
      <c r="U4172" s="35"/>
      <c r="V4172" s="35"/>
      <c r="W4172" s="45"/>
    </row>
    <row r="4173">
      <c r="A4173" s="45"/>
      <c r="B4173" s="35"/>
      <c r="C4173" s="35"/>
      <c r="D4173" s="10"/>
      <c r="E4173" s="35" t="str">
        <f>IFERROR(__xludf.DUMMYFUNCTION("""COMPUTED_VALUE"""),"")</f>
        <v/>
      </c>
      <c r="F4173" s="35" t="str">
        <f>IFERROR(__xludf.DUMMYFUNCTION("""COMPUTED_VALUE"""),"1899")</f>
        <v>1899</v>
      </c>
      <c r="G4173" s="35"/>
      <c r="H4173" s="35" t="str">
        <f>IFERROR(__xludf.DUMMYFUNCTION("""COMPUTED_VALUE"""),"")</f>
        <v/>
      </c>
      <c r="I4173" s="35" t="str">
        <f>IFERROR(__xludf.DUMMYFUNCTION("""COMPUTED_VALUE"""),"")</f>
        <v/>
      </c>
      <c r="J4173" s="35" t="str">
        <f>IFERROR(__xludf.DUMMYFUNCTION("""COMPUTED_VALUE"""),"")</f>
        <v/>
      </c>
      <c r="K4173" s="35"/>
      <c r="L4173" s="35"/>
      <c r="M4173" s="35"/>
      <c r="N4173" s="35"/>
      <c r="O4173" s="35"/>
      <c r="P4173" s="35"/>
      <c r="Q4173" s="35"/>
      <c r="R4173" s="35"/>
      <c r="S4173" s="74"/>
      <c r="T4173" s="35"/>
      <c r="U4173" s="35"/>
      <c r="V4173" s="35"/>
      <c r="W4173" s="45"/>
    </row>
    <row r="4174">
      <c r="A4174" s="45"/>
      <c r="B4174" s="35"/>
      <c r="C4174" s="35"/>
      <c r="D4174" s="10"/>
      <c r="E4174" s="35" t="str">
        <f>IFERROR(__xludf.DUMMYFUNCTION("""COMPUTED_VALUE"""),"")</f>
        <v/>
      </c>
      <c r="F4174" s="35" t="str">
        <f>IFERROR(__xludf.DUMMYFUNCTION("""COMPUTED_VALUE"""),"1899")</f>
        <v>1899</v>
      </c>
      <c r="G4174" s="35"/>
      <c r="H4174" s="35" t="str">
        <f>IFERROR(__xludf.DUMMYFUNCTION("""COMPUTED_VALUE"""),"")</f>
        <v/>
      </c>
      <c r="I4174" s="35" t="str">
        <f>IFERROR(__xludf.DUMMYFUNCTION("""COMPUTED_VALUE"""),"")</f>
        <v/>
      </c>
      <c r="J4174" s="35" t="str">
        <f>IFERROR(__xludf.DUMMYFUNCTION("""COMPUTED_VALUE"""),"")</f>
        <v/>
      </c>
      <c r="K4174" s="35"/>
      <c r="L4174" s="35"/>
      <c r="M4174" s="35"/>
      <c r="N4174" s="35"/>
      <c r="O4174" s="35"/>
      <c r="P4174" s="35"/>
      <c r="Q4174" s="35"/>
      <c r="R4174" s="35"/>
      <c r="S4174" s="74"/>
      <c r="T4174" s="35"/>
      <c r="U4174" s="35"/>
      <c r="V4174" s="35"/>
      <c r="W4174" s="45"/>
    </row>
    <row r="4175">
      <c r="A4175" s="45"/>
      <c r="B4175" s="35"/>
      <c r="C4175" s="35"/>
      <c r="D4175" s="10"/>
      <c r="E4175" s="35" t="str">
        <f>IFERROR(__xludf.DUMMYFUNCTION("""COMPUTED_VALUE"""),"")</f>
        <v/>
      </c>
      <c r="F4175" s="35" t="str">
        <f>IFERROR(__xludf.DUMMYFUNCTION("""COMPUTED_VALUE"""),"1899")</f>
        <v>1899</v>
      </c>
      <c r="G4175" s="35"/>
      <c r="H4175" s="35" t="str">
        <f>IFERROR(__xludf.DUMMYFUNCTION("""COMPUTED_VALUE"""),"")</f>
        <v/>
      </c>
      <c r="I4175" s="35" t="str">
        <f>IFERROR(__xludf.DUMMYFUNCTION("""COMPUTED_VALUE"""),"")</f>
        <v/>
      </c>
      <c r="J4175" s="35" t="str">
        <f>IFERROR(__xludf.DUMMYFUNCTION("""COMPUTED_VALUE"""),"")</f>
        <v/>
      </c>
      <c r="K4175" s="35"/>
      <c r="L4175" s="35"/>
      <c r="M4175" s="35"/>
      <c r="N4175" s="35"/>
      <c r="O4175" s="35"/>
      <c r="P4175" s="35"/>
      <c r="Q4175" s="35"/>
      <c r="R4175" s="35"/>
      <c r="S4175" s="74"/>
      <c r="T4175" s="35"/>
      <c r="U4175" s="35"/>
      <c r="V4175" s="35"/>
      <c r="W4175" s="45"/>
    </row>
    <row r="4176">
      <c r="A4176" s="45"/>
      <c r="B4176" s="35"/>
      <c r="C4176" s="35"/>
      <c r="D4176" s="10"/>
      <c r="E4176" s="35" t="str">
        <f>IFERROR(__xludf.DUMMYFUNCTION("""COMPUTED_VALUE"""),"")</f>
        <v/>
      </c>
      <c r="F4176" s="35" t="str">
        <f>IFERROR(__xludf.DUMMYFUNCTION("""COMPUTED_VALUE"""),"1899")</f>
        <v>1899</v>
      </c>
      <c r="G4176" s="35"/>
      <c r="H4176" s="35" t="str">
        <f>IFERROR(__xludf.DUMMYFUNCTION("""COMPUTED_VALUE"""),"")</f>
        <v/>
      </c>
      <c r="I4176" s="35" t="str">
        <f>IFERROR(__xludf.DUMMYFUNCTION("""COMPUTED_VALUE"""),"")</f>
        <v/>
      </c>
      <c r="J4176" s="35" t="str">
        <f>IFERROR(__xludf.DUMMYFUNCTION("""COMPUTED_VALUE"""),"")</f>
        <v/>
      </c>
      <c r="K4176" s="35"/>
      <c r="L4176" s="35"/>
      <c r="M4176" s="35"/>
      <c r="N4176" s="35"/>
      <c r="O4176" s="35"/>
      <c r="P4176" s="35"/>
      <c r="Q4176" s="35"/>
      <c r="R4176" s="35"/>
      <c r="S4176" s="74"/>
      <c r="T4176" s="35"/>
      <c r="U4176" s="35"/>
      <c r="V4176" s="35"/>
      <c r="W4176" s="45"/>
    </row>
    <row r="4177">
      <c r="A4177" s="45"/>
      <c r="B4177" s="35"/>
      <c r="C4177" s="35"/>
      <c r="D4177" s="10"/>
      <c r="E4177" s="35" t="str">
        <f>IFERROR(__xludf.DUMMYFUNCTION("""COMPUTED_VALUE"""),"")</f>
        <v/>
      </c>
      <c r="F4177" s="35" t="str">
        <f>IFERROR(__xludf.DUMMYFUNCTION("""COMPUTED_VALUE"""),"1899")</f>
        <v>1899</v>
      </c>
      <c r="G4177" s="35"/>
      <c r="H4177" s="35" t="str">
        <f>IFERROR(__xludf.DUMMYFUNCTION("""COMPUTED_VALUE"""),"")</f>
        <v/>
      </c>
      <c r="I4177" s="35" t="str">
        <f>IFERROR(__xludf.DUMMYFUNCTION("""COMPUTED_VALUE"""),"")</f>
        <v/>
      </c>
      <c r="J4177" s="35" t="str">
        <f>IFERROR(__xludf.DUMMYFUNCTION("""COMPUTED_VALUE"""),"")</f>
        <v/>
      </c>
      <c r="K4177" s="35"/>
      <c r="L4177" s="35"/>
      <c r="M4177" s="35"/>
      <c r="N4177" s="35"/>
      <c r="O4177" s="35"/>
      <c r="P4177" s="35"/>
      <c r="Q4177" s="35"/>
      <c r="R4177" s="35"/>
      <c r="S4177" s="74"/>
      <c r="T4177" s="35"/>
      <c r="U4177" s="35"/>
      <c r="V4177" s="35"/>
      <c r="W4177" s="45"/>
    </row>
    <row r="4178">
      <c r="A4178" s="45"/>
      <c r="B4178" s="35"/>
      <c r="C4178" s="35"/>
      <c r="D4178" s="10"/>
      <c r="E4178" s="35" t="str">
        <f>IFERROR(__xludf.DUMMYFUNCTION("""COMPUTED_VALUE"""),"")</f>
        <v/>
      </c>
      <c r="F4178" s="35" t="str">
        <f>IFERROR(__xludf.DUMMYFUNCTION("""COMPUTED_VALUE"""),"1899")</f>
        <v>1899</v>
      </c>
      <c r="G4178" s="35"/>
      <c r="H4178" s="35" t="str">
        <f>IFERROR(__xludf.DUMMYFUNCTION("""COMPUTED_VALUE"""),"")</f>
        <v/>
      </c>
      <c r="I4178" s="35" t="str">
        <f>IFERROR(__xludf.DUMMYFUNCTION("""COMPUTED_VALUE"""),"")</f>
        <v/>
      </c>
      <c r="J4178" s="35" t="str">
        <f>IFERROR(__xludf.DUMMYFUNCTION("""COMPUTED_VALUE"""),"")</f>
        <v/>
      </c>
      <c r="K4178" s="35"/>
      <c r="L4178" s="35"/>
      <c r="M4178" s="35"/>
      <c r="N4178" s="35"/>
      <c r="O4178" s="35"/>
      <c r="P4178" s="35"/>
      <c r="Q4178" s="35"/>
      <c r="R4178" s="35"/>
      <c r="S4178" s="74"/>
      <c r="T4178" s="35"/>
      <c r="U4178" s="35"/>
      <c r="V4178" s="35"/>
      <c r="W4178" s="45"/>
    </row>
    <row r="4179">
      <c r="A4179" s="45"/>
      <c r="B4179" s="35"/>
      <c r="C4179" s="35"/>
      <c r="D4179" s="10"/>
      <c r="E4179" s="35" t="str">
        <f>IFERROR(__xludf.DUMMYFUNCTION("""COMPUTED_VALUE"""),"")</f>
        <v/>
      </c>
      <c r="F4179" s="35" t="str">
        <f>IFERROR(__xludf.DUMMYFUNCTION("""COMPUTED_VALUE"""),"1899")</f>
        <v>1899</v>
      </c>
      <c r="G4179" s="35"/>
      <c r="H4179" s="35" t="str">
        <f>IFERROR(__xludf.DUMMYFUNCTION("""COMPUTED_VALUE"""),"")</f>
        <v/>
      </c>
      <c r="I4179" s="35" t="str">
        <f>IFERROR(__xludf.DUMMYFUNCTION("""COMPUTED_VALUE"""),"")</f>
        <v/>
      </c>
      <c r="J4179" s="35" t="str">
        <f>IFERROR(__xludf.DUMMYFUNCTION("""COMPUTED_VALUE"""),"")</f>
        <v/>
      </c>
      <c r="K4179" s="35"/>
      <c r="L4179" s="35"/>
      <c r="M4179" s="35"/>
      <c r="N4179" s="35"/>
      <c r="O4179" s="35"/>
      <c r="P4179" s="35"/>
      <c r="Q4179" s="35"/>
      <c r="R4179" s="35"/>
      <c r="S4179" s="74"/>
      <c r="T4179" s="35"/>
      <c r="U4179" s="35"/>
      <c r="V4179" s="35"/>
      <c r="W4179" s="45"/>
    </row>
    <row r="4180">
      <c r="A4180" s="45"/>
      <c r="B4180" s="35"/>
      <c r="C4180" s="35"/>
      <c r="D4180" s="10"/>
      <c r="E4180" s="35" t="str">
        <f>IFERROR(__xludf.DUMMYFUNCTION("""COMPUTED_VALUE"""),"")</f>
        <v/>
      </c>
      <c r="F4180" s="35" t="str">
        <f>IFERROR(__xludf.DUMMYFUNCTION("""COMPUTED_VALUE"""),"1899")</f>
        <v>1899</v>
      </c>
      <c r="G4180" s="35"/>
      <c r="H4180" s="35" t="str">
        <f>IFERROR(__xludf.DUMMYFUNCTION("""COMPUTED_VALUE"""),"")</f>
        <v/>
      </c>
      <c r="I4180" s="35" t="str">
        <f>IFERROR(__xludf.DUMMYFUNCTION("""COMPUTED_VALUE"""),"")</f>
        <v/>
      </c>
      <c r="J4180" s="35" t="str">
        <f>IFERROR(__xludf.DUMMYFUNCTION("""COMPUTED_VALUE"""),"")</f>
        <v/>
      </c>
      <c r="K4180" s="35"/>
      <c r="L4180" s="35"/>
      <c r="M4180" s="35"/>
      <c r="N4180" s="35"/>
      <c r="O4180" s="35"/>
      <c r="P4180" s="35"/>
      <c r="Q4180" s="35"/>
      <c r="R4180" s="35"/>
      <c r="S4180" s="74"/>
      <c r="T4180" s="35"/>
      <c r="U4180" s="35"/>
      <c r="V4180" s="35"/>
      <c r="W4180" s="45"/>
    </row>
    <row r="4181">
      <c r="A4181" s="45"/>
      <c r="B4181" s="35"/>
      <c r="C4181" s="35"/>
      <c r="D4181" s="10"/>
      <c r="E4181" s="35" t="str">
        <f>IFERROR(__xludf.DUMMYFUNCTION("""COMPUTED_VALUE"""),"")</f>
        <v/>
      </c>
      <c r="F4181" s="35" t="str">
        <f>IFERROR(__xludf.DUMMYFUNCTION("""COMPUTED_VALUE"""),"1899")</f>
        <v>1899</v>
      </c>
      <c r="G4181" s="35"/>
      <c r="H4181" s="35" t="str">
        <f>IFERROR(__xludf.DUMMYFUNCTION("""COMPUTED_VALUE"""),"")</f>
        <v/>
      </c>
      <c r="I4181" s="35" t="str">
        <f>IFERROR(__xludf.DUMMYFUNCTION("""COMPUTED_VALUE"""),"")</f>
        <v/>
      </c>
      <c r="J4181" s="35" t="str">
        <f>IFERROR(__xludf.DUMMYFUNCTION("""COMPUTED_VALUE"""),"")</f>
        <v/>
      </c>
      <c r="K4181" s="35"/>
      <c r="L4181" s="35"/>
      <c r="M4181" s="35"/>
      <c r="N4181" s="35"/>
      <c r="O4181" s="35"/>
      <c r="P4181" s="35"/>
      <c r="Q4181" s="35"/>
      <c r="R4181" s="35"/>
      <c r="S4181" s="74"/>
      <c r="T4181" s="35"/>
      <c r="U4181" s="35"/>
      <c r="V4181" s="35"/>
      <c r="W4181" s="45"/>
    </row>
    <row r="4182">
      <c r="A4182" s="45"/>
      <c r="B4182" s="35"/>
      <c r="C4182" s="35"/>
      <c r="D4182" s="10"/>
      <c r="E4182" s="35" t="str">
        <f>IFERROR(__xludf.DUMMYFUNCTION("""COMPUTED_VALUE"""),"")</f>
        <v/>
      </c>
      <c r="F4182" s="35" t="str">
        <f>IFERROR(__xludf.DUMMYFUNCTION("""COMPUTED_VALUE"""),"1899")</f>
        <v>1899</v>
      </c>
      <c r="G4182" s="35"/>
      <c r="H4182" s="35" t="str">
        <f>IFERROR(__xludf.DUMMYFUNCTION("""COMPUTED_VALUE"""),"")</f>
        <v/>
      </c>
      <c r="I4182" s="35" t="str">
        <f>IFERROR(__xludf.DUMMYFUNCTION("""COMPUTED_VALUE"""),"")</f>
        <v/>
      </c>
      <c r="J4182" s="35" t="str">
        <f>IFERROR(__xludf.DUMMYFUNCTION("""COMPUTED_VALUE"""),"")</f>
        <v/>
      </c>
      <c r="K4182" s="35"/>
      <c r="L4182" s="35"/>
      <c r="M4182" s="35"/>
      <c r="N4182" s="35"/>
      <c r="O4182" s="35"/>
      <c r="P4182" s="35"/>
      <c r="Q4182" s="35"/>
      <c r="R4182" s="35"/>
      <c r="S4182" s="74"/>
      <c r="T4182" s="35"/>
      <c r="U4182" s="35"/>
      <c r="V4182" s="35"/>
      <c r="W4182" s="45"/>
    </row>
    <row r="4183">
      <c r="A4183" s="45"/>
      <c r="B4183" s="35"/>
      <c r="C4183" s="35"/>
      <c r="D4183" s="10"/>
      <c r="E4183" s="35" t="str">
        <f>IFERROR(__xludf.DUMMYFUNCTION("""COMPUTED_VALUE"""),"")</f>
        <v/>
      </c>
      <c r="F4183" s="35" t="str">
        <f>IFERROR(__xludf.DUMMYFUNCTION("""COMPUTED_VALUE"""),"1899")</f>
        <v>1899</v>
      </c>
      <c r="G4183" s="35"/>
      <c r="H4183" s="35" t="str">
        <f>IFERROR(__xludf.DUMMYFUNCTION("""COMPUTED_VALUE"""),"")</f>
        <v/>
      </c>
      <c r="I4183" s="35" t="str">
        <f>IFERROR(__xludf.DUMMYFUNCTION("""COMPUTED_VALUE"""),"")</f>
        <v/>
      </c>
      <c r="J4183" s="35" t="str">
        <f>IFERROR(__xludf.DUMMYFUNCTION("""COMPUTED_VALUE"""),"")</f>
        <v/>
      </c>
      <c r="K4183" s="35"/>
      <c r="L4183" s="35"/>
      <c r="M4183" s="35"/>
      <c r="N4183" s="35"/>
      <c r="O4183" s="35"/>
      <c r="P4183" s="35"/>
      <c r="Q4183" s="35"/>
      <c r="R4183" s="35"/>
      <c r="S4183" s="74"/>
      <c r="T4183" s="35"/>
      <c r="U4183" s="35"/>
      <c r="V4183" s="35"/>
      <c r="W4183" s="45"/>
    </row>
    <row r="4184">
      <c r="A4184" s="45"/>
      <c r="B4184" s="35"/>
      <c r="C4184" s="35"/>
      <c r="D4184" s="10"/>
      <c r="E4184" s="35" t="str">
        <f>IFERROR(__xludf.DUMMYFUNCTION("""COMPUTED_VALUE"""),"")</f>
        <v/>
      </c>
      <c r="F4184" s="35" t="str">
        <f>IFERROR(__xludf.DUMMYFUNCTION("""COMPUTED_VALUE"""),"1899")</f>
        <v>1899</v>
      </c>
      <c r="G4184" s="35"/>
      <c r="H4184" s="35" t="str">
        <f>IFERROR(__xludf.DUMMYFUNCTION("""COMPUTED_VALUE"""),"")</f>
        <v/>
      </c>
      <c r="I4184" s="35" t="str">
        <f>IFERROR(__xludf.DUMMYFUNCTION("""COMPUTED_VALUE"""),"")</f>
        <v/>
      </c>
      <c r="J4184" s="35" t="str">
        <f>IFERROR(__xludf.DUMMYFUNCTION("""COMPUTED_VALUE"""),"")</f>
        <v/>
      </c>
      <c r="K4184" s="35"/>
      <c r="L4184" s="35"/>
      <c r="M4184" s="35"/>
      <c r="N4184" s="35"/>
      <c r="O4184" s="35"/>
      <c r="P4184" s="35"/>
      <c r="Q4184" s="35"/>
      <c r="R4184" s="35"/>
      <c r="S4184" s="74"/>
      <c r="T4184" s="35"/>
      <c r="U4184" s="35"/>
      <c r="V4184" s="35"/>
      <c r="W4184" s="45"/>
    </row>
    <row r="4185">
      <c r="A4185" s="45"/>
      <c r="B4185" s="35"/>
      <c r="C4185" s="35"/>
      <c r="D4185" s="10"/>
      <c r="E4185" s="35" t="str">
        <f>IFERROR(__xludf.DUMMYFUNCTION("""COMPUTED_VALUE"""),"")</f>
        <v/>
      </c>
      <c r="F4185" s="35" t="str">
        <f>IFERROR(__xludf.DUMMYFUNCTION("""COMPUTED_VALUE"""),"1899")</f>
        <v>1899</v>
      </c>
      <c r="G4185" s="35"/>
      <c r="H4185" s="35" t="str">
        <f>IFERROR(__xludf.DUMMYFUNCTION("""COMPUTED_VALUE"""),"")</f>
        <v/>
      </c>
      <c r="I4185" s="35" t="str">
        <f>IFERROR(__xludf.DUMMYFUNCTION("""COMPUTED_VALUE"""),"")</f>
        <v/>
      </c>
      <c r="J4185" s="35" t="str">
        <f>IFERROR(__xludf.DUMMYFUNCTION("""COMPUTED_VALUE"""),"")</f>
        <v/>
      </c>
      <c r="K4185" s="35"/>
      <c r="L4185" s="35"/>
      <c r="M4185" s="35"/>
      <c r="N4185" s="35"/>
      <c r="O4185" s="35"/>
      <c r="P4185" s="35"/>
      <c r="Q4185" s="35"/>
      <c r="R4185" s="35"/>
      <c r="S4185" s="74"/>
      <c r="T4185" s="35"/>
      <c r="U4185" s="35"/>
      <c r="V4185" s="35"/>
      <c r="W4185" s="45"/>
    </row>
    <row r="4186">
      <c r="A4186" s="45"/>
      <c r="B4186" s="35"/>
      <c r="C4186" s="35"/>
      <c r="D4186" s="10"/>
      <c r="E4186" s="35" t="str">
        <f>IFERROR(__xludf.DUMMYFUNCTION("""COMPUTED_VALUE"""),"")</f>
        <v/>
      </c>
      <c r="F4186" s="35" t="str">
        <f>IFERROR(__xludf.DUMMYFUNCTION("""COMPUTED_VALUE"""),"1899")</f>
        <v>1899</v>
      </c>
      <c r="G4186" s="35"/>
      <c r="H4186" s="35" t="str">
        <f>IFERROR(__xludf.DUMMYFUNCTION("""COMPUTED_VALUE"""),"")</f>
        <v/>
      </c>
      <c r="I4186" s="35" t="str">
        <f>IFERROR(__xludf.DUMMYFUNCTION("""COMPUTED_VALUE"""),"")</f>
        <v/>
      </c>
      <c r="J4186" s="35" t="str">
        <f>IFERROR(__xludf.DUMMYFUNCTION("""COMPUTED_VALUE"""),"")</f>
        <v/>
      </c>
      <c r="K4186" s="35"/>
      <c r="L4186" s="35"/>
      <c r="M4186" s="35"/>
      <c r="N4186" s="35"/>
      <c r="O4186" s="35"/>
      <c r="P4186" s="35"/>
      <c r="Q4186" s="35"/>
      <c r="R4186" s="35"/>
      <c r="S4186" s="74"/>
      <c r="T4186" s="35"/>
      <c r="U4186" s="35"/>
      <c r="V4186" s="35"/>
      <c r="W4186" s="45"/>
    </row>
    <row r="4187">
      <c r="A4187" s="45"/>
      <c r="B4187" s="35"/>
      <c r="C4187" s="35"/>
      <c r="D4187" s="10"/>
      <c r="E4187" s="35" t="str">
        <f>IFERROR(__xludf.DUMMYFUNCTION("""COMPUTED_VALUE"""),"")</f>
        <v/>
      </c>
      <c r="F4187" s="35" t="str">
        <f>IFERROR(__xludf.DUMMYFUNCTION("""COMPUTED_VALUE"""),"1899")</f>
        <v>1899</v>
      </c>
      <c r="G4187" s="35"/>
      <c r="H4187" s="35" t="str">
        <f>IFERROR(__xludf.DUMMYFUNCTION("""COMPUTED_VALUE"""),"")</f>
        <v/>
      </c>
      <c r="I4187" s="35" t="str">
        <f>IFERROR(__xludf.DUMMYFUNCTION("""COMPUTED_VALUE"""),"")</f>
        <v/>
      </c>
      <c r="J4187" s="35" t="str">
        <f>IFERROR(__xludf.DUMMYFUNCTION("""COMPUTED_VALUE"""),"")</f>
        <v/>
      </c>
      <c r="K4187" s="35"/>
      <c r="L4187" s="35"/>
      <c r="M4187" s="35"/>
      <c r="N4187" s="35"/>
      <c r="O4187" s="35"/>
      <c r="P4187" s="35"/>
      <c r="Q4187" s="35"/>
      <c r="R4187" s="35"/>
      <c r="S4187" s="74"/>
      <c r="T4187" s="35"/>
      <c r="U4187" s="35"/>
      <c r="V4187" s="35"/>
      <c r="W4187" s="45"/>
    </row>
    <row r="4188">
      <c r="A4188" s="45"/>
      <c r="B4188" s="35"/>
      <c r="C4188" s="35"/>
      <c r="D4188" s="10"/>
      <c r="E4188" s="35" t="str">
        <f>IFERROR(__xludf.DUMMYFUNCTION("""COMPUTED_VALUE"""),"")</f>
        <v/>
      </c>
      <c r="F4188" s="35" t="str">
        <f>IFERROR(__xludf.DUMMYFUNCTION("""COMPUTED_VALUE"""),"1899")</f>
        <v>1899</v>
      </c>
      <c r="G4188" s="35"/>
      <c r="H4188" s="35" t="str">
        <f>IFERROR(__xludf.DUMMYFUNCTION("""COMPUTED_VALUE"""),"")</f>
        <v/>
      </c>
      <c r="I4188" s="35" t="str">
        <f>IFERROR(__xludf.DUMMYFUNCTION("""COMPUTED_VALUE"""),"")</f>
        <v/>
      </c>
      <c r="J4188" s="35" t="str">
        <f>IFERROR(__xludf.DUMMYFUNCTION("""COMPUTED_VALUE"""),"")</f>
        <v/>
      </c>
      <c r="K4188" s="35"/>
      <c r="L4188" s="35"/>
      <c r="M4188" s="35"/>
      <c r="N4188" s="35"/>
      <c r="O4188" s="35"/>
      <c r="P4188" s="35"/>
      <c r="Q4188" s="35"/>
      <c r="R4188" s="35"/>
      <c r="S4188" s="74"/>
      <c r="T4188" s="35"/>
      <c r="U4188" s="35"/>
      <c r="V4188" s="35"/>
      <c r="W4188" s="45"/>
    </row>
    <row r="4189">
      <c r="A4189" s="45"/>
      <c r="B4189" s="35"/>
      <c r="C4189" s="35"/>
      <c r="D4189" s="10"/>
      <c r="E4189" s="35" t="str">
        <f>IFERROR(__xludf.DUMMYFUNCTION("""COMPUTED_VALUE"""),"")</f>
        <v/>
      </c>
      <c r="F4189" s="35" t="str">
        <f>IFERROR(__xludf.DUMMYFUNCTION("""COMPUTED_VALUE"""),"1899")</f>
        <v>1899</v>
      </c>
      <c r="G4189" s="35"/>
      <c r="H4189" s="35" t="str">
        <f>IFERROR(__xludf.DUMMYFUNCTION("""COMPUTED_VALUE"""),"")</f>
        <v/>
      </c>
      <c r="I4189" s="35" t="str">
        <f>IFERROR(__xludf.DUMMYFUNCTION("""COMPUTED_VALUE"""),"")</f>
        <v/>
      </c>
      <c r="J4189" s="35" t="str">
        <f>IFERROR(__xludf.DUMMYFUNCTION("""COMPUTED_VALUE"""),"")</f>
        <v/>
      </c>
      <c r="K4189" s="35"/>
      <c r="L4189" s="35"/>
      <c r="M4189" s="35"/>
      <c r="N4189" s="35"/>
      <c r="O4189" s="35"/>
      <c r="P4189" s="35"/>
      <c r="Q4189" s="35"/>
      <c r="R4189" s="35"/>
      <c r="S4189" s="74"/>
      <c r="T4189" s="35"/>
      <c r="U4189" s="35"/>
      <c r="V4189" s="35"/>
      <c r="W4189" s="45"/>
    </row>
    <row r="4190">
      <c r="A4190" s="45"/>
      <c r="B4190" s="35"/>
      <c r="C4190" s="35"/>
      <c r="D4190" s="10"/>
      <c r="E4190" s="35" t="str">
        <f>IFERROR(__xludf.DUMMYFUNCTION("""COMPUTED_VALUE"""),"")</f>
        <v/>
      </c>
      <c r="F4190" s="35" t="str">
        <f>IFERROR(__xludf.DUMMYFUNCTION("""COMPUTED_VALUE"""),"1899")</f>
        <v>1899</v>
      </c>
      <c r="G4190" s="35"/>
      <c r="H4190" s="35" t="str">
        <f>IFERROR(__xludf.DUMMYFUNCTION("""COMPUTED_VALUE"""),"")</f>
        <v/>
      </c>
      <c r="I4190" s="35" t="str">
        <f>IFERROR(__xludf.DUMMYFUNCTION("""COMPUTED_VALUE"""),"")</f>
        <v/>
      </c>
      <c r="J4190" s="35" t="str">
        <f>IFERROR(__xludf.DUMMYFUNCTION("""COMPUTED_VALUE"""),"")</f>
        <v/>
      </c>
      <c r="K4190" s="35"/>
      <c r="L4190" s="35"/>
      <c r="M4190" s="35"/>
      <c r="N4190" s="35"/>
      <c r="O4190" s="35"/>
      <c r="P4190" s="35"/>
      <c r="Q4190" s="35"/>
      <c r="R4190" s="35"/>
      <c r="S4190" s="74"/>
      <c r="T4190" s="35"/>
      <c r="U4190" s="35"/>
      <c r="V4190" s="35"/>
      <c r="W4190" s="45"/>
    </row>
    <row r="4191">
      <c r="A4191" s="45"/>
      <c r="B4191" s="35"/>
      <c r="C4191" s="35"/>
      <c r="D4191" s="10"/>
      <c r="E4191" s="35" t="str">
        <f>IFERROR(__xludf.DUMMYFUNCTION("""COMPUTED_VALUE"""),"")</f>
        <v/>
      </c>
      <c r="F4191" s="35" t="str">
        <f>IFERROR(__xludf.DUMMYFUNCTION("""COMPUTED_VALUE"""),"1899")</f>
        <v>1899</v>
      </c>
      <c r="G4191" s="35"/>
      <c r="H4191" s="35" t="str">
        <f>IFERROR(__xludf.DUMMYFUNCTION("""COMPUTED_VALUE"""),"")</f>
        <v/>
      </c>
      <c r="I4191" s="35" t="str">
        <f>IFERROR(__xludf.DUMMYFUNCTION("""COMPUTED_VALUE"""),"")</f>
        <v/>
      </c>
      <c r="J4191" s="35" t="str">
        <f>IFERROR(__xludf.DUMMYFUNCTION("""COMPUTED_VALUE"""),"")</f>
        <v/>
      </c>
      <c r="K4191" s="35"/>
      <c r="L4191" s="35"/>
      <c r="M4191" s="35"/>
      <c r="N4191" s="35"/>
      <c r="O4191" s="35"/>
      <c r="P4191" s="35"/>
      <c r="Q4191" s="35"/>
      <c r="R4191" s="35"/>
      <c r="S4191" s="74"/>
      <c r="T4191" s="35"/>
      <c r="U4191" s="35"/>
      <c r="V4191" s="35"/>
      <c r="W4191" s="45"/>
    </row>
    <row r="4192">
      <c r="A4192" s="45"/>
      <c r="B4192" s="35"/>
      <c r="C4192" s="35"/>
      <c r="D4192" s="10"/>
      <c r="E4192" s="35" t="str">
        <f>IFERROR(__xludf.DUMMYFUNCTION("""COMPUTED_VALUE"""),"")</f>
        <v/>
      </c>
      <c r="F4192" s="35" t="str">
        <f>IFERROR(__xludf.DUMMYFUNCTION("""COMPUTED_VALUE"""),"1899")</f>
        <v>1899</v>
      </c>
      <c r="G4192" s="35"/>
      <c r="H4192" s="35" t="str">
        <f>IFERROR(__xludf.DUMMYFUNCTION("""COMPUTED_VALUE"""),"")</f>
        <v/>
      </c>
      <c r="I4192" s="35" t="str">
        <f>IFERROR(__xludf.DUMMYFUNCTION("""COMPUTED_VALUE"""),"")</f>
        <v/>
      </c>
      <c r="J4192" s="35" t="str">
        <f>IFERROR(__xludf.DUMMYFUNCTION("""COMPUTED_VALUE"""),"")</f>
        <v/>
      </c>
      <c r="K4192" s="35"/>
      <c r="L4192" s="35"/>
      <c r="M4192" s="35"/>
      <c r="N4192" s="35"/>
      <c r="O4192" s="35"/>
      <c r="P4192" s="35"/>
      <c r="Q4192" s="35"/>
      <c r="R4192" s="35"/>
      <c r="S4192" s="74"/>
      <c r="T4192" s="35"/>
      <c r="U4192" s="35"/>
      <c r="V4192" s="35"/>
      <c r="W4192" s="45"/>
    </row>
    <row r="4193">
      <c r="A4193" s="45"/>
      <c r="B4193" s="35"/>
      <c r="C4193" s="35"/>
      <c r="D4193" s="10"/>
      <c r="E4193" s="35" t="str">
        <f>IFERROR(__xludf.DUMMYFUNCTION("""COMPUTED_VALUE"""),"")</f>
        <v/>
      </c>
      <c r="F4193" s="35" t="str">
        <f>IFERROR(__xludf.DUMMYFUNCTION("""COMPUTED_VALUE"""),"1899")</f>
        <v>1899</v>
      </c>
      <c r="G4193" s="35"/>
      <c r="H4193" s="35" t="str">
        <f>IFERROR(__xludf.DUMMYFUNCTION("""COMPUTED_VALUE"""),"")</f>
        <v/>
      </c>
      <c r="I4193" s="35" t="str">
        <f>IFERROR(__xludf.DUMMYFUNCTION("""COMPUTED_VALUE"""),"")</f>
        <v/>
      </c>
      <c r="J4193" s="35" t="str">
        <f>IFERROR(__xludf.DUMMYFUNCTION("""COMPUTED_VALUE"""),"")</f>
        <v/>
      </c>
      <c r="K4193" s="35"/>
      <c r="L4193" s="35"/>
      <c r="M4193" s="35"/>
      <c r="N4193" s="35"/>
      <c r="O4193" s="35"/>
      <c r="P4193" s="35"/>
      <c r="Q4193" s="35"/>
      <c r="R4193" s="35"/>
      <c r="S4193" s="74"/>
      <c r="T4193" s="35"/>
      <c r="U4193" s="35"/>
      <c r="V4193" s="35"/>
      <c r="W4193" s="45"/>
    </row>
    <row r="4194">
      <c r="A4194" s="45"/>
      <c r="B4194" s="35"/>
      <c r="C4194" s="35"/>
      <c r="D4194" s="10"/>
      <c r="E4194" s="35" t="str">
        <f>IFERROR(__xludf.DUMMYFUNCTION("""COMPUTED_VALUE"""),"")</f>
        <v/>
      </c>
      <c r="F4194" s="35" t="str">
        <f>IFERROR(__xludf.DUMMYFUNCTION("""COMPUTED_VALUE"""),"1899")</f>
        <v>1899</v>
      </c>
      <c r="G4194" s="35"/>
      <c r="H4194" s="35" t="str">
        <f>IFERROR(__xludf.DUMMYFUNCTION("""COMPUTED_VALUE"""),"")</f>
        <v/>
      </c>
      <c r="I4194" s="35" t="str">
        <f>IFERROR(__xludf.DUMMYFUNCTION("""COMPUTED_VALUE"""),"")</f>
        <v/>
      </c>
      <c r="J4194" s="35" t="str">
        <f>IFERROR(__xludf.DUMMYFUNCTION("""COMPUTED_VALUE"""),"")</f>
        <v/>
      </c>
      <c r="K4194" s="35"/>
      <c r="L4194" s="35"/>
      <c r="M4194" s="35"/>
      <c r="N4194" s="35"/>
      <c r="O4194" s="35"/>
      <c r="P4194" s="35"/>
      <c r="Q4194" s="35"/>
      <c r="R4194" s="35"/>
      <c r="S4194" s="74"/>
      <c r="T4194" s="35"/>
      <c r="U4194" s="35"/>
      <c r="V4194" s="35"/>
      <c r="W4194" s="45"/>
    </row>
    <row r="4195">
      <c r="A4195" s="45"/>
      <c r="B4195" s="35"/>
      <c r="C4195" s="35"/>
      <c r="D4195" s="10"/>
      <c r="E4195" s="35" t="str">
        <f>IFERROR(__xludf.DUMMYFUNCTION("""COMPUTED_VALUE"""),"")</f>
        <v/>
      </c>
      <c r="F4195" s="35" t="str">
        <f>IFERROR(__xludf.DUMMYFUNCTION("""COMPUTED_VALUE"""),"1899")</f>
        <v>1899</v>
      </c>
      <c r="G4195" s="35"/>
      <c r="H4195" s="35" t="str">
        <f>IFERROR(__xludf.DUMMYFUNCTION("""COMPUTED_VALUE"""),"")</f>
        <v/>
      </c>
      <c r="I4195" s="35" t="str">
        <f>IFERROR(__xludf.DUMMYFUNCTION("""COMPUTED_VALUE"""),"")</f>
        <v/>
      </c>
      <c r="J4195" s="35" t="str">
        <f>IFERROR(__xludf.DUMMYFUNCTION("""COMPUTED_VALUE"""),"")</f>
        <v/>
      </c>
      <c r="K4195" s="35"/>
      <c r="L4195" s="35"/>
      <c r="M4195" s="35"/>
      <c r="N4195" s="35"/>
      <c r="O4195" s="35"/>
      <c r="P4195" s="35"/>
      <c r="Q4195" s="35"/>
      <c r="R4195" s="35"/>
      <c r="S4195" s="74"/>
      <c r="T4195" s="35"/>
      <c r="U4195" s="35"/>
      <c r="V4195" s="35"/>
      <c r="W4195" s="45"/>
    </row>
    <row r="4196">
      <c r="A4196" s="45"/>
      <c r="B4196" s="35"/>
      <c r="C4196" s="35"/>
      <c r="D4196" s="10"/>
      <c r="E4196" s="35" t="str">
        <f>IFERROR(__xludf.DUMMYFUNCTION("""COMPUTED_VALUE"""),"")</f>
        <v/>
      </c>
      <c r="F4196" s="35" t="str">
        <f>IFERROR(__xludf.DUMMYFUNCTION("""COMPUTED_VALUE"""),"1899")</f>
        <v>1899</v>
      </c>
      <c r="G4196" s="35"/>
      <c r="H4196" s="35" t="str">
        <f>IFERROR(__xludf.DUMMYFUNCTION("""COMPUTED_VALUE"""),"")</f>
        <v/>
      </c>
      <c r="I4196" s="35" t="str">
        <f>IFERROR(__xludf.DUMMYFUNCTION("""COMPUTED_VALUE"""),"")</f>
        <v/>
      </c>
      <c r="J4196" s="35" t="str">
        <f>IFERROR(__xludf.DUMMYFUNCTION("""COMPUTED_VALUE"""),"")</f>
        <v/>
      </c>
      <c r="K4196" s="35"/>
      <c r="L4196" s="35"/>
      <c r="M4196" s="35"/>
      <c r="N4196" s="35"/>
      <c r="O4196" s="35"/>
      <c r="P4196" s="35"/>
      <c r="Q4196" s="35"/>
      <c r="R4196" s="35"/>
      <c r="S4196" s="74"/>
      <c r="T4196" s="35"/>
      <c r="U4196" s="35"/>
      <c r="V4196" s="35"/>
      <c r="W4196" s="45"/>
    </row>
    <row r="4197">
      <c r="A4197" s="45"/>
      <c r="B4197" s="35"/>
      <c r="C4197" s="35"/>
      <c r="D4197" s="10"/>
      <c r="E4197" s="35" t="str">
        <f>IFERROR(__xludf.DUMMYFUNCTION("""COMPUTED_VALUE"""),"")</f>
        <v/>
      </c>
      <c r="F4197" s="35" t="str">
        <f>IFERROR(__xludf.DUMMYFUNCTION("""COMPUTED_VALUE"""),"1899")</f>
        <v>1899</v>
      </c>
      <c r="G4197" s="35"/>
      <c r="H4197" s="35" t="str">
        <f>IFERROR(__xludf.DUMMYFUNCTION("""COMPUTED_VALUE"""),"")</f>
        <v/>
      </c>
      <c r="I4197" s="35" t="str">
        <f>IFERROR(__xludf.DUMMYFUNCTION("""COMPUTED_VALUE"""),"")</f>
        <v/>
      </c>
      <c r="J4197" s="35" t="str">
        <f>IFERROR(__xludf.DUMMYFUNCTION("""COMPUTED_VALUE"""),"")</f>
        <v/>
      </c>
      <c r="K4197" s="35"/>
      <c r="L4197" s="35"/>
      <c r="M4197" s="35"/>
      <c r="N4197" s="35"/>
      <c r="O4197" s="35"/>
      <c r="P4197" s="35"/>
      <c r="Q4197" s="35"/>
      <c r="R4197" s="35"/>
      <c r="S4197" s="74"/>
      <c r="T4197" s="35"/>
      <c r="U4197" s="35"/>
      <c r="V4197" s="35"/>
      <c r="W4197" s="45"/>
    </row>
    <row r="4198">
      <c r="A4198" s="45"/>
      <c r="B4198" s="35"/>
      <c r="C4198" s="35"/>
      <c r="D4198" s="10"/>
      <c r="E4198" s="35" t="str">
        <f>IFERROR(__xludf.DUMMYFUNCTION("""COMPUTED_VALUE"""),"")</f>
        <v/>
      </c>
      <c r="F4198" s="35" t="str">
        <f>IFERROR(__xludf.DUMMYFUNCTION("""COMPUTED_VALUE"""),"1899")</f>
        <v>1899</v>
      </c>
      <c r="G4198" s="35"/>
      <c r="H4198" s="35" t="str">
        <f>IFERROR(__xludf.DUMMYFUNCTION("""COMPUTED_VALUE"""),"")</f>
        <v/>
      </c>
      <c r="I4198" s="35" t="str">
        <f>IFERROR(__xludf.DUMMYFUNCTION("""COMPUTED_VALUE"""),"")</f>
        <v/>
      </c>
      <c r="J4198" s="35" t="str">
        <f>IFERROR(__xludf.DUMMYFUNCTION("""COMPUTED_VALUE"""),"")</f>
        <v/>
      </c>
      <c r="K4198" s="35"/>
      <c r="L4198" s="35"/>
      <c r="M4198" s="35"/>
      <c r="N4198" s="35"/>
      <c r="O4198" s="35"/>
      <c r="P4198" s="35"/>
      <c r="Q4198" s="35"/>
      <c r="R4198" s="35"/>
      <c r="S4198" s="74"/>
      <c r="T4198" s="35"/>
      <c r="U4198" s="35"/>
      <c r="V4198" s="35"/>
      <c r="W4198" s="45"/>
    </row>
    <row r="4199">
      <c r="A4199" s="45"/>
      <c r="B4199" s="35"/>
      <c r="C4199" s="35"/>
      <c r="D4199" s="10"/>
      <c r="E4199" s="35" t="str">
        <f>IFERROR(__xludf.DUMMYFUNCTION("""COMPUTED_VALUE"""),"")</f>
        <v/>
      </c>
      <c r="F4199" s="35" t="str">
        <f>IFERROR(__xludf.DUMMYFUNCTION("""COMPUTED_VALUE"""),"1899")</f>
        <v>1899</v>
      </c>
      <c r="G4199" s="35"/>
      <c r="H4199" s="35" t="str">
        <f>IFERROR(__xludf.DUMMYFUNCTION("""COMPUTED_VALUE"""),"")</f>
        <v/>
      </c>
      <c r="I4199" s="35" t="str">
        <f>IFERROR(__xludf.DUMMYFUNCTION("""COMPUTED_VALUE"""),"")</f>
        <v/>
      </c>
      <c r="J4199" s="35" t="str">
        <f>IFERROR(__xludf.DUMMYFUNCTION("""COMPUTED_VALUE"""),"")</f>
        <v/>
      </c>
      <c r="K4199" s="35"/>
      <c r="L4199" s="35"/>
      <c r="M4199" s="35"/>
      <c r="N4199" s="35"/>
      <c r="O4199" s="35"/>
      <c r="P4199" s="35"/>
      <c r="Q4199" s="35"/>
      <c r="R4199" s="35"/>
      <c r="S4199" s="74"/>
      <c r="T4199" s="35"/>
      <c r="U4199" s="35"/>
      <c r="V4199" s="35"/>
      <c r="W4199" s="45"/>
    </row>
    <row r="4200">
      <c r="A4200" s="45"/>
      <c r="B4200" s="35"/>
      <c r="C4200" s="35"/>
      <c r="D4200" s="10"/>
      <c r="E4200" s="35" t="str">
        <f>IFERROR(__xludf.DUMMYFUNCTION("""COMPUTED_VALUE"""),"")</f>
        <v/>
      </c>
      <c r="F4200" s="35" t="str">
        <f>IFERROR(__xludf.DUMMYFUNCTION("""COMPUTED_VALUE"""),"1899")</f>
        <v>1899</v>
      </c>
      <c r="G4200" s="35"/>
      <c r="H4200" s="35" t="str">
        <f>IFERROR(__xludf.DUMMYFUNCTION("""COMPUTED_VALUE"""),"")</f>
        <v/>
      </c>
      <c r="I4200" s="35" t="str">
        <f>IFERROR(__xludf.DUMMYFUNCTION("""COMPUTED_VALUE"""),"")</f>
        <v/>
      </c>
      <c r="J4200" s="35" t="str">
        <f>IFERROR(__xludf.DUMMYFUNCTION("""COMPUTED_VALUE"""),"")</f>
        <v/>
      </c>
      <c r="K4200" s="35"/>
      <c r="L4200" s="35"/>
      <c r="M4200" s="35"/>
      <c r="N4200" s="35"/>
      <c r="O4200" s="35"/>
      <c r="P4200" s="35"/>
      <c r="Q4200" s="35"/>
      <c r="R4200" s="35"/>
      <c r="S4200" s="74"/>
      <c r="T4200" s="35"/>
      <c r="U4200" s="35"/>
      <c r="V4200" s="35"/>
      <c r="W4200" s="45"/>
    </row>
    <row r="4201">
      <c r="A4201" s="45"/>
      <c r="B4201" s="35"/>
      <c r="C4201" s="35"/>
      <c r="D4201" s="10"/>
      <c r="E4201" s="35" t="str">
        <f>IFERROR(__xludf.DUMMYFUNCTION("""COMPUTED_VALUE"""),"")</f>
        <v/>
      </c>
      <c r="F4201" s="35" t="str">
        <f>IFERROR(__xludf.DUMMYFUNCTION("""COMPUTED_VALUE"""),"1899")</f>
        <v>1899</v>
      </c>
      <c r="G4201" s="35"/>
      <c r="H4201" s="35" t="str">
        <f>IFERROR(__xludf.DUMMYFUNCTION("""COMPUTED_VALUE"""),"")</f>
        <v/>
      </c>
      <c r="I4201" s="35" t="str">
        <f>IFERROR(__xludf.DUMMYFUNCTION("""COMPUTED_VALUE"""),"")</f>
        <v/>
      </c>
      <c r="J4201" s="35" t="str">
        <f>IFERROR(__xludf.DUMMYFUNCTION("""COMPUTED_VALUE"""),"")</f>
        <v/>
      </c>
      <c r="K4201" s="35"/>
      <c r="L4201" s="35"/>
      <c r="M4201" s="35"/>
      <c r="N4201" s="35"/>
      <c r="O4201" s="35"/>
      <c r="P4201" s="35"/>
      <c r="Q4201" s="35"/>
      <c r="R4201" s="35"/>
      <c r="S4201" s="74"/>
      <c r="T4201" s="35"/>
      <c r="U4201" s="35"/>
      <c r="V4201" s="35"/>
      <c r="W4201" s="45"/>
    </row>
    <row r="4202">
      <c r="A4202" s="45"/>
      <c r="B4202" s="35"/>
      <c r="C4202" s="35"/>
      <c r="D4202" s="10"/>
      <c r="E4202" s="35" t="str">
        <f>IFERROR(__xludf.DUMMYFUNCTION("""COMPUTED_VALUE"""),"")</f>
        <v/>
      </c>
      <c r="F4202" s="35" t="str">
        <f>IFERROR(__xludf.DUMMYFUNCTION("""COMPUTED_VALUE"""),"1899")</f>
        <v>1899</v>
      </c>
      <c r="G4202" s="35"/>
      <c r="H4202" s="35" t="str">
        <f>IFERROR(__xludf.DUMMYFUNCTION("""COMPUTED_VALUE"""),"")</f>
        <v/>
      </c>
      <c r="I4202" s="35" t="str">
        <f>IFERROR(__xludf.DUMMYFUNCTION("""COMPUTED_VALUE"""),"")</f>
        <v/>
      </c>
      <c r="J4202" s="35" t="str">
        <f>IFERROR(__xludf.DUMMYFUNCTION("""COMPUTED_VALUE"""),"")</f>
        <v/>
      </c>
      <c r="K4202" s="35"/>
      <c r="L4202" s="35"/>
      <c r="M4202" s="35"/>
      <c r="N4202" s="35"/>
      <c r="O4202" s="35"/>
      <c r="P4202" s="35"/>
      <c r="Q4202" s="35"/>
      <c r="R4202" s="35"/>
      <c r="S4202" s="74"/>
      <c r="T4202" s="35"/>
      <c r="U4202" s="35"/>
      <c r="V4202" s="35"/>
      <c r="W4202" s="45"/>
    </row>
    <row r="4203">
      <c r="A4203" s="45"/>
      <c r="B4203" s="35"/>
      <c r="C4203" s="35"/>
      <c r="D4203" s="10"/>
      <c r="E4203" s="35" t="str">
        <f>IFERROR(__xludf.DUMMYFUNCTION("""COMPUTED_VALUE"""),"")</f>
        <v/>
      </c>
      <c r="F4203" s="35" t="str">
        <f>IFERROR(__xludf.DUMMYFUNCTION("""COMPUTED_VALUE"""),"1899")</f>
        <v>1899</v>
      </c>
      <c r="G4203" s="35"/>
      <c r="H4203" s="35" t="str">
        <f>IFERROR(__xludf.DUMMYFUNCTION("""COMPUTED_VALUE"""),"")</f>
        <v/>
      </c>
      <c r="I4203" s="35" t="str">
        <f>IFERROR(__xludf.DUMMYFUNCTION("""COMPUTED_VALUE"""),"")</f>
        <v/>
      </c>
      <c r="J4203" s="35" t="str">
        <f>IFERROR(__xludf.DUMMYFUNCTION("""COMPUTED_VALUE"""),"")</f>
        <v/>
      </c>
      <c r="K4203" s="35"/>
      <c r="L4203" s="35"/>
      <c r="M4203" s="35"/>
      <c r="N4203" s="35"/>
      <c r="O4203" s="35"/>
      <c r="P4203" s="35"/>
      <c r="Q4203" s="35"/>
      <c r="R4203" s="35"/>
      <c r="S4203" s="74"/>
      <c r="T4203" s="35"/>
      <c r="U4203" s="35"/>
      <c r="V4203" s="35"/>
      <c r="W4203" s="45"/>
    </row>
    <row r="4204">
      <c r="A4204" s="45"/>
      <c r="B4204" s="35"/>
      <c r="C4204" s="35"/>
      <c r="D4204" s="10"/>
      <c r="E4204" s="35" t="str">
        <f>IFERROR(__xludf.DUMMYFUNCTION("""COMPUTED_VALUE"""),"")</f>
        <v/>
      </c>
      <c r="F4204" s="35" t="str">
        <f>IFERROR(__xludf.DUMMYFUNCTION("""COMPUTED_VALUE"""),"1899")</f>
        <v>1899</v>
      </c>
      <c r="G4204" s="35"/>
      <c r="H4204" s="35" t="str">
        <f>IFERROR(__xludf.DUMMYFUNCTION("""COMPUTED_VALUE"""),"")</f>
        <v/>
      </c>
      <c r="I4204" s="35" t="str">
        <f>IFERROR(__xludf.DUMMYFUNCTION("""COMPUTED_VALUE"""),"")</f>
        <v/>
      </c>
      <c r="J4204" s="35" t="str">
        <f>IFERROR(__xludf.DUMMYFUNCTION("""COMPUTED_VALUE"""),"")</f>
        <v/>
      </c>
      <c r="K4204" s="35"/>
      <c r="L4204" s="35"/>
      <c r="M4204" s="35"/>
      <c r="N4204" s="35"/>
      <c r="O4204" s="35"/>
      <c r="P4204" s="35"/>
      <c r="Q4204" s="35"/>
      <c r="R4204" s="35"/>
      <c r="S4204" s="74"/>
      <c r="T4204" s="35"/>
      <c r="U4204" s="35"/>
      <c r="V4204" s="35"/>
      <c r="W4204" s="45"/>
    </row>
    <row r="4205">
      <c r="A4205" s="45"/>
      <c r="B4205" s="35"/>
      <c r="C4205" s="35"/>
      <c r="D4205" s="10"/>
      <c r="E4205" s="35" t="str">
        <f>IFERROR(__xludf.DUMMYFUNCTION("""COMPUTED_VALUE"""),"")</f>
        <v/>
      </c>
      <c r="F4205" s="35" t="str">
        <f>IFERROR(__xludf.DUMMYFUNCTION("""COMPUTED_VALUE"""),"1899")</f>
        <v>1899</v>
      </c>
      <c r="G4205" s="35"/>
      <c r="H4205" s="35" t="str">
        <f>IFERROR(__xludf.DUMMYFUNCTION("""COMPUTED_VALUE"""),"")</f>
        <v/>
      </c>
      <c r="I4205" s="35" t="str">
        <f>IFERROR(__xludf.DUMMYFUNCTION("""COMPUTED_VALUE"""),"")</f>
        <v/>
      </c>
      <c r="J4205" s="35" t="str">
        <f>IFERROR(__xludf.DUMMYFUNCTION("""COMPUTED_VALUE"""),"")</f>
        <v/>
      </c>
      <c r="K4205" s="35"/>
      <c r="L4205" s="35"/>
      <c r="M4205" s="35"/>
      <c r="N4205" s="35"/>
      <c r="O4205" s="35"/>
      <c r="P4205" s="35"/>
      <c r="Q4205" s="35"/>
      <c r="R4205" s="35"/>
      <c r="S4205" s="74"/>
      <c r="T4205" s="35"/>
      <c r="U4205" s="35"/>
      <c r="V4205" s="35"/>
      <c r="W4205" s="45"/>
    </row>
    <row r="4206">
      <c r="A4206" s="45"/>
      <c r="B4206" s="35"/>
      <c r="C4206" s="35"/>
      <c r="D4206" s="10"/>
      <c r="E4206" s="35" t="str">
        <f>IFERROR(__xludf.DUMMYFUNCTION("""COMPUTED_VALUE"""),"")</f>
        <v/>
      </c>
      <c r="F4206" s="35" t="str">
        <f>IFERROR(__xludf.DUMMYFUNCTION("""COMPUTED_VALUE"""),"1899")</f>
        <v>1899</v>
      </c>
      <c r="G4206" s="35"/>
      <c r="H4206" s="35" t="str">
        <f>IFERROR(__xludf.DUMMYFUNCTION("""COMPUTED_VALUE"""),"")</f>
        <v/>
      </c>
      <c r="I4206" s="35" t="str">
        <f>IFERROR(__xludf.DUMMYFUNCTION("""COMPUTED_VALUE"""),"")</f>
        <v/>
      </c>
      <c r="J4206" s="35" t="str">
        <f>IFERROR(__xludf.DUMMYFUNCTION("""COMPUTED_VALUE"""),"")</f>
        <v/>
      </c>
      <c r="K4206" s="35"/>
      <c r="L4206" s="35"/>
      <c r="M4206" s="35"/>
      <c r="N4206" s="35"/>
      <c r="O4206" s="35"/>
      <c r="P4206" s="35"/>
      <c r="Q4206" s="35"/>
      <c r="R4206" s="35"/>
      <c r="S4206" s="74"/>
      <c r="T4206" s="35"/>
      <c r="U4206" s="35"/>
      <c r="V4206" s="35"/>
      <c r="W4206" s="45"/>
    </row>
    <row r="4207">
      <c r="A4207" s="45"/>
      <c r="B4207" s="35"/>
      <c r="C4207" s="35"/>
      <c r="D4207" s="10"/>
      <c r="E4207" s="35" t="str">
        <f>IFERROR(__xludf.DUMMYFUNCTION("""COMPUTED_VALUE"""),"")</f>
        <v/>
      </c>
      <c r="F4207" s="35" t="str">
        <f>IFERROR(__xludf.DUMMYFUNCTION("""COMPUTED_VALUE"""),"1899")</f>
        <v>1899</v>
      </c>
      <c r="G4207" s="35"/>
      <c r="H4207" s="35" t="str">
        <f>IFERROR(__xludf.DUMMYFUNCTION("""COMPUTED_VALUE"""),"")</f>
        <v/>
      </c>
      <c r="I4207" s="35" t="str">
        <f>IFERROR(__xludf.DUMMYFUNCTION("""COMPUTED_VALUE"""),"")</f>
        <v/>
      </c>
      <c r="J4207" s="35" t="str">
        <f>IFERROR(__xludf.DUMMYFUNCTION("""COMPUTED_VALUE"""),"")</f>
        <v/>
      </c>
      <c r="K4207" s="35"/>
      <c r="L4207" s="35"/>
      <c r="M4207" s="35"/>
      <c r="N4207" s="35"/>
      <c r="O4207" s="35"/>
      <c r="P4207" s="35"/>
      <c r="Q4207" s="35"/>
      <c r="R4207" s="35"/>
      <c r="S4207" s="74"/>
      <c r="T4207" s="35"/>
      <c r="U4207" s="35"/>
      <c r="V4207" s="35"/>
      <c r="W4207" s="45"/>
    </row>
    <row r="4208">
      <c r="A4208" s="45"/>
      <c r="B4208" s="35"/>
      <c r="C4208" s="35"/>
      <c r="D4208" s="10"/>
      <c r="E4208" s="35" t="str">
        <f>IFERROR(__xludf.DUMMYFUNCTION("""COMPUTED_VALUE"""),"")</f>
        <v/>
      </c>
      <c r="F4208" s="35" t="str">
        <f>IFERROR(__xludf.DUMMYFUNCTION("""COMPUTED_VALUE"""),"1899")</f>
        <v>1899</v>
      </c>
      <c r="G4208" s="35"/>
      <c r="H4208" s="35" t="str">
        <f>IFERROR(__xludf.DUMMYFUNCTION("""COMPUTED_VALUE"""),"")</f>
        <v/>
      </c>
      <c r="I4208" s="35" t="str">
        <f>IFERROR(__xludf.DUMMYFUNCTION("""COMPUTED_VALUE"""),"")</f>
        <v/>
      </c>
      <c r="J4208" s="35" t="str">
        <f>IFERROR(__xludf.DUMMYFUNCTION("""COMPUTED_VALUE"""),"")</f>
        <v/>
      </c>
      <c r="K4208" s="35"/>
      <c r="L4208" s="35"/>
      <c r="M4208" s="35"/>
      <c r="N4208" s="35"/>
      <c r="O4208" s="35"/>
      <c r="P4208" s="35"/>
      <c r="Q4208" s="35"/>
      <c r="R4208" s="35"/>
      <c r="S4208" s="74"/>
      <c r="T4208" s="35"/>
      <c r="U4208" s="35"/>
      <c r="V4208" s="35"/>
      <c r="W4208" s="45"/>
    </row>
    <row r="4209">
      <c r="A4209" s="45"/>
      <c r="B4209" s="35"/>
      <c r="C4209" s="35"/>
      <c r="D4209" s="10"/>
      <c r="E4209" s="35" t="str">
        <f>IFERROR(__xludf.DUMMYFUNCTION("""COMPUTED_VALUE"""),"")</f>
        <v/>
      </c>
      <c r="F4209" s="35" t="str">
        <f>IFERROR(__xludf.DUMMYFUNCTION("""COMPUTED_VALUE"""),"1899")</f>
        <v>1899</v>
      </c>
      <c r="G4209" s="35"/>
      <c r="H4209" s="35" t="str">
        <f>IFERROR(__xludf.DUMMYFUNCTION("""COMPUTED_VALUE"""),"")</f>
        <v/>
      </c>
      <c r="I4209" s="35" t="str">
        <f>IFERROR(__xludf.DUMMYFUNCTION("""COMPUTED_VALUE"""),"")</f>
        <v/>
      </c>
      <c r="J4209" s="35" t="str">
        <f>IFERROR(__xludf.DUMMYFUNCTION("""COMPUTED_VALUE"""),"")</f>
        <v/>
      </c>
      <c r="K4209" s="35"/>
      <c r="L4209" s="35"/>
      <c r="M4209" s="35"/>
      <c r="N4209" s="35"/>
      <c r="O4209" s="35"/>
      <c r="P4209" s="35"/>
      <c r="Q4209" s="35"/>
      <c r="R4209" s="35"/>
      <c r="S4209" s="74"/>
      <c r="T4209" s="35"/>
      <c r="U4209" s="35"/>
      <c r="V4209" s="35"/>
      <c r="W4209" s="45"/>
    </row>
    <row r="4210">
      <c r="A4210" s="45"/>
      <c r="B4210" s="35"/>
      <c r="C4210" s="35"/>
      <c r="D4210" s="10"/>
      <c r="E4210" s="35" t="str">
        <f>IFERROR(__xludf.DUMMYFUNCTION("""COMPUTED_VALUE"""),"")</f>
        <v/>
      </c>
      <c r="F4210" s="35" t="str">
        <f>IFERROR(__xludf.DUMMYFUNCTION("""COMPUTED_VALUE"""),"1899")</f>
        <v>1899</v>
      </c>
      <c r="G4210" s="35"/>
      <c r="H4210" s="35" t="str">
        <f>IFERROR(__xludf.DUMMYFUNCTION("""COMPUTED_VALUE"""),"")</f>
        <v/>
      </c>
      <c r="I4210" s="35" t="str">
        <f>IFERROR(__xludf.DUMMYFUNCTION("""COMPUTED_VALUE"""),"")</f>
        <v/>
      </c>
      <c r="J4210" s="35" t="str">
        <f>IFERROR(__xludf.DUMMYFUNCTION("""COMPUTED_VALUE"""),"")</f>
        <v/>
      </c>
      <c r="K4210" s="35"/>
      <c r="L4210" s="35"/>
      <c r="M4210" s="35"/>
      <c r="N4210" s="35"/>
      <c r="O4210" s="35"/>
      <c r="P4210" s="35"/>
      <c r="Q4210" s="35"/>
      <c r="R4210" s="35"/>
      <c r="S4210" s="74"/>
      <c r="T4210" s="35"/>
      <c r="U4210" s="35"/>
      <c r="V4210" s="35"/>
      <c r="W4210" s="45"/>
    </row>
    <row r="4211">
      <c r="A4211" s="45"/>
      <c r="B4211" s="35"/>
      <c r="C4211" s="35"/>
      <c r="D4211" s="10"/>
      <c r="E4211" s="35" t="str">
        <f>IFERROR(__xludf.DUMMYFUNCTION("""COMPUTED_VALUE"""),"")</f>
        <v/>
      </c>
      <c r="F4211" s="35" t="str">
        <f>IFERROR(__xludf.DUMMYFUNCTION("""COMPUTED_VALUE"""),"1899")</f>
        <v>1899</v>
      </c>
      <c r="G4211" s="35"/>
      <c r="H4211" s="35" t="str">
        <f>IFERROR(__xludf.DUMMYFUNCTION("""COMPUTED_VALUE"""),"")</f>
        <v/>
      </c>
      <c r="I4211" s="35" t="str">
        <f>IFERROR(__xludf.DUMMYFUNCTION("""COMPUTED_VALUE"""),"")</f>
        <v/>
      </c>
      <c r="J4211" s="35" t="str">
        <f>IFERROR(__xludf.DUMMYFUNCTION("""COMPUTED_VALUE"""),"")</f>
        <v/>
      </c>
      <c r="K4211" s="35"/>
      <c r="L4211" s="35"/>
      <c r="M4211" s="35"/>
      <c r="N4211" s="35"/>
      <c r="O4211" s="35"/>
      <c r="P4211" s="35"/>
      <c r="Q4211" s="35"/>
      <c r="R4211" s="35"/>
      <c r="S4211" s="74"/>
      <c r="T4211" s="35"/>
      <c r="U4211" s="35"/>
      <c r="V4211" s="35"/>
      <c r="W4211" s="45"/>
    </row>
    <row r="4212">
      <c r="A4212" s="45"/>
      <c r="B4212" s="35"/>
      <c r="C4212" s="35"/>
      <c r="D4212" s="10"/>
      <c r="E4212" s="35" t="str">
        <f>IFERROR(__xludf.DUMMYFUNCTION("""COMPUTED_VALUE"""),"")</f>
        <v/>
      </c>
      <c r="F4212" s="35" t="str">
        <f>IFERROR(__xludf.DUMMYFUNCTION("""COMPUTED_VALUE"""),"1899")</f>
        <v>1899</v>
      </c>
      <c r="G4212" s="35"/>
      <c r="H4212" s="35" t="str">
        <f>IFERROR(__xludf.DUMMYFUNCTION("""COMPUTED_VALUE"""),"")</f>
        <v/>
      </c>
      <c r="I4212" s="35" t="str">
        <f>IFERROR(__xludf.DUMMYFUNCTION("""COMPUTED_VALUE"""),"")</f>
        <v/>
      </c>
      <c r="J4212" s="35" t="str">
        <f>IFERROR(__xludf.DUMMYFUNCTION("""COMPUTED_VALUE"""),"")</f>
        <v/>
      </c>
      <c r="K4212" s="35"/>
      <c r="L4212" s="35"/>
      <c r="M4212" s="35"/>
      <c r="N4212" s="35"/>
      <c r="O4212" s="35"/>
      <c r="P4212" s="35"/>
      <c r="Q4212" s="35"/>
      <c r="R4212" s="35"/>
      <c r="S4212" s="74"/>
      <c r="T4212" s="35"/>
      <c r="U4212" s="35"/>
      <c r="V4212" s="35"/>
      <c r="W4212" s="45"/>
    </row>
    <row r="4213">
      <c r="A4213" s="45"/>
      <c r="B4213" s="35"/>
      <c r="C4213" s="35"/>
      <c r="D4213" s="10"/>
      <c r="E4213" s="35" t="str">
        <f>IFERROR(__xludf.DUMMYFUNCTION("""COMPUTED_VALUE"""),"")</f>
        <v/>
      </c>
      <c r="F4213" s="35" t="str">
        <f>IFERROR(__xludf.DUMMYFUNCTION("""COMPUTED_VALUE"""),"1899")</f>
        <v>1899</v>
      </c>
      <c r="G4213" s="35"/>
      <c r="H4213" s="35" t="str">
        <f>IFERROR(__xludf.DUMMYFUNCTION("""COMPUTED_VALUE"""),"")</f>
        <v/>
      </c>
      <c r="I4213" s="35" t="str">
        <f>IFERROR(__xludf.DUMMYFUNCTION("""COMPUTED_VALUE"""),"")</f>
        <v/>
      </c>
      <c r="J4213" s="35" t="str">
        <f>IFERROR(__xludf.DUMMYFUNCTION("""COMPUTED_VALUE"""),"")</f>
        <v/>
      </c>
      <c r="K4213" s="35"/>
      <c r="L4213" s="35"/>
      <c r="M4213" s="35"/>
      <c r="N4213" s="35"/>
      <c r="O4213" s="35"/>
      <c r="P4213" s="35"/>
      <c r="Q4213" s="35"/>
      <c r="R4213" s="35"/>
      <c r="S4213" s="74"/>
      <c r="T4213" s="35"/>
      <c r="U4213" s="35"/>
      <c r="V4213" s="35"/>
      <c r="W4213" s="45"/>
    </row>
    <row r="4214">
      <c r="A4214" s="45"/>
      <c r="B4214" s="35"/>
      <c r="C4214" s="35"/>
      <c r="D4214" s="10"/>
      <c r="E4214" s="35" t="str">
        <f>IFERROR(__xludf.DUMMYFUNCTION("""COMPUTED_VALUE"""),"")</f>
        <v/>
      </c>
      <c r="F4214" s="35" t="str">
        <f>IFERROR(__xludf.DUMMYFUNCTION("""COMPUTED_VALUE"""),"1899")</f>
        <v>1899</v>
      </c>
      <c r="G4214" s="35"/>
      <c r="H4214" s="35" t="str">
        <f>IFERROR(__xludf.DUMMYFUNCTION("""COMPUTED_VALUE"""),"")</f>
        <v/>
      </c>
      <c r="I4214" s="35" t="str">
        <f>IFERROR(__xludf.DUMMYFUNCTION("""COMPUTED_VALUE"""),"")</f>
        <v/>
      </c>
      <c r="J4214" s="35" t="str">
        <f>IFERROR(__xludf.DUMMYFUNCTION("""COMPUTED_VALUE"""),"")</f>
        <v/>
      </c>
      <c r="K4214" s="35"/>
      <c r="L4214" s="35"/>
      <c r="M4214" s="35"/>
      <c r="N4214" s="35"/>
      <c r="O4214" s="35"/>
      <c r="P4214" s="35"/>
      <c r="Q4214" s="35"/>
      <c r="R4214" s="35"/>
      <c r="S4214" s="74"/>
      <c r="T4214" s="35"/>
      <c r="U4214" s="35"/>
      <c r="V4214" s="35"/>
      <c r="W4214" s="45"/>
    </row>
    <row r="4215">
      <c r="A4215" s="45"/>
      <c r="B4215" s="35"/>
      <c r="C4215" s="35"/>
      <c r="D4215" s="10"/>
      <c r="E4215" s="35" t="str">
        <f>IFERROR(__xludf.DUMMYFUNCTION("""COMPUTED_VALUE"""),"")</f>
        <v/>
      </c>
      <c r="F4215" s="35" t="str">
        <f>IFERROR(__xludf.DUMMYFUNCTION("""COMPUTED_VALUE"""),"1899")</f>
        <v>1899</v>
      </c>
      <c r="G4215" s="35"/>
      <c r="H4215" s="35" t="str">
        <f>IFERROR(__xludf.DUMMYFUNCTION("""COMPUTED_VALUE"""),"")</f>
        <v/>
      </c>
      <c r="I4215" s="35" t="str">
        <f>IFERROR(__xludf.DUMMYFUNCTION("""COMPUTED_VALUE"""),"")</f>
        <v/>
      </c>
      <c r="J4215" s="35" t="str">
        <f>IFERROR(__xludf.DUMMYFUNCTION("""COMPUTED_VALUE"""),"")</f>
        <v/>
      </c>
      <c r="K4215" s="35"/>
      <c r="L4215" s="35"/>
      <c r="M4215" s="35"/>
      <c r="N4215" s="35"/>
      <c r="O4215" s="35"/>
      <c r="P4215" s="35"/>
      <c r="Q4215" s="35"/>
      <c r="R4215" s="35"/>
      <c r="S4215" s="74"/>
      <c r="T4215" s="35"/>
      <c r="U4215" s="35"/>
      <c r="V4215" s="35"/>
      <c r="W4215" s="45"/>
    </row>
    <row r="4216">
      <c r="A4216" s="45"/>
      <c r="B4216" s="35"/>
      <c r="C4216" s="35"/>
      <c r="D4216" s="10"/>
      <c r="E4216" s="35" t="str">
        <f>IFERROR(__xludf.DUMMYFUNCTION("""COMPUTED_VALUE"""),"")</f>
        <v/>
      </c>
      <c r="F4216" s="35" t="str">
        <f>IFERROR(__xludf.DUMMYFUNCTION("""COMPUTED_VALUE"""),"1899")</f>
        <v>1899</v>
      </c>
      <c r="G4216" s="35"/>
      <c r="H4216" s="35" t="str">
        <f>IFERROR(__xludf.DUMMYFUNCTION("""COMPUTED_VALUE"""),"")</f>
        <v/>
      </c>
      <c r="I4216" s="35" t="str">
        <f>IFERROR(__xludf.DUMMYFUNCTION("""COMPUTED_VALUE"""),"")</f>
        <v/>
      </c>
      <c r="J4216" s="35" t="str">
        <f>IFERROR(__xludf.DUMMYFUNCTION("""COMPUTED_VALUE"""),"")</f>
        <v/>
      </c>
      <c r="K4216" s="35"/>
      <c r="L4216" s="35"/>
      <c r="M4216" s="35"/>
      <c r="N4216" s="35"/>
      <c r="O4216" s="35"/>
      <c r="P4216" s="35"/>
      <c r="Q4216" s="35"/>
      <c r="R4216" s="35"/>
      <c r="S4216" s="74"/>
      <c r="T4216" s="35"/>
      <c r="U4216" s="35"/>
      <c r="V4216" s="35"/>
      <c r="W4216" s="45"/>
    </row>
    <row r="4217">
      <c r="A4217" s="45"/>
      <c r="B4217" s="35"/>
      <c r="C4217" s="35"/>
      <c r="D4217" s="10"/>
      <c r="E4217" s="35" t="str">
        <f>IFERROR(__xludf.DUMMYFUNCTION("""COMPUTED_VALUE"""),"")</f>
        <v/>
      </c>
      <c r="F4217" s="35" t="str">
        <f>IFERROR(__xludf.DUMMYFUNCTION("""COMPUTED_VALUE"""),"1899")</f>
        <v>1899</v>
      </c>
      <c r="G4217" s="35"/>
      <c r="H4217" s="35" t="str">
        <f>IFERROR(__xludf.DUMMYFUNCTION("""COMPUTED_VALUE"""),"")</f>
        <v/>
      </c>
      <c r="I4217" s="35" t="str">
        <f>IFERROR(__xludf.DUMMYFUNCTION("""COMPUTED_VALUE"""),"")</f>
        <v/>
      </c>
      <c r="J4217" s="35" t="str">
        <f>IFERROR(__xludf.DUMMYFUNCTION("""COMPUTED_VALUE"""),"")</f>
        <v/>
      </c>
      <c r="K4217" s="35"/>
      <c r="L4217" s="35"/>
      <c r="M4217" s="35"/>
      <c r="N4217" s="35"/>
      <c r="O4217" s="35"/>
      <c r="P4217" s="35"/>
      <c r="Q4217" s="35"/>
      <c r="R4217" s="35"/>
      <c r="S4217" s="74"/>
      <c r="T4217" s="35"/>
      <c r="U4217" s="35"/>
      <c r="V4217" s="35"/>
      <c r="W4217" s="45"/>
    </row>
    <row r="4218">
      <c r="A4218" s="45"/>
      <c r="B4218" s="35"/>
      <c r="C4218" s="35"/>
      <c r="D4218" s="10"/>
      <c r="E4218" s="35" t="str">
        <f>IFERROR(__xludf.DUMMYFUNCTION("""COMPUTED_VALUE"""),"")</f>
        <v/>
      </c>
      <c r="F4218" s="35" t="str">
        <f>IFERROR(__xludf.DUMMYFUNCTION("""COMPUTED_VALUE"""),"1899")</f>
        <v>1899</v>
      </c>
      <c r="G4218" s="35"/>
      <c r="H4218" s="35" t="str">
        <f>IFERROR(__xludf.DUMMYFUNCTION("""COMPUTED_VALUE"""),"")</f>
        <v/>
      </c>
      <c r="I4218" s="35" t="str">
        <f>IFERROR(__xludf.DUMMYFUNCTION("""COMPUTED_VALUE"""),"")</f>
        <v/>
      </c>
      <c r="J4218" s="35" t="str">
        <f>IFERROR(__xludf.DUMMYFUNCTION("""COMPUTED_VALUE"""),"")</f>
        <v/>
      </c>
      <c r="K4218" s="35"/>
      <c r="L4218" s="35"/>
      <c r="M4218" s="35"/>
      <c r="N4218" s="35"/>
      <c r="O4218" s="35"/>
      <c r="P4218" s="35"/>
      <c r="Q4218" s="35"/>
      <c r="R4218" s="35"/>
      <c r="S4218" s="74"/>
      <c r="T4218" s="35"/>
      <c r="U4218" s="35"/>
      <c r="V4218" s="35"/>
      <c r="W4218" s="45"/>
    </row>
    <row r="4219">
      <c r="A4219" s="45"/>
      <c r="B4219" s="35"/>
      <c r="C4219" s="35"/>
      <c r="D4219" s="10"/>
      <c r="E4219" s="35" t="str">
        <f>IFERROR(__xludf.DUMMYFUNCTION("""COMPUTED_VALUE"""),"")</f>
        <v/>
      </c>
      <c r="F4219" s="35" t="str">
        <f>IFERROR(__xludf.DUMMYFUNCTION("""COMPUTED_VALUE"""),"1899")</f>
        <v>1899</v>
      </c>
      <c r="G4219" s="35"/>
      <c r="H4219" s="35" t="str">
        <f>IFERROR(__xludf.DUMMYFUNCTION("""COMPUTED_VALUE"""),"")</f>
        <v/>
      </c>
      <c r="I4219" s="35" t="str">
        <f>IFERROR(__xludf.DUMMYFUNCTION("""COMPUTED_VALUE"""),"")</f>
        <v/>
      </c>
      <c r="J4219" s="35" t="str">
        <f>IFERROR(__xludf.DUMMYFUNCTION("""COMPUTED_VALUE"""),"")</f>
        <v/>
      </c>
      <c r="K4219" s="35"/>
      <c r="L4219" s="35"/>
      <c r="M4219" s="35"/>
      <c r="N4219" s="35"/>
      <c r="O4219" s="35"/>
      <c r="P4219" s="35"/>
      <c r="Q4219" s="35"/>
      <c r="R4219" s="35"/>
      <c r="S4219" s="74"/>
      <c r="T4219" s="35"/>
      <c r="U4219" s="35"/>
      <c r="V4219" s="35"/>
      <c r="W4219" s="45"/>
    </row>
    <row r="4220">
      <c r="A4220" s="45"/>
      <c r="B4220" s="35"/>
      <c r="C4220" s="35"/>
      <c r="D4220" s="10"/>
      <c r="E4220" s="35" t="str">
        <f>IFERROR(__xludf.DUMMYFUNCTION("""COMPUTED_VALUE"""),"")</f>
        <v/>
      </c>
      <c r="F4220" s="35" t="str">
        <f>IFERROR(__xludf.DUMMYFUNCTION("""COMPUTED_VALUE"""),"1899")</f>
        <v>1899</v>
      </c>
      <c r="G4220" s="35"/>
      <c r="H4220" s="35" t="str">
        <f>IFERROR(__xludf.DUMMYFUNCTION("""COMPUTED_VALUE"""),"")</f>
        <v/>
      </c>
      <c r="I4220" s="35" t="str">
        <f>IFERROR(__xludf.DUMMYFUNCTION("""COMPUTED_VALUE"""),"")</f>
        <v/>
      </c>
      <c r="J4220" s="35" t="str">
        <f>IFERROR(__xludf.DUMMYFUNCTION("""COMPUTED_VALUE"""),"")</f>
        <v/>
      </c>
      <c r="K4220" s="35"/>
      <c r="L4220" s="35"/>
      <c r="M4220" s="35"/>
      <c r="N4220" s="35"/>
      <c r="O4220" s="35"/>
      <c r="P4220" s="35"/>
      <c r="Q4220" s="35"/>
      <c r="R4220" s="35"/>
      <c r="S4220" s="74"/>
      <c r="T4220" s="35"/>
      <c r="U4220" s="35"/>
      <c r="V4220" s="35"/>
      <c r="W4220" s="45"/>
    </row>
    <row r="4221">
      <c r="A4221" s="45"/>
      <c r="B4221" s="35"/>
      <c r="C4221" s="35"/>
      <c r="D4221" s="10"/>
      <c r="E4221" s="35" t="str">
        <f>IFERROR(__xludf.DUMMYFUNCTION("""COMPUTED_VALUE"""),"")</f>
        <v/>
      </c>
      <c r="F4221" s="35" t="str">
        <f>IFERROR(__xludf.DUMMYFUNCTION("""COMPUTED_VALUE"""),"1899")</f>
        <v>1899</v>
      </c>
      <c r="G4221" s="35"/>
      <c r="H4221" s="35" t="str">
        <f>IFERROR(__xludf.DUMMYFUNCTION("""COMPUTED_VALUE"""),"")</f>
        <v/>
      </c>
      <c r="I4221" s="35" t="str">
        <f>IFERROR(__xludf.DUMMYFUNCTION("""COMPUTED_VALUE"""),"")</f>
        <v/>
      </c>
      <c r="J4221" s="35" t="str">
        <f>IFERROR(__xludf.DUMMYFUNCTION("""COMPUTED_VALUE"""),"")</f>
        <v/>
      </c>
      <c r="K4221" s="35"/>
      <c r="L4221" s="35"/>
      <c r="M4221" s="35"/>
      <c r="N4221" s="35"/>
      <c r="O4221" s="35"/>
      <c r="P4221" s="35"/>
      <c r="Q4221" s="35"/>
      <c r="R4221" s="35"/>
      <c r="S4221" s="74"/>
      <c r="T4221" s="35"/>
      <c r="U4221" s="35"/>
      <c r="V4221" s="35"/>
      <c r="W4221" s="45"/>
    </row>
    <row r="4222">
      <c r="A4222" s="45"/>
      <c r="B4222" s="35"/>
      <c r="C4222" s="35"/>
      <c r="D4222" s="10"/>
      <c r="E4222" s="35" t="str">
        <f>IFERROR(__xludf.DUMMYFUNCTION("""COMPUTED_VALUE"""),"")</f>
        <v/>
      </c>
      <c r="F4222" s="35" t="str">
        <f>IFERROR(__xludf.DUMMYFUNCTION("""COMPUTED_VALUE"""),"1899")</f>
        <v>1899</v>
      </c>
      <c r="G4222" s="35"/>
      <c r="H4222" s="35" t="str">
        <f>IFERROR(__xludf.DUMMYFUNCTION("""COMPUTED_VALUE"""),"")</f>
        <v/>
      </c>
      <c r="I4222" s="35" t="str">
        <f>IFERROR(__xludf.DUMMYFUNCTION("""COMPUTED_VALUE"""),"")</f>
        <v/>
      </c>
      <c r="J4222" s="35" t="str">
        <f>IFERROR(__xludf.DUMMYFUNCTION("""COMPUTED_VALUE"""),"")</f>
        <v/>
      </c>
      <c r="K4222" s="35"/>
      <c r="L4222" s="35"/>
      <c r="M4222" s="35"/>
      <c r="N4222" s="35"/>
      <c r="O4222" s="35"/>
      <c r="P4222" s="35"/>
      <c r="Q4222" s="35"/>
      <c r="R4222" s="35"/>
      <c r="S4222" s="74"/>
      <c r="T4222" s="35"/>
      <c r="U4222" s="35"/>
      <c r="V4222" s="35"/>
      <c r="W4222" s="45"/>
    </row>
    <row r="4223">
      <c r="A4223" s="45"/>
      <c r="B4223" s="35"/>
      <c r="C4223" s="35"/>
      <c r="D4223" s="10"/>
      <c r="E4223" s="35" t="str">
        <f>IFERROR(__xludf.DUMMYFUNCTION("""COMPUTED_VALUE"""),"")</f>
        <v/>
      </c>
      <c r="F4223" s="35" t="str">
        <f>IFERROR(__xludf.DUMMYFUNCTION("""COMPUTED_VALUE"""),"1899")</f>
        <v>1899</v>
      </c>
      <c r="G4223" s="35"/>
      <c r="H4223" s="35" t="str">
        <f>IFERROR(__xludf.DUMMYFUNCTION("""COMPUTED_VALUE"""),"")</f>
        <v/>
      </c>
      <c r="I4223" s="35" t="str">
        <f>IFERROR(__xludf.DUMMYFUNCTION("""COMPUTED_VALUE"""),"")</f>
        <v/>
      </c>
      <c r="J4223" s="35" t="str">
        <f>IFERROR(__xludf.DUMMYFUNCTION("""COMPUTED_VALUE"""),"")</f>
        <v/>
      </c>
      <c r="K4223" s="35"/>
      <c r="L4223" s="35"/>
      <c r="M4223" s="35"/>
      <c r="N4223" s="35"/>
      <c r="O4223" s="35"/>
      <c r="P4223" s="35"/>
      <c r="Q4223" s="35"/>
      <c r="R4223" s="35"/>
      <c r="S4223" s="74"/>
      <c r="T4223" s="35"/>
      <c r="U4223" s="35"/>
      <c r="V4223" s="35"/>
      <c r="W4223" s="45"/>
    </row>
    <row r="4224">
      <c r="A4224" s="45"/>
      <c r="B4224" s="35"/>
      <c r="C4224" s="35"/>
      <c r="D4224" s="10"/>
      <c r="E4224" s="35" t="str">
        <f>IFERROR(__xludf.DUMMYFUNCTION("""COMPUTED_VALUE"""),"")</f>
        <v/>
      </c>
      <c r="F4224" s="35" t="str">
        <f>IFERROR(__xludf.DUMMYFUNCTION("""COMPUTED_VALUE"""),"1899")</f>
        <v>1899</v>
      </c>
      <c r="G4224" s="35"/>
      <c r="H4224" s="35" t="str">
        <f>IFERROR(__xludf.DUMMYFUNCTION("""COMPUTED_VALUE"""),"")</f>
        <v/>
      </c>
      <c r="I4224" s="35" t="str">
        <f>IFERROR(__xludf.DUMMYFUNCTION("""COMPUTED_VALUE"""),"")</f>
        <v/>
      </c>
      <c r="J4224" s="35" t="str">
        <f>IFERROR(__xludf.DUMMYFUNCTION("""COMPUTED_VALUE"""),"")</f>
        <v/>
      </c>
      <c r="K4224" s="35"/>
      <c r="L4224" s="35"/>
      <c r="M4224" s="35"/>
      <c r="N4224" s="35"/>
      <c r="O4224" s="35"/>
      <c r="P4224" s="35"/>
      <c r="Q4224" s="35"/>
      <c r="R4224" s="35"/>
      <c r="S4224" s="74"/>
      <c r="T4224" s="35"/>
      <c r="U4224" s="35"/>
      <c r="V4224" s="35"/>
      <c r="W4224" s="45"/>
    </row>
    <row r="4225">
      <c r="A4225" s="45"/>
      <c r="B4225" s="35"/>
      <c r="C4225" s="35"/>
      <c r="D4225" s="10"/>
      <c r="E4225" s="35" t="str">
        <f>IFERROR(__xludf.DUMMYFUNCTION("""COMPUTED_VALUE"""),"")</f>
        <v/>
      </c>
      <c r="F4225" s="35" t="str">
        <f>IFERROR(__xludf.DUMMYFUNCTION("""COMPUTED_VALUE"""),"1899")</f>
        <v>1899</v>
      </c>
      <c r="G4225" s="35"/>
      <c r="H4225" s="35" t="str">
        <f>IFERROR(__xludf.DUMMYFUNCTION("""COMPUTED_VALUE"""),"")</f>
        <v/>
      </c>
      <c r="I4225" s="35" t="str">
        <f>IFERROR(__xludf.DUMMYFUNCTION("""COMPUTED_VALUE"""),"")</f>
        <v/>
      </c>
      <c r="J4225" s="35" t="str">
        <f>IFERROR(__xludf.DUMMYFUNCTION("""COMPUTED_VALUE"""),"")</f>
        <v/>
      </c>
      <c r="K4225" s="35"/>
      <c r="L4225" s="35"/>
      <c r="M4225" s="35"/>
      <c r="N4225" s="35"/>
      <c r="O4225" s="35"/>
      <c r="P4225" s="35"/>
      <c r="Q4225" s="35"/>
      <c r="R4225" s="35"/>
      <c r="S4225" s="74"/>
      <c r="T4225" s="35"/>
      <c r="U4225" s="35"/>
      <c r="V4225" s="35"/>
      <c r="W4225" s="45"/>
    </row>
    <row r="4226">
      <c r="A4226" s="45"/>
      <c r="B4226" s="35"/>
      <c r="C4226" s="35"/>
      <c r="D4226" s="10"/>
      <c r="E4226" s="35" t="str">
        <f>IFERROR(__xludf.DUMMYFUNCTION("""COMPUTED_VALUE"""),"")</f>
        <v/>
      </c>
      <c r="F4226" s="35" t="str">
        <f>IFERROR(__xludf.DUMMYFUNCTION("""COMPUTED_VALUE"""),"1899")</f>
        <v>1899</v>
      </c>
      <c r="G4226" s="35"/>
      <c r="H4226" s="35" t="str">
        <f>IFERROR(__xludf.DUMMYFUNCTION("""COMPUTED_VALUE"""),"")</f>
        <v/>
      </c>
      <c r="I4226" s="35" t="str">
        <f>IFERROR(__xludf.DUMMYFUNCTION("""COMPUTED_VALUE"""),"")</f>
        <v/>
      </c>
      <c r="J4226" s="35" t="str">
        <f>IFERROR(__xludf.DUMMYFUNCTION("""COMPUTED_VALUE"""),"")</f>
        <v/>
      </c>
      <c r="K4226" s="35"/>
      <c r="L4226" s="35"/>
      <c r="M4226" s="35"/>
      <c r="N4226" s="35"/>
      <c r="O4226" s="35"/>
      <c r="P4226" s="35"/>
      <c r="Q4226" s="35"/>
      <c r="R4226" s="35"/>
      <c r="S4226" s="74"/>
      <c r="T4226" s="35"/>
      <c r="U4226" s="35"/>
      <c r="V4226" s="35"/>
      <c r="W4226" s="45"/>
    </row>
    <row r="4227">
      <c r="A4227" s="45"/>
      <c r="B4227" s="35"/>
      <c r="C4227" s="35"/>
      <c r="D4227" s="10"/>
      <c r="E4227" s="35" t="str">
        <f>IFERROR(__xludf.DUMMYFUNCTION("""COMPUTED_VALUE"""),"")</f>
        <v/>
      </c>
      <c r="F4227" s="35" t="str">
        <f>IFERROR(__xludf.DUMMYFUNCTION("""COMPUTED_VALUE"""),"1899")</f>
        <v>1899</v>
      </c>
      <c r="G4227" s="35"/>
      <c r="H4227" s="35" t="str">
        <f>IFERROR(__xludf.DUMMYFUNCTION("""COMPUTED_VALUE"""),"")</f>
        <v/>
      </c>
      <c r="I4227" s="35" t="str">
        <f>IFERROR(__xludf.DUMMYFUNCTION("""COMPUTED_VALUE"""),"")</f>
        <v/>
      </c>
      <c r="J4227" s="35" t="str">
        <f>IFERROR(__xludf.DUMMYFUNCTION("""COMPUTED_VALUE"""),"")</f>
        <v/>
      </c>
      <c r="K4227" s="35"/>
      <c r="L4227" s="35"/>
      <c r="M4227" s="35"/>
      <c r="N4227" s="35"/>
      <c r="O4227" s="35"/>
      <c r="P4227" s="35"/>
      <c r="Q4227" s="35"/>
      <c r="R4227" s="35"/>
      <c r="S4227" s="74"/>
      <c r="T4227" s="35"/>
      <c r="U4227" s="35"/>
      <c r="V4227" s="35"/>
      <c r="W4227" s="45"/>
    </row>
    <row r="4228">
      <c r="A4228" s="45"/>
      <c r="B4228" s="35"/>
      <c r="C4228" s="35"/>
      <c r="D4228" s="10"/>
      <c r="E4228" s="35" t="str">
        <f>IFERROR(__xludf.DUMMYFUNCTION("""COMPUTED_VALUE"""),"")</f>
        <v/>
      </c>
      <c r="F4228" s="35" t="str">
        <f>IFERROR(__xludf.DUMMYFUNCTION("""COMPUTED_VALUE"""),"1899")</f>
        <v>1899</v>
      </c>
      <c r="G4228" s="35"/>
      <c r="H4228" s="35" t="str">
        <f>IFERROR(__xludf.DUMMYFUNCTION("""COMPUTED_VALUE"""),"")</f>
        <v/>
      </c>
      <c r="I4228" s="35" t="str">
        <f>IFERROR(__xludf.DUMMYFUNCTION("""COMPUTED_VALUE"""),"")</f>
        <v/>
      </c>
      <c r="J4228" s="35" t="str">
        <f>IFERROR(__xludf.DUMMYFUNCTION("""COMPUTED_VALUE"""),"")</f>
        <v/>
      </c>
      <c r="K4228" s="35"/>
      <c r="L4228" s="35"/>
      <c r="M4228" s="35"/>
      <c r="N4228" s="35"/>
      <c r="O4228" s="35"/>
      <c r="P4228" s="35"/>
      <c r="Q4228" s="35"/>
      <c r="R4228" s="35"/>
      <c r="S4228" s="74"/>
      <c r="T4228" s="35"/>
      <c r="U4228" s="35"/>
      <c r="V4228" s="35"/>
      <c r="W4228" s="45"/>
    </row>
    <row r="4229">
      <c r="A4229" s="45"/>
      <c r="B4229" s="35"/>
      <c r="C4229" s="35"/>
      <c r="D4229" s="10"/>
      <c r="E4229" s="35" t="str">
        <f>IFERROR(__xludf.DUMMYFUNCTION("""COMPUTED_VALUE"""),"")</f>
        <v/>
      </c>
      <c r="F4229" s="35" t="str">
        <f>IFERROR(__xludf.DUMMYFUNCTION("""COMPUTED_VALUE"""),"1899")</f>
        <v>1899</v>
      </c>
      <c r="G4229" s="35"/>
      <c r="H4229" s="35" t="str">
        <f>IFERROR(__xludf.DUMMYFUNCTION("""COMPUTED_VALUE"""),"")</f>
        <v/>
      </c>
      <c r="I4229" s="35" t="str">
        <f>IFERROR(__xludf.DUMMYFUNCTION("""COMPUTED_VALUE"""),"")</f>
        <v/>
      </c>
      <c r="J4229" s="35" t="str">
        <f>IFERROR(__xludf.DUMMYFUNCTION("""COMPUTED_VALUE"""),"")</f>
        <v/>
      </c>
      <c r="K4229" s="35"/>
      <c r="L4229" s="35"/>
      <c r="M4229" s="35"/>
      <c r="N4229" s="35"/>
      <c r="O4229" s="35"/>
      <c r="P4229" s="35"/>
      <c r="Q4229" s="35"/>
      <c r="R4229" s="35"/>
      <c r="S4229" s="74"/>
      <c r="T4229" s="35"/>
      <c r="U4229" s="35"/>
      <c r="V4229" s="35"/>
      <c r="W4229" s="45"/>
    </row>
    <row r="4230">
      <c r="A4230" s="45"/>
      <c r="B4230" s="35"/>
      <c r="C4230" s="35"/>
      <c r="D4230" s="10"/>
      <c r="E4230" s="35" t="str">
        <f>IFERROR(__xludf.DUMMYFUNCTION("""COMPUTED_VALUE"""),"")</f>
        <v/>
      </c>
      <c r="F4230" s="35" t="str">
        <f>IFERROR(__xludf.DUMMYFUNCTION("""COMPUTED_VALUE"""),"1899")</f>
        <v>1899</v>
      </c>
      <c r="G4230" s="35"/>
      <c r="H4230" s="35" t="str">
        <f>IFERROR(__xludf.DUMMYFUNCTION("""COMPUTED_VALUE"""),"")</f>
        <v/>
      </c>
      <c r="I4230" s="35" t="str">
        <f>IFERROR(__xludf.DUMMYFUNCTION("""COMPUTED_VALUE"""),"")</f>
        <v/>
      </c>
      <c r="J4230" s="35" t="str">
        <f>IFERROR(__xludf.DUMMYFUNCTION("""COMPUTED_VALUE"""),"")</f>
        <v/>
      </c>
      <c r="K4230" s="35"/>
      <c r="L4230" s="35"/>
      <c r="M4230" s="35"/>
      <c r="N4230" s="35"/>
      <c r="O4230" s="35"/>
      <c r="P4230" s="35"/>
      <c r="Q4230" s="35"/>
      <c r="R4230" s="35"/>
      <c r="S4230" s="74"/>
      <c r="T4230" s="35"/>
      <c r="U4230" s="35"/>
      <c r="V4230" s="35"/>
      <c r="W4230" s="45"/>
    </row>
    <row r="4231">
      <c r="A4231" s="45"/>
      <c r="B4231" s="35"/>
      <c r="C4231" s="35"/>
      <c r="D4231" s="10"/>
      <c r="E4231" s="35" t="str">
        <f>IFERROR(__xludf.DUMMYFUNCTION("""COMPUTED_VALUE"""),"")</f>
        <v/>
      </c>
      <c r="F4231" s="35" t="str">
        <f>IFERROR(__xludf.DUMMYFUNCTION("""COMPUTED_VALUE"""),"1899")</f>
        <v>1899</v>
      </c>
      <c r="G4231" s="35"/>
      <c r="H4231" s="35" t="str">
        <f>IFERROR(__xludf.DUMMYFUNCTION("""COMPUTED_VALUE"""),"")</f>
        <v/>
      </c>
      <c r="I4231" s="35" t="str">
        <f>IFERROR(__xludf.DUMMYFUNCTION("""COMPUTED_VALUE"""),"")</f>
        <v/>
      </c>
      <c r="J4231" s="35" t="str">
        <f>IFERROR(__xludf.DUMMYFUNCTION("""COMPUTED_VALUE"""),"")</f>
        <v/>
      </c>
      <c r="K4231" s="35"/>
      <c r="L4231" s="35"/>
      <c r="M4231" s="35"/>
      <c r="N4231" s="35"/>
      <c r="O4231" s="35"/>
      <c r="P4231" s="35"/>
      <c r="Q4231" s="35"/>
      <c r="R4231" s="35"/>
      <c r="S4231" s="74"/>
      <c r="T4231" s="35"/>
      <c r="U4231" s="35"/>
      <c r="V4231" s="35"/>
      <c r="W4231" s="45"/>
    </row>
    <row r="4232">
      <c r="A4232" s="45"/>
      <c r="B4232" s="35"/>
      <c r="C4232" s="35"/>
      <c r="D4232" s="10"/>
      <c r="E4232" s="35" t="str">
        <f>IFERROR(__xludf.DUMMYFUNCTION("""COMPUTED_VALUE"""),"")</f>
        <v/>
      </c>
      <c r="F4232" s="35" t="str">
        <f>IFERROR(__xludf.DUMMYFUNCTION("""COMPUTED_VALUE"""),"1899")</f>
        <v>1899</v>
      </c>
      <c r="G4232" s="35"/>
      <c r="H4232" s="35" t="str">
        <f>IFERROR(__xludf.DUMMYFUNCTION("""COMPUTED_VALUE"""),"")</f>
        <v/>
      </c>
      <c r="I4232" s="35" t="str">
        <f>IFERROR(__xludf.DUMMYFUNCTION("""COMPUTED_VALUE"""),"")</f>
        <v/>
      </c>
      <c r="J4232" s="35" t="str">
        <f>IFERROR(__xludf.DUMMYFUNCTION("""COMPUTED_VALUE"""),"")</f>
        <v/>
      </c>
      <c r="K4232" s="35"/>
      <c r="L4232" s="35"/>
      <c r="M4232" s="35"/>
      <c r="N4232" s="35"/>
      <c r="O4232" s="35"/>
      <c r="P4232" s="35"/>
      <c r="Q4232" s="35"/>
      <c r="R4232" s="35"/>
      <c r="S4232" s="74"/>
      <c r="T4232" s="35"/>
      <c r="U4232" s="35"/>
      <c r="V4232" s="35"/>
      <c r="W4232" s="45"/>
    </row>
    <row r="4233">
      <c r="A4233" s="45"/>
      <c r="B4233" s="35"/>
      <c r="C4233" s="35"/>
      <c r="D4233" s="10"/>
      <c r="E4233" s="35" t="str">
        <f>IFERROR(__xludf.DUMMYFUNCTION("""COMPUTED_VALUE"""),"")</f>
        <v/>
      </c>
      <c r="F4233" s="35" t="str">
        <f>IFERROR(__xludf.DUMMYFUNCTION("""COMPUTED_VALUE"""),"1899")</f>
        <v>1899</v>
      </c>
      <c r="G4233" s="35"/>
      <c r="H4233" s="35" t="str">
        <f>IFERROR(__xludf.DUMMYFUNCTION("""COMPUTED_VALUE"""),"")</f>
        <v/>
      </c>
      <c r="I4233" s="35" t="str">
        <f>IFERROR(__xludf.DUMMYFUNCTION("""COMPUTED_VALUE"""),"")</f>
        <v/>
      </c>
      <c r="J4233" s="35" t="str">
        <f>IFERROR(__xludf.DUMMYFUNCTION("""COMPUTED_VALUE"""),"")</f>
        <v/>
      </c>
      <c r="K4233" s="35"/>
      <c r="L4233" s="35"/>
      <c r="M4233" s="35"/>
      <c r="N4233" s="35"/>
      <c r="O4233" s="35"/>
      <c r="P4233" s="35"/>
      <c r="Q4233" s="35"/>
      <c r="R4233" s="35"/>
      <c r="S4233" s="74"/>
      <c r="T4233" s="35"/>
      <c r="U4233" s="35"/>
      <c r="V4233" s="35"/>
      <c r="W4233" s="45"/>
    </row>
    <row r="4234">
      <c r="A4234" s="45"/>
      <c r="B4234" s="35"/>
      <c r="C4234" s="35"/>
      <c r="D4234" s="10"/>
      <c r="E4234" s="35" t="str">
        <f>IFERROR(__xludf.DUMMYFUNCTION("""COMPUTED_VALUE"""),"")</f>
        <v/>
      </c>
      <c r="F4234" s="35" t="str">
        <f>IFERROR(__xludf.DUMMYFUNCTION("""COMPUTED_VALUE"""),"1899")</f>
        <v>1899</v>
      </c>
      <c r="G4234" s="35"/>
      <c r="H4234" s="35" t="str">
        <f>IFERROR(__xludf.DUMMYFUNCTION("""COMPUTED_VALUE"""),"")</f>
        <v/>
      </c>
      <c r="I4234" s="35" t="str">
        <f>IFERROR(__xludf.DUMMYFUNCTION("""COMPUTED_VALUE"""),"")</f>
        <v/>
      </c>
      <c r="J4234" s="35" t="str">
        <f>IFERROR(__xludf.DUMMYFUNCTION("""COMPUTED_VALUE"""),"")</f>
        <v/>
      </c>
      <c r="K4234" s="35"/>
      <c r="L4234" s="35"/>
      <c r="M4234" s="35"/>
      <c r="N4234" s="35"/>
      <c r="O4234" s="35"/>
      <c r="P4234" s="35"/>
      <c r="Q4234" s="35"/>
      <c r="R4234" s="35"/>
      <c r="S4234" s="74"/>
      <c r="T4234" s="35"/>
      <c r="U4234" s="35"/>
      <c r="V4234" s="35"/>
      <c r="W4234" s="45"/>
    </row>
    <row r="4235">
      <c r="A4235" s="45"/>
      <c r="B4235" s="35"/>
      <c r="C4235" s="35"/>
      <c r="D4235" s="10"/>
      <c r="E4235" s="35" t="str">
        <f>IFERROR(__xludf.DUMMYFUNCTION("""COMPUTED_VALUE"""),"")</f>
        <v/>
      </c>
      <c r="F4235" s="35" t="str">
        <f>IFERROR(__xludf.DUMMYFUNCTION("""COMPUTED_VALUE"""),"1899")</f>
        <v>1899</v>
      </c>
      <c r="G4235" s="35"/>
      <c r="H4235" s="35" t="str">
        <f>IFERROR(__xludf.DUMMYFUNCTION("""COMPUTED_VALUE"""),"")</f>
        <v/>
      </c>
      <c r="I4235" s="35" t="str">
        <f>IFERROR(__xludf.DUMMYFUNCTION("""COMPUTED_VALUE"""),"")</f>
        <v/>
      </c>
      <c r="J4235" s="35" t="str">
        <f>IFERROR(__xludf.DUMMYFUNCTION("""COMPUTED_VALUE"""),"")</f>
        <v/>
      </c>
      <c r="K4235" s="35"/>
      <c r="L4235" s="35"/>
      <c r="M4235" s="35"/>
      <c r="N4235" s="35"/>
      <c r="O4235" s="35"/>
      <c r="P4235" s="35"/>
      <c r="Q4235" s="35"/>
      <c r="R4235" s="35"/>
      <c r="S4235" s="74"/>
      <c r="T4235" s="35"/>
      <c r="U4235" s="35"/>
      <c r="V4235" s="35"/>
      <c r="W4235" s="45"/>
    </row>
    <row r="4236">
      <c r="A4236" s="45"/>
      <c r="B4236" s="35"/>
      <c r="C4236" s="35"/>
      <c r="D4236" s="10"/>
      <c r="E4236" s="35" t="str">
        <f>IFERROR(__xludf.DUMMYFUNCTION("""COMPUTED_VALUE"""),"")</f>
        <v/>
      </c>
      <c r="F4236" s="35" t="str">
        <f>IFERROR(__xludf.DUMMYFUNCTION("""COMPUTED_VALUE"""),"1899")</f>
        <v>1899</v>
      </c>
      <c r="G4236" s="35"/>
      <c r="H4236" s="35" t="str">
        <f>IFERROR(__xludf.DUMMYFUNCTION("""COMPUTED_VALUE"""),"")</f>
        <v/>
      </c>
      <c r="I4236" s="35" t="str">
        <f>IFERROR(__xludf.DUMMYFUNCTION("""COMPUTED_VALUE"""),"")</f>
        <v/>
      </c>
      <c r="J4236" s="35" t="str">
        <f>IFERROR(__xludf.DUMMYFUNCTION("""COMPUTED_VALUE"""),"")</f>
        <v/>
      </c>
      <c r="K4236" s="35"/>
      <c r="L4236" s="35"/>
      <c r="M4236" s="35"/>
      <c r="N4236" s="35"/>
      <c r="O4236" s="35"/>
      <c r="P4236" s="35"/>
      <c r="Q4236" s="35"/>
      <c r="R4236" s="35"/>
      <c r="S4236" s="74"/>
      <c r="T4236" s="35"/>
      <c r="U4236" s="35"/>
      <c r="V4236" s="35"/>
      <c r="W4236" s="45"/>
    </row>
    <row r="4237">
      <c r="A4237" s="45"/>
      <c r="B4237" s="35"/>
      <c r="C4237" s="35"/>
      <c r="D4237" s="10"/>
      <c r="E4237" s="35" t="str">
        <f>IFERROR(__xludf.DUMMYFUNCTION("""COMPUTED_VALUE"""),"")</f>
        <v/>
      </c>
      <c r="F4237" s="35" t="str">
        <f>IFERROR(__xludf.DUMMYFUNCTION("""COMPUTED_VALUE"""),"1899")</f>
        <v>1899</v>
      </c>
      <c r="G4237" s="35"/>
      <c r="H4237" s="35" t="str">
        <f>IFERROR(__xludf.DUMMYFUNCTION("""COMPUTED_VALUE"""),"")</f>
        <v/>
      </c>
      <c r="I4237" s="35" t="str">
        <f>IFERROR(__xludf.DUMMYFUNCTION("""COMPUTED_VALUE"""),"")</f>
        <v/>
      </c>
      <c r="J4237" s="35" t="str">
        <f>IFERROR(__xludf.DUMMYFUNCTION("""COMPUTED_VALUE"""),"")</f>
        <v/>
      </c>
      <c r="K4237" s="35"/>
      <c r="L4237" s="35"/>
      <c r="M4237" s="35"/>
      <c r="N4237" s="35"/>
      <c r="O4237" s="35"/>
      <c r="P4237" s="35"/>
      <c r="Q4237" s="35"/>
      <c r="R4237" s="35"/>
      <c r="S4237" s="74"/>
      <c r="T4237" s="35"/>
      <c r="U4237" s="35"/>
      <c r="V4237" s="35"/>
      <c r="W4237" s="45"/>
    </row>
    <row r="4238">
      <c r="A4238" s="45"/>
      <c r="B4238" s="35"/>
      <c r="C4238" s="35"/>
      <c r="D4238" s="10"/>
      <c r="E4238" s="35" t="str">
        <f>IFERROR(__xludf.DUMMYFUNCTION("""COMPUTED_VALUE"""),"")</f>
        <v/>
      </c>
      <c r="F4238" s="35" t="str">
        <f>IFERROR(__xludf.DUMMYFUNCTION("""COMPUTED_VALUE"""),"1899")</f>
        <v>1899</v>
      </c>
      <c r="G4238" s="35"/>
      <c r="H4238" s="35" t="str">
        <f>IFERROR(__xludf.DUMMYFUNCTION("""COMPUTED_VALUE"""),"")</f>
        <v/>
      </c>
      <c r="I4238" s="35" t="str">
        <f>IFERROR(__xludf.DUMMYFUNCTION("""COMPUTED_VALUE"""),"")</f>
        <v/>
      </c>
      <c r="J4238" s="35" t="str">
        <f>IFERROR(__xludf.DUMMYFUNCTION("""COMPUTED_VALUE"""),"")</f>
        <v/>
      </c>
      <c r="K4238" s="35"/>
      <c r="L4238" s="35"/>
      <c r="M4238" s="35"/>
      <c r="N4238" s="35"/>
      <c r="O4238" s="35"/>
      <c r="P4238" s="35"/>
      <c r="Q4238" s="35"/>
      <c r="R4238" s="35"/>
      <c r="S4238" s="74"/>
      <c r="T4238" s="35"/>
      <c r="U4238" s="35"/>
      <c r="V4238" s="35"/>
      <c r="W4238" s="45"/>
    </row>
    <row r="4239">
      <c r="A4239" s="45"/>
      <c r="B4239" s="35"/>
      <c r="C4239" s="35"/>
      <c r="D4239" s="10"/>
      <c r="E4239" s="35" t="str">
        <f>IFERROR(__xludf.DUMMYFUNCTION("""COMPUTED_VALUE"""),"")</f>
        <v/>
      </c>
      <c r="F4239" s="35" t="str">
        <f>IFERROR(__xludf.DUMMYFUNCTION("""COMPUTED_VALUE"""),"1899")</f>
        <v>1899</v>
      </c>
      <c r="G4239" s="35"/>
      <c r="H4239" s="35" t="str">
        <f>IFERROR(__xludf.DUMMYFUNCTION("""COMPUTED_VALUE"""),"")</f>
        <v/>
      </c>
      <c r="I4239" s="35" t="str">
        <f>IFERROR(__xludf.DUMMYFUNCTION("""COMPUTED_VALUE"""),"")</f>
        <v/>
      </c>
      <c r="J4239" s="35" t="str">
        <f>IFERROR(__xludf.DUMMYFUNCTION("""COMPUTED_VALUE"""),"")</f>
        <v/>
      </c>
      <c r="K4239" s="35"/>
      <c r="L4239" s="35"/>
      <c r="M4239" s="35"/>
      <c r="N4239" s="35"/>
      <c r="O4239" s="35"/>
      <c r="P4239" s="35"/>
      <c r="Q4239" s="35"/>
      <c r="R4239" s="35"/>
      <c r="S4239" s="74"/>
      <c r="T4239" s="35"/>
      <c r="U4239" s="35"/>
      <c r="V4239" s="35"/>
      <c r="W4239" s="45"/>
    </row>
    <row r="4240">
      <c r="A4240" s="45"/>
      <c r="B4240" s="35"/>
      <c r="C4240" s="35"/>
      <c r="D4240" s="10"/>
      <c r="E4240" s="35" t="str">
        <f>IFERROR(__xludf.DUMMYFUNCTION("""COMPUTED_VALUE"""),"")</f>
        <v/>
      </c>
      <c r="F4240" s="35" t="str">
        <f>IFERROR(__xludf.DUMMYFUNCTION("""COMPUTED_VALUE"""),"1899")</f>
        <v>1899</v>
      </c>
      <c r="G4240" s="35"/>
      <c r="H4240" s="35" t="str">
        <f>IFERROR(__xludf.DUMMYFUNCTION("""COMPUTED_VALUE"""),"")</f>
        <v/>
      </c>
      <c r="I4240" s="35" t="str">
        <f>IFERROR(__xludf.DUMMYFUNCTION("""COMPUTED_VALUE"""),"")</f>
        <v/>
      </c>
      <c r="J4240" s="35" t="str">
        <f>IFERROR(__xludf.DUMMYFUNCTION("""COMPUTED_VALUE"""),"")</f>
        <v/>
      </c>
      <c r="K4240" s="35"/>
      <c r="L4240" s="35"/>
      <c r="M4240" s="35"/>
      <c r="N4240" s="35"/>
      <c r="O4240" s="35"/>
      <c r="P4240" s="35"/>
      <c r="Q4240" s="35"/>
      <c r="R4240" s="35"/>
      <c r="S4240" s="74"/>
      <c r="T4240" s="35"/>
      <c r="U4240" s="35"/>
      <c r="V4240" s="35"/>
      <c r="W4240" s="45"/>
    </row>
    <row r="4241">
      <c r="A4241" s="45"/>
      <c r="B4241" s="35"/>
      <c r="C4241" s="35"/>
      <c r="D4241" s="10"/>
      <c r="E4241" s="35" t="str">
        <f>IFERROR(__xludf.DUMMYFUNCTION("""COMPUTED_VALUE"""),"")</f>
        <v/>
      </c>
      <c r="F4241" s="35" t="str">
        <f>IFERROR(__xludf.DUMMYFUNCTION("""COMPUTED_VALUE"""),"1899")</f>
        <v>1899</v>
      </c>
      <c r="G4241" s="35"/>
      <c r="H4241" s="35" t="str">
        <f>IFERROR(__xludf.DUMMYFUNCTION("""COMPUTED_VALUE"""),"")</f>
        <v/>
      </c>
      <c r="I4241" s="35" t="str">
        <f>IFERROR(__xludf.DUMMYFUNCTION("""COMPUTED_VALUE"""),"")</f>
        <v/>
      </c>
      <c r="J4241" s="35" t="str">
        <f>IFERROR(__xludf.DUMMYFUNCTION("""COMPUTED_VALUE"""),"")</f>
        <v/>
      </c>
      <c r="K4241" s="35"/>
      <c r="L4241" s="35"/>
      <c r="M4241" s="35"/>
      <c r="N4241" s="35"/>
      <c r="O4241" s="35"/>
      <c r="P4241" s="35"/>
      <c r="Q4241" s="35"/>
      <c r="R4241" s="35"/>
      <c r="S4241" s="74"/>
      <c r="T4241" s="35"/>
      <c r="U4241" s="35"/>
      <c r="V4241" s="35"/>
      <c r="W4241" s="45"/>
    </row>
    <row r="4242">
      <c r="A4242" s="45"/>
      <c r="B4242" s="35"/>
      <c r="C4242" s="35"/>
      <c r="D4242" s="10"/>
      <c r="E4242" s="35" t="str">
        <f>IFERROR(__xludf.DUMMYFUNCTION("""COMPUTED_VALUE"""),"")</f>
        <v/>
      </c>
      <c r="F4242" s="35" t="str">
        <f>IFERROR(__xludf.DUMMYFUNCTION("""COMPUTED_VALUE"""),"1899")</f>
        <v>1899</v>
      </c>
      <c r="G4242" s="35"/>
      <c r="H4242" s="35" t="str">
        <f>IFERROR(__xludf.DUMMYFUNCTION("""COMPUTED_VALUE"""),"")</f>
        <v/>
      </c>
      <c r="I4242" s="35" t="str">
        <f>IFERROR(__xludf.DUMMYFUNCTION("""COMPUTED_VALUE"""),"")</f>
        <v/>
      </c>
      <c r="J4242" s="35" t="str">
        <f>IFERROR(__xludf.DUMMYFUNCTION("""COMPUTED_VALUE"""),"")</f>
        <v/>
      </c>
      <c r="K4242" s="35"/>
      <c r="L4242" s="35"/>
      <c r="M4242" s="35"/>
      <c r="N4242" s="35"/>
      <c r="O4242" s="35"/>
      <c r="P4242" s="35"/>
      <c r="Q4242" s="35"/>
      <c r="R4242" s="35"/>
      <c r="S4242" s="74"/>
      <c r="T4242" s="35"/>
      <c r="U4242" s="35"/>
      <c r="V4242" s="35"/>
      <c r="W4242" s="45"/>
    </row>
    <row r="4243">
      <c r="A4243" s="45"/>
      <c r="B4243" s="35"/>
      <c r="C4243" s="35"/>
      <c r="D4243" s="10"/>
      <c r="E4243" s="35" t="str">
        <f>IFERROR(__xludf.DUMMYFUNCTION("""COMPUTED_VALUE"""),"")</f>
        <v/>
      </c>
      <c r="F4243" s="35" t="str">
        <f>IFERROR(__xludf.DUMMYFUNCTION("""COMPUTED_VALUE"""),"1899")</f>
        <v>1899</v>
      </c>
      <c r="G4243" s="35"/>
      <c r="H4243" s="35" t="str">
        <f>IFERROR(__xludf.DUMMYFUNCTION("""COMPUTED_VALUE"""),"")</f>
        <v/>
      </c>
      <c r="I4243" s="35" t="str">
        <f>IFERROR(__xludf.DUMMYFUNCTION("""COMPUTED_VALUE"""),"")</f>
        <v/>
      </c>
      <c r="J4243" s="35" t="str">
        <f>IFERROR(__xludf.DUMMYFUNCTION("""COMPUTED_VALUE"""),"")</f>
        <v/>
      </c>
      <c r="K4243" s="35"/>
      <c r="L4243" s="35"/>
      <c r="M4243" s="35"/>
      <c r="N4243" s="35"/>
      <c r="O4243" s="35"/>
      <c r="P4243" s="35"/>
      <c r="Q4243" s="35"/>
      <c r="R4243" s="35"/>
      <c r="S4243" s="74"/>
      <c r="T4243" s="35"/>
      <c r="U4243" s="35"/>
      <c r="V4243" s="35"/>
      <c r="W4243" s="45"/>
    </row>
    <row r="4244">
      <c r="A4244" s="45"/>
      <c r="B4244" s="35"/>
      <c r="C4244" s="35"/>
      <c r="D4244" s="10"/>
      <c r="E4244" s="35" t="str">
        <f>IFERROR(__xludf.DUMMYFUNCTION("""COMPUTED_VALUE"""),"")</f>
        <v/>
      </c>
      <c r="F4244" s="35" t="str">
        <f>IFERROR(__xludf.DUMMYFUNCTION("""COMPUTED_VALUE"""),"1899")</f>
        <v>1899</v>
      </c>
      <c r="G4244" s="35"/>
      <c r="H4244" s="35" t="str">
        <f>IFERROR(__xludf.DUMMYFUNCTION("""COMPUTED_VALUE"""),"")</f>
        <v/>
      </c>
      <c r="I4244" s="35" t="str">
        <f>IFERROR(__xludf.DUMMYFUNCTION("""COMPUTED_VALUE"""),"")</f>
        <v/>
      </c>
      <c r="J4244" s="35" t="str">
        <f>IFERROR(__xludf.DUMMYFUNCTION("""COMPUTED_VALUE"""),"")</f>
        <v/>
      </c>
      <c r="K4244" s="35"/>
      <c r="L4244" s="35"/>
      <c r="M4244" s="35"/>
      <c r="N4244" s="35"/>
      <c r="O4244" s="35"/>
      <c r="P4244" s="35"/>
      <c r="Q4244" s="35"/>
      <c r="R4244" s="35"/>
      <c r="S4244" s="74"/>
      <c r="T4244" s="35"/>
      <c r="U4244" s="35"/>
      <c r="V4244" s="35"/>
      <c r="W4244" s="45"/>
    </row>
    <row r="4245">
      <c r="A4245" s="45"/>
      <c r="B4245" s="35"/>
      <c r="C4245" s="35"/>
      <c r="D4245" s="10"/>
      <c r="E4245" s="35" t="str">
        <f>IFERROR(__xludf.DUMMYFUNCTION("""COMPUTED_VALUE"""),"")</f>
        <v/>
      </c>
      <c r="F4245" s="35" t="str">
        <f>IFERROR(__xludf.DUMMYFUNCTION("""COMPUTED_VALUE"""),"1899")</f>
        <v>1899</v>
      </c>
      <c r="G4245" s="35"/>
      <c r="H4245" s="35" t="str">
        <f>IFERROR(__xludf.DUMMYFUNCTION("""COMPUTED_VALUE"""),"")</f>
        <v/>
      </c>
      <c r="I4245" s="35" t="str">
        <f>IFERROR(__xludf.DUMMYFUNCTION("""COMPUTED_VALUE"""),"")</f>
        <v/>
      </c>
      <c r="J4245" s="35" t="str">
        <f>IFERROR(__xludf.DUMMYFUNCTION("""COMPUTED_VALUE"""),"")</f>
        <v/>
      </c>
      <c r="K4245" s="35"/>
      <c r="L4245" s="35"/>
      <c r="M4245" s="35"/>
      <c r="N4245" s="35"/>
      <c r="O4245" s="35"/>
      <c r="P4245" s="35"/>
      <c r="Q4245" s="35"/>
      <c r="R4245" s="35"/>
      <c r="S4245" s="74"/>
      <c r="T4245" s="35"/>
      <c r="U4245" s="35"/>
      <c r="V4245" s="35"/>
      <c r="W4245" s="45"/>
    </row>
    <row r="4246">
      <c r="A4246" s="45"/>
      <c r="B4246" s="35"/>
      <c r="C4246" s="35"/>
      <c r="D4246" s="10"/>
      <c r="E4246" s="35" t="str">
        <f>IFERROR(__xludf.DUMMYFUNCTION("""COMPUTED_VALUE"""),"")</f>
        <v/>
      </c>
      <c r="F4246" s="35" t="str">
        <f>IFERROR(__xludf.DUMMYFUNCTION("""COMPUTED_VALUE"""),"1899")</f>
        <v>1899</v>
      </c>
      <c r="G4246" s="35"/>
      <c r="H4246" s="35" t="str">
        <f>IFERROR(__xludf.DUMMYFUNCTION("""COMPUTED_VALUE"""),"")</f>
        <v/>
      </c>
      <c r="I4246" s="35" t="str">
        <f>IFERROR(__xludf.DUMMYFUNCTION("""COMPUTED_VALUE"""),"")</f>
        <v/>
      </c>
      <c r="J4246" s="35" t="str">
        <f>IFERROR(__xludf.DUMMYFUNCTION("""COMPUTED_VALUE"""),"")</f>
        <v/>
      </c>
      <c r="K4246" s="35"/>
      <c r="L4246" s="35"/>
      <c r="M4246" s="35"/>
      <c r="N4246" s="35"/>
      <c r="O4246" s="35"/>
      <c r="P4246" s="35"/>
      <c r="Q4246" s="35"/>
      <c r="R4246" s="35"/>
      <c r="S4246" s="74"/>
      <c r="T4246" s="35"/>
      <c r="U4246" s="35"/>
      <c r="V4246" s="35"/>
      <c r="W4246" s="45"/>
    </row>
    <row r="4247">
      <c r="A4247" s="45"/>
      <c r="B4247" s="35"/>
      <c r="C4247" s="35"/>
      <c r="D4247" s="10"/>
      <c r="E4247" s="35" t="str">
        <f>IFERROR(__xludf.DUMMYFUNCTION("""COMPUTED_VALUE"""),"")</f>
        <v/>
      </c>
      <c r="F4247" s="35" t="str">
        <f>IFERROR(__xludf.DUMMYFUNCTION("""COMPUTED_VALUE"""),"1899")</f>
        <v>1899</v>
      </c>
      <c r="G4247" s="35"/>
      <c r="H4247" s="35" t="str">
        <f>IFERROR(__xludf.DUMMYFUNCTION("""COMPUTED_VALUE"""),"")</f>
        <v/>
      </c>
      <c r="I4247" s="35" t="str">
        <f>IFERROR(__xludf.DUMMYFUNCTION("""COMPUTED_VALUE"""),"")</f>
        <v/>
      </c>
      <c r="J4247" s="35" t="str">
        <f>IFERROR(__xludf.DUMMYFUNCTION("""COMPUTED_VALUE"""),"")</f>
        <v/>
      </c>
      <c r="K4247" s="35"/>
      <c r="L4247" s="35"/>
      <c r="M4247" s="35"/>
      <c r="N4247" s="35"/>
      <c r="O4247" s="35"/>
      <c r="P4247" s="35"/>
      <c r="Q4247" s="35"/>
      <c r="R4247" s="35"/>
      <c r="S4247" s="74"/>
      <c r="T4247" s="35"/>
      <c r="U4247" s="35"/>
      <c r="V4247" s="35"/>
      <c r="W4247" s="45"/>
    </row>
    <row r="4248">
      <c r="A4248" s="45"/>
      <c r="B4248" s="35"/>
      <c r="C4248" s="35"/>
      <c r="D4248" s="10"/>
      <c r="E4248" s="35" t="str">
        <f>IFERROR(__xludf.DUMMYFUNCTION("""COMPUTED_VALUE"""),"")</f>
        <v/>
      </c>
      <c r="F4248" s="35" t="str">
        <f>IFERROR(__xludf.DUMMYFUNCTION("""COMPUTED_VALUE"""),"1899")</f>
        <v>1899</v>
      </c>
      <c r="G4248" s="35"/>
      <c r="H4248" s="35" t="str">
        <f>IFERROR(__xludf.DUMMYFUNCTION("""COMPUTED_VALUE"""),"")</f>
        <v/>
      </c>
      <c r="I4248" s="35" t="str">
        <f>IFERROR(__xludf.DUMMYFUNCTION("""COMPUTED_VALUE"""),"")</f>
        <v/>
      </c>
      <c r="J4248" s="35" t="str">
        <f>IFERROR(__xludf.DUMMYFUNCTION("""COMPUTED_VALUE"""),"")</f>
        <v/>
      </c>
      <c r="K4248" s="35"/>
      <c r="L4248" s="35"/>
      <c r="M4248" s="35"/>
      <c r="N4248" s="35"/>
      <c r="O4248" s="35"/>
      <c r="P4248" s="35"/>
      <c r="Q4248" s="35"/>
      <c r="R4248" s="35"/>
      <c r="S4248" s="74"/>
      <c r="T4248" s="35"/>
      <c r="U4248" s="35"/>
      <c r="V4248" s="35"/>
      <c r="W4248" s="45"/>
    </row>
    <row r="4249">
      <c r="A4249" s="45"/>
      <c r="B4249" s="35"/>
      <c r="C4249" s="35"/>
      <c r="D4249" s="10"/>
      <c r="E4249" s="35" t="str">
        <f>IFERROR(__xludf.DUMMYFUNCTION("""COMPUTED_VALUE"""),"")</f>
        <v/>
      </c>
      <c r="F4249" s="35" t="str">
        <f>IFERROR(__xludf.DUMMYFUNCTION("""COMPUTED_VALUE"""),"1899")</f>
        <v>1899</v>
      </c>
      <c r="G4249" s="35"/>
      <c r="H4249" s="35" t="str">
        <f>IFERROR(__xludf.DUMMYFUNCTION("""COMPUTED_VALUE"""),"")</f>
        <v/>
      </c>
      <c r="I4249" s="35" t="str">
        <f>IFERROR(__xludf.DUMMYFUNCTION("""COMPUTED_VALUE"""),"")</f>
        <v/>
      </c>
      <c r="J4249" s="35" t="str">
        <f>IFERROR(__xludf.DUMMYFUNCTION("""COMPUTED_VALUE"""),"")</f>
        <v/>
      </c>
      <c r="K4249" s="35"/>
      <c r="L4249" s="35"/>
      <c r="M4249" s="35"/>
      <c r="N4249" s="35"/>
      <c r="O4249" s="35"/>
      <c r="P4249" s="35"/>
      <c r="Q4249" s="35"/>
      <c r="R4249" s="35"/>
      <c r="S4249" s="74"/>
      <c r="T4249" s="35"/>
      <c r="U4249" s="35"/>
      <c r="V4249" s="35"/>
      <c r="W4249" s="45"/>
    </row>
    <row r="4250">
      <c r="A4250" s="45"/>
      <c r="B4250" s="35"/>
      <c r="C4250" s="35"/>
      <c r="D4250" s="10"/>
      <c r="E4250" s="35" t="str">
        <f>IFERROR(__xludf.DUMMYFUNCTION("""COMPUTED_VALUE"""),"")</f>
        <v/>
      </c>
      <c r="F4250" s="35" t="str">
        <f>IFERROR(__xludf.DUMMYFUNCTION("""COMPUTED_VALUE"""),"1899")</f>
        <v>1899</v>
      </c>
      <c r="G4250" s="35"/>
      <c r="H4250" s="35" t="str">
        <f>IFERROR(__xludf.DUMMYFUNCTION("""COMPUTED_VALUE"""),"")</f>
        <v/>
      </c>
      <c r="I4250" s="35" t="str">
        <f>IFERROR(__xludf.DUMMYFUNCTION("""COMPUTED_VALUE"""),"")</f>
        <v/>
      </c>
      <c r="J4250" s="35" t="str">
        <f>IFERROR(__xludf.DUMMYFUNCTION("""COMPUTED_VALUE"""),"")</f>
        <v/>
      </c>
      <c r="K4250" s="35"/>
      <c r="L4250" s="35"/>
      <c r="M4250" s="35"/>
      <c r="N4250" s="35"/>
      <c r="O4250" s="35"/>
      <c r="P4250" s="35"/>
      <c r="Q4250" s="35"/>
      <c r="R4250" s="35"/>
      <c r="S4250" s="74"/>
      <c r="T4250" s="35"/>
      <c r="U4250" s="35"/>
      <c r="V4250" s="35"/>
      <c r="W4250" s="45"/>
    </row>
    <row r="4251">
      <c r="A4251" s="45"/>
      <c r="B4251" s="35"/>
      <c r="C4251" s="35"/>
      <c r="D4251" s="10"/>
      <c r="E4251" s="35" t="str">
        <f>IFERROR(__xludf.DUMMYFUNCTION("""COMPUTED_VALUE"""),"")</f>
        <v/>
      </c>
      <c r="F4251" s="35" t="str">
        <f>IFERROR(__xludf.DUMMYFUNCTION("""COMPUTED_VALUE"""),"1899")</f>
        <v>1899</v>
      </c>
      <c r="G4251" s="35"/>
      <c r="H4251" s="35" t="str">
        <f>IFERROR(__xludf.DUMMYFUNCTION("""COMPUTED_VALUE"""),"")</f>
        <v/>
      </c>
      <c r="I4251" s="35" t="str">
        <f>IFERROR(__xludf.DUMMYFUNCTION("""COMPUTED_VALUE"""),"")</f>
        <v/>
      </c>
      <c r="J4251" s="35" t="str">
        <f>IFERROR(__xludf.DUMMYFUNCTION("""COMPUTED_VALUE"""),"")</f>
        <v/>
      </c>
      <c r="K4251" s="35"/>
      <c r="L4251" s="35"/>
      <c r="M4251" s="35"/>
      <c r="N4251" s="35"/>
      <c r="O4251" s="35"/>
      <c r="P4251" s="35"/>
      <c r="Q4251" s="35"/>
      <c r="R4251" s="35"/>
      <c r="S4251" s="74"/>
      <c r="T4251" s="35"/>
      <c r="U4251" s="35"/>
      <c r="V4251" s="35"/>
      <c r="W4251" s="45"/>
    </row>
    <row r="4252">
      <c r="A4252" s="45"/>
      <c r="B4252" s="35"/>
      <c r="C4252" s="35"/>
      <c r="D4252" s="10"/>
      <c r="E4252" s="35" t="str">
        <f>IFERROR(__xludf.DUMMYFUNCTION("""COMPUTED_VALUE"""),"")</f>
        <v/>
      </c>
      <c r="F4252" s="35" t="str">
        <f>IFERROR(__xludf.DUMMYFUNCTION("""COMPUTED_VALUE"""),"1899")</f>
        <v>1899</v>
      </c>
      <c r="G4252" s="35"/>
      <c r="H4252" s="35" t="str">
        <f>IFERROR(__xludf.DUMMYFUNCTION("""COMPUTED_VALUE"""),"")</f>
        <v/>
      </c>
      <c r="I4252" s="35" t="str">
        <f>IFERROR(__xludf.DUMMYFUNCTION("""COMPUTED_VALUE"""),"")</f>
        <v/>
      </c>
      <c r="J4252" s="35" t="str">
        <f>IFERROR(__xludf.DUMMYFUNCTION("""COMPUTED_VALUE"""),"")</f>
        <v/>
      </c>
      <c r="K4252" s="35"/>
      <c r="L4252" s="35"/>
      <c r="M4252" s="35"/>
      <c r="N4252" s="35"/>
      <c r="O4252" s="35"/>
      <c r="P4252" s="35"/>
      <c r="Q4252" s="35"/>
      <c r="R4252" s="35"/>
      <c r="S4252" s="74"/>
      <c r="T4252" s="35"/>
      <c r="U4252" s="35"/>
      <c r="V4252" s="35"/>
      <c r="W4252" s="45"/>
    </row>
    <row r="4253">
      <c r="A4253" s="45"/>
      <c r="B4253" s="35"/>
      <c r="C4253" s="35"/>
      <c r="D4253" s="10"/>
      <c r="E4253" s="35" t="str">
        <f>IFERROR(__xludf.DUMMYFUNCTION("""COMPUTED_VALUE"""),"")</f>
        <v/>
      </c>
      <c r="F4253" s="35" t="str">
        <f>IFERROR(__xludf.DUMMYFUNCTION("""COMPUTED_VALUE"""),"1899")</f>
        <v>1899</v>
      </c>
      <c r="G4253" s="35"/>
      <c r="H4253" s="35" t="str">
        <f>IFERROR(__xludf.DUMMYFUNCTION("""COMPUTED_VALUE"""),"")</f>
        <v/>
      </c>
      <c r="I4253" s="35" t="str">
        <f>IFERROR(__xludf.DUMMYFUNCTION("""COMPUTED_VALUE"""),"")</f>
        <v/>
      </c>
      <c r="J4253" s="35" t="str">
        <f>IFERROR(__xludf.DUMMYFUNCTION("""COMPUTED_VALUE"""),"")</f>
        <v/>
      </c>
      <c r="K4253" s="35"/>
      <c r="L4253" s="35"/>
      <c r="M4253" s="35"/>
      <c r="N4253" s="35"/>
      <c r="O4253" s="35"/>
      <c r="P4253" s="35"/>
      <c r="Q4253" s="35"/>
      <c r="R4253" s="35"/>
      <c r="S4253" s="74"/>
      <c r="T4253" s="35"/>
      <c r="U4253" s="35"/>
      <c r="V4253" s="35"/>
      <c r="W4253" s="45"/>
    </row>
    <row r="4254">
      <c r="A4254" s="45"/>
      <c r="B4254" s="35"/>
      <c r="C4254" s="35"/>
      <c r="D4254" s="10"/>
      <c r="E4254" s="35" t="str">
        <f>IFERROR(__xludf.DUMMYFUNCTION("""COMPUTED_VALUE"""),"")</f>
        <v/>
      </c>
      <c r="F4254" s="35" t="str">
        <f>IFERROR(__xludf.DUMMYFUNCTION("""COMPUTED_VALUE"""),"1899")</f>
        <v>1899</v>
      </c>
      <c r="G4254" s="35"/>
      <c r="H4254" s="35" t="str">
        <f>IFERROR(__xludf.DUMMYFUNCTION("""COMPUTED_VALUE"""),"")</f>
        <v/>
      </c>
      <c r="I4254" s="35" t="str">
        <f>IFERROR(__xludf.DUMMYFUNCTION("""COMPUTED_VALUE"""),"")</f>
        <v/>
      </c>
      <c r="J4254" s="35" t="str">
        <f>IFERROR(__xludf.DUMMYFUNCTION("""COMPUTED_VALUE"""),"")</f>
        <v/>
      </c>
      <c r="K4254" s="35"/>
      <c r="L4254" s="35"/>
      <c r="M4254" s="35"/>
      <c r="N4254" s="35"/>
      <c r="O4254" s="35"/>
      <c r="P4254" s="35"/>
      <c r="Q4254" s="35"/>
      <c r="R4254" s="35"/>
      <c r="S4254" s="74"/>
      <c r="T4254" s="35"/>
      <c r="U4254" s="35"/>
      <c r="V4254" s="35"/>
      <c r="W4254" s="45"/>
    </row>
    <row r="4255">
      <c r="A4255" s="45"/>
      <c r="B4255" s="35"/>
      <c r="C4255" s="35"/>
      <c r="D4255" s="10"/>
      <c r="E4255" s="35" t="str">
        <f>IFERROR(__xludf.DUMMYFUNCTION("""COMPUTED_VALUE"""),"")</f>
        <v/>
      </c>
      <c r="F4255" s="35" t="str">
        <f>IFERROR(__xludf.DUMMYFUNCTION("""COMPUTED_VALUE"""),"1899")</f>
        <v>1899</v>
      </c>
      <c r="G4255" s="35"/>
      <c r="H4255" s="35" t="str">
        <f>IFERROR(__xludf.DUMMYFUNCTION("""COMPUTED_VALUE"""),"")</f>
        <v/>
      </c>
      <c r="I4255" s="35" t="str">
        <f>IFERROR(__xludf.DUMMYFUNCTION("""COMPUTED_VALUE"""),"")</f>
        <v/>
      </c>
      <c r="J4255" s="35" t="str">
        <f>IFERROR(__xludf.DUMMYFUNCTION("""COMPUTED_VALUE"""),"")</f>
        <v/>
      </c>
      <c r="K4255" s="35"/>
      <c r="L4255" s="35"/>
      <c r="M4255" s="35"/>
      <c r="N4255" s="35"/>
      <c r="O4255" s="35"/>
      <c r="P4255" s="35"/>
      <c r="Q4255" s="35"/>
      <c r="R4255" s="35"/>
      <c r="S4255" s="74"/>
      <c r="T4255" s="35"/>
      <c r="U4255" s="35"/>
      <c r="V4255" s="35"/>
      <c r="W4255" s="45"/>
    </row>
    <row r="4256">
      <c r="A4256" s="45"/>
      <c r="B4256" s="35"/>
      <c r="C4256" s="35"/>
      <c r="D4256" s="10"/>
      <c r="E4256" s="35" t="str">
        <f>IFERROR(__xludf.DUMMYFUNCTION("""COMPUTED_VALUE"""),"")</f>
        <v/>
      </c>
      <c r="F4256" s="35" t="str">
        <f>IFERROR(__xludf.DUMMYFUNCTION("""COMPUTED_VALUE"""),"1899")</f>
        <v>1899</v>
      </c>
      <c r="G4256" s="35"/>
      <c r="H4256" s="35" t="str">
        <f>IFERROR(__xludf.DUMMYFUNCTION("""COMPUTED_VALUE"""),"")</f>
        <v/>
      </c>
      <c r="I4256" s="35" t="str">
        <f>IFERROR(__xludf.DUMMYFUNCTION("""COMPUTED_VALUE"""),"")</f>
        <v/>
      </c>
      <c r="J4256" s="35" t="str">
        <f>IFERROR(__xludf.DUMMYFUNCTION("""COMPUTED_VALUE"""),"")</f>
        <v/>
      </c>
      <c r="K4256" s="35"/>
      <c r="L4256" s="35"/>
      <c r="M4256" s="35"/>
      <c r="N4256" s="35"/>
      <c r="O4256" s="35"/>
      <c r="P4256" s="35"/>
      <c r="Q4256" s="35"/>
      <c r="R4256" s="35"/>
      <c r="S4256" s="74"/>
      <c r="T4256" s="35"/>
      <c r="U4256" s="35"/>
      <c r="V4256" s="35"/>
      <c r="W4256" s="45"/>
    </row>
    <row r="4257">
      <c r="A4257" s="45"/>
      <c r="B4257" s="35"/>
      <c r="C4257" s="35"/>
      <c r="D4257" s="10"/>
      <c r="E4257" s="35" t="str">
        <f>IFERROR(__xludf.DUMMYFUNCTION("""COMPUTED_VALUE"""),"")</f>
        <v/>
      </c>
      <c r="F4257" s="35" t="str">
        <f>IFERROR(__xludf.DUMMYFUNCTION("""COMPUTED_VALUE"""),"1899")</f>
        <v>1899</v>
      </c>
      <c r="G4257" s="35"/>
      <c r="H4257" s="35" t="str">
        <f>IFERROR(__xludf.DUMMYFUNCTION("""COMPUTED_VALUE"""),"")</f>
        <v/>
      </c>
      <c r="I4257" s="35" t="str">
        <f>IFERROR(__xludf.DUMMYFUNCTION("""COMPUTED_VALUE"""),"")</f>
        <v/>
      </c>
      <c r="J4257" s="35" t="str">
        <f>IFERROR(__xludf.DUMMYFUNCTION("""COMPUTED_VALUE"""),"")</f>
        <v/>
      </c>
      <c r="K4257" s="35"/>
      <c r="L4257" s="35"/>
      <c r="M4257" s="35"/>
      <c r="N4257" s="35"/>
      <c r="O4257" s="35"/>
      <c r="P4257" s="35"/>
      <c r="Q4257" s="35"/>
      <c r="R4257" s="35"/>
      <c r="S4257" s="74"/>
      <c r="T4257" s="35"/>
      <c r="U4257" s="35"/>
      <c r="V4257" s="35"/>
      <c r="W4257" s="45"/>
    </row>
    <row r="4258">
      <c r="A4258" s="45"/>
      <c r="B4258" s="35"/>
      <c r="C4258" s="35"/>
      <c r="D4258" s="10"/>
      <c r="E4258" s="35" t="str">
        <f>IFERROR(__xludf.DUMMYFUNCTION("""COMPUTED_VALUE"""),"")</f>
        <v/>
      </c>
      <c r="F4258" s="35" t="str">
        <f>IFERROR(__xludf.DUMMYFUNCTION("""COMPUTED_VALUE"""),"1899")</f>
        <v>1899</v>
      </c>
      <c r="G4258" s="35"/>
      <c r="H4258" s="35" t="str">
        <f>IFERROR(__xludf.DUMMYFUNCTION("""COMPUTED_VALUE"""),"")</f>
        <v/>
      </c>
      <c r="I4258" s="35" t="str">
        <f>IFERROR(__xludf.DUMMYFUNCTION("""COMPUTED_VALUE"""),"")</f>
        <v/>
      </c>
      <c r="J4258" s="35" t="str">
        <f>IFERROR(__xludf.DUMMYFUNCTION("""COMPUTED_VALUE"""),"")</f>
        <v/>
      </c>
      <c r="K4258" s="35"/>
      <c r="L4258" s="35"/>
      <c r="M4258" s="35"/>
      <c r="N4258" s="35"/>
      <c r="O4258" s="35"/>
      <c r="P4258" s="35"/>
      <c r="Q4258" s="35"/>
      <c r="R4258" s="35"/>
      <c r="S4258" s="74"/>
      <c r="T4258" s="35"/>
      <c r="U4258" s="35"/>
      <c r="V4258" s="35"/>
      <c r="W4258" s="45"/>
    </row>
    <row r="4259">
      <c r="A4259" s="45"/>
      <c r="B4259" s="35"/>
      <c r="C4259" s="35"/>
      <c r="D4259" s="10"/>
      <c r="E4259" s="35" t="str">
        <f>IFERROR(__xludf.DUMMYFUNCTION("""COMPUTED_VALUE"""),"")</f>
        <v/>
      </c>
      <c r="F4259" s="35" t="str">
        <f>IFERROR(__xludf.DUMMYFUNCTION("""COMPUTED_VALUE"""),"1899")</f>
        <v>1899</v>
      </c>
      <c r="G4259" s="35"/>
      <c r="H4259" s="35" t="str">
        <f>IFERROR(__xludf.DUMMYFUNCTION("""COMPUTED_VALUE"""),"")</f>
        <v/>
      </c>
      <c r="I4259" s="35" t="str">
        <f>IFERROR(__xludf.DUMMYFUNCTION("""COMPUTED_VALUE"""),"")</f>
        <v/>
      </c>
      <c r="J4259" s="35" t="str">
        <f>IFERROR(__xludf.DUMMYFUNCTION("""COMPUTED_VALUE"""),"")</f>
        <v/>
      </c>
      <c r="K4259" s="35"/>
      <c r="L4259" s="35"/>
      <c r="M4259" s="35"/>
      <c r="N4259" s="35"/>
      <c r="O4259" s="35"/>
      <c r="P4259" s="35"/>
      <c r="Q4259" s="35"/>
      <c r="R4259" s="35"/>
      <c r="S4259" s="74"/>
      <c r="T4259" s="35"/>
      <c r="U4259" s="35"/>
      <c r="V4259" s="35"/>
      <c r="W4259" s="45"/>
    </row>
    <row r="4260">
      <c r="A4260" s="45"/>
      <c r="B4260" s="35"/>
      <c r="C4260" s="35"/>
      <c r="D4260" s="10"/>
      <c r="E4260" s="35" t="str">
        <f>IFERROR(__xludf.DUMMYFUNCTION("""COMPUTED_VALUE"""),"")</f>
        <v/>
      </c>
      <c r="F4260" s="35" t="str">
        <f>IFERROR(__xludf.DUMMYFUNCTION("""COMPUTED_VALUE"""),"1899")</f>
        <v>1899</v>
      </c>
      <c r="G4260" s="35"/>
      <c r="H4260" s="35" t="str">
        <f>IFERROR(__xludf.DUMMYFUNCTION("""COMPUTED_VALUE"""),"")</f>
        <v/>
      </c>
      <c r="I4260" s="35" t="str">
        <f>IFERROR(__xludf.DUMMYFUNCTION("""COMPUTED_VALUE"""),"")</f>
        <v/>
      </c>
      <c r="J4260" s="35" t="str">
        <f>IFERROR(__xludf.DUMMYFUNCTION("""COMPUTED_VALUE"""),"")</f>
        <v/>
      </c>
      <c r="K4260" s="35"/>
      <c r="L4260" s="35"/>
      <c r="M4260" s="35"/>
      <c r="N4260" s="35"/>
      <c r="O4260" s="35"/>
      <c r="P4260" s="35"/>
      <c r="Q4260" s="35"/>
      <c r="R4260" s="35"/>
      <c r="S4260" s="74"/>
      <c r="T4260" s="35"/>
      <c r="U4260" s="35"/>
      <c r="V4260" s="35"/>
      <c r="W4260" s="45"/>
    </row>
    <row r="4261">
      <c r="A4261" s="45"/>
      <c r="B4261" s="35"/>
      <c r="C4261" s="35"/>
      <c r="D4261" s="10"/>
      <c r="E4261" s="35" t="str">
        <f>IFERROR(__xludf.DUMMYFUNCTION("""COMPUTED_VALUE"""),"")</f>
        <v/>
      </c>
      <c r="F4261" s="35" t="str">
        <f>IFERROR(__xludf.DUMMYFUNCTION("""COMPUTED_VALUE"""),"1899")</f>
        <v>1899</v>
      </c>
      <c r="G4261" s="35"/>
      <c r="H4261" s="35" t="str">
        <f>IFERROR(__xludf.DUMMYFUNCTION("""COMPUTED_VALUE"""),"")</f>
        <v/>
      </c>
      <c r="I4261" s="35" t="str">
        <f>IFERROR(__xludf.DUMMYFUNCTION("""COMPUTED_VALUE"""),"")</f>
        <v/>
      </c>
      <c r="J4261" s="35" t="str">
        <f>IFERROR(__xludf.DUMMYFUNCTION("""COMPUTED_VALUE"""),"")</f>
        <v/>
      </c>
      <c r="K4261" s="35"/>
      <c r="L4261" s="35"/>
      <c r="M4261" s="35"/>
      <c r="N4261" s="35"/>
      <c r="O4261" s="35"/>
      <c r="P4261" s="35"/>
      <c r="Q4261" s="35"/>
      <c r="R4261" s="35"/>
      <c r="S4261" s="74"/>
      <c r="T4261" s="35"/>
      <c r="U4261" s="35"/>
      <c r="V4261" s="35"/>
      <c r="W4261" s="45"/>
    </row>
    <row r="4262">
      <c r="A4262" s="45"/>
      <c r="B4262" s="35"/>
      <c r="C4262" s="35"/>
      <c r="D4262" s="10"/>
      <c r="E4262" s="35" t="str">
        <f>IFERROR(__xludf.DUMMYFUNCTION("""COMPUTED_VALUE"""),"")</f>
        <v/>
      </c>
      <c r="F4262" s="35" t="str">
        <f>IFERROR(__xludf.DUMMYFUNCTION("""COMPUTED_VALUE"""),"1899")</f>
        <v>1899</v>
      </c>
      <c r="G4262" s="35"/>
      <c r="H4262" s="35" t="str">
        <f>IFERROR(__xludf.DUMMYFUNCTION("""COMPUTED_VALUE"""),"")</f>
        <v/>
      </c>
      <c r="I4262" s="35" t="str">
        <f>IFERROR(__xludf.DUMMYFUNCTION("""COMPUTED_VALUE"""),"")</f>
        <v/>
      </c>
      <c r="J4262" s="35" t="str">
        <f>IFERROR(__xludf.DUMMYFUNCTION("""COMPUTED_VALUE"""),"")</f>
        <v/>
      </c>
      <c r="K4262" s="35"/>
      <c r="L4262" s="35"/>
      <c r="M4262" s="35"/>
      <c r="N4262" s="35"/>
      <c r="O4262" s="35"/>
      <c r="P4262" s="35"/>
      <c r="Q4262" s="35"/>
      <c r="R4262" s="35"/>
      <c r="S4262" s="74"/>
      <c r="T4262" s="35"/>
      <c r="U4262" s="35"/>
      <c r="V4262" s="35"/>
      <c r="W4262" s="45"/>
    </row>
    <row r="4263">
      <c r="A4263" s="45"/>
      <c r="B4263" s="35"/>
      <c r="C4263" s="35"/>
      <c r="D4263" s="10"/>
      <c r="E4263" s="35" t="str">
        <f>IFERROR(__xludf.DUMMYFUNCTION("""COMPUTED_VALUE"""),"")</f>
        <v/>
      </c>
      <c r="F4263" s="35" t="str">
        <f>IFERROR(__xludf.DUMMYFUNCTION("""COMPUTED_VALUE"""),"1899")</f>
        <v>1899</v>
      </c>
      <c r="G4263" s="35"/>
      <c r="H4263" s="35" t="str">
        <f>IFERROR(__xludf.DUMMYFUNCTION("""COMPUTED_VALUE"""),"")</f>
        <v/>
      </c>
      <c r="I4263" s="35" t="str">
        <f>IFERROR(__xludf.DUMMYFUNCTION("""COMPUTED_VALUE"""),"")</f>
        <v/>
      </c>
      <c r="J4263" s="35" t="str">
        <f>IFERROR(__xludf.DUMMYFUNCTION("""COMPUTED_VALUE"""),"")</f>
        <v/>
      </c>
      <c r="K4263" s="35"/>
      <c r="L4263" s="35"/>
      <c r="M4263" s="35"/>
      <c r="N4263" s="35"/>
      <c r="O4263" s="35"/>
      <c r="P4263" s="35"/>
      <c r="Q4263" s="35"/>
      <c r="R4263" s="35"/>
      <c r="S4263" s="74"/>
      <c r="T4263" s="35"/>
      <c r="U4263" s="35"/>
      <c r="V4263" s="35"/>
      <c r="W4263" s="45"/>
    </row>
    <row r="4264">
      <c r="A4264" s="45"/>
      <c r="B4264" s="35"/>
      <c r="C4264" s="35"/>
      <c r="D4264" s="10"/>
      <c r="E4264" s="35" t="str">
        <f>IFERROR(__xludf.DUMMYFUNCTION("""COMPUTED_VALUE"""),"")</f>
        <v/>
      </c>
      <c r="F4264" s="35" t="str">
        <f>IFERROR(__xludf.DUMMYFUNCTION("""COMPUTED_VALUE"""),"1899")</f>
        <v>1899</v>
      </c>
      <c r="G4264" s="35"/>
      <c r="H4264" s="35" t="str">
        <f>IFERROR(__xludf.DUMMYFUNCTION("""COMPUTED_VALUE"""),"")</f>
        <v/>
      </c>
      <c r="I4264" s="35" t="str">
        <f>IFERROR(__xludf.DUMMYFUNCTION("""COMPUTED_VALUE"""),"")</f>
        <v/>
      </c>
      <c r="J4264" s="35" t="str">
        <f>IFERROR(__xludf.DUMMYFUNCTION("""COMPUTED_VALUE"""),"")</f>
        <v/>
      </c>
      <c r="K4264" s="35"/>
      <c r="L4264" s="35"/>
      <c r="M4264" s="35"/>
      <c r="N4264" s="35"/>
      <c r="O4264" s="35"/>
      <c r="P4264" s="35"/>
      <c r="Q4264" s="35"/>
      <c r="R4264" s="35"/>
      <c r="S4264" s="74"/>
      <c r="T4264" s="35"/>
      <c r="U4264" s="35"/>
      <c r="V4264" s="35"/>
      <c r="W4264" s="45"/>
    </row>
    <row r="4265">
      <c r="A4265" s="45"/>
      <c r="B4265" s="35"/>
      <c r="C4265" s="35"/>
      <c r="D4265" s="10"/>
      <c r="E4265" s="35" t="str">
        <f>IFERROR(__xludf.DUMMYFUNCTION("""COMPUTED_VALUE"""),"")</f>
        <v/>
      </c>
      <c r="F4265" s="35" t="str">
        <f>IFERROR(__xludf.DUMMYFUNCTION("""COMPUTED_VALUE"""),"1899")</f>
        <v>1899</v>
      </c>
      <c r="G4265" s="35"/>
      <c r="H4265" s="35" t="str">
        <f>IFERROR(__xludf.DUMMYFUNCTION("""COMPUTED_VALUE"""),"")</f>
        <v/>
      </c>
      <c r="I4265" s="35" t="str">
        <f>IFERROR(__xludf.DUMMYFUNCTION("""COMPUTED_VALUE"""),"")</f>
        <v/>
      </c>
      <c r="J4265" s="35" t="str">
        <f>IFERROR(__xludf.DUMMYFUNCTION("""COMPUTED_VALUE"""),"")</f>
        <v/>
      </c>
      <c r="K4265" s="35"/>
      <c r="L4265" s="35"/>
      <c r="M4265" s="35"/>
      <c r="N4265" s="35"/>
      <c r="O4265" s="35"/>
      <c r="P4265" s="35"/>
      <c r="Q4265" s="35"/>
      <c r="R4265" s="35"/>
      <c r="S4265" s="74"/>
      <c r="T4265" s="35"/>
      <c r="U4265" s="35"/>
      <c r="V4265" s="35"/>
      <c r="W4265" s="45"/>
    </row>
    <row r="4266">
      <c r="A4266" s="45"/>
      <c r="B4266" s="35"/>
      <c r="C4266" s="35"/>
      <c r="D4266" s="10"/>
      <c r="E4266" s="35" t="str">
        <f>IFERROR(__xludf.DUMMYFUNCTION("""COMPUTED_VALUE"""),"")</f>
        <v/>
      </c>
      <c r="F4266" s="35" t="str">
        <f>IFERROR(__xludf.DUMMYFUNCTION("""COMPUTED_VALUE"""),"1899")</f>
        <v>1899</v>
      </c>
      <c r="G4266" s="35"/>
      <c r="H4266" s="35" t="str">
        <f>IFERROR(__xludf.DUMMYFUNCTION("""COMPUTED_VALUE"""),"")</f>
        <v/>
      </c>
      <c r="I4266" s="35" t="str">
        <f>IFERROR(__xludf.DUMMYFUNCTION("""COMPUTED_VALUE"""),"")</f>
        <v/>
      </c>
      <c r="J4266" s="35" t="str">
        <f>IFERROR(__xludf.DUMMYFUNCTION("""COMPUTED_VALUE"""),"")</f>
        <v/>
      </c>
      <c r="K4266" s="35"/>
      <c r="L4266" s="35"/>
      <c r="M4266" s="35"/>
      <c r="N4266" s="35"/>
      <c r="O4266" s="35"/>
      <c r="P4266" s="35"/>
      <c r="Q4266" s="35"/>
      <c r="R4266" s="35"/>
      <c r="S4266" s="74"/>
      <c r="T4266" s="35"/>
      <c r="U4266" s="35"/>
      <c r="V4266" s="35"/>
      <c r="W4266" s="45"/>
    </row>
    <row r="4267">
      <c r="A4267" s="45"/>
      <c r="B4267" s="35"/>
      <c r="C4267" s="35"/>
      <c r="D4267" s="10"/>
      <c r="E4267" s="35" t="str">
        <f>IFERROR(__xludf.DUMMYFUNCTION("""COMPUTED_VALUE"""),"")</f>
        <v/>
      </c>
      <c r="F4267" s="35" t="str">
        <f>IFERROR(__xludf.DUMMYFUNCTION("""COMPUTED_VALUE"""),"1899")</f>
        <v>1899</v>
      </c>
      <c r="G4267" s="35"/>
      <c r="H4267" s="35" t="str">
        <f>IFERROR(__xludf.DUMMYFUNCTION("""COMPUTED_VALUE"""),"")</f>
        <v/>
      </c>
      <c r="I4267" s="35" t="str">
        <f>IFERROR(__xludf.DUMMYFUNCTION("""COMPUTED_VALUE"""),"")</f>
        <v/>
      </c>
      <c r="J4267" s="35" t="str">
        <f>IFERROR(__xludf.DUMMYFUNCTION("""COMPUTED_VALUE"""),"")</f>
        <v/>
      </c>
      <c r="K4267" s="35"/>
      <c r="L4267" s="35"/>
      <c r="M4267" s="35"/>
      <c r="N4267" s="35"/>
      <c r="O4267" s="35"/>
      <c r="P4267" s="35"/>
      <c r="Q4267" s="35"/>
      <c r="R4267" s="35"/>
      <c r="S4267" s="74"/>
      <c r="T4267" s="35"/>
      <c r="U4267" s="35"/>
      <c r="V4267" s="35"/>
      <c r="W4267" s="45"/>
    </row>
    <row r="4268">
      <c r="A4268" s="45"/>
      <c r="B4268" s="35"/>
      <c r="C4268" s="35"/>
      <c r="D4268" s="10"/>
      <c r="E4268" s="35" t="str">
        <f>IFERROR(__xludf.DUMMYFUNCTION("""COMPUTED_VALUE"""),"")</f>
        <v/>
      </c>
      <c r="F4268" s="35" t="str">
        <f>IFERROR(__xludf.DUMMYFUNCTION("""COMPUTED_VALUE"""),"1899")</f>
        <v>1899</v>
      </c>
      <c r="G4268" s="35"/>
      <c r="H4268" s="35" t="str">
        <f>IFERROR(__xludf.DUMMYFUNCTION("""COMPUTED_VALUE"""),"")</f>
        <v/>
      </c>
      <c r="I4268" s="35" t="str">
        <f>IFERROR(__xludf.DUMMYFUNCTION("""COMPUTED_VALUE"""),"")</f>
        <v/>
      </c>
      <c r="J4268" s="35" t="str">
        <f>IFERROR(__xludf.DUMMYFUNCTION("""COMPUTED_VALUE"""),"")</f>
        <v/>
      </c>
      <c r="K4268" s="35"/>
      <c r="L4268" s="35"/>
      <c r="M4268" s="35"/>
      <c r="N4268" s="35"/>
      <c r="O4268" s="35"/>
      <c r="P4268" s="35"/>
      <c r="Q4268" s="35"/>
      <c r="R4268" s="35"/>
      <c r="S4268" s="74"/>
      <c r="T4268" s="35"/>
      <c r="U4268" s="35"/>
      <c r="V4268" s="35"/>
      <c r="W4268" s="45"/>
    </row>
    <row r="4269">
      <c r="A4269" s="45"/>
      <c r="B4269" s="35"/>
      <c r="C4269" s="35"/>
      <c r="D4269" s="10"/>
      <c r="E4269" s="35" t="str">
        <f>IFERROR(__xludf.DUMMYFUNCTION("""COMPUTED_VALUE"""),"")</f>
        <v/>
      </c>
      <c r="F4269" s="35" t="str">
        <f>IFERROR(__xludf.DUMMYFUNCTION("""COMPUTED_VALUE"""),"1899")</f>
        <v>1899</v>
      </c>
      <c r="G4269" s="35"/>
      <c r="H4269" s="35" t="str">
        <f>IFERROR(__xludf.DUMMYFUNCTION("""COMPUTED_VALUE"""),"")</f>
        <v/>
      </c>
      <c r="I4269" s="35" t="str">
        <f>IFERROR(__xludf.DUMMYFUNCTION("""COMPUTED_VALUE"""),"")</f>
        <v/>
      </c>
      <c r="J4269" s="35" t="str">
        <f>IFERROR(__xludf.DUMMYFUNCTION("""COMPUTED_VALUE"""),"")</f>
        <v/>
      </c>
      <c r="K4269" s="35"/>
      <c r="L4269" s="35"/>
      <c r="M4269" s="35"/>
      <c r="N4269" s="35"/>
      <c r="O4269" s="35"/>
      <c r="P4269" s="35"/>
      <c r="Q4269" s="35"/>
      <c r="R4269" s="35"/>
      <c r="S4269" s="74"/>
      <c r="T4269" s="35"/>
      <c r="U4269" s="35"/>
      <c r="V4269" s="35"/>
      <c r="W4269" s="45"/>
    </row>
    <row r="4270">
      <c r="A4270" s="45"/>
      <c r="B4270" s="35"/>
      <c r="C4270" s="35"/>
      <c r="D4270" s="10"/>
      <c r="E4270" s="35" t="str">
        <f>IFERROR(__xludf.DUMMYFUNCTION("""COMPUTED_VALUE"""),"")</f>
        <v/>
      </c>
      <c r="F4270" s="35" t="str">
        <f>IFERROR(__xludf.DUMMYFUNCTION("""COMPUTED_VALUE"""),"1899")</f>
        <v>1899</v>
      </c>
      <c r="G4270" s="35"/>
      <c r="H4270" s="35" t="str">
        <f>IFERROR(__xludf.DUMMYFUNCTION("""COMPUTED_VALUE"""),"")</f>
        <v/>
      </c>
      <c r="I4270" s="35" t="str">
        <f>IFERROR(__xludf.DUMMYFUNCTION("""COMPUTED_VALUE"""),"")</f>
        <v/>
      </c>
      <c r="J4270" s="35" t="str">
        <f>IFERROR(__xludf.DUMMYFUNCTION("""COMPUTED_VALUE"""),"")</f>
        <v/>
      </c>
      <c r="K4270" s="35"/>
      <c r="L4270" s="35"/>
      <c r="M4270" s="35"/>
      <c r="N4270" s="35"/>
      <c r="O4270" s="35"/>
      <c r="P4270" s="35"/>
      <c r="Q4270" s="35"/>
      <c r="R4270" s="35"/>
      <c r="S4270" s="74"/>
      <c r="T4270" s="35"/>
      <c r="U4270" s="35"/>
      <c r="V4270" s="35"/>
      <c r="W4270" s="45"/>
    </row>
    <row r="4271">
      <c r="A4271" s="45"/>
      <c r="B4271" s="35"/>
      <c r="C4271" s="35"/>
      <c r="D4271" s="10"/>
      <c r="E4271" s="35" t="str">
        <f>IFERROR(__xludf.DUMMYFUNCTION("""COMPUTED_VALUE"""),"")</f>
        <v/>
      </c>
      <c r="F4271" s="35" t="str">
        <f>IFERROR(__xludf.DUMMYFUNCTION("""COMPUTED_VALUE"""),"1899")</f>
        <v>1899</v>
      </c>
      <c r="G4271" s="35"/>
      <c r="H4271" s="35" t="str">
        <f>IFERROR(__xludf.DUMMYFUNCTION("""COMPUTED_VALUE"""),"")</f>
        <v/>
      </c>
      <c r="I4271" s="35" t="str">
        <f>IFERROR(__xludf.DUMMYFUNCTION("""COMPUTED_VALUE"""),"")</f>
        <v/>
      </c>
      <c r="J4271" s="35" t="str">
        <f>IFERROR(__xludf.DUMMYFUNCTION("""COMPUTED_VALUE"""),"")</f>
        <v/>
      </c>
      <c r="K4271" s="35"/>
      <c r="L4271" s="35"/>
      <c r="M4271" s="35"/>
      <c r="N4271" s="35"/>
      <c r="O4271" s="35"/>
      <c r="P4271" s="35"/>
      <c r="Q4271" s="35"/>
      <c r="R4271" s="35"/>
      <c r="S4271" s="74"/>
      <c r="T4271" s="35"/>
      <c r="U4271" s="35"/>
      <c r="V4271" s="35"/>
      <c r="W4271" s="45"/>
    </row>
    <row r="4272">
      <c r="A4272" s="45"/>
      <c r="B4272" s="35"/>
      <c r="C4272" s="35"/>
      <c r="D4272" s="10"/>
      <c r="E4272" s="35" t="str">
        <f>IFERROR(__xludf.DUMMYFUNCTION("""COMPUTED_VALUE"""),"")</f>
        <v/>
      </c>
      <c r="F4272" s="35" t="str">
        <f>IFERROR(__xludf.DUMMYFUNCTION("""COMPUTED_VALUE"""),"1899")</f>
        <v>1899</v>
      </c>
      <c r="G4272" s="35"/>
      <c r="H4272" s="35" t="str">
        <f>IFERROR(__xludf.DUMMYFUNCTION("""COMPUTED_VALUE"""),"")</f>
        <v/>
      </c>
      <c r="I4272" s="35" t="str">
        <f>IFERROR(__xludf.DUMMYFUNCTION("""COMPUTED_VALUE"""),"")</f>
        <v/>
      </c>
      <c r="J4272" s="35" t="str">
        <f>IFERROR(__xludf.DUMMYFUNCTION("""COMPUTED_VALUE"""),"")</f>
        <v/>
      </c>
      <c r="K4272" s="35"/>
      <c r="L4272" s="35"/>
      <c r="M4272" s="35"/>
      <c r="N4272" s="35"/>
      <c r="O4272" s="35"/>
      <c r="P4272" s="35"/>
      <c r="Q4272" s="35"/>
      <c r="R4272" s="35"/>
      <c r="S4272" s="74"/>
      <c r="T4272" s="35"/>
      <c r="U4272" s="35"/>
      <c r="V4272" s="35"/>
      <c r="W4272" s="45"/>
    </row>
    <row r="4273">
      <c r="A4273" s="45"/>
      <c r="B4273" s="35"/>
      <c r="C4273" s="35"/>
      <c r="D4273" s="10"/>
      <c r="E4273" s="35" t="str">
        <f>IFERROR(__xludf.DUMMYFUNCTION("""COMPUTED_VALUE"""),"")</f>
        <v/>
      </c>
      <c r="F4273" s="35" t="str">
        <f>IFERROR(__xludf.DUMMYFUNCTION("""COMPUTED_VALUE"""),"1899")</f>
        <v>1899</v>
      </c>
      <c r="G4273" s="35"/>
      <c r="H4273" s="35" t="str">
        <f>IFERROR(__xludf.DUMMYFUNCTION("""COMPUTED_VALUE"""),"")</f>
        <v/>
      </c>
      <c r="I4273" s="35" t="str">
        <f>IFERROR(__xludf.DUMMYFUNCTION("""COMPUTED_VALUE"""),"")</f>
        <v/>
      </c>
      <c r="J4273" s="35" t="str">
        <f>IFERROR(__xludf.DUMMYFUNCTION("""COMPUTED_VALUE"""),"")</f>
        <v/>
      </c>
      <c r="K4273" s="35"/>
      <c r="L4273" s="35"/>
      <c r="M4273" s="35"/>
      <c r="N4273" s="35"/>
      <c r="O4273" s="35"/>
      <c r="P4273" s="35"/>
      <c r="Q4273" s="35"/>
      <c r="R4273" s="35"/>
      <c r="S4273" s="74"/>
      <c r="T4273" s="35"/>
      <c r="U4273" s="35"/>
      <c r="V4273" s="35"/>
      <c r="W4273" s="45"/>
    </row>
    <row r="4274">
      <c r="A4274" s="45"/>
      <c r="B4274" s="35"/>
      <c r="C4274" s="35"/>
      <c r="D4274" s="10"/>
      <c r="E4274" s="35" t="str">
        <f>IFERROR(__xludf.DUMMYFUNCTION("""COMPUTED_VALUE"""),"")</f>
        <v/>
      </c>
      <c r="F4274" s="35" t="str">
        <f>IFERROR(__xludf.DUMMYFUNCTION("""COMPUTED_VALUE"""),"1899")</f>
        <v>1899</v>
      </c>
      <c r="G4274" s="35"/>
      <c r="H4274" s="35" t="str">
        <f>IFERROR(__xludf.DUMMYFUNCTION("""COMPUTED_VALUE"""),"")</f>
        <v/>
      </c>
      <c r="I4274" s="35" t="str">
        <f>IFERROR(__xludf.DUMMYFUNCTION("""COMPUTED_VALUE"""),"")</f>
        <v/>
      </c>
      <c r="J4274" s="35" t="str">
        <f>IFERROR(__xludf.DUMMYFUNCTION("""COMPUTED_VALUE"""),"")</f>
        <v/>
      </c>
      <c r="K4274" s="35"/>
      <c r="L4274" s="35"/>
      <c r="M4274" s="35"/>
      <c r="N4274" s="35"/>
      <c r="O4274" s="35"/>
      <c r="P4274" s="35"/>
      <c r="Q4274" s="35"/>
      <c r="R4274" s="35"/>
      <c r="S4274" s="74"/>
      <c r="T4274" s="35"/>
      <c r="U4274" s="35"/>
      <c r="V4274" s="35"/>
      <c r="W4274" s="45"/>
    </row>
    <row r="4275">
      <c r="A4275" s="45"/>
      <c r="B4275" s="35"/>
      <c r="C4275" s="35"/>
      <c r="D4275" s="10"/>
      <c r="E4275" s="35" t="str">
        <f>IFERROR(__xludf.DUMMYFUNCTION("""COMPUTED_VALUE"""),"")</f>
        <v/>
      </c>
      <c r="F4275" s="35" t="str">
        <f>IFERROR(__xludf.DUMMYFUNCTION("""COMPUTED_VALUE"""),"1899")</f>
        <v>1899</v>
      </c>
      <c r="G4275" s="35"/>
      <c r="H4275" s="35" t="str">
        <f>IFERROR(__xludf.DUMMYFUNCTION("""COMPUTED_VALUE"""),"")</f>
        <v/>
      </c>
      <c r="I4275" s="35" t="str">
        <f>IFERROR(__xludf.DUMMYFUNCTION("""COMPUTED_VALUE"""),"")</f>
        <v/>
      </c>
      <c r="J4275" s="35" t="str">
        <f>IFERROR(__xludf.DUMMYFUNCTION("""COMPUTED_VALUE"""),"")</f>
        <v/>
      </c>
      <c r="K4275" s="35"/>
      <c r="L4275" s="35"/>
      <c r="M4275" s="35"/>
      <c r="N4275" s="35"/>
      <c r="O4275" s="35"/>
      <c r="P4275" s="35"/>
      <c r="Q4275" s="35"/>
      <c r="R4275" s="35"/>
      <c r="S4275" s="74"/>
      <c r="T4275" s="35"/>
      <c r="U4275" s="35"/>
      <c r="V4275" s="35"/>
      <c r="W4275" s="45"/>
    </row>
    <row r="4276">
      <c r="A4276" s="45"/>
      <c r="B4276" s="35"/>
      <c r="C4276" s="35"/>
      <c r="D4276" s="10"/>
      <c r="E4276" s="35" t="str">
        <f>IFERROR(__xludf.DUMMYFUNCTION("""COMPUTED_VALUE"""),"")</f>
        <v/>
      </c>
      <c r="F4276" s="35" t="str">
        <f>IFERROR(__xludf.DUMMYFUNCTION("""COMPUTED_VALUE"""),"1899")</f>
        <v>1899</v>
      </c>
      <c r="G4276" s="35"/>
      <c r="H4276" s="35" t="str">
        <f>IFERROR(__xludf.DUMMYFUNCTION("""COMPUTED_VALUE"""),"")</f>
        <v/>
      </c>
      <c r="I4276" s="35" t="str">
        <f>IFERROR(__xludf.DUMMYFUNCTION("""COMPUTED_VALUE"""),"")</f>
        <v/>
      </c>
      <c r="J4276" s="35" t="str">
        <f>IFERROR(__xludf.DUMMYFUNCTION("""COMPUTED_VALUE"""),"")</f>
        <v/>
      </c>
      <c r="K4276" s="35"/>
      <c r="L4276" s="35"/>
      <c r="M4276" s="35"/>
      <c r="N4276" s="35"/>
      <c r="O4276" s="35"/>
      <c r="P4276" s="35"/>
      <c r="Q4276" s="35"/>
      <c r="R4276" s="35"/>
      <c r="S4276" s="74"/>
      <c r="T4276" s="35"/>
      <c r="U4276" s="35"/>
      <c r="V4276" s="35"/>
      <c r="W4276" s="45"/>
    </row>
    <row r="4277">
      <c r="A4277" s="45"/>
      <c r="B4277" s="35"/>
      <c r="C4277" s="35"/>
      <c r="D4277" s="10"/>
      <c r="E4277" s="35" t="str">
        <f>IFERROR(__xludf.DUMMYFUNCTION("""COMPUTED_VALUE"""),"")</f>
        <v/>
      </c>
      <c r="F4277" s="35" t="str">
        <f>IFERROR(__xludf.DUMMYFUNCTION("""COMPUTED_VALUE"""),"1899")</f>
        <v>1899</v>
      </c>
      <c r="G4277" s="35"/>
      <c r="H4277" s="35" t="str">
        <f>IFERROR(__xludf.DUMMYFUNCTION("""COMPUTED_VALUE"""),"")</f>
        <v/>
      </c>
      <c r="I4277" s="35" t="str">
        <f>IFERROR(__xludf.DUMMYFUNCTION("""COMPUTED_VALUE"""),"")</f>
        <v/>
      </c>
      <c r="J4277" s="35" t="str">
        <f>IFERROR(__xludf.DUMMYFUNCTION("""COMPUTED_VALUE"""),"")</f>
        <v/>
      </c>
      <c r="K4277" s="35"/>
      <c r="L4277" s="35"/>
      <c r="M4277" s="35"/>
      <c r="N4277" s="35"/>
      <c r="O4277" s="35"/>
      <c r="P4277" s="35"/>
      <c r="Q4277" s="35"/>
      <c r="R4277" s="35"/>
      <c r="S4277" s="74"/>
      <c r="T4277" s="35"/>
      <c r="U4277" s="35"/>
      <c r="V4277" s="35"/>
      <c r="W4277" s="45"/>
    </row>
    <row r="4278">
      <c r="A4278" s="45"/>
      <c r="B4278" s="35"/>
      <c r="C4278" s="35"/>
      <c r="D4278" s="10"/>
      <c r="E4278" s="35" t="str">
        <f>IFERROR(__xludf.DUMMYFUNCTION("""COMPUTED_VALUE"""),"")</f>
        <v/>
      </c>
      <c r="F4278" s="35" t="str">
        <f>IFERROR(__xludf.DUMMYFUNCTION("""COMPUTED_VALUE"""),"1899")</f>
        <v>1899</v>
      </c>
      <c r="G4278" s="35"/>
      <c r="H4278" s="35" t="str">
        <f>IFERROR(__xludf.DUMMYFUNCTION("""COMPUTED_VALUE"""),"")</f>
        <v/>
      </c>
      <c r="I4278" s="35" t="str">
        <f>IFERROR(__xludf.DUMMYFUNCTION("""COMPUTED_VALUE"""),"")</f>
        <v/>
      </c>
      <c r="J4278" s="35" t="str">
        <f>IFERROR(__xludf.DUMMYFUNCTION("""COMPUTED_VALUE"""),"")</f>
        <v/>
      </c>
      <c r="K4278" s="35"/>
      <c r="L4278" s="35"/>
      <c r="M4278" s="35"/>
      <c r="N4278" s="35"/>
      <c r="O4278" s="35"/>
      <c r="P4278" s="35"/>
      <c r="Q4278" s="35"/>
      <c r="R4278" s="35"/>
      <c r="S4278" s="74"/>
      <c r="T4278" s="35"/>
      <c r="U4278" s="35"/>
      <c r="V4278" s="35"/>
      <c r="W4278" s="45"/>
    </row>
    <row r="4279">
      <c r="A4279" s="45"/>
      <c r="B4279" s="35"/>
      <c r="C4279" s="35"/>
      <c r="D4279" s="10"/>
      <c r="E4279" s="35" t="str">
        <f>IFERROR(__xludf.DUMMYFUNCTION("""COMPUTED_VALUE"""),"")</f>
        <v/>
      </c>
      <c r="F4279" s="35" t="str">
        <f>IFERROR(__xludf.DUMMYFUNCTION("""COMPUTED_VALUE"""),"1899")</f>
        <v>1899</v>
      </c>
      <c r="G4279" s="35"/>
      <c r="H4279" s="35" t="str">
        <f>IFERROR(__xludf.DUMMYFUNCTION("""COMPUTED_VALUE"""),"")</f>
        <v/>
      </c>
      <c r="I4279" s="35" t="str">
        <f>IFERROR(__xludf.DUMMYFUNCTION("""COMPUTED_VALUE"""),"")</f>
        <v/>
      </c>
      <c r="J4279" s="35" t="str">
        <f>IFERROR(__xludf.DUMMYFUNCTION("""COMPUTED_VALUE"""),"")</f>
        <v/>
      </c>
      <c r="K4279" s="35"/>
      <c r="L4279" s="35"/>
      <c r="M4279" s="35"/>
      <c r="N4279" s="35"/>
      <c r="O4279" s="35"/>
      <c r="P4279" s="35"/>
      <c r="Q4279" s="35"/>
      <c r="R4279" s="35"/>
      <c r="S4279" s="74"/>
      <c r="T4279" s="35"/>
      <c r="U4279" s="35"/>
      <c r="V4279" s="35"/>
      <c r="W4279" s="45"/>
    </row>
    <row r="4280">
      <c r="A4280" s="45"/>
      <c r="B4280" s="35"/>
      <c r="C4280" s="35"/>
      <c r="D4280" s="10"/>
      <c r="E4280" s="35" t="str">
        <f>IFERROR(__xludf.DUMMYFUNCTION("""COMPUTED_VALUE"""),"")</f>
        <v/>
      </c>
      <c r="F4280" s="35" t="str">
        <f>IFERROR(__xludf.DUMMYFUNCTION("""COMPUTED_VALUE"""),"1899")</f>
        <v>1899</v>
      </c>
      <c r="G4280" s="35"/>
      <c r="H4280" s="35" t="str">
        <f>IFERROR(__xludf.DUMMYFUNCTION("""COMPUTED_VALUE"""),"")</f>
        <v/>
      </c>
      <c r="I4280" s="35" t="str">
        <f>IFERROR(__xludf.DUMMYFUNCTION("""COMPUTED_VALUE"""),"")</f>
        <v/>
      </c>
      <c r="J4280" s="35" t="str">
        <f>IFERROR(__xludf.DUMMYFUNCTION("""COMPUTED_VALUE"""),"")</f>
        <v/>
      </c>
      <c r="K4280" s="35"/>
      <c r="L4280" s="35"/>
      <c r="M4280" s="35"/>
      <c r="N4280" s="35"/>
      <c r="O4280" s="35"/>
      <c r="P4280" s="35"/>
      <c r="Q4280" s="35"/>
      <c r="R4280" s="35"/>
      <c r="S4280" s="74"/>
      <c r="T4280" s="35"/>
      <c r="U4280" s="35"/>
      <c r="V4280" s="35"/>
      <c r="W4280" s="45"/>
    </row>
    <row r="4281">
      <c r="A4281" s="45"/>
      <c r="B4281" s="35"/>
      <c r="C4281" s="35"/>
      <c r="D4281" s="10"/>
      <c r="E4281" s="35" t="str">
        <f>IFERROR(__xludf.DUMMYFUNCTION("""COMPUTED_VALUE"""),"")</f>
        <v/>
      </c>
      <c r="F4281" s="35" t="str">
        <f>IFERROR(__xludf.DUMMYFUNCTION("""COMPUTED_VALUE"""),"1899")</f>
        <v>1899</v>
      </c>
      <c r="G4281" s="35"/>
      <c r="H4281" s="35" t="str">
        <f>IFERROR(__xludf.DUMMYFUNCTION("""COMPUTED_VALUE"""),"")</f>
        <v/>
      </c>
      <c r="I4281" s="35" t="str">
        <f>IFERROR(__xludf.DUMMYFUNCTION("""COMPUTED_VALUE"""),"")</f>
        <v/>
      </c>
      <c r="J4281" s="35" t="str">
        <f>IFERROR(__xludf.DUMMYFUNCTION("""COMPUTED_VALUE"""),"")</f>
        <v/>
      </c>
      <c r="K4281" s="35"/>
      <c r="L4281" s="35"/>
      <c r="M4281" s="35"/>
      <c r="N4281" s="35"/>
      <c r="O4281" s="35"/>
      <c r="P4281" s="35"/>
      <c r="Q4281" s="35"/>
      <c r="R4281" s="35"/>
      <c r="S4281" s="74"/>
      <c r="T4281" s="35"/>
      <c r="U4281" s="35"/>
      <c r="V4281" s="35"/>
      <c r="W4281" s="45"/>
    </row>
    <row r="4282">
      <c r="A4282" s="45"/>
      <c r="B4282" s="35"/>
      <c r="C4282" s="35"/>
      <c r="D4282" s="10"/>
      <c r="E4282" s="35" t="str">
        <f>IFERROR(__xludf.DUMMYFUNCTION("""COMPUTED_VALUE"""),"")</f>
        <v/>
      </c>
      <c r="F4282" s="35" t="str">
        <f>IFERROR(__xludf.DUMMYFUNCTION("""COMPUTED_VALUE"""),"1899")</f>
        <v>1899</v>
      </c>
      <c r="G4282" s="35"/>
      <c r="H4282" s="35" t="str">
        <f>IFERROR(__xludf.DUMMYFUNCTION("""COMPUTED_VALUE"""),"")</f>
        <v/>
      </c>
      <c r="I4282" s="35" t="str">
        <f>IFERROR(__xludf.DUMMYFUNCTION("""COMPUTED_VALUE"""),"")</f>
        <v/>
      </c>
      <c r="J4282" s="35" t="str">
        <f>IFERROR(__xludf.DUMMYFUNCTION("""COMPUTED_VALUE"""),"")</f>
        <v/>
      </c>
      <c r="K4282" s="35"/>
      <c r="L4282" s="35"/>
      <c r="M4282" s="35"/>
      <c r="N4282" s="35"/>
      <c r="O4282" s="35"/>
      <c r="P4282" s="35"/>
      <c r="Q4282" s="35"/>
      <c r="R4282" s="35"/>
      <c r="S4282" s="74"/>
      <c r="T4282" s="35"/>
      <c r="U4282" s="35"/>
      <c r="V4282" s="35"/>
      <c r="W4282" s="45"/>
    </row>
    <row r="4283">
      <c r="A4283" s="45"/>
      <c r="B4283" s="35"/>
      <c r="C4283" s="35"/>
      <c r="D4283" s="10"/>
      <c r="E4283" s="35" t="str">
        <f>IFERROR(__xludf.DUMMYFUNCTION("""COMPUTED_VALUE"""),"")</f>
        <v/>
      </c>
      <c r="F4283" s="35" t="str">
        <f>IFERROR(__xludf.DUMMYFUNCTION("""COMPUTED_VALUE"""),"1899")</f>
        <v>1899</v>
      </c>
      <c r="G4283" s="35"/>
      <c r="H4283" s="35" t="str">
        <f>IFERROR(__xludf.DUMMYFUNCTION("""COMPUTED_VALUE"""),"")</f>
        <v/>
      </c>
      <c r="I4283" s="35" t="str">
        <f>IFERROR(__xludf.DUMMYFUNCTION("""COMPUTED_VALUE"""),"")</f>
        <v/>
      </c>
      <c r="J4283" s="35" t="str">
        <f>IFERROR(__xludf.DUMMYFUNCTION("""COMPUTED_VALUE"""),"")</f>
        <v/>
      </c>
      <c r="K4283" s="35"/>
      <c r="L4283" s="35"/>
      <c r="M4283" s="35"/>
      <c r="N4283" s="35"/>
      <c r="O4283" s="35"/>
      <c r="P4283" s="35"/>
      <c r="Q4283" s="35"/>
      <c r="R4283" s="35"/>
      <c r="S4283" s="74"/>
      <c r="T4283" s="35"/>
      <c r="U4283" s="35"/>
      <c r="V4283" s="35"/>
      <c r="W4283" s="45"/>
    </row>
    <row r="4284">
      <c r="A4284" s="45"/>
      <c r="B4284" s="35"/>
      <c r="C4284" s="35"/>
      <c r="D4284" s="10"/>
      <c r="E4284" s="35" t="str">
        <f>IFERROR(__xludf.DUMMYFUNCTION("""COMPUTED_VALUE"""),"")</f>
        <v/>
      </c>
      <c r="F4284" s="35" t="str">
        <f>IFERROR(__xludf.DUMMYFUNCTION("""COMPUTED_VALUE"""),"1899")</f>
        <v>1899</v>
      </c>
      <c r="G4284" s="35"/>
      <c r="H4284" s="35" t="str">
        <f>IFERROR(__xludf.DUMMYFUNCTION("""COMPUTED_VALUE"""),"")</f>
        <v/>
      </c>
      <c r="I4284" s="35" t="str">
        <f>IFERROR(__xludf.DUMMYFUNCTION("""COMPUTED_VALUE"""),"")</f>
        <v/>
      </c>
      <c r="J4284" s="35" t="str">
        <f>IFERROR(__xludf.DUMMYFUNCTION("""COMPUTED_VALUE"""),"")</f>
        <v/>
      </c>
      <c r="K4284" s="35"/>
      <c r="L4284" s="35"/>
      <c r="M4284" s="35"/>
      <c r="N4284" s="35"/>
      <c r="O4284" s="35"/>
      <c r="P4284" s="35"/>
      <c r="Q4284" s="35"/>
      <c r="R4284" s="35"/>
      <c r="S4284" s="74"/>
      <c r="T4284" s="35"/>
      <c r="U4284" s="35"/>
      <c r="V4284" s="35"/>
      <c r="W4284" s="45"/>
    </row>
    <row r="4285">
      <c r="A4285" s="45"/>
      <c r="B4285" s="35"/>
      <c r="C4285" s="35"/>
      <c r="D4285" s="10"/>
      <c r="E4285" s="35" t="str">
        <f>IFERROR(__xludf.DUMMYFUNCTION("""COMPUTED_VALUE"""),"")</f>
        <v/>
      </c>
      <c r="F4285" s="35" t="str">
        <f>IFERROR(__xludf.DUMMYFUNCTION("""COMPUTED_VALUE"""),"1899")</f>
        <v>1899</v>
      </c>
      <c r="G4285" s="35"/>
      <c r="H4285" s="35" t="str">
        <f>IFERROR(__xludf.DUMMYFUNCTION("""COMPUTED_VALUE"""),"")</f>
        <v/>
      </c>
      <c r="I4285" s="35" t="str">
        <f>IFERROR(__xludf.DUMMYFUNCTION("""COMPUTED_VALUE"""),"")</f>
        <v/>
      </c>
      <c r="J4285" s="35" t="str">
        <f>IFERROR(__xludf.DUMMYFUNCTION("""COMPUTED_VALUE"""),"")</f>
        <v/>
      </c>
      <c r="K4285" s="35"/>
      <c r="L4285" s="35"/>
      <c r="M4285" s="35"/>
      <c r="N4285" s="35"/>
      <c r="O4285" s="35"/>
      <c r="P4285" s="35"/>
      <c r="Q4285" s="35"/>
      <c r="R4285" s="35"/>
      <c r="S4285" s="74"/>
      <c r="T4285" s="35"/>
      <c r="U4285" s="35"/>
      <c r="V4285" s="35"/>
      <c r="W4285" s="45"/>
    </row>
    <row r="4286">
      <c r="A4286" s="45"/>
      <c r="B4286" s="35"/>
      <c r="C4286" s="35"/>
      <c r="D4286" s="10"/>
      <c r="E4286" s="35" t="str">
        <f>IFERROR(__xludf.DUMMYFUNCTION("""COMPUTED_VALUE"""),"")</f>
        <v/>
      </c>
      <c r="F4286" s="35" t="str">
        <f>IFERROR(__xludf.DUMMYFUNCTION("""COMPUTED_VALUE"""),"1899")</f>
        <v>1899</v>
      </c>
      <c r="G4286" s="35"/>
      <c r="H4286" s="35" t="str">
        <f>IFERROR(__xludf.DUMMYFUNCTION("""COMPUTED_VALUE"""),"")</f>
        <v/>
      </c>
      <c r="I4286" s="35" t="str">
        <f>IFERROR(__xludf.DUMMYFUNCTION("""COMPUTED_VALUE"""),"")</f>
        <v/>
      </c>
      <c r="J4286" s="35" t="str">
        <f>IFERROR(__xludf.DUMMYFUNCTION("""COMPUTED_VALUE"""),"")</f>
        <v/>
      </c>
      <c r="K4286" s="35"/>
      <c r="L4286" s="35"/>
      <c r="M4286" s="35"/>
      <c r="N4286" s="35"/>
      <c r="O4286" s="35"/>
      <c r="P4286" s="35"/>
      <c r="Q4286" s="35"/>
      <c r="R4286" s="35"/>
      <c r="S4286" s="74"/>
      <c r="T4286" s="35"/>
      <c r="U4286" s="35"/>
      <c r="V4286" s="35"/>
      <c r="W4286" s="45"/>
    </row>
    <row r="4287">
      <c r="A4287" s="45"/>
      <c r="B4287" s="35"/>
      <c r="C4287" s="35"/>
      <c r="D4287" s="10"/>
      <c r="E4287" s="35" t="str">
        <f>IFERROR(__xludf.DUMMYFUNCTION("""COMPUTED_VALUE"""),"")</f>
        <v/>
      </c>
      <c r="F4287" s="35" t="str">
        <f>IFERROR(__xludf.DUMMYFUNCTION("""COMPUTED_VALUE"""),"1899")</f>
        <v>1899</v>
      </c>
      <c r="G4287" s="35"/>
      <c r="H4287" s="35" t="str">
        <f>IFERROR(__xludf.DUMMYFUNCTION("""COMPUTED_VALUE"""),"")</f>
        <v/>
      </c>
      <c r="I4287" s="35" t="str">
        <f>IFERROR(__xludf.DUMMYFUNCTION("""COMPUTED_VALUE"""),"")</f>
        <v/>
      </c>
      <c r="J4287" s="35" t="str">
        <f>IFERROR(__xludf.DUMMYFUNCTION("""COMPUTED_VALUE"""),"")</f>
        <v/>
      </c>
      <c r="K4287" s="35"/>
      <c r="L4287" s="35"/>
      <c r="M4287" s="35"/>
      <c r="N4287" s="35"/>
      <c r="O4287" s="35"/>
      <c r="P4287" s="35"/>
      <c r="Q4287" s="35"/>
      <c r="R4287" s="35"/>
      <c r="S4287" s="74"/>
      <c r="T4287" s="35"/>
      <c r="U4287" s="35"/>
      <c r="V4287" s="35"/>
      <c r="W4287" s="45"/>
    </row>
    <row r="4288">
      <c r="A4288" s="45"/>
      <c r="B4288" s="35"/>
      <c r="C4288" s="35"/>
      <c r="D4288" s="10"/>
      <c r="E4288" s="35" t="str">
        <f>IFERROR(__xludf.DUMMYFUNCTION("""COMPUTED_VALUE"""),"")</f>
        <v/>
      </c>
      <c r="F4288" s="35" t="str">
        <f>IFERROR(__xludf.DUMMYFUNCTION("""COMPUTED_VALUE"""),"1899")</f>
        <v>1899</v>
      </c>
      <c r="G4288" s="35"/>
      <c r="H4288" s="35" t="str">
        <f>IFERROR(__xludf.DUMMYFUNCTION("""COMPUTED_VALUE"""),"")</f>
        <v/>
      </c>
      <c r="I4288" s="35" t="str">
        <f>IFERROR(__xludf.DUMMYFUNCTION("""COMPUTED_VALUE"""),"")</f>
        <v/>
      </c>
      <c r="J4288" s="35" t="str">
        <f>IFERROR(__xludf.DUMMYFUNCTION("""COMPUTED_VALUE"""),"")</f>
        <v/>
      </c>
      <c r="K4288" s="35"/>
      <c r="L4288" s="35"/>
      <c r="M4288" s="35"/>
      <c r="N4288" s="35"/>
      <c r="O4288" s="35"/>
      <c r="P4288" s="35"/>
      <c r="Q4288" s="35"/>
      <c r="R4288" s="35"/>
      <c r="S4288" s="74"/>
      <c r="T4288" s="35"/>
      <c r="U4288" s="35"/>
      <c r="V4288" s="35"/>
      <c r="W4288" s="45"/>
    </row>
    <row r="4289">
      <c r="A4289" s="45"/>
      <c r="B4289" s="35"/>
      <c r="C4289" s="35"/>
      <c r="D4289" s="10"/>
      <c r="E4289" s="35" t="str">
        <f>IFERROR(__xludf.DUMMYFUNCTION("""COMPUTED_VALUE"""),"")</f>
        <v/>
      </c>
      <c r="F4289" s="35" t="str">
        <f>IFERROR(__xludf.DUMMYFUNCTION("""COMPUTED_VALUE"""),"1899")</f>
        <v>1899</v>
      </c>
      <c r="G4289" s="35"/>
      <c r="H4289" s="35" t="str">
        <f>IFERROR(__xludf.DUMMYFUNCTION("""COMPUTED_VALUE"""),"")</f>
        <v/>
      </c>
      <c r="I4289" s="35" t="str">
        <f>IFERROR(__xludf.DUMMYFUNCTION("""COMPUTED_VALUE"""),"")</f>
        <v/>
      </c>
      <c r="J4289" s="35" t="str">
        <f>IFERROR(__xludf.DUMMYFUNCTION("""COMPUTED_VALUE"""),"")</f>
        <v/>
      </c>
      <c r="K4289" s="35"/>
      <c r="L4289" s="35"/>
      <c r="M4289" s="35"/>
      <c r="N4289" s="35"/>
      <c r="O4289" s="35"/>
      <c r="P4289" s="35"/>
      <c r="Q4289" s="35"/>
      <c r="R4289" s="35"/>
      <c r="S4289" s="74"/>
      <c r="T4289" s="35"/>
      <c r="U4289" s="35"/>
      <c r="V4289" s="35"/>
      <c r="W4289" s="45"/>
    </row>
    <row r="4290">
      <c r="A4290" s="45"/>
      <c r="B4290" s="35"/>
      <c r="C4290" s="35"/>
      <c r="D4290" s="10"/>
      <c r="E4290" s="35" t="str">
        <f>IFERROR(__xludf.DUMMYFUNCTION("""COMPUTED_VALUE"""),"")</f>
        <v/>
      </c>
      <c r="F4290" s="35" t="str">
        <f>IFERROR(__xludf.DUMMYFUNCTION("""COMPUTED_VALUE"""),"1899")</f>
        <v>1899</v>
      </c>
      <c r="G4290" s="35"/>
      <c r="H4290" s="35" t="str">
        <f>IFERROR(__xludf.DUMMYFUNCTION("""COMPUTED_VALUE"""),"")</f>
        <v/>
      </c>
      <c r="I4290" s="35" t="str">
        <f>IFERROR(__xludf.DUMMYFUNCTION("""COMPUTED_VALUE"""),"")</f>
        <v/>
      </c>
      <c r="J4290" s="35" t="str">
        <f>IFERROR(__xludf.DUMMYFUNCTION("""COMPUTED_VALUE"""),"")</f>
        <v/>
      </c>
      <c r="K4290" s="35"/>
      <c r="L4290" s="35"/>
      <c r="M4290" s="35"/>
      <c r="N4290" s="35"/>
      <c r="O4290" s="35"/>
      <c r="P4290" s="35"/>
      <c r="Q4290" s="35"/>
      <c r="R4290" s="35"/>
      <c r="S4290" s="74"/>
      <c r="T4290" s="35"/>
      <c r="U4290" s="35"/>
      <c r="V4290" s="35"/>
      <c r="W4290" s="45"/>
    </row>
    <row r="4291">
      <c r="A4291" s="45"/>
      <c r="B4291" s="35"/>
      <c r="C4291" s="35"/>
      <c r="D4291" s="10"/>
      <c r="E4291" s="35" t="str">
        <f>IFERROR(__xludf.DUMMYFUNCTION("""COMPUTED_VALUE"""),"")</f>
        <v/>
      </c>
      <c r="F4291" s="35" t="str">
        <f>IFERROR(__xludf.DUMMYFUNCTION("""COMPUTED_VALUE"""),"1899")</f>
        <v>1899</v>
      </c>
      <c r="G4291" s="35"/>
      <c r="H4291" s="35" t="str">
        <f>IFERROR(__xludf.DUMMYFUNCTION("""COMPUTED_VALUE"""),"")</f>
        <v/>
      </c>
      <c r="I4291" s="35" t="str">
        <f>IFERROR(__xludf.DUMMYFUNCTION("""COMPUTED_VALUE"""),"")</f>
        <v/>
      </c>
      <c r="J4291" s="35" t="str">
        <f>IFERROR(__xludf.DUMMYFUNCTION("""COMPUTED_VALUE"""),"")</f>
        <v/>
      </c>
      <c r="K4291" s="35"/>
      <c r="L4291" s="35"/>
      <c r="M4291" s="35"/>
      <c r="N4291" s="35"/>
      <c r="O4291" s="35"/>
      <c r="P4291" s="35"/>
      <c r="Q4291" s="35"/>
      <c r="R4291" s="35"/>
      <c r="S4291" s="74"/>
      <c r="T4291" s="35"/>
      <c r="U4291" s="35"/>
      <c r="V4291" s="35"/>
      <c r="W4291" s="45"/>
    </row>
    <row r="4292">
      <c r="A4292" s="45"/>
      <c r="B4292" s="35"/>
      <c r="C4292" s="35"/>
      <c r="D4292" s="10"/>
      <c r="E4292" s="35" t="str">
        <f>IFERROR(__xludf.DUMMYFUNCTION("""COMPUTED_VALUE"""),"")</f>
        <v/>
      </c>
      <c r="F4292" s="35" t="str">
        <f>IFERROR(__xludf.DUMMYFUNCTION("""COMPUTED_VALUE"""),"1899")</f>
        <v>1899</v>
      </c>
      <c r="G4292" s="35"/>
      <c r="H4292" s="35" t="str">
        <f>IFERROR(__xludf.DUMMYFUNCTION("""COMPUTED_VALUE"""),"")</f>
        <v/>
      </c>
      <c r="I4292" s="35" t="str">
        <f>IFERROR(__xludf.DUMMYFUNCTION("""COMPUTED_VALUE"""),"")</f>
        <v/>
      </c>
      <c r="J4292" s="35" t="str">
        <f>IFERROR(__xludf.DUMMYFUNCTION("""COMPUTED_VALUE"""),"")</f>
        <v/>
      </c>
      <c r="K4292" s="35"/>
      <c r="L4292" s="35"/>
      <c r="M4292" s="35"/>
      <c r="N4292" s="35"/>
      <c r="O4292" s="35"/>
      <c r="P4292" s="35"/>
      <c r="Q4292" s="35"/>
      <c r="R4292" s="35"/>
      <c r="S4292" s="74"/>
      <c r="T4292" s="35"/>
      <c r="U4292" s="35"/>
      <c r="V4292" s="35"/>
      <c r="W4292" s="45"/>
    </row>
    <row r="4293">
      <c r="A4293" s="45"/>
      <c r="B4293" s="35"/>
      <c r="C4293" s="35"/>
      <c r="D4293" s="10"/>
      <c r="E4293" s="35" t="str">
        <f>IFERROR(__xludf.DUMMYFUNCTION("""COMPUTED_VALUE"""),"")</f>
        <v/>
      </c>
      <c r="F4293" s="35" t="str">
        <f>IFERROR(__xludf.DUMMYFUNCTION("""COMPUTED_VALUE"""),"1899")</f>
        <v>1899</v>
      </c>
      <c r="G4293" s="35"/>
      <c r="H4293" s="35" t="str">
        <f>IFERROR(__xludf.DUMMYFUNCTION("""COMPUTED_VALUE"""),"")</f>
        <v/>
      </c>
      <c r="I4293" s="35" t="str">
        <f>IFERROR(__xludf.DUMMYFUNCTION("""COMPUTED_VALUE"""),"")</f>
        <v/>
      </c>
      <c r="J4293" s="35" t="str">
        <f>IFERROR(__xludf.DUMMYFUNCTION("""COMPUTED_VALUE"""),"")</f>
        <v/>
      </c>
      <c r="K4293" s="35"/>
      <c r="L4293" s="35"/>
      <c r="M4293" s="35"/>
      <c r="N4293" s="35"/>
      <c r="O4293" s="35"/>
      <c r="P4293" s="35"/>
      <c r="Q4293" s="35"/>
      <c r="R4293" s="35"/>
      <c r="S4293" s="74"/>
      <c r="T4293" s="35"/>
      <c r="U4293" s="35"/>
      <c r="V4293" s="35"/>
      <c r="W4293" s="45"/>
    </row>
    <row r="4294">
      <c r="A4294" s="45"/>
      <c r="B4294" s="35"/>
      <c r="C4294" s="35"/>
      <c r="D4294" s="10"/>
      <c r="E4294" s="35" t="str">
        <f>IFERROR(__xludf.DUMMYFUNCTION("""COMPUTED_VALUE"""),"")</f>
        <v/>
      </c>
      <c r="F4294" s="35" t="str">
        <f>IFERROR(__xludf.DUMMYFUNCTION("""COMPUTED_VALUE"""),"1899")</f>
        <v>1899</v>
      </c>
      <c r="G4294" s="35"/>
      <c r="H4294" s="35" t="str">
        <f>IFERROR(__xludf.DUMMYFUNCTION("""COMPUTED_VALUE"""),"")</f>
        <v/>
      </c>
      <c r="I4294" s="35" t="str">
        <f>IFERROR(__xludf.DUMMYFUNCTION("""COMPUTED_VALUE"""),"")</f>
        <v/>
      </c>
      <c r="J4294" s="35" t="str">
        <f>IFERROR(__xludf.DUMMYFUNCTION("""COMPUTED_VALUE"""),"")</f>
        <v/>
      </c>
      <c r="K4294" s="35"/>
      <c r="L4294" s="35"/>
      <c r="M4294" s="35"/>
      <c r="N4294" s="35"/>
      <c r="O4294" s="35"/>
      <c r="P4294" s="35"/>
      <c r="Q4294" s="35"/>
      <c r="R4294" s="35"/>
      <c r="S4294" s="74"/>
      <c r="T4294" s="35"/>
      <c r="U4294" s="35"/>
      <c r="V4294" s="35"/>
      <c r="W4294" s="45"/>
    </row>
    <row r="4295">
      <c r="A4295" s="45"/>
      <c r="B4295" s="35"/>
      <c r="C4295" s="35"/>
      <c r="D4295" s="10"/>
      <c r="E4295" s="35" t="str">
        <f>IFERROR(__xludf.DUMMYFUNCTION("""COMPUTED_VALUE"""),"")</f>
        <v/>
      </c>
      <c r="F4295" s="35" t="str">
        <f>IFERROR(__xludf.DUMMYFUNCTION("""COMPUTED_VALUE"""),"1899")</f>
        <v>1899</v>
      </c>
      <c r="G4295" s="35"/>
      <c r="H4295" s="35" t="str">
        <f>IFERROR(__xludf.DUMMYFUNCTION("""COMPUTED_VALUE"""),"")</f>
        <v/>
      </c>
      <c r="I4295" s="35" t="str">
        <f>IFERROR(__xludf.DUMMYFUNCTION("""COMPUTED_VALUE"""),"")</f>
        <v/>
      </c>
      <c r="J4295" s="35" t="str">
        <f>IFERROR(__xludf.DUMMYFUNCTION("""COMPUTED_VALUE"""),"")</f>
        <v/>
      </c>
      <c r="K4295" s="35"/>
      <c r="L4295" s="35"/>
      <c r="M4295" s="35"/>
      <c r="N4295" s="35"/>
      <c r="O4295" s="35"/>
      <c r="P4295" s="35"/>
      <c r="Q4295" s="35"/>
      <c r="R4295" s="35"/>
      <c r="S4295" s="74"/>
      <c r="T4295" s="35"/>
      <c r="U4295" s="35"/>
      <c r="V4295" s="35"/>
      <c r="W4295" s="45"/>
    </row>
    <row r="4296">
      <c r="A4296" s="45"/>
      <c r="B4296" s="35"/>
      <c r="C4296" s="35"/>
      <c r="D4296" s="10"/>
      <c r="E4296" s="35" t="str">
        <f>IFERROR(__xludf.DUMMYFUNCTION("""COMPUTED_VALUE"""),"")</f>
        <v/>
      </c>
      <c r="F4296" s="35" t="str">
        <f>IFERROR(__xludf.DUMMYFUNCTION("""COMPUTED_VALUE"""),"1899")</f>
        <v>1899</v>
      </c>
      <c r="G4296" s="35"/>
      <c r="H4296" s="35" t="str">
        <f>IFERROR(__xludf.DUMMYFUNCTION("""COMPUTED_VALUE"""),"")</f>
        <v/>
      </c>
      <c r="I4296" s="35" t="str">
        <f>IFERROR(__xludf.DUMMYFUNCTION("""COMPUTED_VALUE"""),"")</f>
        <v/>
      </c>
      <c r="J4296" s="35" t="str">
        <f>IFERROR(__xludf.DUMMYFUNCTION("""COMPUTED_VALUE"""),"")</f>
        <v/>
      </c>
      <c r="K4296" s="35"/>
      <c r="L4296" s="35"/>
      <c r="M4296" s="35"/>
      <c r="N4296" s="35"/>
      <c r="O4296" s="35"/>
      <c r="P4296" s="35"/>
      <c r="Q4296" s="35"/>
      <c r="R4296" s="35"/>
      <c r="S4296" s="74"/>
      <c r="T4296" s="35"/>
      <c r="U4296" s="35"/>
      <c r="V4296" s="35"/>
      <c r="W4296" s="45"/>
    </row>
    <row r="4297">
      <c r="A4297" s="45"/>
      <c r="B4297" s="35"/>
      <c r="C4297" s="35"/>
      <c r="D4297" s="10"/>
      <c r="E4297" s="35" t="str">
        <f>IFERROR(__xludf.DUMMYFUNCTION("""COMPUTED_VALUE"""),"")</f>
        <v/>
      </c>
      <c r="F4297" s="35" t="str">
        <f>IFERROR(__xludf.DUMMYFUNCTION("""COMPUTED_VALUE"""),"1899")</f>
        <v>1899</v>
      </c>
      <c r="G4297" s="35"/>
      <c r="H4297" s="35" t="str">
        <f>IFERROR(__xludf.DUMMYFUNCTION("""COMPUTED_VALUE"""),"")</f>
        <v/>
      </c>
      <c r="I4297" s="35" t="str">
        <f>IFERROR(__xludf.DUMMYFUNCTION("""COMPUTED_VALUE"""),"")</f>
        <v/>
      </c>
      <c r="J4297" s="35" t="str">
        <f>IFERROR(__xludf.DUMMYFUNCTION("""COMPUTED_VALUE"""),"")</f>
        <v/>
      </c>
      <c r="K4297" s="35"/>
      <c r="L4297" s="35"/>
      <c r="M4297" s="35"/>
      <c r="N4297" s="35"/>
      <c r="O4297" s="35"/>
      <c r="P4297" s="35"/>
      <c r="Q4297" s="35"/>
      <c r="R4297" s="35"/>
      <c r="S4297" s="74"/>
      <c r="T4297" s="35"/>
      <c r="U4297" s="35"/>
      <c r="V4297" s="35"/>
      <c r="W4297" s="45"/>
    </row>
    <row r="4298">
      <c r="A4298" s="45"/>
      <c r="B4298" s="35"/>
      <c r="C4298" s="35"/>
      <c r="D4298" s="10"/>
      <c r="E4298" s="35" t="str">
        <f>IFERROR(__xludf.DUMMYFUNCTION("""COMPUTED_VALUE"""),"")</f>
        <v/>
      </c>
      <c r="F4298" s="35" t="str">
        <f>IFERROR(__xludf.DUMMYFUNCTION("""COMPUTED_VALUE"""),"1899")</f>
        <v>1899</v>
      </c>
      <c r="G4298" s="35"/>
      <c r="H4298" s="35" t="str">
        <f>IFERROR(__xludf.DUMMYFUNCTION("""COMPUTED_VALUE"""),"")</f>
        <v/>
      </c>
      <c r="I4298" s="35" t="str">
        <f>IFERROR(__xludf.DUMMYFUNCTION("""COMPUTED_VALUE"""),"")</f>
        <v/>
      </c>
      <c r="J4298" s="35" t="str">
        <f>IFERROR(__xludf.DUMMYFUNCTION("""COMPUTED_VALUE"""),"")</f>
        <v/>
      </c>
      <c r="K4298" s="35"/>
      <c r="L4298" s="35"/>
      <c r="M4298" s="35"/>
      <c r="N4298" s="35"/>
      <c r="O4298" s="35"/>
      <c r="P4298" s="35"/>
      <c r="Q4298" s="35"/>
      <c r="R4298" s="35"/>
      <c r="S4298" s="74"/>
      <c r="T4298" s="35"/>
      <c r="U4298" s="35"/>
      <c r="V4298" s="35"/>
      <c r="W4298" s="45"/>
    </row>
    <row r="4299">
      <c r="A4299" s="45"/>
      <c r="B4299" s="35"/>
      <c r="C4299" s="35"/>
      <c r="D4299" s="10"/>
      <c r="E4299" s="35" t="str">
        <f>IFERROR(__xludf.DUMMYFUNCTION("""COMPUTED_VALUE"""),"")</f>
        <v/>
      </c>
      <c r="F4299" s="35" t="str">
        <f>IFERROR(__xludf.DUMMYFUNCTION("""COMPUTED_VALUE"""),"1899")</f>
        <v>1899</v>
      </c>
      <c r="G4299" s="35"/>
      <c r="H4299" s="35" t="str">
        <f>IFERROR(__xludf.DUMMYFUNCTION("""COMPUTED_VALUE"""),"")</f>
        <v/>
      </c>
      <c r="I4299" s="35" t="str">
        <f>IFERROR(__xludf.DUMMYFUNCTION("""COMPUTED_VALUE"""),"")</f>
        <v/>
      </c>
      <c r="J4299" s="35" t="str">
        <f>IFERROR(__xludf.DUMMYFUNCTION("""COMPUTED_VALUE"""),"")</f>
        <v/>
      </c>
      <c r="K4299" s="35"/>
      <c r="L4299" s="35"/>
      <c r="M4299" s="35"/>
      <c r="N4299" s="35"/>
      <c r="O4299" s="35"/>
      <c r="P4299" s="35"/>
      <c r="Q4299" s="35"/>
      <c r="R4299" s="35"/>
      <c r="S4299" s="74"/>
      <c r="T4299" s="35"/>
      <c r="U4299" s="35"/>
      <c r="V4299" s="35"/>
      <c r="W4299" s="45"/>
    </row>
    <row r="4300">
      <c r="A4300" s="45"/>
      <c r="B4300" s="35"/>
      <c r="C4300" s="35"/>
      <c r="D4300" s="10"/>
      <c r="E4300" s="35" t="str">
        <f>IFERROR(__xludf.DUMMYFUNCTION("""COMPUTED_VALUE"""),"")</f>
        <v/>
      </c>
      <c r="F4300" s="35" t="str">
        <f>IFERROR(__xludf.DUMMYFUNCTION("""COMPUTED_VALUE"""),"1899")</f>
        <v>1899</v>
      </c>
      <c r="G4300" s="35"/>
      <c r="H4300" s="35" t="str">
        <f>IFERROR(__xludf.DUMMYFUNCTION("""COMPUTED_VALUE"""),"")</f>
        <v/>
      </c>
      <c r="I4300" s="35" t="str">
        <f>IFERROR(__xludf.DUMMYFUNCTION("""COMPUTED_VALUE"""),"")</f>
        <v/>
      </c>
      <c r="J4300" s="35" t="str">
        <f>IFERROR(__xludf.DUMMYFUNCTION("""COMPUTED_VALUE"""),"")</f>
        <v/>
      </c>
      <c r="K4300" s="35"/>
      <c r="L4300" s="35"/>
      <c r="M4300" s="35"/>
      <c r="N4300" s="35"/>
      <c r="O4300" s="35"/>
      <c r="P4300" s="35"/>
      <c r="Q4300" s="35"/>
      <c r="R4300" s="35"/>
      <c r="S4300" s="74"/>
      <c r="T4300" s="35"/>
      <c r="U4300" s="35"/>
      <c r="V4300" s="35"/>
      <c r="W4300" s="45"/>
    </row>
    <row r="4301">
      <c r="A4301" s="45"/>
      <c r="B4301" s="35"/>
      <c r="C4301" s="35"/>
      <c r="D4301" s="10"/>
      <c r="E4301" s="35" t="str">
        <f>IFERROR(__xludf.DUMMYFUNCTION("""COMPUTED_VALUE"""),"")</f>
        <v/>
      </c>
      <c r="F4301" s="35" t="str">
        <f>IFERROR(__xludf.DUMMYFUNCTION("""COMPUTED_VALUE"""),"1899")</f>
        <v>1899</v>
      </c>
      <c r="G4301" s="35"/>
      <c r="H4301" s="35" t="str">
        <f>IFERROR(__xludf.DUMMYFUNCTION("""COMPUTED_VALUE"""),"")</f>
        <v/>
      </c>
      <c r="I4301" s="35" t="str">
        <f>IFERROR(__xludf.DUMMYFUNCTION("""COMPUTED_VALUE"""),"")</f>
        <v/>
      </c>
      <c r="J4301" s="35" t="str">
        <f>IFERROR(__xludf.DUMMYFUNCTION("""COMPUTED_VALUE"""),"")</f>
        <v/>
      </c>
      <c r="K4301" s="35"/>
      <c r="L4301" s="35"/>
      <c r="M4301" s="35"/>
      <c r="N4301" s="35"/>
      <c r="O4301" s="35"/>
      <c r="P4301" s="35"/>
      <c r="Q4301" s="35"/>
      <c r="R4301" s="35"/>
      <c r="S4301" s="74"/>
      <c r="T4301" s="35"/>
      <c r="U4301" s="35"/>
      <c r="V4301" s="35"/>
      <c r="W4301" s="45"/>
    </row>
    <row r="4302">
      <c r="A4302" s="45"/>
      <c r="B4302" s="35"/>
      <c r="C4302" s="35"/>
      <c r="D4302" s="10"/>
      <c r="E4302" s="35" t="str">
        <f>IFERROR(__xludf.DUMMYFUNCTION("""COMPUTED_VALUE"""),"")</f>
        <v/>
      </c>
      <c r="F4302" s="35" t="str">
        <f>IFERROR(__xludf.DUMMYFUNCTION("""COMPUTED_VALUE"""),"1899")</f>
        <v>1899</v>
      </c>
      <c r="G4302" s="35"/>
      <c r="H4302" s="35" t="str">
        <f>IFERROR(__xludf.DUMMYFUNCTION("""COMPUTED_VALUE"""),"")</f>
        <v/>
      </c>
      <c r="I4302" s="35" t="str">
        <f>IFERROR(__xludf.DUMMYFUNCTION("""COMPUTED_VALUE"""),"")</f>
        <v/>
      </c>
      <c r="J4302" s="35" t="str">
        <f>IFERROR(__xludf.DUMMYFUNCTION("""COMPUTED_VALUE"""),"")</f>
        <v/>
      </c>
      <c r="K4302" s="35"/>
      <c r="L4302" s="35"/>
      <c r="M4302" s="35"/>
      <c r="N4302" s="35"/>
      <c r="O4302" s="35"/>
      <c r="P4302" s="35"/>
      <c r="Q4302" s="35"/>
      <c r="R4302" s="35"/>
      <c r="S4302" s="74"/>
      <c r="T4302" s="35"/>
      <c r="U4302" s="35"/>
      <c r="V4302" s="35"/>
      <c r="W4302" s="45"/>
    </row>
    <row r="4303">
      <c r="A4303" s="45"/>
      <c r="B4303" s="35"/>
      <c r="C4303" s="35"/>
      <c r="D4303" s="10"/>
      <c r="E4303" s="35" t="str">
        <f>IFERROR(__xludf.DUMMYFUNCTION("""COMPUTED_VALUE"""),"")</f>
        <v/>
      </c>
      <c r="F4303" s="35" t="str">
        <f>IFERROR(__xludf.DUMMYFUNCTION("""COMPUTED_VALUE"""),"1899")</f>
        <v>1899</v>
      </c>
      <c r="G4303" s="35"/>
      <c r="H4303" s="35" t="str">
        <f>IFERROR(__xludf.DUMMYFUNCTION("""COMPUTED_VALUE"""),"")</f>
        <v/>
      </c>
      <c r="I4303" s="35" t="str">
        <f>IFERROR(__xludf.DUMMYFUNCTION("""COMPUTED_VALUE"""),"")</f>
        <v/>
      </c>
      <c r="J4303" s="35" t="str">
        <f>IFERROR(__xludf.DUMMYFUNCTION("""COMPUTED_VALUE"""),"")</f>
        <v/>
      </c>
      <c r="K4303" s="35"/>
      <c r="L4303" s="35"/>
      <c r="M4303" s="35"/>
      <c r="N4303" s="35"/>
      <c r="O4303" s="35"/>
      <c r="P4303" s="35"/>
      <c r="Q4303" s="35"/>
      <c r="R4303" s="35"/>
      <c r="S4303" s="74"/>
      <c r="T4303" s="35"/>
      <c r="U4303" s="35"/>
      <c r="V4303" s="35"/>
      <c r="W4303" s="45"/>
    </row>
    <row r="4304">
      <c r="A4304" s="45"/>
      <c r="B4304" s="35"/>
      <c r="C4304" s="35"/>
      <c r="D4304" s="10"/>
      <c r="E4304" s="35" t="str">
        <f>IFERROR(__xludf.DUMMYFUNCTION("""COMPUTED_VALUE"""),"")</f>
        <v/>
      </c>
      <c r="F4304" s="35" t="str">
        <f>IFERROR(__xludf.DUMMYFUNCTION("""COMPUTED_VALUE"""),"1899")</f>
        <v>1899</v>
      </c>
      <c r="G4304" s="35"/>
      <c r="H4304" s="35" t="str">
        <f>IFERROR(__xludf.DUMMYFUNCTION("""COMPUTED_VALUE"""),"")</f>
        <v/>
      </c>
      <c r="I4304" s="35" t="str">
        <f>IFERROR(__xludf.DUMMYFUNCTION("""COMPUTED_VALUE"""),"")</f>
        <v/>
      </c>
      <c r="J4304" s="35" t="str">
        <f>IFERROR(__xludf.DUMMYFUNCTION("""COMPUTED_VALUE"""),"")</f>
        <v/>
      </c>
      <c r="K4304" s="35"/>
      <c r="L4304" s="35"/>
      <c r="M4304" s="35"/>
      <c r="N4304" s="35"/>
      <c r="O4304" s="35"/>
      <c r="P4304" s="35"/>
      <c r="Q4304" s="35"/>
      <c r="R4304" s="35"/>
      <c r="S4304" s="74"/>
      <c r="T4304" s="35"/>
      <c r="U4304" s="35"/>
      <c r="V4304" s="35"/>
      <c r="W4304" s="45"/>
    </row>
    <row r="4305">
      <c r="A4305" s="45"/>
      <c r="B4305" s="35"/>
      <c r="C4305" s="35"/>
      <c r="D4305" s="10"/>
      <c r="E4305" s="35" t="str">
        <f>IFERROR(__xludf.DUMMYFUNCTION("""COMPUTED_VALUE"""),"")</f>
        <v/>
      </c>
      <c r="F4305" s="35" t="str">
        <f>IFERROR(__xludf.DUMMYFUNCTION("""COMPUTED_VALUE"""),"1899")</f>
        <v>1899</v>
      </c>
      <c r="G4305" s="35"/>
      <c r="H4305" s="35" t="str">
        <f>IFERROR(__xludf.DUMMYFUNCTION("""COMPUTED_VALUE"""),"")</f>
        <v/>
      </c>
      <c r="I4305" s="35" t="str">
        <f>IFERROR(__xludf.DUMMYFUNCTION("""COMPUTED_VALUE"""),"")</f>
        <v/>
      </c>
      <c r="J4305" s="35" t="str">
        <f>IFERROR(__xludf.DUMMYFUNCTION("""COMPUTED_VALUE"""),"")</f>
        <v/>
      </c>
      <c r="K4305" s="35"/>
      <c r="L4305" s="35"/>
      <c r="M4305" s="35"/>
      <c r="N4305" s="35"/>
      <c r="O4305" s="35"/>
      <c r="P4305" s="35"/>
      <c r="Q4305" s="35"/>
      <c r="R4305" s="35"/>
      <c r="S4305" s="74"/>
      <c r="T4305" s="35"/>
      <c r="U4305" s="35"/>
      <c r="V4305" s="35"/>
      <c r="W4305" s="45"/>
    </row>
    <row r="4306">
      <c r="A4306" s="45"/>
      <c r="B4306" s="35"/>
      <c r="C4306" s="35"/>
      <c r="D4306" s="10"/>
      <c r="E4306" s="35" t="str">
        <f>IFERROR(__xludf.DUMMYFUNCTION("""COMPUTED_VALUE"""),"")</f>
        <v/>
      </c>
      <c r="F4306" s="35" t="str">
        <f>IFERROR(__xludf.DUMMYFUNCTION("""COMPUTED_VALUE"""),"1899")</f>
        <v>1899</v>
      </c>
      <c r="G4306" s="35"/>
      <c r="H4306" s="35" t="str">
        <f>IFERROR(__xludf.DUMMYFUNCTION("""COMPUTED_VALUE"""),"")</f>
        <v/>
      </c>
      <c r="I4306" s="35" t="str">
        <f>IFERROR(__xludf.DUMMYFUNCTION("""COMPUTED_VALUE"""),"")</f>
        <v/>
      </c>
      <c r="J4306" s="35" t="str">
        <f>IFERROR(__xludf.DUMMYFUNCTION("""COMPUTED_VALUE"""),"")</f>
        <v/>
      </c>
      <c r="K4306" s="35"/>
      <c r="L4306" s="35"/>
      <c r="M4306" s="35"/>
      <c r="N4306" s="35"/>
      <c r="O4306" s="35"/>
      <c r="P4306" s="35"/>
      <c r="Q4306" s="35"/>
      <c r="R4306" s="35"/>
      <c r="S4306" s="74"/>
      <c r="T4306" s="35"/>
      <c r="U4306" s="35"/>
      <c r="V4306" s="35"/>
      <c r="W4306" s="45"/>
    </row>
    <row r="4307">
      <c r="A4307" s="45"/>
      <c r="B4307" s="35"/>
      <c r="C4307" s="35"/>
      <c r="D4307" s="10"/>
      <c r="E4307" s="35" t="str">
        <f>IFERROR(__xludf.DUMMYFUNCTION("""COMPUTED_VALUE"""),"")</f>
        <v/>
      </c>
      <c r="F4307" s="35" t="str">
        <f>IFERROR(__xludf.DUMMYFUNCTION("""COMPUTED_VALUE"""),"1899")</f>
        <v>1899</v>
      </c>
      <c r="G4307" s="35"/>
      <c r="H4307" s="35" t="str">
        <f>IFERROR(__xludf.DUMMYFUNCTION("""COMPUTED_VALUE"""),"")</f>
        <v/>
      </c>
      <c r="I4307" s="35" t="str">
        <f>IFERROR(__xludf.DUMMYFUNCTION("""COMPUTED_VALUE"""),"")</f>
        <v/>
      </c>
      <c r="J4307" s="35" t="str">
        <f>IFERROR(__xludf.DUMMYFUNCTION("""COMPUTED_VALUE"""),"")</f>
        <v/>
      </c>
      <c r="K4307" s="35"/>
      <c r="L4307" s="35"/>
      <c r="M4307" s="35"/>
      <c r="N4307" s="35"/>
      <c r="O4307" s="35"/>
      <c r="P4307" s="35"/>
      <c r="Q4307" s="35"/>
      <c r="R4307" s="35"/>
      <c r="S4307" s="74"/>
      <c r="T4307" s="35"/>
      <c r="U4307" s="35"/>
      <c r="V4307" s="35"/>
      <c r="W4307" s="45"/>
    </row>
    <row r="4308">
      <c r="A4308" s="45"/>
      <c r="B4308" s="35"/>
      <c r="C4308" s="35"/>
      <c r="D4308" s="10"/>
      <c r="E4308" s="35" t="str">
        <f>IFERROR(__xludf.DUMMYFUNCTION("""COMPUTED_VALUE"""),"")</f>
        <v/>
      </c>
      <c r="F4308" s="35" t="str">
        <f>IFERROR(__xludf.DUMMYFUNCTION("""COMPUTED_VALUE"""),"1899")</f>
        <v>1899</v>
      </c>
      <c r="G4308" s="35"/>
      <c r="H4308" s="35" t="str">
        <f>IFERROR(__xludf.DUMMYFUNCTION("""COMPUTED_VALUE"""),"")</f>
        <v/>
      </c>
      <c r="I4308" s="35" t="str">
        <f>IFERROR(__xludf.DUMMYFUNCTION("""COMPUTED_VALUE"""),"")</f>
        <v/>
      </c>
      <c r="J4308" s="35" t="str">
        <f>IFERROR(__xludf.DUMMYFUNCTION("""COMPUTED_VALUE"""),"")</f>
        <v/>
      </c>
      <c r="K4308" s="35"/>
      <c r="L4308" s="35"/>
      <c r="M4308" s="35"/>
      <c r="N4308" s="35"/>
      <c r="O4308" s="35"/>
      <c r="P4308" s="35"/>
      <c r="Q4308" s="35"/>
      <c r="R4308" s="35"/>
      <c r="S4308" s="74"/>
      <c r="T4308" s="35"/>
      <c r="U4308" s="35"/>
      <c r="V4308" s="35"/>
      <c r="W4308" s="45"/>
    </row>
    <row r="4309">
      <c r="A4309" s="45"/>
      <c r="B4309" s="35"/>
      <c r="C4309" s="35"/>
      <c r="D4309" s="10"/>
      <c r="E4309" s="35" t="str">
        <f>IFERROR(__xludf.DUMMYFUNCTION("""COMPUTED_VALUE"""),"")</f>
        <v/>
      </c>
      <c r="F4309" s="35" t="str">
        <f>IFERROR(__xludf.DUMMYFUNCTION("""COMPUTED_VALUE"""),"1899")</f>
        <v>1899</v>
      </c>
      <c r="G4309" s="35"/>
      <c r="H4309" s="35" t="str">
        <f>IFERROR(__xludf.DUMMYFUNCTION("""COMPUTED_VALUE"""),"")</f>
        <v/>
      </c>
      <c r="I4309" s="35" t="str">
        <f>IFERROR(__xludf.DUMMYFUNCTION("""COMPUTED_VALUE"""),"")</f>
        <v/>
      </c>
      <c r="J4309" s="35" t="str">
        <f>IFERROR(__xludf.DUMMYFUNCTION("""COMPUTED_VALUE"""),"")</f>
        <v/>
      </c>
      <c r="K4309" s="35"/>
      <c r="L4309" s="35"/>
      <c r="M4309" s="35"/>
      <c r="N4309" s="35"/>
      <c r="O4309" s="35"/>
      <c r="P4309" s="35"/>
      <c r="Q4309" s="35"/>
      <c r="R4309" s="35"/>
      <c r="S4309" s="74"/>
      <c r="T4309" s="35"/>
      <c r="U4309" s="35"/>
      <c r="V4309" s="35"/>
      <c r="W4309" s="45"/>
    </row>
    <row r="4310">
      <c r="A4310" s="45"/>
      <c r="B4310" s="35"/>
      <c r="C4310" s="35"/>
      <c r="D4310" s="10"/>
      <c r="E4310" s="35" t="str">
        <f>IFERROR(__xludf.DUMMYFUNCTION("""COMPUTED_VALUE"""),"")</f>
        <v/>
      </c>
      <c r="F4310" s="35" t="str">
        <f>IFERROR(__xludf.DUMMYFUNCTION("""COMPUTED_VALUE"""),"1899")</f>
        <v>1899</v>
      </c>
      <c r="G4310" s="35"/>
      <c r="H4310" s="35" t="str">
        <f>IFERROR(__xludf.DUMMYFUNCTION("""COMPUTED_VALUE"""),"")</f>
        <v/>
      </c>
      <c r="I4310" s="35" t="str">
        <f>IFERROR(__xludf.DUMMYFUNCTION("""COMPUTED_VALUE"""),"")</f>
        <v/>
      </c>
      <c r="J4310" s="35" t="str">
        <f>IFERROR(__xludf.DUMMYFUNCTION("""COMPUTED_VALUE"""),"")</f>
        <v/>
      </c>
      <c r="K4310" s="35"/>
      <c r="L4310" s="35"/>
      <c r="M4310" s="35"/>
      <c r="N4310" s="35"/>
      <c r="O4310" s="35"/>
      <c r="P4310" s="35"/>
      <c r="Q4310" s="35"/>
      <c r="R4310" s="35"/>
      <c r="S4310" s="74"/>
      <c r="T4310" s="35"/>
      <c r="U4310" s="35"/>
      <c r="V4310" s="35"/>
      <c r="W4310" s="45"/>
    </row>
    <row r="4311">
      <c r="A4311" s="45"/>
      <c r="B4311" s="35"/>
      <c r="C4311" s="35"/>
      <c r="D4311" s="10"/>
      <c r="E4311" s="35" t="str">
        <f>IFERROR(__xludf.DUMMYFUNCTION("""COMPUTED_VALUE"""),"")</f>
        <v/>
      </c>
      <c r="F4311" s="35" t="str">
        <f>IFERROR(__xludf.DUMMYFUNCTION("""COMPUTED_VALUE"""),"1899")</f>
        <v>1899</v>
      </c>
      <c r="G4311" s="35"/>
      <c r="H4311" s="35" t="str">
        <f>IFERROR(__xludf.DUMMYFUNCTION("""COMPUTED_VALUE"""),"")</f>
        <v/>
      </c>
      <c r="I4311" s="35" t="str">
        <f>IFERROR(__xludf.DUMMYFUNCTION("""COMPUTED_VALUE"""),"")</f>
        <v/>
      </c>
      <c r="J4311" s="35" t="str">
        <f>IFERROR(__xludf.DUMMYFUNCTION("""COMPUTED_VALUE"""),"")</f>
        <v/>
      </c>
      <c r="K4311" s="35"/>
      <c r="L4311" s="35"/>
      <c r="M4311" s="35"/>
      <c r="N4311" s="35"/>
      <c r="O4311" s="35"/>
      <c r="P4311" s="35"/>
      <c r="Q4311" s="35"/>
      <c r="R4311" s="35"/>
      <c r="S4311" s="74"/>
      <c r="T4311" s="35"/>
      <c r="U4311" s="35"/>
      <c r="V4311" s="35"/>
      <c r="W4311" s="45"/>
    </row>
    <row r="4312">
      <c r="A4312" s="45"/>
      <c r="B4312" s="35"/>
      <c r="C4312" s="35"/>
      <c r="D4312" s="10"/>
      <c r="E4312" s="35" t="str">
        <f>IFERROR(__xludf.DUMMYFUNCTION("""COMPUTED_VALUE"""),"")</f>
        <v/>
      </c>
      <c r="F4312" s="35" t="str">
        <f>IFERROR(__xludf.DUMMYFUNCTION("""COMPUTED_VALUE"""),"1899")</f>
        <v>1899</v>
      </c>
      <c r="G4312" s="35"/>
      <c r="H4312" s="35" t="str">
        <f>IFERROR(__xludf.DUMMYFUNCTION("""COMPUTED_VALUE"""),"")</f>
        <v/>
      </c>
      <c r="I4312" s="35" t="str">
        <f>IFERROR(__xludf.DUMMYFUNCTION("""COMPUTED_VALUE"""),"")</f>
        <v/>
      </c>
      <c r="J4312" s="35" t="str">
        <f>IFERROR(__xludf.DUMMYFUNCTION("""COMPUTED_VALUE"""),"")</f>
        <v/>
      </c>
      <c r="K4312" s="35"/>
      <c r="L4312" s="35"/>
      <c r="M4312" s="35"/>
      <c r="N4312" s="35"/>
      <c r="O4312" s="35"/>
      <c r="P4312" s="35"/>
      <c r="Q4312" s="35"/>
      <c r="R4312" s="35"/>
      <c r="S4312" s="74"/>
      <c r="T4312" s="35"/>
      <c r="U4312" s="35"/>
      <c r="V4312" s="35"/>
      <c r="W4312" s="45"/>
    </row>
    <row r="4313">
      <c r="A4313" s="45"/>
      <c r="B4313" s="35"/>
      <c r="C4313" s="35"/>
      <c r="D4313" s="10"/>
      <c r="E4313" s="35" t="str">
        <f>IFERROR(__xludf.DUMMYFUNCTION("""COMPUTED_VALUE"""),"")</f>
        <v/>
      </c>
      <c r="F4313" s="35" t="str">
        <f>IFERROR(__xludf.DUMMYFUNCTION("""COMPUTED_VALUE"""),"1899")</f>
        <v>1899</v>
      </c>
      <c r="G4313" s="35"/>
      <c r="H4313" s="35" t="str">
        <f>IFERROR(__xludf.DUMMYFUNCTION("""COMPUTED_VALUE"""),"")</f>
        <v/>
      </c>
      <c r="I4313" s="35" t="str">
        <f>IFERROR(__xludf.DUMMYFUNCTION("""COMPUTED_VALUE"""),"")</f>
        <v/>
      </c>
      <c r="J4313" s="35" t="str">
        <f>IFERROR(__xludf.DUMMYFUNCTION("""COMPUTED_VALUE"""),"")</f>
        <v/>
      </c>
      <c r="K4313" s="35"/>
      <c r="L4313" s="35"/>
      <c r="M4313" s="35"/>
      <c r="N4313" s="35"/>
      <c r="O4313" s="35"/>
      <c r="P4313" s="35"/>
      <c r="Q4313" s="35"/>
      <c r="R4313" s="35"/>
      <c r="S4313" s="74"/>
      <c r="T4313" s="35"/>
      <c r="U4313" s="35"/>
      <c r="V4313" s="35"/>
      <c r="W4313" s="45"/>
    </row>
    <row r="4314">
      <c r="A4314" s="45"/>
      <c r="B4314" s="35"/>
      <c r="C4314" s="35"/>
      <c r="D4314" s="10"/>
      <c r="E4314" s="35" t="str">
        <f>IFERROR(__xludf.DUMMYFUNCTION("""COMPUTED_VALUE"""),"")</f>
        <v/>
      </c>
      <c r="F4314" s="35" t="str">
        <f>IFERROR(__xludf.DUMMYFUNCTION("""COMPUTED_VALUE"""),"1899")</f>
        <v>1899</v>
      </c>
      <c r="G4314" s="35"/>
      <c r="H4314" s="35" t="str">
        <f>IFERROR(__xludf.DUMMYFUNCTION("""COMPUTED_VALUE"""),"")</f>
        <v/>
      </c>
      <c r="I4314" s="35" t="str">
        <f>IFERROR(__xludf.DUMMYFUNCTION("""COMPUTED_VALUE"""),"")</f>
        <v/>
      </c>
      <c r="J4314" s="35" t="str">
        <f>IFERROR(__xludf.DUMMYFUNCTION("""COMPUTED_VALUE"""),"")</f>
        <v/>
      </c>
      <c r="K4314" s="35"/>
      <c r="L4314" s="35"/>
      <c r="M4314" s="35"/>
      <c r="N4314" s="35"/>
      <c r="O4314" s="35"/>
      <c r="P4314" s="35"/>
      <c r="Q4314" s="35"/>
      <c r="R4314" s="35"/>
      <c r="S4314" s="74"/>
      <c r="T4314" s="35"/>
      <c r="U4314" s="35"/>
      <c r="V4314" s="35"/>
      <c r="W4314" s="45"/>
    </row>
    <row r="4315">
      <c r="A4315" s="45"/>
      <c r="B4315" s="35"/>
      <c r="C4315" s="35"/>
      <c r="D4315" s="10"/>
      <c r="E4315" s="35" t="str">
        <f>IFERROR(__xludf.DUMMYFUNCTION("""COMPUTED_VALUE"""),"")</f>
        <v/>
      </c>
      <c r="F4315" s="35" t="str">
        <f>IFERROR(__xludf.DUMMYFUNCTION("""COMPUTED_VALUE"""),"1899")</f>
        <v>1899</v>
      </c>
      <c r="G4315" s="35"/>
      <c r="H4315" s="35" t="str">
        <f>IFERROR(__xludf.DUMMYFUNCTION("""COMPUTED_VALUE"""),"")</f>
        <v/>
      </c>
      <c r="I4315" s="35" t="str">
        <f>IFERROR(__xludf.DUMMYFUNCTION("""COMPUTED_VALUE"""),"")</f>
        <v/>
      </c>
      <c r="J4315" s="35" t="str">
        <f>IFERROR(__xludf.DUMMYFUNCTION("""COMPUTED_VALUE"""),"")</f>
        <v/>
      </c>
      <c r="K4315" s="35"/>
      <c r="L4315" s="35"/>
      <c r="M4315" s="35"/>
      <c r="N4315" s="35"/>
      <c r="O4315" s="35"/>
      <c r="P4315" s="35"/>
      <c r="Q4315" s="35"/>
      <c r="R4315" s="35"/>
      <c r="S4315" s="74"/>
      <c r="T4315" s="35"/>
      <c r="U4315" s="35"/>
      <c r="V4315" s="35"/>
      <c r="W4315" s="45"/>
    </row>
    <row r="4316">
      <c r="A4316" s="45"/>
      <c r="B4316" s="35"/>
      <c r="C4316" s="35"/>
      <c r="D4316" s="10"/>
      <c r="E4316" s="35" t="str">
        <f>IFERROR(__xludf.DUMMYFUNCTION("""COMPUTED_VALUE"""),"")</f>
        <v/>
      </c>
      <c r="F4316" s="35" t="str">
        <f>IFERROR(__xludf.DUMMYFUNCTION("""COMPUTED_VALUE"""),"1899")</f>
        <v>1899</v>
      </c>
      <c r="G4316" s="35"/>
      <c r="H4316" s="35" t="str">
        <f>IFERROR(__xludf.DUMMYFUNCTION("""COMPUTED_VALUE"""),"")</f>
        <v/>
      </c>
      <c r="I4316" s="35" t="str">
        <f>IFERROR(__xludf.DUMMYFUNCTION("""COMPUTED_VALUE"""),"")</f>
        <v/>
      </c>
      <c r="J4316" s="35" t="str">
        <f>IFERROR(__xludf.DUMMYFUNCTION("""COMPUTED_VALUE"""),"")</f>
        <v/>
      </c>
      <c r="K4316" s="35"/>
      <c r="L4316" s="35"/>
      <c r="M4316" s="35"/>
      <c r="N4316" s="35"/>
      <c r="O4316" s="35"/>
      <c r="P4316" s="35"/>
      <c r="Q4316" s="35"/>
      <c r="R4316" s="35"/>
      <c r="S4316" s="74"/>
      <c r="T4316" s="35"/>
      <c r="U4316" s="35"/>
      <c r="V4316" s="35"/>
      <c r="W4316" s="45"/>
    </row>
    <row r="4317">
      <c r="A4317" s="45"/>
      <c r="B4317" s="35"/>
      <c r="C4317" s="35"/>
      <c r="D4317" s="10"/>
      <c r="E4317" s="35" t="str">
        <f>IFERROR(__xludf.DUMMYFUNCTION("""COMPUTED_VALUE"""),"")</f>
        <v/>
      </c>
      <c r="F4317" s="35" t="str">
        <f>IFERROR(__xludf.DUMMYFUNCTION("""COMPUTED_VALUE"""),"1899")</f>
        <v>1899</v>
      </c>
      <c r="G4317" s="35"/>
      <c r="H4317" s="35" t="str">
        <f>IFERROR(__xludf.DUMMYFUNCTION("""COMPUTED_VALUE"""),"")</f>
        <v/>
      </c>
      <c r="I4317" s="35" t="str">
        <f>IFERROR(__xludf.DUMMYFUNCTION("""COMPUTED_VALUE"""),"")</f>
        <v/>
      </c>
      <c r="J4317" s="35" t="str">
        <f>IFERROR(__xludf.DUMMYFUNCTION("""COMPUTED_VALUE"""),"")</f>
        <v/>
      </c>
      <c r="K4317" s="35"/>
      <c r="L4317" s="35"/>
      <c r="M4317" s="35"/>
      <c r="N4317" s="35"/>
      <c r="O4317" s="35"/>
      <c r="P4317" s="35"/>
      <c r="Q4317" s="35"/>
      <c r="R4317" s="35"/>
      <c r="S4317" s="74"/>
      <c r="T4317" s="35"/>
      <c r="U4317" s="35"/>
      <c r="V4317" s="35"/>
      <c r="W4317" s="45"/>
    </row>
    <row r="4318">
      <c r="A4318" s="45"/>
      <c r="B4318" s="35"/>
      <c r="C4318" s="35"/>
      <c r="D4318" s="10"/>
      <c r="E4318" s="35" t="str">
        <f>IFERROR(__xludf.DUMMYFUNCTION("""COMPUTED_VALUE"""),"")</f>
        <v/>
      </c>
      <c r="F4318" s="35" t="str">
        <f>IFERROR(__xludf.DUMMYFUNCTION("""COMPUTED_VALUE"""),"1899")</f>
        <v>1899</v>
      </c>
      <c r="G4318" s="35"/>
      <c r="H4318" s="35" t="str">
        <f>IFERROR(__xludf.DUMMYFUNCTION("""COMPUTED_VALUE"""),"")</f>
        <v/>
      </c>
      <c r="I4318" s="35" t="str">
        <f>IFERROR(__xludf.DUMMYFUNCTION("""COMPUTED_VALUE"""),"")</f>
        <v/>
      </c>
      <c r="J4318" s="35" t="str">
        <f>IFERROR(__xludf.DUMMYFUNCTION("""COMPUTED_VALUE"""),"")</f>
        <v/>
      </c>
      <c r="K4318" s="35"/>
      <c r="L4318" s="35"/>
      <c r="M4318" s="35"/>
      <c r="N4318" s="35"/>
      <c r="O4318" s="35"/>
      <c r="P4318" s="35"/>
      <c r="Q4318" s="35"/>
      <c r="R4318" s="35"/>
      <c r="S4318" s="74"/>
      <c r="T4318" s="35"/>
      <c r="U4318" s="35"/>
      <c r="V4318" s="35"/>
      <c r="W4318" s="45"/>
    </row>
    <row r="4319">
      <c r="A4319" s="45"/>
      <c r="B4319" s="35"/>
      <c r="C4319" s="35"/>
      <c r="D4319" s="10"/>
      <c r="E4319" s="35" t="str">
        <f>IFERROR(__xludf.DUMMYFUNCTION("""COMPUTED_VALUE"""),"")</f>
        <v/>
      </c>
      <c r="F4319" s="35" t="str">
        <f>IFERROR(__xludf.DUMMYFUNCTION("""COMPUTED_VALUE"""),"1899")</f>
        <v>1899</v>
      </c>
      <c r="G4319" s="35"/>
      <c r="H4319" s="35" t="str">
        <f>IFERROR(__xludf.DUMMYFUNCTION("""COMPUTED_VALUE"""),"")</f>
        <v/>
      </c>
      <c r="I4319" s="35" t="str">
        <f>IFERROR(__xludf.DUMMYFUNCTION("""COMPUTED_VALUE"""),"")</f>
        <v/>
      </c>
      <c r="J4319" s="35" t="str">
        <f>IFERROR(__xludf.DUMMYFUNCTION("""COMPUTED_VALUE"""),"")</f>
        <v/>
      </c>
      <c r="K4319" s="35"/>
      <c r="L4319" s="35"/>
      <c r="M4319" s="35"/>
      <c r="N4319" s="35"/>
      <c r="O4319" s="35"/>
      <c r="P4319" s="35"/>
      <c r="Q4319" s="35"/>
      <c r="R4319" s="35"/>
      <c r="S4319" s="74"/>
      <c r="T4319" s="35"/>
      <c r="U4319" s="35"/>
      <c r="V4319" s="35"/>
      <c r="W4319" s="45"/>
    </row>
    <row r="4320">
      <c r="A4320" s="45"/>
      <c r="B4320" s="35"/>
      <c r="C4320" s="35"/>
      <c r="D4320" s="10"/>
      <c r="E4320" s="35" t="str">
        <f>IFERROR(__xludf.DUMMYFUNCTION("""COMPUTED_VALUE"""),"")</f>
        <v/>
      </c>
      <c r="F4320" s="35" t="str">
        <f>IFERROR(__xludf.DUMMYFUNCTION("""COMPUTED_VALUE"""),"1899")</f>
        <v>1899</v>
      </c>
      <c r="G4320" s="35"/>
      <c r="H4320" s="35" t="str">
        <f>IFERROR(__xludf.DUMMYFUNCTION("""COMPUTED_VALUE"""),"")</f>
        <v/>
      </c>
      <c r="I4320" s="35" t="str">
        <f>IFERROR(__xludf.DUMMYFUNCTION("""COMPUTED_VALUE"""),"")</f>
        <v/>
      </c>
      <c r="J4320" s="35" t="str">
        <f>IFERROR(__xludf.DUMMYFUNCTION("""COMPUTED_VALUE"""),"")</f>
        <v/>
      </c>
      <c r="K4320" s="35"/>
      <c r="L4320" s="35"/>
      <c r="M4320" s="35"/>
      <c r="N4320" s="35"/>
      <c r="O4320" s="35"/>
      <c r="P4320" s="35"/>
      <c r="Q4320" s="35"/>
      <c r="R4320" s="35"/>
      <c r="S4320" s="74"/>
      <c r="T4320" s="35"/>
      <c r="U4320" s="35"/>
      <c r="V4320" s="35"/>
      <c r="W4320" s="45"/>
    </row>
    <row r="4321">
      <c r="A4321" s="45"/>
      <c r="B4321" s="35"/>
      <c r="C4321" s="35"/>
      <c r="D4321" s="10"/>
      <c r="E4321" s="35" t="str">
        <f>IFERROR(__xludf.DUMMYFUNCTION("""COMPUTED_VALUE"""),"")</f>
        <v/>
      </c>
      <c r="F4321" s="35" t="str">
        <f>IFERROR(__xludf.DUMMYFUNCTION("""COMPUTED_VALUE"""),"1899")</f>
        <v>1899</v>
      </c>
      <c r="G4321" s="35"/>
      <c r="H4321" s="35" t="str">
        <f>IFERROR(__xludf.DUMMYFUNCTION("""COMPUTED_VALUE"""),"")</f>
        <v/>
      </c>
      <c r="I4321" s="35" t="str">
        <f>IFERROR(__xludf.DUMMYFUNCTION("""COMPUTED_VALUE"""),"")</f>
        <v/>
      </c>
      <c r="J4321" s="35" t="str">
        <f>IFERROR(__xludf.DUMMYFUNCTION("""COMPUTED_VALUE"""),"")</f>
        <v/>
      </c>
      <c r="K4321" s="35"/>
      <c r="L4321" s="35"/>
      <c r="M4321" s="35"/>
      <c r="N4321" s="35"/>
      <c r="O4321" s="35"/>
      <c r="P4321" s="35"/>
      <c r="Q4321" s="35"/>
      <c r="R4321" s="35"/>
      <c r="S4321" s="74"/>
      <c r="T4321" s="35"/>
      <c r="U4321" s="35"/>
      <c r="V4321" s="35"/>
      <c r="W4321" s="45"/>
    </row>
    <row r="4322">
      <c r="A4322" s="45"/>
      <c r="B4322" s="35"/>
      <c r="C4322" s="35"/>
      <c r="D4322" s="10"/>
      <c r="E4322" s="35" t="str">
        <f>IFERROR(__xludf.DUMMYFUNCTION("""COMPUTED_VALUE"""),"")</f>
        <v/>
      </c>
      <c r="F4322" s="35" t="str">
        <f>IFERROR(__xludf.DUMMYFUNCTION("""COMPUTED_VALUE"""),"1899")</f>
        <v>1899</v>
      </c>
      <c r="G4322" s="35"/>
      <c r="H4322" s="35" t="str">
        <f>IFERROR(__xludf.DUMMYFUNCTION("""COMPUTED_VALUE"""),"")</f>
        <v/>
      </c>
      <c r="I4322" s="35" t="str">
        <f>IFERROR(__xludf.DUMMYFUNCTION("""COMPUTED_VALUE"""),"")</f>
        <v/>
      </c>
      <c r="J4322" s="35" t="str">
        <f>IFERROR(__xludf.DUMMYFUNCTION("""COMPUTED_VALUE"""),"")</f>
        <v/>
      </c>
      <c r="K4322" s="35"/>
      <c r="L4322" s="35"/>
      <c r="M4322" s="35"/>
      <c r="N4322" s="35"/>
      <c r="O4322" s="35"/>
      <c r="P4322" s="35"/>
      <c r="Q4322" s="35"/>
      <c r="R4322" s="35"/>
      <c r="S4322" s="74"/>
      <c r="T4322" s="35"/>
      <c r="U4322" s="35"/>
      <c r="V4322" s="35"/>
      <c r="W4322" s="45"/>
    </row>
    <row r="4323">
      <c r="A4323" s="45"/>
      <c r="B4323" s="35"/>
      <c r="C4323" s="35"/>
      <c r="D4323" s="10"/>
      <c r="E4323" s="35" t="str">
        <f>IFERROR(__xludf.DUMMYFUNCTION("""COMPUTED_VALUE"""),"")</f>
        <v/>
      </c>
      <c r="F4323" s="35" t="str">
        <f>IFERROR(__xludf.DUMMYFUNCTION("""COMPUTED_VALUE"""),"1899")</f>
        <v>1899</v>
      </c>
      <c r="G4323" s="35"/>
      <c r="H4323" s="35" t="str">
        <f>IFERROR(__xludf.DUMMYFUNCTION("""COMPUTED_VALUE"""),"")</f>
        <v/>
      </c>
      <c r="I4323" s="35" t="str">
        <f>IFERROR(__xludf.DUMMYFUNCTION("""COMPUTED_VALUE"""),"")</f>
        <v/>
      </c>
      <c r="J4323" s="35" t="str">
        <f>IFERROR(__xludf.DUMMYFUNCTION("""COMPUTED_VALUE"""),"")</f>
        <v/>
      </c>
      <c r="K4323" s="35"/>
      <c r="L4323" s="35"/>
      <c r="M4323" s="35"/>
      <c r="N4323" s="35"/>
      <c r="O4323" s="35"/>
      <c r="P4323" s="35"/>
      <c r="Q4323" s="35"/>
      <c r="R4323" s="35"/>
      <c r="S4323" s="74"/>
      <c r="T4323" s="35"/>
      <c r="U4323" s="35"/>
      <c r="V4323" s="35"/>
      <c r="W4323" s="45"/>
    </row>
    <row r="4324">
      <c r="A4324" s="45"/>
      <c r="B4324" s="35"/>
      <c r="C4324" s="35"/>
      <c r="D4324" s="10"/>
      <c r="E4324" s="35" t="str">
        <f>IFERROR(__xludf.DUMMYFUNCTION("""COMPUTED_VALUE"""),"")</f>
        <v/>
      </c>
      <c r="F4324" s="35" t="str">
        <f>IFERROR(__xludf.DUMMYFUNCTION("""COMPUTED_VALUE"""),"1899")</f>
        <v>1899</v>
      </c>
      <c r="G4324" s="35"/>
      <c r="H4324" s="35" t="str">
        <f>IFERROR(__xludf.DUMMYFUNCTION("""COMPUTED_VALUE"""),"")</f>
        <v/>
      </c>
      <c r="I4324" s="35" t="str">
        <f>IFERROR(__xludf.DUMMYFUNCTION("""COMPUTED_VALUE"""),"")</f>
        <v/>
      </c>
      <c r="J4324" s="35" t="str">
        <f>IFERROR(__xludf.DUMMYFUNCTION("""COMPUTED_VALUE"""),"")</f>
        <v/>
      </c>
      <c r="K4324" s="35"/>
      <c r="L4324" s="35"/>
      <c r="M4324" s="35"/>
      <c r="N4324" s="35"/>
      <c r="O4324" s="35"/>
      <c r="P4324" s="35"/>
      <c r="Q4324" s="35"/>
      <c r="R4324" s="35"/>
      <c r="S4324" s="74"/>
      <c r="T4324" s="35"/>
      <c r="U4324" s="35"/>
      <c r="V4324" s="35"/>
      <c r="W4324" s="45"/>
    </row>
    <row r="4325">
      <c r="A4325" s="45"/>
      <c r="B4325" s="35"/>
      <c r="C4325" s="35"/>
      <c r="D4325" s="10"/>
      <c r="E4325" s="35" t="str">
        <f>IFERROR(__xludf.DUMMYFUNCTION("""COMPUTED_VALUE"""),"")</f>
        <v/>
      </c>
      <c r="F4325" s="35" t="str">
        <f>IFERROR(__xludf.DUMMYFUNCTION("""COMPUTED_VALUE"""),"1899")</f>
        <v>1899</v>
      </c>
      <c r="G4325" s="35"/>
      <c r="H4325" s="35" t="str">
        <f>IFERROR(__xludf.DUMMYFUNCTION("""COMPUTED_VALUE"""),"")</f>
        <v/>
      </c>
      <c r="I4325" s="35" t="str">
        <f>IFERROR(__xludf.DUMMYFUNCTION("""COMPUTED_VALUE"""),"")</f>
        <v/>
      </c>
      <c r="J4325" s="35" t="str">
        <f>IFERROR(__xludf.DUMMYFUNCTION("""COMPUTED_VALUE"""),"")</f>
        <v/>
      </c>
      <c r="K4325" s="35"/>
      <c r="L4325" s="35"/>
      <c r="M4325" s="35"/>
      <c r="N4325" s="35"/>
      <c r="O4325" s="35"/>
      <c r="P4325" s="35"/>
      <c r="Q4325" s="35"/>
      <c r="R4325" s="35"/>
      <c r="S4325" s="74"/>
      <c r="T4325" s="35"/>
      <c r="U4325" s="35"/>
      <c r="V4325" s="35"/>
      <c r="W4325" s="45"/>
    </row>
    <row r="4326">
      <c r="A4326" s="45"/>
      <c r="B4326" s="35"/>
      <c r="C4326" s="35"/>
      <c r="D4326" s="10"/>
      <c r="E4326" s="35" t="str">
        <f>IFERROR(__xludf.DUMMYFUNCTION("""COMPUTED_VALUE"""),"")</f>
        <v/>
      </c>
      <c r="F4326" s="35" t="str">
        <f>IFERROR(__xludf.DUMMYFUNCTION("""COMPUTED_VALUE"""),"1899")</f>
        <v>1899</v>
      </c>
      <c r="G4326" s="35"/>
      <c r="H4326" s="35" t="str">
        <f>IFERROR(__xludf.DUMMYFUNCTION("""COMPUTED_VALUE"""),"")</f>
        <v/>
      </c>
      <c r="I4326" s="35" t="str">
        <f>IFERROR(__xludf.DUMMYFUNCTION("""COMPUTED_VALUE"""),"")</f>
        <v/>
      </c>
      <c r="J4326" s="35" t="str">
        <f>IFERROR(__xludf.DUMMYFUNCTION("""COMPUTED_VALUE"""),"")</f>
        <v/>
      </c>
      <c r="K4326" s="35"/>
      <c r="L4326" s="35"/>
      <c r="M4326" s="35"/>
      <c r="N4326" s="35"/>
      <c r="O4326" s="35"/>
      <c r="P4326" s="35"/>
      <c r="Q4326" s="35"/>
      <c r="R4326" s="35"/>
      <c r="S4326" s="74"/>
      <c r="T4326" s="35"/>
      <c r="U4326" s="35"/>
      <c r="V4326" s="35"/>
      <c r="W4326" s="45"/>
    </row>
    <row r="4327">
      <c r="A4327" s="45"/>
      <c r="B4327" s="35"/>
      <c r="C4327" s="35"/>
      <c r="D4327" s="10"/>
      <c r="E4327" s="35" t="str">
        <f>IFERROR(__xludf.DUMMYFUNCTION("""COMPUTED_VALUE"""),"")</f>
        <v/>
      </c>
      <c r="F4327" s="35" t="str">
        <f>IFERROR(__xludf.DUMMYFUNCTION("""COMPUTED_VALUE"""),"1899")</f>
        <v>1899</v>
      </c>
      <c r="G4327" s="35"/>
      <c r="H4327" s="35" t="str">
        <f>IFERROR(__xludf.DUMMYFUNCTION("""COMPUTED_VALUE"""),"")</f>
        <v/>
      </c>
      <c r="I4327" s="35" t="str">
        <f>IFERROR(__xludf.DUMMYFUNCTION("""COMPUTED_VALUE"""),"")</f>
        <v/>
      </c>
      <c r="J4327" s="35" t="str">
        <f>IFERROR(__xludf.DUMMYFUNCTION("""COMPUTED_VALUE"""),"")</f>
        <v/>
      </c>
      <c r="K4327" s="35"/>
      <c r="L4327" s="35"/>
      <c r="M4327" s="35"/>
      <c r="N4327" s="35"/>
      <c r="O4327" s="35"/>
      <c r="P4327" s="35"/>
      <c r="Q4327" s="35"/>
      <c r="R4327" s="35"/>
      <c r="S4327" s="74"/>
      <c r="T4327" s="35"/>
      <c r="U4327" s="35"/>
      <c r="V4327" s="35"/>
      <c r="W4327" s="45"/>
    </row>
    <row r="4328">
      <c r="A4328" s="45"/>
      <c r="B4328" s="35"/>
      <c r="C4328" s="35"/>
      <c r="D4328" s="10"/>
      <c r="E4328" s="35" t="str">
        <f>IFERROR(__xludf.DUMMYFUNCTION("""COMPUTED_VALUE"""),"")</f>
        <v/>
      </c>
      <c r="F4328" s="35" t="str">
        <f>IFERROR(__xludf.DUMMYFUNCTION("""COMPUTED_VALUE"""),"1899")</f>
        <v>1899</v>
      </c>
      <c r="G4328" s="35"/>
      <c r="H4328" s="35" t="str">
        <f>IFERROR(__xludf.DUMMYFUNCTION("""COMPUTED_VALUE"""),"")</f>
        <v/>
      </c>
      <c r="I4328" s="35" t="str">
        <f>IFERROR(__xludf.DUMMYFUNCTION("""COMPUTED_VALUE"""),"")</f>
        <v/>
      </c>
      <c r="J4328" s="35" t="str">
        <f>IFERROR(__xludf.DUMMYFUNCTION("""COMPUTED_VALUE"""),"")</f>
        <v/>
      </c>
      <c r="K4328" s="35"/>
      <c r="L4328" s="35"/>
      <c r="M4328" s="35"/>
      <c r="N4328" s="35"/>
      <c r="O4328" s="35"/>
      <c r="P4328" s="35"/>
      <c r="Q4328" s="35"/>
      <c r="R4328" s="35"/>
      <c r="S4328" s="74"/>
      <c r="T4328" s="35"/>
      <c r="U4328" s="35"/>
      <c r="V4328" s="35"/>
      <c r="W4328" s="45"/>
    </row>
    <row r="4329">
      <c r="A4329" s="45"/>
      <c r="B4329" s="35"/>
      <c r="C4329" s="35"/>
      <c r="D4329" s="10"/>
      <c r="E4329" s="35" t="str">
        <f>IFERROR(__xludf.DUMMYFUNCTION("""COMPUTED_VALUE"""),"")</f>
        <v/>
      </c>
      <c r="F4329" s="35" t="str">
        <f>IFERROR(__xludf.DUMMYFUNCTION("""COMPUTED_VALUE"""),"1899")</f>
        <v>1899</v>
      </c>
      <c r="G4329" s="35"/>
      <c r="H4329" s="35" t="str">
        <f>IFERROR(__xludf.DUMMYFUNCTION("""COMPUTED_VALUE"""),"")</f>
        <v/>
      </c>
      <c r="I4329" s="35" t="str">
        <f>IFERROR(__xludf.DUMMYFUNCTION("""COMPUTED_VALUE"""),"")</f>
        <v/>
      </c>
      <c r="J4329" s="35" t="str">
        <f>IFERROR(__xludf.DUMMYFUNCTION("""COMPUTED_VALUE"""),"")</f>
        <v/>
      </c>
      <c r="K4329" s="35"/>
      <c r="L4329" s="35"/>
      <c r="M4329" s="35"/>
      <c r="N4329" s="35"/>
      <c r="O4329" s="35"/>
      <c r="P4329" s="35"/>
      <c r="Q4329" s="35"/>
      <c r="R4329" s="35"/>
      <c r="S4329" s="74"/>
      <c r="T4329" s="35"/>
      <c r="U4329" s="35"/>
      <c r="V4329" s="35"/>
      <c r="W4329" s="45"/>
    </row>
    <row r="4330">
      <c r="A4330" s="45"/>
      <c r="B4330" s="35"/>
      <c r="C4330" s="35"/>
      <c r="D4330" s="10"/>
      <c r="E4330" s="35" t="str">
        <f>IFERROR(__xludf.DUMMYFUNCTION("""COMPUTED_VALUE"""),"")</f>
        <v/>
      </c>
      <c r="F4330" s="35" t="str">
        <f>IFERROR(__xludf.DUMMYFUNCTION("""COMPUTED_VALUE"""),"1899")</f>
        <v>1899</v>
      </c>
      <c r="G4330" s="35"/>
      <c r="H4330" s="35" t="str">
        <f>IFERROR(__xludf.DUMMYFUNCTION("""COMPUTED_VALUE"""),"")</f>
        <v/>
      </c>
      <c r="I4330" s="35" t="str">
        <f>IFERROR(__xludf.DUMMYFUNCTION("""COMPUTED_VALUE"""),"")</f>
        <v/>
      </c>
      <c r="J4330" s="35" t="str">
        <f>IFERROR(__xludf.DUMMYFUNCTION("""COMPUTED_VALUE"""),"")</f>
        <v/>
      </c>
      <c r="K4330" s="35"/>
      <c r="L4330" s="35"/>
      <c r="M4330" s="35"/>
      <c r="N4330" s="35"/>
      <c r="O4330" s="35"/>
      <c r="P4330" s="35"/>
      <c r="Q4330" s="35"/>
      <c r="R4330" s="35"/>
      <c r="S4330" s="74"/>
      <c r="T4330" s="35"/>
      <c r="U4330" s="35"/>
      <c r="V4330" s="35"/>
      <c r="W4330" s="45"/>
    </row>
    <row r="4331">
      <c r="A4331" s="45"/>
      <c r="B4331" s="35"/>
      <c r="C4331" s="35"/>
      <c r="D4331" s="10"/>
      <c r="E4331" s="35" t="str">
        <f>IFERROR(__xludf.DUMMYFUNCTION("""COMPUTED_VALUE"""),"")</f>
        <v/>
      </c>
      <c r="F4331" s="35" t="str">
        <f>IFERROR(__xludf.DUMMYFUNCTION("""COMPUTED_VALUE"""),"1899")</f>
        <v>1899</v>
      </c>
      <c r="G4331" s="35"/>
      <c r="H4331" s="35" t="str">
        <f>IFERROR(__xludf.DUMMYFUNCTION("""COMPUTED_VALUE"""),"")</f>
        <v/>
      </c>
      <c r="I4331" s="35" t="str">
        <f>IFERROR(__xludf.DUMMYFUNCTION("""COMPUTED_VALUE"""),"")</f>
        <v/>
      </c>
      <c r="J4331" s="35" t="str">
        <f>IFERROR(__xludf.DUMMYFUNCTION("""COMPUTED_VALUE"""),"")</f>
        <v/>
      </c>
      <c r="K4331" s="35"/>
      <c r="L4331" s="35"/>
      <c r="M4331" s="35"/>
      <c r="N4331" s="35"/>
      <c r="O4331" s="35"/>
      <c r="P4331" s="35"/>
      <c r="Q4331" s="35"/>
      <c r="R4331" s="35"/>
      <c r="S4331" s="74"/>
      <c r="T4331" s="35"/>
      <c r="U4331" s="35"/>
      <c r="V4331" s="35"/>
      <c r="W4331" s="45"/>
    </row>
    <row r="4332">
      <c r="A4332" s="45"/>
      <c r="B4332" s="35"/>
      <c r="C4332" s="35"/>
      <c r="D4332" s="10"/>
      <c r="E4332" s="35" t="str">
        <f>IFERROR(__xludf.DUMMYFUNCTION("""COMPUTED_VALUE"""),"")</f>
        <v/>
      </c>
      <c r="F4332" s="35" t="str">
        <f>IFERROR(__xludf.DUMMYFUNCTION("""COMPUTED_VALUE"""),"1899")</f>
        <v>1899</v>
      </c>
      <c r="G4332" s="35"/>
      <c r="H4332" s="35" t="str">
        <f>IFERROR(__xludf.DUMMYFUNCTION("""COMPUTED_VALUE"""),"")</f>
        <v/>
      </c>
      <c r="I4332" s="35" t="str">
        <f>IFERROR(__xludf.DUMMYFUNCTION("""COMPUTED_VALUE"""),"")</f>
        <v/>
      </c>
      <c r="J4332" s="35" t="str">
        <f>IFERROR(__xludf.DUMMYFUNCTION("""COMPUTED_VALUE"""),"")</f>
        <v/>
      </c>
      <c r="K4332" s="35"/>
      <c r="L4332" s="35"/>
      <c r="M4332" s="35"/>
      <c r="N4332" s="35"/>
      <c r="O4332" s="35"/>
      <c r="P4332" s="35"/>
      <c r="Q4332" s="35"/>
      <c r="R4332" s="35"/>
      <c r="S4332" s="74"/>
      <c r="T4332" s="35"/>
      <c r="U4332" s="35"/>
      <c r="V4332" s="35"/>
      <c r="W4332" s="45"/>
    </row>
    <row r="4333">
      <c r="A4333" s="45"/>
      <c r="B4333" s="35"/>
      <c r="C4333" s="35"/>
      <c r="D4333" s="10"/>
      <c r="E4333" s="35" t="str">
        <f>IFERROR(__xludf.DUMMYFUNCTION("""COMPUTED_VALUE"""),"")</f>
        <v/>
      </c>
      <c r="F4333" s="35" t="str">
        <f>IFERROR(__xludf.DUMMYFUNCTION("""COMPUTED_VALUE"""),"1899")</f>
        <v>1899</v>
      </c>
      <c r="G4333" s="35"/>
      <c r="H4333" s="35" t="str">
        <f>IFERROR(__xludf.DUMMYFUNCTION("""COMPUTED_VALUE"""),"")</f>
        <v/>
      </c>
      <c r="I4333" s="35" t="str">
        <f>IFERROR(__xludf.DUMMYFUNCTION("""COMPUTED_VALUE"""),"")</f>
        <v/>
      </c>
      <c r="J4333" s="35" t="str">
        <f>IFERROR(__xludf.DUMMYFUNCTION("""COMPUTED_VALUE"""),"")</f>
        <v/>
      </c>
      <c r="K4333" s="35"/>
      <c r="L4333" s="35"/>
      <c r="M4333" s="35"/>
      <c r="N4333" s="35"/>
      <c r="O4333" s="35"/>
      <c r="P4333" s="35"/>
      <c r="Q4333" s="35"/>
      <c r="R4333" s="35"/>
      <c r="S4333" s="74"/>
      <c r="T4333" s="35"/>
      <c r="U4333" s="35"/>
      <c r="V4333" s="35"/>
      <c r="W4333" s="45"/>
    </row>
    <row r="4334">
      <c r="A4334" s="45"/>
      <c r="B4334" s="35"/>
      <c r="C4334" s="35"/>
      <c r="D4334" s="10"/>
      <c r="E4334" s="35" t="str">
        <f>IFERROR(__xludf.DUMMYFUNCTION("""COMPUTED_VALUE"""),"")</f>
        <v/>
      </c>
      <c r="F4334" s="35" t="str">
        <f>IFERROR(__xludf.DUMMYFUNCTION("""COMPUTED_VALUE"""),"1899")</f>
        <v>1899</v>
      </c>
      <c r="G4334" s="35"/>
      <c r="H4334" s="35" t="str">
        <f>IFERROR(__xludf.DUMMYFUNCTION("""COMPUTED_VALUE"""),"")</f>
        <v/>
      </c>
      <c r="I4334" s="35" t="str">
        <f>IFERROR(__xludf.DUMMYFUNCTION("""COMPUTED_VALUE"""),"")</f>
        <v/>
      </c>
      <c r="J4334" s="35" t="str">
        <f>IFERROR(__xludf.DUMMYFUNCTION("""COMPUTED_VALUE"""),"")</f>
        <v/>
      </c>
      <c r="K4334" s="35"/>
      <c r="L4334" s="35"/>
      <c r="M4334" s="35"/>
      <c r="N4334" s="35"/>
      <c r="O4334" s="35"/>
      <c r="P4334" s="35"/>
      <c r="Q4334" s="35"/>
      <c r="R4334" s="35"/>
      <c r="S4334" s="74"/>
      <c r="T4334" s="35"/>
      <c r="U4334" s="35"/>
      <c r="V4334" s="35"/>
      <c r="W4334" s="45"/>
    </row>
    <row r="4335">
      <c r="A4335" s="45"/>
      <c r="B4335" s="35"/>
      <c r="C4335" s="35"/>
      <c r="D4335" s="10"/>
      <c r="E4335" s="35" t="str">
        <f>IFERROR(__xludf.DUMMYFUNCTION("""COMPUTED_VALUE"""),"")</f>
        <v/>
      </c>
      <c r="F4335" s="35" t="str">
        <f>IFERROR(__xludf.DUMMYFUNCTION("""COMPUTED_VALUE"""),"1899")</f>
        <v>1899</v>
      </c>
      <c r="G4335" s="35"/>
      <c r="H4335" s="35" t="str">
        <f>IFERROR(__xludf.DUMMYFUNCTION("""COMPUTED_VALUE"""),"")</f>
        <v/>
      </c>
      <c r="I4335" s="35" t="str">
        <f>IFERROR(__xludf.DUMMYFUNCTION("""COMPUTED_VALUE"""),"")</f>
        <v/>
      </c>
      <c r="J4335" s="35" t="str">
        <f>IFERROR(__xludf.DUMMYFUNCTION("""COMPUTED_VALUE"""),"")</f>
        <v/>
      </c>
      <c r="K4335" s="35"/>
      <c r="L4335" s="35"/>
      <c r="M4335" s="35"/>
      <c r="N4335" s="35"/>
      <c r="O4335" s="35"/>
      <c r="P4335" s="35"/>
      <c r="Q4335" s="35"/>
      <c r="R4335" s="35"/>
      <c r="S4335" s="74"/>
      <c r="T4335" s="35"/>
      <c r="U4335" s="35"/>
      <c r="V4335" s="35"/>
      <c r="W4335" s="45"/>
    </row>
    <row r="4336">
      <c r="A4336" s="45"/>
      <c r="B4336" s="35"/>
      <c r="C4336" s="35"/>
      <c r="D4336" s="10"/>
      <c r="E4336" s="35" t="str">
        <f>IFERROR(__xludf.DUMMYFUNCTION("""COMPUTED_VALUE"""),"")</f>
        <v/>
      </c>
      <c r="F4336" s="35" t="str">
        <f>IFERROR(__xludf.DUMMYFUNCTION("""COMPUTED_VALUE"""),"1899")</f>
        <v>1899</v>
      </c>
      <c r="G4336" s="35"/>
      <c r="H4336" s="35" t="str">
        <f>IFERROR(__xludf.DUMMYFUNCTION("""COMPUTED_VALUE"""),"")</f>
        <v/>
      </c>
      <c r="I4336" s="35" t="str">
        <f>IFERROR(__xludf.DUMMYFUNCTION("""COMPUTED_VALUE"""),"")</f>
        <v/>
      </c>
      <c r="J4336" s="35" t="str">
        <f>IFERROR(__xludf.DUMMYFUNCTION("""COMPUTED_VALUE"""),"")</f>
        <v/>
      </c>
      <c r="K4336" s="35"/>
      <c r="L4336" s="35"/>
      <c r="M4336" s="35"/>
      <c r="N4336" s="35"/>
      <c r="O4336" s="35"/>
      <c r="P4336" s="35"/>
      <c r="Q4336" s="35"/>
      <c r="R4336" s="35"/>
      <c r="S4336" s="74"/>
      <c r="T4336" s="35"/>
      <c r="U4336" s="35"/>
      <c r="V4336" s="35"/>
      <c r="W4336" s="45"/>
    </row>
    <row r="4337">
      <c r="A4337" s="45"/>
      <c r="B4337" s="35"/>
      <c r="C4337" s="35"/>
      <c r="D4337" s="10"/>
      <c r="E4337" s="35" t="str">
        <f>IFERROR(__xludf.DUMMYFUNCTION("""COMPUTED_VALUE"""),"")</f>
        <v/>
      </c>
      <c r="F4337" s="35" t="str">
        <f>IFERROR(__xludf.DUMMYFUNCTION("""COMPUTED_VALUE"""),"1899")</f>
        <v>1899</v>
      </c>
      <c r="G4337" s="35"/>
      <c r="H4337" s="35" t="str">
        <f>IFERROR(__xludf.DUMMYFUNCTION("""COMPUTED_VALUE"""),"")</f>
        <v/>
      </c>
      <c r="I4337" s="35" t="str">
        <f>IFERROR(__xludf.DUMMYFUNCTION("""COMPUTED_VALUE"""),"")</f>
        <v/>
      </c>
      <c r="J4337" s="35" t="str">
        <f>IFERROR(__xludf.DUMMYFUNCTION("""COMPUTED_VALUE"""),"")</f>
        <v/>
      </c>
      <c r="K4337" s="35"/>
      <c r="L4337" s="35"/>
      <c r="M4337" s="35"/>
      <c r="N4337" s="35"/>
      <c r="O4337" s="35"/>
      <c r="P4337" s="35"/>
      <c r="Q4337" s="35"/>
      <c r="R4337" s="35"/>
      <c r="S4337" s="74"/>
      <c r="T4337" s="35"/>
      <c r="U4337" s="35"/>
      <c r="V4337" s="35"/>
      <c r="W4337" s="45"/>
    </row>
    <row r="4338">
      <c r="A4338" s="45"/>
      <c r="B4338" s="35"/>
      <c r="C4338" s="35"/>
      <c r="D4338" s="10"/>
      <c r="E4338" s="35" t="str">
        <f>IFERROR(__xludf.DUMMYFUNCTION("""COMPUTED_VALUE"""),"")</f>
        <v/>
      </c>
      <c r="F4338" s="35" t="str">
        <f>IFERROR(__xludf.DUMMYFUNCTION("""COMPUTED_VALUE"""),"1899")</f>
        <v>1899</v>
      </c>
      <c r="G4338" s="35"/>
      <c r="H4338" s="35" t="str">
        <f>IFERROR(__xludf.DUMMYFUNCTION("""COMPUTED_VALUE"""),"")</f>
        <v/>
      </c>
      <c r="I4338" s="35" t="str">
        <f>IFERROR(__xludf.DUMMYFUNCTION("""COMPUTED_VALUE"""),"")</f>
        <v/>
      </c>
      <c r="J4338" s="35" t="str">
        <f>IFERROR(__xludf.DUMMYFUNCTION("""COMPUTED_VALUE"""),"")</f>
        <v/>
      </c>
      <c r="K4338" s="35"/>
      <c r="L4338" s="35"/>
      <c r="M4338" s="35"/>
      <c r="N4338" s="35"/>
      <c r="O4338" s="35"/>
      <c r="P4338" s="35"/>
      <c r="Q4338" s="35"/>
      <c r="R4338" s="35"/>
      <c r="S4338" s="74"/>
      <c r="T4338" s="35"/>
      <c r="U4338" s="35"/>
      <c r="V4338" s="35"/>
      <c r="W4338" s="45"/>
    </row>
    <row r="4339">
      <c r="A4339" s="45"/>
      <c r="B4339" s="35"/>
      <c r="C4339" s="35"/>
      <c r="D4339" s="10"/>
      <c r="E4339" s="35" t="str">
        <f>IFERROR(__xludf.DUMMYFUNCTION("""COMPUTED_VALUE"""),"")</f>
        <v/>
      </c>
      <c r="F4339" s="35" t="str">
        <f>IFERROR(__xludf.DUMMYFUNCTION("""COMPUTED_VALUE"""),"1899")</f>
        <v>1899</v>
      </c>
      <c r="G4339" s="35"/>
      <c r="H4339" s="35" t="str">
        <f>IFERROR(__xludf.DUMMYFUNCTION("""COMPUTED_VALUE"""),"")</f>
        <v/>
      </c>
      <c r="I4339" s="35" t="str">
        <f>IFERROR(__xludf.DUMMYFUNCTION("""COMPUTED_VALUE"""),"")</f>
        <v/>
      </c>
      <c r="J4339" s="35" t="str">
        <f>IFERROR(__xludf.DUMMYFUNCTION("""COMPUTED_VALUE"""),"")</f>
        <v/>
      </c>
      <c r="K4339" s="35"/>
      <c r="L4339" s="35"/>
      <c r="M4339" s="35"/>
      <c r="N4339" s="35"/>
      <c r="O4339" s="35"/>
      <c r="P4339" s="35"/>
      <c r="Q4339" s="35"/>
      <c r="R4339" s="35"/>
      <c r="S4339" s="74"/>
      <c r="T4339" s="35"/>
      <c r="U4339" s="35"/>
      <c r="V4339" s="35"/>
      <c r="W4339" s="45"/>
    </row>
    <row r="4340">
      <c r="A4340" s="45"/>
      <c r="B4340" s="35"/>
      <c r="C4340" s="35"/>
      <c r="D4340" s="10"/>
      <c r="E4340" s="35" t="str">
        <f>IFERROR(__xludf.DUMMYFUNCTION("""COMPUTED_VALUE"""),"")</f>
        <v/>
      </c>
      <c r="F4340" s="35" t="str">
        <f>IFERROR(__xludf.DUMMYFUNCTION("""COMPUTED_VALUE"""),"1899")</f>
        <v>1899</v>
      </c>
      <c r="G4340" s="35"/>
      <c r="H4340" s="35" t="str">
        <f>IFERROR(__xludf.DUMMYFUNCTION("""COMPUTED_VALUE"""),"")</f>
        <v/>
      </c>
      <c r="I4340" s="35" t="str">
        <f>IFERROR(__xludf.DUMMYFUNCTION("""COMPUTED_VALUE"""),"")</f>
        <v/>
      </c>
      <c r="J4340" s="35" t="str">
        <f>IFERROR(__xludf.DUMMYFUNCTION("""COMPUTED_VALUE"""),"")</f>
        <v/>
      </c>
      <c r="K4340" s="35"/>
      <c r="L4340" s="35"/>
      <c r="M4340" s="35"/>
      <c r="N4340" s="35"/>
      <c r="O4340" s="35"/>
      <c r="P4340" s="35"/>
      <c r="Q4340" s="35"/>
      <c r="R4340" s="35"/>
      <c r="S4340" s="74"/>
      <c r="T4340" s="35"/>
      <c r="U4340" s="35"/>
      <c r="V4340" s="35"/>
      <c r="W4340" s="45"/>
    </row>
    <row r="4341">
      <c r="A4341" s="45"/>
      <c r="B4341" s="35"/>
      <c r="C4341" s="35"/>
      <c r="D4341" s="10"/>
      <c r="E4341" s="35" t="str">
        <f>IFERROR(__xludf.DUMMYFUNCTION("""COMPUTED_VALUE"""),"")</f>
        <v/>
      </c>
      <c r="F4341" s="35" t="str">
        <f>IFERROR(__xludf.DUMMYFUNCTION("""COMPUTED_VALUE"""),"1899")</f>
        <v>1899</v>
      </c>
      <c r="G4341" s="35"/>
      <c r="H4341" s="35" t="str">
        <f>IFERROR(__xludf.DUMMYFUNCTION("""COMPUTED_VALUE"""),"")</f>
        <v/>
      </c>
      <c r="I4341" s="35" t="str">
        <f>IFERROR(__xludf.DUMMYFUNCTION("""COMPUTED_VALUE"""),"")</f>
        <v/>
      </c>
      <c r="J4341" s="35" t="str">
        <f>IFERROR(__xludf.DUMMYFUNCTION("""COMPUTED_VALUE"""),"")</f>
        <v/>
      </c>
      <c r="K4341" s="35"/>
      <c r="L4341" s="35"/>
      <c r="M4341" s="35"/>
      <c r="N4341" s="35"/>
      <c r="O4341" s="35"/>
      <c r="P4341" s="35"/>
      <c r="Q4341" s="35"/>
      <c r="R4341" s="35"/>
      <c r="S4341" s="74"/>
      <c r="T4341" s="35"/>
      <c r="U4341" s="35"/>
      <c r="V4341" s="35"/>
      <c r="W4341" s="45"/>
    </row>
    <row r="4342">
      <c r="A4342" s="45"/>
      <c r="B4342" s="35"/>
      <c r="C4342" s="35"/>
      <c r="D4342" s="10"/>
      <c r="E4342" s="35" t="str">
        <f>IFERROR(__xludf.DUMMYFUNCTION("""COMPUTED_VALUE"""),"")</f>
        <v/>
      </c>
      <c r="F4342" s="35" t="str">
        <f>IFERROR(__xludf.DUMMYFUNCTION("""COMPUTED_VALUE"""),"1899")</f>
        <v>1899</v>
      </c>
      <c r="G4342" s="35"/>
      <c r="H4342" s="35" t="str">
        <f>IFERROR(__xludf.DUMMYFUNCTION("""COMPUTED_VALUE"""),"")</f>
        <v/>
      </c>
      <c r="I4342" s="35" t="str">
        <f>IFERROR(__xludf.DUMMYFUNCTION("""COMPUTED_VALUE"""),"")</f>
        <v/>
      </c>
      <c r="J4342" s="35" t="str">
        <f>IFERROR(__xludf.DUMMYFUNCTION("""COMPUTED_VALUE"""),"")</f>
        <v/>
      </c>
      <c r="K4342" s="35"/>
      <c r="L4342" s="35"/>
      <c r="M4342" s="35"/>
      <c r="N4342" s="35"/>
      <c r="O4342" s="35"/>
      <c r="P4342" s="35"/>
      <c r="Q4342" s="35"/>
      <c r="R4342" s="35"/>
      <c r="S4342" s="74"/>
      <c r="T4342" s="35"/>
      <c r="U4342" s="35"/>
      <c r="V4342" s="35"/>
      <c r="W4342" s="45"/>
    </row>
    <row r="4343">
      <c r="A4343" s="45"/>
      <c r="B4343" s="35"/>
      <c r="C4343" s="35"/>
      <c r="D4343" s="10"/>
      <c r="E4343" s="35" t="str">
        <f>IFERROR(__xludf.DUMMYFUNCTION("""COMPUTED_VALUE"""),"")</f>
        <v/>
      </c>
      <c r="F4343" s="35" t="str">
        <f>IFERROR(__xludf.DUMMYFUNCTION("""COMPUTED_VALUE"""),"1899")</f>
        <v>1899</v>
      </c>
      <c r="G4343" s="35"/>
      <c r="H4343" s="35" t="str">
        <f>IFERROR(__xludf.DUMMYFUNCTION("""COMPUTED_VALUE"""),"")</f>
        <v/>
      </c>
      <c r="I4343" s="35" t="str">
        <f>IFERROR(__xludf.DUMMYFUNCTION("""COMPUTED_VALUE"""),"")</f>
        <v/>
      </c>
      <c r="J4343" s="35" t="str">
        <f>IFERROR(__xludf.DUMMYFUNCTION("""COMPUTED_VALUE"""),"")</f>
        <v/>
      </c>
      <c r="K4343" s="35"/>
      <c r="L4343" s="35"/>
      <c r="M4343" s="35"/>
      <c r="N4343" s="35"/>
      <c r="O4343" s="35"/>
      <c r="P4343" s="35"/>
      <c r="Q4343" s="35"/>
      <c r="R4343" s="35"/>
      <c r="S4343" s="74"/>
      <c r="T4343" s="35"/>
      <c r="U4343" s="35"/>
      <c r="V4343" s="35"/>
      <c r="W4343" s="45"/>
    </row>
    <row r="4344">
      <c r="A4344" s="45"/>
      <c r="B4344" s="35"/>
      <c r="C4344" s="35"/>
      <c r="D4344" s="10"/>
      <c r="E4344" s="35" t="str">
        <f>IFERROR(__xludf.DUMMYFUNCTION("""COMPUTED_VALUE"""),"")</f>
        <v/>
      </c>
      <c r="F4344" s="35" t="str">
        <f>IFERROR(__xludf.DUMMYFUNCTION("""COMPUTED_VALUE"""),"1899")</f>
        <v>1899</v>
      </c>
      <c r="G4344" s="35"/>
      <c r="H4344" s="35" t="str">
        <f>IFERROR(__xludf.DUMMYFUNCTION("""COMPUTED_VALUE"""),"")</f>
        <v/>
      </c>
      <c r="I4344" s="35" t="str">
        <f>IFERROR(__xludf.DUMMYFUNCTION("""COMPUTED_VALUE"""),"")</f>
        <v/>
      </c>
      <c r="J4344" s="35" t="str">
        <f>IFERROR(__xludf.DUMMYFUNCTION("""COMPUTED_VALUE"""),"")</f>
        <v/>
      </c>
      <c r="K4344" s="35"/>
      <c r="L4344" s="35"/>
      <c r="M4344" s="35"/>
      <c r="N4344" s="35"/>
      <c r="O4344" s="35"/>
      <c r="P4344" s="35"/>
      <c r="Q4344" s="35"/>
      <c r="R4344" s="35"/>
      <c r="S4344" s="74"/>
      <c r="T4344" s="35"/>
      <c r="U4344" s="35"/>
      <c r="V4344" s="35"/>
      <c r="W4344" s="45"/>
    </row>
    <row r="4345">
      <c r="A4345" s="45"/>
      <c r="B4345" s="35"/>
      <c r="C4345" s="35"/>
      <c r="D4345" s="10"/>
      <c r="E4345" s="35" t="str">
        <f>IFERROR(__xludf.DUMMYFUNCTION("""COMPUTED_VALUE"""),"")</f>
        <v/>
      </c>
      <c r="F4345" s="35" t="str">
        <f>IFERROR(__xludf.DUMMYFUNCTION("""COMPUTED_VALUE"""),"1899")</f>
        <v>1899</v>
      </c>
      <c r="G4345" s="35"/>
      <c r="H4345" s="35" t="str">
        <f>IFERROR(__xludf.DUMMYFUNCTION("""COMPUTED_VALUE"""),"")</f>
        <v/>
      </c>
      <c r="I4345" s="35" t="str">
        <f>IFERROR(__xludf.DUMMYFUNCTION("""COMPUTED_VALUE"""),"")</f>
        <v/>
      </c>
      <c r="J4345" s="35" t="str">
        <f>IFERROR(__xludf.DUMMYFUNCTION("""COMPUTED_VALUE"""),"")</f>
        <v/>
      </c>
      <c r="K4345" s="35"/>
      <c r="L4345" s="35"/>
      <c r="M4345" s="35"/>
      <c r="N4345" s="35"/>
      <c r="O4345" s="35"/>
      <c r="P4345" s="35"/>
      <c r="Q4345" s="35"/>
      <c r="R4345" s="35"/>
      <c r="S4345" s="74"/>
      <c r="T4345" s="35"/>
      <c r="U4345" s="35"/>
      <c r="V4345" s="35"/>
      <c r="W4345" s="45"/>
    </row>
    <row r="4346">
      <c r="A4346" s="45"/>
      <c r="B4346" s="35"/>
      <c r="C4346" s="35"/>
      <c r="D4346" s="10"/>
      <c r="E4346" s="35" t="str">
        <f>IFERROR(__xludf.DUMMYFUNCTION("""COMPUTED_VALUE"""),"")</f>
        <v/>
      </c>
      <c r="F4346" s="35" t="str">
        <f>IFERROR(__xludf.DUMMYFUNCTION("""COMPUTED_VALUE"""),"1899")</f>
        <v>1899</v>
      </c>
      <c r="G4346" s="35"/>
      <c r="H4346" s="35" t="str">
        <f>IFERROR(__xludf.DUMMYFUNCTION("""COMPUTED_VALUE"""),"")</f>
        <v/>
      </c>
      <c r="I4346" s="35" t="str">
        <f>IFERROR(__xludf.DUMMYFUNCTION("""COMPUTED_VALUE"""),"")</f>
        <v/>
      </c>
      <c r="J4346" s="35" t="str">
        <f>IFERROR(__xludf.DUMMYFUNCTION("""COMPUTED_VALUE"""),"")</f>
        <v/>
      </c>
      <c r="K4346" s="35"/>
      <c r="L4346" s="35"/>
      <c r="M4346" s="35"/>
      <c r="N4346" s="35"/>
      <c r="O4346" s="35"/>
      <c r="P4346" s="35"/>
      <c r="Q4346" s="35"/>
      <c r="R4346" s="35"/>
      <c r="S4346" s="74"/>
      <c r="T4346" s="35"/>
      <c r="U4346" s="35"/>
      <c r="V4346" s="35"/>
      <c r="W4346" s="45"/>
    </row>
    <row r="4347">
      <c r="A4347" s="45"/>
      <c r="B4347" s="35"/>
      <c r="C4347" s="35"/>
      <c r="D4347" s="10"/>
      <c r="E4347" s="35" t="str">
        <f>IFERROR(__xludf.DUMMYFUNCTION("""COMPUTED_VALUE"""),"")</f>
        <v/>
      </c>
      <c r="F4347" s="35" t="str">
        <f>IFERROR(__xludf.DUMMYFUNCTION("""COMPUTED_VALUE"""),"1899")</f>
        <v>1899</v>
      </c>
      <c r="G4347" s="35"/>
      <c r="H4347" s="35" t="str">
        <f>IFERROR(__xludf.DUMMYFUNCTION("""COMPUTED_VALUE"""),"")</f>
        <v/>
      </c>
      <c r="I4347" s="35" t="str">
        <f>IFERROR(__xludf.DUMMYFUNCTION("""COMPUTED_VALUE"""),"")</f>
        <v/>
      </c>
      <c r="J4347" s="35" t="str">
        <f>IFERROR(__xludf.DUMMYFUNCTION("""COMPUTED_VALUE"""),"")</f>
        <v/>
      </c>
      <c r="K4347" s="35"/>
      <c r="L4347" s="35"/>
      <c r="M4347" s="35"/>
      <c r="N4347" s="35"/>
      <c r="O4347" s="35"/>
      <c r="P4347" s="35"/>
      <c r="Q4347" s="35"/>
      <c r="R4347" s="35"/>
      <c r="S4347" s="74"/>
      <c r="T4347" s="35"/>
      <c r="U4347" s="35"/>
      <c r="V4347" s="35"/>
      <c r="W4347" s="45"/>
    </row>
    <row r="4348">
      <c r="A4348" s="45"/>
      <c r="B4348" s="35"/>
      <c r="C4348" s="35"/>
      <c r="D4348" s="10"/>
      <c r="E4348" s="35" t="str">
        <f>IFERROR(__xludf.DUMMYFUNCTION("""COMPUTED_VALUE"""),"")</f>
        <v/>
      </c>
      <c r="F4348" s="35" t="str">
        <f>IFERROR(__xludf.DUMMYFUNCTION("""COMPUTED_VALUE"""),"1899")</f>
        <v>1899</v>
      </c>
      <c r="G4348" s="35"/>
      <c r="H4348" s="35" t="str">
        <f>IFERROR(__xludf.DUMMYFUNCTION("""COMPUTED_VALUE"""),"")</f>
        <v/>
      </c>
      <c r="I4348" s="35" t="str">
        <f>IFERROR(__xludf.DUMMYFUNCTION("""COMPUTED_VALUE"""),"")</f>
        <v/>
      </c>
      <c r="J4348" s="35" t="str">
        <f>IFERROR(__xludf.DUMMYFUNCTION("""COMPUTED_VALUE"""),"")</f>
        <v/>
      </c>
      <c r="K4348" s="35"/>
      <c r="L4348" s="35"/>
      <c r="M4348" s="35"/>
      <c r="N4348" s="35"/>
      <c r="O4348" s="35"/>
      <c r="P4348" s="35"/>
      <c r="Q4348" s="35"/>
      <c r="R4348" s="35"/>
      <c r="S4348" s="74"/>
      <c r="T4348" s="35"/>
      <c r="U4348" s="35"/>
      <c r="V4348" s="35"/>
      <c r="W4348" s="45"/>
    </row>
    <row r="4349">
      <c r="A4349" s="45"/>
      <c r="B4349" s="35"/>
      <c r="C4349" s="35"/>
      <c r="D4349" s="10"/>
      <c r="E4349" s="35" t="str">
        <f>IFERROR(__xludf.DUMMYFUNCTION("""COMPUTED_VALUE"""),"")</f>
        <v/>
      </c>
      <c r="F4349" s="35" t="str">
        <f>IFERROR(__xludf.DUMMYFUNCTION("""COMPUTED_VALUE"""),"1899")</f>
        <v>1899</v>
      </c>
      <c r="G4349" s="35"/>
      <c r="H4349" s="35" t="str">
        <f>IFERROR(__xludf.DUMMYFUNCTION("""COMPUTED_VALUE"""),"")</f>
        <v/>
      </c>
      <c r="I4349" s="35" t="str">
        <f>IFERROR(__xludf.DUMMYFUNCTION("""COMPUTED_VALUE"""),"")</f>
        <v/>
      </c>
      <c r="J4349" s="35" t="str">
        <f>IFERROR(__xludf.DUMMYFUNCTION("""COMPUTED_VALUE"""),"")</f>
        <v/>
      </c>
      <c r="K4349" s="35"/>
      <c r="L4349" s="35"/>
      <c r="M4349" s="35"/>
      <c r="N4349" s="35"/>
      <c r="O4349" s="35"/>
      <c r="P4349" s="35"/>
      <c r="Q4349" s="35"/>
      <c r="R4349" s="35"/>
      <c r="S4349" s="74"/>
      <c r="T4349" s="35"/>
      <c r="U4349" s="35"/>
      <c r="V4349" s="35"/>
      <c r="W4349" s="45"/>
    </row>
    <row r="4350">
      <c r="A4350" s="45"/>
      <c r="B4350" s="35"/>
      <c r="C4350" s="35"/>
      <c r="D4350" s="10"/>
      <c r="E4350" s="35" t="str">
        <f>IFERROR(__xludf.DUMMYFUNCTION("""COMPUTED_VALUE"""),"")</f>
        <v/>
      </c>
      <c r="F4350" s="35" t="str">
        <f>IFERROR(__xludf.DUMMYFUNCTION("""COMPUTED_VALUE"""),"1899")</f>
        <v>1899</v>
      </c>
      <c r="G4350" s="35"/>
      <c r="H4350" s="35" t="str">
        <f>IFERROR(__xludf.DUMMYFUNCTION("""COMPUTED_VALUE"""),"")</f>
        <v/>
      </c>
      <c r="I4350" s="35" t="str">
        <f>IFERROR(__xludf.DUMMYFUNCTION("""COMPUTED_VALUE"""),"")</f>
        <v/>
      </c>
      <c r="J4350" s="35" t="str">
        <f>IFERROR(__xludf.DUMMYFUNCTION("""COMPUTED_VALUE"""),"")</f>
        <v/>
      </c>
      <c r="K4350" s="35"/>
      <c r="L4350" s="35"/>
      <c r="M4350" s="35"/>
      <c r="N4350" s="35"/>
      <c r="O4350" s="35"/>
      <c r="P4350" s="35"/>
      <c r="Q4350" s="35"/>
      <c r="R4350" s="35"/>
      <c r="S4350" s="74"/>
      <c r="T4350" s="35"/>
      <c r="U4350" s="35"/>
      <c r="V4350" s="35"/>
      <c r="W4350" s="45"/>
    </row>
    <row r="4351">
      <c r="A4351" s="45"/>
      <c r="B4351" s="35"/>
      <c r="C4351" s="35"/>
      <c r="D4351" s="10"/>
      <c r="E4351" s="35" t="str">
        <f>IFERROR(__xludf.DUMMYFUNCTION("""COMPUTED_VALUE"""),"")</f>
        <v/>
      </c>
      <c r="F4351" s="35" t="str">
        <f>IFERROR(__xludf.DUMMYFUNCTION("""COMPUTED_VALUE"""),"1899")</f>
        <v>1899</v>
      </c>
      <c r="G4351" s="35"/>
      <c r="H4351" s="35" t="str">
        <f>IFERROR(__xludf.DUMMYFUNCTION("""COMPUTED_VALUE"""),"")</f>
        <v/>
      </c>
      <c r="I4351" s="35" t="str">
        <f>IFERROR(__xludf.DUMMYFUNCTION("""COMPUTED_VALUE"""),"")</f>
        <v/>
      </c>
      <c r="J4351" s="35" t="str">
        <f>IFERROR(__xludf.DUMMYFUNCTION("""COMPUTED_VALUE"""),"")</f>
        <v/>
      </c>
      <c r="K4351" s="35"/>
      <c r="L4351" s="35"/>
      <c r="M4351" s="35"/>
      <c r="N4351" s="35"/>
      <c r="O4351" s="35"/>
      <c r="P4351" s="35"/>
      <c r="Q4351" s="35"/>
      <c r="R4351" s="35"/>
      <c r="S4351" s="74"/>
      <c r="T4351" s="35"/>
      <c r="U4351" s="35"/>
      <c r="V4351" s="35"/>
      <c r="W4351" s="45"/>
    </row>
    <row r="4352">
      <c r="A4352" s="45"/>
      <c r="B4352" s="35"/>
      <c r="C4352" s="35"/>
      <c r="D4352" s="10"/>
      <c r="E4352" s="35" t="str">
        <f>IFERROR(__xludf.DUMMYFUNCTION("""COMPUTED_VALUE"""),"")</f>
        <v/>
      </c>
      <c r="F4352" s="35" t="str">
        <f>IFERROR(__xludf.DUMMYFUNCTION("""COMPUTED_VALUE"""),"1899")</f>
        <v>1899</v>
      </c>
      <c r="G4352" s="35"/>
      <c r="H4352" s="35" t="str">
        <f>IFERROR(__xludf.DUMMYFUNCTION("""COMPUTED_VALUE"""),"")</f>
        <v/>
      </c>
      <c r="I4352" s="35" t="str">
        <f>IFERROR(__xludf.DUMMYFUNCTION("""COMPUTED_VALUE"""),"")</f>
        <v/>
      </c>
      <c r="J4352" s="35" t="str">
        <f>IFERROR(__xludf.DUMMYFUNCTION("""COMPUTED_VALUE"""),"")</f>
        <v/>
      </c>
      <c r="K4352" s="35"/>
      <c r="L4352" s="35"/>
      <c r="M4352" s="35"/>
      <c r="N4352" s="35"/>
      <c r="O4352" s="35"/>
      <c r="P4352" s="35"/>
      <c r="Q4352" s="35"/>
      <c r="R4352" s="35"/>
      <c r="S4352" s="74"/>
      <c r="T4352" s="35"/>
      <c r="U4352" s="35"/>
      <c r="V4352" s="35"/>
      <c r="W4352" s="45"/>
    </row>
    <row r="4353">
      <c r="A4353" s="45"/>
      <c r="B4353" s="35"/>
      <c r="C4353" s="35"/>
      <c r="D4353" s="10"/>
      <c r="E4353" s="35" t="str">
        <f>IFERROR(__xludf.DUMMYFUNCTION("""COMPUTED_VALUE"""),"")</f>
        <v/>
      </c>
      <c r="F4353" s="35" t="str">
        <f>IFERROR(__xludf.DUMMYFUNCTION("""COMPUTED_VALUE"""),"1899")</f>
        <v>1899</v>
      </c>
      <c r="G4353" s="35"/>
      <c r="H4353" s="35" t="str">
        <f>IFERROR(__xludf.DUMMYFUNCTION("""COMPUTED_VALUE"""),"")</f>
        <v/>
      </c>
      <c r="I4353" s="35" t="str">
        <f>IFERROR(__xludf.DUMMYFUNCTION("""COMPUTED_VALUE"""),"")</f>
        <v/>
      </c>
      <c r="J4353" s="35" t="str">
        <f>IFERROR(__xludf.DUMMYFUNCTION("""COMPUTED_VALUE"""),"")</f>
        <v/>
      </c>
      <c r="K4353" s="35"/>
      <c r="L4353" s="35"/>
      <c r="M4353" s="35"/>
      <c r="N4353" s="35"/>
      <c r="O4353" s="35"/>
      <c r="P4353" s="35"/>
      <c r="Q4353" s="35"/>
      <c r="R4353" s="35"/>
      <c r="S4353" s="74"/>
      <c r="T4353" s="35"/>
      <c r="U4353" s="35"/>
      <c r="V4353" s="35"/>
      <c r="W4353" s="45"/>
    </row>
    <row r="4354">
      <c r="A4354" s="45"/>
      <c r="B4354" s="35"/>
      <c r="C4354" s="35"/>
      <c r="D4354" s="10"/>
      <c r="E4354" s="35" t="str">
        <f>IFERROR(__xludf.DUMMYFUNCTION("""COMPUTED_VALUE"""),"")</f>
        <v/>
      </c>
      <c r="F4354" s="35" t="str">
        <f>IFERROR(__xludf.DUMMYFUNCTION("""COMPUTED_VALUE"""),"1899")</f>
        <v>1899</v>
      </c>
      <c r="G4354" s="35"/>
      <c r="H4354" s="35" t="str">
        <f>IFERROR(__xludf.DUMMYFUNCTION("""COMPUTED_VALUE"""),"")</f>
        <v/>
      </c>
      <c r="I4354" s="35" t="str">
        <f>IFERROR(__xludf.DUMMYFUNCTION("""COMPUTED_VALUE"""),"")</f>
        <v/>
      </c>
      <c r="J4354" s="35" t="str">
        <f>IFERROR(__xludf.DUMMYFUNCTION("""COMPUTED_VALUE"""),"")</f>
        <v/>
      </c>
      <c r="K4354" s="35"/>
      <c r="L4354" s="35"/>
      <c r="M4354" s="35"/>
      <c r="N4354" s="35"/>
      <c r="O4354" s="35"/>
      <c r="P4354" s="35"/>
      <c r="Q4354" s="35"/>
      <c r="R4354" s="35"/>
      <c r="S4354" s="74"/>
      <c r="T4354" s="35"/>
      <c r="U4354" s="35"/>
      <c r="V4354" s="35"/>
      <c r="W4354" s="45"/>
    </row>
    <row r="4355">
      <c r="A4355" s="45"/>
      <c r="B4355" s="35"/>
      <c r="C4355" s="35"/>
      <c r="D4355" s="10"/>
      <c r="E4355" s="35" t="str">
        <f>IFERROR(__xludf.DUMMYFUNCTION("""COMPUTED_VALUE"""),"")</f>
        <v/>
      </c>
      <c r="F4355" s="35" t="str">
        <f>IFERROR(__xludf.DUMMYFUNCTION("""COMPUTED_VALUE"""),"1899")</f>
        <v>1899</v>
      </c>
      <c r="G4355" s="35"/>
      <c r="H4355" s="35" t="str">
        <f>IFERROR(__xludf.DUMMYFUNCTION("""COMPUTED_VALUE"""),"")</f>
        <v/>
      </c>
      <c r="I4355" s="35" t="str">
        <f>IFERROR(__xludf.DUMMYFUNCTION("""COMPUTED_VALUE"""),"")</f>
        <v/>
      </c>
      <c r="J4355" s="35" t="str">
        <f>IFERROR(__xludf.DUMMYFUNCTION("""COMPUTED_VALUE"""),"")</f>
        <v/>
      </c>
      <c r="K4355" s="35"/>
      <c r="L4355" s="35"/>
      <c r="M4355" s="35"/>
      <c r="N4355" s="35"/>
      <c r="O4355" s="35"/>
      <c r="P4355" s="35"/>
      <c r="Q4355" s="35"/>
      <c r="R4355" s="35"/>
      <c r="S4355" s="74"/>
      <c r="T4355" s="35"/>
      <c r="U4355" s="35"/>
      <c r="V4355" s="35"/>
      <c r="W4355" s="45"/>
    </row>
    <row r="4356">
      <c r="A4356" s="45"/>
      <c r="B4356" s="35"/>
      <c r="C4356" s="35"/>
      <c r="D4356" s="10"/>
      <c r="E4356" s="35" t="str">
        <f>IFERROR(__xludf.DUMMYFUNCTION("""COMPUTED_VALUE"""),"")</f>
        <v/>
      </c>
      <c r="F4356" s="35" t="str">
        <f>IFERROR(__xludf.DUMMYFUNCTION("""COMPUTED_VALUE"""),"1899")</f>
        <v>1899</v>
      </c>
      <c r="G4356" s="35"/>
      <c r="H4356" s="35" t="str">
        <f>IFERROR(__xludf.DUMMYFUNCTION("""COMPUTED_VALUE"""),"")</f>
        <v/>
      </c>
      <c r="I4356" s="35" t="str">
        <f>IFERROR(__xludf.DUMMYFUNCTION("""COMPUTED_VALUE"""),"")</f>
        <v/>
      </c>
      <c r="J4356" s="35" t="str">
        <f>IFERROR(__xludf.DUMMYFUNCTION("""COMPUTED_VALUE"""),"")</f>
        <v/>
      </c>
      <c r="K4356" s="35"/>
      <c r="L4356" s="35"/>
      <c r="M4356" s="35"/>
      <c r="N4356" s="35"/>
      <c r="O4356" s="35"/>
      <c r="P4356" s="35"/>
      <c r="Q4356" s="35"/>
      <c r="R4356" s="35"/>
      <c r="S4356" s="74"/>
      <c r="T4356" s="35"/>
      <c r="U4356" s="35"/>
      <c r="V4356" s="35"/>
      <c r="W4356" s="45"/>
    </row>
    <row r="4357">
      <c r="A4357" s="45"/>
      <c r="B4357" s="35"/>
      <c r="C4357" s="35"/>
      <c r="D4357" s="10"/>
      <c r="E4357" s="35" t="str">
        <f>IFERROR(__xludf.DUMMYFUNCTION("""COMPUTED_VALUE"""),"")</f>
        <v/>
      </c>
      <c r="F4357" s="35" t="str">
        <f>IFERROR(__xludf.DUMMYFUNCTION("""COMPUTED_VALUE"""),"1899")</f>
        <v>1899</v>
      </c>
      <c r="G4357" s="35"/>
      <c r="H4357" s="35" t="str">
        <f>IFERROR(__xludf.DUMMYFUNCTION("""COMPUTED_VALUE"""),"")</f>
        <v/>
      </c>
      <c r="I4357" s="35" t="str">
        <f>IFERROR(__xludf.DUMMYFUNCTION("""COMPUTED_VALUE"""),"")</f>
        <v/>
      </c>
      <c r="J4357" s="35" t="str">
        <f>IFERROR(__xludf.DUMMYFUNCTION("""COMPUTED_VALUE"""),"")</f>
        <v/>
      </c>
      <c r="K4357" s="35"/>
      <c r="L4357" s="35"/>
      <c r="M4357" s="35"/>
      <c r="N4357" s="35"/>
      <c r="O4357" s="35"/>
      <c r="P4357" s="35"/>
      <c r="Q4357" s="35"/>
      <c r="R4357" s="35"/>
      <c r="S4357" s="74"/>
      <c r="T4357" s="35"/>
      <c r="U4357" s="35"/>
      <c r="V4357" s="35"/>
      <c r="W4357" s="45"/>
    </row>
    <row r="4358">
      <c r="A4358" s="45"/>
      <c r="B4358" s="35"/>
      <c r="C4358" s="35"/>
      <c r="D4358" s="10"/>
      <c r="E4358" s="35" t="str">
        <f>IFERROR(__xludf.DUMMYFUNCTION("""COMPUTED_VALUE"""),"")</f>
        <v/>
      </c>
      <c r="F4358" s="35" t="str">
        <f>IFERROR(__xludf.DUMMYFUNCTION("""COMPUTED_VALUE"""),"1899")</f>
        <v>1899</v>
      </c>
      <c r="G4358" s="35"/>
      <c r="H4358" s="35" t="str">
        <f>IFERROR(__xludf.DUMMYFUNCTION("""COMPUTED_VALUE"""),"")</f>
        <v/>
      </c>
      <c r="I4358" s="35" t="str">
        <f>IFERROR(__xludf.DUMMYFUNCTION("""COMPUTED_VALUE"""),"")</f>
        <v/>
      </c>
      <c r="J4358" s="35" t="str">
        <f>IFERROR(__xludf.DUMMYFUNCTION("""COMPUTED_VALUE"""),"")</f>
        <v/>
      </c>
      <c r="K4358" s="35"/>
      <c r="L4358" s="35"/>
      <c r="M4358" s="35"/>
      <c r="N4358" s="35"/>
      <c r="O4358" s="35"/>
      <c r="P4358" s="35"/>
      <c r="Q4358" s="35"/>
      <c r="R4358" s="35"/>
      <c r="S4358" s="74"/>
      <c r="T4358" s="35"/>
      <c r="U4358" s="35"/>
      <c r="V4358" s="35"/>
      <c r="W4358" s="45"/>
    </row>
    <row r="4359">
      <c r="A4359" s="45"/>
      <c r="B4359" s="35"/>
      <c r="C4359" s="35"/>
      <c r="D4359" s="10"/>
      <c r="E4359" s="35" t="str">
        <f>IFERROR(__xludf.DUMMYFUNCTION("""COMPUTED_VALUE"""),"")</f>
        <v/>
      </c>
      <c r="F4359" s="35" t="str">
        <f>IFERROR(__xludf.DUMMYFUNCTION("""COMPUTED_VALUE"""),"1899")</f>
        <v>1899</v>
      </c>
      <c r="G4359" s="35"/>
      <c r="H4359" s="35" t="str">
        <f>IFERROR(__xludf.DUMMYFUNCTION("""COMPUTED_VALUE"""),"")</f>
        <v/>
      </c>
      <c r="I4359" s="35" t="str">
        <f>IFERROR(__xludf.DUMMYFUNCTION("""COMPUTED_VALUE"""),"")</f>
        <v/>
      </c>
      <c r="J4359" s="35" t="str">
        <f>IFERROR(__xludf.DUMMYFUNCTION("""COMPUTED_VALUE"""),"")</f>
        <v/>
      </c>
      <c r="K4359" s="35"/>
      <c r="L4359" s="35"/>
      <c r="M4359" s="35"/>
      <c r="N4359" s="35"/>
      <c r="O4359" s="35"/>
      <c r="P4359" s="35"/>
      <c r="Q4359" s="35"/>
      <c r="R4359" s="35"/>
      <c r="S4359" s="74"/>
      <c r="T4359" s="35"/>
      <c r="U4359" s="35"/>
      <c r="V4359" s="35"/>
      <c r="W4359" s="45"/>
    </row>
    <row r="4360">
      <c r="A4360" s="45"/>
      <c r="B4360" s="35"/>
      <c r="C4360" s="35"/>
      <c r="D4360" s="10"/>
      <c r="E4360" s="35" t="str">
        <f>IFERROR(__xludf.DUMMYFUNCTION("""COMPUTED_VALUE"""),"")</f>
        <v/>
      </c>
      <c r="F4360" s="35" t="str">
        <f>IFERROR(__xludf.DUMMYFUNCTION("""COMPUTED_VALUE"""),"1899")</f>
        <v>1899</v>
      </c>
      <c r="G4360" s="35"/>
      <c r="H4360" s="35" t="str">
        <f>IFERROR(__xludf.DUMMYFUNCTION("""COMPUTED_VALUE"""),"")</f>
        <v/>
      </c>
      <c r="I4360" s="35" t="str">
        <f>IFERROR(__xludf.DUMMYFUNCTION("""COMPUTED_VALUE"""),"")</f>
        <v/>
      </c>
      <c r="J4360" s="35" t="str">
        <f>IFERROR(__xludf.DUMMYFUNCTION("""COMPUTED_VALUE"""),"")</f>
        <v/>
      </c>
      <c r="K4360" s="35"/>
      <c r="L4360" s="35"/>
      <c r="M4360" s="35"/>
      <c r="N4360" s="35"/>
      <c r="O4360" s="35"/>
      <c r="P4360" s="35"/>
      <c r="Q4360" s="35"/>
      <c r="R4360" s="35"/>
      <c r="S4360" s="74"/>
      <c r="T4360" s="35"/>
      <c r="U4360" s="35"/>
      <c r="V4360" s="35"/>
      <c r="W4360" s="45"/>
    </row>
    <row r="4361">
      <c r="A4361" s="45"/>
      <c r="B4361" s="35"/>
      <c r="C4361" s="35"/>
      <c r="D4361" s="10"/>
      <c r="E4361" s="35" t="str">
        <f>IFERROR(__xludf.DUMMYFUNCTION("""COMPUTED_VALUE"""),"")</f>
        <v/>
      </c>
      <c r="F4361" s="35" t="str">
        <f>IFERROR(__xludf.DUMMYFUNCTION("""COMPUTED_VALUE"""),"1899")</f>
        <v>1899</v>
      </c>
      <c r="G4361" s="35"/>
      <c r="H4361" s="35" t="str">
        <f>IFERROR(__xludf.DUMMYFUNCTION("""COMPUTED_VALUE"""),"")</f>
        <v/>
      </c>
      <c r="I4361" s="35" t="str">
        <f>IFERROR(__xludf.DUMMYFUNCTION("""COMPUTED_VALUE"""),"")</f>
        <v/>
      </c>
      <c r="J4361" s="35" t="str">
        <f>IFERROR(__xludf.DUMMYFUNCTION("""COMPUTED_VALUE"""),"")</f>
        <v/>
      </c>
      <c r="K4361" s="35"/>
      <c r="L4361" s="35"/>
      <c r="M4361" s="35"/>
      <c r="N4361" s="35"/>
      <c r="O4361" s="35"/>
      <c r="P4361" s="35"/>
      <c r="Q4361" s="35"/>
      <c r="R4361" s="35"/>
      <c r="S4361" s="74"/>
      <c r="T4361" s="35"/>
      <c r="U4361" s="35"/>
      <c r="V4361" s="35"/>
      <c r="W4361" s="45"/>
    </row>
    <row r="4362">
      <c r="A4362" s="45"/>
      <c r="B4362" s="35"/>
      <c r="C4362" s="35"/>
      <c r="D4362" s="10"/>
      <c r="E4362" s="35" t="str">
        <f>IFERROR(__xludf.DUMMYFUNCTION("""COMPUTED_VALUE"""),"")</f>
        <v/>
      </c>
      <c r="F4362" s="35" t="str">
        <f>IFERROR(__xludf.DUMMYFUNCTION("""COMPUTED_VALUE"""),"1899")</f>
        <v>1899</v>
      </c>
      <c r="G4362" s="35"/>
      <c r="H4362" s="35" t="str">
        <f>IFERROR(__xludf.DUMMYFUNCTION("""COMPUTED_VALUE"""),"")</f>
        <v/>
      </c>
      <c r="I4362" s="35" t="str">
        <f>IFERROR(__xludf.DUMMYFUNCTION("""COMPUTED_VALUE"""),"")</f>
        <v/>
      </c>
      <c r="J4362" s="35" t="str">
        <f>IFERROR(__xludf.DUMMYFUNCTION("""COMPUTED_VALUE"""),"")</f>
        <v/>
      </c>
      <c r="K4362" s="35"/>
      <c r="L4362" s="35"/>
      <c r="M4362" s="35"/>
      <c r="N4362" s="35"/>
      <c r="O4362" s="35"/>
      <c r="P4362" s="35"/>
      <c r="Q4362" s="35"/>
      <c r="R4362" s="35"/>
      <c r="S4362" s="74"/>
      <c r="T4362" s="35"/>
      <c r="U4362" s="35"/>
      <c r="V4362" s="35"/>
      <c r="W4362" s="45"/>
    </row>
    <row r="4363">
      <c r="A4363" s="45"/>
      <c r="B4363" s="35"/>
      <c r="C4363" s="35"/>
      <c r="D4363" s="10"/>
      <c r="E4363" s="35" t="str">
        <f>IFERROR(__xludf.DUMMYFUNCTION("""COMPUTED_VALUE"""),"")</f>
        <v/>
      </c>
      <c r="F4363" s="35" t="str">
        <f>IFERROR(__xludf.DUMMYFUNCTION("""COMPUTED_VALUE"""),"1899")</f>
        <v>1899</v>
      </c>
      <c r="G4363" s="35"/>
      <c r="H4363" s="35" t="str">
        <f>IFERROR(__xludf.DUMMYFUNCTION("""COMPUTED_VALUE"""),"")</f>
        <v/>
      </c>
      <c r="I4363" s="35" t="str">
        <f>IFERROR(__xludf.DUMMYFUNCTION("""COMPUTED_VALUE"""),"")</f>
        <v/>
      </c>
      <c r="J4363" s="35" t="str">
        <f>IFERROR(__xludf.DUMMYFUNCTION("""COMPUTED_VALUE"""),"")</f>
        <v/>
      </c>
      <c r="K4363" s="35"/>
      <c r="L4363" s="35"/>
      <c r="M4363" s="35"/>
      <c r="N4363" s="35"/>
      <c r="O4363" s="35"/>
      <c r="P4363" s="35"/>
      <c r="Q4363" s="35"/>
      <c r="R4363" s="35"/>
      <c r="S4363" s="74"/>
      <c r="T4363" s="35"/>
      <c r="U4363" s="35"/>
      <c r="V4363" s="35"/>
      <c r="W4363" s="45"/>
    </row>
    <row r="4364">
      <c r="A4364" s="45"/>
      <c r="B4364" s="35"/>
      <c r="C4364" s="35"/>
      <c r="D4364" s="10"/>
      <c r="E4364" s="35" t="str">
        <f>IFERROR(__xludf.DUMMYFUNCTION("""COMPUTED_VALUE"""),"")</f>
        <v/>
      </c>
      <c r="F4364" s="35" t="str">
        <f>IFERROR(__xludf.DUMMYFUNCTION("""COMPUTED_VALUE"""),"1899")</f>
        <v>1899</v>
      </c>
      <c r="G4364" s="35"/>
      <c r="H4364" s="35" t="str">
        <f>IFERROR(__xludf.DUMMYFUNCTION("""COMPUTED_VALUE"""),"")</f>
        <v/>
      </c>
      <c r="I4364" s="35" t="str">
        <f>IFERROR(__xludf.DUMMYFUNCTION("""COMPUTED_VALUE"""),"")</f>
        <v/>
      </c>
      <c r="J4364" s="35" t="str">
        <f>IFERROR(__xludf.DUMMYFUNCTION("""COMPUTED_VALUE"""),"")</f>
        <v/>
      </c>
      <c r="K4364" s="35"/>
      <c r="L4364" s="35"/>
      <c r="M4364" s="35"/>
      <c r="N4364" s="35"/>
      <c r="O4364" s="35"/>
      <c r="P4364" s="35"/>
      <c r="Q4364" s="35"/>
      <c r="R4364" s="35"/>
      <c r="S4364" s="74"/>
      <c r="T4364" s="35"/>
      <c r="U4364" s="35"/>
      <c r="V4364" s="35"/>
      <c r="W4364" s="45"/>
    </row>
    <row r="4365">
      <c r="A4365" s="45"/>
      <c r="B4365" s="35"/>
      <c r="C4365" s="35"/>
      <c r="D4365" s="10"/>
      <c r="E4365" s="35" t="str">
        <f>IFERROR(__xludf.DUMMYFUNCTION("""COMPUTED_VALUE"""),"")</f>
        <v/>
      </c>
      <c r="F4365" s="35" t="str">
        <f>IFERROR(__xludf.DUMMYFUNCTION("""COMPUTED_VALUE"""),"1899")</f>
        <v>1899</v>
      </c>
      <c r="G4365" s="35"/>
      <c r="H4365" s="35" t="str">
        <f>IFERROR(__xludf.DUMMYFUNCTION("""COMPUTED_VALUE"""),"")</f>
        <v/>
      </c>
      <c r="I4365" s="35" t="str">
        <f>IFERROR(__xludf.DUMMYFUNCTION("""COMPUTED_VALUE"""),"")</f>
        <v/>
      </c>
      <c r="J4365" s="35" t="str">
        <f>IFERROR(__xludf.DUMMYFUNCTION("""COMPUTED_VALUE"""),"")</f>
        <v/>
      </c>
      <c r="K4365" s="35"/>
      <c r="L4365" s="35"/>
      <c r="M4365" s="35"/>
      <c r="N4365" s="35"/>
      <c r="O4365" s="35"/>
      <c r="P4365" s="35"/>
      <c r="Q4365" s="35"/>
      <c r="R4365" s="35"/>
      <c r="S4365" s="74"/>
      <c r="T4365" s="35"/>
      <c r="U4365" s="35"/>
      <c r="V4365" s="35"/>
      <c r="W4365" s="45"/>
    </row>
    <row r="4366">
      <c r="A4366" s="45"/>
      <c r="B4366" s="35"/>
      <c r="C4366" s="35"/>
      <c r="D4366" s="10"/>
      <c r="E4366" s="35" t="str">
        <f>IFERROR(__xludf.DUMMYFUNCTION("""COMPUTED_VALUE"""),"")</f>
        <v/>
      </c>
      <c r="F4366" s="35" t="str">
        <f>IFERROR(__xludf.DUMMYFUNCTION("""COMPUTED_VALUE"""),"1899")</f>
        <v>1899</v>
      </c>
      <c r="G4366" s="35"/>
      <c r="H4366" s="35" t="str">
        <f>IFERROR(__xludf.DUMMYFUNCTION("""COMPUTED_VALUE"""),"")</f>
        <v/>
      </c>
      <c r="I4366" s="35" t="str">
        <f>IFERROR(__xludf.DUMMYFUNCTION("""COMPUTED_VALUE"""),"")</f>
        <v/>
      </c>
      <c r="J4366" s="35" t="str">
        <f>IFERROR(__xludf.DUMMYFUNCTION("""COMPUTED_VALUE"""),"")</f>
        <v/>
      </c>
      <c r="K4366" s="35"/>
      <c r="L4366" s="35"/>
      <c r="M4366" s="35"/>
      <c r="N4366" s="35"/>
      <c r="O4366" s="35"/>
      <c r="P4366" s="35"/>
      <c r="Q4366" s="35"/>
      <c r="R4366" s="35"/>
      <c r="S4366" s="74"/>
      <c r="T4366" s="35"/>
      <c r="U4366" s="35"/>
      <c r="V4366" s="35"/>
      <c r="W4366" s="45"/>
    </row>
    <row r="4367">
      <c r="A4367" s="45"/>
      <c r="B4367" s="35"/>
      <c r="C4367" s="35"/>
      <c r="D4367" s="10"/>
      <c r="E4367" s="35" t="str">
        <f>IFERROR(__xludf.DUMMYFUNCTION("""COMPUTED_VALUE"""),"")</f>
        <v/>
      </c>
      <c r="F4367" s="35" t="str">
        <f>IFERROR(__xludf.DUMMYFUNCTION("""COMPUTED_VALUE"""),"1899")</f>
        <v>1899</v>
      </c>
      <c r="G4367" s="35"/>
      <c r="H4367" s="35" t="str">
        <f>IFERROR(__xludf.DUMMYFUNCTION("""COMPUTED_VALUE"""),"")</f>
        <v/>
      </c>
      <c r="I4367" s="35" t="str">
        <f>IFERROR(__xludf.DUMMYFUNCTION("""COMPUTED_VALUE"""),"")</f>
        <v/>
      </c>
      <c r="J4367" s="35" t="str">
        <f>IFERROR(__xludf.DUMMYFUNCTION("""COMPUTED_VALUE"""),"")</f>
        <v/>
      </c>
      <c r="K4367" s="35"/>
      <c r="L4367" s="35"/>
      <c r="M4367" s="35"/>
      <c r="N4367" s="35"/>
      <c r="O4367" s="35"/>
      <c r="P4367" s="35"/>
      <c r="Q4367" s="35"/>
      <c r="R4367" s="35"/>
      <c r="S4367" s="74"/>
      <c r="T4367" s="35"/>
      <c r="U4367" s="35"/>
      <c r="V4367" s="35"/>
      <c r="W4367" s="45"/>
    </row>
    <row r="4368">
      <c r="A4368" s="45"/>
      <c r="B4368" s="35"/>
      <c r="C4368" s="35"/>
      <c r="D4368" s="10"/>
      <c r="E4368" s="35" t="str">
        <f>IFERROR(__xludf.DUMMYFUNCTION("""COMPUTED_VALUE"""),"")</f>
        <v/>
      </c>
      <c r="F4368" s="35" t="str">
        <f>IFERROR(__xludf.DUMMYFUNCTION("""COMPUTED_VALUE"""),"1899")</f>
        <v>1899</v>
      </c>
      <c r="G4368" s="35"/>
      <c r="H4368" s="35" t="str">
        <f>IFERROR(__xludf.DUMMYFUNCTION("""COMPUTED_VALUE"""),"")</f>
        <v/>
      </c>
      <c r="I4368" s="35" t="str">
        <f>IFERROR(__xludf.DUMMYFUNCTION("""COMPUTED_VALUE"""),"")</f>
        <v/>
      </c>
      <c r="J4368" s="35" t="str">
        <f>IFERROR(__xludf.DUMMYFUNCTION("""COMPUTED_VALUE"""),"")</f>
        <v/>
      </c>
      <c r="K4368" s="35"/>
      <c r="L4368" s="35"/>
      <c r="M4368" s="35"/>
      <c r="N4368" s="35"/>
      <c r="O4368" s="35"/>
      <c r="P4368" s="35"/>
      <c r="Q4368" s="35"/>
      <c r="R4368" s="35"/>
      <c r="S4368" s="74"/>
      <c r="T4368" s="35"/>
      <c r="U4368" s="35"/>
      <c r="V4368" s="35"/>
      <c r="W4368" s="45"/>
    </row>
    <row r="4369">
      <c r="A4369" s="45"/>
      <c r="B4369" s="35"/>
      <c r="C4369" s="35"/>
      <c r="D4369" s="10"/>
      <c r="E4369" s="35" t="str">
        <f>IFERROR(__xludf.DUMMYFUNCTION("""COMPUTED_VALUE"""),"")</f>
        <v/>
      </c>
      <c r="F4369" s="35" t="str">
        <f>IFERROR(__xludf.DUMMYFUNCTION("""COMPUTED_VALUE"""),"1899")</f>
        <v>1899</v>
      </c>
      <c r="G4369" s="35"/>
      <c r="H4369" s="35" t="str">
        <f>IFERROR(__xludf.DUMMYFUNCTION("""COMPUTED_VALUE"""),"")</f>
        <v/>
      </c>
      <c r="I4369" s="35" t="str">
        <f>IFERROR(__xludf.DUMMYFUNCTION("""COMPUTED_VALUE"""),"")</f>
        <v/>
      </c>
      <c r="J4369" s="35" t="str">
        <f>IFERROR(__xludf.DUMMYFUNCTION("""COMPUTED_VALUE"""),"")</f>
        <v/>
      </c>
      <c r="K4369" s="35"/>
      <c r="L4369" s="35"/>
      <c r="M4369" s="35"/>
      <c r="N4369" s="35"/>
      <c r="O4369" s="35"/>
      <c r="P4369" s="35"/>
      <c r="Q4369" s="35"/>
      <c r="R4369" s="35"/>
      <c r="S4369" s="74"/>
      <c r="T4369" s="35"/>
      <c r="U4369" s="35"/>
      <c r="V4369" s="35"/>
      <c r="W4369" s="45"/>
    </row>
    <row r="4370">
      <c r="A4370" s="45"/>
      <c r="B4370" s="35"/>
      <c r="C4370" s="35"/>
      <c r="D4370" s="10"/>
      <c r="E4370" s="35" t="str">
        <f>IFERROR(__xludf.DUMMYFUNCTION("""COMPUTED_VALUE"""),"")</f>
        <v/>
      </c>
      <c r="F4370" s="35" t="str">
        <f>IFERROR(__xludf.DUMMYFUNCTION("""COMPUTED_VALUE"""),"1899")</f>
        <v>1899</v>
      </c>
      <c r="G4370" s="35"/>
      <c r="H4370" s="35" t="str">
        <f>IFERROR(__xludf.DUMMYFUNCTION("""COMPUTED_VALUE"""),"")</f>
        <v/>
      </c>
      <c r="I4370" s="35" t="str">
        <f>IFERROR(__xludf.DUMMYFUNCTION("""COMPUTED_VALUE"""),"")</f>
        <v/>
      </c>
      <c r="J4370" s="35" t="str">
        <f>IFERROR(__xludf.DUMMYFUNCTION("""COMPUTED_VALUE"""),"")</f>
        <v/>
      </c>
      <c r="K4370" s="35"/>
      <c r="L4370" s="35"/>
      <c r="M4370" s="35"/>
      <c r="N4370" s="35"/>
      <c r="O4370" s="35"/>
      <c r="P4370" s="35"/>
      <c r="Q4370" s="35"/>
      <c r="R4370" s="35"/>
      <c r="S4370" s="74"/>
      <c r="T4370" s="35"/>
      <c r="U4370" s="35"/>
      <c r="V4370" s="35"/>
      <c r="W4370" s="45"/>
    </row>
    <row r="4371">
      <c r="A4371" s="45"/>
      <c r="B4371" s="35"/>
      <c r="C4371" s="35"/>
      <c r="D4371" s="10"/>
      <c r="E4371" s="35" t="str">
        <f>IFERROR(__xludf.DUMMYFUNCTION("""COMPUTED_VALUE"""),"")</f>
        <v/>
      </c>
      <c r="F4371" s="35" t="str">
        <f>IFERROR(__xludf.DUMMYFUNCTION("""COMPUTED_VALUE"""),"1899")</f>
        <v>1899</v>
      </c>
      <c r="G4371" s="35"/>
      <c r="H4371" s="35" t="str">
        <f>IFERROR(__xludf.DUMMYFUNCTION("""COMPUTED_VALUE"""),"")</f>
        <v/>
      </c>
      <c r="I4371" s="35" t="str">
        <f>IFERROR(__xludf.DUMMYFUNCTION("""COMPUTED_VALUE"""),"")</f>
        <v/>
      </c>
      <c r="J4371" s="35" t="str">
        <f>IFERROR(__xludf.DUMMYFUNCTION("""COMPUTED_VALUE"""),"")</f>
        <v/>
      </c>
      <c r="K4371" s="35"/>
      <c r="L4371" s="35"/>
      <c r="M4371" s="35"/>
      <c r="N4371" s="35"/>
      <c r="O4371" s="35"/>
      <c r="P4371" s="35"/>
      <c r="Q4371" s="35"/>
      <c r="R4371" s="35"/>
      <c r="S4371" s="74"/>
      <c r="T4371" s="35"/>
      <c r="U4371" s="35"/>
      <c r="V4371" s="35"/>
      <c r="W4371" s="45"/>
    </row>
    <row r="4372">
      <c r="A4372" s="45"/>
      <c r="B4372" s="35"/>
      <c r="C4372" s="35"/>
      <c r="D4372" s="10"/>
      <c r="E4372" s="35" t="str">
        <f>IFERROR(__xludf.DUMMYFUNCTION("""COMPUTED_VALUE"""),"")</f>
        <v/>
      </c>
      <c r="F4372" s="35" t="str">
        <f>IFERROR(__xludf.DUMMYFUNCTION("""COMPUTED_VALUE"""),"1899")</f>
        <v>1899</v>
      </c>
      <c r="G4372" s="35"/>
      <c r="H4372" s="35" t="str">
        <f>IFERROR(__xludf.DUMMYFUNCTION("""COMPUTED_VALUE"""),"")</f>
        <v/>
      </c>
      <c r="I4372" s="35" t="str">
        <f>IFERROR(__xludf.DUMMYFUNCTION("""COMPUTED_VALUE"""),"")</f>
        <v/>
      </c>
      <c r="J4372" s="35" t="str">
        <f>IFERROR(__xludf.DUMMYFUNCTION("""COMPUTED_VALUE"""),"")</f>
        <v/>
      </c>
      <c r="K4372" s="35"/>
      <c r="L4372" s="35"/>
      <c r="M4372" s="35"/>
      <c r="N4372" s="35"/>
      <c r="O4372" s="35"/>
      <c r="P4372" s="35"/>
      <c r="Q4372" s="35"/>
      <c r="R4372" s="35"/>
      <c r="S4372" s="74"/>
      <c r="T4372" s="35"/>
      <c r="U4372" s="35"/>
      <c r="V4372" s="35"/>
      <c r="W4372" s="45"/>
    </row>
    <row r="4373">
      <c r="A4373" s="45"/>
      <c r="B4373" s="35"/>
      <c r="C4373" s="35"/>
      <c r="D4373" s="10"/>
      <c r="E4373" s="35" t="str">
        <f>IFERROR(__xludf.DUMMYFUNCTION("""COMPUTED_VALUE"""),"")</f>
        <v/>
      </c>
      <c r="F4373" s="35" t="str">
        <f>IFERROR(__xludf.DUMMYFUNCTION("""COMPUTED_VALUE"""),"1899")</f>
        <v>1899</v>
      </c>
      <c r="G4373" s="35"/>
      <c r="H4373" s="35" t="str">
        <f>IFERROR(__xludf.DUMMYFUNCTION("""COMPUTED_VALUE"""),"")</f>
        <v/>
      </c>
      <c r="I4373" s="35" t="str">
        <f>IFERROR(__xludf.DUMMYFUNCTION("""COMPUTED_VALUE"""),"")</f>
        <v/>
      </c>
      <c r="J4373" s="35" t="str">
        <f>IFERROR(__xludf.DUMMYFUNCTION("""COMPUTED_VALUE"""),"")</f>
        <v/>
      </c>
      <c r="K4373" s="35"/>
      <c r="L4373" s="35"/>
      <c r="M4373" s="35"/>
      <c r="N4373" s="35"/>
      <c r="O4373" s="35"/>
      <c r="P4373" s="35"/>
      <c r="Q4373" s="35"/>
      <c r="R4373" s="35"/>
      <c r="S4373" s="74"/>
      <c r="T4373" s="35"/>
      <c r="U4373" s="35"/>
      <c r="V4373" s="35"/>
      <c r="W4373" s="45"/>
    </row>
    <row r="4374">
      <c r="A4374" s="45"/>
      <c r="B4374" s="35"/>
      <c r="C4374" s="35"/>
      <c r="D4374" s="10"/>
      <c r="E4374" s="35" t="str">
        <f>IFERROR(__xludf.DUMMYFUNCTION("""COMPUTED_VALUE"""),"")</f>
        <v/>
      </c>
      <c r="F4374" s="35" t="str">
        <f>IFERROR(__xludf.DUMMYFUNCTION("""COMPUTED_VALUE"""),"1899")</f>
        <v>1899</v>
      </c>
      <c r="G4374" s="35"/>
      <c r="H4374" s="35" t="str">
        <f>IFERROR(__xludf.DUMMYFUNCTION("""COMPUTED_VALUE"""),"")</f>
        <v/>
      </c>
      <c r="I4374" s="35" t="str">
        <f>IFERROR(__xludf.DUMMYFUNCTION("""COMPUTED_VALUE"""),"")</f>
        <v/>
      </c>
      <c r="J4374" s="35" t="str">
        <f>IFERROR(__xludf.DUMMYFUNCTION("""COMPUTED_VALUE"""),"")</f>
        <v/>
      </c>
      <c r="K4374" s="35"/>
      <c r="L4374" s="35"/>
      <c r="M4374" s="35"/>
      <c r="N4374" s="35"/>
      <c r="O4374" s="35"/>
      <c r="P4374" s="35"/>
      <c r="Q4374" s="35"/>
      <c r="R4374" s="35"/>
      <c r="S4374" s="74"/>
      <c r="T4374" s="35"/>
      <c r="U4374" s="35"/>
      <c r="V4374" s="35"/>
      <c r="W4374" s="45"/>
    </row>
    <row r="4375">
      <c r="A4375" s="45"/>
      <c r="B4375" s="35"/>
      <c r="C4375" s="35"/>
      <c r="D4375" s="10"/>
      <c r="E4375" s="35" t="str">
        <f>IFERROR(__xludf.DUMMYFUNCTION("""COMPUTED_VALUE"""),"")</f>
        <v/>
      </c>
      <c r="F4375" s="35" t="str">
        <f>IFERROR(__xludf.DUMMYFUNCTION("""COMPUTED_VALUE"""),"1899")</f>
        <v>1899</v>
      </c>
      <c r="G4375" s="35"/>
      <c r="H4375" s="35" t="str">
        <f>IFERROR(__xludf.DUMMYFUNCTION("""COMPUTED_VALUE"""),"")</f>
        <v/>
      </c>
      <c r="I4375" s="35" t="str">
        <f>IFERROR(__xludf.DUMMYFUNCTION("""COMPUTED_VALUE"""),"")</f>
        <v/>
      </c>
      <c r="J4375" s="35" t="str">
        <f>IFERROR(__xludf.DUMMYFUNCTION("""COMPUTED_VALUE"""),"")</f>
        <v/>
      </c>
      <c r="K4375" s="35"/>
      <c r="L4375" s="35"/>
      <c r="M4375" s="35"/>
      <c r="N4375" s="35"/>
      <c r="O4375" s="35"/>
      <c r="P4375" s="35"/>
      <c r="Q4375" s="35"/>
      <c r="R4375" s="35"/>
      <c r="S4375" s="74"/>
      <c r="T4375" s="35"/>
      <c r="U4375" s="35"/>
      <c r="V4375" s="35"/>
      <c r="W4375" s="45"/>
    </row>
    <row r="4376">
      <c r="A4376" s="45"/>
      <c r="B4376" s="35"/>
      <c r="C4376" s="35"/>
      <c r="D4376" s="10"/>
      <c r="E4376" s="35" t="str">
        <f>IFERROR(__xludf.DUMMYFUNCTION("""COMPUTED_VALUE"""),"")</f>
        <v/>
      </c>
      <c r="F4376" s="35" t="str">
        <f>IFERROR(__xludf.DUMMYFUNCTION("""COMPUTED_VALUE"""),"1899")</f>
        <v>1899</v>
      </c>
      <c r="G4376" s="35"/>
      <c r="H4376" s="35" t="str">
        <f>IFERROR(__xludf.DUMMYFUNCTION("""COMPUTED_VALUE"""),"")</f>
        <v/>
      </c>
      <c r="I4376" s="35" t="str">
        <f>IFERROR(__xludf.DUMMYFUNCTION("""COMPUTED_VALUE"""),"")</f>
        <v/>
      </c>
      <c r="J4376" s="35" t="str">
        <f>IFERROR(__xludf.DUMMYFUNCTION("""COMPUTED_VALUE"""),"")</f>
        <v/>
      </c>
      <c r="K4376" s="35"/>
      <c r="L4376" s="35"/>
      <c r="M4376" s="35"/>
      <c r="N4376" s="35"/>
      <c r="O4376" s="35"/>
      <c r="P4376" s="35"/>
      <c r="Q4376" s="35"/>
      <c r="R4376" s="35"/>
      <c r="S4376" s="74"/>
      <c r="T4376" s="35"/>
      <c r="U4376" s="35"/>
      <c r="V4376" s="35"/>
      <c r="W4376" s="45"/>
    </row>
    <row r="4377">
      <c r="A4377" s="45"/>
      <c r="B4377" s="35"/>
      <c r="C4377" s="35"/>
      <c r="D4377" s="10"/>
      <c r="E4377" s="35" t="str">
        <f>IFERROR(__xludf.DUMMYFUNCTION("""COMPUTED_VALUE"""),"")</f>
        <v/>
      </c>
      <c r="F4377" s="35" t="str">
        <f>IFERROR(__xludf.DUMMYFUNCTION("""COMPUTED_VALUE"""),"1899")</f>
        <v>1899</v>
      </c>
      <c r="G4377" s="35"/>
      <c r="H4377" s="35" t="str">
        <f>IFERROR(__xludf.DUMMYFUNCTION("""COMPUTED_VALUE"""),"")</f>
        <v/>
      </c>
      <c r="I4377" s="35" t="str">
        <f>IFERROR(__xludf.DUMMYFUNCTION("""COMPUTED_VALUE"""),"")</f>
        <v/>
      </c>
      <c r="J4377" s="35" t="str">
        <f>IFERROR(__xludf.DUMMYFUNCTION("""COMPUTED_VALUE"""),"")</f>
        <v/>
      </c>
      <c r="K4377" s="35"/>
      <c r="L4377" s="35"/>
      <c r="M4377" s="35"/>
      <c r="N4377" s="35"/>
      <c r="O4377" s="35"/>
      <c r="P4377" s="35"/>
      <c r="Q4377" s="35"/>
      <c r="R4377" s="35"/>
      <c r="S4377" s="74"/>
      <c r="T4377" s="35"/>
      <c r="U4377" s="35"/>
      <c r="V4377" s="35"/>
      <c r="W4377" s="45"/>
    </row>
    <row r="4378">
      <c r="A4378" s="45"/>
      <c r="B4378" s="35"/>
      <c r="C4378" s="35"/>
      <c r="D4378" s="10"/>
      <c r="E4378" s="35" t="str">
        <f>IFERROR(__xludf.DUMMYFUNCTION("""COMPUTED_VALUE"""),"")</f>
        <v/>
      </c>
      <c r="F4378" s="35" t="str">
        <f>IFERROR(__xludf.DUMMYFUNCTION("""COMPUTED_VALUE"""),"1899")</f>
        <v>1899</v>
      </c>
      <c r="G4378" s="35"/>
      <c r="H4378" s="35" t="str">
        <f>IFERROR(__xludf.DUMMYFUNCTION("""COMPUTED_VALUE"""),"")</f>
        <v/>
      </c>
      <c r="I4378" s="35" t="str">
        <f>IFERROR(__xludf.DUMMYFUNCTION("""COMPUTED_VALUE"""),"")</f>
        <v/>
      </c>
      <c r="J4378" s="35" t="str">
        <f>IFERROR(__xludf.DUMMYFUNCTION("""COMPUTED_VALUE"""),"")</f>
        <v/>
      </c>
      <c r="K4378" s="35"/>
      <c r="L4378" s="35"/>
      <c r="M4378" s="35"/>
      <c r="N4378" s="35"/>
      <c r="O4378" s="35"/>
      <c r="P4378" s="35"/>
      <c r="Q4378" s="35"/>
      <c r="R4378" s="35"/>
      <c r="S4378" s="74"/>
      <c r="T4378" s="35"/>
      <c r="U4378" s="35"/>
      <c r="V4378" s="35"/>
      <c r="W4378" s="45"/>
    </row>
    <row r="4379">
      <c r="A4379" s="45"/>
      <c r="B4379" s="35"/>
      <c r="C4379" s="35"/>
      <c r="D4379" s="10"/>
      <c r="E4379" s="35" t="str">
        <f>IFERROR(__xludf.DUMMYFUNCTION("""COMPUTED_VALUE"""),"")</f>
        <v/>
      </c>
      <c r="F4379" s="35" t="str">
        <f>IFERROR(__xludf.DUMMYFUNCTION("""COMPUTED_VALUE"""),"1899")</f>
        <v>1899</v>
      </c>
      <c r="G4379" s="35"/>
      <c r="H4379" s="35" t="str">
        <f>IFERROR(__xludf.DUMMYFUNCTION("""COMPUTED_VALUE"""),"")</f>
        <v/>
      </c>
      <c r="I4379" s="35" t="str">
        <f>IFERROR(__xludf.DUMMYFUNCTION("""COMPUTED_VALUE"""),"")</f>
        <v/>
      </c>
      <c r="J4379" s="35" t="str">
        <f>IFERROR(__xludf.DUMMYFUNCTION("""COMPUTED_VALUE"""),"")</f>
        <v/>
      </c>
      <c r="K4379" s="35"/>
      <c r="L4379" s="35"/>
      <c r="M4379" s="35"/>
      <c r="N4379" s="35"/>
      <c r="O4379" s="35"/>
      <c r="P4379" s="35"/>
      <c r="Q4379" s="35"/>
      <c r="R4379" s="35"/>
      <c r="S4379" s="74"/>
      <c r="T4379" s="35"/>
      <c r="U4379" s="35"/>
      <c r="V4379" s="35"/>
      <c r="W4379" s="45"/>
    </row>
    <row r="4380">
      <c r="A4380" s="45"/>
      <c r="B4380" s="35"/>
      <c r="C4380" s="35"/>
      <c r="D4380" s="10"/>
      <c r="E4380" s="35" t="str">
        <f>IFERROR(__xludf.DUMMYFUNCTION("""COMPUTED_VALUE"""),"")</f>
        <v/>
      </c>
      <c r="F4380" s="35" t="str">
        <f>IFERROR(__xludf.DUMMYFUNCTION("""COMPUTED_VALUE"""),"1899")</f>
        <v>1899</v>
      </c>
      <c r="G4380" s="35"/>
      <c r="H4380" s="35" t="str">
        <f>IFERROR(__xludf.DUMMYFUNCTION("""COMPUTED_VALUE"""),"")</f>
        <v/>
      </c>
      <c r="I4380" s="35" t="str">
        <f>IFERROR(__xludf.DUMMYFUNCTION("""COMPUTED_VALUE"""),"")</f>
        <v/>
      </c>
      <c r="J4380" s="35" t="str">
        <f>IFERROR(__xludf.DUMMYFUNCTION("""COMPUTED_VALUE"""),"")</f>
        <v/>
      </c>
      <c r="K4380" s="35"/>
      <c r="L4380" s="35"/>
      <c r="M4380" s="35"/>
      <c r="N4380" s="35"/>
      <c r="O4380" s="35"/>
      <c r="P4380" s="35"/>
      <c r="Q4380" s="35"/>
      <c r="R4380" s="35"/>
      <c r="S4380" s="74"/>
      <c r="T4380" s="35"/>
      <c r="U4380" s="35"/>
      <c r="V4380" s="35"/>
      <c r="W4380" s="45"/>
    </row>
    <row r="4381">
      <c r="A4381" s="45"/>
      <c r="B4381" s="35"/>
      <c r="C4381" s="35"/>
      <c r="D4381" s="10"/>
      <c r="E4381" s="35" t="str">
        <f>IFERROR(__xludf.DUMMYFUNCTION("""COMPUTED_VALUE"""),"")</f>
        <v/>
      </c>
      <c r="F4381" s="35" t="str">
        <f>IFERROR(__xludf.DUMMYFUNCTION("""COMPUTED_VALUE"""),"1899")</f>
        <v>1899</v>
      </c>
      <c r="G4381" s="35"/>
      <c r="H4381" s="35" t="str">
        <f>IFERROR(__xludf.DUMMYFUNCTION("""COMPUTED_VALUE"""),"")</f>
        <v/>
      </c>
      <c r="I4381" s="35" t="str">
        <f>IFERROR(__xludf.DUMMYFUNCTION("""COMPUTED_VALUE"""),"")</f>
        <v/>
      </c>
      <c r="J4381" s="35" t="str">
        <f>IFERROR(__xludf.DUMMYFUNCTION("""COMPUTED_VALUE"""),"")</f>
        <v/>
      </c>
      <c r="K4381" s="35"/>
      <c r="L4381" s="35"/>
      <c r="M4381" s="35"/>
      <c r="N4381" s="35"/>
      <c r="O4381" s="35"/>
      <c r="P4381" s="35"/>
      <c r="Q4381" s="35"/>
      <c r="R4381" s="35"/>
      <c r="S4381" s="74"/>
      <c r="T4381" s="35"/>
      <c r="U4381" s="35"/>
      <c r="V4381" s="35"/>
      <c r="W4381" s="45"/>
    </row>
    <row r="4382">
      <c r="A4382" s="45"/>
      <c r="B4382" s="35"/>
      <c r="C4382" s="35"/>
      <c r="D4382" s="10"/>
      <c r="E4382" s="35" t="str">
        <f>IFERROR(__xludf.DUMMYFUNCTION("""COMPUTED_VALUE"""),"")</f>
        <v/>
      </c>
      <c r="F4382" s="35" t="str">
        <f>IFERROR(__xludf.DUMMYFUNCTION("""COMPUTED_VALUE"""),"1899")</f>
        <v>1899</v>
      </c>
      <c r="G4382" s="35"/>
      <c r="H4382" s="35" t="str">
        <f>IFERROR(__xludf.DUMMYFUNCTION("""COMPUTED_VALUE"""),"")</f>
        <v/>
      </c>
      <c r="I4382" s="35" t="str">
        <f>IFERROR(__xludf.DUMMYFUNCTION("""COMPUTED_VALUE"""),"")</f>
        <v/>
      </c>
      <c r="J4382" s="35" t="str">
        <f>IFERROR(__xludf.DUMMYFUNCTION("""COMPUTED_VALUE"""),"")</f>
        <v/>
      </c>
      <c r="K4382" s="35"/>
      <c r="L4382" s="35"/>
      <c r="M4382" s="35"/>
      <c r="N4382" s="35"/>
      <c r="O4382" s="35"/>
      <c r="P4382" s="35"/>
      <c r="Q4382" s="35"/>
      <c r="R4382" s="35"/>
      <c r="S4382" s="74"/>
      <c r="T4382" s="35"/>
      <c r="U4382" s="35"/>
      <c r="V4382" s="35"/>
      <c r="W4382" s="45"/>
    </row>
    <row r="4383">
      <c r="A4383" s="45"/>
      <c r="B4383" s="35"/>
      <c r="C4383" s="35"/>
      <c r="D4383" s="10"/>
      <c r="E4383" s="35" t="str">
        <f>IFERROR(__xludf.DUMMYFUNCTION("""COMPUTED_VALUE"""),"")</f>
        <v/>
      </c>
      <c r="F4383" s="35" t="str">
        <f>IFERROR(__xludf.DUMMYFUNCTION("""COMPUTED_VALUE"""),"1899")</f>
        <v>1899</v>
      </c>
      <c r="G4383" s="35"/>
      <c r="H4383" s="35" t="str">
        <f>IFERROR(__xludf.DUMMYFUNCTION("""COMPUTED_VALUE"""),"")</f>
        <v/>
      </c>
      <c r="I4383" s="35" t="str">
        <f>IFERROR(__xludf.DUMMYFUNCTION("""COMPUTED_VALUE"""),"")</f>
        <v/>
      </c>
      <c r="J4383" s="35" t="str">
        <f>IFERROR(__xludf.DUMMYFUNCTION("""COMPUTED_VALUE"""),"")</f>
        <v/>
      </c>
      <c r="K4383" s="35"/>
      <c r="L4383" s="35"/>
      <c r="M4383" s="35"/>
      <c r="N4383" s="35"/>
      <c r="O4383" s="35"/>
      <c r="P4383" s="35"/>
      <c r="Q4383" s="35"/>
      <c r="R4383" s="35"/>
      <c r="S4383" s="74"/>
      <c r="T4383" s="35"/>
      <c r="U4383" s="35"/>
      <c r="V4383" s="35"/>
      <c r="W4383" s="45"/>
    </row>
    <row r="4384">
      <c r="A4384" s="45"/>
      <c r="B4384" s="35"/>
      <c r="C4384" s="35"/>
      <c r="D4384" s="10"/>
      <c r="E4384" s="35" t="str">
        <f>IFERROR(__xludf.DUMMYFUNCTION("""COMPUTED_VALUE"""),"")</f>
        <v/>
      </c>
      <c r="F4384" s="35" t="str">
        <f>IFERROR(__xludf.DUMMYFUNCTION("""COMPUTED_VALUE"""),"1899")</f>
        <v>1899</v>
      </c>
      <c r="G4384" s="35"/>
      <c r="H4384" s="35" t="str">
        <f>IFERROR(__xludf.DUMMYFUNCTION("""COMPUTED_VALUE"""),"")</f>
        <v/>
      </c>
      <c r="I4384" s="35" t="str">
        <f>IFERROR(__xludf.DUMMYFUNCTION("""COMPUTED_VALUE"""),"")</f>
        <v/>
      </c>
      <c r="J4384" s="35" t="str">
        <f>IFERROR(__xludf.DUMMYFUNCTION("""COMPUTED_VALUE"""),"")</f>
        <v/>
      </c>
      <c r="K4384" s="35"/>
      <c r="L4384" s="35"/>
      <c r="M4384" s="35"/>
      <c r="N4384" s="35"/>
      <c r="O4384" s="35"/>
      <c r="P4384" s="35"/>
      <c r="Q4384" s="35"/>
      <c r="R4384" s="35"/>
      <c r="S4384" s="74"/>
      <c r="T4384" s="35"/>
      <c r="U4384" s="35"/>
      <c r="V4384" s="35"/>
      <c r="W4384" s="45"/>
    </row>
    <row r="4385">
      <c r="A4385" s="45"/>
      <c r="B4385" s="35"/>
      <c r="C4385" s="35"/>
      <c r="D4385" s="10"/>
      <c r="E4385" s="35" t="str">
        <f>IFERROR(__xludf.DUMMYFUNCTION("""COMPUTED_VALUE"""),"")</f>
        <v/>
      </c>
      <c r="F4385" s="35" t="str">
        <f>IFERROR(__xludf.DUMMYFUNCTION("""COMPUTED_VALUE"""),"1899")</f>
        <v>1899</v>
      </c>
      <c r="G4385" s="35"/>
      <c r="H4385" s="35" t="str">
        <f>IFERROR(__xludf.DUMMYFUNCTION("""COMPUTED_VALUE"""),"")</f>
        <v/>
      </c>
      <c r="I4385" s="35" t="str">
        <f>IFERROR(__xludf.DUMMYFUNCTION("""COMPUTED_VALUE"""),"")</f>
        <v/>
      </c>
      <c r="J4385" s="35" t="str">
        <f>IFERROR(__xludf.DUMMYFUNCTION("""COMPUTED_VALUE"""),"")</f>
        <v/>
      </c>
      <c r="K4385" s="35"/>
      <c r="L4385" s="35"/>
      <c r="M4385" s="35"/>
      <c r="N4385" s="35"/>
      <c r="O4385" s="35"/>
      <c r="P4385" s="35"/>
      <c r="Q4385" s="35"/>
      <c r="R4385" s="35"/>
      <c r="S4385" s="74"/>
      <c r="T4385" s="35"/>
      <c r="U4385" s="35"/>
      <c r="V4385" s="35"/>
      <c r="W4385" s="45"/>
    </row>
    <row r="4386">
      <c r="A4386" s="45"/>
      <c r="B4386" s="35"/>
      <c r="C4386" s="35"/>
      <c r="D4386" s="10"/>
      <c r="E4386" s="35" t="str">
        <f>IFERROR(__xludf.DUMMYFUNCTION("""COMPUTED_VALUE"""),"")</f>
        <v/>
      </c>
      <c r="F4386" s="35" t="str">
        <f>IFERROR(__xludf.DUMMYFUNCTION("""COMPUTED_VALUE"""),"1899")</f>
        <v>1899</v>
      </c>
      <c r="G4386" s="35"/>
      <c r="H4386" s="35" t="str">
        <f>IFERROR(__xludf.DUMMYFUNCTION("""COMPUTED_VALUE"""),"")</f>
        <v/>
      </c>
      <c r="I4386" s="35" t="str">
        <f>IFERROR(__xludf.DUMMYFUNCTION("""COMPUTED_VALUE"""),"")</f>
        <v/>
      </c>
      <c r="J4386" s="35" t="str">
        <f>IFERROR(__xludf.DUMMYFUNCTION("""COMPUTED_VALUE"""),"")</f>
        <v/>
      </c>
      <c r="K4386" s="35"/>
      <c r="L4386" s="35"/>
      <c r="M4386" s="35"/>
      <c r="N4386" s="35"/>
      <c r="O4386" s="35"/>
      <c r="P4386" s="35"/>
      <c r="Q4386" s="35"/>
      <c r="R4386" s="35"/>
      <c r="S4386" s="74"/>
      <c r="T4386" s="35"/>
      <c r="U4386" s="35"/>
      <c r="V4386" s="35"/>
      <c r="W4386" s="45"/>
    </row>
    <row r="4387">
      <c r="A4387" s="45"/>
      <c r="B4387" s="35"/>
      <c r="C4387" s="35"/>
      <c r="D4387" s="10"/>
      <c r="E4387" s="35" t="str">
        <f>IFERROR(__xludf.DUMMYFUNCTION("""COMPUTED_VALUE"""),"")</f>
        <v/>
      </c>
      <c r="F4387" s="35" t="str">
        <f>IFERROR(__xludf.DUMMYFUNCTION("""COMPUTED_VALUE"""),"1899")</f>
        <v>1899</v>
      </c>
      <c r="G4387" s="35"/>
      <c r="H4387" s="35" t="str">
        <f>IFERROR(__xludf.DUMMYFUNCTION("""COMPUTED_VALUE"""),"")</f>
        <v/>
      </c>
      <c r="I4387" s="35" t="str">
        <f>IFERROR(__xludf.DUMMYFUNCTION("""COMPUTED_VALUE"""),"")</f>
        <v/>
      </c>
      <c r="J4387" s="35" t="str">
        <f>IFERROR(__xludf.DUMMYFUNCTION("""COMPUTED_VALUE"""),"")</f>
        <v/>
      </c>
      <c r="K4387" s="35"/>
      <c r="L4387" s="35"/>
      <c r="M4387" s="35"/>
      <c r="N4387" s="35"/>
      <c r="O4387" s="35"/>
      <c r="P4387" s="35"/>
      <c r="Q4387" s="35"/>
      <c r="R4387" s="35"/>
      <c r="S4387" s="74"/>
      <c r="T4387" s="35"/>
      <c r="U4387" s="35"/>
      <c r="V4387" s="35"/>
      <c r="W4387" s="45"/>
    </row>
    <row r="4388">
      <c r="A4388" s="45"/>
      <c r="B4388" s="35"/>
      <c r="C4388" s="35"/>
      <c r="D4388" s="10"/>
      <c r="E4388" s="35" t="str">
        <f>IFERROR(__xludf.DUMMYFUNCTION("""COMPUTED_VALUE"""),"")</f>
        <v/>
      </c>
      <c r="F4388" s="35" t="str">
        <f>IFERROR(__xludf.DUMMYFUNCTION("""COMPUTED_VALUE"""),"1899")</f>
        <v>1899</v>
      </c>
      <c r="G4388" s="35"/>
      <c r="H4388" s="35" t="str">
        <f>IFERROR(__xludf.DUMMYFUNCTION("""COMPUTED_VALUE"""),"")</f>
        <v/>
      </c>
      <c r="I4388" s="35" t="str">
        <f>IFERROR(__xludf.DUMMYFUNCTION("""COMPUTED_VALUE"""),"")</f>
        <v/>
      </c>
      <c r="J4388" s="35" t="str">
        <f>IFERROR(__xludf.DUMMYFUNCTION("""COMPUTED_VALUE"""),"")</f>
        <v/>
      </c>
      <c r="K4388" s="35"/>
      <c r="L4388" s="35"/>
      <c r="M4388" s="35"/>
      <c r="N4388" s="35"/>
      <c r="O4388" s="35"/>
      <c r="P4388" s="35"/>
      <c r="Q4388" s="35"/>
      <c r="R4388" s="35"/>
      <c r="S4388" s="74"/>
      <c r="T4388" s="35"/>
      <c r="U4388" s="35"/>
      <c r="V4388" s="35"/>
      <c r="W4388" s="45"/>
    </row>
    <row r="4389">
      <c r="A4389" s="45"/>
      <c r="B4389" s="35"/>
      <c r="C4389" s="35"/>
      <c r="D4389" s="10"/>
      <c r="E4389" s="35" t="str">
        <f>IFERROR(__xludf.DUMMYFUNCTION("""COMPUTED_VALUE"""),"")</f>
        <v/>
      </c>
      <c r="F4389" s="35" t="str">
        <f>IFERROR(__xludf.DUMMYFUNCTION("""COMPUTED_VALUE"""),"1899")</f>
        <v>1899</v>
      </c>
      <c r="G4389" s="35"/>
      <c r="H4389" s="35" t="str">
        <f>IFERROR(__xludf.DUMMYFUNCTION("""COMPUTED_VALUE"""),"")</f>
        <v/>
      </c>
      <c r="I4389" s="35" t="str">
        <f>IFERROR(__xludf.DUMMYFUNCTION("""COMPUTED_VALUE"""),"")</f>
        <v/>
      </c>
      <c r="J4389" s="35" t="str">
        <f>IFERROR(__xludf.DUMMYFUNCTION("""COMPUTED_VALUE"""),"")</f>
        <v/>
      </c>
      <c r="K4389" s="35"/>
      <c r="L4389" s="35"/>
      <c r="M4389" s="35"/>
      <c r="N4389" s="35"/>
      <c r="O4389" s="35"/>
      <c r="P4389" s="35"/>
      <c r="Q4389" s="35"/>
      <c r="R4389" s="35"/>
      <c r="S4389" s="74"/>
      <c r="T4389" s="35"/>
      <c r="U4389" s="35"/>
      <c r="V4389" s="35"/>
      <c r="W4389" s="45"/>
    </row>
    <row r="4390">
      <c r="A4390" s="45"/>
      <c r="B4390" s="35"/>
      <c r="C4390" s="35"/>
      <c r="D4390" s="10"/>
      <c r="E4390" s="35" t="str">
        <f>IFERROR(__xludf.DUMMYFUNCTION("""COMPUTED_VALUE"""),"")</f>
        <v/>
      </c>
      <c r="F4390" s="35" t="str">
        <f>IFERROR(__xludf.DUMMYFUNCTION("""COMPUTED_VALUE"""),"1899")</f>
        <v>1899</v>
      </c>
      <c r="G4390" s="35"/>
      <c r="H4390" s="35" t="str">
        <f>IFERROR(__xludf.DUMMYFUNCTION("""COMPUTED_VALUE"""),"")</f>
        <v/>
      </c>
      <c r="I4390" s="35" t="str">
        <f>IFERROR(__xludf.DUMMYFUNCTION("""COMPUTED_VALUE"""),"")</f>
        <v/>
      </c>
      <c r="J4390" s="35" t="str">
        <f>IFERROR(__xludf.DUMMYFUNCTION("""COMPUTED_VALUE"""),"")</f>
        <v/>
      </c>
      <c r="K4390" s="35"/>
      <c r="L4390" s="35"/>
      <c r="M4390" s="35"/>
      <c r="N4390" s="35"/>
      <c r="O4390" s="35"/>
      <c r="P4390" s="35"/>
      <c r="Q4390" s="35"/>
      <c r="R4390" s="35"/>
      <c r="S4390" s="74"/>
      <c r="T4390" s="35"/>
      <c r="U4390" s="35"/>
      <c r="V4390" s="35"/>
      <c r="W4390" s="45"/>
    </row>
    <row r="4391">
      <c r="A4391" s="45"/>
      <c r="B4391" s="35"/>
      <c r="C4391" s="35"/>
      <c r="D4391" s="10"/>
      <c r="E4391" s="35" t="str">
        <f>IFERROR(__xludf.DUMMYFUNCTION("""COMPUTED_VALUE"""),"")</f>
        <v/>
      </c>
      <c r="F4391" s="35" t="str">
        <f>IFERROR(__xludf.DUMMYFUNCTION("""COMPUTED_VALUE"""),"1899")</f>
        <v>1899</v>
      </c>
      <c r="G4391" s="35"/>
      <c r="H4391" s="35" t="str">
        <f>IFERROR(__xludf.DUMMYFUNCTION("""COMPUTED_VALUE"""),"")</f>
        <v/>
      </c>
      <c r="I4391" s="35" t="str">
        <f>IFERROR(__xludf.DUMMYFUNCTION("""COMPUTED_VALUE"""),"")</f>
        <v/>
      </c>
      <c r="J4391" s="35" t="str">
        <f>IFERROR(__xludf.DUMMYFUNCTION("""COMPUTED_VALUE"""),"")</f>
        <v/>
      </c>
      <c r="K4391" s="35"/>
      <c r="L4391" s="35"/>
      <c r="M4391" s="35"/>
      <c r="N4391" s="35"/>
      <c r="O4391" s="35"/>
      <c r="P4391" s="35"/>
      <c r="Q4391" s="35"/>
      <c r="R4391" s="35"/>
      <c r="S4391" s="74"/>
      <c r="T4391" s="35"/>
      <c r="U4391" s="35"/>
      <c r="V4391" s="35"/>
      <c r="W4391" s="45"/>
    </row>
    <row r="4392">
      <c r="A4392" s="45"/>
      <c r="B4392" s="35"/>
      <c r="C4392" s="35"/>
      <c r="D4392" s="10"/>
      <c r="E4392" s="35" t="str">
        <f>IFERROR(__xludf.DUMMYFUNCTION("""COMPUTED_VALUE"""),"")</f>
        <v/>
      </c>
      <c r="F4392" s="35" t="str">
        <f>IFERROR(__xludf.DUMMYFUNCTION("""COMPUTED_VALUE"""),"1899")</f>
        <v>1899</v>
      </c>
      <c r="G4392" s="35"/>
      <c r="H4392" s="35" t="str">
        <f>IFERROR(__xludf.DUMMYFUNCTION("""COMPUTED_VALUE"""),"")</f>
        <v/>
      </c>
      <c r="I4392" s="35" t="str">
        <f>IFERROR(__xludf.DUMMYFUNCTION("""COMPUTED_VALUE"""),"")</f>
        <v/>
      </c>
      <c r="J4392" s="35" t="str">
        <f>IFERROR(__xludf.DUMMYFUNCTION("""COMPUTED_VALUE"""),"")</f>
        <v/>
      </c>
      <c r="K4392" s="35"/>
      <c r="L4392" s="35"/>
      <c r="M4392" s="35"/>
      <c r="N4392" s="35"/>
      <c r="O4392" s="35"/>
      <c r="P4392" s="35"/>
      <c r="Q4392" s="35"/>
      <c r="R4392" s="35"/>
      <c r="S4392" s="74"/>
      <c r="T4392" s="35"/>
      <c r="U4392" s="35"/>
      <c r="V4392" s="35"/>
      <c r="W4392" s="45"/>
    </row>
    <row r="4393">
      <c r="A4393" s="45"/>
      <c r="B4393" s="35"/>
      <c r="C4393" s="35"/>
      <c r="D4393" s="10"/>
      <c r="E4393" s="35" t="str">
        <f>IFERROR(__xludf.DUMMYFUNCTION("""COMPUTED_VALUE"""),"")</f>
        <v/>
      </c>
      <c r="F4393" s="35" t="str">
        <f>IFERROR(__xludf.DUMMYFUNCTION("""COMPUTED_VALUE"""),"1899")</f>
        <v>1899</v>
      </c>
      <c r="G4393" s="35"/>
      <c r="H4393" s="35" t="str">
        <f>IFERROR(__xludf.DUMMYFUNCTION("""COMPUTED_VALUE"""),"")</f>
        <v/>
      </c>
      <c r="I4393" s="35" t="str">
        <f>IFERROR(__xludf.DUMMYFUNCTION("""COMPUTED_VALUE"""),"")</f>
        <v/>
      </c>
      <c r="J4393" s="35" t="str">
        <f>IFERROR(__xludf.DUMMYFUNCTION("""COMPUTED_VALUE"""),"")</f>
        <v/>
      </c>
      <c r="K4393" s="35"/>
      <c r="L4393" s="35"/>
      <c r="M4393" s="35"/>
      <c r="N4393" s="35"/>
      <c r="O4393" s="35"/>
      <c r="P4393" s="35"/>
      <c r="Q4393" s="35"/>
      <c r="R4393" s="35"/>
      <c r="S4393" s="74"/>
      <c r="T4393" s="35"/>
      <c r="U4393" s="35"/>
      <c r="V4393" s="35"/>
      <c r="W4393" s="45"/>
    </row>
    <row r="4394">
      <c r="A4394" s="45"/>
      <c r="B4394" s="35"/>
      <c r="C4394" s="35"/>
      <c r="D4394" s="10"/>
      <c r="E4394" s="35" t="str">
        <f>IFERROR(__xludf.DUMMYFUNCTION("""COMPUTED_VALUE"""),"")</f>
        <v/>
      </c>
      <c r="F4394" s="35" t="str">
        <f>IFERROR(__xludf.DUMMYFUNCTION("""COMPUTED_VALUE"""),"1899")</f>
        <v>1899</v>
      </c>
      <c r="G4394" s="35"/>
      <c r="H4394" s="35" t="str">
        <f>IFERROR(__xludf.DUMMYFUNCTION("""COMPUTED_VALUE"""),"")</f>
        <v/>
      </c>
      <c r="I4394" s="35" t="str">
        <f>IFERROR(__xludf.DUMMYFUNCTION("""COMPUTED_VALUE"""),"")</f>
        <v/>
      </c>
      <c r="J4394" s="35" t="str">
        <f>IFERROR(__xludf.DUMMYFUNCTION("""COMPUTED_VALUE"""),"")</f>
        <v/>
      </c>
      <c r="K4394" s="35"/>
      <c r="L4394" s="35"/>
      <c r="M4394" s="35"/>
      <c r="N4394" s="35"/>
      <c r="O4394" s="35"/>
      <c r="P4394" s="35"/>
      <c r="Q4394" s="35"/>
      <c r="R4394" s="35"/>
      <c r="S4394" s="74"/>
      <c r="T4394" s="35"/>
      <c r="U4394" s="35"/>
      <c r="V4394" s="35"/>
      <c r="W4394" s="45"/>
    </row>
    <row r="4395">
      <c r="A4395" s="45"/>
      <c r="B4395" s="35"/>
      <c r="C4395" s="35"/>
      <c r="D4395" s="10"/>
      <c r="E4395" s="35" t="str">
        <f>IFERROR(__xludf.DUMMYFUNCTION("""COMPUTED_VALUE"""),"")</f>
        <v/>
      </c>
      <c r="F4395" s="35" t="str">
        <f>IFERROR(__xludf.DUMMYFUNCTION("""COMPUTED_VALUE"""),"1899")</f>
        <v>1899</v>
      </c>
      <c r="G4395" s="35"/>
      <c r="H4395" s="35" t="str">
        <f>IFERROR(__xludf.DUMMYFUNCTION("""COMPUTED_VALUE"""),"")</f>
        <v/>
      </c>
      <c r="I4395" s="35" t="str">
        <f>IFERROR(__xludf.DUMMYFUNCTION("""COMPUTED_VALUE"""),"")</f>
        <v/>
      </c>
      <c r="J4395" s="35" t="str">
        <f>IFERROR(__xludf.DUMMYFUNCTION("""COMPUTED_VALUE"""),"")</f>
        <v/>
      </c>
      <c r="K4395" s="35"/>
      <c r="L4395" s="35"/>
      <c r="M4395" s="35"/>
      <c r="N4395" s="35"/>
      <c r="O4395" s="35"/>
      <c r="P4395" s="35"/>
      <c r="Q4395" s="35"/>
      <c r="R4395" s="35"/>
      <c r="S4395" s="74"/>
      <c r="T4395" s="35"/>
      <c r="U4395" s="35"/>
      <c r="V4395" s="35"/>
      <c r="W4395" s="45"/>
    </row>
    <row r="4396">
      <c r="A4396" s="45"/>
      <c r="B4396" s="35"/>
      <c r="C4396" s="35"/>
      <c r="D4396" s="10"/>
      <c r="E4396" s="35" t="str">
        <f>IFERROR(__xludf.DUMMYFUNCTION("""COMPUTED_VALUE"""),"")</f>
        <v/>
      </c>
      <c r="F4396" s="35" t="str">
        <f>IFERROR(__xludf.DUMMYFUNCTION("""COMPUTED_VALUE"""),"1899")</f>
        <v>1899</v>
      </c>
      <c r="G4396" s="35"/>
      <c r="H4396" s="35" t="str">
        <f>IFERROR(__xludf.DUMMYFUNCTION("""COMPUTED_VALUE"""),"")</f>
        <v/>
      </c>
      <c r="I4396" s="35" t="str">
        <f>IFERROR(__xludf.DUMMYFUNCTION("""COMPUTED_VALUE"""),"")</f>
        <v/>
      </c>
      <c r="J4396" s="35" t="str">
        <f>IFERROR(__xludf.DUMMYFUNCTION("""COMPUTED_VALUE"""),"")</f>
        <v/>
      </c>
      <c r="K4396" s="35"/>
      <c r="L4396" s="35"/>
      <c r="M4396" s="35"/>
      <c r="N4396" s="35"/>
      <c r="O4396" s="35"/>
      <c r="P4396" s="35"/>
      <c r="Q4396" s="35"/>
      <c r="R4396" s="35"/>
      <c r="S4396" s="74"/>
      <c r="T4396" s="35"/>
      <c r="U4396" s="35"/>
      <c r="V4396" s="35"/>
      <c r="W4396" s="45"/>
    </row>
    <row r="4397">
      <c r="A4397" s="45"/>
      <c r="B4397" s="35"/>
      <c r="C4397" s="35"/>
      <c r="D4397" s="10"/>
      <c r="E4397" s="35" t="str">
        <f>IFERROR(__xludf.DUMMYFUNCTION("""COMPUTED_VALUE"""),"")</f>
        <v/>
      </c>
      <c r="F4397" s="35" t="str">
        <f>IFERROR(__xludf.DUMMYFUNCTION("""COMPUTED_VALUE"""),"1899")</f>
        <v>1899</v>
      </c>
      <c r="G4397" s="35"/>
      <c r="H4397" s="35" t="str">
        <f>IFERROR(__xludf.DUMMYFUNCTION("""COMPUTED_VALUE"""),"")</f>
        <v/>
      </c>
      <c r="I4397" s="35" t="str">
        <f>IFERROR(__xludf.DUMMYFUNCTION("""COMPUTED_VALUE"""),"")</f>
        <v/>
      </c>
      <c r="J4397" s="35" t="str">
        <f>IFERROR(__xludf.DUMMYFUNCTION("""COMPUTED_VALUE"""),"")</f>
        <v/>
      </c>
      <c r="K4397" s="35"/>
      <c r="L4397" s="35"/>
      <c r="M4397" s="35"/>
      <c r="N4397" s="35"/>
      <c r="O4397" s="35"/>
      <c r="P4397" s="35"/>
      <c r="Q4397" s="35"/>
      <c r="R4397" s="35"/>
      <c r="S4397" s="74"/>
      <c r="T4397" s="35"/>
      <c r="U4397" s="35"/>
      <c r="V4397" s="35"/>
      <c r="W4397" s="45"/>
    </row>
    <row r="4398">
      <c r="A4398" s="45"/>
      <c r="B4398" s="35"/>
      <c r="C4398" s="35"/>
      <c r="D4398" s="10"/>
      <c r="E4398" s="35" t="str">
        <f>IFERROR(__xludf.DUMMYFUNCTION("""COMPUTED_VALUE"""),"")</f>
        <v/>
      </c>
      <c r="F4398" s="35" t="str">
        <f>IFERROR(__xludf.DUMMYFUNCTION("""COMPUTED_VALUE"""),"1899")</f>
        <v>1899</v>
      </c>
      <c r="G4398" s="35"/>
      <c r="H4398" s="35" t="str">
        <f>IFERROR(__xludf.DUMMYFUNCTION("""COMPUTED_VALUE"""),"")</f>
        <v/>
      </c>
      <c r="I4398" s="35" t="str">
        <f>IFERROR(__xludf.DUMMYFUNCTION("""COMPUTED_VALUE"""),"")</f>
        <v/>
      </c>
      <c r="J4398" s="35" t="str">
        <f>IFERROR(__xludf.DUMMYFUNCTION("""COMPUTED_VALUE"""),"")</f>
        <v/>
      </c>
      <c r="K4398" s="35"/>
      <c r="L4398" s="35"/>
      <c r="M4398" s="35"/>
      <c r="N4398" s="35"/>
      <c r="O4398" s="35"/>
      <c r="P4398" s="35"/>
      <c r="Q4398" s="35"/>
      <c r="R4398" s="35"/>
      <c r="S4398" s="74"/>
      <c r="T4398" s="35"/>
      <c r="U4398" s="35"/>
      <c r="V4398" s="35"/>
      <c r="W4398" s="45"/>
    </row>
    <row r="4399">
      <c r="A4399" s="45"/>
      <c r="B4399" s="35"/>
      <c r="C4399" s="35"/>
      <c r="D4399" s="10"/>
      <c r="E4399" s="35" t="str">
        <f>IFERROR(__xludf.DUMMYFUNCTION("""COMPUTED_VALUE"""),"")</f>
        <v/>
      </c>
      <c r="F4399" s="35" t="str">
        <f>IFERROR(__xludf.DUMMYFUNCTION("""COMPUTED_VALUE"""),"1899")</f>
        <v>1899</v>
      </c>
      <c r="G4399" s="35"/>
      <c r="H4399" s="35" t="str">
        <f>IFERROR(__xludf.DUMMYFUNCTION("""COMPUTED_VALUE"""),"")</f>
        <v/>
      </c>
      <c r="I4399" s="35" t="str">
        <f>IFERROR(__xludf.DUMMYFUNCTION("""COMPUTED_VALUE"""),"")</f>
        <v/>
      </c>
      <c r="J4399" s="35" t="str">
        <f>IFERROR(__xludf.DUMMYFUNCTION("""COMPUTED_VALUE"""),"")</f>
        <v/>
      </c>
      <c r="K4399" s="35"/>
      <c r="L4399" s="35"/>
      <c r="M4399" s="35"/>
      <c r="N4399" s="35"/>
      <c r="O4399" s="35"/>
      <c r="P4399" s="35"/>
      <c r="Q4399" s="35"/>
      <c r="R4399" s="35"/>
      <c r="S4399" s="74"/>
      <c r="T4399" s="35"/>
      <c r="U4399" s="35"/>
      <c r="V4399" s="35"/>
      <c r="W4399" s="45"/>
    </row>
    <row r="4400">
      <c r="A4400" s="45"/>
      <c r="B4400" s="35"/>
      <c r="C4400" s="35"/>
      <c r="D4400" s="10"/>
      <c r="E4400" s="35" t="str">
        <f>IFERROR(__xludf.DUMMYFUNCTION("""COMPUTED_VALUE"""),"")</f>
        <v/>
      </c>
      <c r="F4400" s="35" t="str">
        <f>IFERROR(__xludf.DUMMYFUNCTION("""COMPUTED_VALUE"""),"1899")</f>
        <v>1899</v>
      </c>
      <c r="G4400" s="35"/>
      <c r="H4400" s="35" t="str">
        <f>IFERROR(__xludf.DUMMYFUNCTION("""COMPUTED_VALUE"""),"")</f>
        <v/>
      </c>
      <c r="I4400" s="35" t="str">
        <f>IFERROR(__xludf.DUMMYFUNCTION("""COMPUTED_VALUE"""),"")</f>
        <v/>
      </c>
      <c r="J4400" s="35" t="str">
        <f>IFERROR(__xludf.DUMMYFUNCTION("""COMPUTED_VALUE"""),"")</f>
        <v/>
      </c>
      <c r="K4400" s="35"/>
      <c r="L4400" s="35"/>
      <c r="M4400" s="35"/>
      <c r="N4400" s="35"/>
      <c r="O4400" s="35"/>
      <c r="P4400" s="35"/>
      <c r="Q4400" s="35"/>
      <c r="R4400" s="35"/>
      <c r="S4400" s="74"/>
      <c r="T4400" s="35"/>
      <c r="U4400" s="35"/>
      <c r="V4400" s="35"/>
      <c r="W4400" s="45"/>
    </row>
    <row r="4401">
      <c r="A4401" s="45"/>
      <c r="B4401" s="35"/>
      <c r="C4401" s="35"/>
      <c r="D4401" s="10"/>
      <c r="E4401" s="35" t="str">
        <f>IFERROR(__xludf.DUMMYFUNCTION("""COMPUTED_VALUE"""),"")</f>
        <v/>
      </c>
      <c r="F4401" s="35" t="str">
        <f>IFERROR(__xludf.DUMMYFUNCTION("""COMPUTED_VALUE"""),"1899")</f>
        <v>1899</v>
      </c>
      <c r="G4401" s="35"/>
      <c r="H4401" s="35" t="str">
        <f>IFERROR(__xludf.DUMMYFUNCTION("""COMPUTED_VALUE"""),"")</f>
        <v/>
      </c>
      <c r="I4401" s="35" t="str">
        <f>IFERROR(__xludf.DUMMYFUNCTION("""COMPUTED_VALUE"""),"")</f>
        <v/>
      </c>
      <c r="J4401" s="35" t="str">
        <f>IFERROR(__xludf.DUMMYFUNCTION("""COMPUTED_VALUE"""),"")</f>
        <v/>
      </c>
      <c r="K4401" s="35"/>
      <c r="L4401" s="35"/>
      <c r="M4401" s="35"/>
      <c r="N4401" s="35"/>
      <c r="O4401" s="35"/>
      <c r="P4401" s="35"/>
      <c r="Q4401" s="35"/>
      <c r="R4401" s="35"/>
      <c r="S4401" s="74"/>
      <c r="T4401" s="35"/>
      <c r="U4401" s="35"/>
      <c r="V4401" s="35"/>
      <c r="W4401" s="45"/>
    </row>
    <row r="4402">
      <c r="A4402" s="45"/>
      <c r="B4402" s="35"/>
      <c r="C4402" s="35"/>
      <c r="D4402" s="10"/>
      <c r="E4402" s="35" t="str">
        <f>IFERROR(__xludf.DUMMYFUNCTION("""COMPUTED_VALUE"""),"")</f>
        <v/>
      </c>
      <c r="F4402" s="35" t="str">
        <f>IFERROR(__xludf.DUMMYFUNCTION("""COMPUTED_VALUE"""),"1899")</f>
        <v>1899</v>
      </c>
      <c r="G4402" s="35"/>
      <c r="H4402" s="35" t="str">
        <f>IFERROR(__xludf.DUMMYFUNCTION("""COMPUTED_VALUE"""),"")</f>
        <v/>
      </c>
      <c r="I4402" s="35" t="str">
        <f>IFERROR(__xludf.DUMMYFUNCTION("""COMPUTED_VALUE"""),"")</f>
        <v/>
      </c>
      <c r="J4402" s="35" t="str">
        <f>IFERROR(__xludf.DUMMYFUNCTION("""COMPUTED_VALUE"""),"")</f>
        <v/>
      </c>
      <c r="K4402" s="35"/>
      <c r="L4402" s="35"/>
      <c r="M4402" s="35"/>
      <c r="N4402" s="35"/>
      <c r="O4402" s="35"/>
      <c r="P4402" s="35"/>
      <c r="Q4402" s="35"/>
      <c r="R4402" s="35"/>
      <c r="S4402" s="74"/>
      <c r="T4402" s="35"/>
      <c r="U4402" s="35"/>
      <c r="V4402" s="35"/>
      <c r="W4402" s="45"/>
    </row>
    <row r="4403">
      <c r="A4403" s="45"/>
      <c r="B4403" s="35"/>
      <c r="C4403" s="35"/>
      <c r="D4403" s="10"/>
      <c r="E4403" s="35" t="str">
        <f>IFERROR(__xludf.DUMMYFUNCTION("""COMPUTED_VALUE"""),"")</f>
        <v/>
      </c>
      <c r="F4403" s="35" t="str">
        <f>IFERROR(__xludf.DUMMYFUNCTION("""COMPUTED_VALUE"""),"1899")</f>
        <v>1899</v>
      </c>
      <c r="G4403" s="35"/>
      <c r="H4403" s="35" t="str">
        <f>IFERROR(__xludf.DUMMYFUNCTION("""COMPUTED_VALUE"""),"")</f>
        <v/>
      </c>
      <c r="I4403" s="35" t="str">
        <f>IFERROR(__xludf.DUMMYFUNCTION("""COMPUTED_VALUE"""),"")</f>
        <v/>
      </c>
      <c r="J4403" s="35" t="str">
        <f>IFERROR(__xludf.DUMMYFUNCTION("""COMPUTED_VALUE"""),"")</f>
        <v/>
      </c>
      <c r="K4403" s="35"/>
      <c r="L4403" s="35"/>
      <c r="M4403" s="35"/>
      <c r="N4403" s="35"/>
      <c r="O4403" s="35"/>
      <c r="P4403" s="35"/>
      <c r="Q4403" s="35"/>
      <c r="R4403" s="35"/>
      <c r="S4403" s="74"/>
      <c r="T4403" s="35"/>
      <c r="U4403" s="35"/>
      <c r="V4403" s="35"/>
      <c r="W4403" s="45"/>
    </row>
    <row r="4404">
      <c r="A4404" s="45"/>
      <c r="B4404" s="35"/>
      <c r="C4404" s="35"/>
      <c r="D4404" s="10"/>
      <c r="E4404" s="35" t="str">
        <f>IFERROR(__xludf.DUMMYFUNCTION("""COMPUTED_VALUE"""),"")</f>
        <v/>
      </c>
      <c r="F4404" s="35" t="str">
        <f>IFERROR(__xludf.DUMMYFUNCTION("""COMPUTED_VALUE"""),"1899")</f>
        <v>1899</v>
      </c>
      <c r="G4404" s="35"/>
      <c r="H4404" s="35" t="str">
        <f>IFERROR(__xludf.DUMMYFUNCTION("""COMPUTED_VALUE"""),"")</f>
        <v/>
      </c>
      <c r="I4404" s="35" t="str">
        <f>IFERROR(__xludf.DUMMYFUNCTION("""COMPUTED_VALUE"""),"")</f>
        <v/>
      </c>
      <c r="J4404" s="35" t="str">
        <f>IFERROR(__xludf.DUMMYFUNCTION("""COMPUTED_VALUE"""),"")</f>
        <v/>
      </c>
      <c r="K4404" s="35"/>
      <c r="L4404" s="35"/>
      <c r="M4404" s="35"/>
      <c r="N4404" s="35"/>
      <c r="O4404" s="35"/>
      <c r="P4404" s="35"/>
      <c r="Q4404" s="35"/>
      <c r="R4404" s="35"/>
      <c r="S4404" s="74"/>
      <c r="T4404" s="35"/>
      <c r="U4404" s="35"/>
      <c r="V4404" s="35"/>
      <c r="W4404" s="45"/>
    </row>
    <row r="4405">
      <c r="A4405" s="45"/>
      <c r="B4405" s="35"/>
      <c r="C4405" s="35"/>
      <c r="D4405" s="10"/>
      <c r="E4405" s="35" t="str">
        <f>IFERROR(__xludf.DUMMYFUNCTION("""COMPUTED_VALUE"""),"")</f>
        <v/>
      </c>
      <c r="F4405" s="35" t="str">
        <f>IFERROR(__xludf.DUMMYFUNCTION("""COMPUTED_VALUE"""),"1899")</f>
        <v>1899</v>
      </c>
      <c r="G4405" s="35"/>
      <c r="H4405" s="35" t="str">
        <f>IFERROR(__xludf.DUMMYFUNCTION("""COMPUTED_VALUE"""),"")</f>
        <v/>
      </c>
      <c r="I4405" s="35" t="str">
        <f>IFERROR(__xludf.DUMMYFUNCTION("""COMPUTED_VALUE"""),"")</f>
        <v/>
      </c>
      <c r="J4405" s="35" t="str">
        <f>IFERROR(__xludf.DUMMYFUNCTION("""COMPUTED_VALUE"""),"")</f>
        <v/>
      </c>
      <c r="K4405" s="35"/>
      <c r="L4405" s="35"/>
      <c r="M4405" s="35"/>
      <c r="N4405" s="35"/>
      <c r="O4405" s="35"/>
      <c r="P4405" s="35"/>
      <c r="Q4405" s="35"/>
      <c r="R4405" s="35"/>
      <c r="S4405" s="74"/>
      <c r="T4405" s="35"/>
      <c r="U4405" s="35"/>
      <c r="V4405" s="35"/>
      <c r="W4405" s="45"/>
    </row>
    <row r="4406">
      <c r="A4406" s="45"/>
      <c r="B4406" s="35"/>
      <c r="C4406" s="35"/>
      <c r="D4406" s="10"/>
      <c r="E4406" s="35" t="str">
        <f>IFERROR(__xludf.DUMMYFUNCTION("""COMPUTED_VALUE"""),"")</f>
        <v/>
      </c>
      <c r="F4406" s="35" t="str">
        <f>IFERROR(__xludf.DUMMYFUNCTION("""COMPUTED_VALUE"""),"1899")</f>
        <v>1899</v>
      </c>
      <c r="G4406" s="35"/>
      <c r="H4406" s="35" t="str">
        <f>IFERROR(__xludf.DUMMYFUNCTION("""COMPUTED_VALUE"""),"")</f>
        <v/>
      </c>
      <c r="I4406" s="35" t="str">
        <f>IFERROR(__xludf.DUMMYFUNCTION("""COMPUTED_VALUE"""),"")</f>
        <v/>
      </c>
      <c r="J4406" s="35" t="str">
        <f>IFERROR(__xludf.DUMMYFUNCTION("""COMPUTED_VALUE"""),"")</f>
        <v/>
      </c>
      <c r="K4406" s="35"/>
      <c r="L4406" s="35"/>
      <c r="M4406" s="35"/>
      <c r="N4406" s="35"/>
      <c r="O4406" s="35"/>
      <c r="P4406" s="35"/>
      <c r="Q4406" s="35"/>
      <c r="R4406" s="35"/>
      <c r="S4406" s="74"/>
      <c r="T4406" s="35"/>
      <c r="U4406" s="35"/>
      <c r="V4406" s="35"/>
      <c r="W4406" s="45"/>
    </row>
    <row r="4407">
      <c r="A4407" s="45"/>
      <c r="B4407" s="35"/>
      <c r="C4407" s="35"/>
      <c r="D4407" s="10"/>
      <c r="E4407" s="35" t="str">
        <f>IFERROR(__xludf.DUMMYFUNCTION("""COMPUTED_VALUE"""),"")</f>
        <v/>
      </c>
      <c r="F4407" s="35" t="str">
        <f>IFERROR(__xludf.DUMMYFUNCTION("""COMPUTED_VALUE"""),"1899")</f>
        <v>1899</v>
      </c>
      <c r="G4407" s="35"/>
      <c r="H4407" s="35" t="str">
        <f>IFERROR(__xludf.DUMMYFUNCTION("""COMPUTED_VALUE"""),"")</f>
        <v/>
      </c>
      <c r="I4407" s="35" t="str">
        <f>IFERROR(__xludf.DUMMYFUNCTION("""COMPUTED_VALUE"""),"")</f>
        <v/>
      </c>
      <c r="J4407" s="35" t="str">
        <f>IFERROR(__xludf.DUMMYFUNCTION("""COMPUTED_VALUE"""),"")</f>
        <v/>
      </c>
      <c r="K4407" s="35"/>
      <c r="L4407" s="35"/>
      <c r="M4407" s="35"/>
      <c r="N4407" s="35"/>
      <c r="O4407" s="35"/>
      <c r="P4407" s="35"/>
      <c r="Q4407" s="35"/>
      <c r="R4407" s="35"/>
      <c r="S4407" s="74"/>
      <c r="T4407" s="35"/>
      <c r="U4407" s="35"/>
      <c r="V4407" s="35"/>
      <c r="W4407" s="45"/>
    </row>
    <row r="4408">
      <c r="A4408" s="45"/>
      <c r="B4408" s="35"/>
      <c r="C4408" s="35"/>
      <c r="D4408" s="10"/>
      <c r="E4408" s="35" t="str">
        <f>IFERROR(__xludf.DUMMYFUNCTION("""COMPUTED_VALUE"""),"")</f>
        <v/>
      </c>
      <c r="F4408" s="35" t="str">
        <f>IFERROR(__xludf.DUMMYFUNCTION("""COMPUTED_VALUE"""),"1899")</f>
        <v>1899</v>
      </c>
      <c r="G4408" s="35"/>
      <c r="H4408" s="35" t="str">
        <f>IFERROR(__xludf.DUMMYFUNCTION("""COMPUTED_VALUE"""),"")</f>
        <v/>
      </c>
      <c r="I4408" s="35" t="str">
        <f>IFERROR(__xludf.DUMMYFUNCTION("""COMPUTED_VALUE"""),"")</f>
        <v/>
      </c>
      <c r="J4408" s="35" t="str">
        <f>IFERROR(__xludf.DUMMYFUNCTION("""COMPUTED_VALUE"""),"")</f>
        <v/>
      </c>
      <c r="K4408" s="35"/>
      <c r="L4408" s="35"/>
      <c r="M4408" s="35"/>
      <c r="N4408" s="35"/>
      <c r="O4408" s="35"/>
      <c r="P4408" s="35"/>
      <c r="Q4408" s="35"/>
      <c r="R4408" s="35"/>
      <c r="S4408" s="74"/>
      <c r="T4408" s="35"/>
      <c r="U4408" s="35"/>
      <c r="V4408" s="35"/>
      <c r="W4408" s="45"/>
    </row>
    <row r="4409">
      <c r="A4409" s="45"/>
      <c r="B4409" s="35"/>
      <c r="C4409" s="35"/>
      <c r="D4409" s="10"/>
      <c r="E4409" s="35" t="str">
        <f>IFERROR(__xludf.DUMMYFUNCTION("""COMPUTED_VALUE"""),"")</f>
        <v/>
      </c>
      <c r="F4409" s="35" t="str">
        <f>IFERROR(__xludf.DUMMYFUNCTION("""COMPUTED_VALUE"""),"1899")</f>
        <v>1899</v>
      </c>
      <c r="G4409" s="35"/>
      <c r="H4409" s="35" t="str">
        <f>IFERROR(__xludf.DUMMYFUNCTION("""COMPUTED_VALUE"""),"")</f>
        <v/>
      </c>
      <c r="I4409" s="35" t="str">
        <f>IFERROR(__xludf.DUMMYFUNCTION("""COMPUTED_VALUE"""),"")</f>
        <v/>
      </c>
      <c r="J4409" s="35" t="str">
        <f>IFERROR(__xludf.DUMMYFUNCTION("""COMPUTED_VALUE"""),"")</f>
        <v/>
      </c>
      <c r="K4409" s="35"/>
      <c r="L4409" s="35"/>
      <c r="M4409" s="35"/>
      <c r="N4409" s="35"/>
      <c r="O4409" s="35"/>
      <c r="P4409" s="35"/>
      <c r="Q4409" s="35"/>
      <c r="R4409" s="35"/>
      <c r="S4409" s="74"/>
      <c r="T4409" s="35"/>
      <c r="U4409" s="35"/>
      <c r="V4409" s="35"/>
      <c r="W4409" s="45"/>
    </row>
    <row r="4410">
      <c r="A4410" s="45"/>
      <c r="B4410" s="35"/>
      <c r="C4410" s="35"/>
      <c r="D4410" s="10"/>
      <c r="E4410" s="35" t="str">
        <f>IFERROR(__xludf.DUMMYFUNCTION("""COMPUTED_VALUE"""),"")</f>
        <v/>
      </c>
      <c r="F4410" s="35" t="str">
        <f>IFERROR(__xludf.DUMMYFUNCTION("""COMPUTED_VALUE"""),"1899")</f>
        <v>1899</v>
      </c>
      <c r="G4410" s="35"/>
      <c r="H4410" s="35" t="str">
        <f>IFERROR(__xludf.DUMMYFUNCTION("""COMPUTED_VALUE"""),"")</f>
        <v/>
      </c>
      <c r="I4410" s="35" t="str">
        <f>IFERROR(__xludf.DUMMYFUNCTION("""COMPUTED_VALUE"""),"")</f>
        <v/>
      </c>
      <c r="J4410" s="35" t="str">
        <f>IFERROR(__xludf.DUMMYFUNCTION("""COMPUTED_VALUE"""),"")</f>
        <v/>
      </c>
      <c r="K4410" s="35"/>
      <c r="L4410" s="35"/>
      <c r="M4410" s="35"/>
      <c r="N4410" s="35"/>
      <c r="O4410" s="35"/>
      <c r="P4410" s="35"/>
      <c r="Q4410" s="35"/>
      <c r="R4410" s="35"/>
      <c r="S4410" s="74"/>
      <c r="T4410" s="35"/>
      <c r="U4410" s="35"/>
      <c r="V4410" s="35"/>
      <c r="W4410" s="45"/>
    </row>
    <row r="4411">
      <c r="A4411" s="45"/>
      <c r="B4411" s="35"/>
      <c r="C4411" s="35"/>
      <c r="D4411" s="10"/>
      <c r="E4411" s="35" t="str">
        <f>IFERROR(__xludf.DUMMYFUNCTION("""COMPUTED_VALUE"""),"")</f>
        <v/>
      </c>
      <c r="F4411" s="35" t="str">
        <f>IFERROR(__xludf.DUMMYFUNCTION("""COMPUTED_VALUE"""),"1899")</f>
        <v>1899</v>
      </c>
      <c r="G4411" s="35"/>
      <c r="H4411" s="35" t="str">
        <f>IFERROR(__xludf.DUMMYFUNCTION("""COMPUTED_VALUE"""),"")</f>
        <v/>
      </c>
      <c r="I4411" s="35" t="str">
        <f>IFERROR(__xludf.DUMMYFUNCTION("""COMPUTED_VALUE"""),"")</f>
        <v/>
      </c>
      <c r="J4411" s="35" t="str">
        <f>IFERROR(__xludf.DUMMYFUNCTION("""COMPUTED_VALUE"""),"")</f>
        <v/>
      </c>
      <c r="K4411" s="35"/>
      <c r="L4411" s="35"/>
      <c r="M4411" s="35"/>
      <c r="N4411" s="35"/>
      <c r="O4411" s="35"/>
      <c r="P4411" s="35"/>
      <c r="Q4411" s="35"/>
      <c r="R4411" s="35"/>
      <c r="S4411" s="74"/>
      <c r="T4411" s="35"/>
      <c r="U4411" s="35"/>
      <c r="V4411" s="35"/>
      <c r="W4411" s="45"/>
    </row>
    <row r="4412">
      <c r="A4412" s="45"/>
      <c r="B4412" s="35"/>
      <c r="C4412" s="35"/>
      <c r="D4412" s="10"/>
      <c r="E4412" s="35" t="str">
        <f>IFERROR(__xludf.DUMMYFUNCTION("""COMPUTED_VALUE"""),"")</f>
        <v/>
      </c>
      <c r="F4412" s="35" t="str">
        <f>IFERROR(__xludf.DUMMYFUNCTION("""COMPUTED_VALUE"""),"1899")</f>
        <v>1899</v>
      </c>
      <c r="G4412" s="35"/>
      <c r="H4412" s="35" t="str">
        <f>IFERROR(__xludf.DUMMYFUNCTION("""COMPUTED_VALUE"""),"")</f>
        <v/>
      </c>
      <c r="I4412" s="35" t="str">
        <f>IFERROR(__xludf.DUMMYFUNCTION("""COMPUTED_VALUE"""),"")</f>
        <v/>
      </c>
      <c r="J4412" s="35" t="str">
        <f>IFERROR(__xludf.DUMMYFUNCTION("""COMPUTED_VALUE"""),"")</f>
        <v/>
      </c>
      <c r="K4412" s="35"/>
      <c r="L4412" s="35"/>
      <c r="M4412" s="35"/>
      <c r="N4412" s="35"/>
      <c r="O4412" s="35"/>
      <c r="P4412" s="35"/>
      <c r="Q4412" s="35"/>
      <c r="R4412" s="35"/>
      <c r="S4412" s="74"/>
      <c r="T4412" s="35"/>
      <c r="U4412" s="35"/>
      <c r="V4412" s="35"/>
      <c r="W4412" s="45"/>
    </row>
    <row r="4413">
      <c r="A4413" s="45"/>
      <c r="B4413" s="35"/>
      <c r="C4413" s="35"/>
      <c r="D4413" s="10"/>
      <c r="E4413" s="35" t="str">
        <f>IFERROR(__xludf.DUMMYFUNCTION("""COMPUTED_VALUE"""),"")</f>
        <v/>
      </c>
      <c r="F4413" s="35" t="str">
        <f>IFERROR(__xludf.DUMMYFUNCTION("""COMPUTED_VALUE"""),"1899")</f>
        <v>1899</v>
      </c>
      <c r="G4413" s="35"/>
      <c r="H4413" s="35" t="str">
        <f>IFERROR(__xludf.DUMMYFUNCTION("""COMPUTED_VALUE"""),"")</f>
        <v/>
      </c>
      <c r="I4413" s="35" t="str">
        <f>IFERROR(__xludf.DUMMYFUNCTION("""COMPUTED_VALUE"""),"")</f>
        <v/>
      </c>
      <c r="J4413" s="35" t="str">
        <f>IFERROR(__xludf.DUMMYFUNCTION("""COMPUTED_VALUE"""),"")</f>
        <v/>
      </c>
      <c r="K4413" s="35"/>
      <c r="L4413" s="35"/>
      <c r="M4413" s="35"/>
      <c r="N4413" s="35"/>
      <c r="O4413" s="35"/>
      <c r="P4413" s="35"/>
      <c r="Q4413" s="35"/>
      <c r="R4413" s="35"/>
      <c r="S4413" s="74"/>
      <c r="T4413" s="35"/>
      <c r="U4413" s="35"/>
      <c r="V4413" s="35"/>
      <c r="W4413" s="45"/>
    </row>
    <row r="4414">
      <c r="A4414" s="45"/>
      <c r="B4414" s="35"/>
      <c r="C4414" s="35"/>
      <c r="D4414" s="10"/>
      <c r="E4414" s="35" t="str">
        <f>IFERROR(__xludf.DUMMYFUNCTION("""COMPUTED_VALUE"""),"")</f>
        <v/>
      </c>
      <c r="F4414" s="35" t="str">
        <f>IFERROR(__xludf.DUMMYFUNCTION("""COMPUTED_VALUE"""),"1899")</f>
        <v>1899</v>
      </c>
      <c r="G4414" s="35"/>
      <c r="H4414" s="35" t="str">
        <f>IFERROR(__xludf.DUMMYFUNCTION("""COMPUTED_VALUE"""),"")</f>
        <v/>
      </c>
      <c r="I4414" s="35" t="str">
        <f>IFERROR(__xludf.DUMMYFUNCTION("""COMPUTED_VALUE"""),"")</f>
        <v/>
      </c>
      <c r="J4414" s="35" t="str">
        <f>IFERROR(__xludf.DUMMYFUNCTION("""COMPUTED_VALUE"""),"")</f>
        <v/>
      </c>
      <c r="K4414" s="35"/>
      <c r="L4414" s="35"/>
      <c r="M4414" s="35"/>
      <c r="N4414" s="35"/>
      <c r="O4414" s="35"/>
      <c r="P4414" s="35"/>
      <c r="Q4414" s="35"/>
      <c r="R4414" s="35"/>
      <c r="S4414" s="74"/>
      <c r="T4414" s="35"/>
      <c r="U4414" s="35"/>
      <c r="V4414" s="35"/>
      <c r="W4414" s="45"/>
    </row>
    <row r="4415">
      <c r="A4415" s="45"/>
      <c r="B4415" s="35"/>
      <c r="C4415" s="35"/>
      <c r="D4415" s="10"/>
      <c r="E4415" s="35" t="str">
        <f>IFERROR(__xludf.DUMMYFUNCTION("""COMPUTED_VALUE"""),"")</f>
        <v/>
      </c>
      <c r="F4415" s="35" t="str">
        <f>IFERROR(__xludf.DUMMYFUNCTION("""COMPUTED_VALUE"""),"1899")</f>
        <v>1899</v>
      </c>
      <c r="G4415" s="35"/>
      <c r="H4415" s="35" t="str">
        <f>IFERROR(__xludf.DUMMYFUNCTION("""COMPUTED_VALUE"""),"")</f>
        <v/>
      </c>
      <c r="I4415" s="35" t="str">
        <f>IFERROR(__xludf.DUMMYFUNCTION("""COMPUTED_VALUE"""),"")</f>
        <v/>
      </c>
      <c r="J4415" s="35" t="str">
        <f>IFERROR(__xludf.DUMMYFUNCTION("""COMPUTED_VALUE"""),"")</f>
        <v/>
      </c>
      <c r="K4415" s="35"/>
      <c r="L4415" s="35"/>
      <c r="M4415" s="35"/>
      <c r="N4415" s="35"/>
      <c r="O4415" s="35"/>
      <c r="P4415" s="35"/>
      <c r="Q4415" s="35"/>
      <c r="R4415" s="35"/>
      <c r="S4415" s="74"/>
      <c r="T4415" s="35"/>
      <c r="U4415" s="35"/>
      <c r="V4415" s="35"/>
      <c r="W4415" s="45"/>
    </row>
    <row r="4416">
      <c r="A4416" s="45"/>
      <c r="B4416" s="35"/>
      <c r="C4416" s="35"/>
      <c r="D4416" s="10"/>
      <c r="E4416" s="35" t="str">
        <f>IFERROR(__xludf.DUMMYFUNCTION("""COMPUTED_VALUE"""),"")</f>
        <v/>
      </c>
      <c r="F4416" s="35" t="str">
        <f>IFERROR(__xludf.DUMMYFUNCTION("""COMPUTED_VALUE"""),"1899")</f>
        <v>1899</v>
      </c>
      <c r="G4416" s="35"/>
      <c r="H4416" s="35" t="str">
        <f>IFERROR(__xludf.DUMMYFUNCTION("""COMPUTED_VALUE"""),"")</f>
        <v/>
      </c>
      <c r="I4416" s="35" t="str">
        <f>IFERROR(__xludf.DUMMYFUNCTION("""COMPUTED_VALUE"""),"")</f>
        <v/>
      </c>
      <c r="J4416" s="35" t="str">
        <f>IFERROR(__xludf.DUMMYFUNCTION("""COMPUTED_VALUE"""),"")</f>
        <v/>
      </c>
      <c r="K4416" s="35"/>
      <c r="L4416" s="35"/>
      <c r="M4416" s="35"/>
      <c r="N4416" s="35"/>
      <c r="O4416" s="35"/>
      <c r="P4416" s="35"/>
      <c r="Q4416" s="35"/>
      <c r="R4416" s="35"/>
      <c r="S4416" s="74"/>
      <c r="T4416" s="35"/>
      <c r="U4416" s="35"/>
      <c r="V4416" s="35"/>
      <c r="W4416" s="45"/>
    </row>
    <row r="4417">
      <c r="A4417" s="45"/>
      <c r="B4417" s="35"/>
      <c r="C4417" s="35"/>
      <c r="D4417" s="10"/>
      <c r="E4417" s="35" t="str">
        <f>IFERROR(__xludf.DUMMYFUNCTION("""COMPUTED_VALUE"""),"")</f>
        <v/>
      </c>
      <c r="F4417" s="35" t="str">
        <f>IFERROR(__xludf.DUMMYFUNCTION("""COMPUTED_VALUE"""),"1899")</f>
        <v>1899</v>
      </c>
      <c r="G4417" s="35"/>
      <c r="H4417" s="35" t="str">
        <f>IFERROR(__xludf.DUMMYFUNCTION("""COMPUTED_VALUE"""),"")</f>
        <v/>
      </c>
      <c r="I4417" s="35" t="str">
        <f>IFERROR(__xludf.DUMMYFUNCTION("""COMPUTED_VALUE"""),"")</f>
        <v/>
      </c>
      <c r="J4417" s="35" t="str">
        <f>IFERROR(__xludf.DUMMYFUNCTION("""COMPUTED_VALUE"""),"")</f>
        <v/>
      </c>
      <c r="K4417" s="35"/>
      <c r="L4417" s="35"/>
      <c r="M4417" s="35"/>
      <c r="N4417" s="35"/>
      <c r="O4417" s="35"/>
      <c r="P4417" s="35"/>
      <c r="Q4417" s="35"/>
      <c r="R4417" s="35"/>
      <c r="S4417" s="74"/>
      <c r="T4417" s="35"/>
      <c r="U4417" s="35"/>
      <c r="V4417" s="35"/>
      <c r="W4417" s="45"/>
    </row>
    <row r="4418">
      <c r="A4418" s="45"/>
      <c r="B4418" s="35"/>
      <c r="C4418" s="35"/>
      <c r="D4418" s="10"/>
      <c r="E4418" s="35" t="str">
        <f>IFERROR(__xludf.DUMMYFUNCTION("""COMPUTED_VALUE"""),"")</f>
        <v/>
      </c>
      <c r="F4418" s="35" t="str">
        <f>IFERROR(__xludf.DUMMYFUNCTION("""COMPUTED_VALUE"""),"1899")</f>
        <v>1899</v>
      </c>
      <c r="G4418" s="35"/>
      <c r="H4418" s="35" t="str">
        <f>IFERROR(__xludf.DUMMYFUNCTION("""COMPUTED_VALUE"""),"")</f>
        <v/>
      </c>
      <c r="I4418" s="35" t="str">
        <f>IFERROR(__xludf.DUMMYFUNCTION("""COMPUTED_VALUE"""),"")</f>
        <v/>
      </c>
      <c r="J4418" s="35" t="str">
        <f>IFERROR(__xludf.DUMMYFUNCTION("""COMPUTED_VALUE"""),"")</f>
        <v/>
      </c>
      <c r="K4418" s="35"/>
      <c r="L4418" s="35"/>
      <c r="M4418" s="35"/>
      <c r="N4418" s="35"/>
      <c r="O4418" s="35"/>
      <c r="P4418" s="35"/>
      <c r="Q4418" s="35"/>
      <c r="R4418" s="35"/>
      <c r="S4418" s="74"/>
      <c r="T4418" s="35"/>
      <c r="U4418" s="35"/>
      <c r="V4418" s="35"/>
      <c r="W4418" s="45"/>
    </row>
    <row r="4419">
      <c r="A4419" s="45"/>
      <c r="B4419" s="35"/>
      <c r="C4419" s="35"/>
      <c r="D4419" s="10"/>
      <c r="E4419" s="35" t="str">
        <f>IFERROR(__xludf.DUMMYFUNCTION("""COMPUTED_VALUE"""),"")</f>
        <v/>
      </c>
      <c r="F4419" s="35" t="str">
        <f>IFERROR(__xludf.DUMMYFUNCTION("""COMPUTED_VALUE"""),"1899")</f>
        <v>1899</v>
      </c>
      <c r="G4419" s="35"/>
      <c r="H4419" s="35" t="str">
        <f>IFERROR(__xludf.DUMMYFUNCTION("""COMPUTED_VALUE"""),"")</f>
        <v/>
      </c>
      <c r="I4419" s="35" t="str">
        <f>IFERROR(__xludf.DUMMYFUNCTION("""COMPUTED_VALUE"""),"")</f>
        <v/>
      </c>
      <c r="J4419" s="35" t="str">
        <f>IFERROR(__xludf.DUMMYFUNCTION("""COMPUTED_VALUE"""),"")</f>
        <v/>
      </c>
      <c r="K4419" s="35"/>
      <c r="L4419" s="35"/>
      <c r="M4419" s="35"/>
      <c r="N4419" s="35"/>
      <c r="O4419" s="35"/>
      <c r="P4419" s="35"/>
      <c r="Q4419" s="35"/>
      <c r="R4419" s="35"/>
      <c r="S4419" s="74"/>
      <c r="T4419" s="35"/>
      <c r="U4419" s="35"/>
      <c r="V4419" s="35"/>
      <c r="W4419" s="45"/>
    </row>
    <row r="4420">
      <c r="A4420" s="45"/>
      <c r="B4420" s="35"/>
      <c r="C4420" s="35"/>
      <c r="D4420" s="10"/>
      <c r="E4420" s="35" t="str">
        <f>IFERROR(__xludf.DUMMYFUNCTION("""COMPUTED_VALUE"""),"")</f>
        <v/>
      </c>
      <c r="F4420" s="35" t="str">
        <f>IFERROR(__xludf.DUMMYFUNCTION("""COMPUTED_VALUE"""),"1899")</f>
        <v>1899</v>
      </c>
      <c r="G4420" s="35"/>
      <c r="H4420" s="35" t="str">
        <f>IFERROR(__xludf.DUMMYFUNCTION("""COMPUTED_VALUE"""),"")</f>
        <v/>
      </c>
      <c r="I4420" s="35" t="str">
        <f>IFERROR(__xludf.DUMMYFUNCTION("""COMPUTED_VALUE"""),"")</f>
        <v/>
      </c>
      <c r="J4420" s="35" t="str">
        <f>IFERROR(__xludf.DUMMYFUNCTION("""COMPUTED_VALUE"""),"")</f>
        <v/>
      </c>
      <c r="K4420" s="35"/>
      <c r="L4420" s="35"/>
      <c r="M4420" s="35"/>
      <c r="N4420" s="35"/>
      <c r="O4420" s="35"/>
      <c r="P4420" s="35"/>
      <c r="Q4420" s="35"/>
      <c r="R4420" s="35"/>
      <c r="S4420" s="74"/>
      <c r="T4420" s="35"/>
      <c r="U4420" s="35"/>
      <c r="V4420" s="35"/>
      <c r="W4420" s="45"/>
    </row>
    <row r="4421">
      <c r="A4421" s="45"/>
      <c r="B4421" s="35"/>
      <c r="C4421" s="35"/>
      <c r="D4421" s="10"/>
      <c r="E4421" s="35" t="str">
        <f>IFERROR(__xludf.DUMMYFUNCTION("""COMPUTED_VALUE"""),"")</f>
        <v/>
      </c>
      <c r="F4421" s="35" t="str">
        <f>IFERROR(__xludf.DUMMYFUNCTION("""COMPUTED_VALUE"""),"1899")</f>
        <v>1899</v>
      </c>
      <c r="G4421" s="35"/>
      <c r="H4421" s="35" t="str">
        <f>IFERROR(__xludf.DUMMYFUNCTION("""COMPUTED_VALUE"""),"")</f>
        <v/>
      </c>
      <c r="I4421" s="35" t="str">
        <f>IFERROR(__xludf.DUMMYFUNCTION("""COMPUTED_VALUE"""),"")</f>
        <v/>
      </c>
      <c r="J4421" s="35" t="str">
        <f>IFERROR(__xludf.DUMMYFUNCTION("""COMPUTED_VALUE"""),"")</f>
        <v/>
      </c>
      <c r="K4421" s="35"/>
      <c r="L4421" s="35"/>
      <c r="M4421" s="35"/>
      <c r="N4421" s="35"/>
      <c r="O4421" s="35"/>
      <c r="P4421" s="35"/>
      <c r="Q4421" s="35"/>
      <c r="R4421" s="35"/>
      <c r="S4421" s="74"/>
      <c r="T4421" s="35"/>
      <c r="U4421" s="35"/>
      <c r="V4421" s="35"/>
      <c r="W4421" s="45"/>
    </row>
    <row r="4422">
      <c r="A4422" s="45"/>
      <c r="B4422" s="35"/>
      <c r="C4422" s="35"/>
      <c r="D4422" s="10"/>
      <c r="E4422" s="35" t="str">
        <f>IFERROR(__xludf.DUMMYFUNCTION("""COMPUTED_VALUE"""),"")</f>
        <v/>
      </c>
      <c r="F4422" s="35" t="str">
        <f>IFERROR(__xludf.DUMMYFUNCTION("""COMPUTED_VALUE"""),"1899")</f>
        <v>1899</v>
      </c>
      <c r="G4422" s="35"/>
      <c r="H4422" s="35" t="str">
        <f>IFERROR(__xludf.DUMMYFUNCTION("""COMPUTED_VALUE"""),"")</f>
        <v/>
      </c>
      <c r="I4422" s="35" t="str">
        <f>IFERROR(__xludf.DUMMYFUNCTION("""COMPUTED_VALUE"""),"")</f>
        <v/>
      </c>
      <c r="J4422" s="35" t="str">
        <f>IFERROR(__xludf.DUMMYFUNCTION("""COMPUTED_VALUE"""),"")</f>
        <v/>
      </c>
      <c r="K4422" s="35"/>
      <c r="L4422" s="35"/>
      <c r="M4422" s="35"/>
      <c r="N4422" s="35"/>
      <c r="O4422" s="35"/>
      <c r="P4422" s="35"/>
      <c r="Q4422" s="35"/>
      <c r="R4422" s="35"/>
      <c r="S4422" s="74"/>
      <c r="T4422" s="35"/>
      <c r="U4422" s="35"/>
      <c r="V4422" s="35"/>
      <c r="W4422" s="45"/>
    </row>
    <row r="4423">
      <c r="A4423" s="45"/>
      <c r="B4423" s="35"/>
      <c r="C4423" s="35"/>
      <c r="D4423" s="10"/>
      <c r="E4423" s="35" t="str">
        <f>IFERROR(__xludf.DUMMYFUNCTION("""COMPUTED_VALUE"""),"")</f>
        <v/>
      </c>
      <c r="F4423" s="35" t="str">
        <f>IFERROR(__xludf.DUMMYFUNCTION("""COMPUTED_VALUE"""),"1899")</f>
        <v>1899</v>
      </c>
      <c r="G4423" s="35"/>
      <c r="H4423" s="35" t="str">
        <f>IFERROR(__xludf.DUMMYFUNCTION("""COMPUTED_VALUE"""),"")</f>
        <v/>
      </c>
      <c r="I4423" s="35" t="str">
        <f>IFERROR(__xludf.DUMMYFUNCTION("""COMPUTED_VALUE"""),"")</f>
        <v/>
      </c>
      <c r="J4423" s="35" t="str">
        <f>IFERROR(__xludf.DUMMYFUNCTION("""COMPUTED_VALUE"""),"")</f>
        <v/>
      </c>
      <c r="K4423" s="35"/>
      <c r="L4423" s="35"/>
      <c r="M4423" s="35"/>
      <c r="N4423" s="35"/>
      <c r="O4423" s="35"/>
      <c r="P4423" s="35"/>
      <c r="Q4423" s="35"/>
      <c r="R4423" s="35"/>
      <c r="S4423" s="74"/>
      <c r="T4423" s="35"/>
      <c r="U4423" s="35"/>
      <c r="V4423" s="35"/>
      <c r="W4423" s="45"/>
    </row>
    <row r="4424">
      <c r="A4424" s="45"/>
      <c r="B4424" s="35"/>
      <c r="C4424" s="35"/>
      <c r="D4424" s="10"/>
      <c r="E4424" s="35" t="str">
        <f>IFERROR(__xludf.DUMMYFUNCTION("""COMPUTED_VALUE"""),"")</f>
        <v/>
      </c>
      <c r="F4424" s="35" t="str">
        <f>IFERROR(__xludf.DUMMYFUNCTION("""COMPUTED_VALUE"""),"1899")</f>
        <v>1899</v>
      </c>
      <c r="G4424" s="35"/>
      <c r="H4424" s="35" t="str">
        <f>IFERROR(__xludf.DUMMYFUNCTION("""COMPUTED_VALUE"""),"")</f>
        <v/>
      </c>
      <c r="I4424" s="35" t="str">
        <f>IFERROR(__xludf.DUMMYFUNCTION("""COMPUTED_VALUE"""),"")</f>
        <v/>
      </c>
      <c r="J4424" s="35" t="str">
        <f>IFERROR(__xludf.DUMMYFUNCTION("""COMPUTED_VALUE"""),"")</f>
        <v/>
      </c>
      <c r="K4424" s="35"/>
      <c r="L4424" s="35"/>
      <c r="M4424" s="35"/>
      <c r="N4424" s="35"/>
      <c r="O4424" s="35"/>
      <c r="P4424" s="35"/>
      <c r="Q4424" s="35"/>
      <c r="R4424" s="35"/>
      <c r="S4424" s="74"/>
      <c r="T4424" s="35"/>
      <c r="U4424" s="35"/>
      <c r="V4424" s="35"/>
      <c r="W4424" s="45"/>
    </row>
    <row r="4425">
      <c r="A4425" s="45"/>
      <c r="B4425" s="35"/>
      <c r="C4425" s="35"/>
      <c r="D4425" s="10"/>
      <c r="E4425" s="35" t="str">
        <f>IFERROR(__xludf.DUMMYFUNCTION("""COMPUTED_VALUE"""),"")</f>
        <v/>
      </c>
      <c r="F4425" s="35" t="str">
        <f>IFERROR(__xludf.DUMMYFUNCTION("""COMPUTED_VALUE"""),"1899")</f>
        <v>1899</v>
      </c>
      <c r="G4425" s="35"/>
      <c r="H4425" s="35" t="str">
        <f>IFERROR(__xludf.DUMMYFUNCTION("""COMPUTED_VALUE"""),"")</f>
        <v/>
      </c>
      <c r="I4425" s="35" t="str">
        <f>IFERROR(__xludf.DUMMYFUNCTION("""COMPUTED_VALUE"""),"")</f>
        <v/>
      </c>
      <c r="J4425" s="35" t="str">
        <f>IFERROR(__xludf.DUMMYFUNCTION("""COMPUTED_VALUE"""),"")</f>
        <v/>
      </c>
      <c r="K4425" s="35"/>
      <c r="L4425" s="35"/>
      <c r="M4425" s="35"/>
      <c r="N4425" s="35"/>
      <c r="O4425" s="35"/>
      <c r="P4425" s="35"/>
      <c r="Q4425" s="35"/>
      <c r="R4425" s="35"/>
      <c r="S4425" s="74"/>
      <c r="T4425" s="35"/>
      <c r="U4425" s="35"/>
      <c r="V4425" s="35"/>
      <c r="W4425" s="45"/>
    </row>
    <row r="4426">
      <c r="A4426" s="45"/>
      <c r="B4426" s="35"/>
      <c r="C4426" s="35"/>
      <c r="D4426" s="10"/>
      <c r="E4426" s="35" t="str">
        <f>IFERROR(__xludf.DUMMYFUNCTION("""COMPUTED_VALUE"""),"")</f>
        <v/>
      </c>
      <c r="F4426" s="35" t="str">
        <f>IFERROR(__xludf.DUMMYFUNCTION("""COMPUTED_VALUE"""),"1899")</f>
        <v>1899</v>
      </c>
      <c r="G4426" s="35"/>
      <c r="H4426" s="35" t="str">
        <f>IFERROR(__xludf.DUMMYFUNCTION("""COMPUTED_VALUE"""),"")</f>
        <v/>
      </c>
      <c r="I4426" s="35" t="str">
        <f>IFERROR(__xludf.DUMMYFUNCTION("""COMPUTED_VALUE"""),"")</f>
        <v/>
      </c>
      <c r="J4426" s="35" t="str">
        <f>IFERROR(__xludf.DUMMYFUNCTION("""COMPUTED_VALUE"""),"")</f>
        <v/>
      </c>
      <c r="K4426" s="35"/>
      <c r="L4426" s="35"/>
      <c r="M4426" s="35"/>
      <c r="N4426" s="35"/>
      <c r="O4426" s="35"/>
      <c r="P4426" s="35"/>
      <c r="Q4426" s="35"/>
      <c r="R4426" s="35"/>
      <c r="S4426" s="74"/>
      <c r="T4426" s="35"/>
      <c r="U4426" s="35"/>
      <c r="V4426" s="35"/>
      <c r="W4426" s="45"/>
    </row>
    <row r="4427">
      <c r="A4427" s="45"/>
      <c r="B4427" s="35"/>
      <c r="C4427" s="35"/>
      <c r="D4427" s="10"/>
      <c r="E4427" s="35" t="str">
        <f>IFERROR(__xludf.DUMMYFUNCTION("""COMPUTED_VALUE"""),"")</f>
        <v/>
      </c>
      <c r="F4427" s="35" t="str">
        <f>IFERROR(__xludf.DUMMYFUNCTION("""COMPUTED_VALUE"""),"1899")</f>
        <v>1899</v>
      </c>
      <c r="G4427" s="35"/>
      <c r="H4427" s="35" t="str">
        <f>IFERROR(__xludf.DUMMYFUNCTION("""COMPUTED_VALUE"""),"")</f>
        <v/>
      </c>
      <c r="I4427" s="35" t="str">
        <f>IFERROR(__xludf.DUMMYFUNCTION("""COMPUTED_VALUE"""),"")</f>
        <v/>
      </c>
      <c r="J4427" s="35" t="str">
        <f>IFERROR(__xludf.DUMMYFUNCTION("""COMPUTED_VALUE"""),"")</f>
        <v/>
      </c>
      <c r="K4427" s="35"/>
      <c r="L4427" s="35"/>
      <c r="M4427" s="35"/>
      <c r="N4427" s="35"/>
      <c r="O4427" s="35"/>
      <c r="P4427" s="35"/>
      <c r="Q4427" s="35"/>
      <c r="R4427" s="35"/>
      <c r="S4427" s="74"/>
      <c r="T4427" s="35"/>
      <c r="U4427" s="35"/>
      <c r="V4427" s="35"/>
      <c r="W4427" s="45"/>
    </row>
    <row r="4428">
      <c r="A4428" s="45"/>
      <c r="B4428" s="35"/>
      <c r="C4428" s="35"/>
      <c r="D4428" s="10"/>
      <c r="E4428" s="35" t="str">
        <f>IFERROR(__xludf.DUMMYFUNCTION("""COMPUTED_VALUE"""),"")</f>
        <v/>
      </c>
      <c r="F4428" s="35" t="str">
        <f>IFERROR(__xludf.DUMMYFUNCTION("""COMPUTED_VALUE"""),"1899")</f>
        <v>1899</v>
      </c>
      <c r="G4428" s="35"/>
      <c r="H4428" s="35" t="str">
        <f>IFERROR(__xludf.DUMMYFUNCTION("""COMPUTED_VALUE"""),"")</f>
        <v/>
      </c>
      <c r="I4428" s="35" t="str">
        <f>IFERROR(__xludf.DUMMYFUNCTION("""COMPUTED_VALUE"""),"")</f>
        <v/>
      </c>
      <c r="J4428" s="35" t="str">
        <f>IFERROR(__xludf.DUMMYFUNCTION("""COMPUTED_VALUE"""),"")</f>
        <v/>
      </c>
      <c r="K4428" s="35"/>
      <c r="L4428" s="35"/>
      <c r="M4428" s="35"/>
      <c r="N4428" s="35"/>
      <c r="O4428" s="35"/>
      <c r="P4428" s="35"/>
      <c r="Q4428" s="35"/>
      <c r="R4428" s="35"/>
      <c r="S4428" s="74"/>
      <c r="T4428" s="35"/>
      <c r="U4428" s="35"/>
      <c r="V4428" s="35"/>
      <c r="W4428" s="45"/>
    </row>
    <row r="4429">
      <c r="A4429" s="45"/>
      <c r="B4429" s="35"/>
      <c r="C4429" s="35"/>
      <c r="D4429" s="10"/>
      <c r="E4429" s="35" t="str">
        <f>IFERROR(__xludf.DUMMYFUNCTION("""COMPUTED_VALUE"""),"")</f>
        <v/>
      </c>
      <c r="F4429" s="35" t="str">
        <f>IFERROR(__xludf.DUMMYFUNCTION("""COMPUTED_VALUE"""),"1899")</f>
        <v>1899</v>
      </c>
      <c r="G4429" s="35"/>
      <c r="H4429" s="35" t="str">
        <f>IFERROR(__xludf.DUMMYFUNCTION("""COMPUTED_VALUE"""),"")</f>
        <v/>
      </c>
      <c r="I4429" s="35" t="str">
        <f>IFERROR(__xludf.DUMMYFUNCTION("""COMPUTED_VALUE"""),"")</f>
        <v/>
      </c>
      <c r="J4429" s="35" t="str">
        <f>IFERROR(__xludf.DUMMYFUNCTION("""COMPUTED_VALUE"""),"")</f>
        <v/>
      </c>
      <c r="K4429" s="35"/>
      <c r="L4429" s="35"/>
      <c r="M4429" s="35"/>
      <c r="N4429" s="35"/>
      <c r="O4429" s="35"/>
      <c r="P4429" s="35"/>
      <c r="Q4429" s="35"/>
      <c r="R4429" s="35"/>
      <c r="S4429" s="74"/>
      <c r="T4429" s="35"/>
      <c r="U4429" s="35"/>
      <c r="V4429" s="35"/>
      <c r="W4429" s="45"/>
    </row>
    <row r="4430">
      <c r="A4430" s="45"/>
      <c r="B4430" s="35"/>
      <c r="C4430" s="35"/>
      <c r="D4430" s="10"/>
      <c r="E4430" s="35" t="str">
        <f>IFERROR(__xludf.DUMMYFUNCTION("""COMPUTED_VALUE"""),"")</f>
        <v/>
      </c>
      <c r="F4430" s="35" t="str">
        <f>IFERROR(__xludf.DUMMYFUNCTION("""COMPUTED_VALUE"""),"1899")</f>
        <v>1899</v>
      </c>
      <c r="G4430" s="35"/>
      <c r="H4430" s="35" t="str">
        <f>IFERROR(__xludf.DUMMYFUNCTION("""COMPUTED_VALUE"""),"")</f>
        <v/>
      </c>
      <c r="I4430" s="35" t="str">
        <f>IFERROR(__xludf.DUMMYFUNCTION("""COMPUTED_VALUE"""),"")</f>
        <v/>
      </c>
      <c r="J4430" s="35" t="str">
        <f>IFERROR(__xludf.DUMMYFUNCTION("""COMPUTED_VALUE"""),"")</f>
        <v/>
      </c>
      <c r="K4430" s="35"/>
      <c r="L4430" s="35"/>
      <c r="M4430" s="35"/>
      <c r="N4430" s="35"/>
      <c r="O4430" s="35"/>
      <c r="P4430" s="35"/>
      <c r="Q4430" s="35"/>
      <c r="R4430" s="35"/>
      <c r="S4430" s="74"/>
      <c r="T4430" s="35"/>
      <c r="U4430" s="35"/>
      <c r="V4430" s="35"/>
      <c r="W4430" s="45"/>
    </row>
    <row r="4431">
      <c r="A4431" s="45"/>
      <c r="B4431" s="35"/>
      <c r="C4431" s="35"/>
      <c r="D4431" s="10"/>
      <c r="E4431" s="35" t="str">
        <f>IFERROR(__xludf.DUMMYFUNCTION("""COMPUTED_VALUE"""),"")</f>
        <v/>
      </c>
      <c r="F4431" s="35" t="str">
        <f>IFERROR(__xludf.DUMMYFUNCTION("""COMPUTED_VALUE"""),"1899")</f>
        <v>1899</v>
      </c>
      <c r="G4431" s="35"/>
      <c r="H4431" s="35" t="str">
        <f>IFERROR(__xludf.DUMMYFUNCTION("""COMPUTED_VALUE"""),"")</f>
        <v/>
      </c>
      <c r="I4431" s="35" t="str">
        <f>IFERROR(__xludf.DUMMYFUNCTION("""COMPUTED_VALUE"""),"")</f>
        <v/>
      </c>
      <c r="J4431" s="35" t="str">
        <f>IFERROR(__xludf.DUMMYFUNCTION("""COMPUTED_VALUE"""),"")</f>
        <v/>
      </c>
      <c r="K4431" s="35"/>
      <c r="L4431" s="35"/>
      <c r="M4431" s="35"/>
      <c r="N4431" s="35"/>
      <c r="O4431" s="35"/>
      <c r="P4431" s="35"/>
      <c r="Q4431" s="35"/>
      <c r="R4431" s="35"/>
      <c r="S4431" s="74"/>
      <c r="T4431" s="35"/>
      <c r="U4431" s="35"/>
      <c r="V4431" s="35"/>
      <c r="W4431" s="45"/>
    </row>
    <row r="4432">
      <c r="A4432" s="45"/>
      <c r="B4432" s="35"/>
      <c r="C4432" s="35"/>
      <c r="D4432" s="10"/>
      <c r="E4432" s="35" t="str">
        <f>IFERROR(__xludf.DUMMYFUNCTION("""COMPUTED_VALUE"""),"")</f>
        <v/>
      </c>
      <c r="F4432" s="35" t="str">
        <f>IFERROR(__xludf.DUMMYFUNCTION("""COMPUTED_VALUE"""),"1899")</f>
        <v>1899</v>
      </c>
      <c r="G4432" s="35"/>
      <c r="H4432" s="35" t="str">
        <f>IFERROR(__xludf.DUMMYFUNCTION("""COMPUTED_VALUE"""),"")</f>
        <v/>
      </c>
      <c r="I4432" s="35" t="str">
        <f>IFERROR(__xludf.DUMMYFUNCTION("""COMPUTED_VALUE"""),"")</f>
        <v/>
      </c>
      <c r="J4432" s="35" t="str">
        <f>IFERROR(__xludf.DUMMYFUNCTION("""COMPUTED_VALUE"""),"")</f>
        <v/>
      </c>
      <c r="K4432" s="35"/>
      <c r="L4432" s="35"/>
      <c r="M4432" s="35"/>
      <c r="N4432" s="35"/>
      <c r="O4432" s="35"/>
      <c r="P4432" s="35"/>
      <c r="Q4432" s="35"/>
      <c r="R4432" s="35"/>
      <c r="S4432" s="74"/>
      <c r="T4432" s="35"/>
      <c r="U4432" s="35"/>
      <c r="V4432" s="35"/>
      <c r="W4432" s="45"/>
    </row>
    <row r="4433">
      <c r="A4433" s="45"/>
      <c r="B4433" s="35"/>
      <c r="C4433" s="35"/>
      <c r="D4433" s="10"/>
      <c r="E4433" s="35" t="str">
        <f>IFERROR(__xludf.DUMMYFUNCTION("""COMPUTED_VALUE"""),"")</f>
        <v/>
      </c>
      <c r="F4433" s="35" t="str">
        <f>IFERROR(__xludf.DUMMYFUNCTION("""COMPUTED_VALUE"""),"1899")</f>
        <v>1899</v>
      </c>
      <c r="G4433" s="35"/>
      <c r="H4433" s="35" t="str">
        <f>IFERROR(__xludf.DUMMYFUNCTION("""COMPUTED_VALUE"""),"")</f>
        <v/>
      </c>
      <c r="I4433" s="35" t="str">
        <f>IFERROR(__xludf.DUMMYFUNCTION("""COMPUTED_VALUE"""),"")</f>
        <v/>
      </c>
      <c r="J4433" s="35" t="str">
        <f>IFERROR(__xludf.DUMMYFUNCTION("""COMPUTED_VALUE"""),"")</f>
        <v/>
      </c>
      <c r="K4433" s="35"/>
      <c r="L4433" s="35"/>
      <c r="M4433" s="35"/>
      <c r="N4433" s="35"/>
      <c r="O4433" s="35"/>
      <c r="P4433" s="35"/>
      <c r="Q4433" s="35"/>
      <c r="R4433" s="35"/>
      <c r="S4433" s="74"/>
      <c r="T4433" s="35"/>
      <c r="U4433" s="35"/>
      <c r="V4433" s="35"/>
      <c r="W4433" s="45"/>
    </row>
    <row r="4434">
      <c r="A4434" s="45"/>
      <c r="B4434" s="35"/>
      <c r="C4434" s="35"/>
      <c r="D4434" s="10"/>
      <c r="E4434" s="35" t="str">
        <f>IFERROR(__xludf.DUMMYFUNCTION("""COMPUTED_VALUE"""),"")</f>
        <v/>
      </c>
      <c r="F4434" s="35" t="str">
        <f>IFERROR(__xludf.DUMMYFUNCTION("""COMPUTED_VALUE"""),"1899")</f>
        <v>1899</v>
      </c>
      <c r="G4434" s="35"/>
      <c r="H4434" s="35" t="str">
        <f>IFERROR(__xludf.DUMMYFUNCTION("""COMPUTED_VALUE"""),"")</f>
        <v/>
      </c>
      <c r="I4434" s="35" t="str">
        <f>IFERROR(__xludf.DUMMYFUNCTION("""COMPUTED_VALUE"""),"")</f>
        <v/>
      </c>
      <c r="J4434" s="35" t="str">
        <f>IFERROR(__xludf.DUMMYFUNCTION("""COMPUTED_VALUE"""),"")</f>
        <v/>
      </c>
      <c r="K4434" s="35"/>
      <c r="L4434" s="35"/>
      <c r="M4434" s="35"/>
      <c r="N4434" s="35"/>
      <c r="O4434" s="35"/>
      <c r="P4434" s="35"/>
      <c r="Q4434" s="35"/>
      <c r="R4434" s="35"/>
      <c r="S4434" s="74"/>
      <c r="T4434" s="35"/>
      <c r="U4434" s="35"/>
      <c r="V4434" s="35"/>
      <c r="W4434" s="45"/>
    </row>
    <row r="4435">
      <c r="A4435" s="45"/>
      <c r="B4435" s="35"/>
      <c r="C4435" s="35"/>
      <c r="D4435" s="10"/>
      <c r="E4435" s="35" t="str">
        <f>IFERROR(__xludf.DUMMYFUNCTION("""COMPUTED_VALUE"""),"")</f>
        <v/>
      </c>
      <c r="F4435" s="35" t="str">
        <f>IFERROR(__xludf.DUMMYFUNCTION("""COMPUTED_VALUE"""),"1899")</f>
        <v>1899</v>
      </c>
      <c r="G4435" s="35"/>
      <c r="H4435" s="35" t="str">
        <f>IFERROR(__xludf.DUMMYFUNCTION("""COMPUTED_VALUE"""),"")</f>
        <v/>
      </c>
      <c r="I4435" s="35" t="str">
        <f>IFERROR(__xludf.DUMMYFUNCTION("""COMPUTED_VALUE"""),"")</f>
        <v/>
      </c>
      <c r="J4435" s="35" t="str">
        <f>IFERROR(__xludf.DUMMYFUNCTION("""COMPUTED_VALUE"""),"")</f>
        <v/>
      </c>
      <c r="K4435" s="35"/>
      <c r="L4435" s="35"/>
      <c r="M4435" s="35"/>
      <c r="N4435" s="35"/>
      <c r="O4435" s="35"/>
      <c r="P4435" s="35"/>
      <c r="Q4435" s="35"/>
      <c r="R4435" s="35"/>
      <c r="S4435" s="74"/>
      <c r="T4435" s="35"/>
      <c r="U4435" s="35"/>
      <c r="V4435" s="35"/>
      <c r="W4435" s="45"/>
    </row>
    <row r="4436">
      <c r="A4436" s="45"/>
      <c r="B4436" s="35"/>
      <c r="C4436" s="35"/>
      <c r="D4436" s="10"/>
      <c r="E4436" s="35" t="str">
        <f>IFERROR(__xludf.DUMMYFUNCTION("""COMPUTED_VALUE"""),"")</f>
        <v/>
      </c>
      <c r="F4436" s="35" t="str">
        <f>IFERROR(__xludf.DUMMYFUNCTION("""COMPUTED_VALUE"""),"1899")</f>
        <v>1899</v>
      </c>
      <c r="G4436" s="35"/>
      <c r="H4436" s="35" t="str">
        <f>IFERROR(__xludf.DUMMYFUNCTION("""COMPUTED_VALUE"""),"")</f>
        <v/>
      </c>
      <c r="I4436" s="35" t="str">
        <f>IFERROR(__xludf.DUMMYFUNCTION("""COMPUTED_VALUE"""),"")</f>
        <v/>
      </c>
      <c r="J4436" s="35" t="str">
        <f>IFERROR(__xludf.DUMMYFUNCTION("""COMPUTED_VALUE"""),"")</f>
        <v/>
      </c>
      <c r="K4436" s="35"/>
      <c r="L4436" s="35"/>
      <c r="M4436" s="35"/>
      <c r="N4436" s="35"/>
      <c r="O4436" s="35"/>
      <c r="P4436" s="35"/>
      <c r="Q4436" s="35"/>
      <c r="R4436" s="35"/>
      <c r="S4436" s="74"/>
      <c r="T4436" s="35"/>
      <c r="U4436" s="35"/>
      <c r="V4436" s="35"/>
      <c r="W4436" s="45"/>
    </row>
    <row r="4437">
      <c r="A4437" s="45"/>
      <c r="B4437" s="35"/>
      <c r="C4437" s="35"/>
      <c r="D4437" s="10"/>
      <c r="E4437" s="35" t="str">
        <f>IFERROR(__xludf.DUMMYFUNCTION("""COMPUTED_VALUE"""),"")</f>
        <v/>
      </c>
      <c r="F4437" s="35" t="str">
        <f>IFERROR(__xludf.DUMMYFUNCTION("""COMPUTED_VALUE"""),"1899")</f>
        <v>1899</v>
      </c>
      <c r="G4437" s="35"/>
      <c r="H4437" s="35" t="str">
        <f>IFERROR(__xludf.DUMMYFUNCTION("""COMPUTED_VALUE"""),"")</f>
        <v/>
      </c>
      <c r="I4437" s="35" t="str">
        <f>IFERROR(__xludf.DUMMYFUNCTION("""COMPUTED_VALUE"""),"")</f>
        <v/>
      </c>
      <c r="J4437" s="35" t="str">
        <f>IFERROR(__xludf.DUMMYFUNCTION("""COMPUTED_VALUE"""),"")</f>
        <v/>
      </c>
      <c r="K4437" s="35"/>
      <c r="L4437" s="35"/>
      <c r="M4437" s="35"/>
      <c r="N4437" s="35"/>
      <c r="O4437" s="35"/>
      <c r="P4437" s="35"/>
      <c r="Q4437" s="35"/>
      <c r="R4437" s="35"/>
      <c r="S4437" s="74"/>
      <c r="T4437" s="35"/>
      <c r="U4437" s="35"/>
      <c r="V4437" s="35"/>
      <c r="W4437" s="45"/>
    </row>
    <row r="4438">
      <c r="A4438" s="45"/>
      <c r="B4438" s="35"/>
      <c r="C4438" s="35"/>
      <c r="D4438" s="10"/>
      <c r="E4438" s="35" t="str">
        <f>IFERROR(__xludf.DUMMYFUNCTION("""COMPUTED_VALUE"""),"")</f>
        <v/>
      </c>
      <c r="F4438" s="35" t="str">
        <f>IFERROR(__xludf.DUMMYFUNCTION("""COMPUTED_VALUE"""),"1899")</f>
        <v>1899</v>
      </c>
      <c r="G4438" s="35"/>
      <c r="H4438" s="35" t="str">
        <f>IFERROR(__xludf.DUMMYFUNCTION("""COMPUTED_VALUE"""),"")</f>
        <v/>
      </c>
      <c r="I4438" s="35" t="str">
        <f>IFERROR(__xludf.DUMMYFUNCTION("""COMPUTED_VALUE"""),"")</f>
        <v/>
      </c>
      <c r="J4438" s="35" t="str">
        <f>IFERROR(__xludf.DUMMYFUNCTION("""COMPUTED_VALUE"""),"")</f>
        <v/>
      </c>
      <c r="K4438" s="35"/>
      <c r="L4438" s="35"/>
      <c r="M4438" s="35"/>
      <c r="N4438" s="35"/>
      <c r="O4438" s="35"/>
      <c r="P4438" s="35"/>
      <c r="Q4438" s="35"/>
      <c r="R4438" s="35"/>
      <c r="S4438" s="74"/>
      <c r="T4438" s="35"/>
      <c r="U4438" s="35"/>
      <c r="V4438" s="35"/>
      <c r="W4438" s="45"/>
    </row>
    <row r="4439">
      <c r="A4439" s="45"/>
      <c r="B4439" s="35"/>
      <c r="C4439" s="35"/>
      <c r="D4439" s="10"/>
      <c r="E4439" s="35" t="str">
        <f>IFERROR(__xludf.DUMMYFUNCTION("""COMPUTED_VALUE"""),"")</f>
        <v/>
      </c>
      <c r="F4439" s="35" t="str">
        <f>IFERROR(__xludf.DUMMYFUNCTION("""COMPUTED_VALUE"""),"1899")</f>
        <v>1899</v>
      </c>
      <c r="G4439" s="35"/>
      <c r="H4439" s="35" t="str">
        <f>IFERROR(__xludf.DUMMYFUNCTION("""COMPUTED_VALUE"""),"")</f>
        <v/>
      </c>
      <c r="I4439" s="35" t="str">
        <f>IFERROR(__xludf.DUMMYFUNCTION("""COMPUTED_VALUE"""),"")</f>
        <v/>
      </c>
      <c r="J4439" s="35" t="str">
        <f>IFERROR(__xludf.DUMMYFUNCTION("""COMPUTED_VALUE"""),"")</f>
        <v/>
      </c>
      <c r="K4439" s="35"/>
      <c r="L4439" s="35"/>
      <c r="M4439" s="35"/>
      <c r="N4439" s="35"/>
      <c r="O4439" s="35"/>
      <c r="P4439" s="35"/>
      <c r="Q4439" s="35"/>
      <c r="R4439" s="35"/>
      <c r="S4439" s="74"/>
      <c r="T4439" s="35"/>
      <c r="U4439" s="35"/>
      <c r="V4439" s="35"/>
      <c r="W4439" s="45"/>
    </row>
    <row r="4440">
      <c r="A4440" s="45"/>
      <c r="B4440" s="35"/>
      <c r="C4440" s="35"/>
      <c r="D4440" s="10"/>
      <c r="E4440" s="35" t="str">
        <f>IFERROR(__xludf.DUMMYFUNCTION("""COMPUTED_VALUE"""),"")</f>
        <v/>
      </c>
      <c r="F4440" s="35" t="str">
        <f>IFERROR(__xludf.DUMMYFUNCTION("""COMPUTED_VALUE"""),"1899")</f>
        <v>1899</v>
      </c>
      <c r="G4440" s="35"/>
      <c r="H4440" s="35" t="str">
        <f>IFERROR(__xludf.DUMMYFUNCTION("""COMPUTED_VALUE"""),"")</f>
        <v/>
      </c>
      <c r="I4440" s="35" t="str">
        <f>IFERROR(__xludf.DUMMYFUNCTION("""COMPUTED_VALUE"""),"")</f>
        <v/>
      </c>
      <c r="J4440" s="35" t="str">
        <f>IFERROR(__xludf.DUMMYFUNCTION("""COMPUTED_VALUE"""),"")</f>
        <v/>
      </c>
      <c r="K4440" s="35"/>
      <c r="L4440" s="35"/>
      <c r="M4440" s="35"/>
      <c r="N4440" s="35"/>
      <c r="O4440" s="35"/>
      <c r="P4440" s="35"/>
      <c r="Q4440" s="35"/>
      <c r="R4440" s="35"/>
      <c r="S4440" s="74"/>
      <c r="T4440" s="35"/>
      <c r="U4440" s="35"/>
      <c r="V4440" s="35"/>
      <c r="W4440" s="45"/>
    </row>
    <row r="4441">
      <c r="A4441" s="45"/>
      <c r="B4441" s="35"/>
      <c r="C4441" s="35"/>
      <c r="D4441" s="10"/>
      <c r="E4441" s="35" t="str">
        <f>IFERROR(__xludf.DUMMYFUNCTION("""COMPUTED_VALUE"""),"")</f>
        <v/>
      </c>
      <c r="F4441" s="35" t="str">
        <f>IFERROR(__xludf.DUMMYFUNCTION("""COMPUTED_VALUE"""),"1899")</f>
        <v>1899</v>
      </c>
      <c r="G4441" s="35"/>
      <c r="H4441" s="35" t="str">
        <f>IFERROR(__xludf.DUMMYFUNCTION("""COMPUTED_VALUE"""),"")</f>
        <v/>
      </c>
      <c r="I4441" s="35" t="str">
        <f>IFERROR(__xludf.DUMMYFUNCTION("""COMPUTED_VALUE"""),"")</f>
        <v/>
      </c>
      <c r="J4441" s="35" t="str">
        <f>IFERROR(__xludf.DUMMYFUNCTION("""COMPUTED_VALUE"""),"")</f>
        <v/>
      </c>
      <c r="K4441" s="35"/>
      <c r="L4441" s="35"/>
      <c r="M4441" s="35"/>
      <c r="N4441" s="35"/>
      <c r="O4441" s="35"/>
      <c r="P4441" s="35"/>
      <c r="Q4441" s="35"/>
      <c r="R4441" s="35"/>
      <c r="S4441" s="74"/>
      <c r="T4441" s="35"/>
      <c r="U4441" s="35"/>
      <c r="V4441" s="35"/>
      <c r="W4441" s="45"/>
    </row>
    <row r="4442">
      <c r="A4442" s="45"/>
      <c r="B4442" s="35"/>
      <c r="C4442" s="35"/>
      <c r="D4442" s="10"/>
      <c r="E4442" s="35" t="str">
        <f>IFERROR(__xludf.DUMMYFUNCTION("""COMPUTED_VALUE"""),"")</f>
        <v/>
      </c>
      <c r="F4442" s="35" t="str">
        <f>IFERROR(__xludf.DUMMYFUNCTION("""COMPUTED_VALUE"""),"1899")</f>
        <v>1899</v>
      </c>
      <c r="G4442" s="35"/>
      <c r="H4442" s="35" t="str">
        <f>IFERROR(__xludf.DUMMYFUNCTION("""COMPUTED_VALUE"""),"")</f>
        <v/>
      </c>
      <c r="I4442" s="35" t="str">
        <f>IFERROR(__xludf.DUMMYFUNCTION("""COMPUTED_VALUE"""),"")</f>
        <v/>
      </c>
      <c r="J4442" s="35" t="str">
        <f>IFERROR(__xludf.DUMMYFUNCTION("""COMPUTED_VALUE"""),"")</f>
        <v/>
      </c>
      <c r="K4442" s="35"/>
      <c r="L4442" s="35"/>
      <c r="M4442" s="35"/>
      <c r="N4442" s="35"/>
      <c r="O4442" s="35"/>
      <c r="P4442" s="35"/>
      <c r="Q4442" s="35"/>
      <c r="R4442" s="35"/>
      <c r="S4442" s="74"/>
      <c r="T4442" s="35"/>
      <c r="U4442" s="35"/>
      <c r="V4442" s="35"/>
      <c r="W4442" s="45"/>
    </row>
    <row r="4443">
      <c r="A4443" s="45"/>
      <c r="B4443" s="35"/>
      <c r="C4443" s="35"/>
      <c r="D4443" s="10"/>
      <c r="E4443" s="35" t="str">
        <f>IFERROR(__xludf.DUMMYFUNCTION("""COMPUTED_VALUE"""),"")</f>
        <v/>
      </c>
      <c r="F4443" s="35" t="str">
        <f>IFERROR(__xludf.DUMMYFUNCTION("""COMPUTED_VALUE"""),"1899")</f>
        <v>1899</v>
      </c>
      <c r="G4443" s="35"/>
      <c r="H4443" s="35" t="str">
        <f>IFERROR(__xludf.DUMMYFUNCTION("""COMPUTED_VALUE"""),"")</f>
        <v/>
      </c>
      <c r="I4443" s="35" t="str">
        <f>IFERROR(__xludf.DUMMYFUNCTION("""COMPUTED_VALUE"""),"")</f>
        <v/>
      </c>
      <c r="J4443" s="35" t="str">
        <f>IFERROR(__xludf.DUMMYFUNCTION("""COMPUTED_VALUE"""),"")</f>
        <v/>
      </c>
      <c r="K4443" s="35"/>
      <c r="L4443" s="35"/>
      <c r="M4443" s="35"/>
      <c r="N4443" s="35"/>
      <c r="O4443" s="35"/>
      <c r="P4443" s="35"/>
      <c r="Q4443" s="35"/>
      <c r="R4443" s="35"/>
      <c r="S4443" s="74"/>
      <c r="T4443" s="35"/>
      <c r="U4443" s="35"/>
      <c r="V4443" s="35"/>
      <c r="W4443" s="45"/>
    </row>
    <row r="4444">
      <c r="A4444" s="45"/>
      <c r="B4444" s="35"/>
      <c r="C4444" s="35"/>
      <c r="D4444" s="10"/>
      <c r="E4444" s="35" t="str">
        <f>IFERROR(__xludf.DUMMYFUNCTION("""COMPUTED_VALUE"""),"")</f>
        <v/>
      </c>
      <c r="F4444" s="35" t="str">
        <f>IFERROR(__xludf.DUMMYFUNCTION("""COMPUTED_VALUE"""),"1899")</f>
        <v>1899</v>
      </c>
      <c r="G4444" s="35"/>
      <c r="H4444" s="35" t="str">
        <f>IFERROR(__xludf.DUMMYFUNCTION("""COMPUTED_VALUE"""),"")</f>
        <v/>
      </c>
      <c r="I4444" s="35" t="str">
        <f>IFERROR(__xludf.DUMMYFUNCTION("""COMPUTED_VALUE"""),"")</f>
        <v/>
      </c>
      <c r="J4444" s="35" t="str">
        <f>IFERROR(__xludf.DUMMYFUNCTION("""COMPUTED_VALUE"""),"")</f>
        <v/>
      </c>
      <c r="K4444" s="35"/>
      <c r="L4444" s="35"/>
      <c r="M4444" s="35"/>
      <c r="N4444" s="35"/>
      <c r="O4444" s="35"/>
      <c r="P4444" s="35"/>
      <c r="Q4444" s="35"/>
      <c r="R4444" s="35"/>
      <c r="S4444" s="74"/>
      <c r="T4444" s="35"/>
      <c r="U4444" s="35"/>
      <c r="V4444" s="35"/>
      <c r="W4444" s="45"/>
    </row>
    <row r="4445">
      <c r="A4445" s="45"/>
      <c r="B4445" s="35"/>
      <c r="C4445" s="35"/>
      <c r="D4445" s="10"/>
      <c r="E4445" s="35" t="str">
        <f>IFERROR(__xludf.DUMMYFUNCTION("""COMPUTED_VALUE"""),"")</f>
        <v/>
      </c>
      <c r="F4445" s="35" t="str">
        <f>IFERROR(__xludf.DUMMYFUNCTION("""COMPUTED_VALUE"""),"1899")</f>
        <v>1899</v>
      </c>
      <c r="G4445" s="35"/>
      <c r="H4445" s="35" t="str">
        <f>IFERROR(__xludf.DUMMYFUNCTION("""COMPUTED_VALUE"""),"")</f>
        <v/>
      </c>
      <c r="I4445" s="35" t="str">
        <f>IFERROR(__xludf.DUMMYFUNCTION("""COMPUTED_VALUE"""),"")</f>
        <v/>
      </c>
      <c r="J4445" s="35" t="str">
        <f>IFERROR(__xludf.DUMMYFUNCTION("""COMPUTED_VALUE"""),"")</f>
        <v/>
      </c>
      <c r="K4445" s="35"/>
      <c r="L4445" s="35"/>
      <c r="M4445" s="35"/>
      <c r="N4445" s="35"/>
      <c r="O4445" s="35"/>
      <c r="P4445" s="35"/>
      <c r="Q4445" s="35"/>
      <c r="R4445" s="35"/>
      <c r="S4445" s="74"/>
      <c r="T4445" s="35"/>
      <c r="U4445" s="35"/>
      <c r="V4445" s="35"/>
      <c r="W4445" s="45"/>
    </row>
    <row r="4446">
      <c r="A4446" s="45"/>
      <c r="B4446" s="35"/>
      <c r="C4446" s="35"/>
      <c r="D4446" s="10"/>
      <c r="E4446" s="35" t="str">
        <f>IFERROR(__xludf.DUMMYFUNCTION("""COMPUTED_VALUE"""),"")</f>
        <v/>
      </c>
      <c r="F4446" s="35" t="str">
        <f>IFERROR(__xludf.DUMMYFUNCTION("""COMPUTED_VALUE"""),"1899")</f>
        <v>1899</v>
      </c>
      <c r="G4446" s="35"/>
      <c r="H4446" s="35" t="str">
        <f>IFERROR(__xludf.DUMMYFUNCTION("""COMPUTED_VALUE"""),"")</f>
        <v/>
      </c>
      <c r="I4446" s="35" t="str">
        <f>IFERROR(__xludf.DUMMYFUNCTION("""COMPUTED_VALUE"""),"")</f>
        <v/>
      </c>
      <c r="J4446" s="35" t="str">
        <f>IFERROR(__xludf.DUMMYFUNCTION("""COMPUTED_VALUE"""),"")</f>
        <v/>
      </c>
      <c r="K4446" s="35"/>
      <c r="L4446" s="35"/>
      <c r="M4446" s="35"/>
      <c r="N4446" s="35"/>
      <c r="O4446" s="35"/>
      <c r="P4446" s="35"/>
      <c r="Q4446" s="35"/>
      <c r="R4446" s="35"/>
      <c r="S4446" s="74"/>
      <c r="T4446" s="35"/>
      <c r="U4446" s="35"/>
      <c r="V4446" s="35"/>
      <c r="W4446" s="45"/>
    </row>
    <row r="4447">
      <c r="A4447" s="45"/>
      <c r="B4447" s="35"/>
      <c r="C4447" s="35"/>
      <c r="D4447" s="10"/>
      <c r="E4447" s="35" t="str">
        <f>IFERROR(__xludf.DUMMYFUNCTION("""COMPUTED_VALUE"""),"")</f>
        <v/>
      </c>
      <c r="F4447" s="35" t="str">
        <f>IFERROR(__xludf.DUMMYFUNCTION("""COMPUTED_VALUE"""),"1899")</f>
        <v>1899</v>
      </c>
      <c r="G4447" s="35"/>
      <c r="H4447" s="35" t="str">
        <f>IFERROR(__xludf.DUMMYFUNCTION("""COMPUTED_VALUE"""),"")</f>
        <v/>
      </c>
      <c r="I4447" s="35" t="str">
        <f>IFERROR(__xludf.DUMMYFUNCTION("""COMPUTED_VALUE"""),"")</f>
        <v/>
      </c>
      <c r="J4447" s="35" t="str">
        <f>IFERROR(__xludf.DUMMYFUNCTION("""COMPUTED_VALUE"""),"")</f>
        <v/>
      </c>
      <c r="K4447" s="35"/>
      <c r="L4447" s="35"/>
      <c r="M4447" s="35"/>
      <c r="N4447" s="35"/>
      <c r="O4447" s="35"/>
      <c r="P4447" s="35"/>
      <c r="Q4447" s="35"/>
      <c r="R4447" s="35"/>
      <c r="S4447" s="74"/>
      <c r="T4447" s="35"/>
      <c r="U4447" s="35"/>
      <c r="V4447" s="35"/>
      <c r="W4447" s="45"/>
    </row>
    <row r="4448">
      <c r="A4448" s="45"/>
      <c r="B4448" s="35"/>
      <c r="C4448" s="35"/>
      <c r="D4448" s="10"/>
      <c r="E4448" s="35" t="str">
        <f>IFERROR(__xludf.DUMMYFUNCTION("""COMPUTED_VALUE"""),"")</f>
        <v/>
      </c>
      <c r="F4448" s="35" t="str">
        <f>IFERROR(__xludf.DUMMYFUNCTION("""COMPUTED_VALUE"""),"1899")</f>
        <v>1899</v>
      </c>
      <c r="G4448" s="35"/>
      <c r="H4448" s="35" t="str">
        <f>IFERROR(__xludf.DUMMYFUNCTION("""COMPUTED_VALUE"""),"")</f>
        <v/>
      </c>
      <c r="I4448" s="35" t="str">
        <f>IFERROR(__xludf.DUMMYFUNCTION("""COMPUTED_VALUE"""),"")</f>
        <v/>
      </c>
      <c r="J4448" s="35" t="str">
        <f>IFERROR(__xludf.DUMMYFUNCTION("""COMPUTED_VALUE"""),"")</f>
        <v/>
      </c>
      <c r="K4448" s="35"/>
      <c r="L4448" s="35"/>
      <c r="M4448" s="35"/>
      <c r="N4448" s="35"/>
      <c r="O4448" s="35"/>
      <c r="P4448" s="35"/>
      <c r="Q4448" s="35"/>
      <c r="R4448" s="35"/>
      <c r="S4448" s="74"/>
      <c r="T4448" s="35"/>
      <c r="U4448" s="35"/>
      <c r="V4448" s="35"/>
      <c r="W4448" s="45"/>
    </row>
    <row r="4449">
      <c r="A4449" s="45"/>
      <c r="B4449" s="35"/>
      <c r="C4449" s="35"/>
      <c r="D4449" s="10"/>
      <c r="E4449" s="35" t="str">
        <f>IFERROR(__xludf.DUMMYFUNCTION("""COMPUTED_VALUE"""),"")</f>
        <v/>
      </c>
      <c r="F4449" s="35" t="str">
        <f>IFERROR(__xludf.DUMMYFUNCTION("""COMPUTED_VALUE"""),"1899")</f>
        <v>1899</v>
      </c>
      <c r="G4449" s="35"/>
      <c r="H4449" s="35" t="str">
        <f>IFERROR(__xludf.DUMMYFUNCTION("""COMPUTED_VALUE"""),"")</f>
        <v/>
      </c>
      <c r="I4449" s="35" t="str">
        <f>IFERROR(__xludf.DUMMYFUNCTION("""COMPUTED_VALUE"""),"")</f>
        <v/>
      </c>
      <c r="J4449" s="35" t="str">
        <f>IFERROR(__xludf.DUMMYFUNCTION("""COMPUTED_VALUE"""),"")</f>
        <v/>
      </c>
      <c r="K4449" s="35"/>
      <c r="L4449" s="35"/>
      <c r="M4449" s="35"/>
      <c r="N4449" s="35"/>
      <c r="O4449" s="35"/>
      <c r="P4449" s="35"/>
      <c r="Q4449" s="35"/>
      <c r="R4449" s="35"/>
      <c r="S4449" s="74"/>
      <c r="T4449" s="35"/>
      <c r="U4449" s="35"/>
      <c r="V4449" s="35"/>
      <c r="W4449" s="45"/>
    </row>
    <row r="4450">
      <c r="A4450" s="45"/>
      <c r="B4450" s="35"/>
      <c r="C4450" s="35"/>
      <c r="D4450" s="10"/>
      <c r="E4450" s="35" t="str">
        <f>IFERROR(__xludf.DUMMYFUNCTION("""COMPUTED_VALUE"""),"")</f>
        <v/>
      </c>
      <c r="F4450" s="35" t="str">
        <f>IFERROR(__xludf.DUMMYFUNCTION("""COMPUTED_VALUE"""),"1899")</f>
        <v>1899</v>
      </c>
      <c r="G4450" s="35"/>
      <c r="H4450" s="35" t="str">
        <f>IFERROR(__xludf.DUMMYFUNCTION("""COMPUTED_VALUE"""),"")</f>
        <v/>
      </c>
      <c r="I4450" s="35" t="str">
        <f>IFERROR(__xludf.DUMMYFUNCTION("""COMPUTED_VALUE"""),"")</f>
        <v/>
      </c>
      <c r="J4450" s="35" t="str">
        <f>IFERROR(__xludf.DUMMYFUNCTION("""COMPUTED_VALUE"""),"")</f>
        <v/>
      </c>
      <c r="K4450" s="35"/>
      <c r="L4450" s="35"/>
      <c r="M4450" s="35"/>
      <c r="N4450" s="35"/>
      <c r="O4450" s="35"/>
      <c r="P4450" s="35"/>
      <c r="Q4450" s="35"/>
      <c r="R4450" s="35"/>
      <c r="S4450" s="74"/>
      <c r="T4450" s="35"/>
      <c r="U4450" s="35"/>
      <c r="V4450" s="35"/>
      <c r="W4450" s="45"/>
    </row>
    <row r="4451">
      <c r="A4451" s="45"/>
      <c r="B4451" s="35"/>
      <c r="C4451" s="35"/>
      <c r="D4451" s="10"/>
      <c r="E4451" s="35" t="str">
        <f>IFERROR(__xludf.DUMMYFUNCTION("""COMPUTED_VALUE"""),"")</f>
        <v/>
      </c>
      <c r="F4451" s="35" t="str">
        <f>IFERROR(__xludf.DUMMYFUNCTION("""COMPUTED_VALUE"""),"1899")</f>
        <v>1899</v>
      </c>
      <c r="G4451" s="35"/>
      <c r="H4451" s="35" t="str">
        <f>IFERROR(__xludf.DUMMYFUNCTION("""COMPUTED_VALUE"""),"")</f>
        <v/>
      </c>
      <c r="I4451" s="35" t="str">
        <f>IFERROR(__xludf.DUMMYFUNCTION("""COMPUTED_VALUE"""),"")</f>
        <v/>
      </c>
      <c r="J4451" s="35" t="str">
        <f>IFERROR(__xludf.DUMMYFUNCTION("""COMPUTED_VALUE"""),"")</f>
        <v/>
      </c>
      <c r="K4451" s="35"/>
      <c r="L4451" s="35"/>
      <c r="M4451" s="35"/>
      <c r="N4451" s="35"/>
      <c r="O4451" s="35"/>
      <c r="P4451" s="35"/>
      <c r="Q4451" s="35"/>
      <c r="R4451" s="35"/>
      <c r="S4451" s="74"/>
      <c r="T4451" s="35"/>
      <c r="U4451" s="35"/>
      <c r="V4451" s="35"/>
      <c r="W4451" s="45"/>
    </row>
    <row r="4452">
      <c r="A4452" s="45"/>
      <c r="B4452" s="35"/>
      <c r="C4452" s="35"/>
      <c r="D4452" s="10"/>
      <c r="E4452" s="35" t="str">
        <f>IFERROR(__xludf.DUMMYFUNCTION("""COMPUTED_VALUE"""),"")</f>
        <v/>
      </c>
      <c r="F4452" s="35" t="str">
        <f>IFERROR(__xludf.DUMMYFUNCTION("""COMPUTED_VALUE"""),"1899")</f>
        <v>1899</v>
      </c>
      <c r="G4452" s="35"/>
      <c r="H4452" s="35" t="str">
        <f>IFERROR(__xludf.DUMMYFUNCTION("""COMPUTED_VALUE"""),"")</f>
        <v/>
      </c>
      <c r="I4452" s="35" t="str">
        <f>IFERROR(__xludf.DUMMYFUNCTION("""COMPUTED_VALUE"""),"")</f>
        <v/>
      </c>
      <c r="J4452" s="35" t="str">
        <f>IFERROR(__xludf.DUMMYFUNCTION("""COMPUTED_VALUE"""),"")</f>
        <v/>
      </c>
      <c r="K4452" s="35"/>
      <c r="L4452" s="35"/>
      <c r="M4452" s="35"/>
      <c r="N4452" s="35"/>
      <c r="O4452" s="35"/>
      <c r="P4452" s="35"/>
      <c r="Q4452" s="35"/>
      <c r="R4452" s="35"/>
      <c r="S4452" s="74"/>
      <c r="T4452" s="35"/>
      <c r="U4452" s="35"/>
      <c r="V4452" s="35"/>
      <c r="W4452" s="45"/>
    </row>
    <row r="4453">
      <c r="A4453" s="45"/>
      <c r="B4453" s="35"/>
      <c r="C4453" s="35"/>
      <c r="D4453" s="10"/>
      <c r="E4453" s="35" t="str">
        <f>IFERROR(__xludf.DUMMYFUNCTION("""COMPUTED_VALUE"""),"")</f>
        <v/>
      </c>
      <c r="F4453" s="35" t="str">
        <f>IFERROR(__xludf.DUMMYFUNCTION("""COMPUTED_VALUE"""),"1899")</f>
        <v>1899</v>
      </c>
      <c r="G4453" s="35"/>
      <c r="H4453" s="35" t="str">
        <f>IFERROR(__xludf.DUMMYFUNCTION("""COMPUTED_VALUE"""),"")</f>
        <v/>
      </c>
      <c r="I4453" s="35" t="str">
        <f>IFERROR(__xludf.DUMMYFUNCTION("""COMPUTED_VALUE"""),"")</f>
        <v/>
      </c>
      <c r="J4453" s="35" t="str">
        <f>IFERROR(__xludf.DUMMYFUNCTION("""COMPUTED_VALUE"""),"")</f>
        <v/>
      </c>
      <c r="K4453" s="35"/>
      <c r="L4453" s="35"/>
      <c r="M4453" s="35"/>
      <c r="N4453" s="35"/>
      <c r="O4453" s="35"/>
      <c r="P4453" s="35"/>
      <c r="Q4453" s="35"/>
      <c r="R4453" s="35"/>
      <c r="S4453" s="74"/>
      <c r="T4453" s="35"/>
      <c r="U4453" s="35"/>
      <c r="V4453" s="35"/>
      <c r="W4453" s="45"/>
    </row>
    <row r="4454">
      <c r="A4454" s="45"/>
      <c r="B4454" s="35"/>
      <c r="C4454" s="35"/>
      <c r="D4454" s="10"/>
      <c r="E4454" s="35" t="str">
        <f>IFERROR(__xludf.DUMMYFUNCTION("""COMPUTED_VALUE"""),"")</f>
        <v/>
      </c>
      <c r="F4454" s="35" t="str">
        <f>IFERROR(__xludf.DUMMYFUNCTION("""COMPUTED_VALUE"""),"1899")</f>
        <v>1899</v>
      </c>
      <c r="G4454" s="35"/>
      <c r="H4454" s="35" t="str">
        <f>IFERROR(__xludf.DUMMYFUNCTION("""COMPUTED_VALUE"""),"")</f>
        <v/>
      </c>
      <c r="I4454" s="35" t="str">
        <f>IFERROR(__xludf.DUMMYFUNCTION("""COMPUTED_VALUE"""),"")</f>
        <v/>
      </c>
      <c r="J4454" s="35" t="str">
        <f>IFERROR(__xludf.DUMMYFUNCTION("""COMPUTED_VALUE"""),"")</f>
        <v/>
      </c>
      <c r="K4454" s="35"/>
      <c r="L4454" s="35"/>
      <c r="M4454" s="35"/>
      <c r="N4454" s="35"/>
      <c r="O4454" s="35"/>
      <c r="P4454" s="35"/>
      <c r="Q4454" s="35"/>
      <c r="R4454" s="35"/>
      <c r="S4454" s="74"/>
      <c r="T4454" s="35"/>
      <c r="U4454" s="35"/>
      <c r="V4454" s="35"/>
      <c r="W4454" s="45"/>
    </row>
    <row r="4455">
      <c r="A4455" s="45"/>
      <c r="B4455" s="35"/>
      <c r="C4455" s="35"/>
      <c r="D4455" s="10"/>
      <c r="E4455" s="35" t="str">
        <f>IFERROR(__xludf.DUMMYFUNCTION("""COMPUTED_VALUE"""),"")</f>
        <v/>
      </c>
      <c r="F4455" s="35" t="str">
        <f>IFERROR(__xludf.DUMMYFUNCTION("""COMPUTED_VALUE"""),"1899")</f>
        <v>1899</v>
      </c>
      <c r="G4455" s="35"/>
      <c r="H4455" s="35" t="str">
        <f>IFERROR(__xludf.DUMMYFUNCTION("""COMPUTED_VALUE"""),"")</f>
        <v/>
      </c>
      <c r="I4455" s="35" t="str">
        <f>IFERROR(__xludf.DUMMYFUNCTION("""COMPUTED_VALUE"""),"")</f>
        <v/>
      </c>
      <c r="J4455" s="35" t="str">
        <f>IFERROR(__xludf.DUMMYFUNCTION("""COMPUTED_VALUE"""),"")</f>
        <v/>
      </c>
      <c r="K4455" s="35"/>
      <c r="L4455" s="35"/>
      <c r="M4455" s="35"/>
      <c r="N4455" s="35"/>
      <c r="O4455" s="35"/>
      <c r="P4455" s="35"/>
      <c r="Q4455" s="35"/>
      <c r="R4455" s="35"/>
      <c r="S4455" s="74"/>
      <c r="T4455" s="35"/>
      <c r="U4455" s="35"/>
      <c r="V4455" s="35"/>
      <c r="W4455" s="45"/>
    </row>
    <row r="4456">
      <c r="A4456" s="45"/>
      <c r="B4456" s="35"/>
      <c r="C4456" s="35"/>
      <c r="D4456" s="10"/>
      <c r="E4456" s="35" t="str">
        <f>IFERROR(__xludf.DUMMYFUNCTION("""COMPUTED_VALUE"""),"")</f>
        <v/>
      </c>
      <c r="F4456" s="35" t="str">
        <f>IFERROR(__xludf.DUMMYFUNCTION("""COMPUTED_VALUE"""),"1899")</f>
        <v>1899</v>
      </c>
      <c r="G4456" s="35"/>
      <c r="H4456" s="35" t="str">
        <f>IFERROR(__xludf.DUMMYFUNCTION("""COMPUTED_VALUE"""),"")</f>
        <v/>
      </c>
      <c r="I4456" s="35" t="str">
        <f>IFERROR(__xludf.DUMMYFUNCTION("""COMPUTED_VALUE"""),"")</f>
        <v/>
      </c>
      <c r="J4456" s="35" t="str">
        <f>IFERROR(__xludf.DUMMYFUNCTION("""COMPUTED_VALUE"""),"")</f>
        <v/>
      </c>
      <c r="K4456" s="35"/>
      <c r="L4456" s="35"/>
      <c r="M4456" s="35"/>
      <c r="N4456" s="35"/>
      <c r="O4456" s="35"/>
      <c r="P4456" s="35"/>
      <c r="Q4456" s="35"/>
      <c r="R4456" s="35"/>
      <c r="S4456" s="74"/>
      <c r="T4456" s="35"/>
      <c r="U4456" s="35"/>
      <c r="V4456" s="35"/>
      <c r="W4456" s="45"/>
    </row>
    <row r="4457">
      <c r="A4457" s="45"/>
      <c r="B4457" s="35"/>
      <c r="C4457" s="35"/>
      <c r="D4457" s="10"/>
      <c r="E4457" s="35" t="str">
        <f>IFERROR(__xludf.DUMMYFUNCTION("""COMPUTED_VALUE"""),"")</f>
        <v/>
      </c>
      <c r="F4457" s="35" t="str">
        <f>IFERROR(__xludf.DUMMYFUNCTION("""COMPUTED_VALUE"""),"1899")</f>
        <v>1899</v>
      </c>
      <c r="G4457" s="35"/>
      <c r="H4457" s="35" t="str">
        <f>IFERROR(__xludf.DUMMYFUNCTION("""COMPUTED_VALUE"""),"")</f>
        <v/>
      </c>
      <c r="I4457" s="35" t="str">
        <f>IFERROR(__xludf.DUMMYFUNCTION("""COMPUTED_VALUE"""),"")</f>
        <v/>
      </c>
      <c r="J4457" s="35" t="str">
        <f>IFERROR(__xludf.DUMMYFUNCTION("""COMPUTED_VALUE"""),"")</f>
        <v/>
      </c>
      <c r="K4457" s="35"/>
      <c r="L4457" s="35"/>
      <c r="M4457" s="35"/>
      <c r="N4457" s="35"/>
      <c r="O4457" s="35"/>
      <c r="P4457" s="35"/>
      <c r="Q4457" s="35"/>
      <c r="R4457" s="35"/>
      <c r="S4457" s="74"/>
      <c r="T4457" s="35"/>
      <c r="U4457" s="35"/>
      <c r="V4457" s="35"/>
      <c r="W4457" s="45"/>
    </row>
    <row r="4458">
      <c r="A4458" s="45"/>
      <c r="B4458" s="35"/>
      <c r="C4458" s="35"/>
      <c r="D4458" s="10"/>
      <c r="E4458" s="35" t="str">
        <f>IFERROR(__xludf.DUMMYFUNCTION("""COMPUTED_VALUE"""),"")</f>
        <v/>
      </c>
      <c r="F4458" s="35" t="str">
        <f>IFERROR(__xludf.DUMMYFUNCTION("""COMPUTED_VALUE"""),"1899")</f>
        <v>1899</v>
      </c>
      <c r="G4458" s="35"/>
      <c r="H4458" s="35" t="str">
        <f>IFERROR(__xludf.DUMMYFUNCTION("""COMPUTED_VALUE"""),"")</f>
        <v/>
      </c>
      <c r="I4458" s="35" t="str">
        <f>IFERROR(__xludf.DUMMYFUNCTION("""COMPUTED_VALUE"""),"")</f>
        <v/>
      </c>
      <c r="J4458" s="35" t="str">
        <f>IFERROR(__xludf.DUMMYFUNCTION("""COMPUTED_VALUE"""),"")</f>
        <v/>
      </c>
      <c r="K4458" s="35"/>
      <c r="L4458" s="35"/>
      <c r="M4458" s="35"/>
      <c r="N4458" s="35"/>
      <c r="O4458" s="35"/>
      <c r="P4458" s="35"/>
      <c r="Q4458" s="35"/>
      <c r="R4458" s="35"/>
      <c r="S4458" s="74"/>
      <c r="T4458" s="35"/>
      <c r="U4458" s="35"/>
      <c r="V4458" s="35"/>
      <c r="W4458" s="45"/>
    </row>
    <row r="4459">
      <c r="A4459" s="45"/>
      <c r="B4459" s="35"/>
      <c r="C4459" s="35"/>
      <c r="D4459" s="10"/>
      <c r="E4459" s="35" t="str">
        <f>IFERROR(__xludf.DUMMYFUNCTION("""COMPUTED_VALUE"""),"")</f>
        <v/>
      </c>
      <c r="F4459" s="35" t="str">
        <f>IFERROR(__xludf.DUMMYFUNCTION("""COMPUTED_VALUE"""),"1899")</f>
        <v>1899</v>
      </c>
      <c r="G4459" s="35"/>
      <c r="H4459" s="35" t="str">
        <f>IFERROR(__xludf.DUMMYFUNCTION("""COMPUTED_VALUE"""),"")</f>
        <v/>
      </c>
      <c r="I4459" s="35" t="str">
        <f>IFERROR(__xludf.DUMMYFUNCTION("""COMPUTED_VALUE"""),"")</f>
        <v/>
      </c>
      <c r="J4459" s="35" t="str">
        <f>IFERROR(__xludf.DUMMYFUNCTION("""COMPUTED_VALUE"""),"")</f>
        <v/>
      </c>
      <c r="K4459" s="35"/>
      <c r="L4459" s="35"/>
      <c r="M4459" s="35"/>
      <c r="N4459" s="35"/>
      <c r="O4459" s="35"/>
      <c r="P4459" s="35"/>
      <c r="Q4459" s="35"/>
      <c r="R4459" s="35"/>
      <c r="S4459" s="74"/>
      <c r="T4459" s="35"/>
      <c r="U4459" s="35"/>
      <c r="V4459" s="35"/>
      <c r="W4459" s="45"/>
    </row>
    <row r="4460">
      <c r="A4460" s="45"/>
      <c r="B4460" s="35"/>
      <c r="C4460" s="35"/>
      <c r="D4460" s="10"/>
      <c r="E4460" s="35" t="str">
        <f>IFERROR(__xludf.DUMMYFUNCTION("""COMPUTED_VALUE"""),"")</f>
        <v/>
      </c>
      <c r="F4460" s="35" t="str">
        <f>IFERROR(__xludf.DUMMYFUNCTION("""COMPUTED_VALUE"""),"1899")</f>
        <v>1899</v>
      </c>
      <c r="G4460" s="35"/>
      <c r="H4460" s="35" t="str">
        <f>IFERROR(__xludf.DUMMYFUNCTION("""COMPUTED_VALUE"""),"")</f>
        <v/>
      </c>
      <c r="I4460" s="35" t="str">
        <f>IFERROR(__xludf.DUMMYFUNCTION("""COMPUTED_VALUE"""),"")</f>
        <v/>
      </c>
      <c r="J4460" s="35" t="str">
        <f>IFERROR(__xludf.DUMMYFUNCTION("""COMPUTED_VALUE"""),"")</f>
        <v/>
      </c>
      <c r="K4460" s="35"/>
      <c r="L4460" s="35"/>
      <c r="M4460" s="35"/>
      <c r="N4460" s="35"/>
      <c r="O4460" s="35"/>
      <c r="P4460" s="35"/>
      <c r="Q4460" s="35"/>
      <c r="R4460" s="35"/>
      <c r="S4460" s="74"/>
      <c r="T4460" s="35"/>
      <c r="U4460" s="35"/>
      <c r="V4460" s="35"/>
      <c r="W4460" s="45"/>
    </row>
    <row r="4461">
      <c r="A4461" s="45"/>
      <c r="B4461" s="35"/>
      <c r="C4461" s="35"/>
      <c r="D4461" s="10"/>
      <c r="E4461" s="35" t="str">
        <f>IFERROR(__xludf.DUMMYFUNCTION("""COMPUTED_VALUE"""),"")</f>
        <v/>
      </c>
      <c r="F4461" s="35" t="str">
        <f>IFERROR(__xludf.DUMMYFUNCTION("""COMPUTED_VALUE"""),"1899")</f>
        <v>1899</v>
      </c>
      <c r="G4461" s="35"/>
      <c r="H4461" s="35" t="str">
        <f>IFERROR(__xludf.DUMMYFUNCTION("""COMPUTED_VALUE"""),"")</f>
        <v/>
      </c>
      <c r="I4461" s="35" t="str">
        <f>IFERROR(__xludf.DUMMYFUNCTION("""COMPUTED_VALUE"""),"")</f>
        <v/>
      </c>
      <c r="J4461" s="35" t="str">
        <f>IFERROR(__xludf.DUMMYFUNCTION("""COMPUTED_VALUE"""),"")</f>
        <v/>
      </c>
      <c r="K4461" s="35"/>
      <c r="L4461" s="35"/>
      <c r="M4461" s="35"/>
      <c r="N4461" s="35"/>
      <c r="O4461" s="35"/>
      <c r="P4461" s="35"/>
      <c r="Q4461" s="35"/>
      <c r="R4461" s="35"/>
      <c r="S4461" s="74"/>
      <c r="T4461" s="35"/>
      <c r="U4461" s="35"/>
      <c r="V4461" s="35"/>
      <c r="W4461" s="45"/>
    </row>
    <row r="4462">
      <c r="A4462" s="45"/>
      <c r="B4462" s="35"/>
      <c r="C4462" s="35"/>
      <c r="D4462" s="10"/>
      <c r="E4462" s="35" t="str">
        <f>IFERROR(__xludf.DUMMYFUNCTION("""COMPUTED_VALUE"""),"")</f>
        <v/>
      </c>
      <c r="F4462" s="35" t="str">
        <f>IFERROR(__xludf.DUMMYFUNCTION("""COMPUTED_VALUE"""),"1899")</f>
        <v>1899</v>
      </c>
      <c r="G4462" s="35"/>
      <c r="H4462" s="35" t="str">
        <f>IFERROR(__xludf.DUMMYFUNCTION("""COMPUTED_VALUE"""),"")</f>
        <v/>
      </c>
      <c r="I4462" s="35" t="str">
        <f>IFERROR(__xludf.DUMMYFUNCTION("""COMPUTED_VALUE"""),"")</f>
        <v/>
      </c>
      <c r="J4462" s="35" t="str">
        <f>IFERROR(__xludf.DUMMYFUNCTION("""COMPUTED_VALUE"""),"")</f>
        <v/>
      </c>
      <c r="K4462" s="35"/>
      <c r="L4462" s="35"/>
      <c r="M4462" s="35"/>
      <c r="N4462" s="35"/>
      <c r="O4462" s="35"/>
      <c r="P4462" s="35"/>
      <c r="Q4462" s="35"/>
      <c r="R4462" s="35"/>
      <c r="S4462" s="74"/>
      <c r="T4462" s="35"/>
      <c r="U4462" s="35"/>
      <c r="V4462" s="35"/>
      <c r="W4462" s="45"/>
    </row>
    <row r="4463">
      <c r="A4463" s="45"/>
      <c r="B4463" s="35"/>
      <c r="C4463" s="35"/>
      <c r="D4463" s="10"/>
      <c r="E4463" s="35" t="str">
        <f>IFERROR(__xludf.DUMMYFUNCTION("""COMPUTED_VALUE"""),"")</f>
        <v/>
      </c>
      <c r="F4463" s="35" t="str">
        <f>IFERROR(__xludf.DUMMYFUNCTION("""COMPUTED_VALUE"""),"1899")</f>
        <v>1899</v>
      </c>
      <c r="G4463" s="35"/>
      <c r="H4463" s="35" t="str">
        <f>IFERROR(__xludf.DUMMYFUNCTION("""COMPUTED_VALUE"""),"")</f>
        <v/>
      </c>
      <c r="I4463" s="35" t="str">
        <f>IFERROR(__xludf.DUMMYFUNCTION("""COMPUTED_VALUE"""),"")</f>
        <v/>
      </c>
      <c r="J4463" s="35" t="str">
        <f>IFERROR(__xludf.DUMMYFUNCTION("""COMPUTED_VALUE"""),"")</f>
        <v/>
      </c>
      <c r="K4463" s="35"/>
      <c r="L4463" s="35"/>
      <c r="M4463" s="35"/>
      <c r="N4463" s="35"/>
      <c r="O4463" s="35"/>
      <c r="P4463" s="35"/>
      <c r="Q4463" s="35"/>
      <c r="R4463" s="35"/>
      <c r="S4463" s="74"/>
      <c r="T4463" s="35"/>
      <c r="U4463" s="35"/>
      <c r="V4463" s="35"/>
      <c r="W4463" s="45"/>
    </row>
    <row r="4464">
      <c r="A4464" s="45"/>
      <c r="B4464" s="35"/>
      <c r="C4464" s="35"/>
      <c r="D4464" s="10"/>
      <c r="E4464" s="35" t="str">
        <f>IFERROR(__xludf.DUMMYFUNCTION("""COMPUTED_VALUE"""),"")</f>
        <v/>
      </c>
      <c r="F4464" s="35" t="str">
        <f>IFERROR(__xludf.DUMMYFUNCTION("""COMPUTED_VALUE"""),"1899")</f>
        <v>1899</v>
      </c>
      <c r="G4464" s="35"/>
      <c r="H4464" s="35" t="str">
        <f>IFERROR(__xludf.DUMMYFUNCTION("""COMPUTED_VALUE"""),"")</f>
        <v/>
      </c>
      <c r="I4464" s="35" t="str">
        <f>IFERROR(__xludf.DUMMYFUNCTION("""COMPUTED_VALUE"""),"")</f>
        <v/>
      </c>
      <c r="J4464" s="35" t="str">
        <f>IFERROR(__xludf.DUMMYFUNCTION("""COMPUTED_VALUE"""),"")</f>
        <v/>
      </c>
      <c r="K4464" s="35"/>
      <c r="L4464" s="35"/>
      <c r="M4464" s="35"/>
      <c r="N4464" s="35"/>
      <c r="O4464" s="35"/>
      <c r="P4464" s="35"/>
      <c r="Q4464" s="35"/>
      <c r="R4464" s="35"/>
      <c r="S4464" s="74"/>
      <c r="T4464" s="35"/>
      <c r="U4464" s="35"/>
      <c r="V4464" s="35"/>
      <c r="W4464" s="45"/>
    </row>
    <row r="4465">
      <c r="A4465" s="45"/>
      <c r="B4465" s="35"/>
      <c r="C4465" s="35"/>
      <c r="D4465" s="10"/>
      <c r="E4465" s="35" t="str">
        <f>IFERROR(__xludf.DUMMYFUNCTION("""COMPUTED_VALUE"""),"")</f>
        <v/>
      </c>
      <c r="F4465" s="35" t="str">
        <f>IFERROR(__xludf.DUMMYFUNCTION("""COMPUTED_VALUE"""),"1899")</f>
        <v>1899</v>
      </c>
      <c r="G4465" s="35"/>
      <c r="H4465" s="35" t="str">
        <f>IFERROR(__xludf.DUMMYFUNCTION("""COMPUTED_VALUE"""),"")</f>
        <v/>
      </c>
      <c r="I4465" s="35" t="str">
        <f>IFERROR(__xludf.DUMMYFUNCTION("""COMPUTED_VALUE"""),"")</f>
        <v/>
      </c>
      <c r="J4465" s="35" t="str">
        <f>IFERROR(__xludf.DUMMYFUNCTION("""COMPUTED_VALUE"""),"")</f>
        <v/>
      </c>
      <c r="K4465" s="35"/>
      <c r="L4465" s="35"/>
      <c r="M4465" s="35"/>
      <c r="N4465" s="35"/>
      <c r="O4465" s="35"/>
      <c r="P4465" s="35"/>
      <c r="Q4465" s="35"/>
      <c r="R4465" s="35"/>
      <c r="S4465" s="74"/>
      <c r="T4465" s="35"/>
      <c r="U4465" s="35"/>
      <c r="V4465" s="35"/>
      <c r="W4465" s="45"/>
    </row>
    <row r="4466">
      <c r="A4466" s="45"/>
      <c r="B4466" s="35"/>
      <c r="C4466" s="35"/>
      <c r="D4466" s="10"/>
      <c r="E4466" s="35" t="str">
        <f>IFERROR(__xludf.DUMMYFUNCTION("""COMPUTED_VALUE"""),"")</f>
        <v/>
      </c>
      <c r="F4466" s="35" t="str">
        <f>IFERROR(__xludf.DUMMYFUNCTION("""COMPUTED_VALUE"""),"1899")</f>
        <v>1899</v>
      </c>
      <c r="G4466" s="35"/>
      <c r="H4466" s="35" t="str">
        <f>IFERROR(__xludf.DUMMYFUNCTION("""COMPUTED_VALUE"""),"")</f>
        <v/>
      </c>
      <c r="I4466" s="35" t="str">
        <f>IFERROR(__xludf.DUMMYFUNCTION("""COMPUTED_VALUE"""),"")</f>
        <v/>
      </c>
      <c r="J4466" s="35" t="str">
        <f>IFERROR(__xludf.DUMMYFUNCTION("""COMPUTED_VALUE"""),"")</f>
        <v/>
      </c>
      <c r="K4466" s="35"/>
      <c r="L4466" s="35"/>
      <c r="M4466" s="35"/>
      <c r="N4466" s="35"/>
      <c r="O4466" s="35"/>
      <c r="P4466" s="35"/>
      <c r="Q4466" s="35"/>
      <c r="R4466" s="35"/>
      <c r="S4466" s="74"/>
      <c r="T4466" s="35"/>
      <c r="U4466" s="35"/>
      <c r="V4466" s="35"/>
      <c r="W4466" s="45"/>
    </row>
    <row r="4467">
      <c r="A4467" s="45"/>
      <c r="B4467" s="35"/>
      <c r="C4467" s="35"/>
      <c r="D4467" s="10"/>
      <c r="E4467" s="35" t="str">
        <f>IFERROR(__xludf.DUMMYFUNCTION("""COMPUTED_VALUE"""),"")</f>
        <v/>
      </c>
      <c r="F4467" s="35" t="str">
        <f>IFERROR(__xludf.DUMMYFUNCTION("""COMPUTED_VALUE"""),"1899")</f>
        <v>1899</v>
      </c>
      <c r="G4467" s="35"/>
      <c r="H4467" s="35" t="str">
        <f>IFERROR(__xludf.DUMMYFUNCTION("""COMPUTED_VALUE"""),"")</f>
        <v/>
      </c>
      <c r="I4467" s="35" t="str">
        <f>IFERROR(__xludf.DUMMYFUNCTION("""COMPUTED_VALUE"""),"")</f>
        <v/>
      </c>
      <c r="J4467" s="35" t="str">
        <f>IFERROR(__xludf.DUMMYFUNCTION("""COMPUTED_VALUE"""),"")</f>
        <v/>
      </c>
      <c r="K4467" s="35"/>
      <c r="L4467" s="35"/>
      <c r="M4467" s="35"/>
      <c r="N4467" s="35"/>
      <c r="O4467" s="35"/>
      <c r="P4467" s="35"/>
      <c r="Q4467" s="35"/>
      <c r="R4467" s="35"/>
      <c r="S4467" s="74"/>
      <c r="T4467" s="35"/>
      <c r="U4467" s="35"/>
      <c r="V4467" s="35"/>
      <c r="W4467" s="45"/>
    </row>
    <row r="4468">
      <c r="A4468" s="45"/>
      <c r="B4468" s="35"/>
      <c r="C4468" s="35"/>
      <c r="D4468" s="10"/>
      <c r="E4468" s="35" t="str">
        <f>IFERROR(__xludf.DUMMYFUNCTION("""COMPUTED_VALUE"""),"")</f>
        <v/>
      </c>
      <c r="F4468" s="35" t="str">
        <f>IFERROR(__xludf.DUMMYFUNCTION("""COMPUTED_VALUE"""),"1899")</f>
        <v>1899</v>
      </c>
      <c r="G4468" s="35"/>
      <c r="H4468" s="35" t="str">
        <f>IFERROR(__xludf.DUMMYFUNCTION("""COMPUTED_VALUE"""),"")</f>
        <v/>
      </c>
      <c r="I4468" s="35" t="str">
        <f>IFERROR(__xludf.DUMMYFUNCTION("""COMPUTED_VALUE"""),"")</f>
        <v/>
      </c>
      <c r="J4468" s="35" t="str">
        <f>IFERROR(__xludf.DUMMYFUNCTION("""COMPUTED_VALUE"""),"")</f>
        <v/>
      </c>
      <c r="K4468" s="35"/>
      <c r="L4468" s="35"/>
      <c r="M4468" s="35"/>
      <c r="N4468" s="35"/>
      <c r="O4468" s="35"/>
      <c r="P4468" s="35"/>
      <c r="Q4468" s="35"/>
      <c r="R4468" s="35"/>
      <c r="S4468" s="74"/>
      <c r="T4468" s="35"/>
      <c r="U4468" s="35"/>
      <c r="V4468" s="35"/>
      <c r="W4468" s="45"/>
    </row>
    <row r="4469">
      <c r="A4469" s="45"/>
      <c r="B4469" s="35"/>
      <c r="C4469" s="35"/>
      <c r="D4469" s="10"/>
      <c r="E4469" s="35" t="str">
        <f>IFERROR(__xludf.DUMMYFUNCTION("""COMPUTED_VALUE"""),"")</f>
        <v/>
      </c>
      <c r="F4469" s="35" t="str">
        <f>IFERROR(__xludf.DUMMYFUNCTION("""COMPUTED_VALUE"""),"1899")</f>
        <v>1899</v>
      </c>
      <c r="G4469" s="35"/>
      <c r="H4469" s="35" t="str">
        <f>IFERROR(__xludf.DUMMYFUNCTION("""COMPUTED_VALUE"""),"")</f>
        <v/>
      </c>
      <c r="I4469" s="35" t="str">
        <f>IFERROR(__xludf.DUMMYFUNCTION("""COMPUTED_VALUE"""),"")</f>
        <v/>
      </c>
      <c r="J4469" s="35" t="str">
        <f>IFERROR(__xludf.DUMMYFUNCTION("""COMPUTED_VALUE"""),"")</f>
        <v/>
      </c>
      <c r="K4469" s="35"/>
      <c r="L4469" s="35"/>
      <c r="M4469" s="35"/>
      <c r="N4469" s="35"/>
      <c r="O4469" s="35"/>
      <c r="P4469" s="35"/>
      <c r="Q4469" s="35"/>
      <c r="R4469" s="35"/>
      <c r="S4469" s="74"/>
      <c r="T4469" s="35"/>
      <c r="U4469" s="35"/>
      <c r="V4469" s="35"/>
      <c r="W4469" s="45"/>
    </row>
    <row r="4470">
      <c r="A4470" s="45"/>
      <c r="B4470" s="35"/>
      <c r="C4470" s="35"/>
      <c r="D4470" s="10"/>
      <c r="E4470" s="35" t="str">
        <f>IFERROR(__xludf.DUMMYFUNCTION("""COMPUTED_VALUE"""),"")</f>
        <v/>
      </c>
      <c r="F4470" s="35" t="str">
        <f>IFERROR(__xludf.DUMMYFUNCTION("""COMPUTED_VALUE"""),"1899")</f>
        <v>1899</v>
      </c>
      <c r="G4470" s="35"/>
      <c r="H4470" s="35" t="str">
        <f>IFERROR(__xludf.DUMMYFUNCTION("""COMPUTED_VALUE"""),"")</f>
        <v/>
      </c>
      <c r="I4470" s="35" t="str">
        <f>IFERROR(__xludf.DUMMYFUNCTION("""COMPUTED_VALUE"""),"")</f>
        <v/>
      </c>
      <c r="J4470" s="35" t="str">
        <f>IFERROR(__xludf.DUMMYFUNCTION("""COMPUTED_VALUE"""),"")</f>
        <v/>
      </c>
      <c r="K4470" s="35"/>
      <c r="L4470" s="35"/>
      <c r="M4470" s="35"/>
      <c r="N4470" s="35"/>
      <c r="O4470" s="35"/>
      <c r="P4470" s="35"/>
      <c r="Q4470" s="35"/>
      <c r="R4470" s="35"/>
      <c r="S4470" s="74"/>
      <c r="T4470" s="35"/>
      <c r="U4470" s="35"/>
      <c r="V4470" s="35"/>
      <c r="W4470" s="45"/>
    </row>
    <row r="4471">
      <c r="A4471" s="45"/>
      <c r="B4471" s="35"/>
      <c r="C4471" s="35"/>
      <c r="D4471" s="10"/>
      <c r="E4471" s="35" t="str">
        <f>IFERROR(__xludf.DUMMYFUNCTION("""COMPUTED_VALUE"""),"")</f>
        <v/>
      </c>
      <c r="F4471" s="35" t="str">
        <f>IFERROR(__xludf.DUMMYFUNCTION("""COMPUTED_VALUE"""),"1899")</f>
        <v>1899</v>
      </c>
      <c r="G4471" s="35"/>
      <c r="H4471" s="35" t="str">
        <f>IFERROR(__xludf.DUMMYFUNCTION("""COMPUTED_VALUE"""),"")</f>
        <v/>
      </c>
      <c r="I4471" s="35" t="str">
        <f>IFERROR(__xludf.DUMMYFUNCTION("""COMPUTED_VALUE"""),"")</f>
        <v/>
      </c>
      <c r="J4471" s="35" t="str">
        <f>IFERROR(__xludf.DUMMYFUNCTION("""COMPUTED_VALUE"""),"")</f>
        <v/>
      </c>
      <c r="K4471" s="35"/>
      <c r="L4471" s="35"/>
      <c r="M4471" s="35"/>
      <c r="N4471" s="35"/>
      <c r="O4471" s="35"/>
      <c r="P4471" s="35"/>
      <c r="Q4471" s="35"/>
      <c r="R4471" s="35"/>
      <c r="S4471" s="74"/>
      <c r="T4471" s="35"/>
      <c r="U4471" s="35"/>
      <c r="V4471" s="35"/>
      <c r="W4471" s="45"/>
    </row>
    <row r="4472">
      <c r="A4472" s="45"/>
      <c r="B4472" s="35"/>
      <c r="C4472" s="35"/>
      <c r="D4472" s="10"/>
      <c r="E4472" s="35" t="str">
        <f>IFERROR(__xludf.DUMMYFUNCTION("""COMPUTED_VALUE"""),"")</f>
        <v/>
      </c>
      <c r="F4472" s="35" t="str">
        <f>IFERROR(__xludf.DUMMYFUNCTION("""COMPUTED_VALUE"""),"1899")</f>
        <v>1899</v>
      </c>
      <c r="G4472" s="35"/>
      <c r="H4472" s="35" t="str">
        <f>IFERROR(__xludf.DUMMYFUNCTION("""COMPUTED_VALUE"""),"")</f>
        <v/>
      </c>
      <c r="I4472" s="35" t="str">
        <f>IFERROR(__xludf.DUMMYFUNCTION("""COMPUTED_VALUE"""),"")</f>
        <v/>
      </c>
      <c r="J4472" s="35" t="str">
        <f>IFERROR(__xludf.DUMMYFUNCTION("""COMPUTED_VALUE"""),"")</f>
        <v/>
      </c>
      <c r="K4472" s="35"/>
      <c r="L4472" s="35"/>
      <c r="M4472" s="35"/>
      <c r="N4472" s="35"/>
      <c r="O4472" s="35"/>
      <c r="P4472" s="35"/>
      <c r="Q4472" s="35"/>
      <c r="R4472" s="35"/>
      <c r="S4472" s="74"/>
      <c r="T4472" s="35"/>
      <c r="U4472" s="35"/>
      <c r="V4472" s="35"/>
      <c r="W4472" s="45"/>
    </row>
    <row r="4473">
      <c r="A4473" s="45"/>
      <c r="B4473" s="35"/>
      <c r="C4473" s="35"/>
      <c r="D4473" s="10"/>
      <c r="E4473" s="35" t="str">
        <f>IFERROR(__xludf.DUMMYFUNCTION("""COMPUTED_VALUE"""),"")</f>
        <v/>
      </c>
      <c r="F4473" s="35" t="str">
        <f>IFERROR(__xludf.DUMMYFUNCTION("""COMPUTED_VALUE"""),"1899")</f>
        <v>1899</v>
      </c>
      <c r="G4473" s="35"/>
      <c r="H4473" s="35" t="str">
        <f>IFERROR(__xludf.DUMMYFUNCTION("""COMPUTED_VALUE"""),"")</f>
        <v/>
      </c>
      <c r="I4473" s="35" t="str">
        <f>IFERROR(__xludf.DUMMYFUNCTION("""COMPUTED_VALUE"""),"")</f>
        <v/>
      </c>
      <c r="J4473" s="35" t="str">
        <f>IFERROR(__xludf.DUMMYFUNCTION("""COMPUTED_VALUE"""),"")</f>
        <v/>
      </c>
      <c r="K4473" s="35"/>
      <c r="L4473" s="35"/>
      <c r="M4473" s="35"/>
      <c r="N4473" s="35"/>
      <c r="O4473" s="35"/>
      <c r="P4473" s="35"/>
      <c r="Q4473" s="35"/>
      <c r="R4473" s="35"/>
      <c r="S4473" s="74"/>
      <c r="T4473" s="35"/>
      <c r="U4473" s="35"/>
      <c r="V4473" s="35"/>
      <c r="W4473" s="45"/>
    </row>
    <row r="4474">
      <c r="A4474" s="45"/>
      <c r="B4474" s="35"/>
      <c r="C4474" s="35"/>
      <c r="D4474" s="10"/>
      <c r="E4474" s="35" t="str">
        <f>IFERROR(__xludf.DUMMYFUNCTION("""COMPUTED_VALUE"""),"")</f>
        <v/>
      </c>
      <c r="F4474" s="35" t="str">
        <f>IFERROR(__xludf.DUMMYFUNCTION("""COMPUTED_VALUE"""),"1899")</f>
        <v>1899</v>
      </c>
      <c r="G4474" s="35"/>
      <c r="H4474" s="35" t="str">
        <f>IFERROR(__xludf.DUMMYFUNCTION("""COMPUTED_VALUE"""),"")</f>
        <v/>
      </c>
      <c r="I4474" s="35" t="str">
        <f>IFERROR(__xludf.DUMMYFUNCTION("""COMPUTED_VALUE"""),"")</f>
        <v/>
      </c>
      <c r="J4474" s="35" t="str">
        <f>IFERROR(__xludf.DUMMYFUNCTION("""COMPUTED_VALUE"""),"")</f>
        <v/>
      </c>
      <c r="K4474" s="35"/>
      <c r="L4474" s="35"/>
      <c r="M4474" s="35"/>
      <c r="N4474" s="35"/>
      <c r="O4474" s="35"/>
      <c r="P4474" s="35"/>
      <c r="Q4474" s="35"/>
      <c r="R4474" s="35"/>
      <c r="S4474" s="74"/>
      <c r="T4474" s="35"/>
      <c r="U4474" s="35"/>
      <c r="V4474" s="35"/>
      <c r="W4474" s="45"/>
    </row>
    <row r="4475">
      <c r="A4475" s="45"/>
      <c r="B4475" s="35"/>
      <c r="C4475" s="35"/>
      <c r="D4475" s="10"/>
      <c r="E4475" s="35" t="str">
        <f>IFERROR(__xludf.DUMMYFUNCTION("""COMPUTED_VALUE"""),"")</f>
        <v/>
      </c>
      <c r="F4475" s="35" t="str">
        <f>IFERROR(__xludf.DUMMYFUNCTION("""COMPUTED_VALUE"""),"1899")</f>
        <v>1899</v>
      </c>
      <c r="G4475" s="35"/>
      <c r="H4475" s="35" t="str">
        <f>IFERROR(__xludf.DUMMYFUNCTION("""COMPUTED_VALUE"""),"")</f>
        <v/>
      </c>
      <c r="I4475" s="35" t="str">
        <f>IFERROR(__xludf.DUMMYFUNCTION("""COMPUTED_VALUE"""),"")</f>
        <v/>
      </c>
      <c r="J4475" s="35" t="str">
        <f>IFERROR(__xludf.DUMMYFUNCTION("""COMPUTED_VALUE"""),"")</f>
        <v/>
      </c>
      <c r="K4475" s="35"/>
      <c r="L4475" s="35"/>
      <c r="M4475" s="35"/>
      <c r="N4475" s="35"/>
      <c r="O4475" s="35"/>
      <c r="P4475" s="35"/>
      <c r="Q4475" s="35"/>
      <c r="R4475" s="35"/>
      <c r="S4475" s="74"/>
      <c r="T4475" s="35"/>
      <c r="U4475" s="35"/>
      <c r="V4475" s="35"/>
      <c r="W4475" s="45"/>
    </row>
    <row r="4476">
      <c r="A4476" s="45"/>
      <c r="B4476" s="35"/>
      <c r="C4476" s="35"/>
      <c r="D4476" s="10"/>
      <c r="E4476" s="35" t="str">
        <f>IFERROR(__xludf.DUMMYFUNCTION("""COMPUTED_VALUE"""),"")</f>
        <v/>
      </c>
      <c r="F4476" s="35" t="str">
        <f>IFERROR(__xludf.DUMMYFUNCTION("""COMPUTED_VALUE"""),"1899")</f>
        <v>1899</v>
      </c>
      <c r="G4476" s="35"/>
      <c r="H4476" s="35" t="str">
        <f>IFERROR(__xludf.DUMMYFUNCTION("""COMPUTED_VALUE"""),"")</f>
        <v/>
      </c>
      <c r="I4476" s="35" t="str">
        <f>IFERROR(__xludf.DUMMYFUNCTION("""COMPUTED_VALUE"""),"")</f>
        <v/>
      </c>
      <c r="J4476" s="35" t="str">
        <f>IFERROR(__xludf.DUMMYFUNCTION("""COMPUTED_VALUE"""),"")</f>
        <v/>
      </c>
      <c r="K4476" s="35"/>
      <c r="L4476" s="35"/>
      <c r="M4476" s="35"/>
      <c r="N4476" s="35"/>
      <c r="O4476" s="35"/>
      <c r="P4476" s="35"/>
      <c r="Q4476" s="35"/>
      <c r="R4476" s="35"/>
      <c r="S4476" s="74"/>
      <c r="T4476" s="35"/>
      <c r="U4476" s="35"/>
      <c r="V4476" s="35"/>
      <c r="W4476" s="45"/>
    </row>
    <row r="4477">
      <c r="A4477" s="45"/>
      <c r="B4477" s="35"/>
      <c r="C4477" s="35"/>
      <c r="D4477" s="10"/>
      <c r="E4477" s="35" t="str">
        <f>IFERROR(__xludf.DUMMYFUNCTION("""COMPUTED_VALUE"""),"")</f>
        <v/>
      </c>
      <c r="F4477" s="35" t="str">
        <f>IFERROR(__xludf.DUMMYFUNCTION("""COMPUTED_VALUE"""),"1899")</f>
        <v>1899</v>
      </c>
      <c r="G4477" s="35"/>
      <c r="H4477" s="35" t="str">
        <f>IFERROR(__xludf.DUMMYFUNCTION("""COMPUTED_VALUE"""),"")</f>
        <v/>
      </c>
      <c r="I4477" s="35" t="str">
        <f>IFERROR(__xludf.DUMMYFUNCTION("""COMPUTED_VALUE"""),"")</f>
        <v/>
      </c>
      <c r="J4477" s="35" t="str">
        <f>IFERROR(__xludf.DUMMYFUNCTION("""COMPUTED_VALUE"""),"")</f>
        <v/>
      </c>
      <c r="K4477" s="35"/>
      <c r="L4477" s="35"/>
      <c r="M4477" s="35"/>
      <c r="N4477" s="35"/>
      <c r="O4477" s="35"/>
      <c r="P4477" s="35"/>
      <c r="Q4477" s="35"/>
      <c r="R4477" s="35"/>
      <c r="S4477" s="74"/>
      <c r="T4477" s="35"/>
      <c r="U4477" s="35"/>
      <c r="V4477" s="35"/>
      <c r="W4477" s="45"/>
    </row>
    <row r="4478">
      <c r="A4478" s="45"/>
      <c r="B4478" s="35"/>
      <c r="C4478" s="35"/>
      <c r="D4478" s="10"/>
      <c r="E4478" s="35" t="str">
        <f>IFERROR(__xludf.DUMMYFUNCTION("""COMPUTED_VALUE"""),"")</f>
        <v/>
      </c>
      <c r="F4478" s="35" t="str">
        <f>IFERROR(__xludf.DUMMYFUNCTION("""COMPUTED_VALUE"""),"1899")</f>
        <v>1899</v>
      </c>
      <c r="G4478" s="35"/>
      <c r="H4478" s="35" t="str">
        <f>IFERROR(__xludf.DUMMYFUNCTION("""COMPUTED_VALUE"""),"")</f>
        <v/>
      </c>
      <c r="I4478" s="35" t="str">
        <f>IFERROR(__xludf.DUMMYFUNCTION("""COMPUTED_VALUE"""),"")</f>
        <v/>
      </c>
      <c r="J4478" s="35" t="str">
        <f>IFERROR(__xludf.DUMMYFUNCTION("""COMPUTED_VALUE"""),"")</f>
        <v/>
      </c>
      <c r="K4478" s="35"/>
      <c r="L4478" s="35"/>
      <c r="M4478" s="35"/>
      <c r="N4478" s="35"/>
      <c r="O4478" s="35"/>
      <c r="P4478" s="35"/>
      <c r="Q4478" s="35"/>
      <c r="R4478" s="35"/>
      <c r="S4478" s="74"/>
      <c r="T4478" s="35"/>
      <c r="U4478" s="35"/>
      <c r="V4478" s="35"/>
      <c r="W4478" s="45"/>
    </row>
    <row r="4479">
      <c r="A4479" s="45"/>
      <c r="B4479" s="35"/>
      <c r="C4479" s="35"/>
      <c r="D4479" s="10"/>
      <c r="E4479" s="35" t="str">
        <f>IFERROR(__xludf.DUMMYFUNCTION("""COMPUTED_VALUE"""),"")</f>
        <v/>
      </c>
      <c r="F4479" s="35" t="str">
        <f>IFERROR(__xludf.DUMMYFUNCTION("""COMPUTED_VALUE"""),"1899")</f>
        <v>1899</v>
      </c>
      <c r="G4479" s="35"/>
      <c r="H4479" s="35" t="str">
        <f>IFERROR(__xludf.DUMMYFUNCTION("""COMPUTED_VALUE"""),"")</f>
        <v/>
      </c>
      <c r="I4479" s="35" t="str">
        <f>IFERROR(__xludf.DUMMYFUNCTION("""COMPUTED_VALUE"""),"")</f>
        <v/>
      </c>
      <c r="J4479" s="35" t="str">
        <f>IFERROR(__xludf.DUMMYFUNCTION("""COMPUTED_VALUE"""),"")</f>
        <v/>
      </c>
      <c r="K4479" s="35"/>
      <c r="L4479" s="35"/>
      <c r="M4479" s="35"/>
      <c r="N4479" s="35"/>
      <c r="O4479" s="35"/>
      <c r="P4479" s="35"/>
      <c r="Q4479" s="35"/>
      <c r="R4479" s="35"/>
      <c r="S4479" s="74"/>
      <c r="T4479" s="35"/>
      <c r="U4479" s="35"/>
      <c r="V4479" s="35"/>
      <c r="W4479" s="45"/>
    </row>
    <row r="4480">
      <c r="A4480" s="45"/>
      <c r="B4480" s="35"/>
      <c r="C4480" s="35"/>
      <c r="D4480" s="10"/>
      <c r="E4480" s="35" t="str">
        <f>IFERROR(__xludf.DUMMYFUNCTION("""COMPUTED_VALUE"""),"")</f>
        <v/>
      </c>
      <c r="F4480" s="35" t="str">
        <f>IFERROR(__xludf.DUMMYFUNCTION("""COMPUTED_VALUE"""),"1899")</f>
        <v>1899</v>
      </c>
      <c r="G4480" s="35"/>
      <c r="H4480" s="35" t="str">
        <f>IFERROR(__xludf.DUMMYFUNCTION("""COMPUTED_VALUE"""),"")</f>
        <v/>
      </c>
      <c r="I4480" s="35" t="str">
        <f>IFERROR(__xludf.DUMMYFUNCTION("""COMPUTED_VALUE"""),"")</f>
        <v/>
      </c>
      <c r="J4480" s="35" t="str">
        <f>IFERROR(__xludf.DUMMYFUNCTION("""COMPUTED_VALUE"""),"")</f>
        <v/>
      </c>
      <c r="K4480" s="35"/>
      <c r="L4480" s="35"/>
      <c r="M4480" s="35"/>
      <c r="N4480" s="35"/>
      <c r="O4480" s="35"/>
      <c r="P4480" s="35"/>
      <c r="Q4480" s="35"/>
      <c r="R4480" s="35"/>
      <c r="S4480" s="74"/>
      <c r="T4480" s="35"/>
      <c r="U4480" s="35"/>
      <c r="V4480" s="35"/>
      <c r="W4480" s="45"/>
    </row>
    <row r="4481">
      <c r="A4481" s="45"/>
      <c r="B4481" s="35"/>
      <c r="C4481" s="35"/>
      <c r="D4481" s="10"/>
      <c r="E4481" s="35" t="str">
        <f>IFERROR(__xludf.DUMMYFUNCTION("""COMPUTED_VALUE"""),"")</f>
        <v/>
      </c>
      <c r="F4481" s="35" t="str">
        <f>IFERROR(__xludf.DUMMYFUNCTION("""COMPUTED_VALUE"""),"1899")</f>
        <v>1899</v>
      </c>
      <c r="G4481" s="35"/>
      <c r="H4481" s="35" t="str">
        <f>IFERROR(__xludf.DUMMYFUNCTION("""COMPUTED_VALUE"""),"")</f>
        <v/>
      </c>
      <c r="I4481" s="35" t="str">
        <f>IFERROR(__xludf.DUMMYFUNCTION("""COMPUTED_VALUE"""),"")</f>
        <v/>
      </c>
      <c r="J4481" s="35" t="str">
        <f>IFERROR(__xludf.DUMMYFUNCTION("""COMPUTED_VALUE"""),"")</f>
        <v/>
      </c>
      <c r="K4481" s="35"/>
      <c r="L4481" s="35"/>
      <c r="M4481" s="35"/>
      <c r="N4481" s="35"/>
      <c r="O4481" s="35"/>
      <c r="P4481" s="35"/>
      <c r="Q4481" s="35"/>
      <c r="R4481" s="35"/>
      <c r="S4481" s="74"/>
      <c r="T4481" s="35"/>
      <c r="U4481" s="35"/>
      <c r="V4481" s="35"/>
      <c r="W4481" s="45"/>
    </row>
    <row r="4482">
      <c r="A4482" s="45"/>
      <c r="B4482" s="35"/>
      <c r="C4482" s="35"/>
      <c r="D4482" s="10"/>
      <c r="E4482" s="35" t="str">
        <f>IFERROR(__xludf.DUMMYFUNCTION("""COMPUTED_VALUE"""),"")</f>
        <v/>
      </c>
      <c r="F4482" s="35" t="str">
        <f>IFERROR(__xludf.DUMMYFUNCTION("""COMPUTED_VALUE"""),"1899")</f>
        <v>1899</v>
      </c>
      <c r="G4482" s="35"/>
      <c r="H4482" s="35" t="str">
        <f>IFERROR(__xludf.DUMMYFUNCTION("""COMPUTED_VALUE"""),"")</f>
        <v/>
      </c>
      <c r="I4482" s="35" t="str">
        <f>IFERROR(__xludf.DUMMYFUNCTION("""COMPUTED_VALUE"""),"")</f>
        <v/>
      </c>
      <c r="J4482" s="35" t="str">
        <f>IFERROR(__xludf.DUMMYFUNCTION("""COMPUTED_VALUE"""),"")</f>
        <v/>
      </c>
      <c r="K4482" s="35"/>
      <c r="L4482" s="35"/>
      <c r="M4482" s="35"/>
      <c r="N4482" s="35"/>
      <c r="O4482" s="35"/>
      <c r="P4482" s="35"/>
      <c r="Q4482" s="35"/>
      <c r="R4482" s="35"/>
      <c r="S4482" s="74"/>
      <c r="T4482" s="35"/>
      <c r="U4482" s="35"/>
      <c r="V4482" s="35"/>
      <c r="W4482" s="45"/>
    </row>
    <row r="4483">
      <c r="A4483" s="45"/>
      <c r="B4483" s="35"/>
      <c r="C4483" s="35"/>
      <c r="D4483" s="10"/>
      <c r="E4483" s="35" t="str">
        <f>IFERROR(__xludf.DUMMYFUNCTION("""COMPUTED_VALUE"""),"")</f>
        <v/>
      </c>
      <c r="F4483" s="35" t="str">
        <f>IFERROR(__xludf.DUMMYFUNCTION("""COMPUTED_VALUE"""),"1899")</f>
        <v>1899</v>
      </c>
      <c r="G4483" s="35"/>
      <c r="H4483" s="35" t="str">
        <f>IFERROR(__xludf.DUMMYFUNCTION("""COMPUTED_VALUE"""),"")</f>
        <v/>
      </c>
      <c r="I4483" s="35" t="str">
        <f>IFERROR(__xludf.DUMMYFUNCTION("""COMPUTED_VALUE"""),"")</f>
        <v/>
      </c>
      <c r="J4483" s="35" t="str">
        <f>IFERROR(__xludf.DUMMYFUNCTION("""COMPUTED_VALUE"""),"")</f>
        <v/>
      </c>
      <c r="K4483" s="35"/>
      <c r="L4483" s="35"/>
      <c r="M4483" s="35"/>
      <c r="N4483" s="35"/>
      <c r="O4483" s="35"/>
      <c r="P4483" s="35"/>
      <c r="Q4483" s="35"/>
      <c r="R4483" s="35"/>
      <c r="S4483" s="74"/>
      <c r="T4483" s="35"/>
      <c r="U4483" s="35"/>
      <c r="V4483" s="35"/>
      <c r="W4483" s="45"/>
    </row>
    <row r="4484">
      <c r="A4484" s="45"/>
      <c r="B4484" s="35"/>
      <c r="C4484" s="35"/>
      <c r="D4484" s="10"/>
      <c r="E4484" s="35" t="str">
        <f>IFERROR(__xludf.DUMMYFUNCTION("""COMPUTED_VALUE"""),"")</f>
        <v/>
      </c>
      <c r="F4484" s="35" t="str">
        <f>IFERROR(__xludf.DUMMYFUNCTION("""COMPUTED_VALUE"""),"1899")</f>
        <v>1899</v>
      </c>
      <c r="G4484" s="35"/>
      <c r="H4484" s="35" t="str">
        <f>IFERROR(__xludf.DUMMYFUNCTION("""COMPUTED_VALUE"""),"")</f>
        <v/>
      </c>
      <c r="I4484" s="35" t="str">
        <f>IFERROR(__xludf.DUMMYFUNCTION("""COMPUTED_VALUE"""),"")</f>
        <v/>
      </c>
      <c r="J4484" s="35" t="str">
        <f>IFERROR(__xludf.DUMMYFUNCTION("""COMPUTED_VALUE"""),"")</f>
        <v/>
      </c>
      <c r="K4484" s="35"/>
      <c r="L4484" s="35"/>
      <c r="M4484" s="35"/>
      <c r="N4484" s="35"/>
      <c r="O4484" s="35"/>
      <c r="P4484" s="35"/>
      <c r="Q4484" s="35"/>
      <c r="R4484" s="35"/>
      <c r="S4484" s="74"/>
      <c r="T4484" s="35"/>
      <c r="U4484" s="35"/>
      <c r="V4484" s="35"/>
      <c r="W4484" s="45"/>
    </row>
    <row r="4485">
      <c r="A4485" s="45"/>
      <c r="B4485" s="35"/>
      <c r="C4485" s="35"/>
      <c r="D4485" s="10"/>
      <c r="E4485" s="35" t="str">
        <f>IFERROR(__xludf.DUMMYFUNCTION("""COMPUTED_VALUE"""),"")</f>
        <v/>
      </c>
      <c r="F4485" s="35" t="str">
        <f>IFERROR(__xludf.DUMMYFUNCTION("""COMPUTED_VALUE"""),"1899")</f>
        <v>1899</v>
      </c>
      <c r="G4485" s="35"/>
      <c r="H4485" s="35" t="str">
        <f>IFERROR(__xludf.DUMMYFUNCTION("""COMPUTED_VALUE"""),"")</f>
        <v/>
      </c>
      <c r="I4485" s="35" t="str">
        <f>IFERROR(__xludf.DUMMYFUNCTION("""COMPUTED_VALUE"""),"")</f>
        <v/>
      </c>
      <c r="J4485" s="35" t="str">
        <f>IFERROR(__xludf.DUMMYFUNCTION("""COMPUTED_VALUE"""),"")</f>
        <v/>
      </c>
      <c r="K4485" s="35"/>
      <c r="L4485" s="35"/>
      <c r="M4485" s="35"/>
      <c r="N4485" s="35"/>
      <c r="O4485" s="35"/>
      <c r="P4485" s="35"/>
      <c r="Q4485" s="35"/>
      <c r="R4485" s="35"/>
      <c r="S4485" s="74"/>
      <c r="T4485" s="35"/>
      <c r="U4485" s="35"/>
      <c r="V4485" s="35"/>
      <c r="W4485" s="45"/>
    </row>
    <row r="4486">
      <c r="A4486" s="45"/>
      <c r="B4486" s="35"/>
      <c r="C4486" s="35"/>
      <c r="D4486" s="10"/>
      <c r="E4486" s="35" t="str">
        <f>IFERROR(__xludf.DUMMYFUNCTION("""COMPUTED_VALUE"""),"")</f>
        <v/>
      </c>
      <c r="F4486" s="35" t="str">
        <f>IFERROR(__xludf.DUMMYFUNCTION("""COMPUTED_VALUE"""),"1899")</f>
        <v>1899</v>
      </c>
      <c r="G4486" s="35"/>
      <c r="H4486" s="35" t="str">
        <f>IFERROR(__xludf.DUMMYFUNCTION("""COMPUTED_VALUE"""),"")</f>
        <v/>
      </c>
      <c r="I4486" s="35" t="str">
        <f>IFERROR(__xludf.DUMMYFUNCTION("""COMPUTED_VALUE"""),"")</f>
        <v/>
      </c>
      <c r="J4486" s="35" t="str">
        <f>IFERROR(__xludf.DUMMYFUNCTION("""COMPUTED_VALUE"""),"")</f>
        <v/>
      </c>
      <c r="K4486" s="35"/>
      <c r="L4486" s="35"/>
      <c r="M4486" s="35"/>
      <c r="N4486" s="35"/>
      <c r="O4486" s="35"/>
      <c r="P4486" s="35"/>
      <c r="Q4486" s="35"/>
      <c r="R4486" s="35"/>
      <c r="S4486" s="74"/>
      <c r="T4486" s="35"/>
      <c r="U4486" s="35"/>
      <c r="V4486" s="35"/>
      <c r="W4486" s="45"/>
    </row>
    <row r="4487">
      <c r="A4487" s="45"/>
      <c r="B4487" s="35"/>
      <c r="C4487" s="35"/>
      <c r="D4487" s="10"/>
      <c r="E4487" s="35" t="str">
        <f>IFERROR(__xludf.DUMMYFUNCTION("""COMPUTED_VALUE"""),"")</f>
        <v/>
      </c>
      <c r="F4487" s="35" t="str">
        <f>IFERROR(__xludf.DUMMYFUNCTION("""COMPUTED_VALUE"""),"1899")</f>
        <v>1899</v>
      </c>
      <c r="G4487" s="35"/>
      <c r="H4487" s="35" t="str">
        <f>IFERROR(__xludf.DUMMYFUNCTION("""COMPUTED_VALUE"""),"")</f>
        <v/>
      </c>
      <c r="I4487" s="35" t="str">
        <f>IFERROR(__xludf.DUMMYFUNCTION("""COMPUTED_VALUE"""),"")</f>
        <v/>
      </c>
      <c r="J4487" s="35" t="str">
        <f>IFERROR(__xludf.DUMMYFUNCTION("""COMPUTED_VALUE"""),"")</f>
        <v/>
      </c>
      <c r="K4487" s="35"/>
      <c r="L4487" s="35"/>
      <c r="M4487" s="35"/>
      <c r="N4487" s="35"/>
      <c r="O4487" s="35"/>
      <c r="P4487" s="35"/>
      <c r="Q4487" s="35"/>
      <c r="R4487" s="35"/>
      <c r="S4487" s="74"/>
      <c r="T4487" s="35"/>
      <c r="U4487" s="35"/>
      <c r="V4487" s="35"/>
      <c r="W4487" s="45"/>
    </row>
    <row r="4488">
      <c r="A4488" s="45"/>
      <c r="B4488" s="35"/>
      <c r="C4488" s="35"/>
      <c r="D4488" s="10"/>
      <c r="E4488" s="35" t="str">
        <f>IFERROR(__xludf.DUMMYFUNCTION("""COMPUTED_VALUE"""),"")</f>
        <v/>
      </c>
      <c r="F4488" s="35" t="str">
        <f>IFERROR(__xludf.DUMMYFUNCTION("""COMPUTED_VALUE"""),"1899")</f>
        <v>1899</v>
      </c>
      <c r="G4488" s="35"/>
      <c r="H4488" s="35" t="str">
        <f>IFERROR(__xludf.DUMMYFUNCTION("""COMPUTED_VALUE"""),"")</f>
        <v/>
      </c>
      <c r="I4488" s="35" t="str">
        <f>IFERROR(__xludf.DUMMYFUNCTION("""COMPUTED_VALUE"""),"")</f>
        <v/>
      </c>
      <c r="J4488" s="35" t="str">
        <f>IFERROR(__xludf.DUMMYFUNCTION("""COMPUTED_VALUE"""),"")</f>
        <v/>
      </c>
      <c r="K4488" s="35"/>
      <c r="L4488" s="35"/>
      <c r="M4488" s="35"/>
      <c r="N4488" s="35"/>
      <c r="O4488" s="35"/>
      <c r="P4488" s="35"/>
      <c r="Q4488" s="35"/>
      <c r="R4488" s="35"/>
      <c r="S4488" s="74"/>
      <c r="T4488" s="35"/>
      <c r="U4488" s="35"/>
      <c r="V4488" s="35"/>
      <c r="W4488" s="45"/>
    </row>
    <row r="4489">
      <c r="A4489" s="45"/>
      <c r="B4489" s="35"/>
      <c r="C4489" s="35"/>
      <c r="D4489" s="10"/>
      <c r="E4489" s="35" t="str">
        <f>IFERROR(__xludf.DUMMYFUNCTION("""COMPUTED_VALUE"""),"")</f>
        <v/>
      </c>
      <c r="F4489" s="35" t="str">
        <f>IFERROR(__xludf.DUMMYFUNCTION("""COMPUTED_VALUE"""),"1899")</f>
        <v>1899</v>
      </c>
      <c r="G4489" s="35"/>
      <c r="H4489" s="35" t="str">
        <f>IFERROR(__xludf.DUMMYFUNCTION("""COMPUTED_VALUE"""),"")</f>
        <v/>
      </c>
      <c r="I4489" s="35" t="str">
        <f>IFERROR(__xludf.DUMMYFUNCTION("""COMPUTED_VALUE"""),"")</f>
        <v/>
      </c>
      <c r="J4489" s="35" t="str">
        <f>IFERROR(__xludf.DUMMYFUNCTION("""COMPUTED_VALUE"""),"")</f>
        <v/>
      </c>
      <c r="K4489" s="35"/>
      <c r="L4489" s="35"/>
      <c r="M4489" s="35"/>
      <c r="N4489" s="35"/>
      <c r="O4489" s="35"/>
      <c r="P4489" s="35"/>
      <c r="Q4489" s="35"/>
      <c r="R4489" s="35"/>
      <c r="S4489" s="74"/>
      <c r="T4489" s="35"/>
      <c r="U4489" s="35"/>
      <c r="V4489" s="35"/>
      <c r="W4489" s="45"/>
    </row>
    <row r="4490">
      <c r="A4490" s="45"/>
      <c r="B4490" s="35"/>
      <c r="C4490" s="35"/>
      <c r="D4490" s="10"/>
      <c r="E4490" s="35" t="str">
        <f>IFERROR(__xludf.DUMMYFUNCTION("""COMPUTED_VALUE"""),"")</f>
        <v/>
      </c>
      <c r="F4490" s="35" t="str">
        <f>IFERROR(__xludf.DUMMYFUNCTION("""COMPUTED_VALUE"""),"1899")</f>
        <v>1899</v>
      </c>
      <c r="G4490" s="35"/>
      <c r="H4490" s="35" t="str">
        <f>IFERROR(__xludf.DUMMYFUNCTION("""COMPUTED_VALUE"""),"")</f>
        <v/>
      </c>
      <c r="I4490" s="35" t="str">
        <f>IFERROR(__xludf.DUMMYFUNCTION("""COMPUTED_VALUE"""),"")</f>
        <v/>
      </c>
      <c r="J4490" s="35" t="str">
        <f>IFERROR(__xludf.DUMMYFUNCTION("""COMPUTED_VALUE"""),"")</f>
        <v/>
      </c>
      <c r="K4490" s="35"/>
      <c r="L4490" s="35"/>
      <c r="M4490" s="35"/>
      <c r="N4490" s="35"/>
      <c r="O4490" s="35"/>
      <c r="P4490" s="35"/>
      <c r="Q4490" s="35"/>
      <c r="R4490" s="35"/>
      <c r="S4490" s="74"/>
      <c r="T4490" s="35"/>
      <c r="U4490" s="35"/>
      <c r="V4490" s="35"/>
      <c r="W4490" s="45"/>
    </row>
    <row r="4491">
      <c r="A4491" s="45"/>
      <c r="B4491" s="35"/>
      <c r="C4491" s="35"/>
      <c r="D4491" s="10"/>
      <c r="E4491" s="35" t="str">
        <f>IFERROR(__xludf.DUMMYFUNCTION("""COMPUTED_VALUE"""),"")</f>
        <v/>
      </c>
      <c r="F4491" s="35" t="str">
        <f>IFERROR(__xludf.DUMMYFUNCTION("""COMPUTED_VALUE"""),"1899")</f>
        <v>1899</v>
      </c>
      <c r="G4491" s="35"/>
      <c r="H4491" s="35" t="str">
        <f>IFERROR(__xludf.DUMMYFUNCTION("""COMPUTED_VALUE"""),"")</f>
        <v/>
      </c>
      <c r="I4491" s="35" t="str">
        <f>IFERROR(__xludf.DUMMYFUNCTION("""COMPUTED_VALUE"""),"")</f>
        <v/>
      </c>
      <c r="J4491" s="35" t="str">
        <f>IFERROR(__xludf.DUMMYFUNCTION("""COMPUTED_VALUE"""),"")</f>
        <v/>
      </c>
      <c r="K4491" s="35"/>
      <c r="L4491" s="35"/>
      <c r="M4491" s="35"/>
      <c r="N4491" s="35"/>
      <c r="O4491" s="35"/>
      <c r="P4491" s="35"/>
      <c r="Q4491" s="35"/>
      <c r="R4491" s="35"/>
      <c r="S4491" s="74"/>
      <c r="T4491" s="35"/>
      <c r="U4491" s="35"/>
      <c r="V4491" s="35"/>
      <c r="W4491" s="45"/>
    </row>
    <row r="4492">
      <c r="A4492" s="45"/>
      <c r="B4492" s="35"/>
      <c r="C4492" s="35"/>
      <c r="D4492" s="10"/>
      <c r="E4492" s="35" t="str">
        <f>IFERROR(__xludf.DUMMYFUNCTION("""COMPUTED_VALUE"""),"")</f>
        <v/>
      </c>
      <c r="F4492" s="35" t="str">
        <f>IFERROR(__xludf.DUMMYFUNCTION("""COMPUTED_VALUE"""),"1899")</f>
        <v>1899</v>
      </c>
      <c r="G4492" s="35"/>
      <c r="H4492" s="35" t="str">
        <f>IFERROR(__xludf.DUMMYFUNCTION("""COMPUTED_VALUE"""),"")</f>
        <v/>
      </c>
      <c r="I4492" s="35" t="str">
        <f>IFERROR(__xludf.DUMMYFUNCTION("""COMPUTED_VALUE"""),"")</f>
        <v/>
      </c>
      <c r="J4492" s="35" t="str">
        <f>IFERROR(__xludf.DUMMYFUNCTION("""COMPUTED_VALUE"""),"")</f>
        <v/>
      </c>
      <c r="K4492" s="35"/>
      <c r="L4492" s="35"/>
      <c r="M4492" s="35"/>
      <c r="N4492" s="35"/>
      <c r="O4492" s="35"/>
      <c r="P4492" s="35"/>
      <c r="Q4492" s="35"/>
      <c r="R4492" s="35"/>
      <c r="S4492" s="74"/>
      <c r="T4492" s="35"/>
      <c r="U4492" s="35"/>
      <c r="V4492" s="35"/>
      <c r="W4492" s="45"/>
    </row>
    <row r="4493">
      <c r="A4493" s="45"/>
      <c r="B4493" s="35"/>
      <c r="C4493" s="35"/>
      <c r="D4493" s="10"/>
      <c r="E4493" s="35" t="str">
        <f>IFERROR(__xludf.DUMMYFUNCTION("""COMPUTED_VALUE"""),"")</f>
        <v/>
      </c>
      <c r="F4493" s="35" t="str">
        <f>IFERROR(__xludf.DUMMYFUNCTION("""COMPUTED_VALUE"""),"1899")</f>
        <v>1899</v>
      </c>
      <c r="G4493" s="35"/>
      <c r="H4493" s="35" t="str">
        <f>IFERROR(__xludf.DUMMYFUNCTION("""COMPUTED_VALUE"""),"")</f>
        <v/>
      </c>
      <c r="I4493" s="35" t="str">
        <f>IFERROR(__xludf.DUMMYFUNCTION("""COMPUTED_VALUE"""),"")</f>
        <v/>
      </c>
      <c r="J4493" s="35" t="str">
        <f>IFERROR(__xludf.DUMMYFUNCTION("""COMPUTED_VALUE"""),"")</f>
        <v/>
      </c>
      <c r="K4493" s="35"/>
      <c r="L4493" s="35"/>
      <c r="M4493" s="35"/>
      <c r="N4493" s="35"/>
      <c r="O4493" s="35"/>
      <c r="P4493" s="35"/>
      <c r="Q4493" s="35"/>
      <c r="R4493" s="35"/>
      <c r="S4493" s="74"/>
      <c r="T4493" s="35"/>
      <c r="U4493" s="35"/>
      <c r="V4493" s="35"/>
      <c r="W4493" s="45"/>
    </row>
    <row r="4494">
      <c r="A4494" s="45"/>
      <c r="B4494" s="35"/>
      <c r="C4494" s="35"/>
      <c r="D4494" s="10"/>
      <c r="E4494" s="35" t="str">
        <f>IFERROR(__xludf.DUMMYFUNCTION("""COMPUTED_VALUE"""),"")</f>
        <v/>
      </c>
      <c r="F4494" s="35" t="str">
        <f>IFERROR(__xludf.DUMMYFUNCTION("""COMPUTED_VALUE"""),"1899")</f>
        <v>1899</v>
      </c>
      <c r="G4494" s="35"/>
      <c r="H4494" s="35" t="str">
        <f>IFERROR(__xludf.DUMMYFUNCTION("""COMPUTED_VALUE"""),"")</f>
        <v/>
      </c>
      <c r="I4494" s="35" t="str">
        <f>IFERROR(__xludf.DUMMYFUNCTION("""COMPUTED_VALUE"""),"")</f>
        <v/>
      </c>
      <c r="J4494" s="35" t="str">
        <f>IFERROR(__xludf.DUMMYFUNCTION("""COMPUTED_VALUE"""),"")</f>
        <v/>
      </c>
      <c r="K4494" s="35"/>
      <c r="L4494" s="35"/>
      <c r="M4494" s="35"/>
      <c r="N4494" s="35"/>
      <c r="O4494" s="35"/>
      <c r="P4494" s="35"/>
      <c r="Q4494" s="35"/>
      <c r="R4494" s="35"/>
      <c r="S4494" s="74"/>
      <c r="T4494" s="35"/>
      <c r="U4494" s="35"/>
      <c r="V4494" s="35"/>
      <c r="W4494" s="45"/>
    </row>
    <row r="4495">
      <c r="A4495" s="45"/>
      <c r="B4495" s="35"/>
      <c r="C4495" s="35"/>
      <c r="D4495" s="10"/>
      <c r="E4495" s="35" t="str">
        <f>IFERROR(__xludf.DUMMYFUNCTION("""COMPUTED_VALUE"""),"")</f>
        <v/>
      </c>
      <c r="F4495" s="35" t="str">
        <f>IFERROR(__xludf.DUMMYFUNCTION("""COMPUTED_VALUE"""),"1899")</f>
        <v>1899</v>
      </c>
      <c r="G4495" s="35"/>
      <c r="H4495" s="35" t="str">
        <f>IFERROR(__xludf.DUMMYFUNCTION("""COMPUTED_VALUE"""),"")</f>
        <v/>
      </c>
      <c r="I4495" s="35" t="str">
        <f>IFERROR(__xludf.DUMMYFUNCTION("""COMPUTED_VALUE"""),"")</f>
        <v/>
      </c>
      <c r="J4495" s="35" t="str">
        <f>IFERROR(__xludf.DUMMYFUNCTION("""COMPUTED_VALUE"""),"")</f>
        <v/>
      </c>
      <c r="K4495" s="35"/>
      <c r="L4495" s="35"/>
      <c r="M4495" s="35"/>
      <c r="N4495" s="35"/>
      <c r="O4495" s="35"/>
      <c r="P4495" s="35"/>
      <c r="Q4495" s="35"/>
      <c r="R4495" s="35"/>
      <c r="S4495" s="74"/>
      <c r="T4495" s="35"/>
      <c r="U4495" s="35"/>
      <c r="V4495" s="35"/>
      <c r="W4495" s="45"/>
    </row>
    <row r="4496">
      <c r="A4496" s="45"/>
      <c r="B4496" s="35"/>
      <c r="C4496" s="35"/>
      <c r="D4496" s="10"/>
      <c r="E4496" s="35" t="str">
        <f>IFERROR(__xludf.DUMMYFUNCTION("""COMPUTED_VALUE"""),"")</f>
        <v/>
      </c>
      <c r="F4496" s="35" t="str">
        <f>IFERROR(__xludf.DUMMYFUNCTION("""COMPUTED_VALUE"""),"1899")</f>
        <v>1899</v>
      </c>
      <c r="G4496" s="35"/>
      <c r="H4496" s="35" t="str">
        <f>IFERROR(__xludf.DUMMYFUNCTION("""COMPUTED_VALUE"""),"")</f>
        <v/>
      </c>
      <c r="I4496" s="35" t="str">
        <f>IFERROR(__xludf.DUMMYFUNCTION("""COMPUTED_VALUE"""),"")</f>
        <v/>
      </c>
      <c r="J4496" s="35" t="str">
        <f>IFERROR(__xludf.DUMMYFUNCTION("""COMPUTED_VALUE"""),"")</f>
        <v/>
      </c>
      <c r="K4496" s="35"/>
      <c r="L4496" s="35"/>
      <c r="M4496" s="35"/>
      <c r="N4496" s="35"/>
      <c r="O4496" s="35"/>
      <c r="P4496" s="35"/>
      <c r="Q4496" s="35"/>
      <c r="R4496" s="35"/>
      <c r="S4496" s="74"/>
      <c r="T4496" s="35"/>
      <c r="U4496" s="35"/>
      <c r="V4496" s="35"/>
      <c r="W4496" s="45"/>
    </row>
    <row r="4497">
      <c r="A4497" s="45"/>
      <c r="B4497" s="35"/>
      <c r="C4497" s="35"/>
      <c r="D4497" s="10"/>
      <c r="E4497" s="35" t="str">
        <f>IFERROR(__xludf.DUMMYFUNCTION("""COMPUTED_VALUE"""),"")</f>
        <v/>
      </c>
      <c r="F4497" s="35" t="str">
        <f>IFERROR(__xludf.DUMMYFUNCTION("""COMPUTED_VALUE"""),"1899")</f>
        <v>1899</v>
      </c>
      <c r="G4497" s="35"/>
      <c r="H4497" s="35" t="str">
        <f>IFERROR(__xludf.DUMMYFUNCTION("""COMPUTED_VALUE"""),"")</f>
        <v/>
      </c>
      <c r="I4497" s="35" t="str">
        <f>IFERROR(__xludf.DUMMYFUNCTION("""COMPUTED_VALUE"""),"")</f>
        <v/>
      </c>
      <c r="J4497" s="35" t="str">
        <f>IFERROR(__xludf.DUMMYFUNCTION("""COMPUTED_VALUE"""),"")</f>
        <v/>
      </c>
      <c r="K4497" s="35"/>
      <c r="L4497" s="35"/>
      <c r="M4497" s="35"/>
      <c r="N4497" s="35"/>
      <c r="O4497" s="35"/>
      <c r="P4497" s="35"/>
      <c r="Q4497" s="35"/>
      <c r="R4497" s="35"/>
      <c r="S4497" s="74"/>
      <c r="T4497" s="35"/>
      <c r="U4497" s="35"/>
      <c r="V4497" s="35"/>
      <c r="W4497" s="45"/>
    </row>
    <row r="4498">
      <c r="A4498" s="45"/>
      <c r="B4498" s="35"/>
      <c r="C4498" s="35"/>
      <c r="D4498" s="10"/>
      <c r="E4498" s="35" t="str">
        <f>IFERROR(__xludf.DUMMYFUNCTION("""COMPUTED_VALUE"""),"")</f>
        <v/>
      </c>
      <c r="F4498" s="35" t="str">
        <f>IFERROR(__xludf.DUMMYFUNCTION("""COMPUTED_VALUE"""),"1899")</f>
        <v>1899</v>
      </c>
      <c r="G4498" s="35"/>
      <c r="H4498" s="35" t="str">
        <f>IFERROR(__xludf.DUMMYFUNCTION("""COMPUTED_VALUE"""),"")</f>
        <v/>
      </c>
      <c r="I4498" s="35" t="str">
        <f>IFERROR(__xludf.DUMMYFUNCTION("""COMPUTED_VALUE"""),"")</f>
        <v/>
      </c>
      <c r="J4498" s="35" t="str">
        <f>IFERROR(__xludf.DUMMYFUNCTION("""COMPUTED_VALUE"""),"")</f>
        <v/>
      </c>
      <c r="K4498" s="35"/>
      <c r="L4498" s="35"/>
      <c r="M4498" s="35"/>
      <c r="N4498" s="35"/>
      <c r="O4498" s="35"/>
      <c r="P4498" s="35"/>
      <c r="Q4498" s="35"/>
      <c r="R4498" s="35"/>
      <c r="S4498" s="74"/>
      <c r="T4498" s="35"/>
      <c r="U4498" s="35"/>
      <c r="V4498" s="35"/>
      <c r="W4498" s="45"/>
    </row>
    <row r="4499">
      <c r="A4499" s="45"/>
      <c r="B4499" s="35"/>
      <c r="C4499" s="35"/>
      <c r="D4499" s="10"/>
      <c r="E4499" s="35" t="str">
        <f>IFERROR(__xludf.DUMMYFUNCTION("""COMPUTED_VALUE"""),"")</f>
        <v/>
      </c>
      <c r="F4499" s="35" t="str">
        <f>IFERROR(__xludf.DUMMYFUNCTION("""COMPUTED_VALUE"""),"1899")</f>
        <v>1899</v>
      </c>
      <c r="G4499" s="35"/>
      <c r="H4499" s="35" t="str">
        <f>IFERROR(__xludf.DUMMYFUNCTION("""COMPUTED_VALUE"""),"")</f>
        <v/>
      </c>
      <c r="I4499" s="35" t="str">
        <f>IFERROR(__xludf.DUMMYFUNCTION("""COMPUTED_VALUE"""),"")</f>
        <v/>
      </c>
      <c r="J4499" s="35" t="str">
        <f>IFERROR(__xludf.DUMMYFUNCTION("""COMPUTED_VALUE"""),"")</f>
        <v/>
      </c>
      <c r="K4499" s="35"/>
      <c r="L4499" s="35"/>
      <c r="M4499" s="35"/>
      <c r="N4499" s="35"/>
      <c r="O4499" s="35"/>
      <c r="P4499" s="35"/>
      <c r="Q4499" s="35"/>
      <c r="R4499" s="35"/>
      <c r="S4499" s="74"/>
      <c r="T4499" s="35"/>
      <c r="U4499" s="35"/>
      <c r="V4499" s="35"/>
      <c r="W4499" s="45"/>
    </row>
    <row r="4500">
      <c r="A4500" s="45"/>
      <c r="B4500" s="35"/>
      <c r="C4500" s="35"/>
      <c r="D4500" s="10"/>
      <c r="E4500" s="35" t="str">
        <f>IFERROR(__xludf.DUMMYFUNCTION("""COMPUTED_VALUE"""),"")</f>
        <v/>
      </c>
      <c r="F4500" s="35" t="str">
        <f>IFERROR(__xludf.DUMMYFUNCTION("""COMPUTED_VALUE"""),"1899")</f>
        <v>1899</v>
      </c>
      <c r="G4500" s="35"/>
      <c r="H4500" s="35" t="str">
        <f>IFERROR(__xludf.DUMMYFUNCTION("""COMPUTED_VALUE"""),"")</f>
        <v/>
      </c>
      <c r="I4500" s="35" t="str">
        <f>IFERROR(__xludf.DUMMYFUNCTION("""COMPUTED_VALUE"""),"")</f>
        <v/>
      </c>
      <c r="J4500" s="35" t="str">
        <f>IFERROR(__xludf.DUMMYFUNCTION("""COMPUTED_VALUE"""),"")</f>
        <v/>
      </c>
      <c r="K4500" s="35"/>
      <c r="L4500" s="35"/>
      <c r="M4500" s="35"/>
      <c r="N4500" s="35"/>
      <c r="O4500" s="35"/>
      <c r="P4500" s="35"/>
      <c r="Q4500" s="35"/>
      <c r="R4500" s="35"/>
      <c r="S4500" s="74"/>
      <c r="T4500" s="35"/>
      <c r="U4500" s="35"/>
      <c r="V4500" s="35"/>
      <c r="W4500" s="45"/>
    </row>
    <row r="4501">
      <c r="A4501" s="45"/>
      <c r="B4501" s="35"/>
      <c r="C4501" s="35"/>
      <c r="D4501" s="10"/>
      <c r="E4501" s="35" t="str">
        <f>IFERROR(__xludf.DUMMYFUNCTION("""COMPUTED_VALUE"""),"")</f>
        <v/>
      </c>
      <c r="F4501" s="35" t="str">
        <f>IFERROR(__xludf.DUMMYFUNCTION("""COMPUTED_VALUE"""),"1899")</f>
        <v>1899</v>
      </c>
      <c r="G4501" s="35"/>
      <c r="H4501" s="35" t="str">
        <f>IFERROR(__xludf.DUMMYFUNCTION("""COMPUTED_VALUE"""),"")</f>
        <v/>
      </c>
      <c r="I4501" s="35" t="str">
        <f>IFERROR(__xludf.DUMMYFUNCTION("""COMPUTED_VALUE"""),"")</f>
        <v/>
      </c>
      <c r="J4501" s="35" t="str">
        <f>IFERROR(__xludf.DUMMYFUNCTION("""COMPUTED_VALUE"""),"")</f>
        <v/>
      </c>
      <c r="K4501" s="35"/>
      <c r="L4501" s="35"/>
      <c r="M4501" s="35"/>
      <c r="N4501" s="35"/>
      <c r="O4501" s="35"/>
      <c r="P4501" s="35"/>
      <c r="Q4501" s="35"/>
      <c r="R4501" s="35"/>
      <c r="S4501" s="74"/>
      <c r="T4501" s="35"/>
      <c r="U4501" s="35"/>
      <c r="V4501" s="35"/>
      <c r="W4501" s="45"/>
    </row>
    <row r="4502">
      <c r="A4502" s="45"/>
      <c r="B4502" s="35"/>
      <c r="C4502" s="35"/>
      <c r="D4502" s="10"/>
      <c r="E4502" s="35" t="str">
        <f>IFERROR(__xludf.DUMMYFUNCTION("""COMPUTED_VALUE"""),"")</f>
        <v/>
      </c>
      <c r="F4502" s="35" t="str">
        <f>IFERROR(__xludf.DUMMYFUNCTION("""COMPUTED_VALUE"""),"1899")</f>
        <v>1899</v>
      </c>
      <c r="G4502" s="35"/>
      <c r="H4502" s="35" t="str">
        <f>IFERROR(__xludf.DUMMYFUNCTION("""COMPUTED_VALUE"""),"")</f>
        <v/>
      </c>
      <c r="I4502" s="35" t="str">
        <f>IFERROR(__xludf.DUMMYFUNCTION("""COMPUTED_VALUE"""),"")</f>
        <v/>
      </c>
      <c r="J4502" s="35" t="str">
        <f>IFERROR(__xludf.DUMMYFUNCTION("""COMPUTED_VALUE"""),"")</f>
        <v/>
      </c>
      <c r="K4502" s="35"/>
      <c r="L4502" s="35"/>
      <c r="M4502" s="35"/>
      <c r="N4502" s="35"/>
      <c r="O4502" s="35"/>
      <c r="P4502" s="35"/>
      <c r="Q4502" s="35"/>
      <c r="R4502" s="35"/>
      <c r="S4502" s="74"/>
      <c r="T4502" s="35"/>
      <c r="U4502" s="35"/>
      <c r="V4502" s="35"/>
      <c r="W4502" s="45"/>
    </row>
    <row r="4503">
      <c r="A4503" s="45"/>
      <c r="B4503" s="35"/>
      <c r="C4503" s="35"/>
      <c r="D4503" s="10"/>
      <c r="E4503" s="35" t="str">
        <f>IFERROR(__xludf.DUMMYFUNCTION("""COMPUTED_VALUE"""),"")</f>
        <v/>
      </c>
      <c r="F4503" s="35" t="str">
        <f>IFERROR(__xludf.DUMMYFUNCTION("""COMPUTED_VALUE"""),"1899")</f>
        <v>1899</v>
      </c>
      <c r="G4503" s="35"/>
      <c r="H4503" s="35" t="str">
        <f>IFERROR(__xludf.DUMMYFUNCTION("""COMPUTED_VALUE"""),"")</f>
        <v/>
      </c>
      <c r="I4503" s="35" t="str">
        <f>IFERROR(__xludf.DUMMYFUNCTION("""COMPUTED_VALUE"""),"")</f>
        <v/>
      </c>
      <c r="J4503" s="35" t="str">
        <f>IFERROR(__xludf.DUMMYFUNCTION("""COMPUTED_VALUE"""),"")</f>
        <v/>
      </c>
      <c r="K4503" s="35"/>
      <c r="L4503" s="35"/>
      <c r="M4503" s="35"/>
      <c r="N4503" s="35"/>
      <c r="O4503" s="35"/>
      <c r="P4503" s="35"/>
      <c r="Q4503" s="35"/>
      <c r="R4503" s="35"/>
      <c r="S4503" s="74"/>
      <c r="T4503" s="35"/>
      <c r="U4503" s="35"/>
      <c r="V4503" s="35"/>
      <c r="W4503" s="45"/>
    </row>
    <row r="4504">
      <c r="A4504" s="45"/>
      <c r="B4504" s="35"/>
      <c r="C4504" s="35"/>
      <c r="D4504" s="10"/>
      <c r="E4504" s="35" t="str">
        <f>IFERROR(__xludf.DUMMYFUNCTION("""COMPUTED_VALUE"""),"")</f>
        <v/>
      </c>
      <c r="F4504" s="35" t="str">
        <f>IFERROR(__xludf.DUMMYFUNCTION("""COMPUTED_VALUE"""),"1899")</f>
        <v>1899</v>
      </c>
      <c r="G4504" s="35"/>
      <c r="H4504" s="35" t="str">
        <f>IFERROR(__xludf.DUMMYFUNCTION("""COMPUTED_VALUE"""),"")</f>
        <v/>
      </c>
      <c r="I4504" s="35" t="str">
        <f>IFERROR(__xludf.DUMMYFUNCTION("""COMPUTED_VALUE"""),"")</f>
        <v/>
      </c>
      <c r="J4504" s="35" t="str">
        <f>IFERROR(__xludf.DUMMYFUNCTION("""COMPUTED_VALUE"""),"")</f>
        <v/>
      </c>
      <c r="K4504" s="35"/>
      <c r="L4504" s="35"/>
      <c r="M4504" s="35"/>
      <c r="N4504" s="35"/>
      <c r="O4504" s="35"/>
      <c r="P4504" s="35"/>
      <c r="Q4504" s="35"/>
      <c r="R4504" s="35"/>
      <c r="S4504" s="74"/>
      <c r="T4504" s="35"/>
      <c r="U4504" s="35"/>
      <c r="V4504" s="35"/>
      <c r="W4504" s="45"/>
    </row>
    <row r="4505">
      <c r="A4505" s="45"/>
      <c r="B4505" s="35"/>
      <c r="C4505" s="35"/>
      <c r="D4505" s="10"/>
      <c r="E4505" s="35" t="str">
        <f>IFERROR(__xludf.DUMMYFUNCTION("""COMPUTED_VALUE"""),"")</f>
        <v/>
      </c>
      <c r="F4505" s="35" t="str">
        <f>IFERROR(__xludf.DUMMYFUNCTION("""COMPUTED_VALUE"""),"1899")</f>
        <v>1899</v>
      </c>
      <c r="G4505" s="35"/>
      <c r="H4505" s="35" t="str">
        <f>IFERROR(__xludf.DUMMYFUNCTION("""COMPUTED_VALUE"""),"")</f>
        <v/>
      </c>
      <c r="I4505" s="35" t="str">
        <f>IFERROR(__xludf.DUMMYFUNCTION("""COMPUTED_VALUE"""),"")</f>
        <v/>
      </c>
      <c r="J4505" s="35" t="str">
        <f>IFERROR(__xludf.DUMMYFUNCTION("""COMPUTED_VALUE"""),"")</f>
        <v/>
      </c>
      <c r="K4505" s="35"/>
      <c r="L4505" s="35"/>
      <c r="M4505" s="35"/>
      <c r="N4505" s="35"/>
      <c r="O4505" s="35"/>
      <c r="P4505" s="35"/>
      <c r="Q4505" s="35"/>
      <c r="R4505" s="35"/>
      <c r="S4505" s="74"/>
      <c r="T4505" s="35"/>
      <c r="U4505" s="35"/>
      <c r="V4505" s="35"/>
      <c r="W4505" s="45"/>
    </row>
    <row r="4506">
      <c r="A4506" s="45"/>
      <c r="B4506" s="35"/>
      <c r="C4506" s="35"/>
      <c r="D4506" s="10"/>
      <c r="E4506" s="35" t="str">
        <f>IFERROR(__xludf.DUMMYFUNCTION("""COMPUTED_VALUE"""),"")</f>
        <v/>
      </c>
      <c r="F4506" s="35" t="str">
        <f>IFERROR(__xludf.DUMMYFUNCTION("""COMPUTED_VALUE"""),"1899")</f>
        <v>1899</v>
      </c>
      <c r="G4506" s="35"/>
      <c r="H4506" s="35" t="str">
        <f>IFERROR(__xludf.DUMMYFUNCTION("""COMPUTED_VALUE"""),"")</f>
        <v/>
      </c>
      <c r="I4506" s="35" t="str">
        <f>IFERROR(__xludf.DUMMYFUNCTION("""COMPUTED_VALUE"""),"")</f>
        <v/>
      </c>
      <c r="J4506" s="35" t="str">
        <f>IFERROR(__xludf.DUMMYFUNCTION("""COMPUTED_VALUE"""),"")</f>
        <v/>
      </c>
      <c r="K4506" s="35"/>
      <c r="L4506" s="35"/>
      <c r="M4506" s="35"/>
      <c r="N4506" s="35"/>
      <c r="O4506" s="35"/>
      <c r="P4506" s="35"/>
      <c r="Q4506" s="35"/>
      <c r="R4506" s="35"/>
      <c r="S4506" s="74"/>
      <c r="T4506" s="35"/>
      <c r="U4506" s="35"/>
      <c r="V4506" s="35"/>
      <c r="W4506" s="45"/>
    </row>
    <row r="4507">
      <c r="A4507" s="45"/>
      <c r="B4507" s="35"/>
      <c r="C4507" s="35"/>
      <c r="D4507" s="10"/>
      <c r="E4507" s="35" t="str">
        <f>IFERROR(__xludf.DUMMYFUNCTION("""COMPUTED_VALUE"""),"")</f>
        <v/>
      </c>
      <c r="F4507" s="35" t="str">
        <f>IFERROR(__xludf.DUMMYFUNCTION("""COMPUTED_VALUE"""),"1899")</f>
        <v>1899</v>
      </c>
      <c r="G4507" s="35"/>
      <c r="H4507" s="35" t="str">
        <f>IFERROR(__xludf.DUMMYFUNCTION("""COMPUTED_VALUE"""),"")</f>
        <v/>
      </c>
      <c r="I4507" s="35" t="str">
        <f>IFERROR(__xludf.DUMMYFUNCTION("""COMPUTED_VALUE"""),"")</f>
        <v/>
      </c>
      <c r="J4507" s="35" t="str">
        <f>IFERROR(__xludf.DUMMYFUNCTION("""COMPUTED_VALUE"""),"")</f>
        <v/>
      </c>
      <c r="K4507" s="35"/>
      <c r="L4507" s="35"/>
      <c r="M4507" s="35"/>
      <c r="N4507" s="35"/>
      <c r="O4507" s="35"/>
      <c r="P4507" s="35"/>
      <c r="Q4507" s="35"/>
      <c r="R4507" s="35"/>
      <c r="S4507" s="74"/>
      <c r="T4507" s="35"/>
      <c r="U4507" s="35"/>
      <c r="V4507" s="35"/>
      <c r="W4507" s="45"/>
    </row>
    <row r="4508">
      <c r="A4508" s="45"/>
      <c r="B4508" s="35"/>
      <c r="C4508" s="35"/>
      <c r="D4508" s="10"/>
      <c r="E4508" s="35" t="str">
        <f>IFERROR(__xludf.DUMMYFUNCTION("""COMPUTED_VALUE"""),"")</f>
        <v/>
      </c>
      <c r="F4508" s="35" t="str">
        <f>IFERROR(__xludf.DUMMYFUNCTION("""COMPUTED_VALUE"""),"1899")</f>
        <v>1899</v>
      </c>
      <c r="G4508" s="35"/>
      <c r="H4508" s="35" t="str">
        <f>IFERROR(__xludf.DUMMYFUNCTION("""COMPUTED_VALUE"""),"")</f>
        <v/>
      </c>
      <c r="I4508" s="35" t="str">
        <f>IFERROR(__xludf.DUMMYFUNCTION("""COMPUTED_VALUE"""),"")</f>
        <v/>
      </c>
      <c r="J4508" s="35" t="str">
        <f>IFERROR(__xludf.DUMMYFUNCTION("""COMPUTED_VALUE"""),"")</f>
        <v/>
      </c>
      <c r="K4508" s="35"/>
      <c r="L4508" s="35"/>
      <c r="M4508" s="35"/>
      <c r="N4508" s="35"/>
      <c r="O4508" s="35"/>
      <c r="P4508" s="35"/>
      <c r="Q4508" s="35"/>
      <c r="R4508" s="35"/>
      <c r="S4508" s="74"/>
      <c r="T4508" s="35"/>
      <c r="U4508" s="35"/>
      <c r="V4508" s="35"/>
      <c r="W4508" s="45"/>
    </row>
    <row r="4509">
      <c r="A4509" s="45"/>
      <c r="B4509" s="35"/>
      <c r="C4509" s="35"/>
      <c r="D4509" s="10"/>
      <c r="E4509" s="35" t="str">
        <f>IFERROR(__xludf.DUMMYFUNCTION("""COMPUTED_VALUE"""),"")</f>
        <v/>
      </c>
      <c r="F4509" s="35" t="str">
        <f>IFERROR(__xludf.DUMMYFUNCTION("""COMPUTED_VALUE"""),"1899")</f>
        <v>1899</v>
      </c>
      <c r="G4509" s="35"/>
      <c r="H4509" s="35" t="str">
        <f>IFERROR(__xludf.DUMMYFUNCTION("""COMPUTED_VALUE"""),"")</f>
        <v/>
      </c>
      <c r="I4509" s="35" t="str">
        <f>IFERROR(__xludf.DUMMYFUNCTION("""COMPUTED_VALUE"""),"")</f>
        <v/>
      </c>
      <c r="J4509" s="35" t="str">
        <f>IFERROR(__xludf.DUMMYFUNCTION("""COMPUTED_VALUE"""),"")</f>
        <v/>
      </c>
      <c r="K4509" s="35"/>
      <c r="L4509" s="35"/>
      <c r="M4509" s="35"/>
      <c r="N4509" s="35"/>
      <c r="O4509" s="35"/>
      <c r="P4509" s="35"/>
      <c r="Q4509" s="35"/>
      <c r="R4509" s="35"/>
      <c r="S4509" s="74"/>
      <c r="T4509" s="35"/>
      <c r="U4509" s="35"/>
      <c r="V4509" s="35"/>
      <c r="W4509" s="45"/>
    </row>
    <row r="4510">
      <c r="A4510" s="45"/>
      <c r="B4510" s="35"/>
      <c r="C4510" s="35"/>
      <c r="D4510" s="10"/>
      <c r="E4510" s="35" t="str">
        <f>IFERROR(__xludf.DUMMYFUNCTION("""COMPUTED_VALUE"""),"")</f>
        <v/>
      </c>
      <c r="F4510" s="35" t="str">
        <f>IFERROR(__xludf.DUMMYFUNCTION("""COMPUTED_VALUE"""),"1899")</f>
        <v>1899</v>
      </c>
      <c r="G4510" s="35"/>
      <c r="H4510" s="35" t="str">
        <f>IFERROR(__xludf.DUMMYFUNCTION("""COMPUTED_VALUE"""),"")</f>
        <v/>
      </c>
      <c r="I4510" s="35" t="str">
        <f>IFERROR(__xludf.DUMMYFUNCTION("""COMPUTED_VALUE"""),"")</f>
        <v/>
      </c>
      <c r="J4510" s="35" t="str">
        <f>IFERROR(__xludf.DUMMYFUNCTION("""COMPUTED_VALUE"""),"")</f>
        <v/>
      </c>
      <c r="K4510" s="35"/>
      <c r="L4510" s="35"/>
      <c r="M4510" s="35"/>
      <c r="N4510" s="35"/>
      <c r="O4510" s="35"/>
      <c r="P4510" s="35"/>
      <c r="Q4510" s="35"/>
      <c r="R4510" s="35"/>
      <c r="S4510" s="74"/>
      <c r="T4510" s="35"/>
      <c r="U4510" s="35"/>
      <c r="V4510" s="35"/>
      <c r="W4510" s="45"/>
    </row>
    <row r="4511">
      <c r="A4511" s="45"/>
      <c r="B4511" s="35"/>
      <c r="C4511" s="35"/>
      <c r="D4511" s="10"/>
      <c r="E4511" s="35" t="str">
        <f>IFERROR(__xludf.DUMMYFUNCTION("""COMPUTED_VALUE"""),"")</f>
        <v/>
      </c>
      <c r="F4511" s="35" t="str">
        <f>IFERROR(__xludf.DUMMYFUNCTION("""COMPUTED_VALUE"""),"1899")</f>
        <v>1899</v>
      </c>
      <c r="G4511" s="35"/>
      <c r="H4511" s="35" t="str">
        <f>IFERROR(__xludf.DUMMYFUNCTION("""COMPUTED_VALUE"""),"")</f>
        <v/>
      </c>
      <c r="I4511" s="35" t="str">
        <f>IFERROR(__xludf.DUMMYFUNCTION("""COMPUTED_VALUE"""),"")</f>
        <v/>
      </c>
      <c r="J4511" s="35" t="str">
        <f>IFERROR(__xludf.DUMMYFUNCTION("""COMPUTED_VALUE"""),"")</f>
        <v/>
      </c>
      <c r="K4511" s="35"/>
      <c r="L4511" s="35"/>
      <c r="M4511" s="35"/>
      <c r="N4511" s="35"/>
      <c r="O4511" s="35"/>
      <c r="P4511" s="35"/>
      <c r="Q4511" s="35"/>
      <c r="R4511" s="35"/>
      <c r="S4511" s="74"/>
      <c r="T4511" s="35"/>
      <c r="U4511" s="35"/>
      <c r="V4511" s="35"/>
      <c r="W4511" s="45"/>
    </row>
    <row r="4512">
      <c r="A4512" s="45"/>
      <c r="B4512" s="35"/>
      <c r="C4512" s="35"/>
      <c r="D4512" s="10"/>
      <c r="E4512" s="35" t="str">
        <f>IFERROR(__xludf.DUMMYFUNCTION("""COMPUTED_VALUE"""),"")</f>
        <v/>
      </c>
      <c r="F4512" s="35" t="str">
        <f>IFERROR(__xludf.DUMMYFUNCTION("""COMPUTED_VALUE"""),"1899")</f>
        <v>1899</v>
      </c>
      <c r="G4512" s="35"/>
      <c r="H4512" s="35" t="str">
        <f>IFERROR(__xludf.DUMMYFUNCTION("""COMPUTED_VALUE"""),"")</f>
        <v/>
      </c>
      <c r="I4512" s="35" t="str">
        <f>IFERROR(__xludf.DUMMYFUNCTION("""COMPUTED_VALUE"""),"")</f>
        <v/>
      </c>
      <c r="J4512" s="35" t="str">
        <f>IFERROR(__xludf.DUMMYFUNCTION("""COMPUTED_VALUE"""),"")</f>
        <v/>
      </c>
      <c r="K4512" s="35"/>
      <c r="L4512" s="35"/>
      <c r="M4512" s="35"/>
      <c r="N4512" s="35"/>
      <c r="O4512" s="35"/>
      <c r="P4512" s="35"/>
      <c r="Q4512" s="35"/>
      <c r="R4512" s="35"/>
      <c r="S4512" s="74"/>
      <c r="T4512" s="35"/>
      <c r="U4512" s="35"/>
      <c r="V4512" s="35"/>
      <c r="W4512" s="45"/>
    </row>
    <row r="4513">
      <c r="A4513" s="45"/>
      <c r="B4513" s="35"/>
      <c r="C4513" s="35"/>
      <c r="D4513" s="10"/>
      <c r="E4513" s="35" t="str">
        <f>IFERROR(__xludf.DUMMYFUNCTION("""COMPUTED_VALUE"""),"")</f>
        <v/>
      </c>
      <c r="F4513" s="35" t="str">
        <f>IFERROR(__xludf.DUMMYFUNCTION("""COMPUTED_VALUE"""),"1899")</f>
        <v>1899</v>
      </c>
      <c r="G4513" s="35"/>
      <c r="H4513" s="35" t="str">
        <f>IFERROR(__xludf.DUMMYFUNCTION("""COMPUTED_VALUE"""),"")</f>
        <v/>
      </c>
      <c r="I4513" s="35" t="str">
        <f>IFERROR(__xludf.DUMMYFUNCTION("""COMPUTED_VALUE"""),"")</f>
        <v/>
      </c>
      <c r="J4513" s="35" t="str">
        <f>IFERROR(__xludf.DUMMYFUNCTION("""COMPUTED_VALUE"""),"")</f>
        <v/>
      </c>
      <c r="K4513" s="35"/>
      <c r="L4513" s="35"/>
      <c r="M4513" s="35"/>
      <c r="N4513" s="35"/>
      <c r="O4513" s="35"/>
      <c r="P4513" s="35"/>
      <c r="Q4513" s="35"/>
      <c r="R4513" s="35"/>
      <c r="S4513" s="74"/>
      <c r="T4513" s="35"/>
      <c r="U4513" s="35"/>
      <c r="V4513" s="35"/>
      <c r="W4513" s="45"/>
    </row>
    <row r="4514">
      <c r="A4514" s="45"/>
      <c r="B4514" s="35"/>
      <c r="C4514" s="35"/>
      <c r="D4514" s="10"/>
      <c r="E4514" s="35" t="str">
        <f>IFERROR(__xludf.DUMMYFUNCTION("""COMPUTED_VALUE"""),"")</f>
        <v/>
      </c>
      <c r="F4514" s="35" t="str">
        <f>IFERROR(__xludf.DUMMYFUNCTION("""COMPUTED_VALUE"""),"1899")</f>
        <v>1899</v>
      </c>
      <c r="G4514" s="35"/>
      <c r="H4514" s="35" t="str">
        <f>IFERROR(__xludf.DUMMYFUNCTION("""COMPUTED_VALUE"""),"")</f>
        <v/>
      </c>
      <c r="I4514" s="35" t="str">
        <f>IFERROR(__xludf.DUMMYFUNCTION("""COMPUTED_VALUE"""),"")</f>
        <v/>
      </c>
      <c r="J4514" s="35" t="str">
        <f>IFERROR(__xludf.DUMMYFUNCTION("""COMPUTED_VALUE"""),"")</f>
        <v/>
      </c>
      <c r="K4514" s="35"/>
      <c r="L4514" s="35"/>
      <c r="M4514" s="35"/>
      <c r="N4514" s="35"/>
      <c r="O4514" s="35"/>
      <c r="P4514" s="35"/>
      <c r="Q4514" s="35"/>
      <c r="R4514" s="35"/>
      <c r="S4514" s="74"/>
      <c r="T4514" s="35"/>
      <c r="U4514" s="35"/>
      <c r="V4514" s="35"/>
      <c r="W4514" s="45"/>
    </row>
    <row r="4515">
      <c r="A4515" s="45"/>
      <c r="B4515" s="35"/>
      <c r="C4515" s="35"/>
      <c r="D4515" s="10"/>
      <c r="E4515" s="35" t="str">
        <f>IFERROR(__xludf.DUMMYFUNCTION("""COMPUTED_VALUE"""),"")</f>
        <v/>
      </c>
      <c r="F4515" s="35" t="str">
        <f>IFERROR(__xludf.DUMMYFUNCTION("""COMPUTED_VALUE"""),"1899")</f>
        <v>1899</v>
      </c>
      <c r="G4515" s="35"/>
      <c r="H4515" s="35" t="str">
        <f>IFERROR(__xludf.DUMMYFUNCTION("""COMPUTED_VALUE"""),"")</f>
        <v/>
      </c>
      <c r="I4515" s="35" t="str">
        <f>IFERROR(__xludf.DUMMYFUNCTION("""COMPUTED_VALUE"""),"")</f>
        <v/>
      </c>
      <c r="J4515" s="35" t="str">
        <f>IFERROR(__xludf.DUMMYFUNCTION("""COMPUTED_VALUE"""),"")</f>
        <v/>
      </c>
      <c r="K4515" s="35"/>
      <c r="L4515" s="35"/>
      <c r="M4515" s="35"/>
      <c r="N4515" s="35"/>
      <c r="O4515" s="35"/>
      <c r="P4515" s="35"/>
      <c r="Q4515" s="35"/>
      <c r="R4515" s="35"/>
      <c r="S4515" s="74"/>
      <c r="T4515" s="35"/>
      <c r="U4515" s="35"/>
      <c r="V4515" s="35"/>
      <c r="W4515" s="45"/>
    </row>
    <row r="4516">
      <c r="A4516" s="45"/>
      <c r="B4516" s="35"/>
      <c r="C4516" s="35"/>
      <c r="D4516" s="10"/>
      <c r="E4516" s="35" t="str">
        <f>IFERROR(__xludf.DUMMYFUNCTION("""COMPUTED_VALUE"""),"")</f>
        <v/>
      </c>
      <c r="F4516" s="35" t="str">
        <f>IFERROR(__xludf.DUMMYFUNCTION("""COMPUTED_VALUE"""),"1899")</f>
        <v>1899</v>
      </c>
      <c r="G4516" s="35"/>
      <c r="H4516" s="35" t="str">
        <f>IFERROR(__xludf.DUMMYFUNCTION("""COMPUTED_VALUE"""),"")</f>
        <v/>
      </c>
      <c r="I4516" s="35" t="str">
        <f>IFERROR(__xludf.DUMMYFUNCTION("""COMPUTED_VALUE"""),"")</f>
        <v/>
      </c>
      <c r="J4516" s="35" t="str">
        <f>IFERROR(__xludf.DUMMYFUNCTION("""COMPUTED_VALUE"""),"")</f>
        <v/>
      </c>
      <c r="K4516" s="35"/>
      <c r="L4516" s="35"/>
      <c r="M4516" s="35"/>
      <c r="N4516" s="35"/>
      <c r="O4516" s="35"/>
      <c r="P4516" s="35"/>
      <c r="Q4516" s="35"/>
      <c r="R4516" s="35"/>
      <c r="S4516" s="74"/>
      <c r="T4516" s="35"/>
      <c r="U4516" s="35"/>
      <c r="V4516" s="35"/>
      <c r="W4516" s="45"/>
    </row>
    <row r="4517">
      <c r="A4517" s="45"/>
      <c r="B4517" s="35"/>
      <c r="C4517" s="35"/>
      <c r="D4517" s="10"/>
      <c r="E4517" s="35" t="str">
        <f>IFERROR(__xludf.DUMMYFUNCTION("""COMPUTED_VALUE"""),"")</f>
        <v/>
      </c>
      <c r="F4517" s="35" t="str">
        <f>IFERROR(__xludf.DUMMYFUNCTION("""COMPUTED_VALUE"""),"1899")</f>
        <v>1899</v>
      </c>
      <c r="G4517" s="35"/>
      <c r="H4517" s="35" t="str">
        <f>IFERROR(__xludf.DUMMYFUNCTION("""COMPUTED_VALUE"""),"")</f>
        <v/>
      </c>
      <c r="I4517" s="35" t="str">
        <f>IFERROR(__xludf.DUMMYFUNCTION("""COMPUTED_VALUE"""),"")</f>
        <v/>
      </c>
      <c r="J4517" s="35" t="str">
        <f>IFERROR(__xludf.DUMMYFUNCTION("""COMPUTED_VALUE"""),"")</f>
        <v/>
      </c>
      <c r="K4517" s="35"/>
      <c r="L4517" s="35"/>
      <c r="M4517" s="35"/>
      <c r="N4517" s="35"/>
      <c r="O4517" s="35"/>
      <c r="P4517" s="35"/>
      <c r="Q4517" s="35"/>
      <c r="R4517" s="35"/>
      <c r="S4517" s="74"/>
      <c r="T4517" s="35"/>
      <c r="U4517" s="35"/>
      <c r="V4517" s="35"/>
      <c r="W4517" s="45"/>
    </row>
    <row r="4518">
      <c r="A4518" s="45"/>
      <c r="B4518" s="35"/>
      <c r="C4518" s="35"/>
      <c r="D4518" s="10"/>
      <c r="E4518" s="35" t="str">
        <f>IFERROR(__xludf.DUMMYFUNCTION("""COMPUTED_VALUE"""),"")</f>
        <v/>
      </c>
      <c r="F4518" s="35" t="str">
        <f>IFERROR(__xludf.DUMMYFUNCTION("""COMPUTED_VALUE"""),"1899")</f>
        <v>1899</v>
      </c>
      <c r="G4518" s="35"/>
      <c r="H4518" s="35" t="str">
        <f>IFERROR(__xludf.DUMMYFUNCTION("""COMPUTED_VALUE"""),"")</f>
        <v/>
      </c>
      <c r="I4518" s="35" t="str">
        <f>IFERROR(__xludf.DUMMYFUNCTION("""COMPUTED_VALUE"""),"")</f>
        <v/>
      </c>
      <c r="J4518" s="35" t="str">
        <f>IFERROR(__xludf.DUMMYFUNCTION("""COMPUTED_VALUE"""),"")</f>
        <v/>
      </c>
      <c r="K4518" s="35"/>
      <c r="L4518" s="35"/>
      <c r="M4518" s="35"/>
      <c r="N4518" s="35"/>
      <c r="O4518" s="35"/>
      <c r="P4518" s="35"/>
      <c r="Q4518" s="35"/>
      <c r="R4518" s="35"/>
      <c r="S4518" s="74"/>
      <c r="T4518" s="35"/>
      <c r="U4518" s="35"/>
      <c r="V4518" s="35"/>
      <c r="W4518" s="45"/>
    </row>
    <row r="4519">
      <c r="A4519" s="45"/>
      <c r="B4519" s="35"/>
      <c r="C4519" s="35"/>
      <c r="D4519" s="10"/>
      <c r="E4519" s="35" t="str">
        <f>IFERROR(__xludf.DUMMYFUNCTION("""COMPUTED_VALUE"""),"")</f>
        <v/>
      </c>
      <c r="F4519" s="35" t="str">
        <f>IFERROR(__xludf.DUMMYFUNCTION("""COMPUTED_VALUE"""),"1899")</f>
        <v>1899</v>
      </c>
      <c r="G4519" s="35"/>
      <c r="H4519" s="35" t="str">
        <f>IFERROR(__xludf.DUMMYFUNCTION("""COMPUTED_VALUE"""),"")</f>
        <v/>
      </c>
      <c r="I4519" s="35" t="str">
        <f>IFERROR(__xludf.DUMMYFUNCTION("""COMPUTED_VALUE"""),"")</f>
        <v/>
      </c>
      <c r="J4519" s="35" t="str">
        <f>IFERROR(__xludf.DUMMYFUNCTION("""COMPUTED_VALUE"""),"")</f>
        <v/>
      </c>
      <c r="K4519" s="35"/>
      <c r="L4519" s="35"/>
      <c r="M4519" s="35"/>
      <c r="N4519" s="35"/>
      <c r="O4519" s="35"/>
      <c r="P4519" s="35"/>
      <c r="Q4519" s="35"/>
      <c r="R4519" s="35"/>
      <c r="S4519" s="74"/>
      <c r="T4519" s="35"/>
      <c r="U4519" s="35"/>
      <c r="V4519" s="35"/>
      <c r="W4519" s="45"/>
    </row>
    <row r="4520">
      <c r="A4520" s="45"/>
      <c r="B4520" s="35"/>
      <c r="C4520" s="35"/>
      <c r="D4520" s="10"/>
      <c r="E4520" s="35" t="str">
        <f>IFERROR(__xludf.DUMMYFUNCTION("""COMPUTED_VALUE"""),"")</f>
        <v/>
      </c>
      <c r="F4520" s="35" t="str">
        <f>IFERROR(__xludf.DUMMYFUNCTION("""COMPUTED_VALUE"""),"1899")</f>
        <v>1899</v>
      </c>
      <c r="G4520" s="35"/>
      <c r="H4520" s="35" t="str">
        <f>IFERROR(__xludf.DUMMYFUNCTION("""COMPUTED_VALUE"""),"")</f>
        <v/>
      </c>
      <c r="I4520" s="35" t="str">
        <f>IFERROR(__xludf.DUMMYFUNCTION("""COMPUTED_VALUE"""),"")</f>
        <v/>
      </c>
      <c r="J4520" s="35" t="str">
        <f>IFERROR(__xludf.DUMMYFUNCTION("""COMPUTED_VALUE"""),"")</f>
        <v/>
      </c>
      <c r="K4520" s="35"/>
      <c r="L4520" s="35"/>
      <c r="M4520" s="35"/>
      <c r="N4520" s="35"/>
      <c r="O4520" s="35"/>
      <c r="P4520" s="35"/>
      <c r="Q4520" s="35"/>
      <c r="R4520" s="35"/>
      <c r="S4520" s="74"/>
      <c r="T4520" s="35"/>
      <c r="U4520" s="35"/>
      <c r="V4520" s="35"/>
      <c r="W4520" s="45"/>
    </row>
    <row r="4521">
      <c r="A4521" s="45"/>
      <c r="B4521" s="35"/>
      <c r="C4521" s="35"/>
      <c r="D4521" s="10"/>
      <c r="E4521" s="35" t="str">
        <f>IFERROR(__xludf.DUMMYFUNCTION("""COMPUTED_VALUE"""),"")</f>
        <v/>
      </c>
      <c r="F4521" s="35" t="str">
        <f>IFERROR(__xludf.DUMMYFUNCTION("""COMPUTED_VALUE"""),"1899")</f>
        <v>1899</v>
      </c>
      <c r="G4521" s="35"/>
      <c r="H4521" s="35" t="str">
        <f>IFERROR(__xludf.DUMMYFUNCTION("""COMPUTED_VALUE"""),"")</f>
        <v/>
      </c>
      <c r="I4521" s="35" t="str">
        <f>IFERROR(__xludf.DUMMYFUNCTION("""COMPUTED_VALUE"""),"")</f>
        <v/>
      </c>
      <c r="J4521" s="35" t="str">
        <f>IFERROR(__xludf.DUMMYFUNCTION("""COMPUTED_VALUE"""),"")</f>
        <v/>
      </c>
      <c r="K4521" s="35"/>
      <c r="L4521" s="35"/>
      <c r="M4521" s="35"/>
      <c r="N4521" s="35"/>
      <c r="O4521" s="35"/>
      <c r="P4521" s="35"/>
      <c r="Q4521" s="35"/>
      <c r="R4521" s="35"/>
      <c r="S4521" s="74"/>
      <c r="T4521" s="35"/>
      <c r="U4521" s="35"/>
      <c r="V4521" s="35"/>
      <c r="W4521" s="45"/>
    </row>
    <row r="4522">
      <c r="A4522" s="45"/>
      <c r="B4522" s="35"/>
      <c r="C4522" s="35"/>
      <c r="D4522" s="10"/>
      <c r="E4522" s="35" t="str">
        <f>IFERROR(__xludf.DUMMYFUNCTION("""COMPUTED_VALUE"""),"")</f>
        <v/>
      </c>
      <c r="F4522" s="35" t="str">
        <f>IFERROR(__xludf.DUMMYFUNCTION("""COMPUTED_VALUE"""),"1899")</f>
        <v>1899</v>
      </c>
      <c r="G4522" s="35"/>
      <c r="H4522" s="35" t="str">
        <f>IFERROR(__xludf.DUMMYFUNCTION("""COMPUTED_VALUE"""),"")</f>
        <v/>
      </c>
      <c r="I4522" s="35" t="str">
        <f>IFERROR(__xludf.DUMMYFUNCTION("""COMPUTED_VALUE"""),"")</f>
        <v/>
      </c>
      <c r="J4522" s="35" t="str">
        <f>IFERROR(__xludf.DUMMYFUNCTION("""COMPUTED_VALUE"""),"")</f>
        <v/>
      </c>
      <c r="K4522" s="35"/>
      <c r="L4522" s="35"/>
      <c r="M4522" s="35"/>
      <c r="N4522" s="35"/>
      <c r="O4522" s="35"/>
      <c r="P4522" s="35"/>
      <c r="Q4522" s="35"/>
      <c r="R4522" s="35"/>
      <c r="S4522" s="74"/>
      <c r="T4522" s="35"/>
      <c r="U4522" s="35"/>
      <c r="V4522" s="35"/>
      <c r="W4522" s="45"/>
    </row>
    <row r="4523">
      <c r="A4523" s="45"/>
      <c r="B4523" s="35"/>
      <c r="C4523" s="35"/>
      <c r="D4523" s="10"/>
      <c r="E4523" s="35" t="str">
        <f>IFERROR(__xludf.DUMMYFUNCTION("""COMPUTED_VALUE"""),"")</f>
        <v/>
      </c>
      <c r="F4523" s="35" t="str">
        <f>IFERROR(__xludf.DUMMYFUNCTION("""COMPUTED_VALUE"""),"1899")</f>
        <v>1899</v>
      </c>
      <c r="G4523" s="35"/>
      <c r="H4523" s="35" t="str">
        <f>IFERROR(__xludf.DUMMYFUNCTION("""COMPUTED_VALUE"""),"")</f>
        <v/>
      </c>
      <c r="I4523" s="35" t="str">
        <f>IFERROR(__xludf.DUMMYFUNCTION("""COMPUTED_VALUE"""),"")</f>
        <v/>
      </c>
      <c r="J4523" s="35" t="str">
        <f>IFERROR(__xludf.DUMMYFUNCTION("""COMPUTED_VALUE"""),"")</f>
        <v/>
      </c>
      <c r="K4523" s="35"/>
      <c r="L4523" s="35"/>
      <c r="M4523" s="35"/>
      <c r="N4523" s="35"/>
      <c r="O4523" s="35"/>
      <c r="P4523" s="35"/>
      <c r="Q4523" s="35"/>
      <c r="R4523" s="35"/>
      <c r="S4523" s="74"/>
      <c r="T4523" s="35"/>
      <c r="U4523" s="35"/>
      <c r="V4523" s="35"/>
      <c r="W4523" s="45"/>
    </row>
    <row r="4524">
      <c r="A4524" s="45"/>
      <c r="B4524" s="35"/>
      <c r="C4524" s="35"/>
      <c r="D4524" s="10"/>
      <c r="E4524" s="35" t="str">
        <f>IFERROR(__xludf.DUMMYFUNCTION("""COMPUTED_VALUE"""),"")</f>
        <v/>
      </c>
      <c r="F4524" s="35" t="str">
        <f>IFERROR(__xludf.DUMMYFUNCTION("""COMPUTED_VALUE"""),"1899")</f>
        <v>1899</v>
      </c>
      <c r="G4524" s="35"/>
      <c r="H4524" s="35" t="str">
        <f>IFERROR(__xludf.DUMMYFUNCTION("""COMPUTED_VALUE"""),"")</f>
        <v/>
      </c>
      <c r="I4524" s="35" t="str">
        <f>IFERROR(__xludf.DUMMYFUNCTION("""COMPUTED_VALUE"""),"")</f>
        <v/>
      </c>
      <c r="J4524" s="35" t="str">
        <f>IFERROR(__xludf.DUMMYFUNCTION("""COMPUTED_VALUE"""),"")</f>
        <v/>
      </c>
      <c r="K4524" s="35"/>
      <c r="L4524" s="35"/>
      <c r="M4524" s="35"/>
      <c r="N4524" s="35"/>
      <c r="O4524" s="35"/>
      <c r="P4524" s="35"/>
      <c r="Q4524" s="35"/>
      <c r="R4524" s="35"/>
      <c r="S4524" s="74"/>
      <c r="T4524" s="35"/>
      <c r="U4524" s="35"/>
      <c r="V4524" s="35"/>
      <c r="W4524" s="45"/>
    </row>
    <row r="4525">
      <c r="A4525" s="45"/>
      <c r="B4525" s="35"/>
      <c r="C4525" s="35"/>
      <c r="D4525" s="10"/>
      <c r="E4525" s="35" t="str">
        <f>IFERROR(__xludf.DUMMYFUNCTION("""COMPUTED_VALUE"""),"")</f>
        <v/>
      </c>
      <c r="F4525" s="35" t="str">
        <f>IFERROR(__xludf.DUMMYFUNCTION("""COMPUTED_VALUE"""),"1899")</f>
        <v>1899</v>
      </c>
      <c r="G4525" s="35"/>
      <c r="H4525" s="35" t="str">
        <f>IFERROR(__xludf.DUMMYFUNCTION("""COMPUTED_VALUE"""),"")</f>
        <v/>
      </c>
      <c r="I4525" s="35" t="str">
        <f>IFERROR(__xludf.DUMMYFUNCTION("""COMPUTED_VALUE"""),"")</f>
        <v/>
      </c>
      <c r="J4525" s="35" t="str">
        <f>IFERROR(__xludf.DUMMYFUNCTION("""COMPUTED_VALUE"""),"")</f>
        <v/>
      </c>
      <c r="K4525" s="35"/>
      <c r="L4525" s="35"/>
      <c r="M4525" s="35"/>
      <c r="N4525" s="35"/>
      <c r="O4525" s="35"/>
      <c r="P4525" s="35"/>
      <c r="Q4525" s="35"/>
      <c r="R4525" s="35"/>
      <c r="S4525" s="74"/>
      <c r="T4525" s="35"/>
      <c r="U4525" s="35"/>
      <c r="V4525" s="35"/>
      <c r="W4525" s="45"/>
    </row>
    <row r="4526">
      <c r="A4526" s="45"/>
      <c r="B4526" s="35"/>
      <c r="C4526" s="35"/>
      <c r="D4526" s="10"/>
      <c r="E4526" s="35" t="str">
        <f>IFERROR(__xludf.DUMMYFUNCTION("""COMPUTED_VALUE"""),"")</f>
        <v/>
      </c>
      <c r="F4526" s="35" t="str">
        <f>IFERROR(__xludf.DUMMYFUNCTION("""COMPUTED_VALUE"""),"1899")</f>
        <v>1899</v>
      </c>
      <c r="G4526" s="35"/>
      <c r="H4526" s="35" t="str">
        <f>IFERROR(__xludf.DUMMYFUNCTION("""COMPUTED_VALUE"""),"")</f>
        <v/>
      </c>
      <c r="I4526" s="35" t="str">
        <f>IFERROR(__xludf.DUMMYFUNCTION("""COMPUTED_VALUE"""),"")</f>
        <v/>
      </c>
      <c r="J4526" s="35" t="str">
        <f>IFERROR(__xludf.DUMMYFUNCTION("""COMPUTED_VALUE"""),"")</f>
        <v/>
      </c>
      <c r="K4526" s="35"/>
      <c r="L4526" s="35"/>
      <c r="M4526" s="35"/>
      <c r="N4526" s="35"/>
      <c r="O4526" s="35"/>
      <c r="P4526" s="35"/>
      <c r="Q4526" s="35"/>
      <c r="R4526" s="35"/>
      <c r="S4526" s="74"/>
      <c r="T4526" s="35"/>
      <c r="U4526" s="35"/>
      <c r="V4526" s="35"/>
      <c r="W4526" s="45"/>
    </row>
    <row r="4527">
      <c r="A4527" s="45"/>
      <c r="B4527" s="35"/>
      <c r="C4527" s="35"/>
      <c r="D4527" s="10"/>
      <c r="E4527" s="35" t="str">
        <f>IFERROR(__xludf.DUMMYFUNCTION("""COMPUTED_VALUE"""),"")</f>
        <v/>
      </c>
      <c r="F4527" s="35" t="str">
        <f>IFERROR(__xludf.DUMMYFUNCTION("""COMPUTED_VALUE"""),"1899")</f>
        <v>1899</v>
      </c>
      <c r="G4527" s="35"/>
      <c r="H4527" s="35" t="str">
        <f>IFERROR(__xludf.DUMMYFUNCTION("""COMPUTED_VALUE"""),"")</f>
        <v/>
      </c>
      <c r="I4527" s="35" t="str">
        <f>IFERROR(__xludf.DUMMYFUNCTION("""COMPUTED_VALUE"""),"")</f>
        <v/>
      </c>
      <c r="J4527" s="35" t="str">
        <f>IFERROR(__xludf.DUMMYFUNCTION("""COMPUTED_VALUE"""),"")</f>
        <v/>
      </c>
      <c r="K4527" s="35"/>
      <c r="L4527" s="35"/>
      <c r="M4527" s="35"/>
      <c r="N4527" s="35"/>
      <c r="O4527" s="35"/>
      <c r="P4527" s="35"/>
      <c r="Q4527" s="35"/>
      <c r="R4527" s="35"/>
      <c r="S4527" s="74"/>
      <c r="T4527" s="35"/>
      <c r="U4527" s="35"/>
      <c r="V4527" s="35"/>
      <c r="W4527" s="45"/>
    </row>
    <row r="4528">
      <c r="A4528" s="45"/>
      <c r="B4528" s="35"/>
      <c r="C4528" s="35"/>
      <c r="D4528" s="10"/>
      <c r="E4528" s="35" t="str">
        <f>IFERROR(__xludf.DUMMYFUNCTION("""COMPUTED_VALUE"""),"")</f>
        <v/>
      </c>
      <c r="F4528" s="35" t="str">
        <f>IFERROR(__xludf.DUMMYFUNCTION("""COMPUTED_VALUE"""),"1899")</f>
        <v>1899</v>
      </c>
      <c r="G4528" s="35"/>
      <c r="H4528" s="35" t="str">
        <f>IFERROR(__xludf.DUMMYFUNCTION("""COMPUTED_VALUE"""),"")</f>
        <v/>
      </c>
      <c r="I4528" s="35" t="str">
        <f>IFERROR(__xludf.DUMMYFUNCTION("""COMPUTED_VALUE"""),"")</f>
        <v/>
      </c>
      <c r="J4528" s="35" t="str">
        <f>IFERROR(__xludf.DUMMYFUNCTION("""COMPUTED_VALUE"""),"")</f>
        <v/>
      </c>
      <c r="K4528" s="35"/>
      <c r="L4528" s="35"/>
      <c r="M4528" s="35"/>
      <c r="N4528" s="35"/>
      <c r="O4528" s="35"/>
      <c r="P4528" s="35"/>
      <c r="Q4528" s="35"/>
      <c r="R4528" s="35"/>
      <c r="S4528" s="74"/>
      <c r="T4528" s="35"/>
      <c r="U4528" s="35"/>
      <c r="V4528" s="35"/>
      <c r="W4528" s="45"/>
    </row>
    <row r="4529">
      <c r="A4529" s="45"/>
      <c r="B4529" s="35"/>
      <c r="C4529" s="35"/>
      <c r="D4529" s="10"/>
      <c r="E4529" s="35" t="str">
        <f>IFERROR(__xludf.DUMMYFUNCTION("""COMPUTED_VALUE"""),"")</f>
        <v/>
      </c>
      <c r="F4529" s="35" t="str">
        <f>IFERROR(__xludf.DUMMYFUNCTION("""COMPUTED_VALUE"""),"1899")</f>
        <v>1899</v>
      </c>
      <c r="G4529" s="35"/>
      <c r="H4529" s="35" t="str">
        <f>IFERROR(__xludf.DUMMYFUNCTION("""COMPUTED_VALUE"""),"")</f>
        <v/>
      </c>
      <c r="I4529" s="35" t="str">
        <f>IFERROR(__xludf.DUMMYFUNCTION("""COMPUTED_VALUE"""),"")</f>
        <v/>
      </c>
      <c r="J4529" s="35" t="str">
        <f>IFERROR(__xludf.DUMMYFUNCTION("""COMPUTED_VALUE"""),"")</f>
        <v/>
      </c>
      <c r="K4529" s="35"/>
      <c r="L4529" s="35"/>
      <c r="M4529" s="35"/>
      <c r="N4529" s="35"/>
      <c r="O4529" s="35"/>
      <c r="P4529" s="35"/>
      <c r="Q4529" s="35"/>
      <c r="R4529" s="35"/>
      <c r="S4529" s="74"/>
      <c r="T4529" s="35"/>
      <c r="U4529" s="35"/>
      <c r="V4529" s="35"/>
      <c r="W4529" s="45"/>
    </row>
    <row r="4530">
      <c r="A4530" s="45"/>
      <c r="B4530" s="35"/>
      <c r="C4530" s="35"/>
      <c r="D4530" s="10"/>
      <c r="E4530" s="35" t="str">
        <f>IFERROR(__xludf.DUMMYFUNCTION("""COMPUTED_VALUE"""),"")</f>
        <v/>
      </c>
      <c r="F4530" s="35" t="str">
        <f>IFERROR(__xludf.DUMMYFUNCTION("""COMPUTED_VALUE"""),"1899")</f>
        <v>1899</v>
      </c>
      <c r="G4530" s="35"/>
      <c r="H4530" s="35" t="str">
        <f>IFERROR(__xludf.DUMMYFUNCTION("""COMPUTED_VALUE"""),"")</f>
        <v/>
      </c>
      <c r="I4530" s="35" t="str">
        <f>IFERROR(__xludf.DUMMYFUNCTION("""COMPUTED_VALUE"""),"")</f>
        <v/>
      </c>
      <c r="J4530" s="35" t="str">
        <f>IFERROR(__xludf.DUMMYFUNCTION("""COMPUTED_VALUE"""),"")</f>
        <v/>
      </c>
      <c r="K4530" s="35"/>
      <c r="L4530" s="35"/>
      <c r="M4530" s="35"/>
      <c r="N4530" s="35"/>
      <c r="O4530" s="35"/>
      <c r="P4530" s="35"/>
      <c r="Q4530" s="35"/>
      <c r="R4530" s="35"/>
      <c r="S4530" s="74"/>
      <c r="T4530" s="35"/>
      <c r="U4530" s="35"/>
      <c r="V4530" s="35"/>
      <c r="W4530" s="45"/>
    </row>
    <row r="4531">
      <c r="A4531" s="45"/>
      <c r="B4531" s="35"/>
      <c r="C4531" s="35"/>
      <c r="D4531" s="10"/>
      <c r="E4531" s="35" t="str">
        <f>IFERROR(__xludf.DUMMYFUNCTION("""COMPUTED_VALUE"""),"")</f>
        <v/>
      </c>
      <c r="F4531" s="35" t="str">
        <f>IFERROR(__xludf.DUMMYFUNCTION("""COMPUTED_VALUE"""),"1899")</f>
        <v>1899</v>
      </c>
      <c r="G4531" s="35"/>
      <c r="H4531" s="35" t="str">
        <f>IFERROR(__xludf.DUMMYFUNCTION("""COMPUTED_VALUE"""),"")</f>
        <v/>
      </c>
      <c r="I4531" s="35" t="str">
        <f>IFERROR(__xludf.DUMMYFUNCTION("""COMPUTED_VALUE"""),"")</f>
        <v/>
      </c>
      <c r="J4531" s="35" t="str">
        <f>IFERROR(__xludf.DUMMYFUNCTION("""COMPUTED_VALUE"""),"")</f>
        <v/>
      </c>
      <c r="K4531" s="35"/>
      <c r="L4531" s="35"/>
      <c r="M4531" s="35"/>
      <c r="N4531" s="35"/>
      <c r="O4531" s="35"/>
      <c r="P4531" s="35"/>
      <c r="Q4531" s="35"/>
      <c r="R4531" s="35"/>
      <c r="S4531" s="74"/>
      <c r="T4531" s="35"/>
      <c r="U4531" s="35"/>
      <c r="V4531" s="35"/>
      <c r="W4531" s="45"/>
    </row>
    <row r="4532">
      <c r="A4532" s="45"/>
      <c r="B4532" s="35"/>
      <c r="C4532" s="35"/>
      <c r="D4532" s="10"/>
      <c r="E4532" s="35" t="str">
        <f>IFERROR(__xludf.DUMMYFUNCTION("""COMPUTED_VALUE"""),"")</f>
        <v/>
      </c>
      <c r="F4532" s="35" t="str">
        <f>IFERROR(__xludf.DUMMYFUNCTION("""COMPUTED_VALUE"""),"1899")</f>
        <v>1899</v>
      </c>
      <c r="G4532" s="35"/>
      <c r="H4532" s="35" t="str">
        <f>IFERROR(__xludf.DUMMYFUNCTION("""COMPUTED_VALUE"""),"")</f>
        <v/>
      </c>
      <c r="I4532" s="35" t="str">
        <f>IFERROR(__xludf.DUMMYFUNCTION("""COMPUTED_VALUE"""),"")</f>
        <v/>
      </c>
      <c r="J4532" s="35" t="str">
        <f>IFERROR(__xludf.DUMMYFUNCTION("""COMPUTED_VALUE"""),"")</f>
        <v/>
      </c>
      <c r="K4532" s="35"/>
      <c r="L4532" s="35"/>
      <c r="M4532" s="35"/>
      <c r="N4532" s="35"/>
      <c r="O4532" s="35"/>
      <c r="P4532" s="35"/>
      <c r="Q4532" s="35"/>
      <c r="R4532" s="35"/>
      <c r="S4532" s="74"/>
      <c r="T4532" s="35"/>
      <c r="U4532" s="35"/>
      <c r="V4532" s="35"/>
      <c r="W4532" s="45"/>
    </row>
    <row r="4533">
      <c r="A4533" s="45"/>
      <c r="B4533" s="35"/>
      <c r="C4533" s="35"/>
      <c r="D4533" s="10"/>
      <c r="E4533" s="35" t="str">
        <f>IFERROR(__xludf.DUMMYFUNCTION("""COMPUTED_VALUE"""),"")</f>
        <v/>
      </c>
      <c r="F4533" s="35" t="str">
        <f>IFERROR(__xludf.DUMMYFUNCTION("""COMPUTED_VALUE"""),"1899")</f>
        <v>1899</v>
      </c>
      <c r="G4533" s="35"/>
      <c r="H4533" s="35" t="str">
        <f>IFERROR(__xludf.DUMMYFUNCTION("""COMPUTED_VALUE"""),"")</f>
        <v/>
      </c>
      <c r="I4533" s="35" t="str">
        <f>IFERROR(__xludf.DUMMYFUNCTION("""COMPUTED_VALUE"""),"")</f>
        <v/>
      </c>
      <c r="J4533" s="35" t="str">
        <f>IFERROR(__xludf.DUMMYFUNCTION("""COMPUTED_VALUE"""),"")</f>
        <v/>
      </c>
      <c r="K4533" s="35"/>
      <c r="L4533" s="35"/>
      <c r="M4533" s="35"/>
      <c r="N4533" s="35"/>
      <c r="O4533" s="35"/>
      <c r="P4533" s="35"/>
      <c r="Q4533" s="35"/>
      <c r="R4533" s="35"/>
      <c r="S4533" s="74"/>
      <c r="T4533" s="35"/>
      <c r="U4533" s="35"/>
      <c r="V4533" s="35"/>
      <c r="W4533" s="45"/>
    </row>
    <row r="4534">
      <c r="A4534" s="45"/>
      <c r="B4534" s="35"/>
      <c r="C4534" s="35"/>
      <c r="D4534" s="10"/>
      <c r="E4534" s="35" t="str">
        <f>IFERROR(__xludf.DUMMYFUNCTION("""COMPUTED_VALUE"""),"")</f>
        <v/>
      </c>
      <c r="F4534" s="35" t="str">
        <f>IFERROR(__xludf.DUMMYFUNCTION("""COMPUTED_VALUE"""),"1899")</f>
        <v>1899</v>
      </c>
      <c r="G4534" s="35"/>
      <c r="H4534" s="35" t="str">
        <f>IFERROR(__xludf.DUMMYFUNCTION("""COMPUTED_VALUE"""),"")</f>
        <v/>
      </c>
      <c r="I4534" s="35" t="str">
        <f>IFERROR(__xludf.DUMMYFUNCTION("""COMPUTED_VALUE"""),"")</f>
        <v/>
      </c>
      <c r="J4534" s="35" t="str">
        <f>IFERROR(__xludf.DUMMYFUNCTION("""COMPUTED_VALUE"""),"")</f>
        <v/>
      </c>
      <c r="K4534" s="35"/>
      <c r="L4534" s="35"/>
      <c r="M4534" s="35"/>
      <c r="N4534" s="35"/>
      <c r="O4534" s="35"/>
      <c r="P4534" s="35"/>
      <c r="Q4534" s="35"/>
      <c r="R4534" s="35"/>
      <c r="S4534" s="74"/>
      <c r="T4534" s="35"/>
      <c r="U4534" s="35"/>
      <c r="V4534" s="35"/>
      <c r="W4534" s="45"/>
    </row>
    <row r="4535">
      <c r="A4535" s="45"/>
      <c r="B4535" s="35"/>
      <c r="C4535" s="35"/>
      <c r="D4535" s="10"/>
      <c r="E4535" s="35" t="str">
        <f>IFERROR(__xludf.DUMMYFUNCTION("""COMPUTED_VALUE"""),"")</f>
        <v/>
      </c>
      <c r="F4535" s="35" t="str">
        <f>IFERROR(__xludf.DUMMYFUNCTION("""COMPUTED_VALUE"""),"1899")</f>
        <v>1899</v>
      </c>
      <c r="G4535" s="35"/>
      <c r="H4535" s="35" t="str">
        <f>IFERROR(__xludf.DUMMYFUNCTION("""COMPUTED_VALUE"""),"")</f>
        <v/>
      </c>
      <c r="I4535" s="35" t="str">
        <f>IFERROR(__xludf.DUMMYFUNCTION("""COMPUTED_VALUE"""),"")</f>
        <v/>
      </c>
      <c r="J4535" s="35" t="str">
        <f>IFERROR(__xludf.DUMMYFUNCTION("""COMPUTED_VALUE"""),"")</f>
        <v/>
      </c>
      <c r="K4535" s="35"/>
      <c r="L4535" s="35"/>
      <c r="M4535" s="35"/>
      <c r="N4535" s="35"/>
      <c r="O4535" s="35"/>
      <c r="P4535" s="35"/>
      <c r="Q4535" s="35"/>
      <c r="R4535" s="35"/>
      <c r="S4535" s="74"/>
      <c r="T4535" s="35"/>
      <c r="U4535" s="35"/>
      <c r="V4535" s="35"/>
      <c r="W4535" s="45"/>
    </row>
    <row r="4536">
      <c r="A4536" s="45"/>
      <c r="B4536" s="35"/>
      <c r="C4536" s="35"/>
      <c r="D4536" s="10"/>
      <c r="E4536" s="35" t="str">
        <f>IFERROR(__xludf.DUMMYFUNCTION("""COMPUTED_VALUE"""),"")</f>
        <v/>
      </c>
      <c r="F4536" s="35" t="str">
        <f>IFERROR(__xludf.DUMMYFUNCTION("""COMPUTED_VALUE"""),"1899")</f>
        <v>1899</v>
      </c>
      <c r="G4536" s="35"/>
      <c r="H4536" s="35" t="str">
        <f>IFERROR(__xludf.DUMMYFUNCTION("""COMPUTED_VALUE"""),"")</f>
        <v/>
      </c>
      <c r="I4536" s="35" t="str">
        <f>IFERROR(__xludf.DUMMYFUNCTION("""COMPUTED_VALUE"""),"")</f>
        <v/>
      </c>
      <c r="J4536" s="35" t="str">
        <f>IFERROR(__xludf.DUMMYFUNCTION("""COMPUTED_VALUE"""),"")</f>
        <v/>
      </c>
      <c r="K4536" s="35"/>
      <c r="L4536" s="35"/>
      <c r="M4536" s="35"/>
      <c r="N4536" s="35"/>
      <c r="O4536" s="35"/>
      <c r="P4536" s="35"/>
      <c r="Q4536" s="35"/>
      <c r="R4536" s="35"/>
      <c r="S4536" s="74"/>
      <c r="T4536" s="35"/>
      <c r="U4536" s="35"/>
      <c r="V4536" s="35"/>
      <c r="W4536" s="45"/>
    </row>
    <row r="4537">
      <c r="A4537" s="45"/>
      <c r="B4537" s="35"/>
      <c r="C4537" s="35"/>
      <c r="D4537" s="10"/>
      <c r="E4537" s="35" t="str">
        <f>IFERROR(__xludf.DUMMYFUNCTION("""COMPUTED_VALUE"""),"")</f>
        <v/>
      </c>
      <c r="F4537" s="35" t="str">
        <f>IFERROR(__xludf.DUMMYFUNCTION("""COMPUTED_VALUE"""),"1899")</f>
        <v>1899</v>
      </c>
      <c r="G4537" s="35"/>
      <c r="H4537" s="35" t="str">
        <f>IFERROR(__xludf.DUMMYFUNCTION("""COMPUTED_VALUE"""),"")</f>
        <v/>
      </c>
      <c r="I4537" s="35" t="str">
        <f>IFERROR(__xludf.DUMMYFUNCTION("""COMPUTED_VALUE"""),"")</f>
        <v/>
      </c>
      <c r="J4537" s="35" t="str">
        <f>IFERROR(__xludf.DUMMYFUNCTION("""COMPUTED_VALUE"""),"")</f>
        <v/>
      </c>
      <c r="K4537" s="35"/>
      <c r="L4537" s="35"/>
      <c r="M4537" s="35"/>
      <c r="N4537" s="35"/>
      <c r="O4537" s="35"/>
      <c r="P4537" s="35"/>
      <c r="Q4537" s="35"/>
      <c r="R4537" s="35"/>
      <c r="S4537" s="74"/>
      <c r="T4537" s="35"/>
      <c r="U4537" s="35"/>
      <c r="V4537" s="35"/>
      <c r="W4537" s="45"/>
    </row>
    <row r="4538">
      <c r="A4538" s="45"/>
      <c r="B4538" s="35"/>
      <c r="C4538" s="35"/>
      <c r="D4538" s="10"/>
      <c r="E4538" s="35" t="str">
        <f>IFERROR(__xludf.DUMMYFUNCTION("""COMPUTED_VALUE"""),"")</f>
        <v/>
      </c>
      <c r="F4538" s="35" t="str">
        <f>IFERROR(__xludf.DUMMYFUNCTION("""COMPUTED_VALUE"""),"1899")</f>
        <v>1899</v>
      </c>
      <c r="G4538" s="35"/>
      <c r="H4538" s="35" t="str">
        <f>IFERROR(__xludf.DUMMYFUNCTION("""COMPUTED_VALUE"""),"")</f>
        <v/>
      </c>
      <c r="I4538" s="35" t="str">
        <f>IFERROR(__xludf.DUMMYFUNCTION("""COMPUTED_VALUE"""),"")</f>
        <v/>
      </c>
      <c r="J4538" s="35" t="str">
        <f>IFERROR(__xludf.DUMMYFUNCTION("""COMPUTED_VALUE"""),"")</f>
        <v/>
      </c>
      <c r="K4538" s="35"/>
      <c r="L4538" s="35"/>
      <c r="M4538" s="35"/>
      <c r="N4538" s="35"/>
      <c r="O4538" s="35"/>
      <c r="P4538" s="35"/>
      <c r="Q4538" s="35"/>
      <c r="R4538" s="35"/>
      <c r="S4538" s="74"/>
      <c r="T4538" s="35"/>
      <c r="U4538" s="35"/>
      <c r="V4538" s="35"/>
      <c r="W4538" s="45"/>
    </row>
    <row r="4539">
      <c r="A4539" s="45"/>
      <c r="B4539" s="35"/>
      <c r="C4539" s="35"/>
      <c r="D4539" s="10"/>
      <c r="E4539" s="35" t="str">
        <f>IFERROR(__xludf.DUMMYFUNCTION("""COMPUTED_VALUE"""),"")</f>
        <v/>
      </c>
      <c r="F4539" s="35" t="str">
        <f>IFERROR(__xludf.DUMMYFUNCTION("""COMPUTED_VALUE"""),"1899")</f>
        <v>1899</v>
      </c>
      <c r="G4539" s="35"/>
      <c r="H4539" s="35" t="str">
        <f>IFERROR(__xludf.DUMMYFUNCTION("""COMPUTED_VALUE"""),"")</f>
        <v/>
      </c>
      <c r="I4539" s="35" t="str">
        <f>IFERROR(__xludf.DUMMYFUNCTION("""COMPUTED_VALUE"""),"")</f>
        <v/>
      </c>
      <c r="J4539" s="35" t="str">
        <f>IFERROR(__xludf.DUMMYFUNCTION("""COMPUTED_VALUE"""),"")</f>
        <v/>
      </c>
      <c r="K4539" s="35"/>
      <c r="L4539" s="35"/>
      <c r="M4539" s="35"/>
      <c r="N4539" s="35"/>
      <c r="O4539" s="35"/>
      <c r="P4539" s="35"/>
      <c r="Q4539" s="35"/>
      <c r="R4539" s="35"/>
      <c r="S4539" s="74"/>
      <c r="T4539" s="35"/>
      <c r="U4539" s="35"/>
      <c r="V4539" s="35"/>
      <c r="W4539" s="45"/>
    </row>
    <row r="4540">
      <c r="A4540" s="45"/>
      <c r="B4540" s="35"/>
      <c r="C4540" s="35"/>
      <c r="D4540" s="10"/>
      <c r="E4540" s="35" t="str">
        <f>IFERROR(__xludf.DUMMYFUNCTION("""COMPUTED_VALUE"""),"")</f>
        <v/>
      </c>
      <c r="F4540" s="35" t="str">
        <f>IFERROR(__xludf.DUMMYFUNCTION("""COMPUTED_VALUE"""),"1899")</f>
        <v>1899</v>
      </c>
      <c r="G4540" s="35"/>
      <c r="H4540" s="35" t="str">
        <f>IFERROR(__xludf.DUMMYFUNCTION("""COMPUTED_VALUE"""),"")</f>
        <v/>
      </c>
      <c r="I4540" s="35" t="str">
        <f>IFERROR(__xludf.DUMMYFUNCTION("""COMPUTED_VALUE"""),"")</f>
        <v/>
      </c>
      <c r="J4540" s="35" t="str">
        <f>IFERROR(__xludf.DUMMYFUNCTION("""COMPUTED_VALUE"""),"")</f>
        <v/>
      </c>
      <c r="K4540" s="35"/>
      <c r="L4540" s="35"/>
      <c r="M4540" s="35"/>
      <c r="N4540" s="35"/>
      <c r="O4540" s="35"/>
      <c r="P4540" s="35"/>
      <c r="Q4540" s="35"/>
      <c r="R4540" s="35"/>
      <c r="S4540" s="74"/>
      <c r="T4540" s="35"/>
      <c r="U4540" s="35"/>
      <c r="V4540" s="35"/>
      <c r="W4540" s="45"/>
    </row>
    <row r="4541">
      <c r="A4541" s="45"/>
      <c r="B4541" s="35"/>
      <c r="C4541" s="35"/>
      <c r="D4541" s="10"/>
      <c r="E4541" s="35" t="str">
        <f>IFERROR(__xludf.DUMMYFUNCTION("""COMPUTED_VALUE"""),"")</f>
        <v/>
      </c>
      <c r="F4541" s="35" t="str">
        <f>IFERROR(__xludf.DUMMYFUNCTION("""COMPUTED_VALUE"""),"1899")</f>
        <v>1899</v>
      </c>
      <c r="G4541" s="35"/>
      <c r="H4541" s="35" t="str">
        <f>IFERROR(__xludf.DUMMYFUNCTION("""COMPUTED_VALUE"""),"")</f>
        <v/>
      </c>
      <c r="I4541" s="35" t="str">
        <f>IFERROR(__xludf.DUMMYFUNCTION("""COMPUTED_VALUE"""),"")</f>
        <v/>
      </c>
      <c r="J4541" s="35" t="str">
        <f>IFERROR(__xludf.DUMMYFUNCTION("""COMPUTED_VALUE"""),"")</f>
        <v/>
      </c>
      <c r="K4541" s="35"/>
      <c r="L4541" s="35"/>
      <c r="M4541" s="35"/>
      <c r="N4541" s="35"/>
      <c r="O4541" s="35"/>
      <c r="P4541" s="35"/>
      <c r="Q4541" s="35"/>
      <c r="R4541" s="35"/>
      <c r="S4541" s="74"/>
      <c r="T4541" s="35"/>
      <c r="U4541" s="35"/>
      <c r="V4541" s="35"/>
      <c r="W4541" s="45"/>
    </row>
    <row r="4542">
      <c r="A4542" s="45"/>
      <c r="B4542" s="35"/>
      <c r="C4542" s="35"/>
      <c r="D4542" s="10"/>
      <c r="E4542" s="35" t="str">
        <f>IFERROR(__xludf.DUMMYFUNCTION("""COMPUTED_VALUE"""),"")</f>
        <v/>
      </c>
      <c r="F4542" s="35" t="str">
        <f>IFERROR(__xludf.DUMMYFUNCTION("""COMPUTED_VALUE"""),"1899")</f>
        <v>1899</v>
      </c>
      <c r="G4542" s="35"/>
      <c r="H4542" s="35" t="str">
        <f>IFERROR(__xludf.DUMMYFUNCTION("""COMPUTED_VALUE"""),"")</f>
        <v/>
      </c>
      <c r="I4542" s="35" t="str">
        <f>IFERROR(__xludf.DUMMYFUNCTION("""COMPUTED_VALUE"""),"")</f>
        <v/>
      </c>
      <c r="J4542" s="35" t="str">
        <f>IFERROR(__xludf.DUMMYFUNCTION("""COMPUTED_VALUE"""),"")</f>
        <v/>
      </c>
      <c r="K4542" s="35"/>
      <c r="L4542" s="35"/>
      <c r="M4542" s="35"/>
      <c r="N4542" s="35"/>
      <c r="O4542" s="35"/>
      <c r="P4542" s="35"/>
      <c r="Q4542" s="35"/>
      <c r="R4542" s="35"/>
      <c r="S4542" s="74"/>
      <c r="T4542" s="35"/>
      <c r="U4542" s="35"/>
      <c r="V4542" s="35"/>
      <c r="W4542" s="45"/>
    </row>
    <row r="4543">
      <c r="A4543" s="45"/>
      <c r="B4543" s="35"/>
      <c r="C4543" s="35"/>
      <c r="D4543" s="10"/>
      <c r="E4543" s="35" t="str">
        <f>IFERROR(__xludf.DUMMYFUNCTION("""COMPUTED_VALUE"""),"")</f>
        <v/>
      </c>
      <c r="F4543" s="35" t="str">
        <f>IFERROR(__xludf.DUMMYFUNCTION("""COMPUTED_VALUE"""),"1899")</f>
        <v>1899</v>
      </c>
      <c r="G4543" s="35"/>
      <c r="H4543" s="35" t="str">
        <f>IFERROR(__xludf.DUMMYFUNCTION("""COMPUTED_VALUE"""),"")</f>
        <v/>
      </c>
      <c r="I4543" s="35" t="str">
        <f>IFERROR(__xludf.DUMMYFUNCTION("""COMPUTED_VALUE"""),"")</f>
        <v/>
      </c>
      <c r="J4543" s="35" t="str">
        <f>IFERROR(__xludf.DUMMYFUNCTION("""COMPUTED_VALUE"""),"")</f>
        <v/>
      </c>
      <c r="K4543" s="35"/>
      <c r="L4543" s="35"/>
      <c r="M4543" s="35"/>
      <c r="N4543" s="35"/>
      <c r="O4543" s="35"/>
      <c r="P4543" s="35"/>
      <c r="Q4543" s="35"/>
      <c r="R4543" s="35"/>
      <c r="S4543" s="74"/>
      <c r="T4543" s="35"/>
      <c r="U4543" s="35"/>
      <c r="V4543" s="35"/>
      <c r="W4543" s="45"/>
    </row>
    <row r="4544">
      <c r="A4544" s="45"/>
      <c r="B4544" s="35"/>
      <c r="C4544" s="35"/>
      <c r="D4544" s="10"/>
      <c r="E4544" s="35" t="str">
        <f>IFERROR(__xludf.DUMMYFUNCTION("""COMPUTED_VALUE"""),"")</f>
        <v/>
      </c>
      <c r="F4544" s="35" t="str">
        <f>IFERROR(__xludf.DUMMYFUNCTION("""COMPUTED_VALUE"""),"1899")</f>
        <v>1899</v>
      </c>
      <c r="G4544" s="35"/>
      <c r="H4544" s="35" t="str">
        <f>IFERROR(__xludf.DUMMYFUNCTION("""COMPUTED_VALUE"""),"")</f>
        <v/>
      </c>
      <c r="I4544" s="35" t="str">
        <f>IFERROR(__xludf.DUMMYFUNCTION("""COMPUTED_VALUE"""),"")</f>
        <v/>
      </c>
      <c r="J4544" s="35" t="str">
        <f>IFERROR(__xludf.DUMMYFUNCTION("""COMPUTED_VALUE"""),"")</f>
        <v/>
      </c>
      <c r="K4544" s="35"/>
      <c r="L4544" s="35"/>
      <c r="M4544" s="35"/>
      <c r="N4544" s="35"/>
      <c r="O4544" s="35"/>
      <c r="P4544" s="35"/>
      <c r="Q4544" s="35"/>
      <c r="R4544" s="35"/>
      <c r="S4544" s="74"/>
      <c r="T4544" s="35"/>
      <c r="U4544" s="35"/>
      <c r="V4544" s="35"/>
      <c r="W4544" s="45"/>
    </row>
    <row r="4545">
      <c r="A4545" s="45"/>
      <c r="B4545" s="35"/>
      <c r="C4545" s="35"/>
      <c r="D4545" s="10"/>
      <c r="E4545" s="35" t="str">
        <f>IFERROR(__xludf.DUMMYFUNCTION("""COMPUTED_VALUE"""),"")</f>
        <v/>
      </c>
      <c r="F4545" s="35" t="str">
        <f>IFERROR(__xludf.DUMMYFUNCTION("""COMPUTED_VALUE"""),"1899")</f>
        <v>1899</v>
      </c>
      <c r="G4545" s="35"/>
      <c r="H4545" s="35" t="str">
        <f>IFERROR(__xludf.DUMMYFUNCTION("""COMPUTED_VALUE"""),"")</f>
        <v/>
      </c>
      <c r="I4545" s="35" t="str">
        <f>IFERROR(__xludf.DUMMYFUNCTION("""COMPUTED_VALUE"""),"")</f>
        <v/>
      </c>
      <c r="J4545" s="35" t="str">
        <f>IFERROR(__xludf.DUMMYFUNCTION("""COMPUTED_VALUE"""),"")</f>
        <v/>
      </c>
      <c r="K4545" s="35"/>
      <c r="L4545" s="35"/>
      <c r="M4545" s="35"/>
      <c r="N4545" s="35"/>
      <c r="O4545" s="35"/>
      <c r="P4545" s="35"/>
      <c r="Q4545" s="35"/>
      <c r="R4545" s="35"/>
      <c r="S4545" s="74"/>
      <c r="T4545" s="35"/>
      <c r="U4545" s="35"/>
      <c r="V4545" s="35"/>
      <c r="W4545" s="45"/>
    </row>
    <row r="4546">
      <c r="A4546" s="45"/>
      <c r="B4546" s="35"/>
      <c r="C4546" s="35"/>
      <c r="D4546" s="10"/>
      <c r="E4546" s="35" t="str">
        <f>IFERROR(__xludf.DUMMYFUNCTION("""COMPUTED_VALUE"""),"")</f>
        <v/>
      </c>
      <c r="F4546" s="35" t="str">
        <f>IFERROR(__xludf.DUMMYFUNCTION("""COMPUTED_VALUE"""),"1899")</f>
        <v>1899</v>
      </c>
      <c r="G4546" s="35"/>
      <c r="H4546" s="35" t="str">
        <f>IFERROR(__xludf.DUMMYFUNCTION("""COMPUTED_VALUE"""),"")</f>
        <v/>
      </c>
      <c r="I4546" s="35" t="str">
        <f>IFERROR(__xludf.DUMMYFUNCTION("""COMPUTED_VALUE"""),"")</f>
        <v/>
      </c>
      <c r="J4546" s="35" t="str">
        <f>IFERROR(__xludf.DUMMYFUNCTION("""COMPUTED_VALUE"""),"")</f>
        <v/>
      </c>
      <c r="K4546" s="35"/>
      <c r="L4546" s="35"/>
      <c r="M4546" s="35"/>
      <c r="N4546" s="35"/>
      <c r="O4546" s="35"/>
      <c r="P4546" s="35"/>
      <c r="Q4546" s="35"/>
      <c r="R4546" s="35"/>
      <c r="S4546" s="74"/>
      <c r="T4546" s="35"/>
      <c r="U4546" s="35"/>
      <c r="V4546" s="35"/>
      <c r="W4546" s="45"/>
    </row>
    <row r="4547">
      <c r="A4547" s="45"/>
      <c r="B4547" s="35"/>
      <c r="C4547" s="35"/>
      <c r="D4547" s="10"/>
      <c r="E4547" s="35" t="str">
        <f>IFERROR(__xludf.DUMMYFUNCTION("""COMPUTED_VALUE"""),"")</f>
        <v/>
      </c>
      <c r="F4547" s="35" t="str">
        <f>IFERROR(__xludf.DUMMYFUNCTION("""COMPUTED_VALUE"""),"1899")</f>
        <v>1899</v>
      </c>
      <c r="G4547" s="35"/>
      <c r="H4547" s="35" t="str">
        <f>IFERROR(__xludf.DUMMYFUNCTION("""COMPUTED_VALUE"""),"")</f>
        <v/>
      </c>
      <c r="I4547" s="35" t="str">
        <f>IFERROR(__xludf.DUMMYFUNCTION("""COMPUTED_VALUE"""),"")</f>
        <v/>
      </c>
      <c r="J4547" s="35" t="str">
        <f>IFERROR(__xludf.DUMMYFUNCTION("""COMPUTED_VALUE"""),"")</f>
        <v/>
      </c>
      <c r="K4547" s="35"/>
      <c r="L4547" s="35"/>
      <c r="M4547" s="35"/>
      <c r="N4547" s="35"/>
      <c r="O4547" s="35"/>
      <c r="P4547" s="35"/>
      <c r="Q4547" s="35"/>
      <c r="R4547" s="35"/>
      <c r="S4547" s="74"/>
      <c r="T4547" s="35"/>
      <c r="U4547" s="35"/>
      <c r="V4547" s="35"/>
      <c r="W4547" s="45"/>
    </row>
    <row r="4548">
      <c r="A4548" s="45"/>
      <c r="B4548" s="35"/>
      <c r="C4548" s="35"/>
      <c r="D4548" s="10"/>
      <c r="E4548" s="35" t="str">
        <f>IFERROR(__xludf.DUMMYFUNCTION("""COMPUTED_VALUE"""),"")</f>
        <v/>
      </c>
      <c r="F4548" s="35" t="str">
        <f>IFERROR(__xludf.DUMMYFUNCTION("""COMPUTED_VALUE"""),"1899")</f>
        <v>1899</v>
      </c>
      <c r="G4548" s="35"/>
      <c r="H4548" s="35" t="str">
        <f>IFERROR(__xludf.DUMMYFUNCTION("""COMPUTED_VALUE"""),"")</f>
        <v/>
      </c>
      <c r="I4548" s="35" t="str">
        <f>IFERROR(__xludf.DUMMYFUNCTION("""COMPUTED_VALUE"""),"")</f>
        <v/>
      </c>
      <c r="J4548" s="35" t="str">
        <f>IFERROR(__xludf.DUMMYFUNCTION("""COMPUTED_VALUE"""),"")</f>
        <v/>
      </c>
      <c r="K4548" s="35"/>
      <c r="L4548" s="35"/>
      <c r="M4548" s="35"/>
      <c r="N4548" s="35"/>
      <c r="O4548" s="35"/>
      <c r="P4548" s="35"/>
      <c r="Q4548" s="35"/>
      <c r="R4548" s="35"/>
      <c r="S4548" s="74"/>
      <c r="T4548" s="35"/>
      <c r="U4548" s="35"/>
      <c r="V4548" s="35"/>
      <c r="W4548" s="45"/>
    </row>
    <row r="4549">
      <c r="A4549" s="45"/>
      <c r="B4549" s="35"/>
      <c r="C4549" s="35"/>
      <c r="D4549" s="10"/>
      <c r="E4549" s="35" t="str">
        <f>IFERROR(__xludf.DUMMYFUNCTION("""COMPUTED_VALUE"""),"")</f>
        <v/>
      </c>
      <c r="F4549" s="35" t="str">
        <f>IFERROR(__xludf.DUMMYFUNCTION("""COMPUTED_VALUE"""),"1899")</f>
        <v>1899</v>
      </c>
      <c r="G4549" s="35"/>
      <c r="H4549" s="35" t="str">
        <f>IFERROR(__xludf.DUMMYFUNCTION("""COMPUTED_VALUE"""),"")</f>
        <v/>
      </c>
      <c r="I4549" s="35" t="str">
        <f>IFERROR(__xludf.DUMMYFUNCTION("""COMPUTED_VALUE"""),"")</f>
        <v/>
      </c>
      <c r="J4549" s="35" t="str">
        <f>IFERROR(__xludf.DUMMYFUNCTION("""COMPUTED_VALUE"""),"")</f>
        <v/>
      </c>
      <c r="K4549" s="35"/>
      <c r="L4549" s="35"/>
      <c r="M4549" s="35"/>
      <c r="N4549" s="35"/>
      <c r="O4549" s="35"/>
      <c r="P4549" s="35"/>
      <c r="Q4549" s="35"/>
      <c r="R4549" s="35"/>
      <c r="S4549" s="74"/>
      <c r="T4549" s="35"/>
      <c r="U4549" s="35"/>
      <c r="V4549" s="35"/>
      <c r="W4549" s="45"/>
    </row>
    <row r="4550">
      <c r="A4550" s="45"/>
      <c r="B4550" s="35"/>
      <c r="C4550" s="35"/>
      <c r="D4550" s="10"/>
      <c r="E4550" s="35" t="str">
        <f>IFERROR(__xludf.DUMMYFUNCTION("""COMPUTED_VALUE"""),"")</f>
        <v/>
      </c>
      <c r="F4550" s="35" t="str">
        <f>IFERROR(__xludf.DUMMYFUNCTION("""COMPUTED_VALUE"""),"1899")</f>
        <v>1899</v>
      </c>
      <c r="G4550" s="35"/>
      <c r="H4550" s="35" t="str">
        <f>IFERROR(__xludf.DUMMYFUNCTION("""COMPUTED_VALUE"""),"")</f>
        <v/>
      </c>
      <c r="I4550" s="35" t="str">
        <f>IFERROR(__xludf.DUMMYFUNCTION("""COMPUTED_VALUE"""),"")</f>
        <v/>
      </c>
      <c r="J4550" s="35" t="str">
        <f>IFERROR(__xludf.DUMMYFUNCTION("""COMPUTED_VALUE"""),"")</f>
        <v/>
      </c>
      <c r="K4550" s="35"/>
      <c r="L4550" s="35"/>
      <c r="M4550" s="35"/>
      <c r="N4550" s="35"/>
      <c r="O4550" s="35"/>
      <c r="P4550" s="35"/>
      <c r="Q4550" s="35"/>
      <c r="R4550" s="35"/>
      <c r="S4550" s="74"/>
      <c r="T4550" s="35"/>
      <c r="U4550" s="35"/>
      <c r="V4550" s="35"/>
      <c r="W4550" s="45"/>
    </row>
    <row r="4551">
      <c r="A4551" s="45"/>
      <c r="B4551" s="35"/>
      <c r="C4551" s="35"/>
      <c r="D4551" s="10"/>
      <c r="E4551" s="35" t="str">
        <f>IFERROR(__xludf.DUMMYFUNCTION("""COMPUTED_VALUE"""),"")</f>
        <v/>
      </c>
      <c r="F4551" s="35" t="str">
        <f>IFERROR(__xludf.DUMMYFUNCTION("""COMPUTED_VALUE"""),"1899")</f>
        <v>1899</v>
      </c>
      <c r="G4551" s="35"/>
      <c r="H4551" s="35" t="str">
        <f>IFERROR(__xludf.DUMMYFUNCTION("""COMPUTED_VALUE"""),"")</f>
        <v/>
      </c>
      <c r="I4551" s="35" t="str">
        <f>IFERROR(__xludf.DUMMYFUNCTION("""COMPUTED_VALUE"""),"")</f>
        <v/>
      </c>
      <c r="J4551" s="35" t="str">
        <f>IFERROR(__xludf.DUMMYFUNCTION("""COMPUTED_VALUE"""),"")</f>
        <v/>
      </c>
      <c r="K4551" s="35"/>
      <c r="L4551" s="35"/>
      <c r="M4551" s="35"/>
      <c r="N4551" s="35"/>
      <c r="O4551" s="35"/>
      <c r="P4551" s="35"/>
      <c r="Q4551" s="35"/>
      <c r="R4551" s="35"/>
      <c r="S4551" s="74"/>
      <c r="T4551" s="35"/>
      <c r="U4551" s="35"/>
      <c r="V4551" s="35"/>
      <c r="W4551" s="45"/>
    </row>
    <row r="4552">
      <c r="A4552" s="45"/>
      <c r="B4552" s="35"/>
      <c r="C4552" s="35"/>
      <c r="D4552" s="10"/>
      <c r="E4552" s="35" t="str">
        <f>IFERROR(__xludf.DUMMYFUNCTION("""COMPUTED_VALUE"""),"")</f>
        <v/>
      </c>
      <c r="F4552" s="35" t="str">
        <f>IFERROR(__xludf.DUMMYFUNCTION("""COMPUTED_VALUE"""),"1899")</f>
        <v>1899</v>
      </c>
      <c r="G4552" s="35"/>
      <c r="H4552" s="35" t="str">
        <f>IFERROR(__xludf.DUMMYFUNCTION("""COMPUTED_VALUE"""),"")</f>
        <v/>
      </c>
      <c r="I4552" s="35" t="str">
        <f>IFERROR(__xludf.DUMMYFUNCTION("""COMPUTED_VALUE"""),"")</f>
        <v/>
      </c>
      <c r="J4552" s="35" t="str">
        <f>IFERROR(__xludf.DUMMYFUNCTION("""COMPUTED_VALUE"""),"")</f>
        <v/>
      </c>
      <c r="K4552" s="35"/>
      <c r="L4552" s="35"/>
      <c r="M4552" s="35"/>
      <c r="N4552" s="35"/>
      <c r="O4552" s="35"/>
      <c r="P4552" s="35"/>
      <c r="Q4552" s="35"/>
      <c r="R4552" s="35"/>
      <c r="S4552" s="74"/>
      <c r="T4552" s="35"/>
      <c r="U4552" s="35"/>
      <c r="V4552" s="35"/>
      <c r="W4552" s="45"/>
    </row>
    <row r="4553">
      <c r="A4553" s="45"/>
      <c r="B4553" s="35"/>
      <c r="C4553" s="35"/>
      <c r="D4553" s="10"/>
      <c r="E4553" s="35" t="str">
        <f>IFERROR(__xludf.DUMMYFUNCTION("""COMPUTED_VALUE"""),"")</f>
        <v/>
      </c>
      <c r="F4553" s="35" t="str">
        <f>IFERROR(__xludf.DUMMYFUNCTION("""COMPUTED_VALUE"""),"1899")</f>
        <v>1899</v>
      </c>
      <c r="G4553" s="35"/>
      <c r="H4553" s="35" t="str">
        <f>IFERROR(__xludf.DUMMYFUNCTION("""COMPUTED_VALUE"""),"")</f>
        <v/>
      </c>
      <c r="I4553" s="35" t="str">
        <f>IFERROR(__xludf.DUMMYFUNCTION("""COMPUTED_VALUE"""),"")</f>
        <v/>
      </c>
      <c r="J4553" s="35" t="str">
        <f>IFERROR(__xludf.DUMMYFUNCTION("""COMPUTED_VALUE"""),"")</f>
        <v/>
      </c>
      <c r="K4553" s="35"/>
      <c r="L4553" s="35"/>
      <c r="M4553" s="35"/>
      <c r="N4553" s="35"/>
      <c r="O4553" s="35"/>
      <c r="P4553" s="35"/>
      <c r="Q4553" s="35"/>
      <c r="R4553" s="35"/>
      <c r="S4553" s="74"/>
      <c r="T4553" s="35"/>
      <c r="U4553" s="35"/>
      <c r="V4553" s="35"/>
      <c r="W4553" s="45"/>
    </row>
    <row r="4554">
      <c r="A4554" s="45"/>
      <c r="B4554" s="35"/>
      <c r="C4554" s="35"/>
      <c r="D4554" s="10"/>
      <c r="E4554" s="35" t="str">
        <f>IFERROR(__xludf.DUMMYFUNCTION("""COMPUTED_VALUE"""),"")</f>
        <v/>
      </c>
      <c r="F4554" s="35" t="str">
        <f>IFERROR(__xludf.DUMMYFUNCTION("""COMPUTED_VALUE"""),"1899")</f>
        <v>1899</v>
      </c>
      <c r="G4554" s="35"/>
      <c r="H4554" s="35" t="str">
        <f>IFERROR(__xludf.DUMMYFUNCTION("""COMPUTED_VALUE"""),"")</f>
        <v/>
      </c>
      <c r="I4554" s="35" t="str">
        <f>IFERROR(__xludf.DUMMYFUNCTION("""COMPUTED_VALUE"""),"")</f>
        <v/>
      </c>
      <c r="J4554" s="35" t="str">
        <f>IFERROR(__xludf.DUMMYFUNCTION("""COMPUTED_VALUE"""),"")</f>
        <v/>
      </c>
      <c r="K4554" s="35"/>
      <c r="L4554" s="35"/>
      <c r="M4554" s="35"/>
      <c r="N4554" s="35"/>
      <c r="O4554" s="35"/>
      <c r="P4554" s="35"/>
      <c r="Q4554" s="35"/>
      <c r="R4554" s="35"/>
      <c r="S4554" s="74"/>
      <c r="T4554" s="35"/>
      <c r="U4554" s="35"/>
      <c r="V4554" s="35"/>
      <c r="W4554" s="45"/>
    </row>
    <row r="4555">
      <c r="A4555" s="45"/>
      <c r="B4555" s="35"/>
      <c r="C4555" s="35"/>
      <c r="D4555" s="10"/>
      <c r="E4555" s="35" t="str">
        <f>IFERROR(__xludf.DUMMYFUNCTION("""COMPUTED_VALUE"""),"")</f>
        <v/>
      </c>
      <c r="F4555" s="35" t="str">
        <f>IFERROR(__xludf.DUMMYFUNCTION("""COMPUTED_VALUE"""),"1899")</f>
        <v>1899</v>
      </c>
      <c r="G4555" s="35"/>
      <c r="H4555" s="35" t="str">
        <f>IFERROR(__xludf.DUMMYFUNCTION("""COMPUTED_VALUE"""),"")</f>
        <v/>
      </c>
      <c r="I4555" s="35" t="str">
        <f>IFERROR(__xludf.DUMMYFUNCTION("""COMPUTED_VALUE"""),"")</f>
        <v/>
      </c>
      <c r="J4555" s="35" t="str">
        <f>IFERROR(__xludf.DUMMYFUNCTION("""COMPUTED_VALUE"""),"")</f>
        <v/>
      </c>
      <c r="K4555" s="35"/>
      <c r="L4555" s="35"/>
      <c r="M4555" s="35"/>
      <c r="N4555" s="35"/>
      <c r="O4555" s="35"/>
      <c r="P4555" s="35"/>
      <c r="Q4555" s="35"/>
      <c r="R4555" s="35"/>
      <c r="S4555" s="74"/>
      <c r="T4555" s="35"/>
      <c r="U4555" s="35"/>
      <c r="V4555" s="35"/>
      <c r="W4555" s="45"/>
    </row>
    <row r="4556">
      <c r="A4556" s="45"/>
      <c r="B4556" s="35"/>
      <c r="C4556" s="35"/>
      <c r="D4556" s="10"/>
      <c r="E4556" s="35" t="str">
        <f>IFERROR(__xludf.DUMMYFUNCTION("""COMPUTED_VALUE"""),"")</f>
        <v/>
      </c>
      <c r="F4556" s="35" t="str">
        <f>IFERROR(__xludf.DUMMYFUNCTION("""COMPUTED_VALUE"""),"1899")</f>
        <v>1899</v>
      </c>
      <c r="G4556" s="35"/>
      <c r="H4556" s="35" t="str">
        <f>IFERROR(__xludf.DUMMYFUNCTION("""COMPUTED_VALUE"""),"")</f>
        <v/>
      </c>
      <c r="I4556" s="35" t="str">
        <f>IFERROR(__xludf.DUMMYFUNCTION("""COMPUTED_VALUE"""),"")</f>
        <v/>
      </c>
      <c r="J4556" s="35" t="str">
        <f>IFERROR(__xludf.DUMMYFUNCTION("""COMPUTED_VALUE"""),"")</f>
        <v/>
      </c>
      <c r="K4556" s="35"/>
      <c r="L4556" s="35"/>
      <c r="M4556" s="35"/>
      <c r="N4556" s="35"/>
      <c r="O4556" s="35"/>
      <c r="P4556" s="35"/>
      <c r="Q4556" s="35"/>
      <c r="R4556" s="35"/>
      <c r="S4556" s="74"/>
      <c r="T4556" s="35"/>
      <c r="U4556" s="35"/>
      <c r="V4556" s="35"/>
      <c r="W4556" s="45"/>
    </row>
    <row r="4557">
      <c r="A4557" s="45"/>
      <c r="B4557" s="35"/>
      <c r="C4557" s="35"/>
      <c r="D4557" s="10"/>
      <c r="E4557" s="35" t="str">
        <f>IFERROR(__xludf.DUMMYFUNCTION("""COMPUTED_VALUE"""),"")</f>
        <v/>
      </c>
      <c r="F4557" s="35" t="str">
        <f>IFERROR(__xludf.DUMMYFUNCTION("""COMPUTED_VALUE"""),"1899")</f>
        <v>1899</v>
      </c>
      <c r="G4557" s="35"/>
      <c r="H4557" s="35" t="str">
        <f>IFERROR(__xludf.DUMMYFUNCTION("""COMPUTED_VALUE"""),"")</f>
        <v/>
      </c>
      <c r="I4557" s="35" t="str">
        <f>IFERROR(__xludf.DUMMYFUNCTION("""COMPUTED_VALUE"""),"")</f>
        <v/>
      </c>
      <c r="J4557" s="35" t="str">
        <f>IFERROR(__xludf.DUMMYFUNCTION("""COMPUTED_VALUE"""),"")</f>
        <v/>
      </c>
      <c r="K4557" s="35"/>
      <c r="L4557" s="35"/>
      <c r="M4557" s="35"/>
      <c r="N4557" s="35"/>
      <c r="O4557" s="35"/>
      <c r="P4557" s="35"/>
      <c r="Q4557" s="35"/>
      <c r="R4557" s="35"/>
      <c r="S4557" s="74"/>
      <c r="T4557" s="35"/>
      <c r="U4557" s="35"/>
      <c r="V4557" s="35"/>
      <c r="W4557" s="45"/>
    </row>
    <row r="4558">
      <c r="A4558" s="45"/>
      <c r="B4558" s="35"/>
      <c r="C4558" s="35"/>
      <c r="D4558" s="10"/>
      <c r="E4558" s="35" t="str">
        <f>IFERROR(__xludf.DUMMYFUNCTION("""COMPUTED_VALUE"""),"")</f>
        <v/>
      </c>
      <c r="F4558" s="35" t="str">
        <f>IFERROR(__xludf.DUMMYFUNCTION("""COMPUTED_VALUE"""),"1899")</f>
        <v>1899</v>
      </c>
      <c r="G4558" s="35"/>
      <c r="H4558" s="35" t="str">
        <f>IFERROR(__xludf.DUMMYFUNCTION("""COMPUTED_VALUE"""),"")</f>
        <v/>
      </c>
      <c r="I4558" s="35" t="str">
        <f>IFERROR(__xludf.DUMMYFUNCTION("""COMPUTED_VALUE"""),"")</f>
        <v/>
      </c>
      <c r="J4558" s="35" t="str">
        <f>IFERROR(__xludf.DUMMYFUNCTION("""COMPUTED_VALUE"""),"")</f>
        <v/>
      </c>
      <c r="K4558" s="35"/>
      <c r="L4558" s="35"/>
      <c r="M4558" s="35"/>
      <c r="N4558" s="35"/>
      <c r="O4558" s="35"/>
      <c r="P4558" s="35"/>
      <c r="Q4558" s="35"/>
      <c r="R4558" s="35"/>
      <c r="S4558" s="74"/>
      <c r="T4558" s="35"/>
      <c r="U4558" s="35"/>
      <c r="V4558" s="35"/>
      <c r="W4558" s="45"/>
    </row>
    <row r="4559">
      <c r="A4559" s="45"/>
      <c r="B4559" s="35"/>
      <c r="C4559" s="35"/>
      <c r="D4559" s="10"/>
      <c r="E4559" s="35" t="str">
        <f>IFERROR(__xludf.DUMMYFUNCTION("""COMPUTED_VALUE"""),"")</f>
        <v/>
      </c>
      <c r="F4559" s="35" t="str">
        <f>IFERROR(__xludf.DUMMYFUNCTION("""COMPUTED_VALUE"""),"1899")</f>
        <v>1899</v>
      </c>
      <c r="G4559" s="35"/>
      <c r="H4559" s="35" t="str">
        <f>IFERROR(__xludf.DUMMYFUNCTION("""COMPUTED_VALUE"""),"")</f>
        <v/>
      </c>
      <c r="I4559" s="35" t="str">
        <f>IFERROR(__xludf.DUMMYFUNCTION("""COMPUTED_VALUE"""),"")</f>
        <v/>
      </c>
      <c r="J4559" s="35" t="str">
        <f>IFERROR(__xludf.DUMMYFUNCTION("""COMPUTED_VALUE"""),"")</f>
        <v/>
      </c>
      <c r="K4559" s="35"/>
      <c r="L4559" s="35"/>
      <c r="M4559" s="35"/>
      <c r="N4559" s="35"/>
      <c r="O4559" s="35"/>
      <c r="P4559" s="35"/>
      <c r="Q4559" s="35"/>
      <c r="R4559" s="35"/>
      <c r="S4559" s="74"/>
      <c r="T4559" s="35"/>
      <c r="U4559" s="35"/>
      <c r="V4559" s="35"/>
      <c r="W4559" s="45"/>
    </row>
    <row r="4560">
      <c r="A4560" s="45"/>
      <c r="B4560" s="35"/>
      <c r="C4560" s="35"/>
      <c r="D4560" s="10"/>
      <c r="E4560" s="35" t="str">
        <f>IFERROR(__xludf.DUMMYFUNCTION("""COMPUTED_VALUE"""),"")</f>
        <v/>
      </c>
      <c r="F4560" s="35" t="str">
        <f>IFERROR(__xludf.DUMMYFUNCTION("""COMPUTED_VALUE"""),"1899")</f>
        <v>1899</v>
      </c>
      <c r="G4560" s="35"/>
      <c r="H4560" s="35" t="str">
        <f>IFERROR(__xludf.DUMMYFUNCTION("""COMPUTED_VALUE"""),"")</f>
        <v/>
      </c>
      <c r="I4560" s="35" t="str">
        <f>IFERROR(__xludf.DUMMYFUNCTION("""COMPUTED_VALUE"""),"")</f>
        <v/>
      </c>
      <c r="J4560" s="35" t="str">
        <f>IFERROR(__xludf.DUMMYFUNCTION("""COMPUTED_VALUE"""),"")</f>
        <v/>
      </c>
      <c r="K4560" s="35"/>
      <c r="L4560" s="35"/>
      <c r="M4560" s="35"/>
      <c r="N4560" s="35"/>
      <c r="O4560" s="35"/>
      <c r="P4560" s="35"/>
      <c r="Q4560" s="35"/>
      <c r="R4560" s="35"/>
      <c r="S4560" s="74"/>
      <c r="T4560" s="35"/>
      <c r="U4560" s="35"/>
      <c r="V4560" s="35"/>
      <c r="W4560" s="45"/>
    </row>
    <row r="4561">
      <c r="A4561" s="45"/>
      <c r="B4561" s="35"/>
      <c r="C4561" s="35"/>
      <c r="D4561" s="10"/>
      <c r="E4561" s="35" t="str">
        <f>IFERROR(__xludf.DUMMYFUNCTION("""COMPUTED_VALUE"""),"")</f>
        <v/>
      </c>
      <c r="F4561" s="35" t="str">
        <f>IFERROR(__xludf.DUMMYFUNCTION("""COMPUTED_VALUE"""),"1899")</f>
        <v>1899</v>
      </c>
      <c r="G4561" s="35"/>
      <c r="H4561" s="35" t="str">
        <f>IFERROR(__xludf.DUMMYFUNCTION("""COMPUTED_VALUE"""),"")</f>
        <v/>
      </c>
      <c r="I4561" s="35" t="str">
        <f>IFERROR(__xludf.DUMMYFUNCTION("""COMPUTED_VALUE"""),"")</f>
        <v/>
      </c>
      <c r="J4561" s="35" t="str">
        <f>IFERROR(__xludf.DUMMYFUNCTION("""COMPUTED_VALUE"""),"")</f>
        <v/>
      </c>
      <c r="K4561" s="35"/>
      <c r="L4561" s="35"/>
      <c r="M4561" s="35"/>
      <c r="N4561" s="35"/>
      <c r="O4561" s="35"/>
      <c r="P4561" s="35"/>
      <c r="Q4561" s="35"/>
      <c r="R4561" s="35"/>
      <c r="S4561" s="74"/>
      <c r="T4561" s="35"/>
      <c r="U4561" s="35"/>
      <c r="V4561" s="35"/>
      <c r="W4561" s="45"/>
    </row>
    <row r="4562">
      <c r="A4562" s="45"/>
      <c r="B4562" s="35"/>
      <c r="C4562" s="35"/>
      <c r="D4562" s="10"/>
      <c r="E4562" s="35" t="str">
        <f>IFERROR(__xludf.DUMMYFUNCTION("""COMPUTED_VALUE"""),"")</f>
        <v/>
      </c>
      <c r="F4562" s="35" t="str">
        <f>IFERROR(__xludf.DUMMYFUNCTION("""COMPUTED_VALUE"""),"1899")</f>
        <v>1899</v>
      </c>
      <c r="G4562" s="35"/>
      <c r="H4562" s="35" t="str">
        <f>IFERROR(__xludf.DUMMYFUNCTION("""COMPUTED_VALUE"""),"")</f>
        <v/>
      </c>
      <c r="I4562" s="35" t="str">
        <f>IFERROR(__xludf.DUMMYFUNCTION("""COMPUTED_VALUE"""),"")</f>
        <v/>
      </c>
      <c r="J4562" s="35" t="str">
        <f>IFERROR(__xludf.DUMMYFUNCTION("""COMPUTED_VALUE"""),"")</f>
        <v/>
      </c>
      <c r="K4562" s="35"/>
      <c r="L4562" s="35"/>
      <c r="M4562" s="35"/>
      <c r="N4562" s="35"/>
      <c r="O4562" s="35"/>
      <c r="P4562" s="35"/>
      <c r="Q4562" s="35"/>
      <c r="R4562" s="35"/>
      <c r="S4562" s="74"/>
      <c r="T4562" s="35"/>
      <c r="U4562" s="35"/>
      <c r="V4562" s="35"/>
      <c r="W4562" s="45"/>
    </row>
    <row r="4563">
      <c r="A4563" s="45"/>
      <c r="B4563" s="35"/>
      <c r="C4563" s="35"/>
      <c r="D4563" s="10"/>
      <c r="E4563" s="35" t="str">
        <f>IFERROR(__xludf.DUMMYFUNCTION("""COMPUTED_VALUE"""),"")</f>
        <v/>
      </c>
      <c r="F4563" s="35" t="str">
        <f>IFERROR(__xludf.DUMMYFUNCTION("""COMPUTED_VALUE"""),"1899")</f>
        <v>1899</v>
      </c>
      <c r="G4563" s="35"/>
      <c r="H4563" s="35" t="str">
        <f>IFERROR(__xludf.DUMMYFUNCTION("""COMPUTED_VALUE"""),"")</f>
        <v/>
      </c>
      <c r="I4563" s="35" t="str">
        <f>IFERROR(__xludf.DUMMYFUNCTION("""COMPUTED_VALUE"""),"")</f>
        <v/>
      </c>
      <c r="J4563" s="35" t="str">
        <f>IFERROR(__xludf.DUMMYFUNCTION("""COMPUTED_VALUE"""),"")</f>
        <v/>
      </c>
      <c r="K4563" s="35"/>
      <c r="L4563" s="35"/>
      <c r="M4563" s="35"/>
      <c r="N4563" s="35"/>
      <c r="O4563" s="35"/>
      <c r="P4563" s="35"/>
      <c r="Q4563" s="35"/>
      <c r="R4563" s="35"/>
      <c r="S4563" s="74"/>
      <c r="T4563" s="35"/>
      <c r="U4563" s="35"/>
      <c r="V4563" s="35"/>
      <c r="W4563" s="45"/>
    </row>
    <row r="4564">
      <c r="A4564" s="45"/>
      <c r="B4564" s="35"/>
      <c r="C4564" s="35"/>
      <c r="D4564" s="10"/>
      <c r="E4564" s="35" t="str">
        <f>IFERROR(__xludf.DUMMYFUNCTION("""COMPUTED_VALUE"""),"")</f>
        <v/>
      </c>
      <c r="F4564" s="35" t="str">
        <f>IFERROR(__xludf.DUMMYFUNCTION("""COMPUTED_VALUE"""),"1899")</f>
        <v>1899</v>
      </c>
      <c r="G4564" s="35"/>
      <c r="H4564" s="35" t="str">
        <f>IFERROR(__xludf.DUMMYFUNCTION("""COMPUTED_VALUE"""),"")</f>
        <v/>
      </c>
      <c r="I4564" s="35" t="str">
        <f>IFERROR(__xludf.DUMMYFUNCTION("""COMPUTED_VALUE"""),"")</f>
        <v/>
      </c>
      <c r="J4564" s="35" t="str">
        <f>IFERROR(__xludf.DUMMYFUNCTION("""COMPUTED_VALUE"""),"")</f>
        <v/>
      </c>
      <c r="K4564" s="35"/>
      <c r="L4564" s="35"/>
      <c r="M4564" s="35"/>
      <c r="N4564" s="35"/>
      <c r="O4564" s="35"/>
      <c r="P4564" s="35"/>
      <c r="Q4564" s="35"/>
      <c r="R4564" s="35"/>
      <c r="S4564" s="74"/>
      <c r="T4564" s="35"/>
      <c r="U4564" s="35"/>
      <c r="V4564" s="35"/>
      <c r="W4564" s="45"/>
    </row>
    <row r="4565">
      <c r="A4565" s="45"/>
      <c r="B4565" s="35"/>
      <c r="C4565" s="35"/>
      <c r="D4565" s="10"/>
      <c r="E4565" s="35" t="str">
        <f>IFERROR(__xludf.DUMMYFUNCTION("""COMPUTED_VALUE"""),"")</f>
        <v/>
      </c>
      <c r="F4565" s="35" t="str">
        <f>IFERROR(__xludf.DUMMYFUNCTION("""COMPUTED_VALUE"""),"1899")</f>
        <v>1899</v>
      </c>
      <c r="G4565" s="35"/>
      <c r="H4565" s="35" t="str">
        <f>IFERROR(__xludf.DUMMYFUNCTION("""COMPUTED_VALUE"""),"")</f>
        <v/>
      </c>
      <c r="I4565" s="35" t="str">
        <f>IFERROR(__xludf.DUMMYFUNCTION("""COMPUTED_VALUE"""),"")</f>
        <v/>
      </c>
      <c r="J4565" s="35" t="str">
        <f>IFERROR(__xludf.DUMMYFUNCTION("""COMPUTED_VALUE"""),"")</f>
        <v/>
      </c>
      <c r="K4565" s="35"/>
      <c r="L4565" s="35"/>
      <c r="M4565" s="35"/>
      <c r="N4565" s="35"/>
      <c r="O4565" s="35"/>
      <c r="P4565" s="35"/>
      <c r="Q4565" s="35"/>
      <c r="R4565" s="35"/>
      <c r="S4565" s="74"/>
      <c r="T4565" s="35"/>
      <c r="U4565" s="35"/>
      <c r="V4565" s="35"/>
      <c r="W4565" s="45"/>
    </row>
    <row r="4566">
      <c r="A4566" s="45"/>
      <c r="B4566" s="35"/>
      <c r="C4566" s="35"/>
      <c r="D4566" s="10"/>
      <c r="E4566" s="35" t="str">
        <f>IFERROR(__xludf.DUMMYFUNCTION("""COMPUTED_VALUE"""),"")</f>
        <v/>
      </c>
      <c r="F4566" s="35" t="str">
        <f>IFERROR(__xludf.DUMMYFUNCTION("""COMPUTED_VALUE"""),"1899")</f>
        <v>1899</v>
      </c>
      <c r="G4566" s="35"/>
      <c r="H4566" s="35" t="str">
        <f>IFERROR(__xludf.DUMMYFUNCTION("""COMPUTED_VALUE"""),"")</f>
        <v/>
      </c>
      <c r="I4566" s="35" t="str">
        <f>IFERROR(__xludf.DUMMYFUNCTION("""COMPUTED_VALUE"""),"")</f>
        <v/>
      </c>
      <c r="J4566" s="35" t="str">
        <f>IFERROR(__xludf.DUMMYFUNCTION("""COMPUTED_VALUE"""),"")</f>
        <v/>
      </c>
      <c r="K4566" s="35"/>
      <c r="L4566" s="35"/>
      <c r="M4566" s="35"/>
      <c r="N4566" s="35"/>
      <c r="O4566" s="35"/>
      <c r="P4566" s="35"/>
      <c r="Q4566" s="35"/>
      <c r="R4566" s="35"/>
      <c r="S4566" s="74"/>
      <c r="T4566" s="35"/>
      <c r="U4566" s="35"/>
      <c r="V4566" s="35"/>
      <c r="W4566" s="45"/>
    </row>
    <row r="4567">
      <c r="A4567" s="45"/>
      <c r="B4567" s="35"/>
      <c r="C4567" s="35"/>
      <c r="D4567" s="10"/>
      <c r="E4567" s="35" t="str">
        <f>IFERROR(__xludf.DUMMYFUNCTION("""COMPUTED_VALUE"""),"")</f>
        <v/>
      </c>
      <c r="F4567" s="35" t="str">
        <f>IFERROR(__xludf.DUMMYFUNCTION("""COMPUTED_VALUE"""),"1899")</f>
        <v>1899</v>
      </c>
      <c r="G4567" s="35"/>
      <c r="H4567" s="35" t="str">
        <f>IFERROR(__xludf.DUMMYFUNCTION("""COMPUTED_VALUE"""),"")</f>
        <v/>
      </c>
      <c r="I4567" s="35" t="str">
        <f>IFERROR(__xludf.DUMMYFUNCTION("""COMPUTED_VALUE"""),"")</f>
        <v/>
      </c>
      <c r="J4567" s="35" t="str">
        <f>IFERROR(__xludf.DUMMYFUNCTION("""COMPUTED_VALUE"""),"")</f>
        <v/>
      </c>
      <c r="K4567" s="35"/>
      <c r="L4567" s="35"/>
      <c r="M4567" s="35"/>
      <c r="N4567" s="35"/>
      <c r="O4567" s="35"/>
      <c r="P4567" s="35"/>
      <c r="Q4567" s="35"/>
      <c r="R4567" s="35"/>
      <c r="S4567" s="74"/>
      <c r="T4567" s="35"/>
      <c r="U4567" s="35"/>
      <c r="V4567" s="35"/>
      <c r="W4567" s="45"/>
    </row>
    <row r="4568">
      <c r="A4568" s="45"/>
      <c r="B4568" s="35"/>
      <c r="C4568" s="35"/>
      <c r="D4568" s="10"/>
      <c r="E4568" s="35"/>
      <c r="F4568" s="35"/>
      <c r="G4568" s="35"/>
      <c r="H4568" s="35"/>
      <c r="I4568" s="35"/>
      <c r="J4568" s="35"/>
      <c r="K4568" s="35"/>
      <c r="L4568" s="35"/>
      <c r="M4568" s="35"/>
      <c r="N4568" s="35"/>
      <c r="O4568" s="35"/>
      <c r="P4568" s="35"/>
      <c r="Q4568" s="35"/>
      <c r="R4568" s="35"/>
      <c r="S4568" s="74"/>
      <c r="T4568" s="35"/>
      <c r="U4568" s="35"/>
      <c r="V4568" s="35"/>
      <c r="W4568" s="45"/>
    </row>
    <row r="4569">
      <c r="A4569" s="45"/>
      <c r="B4569" s="35"/>
      <c r="C4569" s="35"/>
      <c r="D4569" s="10"/>
      <c r="E4569" s="35"/>
      <c r="F4569" s="35"/>
      <c r="G4569" s="35"/>
      <c r="H4569" s="35"/>
      <c r="I4569" s="35"/>
      <c r="J4569" s="35"/>
      <c r="K4569" s="35"/>
      <c r="L4569" s="35"/>
      <c r="M4569" s="35"/>
      <c r="N4569" s="35"/>
      <c r="O4569" s="35"/>
      <c r="P4569" s="35"/>
      <c r="Q4569" s="35"/>
      <c r="R4569" s="35"/>
      <c r="S4569" s="74"/>
      <c r="T4569" s="35"/>
      <c r="U4569" s="35"/>
      <c r="V4569" s="35"/>
      <c r="W4569" s="45"/>
    </row>
    <row r="4570">
      <c r="A4570" s="45"/>
      <c r="B4570" s="35"/>
      <c r="C4570" s="35"/>
      <c r="D4570" s="10"/>
      <c r="E4570" s="35"/>
      <c r="F4570" s="35"/>
      <c r="G4570" s="35"/>
      <c r="H4570" s="35"/>
      <c r="I4570" s="35"/>
      <c r="J4570" s="35"/>
      <c r="K4570" s="35"/>
      <c r="L4570" s="35"/>
      <c r="M4570" s="35"/>
      <c r="N4570" s="35"/>
      <c r="O4570" s="35"/>
      <c r="P4570" s="35"/>
      <c r="Q4570" s="35"/>
      <c r="R4570" s="35"/>
      <c r="S4570" s="74"/>
      <c r="T4570" s="35"/>
      <c r="U4570" s="35"/>
      <c r="V4570" s="35"/>
      <c r="W4570" s="45"/>
    </row>
    <row r="4571">
      <c r="A4571" s="45"/>
      <c r="B4571" s="35"/>
      <c r="C4571" s="35"/>
      <c r="D4571" s="10"/>
      <c r="E4571" s="35"/>
      <c r="F4571" s="35"/>
      <c r="G4571" s="35"/>
      <c r="H4571" s="35"/>
      <c r="I4571" s="35"/>
      <c r="J4571" s="35"/>
      <c r="K4571" s="35"/>
      <c r="L4571" s="35"/>
      <c r="M4571" s="35"/>
      <c r="N4571" s="35"/>
      <c r="O4571" s="35"/>
      <c r="P4571" s="35"/>
      <c r="Q4571" s="35"/>
      <c r="R4571" s="35"/>
      <c r="S4571" s="74"/>
      <c r="T4571" s="35"/>
      <c r="U4571" s="35"/>
      <c r="V4571" s="35"/>
      <c r="W4571" s="45"/>
    </row>
    <row r="4572">
      <c r="A4572" s="45"/>
      <c r="B4572" s="35"/>
      <c r="C4572" s="35"/>
      <c r="D4572" s="10"/>
      <c r="E4572" s="35"/>
      <c r="F4572" s="35"/>
      <c r="G4572" s="35"/>
      <c r="H4572" s="35"/>
      <c r="I4572" s="35"/>
      <c r="J4572" s="35"/>
      <c r="K4572" s="35"/>
      <c r="L4572" s="35"/>
      <c r="M4572" s="35"/>
      <c r="N4572" s="35"/>
      <c r="O4572" s="35"/>
      <c r="P4572" s="35"/>
      <c r="Q4572" s="35"/>
      <c r="R4572" s="35"/>
      <c r="S4572" s="74"/>
      <c r="T4572" s="35"/>
      <c r="U4572" s="35"/>
      <c r="V4572" s="35"/>
      <c r="W4572" s="45"/>
    </row>
    <row r="4573">
      <c r="A4573" s="45"/>
      <c r="B4573" s="35"/>
      <c r="C4573" s="35"/>
      <c r="D4573" s="10"/>
      <c r="E4573" s="35"/>
      <c r="F4573" s="35"/>
      <c r="G4573" s="35"/>
      <c r="H4573" s="35"/>
      <c r="I4573" s="35"/>
      <c r="J4573" s="35"/>
      <c r="K4573" s="35"/>
      <c r="L4573" s="35"/>
      <c r="M4573" s="35"/>
      <c r="N4573" s="35"/>
      <c r="O4573" s="35"/>
      <c r="P4573" s="35"/>
      <c r="Q4573" s="35"/>
      <c r="R4573" s="35"/>
      <c r="S4573" s="74"/>
      <c r="T4573" s="35"/>
      <c r="U4573" s="35"/>
      <c r="V4573" s="35"/>
      <c r="W4573" s="45"/>
    </row>
    <row r="4574">
      <c r="A4574" s="45"/>
      <c r="B4574" s="35"/>
      <c r="C4574" s="35"/>
      <c r="D4574" s="10"/>
      <c r="E4574" s="35"/>
      <c r="F4574" s="35"/>
      <c r="G4574" s="35"/>
      <c r="H4574" s="35"/>
      <c r="I4574" s="35"/>
      <c r="J4574" s="35"/>
      <c r="K4574" s="35"/>
      <c r="L4574" s="35"/>
      <c r="M4574" s="35"/>
      <c r="N4574" s="35"/>
      <c r="O4574" s="35"/>
      <c r="P4574" s="35"/>
      <c r="Q4574" s="35"/>
      <c r="R4574" s="35"/>
      <c r="S4574" s="74"/>
      <c r="T4574" s="35"/>
      <c r="U4574" s="35"/>
      <c r="V4574" s="35"/>
      <c r="W4574" s="45"/>
    </row>
    <row r="4575">
      <c r="A4575" s="45"/>
      <c r="B4575" s="35"/>
      <c r="C4575" s="35"/>
      <c r="D4575" s="10"/>
      <c r="E4575" s="35"/>
      <c r="F4575" s="35"/>
      <c r="G4575" s="35"/>
      <c r="H4575" s="35"/>
      <c r="I4575" s="35"/>
      <c r="J4575" s="35"/>
      <c r="K4575" s="35"/>
      <c r="L4575" s="35"/>
      <c r="M4575" s="35"/>
      <c r="N4575" s="35"/>
      <c r="O4575" s="35"/>
      <c r="P4575" s="35"/>
      <c r="Q4575" s="35"/>
      <c r="R4575" s="35"/>
      <c r="S4575" s="74"/>
      <c r="T4575" s="35"/>
      <c r="U4575" s="35"/>
      <c r="V4575" s="35"/>
      <c r="W4575" s="45"/>
    </row>
    <row r="4576">
      <c r="A4576" s="45"/>
      <c r="B4576" s="35"/>
      <c r="C4576" s="35"/>
      <c r="D4576" s="10"/>
      <c r="E4576" s="35"/>
      <c r="F4576" s="35"/>
      <c r="G4576" s="35"/>
      <c r="H4576" s="35"/>
      <c r="I4576" s="35"/>
      <c r="J4576" s="35"/>
      <c r="K4576" s="35"/>
      <c r="L4576" s="35"/>
      <c r="M4576" s="35"/>
      <c r="N4576" s="35"/>
      <c r="O4576" s="35"/>
      <c r="P4576" s="35"/>
      <c r="Q4576" s="35"/>
      <c r="R4576" s="35"/>
      <c r="S4576" s="74"/>
      <c r="T4576" s="35"/>
      <c r="U4576" s="35"/>
      <c r="V4576" s="35"/>
      <c r="W4576" s="45"/>
    </row>
    <row r="4577">
      <c r="A4577" s="45"/>
      <c r="B4577" s="35"/>
      <c r="C4577" s="35"/>
      <c r="D4577" s="10"/>
      <c r="E4577" s="35"/>
      <c r="F4577" s="35"/>
      <c r="G4577" s="35"/>
      <c r="H4577" s="35"/>
      <c r="I4577" s="35"/>
      <c r="J4577" s="35"/>
      <c r="K4577" s="35"/>
      <c r="L4577" s="35"/>
      <c r="M4577" s="35"/>
      <c r="N4577" s="35"/>
      <c r="O4577" s="35"/>
      <c r="P4577" s="35"/>
      <c r="Q4577" s="35"/>
      <c r="R4577" s="35"/>
      <c r="S4577" s="74"/>
      <c r="T4577" s="35"/>
      <c r="U4577" s="35"/>
      <c r="V4577" s="35"/>
      <c r="W4577" s="45"/>
    </row>
    <row r="4578">
      <c r="A4578" s="45"/>
      <c r="B4578" s="35"/>
      <c r="C4578" s="35"/>
      <c r="D4578" s="10"/>
      <c r="E4578" s="35"/>
      <c r="F4578" s="35"/>
      <c r="G4578" s="35"/>
      <c r="H4578" s="35"/>
      <c r="I4578" s="35"/>
      <c r="J4578" s="35"/>
      <c r="K4578" s="35"/>
      <c r="L4578" s="35"/>
      <c r="M4578" s="35"/>
      <c r="N4578" s="35"/>
      <c r="O4578" s="35"/>
      <c r="P4578" s="35"/>
      <c r="Q4578" s="35"/>
      <c r="R4578" s="35"/>
      <c r="S4578" s="74"/>
      <c r="T4578" s="35"/>
      <c r="U4578" s="35"/>
      <c r="V4578" s="35"/>
      <c r="W4578" s="45"/>
    </row>
    <row r="4579">
      <c r="A4579" s="45"/>
      <c r="B4579" s="35"/>
      <c r="C4579" s="35"/>
      <c r="D4579" s="10"/>
      <c r="E4579" s="35"/>
      <c r="F4579" s="35"/>
      <c r="G4579" s="35"/>
      <c r="H4579" s="35"/>
      <c r="I4579" s="35"/>
      <c r="J4579" s="35"/>
      <c r="K4579" s="35"/>
      <c r="L4579" s="35"/>
      <c r="M4579" s="35"/>
      <c r="N4579" s="35"/>
      <c r="O4579" s="35"/>
      <c r="P4579" s="35"/>
      <c r="Q4579" s="35"/>
      <c r="R4579" s="35"/>
      <c r="S4579" s="74"/>
      <c r="T4579" s="35"/>
      <c r="U4579" s="35"/>
      <c r="V4579" s="35"/>
      <c r="W4579" s="45"/>
    </row>
    <row r="4580">
      <c r="A4580" s="45"/>
      <c r="B4580" s="35"/>
      <c r="C4580" s="35"/>
      <c r="D4580" s="10"/>
      <c r="E4580" s="35"/>
      <c r="F4580" s="35"/>
      <c r="G4580" s="35"/>
      <c r="H4580" s="35"/>
      <c r="I4580" s="35"/>
      <c r="J4580" s="35"/>
      <c r="K4580" s="35"/>
      <c r="L4580" s="35"/>
      <c r="M4580" s="35"/>
      <c r="N4580" s="35"/>
      <c r="O4580" s="35"/>
      <c r="P4580" s="35"/>
      <c r="Q4580" s="35"/>
      <c r="R4580" s="35"/>
      <c r="S4580" s="74"/>
      <c r="T4580" s="35"/>
      <c r="U4580" s="35"/>
      <c r="V4580" s="35"/>
      <c r="W4580" s="45"/>
    </row>
    <row r="4581">
      <c r="A4581" s="45"/>
      <c r="B4581" s="35"/>
      <c r="C4581" s="35"/>
      <c r="D4581" s="10"/>
      <c r="E4581" s="35"/>
      <c r="F4581" s="35"/>
      <c r="G4581" s="35"/>
      <c r="H4581" s="35"/>
      <c r="I4581" s="35"/>
      <c r="J4581" s="35"/>
      <c r="K4581" s="35"/>
      <c r="L4581" s="35"/>
      <c r="M4581" s="35"/>
      <c r="N4581" s="35"/>
      <c r="O4581" s="35"/>
      <c r="P4581" s="35"/>
      <c r="Q4581" s="35"/>
      <c r="R4581" s="35"/>
      <c r="S4581" s="74"/>
      <c r="T4581" s="35"/>
      <c r="U4581" s="35"/>
      <c r="V4581" s="35"/>
      <c r="W4581" s="45"/>
    </row>
    <row r="4582">
      <c r="A4582" s="45"/>
      <c r="B4582" s="35"/>
      <c r="C4582" s="35"/>
      <c r="D4582" s="10"/>
      <c r="E4582" s="35"/>
      <c r="F4582" s="35"/>
      <c r="G4582" s="35"/>
      <c r="H4582" s="35"/>
      <c r="I4582" s="35"/>
      <c r="J4582" s="35"/>
      <c r="K4582" s="35"/>
      <c r="L4582" s="35"/>
      <c r="M4582" s="35"/>
      <c r="N4582" s="35"/>
      <c r="O4582" s="35"/>
      <c r="P4582" s="35"/>
      <c r="Q4582" s="35"/>
      <c r="R4582" s="35"/>
      <c r="S4582" s="74"/>
      <c r="T4582" s="35"/>
      <c r="U4582" s="35"/>
      <c r="V4582" s="35"/>
      <c r="W4582" s="45"/>
    </row>
    <row r="4583">
      <c r="A4583" s="45"/>
      <c r="B4583" s="35"/>
      <c r="C4583" s="35"/>
      <c r="D4583" s="10"/>
      <c r="E4583" s="35"/>
      <c r="F4583" s="35"/>
      <c r="G4583" s="35"/>
      <c r="H4583" s="35"/>
      <c r="I4583" s="35"/>
      <c r="J4583" s="35"/>
      <c r="K4583" s="35"/>
      <c r="L4583" s="35"/>
      <c r="M4583" s="35"/>
      <c r="N4583" s="35"/>
      <c r="O4583" s="35"/>
      <c r="P4583" s="35"/>
      <c r="Q4583" s="35"/>
      <c r="R4583" s="35"/>
      <c r="S4583" s="74"/>
      <c r="T4583" s="35"/>
      <c r="U4583" s="35"/>
      <c r="V4583" s="35"/>
      <c r="W4583" s="45"/>
    </row>
    <row r="4584">
      <c r="A4584" s="45"/>
      <c r="B4584" s="35"/>
      <c r="C4584" s="35"/>
      <c r="D4584" s="10"/>
      <c r="E4584" s="35"/>
      <c r="F4584" s="35"/>
      <c r="G4584" s="35"/>
      <c r="H4584" s="35"/>
      <c r="I4584" s="35"/>
      <c r="J4584" s="35"/>
      <c r="K4584" s="35"/>
      <c r="L4584" s="35"/>
      <c r="M4584" s="35"/>
      <c r="N4584" s="35"/>
      <c r="O4584" s="35"/>
      <c r="P4584" s="35"/>
      <c r="Q4584" s="35"/>
      <c r="R4584" s="35"/>
      <c r="S4584" s="74"/>
      <c r="T4584" s="35"/>
      <c r="U4584" s="35"/>
      <c r="V4584" s="35"/>
      <c r="W4584" s="45"/>
    </row>
    <row r="4585">
      <c r="A4585" s="45"/>
      <c r="B4585" s="35"/>
      <c r="C4585" s="35"/>
      <c r="D4585" s="10"/>
      <c r="E4585" s="35"/>
      <c r="F4585" s="35"/>
      <c r="G4585" s="35"/>
      <c r="H4585" s="35"/>
      <c r="I4585" s="35"/>
      <c r="J4585" s="35"/>
      <c r="K4585" s="35"/>
      <c r="L4585" s="35"/>
      <c r="M4585" s="35"/>
      <c r="N4585" s="35"/>
      <c r="O4585" s="35"/>
      <c r="P4585" s="35"/>
      <c r="Q4585" s="35"/>
      <c r="R4585" s="35"/>
      <c r="S4585" s="74"/>
      <c r="T4585" s="35"/>
      <c r="U4585" s="35"/>
      <c r="V4585" s="35"/>
      <c r="W4585" s="45"/>
    </row>
    <row r="4586">
      <c r="A4586" s="45"/>
      <c r="B4586" s="35"/>
      <c r="C4586" s="35"/>
      <c r="D4586" s="10"/>
      <c r="E4586" s="35"/>
      <c r="F4586" s="35"/>
      <c r="G4586" s="35"/>
      <c r="H4586" s="35"/>
      <c r="I4586" s="35"/>
      <c r="J4586" s="35"/>
      <c r="K4586" s="35"/>
      <c r="L4586" s="35"/>
      <c r="M4586" s="35"/>
      <c r="N4586" s="35"/>
      <c r="O4586" s="35"/>
      <c r="P4586" s="35"/>
      <c r="Q4586" s="35"/>
      <c r="R4586" s="35"/>
      <c r="S4586" s="74"/>
      <c r="T4586" s="35"/>
      <c r="U4586" s="35"/>
      <c r="V4586" s="35"/>
      <c r="W4586" s="45"/>
    </row>
    <row r="4587">
      <c r="A4587" s="45"/>
      <c r="B4587" s="35"/>
      <c r="C4587" s="35"/>
      <c r="D4587" s="10"/>
      <c r="E4587" s="35"/>
      <c r="F4587" s="35"/>
      <c r="G4587" s="35"/>
      <c r="H4587" s="35"/>
      <c r="I4587" s="35"/>
      <c r="J4587" s="35"/>
      <c r="K4587" s="35"/>
      <c r="L4587" s="35"/>
      <c r="M4587" s="35"/>
      <c r="N4587" s="35"/>
      <c r="O4587" s="35"/>
      <c r="P4587" s="35"/>
      <c r="Q4587" s="35"/>
      <c r="R4587" s="35"/>
      <c r="S4587" s="74"/>
      <c r="T4587" s="35"/>
      <c r="U4587" s="35"/>
      <c r="V4587" s="35"/>
      <c r="W4587" s="45"/>
    </row>
    <row r="4588">
      <c r="A4588" s="45"/>
      <c r="B4588" s="35"/>
      <c r="C4588" s="35"/>
      <c r="D4588" s="10"/>
      <c r="E4588" s="35"/>
      <c r="F4588" s="35"/>
      <c r="G4588" s="35"/>
      <c r="H4588" s="35"/>
      <c r="I4588" s="35"/>
      <c r="J4588" s="35"/>
      <c r="K4588" s="35"/>
      <c r="L4588" s="35"/>
      <c r="M4588" s="35"/>
      <c r="N4588" s="35"/>
      <c r="O4588" s="35"/>
      <c r="P4588" s="35"/>
      <c r="Q4588" s="35"/>
      <c r="R4588" s="35"/>
      <c r="S4588" s="74"/>
      <c r="T4588" s="35"/>
      <c r="U4588" s="35"/>
      <c r="V4588" s="35"/>
      <c r="W4588" s="45"/>
    </row>
    <row r="4589">
      <c r="A4589" s="45"/>
      <c r="B4589" s="35"/>
      <c r="C4589" s="35"/>
      <c r="D4589" s="10"/>
      <c r="E4589" s="35"/>
      <c r="F4589" s="35"/>
      <c r="G4589" s="35"/>
      <c r="H4589" s="35"/>
      <c r="I4589" s="35"/>
      <c r="J4589" s="35"/>
      <c r="K4589" s="35"/>
      <c r="L4589" s="35"/>
      <c r="M4589" s="35"/>
      <c r="N4589" s="35"/>
      <c r="O4589" s="35"/>
      <c r="P4589" s="35"/>
      <c r="Q4589" s="35"/>
      <c r="R4589" s="35"/>
      <c r="S4589" s="74"/>
      <c r="T4589" s="35"/>
      <c r="U4589" s="35"/>
      <c r="V4589" s="35"/>
      <c r="W4589" s="45"/>
    </row>
    <row r="4590">
      <c r="A4590" s="45"/>
      <c r="B4590" s="35"/>
      <c r="C4590" s="35"/>
      <c r="D4590" s="10"/>
      <c r="E4590" s="35"/>
      <c r="F4590" s="35"/>
      <c r="G4590" s="35"/>
      <c r="H4590" s="35"/>
      <c r="I4590" s="35"/>
      <c r="J4590" s="35"/>
      <c r="K4590" s="35"/>
      <c r="L4590" s="35"/>
      <c r="M4590" s="35"/>
      <c r="N4590" s="35"/>
      <c r="O4590" s="35"/>
      <c r="P4590" s="35"/>
      <c r="Q4590" s="35"/>
      <c r="R4590" s="35"/>
      <c r="S4590" s="74"/>
      <c r="T4590" s="35"/>
      <c r="U4590" s="35"/>
      <c r="V4590" s="35"/>
      <c r="W4590" s="45"/>
    </row>
    <row r="4591">
      <c r="A4591" s="45"/>
      <c r="B4591" s="35"/>
      <c r="C4591" s="35"/>
      <c r="D4591" s="10"/>
      <c r="E4591" s="35"/>
      <c r="F4591" s="35"/>
      <c r="G4591" s="35"/>
      <c r="H4591" s="35"/>
      <c r="I4591" s="35"/>
      <c r="J4591" s="35"/>
      <c r="K4591" s="35"/>
      <c r="L4591" s="35"/>
      <c r="M4591" s="35"/>
      <c r="N4591" s="35"/>
      <c r="O4591" s="35"/>
      <c r="P4591" s="35"/>
      <c r="Q4591" s="35"/>
      <c r="R4591" s="35"/>
      <c r="S4591" s="74"/>
      <c r="T4591" s="35"/>
      <c r="U4591" s="35"/>
      <c r="V4591" s="35"/>
      <c r="W4591" s="45"/>
    </row>
    <row r="4592">
      <c r="A4592" s="45"/>
      <c r="B4592" s="35"/>
      <c r="C4592" s="35"/>
      <c r="D4592" s="10"/>
      <c r="E4592" s="35"/>
      <c r="F4592" s="35"/>
      <c r="G4592" s="35"/>
      <c r="H4592" s="35"/>
      <c r="I4592" s="35"/>
      <c r="J4592" s="35"/>
      <c r="K4592" s="35"/>
      <c r="L4592" s="35"/>
      <c r="M4592" s="35"/>
      <c r="N4592" s="35"/>
      <c r="O4592" s="35"/>
      <c r="P4592" s="35"/>
      <c r="Q4592" s="35"/>
      <c r="R4592" s="35"/>
      <c r="S4592" s="74"/>
      <c r="T4592" s="35"/>
      <c r="U4592" s="35"/>
      <c r="V4592" s="35"/>
      <c r="W4592" s="45"/>
    </row>
    <row r="4593">
      <c r="A4593" s="45"/>
      <c r="B4593" s="35"/>
      <c r="C4593" s="35"/>
      <c r="D4593" s="10"/>
      <c r="E4593" s="35"/>
      <c r="F4593" s="35"/>
      <c r="G4593" s="35"/>
      <c r="H4593" s="35"/>
      <c r="I4593" s="35"/>
      <c r="J4593" s="35"/>
      <c r="K4593" s="35"/>
      <c r="L4593" s="35"/>
      <c r="M4593" s="35"/>
      <c r="N4593" s="35"/>
      <c r="O4593" s="35"/>
      <c r="P4593" s="35"/>
      <c r="Q4593" s="35"/>
      <c r="R4593" s="35"/>
      <c r="S4593" s="74"/>
      <c r="T4593" s="35"/>
      <c r="U4593" s="35"/>
      <c r="V4593" s="35"/>
      <c r="W4593" s="45"/>
    </row>
    <row r="4594">
      <c r="A4594" s="45"/>
      <c r="B4594" s="35"/>
      <c r="C4594" s="35"/>
      <c r="D4594" s="10"/>
      <c r="E4594" s="35"/>
      <c r="F4594" s="35"/>
      <c r="G4594" s="35"/>
      <c r="H4594" s="35"/>
      <c r="I4594" s="35"/>
      <c r="J4594" s="35"/>
      <c r="K4594" s="35"/>
      <c r="L4594" s="35"/>
      <c r="M4594" s="35"/>
      <c r="N4594" s="35"/>
      <c r="O4594" s="35"/>
      <c r="P4594" s="35"/>
      <c r="Q4594" s="35"/>
      <c r="R4594" s="35"/>
      <c r="S4594" s="74"/>
      <c r="T4594" s="35"/>
      <c r="U4594" s="35"/>
      <c r="V4594" s="35"/>
      <c r="W4594" s="45"/>
    </row>
    <row r="4595">
      <c r="A4595" s="45"/>
      <c r="B4595" s="35"/>
      <c r="C4595" s="35"/>
      <c r="D4595" s="10"/>
      <c r="E4595" s="35"/>
      <c r="F4595" s="35"/>
      <c r="G4595" s="35"/>
      <c r="H4595" s="35"/>
      <c r="I4595" s="35"/>
      <c r="J4595" s="35"/>
      <c r="K4595" s="35"/>
      <c r="L4595" s="35"/>
      <c r="M4595" s="35"/>
      <c r="N4595" s="35"/>
      <c r="O4595" s="35"/>
      <c r="P4595" s="35"/>
      <c r="Q4595" s="35"/>
      <c r="R4595" s="35"/>
      <c r="S4595" s="74"/>
      <c r="T4595" s="35"/>
      <c r="U4595" s="35"/>
      <c r="V4595" s="35"/>
      <c r="W4595" s="45"/>
    </row>
    <row r="4596">
      <c r="A4596" s="45"/>
      <c r="B4596" s="35"/>
      <c r="C4596" s="35"/>
      <c r="D4596" s="10"/>
      <c r="E4596" s="35"/>
      <c r="F4596" s="35"/>
      <c r="G4596" s="35"/>
      <c r="H4596" s="35"/>
      <c r="I4596" s="35"/>
      <c r="J4596" s="35"/>
      <c r="K4596" s="35"/>
      <c r="L4596" s="35"/>
      <c r="M4596" s="35"/>
      <c r="N4596" s="35"/>
      <c r="O4596" s="35"/>
      <c r="P4596" s="35"/>
      <c r="Q4596" s="35"/>
      <c r="R4596" s="35"/>
      <c r="S4596" s="74"/>
      <c r="T4596" s="35"/>
      <c r="U4596" s="35"/>
      <c r="V4596" s="35"/>
      <c r="W4596" s="45"/>
    </row>
    <row r="4597">
      <c r="A4597" s="45"/>
      <c r="B4597" s="35"/>
      <c r="C4597" s="35"/>
      <c r="D4597" s="10"/>
      <c r="E4597" s="35"/>
      <c r="F4597" s="35"/>
      <c r="G4597" s="35"/>
      <c r="H4597" s="35"/>
      <c r="I4597" s="35"/>
      <c r="J4597" s="35"/>
      <c r="K4597" s="35"/>
      <c r="L4597" s="35"/>
      <c r="M4597" s="35"/>
      <c r="N4597" s="35"/>
      <c r="O4597" s="35"/>
      <c r="P4597" s="35"/>
      <c r="Q4597" s="35"/>
      <c r="R4597" s="35"/>
      <c r="S4597" s="74"/>
      <c r="T4597" s="35"/>
      <c r="U4597" s="35"/>
      <c r="V4597" s="35"/>
      <c r="W4597" s="45"/>
    </row>
    <row r="4598">
      <c r="A4598" s="45"/>
      <c r="B4598" s="35"/>
      <c r="C4598" s="35"/>
      <c r="D4598" s="10"/>
      <c r="E4598" s="35"/>
      <c r="F4598" s="35"/>
      <c r="G4598" s="35"/>
      <c r="H4598" s="35"/>
      <c r="I4598" s="35"/>
      <c r="J4598" s="35"/>
      <c r="K4598" s="35"/>
      <c r="L4598" s="35"/>
      <c r="M4598" s="35"/>
      <c r="N4598" s="35"/>
      <c r="O4598" s="35"/>
      <c r="P4598" s="35"/>
      <c r="Q4598" s="35"/>
      <c r="R4598" s="35"/>
      <c r="S4598" s="74"/>
      <c r="T4598" s="35"/>
      <c r="U4598" s="35"/>
      <c r="V4598" s="35"/>
      <c r="W4598" s="45"/>
    </row>
    <row r="4599">
      <c r="A4599" s="45"/>
      <c r="B4599" s="35"/>
      <c r="C4599" s="35"/>
      <c r="D4599" s="10"/>
      <c r="E4599" s="35"/>
      <c r="F4599" s="35"/>
      <c r="G4599" s="35"/>
      <c r="H4599" s="35"/>
      <c r="I4599" s="35"/>
      <c r="J4599" s="35"/>
      <c r="K4599" s="35"/>
      <c r="L4599" s="35"/>
      <c r="M4599" s="35"/>
      <c r="N4599" s="35"/>
      <c r="O4599" s="35"/>
      <c r="P4599" s="35"/>
      <c r="Q4599" s="35"/>
      <c r="R4599" s="35"/>
      <c r="S4599" s="74"/>
      <c r="T4599" s="35"/>
      <c r="U4599" s="35"/>
      <c r="V4599" s="35"/>
      <c r="W4599" s="45"/>
    </row>
    <row r="4600">
      <c r="A4600" s="45"/>
      <c r="B4600" s="35"/>
      <c r="C4600" s="35"/>
      <c r="D4600" s="10"/>
      <c r="E4600" s="35"/>
      <c r="F4600" s="35"/>
      <c r="G4600" s="35"/>
      <c r="H4600" s="35"/>
      <c r="I4600" s="35"/>
      <c r="J4600" s="35"/>
      <c r="K4600" s="35"/>
      <c r="L4600" s="35"/>
      <c r="M4600" s="35"/>
      <c r="N4600" s="35"/>
      <c r="O4600" s="35"/>
      <c r="P4600" s="35"/>
      <c r="Q4600" s="35"/>
      <c r="R4600" s="35"/>
      <c r="S4600" s="74"/>
      <c r="T4600" s="35"/>
      <c r="U4600" s="35"/>
      <c r="V4600" s="35"/>
      <c r="W4600" s="45"/>
    </row>
    <row r="4601">
      <c r="A4601" s="45"/>
      <c r="B4601" s="35"/>
      <c r="C4601" s="35"/>
      <c r="D4601" s="10"/>
      <c r="E4601" s="35"/>
      <c r="F4601" s="35"/>
      <c r="G4601" s="35"/>
      <c r="H4601" s="35"/>
      <c r="I4601" s="35"/>
      <c r="J4601" s="35"/>
      <c r="K4601" s="35"/>
      <c r="L4601" s="35"/>
      <c r="M4601" s="35"/>
      <c r="N4601" s="35"/>
      <c r="O4601" s="35"/>
      <c r="P4601" s="35"/>
      <c r="Q4601" s="35"/>
      <c r="R4601" s="35"/>
      <c r="S4601" s="74"/>
      <c r="T4601" s="35"/>
      <c r="U4601" s="35"/>
      <c r="V4601" s="35"/>
      <c r="W4601" s="45"/>
    </row>
    <row r="4602">
      <c r="A4602" s="45"/>
      <c r="B4602" s="35"/>
      <c r="C4602" s="35"/>
      <c r="D4602" s="10"/>
      <c r="E4602" s="35"/>
      <c r="F4602" s="35"/>
      <c r="G4602" s="35"/>
      <c r="H4602" s="35"/>
      <c r="I4602" s="35"/>
      <c r="J4602" s="35"/>
      <c r="K4602" s="35"/>
      <c r="L4602" s="35"/>
      <c r="M4602" s="35"/>
      <c r="N4602" s="35"/>
      <c r="O4602" s="35"/>
      <c r="P4602" s="35"/>
      <c r="Q4602" s="35"/>
      <c r="R4602" s="35"/>
      <c r="S4602" s="74"/>
      <c r="T4602" s="35"/>
      <c r="U4602" s="35"/>
      <c r="V4602" s="35"/>
      <c r="W4602" s="45"/>
    </row>
    <row r="4603">
      <c r="A4603" s="45"/>
      <c r="B4603" s="35"/>
      <c r="C4603" s="35"/>
      <c r="D4603" s="10"/>
      <c r="E4603" s="35"/>
      <c r="F4603" s="35"/>
      <c r="G4603" s="35"/>
      <c r="H4603" s="35"/>
      <c r="I4603" s="35"/>
      <c r="J4603" s="35"/>
      <c r="K4603" s="35"/>
      <c r="L4603" s="35"/>
      <c r="M4603" s="35"/>
      <c r="N4603" s="35"/>
      <c r="O4603" s="35"/>
      <c r="P4603" s="35"/>
      <c r="Q4603" s="35"/>
      <c r="R4603" s="35"/>
      <c r="S4603" s="74"/>
      <c r="T4603" s="35"/>
      <c r="U4603" s="35"/>
      <c r="V4603" s="35"/>
      <c r="W4603" s="45"/>
    </row>
    <row r="4604">
      <c r="A4604" s="45"/>
      <c r="B4604" s="35"/>
      <c r="C4604" s="35"/>
      <c r="D4604" s="10"/>
      <c r="E4604" s="35"/>
      <c r="F4604" s="35"/>
      <c r="G4604" s="35"/>
      <c r="H4604" s="35"/>
      <c r="I4604" s="35"/>
      <c r="J4604" s="35"/>
      <c r="K4604" s="35"/>
      <c r="L4604" s="35"/>
      <c r="M4604" s="35"/>
      <c r="N4604" s="35"/>
      <c r="O4604" s="35"/>
      <c r="P4604" s="35"/>
      <c r="Q4604" s="35"/>
      <c r="R4604" s="35"/>
      <c r="S4604" s="74"/>
      <c r="T4604" s="35"/>
      <c r="U4604" s="35"/>
      <c r="V4604" s="35"/>
      <c r="W4604" s="45"/>
    </row>
    <row r="4605">
      <c r="A4605" s="45"/>
      <c r="B4605" s="35"/>
      <c r="C4605" s="35"/>
      <c r="D4605" s="10"/>
      <c r="E4605" s="35"/>
      <c r="F4605" s="35"/>
      <c r="G4605" s="35"/>
      <c r="H4605" s="35"/>
      <c r="I4605" s="35"/>
      <c r="J4605" s="35"/>
      <c r="K4605" s="35"/>
      <c r="L4605" s="35"/>
      <c r="M4605" s="35"/>
      <c r="N4605" s="35"/>
      <c r="O4605" s="35"/>
      <c r="P4605" s="35"/>
      <c r="Q4605" s="35"/>
      <c r="R4605" s="35"/>
      <c r="S4605" s="74"/>
      <c r="T4605" s="35"/>
      <c r="U4605" s="35"/>
      <c r="V4605" s="35"/>
      <c r="W4605" s="45"/>
    </row>
    <row r="4606">
      <c r="A4606" s="45"/>
      <c r="B4606" s="35"/>
      <c r="C4606" s="35"/>
      <c r="D4606" s="10"/>
      <c r="E4606" s="35"/>
      <c r="F4606" s="35"/>
      <c r="G4606" s="35"/>
      <c r="H4606" s="35"/>
      <c r="I4606" s="35"/>
      <c r="J4606" s="35"/>
      <c r="K4606" s="35"/>
      <c r="L4606" s="35"/>
      <c r="M4606" s="35"/>
      <c r="N4606" s="35"/>
      <c r="O4606" s="35"/>
      <c r="P4606" s="35"/>
      <c r="Q4606" s="35"/>
      <c r="R4606" s="35"/>
      <c r="S4606" s="74"/>
      <c r="T4606" s="35"/>
      <c r="U4606" s="35"/>
      <c r="V4606" s="35"/>
      <c r="W4606" s="45"/>
    </row>
    <row r="4607">
      <c r="A4607" s="45"/>
      <c r="B4607" s="35"/>
      <c r="C4607" s="35"/>
      <c r="D4607" s="10"/>
      <c r="E4607" s="35"/>
      <c r="F4607" s="35"/>
      <c r="G4607" s="35"/>
      <c r="H4607" s="35"/>
      <c r="I4607" s="35"/>
      <c r="J4607" s="35"/>
      <c r="K4607" s="35"/>
      <c r="L4607" s="35"/>
      <c r="M4607" s="35"/>
      <c r="N4607" s="35"/>
      <c r="O4607" s="35"/>
      <c r="P4607" s="35"/>
      <c r="Q4607" s="35"/>
      <c r="R4607" s="35"/>
      <c r="S4607" s="74"/>
      <c r="T4607" s="35"/>
      <c r="U4607" s="35"/>
      <c r="V4607" s="35"/>
      <c r="W4607" s="45"/>
    </row>
    <row r="4608">
      <c r="A4608" s="45"/>
      <c r="B4608" s="35"/>
      <c r="C4608" s="35"/>
      <c r="D4608" s="10"/>
      <c r="E4608" s="35"/>
      <c r="F4608" s="35"/>
      <c r="G4608" s="35"/>
      <c r="H4608" s="35"/>
      <c r="I4608" s="35"/>
      <c r="J4608" s="35"/>
      <c r="K4608" s="35"/>
      <c r="L4608" s="35"/>
      <c r="M4608" s="35"/>
      <c r="N4608" s="35"/>
      <c r="O4608" s="35"/>
      <c r="P4608" s="35"/>
      <c r="Q4608" s="35"/>
      <c r="R4608" s="35"/>
      <c r="S4608" s="74"/>
      <c r="T4608" s="35"/>
      <c r="U4608" s="35"/>
      <c r="V4608" s="35"/>
      <c r="W4608" s="45"/>
    </row>
    <row r="4609">
      <c r="A4609" s="45"/>
      <c r="B4609" s="35"/>
      <c r="C4609" s="35"/>
      <c r="D4609" s="10"/>
      <c r="E4609" s="35"/>
      <c r="F4609" s="35"/>
      <c r="G4609" s="35"/>
      <c r="H4609" s="35"/>
      <c r="I4609" s="35"/>
      <c r="J4609" s="35"/>
      <c r="K4609" s="35"/>
      <c r="L4609" s="35"/>
      <c r="M4609" s="35"/>
      <c r="N4609" s="35"/>
      <c r="O4609" s="35"/>
      <c r="P4609" s="35"/>
      <c r="Q4609" s="35"/>
      <c r="R4609" s="35"/>
      <c r="S4609" s="74"/>
      <c r="T4609" s="35"/>
      <c r="U4609" s="35"/>
      <c r="V4609" s="35"/>
      <c r="W4609" s="45"/>
    </row>
    <row r="4610">
      <c r="A4610" s="45"/>
      <c r="B4610" s="35"/>
      <c r="C4610" s="35"/>
      <c r="D4610" s="10"/>
      <c r="E4610" s="35"/>
      <c r="F4610" s="35"/>
      <c r="G4610" s="35"/>
      <c r="H4610" s="35"/>
      <c r="I4610" s="35"/>
      <c r="J4610" s="35"/>
      <c r="K4610" s="35"/>
      <c r="L4610" s="35"/>
      <c r="M4610" s="35"/>
      <c r="N4610" s="35"/>
      <c r="O4610" s="35"/>
      <c r="P4610" s="35"/>
      <c r="Q4610" s="35"/>
      <c r="R4610" s="35"/>
      <c r="S4610" s="74"/>
      <c r="T4610" s="35"/>
      <c r="U4610" s="35"/>
      <c r="V4610" s="35"/>
      <c r="W4610" s="45"/>
    </row>
    <row r="4611">
      <c r="A4611" s="45"/>
      <c r="B4611" s="35"/>
      <c r="C4611" s="35"/>
      <c r="D4611" s="10"/>
      <c r="E4611" s="35"/>
      <c r="F4611" s="35"/>
      <c r="G4611" s="35"/>
      <c r="H4611" s="35"/>
      <c r="I4611" s="35"/>
      <c r="J4611" s="35"/>
      <c r="K4611" s="35"/>
      <c r="L4611" s="35"/>
      <c r="M4611" s="35"/>
      <c r="N4611" s="35"/>
      <c r="O4611" s="35"/>
      <c r="P4611" s="35"/>
      <c r="Q4611" s="35"/>
      <c r="R4611" s="35"/>
      <c r="S4611" s="74"/>
      <c r="T4611" s="35"/>
      <c r="U4611" s="35"/>
      <c r="V4611" s="35"/>
      <c r="W4611" s="45"/>
    </row>
    <row r="4612">
      <c r="A4612" s="45"/>
      <c r="B4612" s="35"/>
      <c r="C4612" s="35"/>
      <c r="D4612" s="10"/>
      <c r="E4612" s="35"/>
      <c r="F4612" s="35"/>
      <c r="G4612" s="35"/>
      <c r="H4612" s="35"/>
      <c r="I4612" s="35"/>
      <c r="J4612" s="35"/>
      <c r="K4612" s="35"/>
      <c r="L4612" s="35"/>
      <c r="M4612" s="35"/>
      <c r="N4612" s="35"/>
      <c r="O4612" s="35"/>
      <c r="P4612" s="35"/>
      <c r="Q4612" s="35"/>
      <c r="R4612" s="35"/>
      <c r="S4612" s="74"/>
      <c r="T4612" s="35"/>
      <c r="U4612" s="35"/>
      <c r="V4612" s="35"/>
      <c r="W4612" s="45"/>
    </row>
    <row r="4613">
      <c r="A4613" s="45"/>
      <c r="B4613" s="35"/>
      <c r="C4613" s="35"/>
      <c r="D4613" s="10"/>
      <c r="E4613" s="35"/>
      <c r="F4613" s="35"/>
      <c r="G4613" s="35"/>
      <c r="H4613" s="35"/>
      <c r="I4613" s="35"/>
      <c r="J4613" s="35"/>
      <c r="K4613" s="35"/>
      <c r="L4613" s="35"/>
      <c r="M4613" s="35"/>
      <c r="N4613" s="35"/>
      <c r="O4613" s="35"/>
      <c r="P4613" s="35"/>
      <c r="Q4613" s="35"/>
      <c r="R4613" s="35"/>
      <c r="S4613" s="74"/>
      <c r="T4613" s="35"/>
      <c r="U4613" s="35"/>
      <c r="V4613" s="35"/>
      <c r="W4613" s="45"/>
    </row>
    <row r="4614">
      <c r="A4614" s="45"/>
      <c r="B4614" s="35"/>
      <c r="C4614" s="35"/>
      <c r="D4614" s="10"/>
      <c r="E4614" s="35"/>
      <c r="F4614" s="35"/>
      <c r="G4614" s="35"/>
      <c r="H4614" s="35"/>
      <c r="I4614" s="35"/>
      <c r="J4614" s="35"/>
      <c r="K4614" s="35"/>
      <c r="L4614" s="35"/>
      <c r="M4614" s="35"/>
      <c r="N4614" s="35"/>
      <c r="O4614" s="35"/>
      <c r="P4614" s="35"/>
      <c r="Q4614" s="35"/>
      <c r="R4614" s="35"/>
      <c r="S4614" s="74"/>
      <c r="T4614" s="35"/>
      <c r="U4614" s="35"/>
      <c r="V4614" s="35"/>
      <c r="W4614" s="45"/>
    </row>
    <row r="4615">
      <c r="A4615" s="45"/>
      <c r="B4615" s="35"/>
      <c r="C4615" s="35"/>
      <c r="D4615" s="10"/>
      <c r="E4615" s="35"/>
      <c r="F4615" s="35"/>
      <c r="G4615" s="35"/>
      <c r="H4615" s="35"/>
      <c r="I4615" s="35"/>
      <c r="J4615" s="35"/>
      <c r="K4615" s="35"/>
      <c r="L4615" s="35"/>
      <c r="M4615" s="35"/>
      <c r="N4615" s="35"/>
      <c r="O4615" s="35"/>
      <c r="P4615" s="35"/>
      <c r="Q4615" s="35"/>
      <c r="R4615" s="35"/>
      <c r="S4615" s="74"/>
      <c r="T4615" s="35"/>
      <c r="U4615" s="35"/>
      <c r="V4615" s="35"/>
      <c r="W4615" s="45"/>
    </row>
    <row r="4616">
      <c r="A4616" s="45"/>
      <c r="B4616" s="35"/>
      <c r="C4616" s="35"/>
      <c r="D4616" s="10"/>
      <c r="E4616" s="35"/>
      <c r="F4616" s="35"/>
      <c r="G4616" s="35"/>
      <c r="H4616" s="35"/>
      <c r="I4616" s="35"/>
      <c r="J4616" s="35"/>
      <c r="K4616" s="35"/>
      <c r="L4616" s="35"/>
      <c r="M4616" s="35"/>
      <c r="N4616" s="35"/>
      <c r="O4616" s="35"/>
      <c r="P4616" s="35"/>
      <c r="Q4616" s="35"/>
      <c r="R4616" s="35"/>
      <c r="S4616" s="74"/>
      <c r="T4616" s="35"/>
      <c r="U4616" s="35"/>
      <c r="V4616" s="35"/>
      <c r="W4616" s="45"/>
    </row>
    <row r="4617">
      <c r="A4617" s="45"/>
      <c r="B4617" s="35"/>
      <c r="C4617" s="35"/>
      <c r="D4617" s="10"/>
      <c r="E4617" s="35"/>
      <c r="F4617" s="35"/>
      <c r="G4617" s="35"/>
      <c r="H4617" s="35"/>
      <c r="I4617" s="35"/>
      <c r="J4617" s="35"/>
      <c r="K4617" s="35"/>
      <c r="L4617" s="35"/>
      <c r="M4617" s="35"/>
      <c r="N4617" s="35"/>
      <c r="O4617" s="35"/>
      <c r="P4617" s="35"/>
      <c r="Q4617" s="35"/>
      <c r="R4617" s="35"/>
      <c r="S4617" s="74"/>
      <c r="T4617" s="35"/>
      <c r="U4617" s="35"/>
      <c r="V4617" s="35"/>
      <c r="W4617" s="45"/>
    </row>
    <row r="4618">
      <c r="A4618" s="45"/>
      <c r="B4618" s="35"/>
      <c r="C4618" s="35"/>
      <c r="D4618" s="10"/>
      <c r="E4618" s="35"/>
      <c r="F4618" s="35"/>
      <c r="G4618" s="35"/>
      <c r="H4618" s="35"/>
      <c r="I4618" s="35"/>
      <c r="J4618" s="35"/>
      <c r="K4618" s="35"/>
      <c r="L4618" s="35"/>
      <c r="M4618" s="35"/>
      <c r="N4618" s="35"/>
      <c r="O4618" s="35"/>
      <c r="P4618" s="35"/>
      <c r="Q4618" s="35"/>
      <c r="R4618" s="35"/>
      <c r="S4618" s="74"/>
      <c r="T4618" s="35"/>
      <c r="U4618" s="35"/>
      <c r="V4618" s="35"/>
      <c r="W4618" s="45"/>
    </row>
    <row r="4619">
      <c r="A4619" s="45"/>
      <c r="B4619" s="35"/>
      <c r="C4619" s="35"/>
      <c r="D4619" s="10"/>
      <c r="E4619" s="35"/>
      <c r="F4619" s="35"/>
      <c r="G4619" s="35"/>
      <c r="H4619" s="35"/>
      <c r="I4619" s="35"/>
      <c r="J4619" s="35"/>
      <c r="K4619" s="35"/>
      <c r="L4619" s="35"/>
      <c r="M4619" s="35"/>
      <c r="N4619" s="35"/>
      <c r="O4619" s="35"/>
      <c r="P4619" s="35"/>
      <c r="Q4619" s="35"/>
      <c r="R4619" s="35"/>
      <c r="S4619" s="74"/>
      <c r="T4619" s="35"/>
      <c r="U4619" s="35"/>
      <c r="V4619" s="35"/>
      <c r="W4619" s="45"/>
    </row>
    <row r="4620">
      <c r="A4620" s="45"/>
      <c r="B4620" s="35"/>
      <c r="C4620" s="35"/>
      <c r="D4620" s="10"/>
      <c r="E4620" s="35"/>
      <c r="F4620" s="35"/>
      <c r="G4620" s="35"/>
      <c r="H4620" s="35"/>
      <c r="I4620" s="35"/>
      <c r="J4620" s="35"/>
      <c r="K4620" s="35"/>
      <c r="L4620" s="35"/>
      <c r="M4620" s="35"/>
      <c r="N4620" s="35"/>
      <c r="O4620" s="35"/>
      <c r="P4620" s="35"/>
      <c r="Q4620" s="35"/>
      <c r="R4620" s="35"/>
      <c r="S4620" s="74"/>
      <c r="T4620" s="35"/>
      <c r="U4620" s="35"/>
      <c r="V4620" s="35"/>
      <c r="W4620" s="45"/>
    </row>
    <row r="4621">
      <c r="A4621" s="45"/>
      <c r="B4621" s="35"/>
      <c r="C4621" s="35"/>
      <c r="D4621" s="10"/>
      <c r="E4621" s="35"/>
      <c r="F4621" s="35"/>
      <c r="G4621" s="35"/>
      <c r="H4621" s="35"/>
      <c r="I4621" s="35"/>
      <c r="J4621" s="35"/>
      <c r="K4621" s="35"/>
      <c r="L4621" s="35"/>
      <c r="M4621" s="35"/>
      <c r="N4621" s="35"/>
      <c r="O4621" s="35"/>
      <c r="P4621" s="35"/>
      <c r="Q4621" s="35"/>
      <c r="R4621" s="35"/>
      <c r="S4621" s="74"/>
      <c r="T4621" s="35"/>
      <c r="U4621" s="35"/>
      <c r="V4621" s="35"/>
      <c r="W4621" s="45"/>
    </row>
    <row r="4622">
      <c r="A4622" s="45"/>
      <c r="B4622" s="35"/>
      <c r="C4622" s="35"/>
      <c r="D4622" s="10"/>
      <c r="E4622" s="35"/>
      <c r="F4622" s="35"/>
      <c r="G4622" s="35"/>
      <c r="H4622" s="35"/>
      <c r="I4622" s="35"/>
      <c r="J4622" s="35"/>
      <c r="K4622" s="35"/>
      <c r="L4622" s="35"/>
      <c r="M4622" s="35"/>
      <c r="N4622" s="35"/>
      <c r="O4622" s="35"/>
      <c r="P4622" s="35"/>
      <c r="Q4622" s="35"/>
      <c r="R4622" s="35"/>
      <c r="S4622" s="74"/>
      <c r="T4622" s="35"/>
      <c r="U4622" s="35"/>
      <c r="V4622" s="35"/>
      <c r="W4622" s="45"/>
    </row>
    <row r="4623">
      <c r="A4623" s="45"/>
      <c r="B4623" s="35"/>
      <c r="C4623" s="35"/>
      <c r="D4623" s="10"/>
      <c r="E4623" s="35"/>
      <c r="F4623" s="35"/>
      <c r="G4623" s="35"/>
      <c r="H4623" s="35"/>
      <c r="I4623" s="35"/>
      <c r="J4623" s="35"/>
      <c r="K4623" s="35"/>
      <c r="L4623" s="35"/>
      <c r="M4623" s="35"/>
      <c r="N4623" s="35"/>
      <c r="O4623" s="35"/>
      <c r="P4623" s="35"/>
      <c r="Q4623" s="35"/>
      <c r="R4623" s="35"/>
      <c r="S4623" s="74"/>
      <c r="T4623" s="35"/>
      <c r="U4623" s="35"/>
      <c r="V4623" s="35"/>
      <c r="W4623" s="45"/>
    </row>
    <row r="4624">
      <c r="A4624" s="45"/>
      <c r="B4624" s="35"/>
      <c r="C4624" s="35"/>
      <c r="D4624" s="10"/>
      <c r="E4624" s="35"/>
      <c r="F4624" s="35"/>
      <c r="G4624" s="35"/>
      <c r="H4624" s="35"/>
      <c r="I4624" s="35"/>
      <c r="J4624" s="35"/>
      <c r="K4624" s="35"/>
      <c r="L4624" s="35"/>
      <c r="M4624" s="35"/>
      <c r="N4624" s="35"/>
      <c r="O4624" s="35"/>
      <c r="P4624" s="35"/>
      <c r="Q4624" s="35"/>
      <c r="R4624" s="35"/>
      <c r="S4624" s="74"/>
      <c r="T4624" s="35"/>
      <c r="U4624" s="35"/>
      <c r="V4624" s="35"/>
      <c r="W4624" s="45"/>
    </row>
    <row r="4625">
      <c r="A4625" s="45"/>
      <c r="B4625" s="35"/>
      <c r="C4625" s="35"/>
      <c r="D4625" s="10"/>
      <c r="E4625" s="35"/>
      <c r="F4625" s="35"/>
      <c r="G4625" s="35"/>
      <c r="H4625" s="35"/>
      <c r="I4625" s="35"/>
      <c r="J4625" s="35"/>
      <c r="K4625" s="35"/>
      <c r="L4625" s="35"/>
      <c r="M4625" s="35"/>
      <c r="N4625" s="35"/>
      <c r="O4625" s="35"/>
      <c r="P4625" s="35"/>
      <c r="Q4625" s="35"/>
      <c r="R4625" s="35"/>
      <c r="S4625" s="74"/>
      <c r="T4625" s="35"/>
      <c r="U4625" s="35"/>
      <c r="V4625" s="35"/>
      <c r="W4625" s="45"/>
    </row>
    <row r="4626">
      <c r="A4626" s="45"/>
      <c r="B4626" s="35"/>
      <c r="C4626" s="35"/>
      <c r="D4626" s="10"/>
      <c r="E4626" s="35"/>
      <c r="F4626" s="35"/>
      <c r="G4626" s="35"/>
      <c r="H4626" s="35"/>
      <c r="I4626" s="35"/>
      <c r="J4626" s="35"/>
      <c r="K4626" s="35"/>
      <c r="L4626" s="35"/>
      <c r="M4626" s="35"/>
      <c r="N4626" s="35"/>
      <c r="O4626" s="35"/>
      <c r="P4626" s="35"/>
      <c r="Q4626" s="35"/>
      <c r="R4626" s="35"/>
      <c r="S4626" s="74"/>
      <c r="T4626" s="35"/>
      <c r="U4626" s="35"/>
      <c r="V4626" s="35"/>
      <c r="W4626" s="45"/>
    </row>
    <row r="4627">
      <c r="A4627" s="45"/>
      <c r="B4627" s="35"/>
      <c r="C4627" s="35"/>
      <c r="D4627" s="10"/>
      <c r="E4627" s="35"/>
      <c r="F4627" s="35"/>
      <c r="G4627" s="35"/>
      <c r="H4627" s="35"/>
      <c r="I4627" s="35"/>
      <c r="J4627" s="35"/>
      <c r="K4627" s="35"/>
      <c r="L4627" s="35"/>
      <c r="M4627" s="35"/>
      <c r="N4627" s="35"/>
      <c r="O4627" s="35"/>
      <c r="P4627" s="35"/>
      <c r="Q4627" s="35"/>
      <c r="R4627" s="35"/>
      <c r="S4627" s="74"/>
      <c r="T4627" s="35"/>
      <c r="U4627" s="35"/>
      <c r="V4627" s="35"/>
      <c r="W4627" s="45"/>
    </row>
    <row r="4628">
      <c r="A4628" s="45"/>
      <c r="B4628" s="35"/>
      <c r="C4628" s="35"/>
      <c r="D4628" s="10"/>
      <c r="E4628" s="35"/>
      <c r="F4628" s="35"/>
      <c r="G4628" s="35"/>
      <c r="H4628" s="35"/>
      <c r="I4628" s="35"/>
      <c r="J4628" s="35"/>
      <c r="K4628" s="35"/>
      <c r="L4628" s="35"/>
      <c r="M4628" s="35"/>
      <c r="N4628" s="35"/>
      <c r="O4628" s="35"/>
      <c r="P4628" s="35"/>
      <c r="Q4628" s="35"/>
      <c r="R4628" s="35"/>
      <c r="S4628" s="74"/>
      <c r="T4628" s="35"/>
      <c r="U4628" s="35"/>
      <c r="V4628" s="35"/>
      <c r="W4628" s="45"/>
    </row>
    <row r="4629">
      <c r="A4629" s="45"/>
      <c r="B4629" s="35"/>
      <c r="C4629" s="35"/>
      <c r="D4629" s="10"/>
      <c r="E4629" s="35"/>
      <c r="F4629" s="35"/>
      <c r="G4629" s="35"/>
      <c r="H4629" s="35"/>
      <c r="I4629" s="35"/>
      <c r="J4629" s="35"/>
      <c r="K4629" s="35"/>
      <c r="L4629" s="35"/>
      <c r="M4629" s="35"/>
      <c r="N4629" s="35"/>
      <c r="O4629" s="35"/>
      <c r="P4629" s="35"/>
      <c r="Q4629" s="35"/>
      <c r="R4629" s="35"/>
      <c r="S4629" s="74"/>
      <c r="T4629" s="35"/>
      <c r="U4629" s="35"/>
      <c r="V4629" s="35"/>
      <c r="W4629" s="45"/>
    </row>
    <row r="4630">
      <c r="A4630" s="45"/>
      <c r="B4630" s="35"/>
      <c r="C4630" s="35"/>
      <c r="D4630" s="10"/>
      <c r="E4630" s="35"/>
      <c r="F4630" s="35"/>
      <c r="G4630" s="35"/>
      <c r="H4630" s="35"/>
      <c r="I4630" s="35"/>
      <c r="J4630" s="35"/>
      <c r="K4630" s="35"/>
      <c r="L4630" s="35"/>
      <c r="M4630" s="35"/>
      <c r="N4630" s="35"/>
      <c r="O4630" s="35"/>
      <c r="P4630" s="35"/>
      <c r="Q4630" s="35"/>
      <c r="R4630" s="35"/>
      <c r="S4630" s="74"/>
      <c r="T4630" s="35"/>
      <c r="U4630" s="35"/>
      <c r="V4630" s="35"/>
      <c r="W4630" s="45"/>
    </row>
    <row r="4631">
      <c r="A4631" s="45"/>
      <c r="B4631" s="35"/>
      <c r="C4631" s="35"/>
      <c r="D4631" s="10"/>
      <c r="E4631" s="35"/>
      <c r="F4631" s="35"/>
      <c r="G4631" s="35"/>
      <c r="H4631" s="35"/>
      <c r="I4631" s="35"/>
      <c r="J4631" s="35"/>
      <c r="K4631" s="35"/>
      <c r="L4631" s="35"/>
      <c r="M4631" s="35"/>
      <c r="N4631" s="35"/>
      <c r="O4631" s="35"/>
      <c r="P4631" s="35"/>
      <c r="Q4631" s="35"/>
      <c r="R4631" s="35"/>
      <c r="S4631" s="74"/>
      <c r="T4631" s="35"/>
      <c r="U4631" s="35"/>
      <c r="V4631" s="35"/>
      <c r="W4631" s="45"/>
    </row>
    <row r="4632">
      <c r="A4632" s="45"/>
      <c r="B4632" s="35"/>
      <c r="C4632" s="35"/>
      <c r="D4632" s="10"/>
      <c r="E4632" s="35"/>
      <c r="F4632" s="35"/>
      <c r="G4632" s="35"/>
      <c r="H4632" s="35"/>
      <c r="I4632" s="35"/>
      <c r="J4632" s="35"/>
      <c r="K4632" s="35"/>
      <c r="L4632" s="35"/>
      <c r="M4632" s="35"/>
      <c r="N4632" s="35"/>
      <c r="O4632" s="35"/>
      <c r="P4632" s="35"/>
      <c r="Q4632" s="35"/>
      <c r="R4632" s="35"/>
      <c r="S4632" s="74"/>
      <c r="T4632" s="35"/>
      <c r="U4632" s="35"/>
      <c r="V4632" s="35"/>
      <c r="W4632" s="45"/>
    </row>
    <row r="4633">
      <c r="A4633" s="45"/>
      <c r="B4633" s="35"/>
      <c r="C4633" s="35"/>
      <c r="D4633" s="10"/>
      <c r="E4633" s="35"/>
      <c r="F4633" s="35"/>
      <c r="G4633" s="35"/>
      <c r="H4633" s="35"/>
      <c r="I4633" s="35"/>
      <c r="J4633" s="35"/>
      <c r="K4633" s="35"/>
      <c r="L4633" s="35"/>
      <c r="M4633" s="35"/>
      <c r="N4633" s="35"/>
      <c r="O4633" s="35"/>
      <c r="P4633" s="35"/>
      <c r="Q4633" s="35"/>
      <c r="R4633" s="35"/>
      <c r="S4633" s="74"/>
      <c r="T4633" s="35"/>
      <c r="U4633" s="35"/>
      <c r="V4633" s="35"/>
      <c r="W4633" s="45"/>
    </row>
    <row r="4634">
      <c r="A4634" s="45"/>
      <c r="B4634" s="35"/>
      <c r="C4634" s="35"/>
      <c r="D4634" s="10"/>
      <c r="E4634" s="35"/>
      <c r="F4634" s="35"/>
      <c r="G4634" s="35"/>
      <c r="H4634" s="35"/>
      <c r="I4634" s="35"/>
      <c r="J4634" s="35"/>
      <c r="K4634" s="35"/>
      <c r="L4634" s="35"/>
      <c r="M4634" s="35"/>
      <c r="N4634" s="35"/>
      <c r="O4634" s="35"/>
      <c r="P4634" s="35"/>
      <c r="Q4634" s="35"/>
      <c r="R4634" s="35"/>
      <c r="S4634" s="74"/>
      <c r="T4634" s="35"/>
      <c r="U4634" s="35"/>
      <c r="V4634" s="35"/>
      <c r="W4634" s="45"/>
    </row>
    <row r="4635">
      <c r="A4635" s="45"/>
      <c r="B4635" s="35"/>
      <c r="C4635" s="35"/>
      <c r="D4635" s="10"/>
      <c r="E4635" s="35"/>
      <c r="F4635" s="35"/>
      <c r="G4635" s="35"/>
      <c r="H4635" s="35"/>
      <c r="I4635" s="35"/>
      <c r="J4635" s="35"/>
      <c r="K4635" s="35"/>
      <c r="L4635" s="35"/>
      <c r="M4635" s="35"/>
      <c r="N4635" s="35"/>
      <c r="O4635" s="35"/>
      <c r="P4635" s="35"/>
      <c r="Q4635" s="35"/>
      <c r="R4635" s="35"/>
      <c r="S4635" s="74"/>
      <c r="T4635" s="35"/>
      <c r="U4635" s="35"/>
      <c r="V4635" s="35"/>
      <c r="W4635" s="45"/>
    </row>
    <row r="4636">
      <c r="A4636" s="45"/>
      <c r="B4636" s="35"/>
      <c r="C4636" s="35"/>
      <c r="D4636" s="10"/>
      <c r="E4636" s="35"/>
      <c r="F4636" s="35"/>
      <c r="G4636" s="35"/>
      <c r="H4636" s="35"/>
      <c r="I4636" s="35"/>
      <c r="J4636" s="35"/>
      <c r="K4636" s="35"/>
      <c r="L4636" s="35"/>
      <c r="M4636" s="35"/>
      <c r="N4636" s="35"/>
      <c r="O4636" s="35"/>
      <c r="P4636" s="35"/>
      <c r="Q4636" s="35"/>
      <c r="R4636" s="35"/>
      <c r="S4636" s="74"/>
      <c r="T4636" s="35"/>
      <c r="U4636" s="35"/>
      <c r="V4636" s="35"/>
      <c r="W4636" s="45"/>
    </row>
    <row r="4637">
      <c r="A4637" s="45"/>
      <c r="B4637" s="35"/>
      <c r="C4637" s="35"/>
      <c r="D4637" s="10"/>
      <c r="E4637" s="35"/>
      <c r="F4637" s="35"/>
      <c r="G4637" s="35"/>
      <c r="H4637" s="35"/>
      <c r="I4637" s="35"/>
      <c r="J4637" s="35"/>
      <c r="K4637" s="35"/>
      <c r="L4637" s="35"/>
      <c r="M4637" s="35"/>
      <c r="N4637" s="35"/>
      <c r="O4637" s="35"/>
      <c r="P4637" s="35"/>
      <c r="Q4637" s="35"/>
      <c r="R4637" s="35"/>
      <c r="S4637" s="74"/>
      <c r="T4637" s="35"/>
      <c r="U4637" s="35"/>
      <c r="V4637" s="35"/>
      <c r="W4637" s="45"/>
    </row>
    <row r="4638">
      <c r="A4638" s="45"/>
      <c r="B4638" s="35"/>
      <c r="C4638" s="35"/>
      <c r="D4638" s="10"/>
      <c r="E4638" s="35"/>
      <c r="F4638" s="35"/>
      <c r="G4638" s="35"/>
      <c r="H4638" s="35"/>
      <c r="I4638" s="35"/>
      <c r="J4638" s="35"/>
      <c r="K4638" s="35"/>
      <c r="L4638" s="35"/>
      <c r="M4638" s="35"/>
      <c r="N4638" s="35"/>
      <c r="O4638" s="35"/>
      <c r="P4638" s="35"/>
      <c r="Q4638" s="35"/>
      <c r="R4638" s="35"/>
      <c r="S4638" s="74"/>
      <c r="T4638" s="35"/>
      <c r="U4638" s="35"/>
      <c r="V4638" s="35"/>
      <c r="W4638" s="45"/>
    </row>
    <row r="4639">
      <c r="A4639" s="45"/>
      <c r="B4639" s="35"/>
      <c r="C4639" s="35"/>
      <c r="D4639" s="10"/>
      <c r="E4639" s="35"/>
      <c r="F4639" s="35"/>
      <c r="G4639" s="35"/>
      <c r="H4639" s="35"/>
      <c r="I4639" s="35"/>
      <c r="J4639" s="35"/>
      <c r="K4639" s="35"/>
      <c r="L4639" s="35"/>
      <c r="M4639" s="35"/>
      <c r="N4639" s="35"/>
      <c r="O4639" s="35"/>
      <c r="P4639" s="35"/>
      <c r="Q4639" s="35"/>
      <c r="R4639" s="35"/>
      <c r="S4639" s="74"/>
      <c r="T4639" s="35"/>
      <c r="U4639" s="35"/>
      <c r="V4639" s="35"/>
      <c r="W4639" s="45"/>
    </row>
    <row r="4640">
      <c r="A4640" s="45"/>
      <c r="B4640" s="35"/>
      <c r="C4640" s="35"/>
      <c r="D4640" s="10"/>
      <c r="E4640" s="35"/>
      <c r="F4640" s="35"/>
      <c r="G4640" s="35"/>
      <c r="H4640" s="35"/>
      <c r="I4640" s="35"/>
      <c r="J4640" s="35"/>
      <c r="K4640" s="35"/>
      <c r="L4640" s="35"/>
      <c r="M4640" s="35"/>
      <c r="N4640" s="35"/>
      <c r="O4640" s="35"/>
      <c r="P4640" s="35"/>
      <c r="Q4640" s="35"/>
      <c r="R4640" s="35"/>
      <c r="S4640" s="74"/>
      <c r="T4640" s="35"/>
      <c r="U4640" s="35"/>
      <c r="V4640" s="35"/>
      <c r="W4640" s="45"/>
    </row>
    <row r="4641">
      <c r="A4641" s="45"/>
      <c r="B4641" s="35"/>
      <c r="C4641" s="35"/>
      <c r="D4641" s="10"/>
      <c r="E4641" s="35"/>
      <c r="F4641" s="35"/>
      <c r="G4641" s="35"/>
      <c r="H4641" s="35"/>
      <c r="I4641" s="35"/>
      <c r="J4641" s="35"/>
      <c r="K4641" s="35"/>
      <c r="L4641" s="35"/>
      <c r="M4641" s="35"/>
      <c r="N4641" s="35"/>
      <c r="O4641" s="35"/>
      <c r="P4641" s="35"/>
      <c r="Q4641" s="35"/>
      <c r="R4641" s="35"/>
      <c r="S4641" s="74"/>
      <c r="T4641" s="35"/>
      <c r="U4641" s="35"/>
      <c r="V4641" s="35"/>
      <c r="W4641" s="45"/>
    </row>
    <row r="4642">
      <c r="A4642" s="45"/>
      <c r="B4642" s="35"/>
      <c r="C4642" s="35"/>
      <c r="D4642" s="10"/>
      <c r="E4642" s="35"/>
      <c r="F4642" s="35"/>
      <c r="G4642" s="35"/>
      <c r="H4642" s="35"/>
      <c r="I4642" s="35"/>
      <c r="J4642" s="35"/>
      <c r="K4642" s="35"/>
      <c r="L4642" s="35"/>
      <c r="M4642" s="35"/>
      <c r="N4642" s="35"/>
      <c r="O4642" s="35"/>
      <c r="P4642" s="35"/>
      <c r="Q4642" s="35"/>
      <c r="R4642" s="35"/>
      <c r="S4642" s="74"/>
      <c r="T4642" s="35"/>
      <c r="U4642" s="35"/>
      <c r="V4642" s="35"/>
      <c r="W4642" s="45"/>
    </row>
    <row r="4643">
      <c r="A4643" s="45"/>
      <c r="B4643" s="35"/>
      <c r="C4643" s="35"/>
      <c r="D4643" s="10"/>
      <c r="E4643" s="35"/>
      <c r="F4643" s="35"/>
      <c r="G4643" s="35"/>
      <c r="H4643" s="35"/>
      <c r="I4643" s="35"/>
      <c r="J4643" s="35"/>
      <c r="K4643" s="35"/>
      <c r="L4643" s="35"/>
      <c r="M4643" s="35"/>
      <c r="N4643" s="35"/>
      <c r="O4643" s="35"/>
      <c r="P4643" s="35"/>
      <c r="Q4643" s="35"/>
      <c r="R4643" s="35"/>
      <c r="S4643" s="74"/>
      <c r="T4643" s="35"/>
      <c r="U4643" s="35"/>
      <c r="V4643" s="35"/>
      <c r="W4643" s="45"/>
    </row>
    <row r="4644">
      <c r="A4644" s="45"/>
      <c r="B4644" s="35"/>
      <c r="C4644" s="35"/>
      <c r="D4644" s="10"/>
      <c r="E4644" s="35"/>
      <c r="F4644" s="35"/>
      <c r="G4644" s="35"/>
      <c r="H4644" s="35"/>
      <c r="I4644" s="35"/>
      <c r="J4644" s="35"/>
      <c r="K4644" s="35"/>
      <c r="L4644" s="35"/>
      <c r="M4644" s="35"/>
      <c r="N4644" s="35"/>
      <c r="O4644" s="35"/>
      <c r="P4644" s="35"/>
      <c r="Q4644" s="35"/>
      <c r="R4644" s="35"/>
      <c r="S4644" s="74"/>
      <c r="T4644" s="35"/>
      <c r="U4644" s="35"/>
      <c r="V4644" s="35"/>
      <c r="W4644" s="45"/>
    </row>
    <row r="4645">
      <c r="A4645" s="45"/>
      <c r="B4645" s="35"/>
      <c r="C4645" s="35"/>
      <c r="D4645" s="10"/>
      <c r="E4645" s="35"/>
      <c r="F4645" s="35"/>
      <c r="G4645" s="35"/>
      <c r="H4645" s="35"/>
      <c r="I4645" s="35"/>
      <c r="J4645" s="35"/>
      <c r="K4645" s="35"/>
      <c r="L4645" s="35"/>
      <c r="M4645" s="35"/>
      <c r="N4645" s="35"/>
      <c r="O4645" s="35"/>
      <c r="P4645" s="35"/>
      <c r="Q4645" s="35"/>
      <c r="R4645" s="35"/>
      <c r="S4645" s="74"/>
      <c r="T4645" s="35"/>
      <c r="U4645" s="35"/>
      <c r="V4645" s="35"/>
      <c r="W4645" s="45"/>
    </row>
    <row r="4646">
      <c r="A4646" s="45"/>
      <c r="B4646" s="35"/>
      <c r="C4646" s="35"/>
      <c r="D4646" s="10"/>
      <c r="E4646" s="35"/>
      <c r="F4646" s="35"/>
      <c r="G4646" s="35"/>
      <c r="H4646" s="35"/>
      <c r="I4646" s="35"/>
      <c r="J4646" s="35"/>
      <c r="K4646" s="35"/>
      <c r="L4646" s="35"/>
      <c r="M4646" s="35"/>
      <c r="N4646" s="35"/>
      <c r="O4646" s="35"/>
      <c r="P4646" s="35"/>
      <c r="Q4646" s="35"/>
      <c r="R4646" s="35"/>
      <c r="S4646" s="74"/>
      <c r="T4646" s="35"/>
      <c r="U4646" s="35"/>
      <c r="V4646" s="35"/>
      <c r="W4646" s="45"/>
    </row>
    <row r="4647">
      <c r="A4647" s="45"/>
      <c r="B4647" s="35"/>
      <c r="C4647" s="35"/>
      <c r="D4647" s="10"/>
      <c r="E4647" s="35"/>
      <c r="F4647" s="35"/>
      <c r="G4647" s="35"/>
      <c r="H4647" s="35"/>
      <c r="I4647" s="35"/>
      <c r="J4647" s="35"/>
      <c r="K4647" s="35"/>
      <c r="L4647" s="35"/>
      <c r="M4647" s="35"/>
      <c r="N4647" s="35"/>
      <c r="O4647" s="35"/>
      <c r="P4647" s="35"/>
      <c r="Q4647" s="35"/>
      <c r="R4647" s="35"/>
      <c r="S4647" s="74"/>
      <c r="T4647" s="35"/>
      <c r="U4647" s="35"/>
      <c r="V4647" s="35"/>
      <c r="W4647" s="45"/>
    </row>
    <row r="4648">
      <c r="A4648" s="45"/>
      <c r="B4648" s="35"/>
      <c r="C4648" s="35"/>
      <c r="D4648" s="10"/>
      <c r="E4648" s="35"/>
      <c r="F4648" s="35"/>
      <c r="G4648" s="35"/>
      <c r="H4648" s="35"/>
      <c r="I4648" s="35"/>
      <c r="J4648" s="35"/>
      <c r="K4648" s="35"/>
      <c r="L4648" s="35"/>
      <c r="M4648" s="35"/>
      <c r="N4648" s="35"/>
      <c r="O4648" s="35"/>
      <c r="P4648" s="35"/>
      <c r="Q4648" s="35"/>
      <c r="R4648" s="35"/>
      <c r="S4648" s="74"/>
      <c r="T4648" s="35"/>
      <c r="U4648" s="35"/>
      <c r="V4648" s="35"/>
      <c r="W4648" s="45"/>
    </row>
    <row r="4649">
      <c r="A4649" s="45"/>
      <c r="B4649" s="35"/>
      <c r="C4649" s="35"/>
      <c r="D4649" s="10"/>
      <c r="E4649" s="35"/>
      <c r="F4649" s="35"/>
      <c r="G4649" s="35"/>
      <c r="H4649" s="35"/>
      <c r="I4649" s="35"/>
      <c r="J4649" s="35"/>
      <c r="K4649" s="35"/>
      <c r="L4649" s="35"/>
      <c r="M4649" s="35"/>
      <c r="N4649" s="35"/>
      <c r="O4649" s="35"/>
      <c r="P4649" s="35"/>
      <c r="Q4649" s="35"/>
      <c r="R4649" s="35"/>
      <c r="S4649" s="74"/>
      <c r="T4649" s="35"/>
      <c r="U4649" s="35"/>
      <c r="V4649" s="35"/>
      <c r="W4649" s="45"/>
    </row>
    <row r="4650">
      <c r="A4650" s="45"/>
      <c r="B4650" s="35"/>
      <c r="C4650" s="35"/>
      <c r="D4650" s="10"/>
      <c r="E4650" s="35"/>
      <c r="F4650" s="35"/>
      <c r="G4650" s="35"/>
      <c r="H4650" s="35"/>
      <c r="I4650" s="35"/>
      <c r="J4650" s="35"/>
      <c r="K4650" s="35"/>
      <c r="L4650" s="35"/>
      <c r="M4650" s="35"/>
      <c r="N4650" s="35"/>
      <c r="O4650" s="35"/>
      <c r="P4650" s="35"/>
      <c r="Q4650" s="35"/>
      <c r="R4650" s="35"/>
      <c r="S4650" s="74"/>
      <c r="T4650" s="35"/>
      <c r="U4650" s="35"/>
      <c r="V4650" s="35"/>
      <c r="W4650" s="45"/>
    </row>
    <row r="4651">
      <c r="A4651" s="45"/>
      <c r="B4651" s="35"/>
      <c r="C4651" s="35"/>
      <c r="D4651" s="10"/>
      <c r="E4651" s="35"/>
      <c r="F4651" s="35"/>
      <c r="G4651" s="35"/>
      <c r="H4651" s="35"/>
      <c r="I4651" s="35"/>
      <c r="J4651" s="35"/>
      <c r="K4651" s="35"/>
      <c r="L4651" s="35"/>
      <c r="M4651" s="35"/>
      <c r="N4651" s="35"/>
      <c r="O4651" s="35"/>
      <c r="P4651" s="35"/>
      <c r="Q4651" s="35"/>
      <c r="R4651" s="35"/>
      <c r="S4651" s="74"/>
      <c r="T4651" s="35"/>
      <c r="U4651" s="35"/>
      <c r="V4651" s="35"/>
      <c r="W4651" s="45"/>
    </row>
    <row r="4652">
      <c r="A4652" s="45"/>
      <c r="B4652" s="35"/>
      <c r="C4652" s="35"/>
      <c r="D4652" s="10"/>
      <c r="E4652" s="35"/>
      <c r="F4652" s="35"/>
      <c r="G4652" s="35"/>
      <c r="H4652" s="35"/>
      <c r="I4652" s="35"/>
      <c r="J4652" s="35"/>
      <c r="K4652" s="35"/>
      <c r="L4652" s="35"/>
      <c r="M4652" s="35"/>
      <c r="N4652" s="35"/>
      <c r="O4652" s="35"/>
      <c r="P4652" s="35"/>
      <c r="Q4652" s="35"/>
      <c r="R4652" s="35"/>
      <c r="S4652" s="74"/>
      <c r="T4652" s="35"/>
      <c r="U4652" s="35"/>
      <c r="V4652" s="35"/>
      <c r="W4652" s="45"/>
    </row>
    <row r="4653">
      <c r="A4653" s="45"/>
      <c r="B4653" s="35"/>
      <c r="C4653" s="35"/>
      <c r="D4653" s="10"/>
      <c r="E4653" s="35"/>
      <c r="F4653" s="35"/>
      <c r="G4653" s="35"/>
      <c r="H4653" s="35"/>
      <c r="I4653" s="35"/>
      <c r="J4653" s="35"/>
      <c r="K4653" s="35"/>
      <c r="L4653" s="35"/>
      <c r="M4653" s="35"/>
      <c r="N4653" s="35"/>
      <c r="O4653" s="35"/>
      <c r="P4653" s="35"/>
      <c r="Q4653" s="35"/>
      <c r="R4653" s="35"/>
      <c r="S4653" s="74"/>
      <c r="T4653" s="35"/>
      <c r="U4653" s="35"/>
      <c r="V4653" s="35"/>
      <c r="W4653" s="45"/>
    </row>
    <row r="4654">
      <c r="A4654" s="45"/>
      <c r="B4654" s="35"/>
      <c r="C4654" s="35"/>
      <c r="D4654" s="10"/>
      <c r="E4654" s="35"/>
      <c r="F4654" s="35"/>
      <c r="G4654" s="35"/>
      <c r="H4654" s="35"/>
      <c r="I4654" s="35"/>
      <c r="J4654" s="35"/>
      <c r="K4654" s="35"/>
      <c r="L4654" s="35"/>
      <c r="M4654" s="35"/>
      <c r="N4654" s="35"/>
      <c r="O4654" s="35"/>
      <c r="P4654" s="35"/>
      <c r="Q4654" s="35"/>
      <c r="R4654" s="35"/>
      <c r="S4654" s="74"/>
      <c r="T4654" s="35"/>
      <c r="U4654" s="35"/>
      <c r="V4654" s="35"/>
      <c r="W4654" s="45"/>
    </row>
    <row r="4655">
      <c r="A4655" s="45"/>
      <c r="B4655" s="35"/>
      <c r="C4655" s="35"/>
      <c r="D4655" s="10"/>
      <c r="E4655" s="35"/>
      <c r="F4655" s="35"/>
      <c r="G4655" s="35"/>
      <c r="H4655" s="35"/>
      <c r="I4655" s="35"/>
      <c r="J4655" s="35"/>
      <c r="K4655" s="35"/>
      <c r="L4655" s="35"/>
      <c r="M4655" s="35"/>
      <c r="N4655" s="35"/>
      <c r="O4655" s="35"/>
      <c r="P4655" s="35"/>
      <c r="Q4655" s="35"/>
      <c r="R4655" s="35"/>
      <c r="S4655" s="74"/>
      <c r="T4655" s="35"/>
      <c r="U4655" s="35"/>
      <c r="V4655" s="35"/>
      <c r="W4655" s="45"/>
    </row>
    <row r="4656">
      <c r="A4656" s="45"/>
      <c r="B4656" s="35"/>
      <c r="C4656" s="35"/>
      <c r="D4656" s="10"/>
      <c r="E4656" s="35"/>
      <c r="F4656" s="35"/>
      <c r="G4656" s="35"/>
      <c r="H4656" s="35"/>
      <c r="I4656" s="35"/>
      <c r="J4656" s="35"/>
      <c r="K4656" s="35"/>
      <c r="L4656" s="35"/>
      <c r="M4656" s="35"/>
      <c r="N4656" s="35"/>
      <c r="O4656" s="35"/>
      <c r="P4656" s="35"/>
      <c r="Q4656" s="35"/>
      <c r="R4656" s="35"/>
      <c r="S4656" s="74"/>
      <c r="T4656" s="35"/>
      <c r="U4656" s="35"/>
      <c r="V4656" s="35"/>
      <c r="W4656" s="45"/>
    </row>
    <row r="4657">
      <c r="A4657" s="45"/>
      <c r="B4657" s="35"/>
      <c r="C4657" s="35"/>
      <c r="D4657" s="10"/>
      <c r="E4657" s="35"/>
      <c r="F4657" s="35"/>
      <c r="G4657" s="35"/>
      <c r="H4657" s="35"/>
      <c r="I4657" s="35"/>
      <c r="J4657" s="35"/>
      <c r="K4657" s="35"/>
      <c r="L4657" s="35"/>
      <c r="M4657" s="35"/>
      <c r="N4657" s="35"/>
      <c r="O4657" s="35"/>
      <c r="P4657" s="35"/>
      <c r="Q4657" s="35"/>
      <c r="R4657" s="35"/>
      <c r="S4657" s="74"/>
      <c r="T4657" s="35"/>
      <c r="U4657" s="35"/>
      <c r="V4657" s="35"/>
      <c r="W4657" s="45"/>
    </row>
    <row r="4658">
      <c r="A4658" s="45"/>
      <c r="B4658" s="35"/>
      <c r="C4658" s="35"/>
      <c r="D4658" s="10"/>
      <c r="E4658" s="35"/>
      <c r="F4658" s="35"/>
      <c r="G4658" s="35"/>
      <c r="H4658" s="35"/>
      <c r="I4658" s="35"/>
      <c r="J4658" s="35"/>
      <c r="K4658" s="35"/>
      <c r="L4658" s="35"/>
      <c r="M4658" s="35"/>
      <c r="N4658" s="35"/>
      <c r="O4658" s="35"/>
      <c r="P4658" s="35"/>
      <c r="Q4658" s="35"/>
      <c r="R4658" s="35"/>
      <c r="S4658" s="74"/>
      <c r="T4658" s="35"/>
      <c r="U4658" s="35"/>
      <c r="V4658" s="35"/>
      <c r="W4658" s="45"/>
    </row>
    <row r="4659">
      <c r="A4659" s="45"/>
      <c r="B4659" s="35"/>
      <c r="C4659" s="35"/>
      <c r="D4659" s="10"/>
      <c r="E4659" s="35"/>
      <c r="F4659" s="35"/>
      <c r="G4659" s="35"/>
      <c r="H4659" s="35"/>
      <c r="I4659" s="35"/>
      <c r="J4659" s="35"/>
      <c r="K4659" s="35"/>
      <c r="L4659" s="35"/>
      <c r="M4659" s="35"/>
      <c r="N4659" s="35"/>
      <c r="O4659" s="35"/>
      <c r="P4659" s="35"/>
      <c r="Q4659" s="35"/>
      <c r="R4659" s="35"/>
      <c r="S4659" s="74"/>
      <c r="T4659" s="35"/>
      <c r="U4659" s="35"/>
      <c r="V4659" s="35"/>
      <c r="W4659" s="45"/>
    </row>
    <row r="4660">
      <c r="A4660" s="45"/>
      <c r="B4660" s="35"/>
      <c r="C4660" s="35"/>
      <c r="D4660" s="10"/>
      <c r="E4660" s="35"/>
      <c r="F4660" s="35"/>
      <c r="G4660" s="35"/>
      <c r="H4660" s="35"/>
      <c r="I4660" s="35"/>
      <c r="J4660" s="35"/>
      <c r="K4660" s="35"/>
      <c r="L4660" s="35"/>
      <c r="M4660" s="35"/>
      <c r="N4660" s="35"/>
      <c r="O4660" s="35"/>
      <c r="P4660" s="35"/>
      <c r="Q4660" s="35"/>
      <c r="R4660" s="35"/>
      <c r="S4660" s="74"/>
      <c r="T4660" s="35"/>
      <c r="U4660" s="35"/>
      <c r="V4660" s="35"/>
      <c r="W4660" s="45"/>
    </row>
    <row r="4661">
      <c r="A4661" s="45"/>
      <c r="B4661" s="35"/>
      <c r="C4661" s="35"/>
      <c r="D4661" s="10"/>
      <c r="E4661" s="35"/>
      <c r="F4661" s="35"/>
      <c r="G4661" s="35"/>
      <c r="H4661" s="35"/>
      <c r="I4661" s="35"/>
      <c r="J4661" s="35"/>
      <c r="K4661" s="35"/>
      <c r="L4661" s="35"/>
      <c r="M4661" s="35"/>
      <c r="N4661" s="35"/>
      <c r="O4661" s="35"/>
      <c r="P4661" s="35"/>
      <c r="Q4661" s="35"/>
      <c r="R4661" s="35"/>
      <c r="S4661" s="74"/>
      <c r="T4661" s="35"/>
      <c r="U4661" s="35"/>
      <c r="V4661" s="35"/>
      <c r="W4661" s="45"/>
    </row>
    <row r="4662">
      <c r="A4662" s="45"/>
      <c r="B4662" s="35"/>
      <c r="C4662" s="35"/>
      <c r="D4662" s="10"/>
      <c r="E4662" s="35"/>
      <c r="F4662" s="35"/>
      <c r="G4662" s="35"/>
      <c r="H4662" s="35"/>
      <c r="I4662" s="35"/>
      <c r="J4662" s="35"/>
      <c r="K4662" s="35"/>
      <c r="L4662" s="35"/>
      <c r="M4662" s="35"/>
      <c r="N4662" s="35"/>
      <c r="O4662" s="35"/>
      <c r="P4662" s="35"/>
      <c r="Q4662" s="35"/>
      <c r="R4662" s="35"/>
      <c r="S4662" s="74"/>
      <c r="T4662" s="35"/>
      <c r="U4662" s="35"/>
      <c r="V4662" s="35"/>
      <c r="W4662" s="45"/>
    </row>
    <row r="4663">
      <c r="A4663" s="45"/>
      <c r="B4663" s="35"/>
      <c r="C4663" s="35"/>
      <c r="D4663" s="10"/>
      <c r="E4663" s="35"/>
      <c r="F4663" s="35"/>
      <c r="G4663" s="35"/>
      <c r="H4663" s="35"/>
      <c r="I4663" s="35"/>
      <c r="J4663" s="35"/>
      <c r="K4663" s="35"/>
      <c r="L4663" s="35"/>
      <c r="M4663" s="35"/>
      <c r="N4663" s="35"/>
      <c r="O4663" s="35"/>
      <c r="P4663" s="35"/>
      <c r="Q4663" s="35"/>
      <c r="R4663" s="35"/>
      <c r="S4663" s="74"/>
      <c r="T4663" s="35"/>
      <c r="U4663" s="35"/>
      <c r="V4663" s="35"/>
      <c r="W4663" s="45"/>
    </row>
    <row r="4664">
      <c r="A4664" s="45"/>
      <c r="B4664" s="35"/>
      <c r="C4664" s="35"/>
      <c r="D4664" s="10"/>
      <c r="E4664" s="35"/>
      <c r="F4664" s="35"/>
      <c r="G4664" s="35"/>
      <c r="H4664" s="35"/>
      <c r="I4664" s="35"/>
      <c r="J4664" s="35"/>
      <c r="K4664" s="35"/>
      <c r="L4664" s="35"/>
      <c r="M4664" s="35"/>
      <c r="N4664" s="35"/>
      <c r="O4664" s="35"/>
      <c r="P4664" s="35"/>
      <c r="Q4664" s="35"/>
      <c r="R4664" s="35"/>
      <c r="S4664" s="74"/>
      <c r="T4664" s="35"/>
      <c r="U4664" s="35"/>
      <c r="V4664" s="35"/>
      <c r="W4664" s="45"/>
    </row>
    <row r="4665">
      <c r="A4665" s="45"/>
      <c r="B4665" s="35"/>
      <c r="C4665" s="35"/>
      <c r="D4665" s="10"/>
      <c r="E4665" s="35"/>
      <c r="F4665" s="35"/>
      <c r="G4665" s="35"/>
      <c r="H4665" s="35"/>
      <c r="I4665" s="35"/>
      <c r="J4665" s="35"/>
      <c r="K4665" s="35"/>
      <c r="L4665" s="35"/>
      <c r="M4665" s="35"/>
      <c r="N4665" s="35"/>
      <c r="O4665" s="35"/>
      <c r="P4665" s="35"/>
      <c r="Q4665" s="35"/>
      <c r="R4665" s="35"/>
      <c r="S4665" s="74"/>
      <c r="T4665" s="35"/>
      <c r="U4665" s="35"/>
      <c r="V4665" s="35"/>
      <c r="W4665" s="45"/>
    </row>
    <row r="4666">
      <c r="A4666" s="45"/>
      <c r="B4666" s="35"/>
      <c r="C4666" s="35"/>
      <c r="D4666" s="10"/>
      <c r="E4666" s="35"/>
      <c r="F4666" s="35"/>
      <c r="G4666" s="35"/>
      <c r="H4666" s="35"/>
      <c r="I4666" s="35"/>
      <c r="J4666" s="35"/>
      <c r="K4666" s="35"/>
      <c r="L4666" s="35"/>
      <c r="M4666" s="35"/>
      <c r="N4666" s="35"/>
      <c r="O4666" s="35"/>
      <c r="P4666" s="35"/>
      <c r="Q4666" s="35"/>
      <c r="R4666" s="35"/>
      <c r="S4666" s="74"/>
      <c r="T4666" s="35"/>
      <c r="U4666" s="35"/>
      <c r="V4666" s="35"/>
      <c r="W4666" s="45"/>
    </row>
    <row r="4667">
      <c r="A4667" s="45"/>
      <c r="B4667" s="35"/>
      <c r="C4667" s="35"/>
      <c r="D4667" s="10"/>
      <c r="E4667" s="35"/>
      <c r="F4667" s="35"/>
      <c r="G4667" s="35"/>
      <c r="H4667" s="35"/>
      <c r="I4667" s="35"/>
      <c r="J4667" s="35"/>
      <c r="K4667" s="35"/>
      <c r="L4667" s="35"/>
      <c r="M4667" s="35"/>
      <c r="N4667" s="35"/>
      <c r="O4667" s="35"/>
      <c r="P4667" s="35"/>
      <c r="Q4667" s="35"/>
      <c r="R4667" s="35"/>
      <c r="S4667" s="74"/>
      <c r="T4667" s="35"/>
      <c r="U4667" s="35"/>
      <c r="V4667" s="35"/>
      <c r="W4667" s="45"/>
    </row>
    <row r="4668">
      <c r="A4668" s="45"/>
      <c r="B4668" s="35"/>
      <c r="C4668" s="35"/>
      <c r="D4668" s="10"/>
      <c r="E4668" s="35"/>
      <c r="F4668" s="35"/>
      <c r="G4668" s="35"/>
      <c r="H4668" s="35"/>
      <c r="I4668" s="35"/>
      <c r="J4668" s="35"/>
      <c r="K4668" s="35"/>
      <c r="L4668" s="35"/>
      <c r="M4668" s="35"/>
      <c r="N4668" s="35"/>
      <c r="O4668" s="35"/>
      <c r="P4668" s="35"/>
      <c r="Q4668" s="35"/>
      <c r="R4668" s="35"/>
      <c r="S4668" s="74"/>
      <c r="T4668" s="35"/>
      <c r="U4668" s="35"/>
      <c r="V4668" s="35"/>
      <c r="W4668" s="45"/>
    </row>
    <row r="4669">
      <c r="A4669" s="45"/>
      <c r="B4669" s="35"/>
      <c r="C4669" s="35"/>
      <c r="D4669" s="10"/>
      <c r="E4669" s="35"/>
      <c r="F4669" s="35"/>
      <c r="G4669" s="35"/>
      <c r="H4669" s="35"/>
      <c r="I4669" s="35"/>
      <c r="J4669" s="35"/>
      <c r="K4669" s="35"/>
      <c r="L4669" s="35"/>
      <c r="M4669" s="35"/>
      <c r="N4669" s="35"/>
      <c r="O4669" s="35"/>
      <c r="P4669" s="35"/>
      <c r="Q4669" s="35"/>
      <c r="R4669" s="35"/>
      <c r="S4669" s="74"/>
      <c r="T4669" s="35"/>
      <c r="U4669" s="35"/>
      <c r="V4669" s="35"/>
      <c r="W4669" s="45"/>
    </row>
    <row r="4670">
      <c r="A4670" s="45"/>
      <c r="B4670" s="35"/>
      <c r="C4670" s="35"/>
      <c r="D4670" s="10"/>
      <c r="E4670" s="35"/>
      <c r="F4670" s="35"/>
      <c r="G4670" s="35"/>
      <c r="H4670" s="35"/>
      <c r="I4670" s="35"/>
      <c r="J4670" s="35"/>
      <c r="K4670" s="35"/>
      <c r="L4670" s="35"/>
      <c r="M4670" s="35"/>
      <c r="N4670" s="35"/>
      <c r="O4670" s="35"/>
      <c r="P4670" s="35"/>
      <c r="Q4670" s="35"/>
      <c r="R4670" s="35"/>
      <c r="S4670" s="74"/>
      <c r="T4670" s="35"/>
      <c r="U4670" s="35"/>
      <c r="V4670" s="35"/>
      <c r="W4670" s="45"/>
    </row>
    <row r="4671">
      <c r="A4671" s="45"/>
      <c r="B4671" s="35"/>
      <c r="C4671" s="35"/>
      <c r="D4671" s="10"/>
      <c r="E4671" s="35"/>
      <c r="F4671" s="35"/>
      <c r="G4671" s="35"/>
      <c r="H4671" s="35"/>
      <c r="I4671" s="35"/>
      <c r="J4671" s="35"/>
      <c r="K4671" s="35"/>
      <c r="L4671" s="35"/>
      <c r="M4671" s="35"/>
      <c r="N4671" s="35"/>
      <c r="O4671" s="35"/>
      <c r="P4671" s="35"/>
      <c r="Q4671" s="35"/>
      <c r="R4671" s="35"/>
      <c r="S4671" s="74"/>
      <c r="T4671" s="35"/>
      <c r="U4671" s="35"/>
      <c r="V4671" s="35"/>
      <c r="W4671" s="45"/>
    </row>
    <row r="4672">
      <c r="A4672" s="45"/>
      <c r="B4672" s="35"/>
      <c r="C4672" s="35"/>
      <c r="D4672" s="10"/>
      <c r="E4672" s="35"/>
      <c r="F4672" s="35"/>
      <c r="G4672" s="35"/>
      <c r="H4672" s="35"/>
      <c r="I4672" s="35"/>
      <c r="J4672" s="35"/>
      <c r="K4672" s="35"/>
      <c r="L4672" s="35"/>
      <c r="M4672" s="35"/>
      <c r="N4672" s="35"/>
      <c r="O4672" s="35"/>
      <c r="P4672" s="35"/>
      <c r="Q4672" s="35"/>
      <c r="R4672" s="35"/>
      <c r="S4672" s="74"/>
      <c r="T4672" s="35"/>
      <c r="U4672" s="35"/>
      <c r="V4672" s="35"/>
      <c r="W4672" s="45"/>
    </row>
    <row r="4673">
      <c r="A4673" s="45"/>
      <c r="B4673" s="35"/>
      <c r="C4673" s="35"/>
      <c r="D4673" s="10"/>
      <c r="E4673" s="35"/>
      <c r="F4673" s="35"/>
      <c r="G4673" s="35"/>
      <c r="H4673" s="35"/>
      <c r="I4673" s="35"/>
      <c r="J4673" s="35"/>
      <c r="K4673" s="35"/>
      <c r="L4673" s="35"/>
      <c r="M4673" s="35"/>
      <c r="N4673" s="35"/>
      <c r="O4673" s="35"/>
      <c r="P4673" s="35"/>
      <c r="Q4673" s="35"/>
      <c r="R4673" s="35"/>
      <c r="S4673" s="74"/>
      <c r="T4673" s="35"/>
      <c r="U4673" s="35"/>
      <c r="V4673" s="35"/>
      <c r="W4673" s="45"/>
    </row>
    <row r="4674">
      <c r="A4674" s="45"/>
      <c r="B4674" s="35"/>
      <c r="C4674" s="35"/>
      <c r="D4674" s="10"/>
      <c r="E4674" s="35"/>
      <c r="F4674" s="35"/>
      <c r="G4674" s="35"/>
      <c r="H4674" s="35"/>
      <c r="I4674" s="35"/>
      <c r="J4674" s="35"/>
      <c r="K4674" s="35"/>
      <c r="L4674" s="35"/>
      <c r="M4674" s="35"/>
      <c r="N4674" s="35"/>
      <c r="O4674" s="35"/>
      <c r="P4674" s="35"/>
      <c r="Q4674" s="35"/>
      <c r="R4674" s="35"/>
      <c r="S4674" s="74"/>
      <c r="T4674" s="35"/>
      <c r="U4674" s="35"/>
      <c r="V4674" s="35"/>
      <c r="W4674" s="45"/>
    </row>
    <row r="4675">
      <c r="A4675" s="45"/>
      <c r="B4675" s="35"/>
      <c r="C4675" s="35"/>
      <c r="D4675" s="10"/>
      <c r="E4675" s="35"/>
      <c r="F4675" s="35"/>
      <c r="G4675" s="35"/>
      <c r="H4675" s="35"/>
      <c r="I4675" s="35"/>
      <c r="J4675" s="35"/>
      <c r="K4675" s="35"/>
      <c r="L4675" s="35"/>
      <c r="M4675" s="35"/>
      <c r="N4675" s="35"/>
      <c r="O4675" s="35"/>
      <c r="P4675" s="35"/>
      <c r="Q4675" s="35"/>
      <c r="R4675" s="35"/>
      <c r="S4675" s="74"/>
      <c r="T4675" s="35"/>
      <c r="U4675" s="35"/>
      <c r="V4675" s="35"/>
      <c r="W4675" s="45"/>
    </row>
    <row r="4676">
      <c r="A4676" s="45"/>
      <c r="B4676" s="35"/>
      <c r="C4676" s="35"/>
      <c r="D4676" s="10"/>
      <c r="E4676" s="35"/>
      <c r="F4676" s="35"/>
      <c r="G4676" s="35"/>
      <c r="H4676" s="35"/>
      <c r="I4676" s="35"/>
      <c r="J4676" s="35"/>
      <c r="K4676" s="35"/>
      <c r="L4676" s="35"/>
      <c r="M4676" s="35"/>
      <c r="N4676" s="35"/>
      <c r="O4676" s="35"/>
      <c r="P4676" s="35"/>
      <c r="Q4676" s="35"/>
      <c r="R4676" s="35"/>
      <c r="S4676" s="74"/>
      <c r="T4676" s="35"/>
      <c r="U4676" s="35"/>
      <c r="V4676" s="35"/>
      <c r="W4676" s="45"/>
    </row>
    <row r="4677">
      <c r="A4677" s="45"/>
      <c r="B4677" s="35"/>
      <c r="C4677" s="35"/>
      <c r="D4677" s="10"/>
      <c r="E4677" s="35"/>
      <c r="F4677" s="35"/>
      <c r="G4677" s="35"/>
      <c r="H4677" s="35"/>
      <c r="I4677" s="35"/>
      <c r="J4677" s="35"/>
      <c r="K4677" s="35"/>
      <c r="L4677" s="35"/>
      <c r="M4677" s="35"/>
      <c r="N4677" s="35"/>
      <c r="O4677" s="35"/>
      <c r="P4677" s="35"/>
      <c r="Q4677" s="35"/>
      <c r="R4677" s="35"/>
      <c r="S4677" s="74"/>
      <c r="T4677" s="35"/>
      <c r="U4677" s="35"/>
      <c r="V4677" s="35"/>
      <c r="W4677" s="45"/>
    </row>
    <row r="4678">
      <c r="A4678" s="45"/>
      <c r="B4678" s="35"/>
      <c r="C4678" s="35"/>
      <c r="D4678" s="10"/>
      <c r="E4678" s="35"/>
      <c r="F4678" s="35"/>
      <c r="G4678" s="35"/>
      <c r="H4678" s="35"/>
      <c r="I4678" s="35"/>
      <c r="J4678" s="35"/>
      <c r="K4678" s="35"/>
      <c r="L4678" s="35"/>
      <c r="M4678" s="35"/>
      <c r="N4678" s="35"/>
      <c r="O4678" s="35"/>
      <c r="P4678" s="35"/>
      <c r="Q4678" s="35"/>
      <c r="R4678" s="35"/>
      <c r="S4678" s="74"/>
      <c r="T4678" s="35"/>
      <c r="U4678" s="35"/>
      <c r="V4678" s="35"/>
      <c r="W4678" s="45"/>
    </row>
    <row r="4679">
      <c r="A4679" s="45"/>
      <c r="B4679" s="35"/>
      <c r="C4679" s="35"/>
      <c r="D4679" s="10"/>
      <c r="E4679" s="35"/>
      <c r="F4679" s="35"/>
      <c r="G4679" s="35"/>
      <c r="H4679" s="35"/>
      <c r="I4679" s="35"/>
      <c r="J4679" s="35"/>
      <c r="K4679" s="35"/>
      <c r="L4679" s="35"/>
      <c r="M4679" s="35"/>
      <c r="N4679" s="35"/>
      <c r="O4679" s="35"/>
      <c r="P4679" s="35"/>
      <c r="Q4679" s="35"/>
      <c r="R4679" s="35"/>
      <c r="S4679" s="74"/>
      <c r="T4679" s="35"/>
      <c r="U4679" s="35"/>
      <c r="V4679" s="35"/>
      <c r="W4679" s="45"/>
    </row>
    <row r="4680">
      <c r="A4680" s="45"/>
      <c r="B4680" s="35"/>
      <c r="C4680" s="35"/>
      <c r="D4680" s="10"/>
      <c r="E4680" s="35"/>
      <c r="F4680" s="35"/>
      <c r="G4680" s="35"/>
      <c r="H4680" s="35"/>
      <c r="I4680" s="35"/>
      <c r="J4680" s="35"/>
      <c r="K4680" s="35"/>
      <c r="L4680" s="35"/>
      <c r="M4680" s="35"/>
      <c r="N4680" s="35"/>
      <c r="O4680" s="35"/>
      <c r="P4680" s="35"/>
      <c r="Q4680" s="35"/>
      <c r="R4680" s="35"/>
      <c r="S4680" s="74"/>
      <c r="T4680" s="35"/>
      <c r="U4680" s="35"/>
      <c r="V4680" s="35"/>
      <c r="W4680" s="45"/>
    </row>
    <row r="4681">
      <c r="A4681" s="45"/>
      <c r="B4681" s="35"/>
      <c r="C4681" s="35"/>
      <c r="D4681" s="10"/>
      <c r="E4681" s="35"/>
      <c r="F4681" s="35"/>
      <c r="G4681" s="35"/>
      <c r="H4681" s="35"/>
      <c r="I4681" s="35"/>
      <c r="J4681" s="35"/>
      <c r="K4681" s="35"/>
      <c r="L4681" s="35"/>
      <c r="M4681" s="35"/>
      <c r="N4681" s="35"/>
      <c r="O4681" s="35"/>
      <c r="P4681" s="35"/>
      <c r="Q4681" s="35"/>
      <c r="R4681" s="35"/>
      <c r="S4681" s="74"/>
      <c r="T4681" s="35"/>
      <c r="U4681" s="35"/>
      <c r="V4681" s="35"/>
      <c r="W4681" s="45"/>
    </row>
    <row r="4682">
      <c r="A4682" s="45"/>
      <c r="B4682" s="35"/>
      <c r="C4682" s="35"/>
      <c r="D4682" s="10"/>
      <c r="E4682" s="35"/>
      <c r="F4682" s="35"/>
      <c r="G4682" s="35"/>
      <c r="H4682" s="35"/>
      <c r="I4682" s="35"/>
      <c r="J4682" s="35"/>
      <c r="K4682" s="35"/>
      <c r="L4682" s="35"/>
      <c r="M4682" s="35"/>
      <c r="N4682" s="35"/>
      <c r="O4682" s="35"/>
      <c r="P4682" s="35"/>
      <c r="Q4682" s="35"/>
      <c r="R4682" s="35"/>
      <c r="S4682" s="74"/>
      <c r="T4682" s="35"/>
      <c r="U4682" s="35"/>
      <c r="V4682" s="35"/>
      <c r="W4682" s="45"/>
    </row>
    <row r="4683">
      <c r="A4683" s="45"/>
      <c r="B4683" s="35"/>
      <c r="C4683" s="35"/>
      <c r="D4683" s="10"/>
      <c r="E4683" s="35"/>
      <c r="F4683" s="35"/>
      <c r="G4683" s="35"/>
      <c r="H4683" s="35"/>
      <c r="I4683" s="35"/>
      <c r="J4683" s="35"/>
      <c r="K4683" s="35"/>
      <c r="L4683" s="35"/>
      <c r="M4683" s="35"/>
      <c r="N4683" s="35"/>
      <c r="O4683" s="35"/>
      <c r="P4683" s="35"/>
      <c r="Q4683" s="35"/>
      <c r="R4683" s="35"/>
      <c r="S4683" s="74"/>
      <c r="T4683" s="35"/>
      <c r="U4683" s="35"/>
      <c r="V4683" s="35"/>
      <c r="W4683" s="45"/>
    </row>
    <row r="4684">
      <c r="A4684" s="45"/>
      <c r="B4684" s="35"/>
      <c r="C4684" s="35"/>
      <c r="D4684" s="10"/>
      <c r="E4684" s="35"/>
      <c r="F4684" s="35"/>
      <c r="G4684" s="35"/>
      <c r="H4684" s="35"/>
      <c r="I4684" s="35"/>
      <c r="J4684" s="35"/>
      <c r="K4684" s="35"/>
      <c r="L4684" s="35"/>
      <c r="M4684" s="35"/>
      <c r="N4684" s="35"/>
      <c r="O4684" s="35"/>
      <c r="P4684" s="35"/>
      <c r="Q4684" s="35"/>
      <c r="R4684" s="35"/>
      <c r="S4684" s="74"/>
      <c r="T4684" s="35"/>
      <c r="U4684" s="35"/>
      <c r="V4684" s="35"/>
      <c r="W4684" s="45"/>
    </row>
    <row r="4685">
      <c r="A4685" s="45"/>
      <c r="B4685" s="35"/>
      <c r="C4685" s="35"/>
      <c r="D4685" s="10"/>
      <c r="E4685" s="35"/>
      <c r="F4685" s="35"/>
      <c r="G4685" s="35"/>
      <c r="H4685" s="35"/>
      <c r="I4685" s="35"/>
      <c r="J4685" s="35"/>
      <c r="K4685" s="35"/>
      <c r="L4685" s="35"/>
      <c r="M4685" s="35"/>
      <c r="N4685" s="35"/>
      <c r="O4685" s="35"/>
      <c r="P4685" s="35"/>
      <c r="Q4685" s="35"/>
      <c r="R4685" s="35"/>
      <c r="S4685" s="74"/>
      <c r="T4685" s="35"/>
      <c r="U4685" s="35"/>
      <c r="V4685" s="35"/>
      <c r="W4685" s="45"/>
    </row>
    <row r="4686">
      <c r="A4686" s="45"/>
      <c r="B4686" s="35"/>
      <c r="C4686" s="35"/>
      <c r="D4686" s="10"/>
      <c r="E4686" s="35"/>
      <c r="F4686" s="35"/>
      <c r="G4686" s="35"/>
      <c r="H4686" s="35"/>
      <c r="I4686" s="35"/>
      <c r="J4686" s="35"/>
      <c r="K4686" s="35"/>
      <c r="L4686" s="35"/>
      <c r="M4686" s="35"/>
      <c r="N4686" s="35"/>
      <c r="O4686" s="35"/>
      <c r="P4686" s="35"/>
      <c r="Q4686" s="35"/>
      <c r="R4686" s="35"/>
      <c r="S4686" s="74"/>
      <c r="T4686" s="35"/>
      <c r="U4686" s="35"/>
      <c r="V4686" s="35"/>
      <c r="W4686" s="45"/>
    </row>
    <row r="4687">
      <c r="A4687" s="45"/>
      <c r="B4687" s="35"/>
      <c r="C4687" s="35"/>
      <c r="D4687" s="10"/>
      <c r="E4687" s="35"/>
      <c r="F4687" s="35"/>
      <c r="G4687" s="35"/>
      <c r="H4687" s="35"/>
      <c r="I4687" s="35"/>
      <c r="J4687" s="35"/>
      <c r="K4687" s="35"/>
      <c r="L4687" s="35"/>
      <c r="M4687" s="35"/>
      <c r="N4687" s="35"/>
      <c r="O4687" s="35"/>
      <c r="P4687" s="35"/>
      <c r="Q4687" s="35"/>
      <c r="R4687" s="35"/>
      <c r="S4687" s="74"/>
      <c r="T4687" s="35"/>
      <c r="U4687" s="35"/>
      <c r="V4687" s="35"/>
      <c r="W4687" s="45"/>
    </row>
    <row r="4688">
      <c r="A4688" s="45"/>
      <c r="B4688" s="35"/>
      <c r="C4688" s="35"/>
      <c r="D4688" s="10"/>
      <c r="E4688" s="35"/>
      <c r="F4688" s="35"/>
      <c r="G4688" s="35"/>
      <c r="H4688" s="35"/>
      <c r="I4688" s="35"/>
      <c r="J4688" s="35"/>
      <c r="K4688" s="35"/>
      <c r="L4688" s="35"/>
      <c r="M4688" s="35"/>
      <c r="N4688" s="35"/>
      <c r="O4688" s="35"/>
      <c r="P4688" s="35"/>
      <c r="Q4688" s="35"/>
      <c r="R4688" s="35"/>
      <c r="S4688" s="74"/>
      <c r="T4688" s="35"/>
      <c r="U4688" s="35"/>
      <c r="V4688" s="35"/>
      <c r="W4688" s="45"/>
    </row>
    <row r="4689">
      <c r="A4689" s="45"/>
      <c r="B4689" s="35"/>
      <c r="C4689" s="35"/>
      <c r="D4689" s="10"/>
      <c r="E4689" s="35"/>
      <c r="F4689" s="35"/>
      <c r="G4689" s="35"/>
      <c r="H4689" s="35"/>
      <c r="I4689" s="35"/>
      <c r="J4689" s="35"/>
      <c r="K4689" s="35"/>
      <c r="L4689" s="35"/>
      <c r="M4689" s="35"/>
      <c r="N4689" s="35"/>
      <c r="O4689" s="35"/>
      <c r="P4689" s="35"/>
      <c r="Q4689" s="35"/>
      <c r="R4689" s="35"/>
      <c r="S4689" s="74"/>
      <c r="T4689" s="35"/>
      <c r="U4689" s="35"/>
      <c r="V4689" s="35"/>
      <c r="W4689" s="45"/>
    </row>
    <row r="4690">
      <c r="A4690" s="45"/>
      <c r="B4690" s="35"/>
      <c r="C4690" s="35"/>
      <c r="D4690" s="10"/>
      <c r="E4690" s="35"/>
      <c r="F4690" s="35"/>
      <c r="G4690" s="35"/>
      <c r="H4690" s="35"/>
      <c r="I4690" s="35"/>
      <c r="J4690" s="35"/>
      <c r="K4690" s="35"/>
      <c r="L4690" s="35"/>
      <c r="M4690" s="35"/>
      <c r="N4690" s="35"/>
      <c r="O4690" s="35"/>
      <c r="P4690" s="35"/>
      <c r="Q4690" s="35"/>
      <c r="R4690" s="35"/>
      <c r="S4690" s="74"/>
      <c r="T4690" s="35"/>
      <c r="U4690" s="35"/>
      <c r="V4690" s="35"/>
      <c r="W4690" s="45"/>
    </row>
    <row r="4691">
      <c r="A4691" s="45"/>
      <c r="B4691" s="35"/>
      <c r="C4691" s="35"/>
      <c r="D4691" s="10"/>
      <c r="E4691" s="35"/>
      <c r="F4691" s="35"/>
      <c r="G4691" s="35"/>
      <c r="H4691" s="35"/>
      <c r="I4691" s="35"/>
      <c r="J4691" s="35"/>
      <c r="K4691" s="35"/>
      <c r="L4691" s="35"/>
      <c r="M4691" s="35"/>
      <c r="N4691" s="35"/>
      <c r="O4691" s="35"/>
      <c r="P4691" s="35"/>
      <c r="Q4691" s="35"/>
      <c r="R4691" s="35"/>
      <c r="S4691" s="74"/>
      <c r="T4691" s="35"/>
      <c r="U4691" s="35"/>
      <c r="V4691" s="35"/>
      <c r="W4691" s="45"/>
    </row>
    <row r="4692">
      <c r="A4692" s="45"/>
      <c r="B4692" s="35"/>
      <c r="C4692" s="35"/>
      <c r="D4692" s="10"/>
      <c r="E4692" s="35"/>
      <c r="F4692" s="35"/>
      <c r="G4692" s="35"/>
      <c r="H4692" s="35"/>
      <c r="I4692" s="35"/>
      <c r="J4692" s="35"/>
      <c r="K4692" s="35"/>
      <c r="L4692" s="35"/>
      <c r="M4692" s="35"/>
      <c r="N4692" s="35"/>
      <c r="O4692" s="35"/>
      <c r="P4692" s="35"/>
      <c r="Q4692" s="35"/>
      <c r="R4692" s="35"/>
      <c r="S4692" s="74"/>
      <c r="T4692" s="35"/>
      <c r="U4692" s="35"/>
      <c r="V4692" s="35"/>
      <c r="W4692" s="45"/>
    </row>
    <row r="4693">
      <c r="A4693" s="45"/>
      <c r="B4693" s="35"/>
      <c r="C4693" s="35"/>
      <c r="D4693" s="10"/>
      <c r="E4693" s="35"/>
      <c r="F4693" s="35"/>
      <c r="G4693" s="35"/>
      <c r="H4693" s="35"/>
      <c r="I4693" s="35"/>
      <c r="J4693" s="35"/>
      <c r="K4693" s="35"/>
      <c r="L4693" s="35"/>
      <c r="M4693" s="35"/>
      <c r="N4693" s="35"/>
      <c r="O4693" s="35"/>
      <c r="P4693" s="35"/>
      <c r="Q4693" s="35"/>
      <c r="R4693" s="35"/>
      <c r="S4693" s="74"/>
      <c r="T4693" s="35"/>
      <c r="U4693" s="35"/>
      <c r="V4693" s="35"/>
      <c r="W4693" s="45"/>
    </row>
    <row r="4694">
      <c r="A4694" s="45"/>
      <c r="B4694" s="35"/>
      <c r="C4694" s="35"/>
      <c r="D4694" s="10"/>
      <c r="E4694" s="35"/>
      <c r="F4694" s="35"/>
      <c r="G4694" s="35"/>
      <c r="H4694" s="35"/>
      <c r="I4694" s="35"/>
      <c r="J4694" s="35"/>
      <c r="K4694" s="35"/>
      <c r="L4694" s="35"/>
      <c r="M4694" s="35"/>
      <c r="N4694" s="35"/>
      <c r="O4694" s="35"/>
      <c r="P4694" s="35"/>
      <c r="Q4694" s="35"/>
      <c r="R4694" s="35"/>
      <c r="S4694" s="74"/>
      <c r="T4694" s="35"/>
      <c r="U4694" s="35"/>
      <c r="V4694" s="35"/>
      <c r="W4694" s="45"/>
    </row>
    <row r="4695">
      <c r="A4695" s="45"/>
      <c r="B4695" s="35"/>
      <c r="C4695" s="35"/>
      <c r="D4695" s="10"/>
      <c r="E4695" s="35"/>
      <c r="F4695" s="35"/>
      <c r="G4695" s="35"/>
      <c r="H4695" s="35"/>
      <c r="I4695" s="35"/>
      <c r="J4695" s="35"/>
      <c r="K4695" s="35"/>
      <c r="L4695" s="35"/>
      <c r="M4695" s="35"/>
      <c r="N4695" s="35"/>
      <c r="O4695" s="35"/>
      <c r="P4695" s="35"/>
      <c r="Q4695" s="35"/>
      <c r="R4695" s="35"/>
      <c r="S4695" s="74"/>
      <c r="T4695" s="35"/>
      <c r="U4695" s="35"/>
      <c r="V4695" s="35"/>
      <c r="W4695" s="45"/>
    </row>
    <row r="4696">
      <c r="A4696" s="45"/>
      <c r="B4696" s="35"/>
      <c r="C4696" s="35"/>
      <c r="D4696" s="10"/>
      <c r="E4696" s="35"/>
      <c r="F4696" s="35"/>
      <c r="G4696" s="35"/>
      <c r="H4696" s="35"/>
      <c r="I4696" s="35"/>
      <c r="J4696" s="35"/>
      <c r="K4696" s="35"/>
      <c r="L4696" s="35"/>
      <c r="M4696" s="35"/>
      <c r="N4696" s="35"/>
      <c r="O4696" s="35"/>
      <c r="P4696" s="35"/>
      <c r="Q4696" s="35"/>
      <c r="R4696" s="35"/>
      <c r="S4696" s="74"/>
      <c r="T4696" s="35"/>
      <c r="U4696" s="35"/>
      <c r="V4696" s="35"/>
      <c r="W4696" s="45"/>
    </row>
    <row r="4697">
      <c r="A4697" s="45"/>
      <c r="B4697" s="35"/>
      <c r="C4697" s="35"/>
      <c r="D4697" s="10"/>
      <c r="E4697" s="35"/>
      <c r="F4697" s="35"/>
      <c r="G4697" s="35"/>
      <c r="H4697" s="35"/>
      <c r="I4697" s="35"/>
      <c r="J4697" s="35"/>
      <c r="K4697" s="35"/>
      <c r="L4697" s="35"/>
      <c r="M4697" s="35"/>
      <c r="N4697" s="35"/>
      <c r="O4697" s="35"/>
      <c r="P4697" s="35"/>
      <c r="Q4697" s="35"/>
      <c r="R4697" s="35"/>
      <c r="S4697" s="74"/>
      <c r="T4697" s="35"/>
      <c r="U4697" s="35"/>
      <c r="V4697" s="35"/>
      <c r="W4697" s="45"/>
    </row>
    <row r="4698">
      <c r="A4698" s="45"/>
      <c r="B4698" s="35"/>
      <c r="C4698" s="35"/>
      <c r="D4698" s="10"/>
      <c r="E4698" s="35"/>
      <c r="F4698" s="35"/>
      <c r="G4698" s="35"/>
      <c r="H4698" s="35"/>
      <c r="I4698" s="35"/>
      <c r="J4698" s="35"/>
      <c r="K4698" s="35"/>
      <c r="L4698" s="35"/>
      <c r="M4698" s="35"/>
      <c r="N4698" s="35"/>
      <c r="O4698" s="35"/>
      <c r="P4698" s="35"/>
      <c r="Q4698" s="35"/>
      <c r="R4698" s="35"/>
      <c r="S4698" s="74"/>
      <c r="T4698" s="35"/>
      <c r="U4698" s="35"/>
      <c r="V4698" s="35"/>
      <c r="W4698" s="45"/>
    </row>
    <row r="4699">
      <c r="A4699" s="45"/>
      <c r="B4699" s="35"/>
      <c r="C4699" s="35"/>
      <c r="D4699" s="10"/>
      <c r="E4699" s="35"/>
      <c r="F4699" s="35"/>
      <c r="G4699" s="35"/>
      <c r="H4699" s="35"/>
      <c r="I4699" s="35"/>
      <c r="J4699" s="35"/>
      <c r="K4699" s="35"/>
      <c r="L4699" s="35"/>
      <c r="M4699" s="35"/>
      <c r="N4699" s="35"/>
      <c r="O4699" s="35"/>
      <c r="P4699" s="35"/>
      <c r="Q4699" s="35"/>
      <c r="R4699" s="35"/>
      <c r="S4699" s="74"/>
      <c r="T4699" s="35"/>
      <c r="U4699" s="35"/>
      <c r="V4699" s="35"/>
      <c r="W4699" s="45"/>
    </row>
    <row r="4700">
      <c r="A4700" s="45"/>
      <c r="B4700" s="35"/>
      <c r="C4700" s="35"/>
      <c r="D4700" s="10"/>
      <c r="E4700" s="35"/>
      <c r="F4700" s="35"/>
      <c r="G4700" s="35"/>
      <c r="H4700" s="35"/>
      <c r="I4700" s="35"/>
      <c r="J4700" s="35"/>
      <c r="K4700" s="35"/>
      <c r="L4700" s="35"/>
      <c r="M4700" s="35"/>
      <c r="N4700" s="35"/>
      <c r="O4700" s="35"/>
      <c r="P4700" s="35"/>
      <c r="Q4700" s="35"/>
      <c r="R4700" s="35"/>
      <c r="S4700" s="74"/>
      <c r="T4700" s="35"/>
      <c r="U4700" s="35"/>
      <c r="V4700" s="35"/>
      <c r="W4700" s="45"/>
    </row>
    <row r="4701">
      <c r="A4701" s="45"/>
      <c r="B4701" s="35"/>
      <c r="C4701" s="35"/>
      <c r="D4701" s="10"/>
      <c r="E4701" s="35"/>
      <c r="F4701" s="35"/>
      <c r="G4701" s="35"/>
      <c r="H4701" s="35"/>
      <c r="I4701" s="35"/>
      <c r="J4701" s="35"/>
      <c r="K4701" s="35"/>
      <c r="L4701" s="35"/>
      <c r="M4701" s="35"/>
      <c r="N4701" s="35"/>
      <c r="O4701" s="35"/>
      <c r="P4701" s="35"/>
      <c r="Q4701" s="35"/>
      <c r="R4701" s="35"/>
      <c r="S4701" s="74"/>
      <c r="T4701" s="35"/>
      <c r="U4701" s="35"/>
      <c r="V4701" s="35"/>
      <c r="W4701" s="45"/>
    </row>
    <row r="4702">
      <c r="A4702" s="45"/>
      <c r="B4702" s="35"/>
      <c r="C4702" s="35"/>
      <c r="D4702" s="10"/>
      <c r="E4702" s="35"/>
      <c r="F4702" s="35"/>
      <c r="G4702" s="35"/>
      <c r="H4702" s="35"/>
      <c r="I4702" s="35"/>
      <c r="J4702" s="35"/>
      <c r="K4702" s="35"/>
      <c r="L4702" s="35"/>
      <c r="M4702" s="35"/>
      <c r="N4702" s="35"/>
      <c r="O4702" s="35"/>
      <c r="P4702" s="35"/>
      <c r="Q4702" s="35"/>
      <c r="R4702" s="35"/>
      <c r="S4702" s="74"/>
      <c r="T4702" s="35"/>
      <c r="U4702" s="35"/>
      <c r="V4702" s="35"/>
      <c r="W4702" s="45"/>
    </row>
    <row r="4703">
      <c r="A4703" s="45"/>
      <c r="B4703" s="35"/>
      <c r="C4703" s="35"/>
      <c r="D4703" s="10"/>
      <c r="E4703" s="35"/>
      <c r="F4703" s="35"/>
      <c r="G4703" s="35"/>
      <c r="H4703" s="35"/>
      <c r="I4703" s="35"/>
      <c r="J4703" s="35"/>
      <c r="K4703" s="35"/>
      <c r="L4703" s="35"/>
      <c r="M4703" s="35"/>
      <c r="N4703" s="35"/>
      <c r="O4703" s="35"/>
      <c r="P4703" s="35"/>
      <c r="Q4703" s="35"/>
      <c r="R4703" s="35"/>
      <c r="S4703" s="74"/>
      <c r="T4703" s="35"/>
      <c r="U4703" s="35"/>
      <c r="V4703" s="35"/>
      <c r="W4703" s="45"/>
    </row>
    <row r="4704">
      <c r="A4704" s="45"/>
      <c r="B4704" s="35"/>
      <c r="C4704" s="35"/>
      <c r="D4704" s="10"/>
      <c r="E4704" s="35"/>
      <c r="F4704" s="35"/>
      <c r="G4704" s="35"/>
      <c r="H4704" s="35"/>
      <c r="I4704" s="35"/>
      <c r="J4704" s="35"/>
      <c r="K4704" s="35"/>
      <c r="L4704" s="35"/>
      <c r="M4704" s="35"/>
      <c r="N4704" s="35"/>
      <c r="O4704" s="35"/>
      <c r="P4704" s="35"/>
      <c r="Q4704" s="35"/>
      <c r="R4704" s="35"/>
      <c r="S4704" s="74"/>
      <c r="T4704" s="35"/>
      <c r="U4704" s="35"/>
      <c r="V4704" s="35"/>
      <c r="W4704" s="45"/>
    </row>
    <row r="4705">
      <c r="A4705" s="45"/>
      <c r="B4705" s="35"/>
      <c r="C4705" s="35"/>
      <c r="D4705" s="10"/>
      <c r="E4705" s="35"/>
      <c r="F4705" s="35"/>
      <c r="G4705" s="35"/>
      <c r="H4705" s="35"/>
      <c r="I4705" s="35"/>
      <c r="J4705" s="35"/>
      <c r="K4705" s="35"/>
      <c r="L4705" s="35"/>
      <c r="M4705" s="35"/>
      <c r="N4705" s="35"/>
      <c r="O4705" s="35"/>
      <c r="P4705" s="35"/>
      <c r="Q4705" s="35"/>
      <c r="R4705" s="35"/>
      <c r="S4705" s="74"/>
      <c r="T4705" s="35"/>
      <c r="U4705" s="35"/>
      <c r="V4705" s="35"/>
      <c r="W4705" s="45"/>
    </row>
    <row r="4706">
      <c r="A4706" s="45"/>
      <c r="B4706" s="35"/>
      <c r="C4706" s="35"/>
      <c r="D4706" s="10"/>
      <c r="E4706" s="35"/>
      <c r="F4706" s="35"/>
      <c r="G4706" s="35"/>
      <c r="H4706" s="35"/>
      <c r="I4706" s="35"/>
      <c r="J4706" s="35"/>
      <c r="K4706" s="35"/>
      <c r="L4706" s="35"/>
      <c r="M4706" s="35"/>
      <c r="N4706" s="35"/>
      <c r="O4706" s="35"/>
      <c r="P4706" s="35"/>
      <c r="Q4706" s="35"/>
      <c r="R4706" s="35"/>
      <c r="S4706" s="74"/>
      <c r="T4706" s="35"/>
      <c r="U4706" s="35"/>
      <c r="V4706" s="35"/>
      <c r="W4706" s="45"/>
    </row>
    <row r="4707">
      <c r="A4707" s="45"/>
      <c r="B4707" s="35"/>
      <c r="C4707" s="35"/>
      <c r="D4707" s="10"/>
      <c r="E4707" s="35"/>
      <c r="F4707" s="35"/>
      <c r="G4707" s="35"/>
      <c r="H4707" s="35"/>
      <c r="I4707" s="35"/>
      <c r="J4707" s="35"/>
      <c r="K4707" s="35"/>
      <c r="L4707" s="35"/>
      <c r="M4707" s="35"/>
      <c r="N4707" s="35"/>
      <c r="O4707" s="35"/>
      <c r="P4707" s="35"/>
      <c r="Q4707" s="35"/>
      <c r="R4707" s="35"/>
      <c r="S4707" s="74"/>
      <c r="T4707" s="35"/>
      <c r="U4707" s="35"/>
      <c r="V4707" s="35"/>
      <c r="W4707" s="45"/>
    </row>
    <row r="4708">
      <c r="A4708" s="45"/>
      <c r="B4708" s="35"/>
      <c r="C4708" s="35"/>
      <c r="D4708" s="10"/>
      <c r="E4708" s="35"/>
      <c r="F4708" s="35"/>
      <c r="G4708" s="35"/>
      <c r="H4708" s="35"/>
      <c r="I4708" s="35"/>
      <c r="J4708" s="35"/>
      <c r="K4708" s="35"/>
      <c r="L4708" s="35"/>
      <c r="M4708" s="35"/>
      <c r="N4708" s="35"/>
      <c r="O4708" s="35"/>
      <c r="P4708" s="35"/>
      <c r="Q4708" s="35"/>
      <c r="R4708" s="35"/>
      <c r="S4708" s="74"/>
      <c r="T4708" s="35"/>
      <c r="U4708" s="35"/>
      <c r="V4708" s="35"/>
      <c r="W4708" s="45"/>
    </row>
    <row r="4709">
      <c r="A4709" s="45"/>
      <c r="B4709" s="35"/>
      <c r="C4709" s="35"/>
      <c r="D4709" s="10"/>
      <c r="E4709" s="35"/>
      <c r="F4709" s="35"/>
      <c r="G4709" s="35"/>
      <c r="H4709" s="35"/>
      <c r="I4709" s="35"/>
      <c r="J4709" s="35"/>
      <c r="K4709" s="35"/>
      <c r="L4709" s="35"/>
      <c r="M4709" s="35"/>
      <c r="N4709" s="35"/>
      <c r="O4709" s="35"/>
      <c r="P4709" s="35"/>
      <c r="Q4709" s="35"/>
      <c r="R4709" s="35"/>
      <c r="S4709" s="74"/>
      <c r="T4709" s="35"/>
      <c r="U4709" s="35"/>
      <c r="V4709" s="35"/>
      <c r="W4709" s="45"/>
    </row>
    <row r="4710">
      <c r="A4710" s="45"/>
      <c r="B4710" s="35"/>
      <c r="C4710" s="35"/>
      <c r="D4710" s="10"/>
      <c r="E4710" s="35"/>
      <c r="F4710" s="35"/>
      <c r="G4710" s="35"/>
      <c r="H4710" s="35"/>
      <c r="I4710" s="35"/>
      <c r="J4710" s="35"/>
      <c r="K4710" s="35"/>
      <c r="L4710" s="35"/>
      <c r="M4710" s="35"/>
      <c r="N4710" s="35"/>
      <c r="O4710" s="35"/>
      <c r="P4710" s="35"/>
      <c r="Q4710" s="35"/>
      <c r="R4710" s="35"/>
      <c r="S4710" s="74"/>
      <c r="T4710" s="35"/>
      <c r="U4710" s="35"/>
      <c r="V4710" s="35"/>
      <c r="W4710" s="45"/>
    </row>
    <row r="4711">
      <c r="A4711" s="45"/>
      <c r="B4711" s="35"/>
      <c r="C4711" s="35"/>
      <c r="D4711" s="10"/>
      <c r="E4711" s="35"/>
      <c r="F4711" s="35"/>
      <c r="G4711" s="35"/>
      <c r="H4711" s="35"/>
      <c r="I4711" s="35"/>
      <c r="J4711" s="35"/>
      <c r="K4711" s="35"/>
      <c r="L4711" s="35"/>
      <c r="M4711" s="35"/>
      <c r="N4711" s="35"/>
      <c r="O4711" s="35"/>
      <c r="P4711" s="35"/>
      <c r="Q4711" s="35"/>
      <c r="R4711" s="35"/>
      <c r="S4711" s="74"/>
      <c r="T4711" s="35"/>
      <c r="U4711" s="35"/>
      <c r="V4711" s="35"/>
      <c r="W4711" s="45"/>
    </row>
    <row r="4712">
      <c r="A4712" s="45"/>
      <c r="B4712" s="35"/>
      <c r="C4712" s="35"/>
      <c r="D4712" s="10"/>
      <c r="E4712" s="35"/>
      <c r="F4712" s="35"/>
      <c r="G4712" s="35"/>
      <c r="H4712" s="35"/>
      <c r="I4712" s="35"/>
      <c r="J4712" s="35"/>
      <c r="K4712" s="35"/>
      <c r="L4712" s="35"/>
      <c r="M4712" s="35"/>
      <c r="N4712" s="35"/>
      <c r="O4712" s="35"/>
      <c r="P4712" s="35"/>
      <c r="Q4712" s="35"/>
      <c r="R4712" s="35"/>
      <c r="S4712" s="74"/>
      <c r="T4712" s="35"/>
      <c r="U4712" s="35"/>
      <c r="V4712" s="35"/>
      <c r="W4712" s="45"/>
    </row>
    <row r="4713">
      <c r="A4713" s="45"/>
      <c r="B4713" s="35"/>
      <c r="C4713" s="35"/>
      <c r="D4713" s="10"/>
      <c r="E4713" s="35"/>
      <c r="F4713" s="35"/>
      <c r="G4713" s="35"/>
      <c r="H4713" s="35"/>
      <c r="I4713" s="35"/>
      <c r="J4713" s="35"/>
      <c r="K4713" s="35"/>
      <c r="L4713" s="35"/>
      <c r="M4713" s="35"/>
      <c r="N4713" s="35"/>
      <c r="O4713" s="35"/>
      <c r="P4713" s="35"/>
      <c r="Q4713" s="35"/>
      <c r="R4713" s="35"/>
      <c r="S4713" s="74"/>
      <c r="T4713" s="35"/>
      <c r="U4713" s="35"/>
      <c r="V4713" s="35"/>
      <c r="W4713" s="45"/>
    </row>
    <row r="4714">
      <c r="A4714" s="45"/>
      <c r="B4714" s="35"/>
      <c r="C4714" s="35"/>
      <c r="D4714" s="10"/>
      <c r="E4714" s="35"/>
      <c r="F4714" s="35"/>
      <c r="G4714" s="35"/>
      <c r="H4714" s="35"/>
      <c r="I4714" s="35"/>
      <c r="J4714" s="35"/>
      <c r="K4714" s="35"/>
      <c r="L4714" s="35"/>
      <c r="M4714" s="35"/>
      <c r="N4714" s="35"/>
      <c r="O4714" s="35"/>
      <c r="P4714" s="35"/>
      <c r="Q4714" s="35"/>
      <c r="R4714" s="35"/>
      <c r="S4714" s="74"/>
      <c r="T4714" s="35"/>
      <c r="U4714" s="35"/>
      <c r="V4714" s="35"/>
      <c r="W4714" s="45"/>
    </row>
    <row r="4715">
      <c r="A4715" s="45"/>
      <c r="B4715" s="35"/>
      <c r="C4715" s="35"/>
      <c r="D4715" s="10"/>
      <c r="E4715" s="35"/>
      <c r="F4715" s="35"/>
      <c r="G4715" s="35"/>
      <c r="H4715" s="35"/>
      <c r="I4715" s="35"/>
      <c r="J4715" s="35"/>
      <c r="K4715" s="35"/>
      <c r="L4715" s="35"/>
      <c r="M4715" s="35"/>
      <c r="N4715" s="35"/>
      <c r="O4715" s="35"/>
      <c r="P4715" s="35"/>
      <c r="Q4715" s="35"/>
      <c r="R4715" s="35"/>
      <c r="S4715" s="74"/>
      <c r="T4715" s="35"/>
      <c r="U4715" s="35"/>
      <c r="V4715" s="35"/>
      <c r="W4715" s="45"/>
    </row>
    <row r="4716">
      <c r="A4716" s="45"/>
      <c r="B4716" s="35"/>
      <c r="C4716" s="35"/>
      <c r="D4716" s="10"/>
      <c r="E4716" s="35"/>
      <c r="F4716" s="35"/>
      <c r="G4716" s="35"/>
      <c r="H4716" s="35"/>
      <c r="I4716" s="35"/>
      <c r="J4716" s="35"/>
      <c r="K4716" s="35"/>
      <c r="L4716" s="35"/>
      <c r="M4716" s="35"/>
      <c r="N4716" s="35"/>
      <c r="O4716" s="35"/>
      <c r="P4716" s="35"/>
      <c r="Q4716" s="35"/>
      <c r="R4716" s="35"/>
      <c r="S4716" s="74"/>
      <c r="T4716" s="35"/>
      <c r="U4716" s="35"/>
      <c r="V4716" s="35"/>
      <c r="W4716" s="45"/>
    </row>
    <row r="4717">
      <c r="A4717" s="45"/>
      <c r="B4717" s="35"/>
      <c r="C4717" s="35"/>
      <c r="D4717" s="10"/>
      <c r="E4717" s="35"/>
      <c r="F4717" s="35"/>
      <c r="G4717" s="35"/>
      <c r="H4717" s="35"/>
      <c r="I4717" s="35"/>
      <c r="J4717" s="35"/>
      <c r="K4717" s="35"/>
      <c r="L4717" s="35"/>
      <c r="M4717" s="35"/>
      <c r="N4717" s="35"/>
      <c r="O4717" s="35"/>
      <c r="P4717" s="35"/>
      <c r="Q4717" s="35"/>
      <c r="R4717" s="35"/>
      <c r="S4717" s="74"/>
      <c r="T4717" s="35"/>
      <c r="U4717" s="35"/>
      <c r="V4717" s="35"/>
      <c r="W4717" s="45"/>
    </row>
    <row r="4718">
      <c r="A4718" s="45"/>
      <c r="B4718" s="35"/>
      <c r="C4718" s="35"/>
      <c r="D4718" s="10"/>
      <c r="E4718" s="35"/>
      <c r="F4718" s="35"/>
      <c r="G4718" s="35"/>
      <c r="H4718" s="35"/>
      <c r="I4718" s="35"/>
      <c r="J4718" s="35"/>
      <c r="K4718" s="35"/>
      <c r="L4718" s="35"/>
      <c r="M4718" s="35"/>
      <c r="N4718" s="35"/>
      <c r="O4718" s="35"/>
      <c r="P4718" s="35"/>
      <c r="Q4718" s="35"/>
      <c r="R4718" s="35"/>
      <c r="S4718" s="74"/>
      <c r="T4718" s="35"/>
      <c r="U4718" s="35"/>
      <c r="V4718" s="35"/>
      <c r="W4718" s="45"/>
    </row>
    <row r="4719">
      <c r="A4719" s="45"/>
      <c r="B4719" s="35"/>
      <c r="C4719" s="35"/>
      <c r="D4719" s="10"/>
      <c r="E4719" s="35"/>
      <c r="F4719" s="35"/>
      <c r="G4719" s="35"/>
      <c r="H4719" s="35"/>
      <c r="I4719" s="35"/>
      <c r="J4719" s="35"/>
      <c r="K4719" s="35"/>
      <c r="L4719" s="35"/>
      <c r="M4719" s="35"/>
      <c r="N4719" s="35"/>
      <c r="O4719" s="35"/>
      <c r="P4719" s="35"/>
      <c r="Q4719" s="35"/>
      <c r="R4719" s="35"/>
      <c r="S4719" s="74"/>
      <c r="T4719" s="35"/>
      <c r="U4719" s="35"/>
      <c r="V4719" s="35"/>
      <c r="W4719" s="45"/>
    </row>
    <row r="4720">
      <c r="A4720" s="45"/>
      <c r="B4720" s="35"/>
      <c r="C4720" s="35"/>
      <c r="D4720" s="10"/>
      <c r="E4720" s="35"/>
      <c r="F4720" s="35"/>
      <c r="G4720" s="35"/>
      <c r="H4720" s="35"/>
      <c r="I4720" s="35"/>
      <c r="J4720" s="35"/>
      <c r="K4720" s="35"/>
      <c r="L4720" s="35"/>
      <c r="M4720" s="35"/>
      <c r="N4720" s="35"/>
      <c r="O4720" s="35"/>
      <c r="P4720" s="35"/>
      <c r="Q4720" s="35"/>
      <c r="R4720" s="35"/>
      <c r="S4720" s="74"/>
      <c r="T4720" s="35"/>
      <c r="U4720" s="35"/>
      <c r="V4720" s="35"/>
      <c r="W4720" s="45"/>
    </row>
    <row r="4721">
      <c r="A4721" s="45"/>
      <c r="B4721" s="35"/>
      <c r="C4721" s="35"/>
      <c r="D4721" s="10"/>
      <c r="E4721" s="35"/>
      <c r="F4721" s="35"/>
      <c r="G4721" s="35"/>
      <c r="H4721" s="35"/>
      <c r="I4721" s="35"/>
      <c r="J4721" s="35"/>
      <c r="K4721" s="35"/>
      <c r="L4721" s="35"/>
      <c r="M4721" s="35"/>
      <c r="N4721" s="35"/>
      <c r="O4721" s="35"/>
      <c r="P4721" s="35"/>
      <c r="Q4721" s="35"/>
      <c r="R4721" s="35"/>
      <c r="S4721" s="74"/>
      <c r="T4721" s="35"/>
      <c r="U4721" s="35"/>
      <c r="V4721" s="35"/>
      <c r="W4721" s="45"/>
    </row>
    <row r="4722">
      <c r="A4722" s="45"/>
      <c r="B4722" s="35"/>
      <c r="C4722" s="35"/>
      <c r="D4722" s="10"/>
      <c r="E4722" s="35"/>
      <c r="F4722" s="35"/>
      <c r="G4722" s="35"/>
      <c r="H4722" s="35"/>
      <c r="I4722" s="35"/>
      <c r="J4722" s="35"/>
      <c r="K4722" s="35"/>
      <c r="L4722" s="35"/>
      <c r="M4722" s="35"/>
      <c r="N4722" s="35"/>
      <c r="O4722" s="35"/>
      <c r="P4722" s="35"/>
      <c r="Q4722" s="35"/>
      <c r="R4722" s="35"/>
      <c r="S4722" s="74"/>
      <c r="T4722" s="35"/>
      <c r="U4722" s="35"/>
      <c r="V4722" s="35"/>
      <c r="W4722" s="45"/>
    </row>
    <row r="4723">
      <c r="A4723" s="45"/>
      <c r="B4723" s="35"/>
      <c r="C4723" s="35"/>
      <c r="D4723" s="10"/>
      <c r="E4723" s="35"/>
      <c r="F4723" s="35"/>
      <c r="G4723" s="35"/>
      <c r="H4723" s="35"/>
      <c r="I4723" s="35"/>
      <c r="J4723" s="35"/>
      <c r="K4723" s="35"/>
      <c r="L4723" s="35"/>
      <c r="M4723" s="35"/>
      <c r="N4723" s="35"/>
      <c r="O4723" s="35"/>
      <c r="P4723" s="35"/>
      <c r="Q4723" s="35"/>
      <c r="R4723" s="35"/>
      <c r="S4723" s="74"/>
      <c r="T4723" s="35"/>
      <c r="U4723" s="35"/>
      <c r="V4723" s="35"/>
      <c r="W4723" s="45"/>
    </row>
    <row r="4724">
      <c r="A4724" s="45"/>
      <c r="B4724" s="35"/>
      <c r="C4724" s="35"/>
      <c r="D4724" s="10"/>
      <c r="E4724" s="35"/>
      <c r="F4724" s="35"/>
      <c r="G4724" s="35"/>
      <c r="H4724" s="35"/>
      <c r="I4724" s="35"/>
      <c r="J4724" s="35"/>
      <c r="K4724" s="35"/>
      <c r="L4724" s="35"/>
      <c r="M4724" s="35"/>
      <c r="N4724" s="35"/>
      <c r="O4724" s="35"/>
      <c r="P4724" s="35"/>
      <c r="Q4724" s="35"/>
      <c r="R4724" s="35"/>
      <c r="S4724" s="74"/>
      <c r="T4724" s="35"/>
      <c r="U4724" s="35"/>
      <c r="V4724" s="35"/>
      <c r="W4724" s="45"/>
    </row>
    <row r="4725">
      <c r="A4725" s="45"/>
      <c r="B4725" s="35"/>
      <c r="C4725" s="35"/>
      <c r="D4725" s="10"/>
      <c r="E4725" s="35"/>
      <c r="F4725" s="35"/>
      <c r="G4725" s="35"/>
      <c r="H4725" s="35"/>
      <c r="I4725" s="35"/>
      <c r="J4725" s="35"/>
      <c r="K4725" s="35"/>
      <c r="L4725" s="35"/>
      <c r="M4725" s="35"/>
      <c r="N4725" s="35"/>
      <c r="O4725" s="35"/>
      <c r="P4725" s="35"/>
      <c r="Q4725" s="35"/>
      <c r="R4725" s="35"/>
      <c r="S4725" s="74"/>
      <c r="T4725" s="35"/>
      <c r="U4725" s="35"/>
      <c r="V4725" s="35"/>
      <c r="W4725" s="45"/>
    </row>
    <row r="4726">
      <c r="A4726" s="45"/>
      <c r="B4726" s="35"/>
      <c r="C4726" s="35"/>
      <c r="D4726" s="10"/>
      <c r="E4726" s="35"/>
      <c r="F4726" s="35"/>
      <c r="G4726" s="35"/>
      <c r="H4726" s="35"/>
      <c r="I4726" s="35"/>
      <c r="J4726" s="35"/>
      <c r="K4726" s="35"/>
      <c r="L4726" s="35"/>
      <c r="M4726" s="35"/>
      <c r="N4726" s="35"/>
      <c r="O4726" s="35"/>
      <c r="P4726" s="35"/>
      <c r="Q4726" s="35"/>
      <c r="R4726" s="35"/>
      <c r="S4726" s="74"/>
      <c r="T4726" s="35"/>
      <c r="U4726" s="35"/>
      <c r="V4726" s="35"/>
      <c r="W4726" s="45"/>
    </row>
    <row r="4727">
      <c r="A4727" s="45"/>
      <c r="B4727" s="35"/>
      <c r="C4727" s="35"/>
      <c r="D4727" s="10"/>
      <c r="E4727" s="35"/>
      <c r="F4727" s="35"/>
      <c r="G4727" s="35"/>
      <c r="H4727" s="35"/>
      <c r="I4727" s="35"/>
      <c r="J4727" s="35"/>
      <c r="K4727" s="35"/>
      <c r="L4727" s="35"/>
      <c r="M4727" s="35"/>
      <c r="N4727" s="35"/>
      <c r="O4727" s="35"/>
      <c r="P4727" s="35"/>
      <c r="Q4727" s="35"/>
      <c r="R4727" s="35"/>
      <c r="S4727" s="74"/>
      <c r="T4727" s="35"/>
      <c r="U4727" s="35"/>
      <c r="V4727" s="35"/>
      <c r="W4727" s="45"/>
    </row>
    <row r="4728">
      <c r="A4728" s="45"/>
      <c r="B4728" s="35"/>
      <c r="C4728" s="35"/>
      <c r="D4728" s="10"/>
      <c r="E4728" s="35"/>
      <c r="F4728" s="35"/>
      <c r="G4728" s="35"/>
      <c r="H4728" s="35"/>
      <c r="I4728" s="35"/>
      <c r="J4728" s="35"/>
      <c r="K4728" s="35"/>
      <c r="L4728" s="35"/>
      <c r="M4728" s="35"/>
      <c r="N4728" s="35"/>
      <c r="O4728" s="35"/>
      <c r="P4728" s="35"/>
      <c r="Q4728" s="35"/>
      <c r="R4728" s="35"/>
      <c r="S4728" s="74"/>
      <c r="T4728" s="35"/>
      <c r="U4728" s="35"/>
      <c r="V4728" s="35"/>
      <c r="W4728" s="45"/>
    </row>
    <row r="4729">
      <c r="A4729" s="45"/>
      <c r="B4729" s="35"/>
      <c r="C4729" s="35"/>
      <c r="D4729" s="10"/>
      <c r="E4729" s="35"/>
      <c r="F4729" s="35"/>
      <c r="G4729" s="35"/>
      <c r="H4729" s="35"/>
      <c r="I4729" s="35"/>
      <c r="J4729" s="35"/>
      <c r="K4729" s="35"/>
      <c r="L4729" s="35"/>
      <c r="M4729" s="35"/>
      <c r="N4729" s="35"/>
      <c r="O4729" s="35"/>
      <c r="P4729" s="35"/>
      <c r="Q4729" s="35"/>
      <c r="R4729" s="35"/>
      <c r="S4729" s="74"/>
      <c r="T4729" s="35"/>
      <c r="U4729" s="35"/>
      <c r="V4729" s="35"/>
      <c r="W4729" s="45"/>
    </row>
    <row r="4730">
      <c r="A4730" s="45"/>
      <c r="B4730" s="35"/>
      <c r="C4730" s="35"/>
      <c r="D4730" s="10"/>
      <c r="E4730" s="35"/>
      <c r="F4730" s="35"/>
      <c r="G4730" s="35"/>
      <c r="H4730" s="35"/>
      <c r="I4730" s="35"/>
      <c r="J4730" s="35"/>
      <c r="K4730" s="35"/>
      <c r="L4730" s="35"/>
      <c r="M4730" s="35"/>
      <c r="N4730" s="35"/>
      <c r="O4730" s="35"/>
      <c r="P4730" s="35"/>
      <c r="Q4730" s="35"/>
      <c r="R4730" s="35"/>
      <c r="S4730" s="74"/>
      <c r="T4730" s="35"/>
      <c r="U4730" s="35"/>
      <c r="V4730" s="35"/>
      <c r="W4730" s="45"/>
    </row>
    <row r="4731">
      <c r="A4731" s="45"/>
      <c r="B4731" s="35"/>
      <c r="C4731" s="35"/>
      <c r="D4731" s="10"/>
      <c r="E4731" s="35"/>
      <c r="F4731" s="35"/>
      <c r="G4731" s="35"/>
      <c r="H4731" s="35"/>
      <c r="I4731" s="35"/>
      <c r="J4731" s="35"/>
      <c r="K4731" s="35"/>
      <c r="L4731" s="35"/>
      <c r="M4731" s="35"/>
      <c r="N4731" s="35"/>
      <c r="O4731" s="35"/>
      <c r="P4731" s="35"/>
      <c r="Q4731" s="35"/>
      <c r="R4731" s="35"/>
      <c r="S4731" s="74"/>
      <c r="T4731" s="35"/>
      <c r="U4731" s="35"/>
      <c r="V4731" s="35"/>
      <c r="W4731" s="45"/>
    </row>
    <row r="4732">
      <c r="A4732" s="45"/>
      <c r="B4732" s="35"/>
      <c r="C4732" s="35"/>
      <c r="D4732" s="10"/>
      <c r="E4732" s="35"/>
      <c r="F4732" s="35"/>
      <c r="G4732" s="35"/>
      <c r="H4732" s="35"/>
      <c r="I4732" s="35"/>
      <c r="J4732" s="35"/>
      <c r="K4732" s="35"/>
      <c r="L4732" s="35"/>
      <c r="M4732" s="35"/>
      <c r="N4732" s="35"/>
      <c r="O4732" s="35"/>
      <c r="P4732" s="35"/>
      <c r="Q4732" s="35"/>
      <c r="R4732" s="35"/>
      <c r="S4732" s="74"/>
      <c r="T4732" s="35"/>
      <c r="U4732" s="35"/>
      <c r="V4732" s="35"/>
      <c r="W4732" s="45"/>
    </row>
    <row r="4733">
      <c r="A4733" s="45"/>
      <c r="B4733" s="35"/>
      <c r="C4733" s="35"/>
      <c r="D4733" s="10"/>
      <c r="E4733" s="35"/>
      <c r="F4733" s="35"/>
      <c r="G4733" s="35"/>
      <c r="H4733" s="35"/>
      <c r="I4733" s="35"/>
      <c r="J4733" s="35"/>
      <c r="K4733" s="35"/>
      <c r="L4733" s="35"/>
      <c r="M4733" s="35"/>
      <c r="N4733" s="35"/>
      <c r="O4733" s="35"/>
      <c r="P4733" s="35"/>
      <c r="Q4733" s="35"/>
      <c r="R4733" s="35"/>
      <c r="S4733" s="74"/>
      <c r="T4733" s="35"/>
      <c r="U4733" s="35"/>
      <c r="V4733" s="35"/>
      <c r="W4733" s="45"/>
    </row>
    <row r="4734">
      <c r="A4734" s="45"/>
      <c r="B4734" s="35"/>
      <c r="C4734" s="35"/>
      <c r="D4734" s="10"/>
      <c r="E4734" s="35"/>
      <c r="F4734" s="35"/>
      <c r="G4734" s="35"/>
      <c r="H4734" s="35"/>
      <c r="I4734" s="35"/>
      <c r="J4734" s="35"/>
      <c r="K4734" s="35"/>
      <c r="L4734" s="35"/>
      <c r="M4734" s="35"/>
      <c r="N4734" s="35"/>
      <c r="O4734" s="35"/>
      <c r="P4734" s="35"/>
      <c r="Q4734" s="35"/>
      <c r="R4734" s="35"/>
      <c r="S4734" s="74"/>
      <c r="T4734" s="35"/>
      <c r="U4734" s="35"/>
      <c r="V4734" s="35"/>
      <c r="W4734" s="45"/>
    </row>
    <row r="4735">
      <c r="A4735" s="45"/>
      <c r="B4735" s="35"/>
      <c r="C4735" s="35"/>
      <c r="D4735" s="10"/>
      <c r="E4735" s="35"/>
      <c r="F4735" s="35"/>
      <c r="G4735" s="35"/>
      <c r="H4735" s="35"/>
      <c r="I4735" s="35"/>
      <c r="J4735" s="35"/>
      <c r="K4735" s="35"/>
      <c r="L4735" s="35"/>
      <c r="M4735" s="35"/>
      <c r="N4735" s="35"/>
      <c r="O4735" s="35"/>
      <c r="P4735" s="35"/>
      <c r="Q4735" s="35"/>
      <c r="R4735" s="35"/>
      <c r="S4735" s="74"/>
      <c r="T4735" s="35"/>
      <c r="U4735" s="35"/>
      <c r="V4735" s="35"/>
      <c r="W4735" s="45"/>
    </row>
    <row r="4736">
      <c r="A4736" s="45"/>
      <c r="B4736" s="35"/>
      <c r="C4736" s="35"/>
      <c r="D4736" s="10"/>
      <c r="E4736" s="35"/>
      <c r="F4736" s="35"/>
      <c r="G4736" s="35"/>
      <c r="H4736" s="35"/>
      <c r="I4736" s="35"/>
      <c r="J4736" s="35"/>
      <c r="K4736" s="35"/>
      <c r="L4736" s="35"/>
      <c r="M4736" s="35"/>
      <c r="N4736" s="35"/>
      <c r="O4736" s="35"/>
      <c r="P4736" s="35"/>
      <c r="Q4736" s="35"/>
      <c r="R4736" s="35"/>
      <c r="S4736" s="74"/>
      <c r="T4736" s="35"/>
      <c r="U4736" s="35"/>
      <c r="V4736" s="35"/>
      <c r="W4736" s="45"/>
    </row>
    <row r="4737">
      <c r="A4737" s="45"/>
      <c r="B4737" s="35"/>
      <c r="C4737" s="35"/>
      <c r="D4737" s="10"/>
      <c r="E4737" s="35"/>
      <c r="F4737" s="35"/>
      <c r="G4737" s="35"/>
      <c r="H4737" s="35"/>
      <c r="I4737" s="35"/>
      <c r="J4737" s="35"/>
      <c r="K4737" s="35"/>
      <c r="L4737" s="35"/>
      <c r="M4737" s="35"/>
      <c r="N4737" s="35"/>
      <c r="O4737" s="35"/>
      <c r="P4737" s="35"/>
      <c r="Q4737" s="35"/>
      <c r="R4737" s="35"/>
      <c r="S4737" s="74"/>
      <c r="T4737" s="35"/>
      <c r="U4737" s="35"/>
      <c r="V4737" s="35"/>
      <c r="W4737" s="45"/>
    </row>
    <row r="4738">
      <c r="A4738" s="45"/>
      <c r="B4738" s="35"/>
      <c r="C4738" s="35"/>
      <c r="D4738" s="10"/>
      <c r="E4738" s="35"/>
      <c r="F4738" s="35"/>
      <c r="G4738" s="35"/>
      <c r="H4738" s="35"/>
      <c r="I4738" s="35"/>
      <c r="J4738" s="35"/>
      <c r="K4738" s="35"/>
      <c r="L4738" s="35"/>
      <c r="M4738" s="35"/>
      <c r="N4738" s="35"/>
      <c r="O4738" s="35"/>
      <c r="P4738" s="35"/>
      <c r="Q4738" s="35"/>
      <c r="R4738" s="35"/>
      <c r="S4738" s="74"/>
      <c r="T4738" s="35"/>
      <c r="U4738" s="35"/>
      <c r="V4738" s="35"/>
      <c r="W4738" s="45"/>
    </row>
    <row r="4739">
      <c r="A4739" s="45"/>
      <c r="B4739" s="35"/>
      <c r="C4739" s="35"/>
      <c r="D4739" s="10"/>
      <c r="E4739" s="35"/>
      <c r="F4739" s="35"/>
      <c r="G4739" s="35"/>
      <c r="H4739" s="35"/>
      <c r="I4739" s="35"/>
      <c r="J4739" s="35"/>
      <c r="K4739" s="35"/>
      <c r="L4739" s="35"/>
      <c r="M4739" s="35"/>
      <c r="N4739" s="35"/>
      <c r="O4739" s="35"/>
      <c r="P4739" s="35"/>
      <c r="Q4739" s="35"/>
      <c r="R4739" s="35"/>
      <c r="S4739" s="74"/>
      <c r="T4739" s="35"/>
      <c r="U4739" s="35"/>
      <c r="V4739" s="35"/>
      <c r="W4739" s="45"/>
    </row>
    <row r="4740">
      <c r="A4740" s="45"/>
      <c r="B4740" s="35"/>
      <c r="C4740" s="35"/>
      <c r="D4740" s="10"/>
      <c r="E4740" s="35"/>
      <c r="F4740" s="35"/>
      <c r="G4740" s="35"/>
      <c r="H4740" s="35"/>
      <c r="I4740" s="35"/>
      <c r="J4740" s="35"/>
      <c r="K4740" s="35"/>
      <c r="L4740" s="35"/>
      <c r="M4740" s="35"/>
      <c r="N4740" s="35"/>
      <c r="O4740" s="35"/>
      <c r="P4740" s="35"/>
      <c r="Q4740" s="35"/>
      <c r="R4740" s="35"/>
      <c r="S4740" s="74"/>
      <c r="T4740" s="35"/>
      <c r="U4740" s="35"/>
      <c r="V4740" s="35"/>
      <c r="W4740" s="45"/>
    </row>
    <row r="4741">
      <c r="A4741" s="45"/>
      <c r="B4741" s="35"/>
      <c r="C4741" s="35"/>
      <c r="D4741" s="10"/>
      <c r="E4741" s="35"/>
      <c r="F4741" s="35"/>
      <c r="G4741" s="35"/>
      <c r="H4741" s="35"/>
      <c r="I4741" s="35"/>
      <c r="J4741" s="35"/>
      <c r="K4741" s="35"/>
      <c r="L4741" s="35"/>
      <c r="M4741" s="35"/>
      <c r="N4741" s="35"/>
      <c r="O4741" s="35"/>
      <c r="P4741" s="35"/>
      <c r="Q4741" s="35"/>
      <c r="R4741" s="35"/>
      <c r="S4741" s="74"/>
      <c r="T4741" s="35"/>
      <c r="U4741" s="35"/>
      <c r="V4741" s="35"/>
      <c r="W4741" s="45"/>
    </row>
    <row r="4742">
      <c r="A4742" s="45"/>
      <c r="B4742" s="35"/>
      <c r="C4742" s="35"/>
      <c r="D4742" s="10"/>
      <c r="E4742" s="35"/>
      <c r="F4742" s="35"/>
      <c r="G4742" s="35"/>
      <c r="H4742" s="35"/>
      <c r="I4742" s="35"/>
      <c r="J4742" s="35"/>
      <c r="K4742" s="35"/>
      <c r="L4742" s="35"/>
      <c r="M4742" s="35"/>
      <c r="N4742" s="35"/>
      <c r="O4742" s="35"/>
      <c r="P4742" s="35"/>
      <c r="Q4742" s="35"/>
      <c r="R4742" s="35"/>
      <c r="S4742" s="74"/>
      <c r="T4742" s="35"/>
      <c r="U4742" s="35"/>
      <c r="V4742" s="35"/>
      <c r="W4742" s="45"/>
    </row>
    <row r="4743">
      <c r="A4743" s="45"/>
      <c r="B4743" s="35"/>
      <c r="C4743" s="35"/>
      <c r="D4743" s="10"/>
      <c r="E4743" s="35"/>
      <c r="F4743" s="35"/>
      <c r="G4743" s="35"/>
      <c r="H4743" s="35"/>
      <c r="I4743" s="35"/>
      <c r="J4743" s="35"/>
      <c r="K4743" s="35"/>
      <c r="L4743" s="35"/>
      <c r="M4743" s="35"/>
      <c r="N4743" s="35"/>
      <c r="O4743" s="35"/>
      <c r="P4743" s="35"/>
      <c r="Q4743" s="35"/>
      <c r="R4743" s="35"/>
      <c r="S4743" s="74"/>
      <c r="T4743" s="35"/>
      <c r="U4743" s="35"/>
      <c r="V4743" s="35"/>
      <c r="W4743" s="45"/>
    </row>
    <row r="4744">
      <c r="A4744" s="45"/>
      <c r="B4744" s="35"/>
      <c r="C4744" s="35"/>
      <c r="D4744" s="10"/>
      <c r="E4744" s="35"/>
      <c r="F4744" s="35"/>
      <c r="G4744" s="35"/>
      <c r="H4744" s="35"/>
      <c r="I4744" s="35"/>
      <c r="J4744" s="35"/>
      <c r="K4744" s="35"/>
      <c r="L4744" s="35"/>
      <c r="M4744" s="35"/>
      <c r="N4744" s="35"/>
      <c r="O4744" s="35"/>
      <c r="P4744" s="35"/>
      <c r="Q4744" s="35"/>
      <c r="R4744" s="35"/>
      <c r="S4744" s="74"/>
      <c r="T4744" s="35"/>
      <c r="U4744" s="35"/>
      <c r="V4744" s="35"/>
      <c r="W4744" s="45"/>
    </row>
    <row r="4745">
      <c r="A4745" s="45"/>
      <c r="B4745" s="35"/>
      <c r="C4745" s="35"/>
      <c r="D4745" s="10"/>
      <c r="E4745" s="35"/>
      <c r="F4745" s="35"/>
      <c r="G4745" s="35"/>
      <c r="H4745" s="35"/>
      <c r="I4745" s="35"/>
      <c r="J4745" s="35"/>
      <c r="K4745" s="35"/>
      <c r="L4745" s="35"/>
      <c r="M4745" s="35"/>
      <c r="N4745" s="35"/>
      <c r="O4745" s="35"/>
      <c r="P4745" s="35"/>
      <c r="Q4745" s="35"/>
      <c r="R4745" s="35"/>
      <c r="S4745" s="74"/>
      <c r="T4745" s="35"/>
      <c r="U4745" s="35"/>
      <c r="V4745" s="35"/>
      <c r="W4745" s="45"/>
    </row>
    <row r="4746">
      <c r="A4746" s="45"/>
      <c r="B4746" s="35"/>
      <c r="C4746" s="35"/>
      <c r="D4746" s="10"/>
      <c r="E4746" s="35"/>
      <c r="F4746" s="35"/>
      <c r="G4746" s="35"/>
      <c r="H4746" s="35"/>
      <c r="I4746" s="35"/>
      <c r="J4746" s="35"/>
      <c r="K4746" s="35"/>
      <c r="L4746" s="35"/>
      <c r="M4746" s="35"/>
      <c r="N4746" s="35"/>
      <c r="O4746" s="35"/>
      <c r="P4746" s="35"/>
      <c r="Q4746" s="35"/>
      <c r="R4746" s="35"/>
      <c r="S4746" s="74"/>
      <c r="T4746" s="35"/>
      <c r="U4746" s="35"/>
      <c r="V4746" s="35"/>
      <c r="W4746" s="45"/>
    </row>
    <row r="4747">
      <c r="A4747" s="45"/>
      <c r="B4747" s="35"/>
      <c r="C4747" s="35"/>
      <c r="D4747" s="10"/>
      <c r="E4747" s="35"/>
      <c r="F4747" s="35"/>
      <c r="G4747" s="35"/>
      <c r="H4747" s="35"/>
      <c r="I4747" s="35"/>
      <c r="J4747" s="35"/>
      <c r="K4747" s="35"/>
      <c r="L4747" s="35"/>
      <c r="M4747" s="35"/>
      <c r="N4747" s="35"/>
      <c r="O4747" s="35"/>
      <c r="P4747" s="35"/>
      <c r="Q4747" s="35"/>
      <c r="R4747" s="35"/>
      <c r="S4747" s="74"/>
      <c r="T4747" s="35"/>
      <c r="U4747" s="35"/>
      <c r="V4747" s="35"/>
      <c r="W4747" s="45"/>
    </row>
    <row r="4748">
      <c r="A4748" s="45"/>
      <c r="B4748" s="35"/>
      <c r="C4748" s="35"/>
      <c r="D4748" s="10"/>
      <c r="E4748" s="35"/>
      <c r="F4748" s="35"/>
      <c r="G4748" s="35"/>
      <c r="H4748" s="35"/>
      <c r="I4748" s="35"/>
      <c r="J4748" s="35"/>
      <c r="K4748" s="35"/>
      <c r="L4748" s="35"/>
      <c r="M4748" s="35"/>
      <c r="N4748" s="35"/>
      <c r="O4748" s="35"/>
      <c r="P4748" s="35"/>
      <c r="Q4748" s="35"/>
      <c r="R4748" s="35"/>
      <c r="S4748" s="74"/>
      <c r="T4748" s="35"/>
      <c r="U4748" s="35"/>
      <c r="V4748" s="35"/>
      <c r="W4748" s="45"/>
    </row>
    <row r="4749">
      <c r="A4749" s="45"/>
      <c r="B4749" s="35"/>
      <c r="C4749" s="35"/>
      <c r="D4749" s="10"/>
      <c r="E4749" s="35"/>
      <c r="F4749" s="35"/>
      <c r="G4749" s="35"/>
      <c r="H4749" s="35"/>
      <c r="I4749" s="35"/>
      <c r="J4749" s="35"/>
      <c r="K4749" s="35"/>
      <c r="L4749" s="35"/>
      <c r="M4749" s="35"/>
      <c r="N4749" s="35"/>
      <c r="O4749" s="35"/>
      <c r="P4749" s="35"/>
      <c r="Q4749" s="35"/>
      <c r="R4749" s="35"/>
      <c r="S4749" s="74"/>
      <c r="T4749" s="35"/>
      <c r="U4749" s="35"/>
      <c r="V4749" s="35"/>
      <c r="W4749" s="45"/>
    </row>
    <row r="4750">
      <c r="A4750" s="45"/>
      <c r="B4750" s="35"/>
      <c r="C4750" s="35"/>
      <c r="D4750" s="10"/>
      <c r="E4750" s="35"/>
      <c r="F4750" s="35"/>
      <c r="G4750" s="35"/>
      <c r="H4750" s="35"/>
      <c r="I4750" s="35"/>
      <c r="J4750" s="35"/>
      <c r="K4750" s="35"/>
      <c r="L4750" s="35"/>
      <c r="M4750" s="35"/>
      <c r="N4750" s="35"/>
      <c r="O4750" s="35"/>
      <c r="P4750" s="35"/>
      <c r="Q4750" s="35"/>
      <c r="R4750" s="35"/>
      <c r="S4750" s="74"/>
      <c r="T4750" s="35"/>
      <c r="U4750" s="35"/>
      <c r="V4750" s="35"/>
      <c r="W4750" s="45"/>
    </row>
    <row r="4751">
      <c r="A4751" s="45"/>
      <c r="B4751" s="35"/>
      <c r="C4751" s="35"/>
      <c r="D4751" s="10"/>
      <c r="E4751" s="35"/>
      <c r="F4751" s="35"/>
      <c r="G4751" s="35"/>
      <c r="H4751" s="35"/>
      <c r="I4751" s="35"/>
      <c r="J4751" s="35"/>
      <c r="K4751" s="35"/>
      <c r="L4751" s="35"/>
      <c r="M4751" s="35"/>
      <c r="N4751" s="35"/>
      <c r="O4751" s="35"/>
      <c r="P4751" s="35"/>
      <c r="Q4751" s="35"/>
      <c r="R4751" s="35"/>
      <c r="S4751" s="74"/>
      <c r="T4751" s="35"/>
      <c r="U4751" s="35"/>
      <c r="V4751" s="35"/>
      <c r="W4751" s="45"/>
    </row>
    <row r="4752">
      <c r="A4752" s="45"/>
      <c r="B4752" s="35"/>
      <c r="C4752" s="35"/>
      <c r="D4752" s="10"/>
      <c r="E4752" s="35"/>
      <c r="F4752" s="35"/>
      <c r="G4752" s="35"/>
      <c r="H4752" s="35"/>
      <c r="I4752" s="35"/>
      <c r="J4752" s="35"/>
      <c r="K4752" s="35"/>
      <c r="L4752" s="35"/>
      <c r="M4752" s="35"/>
      <c r="N4752" s="35"/>
      <c r="O4752" s="35"/>
      <c r="P4752" s="35"/>
      <c r="Q4752" s="35"/>
      <c r="R4752" s="35"/>
      <c r="S4752" s="74"/>
      <c r="T4752" s="35"/>
      <c r="U4752" s="35"/>
      <c r="V4752" s="35"/>
      <c r="W4752" s="45"/>
    </row>
    <row r="4753">
      <c r="A4753" s="45"/>
      <c r="B4753" s="35"/>
      <c r="C4753" s="35"/>
      <c r="D4753" s="10"/>
      <c r="E4753" s="35"/>
      <c r="F4753" s="35"/>
      <c r="G4753" s="35"/>
      <c r="H4753" s="35"/>
      <c r="I4753" s="35"/>
      <c r="J4753" s="35"/>
      <c r="K4753" s="35"/>
      <c r="L4753" s="35"/>
      <c r="M4753" s="35"/>
      <c r="N4753" s="35"/>
      <c r="O4753" s="35"/>
      <c r="P4753" s="35"/>
      <c r="Q4753" s="35"/>
      <c r="R4753" s="35"/>
      <c r="S4753" s="74"/>
      <c r="T4753" s="35"/>
      <c r="U4753" s="35"/>
      <c r="V4753" s="35"/>
      <c r="W4753" s="45"/>
    </row>
    <row r="4754">
      <c r="A4754" s="45"/>
      <c r="B4754" s="35"/>
      <c r="C4754" s="35"/>
      <c r="D4754" s="10"/>
      <c r="E4754" s="35"/>
      <c r="F4754" s="35"/>
      <c r="G4754" s="35"/>
      <c r="H4754" s="35"/>
      <c r="I4754" s="35"/>
      <c r="J4754" s="35"/>
      <c r="K4754" s="35"/>
      <c r="L4754" s="35"/>
      <c r="M4754" s="35"/>
      <c r="N4754" s="35"/>
      <c r="O4754" s="35"/>
      <c r="P4754" s="35"/>
      <c r="Q4754" s="35"/>
      <c r="R4754" s="35"/>
      <c r="S4754" s="74"/>
      <c r="T4754" s="35"/>
      <c r="U4754" s="35"/>
      <c r="V4754" s="35"/>
      <c r="W4754" s="45"/>
    </row>
    <row r="4755">
      <c r="A4755" s="45"/>
      <c r="B4755" s="35"/>
      <c r="C4755" s="35"/>
      <c r="D4755" s="10"/>
      <c r="E4755" s="35"/>
      <c r="F4755" s="35"/>
      <c r="G4755" s="35"/>
      <c r="H4755" s="35"/>
      <c r="I4755" s="35"/>
      <c r="J4755" s="35"/>
      <c r="K4755" s="35"/>
      <c r="L4755" s="35"/>
      <c r="M4755" s="35"/>
      <c r="N4755" s="35"/>
      <c r="O4755" s="35"/>
      <c r="P4755" s="35"/>
      <c r="Q4755" s="35"/>
      <c r="R4755" s="35"/>
      <c r="S4755" s="74"/>
      <c r="T4755" s="35"/>
      <c r="U4755" s="35"/>
      <c r="V4755" s="35"/>
      <c r="W4755" s="45"/>
    </row>
    <row r="4756">
      <c r="A4756" s="45"/>
      <c r="B4756" s="35"/>
      <c r="C4756" s="35"/>
      <c r="D4756" s="10"/>
      <c r="E4756" s="35"/>
      <c r="F4756" s="35"/>
      <c r="G4756" s="35"/>
      <c r="H4756" s="35"/>
      <c r="I4756" s="35"/>
      <c r="J4756" s="35"/>
      <c r="K4756" s="35"/>
      <c r="L4756" s="35"/>
      <c r="M4756" s="35"/>
      <c r="N4756" s="35"/>
      <c r="O4756" s="35"/>
      <c r="P4756" s="35"/>
      <c r="Q4756" s="35"/>
      <c r="R4756" s="35"/>
      <c r="S4756" s="74"/>
      <c r="T4756" s="35"/>
      <c r="U4756" s="35"/>
      <c r="V4756" s="35"/>
      <c r="W4756" s="45"/>
    </row>
    <row r="4757">
      <c r="A4757" s="45"/>
      <c r="B4757" s="35"/>
      <c r="C4757" s="35"/>
      <c r="D4757" s="10"/>
      <c r="E4757" s="35"/>
      <c r="F4757" s="35"/>
      <c r="G4757" s="35"/>
      <c r="H4757" s="35"/>
      <c r="I4757" s="35"/>
      <c r="J4757" s="35"/>
      <c r="K4757" s="35"/>
      <c r="L4757" s="35"/>
      <c r="M4757" s="35"/>
      <c r="N4757" s="35"/>
      <c r="O4757" s="35"/>
      <c r="P4757" s="35"/>
      <c r="Q4757" s="35"/>
      <c r="R4757" s="35"/>
      <c r="S4757" s="74"/>
      <c r="T4757" s="35"/>
      <c r="U4757" s="35"/>
      <c r="V4757" s="35"/>
      <c r="W4757" s="45"/>
    </row>
    <row r="4758">
      <c r="A4758" s="45"/>
      <c r="B4758" s="35"/>
      <c r="C4758" s="35"/>
      <c r="D4758" s="10"/>
      <c r="E4758" s="35"/>
      <c r="F4758" s="35"/>
      <c r="G4758" s="35"/>
      <c r="H4758" s="35"/>
      <c r="I4758" s="35"/>
      <c r="J4758" s="35"/>
      <c r="K4758" s="35"/>
      <c r="L4758" s="35"/>
      <c r="M4758" s="35"/>
      <c r="N4758" s="35"/>
      <c r="O4758" s="35"/>
      <c r="P4758" s="35"/>
      <c r="Q4758" s="35"/>
      <c r="R4758" s="35"/>
      <c r="S4758" s="74"/>
      <c r="T4758" s="35"/>
      <c r="U4758" s="35"/>
      <c r="V4758" s="35"/>
      <c r="W4758" s="45"/>
    </row>
    <row r="4759">
      <c r="A4759" s="45"/>
      <c r="B4759" s="35"/>
      <c r="C4759" s="35"/>
      <c r="D4759" s="10"/>
      <c r="E4759" s="35"/>
      <c r="F4759" s="35"/>
      <c r="G4759" s="35"/>
      <c r="H4759" s="35"/>
      <c r="I4759" s="35"/>
      <c r="J4759" s="35"/>
      <c r="K4759" s="35"/>
      <c r="L4759" s="35"/>
      <c r="M4759" s="35"/>
      <c r="N4759" s="35"/>
      <c r="O4759" s="35"/>
      <c r="P4759" s="35"/>
      <c r="Q4759" s="35"/>
      <c r="R4759" s="35"/>
      <c r="S4759" s="74"/>
      <c r="T4759" s="35"/>
      <c r="U4759" s="35"/>
      <c r="V4759" s="35"/>
      <c r="W4759" s="45"/>
    </row>
    <row r="4760">
      <c r="A4760" s="45"/>
      <c r="B4760" s="35"/>
      <c r="C4760" s="35"/>
      <c r="D4760" s="10"/>
      <c r="E4760" s="35"/>
      <c r="F4760" s="35"/>
      <c r="G4760" s="35"/>
      <c r="H4760" s="35"/>
      <c r="I4760" s="35"/>
      <c r="J4760" s="35"/>
      <c r="K4760" s="35"/>
      <c r="L4760" s="35"/>
      <c r="M4760" s="35"/>
      <c r="N4760" s="35"/>
      <c r="O4760" s="35"/>
      <c r="P4760" s="35"/>
      <c r="Q4760" s="35"/>
      <c r="R4760" s="35"/>
      <c r="S4760" s="74"/>
      <c r="T4760" s="35"/>
      <c r="U4760" s="35"/>
      <c r="V4760" s="35"/>
      <c r="W4760" s="45"/>
    </row>
    <row r="4761">
      <c r="A4761" s="45"/>
      <c r="B4761" s="35"/>
      <c r="C4761" s="35"/>
      <c r="D4761" s="10"/>
      <c r="E4761" s="35"/>
      <c r="F4761" s="35"/>
      <c r="G4761" s="35"/>
      <c r="H4761" s="35"/>
      <c r="I4761" s="35"/>
      <c r="J4761" s="35"/>
      <c r="K4761" s="35"/>
      <c r="L4761" s="35"/>
      <c r="M4761" s="35"/>
      <c r="N4761" s="35"/>
      <c r="O4761" s="35"/>
      <c r="P4761" s="35"/>
      <c r="Q4761" s="35"/>
      <c r="R4761" s="35"/>
      <c r="S4761" s="74"/>
      <c r="T4761" s="35"/>
      <c r="U4761" s="35"/>
      <c r="V4761" s="35"/>
      <c r="W4761" s="45"/>
    </row>
    <row r="4762">
      <c r="A4762" s="45"/>
      <c r="B4762" s="35"/>
      <c r="C4762" s="35"/>
      <c r="D4762" s="10"/>
      <c r="E4762" s="35"/>
      <c r="F4762" s="35"/>
      <c r="G4762" s="35"/>
      <c r="H4762" s="35"/>
      <c r="I4762" s="35"/>
      <c r="J4762" s="35"/>
      <c r="K4762" s="35"/>
      <c r="L4762" s="35"/>
      <c r="M4762" s="35"/>
      <c r="N4762" s="35"/>
      <c r="O4762" s="35"/>
      <c r="P4762" s="35"/>
      <c r="Q4762" s="35"/>
      <c r="R4762" s="35"/>
      <c r="S4762" s="74"/>
      <c r="T4762" s="35"/>
      <c r="U4762" s="35"/>
      <c r="V4762" s="35"/>
      <c r="W4762" s="45"/>
    </row>
    <row r="4763">
      <c r="A4763" s="45"/>
      <c r="B4763" s="35"/>
      <c r="C4763" s="35"/>
      <c r="D4763" s="10"/>
      <c r="E4763" s="35"/>
      <c r="F4763" s="35"/>
      <c r="G4763" s="35"/>
      <c r="H4763" s="35"/>
      <c r="I4763" s="35"/>
      <c r="J4763" s="35"/>
      <c r="K4763" s="35"/>
      <c r="L4763" s="35"/>
      <c r="M4763" s="35"/>
      <c r="N4763" s="35"/>
      <c r="O4763" s="35"/>
      <c r="P4763" s="35"/>
      <c r="Q4763" s="35"/>
      <c r="R4763" s="35"/>
      <c r="S4763" s="74"/>
      <c r="T4763" s="35"/>
      <c r="U4763" s="35"/>
      <c r="V4763" s="35"/>
      <c r="W4763" s="45"/>
    </row>
    <row r="4764">
      <c r="A4764" s="45"/>
      <c r="B4764" s="35"/>
      <c r="C4764" s="35"/>
      <c r="D4764" s="10"/>
      <c r="E4764" s="35"/>
      <c r="F4764" s="35"/>
      <c r="G4764" s="35"/>
      <c r="H4764" s="35"/>
      <c r="I4764" s="35"/>
      <c r="J4764" s="35"/>
      <c r="K4764" s="35"/>
      <c r="L4764" s="35"/>
      <c r="M4764" s="35"/>
      <c r="N4764" s="35"/>
      <c r="O4764" s="35"/>
      <c r="P4764" s="35"/>
      <c r="Q4764" s="35"/>
      <c r="R4764" s="35"/>
      <c r="S4764" s="74"/>
      <c r="T4764" s="35"/>
      <c r="U4764" s="35"/>
      <c r="V4764" s="35"/>
      <c r="W4764" s="45"/>
    </row>
    <row r="4765">
      <c r="A4765" s="45"/>
      <c r="B4765" s="35"/>
      <c r="C4765" s="35"/>
      <c r="D4765" s="10"/>
      <c r="E4765" s="35"/>
      <c r="F4765" s="35"/>
      <c r="G4765" s="35"/>
      <c r="H4765" s="35"/>
      <c r="I4765" s="35"/>
      <c r="J4765" s="35"/>
      <c r="K4765" s="35"/>
      <c r="L4765" s="35"/>
      <c r="M4765" s="35"/>
      <c r="N4765" s="35"/>
      <c r="O4765" s="35"/>
      <c r="P4765" s="35"/>
      <c r="Q4765" s="35"/>
      <c r="R4765" s="35"/>
      <c r="S4765" s="74"/>
      <c r="T4765" s="35"/>
      <c r="U4765" s="35"/>
      <c r="V4765" s="35"/>
      <c r="W4765" s="45"/>
    </row>
    <row r="4766">
      <c r="A4766" s="45"/>
      <c r="B4766" s="35"/>
      <c r="C4766" s="35"/>
      <c r="D4766" s="10"/>
      <c r="E4766" s="35"/>
      <c r="F4766" s="35"/>
      <c r="G4766" s="35"/>
      <c r="H4766" s="35"/>
      <c r="I4766" s="35"/>
      <c r="J4766" s="35"/>
      <c r="K4766" s="35"/>
      <c r="L4766" s="35"/>
      <c r="M4766" s="35"/>
      <c r="N4766" s="35"/>
      <c r="O4766" s="35"/>
      <c r="P4766" s="35"/>
      <c r="Q4766" s="35"/>
      <c r="R4766" s="35"/>
      <c r="S4766" s="74"/>
      <c r="T4766" s="35"/>
      <c r="U4766" s="35"/>
      <c r="V4766" s="35"/>
      <c r="W4766" s="45"/>
    </row>
    <row r="4767">
      <c r="A4767" s="45"/>
      <c r="B4767" s="35"/>
      <c r="C4767" s="35"/>
      <c r="D4767" s="10"/>
      <c r="E4767" s="35"/>
      <c r="F4767" s="35"/>
      <c r="G4767" s="35"/>
      <c r="H4767" s="35"/>
      <c r="I4767" s="35"/>
      <c r="J4767" s="35"/>
      <c r="K4767" s="35"/>
      <c r="L4767" s="35"/>
      <c r="M4767" s="35"/>
      <c r="N4767" s="35"/>
      <c r="O4767" s="35"/>
      <c r="P4767" s="35"/>
      <c r="Q4767" s="35"/>
      <c r="R4767" s="35"/>
      <c r="S4767" s="74"/>
      <c r="T4767" s="35"/>
      <c r="U4767" s="35"/>
      <c r="V4767" s="35"/>
      <c r="W4767" s="45"/>
    </row>
    <row r="4768">
      <c r="A4768" s="45"/>
      <c r="B4768" s="35"/>
      <c r="C4768" s="35"/>
      <c r="D4768" s="10"/>
      <c r="E4768" s="35"/>
      <c r="F4768" s="35"/>
      <c r="G4768" s="35"/>
      <c r="H4768" s="35"/>
      <c r="I4768" s="35"/>
      <c r="J4768" s="35"/>
      <c r="K4768" s="35"/>
      <c r="L4768" s="35"/>
      <c r="M4768" s="35"/>
      <c r="N4768" s="35"/>
      <c r="O4768" s="35"/>
      <c r="P4768" s="35"/>
      <c r="Q4768" s="35"/>
      <c r="R4768" s="35"/>
      <c r="S4768" s="74"/>
      <c r="T4768" s="35"/>
      <c r="U4768" s="35"/>
      <c r="V4768" s="35"/>
      <c r="W4768" s="45"/>
    </row>
    <row r="4769">
      <c r="A4769" s="45"/>
      <c r="B4769" s="35"/>
      <c r="C4769" s="35"/>
      <c r="D4769" s="10"/>
      <c r="E4769" s="35"/>
      <c r="F4769" s="35"/>
      <c r="G4769" s="35"/>
      <c r="H4769" s="35"/>
      <c r="I4769" s="35"/>
      <c r="J4769" s="35"/>
      <c r="K4769" s="35"/>
      <c r="L4769" s="35"/>
      <c r="M4769" s="35"/>
      <c r="N4769" s="35"/>
      <c r="O4769" s="35"/>
      <c r="P4769" s="35"/>
      <c r="Q4769" s="35"/>
      <c r="R4769" s="35"/>
      <c r="S4769" s="74"/>
      <c r="T4769" s="35"/>
      <c r="U4769" s="35"/>
      <c r="V4769" s="35"/>
      <c r="W4769" s="45"/>
    </row>
    <row r="4770">
      <c r="A4770" s="45"/>
      <c r="B4770" s="35"/>
      <c r="C4770" s="35"/>
      <c r="D4770" s="10"/>
      <c r="E4770" s="35"/>
      <c r="F4770" s="35"/>
      <c r="G4770" s="35"/>
      <c r="H4770" s="35"/>
      <c r="I4770" s="35"/>
      <c r="J4770" s="35"/>
      <c r="K4770" s="35"/>
      <c r="L4770" s="35"/>
      <c r="M4770" s="35"/>
      <c r="N4770" s="35"/>
      <c r="O4770" s="35"/>
      <c r="P4770" s="35"/>
      <c r="Q4770" s="35"/>
      <c r="R4770" s="35"/>
      <c r="S4770" s="74"/>
      <c r="T4770" s="35"/>
      <c r="U4770" s="35"/>
      <c r="V4770" s="35"/>
      <c r="W4770" s="45"/>
    </row>
    <row r="4771">
      <c r="A4771" s="45"/>
      <c r="B4771" s="35"/>
      <c r="C4771" s="35"/>
      <c r="D4771" s="10"/>
      <c r="E4771" s="35"/>
      <c r="F4771" s="35"/>
      <c r="G4771" s="35"/>
      <c r="H4771" s="35"/>
      <c r="I4771" s="35"/>
      <c r="J4771" s="35"/>
      <c r="K4771" s="35"/>
      <c r="L4771" s="35"/>
      <c r="M4771" s="35"/>
      <c r="N4771" s="35"/>
      <c r="O4771" s="35"/>
      <c r="P4771" s="35"/>
      <c r="Q4771" s="35"/>
      <c r="R4771" s="35"/>
      <c r="S4771" s="74"/>
      <c r="T4771" s="35"/>
      <c r="U4771" s="35"/>
      <c r="V4771" s="35"/>
      <c r="W4771" s="45"/>
    </row>
    <row r="4772">
      <c r="A4772" s="45"/>
      <c r="B4772" s="35"/>
      <c r="C4772" s="35"/>
      <c r="D4772" s="10"/>
      <c r="E4772" s="35"/>
      <c r="F4772" s="35"/>
      <c r="G4772" s="35"/>
      <c r="H4772" s="35"/>
      <c r="I4772" s="35"/>
      <c r="J4772" s="35"/>
      <c r="K4772" s="35"/>
      <c r="L4772" s="35"/>
      <c r="M4772" s="35"/>
      <c r="N4772" s="35"/>
      <c r="O4772" s="35"/>
      <c r="P4772" s="35"/>
      <c r="Q4772" s="35"/>
      <c r="R4772" s="35"/>
      <c r="S4772" s="74"/>
      <c r="T4772" s="35"/>
      <c r="U4772" s="35"/>
      <c r="V4772" s="35"/>
      <c r="W4772" s="45"/>
    </row>
    <row r="4773">
      <c r="A4773" s="45"/>
      <c r="B4773" s="35"/>
      <c r="C4773" s="35"/>
      <c r="D4773" s="10"/>
      <c r="E4773" s="35"/>
      <c r="F4773" s="35"/>
      <c r="G4773" s="35"/>
      <c r="H4773" s="35"/>
      <c r="I4773" s="35"/>
      <c r="J4773" s="35"/>
      <c r="K4773" s="35"/>
      <c r="L4773" s="35"/>
      <c r="M4773" s="35"/>
      <c r="N4773" s="35"/>
      <c r="O4773" s="35"/>
      <c r="P4773" s="35"/>
      <c r="Q4773" s="35"/>
      <c r="R4773" s="35"/>
      <c r="S4773" s="74"/>
      <c r="T4773" s="35"/>
      <c r="U4773" s="35"/>
      <c r="V4773" s="35"/>
      <c r="W4773" s="45"/>
    </row>
    <row r="4774">
      <c r="A4774" s="45"/>
      <c r="B4774" s="35"/>
      <c r="C4774" s="35"/>
      <c r="D4774" s="10"/>
      <c r="E4774" s="35"/>
      <c r="F4774" s="35"/>
      <c r="G4774" s="35"/>
      <c r="H4774" s="35"/>
      <c r="I4774" s="35"/>
      <c r="J4774" s="35"/>
      <c r="K4774" s="35"/>
      <c r="L4774" s="35"/>
      <c r="M4774" s="35"/>
      <c r="N4774" s="35"/>
      <c r="O4774" s="35"/>
      <c r="P4774" s="35"/>
      <c r="Q4774" s="35"/>
      <c r="R4774" s="35"/>
      <c r="S4774" s="74"/>
      <c r="T4774" s="35"/>
      <c r="U4774" s="35"/>
      <c r="V4774" s="35"/>
      <c r="W4774" s="45"/>
    </row>
    <row r="4775">
      <c r="A4775" s="45"/>
      <c r="B4775" s="35"/>
      <c r="C4775" s="35"/>
      <c r="D4775" s="10"/>
      <c r="E4775" s="35"/>
      <c r="F4775" s="35"/>
      <c r="G4775" s="35"/>
      <c r="H4775" s="35"/>
      <c r="I4775" s="35"/>
      <c r="J4775" s="35"/>
      <c r="K4775" s="35"/>
      <c r="L4775" s="35"/>
      <c r="M4775" s="35"/>
      <c r="N4775" s="35"/>
      <c r="O4775" s="35"/>
      <c r="P4775" s="35"/>
      <c r="Q4775" s="35"/>
      <c r="R4775" s="35"/>
      <c r="S4775" s="74"/>
      <c r="T4775" s="35"/>
      <c r="U4775" s="35"/>
      <c r="V4775" s="35"/>
      <c r="W4775" s="45"/>
    </row>
    <row r="4776">
      <c r="A4776" s="45"/>
      <c r="B4776" s="35"/>
      <c r="C4776" s="35"/>
      <c r="D4776" s="10"/>
      <c r="E4776" s="35"/>
      <c r="F4776" s="35"/>
      <c r="G4776" s="35"/>
      <c r="H4776" s="35"/>
      <c r="I4776" s="35"/>
      <c r="J4776" s="35"/>
      <c r="K4776" s="35"/>
      <c r="L4776" s="35"/>
      <c r="M4776" s="35"/>
      <c r="N4776" s="35"/>
      <c r="O4776" s="35"/>
      <c r="P4776" s="35"/>
      <c r="Q4776" s="35"/>
      <c r="R4776" s="35"/>
      <c r="S4776" s="74"/>
      <c r="T4776" s="35"/>
      <c r="U4776" s="35"/>
      <c r="V4776" s="35"/>
      <c r="W4776" s="45"/>
    </row>
    <row r="4777">
      <c r="A4777" s="45"/>
      <c r="B4777" s="35"/>
      <c r="C4777" s="35"/>
      <c r="D4777" s="10"/>
      <c r="E4777" s="35"/>
      <c r="F4777" s="35"/>
      <c r="G4777" s="35"/>
      <c r="H4777" s="35"/>
      <c r="I4777" s="35"/>
      <c r="J4777" s="35"/>
      <c r="K4777" s="35"/>
      <c r="L4777" s="35"/>
      <c r="M4777" s="35"/>
      <c r="N4777" s="35"/>
      <c r="O4777" s="35"/>
      <c r="P4777" s="35"/>
      <c r="Q4777" s="35"/>
      <c r="R4777" s="35"/>
      <c r="S4777" s="74"/>
      <c r="T4777" s="35"/>
      <c r="U4777" s="35"/>
      <c r="V4777" s="35"/>
      <c r="W4777" s="45"/>
    </row>
    <row r="4778">
      <c r="A4778" s="45"/>
      <c r="B4778" s="35"/>
      <c r="C4778" s="35"/>
      <c r="D4778" s="10"/>
      <c r="E4778" s="35"/>
      <c r="F4778" s="35"/>
      <c r="G4778" s="35"/>
      <c r="H4778" s="35"/>
      <c r="I4778" s="35"/>
      <c r="J4778" s="35"/>
      <c r="K4778" s="35"/>
      <c r="L4778" s="35"/>
      <c r="M4778" s="35"/>
      <c r="N4778" s="35"/>
      <c r="O4778" s="35"/>
      <c r="P4778" s="35"/>
      <c r="Q4778" s="35"/>
      <c r="R4778" s="35"/>
      <c r="S4778" s="74"/>
      <c r="T4778" s="35"/>
      <c r="U4778" s="35"/>
      <c r="V4778" s="35"/>
      <c r="W4778" s="45"/>
    </row>
    <row r="4779">
      <c r="A4779" s="45"/>
      <c r="B4779" s="35"/>
      <c r="C4779" s="35"/>
      <c r="D4779" s="10"/>
      <c r="E4779" s="35"/>
      <c r="F4779" s="35"/>
      <c r="G4779" s="35"/>
      <c r="H4779" s="35"/>
      <c r="I4779" s="35"/>
      <c r="J4779" s="35"/>
      <c r="K4779" s="35"/>
      <c r="L4779" s="35"/>
      <c r="M4779" s="35"/>
      <c r="N4779" s="35"/>
      <c r="O4779" s="35"/>
      <c r="P4779" s="35"/>
      <c r="Q4779" s="35"/>
      <c r="R4779" s="35"/>
      <c r="S4779" s="74"/>
      <c r="T4779" s="35"/>
      <c r="U4779" s="35"/>
      <c r="V4779" s="35"/>
      <c r="W4779" s="45"/>
    </row>
    <row r="4780">
      <c r="A4780" s="45"/>
      <c r="B4780" s="35"/>
      <c r="C4780" s="35"/>
      <c r="D4780" s="10"/>
      <c r="E4780" s="35"/>
      <c r="F4780" s="35"/>
      <c r="G4780" s="35"/>
      <c r="H4780" s="35"/>
      <c r="I4780" s="35"/>
      <c r="J4780" s="35"/>
      <c r="K4780" s="35"/>
      <c r="L4780" s="35"/>
      <c r="M4780" s="35"/>
      <c r="N4780" s="35"/>
      <c r="O4780" s="35"/>
      <c r="P4780" s="35"/>
      <c r="Q4780" s="35"/>
      <c r="R4780" s="35"/>
      <c r="S4780" s="74"/>
      <c r="T4780" s="35"/>
      <c r="U4780" s="35"/>
      <c r="V4780" s="35"/>
      <c r="W4780" s="45"/>
    </row>
    <row r="4781">
      <c r="A4781" s="45"/>
      <c r="B4781" s="35"/>
      <c r="C4781" s="35"/>
      <c r="D4781" s="10"/>
      <c r="E4781" s="35"/>
      <c r="F4781" s="35"/>
      <c r="G4781" s="35"/>
      <c r="H4781" s="35"/>
      <c r="I4781" s="35"/>
      <c r="J4781" s="35"/>
      <c r="K4781" s="35"/>
      <c r="L4781" s="35"/>
      <c r="M4781" s="35"/>
      <c r="N4781" s="35"/>
      <c r="O4781" s="35"/>
      <c r="P4781" s="35"/>
      <c r="Q4781" s="35"/>
      <c r="R4781" s="35"/>
      <c r="S4781" s="74"/>
      <c r="T4781" s="35"/>
      <c r="U4781" s="35"/>
      <c r="V4781" s="35"/>
      <c r="W4781" s="45"/>
    </row>
    <row r="4782">
      <c r="A4782" s="45"/>
      <c r="B4782" s="35"/>
      <c r="C4782" s="35"/>
      <c r="D4782" s="10"/>
      <c r="E4782" s="35"/>
      <c r="F4782" s="35"/>
      <c r="G4782" s="35"/>
      <c r="H4782" s="35"/>
      <c r="I4782" s="35"/>
      <c r="J4782" s="35"/>
      <c r="K4782" s="35"/>
      <c r="L4782" s="35"/>
      <c r="M4782" s="35"/>
      <c r="N4782" s="35"/>
      <c r="O4782" s="35"/>
      <c r="P4782" s="35"/>
      <c r="Q4782" s="35"/>
      <c r="R4782" s="35"/>
      <c r="S4782" s="74"/>
      <c r="T4782" s="35"/>
      <c r="U4782" s="35"/>
      <c r="V4782" s="35"/>
      <c r="W4782" s="45"/>
    </row>
    <row r="4783">
      <c r="A4783" s="45"/>
      <c r="B4783" s="35"/>
      <c r="C4783" s="35"/>
      <c r="D4783" s="10"/>
      <c r="E4783" s="35"/>
      <c r="F4783" s="35"/>
      <c r="G4783" s="35"/>
      <c r="H4783" s="35"/>
      <c r="I4783" s="35"/>
      <c r="J4783" s="35"/>
      <c r="K4783" s="35"/>
      <c r="L4783" s="35"/>
      <c r="M4783" s="35"/>
      <c r="N4783" s="35"/>
      <c r="O4783" s="35"/>
      <c r="P4783" s="35"/>
      <c r="Q4783" s="35"/>
      <c r="R4783" s="35"/>
      <c r="S4783" s="74"/>
      <c r="T4783" s="35"/>
      <c r="U4783" s="35"/>
      <c r="V4783" s="35"/>
      <c r="W4783" s="45"/>
    </row>
    <row r="4784">
      <c r="A4784" s="45"/>
      <c r="B4784" s="35"/>
      <c r="C4784" s="35"/>
      <c r="D4784" s="10"/>
      <c r="E4784" s="35"/>
      <c r="F4784" s="35"/>
      <c r="G4784" s="35"/>
      <c r="H4784" s="35"/>
      <c r="I4784" s="35"/>
      <c r="J4784" s="35"/>
      <c r="K4784" s="35"/>
      <c r="L4784" s="35"/>
      <c r="M4784" s="35"/>
      <c r="N4784" s="35"/>
      <c r="O4784" s="35"/>
      <c r="P4784" s="35"/>
      <c r="Q4784" s="35"/>
      <c r="R4784" s="35"/>
      <c r="S4784" s="74"/>
      <c r="T4784" s="35"/>
      <c r="U4784" s="35"/>
      <c r="V4784" s="35"/>
      <c r="W4784" s="45"/>
    </row>
    <row r="4785">
      <c r="A4785" s="45"/>
      <c r="B4785" s="35"/>
      <c r="C4785" s="35"/>
      <c r="D4785" s="10"/>
      <c r="E4785" s="35"/>
      <c r="F4785" s="35"/>
      <c r="G4785" s="35"/>
      <c r="H4785" s="35"/>
      <c r="I4785" s="35"/>
      <c r="J4785" s="35"/>
      <c r="K4785" s="35"/>
      <c r="L4785" s="35"/>
      <c r="M4785" s="35"/>
      <c r="N4785" s="35"/>
      <c r="O4785" s="35"/>
      <c r="P4785" s="35"/>
      <c r="Q4785" s="35"/>
      <c r="R4785" s="35"/>
      <c r="S4785" s="74"/>
      <c r="T4785" s="35"/>
      <c r="U4785" s="35"/>
      <c r="V4785" s="35"/>
      <c r="W4785" s="45"/>
    </row>
    <row r="4786">
      <c r="A4786" s="45"/>
      <c r="B4786" s="35"/>
      <c r="C4786" s="35"/>
      <c r="D4786" s="10"/>
      <c r="E4786" s="35"/>
      <c r="F4786" s="35"/>
      <c r="G4786" s="35"/>
      <c r="H4786" s="35"/>
      <c r="I4786" s="35"/>
      <c r="J4786" s="35"/>
      <c r="K4786" s="35"/>
      <c r="L4786" s="35"/>
      <c r="M4786" s="35"/>
      <c r="N4786" s="35"/>
      <c r="O4786" s="35"/>
      <c r="P4786" s="35"/>
      <c r="Q4786" s="35"/>
      <c r="R4786" s="35"/>
      <c r="S4786" s="74"/>
      <c r="T4786" s="35"/>
      <c r="U4786" s="35"/>
      <c r="V4786" s="35"/>
      <c r="W4786" s="45"/>
    </row>
    <row r="4787">
      <c r="A4787" s="45"/>
      <c r="B4787" s="35"/>
      <c r="C4787" s="35"/>
      <c r="D4787" s="10"/>
      <c r="E4787" s="35"/>
      <c r="F4787" s="35"/>
      <c r="G4787" s="35"/>
      <c r="H4787" s="35"/>
      <c r="I4787" s="35"/>
      <c r="J4787" s="35"/>
      <c r="K4787" s="35"/>
      <c r="L4787" s="35"/>
      <c r="M4787" s="35"/>
      <c r="N4787" s="35"/>
      <c r="O4787" s="35"/>
      <c r="P4787" s="35"/>
      <c r="Q4787" s="35"/>
      <c r="R4787" s="35"/>
      <c r="S4787" s="74"/>
      <c r="T4787" s="35"/>
      <c r="U4787" s="35"/>
      <c r="V4787" s="35"/>
      <c r="W4787" s="45"/>
    </row>
    <row r="4788">
      <c r="A4788" s="45"/>
      <c r="B4788" s="35"/>
      <c r="C4788" s="35"/>
      <c r="D4788" s="10"/>
      <c r="E4788" s="35"/>
      <c r="F4788" s="35"/>
      <c r="G4788" s="35"/>
      <c r="H4788" s="35"/>
      <c r="I4788" s="35"/>
      <c r="J4788" s="35"/>
      <c r="K4788" s="35"/>
      <c r="L4788" s="35"/>
      <c r="M4788" s="35"/>
      <c r="N4788" s="35"/>
      <c r="O4788" s="35"/>
      <c r="P4788" s="35"/>
      <c r="Q4788" s="35"/>
      <c r="R4788" s="35"/>
      <c r="S4788" s="74"/>
      <c r="T4788" s="35"/>
      <c r="U4788" s="35"/>
      <c r="V4788" s="35"/>
      <c r="W4788" s="45"/>
    </row>
    <row r="4789">
      <c r="A4789" s="45"/>
      <c r="B4789" s="35"/>
      <c r="C4789" s="35"/>
      <c r="D4789" s="10"/>
      <c r="E4789" s="35"/>
      <c r="F4789" s="35"/>
      <c r="G4789" s="35"/>
      <c r="H4789" s="35"/>
      <c r="I4789" s="35"/>
      <c r="J4789" s="35"/>
      <c r="K4789" s="35"/>
      <c r="L4789" s="35"/>
      <c r="M4789" s="35"/>
      <c r="N4789" s="35"/>
      <c r="O4789" s="35"/>
      <c r="P4789" s="35"/>
      <c r="Q4789" s="35"/>
      <c r="R4789" s="35"/>
      <c r="S4789" s="74"/>
      <c r="T4789" s="35"/>
      <c r="U4789" s="35"/>
      <c r="V4789" s="35"/>
      <c r="W4789" s="45"/>
    </row>
    <row r="4790">
      <c r="A4790" s="45"/>
      <c r="B4790" s="35"/>
      <c r="C4790" s="35"/>
      <c r="D4790" s="10"/>
      <c r="E4790" s="35"/>
      <c r="F4790" s="35"/>
      <c r="G4790" s="35"/>
      <c r="H4790" s="35"/>
      <c r="I4790" s="35"/>
      <c r="J4790" s="35"/>
      <c r="K4790" s="35"/>
      <c r="L4790" s="35"/>
      <c r="M4790" s="35"/>
      <c r="N4790" s="35"/>
      <c r="O4790" s="35"/>
      <c r="P4790" s="35"/>
      <c r="Q4790" s="35"/>
      <c r="R4790" s="35"/>
      <c r="S4790" s="74"/>
      <c r="T4790" s="35"/>
      <c r="U4790" s="35"/>
      <c r="V4790" s="35"/>
      <c r="W4790" s="45"/>
    </row>
    <row r="4791">
      <c r="A4791" s="45"/>
      <c r="B4791" s="35"/>
      <c r="C4791" s="35"/>
      <c r="D4791" s="10"/>
      <c r="E4791" s="35"/>
      <c r="F4791" s="35"/>
      <c r="G4791" s="35"/>
      <c r="H4791" s="35"/>
      <c r="I4791" s="35"/>
      <c r="J4791" s="35"/>
      <c r="K4791" s="35"/>
      <c r="L4791" s="35"/>
      <c r="M4791" s="35"/>
      <c r="N4791" s="35"/>
      <c r="O4791" s="35"/>
      <c r="P4791" s="35"/>
      <c r="Q4791" s="35"/>
      <c r="R4791" s="35"/>
      <c r="S4791" s="74"/>
      <c r="T4791" s="35"/>
      <c r="U4791" s="35"/>
      <c r="V4791" s="35"/>
      <c r="W4791" s="45"/>
    </row>
    <row r="4792">
      <c r="A4792" s="45"/>
      <c r="B4792" s="35"/>
      <c r="C4792" s="35"/>
      <c r="D4792" s="10"/>
      <c r="E4792" s="35"/>
      <c r="F4792" s="35"/>
      <c r="G4792" s="35"/>
      <c r="H4792" s="35"/>
      <c r="I4792" s="35"/>
      <c r="J4792" s="35"/>
      <c r="K4792" s="35"/>
      <c r="L4792" s="35"/>
      <c r="M4792" s="35"/>
      <c r="N4792" s="35"/>
      <c r="O4792" s="35"/>
      <c r="P4792" s="35"/>
      <c r="Q4792" s="35"/>
      <c r="R4792" s="35"/>
      <c r="S4792" s="74"/>
      <c r="T4792" s="35"/>
      <c r="U4792" s="35"/>
      <c r="V4792" s="35"/>
      <c r="W4792" s="45"/>
    </row>
    <row r="4793">
      <c r="A4793" s="45"/>
      <c r="B4793" s="35"/>
      <c r="C4793" s="35"/>
      <c r="D4793" s="10"/>
      <c r="E4793" s="35"/>
      <c r="F4793" s="35"/>
      <c r="G4793" s="35"/>
      <c r="H4793" s="35"/>
      <c r="I4793" s="35"/>
      <c r="J4793" s="35"/>
      <c r="K4793" s="35"/>
      <c r="L4793" s="35"/>
      <c r="M4793" s="35"/>
      <c r="N4793" s="35"/>
      <c r="O4793" s="35"/>
      <c r="P4793" s="35"/>
      <c r="Q4793" s="35"/>
      <c r="R4793" s="35"/>
      <c r="S4793" s="74"/>
      <c r="T4793" s="35"/>
      <c r="U4793" s="35"/>
      <c r="V4793" s="35"/>
      <c r="W4793" s="45"/>
    </row>
    <row r="4794">
      <c r="A4794" s="45"/>
      <c r="B4794" s="35"/>
      <c r="C4794" s="35"/>
      <c r="D4794" s="10"/>
      <c r="E4794" s="35"/>
      <c r="F4794" s="35"/>
      <c r="G4794" s="35"/>
      <c r="H4794" s="35"/>
      <c r="I4794" s="35"/>
      <c r="J4794" s="35"/>
      <c r="K4794" s="35"/>
      <c r="L4794" s="35"/>
      <c r="M4794" s="35"/>
      <c r="N4794" s="35"/>
      <c r="O4794" s="35"/>
      <c r="P4794" s="35"/>
      <c r="Q4794" s="35"/>
      <c r="R4794" s="35"/>
      <c r="S4794" s="74"/>
      <c r="T4794" s="35"/>
      <c r="U4794" s="35"/>
      <c r="V4794" s="35"/>
      <c r="W4794" s="45"/>
    </row>
    <row r="4795">
      <c r="A4795" s="45"/>
      <c r="B4795" s="35"/>
      <c r="C4795" s="35"/>
      <c r="D4795" s="10"/>
      <c r="E4795" s="35"/>
      <c r="F4795" s="35"/>
      <c r="G4795" s="35"/>
      <c r="H4795" s="35"/>
      <c r="I4795" s="35"/>
      <c r="J4795" s="35"/>
      <c r="K4795" s="35"/>
      <c r="L4795" s="35"/>
      <c r="M4795" s="35"/>
      <c r="N4795" s="35"/>
      <c r="O4795" s="35"/>
      <c r="P4795" s="35"/>
      <c r="Q4795" s="35"/>
      <c r="R4795" s="35"/>
      <c r="S4795" s="74"/>
      <c r="T4795" s="35"/>
      <c r="U4795" s="35"/>
      <c r="V4795" s="35"/>
      <c r="W4795" s="45"/>
    </row>
    <row r="4796">
      <c r="A4796" s="45"/>
      <c r="B4796" s="35"/>
      <c r="C4796" s="35"/>
      <c r="D4796" s="10"/>
      <c r="E4796" s="35"/>
      <c r="F4796" s="35"/>
      <c r="G4796" s="35"/>
      <c r="H4796" s="35"/>
      <c r="I4796" s="35"/>
      <c r="J4796" s="35"/>
      <c r="K4796" s="35"/>
      <c r="L4796" s="35"/>
      <c r="M4796" s="35"/>
      <c r="N4796" s="35"/>
      <c r="O4796" s="35"/>
      <c r="P4796" s="35"/>
      <c r="Q4796" s="35"/>
      <c r="R4796" s="35"/>
      <c r="S4796" s="74"/>
      <c r="T4796" s="35"/>
      <c r="U4796" s="35"/>
      <c r="V4796" s="35"/>
      <c r="W4796" s="45"/>
    </row>
    <row r="4797">
      <c r="A4797" s="45"/>
      <c r="B4797" s="35"/>
      <c r="C4797" s="35"/>
      <c r="D4797" s="10"/>
      <c r="E4797" s="35"/>
      <c r="F4797" s="35"/>
      <c r="G4797" s="35"/>
      <c r="H4797" s="35"/>
      <c r="I4797" s="35"/>
      <c r="J4797" s="35"/>
      <c r="K4797" s="35"/>
      <c r="L4797" s="35"/>
      <c r="M4797" s="35"/>
      <c r="N4797" s="35"/>
      <c r="O4797" s="35"/>
      <c r="P4797" s="35"/>
      <c r="Q4797" s="35"/>
      <c r="R4797" s="35"/>
      <c r="S4797" s="74"/>
      <c r="T4797" s="35"/>
      <c r="U4797" s="35"/>
      <c r="V4797" s="35"/>
      <c r="W4797" s="45"/>
    </row>
    <row r="4798">
      <c r="A4798" s="45"/>
      <c r="B4798" s="35"/>
      <c r="C4798" s="35"/>
      <c r="D4798" s="10"/>
      <c r="E4798" s="35"/>
      <c r="F4798" s="35"/>
      <c r="G4798" s="35"/>
      <c r="H4798" s="35"/>
      <c r="I4798" s="35"/>
      <c r="J4798" s="35"/>
      <c r="K4798" s="35"/>
      <c r="L4798" s="35"/>
      <c r="M4798" s="35"/>
      <c r="N4798" s="35"/>
      <c r="O4798" s="35"/>
      <c r="P4798" s="35"/>
      <c r="Q4798" s="35"/>
      <c r="R4798" s="35"/>
      <c r="S4798" s="74"/>
      <c r="T4798" s="35"/>
      <c r="U4798" s="35"/>
      <c r="V4798" s="35"/>
      <c r="W4798" s="45"/>
    </row>
    <row r="4799">
      <c r="A4799" s="45"/>
      <c r="B4799" s="35"/>
      <c r="C4799" s="35"/>
      <c r="D4799" s="10"/>
      <c r="E4799" s="35"/>
      <c r="F4799" s="35"/>
      <c r="G4799" s="35"/>
      <c r="H4799" s="35"/>
      <c r="I4799" s="35"/>
      <c r="J4799" s="35"/>
      <c r="K4799" s="35"/>
      <c r="L4799" s="35"/>
      <c r="M4799" s="35"/>
      <c r="N4799" s="35"/>
      <c r="O4799" s="35"/>
      <c r="P4799" s="35"/>
      <c r="Q4799" s="35"/>
      <c r="R4799" s="35"/>
      <c r="S4799" s="74"/>
      <c r="T4799" s="35"/>
      <c r="U4799" s="35"/>
      <c r="V4799" s="35"/>
      <c r="W4799" s="45"/>
    </row>
    <row r="4800">
      <c r="A4800" s="45"/>
      <c r="B4800" s="35"/>
      <c r="C4800" s="35"/>
      <c r="D4800" s="10"/>
      <c r="E4800" s="35"/>
      <c r="F4800" s="35"/>
      <c r="G4800" s="35"/>
      <c r="H4800" s="35"/>
      <c r="I4800" s="35"/>
      <c r="J4800" s="35"/>
      <c r="K4800" s="35"/>
      <c r="L4800" s="35"/>
      <c r="M4800" s="35"/>
      <c r="N4800" s="35"/>
      <c r="O4800" s="35"/>
      <c r="P4800" s="35"/>
      <c r="Q4800" s="35"/>
      <c r="R4800" s="35"/>
      <c r="S4800" s="74"/>
      <c r="T4800" s="35"/>
      <c r="U4800" s="35"/>
      <c r="V4800" s="35"/>
      <c r="W4800" s="45"/>
    </row>
    <row r="4801">
      <c r="A4801" s="45"/>
      <c r="B4801" s="35"/>
      <c r="C4801" s="35"/>
      <c r="D4801" s="10"/>
      <c r="E4801" s="35"/>
      <c r="F4801" s="35"/>
      <c r="G4801" s="35"/>
      <c r="H4801" s="35"/>
      <c r="I4801" s="35"/>
      <c r="J4801" s="35"/>
      <c r="K4801" s="35"/>
      <c r="L4801" s="35"/>
      <c r="M4801" s="35"/>
      <c r="N4801" s="35"/>
      <c r="O4801" s="35"/>
      <c r="P4801" s="35"/>
      <c r="Q4801" s="35"/>
      <c r="R4801" s="35"/>
      <c r="S4801" s="74"/>
      <c r="T4801" s="35"/>
      <c r="U4801" s="35"/>
      <c r="V4801" s="35"/>
      <c r="W4801" s="45"/>
    </row>
    <row r="4802">
      <c r="A4802" s="45"/>
      <c r="B4802" s="35"/>
      <c r="C4802" s="35"/>
      <c r="D4802" s="10"/>
      <c r="E4802" s="35"/>
      <c r="F4802" s="35"/>
      <c r="G4802" s="35"/>
      <c r="H4802" s="35"/>
      <c r="I4802" s="35"/>
      <c r="J4802" s="35"/>
      <c r="K4802" s="35"/>
      <c r="L4802" s="35"/>
      <c r="M4802" s="35"/>
      <c r="N4802" s="35"/>
      <c r="O4802" s="35"/>
      <c r="P4802" s="35"/>
      <c r="Q4802" s="35"/>
      <c r="R4802" s="35"/>
      <c r="S4802" s="74"/>
      <c r="T4802" s="35"/>
      <c r="U4802" s="35"/>
      <c r="V4802" s="35"/>
      <c r="W4802" s="45"/>
    </row>
    <row r="4803">
      <c r="A4803" s="45"/>
      <c r="B4803" s="35"/>
      <c r="C4803" s="35"/>
      <c r="D4803" s="10"/>
      <c r="E4803" s="35"/>
      <c r="F4803" s="35"/>
      <c r="G4803" s="35"/>
      <c r="H4803" s="35"/>
      <c r="I4803" s="35"/>
      <c r="J4803" s="35"/>
      <c r="K4803" s="35"/>
      <c r="L4803" s="35"/>
      <c r="M4803" s="35"/>
      <c r="N4803" s="35"/>
      <c r="O4803" s="35"/>
      <c r="P4803" s="35"/>
      <c r="Q4803" s="35"/>
      <c r="R4803" s="35"/>
      <c r="S4803" s="74"/>
      <c r="T4803" s="35"/>
      <c r="U4803" s="35"/>
      <c r="V4803" s="35"/>
      <c r="W4803" s="45"/>
    </row>
    <row r="4804">
      <c r="A4804" s="45"/>
      <c r="B4804" s="35"/>
      <c r="C4804" s="35"/>
      <c r="D4804" s="10"/>
      <c r="E4804" s="35"/>
      <c r="F4804" s="35"/>
      <c r="G4804" s="35"/>
      <c r="H4804" s="35"/>
      <c r="I4804" s="35"/>
      <c r="J4804" s="35"/>
      <c r="K4804" s="35"/>
      <c r="L4804" s="35"/>
      <c r="M4804" s="35"/>
      <c r="N4804" s="35"/>
      <c r="O4804" s="35"/>
      <c r="P4804" s="35"/>
      <c r="Q4804" s="35"/>
      <c r="R4804" s="35"/>
      <c r="S4804" s="74"/>
      <c r="T4804" s="35"/>
      <c r="U4804" s="35"/>
      <c r="V4804" s="35"/>
      <c r="W4804" s="45"/>
    </row>
    <row r="4805">
      <c r="A4805" s="45"/>
      <c r="B4805" s="35"/>
      <c r="C4805" s="35"/>
      <c r="D4805" s="10"/>
      <c r="E4805" s="35"/>
      <c r="F4805" s="35"/>
      <c r="G4805" s="35"/>
      <c r="H4805" s="35"/>
      <c r="I4805" s="35"/>
      <c r="J4805" s="35"/>
      <c r="K4805" s="35"/>
      <c r="L4805" s="35"/>
      <c r="M4805" s="35"/>
      <c r="N4805" s="35"/>
      <c r="O4805" s="35"/>
      <c r="P4805" s="35"/>
      <c r="Q4805" s="35"/>
      <c r="R4805" s="35"/>
      <c r="S4805" s="74"/>
      <c r="T4805" s="35"/>
      <c r="U4805" s="35"/>
      <c r="V4805" s="35"/>
      <c r="W4805" s="45"/>
    </row>
    <row r="4806">
      <c r="A4806" s="45"/>
      <c r="B4806" s="35"/>
      <c r="C4806" s="35"/>
      <c r="D4806" s="10"/>
      <c r="E4806" s="35"/>
      <c r="F4806" s="35"/>
      <c r="G4806" s="35"/>
      <c r="H4806" s="35"/>
      <c r="I4806" s="35"/>
      <c r="J4806" s="35"/>
      <c r="K4806" s="35"/>
      <c r="L4806" s="35"/>
      <c r="M4806" s="35"/>
      <c r="N4806" s="35"/>
      <c r="O4806" s="35"/>
      <c r="P4806" s="35"/>
      <c r="Q4806" s="35"/>
      <c r="R4806" s="35"/>
      <c r="S4806" s="74"/>
      <c r="T4806" s="35"/>
      <c r="U4806" s="35"/>
      <c r="V4806" s="35"/>
      <c r="W4806" s="45"/>
    </row>
    <row r="4807">
      <c r="A4807" s="45"/>
      <c r="B4807" s="35"/>
      <c r="C4807" s="35"/>
      <c r="D4807" s="10"/>
      <c r="E4807" s="35"/>
      <c r="F4807" s="35"/>
      <c r="G4807" s="35"/>
      <c r="H4807" s="35"/>
      <c r="I4807" s="35"/>
      <c r="J4807" s="35"/>
      <c r="K4807" s="35"/>
      <c r="L4807" s="35"/>
      <c r="M4807" s="35"/>
      <c r="N4807" s="35"/>
      <c r="O4807" s="35"/>
      <c r="P4807" s="35"/>
      <c r="Q4807" s="35"/>
      <c r="R4807" s="35"/>
      <c r="S4807" s="74"/>
      <c r="T4807" s="35"/>
      <c r="U4807" s="35"/>
      <c r="V4807" s="35"/>
      <c r="W4807" s="45"/>
    </row>
    <row r="4808">
      <c r="A4808" s="45"/>
      <c r="B4808" s="35"/>
      <c r="C4808" s="35"/>
      <c r="D4808" s="10"/>
      <c r="E4808" s="35"/>
      <c r="F4808" s="35"/>
      <c r="G4808" s="35"/>
      <c r="H4808" s="35"/>
      <c r="I4808" s="35"/>
      <c r="J4808" s="35"/>
      <c r="K4808" s="35"/>
      <c r="L4808" s="35"/>
      <c r="M4808" s="35"/>
      <c r="N4808" s="35"/>
      <c r="O4808" s="35"/>
      <c r="P4808" s="35"/>
      <c r="Q4808" s="35"/>
      <c r="R4808" s="35"/>
      <c r="S4808" s="74"/>
      <c r="T4808" s="35"/>
      <c r="U4808" s="35"/>
      <c r="V4808" s="35"/>
      <c r="W4808" s="45"/>
    </row>
    <row r="4809">
      <c r="A4809" s="45"/>
      <c r="B4809" s="35"/>
      <c r="C4809" s="35"/>
      <c r="D4809" s="10"/>
      <c r="E4809" s="35"/>
      <c r="F4809" s="35"/>
      <c r="G4809" s="35"/>
      <c r="H4809" s="35"/>
      <c r="I4809" s="35"/>
      <c r="J4809" s="35"/>
      <c r="K4809" s="35"/>
      <c r="L4809" s="35"/>
      <c r="M4809" s="35"/>
      <c r="N4809" s="35"/>
      <c r="O4809" s="35"/>
      <c r="P4809" s="35"/>
      <c r="Q4809" s="35"/>
      <c r="R4809" s="35"/>
      <c r="S4809" s="74"/>
      <c r="T4809" s="35"/>
      <c r="U4809" s="35"/>
      <c r="V4809" s="35"/>
      <c r="W4809" s="45"/>
    </row>
    <row r="4810">
      <c r="A4810" s="45"/>
      <c r="B4810" s="35"/>
      <c r="C4810" s="35"/>
      <c r="D4810" s="10"/>
      <c r="E4810" s="35"/>
      <c r="F4810" s="35"/>
      <c r="G4810" s="35"/>
      <c r="H4810" s="35"/>
      <c r="I4810" s="35"/>
      <c r="J4810" s="35"/>
      <c r="K4810" s="35"/>
      <c r="L4810" s="35"/>
      <c r="M4810" s="35"/>
      <c r="N4810" s="35"/>
      <c r="O4810" s="35"/>
      <c r="P4810" s="35"/>
      <c r="Q4810" s="35"/>
      <c r="R4810" s="35"/>
      <c r="S4810" s="74"/>
      <c r="T4810" s="35"/>
      <c r="U4810" s="35"/>
      <c r="V4810" s="35"/>
      <c r="W4810" s="45"/>
    </row>
    <row r="4811">
      <c r="A4811" s="45"/>
      <c r="B4811" s="35"/>
      <c r="C4811" s="35"/>
      <c r="D4811" s="10"/>
      <c r="E4811" s="35"/>
      <c r="F4811" s="35"/>
      <c r="G4811" s="35"/>
      <c r="H4811" s="35"/>
      <c r="I4811" s="35"/>
      <c r="J4811" s="35"/>
      <c r="K4811" s="35"/>
      <c r="L4811" s="35"/>
      <c r="M4811" s="35"/>
      <c r="N4811" s="35"/>
      <c r="O4811" s="35"/>
      <c r="P4811" s="35"/>
      <c r="Q4811" s="35"/>
      <c r="R4811" s="35"/>
      <c r="S4811" s="74"/>
      <c r="T4811" s="35"/>
      <c r="U4811" s="35"/>
      <c r="V4811" s="35"/>
      <c r="W4811" s="45"/>
    </row>
    <row r="4812">
      <c r="A4812" s="45"/>
      <c r="B4812" s="35"/>
      <c r="C4812" s="35"/>
      <c r="D4812" s="10"/>
      <c r="E4812" s="35"/>
      <c r="F4812" s="35"/>
      <c r="G4812" s="35"/>
      <c r="H4812" s="35"/>
      <c r="I4812" s="35"/>
      <c r="J4812" s="35"/>
      <c r="K4812" s="35"/>
      <c r="L4812" s="35"/>
      <c r="M4812" s="35"/>
      <c r="N4812" s="35"/>
      <c r="O4812" s="35"/>
      <c r="P4812" s="35"/>
      <c r="Q4812" s="35"/>
      <c r="R4812" s="35"/>
      <c r="S4812" s="74"/>
      <c r="T4812" s="35"/>
      <c r="U4812" s="35"/>
      <c r="V4812" s="35"/>
      <c r="W4812" s="45"/>
    </row>
    <row r="4813">
      <c r="A4813" s="45"/>
      <c r="B4813" s="35"/>
      <c r="C4813" s="35"/>
      <c r="D4813" s="10"/>
      <c r="E4813" s="35"/>
      <c r="F4813" s="35"/>
      <c r="G4813" s="35"/>
      <c r="H4813" s="35"/>
      <c r="I4813" s="35"/>
      <c r="J4813" s="35"/>
      <c r="K4813" s="35"/>
      <c r="L4813" s="35"/>
      <c r="M4813" s="35"/>
      <c r="N4813" s="35"/>
      <c r="O4813" s="35"/>
      <c r="P4813" s="35"/>
      <c r="Q4813" s="35"/>
      <c r="R4813" s="35"/>
      <c r="S4813" s="74"/>
      <c r="T4813" s="35"/>
      <c r="U4813" s="35"/>
      <c r="V4813" s="35"/>
      <c r="W4813" s="45"/>
    </row>
    <row r="4814">
      <c r="A4814" s="45"/>
      <c r="B4814" s="35"/>
      <c r="C4814" s="35"/>
      <c r="D4814" s="10"/>
      <c r="E4814" s="35"/>
      <c r="F4814" s="35"/>
      <c r="G4814" s="35"/>
      <c r="H4814" s="35"/>
      <c r="I4814" s="35"/>
      <c r="J4814" s="35"/>
      <c r="K4814" s="35"/>
      <c r="L4814" s="35"/>
      <c r="M4814" s="35"/>
      <c r="N4814" s="35"/>
      <c r="O4814" s="35"/>
      <c r="P4814" s="35"/>
      <c r="Q4814" s="35"/>
      <c r="R4814" s="35"/>
      <c r="S4814" s="74"/>
      <c r="T4814" s="35"/>
      <c r="U4814" s="35"/>
      <c r="V4814" s="35"/>
      <c r="W4814" s="45"/>
    </row>
    <row r="4815">
      <c r="A4815" s="45"/>
      <c r="B4815" s="35"/>
      <c r="C4815" s="35"/>
      <c r="D4815" s="10"/>
      <c r="E4815" s="35"/>
      <c r="F4815" s="35"/>
      <c r="G4815" s="35"/>
      <c r="H4815" s="35"/>
      <c r="I4815" s="35"/>
      <c r="J4815" s="35"/>
      <c r="K4815" s="35"/>
      <c r="L4815" s="35"/>
      <c r="M4815" s="35"/>
      <c r="N4815" s="35"/>
      <c r="O4815" s="35"/>
      <c r="P4815" s="35"/>
      <c r="Q4815" s="35"/>
      <c r="R4815" s="35"/>
      <c r="S4815" s="74"/>
      <c r="T4815" s="35"/>
      <c r="U4815" s="35"/>
      <c r="V4815" s="35"/>
      <c r="W4815" s="45"/>
    </row>
    <row r="4816">
      <c r="A4816" s="45"/>
      <c r="B4816" s="35"/>
      <c r="C4816" s="35"/>
      <c r="D4816" s="10"/>
      <c r="E4816" s="35"/>
      <c r="F4816" s="35"/>
      <c r="G4816" s="35"/>
      <c r="H4816" s="35"/>
      <c r="I4816" s="35"/>
      <c r="J4816" s="35"/>
      <c r="K4816" s="35"/>
      <c r="L4816" s="35"/>
      <c r="M4816" s="35"/>
      <c r="N4816" s="35"/>
      <c r="O4816" s="35"/>
      <c r="P4816" s="35"/>
      <c r="Q4816" s="35"/>
      <c r="R4816" s="35"/>
      <c r="S4816" s="74"/>
      <c r="T4816" s="35"/>
      <c r="U4816" s="35"/>
      <c r="V4816" s="35"/>
      <c r="W4816" s="45"/>
    </row>
    <row r="4817">
      <c r="A4817" s="45"/>
      <c r="B4817" s="35"/>
      <c r="C4817" s="35"/>
      <c r="D4817" s="10"/>
      <c r="E4817" s="35"/>
      <c r="F4817" s="35"/>
      <c r="G4817" s="35"/>
      <c r="H4817" s="35"/>
      <c r="I4817" s="35"/>
      <c r="J4817" s="35"/>
      <c r="K4817" s="35"/>
      <c r="L4817" s="35"/>
      <c r="M4817" s="35"/>
      <c r="N4817" s="35"/>
      <c r="O4817" s="35"/>
      <c r="P4817" s="35"/>
      <c r="Q4817" s="35"/>
      <c r="R4817" s="35"/>
      <c r="S4817" s="74"/>
      <c r="T4817" s="35"/>
      <c r="U4817" s="35"/>
      <c r="V4817" s="35"/>
      <c r="W4817" s="45"/>
    </row>
    <row r="4818">
      <c r="A4818" s="45"/>
      <c r="B4818" s="35"/>
      <c r="C4818" s="35"/>
      <c r="D4818" s="10"/>
      <c r="E4818" s="35"/>
      <c r="F4818" s="35"/>
      <c r="G4818" s="35"/>
      <c r="H4818" s="35"/>
      <c r="I4818" s="35"/>
      <c r="J4818" s="35"/>
      <c r="K4818" s="35"/>
      <c r="L4818" s="35"/>
      <c r="M4818" s="35"/>
      <c r="N4818" s="35"/>
      <c r="O4818" s="35"/>
      <c r="P4818" s="35"/>
      <c r="Q4818" s="35"/>
      <c r="R4818" s="35"/>
      <c r="S4818" s="74"/>
      <c r="T4818" s="35"/>
      <c r="U4818" s="35"/>
      <c r="V4818" s="35"/>
      <c r="W4818" s="45"/>
    </row>
    <row r="4819">
      <c r="A4819" s="45"/>
      <c r="B4819" s="35"/>
      <c r="C4819" s="35"/>
      <c r="D4819" s="10"/>
      <c r="E4819" s="35"/>
      <c r="F4819" s="35"/>
      <c r="G4819" s="35"/>
      <c r="H4819" s="35"/>
      <c r="I4819" s="35"/>
      <c r="J4819" s="35"/>
      <c r="K4819" s="35"/>
      <c r="L4819" s="35"/>
      <c r="M4819" s="35"/>
      <c r="N4819" s="35"/>
      <c r="O4819" s="35"/>
      <c r="P4819" s="35"/>
      <c r="Q4819" s="35"/>
      <c r="R4819" s="35"/>
      <c r="S4819" s="74"/>
      <c r="T4819" s="35"/>
      <c r="U4819" s="35"/>
      <c r="V4819" s="35"/>
      <c r="W4819" s="45"/>
    </row>
    <row r="4820">
      <c r="A4820" s="45"/>
      <c r="B4820" s="35"/>
      <c r="C4820" s="35"/>
      <c r="D4820" s="10"/>
      <c r="E4820" s="35"/>
      <c r="F4820" s="35"/>
      <c r="G4820" s="35"/>
      <c r="H4820" s="35"/>
      <c r="I4820" s="35"/>
      <c r="J4820" s="35"/>
      <c r="K4820" s="35"/>
      <c r="L4820" s="35"/>
      <c r="M4820" s="35"/>
      <c r="N4820" s="35"/>
      <c r="O4820" s="35"/>
      <c r="P4820" s="35"/>
      <c r="Q4820" s="35"/>
      <c r="R4820" s="35"/>
      <c r="S4820" s="74"/>
      <c r="T4820" s="35"/>
      <c r="U4820" s="35"/>
      <c r="V4820" s="35"/>
      <c r="W4820" s="45"/>
    </row>
    <row r="4821">
      <c r="A4821" s="45"/>
      <c r="B4821" s="35"/>
      <c r="C4821" s="35"/>
      <c r="D4821" s="10"/>
      <c r="E4821" s="35"/>
      <c r="F4821" s="35"/>
      <c r="G4821" s="35"/>
      <c r="H4821" s="35"/>
      <c r="I4821" s="35"/>
      <c r="J4821" s="35"/>
      <c r="K4821" s="35"/>
      <c r="L4821" s="35"/>
      <c r="M4821" s="35"/>
      <c r="N4821" s="35"/>
      <c r="O4821" s="35"/>
      <c r="P4821" s="35"/>
      <c r="Q4821" s="35"/>
      <c r="R4821" s="35"/>
      <c r="S4821" s="74"/>
      <c r="T4821" s="35"/>
      <c r="U4821" s="35"/>
      <c r="V4821" s="35"/>
      <c r="W4821" s="45"/>
    </row>
    <row r="4822">
      <c r="A4822" s="45"/>
      <c r="B4822" s="35"/>
      <c r="C4822" s="35"/>
      <c r="D4822" s="10"/>
      <c r="E4822" s="35"/>
      <c r="F4822" s="35"/>
      <c r="G4822" s="35"/>
      <c r="H4822" s="35"/>
      <c r="I4822" s="35"/>
      <c r="J4822" s="35"/>
      <c r="K4822" s="35"/>
      <c r="L4822" s="35"/>
      <c r="M4822" s="35"/>
      <c r="N4822" s="35"/>
      <c r="O4822" s="35"/>
      <c r="P4822" s="35"/>
      <c r="Q4822" s="35"/>
      <c r="R4822" s="35"/>
      <c r="S4822" s="74"/>
      <c r="T4822" s="35"/>
      <c r="U4822" s="35"/>
      <c r="V4822" s="35"/>
      <c r="W4822" s="45"/>
    </row>
    <row r="4823">
      <c r="A4823" s="45"/>
      <c r="B4823" s="35"/>
      <c r="C4823" s="35"/>
      <c r="D4823" s="10"/>
      <c r="E4823" s="35"/>
      <c r="F4823" s="35"/>
      <c r="G4823" s="35"/>
      <c r="H4823" s="35"/>
      <c r="I4823" s="35"/>
      <c r="J4823" s="35"/>
      <c r="K4823" s="35"/>
      <c r="L4823" s="35"/>
      <c r="M4823" s="35"/>
      <c r="N4823" s="35"/>
      <c r="O4823" s="35"/>
      <c r="P4823" s="35"/>
      <c r="Q4823" s="35"/>
      <c r="R4823" s="35"/>
      <c r="S4823" s="74"/>
      <c r="T4823" s="35"/>
      <c r="U4823" s="35"/>
      <c r="V4823" s="35"/>
      <c r="W4823" s="45"/>
    </row>
    <row r="4824">
      <c r="A4824" s="45"/>
      <c r="B4824" s="35"/>
      <c r="C4824" s="35"/>
      <c r="D4824" s="10"/>
      <c r="E4824" s="35"/>
      <c r="F4824" s="35"/>
      <c r="G4824" s="35"/>
      <c r="H4824" s="35"/>
      <c r="I4824" s="35"/>
      <c r="J4824" s="35"/>
      <c r="K4824" s="35"/>
      <c r="L4824" s="35"/>
      <c r="M4824" s="35"/>
      <c r="N4824" s="35"/>
      <c r="O4824" s="35"/>
      <c r="P4824" s="35"/>
      <c r="Q4824" s="35"/>
      <c r="R4824" s="35"/>
      <c r="S4824" s="74"/>
      <c r="T4824" s="35"/>
      <c r="U4824" s="35"/>
      <c r="V4824" s="35"/>
      <c r="W4824" s="45"/>
    </row>
    <row r="4825">
      <c r="A4825" s="45"/>
      <c r="B4825" s="35"/>
      <c r="C4825" s="35"/>
      <c r="D4825" s="10"/>
      <c r="E4825" s="35"/>
      <c r="F4825" s="35"/>
      <c r="G4825" s="35"/>
      <c r="H4825" s="35"/>
      <c r="I4825" s="35"/>
      <c r="J4825" s="35"/>
      <c r="K4825" s="35"/>
      <c r="L4825" s="35"/>
      <c r="M4825" s="35"/>
      <c r="N4825" s="35"/>
      <c r="O4825" s="35"/>
      <c r="P4825" s="35"/>
      <c r="Q4825" s="35"/>
      <c r="R4825" s="35"/>
      <c r="S4825" s="74"/>
      <c r="T4825" s="35"/>
      <c r="U4825" s="35"/>
      <c r="V4825" s="35"/>
      <c r="W4825" s="45"/>
    </row>
    <row r="4826">
      <c r="A4826" s="45"/>
      <c r="B4826" s="35"/>
      <c r="C4826" s="35"/>
      <c r="D4826" s="10"/>
      <c r="E4826" s="35"/>
      <c r="F4826" s="35"/>
      <c r="G4826" s="35"/>
      <c r="H4826" s="35"/>
      <c r="I4826" s="35"/>
      <c r="J4826" s="35"/>
      <c r="K4826" s="35"/>
      <c r="L4826" s="35"/>
      <c r="M4826" s="35"/>
      <c r="N4826" s="35"/>
      <c r="O4826" s="35"/>
      <c r="P4826" s="35"/>
      <c r="Q4826" s="35"/>
      <c r="R4826" s="35"/>
      <c r="S4826" s="74"/>
      <c r="T4826" s="35"/>
      <c r="U4826" s="35"/>
      <c r="V4826" s="35"/>
      <c r="W4826" s="45"/>
    </row>
    <row r="4827">
      <c r="A4827" s="45"/>
      <c r="B4827" s="35"/>
      <c r="C4827" s="35"/>
      <c r="D4827" s="10"/>
      <c r="E4827" s="35"/>
      <c r="F4827" s="35"/>
      <c r="G4827" s="35"/>
      <c r="H4827" s="35"/>
      <c r="I4827" s="35"/>
      <c r="J4827" s="35"/>
      <c r="K4827" s="35"/>
      <c r="L4827" s="35"/>
      <c r="M4827" s="35"/>
      <c r="N4827" s="35"/>
      <c r="O4827" s="35"/>
      <c r="P4827" s="35"/>
      <c r="Q4827" s="35"/>
      <c r="R4827" s="35"/>
      <c r="S4827" s="74"/>
      <c r="T4827" s="35"/>
      <c r="U4827" s="35"/>
      <c r="V4827" s="35"/>
      <c r="W4827" s="45"/>
    </row>
    <row r="4828">
      <c r="A4828" s="45"/>
      <c r="B4828" s="35"/>
      <c r="C4828" s="35"/>
      <c r="D4828" s="10"/>
      <c r="E4828" s="35"/>
      <c r="F4828" s="35"/>
      <c r="G4828" s="35"/>
      <c r="H4828" s="35"/>
      <c r="I4828" s="35"/>
      <c r="J4828" s="35"/>
      <c r="K4828" s="35"/>
      <c r="L4828" s="35"/>
      <c r="M4828" s="35"/>
      <c r="N4828" s="35"/>
      <c r="O4828" s="35"/>
      <c r="P4828" s="35"/>
      <c r="Q4828" s="35"/>
      <c r="R4828" s="35"/>
      <c r="S4828" s="74"/>
      <c r="T4828" s="35"/>
      <c r="U4828" s="35"/>
      <c r="V4828" s="35"/>
      <c r="W4828" s="45"/>
    </row>
    <row r="4829">
      <c r="A4829" s="45"/>
      <c r="B4829" s="35"/>
      <c r="C4829" s="35"/>
      <c r="D4829" s="10"/>
      <c r="E4829" s="35"/>
      <c r="F4829" s="35"/>
      <c r="G4829" s="35"/>
      <c r="H4829" s="35"/>
      <c r="I4829" s="35"/>
      <c r="J4829" s="35"/>
      <c r="K4829" s="35"/>
      <c r="L4829" s="35"/>
      <c r="M4829" s="35"/>
      <c r="N4829" s="35"/>
      <c r="O4829" s="35"/>
      <c r="P4829" s="35"/>
      <c r="Q4829" s="35"/>
      <c r="R4829" s="35"/>
      <c r="S4829" s="74"/>
      <c r="T4829" s="35"/>
      <c r="U4829" s="35"/>
      <c r="V4829" s="35"/>
      <c r="W4829" s="45"/>
    </row>
    <row r="4830">
      <c r="A4830" s="45"/>
      <c r="B4830" s="35"/>
      <c r="C4830" s="35"/>
      <c r="D4830" s="10"/>
      <c r="E4830" s="35"/>
      <c r="F4830" s="35"/>
      <c r="G4830" s="35"/>
      <c r="H4830" s="35"/>
      <c r="I4830" s="35"/>
      <c r="J4830" s="35"/>
      <c r="K4830" s="35"/>
      <c r="L4830" s="35"/>
      <c r="M4830" s="35"/>
      <c r="N4830" s="35"/>
      <c r="O4830" s="35"/>
      <c r="P4830" s="35"/>
      <c r="Q4830" s="35"/>
      <c r="R4830" s="35"/>
      <c r="S4830" s="74"/>
      <c r="T4830" s="35"/>
      <c r="U4830" s="35"/>
      <c r="V4830" s="35"/>
      <c r="W4830" s="45"/>
    </row>
    <row r="4831">
      <c r="A4831" s="45"/>
      <c r="B4831" s="35"/>
      <c r="C4831" s="35"/>
      <c r="D4831" s="10"/>
      <c r="E4831" s="35"/>
      <c r="F4831" s="35"/>
      <c r="G4831" s="35"/>
      <c r="H4831" s="35"/>
      <c r="I4831" s="35"/>
      <c r="J4831" s="35"/>
      <c r="K4831" s="35"/>
      <c r="L4831" s="35"/>
      <c r="M4831" s="35"/>
      <c r="N4831" s="35"/>
      <c r="O4831" s="35"/>
      <c r="P4831" s="35"/>
      <c r="Q4831" s="35"/>
      <c r="R4831" s="35"/>
      <c r="S4831" s="74"/>
      <c r="T4831" s="35"/>
      <c r="U4831" s="35"/>
      <c r="V4831" s="35"/>
      <c r="W4831" s="45"/>
    </row>
    <row r="4832">
      <c r="A4832" s="45"/>
      <c r="B4832" s="35"/>
      <c r="C4832" s="35"/>
      <c r="D4832" s="10"/>
      <c r="E4832" s="35"/>
      <c r="F4832" s="35"/>
      <c r="G4832" s="35"/>
      <c r="H4832" s="35"/>
      <c r="I4832" s="35"/>
      <c r="J4832" s="35"/>
      <c r="K4832" s="35"/>
      <c r="L4832" s="35"/>
      <c r="M4832" s="35"/>
      <c r="N4832" s="35"/>
      <c r="O4832" s="35"/>
      <c r="P4832" s="35"/>
      <c r="Q4832" s="35"/>
      <c r="R4832" s="35"/>
      <c r="S4832" s="74"/>
      <c r="T4832" s="35"/>
      <c r="U4832" s="35"/>
      <c r="V4832" s="35"/>
      <c r="W4832" s="45"/>
    </row>
    <row r="4833">
      <c r="A4833" s="45"/>
      <c r="B4833" s="35"/>
      <c r="C4833" s="35"/>
      <c r="D4833" s="10"/>
      <c r="E4833" s="35"/>
      <c r="F4833" s="35"/>
      <c r="G4833" s="35"/>
      <c r="H4833" s="35"/>
      <c r="I4833" s="35"/>
      <c r="J4833" s="35"/>
      <c r="K4833" s="35"/>
      <c r="L4833" s="35"/>
      <c r="M4833" s="35"/>
      <c r="N4833" s="35"/>
      <c r="O4833" s="35"/>
      <c r="P4833" s="35"/>
      <c r="Q4833" s="35"/>
      <c r="R4833" s="35"/>
      <c r="S4833" s="74"/>
      <c r="T4833" s="35"/>
      <c r="U4833" s="35"/>
      <c r="V4833" s="35"/>
      <c r="W4833" s="45"/>
    </row>
    <row r="4834">
      <c r="A4834" s="45"/>
      <c r="B4834" s="35"/>
      <c r="C4834" s="35"/>
      <c r="D4834" s="10"/>
      <c r="E4834" s="35"/>
      <c r="F4834" s="35"/>
      <c r="G4834" s="35"/>
      <c r="H4834" s="35"/>
      <c r="I4834" s="35"/>
      <c r="J4834" s="35"/>
      <c r="K4834" s="35"/>
      <c r="L4834" s="35"/>
      <c r="M4834" s="35"/>
      <c r="N4834" s="35"/>
      <c r="O4834" s="35"/>
      <c r="P4834" s="35"/>
      <c r="Q4834" s="35"/>
      <c r="R4834" s="35"/>
      <c r="S4834" s="74"/>
      <c r="T4834" s="35"/>
      <c r="U4834" s="35"/>
      <c r="V4834" s="35"/>
      <c r="W4834" s="45"/>
    </row>
    <row r="4835">
      <c r="A4835" s="45"/>
      <c r="B4835" s="35"/>
      <c r="C4835" s="35"/>
      <c r="D4835" s="10"/>
      <c r="E4835" s="35"/>
      <c r="F4835" s="35"/>
      <c r="G4835" s="35"/>
      <c r="H4835" s="35"/>
      <c r="I4835" s="35"/>
      <c r="J4835" s="35"/>
      <c r="K4835" s="35"/>
      <c r="L4835" s="35"/>
      <c r="M4835" s="35"/>
      <c r="N4835" s="35"/>
      <c r="O4835" s="35"/>
      <c r="P4835" s="35"/>
      <c r="Q4835" s="35"/>
      <c r="R4835" s="35"/>
      <c r="S4835" s="74"/>
      <c r="T4835" s="35"/>
      <c r="U4835" s="35"/>
      <c r="V4835" s="35"/>
      <c r="W4835" s="45"/>
    </row>
    <row r="4836">
      <c r="A4836" s="45"/>
      <c r="B4836" s="35"/>
      <c r="C4836" s="35"/>
      <c r="D4836" s="10"/>
      <c r="E4836" s="35"/>
      <c r="F4836" s="35"/>
      <c r="G4836" s="35"/>
      <c r="H4836" s="35"/>
      <c r="I4836" s="35"/>
      <c r="J4836" s="35"/>
      <c r="K4836" s="35"/>
      <c r="L4836" s="35"/>
      <c r="M4836" s="35"/>
      <c r="N4836" s="35"/>
      <c r="O4836" s="35"/>
      <c r="P4836" s="35"/>
      <c r="Q4836" s="35"/>
      <c r="R4836" s="35"/>
      <c r="S4836" s="74"/>
      <c r="T4836" s="35"/>
      <c r="U4836" s="35"/>
      <c r="V4836" s="35"/>
      <c r="W4836" s="45"/>
    </row>
    <row r="4837">
      <c r="A4837" s="45"/>
      <c r="B4837" s="35"/>
      <c r="C4837" s="35"/>
      <c r="D4837" s="10"/>
      <c r="E4837" s="35"/>
      <c r="F4837" s="35"/>
      <c r="G4837" s="35"/>
      <c r="H4837" s="35"/>
      <c r="I4837" s="35"/>
      <c r="J4837" s="35"/>
      <c r="K4837" s="35"/>
      <c r="L4837" s="35"/>
      <c r="M4837" s="35"/>
      <c r="N4837" s="35"/>
      <c r="O4837" s="35"/>
      <c r="P4837" s="35"/>
      <c r="Q4837" s="35"/>
      <c r="R4837" s="35"/>
      <c r="S4837" s="74"/>
      <c r="T4837" s="35"/>
      <c r="U4837" s="35"/>
      <c r="V4837" s="35"/>
      <c r="W4837" s="45"/>
    </row>
    <row r="4838">
      <c r="A4838" s="45"/>
      <c r="B4838" s="35"/>
      <c r="C4838" s="35"/>
      <c r="D4838" s="10"/>
      <c r="E4838" s="35"/>
      <c r="F4838" s="35"/>
      <c r="G4838" s="35"/>
      <c r="H4838" s="35"/>
      <c r="I4838" s="35"/>
      <c r="J4838" s="35"/>
      <c r="K4838" s="35"/>
      <c r="L4838" s="35"/>
      <c r="M4838" s="35"/>
      <c r="N4838" s="35"/>
      <c r="O4838" s="35"/>
      <c r="P4838" s="35"/>
      <c r="Q4838" s="35"/>
      <c r="R4838" s="35"/>
      <c r="S4838" s="74"/>
      <c r="T4838" s="35"/>
      <c r="U4838" s="35"/>
      <c r="V4838" s="35"/>
      <c r="W4838" s="45"/>
    </row>
    <row r="4839">
      <c r="A4839" s="45"/>
      <c r="B4839" s="35"/>
      <c r="C4839" s="35"/>
      <c r="D4839" s="10"/>
      <c r="E4839" s="35"/>
      <c r="F4839" s="35"/>
      <c r="G4839" s="35"/>
      <c r="H4839" s="35"/>
      <c r="I4839" s="35"/>
      <c r="J4839" s="35"/>
      <c r="K4839" s="35"/>
      <c r="L4839" s="35"/>
      <c r="M4839" s="35"/>
      <c r="N4839" s="35"/>
      <c r="O4839" s="35"/>
      <c r="P4839" s="35"/>
      <c r="Q4839" s="35"/>
      <c r="R4839" s="35"/>
      <c r="S4839" s="74"/>
      <c r="T4839" s="35"/>
      <c r="U4839" s="35"/>
      <c r="V4839" s="35"/>
      <c r="W4839" s="45"/>
    </row>
    <row r="4840">
      <c r="A4840" s="45"/>
      <c r="B4840" s="35"/>
      <c r="C4840" s="35"/>
      <c r="D4840" s="10"/>
      <c r="E4840" s="35"/>
      <c r="F4840" s="35"/>
      <c r="G4840" s="35"/>
      <c r="H4840" s="35"/>
      <c r="I4840" s="35"/>
      <c r="J4840" s="35"/>
      <c r="K4840" s="35"/>
      <c r="L4840" s="35"/>
      <c r="M4840" s="35"/>
      <c r="N4840" s="35"/>
      <c r="O4840" s="35"/>
      <c r="P4840" s="35"/>
      <c r="Q4840" s="35"/>
      <c r="R4840" s="35"/>
      <c r="S4840" s="74"/>
      <c r="T4840" s="35"/>
      <c r="U4840" s="35"/>
      <c r="V4840" s="35"/>
      <c r="W4840" s="45"/>
    </row>
    <row r="4841">
      <c r="A4841" s="45"/>
      <c r="B4841" s="35"/>
      <c r="C4841" s="35"/>
      <c r="D4841" s="10"/>
      <c r="E4841" s="35"/>
      <c r="F4841" s="35"/>
      <c r="G4841" s="35"/>
      <c r="H4841" s="35"/>
      <c r="I4841" s="35"/>
      <c r="J4841" s="35"/>
      <c r="K4841" s="35"/>
      <c r="L4841" s="35"/>
      <c r="M4841" s="35"/>
      <c r="N4841" s="35"/>
      <c r="O4841" s="35"/>
      <c r="P4841" s="35"/>
      <c r="Q4841" s="35"/>
      <c r="R4841" s="35"/>
      <c r="S4841" s="74"/>
      <c r="T4841" s="35"/>
      <c r="U4841" s="35"/>
      <c r="V4841" s="35"/>
      <c r="W4841" s="45"/>
    </row>
    <row r="4842">
      <c r="A4842" s="45"/>
      <c r="B4842" s="35"/>
      <c r="C4842" s="35"/>
      <c r="D4842" s="10"/>
      <c r="E4842" s="35"/>
      <c r="F4842" s="35"/>
      <c r="G4842" s="35"/>
      <c r="H4842" s="35"/>
      <c r="I4842" s="35"/>
      <c r="J4842" s="35"/>
      <c r="K4842" s="35"/>
      <c r="L4842" s="35"/>
      <c r="M4842" s="35"/>
      <c r="N4842" s="35"/>
      <c r="O4842" s="35"/>
      <c r="P4842" s="35"/>
      <c r="Q4842" s="35"/>
      <c r="R4842" s="35"/>
      <c r="S4842" s="74"/>
      <c r="T4842" s="35"/>
      <c r="U4842" s="35"/>
      <c r="V4842" s="35"/>
      <c r="W4842" s="45"/>
    </row>
    <row r="4843">
      <c r="A4843" s="45"/>
      <c r="B4843" s="35"/>
      <c r="C4843" s="35"/>
      <c r="D4843" s="10"/>
      <c r="E4843" s="35"/>
      <c r="F4843" s="35"/>
      <c r="G4843" s="35"/>
      <c r="H4843" s="35"/>
      <c r="I4843" s="35"/>
      <c r="J4843" s="35"/>
      <c r="K4843" s="35"/>
      <c r="L4843" s="35"/>
      <c r="M4843" s="35"/>
      <c r="N4843" s="35"/>
      <c r="O4843" s="35"/>
      <c r="P4843" s="35"/>
      <c r="Q4843" s="35"/>
      <c r="R4843" s="35"/>
      <c r="S4843" s="74"/>
      <c r="T4843" s="35"/>
      <c r="U4843" s="35"/>
      <c r="V4843" s="35"/>
      <c r="W4843" s="45"/>
    </row>
    <row r="4844">
      <c r="A4844" s="45"/>
      <c r="B4844" s="35"/>
      <c r="C4844" s="35"/>
      <c r="D4844" s="10"/>
      <c r="E4844" s="35"/>
      <c r="F4844" s="35"/>
      <c r="G4844" s="35"/>
      <c r="H4844" s="35"/>
      <c r="I4844" s="35"/>
      <c r="J4844" s="35"/>
      <c r="K4844" s="35"/>
      <c r="L4844" s="35"/>
      <c r="M4844" s="35"/>
      <c r="N4844" s="35"/>
      <c r="O4844" s="35"/>
      <c r="P4844" s="35"/>
      <c r="Q4844" s="35"/>
      <c r="R4844" s="35"/>
      <c r="S4844" s="74"/>
      <c r="T4844" s="35"/>
      <c r="U4844" s="35"/>
      <c r="V4844" s="35"/>
      <c r="W4844" s="45"/>
    </row>
    <row r="4845">
      <c r="A4845" s="45"/>
      <c r="B4845" s="35"/>
      <c r="C4845" s="35"/>
      <c r="D4845" s="10"/>
      <c r="E4845" s="35"/>
      <c r="F4845" s="35"/>
      <c r="G4845" s="35"/>
      <c r="H4845" s="35"/>
      <c r="I4845" s="35"/>
      <c r="J4845" s="35"/>
      <c r="K4845" s="35"/>
      <c r="L4845" s="35"/>
      <c r="M4845" s="35"/>
      <c r="N4845" s="35"/>
      <c r="O4845" s="35"/>
      <c r="P4845" s="35"/>
      <c r="Q4845" s="35"/>
      <c r="R4845" s="35"/>
      <c r="S4845" s="74"/>
      <c r="T4845" s="35"/>
      <c r="U4845" s="35"/>
      <c r="V4845" s="35"/>
      <c r="W4845" s="45"/>
    </row>
    <row r="4846">
      <c r="A4846" s="45"/>
      <c r="B4846" s="35"/>
      <c r="C4846" s="35"/>
      <c r="D4846" s="10"/>
      <c r="E4846" s="35"/>
      <c r="F4846" s="35"/>
      <c r="G4846" s="35"/>
      <c r="H4846" s="35"/>
      <c r="I4846" s="35"/>
      <c r="J4846" s="35"/>
      <c r="K4846" s="35"/>
      <c r="L4846" s="35"/>
      <c r="M4846" s="35"/>
      <c r="N4846" s="35"/>
      <c r="O4846" s="35"/>
      <c r="P4846" s="35"/>
      <c r="Q4846" s="35"/>
      <c r="R4846" s="35"/>
      <c r="S4846" s="74"/>
      <c r="T4846" s="35"/>
      <c r="U4846" s="35"/>
      <c r="V4846" s="35"/>
      <c r="W4846" s="45"/>
    </row>
    <row r="4847">
      <c r="A4847" s="45"/>
      <c r="B4847" s="35"/>
      <c r="C4847" s="35"/>
      <c r="D4847" s="10"/>
      <c r="E4847" s="35"/>
      <c r="F4847" s="35"/>
      <c r="G4847" s="35"/>
      <c r="H4847" s="35"/>
      <c r="I4847" s="35"/>
      <c r="J4847" s="35"/>
      <c r="K4847" s="35"/>
      <c r="L4847" s="35"/>
      <c r="M4847" s="35"/>
      <c r="N4847" s="35"/>
      <c r="O4847" s="35"/>
      <c r="P4847" s="35"/>
      <c r="Q4847" s="35"/>
      <c r="R4847" s="35"/>
      <c r="S4847" s="74"/>
      <c r="T4847" s="35"/>
      <c r="U4847" s="35"/>
      <c r="V4847" s="35"/>
      <c r="W4847" s="45"/>
    </row>
    <row r="4848">
      <c r="A4848" s="45"/>
      <c r="B4848" s="35"/>
      <c r="C4848" s="35"/>
      <c r="D4848" s="10"/>
      <c r="E4848" s="35"/>
      <c r="F4848" s="35"/>
      <c r="G4848" s="35"/>
      <c r="H4848" s="35"/>
      <c r="I4848" s="35"/>
      <c r="J4848" s="35"/>
      <c r="K4848" s="35"/>
      <c r="L4848" s="35"/>
      <c r="M4848" s="35"/>
      <c r="N4848" s="35"/>
      <c r="O4848" s="35"/>
      <c r="P4848" s="35"/>
      <c r="Q4848" s="35"/>
      <c r="R4848" s="35"/>
      <c r="S4848" s="74"/>
      <c r="T4848" s="35"/>
      <c r="U4848" s="35"/>
      <c r="V4848" s="35"/>
      <c r="W4848" s="45"/>
    </row>
    <row r="4849">
      <c r="A4849" s="45"/>
      <c r="B4849" s="35"/>
      <c r="C4849" s="35"/>
      <c r="D4849" s="10"/>
      <c r="E4849" s="35"/>
      <c r="F4849" s="35"/>
      <c r="G4849" s="35"/>
      <c r="H4849" s="35"/>
      <c r="I4849" s="35"/>
      <c r="J4849" s="35"/>
      <c r="K4849" s="35"/>
      <c r="L4849" s="35"/>
      <c r="M4849" s="35"/>
      <c r="N4849" s="35"/>
      <c r="O4849" s="35"/>
      <c r="P4849" s="35"/>
      <c r="Q4849" s="35"/>
      <c r="R4849" s="35"/>
      <c r="S4849" s="74"/>
      <c r="T4849" s="35"/>
      <c r="U4849" s="35"/>
      <c r="V4849" s="35"/>
      <c r="W4849" s="45"/>
    </row>
    <row r="4850">
      <c r="A4850" s="45"/>
      <c r="B4850" s="35"/>
      <c r="C4850" s="35"/>
      <c r="D4850" s="10"/>
      <c r="E4850" s="35"/>
      <c r="F4850" s="35"/>
      <c r="G4850" s="35"/>
      <c r="H4850" s="35"/>
      <c r="I4850" s="35"/>
      <c r="J4850" s="35"/>
      <c r="K4850" s="35"/>
      <c r="L4850" s="35"/>
      <c r="M4850" s="35"/>
      <c r="N4850" s="35"/>
      <c r="O4850" s="35"/>
      <c r="P4850" s="35"/>
      <c r="Q4850" s="35"/>
      <c r="R4850" s="35"/>
      <c r="S4850" s="74"/>
      <c r="T4850" s="35"/>
      <c r="U4850" s="35"/>
      <c r="V4850" s="35"/>
      <c r="W4850" s="45"/>
    </row>
    <row r="4851">
      <c r="A4851" s="45"/>
      <c r="B4851" s="35"/>
      <c r="C4851" s="35"/>
      <c r="D4851" s="10"/>
      <c r="E4851" s="35"/>
      <c r="F4851" s="35"/>
      <c r="G4851" s="35"/>
      <c r="H4851" s="35"/>
      <c r="I4851" s="35"/>
      <c r="J4851" s="35"/>
      <c r="K4851" s="35"/>
      <c r="L4851" s="35"/>
      <c r="M4851" s="35"/>
      <c r="N4851" s="35"/>
      <c r="O4851" s="35"/>
      <c r="P4851" s="35"/>
      <c r="Q4851" s="35"/>
      <c r="R4851" s="35"/>
      <c r="S4851" s="74"/>
      <c r="T4851" s="35"/>
      <c r="U4851" s="35"/>
      <c r="V4851" s="35"/>
      <c r="W4851" s="45"/>
    </row>
    <row r="4852">
      <c r="A4852" s="45"/>
      <c r="B4852" s="35"/>
      <c r="C4852" s="35"/>
      <c r="D4852" s="10"/>
      <c r="E4852" s="35"/>
      <c r="F4852" s="35"/>
      <c r="G4852" s="35"/>
      <c r="H4852" s="35"/>
      <c r="I4852" s="35"/>
      <c r="J4852" s="35"/>
      <c r="K4852" s="35"/>
      <c r="L4852" s="35"/>
      <c r="M4852" s="35"/>
      <c r="N4852" s="35"/>
      <c r="O4852" s="35"/>
      <c r="P4852" s="35"/>
      <c r="Q4852" s="35"/>
      <c r="R4852" s="35"/>
      <c r="S4852" s="74"/>
      <c r="T4852" s="35"/>
      <c r="U4852" s="35"/>
      <c r="V4852" s="35"/>
      <c r="W4852" s="45"/>
    </row>
    <row r="4853">
      <c r="A4853" s="45"/>
      <c r="B4853" s="35"/>
      <c r="C4853" s="35"/>
      <c r="D4853" s="10"/>
      <c r="E4853" s="35"/>
      <c r="F4853" s="35"/>
      <c r="G4853" s="35"/>
      <c r="H4853" s="35"/>
      <c r="I4853" s="35"/>
      <c r="J4853" s="35"/>
      <c r="K4853" s="35"/>
      <c r="L4853" s="35"/>
      <c r="M4853" s="35"/>
      <c r="N4853" s="35"/>
      <c r="O4853" s="35"/>
      <c r="P4853" s="35"/>
      <c r="Q4853" s="35"/>
      <c r="R4853" s="35"/>
      <c r="S4853" s="74"/>
      <c r="T4853" s="35"/>
      <c r="U4853" s="35"/>
      <c r="V4853" s="35"/>
      <c r="W4853" s="45"/>
    </row>
    <row r="4854">
      <c r="A4854" s="45"/>
      <c r="B4854" s="35"/>
      <c r="C4854" s="35"/>
      <c r="D4854" s="10"/>
      <c r="E4854" s="35"/>
      <c r="F4854" s="35"/>
      <c r="G4854" s="35"/>
      <c r="H4854" s="35"/>
      <c r="I4854" s="35"/>
      <c r="J4854" s="35"/>
      <c r="K4854" s="35"/>
      <c r="L4854" s="35"/>
      <c r="M4854" s="35"/>
      <c r="N4854" s="35"/>
      <c r="O4854" s="35"/>
      <c r="P4854" s="35"/>
      <c r="Q4854" s="35"/>
      <c r="R4854" s="35"/>
      <c r="S4854" s="74"/>
      <c r="T4854" s="35"/>
      <c r="U4854" s="35"/>
      <c r="V4854" s="35"/>
      <c r="W4854" s="45"/>
    </row>
    <row r="4855">
      <c r="A4855" s="45"/>
      <c r="B4855" s="35"/>
      <c r="C4855" s="35"/>
      <c r="D4855" s="10"/>
      <c r="E4855" s="35"/>
      <c r="F4855" s="35"/>
      <c r="G4855" s="35"/>
      <c r="H4855" s="35"/>
      <c r="I4855" s="35"/>
      <c r="J4855" s="35"/>
      <c r="K4855" s="35"/>
      <c r="L4855" s="35"/>
      <c r="M4855" s="35"/>
      <c r="N4855" s="35"/>
      <c r="O4855" s="35"/>
      <c r="P4855" s="35"/>
      <c r="Q4855" s="35"/>
      <c r="R4855" s="35"/>
      <c r="S4855" s="74"/>
      <c r="T4855" s="35"/>
      <c r="U4855" s="35"/>
      <c r="V4855" s="35"/>
      <c r="W4855" s="45"/>
    </row>
    <row r="4856">
      <c r="A4856" s="45"/>
      <c r="B4856" s="35"/>
      <c r="C4856" s="35"/>
      <c r="D4856" s="10"/>
      <c r="E4856" s="35"/>
      <c r="F4856" s="35"/>
      <c r="G4856" s="35"/>
      <c r="H4856" s="35"/>
      <c r="I4856" s="35"/>
      <c r="J4856" s="35"/>
      <c r="K4856" s="35"/>
      <c r="L4856" s="35"/>
      <c r="M4856" s="35"/>
      <c r="N4856" s="35"/>
      <c r="O4856" s="35"/>
      <c r="P4856" s="35"/>
      <c r="Q4856" s="35"/>
      <c r="R4856" s="35"/>
      <c r="S4856" s="74"/>
      <c r="T4856" s="35"/>
      <c r="U4856" s="35"/>
      <c r="V4856" s="35"/>
      <c r="W4856" s="45"/>
    </row>
    <row r="4857">
      <c r="A4857" s="45"/>
      <c r="B4857" s="35"/>
      <c r="C4857" s="35"/>
      <c r="D4857" s="10"/>
      <c r="E4857" s="35"/>
      <c r="F4857" s="35"/>
      <c r="G4857" s="35"/>
      <c r="H4857" s="35"/>
      <c r="I4857" s="35"/>
      <c r="J4857" s="35"/>
      <c r="K4857" s="35"/>
      <c r="L4857" s="35"/>
      <c r="M4857" s="35"/>
      <c r="N4857" s="35"/>
      <c r="O4857" s="35"/>
      <c r="P4857" s="35"/>
      <c r="Q4857" s="35"/>
      <c r="R4857" s="35"/>
      <c r="S4857" s="74"/>
      <c r="T4857" s="35"/>
      <c r="U4857" s="35"/>
      <c r="V4857" s="35"/>
      <c r="W4857" s="45"/>
    </row>
    <row r="4858">
      <c r="A4858" s="45"/>
      <c r="B4858" s="35"/>
      <c r="C4858" s="35"/>
      <c r="D4858" s="10"/>
      <c r="E4858" s="35"/>
      <c r="F4858" s="35"/>
      <c r="G4858" s="35"/>
      <c r="H4858" s="35"/>
      <c r="I4858" s="35"/>
      <c r="J4858" s="35"/>
      <c r="K4858" s="35"/>
      <c r="L4858" s="35"/>
      <c r="M4858" s="35"/>
      <c r="N4858" s="35"/>
      <c r="O4858" s="35"/>
      <c r="P4858" s="35"/>
      <c r="Q4858" s="35"/>
      <c r="R4858" s="35"/>
      <c r="S4858" s="74"/>
      <c r="T4858" s="35"/>
      <c r="U4858" s="35"/>
      <c r="V4858" s="35"/>
      <c r="W4858" s="45"/>
    </row>
    <row r="4859">
      <c r="A4859" s="45"/>
      <c r="B4859" s="35"/>
      <c r="C4859" s="35"/>
      <c r="D4859" s="10"/>
      <c r="E4859" s="35"/>
      <c r="F4859" s="35"/>
      <c r="G4859" s="35"/>
      <c r="H4859" s="35"/>
      <c r="I4859" s="35"/>
      <c r="J4859" s="35"/>
      <c r="K4859" s="35"/>
      <c r="L4859" s="35"/>
      <c r="M4859" s="35"/>
      <c r="N4859" s="35"/>
      <c r="O4859" s="35"/>
      <c r="P4859" s="35"/>
      <c r="Q4859" s="35"/>
      <c r="R4859" s="35"/>
      <c r="S4859" s="74"/>
      <c r="T4859" s="35"/>
      <c r="U4859" s="35"/>
      <c r="V4859" s="35"/>
      <c r="W4859" s="45"/>
    </row>
    <row r="4860">
      <c r="A4860" s="45"/>
      <c r="B4860" s="35"/>
      <c r="C4860" s="35"/>
      <c r="D4860" s="10"/>
      <c r="E4860" s="35"/>
      <c r="F4860" s="35"/>
      <c r="G4860" s="35"/>
      <c r="H4860" s="35"/>
      <c r="I4860" s="35"/>
      <c r="J4860" s="35"/>
      <c r="K4860" s="35"/>
      <c r="L4860" s="35"/>
      <c r="M4860" s="35"/>
      <c r="N4860" s="35"/>
      <c r="O4860" s="35"/>
      <c r="P4860" s="35"/>
      <c r="Q4860" s="35"/>
      <c r="R4860" s="35"/>
      <c r="S4860" s="74"/>
      <c r="T4860" s="35"/>
      <c r="U4860" s="35"/>
      <c r="V4860" s="35"/>
      <c r="W4860" s="45"/>
    </row>
    <row r="4861">
      <c r="A4861" s="45"/>
      <c r="B4861" s="35"/>
      <c r="C4861" s="35"/>
      <c r="D4861" s="10"/>
      <c r="E4861" s="35"/>
      <c r="F4861" s="35"/>
      <c r="G4861" s="35"/>
      <c r="H4861" s="35"/>
      <c r="I4861" s="35"/>
      <c r="J4861" s="35"/>
      <c r="K4861" s="35"/>
      <c r="L4861" s="35"/>
      <c r="M4861" s="35"/>
      <c r="N4861" s="35"/>
      <c r="O4861" s="35"/>
      <c r="P4861" s="35"/>
      <c r="Q4861" s="35"/>
      <c r="R4861" s="35"/>
      <c r="S4861" s="74"/>
      <c r="T4861" s="35"/>
      <c r="U4861" s="35"/>
      <c r="V4861" s="35"/>
      <c r="W4861" s="45"/>
    </row>
    <row r="4862">
      <c r="A4862" s="45"/>
      <c r="B4862" s="35"/>
      <c r="C4862" s="35"/>
      <c r="D4862" s="10"/>
      <c r="E4862" s="35"/>
      <c r="F4862" s="35"/>
      <c r="G4862" s="35"/>
      <c r="H4862" s="35"/>
      <c r="I4862" s="35"/>
      <c r="J4862" s="35"/>
      <c r="K4862" s="35"/>
      <c r="L4862" s="35"/>
      <c r="M4862" s="35"/>
      <c r="N4862" s="35"/>
      <c r="O4862" s="35"/>
      <c r="P4862" s="35"/>
      <c r="Q4862" s="35"/>
      <c r="R4862" s="35"/>
      <c r="S4862" s="74"/>
      <c r="T4862" s="35"/>
      <c r="U4862" s="35"/>
      <c r="V4862" s="35"/>
      <c r="W4862" s="45"/>
    </row>
    <row r="4863">
      <c r="A4863" s="45"/>
      <c r="B4863" s="35"/>
      <c r="C4863" s="35"/>
      <c r="D4863" s="10"/>
      <c r="E4863" s="35"/>
      <c r="F4863" s="35"/>
      <c r="G4863" s="35"/>
      <c r="H4863" s="35"/>
      <c r="I4863" s="35"/>
      <c r="J4863" s="35"/>
      <c r="K4863" s="35"/>
      <c r="L4863" s="35"/>
      <c r="M4863" s="35"/>
      <c r="N4863" s="35"/>
      <c r="O4863" s="35"/>
      <c r="P4863" s="35"/>
      <c r="Q4863" s="35"/>
      <c r="R4863" s="35"/>
      <c r="S4863" s="74"/>
      <c r="T4863" s="35"/>
      <c r="U4863" s="35"/>
      <c r="V4863" s="35"/>
      <c r="W4863" s="45"/>
    </row>
    <row r="4864">
      <c r="A4864" s="45"/>
      <c r="B4864" s="35"/>
      <c r="C4864" s="35"/>
      <c r="D4864" s="10"/>
      <c r="E4864" s="35"/>
      <c r="F4864" s="35"/>
      <c r="G4864" s="35"/>
      <c r="H4864" s="35"/>
      <c r="I4864" s="35"/>
      <c r="J4864" s="35"/>
      <c r="K4864" s="35"/>
      <c r="L4864" s="35"/>
      <c r="M4864" s="35"/>
      <c r="N4864" s="35"/>
      <c r="O4864" s="35"/>
      <c r="P4864" s="35"/>
      <c r="Q4864" s="35"/>
      <c r="R4864" s="35"/>
      <c r="S4864" s="74"/>
      <c r="T4864" s="35"/>
      <c r="U4864" s="35"/>
      <c r="V4864" s="35"/>
      <c r="W4864" s="45"/>
    </row>
    <row r="4865">
      <c r="A4865" s="45"/>
      <c r="B4865" s="35"/>
      <c r="C4865" s="35"/>
      <c r="D4865" s="10"/>
      <c r="E4865" s="35"/>
      <c r="F4865" s="35"/>
      <c r="G4865" s="35"/>
      <c r="H4865" s="35"/>
      <c r="I4865" s="35"/>
      <c r="J4865" s="35"/>
      <c r="K4865" s="35"/>
      <c r="L4865" s="35"/>
      <c r="M4865" s="35"/>
      <c r="N4865" s="35"/>
      <c r="O4865" s="35"/>
      <c r="P4865" s="35"/>
      <c r="Q4865" s="35"/>
      <c r="R4865" s="35"/>
      <c r="S4865" s="74"/>
      <c r="T4865" s="35"/>
      <c r="U4865" s="35"/>
      <c r="V4865" s="35"/>
      <c r="W4865" s="45"/>
    </row>
    <row r="4866">
      <c r="A4866" s="45"/>
      <c r="B4866" s="35"/>
      <c r="C4866" s="35"/>
      <c r="D4866" s="10"/>
      <c r="E4866" s="35"/>
      <c r="F4866" s="35"/>
      <c r="G4866" s="35"/>
      <c r="H4866" s="35"/>
      <c r="I4866" s="35"/>
      <c r="J4866" s="35"/>
      <c r="K4866" s="35"/>
      <c r="L4866" s="35"/>
      <c r="M4866" s="35"/>
      <c r="N4866" s="35"/>
      <c r="O4866" s="35"/>
      <c r="P4866" s="35"/>
      <c r="Q4866" s="35"/>
      <c r="R4866" s="35"/>
      <c r="S4866" s="74"/>
      <c r="T4866" s="35"/>
      <c r="U4866" s="35"/>
      <c r="V4866" s="35"/>
      <c r="W4866" s="45"/>
    </row>
    <row r="4867">
      <c r="A4867" s="45"/>
      <c r="B4867" s="35"/>
      <c r="C4867" s="35"/>
      <c r="D4867" s="10"/>
      <c r="E4867" s="35"/>
      <c r="F4867" s="35"/>
      <c r="G4867" s="35"/>
      <c r="H4867" s="35"/>
      <c r="I4867" s="35"/>
      <c r="J4867" s="35"/>
      <c r="K4867" s="35"/>
      <c r="L4867" s="35"/>
      <c r="M4867" s="35"/>
      <c r="N4867" s="35"/>
      <c r="O4867" s="35"/>
      <c r="P4867" s="35"/>
      <c r="Q4867" s="35"/>
      <c r="R4867" s="35"/>
      <c r="S4867" s="74"/>
      <c r="T4867" s="35"/>
      <c r="U4867" s="35"/>
      <c r="V4867" s="35"/>
      <c r="W4867" s="45"/>
    </row>
    <row r="4868">
      <c r="A4868" s="45"/>
      <c r="B4868" s="35"/>
      <c r="C4868" s="35"/>
      <c r="D4868" s="10"/>
      <c r="E4868" s="35"/>
      <c r="F4868" s="35"/>
      <c r="G4868" s="35"/>
      <c r="H4868" s="35"/>
      <c r="I4868" s="35"/>
      <c r="J4868" s="35"/>
      <c r="K4868" s="35"/>
      <c r="L4868" s="35"/>
      <c r="M4868" s="35"/>
      <c r="N4868" s="35"/>
      <c r="O4868" s="35"/>
      <c r="P4868" s="35"/>
      <c r="Q4868" s="35"/>
      <c r="R4868" s="35"/>
      <c r="S4868" s="74"/>
      <c r="T4868" s="35"/>
      <c r="U4868" s="35"/>
      <c r="V4868" s="35"/>
      <c r="W4868" s="45"/>
    </row>
    <row r="4869">
      <c r="A4869" s="45"/>
      <c r="B4869" s="35"/>
      <c r="C4869" s="35"/>
      <c r="D4869" s="10"/>
      <c r="E4869" s="35"/>
      <c r="F4869" s="35"/>
      <c r="G4869" s="35"/>
      <c r="H4869" s="35"/>
      <c r="I4869" s="35"/>
      <c r="J4869" s="35"/>
      <c r="K4869" s="35"/>
      <c r="L4869" s="35"/>
      <c r="M4869" s="35"/>
      <c r="N4869" s="35"/>
      <c r="O4869" s="35"/>
      <c r="P4869" s="35"/>
      <c r="Q4869" s="35"/>
      <c r="R4869" s="35"/>
      <c r="S4869" s="74"/>
      <c r="T4869" s="35"/>
      <c r="U4869" s="35"/>
      <c r="V4869" s="35"/>
      <c r="W4869" s="45"/>
    </row>
    <row r="4870">
      <c r="A4870" s="45"/>
      <c r="B4870" s="35"/>
      <c r="C4870" s="35"/>
      <c r="D4870" s="10"/>
      <c r="E4870" s="35"/>
      <c r="F4870" s="35"/>
      <c r="G4870" s="35"/>
      <c r="H4870" s="35"/>
      <c r="I4870" s="35"/>
      <c r="J4870" s="35"/>
      <c r="K4870" s="35"/>
      <c r="L4870" s="35"/>
      <c r="M4870" s="35"/>
      <c r="N4870" s="35"/>
      <c r="O4870" s="35"/>
      <c r="P4870" s="35"/>
      <c r="Q4870" s="35"/>
      <c r="R4870" s="35"/>
      <c r="S4870" s="74"/>
      <c r="T4870" s="35"/>
      <c r="U4870" s="35"/>
      <c r="V4870" s="35"/>
      <c r="W4870" s="45"/>
    </row>
    <row r="4871">
      <c r="A4871" s="45"/>
      <c r="B4871" s="35"/>
      <c r="C4871" s="35"/>
      <c r="D4871" s="10"/>
      <c r="E4871" s="35"/>
      <c r="F4871" s="35"/>
      <c r="G4871" s="35"/>
      <c r="H4871" s="35"/>
      <c r="I4871" s="35"/>
      <c r="J4871" s="35"/>
      <c r="K4871" s="35"/>
      <c r="L4871" s="35"/>
      <c r="M4871" s="35"/>
      <c r="N4871" s="35"/>
      <c r="O4871" s="35"/>
      <c r="P4871" s="35"/>
      <c r="Q4871" s="35"/>
      <c r="R4871" s="35"/>
      <c r="S4871" s="74"/>
      <c r="T4871" s="35"/>
      <c r="U4871" s="35"/>
      <c r="V4871" s="35"/>
      <c r="W4871" s="45"/>
    </row>
    <row r="4872">
      <c r="A4872" s="45"/>
      <c r="B4872" s="35"/>
      <c r="C4872" s="35"/>
      <c r="D4872" s="10"/>
      <c r="E4872" s="35"/>
      <c r="F4872" s="35"/>
      <c r="G4872" s="35"/>
      <c r="H4872" s="35"/>
      <c r="I4872" s="35"/>
      <c r="J4872" s="35"/>
      <c r="K4872" s="35"/>
      <c r="L4872" s="35"/>
      <c r="M4872" s="35"/>
      <c r="N4872" s="35"/>
      <c r="O4872" s="35"/>
      <c r="P4872" s="35"/>
      <c r="Q4872" s="35"/>
      <c r="R4872" s="35"/>
      <c r="S4872" s="74"/>
      <c r="T4872" s="35"/>
      <c r="U4872" s="35"/>
      <c r="V4872" s="35"/>
      <c r="W4872" s="45"/>
    </row>
    <row r="4873">
      <c r="A4873" s="45"/>
      <c r="B4873" s="35"/>
      <c r="C4873" s="35"/>
      <c r="D4873" s="10"/>
      <c r="E4873" s="35"/>
      <c r="F4873" s="35"/>
      <c r="G4873" s="35"/>
      <c r="H4873" s="35"/>
      <c r="I4873" s="35"/>
      <c r="J4873" s="35"/>
      <c r="K4873" s="35"/>
      <c r="L4873" s="35"/>
      <c r="M4873" s="35"/>
      <c r="N4873" s="35"/>
      <c r="O4873" s="35"/>
      <c r="P4873" s="35"/>
      <c r="Q4873" s="35"/>
      <c r="R4873" s="35"/>
      <c r="S4873" s="74"/>
      <c r="T4873" s="35"/>
      <c r="U4873" s="35"/>
      <c r="V4873" s="35"/>
      <c r="W4873" s="45"/>
    </row>
    <row r="4874">
      <c r="A4874" s="45"/>
      <c r="B4874" s="35"/>
      <c r="C4874" s="35"/>
      <c r="D4874" s="10"/>
      <c r="E4874" s="35"/>
      <c r="F4874" s="35"/>
      <c r="G4874" s="35"/>
      <c r="H4874" s="35"/>
      <c r="I4874" s="35"/>
      <c r="J4874" s="35"/>
      <c r="K4874" s="35"/>
      <c r="L4874" s="35"/>
      <c r="M4874" s="35"/>
      <c r="N4874" s="35"/>
      <c r="O4874" s="35"/>
      <c r="P4874" s="35"/>
      <c r="Q4874" s="35"/>
      <c r="R4874" s="35"/>
      <c r="S4874" s="74"/>
      <c r="T4874" s="35"/>
      <c r="U4874" s="35"/>
      <c r="V4874" s="35"/>
      <c r="W4874" s="45"/>
    </row>
    <row r="4875">
      <c r="A4875" s="45"/>
      <c r="B4875" s="35"/>
      <c r="C4875" s="35"/>
      <c r="D4875" s="10"/>
      <c r="E4875" s="35"/>
      <c r="F4875" s="35"/>
      <c r="G4875" s="35"/>
      <c r="H4875" s="35"/>
      <c r="I4875" s="35"/>
      <c r="J4875" s="35"/>
      <c r="K4875" s="35"/>
      <c r="L4875" s="35"/>
      <c r="M4875" s="35"/>
      <c r="N4875" s="35"/>
      <c r="O4875" s="35"/>
      <c r="P4875" s="35"/>
      <c r="Q4875" s="35"/>
      <c r="R4875" s="35"/>
      <c r="S4875" s="74"/>
      <c r="T4875" s="35"/>
      <c r="U4875" s="35"/>
      <c r="V4875" s="35"/>
      <c r="W4875" s="45"/>
    </row>
    <row r="4876">
      <c r="A4876" s="45"/>
      <c r="B4876" s="35"/>
      <c r="C4876" s="35"/>
      <c r="D4876" s="10"/>
      <c r="E4876" s="35"/>
      <c r="F4876" s="35"/>
      <c r="G4876" s="35"/>
      <c r="H4876" s="35"/>
      <c r="I4876" s="35"/>
      <c r="J4876" s="35"/>
      <c r="K4876" s="35"/>
      <c r="L4876" s="35"/>
      <c r="M4876" s="35"/>
      <c r="N4876" s="35"/>
      <c r="O4876" s="35"/>
      <c r="P4876" s="35"/>
      <c r="Q4876" s="35"/>
      <c r="R4876" s="35"/>
      <c r="S4876" s="74"/>
      <c r="T4876" s="35"/>
      <c r="U4876" s="35"/>
      <c r="V4876" s="35"/>
      <c r="W4876" s="45"/>
    </row>
    <row r="4877">
      <c r="A4877" s="45"/>
      <c r="B4877" s="35"/>
      <c r="C4877" s="35"/>
      <c r="D4877" s="10"/>
      <c r="E4877" s="35"/>
      <c r="F4877" s="35"/>
      <c r="G4877" s="35"/>
      <c r="H4877" s="35"/>
      <c r="I4877" s="35"/>
      <c r="J4877" s="35"/>
      <c r="K4877" s="35"/>
      <c r="L4877" s="35"/>
      <c r="M4877" s="35"/>
      <c r="N4877" s="35"/>
      <c r="O4877" s="35"/>
      <c r="P4877" s="35"/>
      <c r="Q4877" s="35"/>
      <c r="R4877" s="35"/>
      <c r="S4877" s="74"/>
      <c r="T4877" s="35"/>
      <c r="U4877" s="35"/>
      <c r="V4877" s="35"/>
      <c r="W4877" s="45"/>
    </row>
    <row r="4878">
      <c r="A4878" s="45"/>
      <c r="B4878" s="35"/>
      <c r="C4878" s="35"/>
      <c r="D4878" s="10"/>
      <c r="E4878" s="35"/>
      <c r="F4878" s="35"/>
      <c r="G4878" s="35"/>
      <c r="H4878" s="35"/>
      <c r="I4878" s="35"/>
      <c r="J4878" s="35"/>
      <c r="K4878" s="35"/>
      <c r="L4878" s="35"/>
      <c r="M4878" s="35"/>
      <c r="N4878" s="35"/>
      <c r="O4878" s="35"/>
      <c r="P4878" s="35"/>
      <c r="Q4878" s="35"/>
      <c r="R4878" s="35"/>
      <c r="S4878" s="74"/>
      <c r="T4878" s="35"/>
      <c r="U4878" s="35"/>
      <c r="V4878" s="35"/>
      <c r="W4878" s="45"/>
    </row>
    <row r="4879">
      <c r="A4879" s="45"/>
      <c r="B4879" s="35"/>
      <c r="C4879" s="35"/>
      <c r="D4879" s="10"/>
      <c r="E4879" s="35"/>
      <c r="F4879" s="35"/>
      <c r="G4879" s="35"/>
      <c r="H4879" s="35"/>
      <c r="I4879" s="35"/>
      <c r="J4879" s="35"/>
      <c r="K4879" s="35"/>
      <c r="L4879" s="35"/>
      <c r="M4879" s="35"/>
      <c r="N4879" s="35"/>
      <c r="O4879" s="35"/>
      <c r="P4879" s="35"/>
      <c r="Q4879" s="35"/>
      <c r="R4879" s="35"/>
      <c r="S4879" s="74"/>
      <c r="T4879" s="35"/>
      <c r="U4879" s="35"/>
      <c r="V4879" s="35"/>
      <c r="W4879" s="45"/>
    </row>
    <row r="4880">
      <c r="A4880" s="45"/>
      <c r="B4880" s="35"/>
      <c r="C4880" s="35"/>
      <c r="D4880" s="10"/>
      <c r="E4880" s="35"/>
      <c r="F4880" s="35"/>
      <c r="G4880" s="35"/>
      <c r="H4880" s="35"/>
      <c r="I4880" s="35"/>
      <c r="J4880" s="35"/>
      <c r="K4880" s="35"/>
      <c r="L4880" s="35"/>
      <c r="M4880" s="35"/>
      <c r="N4880" s="35"/>
      <c r="O4880" s="35"/>
      <c r="P4880" s="35"/>
      <c r="Q4880" s="35"/>
      <c r="R4880" s="35"/>
      <c r="S4880" s="74"/>
      <c r="T4880" s="35"/>
      <c r="U4880" s="35"/>
      <c r="V4880" s="35"/>
      <c r="W4880" s="45"/>
    </row>
    <row r="4881">
      <c r="A4881" s="45"/>
      <c r="B4881" s="35"/>
      <c r="C4881" s="35"/>
      <c r="D4881" s="10"/>
      <c r="E4881" s="35"/>
      <c r="F4881" s="35"/>
      <c r="G4881" s="35"/>
      <c r="H4881" s="35"/>
      <c r="I4881" s="35"/>
      <c r="J4881" s="35"/>
      <c r="K4881" s="35"/>
      <c r="L4881" s="35"/>
      <c r="M4881" s="35"/>
      <c r="N4881" s="35"/>
      <c r="O4881" s="35"/>
      <c r="P4881" s="35"/>
      <c r="Q4881" s="35"/>
      <c r="R4881" s="35"/>
      <c r="S4881" s="74"/>
      <c r="T4881" s="35"/>
      <c r="U4881" s="35"/>
      <c r="V4881" s="35"/>
      <c r="W4881" s="45"/>
    </row>
    <row r="4882">
      <c r="A4882" s="45"/>
      <c r="B4882" s="35"/>
      <c r="C4882" s="35"/>
      <c r="D4882" s="10"/>
      <c r="E4882" s="35"/>
      <c r="F4882" s="35"/>
      <c r="G4882" s="35"/>
      <c r="H4882" s="35"/>
      <c r="I4882" s="35"/>
      <c r="J4882" s="35"/>
      <c r="K4882" s="35"/>
      <c r="L4882" s="35"/>
      <c r="M4882" s="35"/>
      <c r="N4882" s="35"/>
      <c r="O4882" s="35"/>
      <c r="P4882" s="35"/>
      <c r="Q4882" s="35"/>
      <c r="R4882" s="35"/>
      <c r="S4882" s="74"/>
      <c r="T4882" s="35"/>
      <c r="U4882" s="35"/>
      <c r="V4882" s="35"/>
      <c r="W4882" s="45"/>
    </row>
    <row r="4883">
      <c r="A4883" s="45"/>
      <c r="B4883" s="35"/>
      <c r="C4883" s="35"/>
      <c r="D4883" s="10"/>
      <c r="E4883" s="35"/>
      <c r="F4883" s="35"/>
      <c r="G4883" s="35"/>
      <c r="H4883" s="35"/>
      <c r="I4883" s="35"/>
      <c r="J4883" s="35"/>
      <c r="K4883" s="35"/>
      <c r="L4883" s="35"/>
      <c r="M4883" s="35"/>
      <c r="N4883" s="35"/>
      <c r="O4883" s="35"/>
      <c r="P4883" s="35"/>
      <c r="Q4883" s="35"/>
      <c r="R4883" s="35"/>
      <c r="S4883" s="74"/>
      <c r="T4883" s="35"/>
      <c r="U4883" s="35"/>
      <c r="V4883" s="35"/>
      <c r="W4883" s="45"/>
    </row>
    <row r="4884">
      <c r="A4884" s="45"/>
      <c r="B4884" s="35"/>
      <c r="C4884" s="35"/>
      <c r="D4884" s="10"/>
      <c r="E4884" s="35"/>
      <c r="F4884" s="35"/>
      <c r="G4884" s="35"/>
      <c r="H4884" s="35"/>
      <c r="I4884" s="35"/>
      <c r="J4884" s="35"/>
      <c r="K4884" s="35"/>
      <c r="L4884" s="35"/>
      <c r="M4884" s="35"/>
      <c r="N4884" s="35"/>
      <c r="O4884" s="35"/>
      <c r="P4884" s="35"/>
      <c r="Q4884" s="35"/>
      <c r="R4884" s="35"/>
      <c r="S4884" s="74"/>
      <c r="T4884" s="35"/>
      <c r="U4884" s="35"/>
      <c r="V4884" s="35"/>
      <c r="W4884" s="45"/>
    </row>
    <row r="4885">
      <c r="A4885" s="45"/>
      <c r="B4885" s="35"/>
      <c r="C4885" s="35"/>
      <c r="D4885" s="10"/>
      <c r="E4885" s="35"/>
      <c r="F4885" s="35"/>
      <c r="G4885" s="35"/>
      <c r="H4885" s="35"/>
      <c r="I4885" s="35"/>
      <c r="J4885" s="35"/>
      <c r="K4885" s="35"/>
      <c r="L4885" s="35"/>
      <c r="M4885" s="35"/>
      <c r="N4885" s="35"/>
      <c r="O4885" s="35"/>
      <c r="P4885" s="35"/>
      <c r="Q4885" s="35"/>
      <c r="R4885" s="35"/>
      <c r="S4885" s="74"/>
      <c r="T4885" s="35"/>
      <c r="U4885" s="35"/>
      <c r="V4885" s="35"/>
      <c r="W4885" s="45"/>
    </row>
    <row r="4886">
      <c r="A4886" s="45"/>
      <c r="B4886" s="35"/>
      <c r="C4886" s="35"/>
      <c r="D4886" s="10"/>
      <c r="E4886" s="35"/>
      <c r="F4886" s="35"/>
      <c r="G4886" s="35"/>
      <c r="H4886" s="35"/>
      <c r="I4886" s="35"/>
      <c r="J4886" s="35"/>
      <c r="K4886" s="35"/>
      <c r="L4886" s="35"/>
      <c r="M4886" s="35"/>
      <c r="N4886" s="35"/>
      <c r="O4886" s="35"/>
      <c r="P4886" s="35"/>
      <c r="Q4886" s="35"/>
      <c r="R4886" s="35"/>
      <c r="S4886" s="74"/>
      <c r="T4886" s="35"/>
      <c r="U4886" s="35"/>
      <c r="V4886" s="35"/>
      <c r="W4886" s="45"/>
    </row>
    <row r="4887">
      <c r="A4887" s="45"/>
      <c r="B4887" s="35"/>
      <c r="C4887" s="35"/>
      <c r="D4887" s="10"/>
      <c r="E4887" s="35"/>
      <c r="F4887" s="35"/>
      <c r="G4887" s="35"/>
      <c r="H4887" s="35"/>
      <c r="I4887" s="35"/>
      <c r="J4887" s="35"/>
      <c r="K4887" s="35"/>
      <c r="L4887" s="35"/>
      <c r="M4887" s="35"/>
      <c r="N4887" s="35"/>
      <c r="O4887" s="35"/>
      <c r="P4887" s="35"/>
      <c r="Q4887" s="35"/>
      <c r="R4887" s="35"/>
      <c r="S4887" s="74"/>
      <c r="T4887" s="35"/>
      <c r="U4887" s="35"/>
      <c r="V4887" s="35"/>
      <c r="W4887" s="45"/>
    </row>
    <row r="4888">
      <c r="A4888" s="45"/>
      <c r="B4888" s="35"/>
      <c r="C4888" s="35"/>
      <c r="D4888" s="10"/>
      <c r="E4888" s="35"/>
      <c r="F4888" s="35"/>
      <c r="G4888" s="35"/>
      <c r="H4888" s="35"/>
      <c r="I4888" s="35"/>
      <c r="J4888" s="35"/>
      <c r="K4888" s="35"/>
      <c r="L4888" s="35"/>
      <c r="M4888" s="35"/>
      <c r="N4888" s="35"/>
      <c r="O4888" s="35"/>
      <c r="P4888" s="35"/>
      <c r="Q4888" s="35"/>
      <c r="R4888" s="35"/>
      <c r="S4888" s="74"/>
      <c r="T4888" s="35"/>
      <c r="U4888" s="35"/>
      <c r="V4888" s="35"/>
      <c r="W4888" s="45"/>
    </row>
    <row r="4889">
      <c r="A4889" s="45"/>
      <c r="B4889" s="35"/>
      <c r="C4889" s="35"/>
      <c r="D4889" s="10"/>
      <c r="E4889" s="35"/>
      <c r="F4889" s="35"/>
      <c r="G4889" s="35"/>
      <c r="H4889" s="35"/>
      <c r="I4889" s="35"/>
      <c r="J4889" s="35"/>
      <c r="K4889" s="35"/>
      <c r="L4889" s="35"/>
      <c r="M4889" s="35"/>
      <c r="N4889" s="35"/>
      <c r="O4889" s="35"/>
      <c r="P4889" s="35"/>
      <c r="Q4889" s="35"/>
      <c r="R4889" s="35"/>
      <c r="S4889" s="74"/>
      <c r="T4889" s="35"/>
      <c r="U4889" s="35"/>
      <c r="V4889" s="35"/>
      <c r="W4889" s="45"/>
    </row>
    <row r="4890">
      <c r="A4890" s="45"/>
      <c r="B4890" s="35"/>
      <c r="C4890" s="35"/>
      <c r="D4890" s="10"/>
      <c r="E4890" s="35"/>
      <c r="F4890" s="35"/>
      <c r="G4890" s="35"/>
      <c r="H4890" s="35"/>
      <c r="I4890" s="35"/>
      <c r="J4890" s="35"/>
      <c r="K4890" s="35"/>
      <c r="L4890" s="35"/>
      <c r="M4890" s="35"/>
      <c r="N4890" s="35"/>
      <c r="O4890" s="35"/>
      <c r="P4890" s="35"/>
      <c r="Q4890" s="35"/>
      <c r="R4890" s="35"/>
      <c r="S4890" s="74"/>
      <c r="T4890" s="35"/>
      <c r="U4890" s="35"/>
      <c r="V4890" s="35"/>
      <c r="W4890" s="45"/>
    </row>
    <row r="4891">
      <c r="A4891" s="45"/>
      <c r="B4891" s="35"/>
      <c r="C4891" s="35"/>
      <c r="D4891" s="10"/>
      <c r="E4891" s="35"/>
      <c r="F4891" s="35"/>
      <c r="G4891" s="35"/>
      <c r="H4891" s="35"/>
      <c r="I4891" s="35"/>
      <c r="J4891" s="35"/>
      <c r="K4891" s="35"/>
      <c r="L4891" s="35"/>
      <c r="M4891" s="35"/>
      <c r="N4891" s="35"/>
      <c r="O4891" s="35"/>
      <c r="P4891" s="35"/>
      <c r="Q4891" s="35"/>
      <c r="R4891" s="35"/>
      <c r="S4891" s="74"/>
      <c r="T4891" s="35"/>
      <c r="U4891" s="35"/>
      <c r="V4891" s="35"/>
      <c r="W4891" s="45"/>
    </row>
    <row r="4892">
      <c r="A4892" s="45"/>
      <c r="B4892" s="35"/>
      <c r="C4892" s="35"/>
      <c r="D4892" s="10"/>
      <c r="E4892" s="35"/>
      <c r="F4892" s="35"/>
      <c r="G4892" s="35"/>
      <c r="H4892" s="35"/>
      <c r="I4892" s="35"/>
      <c r="J4892" s="35"/>
      <c r="K4892" s="35"/>
      <c r="L4892" s="35"/>
      <c r="M4892" s="35"/>
      <c r="N4892" s="35"/>
      <c r="O4892" s="35"/>
      <c r="P4892" s="35"/>
      <c r="Q4892" s="35"/>
      <c r="R4892" s="35"/>
      <c r="S4892" s="74"/>
      <c r="T4892" s="35"/>
      <c r="U4892" s="35"/>
      <c r="V4892" s="35"/>
      <c r="W4892" s="45"/>
    </row>
    <row r="4893">
      <c r="A4893" s="45"/>
      <c r="B4893" s="35"/>
      <c r="C4893" s="35"/>
      <c r="D4893" s="10"/>
      <c r="E4893" s="35"/>
      <c r="F4893" s="35"/>
      <c r="G4893" s="35"/>
      <c r="H4893" s="35"/>
      <c r="I4893" s="35"/>
      <c r="J4893" s="35"/>
      <c r="K4893" s="35"/>
      <c r="L4893" s="35"/>
      <c r="M4893" s="35"/>
      <c r="N4893" s="35"/>
      <c r="O4893" s="35"/>
      <c r="P4893" s="35"/>
      <c r="Q4893" s="35"/>
      <c r="R4893" s="35"/>
      <c r="S4893" s="74"/>
      <c r="T4893" s="35"/>
      <c r="U4893" s="35"/>
      <c r="V4893" s="35"/>
      <c r="W4893" s="45"/>
    </row>
    <row r="4894">
      <c r="A4894" s="45"/>
      <c r="B4894" s="35"/>
      <c r="C4894" s="35"/>
      <c r="D4894" s="10"/>
      <c r="E4894" s="35"/>
      <c r="F4894" s="35"/>
      <c r="G4894" s="35"/>
      <c r="H4894" s="35"/>
      <c r="I4894" s="35"/>
      <c r="J4894" s="35"/>
      <c r="K4894" s="35"/>
      <c r="L4894" s="35"/>
      <c r="M4894" s="35"/>
      <c r="N4894" s="35"/>
      <c r="O4894" s="35"/>
      <c r="P4894" s="35"/>
      <c r="Q4894" s="35"/>
      <c r="R4894" s="35"/>
      <c r="S4894" s="74"/>
      <c r="T4894" s="35"/>
      <c r="U4894" s="35"/>
      <c r="V4894" s="35"/>
      <c r="W4894" s="45"/>
    </row>
    <row r="4895">
      <c r="A4895" s="45"/>
      <c r="B4895" s="35"/>
      <c r="C4895" s="35"/>
      <c r="D4895" s="10"/>
      <c r="E4895" s="35"/>
      <c r="F4895" s="35"/>
      <c r="G4895" s="35"/>
      <c r="H4895" s="35"/>
      <c r="I4895" s="35"/>
      <c r="J4895" s="35"/>
      <c r="K4895" s="35"/>
      <c r="L4895" s="35"/>
      <c r="M4895" s="35"/>
      <c r="N4895" s="35"/>
      <c r="O4895" s="35"/>
      <c r="P4895" s="35"/>
      <c r="Q4895" s="35"/>
      <c r="R4895" s="35"/>
      <c r="S4895" s="74"/>
      <c r="T4895" s="35"/>
      <c r="U4895" s="35"/>
      <c r="V4895" s="35"/>
      <c r="W4895" s="45"/>
    </row>
    <row r="4896">
      <c r="A4896" s="45"/>
      <c r="B4896" s="35"/>
      <c r="C4896" s="35"/>
      <c r="D4896" s="10"/>
      <c r="E4896" s="35"/>
      <c r="F4896" s="35"/>
      <c r="G4896" s="35"/>
      <c r="H4896" s="35"/>
      <c r="I4896" s="35"/>
      <c r="J4896" s="35"/>
      <c r="K4896" s="35"/>
      <c r="L4896" s="35"/>
      <c r="M4896" s="35"/>
      <c r="N4896" s="35"/>
      <c r="O4896" s="35"/>
      <c r="P4896" s="35"/>
      <c r="Q4896" s="35"/>
      <c r="R4896" s="35"/>
      <c r="S4896" s="74"/>
      <c r="T4896" s="35"/>
      <c r="U4896" s="35"/>
      <c r="V4896" s="35"/>
      <c r="W4896" s="45"/>
    </row>
    <row r="4897">
      <c r="A4897" s="45"/>
      <c r="B4897" s="35"/>
      <c r="C4897" s="35"/>
      <c r="D4897" s="10"/>
      <c r="E4897" s="35"/>
      <c r="F4897" s="35"/>
      <c r="G4897" s="35"/>
      <c r="H4897" s="35"/>
      <c r="I4897" s="35"/>
      <c r="J4897" s="35"/>
      <c r="K4897" s="35"/>
      <c r="L4897" s="35"/>
      <c r="M4897" s="35"/>
      <c r="N4897" s="35"/>
      <c r="O4897" s="35"/>
      <c r="P4897" s="35"/>
      <c r="Q4897" s="35"/>
      <c r="R4897" s="35"/>
      <c r="S4897" s="74"/>
      <c r="T4897" s="35"/>
      <c r="U4897" s="35"/>
      <c r="V4897" s="35"/>
      <c r="W4897" s="45"/>
    </row>
    <row r="4898">
      <c r="A4898" s="45"/>
      <c r="B4898" s="35"/>
      <c r="C4898" s="35"/>
      <c r="D4898" s="10"/>
      <c r="E4898" s="35"/>
      <c r="F4898" s="35"/>
      <c r="G4898" s="35"/>
      <c r="H4898" s="35"/>
      <c r="I4898" s="35"/>
      <c r="J4898" s="35"/>
      <c r="K4898" s="35"/>
      <c r="L4898" s="35"/>
      <c r="M4898" s="35"/>
      <c r="N4898" s="35"/>
      <c r="O4898" s="35"/>
      <c r="P4898" s="35"/>
      <c r="Q4898" s="35"/>
      <c r="R4898" s="35"/>
      <c r="S4898" s="74"/>
      <c r="T4898" s="35"/>
      <c r="U4898" s="35"/>
      <c r="V4898" s="35"/>
      <c r="W4898" s="45"/>
    </row>
    <row r="4899">
      <c r="A4899" s="45"/>
      <c r="B4899" s="35"/>
      <c r="C4899" s="35"/>
      <c r="D4899" s="10"/>
      <c r="E4899" s="35"/>
      <c r="F4899" s="35"/>
      <c r="G4899" s="35"/>
      <c r="H4899" s="35"/>
      <c r="I4899" s="35"/>
      <c r="J4899" s="35"/>
      <c r="K4899" s="35"/>
      <c r="L4899" s="35"/>
      <c r="M4899" s="35"/>
      <c r="N4899" s="35"/>
      <c r="O4899" s="35"/>
      <c r="P4899" s="35"/>
      <c r="Q4899" s="35"/>
      <c r="R4899" s="35"/>
      <c r="S4899" s="74"/>
      <c r="T4899" s="35"/>
      <c r="U4899" s="35"/>
      <c r="V4899" s="35"/>
      <c r="W4899" s="45"/>
    </row>
    <row r="4900">
      <c r="A4900" s="45"/>
      <c r="B4900" s="35"/>
      <c r="C4900" s="35"/>
      <c r="D4900" s="10"/>
      <c r="E4900" s="35"/>
      <c r="F4900" s="35"/>
      <c r="G4900" s="35"/>
      <c r="H4900" s="35"/>
      <c r="I4900" s="35"/>
      <c r="J4900" s="35"/>
      <c r="K4900" s="35"/>
      <c r="L4900" s="35"/>
      <c r="M4900" s="35"/>
      <c r="N4900" s="35"/>
      <c r="O4900" s="35"/>
      <c r="P4900" s="35"/>
      <c r="Q4900" s="35"/>
      <c r="R4900" s="35"/>
      <c r="S4900" s="74"/>
      <c r="T4900" s="35"/>
      <c r="U4900" s="35"/>
      <c r="V4900" s="35"/>
      <c r="W4900" s="45"/>
    </row>
    <row r="4901">
      <c r="A4901" s="45"/>
      <c r="B4901" s="35"/>
      <c r="C4901" s="35"/>
      <c r="D4901" s="10"/>
      <c r="E4901" s="35"/>
      <c r="F4901" s="35"/>
      <c r="G4901" s="35"/>
      <c r="H4901" s="35"/>
      <c r="I4901" s="35"/>
      <c r="J4901" s="35"/>
      <c r="K4901" s="35"/>
      <c r="L4901" s="35"/>
      <c r="M4901" s="35"/>
      <c r="N4901" s="35"/>
      <c r="O4901" s="35"/>
      <c r="P4901" s="35"/>
      <c r="Q4901" s="35"/>
      <c r="R4901" s="35"/>
      <c r="S4901" s="74"/>
      <c r="T4901" s="35"/>
      <c r="U4901" s="35"/>
      <c r="V4901" s="35"/>
      <c r="W4901" s="45"/>
    </row>
    <row r="4902">
      <c r="A4902" s="45"/>
      <c r="B4902" s="35"/>
      <c r="C4902" s="35"/>
      <c r="D4902" s="10"/>
      <c r="E4902" s="35"/>
      <c r="F4902" s="35"/>
      <c r="G4902" s="35"/>
      <c r="H4902" s="35"/>
      <c r="I4902" s="35"/>
      <c r="J4902" s="35"/>
      <c r="K4902" s="35"/>
      <c r="L4902" s="35"/>
      <c r="M4902" s="35"/>
      <c r="N4902" s="35"/>
      <c r="O4902" s="35"/>
      <c r="P4902" s="35"/>
      <c r="Q4902" s="35"/>
      <c r="R4902" s="35"/>
      <c r="S4902" s="74"/>
      <c r="T4902" s="35"/>
      <c r="U4902" s="35"/>
      <c r="V4902" s="35"/>
      <c r="W4902" s="45"/>
    </row>
    <row r="4903">
      <c r="A4903" s="45"/>
      <c r="B4903" s="35"/>
      <c r="C4903" s="35"/>
      <c r="D4903" s="10"/>
      <c r="E4903" s="35"/>
      <c r="F4903" s="35"/>
      <c r="G4903" s="35"/>
      <c r="H4903" s="35"/>
      <c r="I4903" s="35"/>
      <c r="J4903" s="35"/>
      <c r="K4903" s="35"/>
      <c r="L4903" s="35"/>
      <c r="M4903" s="35"/>
      <c r="N4903" s="35"/>
      <c r="O4903" s="35"/>
      <c r="P4903" s="35"/>
      <c r="Q4903" s="35"/>
      <c r="R4903" s="35"/>
      <c r="S4903" s="74"/>
      <c r="T4903" s="35"/>
      <c r="U4903" s="35"/>
      <c r="V4903" s="35"/>
      <c r="W4903" s="45"/>
    </row>
    <row r="4904">
      <c r="A4904" s="45"/>
      <c r="B4904" s="35"/>
      <c r="C4904" s="35"/>
      <c r="D4904" s="10"/>
      <c r="E4904" s="35"/>
      <c r="F4904" s="35"/>
      <c r="G4904" s="35"/>
      <c r="H4904" s="35"/>
      <c r="I4904" s="35"/>
      <c r="J4904" s="35"/>
      <c r="K4904" s="35"/>
      <c r="L4904" s="35"/>
      <c r="M4904" s="35"/>
      <c r="N4904" s="35"/>
      <c r="O4904" s="35"/>
      <c r="P4904" s="35"/>
      <c r="Q4904" s="35"/>
      <c r="R4904" s="35"/>
      <c r="S4904" s="74"/>
      <c r="T4904" s="35"/>
      <c r="U4904" s="35"/>
      <c r="V4904" s="35"/>
      <c r="W4904" s="45"/>
    </row>
    <row r="4905">
      <c r="A4905" s="45"/>
      <c r="B4905" s="35"/>
      <c r="C4905" s="35"/>
      <c r="D4905" s="10"/>
      <c r="E4905" s="35"/>
      <c r="F4905" s="35"/>
      <c r="G4905" s="35"/>
      <c r="H4905" s="35"/>
      <c r="I4905" s="35"/>
      <c r="J4905" s="35"/>
      <c r="K4905" s="35"/>
      <c r="L4905" s="35"/>
      <c r="M4905" s="35"/>
      <c r="N4905" s="35"/>
      <c r="O4905" s="35"/>
      <c r="P4905" s="35"/>
      <c r="Q4905" s="35"/>
      <c r="R4905" s="35"/>
      <c r="S4905" s="74"/>
      <c r="T4905" s="35"/>
      <c r="U4905" s="35"/>
      <c r="V4905" s="35"/>
      <c r="W4905" s="45"/>
    </row>
    <row r="4906">
      <c r="A4906" s="45"/>
      <c r="B4906" s="35"/>
      <c r="C4906" s="35"/>
      <c r="D4906" s="10"/>
      <c r="E4906" s="35"/>
      <c r="F4906" s="35"/>
      <c r="G4906" s="35"/>
      <c r="H4906" s="35"/>
      <c r="I4906" s="35"/>
      <c r="J4906" s="35"/>
      <c r="K4906" s="35"/>
      <c r="L4906" s="35"/>
      <c r="M4906" s="35"/>
      <c r="N4906" s="35"/>
      <c r="O4906" s="35"/>
      <c r="P4906" s="35"/>
      <c r="Q4906" s="35"/>
      <c r="R4906" s="35"/>
      <c r="S4906" s="74"/>
      <c r="T4906" s="35"/>
      <c r="U4906" s="35"/>
      <c r="V4906" s="35"/>
      <c r="W4906" s="45"/>
    </row>
    <row r="4907">
      <c r="A4907" s="45"/>
      <c r="B4907" s="35"/>
      <c r="C4907" s="35"/>
      <c r="D4907" s="10"/>
      <c r="E4907" s="35"/>
      <c r="F4907" s="35"/>
      <c r="G4907" s="35"/>
      <c r="H4907" s="35"/>
      <c r="I4907" s="35"/>
      <c r="J4907" s="35"/>
      <c r="K4907" s="35"/>
      <c r="L4907" s="35"/>
      <c r="M4907" s="35"/>
      <c r="N4907" s="35"/>
      <c r="O4907" s="35"/>
      <c r="P4907" s="35"/>
      <c r="Q4907" s="35"/>
      <c r="R4907" s="35"/>
      <c r="S4907" s="74"/>
      <c r="T4907" s="35"/>
      <c r="U4907" s="35"/>
      <c r="V4907" s="35"/>
      <c r="W4907" s="45"/>
    </row>
    <row r="4908">
      <c r="A4908" s="45"/>
      <c r="B4908" s="35"/>
      <c r="C4908" s="35"/>
      <c r="D4908" s="10"/>
      <c r="E4908" s="35"/>
      <c r="F4908" s="35"/>
      <c r="G4908" s="35"/>
      <c r="H4908" s="35"/>
      <c r="I4908" s="35"/>
      <c r="J4908" s="35"/>
      <c r="K4908" s="35"/>
      <c r="L4908" s="35"/>
      <c r="M4908" s="35"/>
      <c r="N4908" s="35"/>
      <c r="O4908" s="35"/>
      <c r="P4908" s="35"/>
      <c r="Q4908" s="35"/>
      <c r="R4908" s="35"/>
      <c r="S4908" s="74"/>
      <c r="T4908" s="35"/>
      <c r="U4908" s="35"/>
      <c r="V4908" s="35"/>
      <c r="W4908" s="45"/>
    </row>
    <row r="4909">
      <c r="A4909" s="45"/>
      <c r="B4909" s="35"/>
      <c r="C4909" s="35"/>
      <c r="D4909" s="10"/>
      <c r="E4909" s="35"/>
      <c r="F4909" s="35"/>
      <c r="G4909" s="35"/>
      <c r="H4909" s="35"/>
      <c r="I4909" s="35"/>
      <c r="J4909" s="35"/>
      <c r="K4909" s="35"/>
      <c r="L4909" s="35"/>
      <c r="M4909" s="35"/>
      <c r="N4909" s="35"/>
      <c r="O4909" s="35"/>
      <c r="P4909" s="35"/>
      <c r="Q4909" s="35"/>
      <c r="R4909" s="35"/>
      <c r="S4909" s="74"/>
      <c r="T4909" s="35"/>
      <c r="U4909" s="35"/>
      <c r="V4909" s="35"/>
      <c r="W4909" s="45"/>
    </row>
    <row r="4910">
      <c r="A4910" s="45"/>
      <c r="B4910" s="35"/>
      <c r="C4910" s="35"/>
      <c r="D4910" s="10"/>
      <c r="E4910" s="35"/>
      <c r="F4910" s="35"/>
      <c r="G4910" s="35"/>
      <c r="H4910" s="35"/>
      <c r="I4910" s="35"/>
      <c r="J4910" s="35"/>
      <c r="K4910" s="35"/>
      <c r="L4910" s="35"/>
      <c r="M4910" s="35"/>
      <c r="N4910" s="35"/>
      <c r="O4910" s="35"/>
      <c r="P4910" s="35"/>
      <c r="Q4910" s="35"/>
      <c r="R4910" s="35"/>
      <c r="S4910" s="74"/>
      <c r="T4910" s="35"/>
      <c r="U4910" s="35"/>
      <c r="V4910" s="35"/>
      <c r="W4910" s="45"/>
    </row>
    <row r="4911">
      <c r="A4911" s="45"/>
      <c r="B4911" s="35"/>
      <c r="C4911" s="35"/>
      <c r="D4911" s="10"/>
      <c r="E4911" s="35"/>
      <c r="F4911" s="35"/>
      <c r="G4911" s="35"/>
      <c r="H4911" s="35"/>
      <c r="I4911" s="35"/>
      <c r="J4911" s="35"/>
      <c r="K4911" s="35"/>
      <c r="L4911" s="35"/>
      <c r="M4911" s="35"/>
      <c r="N4911" s="35"/>
      <c r="O4911" s="35"/>
      <c r="P4911" s="35"/>
      <c r="Q4911" s="35"/>
      <c r="R4911" s="35"/>
      <c r="S4911" s="74"/>
      <c r="T4911" s="35"/>
      <c r="U4911" s="35"/>
      <c r="V4911" s="35"/>
      <c r="W4911" s="45"/>
    </row>
    <row r="4912">
      <c r="A4912" s="45"/>
      <c r="B4912" s="35"/>
      <c r="C4912" s="35"/>
      <c r="D4912" s="10"/>
      <c r="E4912" s="35"/>
      <c r="F4912" s="35"/>
      <c r="G4912" s="35"/>
      <c r="H4912" s="35"/>
      <c r="I4912" s="35"/>
      <c r="J4912" s="35"/>
      <c r="K4912" s="35"/>
      <c r="L4912" s="35"/>
      <c r="M4912" s="35"/>
      <c r="N4912" s="35"/>
      <c r="O4912" s="35"/>
      <c r="P4912" s="35"/>
      <c r="Q4912" s="35"/>
      <c r="R4912" s="35"/>
      <c r="S4912" s="74"/>
      <c r="T4912" s="35"/>
      <c r="U4912" s="35"/>
      <c r="V4912" s="35"/>
      <c r="W4912" s="45"/>
    </row>
    <row r="4913">
      <c r="A4913" s="45"/>
      <c r="B4913" s="35"/>
      <c r="C4913" s="35"/>
      <c r="D4913" s="10"/>
      <c r="E4913" s="35"/>
      <c r="F4913" s="35"/>
      <c r="G4913" s="35"/>
      <c r="H4913" s="35"/>
      <c r="I4913" s="35"/>
      <c r="J4913" s="35"/>
      <c r="K4913" s="35"/>
      <c r="L4913" s="35"/>
      <c r="M4913" s="35"/>
      <c r="N4913" s="35"/>
      <c r="O4913" s="35"/>
      <c r="P4913" s="35"/>
      <c r="Q4913" s="35"/>
      <c r="R4913" s="35"/>
      <c r="S4913" s="74"/>
      <c r="T4913" s="35"/>
      <c r="U4913" s="35"/>
      <c r="V4913" s="35"/>
      <c r="W4913" s="45"/>
    </row>
    <row r="4914">
      <c r="A4914" s="45"/>
      <c r="B4914" s="35"/>
      <c r="C4914" s="35"/>
      <c r="D4914" s="10"/>
      <c r="E4914" s="35"/>
      <c r="F4914" s="35"/>
      <c r="G4914" s="35"/>
      <c r="H4914" s="35"/>
      <c r="I4914" s="35"/>
      <c r="J4914" s="35"/>
      <c r="K4914" s="35"/>
      <c r="L4914" s="35"/>
      <c r="M4914" s="35"/>
      <c r="N4914" s="35"/>
      <c r="O4914" s="35"/>
      <c r="P4914" s="35"/>
      <c r="Q4914" s="35"/>
      <c r="R4914" s="35"/>
      <c r="S4914" s="74"/>
      <c r="T4914" s="35"/>
      <c r="U4914" s="35"/>
      <c r="V4914" s="35"/>
      <c r="W4914" s="45"/>
    </row>
    <row r="4915">
      <c r="A4915" s="45"/>
      <c r="B4915" s="35"/>
      <c r="C4915" s="35"/>
      <c r="D4915" s="10"/>
      <c r="E4915" s="35"/>
      <c r="F4915" s="35"/>
      <c r="G4915" s="35"/>
      <c r="H4915" s="35"/>
      <c r="I4915" s="35"/>
      <c r="J4915" s="35"/>
      <c r="K4915" s="35"/>
      <c r="L4915" s="35"/>
      <c r="M4915" s="35"/>
      <c r="N4915" s="35"/>
      <c r="O4915" s="35"/>
      <c r="P4915" s="35"/>
      <c r="Q4915" s="35"/>
      <c r="R4915" s="35"/>
      <c r="S4915" s="74"/>
      <c r="T4915" s="35"/>
      <c r="U4915" s="35"/>
      <c r="V4915" s="35"/>
      <c r="W4915" s="45"/>
    </row>
    <row r="4916">
      <c r="A4916" s="45"/>
      <c r="B4916" s="35"/>
      <c r="C4916" s="35"/>
      <c r="D4916" s="10"/>
      <c r="E4916" s="35"/>
      <c r="F4916" s="35"/>
      <c r="G4916" s="35"/>
      <c r="H4916" s="35"/>
      <c r="I4916" s="35"/>
      <c r="J4916" s="35"/>
      <c r="K4916" s="35"/>
      <c r="L4916" s="35"/>
      <c r="M4916" s="35"/>
      <c r="N4916" s="35"/>
      <c r="O4916" s="35"/>
      <c r="P4916" s="35"/>
      <c r="Q4916" s="35"/>
      <c r="R4916" s="35"/>
      <c r="S4916" s="74"/>
      <c r="T4916" s="35"/>
      <c r="U4916" s="35"/>
      <c r="V4916" s="35"/>
      <c r="W4916" s="45"/>
    </row>
    <row r="4917">
      <c r="A4917" s="45"/>
      <c r="B4917" s="35"/>
      <c r="C4917" s="35"/>
      <c r="D4917" s="10"/>
      <c r="E4917" s="35"/>
      <c r="F4917" s="35"/>
      <c r="G4917" s="35"/>
      <c r="H4917" s="35"/>
      <c r="I4917" s="35"/>
      <c r="J4917" s="35"/>
      <c r="K4917" s="35"/>
      <c r="L4917" s="35"/>
      <c r="M4917" s="35"/>
      <c r="N4917" s="35"/>
      <c r="O4917" s="35"/>
      <c r="P4917" s="35"/>
      <c r="Q4917" s="35"/>
      <c r="R4917" s="35"/>
      <c r="S4917" s="74"/>
      <c r="T4917" s="35"/>
      <c r="U4917" s="35"/>
      <c r="V4917" s="35"/>
      <c r="W4917" s="45"/>
    </row>
    <row r="4918">
      <c r="A4918" s="45"/>
      <c r="B4918" s="35"/>
      <c r="C4918" s="35"/>
      <c r="D4918" s="10"/>
      <c r="E4918" s="35"/>
      <c r="F4918" s="35"/>
      <c r="G4918" s="35"/>
      <c r="H4918" s="35"/>
      <c r="I4918" s="35"/>
      <c r="J4918" s="35"/>
      <c r="K4918" s="35"/>
      <c r="L4918" s="35"/>
      <c r="M4918" s="35"/>
      <c r="N4918" s="35"/>
      <c r="O4918" s="35"/>
      <c r="P4918" s="35"/>
      <c r="Q4918" s="35"/>
      <c r="R4918" s="35"/>
      <c r="S4918" s="74"/>
      <c r="T4918" s="35"/>
      <c r="U4918" s="35"/>
      <c r="V4918" s="35"/>
      <c r="W4918" s="45"/>
    </row>
    <row r="4919">
      <c r="A4919" s="45"/>
      <c r="B4919" s="35"/>
      <c r="C4919" s="35"/>
      <c r="D4919" s="10"/>
      <c r="E4919" s="35"/>
      <c r="F4919" s="35"/>
      <c r="G4919" s="35"/>
      <c r="H4919" s="35"/>
      <c r="I4919" s="35"/>
      <c r="J4919" s="35"/>
      <c r="K4919" s="35"/>
      <c r="L4919" s="35"/>
      <c r="M4919" s="35"/>
      <c r="N4919" s="35"/>
      <c r="O4919" s="35"/>
      <c r="P4919" s="35"/>
      <c r="Q4919" s="35"/>
      <c r="R4919" s="35"/>
      <c r="S4919" s="74"/>
      <c r="T4919" s="35"/>
      <c r="U4919" s="35"/>
      <c r="V4919" s="35"/>
      <c r="W4919" s="45"/>
    </row>
    <row r="4920">
      <c r="A4920" s="45"/>
      <c r="B4920" s="35"/>
      <c r="C4920" s="35"/>
      <c r="D4920" s="10"/>
      <c r="E4920" s="35"/>
      <c r="F4920" s="35"/>
      <c r="G4920" s="35"/>
      <c r="H4920" s="35"/>
      <c r="I4920" s="35"/>
      <c r="J4920" s="35"/>
      <c r="K4920" s="35"/>
      <c r="L4920" s="35"/>
      <c r="M4920" s="35"/>
      <c r="N4920" s="35"/>
      <c r="O4920" s="35"/>
      <c r="P4920" s="35"/>
      <c r="Q4920" s="35"/>
      <c r="R4920" s="35"/>
      <c r="S4920" s="74"/>
      <c r="T4920" s="35"/>
      <c r="U4920" s="35"/>
      <c r="V4920" s="35"/>
      <c r="W4920" s="45"/>
    </row>
    <row r="4921">
      <c r="A4921" s="45"/>
      <c r="B4921" s="35"/>
      <c r="C4921" s="35"/>
      <c r="D4921" s="10"/>
      <c r="E4921" s="35"/>
      <c r="F4921" s="35"/>
      <c r="G4921" s="35"/>
      <c r="H4921" s="35"/>
      <c r="I4921" s="35"/>
      <c r="J4921" s="35"/>
      <c r="K4921" s="35"/>
      <c r="L4921" s="35"/>
      <c r="M4921" s="35"/>
      <c r="N4921" s="35"/>
      <c r="O4921" s="35"/>
      <c r="P4921" s="35"/>
      <c r="Q4921" s="35"/>
      <c r="R4921" s="35"/>
      <c r="S4921" s="74"/>
      <c r="T4921" s="35"/>
      <c r="U4921" s="35"/>
      <c r="V4921" s="35"/>
      <c r="W4921" s="45"/>
    </row>
    <row r="4922">
      <c r="A4922" s="45"/>
      <c r="B4922" s="35"/>
      <c r="C4922" s="35"/>
      <c r="D4922" s="10"/>
      <c r="E4922" s="35"/>
      <c r="F4922" s="35"/>
      <c r="G4922" s="35"/>
      <c r="H4922" s="35"/>
      <c r="I4922" s="35"/>
      <c r="J4922" s="35"/>
      <c r="K4922" s="35"/>
      <c r="L4922" s="35"/>
      <c r="M4922" s="35"/>
      <c r="N4922" s="35"/>
      <c r="O4922" s="35"/>
      <c r="P4922" s="35"/>
      <c r="Q4922" s="35"/>
      <c r="R4922" s="35"/>
      <c r="S4922" s="74"/>
      <c r="T4922" s="35"/>
      <c r="U4922" s="35"/>
      <c r="V4922" s="35"/>
      <c r="W4922" s="45"/>
    </row>
    <row r="4923">
      <c r="A4923" s="45"/>
      <c r="B4923" s="35"/>
      <c r="C4923" s="35"/>
      <c r="D4923" s="10"/>
      <c r="E4923" s="35"/>
      <c r="F4923" s="35"/>
      <c r="G4923" s="35"/>
      <c r="H4923" s="35"/>
      <c r="I4923" s="35"/>
      <c r="J4923" s="35"/>
      <c r="K4923" s="35"/>
      <c r="L4923" s="35"/>
      <c r="M4923" s="35"/>
      <c r="N4923" s="35"/>
      <c r="O4923" s="35"/>
      <c r="P4923" s="35"/>
      <c r="Q4923" s="35"/>
      <c r="R4923" s="35"/>
      <c r="S4923" s="74"/>
      <c r="T4923" s="35"/>
      <c r="U4923" s="35"/>
      <c r="V4923" s="35"/>
      <c r="W4923" s="45"/>
    </row>
    <row r="4924">
      <c r="A4924" s="45"/>
      <c r="B4924" s="35"/>
      <c r="C4924" s="35"/>
      <c r="D4924" s="10"/>
      <c r="E4924" s="35"/>
      <c r="F4924" s="35"/>
      <c r="G4924" s="35"/>
      <c r="H4924" s="35"/>
      <c r="I4924" s="35"/>
      <c r="J4924" s="35"/>
      <c r="K4924" s="35"/>
      <c r="L4924" s="35"/>
      <c r="M4924" s="35"/>
      <c r="N4924" s="35"/>
      <c r="O4924" s="35"/>
      <c r="P4924" s="35"/>
      <c r="Q4924" s="35"/>
      <c r="R4924" s="35"/>
      <c r="S4924" s="74"/>
      <c r="T4924" s="35"/>
      <c r="U4924" s="35"/>
      <c r="V4924" s="35"/>
      <c r="W4924" s="45"/>
    </row>
    <row r="4925">
      <c r="A4925" s="45"/>
      <c r="B4925" s="35"/>
      <c r="C4925" s="35"/>
      <c r="D4925" s="10"/>
      <c r="E4925" s="35"/>
      <c r="F4925" s="35"/>
      <c r="G4925" s="35"/>
      <c r="H4925" s="35"/>
      <c r="I4925" s="35"/>
      <c r="J4925" s="35"/>
      <c r="K4925" s="35"/>
      <c r="L4925" s="35"/>
      <c r="M4925" s="35"/>
      <c r="N4925" s="35"/>
      <c r="O4925" s="35"/>
      <c r="P4925" s="35"/>
      <c r="Q4925" s="35"/>
      <c r="R4925" s="35"/>
      <c r="S4925" s="74"/>
      <c r="T4925" s="35"/>
      <c r="U4925" s="35"/>
      <c r="V4925" s="35"/>
      <c r="W4925" s="45"/>
    </row>
    <row r="4926">
      <c r="A4926" s="45"/>
      <c r="B4926" s="35"/>
      <c r="C4926" s="35"/>
      <c r="D4926" s="10"/>
      <c r="E4926" s="35"/>
      <c r="F4926" s="35"/>
      <c r="G4926" s="35"/>
      <c r="H4926" s="35"/>
      <c r="I4926" s="35"/>
      <c r="J4926" s="35"/>
      <c r="K4926" s="35"/>
      <c r="L4926" s="35"/>
      <c r="M4926" s="35"/>
      <c r="N4926" s="35"/>
      <c r="O4926" s="35"/>
      <c r="P4926" s="35"/>
      <c r="Q4926" s="35"/>
      <c r="R4926" s="35"/>
      <c r="S4926" s="74"/>
      <c r="T4926" s="35"/>
      <c r="U4926" s="35"/>
      <c r="V4926" s="35"/>
      <c r="W4926" s="45"/>
    </row>
    <row r="4927">
      <c r="A4927" s="45"/>
      <c r="B4927" s="35"/>
      <c r="C4927" s="35"/>
      <c r="D4927" s="10"/>
      <c r="E4927" s="35"/>
      <c r="F4927" s="35"/>
      <c r="G4927" s="35"/>
      <c r="H4927" s="35"/>
      <c r="I4927" s="35"/>
      <c r="J4927" s="35"/>
      <c r="K4927" s="35"/>
      <c r="L4927" s="35"/>
      <c r="M4927" s="35"/>
      <c r="N4927" s="35"/>
      <c r="O4927" s="35"/>
      <c r="P4927" s="35"/>
      <c r="Q4927" s="35"/>
      <c r="R4927" s="35"/>
      <c r="S4927" s="74"/>
      <c r="T4927" s="35"/>
      <c r="U4927" s="35"/>
      <c r="V4927" s="35"/>
      <c r="W4927" s="45"/>
    </row>
    <row r="4928">
      <c r="A4928" s="45"/>
      <c r="B4928" s="35"/>
      <c r="C4928" s="35"/>
      <c r="D4928" s="10"/>
      <c r="E4928" s="35"/>
      <c r="F4928" s="35"/>
      <c r="G4928" s="35"/>
      <c r="H4928" s="35"/>
      <c r="I4928" s="35"/>
      <c r="J4928" s="35"/>
      <c r="K4928" s="35"/>
      <c r="L4928" s="35"/>
      <c r="M4928" s="35"/>
      <c r="N4928" s="35"/>
      <c r="O4928" s="35"/>
      <c r="P4928" s="35"/>
      <c r="Q4928" s="35"/>
      <c r="R4928" s="35"/>
      <c r="S4928" s="74"/>
      <c r="T4928" s="35"/>
      <c r="U4928" s="35"/>
      <c r="V4928" s="35"/>
      <c r="W4928" s="45"/>
    </row>
    <row r="4929">
      <c r="A4929" s="45"/>
      <c r="B4929" s="35"/>
      <c r="C4929" s="35"/>
      <c r="D4929" s="10"/>
      <c r="E4929" s="35"/>
      <c r="F4929" s="35"/>
      <c r="G4929" s="35"/>
      <c r="H4929" s="35"/>
      <c r="I4929" s="35"/>
      <c r="J4929" s="35"/>
      <c r="K4929" s="35"/>
      <c r="L4929" s="35"/>
      <c r="M4929" s="35"/>
      <c r="N4929" s="35"/>
      <c r="O4929" s="35"/>
      <c r="P4929" s="35"/>
      <c r="Q4929" s="35"/>
      <c r="R4929" s="35"/>
      <c r="S4929" s="74"/>
      <c r="T4929" s="35"/>
      <c r="U4929" s="35"/>
      <c r="V4929" s="35"/>
      <c r="W4929" s="45"/>
    </row>
    <row r="4930">
      <c r="A4930" s="45"/>
      <c r="B4930" s="35"/>
      <c r="C4930" s="35"/>
      <c r="D4930" s="10"/>
      <c r="E4930" s="35"/>
      <c r="F4930" s="35"/>
      <c r="G4930" s="35"/>
      <c r="H4930" s="35"/>
      <c r="I4930" s="35"/>
      <c r="J4930" s="35"/>
      <c r="K4930" s="35"/>
      <c r="L4930" s="35"/>
      <c r="M4930" s="35"/>
      <c r="N4930" s="35"/>
      <c r="O4930" s="35"/>
      <c r="P4930" s="35"/>
      <c r="Q4930" s="35"/>
      <c r="R4930" s="35"/>
      <c r="S4930" s="74"/>
      <c r="T4930" s="35"/>
      <c r="U4930" s="35"/>
      <c r="V4930" s="35"/>
      <c r="W4930" s="45"/>
    </row>
    <row r="4931">
      <c r="A4931" s="45"/>
      <c r="B4931" s="35"/>
      <c r="C4931" s="35"/>
      <c r="D4931" s="10"/>
      <c r="E4931" s="35"/>
      <c r="F4931" s="35"/>
      <c r="G4931" s="35"/>
      <c r="H4931" s="35"/>
      <c r="I4931" s="35"/>
      <c r="J4931" s="35"/>
      <c r="K4931" s="35"/>
      <c r="L4931" s="35"/>
      <c r="M4931" s="35"/>
      <c r="N4931" s="35"/>
      <c r="O4931" s="35"/>
      <c r="P4931" s="35"/>
      <c r="Q4931" s="35"/>
      <c r="R4931" s="35"/>
      <c r="S4931" s="74"/>
      <c r="T4931" s="35"/>
      <c r="U4931" s="35"/>
      <c r="V4931" s="35"/>
      <c r="W4931" s="45"/>
    </row>
    <row r="4932">
      <c r="A4932" s="45"/>
      <c r="B4932" s="35"/>
      <c r="C4932" s="35"/>
      <c r="D4932" s="10"/>
      <c r="E4932" s="35"/>
      <c r="F4932" s="35"/>
      <c r="G4932" s="35"/>
      <c r="H4932" s="35"/>
      <c r="I4932" s="35"/>
      <c r="J4932" s="35"/>
      <c r="K4932" s="35"/>
      <c r="L4932" s="35"/>
      <c r="M4932" s="35"/>
      <c r="N4932" s="35"/>
      <c r="O4932" s="35"/>
      <c r="P4932" s="35"/>
      <c r="Q4932" s="35"/>
      <c r="R4932" s="35"/>
      <c r="S4932" s="74"/>
      <c r="T4932" s="35"/>
      <c r="U4932" s="35"/>
      <c r="V4932" s="35"/>
      <c r="W4932" s="45"/>
    </row>
    <row r="4933">
      <c r="A4933" s="45"/>
      <c r="B4933" s="35"/>
      <c r="C4933" s="35"/>
      <c r="D4933" s="10"/>
      <c r="E4933" s="35"/>
      <c r="F4933" s="35"/>
      <c r="G4933" s="35"/>
      <c r="H4933" s="35"/>
      <c r="I4933" s="35"/>
      <c r="J4933" s="35"/>
      <c r="K4933" s="35"/>
      <c r="L4933" s="35"/>
      <c r="M4933" s="35"/>
      <c r="N4933" s="35"/>
      <c r="O4933" s="35"/>
      <c r="P4933" s="35"/>
      <c r="Q4933" s="35"/>
      <c r="R4933" s="35"/>
      <c r="S4933" s="74"/>
      <c r="T4933" s="35"/>
      <c r="U4933" s="35"/>
      <c r="V4933" s="35"/>
      <c r="W4933" s="45"/>
    </row>
    <row r="4934">
      <c r="A4934" s="45"/>
      <c r="B4934" s="35"/>
      <c r="C4934" s="35"/>
      <c r="D4934" s="10"/>
      <c r="E4934" s="35"/>
      <c r="F4934" s="35"/>
      <c r="G4934" s="35"/>
      <c r="H4934" s="35"/>
      <c r="I4934" s="35"/>
      <c r="J4934" s="35"/>
      <c r="K4934" s="35"/>
      <c r="L4934" s="35"/>
      <c r="M4934" s="35"/>
      <c r="N4934" s="35"/>
      <c r="O4934" s="35"/>
      <c r="P4934" s="35"/>
      <c r="Q4934" s="35"/>
      <c r="R4934" s="35"/>
      <c r="S4934" s="74"/>
      <c r="T4934" s="35"/>
      <c r="U4934" s="35"/>
      <c r="V4934" s="35"/>
      <c r="W4934" s="45"/>
    </row>
    <row r="4935">
      <c r="A4935" s="45"/>
      <c r="B4935" s="35"/>
      <c r="C4935" s="35"/>
      <c r="D4935" s="10"/>
      <c r="E4935" s="35"/>
      <c r="F4935" s="35"/>
      <c r="G4935" s="35"/>
      <c r="H4935" s="35"/>
      <c r="I4935" s="35"/>
      <c r="J4935" s="35"/>
      <c r="K4935" s="35"/>
      <c r="L4935" s="35"/>
      <c r="M4935" s="35"/>
      <c r="N4935" s="35"/>
      <c r="O4935" s="35"/>
      <c r="P4935" s="35"/>
      <c r="Q4935" s="35"/>
      <c r="R4935" s="35"/>
      <c r="S4935" s="74"/>
      <c r="T4935" s="35"/>
      <c r="U4935" s="35"/>
      <c r="V4935" s="35"/>
      <c r="W4935" s="45"/>
    </row>
    <row r="4936">
      <c r="A4936" s="45"/>
      <c r="B4936" s="35"/>
      <c r="C4936" s="35"/>
      <c r="D4936" s="10"/>
      <c r="E4936" s="35"/>
      <c r="F4936" s="35"/>
      <c r="G4936" s="35"/>
      <c r="H4936" s="35"/>
      <c r="I4936" s="35"/>
      <c r="J4936" s="35"/>
      <c r="K4936" s="35"/>
      <c r="L4936" s="35"/>
      <c r="M4936" s="35"/>
      <c r="N4936" s="35"/>
      <c r="O4936" s="35"/>
      <c r="P4936" s="35"/>
      <c r="Q4936" s="35"/>
      <c r="R4936" s="35"/>
      <c r="S4936" s="74"/>
      <c r="T4936" s="35"/>
      <c r="U4936" s="35"/>
      <c r="V4936" s="35"/>
      <c r="W4936" s="45"/>
    </row>
    <row r="4937">
      <c r="A4937" s="45"/>
      <c r="B4937" s="35"/>
      <c r="C4937" s="35"/>
      <c r="D4937" s="10"/>
      <c r="E4937" s="35"/>
      <c r="F4937" s="35"/>
      <c r="G4937" s="35"/>
      <c r="H4937" s="35"/>
      <c r="I4937" s="35"/>
      <c r="J4937" s="35"/>
      <c r="K4937" s="35"/>
      <c r="L4937" s="35"/>
      <c r="M4937" s="35"/>
      <c r="N4937" s="35"/>
      <c r="O4937" s="35"/>
      <c r="P4937" s="35"/>
      <c r="Q4937" s="35"/>
      <c r="R4937" s="35"/>
      <c r="S4937" s="74"/>
      <c r="T4937" s="35"/>
      <c r="U4937" s="35"/>
      <c r="V4937" s="35"/>
      <c r="W4937" s="45"/>
    </row>
    <row r="4938">
      <c r="A4938" s="45"/>
      <c r="B4938" s="35"/>
      <c r="C4938" s="35"/>
      <c r="D4938" s="10"/>
      <c r="E4938" s="35"/>
      <c r="F4938" s="35"/>
      <c r="G4938" s="35"/>
      <c r="H4938" s="35"/>
      <c r="I4938" s="35"/>
      <c r="J4938" s="35"/>
      <c r="K4938" s="35"/>
      <c r="L4938" s="35"/>
      <c r="M4938" s="35"/>
      <c r="N4938" s="35"/>
      <c r="O4938" s="35"/>
      <c r="P4938" s="35"/>
      <c r="Q4938" s="35"/>
      <c r="R4938" s="35"/>
      <c r="S4938" s="74"/>
      <c r="T4938" s="35"/>
      <c r="U4938" s="35"/>
      <c r="V4938" s="35"/>
      <c r="W4938" s="45"/>
    </row>
    <row r="4939">
      <c r="A4939" s="45"/>
      <c r="B4939" s="35"/>
      <c r="C4939" s="35"/>
      <c r="D4939" s="10"/>
      <c r="E4939" s="35"/>
      <c r="F4939" s="35"/>
      <c r="G4939" s="35"/>
      <c r="H4939" s="35"/>
      <c r="I4939" s="35"/>
      <c r="J4939" s="35"/>
      <c r="K4939" s="35"/>
      <c r="L4939" s="35"/>
      <c r="M4939" s="35"/>
      <c r="N4939" s="35"/>
      <c r="O4939" s="35"/>
      <c r="P4939" s="35"/>
      <c r="Q4939" s="35"/>
      <c r="R4939" s="35"/>
      <c r="S4939" s="74"/>
      <c r="T4939" s="35"/>
      <c r="U4939" s="35"/>
      <c r="V4939" s="35"/>
      <c r="W4939" s="45"/>
    </row>
    <row r="4940">
      <c r="A4940" s="45"/>
      <c r="B4940" s="35"/>
      <c r="C4940" s="35"/>
      <c r="D4940" s="10"/>
      <c r="E4940" s="35"/>
      <c r="F4940" s="35"/>
      <c r="G4940" s="35"/>
      <c r="H4940" s="35"/>
      <c r="I4940" s="35"/>
      <c r="J4940" s="35"/>
      <c r="K4940" s="35"/>
      <c r="L4940" s="35"/>
      <c r="M4940" s="35"/>
      <c r="N4940" s="35"/>
      <c r="O4940" s="35"/>
      <c r="P4940" s="35"/>
      <c r="Q4940" s="35"/>
      <c r="R4940" s="35"/>
      <c r="S4940" s="74"/>
      <c r="T4940" s="35"/>
      <c r="U4940" s="35"/>
      <c r="V4940" s="35"/>
      <c r="W4940" s="45"/>
    </row>
    <row r="4941">
      <c r="A4941" s="45"/>
      <c r="B4941" s="35"/>
      <c r="C4941" s="35"/>
      <c r="D4941" s="10"/>
      <c r="E4941" s="35"/>
      <c r="F4941" s="35"/>
      <c r="G4941" s="35"/>
      <c r="H4941" s="35"/>
      <c r="I4941" s="35"/>
      <c r="J4941" s="35"/>
      <c r="K4941" s="35"/>
      <c r="L4941" s="35"/>
      <c r="M4941" s="35"/>
      <c r="N4941" s="35"/>
      <c r="O4941" s="35"/>
      <c r="P4941" s="35"/>
      <c r="Q4941" s="35"/>
      <c r="R4941" s="35"/>
      <c r="S4941" s="74"/>
      <c r="T4941" s="35"/>
      <c r="U4941" s="35"/>
      <c r="V4941" s="35"/>
      <c r="W4941" s="45"/>
    </row>
    <row r="4942">
      <c r="A4942" s="45"/>
      <c r="B4942" s="35"/>
      <c r="C4942" s="35"/>
      <c r="D4942" s="10"/>
      <c r="E4942" s="35"/>
      <c r="F4942" s="35"/>
      <c r="G4942" s="35"/>
      <c r="H4942" s="35"/>
      <c r="I4942" s="35"/>
      <c r="J4942" s="35"/>
      <c r="K4942" s="35"/>
      <c r="L4942" s="35"/>
      <c r="M4942" s="35"/>
      <c r="N4942" s="35"/>
      <c r="O4942" s="35"/>
      <c r="P4942" s="35"/>
      <c r="Q4942" s="35"/>
      <c r="R4942" s="35"/>
      <c r="S4942" s="74"/>
      <c r="T4942" s="35"/>
      <c r="U4942" s="35"/>
      <c r="V4942" s="35"/>
      <c r="W4942" s="45"/>
    </row>
    <row r="4943">
      <c r="A4943" s="45"/>
      <c r="B4943" s="35"/>
      <c r="C4943" s="35"/>
      <c r="D4943" s="10"/>
      <c r="E4943" s="35"/>
      <c r="F4943" s="35"/>
      <c r="G4943" s="35"/>
      <c r="H4943" s="35"/>
      <c r="I4943" s="35"/>
      <c r="J4943" s="35"/>
      <c r="K4943" s="35"/>
      <c r="L4943" s="35"/>
      <c r="M4943" s="35"/>
      <c r="N4943" s="35"/>
      <c r="O4943" s="35"/>
      <c r="P4943" s="35"/>
      <c r="Q4943" s="35"/>
      <c r="R4943" s="35"/>
      <c r="S4943" s="74"/>
      <c r="T4943" s="35"/>
      <c r="U4943" s="35"/>
      <c r="V4943" s="35"/>
      <c r="W4943" s="45"/>
    </row>
    <row r="4944">
      <c r="A4944" s="45"/>
      <c r="B4944" s="35"/>
      <c r="C4944" s="35"/>
      <c r="D4944" s="10"/>
      <c r="E4944" s="35"/>
      <c r="F4944" s="35"/>
      <c r="G4944" s="35"/>
      <c r="H4944" s="35"/>
      <c r="I4944" s="35"/>
      <c r="J4944" s="35"/>
      <c r="K4944" s="35"/>
      <c r="L4944" s="35"/>
      <c r="M4944" s="35"/>
      <c r="N4944" s="35"/>
      <c r="O4944" s="35"/>
      <c r="P4944" s="35"/>
      <c r="Q4944" s="35"/>
      <c r="R4944" s="35"/>
      <c r="S4944" s="74"/>
      <c r="T4944" s="35"/>
      <c r="U4944" s="35"/>
      <c r="V4944" s="35"/>
      <c r="W4944" s="45"/>
    </row>
    <row r="4945">
      <c r="A4945" s="45"/>
      <c r="B4945" s="35"/>
      <c r="C4945" s="35"/>
      <c r="D4945" s="10"/>
      <c r="E4945" s="35"/>
      <c r="F4945" s="35"/>
      <c r="G4945" s="35"/>
      <c r="H4945" s="35"/>
      <c r="I4945" s="35"/>
      <c r="J4945" s="35"/>
      <c r="K4945" s="35"/>
      <c r="L4945" s="35"/>
      <c r="M4945" s="35"/>
      <c r="N4945" s="35"/>
      <c r="O4945" s="35"/>
      <c r="P4945" s="35"/>
      <c r="Q4945" s="35"/>
      <c r="R4945" s="35"/>
      <c r="S4945" s="74"/>
      <c r="T4945" s="35"/>
      <c r="U4945" s="35"/>
      <c r="V4945" s="35"/>
      <c r="W4945" s="45"/>
    </row>
    <row r="4946">
      <c r="A4946" s="45"/>
      <c r="B4946" s="35"/>
      <c r="C4946" s="35"/>
      <c r="D4946" s="10"/>
      <c r="E4946" s="35"/>
      <c r="F4946" s="35"/>
      <c r="G4946" s="35"/>
      <c r="H4946" s="35"/>
      <c r="I4946" s="35"/>
      <c r="J4946" s="35"/>
      <c r="K4946" s="35"/>
      <c r="L4946" s="35"/>
      <c r="M4946" s="35"/>
      <c r="N4946" s="35"/>
      <c r="O4946" s="35"/>
      <c r="P4946" s="35"/>
      <c r="Q4946" s="35"/>
      <c r="R4946" s="35"/>
      <c r="S4946" s="74"/>
      <c r="T4946" s="35"/>
      <c r="U4946" s="35"/>
      <c r="V4946" s="35"/>
      <c r="W4946" s="45"/>
    </row>
    <row r="4947">
      <c r="A4947" s="45"/>
      <c r="B4947" s="35"/>
      <c r="C4947" s="35"/>
      <c r="D4947" s="10"/>
      <c r="E4947" s="35"/>
      <c r="F4947" s="35"/>
      <c r="G4947" s="35"/>
      <c r="H4947" s="35"/>
      <c r="I4947" s="35"/>
      <c r="J4947" s="35"/>
      <c r="K4947" s="35"/>
      <c r="L4947" s="35"/>
      <c r="M4947" s="35"/>
      <c r="N4947" s="35"/>
      <c r="O4947" s="35"/>
      <c r="P4947" s="35"/>
      <c r="Q4947" s="35"/>
      <c r="R4947" s="35"/>
      <c r="S4947" s="74"/>
      <c r="T4947" s="35"/>
      <c r="U4947" s="35"/>
      <c r="V4947" s="35"/>
      <c r="W4947" s="45"/>
    </row>
    <row r="4948">
      <c r="A4948" s="45"/>
      <c r="B4948" s="35"/>
      <c r="C4948" s="35"/>
      <c r="D4948" s="10"/>
      <c r="E4948" s="35"/>
      <c r="F4948" s="35"/>
      <c r="G4948" s="35"/>
      <c r="H4948" s="35"/>
      <c r="I4948" s="35"/>
      <c r="J4948" s="35"/>
      <c r="K4948" s="35"/>
      <c r="L4948" s="35"/>
      <c r="M4948" s="35"/>
      <c r="N4948" s="35"/>
      <c r="O4948" s="35"/>
      <c r="P4948" s="35"/>
      <c r="Q4948" s="35"/>
      <c r="R4948" s="35"/>
      <c r="S4948" s="74"/>
      <c r="T4948" s="35"/>
      <c r="U4948" s="35"/>
      <c r="V4948" s="35"/>
      <c r="W4948" s="45"/>
    </row>
    <row r="4949">
      <c r="A4949" s="45"/>
      <c r="B4949" s="35"/>
      <c r="C4949" s="35"/>
      <c r="D4949" s="10"/>
      <c r="E4949" s="35"/>
      <c r="F4949" s="35"/>
      <c r="G4949" s="35"/>
      <c r="H4949" s="35"/>
      <c r="I4949" s="35"/>
      <c r="J4949" s="35"/>
      <c r="K4949" s="35"/>
      <c r="L4949" s="35"/>
      <c r="M4949" s="35"/>
      <c r="N4949" s="35"/>
      <c r="O4949" s="35"/>
      <c r="P4949" s="35"/>
      <c r="Q4949" s="35"/>
      <c r="R4949" s="35"/>
      <c r="S4949" s="74"/>
      <c r="T4949" s="35"/>
      <c r="U4949" s="35"/>
      <c r="V4949" s="35"/>
      <c r="W4949" s="45"/>
    </row>
    <row r="4950">
      <c r="A4950" s="45"/>
      <c r="B4950" s="35"/>
      <c r="C4950" s="35"/>
      <c r="D4950" s="10"/>
      <c r="E4950" s="35"/>
      <c r="F4950" s="35"/>
      <c r="G4950" s="35"/>
      <c r="H4950" s="35"/>
      <c r="I4950" s="35"/>
      <c r="J4950" s="35"/>
      <c r="K4950" s="35"/>
      <c r="L4950" s="35"/>
      <c r="M4950" s="35"/>
      <c r="N4950" s="35"/>
      <c r="O4950" s="35"/>
      <c r="P4950" s="35"/>
      <c r="Q4950" s="35"/>
      <c r="R4950" s="35"/>
      <c r="S4950" s="74"/>
      <c r="T4950" s="35"/>
      <c r="U4950" s="35"/>
      <c r="V4950" s="35"/>
      <c r="W4950" s="45"/>
    </row>
    <row r="4951">
      <c r="A4951" s="45"/>
      <c r="B4951" s="35"/>
      <c r="C4951" s="35"/>
      <c r="D4951" s="10"/>
      <c r="E4951" s="35"/>
      <c r="F4951" s="35"/>
      <c r="G4951" s="35"/>
      <c r="H4951" s="35"/>
      <c r="I4951" s="35"/>
      <c r="J4951" s="35"/>
      <c r="K4951" s="35"/>
      <c r="L4951" s="35"/>
      <c r="M4951" s="35"/>
      <c r="N4951" s="35"/>
      <c r="O4951" s="35"/>
      <c r="P4951" s="35"/>
      <c r="Q4951" s="35"/>
      <c r="R4951" s="35"/>
      <c r="S4951" s="74"/>
      <c r="T4951" s="35"/>
      <c r="U4951" s="35"/>
      <c r="V4951" s="35"/>
      <c r="W4951" s="45"/>
    </row>
    <row r="4952">
      <c r="A4952" s="45"/>
      <c r="B4952" s="35"/>
      <c r="C4952" s="35"/>
      <c r="D4952" s="10"/>
      <c r="E4952" s="35"/>
      <c r="F4952" s="35"/>
      <c r="G4952" s="35"/>
      <c r="H4952" s="35"/>
      <c r="I4952" s="35"/>
      <c r="J4952" s="35"/>
      <c r="K4952" s="35"/>
      <c r="L4952" s="35"/>
      <c r="M4952" s="35"/>
      <c r="N4952" s="35"/>
      <c r="O4952" s="35"/>
      <c r="P4952" s="35"/>
      <c r="Q4952" s="35"/>
      <c r="R4952" s="35"/>
      <c r="S4952" s="74"/>
      <c r="T4952" s="35"/>
      <c r="U4952" s="35"/>
      <c r="V4952" s="35"/>
      <c r="W4952" s="45"/>
    </row>
    <row r="4953">
      <c r="A4953" s="45"/>
      <c r="B4953" s="35"/>
      <c r="C4953" s="35"/>
      <c r="D4953" s="10"/>
      <c r="E4953" s="35"/>
      <c r="F4953" s="35"/>
      <c r="G4953" s="35"/>
      <c r="H4953" s="35"/>
      <c r="I4953" s="35"/>
      <c r="J4953" s="35"/>
      <c r="K4953" s="35"/>
      <c r="L4953" s="35"/>
      <c r="M4953" s="35"/>
      <c r="N4953" s="35"/>
      <c r="O4953" s="35"/>
      <c r="P4953" s="35"/>
      <c r="Q4953" s="35"/>
      <c r="R4953" s="35"/>
      <c r="S4953" s="74"/>
      <c r="T4953" s="35"/>
      <c r="U4953" s="35"/>
      <c r="V4953" s="35"/>
      <c r="W4953" s="45"/>
    </row>
    <row r="4954">
      <c r="A4954" s="45"/>
      <c r="B4954" s="35"/>
      <c r="C4954" s="35"/>
      <c r="D4954" s="10"/>
      <c r="E4954" s="35"/>
      <c r="F4954" s="35"/>
      <c r="G4954" s="35"/>
      <c r="H4954" s="35"/>
      <c r="I4954" s="35"/>
      <c r="J4954" s="35"/>
      <c r="K4954" s="35"/>
      <c r="L4954" s="35"/>
      <c r="M4954" s="35"/>
      <c r="N4954" s="35"/>
      <c r="O4954" s="35"/>
      <c r="P4954" s="35"/>
      <c r="Q4954" s="35"/>
      <c r="R4954" s="35"/>
      <c r="S4954" s="74"/>
      <c r="T4954" s="35"/>
      <c r="U4954" s="35"/>
      <c r="V4954" s="35"/>
      <c r="W4954" s="45"/>
    </row>
    <row r="4955">
      <c r="A4955" s="45"/>
      <c r="B4955" s="35"/>
      <c r="C4955" s="35"/>
      <c r="D4955" s="10"/>
      <c r="E4955" s="35"/>
      <c r="F4955" s="35"/>
      <c r="G4955" s="35"/>
      <c r="H4955" s="35"/>
      <c r="I4955" s="35"/>
      <c r="J4955" s="35"/>
      <c r="K4955" s="35"/>
      <c r="L4955" s="35"/>
      <c r="M4955" s="35"/>
      <c r="N4955" s="35"/>
      <c r="O4955" s="35"/>
      <c r="P4955" s="35"/>
      <c r="Q4955" s="35"/>
      <c r="R4955" s="35"/>
      <c r="S4955" s="74"/>
      <c r="T4955" s="35"/>
      <c r="U4955" s="35"/>
      <c r="V4955" s="35"/>
      <c r="W4955" s="45"/>
    </row>
    <row r="4956">
      <c r="A4956" s="45"/>
      <c r="B4956" s="35"/>
      <c r="C4956" s="35"/>
      <c r="D4956" s="10"/>
      <c r="E4956" s="35"/>
      <c r="F4956" s="35"/>
      <c r="G4956" s="35"/>
      <c r="H4956" s="35"/>
      <c r="I4956" s="35"/>
      <c r="J4956" s="35"/>
      <c r="K4956" s="35"/>
      <c r="L4956" s="35"/>
      <c r="M4956" s="35"/>
      <c r="N4956" s="35"/>
      <c r="O4956" s="35"/>
      <c r="P4956" s="35"/>
      <c r="Q4956" s="35"/>
      <c r="R4956" s="35"/>
      <c r="S4956" s="74"/>
      <c r="T4956" s="35"/>
      <c r="U4956" s="35"/>
      <c r="V4956" s="35"/>
      <c r="W4956" s="45"/>
    </row>
    <row r="4957">
      <c r="A4957" s="45"/>
      <c r="B4957" s="35"/>
      <c r="C4957" s="35"/>
      <c r="D4957" s="10"/>
      <c r="E4957" s="35"/>
      <c r="F4957" s="35"/>
      <c r="G4957" s="35"/>
      <c r="H4957" s="35"/>
      <c r="I4957" s="35"/>
      <c r="J4957" s="35"/>
      <c r="K4957" s="35"/>
      <c r="L4957" s="35"/>
      <c r="M4957" s="35"/>
      <c r="N4957" s="35"/>
      <c r="O4957" s="35"/>
      <c r="P4957" s="35"/>
      <c r="Q4957" s="35"/>
      <c r="R4957" s="35"/>
      <c r="S4957" s="74"/>
      <c r="T4957" s="35"/>
      <c r="U4957" s="35"/>
      <c r="V4957" s="35"/>
      <c r="W4957" s="45"/>
    </row>
    <row r="4958">
      <c r="A4958" s="45"/>
      <c r="B4958" s="35"/>
      <c r="C4958" s="35"/>
      <c r="D4958" s="10"/>
      <c r="E4958" s="35"/>
      <c r="F4958" s="35"/>
      <c r="G4958" s="35"/>
      <c r="H4958" s="35"/>
      <c r="I4958" s="35"/>
      <c r="J4958" s="35"/>
      <c r="K4958" s="35"/>
      <c r="L4958" s="35"/>
      <c r="M4958" s="35"/>
      <c r="N4958" s="35"/>
      <c r="O4958" s="35"/>
      <c r="P4958" s="35"/>
      <c r="Q4958" s="35"/>
      <c r="R4958" s="35"/>
      <c r="S4958" s="74"/>
      <c r="T4958" s="35"/>
      <c r="U4958" s="35"/>
      <c r="V4958" s="35"/>
      <c r="W4958" s="45"/>
    </row>
    <row r="4959">
      <c r="A4959" s="45"/>
      <c r="B4959" s="35"/>
      <c r="C4959" s="35"/>
      <c r="D4959" s="10"/>
      <c r="E4959" s="35"/>
      <c r="F4959" s="35"/>
      <c r="G4959" s="35"/>
      <c r="H4959" s="35"/>
      <c r="I4959" s="35"/>
      <c r="J4959" s="35"/>
      <c r="K4959" s="35"/>
      <c r="L4959" s="35"/>
      <c r="M4959" s="35"/>
      <c r="N4959" s="35"/>
      <c r="O4959" s="35"/>
      <c r="P4959" s="35"/>
      <c r="Q4959" s="35"/>
      <c r="R4959" s="35"/>
      <c r="S4959" s="74"/>
      <c r="T4959" s="35"/>
      <c r="U4959" s="35"/>
      <c r="V4959" s="35"/>
      <c r="W4959" s="45"/>
    </row>
    <row r="4960">
      <c r="A4960" s="45"/>
      <c r="B4960" s="35"/>
      <c r="C4960" s="35"/>
      <c r="D4960" s="10"/>
      <c r="E4960" s="35"/>
      <c r="F4960" s="35"/>
      <c r="G4960" s="35"/>
      <c r="H4960" s="35"/>
      <c r="I4960" s="35"/>
      <c r="J4960" s="35"/>
      <c r="K4960" s="35"/>
      <c r="L4960" s="35"/>
      <c r="M4960" s="35"/>
      <c r="N4960" s="35"/>
      <c r="O4960" s="35"/>
      <c r="P4960" s="35"/>
      <c r="Q4960" s="35"/>
      <c r="R4960" s="35"/>
      <c r="S4960" s="74"/>
      <c r="T4960" s="35"/>
      <c r="U4960" s="35"/>
      <c r="V4960" s="35"/>
      <c r="W4960" s="45"/>
    </row>
    <row r="4961">
      <c r="A4961" s="45"/>
      <c r="B4961" s="35"/>
      <c r="C4961" s="35"/>
      <c r="D4961" s="10"/>
      <c r="E4961" s="35"/>
      <c r="F4961" s="35"/>
      <c r="G4961" s="35"/>
      <c r="H4961" s="35"/>
      <c r="I4961" s="35"/>
      <c r="J4961" s="35"/>
      <c r="K4961" s="35"/>
      <c r="L4961" s="35"/>
      <c r="M4961" s="35"/>
      <c r="N4961" s="35"/>
      <c r="O4961" s="35"/>
      <c r="P4961" s="35"/>
      <c r="Q4961" s="35"/>
      <c r="R4961" s="35"/>
      <c r="S4961" s="74"/>
      <c r="T4961" s="35"/>
      <c r="U4961" s="35"/>
      <c r="V4961" s="35"/>
      <c r="W4961" s="45"/>
    </row>
    <row r="4962">
      <c r="A4962" s="45"/>
      <c r="B4962" s="35"/>
      <c r="C4962" s="35"/>
      <c r="D4962" s="10"/>
      <c r="E4962" s="35"/>
      <c r="F4962" s="35"/>
      <c r="G4962" s="35"/>
      <c r="H4962" s="35"/>
      <c r="I4962" s="35"/>
      <c r="J4962" s="35"/>
      <c r="K4962" s="35"/>
      <c r="L4962" s="35"/>
      <c r="M4962" s="35"/>
      <c r="N4962" s="35"/>
      <c r="O4962" s="35"/>
      <c r="P4962" s="35"/>
      <c r="Q4962" s="35"/>
      <c r="R4962" s="35"/>
      <c r="S4962" s="74"/>
      <c r="T4962" s="35"/>
      <c r="U4962" s="35"/>
      <c r="V4962" s="35"/>
      <c r="W4962" s="45"/>
    </row>
    <row r="4963">
      <c r="A4963" s="45"/>
      <c r="B4963" s="35"/>
      <c r="C4963" s="35"/>
      <c r="D4963" s="10"/>
      <c r="E4963" s="35"/>
      <c r="F4963" s="35"/>
      <c r="G4963" s="35"/>
      <c r="H4963" s="35"/>
      <c r="I4963" s="35"/>
      <c r="J4963" s="35"/>
      <c r="K4963" s="35"/>
      <c r="L4963" s="35"/>
      <c r="M4963" s="35"/>
      <c r="N4963" s="35"/>
      <c r="O4963" s="35"/>
      <c r="P4963" s="35"/>
      <c r="Q4963" s="35"/>
      <c r="R4963" s="35"/>
      <c r="S4963" s="74"/>
      <c r="T4963" s="35"/>
      <c r="U4963" s="35"/>
      <c r="V4963" s="35"/>
      <c r="W4963" s="45"/>
    </row>
    <row r="4964">
      <c r="A4964" s="45"/>
      <c r="B4964" s="35"/>
      <c r="C4964" s="35"/>
      <c r="D4964" s="10"/>
      <c r="E4964" s="35"/>
      <c r="F4964" s="35"/>
      <c r="G4964" s="35"/>
      <c r="H4964" s="35"/>
      <c r="I4964" s="35"/>
      <c r="J4964" s="35"/>
      <c r="K4964" s="35"/>
      <c r="L4964" s="35"/>
      <c r="M4964" s="35"/>
      <c r="N4964" s="35"/>
      <c r="O4964" s="35"/>
      <c r="P4964" s="35"/>
      <c r="Q4964" s="35"/>
      <c r="R4964" s="35"/>
      <c r="S4964" s="74"/>
      <c r="T4964" s="35"/>
      <c r="U4964" s="35"/>
      <c r="V4964" s="35"/>
      <c r="W4964" s="45"/>
    </row>
    <row r="4965">
      <c r="A4965" s="45"/>
      <c r="B4965" s="35"/>
      <c r="C4965" s="35"/>
      <c r="D4965" s="10"/>
      <c r="E4965" s="35"/>
      <c r="F4965" s="35"/>
      <c r="G4965" s="35"/>
      <c r="H4965" s="35"/>
      <c r="I4965" s="35"/>
      <c r="J4965" s="35"/>
      <c r="K4965" s="35"/>
      <c r="L4965" s="35"/>
      <c r="M4965" s="35"/>
      <c r="N4965" s="35"/>
      <c r="O4965" s="35"/>
      <c r="P4965" s="35"/>
      <c r="Q4965" s="35"/>
      <c r="R4965" s="35"/>
      <c r="S4965" s="74"/>
      <c r="T4965" s="35"/>
      <c r="U4965" s="35"/>
      <c r="V4965" s="35"/>
      <c r="W4965" s="45"/>
    </row>
    <row r="4966">
      <c r="A4966" s="45"/>
      <c r="B4966" s="35"/>
      <c r="C4966" s="35"/>
      <c r="D4966" s="10"/>
      <c r="E4966" s="35"/>
      <c r="F4966" s="35"/>
      <c r="G4966" s="35"/>
      <c r="H4966" s="35"/>
      <c r="I4966" s="35"/>
      <c r="J4966" s="35"/>
      <c r="K4966" s="35"/>
      <c r="L4966" s="35"/>
      <c r="M4966" s="35"/>
      <c r="N4966" s="35"/>
      <c r="O4966" s="35"/>
      <c r="P4966" s="35"/>
      <c r="Q4966" s="35"/>
      <c r="R4966" s="35"/>
      <c r="S4966" s="74"/>
      <c r="T4966" s="35"/>
      <c r="U4966" s="35"/>
      <c r="V4966" s="35"/>
      <c r="W4966" s="45"/>
    </row>
    <row r="4967">
      <c r="A4967" s="45"/>
      <c r="B4967" s="35"/>
      <c r="C4967" s="35"/>
      <c r="D4967" s="10"/>
      <c r="E4967" s="35"/>
      <c r="F4967" s="35"/>
      <c r="G4967" s="35"/>
      <c r="H4967" s="35"/>
      <c r="I4967" s="35"/>
      <c r="J4967" s="35"/>
      <c r="K4967" s="35"/>
      <c r="L4967" s="35"/>
      <c r="M4967" s="35"/>
      <c r="N4967" s="35"/>
      <c r="O4967" s="35"/>
      <c r="P4967" s="35"/>
      <c r="Q4967" s="35"/>
      <c r="R4967" s="35"/>
      <c r="S4967" s="74"/>
      <c r="T4967" s="35"/>
      <c r="U4967" s="35"/>
      <c r="V4967" s="35"/>
      <c r="W4967" s="45"/>
    </row>
    <row r="4968">
      <c r="A4968" s="45"/>
      <c r="B4968" s="35"/>
      <c r="C4968" s="35"/>
      <c r="D4968" s="10"/>
      <c r="E4968" s="35"/>
      <c r="F4968" s="35"/>
      <c r="G4968" s="35"/>
      <c r="H4968" s="35"/>
      <c r="I4968" s="35"/>
      <c r="J4968" s="35"/>
      <c r="K4968" s="35"/>
      <c r="L4968" s="35"/>
      <c r="M4968" s="35"/>
      <c r="N4968" s="35"/>
      <c r="O4968" s="35"/>
      <c r="P4968" s="35"/>
      <c r="Q4968" s="35"/>
      <c r="R4968" s="35"/>
      <c r="S4968" s="74"/>
      <c r="T4968" s="35"/>
      <c r="U4968" s="35"/>
      <c r="V4968" s="35"/>
      <c r="W4968" s="45"/>
    </row>
    <row r="4969">
      <c r="A4969" s="45"/>
      <c r="B4969" s="35"/>
      <c r="C4969" s="35"/>
      <c r="D4969" s="10"/>
      <c r="E4969" s="35"/>
      <c r="F4969" s="35"/>
      <c r="G4969" s="35"/>
      <c r="H4969" s="35"/>
      <c r="I4969" s="35"/>
      <c r="J4969" s="35"/>
      <c r="K4969" s="35"/>
      <c r="L4969" s="35"/>
      <c r="M4969" s="35"/>
      <c r="N4969" s="35"/>
      <c r="O4969" s="35"/>
      <c r="P4969" s="35"/>
      <c r="Q4969" s="35"/>
      <c r="R4969" s="35"/>
      <c r="S4969" s="74"/>
      <c r="T4969" s="35"/>
      <c r="U4969" s="35"/>
      <c r="V4969" s="35"/>
      <c r="W4969" s="45"/>
    </row>
    <row r="4970">
      <c r="A4970" s="45"/>
      <c r="B4970" s="35"/>
      <c r="C4970" s="35"/>
      <c r="D4970" s="10"/>
      <c r="E4970" s="35"/>
      <c r="F4970" s="35"/>
      <c r="G4970" s="35"/>
      <c r="H4970" s="35"/>
      <c r="I4970" s="35"/>
      <c r="J4970" s="35"/>
      <c r="K4970" s="35"/>
      <c r="L4970" s="35"/>
      <c r="M4970" s="35"/>
      <c r="N4970" s="35"/>
      <c r="O4970" s="35"/>
      <c r="P4970" s="35"/>
      <c r="Q4970" s="35"/>
      <c r="R4970" s="35"/>
      <c r="S4970" s="74"/>
      <c r="T4970" s="35"/>
      <c r="U4970" s="35"/>
      <c r="V4970" s="35"/>
      <c r="W4970" s="45"/>
    </row>
    <row r="4971">
      <c r="A4971" s="45"/>
      <c r="B4971" s="35"/>
      <c r="C4971" s="35"/>
      <c r="D4971" s="10"/>
      <c r="E4971" s="35"/>
      <c r="F4971" s="35"/>
      <c r="G4971" s="35"/>
      <c r="H4971" s="35"/>
      <c r="I4971" s="35"/>
      <c r="J4971" s="35"/>
      <c r="K4971" s="35"/>
      <c r="L4971" s="35"/>
      <c r="M4971" s="35"/>
      <c r="N4971" s="35"/>
      <c r="O4971" s="35"/>
      <c r="P4971" s="35"/>
      <c r="Q4971" s="35"/>
      <c r="R4971" s="35"/>
      <c r="S4971" s="74"/>
      <c r="T4971" s="35"/>
      <c r="U4971" s="35"/>
      <c r="V4971" s="35"/>
      <c r="W4971" s="45"/>
    </row>
    <row r="4972">
      <c r="A4972" s="45"/>
      <c r="B4972" s="35"/>
      <c r="C4972" s="35"/>
      <c r="D4972" s="10"/>
      <c r="E4972" s="35"/>
      <c r="F4972" s="35"/>
      <c r="G4972" s="35"/>
      <c r="H4972" s="35"/>
      <c r="I4972" s="35"/>
      <c r="J4972" s="35"/>
      <c r="K4972" s="35"/>
      <c r="L4972" s="35"/>
      <c r="M4972" s="35"/>
      <c r="N4972" s="35"/>
      <c r="O4972" s="35"/>
      <c r="P4972" s="35"/>
      <c r="Q4972" s="35"/>
      <c r="R4972" s="35"/>
      <c r="S4972" s="74"/>
      <c r="T4972" s="35"/>
      <c r="U4972" s="35"/>
      <c r="V4972" s="35"/>
      <c r="W4972" s="45"/>
    </row>
    <row r="4973">
      <c r="A4973" s="45"/>
      <c r="B4973" s="35"/>
      <c r="C4973" s="35"/>
      <c r="D4973" s="10"/>
      <c r="E4973" s="35"/>
      <c r="F4973" s="35"/>
      <c r="G4973" s="35"/>
      <c r="H4973" s="35"/>
      <c r="I4973" s="35"/>
      <c r="J4973" s="35"/>
      <c r="K4973" s="35"/>
      <c r="L4973" s="35"/>
      <c r="M4973" s="35"/>
      <c r="N4973" s="35"/>
      <c r="O4973" s="35"/>
      <c r="P4973" s="35"/>
      <c r="Q4973" s="35"/>
      <c r="R4973" s="35"/>
      <c r="S4973" s="74"/>
      <c r="T4973" s="35"/>
      <c r="U4973" s="35"/>
      <c r="V4973" s="35"/>
      <c r="W4973" s="45"/>
    </row>
    <row r="4974">
      <c r="A4974" s="45"/>
      <c r="B4974" s="35"/>
      <c r="C4974" s="35"/>
      <c r="D4974" s="10"/>
      <c r="E4974" s="35"/>
      <c r="F4974" s="35"/>
      <c r="G4974" s="35"/>
      <c r="H4974" s="35"/>
      <c r="I4974" s="35"/>
      <c r="J4974" s="35"/>
      <c r="K4974" s="35"/>
      <c r="L4974" s="35"/>
      <c r="M4974" s="35"/>
      <c r="N4974" s="35"/>
      <c r="O4974" s="35"/>
      <c r="P4974" s="35"/>
      <c r="Q4974" s="35"/>
      <c r="R4974" s="35"/>
      <c r="S4974" s="74"/>
      <c r="T4974" s="35"/>
      <c r="U4974" s="35"/>
      <c r="V4974" s="35"/>
      <c r="W4974" s="45"/>
    </row>
    <row r="4975">
      <c r="A4975" s="45"/>
      <c r="B4975" s="35"/>
      <c r="C4975" s="35"/>
      <c r="D4975" s="10"/>
      <c r="E4975" s="35"/>
      <c r="F4975" s="35"/>
      <c r="G4975" s="35"/>
      <c r="H4975" s="35"/>
      <c r="I4975" s="35"/>
      <c r="J4975" s="35"/>
      <c r="K4975" s="35"/>
      <c r="L4975" s="35"/>
      <c r="M4975" s="35"/>
      <c r="N4975" s="35"/>
      <c r="O4975" s="35"/>
      <c r="P4975" s="35"/>
      <c r="Q4975" s="35"/>
      <c r="R4975" s="35"/>
      <c r="S4975" s="74"/>
      <c r="T4975" s="35"/>
      <c r="U4975" s="35"/>
      <c r="V4975" s="35"/>
      <c r="W4975" s="45"/>
    </row>
    <row r="4976">
      <c r="A4976" s="45"/>
      <c r="B4976" s="35"/>
      <c r="C4976" s="35"/>
      <c r="D4976" s="10"/>
      <c r="E4976" s="35"/>
      <c r="F4976" s="35"/>
      <c r="G4976" s="35"/>
      <c r="H4976" s="35"/>
      <c r="I4976" s="35"/>
      <c r="J4976" s="35"/>
      <c r="K4976" s="35"/>
      <c r="L4976" s="35"/>
      <c r="M4976" s="35"/>
      <c r="N4976" s="35"/>
      <c r="O4976" s="35"/>
      <c r="P4976" s="35"/>
      <c r="Q4976" s="35"/>
      <c r="R4976" s="35"/>
      <c r="S4976" s="74"/>
      <c r="T4976" s="35"/>
      <c r="U4976" s="35"/>
      <c r="V4976" s="35"/>
      <c r="W4976" s="45"/>
    </row>
    <row r="4977">
      <c r="A4977" s="45"/>
      <c r="B4977" s="35"/>
      <c r="C4977" s="35"/>
      <c r="D4977" s="10"/>
      <c r="E4977" s="35"/>
      <c r="F4977" s="35"/>
      <c r="G4977" s="35"/>
      <c r="H4977" s="35"/>
      <c r="I4977" s="35"/>
      <c r="J4977" s="35"/>
      <c r="K4977" s="35"/>
      <c r="L4977" s="35"/>
      <c r="M4977" s="35"/>
      <c r="N4977" s="35"/>
      <c r="O4977" s="35"/>
      <c r="P4977" s="35"/>
      <c r="Q4977" s="35"/>
      <c r="R4977" s="35"/>
      <c r="S4977" s="74"/>
      <c r="T4977" s="35"/>
      <c r="U4977" s="35"/>
      <c r="V4977" s="35"/>
      <c r="W4977" s="45"/>
    </row>
    <row r="4978">
      <c r="A4978" s="45"/>
      <c r="B4978" s="35"/>
      <c r="C4978" s="35"/>
      <c r="D4978" s="10"/>
      <c r="E4978" s="35"/>
      <c r="F4978" s="35"/>
      <c r="G4978" s="35"/>
      <c r="H4978" s="35"/>
      <c r="I4978" s="35"/>
      <c r="J4978" s="35"/>
      <c r="K4978" s="35"/>
      <c r="L4978" s="35"/>
      <c r="M4978" s="35"/>
      <c r="N4978" s="35"/>
      <c r="O4978" s="35"/>
      <c r="P4978" s="35"/>
      <c r="Q4978" s="35"/>
      <c r="R4978" s="35"/>
      <c r="S4978" s="74"/>
      <c r="T4978" s="35"/>
      <c r="U4978" s="35"/>
      <c r="V4978" s="35"/>
      <c r="W4978" s="45"/>
    </row>
    <row r="4979">
      <c r="A4979" s="45"/>
      <c r="B4979" s="35"/>
      <c r="C4979" s="35"/>
      <c r="D4979" s="10"/>
      <c r="E4979" s="35"/>
      <c r="F4979" s="35"/>
      <c r="G4979" s="35"/>
      <c r="H4979" s="35"/>
      <c r="I4979" s="35"/>
      <c r="J4979" s="35"/>
      <c r="K4979" s="35"/>
      <c r="L4979" s="35"/>
      <c r="M4979" s="35"/>
      <c r="N4979" s="35"/>
      <c r="O4979" s="35"/>
      <c r="P4979" s="35"/>
      <c r="Q4979" s="35"/>
      <c r="R4979" s="35"/>
      <c r="S4979" s="74"/>
      <c r="T4979" s="35"/>
      <c r="U4979" s="35"/>
      <c r="V4979" s="35"/>
      <c r="W4979" s="45"/>
    </row>
    <row r="4980">
      <c r="A4980" s="45"/>
      <c r="B4980" s="35"/>
      <c r="C4980" s="35"/>
      <c r="D4980" s="10"/>
      <c r="E4980" s="35"/>
      <c r="F4980" s="35"/>
      <c r="G4980" s="35"/>
      <c r="H4980" s="35"/>
      <c r="I4980" s="35"/>
      <c r="J4980" s="35"/>
      <c r="K4980" s="35"/>
      <c r="L4980" s="35"/>
      <c r="M4980" s="35"/>
      <c r="N4980" s="35"/>
      <c r="O4980" s="35"/>
      <c r="P4980" s="35"/>
      <c r="Q4980" s="35"/>
      <c r="R4980" s="35"/>
      <c r="S4980" s="74"/>
      <c r="T4980" s="35"/>
      <c r="U4980" s="35"/>
      <c r="V4980" s="35"/>
      <c r="W4980" s="45"/>
    </row>
    <row r="4981">
      <c r="A4981" s="45"/>
      <c r="B4981" s="35"/>
      <c r="C4981" s="35"/>
      <c r="D4981" s="10"/>
      <c r="E4981" s="35"/>
      <c r="F4981" s="35"/>
      <c r="G4981" s="35"/>
      <c r="H4981" s="35"/>
      <c r="I4981" s="35"/>
      <c r="J4981" s="35"/>
      <c r="K4981" s="35"/>
      <c r="L4981" s="35"/>
      <c r="M4981" s="35"/>
      <c r="N4981" s="35"/>
      <c r="O4981" s="35"/>
      <c r="P4981" s="35"/>
      <c r="Q4981" s="35"/>
      <c r="R4981" s="35"/>
      <c r="S4981" s="74"/>
      <c r="T4981" s="35"/>
      <c r="U4981" s="35"/>
      <c r="V4981" s="35"/>
      <c r="W4981" s="45"/>
    </row>
    <row r="4982">
      <c r="A4982" s="45"/>
      <c r="B4982" s="35"/>
      <c r="C4982" s="35"/>
      <c r="D4982" s="10"/>
      <c r="E4982" s="35"/>
      <c r="F4982" s="35"/>
      <c r="G4982" s="35"/>
      <c r="H4982" s="35"/>
      <c r="I4982" s="35"/>
      <c r="J4982" s="35"/>
      <c r="K4982" s="35"/>
      <c r="L4982" s="35"/>
      <c r="M4982" s="35"/>
      <c r="N4982" s="35"/>
      <c r="O4982" s="35"/>
      <c r="P4982" s="35"/>
      <c r="Q4982" s="35"/>
      <c r="R4982" s="35"/>
      <c r="S4982" s="74"/>
      <c r="T4982" s="35"/>
      <c r="U4982" s="35"/>
      <c r="V4982" s="35"/>
      <c r="W4982" s="45"/>
    </row>
    <row r="4983">
      <c r="A4983" s="45"/>
      <c r="B4983" s="35"/>
      <c r="C4983" s="35"/>
      <c r="D4983" s="10"/>
      <c r="E4983" s="35"/>
      <c r="F4983" s="35"/>
      <c r="G4983" s="35"/>
      <c r="H4983" s="35"/>
      <c r="I4983" s="35"/>
      <c r="J4983" s="35"/>
      <c r="K4983" s="35"/>
      <c r="L4983" s="35"/>
      <c r="M4983" s="35"/>
      <c r="N4983" s="35"/>
      <c r="O4983" s="35"/>
      <c r="P4983" s="35"/>
      <c r="Q4983" s="35"/>
      <c r="R4983" s="35"/>
      <c r="S4983" s="74"/>
      <c r="T4983" s="35"/>
      <c r="U4983" s="35"/>
      <c r="V4983" s="35"/>
      <c r="W4983" s="45"/>
    </row>
    <row r="4984">
      <c r="A4984" s="45"/>
      <c r="B4984" s="35"/>
      <c r="C4984" s="35"/>
      <c r="D4984" s="10"/>
      <c r="E4984" s="35"/>
      <c r="F4984" s="35"/>
      <c r="G4984" s="35"/>
      <c r="H4984" s="35"/>
      <c r="I4984" s="35"/>
      <c r="J4984" s="35"/>
      <c r="K4984" s="35"/>
      <c r="L4984" s="35"/>
      <c r="M4984" s="35"/>
      <c r="N4984" s="35"/>
      <c r="O4984" s="35"/>
      <c r="P4984" s="35"/>
      <c r="Q4984" s="35"/>
      <c r="R4984" s="35"/>
      <c r="S4984" s="74"/>
      <c r="T4984" s="35"/>
      <c r="U4984" s="35"/>
      <c r="V4984" s="35"/>
      <c r="W4984" s="45"/>
    </row>
    <row r="4985">
      <c r="A4985" s="45"/>
      <c r="B4985" s="35"/>
      <c r="C4985" s="35"/>
      <c r="D4985" s="10"/>
      <c r="E4985" s="35"/>
      <c r="F4985" s="35"/>
      <c r="G4985" s="35"/>
      <c r="H4985" s="35"/>
      <c r="I4985" s="35"/>
      <c r="J4985" s="35"/>
      <c r="K4985" s="35"/>
      <c r="L4985" s="35"/>
      <c r="M4985" s="35"/>
      <c r="N4985" s="35"/>
      <c r="O4985" s="35"/>
      <c r="P4985" s="35"/>
      <c r="Q4985" s="35"/>
      <c r="R4985" s="35"/>
      <c r="S4985" s="74"/>
      <c r="T4985" s="35"/>
      <c r="U4985" s="35"/>
      <c r="V4985" s="35"/>
      <c r="W4985" s="45"/>
    </row>
    <row r="4986">
      <c r="A4986" s="45"/>
      <c r="B4986" s="35"/>
      <c r="C4986" s="35"/>
      <c r="D4986" s="10"/>
      <c r="E4986" s="35"/>
      <c r="F4986" s="35"/>
      <c r="G4986" s="35"/>
      <c r="H4986" s="35"/>
      <c r="I4986" s="35"/>
      <c r="J4986" s="35"/>
      <c r="K4986" s="35"/>
      <c r="L4986" s="35"/>
      <c r="M4986" s="35"/>
      <c r="N4986" s="35"/>
      <c r="O4986" s="35"/>
      <c r="P4986" s="35"/>
      <c r="Q4986" s="35"/>
      <c r="R4986" s="35"/>
      <c r="S4986" s="74"/>
      <c r="T4986" s="35"/>
      <c r="U4986" s="35"/>
      <c r="V4986" s="35"/>
      <c r="W4986" s="45"/>
    </row>
    <row r="4987">
      <c r="A4987" s="45"/>
      <c r="B4987" s="35"/>
      <c r="C4987" s="35"/>
      <c r="D4987" s="10"/>
      <c r="E4987" s="35"/>
      <c r="F4987" s="35"/>
      <c r="G4987" s="35"/>
      <c r="H4987" s="35"/>
      <c r="I4987" s="35"/>
      <c r="J4987" s="35"/>
      <c r="K4987" s="35"/>
      <c r="L4987" s="35"/>
      <c r="M4987" s="35"/>
      <c r="N4987" s="35"/>
      <c r="O4987" s="35"/>
      <c r="P4987" s="35"/>
      <c r="Q4987" s="35"/>
      <c r="R4987" s="35"/>
      <c r="S4987" s="74"/>
      <c r="T4987" s="35"/>
      <c r="U4987" s="35"/>
      <c r="V4987" s="35"/>
      <c r="W4987" s="45"/>
    </row>
    <row r="4988">
      <c r="A4988" s="45"/>
      <c r="B4988" s="35"/>
      <c r="C4988" s="35"/>
      <c r="D4988" s="10"/>
      <c r="E4988" s="35"/>
      <c r="F4988" s="35"/>
      <c r="G4988" s="35"/>
      <c r="H4988" s="35"/>
      <c r="I4988" s="35"/>
      <c r="J4988" s="35"/>
      <c r="K4988" s="35"/>
      <c r="L4988" s="35"/>
      <c r="M4988" s="35"/>
      <c r="N4988" s="35"/>
      <c r="O4988" s="35"/>
      <c r="P4988" s="35"/>
      <c r="Q4988" s="35"/>
      <c r="R4988" s="35"/>
      <c r="S4988" s="74"/>
      <c r="T4988" s="35"/>
      <c r="U4988" s="35"/>
      <c r="V4988" s="35"/>
      <c r="W4988" s="45"/>
    </row>
    <row r="4989">
      <c r="A4989" s="45"/>
      <c r="B4989" s="35"/>
      <c r="C4989" s="35"/>
      <c r="D4989" s="10"/>
      <c r="E4989" s="35"/>
      <c r="F4989" s="35"/>
      <c r="G4989" s="35"/>
      <c r="H4989" s="35"/>
      <c r="I4989" s="35"/>
      <c r="J4989" s="35"/>
      <c r="K4989" s="35"/>
      <c r="L4989" s="35"/>
      <c r="M4989" s="35"/>
      <c r="N4989" s="35"/>
      <c r="O4989" s="35"/>
      <c r="P4989" s="35"/>
      <c r="Q4989" s="35"/>
      <c r="R4989" s="35"/>
      <c r="S4989" s="74"/>
      <c r="T4989" s="35"/>
      <c r="U4989" s="35"/>
      <c r="V4989" s="35"/>
      <c r="W4989" s="45"/>
    </row>
    <row r="4990">
      <c r="A4990" s="45"/>
      <c r="B4990" s="35"/>
      <c r="C4990" s="35"/>
      <c r="D4990" s="10"/>
      <c r="E4990" s="35"/>
      <c r="F4990" s="35"/>
      <c r="G4990" s="35"/>
      <c r="H4990" s="35"/>
      <c r="I4990" s="35"/>
      <c r="J4990" s="35"/>
      <c r="K4990" s="35"/>
      <c r="L4990" s="35"/>
      <c r="M4990" s="35"/>
      <c r="N4990" s="35"/>
      <c r="O4990" s="35"/>
      <c r="P4990" s="35"/>
      <c r="Q4990" s="35"/>
      <c r="R4990" s="35"/>
      <c r="S4990" s="74"/>
      <c r="T4990" s="35"/>
      <c r="U4990" s="35"/>
      <c r="V4990" s="35"/>
      <c r="W4990" s="45"/>
    </row>
    <row r="4991">
      <c r="A4991" s="45"/>
      <c r="B4991" s="35"/>
      <c r="C4991" s="35"/>
      <c r="D4991" s="10"/>
      <c r="E4991" s="35"/>
      <c r="F4991" s="35"/>
      <c r="G4991" s="35"/>
      <c r="H4991" s="35"/>
      <c r="I4991" s="35"/>
      <c r="J4991" s="35"/>
      <c r="K4991" s="35"/>
      <c r="L4991" s="35"/>
      <c r="M4991" s="35"/>
      <c r="N4991" s="35"/>
      <c r="O4991" s="35"/>
      <c r="P4991" s="35"/>
      <c r="Q4991" s="35"/>
      <c r="R4991" s="35"/>
      <c r="S4991" s="74"/>
      <c r="T4991" s="35"/>
      <c r="U4991" s="35"/>
      <c r="V4991" s="35"/>
      <c r="W4991" s="45"/>
    </row>
    <row r="4992">
      <c r="A4992" s="45"/>
      <c r="B4992" s="35"/>
      <c r="C4992" s="35"/>
      <c r="D4992" s="10"/>
      <c r="E4992" s="35"/>
      <c r="F4992" s="35"/>
      <c r="G4992" s="35"/>
      <c r="H4992" s="35"/>
      <c r="I4992" s="35"/>
      <c r="J4992" s="35"/>
      <c r="K4992" s="35"/>
      <c r="L4992" s="35"/>
      <c r="M4992" s="35"/>
      <c r="N4992" s="35"/>
      <c r="O4992" s="35"/>
      <c r="P4992" s="35"/>
      <c r="Q4992" s="35"/>
      <c r="R4992" s="35"/>
      <c r="S4992" s="74"/>
      <c r="T4992" s="35"/>
      <c r="U4992" s="35"/>
      <c r="V4992" s="35"/>
      <c r="W4992" s="45"/>
    </row>
    <row r="4993">
      <c r="A4993" s="45"/>
      <c r="B4993" s="35"/>
      <c r="C4993" s="35"/>
      <c r="D4993" s="10"/>
      <c r="E4993" s="35"/>
      <c r="F4993" s="35"/>
      <c r="G4993" s="35"/>
      <c r="H4993" s="35"/>
      <c r="I4993" s="35"/>
      <c r="J4993" s="35"/>
      <c r="K4993" s="35"/>
      <c r="L4993" s="35"/>
      <c r="M4993" s="35"/>
      <c r="N4993" s="35"/>
      <c r="O4993" s="35"/>
      <c r="P4993" s="35"/>
      <c r="Q4993" s="35"/>
      <c r="R4993" s="35"/>
      <c r="S4993" s="74"/>
      <c r="T4993" s="35"/>
      <c r="U4993" s="35"/>
      <c r="V4993" s="35"/>
      <c r="W4993" s="45"/>
    </row>
    <row r="4994">
      <c r="A4994" s="45"/>
      <c r="B4994" s="35"/>
      <c r="C4994" s="35"/>
      <c r="D4994" s="10"/>
      <c r="E4994" s="35"/>
      <c r="F4994" s="35"/>
      <c r="G4994" s="35"/>
      <c r="H4994" s="35"/>
      <c r="I4994" s="35"/>
      <c r="J4994" s="35"/>
      <c r="K4994" s="35"/>
      <c r="L4994" s="35"/>
      <c r="M4994" s="35"/>
      <c r="N4994" s="35"/>
      <c r="O4994" s="35"/>
      <c r="P4994" s="35"/>
      <c r="Q4994" s="35"/>
      <c r="R4994" s="35"/>
      <c r="S4994" s="74"/>
      <c r="T4994" s="35"/>
      <c r="U4994" s="35"/>
      <c r="V4994" s="35"/>
      <c r="W4994" s="45"/>
    </row>
    <row r="4995">
      <c r="A4995" s="45"/>
      <c r="B4995" s="35"/>
      <c r="C4995" s="35"/>
      <c r="D4995" s="10"/>
      <c r="E4995" s="35"/>
      <c r="F4995" s="35"/>
      <c r="G4995" s="35"/>
      <c r="H4995" s="35"/>
      <c r="I4995" s="35"/>
      <c r="J4995" s="35"/>
      <c r="K4995" s="35"/>
      <c r="L4995" s="35"/>
      <c r="M4995" s="35"/>
      <c r="N4995" s="35"/>
      <c r="O4995" s="35"/>
      <c r="P4995" s="35"/>
      <c r="Q4995" s="35"/>
      <c r="R4995" s="35"/>
      <c r="S4995" s="74"/>
      <c r="T4995" s="35"/>
      <c r="U4995" s="35"/>
      <c r="V4995" s="35"/>
      <c r="W4995" s="45"/>
    </row>
    <row r="4996">
      <c r="A4996" s="45"/>
      <c r="B4996" s="35"/>
      <c r="C4996" s="35"/>
      <c r="D4996" s="10"/>
      <c r="E4996" s="35"/>
      <c r="F4996" s="35"/>
      <c r="G4996" s="35"/>
      <c r="H4996" s="35"/>
      <c r="I4996" s="35"/>
      <c r="J4996" s="35"/>
      <c r="K4996" s="35"/>
      <c r="L4996" s="35"/>
      <c r="M4996" s="35"/>
      <c r="N4996" s="35"/>
      <c r="O4996" s="35"/>
      <c r="P4996" s="35"/>
      <c r="Q4996" s="35"/>
      <c r="R4996" s="35"/>
      <c r="S4996" s="74"/>
      <c r="T4996" s="35"/>
      <c r="U4996" s="35"/>
      <c r="V4996" s="35"/>
      <c r="W4996" s="45"/>
    </row>
    <row r="4997">
      <c r="A4997" s="45"/>
      <c r="B4997" s="35"/>
      <c r="C4997" s="35"/>
      <c r="D4997" s="10"/>
      <c r="E4997" s="35"/>
      <c r="F4997" s="35"/>
      <c r="G4997" s="35"/>
      <c r="H4997" s="35"/>
      <c r="I4997" s="35"/>
      <c r="J4997" s="35"/>
      <c r="K4997" s="35"/>
      <c r="L4997" s="35"/>
      <c r="M4997" s="35"/>
      <c r="N4997" s="35"/>
      <c r="O4997" s="35"/>
      <c r="P4997" s="35"/>
      <c r="Q4997" s="35"/>
      <c r="R4997" s="35"/>
      <c r="S4997" s="74"/>
      <c r="T4997" s="35"/>
      <c r="U4997" s="35"/>
      <c r="V4997" s="35"/>
      <c r="W4997" s="45"/>
    </row>
    <row r="4998">
      <c r="A4998" s="45"/>
      <c r="B4998" s="35"/>
      <c r="C4998" s="35"/>
      <c r="D4998" s="10"/>
      <c r="E4998" s="35"/>
      <c r="F4998" s="35"/>
      <c r="G4998" s="35"/>
      <c r="H4998" s="35"/>
      <c r="I4998" s="35"/>
      <c r="J4998" s="35"/>
      <c r="K4998" s="35"/>
      <c r="L4998" s="35"/>
      <c r="M4998" s="35"/>
      <c r="N4998" s="35"/>
      <c r="O4998" s="35"/>
      <c r="P4998" s="35"/>
      <c r="Q4998" s="35"/>
      <c r="R4998" s="35"/>
      <c r="S4998" s="74"/>
      <c r="T4998" s="35"/>
      <c r="U4998" s="35"/>
      <c r="V4998" s="35"/>
      <c r="W4998" s="45"/>
    </row>
    <row r="4999">
      <c r="A4999" s="45"/>
      <c r="B4999" s="35"/>
      <c r="C4999" s="35"/>
      <c r="D4999" s="10"/>
      <c r="E4999" s="35"/>
      <c r="F4999" s="35"/>
      <c r="G4999" s="35"/>
      <c r="H4999" s="35"/>
      <c r="I4999" s="35"/>
      <c r="J4999" s="35"/>
      <c r="K4999" s="35"/>
      <c r="L4999" s="35"/>
      <c r="M4999" s="35"/>
      <c r="N4999" s="35"/>
      <c r="O4999" s="35"/>
      <c r="P4999" s="35"/>
      <c r="Q4999" s="35"/>
      <c r="R4999" s="35"/>
      <c r="S4999" s="74"/>
      <c r="T4999" s="35"/>
      <c r="U4999" s="35"/>
      <c r="V4999" s="35"/>
      <c r="W4999" s="45"/>
    </row>
    <row r="5000">
      <c r="A5000" s="45"/>
      <c r="B5000" s="35"/>
      <c r="C5000" s="35"/>
      <c r="D5000" s="10"/>
      <c r="E5000" s="35"/>
      <c r="F5000" s="35"/>
      <c r="G5000" s="35"/>
      <c r="H5000" s="35"/>
      <c r="I5000" s="35"/>
      <c r="J5000" s="35"/>
      <c r="K5000" s="35"/>
      <c r="L5000" s="35"/>
      <c r="M5000" s="35"/>
      <c r="N5000" s="35"/>
      <c r="O5000" s="35"/>
      <c r="P5000" s="35"/>
      <c r="Q5000" s="35"/>
      <c r="R5000" s="35"/>
      <c r="S5000" s="74"/>
      <c r="T5000" s="35"/>
      <c r="U5000" s="35"/>
      <c r="V5000" s="35"/>
      <c r="W5000" s="45"/>
    </row>
    <row r="5001">
      <c r="A5001" s="45"/>
      <c r="B5001" s="35"/>
      <c r="C5001" s="35"/>
      <c r="D5001" s="10"/>
      <c r="E5001" s="35"/>
      <c r="F5001" s="35"/>
      <c r="G5001" s="35"/>
      <c r="H5001" s="35"/>
      <c r="I5001" s="35"/>
      <c r="J5001" s="35"/>
      <c r="K5001" s="35"/>
      <c r="L5001" s="35"/>
      <c r="M5001" s="35"/>
      <c r="N5001" s="35"/>
      <c r="O5001" s="35"/>
      <c r="P5001" s="35"/>
      <c r="Q5001" s="35"/>
      <c r="R5001" s="35"/>
      <c r="S5001" s="74"/>
      <c r="T5001" s="35"/>
      <c r="U5001" s="35"/>
      <c r="V5001" s="35"/>
      <c r="W5001" s="45"/>
    </row>
    <row r="5002">
      <c r="A5002" s="45"/>
      <c r="B5002" s="35"/>
      <c r="C5002" s="35"/>
      <c r="D5002" s="10"/>
      <c r="E5002" s="35"/>
      <c r="F5002" s="35"/>
      <c r="G5002" s="35"/>
      <c r="H5002" s="35"/>
      <c r="I5002" s="35"/>
      <c r="J5002" s="35"/>
      <c r="K5002" s="35"/>
      <c r="L5002" s="35"/>
      <c r="M5002" s="35"/>
      <c r="N5002" s="35"/>
      <c r="O5002" s="35"/>
      <c r="P5002" s="35"/>
      <c r="Q5002" s="35"/>
      <c r="R5002" s="35"/>
      <c r="S5002" s="74"/>
      <c r="T5002" s="35"/>
      <c r="U5002" s="35"/>
      <c r="V5002" s="35"/>
      <c r="W5002" s="45"/>
    </row>
    <row r="5003">
      <c r="A5003" s="45"/>
      <c r="B5003" s="35"/>
      <c r="C5003" s="35"/>
      <c r="D5003" s="10"/>
      <c r="E5003" s="35"/>
      <c r="F5003" s="35"/>
      <c r="G5003" s="35"/>
      <c r="H5003" s="35"/>
      <c r="I5003" s="35"/>
      <c r="J5003" s="35"/>
      <c r="K5003" s="35"/>
      <c r="L5003" s="35"/>
      <c r="M5003" s="35"/>
      <c r="N5003" s="35"/>
      <c r="O5003" s="35"/>
      <c r="P5003" s="35"/>
      <c r="Q5003" s="35"/>
      <c r="R5003" s="35"/>
      <c r="S5003" s="74"/>
      <c r="T5003" s="35"/>
      <c r="U5003" s="35"/>
      <c r="V5003" s="35"/>
      <c r="W5003" s="45"/>
    </row>
    <row r="5004">
      <c r="A5004" s="45"/>
      <c r="B5004" s="35"/>
      <c r="C5004" s="35"/>
      <c r="D5004" s="10"/>
      <c r="E5004" s="35"/>
      <c r="F5004" s="35"/>
      <c r="G5004" s="35"/>
      <c r="H5004" s="35"/>
      <c r="I5004" s="35"/>
      <c r="J5004" s="35"/>
      <c r="K5004" s="35"/>
      <c r="L5004" s="35"/>
      <c r="M5004" s="35"/>
      <c r="N5004" s="35"/>
      <c r="O5004" s="35"/>
      <c r="P5004" s="35"/>
      <c r="Q5004" s="35"/>
      <c r="R5004" s="35"/>
      <c r="S5004" s="74"/>
      <c r="T5004" s="35"/>
      <c r="U5004" s="35"/>
      <c r="V5004" s="35"/>
      <c r="W5004" s="45"/>
    </row>
    <row r="5005">
      <c r="A5005" s="45"/>
      <c r="B5005" s="35"/>
      <c r="C5005" s="35"/>
      <c r="D5005" s="10"/>
      <c r="E5005" s="35"/>
      <c r="F5005" s="35"/>
      <c r="G5005" s="35"/>
      <c r="H5005" s="35"/>
      <c r="I5005" s="35"/>
      <c r="J5005" s="35"/>
      <c r="K5005" s="35"/>
      <c r="L5005" s="35"/>
      <c r="M5005" s="35"/>
      <c r="N5005" s="35"/>
      <c r="O5005" s="35"/>
      <c r="P5005" s="35"/>
      <c r="Q5005" s="35"/>
      <c r="R5005" s="35"/>
      <c r="S5005" s="74"/>
      <c r="T5005" s="35"/>
      <c r="U5005" s="35"/>
      <c r="V5005" s="35"/>
      <c r="W5005" s="45"/>
    </row>
    <row r="5006">
      <c r="A5006" s="45"/>
      <c r="B5006" s="35"/>
      <c r="C5006" s="35"/>
      <c r="D5006" s="10"/>
      <c r="E5006" s="35"/>
      <c r="F5006" s="35"/>
      <c r="G5006" s="35"/>
      <c r="H5006" s="35"/>
      <c r="I5006" s="35"/>
      <c r="J5006" s="35"/>
      <c r="K5006" s="35"/>
      <c r="L5006" s="35"/>
      <c r="M5006" s="35"/>
      <c r="N5006" s="35"/>
      <c r="O5006" s="35"/>
      <c r="P5006" s="35"/>
      <c r="Q5006" s="35"/>
      <c r="R5006" s="35"/>
      <c r="S5006" s="74"/>
      <c r="T5006" s="35"/>
      <c r="U5006" s="35"/>
      <c r="V5006" s="35"/>
      <c r="W5006" s="45"/>
    </row>
    <row r="5007">
      <c r="A5007" s="45"/>
      <c r="B5007" s="35"/>
      <c r="C5007" s="35"/>
      <c r="D5007" s="10"/>
      <c r="E5007" s="35"/>
      <c r="F5007" s="35"/>
      <c r="G5007" s="35"/>
      <c r="H5007" s="35"/>
      <c r="I5007" s="35"/>
      <c r="J5007" s="35"/>
      <c r="K5007" s="35"/>
      <c r="L5007" s="35"/>
      <c r="M5007" s="35"/>
      <c r="N5007" s="35"/>
      <c r="O5007" s="35"/>
      <c r="P5007" s="35"/>
      <c r="Q5007" s="35"/>
      <c r="R5007" s="35"/>
      <c r="S5007" s="74"/>
      <c r="T5007" s="35"/>
      <c r="U5007" s="35"/>
      <c r="V5007" s="35"/>
      <c r="W5007" s="45"/>
    </row>
    <row r="5008">
      <c r="A5008" s="45"/>
      <c r="B5008" s="35"/>
      <c r="C5008" s="35"/>
      <c r="D5008" s="10"/>
      <c r="E5008" s="35"/>
      <c r="F5008" s="35"/>
      <c r="G5008" s="35"/>
      <c r="H5008" s="35"/>
      <c r="I5008" s="35"/>
      <c r="J5008" s="35"/>
      <c r="K5008" s="35"/>
      <c r="L5008" s="35"/>
      <c r="M5008" s="35"/>
      <c r="N5008" s="35"/>
      <c r="O5008" s="35"/>
      <c r="P5008" s="35"/>
      <c r="Q5008" s="35"/>
      <c r="R5008" s="35"/>
      <c r="S5008" s="74"/>
      <c r="T5008" s="35"/>
      <c r="U5008" s="35"/>
      <c r="V5008" s="35"/>
      <c r="W5008" s="45"/>
    </row>
    <row r="5009">
      <c r="A5009" s="45"/>
      <c r="B5009" s="35"/>
      <c r="C5009" s="35"/>
      <c r="D5009" s="10"/>
      <c r="E5009" s="35"/>
      <c r="F5009" s="35"/>
      <c r="G5009" s="35"/>
      <c r="H5009" s="35"/>
      <c r="I5009" s="35"/>
      <c r="J5009" s="35"/>
      <c r="K5009" s="35"/>
      <c r="L5009" s="35"/>
      <c r="M5009" s="35"/>
      <c r="N5009" s="35"/>
      <c r="O5009" s="35"/>
      <c r="P5009" s="35"/>
      <c r="Q5009" s="35"/>
      <c r="R5009" s="35"/>
      <c r="S5009" s="74"/>
      <c r="T5009" s="35"/>
      <c r="U5009" s="35"/>
      <c r="V5009" s="35"/>
      <c r="W5009" s="45"/>
    </row>
    <row r="5010">
      <c r="A5010" s="45"/>
      <c r="B5010" s="35"/>
      <c r="C5010" s="35"/>
      <c r="D5010" s="10"/>
      <c r="E5010" s="35"/>
      <c r="F5010" s="35"/>
      <c r="G5010" s="35"/>
      <c r="H5010" s="35"/>
      <c r="I5010" s="35"/>
      <c r="J5010" s="35"/>
      <c r="K5010" s="35"/>
      <c r="L5010" s="35"/>
      <c r="M5010" s="35"/>
      <c r="N5010" s="35"/>
      <c r="O5010" s="35"/>
      <c r="P5010" s="35"/>
      <c r="Q5010" s="35"/>
      <c r="R5010" s="35"/>
      <c r="S5010" s="74"/>
      <c r="T5010" s="35"/>
      <c r="U5010" s="35"/>
      <c r="V5010" s="35"/>
      <c r="W5010" s="45"/>
    </row>
    <row r="5011">
      <c r="A5011" s="45"/>
      <c r="B5011" s="35"/>
      <c r="C5011" s="35"/>
      <c r="D5011" s="10"/>
      <c r="E5011" s="35"/>
      <c r="F5011" s="35"/>
      <c r="G5011" s="35"/>
      <c r="H5011" s="35"/>
      <c r="I5011" s="35"/>
      <c r="J5011" s="35"/>
      <c r="K5011" s="35"/>
      <c r="L5011" s="35"/>
      <c r="M5011" s="35"/>
      <c r="N5011" s="35"/>
      <c r="O5011" s="35"/>
      <c r="P5011" s="35"/>
      <c r="Q5011" s="35"/>
      <c r="R5011" s="35"/>
      <c r="S5011" s="74"/>
      <c r="T5011" s="35"/>
      <c r="U5011" s="35"/>
      <c r="V5011" s="35"/>
      <c r="W5011" s="45"/>
    </row>
    <row r="5012">
      <c r="A5012" s="45"/>
      <c r="B5012" s="35"/>
      <c r="C5012" s="35"/>
      <c r="D5012" s="10"/>
      <c r="E5012" s="35"/>
      <c r="F5012" s="35"/>
      <c r="G5012" s="35"/>
      <c r="H5012" s="35"/>
      <c r="I5012" s="35"/>
      <c r="J5012" s="35"/>
      <c r="K5012" s="35"/>
      <c r="L5012" s="35"/>
      <c r="M5012" s="35"/>
      <c r="N5012" s="35"/>
      <c r="O5012" s="35"/>
      <c r="P5012" s="35"/>
      <c r="Q5012" s="35"/>
      <c r="R5012" s="35"/>
      <c r="S5012" s="74"/>
      <c r="T5012" s="35"/>
      <c r="U5012" s="35"/>
      <c r="V5012" s="35"/>
      <c r="W5012" s="45"/>
    </row>
    <row r="5013">
      <c r="A5013" s="45"/>
      <c r="B5013" s="35"/>
      <c r="C5013" s="35"/>
      <c r="D5013" s="10"/>
      <c r="E5013" s="35"/>
      <c r="F5013" s="35"/>
      <c r="G5013" s="35"/>
      <c r="H5013" s="35"/>
      <c r="I5013" s="35"/>
      <c r="J5013" s="35"/>
      <c r="K5013" s="35"/>
      <c r="L5013" s="35"/>
      <c r="M5013" s="35"/>
      <c r="N5013" s="35"/>
      <c r="O5013" s="35"/>
      <c r="P5013" s="35"/>
      <c r="Q5013" s="35"/>
      <c r="R5013" s="35"/>
      <c r="S5013" s="74"/>
      <c r="T5013" s="35"/>
      <c r="U5013" s="35"/>
      <c r="V5013" s="35"/>
      <c r="W5013" s="45"/>
    </row>
    <row r="5014">
      <c r="A5014" s="45"/>
      <c r="B5014" s="35"/>
      <c r="C5014" s="35"/>
      <c r="D5014" s="10"/>
      <c r="E5014" s="35"/>
      <c r="F5014" s="35"/>
      <c r="G5014" s="35"/>
      <c r="H5014" s="35"/>
      <c r="I5014" s="35"/>
      <c r="J5014" s="35"/>
      <c r="K5014" s="35"/>
      <c r="L5014" s="35"/>
      <c r="M5014" s="35"/>
      <c r="N5014" s="35"/>
      <c r="O5014" s="35"/>
      <c r="P5014" s="35"/>
      <c r="Q5014" s="35"/>
      <c r="R5014" s="35"/>
      <c r="S5014" s="74"/>
      <c r="T5014" s="35"/>
      <c r="U5014" s="35"/>
      <c r="V5014" s="35"/>
      <c r="W5014" s="45"/>
    </row>
    <row r="5015">
      <c r="A5015" s="45"/>
      <c r="B5015" s="35"/>
      <c r="C5015" s="35"/>
      <c r="D5015" s="10"/>
      <c r="E5015" s="35"/>
      <c r="F5015" s="35"/>
      <c r="G5015" s="35"/>
      <c r="H5015" s="35"/>
      <c r="I5015" s="35"/>
      <c r="J5015" s="35"/>
      <c r="K5015" s="35"/>
      <c r="L5015" s="35"/>
      <c r="M5015" s="35"/>
      <c r="N5015" s="35"/>
      <c r="O5015" s="35"/>
      <c r="P5015" s="35"/>
      <c r="Q5015" s="35"/>
      <c r="R5015" s="35"/>
      <c r="S5015" s="74"/>
      <c r="T5015" s="35"/>
      <c r="U5015" s="35"/>
      <c r="V5015" s="35"/>
      <c r="W5015" s="45"/>
    </row>
    <row r="5016">
      <c r="A5016" s="45"/>
      <c r="B5016" s="35"/>
      <c r="C5016" s="35"/>
      <c r="D5016" s="10"/>
      <c r="E5016" s="35"/>
      <c r="F5016" s="35"/>
      <c r="G5016" s="35"/>
      <c r="H5016" s="35"/>
      <c r="I5016" s="35"/>
      <c r="J5016" s="35"/>
      <c r="K5016" s="35"/>
      <c r="L5016" s="35"/>
      <c r="M5016" s="35"/>
      <c r="N5016" s="35"/>
      <c r="O5016" s="35"/>
      <c r="P5016" s="35"/>
      <c r="Q5016" s="35"/>
      <c r="R5016" s="35"/>
      <c r="S5016" s="74"/>
      <c r="T5016" s="35"/>
      <c r="U5016" s="35"/>
      <c r="V5016" s="35"/>
      <c r="W5016" s="45"/>
    </row>
    <row r="5017">
      <c r="A5017" s="45"/>
      <c r="B5017" s="35"/>
      <c r="C5017" s="35"/>
      <c r="D5017" s="10"/>
      <c r="E5017" s="35"/>
      <c r="F5017" s="35"/>
      <c r="G5017" s="35"/>
      <c r="H5017" s="35"/>
      <c r="I5017" s="35"/>
      <c r="J5017" s="35"/>
      <c r="K5017" s="35"/>
      <c r="L5017" s="35"/>
      <c r="M5017" s="35"/>
      <c r="N5017" s="35"/>
      <c r="O5017" s="35"/>
      <c r="P5017" s="35"/>
      <c r="Q5017" s="35"/>
      <c r="R5017" s="35"/>
      <c r="S5017" s="74"/>
      <c r="T5017" s="35"/>
      <c r="U5017" s="35"/>
      <c r="V5017" s="35"/>
      <c r="W5017" s="45"/>
    </row>
    <row r="5018">
      <c r="A5018" s="45"/>
      <c r="B5018" s="35"/>
      <c r="C5018" s="35"/>
      <c r="D5018" s="10"/>
      <c r="E5018" s="35"/>
      <c r="F5018" s="35"/>
      <c r="G5018" s="35"/>
      <c r="H5018" s="35"/>
      <c r="I5018" s="35"/>
      <c r="J5018" s="35"/>
      <c r="K5018" s="35"/>
      <c r="L5018" s="35"/>
      <c r="M5018" s="35"/>
      <c r="N5018" s="35"/>
      <c r="O5018" s="35"/>
      <c r="P5018" s="35"/>
      <c r="Q5018" s="35"/>
      <c r="R5018" s="35"/>
      <c r="S5018" s="74"/>
      <c r="T5018" s="35"/>
      <c r="U5018" s="35"/>
      <c r="V5018" s="35"/>
      <c r="W5018" s="45"/>
    </row>
    <row r="5019">
      <c r="A5019" s="45"/>
      <c r="B5019" s="35"/>
      <c r="C5019" s="35"/>
      <c r="D5019" s="10"/>
      <c r="E5019" s="35"/>
      <c r="F5019" s="35"/>
      <c r="G5019" s="35"/>
      <c r="H5019" s="35"/>
      <c r="I5019" s="35"/>
      <c r="J5019" s="35"/>
      <c r="K5019" s="35"/>
      <c r="L5019" s="35"/>
      <c r="M5019" s="35"/>
      <c r="N5019" s="35"/>
      <c r="O5019" s="35"/>
      <c r="P5019" s="35"/>
      <c r="Q5019" s="35"/>
      <c r="R5019" s="35"/>
      <c r="S5019" s="74"/>
      <c r="T5019" s="35"/>
      <c r="U5019" s="35"/>
      <c r="V5019" s="35"/>
      <c r="W5019" s="45"/>
    </row>
    <row r="5020">
      <c r="A5020" s="45"/>
      <c r="B5020" s="35"/>
      <c r="C5020" s="35"/>
      <c r="D5020" s="10"/>
      <c r="E5020" s="35"/>
      <c r="F5020" s="35"/>
      <c r="G5020" s="35"/>
      <c r="H5020" s="35"/>
      <c r="I5020" s="35"/>
      <c r="J5020" s="35"/>
      <c r="K5020" s="35"/>
      <c r="L5020" s="35"/>
      <c r="M5020" s="35"/>
      <c r="N5020" s="35"/>
      <c r="O5020" s="35"/>
      <c r="P5020" s="35"/>
      <c r="Q5020" s="35"/>
      <c r="R5020" s="35"/>
      <c r="S5020" s="74"/>
      <c r="T5020" s="35"/>
      <c r="U5020" s="35"/>
      <c r="V5020" s="35"/>
      <c r="W5020" s="45"/>
    </row>
    <row r="5021">
      <c r="A5021" s="45"/>
      <c r="B5021" s="35"/>
      <c r="C5021" s="35"/>
      <c r="D5021" s="10"/>
      <c r="E5021" s="35"/>
      <c r="F5021" s="35"/>
      <c r="G5021" s="35"/>
      <c r="H5021" s="35"/>
      <c r="I5021" s="35"/>
      <c r="J5021" s="35"/>
      <c r="K5021" s="35"/>
      <c r="L5021" s="35"/>
      <c r="M5021" s="35"/>
      <c r="N5021" s="35"/>
      <c r="O5021" s="35"/>
      <c r="P5021" s="35"/>
      <c r="Q5021" s="35"/>
      <c r="R5021" s="35"/>
      <c r="S5021" s="74"/>
      <c r="T5021" s="35"/>
      <c r="U5021" s="35"/>
      <c r="V5021" s="35"/>
      <c r="W5021" s="45"/>
    </row>
    <row r="5022">
      <c r="A5022" s="45"/>
      <c r="B5022" s="35"/>
      <c r="C5022" s="35"/>
      <c r="D5022" s="10"/>
      <c r="E5022" s="35"/>
      <c r="F5022" s="35"/>
      <c r="G5022" s="35"/>
      <c r="H5022" s="35"/>
      <c r="I5022" s="35"/>
      <c r="J5022" s="35"/>
      <c r="K5022" s="35"/>
      <c r="L5022" s="35"/>
      <c r="M5022" s="35"/>
      <c r="N5022" s="35"/>
      <c r="O5022" s="35"/>
      <c r="P5022" s="35"/>
      <c r="Q5022" s="35"/>
      <c r="R5022" s="35"/>
      <c r="S5022" s="74"/>
      <c r="T5022" s="35"/>
      <c r="U5022" s="35"/>
      <c r="V5022" s="35"/>
      <c r="W5022" s="45"/>
    </row>
    <row r="5023">
      <c r="A5023" s="45"/>
      <c r="B5023" s="35"/>
      <c r="C5023" s="35"/>
      <c r="D5023" s="10"/>
      <c r="E5023" s="35"/>
      <c r="F5023" s="35"/>
      <c r="G5023" s="35"/>
      <c r="H5023" s="35"/>
      <c r="I5023" s="35"/>
      <c r="J5023" s="35"/>
      <c r="K5023" s="35"/>
      <c r="L5023" s="35"/>
      <c r="M5023" s="35"/>
      <c r="N5023" s="35"/>
      <c r="O5023" s="35"/>
      <c r="P5023" s="35"/>
      <c r="Q5023" s="35"/>
      <c r="R5023" s="35"/>
      <c r="S5023" s="74"/>
      <c r="T5023" s="35"/>
      <c r="U5023" s="35"/>
      <c r="V5023" s="35"/>
      <c r="W5023" s="45"/>
    </row>
    <row r="5024">
      <c r="A5024" s="45"/>
      <c r="B5024" s="35"/>
      <c r="C5024" s="35"/>
      <c r="D5024" s="10"/>
      <c r="E5024" s="35"/>
      <c r="F5024" s="35"/>
      <c r="G5024" s="35"/>
      <c r="H5024" s="35"/>
      <c r="I5024" s="35"/>
      <c r="J5024" s="35"/>
      <c r="K5024" s="35"/>
      <c r="L5024" s="35"/>
      <c r="M5024" s="35"/>
      <c r="N5024" s="35"/>
      <c r="O5024" s="35"/>
      <c r="P5024" s="35"/>
      <c r="Q5024" s="35"/>
      <c r="R5024" s="35"/>
      <c r="S5024" s="74"/>
      <c r="T5024" s="35"/>
      <c r="U5024" s="35"/>
      <c r="V5024" s="35"/>
      <c r="W5024" s="45"/>
    </row>
    <row r="5025">
      <c r="A5025" s="45"/>
      <c r="B5025" s="35"/>
      <c r="C5025" s="35"/>
      <c r="D5025" s="10"/>
      <c r="E5025" s="35"/>
      <c r="F5025" s="35"/>
      <c r="G5025" s="35"/>
      <c r="H5025" s="35"/>
      <c r="I5025" s="35"/>
      <c r="J5025" s="35"/>
      <c r="K5025" s="35"/>
      <c r="L5025" s="35"/>
      <c r="M5025" s="35"/>
      <c r="N5025" s="35"/>
      <c r="O5025" s="35"/>
      <c r="P5025" s="35"/>
      <c r="Q5025" s="35"/>
      <c r="R5025" s="35"/>
      <c r="S5025" s="74"/>
      <c r="T5025" s="35"/>
      <c r="U5025" s="35"/>
      <c r="V5025" s="35"/>
      <c r="W5025" s="45"/>
    </row>
    <row r="5026">
      <c r="A5026" s="45"/>
      <c r="B5026" s="35"/>
      <c r="C5026" s="35"/>
      <c r="D5026" s="10"/>
      <c r="E5026" s="35"/>
      <c r="F5026" s="35"/>
      <c r="G5026" s="35"/>
      <c r="H5026" s="35"/>
      <c r="I5026" s="35"/>
      <c r="J5026" s="35"/>
      <c r="K5026" s="35"/>
      <c r="L5026" s="35"/>
      <c r="M5026" s="35"/>
      <c r="N5026" s="35"/>
      <c r="O5026" s="35"/>
      <c r="P5026" s="35"/>
      <c r="Q5026" s="35"/>
      <c r="R5026" s="35"/>
      <c r="S5026" s="74"/>
      <c r="T5026" s="35"/>
      <c r="U5026" s="35"/>
      <c r="V5026" s="35"/>
      <c r="W5026" s="45"/>
    </row>
    <row r="5027">
      <c r="A5027" s="45"/>
      <c r="B5027" s="35"/>
      <c r="C5027" s="35"/>
      <c r="D5027" s="10"/>
      <c r="E5027" s="35"/>
      <c r="F5027" s="35"/>
      <c r="G5027" s="35"/>
      <c r="H5027" s="35"/>
      <c r="I5027" s="35"/>
      <c r="J5027" s="35"/>
      <c r="K5027" s="35"/>
      <c r="L5027" s="35"/>
      <c r="M5027" s="35"/>
      <c r="N5027" s="35"/>
      <c r="O5027" s="35"/>
      <c r="P5027" s="35"/>
      <c r="Q5027" s="35"/>
      <c r="R5027" s="35"/>
      <c r="S5027" s="74"/>
      <c r="T5027" s="35"/>
      <c r="U5027" s="35"/>
      <c r="V5027" s="35"/>
      <c r="W5027" s="45"/>
    </row>
    <row r="5028">
      <c r="A5028" s="45"/>
      <c r="B5028" s="35"/>
      <c r="C5028" s="35"/>
      <c r="D5028" s="10"/>
      <c r="E5028" s="35"/>
      <c r="F5028" s="35"/>
      <c r="G5028" s="35"/>
      <c r="H5028" s="35"/>
      <c r="I5028" s="35"/>
      <c r="J5028" s="35"/>
      <c r="K5028" s="35"/>
      <c r="L5028" s="35"/>
      <c r="M5028" s="35"/>
      <c r="N5028" s="35"/>
      <c r="O5028" s="35"/>
      <c r="P5028" s="35"/>
      <c r="Q5028" s="35"/>
      <c r="R5028" s="35"/>
      <c r="S5028" s="74"/>
      <c r="T5028" s="35"/>
      <c r="U5028" s="35"/>
      <c r="V5028" s="35"/>
      <c r="W5028" s="45"/>
    </row>
    <row r="5029">
      <c r="A5029" s="45"/>
      <c r="B5029" s="35"/>
      <c r="C5029" s="35"/>
      <c r="D5029" s="10"/>
      <c r="E5029" s="35"/>
      <c r="F5029" s="35"/>
      <c r="G5029" s="35"/>
      <c r="H5029" s="35"/>
      <c r="I5029" s="35"/>
      <c r="J5029" s="35"/>
      <c r="K5029" s="35"/>
      <c r="L5029" s="35"/>
      <c r="M5029" s="35"/>
      <c r="N5029" s="35"/>
      <c r="O5029" s="35"/>
      <c r="P5029" s="35"/>
      <c r="Q5029" s="35"/>
      <c r="R5029" s="35"/>
      <c r="S5029" s="74"/>
      <c r="T5029" s="35"/>
      <c r="U5029" s="35"/>
      <c r="V5029" s="35"/>
      <c r="W5029" s="45"/>
    </row>
    <row r="5030">
      <c r="A5030" s="45"/>
      <c r="B5030" s="35"/>
      <c r="C5030" s="35"/>
      <c r="D5030" s="10"/>
      <c r="E5030" s="35"/>
      <c r="F5030" s="35"/>
      <c r="G5030" s="35"/>
      <c r="H5030" s="35"/>
      <c r="I5030" s="35"/>
      <c r="J5030" s="35"/>
      <c r="K5030" s="35"/>
      <c r="L5030" s="35"/>
      <c r="M5030" s="35"/>
      <c r="N5030" s="35"/>
      <c r="O5030" s="35"/>
      <c r="P5030" s="35"/>
      <c r="Q5030" s="35"/>
      <c r="R5030" s="35"/>
      <c r="S5030" s="74"/>
      <c r="T5030" s="35"/>
      <c r="U5030" s="35"/>
      <c r="V5030" s="35"/>
      <c r="W5030" s="45"/>
    </row>
    <row r="5031">
      <c r="A5031" s="45"/>
      <c r="B5031" s="35"/>
      <c r="C5031" s="35"/>
      <c r="D5031" s="10"/>
      <c r="E5031" s="35"/>
      <c r="F5031" s="35"/>
      <c r="G5031" s="35"/>
      <c r="H5031" s="35"/>
      <c r="I5031" s="35"/>
      <c r="J5031" s="35"/>
      <c r="K5031" s="35"/>
      <c r="L5031" s="35"/>
      <c r="M5031" s="35"/>
      <c r="N5031" s="35"/>
      <c r="O5031" s="35"/>
      <c r="P5031" s="35"/>
      <c r="Q5031" s="35"/>
      <c r="R5031" s="35"/>
      <c r="S5031" s="74"/>
      <c r="T5031" s="35"/>
      <c r="U5031" s="35"/>
      <c r="V5031" s="35"/>
      <c r="W5031" s="45"/>
    </row>
    <row r="5032">
      <c r="A5032" s="45"/>
      <c r="B5032" s="35"/>
      <c r="C5032" s="35"/>
      <c r="D5032" s="10"/>
      <c r="E5032" s="35"/>
      <c r="F5032" s="35"/>
      <c r="G5032" s="35"/>
      <c r="H5032" s="35"/>
      <c r="I5032" s="35"/>
      <c r="J5032" s="35"/>
      <c r="K5032" s="35"/>
      <c r="L5032" s="35"/>
      <c r="M5032" s="35"/>
      <c r="N5032" s="35"/>
      <c r="O5032" s="35"/>
      <c r="P5032" s="35"/>
      <c r="Q5032" s="35"/>
      <c r="R5032" s="35"/>
      <c r="S5032" s="74"/>
      <c r="T5032" s="35"/>
      <c r="U5032" s="35"/>
      <c r="V5032" s="35"/>
      <c r="W5032" s="45"/>
    </row>
    <row r="5033">
      <c r="A5033" s="45"/>
      <c r="B5033" s="35"/>
      <c r="C5033" s="35"/>
      <c r="D5033" s="10"/>
      <c r="E5033" s="35"/>
      <c r="F5033" s="35"/>
      <c r="G5033" s="35"/>
      <c r="H5033" s="35"/>
      <c r="I5033" s="35"/>
      <c r="J5033" s="35"/>
      <c r="K5033" s="35"/>
      <c r="L5033" s="35"/>
      <c r="M5033" s="35"/>
      <c r="N5033" s="35"/>
      <c r="O5033" s="35"/>
      <c r="P5033" s="35"/>
      <c r="Q5033" s="35"/>
      <c r="R5033" s="35"/>
      <c r="S5033" s="74"/>
      <c r="T5033" s="35"/>
      <c r="U5033" s="35"/>
      <c r="V5033" s="35"/>
      <c r="W5033" s="45"/>
    </row>
    <row r="5034">
      <c r="A5034" s="45"/>
      <c r="B5034" s="35"/>
      <c r="C5034" s="35"/>
      <c r="D5034" s="10"/>
      <c r="E5034" s="35"/>
      <c r="F5034" s="35"/>
      <c r="G5034" s="35"/>
      <c r="H5034" s="35"/>
      <c r="I5034" s="35"/>
      <c r="J5034" s="35"/>
      <c r="K5034" s="35"/>
      <c r="L5034" s="35"/>
      <c r="M5034" s="35"/>
      <c r="N5034" s="35"/>
      <c r="O5034" s="35"/>
      <c r="P5034" s="35"/>
      <c r="Q5034" s="35"/>
      <c r="R5034" s="35"/>
      <c r="S5034" s="74"/>
      <c r="T5034" s="35"/>
      <c r="U5034" s="35"/>
      <c r="V5034" s="35"/>
      <c r="W5034" s="45"/>
    </row>
    <row r="5035">
      <c r="A5035" s="45"/>
      <c r="B5035" s="35"/>
      <c r="C5035" s="35"/>
      <c r="D5035" s="10"/>
      <c r="E5035" s="35"/>
      <c r="F5035" s="35"/>
      <c r="G5035" s="35"/>
      <c r="H5035" s="35"/>
      <c r="I5035" s="35"/>
      <c r="J5035" s="35"/>
      <c r="K5035" s="35"/>
      <c r="L5035" s="35"/>
      <c r="M5035" s="35"/>
      <c r="N5035" s="35"/>
      <c r="O5035" s="35"/>
      <c r="P5035" s="35"/>
      <c r="Q5035" s="35"/>
      <c r="R5035" s="35"/>
      <c r="S5035" s="74"/>
      <c r="T5035" s="35"/>
      <c r="U5035" s="35"/>
      <c r="V5035" s="35"/>
      <c r="W5035" s="45"/>
    </row>
    <row r="5036">
      <c r="A5036" s="45"/>
      <c r="B5036" s="35"/>
      <c r="C5036" s="35"/>
      <c r="D5036" s="10"/>
      <c r="E5036" s="35"/>
      <c r="F5036" s="35"/>
      <c r="G5036" s="35"/>
      <c r="H5036" s="35"/>
      <c r="I5036" s="35"/>
      <c r="J5036" s="35"/>
      <c r="K5036" s="35"/>
      <c r="L5036" s="35"/>
      <c r="M5036" s="35"/>
      <c r="N5036" s="35"/>
      <c r="O5036" s="35"/>
      <c r="P5036" s="35"/>
      <c r="Q5036" s="35"/>
      <c r="R5036" s="35"/>
      <c r="S5036" s="74"/>
      <c r="T5036" s="35"/>
      <c r="U5036" s="35"/>
      <c r="V5036" s="35"/>
      <c r="W5036" s="45"/>
    </row>
    <row r="5037">
      <c r="A5037" s="45"/>
      <c r="B5037" s="35"/>
      <c r="C5037" s="35"/>
      <c r="D5037" s="10"/>
      <c r="E5037" s="35"/>
      <c r="F5037" s="35"/>
      <c r="G5037" s="35"/>
      <c r="H5037" s="35"/>
      <c r="I5037" s="35"/>
      <c r="J5037" s="35"/>
      <c r="K5037" s="35"/>
      <c r="L5037" s="35"/>
      <c r="M5037" s="35"/>
      <c r="N5037" s="35"/>
      <c r="O5037" s="35"/>
      <c r="P5037" s="35"/>
      <c r="Q5037" s="35"/>
      <c r="R5037" s="35"/>
      <c r="S5037" s="74"/>
      <c r="T5037" s="35"/>
      <c r="U5037" s="35"/>
      <c r="V5037" s="35"/>
      <c r="W5037" s="45"/>
    </row>
    <row r="5038">
      <c r="A5038" s="45"/>
      <c r="B5038" s="35"/>
      <c r="C5038" s="35"/>
      <c r="D5038" s="10"/>
      <c r="E5038" s="35"/>
      <c r="F5038" s="35"/>
      <c r="G5038" s="35"/>
      <c r="H5038" s="35"/>
      <c r="I5038" s="35"/>
      <c r="J5038" s="35"/>
      <c r="K5038" s="35"/>
      <c r="L5038" s="35"/>
      <c r="M5038" s="35"/>
      <c r="N5038" s="35"/>
      <c r="O5038" s="35"/>
      <c r="P5038" s="35"/>
      <c r="Q5038" s="35"/>
      <c r="R5038" s="35"/>
      <c r="S5038" s="74"/>
      <c r="T5038" s="35"/>
      <c r="U5038" s="35"/>
      <c r="V5038" s="35"/>
      <c r="W5038" s="45"/>
    </row>
    <row r="5039">
      <c r="A5039" s="45"/>
      <c r="B5039" s="35"/>
      <c r="C5039" s="35"/>
      <c r="D5039" s="10"/>
      <c r="E5039" s="35"/>
      <c r="F5039" s="35"/>
      <c r="G5039" s="35"/>
      <c r="H5039" s="35"/>
      <c r="I5039" s="35"/>
      <c r="J5039" s="35"/>
      <c r="K5039" s="35"/>
      <c r="L5039" s="35"/>
      <c r="M5039" s="35"/>
      <c r="N5039" s="35"/>
      <c r="O5039" s="35"/>
      <c r="P5039" s="35"/>
      <c r="Q5039" s="35"/>
      <c r="R5039" s="35"/>
      <c r="S5039" s="74"/>
      <c r="T5039" s="35"/>
      <c r="U5039" s="35"/>
      <c r="V5039" s="35"/>
      <c r="W5039" s="45"/>
    </row>
    <row r="5040">
      <c r="A5040" s="45"/>
      <c r="B5040" s="35"/>
      <c r="C5040" s="35"/>
      <c r="D5040" s="10"/>
      <c r="E5040" s="35"/>
      <c r="F5040" s="35"/>
      <c r="G5040" s="35"/>
      <c r="H5040" s="35"/>
      <c r="I5040" s="35"/>
      <c r="J5040" s="35"/>
      <c r="K5040" s="35"/>
      <c r="L5040" s="35"/>
      <c r="M5040" s="35"/>
      <c r="N5040" s="35"/>
      <c r="O5040" s="35"/>
      <c r="P5040" s="35"/>
      <c r="Q5040" s="35"/>
      <c r="R5040" s="35"/>
      <c r="S5040" s="74"/>
      <c r="T5040" s="35"/>
      <c r="U5040" s="35"/>
      <c r="V5040" s="35"/>
      <c r="W5040" s="45"/>
    </row>
    <row r="5041">
      <c r="A5041" s="45"/>
      <c r="B5041" s="35"/>
      <c r="C5041" s="35"/>
      <c r="D5041" s="10"/>
      <c r="E5041" s="35"/>
      <c r="F5041" s="35"/>
      <c r="G5041" s="35"/>
      <c r="H5041" s="35"/>
      <c r="I5041" s="35"/>
      <c r="J5041" s="35"/>
      <c r="K5041" s="35"/>
      <c r="L5041" s="35"/>
      <c r="M5041" s="35"/>
      <c r="N5041" s="35"/>
      <c r="O5041" s="35"/>
      <c r="P5041" s="35"/>
      <c r="Q5041" s="35"/>
      <c r="R5041" s="35"/>
      <c r="S5041" s="74"/>
      <c r="T5041" s="35"/>
      <c r="U5041" s="35"/>
      <c r="V5041" s="35"/>
      <c r="W5041" s="45"/>
    </row>
    <row r="5042">
      <c r="A5042" s="45"/>
      <c r="B5042" s="35"/>
      <c r="C5042" s="35"/>
      <c r="D5042" s="10"/>
      <c r="E5042" s="35"/>
      <c r="F5042" s="35"/>
      <c r="G5042" s="35"/>
      <c r="H5042" s="35"/>
      <c r="I5042" s="35"/>
      <c r="J5042" s="35"/>
      <c r="K5042" s="35"/>
      <c r="L5042" s="35"/>
      <c r="M5042" s="35"/>
      <c r="N5042" s="35"/>
      <c r="O5042" s="35"/>
      <c r="P5042" s="35"/>
      <c r="Q5042" s="35"/>
      <c r="R5042" s="35"/>
      <c r="S5042" s="74"/>
      <c r="T5042" s="35"/>
      <c r="U5042" s="35"/>
      <c r="V5042" s="35"/>
      <c r="W5042" s="45"/>
    </row>
    <row r="5043">
      <c r="A5043" s="45"/>
      <c r="B5043" s="35"/>
      <c r="C5043" s="35"/>
      <c r="D5043" s="10"/>
      <c r="E5043" s="35"/>
      <c r="F5043" s="35"/>
      <c r="G5043" s="35"/>
      <c r="H5043" s="35"/>
      <c r="I5043" s="35"/>
      <c r="J5043" s="35"/>
      <c r="K5043" s="35"/>
      <c r="L5043" s="35"/>
      <c r="M5043" s="35"/>
      <c r="N5043" s="35"/>
      <c r="O5043" s="35"/>
      <c r="P5043" s="35"/>
      <c r="Q5043" s="35"/>
      <c r="R5043" s="35"/>
      <c r="S5043" s="74"/>
      <c r="T5043" s="35"/>
      <c r="U5043" s="35"/>
      <c r="V5043" s="35"/>
      <c r="W5043" s="45"/>
    </row>
    <row r="5044">
      <c r="A5044" s="45"/>
      <c r="B5044" s="35"/>
      <c r="C5044" s="35"/>
      <c r="D5044" s="10"/>
      <c r="E5044" s="35"/>
      <c r="F5044" s="35"/>
      <c r="G5044" s="35"/>
      <c r="H5044" s="35"/>
      <c r="I5044" s="35"/>
      <c r="J5044" s="35"/>
      <c r="K5044" s="35"/>
      <c r="L5044" s="35"/>
      <c r="M5044" s="35"/>
      <c r="N5044" s="35"/>
      <c r="O5044" s="35"/>
      <c r="P5044" s="35"/>
      <c r="Q5044" s="35"/>
      <c r="R5044" s="35"/>
      <c r="S5044" s="74"/>
      <c r="T5044" s="35"/>
      <c r="U5044" s="35"/>
      <c r="V5044" s="35"/>
      <c r="W5044" s="45"/>
    </row>
    <row r="5045">
      <c r="A5045" s="45"/>
      <c r="B5045" s="35"/>
      <c r="C5045" s="35"/>
      <c r="D5045" s="10"/>
      <c r="E5045" s="35"/>
      <c r="F5045" s="35"/>
      <c r="G5045" s="35"/>
      <c r="H5045" s="35"/>
      <c r="I5045" s="35"/>
      <c r="J5045" s="35"/>
      <c r="K5045" s="35"/>
      <c r="L5045" s="35"/>
      <c r="M5045" s="35"/>
      <c r="N5045" s="35"/>
      <c r="O5045" s="35"/>
      <c r="P5045" s="35"/>
      <c r="Q5045" s="35"/>
      <c r="R5045" s="35"/>
      <c r="S5045" s="74"/>
      <c r="T5045" s="35"/>
      <c r="U5045" s="35"/>
      <c r="V5045" s="35"/>
      <c r="W5045" s="45"/>
    </row>
    <row r="5046">
      <c r="A5046" s="45"/>
      <c r="B5046" s="35"/>
      <c r="C5046" s="35"/>
      <c r="D5046" s="10"/>
      <c r="E5046" s="35"/>
      <c r="F5046" s="35"/>
      <c r="G5046" s="35"/>
      <c r="H5046" s="35"/>
      <c r="I5046" s="35"/>
      <c r="J5046" s="35"/>
      <c r="K5046" s="35"/>
      <c r="L5046" s="35"/>
      <c r="M5046" s="35"/>
      <c r="N5046" s="35"/>
      <c r="O5046" s="35"/>
      <c r="P5046" s="35"/>
      <c r="Q5046" s="35"/>
      <c r="R5046" s="35"/>
      <c r="S5046" s="74"/>
      <c r="T5046" s="35"/>
      <c r="U5046" s="35"/>
      <c r="V5046" s="35"/>
      <c r="W5046" s="45"/>
    </row>
    <row r="5047">
      <c r="A5047" s="45"/>
      <c r="B5047" s="35"/>
      <c r="C5047" s="35"/>
      <c r="D5047" s="10"/>
      <c r="E5047" s="35"/>
      <c r="F5047" s="35"/>
      <c r="G5047" s="35"/>
      <c r="H5047" s="35"/>
      <c r="I5047" s="35"/>
      <c r="J5047" s="35"/>
      <c r="K5047" s="35"/>
      <c r="L5047" s="35"/>
      <c r="M5047" s="35"/>
      <c r="N5047" s="35"/>
      <c r="O5047" s="35"/>
      <c r="P5047" s="35"/>
      <c r="Q5047" s="35"/>
      <c r="R5047" s="35"/>
      <c r="S5047" s="74"/>
      <c r="T5047" s="35"/>
      <c r="U5047" s="35"/>
      <c r="V5047" s="35"/>
      <c r="W5047" s="45"/>
    </row>
    <row r="5048">
      <c r="A5048" s="45"/>
      <c r="B5048" s="35"/>
      <c r="C5048" s="35"/>
      <c r="D5048" s="10"/>
      <c r="E5048" s="35"/>
      <c r="F5048" s="35"/>
      <c r="G5048" s="35"/>
      <c r="H5048" s="35"/>
      <c r="I5048" s="35"/>
      <c r="J5048" s="35"/>
      <c r="K5048" s="35"/>
      <c r="L5048" s="35"/>
      <c r="M5048" s="35"/>
      <c r="N5048" s="35"/>
      <c r="O5048" s="35"/>
      <c r="P5048" s="35"/>
      <c r="Q5048" s="35"/>
      <c r="R5048" s="35"/>
      <c r="S5048" s="74"/>
      <c r="T5048" s="35"/>
      <c r="U5048" s="35"/>
      <c r="V5048" s="35"/>
      <c r="W5048" s="45"/>
    </row>
    <row r="5049">
      <c r="A5049" s="45"/>
      <c r="B5049" s="35"/>
      <c r="C5049" s="35"/>
      <c r="D5049" s="10"/>
      <c r="E5049" s="35"/>
      <c r="F5049" s="35"/>
      <c r="G5049" s="35"/>
      <c r="H5049" s="35"/>
      <c r="I5049" s="35"/>
      <c r="J5049" s="35"/>
      <c r="K5049" s="35"/>
      <c r="L5049" s="35"/>
      <c r="M5049" s="35"/>
      <c r="N5049" s="35"/>
      <c r="O5049" s="35"/>
      <c r="P5049" s="35"/>
      <c r="Q5049" s="35"/>
      <c r="R5049" s="35"/>
      <c r="S5049" s="74"/>
      <c r="T5049" s="35"/>
      <c r="U5049" s="35"/>
      <c r="V5049" s="35"/>
      <c r="W5049" s="45"/>
    </row>
    <row r="5050">
      <c r="A5050" s="45"/>
      <c r="B5050" s="35"/>
      <c r="C5050" s="35"/>
      <c r="D5050" s="10"/>
      <c r="E5050" s="35"/>
      <c r="F5050" s="35"/>
      <c r="G5050" s="35"/>
      <c r="H5050" s="35"/>
      <c r="I5050" s="35"/>
      <c r="J5050" s="35"/>
      <c r="K5050" s="35"/>
      <c r="L5050" s="35"/>
      <c r="M5050" s="35"/>
      <c r="N5050" s="35"/>
      <c r="O5050" s="35"/>
      <c r="P5050" s="35"/>
      <c r="Q5050" s="35"/>
      <c r="R5050" s="35"/>
      <c r="S5050" s="74"/>
      <c r="T5050" s="35"/>
      <c r="U5050" s="35"/>
      <c r="V5050" s="35"/>
      <c r="W5050" s="45"/>
    </row>
    <row r="5051">
      <c r="A5051" s="45"/>
      <c r="B5051" s="35"/>
      <c r="C5051" s="35"/>
      <c r="D5051" s="10"/>
      <c r="E5051" s="35"/>
      <c r="F5051" s="35"/>
      <c r="G5051" s="35"/>
      <c r="H5051" s="35"/>
      <c r="I5051" s="35"/>
      <c r="J5051" s="35"/>
      <c r="K5051" s="35"/>
      <c r="L5051" s="35"/>
      <c r="M5051" s="35"/>
      <c r="N5051" s="35"/>
      <c r="O5051" s="35"/>
      <c r="P5051" s="35"/>
      <c r="Q5051" s="35"/>
      <c r="R5051" s="35"/>
      <c r="S5051" s="74"/>
      <c r="T5051" s="35"/>
      <c r="U5051" s="35"/>
      <c r="V5051" s="35"/>
      <c r="W5051" s="45"/>
    </row>
    <row r="5052">
      <c r="A5052" s="45"/>
      <c r="B5052" s="35"/>
      <c r="C5052" s="35"/>
      <c r="D5052" s="10"/>
      <c r="E5052" s="35"/>
      <c r="F5052" s="35"/>
      <c r="G5052" s="35"/>
      <c r="H5052" s="35"/>
      <c r="I5052" s="35"/>
      <c r="J5052" s="35"/>
      <c r="K5052" s="35"/>
      <c r="L5052" s="35"/>
      <c r="M5052" s="35"/>
      <c r="N5052" s="35"/>
      <c r="O5052" s="35"/>
      <c r="P5052" s="35"/>
      <c r="Q5052" s="35"/>
      <c r="R5052" s="35"/>
      <c r="S5052" s="74"/>
      <c r="T5052" s="35"/>
      <c r="U5052" s="35"/>
      <c r="V5052" s="35"/>
      <c r="W5052" s="45"/>
    </row>
    <row r="5053">
      <c r="A5053" s="45"/>
      <c r="B5053" s="35"/>
      <c r="C5053" s="35"/>
      <c r="D5053" s="10"/>
      <c r="E5053" s="35"/>
      <c r="F5053" s="35"/>
      <c r="G5053" s="35"/>
      <c r="H5053" s="35"/>
      <c r="I5053" s="35"/>
      <c r="J5053" s="35"/>
      <c r="K5053" s="35"/>
      <c r="L5053" s="35"/>
      <c r="M5053" s="35"/>
      <c r="N5053" s="35"/>
      <c r="O5053" s="35"/>
      <c r="P5053" s="35"/>
      <c r="Q5053" s="35"/>
      <c r="R5053" s="35"/>
      <c r="S5053" s="74"/>
      <c r="T5053" s="35"/>
      <c r="U5053" s="35"/>
      <c r="V5053" s="35"/>
      <c r="W5053" s="45"/>
    </row>
    <row r="5054">
      <c r="A5054" s="45"/>
      <c r="B5054" s="35"/>
      <c r="C5054" s="35"/>
      <c r="D5054" s="10"/>
      <c r="E5054" s="35"/>
      <c r="F5054" s="35"/>
      <c r="G5054" s="35"/>
      <c r="H5054" s="35"/>
      <c r="I5054" s="35"/>
      <c r="J5054" s="35"/>
      <c r="K5054" s="35"/>
      <c r="L5054" s="35"/>
      <c r="M5054" s="35"/>
      <c r="N5054" s="35"/>
      <c r="O5054" s="35"/>
      <c r="P5054" s="35"/>
      <c r="Q5054" s="35"/>
      <c r="R5054" s="35"/>
      <c r="S5054" s="74"/>
      <c r="T5054" s="35"/>
      <c r="U5054" s="35"/>
      <c r="V5054" s="35"/>
      <c r="W5054" s="45"/>
    </row>
    <row r="5055">
      <c r="A5055" s="45"/>
      <c r="B5055" s="35"/>
      <c r="C5055" s="35"/>
      <c r="D5055" s="10"/>
      <c r="E5055" s="35"/>
      <c r="F5055" s="35"/>
      <c r="G5055" s="35"/>
      <c r="H5055" s="35"/>
      <c r="I5055" s="35"/>
      <c r="J5055" s="35"/>
      <c r="K5055" s="35"/>
      <c r="L5055" s="35"/>
      <c r="M5055" s="35"/>
      <c r="N5055" s="35"/>
      <c r="O5055" s="35"/>
      <c r="P5055" s="35"/>
      <c r="Q5055" s="35"/>
      <c r="R5055" s="35"/>
      <c r="S5055" s="74"/>
      <c r="T5055" s="35"/>
      <c r="U5055" s="35"/>
      <c r="V5055" s="35"/>
      <c r="W5055" s="45"/>
    </row>
    <row r="5056">
      <c r="A5056" s="45"/>
      <c r="B5056" s="35"/>
      <c r="C5056" s="35"/>
      <c r="D5056" s="10"/>
      <c r="E5056" s="35"/>
      <c r="F5056" s="35"/>
      <c r="G5056" s="35"/>
      <c r="H5056" s="35"/>
      <c r="I5056" s="35"/>
      <c r="J5056" s="35"/>
      <c r="K5056" s="35"/>
      <c r="L5056" s="35"/>
      <c r="M5056" s="35"/>
      <c r="N5056" s="35"/>
      <c r="O5056" s="35"/>
      <c r="P5056" s="35"/>
      <c r="Q5056" s="35"/>
      <c r="R5056" s="35"/>
      <c r="S5056" s="74"/>
      <c r="T5056" s="35"/>
      <c r="U5056" s="35"/>
      <c r="V5056" s="35"/>
      <c r="W5056" s="45"/>
    </row>
    <row r="5057">
      <c r="A5057" s="45"/>
      <c r="B5057" s="35"/>
      <c r="C5057" s="35"/>
      <c r="D5057" s="10"/>
      <c r="E5057" s="35"/>
      <c r="F5057" s="35"/>
      <c r="G5057" s="35"/>
      <c r="H5057" s="35"/>
      <c r="I5057" s="35"/>
      <c r="J5057" s="35"/>
      <c r="K5057" s="35"/>
      <c r="L5057" s="35"/>
      <c r="M5057" s="35"/>
      <c r="N5057" s="35"/>
      <c r="O5057" s="35"/>
      <c r="P5057" s="35"/>
      <c r="Q5057" s="35"/>
      <c r="R5057" s="35"/>
      <c r="S5057" s="74"/>
      <c r="T5057" s="35"/>
      <c r="U5057" s="35"/>
      <c r="V5057" s="35"/>
      <c r="W5057" s="45"/>
    </row>
    <row r="5058">
      <c r="A5058" s="45"/>
      <c r="B5058" s="35"/>
      <c r="C5058" s="35"/>
      <c r="D5058" s="10"/>
      <c r="E5058" s="35"/>
      <c r="F5058" s="35"/>
      <c r="G5058" s="35"/>
      <c r="H5058" s="35"/>
      <c r="I5058" s="35"/>
      <c r="J5058" s="35"/>
      <c r="K5058" s="35"/>
      <c r="L5058" s="35"/>
      <c r="M5058" s="35"/>
      <c r="N5058" s="35"/>
      <c r="O5058" s="35"/>
      <c r="P5058" s="35"/>
      <c r="Q5058" s="35"/>
      <c r="R5058" s="35"/>
      <c r="S5058" s="74"/>
      <c r="T5058" s="35"/>
      <c r="U5058" s="35"/>
      <c r="V5058" s="35"/>
      <c r="W5058" s="45"/>
    </row>
    <row r="5059">
      <c r="A5059" s="45"/>
      <c r="B5059" s="35"/>
      <c r="C5059" s="35"/>
      <c r="D5059" s="10"/>
      <c r="E5059" s="35"/>
      <c r="F5059" s="35"/>
      <c r="G5059" s="35"/>
      <c r="H5059" s="35"/>
      <c r="I5059" s="35"/>
      <c r="J5059" s="35"/>
      <c r="K5059" s="35"/>
      <c r="L5059" s="35"/>
      <c r="M5059" s="35"/>
      <c r="N5059" s="35"/>
      <c r="O5059" s="35"/>
      <c r="P5059" s="35"/>
      <c r="Q5059" s="35"/>
      <c r="R5059" s="35"/>
      <c r="S5059" s="74"/>
      <c r="T5059" s="35"/>
      <c r="U5059" s="35"/>
      <c r="V5059" s="35"/>
      <c r="W5059" s="45"/>
    </row>
    <row r="5060">
      <c r="A5060" s="45"/>
      <c r="B5060" s="35"/>
      <c r="C5060" s="35"/>
      <c r="D5060" s="10"/>
      <c r="E5060" s="35"/>
      <c r="F5060" s="35"/>
      <c r="G5060" s="35"/>
      <c r="H5060" s="35"/>
      <c r="I5060" s="35"/>
      <c r="J5060" s="35"/>
      <c r="K5060" s="35"/>
      <c r="L5060" s="35"/>
      <c r="M5060" s="35"/>
      <c r="N5060" s="35"/>
      <c r="O5060" s="35"/>
      <c r="P5060" s="35"/>
      <c r="Q5060" s="35"/>
      <c r="R5060" s="35"/>
      <c r="S5060" s="74"/>
      <c r="T5060" s="35"/>
      <c r="U5060" s="35"/>
      <c r="V5060" s="35"/>
      <c r="W5060" s="45"/>
    </row>
    <row r="5061">
      <c r="A5061" s="45"/>
      <c r="B5061" s="35"/>
      <c r="C5061" s="35"/>
      <c r="D5061" s="10"/>
      <c r="E5061" s="35"/>
      <c r="F5061" s="35"/>
      <c r="G5061" s="35"/>
      <c r="H5061" s="35"/>
      <c r="I5061" s="35"/>
      <c r="J5061" s="35"/>
      <c r="K5061" s="35"/>
      <c r="L5061" s="35"/>
      <c r="M5061" s="35"/>
      <c r="N5061" s="35"/>
      <c r="O5061" s="35"/>
      <c r="P5061" s="35"/>
      <c r="Q5061" s="35"/>
      <c r="R5061" s="35"/>
      <c r="S5061" s="74"/>
      <c r="T5061" s="35"/>
      <c r="U5061" s="35"/>
      <c r="V5061" s="35"/>
      <c r="W5061" s="45"/>
    </row>
    <row r="5062">
      <c r="A5062" s="45"/>
      <c r="B5062" s="35"/>
      <c r="C5062" s="35"/>
      <c r="D5062" s="10"/>
      <c r="E5062" s="35"/>
      <c r="F5062" s="35"/>
      <c r="G5062" s="35"/>
      <c r="H5062" s="35"/>
      <c r="I5062" s="35"/>
      <c r="J5062" s="35"/>
      <c r="K5062" s="35"/>
      <c r="L5062" s="35"/>
      <c r="M5062" s="35"/>
      <c r="N5062" s="35"/>
      <c r="O5062" s="35"/>
      <c r="P5062" s="35"/>
      <c r="Q5062" s="35"/>
      <c r="R5062" s="35"/>
      <c r="S5062" s="74"/>
      <c r="T5062" s="35"/>
      <c r="U5062" s="35"/>
      <c r="V5062" s="35"/>
      <c r="W5062" s="45"/>
    </row>
    <row r="5063">
      <c r="A5063" s="45"/>
      <c r="B5063" s="35"/>
      <c r="C5063" s="35"/>
      <c r="D5063" s="10"/>
      <c r="E5063" s="35"/>
      <c r="F5063" s="35"/>
      <c r="G5063" s="35"/>
      <c r="H5063" s="35"/>
      <c r="I5063" s="35"/>
      <c r="J5063" s="35"/>
      <c r="K5063" s="35"/>
      <c r="L5063" s="35"/>
      <c r="M5063" s="35"/>
      <c r="N5063" s="35"/>
      <c r="O5063" s="35"/>
      <c r="P5063" s="35"/>
      <c r="Q5063" s="35"/>
      <c r="R5063" s="35"/>
      <c r="S5063" s="74"/>
      <c r="T5063" s="35"/>
      <c r="U5063" s="35"/>
      <c r="V5063" s="35"/>
      <c r="W5063" s="45"/>
    </row>
    <row r="5064">
      <c r="A5064" s="45"/>
      <c r="B5064" s="35"/>
      <c r="C5064" s="35"/>
      <c r="D5064" s="10"/>
      <c r="E5064" s="35"/>
      <c r="F5064" s="35"/>
      <c r="G5064" s="35"/>
      <c r="H5064" s="35"/>
      <c r="I5064" s="35"/>
      <c r="J5064" s="35"/>
      <c r="K5064" s="35"/>
      <c r="L5064" s="35"/>
      <c r="M5064" s="35"/>
      <c r="N5064" s="35"/>
      <c r="O5064" s="35"/>
      <c r="P5064" s="35"/>
      <c r="Q5064" s="35"/>
      <c r="R5064" s="35"/>
      <c r="S5064" s="74"/>
      <c r="T5064" s="35"/>
      <c r="U5064" s="35"/>
      <c r="V5064" s="35"/>
      <c r="W5064" s="45"/>
    </row>
    <row r="5065">
      <c r="A5065" s="45"/>
      <c r="B5065" s="35"/>
      <c r="C5065" s="35"/>
      <c r="D5065" s="10"/>
      <c r="E5065" s="35"/>
      <c r="F5065" s="35"/>
      <c r="G5065" s="35"/>
      <c r="H5065" s="35"/>
      <c r="I5065" s="35"/>
      <c r="J5065" s="35"/>
      <c r="K5065" s="35"/>
      <c r="L5065" s="35"/>
      <c r="M5065" s="35"/>
      <c r="N5065" s="35"/>
      <c r="O5065" s="35"/>
      <c r="P5065" s="35"/>
      <c r="Q5065" s="35"/>
      <c r="R5065" s="35"/>
      <c r="S5065" s="74"/>
      <c r="T5065" s="35"/>
      <c r="U5065" s="35"/>
      <c r="V5065" s="35"/>
      <c r="W5065" s="45"/>
    </row>
    <row r="5066">
      <c r="A5066" s="45"/>
      <c r="B5066" s="35"/>
      <c r="C5066" s="35"/>
      <c r="D5066" s="10"/>
      <c r="E5066" s="35"/>
      <c r="F5066" s="35"/>
      <c r="G5066" s="35"/>
      <c r="H5066" s="35"/>
      <c r="I5066" s="35"/>
      <c r="J5066" s="35"/>
      <c r="K5066" s="35"/>
      <c r="L5066" s="35"/>
      <c r="M5066" s="35"/>
      <c r="N5066" s="35"/>
      <c r="O5066" s="35"/>
      <c r="P5066" s="35"/>
      <c r="Q5066" s="35"/>
      <c r="R5066" s="35"/>
      <c r="S5066" s="74"/>
      <c r="T5066" s="35"/>
      <c r="U5066" s="35"/>
      <c r="V5066" s="35"/>
      <c r="W5066" s="45"/>
    </row>
    <row r="5067">
      <c r="A5067" s="45"/>
      <c r="B5067" s="35"/>
      <c r="C5067" s="35"/>
      <c r="D5067" s="10"/>
      <c r="E5067" s="35"/>
      <c r="F5067" s="35"/>
      <c r="G5067" s="35"/>
      <c r="H5067" s="35"/>
      <c r="I5067" s="35"/>
      <c r="J5067" s="35"/>
      <c r="K5067" s="35"/>
      <c r="L5067" s="35"/>
      <c r="M5067" s="35"/>
      <c r="N5067" s="35"/>
      <c r="O5067" s="35"/>
      <c r="P5067" s="35"/>
      <c r="Q5067" s="35"/>
      <c r="R5067" s="35"/>
      <c r="S5067" s="74"/>
      <c r="T5067" s="35"/>
      <c r="U5067" s="35"/>
      <c r="V5067" s="35"/>
      <c r="W5067" s="45"/>
    </row>
    <row r="5068">
      <c r="A5068" s="45"/>
      <c r="B5068" s="35"/>
      <c r="C5068" s="35"/>
      <c r="D5068" s="10"/>
      <c r="E5068" s="35"/>
      <c r="F5068" s="35"/>
      <c r="G5068" s="35"/>
      <c r="H5068" s="35"/>
      <c r="I5068" s="35"/>
      <c r="J5068" s="35"/>
      <c r="K5068" s="35"/>
      <c r="L5068" s="35"/>
      <c r="M5068" s="35"/>
      <c r="N5068" s="35"/>
      <c r="O5068" s="35"/>
      <c r="P5068" s="35"/>
      <c r="Q5068" s="35"/>
      <c r="R5068" s="35"/>
      <c r="S5068" s="74"/>
      <c r="T5068" s="35"/>
      <c r="U5068" s="35"/>
      <c r="V5068" s="35"/>
      <c r="W5068" s="45"/>
    </row>
    <row r="5069">
      <c r="A5069" s="45"/>
      <c r="B5069" s="35"/>
      <c r="C5069" s="35"/>
      <c r="D5069" s="10"/>
      <c r="E5069" s="35"/>
      <c r="F5069" s="35"/>
      <c r="G5069" s="35"/>
      <c r="H5069" s="35"/>
      <c r="I5069" s="35"/>
      <c r="J5069" s="35"/>
      <c r="K5069" s="35"/>
      <c r="L5069" s="35"/>
      <c r="M5069" s="35"/>
      <c r="N5069" s="35"/>
      <c r="O5069" s="35"/>
      <c r="P5069" s="35"/>
      <c r="Q5069" s="35"/>
      <c r="R5069" s="35"/>
      <c r="S5069" s="74"/>
      <c r="T5069" s="35"/>
      <c r="U5069" s="35"/>
      <c r="V5069" s="35"/>
      <c r="W5069" s="45"/>
    </row>
    <row r="5070">
      <c r="A5070" s="45"/>
      <c r="B5070" s="35"/>
      <c r="C5070" s="35"/>
      <c r="D5070" s="10"/>
      <c r="E5070" s="35"/>
      <c r="F5070" s="35"/>
      <c r="G5070" s="35"/>
      <c r="H5070" s="35"/>
      <c r="I5070" s="35"/>
      <c r="J5070" s="35"/>
      <c r="K5070" s="35"/>
      <c r="L5070" s="35"/>
      <c r="M5070" s="35"/>
      <c r="N5070" s="35"/>
      <c r="O5070" s="35"/>
      <c r="P5070" s="35"/>
      <c r="Q5070" s="35"/>
      <c r="R5070" s="35"/>
      <c r="S5070" s="74"/>
      <c r="T5070" s="35"/>
      <c r="U5070" s="35"/>
      <c r="V5070" s="35"/>
      <c r="W5070" s="45"/>
    </row>
    <row r="5071">
      <c r="A5071" s="45"/>
      <c r="B5071" s="35"/>
      <c r="C5071" s="35"/>
      <c r="D5071" s="10"/>
      <c r="E5071" s="35"/>
      <c r="F5071" s="35"/>
      <c r="G5071" s="35"/>
      <c r="H5071" s="35"/>
      <c r="I5071" s="35"/>
      <c r="J5071" s="35"/>
      <c r="K5071" s="35"/>
      <c r="L5071" s="35"/>
      <c r="M5071" s="35"/>
      <c r="N5071" s="35"/>
      <c r="O5071" s="35"/>
      <c r="P5071" s="35"/>
      <c r="Q5071" s="35"/>
      <c r="R5071" s="35"/>
      <c r="S5071" s="74"/>
      <c r="T5071" s="35"/>
      <c r="U5071" s="35"/>
      <c r="V5071" s="35"/>
      <c r="W5071" s="45"/>
    </row>
    <row r="5072">
      <c r="A5072" s="45"/>
      <c r="B5072" s="35"/>
      <c r="C5072" s="35"/>
      <c r="D5072" s="10"/>
      <c r="E5072" s="35"/>
      <c r="F5072" s="35"/>
      <c r="G5072" s="35"/>
      <c r="H5072" s="35"/>
      <c r="I5072" s="35"/>
      <c r="J5072" s="35"/>
      <c r="K5072" s="35"/>
      <c r="L5072" s="35"/>
      <c r="M5072" s="35"/>
      <c r="N5072" s="35"/>
      <c r="O5072" s="35"/>
      <c r="P5072" s="35"/>
      <c r="Q5072" s="35"/>
      <c r="R5072" s="35"/>
      <c r="S5072" s="74"/>
      <c r="T5072" s="35"/>
      <c r="U5072" s="35"/>
      <c r="V5072" s="35"/>
      <c r="W5072" s="45"/>
    </row>
    <row r="5073">
      <c r="A5073" s="45"/>
      <c r="B5073" s="35"/>
      <c r="C5073" s="35"/>
      <c r="D5073" s="10"/>
      <c r="E5073" s="35"/>
      <c r="F5073" s="35"/>
      <c r="G5073" s="35"/>
      <c r="H5073" s="35"/>
      <c r="I5073" s="35"/>
      <c r="J5073" s="35"/>
      <c r="K5073" s="35"/>
      <c r="L5073" s="35"/>
      <c r="M5073" s="35"/>
      <c r="N5073" s="35"/>
      <c r="O5073" s="35"/>
      <c r="P5073" s="35"/>
      <c r="Q5073" s="35"/>
      <c r="R5073" s="35"/>
      <c r="S5073" s="74"/>
      <c r="T5073" s="35"/>
      <c r="U5073" s="35"/>
      <c r="V5073" s="35"/>
      <c r="W5073" s="45"/>
    </row>
    <row r="5074">
      <c r="A5074" s="45"/>
      <c r="B5074" s="35"/>
      <c r="C5074" s="35"/>
      <c r="D5074" s="10"/>
      <c r="E5074" s="35"/>
      <c r="F5074" s="35"/>
      <c r="G5074" s="35"/>
      <c r="H5074" s="35"/>
      <c r="I5074" s="35"/>
      <c r="J5074" s="35"/>
      <c r="K5074" s="35"/>
      <c r="L5074" s="35"/>
      <c r="M5074" s="35"/>
      <c r="N5074" s="35"/>
      <c r="O5074" s="35"/>
      <c r="P5074" s="35"/>
      <c r="Q5074" s="35"/>
      <c r="R5074" s="35"/>
      <c r="S5074" s="74"/>
      <c r="T5074" s="35"/>
      <c r="U5074" s="35"/>
      <c r="V5074" s="35"/>
      <c r="W5074" s="45"/>
    </row>
    <row r="5075">
      <c r="A5075" s="45"/>
      <c r="B5075" s="35"/>
      <c r="C5075" s="35"/>
      <c r="D5075" s="10"/>
      <c r="E5075" s="35"/>
      <c r="F5075" s="35"/>
      <c r="G5075" s="35"/>
      <c r="H5075" s="35"/>
      <c r="I5075" s="35"/>
      <c r="J5075" s="35"/>
      <c r="K5075" s="35"/>
      <c r="L5075" s="35"/>
      <c r="M5075" s="35"/>
      <c r="N5075" s="35"/>
      <c r="O5075" s="35"/>
      <c r="P5075" s="35"/>
      <c r="Q5075" s="35"/>
      <c r="R5075" s="35"/>
      <c r="S5075" s="74"/>
      <c r="T5075" s="35"/>
      <c r="U5075" s="35"/>
      <c r="V5075" s="35"/>
      <c r="W5075" s="45"/>
    </row>
    <row r="5076">
      <c r="A5076" s="45"/>
      <c r="B5076" s="35"/>
      <c r="C5076" s="35"/>
      <c r="D5076" s="10"/>
      <c r="E5076" s="35"/>
      <c r="F5076" s="35"/>
      <c r="G5076" s="35"/>
      <c r="H5076" s="35"/>
      <c r="I5076" s="35"/>
      <c r="J5076" s="35"/>
      <c r="K5076" s="35"/>
      <c r="L5076" s="35"/>
      <c r="M5076" s="35"/>
      <c r="N5076" s="35"/>
      <c r="O5076" s="35"/>
      <c r="P5076" s="35"/>
      <c r="Q5076" s="35"/>
      <c r="R5076" s="35"/>
      <c r="S5076" s="74"/>
      <c r="T5076" s="35"/>
      <c r="U5076" s="35"/>
      <c r="V5076" s="35"/>
      <c r="W5076" s="45"/>
    </row>
    <row r="5077">
      <c r="A5077" s="45"/>
      <c r="B5077" s="35"/>
      <c r="C5077" s="35"/>
      <c r="D5077" s="10"/>
      <c r="E5077" s="35"/>
      <c r="F5077" s="35"/>
      <c r="G5077" s="35"/>
      <c r="H5077" s="35"/>
      <c r="I5077" s="35"/>
      <c r="J5077" s="35"/>
      <c r="K5077" s="35"/>
      <c r="L5077" s="35"/>
      <c r="M5077" s="35"/>
      <c r="N5077" s="35"/>
      <c r="O5077" s="35"/>
      <c r="P5077" s="35"/>
      <c r="Q5077" s="35"/>
      <c r="R5077" s="35"/>
      <c r="S5077" s="74"/>
      <c r="T5077" s="35"/>
      <c r="U5077" s="35"/>
      <c r="V5077" s="35"/>
      <c r="W5077" s="45"/>
    </row>
  </sheetData>
  <customSheetViews>
    <customSheetView guid="{0974EC85-6B59-40F5-AC44-3B0FEAAE4802}" filter="1" showAutoFilter="1">
      <autoFilter ref="$G$1:$V$503"/>
    </customSheetView>
    <customSheetView guid="{25EFA04F-F6ED-4209-8CD9-7E0175E904D4}" filter="1" showAutoFilter="1">
      <autoFilter ref="$B$1:$V$620"/>
    </customSheetView>
  </customSheetViews>
  <printOptions gridLines="1" horizontalCentered="1"/>
  <pageMargins bottom="0.75" footer="0.0" header="0.0" left="0.7" right="0.7" top="0.75"/>
  <pageSetup fitToHeight="0" paperSize="5"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9.88"/>
  </cols>
  <sheetData>
    <row r="1"/>
    <row r="2"/>
    <row r="3">
      <c r="E3" s="80"/>
      <c r="F3" s="80"/>
      <c r="G3" s="80"/>
    </row>
    <row r="4">
      <c r="E4" s="80"/>
      <c r="F4" s="80"/>
      <c r="G4" s="80"/>
    </row>
    <row r="5">
      <c r="E5" s="80"/>
      <c r="F5" s="80"/>
      <c r="G5" s="80"/>
    </row>
    <row r="6">
      <c r="E6" s="80"/>
      <c r="F6" s="80"/>
      <c r="G6" s="80"/>
    </row>
    <row r="7">
      <c r="E7" s="80"/>
      <c r="F7" s="80"/>
      <c r="G7" s="80"/>
    </row>
    <row r="8">
      <c r="E8" s="80"/>
      <c r="F8" s="80"/>
      <c r="G8" s="80"/>
    </row>
    <row r="9">
      <c r="A9" s="80"/>
      <c r="B9" s="80"/>
      <c r="C9" s="80"/>
      <c r="D9" s="80"/>
      <c r="E9" s="80"/>
      <c r="F9" s="80"/>
      <c r="G9" s="80"/>
    </row>
    <row r="10">
      <c r="A10" s="80"/>
      <c r="B10" s="80"/>
      <c r="C10" s="80"/>
      <c r="D10" s="80"/>
      <c r="E10" s="80"/>
      <c r="F10" s="80"/>
      <c r="G10" s="80"/>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0" ySplit="2.0" topLeftCell="K3" activePane="bottomRight" state="frozen"/>
      <selection activeCell="K1" sqref="K1" pane="topRight"/>
      <selection activeCell="A3" sqref="A3" pane="bottomLeft"/>
      <selection activeCell="K3" sqref="K3" pane="bottomRight"/>
    </sheetView>
  </sheetViews>
  <sheetFormatPr customHeight="1" defaultColWidth="12.63" defaultRowHeight="15.75" outlineLevelCol="1"/>
  <cols>
    <col customWidth="1" min="1" max="1" width="2.63"/>
    <col customWidth="1" min="2" max="2" width="10.13"/>
    <col customWidth="1" min="3" max="3" width="12.63"/>
    <col customWidth="1" min="4" max="4" width="10.13"/>
    <col collapsed="1" customWidth="1" min="5" max="5" width="12.63"/>
    <col customWidth="1" hidden="1" min="6" max="8" width="10.13" outlineLevel="1"/>
    <col customWidth="1" min="9" max="9" width="10.13"/>
    <col customWidth="1" min="10" max="10" width="12.63"/>
    <col customWidth="1" min="11" max="11" width="15.13"/>
    <col customWidth="1" min="12" max="12" width="25.13"/>
    <col collapsed="1" customWidth="1" min="13" max="13" width="12.63"/>
    <col customWidth="1" hidden="1" min="14" max="14" width="8.88" outlineLevel="1"/>
    <col customWidth="1" hidden="1" min="15" max="16" width="11.38" outlineLevel="1"/>
    <col customWidth="1" hidden="1" min="17" max="17" width="25.13" outlineLevel="1"/>
    <col customWidth="1" hidden="1" min="18" max="18" width="67.5" outlineLevel="1"/>
    <col customWidth="1" hidden="1" min="19" max="19" width="25.13" outlineLevel="1"/>
    <col customWidth="1" min="20" max="20" width="12.63"/>
    <col customWidth="1" min="21" max="21" width="10.13"/>
    <col customWidth="1" min="22" max="22" width="50.13"/>
    <col customWidth="1" min="23" max="23" width="5.13"/>
    <col customWidth="1" min="24" max="24" width="50.13"/>
    <col customWidth="1" min="25" max="25" width="2.63"/>
  </cols>
  <sheetData>
    <row r="1">
      <c r="A1" s="81"/>
      <c r="B1" s="82"/>
      <c r="C1" s="83"/>
      <c r="D1" s="84"/>
      <c r="E1" s="85"/>
      <c r="F1" s="85"/>
      <c r="G1" s="85"/>
      <c r="H1" s="85"/>
      <c r="I1" s="81"/>
      <c r="J1" s="83"/>
      <c r="K1" s="81"/>
      <c r="L1" s="86"/>
      <c r="M1" s="81"/>
      <c r="N1" s="81"/>
      <c r="O1" s="81"/>
      <c r="P1" s="87"/>
      <c r="Q1" s="87"/>
      <c r="R1" s="87"/>
      <c r="S1" s="87"/>
      <c r="T1" s="81"/>
      <c r="U1" s="81"/>
      <c r="V1" s="81"/>
      <c r="W1" s="85"/>
      <c r="X1" s="88" t="s">
        <v>31</v>
      </c>
      <c r="Y1" s="85"/>
    </row>
    <row r="2" ht="30.0" customHeight="1">
      <c r="A2" s="89"/>
      <c r="B2" s="90" t="s">
        <v>32</v>
      </c>
      <c r="C2" s="91" t="s">
        <v>33</v>
      </c>
      <c r="D2" s="91" t="s">
        <v>34</v>
      </c>
      <c r="E2" s="90" t="s">
        <v>35</v>
      </c>
      <c r="F2" s="90" t="s">
        <v>4</v>
      </c>
      <c r="G2" s="90" t="s">
        <v>3</v>
      </c>
      <c r="H2" s="90" t="s">
        <v>36</v>
      </c>
      <c r="I2" s="90" t="s">
        <v>37</v>
      </c>
      <c r="J2" s="90" t="s">
        <v>38</v>
      </c>
      <c r="K2" s="90" t="s">
        <v>39</v>
      </c>
      <c r="L2" s="90" t="s">
        <v>40</v>
      </c>
      <c r="M2" s="90" t="s">
        <v>41</v>
      </c>
      <c r="N2" s="90" t="s">
        <v>42</v>
      </c>
      <c r="O2" s="90" t="s">
        <v>43</v>
      </c>
      <c r="P2" s="90" t="s">
        <v>44</v>
      </c>
      <c r="Q2" s="90" t="s">
        <v>45</v>
      </c>
      <c r="R2" s="90" t="s">
        <v>46</v>
      </c>
      <c r="S2" s="90" t="s">
        <v>47</v>
      </c>
      <c r="T2" s="90" t="s">
        <v>48</v>
      </c>
      <c r="U2" s="92" t="s">
        <v>49</v>
      </c>
      <c r="V2" s="90" t="s">
        <v>50</v>
      </c>
      <c r="W2" s="93" t="s">
        <v>51</v>
      </c>
      <c r="X2" s="94" t="s">
        <v>52</v>
      </c>
      <c r="Y2" s="95"/>
    </row>
    <row r="3" ht="22.5" customHeight="1">
      <c r="A3" s="96"/>
      <c r="B3" s="97" t="s">
        <v>53</v>
      </c>
      <c r="C3" s="98" t="str">
        <f t="array" ref="C3">IFNA(XLOOKUP(J3,'⚙️ Pengaturan'!$H$5:$H1508,'⚙️ Pengaturan'!$I$5:$I1508),"")</f>
        <v>TIM Y</v>
      </c>
      <c r="D3" s="97" t="s">
        <v>54</v>
      </c>
      <c r="E3" s="99">
        <v>45931.0</v>
      </c>
      <c r="F3" s="100" t="str">
        <f t="shared" ref="F3:F1508" si="1">IF($E3="","",TEXT($E3,"YYYY"))</f>
        <v>2025</v>
      </c>
      <c r="G3" s="100" t="str">
        <f t="shared" ref="G3:G1508" si="2">IF($E3="","",TEXT($E3,"MM")&amp;TEXT($E3,"MMM"))</f>
        <v>10Okt</v>
      </c>
      <c r="H3" s="100" t="str">
        <f t="shared" ref="H3:H1508" si="3">IF($E3="","",TEXT($E3,"DDDD"))</f>
        <v>Rabu</v>
      </c>
      <c r="I3" s="97" t="s">
        <v>55</v>
      </c>
      <c r="J3" s="97" t="s">
        <v>56</v>
      </c>
      <c r="K3" s="97" t="s">
        <v>57</v>
      </c>
      <c r="L3" s="101" t="s">
        <v>58</v>
      </c>
      <c r="M3" s="102" t="str">
        <f>IFNA(VLOOKUP(L3,'🙎‍♂️ Pasien'!G:V,2,FALSE),"")</f>
        <v>A9025092121</v>
      </c>
      <c r="N3" s="103">
        <f>IFNA(VLOOKUP(L3,'🙎‍♂️ Pasien'!G:L,3,FALSE),"")</f>
        <v>36</v>
      </c>
      <c r="O3" s="104" t="str">
        <f>IFNA(VLOOKUP(L3,'🙎‍♂️ Pasien'!G:V,6,FALSE),"")</f>
        <v>LAKI-LAKI</v>
      </c>
      <c r="P3" s="104" t="str">
        <f>IFNA(VLOOKUP(L3,'🙎‍♂️ Pasien'!G:V,12,FALSE),"")</f>
        <v>ISLAM</v>
      </c>
      <c r="Q3" s="104" t="str">
        <f>IFNA(VLOOKUP(L3:L1508,'🙎‍♂️ Pasien'!G:V,13,FALSE),"")</f>
        <v>WIRASWASTA</v>
      </c>
      <c r="R3" s="104" t="str">
        <f t="array" ref="R3">ifna(xlookup(L3,'🙎‍♂️ Pasien'!$G$5:$G1508,'🙎‍♂️ Pasien'!$T$5:$T1508),"")</f>
        <v>PINGGANG KECETIT</v>
      </c>
      <c r="S3" s="104" t="str">
        <f t="array" ref="S3">ifna(xlookup(L3,'🙎‍♂️ Pasien'!$G$5:$G1508,'🙎‍♂️ Pasien'!$U$5:$U1508),"")</f>
        <v>-</v>
      </c>
      <c r="T3" s="97" t="s">
        <v>59</v>
      </c>
      <c r="U3" s="105" t="s">
        <v>60</v>
      </c>
      <c r="V3" s="101" t="s">
        <v>61</v>
      </c>
      <c r="W3" s="106" t="b">
        <v>1</v>
      </c>
      <c r="X3" s="107"/>
      <c r="Y3" s="108"/>
    </row>
    <row r="4" ht="22.5" customHeight="1">
      <c r="A4" s="96"/>
      <c r="B4" s="97" t="s">
        <v>53</v>
      </c>
      <c r="C4" s="98" t="str">
        <f t="array" ref="C4">IFNA(XLOOKUP(J4,'⚙️ Pengaturan'!$H$5:$H1508,'⚙️ Pengaturan'!$I$5:$I1508),"")</f>
        <v>TIM A</v>
      </c>
      <c r="D4" s="97" t="s">
        <v>54</v>
      </c>
      <c r="E4" s="99">
        <v>45931.0</v>
      </c>
      <c r="F4" s="100" t="str">
        <f t="shared" si="1"/>
        <v>2025</v>
      </c>
      <c r="G4" s="100" t="str">
        <f t="shared" si="2"/>
        <v>10Okt</v>
      </c>
      <c r="H4" s="100" t="str">
        <f t="shared" si="3"/>
        <v>Rabu</v>
      </c>
      <c r="I4" s="97" t="s">
        <v>55</v>
      </c>
      <c r="J4" s="97" t="s">
        <v>62</v>
      </c>
      <c r="K4" s="97" t="s">
        <v>63</v>
      </c>
      <c r="L4" s="101" t="s">
        <v>64</v>
      </c>
      <c r="M4" s="102" t="str">
        <f>IFNA(VLOOKUP(L4,'🙎‍♂️ Pasien'!G:V,2,FALSE),"")</f>
        <v>R2525091389</v>
      </c>
      <c r="N4" s="103">
        <f>IFNA(VLOOKUP(L4,'🙎‍♂️ Pasien'!G:L,3,FALSE),"")</f>
        <v>1</v>
      </c>
      <c r="O4" s="104" t="str">
        <f>IFNA(VLOOKUP(L4,'🙎‍♂️ Pasien'!G:V,6,FALSE),"")</f>
        <v>LAKI-LAKI</v>
      </c>
      <c r="P4" s="104" t="str">
        <f>IFNA(VLOOKUP(L4,'🙎‍♂️ Pasien'!G:V,12,FALSE),"")</f>
        <v>PROTESTAN</v>
      </c>
      <c r="Q4" s="104" t="str">
        <f>IFNA(VLOOKUP(L4:L1508,'🙎‍♂️ Pasien'!G:V,13,FALSE),"")</f>
        <v>KARYAWAN</v>
      </c>
      <c r="R4" s="104" t="str">
        <f t="array" ref="R4">ifna(xlookup(L4,'🙎‍♂️ Pasien'!$G$5:$G1508,'🙎‍♂️ Pasien'!$T$5:$T1508),"")</f>
        <v>FROZEN SHOULDER</v>
      </c>
      <c r="S4" s="104" t="str">
        <f t="array" ref="S4">ifna(xlookup(L4,'🙎‍♂️ Pasien'!$G$5:$G1508,'🙎‍♂️ Pasien'!$U$5:$U1508),"")</f>
        <v>TIDAK BISA MAIN BADMINTON</v>
      </c>
      <c r="T4" s="97" t="s">
        <v>59</v>
      </c>
      <c r="U4" s="105">
        <v>1.0</v>
      </c>
      <c r="V4" s="101"/>
      <c r="W4" s="106" t="b">
        <v>1</v>
      </c>
      <c r="X4" s="107"/>
      <c r="Y4" s="108"/>
    </row>
    <row r="5" ht="22.5" customHeight="1">
      <c r="A5" s="96"/>
      <c r="B5" s="97" t="s">
        <v>53</v>
      </c>
      <c r="C5" s="98" t="str">
        <f t="array" ref="C5">IFNA(XLOOKUP(J5,'⚙️ Pengaturan'!$H$5:$H1508,'⚙️ Pengaturan'!$I$5:$I1508),"")</f>
        <v>TIM A</v>
      </c>
      <c r="D5" s="97" t="s">
        <v>54</v>
      </c>
      <c r="E5" s="99">
        <v>45931.0</v>
      </c>
      <c r="F5" s="100" t="str">
        <f t="shared" si="1"/>
        <v>2025</v>
      </c>
      <c r="G5" s="100" t="str">
        <f t="shared" si="2"/>
        <v>10Okt</v>
      </c>
      <c r="H5" s="100" t="str">
        <f t="shared" si="3"/>
        <v>Rabu</v>
      </c>
      <c r="I5" s="97" t="s">
        <v>65</v>
      </c>
      <c r="J5" s="97" t="s">
        <v>62</v>
      </c>
      <c r="K5" s="97" t="s">
        <v>63</v>
      </c>
      <c r="L5" s="101" t="s">
        <v>66</v>
      </c>
      <c r="M5" s="102" t="str">
        <f>IFNA(VLOOKUP(L5,'🙎‍♂️ Pasien'!G:V,2,FALSE),"")</f>
        <v>G0425088990</v>
      </c>
      <c r="N5" s="103">
        <f>IFNA(VLOOKUP(L5,'🙎‍♂️ Pasien'!G:L,3,FALSE),"")</f>
        <v>21</v>
      </c>
      <c r="O5" s="104" t="str">
        <f>IFNA(VLOOKUP(L5,'🙎‍♂️ Pasien'!G:V,6,FALSE),"")</f>
        <v>PEREMPUAN</v>
      </c>
      <c r="P5" s="104" t="str">
        <f>IFNA(VLOOKUP(L5,'🙎‍♂️ Pasien'!G:V,12,FALSE),"")</f>
        <v>PROTESTAN</v>
      </c>
      <c r="Q5" s="104" t="str">
        <f>IFNA(VLOOKUP(L5:L1508,'🙎‍♂️ Pasien'!G:V,13,FALSE),"")</f>
        <v>BUSINESS OWNER</v>
      </c>
      <c r="R5" s="104" t="str">
        <f t="array" ref="R5">ifna(xlookup(L5,'🙎‍♂️ Pasien'!$G$5:$G1508,'🙎‍♂️ Pasien'!$T$5:$T1508),"")</f>
        <v>TANGAN</v>
      </c>
      <c r="S5" s="104" t="str">
        <f t="array" ref="S5">ifna(xlookup(L5,'🙎‍♂️ Pasien'!$G$5:$G1508,'🙎‍♂️ Pasien'!$U$5:$U1508),"")</f>
        <v>BERMAIN TENNIS</v>
      </c>
      <c r="T5" s="97" t="s">
        <v>67</v>
      </c>
      <c r="U5" s="105" t="s">
        <v>60</v>
      </c>
      <c r="V5" s="101" t="s">
        <v>68</v>
      </c>
      <c r="W5" s="106" t="b">
        <v>1</v>
      </c>
      <c r="X5" s="107"/>
      <c r="Y5" s="108"/>
    </row>
    <row r="6" ht="22.5" customHeight="1">
      <c r="A6" s="96"/>
      <c r="B6" s="97" t="s">
        <v>53</v>
      </c>
      <c r="C6" s="98" t="str">
        <f t="array" ref="C6">IFNA(XLOOKUP(J6,'⚙️ Pengaturan'!$H$5:$H1508,'⚙️ Pengaturan'!$I$5:$I1508),"")</f>
        <v>TIM A</v>
      </c>
      <c r="D6" s="97" t="s">
        <v>54</v>
      </c>
      <c r="E6" s="99">
        <v>45931.0</v>
      </c>
      <c r="F6" s="100" t="str">
        <f t="shared" si="1"/>
        <v>2025</v>
      </c>
      <c r="G6" s="100" t="str">
        <f t="shared" si="2"/>
        <v>10Okt</v>
      </c>
      <c r="H6" s="100" t="str">
        <f t="shared" si="3"/>
        <v>Rabu</v>
      </c>
      <c r="I6" s="97" t="s">
        <v>65</v>
      </c>
      <c r="J6" s="97" t="s">
        <v>62</v>
      </c>
      <c r="K6" s="97" t="s">
        <v>69</v>
      </c>
      <c r="L6" s="101" t="s">
        <v>70</v>
      </c>
      <c r="M6" s="102" t="str">
        <f>IFNA(VLOOKUP(L6,'🙎‍♂️ Pasien'!G:V,2,FALSE),"")</f>
        <v>L8125099600</v>
      </c>
      <c r="N6" s="103">
        <f>IFNA(VLOOKUP(L6,'🙎‍♂️ Pasien'!G:L,3,FALSE),"")</f>
        <v>45</v>
      </c>
      <c r="O6" s="104" t="str">
        <f>IFNA(VLOOKUP(L6,'🙎‍♂️ Pasien'!G:V,6,FALSE),"")</f>
        <v>PEREMPUAN</v>
      </c>
      <c r="P6" s="104" t="str">
        <f>IFNA(VLOOKUP(L6,'🙎‍♂️ Pasien'!G:V,12,FALSE),"")</f>
        <v>ISLAM</v>
      </c>
      <c r="Q6" s="104" t="str">
        <f>IFNA(VLOOKUP(L6:L1508,'🙎‍♂️ Pasien'!G:V,13,FALSE),"")</f>
        <v>IRT</v>
      </c>
      <c r="R6" s="104" t="str">
        <f t="array" ref="R6">ifna(xlookup(L6,'🙎‍♂️ Pasien'!$G$5:$G1508,'🙎‍♂️ Pasien'!$T$5:$T1508),"")</f>
        <v>SAKIT PINGGANG KIRI</v>
      </c>
      <c r="S6" s="104" t="str">
        <f t="array" ref="S6">ifna(xlookup(L6,'🙎‍♂️ Pasien'!$G$5:$G1508,'🙎‍♂️ Pasien'!$U$5:$U1508),"")</f>
        <v>CATERING</v>
      </c>
      <c r="T6" s="97" t="s">
        <v>59</v>
      </c>
      <c r="U6" s="105" t="s">
        <v>60</v>
      </c>
      <c r="V6" s="101"/>
      <c r="W6" s="106" t="b">
        <v>1</v>
      </c>
      <c r="X6" s="107"/>
      <c r="Y6" s="108"/>
    </row>
    <row r="7" ht="22.5" customHeight="1">
      <c r="A7" s="96"/>
      <c r="B7" s="97" t="s">
        <v>53</v>
      </c>
      <c r="C7" s="98" t="str">
        <f t="array" ref="C7">IFNA(XLOOKUP(J7,'⚙️ Pengaturan'!$H$5:$H1508,'⚙️ Pengaturan'!$I$5:$I1508),"")</f>
        <v>TIM Y</v>
      </c>
      <c r="D7" s="97" t="s">
        <v>54</v>
      </c>
      <c r="E7" s="99">
        <v>45931.0</v>
      </c>
      <c r="F7" s="100" t="str">
        <f t="shared" si="1"/>
        <v>2025</v>
      </c>
      <c r="G7" s="100" t="str">
        <f t="shared" si="2"/>
        <v>10Okt</v>
      </c>
      <c r="H7" s="100" t="str">
        <f t="shared" si="3"/>
        <v>Rabu</v>
      </c>
      <c r="I7" s="97" t="s">
        <v>65</v>
      </c>
      <c r="J7" s="97" t="s">
        <v>56</v>
      </c>
      <c r="K7" s="97" t="s">
        <v>57</v>
      </c>
      <c r="L7" s="101" t="s">
        <v>71</v>
      </c>
      <c r="M7" s="102" t="str">
        <f>IFNA(VLOOKUP(L7,'🙎‍♂️ Pasien'!G:V,2,FALSE),"")</f>
        <v>L5925109995</v>
      </c>
      <c r="N7" s="103">
        <f>IFNA(VLOOKUP(L7,'🙎‍♂️ Pasien'!G:L,3,FALSE),"")</f>
        <v>67</v>
      </c>
      <c r="O7" s="104" t="str">
        <f>IFNA(VLOOKUP(L7,'🙎‍♂️ Pasien'!G:V,6,FALSE),"")</f>
        <v>PEREMPUAN</v>
      </c>
      <c r="P7" s="104" t="str">
        <f>IFNA(VLOOKUP(L7,'🙎‍♂️ Pasien'!G:V,12,FALSE),"")</f>
        <v>KATOLIK</v>
      </c>
      <c r="Q7" s="104" t="str">
        <f>IFNA(VLOOKUP(L7:L1508,'🙎‍♂️ Pasien'!G:V,13,FALSE),"")</f>
        <v>WIRASWASTA</v>
      </c>
      <c r="R7" s="104" t="str">
        <f t="array" ref="R7">ifna(xlookup(L7,'🙎‍♂️ Pasien'!$G$5:$G1508,'🙎‍♂️ Pasien'!$T$5:$T1508),"")</f>
        <v>LUTUT</v>
      </c>
      <c r="S7" s="104" t="str">
        <f t="array" ref="S7">ifna(xlookup(L7,'🙎‍♂️ Pasien'!$G$5:$G1508,'🙎‍♂️ Pasien'!$U$5:$U1508),"")</f>
        <v>IBU RUMAH TANGGA</v>
      </c>
      <c r="T7" s="97" t="s">
        <v>59</v>
      </c>
      <c r="U7" s="105" t="s">
        <v>60</v>
      </c>
      <c r="V7" s="101"/>
      <c r="W7" s="106" t="b">
        <v>1</v>
      </c>
      <c r="X7" s="107"/>
      <c r="Y7" s="108"/>
    </row>
    <row r="8" ht="22.5" customHeight="1">
      <c r="A8" s="96"/>
      <c r="B8" s="97" t="s">
        <v>53</v>
      </c>
      <c r="C8" s="98" t="str">
        <f t="array" ref="C8">IFNA(XLOOKUP(J8,'⚙️ Pengaturan'!$H$5:$H1508,'⚙️ Pengaturan'!$I$5:$I1508),"")</f>
        <v>TIM A</v>
      </c>
      <c r="D8" s="97" t="s">
        <v>54</v>
      </c>
      <c r="E8" s="99">
        <v>45931.0</v>
      </c>
      <c r="F8" s="100" t="str">
        <f t="shared" si="1"/>
        <v>2025</v>
      </c>
      <c r="G8" s="100" t="str">
        <f t="shared" si="2"/>
        <v>10Okt</v>
      </c>
      <c r="H8" s="100" t="str">
        <f t="shared" si="3"/>
        <v>Rabu</v>
      </c>
      <c r="I8" s="97" t="s">
        <v>65</v>
      </c>
      <c r="J8" s="97" t="s">
        <v>72</v>
      </c>
      <c r="K8" s="97" t="s">
        <v>63</v>
      </c>
      <c r="L8" s="101" t="s">
        <v>73</v>
      </c>
      <c r="M8" s="102" t="str">
        <f>IFNA(VLOOKUP(L8,'🙎‍♂️ Pasien'!G:V,2,FALSE),"")</f>
        <v>L5325099995</v>
      </c>
      <c r="N8" s="103">
        <f>IFNA(VLOOKUP(L8,'🙎‍♂️ Pasien'!G:L,3,FALSE),"")</f>
        <v>73</v>
      </c>
      <c r="O8" s="104" t="str">
        <f>IFNA(VLOOKUP(L8,'🙎‍♂️ Pasien'!G:V,6,FALSE),"")</f>
        <v>PEREMPUAN</v>
      </c>
      <c r="P8" s="104" t="str">
        <f>IFNA(VLOOKUP(L8,'🙎‍♂️ Pasien'!G:V,12,FALSE),"")</f>
        <v>KATOLIK</v>
      </c>
      <c r="Q8" s="104" t="str">
        <f>IFNA(VLOOKUP(L8:L1508,'🙎‍♂️ Pasien'!G:V,13,FALSE),"")</f>
        <v>KARYAWAN SWASTA</v>
      </c>
      <c r="R8" s="104" t="str">
        <f t="array" ref="R8">ifna(xlookup(L8,'🙎‍♂️ Pasien'!$G$5:$G1508,'🙎‍♂️ Pasien'!$T$5:$T1508),"")</f>
        <v>OPERASI LUTUT</v>
      </c>
      <c r="S8" s="104" t="str">
        <f t="array" ref="S8">ifna(xlookup(L8,'🙎‍♂️ Pasien'!$G$5:$G1508,'🙎‍♂️ Pasien'!$U$5:$U1508),"")</f>
        <v>JALAN SEHAT</v>
      </c>
      <c r="T8" s="97" t="s">
        <v>59</v>
      </c>
      <c r="U8" s="105">
        <v>1.0</v>
      </c>
      <c r="V8" s="101"/>
      <c r="W8" s="106" t="b">
        <v>1</v>
      </c>
      <c r="X8" s="107"/>
      <c r="Y8" s="108"/>
    </row>
    <row r="9" ht="22.5" customHeight="1">
      <c r="A9" s="96"/>
      <c r="B9" s="97" t="s">
        <v>53</v>
      </c>
      <c r="C9" s="98" t="str">
        <f t="array" ref="C9">IFNA(XLOOKUP(J9,'⚙️ Pengaturan'!$H$5:$H1508,'⚙️ Pengaturan'!$I$5:$I1508),"")</f>
        <v>TIM Y</v>
      </c>
      <c r="D9" s="97" t="s">
        <v>54</v>
      </c>
      <c r="E9" s="99">
        <v>45931.0</v>
      </c>
      <c r="F9" s="100" t="str">
        <f t="shared" si="1"/>
        <v>2025</v>
      </c>
      <c r="G9" s="100" t="str">
        <f t="shared" si="2"/>
        <v>10Okt</v>
      </c>
      <c r="H9" s="100" t="str">
        <f t="shared" si="3"/>
        <v>Rabu</v>
      </c>
      <c r="I9" s="97" t="s">
        <v>74</v>
      </c>
      <c r="J9" s="97" t="s">
        <v>56</v>
      </c>
      <c r="K9" s="97" t="s">
        <v>63</v>
      </c>
      <c r="L9" s="101" t="s">
        <v>75</v>
      </c>
      <c r="M9" s="102" t="str">
        <f>IFNA(VLOOKUP(L9,'🙎‍♂️ Pasien'!G:V,2,FALSE),"")</f>
        <v>E7525090355</v>
      </c>
      <c r="N9" s="103">
        <f>IFNA(VLOOKUP(L9,'🙎‍♂️ Pasien'!G:L,3,FALSE),"")</f>
        <v>51</v>
      </c>
      <c r="O9" s="104" t="str">
        <f>IFNA(VLOOKUP(L9,'🙎‍♂️ Pasien'!G:V,6,FALSE),"")</f>
        <v>LAKI-LAKI</v>
      </c>
      <c r="P9" s="104" t="str">
        <f>IFNA(VLOOKUP(L9,'🙎‍♂️ Pasien'!G:V,12,FALSE),"")</f>
        <v>PROTESTAN</v>
      </c>
      <c r="Q9" s="104" t="str">
        <f>IFNA(VLOOKUP(L9:L1508,'🙎‍♂️ Pasien'!G:V,13,FALSE),"")</f>
        <v>WIRAUSAHA</v>
      </c>
      <c r="R9" s="104" t="str">
        <f t="array" ref="R9">ifna(xlookup(L9,'🙎‍♂️ Pasien'!$G$5:$G1508,'🙎‍♂️ Pasien'!$T$5:$T1508),"")</f>
        <v>SAKIT DI BAHU</v>
      </c>
      <c r="S9" s="104" t="str">
        <f t="array" ref="S9">ifna(xlookup(L9,'🙎‍♂️ Pasien'!$G$5:$G1508,'🙎‍♂️ Pasien'!$U$5:$U1508),"")</f>
        <v>KARENA PUSH UP</v>
      </c>
      <c r="T9" s="97" t="s">
        <v>59</v>
      </c>
      <c r="U9" s="105">
        <v>4.0</v>
      </c>
      <c r="V9" s="101"/>
      <c r="W9" s="106" t="b">
        <v>1</v>
      </c>
      <c r="X9" s="107"/>
      <c r="Y9" s="108"/>
    </row>
    <row r="10" ht="22.5" customHeight="1">
      <c r="A10" s="96"/>
      <c r="B10" s="97" t="s">
        <v>53</v>
      </c>
      <c r="C10" s="98" t="str">
        <f t="array" ref="C10">IFNA(XLOOKUP(J10,'⚙️ Pengaturan'!$H$5:$H1508,'⚙️ Pengaturan'!$I$5:$I1508),"")</f>
        <v>TIM A</v>
      </c>
      <c r="D10" s="97" t="s">
        <v>54</v>
      </c>
      <c r="E10" s="99">
        <v>45931.0</v>
      </c>
      <c r="F10" s="100" t="str">
        <f t="shared" si="1"/>
        <v>2025</v>
      </c>
      <c r="G10" s="100" t="str">
        <f t="shared" si="2"/>
        <v>10Okt</v>
      </c>
      <c r="H10" s="100" t="str">
        <f t="shared" si="3"/>
        <v>Rabu</v>
      </c>
      <c r="I10" s="97" t="s">
        <v>76</v>
      </c>
      <c r="J10" s="97" t="s">
        <v>72</v>
      </c>
      <c r="K10" s="97" t="s">
        <v>63</v>
      </c>
      <c r="L10" s="101" t="s">
        <v>77</v>
      </c>
      <c r="M10" s="102" t="str">
        <f>IFNA(VLOOKUP(L10,'🙎‍♂️ Pasien'!G:V,2,FALSE),"")</f>
        <v>A0625085349</v>
      </c>
      <c r="N10" s="103">
        <f>IFNA(VLOOKUP(L10,'🙎‍♂️ Pasien'!G:L,3,FALSE),"")</f>
        <v>19</v>
      </c>
      <c r="O10" s="104" t="str">
        <f>IFNA(VLOOKUP(L10,'🙎‍♂️ Pasien'!G:V,6,FALSE),"")</f>
        <v>LAKI-LAKI</v>
      </c>
      <c r="P10" s="104" t="str">
        <f>IFNA(VLOOKUP(L10,'🙎‍♂️ Pasien'!G:V,12,FALSE),"")</f>
        <v>ISLAM</v>
      </c>
      <c r="Q10" s="104" t="str">
        <f>IFNA(VLOOKUP(L10:L1508,'🙎‍♂️ Pasien'!G:V,13,FALSE),"")</f>
        <v>PELAJAR/MAHASISWA</v>
      </c>
      <c r="R10" s="104" t="str">
        <f t="array" ref="R10">ifna(xlookup(L10,'🙎‍♂️ Pasien'!$G$5:$G1508,'🙎‍♂️ Pasien'!$T$5:$T1508),"")</f>
        <v>BAHU</v>
      </c>
      <c r="S10" s="104" t="str">
        <f t="array" ref="S10">ifna(xlookup(L10,'🙎‍♂️ Pasien'!$G$5:$G1508,'🙎‍♂️ Pasien'!$U$5:$U1508),"")</f>
        <v>SILAT</v>
      </c>
      <c r="T10" s="97" t="s">
        <v>67</v>
      </c>
      <c r="U10" s="105">
        <v>5.0</v>
      </c>
      <c r="V10" s="101" t="s">
        <v>78</v>
      </c>
      <c r="W10" s="106" t="b">
        <v>1</v>
      </c>
      <c r="X10" s="107"/>
      <c r="Y10" s="108"/>
    </row>
    <row r="11" ht="22.5" customHeight="1">
      <c r="A11" s="96"/>
      <c r="B11" s="97" t="s">
        <v>53</v>
      </c>
      <c r="C11" s="98" t="str">
        <f t="array" ref="C11">IFNA(XLOOKUP(J11,'⚙️ Pengaturan'!$H$5:$H1508,'⚙️ Pengaturan'!$I$5:$I1508),"")</f>
        <v>TIM A</v>
      </c>
      <c r="D11" s="97" t="s">
        <v>54</v>
      </c>
      <c r="E11" s="99">
        <v>45931.0</v>
      </c>
      <c r="F11" s="100" t="str">
        <f t="shared" si="1"/>
        <v>2025</v>
      </c>
      <c r="G11" s="100" t="str">
        <f t="shared" si="2"/>
        <v>10Okt</v>
      </c>
      <c r="H11" s="100" t="str">
        <f t="shared" si="3"/>
        <v>Rabu</v>
      </c>
      <c r="I11" s="97" t="s">
        <v>76</v>
      </c>
      <c r="J11" s="97" t="s">
        <v>79</v>
      </c>
      <c r="K11" s="97" t="s">
        <v>63</v>
      </c>
      <c r="L11" s="101" t="s">
        <v>80</v>
      </c>
      <c r="M11" s="102" t="str">
        <f>IFNA(VLOOKUP(L11,'🙎‍♂️ Pasien'!G:V,2,FALSE),"")</f>
        <v>L8725094767</v>
      </c>
      <c r="N11" s="103">
        <f>IFNA(VLOOKUP(L11,'🙎‍♂️ Pasien'!G:L,3,FALSE),"")</f>
        <v>38</v>
      </c>
      <c r="O11" s="104" t="str">
        <f>IFNA(VLOOKUP(L11,'🙎‍♂️ Pasien'!G:V,6,FALSE),"")</f>
        <v>PEREMPUAN</v>
      </c>
      <c r="P11" s="104" t="str">
        <f>IFNA(VLOOKUP(L11,'🙎‍♂️ Pasien'!G:V,12,FALSE),"")</f>
        <v>KATOLIK</v>
      </c>
      <c r="Q11" s="104" t="str">
        <f>IFNA(VLOOKUP(L11:L1508,'🙎‍♂️ Pasien'!G:V,13,FALSE),"")</f>
        <v>IBU RUMAH TANGGA</v>
      </c>
      <c r="R11" s="104" t="str">
        <f t="array" ref="R11">ifna(xlookup(L11,'🙎‍♂️ Pasien'!$G$5:$G1508,'🙎‍♂️ Pasien'!$T$5:$T1508),"")</f>
        <v>NYERI LEHER</v>
      </c>
      <c r="S11" s="104" t="str">
        <f t="array" ref="S11">ifna(xlookup(L11,'🙎‍♂️ Pasien'!$G$5:$G1508,'🙎‍♂️ Pasien'!$U$5:$U1508),"")</f>
        <v>KURANG GERAK</v>
      </c>
      <c r="T11" s="97" t="s">
        <v>59</v>
      </c>
      <c r="U11" s="105">
        <v>1.0</v>
      </c>
      <c r="V11" s="101"/>
      <c r="W11" s="106" t="b">
        <v>1</v>
      </c>
      <c r="X11" s="107"/>
      <c r="Y11" s="108"/>
    </row>
    <row r="12" ht="22.5" customHeight="1">
      <c r="A12" s="96"/>
      <c r="B12" s="97" t="s">
        <v>53</v>
      </c>
      <c r="C12" s="98" t="str">
        <f t="array" ref="C12">IFNA(XLOOKUP(J12,'⚙️ Pengaturan'!$H$5:$H1508,'⚙️ Pengaturan'!$I$5:$I1508),"")</f>
        <v>MANAJEMEN</v>
      </c>
      <c r="D12" s="97" t="s">
        <v>54</v>
      </c>
      <c r="E12" s="99">
        <v>45931.0</v>
      </c>
      <c r="F12" s="100" t="str">
        <f t="shared" si="1"/>
        <v>2025</v>
      </c>
      <c r="G12" s="100" t="str">
        <f t="shared" si="2"/>
        <v>10Okt</v>
      </c>
      <c r="H12" s="100" t="str">
        <f t="shared" si="3"/>
        <v>Rabu</v>
      </c>
      <c r="I12" s="97" t="s">
        <v>76</v>
      </c>
      <c r="J12" s="97" t="s">
        <v>81</v>
      </c>
      <c r="K12" s="97" t="s">
        <v>57</v>
      </c>
      <c r="L12" s="101" t="s">
        <v>82</v>
      </c>
      <c r="M12" s="102" t="str">
        <f>IFNA(VLOOKUP(L12,'🙎‍♂️ Pasien'!G:V,2,FALSE),"")</f>
        <v>S8025102353</v>
      </c>
      <c r="N12" s="103">
        <f>IFNA(VLOOKUP(L12,'🙎‍♂️ Pasien'!G:L,3,FALSE),"")</f>
        <v>46</v>
      </c>
      <c r="O12" s="104" t="str">
        <f>IFNA(VLOOKUP(L12,'🙎‍♂️ Pasien'!G:V,6,FALSE),"")</f>
        <v>LAKI-LAKI</v>
      </c>
      <c r="P12" s="104" t="str">
        <f>IFNA(VLOOKUP(L12,'🙎‍♂️ Pasien'!G:V,12,FALSE),"")</f>
        <v>ISLAM</v>
      </c>
      <c r="Q12" s="104" t="str">
        <f>IFNA(VLOOKUP(L12:L1508,'🙎‍♂️ Pasien'!G:V,13,FALSE),"")</f>
        <v>KARYAWAN HONORER</v>
      </c>
      <c r="R12" s="104" t="str">
        <f t="array" ref="R12">ifna(xlookup(L12,'🙎‍♂️ Pasien'!$G$5:$G1508,'🙎‍♂️ Pasien'!$T$5:$T1508),"")</f>
        <v>PINGGANG SAMPAI KAKI</v>
      </c>
      <c r="S12" s="104" t="str">
        <f t="array" ref="S12">ifna(xlookup(L12,'🙎‍♂️ Pasien'!$G$5:$G1508,'🙎‍♂️ Pasien'!$U$5:$U1508),"")</f>
        <v>SEPEDA DAN BULU TANGKIS</v>
      </c>
      <c r="T12" s="97" t="s">
        <v>59</v>
      </c>
      <c r="U12" s="105" t="s">
        <v>60</v>
      </c>
      <c r="V12" s="101"/>
      <c r="W12" s="106" t="b">
        <v>1</v>
      </c>
      <c r="X12" s="107"/>
      <c r="Y12" s="108"/>
    </row>
    <row r="13" ht="22.5" customHeight="1">
      <c r="A13" s="96"/>
      <c r="B13" s="97" t="s">
        <v>53</v>
      </c>
      <c r="C13" s="98" t="str">
        <f t="array" ref="C13">IFNA(XLOOKUP(J13,'⚙️ Pengaturan'!$H$5:$H1508,'⚙️ Pengaturan'!$I$5:$I1508),"")</f>
        <v>TIM A</v>
      </c>
      <c r="D13" s="97" t="s">
        <v>54</v>
      </c>
      <c r="E13" s="99">
        <v>45931.0</v>
      </c>
      <c r="F13" s="100" t="str">
        <f t="shared" si="1"/>
        <v>2025</v>
      </c>
      <c r="G13" s="100" t="str">
        <f t="shared" si="2"/>
        <v>10Okt</v>
      </c>
      <c r="H13" s="100" t="str">
        <f t="shared" si="3"/>
        <v>Rabu</v>
      </c>
      <c r="I13" s="97" t="s">
        <v>83</v>
      </c>
      <c r="J13" s="97" t="s">
        <v>62</v>
      </c>
      <c r="K13" s="97" t="s">
        <v>63</v>
      </c>
      <c r="L13" s="101" t="s">
        <v>84</v>
      </c>
      <c r="M13" s="102" t="str">
        <f>IFNA(VLOOKUP(L13,'🙎‍♂️ Pasien'!G:V,2,FALSE),"")</f>
        <v>M6825093469</v>
      </c>
      <c r="N13" s="103">
        <f>IFNA(VLOOKUP(L13,'🙎‍♂️ Pasien'!G:L,3,FALSE),"")</f>
        <v>58</v>
      </c>
      <c r="O13" s="104" t="str">
        <f>IFNA(VLOOKUP(L13,'🙎‍♂️ Pasien'!G:V,6,FALSE),"")</f>
        <v>PEREMPUAN</v>
      </c>
      <c r="P13" s="104" t="str">
        <f>IFNA(VLOOKUP(L13,'🙎‍♂️ Pasien'!G:V,12,FALSE),"")</f>
        <v>ISLAM</v>
      </c>
      <c r="Q13" s="104" t="str">
        <f>IFNA(VLOOKUP(L13:L1508,'🙎‍♂️ Pasien'!G:V,13,FALSE),"")</f>
        <v>IBU RUMAH TANGGA</v>
      </c>
      <c r="R13" s="104" t="str">
        <f t="array" ref="R13">ifna(xlookup(L13,'🙎‍♂️ Pasien'!$G$5:$G1508,'🙎‍♂️ Pasien'!$T$5:$T1508),"")</f>
        <v>KAKI SAKIT SEKALI BERJALAN.. AWALNYA HANYA SATU KAKI YANG SAKIT PAS PULANG UMROH KAKI YANG TIDAK SAKIT JADI SAKIT SEKALI DAN SANGAT KESULITAN UNTUK BERJALAN DAN SAKITNYA SAMPE KE PINGGANG</v>
      </c>
      <c r="S13" s="104" t="str">
        <f t="array" ref="S13">ifna(xlookup(L13,'🙎‍♂️ Pasien'!$G$5:$G1508,'🙎‍♂️ Pasien'!$U$5:$U1508),"")</f>
        <v>ORANG YANG ULET, SUKA BEBERES, MASAK, NYIRAM TANAMAN, NYAPU, NGEPEL</v>
      </c>
      <c r="T13" s="97" t="s">
        <v>59</v>
      </c>
      <c r="U13" s="105">
        <v>3.0</v>
      </c>
      <c r="V13" s="101"/>
      <c r="W13" s="106" t="b">
        <v>1</v>
      </c>
      <c r="X13" s="107"/>
      <c r="Y13" s="108"/>
    </row>
    <row r="14" ht="22.5" customHeight="1">
      <c r="A14" s="96"/>
      <c r="B14" s="97" t="s">
        <v>85</v>
      </c>
      <c r="C14" s="98" t="str">
        <f t="array" ref="C14">IFNA(XLOOKUP(J14,'⚙️ Pengaturan'!$H$5:$H1508,'⚙️ Pengaturan'!$I$5:$I1508),"")</f>
        <v>TIM Y</v>
      </c>
      <c r="D14" s="97" t="s">
        <v>86</v>
      </c>
      <c r="E14" s="99">
        <v>45931.0</v>
      </c>
      <c r="F14" s="100" t="str">
        <f t="shared" si="1"/>
        <v>2025</v>
      </c>
      <c r="G14" s="100" t="str">
        <f t="shared" si="2"/>
        <v>10Okt</v>
      </c>
      <c r="H14" s="100" t="str">
        <f t="shared" si="3"/>
        <v>Rabu</v>
      </c>
      <c r="I14" s="97" t="s">
        <v>87</v>
      </c>
      <c r="J14" s="97" t="s">
        <v>88</v>
      </c>
      <c r="K14" s="97" t="s">
        <v>69</v>
      </c>
      <c r="L14" s="101" t="s">
        <v>89</v>
      </c>
      <c r="M14" s="102" t="str">
        <f>IFNA(VLOOKUP(L14,'🙎‍♂️ Pasien'!G:V,2,FALSE),"")</f>
        <v>F1025103034</v>
      </c>
      <c r="N14" s="103">
        <f>IFNA(VLOOKUP(L14,'🙎‍♂️ Pasien'!G:L,3,FALSE),"")</f>
        <v>16</v>
      </c>
      <c r="O14" s="104" t="str">
        <f>IFNA(VLOOKUP(L14,'🙎‍♂️ Pasien'!G:V,6,FALSE),"")</f>
        <v>PEREMPUAN</v>
      </c>
      <c r="P14" s="104" t="str">
        <f>IFNA(VLOOKUP(L14,'🙎‍♂️ Pasien'!G:V,12,FALSE),"")</f>
        <v>ISLAM</v>
      </c>
      <c r="Q14" s="104" t="str">
        <f>IFNA(VLOOKUP(L14:L1508,'🙎‍♂️ Pasien'!G:V,13,FALSE),"")</f>
        <v>MASIH SEKOLAH</v>
      </c>
      <c r="R14" s="104" t="str">
        <f t="array" ref="R14">ifna(xlookup(L14,'🙎‍♂️ Pasien'!$G$5:$G1508,'🙎‍♂️ Pasien'!$T$5:$T1508),"")</f>
        <v>PADA SAAT JALAN DEKAT MATA KAKI TERASA SAKIT</v>
      </c>
      <c r="S14" s="104" t="str">
        <f t="array" ref="S14">ifna(xlookup(L14,'🙎‍♂️ Pasien'!$G$5:$G1508,'🙎‍♂️ Pasien'!$U$5:$U1508),"")</f>
        <v>SILAT</v>
      </c>
      <c r="T14" s="97" t="s">
        <v>59</v>
      </c>
      <c r="U14" s="105" t="s">
        <v>60</v>
      </c>
      <c r="V14" s="101" t="s">
        <v>90</v>
      </c>
      <c r="W14" s="106" t="b">
        <v>1</v>
      </c>
      <c r="X14" s="107"/>
      <c r="Y14" s="108"/>
    </row>
    <row r="15" ht="22.5" customHeight="1">
      <c r="A15" s="96"/>
      <c r="B15" s="97" t="s">
        <v>85</v>
      </c>
      <c r="C15" s="98" t="str">
        <f t="array" ref="C15">IFNA(XLOOKUP(J15,'⚙️ Pengaturan'!$H$5:$H1508,'⚙️ Pengaturan'!$I$5:$I1508),"")</f>
        <v>TIM Y</v>
      </c>
      <c r="D15" s="97" t="s">
        <v>86</v>
      </c>
      <c r="E15" s="99">
        <v>45931.0</v>
      </c>
      <c r="F15" s="100" t="str">
        <f t="shared" si="1"/>
        <v>2025</v>
      </c>
      <c r="G15" s="100" t="str">
        <f t="shared" si="2"/>
        <v>10Okt</v>
      </c>
      <c r="H15" s="100" t="str">
        <f t="shared" si="3"/>
        <v>Rabu</v>
      </c>
      <c r="I15" s="97" t="s">
        <v>87</v>
      </c>
      <c r="J15" s="97" t="s">
        <v>91</v>
      </c>
      <c r="K15" s="97" t="s">
        <v>63</v>
      </c>
      <c r="L15" s="101" t="s">
        <v>92</v>
      </c>
      <c r="M15" s="102" t="str">
        <f>IFNA(VLOOKUP(L15,'🙎‍♂️ Pasien'!G:V,2,FALSE),"")</f>
        <v>H5024091565</v>
      </c>
      <c r="N15" s="103">
        <f>IFNA(VLOOKUP(L15,'🙎‍♂️ Pasien'!G:L,3,FALSE),"")</f>
        <v>75</v>
      </c>
      <c r="O15" s="104" t="str">
        <f>IFNA(VLOOKUP(L15,'🙎‍♂️ Pasien'!G:V,6,FALSE),"")</f>
        <v>PEREMPUAN</v>
      </c>
      <c r="P15" s="104" t="str">
        <f>IFNA(VLOOKUP(L15,'🙎‍♂️ Pasien'!G:V,12,FALSE),"")</f>
        <v>BUDDHA</v>
      </c>
      <c r="Q15" s="104" t="str">
        <f>IFNA(VLOOKUP(L15:L1508,'🙎‍♂️ Pasien'!G:V,13,FALSE),"")</f>
        <v>RUMAH TANGGA</v>
      </c>
      <c r="R15" s="104" t="str">
        <f t="array" ref="R15">ifna(xlookup(L15,'🙎‍♂️ Pasien'!$G$5:$G1508,'🙎‍♂️ Pasien'!$T$5:$T1508),"")</f>
        <v>NYERI/KESEMUTAN DI PAHA KIRI</v>
      </c>
      <c r="S15" s="104" t="str">
        <f t="array" ref="S15">ifna(xlookup(L15,'🙎‍♂️ Pasien'!$G$5:$G1508,'🙎‍♂️ Pasien'!$U$5:$U1508),"")</f>
        <v>MENANAM BUNGA</v>
      </c>
      <c r="T15" s="97" t="s">
        <v>59</v>
      </c>
      <c r="U15" s="105">
        <v>6.0</v>
      </c>
      <c r="V15" s="101"/>
      <c r="W15" s="106" t="b">
        <v>1</v>
      </c>
      <c r="X15" s="107"/>
      <c r="Y15" s="108"/>
    </row>
    <row r="16" ht="22.5" customHeight="1">
      <c r="A16" s="96"/>
      <c r="B16" s="97" t="s">
        <v>85</v>
      </c>
      <c r="C16" s="98" t="str">
        <f t="array" ref="C16">IFNA(XLOOKUP(J16,'⚙️ Pengaturan'!$H$5:$H1508,'⚙️ Pengaturan'!$I$5:$I1508),"")</f>
        <v>TIM Y</v>
      </c>
      <c r="D16" s="97" t="s">
        <v>86</v>
      </c>
      <c r="E16" s="99">
        <v>45931.0</v>
      </c>
      <c r="F16" s="100" t="str">
        <f t="shared" si="1"/>
        <v>2025</v>
      </c>
      <c r="G16" s="100" t="str">
        <f t="shared" si="2"/>
        <v>10Okt</v>
      </c>
      <c r="H16" s="100" t="str">
        <f t="shared" si="3"/>
        <v>Rabu</v>
      </c>
      <c r="I16" s="97" t="s">
        <v>93</v>
      </c>
      <c r="J16" s="97" t="s">
        <v>91</v>
      </c>
      <c r="K16" s="97" t="s">
        <v>63</v>
      </c>
      <c r="L16" s="101" t="s">
        <v>94</v>
      </c>
      <c r="M16" s="102" t="str">
        <f>IFNA(VLOOKUP(L16,'🙎‍♂️ Pasien'!G:V,2,FALSE),"")</f>
        <v>A0825098780</v>
      </c>
      <c r="N16" s="103">
        <f>IFNA(VLOOKUP(L16,'🙎‍♂️ Pasien'!G:L,3,FALSE),"")</f>
        <v>18</v>
      </c>
      <c r="O16" s="104" t="str">
        <f>IFNA(VLOOKUP(L16,'🙎‍♂️ Pasien'!G:V,6,FALSE),"")</f>
        <v>PEREMPUAN</v>
      </c>
      <c r="P16" s="104" t="str">
        <f>IFNA(VLOOKUP(L16,'🙎‍♂️ Pasien'!G:V,12,FALSE),"")</f>
        <v>ISLAM</v>
      </c>
      <c r="Q16" s="104" t="str">
        <f>IFNA(VLOOKUP(L16:L1508,'🙎‍♂️ Pasien'!G:V,13,FALSE),"")</f>
        <v>PELAJAR</v>
      </c>
      <c r="R16" s="104" t="str">
        <f t="array" ref="R16">ifna(xlookup(L16,'🙎‍♂️ Pasien'!$G$5:$G1508,'🙎‍♂️ Pasien'!$T$5:$T1508),"")</f>
        <v>SAKIT DI LUTUT</v>
      </c>
      <c r="S16" s="104" t="str">
        <f t="array" ref="S16">ifna(xlookup(L16,'🙎‍♂️ Pasien'!$G$5:$G1508,'🙎‍♂️ Pasien'!$U$5:$U1508),"")</f>
        <v>MAIN BASKET</v>
      </c>
      <c r="T16" s="97" t="s">
        <v>59</v>
      </c>
      <c r="U16" s="105">
        <v>2.0</v>
      </c>
      <c r="V16" s="101"/>
      <c r="W16" s="106" t="b">
        <v>1</v>
      </c>
      <c r="X16" s="107"/>
      <c r="Y16" s="108"/>
    </row>
    <row r="17" ht="22.5" customHeight="1">
      <c r="A17" s="96"/>
      <c r="B17" s="97" t="s">
        <v>85</v>
      </c>
      <c r="C17" s="98" t="str">
        <f t="array" ref="C17">IFNA(XLOOKUP(J17,'⚙️ Pengaturan'!$H$5:$H1508,'⚙️ Pengaturan'!$I$5:$I1508),"")</f>
        <v>TIM Y</v>
      </c>
      <c r="D17" s="97" t="s">
        <v>86</v>
      </c>
      <c r="E17" s="99">
        <v>45931.0</v>
      </c>
      <c r="F17" s="100" t="str">
        <f t="shared" si="1"/>
        <v>2025</v>
      </c>
      <c r="G17" s="100" t="str">
        <f t="shared" si="2"/>
        <v>10Okt</v>
      </c>
      <c r="H17" s="100" t="str">
        <f t="shared" si="3"/>
        <v>Rabu</v>
      </c>
      <c r="I17" s="97" t="s">
        <v>95</v>
      </c>
      <c r="J17" s="97" t="s">
        <v>88</v>
      </c>
      <c r="K17" s="97" t="s">
        <v>63</v>
      </c>
      <c r="L17" s="101" t="s">
        <v>96</v>
      </c>
      <c r="M17" s="102" t="str">
        <f>IFNA(VLOOKUP(L17,'🙎‍♂️ Pasien'!G:V,2,FALSE),"")</f>
        <v>A0925094650</v>
      </c>
      <c r="N17" s="103">
        <f>IFNA(VLOOKUP(L17,'🙎‍♂️ Pasien'!G:L,3,FALSE),"")</f>
        <v>17</v>
      </c>
      <c r="O17" s="104" t="str">
        <f>IFNA(VLOOKUP(L17,'🙎‍♂️ Pasien'!G:V,6,FALSE),"")</f>
        <v>LAKI-LAKI</v>
      </c>
      <c r="P17" s="104" t="str">
        <f>IFNA(VLOOKUP(L17,'🙎‍♂️ Pasien'!G:V,12,FALSE),"")</f>
        <v>ISLAM</v>
      </c>
      <c r="Q17" s="104" t="str">
        <f>IFNA(VLOOKUP(L17:L1508,'🙎‍♂️ Pasien'!G:V,13,FALSE),"")</f>
        <v>PELAJAR</v>
      </c>
      <c r="R17" s="104" t="str">
        <f t="array" ref="R17">ifna(xlookup(L17,'🙎‍♂️ Pasien'!$G$5:$G1508,'🙎‍♂️ Pasien'!$T$5:$T1508),"")</f>
        <v>LUTUT</v>
      </c>
      <c r="S17" s="104" t="str">
        <f t="array" ref="S17">ifna(xlookup(L17,'🙎‍♂️ Pasien'!$G$5:$G1508,'🙎‍♂️ Pasien'!$U$5:$U1508),"")</f>
        <v>FUTSAL</v>
      </c>
      <c r="T17" s="97" t="s">
        <v>59</v>
      </c>
      <c r="U17" s="105">
        <v>5.0</v>
      </c>
      <c r="V17" s="101"/>
      <c r="W17" s="106" t="b">
        <v>1</v>
      </c>
      <c r="X17" s="107"/>
      <c r="Y17" s="108"/>
    </row>
    <row r="18" ht="22.5" customHeight="1">
      <c r="A18" s="96"/>
      <c r="B18" s="97" t="s">
        <v>85</v>
      </c>
      <c r="C18" s="98" t="str">
        <f t="array" ref="C18">IFNA(XLOOKUP(J18,'⚙️ Pengaturan'!$H$5:$H1508,'⚙️ Pengaturan'!$I$5:$I1508),"")</f>
        <v>TIM Y</v>
      </c>
      <c r="D18" s="97" t="s">
        <v>86</v>
      </c>
      <c r="E18" s="99">
        <v>45931.0</v>
      </c>
      <c r="F18" s="100" t="str">
        <f t="shared" si="1"/>
        <v>2025</v>
      </c>
      <c r="G18" s="100" t="str">
        <f t="shared" si="2"/>
        <v>10Okt</v>
      </c>
      <c r="H18" s="100" t="str">
        <f t="shared" si="3"/>
        <v>Rabu</v>
      </c>
      <c r="I18" s="97" t="s">
        <v>97</v>
      </c>
      <c r="J18" s="97" t="s">
        <v>88</v>
      </c>
      <c r="K18" s="97" t="s">
        <v>63</v>
      </c>
      <c r="L18" s="101" t="s">
        <v>98</v>
      </c>
      <c r="M18" s="102" t="str">
        <f>IFNA(VLOOKUP(L18,'🙎‍♂️ Pasien'!G:V,2,FALSE),"")</f>
        <v>L9925048099</v>
      </c>
      <c r="N18" s="103">
        <f>IFNA(VLOOKUP(L18,'🙎‍♂️ Pasien'!G:L,3,FALSE),"")</f>
        <v>26</v>
      </c>
      <c r="O18" s="104" t="str">
        <f>IFNA(VLOOKUP(L18,'🙎‍♂️ Pasien'!G:V,6,FALSE),"")</f>
        <v>PEREMPUAN</v>
      </c>
      <c r="P18" s="104" t="str">
        <f>IFNA(VLOOKUP(L18,'🙎‍♂️ Pasien'!G:V,12,FALSE),"")</f>
        <v>KATOLIK</v>
      </c>
      <c r="Q18" s="104" t="str">
        <f>IFNA(VLOOKUP(L18:L1508,'🙎‍♂️ Pasien'!G:V,13,FALSE),"")</f>
        <v>ACCOUNTING</v>
      </c>
      <c r="R18" s="104" t="str">
        <f t="array" ref="R18">ifna(xlookup(L18,'🙎‍♂️ Pasien'!$G$5:$G1508,'🙎‍♂️ Pasien'!$T$5:$T1508),"")</f>
        <v>NYERI TULANG BELAKANG SAMPAI KAKI, NYERI DI BAGIAN LUTUT JUGA</v>
      </c>
      <c r="S18" s="104" t="str">
        <f t="array" ref="S18">ifna(xlookup(L18,'🙎‍♂️ Pasien'!$G$5:$G1508,'🙎‍♂️ Pasien'!$U$5:$U1508),"")</f>
        <v>BANYAK DUDUK</v>
      </c>
      <c r="T18" s="97" t="s">
        <v>59</v>
      </c>
      <c r="U18" s="105">
        <v>5.0</v>
      </c>
      <c r="V18" s="101"/>
      <c r="W18" s="106" t="b">
        <v>1</v>
      </c>
      <c r="X18" s="107"/>
      <c r="Y18" s="108"/>
    </row>
    <row r="19" ht="22.5" customHeight="1">
      <c r="A19" s="96"/>
      <c r="B19" s="97" t="s">
        <v>85</v>
      </c>
      <c r="C19" s="98" t="str">
        <f t="array" ref="C19">IFNA(XLOOKUP(J19,'⚙️ Pengaturan'!$H$5:$H1508,'⚙️ Pengaturan'!$I$5:$I1508),"")</f>
        <v>TIM Y</v>
      </c>
      <c r="D19" s="97" t="s">
        <v>86</v>
      </c>
      <c r="E19" s="99">
        <v>45931.0</v>
      </c>
      <c r="F19" s="100" t="str">
        <f t="shared" si="1"/>
        <v>2025</v>
      </c>
      <c r="G19" s="100" t="str">
        <f t="shared" si="2"/>
        <v>10Okt</v>
      </c>
      <c r="H19" s="100" t="str">
        <f t="shared" si="3"/>
        <v>Rabu</v>
      </c>
      <c r="I19" s="97" t="s">
        <v>99</v>
      </c>
      <c r="J19" s="97" t="s">
        <v>88</v>
      </c>
      <c r="K19" s="97" t="s">
        <v>63</v>
      </c>
      <c r="L19" s="101" t="s">
        <v>100</v>
      </c>
      <c r="M19" s="102" t="str">
        <f>IFNA(VLOOKUP(L19,'🙎‍♂️ Pasien'!G:V,2,FALSE),"")</f>
        <v>A6125094370</v>
      </c>
      <c r="N19" s="103">
        <f>IFNA(VLOOKUP(L19,'🙎‍♂️ Pasien'!G:L,3,FALSE),"")</f>
        <v>64</v>
      </c>
      <c r="O19" s="104" t="str">
        <f>IFNA(VLOOKUP(L19,'🙎‍♂️ Pasien'!G:V,6,FALSE),"")</f>
        <v>LAKI-LAKI</v>
      </c>
      <c r="P19" s="104" t="str">
        <f>IFNA(VLOOKUP(L19,'🙎‍♂️ Pasien'!G:V,12,FALSE),"")</f>
        <v>ISLAM</v>
      </c>
      <c r="Q19" s="104" t="str">
        <f>IFNA(VLOOKUP(L19:L1508,'🙎‍♂️ Pasien'!G:V,13,FALSE),"")</f>
        <v>WIRASWASTA</v>
      </c>
      <c r="R19" s="104" t="str">
        <f t="array" ref="R19">ifna(xlookup(L19,'🙎‍♂️ Pasien'!$G$5:$G1508,'🙎‍♂️ Pasien'!$T$5:$T1508),"")</f>
        <v>NYERI DI SENDI BAHU, SAKIT KETIKA DI ANGKAT AGAK TINGGI</v>
      </c>
      <c r="S19" s="104" t="str">
        <f t="array" ref="S19">ifna(xlookup(L19,'🙎‍♂️ Pasien'!$G$5:$G1508,'🙎‍♂️ Pasien'!$U$5:$U1508),"")</f>
        <v>TERKADANG ANGKAT2 BARANG, TP TIDAK SETIAP HARI. ADA RIWAYAT JATUH</v>
      </c>
      <c r="T19" s="97" t="s">
        <v>59</v>
      </c>
      <c r="U19" s="105">
        <v>3.0</v>
      </c>
      <c r="V19" s="101"/>
      <c r="W19" s="106" t="b">
        <v>1</v>
      </c>
      <c r="X19" s="107"/>
      <c r="Y19" s="108"/>
    </row>
    <row r="20" ht="22.5" customHeight="1">
      <c r="A20" s="96"/>
      <c r="B20" s="97" t="s">
        <v>53</v>
      </c>
      <c r="C20" s="98" t="str">
        <f t="array" ref="C20">IFNA(XLOOKUP(J20,'⚙️ Pengaturan'!$H$5:$H1508,'⚙️ Pengaturan'!$I$5:$I1508),"")</f>
        <v>MANAJEMEN</v>
      </c>
      <c r="D20" s="97" t="s">
        <v>86</v>
      </c>
      <c r="E20" s="99">
        <v>45932.0</v>
      </c>
      <c r="F20" s="100" t="str">
        <f t="shared" si="1"/>
        <v>2025</v>
      </c>
      <c r="G20" s="100" t="str">
        <f t="shared" si="2"/>
        <v>10Okt</v>
      </c>
      <c r="H20" s="100" t="str">
        <f t="shared" si="3"/>
        <v>Kamis</v>
      </c>
      <c r="I20" s="97" t="s">
        <v>55</v>
      </c>
      <c r="J20" s="97" t="s">
        <v>101</v>
      </c>
      <c r="K20" s="97" t="s">
        <v>63</v>
      </c>
      <c r="L20" s="101" t="s">
        <v>102</v>
      </c>
      <c r="M20" s="102" t="str">
        <f>IFNA(VLOOKUP(L20,'🙎‍♂️ Pasien'!G:V,2,FALSE),"")</f>
        <v>B8525075344</v>
      </c>
      <c r="N20" s="103">
        <f>IFNA(VLOOKUP(L20,'🙎‍♂️ Pasien'!G:L,3,FALSE),"")</f>
        <v>40</v>
      </c>
      <c r="O20" s="104" t="str">
        <f>IFNA(VLOOKUP(L20,'🙎‍♂️ Pasien'!G:V,6,FALSE),"")</f>
        <v>LAKI-LAKI</v>
      </c>
      <c r="P20" s="104" t="str">
        <f>IFNA(VLOOKUP(L20,'🙎‍♂️ Pasien'!G:V,12,FALSE),"")</f>
        <v>ISLAM</v>
      </c>
      <c r="Q20" s="104" t="str">
        <f>IFNA(VLOOKUP(L20:L1508,'🙎‍♂️ Pasien'!G:V,13,FALSE),"")</f>
        <v>WIRAUSAHA</v>
      </c>
      <c r="R20" s="104" t="str">
        <f t="array" ref="R20">ifna(xlookup(L20,'🙎‍♂️ Pasien'!$G$5:$G1508,'🙎‍♂️ Pasien'!$T$5:$T1508),"")</f>
        <v>NYERI LUTUT</v>
      </c>
      <c r="S20" s="104" t="str">
        <f t="array" ref="S20">ifna(xlookup(L20,'🙎‍♂️ Pasien'!$G$5:$G1508,'🙎‍♂️ Pasien'!$U$5:$U1508),"")</f>
        <v>JOGGING</v>
      </c>
      <c r="T20" s="97" t="s">
        <v>67</v>
      </c>
      <c r="U20" s="105">
        <v>10.0</v>
      </c>
      <c r="V20" s="101" t="s">
        <v>103</v>
      </c>
      <c r="W20" s="106" t="b">
        <v>1</v>
      </c>
      <c r="X20" s="107"/>
      <c r="Y20" s="108"/>
    </row>
    <row r="21" ht="22.5" customHeight="1">
      <c r="A21" s="96"/>
      <c r="B21" s="97" t="s">
        <v>53</v>
      </c>
      <c r="C21" s="98" t="str">
        <f t="array" ref="C21">IFNA(XLOOKUP(J21,'⚙️ Pengaturan'!$H$5:$H1508,'⚙️ Pengaturan'!$I$5:$I1508),"")</f>
        <v>TIM Y</v>
      </c>
      <c r="D21" s="97" t="s">
        <v>86</v>
      </c>
      <c r="E21" s="99">
        <v>45932.0</v>
      </c>
      <c r="F21" s="100" t="str">
        <f t="shared" si="1"/>
        <v>2025</v>
      </c>
      <c r="G21" s="100" t="str">
        <f t="shared" si="2"/>
        <v>10Okt</v>
      </c>
      <c r="H21" s="100" t="str">
        <f t="shared" si="3"/>
        <v>Kamis</v>
      </c>
      <c r="I21" s="97" t="s">
        <v>55</v>
      </c>
      <c r="J21" s="97" t="s">
        <v>88</v>
      </c>
      <c r="K21" s="97" t="s">
        <v>63</v>
      </c>
      <c r="L21" s="101" t="s">
        <v>104</v>
      </c>
      <c r="M21" s="102" t="str">
        <f>IFNA(VLOOKUP(L21,'🙎‍♂️ Pasien'!G:V,2,FALSE),"")</f>
        <v>F4925091811</v>
      </c>
      <c r="N21" s="103">
        <f>IFNA(VLOOKUP(L21,'🙎‍♂️ Pasien'!G:L,3,FALSE),"")</f>
        <v>76</v>
      </c>
      <c r="O21" s="104" t="str">
        <f>IFNA(VLOOKUP(L21,'🙎‍♂️ Pasien'!G:V,6,FALSE),"")</f>
        <v>LAKI-LAKI</v>
      </c>
      <c r="P21" s="104" t="str">
        <f>IFNA(VLOOKUP(L21,'🙎‍♂️ Pasien'!G:V,12,FALSE),"")</f>
        <v>KHONGHUCU</v>
      </c>
      <c r="Q21" s="104" t="str">
        <f>IFNA(VLOOKUP(L21:L1508,'🙎‍♂️ Pasien'!G:V,13,FALSE),"")</f>
        <v>PENSIUN</v>
      </c>
      <c r="R21" s="104" t="str">
        <f t="array" ref="R21">ifna(xlookup(L21,'🙎‍♂️ Pasien'!$G$5:$G1508,'🙎‍♂️ Pasien'!$T$5:$T1508),"")</f>
        <v>KAKI GA KUAT</v>
      </c>
      <c r="S21" s="104" t="str">
        <f t="array" ref="S21">ifna(xlookup(L21,'🙎‍♂️ Pasien'!$G$5:$G1508,'🙎‍♂️ Pasien'!$U$5:$U1508),"")</f>
        <v>BERJALAN MENGGUNAKAN TONGKAT</v>
      </c>
      <c r="T21" s="97" t="s">
        <v>59</v>
      </c>
      <c r="U21" s="105">
        <v>2.0</v>
      </c>
      <c r="V21" s="101"/>
      <c r="W21" s="106" t="b">
        <v>1</v>
      </c>
      <c r="X21" s="107"/>
      <c r="Y21" s="108"/>
    </row>
    <row r="22" ht="22.5" customHeight="1">
      <c r="A22" s="96"/>
      <c r="B22" s="97" t="s">
        <v>53</v>
      </c>
      <c r="C22" s="98" t="str">
        <f t="array" ref="C22">IFNA(XLOOKUP(J22,'⚙️ Pengaturan'!$H$5:$H1508,'⚙️ Pengaturan'!$I$5:$I1508),"")</f>
        <v>TIM Y</v>
      </c>
      <c r="D22" s="97" t="s">
        <v>86</v>
      </c>
      <c r="E22" s="99">
        <v>45932.0</v>
      </c>
      <c r="F22" s="100" t="str">
        <f t="shared" si="1"/>
        <v>2025</v>
      </c>
      <c r="G22" s="100" t="str">
        <f t="shared" si="2"/>
        <v>10Okt</v>
      </c>
      <c r="H22" s="100" t="str">
        <f t="shared" si="3"/>
        <v>Kamis</v>
      </c>
      <c r="I22" s="97" t="s">
        <v>55</v>
      </c>
      <c r="J22" s="97" t="s">
        <v>91</v>
      </c>
      <c r="K22" s="97" t="s">
        <v>57</v>
      </c>
      <c r="L22" s="101" t="s">
        <v>105</v>
      </c>
      <c r="M22" s="102" t="str">
        <f>IFNA(VLOOKUP(L22,'🙎‍♂️ Pasien'!G:V,2,FALSE),"")</f>
        <v>L8625105331</v>
      </c>
      <c r="N22" s="103">
        <f>IFNA(VLOOKUP(L22,'🙎‍♂️ Pasien'!G:L,3,FALSE),"")</f>
        <v>39</v>
      </c>
      <c r="O22" s="104" t="str">
        <f>IFNA(VLOOKUP(L22,'🙎‍♂️ Pasien'!G:V,6,FALSE),"")</f>
        <v>PEREMPUAN</v>
      </c>
      <c r="P22" s="104" t="str">
        <f>IFNA(VLOOKUP(L22,'🙎‍♂️ Pasien'!G:V,12,FALSE),"")</f>
        <v>ISLAM</v>
      </c>
      <c r="Q22" s="104" t="str">
        <f>IFNA(VLOOKUP(L22:L1508,'🙎‍♂️ Pasien'!G:V,13,FALSE),"")</f>
        <v>SWASTA</v>
      </c>
      <c r="R22" s="104" t="str">
        <f t="array" ref="R22">ifna(xlookup(L22,'🙎‍♂️ Pasien'!$G$5:$G1508,'🙎‍♂️ Pasien'!$T$5:$T1508),"")</f>
        <v>BENUA MELAYU LAUT</v>
      </c>
      <c r="S22" s="104" t="str">
        <f t="array" ref="S22">ifna(xlookup(L22,'🙎‍♂️ Pasien'!$G$5:$G1508,'🙎‍♂️ Pasien'!$U$5:$U1508),"")</f>
        <v>BERJALAN</v>
      </c>
      <c r="T22" s="97" t="s">
        <v>67</v>
      </c>
      <c r="U22" s="105" t="s">
        <v>60</v>
      </c>
      <c r="V22" s="101" t="s">
        <v>106</v>
      </c>
      <c r="W22" s="106" t="b">
        <v>1</v>
      </c>
      <c r="X22" s="107"/>
      <c r="Y22" s="108"/>
    </row>
    <row r="23" ht="22.5" customHeight="1">
      <c r="A23" s="96"/>
      <c r="B23" s="97" t="s">
        <v>53</v>
      </c>
      <c r="C23" s="98" t="str">
        <f t="array" ref="C23">IFNA(XLOOKUP(J23,'⚙️ Pengaturan'!$H$5:$H1508,'⚙️ Pengaturan'!$I$5:$I1508),"")</f>
        <v>TIM Y</v>
      </c>
      <c r="D23" s="97" t="s">
        <v>86</v>
      </c>
      <c r="E23" s="99">
        <v>45932.0</v>
      </c>
      <c r="F23" s="100" t="str">
        <f t="shared" si="1"/>
        <v>2025</v>
      </c>
      <c r="G23" s="100" t="str">
        <f t="shared" si="2"/>
        <v>10Okt</v>
      </c>
      <c r="H23" s="100" t="str">
        <f t="shared" si="3"/>
        <v>Kamis</v>
      </c>
      <c r="I23" s="97" t="s">
        <v>65</v>
      </c>
      <c r="J23" s="97" t="s">
        <v>107</v>
      </c>
      <c r="K23" s="97" t="s">
        <v>63</v>
      </c>
      <c r="L23" s="101" t="s">
        <v>108</v>
      </c>
      <c r="M23" s="102" t="str">
        <f>IFNA(VLOOKUP(L23,'🙎‍♂️ Pasien'!G:V,2,FALSE),"")</f>
        <v>A5625092572</v>
      </c>
      <c r="N23" s="103">
        <f>IFNA(VLOOKUP(L23,'🙎‍♂️ Pasien'!G:L,3,FALSE),"")</f>
        <v>69</v>
      </c>
      <c r="O23" s="104" t="str">
        <f>IFNA(VLOOKUP(L23,'🙎‍♂️ Pasien'!G:V,6,FALSE),"")</f>
        <v>PEREMPUAN</v>
      </c>
      <c r="P23" s="104" t="str">
        <f>IFNA(VLOOKUP(L23,'🙎‍♂️ Pasien'!G:V,12,FALSE),"")</f>
        <v>ISLAM</v>
      </c>
      <c r="Q23" s="104" t="str">
        <f>IFNA(VLOOKUP(L23:L1508,'🙎‍♂️ Pasien'!G:V,13,FALSE),"")</f>
        <v>IRT</v>
      </c>
      <c r="R23" s="104" t="str">
        <f t="array" ref="R23">ifna(xlookup(L23,'🙎‍♂️ Pasien'!$G$5:$G1508,'🙎‍♂️ Pasien'!$T$5:$T1508),"")</f>
        <v>PINGGANG DAN KAKI</v>
      </c>
      <c r="S23" s="104" t="str">
        <f t="array" ref="S23">ifna(xlookup(L23,'🙎‍♂️ Pasien'!$G$5:$G1508,'🙎‍♂️ Pasien'!$U$5:$U1508),"")</f>
        <v>-</v>
      </c>
      <c r="T23" s="97" t="s">
        <v>59</v>
      </c>
      <c r="U23" s="105">
        <v>3.0</v>
      </c>
      <c r="V23" s="101" t="s">
        <v>109</v>
      </c>
      <c r="W23" s="106" t="b">
        <v>1</v>
      </c>
      <c r="X23" s="107"/>
      <c r="Y23" s="108"/>
    </row>
    <row r="24" ht="22.5" customHeight="1">
      <c r="A24" s="96"/>
      <c r="B24" s="97" t="s">
        <v>53</v>
      </c>
      <c r="C24" s="98" t="str">
        <f t="array" ref="C24">IFNA(XLOOKUP(J24,'⚙️ Pengaturan'!$H$5:$H1508,'⚙️ Pengaturan'!$I$5:$I1508),"")</f>
        <v>TIM Y</v>
      </c>
      <c r="D24" s="97" t="s">
        <v>86</v>
      </c>
      <c r="E24" s="99">
        <v>45932.0</v>
      </c>
      <c r="F24" s="100" t="str">
        <f t="shared" si="1"/>
        <v>2025</v>
      </c>
      <c r="G24" s="100" t="str">
        <f t="shared" si="2"/>
        <v>10Okt</v>
      </c>
      <c r="H24" s="100" t="str">
        <f t="shared" si="3"/>
        <v>Kamis</v>
      </c>
      <c r="I24" s="97" t="s">
        <v>74</v>
      </c>
      <c r="J24" s="97" t="s">
        <v>91</v>
      </c>
      <c r="K24" s="97" t="s">
        <v>63</v>
      </c>
      <c r="L24" s="101" t="s">
        <v>110</v>
      </c>
      <c r="M24" s="102" t="str">
        <f>IFNA(VLOOKUP(L24,'🙎‍♂️ Pasien'!G:V,2,FALSE),"")</f>
        <v>E8425098000</v>
      </c>
      <c r="N24" s="103">
        <f>IFNA(VLOOKUP(L24,'🙎‍♂️ Pasien'!G:L,3,FALSE),"")</f>
        <v>41</v>
      </c>
      <c r="O24" s="104" t="str">
        <f>IFNA(VLOOKUP(L24,'🙎‍♂️ Pasien'!G:V,6,FALSE),"")</f>
        <v>PEREMPUAN</v>
      </c>
      <c r="P24" s="104" t="str">
        <f>IFNA(VLOOKUP(L24,'🙎‍♂️ Pasien'!G:V,12,FALSE),"")</f>
        <v>BUDDHA</v>
      </c>
      <c r="Q24" s="104" t="str">
        <f>IFNA(VLOOKUP(L24:L1508,'🙎‍♂️ Pasien'!G:V,13,FALSE),"")</f>
        <v>IRT</v>
      </c>
      <c r="R24" s="104" t="str">
        <f t="array" ref="R24">ifna(xlookup(L24,'🙎‍♂️ Pasien'!$G$5:$G1508,'🙎‍♂️ Pasien'!$T$5:$T1508),"")</f>
        <v>TANGAN KESEMUTAN</v>
      </c>
      <c r="S24" s="104" t="str">
        <f t="array" ref="S24">ifna(xlookup(L24,'🙎‍♂️ Pasien'!$G$5:$G1508,'🙎‍♂️ Pasien'!$U$5:$U1508),"")</f>
        <v>-</v>
      </c>
      <c r="T24" s="97" t="s">
        <v>67</v>
      </c>
      <c r="U24" s="105">
        <v>2.0</v>
      </c>
      <c r="V24" s="101" t="s">
        <v>111</v>
      </c>
      <c r="W24" s="106" t="b">
        <v>1</v>
      </c>
      <c r="X24" s="107"/>
      <c r="Y24" s="108"/>
    </row>
    <row r="25" ht="22.5" customHeight="1">
      <c r="A25" s="96"/>
      <c r="B25" s="97" t="s">
        <v>53</v>
      </c>
      <c r="C25" s="98" t="str">
        <f t="array" ref="C25">IFNA(XLOOKUP(J25,'⚙️ Pengaturan'!$H$5:$H1508,'⚙️ Pengaturan'!$I$5:$I1508),"")</f>
        <v>TIM Y</v>
      </c>
      <c r="D25" s="97" t="s">
        <v>86</v>
      </c>
      <c r="E25" s="99">
        <v>45932.0</v>
      </c>
      <c r="F25" s="100" t="str">
        <f t="shared" si="1"/>
        <v>2025</v>
      </c>
      <c r="G25" s="100" t="str">
        <f t="shared" si="2"/>
        <v>10Okt</v>
      </c>
      <c r="H25" s="100" t="str">
        <f t="shared" si="3"/>
        <v>Kamis</v>
      </c>
      <c r="I25" s="97" t="s">
        <v>74</v>
      </c>
      <c r="J25" s="97" t="s">
        <v>88</v>
      </c>
      <c r="K25" s="97" t="s">
        <v>63</v>
      </c>
      <c r="L25" s="101" t="s">
        <v>112</v>
      </c>
      <c r="M25" s="102" t="str">
        <f>IFNA(VLOOKUP(L25,'🙎‍♂️ Pasien'!G:V,2,FALSE),"")</f>
        <v>S7125096750</v>
      </c>
      <c r="N25" s="103">
        <f>IFNA(VLOOKUP(L25,'🙎‍♂️ Pasien'!G:L,3,FALSE),"")</f>
        <v>55</v>
      </c>
      <c r="O25" s="104" t="str">
        <f>IFNA(VLOOKUP(L25,'🙎‍♂️ Pasien'!G:V,6,FALSE),"")</f>
        <v>LAKI-LAKI</v>
      </c>
      <c r="P25" s="104" t="str">
        <f>IFNA(VLOOKUP(L25,'🙎‍♂️ Pasien'!G:V,12,FALSE),"")</f>
        <v>ISLAM</v>
      </c>
      <c r="Q25" s="104" t="str">
        <f>IFNA(VLOOKUP(L25:L1508,'🙎‍♂️ Pasien'!G:V,13,FALSE),"")</f>
        <v>KARYAWAN</v>
      </c>
      <c r="R25" s="104" t="str">
        <f t="array" ref="R25">ifna(xlookup(L25,'🙎‍♂️ Pasien'!$G$5:$G1508,'🙎‍♂️ Pasien'!$T$5:$T1508),"")</f>
        <v>OTOT LENGAN KANAN</v>
      </c>
      <c r="S25" s="104" t="str">
        <f t="array" ref="S25">ifna(xlookup(L25,'🙎‍♂️ Pasien'!$G$5:$G1508,'🙎‍♂️ Pasien'!$U$5:$U1508),"")</f>
        <v>TENIS</v>
      </c>
      <c r="T25" s="97" t="s">
        <v>59</v>
      </c>
      <c r="U25" s="105">
        <v>3.0</v>
      </c>
      <c r="V25" s="101"/>
      <c r="W25" s="106" t="b">
        <v>1</v>
      </c>
      <c r="X25" s="107"/>
      <c r="Y25" s="108"/>
    </row>
    <row r="26" ht="22.5" customHeight="1">
      <c r="A26" s="96"/>
      <c r="B26" s="97" t="s">
        <v>53</v>
      </c>
      <c r="C26" s="98" t="str">
        <f t="array" ref="C26">IFNA(XLOOKUP(J26,'⚙️ Pengaturan'!$H$5:$H1508,'⚙️ Pengaturan'!$I$5:$I1508),"")</f>
        <v>TIM Y</v>
      </c>
      <c r="D26" s="97" t="s">
        <v>86</v>
      </c>
      <c r="E26" s="99">
        <v>45932.0</v>
      </c>
      <c r="F26" s="100" t="str">
        <f t="shared" si="1"/>
        <v>2025</v>
      </c>
      <c r="G26" s="100" t="str">
        <f t="shared" si="2"/>
        <v>10Okt</v>
      </c>
      <c r="H26" s="100" t="str">
        <f t="shared" si="3"/>
        <v>Kamis</v>
      </c>
      <c r="I26" s="97" t="s">
        <v>76</v>
      </c>
      <c r="J26" s="97" t="s">
        <v>91</v>
      </c>
      <c r="K26" s="97" t="s">
        <v>63</v>
      </c>
      <c r="L26" s="101" t="s">
        <v>113</v>
      </c>
      <c r="M26" s="102" t="str">
        <f>IFNA(VLOOKUP(L26,'🙎‍♂️ Pasien'!G:V,2,FALSE),"")</f>
        <v>H5325098176</v>
      </c>
      <c r="N26" s="103">
        <f>IFNA(VLOOKUP(L26,'🙎‍♂️ Pasien'!G:L,3,FALSE),"")</f>
        <v>73</v>
      </c>
      <c r="O26" s="104" t="str">
        <f>IFNA(VLOOKUP(L26,'🙎‍♂️ Pasien'!G:V,6,FALSE),"")</f>
        <v>LAKI-LAKI</v>
      </c>
      <c r="P26" s="104" t="str">
        <f>IFNA(VLOOKUP(L26,'🙎‍♂️ Pasien'!G:V,12,FALSE),"")</f>
        <v>BUDDHA</v>
      </c>
      <c r="Q26" s="104" t="str">
        <f>IFNA(VLOOKUP(L26:L1508,'🙎‍♂️ Pasien'!G:V,13,FALSE),"")</f>
        <v>PENSIUN</v>
      </c>
      <c r="R26" s="104" t="str">
        <f t="array" ref="R26">ifna(xlookup(L26,'🙎‍♂️ Pasien'!$G$5:$G1508,'🙎‍♂️ Pasien'!$T$5:$T1508),"")</f>
        <v>KAKI GAK BISA JONGKOK</v>
      </c>
      <c r="S26" s="104" t="str">
        <f t="array" ref="S26">ifna(xlookup(L26,'🙎‍♂️ Pasien'!$G$5:$G1508,'🙎‍♂️ Pasien'!$U$5:$U1508),"")</f>
        <v>——</v>
      </c>
      <c r="T26" s="97" t="s">
        <v>67</v>
      </c>
      <c r="U26" s="105">
        <v>2.0</v>
      </c>
      <c r="V26" s="101" t="s">
        <v>114</v>
      </c>
      <c r="W26" s="106" t="b">
        <v>1</v>
      </c>
      <c r="X26" s="107"/>
      <c r="Y26" s="108"/>
    </row>
    <row r="27" ht="22.5" customHeight="1">
      <c r="A27" s="96"/>
      <c r="B27" s="97" t="s">
        <v>53</v>
      </c>
      <c r="C27" s="98" t="str">
        <f t="array" ref="C27">IFNA(XLOOKUP(J27,'⚙️ Pengaturan'!$H$5:$H1508,'⚙️ Pengaturan'!$I$5:$I1508),"")</f>
        <v>TIM Y</v>
      </c>
      <c r="D27" s="97" t="s">
        <v>86</v>
      </c>
      <c r="E27" s="99">
        <v>45932.0</v>
      </c>
      <c r="F27" s="100" t="str">
        <f t="shared" si="1"/>
        <v>2025</v>
      </c>
      <c r="G27" s="100" t="str">
        <f t="shared" si="2"/>
        <v>10Okt</v>
      </c>
      <c r="H27" s="100" t="str">
        <f t="shared" si="3"/>
        <v>Kamis</v>
      </c>
      <c r="I27" s="97" t="s">
        <v>76</v>
      </c>
      <c r="J27" s="97" t="s">
        <v>88</v>
      </c>
      <c r="K27" s="97" t="s">
        <v>57</v>
      </c>
      <c r="L27" s="101" t="s">
        <v>115</v>
      </c>
      <c r="M27" s="102" t="str">
        <f>IFNA(VLOOKUP(L27,'🙎‍♂️ Pasien'!G:V,2,FALSE),"")</f>
        <v>S9625108010</v>
      </c>
      <c r="N27" s="103">
        <f>IFNA(VLOOKUP(L27,'🙎‍♂️ Pasien'!G:L,3,FALSE),"")</f>
        <v>29</v>
      </c>
      <c r="O27" s="104" t="str">
        <f>IFNA(VLOOKUP(L27,'🙎‍♂️ Pasien'!G:V,6,FALSE),"")</f>
        <v>LAKI-LAKI</v>
      </c>
      <c r="P27" s="104" t="str">
        <f>IFNA(VLOOKUP(L27,'🙎‍♂️ Pasien'!G:V,12,FALSE),"")</f>
        <v>ISLAM</v>
      </c>
      <c r="Q27" s="104" t="str">
        <f>IFNA(VLOOKUP(L27:L1508,'🙎‍♂️ Pasien'!G:V,13,FALSE),"")</f>
        <v>MARKETING</v>
      </c>
      <c r="R27" s="104" t="str">
        <f t="array" ref="R27">ifna(xlookup(L27,'🙎‍♂️ Pasien'!$G$5:$G1508,'🙎‍♂️ Pasien'!$T$5:$T1508),"")</f>
        <v>ANKLE SPRAIN</v>
      </c>
      <c r="S27" s="104" t="str">
        <f t="array" ref="S27">ifna(xlookup(L27,'🙎‍♂️ Pasien'!$G$5:$G1508,'🙎‍♂️ Pasien'!$U$5:$U1508),"")</f>
        <v>TENNIS</v>
      </c>
      <c r="T27" s="97" t="s">
        <v>59</v>
      </c>
      <c r="U27" s="105" t="s">
        <v>60</v>
      </c>
      <c r="V27" s="101"/>
      <c r="W27" s="106" t="b">
        <v>1</v>
      </c>
      <c r="X27" s="107"/>
      <c r="Y27" s="108"/>
    </row>
    <row r="28" ht="22.5" customHeight="1">
      <c r="A28" s="96"/>
      <c r="B28" s="97" t="s">
        <v>53</v>
      </c>
      <c r="C28" s="98" t="str">
        <f t="array" ref="C28">IFNA(XLOOKUP(J28,'⚙️ Pengaturan'!$H$5:$H1508,'⚙️ Pengaturan'!$I$5:$I1508),"")</f>
        <v>TIM Y</v>
      </c>
      <c r="D28" s="97" t="s">
        <v>86</v>
      </c>
      <c r="E28" s="99">
        <v>45932.0</v>
      </c>
      <c r="F28" s="100" t="str">
        <f t="shared" si="1"/>
        <v>2025</v>
      </c>
      <c r="G28" s="100" t="str">
        <f t="shared" si="2"/>
        <v>10Okt</v>
      </c>
      <c r="H28" s="100" t="str">
        <f t="shared" si="3"/>
        <v>Kamis</v>
      </c>
      <c r="I28" s="97" t="s">
        <v>83</v>
      </c>
      <c r="J28" s="97" t="s">
        <v>107</v>
      </c>
      <c r="K28" s="97" t="s">
        <v>63</v>
      </c>
      <c r="L28" s="101" t="s">
        <v>116</v>
      </c>
      <c r="M28" s="102" t="str">
        <f>IFNA(VLOOKUP(L28,'🙎‍♂️ Pasien'!G:V,2,FALSE),"")</f>
        <v>H7825098625</v>
      </c>
      <c r="N28" s="103">
        <f>IFNA(VLOOKUP(L28,'🙎‍♂️ Pasien'!G:L,3,FALSE),"")</f>
        <v>47</v>
      </c>
      <c r="O28" s="104" t="str">
        <f>IFNA(VLOOKUP(L28,'🙎‍♂️ Pasien'!G:V,6,FALSE),"")</f>
        <v>LAKI-LAKI</v>
      </c>
      <c r="P28" s="104" t="str">
        <f>IFNA(VLOOKUP(L28,'🙎‍♂️ Pasien'!G:V,12,FALSE),"")</f>
        <v>KHONGHUCU</v>
      </c>
      <c r="Q28" s="104" t="str">
        <f>IFNA(VLOOKUP(L28:L1508,'🙎‍♂️ Pasien'!G:V,13,FALSE),"")</f>
        <v>WIRASWASTA</v>
      </c>
      <c r="R28" s="104" t="str">
        <f t="array" ref="R28">ifna(xlookup(L28,'🙎‍♂️ Pasien'!$G$5:$G1508,'🙎‍♂️ Pasien'!$T$5:$T1508),"")</f>
        <v>SIANTAN</v>
      </c>
      <c r="S28" s="104" t="str">
        <f t="array" ref="S28">ifna(xlookup(L28,'🙎‍♂️ Pasien'!$G$5:$G1508,'🙎‍♂️ Pasien'!$U$5:$U1508),"")</f>
        <v>GYM</v>
      </c>
      <c r="T28" s="97" t="s">
        <v>59</v>
      </c>
      <c r="U28" s="105">
        <v>2.0</v>
      </c>
      <c r="V28" s="101"/>
      <c r="W28" s="106" t="b">
        <v>1</v>
      </c>
      <c r="X28" s="107"/>
      <c r="Y28" s="108"/>
    </row>
    <row r="29" ht="22.5" customHeight="1">
      <c r="A29" s="96"/>
      <c r="B29" s="97" t="s">
        <v>53</v>
      </c>
      <c r="C29" s="98" t="str">
        <f t="array" ref="C29">IFNA(XLOOKUP(J29,'⚙️ Pengaturan'!$H$5:$H1508,'⚙️ Pengaturan'!$I$5:$I1508),"")</f>
        <v>TIM Y</v>
      </c>
      <c r="D29" s="97" t="s">
        <v>86</v>
      </c>
      <c r="E29" s="99">
        <v>45932.0</v>
      </c>
      <c r="F29" s="100" t="str">
        <f t="shared" si="1"/>
        <v>2025</v>
      </c>
      <c r="G29" s="100" t="str">
        <f t="shared" si="2"/>
        <v>10Okt</v>
      </c>
      <c r="H29" s="100" t="str">
        <f t="shared" si="3"/>
        <v>Kamis</v>
      </c>
      <c r="I29" s="97" t="s">
        <v>83</v>
      </c>
      <c r="J29" s="97" t="s">
        <v>91</v>
      </c>
      <c r="K29" s="97" t="s">
        <v>63</v>
      </c>
      <c r="L29" s="101" t="s">
        <v>117</v>
      </c>
      <c r="M29" s="102" t="str">
        <f>IFNA(VLOOKUP(L29,'🙎‍♂️ Pasien'!G:V,2,FALSE),"")</f>
        <v>M7525052841</v>
      </c>
      <c r="N29" s="103">
        <f>IFNA(VLOOKUP(L29,'🙎‍♂️ Pasien'!G:L,3,FALSE),"")</f>
        <v>50</v>
      </c>
      <c r="O29" s="104" t="str">
        <f>IFNA(VLOOKUP(L29,'🙎‍♂️ Pasien'!G:V,6,FALSE),"")</f>
        <v>PEREMPUAN</v>
      </c>
      <c r="P29" s="104" t="str">
        <f>IFNA(VLOOKUP(L29,'🙎‍♂️ Pasien'!G:V,12,FALSE),"")</f>
        <v>ISLAM</v>
      </c>
      <c r="Q29" s="104" t="str">
        <f>IFNA(VLOOKUP(L29:L1508,'🙎‍♂️ Pasien'!G:V,13,FALSE),"")</f>
        <v>IBU RUMAH TANGGA</v>
      </c>
      <c r="R29" s="104" t="str">
        <f t="array" ref="R29">ifna(xlookup(L29,'🙎‍♂️ Pasien'!$G$5:$G1508,'🙎‍♂️ Pasien'!$T$5:$T1508),"")</f>
        <v>RHUMBOID PAIN, CARPAL TUNNEL SYNDROME, PIRIFORMIS SYNDROME</v>
      </c>
      <c r="S29" s="104" t="str">
        <f t="array" ref="S29">ifna(xlookup(L29,'🙎‍♂️ Pasien'!$G$5:$G1508,'🙎‍♂️ Pasien'!$U$5:$U1508),"")</f>
        <v>AKTIVITAS RUMAH TANGGA (CUCI DAN SETRIKA PAKAIAN)</v>
      </c>
      <c r="T29" s="97" t="s">
        <v>67</v>
      </c>
      <c r="U29" s="105">
        <v>5.0</v>
      </c>
      <c r="V29" s="101" t="s">
        <v>118</v>
      </c>
      <c r="W29" s="106" t="b">
        <v>1</v>
      </c>
      <c r="X29" s="107"/>
      <c r="Y29" s="108"/>
    </row>
    <row r="30" ht="22.5" customHeight="1">
      <c r="A30" s="96"/>
      <c r="B30" s="97" t="s">
        <v>85</v>
      </c>
      <c r="C30" s="98" t="str">
        <f t="array" ref="C30">IFNA(XLOOKUP(J30,'⚙️ Pengaturan'!$H$5:$H1508,'⚙️ Pengaturan'!$I$5:$I1508),"")</f>
        <v>TIM Y</v>
      </c>
      <c r="D30" s="97" t="s">
        <v>54</v>
      </c>
      <c r="E30" s="99">
        <v>45932.0</v>
      </c>
      <c r="F30" s="100" t="str">
        <f t="shared" si="1"/>
        <v>2025</v>
      </c>
      <c r="G30" s="100" t="str">
        <f t="shared" si="2"/>
        <v>10Okt</v>
      </c>
      <c r="H30" s="100" t="str">
        <f t="shared" si="3"/>
        <v>Kamis</v>
      </c>
      <c r="I30" s="97" t="s">
        <v>87</v>
      </c>
      <c r="J30" s="97" t="s">
        <v>56</v>
      </c>
      <c r="K30" s="97" t="s">
        <v>63</v>
      </c>
      <c r="L30" s="101" t="s">
        <v>119</v>
      </c>
      <c r="M30" s="102" t="str">
        <f>IFNA(VLOOKUP(L30,'🙎‍♂️ Pasien'!G:V,2,FALSE),"")</f>
        <v>H4623015667</v>
      </c>
      <c r="N30" s="103">
        <f>IFNA(VLOOKUP(L30,'🙎‍♂️ Pasien'!G:L,3,FALSE),"")</f>
        <v>80</v>
      </c>
      <c r="O30" s="104" t="str">
        <f>IFNA(VLOOKUP(L30,'🙎‍♂️ Pasien'!G:V,6,FALSE),"")</f>
        <v>LAKI-LAKI</v>
      </c>
      <c r="P30" s="104" t="str">
        <f>IFNA(VLOOKUP(L30,'🙎‍♂️ Pasien'!G:V,12,FALSE),"")</f>
        <v>ISLAM</v>
      </c>
      <c r="Q30" s="104" t="str">
        <f>IFNA(VLOOKUP(L30:L1508,'🙎‍♂️ Pasien'!G:V,13,FALSE),"")</f>
        <v>PENSIUN</v>
      </c>
      <c r="R30" s="104" t="str">
        <f t="array" ref="R30">ifna(xlookup(L30,'🙎‍♂️ Pasien'!$G$5:$G1508,'🙎‍♂️ Pasien'!$T$5:$T1508),"")</f>
        <v>STROKE</v>
      </c>
      <c r="S30" s="104" t="str">
        <f t="array" ref="S30">ifna(xlookup(L30,'🙎‍♂️ Pasien'!$G$5:$G1508,'🙎‍♂️ Pasien'!$U$5:$U1508),"")</f>
        <v/>
      </c>
      <c r="T30" s="97" t="s">
        <v>59</v>
      </c>
      <c r="U30" s="105">
        <v>8.0</v>
      </c>
      <c r="V30" s="101"/>
      <c r="W30" s="106" t="b">
        <v>1</v>
      </c>
      <c r="X30" s="107"/>
      <c r="Y30" s="108"/>
    </row>
    <row r="31" ht="22.5" customHeight="1">
      <c r="A31" s="96"/>
      <c r="B31" s="97" t="s">
        <v>85</v>
      </c>
      <c r="C31" s="98" t="str">
        <f t="array" ref="C31">IFNA(XLOOKUP(J31,'⚙️ Pengaturan'!$H$5:$H1508,'⚙️ Pengaturan'!$I$5:$I1508),"")</f>
        <v>TIM A</v>
      </c>
      <c r="D31" s="97" t="s">
        <v>54</v>
      </c>
      <c r="E31" s="99">
        <v>45932.0</v>
      </c>
      <c r="F31" s="100" t="str">
        <f t="shared" si="1"/>
        <v>2025</v>
      </c>
      <c r="G31" s="100" t="str">
        <f t="shared" si="2"/>
        <v>10Okt</v>
      </c>
      <c r="H31" s="100" t="str">
        <f t="shared" si="3"/>
        <v>Kamis</v>
      </c>
      <c r="I31" s="97" t="s">
        <v>87</v>
      </c>
      <c r="J31" s="97" t="s">
        <v>72</v>
      </c>
      <c r="K31" s="97" t="s">
        <v>57</v>
      </c>
      <c r="L31" s="101" t="s">
        <v>105</v>
      </c>
      <c r="M31" s="102" t="str">
        <f>IFNA(VLOOKUP(L31,'🙎‍♂️ Pasien'!G:V,2,FALSE),"")</f>
        <v>L8625105331</v>
      </c>
      <c r="N31" s="103">
        <f>IFNA(VLOOKUP(L31,'🙎‍♂️ Pasien'!G:L,3,FALSE),"")</f>
        <v>39</v>
      </c>
      <c r="O31" s="104" t="str">
        <f>IFNA(VLOOKUP(L31,'🙎‍♂️ Pasien'!G:V,6,FALSE),"")</f>
        <v>PEREMPUAN</v>
      </c>
      <c r="P31" s="104" t="str">
        <f>IFNA(VLOOKUP(L31,'🙎‍♂️ Pasien'!G:V,12,FALSE),"")</f>
        <v>ISLAM</v>
      </c>
      <c r="Q31" s="104" t="str">
        <f>IFNA(VLOOKUP(L31:L1508,'🙎‍♂️ Pasien'!G:V,13,FALSE),"")</f>
        <v>SWASTA</v>
      </c>
      <c r="R31" s="104" t="str">
        <f t="array" ref="R31">ifna(xlookup(L31,'🙎‍♂️ Pasien'!$G$5:$G1508,'🙎‍♂️ Pasien'!$T$5:$T1508),"")</f>
        <v>BENUA MELAYU LAUT</v>
      </c>
      <c r="S31" s="104" t="str">
        <f t="array" ref="S31">ifna(xlookup(L31,'🙎‍♂️ Pasien'!$G$5:$G1508,'🙎‍♂️ Pasien'!$U$5:$U1508),"")</f>
        <v>BERJALAN</v>
      </c>
      <c r="T31" s="97" t="s">
        <v>67</v>
      </c>
      <c r="U31" s="105" t="s">
        <v>60</v>
      </c>
      <c r="V31" s="101" t="s">
        <v>120</v>
      </c>
      <c r="W31" s="106" t="b">
        <v>1</v>
      </c>
      <c r="X31" s="107"/>
      <c r="Y31" s="108"/>
    </row>
    <row r="32" ht="22.5" customHeight="1">
      <c r="A32" s="96"/>
      <c r="B32" s="97" t="s">
        <v>85</v>
      </c>
      <c r="C32" s="98" t="str">
        <f t="array" ref="C32">IFNA(XLOOKUP(J32,'⚙️ Pengaturan'!$H$5:$H1508,'⚙️ Pengaturan'!$I$5:$I1508),"")</f>
        <v>TIM A</v>
      </c>
      <c r="D32" s="97" t="s">
        <v>54</v>
      </c>
      <c r="E32" s="99">
        <v>45932.0</v>
      </c>
      <c r="F32" s="100" t="str">
        <f t="shared" si="1"/>
        <v>2025</v>
      </c>
      <c r="G32" s="100" t="str">
        <f t="shared" si="2"/>
        <v>10Okt</v>
      </c>
      <c r="H32" s="100" t="str">
        <f t="shared" si="3"/>
        <v>Kamis</v>
      </c>
      <c r="I32" s="97" t="s">
        <v>87</v>
      </c>
      <c r="J32" s="97" t="s">
        <v>72</v>
      </c>
      <c r="K32" s="97" t="s">
        <v>57</v>
      </c>
      <c r="L32" s="101" t="s">
        <v>121</v>
      </c>
      <c r="M32" s="102" t="str">
        <f>IFNA(VLOOKUP(L32,'🙎‍♂️ Pasien'!G:V,2,FALSE),"")</f>
        <v>R9625100137</v>
      </c>
      <c r="N32" s="103">
        <f>IFNA(VLOOKUP(L32,'🙎‍♂️ Pasien'!G:L,3,FALSE),"")</f>
        <v>29</v>
      </c>
      <c r="O32" s="104" t="str">
        <f>IFNA(VLOOKUP(L32,'🙎‍♂️ Pasien'!G:V,6,FALSE),"")</f>
        <v>LAKI-LAKI</v>
      </c>
      <c r="P32" s="104" t="str">
        <f>IFNA(VLOOKUP(L32,'🙎‍♂️ Pasien'!G:V,12,FALSE),"")</f>
        <v>KATOLIK</v>
      </c>
      <c r="Q32" s="104" t="str">
        <f>IFNA(VLOOKUP(L32:L1508,'🙎‍♂️ Pasien'!G:V,13,FALSE),"")</f>
        <v>SWASTA</v>
      </c>
      <c r="R32" s="104" t="str">
        <f t="array" ref="R32">ifna(xlookup(L32,'🙎‍♂️ Pasien'!$G$5:$G1508,'🙎‍♂️ Pasien'!$T$5:$T1508),"")</f>
        <v>CEDERA DI LUTUT</v>
      </c>
      <c r="S32" s="104" t="str">
        <f t="array" ref="S32">ifna(xlookup(L32,'🙎‍♂️ Pasien'!$G$5:$G1508,'🙎‍♂️ Pasien'!$U$5:$U1508),"")</f>
        <v>OLAHRAGA SEPAK BOLA , FUTSAL</v>
      </c>
      <c r="T32" s="97" t="s">
        <v>59</v>
      </c>
      <c r="U32" s="105" t="s">
        <v>60</v>
      </c>
      <c r="V32" s="101"/>
      <c r="W32" s="106" t="b">
        <v>1</v>
      </c>
      <c r="X32" s="107"/>
      <c r="Y32" s="108"/>
    </row>
    <row r="33" ht="22.5" customHeight="1">
      <c r="A33" s="96"/>
      <c r="B33" s="97" t="s">
        <v>85</v>
      </c>
      <c r="C33" s="98" t="str">
        <f t="array" ref="C33">IFNA(XLOOKUP(J33,'⚙️ Pengaturan'!$H$5:$H1508,'⚙️ Pengaturan'!$I$5:$I1508),"")</f>
        <v>TIM A</v>
      </c>
      <c r="D33" s="97" t="s">
        <v>54</v>
      </c>
      <c r="E33" s="99">
        <v>45932.0</v>
      </c>
      <c r="F33" s="100" t="str">
        <f t="shared" si="1"/>
        <v>2025</v>
      </c>
      <c r="G33" s="100" t="str">
        <f t="shared" si="2"/>
        <v>10Okt</v>
      </c>
      <c r="H33" s="100" t="str">
        <f t="shared" si="3"/>
        <v>Kamis</v>
      </c>
      <c r="I33" s="97" t="s">
        <v>93</v>
      </c>
      <c r="J33" s="97" t="s">
        <v>62</v>
      </c>
      <c r="K33" s="97" t="s">
        <v>57</v>
      </c>
      <c r="L33" s="101" t="s">
        <v>122</v>
      </c>
      <c r="M33" s="102" t="str">
        <f>IFNA(VLOOKUP(L33,'🙎‍♂️ Pasien'!G:V,2,FALSE),"")</f>
        <v>A0025068439</v>
      </c>
      <c r="N33" s="103">
        <f>IFNA(VLOOKUP(L33,'🙎‍♂️ Pasien'!G:L,3,FALSE),"")</f>
        <v>25</v>
      </c>
      <c r="O33" s="104" t="str">
        <f>IFNA(VLOOKUP(L33,'🙎‍♂️ Pasien'!G:V,6,FALSE),"")</f>
        <v>PEREMPUAN</v>
      </c>
      <c r="P33" s="104" t="str">
        <f>IFNA(VLOOKUP(L33,'🙎‍♂️ Pasien'!G:V,12,FALSE),"")</f>
        <v>BUDDHA</v>
      </c>
      <c r="Q33" s="104" t="str">
        <f>IFNA(VLOOKUP(L33:L1508,'🙎‍♂️ Pasien'!G:V,13,FALSE),"")</f>
        <v>PEKERJA LEPAS/ FREELANCE</v>
      </c>
      <c r="R33" s="104" t="str">
        <f t="array" ref="R33">ifna(xlookup(L33,'🙎‍♂️ Pasien'!$G$5:$G1508,'🙎‍♂️ Pasien'!$T$5:$T1508),"")</f>
        <v>LUTUT SAKIT KARENA SALAH SQUAD/ JONGKOK DI OLAHRAGA/ GYM.</v>
      </c>
      <c r="S33" s="104" t="str">
        <f t="array" ref="S33">ifna(xlookup(L33,'🙎‍♂️ Pasien'!$G$5:$G1508,'🙎‍♂️ Pasien'!$U$5:$U1508),"")</f>
        <v>OLAHRAGA FITNESS/ GYM, MENYETIR MOBIL (KEGIATAN YANG SERING MENGGUNAKAN KAKI KANAN)</v>
      </c>
      <c r="T33" s="97" t="s">
        <v>59</v>
      </c>
      <c r="U33" s="105" t="s">
        <v>60</v>
      </c>
      <c r="V33" s="101" t="s">
        <v>123</v>
      </c>
      <c r="W33" s="106" t="b">
        <v>1</v>
      </c>
      <c r="X33" s="107"/>
      <c r="Y33" s="108"/>
    </row>
    <row r="34" ht="22.5" customHeight="1">
      <c r="A34" s="96"/>
      <c r="B34" s="97" t="s">
        <v>85</v>
      </c>
      <c r="C34" s="98" t="str">
        <f t="array" ref="C34">IFNA(XLOOKUP(J34,'⚙️ Pengaturan'!$H$5:$H1508,'⚙️ Pengaturan'!$I$5:$I1508),"")</f>
        <v>TIM Y</v>
      </c>
      <c r="D34" s="97" t="s">
        <v>54</v>
      </c>
      <c r="E34" s="99">
        <v>45932.0</v>
      </c>
      <c r="F34" s="100" t="str">
        <f t="shared" si="1"/>
        <v>2025</v>
      </c>
      <c r="G34" s="100" t="str">
        <f t="shared" si="2"/>
        <v>10Okt</v>
      </c>
      <c r="H34" s="100" t="str">
        <f t="shared" si="3"/>
        <v>Kamis</v>
      </c>
      <c r="I34" s="97" t="s">
        <v>93</v>
      </c>
      <c r="J34" s="97" t="s">
        <v>56</v>
      </c>
      <c r="K34" s="97" t="s">
        <v>63</v>
      </c>
      <c r="L34" s="101" t="s">
        <v>124</v>
      </c>
      <c r="M34" s="102" t="str">
        <f>IFNA(VLOOKUP(L34,'🙎‍♂️ Pasien'!G:V,2,FALSE),"")</f>
        <v>F0423083055</v>
      </c>
      <c r="N34" s="103">
        <f>IFNA(VLOOKUP(L34,'🙎‍♂️ Pasien'!G:L,3,FALSE),"")</f>
        <v>21</v>
      </c>
      <c r="O34" s="104" t="str">
        <f>IFNA(VLOOKUP(L34,'🙎‍♂️ Pasien'!G:V,6,FALSE),"")</f>
        <v>LAKI-LAKI</v>
      </c>
      <c r="P34" s="104" t="str">
        <f>IFNA(VLOOKUP(L34,'🙎‍♂️ Pasien'!G:V,12,FALSE),"")</f>
        <v>ISLAM</v>
      </c>
      <c r="Q34" s="104" t="str">
        <f>IFNA(VLOOKUP(L34:L1508,'🙎‍♂️ Pasien'!G:V,13,FALSE),"")</f>
        <v>PELAJAR/MAHASISWA</v>
      </c>
      <c r="R34" s="104" t="str">
        <f t="array" ref="R34">ifna(xlookup(L34,'🙎‍♂️ Pasien'!$G$5:$G1508,'🙎‍♂️ Pasien'!$T$5:$T1508),"")</f>
        <v>SAKIT DAN NGERI DI BAGIAN KAKI</v>
      </c>
      <c r="S34" s="104" t="str">
        <f t="array" ref="S34">ifna(xlookup(L34,'🙎‍♂️ Pasien'!$G$5:$G1508,'🙎‍♂️ Pasien'!$U$5:$U1508),"")</f>
        <v>OLAHRAGA</v>
      </c>
      <c r="T34" s="97" t="s">
        <v>59</v>
      </c>
      <c r="U34" s="105">
        <v>5.0</v>
      </c>
      <c r="V34" s="101" t="s">
        <v>125</v>
      </c>
      <c r="W34" s="106" t="b">
        <v>1</v>
      </c>
      <c r="X34" s="107"/>
      <c r="Y34" s="108"/>
    </row>
    <row r="35" ht="22.5" customHeight="1">
      <c r="A35" s="96"/>
      <c r="B35" s="97" t="s">
        <v>85</v>
      </c>
      <c r="C35" s="98" t="str">
        <f t="array" ref="C35">IFNA(XLOOKUP(J35,'⚙️ Pengaturan'!$H$5:$H1508,'⚙️ Pengaturan'!$I$5:$I1508),"")</f>
        <v>TIM A</v>
      </c>
      <c r="D35" s="97" t="s">
        <v>54</v>
      </c>
      <c r="E35" s="99">
        <v>45932.0</v>
      </c>
      <c r="F35" s="100" t="str">
        <f t="shared" si="1"/>
        <v>2025</v>
      </c>
      <c r="G35" s="100" t="str">
        <f t="shared" si="2"/>
        <v>10Okt</v>
      </c>
      <c r="H35" s="100" t="str">
        <f t="shared" si="3"/>
        <v>Kamis</v>
      </c>
      <c r="I35" s="97" t="s">
        <v>93</v>
      </c>
      <c r="J35" s="97" t="s">
        <v>72</v>
      </c>
      <c r="K35" s="97" t="s">
        <v>63</v>
      </c>
      <c r="L35" s="101" t="s">
        <v>126</v>
      </c>
      <c r="M35" s="102" t="str">
        <f>IFNA(VLOOKUP(L35,'🙎‍♂️ Pasien'!G:V,2,FALSE),"")</f>
        <v>Y0825082296</v>
      </c>
      <c r="N35" s="103">
        <f>IFNA(VLOOKUP(L35,'🙎‍♂️ Pasien'!G:L,3,FALSE),"")</f>
        <v>17</v>
      </c>
      <c r="O35" s="104" t="str">
        <f>IFNA(VLOOKUP(L35,'🙎‍♂️ Pasien'!G:V,6,FALSE),"")</f>
        <v>LAKI-LAKI</v>
      </c>
      <c r="P35" s="104" t="str">
        <f>IFNA(VLOOKUP(L35,'🙎‍♂️ Pasien'!G:V,12,FALSE),"")</f>
        <v>LAINNYA</v>
      </c>
      <c r="Q35" s="104" t="str">
        <f>IFNA(VLOOKUP(L35:L1508,'🙎‍♂️ Pasien'!G:V,13,FALSE),"")</f>
        <v>PELAJAR</v>
      </c>
      <c r="R35" s="104" t="str">
        <f t="array" ref="R35">ifna(xlookup(L35,'🙎‍♂️ Pasien'!$G$5:$G1508,'🙎‍♂️ Pasien'!$T$5:$T1508),"")</f>
        <v>LUTUT</v>
      </c>
      <c r="S35" s="104" t="str">
        <f t="array" ref="S35">ifna(xlookup(L35,'🙎‍♂️ Pasien'!$G$5:$G1508,'🙎‍♂️ Pasien'!$U$5:$U1508),"")</f>
        <v>-</v>
      </c>
      <c r="T35" s="97" t="s">
        <v>67</v>
      </c>
      <c r="U35" s="105">
        <v>5.0</v>
      </c>
      <c r="V35" s="101" t="s">
        <v>127</v>
      </c>
      <c r="W35" s="106" t="b">
        <v>1</v>
      </c>
      <c r="X35" s="107"/>
      <c r="Y35" s="108"/>
    </row>
    <row r="36" ht="22.5" customHeight="1">
      <c r="A36" s="96"/>
      <c r="B36" s="97" t="s">
        <v>85</v>
      </c>
      <c r="C36" s="98" t="str">
        <f t="array" ref="C36">IFNA(XLOOKUP(J36,'⚙️ Pengaturan'!$H$5:$H1508,'⚙️ Pengaturan'!$I$5:$I1508),"")</f>
        <v>TIM A</v>
      </c>
      <c r="D36" s="97" t="s">
        <v>54</v>
      </c>
      <c r="E36" s="99">
        <v>45932.0</v>
      </c>
      <c r="F36" s="100" t="str">
        <f t="shared" si="1"/>
        <v>2025</v>
      </c>
      <c r="G36" s="100" t="str">
        <f t="shared" si="2"/>
        <v>10Okt</v>
      </c>
      <c r="H36" s="100" t="str">
        <f t="shared" si="3"/>
        <v>Kamis</v>
      </c>
      <c r="I36" s="97" t="s">
        <v>95</v>
      </c>
      <c r="J36" s="97" t="s">
        <v>79</v>
      </c>
      <c r="K36" s="97" t="s">
        <v>63</v>
      </c>
      <c r="L36" s="101" t="s">
        <v>128</v>
      </c>
      <c r="M36" s="102" t="str">
        <f>IFNA(VLOOKUP(L36,'🙎‍♂️ Pasien'!G:V,2,FALSE),"")</f>
        <v>A9725086020</v>
      </c>
      <c r="N36" s="103">
        <f>IFNA(VLOOKUP(L36,'🙎‍♂️ Pasien'!G:L,3,FALSE),"")</f>
        <v>28</v>
      </c>
      <c r="O36" s="104" t="str">
        <f>IFNA(VLOOKUP(L36,'🙎‍♂️ Pasien'!G:V,6,FALSE),"")</f>
        <v>PEREMPUAN</v>
      </c>
      <c r="P36" s="104" t="str">
        <f>IFNA(VLOOKUP(L36,'🙎‍♂️ Pasien'!G:V,12,FALSE),"")</f>
        <v>ISLAM</v>
      </c>
      <c r="Q36" s="104" t="str">
        <f>IFNA(VLOOKUP(L36:L1508,'🙎‍♂️ Pasien'!G:V,13,FALSE),"")</f>
        <v>PNS</v>
      </c>
      <c r="R36" s="104" t="str">
        <f t="array" ref="R36">ifna(xlookup(L36,'🙎‍♂️ Pasien'!$G$5:$G1508,'🙎‍♂️ Pasien'!$T$5:$T1508),"")</f>
        <v>SAKIT BAGIAN PAHA DAN PANGGUL</v>
      </c>
      <c r="S36" s="104" t="str">
        <f t="array" ref="S36">ifna(xlookup(L36,'🙎‍♂️ Pasien'!$G$5:$G1508,'🙎‍♂️ Pasien'!$U$5:$U1508),"")</f>
        <v>VOLI DAN BEKERJA</v>
      </c>
      <c r="T36" s="97" t="s">
        <v>59</v>
      </c>
      <c r="U36" s="105">
        <v>2.0</v>
      </c>
      <c r="V36" s="101"/>
      <c r="W36" s="106" t="b">
        <v>1</v>
      </c>
      <c r="X36" s="107"/>
      <c r="Y36" s="108"/>
    </row>
    <row r="37" ht="22.5" customHeight="1">
      <c r="A37" s="96"/>
      <c r="B37" s="97" t="s">
        <v>85</v>
      </c>
      <c r="C37" s="98" t="str">
        <f t="array" ref="C37">IFNA(XLOOKUP(J37,'⚙️ Pengaturan'!$H$5:$H1508,'⚙️ Pengaturan'!$I$5:$I1508),"")</f>
        <v>TIM A</v>
      </c>
      <c r="D37" s="97" t="s">
        <v>54</v>
      </c>
      <c r="E37" s="99">
        <v>45932.0</v>
      </c>
      <c r="F37" s="100" t="str">
        <f t="shared" si="1"/>
        <v>2025</v>
      </c>
      <c r="G37" s="100" t="str">
        <f t="shared" si="2"/>
        <v>10Okt</v>
      </c>
      <c r="H37" s="100" t="str">
        <f t="shared" si="3"/>
        <v>Kamis</v>
      </c>
      <c r="I37" s="97" t="s">
        <v>97</v>
      </c>
      <c r="J37" s="97" t="s">
        <v>72</v>
      </c>
      <c r="K37" s="97" t="s">
        <v>63</v>
      </c>
      <c r="L37" s="101" t="s">
        <v>129</v>
      </c>
      <c r="M37" s="102" t="str">
        <f>IFNA(VLOOKUP(L37,'🙎‍♂️ Pasien'!G:V,2,FALSE),"")</f>
        <v>D1025091558</v>
      </c>
      <c r="N37" s="103">
        <f>IFNA(VLOOKUP(L37,'🙎‍♂️ Pasien'!G:L,3,FALSE),"")</f>
        <v>16</v>
      </c>
      <c r="O37" s="104" t="str">
        <f>IFNA(VLOOKUP(L37,'🙎‍♂️ Pasien'!G:V,6,FALSE),"")</f>
        <v>LAKI-LAKI</v>
      </c>
      <c r="P37" s="104" t="str">
        <f>IFNA(VLOOKUP(L37,'🙎‍♂️ Pasien'!G:V,12,FALSE),"")</f>
        <v>PROTESTAN</v>
      </c>
      <c r="Q37" s="104" t="str">
        <f>IFNA(VLOOKUP(L37:L1508,'🙎‍♂️ Pasien'!G:V,13,FALSE),"")</f>
        <v>MASI SEKOLAH</v>
      </c>
      <c r="R37" s="104" t="str">
        <f t="array" ref="R37">ifna(xlookup(L37,'🙎‍♂️ Pasien'!$G$5:$G1508,'🙎‍♂️ Pasien'!$T$5:$T1508),"")</f>
        <v>SAKIT DI BAGIAN LUTUT</v>
      </c>
      <c r="S37" s="104" t="str">
        <f t="array" ref="S37">ifna(xlookup(L37,'🙎‍♂️ Pasien'!$G$5:$G1508,'🙎‍♂️ Pasien'!$U$5:$U1508),"")</f>
        <v>BASKET</v>
      </c>
      <c r="T37" s="97" t="s">
        <v>59</v>
      </c>
      <c r="U37" s="105">
        <v>1.0</v>
      </c>
      <c r="V37" s="101"/>
      <c r="W37" s="106" t="b">
        <v>1</v>
      </c>
      <c r="X37" s="107"/>
      <c r="Y37" s="108"/>
    </row>
    <row r="38" ht="22.5" customHeight="1">
      <c r="A38" s="96"/>
      <c r="B38" s="97" t="s">
        <v>85</v>
      </c>
      <c r="C38" s="98" t="str">
        <f t="array" ref="C38">IFNA(XLOOKUP(J38,'⚙️ Pengaturan'!$H$5:$H1508,'⚙️ Pengaturan'!$I$5:$I1508),"")</f>
        <v>TIM A</v>
      </c>
      <c r="D38" s="97" t="s">
        <v>54</v>
      </c>
      <c r="E38" s="99">
        <v>45932.0</v>
      </c>
      <c r="F38" s="100" t="str">
        <f t="shared" si="1"/>
        <v>2025</v>
      </c>
      <c r="G38" s="100" t="str">
        <f t="shared" si="2"/>
        <v>10Okt</v>
      </c>
      <c r="H38" s="100" t="str">
        <f t="shared" si="3"/>
        <v>Kamis</v>
      </c>
      <c r="I38" s="97" t="s">
        <v>97</v>
      </c>
      <c r="J38" s="97" t="s">
        <v>79</v>
      </c>
      <c r="K38" s="97" t="s">
        <v>69</v>
      </c>
      <c r="L38" s="101" t="s">
        <v>130</v>
      </c>
      <c r="M38" s="102" t="str">
        <f>IFNA(VLOOKUP(L38,'🙎‍♂️ Pasien'!G:V,2,FALSE),"")</f>
        <v>I9525090</v>
      </c>
      <c r="N38" s="103">
        <f>IFNA(VLOOKUP(L38,'🙎‍♂️ Pasien'!G:L,3,FALSE),"")</f>
        <v>30</v>
      </c>
      <c r="O38" s="104" t="str">
        <f>IFNA(VLOOKUP(L38,'🙎‍♂️ Pasien'!G:V,6,FALSE),"")</f>
        <v>LAKI-LAKI</v>
      </c>
      <c r="P38" s="104" t="str">
        <f>IFNA(VLOOKUP(L38,'🙎‍♂️ Pasien'!G:V,12,FALSE),"")</f>
        <v>ISLAM</v>
      </c>
      <c r="Q38" s="104" t="str">
        <f>IFNA(VLOOKUP(L38:L1508,'🙎‍♂️ Pasien'!G:V,13,FALSE),"")</f>
        <v>PNS</v>
      </c>
      <c r="R38" s="104" t="str">
        <f t="array" ref="R38">ifna(xlookup(L38,'🙎‍♂️ Pasien'!$G$5:$G1508,'🙎‍♂️ Pasien'!$T$5:$T1508),"")</f>
        <v>ANKLE</v>
      </c>
      <c r="S38" s="104" t="str">
        <f t="array" ref="S38">ifna(xlookup(L38,'🙎‍♂️ Pasien'!$G$5:$G1508,'🙎‍♂️ Pasien'!$U$5:$U1508),"")</f>
        <v>-</v>
      </c>
      <c r="T38" s="97" t="s">
        <v>59</v>
      </c>
      <c r="U38" s="105" t="s">
        <v>60</v>
      </c>
      <c r="V38" s="101"/>
      <c r="W38" s="106" t="b">
        <v>1</v>
      </c>
      <c r="X38" s="107"/>
      <c r="Y38" s="108"/>
    </row>
    <row r="39" ht="22.5" customHeight="1">
      <c r="A39" s="96"/>
      <c r="B39" s="97" t="s">
        <v>85</v>
      </c>
      <c r="C39" s="98" t="str">
        <f t="array" ref="C39">IFNA(XLOOKUP(J39,'⚙️ Pengaturan'!$H$5:$H1508,'⚙️ Pengaturan'!$I$5:$I1508),"")</f>
        <v>TIM A</v>
      </c>
      <c r="D39" s="97" t="s">
        <v>54</v>
      </c>
      <c r="E39" s="99">
        <v>45932.0</v>
      </c>
      <c r="F39" s="100" t="str">
        <f t="shared" si="1"/>
        <v>2025</v>
      </c>
      <c r="G39" s="100" t="str">
        <f t="shared" si="2"/>
        <v>10Okt</v>
      </c>
      <c r="H39" s="100" t="str">
        <f t="shared" si="3"/>
        <v>Kamis</v>
      </c>
      <c r="I39" s="97" t="s">
        <v>97</v>
      </c>
      <c r="J39" s="97" t="s">
        <v>62</v>
      </c>
      <c r="K39" s="97" t="s">
        <v>57</v>
      </c>
      <c r="L39" s="101" t="s">
        <v>105</v>
      </c>
      <c r="M39" s="102" t="str">
        <f>IFNA(VLOOKUP(L39,'🙎‍♂️ Pasien'!G:V,2,FALSE),"")</f>
        <v>L8625105331</v>
      </c>
      <c r="N39" s="103">
        <f>IFNA(VLOOKUP(L39,'🙎‍♂️ Pasien'!G:L,3,FALSE),"")</f>
        <v>39</v>
      </c>
      <c r="O39" s="104" t="str">
        <f>IFNA(VLOOKUP(L39,'🙎‍♂️ Pasien'!G:V,6,FALSE),"")</f>
        <v>PEREMPUAN</v>
      </c>
      <c r="P39" s="104" t="str">
        <f>IFNA(VLOOKUP(L39,'🙎‍♂️ Pasien'!G:V,12,FALSE),"")</f>
        <v>ISLAM</v>
      </c>
      <c r="Q39" s="104" t="str">
        <f>IFNA(VLOOKUP(L39:L1508,'🙎‍♂️ Pasien'!G:V,13,FALSE),"")</f>
        <v>SWASTA</v>
      </c>
      <c r="R39" s="104" t="str">
        <f t="array" ref="R39">ifna(xlookup(L39,'🙎‍♂️ Pasien'!$G$5:$G1508,'🙎‍♂️ Pasien'!$T$5:$T1508),"")</f>
        <v>BENUA MELAYU LAUT</v>
      </c>
      <c r="S39" s="104" t="str">
        <f t="array" ref="S39">ifna(xlookup(L39,'🙎‍♂️ Pasien'!$G$5:$G1508,'🙎‍♂️ Pasien'!$U$5:$U1508),"")</f>
        <v>BERJALAN</v>
      </c>
      <c r="T39" s="97" t="s">
        <v>59</v>
      </c>
      <c r="U39" s="105" t="s">
        <v>60</v>
      </c>
      <c r="V39" s="101" t="s">
        <v>131</v>
      </c>
      <c r="W39" s="106" t="b">
        <v>1</v>
      </c>
      <c r="X39" s="107"/>
      <c r="Y39" s="108"/>
    </row>
    <row r="40" ht="22.5" customHeight="1">
      <c r="A40" s="96"/>
      <c r="B40" s="97" t="s">
        <v>85</v>
      </c>
      <c r="C40" s="98" t="str">
        <f t="array" ref="C40">IFNA(XLOOKUP(J40,'⚙️ Pengaturan'!$H$5:$H1508,'⚙️ Pengaturan'!$I$5:$I1508),"")</f>
        <v>TIM A</v>
      </c>
      <c r="D40" s="97" t="s">
        <v>54</v>
      </c>
      <c r="E40" s="99">
        <v>45932.0</v>
      </c>
      <c r="F40" s="100" t="str">
        <f t="shared" si="1"/>
        <v>2025</v>
      </c>
      <c r="G40" s="100" t="str">
        <f t="shared" si="2"/>
        <v>10Okt</v>
      </c>
      <c r="H40" s="100" t="str">
        <f t="shared" si="3"/>
        <v>Kamis</v>
      </c>
      <c r="I40" s="97" t="s">
        <v>97</v>
      </c>
      <c r="J40" s="97" t="s">
        <v>62</v>
      </c>
      <c r="K40" s="97" t="s">
        <v>63</v>
      </c>
      <c r="L40" s="101" t="s">
        <v>132</v>
      </c>
      <c r="M40" s="102" t="str">
        <f>IFNA(VLOOKUP(L40,'🙎‍♂️ Pasien'!G:V,2,FALSE),"")</f>
        <v>R1225091811</v>
      </c>
      <c r="N40" s="103">
        <f>IFNA(VLOOKUP(L40,'🙎‍♂️ Pasien'!G:L,3,FALSE),"")</f>
        <v>13</v>
      </c>
      <c r="O40" s="104" t="str">
        <f>IFNA(VLOOKUP(L40,'🙎‍♂️ Pasien'!G:V,6,FALSE),"")</f>
        <v>LAKI-LAKI</v>
      </c>
      <c r="P40" s="104" t="str">
        <f>IFNA(VLOOKUP(L40,'🙎‍♂️ Pasien'!G:V,12,FALSE),"")</f>
        <v>KATOLIK</v>
      </c>
      <c r="Q40" s="104" t="str">
        <f>IFNA(VLOOKUP(L40:L1508,'🙎‍♂️ Pasien'!G:V,13,FALSE),"")</f>
        <v>SISWA</v>
      </c>
      <c r="R40" s="104" t="str">
        <f t="array" ref="R40">ifna(xlookup(L40,'🙎‍♂️ Pasien'!$G$5:$G1508,'🙎‍♂️ Pasien'!$T$5:$T1508),"")</f>
        <v>BUNGKUK</v>
      </c>
      <c r="S40" s="104" t="str">
        <f t="array" ref="S40">ifna(xlookup(L40,'🙎‍♂️ Pasien'!$G$5:$G1508,'🙎‍♂️ Pasien'!$U$5:$U1508),"")</f>
        <v>SEKOLAH</v>
      </c>
      <c r="T40" s="97" t="s">
        <v>67</v>
      </c>
      <c r="U40" s="105">
        <v>1.0</v>
      </c>
      <c r="V40" s="101" t="s">
        <v>133</v>
      </c>
      <c r="W40" s="106" t="b">
        <v>1</v>
      </c>
      <c r="X40" s="107"/>
      <c r="Y40" s="108"/>
    </row>
    <row r="41" ht="22.5" customHeight="1">
      <c r="A41" s="96"/>
      <c r="B41" s="97" t="s">
        <v>85</v>
      </c>
      <c r="C41" s="98" t="str">
        <f t="array" ref="C41">IFNA(XLOOKUP(J41,'⚙️ Pengaturan'!$H$5:$H1508,'⚙️ Pengaturan'!$I$5:$I1508),"")</f>
        <v>TIM A</v>
      </c>
      <c r="D41" s="97" t="s">
        <v>54</v>
      </c>
      <c r="E41" s="99">
        <v>45932.0</v>
      </c>
      <c r="F41" s="100" t="str">
        <f t="shared" si="1"/>
        <v>2025</v>
      </c>
      <c r="G41" s="100" t="str">
        <f t="shared" si="2"/>
        <v>10Okt</v>
      </c>
      <c r="H41" s="100" t="str">
        <f t="shared" si="3"/>
        <v>Kamis</v>
      </c>
      <c r="I41" s="97" t="s">
        <v>99</v>
      </c>
      <c r="J41" s="97" t="s">
        <v>72</v>
      </c>
      <c r="K41" s="97" t="s">
        <v>63</v>
      </c>
      <c r="L41" s="101" t="s">
        <v>117</v>
      </c>
      <c r="M41" s="102" t="str">
        <f>IFNA(VLOOKUP(L41,'🙎‍♂️ Pasien'!G:V,2,FALSE),"")</f>
        <v>M7525052841</v>
      </c>
      <c r="N41" s="103">
        <f>IFNA(VLOOKUP(L41,'🙎‍♂️ Pasien'!G:L,3,FALSE),"")</f>
        <v>50</v>
      </c>
      <c r="O41" s="104" t="str">
        <f>IFNA(VLOOKUP(L41,'🙎‍♂️ Pasien'!G:V,6,FALSE),"")</f>
        <v>PEREMPUAN</v>
      </c>
      <c r="P41" s="104" t="str">
        <f>IFNA(VLOOKUP(L41,'🙎‍♂️ Pasien'!G:V,12,FALSE),"")</f>
        <v>ISLAM</v>
      </c>
      <c r="Q41" s="104" t="str">
        <f>IFNA(VLOOKUP(L41:L1508,'🙎‍♂️ Pasien'!G:V,13,FALSE),"")</f>
        <v>IBU RUMAH TANGGA</v>
      </c>
      <c r="R41" s="104" t="str">
        <f t="array" ref="R41">ifna(xlookup(L41,'🙎‍♂️ Pasien'!$G$5:$G1508,'🙎‍♂️ Pasien'!$T$5:$T1508),"")</f>
        <v>RHUMBOID PAIN, CARPAL TUNNEL SYNDROME, PIRIFORMIS SYNDROME</v>
      </c>
      <c r="S41" s="104" t="str">
        <f t="array" ref="S41">ifna(xlookup(L41,'🙎‍♂️ Pasien'!$G$5:$G1508,'🙎‍♂️ Pasien'!$U$5:$U1508),"")</f>
        <v>AKTIVITAS RUMAH TANGGA (CUCI DAN SETRIKA PAKAIAN)</v>
      </c>
      <c r="T41" s="97" t="s">
        <v>59</v>
      </c>
      <c r="U41" s="105">
        <v>5.0</v>
      </c>
      <c r="V41" s="101" t="s">
        <v>125</v>
      </c>
      <c r="W41" s="106" t="b">
        <v>1</v>
      </c>
      <c r="X41" s="107"/>
      <c r="Y41" s="108"/>
    </row>
    <row r="42" ht="22.5" customHeight="1">
      <c r="A42" s="96"/>
      <c r="B42" s="97" t="s">
        <v>85</v>
      </c>
      <c r="C42" s="98" t="str">
        <f t="array" ref="C42">IFNA(XLOOKUP(J42,'⚙️ Pengaturan'!$H$5:$H1508,'⚙️ Pengaturan'!$I$5:$I1508),"")</f>
        <v>MANAJEMEN</v>
      </c>
      <c r="D42" s="97" t="s">
        <v>134</v>
      </c>
      <c r="E42" s="99">
        <v>45933.0</v>
      </c>
      <c r="F42" s="100" t="str">
        <f t="shared" si="1"/>
        <v>2025</v>
      </c>
      <c r="G42" s="100" t="str">
        <f t="shared" si="2"/>
        <v>10Okt</v>
      </c>
      <c r="H42" s="100" t="str">
        <f t="shared" si="3"/>
        <v>Jumat</v>
      </c>
      <c r="I42" s="97" t="s">
        <v>87</v>
      </c>
      <c r="J42" s="97" t="s">
        <v>101</v>
      </c>
      <c r="K42" s="97" t="s">
        <v>135</v>
      </c>
      <c r="L42" s="101" t="s">
        <v>136</v>
      </c>
      <c r="M42" s="102" t="str">
        <f>IFNA(VLOOKUP(L42,'🙎‍♂️ Pasien'!G:V,2,FALSE),"")</f>
        <v>H9025092496</v>
      </c>
      <c r="N42" s="103">
        <f>IFNA(VLOOKUP(L42,'🙎‍♂️ Pasien'!G:L,3,FALSE),"")</f>
        <v>35</v>
      </c>
      <c r="O42" s="104" t="str">
        <f>IFNA(VLOOKUP(L42,'🙎‍♂️ Pasien'!G:V,6,FALSE),"")</f>
        <v>LAKI-LAKI</v>
      </c>
      <c r="P42" s="104" t="str">
        <f>IFNA(VLOOKUP(L42,'🙎‍♂️ Pasien'!G:V,12,FALSE),"")</f>
        <v>ISLAM</v>
      </c>
      <c r="Q42" s="104" t="str">
        <f>IFNA(VLOOKUP(L42:L1508,'🙎‍♂️ Pasien'!G:V,13,FALSE),"")</f>
        <v>SWASTA</v>
      </c>
      <c r="R42" s="104" t="str">
        <f t="array" ref="R42">ifna(xlookup(L42,'🙎‍♂️ Pasien'!$G$5:$G1508,'🙎‍♂️ Pasien'!$T$5:$T1508),"")</f>
        <v>KAKI KIRI SAKIT</v>
      </c>
      <c r="S42" s="104" t="str">
        <f t="array" ref="S42">ifna(xlookup(L42,'🙎‍♂️ Pasien'!$G$5:$G1508,'🙎‍♂️ Pasien'!$U$5:$U1508),"")</f>
        <v>LATIHAN LATI</v>
      </c>
      <c r="T42" s="97" t="s">
        <v>67</v>
      </c>
      <c r="U42" s="105" t="s">
        <v>60</v>
      </c>
      <c r="V42" s="101" t="s">
        <v>137</v>
      </c>
      <c r="W42" s="106" t="b">
        <v>1</v>
      </c>
      <c r="X42" s="109" t="s">
        <v>60</v>
      </c>
      <c r="Y42" s="108"/>
    </row>
    <row r="43" ht="22.5" customHeight="1">
      <c r="A43" s="96"/>
      <c r="B43" s="97" t="s">
        <v>85</v>
      </c>
      <c r="C43" s="98" t="str">
        <f t="array" ref="C43">IFNA(XLOOKUP(J43,'⚙️ Pengaturan'!$H$5:$H1508,'⚙️ Pengaturan'!$I$5:$I1508),"")</f>
        <v>TIM Y</v>
      </c>
      <c r="D43" s="97" t="s">
        <v>134</v>
      </c>
      <c r="E43" s="99">
        <v>45933.0</v>
      </c>
      <c r="F43" s="100" t="str">
        <f t="shared" si="1"/>
        <v>2025</v>
      </c>
      <c r="G43" s="100" t="str">
        <f t="shared" si="2"/>
        <v>10Okt</v>
      </c>
      <c r="H43" s="100" t="str">
        <f t="shared" si="3"/>
        <v>Jumat</v>
      </c>
      <c r="I43" s="97" t="s">
        <v>87</v>
      </c>
      <c r="J43" s="97" t="s">
        <v>56</v>
      </c>
      <c r="K43" s="97" t="s">
        <v>63</v>
      </c>
      <c r="L43" s="101" t="s">
        <v>138</v>
      </c>
      <c r="M43" s="102" t="str">
        <f>IFNA(VLOOKUP(L43,'🙎‍♂️ Pasien'!G:V,2,FALSE),"")</f>
        <v>Y5125088477</v>
      </c>
      <c r="N43" s="103">
        <f>IFNA(VLOOKUP(L43,'🙎‍♂️ Pasien'!G:L,3,FALSE),"")</f>
        <v>75</v>
      </c>
      <c r="O43" s="104" t="str">
        <f>IFNA(VLOOKUP(L43,'🙎‍♂️ Pasien'!G:V,6,FALSE),"")</f>
        <v>LAKI-LAKI</v>
      </c>
      <c r="P43" s="104" t="str">
        <f>IFNA(VLOOKUP(L43,'🙎‍♂️ Pasien'!G:V,12,FALSE),"")</f>
        <v>ISLAM</v>
      </c>
      <c r="Q43" s="104" t="str">
        <f>IFNA(VLOOKUP(L43:L1508,'🙎‍♂️ Pasien'!G:V,13,FALSE),"")</f>
        <v>PENSIUNAN PLN</v>
      </c>
      <c r="R43" s="104" t="str">
        <f t="array" ref="R43">ifna(xlookup(L43,'🙎‍♂️ Pasien'!$G$5:$G1508,'🙎‍♂️ Pasien'!$T$5:$T1508),"")</f>
        <v>STROKE SEBELAH KANAN</v>
      </c>
      <c r="S43" s="104" t="str">
        <f t="array" ref="S43">ifna(xlookup(L43,'🙎‍♂️ Pasien'!$G$5:$G1508,'🙎‍♂️ Pasien'!$U$5:$U1508),"")</f>
        <v>TIDAK ADA</v>
      </c>
      <c r="T43" s="97" t="s">
        <v>59</v>
      </c>
      <c r="U43" s="105">
        <v>6.0</v>
      </c>
      <c r="V43" s="101"/>
      <c r="W43" s="106" t="b">
        <v>1</v>
      </c>
      <c r="X43" s="109" t="s">
        <v>139</v>
      </c>
      <c r="Y43" s="108"/>
    </row>
    <row r="44" ht="22.5" customHeight="1">
      <c r="A44" s="96"/>
      <c r="B44" s="97" t="s">
        <v>85</v>
      </c>
      <c r="C44" s="98" t="str">
        <f t="array" ref="C44">IFNA(XLOOKUP(J44,'⚙️ Pengaturan'!$H$5:$H1508,'⚙️ Pengaturan'!$I$5:$I1508),"")</f>
        <v>TIM Y</v>
      </c>
      <c r="D44" s="97" t="s">
        <v>134</v>
      </c>
      <c r="E44" s="99">
        <v>45933.0</v>
      </c>
      <c r="F44" s="100" t="str">
        <f t="shared" si="1"/>
        <v>2025</v>
      </c>
      <c r="G44" s="100" t="str">
        <f t="shared" si="2"/>
        <v>10Okt</v>
      </c>
      <c r="H44" s="100" t="str">
        <f t="shared" si="3"/>
        <v>Jumat</v>
      </c>
      <c r="I44" s="97" t="s">
        <v>93</v>
      </c>
      <c r="J44" s="97" t="s">
        <v>56</v>
      </c>
      <c r="K44" s="97" t="s">
        <v>63</v>
      </c>
      <c r="L44" s="101" t="s">
        <v>96</v>
      </c>
      <c r="M44" s="102" t="str">
        <f>IFNA(VLOOKUP(L44,'🙎‍♂️ Pasien'!G:V,2,FALSE),"")</f>
        <v>A0925094650</v>
      </c>
      <c r="N44" s="103">
        <f>IFNA(VLOOKUP(L44,'🙎‍♂️ Pasien'!G:L,3,FALSE),"")</f>
        <v>17</v>
      </c>
      <c r="O44" s="104" t="str">
        <f>IFNA(VLOOKUP(L44,'🙎‍♂️ Pasien'!G:V,6,FALSE),"")</f>
        <v>LAKI-LAKI</v>
      </c>
      <c r="P44" s="104" t="str">
        <f>IFNA(VLOOKUP(L44,'🙎‍♂️ Pasien'!G:V,12,FALSE),"")</f>
        <v>ISLAM</v>
      </c>
      <c r="Q44" s="104" t="str">
        <f>IFNA(VLOOKUP(L44:L1508,'🙎‍♂️ Pasien'!G:V,13,FALSE),"")</f>
        <v>PELAJAR</v>
      </c>
      <c r="R44" s="104" t="str">
        <f t="array" ref="R44">ifna(xlookup(L44,'🙎‍♂️ Pasien'!$G$5:$G1508,'🙎‍♂️ Pasien'!$T$5:$T1508),"")</f>
        <v>LUTUT</v>
      </c>
      <c r="S44" s="104" t="str">
        <f t="array" ref="S44">ifna(xlookup(L44,'🙎‍♂️ Pasien'!$G$5:$G1508,'🙎‍♂️ Pasien'!$U$5:$U1508),"")</f>
        <v>FUTSAL</v>
      </c>
      <c r="T44" s="97" t="s">
        <v>59</v>
      </c>
      <c r="U44" s="105">
        <v>6.0</v>
      </c>
      <c r="V44" s="101"/>
      <c r="W44" s="106" t="b">
        <v>1</v>
      </c>
      <c r="X44" s="109" t="s">
        <v>140</v>
      </c>
      <c r="Y44" s="108"/>
    </row>
    <row r="45" ht="22.5" customHeight="1">
      <c r="A45" s="96"/>
      <c r="B45" s="97" t="s">
        <v>85</v>
      </c>
      <c r="C45" s="98" t="str">
        <f t="array" ref="C45">IFNA(XLOOKUP(J45,'⚙️ Pengaturan'!$H$5:$H1508,'⚙️ Pengaturan'!$I$5:$I1508),"")</f>
        <v>TIM Y</v>
      </c>
      <c r="D45" s="97" t="s">
        <v>134</v>
      </c>
      <c r="E45" s="99">
        <v>45933.0</v>
      </c>
      <c r="F45" s="100" t="str">
        <f t="shared" si="1"/>
        <v>2025</v>
      </c>
      <c r="G45" s="100" t="str">
        <f t="shared" si="2"/>
        <v>10Okt</v>
      </c>
      <c r="H45" s="100" t="str">
        <f t="shared" si="3"/>
        <v>Jumat</v>
      </c>
      <c r="I45" s="97" t="s">
        <v>97</v>
      </c>
      <c r="J45" s="97" t="s">
        <v>56</v>
      </c>
      <c r="K45" s="97" t="s">
        <v>57</v>
      </c>
      <c r="L45" s="101" t="s">
        <v>141</v>
      </c>
      <c r="M45" s="102" t="str">
        <f>IFNA(VLOOKUP(L45,'🙎‍♂️ Pasien'!G:V,2,FALSE),"")</f>
        <v>R7925105884</v>
      </c>
      <c r="N45" s="103">
        <f>IFNA(VLOOKUP(L45,'🙎‍♂️ Pasien'!G:L,3,FALSE),"")</f>
        <v>46</v>
      </c>
      <c r="O45" s="104" t="str">
        <f>IFNA(VLOOKUP(L45,'🙎‍♂️ Pasien'!G:V,6,FALSE),"")</f>
        <v>LAKI-LAKI</v>
      </c>
      <c r="P45" s="104" t="str">
        <f>IFNA(VLOOKUP(L45,'🙎‍♂️ Pasien'!G:V,12,FALSE),"")</f>
        <v>ISLAM</v>
      </c>
      <c r="Q45" s="104" t="str">
        <f>IFNA(VLOOKUP(L45:L1508,'🙎‍♂️ Pasien'!G:V,13,FALSE),"")</f>
        <v>GURU</v>
      </c>
      <c r="R45" s="104" t="str">
        <f t="array" ref="R45">ifna(xlookup(L45,'🙎‍♂️ Pasien'!$G$5:$G1508,'🙎‍♂️ Pasien'!$T$5:$T1508),"")</f>
        <v>CIDERA OTOT BAGIAN LUTUT</v>
      </c>
      <c r="S45" s="104" t="str">
        <f t="array" ref="S45">ifna(xlookup(L45,'🙎‍♂️ Pasien'!$G$5:$G1508,'🙎‍♂️ Pasien'!$U$5:$U1508),"")</f>
        <v>SEPAKBOLA MINI SOCCER</v>
      </c>
      <c r="T45" s="97" t="s">
        <v>59</v>
      </c>
      <c r="U45" s="105" t="s">
        <v>60</v>
      </c>
      <c r="V45" s="101" t="s">
        <v>142</v>
      </c>
      <c r="W45" s="106" t="b">
        <v>1</v>
      </c>
      <c r="X45" s="109" t="s">
        <v>143</v>
      </c>
      <c r="Y45" s="108"/>
    </row>
    <row r="46" ht="22.5" customHeight="1">
      <c r="A46" s="96"/>
      <c r="B46" s="97" t="s">
        <v>85</v>
      </c>
      <c r="C46" s="98" t="str">
        <f t="array" ref="C46">IFNA(XLOOKUP(J46,'⚙️ Pengaturan'!$H$5:$H1508,'⚙️ Pengaturan'!$I$5:$I1508),"")</f>
        <v>TIM Y</v>
      </c>
      <c r="D46" s="97" t="s">
        <v>134</v>
      </c>
      <c r="E46" s="99">
        <v>45933.0</v>
      </c>
      <c r="F46" s="100" t="str">
        <f t="shared" si="1"/>
        <v>2025</v>
      </c>
      <c r="G46" s="100" t="str">
        <f t="shared" si="2"/>
        <v>10Okt</v>
      </c>
      <c r="H46" s="100" t="str">
        <f t="shared" si="3"/>
        <v>Jumat</v>
      </c>
      <c r="I46" s="97" t="s">
        <v>99</v>
      </c>
      <c r="J46" s="97" t="s">
        <v>56</v>
      </c>
      <c r="K46" s="97" t="s">
        <v>57</v>
      </c>
      <c r="L46" s="101" t="s">
        <v>144</v>
      </c>
      <c r="M46" s="102" t="str">
        <f>IFNA(VLOOKUP(L46,'🙎‍♂️ Pasien'!G:V,2,FALSE),"")</f>
        <v>L2525104585</v>
      </c>
      <c r="N46" s="103">
        <f>IFNA(VLOOKUP(L46,'🙎‍♂️ Pasien'!G:L,3,FALSE),"")</f>
        <v>0</v>
      </c>
      <c r="O46" s="104" t="str">
        <f>IFNA(VLOOKUP(L46,'🙎‍♂️ Pasien'!G:V,6,FALSE),"")</f>
        <v>PEREMPUAN</v>
      </c>
      <c r="P46" s="104" t="str">
        <f>IFNA(VLOOKUP(L46,'🙎‍♂️ Pasien'!G:V,12,FALSE),"")</f>
        <v>ISLAM</v>
      </c>
      <c r="Q46" s="104" t="str">
        <f>IFNA(VLOOKUP(L46:L1508,'🙎‍♂️ Pasien'!G:V,13,FALSE),"")</f>
        <v>ANGGOTA DPRD KOTA PONTIANAK</v>
      </c>
      <c r="R46" s="104" t="str">
        <f t="array" ref="R46">ifna(xlookup(L46,'🙎‍♂️ Pasien'!$G$5:$G1508,'🙎‍♂️ Pasien'!$T$5:$T1508),"")</f>
        <v>CEDERA BAHU</v>
      </c>
      <c r="S46" s="104" t="str">
        <f t="array" ref="S46">ifna(xlookup(L46,'🙎‍♂️ Pasien'!$G$5:$G1508,'🙎‍♂️ Pasien'!$U$5:$U1508),"")</f>
        <v>GYM</v>
      </c>
      <c r="T46" s="97" t="s">
        <v>59</v>
      </c>
      <c r="U46" s="105" t="s">
        <v>60</v>
      </c>
      <c r="V46" s="101" t="s">
        <v>145</v>
      </c>
      <c r="W46" s="106" t="b">
        <v>1</v>
      </c>
      <c r="X46" s="109" t="s">
        <v>146</v>
      </c>
      <c r="Y46" s="108"/>
    </row>
    <row r="47" ht="22.5" customHeight="1">
      <c r="A47" s="96"/>
      <c r="B47" s="97" t="s">
        <v>53</v>
      </c>
      <c r="C47" s="98" t="str">
        <f t="array" ref="C47">IFNA(XLOOKUP(J47,'⚙️ Pengaturan'!$H$5:$H1508,'⚙️ Pengaturan'!$I$5:$I1508),"")</f>
        <v>TIM Y</v>
      </c>
      <c r="D47" s="97" t="s">
        <v>54</v>
      </c>
      <c r="E47" s="99">
        <v>45934.0</v>
      </c>
      <c r="F47" s="100" t="str">
        <f t="shared" si="1"/>
        <v>2025</v>
      </c>
      <c r="G47" s="100" t="str">
        <f t="shared" si="2"/>
        <v>10Okt</v>
      </c>
      <c r="H47" s="100" t="str">
        <f t="shared" si="3"/>
        <v>Sabtu</v>
      </c>
      <c r="I47" s="97" t="s">
        <v>55</v>
      </c>
      <c r="J47" s="97" t="s">
        <v>88</v>
      </c>
      <c r="K47" s="97" t="s">
        <v>63</v>
      </c>
      <c r="L47" s="101" t="s">
        <v>100</v>
      </c>
      <c r="M47" s="102" t="str">
        <f>IFNA(VLOOKUP(L47,'🙎‍♂️ Pasien'!G:V,2,FALSE),"")</f>
        <v>A6125094370</v>
      </c>
      <c r="N47" s="103">
        <f>IFNA(VLOOKUP(L47,'🙎‍♂️ Pasien'!G:L,3,FALSE),"")</f>
        <v>64</v>
      </c>
      <c r="O47" s="104" t="str">
        <f>IFNA(VLOOKUP(L47,'🙎‍♂️ Pasien'!G:V,6,FALSE),"")</f>
        <v>LAKI-LAKI</v>
      </c>
      <c r="P47" s="104" t="str">
        <f>IFNA(VLOOKUP(L47,'🙎‍♂️ Pasien'!G:V,12,FALSE),"")</f>
        <v>ISLAM</v>
      </c>
      <c r="Q47" s="104" t="str">
        <f>IFNA(VLOOKUP(L47:L1508,'🙎‍♂️ Pasien'!G:V,13,FALSE),"")</f>
        <v>WIRASWASTA</v>
      </c>
      <c r="R47" s="104" t="str">
        <f t="array" ref="R47">ifna(xlookup(L47,'🙎‍♂️ Pasien'!$G$5:$G1508,'🙎‍♂️ Pasien'!$T$5:$T1508),"")</f>
        <v>NYERI DI SENDI BAHU, SAKIT KETIKA DI ANGKAT AGAK TINGGI</v>
      </c>
      <c r="S47" s="104" t="str">
        <f t="array" ref="S47">ifna(xlookup(L47,'🙎‍♂️ Pasien'!$G$5:$G1508,'🙎‍♂️ Pasien'!$U$5:$U1508),"")</f>
        <v>TERKADANG ANGKAT2 BARANG, TP TIDAK SETIAP HARI. ADA RIWAYAT JATUH</v>
      </c>
      <c r="T47" s="97" t="s">
        <v>59</v>
      </c>
      <c r="U47" s="105">
        <v>4.0</v>
      </c>
      <c r="V47" s="101"/>
      <c r="W47" s="106" t="b">
        <v>1</v>
      </c>
      <c r="X47" s="107"/>
      <c r="Y47" s="108"/>
    </row>
    <row r="48" ht="22.5" customHeight="1">
      <c r="A48" s="96"/>
      <c r="B48" s="97" t="s">
        <v>53</v>
      </c>
      <c r="C48" s="98" t="str">
        <f t="array" ref="C48">IFNA(XLOOKUP(J48,'⚙️ Pengaturan'!$H$5:$H1508,'⚙️ Pengaturan'!$I$5:$I1508),"")</f>
        <v>TIM Y</v>
      </c>
      <c r="D48" s="97" t="s">
        <v>54</v>
      </c>
      <c r="E48" s="99">
        <v>45934.0</v>
      </c>
      <c r="F48" s="100" t="str">
        <f t="shared" si="1"/>
        <v>2025</v>
      </c>
      <c r="G48" s="100" t="str">
        <f t="shared" si="2"/>
        <v>10Okt</v>
      </c>
      <c r="H48" s="100" t="str">
        <f t="shared" si="3"/>
        <v>Sabtu</v>
      </c>
      <c r="I48" s="97" t="s">
        <v>55</v>
      </c>
      <c r="J48" s="97" t="s">
        <v>107</v>
      </c>
      <c r="K48" s="97" t="s">
        <v>63</v>
      </c>
      <c r="L48" s="101" t="s">
        <v>147</v>
      </c>
      <c r="M48" s="102" t="str">
        <f>IFNA(VLOOKUP(L48,'🙎‍♂️ Pasien'!G:V,2,FALSE),"")</f>
        <v>P7525096189</v>
      </c>
      <c r="N48" s="103">
        <f>IFNA(VLOOKUP(L48,'🙎‍♂️ Pasien'!G:L,3,FALSE),"")</f>
        <v>51</v>
      </c>
      <c r="O48" s="104" t="str">
        <f>IFNA(VLOOKUP(L48,'🙎‍♂️ Pasien'!G:V,6,FALSE),"")</f>
        <v>PEREMPUAN</v>
      </c>
      <c r="P48" s="104" t="str">
        <f>IFNA(VLOOKUP(L48,'🙎‍♂️ Pasien'!G:V,12,FALSE),"")</f>
        <v>ISLAM</v>
      </c>
      <c r="Q48" s="104" t="str">
        <f>IFNA(VLOOKUP(L48:L1508,'🙎‍♂️ Pasien'!G:V,13,FALSE),"")</f>
        <v>PNS</v>
      </c>
      <c r="R48" s="104" t="str">
        <f t="array" ref="R48">ifna(xlookup(L48,'🙎‍♂️ Pasien'!$G$5:$G1508,'🙎‍♂️ Pasien'!$T$5:$T1508),"")</f>
        <v>SAKIT PADA KAKI</v>
      </c>
      <c r="S48" s="104" t="str">
        <f t="array" ref="S48">ifna(xlookup(L48,'🙎‍♂️ Pasien'!$G$5:$G1508,'🙎‍♂️ Pasien'!$U$5:$U1508),"")</f>
        <v>OLAH RAGA (JALAN KAKI)</v>
      </c>
      <c r="T48" s="97" t="s">
        <v>67</v>
      </c>
      <c r="U48" s="105">
        <v>5.0</v>
      </c>
      <c r="V48" s="101" t="s">
        <v>148</v>
      </c>
      <c r="W48" s="106" t="b">
        <v>1</v>
      </c>
      <c r="X48" s="107"/>
      <c r="Y48" s="108"/>
    </row>
    <row r="49" ht="22.5" customHeight="1">
      <c r="A49" s="96"/>
      <c r="B49" s="97" t="s">
        <v>53</v>
      </c>
      <c r="C49" s="98" t="str">
        <f t="array" ref="C49">IFNA(XLOOKUP(J49,'⚙️ Pengaturan'!$H$5:$H1508,'⚙️ Pengaturan'!$I$5:$I1508),"")</f>
        <v>TIM Y</v>
      </c>
      <c r="D49" s="97" t="s">
        <v>54</v>
      </c>
      <c r="E49" s="99">
        <v>45934.0</v>
      </c>
      <c r="F49" s="100" t="str">
        <f t="shared" si="1"/>
        <v>2025</v>
      </c>
      <c r="G49" s="100" t="str">
        <f t="shared" si="2"/>
        <v>10Okt</v>
      </c>
      <c r="H49" s="100" t="str">
        <f t="shared" si="3"/>
        <v>Sabtu</v>
      </c>
      <c r="I49" s="97" t="s">
        <v>65</v>
      </c>
      <c r="J49" s="97" t="s">
        <v>91</v>
      </c>
      <c r="K49" s="97" t="s">
        <v>63</v>
      </c>
      <c r="L49" s="101" t="s">
        <v>149</v>
      </c>
      <c r="M49" s="102" t="str">
        <f>IFNA(VLOOKUP(L49,'🙎‍♂️ Pasien'!G:V,2,FALSE),"")</f>
        <v>S9825058991</v>
      </c>
      <c r="N49" s="103">
        <f>IFNA(VLOOKUP(L49,'🙎‍♂️ Pasien'!G:L,3,FALSE),"")</f>
        <v>27</v>
      </c>
      <c r="O49" s="104" t="str">
        <f>IFNA(VLOOKUP(L49,'🙎‍♂️ Pasien'!G:V,6,FALSE),"")</f>
        <v>PEREMPUAN</v>
      </c>
      <c r="P49" s="104" t="str">
        <f>IFNA(VLOOKUP(L49,'🙎‍♂️ Pasien'!G:V,12,FALSE),"")</f>
        <v>ISLAM</v>
      </c>
      <c r="Q49" s="104" t="str">
        <f>IFNA(VLOOKUP(L49:L1508,'🙎‍♂️ Pasien'!G:V,13,FALSE),"")</f>
        <v>SWASTA</v>
      </c>
      <c r="R49" s="104" t="str">
        <f t="array" ref="R49">ifna(xlookup(L49,'🙎‍♂️ Pasien'!$G$5:$G1508,'🙎‍♂️ Pasien'!$T$5:$T1508),"")</f>
        <v>HNP LUMBAL/SARAF KEJEPIT</v>
      </c>
      <c r="S49" s="104" t="str">
        <f t="array" ref="S49">ifna(xlookup(L49,'🙎‍♂️ Pasien'!$G$5:$G1508,'🙎‍♂️ Pasien'!$U$5:$U1508),"")</f>
        <v>BEKERJA KANTORAN</v>
      </c>
      <c r="T49" s="97" t="s">
        <v>59</v>
      </c>
      <c r="U49" s="105">
        <v>10.0</v>
      </c>
      <c r="V49" s="101" t="s">
        <v>125</v>
      </c>
      <c r="W49" s="106" t="b">
        <v>1</v>
      </c>
      <c r="X49" s="107"/>
      <c r="Y49" s="108"/>
    </row>
    <row r="50" ht="22.5" customHeight="1">
      <c r="A50" s="96"/>
      <c r="B50" s="97" t="s">
        <v>53</v>
      </c>
      <c r="C50" s="98" t="str">
        <f t="array" ref="C50">IFNA(XLOOKUP(J50,'⚙️ Pengaturan'!$H$5:$H1508,'⚙️ Pengaturan'!$I$5:$I1508),"")</f>
        <v>TIM Y</v>
      </c>
      <c r="D50" s="97" t="s">
        <v>54</v>
      </c>
      <c r="E50" s="99">
        <v>45934.0</v>
      </c>
      <c r="F50" s="100" t="str">
        <f t="shared" si="1"/>
        <v>2025</v>
      </c>
      <c r="G50" s="100" t="str">
        <f t="shared" si="2"/>
        <v>10Okt</v>
      </c>
      <c r="H50" s="100" t="str">
        <f t="shared" si="3"/>
        <v>Sabtu</v>
      </c>
      <c r="I50" s="97" t="s">
        <v>65</v>
      </c>
      <c r="J50" s="97" t="s">
        <v>107</v>
      </c>
      <c r="K50" s="97" t="s">
        <v>63</v>
      </c>
      <c r="L50" s="101" t="s">
        <v>150</v>
      </c>
      <c r="M50" s="102" t="str">
        <f>IFNA(VLOOKUP(L50,'🙎‍♂️ Pasien'!G:V,2,FALSE),"")</f>
        <v>Y6625092191</v>
      </c>
      <c r="N50" s="103">
        <f>IFNA(VLOOKUP(L50,'🙎‍♂️ Pasien'!G:L,3,FALSE),"")</f>
        <v>59</v>
      </c>
      <c r="O50" s="104" t="str">
        <f>IFNA(VLOOKUP(L50,'🙎‍♂️ Pasien'!G:V,6,FALSE),"")</f>
        <v>PEREMPUAN</v>
      </c>
      <c r="P50" s="104" t="str">
        <f>IFNA(VLOOKUP(L50,'🙎‍♂️ Pasien'!G:V,12,FALSE),"")</f>
        <v>ISLAM</v>
      </c>
      <c r="Q50" s="104" t="str">
        <f>IFNA(VLOOKUP(L50:L1508,'🙎‍♂️ Pasien'!G:V,13,FALSE),"")</f>
        <v>PENSIUNAN PNS</v>
      </c>
      <c r="R50" s="104" t="str">
        <f t="array" ref="R50">ifna(xlookup(L50,'🙎‍♂️ Pasien'!$G$5:$G1508,'🙎‍♂️ Pasien'!$T$5:$T1508),"")</f>
        <v>KAKI KIRI SAKIT, NYER JUGA NGILU KARENA HABIS TABRAKAN</v>
      </c>
      <c r="S50" s="104" t="str">
        <f t="array" ref="S50">ifna(xlookup(L50,'🙎‍♂️ Pasien'!$G$5:$G1508,'🙎‍♂️ Pasien'!$U$5:$U1508),"")</f>
        <v>HARI JUMAT KEMARIN HABIS TABRAKAN</v>
      </c>
      <c r="T50" s="97" t="s">
        <v>67</v>
      </c>
      <c r="U50" s="105">
        <v>2.0</v>
      </c>
      <c r="V50" s="101" t="s">
        <v>151</v>
      </c>
      <c r="W50" s="106" t="b">
        <v>1</v>
      </c>
      <c r="X50" s="107"/>
      <c r="Y50" s="108"/>
    </row>
    <row r="51" ht="22.5" customHeight="1">
      <c r="A51" s="96"/>
      <c r="B51" s="97" t="s">
        <v>53</v>
      </c>
      <c r="C51" s="98" t="str">
        <f t="array" ref="C51">IFNA(XLOOKUP(J51,'⚙️ Pengaturan'!$H$5:$H1508,'⚙️ Pengaturan'!$I$5:$I1508),"")</f>
        <v>TIM Y</v>
      </c>
      <c r="D51" s="97" t="s">
        <v>54</v>
      </c>
      <c r="E51" s="99">
        <v>45934.0</v>
      </c>
      <c r="F51" s="100" t="str">
        <f t="shared" si="1"/>
        <v>2025</v>
      </c>
      <c r="G51" s="100" t="str">
        <f t="shared" si="2"/>
        <v>10Okt</v>
      </c>
      <c r="H51" s="100" t="str">
        <f t="shared" si="3"/>
        <v>Sabtu</v>
      </c>
      <c r="I51" s="97" t="s">
        <v>74</v>
      </c>
      <c r="J51" s="97" t="s">
        <v>91</v>
      </c>
      <c r="K51" s="97" t="s">
        <v>63</v>
      </c>
      <c r="L51" s="101" t="s">
        <v>113</v>
      </c>
      <c r="M51" s="102" t="str">
        <f>IFNA(VLOOKUP(L51,'🙎‍♂️ Pasien'!G:V,2,FALSE),"")</f>
        <v>H5325098176</v>
      </c>
      <c r="N51" s="103">
        <f>IFNA(VLOOKUP(L51,'🙎‍♂️ Pasien'!G:L,3,FALSE),"")</f>
        <v>73</v>
      </c>
      <c r="O51" s="104" t="str">
        <f>IFNA(VLOOKUP(L51,'🙎‍♂️ Pasien'!G:V,6,FALSE),"")</f>
        <v>LAKI-LAKI</v>
      </c>
      <c r="P51" s="104" t="str">
        <f>IFNA(VLOOKUP(L51,'🙎‍♂️ Pasien'!G:V,12,FALSE),"")</f>
        <v>BUDDHA</v>
      </c>
      <c r="Q51" s="104" t="str">
        <f>IFNA(VLOOKUP(L51:L1508,'🙎‍♂️ Pasien'!G:V,13,FALSE),"")</f>
        <v>PENSIUN</v>
      </c>
      <c r="R51" s="104" t="str">
        <f t="array" ref="R51">ifna(xlookup(L51,'🙎‍♂️ Pasien'!$G$5:$G1508,'🙎‍♂️ Pasien'!$T$5:$T1508),"")</f>
        <v>KAKI GAK BISA JONGKOK</v>
      </c>
      <c r="S51" s="104" t="str">
        <f t="array" ref="S51">ifna(xlookup(L51,'🙎‍♂️ Pasien'!$G$5:$G1508,'🙎‍♂️ Pasien'!$U$5:$U1508),"")</f>
        <v>——</v>
      </c>
      <c r="T51" s="97" t="s">
        <v>59</v>
      </c>
      <c r="U51" s="105">
        <v>2.0</v>
      </c>
      <c r="V51" s="101"/>
      <c r="W51" s="106" t="b">
        <v>1</v>
      </c>
      <c r="X51" s="107"/>
      <c r="Y51" s="108"/>
    </row>
    <row r="52" ht="22.5" customHeight="1">
      <c r="A52" s="96"/>
      <c r="B52" s="97" t="s">
        <v>53</v>
      </c>
      <c r="C52" s="98" t="str">
        <f t="array" ref="C52">IFNA(XLOOKUP(J52,'⚙️ Pengaturan'!$H$5:$H1508,'⚙️ Pengaturan'!$I$5:$I1508),"")</f>
        <v>TIM Y</v>
      </c>
      <c r="D52" s="97" t="s">
        <v>54</v>
      </c>
      <c r="E52" s="99">
        <v>45934.0</v>
      </c>
      <c r="F52" s="100" t="str">
        <f t="shared" si="1"/>
        <v>2025</v>
      </c>
      <c r="G52" s="100" t="str">
        <f t="shared" si="2"/>
        <v>10Okt</v>
      </c>
      <c r="H52" s="100" t="str">
        <f t="shared" si="3"/>
        <v>Sabtu</v>
      </c>
      <c r="I52" s="97" t="s">
        <v>74</v>
      </c>
      <c r="J52" s="97" t="s">
        <v>88</v>
      </c>
      <c r="K52" s="97" t="s">
        <v>57</v>
      </c>
      <c r="L52" s="101" t="s">
        <v>152</v>
      </c>
      <c r="M52" s="102" t="str">
        <f>IFNA(VLOOKUP(L52,'🙎‍♂️ Pasien'!G:V,2,FALSE),"")</f>
        <v>O9424013019</v>
      </c>
      <c r="N52" s="103">
        <f>IFNA(VLOOKUP(L52,'🙎‍♂️ Pasien'!G:L,3,FALSE),"")</f>
        <v>31</v>
      </c>
      <c r="O52" s="104" t="str">
        <f>IFNA(VLOOKUP(L52,'🙎‍♂️ Pasien'!G:V,6,FALSE),"")</f>
        <v>LAKI-LAKI</v>
      </c>
      <c r="P52" s="104" t="str">
        <f>IFNA(VLOOKUP(L52,'🙎‍♂️ Pasien'!G:V,12,FALSE),"")</f>
        <v>ISLAM</v>
      </c>
      <c r="Q52" s="104" t="str">
        <f>IFNA(VLOOKUP(L52:L1508,'🙎‍♂️ Pasien'!G:V,13,FALSE),"")</f>
        <v>BUMD</v>
      </c>
      <c r="R52" s="104" t="str">
        <f t="array" ref="R52">ifna(xlookup(L52,'🙎‍♂️ Pasien'!$G$5:$G1508,'🙎‍♂️ Pasien'!$T$5:$T1508),"")</f>
        <v>Ketarik sehabis long run</v>
      </c>
      <c r="S52" s="104" t="str">
        <f t="array" ref="S52">ifna(xlookup(L52,'🙎‍♂️ Pasien'!$G$5:$G1508,'🙎‍♂️ Pasien'!$U$5:$U1508),"")</f>
        <v>Lari</v>
      </c>
      <c r="T52" s="97" t="s">
        <v>59</v>
      </c>
      <c r="U52" s="105" t="s">
        <v>60</v>
      </c>
      <c r="V52" s="101"/>
      <c r="W52" s="106" t="b">
        <v>1</v>
      </c>
      <c r="X52" s="107"/>
      <c r="Y52" s="108"/>
    </row>
    <row r="53" ht="22.5" customHeight="1">
      <c r="A53" s="96"/>
      <c r="B53" s="97" t="s">
        <v>53</v>
      </c>
      <c r="C53" s="98" t="str">
        <f t="array" ref="C53">IFNA(XLOOKUP(J53,'⚙️ Pengaturan'!$H$5:$H1508,'⚙️ Pengaturan'!$I$5:$I1508),"")</f>
        <v>TIM Y</v>
      </c>
      <c r="D53" s="97" t="s">
        <v>54</v>
      </c>
      <c r="E53" s="99">
        <v>45934.0</v>
      </c>
      <c r="F53" s="100" t="str">
        <f t="shared" si="1"/>
        <v>2025</v>
      </c>
      <c r="G53" s="100" t="str">
        <f t="shared" si="2"/>
        <v>10Okt</v>
      </c>
      <c r="H53" s="100" t="str">
        <f t="shared" si="3"/>
        <v>Sabtu</v>
      </c>
      <c r="I53" s="97" t="s">
        <v>76</v>
      </c>
      <c r="J53" s="97" t="s">
        <v>91</v>
      </c>
      <c r="K53" s="97" t="s">
        <v>63</v>
      </c>
      <c r="L53" s="101" t="s">
        <v>77</v>
      </c>
      <c r="M53" s="102" t="str">
        <f>IFNA(VLOOKUP(L53,'🙎‍♂️ Pasien'!G:V,2,FALSE),"")</f>
        <v>A0625085349</v>
      </c>
      <c r="N53" s="103">
        <f>IFNA(VLOOKUP(L53,'🙎‍♂️ Pasien'!G:L,3,FALSE),"")</f>
        <v>19</v>
      </c>
      <c r="O53" s="104" t="str">
        <f>IFNA(VLOOKUP(L53,'🙎‍♂️ Pasien'!G:V,6,FALSE),"")</f>
        <v>LAKI-LAKI</v>
      </c>
      <c r="P53" s="104" t="str">
        <f>IFNA(VLOOKUP(L53,'🙎‍♂️ Pasien'!G:V,12,FALSE),"")</f>
        <v>ISLAM</v>
      </c>
      <c r="Q53" s="104" t="str">
        <f>IFNA(VLOOKUP(L53:L1508,'🙎‍♂️ Pasien'!G:V,13,FALSE),"")</f>
        <v>PELAJAR/MAHASISWA</v>
      </c>
      <c r="R53" s="104" t="str">
        <f t="array" ref="R53">ifna(xlookup(L53,'🙎‍♂️ Pasien'!$G$5:$G1508,'🙎‍♂️ Pasien'!$T$5:$T1508),"")</f>
        <v>BAHU</v>
      </c>
      <c r="S53" s="104" t="str">
        <f t="array" ref="S53">ifna(xlookup(L53,'🙎‍♂️ Pasien'!$G$5:$G1508,'🙎‍♂️ Pasien'!$U$5:$U1508),"")</f>
        <v>SILAT</v>
      </c>
      <c r="T53" s="97" t="s">
        <v>59</v>
      </c>
      <c r="U53" s="105">
        <v>5.0</v>
      </c>
      <c r="V53" s="101" t="s">
        <v>125</v>
      </c>
      <c r="W53" s="106" t="b">
        <v>1</v>
      </c>
      <c r="X53" s="107"/>
      <c r="Y53" s="108"/>
    </row>
    <row r="54" ht="22.5" customHeight="1">
      <c r="A54" s="96"/>
      <c r="B54" s="97" t="s">
        <v>53</v>
      </c>
      <c r="C54" s="98" t="str">
        <f t="array" ref="C54">IFNA(XLOOKUP(J54,'⚙️ Pengaturan'!$H$5:$H1508,'⚙️ Pengaturan'!$I$5:$I1508),"")</f>
        <v>TIM Y</v>
      </c>
      <c r="D54" s="97" t="s">
        <v>54</v>
      </c>
      <c r="E54" s="99">
        <v>45934.0</v>
      </c>
      <c r="F54" s="100" t="str">
        <f t="shared" si="1"/>
        <v>2025</v>
      </c>
      <c r="G54" s="100" t="str">
        <f t="shared" si="2"/>
        <v>10Okt</v>
      </c>
      <c r="H54" s="100" t="str">
        <f t="shared" si="3"/>
        <v>Sabtu</v>
      </c>
      <c r="I54" s="97" t="s">
        <v>76</v>
      </c>
      <c r="J54" s="97" t="s">
        <v>107</v>
      </c>
      <c r="K54" s="97" t="s">
        <v>63</v>
      </c>
      <c r="L54" s="101" t="s">
        <v>153</v>
      </c>
      <c r="M54" s="102" t="str">
        <f>IFNA(VLOOKUP(L54,'🙎‍♂️ Pasien'!G:V,2,FALSE),"")</f>
        <v>S6225086797</v>
      </c>
      <c r="N54" s="103">
        <f>IFNA(VLOOKUP(L54,'🙎‍♂️ Pasien'!G:L,3,FALSE),"")</f>
        <v>63</v>
      </c>
      <c r="O54" s="104" t="str">
        <f>IFNA(VLOOKUP(L54,'🙎‍♂️ Pasien'!G:V,6,FALSE),"")</f>
        <v>PEREMPUAN</v>
      </c>
      <c r="P54" s="104" t="str">
        <f>IFNA(VLOOKUP(L54,'🙎‍♂️ Pasien'!G:V,12,FALSE),"")</f>
        <v>ISLAM</v>
      </c>
      <c r="Q54" s="104" t="str">
        <f>IFNA(VLOOKUP(L54:L1508,'🙎‍♂️ Pasien'!G:V,13,FALSE),"")</f>
        <v>-</v>
      </c>
      <c r="R54" s="104" t="str">
        <f t="array" ref="R54">ifna(xlookup(L54,'🙎‍♂️ Pasien'!$G$5:$G1508,'🙎‍♂️ Pasien'!$T$5:$T1508),"")</f>
        <v>TANGAN KANAN BAGIAN ATAS, SAKIT SAAT DIGERAKKAN</v>
      </c>
      <c r="S54" s="104" t="str">
        <f t="array" ref="S54">ifna(xlookup(L54,'🙎‍♂️ Pasien'!$G$5:$G1508,'🙎‍♂️ Pasien'!$U$5:$U1508),"")</f>
        <v>PEKERJAAN RUMAH TANGGA</v>
      </c>
      <c r="T54" s="97" t="s">
        <v>67</v>
      </c>
      <c r="U54" s="105">
        <v>5.0</v>
      </c>
      <c r="V54" s="101" t="s">
        <v>154</v>
      </c>
      <c r="W54" s="106" t="b">
        <v>1</v>
      </c>
      <c r="X54" s="107"/>
      <c r="Y54" s="108"/>
    </row>
    <row r="55" ht="22.5" customHeight="1">
      <c r="A55" s="96"/>
      <c r="B55" s="97" t="s">
        <v>53</v>
      </c>
      <c r="C55" s="98" t="str">
        <f t="array" ref="C55">IFNA(XLOOKUP(J55,'⚙️ Pengaturan'!$H$5:$H1508,'⚙️ Pengaturan'!$I$5:$I1508),"")</f>
        <v>TIM Y</v>
      </c>
      <c r="D55" s="97" t="s">
        <v>54</v>
      </c>
      <c r="E55" s="99">
        <v>45934.0</v>
      </c>
      <c r="F55" s="100" t="str">
        <f t="shared" si="1"/>
        <v>2025</v>
      </c>
      <c r="G55" s="100" t="str">
        <f t="shared" si="2"/>
        <v>10Okt</v>
      </c>
      <c r="H55" s="100" t="str">
        <f t="shared" si="3"/>
        <v>Sabtu</v>
      </c>
      <c r="I55" s="97" t="s">
        <v>83</v>
      </c>
      <c r="J55" s="97" t="s">
        <v>88</v>
      </c>
      <c r="K55" s="97" t="s">
        <v>69</v>
      </c>
      <c r="L55" s="101" t="s">
        <v>155</v>
      </c>
      <c r="M55" s="102" t="str">
        <f>IFNA(VLOOKUP(L55,'🙎‍♂️ Pasien'!G:V,2,FALSE),"")</f>
        <v>H5325012017</v>
      </c>
      <c r="N55" s="103">
        <f>IFNA(VLOOKUP(L55,'🙎‍♂️ Pasien'!G:L,3,FALSE),"")</f>
        <v>72</v>
      </c>
      <c r="O55" s="104" t="str">
        <f>IFNA(VLOOKUP(L55,'🙎‍♂️ Pasien'!G:V,6,FALSE),"")</f>
        <v>LAKI-LAKI</v>
      </c>
      <c r="P55" s="104" t="str">
        <f>IFNA(VLOOKUP(L55,'🙎‍♂️ Pasien'!G:V,12,FALSE),"")</f>
        <v>ISLAM</v>
      </c>
      <c r="Q55" s="104" t="str">
        <f>IFNA(VLOOKUP(L55:L1508,'🙎‍♂️ Pasien'!G:V,13,FALSE),"")</f>
        <v>PENSIUN</v>
      </c>
      <c r="R55" s="104" t="str">
        <f t="array" ref="R55">ifna(xlookup(L55,'🙎‍♂️ Pasien'!$G$5:$G1508,'🙎‍♂️ Pasien'!$T$5:$T1508),"")</f>
        <v>Kaki terasa nyeri jika dibawa berdiri lama atau berjalan jauh</v>
      </c>
      <c r="S55" s="104" t="str">
        <f t="array" ref="S55">ifna(xlookup(L55,'🙎‍♂️ Pasien'!$G$5:$G1508,'🙎‍♂️ Pasien'!$U$5:$U1508),"")</f>
        <v>Tidak ada</v>
      </c>
      <c r="T55" s="97" t="s">
        <v>59</v>
      </c>
      <c r="U55" s="105" t="s">
        <v>60</v>
      </c>
      <c r="V55" s="101"/>
      <c r="W55" s="106" t="b">
        <v>1</v>
      </c>
      <c r="X55" s="107"/>
      <c r="Y55" s="108"/>
    </row>
    <row r="56" ht="22.5" customHeight="1">
      <c r="A56" s="96"/>
      <c r="B56" s="97" t="s">
        <v>53</v>
      </c>
      <c r="C56" s="98" t="str">
        <f t="array" ref="C56">IFNA(XLOOKUP(J56,'⚙️ Pengaturan'!$H$5:$H1508,'⚙️ Pengaturan'!$I$5:$I1508),"")</f>
        <v>TIM Y</v>
      </c>
      <c r="D56" s="97" t="s">
        <v>54</v>
      </c>
      <c r="E56" s="99">
        <v>45934.0</v>
      </c>
      <c r="F56" s="100" t="str">
        <f t="shared" si="1"/>
        <v>2025</v>
      </c>
      <c r="G56" s="100" t="str">
        <f t="shared" si="2"/>
        <v>10Okt</v>
      </c>
      <c r="H56" s="100" t="str">
        <f t="shared" si="3"/>
        <v>Sabtu</v>
      </c>
      <c r="I56" s="97" t="s">
        <v>83</v>
      </c>
      <c r="J56" s="97" t="s">
        <v>91</v>
      </c>
      <c r="K56" s="97" t="s">
        <v>63</v>
      </c>
      <c r="L56" s="101" t="s">
        <v>92</v>
      </c>
      <c r="M56" s="102" t="str">
        <f>IFNA(VLOOKUP(L56,'🙎‍♂️ Pasien'!G:V,2,FALSE),"")</f>
        <v>H5024091565</v>
      </c>
      <c r="N56" s="103">
        <f>IFNA(VLOOKUP(L56,'🙎‍♂️ Pasien'!G:L,3,FALSE),"")</f>
        <v>75</v>
      </c>
      <c r="O56" s="104" t="str">
        <f>IFNA(VLOOKUP(L56,'🙎‍♂️ Pasien'!G:V,6,FALSE),"")</f>
        <v>PEREMPUAN</v>
      </c>
      <c r="P56" s="104" t="str">
        <f>IFNA(VLOOKUP(L56,'🙎‍♂️ Pasien'!G:V,12,FALSE),"")</f>
        <v>BUDDHA</v>
      </c>
      <c r="Q56" s="104" t="str">
        <f>IFNA(VLOOKUP(L56:L1508,'🙎‍♂️ Pasien'!G:V,13,FALSE),"")</f>
        <v>RUMAH TANGGA</v>
      </c>
      <c r="R56" s="104" t="str">
        <f t="array" ref="R56">ifna(xlookup(L56,'🙎‍♂️ Pasien'!$G$5:$G1508,'🙎‍♂️ Pasien'!$T$5:$T1508),"")</f>
        <v>NYERI/KESEMUTAN DI PAHA KIRI</v>
      </c>
      <c r="S56" s="104" t="str">
        <f t="array" ref="S56">ifna(xlookup(L56,'🙎‍♂️ Pasien'!$G$5:$G1508,'🙎‍♂️ Pasien'!$U$5:$U1508),"")</f>
        <v>MENANAM BUNGA</v>
      </c>
      <c r="T56" s="97" t="s">
        <v>59</v>
      </c>
      <c r="U56" s="105">
        <v>7.0</v>
      </c>
      <c r="V56" s="101"/>
      <c r="W56" s="106" t="b">
        <v>1</v>
      </c>
      <c r="X56" s="107"/>
      <c r="Y56" s="108"/>
    </row>
    <row r="57" ht="22.5" customHeight="1">
      <c r="A57" s="96"/>
      <c r="B57" s="97" t="s">
        <v>53</v>
      </c>
      <c r="C57" s="98" t="str">
        <f t="array" ref="C57">IFNA(XLOOKUP(J57,'⚙️ Pengaturan'!$H$5:$H1508,'⚙️ Pengaturan'!$I$5:$I1508),"")</f>
        <v>TIM Y</v>
      </c>
      <c r="D57" s="97" t="s">
        <v>54</v>
      </c>
      <c r="E57" s="99">
        <v>45934.0</v>
      </c>
      <c r="F57" s="100" t="str">
        <f t="shared" si="1"/>
        <v>2025</v>
      </c>
      <c r="G57" s="100" t="str">
        <f t="shared" si="2"/>
        <v>10Okt</v>
      </c>
      <c r="H57" s="100" t="str">
        <f t="shared" si="3"/>
        <v>Sabtu</v>
      </c>
      <c r="I57" s="97" t="s">
        <v>83</v>
      </c>
      <c r="J57" s="97" t="s">
        <v>107</v>
      </c>
      <c r="K57" s="97" t="s">
        <v>63</v>
      </c>
      <c r="L57" s="101" t="s">
        <v>156</v>
      </c>
      <c r="M57" s="102" t="str">
        <f>IFNA(VLOOKUP(L57,'🙎‍♂️ Pasien'!G:V,2,FALSE),"")</f>
        <v>S9025083777</v>
      </c>
      <c r="N57" s="103">
        <f>IFNA(VLOOKUP(L57,'🙎‍♂️ Pasien'!G:L,3,FALSE),"")</f>
        <v>35</v>
      </c>
      <c r="O57" s="104" t="str">
        <f>IFNA(VLOOKUP(L57,'🙎‍♂️ Pasien'!G:V,6,FALSE),"")</f>
        <v>PEREMPUAN</v>
      </c>
      <c r="P57" s="104" t="str">
        <f>IFNA(VLOOKUP(L57,'🙎‍♂️ Pasien'!G:V,12,FALSE),"")</f>
        <v>PROTESTAN</v>
      </c>
      <c r="Q57" s="104" t="str">
        <f>IFNA(VLOOKUP(L57:L1508,'🙎‍♂️ Pasien'!G:V,13,FALSE),"")</f>
        <v>KARYAWAN SWASTA</v>
      </c>
      <c r="R57" s="104" t="str">
        <f t="array" ref="R57">ifna(xlookup(L57,'🙎‍♂️ Pasien'!$G$5:$G1508,'🙎‍♂️ Pasien'!$T$5:$T1508),"")</f>
        <v>SAKIT SIKU</v>
      </c>
      <c r="S57" s="104" t="str">
        <f t="array" ref="S57">ifna(xlookup(L57,'🙎‍♂️ Pasien'!$G$5:$G1508,'🙎‍♂️ Pasien'!$U$5:$U1508),"")</f>
        <v>TENNIS</v>
      </c>
      <c r="T57" s="97" t="s">
        <v>67</v>
      </c>
      <c r="U57" s="105">
        <v>5.0</v>
      </c>
      <c r="V57" s="101" t="s">
        <v>157</v>
      </c>
      <c r="W57" s="106" t="b">
        <v>1</v>
      </c>
      <c r="X57" s="107"/>
      <c r="Y57" s="108"/>
    </row>
    <row r="58" ht="22.5" customHeight="1">
      <c r="A58" s="96"/>
      <c r="B58" s="97" t="s">
        <v>85</v>
      </c>
      <c r="C58" s="98" t="str">
        <f t="array" ref="C58">IFNA(XLOOKUP(J58,'⚙️ Pengaturan'!$H$5:$H1508,'⚙️ Pengaturan'!$I$5:$I1508),"")</f>
        <v>TIM A</v>
      </c>
      <c r="D58" s="97" t="s">
        <v>86</v>
      </c>
      <c r="E58" s="99">
        <v>45934.0</v>
      </c>
      <c r="F58" s="100" t="str">
        <f t="shared" si="1"/>
        <v>2025</v>
      </c>
      <c r="G58" s="100" t="str">
        <f t="shared" si="2"/>
        <v>10Okt</v>
      </c>
      <c r="H58" s="100" t="str">
        <f t="shared" si="3"/>
        <v>Sabtu</v>
      </c>
      <c r="I58" s="97" t="s">
        <v>87</v>
      </c>
      <c r="J58" s="97" t="s">
        <v>72</v>
      </c>
      <c r="K58" s="97" t="s">
        <v>63</v>
      </c>
      <c r="L58" s="101" t="s">
        <v>94</v>
      </c>
      <c r="M58" s="102" t="str">
        <f>IFNA(VLOOKUP(L58,'🙎‍♂️ Pasien'!G:V,2,FALSE),"")</f>
        <v>A0825098780</v>
      </c>
      <c r="N58" s="103">
        <f>IFNA(VLOOKUP(L58,'🙎‍♂️ Pasien'!G:L,3,FALSE),"")</f>
        <v>18</v>
      </c>
      <c r="O58" s="104" t="str">
        <f>IFNA(VLOOKUP(L58,'🙎‍♂️ Pasien'!G:V,6,FALSE),"")</f>
        <v>PEREMPUAN</v>
      </c>
      <c r="P58" s="104" t="str">
        <f>IFNA(VLOOKUP(L58,'🙎‍♂️ Pasien'!G:V,12,FALSE),"")</f>
        <v>ISLAM</v>
      </c>
      <c r="Q58" s="104" t="str">
        <f>IFNA(VLOOKUP(L58:L1508,'🙎‍♂️ Pasien'!G:V,13,FALSE),"")</f>
        <v>PELAJAR</v>
      </c>
      <c r="R58" s="104" t="str">
        <f t="array" ref="R58">ifna(xlookup(L58,'🙎‍♂️ Pasien'!$G$5:$G1508,'🙎‍♂️ Pasien'!$T$5:$T1508),"")</f>
        <v>SAKIT DI LUTUT</v>
      </c>
      <c r="S58" s="104" t="str">
        <f t="array" ref="S58">ifna(xlookup(L58,'🙎‍♂️ Pasien'!$G$5:$G1508,'🙎‍♂️ Pasien'!$U$5:$U1508),"")</f>
        <v>MAIN BASKET</v>
      </c>
      <c r="T58" s="97" t="s">
        <v>59</v>
      </c>
      <c r="U58" s="105">
        <v>3.0</v>
      </c>
      <c r="V58" s="101"/>
      <c r="W58" s="106" t="b">
        <v>1</v>
      </c>
      <c r="X58" s="107"/>
      <c r="Y58" s="108"/>
    </row>
    <row r="59" ht="22.5" customHeight="1">
      <c r="A59" s="96"/>
      <c r="B59" s="97" t="s">
        <v>85</v>
      </c>
      <c r="C59" s="98" t="str">
        <f t="array" ref="C59">IFNA(XLOOKUP(J59,'⚙️ Pengaturan'!$H$5:$H1508,'⚙️ Pengaturan'!$I$5:$I1508),"")</f>
        <v>TIM A</v>
      </c>
      <c r="D59" s="97" t="s">
        <v>86</v>
      </c>
      <c r="E59" s="99">
        <v>45934.0</v>
      </c>
      <c r="F59" s="100" t="str">
        <f t="shared" si="1"/>
        <v>2025</v>
      </c>
      <c r="G59" s="100" t="str">
        <f t="shared" si="2"/>
        <v>10Okt</v>
      </c>
      <c r="H59" s="100" t="str">
        <f t="shared" si="3"/>
        <v>Sabtu</v>
      </c>
      <c r="I59" s="97" t="s">
        <v>87</v>
      </c>
      <c r="J59" s="97" t="s">
        <v>79</v>
      </c>
      <c r="K59" s="97" t="s">
        <v>69</v>
      </c>
      <c r="L59" s="101" t="s">
        <v>89</v>
      </c>
      <c r="M59" s="102" t="str">
        <f>IFNA(VLOOKUP(L59,'🙎‍♂️ Pasien'!G:V,2,FALSE),"")</f>
        <v>F1025103034</v>
      </c>
      <c r="N59" s="103">
        <f>IFNA(VLOOKUP(L59,'🙎‍♂️ Pasien'!G:L,3,FALSE),"")</f>
        <v>16</v>
      </c>
      <c r="O59" s="104" t="str">
        <f>IFNA(VLOOKUP(L59,'🙎‍♂️ Pasien'!G:V,6,FALSE),"")</f>
        <v>PEREMPUAN</v>
      </c>
      <c r="P59" s="104" t="str">
        <f>IFNA(VLOOKUP(L59,'🙎‍♂️ Pasien'!G:V,12,FALSE),"")</f>
        <v>ISLAM</v>
      </c>
      <c r="Q59" s="104" t="str">
        <f>IFNA(VLOOKUP(L59:L1508,'🙎‍♂️ Pasien'!G:V,13,FALSE),"")</f>
        <v>MASIH SEKOLAH</v>
      </c>
      <c r="R59" s="104" t="str">
        <f t="array" ref="R59">ifna(xlookup(L59,'🙎‍♂️ Pasien'!$G$5:$G1508,'🙎‍♂️ Pasien'!$T$5:$T1508),"")</f>
        <v>PADA SAAT JALAN DEKAT MATA KAKI TERASA SAKIT</v>
      </c>
      <c r="S59" s="104" t="str">
        <f t="array" ref="S59">ifna(xlookup(L59,'🙎‍♂️ Pasien'!$G$5:$G1508,'🙎‍♂️ Pasien'!$U$5:$U1508),"")</f>
        <v>SILAT</v>
      </c>
      <c r="T59" s="97" t="s">
        <v>67</v>
      </c>
      <c r="U59" s="105" t="s">
        <v>60</v>
      </c>
      <c r="V59" s="101" t="s">
        <v>158</v>
      </c>
      <c r="W59" s="106" t="b">
        <v>1</v>
      </c>
      <c r="X59" s="107"/>
      <c r="Y59" s="108"/>
    </row>
    <row r="60" ht="22.5" customHeight="1">
      <c r="A60" s="96"/>
      <c r="B60" s="97" t="s">
        <v>85</v>
      </c>
      <c r="C60" s="98" t="str">
        <f t="array" ref="C60">IFNA(XLOOKUP(J60,'⚙️ Pengaturan'!$H$5:$H1508,'⚙️ Pengaturan'!$I$5:$I1508),"")</f>
        <v>TIM Y</v>
      </c>
      <c r="D60" s="97" t="s">
        <v>86</v>
      </c>
      <c r="E60" s="99">
        <v>45934.0</v>
      </c>
      <c r="F60" s="100" t="str">
        <f t="shared" si="1"/>
        <v>2025</v>
      </c>
      <c r="G60" s="100" t="str">
        <f t="shared" si="2"/>
        <v>10Okt</v>
      </c>
      <c r="H60" s="100" t="str">
        <f t="shared" si="3"/>
        <v>Sabtu</v>
      </c>
      <c r="I60" s="97" t="s">
        <v>93</v>
      </c>
      <c r="J60" s="97" t="s">
        <v>56</v>
      </c>
      <c r="K60" s="97" t="s">
        <v>69</v>
      </c>
      <c r="L60" s="101" t="s">
        <v>58</v>
      </c>
      <c r="M60" s="102" t="str">
        <f>IFNA(VLOOKUP(L60,'🙎‍♂️ Pasien'!G:V,2,FALSE),"")</f>
        <v>A9025092121</v>
      </c>
      <c r="N60" s="103">
        <f>IFNA(VLOOKUP(L60,'🙎‍♂️ Pasien'!G:L,3,FALSE),"")</f>
        <v>36</v>
      </c>
      <c r="O60" s="104" t="str">
        <f>IFNA(VLOOKUP(L60,'🙎‍♂️ Pasien'!G:V,6,FALSE),"")</f>
        <v>LAKI-LAKI</v>
      </c>
      <c r="P60" s="104" t="str">
        <f>IFNA(VLOOKUP(L60,'🙎‍♂️ Pasien'!G:V,12,FALSE),"")</f>
        <v>ISLAM</v>
      </c>
      <c r="Q60" s="104" t="str">
        <f>IFNA(VLOOKUP(L60:L1508,'🙎‍♂️ Pasien'!G:V,13,FALSE),"")</f>
        <v>WIRASWASTA</v>
      </c>
      <c r="R60" s="104" t="str">
        <f t="array" ref="R60">ifna(xlookup(L60,'🙎‍♂️ Pasien'!$G$5:$G1508,'🙎‍♂️ Pasien'!$T$5:$T1508),"")</f>
        <v>PINGGANG KECETIT</v>
      </c>
      <c r="S60" s="104" t="str">
        <f t="array" ref="S60">ifna(xlookup(L60,'🙎‍♂️ Pasien'!$G$5:$G1508,'🙎‍♂️ Pasien'!$U$5:$U1508),"")</f>
        <v>-</v>
      </c>
      <c r="T60" s="97" t="s">
        <v>59</v>
      </c>
      <c r="U60" s="105" t="s">
        <v>60</v>
      </c>
      <c r="V60" s="101"/>
      <c r="W60" s="106" t="b">
        <v>1</v>
      </c>
      <c r="X60" s="107"/>
      <c r="Y60" s="108"/>
    </row>
    <row r="61" ht="22.5" customHeight="1">
      <c r="A61" s="96"/>
      <c r="B61" s="97" t="s">
        <v>85</v>
      </c>
      <c r="C61" s="98" t="str">
        <f t="array" ref="C61">IFNA(XLOOKUP(J61,'⚙️ Pengaturan'!$H$5:$H1508,'⚙️ Pengaturan'!$I$5:$I1508),"")</f>
        <v>TIM A</v>
      </c>
      <c r="D61" s="97" t="s">
        <v>86</v>
      </c>
      <c r="E61" s="99">
        <v>45934.0</v>
      </c>
      <c r="F61" s="100" t="str">
        <f t="shared" si="1"/>
        <v>2025</v>
      </c>
      <c r="G61" s="100" t="str">
        <f t="shared" si="2"/>
        <v>10Okt</v>
      </c>
      <c r="H61" s="100" t="str">
        <f t="shared" si="3"/>
        <v>Sabtu</v>
      </c>
      <c r="I61" s="97" t="s">
        <v>93</v>
      </c>
      <c r="J61" s="97" t="s">
        <v>62</v>
      </c>
      <c r="K61" s="97" t="s">
        <v>63</v>
      </c>
      <c r="L61" s="101" t="s">
        <v>64</v>
      </c>
      <c r="M61" s="102" t="str">
        <f>IFNA(VLOOKUP(L61,'🙎‍♂️ Pasien'!G:V,2,FALSE),"")</f>
        <v>R2525091389</v>
      </c>
      <c r="N61" s="103">
        <f>IFNA(VLOOKUP(L61,'🙎‍♂️ Pasien'!G:L,3,FALSE),"")</f>
        <v>1</v>
      </c>
      <c r="O61" s="104" t="str">
        <f>IFNA(VLOOKUP(L61,'🙎‍♂️ Pasien'!G:V,6,FALSE),"")</f>
        <v>LAKI-LAKI</v>
      </c>
      <c r="P61" s="104" t="str">
        <f>IFNA(VLOOKUP(L61,'🙎‍♂️ Pasien'!G:V,12,FALSE),"")</f>
        <v>PROTESTAN</v>
      </c>
      <c r="Q61" s="104" t="str">
        <f>IFNA(VLOOKUP(L61:L1508,'🙎‍♂️ Pasien'!G:V,13,FALSE),"")</f>
        <v>KARYAWAN</v>
      </c>
      <c r="R61" s="104" t="str">
        <f t="array" ref="R61">ifna(xlookup(L61,'🙎‍♂️ Pasien'!$G$5:$G1508,'🙎‍♂️ Pasien'!$T$5:$T1508),"")</f>
        <v>FROZEN SHOULDER</v>
      </c>
      <c r="S61" s="104" t="str">
        <f t="array" ref="S61">ifna(xlookup(L61,'🙎‍♂️ Pasien'!$G$5:$G1508,'🙎‍♂️ Pasien'!$U$5:$U1508),"")</f>
        <v>TIDAK BISA MAIN BADMINTON</v>
      </c>
      <c r="T61" s="97" t="s">
        <v>59</v>
      </c>
      <c r="U61" s="105">
        <v>2.0</v>
      </c>
      <c r="V61" s="101"/>
      <c r="W61" s="106" t="b">
        <v>1</v>
      </c>
      <c r="X61" s="107"/>
      <c r="Y61" s="108"/>
    </row>
    <row r="62" ht="22.5" customHeight="1">
      <c r="A62" s="96"/>
      <c r="B62" s="97" t="s">
        <v>85</v>
      </c>
      <c r="C62" s="98" t="str">
        <f t="array" ref="C62">IFNA(XLOOKUP(J62,'⚙️ Pengaturan'!$H$5:$H1508,'⚙️ Pengaturan'!$I$5:$I1508),"")</f>
        <v>TIM A</v>
      </c>
      <c r="D62" s="97" t="s">
        <v>86</v>
      </c>
      <c r="E62" s="99">
        <v>45934.0</v>
      </c>
      <c r="F62" s="100" t="str">
        <f t="shared" si="1"/>
        <v>2025</v>
      </c>
      <c r="G62" s="100" t="str">
        <f t="shared" si="2"/>
        <v>10Okt</v>
      </c>
      <c r="H62" s="100" t="str">
        <f t="shared" si="3"/>
        <v>Sabtu</v>
      </c>
      <c r="I62" s="97" t="s">
        <v>95</v>
      </c>
      <c r="J62" s="97" t="s">
        <v>79</v>
      </c>
      <c r="K62" s="97" t="s">
        <v>63</v>
      </c>
      <c r="L62" s="101" t="s">
        <v>128</v>
      </c>
      <c r="M62" s="102" t="str">
        <f>IFNA(VLOOKUP(L62,'🙎‍♂️ Pasien'!G:V,2,FALSE),"")</f>
        <v>A9725086020</v>
      </c>
      <c r="N62" s="103">
        <f>IFNA(VLOOKUP(L62,'🙎‍♂️ Pasien'!G:L,3,FALSE),"")</f>
        <v>28</v>
      </c>
      <c r="O62" s="104" t="str">
        <f>IFNA(VLOOKUP(L62,'🙎‍♂️ Pasien'!G:V,6,FALSE),"")</f>
        <v>PEREMPUAN</v>
      </c>
      <c r="P62" s="104" t="str">
        <f>IFNA(VLOOKUP(L62,'🙎‍♂️ Pasien'!G:V,12,FALSE),"")</f>
        <v>ISLAM</v>
      </c>
      <c r="Q62" s="104" t="str">
        <f>IFNA(VLOOKUP(L62:L1508,'🙎‍♂️ Pasien'!G:V,13,FALSE),"")</f>
        <v>PNS</v>
      </c>
      <c r="R62" s="104" t="str">
        <f t="array" ref="R62">ifna(xlookup(L62,'🙎‍♂️ Pasien'!$G$5:$G1508,'🙎‍♂️ Pasien'!$T$5:$T1508),"")</f>
        <v>SAKIT BAGIAN PAHA DAN PANGGUL</v>
      </c>
      <c r="S62" s="104" t="str">
        <f t="array" ref="S62">ifna(xlookup(L62,'🙎‍♂️ Pasien'!$G$5:$G1508,'🙎‍♂️ Pasien'!$U$5:$U1508),"")</f>
        <v>VOLI DAN BEKERJA</v>
      </c>
      <c r="T62" s="97" t="s">
        <v>59</v>
      </c>
      <c r="U62" s="105">
        <v>3.0</v>
      </c>
      <c r="V62" s="101"/>
      <c r="W62" s="106" t="b">
        <v>1</v>
      </c>
      <c r="X62" s="107"/>
      <c r="Y62" s="108"/>
    </row>
    <row r="63" ht="22.5" customHeight="1">
      <c r="A63" s="96"/>
      <c r="B63" s="97" t="s">
        <v>85</v>
      </c>
      <c r="C63" s="98" t="str">
        <f t="array" ref="C63">IFNA(XLOOKUP(J63,'⚙️ Pengaturan'!$H$5:$H1508,'⚙️ Pengaturan'!$I$5:$I1508),"")</f>
        <v>TIM A</v>
      </c>
      <c r="D63" s="97" t="s">
        <v>86</v>
      </c>
      <c r="E63" s="99">
        <v>45934.0</v>
      </c>
      <c r="F63" s="100" t="str">
        <f t="shared" si="1"/>
        <v>2025</v>
      </c>
      <c r="G63" s="100" t="str">
        <f t="shared" si="2"/>
        <v>10Okt</v>
      </c>
      <c r="H63" s="100" t="str">
        <f t="shared" si="3"/>
        <v>Sabtu</v>
      </c>
      <c r="I63" s="97" t="s">
        <v>97</v>
      </c>
      <c r="J63" s="97" t="s">
        <v>72</v>
      </c>
      <c r="K63" s="97" t="s">
        <v>57</v>
      </c>
      <c r="L63" s="101" t="s">
        <v>159</v>
      </c>
      <c r="M63" s="102" t="str">
        <f>IFNA(VLOOKUP(L63,'🙎‍♂️ Pasien'!G:V,2,FALSE),"")</f>
        <v>A0925107929</v>
      </c>
      <c r="N63" s="103">
        <f>IFNA(VLOOKUP(L63,'🙎‍♂️ Pasien'!G:L,3,FALSE),"")</f>
        <v>16</v>
      </c>
      <c r="O63" s="104" t="str">
        <f>IFNA(VLOOKUP(L63,'🙎‍♂️ Pasien'!G:V,6,FALSE),"")</f>
        <v>PEREMPUAN</v>
      </c>
      <c r="P63" s="104" t="str">
        <f>IFNA(VLOOKUP(L63,'🙎‍♂️ Pasien'!G:V,12,FALSE),"")</f>
        <v>ISLAM</v>
      </c>
      <c r="Q63" s="104" t="str">
        <f>IFNA(VLOOKUP(L63:L1508,'🙎‍♂️ Pasien'!G:V,13,FALSE),"")</f>
        <v>PELAJAR</v>
      </c>
      <c r="R63" s="104" t="str">
        <f t="array" ref="R63">ifna(xlookup(L63,'🙎‍♂️ Pasien'!$G$5:$G1508,'🙎‍♂️ Pasien'!$T$5:$T1508),"")</f>
        <v>SAYA MERASA KAKI SAYA PANJANG SEBELAH, KALO BERDIRI LAMA ITU KAKI SAKIT SEBELAH</v>
      </c>
      <c r="S63" s="104" t="str">
        <f t="array" ref="S63">ifna(xlookup(L63,'🙎‍♂️ Pasien'!$G$5:$G1508,'🙎‍♂️ Pasien'!$U$5:$U1508),"")</f>
        <v>SAYA RASA TIDAK ADA</v>
      </c>
      <c r="T63" s="97" t="s">
        <v>59</v>
      </c>
      <c r="U63" s="105" t="s">
        <v>60</v>
      </c>
      <c r="V63" s="101"/>
      <c r="W63" s="106" t="b">
        <v>1</v>
      </c>
      <c r="X63" s="107"/>
      <c r="Y63" s="108"/>
    </row>
    <row r="64" ht="22.5" customHeight="1">
      <c r="A64" s="96"/>
      <c r="B64" s="97" t="s">
        <v>85</v>
      </c>
      <c r="C64" s="98" t="str">
        <f t="array" ref="C64">IFNA(XLOOKUP(J64,'⚙️ Pengaturan'!$H$5:$H1508,'⚙️ Pengaturan'!$I$5:$I1508),"")</f>
        <v>TIM A</v>
      </c>
      <c r="D64" s="97" t="s">
        <v>86</v>
      </c>
      <c r="E64" s="99">
        <v>45934.0</v>
      </c>
      <c r="F64" s="100" t="str">
        <f t="shared" si="1"/>
        <v>2025</v>
      </c>
      <c r="G64" s="100" t="str">
        <f t="shared" si="2"/>
        <v>10Okt</v>
      </c>
      <c r="H64" s="100" t="str">
        <f t="shared" si="3"/>
        <v>Sabtu</v>
      </c>
      <c r="I64" s="97" t="s">
        <v>97</v>
      </c>
      <c r="J64" s="97" t="s">
        <v>62</v>
      </c>
      <c r="K64" s="97" t="s">
        <v>63</v>
      </c>
      <c r="L64" s="101" t="s">
        <v>150</v>
      </c>
      <c r="M64" s="102" t="str">
        <f>IFNA(VLOOKUP(L64,'🙎‍♂️ Pasien'!G:V,2,FALSE),"")</f>
        <v>Y6625092191</v>
      </c>
      <c r="N64" s="103">
        <f>IFNA(VLOOKUP(L64,'🙎‍♂️ Pasien'!G:L,3,FALSE),"")</f>
        <v>59</v>
      </c>
      <c r="O64" s="104" t="str">
        <f>IFNA(VLOOKUP(L64,'🙎‍♂️ Pasien'!G:V,6,FALSE),"")</f>
        <v>PEREMPUAN</v>
      </c>
      <c r="P64" s="104" t="str">
        <f>IFNA(VLOOKUP(L64,'🙎‍♂️ Pasien'!G:V,12,FALSE),"")</f>
        <v>ISLAM</v>
      </c>
      <c r="Q64" s="104" t="str">
        <f>IFNA(VLOOKUP(L64:L1508,'🙎‍♂️ Pasien'!G:V,13,FALSE),"")</f>
        <v>PENSIUNAN PNS</v>
      </c>
      <c r="R64" s="104" t="str">
        <f t="array" ref="R64">ifna(xlookup(L64,'🙎‍♂️ Pasien'!$G$5:$G1508,'🙎‍♂️ Pasien'!$T$5:$T1508),"")</f>
        <v>KAKI KIRI SAKIT, NYER JUGA NGILU KARENA HABIS TABRAKAN</v>
      </c>
      <c r="S64" s="104" t="str">
        <f t="array" ref="S64">ifna(xlookup(L64,'🙎‍♂️ Pasien'!$G$5:$G1508,'🙎‍♂️ Pasien'!$U$5:$U1508),"")</f>
        <v>HARI JUMAT KEMARIN HABIS TABRAKAN</v>
      </c>
      <c r="T64" s="97" t="s">
        <v>59</v>
      </c>
      <c r="U64" s="105">
        <v>2.0</v>
      </c>
      <c r="V64" s="101"/>
      <c r="W64" s="106" t="b">
        <v>1</v>
      </c>
      <c r="X64" s="107"/>
      <c r="Y64" s="108"/>
    </row>
    <row r="65" ht="22.5" customHeight="1">
      <c r="A65" s="96"/>
      <c r="B65" s="97" t="s">
        <v>85</v>
      </c>
      <c r="C65" s="98" t="str">
        <f t="array" ref="C65">IFNA(XLOOKUP(J65,'⚙️ Pengaturan'!$H$5:$H1508,'⚙️ Pengaturan'!$I$5:$I1508),"")</f>
        <v>TIM Y</v>
      </c>
      <c r="D65" s="97" t="s">
        <v>86</v>
      </c>
      <c r="E65" s="99">
        <v>45934.0</v>
      </c>
      <c r="F65" s="100" t="str">
        <f t="shared" si="1"/>
        <v>2025</v>
      </c>
      <c r="G65" s="100" t="str">
        <f t="shared" si="2"/>
        <v>10Okt</v>
      </c>
      <c r="H65" s="100" t="str">
        <f t="shared" si="3"/>
        <v>Sabtu</v>
      </c>
      <c r="I65" s="97" t="s">
        <v>99</v>
      </c>
      <c r="J65" s="97" t="s">
        <v>56</v>
      </c>
      <c r="K65" s="97" t="s">
        <v>63</v>
      </c>
      <c r="L65" s="101" t="s">
        <v>160</v>
      </c>
      <c r="M65" s="102" t="str">
        <f>IFNA(VLOOKUP(L65,'🙎‍♂️ Pasien'!G:V,2,FALSE),"")</f>
        <v>S7625091177</v>
      </c>
      <c r="N65" s="103">
        <f>IFNA(VLOOKUP(L65,'🙎‍♂️ Pasien'!G:L,3,FALSE),"")</f>
        <v>49</v>
      </c>
      <c r="O65" s="104" t="str">
        <f>IFNA(VLOOKUP(L65,'🙎‍♂️ Pasien'!G:V,6,FALSE),"")</f>
        <v>LAKI-LAKI</v>
      </c>
      <c r="P65" s="104" t="str">
        <f>IFNA(VLOOKUP(L65,'🙎‍♂️ Pasien'!G:V,12,FALSE),"")</f>
        <v>ISLAM</v>
      </c>
      <c r="Q65" s="104" t="str">
        <f>IFNA(VLOOKUP(L65:L1508,'🙎‍♂️ Pasien'!G:V,13,FALSE),"")</f>
        <v>WIRASWASTA</v>
      </c>
      <c r="R65" s="104" t="str">
        <f t="array" ref="R65">ifna(xlookup(L65,'🙎‍♂️ Pasien'!$G$5:$G1508,'🙎‍♂️ Pasien'!$T$5:$T1508),"")</f>
        <v>CEDERA LUTUT</v>
      </c>
      <c r="S65" s="104" t="str">
        <f t="array" ref="S65">ifna(xlookup(L65,'🙎‍♂️ Pasien'!$G$5:$G1508,'🙎‍♂️ Pasien'!$U$5:$U1508),"")</f>
        <v>MAIN BADMINTON</v>
      </c>
      <c r="T65" s="97" t="s">
        <v>59</v>
      </c>
      <c r="U65" s="105">
        <v>3.0</v>
      </c>
      <c r="V65" s="101"/>
      <c r="W65" s="106" t="b">
        <v>1</v>
      </c>
      <c r="X65" s="107"/>
      <c r="Y65" s="108"/>
    </row>
    <row r="66" ht="22.5" customHeight="1">
      <c r="A66" s="96"/>
      <c r="B66" s="97" t="s">
        <v>53</v>
      </c>
      <c r="C66" s="98" t="str">
        <f t="array" ref="C66">IFNA(XLOOKUP(J66,'⚙️ Pengaturan'!$H$5:$H1508,'⚙️ Pengaturan'!$I$5:$I1508),"")</f>
        <v>MANAJEMEN</v>
      </c>
      <c r="D66" s="97" t="s">
        <v>86</v>
      </c>
      <c r="E66" s="99">
        <v>45935.0</v>
      </c>
      <c r="F66" s="100" t="str">
        <f t="shared" si="1"/>
        <v>2025</v>
      </c>
      <c r="G66" s="100" t="str">
        <f t="shared" si="2"/>
        <v>10Okt</v>
      </c>
      <c r="H66" s="100" t="str">
        <f t="shared" si="3"/>
        <v>Minggu</v>
      </c>
      <c r="I66" s="97" t="s">
        <v>55</v>
      </c>
      <c r="J66" s="97" t="s">
        <v>101</v>
      </c>
      <c r="K66" s="97" t="s">
        <v>63</v>
      </c>
      <c r="L66" s="101" t="s">
        <v>161</v>
      </c>
      <c r="M66" s="102" t="str">
        <f>IFNA(VLOOKUP(L66,'🙎‍♂️ Pasien'!G:V,2,FALSE),"")</f>
        <v>A9224038209</v>
      </c>
      <c r="N66" s="103">
        <f>IFNA(VLOOKUP(L66,'🙎‍♂️ Pasien'!G:L,3,FALSE),"")</f>
        <v>33</v>
      </c>
      <c r="O66" s="104" t="str">
        <f>IFNA(VLOOKUP(L66,'🙎‍♂️ Pasien'!G:V,6,FALSE),"")</f>
        <v>PEREMPUAN</v>
      </c>
      <c r="P66" s="104" t="str">
        <f>IFNA(VLOOKUP(L66,'🙎‍♂️ Pasien'!G:V,12,FALSE),"")</f>
        <v>KATOLIK</v>
      </c>
      <c r="Q66" s="104" t="str">
        <f>IFNA(VLOOKUP(L66:L1508,'🙎‍♂️ Pasien'!G:V,13,FALSE),"")</f>
        <v>SWASTA</v>
      </c>
      <c r="R66" s="104" t="str">
        <f t="array" ref="R66">ifna(xlookup(L66,'🙎‍♂️ Pasien'!$G$5:$G1508,'🙎‍♂️ Pasien'!$T$5:$T1508),"")</f>
        <v>Kaki kiri sakit, bahu dan punggung kiri sakit, leher agak bungkuk</v>
      </c>
      <c r="S66" s="104" t="str">
        <f t="array" ref="S66">ifna(xlookup(L66,'🙎‍♂️ Pasien'!$G$5:$G1508,'🙎‍♂️ Pasien'!$U$5:$U1508),"")</f>
        <v>Olahraga, kerja, dan mengurus anak</v>
      </c>
      <c r="T66" s="97" t="s">
        <v>67</v>
      </c>
      <c r="U66" s="105">
        <v>1.0</v>
      </c>
      <c r="V66" s="101" t="s">
        <v>162</v>
      </c>
      <c r="W66" s="106" t="b">
        <v>1</v>
      </c>
      <c r="X66" s="107"/>
      <c r="Y66" s="108"/>
    </row>
    <row r="67" ht="22.5" customHeight="1">
      <c r="A67" s="96"/>
      <c r="B67" s="97" t="s">
        <v>53</v>
      </c>
      <c r="C67" s="98" t="str">
        <f t="array" ref="C67">IFNA(XLOOKUP(J67,'⚙️ Pengaturan'!$H$5:$H1508,'⚙️ Pengaturan'!$I$5:$I1508),"")</f>
        <v>TIM A</v>
      </c>
      <c r="D67" s="97" t="s">
        <v>86</v>
      </c>
      <c r="E67" s="99">
        <v>45935.0</v>
      </c>
      <c r="F67" s="100" t="str">
        <f t="shared" si="1"/>
        <v>2025</v>
      </c>
      <c r="G67" s="100" t="str">
        <f t="shared" si="2"/>
        <v>10Okt</v>
      </c>
      <c r="H67" s="100" t="str">
        <f t="shared" si="3"/>
        <v>Minggu</v>
      </c>
      <c r="I67" s="97" t="s">
        <v>65</v>
      </c>
      <c r="J67" s="97" t="s">
        <v>79</v>
      </c>
      <c r="K67" s="97" t="s">
        <v>63</v>
      </c>
      <c r="L67" s="101" t="s">
        <v>108</v>
      </c>
      <c r="M67" s="102" t="str">
        <f>IFNA(VLOOKUP(L67,'🙎‍♂️ Pasien'!G:V,2,FALSE),"")</f>
        <v>A5625092572</v>
      </c>
      <c r="N67" s="103">
        <f>IFNA(VLOOKUP(L67,'🙎‍♂️ Pasien'!G:L,3,FALSE),"")</f>
        <v>69</v>
      </c>
      <c r="O67" s="104" t="str">
        <f>IFNA(VLOOKUP(L67,'🙎‍♂️ Pasien'!G:V,6,FALSE),"")</f>
        <v>PEREMPUAN</v>
      </c>
      <c r="P67" s="104" t="str">
        <f>IFNA(VLOOKUP(L67,'🙎‍♂️ Pasien'!G:V,12,FALSE),"")</f>
        <v>ISLAM</v>
      </c>
      <c r="Q67" s="104" t="str">
        <f>IFNA(VLOOKUP(L67:L1508,'🙎‍♂️ Pasien'!G:V,13,FALSE),"")</f>
        <v>IRT</v>
      </c>
      <c r="R67" s="104" t="str">
        <f t="array" ref="R67">ifna(xlookup(L67,'🙎‍♂️ Pasien'!$G$5:$G1508,'🙎‍♂️ Pasien'!$T$5:$T1508),"")</f>
        <v>PINGGANG DAN KAKI</v>
      </c>
      <c r="S67" s="104" t="str">
        <f t="array" ref="S67">ifna(xlookup(L67,'🙎‍♂️ Pasien'!$G$5:$G1508,'🙎‍♂️ Pasien'!$U$5:$U1508),"")</f>
        <v>-</v>
      </c>
      <c r="T67" s="97" t="s">
        <v>59</v>
      </c>
      <c r="U67" s="105">
        <v>4.0</v>
      </c>
      <c r="V67" s="101" t="s">
        <v>109</v>
      </c>
      <c r="W67" s="106" t="b">
        <v>1</v>
      </c>
      <c r="X67" s="107"/>
      <c r="Y67" s="108"/>
    </row>
    <row r="68" ht="22.5" customHeight="1">
      <c r="A68" s="96"/>
      <c r="B68" s="97" t="s">
        <v>53</v>
      </c>
      <c r="C68" s="98" t="str">
        <f t="array" ref="C68">IFNA(XLOOKUP(J68,'⚙️ Pengaturan'!$H$5:$H1508,'⚙️ Pengaturan'!$I$5:$I1508),"")</f>
        <v>TIM A</v>
      </c>
      <c r="D68" s="97" t="s">
        <v>86</v>
      </c>
      <c r="E68" s="99">
        <v>45935.0</v>
      </c>
      <c r="F68" s="100" t="str">
        <f t="shared" si="1"/>
        <v>2025</v>
      </c>
      <c r="G68" s="100" t="str">
        <f t="shared" si="2"/>
        <v>10Okt</v>
      </c>
      <c r="H68" s="100" t="str">
        <f t="shared" si="3"/>
        <v>Minggu</v>
      </c>
      <c r="I68" s="97" t="s">
        <v>74</v>
      </c>
      <c r="J68" s="97" t="s">
        <v>62</v>
      </c>
      <c r="K68" s="97" t="s">
        <v>69</v>
      </c>
      <c r="L68" s="101" t="s">
        <v>122</v>
      </c>
      <c r="M68" s="102" t="str">
        <f>IFNA(VLOOKUP(L68,'🙎‍♂️ Pasien'!G:V,2,FALSE),"")</f>
        <v>A0025068439</v>
      </c>
      <c r="N68" s="103">
        <f>IFNA(VLOOKUP(L68,'🙎‍♂️ Pasien'!G:L,3,FALSE),"")</f>
        <v>25</v>
      </c>
      <c r="O68" s="104" t="str">
        <f>IFNA(VLOOKUP(L68,'🙎‍♂️ Pasien'!G:V,6,FALSE),"")</f>
        <v>PEREMPUAN</v>
      </c>
      <c r="P68" s="104" t="str">
        <f>IFNA(VLOOKUP(L68,'🙎‍♂️ Pasien'!G:V,12,FALSE),"")</f>
        <v>BUDDHA</v>
      </c>
      <c r="Q68" s="104" t="str">
        <f>IFNA(VLOOKUP(L68:L1508,'🙎‍♂️ Pasien'!G:V,13,FALSE),"")</f>
        <v>PEKERJA LEPAS/ FREELANCE</v>
      </c>
      <c r="R68" s="104" t="str">
        <f t="array" ref="R68">ifna(xlookup(L68,'🙎‍♂️ Pasien'!$G$5:$G1508,'🙎‍♂️ Pasien'!$T$5:$T1508),"")</f>
        <v>LUTUT SAKIT KARENA SALAH SQUAD/ JONGKOK DI OLAHRAGA/ GYM.</v>
      </c>
      <c r="S68" s="104" t="str">
        <f t="array" ref="S68">ifna(xlookup(L68,'🙎‍♂️ Pasien'!$G$5:$G1508,'🙎‍♂️ Pasien'!$U$5:$U1508),"")</f>
        <v>OLAHRAGA FITNESS/ GYM, MENYETIR MOBIL (KEGIATAN YANG SERING MENGGUNAKAN KAKI KANAN)</v>
      </c>
      <c r="T68" s="97" t="s">
        <v>59</v>
      </c>
      <c r="U68" s="105">
        <v>1.0</v>
      </c>
      <c r="V68" s="101"/>
      <c r="W68" s="106" t="b">
        <v>1</v>
      </c>
      <c r="X68" s="107"/>
      <c r="Y68" s="108"/>
    </row>
    <row r="69" ht="22.5" customHeight="1">
      <c r="A69" s="96"/>
      <c r="B69" s="97" t="s">
        <v>53</v>
      </c>
      <c r="C69" s="98" t="str">
        <f t="array" ref="C69">IFNA(XLOOKUP(J69,'⚙️ Pengaturan'!$H$5:$H1508,'⚙️ Pengaturan'!$I$5:$I1508),"")</f>
        <v>TIM A</v>
      </c>
      <c r="D69" s="97" t="s">
        <v>86</v>
      </c>
      <c r="E69" s="99">
        <v>45935.0</v>
      </c>
      <c r="F69" s="100" t="str">
        <f t="shared" si="1"/>
        <v>2025</v>
      </c>
      <c r="G69" s="100" t="str">
        <f t="shared" si="2"/>
        <v>10Okt</v>
      </c>
      <c r="H69" s="100" t="str">
        <f t="shared" si="3"/>
        <v>Minggu</v>
      </c>
      <c r="I69" s="97" t="s">
        <v>74</v>
      </c>
      <c r="J69" s="97" t="s">
        <v>72</v>
      </c>
      <c r="K69" s="97" t="s">
        <v>63</v>
      </c>
      <c r="L69" s="101" t="s">
        <v>144</v>
      </c>
      <c r="M69" s="102" t="str">
        <f>IFNA(VLOOKUP(L69,'🙎‍♂️ Pasien'!G:V,2,FALSE),"")</f>
        <v>L2525104585</v>
      </c>
      <c r="N69" s="103">
        <f>IFNA(VLOOKUP(L69,'🙎‍♂️ Pasien'!G:L,3,FALSE),"")</f>
        <v>0</v>
      </c>
      <c r="O69" s="104" t="str">
        <f>IFNA(VLOOKUP(L69,'🙎‍♂️ Pasien'!G:V,6,FALSE),"")</f>
        <v>PEREMPUAN</v>
      </c>
      <c r="P69" s="104" t="str">
        <f>IFNA(VLOOKUP(L69,'🙎‍♂️ Pasien'!G:V,12,FALSE),"")</f>
        <v>ISLAM</v>
      </c>
      <c r="Q69" s="104" t="str">
        <f>IFNA(VLOOKUP(L69:L1508,'🙎‍♂️ Pasien'!G:V,13,FALSE),"")</f>
        <v>ANGGOTA DPRD KOTA PONTIANAK</v>
      </c>
      <c r="R69" s="104" t="str">
        <f t="array" ref="R69">ifna(xlookup(L69,'🙎‍♂️ Pasien'!$G$5:$G1508,'🙎‍♂️ Pasien'!$T$5:$T1508),"")</f>
        <v>CEDERA BAHU</v>
      </c>
      <c r="S69" s="104" t="str">
        <f t="array" ref="S69">ifna(xlookup(L69,'🙎‍♂️ Pasien'!$G$5:$G1508,'🙎‍♂️ Pasien'!$U$5:$U1508),"")</f>
        <v>GYM</v>
      </c>
      <c r="T69" s="97" t="s">
        <v>59</v>
      </c>
      <c r="U69" s="105">
        <v>1.0</v>
      </c>
      <c r="V69" s="101"/>
      <c r="W69" s="106" t="b">
        <v>1</v>
      </c>
      <c r="X69" s="107"/>
      <c r="Y69" s="108"/>
    </row>
    <row r="70" ht="22.5" customHeight="1">
      <c r="A70" s="96"/>
      <c r="B70" s="97" t="s">
        <v>53</v>
      </c>
      <c r="C70" s="98" t="str">
        <f t="array" ref="C70">IFNA(XLOOKUP(J70,'⚙️ Pengaturan'!$H$5:$H1508,'⚙️ Pengaturan'!$I$5:$I1508),"")</f>
        <v>TIM A</v>
      </c>
      <c r="D70" s="97" t="s">
        <v>86</v>
      </c>
      <c r="E70" s="99">
        <v>45935.0</v>
      </c>
      <c r="F70" s="100" t="str">
        <f t="shared" si="1"/>
        <v>2025</v>
      </c>
      <c r="G70" s="100" t="str">
        <f t="shared" si="2"/>
        <v>10Okt</v>
      </c>
      <c r="H70" s="100" t="str">
        <f t="shared" si="3"/>
        <v>Minggu</v>
      </c>
      <c r="I70" s="97" t="s">
        <v>76</v>
      </c>
      <c r="J70" s="97" t="s">
        <v>72</v>
      </c>
      <c r="K70" s="97" t="s">
        <v>63</v>
      </c>
      <c r="L70" s="101" t="s">
        <v>129</v>
      </c>
      <c r="M70" s="102" t="str">
        <f>IFNA(VLOOKUP(L70,'🙎‍♂️ Pasien'!G:V,2,FALSE),"")</f>
        <v>D1025091558</v>
      </c>
      <c r="N70" s="103">
        <f>IFNA(VLOOKUP(L70,'🙎‍♂️ Pasien'!G:L,3,FALSE),"")</f>
        <v>16</v>
      </c>
      <c r="O70" s="104" t="str">
        <f>IFNA(VLOOKUP(L70,'🙎‍♂️ Pasien'!G:V,6,FALSE),"")</f>
        <v>LAKI-LAKI</v>
      </c>
      <c r="P70" s="104" t="str">
        <f>IFNA(VLOOKUP(L70,'🙎‍♂️ Pasien'!G:V,12,FALSE),"")</f>
        <v>PROTESTAN</v>
      </c>
      <c r="Q70" s="104" t="str">
        <f>IFNA(VLOOKUP(L70:L1508,'🙎‍♂️ Pasien'!G:V,13,FALSE),"")</f>
        <v>MASI SEKOLAH</v>
      </c>
      <c r="R70" s="104" t="str">
        <f t="array" ref="R70">ifna(xlookup(L70,'🙎‍♂️ Pasien'!$G$5:$G1508,'🙎‍♂️ Pasien'!$T$5:$T1508),"")</f>
        <v>SAKIT DI BAGIAN LUTUT</v>
      </c>
      <c r="S70" s="104" t="str">
        <f t="array" ref="S70">ifna(xlookup(L70,'🙎‍♂️ Pasien'!$G$5:$G1508,'🙎‍♂️ Pasien'!$U$5:$U1508),"")</f>
        <v>BASKET</v>
      </c>
      <c r="T70" s="97" t="s">
        <v>59</v>
      </c>
      <c r="U70" s="105">
        <v>2.0</v>
      </c>
      <c r="V70" s="101"/>
      <c r="W70" s="106" t="b">
        <v>1</v>
      </c>
      <c r="X70" s="107"/>
      <c r="Y70" s="108"/>
    </row>
    <row r="71" ht="22.5" customHeight="1">
      <c r="A71" s="96"/>
      <c r="B71" s="97" t="s">
        <v>53</v>
      </c>
      <c r="C71" s="98" t="str">
        <f t="array" ref="C71">IFNA(XLOOKUP(J71,'⚙️ Pengaturan'!$H$5:$H1508,'⚙️ Pengaturan'!$I$5:$I1508),"")</f>
        <v>TIM A</v>
      </c>
      <c r="D71" s="97" t="s">
        <v>86</v>
      </c>
      <c r="E71" s="99">
        <v>45935.0</v>
      </c>
      <c r="F71" s="100" t="str">
        <f t="shared" si="1"/>
        <v>2025</v>
      </c>
      <c r="G71" s="100" t="str">
        <f t="shared" si="2"/>
        <v>10Okt</v>
      </c>
      <c r="H71" s="100" t="str">
        <f t="shared" si="3"/>
        <v>Minggu</v>
      </c>
      <c r="I71" s="97" t="s">
        <v>76</v>
      </c>
      <c r="J71" s="97" t="s">
        <v>79</v>
      </c>
      <c r="K71" s="97" t="s">
        <v>135</v>
      </c>
      <c r="L71" s="101" t="s">
        <v>115</v>
      </c>
      <c r="M71" s="102" t="str">
        <f>IFNA(VLOOKUP(L71,'🙎‍♂️ Pasien'!G:V,2,FALSE),"")</f>
        <v>S9625108010</v>
      </c>
      <c r="N71" s="103">
        <f>IFNA(VLOOKUP(L71,'🙎‍♂️ Pasien'!G:L,3,FALSE),"")</f>
        <v>29</v>
      </c>
      <c r="O71" s="104" t="str">
        <f>IFNA(VLOOKUP(L71,'🙎‍♂️ Pasien'!G:V,6,FALSE),"")</f>
        <v>LAKI-LAKI</v>
      </c>
      <c r="P71" s="104" t="str">
        <f>IFNA(VLOOKUP(L71,'🙎‍♂️ Pasien'!G:V,12,FALSE),"")</f>
        <v>ISLAM</v>
      </c>
      <c r="Q71" s="104" t="str">
        <f>IFNA(VLOOKUP(L71:L1508,'🙎‍♂️ Pasien'!G:V,13,FALSE),"")</f>
        <v>MARKETING</v>
      </c>
      <c r="R71" s="104" t="str">
        <f t="array" ref="R71">ifna(xlookup(L71,'🙎‍♂️ Pasien'!$G$5:$G1508,'🙎‍♂️ Pasien'!$T$5:$T1508),"")</f>
        <v>ANKLE SPRAIN</v>
      </c>
      <c r="S71" s="104" t="str">
        <f t="array" ref="S71">ifna(xlookup(L71,'🙎‍♂️ Pasien'!$G$5:$G1508,'🙎‍♂️ Pasien'!$U$5:$U1508),"")</f>
        <v>TENNIS</v>
      </c>
      <c r="T71" s="97" t="s">
        <v>67</v>
      </c>
      <c r="U71" s="105" t="s">
        <v>60</v>
      </c>
      <c r="V71" s="101" t="s">
        <v>163</v>
      </c>
      <c r="W71" s="106" t="b">
        <v>1</v>
      </c>
      <c r="X71" s="107"/>
      <c r="Y71" s="108"/>
    </row>
    <row r="72" ht="22.5" customHeight="1">
      <c r="A72" s="96"/>
      <c r="B72" s="97" t="s">
        <v>53</v>
      </c>
      <c r="C72" s="98" t="str">
        <f t="array" ref="C72">IFNA(XLOOKUP(J72,'⚙️ Pengaturan'!$H$5:$H1508,'⚙️ Pengaturan'!$I$5:$I1508),"")</f>
        <v>TIM A</v>
      </c>
      <c r="D72" s="97" t="s">
        <v>86</v>
      </c>
      <c r="E72" s="99">
        <v>45935.0</v>
      </c>
      <c r="F72" s="100" t="str">
        <f t="shared" si="1"/>
        <v>2025</v>
      </c>
      <c r="G72" s="100" t="str">
        <f t="shared" si="2"/>
        <v>10Okt</v>
      </c>
      <c r="H72" s="100" t="str">
        <f t="shared" si="3"/>
        <v>Minggu</v>
      </c>
      <c r="I72" s="97" t="s">
        <v>76</v>
      </c>
      <c r="J72" s="97" t="s">
        <v>62</v>
      </c>
      <c r="K72" s="97" t="s">
        <v>57</v>
      </c>
      <c r="L72" s="101" t="s">
        <v>164</v>
      </c>
      <c r="M72" s="102" t="str">
        <f>IFNA(VLOOKUP(L72,'🙎‍♂️ Pasien'!G:V,2,FALSE),"")</f>
        <v>T6625103145</v>
      </c>
      <c r="N72" s="103">
        <f>IFNA(VLOOKUP(L72,'🙎‍♂️ Pasien'!G:L,3,FALSE),"")</f>
        <v>59</v>
      </c>
      <c r="O72" s="104" t="str">
        <f>IFNA(VLOOKUP(L72,'🙎‍♂️ Pasien'!G:V,6,FALSE),"")</f>
        <v>PEREMPUAN</v>
      </c>
      <c r="P72" s="104" t="str">
        <f>IFNA(VLOOKUP(L72,'🙎‍♂️ Pasien'!G:V,12,FALSE),"")</f>
        <v>ISLAM</v>
      </c>
      <c r="Q72" s="104" t="str">
        <f>IFNA(VLOOKUP(L72:L1508,'🙎‍♂️ Pasien'!G:V,13,FALSE),"")</f>
        <v>PNS</v>
      </c>
      <c r="R72" s="104" t="str">
        <f t="array" ref="R72">ifna(xlookup(L72,'🙎‍♂️ Pasien'!$G$5:$G1508,'🙎‍♂️ Pasien'!$T$5:$T1508),"")</f>
        <v>LEHER</v>
      </c>
      <c r="S72" s="104" t="str">
        <f t="array" ref="S72">ifna(xlookup(L72,'🙎‍♂️ Pasien'!$G$5:$G1508,'🙎‍♂️ Pasien'!$U$5:$U1508),"")</f>
        <v>-</v>
      </c>
      <c r="T72" s="97" t="s">
        <v>59</v>
      </c>
      <c r="U72" s="105" t="s">
        <v>60</v>
      </c>
      <c r="V72" s="101"/>
      <c r="W72" s="106" t="b">
        <v>1</v>
      </c>
      <c r="X72" s="107"/>
      <c r="Y72" s="108"/>
    </row>
    <row r="73" ht="22.5" customHeight="1">
      <c r="A73" s="96"/>
      <c r="B73" s="97" t="s">
        <v>53</v>
      </c>
      <c r="C73" s="98" t="str">
        <f t="array" ref="C73">IFNA(XLOOKUP(J73,'⚙️ Pengaturan'!$H$5:$H1508,'⚙️ Pengaturan'!$I$5:$I1508),"")</f>
        <v>TIM A</v>
      </c>
      <c r="D73" s="97" t="s">
        <v>86</v>
      </c>
      <c r="E73" s="99">
        <v>45935.0</v>
      </c>
      <c r="F73" s="100" t="str">
        <f t="shared" si="1"/>
        <v>2025</v>
      </c>
      <c r="G73" s="100" t="str">
        <f t="shared" si="2"/>
        <v>10Okt</v>
      </c>
      <c r="H73" s="100" t="str">
        <f t="shared" si="3"/>
        <v>Minggu</v>
      </c>
      <c r="I73" s="97" t="s">
        <v>83</v>
      </c>
      <c r="J73" s="97" t="s">
        <v>72</v>
      </c>
      <c r="K73" s="97" t="s">
        <v>63</v>
      </c>
      <c r="L73" s="101" t="s">
        <v>129</v>
      </c>
      <c r="M73" s="102" t="str">
        <f>IFNA(VLOOKUP(L73,'🙎‍♂️ Pasien'!G:V,2,FALSE),"")</f>
        <v>D1025091558</v>
      </c>
      <c r="N73" s="103">
        <f>IFNA(VLOOKUP(L73,'🙎‍♂️ Pasien'!G:L,3,FALSE),"")</f>
        <v>16</v>
      </c>
      <c r="O73" s="104" t="str">
        <f>IFNA(VLOOKUP(L73,'🙎‍♂️ Pasien'!G:V,6,FALSE),"")</f>
        <v>LAKI-LAKI</v>
      </c>
      <c r="P73" s="104" t="str">
        <f>IFNA(VLOOKUP(L73,'🙎‍♂️ Pasien'!G:V,12,FALSE),"")</f>
        <v>PROTESTAN</v>
      </c>
      <c r="Q73" s="104" t="str">
        <f>IFNA(VLOOKUP(L73:L1508,'🙎‍♂️ Pasien'!G:V,13,FALSE),"")</f>
        <v>MASI SEKOLAH</v>
      </c>
      <c r="R73" s="104" t="str">
        <f t="array" ref="R73">ifna(xlookup(L73,'🙎‍♂️ Pasien'!$G$5:$G1508,'🙎‍♂️ Pasien'!$T$5:$T1508),"")</f>
        <v>SAKIT DI BAGIAN LUTUT</v>
      </c>
      <c r="S73" s="104" t="str">
        <f t="array" ref="S73">ifna(xlookup(L73,'🙎‍♂️ Pasien'!$G$5:$G1508,'🙎‍♂️ Pasien'!$U$5:$U1508),"")</f>
        <v>BASKET</v>
      </c>
      <c r="T73" s="97" t="s">
        <v>59</v>
      </c>
      <c r="U73" s="105">
        <v>3.0</v>
      </c>
      <c r="V73" s="101"/>
      <c r="W73" s="106" t="b">
        <v>1</v>
      </c>
      <c r="X73" s="107"/>
      <c r="Y73" s="108"/>
    </row>
    <row r="74" ht="22.5" customHeight="1">
      <c r="A74" s="96"/>
      <c r="B74" s="97" t="s">
        <v>85</v>
      </c>
      <c r="C74" s="98" t="str">
        <f t="array" ref="C74">IFNA(XLOOKUP(J74,'⚙️ Pengaturan'!$H$5:$H1508,'⚙️ Pengaturan'!$I$5:$I1508),"")</f>
        <v>TIM Y</v>
      </c>
      <c r="D74" s="97" t="s">
        <v>54</v>
      </c>
      <c r="E74" s="99">
        <v>45935.0</v>
      </c>
      <c r="F74" s="100" t="str">
        <f t="shared" si="1"/>
        <v>2025</v>
      </c>
      <c r="G74" s="100" t="str">
        <f t="shared" si="2"/>
        <v>10Okt</v>
      </c>
      <c r="H74" s="100" t="str">
        <f t="shared" si="3"/>
        <v>Minggu</v>
      </c>
      <c r="I74" s="97" t="s">
        <v>87</v>
      </c>
      <c r="J74" s="97" t="s">
        <v>107</v>
      </c>
      <c r="K74" s="97" t="s">
        <v>63</v>
      </c>
      <c r="L74" s="101" t="s">
        <v>165</v>
      </c>
      <c r="M74" s="102" t="str">
        <f>IFNA(VLOOKUP(L74,'🙎‍♂️ Pasien'!G:V,2,FALSE),"")</f>
        <v>D0925034440</v>
      </c>
      <c r="N74" s="103">
        <f>IFNA(VLOOKUP(L74,'🙎‍♂️ Pasien'!G:L,3,FALSE),"")</f>
        <v>17</v>
      </c>
      <c r="O74" s="104" t="str">
        <f>IFNA(VLOOKUP(L74,'🙎‍♂️ Pasien'!G:V,6,FALSE),"")</f>
        <v>LAKI-LAKI</v>
      </c>
      <c r="P74" s="104" t="str">
        <f>IFNA(VLOOKUP(L74,'🙎‍♂️ Pasien'!G:V,12,FALSE),"")</f>
        <v>KATOLIK</v>
      </c>
      <c r="Q74" s="104" t="str">
        <f>IFNA(VLOOKUP(L74:L1508,'🙎‍♂️ Pasien'!G:V,13,FALSE),"")</f>
        <v>PELAJAR</v>
      </c>
      <c r="R74" s="104" t="str">
        <f t="array" ref="R74">ifna(xlookup(L74,'🙎‍♂️ Pasien'!$G$5:$G1508,'🙎‍♂️ Pasien'!$T$5:$T1508),"")</f>
        <v>TANGAN KANAN DAN KIRI KURANG LURUS DARI LAHIR</v>
      </c>
      <c r="S74" s="104" t="str">
        <f t="array" ref="S74">ifna(xlookup(L74,'🙎‍♂️ Pasien'!$G$5:$G1508,'🙎‍♂️ Pasien'!$U$5:$U1508),"")</f>
        <v>JOGING</v>
      </c>
      <c r="T74" s="97" t="s">
        <v>59</v>
      </c>
      <c r="U74" s="105">
        <v>2.0</v>
      </c>
      <c r="V74" s="101"/>
      <c r="W74" s="106" t="b">
        <v>1</v>
      </c>
      <c r="X74" s="107"/>
      <c r="Y74" s="108"/>
    </row>
    <row r="75" ht="22.5" customHeight="1">
      <c r="A75" s="96"/>
      <c r="B75" s="97" t="s">
        <v>85</v>
      </c>
      <c r="C75" s="98" t="str">
        <f t="array" ref="C75">IFNA(XLOOKUP(J75,'⚙️ Pengaturan'!$H$5:$H1508,'⚙️ Pengaturan'!$I$5:$I1508),"")</f>
        <v>TIM Y</v>
      </c>
      <c r="D75" s="97" t="s">
        <v>54</v>
      </c>
      <c r="E75" s="99">
        <v>45935.0</v>
      </c>
      <c r="F75" s="100" t="str">
        <f t="shared" si="1"/>
        <v>2025</v>
      </c>
      <c r="G75" s="100" t="str">
        <f t="shared" si="2"/>
        <v>10Okt</v>
      </c>
      <c r="H75" s="100" t="str">
        <f t="shared" si="3"/>
        <v>Minggu</v>
      </c>
      <c r="I75" s="97" t="s">
        <v>93</v>
      </c>
      <c r="J75" s="97" t="s">
        <v>107</v>
      </c>
      <c r="K75" s="97" t="s">
        <v>63</v>
      </c>
      <c r="L75" s="101" t="s">
        <v>166</v>
      </c>
      <c r="M75" s="102" t="str">
        <f>IFNA(VLOOKUP(L75,'🙎‍♂️ Pasien'!G:V,2,FALSE),"")</f>
        <v>M7225080167</v>
      </c>
      <c r="N75" s="103">
        <f>IFNA(VLOOKUP(L75,'🙎‍♂️ Pasien'!G:L,3,FALSE),"")</f>
        <v>54</v>
      </c>
      <c r="O75" s="104" t="str">
        <f>IFNA(VLOOKUP(L75,'🙎‍♂️ Pasien'!G:V,6,FALSE),"")</f>
        <v>PEREMPUAN</v>
      </c>
      <c r="P75" s="104" t="str">
        <f>IFNA(VLOOKUP(L75,'🙎‍♂️ Pasien'!G:V,12,FALSE),"")</f>
        <v>ISLAM</v>
      </c>
      <c r="Q75" s="104" t="str">
        <f>IFNA(VLOOKUP(L75:L1508,'🙎‍♂️ Pasien'!G:V,13,FALSE),"")</f>
        <v>PNS</v>
      </c>
      <c r="R75" s="104" t="str">
        <f t="array" ref="R75">ifna(xlookup(L75,'🙎‍♂️ Pasien'!$G$5:$G1508,'🙎‍♂️ Pasien'!$T$5:$T1508),"")</f>
        <v>CTS PADA TANGAN KIRI</v>
      </c>
      <c r="S75" s="104" t="str">
        <f t="array" ref="S75">ifna(xlookup(L75,'🙎‍♂️ Pasien'!$G$5:$G1508,'🙎‍♂️ Pasien'!$U$5:$U1508),"")</f>
        <v>NGETIK , MASAK, NYETIR</v>
      </c>
      <c r="T75" s="97" t="s">
        <v>67</v>
      </c>
      <c r="U75" s="105">
        <v>5.0</v>
      </c>
      <c r="V75" s="101" t="s">
        <v>167</v>
      </c>
      <c r="W75" s="106" t="b">
        <v>1</v>
      </c>
      <c r="X75" s="107"/>
      <c r="Y75" s="108"/>
    </row>
    <row r="76" ht="22.5" customHeight="1">
      <c r="A76" s="96"/>
      <c r="B76" s="97" t="s">
        <v>85</v>
      </c>
      <c r="C76" s="98" t="str">
        <f t="array" ref="C76">IFNA(XLOOKUP(J76,'⚙️ Pengaturan'!$H$5:$H1508,'⚙️ Pengaturan'!$I$5:$I1508),"")</f>
        <v>TIM Y</v>
      </c>
      <c r="D76" s="97" t="s">
        <v>54</v>
      </c>
      <c r="E76" s="99">
        <v>45935.0</v>
      </c>
      <c r="F76" s="100" t="str">
        <f t="shared" si="1"/>
        <v>2025</v>
      </c>
      <c r="G76" s="100" t="str">
        <f t="shared" si="2"/>
        <v>10Okt</v>
      </c>
      <c r="H76" s="100" t="str">
        <f t="shared" si="3"/>
        <v>Minggu</v>
      </c>
      <c r="I76" s="97" t="s">
        <v>93</v>
      </c>
      <c r="J76" s="97" t="s">
        <v>88</v>
      </c>
      <c r="K76" s="97" t="s">
        <v>69</v>
      </c>
      <c r="L76" s="101" t="s">
        <v>168</v>
      </c>
      <c r="M76" s="102" t="str">
        <f>IFNA(VLOOKUP(L76,'🙎‍♂️ Pasien'!G:V,2,FALSE),"")</f>
        <v>M0524055808</v>
      </c>
      <c r="N76" s="103">
        <f>IFNA(VLOOKUP(L76,'🙎‍♂️ Pasien'!G:L,3,FALSE),"")</f>
        <v>20</v>
      </c>
      <c r="O76" s="104" t="str">
        <f>IFNA(VLOOKUP(L76,'🙎‍♂️ Pasien'!G:V,6,FALSE),"")</f>
        <v>LAKI-LAKI</v>
      </c>
      <c r="P76" s="104" t="str">
        <f>IFNA(VLOOKUP(L76,'🙎‍♂️ Pasien'!G:V,12,FALSE),"")</f>
        <v>ISLAM</v>
      </c>
      <c r="Q76" s="104" t="str">
        <f>IFNA(VLOOKUP(L76:L1508,'🙎‍♂️ Pasien'!G:V,13,FALSE),"")</f>
        <v>PELAJAR/MAHASISWA</v>
      </c>
      <c r="R76" s="104" t="str">
        <f t="array" ref="R76">ifna(xlookup(L76,'🙎‍♂️ Pasien'!$G$5:$G1508,'🙎‍♂️ Pasien'!$T$5:$T1508),"")</f>
        <v>goyang</v>
      </c>
      <c r="S76" s="104" t="str">
        <f t="array" ref="S76">ifna(xlookup(L76,'🙎‍♂️ Pasien'!$G$5:$G1508,'🙎‍♂️ Pasien'!$U$5:$U1508),"")</f>
        <v>futsal</v>
      </c>
      <c r="T76" s="97" t="s">
        <v>59</v>
      </c>
      <c r="U76" s="105" t="s">
        <v>60</v>
      </c>
      <c r="V76" s="101"/>
      <c r="W76" s="106" t="b">
        <v>1</v>
      </c>
      <c r="X76" s="107"/>
      <c r="Y76" s="108"/>
    </row>
    <row r="77" ht="22.5" customHeight="1">
      <c r="A77" s="96"/>
      <c r="B77" s="97" t="s">
        <v>85</v>
      </c>
      <c r="C77" s="98" t="str">
        <f t="array" ref="C77">IFNA(XLOOKUP(J77,'⚙️ Pengaturan'!$H$5:$H1508,'⚙️ Pengaturan'!$I$5:$I1508),"")</f>
        <v>TIM Y</v>
      </c>
      <c r="D77" s="97" t="s">
        <v>54</v>
      </c>
      <c r="E77" s="99">
        <v>45935.0</v>
      </c>
      <c r="F77" s="100" t="str">
        <f t="shared" si="1"/>
        <v>2025</v>
      </c>
      <c r="G77" s="100" t="str">
        <f t="shared" si="2"/>
        <v>10Okt</v>
      </c>
      <c r="H77" s="100" t="str">
        <f t="shared" si="3"/>
        <v>Minggu</v>
      </c>
      <c r="I77" s="97" t="s">
        <v>93</v>
      </c>
      <c r="J77" s="97" t="s">
        <v>91</v>
      </c>
      <c r="K77" s="97" t="s">
        <v>63</v>
      </c>
      <c r="L77" s="101" t="s">
        <v>169</v>
      </c>
      <c r="M77" s="102" t="str">
        <f>IFNA(VLOOKUP(L77,'🙎‍♂️ Pasien'!G:V,2,FALSE),"")</f>
        <v>N9025080662</v>
      </c>
      <c r="N77" s="103">
        <f>IFNA(VLOOKUP(L77,'🙎‍♂️ Pasien'!G:L,3,FALSE),"")</f>
        <v>35</v>
      </c>
      <c r="O77" s="104" t="str">
        <f>IFNA(VLOOKUP(L77,'🙎‍♂️ Pasien'!G:V,6,FALSE),"")</f>
        <v>PEREMPUAN</v>
      </c>
      <c r="P77" s="104" t="str">
        <f>IFNA(VLOOKUP(L77,'🙎‍♂️ Pasien'!G:V,12,FALSE),"")</f>
        <v>ISLAM</v>
      </c>
      <c r="Q77" s="104" t="str">
        <f>IFNA(VLOOKUP(L77:L1508,'🙎‍♂️ Pasien'!G:V,13,FALSE),"")</f>
        <v>PNS</v>
      </c>
      <c r="R77" s="104" t="str">
        <f t="array" ref="R77">ifna(xlookup(L77,'🙎‍♂️ Pasien'!$G$5:$G1508,'🙎‍♂️ Pasien'!$T$5:$T1508),"")</f>
        <v>LUTUT SAKIT</v>
      </c>
      <c r="S77" s="104" t="str">
        <f t="array" ref="S77">ifna(xlookup(L77,'🙎‍♂️ Pasien'!$G$5:$G1508,'🙎‍♂️ Pasien'!$U$5:$U1508),"")</f>
        <v>DUDUK SEHARIAN</v>
      </c>
      <c r="T77" s="97" t="s">
        <v>59</v>
      </c>
      <c r="U77" s="105">
        <v>3.0</v>
      </c>
      <c r="V77" s="101"/>
      <c r="W77" s="106" t="b">
        <v>1</v>
      </c>
      <c r="X77" s="107"/>
      <c r="Y77" s="108"/>
    </row>
    <row r="78" ht="22.5" customHeight="1">
      <c r="A78" s="96"/>
      <c r="B78" s="97" t="s">
        <v>85</v>
      </c>
      <c r="C78" s="98" t="str">
        <f t="array" ref="C78">IFNA(XLOOKUP(J78,'⚙️ Pengaturan'!$H$5:$H1508,'⚙️ Pengaturan'!$I$5:$I1508),"")</f>
        <v>TIM Y</v>
      </c>
      <c r="D78" s="97" t="s">
        <v>54</v>
      </c>
      <c r="E78" s="99">
        <v>45935.0</v>
      </c>
      <c r="F78" s="100" t="str">
        <f t="shared" si="1"/>
        <v>2025</v>
      </c>
      <c r="G78" s="100" t="str">
        <f t="shared" si="2"/>
        <v>10Okt</v>
      </c>
      <c r="H78" s="100" t="str">
        <f t="shared" si="3"/>
        <v>Minggu</v>
      </c>
      <c r="I78" s="97" t="s">
        <v>95</v>
      </c>
      <c r="J78" s="97" t="s">
        <v>91</v>
      </c>
      <c r="K78" s="97" t="s">
        <v>63</v>
      </c>
      <c r="L78" s="101" t="s">
        <v>136</v>
      </c>
      <c r="M78" s="102" t="str">
        <f>IFNA(VLOOKUP(L78,'🙎‍♂️ Pasien'!G:V,2,FALSE),"")</f>
        <v>H9025092496</v>
      </c>
      <c r="N78" s="103">
        <f>IFNA(VLOOKUP(L78,'🙎‍♂️ Pasien'!G:L,3,FALSE),"")</f>
        <v>35</v>
      </c>
      <c r="O78" s="104" t="str">
        <f>IFNA(VLOOKUP(L78,'🙎‍♂️ Pasien'!G:V,6,FALSE),"")</f>
        <v>LAKI-LAKI</v>
      </c>
      <c r="P78" s="104" t="str">
        <f>IFNA(VLOOKUP(L78,'🙎‍♂️ Pasien'!G:V,12,FALSE),"")</f>
        <v>ISLAM</v>
      </c>
      <c r="Q78" s="104" t="str">
        <f>IFNA(VLOOKUP(L78:L1508,'🙎‍♂️ Pasien'!G:V,13,FALSE),"")</f>
        <v>SWASTA</v>
      </c>
      <c r="R78" s="104" t="str">
        <f t="array" ref="R78">ifna(xlookup(L78,'🙎‍♂️ Pasien'!$G$5:$G1508,'🙎‍♂️ Pasien'!$T$5:$T1508),"")</f>
        <v>KAKI KIRI SAKIT</v>
      </c>
      <c r="S78" s="104" t="str">
        <f t="array" ref="S78">ifna(xlookup(L78,'🙎‍♂️ Pasien'!$G$5:$G1508,'🙎‍♂️ Pasien'!$U$5:$U1508),"")</f>
        <v>LATIHAN LATI</v>
      </c>
      <c r="T78" s="97" t="s">
        <v>59</v>
      </c>
      <c r="U78" s="105">
        <v>1.0</v>
      </c>
      <c r="V78" s="101"/>
      <c r="W78" s="106" t="b">
        <v>1</v>
      </c>
      <c r="X78" s="107"/>
      <c r="Y78" s="108"/>
    </row>
    <row r="79" ht="22.5" customHeight="1">
      <c r="A79" s="96"/>
      <c r="B79" s="97" t="s">
        <v>85</v>
      </c>
      <c r="C79" s="98" t="str">
        <f t="array" ref="C79">IFNA(XLOOKUP(J79,'⚙️ Pengaturan'!$H$5:$H1508,'⚙️ Pengaturan'!$I$5:$I1508),"")</f>
        <v>TIM Y</v>
      </c>
      <c r="D79" s="97" t="s">
        <v>54</v>
      </c>
      <c r="E79" s="99">
        <v>45935.0</v>
      </c>
      <c r="F79" s="100" t="str">
        <f t="shared" si="1"/>
        <v>2025</v>
      </c>
      <c r="G79" s="100" t="str">
        <f t="shared" si="2"/>
        <v>10Okt</v>
      </c>
      <c r="H79" s="100" t="str">
        <f t="shared" si="3"/>
        <v>Minggu</v>
      </c>
      <c r="I79" s="97" t="s">
        <v>97</v>
      </c>
      <c r="J79" s="97" t="s">
        <v>107</v>
      </c>
      <c r="K79" s="97" t="s">
        <v>63</v>
      </c>
      <c r="L79" s="101" t="s">
        <v>147</v>
      </c>
      <c r="M79" s="102" t="str">
        <f>IFNA(VLOOKUP(L79,'🙎‍♂️ Pasien'!G:V,2,FALSE),"")</f>
        <v>P7525096189</v>
      </c>
      <c r="N79" s="103">
        <f>IFNA(VLOOKUP(L79,'🙎‍♂️ Pasien'!G:L,3,FALSE),"")</f>
        <v>51</v>
      </c>
      <c r="O79" s="104" t="str">
        <f>IFNA(VLOOKUP(L79,'🙎‍♂️ Pasien'!G:V,6,FALSE),"")</f>
        <v>PEREMPUAN</v>
      </c>
      <c r="P79" s="104" t="str">
        <f>IFNA(VLOOKUP(L79,'🙎‍♂️ Pasien'!G:V,12,FALSE),"")</f>
        <v>ISLAM</v>
      </c>
      <c r="Q79" s="104" t="str">
        <f>IFNA(VLOOKUP(L79:L1508,'🙎‍♂️ Pasien'!G:V,13,FALSE),"")</f>
        <v>PNS</v>
      </c>
      <c r="R79" s="104" t="str">
        <f t="array" ref="R79">ifna(xlookup(L79,'🙎‍♂️ Pasien'!$G$5:$G1508,'🙎‍♂️ Pasien'!$T$5:$T1508),"")</f>
        <v>SAKIT PADA KAKI</v>
      </c>
      <c r="S79" s="104" t="str">
        <f t="array" ref="S79">ifna(xlookup(L79,'🙎‍♂️ Pasien'!$G$5:$G1508,'🙎‍♂️ Pasien'!$U$5:$U1508),"")</f>
        <v>OLAH RAGA (JALAN KAKI)</v>
      </c>
      <c r="T79" s="97" t="s">
        <v>59</v>
      </c>
      <c r="U79" s="105">
        <v>5.0</v>
      </c>
      <c r="V79" s="101" t="s">
        <v>125</v>
      </c>
      <c r="W79" s="106" t="b">
        <v>1</v>
      </c>
      <c r="X79" s="107"/>
      <c r="Y79" s="108"/>
    </row>
    <row r="80" ht="22.5" customHeight="1">
      <c r="A80" s="96"/>
      <c r="B80" s="97" t="s">
        <v>53</v>
      </c>
      <c r="C80" s="98" t="str">
        <f t="array" ref="C80">IFNA(XLOOKUP(J80,'⚙️ Pengaturan'!$H$5:$H1508,'⚙️ Pengaturan'!$I$5:$I1508),"")</f>
        <v>TIM Y</v>
      </c>
      <c r="D80" s="97" t="s">
        <v>54</v>
      </c>
      <c r="E80" s="99">
        <v>45936.0</v>
      </c>
      <c r="F80" s="100" t="str">
        <f t="shared" si="1"/>
        <v>2025</v>
      </c>
      <c r="G80" s="100" t="str">
        <f t="shared" si="2"/>
        <v>10Okt</v>
      </c>
      <c r="H80" s="100" t="str">
        <f t="shared" si="3"/>
        <v>Senin</v>
      </c>
      <c r="I80" s="97" t="s">
        <v>55</v>
      </c>
      <c r="J80" s="97" t="s">
        <v>88</v>
      </c>
      <c r="K80" s="97" t="s">
        <v>63</v>
      </c>
      <c r="L80" s="101" t="s">
        <v>100</v>
      </c>
      <c r="M80" s="102" t="str">
        <f>IFNA(VLOOKUP(L80,'🙎‍♂️ Pasien'!G:V,2,FALSE),"")</f>
        <v>A6125094370</v>
      </c>
      <c r="N80" s="103">
        <f>IFNA(VLOOKUP(L80,'🙎‍♂️ Pasien'!G:L,3,FALSE),"")</f>
        <v>64</v>
      </c>
      <c r="O80" s="104" t="str">
        <f>IFNA(VLOOKUP(L80,'🙎‍♂️ Pasien'!G:V,6,FALSE),"")</f>
        <v>LAKI-LAKI</v>
      </c>
      <c r="P80" s="104" t="str">
        <f>IFNA(VLOOKUP(L80,'🙎‍♂️ Pasien'!G:V,12,FALSE),"")</f>
        <v>ISLAM</v>
      </c>
      <c r="Q80" s="104" t="str">
        <f>IFNA(VLOOKUP(L80:L1508,'🙎‍♂️ Pasien'!G:V,13,FALSE),"")</f>
        <v>WIRASWASTA</v>
      </c>
      <c r="R80" s="104" t="str">
        <f t="array" ref="R80">ifna(xlookup(L80,'🙎‍♂️ Pasien'!$G$5:$G1508,'🙎‍♂️ Pasien'!$T$5:$T1508),"")</f>
        <v>NYERI DI SENDI BAHU, SAKIT KETIKA DI ANGKAT AGAK TINGGI</v>
      </c>
      <c r="S80" s="104" t="str">
        <f t="array" ref="S80">ifna(xlookup(L80,'🙎‍♂️ Pasien'!$G$5:$G1508,'🙎‍♂️ Pasien'!$U$5:$U1508),"")</f>
        <v>TERKADANG ANGKAT2 BARANG, TP TIDAK SETIAP HARI. ADA RIWAYAT JATUH</v>
      </c>
      <c r="T80" s="97" t="s">
        <v>59</v>
      </c>
      <c r="U80" s="105">
        <v>5.0</v>
      </c>
      <c r="V80" s="101" t="s">
        <v>125</v>
      </c>
      <c r="W80" s="106" t="b">
        <v>1</v>
      </c>
      <c r="X80" s="107"/>
      <c r="Y80" s="108"/>
    </row>
    <row r="81" ht="22.5" customHeight="1">
      <c r="A81" s="96"/>
      <c r="B81" s="97" t="s">
        <v>53</v>
      </c>
      <c r="C81" s="98" t="str">
        <f t="array" ref="C81">IFNA(XLOOKUP(J81,'⚙️ Pengaturan'!$H$5:$H1508,'⚙️ Pengaturan'!$I$5:$I1508),"")</f>
        <v>TIM Y</v>
      </c>
      <c r="D81" s="97" t="s">
        <v>54</v>
      </c>
      <c r="E81" s="99">
        <v>45936.0</v>
      </c>
      <c r="F81" s="100" t="str">
        <f t="shared" si="1"/>
        <v>2025</v>
      </c>
      <c r="G81" s="100" t="str">
        <f t="shared" si="2"/>
        <v>10Okt</v>
      </c>
      <c r="H81" s="100" t="str">
        <f t="shared" si="3"/>
        <v>Senin</v>
      </c>
      <c r="I81" s="97" t="s">
        <v>65</v>
      </c>
      <c r="J81" s="97" t="s">
        <v>107</v>
      </c>
      <c r="K81" s="97" t="s">
        <v>57</v>
      </c>
      <c r="L81" s="101" t="s">
        <v>170</v>
      </c>
      <c r="M81" s="102" t="str">
        <f>IFNA(VLOOKUP(L81,'🙎‍♂️ Pasien'!G:V,2,FALSE),"")</f>
        <v>B8025102980</v>
      </c>
      <c r="N81" s="103">
        <f>IFNA(VLOOKUP(L81,'🙎‍♂️ Pasien'!G:L,3,FALSE),"")</f>
        <v>45</v>
      </c>
      <c r="O81" s="104" t="str">
        <f>IFNA(VLOOKUP(L81,'🙎‍♂️ Pasien'!G:V,6,FALSE),"")</f>
        <v>PEREMPUAN</v>
      </c>
      <c r="P81" s="104" t="str">
        <f>IFNA(VLOOKUP(L81,'🙎‍♂️ Pasien'!G:V,12,FALSE),"")</f>
        <v>ISLAM</v>
      </c>
      <c r="Q81" s="104" t="str">
        <f>IFNA(VLOOKUP(L81:L1508,'🙎‍♂️ Pasien'!G:V,13,FALSE),"")</f>
        <v>IRT</v>
      </c>
      <c r="R81" s="104" t="str">
        <f t="array" ref="R81">ifna(xlookup(L81,'🙎‍♂️ Pasien'!$G$5:$G1508,'🙎‍♂️ Pasien'!$T$5:$T1508),"")</f>
        <v>TULANG EKOR AGAK SAKIT, TEMPURUNG SUKA SAKIT DAN BETIS SAKI</v>
      </c>
      <c r="S81" s="104" t="str">
        <f t="array" ref="S81">ifna(xlookup(L81,'🙎‍♂️ Pasien'!$G$5:$G1508,'🙎‍♂️ Pasien'!$U$5:$U1508),"")</f>
        <v>-</v>
      </c>
      <c r="T81" s="97" t="s">
        <v>59</v>
      </c>
      <c r="U81" s="105" t="s">
        <v>60</v>
      </c>
      <c r="V81" s="101"/>
      <c r="W81" s="106" t="b">
        <v>1</v>
      </c>
      <c r="X81" s="107"/>
      <c r="Y81" s="108"/>
    </row>
    <row r="82" ht="22.5" customHeight="1">
      <c r="A82" s="96"/>
      <c r="B82" s="97" t="s">
        <v>53</v>
      </c>
      <c r="C82" s="98" t="str">
        <f t="array" ref="C82">IFNA(XLOOKUP(J82,'⚙️ Pengaturan'!$H$5:$H1508,'⚙️ Pengaturan'!$I$5:$I1508),"")</f>
        <v>TIM Y</v>
      </c>
      <c r="D82" s="97" t="s">
        <v>54</v>
      </c>
      <c r="E82" s="99">
        <v>45936.0</v>
      </c>
      <c r="F82" s="100" t="str">
        <f t="shared" si="1"/>
        <v>2025</v>
      </c>
      <c r="G82" s="100" t="str">
        <f t="shared" si="2"/>
        <v>10Okt</v>
      </c>
      <c r="H82" s="100" t="str">
        <f t="shared" si="3"/>
        <v>Senin</v>
      </c>
      <c r="I82" s="97" t="s">
        <v>65</v>
      </c>
      <c r="J82" s="97" t="s">
        <v>91</v>
      </c>
      <c r="K82" s="97" t="s">
        <v>63</v>
      </c>
      <c r="L82" s="101" t="s">
        <v>144</v>
      </c>
      <c r="M82" s="102" t="str">
        <f>IFNA(VLOOKUP(L82,'🙎‍♂️ Pasien'!G:V,2,FALSE),"")</f>
        <v>L2525104585</v>
      </c>
      <c r="N82" s="103">
        <f>IFNA(VLOOKUP(L82,'🙎‍♂️ Pasien'!G:L,3,FALSE),"")</f>
        <v>0</v>
      </c>
      <c r="O82" s="104" t="str">
        <f>IFNA(VLOOKUP(L82,'🙎‍♂️ Pasien'!G:V,6,FALSE),"")</f>
        <v>PEREMPUAN</v>
      </c>
      <c r="P82" s="104" t="str">
        <f>IFNA(VLOOKUP(L82,'🙎‍♂️ Pasien'!G:V,12,FALSE),"")</f>
        <v>ISLAM</v>
      </c>
      <c r="Q82" s="104" t="str">
        <f>IFNA(VLOOKUP(L82:L1508,'🙎‍♂️ Pasien'!G:V,13,FALSE),"")</f>
        <v>ANGGOTA DPRD KOTA PONTIANAK</v>
      </c>
      <c r="R82" s="104" t="str">
        <f t="array" ref="R82">ifna(xlookup(L82,'🙎‍♂️ Pasien'!$G$5:$G1508,'🙎‍♂️ Pasien'!$T$5:$T1508),"")</f>
        <v>CEDERA BAHU</v>
      </c>
      <c r="S82" s="104" t="str">
        <f t="array" ref="S82">ifna(xlookup(L82,'🙎‍♂️ Pasien'!$G$5:$G1508,'🙎‍♂️ Pasien'!$U$5:$U1508),"")</f>
        <v>GYM</v>
      </c>
      <c r="T82" s="97" t="s">
        <v>59</v>
      </c>
      <c r="U82" s="105">
        <v>2.0</v>
      </c>
      <c r="V82" s="101"/>
      <c r="W82" s="106" t="b">
        <v>1</v>
      </c>
      <c r="X82" s="107"/>
      <c r="Y82" s="108"/>
    </row>
    <row r="83" ht="22.5" customHeight="1">
      <c r="A83" s="96"/>
      <c r="B83" s="97" t="s">
        <v>53</v>
      </c>
      <c r="C83" s="98" t="str">
        <f t="array" ref="C83">IFNA(XLOOKUP(J83,'⚙️ Pengaturan'!$H$5:$H1508,'⚙️ Pengaturan'!$I$5:$I1508),"")</f>
        <v>TIM Y</v>
      </c>
      <c r="D83" s="97" t="s">
        <v>54</v>
      </c>
      <c r="E83" s="99">
        <v>45936.0</v>
      </c>
      <c r="F83" s="100" t="str">
        <f t="shared" si="1"/>
        <v>2025</v>
      </c>
      <c r="G83" s="100" t="str">
        <f t="shared" si="2"/>
        <v>10Okt</v>
      </c>
      <c r="H83" s="100" t="str">
        <f t="shared" si="3"/>
        <v>Senin</v>
      </c>
      <c r="I83" s="97" t="s">
        <v>74</v>
      </c>
      <c r="J83" s="97" t="s">
        <v>91</v>
      </c>
      <c r="K83" s="97" t="s">
        <v>63</v>
      </c>
      <c r="L83" s="101" t="s">
        <v>110</v>
      </c>
      <c r="M83" s="102" t="str">
        <f>IFNA(VLOOKUP(L83,'🙎‍♂️ Pasien'!G:V,2,FALSE),"")</f>
        <v>E8425098000</v>
      </c>
      <c r="N83" s="103">
        <f>IFNA(VLOOKUP(L83,'🙎‍♂️ Pasien'!G:L,3,FALSE),"")</f>
        <v>41</v>
      </c>
      <c r="O83" s="104" t="str">
        <f>IFNA(VLOOKUP(L83,'🙎‍♂️ Pasien'!G:V,6,FALSE),"")</f>
        <v>PEREMPUAN</v>
      </c>
      <c r="P83" s="104" t="str">
        <f>IFNA(VLOOKUP(L83,'🙎‍♂️ Pasien'!G:V,12,FALSE),"")</f>
        <v>BUDDHA</v>
      </c>
      <c r="Q83" s="104" t="str">
        <f>IFNA(VLOOKUP(L83:L1508,'🙎‍♂️ Pasien'!G:V,13,FALSE),"")</f>
        <v>IRT</v>
      </c>
      <c r="R83" s="104" t="str">
        <f t="array" ref="R83">ifna(xlookup(L83,'🙎‍♂️ Pasien'!$G$5:$G1508,'🙎‍♂️ Pasien'!$T$5:$T1508),"")</f>
        <v>TANGAN KESEMUTAN</v>
      </c>
      <c r="S83" s="104" t="str">
        <f t="array" ref="S83">ifna(xlookup(L83,'🙎‍♂️ Pasien'!$G$5:$G1508,'🙎‍♂️ Pasien'!$U$5:$U1508),"")</f>
        <v>-</v>
      </c>
      <c r="T83" s="97" t="s">
        <v>59</v>
      </c>
      <c r="U83" s="105">
        <v>2.0</v>
      </c>
      <c r="V83" s="101"/>
      <c r="W83" s="106" t="b">
        <v>1</v>
      </c>
      <c r="X83" s="107"/>
      <c r="Y83" s="108"/>
    </row>
    <row r="84" ht="22.5" customHeight="1">
      <c r="A84" s="96"/>
      <c r="B84" s="97" t="s">
        <v>53</v>
      </c>
      <c r="C84" s="98" t="str">
        <f t="array" ref="C84">IFNA(XLOOKUP(J84,'⚙️ Pengaturan'!$H$5:$H1508,'⚙️ Pengaturan'!$I$5:$I1508),"")</f>
        <v>TIM Y</v>
      </c>
      <c r="D84" s="97" t="s">
        <v>54</v>
      </c>
      <c r="E84" s="99">
        <v>45936.0</v>
      </c>
      <c r="F84" s="100" t="str">
        <f t="shared" si="1"/>
        <v>2025</v>
      </c>
      <c r="G84" s="100" t="str">
        <f t="shared" si="2"/>
        <v>10Okt</v>
      </c>
      <c r="H84" s="100" t="str">
        <f t="shared" si="3"/>
        <v>Senin</v>
      </c>
      <c r="I84" s="97" t="s">
        <v>76</v>
      </c>
      <c r="J84" s="97" t="s">
        <v>107</v>
      </c>
      <c r="K84" s="97" t="s">
        <v>57</v>
      </c>
      <c r="L84" s="101" t="s">
        <v>171</v>
      </c>
      <c r="M84" s="102" t="str">
        <f>IFNA(VLOOKUP(L84,'🙎‍♂️ Pasien'!G:V,2,FALSE),"")</f>
        <v>D7225029198</v>
      </c>
      <c r="N84" s="103">
        <f>IFNA(VLOOKUP(L84,'🙎‍♂️ Pasien'!G:L,3,FALSE),"")</f>
        <v>54</v>
      </c>
      <c r="O84" s="104" t="str">
        <f>IFNA(VLOOKUP(L84,'🙎‍♂️ Pasien'!G:V,6,FALSE),"")</f>
        <v>PEREMPUAN</v>
      </c>
      <c r="P84" s="104" t="str">
        <f>IFNA(VLOOKUP(L84,'🙎‍♂️ Pasien'!G:V,12,FALSE),"")</f>
        <v>ISLAM</v>
      </c>
      <c r="Q84" s="104" t="str">
        <f>IFNA(VLOOKUP(L84:L1508,'🙎‍♂️ Pasien'!G:V,13,FALSE),"")</f>
        <v>RUMAH TANGGA</v>
      </c>
      <c r="R84" s="104" t="str">
        <f t="array" ref="R84">ifna(xlookup(L84,'🙎‍♂️ Pasien'!$G$5:$G1508,'🙎‍♂️ Pasien'!$T$5:$T1508),"")</f>
        <v>LUTUT SAKIT BIKIN SUSAH JALAN</v>
      </c>
      <c r="S84" s="104" t="str">
        <f t="array" ref="S84">ifna(xlookup(L84,'🙎‍♂️ Pasien'!$G$5:$G1508,'🙎‍♂️ Pasien'!$U$5:$U1508),"")</f>
        <v>SERING BERGERAK</v>
      </c>
      <c r="T84" s="97" t="s">
        <v>59</v>
      </c>
      <c r="U84" s="105" t="s">
        <v>60</v>
      </c>
      <c r="V84" s="101"/>
      <c r="W84" s="106" t="b">
        <v>1</v>
      </c>
      <c r="X84" s="107"/>
      <c r="Y84" s="108"/>
    </row>
    <row r="85" ht="22.5" customHeight="1">
      <c r="A85" s="96"/>
      <c r="B85" s="97" t="s">
        <v>53</v>
      </c>
      <c r="C85" s="98" t="str">
        <f t="array" ref="C85">IFNA(XLOOKUP(J85,'⚙️ Pengaturan'!$H$5:$H1508,'⚙️ Pengaturan'!$I$5:$I1508),"")</f>
        <v>TIM Y</v>
      </c>
      <c r="D85" s="97" t="s">
        <v>54</v>
      </c>
      <c r="E85" s="99">
        <v>45936.0</v>
      </c>
      <c r="F85" s="100" t="str">
        <f t="shared" si="1"/>
        <v>2025</v>
      </c>
      <c r="G85" s="100" t="str">
        <f t="shared" si="2"/>
        <v>10Okt</v>
      </c>
      <c r="H85" s="100" t="str">
        <f t="shared" si="3"/>
        <v>Senin</v>
      </c>
      <c r="I85" s="97" t="s">
        <v>76</v>
      </c>
      <c r="J85" s="97" t="s">
        <v>88</v>
      </c>
      <c r="K85" s="97" t="s">
        <v>63</v>
      </c>
      <c r="L85" s="101" t="s">
        <v>172</v>
      </c>
      <c r="M85" s="102" t="str">
        <f>IFNA(VLOOKUP(L85,'🙎‍♂️ Pasien'!G:V,2,FALSE),"")</f>
        <v>S9624106365</v>
      </c>
      <c r="N85" s="103">
        <f>IFNA(VLOOKUP(L85,'🙎‍♂️ Pasien'!G:L,3,FALSE),"")</f>
        <v>30</v>
      </c>
      <c r="O85" s="104" t="str">
        <f>IFNA(VLOOKUP(L85,'🙎‍♂️ Pasien'!G:V,6,FALSE),"")</f>
        <v>LAKI-LAKI</v>
      </c>
      <c r="P85" s="104" t="str">
        <f>IFNA(VLOOKUP(L85,'🙎‍♂️ Pasien'!G:V,12,FALSE),"")</f>
        <v>ISLAM</v>
      </c>
      <c r="Q85" s="104" t="str">
        <f>IFNA(VLOOKUP(L85:L1508,'🙎‍♂️ Pasien'!G:V,13,FALSE),"")</f>
        <v>BUMN</v>
      </c>
      <c r="R85" s="104" t="str">
        <f t="array" ref="R85">ifna(xlookup(L85,'🙎‍♂️ Pasien'!$G$5:$G1508,'🙎‍♂️ Pasien'!$T$5:$T1508),"")</f>
        <v>HABIS OPERASI MENISCUD</v>
      </c>
      <c r="S85" s="104" t="str">
        <f t="array" ref="S85">ifna(xlookup(L85,'🙎‍♂️ Pasien'!$G$5:$G1508,'🙎‍♂️ Pasien'!$U$5:$U1508),"")</f>
        <v>Olahraga</v>
      </c>
      <c r="T85" s="97" t="s">
        <v>59</v>
      </c>
      <c r="U85" s="105">
        <v>10.0</v>
      </c>
      <c r="V85" s="101" t="s">
        <v>125</v>
      </c>
      <c r="W85" s="106" t="b">
        <v>1</v>
      </c>
      <c r="X85" s="107"/>
      <c r="Y85" s="108"/>
    </row>
    <row r="86" ht="22.5" customHeight="1">
      <c r="A86" s="96"/>
      <c r="B86" s="97" t="s">
        <v>53</v>
      </c>
      <c r="C86" s="98" t="str">
        <f t="array" ref="C86">IFNA(XLOOKUP(J86,'⚙️ Pengaturan'!$H$5:$H1508,'⚙️ Pengaturan'!$I$5:$I1508),"")</f>
        <v>TIM Y</v>
      </c>
      <c r="D86" s="97" t="s">
        <v>54</v>
      </c>
      <c r="E86" s="99">
        <v>45936.0</v>
      </c>
      <c r="F86" s="100" t="str">
        <f t="shared" si="1"/>
        <v>2025</v>
      </c>
      <c r="G86" s="100" t="str">
        <f t="shared" si="2"/>
        <v>10Okt</v>
      </c>
      <c r="H86" s="100" t="str">
        <f t="shared" si="3"/>
        <v>Senin</v>
      </c>
      <c r="I86" s="97" t="s">
        <v>83</v>
      </c>
      <c r="J86" s="97" t="s">
        <v>91</v>
      </c>
      <c r="K86" s="97" t="s">
        <v>57</v>
      </c>
      <c r="L86" s="101" t="s">
        <v>173</v>
      </c>
      <c r="M86" s="102" t="str">
        <f>IFNA(VLOOKUP(L86,'🙎‍♂️ Pasien'!G:V,2,FALSE),"")</f>
        <v>E8025071596</v>
      </c>
      <c r="N86" s="103">
        <f>IFNA(VLOOKUP(L86,'🙎‍♂️ Pasien'!G:L,3,FALSE),"")</f>
        <v>45</v>
      </c>
      <c r="O86" s="104" t="str">
        <f>IFNA(VLOOKUP(L86,'🙎‍♂️ Pasien'!G:V,6,FALSE),"")</f>
        <v>PEREMPUAN</v>
      </c>
      <c r="P86" s="104" t="str">
        <f>IFNA(VLOOKUP(L86,'🙎‍♂️ Pasien'!G:V,12,FALSE),"")</f>
        <v>KATOLIK</v>
      </c>
      <c r="Q86" s="104" t="str">
        <f>IFNA(VLOOKUP(L86:L1508,'🙎‍♂️ Pasien'!G:V,13,FALSE),"")</f>
        <v>IBU RUMAH TANGGA</v>
      </c>
      <c r="R86" s="104" t="str">
        <f t="array" ref="R86">ifna(xlookup(L86,'🙎‍♂️ Pasien'!$G$5:$G1508,'🙎‍♂️ Pasien'!$T$5:$T1508),"")</f>
        <v>TULANG PUNGGU BAGIAN BAWAH SAKIT</v>
      </c>
      <c r="S86" s="104" t="str">
        <f t="array" ref="S86">ifna(xlookup(L86,'🙎‍♂️ Pasien'!$G$5:$G1508,'🙎‍♂️ Pasien'!$U$5:$U1508),"")</f>
        <v>YOGA</v>
      </c>
      <c r="T86" s="97" t="s">
        <v>59</v>
      </c>
      <c r="U86" s="105" t="s">
        <v>60</v>
      </c>
      <c r="V86" s="101"/>
      <c r="W86" s="106" t="b">
        <v>1</v>
      </c>
      <c r="X86" s="107"/>
      <c r="Y86" s="108"/>
    </row>
    <row r="87" ht="22.5" customHeight="1">
      <c r="A87" s="96"/>
      <c r="B87" s="97" t="s">
        <v>53</v>
      </c>
      <c r="C87" s="98" t="str">
        <f t="array" ref="C87">IFNA(XLOOKUP(J87,'⚙️ Pengaturan'!$H$5:$H1508,'⚙️ Pengaturan'!$I$5:$I1508),"")</f>
        <v>TIM Y</v>
      </c>
      <c r="D87" s="97" t="s">
        <v>54</v>
      </c>
      <c r="E87" s="99">
        <v>45936.0</v>
      </c>
      <c r="F87" s="100" t="str">
        <f t="shared" si="1"/>
        <v>2025</v>
      </c>
      <c r="G87" s="100" t="str">
        <f t="shared" si="2"/>
        <v>10Okt</v>
      </c>
      <c r="H87" s="100" t="str">
        <f t="shared" si="3"/>
        <v>Senin</v>
      </c>
      <c r="I87" s="97" t="s">
        <v>83</v>
      </c>
      <c r="J87" s="97" t="s">
        <v>88</v>
      </c>
      <c r="K87" s="97" t="s">
        <v>63</v>
      </c>
      <c r="L87" s="101" t="s">
        <v>132</v>
      </c>
      <c r="M87" s="102" t="str">
        <f>IFNA(VLOOKUP(L87,'🙎‍♂️ Pasien'!G:V,2,FALSE),"")</f>
        <v>R1225091811</v>
      </c>
      <c r="N87" s="103">
        <f>IFNA(VLOOKUP(L87,'🙎‍♂️ Pasien'!G:L,3,FALSE),"")</f>
        <v>13</v>
      </c>
      <c r="O87" s="104" t="str">
        <f>IFNA(VLOOKUP(L87,'🙎‍♂️ Pasien'!G:V,6,FALSE),"")</f>
        <v>LAKI-LAKI</v>
      </c>
      <c r="P87" s="104" t="str">
        <f>IFNA(VLOOKUP(L87,'🙎‍♂️ Pasien'!G:V,12,FALSE),"")</f>
        <v>KATOLIK</v>
      </c>
      <c r="Q87" s="104" t="str">
        <f>IFNA(VLOOKUP(L87:L1508,'🙎‍♂️ Pasien'!G:V,13,FALSE),"")</f>
        <v>SISWA</v>
      </c>
      <c r="R87" s="104" t="str">
        <f t="array" ref="R87">ifna(xlookup(L87,'🙎‍♂️ Pasien'!$G$5:$G1508,'🙎‍♂️ Pasien'!$T$5:$T1508),"")</f>
        <v>BUNGKUK</v>
      </c>
      <c r="S87" s="104" t="str">
        <f t="array" ref="S87">ifna(xlookup(L87,'🙎‍♂️ Pasien'!$G$5:$G1508,'🙎‍♂️ Pasien'!$U$5:$U1508),"")</f>
        <v>SEKOLAH</v>
      </c>
      <c r="T87" s="97" t="s">
        <v>59</v>
      </c>
      <c r="U87" s="105">
        <v>2.0</v>
      </c>
      <c r="V87" s="101"/>
      <c r="W87" s="106" t="b">
        <v>1</v>
      </c>
      <c r="X87" s="107"/>
      <c r="Y87" s="108"/>
    </row>
    <row r="88" ht="22.5" customHeight="1">
      <c r="A88" s="96"/>
      <c r="B88" s="97" t="s">
        <v>85</v>
      </c>
      <c r="C88" s="98" t="str">
        <f t="array" ref="C88">IFNA(XLOOKUP(J88,'⚙️ Pengaturan'!$H$5:$H1508,'⚙️ Pengaturan'!$I$5:$I1508),"")</f>
        <v>TIM A</v>
      </c>
      <c r="D88" s="97" t="s">
        <v>86</v>
      </c>
      <c r="E88" s="99">
        <v>45936.0</v>
      </c>
      <c r="F88" s="100" t="str">
        <f t="shared" si="1"/>
        <v>2025</v>
      </c>
      <c r="G88" s="100" t="str">
        <f t="shared" si="2"/>
        <v>10Okt</v>
      </c>
      <c r="H88" s="100" t="str">
        <f t="shared" si="3"/>
        <v>Senin</v>
      </c>
      <c r="I88" s="97" t="s">
        <v>87</v>
      </c>
      <c r="J88" s="97" t="s">
        <v>79</v>
      </c>
      <c r="K88" s="97" t="s">
        <v>63</v>
      </c>
      <c r="L88" s="101" t="s">
        <v>128</v>
      </c>
      <c r="M88" s="102" t="str">
        <f>IFNA(VLOOKUP(L88,'🙎‍♂️ Pasien'!G:V,2,FALSE),"")</f>
        <v>A9725086020</v>
      </c>
      <c r="N88" s="103">
        <f>IFNA(VLOOKUP(L88,'🙎‍♂️ Pasien'!G:L,3,FALSE),"")</f>
        <v>28</v>
      </c>
      <c r="O88" s="104" t="str">
        <f>IFNA(VLOOKUP(L88,'🙎‍♂️ Pasien'!G:V,6,FALSE),"")</f>
        <v>PEREMPUAN</v>
      </c>
      <c r="P88" s="104" t="str">
        <f>IFNA(VLOOKUP(L88,'🙎‍♂️ Pasien'!G:V,12,FALSE),"")</f>
        <v>ISLAM</v>
      </c>
      <c r="Q88" s="104" t="str">
        <f>IFNA(VLOOKUP(L88:L1508,'🙎‍♂️ Pasien'!G:V,13,FALSE),"")</f>
        <v>PNS</v>
      </c>
      <c r="R88" s="104" t="str">
        <f t="array" ref="R88">ifna(xlookup(L88,'🙎‍♂️ Pasien'!$G$5:$G1508,'🙎‍♂️ Pasien'!$T$5:$T1508),"")</f>
        <v>SAKIT BAGIAN PAHA DAN PANGGUL</v>
      </c>
      <c r="S88" s="104" t="str">
        <f t="array" ref="S88">ifna(xlookup(L88,'🙎‍♂️ Pasien'!$G$5:$G1508,'🙎‍♂️ Pasien'!$U$5:$U1508),"")</f>
        <v>VOLI DAN BEKERJA</v>
      </c>
      <c r="T88" s="97" t="s">
        <v>59</v>
      </c>
      <c r="U88" s="105">
        <v>4.0</v>
      </c>
      <c r="V88" s="101"/>
      <c r="W88" s="106" t="b">
        <v>1</v>
      </c>
      <c r="X88" s="107"/>
      <c r="Y88" s="108"/>
    </row>
    <row r="89" ht="22.5" customHeight="1">
      <c r="A89" s="96"/>
      <c r="B89" s="97" t="s">
        <v>85</v>
      </c>
      <c r="C89" s="98" t="str">
        <f t="array" ref="C89">IFNA(XLOOKUP(J89,'⚙️ Pengaturan'!$H$5:$H1508,'⚙️ Pengaturan'!$I$5:$I1508),"")</f>
        <v>TIM A</v>
      </c>
      <c r="D89" s="97" t="s">
        <v>86</v>
      </c>
      <c r="E89" s="99">
        <v>45936.0</v>
      </c>
      <c r="F89" s="100" t="str">
        <f t="shared" si="1"/>
        <v>2025</v>
      </c>
      <c r="G89" s="100" t="str">
        <f t="shared" si="2"/>
        <v>10Okt</v>
      </c>
      <c r="H89" s="100" t="str">
        <f t="shared" si="3"/>
        <v>Senin</v>
      </c>
      <c r="I89" s="97" t="s">
        <v>87</v>
      </c>
      <c r="J89" s="97" t="s">
        <v>62</v>
      </c>
      <c r="K89" s="97" t="s">
        <v>63</v>
      </c>
      <c r="L89" s="101" t="s">
        <v>174</v>
      </c>
      <c r="M89" s="102" t="str">
        <f>IFNA(VLOOKUP(L89,'🙎‍♂️ Pasien'!G:V,2,FALSE),"")</f>
        <v>F6925098775</v>
      </c>
      <c r="N89" s="103">
        <f>IFNA(VLOOKUP(L89,'🙎‍♂️ Pasien'!G:L,3,FALSE),"")</f>
        <v>56</v>
      </c>
      <c r="O89" s="104" t="str">
        <f>IFNA(VLOOKUP(L89,'🙎‍♂️ Pasien'!G:V,6,FALSE),"")</f>
        <v>PEREMPUAN</v>
      </c>
      <c r="P89" s="104" t="str">
        <f>IFNA(VLOOKUP(L89,'🙎‍♂️ Pasien'!G:V,12,FALSE),"")</f>
        <v>BUDDHA</v>
      </c>
      <c r="Q89" s="104" t="str">
        <f>IFNA(VLOOKUP(L89:L1508,'🙎‍♂️ Pasien'!G:V,13,FALSE),"")</f>
        <v>IRT</v>
      </c>
      <c r="R89" s="104" t="str">
        <f t="array" ref="R89">ifna(xlookup(L89,'🙎‍♂️ Pasien'!$G$5:$G1508,'🙎‍♂️ Pasien'!$T$5:$T1508),"")</f>
        <v>LUTUT (POST OP TKR)</v>
      </c>
      <c r="S89" s="104" t="str">
        <f t="array" ref="S89">ifna(xlookup(L89,'🙎‍♂️ Pasien'!$G$5:$G1508,'🙎‍♂️ Pasien'!$U$5:$U1508),"")</f>
        <v>PEKERJAAAN RUMAH TANGGA</v>
      </c>
      <c r="T89" s="97" t="s">
        <v>67</v>
      </c>
      <c r="U89" s="105">
        <v>5.0</v>
      </c>
      <c r="V89" s="101" t="s">
        <v>175</v>
      </c>
      <c r="W89" s="106" t="b">
        <v>1</v>
      </c>
      <c r="X89" s="107"/>
      <c r="Y89" s="108"/>
    </row>
    <row r="90" ht="22.5" customHeight="1">
      <c r="A90" s="96"/>
      <c r="B90" s="97" t="s">
        <v>85</v>
      </c>
      <c r="C90" s="98" t="str">
        <f t="array" ref="C90">IFNA(XLOOKUP(J90,'⚙️ Pengaturan'!$H$5:$H1508,'⚙️ Pengaturan'!$I$5:$I1508),"")</f>
        <v>TIM A</v>
      </c>
      <c r="D90" s="97" t="s">
        <v>86</v>
      </c>
      <c r="E90" s="99">
        <v>45936.0</v>
      </c>
      <c r="F90" s="100" t="str">
        <f t="shared" si="1"/>
        <v>2025</v>
      </c>
      <c r="G90" s="100" t="str">
        <f t="shared" si="2"/>
        <v>10Okt</v>
      </c>
      <c r="H90" s="100" t="str">
        <f t="shared" si="3"/>
        <v>Senin</v>
      </c>
      <c r="I90" s="97" t="s">
        <v>93</v>
      </c>
      <c r="J90" s="97" t="s">
        <v>72</v>
      </c>
      <c r="K90" s="97" t="s">
        <v>63</v>
      </c>
      <c r="L90" s="101" t="s">
        <v>176</v>
      </c>
      <c r="M90" s="102" t="str">
        <f>IFNA(VLOOKUP(L90,'🙎‍♂️ Pasien'!G:V,2,FALSE),"")</f>
        <v>L8925090200</v>
      </c>
      <c r="N90" s="103">
        <f>IFNA(VLOOKUP(L90,'🙎‍♂️ Pasien'!G:L,3,FALSE),"")</f>
        <v>36</v>
      </c>
      <c r="O90" s="104" t="str">
        <f>IFNA(VLOOKUP(L90,'🙎‍♂️ Pasien'!G:V,6,FALSE),"")</f>
        <v>PEREMPUAN</v>
      </c>
      <c r="P90" s="104" t="str">
        <f>IFNA(VLOOKUP(L90,'🙎‍♂️ Pasien'!G:V,12,FALSE),"")</f>
        <v>KATOLIK</v>
      </c>
      <c r="Q90" s="104" t="str">
        <f>IFNA(VLOOKUP(L90:L1508,'🙎‍♂️ Pasien'!G:V,13,FALSE),"")</f>
        <v>IBU RUMAH TANGGA</v>
      </c>
      <c r="R90" s="104" t="str">
        <f t="array" ref="R90">ifna(xlookup(L90,'🙎‍♂️ Pasien'!$G$5:$G1508,'🙎‍♂️ Pasien'!$T$5:$T1508),"")</f>
        <v>CEDERA ENGKEL KAKI KANAN</v>
      </c>
      <c r="S90" s="104" t="str">
        <f t="array" ref="S90">ifna(xlookup(L90,'🙎‍♂️ Pasien'!$G$5:$G1508,'🙎‍♂️ Pasien'!$U$5:$U1508),"")</f>
        <v>NAIK TURUN TANGGA ATAU MOBIL, PIJAK GAS MOBIL SAAT NYETIR, GERAKAN GERAKAN LIPATAN PADA BAGIAN ENGKEL KAKI</v>
      </c>
      <c r="T90" s="97" t="s">
        <v>59</v>
      </c>
      <c r="U90" s="105">
        <v>5.0</v>
      </c>
      <c r="V90" s="101"/>
      <c r="W90" s="106" t="b">
        <v>1</v>
      </c>
      <c r="X90" s="107"/>
      <c r="Y90" s="108"/>
    </row>
    <row r="91" ht="22.5" customHeight="1">
      <c r="A91" s="96"/>
      <c r="B91" s="97" t="s">
        <v>85</v>
      </c>
      <c r="C91" s="98" t="str">
        <f t="array" ref="C91">IFNA(XLOOKUP(J91,'⚙️ Pengaturan'!$H$5:$H1508,'⚙️ Pengaturan'!$I$5:$I1508),"")</f>
        <v>TIM Y</v>
      </c>
      <c r="D91" s="97" t="s">
        <v>86</v>
      </c>
      <c r="E91" s="99">
        <v>45936.0</v>
      </c>
      <c r="F91" s="100" t="str">
        <f t="shared" si="1"/>
        <v>2025</v>
      </c>
      <c r="G91" s="100" t="str">
        <f t="shared" si="2"/>
        <v>10Okt</v>
      </c>
      <c r="H91" s="100" t="str">
        <f t="shared" si="3"/>
        <v>Senin</v>
      </c>
      <c r="I91" s="97" t="s">
        <v>93</v>
      </c>
      <c r="J91" s="97" t="s">
        <v>56</v>
      </c>
      <c r="K91" s="97" t="s">
        <v>57</v>
      </c>
      <c r="L91" s="101" t="s">
        <v>177</v>
      </c>
      <c r="M91" s="102" t="str">
        <f>IFNA(VLOOKUP(L91,'🙎‍♂️ Pasien'!G:V,2,FALSE),"")</f>
        <v>M9225108407</v>
      </c>
      <c r="N91" s="103">
        <f>IFNA(VLOOKUP(L91,'🙎‍♂️ Pasien'!G:L,3,FALSE),"")</f>
        <v>34</v>
      </c>
      <c r="O91" s="104" t="str">
        <f>IFNA(VLOOKUP(L91,'🙎‍♂️ Pasien'!G:V,6,FALSE),"")</f>
        <v>PEREMPUAN</v>
      </c>
      <c r="P91" s="104" t="str">
        <f>IFNA(VLOOKUP(L91,'🙎‍♂️ Pasien'!G:V,12,FALSE),"")</f>
        <v>ISLAM</v>
      </c>
      <c r="Q91" s="104" t="str">
        <f>IFNA(VLOOKUP(L91:L1508,'🙎‍♂️ Pasien'!G:V,13,FALSE),"")</f>
        <v>IRT</v>
      </c>
      <c r="R91" s="104" t="str">
        <f t="array" ref="R91">ifna(xlookup(L91,'🙎‍♂️ Pasien'!$G$5:$G1508,'🙎‍♂️ Pasien'!$T$5:$T1508),"")</f>
        <v>TUMIT KAKI KIRI SAKIT TAK KUNJUNG HILANG</v>
      </c>
      <c r="S91" s="104" t="str">
        <f t="array" ref="S91">ifna(xlookup(L91,'🙎‍♂️ Pasien'!$G$5:$G1508,'🙎‍♂️ Pasien'!$U$5:$U1508),"")</f>
        <v>OLAHRAGA RUTIN</v>
      </c>
      <c r="T91" s="97" t="s">
        <v>59</v>
      </c>
      <c r="U91" s="105" t="s">
        <v>60</v>
      </c>
      <c r="V91" s="101"/>
      <c r="W91" s="106" t="b">
        <v>1</v>
      </c>
      <c r="X91" s="107"/>
      <c r="Y91" s="108"/>
    </row>
    <row r="92" ht="22.5" customHeight="1">
      <c r="A92" s="96"/>
      <c r="B92" s="97" t="s">
        <v>85</v>
      </c>
      <c r="C92" s="98" t="str">
        <f t="array" ref="C92">IFNA(XLOOKUP(J92,'⚙️ Pengaturan'!$H$5:$H1508,'⚙️ Pengaturan'!$I$5:$I1508),"")</f>
        <v>TIM Y</v>
      </c>
      <c r="D92" s="97" t="s">
        <v>86</v>
      </c>
      <c r="E92" s="99">
        <v>45936.0</v>
      </c>
      <c r="F92" s="100" t="str">
        <f t="shared" si="1"/>
        <v>2025</v>
      </c>
      <c r="G92" s="100" t="str">
        <f t="shared" si="2"/>
        <v>10Okt</v>
      </c>
      <c r="H92" s="100" t="str">
        <f t="shared" si="3"/>
        <v>Senin</v>
      </c>
      <c r="I92" s="97" t="s">
        <v>95</v>
      </c>
      <c r="J92" s="97" t="s">
        <v>56</v>
      </c>
      <c r="K92" s="97" t="s">
        <v>69</v>
      </c>
      <c r="L92" s="101" t="s">
        <v>178</v>
      </c>
      <c r="M92" s="102" t="str">
        <f>IFNA(VLOOKUP(L92,'🙎‍♂️ Pasien'!G:V,2,FALSE),"")</f>
        <v>N9825094835</v>
      </c>
      <c r="N92" s="103">
        <f>IFNA(VLOOKUP(L92,'🙎‍♂️ Pasien'!G:L,3,FALSE),"")</f>
        <v>27</v>
      </c>
      <c r="O92" s="104" t="str">
        <f>IFNA(VLOOKUP(L92,'🙎‍♂️ Pasien'!G:V,6,FALSE),"")</f>
        <v>LAKI-LAKI</v>
      </c>
      <c r="P92" s="104" t="str">
        <f>IFNA(VLOOKUP(L92,'🙎‍♂️ Pasien'!G:V,12,FALSE),"")</f>
        <v>ISLAM</v>
      </c>
      <c r="Q92" s="104" t="str">
        <f>IFNA(VLOOKUP(L92:L1508,'🙎‍♂️ Pasien'!G:V,13,FALSE),"")</f>
        <v>PEGAWAI</v>
      </c>
      <c r="R92" s="104" t="str">
        <f t="array" ref="R92">ifna(xlookup(L92,'🙎‍♂️ Pasien'!$G$5:$G1508,'🙎‍♂️ Pasien'!$T$5:$T1508),"")</f>
        <v>NYERI DI TUMIT</v>
      </c>
      <c r="S92" s="104" t="str">
        <f t="array" ref="S92">ifna(xlookup(L92,'🙎‍♂️ Pasien'!$G$5:$G1508,'🙎‍♂️ Pasien'!$U$5:$U1508),"")</f>
        <v>SEPAK BOLA</v>
      </c>
      <c r="T92" s="97" t="s">
        <v>59</v>
      </c>
      <c r="U92" s="105" t="s">
        <v>60</v>
      </c>
      <c r="V92" s="101"/>
      <c r="W92" s="106" t="b">
        <v>1</v>
      </c>
      <c r="X92" s="107"/>
      <c r="Y92" s="108"/>
    </row>
    <row r="93" ht="22.5" customHeight="1">
      <c r="A93" s="96"/>
      <c r="B93" s="97" t="s">
        <v>85</v>
      </c>
      <c r="C93" s="98" t="str">
        <f t="array" ref="C93">IFNA(XLOOKUP(J93,'⚙️ Pengaturan'!$H$5:$H1508,'⚙️ Pengaturan'!$I$5:$I1508),"")</f>
        <v>TIM A</v>
      </c>
      <c r="D93" s="97" t="s">
        <v>86</v>
      </c>
      <c r="E93" s="99">
        <v>45936.0</v>
      </c>
      <c r="F93" s="100" t="str">
        <f t="shared" si="1"/>
        <v>2025</v>
      </c>
      <c r="G93" s="100" t="str">
        <f t="shared" si="2"/>
        <v>10Okt</v>
      </c>
      <c r="H93" s="100" t="str">
        <f t="shared" si="3"/>
        <v>Senin</v>
      </c>
      <c r="I93" s="97" t="s">
        <v>97</v>
      </c>
      <c r="J93" s="97" t="s">
        <v>72</v>
      </c>
      <c r="K93" s="97" t="s">
        <v>69</v>
      </c>
      <c r="L93" s="101" t="s">
        <v>159</v>
      </c>
      <c r="M93" s="102" t="str">
        <f>IFNA(VLOOKUP(L93,'🙎‍♂️ Pasien'!G:V,2,FALSE),"")</f>
        <v>A0925107929</v>
      </c>
      <c r="N93" s="103">
        <f>IFNA(VLOOKUP(L93,'🙎‍♂️ Pasien'!G:L,3,FALSE),"")</f>
        <v>16</v>
      </c>
      <c r="O93" s="104" t="str">
        <f>IFNA(VLOOKUP(L93,'🙎‍♂️ Pasien'!G:V,6,FALSE),"")</f>
        <v>PEREMPUAN</v>
      </c>
      <c r="P93" s="104" t="str">
        <f>IFNA(VLOOKUP(L93,'🙎‍♂️ Pasien'!G:V,12,FALSE),"")</f>
        <v>ISLAM</v>
      </c>
      <c r="Q93" s="104" t="str">
        <f>IFNA(VLOOKUP(L93:L1508,'🙎‍♂️ Pasien'!G:V,13,FALSE),"")</f>
        <v>PELAJAR</v>
      </c>
      <c r="R93" s="104" t="str">
        <f t="array" ref="R93">ifna(xlookup(L93,'🙎‍♂️ Pasien'!$G$5:$G1508,'🙎‍♂️ Pasien'!$T$5:$T1508),"")</f>
        <v>SAYA MERASA KAKI SAYA PANJANG SEBELAH, KALO BERDIRI LAMA ITU KAKI SAKIT SEBELAH</v>
      </c>
      <c r="S93" s="104" t="str">
        <f t="array" ref="S93">ifna(xlookup(L93,'🙎‍♂️ Pasien'!$G$5:$G1508,'🙎‍♂️ Pasien'!$U$5:$U1508),"")</f>
        <v>SAYA RASA TIDAK ADA</v>
      </c>
      <c r="T93" s="97" t="s">
        <v>59</v>
      </c>
      <c r="U93" s="105" t="s">
        <v>60</v>
      </c>
      <c r="V93" s="101"/>
      <c r="W93" s="106" t="b">
        <v>1</v>
      </c>
      <c r="X93" s="107"/>
      <c r="Y93" s="108"/>
    </row>
    <row r="94" ht="22.5" customHeight="1">
      <c r="A94" s="96"/>
      <c r="B94" s="97" t="s">
        <v>85</v>
      </c>
      <c r="C94" s="98" t="str">
        <f t="array" ref="C94">IFNA(XLOOKUP(J94,'⚙️ Pengaturan'!$H$5:$H1508,'⚙️ Pengaturan'!$I$5:$I1508),"")</f>
        <v>TIM A</v>
      </c>
      <c r="D94" s="97" t="s">
        <v>86</v>
      </c>
      <c r="E94" s="99">
        <v>45936.0</v>
      </c>
      <c r="F94" s="100" t="str">
        <f t="shared" si="1"/>
        <v>2025</v>
      </c>
      <c r="G94" s="100" t="str">
        <f t="shared" si="2"/>
        <v>10Okt</v>
      </c>
      <c r="H94" s="100" t="str">
        <f t="shared" si="3"/>
        <v>Senin</v>
      </c>
      <c r="I94" s="97" t="s">
        <v>97</v>
      </c>
      <c r="J94" s="97" t="s">
        <v>62</v>
      </c>
      <c r="K94" s="97" t="s">
        <v>57</v>
      </c>
      <c r="L94" s="101" t="s">
        <v>179</v>
      </c>
      <c r="M94" s="102" t="str">
        <f>IFNA(VLOOKUP(L94,'🙎‍♂️ Pasien'!G:V,2,FALSE),"")</f>
        <v>C9725104448</v>
      </c>
      <c r="N94" s="103">
        <f>IFNA(VLOOKUP(L94,'🙎‍♂️ Pasien'!G:L,3,FALSE),"")</f>
        <v>29</v>
      </c>
      <c r="O94" s="104" t="str">
        <f>IFNA(VLOOKUP(L94,'🙎‍♂️ Pasien'!G:V,6,FALSE),"")</f>
        <v>PEREMPUAN</v>
      </c>
      <c r="P94" s="104" t="str">
        <f>IFNA(VLOOKUP(L94,'🙎‍♂️ Pasien'!G:V,12,FALSE),"")</f>
        <v>KATOLIK</v>
      </c>
      <c r="Q94" s="104" t="str">
        <f>IFNA(VLOOKUP(L94:L1508,'🙎‍♂️ Pasien'!G:V,13,FALSE),"")</f>
        <v>IBU RUMAH TANGGA</v>
      </c>
      <c r="R94" s="104" t="str">
        <f t="array" ref="R94">ifna(xlookup(L94,'🙎‍♂️ Pasien'!$G$5:$G1508,'🙎‍♂️ Pasien'!$T$5:$T1508),"")</f>
        <v>SAKIT DIDAERAH BOKONG KARNA JATUH</v>
      </c>
      <c r="S94" s="104" t="str">
        <f t="array" ref="S94">ifna(xlookup(L94,'🙎‍♂️ Pasien'!$G$5:$G1508,'🙎‍♂️ Pasien'!$U$5:$U1508),"")</f>
        <v>SENAM AEROBIK</v>
      </c>
      <c r="T94" s="97" t="s">
        <v>59</v>
      </c>
      <c r="U94" s="105" t="s">
        <v>60</v>
      </c>
      <c r="V94" s="101"/>
      <c r="W94" s="106" t="b">
        <v>1</v>
      </c>
      <c r="X94" s="107"/>
      <c r="Y94" s="108"/>
    </row>
    <row r="95" ht="22.5" customHeight="1">
      <c r="A95" s="96"/>
      <c r="B95" s="97" t="s">
        <v>85</v>
      </c>
      <c r="C95" s="98" t="str">
        <f t="array" ref="C95">IFNA(XLOOKUP(J95,'⚙️ Pengaturan'!$H$5:$H1508,'⚙️ Pengaturan'!$I$5:$I1508),"")</f>
        <v>TIM A</v>
      </c>
      <c r="D95" s="97" t="s">
        <v>86</v>
      </c>
      <c r="E95" s="99">
        <v>45936.0</v>
      </c>
      <c r="F95" s="100" t="str">
        <f t="shared" si="1"/>
        <v>2025</v>
      </c>
      <c r="G95" s="100" t="str">
        <f t="shared" si="2"/>
        <v>10Okt</v>
      </c>
      <c r="H95" s="100" t="str">
        <f t="shared" si="3"/>
        <v>Senin</v>
      </c>
      <c r="I95" s="97" t="s">
        <v>97</v>
      </c>
      <c r="J95" s="97" t="s">
        <v>72</v>
      </c>
      <c r="K95" s="97" t="s">
        <v>63</v>
      </c>
      <c r="L95" s="101" t="s">
        <v>129</v>
      </c>
      <c r="M95" s="102" t="str">
        <f>IFNA(VLOOKUP(L95,'🙎‍♂️ Pasien'!G:V,2,FALSE),"")</f>
        <v>D1025091558</v>
      </c>
      <c r="N95" s="103">
        <f>IFNA(VLOOKUP(L95,'🙎‍♂️ Pasien'!G:L,3,FALSE),"")</f>
        <v>16</v>
      </c>
      <c r="O95" s="104" t="str">
        <f>IFNA(VLOOKUP(L95,'🙎‍♂️ Pasien'!G:V,6,FALSE),"")</f>
        <v>LAKI-LAKI</v>
      </c>
      <c r="P95" s="104" t="str">
        <f>IFNA(VLOOKUP(L95,'🙎‍♂️ Pasien'!G:V,12,FALSE),"")</f>
        <v>PROTESTAN</v>
      </c>
      <c r="Q95" s="104" t="str">
        <f>IFNA(VLOOKUP(L95:L1508,'🙎‍♂️ Pasien'!G:V,13,FALSE),"")</f>
        <v>MASI SEKOLAH</v>
      </c>
      <c r="R95" s="104" t="str">
        <f t="array" ref="R95">ifna(xlookup(L95,'🙎‍♂️ Pasien'!$G$5:$G1508,'🙎‍♂️ Pasien'!$T$5:$T1508),"")</f>
        <v>SAKIT DI BAGIAN LUTUT</v>
      </c>
      <c r="S95" s="104" t="str">
        <f t="array" ref="S95">ifna(xlookup(L95,'🙎‍♂️ Pasien'!$G$5:$G1508,'🙎‍♂️ Pasien'!$U$5:$U1508),"")</f>
        <v>BASKET</v>
      </c>
      <c r="T95" s="97" t="s">
        <v>67</v>
      </c>
      <c r="U95" s="105">
        <v>4.0</v>
      </c>
      <c r="V95" s="101" t="s">
        <v>180</v>
      </c>
      <c r="W95" s="106" t="b">
        <v>1</v>
      </c>
      <c r="X95" s="107"/>
      <c r="Y95" s="108"/>
    </row>
    <row r="96" ht="22.5" customHeight="1">
      <c r="A96" s="96"/>
      <c r="B96" s="97" t="s">
        <v>85</v>
      </c>
      <c r="C96" s="98" t="str">
        <f t="array" ref="C96">IFNA(XLOOKUP(J96,'⚙️ Pengaturan'!$H$5:$H1508,'⚙️ Pengaturan'!$I$5:$I1508),"")</f>
        <v>TIM Y</v>
      </c>
      <c r="D96" s="97" t="s">
        <v>86</v>
      </c>
      <c r="E96" s="99">
        <v>45936.0</v>
      </c>
      <c r="F96" s="100" t="str">
        <f t="shared" si="1"/>
        <v>2025</v>
      </c>
      <c r="G96" s="100" t="str">
        <f t="shared" si="2"/>
        <v>10Okt</v>
      </c>
      <c r="H96" s="100" t="str">
        <f t="shared" si="3"/>
        <v>Senin</v>
      </c>
      <c r="I96" s="97" t="s">
        <v>97</v>
      </c>
      <c r="J96" s="97" t="s">
        <v>56</v>
      </c>
      <c r="K96" s="97" t="s">
        <v>63</v>
      </c>
      <c r="L96" s="101" t="s">
        <v>181</v>
      </c>
      <c r="M96" s="102" t="str">
        <f>IFNA(VLOOKUP(L96,'🙎‍♂️ Pasien'!G:V,2,FALSE),"")</f>
        <v>D0525097586</v>
      </c>
      <c r="N96" s="103">
        <f>IFNA(VLOOKUP(L96,'🙎‍♂️ Pasien'!G:L,3,FALSE),"")</f>
        <v>21</v>
      </c>
      <c r="O96" s="104" t="str">
        <f>IFNA(VLOOKUP(L96,'🙎‍♂️ Pasien'!G:V,6,FALSE),"")</f>
        <v>LAKI-LAKI</v>
      </c>
      <c r="P96" s="104" t="str">
        <f>IFNA(VLOOKUP(L96,'🙎‍♂️ Pasien'!G:V,12,FALSE),"")</f>
        <v>ISLAM</v>
      </c>
      <c r="Q96" s="104" t="str">
        <f>IFNA(VLOOKUP(L96:L1508,'🙎‍♂️ Pasien'!G:V,13,FALSE),"")</f>
        <v>JAGA STAND</v>
      </c>
      <c r="R96" s="104" t="str">
        <f t="array" ref="R96">ifna(xlookup(L96,'🙎‍♂️ Pasien'!$G$5:$G1508,'🙎‍♂️ Pasien'!$T$5:$T1508),"")</f>
        <v>TERTURUN/TURUN BEROK</v>
      </c>
      <c r="S96" s="104" t="str">
        <f t="array" ref="S96">ifna(xlookup(L96,'🙎‍♂️ Pasien'!$G$5:$G1508,'🙎‍♂️ Pasien'!$U$5:$U1508),"")</f>
        <v>SAAT MAIN BOLA</v>
      </c>
      <c r="T96" s="97" t="s">
        <v>59</v>
      </c>
      <c r="U96" s="105">
        <v>2.0</v>
      </c>
      <c r="V96" s="101"/>
      <c r="W96" s="106" t="b">
        <v>1</v>
      </c>
      <c r="X96" s="107"/>
      <c r="Y96" s="108"/>
    </row>
    <row r="97" ht="22.5" customHeight="1">
      <c r="A97" s="96"/>
      <c r="B97" s="97" t="s">
        <v>85</v>
      </c>
      <c r="C97" s="98" t="str">
        <f t="array" ref="C97">IFNA(XLOOKUP(J97,'⚙️ Pengaturan'!$H$5:$H1508,'⚙️ Pengaturan'!$I$5:$I1508),"")</f>
        <v>TIM A</v>
      </c>
      <c r="D97" s="97" t="s">
        <v>86</v>
      </c>
      <c r="E97" s="99">
        <v>45936.0</v>
      </c>
      <c r="F97" s="100" t="str">
        <f t="shared" si="1"/>
        <v>2025</v>
      </c>
      <c r="G97" s="100" t="str">
        <f t="shared" si="2"/>
        <v>10Okt</v>
      </c>
      <c r="H97" s="100" t="str">
        <f t="shared" si="3"/>
        <v>Senin</v>
      </c>
      <c r="I97" s="97" t="s">
        <v>99</v>
      </c>
      <c r="J97" s="97" t="s">
        <v>79</v>
      </c>
      <c r="K97" s="97" t="s">
        <v>69</v>
      </c>
      <c r="L97" s="101" t="s">
        <v>182</v>
      </c>
      <c r="M97" s="102" t="str">
        <f>IFNA(VLOOKUP(L97,'🙎‍♂️ Pasien'!G:V,2,FALSE),"")</f>
        <v>J8823019998</v>
      </c>
      <c r="N97" s="103">
        <f>IFNA(VLOOKUP(L97,'🙎‍♂️ Pasien'!G:L,3,FALSE),"")</f>
        <v>38</v>
      </c>
      <c r="O97" s="104" t="str">
        <f>IFNA(VLOOKUP(L97,'🙎‍♂️ Pasien'!G:V,6,FALSE),"")</f>
        <v>LAKI-LAKI</v>
      </c>
      <c r="P97" s="104" t="str">
        <f>IFNA(VLOOKUP(L97,'🙎‍♂️ Pasien'!G:V,12,FALSE),"")</f>
        <v>BUDDHA</v>
      </c>
      <c r="Q97" s="104" t="str">
        <f>IFNA(VLOOKUP(L97:L1508,'🙎‍♂️ Pasien'!G:V,13,FALSE),"")</f>
        <v>WIRASWASTA</v>
      </c>
      <c r="R97" s="104" t="str">
        <f t="array" ref="R97">ifna(xlookup(L97,'🙎‍♂️ Pasien'!$G$5:$G1508,'🙎‍♂️ Pasien'!$T$5:$T1508),"")</f>
        <v>STROKE</v>
      </c>
      <c r="S97" s="104" t="str">
        <f t="array" ref="S97">ifna(xlookup(L97,'🙎‍♂️ Pasien'!$G$5:$G1508,'🙎‍♂️ Pasien'!$U$5:$U1508),"")</f>
        <v>-</v>
      </c>
      <c r="T97" s="97" t="s">
        <v>67</v>
      </c>
      <c r="U97" s="105" t="s">
        <v>60</v>
      </c>
      <c r="V97" s="101" t="s">
        <v>183</v>
      </c>
      <c r="W97" s="106" t="b">
        <v>1</v>
      </c>
      <c r="X97" s="107"/>
      <c r="Y97" s="108"/>
    </row>
    <row r="98" ht="22.5" customHeight="1">
      <c r="A98" s="96"/>
      <c r="B98" s="97" t="s">
        <v>85</v>
      </c>
      <c r="C98" s="98" t="str">
        <f t="array" ref="C98">IFNA(XLOOKUP(J98,'⚙️ Pengaturan'!$H$5:$H1508,'⚙️ Pengaturan'!$I$5:$I1508),"")</f>
        <v>TIM A</v>
      </c>
      <c r="D98" s="97" t="s">
        <v>86</v>
      </c>
      <c r="E98" s="99">
        <v>45936.0</v>
      </c>
      <c r="F98" s="100" t="str">
        <f t="shared" si="1"/>
        <v>2025</v>
      </c>
      <c r="G98" s="100" t="str">
        <f t="shared" si="2"/>
        <v>10Okt</v>
      </c>
      <c r="H98" s="100" t="str">
        <f t="shared" si="3"/>
        <v>Senin</v>
      </c>
      <c r="I98" s="97" t="s">
        <v>99</v>
      </c>
      <c r="J98" s="97" t="s">
        <v>62</v>
      </c>
      <c r="K98" s="97" t="s">
        <v>63</v>
      </c>
      <c r="L98" s="101" t="s">
        <v>184</v>
      </c>
      <c r="M98" s="102" t="str">
        <f>IFNA(VLOOKUP(L98,'🙎‍♂️ Pasien'!G:V,2,FALSE),"")</f>
        <v>N5825097333</v>
      </c>
      <c r="N98" s="103">
        <f>IFNA(VLOOKUP(L98,'🙎‍♂️ Pasien'!G:L,3,FALSE),"")</f>
        <v>67</v>
      </c>
      <c r="O98" s="104" t="str">
        <f>IFNA(VLOOKUP(L98,'🙎‍♂️ Pasien'!G:V,6,FALSE),"")</f>
        <v>PEREMPUAN</v>
      </c>
      <c r="P98" s="104" t="str">
        <f>IFNA(VLOOKUP(L98,'🙎‍♂️ Pasien'!G:V,12,FALSE),"")</f>
        <v>BUDDHA</v>
      </c>
      <c r="Q98" s="104" t="str">
        <f>IFNA(VLOOKUP(L98:L1508,'🙎‍♂️ Pasien'!G:V,13,FALSE),"")</f>
        <v>IBU RUMAH TANGGA</v>
      </c>
      <c r="R98" s="104" t="str">
        <f t="array" ref="R98">ifna(xlookup(L98,'🙎‍♂️ Pasien'!$G$5:$G1508,'🙎‍♂️ Pasien'!$T$5:$T1508),"")</f>
        <v>SAKIT BAGIAN PUNGGUNG</v>
      </c>
      <c r="S98" s="104" t="str">
        <f t="array" ref="S98">ifna(xlookup(L98,'🙎‍♂️ Pasien'!$G$5:$G1508,'🙎‍♂️ Pasien'!$U$5:$U1508),"")</f>
        <v>JALAN KAKI</v>
      </c>
      <c r="T98" s="97" t="s">
        <v>67</v>
      </c>
      <c r="U98" s="105">
        <v>5.0</v>
      </c>
      <c r="V98" s="101" t="s">
        <v>185</v>
      </c>
      <c r="W98" s="106" t="b">
        <v>1</v>
      </c>
      <c r="X98" s="107"/>
      <c r="Y98" s="108"/>
    </row>
    <row r="99" ht="22.5" customHeight="1">
      <c r="A99" s="96"/>
      <c r="B99" s="97" t="s">
        <v>53</v>
      </c>
      <c r="C99" s="98" t="str">
        <f t="array" ref="C99">IFNA(XLOOKUP(J99,'⚙️ Pengaturan'!$H$5:$H1508,'⚙️ Pengaturan'!$I$5:$I1508),"")</f>
        <v>TIM A</v>
      </c>
      <c r="D99" s="97" t="s">
        <v>86</v>
      </c>
      <c r="E99" s="99">
        <v>45937.0</v>
      </c>
      <c r="F99" s="100" t="str">
        <f t="shared" si="1"/>
        <v>2025</v>
      </c>
      <c r="G99" s="100" t="str">
        <f t="shared" si="2"/>
        <v>10Okt</v>
      </c>
      <c r="H99" s="100" t="str">
        <f t="shared" si="3"/>
        <v>Selasa</v>
      </c>
      <c r="I99" s="97" t="s">
        <v>55</v>
      </c>
      <c r="J99" s="97" t="s">
        <v>72</v>
      </c>
      <c r="K99" s="97" t="s">
        <v>63</v>
      </c>
      <c r="L99" s="101" t="s">
        <v>170</v>
      </c>
      <c r="M99" s="102" t="str">
        <f>IFNA(VLOOKUP(L99,'🙎‍♂️ Pasien'!G:V,2,FALSE),"")</f>
        <v>B8025102980</v>
      </c>
      <c r="N99" s="103">
        <f>IFNA(VLOOKUP(L99,'🙎‍♂️ Pasien'!G:L,3,FALSE),"")</f>
        <v>45</v>
      </c>
      <c r="O99" s="104" t="str">
        <f>IFNA(VLOOKUP(L99,'🙎‍♂️ Pasien'!G:V,6,FALSE),"")</f>
        <v>PEREMPUAN</v>
      </c>
      <c r="P99" s="104" t="str">
        <f>IFNA(VLOOKUP(L99,'🙎‍♂️ Pasien'!G:V,12,FALSE),"")</f>
        <v>ISLAM</v>
      </c>
      <c r="Q99" s="104" t="str">
        <f>IFNA(VLOOKUP(L99:L1508,'🙎‍♂️ Pasien'!G:V,13,FALSE),"")</f>
        <v>IRT</v>
      </c>
      <c r="R99" s="104" t="str">
        <f t="array" ref="R99">ifna(xlookup(L99,'🙎‍♂️ Pasien'!$G$5:$G1508,'🙎‍♂️ Pasien'!$T$5:$T1508),"")</f>
        <v>TULANG EKOR AGAK SAKIT, TEMPURUNG SUKA SAKIT DAN BETIS SAKI</v>
      </c>
      <c r="S99" s="104" t="str">
        <f t="array" ref="S99">ifna(xlookup(L99,'🙎‍♂️ Pasien'!$G$5:$G1508,'🙎‍♂️ Pasien'!$U$5:$U1508),"")</f>
        <v>-</v>
      </c>
      <c r="T99" s="97" t="s">
        <v>59</v>
      </c>
      <c r="U99" s="105">
        <v>1.0</v>
      </c>
      <c r="V99" s="101"/>
      <c r="W99" s="106" t="b">
        <v>1</v>
      </c>
      <c r="X99" s="107"/>
      <c r="Y99" s="108"/>
    </row>
    <row r="100" ht="22.5" customHeight="1">
      <c r="A100" s="96"/>
      <c r="B100" s="97" t="s">
        <v>53</v>
      </c>
      <c r="C100" s="98" t="str">
        <f t="array" ref="C100">IFNA(XLOOKUP(J100,'⚙️ Pengaturan'!$H$5:$H1508,'⚙️ Pengaturan'!$I$5:$I1508),"")</f>
        <v>TIM A</v>
      </c>
      <c r="D100" s="97" t="s">
        <v>86</v>
      </c>
      <c r="E100" s="99">
        <v>45937.0</v>
      </c>
      <c r="F100" s="100" t="str">
        <f t="shared" si="1"/>
        <v>2025</v>
      </c>
      <c r="G100" s="100" t="str">
        <f t="shared" si="2"/>
        <v>10Okt</v>
      </c>
      <c r="H100" s="100" t="str">
        <f t="shared" si="3"/>
        <v>Selasa</v>
      </c>
      <c r="I100" s="97" t="s">
        <v>65</v>
      </c>
      <c r="J100" s="97" t="s">
        <v>72</v>
      </c>
      <c r="K100" s="97" t="s">
        <v>63</v>
      </c>
      <c r="L100" s="101" t="s">
        <v>170</v>
      </c>
      <c r="M100" s="102" t="str">
        <f>IFNA(VLOOKUP(L100,'🙎‍♂️ Pasien'!G:V,2,FALSE),"")</f>
        <v>B8025102980</v>
      </c>
      <c r="N100" s="103">
        <f>IFNA(VLOOKUP(L100,'🙎‍♂️ Pasien'!G:L,3,FALSE),"")</f>
        <v>45</v>
      </c>
      <c r="O100" s="104" t="str">
        <f>IFNA(VLOOKUP(L100,'🙎‍♂️ Pasien'!G:V,6,FALSE),"")</f>
        <v>PEREMPUAN</v>
      </c>
      <c r="P100" s="104" t="str">
        <f>IFNA(VLOOKUP(L100,'🙎‍♂️ Pasien'!G:V,12,FALSE),"")</f>
        <v>ISLAM</v>
      </c>
      <c r="Q100" s="104" t="str">
        <f>IFNA(VLOOKUP(L100:L1508,'🙎‍♂️ Pasien'!G:V,13,FALSE),"")</f>
        <v>IRT</v>
      </c>
      <c r="R100" s="104" t="str">
        <f t="array" ref="R100">ifna(xlookup(L100,'🙎‍♂️ Pasien'!$G$5:$G1508,'🙎‍♂️ Pasien'!$T$5:$T1508),"")</f>
        <v>TULANG EKOR AGAK SAKIT, TEMPURUNG SUKA SAKIT DAN BETIS SAKI</v>
      </c>
      <c r="S100" s="104" t="str">
        <f t="array" ref="S100">ifna(xlookup(L100,'🙎‍♂️ Pasien'!$G$5:$G1508,'🙎‍♂️ Pasien'!$U$5:$U1508),"")</f>
        <v>-</v>
      </c>
      <c r="T100" s="97" t="s">
        <v>59</v>
      </c>
      <c r="U100" s="105">
        <v>2.0</v>
      </c>
      <c r="V100" s="101"/>
      <c r="W100" s="106" t="b">
        <v>1</v>
      </c>
      <c r="X100" s="107"/>
      <c r="Y100" s="108"/>
    </row>
    <row r="101" ht="22.5" customHeight="1">
      <c r="A101" s="96"/>
      <c r="B101" s="97" t="s">
        <v>53</v>
      </c>
      <c r="C101" s="98" t="str">
        <f t="array" ref="C101">IFNA(XLOOKUP(J101,'⚙️ Pengaturan'!$H$5:$H1508,'⚙️ Pengaturan'!$I$5:$I1508),"")</f>
        <v>TIM A</v>
      </c>
      <c r="D101" s="97" t="s">
        <v>86</v>
      </c>
      <c r="E101" s="99">
        <v>45937.0</v>
      </c>
      <c r="F101" s="100" t="str">
        <f t="shared" si="1"/>
        <v>2025</v>
      </c>
      <c r="G101" s="100" t="str">
        <f t="shared" si="2"/>
        <v>10Okt</v>
      </c>
      <c r="H101" s="100" t="str">
        <f t="shared" si="3"/>
        <v>Selasa</v>
      </c>
      <c r="I101" s="97" t="s">
        <v>65</v>
      </c>
      <c r="J101" s="97" t="s">
        <v>62</v>
      </c>
      <c r="K101" s="97" t="s">
        <v>63</v>
      </c>
      <c r="L101" s="101" t="s">
        <v>149</v>
      </c>
      <c r="M101" s="102" t="str">
        <f>IFNA(VLOOKUP(L101,'🙎‍♂️ Pasien'!G:V,2,FALSE),"")</f>
        <v>S9825058991</v>
      </c>
      <c r="N101" s="103">
        <f>IFNA(VLOOKUP(L101,'🙎‍♂️ Pasien'!G:L,3,FALSE),"")</f>
        <v>27</v>
      </c>
      <c r="O101" s="104" t="str">
        <f>IFNA(VLOOKUP(L101,'🙎‍♂️ Pasien'!G:V,6,FALSE),"")</f>
        <v>PEREMPUAN</v>
      </c>
      <c r="P101" s="104" t="str">
        <f>IFNA(VLOOKUP(L101,'🙎‍♂️ Pasien'!G:V,12,FALSE),"")</f>
        <v>ISLAM</v>
      </c>
      <c r="Q101" s="104" t="str">
        <f>IFNA(VLOOKUP(L101:L1508,'🙎‍♂️ Pasien'!G:V,13,FALSE),"")</f>
        <v>SWASTA</v>
      </c>
      <c r="R101" s="104" t="str">
        <f t="array" ref="R101">ifna(xlookup(L101,'🙎‍♂️ Pasien'!$G$5:$G1508,'🙎‍♂️ Pasien'!$T$5:$T1508),"")</f>
        <v>HNP LUMBAL/SARAF KEJEPIT</v>
      </c>
      <c r="S101" s="104" t="str">
        <f t="array" ref="S101">ifna(xlookup(L101,'🙎‍♂️ Pasien'!$G$5:$G1508,'🙎‍♂️ Pasien'!$U$5:$U1508),"")</f>
        <v>BEKERJA KANTORAN</v>
      </c>
      <c r="T101" s="97" t="s">
        <v>67</v>
      </c>
      <c r="U101" s="105">
        <v>1.0</v>
      </c>
      <c r="V101" s="101" t="s">
        <v>186</v>
      </c>
      <c r="W101" s="106" t="b">
        <v>1</v>
      </c>
      <c r="X101" s="107"/>
      <c r="Y101" s="108"/>
    </row>
    <row r="102" ht="22.5" customHeight="1">
      <c r="A102" s="96"/>
      <c r="B102" s="97" t="s">
        <v>53</v>
      </c>
      <c r="C102" s="98" t="str">
        <f t="array" ref="C102">IFNA(XLOOKUP(J102,'⚙️ Pengaturan'!$H$5:$H1508,'⚙️ Pengaturan'!$I$5:$I1508),"")</f>
        <v>TIM A</v>
      </c>
      <c r="D102" s="97" t="s">
        <v>86</v>
      </c>
      <c r="E102" s="99">
        <v>45937.0</v>
      </c>
      <c r="F102" s="100" t="str">
        <f t="shared" si="1"/>
        <v>2025</v>
      </c>
      <c r="G102" s="100" t="str">
        <f t="shared" si="2"/>
        <v>10Okt</v>
      </c>
      <c r="H102" s="100" t="str">
        <f t="shared" si="3"/>
        <v>Selasa</v>
      </c>
      <c r="I102" s="97" t="s">
        <v>74</v>
      </c>
      <c r="J102" s="97" t="s">
        <v>72</v>
      </c>
      <c r="K102" s="97" t="s">
        <v>63</v>
      </c>
      <c r="L102" s="101" t="s">
        <v>108</v>
      </c>
      <c r="M102" s="102" t="str">
        <f>IFNA(VLOOKUP(L102,'🙎‍♂️ Pasien'!G:V,2,FALSE),"")</f>
        <v>A5625092572</v>
      </c>
      <c r="N102" s="103">
        <f>IFNA(VLOOKUP(L102,'🙎‍♂️ Pasien'!G:L,3,FALSE),"")</f>
        <v>69</v>
      </c>
      <c r="O102" s="104" t="str">
        <f>IFNA(VLOOKUP(L102,'🙎‍♂️ Pasien'!G:V,6,FALSE),"")</f>
        <v>PEREMPUAN</v>
      </c>
      <c r="P102" s="104" t="str">
        <f>IFNA(VLOOKUP(L102,'🙎‍♂️ Pasien'!G:V,12,FALSE),"")</f>
        <v>ISLAM</v>
      </c>
      <c r="Q102" s="104" t="str">
        <f>IFNA(VLOOKUP(L102:L1508,'🙎‍♂️ Pasien'!G:V,13,FALSE),"")</f>
        <v>IRT</v>
      </c>
      <c r="R102" s="104" t="str">
        <f t="array" ref="R102">ifna(xlookup(L102,'🙎‍♂️ Pasien'!$G$5:$G1508,'🙎‍♂️ Pasien'!$T$5:$T1508),"")</f>
        <v>PINGGANG DAN KAKI</v>
      </c>
      <c r="S102" s="104" t="str">
        <f t="array" ref="S102">ifna(xlookup(L102,'🙎‍♂️ Pasien'!$G$5:$G1508,'🙎‍♂️ Pasien'!$U$5:$U1508),"")</f>
        <v>-</v>
      </c>
      <c r="T102" s="97" t="s">
        <v>59</v>
      </c>
      <c r="U102" s="105">
        <v>5.0</v>
      </c>
      <c r="V102" s="101" t="s">
        <v>125</v>
      </c>
      <c r="W102" s="106" t="b">
        <v>1</v>
      </c>
      <c r="X102" s="107"/>
      <c r="Y102" s="108"/>
    </row>
    <row r="103" ht="22.5" customHeight="1">
      <c r="A103" s="96"/>
      <c r="B103" s="97" t="s">
        <v>53</v>
      </c>
      <c r="C103" s="98" t="str">
        <f t="array" ref="C103">IFNA(XLOOKUP(J103,'⚙️ Pengaturan'!$H$5:$H1508,'⚙️ Pengaturan'!$I$5:$I1508),"")</f>
        <v>TIM Y</v>
      </c>
      <c r="D103" s="97" t="s">
        <v>86</v>
      </c>
      <c r="E103" s="99">
        <v>45937.0</v>
      </c>
      <c r="F103" s="100" t="str">
        <f t="shared" si="1"/>
        <v>2025</v>
      </c>
      <c r="G103" s="100" t="str">
        <f t="shared" si="2"/>
        <v>10Okt</v>
      </c>
      <c r="H103" s="100" t="str">
        <f t="shared" si="3"/>
        <v>Selasa</v>
      </c>
      <c r="I103" s="97" t="s">
        <v>74</v>
      </c>
      <c r="J103" s="97" t="s">
        <v>56</v>
      </c>
      <c r="K103" s="97" t="s">
        <v>57</v>
      </c>
      <c r="L103" s="101" t="s">
        <v>187</v>
      </c>
      <c r="M103" s="102" t="str">
        <f>IFNA(VLOOKUP(L103,'🙎‍♂️ Pasien'!G:V,2,FALSE),"")</f>
        <v>A8723049223</v>
      </c>
      <c r="N103" s="103">
        <f>IFNA(VLOOKUP(L103,'🙎‍♂️ Pasien'!G:L,3,FALSE),"")</f>
        <v>38</v>
      </c>
      <c r="O103" s="104" t="str">
        <f>IFNA(VLOOKUP(L103,'🙎‍♂️ Pasien'!G:V,6,FALSE),"")</f>
        <v>LAKI-LAKI</v>
      </c>
      <c r="P103" s="104" t="str">
        <f>IFNA(VLOOKUP(L103,'🙎‍♂️ Pasien'!G:V,12,FALSE),"")</f>
        <v>KATOLIK</v>
      </c>
      <c r="Q103" s="104" t="str">
        <f>IFNA(VLOOKUP(L103:L1508,'🙎‍♂️ Pasien'!G:V,13,FALSE),"")</f>
        <v>SWASTA</v>
      </c>
      <c r="R103" s="104" t="str">
        <f t="array" ref="R103">ifna(xlookup(L103,'🙎‍♂️ Pasien'!$G$5:$G1508,'🙎‍♂️ Pasien'!$T$5:$T1508),"")</f>
        <v>LEHER, PUNGGUNG TERASA SAKIT</v>
      </c>
      <c r="S103" s="104" t="str">
        <f t="array" ref="S103">ifna(xlookup(L103,'🙎‍♂️ Pasien'!$G$5:$G1508,'🙎‍♂️ Pasien'!$U$5:$U1508),"")</f>
        <v>SEPAK BOLA</v>
      </c>
      <c r="T103" s="97" t="s">
        <v>59</v>
      </c>
      <c r="U103" s="105" t="s">
        <v>60</v>
      </c>
      <c r="V103" s="101"/>
      <c r="W103" s="106" t="b">
        <v>1</v>
      </c>
      <c r="X103" s="107"/>
      <c r="Y103" s="108"/>
    </row>
    <row r="104" ht="22.5" customHeight="1">
      <c r="A104" s="96"/>
      <c r="B104" s="97" t="s">
        <v>53</v>
      </c>
      <c r="C104" s="98" t="str">
        <f t="array" ref="C104">IFNA(XLOOKUP(J104,'⚙️ Pengaturan'!$H$5:$H1508,'⚙️ Pengaturan'!$I$5:$I1508),"")</f>
        <v>TIM A</v>
      </c>
      <c r="D104" s="97" t="s">
        <v>86</v>
      </c>
      <c r="E104" s="99">
        <v>45937.0</v>
      </c>
      <c r="F104" s="100" t="str">
        <f t="shared" si="1"/>
        <v>2025</v>
      </c>
      <c r="G104" s="100" t="str">
        <f t="shared" si="2"/>
        <v>10Okt</v>
      </c>
      <c r="H104" s="100" t="str">
        <f t="shared" si="3"/>
        <v>Selasa</v>
      </c>
      <c r="I104" s="97" t="s">
        <v>76</v>
      </c>
      <c r="J104" s="97" t="s">
        <v>79</v>
      </c>
      <c r="K104" s="97" t="s">
        <v>63</v>
      </c>
      <c r="L104" s="101" t="s">
        <v>80</v>
      </c>
      <c r="M104" s="102" t="str">
        <f>IFNA(VLOOKUP(L104,'🙎‍♂️ Pasien'!G:V,2,FALSE),"")</f>
        <v>L8725094767</v>
      </c>
      <c r="N104" s="103">
        <f>IFNA(VLOOKUP(L104,'🙎‍♂️ Pasien'!G:L,3,FALSE),"")</f>
        <v>38</v>
      </c>
      <c r="O104" s="104" t="str">
        <f>IFNA(VLOOKUP(L104,'🙎‍♂️ Pasien'!G:V,6,FALSE),"")</f>
        <v>PEREMPUAN</v>
      </c>
      <c r="P104" s="104" t="str">
        <f>IFNA(VLOOKUP(L104,'🙎‍♂️ Pasien'!G:V,12,FALSE),"")</f>
        <v>KATOLIK</v>
      </c>
      <c r="Q104" s="104" t="str">
        <f>IFNA(VLOOKUP(L104:L1508,'🙎‍♂️ Pasien'!G:V,13,FALSE),"")</f>
        <v>IBU RUMAH TANGGA</v>
      </c>
      <c r="R104" s="104" t="str">
        <f t="array" ref="R104">ifna(xlookup(L104,'🙎‍♂️ Pasien'!$G$5:$G1508,'🙎‍♂️ Pasien'!$T$5:$T1508),"")</f>
        <v>NYERI LEHER</v>
      </c>
      <c r="S104" s="104" t="str">
        <f t="array" ref="S104">ifna(xlookup(L104,'🙎‍♂️ Pasien'!$G$5:$G1508,'🙎‍♂️ Pasien'!$U$5:$U1508),"")</f>
        <v>KURANG GERAK</v>
      </c>
      <c r="T104" s="97" t="s">
        <v>59</v>
      </c>
      <c r="U104" s="105">
        <v>2.0</v>
      </c>
      <c r="V104" s="101"/>
      <c r="W104" s="106" t="b">
        <v>1</v>
      </c>
      <c r="X104" s="107"/>
      <c r="Y104" s="108"/>
    </row>
    <row r="105" ht="22.5" customHeight="1">
      <c r="A105" s="96"/>
      <c r="B105" s="97" t="s">
        <v>53</v>
      </c>
      <c r="C105" s="98" t="str">
        <f t="array" ref="C105">IFNA(XLOOKUP(J105,'⚙️ Pengaturan'!$H$5:$H1508,'⚙️ Pengaturan'!$I$5:$I1508),"")</f>
        <v>TIM A</v>
      </c>
      <c r="D105" s="97" t="s">
        <v>86</v>
      </c>
      <c r="E105" s="99">
        <v>45937.0</v>
      </c>
      <c r="F105" s="100" t="str">
        <f t="shared" si="1"/>
        <v>2025</v>
      </c>
      <c r="G105" s="100" t="str">
        <f t="shared" si="2"/>
        <v>10Okt</v>
      </c>
      <c r="H105" s="100" t="str">
        <f t="shared" si="3"/>
        <v>Selasa</v>
      </c>
      <c r="I105" s="97" t="s">
        <v>76</v>
      </c>
      <c r="J105" s="97" t="s">
        <v>72</v>
      </c>
      <c r="K105" s="97" t="s">
        <v>57</v>
      </c>
      <c r="L105" s="101" t="s">
        <v>188</v>
      </c>
      <c r="M105" s="102" t="str">
        <f>IFNA(VLOOKUP(L105,'🙎‍♂️ Pasien'!G:V,2,FALSE),"")</f>
        <v>S0125102986</v>
      </c>
      <c r="N105" s="103">
        <f>IFNA(VLOOKUP(L105,'🙎‍♂️ Pasien'!G:L,3,FALSE),"")</f>
        <v>24</v>
      </c>
      <c r="O105" s="104" t="str">
        <f>IFNA(VLOOKUP(L105,'🙎‍♂️ Pasien'!G:V,6,FALSE),"")</f>
        <v>PEREMPUAN</v>
      </c>
      <c r="P105" s="104" t="str">
        <f>IFNA(VLOOKUP(L105,'🙎‍♂️ Pasien'!G:V,12,FALSE),"")</f>
        <v>ISLAM</v>
      </c>
      <c r="Q105" s="104" t="str">
        <f>IFNA(VLOOKUP(L105:L1508,'🙎‍♂️ Pasien'!G:V,13,FALSE),"")</f>
        <v>PNS</v>
      </c>
      <c r="R105" s="104" t="str">
        <f t="array" ref="R105">ifna(xlookup(L105,'🙎‍♂️ Pasien'!$G$5:$G1508,'🙎‍♂️ Pasien'!$T$5:$T1508),"")</f>
        <v>TANGAN BELUM BISA MENGGENGGAM SETELAH PATAH TULANG TELAPAK TANGAN</v>
      </c>
      <c r="S105" s="104" t="str">
        <f t="array" ref="S105">ifna(xlookup(L105,'🙎‍♂️ Pasien'!$G$5:$G1508,'🙎‍♂️ Pasien'!$U$5:$U1508),"")</f>
        <v>TIDAK ADA</v>
      </c>
      <c r="T105" s="97" t="s">
        <v>59</v>
      </c>
      <c r="U105" s="105" t="s">
        <v>60</v>
      </c>
      <c r="V105" s="101"/>
      <c r="W105" s="106" t="b">
        <v>1</v>
      </c>
      <c r="X105" s="107"/>
      <c r="Y105" s="108"/>
    </row>
    <row r="106" ht="22.5" customHeight="1">
      <c r="A106" s="96"/>
      <c r="B106" s="97" t="s">
        <v>53</v>
      </c>
      <c r="C106" s="98" t="str">
        <f t="array" ref="C106">IFNA(XLOOKUP(J106,'⚙️ Pengaturan'!$H$5:$H1508,'⚙️ Pengaturan'!$I$5:$I1508),"")</f>
        <v>MANAJEMEN</v>
      </c>
      <c r="D106" s="97" t="s">
        <v>86</v>
      </c>
      <c r="E106" s="99">
        <v>45937.0</v>
      </c>
      <c r="F106" s="100" t="str">
        <f t="shared" si="1"/>
        <v>2025</v>
      </c>
      <c r="G106" s="100" t="str">
        <f t="shared" si="2"/>
        <v>10Okt</v>
      </c>
      <c r="H106" s="100" t="str">
        <f t="shared" si="3"/>
        <v>Selasa</v>
      </c>
      <c r="I106" s="97" t="s">
        <v>83</v>
      </c>
      <c r="J106" s="97" t="s">
        <v>81</v>
      </c>
      <c r="K106" s="97" t="s">
        <v>63</v>
      </c>
      <c r="L106" s="101" t="s">
        <v>189</v>
      </c>
      <c r="M106" s="102" t="str">
        <f>IFNA(VLOOKUP(L106,'🙎‍♂️ Pasien'!G:V,2,FALSE),"")</f>
        <v>A6025048900</v>
      </c>
      <c r="N106" s="103">
        <f>IFNA(VLOOKUP(L106,'🙎‍♂️ Pasien'!G:L,3,FALSE),"")</f>
        <v>66</v>
      </c>
      <c r="O106" s="104" t="str">
        <f>IFNA(VLOOKUP(L106,'🙎‍♂️ Pasien'!G:V,6,FALSE),"")</f>
        <v>LAKI-LAKI</v>
      </c>
      <c r="P106" s="104" t="str">
        <f>IFNA(VLOOKUP(L106,'🙎‍♂️ Pasien'!G:V,12,FALSE),"")</f>
        <v>KHONGHUCU</v>
      </c>
      <c r="Q106" s="104" t="str">
        <f>IFNA(VLOOKUP(L106:L1508,'🙎‍♂️ Pasien'!G:V,13,FALSE),"")</f>
        <v>KONSULTAN PAJAK</v>
      </c>
      <c r="R106" s="104" t="str">
        <f t="array" ref="R106">ifna(xlookup(L106,'🙎‍♂️ Pasien'!$G$5:$G1508,'🙎‍♂️ Pasien'!$T$5:$T1508),"")</f>
        <v>SAKET LEHER</v>
      </c>
      <c r="S106" s="104" t="str">
        <f t="array" ref="S106">ifna(xlookup(L106,'🙎‍♂️ Pasien'!$G$5:$G1508,'🙎‍♂️ Pasien'!$U$5:$U1508),"")</f>
        <v>KERJE KERJE KERJE !!!!</v>
      </c>
      <c r="T106" s="97" t="s">
        <v>59</v>
      </c>
      <c r="U106" s="105">
        <v>8.0</v>
      </c>
      <c r="V106" s="101" t="s">
        <v>60</v>
      </c>
      <c r="W106" s="106" t="b">
        <v>1</v>
      </c>
      <c r="X106" s="107"/>
      <c r="Y106" s="108"/>
    </row>
    <row r="107" ht="22.5" customHeight="1">
      <c r="A107" s="96"/>
      <c r="B107" s="97" t="s">
        <v>53</v>
      </c>
      <c r="C107" s="98" t="str">
        <f t="array" ref="C107">IFNA(XLOOKUP(J107,'⚙️ Pengaturan'!$H$5:$H1508,'⚙️ Pengaturan'!$I$5:$I1508),"")</f>
        <v>TIM Y</v>
      </c>
      <c r="D107" s="97" t="s">
        <v>86</v>
      </c>
      <c r="E107" s="99">
        <v>45937.0</v>
      </c>
      <c r="F107" s="100" t="str">
        <f t="shared" si="1"/>
        <v>2025</v>
      </c>
      <c r="G107" s="100" t="str">
        <f t="shared" si="2"/>
        <v>10Okt</v>
      </c>
      <c r="H107" s="100" t="str">
        <f t="shared" si="3"/>
        <v>Selasa</v>
      </c>
      <c r="I107" s="97" t="s">
        <v>83</v>
      </c>
      <c r="J107" s="97" t="s">
        <v>56</v>
      </c>
      <c r="K107" s="97" t="s">
        <v>135</v>
      </c>
      <c r="L107" s="101" t="s">
        <v>190</v>
      </c>
      <c r="M107" s="102" t="str">
        <f>IFNA(VLOOKUP(L107,'🙎‍♂️ Pasien'!G:V,2,FALSE),"")</f>
        <v>A9025108786</v>
      </c>
      <c r="N107" s="103">
        <f>IFNA(VLOOKUP(L107,'🙎‍♂️ Pasien'!G:L,3,FALSE),"")</f>
        <v>35</v>
      </c>
      <c r="O107" s="104" t="str">
        <f>IFNA(VLOOKUP(L107,'🙎‍♂️ Pasien'!G:V,6,FALSE),"")</f>
        <v>LAKI-LAKI</v>
      </c>
      <c r="P107" s="104" t="str">
        <f>IFNA(VLOOKUP(L107,'🙎‍♂️ Pasien'!G:V,12,FALSE),"")</f>
        <v>ISLAM</v>
      </c>
      <c r="Q107" s="104" t="str">
        <f>IFNA(VLOOKUP(L107:L1508,'🙎‍♂️ Pasien'!G:V,13,FALSE),"")</f>
        <v>WIRASWASTA</v>
      </c>
      <c r="R107" s="104" t="str">
        <f t="array" ref="R107">ifna(xlookup(L107,'🙎‍♂️ Pasien'!$G$5:$G1508,'🙎‍♂️ Pasien'!$T$5:$T1508),"")</f>
        <v>KESELEO PADA BAGIAN LUTUT</v>
      </c>
      <c r="S107" s="104" t="str">
        <f t="array" ref="S107">ifna(xlookup(L107,'🙎‍♂️ Pasien'!$G$5:$G1508,'🙎‍♂️ Pasien'!$U$5:$U1508),"")</f>
        <v>BERMAIN BOLA</v>
      </c>
      <c r="T107" s="97" t="s">
        <v>67</v>
      </c>
      <c r="U107" s="105" t="s">
        <v>60</v>
      </c>
      <c r="V107" s="101" t="s">
        <v>191</v>
      </c>
      <c r="W107" s="106" t="b">
        <v>1</v>
      </c>
      <c r="X107" s="107"/>
      <c r="Y107" s="108"/>
    </row>
    <row r="108" ht="22.5" customHeight="1">
      <c r="A108" s="96"/>
      <c r="B108" s="97" t="s">
        <v>85</v>
      </c>
      <c r="C108" s="98" t="str">
        <f t="array" ref="C108">IFNA(XLOOKUP(J108,'⚙️ Pengaturan'!$H$5:$H1508,'⚙️ Pengaturan'!$I$5:$I1508),"")</f>
        <v>TIM Y</v>
      </c>
      <c r="D108" s="97" t="s">
        <v>54</v>
      </c>
      <c r="E108" s="99">
        <v>45937.0</v>
      </c>
      <c r="F108" s="100" t="str">
        <f t="shared" si="1"/>
        <v>2025</v>
      </c>
      <c r="G108" s="100" t="str">
        <f t="shared" si="2"/>
        <v>10Okt</v>
      </c>
      <c r="H108" s="100" t="str">
        <f t="shared" si="3"/>
        <v>Selasa</v>
      </c>
      <c r="I108" s="97" t="s">
        <v>87</v>
      </c>
      <c r="J108" s="97" t="s">
        <v>88</v>
      </c>
      <c r="K108" s="97" t="s">
        <v>63</v>
      </c>
      <c r="L108" s="101" t="s">
        <v>104</v>
      </c>
      <c r="M108" s="102" t="str">
        <f>IFNA(VLOOKUP(L108,'🙎‍♂️ Pasien'!G:V,2,FALSE),"")</f>
        <v>F4925091811</v>
      </c>
      <c r="N108" s="103">
        <f>IFNA(VLOOKUP(L108,'🙎‍♂️ Pasien'!G:L,3,FALSE),"")</f>
        <v>76</v>
      </c>
      <c r="O108" s="104" t="str">
        <f>IFNA(VLOOKUP(L108,'🙎‍♂️ Pasien'!G:V,6,FALSE),"")</f>
        <v>LAKI-LAKI</v>
      </c>
      <c r="P108" s="104" t="str">
        <f>IFNA(VLOOKUP(L108,'🙎‍♂️ Pasien'!G:V,12,FALSE),"")</f>
        <v>KHONGHUCU</v>
      </c>
      <c r="Q108" s="104" t="str">
        <f>IFNA(VLOOKUP(L108:L1508,'🙎‍♂️ Pasien'!G:V,13,FALSE),"")</f>
        <v>PENSIUN</v>
      </c>
      <c r="R108" s="104" t="str">
        <f t="array" ref="R108">ifna(xlookup(L108,'🙎‍♂️ Pasien'!$G$5:$G1508,'🙎‍♂️ Pasien'!$T$5:$T1508),"")</f>
        <v>KAKI GA KUAT</v>
      </c>
      <c r="S108" s="104" t="str">
        <f t="array" ref="S108">ifna(xlookup(L108,'🙎‍♂️ Pasien'!$G$5:$G1508,'🙎‍♂️ Pasien'!$U$5:$U1508),"")</f>
        <v>BERJALAN MENGGUNAKAN TONGKAT</v>
      </c>
      <c r="T108" s="97" t="s">
        <v>59</v>
      </c>
      <c r="U108" s="105">
        <v>4.0</v>
      </c>
      <c r="V108" s="101"/>
      <c r="W108" s="106" t="b">
        <v>1</v>
      </c>
      <c r="X108" s="107"/>
      <c r="Y108" s="108"/>
    </row>
    <row r="109" ht="22.5" customHeight="1">
      <c r="A109" s="96"/>
      <c r="B109" s="97" t="s">
        <v>85</v>
      </c>
      <c r="C109" s="98" t="str">
        <f t="array" ref="C109">IFNA(XLOOKUP(J109,'⚙️ Pengaturan'!$H$5:$H1508,'⚙️ Pengaturan'!$I$5:$I1508),"")</f>
        <v>TIM Y</v>
      </c>
      <c r="D109" s="97" t="s">
        <v>54</v>
      </c>
      <c r="E109" s="99">
        <v>45937.0</v>
      </c>
      <c r="F109" s="100" t="str">
        <f t="shared" si="1"/>
        <v>2025</v>
      </c>
      <c r="G109" s="100" t="str">
        <f t="shared" si="2"/>
        <v>10Okt</v>
      </c>
      <c r="H109" s="100" t="str">
        <f t="shared" si="3"/>
        <v>Selasa</v>
      </c>
      <c r="I109" s="97" t="s">
        <v>93</v>
      </c>
      <c r="J109" s="97" t="s">
        <v>107</v>
      </c>
      <c r="K109" s="97" t="s">
        <v>63</v>
      </c>
      <c r="L109" s="101" t="s">
        <v>165</v>
      </c>
      <c r="M109" s="102" t="str">
        <f>IFNA(VLOOKUP(L109,'🙎‍♂️ Pasien'!G:V,2,FALSE),"")</f>
        <v>D0925034440</v>
      </c>
      <c r="N109" s="103">
        <f>IFNA(VLOOKUP(L109,'🙎‍♂️ Pasien'!G:L,3,FALSE),"")</f>
        <v>17</v>
      </c>
      <c r="O109" s="104" t="str">
        <f>IFNA(VLOOKUP(L109,'🙎‍♂️ Pasien'!G:V,6,FALSE),"")</f>
        <v>LAKI-LAKI</v>
      </c>
      <c r="P109" s="104" t="str">
        <f>IFNA(VLOOKUP(L109,'🙎‍♂️ Pasien'!G:V,12,FALSE),"")</f>
        <v>KATOLIK</v>
      </c>
      <c r="Q109" s="104" t="str">
        <f>IFNA(VLOOKUP(L109:L1508,'🙎‍♂️ Pasien'!G:V,13,FALSE),"")</f>
        <v>PELAJAR</v>
      </c>
      <c r="R109" s="104" t="str">
        <f t="array" ref="R109">ifna(xlookup(L109,'🙎‍♂️ Pasien'!$G$5:$G1508,'🙎‍♂️ Pasien'!$T$5:$T1508),"")</f>
        <v>TANGAN KANAN DAN KIRI KURANG LURUS DARI LAHIR</v>
      </c>
      <c r="S109" s="104" t="str">
        <f t="array" ref="S109">ifna(xlookup(L109,'🙎‍♂️ Pasien'!$G$5:$G1508,'🙎‍♂️ Pasien'!$U$5:$U1508),"")</f>
        <v>JOGING</v>
      </c>
      <c r="T109" s="97" t="s">
        <v>67</v>
      </c>
      <c r="U109" s="105">
        <v>3.0</v>
      </c>
      <c r="V109" s="101" t="s">
        <v>192</v>
      </c>
      <c r="W109" s="106" t="b">
        <v>1</v>
      </c>
      <c r="X109" s="107"/>
      <c r="Y109" s="108"/>
    </row>
    <row r="110" ht="22.5" customHeight="1">
      <c r="A110" s="96"/>
      <c r="B110" s="97" t="s">
        <v>85</v>
      </c>
      <c r="C110" s="98" t="str">
        <f t="array" ref="C110">IFNA(XLOOKUP(J110,'⚙️ Pengaturan'!$H$5:$H1508,'⚙️ Pengaturan'!$I$5:$I1508),"")</f>
        <v>TIM Y</v>
      </c>
      <c r="D110" s="97" t="s">
        <v>54</v>
      </c>
      <c r="E110" s="99">
        <v>45937.0</v>
      </c>
      <c r="F110" s="100" t="str">
        <f t="shared" si="1"/>
        <v>2025</v>
      </c>
      <c r="G110" s="100" t="str">
        <f t="shared" si="2"/>
        <v>10Okt</v>
      </c>
      <c r="H110" s="100" t="str">
        <f t="shared" si="3"/>
        <v>Selasa</v>
      </c>
      <c r="I110" s="97" t="s">
        <v>93</v>
      </c>
      <c r="J110" s="97" t="s">
        <v>107</v>
      </c>
      <c r="K110" s="97" t="s">
        <v>63</v>
      </c>
      <c r="L110" s="101" t="s">
        <v>193</v>
      </c>
      <c r="M110" s="102" t="str">
        <f>IFNA(VLOOKUP(L110,'🙎‍♂️ Pasien'!G:V,2,FALSE),"")</f>
        <v>E8925075615</v>
      </c>
      <c r="N110" s="103">
        <f>IFNA(VLOOKUP(L110,'🙎‍♂️ Pasien'!G:L,3,FALSE),"")</f>
        <v>36</v>
      </c>
      <c r="O110" s="104" t="str">
        <f>IFNA(VLOOKUP(L110,'🙎‍♂️ Pasien'!G:V,6,FALSE),"")</f>
        <v>PEREMPUAN</v>
      </c>
      <c r="P110" s="104" t="str">
        <f>IFNA(VLOOKUP(L110,'🙎‍♂️ Pasien'!G:V,12,FALSE),"")</f>
        <v>KATOLIK</v>
      </c>
      <c r="Q110" s="104" t="str">
        <f>IFNA(VLOOKUP(L110:L1508,'🙎‍♂️ Pasien'!G:V,13,FALSE),"")</f>
        <v>WIRASWASTA</v>
      </c>
      <c r="R110" s="104" t="str">
        <f t="array" ref="R110">ifna(xlookup(L110,'🙎‍♂️ Pasien'!$G$5:$G1508,'🙎‍♂️ Pasien'!$T$5:$T1508),"")</f>
        <v>BUNION</v>
      </c>
      <c r="S110" s="104" t="str">
        <f t="array" ref="S110">ifna(xlookup(L110,'🙎‍♂️ Pasien'!$G$5:$G1508,'🙎‍♂️ Pasien'!$U$5:$U1508),"")</f>
        <v>TENNIS</v>
      </c>
      <c r="T110" s="97" t="s">
        <v>59</v>
      </c>
      <c r="U110" s="105">
        <v>5.0</v>
      </c>
      <c r="V110" s="101"/>
      <c r="W110" s="106" t="b">
        <v>1</v>
      </c>
      <c r="X110" s="107"/>
      <c r="Y110" s="108"/>
    </row>
    <row r="111" ht="22.5" customHeight="1">
      <c r="A111" s="96"/>
      <c r="B111" s="97" t="s">
        <v>85</v>
      </c>
      <c r="C111" s="98" t="str">
        <f t="array" ref="C111">IFNA(XLOOKUP(J111,'⚙️ Pengaturan'!$H$5:$H1508,'⚙️ Pengaturan'!$I$5:$I1508),"")</f>
        <v>TIM Y</v>
      </c>
      <c r="D111" s="97" t="s">
        <v>54</v>
      </c>
      <c r="E111" s="99">
        <v>45937.0</v>
      </c>
      <c r="F111" s="100" t="str">
        <f t="shared" si="1"/>
        <v>2025</v>
      </c>
      <c r="G111" s="100" t="str">
        <f t="shared" si="2"/>
        <v>10Okt</v>
      </c>
      <c r="H111" s="100" t="str">
        <f t="shared" si="3"/>
        <v>Selasa</v>
      </c>
      <c r="I111" s="97" t="s">
        <v>95</v>
      </c>
      <c r="J111" s="97" t="s">
        <v>107</v>
      </c>
      <c r="K111" s="97" t="s">
        <v>63</v>
      </c>
      <c r="L111" s="101" t="s">
        <v>193</v>
      </c>
      <c r="M111" s="102" t="str">
        <f>IFNA(VLOOKUP(L111,'🙎‍♂️ Pasien'!G:V,2,FALSE),"")</f>
        <v>E8925075615</v>
      </c>
      <c r="N111" s="103">
        <f>IFNA(VLOOKUP(L111,'🙎‍♂️ Pasien'!G:L,3,FALSE),"")</f>
        <v>36</v>
      </c>
      <c r="O111" s="104" t="str">
        <f>IFNA(VLOOKUP(L111,'🙎‍♂️ Pasien'!G:V,6,FALSE),"")</f>
        <v>PEREMPUAN</v>
      </c>
      <c r="P111" s="104" t="str">
        <f>IFNA(VLOOKUP(L111,'🙎‍♂️ Pasien'!G:V,12,FALSE),"")</f>
        <v>KATOLIK</v>
      </c>
      <c r="Q111" s="104" t="str">
        <f>IFNA(VLOOKUP(L111:L1508,'🙎‍♂️ Pasien'!G:V,13,FALSE),"")</f>
        <v>WIRASWASTA</v>
      </c>
      <c r="R111" s="104" t="str">
        <f t="array" ref="R111">ifna(xlookup(L111,'🙎‍♂️ Pasien'!$G$5:$G1508,'🙎‍♂️ Pasien'!$T$5:$T1508),"")</f>
        <v>BUNION</v>
      </c>
      <c r="S111" s="104" t="str">
        <f t="array" ref="S111">ifna(xlookup(L111,'🙎‍♂️ Pasien'!$G$5:$G1508,'🙎‍♂️ Pasien'!$U$5:$U1508),"")</f>
        <v>TENNIS</v>
      </c>
      <c r="T111" s="97" t="s">
        <v>59</v>
      </c>
      <c r="U111" s="105">
        <v>6.0</v>
      </c>
      <c r="V111" s="101"/>
      <c r="W111" s="106" t="b">
        <v>1</v>
      </c>
      <c r="X111" s="107"/>
      <c r="Y111" s="108"/>
    </row>
    <row r="112" ht="22.5" customHeight="1">
      <c r="A112" s="96"/>
      <c r="B112" s="97" t="s">
        <v>85</v>
      </c>
      <c r="C112" s="98" t="str">
        <f t="array" ref="C112">IFNA(XLOOKUP(J112,'⚙️ Pengaturan'!$H$5:$H1508,'⚙️ Pengaturan'!$I$5:$I1508),"")</f>
        <v>TIM Y</v>
      </c>
      <c r="D112" s="97" t="s">
        <v>54</v>
      </c>
      <c r="E112" s="99">
        <v>45937.0</v>
      </c>
      <c r="F112" s="100" t="str">
        <f t="shared" si="1"/>
        <v>2025</v>
      </c>
      <c r="G112" s="100" t="str">
        <f t="shared" si="2"/>
        <v>10Okt</v>
      </c>
      <c r="H112" s="100" t="str">
        <f t="shared" si="3"/>
        <v>Selasa</v>
      </c>
      <c r="I112" s="97" t="s">
        <v>95</v>
      </c>
      <c r="J112" s="97" t="s">
        <v>91</v>
      </c>
      <c r="K112" s="97" t="s">
        <v>63</v>
      </c>
      <c r="L112" s="101" t="s">
        <v>194</v>
      </c>
      <c r="M112" s="102" t="str">
        <f>IFNA(VLOOKUP(L112,'🙎‍♂️ Pasien'!G:V,2,FALSE),"")</f>
        <v>O0925070649</v>
      </c>
      <c r="N112" s="103">
        <f>IFNA(VLOOKUP(L112,'🙎‍♂️ Pasien'!G:L,3,FALSE),"")</f>
        <v>16</v>
      </c>
      <c r="O112" s="104" t="str">
        <f>IFNA(VLOOKUP(L112,'🙎‍♂️ Pasien'!G:V,6,FALSE),"")</f>
        <v>PEREMPUAN</v>
      </c>
      <c r="P112" s="104" t="str">
        <f>IFNA(VLOOKUP(L112,'🙎‍♂️ Pasien'!G:V,12,FALSE),"")</f>
        <v>BUDDHA</v>
      </c>
      <c r="Q112" s="104" t="str">
        <f>IFNA(VLOOKUP(L112:L1508,'🙎‍♂️ Pasien'!G:V,13,FALSE),"")</f>
        <v>PELAJAR</v>
      </c>
      <c r="R112" s="104" t="str">
        <f t="array" ref="R112">ifna(xlookup(L112,'🙎‍♂️ Pasien'!$G$5:$G1508,'🙎‍♂️ Pasien'!$T$5:$T1508),"")</f>
        <v>SKOLIOSIS</v>
      </c>
      <c r="S112" s="104" t="str">
        <f t="array" ref="S112">ifna(xlookup(L112,'🙎‍♂️ Pasien'!$G$5:$G1508,'🙎‍♂️ Pasien'!$U$5:$U1508),"")</f>
        <v>TIDAK ADA</v>
      </c>
      <c r="T112" s="97" t="s">
        <v>67</v>
      </c>
      <c r="U112" s="105">
        <v>3.0</v>
      </c>
      <c r="V112" s="101" t="s">
        <v>195</v>
      </c>
      <c r="W112" s="106" t="b">
        <v>1</v>
      </c>
      <c r="X112" s="107"/>
      <c r="Y112" s="108"/>
    </row>
    <row r="113" ht="22.5" customHeight="1">
      <c r="A113" s="96"/>
      <c r="B113" s="97" t="s">
        <v>85</v>
      </c>
      <c r="C113" s="98" t="str">
        <f t="array" ref="C113">IFNA(XLOOKUP(J113,'⚙️ Pengaturan'!$H$5:$H1508,'⚙️ Pengaturan'!$I$5:$I1508),"")</f>
        <v>TIM Y</v>
      </c>
      <c r="D113" s="97" t="s">
        <v>54</v>
      </c>
      <c r="E113" s="99">
        <v>45937.0</v>
      </c>
      <c r="F113" s="100" t="str">
        <f t="shared" si="1"/>
        <v>2025</v>
      </c>
      <c r="G113" s="100" t="str">
        <f t="shared" si="2"/>
        <v>10Okt</v>
      </c>
      <c r="H113" s="100" t="str">
        <f t="shared" si="3"/>
        <v>Selasa</v>
      </c>
      <c r="I113" s="97" t="s">
        <v>97</v>
      </c>
      <c r="J113" s="97" t="s">
        <v>91</v>
      </c>
      <c r="K113" s="97" t="s">
        <v>63</v>
      </c>
      <c r="L113" s="101" t="s">
        <v>196</v>
      </c>
      <c r="M113" s="102" t="str">
        <f>IFNA(VLOOKUP(L113,'🙎‍♂️ Pasien'!G:V,2,FALSE),"")</f>
        <v>B7125094370</v>
      </c>
      <c r="N113" s="103">
        <f>IFNA(VLOOKUP(L113,'🙎‍♂️ Pasien'!G:L,3,FALSE),"")</f>
        <v>54</v>
      </c>
      <c r="O113" s="104" t="str">
        <f>IFNA(VLOOKUP(L113,'🙎‍♂️ Pasien'!G:V,6,FALSE),"")</f>
        <v>LAKI-LAKI</v>
      </c>
      <c r="P113" s="104" t="str">
        <f>IFNA(VLOOKUP(L113,'🙎‍♂️ Pasien'!G:V,12,FALSE),"")</f>
        <v>ISLAM</v>
      </c>
      <c r="Q113" s="104" t="str">
        <f>IFNA(VLOOKUP(L113:L1508,'🙎‍♂️ Pasien'!G:V,13,FALSE),"")</f>
        <v>PNS</v>
      </c>
      <c r="R113" s="104" t="str">
        <f t="array" ref="R113">ifna(xlookup(L113,'🙎‍♂️ Pasien'!$G$5:$G1508,'🙎‍♂️ Pasien'!$T$5:$T1508),"")</f>
        <v>PINGGANG</v>
      </c>
      <c r="S113" s="104" t="str">
        <f t="array" ref="S113">ifna(xlookup(L113,'🙎‍♂️ Pasien'!$G$5:$G1508,'🙎‍♂️ Pasien'!$U$5:$U1508),"")</f>
        <v>-</v>
      </c>
      <c r="T113" s="97" t="s">
        <v>59</v>
      </c>
      <c r="U113" s="105">
        <v>2.0</v>
      </c>
      <c r="V113" s="101"/>
      <c r="W113" s="106" t="b">
        <v>1</v>
      </c>
      <c r="X113" s="107"/>
      <c r="Y113" s="108"/>
    </row>
    <row r="114" ht="22.5" customHeight="1">
      <c r="A114" s="96"/>
      <c r="B114" s="97" t="s">
        <v>85</v>
      </c>
      <c r="C114" s="98" t="str">
        <f t="array" ref="C114">IFNA(XLOOKUP(J114,'⚙️ Pengaturan'!$H$5:$H1508,'⚙️ Pengaturan'!$I$5:$I1508),"")</f>
        <v>TIM Y</v>
      </c>
      <c r="D114" s="97" t="s">
        <v>54</v>
      </c>
      <c r="E114" s="99">
        <v>45937.0</v>
      </c>
      <c r="F114" s="100" t="str">
        <f t="shared" si="1"/>
        <v>2025</v>
      </c>
      <c r="G114" s="100" t="str">
        <f t="shared" si="2"/>
        <v>10Okt</v>
      </c>
      <c r="H114" s="100" t="str">
        <f t="shared" si="3"/>
        <v>Selasa</v>
      </c>
      <c r="I114" s="97" t="s">
        <v>97</v>
      </c>
      <c r="J114" s="97" t="s">
        <v>88</v>
      </c>
      <c r="K114" s="97" t="s">
        <v>57</v>
      </c>
      <c r="L114" s="101" t="s">
        <v>197</v>
      </c>
      <c r="M114" s="102" t="str">
        <f>IFNA(VLOOKUP(L114,'🙎‍♂️ Pasien'!G:V,2,FALSE),"")</f>
        <v>S7025063552</v>
      </c>
      <c r="N114" s="103">
        <f>IFNA(VLOOKUP(L114,'🙎‍♂️ Pasien'!G:L,3,FALSE),"")</f>
        <v>56</v>
      </c>
      <c r="O114" s="104" t="str">
        <f>IFNA(VLOOKUP(L114,'🙎‍♂️ Pasien'!G:V,6,FALSE),"")</f>
        <v>LAKI-LAKI</v>
      </c>
      <c r="P114" s="104" t="str">
        <f>IFNA(VLOOKUP(L114,'🙎‍♂️ Pasien'!G:V,12,FALSE),"")</f>
        <v>ISLAM</v>
      </c>
      <c r="Q114" s="104" t="str">
        <f>IFNA(VLOOKUP(L114:L1508,'🙎‍♂️ Pasien'!G:V,13,FALSE),"")</f>
        <v>ASN</v>
      </c>
      <c r="R114" s="104" t="str">
        <f t="array" ref="R114">ifna(xlookup(L114,'🙎‍♂️ Pasien'!$G$5:$G1508,'🙎‍♂️ Pasien'!$T$5:$T1508),"")</f>
        <v>SAKIT DI PERGELANGAN TANGAN KANAN</v>
      </c>
      <c r="S114" s="104" t="str">
        <f t="array" ref="S114">ifna(xlookup(L114,'🙎‍♂️ Pasien'!$G$5:$G1508,'🙎‍♂️ Pasien'!$U$5:$U1508),"")</f>
        <v>TENIS DAN BULUTANGKIS</v>
      </c>
      <c r="T114" s="97" t="s">
        <v>59</v>
      </c>
      <c r="U114" s="105" t="s">
        <v>60</v>
      </c>
      <c r="V114" s="101" t="s">
        <v>198</v>
      </c>
      <c r="W114" s="106" t="b">
        <v>1</v>
      </c>
      <c r="X114" s="107"/>
      <c r="Y114" s="108"/>
    </row>
    <row r="115" ht="22.5" customHeight="1">
      <c r="A115" s="96"/>
      <c r="B115" s="97" t="s">
        <v>85</v>
      </c>
      <c r="C115" s="98" t="str">
        <f t="array" ref="C115">IFNA(XLOOKUP(J115,'⚙️ Pengaturan'!$H$5:$H1508,'⚙️ Pengaturan'!$I$5:$I1508),"")</f>
        <v>TIM Y</v>
      </c>
      <c r="D115" s="97" t="s">
        <v>54</v>
      </c>
      <c r="E115" s="99">
        <v>45937.0</v>
      </c>
      <c r="F115" s="100" t="str">
        <f t="shared" si="1"/>
        <v>2025</v>
      </c>
      <c r="G115" s="100" t="str">
        <f t="shared" si="2"/>
        <v>10Okt</v>
      </c>
      <c r="H115" s="100" t="str">
        <f t="shared" si="3"/>
        <v>Selasa</v>
      </c>
      <c r="I115" s="97" t="s">
        <v>99</v>
      </c>
      <c r="J115" s="97" t="s">
        <v>91</v>
      </c>
      <c r="K115" s="97" t="s">
        <v>63</v>
      </c>
      <c r="L115" s="101" t="s">
        <v>190</v>
      </c>
      <c r="M115" s="102" t="str">
        <f>IFNA(VLOOKUP(L115,'🙎‍♂️ Pasien'!G:V,2,FALSE),"")</f>
        <v>A9025108786</v>
      </c>
      <c r="N115" s="103">
        <f>IFNA(VLOOKUP(L115,'🙎‍♂️ Pasien'!G:L,3,FALSE),"")</f>
        <v>35</v>
      </c>
      <c r="O115" s="104" t="str">
        <f>IFNA(VLOOKUP(L115,'🙎‍♂️ Pasien'!G:V,6,FALSE),"")</f>
        <v>LAKI-LAKI</v>
      </c>
      <c r="P115" s="104" t="str">
        <f>IFNA(VLOOKUP(L115,'🙎‍♂️ Pasien'!G:V,12,FALSE),"")</f>
        <v>ISLAM</v>
      </c>
      <c r="Q115" s="104" t="str">
        <f>IFNA(VLOOKUP(L115:L1508,'🙎‍♂️ Pasien'!G:V,13,FALSE),"")</f>
        <v>WIRASWASTA</v>
      </c>
      <c r="R115" s="104" t="str">
        <f t="array" ref="R115">ifna(xlookup(L115,'🙎‍♂️ Pasien'!$G$5:$G1508,'🙎‍♂️ Pasien'!$T$5:$T1508),"")</f>
        <v>KESELEO PADA BAGIAN LUTUT</v>
      </c>
      <c r="S115" s="104" t="str">
        <f t="array" ref="S115">ifna(xlookup(L115,'🙎‍♂️ Pasien'!$G$5:$G1508,'🙎‍♂️ Pasien'!$U$5:$U1508),"")</f>
        <v>BERMAIN BOLA</v>
      </c>
      <c r="T115" s="97" t="s">
        <v>59</v>
      </c>
      <c r="U115" s="105">
        <v>1.0</v>
      </c>
      <c r="V115" s="101"/>
      <c r="W115" s="106" t="b">
        <v>1</v>
      </c>
      <c r="X115" s="107"/>
      <c r="Y115" s="108"/>
    </row>
    <row r="116" ht="22.5" customHeight="1">
      <c r="A116" s="96"/>
      <c r="B116" s="97" t="s">
        <v>85</v>
      </c>
      <c r="C116" s="98" t="str">
        <f t="array" ref="C116">IFNA(XLOOKUP(J116,'⚙️ Pengaturan'!$H$5:$H1508,'⚙️ Pengaturan'!$I$5:$I1508),"")</f>
        <v>TIM Y</v>
      </c>
      <c r="D116" s="97" t="s">
        <v>54</v>
      </c>
      <c r="E116" s="99">
        <v>45937.0</v>
      </c>
      <c r="F116" s="100" t="str">
        <f t="shared" si="1"/>
        <v>2025</v>
      </c>
      <c r="G116" s="100" t="str">
        <f t="shared" si="2"/>
        <v>10Okt</v>
      </c>
      <c r="H116" s="100" t="str">
        <f t="shared" si="3"/>
        <v>Selasa</v>
      </c>
      <c r="I116" s="97" t="s">
        <v>99</v>
      </c>
      <c r="J116" s="97" t="s">
        <v>88</v>
      </c>
      <c r="K116" s="97" t="s">
        <v>69</v>
      </c>
      <c r="L116" s="101" t="s">
        <v>182</v>
      </c>
      <c r="M116" s="102" t="str">
        <f>IFNA(VLOOKUP(L116,'🙎‍♂️ Pasien'!G:V,2,FALSE),"")</f>
        <v>J8823019998</v>
      </c>
      <c r="N116" s="103">
        <f>IFNA(VLOOKUP(L116,'🙎‍♂️ Pasien'!G:L,3,FALSE),"")</f>
        <v>38</v>
      </c>
      <c r="O116" s="104" t="str">
        <f>IFNA(VLOOKUP(L116,'🙎‍♂️ Pasien'!G:V,6,FALSE),"")</f>
        <v>LAKI-LAKI</v>
      </c>
      <c r="P116" s="104" t="str">
        <f>IFNA(VLOOKUP(L116,'🙎‍♂️ Pasien'!G:V,12,FALSE),"")</f>
        <v>BUDDHA</v>
      </c>
      <c r="Q116" s="104" t="str">
        <f>IFNA(VLOOKUP(L116:L1508,'🙎‍♂️ Pasien'!G:V,13,FALSE),"")</f>
        <v>WIRASWASTA</v>
      </c>
      <c r="R116" s="104" t="str">
        <f t="array" ref="R116">ifna(xlookup(L116,'🙎‍♂️ Pasien'!$G$5:$G1508,'🙎‍♂️ Pasien'!$T$5:$T1508),"")</f>
        <v>STROKE</v>
      </c>
      <c r="S116" s="104" t="str">
        <f t="array" ref="S116">ifna(xlookup(L116,'🙎‍♂️ Pasien'!$G$5:$G1508,'🙎‍♂️ Pasien'!$U$5:$U1508),"")</f>
        <v>-</v>
      </c>
      <c r="T116" s="97" t="s">
        <v>67</v>
      </c>
      <c r="U116" s="105" t="s">
        <v>60</v>
      </c>
      <c r="V116" s="101" t="s">
        <v>199</v>
      </c>
      <c r="W116" s="106" t="b">
        <v>1</v>
      </c>
      <c r="X116" s="107"/>
      <c r="Y116" s="108"/>
    </row>
    <row r="117" ht="22.5" customHeight="1">
      <c r="A117" s="96"/>
      <c r="B117" s="97" t="s">
        <v>53</v>
      </c>
      <c r="C117" s="98" t="str">
        <f t="array" ref="C117">IFNA(XLOOKUP(J117,'⚙️ Pengaturan'!$H$5:$H1508,'⚙️ Pengaturan'!$I$5:$I1508),"")</f>
        <v>TIM A</v>
      </c>
      <c r="D117" s="97" t="s">
        <v>54</v>
      </c>
      <c r="E117" s="99">
        <v>45938.0</v>
      </c>
      <c r="F117" s="100" t="str">
        <f t="shared" si="1"/>
        <v>2025</v>
      </c>
      <c r="G117" s="100" t="str">
        <f t="shared" si="2"/>
        <v>10Okt</v>
      </c>
      <c r="H117" s="100" t="str">
        <f t="shared" si="3"/>
        <v>Rabu</v>
      </c>
      <c r="I117" s="97" t="s">
        <v>55</v>
      </c>
      <c r="J117" s="97" t="s">
        <v>62</v>
      </c>
      <c r="K117" s="97" t="s">
        <v>63</v>
      </c>
      <c r="L117" s="101" t="s">
        <v>170</v>
      </c>
      <c r="M117" s="102" t="str">
        <f>IFNA(VLOOKUP(L117,'🙎‍♂️ Pasien'!G:V,2,FALSE),"")</f>
        <v>B8025102980</v>
      </c>
      <c r="N117" s="103">
        <f>IFNA(VLOOKUP(L117,'🙎‍♂️ Pasien'!G:L,3,FALSE),"")</f>
        <v>45</v>
      </c>
      <c r="O117" s="104" t="str">
        <f>IFNA(VLOOKUP(L117,'🙎‍♂️ Pasien'!G:V,6,FALSE),"")</f>
        <v>PEREMPUAN</v>
      </c>
      <c r="P117" s="104" t="str">
        <f>IFNA(VLOOKUP(L117,'🙎‍♂️ Pasien'!G:V,12,FALSE),"")</f>
        <v>ISLAM</v>
      </c>
      <c r="Q117" s="104" t="str">
        <f>IFNA(VLOOKUP(L117:L1508,'🙎‍♂️ Pasien'!G:V,13,FALSE),"")</f>
        <v>IRT</v>
      </c>
      <c r="R117" s="104" t="str">
        <f t="array" ref="R117">ifna(xlookup(L117,'🙎‍♂️ Pasien'!$G$5:$G1508,'🙎‍♂️ Pasien'!$T$5:$T1508),"")</f>
        <v>TULANG EKOR AGAK SAKIT, TEMPURUNG SUKA SAKIT DAN BETIS SAKI</v>
      </c>
      <c r="S117" s="104" t="str">
        <f t="array" ref="S117">ifna(xlookup(L117,'🙎‍♂️ Pasien'!$G$5:$G1508,'🙎‍♂️ Pasien'!$U$5:$U1508),"")</f>
        <v>-</v>
      </c>
      <c r="T117" s="97" t="s">
        <v>59</v>
      </c>
      <c r="U117" s="105">
        <v>3.0</v>
      </c>
      <c r="V117" s="101"/>
      <c r="W117" s="106" t="b">
        <v>1</v>
      </c>
      <c r="X117" s="107"/>
      <c r="Y117" s="108"/>
    </row>
    <row r="118" ht="22.5" customHeight="1">
      <c r="A118" s="96"/>
      <c r="B118" s="97" t="s">
        <v>53</v>
      </c>
      <c r="C118" s="98" t="str">
        <f t="array" ref="C118">IFNA(XLOOKUP(J118,'⚙️ Pengaturan'!$H$5:$H1508,'⚙️ Pengaturan'!$I$5:$I1508),"")</f>
        <v>TIM A</v>
      </c>
      <c r="D118" s="97" t="s">
        <v>54</v>
      </c>
      <c r="E118" s="99">
        <v>45938.0</v>
      </c>
      <c r="F118" s="100" t="str">
        <f t="shared" si="1"/>
        <v>2025</v>
      </c>
      <c r="G118" s="100" t="str">
        <f t="shared" si="2"/>
        <v>10Okt</v>
      </c>
      <c r="H118" s="100" t="str">
        <f t="shared" si="3"/>
        <v>Rabu</v>
      </c>
      <c r="I118" s="97" t="s">
        <v>55</v>
      </c>
      <c r="J118" s="97" t="s">
        <v>79</v>
      </c>
      <c r="K118" s="97" t="s">
        <v>69</v>
      </c>
      <c r="L118" s="101" t="s">
        <v>70</v>
      </c>
      <c r="M118" s="102" t="str">
        <f>IFNA(VLOOKUP(L118,'🙎‍♂️ Pasien'!G:V,2,FALSE),"")</f>
        <v>L8125099600</v>
      </c>
      <c r="N118" s="103">
        <f>IFNA(VLOOKUP(L118,'🙎‍♂️ Pasien'!G:L,3,FALSE),"")</f>
        <v>45</v>
      </c>
      <c r="O118" s="104" t="str">
        <f>IFNA(VLOOKUP(L118,'🙎‍♂️ Pasien'!G:V,6,FALSE),"")</f>
        <v>PEREMPUAN</v>
      </c>
      <c r="P118" s="104" t="str">
        <f>IFNA(VLOOKUP(L118,'🙎‍♂️ Pasien'!G:V,12,FALSE),"")</f>
        <v>ISLAM</v>
      </c>
      <c r="Q118" s="104" t="str">
        <f>IFNA(VLOOKUP(L118:L1508,'🙎‍♂️ Pasien'!G:V,13,FALSE),"")</f>
        <v>IRT</v>
      </c>
      <c r="R118" s="104" t="str">
        <f t="array" ref="R118">ifna(xlookup(L118,'🙎‍♂️ Pasien'!$G$5:$G1508,'🙎‍♂️ Pasien'!$T$5:$T1508),"")</f>
        <v>SAKIT PINGGANG KIRI</v>
      </c>
      <c r="S118" s="104" t="str">
        <f t="array" ref="S118">ifna(xlookup(L118,'🙎‍♂️ Pasien'!$G$5:$G1508,'🙎‍♂️ Pasien'!$U$5:$U1508),"")</f>
        <v>CATERING</v>
      </c>
      <c r="T118" s="97" t="s">
        <v>59</v>
      </c>
      <c r="U118" s="105" t="s">
        <v>60</v>
      </c>
      <c r="V118" s="101"/>
      <c r="W118" s="106" t="b">
        <v>1</v>
      </c>
      <c r="X118" s="107"/>
      <c r="Y118" s="108"/>
    </row>
    <row r="119" ht="22.5" customHeight="1">
      <c r="A119" s="96"/>
      <c r="B119" s="97" t="s">
        <v>53</v>
      </c>
      <c r="C119" s="98" t="str">
        <f t="array" ref="C119">IFNA(XLOOKUP(J119,'⚙️ Pengaturan'!$H$5:$H1508,'⚙️ Pengaturan'!$I$5:$I1508),"")</f>
        <v>TIM A</v>
      </c>
      <c r="D119" s="97" t="s">
        <v>54</v>
      </c>
      <c r="E119" s="99">
        <v>45938.0</v>
      </c>
      <c r="F119" s="100" t="str">
        <f t="shared" si="1"/>
        <v>2025</v>
      </c>
      <c r="G119" s="100" t="str">
        <f t="shared" si="2"/>
        <v>10Okt</v>
      </c>
      <c r="H119" s="100" t="str">
        <f t="shared" si="3"/>
        <v>Rabu</v>
      </c>
      <c r="I119" s="97" t="s">
        <v>65</v>
      </c>
      <c r="J119" s="97" t="s">
        <v>62</v>
      </c>
      <c r="K119" s="97" t="s">
        <v>63</v>
      </c>
      <c r="L119" s="101" t="s">
        <v>170</v>
      </c>
      <c r="M119" s="102" t="str">
        <f>IFNA(VLOOKUP(L119,'🙎‍♂️ Pasien'!G:V,2,FALSE),"")</f>
        <v>B8025102980</v>
      </c>
      <c r="N119" s="103">
        <f>IFNA(VLOOKUP(L119,'🙎‍♂️ Pasien'!G:L,3,FALSE),"")</f>
        <v>45</v>
      </c>
      <c r="O119" s="104" t="str">
        <f>IFNA(VLOOKUP(L119,'🙎‍♂️ Pasien'!G:V,6,FALSE),"")</f>
        <v>PEREMPUAN</v>
      </c>
      <c r="P119" s="104" t="str">
        <f>IFNA(VLOOKUP(L119,'🙎‍♂️ Pasien'!G:V,12,FALSE),"")</f>
        <v>ISLAM</v>
      </c>
      <c r="Q119" s="104" t="str">
        <f>IFNA(VLOOKUP(L119:L1508,'🙎‍♂️ Pasien'!G:V,13,FALSE),"")</f>
        <v>IRT</v>
      </c>
      <c r="R119" s="104" t="str">
        <f t="array" ref="R119">ifna(xlookup(L119,'🙎‍♂️ Pasien'!$G$5:$G1508,'🙎‍♂️ Pasien'!$T$5:$T1508),"")</f>
        <v>TULANG EKOR AGAK SAKIT, TEMPURUNG SUKA SAKIT DAN BETIS SAKI</v>
      </c>
      <c r="S119" s="104" t="str">
        <f t="array" ref="S119">ifna(xlookup(L119,'🙎‍♂️ Pasien'!$G$5:$G1508,'🙎‍♂️ Pasien'!$U$5:$U1508),"")</f>
        <v>-</v>
      </c>
      <c r="T119" s="97" t="s">
        <v>59</v>
      </c>
      <c r="U119" s="105">
        <v>4.0</v>
      </c>
      <c r="V119" s="101"/>
      <c r="W119" s="106" t="b">
        <v>1</v>
      </c>
      <c r="X119" s="107"/>
      <c r="Y119" s="108"/>
    </row>
    <row r="120" ht="22.5" customHeight="1">
      <c r="A120" s="96"/>
      <c r="B120" s="97" t="s">
        <v>53</v>
      </c>
      <c r="C120" s="98" t="str">
        <f t="array" ref="C120">IFNA(XLOOKUP(J120,'⚙️ Pengaturan'!$H$5:$H1508,'⚙️ Pengaturan'!$I$5:$I1508),"")</f>
        <v>TIM A</v>
      </c>
      <c r="D120" s="97" t="s">
        <v>54</v>
      </c>
      <c r="E120" s="99">
        <v>45938.0</v>
      </c>
      <c r="F120" s="100" t="str">
        <f t="shared" si="1"/>
        <v>2025</v>
      </c>
      <c r="G120" s="100" t="str">
        <f t="shared" si="2"/>
        <v>10Okt</v>
      </c>
      <c r="H120" s="100" t="str">
        <f t="shared" si="3"/>
        <v>Rabu</v>
      </c>
      <c r="I120" s="97" t="s">
        <v>65</v>
      </c>
      <c r="J120" s="97" t="s">
        <v>72</v>
      </c>
      <c r="K120" s="97" t="s">
        <v>57</v>
      </c>
      <c r="L120" s="101" t="s">
        <v>200</v>
      </c>
      <c r="M120" s="102" t="str">
        <f>IFNA(VLOOKUP(L120,'🙎‍♂️ Pasien'!G:V,2,FALSE),"")</f>
        <v>R5725106810</v>
      </c>
      <c r="N120" s="103">
        <f>IFNA(VLOOKUP(L120,'🙎‍♂️ Pasien'!G:L,3,FALSE),"")</f>
        <v>68</v>
      </c>
      <c r="O120" s="104" t="str">
        <f>IFNA(VLOOKUP(L120,'🙎‍♂️ Pasien'!G:V,6,FALSE),"")</f>
        <v>PEREMPUAN</v>
      </c>
      <c r="P120" s="104" t="str">
        <f>IFNA(VLOOKUP(L120,'🙎‍♂️ Pasien'!G:V,12,FALSE),"")</f>
        <v>PROTESTAN</v>
      </c>
      <c r="Q120" s="104" t="str">
        <f>IFNA(VLOOKUP(L120:L1508,'🙎‍♂️ Pasien'!G:V,13,FALSE),"")</f>
        <v>RUMAH TANGGA</v>
      </c>
      <c r="R120" s="104" t="str">
        <f t="array" ref="R120">ifna(xlookup(L120,'🙎‍♂️ Pasien'!$G$5:$G1508,'🙎‍♂️ Pasien'!$T$5:$T1508),"")</f>
        <v>KAKI KIRI SERING NYILU, PEGAL KALAU MALAM WAKTU MAU TIDUR, BAGIAN LEHER DAN BELIKAT KANAN SERING SAKIT..</v>
      </c>
      <c r="S120" s="104" t="str">
        <f t="array" ref="S120">ifna(xlookup(L120,'🙎‍♂️ Pasien'!$G$5:$G1508,'🙎‍♂️ Pasien'!$U$5:$U1508),"")</f>
        <v>KERJA DIRUMAH</v>
      </c>
      <c r="T120" s="97" t="s">
        <v>59</v>
      </c>
      <c r="U120" s="105" t="s">
        <v>60</v>
      </c>
      <c r="V120" s="101" t="s">
        <v>201</v>
      </c>
      <c r="W120" s="106" t="b">
        <v>1</v>
      </c>
      <c r="X120" s="107"/>
      <c r="Y120" s="108"/>
    </row>
    <row r="121" ht="22.5" customHeight="1">
      <c r="A121" s="96"/>
      <c r="B121" s="97" t="s">
        <v>53</v>
      </c>
      <c r="C121" s="98" t="str">
        <f t="array" ref="C121">IFNA(XLOOKUP(J121,'⚙️ Pengaturan'!$H$5:$H1508,'⚙️ Pengaturan'!$I$5:$I1508),"")</f>
        <v>TIM A</v>
      </c>
      <c r="D121" s="97" t="s">
        <v>54</v>
      </c>
      <c r="E121" s="99">
        <v>45938.0</v>
      </c>
      <c r="F121" s="100" t="str">
        <f t="shared" si="1"/>
        <v>2025</v>
      </c>
      <c r="G121" s="100" t="str">
        <f t="shared" si="2"/>
        <v>10Okt</v>
      </c>
      <c r="H121" s="100" t="str">
        <f t="shared" si="3"/>
        <v>Rabu</v>
      </c>
      <c r="I121" s="97" t="s">
        <v>74</v>
      </c>
      <c r="J121" s="97" t="s">
        <v>62</v>
      </c>
      <c r="K121" s="97" t="s">
        <v>63</v>
      </c>
      <c r="L121" s="101" t="s">
        <v>71</v>
      </c>
      <c r="M121" s="102" t="str">
        <f>IFNA(VLOOKUP(L121,'🙎‍♂️ Pasien'!G:V,2,FALSE),"")</f>
        <v>L5925109995</v>
      </c>
      <c r="N121" s="103">
        <f>IFNA(VLOOKUP(L121,'🙎‍♂️ Pasien'!G:L,3,FALSE),"")</f>
        <v>67</v>
      </c>
      <c r="O121" s="104" t="str">
        <f>IFNA(VLOOKUP(L121,'🙎‍♂️ Pasien'!G:V,6,FALSE),"")</f>
        <v>PEREMPUAN</v>
      </c>
      <c r="P121" s="104" t="str">
        <f>IFNA(VLOOKUP(L121,'🙎‍♂️ Pasien'!G:V,12,FALSE),"")</f>
        <v>KATOLIK</v>
      </c>
      <c r="Q121" s="104" t="str">
        <f>IFNA(VLOOKUP(L121:L1508,'🙎‍♂️ Pasien'!G:V,13,FALSE),"")</f>
        <v>WIRASWASTA</v>
      </c>
      <c r="R121" s="104" t="str">
        <f t="array" ref="R121">ifna(xlookup(L121,'🙎‍♂️ Pasien'!$G$5:$G1508,'🙎‍♂️ Pasien'!$T$5:$T1508),"")</f>
        <v>LUTUT</v>
      </c>
      <c r="S121" s="104" t="str">
        <f t="array" ref="S121">ifna(xlookup(L121,'🙎‍♂️ Pasien'!$G$5:$G1508,'🙎‍♂️ Pasien'!$U$5:$U1508),"")</f>
        <v>IBU RUMAH TANGGA</v>
      </c>
      <c r="T121" s="97" t="s">
        <v>59</v>
      </c>
      <c r="U121" s="105">
        <v>2.0</v>
      </c>
      <c r="V121" s="101"/>
      <c r="W121" s="106" t="b">
        <v>1</v>
      </c>
      <c r="X121" s="107"/>
      <c r="Y121" s="108"/>
    </row>
    <row r="122" ht="22.5" customHeight="1">
      <c r="A122" s="96"/>
      <c r="B122" s="97" t="s">
        <v>53</v>
      </c>
      <c r="C122" s="98" t="str">
        <f t="array" ref="C122">IFNA(XLOOKUP(J122,'⚙️ Pengaturan'!$H$5:$H1508,'⚙️ Pengaturan'!$I$5:$I1508),"")</f>
        <v>TIM A</v>
      </c>
      <c r="D122" s="97" t="s">
        <v>54</v>
      </c>
      <c r="E122" s="99">
        <v>45938.0</v>
      </c>
      <c r="F122" s="100" t="str">
        <f t="shared" si="1"/>
        <v>2025</v>
      </c>
      <c r="G122" s="100" t="str">
        <f t="shared" si="2"/>
        <v>10Okt</v>
      </c>
      <c r="H122" s="100" t="str">
        <f t="shared" si="3"/>
        <v>Rabu</v>
      </c>
      <c r="I122" s="97" t="s">
        <v>76</v>
      </c>
      <c r="J122" s="97" t="s">
        <v>72</v>
      </c>
      <c r="K122" s="97" t="s">
        <v>69</v>
      </c>
      <c r="L122" s="101" t="s">
        <v>159</v>
      </c>
      <c r="M122" s="102" t="str">
        <f>IFNA(VLOOKUP(L122,'🙎‍♂️ Pasien'!G:V,2,FALSE),"")</f>
        <v>A0925107929</v>
      </c>
      <c r="N122" s="103">
        <f>IFNA(VLOOKUP(L122,'🙎‍♂️ Pasien'!G:L,3,FALSE),"")</f>
        <v>16</v>
      </c>
      <c r="O122" s="104" t="str">
        <f>IFNA(VLOOKUP(L122,'🙎‍♂️ Pasien'!G:V,6,FALSE),"")</f>
        <v>PEREMPUAN</v>
      </c>
      <c r="P122" s="104" t="str">
        <f>IFNA(VLOOKUP(L122,'🙎‍♂️ Pasien'!G:V,12,FALSE),"")</f>
        <v>ISLAM</v>
      </c>
      <c r="Q122" s="104" t="str">
        <f>IFNA(VLOOKUP(L122:L1508,'🙎‍♂️ Pasien'!G:V,13,FALSE),"")</f>
        <v>PELAJAR</v>
      </c>
      <c r="R122" s="104" t="str">
        <f t="array" ref="R122">ifna(xlookup(L122,'🙎‍♂️ Pasien'!$G$5:$G1508,'🙎‍♂️ Pasien'!$T$5:$T1508),"")</f>
        <v>SAYA MERASA KAKI SAYA PANJANG SEBELAH, KALO BERDIRI LAMA ITU KAKI SAKIT SEBELAH</v>
      </c>
      <c r="S122" s="104" t="str">
        <f t="array" ref="S122">ifna(xlookup(L122,'🙎‍♂️ Pasien'!$G$5:$G1508,'🙎‍♂️ Pasien'!$U$5:$U1508),"")</f>
        <v>SAYA RASA TIDAK ADA</v>
      </c>
      <c r="T122" s="97" t="s">
        <v>59</v>
      </c>
      <c r="U122" s="105" t="s">
        <v>60</v>
      </c>
      <c r="V122" s="101"/>
      <c r="W122" s="106" t="b">
        <v>1</v>
      </c>
      <c r="X122" s="107"/>
      <c r="Y122" s="108"/>
    </row>
    <row r="123" ht="22.5" customHeight="1">
      <c r="A123" s="96"/>
      <c r="B123" s="97" t="s">
        <v>53</v>
      </c>
      <c r="C123" s="98" t="str">
        <f t="array" ref="C123">IFNA(XLOOKUP(J123,'⚙️ Pengaturan'!$H$5:$H1508,'⚙️ Pengaturan'!$I$5:$I1508),"")</f>
        <v>TIM Y</v>
      </c>
      <c r="D123" s="97" t="s">
        <v>54</v>
      </c>
      <c r="E123" s="99">
        <v>45938.0</v>
      </c>
      <c r="F123" s="100" t="str">
        <f t="shared" si="1"/>
        <v>2025</v>
      </c>
      <c r="G123" s="100" t="str">
        <f t="shared" si="2"/>
        <v>10Okt</v>
      </c>
      <c r="H123" s="100" t="str">
        <f t="shared" si="3"/>
        <v>Rabu</v>
      </c>
      <c r="I123" s="97" t="s">
        <v>76</v>
      </c>
      <c r="J123" s="97" t="s">
        <v>56</v>
      </c>
      <c r="K123" s="97" t="s">
        <v>57</v>
      </c>
      <c r="L123" s="101" t="s">
        <v>202</v>
      </c>
      <c r="M123" s="102" t="str">
        <f>IFNA(VLOOKUP(L123,'🙎‍♂️ Pasien'!G:V,2,FALSE),"")</f>
        <v>B9925104512</v>
      </c>
      <c r="N123" s="103">
        <f>IFNA(VLOOKUP(L123,'🙎‍♂️ Pasien'!G:L,3,FALSE),"")</f>
        <v>26</v>
      </c>
      <c r="O123" s="104" t="str">
        <f>IFNA(VLOOKUP(L123,'🙎‍♂️ Pasien'!G:V,6,FALSE),"")</f>
        <v>LAKI-LAKI</v>
      </c>
      <c r="P123" s="104" t="str">
        <f>IFNA(VLOOKUP(L123,'🙎‍♂️ Pasien'!G:V,12,FALSE),"")</f>
        <v>ISLAM</v>
      </c>
      <c r="Q123" s="104" t="str">
        <f>IFNA(VLOOKUP(L123:L1508,'🙎‍♂️ Pasien'!G:V,13,FALSE),"")</f>
        <v>SWASTA</v>
      </c>
      <c r="R123" s="104" t="str">
        <f t="array" ref="R123">ifna(xlookup(L123,'🙎‍♂️ Pasien'!$G$5:$G1508,'🙎‍♂️ Pasien'!$T$5:$T1508),"")</f>
        <v>CIDERA LUTUT SALAH TUMPUAN PAS MAIN BOLA</v>
      </c>
      <c r="S123" s="104" t="str">
        <f t="array" ref="S123">ifna(xlookup(L123,'🙎‍♂️ Pasien'!$G$5:$G1508,'🙎‍♂️ Pasien'!$U$5:$U1508),"")</f>
        <v>SEPAK BOLA</v>
      </c>
      <c r="T123" s="97" t="s">
        <v>59</v>
      </c>
      <c r="U123" s="105" t="s">
        <v>60</v>
      </c>
      <c r="V123" s="101"/>
      <c r="W123" s="106" t="b">
        <v>1</v>
      </c>
      <c r="X123" s="107"/>
      <c r="Y123" s="108"/>
    </row>
    <row r="124" ht="22.5" customHeight="1">
      <c r="A124" s="96"/>
      <c r="B124" s="97" t="s">
        <v>53</v>
      </c>
      <c r="C124" s="98" t="str">
        <f t="array" ref="C124">IFNA(XLOOKUP(J124,'⚙️ Pengaturan'!$H$5:$H1508,'⚙️ Pengaturan'!$I$5:$I1508),"")</f>
        <v>TIM A</v>
      </c>
      <c r="D124" s="97" t="s">
        <v>54</v>
      </c>
      <c r="E124" s="99">
        <v>45938.0</v>
      </c>
      <c r="F124" s="100" t="str">
        <f t="shared" si="1"/>
        <v>2025</v>
      </c>
      <c r="G124" s="100" t="str">
        <f t="shared" si="2"/>
        <v>10Okt</v>
      </c>
      <c r="H124" s="100" t="str">
        <f t="shared" si="3"/>
        <v>Rabu</v>
      </c>
      <c r="I124" s="97" t="s">
        <v>76</v>
      </c>
      <c r="J124" s="97" t="s">
        <v>62</v>
      </c>
      <c r="K124" s="97" t="s">
        <v>63</v>
      </c>
      <c r="L124" s="101" t="s">
        <v>179</v>
      </c>
      <c r="M124" s="102" t="str">
        <f>IFNA(VLOOKUP(L124,'🙎‍♂️ Pasien'!G:V,2,FALSE),"")</f>
        <v>C9725104448</v>
      </c>
      <c r="N124" s="103">
        <f>IFNA(VLOOKUP(L124,'🙎‍♂️ Pasien'!G:L,3,FALSE),"")</f>
        <v>29</v>
      </c>
      <c r="O124" s="104" t="str">
        <f>IFNA(VLOOKUP(L124,'🙎‍♂️ Pasien'!G:V,6,FALSE),"")</f>
        <v>PEREMPUAN</v>
      </c>
      <c r="P124" s="104" t="str">
        <f>IFNA(VLOOKUP(L124,'🙎‍♂️ Pasien'!G:V,12,FALSE),"")</f>
        <v>KATOLIK</v>
      </c>
      <c r="Q124" s="104" t="str">
        <f>IFNA(VLOOKUP(L124:L1508,'🙎‍♂️ Pasien'!G:V,13,FALSE),"")</f>
        <v>IBU RUMAH TANGGA</v>
      </c>
      <c r="R124" s="104" t="str">
        <f t="array" ref="R124">ifna(xlookup(L124,'🙎‍♂️ Pasien'!$G$5:$G1508,'🙎‍♂️ Pasien'!$T$5:$T1508),"")</f>
        <v>SAKIT DIDAERAH BOKONG KARNA JATUH</v>
      </c>
      <c r="S124" s="104" t="str">
        <f t="array" ref="S124">ifna(xlookup(L124,'🙎‍♂️ Pasien'!$G$5:$G1508,'🙎‍♂️ Pasien'!$U$5:$U1508),"")</f>
        <v>SENAM AEROBIK</v>
      </c>
      <c r="T124" s="97" t="s">
        <v>59</v>
      </c>
      <c r="U124" s="105">
        <v>1.0</v>
      </c>
      <c r="V124" s="101"/>
      <c r="W124" s="106" t="b">
        <v>1</v>
      </c>
      <c r="X124" s="107"/>
      <c r="Y124" s="108"/>
    </row>
    <row r="125" ht="22.5" customHeight="1">
      <c r="A125" s="96"/>
      <c r="B125" s="97" t="s">
        <v>53</v>
      </c>
      <c r="C125" s="98" t="str">
        <f t="array" ref="C125">IFNA(XLOOKUP(J125,'⚙️ Pengaturan'!$H$5:$H1508,'⚙️ Pengaturan'!$I$5:$I1508),"")</f>
        <v>TIM Y</v>
      </c>
      <c r="D125" s="97" t="s">
        <v>54</v>
      </c>
      <c r="E125" s="99">
        <v>45938.0</v>
      </c>
      <c r="F125" s="100" t="str">
        <f t="shared" si="1"/>
        <v>2025</v>
      </c>
      <c r="G125" s="100" t="str">
        <f t="shared" si="2"/>
        <v>10Okt</v>
      </c>
      <c r="H125" s="100" t="str">
        <f t="shared" si="3"/>
        <v>Rabu</v>
      </c>
      <c r="I125" s="97" t="s">
        <v>83</v>
      </c>
      <c r="J125" s="97" t="s">
        <v>56</v>
      </c>
      <c r="K125" s="97" t="s">
        <v>69</v>
      </c>
      <c r="L125" s="101" t="s">
        <v>141</v>
      </c>
      <c r="M125" s="102" t="str">
        <f>IFNA(VLOOKUP(L125,'🙎‍♂️ Pasien'!G:V,2,FALSE),"")</f>
        <v>R7925105884</v>
      </c>
      <c r="N125" s="103">
        <f>IFNA(VLOOKUP(L125,'🙎‍♂️ Pasien'!G:L,3,FALSE),"")</f>
        <v>46</v>
      </c>
      <c r="O125" s="104" t="str">
        <f>IFNA(VLOOKUP(L125,'🙎‍♂️ Pasien'!G:V,6,FALSE),"")</f>
        <v>LAKI-LAKI</v>
      </c>
      <c r="P125" s="104" t="str">
        <f>IFNA(VLOOKUP(L125,'🙎‍♂️ Pasien'!G:V,12,FALSE),"")</f>
        <v>ISLAM</v>
      </c>
      <c r="Q125" s="104" t="str">
        <f>IFNA(VLOOKUP(L125:L1508,'🙎‍♂️ Pasien'!G:V,13,FALSE),"")</f>
        <v>GURU</v>
      </c>
      <c r="R125" s="104" t="str">
        <f t="array" ref="R125">ifna(xlookup(L125,'🙎‍♂️ Pasien'!$G$5:$G1508,'🙎‍♂️ Pasien'!$T$5:$T1508),"")</f>
        <v>CIDERA OTOT BAGIAN LUTUT</v>
      </c>
      <c r="S125" s="104" t="str">
        <f t="array" ref="S125">ifna(xlookup(L125,'🙎‍♂️ Pasien'!$G$5:$G1508,'🙎‍♂️ Pasien'!$U$5:$U1508),"")</f>
        <v>SEPAKBOLA MINI SOCCER</v>
      </c>
      <c r="T125" s="97" t="s">
        <v>59</v>
      </c>
      <c r="U125" s="105" t="s">
        <v>60</v>
      </c>
      <c r="V125" s="101"/>
      <c r="W125" s="106" t="b">
        <v>1</v>
      </c>
      <c r="X125" s="107"/>
      <c r="Y125" s="108"/>
    </row>
    <row r="126" ht="22.5" customHeight="1">
      <c r="A126" s="96"/>
      <c r="B126" s="97" t="s">
        <v>53</v>
      </c>
      <c r="C126" s="98" t="str">
        <f t="array" ref="C126">IFNA(XLOOKUP(J126,'⚙️ Pengaturan'!$H$5:$H1508,'⚙️ Pengaturan'!$I$5:$I1508),"")</f>
        <v>MANAJEMEN</v>
      </c>
      <c r="D126" s="97" t="s">
        <v>54</v>
      </c>
      <c r="E126" s="99">
        <v>45938.0</v>
      </c>
      <c r="F126" s="100" t="str">
        <f t="shared" si="1"/>
        <v>2025</v>
      </c>
      <c r="G126" s="100" t="str">
        <f t="shared" si="2"/>
        <v>10Okt</v>
      </c>
      <c r="H126" s="100" t="str">
        <f t="shared" si="3"/>
        <v>Rabu</v>
      </c>
      <c r="I126" s="97" t="s">
        <v>83</v>
      </c>
      <c r="J126" s="97" t="s">
        <v>101</v>
      </c>
      <c r="K126" s="97" t="s">
        <v>63</v>
      </c>
      <c r="L126" s="101" t="s">
        <v>203</v>
      </c>
      <c r="M126" s="102" t="str">
        <f>IFNA(VLOOKUP(L126,'🙎‍♂️ Pasien'!G:V,2,FALSE),"")</f>
        <v>R7723022907</v>
      </c>
      <c r="N126" s="103">
        <f>IFNA(VLOOKUP(L126,'🙎‍♂️ Pasien'!G:L,3,FALSE),"")</f>
        <v>48</v>
      </c>
      <c r="O126" s="104" t="str">
        <f>IFNA(VLOOKUP(L126,'🙎‍♂️ Pasien'!G:V,6,FALSE),"")</f>
        <v>PEREMPUAN</v>
      </c>
      <c r="P126" s="104" t="str">
        <f>IFNA(VLOOKUP(L126,'🙎‍♂️ Pasien'!G:V,12,FALSE),"")</f>
        <v>LAINNYA</v>
      </c>
      <c r="Q126" s="104" t="str">
        <f>IFNA(VLOOKUP(L126:L1508,'🙎‍♂️ Pasien'!G:V,13,FALSE),"")</f>
        <v>RUMAH TANGGA</v>
      </c>
      <c r="R126" s="104" t="str">
        <f t="array" ref="R126">ifna(xlookup(L126,'🙎‍♂️ Pasien'!$G$5:$G1508,'🙎‍♂️ Pasien'!$T$5:$T1508),"")</f>
        <v>TULANG EKOR</v>
      </c>
      <c r="S126" s="104" t="str">
        <f t="array" ref="S126">ifna(xlookup(L126,'🙎‍♂️ Pasien'!$G$5:$G1508,'🙎‍♂️ Pasien'!$U$5:$U1508),"")</f>
        <v>LARI</v>
      </c>
      <c r="T126" s="97" t="s">
        <v>59</v>
      </c>
      <c r="U126" s="105">
        <v>3.0</v>
      </c>
      <c r="V126" s="101"/>
      <c r="W126" s="106" t="b">
        <v>1</v>
      </c>
      <c r="X126" s="107"/>
      <c r="Y126" s="108"/>
    </row>
    <row r="127" ht="22.5" customHeight="1">
      <c r="A127" s="96"/>
      <c r="B127" s="97" t="s">
        <v>85</v>
      </c>
      <c r="C127" s="98" t="str">
        <f t="array" ref="C127">IFNA(XLOOKUP(J127,'⚙️ Pengaturan'!$H$5:$H1508,'⚙️ Pengaturan'!$I$5:$I1508),"")</f>
        <v>TIM Y</v>
      </c>
      <c r="D127" s="97" t="s">
        <v>86</v>
      </c>
      <c r="E127" s="99">
        <v>45938.0</v>
      </c>
      <c r="F127" s="100" t="str">
        <f t="shared" si="1"/>
        <v>2025</v>
      </c>
      <c r="G127" s="100" t="str">
        <f t="shared" si="2"/>
        <v>10Okt</v>
      </c>
      <c r="H127" s="100" t="str">
        <f t="shared" si="3"/>
        <v>Rabu</v>
      </c>
      <c r="I127" s="97" t="s">
        <v>87</v>
      </c>
      <c r="J127" s="97" t="s">
        <v>107</v>
      </c>
      <c r="K127" s="97" t="s">
        <v>63</v>
      </c>
      <c r="L127" s="101" t="s">
        <v>153</v>
      </c>
      <c r="M127" s="102" t="str">
        <f>IFNA(VLOOKUP(L127,'🙎‍♂️ Pasien'!G:V,2,FALSE),"")</f>
        <v>S6225086797</v>
      </c>
      <c r="N127" s="103">
        <f>IFNA(VLOOKUP(L127,'🙎‍♂️ Pasien'!G:L,3,FALSE),"")</f>
        <v>63</v>
      </c>
      <c r="O127" s="104" t="str">
        <f>IFNA(VLOOKUP(L127,'🙎‍♂️ Pasien'!G:V,6,FALSE),"")</f>
        <v>PEREMPUAN</v>
      </c>
      <c r="P127" s="104" t="str">
        <f>IFNA(VLOOKUP(L127,'🙎‍♂️ Pasien'!G:V,12,FALSE),"")</f>
        <v>ISLAM</v>
      </c>
      <c r="Q127" s="104" t="str">
        <f>IFNA(VLOOKUP(L127:L1508,'🙎‍♂️ Pasien'!G:V,13,FALSE),"")</f>
        <v>-</v>
      </c>
      <c r="R127" s="104" t="str">
        <f t="array" ref="R127">ifna(xlookup(L127,'🙎‍♂️ Pasien'!$G$5:$G1508,'🙎‍♂️ Pasien'!$T$5:$T1508),"")</f>
        <v>TANGAN KANAN BAGIAN ATAS, SAKIT SAAT DIGERAKKAN</v>
      </c>
      <c r="S127" s="104" t="str">
        <f t="array" ref="S127">ifna(xlookup(L127,'🙎‍♂️ Pasien'!$G$5:$G1508,'🙎‍♂️ Pasien'!$U$5:$U1508),"")</f>
        <v>PEKERJAAN RUMAH TANGGA</v>
      </c>
      <c r="T127" s="97" t="s">
        <v>59</v>
      </c>
      <c r="U127" s="105">
        <v>5.0</v>
      </c>
      <c r="V127" s="101" t="s">
        <v>125</v>
      </c>
      <c r="W127" s="106" t="b">
        <v>1</v>
      </c>
      <c r="X127" s="107"/>
      <c r="Y127" s="108"/>
    </row>
    <row r="128" ht="22.5" customHeight="1">
      <c r="A128" s="96"/>
      <c r="B128" s="97" t="s">
        <v>85</v>
      </c>
      <c r="C128" s="98" t="str">
        <f t="array" ref="C128">IFNA(XLOOKUP(J128,'⚙️ Pengaturan'!$H$5:$H1508,'⚙️ Pengaturan'!$I$5:$I1508),"")</f>
        <v>TIM Y</v>
      </c>
      <c r="D128" s="97" t="s">
        <v>86</v>
      </c>
      <c r="E128" s="99">
        <v>45938.0</v>
      </c>
      <c r="F128" s="100" t="str">
        <f t="shared" si="1"/>
        <v>2025</v>
      </c>
      <c r="G128" s="100" t="str">
        <f t="shared" si="2"/>
        <v>10Okt</v>
      </c>
      <c r="H128" s="100" t="str">
        <f t="shared" si="3"/>
        <v>Rabu</v>
      </c>
      <c r="I128" s="97" t="s">
        <v>93</v>
      </c>
      <c r="J128" s="97" t="s">
        <v>91</v>
      </c>
      <c r="K128" s="97" t="s">
        <v>63</v>
      </c>
      <c r="L128" s="101" t="s">
        <v>94</v>
      </c>
      <c r="M128" s="102" t="str">
        <f>IFNA(VLOOKUP(L128,'🙎‍♂️ Pasien'!G:V,2,FALSE),"")</f>
        <v>A0825098780</v>
      </c>
      <c r="N128" s="103">
        <f>IFNA(VLOOKUP(L128,'🙎‍♂️ Pasien'!G:L,3,FALSE),"")</f>
        <v>18</v>
      </c>
      <c r="O128" s="104" t="str">
        <f>IFNA(VLOOKUP(L128,'🙎‍♂️ Pasien'!G:V,6,FALSE),"")</f>
        <v>PEREMPUAN</v>
      </c>
      <c r="P128" s="104" t="str">
        <f>IFNA(VLOOKUP(L128,'🙎‍♂️ Pasien'!G:V,12,FALSE),"")</f>
        <v>ISLAM</v>
      </c>
      <c r="Q128" s="104" t="str">
        <f>IFNA(VLOOKUP(L128:L1508,'🙎‍♂️ Pasien'!G:V,13,FALSE),"")</f>
        <v>PELAJAR</v>
      </c>
      <c r="R128" s="104" t="str">
        <f t="array" ref="R128">ifna(xlookup(L128,'🙎‍♂️ Pasien'!$G$5:$G1508,'🙎‍♂️ Pasien'!$T$5:$T1508),"")</f>
        <v>SAKIT DI LUTUT</v>
      </c>
      <c r="S128" s="104" t="str">
        <f t="array" ref="S128">ifna(xlookup(L128,'🙎‍♂️ Pasien'!$G$5:$G1508,'🙎‍♂️ Pasien'!$U$5:$U1508),"")</f>
        <v>MAIN BASKET</v>
      </c>
      <c r="T128" s="97" t="s">
        <v>59</v>
      </c>
      <c r="U128" s="105">
        <v>4.0</v>
      </c>
      <c r="V128" s="101"/>
      <c r="W128" s="106" t="b">
        <v>1</v>
      </c>
      <c r="X128" s="107"/>
      <c r="Y128" s="108"/>
    </row>
    <row r="129" ht="22.5" customHeight="1">
      <c r="A129" s="96"/>
      <c r="B129" s="97" t="s">
        <v>85</v>
      </c>
      <c r="C129" s="98" t="str">
        <f t="array" ref="C129">IFNA(XLOOKUP(J129,'⚙️ Pengaturan'!$H$5:$H1508,'⚙️ Pengaturan'!$I$5:$I1508),"")</f>
        <v>TIM Y</v>
      </c>
      <c r="D129" s="97" t="s">
        <v>86</v>
      </c>
      <c r="E129" s="99">
        <v>45938.0</v>
      </c>
      <c r="F129" s="100" t="str">
        <f t="shared" si="1"/>
        <v>2025</v>
      </c>
      <c r="G129" s="100" t="str">
        <f t="shared" si="2"/>
        <v>10Okt</v>
      </c>
      <c r="H129" s="100" t="str">
        <f t="shared" si="3"/>
        <v>Rabu</v>
      </c>
      <c r="I129" s="97" t="s">
        <v>95</v>
      </c>
      <c r="J129" s="97" t="s">
        <v>88</v>
      </c>
      <c r="K129" s="97" t="s">
        <v>63</v>
      </c>
      <c r="L129" s="101" t="s">
        <v>181</v>
      </c>
      <c r="M129" s="102" t="str">
        <f>IFNA(VLOOKUP(L129,'🙎‍♂️ Pasien'!G:V,2,FALSE),"")</f>
        <v>D0525097586</v>
      </c>
      <c r="N129" s="103">
        <f>IFNA(VLOOKUP(L129,'🙎‍♂️ Pasien'!G:L,3,FALSE),"")</f>
        <v>21</v>
      </c>
      <c r="O129" s="104" t="str">
        <f>IFNA(VLOOKUP(L129,'🙎‍♂️ Pasien'!G:V,6,FALSE),"")</f>
        <v>LAKI-LAKI</v>
      </c>
      <c r="P129" s="104" t="str">
        <f>IFNA(VLOOKUP(L129,'🙎‍♂️ Pasien'!G:V,12,FALSE),"")</f>
        <v>ISLAM</v>
      </c>
      <c r="Q129" s="104" t="str">
        <f>IFNA(VLOOKUP(L129:L1508,'🙎‍♂️ Pasien'!G:V,13,FALSE),"")</f>
        <v>JAGA STAND</v>
      </c>
      <c r="R129" s="104" t="str">
        <f t="array" ref="R129">ifna(xlookup(L129,'🙎‍♂️ Pasien'!$G$5:$G1508,'🙎‍♂️ Pasien'!$T$5:$T1508),"")</f>
        <v>TERTURUN/TURUN BEROK</v>
      </c>
      <c r="S129" s="104" t="str">
        <f t="array" ref="S129">ifna(xlookup(L129,'🙎‍♂️ Pasien'!$G$5:$G1508,'🙎‍♂️ Pasien'!$U$5:$U1508),"")</f>
        <v>SAAT MAIN BOLA</v>
      </c>
      <c r="T129" s="97" t="s">
        <v>59</v>
      </c>
      <c r="U129" s="105">
        <v>3.0</v>
      </c>
      <c r="V129" s="101"/>
      <c r="W129" s="106" t="b">
        <v>1</v>
      </c>
      <c r="X129" s="107"/>
      <c r="Y129" s="108"/>
    </row>
    <row r="130" ht="22.5" customHeight="1">
      <c r="A130" s="96"/>
      <c r="B130" s="97" t="s">
        <v>85</v>
      </c>
      <c r="C130" s="98" t="str">
        <f t="array" ref="C130">IFNA(XLOOKUP(J130,'⚙️ Pengaturan'!$H$5:$H1508,'⚙️ Pengaturan'!$I$5:$I1508),"")</f>
        <v>TIM Y</v>
      </c>
      <c r="D130" s="97" t="s">
        <v>86</v>
      </c>
      <c r="E130" s="99">
        <v>45938.0</v>
      </c>
      <c r="F130" s="100" t="str">
        <f t="shared" si="1"/>
        <v>2025</v>
      </c>
      <c r="G130" s="100" t="str">
        <f t="shared" si="2"/>
        <v>10Okt</v>
      </c>
      <c r="H130" s="100" t="str">
        <f t="shared" si="3"/>
        <v>Rabu</v>
      </c>
      <c r="I130" s="97" t="s">
        <v>97</v>
      </c>
      <c r="J130" s="97" t="s">
        <v>88</v>
      </c>
      <c r="K130" s="97" t="s">
        <v>63</v>
      </c>
      <c r="L130" s="101" t="s">
        <v>98</v>
      </c>
      <c r="M130" s="102" t="str">
        <f>IFNA(VLOOKUP(L130,'🙎‍♂️ Pasien'!G:V,2,FALSE),"")</f>
        <v>L9925048099</v>
      </c>
      <c r="N130" s="103">
        <f>IFNA(VLOOKUP(L130,'🙎‍♂️ Pasien'!G:L,3,FALSE),"")</f>
        <v>26</v>
      </c>
      <c r="O130" s="104" t="str">
        <f>IFNA(VLOOKUP(L130,'🙎‍♂️ Pasien'!G:V,6,FALSE),"")</f>
        <v>PEREMPUAN</v>
      </c>
      <c r="P130" s="104" t="str">
        <f>IFNA(VLOOKUP(L130,'🙎‍♂️ Pasien'!G:V,12,FALSE),"")</f>
        <v>KATOLIK</v>
      </c>
      <c r="Q130" s="104" t="str">
        <f>IFNA(VLOOKUP(L130:L1508,'🙎‍♂️ Pasien'!G:V,13,FALSE),"")</f>
        <v>ACCOUNTING</v>
      </c>
      <c r="R130" s="104" t="str">
        <f t="array" ref="R130">ifna(xlookup(L130,'🙎‍♂️ Pasien'!$G$5:$G1508,'🙎‍♂️ Pasien'!$T$5:$T1508),"")</f>
        <v>NYERI TULANG BELAKANG SAMPAI KAKI, NYERI DI BAGIAN LUTUT JUGA</v>
      </c>
      <c r="S130" s="104" t="str">
        <f t="array" ref="S130">ifna(xlookup(L130,'🙎‍♂️ Pasien'!$G$5:$G1508,'🙎‍♂️ Pasien'!$U$5:$U1508),"")</f>
        <v>BANYAK DUDUK</v>
      </c>
      <c r="T130" s="97" t="s">
        <v>59</v>
      </c>
      <c r="U130" s="105">
        <v>7.0</v>
      </c>
      <c r="V130" s="101"/>
      <c r="W130" s="106" t="b">
        <v>1</v>
      </c>
      <c r="X130" s="107"/>
      <c r="Y130" s="108"/>
    </row>
    <row r="131" ht="22.5" customHeight="1">
      <c r="A131" s="96"/>
      <c r="B131" s="97" t="s">
        <v>85</v>
      </c>
      <c r="C131" s="98" t="str">
        <f t="array" ref="C131">IFNA(XLOOKUP(J131,'⚙️ Pengaturan'!$H$5:$H1508,'⚙️ Pengaturan'!$I$5:$I1508),"")</f>
        <v>TIM Y</v>
      </c>
      <c r="D131" s="97" t="s">
        <v>86</v>
      </c>
      <c r="E131" s="99">
        <v>45938.0</v>
      </c>
      <c r="F131" s="100" t="str">
        <f t="shared" si="1"/>
        <v>2025</v>
      </c>
      <c r="G131" s="100" t="str">
        <f t="shared" si="2"/>
        <v>10Okt</v>
      </c>
      <c r="H131" s="100" t="str">
        <f t="shared" si="3"/>
        <v>Rabu</v>
      </c>
      <c r="I131" s="97" t="s">
        <v>99</v>
      </c>
      <c r="J131" s="97" t="s">
        <v>88</v>
      </c>
      <c r="K131" s="97" t="s">
        <v>69</v>
      </c>
      <c r="L131" s="101" t="s">
        <v>182</v>
      </c>
      <c r="M131" s="102" t="str">
        <f>IFNA(VLOOKUP(L131,'🙎‍♂️ Pasien'!G:V,2,FALSE),"")</f>
        <v>J8823019998</v>
      </c>
      <c r="N131" s="103">
        <f>IFNA(VLOOKUP(L131,'🙎‍♂️ Pasien'!G:L,3,FALSE),"")</f>
        <v>38</v>
      </c>
      <c r="O131" s="104" t="str">
        <f>IFNA(VLOOKUP(L131,'🙎‍♂️ Pasien'!G:V,6,FALSE),"")</f>
        <v>LAKI-LAKI</v>
      </c>
      <c r="P131" s="104" t="str">
        <f>IFNA(VLOOKUP(L131,'🙎‍♂️ Pasien'!G:V,12,FALSE),"")</f>
        <v>BUDDHA</v>
      </c>
      <c r="Q131" s="104" t="str">
        <f>IFNA(VLOOKUP(L131:L1508,'🙎‍♂️ Pasien'!G:V,13,FALSE),"")</f>
        <v>WIRASWASTA</v>
      </c>
      <c r="R131" s="104" t="str">
        <f t="array" ref="R131">ifna(xlookup(L131,'🙎‍♂️ Pasien'!$G$5:$G1508,'🙎‍♂️ Pasien'!$T$5:$T1508),"")</f>
        <v>STROKE</v>
      </c>
      <c r="S131" s="104" t="str">
        <f t="array" ref="S131">ifna(xlookup(L131,'🙎‍♂️ Pasien'!$G$5:$G1508,'🙎‍♂️ Pasien'!$U$5:$U1508),"")</f>
        <v>-</v>
      </c>
      <c r="T131" s="97" t="s">
        <v>59</v>
      </c>
      <c r="U131" s="105" t="s">
        <v>60</v>
      </c>
      <c r="V131" s="101"/>
      <c r="W131" s="106" t="b">
        <v>1</v>
      </c>
      <c r="X131" s="107"/>
      <c r="Y131" s="108"/>
    </row>
    <row r="132" ht="22.5" customHeight="1">
      <c r="A132" s="96"/>
      <c r="B132" s="97" t="s">
        <v>85</v>
      </c>
      <c r="C132" s="98" t="str">
        <f t="array" ref="C132">IFNA(XLOOKUP(J132,'⚙️ Pengaturan'!$H$5:$H1508,'⚙️ Pengaturan'!$I$5:$I1508),"")</f>
        <v>TIM Y</v>
      </c>
      <c r="D132" s="97" t="s">
        <v>86</v>
      </c>
      <c r="E132" s="99">
        <v>45938.0</v>
      </c>
      <c r="F132" s="100" t="str">
        <f t="shared" si="1"/>
        <v>2025</v>
      </c>
      <c r="G132" s="100" t="str">
        <f t="shared" si="2"/>
        <v>10Okt</v>
      </c>
      <c r="H132" s="100" t="str">
        <f t="shared" si="3"/>
        <v>Rabu</v>
      </c>
      <c r="I132" s="97" t="s">
        <v>99</v>
      </c>
      <c r="J132" s="97" t="s">
        <v>91</v>
      </c>
      <c r="K132" s="97" t="s">
        <v>63</v>
      </c>
      <c r="L132" s="101" t="s">
        <v>204</v>
      </c>
      <c r="M132" s="102" t="str">
        <f>IFNA(VLOOKUP(L132,'🙎‍♂️ Pasien'!G:V,2,FALSE),"")</f>
        <v>R0125045992</v>
      </c>
      <c r="N132" s="103">
        <f>IFNA(VLOOKUP(L132,'🙎‍♂️ Pasien'!G:L,3,FALSE),"")</f>
        <v>25</v>
      </c>
      <c r="O132" s="104" t="str">
        <f>IFNA(VLOOKUP(L132,'🙎‍♂️ Pasien'!G:V,6,FALSE),"")</f>
        <v>PEREMPUAN</v>
      </c>
      <c r="P132" s="104" t="str">
        <f>IFNA(VLOOKUP(L132,'🙎‍♂️ Pasien'!G:V,12,FALSE),"")</f>
        <v>ISLAM</v>
      </c>
      <c r="Q132" s="104" t="str">
        <f>IFNA(VLOOKUP(L132:L1508,'🙎‍♂️ Pasien'!G:V,13,FALSE),"")</f>
        <v>-</v>
      </c>
      <c r="R132" s="104" t="str">
        <f t="array" ref="R132">ifna(xlookup(L132,'🙎‍♂️ Pasien'!$G$5:$G1508,'🙎‍♂️ Pasien'!$T$5:$T1508),"")</f>
        <v>SKOLIOSIS</v>
      </c>
      <c r="S132" s="104" t="str">
        <f t="array" ref="S132">ifna(xlookup(L132,'🙎‍♂️ Pasien'!$G$5:$G1508,'🙎‍♂️ Pasien'!$U$5:$U1508),"")</f>
        <v>PEKERJAAN</v>
      </c>
      <c r="T132" s="97" t="s">
        <v>67</v>
      </c>
      <c r="U132" s="105">
        <v>5.0</v>
      </c>
      <c r="V132" s="101" t="s">
        <v>205</v>
      </c>
      <c r="W132" s="106" t="b">
        <v>1</v>
      </c>
      <c r="X132" s="107"/>
      <c r="Y132" s="108"/>
    </row>
    <row r="133" ht="22.5" customHeight="1">
      <c r="A133" s="96"/>
      <c r="B133" s="97" t="s">
        <v>53</v>
      </c>
      <c r="C133" s="98" t="str">
        <f t="array" ref="C133">IFNA(XLOOKUP(J133,'⚙️ Pengaturan'!$H$5:$H1508,'⚙️ Pengaturan'!$I$5:$I1508),"")</f>
        <v>TIM Y</v>
      </c>
      <c r="D133" s="97" t="s">
        <v>86</v>
      </c>
      <c r="E133" s="99">
        <v>45939.0</v>
      </c>
      <c r="F133" s="100" t="str">
        <f t="shared" si="1"/>
        <v>2025</v>
      </c>
      <c r="G133" s="100" t="str">
        <f t="shared" si="2"/>
        <v>10Okt</v>
      </c>
      <c r="H133" s="100" t="str">
        <f t="shared" si="3"/>
        <v>Kamis</v>
      </c>
      <c r="I133" s="97" t="s">
        <v>55</v>
      </c>
      <c r="J133" s="97" t="s">
        <v>91</v>
      </c>
      <c r="K133" s="97" t="s">
        <v>63</v>
      </c>
      <c r="L133" s="101" t="s">
        <v>170</v>
      </c>
      <c r="M133" s="102" t="str">
        <f>IFNA(VLOOKUP(L133,'🙎‍♂️ Pasien'!G:V,2,FALSE),"")</f>
        <v>B8025102980</v>
      </c>
      <c r="N133" s="103">
        <f>IFNA(VLOOKUP(L133,'🙎‍♂️ Pasien'!G:L,3,FALSE),"")</f>
        <v>45</v>
      </c>
      <c r="O133" s="104" t="str">
        <f>IFNA(VLOOKUP(L133,'🙎‍♂️ Pasien'!G:V,6,FALSE),"")</f>
        <v>PEREMPUAN</v>
      </c>
      <c r="P133" s="104" t="str">
        <f>IFNA(VLOOKUP(L133,'🙎‍♂️ Pasien'!G:V,12,FALSE),"")</f>
        <v>ISLAM</v>
      </c>
      <c r="Q133" s="104" t="str">
        <f>IFNA(VLOOKUP(L133:L1508,'🙎‍♂️ Pasien'!G:V,13,FALSE),"")</f>
        <v>IRT</v>
      </c>
      <c r="R133" s="104" t="str">
        <f t="array" ref="R133">ifna(xlookup(L133,'🙎‍♂️ Pasien'!$G$5:$G1508,'🙎‍♂️ Pasien'!$T$5:$T1508),"")</f>
        <v>TULANG EKOR AGAK SAKIT, TEMPURUNG SUKA SAKIT DAN BETIS SAKI</v>
      </c>
      <c r="S133" s="104" t="str">
        <f t="array" ref="S133">ifna(xlookup(L133,'🙎‍♂️ Pasien'!$G$5:$G1508,'🙎‍♂️ Pasien'!$U$5:$U1508),"")</f>
        <v>-</v>
      </c>
      <c r="T133" s="97" t="s">
        <v>59</v>
      </c>
      <c r="U133" s="105">
        <v>5.0</v>
      </c>
      <c r="V133" s="101" t="s">
        <v>125</v>
      </c>
      <c r="W133" s="106" t="b">
        <v>1</v>
      </c>
      <c r="X133" s="107"/>
      <c r="Y133" s="108"/>
    </row>
    <row r="134" ht="22.5" customHeight="1">
      <c r="A134" s="96"/>
      <c r="B134" s="97" t="s">
        <v>53</v>
      </c>
      <c r="C134" s="98" t="str">
        <f t="array" ref="C134">IFNA(XLOOKUP(J134,'⚙️ Pengaturan'!$H$5:$H1508,'⚙️ Pengaturan'!$I$5:$I1508),"")</f>
        <v>TIM Y</v>
      </c>
      <c r="D134" s="97" t="s">
        <v>86</v>
      </c>
      <c r="E134" s="99">
        <v>45939.0</v>
      </c>
      <c r="F134" s="100" t="str">
        <f t="shared" si="1"/>
        <v>2025</v>
      </c>
      <c r="G134" s="100" t="str">
        <f t="shared" si="2"/>
        <v>10Okt</v>
      </c>
      <c r="H134" s="100" t="str">
        <f t="shared" si="3"/>
        <v>Kamis</v>
      </c>
      <c r="I134" s="97" t="s">
        <v>55</v>
      </c>
      <c r="J134" s="97" t="s">
        <v>88</v>
      </c>
      <c r="K134" s="97" t="s">
        <v>69</v>
      </c>
      <c r="L134" s="101" t="s">
        <v>197</v>
      </c>
      <c r="M134" s="102" t="str">
        <f>IFNA(VLOOKUP(L134,'🙎‍♂️ Pasien'!G:V,2,FALSE),"")</f>
        <v>S7025063552</v>
      </c>
      <c r="N134" s="103">
        <f>IFNA(VLOOKUP(L134,'🙎‍♂️ Pasien'!G:L,3,FALSE),"")</f>
        <v>56</v>
      </c>
      <c r="O134" s="104" t="str">
        <f>IFNA(VLOOKUP(L134,'🙎‍♂️ Pasien'!G:V,6,FALSE),"")</f>
        <v>LAKI-LAKI</v>
      </c>
      <c r="P134" s="104" t="str">
        <f>IFNA(VLOOKUP(L134,'🙎‍♂️ Pasien'!G:V,12,FALSE),"")</f>
        <v>ISLAM</v>
      </c>
      <c r="Q134" s="104" t="str">
        <f>IFNA(VLOOKUP(L134:L1508,'🙎‍♂️ Pasien'!G:V,13,FALSE),"")</f>
        <v>ASN</v>
      </c>
      <c r="R134" s="104" t="str">
        <f t="array" ref="R134">ifna(xlookup(L134,'🙎‍♂️ Pasien'!$G$5:$G1508,'🙎‍♂️ Pasien'!$T$5:$T1508),"")</f>
        <v>SAKIT DI PERGELANGAN TANGAN KANAN</v>
      </c>
      <c r="S134" s="104" t="str">
        <f t="array" ref="S134">ifna(xlookup(L134,'🙎‍♂️ Pasien'!$G$5:$G1508,'🙎‍♂️ Pasien'!$U$5:$U1508),"")</f>
        <v>TENIS DAN BULUTANGKIS</v>
      </c>
      <c r="T134" s="97" t="s">
        <v>59</v>
      </c>
      <c r="U134" s="105" t="s">
        <v>60</v>
      </c>
      <c r="V134" s="101"/>
      <c r="W134" s="106" t="b">
        <v>1</v>
      </c>
      <c r="X134" s="107"/>
      <c r="Y134" s="108"/>
    </row>
    <row r="135" ht="22.5" customHeight="1">
      <c r="A135" s="96"/>
      <c r="B135" s="97" t="s">
        <v>53</v>
      </c>
      <c r="C135" s="98" t="str">
        <f t="array" ref="C135">IFNA(XLOOKUP(J135,'⚙️ Pengaturan'!$H$5:$H1508,'⚙️ Pengaturan'!$I$5:$I1508),"")</f>
        <v>TIM Y</v>
      </c>
      <c r="D135" s="97" t="s">
        <v>86</v>
      </c>
      <c r="E135" s="99">
        <v>45939.0</v>
      </c>
      <c r="F135" s="100" t="str">
        <f t="shared" si="1"/>
        <v>2025</v>
      </c>
      <c r="G135" s="100" t="str">
        <f t="shared" si="2"/>
        <v>10Okt</v>
      </c>
      <c r="H135" s="100" t="str">
        <f t="shared" si="3"/>
        <v>Kamis</v>
      </c>
      <c r="I135" s="97" t="s">
        <v>65</v>
      </c>
      <c r="J135" s="97" t="s">
        <v>107</v>
      </c>
      <c r="K135" s="97" t="s">
        <v>63</v>
      </c>
      <c r="L135" s="101" t="s">
        <v>206</v>
      </c>
      <c r="M135" s="102" t="str">
        <f>IFNA(VLOOKUP(L135,'🙎‍♂️ Pasien'!G:V,2,FALSE),"")</f>
        <v>L7225071788</v>
      </c>
      <c r="N135" s="103">
        <f>IFNA(VLOOKUP(L135,'🙎‍♂️ Pasien'!G:L,3,FALSE),"")</f>
        <v>53</v>
      </c>
      <c r="O135" s="104" t="str">
        <f>IFNA(VLOOKUP(L135,'🙎‍♂️ Pasien'!G:V,6,FALSE),"")</f>
        <v>PEREMPUAN</v>
      </c>
      <c r="P135" s="104" t="str">
        <f>IFNA(VLOOKUP(L135,'🙎‍♂️ Pasien'!G:V,12,FALSE),"")</f>
        <v>KATOLIK</v>
      </c>
      <c r="Q135" s="104" t="str">
        <f>IFNA(VLOOKUP(L135:L1508,'🙎‍♂️ Pasien'!G:V,13,FALSE),"")</f>
        <v>IBU RT</v>
      </c>
      <c r="R135" s="104" t="str">
        <f t="array" ref="R135">ifna(xlookup(L135,'🙎‍♂️ Pasien'!$G$5:$G1508,'🙎‍♂️ Pasien'!$T$5:$T1508),"")</f>
        <v>BAHU KANAN DAN PINGGANG</v>
      </c>
      <c r="S135" s="104" t="str">
        <f t="array" ref="S135">ifna(xlookup(L135,'🙎‍♂️ Pasien'!$G$5:$G1508,'🙎‍♂️ Pasien'!$U$5:$U1508),"")</f>
        <v>YOGA</v>
      </c>
      <c r="T135" s="97" t="s">
        <v>59</v>
      </c>
      <c r="U135" s="105">
        <v>3.0</v>
      </c>
      <c r="V135" s="101"/>
      <c r="W135" s="106" t="b">
        <v>1</v>
      </c>
      <c r="X135" s="107"/>
      <c r="Y135" s="108"/>
    </row>
    <row r="136" ht="22.5" customHeight="1">
      <c r="A136" s="96"/>
      <c r="B136" s="97" t="s">
        <v>53</v>
      </c>
      <c r="C136" s="98" t="str">
        <f t="array" ref="C136">IFNA(XLOOKUP(J136,'⚙️ Pengaturan'!$H$5:$H1508,'⚙️ Pengaturan'!$I$5:$I1508),"")</f>
        <v>MANAJEMEN</v>
      </c>
      <c r="D136" s="97" t="s">
        <v>86</v>
      </c>
      <c r="E136" s="99">
        <v>45939.0</v>
      </c>
      <c r="F136" s="100" t="str">
        <f t="shared" si="1"/>
        <v>2025</v>
      </c>
      <c r="G136" s="100" t="str">
        <f t="shared" si="2"/>
        <v>10Okt</v>
      </c>
      <c r="H136" s="100" t="str">
        <f t="shared" si="3"/>
        <v>Kamis</v>
      </c>
      <c r="I136" s="97" t="s">
        <v>65</v>
      </c>
      <c r="J136" s="97" t="s">
        <v>101</v>
      </c>
      <c r="K136" s="97" t="s">
        <v>63</v>
      </c>
      <c r="L136" s="101" t="s">
        <v>207</v>
      </c>
      <c r="M136" s="102" t="str">
        <f>IFNA(VLOOKUP(L136,'🙎‍♂️ Pasien'!G:V,2,FALSE),"")</f>
        <v>S8625097998</v>
      </c>
      <c r="N136" s="103">
        <f>IFNA(VLOOKUP(L136,'🙎‍♂️ Pasien'!G:L,3,FALSE),"")</f>
        <v>39</v>
      </c>
      <c r="O136" s="104" t="str">
        <f>IFNA(VLOOKUP(L136,'🙎‍♂️ Pasien'!G:V,6,FALSE),"")</f>
        <v>PEREMPUAN</v>
      </c>
      <c r="P136" s="104" t="str">
        <f>IFNA(VLOOKUP(L136,'🙎‍♂️ Pasien'!G:V,12,FALSE),"")</f>
        <v>KATOLIK</v>
      </c>
      <c r="Q136" s="104" t="str">
        <f>IFNA(VLOOKUP(L136:L1508,'🙎‍♂️ Pasien'!G:V,13,FALSE),"")</f>
        <v>IBU RUMAH TANGGA</v>
      </c>
      <c r="R136" s="104" t="str">
        <f t="array" ref="R136">ifna(xlookup(L136,'🙎‍♂️ Pasien'!$G$5:$G1508,'🙎‍♂️ Pasien'!$T$5:$T1508),"")</f>
        <v>BAHU SERING SAKIT</v>
      </c>
      <c r="S136" s="104" t="str">
        <f t="array" ref="S136">ifna(xlookup(L136,'🙎‍♂️ Pasien'!$G$5:$G1508,'🙎‍♂️ Pasien'!$U$5:$U1508),"")</f>
        <v>OLAH RAGA GYM</v>
      </c>
      <c r="T136" s="97" t="s">
        <v>67</v>
      </c>
      <c r="U136" s="105">
        <v>3.0</v>
      </c>
      <c r="V136" s="101" t="s">
        <v>208</v>
      </c>
      <c r="W136" s="106" t="b">
        <v>1</v>
      </c>
      <c r="X136" s="107"/>
      <c r="Y136" s="108"/>
    </row>
    <row r="137" ht="22.5" customHeight="1">
      <c r="A137" s="96"/>
      <c r="B137" s="97" t="s">
        <v>53</v>
      </c>
      <c r="C137" s="98" t="str">
        <f t="array" ref="C137">IFNA(XLOOKUP(J137,'⚙️ Pengaturan'!$H$5:$H1508,'⚙️ Pengaturan'!$I$5:$I1508),"")</f>
        <v>TIM Y</v>
      </c>
      <c r="D137" s="97" t="s">
        <v>86</v>
      </c>
      <c r="E137" s="99">
        <v>45939.0</v>
      </c>
      <c r="F137" s="100" t="str">
        <f t="shared" si="1"/>
        <v>2025</v>
      </c>
      <c r="G137" s="100" t="str">
        <f t="shared" si="2"/>
        <v>10Okt</v>
      </c>
      <c r="H137" s="100" t="str">
        <f t="shared" si="3"/>
        <v>Kamis</v>
      </c>
      <c r="I137" s="97" t="s">
        <v>74</v>
      </c>
      <c r="J137" s="97" t="s">
        <v>91</v>
      </c>
      <c r="K137" s="97" t="s">
        <v>63</v>
      </c>
      <c r="L137" s="101" t="s">
        <v>196</v>
      </c>
      <c r="M137" s="102" t="str">
        <f>IFNA(VLOOKUP(L137,'🙎‍♂️ Pasien'!G:V,2,FALSE),"")</f>
        <v>B7125094370</v>
      </c>
      <c r="N137" s="103">
        <f>IFNA(VLOOKUP(L137,'🙎‍♂️ Pasien'!G:L,3,FALSE),"")</f>
        <v>54</v>
      </c>
      <c r="O137" s="104" t="str">
        <f>IFNA(VLOOKUP(L137,'🙎‍♂️ Pasien'!G:V,6,FALSE),"")</f>
        <v>LAKI-LAKI</v>
      </c>
      <c r="P137" s="104" t="str">
        <f>IFNA(VLOOKUP(L137,'🙎‍♂️ Pasien'!G:V,12,FALSE),"")</f>
        <v>ISLAM</v>
      </c>
      <c r="Q137" s="104" t="str">
        <f>IFNA(VLOOKUP(L137:L1508,'🙎‍♂️ Pasien'!G:V,13,FALSE),"")</f>
        <v>PNS</v>
      </c>
      <c r="R137" s="104" t="str">
        <f t="array" ref="R137">ifna(xlookup(L137,'🙎‍♂️ Pasien'!$G$5:$G1508,'🙎‍♂️ Pasien'!$T$5:$T1508),"")</f>
        <v>PINGGANG</v>
      </c>
      <c r="S137" s="104" t="str">
        <f t="array" ref="S137">ifna(xlookup(L137,'🙎‍♂️ Pasien'!$G$5:$G1508,'🙎‍♂️ Pasien'!$U$5:$U1508),"")</f>
        <v>-</v>
      </c>
      <c r="T137" s="97" t="s">
        <v>59</v>
      </c>
      <c r="U137" s="105">
        <v>3.0</v>
      </c>
      <c r="V137" s="101"/>
      <c r="W137" s="106" t="b">
        <v>1</v>
      </c>
      <c r="X137" s="107"/>
      <c r="Y137" s="108"/>
    </row>
    <row r="138" ht="22.5" customHeight="1">
      <c r="A138" s="96"/>
      <c r="B138" s="97" t="s">
        <v>53</v>
      </c>
      <c r="C138" s="98" t="str">
        <f t="array" ref="C138">IFNA(XLOOKUP(J138,'⚙️ Pengaturan'!$H$5:$H1508,'⚙️ Pengaturan'!$I$5:$I1508),"")</f>
        <v>TIM Y</v>
      </c>
      <c r="D138" s="97" t="s">
        <v>86</v>
      </c>
      <c r="E138" s="99">
        <v>45939.0</v>
      </c>
      <c r="F138" s="100" t="str">
        <f t="shared" si="1"/>
        <v>2025</v>
      </c>
      <c r="G138" s="100" t="str">
        <f t="shared" si="2"/>
        <v>10Okt</v>
      </c>
      <c r="H138" s="100" t="str">
        <f t="shared" si="3"/>
        <v>Kamis</v>
      </c>
      <c r="I138" s="97" t="s">
        <v>76</v>
      </c>
      <c r="J138" s="97" t="s">
        <v>91</v>
      </c>
      <c r="K138" s="97" t="s">
        <v>63</v>
      </c>
      <c r="L138" s="101" t="s">
        <v>113</v>
      </c>
      <c r="M138" s="102" t="str">
        <f>IFNA(VLOOKUP(L138,'🙎‍♂️ Pasien'!G:V,2,FALSE),"")</f>
        <v>H5325098176</v>
      </c>
      <c r="N138" s="103">
        <f>IFNA(VLOOKUP(L138,'🙎‍♂️ Pasien'!G:L,3,FALSE),"")</f>
        <v>73</v>
      </c>
      <c r="O138" s="104" t="str">
        <f>IFNA(VLOOKUP(L138,'🙎‍♂️ Pasien'!G:V,6,FALSE),"")</f>
        <v>LAKI-LAKI</v>
      </c>
      <c r="P138" s="104" t="str">
        <f>IFNA(VLOOKUP(L138,'🙎‍♂️ Pasien'!G:V,12,FALSE),"")</f>
        <v>BUDDHA</v>
      </c>
      <c r="Q138" s="104" t="str">
        <f>IFNA(VLOOKUP(L138:L1508,'🙎‍♂️ Pasien'!G:V,13,FALSE),"")</f>
        <v>PENSIUN</v>
      </c>
      <c r="R138" s="104" t="str">
        <f t="array" ref="R138">ifna(xlookup(L138,'🙎‍♂️ Pasien'!$G$5:$G1508,'🙎‍♂️ Pasien'!$T$5:$T1508),"")</f>
        <v>KAKI GAK BISA JONGKOK</v>
      </c>
      <c r="S138" s="104" t="str">
        <f t="array" ref="S138">ifna(xlookup(L138,'🙎‍♂️ Pasien'!$G$5:$G1508,'🙎‍♂️ Pasien'!$U$5:$U1508),"")</f>
        <v>——</v>
      </c>
      <c r="T138" s="97" t="s">
        <v>59</v>
      </c>
      <c r="U138" s="105">
        <v>4.0</v>
      </c>
      <c r="V138" s="101"/>
      <c r="W138" s="106" t="b">
        <v>1</v>
      </c>
      <c r="X138" s="107"/>
      <c r="Y138" s="108"/>
    </row>
    <row r="139" ht="22.5" customHeight="1">
      <c r="A139" s="96"/>
      <c r="B139" s="97" t="s">
        <v>53</v>
      </c>
      <c r="C139" s="98" t="str">
        <f t="array" ref="C139">IFNA(XLOOKUP(J139,'⚙️ Pengaturan'!$H$5:$H1508,'⚙️ Pengaturan'!$I$5:$I1508),"")</f>
        <v>TIM Y</v>
      </c>
      <c r="D139" s="97" t="s">
        <v>86</v>
      </c>
      <c r="E139" s="99">
        <v>45939.0</v>
      </c>
      <c r="F139" s="100" t="str">
        <f t="shared" si="1"/>
        <v>2025</v>
      </c>
      <c r="G139" s="100" t="str">
        <f t="shared" si="2"/>
        <v>10Okt</v>
      </c>
      <c r="H139" s="100" t="str">
        <f t="shared" si="3"/>
        <v>Kamis</v>
      </c>
      <c r="I139" s="97" t="s">
        <v>83</v>
      </c>
      <c r="J139" s="97" t="s">
        <v>91</v>
      </c>
      <c r="K139" s="97" t="s">
        <v>69</v>
      </c>
      <c r="L139" s="101" t="s">
        <v>173</v>
      </c>
      <c r="M139" s="102" t="str">
        <f>IFNA(VLOOKUP(L139,'🙎‍♂️ Pasien'!G:V,2,FALSE),"")</f>
        <v>E8025071596</v>
      </c>
      <c r="N139" s="103">
        <f>IFNA(VLOOKUP(L139,'🙎‍♂️ Pasien'!G:L,3,FALSE),"")</f>
        <v>45</v>
      </c>
      <c r="O139" s="104" t="str">
        <f>IFNA(VLOOKUP(L139,'🙎‍♂️ Pasien'!G:V,6,FALSE),"")</f>
        <v>PEREMPUAN</v>
      </c>
      <c r="P139" s="104" t="str">
        <f>IFNA(VLOOKUP(L139,'🙎‍♂️ Pasien'!G:V,12,FALSE),"")</f>
        <v>KATOLIK</v>
      </c>
      <c r="Q139" s="104" t="str">
        <f>IFNA(VLOOKUP(L139:L1508,'🙎‍♂️ Pasien'!G:V,13,FALSE),"")</f>
        <v>IBU RUMAH TANGGA</v>
      </c>
      <c r="R139" s="104" t="str">
        <f t="array" ref="R139">ifna(xlookup(L139,'🙎‍♂️ Pasien'!$G$5:$G1508,'🙎‍♂️ Pasien'!$T$5:$T1508),"")</f>
        <v>TULANG PUNGGU BAGIAN BAWAH SAKIT</v>
      </c>
      <c r="S139" s="104" t="str">
        <f t="array" ref="S139">ifna(xlookup(L139,'🙎‍♂️ Pasien'!$G$5:$G1508,'🙎‍♂️ Pasien'!$U$5:$U1508),"")</f>
        <v>YOGA</v>
      </c>
      <c r="T139" s="97" t="s">
        <v>59</v>
      </c>
      <c r="U139" s="105" t="s">
        <v>60</v>
      </c>
      <c r="V139" s="101"/>
      <c r="W139" s="106" t="b">
        <v>1</v>
      </c>
      <c r="X139" s="107"/>
      <c r="Y139" s="108"/>
    </row>
    <row r="140" ht="22.5" customHeight="1">
      <c r="A140" s="96"/>
      <c r="B140" s="97" t="s">
        <v>53</v>
      </c>
      <c r="C140" s="98" t="str">
        <f t="array" ref="C140">IFNA(XLOOKUP(J140,'⚙️ Pengaturan'!$H$5:$H1508,'⚙️ Pengaturan'!$I$5:$I1508),"")</f>
        <v>TIM Y</v>
      </c>
      <c r="D140" s="97" t="s">
        <v>86</v>
      </c>
      <c r="E140" s="99">
        <v>45939.0</v>
      </c>
      <c r="F140" s="100" t="str">
        <f t="shared" si="1"/>
        <v>2025</v>
      </c>
      <c r="G140" s="100" t="str">
        <f t="shared" si="2"/>
        <v>10Okt</v>
      </c>
      <c r="H140" s="100" t="str">
        <f t="shared" si="3"/>
        <v>Kamis</v>
      </c>
      <c r="I140" s="97" t="s">
        <v>83</v>
      </c>
      <c r="J140" s="97" t="s">
        <v>88</v>
      </c>
      <c r="K140" s="97" t="s">
        <v>63</v>
      </c>
      <c r="L140" s="101" t="s">
        <v>209</v>
      </c>
      <c r="M140" s="102" t="str">
        <f>IFNA(VLOOKUP(L140,'🙎‍♂️ Pasien'!G:V,2,FALSE),"")</f>
        <v>M6825090</v>
      </c>
      <c r="N140" s="103">
        <f>IFNA(VLOOKUP(L140,'🙎‍♂️ Pasien'!G:L,3,FALSE),"")</f>
        <v>57</v>
      </c>
      <c r="O140" s="104" t="str">
        <f>IFNA(VLOOKUP(L140,'🙎‍♂️ Pasien'!G:V,6,FALSE),"")</f>
        <v>LAKI-LAKI</v>
      </c>
      <c r="P140" s="104" t="str">
        <f>IFNA(VLOOKUP(L140,'🙎‍♂️ Pasien'!G:V,12,FALSE),"")</f>
        <v>BUDDHA</v>
      </c>
      <c r="Q140" s="104" t="str">
        <f>IFNA(VLOOKUP(L140:L1508,'🙎‍♂️ Pasien'!G:V,13,FALSE),"")</f>
        <v>WIRASWASTA</v>
      </c>
      <c r="R140" s="104" t="str">
        <f t="array" ref="R140">ifna(xlookup(L140,'🙎‍♂️ Pasien'!$G$5:$G1508,'🙎‍♂️ Pasien'!$T$5:$T1508),"")</f>
        <v>LUTUT</v>
      </c>
      <c r="S140" s="104" t="str">
        <f t="array" ref="S140">ifna(xlookup(L140,'🙎‍♂️ Pasien'!$G$5:$G1508,'🙎‍♂️ Pasien'!$U$5:$U1508),"")</f>
        <v>-</v>
      </c>
      <c r="T140" s="97" t="s">
        <v>59</v>
      </c>
      <c r="U140" s="105">
        <v>4.0</v>
      </c>
      <c r="V140" s="101"/>
      <c r="W140" s="106" t="b">
        <v>1</v>
      </c>
      <c r="X140" s="107"/>
      <c r="Y140" s="108"/>
    </row>
    <row r="141" ht="22.5" customHeight="1">
      <c r="A141" s="96"/>
      <c r="B141" s="97" t="s">
        <v>85</v>
      </c>
      <c r="C141" s="98" t="str">
        <f t="array" ref="C141">IFNA(XLOOKUP(J141,'⚙️ Pengaturan'!$H$5:$H1508,'⚙️ Pengaturan'!$I$5:$I1508),"")</f>
        <v>TIM Y</v>
      </c>
      <c r="D141" s="97" t="s">
        <v>54</v>
      </c>
      <c r="E141" s="99">
        <v>45939.0</v>
      </c>
      <c r="F141" s="100" t="str">
        <f t="shared" si="1"/>
        <v>2025</v>
      </c>
      <c r="G141" s="100" t="str">
        <f t="shared" si="2"/>
        <v>10Okt</v>
      </c>
      <c r="H141" s="100" t="str">
        <f t="shared" si="3"/>
        <v>Kamis</v>
      </c>
      <c r="I141" s="97" t="s">
        <v>87</v>
      </c>
      <c r="J141" s="97" t="s">
        <v>56</v>
      </c>
      <c r="K141" s="97" t="s">
        <v>63</v>
      </c>
      <c r="L141" s="101" t="s">
        <v>119</v>
      </c>
      <c r="M141" s="102" t="str">
        <f>IFNA(VLOOKUP(L141,'🙎‍♂️ Pasien'!G:V,2,FALSE),"")</f>
        <v>H4623015667</v>
      </c>
      <c r="N141" s="103">
        <f>IFNA(VLOOKUP(L141,'🙎‍♂️ Pasien'!G:L,3,FALSE),"")</f>
        <v>80</v>
      </c>
      <c r="O141" s="104" t="str">
        <f>IFNA(VLOOKUP(L141,'🙎‍♂️ Pasien'!G:V,6,FALSE),"")</f>
        <v>LAKI-LAKI</v>
      </c>
      <c r="P141" s="104" t="str">
        <f>IFNA(VLOOKUP(L141,'🙎‍♂️ Pasien'!G:V,12,FALSE),"")</f>
        <v>ISLAM</v>
      </c>
      <c r="Q141" s="104" t="str">
        <f>IFNA(VLOOKUP(L141:L1508,'🙎‍♂️ Pasien'!G:V,13,FALSE),"")</f>
        <v>PENSIUN</v>
      </c>
      <c r="R141" s="104" t="str">
        <f t="array" ref="R141">ifna(xlookup(L141,'🙎‍♂️ Pasien'!$G$5:$G1508,'🙎‍♂️ Pasien'!$T$5:$T1508),"")</f>
        <v>STROKE</v>
      </c>
      <c r="S141" s="104" t="str">
        <f t="array" ref="S141">ifna(xlookup(L141,'🙎‍♂️ Pasien'!$G$5:$G1508,'🙎‍♂️ Pasien'!$U$5:$U1508),"")</f>
        <v/>
      </c>
      <c r="T141" s="97" t="s">
        <v>59</v>
      </c>
      <c r="U141" s="105">
        <v>10.0</v>
      </c>
      <c r="V141" s="101" t="s">
        <v>125</v>
      </c>
      <c r="W141" s="106" t="b">
        <v>1</v>
      </c>
      <c r="X141" s="107"/>
      <c r="Y141" s="108"/>
    </row>
    <row r="142" ht="22.5" customHeight="1">
      <c r="A142" s="96"/>
      <c r="B142" s="97" t="s">
        <v>85</v>
      </c>
      <c r="C142" s="98" t="str">
        <f t="array" ref="C142">IFNA(XLOOKUP(J142,'⚙️ Pengaturan'!$H$5:$H1508,'⚙️ Pengaturan'!$I$5:$I1508),"")</f>
        <v>TIM A</v>
      </c>
      <c r="D142" s="97" t="s">
        <v>54</v>
      </c>
      <c r="E142" s="99">
        <v>45939.0</v>
      </c>
      <c r="F142" s="100" t="str">
        <f t="shared" si="1"/>
        <v>2025</v>
      </c>
      <c r="G142" s="100" t="str">
        <f t="shared" si="2"/>
        <v>10Okt</v>
      </c>
      <c r="H142" s="100" t="str">
        <f t="shared" si="3"/>
        <v>Kamis</v>
      </c>
      <c r="I142" s="97" t="s">
        <v>93</v>
      </c>
      <c r="J142" s="97" t="s">
        <v>62</v>
      </c>
      <c r="K142" s="97" t="s">
        <v>57</v>
      </c>
      <c r="L142" s="101" t="s">
        <v>210</v>
      </c>
      <c r="M142" s="102" t="str">
        <f>IFNA(VLOOKUP(L142,'🙎‍♂️ Pasien'!G:V,2,FALSE),"")</f>
        <v>A9125100553</v>
      </c>
      <c r="N142" s="103">
        <f>IFNA(VLOOKUP(L142,'🙎‍♂️ Pasien'!G:L,3,FALSE),"")</f>
        <v>34</v>
      </c>
      <c r="O142" s="104" t="str">
        <f>IFNA(VLOOKUP(L142,'🙎‍♂️ Pasien'!G:V,6,FALSE),"")</f>
        <v>LAKI-LAKI</v>
      </c>
      <c r="P142" s="104" t="str">
        <f>IFNA(VLOOKUP(L142,'🙎‍♂️ Pasien'!G:V,12,FALSE),"")</f>
        <v>ISLAM</v>
      </c>
      <c r="Q142" s="104" t="str">
        <f>IFNA(VLOOKUP(L142:L1508,'🙎‍♂️ Pasien'!G:V,13,FALSE),"")</f>
        <v>DOSEN</v>
      </c>
      <c r="R142" s="104" t="str">
        <f t="array" ref="R142">ifna(xlookup(L142,'🙎‍♂️ Pasien'!$G$5:$G1508,'🙎‍♂️ Pasien'!$T$5:$T1508),"")</f>
        <v>BAHH</v>
      </c>
      <c r="S142" s="104" t="str">
        <f t="array" ref="S142">ifna(xlookup(L142,'🙎‍♂️ Pasien'!$G$5:$G1508,'🙎‍♂️ Pasien'!$U$5:$U1508),"")</f>
        <v>MENGAJAR</v>
      </c>
      <c r="T142" s="97" t="s">
        <v>59</v>
      </c>
      <c r="U142" s="105" t="s">
        <v>60</v>
      </c>
      <c r="V142" s="101"/>
      <c r="W142" s="106" t="b">
        <v>1</v>
      </c>
      <c r="X142" s="107"/>
      <c r="Y142" s="108"/>
    </row>
    <row r="143" ht="22.5" customHeight="1">
      <c r="A143" s="96"/>
      <c r="B143" s="97" t="s">
        <v>85</v>
      </c>
      <c r="C143" s="98" t="str">
        <f t="array" ref="C143">IFNA(XLOOKUP(J143,'⚙️ Pengaturan'!$H$5:$H1508,'⚙️ Pengaturan'!$I$5:$I1508),"")</f>
        <v>TIM A</v>
      </c>
      <c r="D143" s="97" t="s">
        <v>54</v>
      </c>
      <c r="E143" s="99">
        <v>45939.0</v>
      </c>
      <c r="F143" s="100" t="str">
        <f t="shared" si="1"/>
        <v>2025</v>
      </c>
      <c r="G143" s="100" t="str">
        <f t="shared" si="2"/>
        <v>10Okt</v>
      </c>
      <c r="H143" s="100" t="str">
        <f t="shared" si="3"/>
        <v>Kamis</v>
      </c>
      <c r="I143" s="97" t="s">
        <v>93</v>
      </c>
      <c r="J143" s="97" t="s">
        <v>79</v>
      </c>
      <c r="K143" s="97" t="s">
        <v>63</v>
      </c>
      <c r="L143" s="101" t="s">
        <v>211</v>
      </c>
      <c r="M143" s="102" t="str">
        <f>IFNA(VLOOKUP(L143,'🙎‍♂️ Pasien'!G:V,2,FALSE),"")</f>
        <v>R7325101626</v>
      </c>
      <c r="N143" s="103">
        <f>IFNA(VLOOKUP(L143,'🙎‍♂️ Pasien'!G:L,3,FALSE),"")</f>
        <v>52</v>
      </c>
      <c r="O143" s="104" t="str">
        <f>IFNA(VLOOKUP(L143,'🙎‍♂️ Pasien'!G:V,6,FALSE),"")</f>
        <v>PEREMPUAN</v>
      </c>
      <c r="P143" s="104" t="str">
        <f>IFNA(VLOOKUP(L143,'🙎‍♂️ Pasien'!G:V,12,FALSE),"")</f>
        <v>ISLAM</v>
      </c>
      <c r="Q143" s="104" t="str">
        <f>IFNA(VLOOKUP(L143:L1508,'🙎‍♂️ Pasien'!G:V,13,FALSE),"")</f>
        <v>IRT</v>
      </c>
      <c r="R143" s="104" t="str">
        <f t="array" ref="R143">ifna(xlookup(L143,'🙎‍♂️ Pasien'!$G$5:$G1508,'🙎‍♂️ Pasien'!$T$5:$T1508),"")</f>
        <v>SAKIT PADA TELAPAK KAKI</v>
      </c>
      <c r="S143" s="104" t="str">
        <f t="array" ref="S143">ifna(xlookup(L143,'🙎‍♂️ Pasien'!$G$5:$G1508,'🙎‍♂️ Pasien'!$U$5:$U1508),"")</f>
        <v>IRT</v>
      </c>
      <c r="T143" s="97" t="s">
        <v>59</v>
      </c>
      <c r="U143" s="105">
        <v>2.0</v>
      </c>
      <c r="V143" s="101"/>
      <c r="W143" s="106" t="b">
        <v>1</v>
      </c>
      <c r="X143" s="107"/>
      <c r="Y143" s="108"/>
    </row>
    <row r="144" ht="22.5" customHeight="1">
      <c r="A144" s="96"/>
      <c r="B144" s="97" t="s">
        <v>85</v>
      </c>
      <c r="C144" s="98" t="str">
        <f t="array" ref="C144">IFNA(XLOOKUP(J144,'⚙️ Pengaturan'!$H$5:$H1508,'⚙️ Pengaturan'!$I$5:$I1508),"")</f>
        <v>TIM A</v>
      </c>
      <c r="D144" s="97" t="s">
        <v>54</v>
      </c>
      <c r="E144" s="99">
        <v>45939.0</v>
      </c>
      <c r="F144" s="100" t="str">
        <f t="shared" si="1"/>
        <v>2025</v>
      </c>
      <c r="G144" s="100" t="str">
        <f t="shared" si="2"/>
        <v>10Okt</v>
      </c>
      <c r="H144" s="100" t="str">
        <f t="shared" si="3"/>
        <v>Kamis</v>
      </c>
      <c r="I144" s="97" t="s">
        <v>95</v>
      </c>
      <c r="J144" s="97" t="s">
        <v>79</v>
      </c>
      <c r="K144" s="97" t="s">
        <v>63</v>
      </c>
      <c r="L144" s="101" t="s">
        <v>128</v>
      </c>
      <c r="M144" s="102" t="str">
        <f>IFNA(VLOOKUP(L144,'🙎‍♂️ Pasien'!G:V,2,FALSE),"")</f>
        <v>A9725086020</v>
      </c>
      <c r="N144" s="103">
        <f>IFNA(VLOOKUP(L144,'🙎‍♂️ Pasien'!G:L,3,FALSE),"")</f>
        <v>28</v>
      </c>
      <c r="O144" s="104" t="str">
        <f>IFNA(VLOOKUP(L144,'🙎‍♂️ Pasien'!G:V,6,FALSE),"")</f>
        <v>PEREMPUAN</v>
      </c>
      <c r="P144" s="104" t="str">
        <f>IFNA(VLOOKUP(L144,'🙎‍♂️ Pasien'!G:V,12,FALSE),"")</f>
        <v>ISLAM</v>
      </c>
      <c r="Q144" s="104" t="str">
        <f>IFNA(VLOOKUP(L144:L1508,'🙎‍♂️ Pasien'!G:V,13,FALSE),"")</f>
        <v>PNS</v>
      </c>
      <c r="R144" s="104" t="str">
        <f t="array" ref="R144">ifna(xlookup(L144,'🙎‍♂️ Pasien'!$G$5:$G1508,'🙎‍♂️ Pasien'!$T$5:$T1508),"")</f>
        <v>SAKIT BAGIAN PAHA DAN PANGGUL</v>
      </c>
      <c r="S144" s="104" t="str">
        <f t="array" ref="S144">ifna(xlookup(L144,'🙎‍♂️ Pasien'!$G$5:$G1508,'🙎‍♂️ Pasien'!$U$5:$U1508),"")</f>
        <v>VOLI DAN BEKERJA</v>
      </c>
      <c r="T144" s="97" t="s">
        <v>59</v>
      </c>
      <c r="U144" s="105">
        <v>5.0</v>
      </c>
      <c r="V144" s="101" t="s">
        <v>125</v>
      </c>
      <c r="W144" s="106" t="b">
        <v>1</v>
      </c>
      <c r="X144" s="107"/>
      <c r="Y144" s="108"/>
    </row>
    <row r="145" ht="22.5" customHeight="1">
      <c r="A145" s="96"/>
      <c r="B145" s="97" t="s">
        <v>85</v>
      </c>
      <c r="C145" s="98" t="str">
        <f t="array" ref="C145">IFNA(XLOOKUP(J145,'⚙️ Pengaturan'!$H$5:$H1508,'⚙️ Pengaturan'!$I$5:$I1508),"")</f>
        <v>TIM A</v>
      </c>
      <c r="D145" s="97" t="s">
        <v>54</v>
      </c>
      <c r="E145" s="99">
        <v>45939.0</v>
      </c>
      <c r="F145" s="100" t="str">
        <f t="shared" si="1"/>
        <v>2025</v>
      </c>
      <c r="G145" s="100" t="str">
        <f t="shared" si="2"/>
        <v>10Okt</v>
      </c>
      <c r="H145" s="100" t="str">
        <f t="shared" si="3"/>
        <v>Kamis</v>
      </c>
      <c r="I145" s="97" t="s">
        <v>97</v>
      </c>
      <c r="J145" s="97" t="s">
        <v>72</v>
      </c>
      <c r="K145" s="97" t="s">
        <v>63</v>
      </c>
      <c r="L145" s="101" t="s">
        <v>129</v>
      </c>
      <c r="M145" s="102" t="str">
        <f>IFNA(VLOOKUP(L145,'🙎‍♂️ Pasien'!G:V,2,FALSE),"")</f>
        <v>D1025091558</v>
      </c>
      <c r="N145" s="103">
        <f>IFNA(VLOOKUP(L145,'🙎‍♂️ Pasien'!G:L,3,FALSE),"")</f>
        <v>16</v>
      </c>
      <c r="O145" s="104" t="str">
        <f>IFNA(VLOOKUP(L145,'🙎‍♂️ Pasien'!G:V,6,FALSE),"")</f>
        <v>LAKI-LAKI</v>
      </c>
      <c r="P145" s="104" t="str">
        <f>IFNA(VLOOKUP(L145,'🙎‍♂️ Pasien'!G:V,12,FALSE),"")</f>
        <v>PROTESTAN</v>
      </c>
      <c r="Q145" s="104" t="str">
        <f>IFNA(VLOOKUP(L145:L1508,'🙎‍♂️ Pasien'!G:V,13,FALSE),"")</f>
        <v>MASI SEKOLAH</v>
      </c>
      <c r="R145" s="104" t="str">
        <f t="array" ref="R145">ifna(xlookup(L145,'🙎‍♂️ Pasien'!$G$5:$G1508,'🙎‍♂️ Pasien'!$T$5:$T1508),"")</f>
        <v>SAKIT DI BAGIAN LUTUT</v>
      </c>
      <c r="S145" s="104" t="str">
        <f t="array" ref="S145">ifna(xlookup(L145,'🙎‍♂️ Pasien'!$G$5:$G1508,'🙎‍♂️ Pasien'!$U$5:$U1508),"")</f>
        <v>BASKET</v>
      </c>
      <c r="T145" s="97" t="s">
        <v>59</v>
      </c>
      <c r="U145" s="105">
        <v>4.0</v>
      </c>
      <c r="V145" s="101"/>
      <c r="W145" s="106" t="b">
        <v>1</v>
      </c>
      <c r="X145" s="107"/>
      <c r="Y145" s="108"/>
    </row>
    <row r="146" ht="22.5" customHeight="1">
      <c r="A146" s="96"/>
      <c r="B146" s="97" t="s">
        <v>85</v>
      </c>
      <c r="C146" s="98" t="str">
        <f t="array" ref="C146">IFNA(XLOOKUP(J146,'⚙️ Pengaturan'!$H$5:$H1508,'⚙️ Pengaturan'!$I$5:$I1508),"")</f>
        <v>TIM Y</v>
      </c>
      <c r="D146" s="97" t="s">
        <v>54</v>
      </c>
      <c r="E146" s="99">
        <v>45939.0</v>
      </c>
      <c r="F146" s="100" t="str">
        <f t="shared" si="1"/>
        <v>2025</v>
      </c>
      <c r="G146" s="100" t="str">
        <f t="shared" si="2"/>
        <v>10Okt</v>
      </c>
      <c r="H146" s="100" t="str">
        <f t="shared" si="3"/>
        <v>Kamis</v>
      </c>
      <c r="I146" s="97" t="s">
        <v>97</v>
      </c>
      <c r="J146" s="97" t="s">
        <v>56</v>
      </c>
      <c r="K146" s="97" t="s">
        <v>69</v>
      </c>
      <c r="L146" s="101" t="s">
        <v>178</v>
      </c>
      <c r="M146" s="102" t="str">
        <f>IFNA(VLOOKUP(L146,'🙎‍♂️ Pasien'!G:V,2,FALSE),"")</f>
        <v>N9825094835</v>
      </c>
      <c r="N146" s="103">
        <f>IFNA(VLOOKUP(L146,'🙎‍♂️ Pasien'!G:L,3,FALSE),"")</f>
        <v>27</v>
      </c>
      <c r="O146" s="104" t="str">
        <f>IFNA(VLOOKUP(L146,'🙎‍♂️ Pasien'!G:V,6,FALSE),"")</f>
        <v>LAKI-LAKI</v>
      </c>
      <c r="P146" s="104" t="str">
        <f>IFNA(VLOOKUP(L146,'🙎‍♂️ Pasien'!G:V,12,FALSE),"")</f>
        <v>ISLAM</v>
      </c>
      <c r="Q146" s="104" t="str">
        <f>IFNA(VLOOKUP(L146:L1508,'🙎‍♂️ Pasien'!G:V,13,FALSE),"")</f>
        <v>PEGAWAI</v>
      </c>
      <c r="R146" s="104" t="str">
        <f t="array" ref="R146">ifna(xlookup(L146,'🙎‍♂️ Pasien'!$G$5:$G1508,'🙎‍♂️ Pasien'!$T$5:$T1508),"")</f>
        <v>NYERI DI TUMIT</v>
      </c>
      <c r="S146" s="104" t="str">
        <f t="array" ref="S146">ifna(xlookup(L146,'🙎‍♂️ Pasien'!$G$5:$G1508,'🙎‍♂️ Pasien'!$U$5:$U1508),"")</f>
        <v>SEPAK BOLA</v>
      </c>
      <c r="T146" s="97" t="s">
        <v>59</v>
      </c>
      <c r="U146" s="105" t="s">
        <v>60</v>
      </c>
      <c r="V146" s="101"/>
      <c r="W146" s="106" t="b">
        <v>1</v>
      </c>
      <c r="X146" s="107"/>
      <c r="Y146" s="108"/>
    </row>
    <row r="147" ht="22.5" customHeight="1">
      <c r="A147" s="96"/>
      <c r="B147" s="97" t="s">
        <v>85</v>
      </c>
      <c r="C147" s="98" t="str">
        <f t="array" ref="C147">IFNA(XLOOKUP(J147,'⚙️ Pengaturan'!$H$5:$H1508,'⚙️ Pengaturan'!$I$5:$I1508),"")</f>
        <v>TIM Y</v>
      </c>
      <c r="D147" s="97" t="s">
        <v>54</v>
      </c>
      <c r="E147" s="99">
        <v>45939.0</v>
      </c>
      <c r="F147" s="100" t="str">
        <f t="shared" si="1"/>
        <v>2025</v>
      </c>
      <c r="G147" s="100" t="str">
        <f t="shared" si="2"/>
        <v>10Okt</v>
      </c>
      <c r="H147" s="100" t="str">
        <f t="shared" si="3"/>
        <v>Kamis</v>
      </c>
      <c r="I147" s="97" t="s">
        <v>99</v>
      </c>
      <c r="J147" s="97" t="s">
        <v>56</v>
      </c>
      <c r="K147" s="97" t="s">
        <v>63</v>
      </c>
      <c r="L147" s="101" t="s">
        <v>190</v>
      </c>
      <c r="M147" s="102" t="str">
        <f>IFNA(VLOOKUP(L147,'🙎‍♂️ Pasien'!G:V,2,FALSE),"")</f>
        <v>A9025108786</v>
      </c>
      <c r="N147" s="103">
        <f>IFNA(VLOOKUP(L147,'🙎‍♂️ Pasien'!G:L,3,FALSE),"")</f>
        <v>35</v>
      </c>
      <c r="O147" s="104" t="str">
        <f>IFNA(VLOOKUP(L147,'🙎‍♂️ Pasien'!G:V,6,FALSE),"")</f>
        <v>LAKI-LAKI</v>
      </c>
      <c r="P147" s="104" t="str">
        <f>IFNA(VLOOKUP(L147,'🙎‍♂️ Pasien'!G:V,12,FALSE),"")</f>
        <v>ISLAM</v>
      </c>
      <c r="Q147" s="104" t="str">
        <f>IFNA(VLOOKUP(L147:L1508,'🙎‍♂️ Pasien'!G:V,13,FALSE),"")</f>
        <v>WIRASWASTA</v>
      </c>
      <c r="R147" s="104" t="str">
        <f t="array" ref="R147">ifna(xlookup(L147,'🙎‍♂️ Pasien'!$G$5:$G1508,'🙎‍♂️ Pasien'!$T$5:$T1508),"")</f>
        <v>KESELEO PADA BAGIAN LUTUT</v>
      </c>
      <c r="S147" s="104" t="str">
        <f t="array" ref="S147">ifna(xlookup(L147,'🙎‍♂️ Pasien'!$G$5:$G1508,'🙎‍♂️ Pasien'!$U$5:$U1508),"")</f>
        <v>BERMAIN BOLA</v>
      </c>
      <c r="T147" s="97" t="s">
        <v>67</v>
      </c>
      <c r="U147" s="105">
        <v>2.0</v>
      </c>
      <c r="V147" s="101" t="s">
        <v>212</v>
      </c>
      <c r="W147" s="106" t="b">
        <v>1</v>
      </c>
      <c r="X147" s="107"/>
      <c r="Y147" s="108"/>
    </row>
    <row r="148" ht="22.5" customHeight="1">
      <c r="A148" s="96"/>
      <c r="B148" s="97" t="s">
        <v>85</v>
      </c>
      <c r="C148" s="98" t="str">
        <f t="array" ref="C148">IFNA(XLOOKUP(J148,'⚙️ Pengaturan'!$H$5:$H1508,'⚙️ Pengaturan'!$I$5:$I1508),"")</f>
        <v>TIM A</v>
      </c>
      <c r="D148" s="97" t="s">
        <v>54</v>
      </c>
      <c r="E148" s="99">
        <v>45939.0</v>
      </c>
      <c r="F148" s="100" t="str">
        <f t="shared" si="1"/>
        <v>2025</v>
      </c>
      <c r="G148" s="100" t="str">
        <f t="shared" si="2"/>
        <v>10Okt</v>
      </c>
      <c r="H148" s="100" t="str">
        <f t="shared" si="3"/>
        <v>Kamis</v>
      </c>
      <c r="I148" s="97" t="s">
        <v>99</v>
      </c>
      <c r="J148" s="97" t="s">
        <v>72</v>
      </c>
      <c r="K148" s="97" t="s">
        <v>63</v>
      </c>
      <c r="L148" s="101" t="s">
        <v>129</v>
      </c>
      <c r="M148" s="102" t="str">
        <f>IFNA(VLOOKUP(L148,'🙎‍♂️ Pasien'!G:V,2,FALSE),"")</f>
        <v>D1025091558</v>
      </c>
      <c r="N148" s="103">
        <f>IFNA(VLOOKUP(L148,'🙎‍♂️ Pasien'!G:L,3,FALSE),"")</f>
        <v>16</v>
      </c>
      <c r="O148" s="104" t="str">
        <f>IFNA(VLOOKUP(L148,'🙎‍♂️ Pasien'!G:V,6,FALSE),"")</f>
        <v>LAKI-LAKI</v>
      </c>
      <c r="P148" s="104" t="str">
        <f>IFNA(VLOOKUP(L148,'🙎‍♂️ Pasien'!G:V,12,FALSE),"")</f>
        <v>PROTESTAN</v>
      </c>
      <c r="Q148" s="104" t="str">
        <f>IFNA(VLOOKUP(L148:L1508,'🙎‍♂️ Pasien'!G:V,13,FALSE),"")</f>
        <v>MASI SEKOLAH</v>
      </c>
      <c r="R148" s="104" t="str">
        <f t="array" ref="R148">ifna(xlookup(L148,'🙎‍♂️ Pasien'!$G$5:$G1508,'🙎‍♂️ Pasien'!$T$5:$T1508),"")</f>
        <v>SAKIT DI BAGIAN LUTUT</v>
      </c>
      <c r="S148" s="104" t="str">
        <f t="array" ref="S148">ifna(xlookup(L148,'🙎‍♂️ Pasien'!$G$5:$G1508,'🙎‍♂️ Pasien'!$U$5:$U1508),"")</f>
        <v>BASKET</v>
      </c>
      <c r="T148" s="97" t="s">
        <v>59</v>
      </c>
      <c r="U148" s="105">
        <v>5.0</v>
      </c>
      <c r="V148" s="101" t="s">
        <v>125</v>
      </c>
      <c r="W148" s="106" t="b">
        <v>1</v>
      </c>
      <c r="X148" s="107"/>
      <c r="Y148" s="108"/>
    </row>
    <row r="149" ht="22.5" customHeight="1">
      <c r="A149" s="96"/>
      <c r="B149" s="97" t="s">
        <v>85</v>
      </c>
      <c r="C149" s="98" t="str">
        <f t="array" ref="C149">IFNA(XLOOKUP(J149,'⚙️ Pengaturan'!$H$5:$H1508,'⚙️ Pengaturan'!$I$5:$I1508),"")</f>
        <v>TIM Y</v>
      </c>
      <c r="D149" s="97" t="s">
        <v>134</v>
      </c>
      <c r="E149" s="99">
        <v>45940.0</v>
      </c>
      <c r="F149" s="100" t="str">
        <f t="shared" si="1"/>
        <v>2025</v>
      </c>
      <c r="G149" s="100" t="str">
        <f t="shared" si="2"/>
        <v>10Okt</v>
      </c>
      <c r="H149" s="100" t="str">
        <f t="shared" si="3"/>
        <v>Jumat</v>
      </c>
      <c r="I149" s="97" t="s">
        <v>87</v>
      </c>
      <c r="J149" s="97" t="s">
        <v>88</v>
      </c>
      <c r="K149" s="97" t="s">
        <v>63</v>
      </c>
      <c r="L149" s="101" t="s">
        <v>202</v>
      </c>
      <c r="M149" s="102" t="str">
        <f>IFNA(VLOOKUP(L149,'🙎‍♂️ Pasien'!G:V,2,FALSE),"")</f>
        <v>B9925104512</v>
      </c>
      <c r="N149" s="103">
        <f>IFNA(VLOOKUP(L149,'🙎‍♂️ Pasien'!G:L,3,FALSE),"")</f>
        <v>26</v>
      </c>
      <c r="O149" s="104" t="str">
        <f>IFNA(VLOOKUP(L149,'🙎‍♂️ Pasien'!G:V,6,FALSE),"")</f>
        <v>LAKI-LAKI</v>
      </c>
      <c r="P149" s="104" t="str">
        <f>IFNA(VLOOKUP(L149,'🙎‍♂️ Pasien'!G:V,12,FALSE),"")</f>
        <v>ISLAM</v>
      </c>
      <c r="Q149" s="104" t="str">
        <f>IFNA(VLOOKUP(L149:L1508,'🙎‍♂️ Pasien'!G:V,13,FALSE),"")</f>
        <v>SWASTA</v>
      </c>
      <c r="R149" s="104" t="str">
        <f t="array" ref="R149">ifna(xlookup(L149,'🙎‍♂️ Pasien'!$G$5:$G1508,'🙎‍♂️ Pasien'!$T$5:$T1508),"")</f>
        <v>CIDERA LUTUT SALAH TUMPUAN PAS MAIN BOLA</v>
      </c>
      <c r="S149" s="104" t="str">
        <f t="array" ref="S149">ifna(xlookup(L149,'🙎‍♂️ Pasien'!$G$5:$G1508,'🙎‍♂️ Pasien'!$U$5:$U1508),"")</f>
        <v>SEPAK BOLA</v>
      </c>
      <c r="T149" s="97" t="s">
        <v>59</v>
      </c>
      <c r="U149" s="105">
        <v>1.0</v>
      </c>
      <c r="V149" s="101" t="s">
        <v>213</v>
      </c>
      <c r="W149" s="106" t="b">
        <v>1</v>
      </c>
      <c r="X149" s="109" t="s">
        <v>214</v>
      </c>
      <c r="Y149" s="108"/>
    </row>
    <row r="150" ht="22.5" customHeight="1">
      <c r="A150" s="96"/>
      <c r="B150" s="97" t="s">
        <v>85</v>
      </c>
      <c r="C150" s="98" t="str">
        <f t="array" ref="C150">IFNA(XLOOKUP(J150,'⚙️ Pengaturan'!$H$5:$H1508,'⚙️ Pengaturan'!$I$5:$I1508),"")</f>
        <v>TIM Y</v>
      </c>
      <c r="D150" s="97" t="s">
        <v>134</v>
      </c>
      <c r="E150" s="99">
        <v>45940.0</v>
      </c>
      <c r="F150" s="100" t="str">
        <f t="shared" si="1"/>
        <v>2025</v>
      </c>
      <c r="G150" s="100" t="str">
        <f t="shared" si="2"/>
        <v>10Okt</v>
      </c>
      <c r="H150" s="100" t="str">
        <f t="shared" si="3"/>
        <v>Jumat</v>
      </c>
      <c r="I150" s="97" t="s">
        <v>93</v>
      </c>
      <c r="J150" s="97" t="s">
        <v>88</v>
      </c>
      <c r="K150" s="97" t="s">
        <v>63</v>
      </c>
      <c r="L150" s="101" t="s">
        <v>202</v>
      </c>
      <c r="M150" s="102" t="str">
        <f>IFNA(VLOOKUP(L150,'🙎‍♂️ Pasien'!G:V,2,FALSE),"")</f>
        <v>B9925104512</v>
      </c>
      <c r="N150" s="103">
        <f>IFNA(VLOOKUP(L150,'🙎‍♂️ Pasien'!G:L,3,FALSE),"")</f>
        <v>26</v>
      </c>
      <c r="O150" s="104" t="str">
        <f>IFNA(VLOOKUP(L150,'🙎‍♂️ Pasien'!G:V,6,FALSE),"")</f>
        <v>LAKI-LAKI</v>
      </c>
      <c r="P150" s="104" t="str">
        <f>IFNA(VLOOKUP(L150,'🙎‍♂️ Pasien'!G:V,12,FALSE),"")</f>
        <v>ISLAM</v>
      </c>
      <c r="Q150" s="104" t="str">
        <f>IFNA(VLOOKUP(L150:L1508,'🙎‍♂️ Pasien'!G:V,13,FALSE),"")</f>
        <v>SWASTA</v>
      </c>
      <c r="R150" s="104" t="str">
        <f t="array" ref="R150">ifna(xlookup(L150,'🙎‍♂️ Pasien'!$G$5:$G1508,'🙎‍♂️ Pasien'!$T$5:$T1508),"")</f>
        <v>CIDERA LUTUT SALAH TUMPUAN PAS MAIN BOLA</v>
      </c>
      <c r="S150" s="104" t="str">
        <f t="array" ref="S150">ifna(xlookup(L150,'🙎‍♂️ Pasien'!$G$5:$G1508,'🙎‍♂️ Pasien'!$U$5:$U1508),"")</f>
        <v>SEPAK BOLA</v>
      </c>
      <c r="T150" s="97" t="s">
        <v>59</v>
      </c>
      <c r="U150" s="105">
        <v>2.0</v>
      </c>
      <c r="V150" s="101"/>
      <c r="W150" s="106" t="b">
        <v>1</v>
      </c>
      <c r="X150" s="109" t="s">
        <v>214</v>
      </c>
      <c r="Y150" s="108"/>
    </row>
    <row r="151" ht="22.5" customHeight="1">
      <c r="A151" s="96"/>
      <c r="B151" s="97" t="s">
        <v>85</v>
      </c>
      <c r="C151" s="98" t="str">
        <f t="array" ref="C151">IFNA(XLOOKUP(J151,'⚙️ Pengaturan'!$H$5:$H1508,'⚙️ Pengaturan'!$I$5:$I1508),"")</f>
        <v>TIM Y</v>
      </c>
      <c r="D151" s="97" t="s">
        <v>134</v>
      </c>
      <c r="E151" s="99">
        <v>45940.0</v>
      </c>
      <c r="F151" s="100" t="str">
        <f t="shared" si="1"/>
        <v>2025</v>
      </c>
      <c r="G151" s="100" t="str">
        <f t="shared" si="2"/>
        <v>10Okt</v>
      </c>
      <c r="H151" s="100" t="str">
        <f t="shared" si="3"/>
        <v>Jumat</v>
      </c>
      <c r="I151" s="97" t="s">
        <v>95</v>
      </c>
      <c r="J151" s="97" t="s">
        <v>88</v>
      </c>
      <c r="K151" s="97" t="s">
        <v>63</v>
      </c>
      <c r="L151" s="101" t="s">
        <v>96</v>
      </c>
      <c r="M151" s="102" t="str">
        <f>IFNA(VLOOKUP(L151,'🙎‍♂️ Pasien'!G:V,2,FALSE),"")</f>
        <v>A0925094650</v>
      </c>
      <c r="N151" s="103">
        <f>IFNA(VLOOKUP(L151,'🙎‍♂️ Pasien'!G:L,3,FALSE),"")</f>
        <v>17</v>
      </c>
      <c r="O151" s="104" t="str">
        <f>IFNA(VLOOKUP(L151,'🙎‍♂️ Pasien'!G:V,6,FALSE),"")</f>
        <v>LAKI-LAKI</v>
      </c>
      <c r="P151" s="104" t="str">
        <f>IFNA(VLOOKUP(L151,'🙎‍♂️ Pasien'!G:V,12,FALSE),"")</f>
        <v>ISLAM</v>
      </c>
      <c r="Q151" s="104" t="str">
        <f>IFNA(VLOOKUP(L151:L1508,'🙎‍♂️ Pasien'!G:V,13,FALSE),"")</f>
        <v>PELAJAR</v>
      </c>
      <c r="R151" s="104" t="str">
        <f t="array" ref="R151">ifna(xlookup(L151,'🙎‍♂️ Pasien'!$G$5:$G1508,'🙎‍♂️ Pasien'!$T$5:$T1508),"")</f>
        <v>LUTUT</v>
      </c>
      <c r="S151" s="104" t="str">
        <f t="array" ref="S151">ifna(xlookup(L151,'🙎‍♂️ Pasien'!$G$5:$G1508,'🙎‍♂️ Pasien'!$U$5:$U1508),"")</f>
        <v>FUTSAL</v>
      </c>
      <c r="T151" s="97" t="s">
        <v>67</v>
      </c>
      <c r="U151" s="105">
        <v>7.0</v>
      </c>
      <c r="V151" s="101" t="s">
        <v>215</v>
      </c>
      <c r="W151" s="106" t="b">
        <v>1</v>
      </c>
      <c r="X151" s="109" t="s">
        <v>60</v>
      </c>
      <c r="Y151" s="108"/>
    </row>
    <row r="152" ht="22.5" customHeight="1">
      <c r="A152" s="96"/>
      <c r="B152" s="97" t="s">
        <v>85</v>
      </c>
      <c r="C152" s="98" t="str">
        <f t="array" ref="C152">IFNA(XLOOKUP(J152,'⚙️ Pengaturan'!$H$5:$H1508,'⚙️ Pengaturan'!$I$5:$I1508),"")</f>
        <v>TIM Y</v>
      </c>
      <c r="D152" s="97" t="s">
        <v>134</v>
      </c>
      <c r="E152" s="99">
        <v>45940.0</v>
      </c>
      <c r="F152" s="100" t="str">
        <f t="shared" si="1"/>
        <v>2025</v>
      </c>
      <c r="G152" s="100" t="str">
        <f t="shared" si="2"/>
        <v>10Okt</v>
      </c>
      <c r="H152" s="100" t="str">
        <f t="shared" si="3"/>
        <v>Jumat</v>
      </c>
      <c r="I152" s="97" t="s">
        <v>95</v>
      </c>
      <c r="J152" s="97" t="s">
        <v>88</v>
      </c>
      <c r="K152" s="97" t="s">
        <v>57</v>
      </c>
      <c r="L152" s="101" t="s">
        <v>216</v>
      </c>
      <c r="M152" s="102" t="str">
        <f>IFNA(VLOOKUP(L152,'🙎‍♂️ Pasien'!G:V,2,FALSE),"")</f>
        <v>R7825108100</v>
      </c>
      <c r="N152" s="103">
        <f>IFNA(VLOOKUP(L152,'🙎‍♂️ Pasien'!G:L,3,FALSE),"")</f>
        <v>48</v>
      </c>
      <c r="O152" s="104" t="str">
        <f>IFNA(VLOOKUP(L152,'🙎‍♂️ Pasien'!G:V,6,FALSE),"")</f>
        <v>PEREMPUAN</v>
      </c>
      <c r="P152" s="104" t="str">
        <f>IFNA(VLOOKUP(L152,'🙎‍♂️ Pasien'!G:V,12,FALSE),"")</f>
        <v>ISLAM</v>
      </c>
      <c r="Q152" s="104" t="str">
        <f>IFNA(VLOOKUP(L152:L1508,'🙎‍♂️ Pasien'!G:V,13,FALSE),"")</f>
        <v>PNS</v>
      </c>
      <c r="R152" s="104" t="str">
        <f t="array" ref="R152">ifna(xlookup(L152,'🙎‍♂️ Pasien'!$G$5:$G1508,'🙎‍♂️ Pasien'!$T$5:$T1508),"")</f>
        <v>LUTUT KANAN</v>
      </c>
      <c r="S152" s="104" t="str">
        <f t="array" ref="S152">ifna(xlookup(L152,'🙎‍♂️ Pasien'!$G$5:$G1508,'🙎‍♂️ Pasien'!$U$5:$U1508),"")</f>
        <v>OLAHRAGA LARI</v>
      </c>
      <c r="T152" s="97" t="s">
        <v>59</v>
      </c>
      <c r="U152" s="105" t="s">
        <v>60</v>
      </c>
      <c r="V152" s="101"/>
      <c r="W152" s="106" t="b">
        <v>1</v>
      </c>
      <c r="X152" s="109" t="s">
        <v>217</v>
      </c>
      <c r="Y152" s="108"/>
    </row>
    <row r="153" ht="22.5" customHeight="1">
      <c r="A153" s="96"/>
      <c r="B153" s="97" t="s">
        <v>85</v>
      </c>
      <c r="C153" s="98" t="str">
        <f t="array" ref="C153">IFNA(XLOOKUP(J153,'⚙️ Pengaturan'!$H$5:$H1508,'⚙️ Pengaturan'!$I$5:$I1508),"")</f>
        <v>TIM Y</v>
      </c>
      <c r="D153" s="97" t="s">
        <v>134</v>
      </c>
      <c r="E153" s="99">
        <v>45940.0</v>
      </c>
      <c r="F153" s="100" t="str">
        <f t="shared" si="1"/>
        <v>2025</v>
      </c>
      <c r="G153" s="100" t="str">
        <f t="shared" si="2"/>
        <v>10Okt</v>
      </c>
      <c r="H153" s="100" t="str">
        <f t="shared" si="3"/>
        <v>Jumat</v>
      </c>
      <c r="I153" s="97" t="s">
        <v>97</v>
      </c>
      <c r="J153" s="97" t="s">
        <v>88</v>
      </c>
      <c r="K153" s="97" t="s">
        <v>69</v>
      </c>
      <c r="L153" s="101" t="s">
        <v>218</v>
      </c>
      <c r="M153" s="102" t="str">
        <f>IFNA(VLOOKUP(L153,'🙎‍♂️ Pasien'!G:V,2,FALSE),"")</f>
        <v>S8225092183</v>
      </c>
      <c r="N153" s="103">
        <f>IFNA(VLOOKUP(L153,'🙎‍♂️ Pasien'!G:L,3,FALSE),"")</f>
        <v>44</v>
      </c>
      <c r="O153" s="104" t="str">
        <f>IFNA(VLOOKUP(L153,'🙎‍♂️ Pasien'!G:V,6,FALSE),"")</f>
        <v>LAKI-LAKI</v>
      </c>
      <c r="P153" s="104" t="str">
        <f>IFNA(VLOOKUP(L153,'🙎‍♂️ Pasien'!G:V,12,FALSE),"")</f>
        <v>KATOLIK</v>
      </c>
      <c r="Q153" s="104" t="str">
        <f>IFNA(VLOOKUP(L153:L1508,'🙎‍♂️ Pasien'!G:V,13,FALSE),"")</f>
        <v>PEGAWAI SWASTA</v>
      </c>
      <c r="R153" s="104" t="str">
        <f t="array" ref="R153">ifna(xlookup(L153,'🙎‍♂️ Pasien'!$G$5:$G1508,'🙎‍♂️ Pasien'!$T$5:$T1508),"")</f>
        <v>CIDERA HAMSTRING</v>
      </c>
      <c r="S153" s="104" t="str">
        <f t="array" ref="S153">ifna(xlookup(L153,'🙎‍♂️ Pasien'!$G$5:$G1508,'🙎‍♂️ Pasien'!$U$5:$U1508),"")</f>
        <v>OLAHRAGA MINI SOCCERS</v>
      </c>
      <c r="T153" s="97" t="s">
        <v>59</v>
      </c>
      <c r="U153" s="105" t="s">
        <v>60</v>
      </c>
      <c r="V153" s="101" t="s">
        <v>219</v>
      </c>
      <c r="W153" s="106" t="b">
        <v>1</v>
      </c>
      <c r="X153" s="109" t="s">
        <v>220</v>
      </c>
      <c r="Y153" s="108"/>
    </row>
    <row r="154" ht="22.5" customHeight="1">
      <c r="A154" s="96"/>
      <c r="B154" s="97" t="s">
        <v>85</v>
      </c>
      <c r="C154" s="98" t="str">
        <f t="array" ref="C154">IFNA(XLOOKUP(J154,'⚙️ Pengaturan'!$H$5:$H1508,'⚙️ Pengaturan'!$I$5:$I1508),"")</f>
        <v>TIM Y</v>
      </c>
      <c r="D154" s="97" t="s">
        <v>134</v>
      </c>
      <c r="E154" s="99">
        <v>45940.0</v>
      </c>
      <c r="F154" s="100" t="str">
        <f t="shared" si="1"/>
        <v>2025</v>
      </c>
      <c r="G154" s="100" t="str">
        <f t="shared" si="2"/>
        <v>10Okt</v>
      </c>
      <c r="H154" s="100" t="str">
        <f t="shared" si="3"/>
        <v>Jumat</v>
      </c>
      <c r="I154" s="97" t="s">
        <v>99</v>
      </c>
      <c r="J154" s="97" t="s">
        <v>88</v>
      </c>
      <c r="K154" s="97" t="s">
        <v>63</v>
      </c>
      <c r="L154" s="101" t="s">
        <v>190</v>
      </c>
      <c r="M154" s="102" t="str">
        <f>IFNA(VLOOKUP(L154,'🙎‍♂️ Pasien'!G:V,2,FALSE),"")</f>
        <v>A9025108786</v>
      </c>
      <c r="N154" s="103">
        <f>IFNA(VLOOKUP(L154,'🙎‍♂️ Pasien'!G:L,3,FALSE),"")</f>
        <v>35</v>
      </c>
      <c r="O154" s="104" t="str">
        <f>IFNA(VLOOKUP(L154,'🙎‍♂️ Pasien'!G:V,6,FALSE),"")</f>
        <v>LAKI-LAKI</v>
      </c>
      <c r="P154" s="104" t="str">
        <f>IFNA(VLOOKUP(L154,'🙎‍♂️ Pasien'!G:V,12,FALSE),"")</f>
        <v>ISLAM</v>
      </c>
      <c r="Q154" s="104" t="str">
        <f>IFNA(VLOOKUP(L154:L1508,'🙎‍♂️ Pasien'!G:V,13,FALSE),"")</f>
        <v>WIRASWASTA</v>
      </c>
      <c r="R154" s="104" t="str">
        <f t="array" ref="R154">ifna(xlookup(L154,'🙎‍♂️ Pasien'!$G$5:$G1508,'🙎‍♂️ Pasien'!$T$5:$T1508),"")</f>
        <v>KESELEO PADA BAGIAN LUTUT</v>
      </c>
      <c r="S154" s="104" t="str">
        <f t="array" ref="S154">ifna(xlookup(L154,'🙎‍♂️ Pasien'!$G$5:$G1508,'🙎‍♂️ Pasien'!$U$5:$U1508),"")</f>
        <v>BERMAIN BOLA</v>
      </c>
      <c r="T154" s="97" t="s">
        <v>67</v>
      </c>
      <c r="U154" s="105">
        <v>2.0</v>
      </c>
      <c r="V154" s="101" t="s">
        <v>221</v>
      </c>
      <c r="W154" s="106" t="b">
        <v>1</v>
      </c>
      <c r="X154" s="109" t="s">
        <v>60</v>
      </c>
      <c r="Y154" s="108"/>
    </row>
    <row r="155" ht="22.5" customHeight="1">
      <c r="A155" s="96"/>
      <c r="B155" s="97" t="s">
        <v>53</v>
      </c>
      <c r="C155" s="98" t="str">
        <f t="array" ref="C155">IFNA(XLOOKUP(J155,'⚙️ Pengaturan'!$H$5:$H1508,'⚙️ Pengaturan'!$I$5:$I1508),"")</f>
        <v>MANAJEMEN</v>
      </c>
      <c r="D155" s="97" t="s">
        <v>54</v>
      </c>
      <c r="E155" s="99">
        <v>45941.0</v>
      </c>
      <c r="F155" s="100" t="str">
        <f t="shared" si="1"/>
        <v>2025</v>
      </c>
      <c r="G155" s="100" t="str">
        <f t="shared" si="2"/>
        <v>10Okt</v>
      </c>
      <c r="H155" s="100" t="str">
        <f t="shared" si="3"/>
        <v>Sabtu</v>
      </c>
      <c r="I155" s="97" t="s">
        <v>55</v>
      </c>
      <c r="J155" s="97" t="s">
        <v>81</v>
      </c>
      <c r="K155" s="97" t="s">
        <v>63</v>
      </c>
      <c r="L155" s="101" t="s">
        <v>222</v>
      </c>
      <c r="M155" s="102" t="str">
        <f>IFNA(VLOOKUP(L155,'🙎‍♂️ Pasien'!G:V,2,FALSE),"")</f>
        <v>D0924079294</v>
      </c>
      <c r="N155" s="103">
        <f>IFNA(VLOOKUP(L155,'🙎‍♂️ Pasien'!G:L,3,FALSE),"")</f>
        <v>17</v>
      </c>
      <c r="O155" s="104" t="str">
        <f>IFNA(VLOOKUP(L155,'🙎‍♂️ Pasien'!G:V,6,FALSE),"")</f>
        <v>LAKI-LAKI</v>
      </c>
      <c r="P155" s="104" t="str">
        <f>IFNA(VLOOKUP(L155,'🙎‍♂️ Pasien'!G:V,12,FALSE),"")</f>
        <v>ISLAM</v>
      </c>
      <c r="Q155" s="104" t="str">
        <f>IFNA(VLOOKUP(L155:L1508,'🙎‍♂️ Pasien'!G:V,13,FALSE),"")</f>
        <v>PELAJAR/MAHASISWA</v>
      </c>
      <c r="R155" s="104" t="str">
        <f t="array" ref="R155">ifna(xlookup(L155,'🙎‍♂️ Pasien'!$G$5:$G1508,'🙎‍♂️ Pasien'!$T$5:$T1508),"")</f>
        <v>Strok ringan</v>
      </c>
      <c r="S155" s="104" t="str">
        <f t="array" ref="S155">ifna(xlookup(L155,'🙎‍♂️ Pasien'!$G$5:$G1508,'🙎‍♂️ Pasien'!$U$5:$U1508),"")</f>
        <v>Olah raga</v>
      </c>
      <c r="T155" s="97" t="s">
        <v>67</v>
      </c>
      <c r="U155" s="105">
        <v>9.0</v>
      </c>
      <c r="V155" s="101" t="s">
        <v>223</v>
      </c>
      <c r="W155" s="106" t="b">
        <v>1</v>
      </c>
      <c r="X155" s="107"/>
      <c r="Y155" s="108"/>
    </row>
    <row r="156" ht="22.5" customHeight="1">
      <c r="A156" s="96"/>
      <c r="B156" s="97" t="s">
        <v>53</v>
      </c>
      <c r="C156" s="98" t="str">
        <f t="array" ref="C156">IFNA(XLOOKUP(J156,'⚙️ Pengaturan'!$H$5:$H1508,'⚙️ Pengaturan'!$I$5:$I1508),"")</f>
        <v>TIM A</v>
      </c>
      <c r="D156" s="97" t="s">
        <v>54</v>
      </c>
      <c r="E156" s="99">
        <v>45941.0</v>
      </c>
      <c r="F156" s="100" t="str">
        <f t="shared" si="1"/>
        <v>2025</v>
      </c>
      <c r="G156" s="100" t="str">
        <f t="shared" si="2"/>
        <v>10Okt</v>
      </c>
      <c r="H156" s="100" t="str">
        <f t="shared" si="3"/>
        <v>Sabtu</v>
      </c>
      <c r="I156" s="97" t="s">
        <v>55</v>
      </c>
      <c r="J156" s="97" t="s">
        <v>79</v>
      </c>
      <c r="K156" s="97" t="s">
        <v>69</v>
      </c>
      <c r="L156" s="101" t="s">
        <v>224</v>
      </c>
      <c r="M156" s="102" t="str">
        <f>IFNA(VLOOKUP(L156,'🙎‍♂️ Pasien'!G:V,2,FALSE),"")</f>
        <v>K6025085313</v>
      </c>
      <c r="N156" s="103">
        <f>IFNA(VLOOKUP(L156,'🙎‍♂️ Pasien'!G:L,3,FALSE),"")</f>
        <v>65</v>
      </c>
      <c r="O156" s="104" t="str">
        <f>IFNA(VLOOKUP(L156,'🙎‍♂️ Pasien'!G:V,6,FALSE),"")</f>
        <v>PEREMPUAN</v>
      </c>
      <c r="P156" s="104" t="str">
        <f>IFNA(VLOOKUP(L156,'🙎‍♂️ Pasien'!G:V,12,FALSE),"")</f>
        <v>ISLAM</v>
      </c>
      <c r="Q156" s="104" t="str">
        <f>IFNA(VLOOKUP(L156:L1508,'🙎‍♂️ Pasien'!G:V,13,FALSE),"")</f>
        <v>IBU RUMAH TANGGA</v>
      </c>
      <c r="R156" s="104" t="str">
        <f t="array" ref="R156">ifna(xlookup(L156,'🙎‍♂️ Pasien'!$G$5:$G1508,'🙎‍♂️ Pasien'!$T$5:$T1508),"")</f>
        <v>SAKIT LUTUT KANAN</v>
      </c>
      <c r="S156" s="104" t="str">
        <f t="array" ref="S156">ifna(xlookup(L156,'🙎‍♂️ Pasien'!$G$5:$G1508,'🙎‍♂️ Pasien'!$U$5:$U1508),"")</f>
        <v>JALAN KAKI</v>
      </c>
      <c r="T156" s="97" t="s">
        <v>59</v>
      </c>
      <c r="U156" s="105" t="s">
        <v>60</v>
      </c>
      <c r="V156" s="101"/>
      <c r="W156" s="106" t="b">
        <v>1</v>
      </c>
      <c r="X156" s="107"/>
      <c r="Y156" s="108"/>
    </row>
    <row r="157" ht="22.5" customHeight="1">
      <c r="A157" s="96"/>
      <c r="B157" s="97" t="s">
        <v>53</v>
      </c>
      <c r="C157" s="98" t="str">
        <f t="array" ref="C157">IFNA(XLOOKUP(J157,'⚙️ Pengaturan'!$H$5:$H1508,'⚙️ Pengaturan'!$I$5:$I1508),"")</f>
        <v>TIM Y</v>
      </c>
      <c r="D157" s="97" t="s">
        <v>54</v>
      </c>
      <c r="E157" s="99">
        <v>45941.0</v>
      </c>
      <c r="F157" s="100" t="str">
        <f t="shared" si="1"/>
        <v>2025</v>
      </c>
      <c r="G157" s="100" t="str">
        <f t="shared" si="2"/>
        <v>10Okt</v>
      </c>
      <c r="H157" s="100" t="str">
        <f t="shared" si="3"/>
        <v>Sabtu</v>
      </c>
      <c r="I157" s="97" t="s">
        <v>55</v>
      </c>
      <c r="J157" s="97" t="s">
        <v>56</v>
      </c>
      <c r="K157" s="97" t="s">
        <v>63</v>
      </c>
      <c r="L157" s="101" t="s">
        <v>160</v>
      </c>
      <c r="M157" s="102" t="str">
        <f>IFNA(VLOOKUP(L157,'🙎‍♂️ Pasien'!G:V,2,FALSE),"")</f>
        <v>S7625091177</v>
      </c>
      <c r="N157" s="103">
        <f>IFNA(VLOOKUP(L157,'🙎‍♂️ Pasien'!G:L,3,FALSE),"")</f>
        <v>49</v>
      </c>
      <c r="O157" s="104" t="str">
        <f>IFNA(VLOOKUP(L157,'🙎‍♂️ Pasien'!G:V,6,FALSE),"")</f>
        <v>LAKI-LAKI</v>
      </c>
      <c r="P157" s="104" t="str">
        <f>IFNA(VLOOKUP(L157,'🙎‍♂️ Pasien'!G:V,12,FALSE),"")</f>
        <v>ISLAM</v>
      </c>
      <c r="Q157" s="104" t="str">
        <f>IFNA(VLOOKUP(L157:L1508,'🙎‍♂️ Pasien'!G:V,13,FALSE),"")</f>
        <v>WIRASWASTA</v>
      </c>
      <c r="R157" s="104" t="str">
        <f t="array" ref="R157">ifna(xlookup(L157,'🙎‍♂️ Pasien'!$G$5:$G1508,'🙎‍♂️ Pasien'!$T$5:$T1508),"")</f>
        <v>CEDERA LUTUT</v>
      </c>
      <c r="S157" s="104" t="str">
        <f t="array" ref="S157">ifna(xlookup(L157,'🙎‍♂️ Pasien'!$G$5:$G1508,'🙎‍♂️ Pasien'!$U$5:$U1508),"")</f>
        <v>MAIN BADMINTON</v>
      </c>
      <c r="T157" s="97" t="s">
        <v>59</v>
      </c>
      <c r="U157" s="105">
        <v>5.0</v>
      </c>
      <c r="V157" s="101" t="s">
        <v>125</v>
      </c>
      <c r="W157" s="106" t="b">
        <v>1</v>
      </c>
      <c r="X157" s="107"/>
      <c r="Y157" s="108"/>
    </row>
    <row r="158" ht="22.5" customHeight="1">
      <c r="A158" s="96"/>
      <c r="B158" s="97" t="s">
        <v>53</v>
      </c>
      <c r="C158" s="98" t="str">
        <f t="array" ref="C158">IFNA(XLOOKUP(J158,'⚙️ Pengaturan'!$H$5:$H1508,'⚙️ Pengaturan'!$I$5:$I1508),"")</f>
        <v>TIM A</v>
      </c>
      <c r="D158" s="97" t="s">
        <v>54</v>
      </c>
      <c r="E158" s="99">
        <v>45941.0</v>
      </c>
      <c r="F158" s="100" t="str">
        <f t="shared" si="1"/>
        <v>2025</v>
      </c>
      <c r="G158" s="100" t="str">
        <f t="shared" si="2"/>
        <v>10Okt</v>
      </c>
      <c r="H158" s="100" t="str">
        <f t="shared" si="3"/>
        <v>Sabtu</v>
      </c>
      <c r="I158" s="97" t="s">
        <v>65</v>
      </c>
      <c r="J158" s="97" t="s">
        <v>72</v>
      </c>
      <c r="K158" s="97" t="s">
        <v>57</v>
      </c>
      <c r="L158" s="101" t="s">
        <v>225</v>
      </c>
      <c r="M158" s="102" t="str">
        <f>IFNA(VLOOKUP(L158,'🙎‍♂️ Pasien'!G:V,2,FALSE),"")</f>
        <v>B8025102288</v>
      </c>
      <c r="N158" s="103">
        <f>IFNA(VLOOKUP(L158,'🙎‍♂️ Pasien'!G:L,3,FALSE),"")</f>
        <v>45</v>
      </c>
      <c r="O158" s="104" t="str">
        <f>IFNA(VLOOKUP(L158,'🙎‍♂️ Pasien'!G:V,6,FALSE),"")</f>
        <v>PEREMPUAN</v>
      </c>
      <c r="P158" s="104" t="str">
        <f>IFNA(VLOOKUP(L158,'🙎‍♂️ Pasien'!G:V,12,FALSE),"")</f>
        <v>ISLAM</v>
      </c>
      <c r="Q158" s="104" t="str">
        <f>IFNA(VLOOKUP(L158:L1508,'🙎‍♂️ Pasien'!G:V,13,FALSE),"")</f>
        <v>ASN</v>
      </c>
      <c r="R158" s="104" t="str">
        <f t="array" ref="R158">ifna(xlookup(L158,'🙎‍♂️ Pasien'!$G$5:$G1508,'🙎‍♂️ Pasien'!$T$5:$T1508),"")</f>
        <v>KELUHAN SY NYERI DI TUMIT KIRI SM PAHA KANAN UT DIANGKAT SAMBIL DITEKUK KE ARAH SAMPING LUAR RASA NYA NYERI</v>
      </c>
      <c r="S158" s="104" t="str">
        <f t="array" ref="S158">ifna(xlookup(L158,'🙎‍♂️ Pasien'!$G$5:$G1508,'🙎‍♂️ Pasien'!$U$5:$U1508),"")</f>
        <v>JOGING</v>
      </c>
      <c r="T158" s="97" t="s">
        <v>59</v>
      </c>
      <c r="U158" s="105" t="s">
        <v>60</v>
      </c>
      <c r="V158" s="101" t="s">
        <v>226</v>
      </c>
      <c r="W158" s="106" t="b">
        <v>1</v>
      </c>
      <c r="X158" s="107"/>
      <c r="Y158" s="108"/>
    </row>
    <row r="159" ht="22.5" customHeight="1">
      <c r="A159" s="96"/>
      <c r="B159" s="97" t="s">
        <v>53</v>
      </c>
      <c r="C159" s="98" t="str">
        <f t="array" ref="C159">IFNA(XLOOKUP(J159,'⚙️ Pengaturan'!$H$5:$H1508,'⚙️ Pengaturan'!$I$5:$I1508),"")</f>
        <v>TIM A</v>
      </c>
      <c r="D159" s="97" t="s">
        <v>54</v>
      </c>
      <c r="E159" s="99">
        <v>45941.0</v>
      </c>
      <c r="F159" s="100" t="str">
        <f t="shared" si="1"/>
        <v>2025</v>
      </c>
      <c r="G159" s="100" t="str">
        <f t="shared" si="2"/>
        <v>10Okt</v>
      </c>
      <c r="H159" s="100" t="str">
        <f t="shared" si="3"/>
        <v>Sabtu</v>
      </c>
      <c r="I159" s="97" t="s">
        <v>65</v>
      </c>
      <c r="J159" s="97" t="s">
        <v>79</v>
      </c>
      <c r="K159" s="97" t="s">
        <v>69</v>
      </c>
      <c r="L159" s="101" t="s">
        <v>70</v>
      </c>
      <c r="M159" s="102" t="str">
        <f>IFNA(VLOOKUP(L159,'🙎‍♂️ Pasien'!G:V,2,FALSE),"")</f>
        <v>L8125099600</v>
      </c>
      <c r="N159" s="103">
        <f>IFNA(VLOOKUP(L159,'🙎‍♂️ Pasien'!G:L,3,FALSE),"")</f>
        <v>45</v>
      </c>
      <c r="O159" s="104" t="str">
        <f>IFNA(VLOOKUP(L159,'🙎‍♂️ Pasien'!G:V,6,FALSE),"")</f>
        <v>PEREMPUAN</v>
      </c>
      <c r="P159" s="104" t="str">
        <f>IFNA(VLOOKUP(L159,'🙎‍♂️ Pasien'!G:V,12,FALSE),"")</f>
        <v>ISLAM</v>
      </c>
      <c r="Q159" s="104" t="str">
        <f>IFNA(VLOOKUP(L159:L1508,'🙎‍♂️ Pasien'!G:V,13,FALSE),"")</f>
        <v>IRT</v>
      </c>
      <c r="R159" s="104" t="str">
        <f t="array" ref="R159">ifna(xlookup(L159,'🙎‍♂️ Pasien'!$G$5:$G1508,'🙎‍♂️ Pasien'!$T$5:$T1508),"")</f>
        <v>SAKIT PINGGANG KIRI</v>
      </c>
      <c r="S159" s="104" t="str">
        <f t="array" ref="S159">ifna(xlookup(L159,'🙎‍♂️ Pasien'!$G$5:$G1508,'🙎‍♂️ Pasien'!$U$5:$U1508),"")</f>
        <v>CATERING</v>
      </c>
      <c r="T159" s="97" t="s">
        <v>59</v>
      </c>
      <c r="U159" s="105" t="s">
        <v>60</v>
      </c>
      <c r="V159" s="101"/>
      <c r="W159" s="106" t="b">
        <v>1</v>
      </c>
      <c r="X159" s="107"/>
      <c r="Y159" s="108"/>
    </row>
    <row r="160" ht="22.5" customHeight="1">
      <c r="A160" s="96"/>
      <c r="B160" s="97" t="s">
        <v>53</v>
      </c>
      <c r="C160" s="98" t="str">
        <f t="array" ref="C160">IFNA(XLOOKUP(J160,'⚙️ Pengaturan'!$H$5:$H1508,'⚙️ Pengaturan'!$I$5:$I1508),"")</f>
        <v>TIM A</v>
      </c>
      <c r="D160" s="97" t="s">
        <v>54</v>
      </c>
      <c r="E160" s="99">
        <v>45941.0</v>
      </c>
      <c r="F160" s="100" t="str">
        <f t="shared" si="1"/>
        <v>2025</v>
      </c>
      <c r="G160" s="100" t="str">
        <f t="shared" si="2"/>
        <v>10Okt</v>
      </c>
      <c r="H160" s="100" t="str">
        <f t="shared" si="3"/>
        <v>Sabtu</v>
      </c>
      <c r="I160" s="97" t="s">
        <v>65</v>
      </c>
      <c r="J160" s="97" t="s">
        <v>62</v>
      </c>
      <c r="K160" s="97" t="s">
        <v>63</v>
      </c>
      <c r="L160" s="101" t="s">
        <v>149</v>
      </c>
      <c r="M160" s="102" t="str">
        <f>IFNA(VLOOKUP(L160,'🙎‍♂️ Pasien'!G:V,2,FALSE),"")</f>
        <v>S9825058991</v>
      </c>
      <c r="N160" s="103">
        <f>IFNA(VLOOKUP(L160,'🙎‍♂️ Pasien'!G:L,3,FALSE),"")</f>
        <v>27</v>
      </c>
      <c r="O160" s="104" t="str">
        <f>IFNA(VLOOKUP(L160,'🙎‍♂️ Pasien'!G:V,6,FALSE),"")</f>
        <v>PEREMPUAN</v>
      </c>
      <c r="P160" s="104" t="str">
        <f>IFNA(VLOOKUP(L160,'🙎‍♂️ Pasien'!G:V,12,FALSE),"")</f>
        <v>ISLAM</v>
      </c>
      <c r="Q160" s="104" t="str">
        <f>IFNA(VLOOKUP(L160:L1508,'🙎‍♂️ Pasien'!G:V,13,FALSE),"")</f>
        <v>SWASTA</v>
      </c>
      <c r="R160" s="104" t="str">
        <f t="array" ref="R160">ifna(xlookup(L160,'🙎‍♂️ Pasien'!$G$5:$G1508,'🙎‍♂️ Pasien'!$T$5:$T1508),"")</f>
        <v>HNP LUMBAL/SARAF KEJEPIT</v>
      </c>
      <c r="S160" s="104" t="str">
        <f t="array" ref="S160">ifna(xlookup(L160,'🙎‍♂️ Pasien'!$G$5:$G1508,'🙎‍♂️ Pasien'!$U$5:$U1508),"")</f>
        <v>BEKERJA KANTORAN</v>
      </c>
      <c r="T160" s="97" t="s">
        <v>59</v>
      </c>
      <c r="U160" s="105">
        <v>2.0</v>
      </c>
      <c r="V160" s="101"/>
      <c r="W160" s="106" t="b">
        <v>1</v>
      </c>
      <c r="X160" s="107"/>
      <c r="Y160" s="108"/>
    </row>
    <row r="161" ht="22.5" customHeight="1">
      <c r="A161" s="96"/>
      <c r="B161" s="97" t="s">
        <v>53</v>
      </c>
      <c r="C161" s="98" t="str">
        <f t="array" ref="C161">IFNA(XLOOKUP(J161,'⚙️ Pengaturan'!$H$5:$H1508,'⚙️ Pengaturan'!$I$5:$I1508),"")</f>
        <v>TIM A</v>
      </c>
      <c r="D161" s="97" t="s">
        <v>54</v>
      </c>
      <c r="E161" s="99">
        <v>45941.0</v>
      </c>
      <c r="F161" s="100" t="str">
        <f t="shared" si="1"/>
        <v>2025</v>
      </c>
      <c r="G161" s="100" t="str">
        <f t="shared" si="2"/>
        <v>10Okt</v>
      </c>
      <c r="H161" s="100" t="str">
        <f t="shared" si="3"/>
        <v>Sabtu</v>
      </c>
      <c r="I161" s="97" t="s">
        <v>74</v>
      </c>
      <c r="J161" s="97" t="s">
        <v>72</v>
      </c>
      <c r="K161" s="97" t="s">
        <v>57</v>
      </c>
      <c r="L161" s="101" t="s">
        <v>227</v>
      </c>
      <c r="M161" s="102" t="str">
        <f>IFNA(VLOOKUP(L161,'🙎‍♂️ Pasien'!G:V,2,FALSE),"")</f>
        <v>A9323069998</v>
      </c>
      <c r="N161" s="103">
        <f>IFNA(VLOOKUP(L161,'🙎‍♂️ Pasien'!G:L,3,FALSE),"")</f>
        <v>33</v>
      </c>
      <c r="O161" s="104" t="str">
        <f>IFNA(VLOOKUP(L161,'🙎‍♂️ Pasien'!G:V,6,FALSE),"")</f>
        <v>LAKI-LAKI</v>
      </c>
      <c r="P161" s="104" t="str">
        <f>IFNA(VLOOKUP(L161,'🙎‍♂️ Pasien'!G:V,12,FALSE),"")</f>
        <v>KHONGHUCU</v>
      </c>
      <c r="Q161" s="104" t="str">
        <f>IFNA(VLOOKUP(L161:L1508,'🙎‍♂️ Pasien'!G:V,13,FALSE),"")</f>
        <v>WIRASWASTA</v>
      </c>
      <c r="R161" s="104" t="str">
        <f t="array" ref="R161">ifna(xlookup(L161,'🙎‍♂️ Pasien'!$G$5:$G1508,'🙎‍♂️ Pasien'!$T$5:$T1508),"")</f>
        <v>ANGKLE PERGELANGAN TANGAN KANAN</v>
      </c>
      <c r="S161" s="104" t="str">
        <f t="array" ref="S161">ifna(xlookup(L161,'🙎‍♂️ Pasien'!$G$5:$G1508,'🙎‍♂️ Pasien'!$U$5:$U1508),"")</f>
        <v>BADMINTON</v>
      </c>
      <c r="T161" s="97" t="s">
        <v>59</v>
      </c>
      <c r="U161" s="105" t="s">
        <v>60</v>
      </c>
      <c r="V161" s="101"/>
      <c r="W161" s="106" t="b">
        <v>1</v>
      </c>
      <c r="X161" s="107"/>
      <c r="Y161" s="108"/>
    </row>
    <row r="162" ht="22.5" customHeight="1">
      <c r="A162" s="96"/>
      <c r="B162" s="97" t="s">
        <v>53</v>
      </c>
      <c r="C162" s="98" t="str">
        <f t="array" ref="C162">IFNA(XLOOKUP(J162,'⚙️ Pengaturan'!$H$5:$H1508,'⚙️ Pengaturan'!$I$5:$I1508),"")</f>
        <v>TIM A</v>
      </c>
      <c r="D162" s="97" t="s">
        <v>54</v>
      </c>
      <c r="E162" s="99">
        <v>45941.0</v>
      </c>
      <c r="F162" s="100" t="str">
        <f t="shared" si="1"/>
        <v>2025</v>
      </c>
      <c r="G162" s="100" t="str">
        <f t="shared" si="2"/>
        <v>10Okt</v>
      </c>
      <c r="H162" s="100" t="str">
        <f t="shared" si="3"/>
        <v>Sabtu</v>
      </c>
      <c r="I162" s="97" t="s">
        <v>74</v>
      </c>
      <c r="J162" s="97" t="s">
        <v>72</v>
      </c>
      <c r="K162" s="97" t="s">
        <v>63</v>
      </c>
      <c r="L162" s="101" t="s">
        <v>144</v>
      </c>
      <c r="M162" s="102" t="str">
        <f>IFNA(VLOOKUP(L162,'🙎‍♂️ Pasien'!G:V,2,FALSE),"")</f>
        <v>L2525104585</v>
      </c>
      <c r="N162" s="103">
        <f>IFNA(VLOOKUP(L162,'🙎‍♂️ Pasien'!G:L,3,FALSE),"")</f>
        <v>0</v>
      </c>
      <c r="O162" s="104" t="str">
        <f>IFNA(VLOOKUP(L162,'🙎‍♂️ Pasien'!G:V,6,FALSE),"")</f>
        <v>PEREMPUAN</v>
      </c>
      <c r="P162" s="104" t="str">
        <f>IFNA(VLOOKUP(L162,'🙎‍♂️ Pasien'!G:V,12,FALSE),"")</f>
        <v>ISLAM</v>
      </c>
      <c r="Q162" s="104" t="str">
        <f>IFNA(VLOOKUP(L162:L1508,'🙎‍♂️ Pasien'!G:V,13,FALSE),"")</f>
        <v>ANGGOTA DPRD KOTA PONTIANAK</v>
      </c>
      <c r="R162" s="104" t="str">
        <f t="array" ref="R162">ifna(xlookup(L162,'🙎‍♂️ Pasien'!$G$5:$G1508,'🙎‍♂️ Pasien'!$T$5:$T1508),"")</f>
        <v>CEDERA BAHU</v>
      </c>
      <c r="S162" s="104" t="str">
        <f t="array" ref="S162">ifna(xlookup(L162,'🙎‍♂️ Pasien'!$G$5:$G1508,'🙎‍♂️ Pasien'!$U$5:$U1508),"")</f>
        <v>GYM</v>
      </c>
      <c r="T162" s="97" t="s">
        <v>67</v>
      </c>
      <c r="U162" s="105">
        <v>3.0</v>
      </c>
      <c r="V162" s="101"/>
      <c r="W162" s="106" t="b">
        <v>1</v>
      </c>
      <c r="X162" s="107"/>
      <c r="Y162" s="108"/>
    </row>
    <row r="163" ht="22.5" customHeight="1">
      <c r="A163" s="96"/>
      <c r="B163" s="97" t="s">
        <v>53</v>
      </c>
      <c r="C163" s="98" t="str">
        <f t="array" ref="C163">IFNA(XLOOKUP(J163,'⚙️ Pengaturan'!$H$5:$H1508,'⚙️ Pengaturan'!$I$5:$I1508),"")</f>
        <v>TIM A</v>
      </c>
      <c r="D163" s="97" t="s">
        <v>54</v>
      </c>
      <c r="E163" s="99">
        <v>45941.0</v>
      </c>
      <c r="F163" s="100" t="str">
        <f t="shared" si="1"/>
        <v>2025</v>
      </c>
      <c r="G163" s="100" t="str">
        <f t="shared" si="2"/>
        <v>10Okt</v>
      </c>
      <c r="H163" s="100" t="str">
        <f t="shared" si="3"/>
        <v>Sabtu</v>
      </c>
      <c r="I163" s="97" t="s">
        <v>74</v>
      </c>
      <c r="J163" s="97" t="s">
        <v>79</v>
      </c>
      <c r="K163" s="97" t="s">
        <v>63</v>
      </c>
      <c r="L163" s="101" t="s">
        <v>206</v>
      </c>
      <c r="M163" s="102" t="str">
        <f>IFNA(VLOOKUP(L163,'🙎‍♂️ Pasien'!G:V,2,FALSE),"")</f>
        <v>L7225071788</v>
      </c>
      <c r="N163" s="103">
        <f>IFNA(VLOOKUP(L163,'🙎‍♂️ Pasien'!G:L,3,FALSE),"")</f>
        <v>53</v>
      </c>
      <c r="O163" s="104" t="str">
        <f>IFNA(VLOOKUP(L163,'🙎‍♂️ Pasien'!G:V,6,FALSE),"")</f>
        <v>PEREMPUAN</v>
      </c>
      <c r="P163" s="104" t="str">
        <f>IFNA(VLOOKUP(L163,'🙎‍♂️ Pasien'!G:V,12,FALSE),"")</f>
        <v>KATOLIK</v>
      </c>
      <c r="Q163" s="104" t="str">
        <f>IFNA(VLOOKUP(L163:L1508,'🙎‍♂️ Pasien'!G:V,13,FALSE),"")</f>
        <v>IBU RT</v>
      </c>
      <c r="R163" s="104" t="str">
        <f t="array" ref="R163">ifna(xlookup(L163,'🙎‍♂️ Pasien'!$G$5:$G1508,'🙎‍♂️ Pasien'!$T$5:$T1508),"")</f>
        <v>BAHU KANAN DAN PINGGANG</v>
      </c>
      <c r="S163" s="104" t="str">
        <f t="array" ref="S163">ifna(xlookup(L163,'🙎‍♂️ Pasien'!$G$5:$G1508,'🙎‍♂️ Pasien'!$U$5:$U1508),"")</f>
        <v>YOGA</v>
      </c>
      <c r="T163" s="97" t="s">
        <v>59</v>
      </c>
      <c r="U163" s="105">
        <v>4.0</v>
      </c>
      <c r="V163" s="101"/>
      <c r="W163" s="106" t="b">
        <v>1</v>
      </c>
      <c r="X163" s="107"/>
      <c r="Y163" s="108"/>
    </row>
    <row r="164" ht="22.5" customHeight="1">
      <c r="A164" s="96"/>
      <c r="B164" s="97" t="s">
        <v>53</v>
      </c>
      <c r="C164" s="98" t="str">
        <f t="array" ref="C164">IFNA(XLOOKUP(J164,'⚙️ Pengaturan'!$H$5:$H1508,'⚙️ Pengaturan'!$I$5:$I1508),"")</f>
        <v>TIM A</v>
      </c>
      <c r="D164" s="97" t="s">
        <v>54</v>
      </c>
      <c r="E164" s="99">
        <v>45941.0</v>
      </c>
      <c r="F164" s="100" t="str">
        <f t="shared" si="1"/>
        <v>2025</v>
      </c>
      <c r="G164" s="100" t="str">
        <f t="shared" si="2"/>
        <v>10Okt</v>
      </c>
      <c r="H164" s="100" t="str">
        <f t="shared" si="3"/>
        <v>Sabtu</v>
      </c>
      <c r="I164" s="97" t="s">
        <v>76</v>
      </c>
      <c r="J164" s="97" t="s">
        <v>62</v>
      </c>
      <c r="K164" s="97" t="s">
        <v>63</v>
      </c>
      <c r="L164" s="101" t="s">
        <v>179</v>
      </c>
      <c r="M164" s="102" t="str">
        <f>IFNA(VLOOKUP(L164,'🙎‍♂️ Pasien'!G:V,2,FALSE),"")</f>
        <v>C9725104448</v>
      </c>
      <c r="N164" s="103">
        <f>IFNA(VLOOKUP(L164,'🙎‍♂️ Pasien'!G:L,3,FALSE),"")</f>
        <v>29</v>
      </c>
      <c r="O164" s="104" t="str">
        <f>IFNA(VLOOKUP(L164,'🙎‍♂️ Pasien'!G:V,6,FALSE),"")</f>
        <v>PEREMPUAN</v>
      </c>
      <c r="P164" s="104" t="str">
        <f>IFNA(VLOOKUP(L164,'🙎‍♂️ Pasien'!G:V,12,FALSE),"")</f>
        <v>KATOLIK</v>
      </c>
      <c r="Q164" s="104" t="str">
        <f>IFNA(VLOOKUP(L164:L1508,'🙎‍♂️ Pasien'!G:V,13,FALSE),"")</f>
        <v>IBU RUMAH TANGGA</v>
      </c>
      <c r="R164" s="104" t="str">
        <f t="array" ref="R164">ifna(xlookup(L164,'🙎‍♂️ Pasien'!$G$5:$G1508,'🙎‍♂️ Pasien'!$T$5:$T1508),"")</f>
        <v>SAKIT DIDAERAH BOKONG KARNA JATUH</v>
      </c>
      <c r="S164" s="104" t="str">
        <f t="array" ref="S164">ifna(xlookup(L164,'🙎‍♂️ Pasien'!$G$5:$G1508,'🙎‍♂️ Pasien'!$U$5:$U1508),"")</f>
        <v>SENAM AEROBIK</v>
      </c>
      <c r="T164" s="97" t="s">
        <v>67</v>
      </c>
      <c r="U164" s="105">
        <v>2.0</v>
      </c>
      <c r="V164" s="101" t="s">
        <v>228</v>
      </c>
      <c r="W164" s="106" t="b">
        <v>1</v>
      </c>
      <c r="X164" s="107"/>
      <c r="Y164" s="108"/>
    </row>
    <row r="165" ht="22.5" customHeight="1">
      <c r="A165" s="96"/>
      <c r="B165" s="97" t="s">
        <v>53</v>
      </c>
      <c r="C165" s="98" t="str">
        <f t="array" ref="C165">IFNA(XLOOKUP(J165,'⚙️ Pengaturan'!$H$5:$H1508,'⚙️ Pengaturan'!$I$5:$I1508),"")</f>
        <v>TIM A</v>
      </c>
      <c r="D165" s="97" t="s">
        <v>54</v>
      </c>
      <c r="E165" s="99">
        <v>45941.0</v>
      </c>
      <c r="F165" s="100" t="str">
        <f t="shared" si="1"/>
        <v>2025</v>
      </c>
      <c r="G165" s="100" t="str">
        <f t="shared" si="2"/>
        <v>10Okt</v>
      </c>
      <c r="H165" s="100" t="str">
        <f t="shared" si="3"/>
        <v>Sabtu</v>
      </c>
      <c r="I165" s="97" t="s">
        <v>76</v>
      </c>
      <c r="J165" s="97" t="s">
        <v>72</v>
      </c>
      <c r="K165" s="97" t="s">
        <v>63</v>
      </c>
      <c r="L165" s="101" t="s">
        <v>129</v>
      </c>
      <c r="M165" s="102" t="str">
        <f>IFNA(VLOOKUP(L165,'🙎‍♂️ Pasien'!G:V,2,FALSE),"")</f>
        <v>D1025091558</v>
      </c>
      <c r="N165" s="103">
        <f>IFNA(VLOOKUP(L165,'🙎‍♂️ Pasien'!G:L,3,FALSE),"")</f>
        <v>16</v>
      </c>
      <c r="O165" s="104" t="str">
        <f>IFNA(VLOOKUP(L165,'🙎‍♂️ Pasien'!G:V,6,FALSE),"")</f>
        <v>LAKI-LAKI</v>
      </c>
      <c r="P165" s="104" t="str">
        <f>IFNA(VLOOKUP(L165,'🙎‍♂️ Pasien'!G:V,12,FALSE),"")</f>
        <v>PROTESTAN</v>
      </c>
      <c r="Q165" s="104" t="str">
        <f>IFNA(VLOOKUP(L165:L1508,'🙎‍♂️ Pasien'!G:V,13,FALSE),"")</f>
        <v>MASI SEKOLAH</v>
      </c>
      <c r="R165" s="104" t="str">
        <f t="array" ref="R165">ifna(xlookup(L165,'🙎‍♂️ Pasien'!$G$5:$G1508,'🙎‍♂️ Pasien'!$T$5:$T1508),"")</f>
        <v>SAKIT DI BAGIAN LUTUT</v>
      </c>
      <c r="S165" s="104" t="str">
        <f t="array" ref="S165">ifna(xlookup(L165,'🙎‍♂️ Pasien'!$G$5:$G1508,'🙎‍♂️ Pasien'!$U$5:$U1508),"")</f>
        <v>BASKET</v>
      </c>
      <c r="T165" s="97" t="s">
        <v>59</v>
      </c>
      <c r="U165" s="105">
        <v>1.0</v>
      </c>
      <c r="V165" s="101"/>
      <c r="W165" s="106" t="b">
        <v>1</v>
      </c>
      <c r="X165" s="107"/>
      <c r="Y165" s="108"/>
    </row>
    <row r="166" ht="22.5" customHeight="1">
      <c r="A166" s="96"/>
      <c r="B166" s="97" t="s">
        <v>53</v>
      </c>
      <c r="C166" s="98" t="str">
        <f t="array" ref="C166">IFNA(XLOOKUP(J166,'⚙️ Pengaturan'!$H$5:$H1508,'⚙️ Pengaturan'!$I$5:$I1508),"")</f>
        <v>MANAJEMEN</v>
      </c>
      <c r="D166" s="97" t="s">
        <v>54</v>
      </c>
      <c r="E166" s="99">
        <v>45941.0</v>
      </c>
      <c r="F166" s="100" t="str">
        <f t="shared" si="1"/>
        <v>2025</v>
      </c>
      <c r="G166" s="100" t="str">
        <f t="shared" si="2"/>
        <v>10Okt</v>
      </c>
      <c r="H166" s="100" t="str">
        <f t="shared" si="3"/>
        <v>Sabtu</v>
      </c>
      <c r="I166" s="97" t="s">
        <v>83</v>
      </c>
      <c r="J166" s="97" t="s">
        <v>81</v>
      </c>
      <c r="K166" s="97" t="s">
        <v>63</v>
      </c>
      <c r="L166" s="101" t="s">
        <v>189</v>
      </c>
      <c r="M166" s="102" t="str">
        <f>IFNA(VLOOKUP(L166,'🙎‍♂️ Pasien'!G:V,2,FALSE),"")</f>
        <v>A6025048900</v>
      </c>
      <c r="N166" s="103">
        <f>IFNA(VLOOKUP(L166,'🙎‍♂️ Pasien'!G:L,3,FALSE),"")</f>
        <v>66</v>
      </c>
      <c r="O166" s="104" t="str">
        <f>IFNA(VLOOKUP(L166,'🙎‍♂️ Pasien'!G:V,6,FALSE),"")</f>
        <v>LAKI-LAKI</v>
      </c>
      <c r="P166" s="104" t="str">
        <f>IFNA(VLOOKUP(L166,'🙎‍♂️ Pasien'!G:V,12,FALSE),"")</f>
        <v>KHONGHUCU</v>
      </c>
      <c r="Q166" s="104" t="str">
        <f>IFNA(VLOOKUP(L166:L1508,'🙎‍♂️ Pasien'!G:V,13,FALSE),"")</f>
        <v>KONSULTAN PAJAK</v>
      </c>
      <c r="R166" s="104" t="str">
        <f t="array" ref="R166">ifna(xlookup(L166,'🙎‍♂️ Pasien'!$G$5:$G1508,'🙎‍♂️ Pasien'!$T$5:$T1508),"")</f>
        <v>SAKET LEHER</v>
      </c>
      <c r="S166" s="104" t="str">
        <f t="array" ref="S166">ifna(xlookup(L166,'🙎‍♂️ Pasien'!$G$5:$G1508,'🙎‍♂️ Pasien'!$U$5:$U1508),"")</f>
        <v>KERJE KERJE KERJE !!!!</v>
      </c>
      <c r="T166" s="97" t="s">
        <v>59</v>
      </c>
      <c r="U166" s="105">
        <v>9.0</v>
      </c>
      <c r="V166" s="101"/>
      <c r="W166" s="106" t="b">
        <v>1</v>
      </c>
      <c r="X166" s="107"/>
      <c r="Y166" s="108"/>
    </row>
    <row r="167" ht="22.5" customHeight="1">
      <c r="A167" s="96"/>
      <c r="B167" s="97" t="s">
        <v>53</v>
      </c>
      <c r="C167" s="98" t="str">
        <f t="array" ref="C167">IFNA(XLOOKUP(J167,'⚙️ Pengaturan'!$H$5:$H1508,'⚙️ Pengaturan'!$I$5:$I1508),"")</f>
        <v>TIM A</v>
      </c>
      <c r="D167" s="97" t="s">
        <v>54</v>
      </c>
      <c r="E167" s="99">
        <v>45941.0</v>
      </c>
      <c r="F167" s="100" t="str">
        <f t="shared" si="1"/>
        <v>2025</v>
      </c>
      <c r="G167" s="100" t="str">
        <f t="shared" si="2"/>
        <v>10Okt</v>
      </c>
      <c r="H167" s="100" t="str">
        <f t="shared" si="3"/>
        <v>Sabtu</v>
      </c>
      <c r="I167" s="97" t="s">
        <v>83</v>
      </c>
      <c r="J167" s="97" t="s">
        <v>72</v>
      </c>
      <c r="K167" s="97" t="s">
        <v>57</v>
      </c>
      <c r="L167" s="101" t="s">
        <v>229</v>
      </c>
      <c r="M167" s="102" t="str">
        <f>IFNA(VLOOKUP(L167,'🙎‍♂️ Pasien'!G:V,2,FALSE),"")</f>
        <v>T7524104338</v>
      </c>
      <c r="N167" s="103">
        <f>IFNA(VLOOKUP(L167,'🙎‍♂️ Pasien'!G:L,3,FALSE),"")</f>
        <v>51</v>
      </c>
      <c r="O167" s="104" t="str">
        <f>IFNA(VLOOKUP(L167,'🙎‍♂️ Pasien'!G:V,6,FALSE),"")</f>
        <v>PEREMPUAN</v>
      </c>
      <c r="P167" s="104" t="str">
        <f>IFNA(VLOOKUP(L167,'🙎‍♂️ Pasien'!G:V,12,FALSE),"")</f>
        <v>PROTESTAN</v>
      </c>
      <c r="Q167" s="104" t="str">
        <f>IFNA(VLOOKUP(L167:L1508,'🙎‍♂️ Pasien'!G:V,13,FALSE),"")</f>
        <v>RUMAH TANGGA</v>
      </c>
      <c r="R167" s="104" t="str">
        <f t="array" ref="R167">ifna(xlookup(L167,'🙎‍♂️ Pasien'!$G$5:$G1508,'🙎‍♂️ Pasien'!$T$5:$T1508),"")</f>
        <v>Sakit kaki</v>
      </c>
      <c r="S167" s="104" t="str">
        <f t="array" ref="S167">ifna(xlookup(L167,'🙎‍♂️ Pasien'!$G$5:$G1508,'🙎‍♂️ Pasien'!$U$5:$U1508),"")</f>
        <v>Olahraga</v>
      </c>
      <c r="T167" s="97" t="s">
        <v>59</v>
      </c>
      <c r="U167" s="105" t="s">
        <v>60</v>
      </c>
      <c r="V167" s="101" t="s">
        <v>230</v>
      </c>
      <c r="W167" s="106" t="b">
        <v>1</v>
      </c>
      <c r="X167" s="107"/>
      <c r="Y167" s="108"/>
    </row>
    <row r="168" ht="22.5" customHeight="1">
      <c r="A168" s="96"/>
      <c r="B168" s="97" t="s">
        <v>85</v>
      </c>
      <c r="C168" s="98" t="str">
        <f t="array" ref="C168">IFNA(XLOOKUP(J168,'⚙️ Pengaturan'!$H$5:$H1508,'⚙️ Pengaturan'!$I$5:$I1508),"")</f>
        <v>TIM Y</v>
      </c>
      <c r="D168" s="97" t="s">
        <v>86</v>
      </c>
      <c r="E168" s="99">
        <v>45941.0</v>
      </c>
      <c r="F168" s="100" t="str">
        <f t="shared" si="1"/>
        <v>2025</v>
      </c>
      <c r="G168" s="100" t="str">
        <f t="shared" si="2"/>
        <v>10Okt</v>
      </c>
      <c r="H168" s="100" t="str">
        <f t="shared" si="3"/>
        <v>Sabtu</v>
      </c>
      <c r="I168" s="97" t="s">
        <v>87</v>
      </c>
      <c r="J168" s="97" t="s">
        <v>107</v>
      </c>
      <c r="K168" s="97" t="s">
        <v>63</v>
      </c>
      <c r="L168" s="101" t="s">
        <v>193</v>
      </c>
      <c r="M168" s="102" t="str">
        <f>IFNA(VLOOKUP(L168,'🙎‍♂️ Pasien'!G:V,2,FALSE),"")</f>
        <v>E8925075615</v>
      </c>
      <c r="N168" s="103">
        <f>IFNA(VLOOKUP(L168,'🙎‍♂️ Pasien'!G:L,3,FALSE),"")</f>
        <v>36</v>
      </c>
      <c r="O168" s="104" t="str">
        <f>IFNA(VLOOKUP(L168,'🙎‍♂️ Pasien'!G:V,6,FALSE),"")</f>
        <v>PEREMPUAN</v>
      </c>
      <c r="P168" s="104" t="str">
        <f>IFNA(VLOOKUP(L168,'🙎‍♂️ Pasien'!G:V,12,FALSE),"")</f>
        <v>KATOLIK</v>
      </c>
      <c r="Q168" s="104" t="str">
        <f>IFNA(VLOOKUP(L168:L1508,'🙎‍♂️ Pasien'!G:V,13,FALSE),"")</f>
        <v>WIRASWASTA</v>
      </c>
      <c r="R168" s="104" t="str">
        <f t="array" ref="R168">ifna(xlookup(L168,'🙎‍♂️ Pasien'!$G$5:$G1508,'🙎‍♂️ Pasien'!$T$5:$T1508),"")</f>
        <v>BUNION</v>
      </c>
      <c r="S168" s="104" t="str">
        <f t="array" ref="S168">ifna(xlookup(L168,'🙎‍♂️ Pasien'!$G$5:$G1508,'🙎‍♂️ Pasien'!$U$5:$U1508),"")</f>
        <v>TENNIS</v>
      </c>
      <c r="T168" s="97" t="s">
        <v>59</v>
      </c>
      <c r="U168" s="105">
        <v>7.0</v>
      </c>
      <c r="V168" s="101"/>
      <c r="W168" s="106" t="b">
        <v>1</v>
      </c>
      <c r="X168" s="107"/>
      <c r="Y168" s="108"/>
    </row>
    <row r="169" ht="22.5" customHeight="1">
      <c r="A169" s="96"/>
      <c r="B169" s="97" t="s">
        <v>85</v>
      </c>
      <c r="C169" s="98" t="str">
        <f t="array" ref="C169">IFNA(XLOOKUP(J169,'⚙️ Pengaturan'!$H$5:$H1508,'⚙️ Pengaturan'!$I$5:$I1508),"")</f>
        <v>TIM Y</v>
      </c>
      <c r="D169" s="97" t="s">
        <v>86</v>
      </c>
      <c r="E169" s="99">
        <v>45941.0</v>
      </c>
      <c r="F169" s="100" t="str">
        <f t="shared" si="1"/>
        <v>2025</v>
      </c>
      <c r="G169" s="100" t="str">
        <f t="shared" si="2"/>
        <v>10Okt</v>
      </c>
      <c r="H169" s="100" t="str">
        <f t="shared" si="3"/>
        <v>Sabtu</v>
      </c>
      <c r="I169" s="97" t="s">
        <v>87</v>
      </c>
      <c r="J169" s="97" t="s">
        <v>88</v>
      </c>
      <c r="K169" s="97" t="s">
        <v>69</v>
      </c>
      <c r="L169" s="101" t="s">
        <v>168</v>
      </c>
      <c r="M169" s="102" t="str">
        <f>IFNA(VLOOKUP(L169,'🙎‍♂️ Pasien'!G:V,2,FALSE),"")</f>
        <v>M0524055808</v>
      </c>
      <c r="N169" s="103">
        <f>IFNA(VLOOKUP(L169,'🙎‍♂️ Pasien'!G:L,3,FALSE),"")</f>
        <v>20</v>
      </c>
      <c r="O169" s="104" t="str">
        <f>IFNA(VLOOKUP(L169,'🙎‍♂️ Pasien'!G:V,6,FALSE),"")</f>
        <v>LAKI-LAKI</v>
      </c>
      <c r="P169" s="104" t="str">
        <f>IFNA(VLOOKUP(L169,'🙎‍♂️ Pasien'!G:V,12,FALSE),"")</f>
        <v>ISLAM</v>
      </c>
      <c r="Q169" s="104" t="str">
        <f>IFNA(VLOOKUP(L169:L1508,'🙎‍♂️ Pasien'!G:V,13,FALSE),"")</f>
        <v>PELAJAR/MAHASISWA</v>
      </c>
      <c r="R169" s="104" t="str">
        <f t="array" ref="R169">ifna(xlookup(L169,'🙎‍♂️ Pasien'!$G$5:$G1508,'🙎‍♂️ Pasien'!$T$5:$T1508),"")</f>
        <v>goyang</v>
      </c>
      <c r="S169" s="104" t="str">
        <f t="array" ref="S169">ifna(xlookup(L169,'🙎‍♂️ Pasien'!$G$5:$G1508,'🙎‍♂️ Pasien'!$U$5:$U1508),"")</f>
        <v>futsal</v>
      </c>
      <c r="T169" s="97" t="s">
        <v>59</v>
      </c>
      <c r="U169" s="105" t="s">
        <v>60</v>
      </c>
      <c r="V169" s="101"/>
      <c r="W169" s="106" t="b">
        <v>1</v>
      </c>
      <c r="X169" s="107"/>
      <c r="Y169" s="108"/>
    </row>
    <row r="170" ht="22.5" customHeight="1">
      <c r="A170" s="96"/>
      <c r="B170" s="97" t="s">
        <v>85</v>
      </c>
      <c r="C170" s="98" t="str">
        <f t="array" ref="C170">IFNA(XLOOKUP(J170,'⚙️ Pengaturan'!$H$5:$H1508,'⚙️ Pengaturan'!$I$5:$I1508),"")</f>
        <v>TIM Y</v>
      </c>
      <c r="D170" s="97" t="s">
        <v>86</v>
      </c>
      <c r="E170" s="99">
        <v>45941.0</v>
      </c>
      <c r="F170" s="100" t="str">
        <f t="shared" si="1"/>
        <v>2025</v>
      </c>
      <c r="G170" s="100" t="str">
        <f t="shared" si="2"/>
        <v>10Okt</v>
      </c>
      <c r="H170" s="100" t="str">
        <f t="shared" si="3"/>
        <v>Sabtu</v>
      </c>
      <c r="I170" s="97" t="s">
        <v>93</v>
      </c>
      <c r="J170" s="97" t="s">
        <v>91</v>
      </c>
      <c r="K170" s="97" t="s">
        <v>63</v>
      </c>
      <c r="L170" s="101" t="s">
        <v>196</v>
      </c>
      <c r="M170" s="102" t="str">
        <f>IFNA(VLOOKUP(L170,'🙎‍♂️ Pasien'!G:V,2,FALSE),"")</f>
        <v>B7125094370</v>
      </c>
      <c r="N170" s="103">
        <f>IFNA(VLOOKUP(L170,'🙎‍♂️ Pasien'!G:L,3,FALSE),"")</f>
        <v>54</v>
      </c>
      <c r="O170" s="104" t="str">
        <f>IFNA(VLOOKUP(L170,'🙎‍♂️ Pasien'!G:V,6,FALSE),"")</f>
        <v>LAKI-LAKI</v>
      </c>
      <c r="P170" s="104" t="str">
        <f>IFNA(VLOOKUP(L170,'🙎‍♂️ Pasien'!G:V,12,FALSE),"")</f>
        <v>ISLAM</v>
      </c>
      <c r="Q170" s="104" t="str">
        <f>IFNA(VLOOKUP(L170:L1508,'🙎‍♂️ Pasien'!G:V,13,FALSE),"")</f>
        <v>PNS</v>
      </c>
      <c r="R170" s="104" t="str">
        <f t="array" ref="R170">ifna(xlookup(L170,'🙎‍♂️ Pasien'!$G$5:$G1508,'🙎‍♂️ Pasien'!$T$5:$T1508),"")</f>
        <v>PINGGANG</v>
      </c>
      <c r="S170" s="104" t="str">
        <f t="array" ref="S170">ifna(xlookup(L170,'🙎‍♂️ Pasien'!$G$5:$G1508,'🙎‍♂️ Pasien'!$U$5:$U1508),"")</f>
        <v>-</v>
      </c>
      <c r="T170" s="97" t="s">
        <v>59</v>
      </c>
      <c r="U170" s="105">
        <v>4.0</v>
      </c>
      <c r="V170" s="101"/>
      <c r="W170" s="106" t="b">
        <v>1</v>
      </c>
      <c r="X170" s="107"/>
      <c r="Y170" s="108"/>
    </row>
    <row r="171" ht="22.5" customHeight="1">
      <c r="A171" s="96"/>
      <c r="B171" s="97" t="s">
        <v>85</v>
      </c>
      <c r="C171" s="98" t="str">
        <f t="array" ref="C171">IFNA(XLOOKUP(J171,'⚙️ Pengaturan'!$H$5:$H1508,'⚙️ Pengaturan'!$I$5:$I1508),"")</f>
        <v>TIM Y</v>
      </c>
      <c r="D171" s="97" t="s">
        <v>86</v>
      </c>
      <c r="E171" s="99">
        <v>45941.0</v>
      </c>
      <c r="F171" s="100" t="str">
        <f t="shared" si="1"/>
        <v>2025</v>
      </c>
      <c r="G171" s="100" t="str">
        <f t="shared" si="2"/>
        <v>10Okt</v>
      </c>
      <c r="H171" s="100" t="str">
        <f t="shared" si="3"/>
        <v>Sabtu</v>
      </c>
      <c r="I171" s="97" t="s">
        <v>93</v>
      </c>
      <c r="J171" s="97" t="s">
        <v>88</v>
      </c>
      <c r="K171" s="97" t="s">
        <v>69</v>
      </c>
      <c r="L171" s="101" t="s">
        <v>155</v>
      </c>
      <c r="M171" s="102" t="str">
        <f>IFNA(VLOOKUP(L171,'🙎‍♂️ Pasien'!G:V,2,FALSE),"")</f>
        <v>H5325012017</v>
      </c>
      <c r="N171" s="103">
        <f>IFNA(VLOOKUP(L171,'🙎‍♂️ Pasien'!G:L,3,FALSE),"")</f>
        <v>72</v>
      </c>
      <c r="O171" s="104" t="str">
        <f>IFNA(VLOOKUP(L171,'🙎‍♂️ Pasien'!G:V,6,FALSE),"")</f>
        <v>LAKI-LAKI</v>
      </c>
      <c r="P171" s="104" t="str">
        <f>IFNA(VLOOKUP(L171,'🙎‍♂️ Pasien'!G:V,12,FALSE),"")</f>
        <v>ISLAM</v>
      </c>
      <c r="Q171" s="104" t="str">
        <f>IFNA(VLOOKUP(L171:L1508,'🙎‍♂️ Pasien'!G:V,13,FALSE),"")</f>
        <v>PENSIUN</v>
      </c>
      <c r="R171" s="104" t="str">
        <f t="array" ref="R171">ifna(xlookup(L171,'🙎‍♂️ Pasien'!$G$5:$G1508,'🙎‍♂️ Pasien'!$T$5:$T1508),"")</f>
        <v>Kaki terasa nyeri jika dibawa berdiri lama atau berjalan jauh</v>
      </c>
      <c r="S171" s="104" t="str">
        <f t="array" ref="S171">ifna(xlookup(L171,'🙎‍♂️ Pasien'!$G$5:$G1508,'🙎‍♂️ Pasien'!$U$5:$U1508),"")</f>
        <v>Tidak ada</v>
      </c>
      <c r="T171" s="97" t="s">
        <v>59</v>
      </c>
      <c r="U171" s="105" t="s">
        <v>60</v>
      </c>
      <c r="V171" s="101"/>
      <c r="W171" s="106" t="b">
        <v>1</v>
      </c>
      <c r="X171" s="107"/>
      <c r="Y171" s="108"/>
    </row>
    <row r="172" ht="22.5" customHeight="1">
      <c r="A172" s="96"/>
      <c r="B172" s="97" t="s">
        <v>85</v>
      </c>
      <c r="C172" s="98" t="str">
        <f t="array" ref="C172">IFNA(XLOOKUP(J172,'⚙️ Pengaturan'!$H$5:$H1508,'⚙️ Pengaturan'!$I$5:$I1508),"")</f>
        <v>TIM Y</v>
      </c>
      <c r="D172" s="97" t="s">
        <v>86</v>
      </c>
      <c r="E172" s="99">
        <v>45941.0</v>
      </c>
      <c r="F172" s="100" t="str">
        <f t="shared" si="1"/>
        <v>2025</v>
      </c>
      <c r="G172" s="100" t="str">
        <f t="shared" si="2"/>
        <v>10Okt</v>
      </c>
      <c r="H172" s="100" t="str">
        <f t="shared" si="3"/>
        <v>Sabtu</v>
      </c>
      <c r="I172" s="97" t="s">
        <v>95</v>
      </c>
      <c r="J172" s="97" t="s">
        <v>107</v>
      </c>
      <c r="K172" s="97" t="s">
        <v>63</v>
      </c>
      <c r="L172" s="101" t="s">
        <v>165</v>
      </c>
      <c r="M172" s="102" t="str">
        <f>IFNA(VLOOKUP(L172,'🙎‍♂️ Pasien'!G:V,2,FALSE),"")</f>
        <v>D0925034440</v>
      </c>
      <c r="N172" s="103">
        <f>IFNA(VLOOKUP(L172,'🙎‍♂️ Pasien'!G:L,3,FALSE),"")</f>
        <v>17</v>
      </c>
      <c r="O172" s="104" t="str">
        <f>IFNA(VLOOKUP(L172,'🙎‍♂️ Pasien'!G:V,6,FALSE),"")</f>
        <v>LAKI-LAKI</v>
      </c>
      <c r="P172" s="104" t="str">
        <f>IFNA(VLOOKUP(L172,'🙎‍♂️ Pasien'!G:V,12,FALSE),"")</f>
        <v>KATOLIK</v>
      </c>
      <c r="Q172" s="104" t="str">
        <f>IFNA(VLOOKUP(L172:L1508,'🙎‍♂️ Pasien'!G:V,13,FALSE),"")</f>
        <v>PELAJAR</v>
      </c>
      <c r="R172" s="104" t="str">
        <f t="array" ref="R172">ifna(xlookup(L172,'🙎‍♂️ Pasien'!$G$5:$G1508,'🙎‍♂️ Pasien'!$T$5:$T1508),"")</f>
        <v>TANGAN KANAN DAN KIRI KURANG LURUS DARI LAHIR</v>
      </c>
      <c r="S172" s="104" t="str">
        <f t="array" ref="S172">ifna(xlookup(L172,'🙎‍♂️ Pasien'!$G$5:$G1508,'🙎‍♂️ Pasien'!$U$5:$U1508),"")</f>
        <v>JOGING</v>
      </c>
      <c r="T172" s="97" t="s">
        <v>59</v>
      </c>
      <c r="U172" s="105">
        <v>3.0</v>
      </c>
      <c r="V172" s="101"/>
      <c r="W172" s="106" t="b">
        <v>1</v>
      </c>
      <c r="X172" s="107"/>
      <c r="Y172" s="108"/>
    </row>
    <row r="173" ht="22.5" customHeight="1">
      <c r="A173" s="96"/>
      <c r="B173" s="97" t="s">
        <v>85</v>
      </c>
      <c r="C173" s="98" t="str">
        <f t="array" ref="C173">IFNA(XLOOKUP(J173,'⚙️ Pengaturan'!$H$5:$H1508,'⚙️ Pengaturan'!$I$5:$I1508),"")</f>
        <v>TIM Y</v>
      </c>
      <c r="D173" s="97" t="s">
        <v>86</v>
      </c>
      <c r="E173" s="99">
        <v>45941.0</v>
      </c>
      <c r="F173" s="100" t="str">
        <f t="shared" si="1"/>
        <v>2025</v>
      </c>
      <c r="G173" s="100" t="str">
        <f t="shared" si="2"/>
        <v>10Okt</v>
      </c>
      <c r="H173" s="100" t="str">
        <f t="shared" si="3"/>
        <v>Sabtu</v>
      </c>
      <c r="I173" s="97" t="s">
        <v>97</v>
      </c>
      <c r="J173" s="97" t="s">
        <v>107</v>
      </c>
      <c r="K173" s="97" t="s">
        <v>57</v>
      </c>
      <c r="L173" s="101" t="s">
        <v>231</v>
      </c>
      <c r="M173" s="102" t="str">
        <f>IFNA(VLOOKUP(L173,'🙎‍♂️ Pasien'!G:V,2,FALSE),"")</f>
        <v>A1123072881</v>
      </c>
      <c r="N173" s="103">
        <f>IFNA(VLOOKUP(L173,'🙎‍♂️ Pasien'!G:L,3,FALSE),"")</f>
        <v>14</v>
      </c>
      <c r="O173" s="104" t="str">
        <f>IFNA(VLOOKUP(L173,'🙎‍♂️ Pasien'!G:V,6,FALSE),"")</f>
        <v>PEREMPUAN</v>
      </c>
      <c r="P173" s="104" t="str">
        <f>IFNA(VLOOKUP(L173,'🙎‍♂️ Pasien'!G:V,12,FALSE),"")</f>
        <v>ISLAM</v>
      </c>
      <c r="Q173" s="104" t="str">
        <f>IFNA(VLOOKUP(L173:L1508,'🙎‍♂️ Pasien'!G:V,13,FALSE),"")</f>
        <v>PELAJAR/MAHASISWA</v>
      </c>
      <c r="R173" s="104" t="str">
        <f t="array" ref="R173">ifna(xlookup(L173,'🙎‍♂️ Pasien'!$G$5:$G1508,'🙎‍♂️ Pasien'!$T$5:$T1508),"")</f>
        <v>NYERI</v>
      </c>
      <c r="S173" s="104" t="str">
        <f t="array" ref="S173">ifna(xlookup(L173,'🙎‍♂️ Pasien'!$G$5:$G1508,'🙎‍♂️ Pasien'!$U$5:$U1508),"")</f>
        <v>RENANG</v>
      </c>
      <c r="T173" s="97" t="s">
        <v>59</v>
      </c>
      <c r="U173" s="105" t="s">
        <v>60</v>
      </c>
      <c r="V173" s="101"/>
      <c r="W173" s="106" t="b">
        <v>1</v>
      </c>
      <c r="X173" s="107"/>
      <c r="Y173" s="108"/>
    </row>
    <row r="174" ht="22.5" customHeight="1">
      <c r="A174" s="96"/>
      <c r="B174" s="97" t="s">
        <v>85</v>
      </c>
      <c r="C174" s="98" t="str">
        <f t="array" ref="C174">IFNA(XLOOKUP(J174,'⚙️ Pengaturan'!$H$5:$H1508,'⚙️ Pengaturan'!$I$5:$I1508),"")</f>
        <v>TIM Y</v>
      </c>
      <c r="D174" s="97" t="s">
        <v>86</v>
      </c>
      <c r="E174" s="99">
        <v>45941.0</v>
      </c>
      <c r="F174" s="100" t="str">
        <f t="shared" si="1"/>
        <v>2025</v>
      </c>
      <c r="G174" s="100" t="str">
        <f t="shared" si="2"/>
        <v>10Okt</v>
      </c>
      <c r="H174" s="100" t="str">
        <f t="shared" si="3"/>
        <v>Sabtu</v>
      </c>
      <c r="I174" s="97" t="s">
        <v>97</v>
      </c>
      <c r="J174" s="97" t="s">
        <v>88</v>
      </c>
      <c r="K174" s="97" t="s">
        <v>63</v>
      </c>
      <c r="L174" s="101" t="s">
        <v>232</v>
      </c>
      <c r="M174" s="102" t="str">
        <f>IFNA(VLOOKUP(L174,'🙎‍♂️ Pasien'!G:V,2,FALSE),"")</f>
        <v>T8825037433</v>
      </c>
      <c r="N174" s="103">
        <f>IFNA(VLOOKUP(L174,'🙎‍♂️ Pasien'!G:L,3,FALSE),"")</f>
        <v>37</v>
      </c>
      <c r="O174" s="104" t="str">
        <f>IFNA(VLOOKUP(L174,'🙎‍♂️ Pasien'!G:V,6,FALSE),"")</f>
        <v>PEREMPUAN</v>
      </c>
      <c r="P174" s="104" t="str">
        <f>IFNA(VLOOKUP(L174,'🙎‍♂️ Pasien'!G:V,12,FALSE),"")</f>
        <v>ISLAM</v>
      </c>
      <c r="Q174" s="104" t="str">
        <f>IFNA(VLOOKUP(L174:L1508,'🙎‍♂️ Pasien'!G:V,13,FALSE),"")</f>
        <v>PNS</v>
      </c>
      <c r="R174" s="104" t="str">
        <f t="array" ref="R174">ifna(xlookup(L174,'🙎‍♂️ Pasien'!$G$5:$G1508,'🙎‍♂️ Pasien'!$T$5:$T1508),"")</f>
        <v>NYERI PERGELANGAN TANGAN DAN TELAPAK KAKI</v>
      </c>
      <c r="S174" s="104" t="str">
        <f t="array" ref="S174">ifna(xlookup(L174,'🙎‍♂️ Pasien'!$G$5:$G1508,'🙎‍♂️ Pasien'!$U$5:$U1508),"")</f>
        <v>NAIK SEPEDA MOTOR</v>
      </c>
      <c r="T174" s="97" t="s">
        <v>59</v>
      </c>
      <c r="U174" s="105">
        <v>6.0</v>
      </c>
      <c r="V174" s="101"/>
      <c r="W174" s="106" t="b">
        <v>1</v>
      </c>
      <c r="X174" s="107"/>
      <c r="Y174" s="108"/>
    </row>
    <row r="175" ht="22.5" customHeight="1">
      <c r="A175" s="96"/>
      <c r="B175" s="97" t="s">
        <v>85</v>
      </c>
      <c r="C175" s="98" t="str">
        <f t="array" ref="C175">IFNA(XLOOKUP(J175,'⚙️ Pengaturan'!$H$5:$H1508,'⚙️ Pengaturan'!$I$5:$I1508),"")</f>
        <v>TIM Y</v>
      </c>
      <c r="D175" s="97" t="s">
        <v>86</v>
      </c>
      <c r="E175" s="99">
        <v>45941.0</v>
      </c>
      <c r="F175" s="100" t="str">
        <f t="shared" si="1"/>
        <v>2025</v>
      </c>
      <c r="G175" s="100" t="str">
        <f t="shared" si="2"/>
        <v>10Okt</v>
      </c>
      <c r="H175" s="100" t="str">
        <f t="shared" si="3"/>
        <v>Sabtu</v>
      </c>
      <c r="I175" s="97" t="s">
        <v>99</v>
      </c>
      <c r="J175" s="97" t="s">
        <v>88</v>
      </c>
      <c r="K175" s="97" t="s">
        <v>63</v>
      </c>
      <c r="L175" s="101" t="s">
        <v>232</v>
      </c>
      <c r="M175" s="102" t="str">
        <f>IFNA(VLOOKUP(L175,'🙎‍♂️ Pasien'!G:V,2,FALSE),"")</f>
        <v>T8825037433</v>
      </c>
      <c r="N175" s="103">
        <f>IFNA(VLOOKUP(L175,'🙎‍♂️ Pasien'!G:L,3,FALSE),"")</f>
        <v>37</v>
      </c>
      <c r="O175" s="104" t="str">
        <f>IFNA(VLOOKUP(L175,'🙎‍♂️ Pasien'!G:V,6,FALSE),"")</f>
        <v>PEREMPUAN</v>
      </c>
      <c r="P175" s="104" t="str">
        <f>IFNA(VLOOKUP(L175,'🙎‍♂️ Pasien'!G:V,12,FALSE),"")</f>
        <v>ISLAM</v>
      </c>
      <c r="Q175" s="104" t="str">
        <f>IFNA(VLOOKUP(L175:L1508,'🙎‍♂️ Pasien'!G:V,13,FALSE),"")</f>
        <v>PNS</v>
      </c>
      <c r="R175" s="104" t="str">
        <f t="array" ref="R175">ifna(xlookup(L175,'🙎‍♂️ Pasien'!$G$5:$G1508,'🙎‍♂️ Pasien'!$T$5:$T1508),"")</f>
        <v>NYERI PERGELANGAN TANGAN DAN TELAPAK KAKI</v>
      </c>
      <c r="S175" s="104" t="str">
        <f t="array" ref="S175">ifna(xlookup(L175,'🙎‍♂️ Pasien'!$G$5:$G1508,'🙎‍♂️ Pasien'!$U$5:$U1508),"")</f>
        <v>NAIK SEPEDA MOTOR</v>
      </c>
      <c r="T175" s="97" t="s">
        <v>59</v>
      </c>
      <c r="U175" s="105">
        <v>7.0</v>
      </c>
      <c r="V175" s="101"/>
      <c r="W175" s="106" t="b">
        <v>1</v>
      </c>
      <c r="X175" s="107"/>
      <c r="Y175" s="108"/>
    </row>
    <row r="176" ht="22.5" customHeight="1">
      <c r="A176" s="96"/>
      <c r="B176" s="97" t="s">
        <v>53</v>
      </c>
      <c r="C176" s="98" t="str">
        <f t="array" ref="C176">IFNA(XLOOKUP(J176,'⚙️ Pengaturan'!$H$5:$H1508,'⚙️ Pengaturan'!$I$5:$I1508),"")</f>
        <v>TIM Y</v>
      </c>
      <c r="D176" s="97" t="s">
        <v>86</v>
      </c>
      <c r="E176" s="99">
        <v>45942.0</v>
      </c>
      <c r="F176" s="100" t="str">
        <f t="shared" si="1"/>
        <v>2025</v>
      </c>
      <c r="G176" s="100" t="str">
        <f t="shared" si="2"/>
        <v>10Okt</v>
      </c>
      <c r="H176" s="100" t="str">
        <f t="shared" si="3"/>
        <v>Minggu</v>
      </c>
      <c r="I176" s="97" t="s">
        <v>55</v>
      </c>
      <c r="J176" s="97" t="s">
        <v>56</v>
      </c>
      <c r="K176" s="97" t="s">
        <v>69</v>
      </c>
      <c r="L176" s="101" t="s">
        <v>233</v>
      </c>
      <c r="M176" s="102" t="str">
        <f>IFNA(VLOOKUP(L176,'🙎‍♂️ Pasien'!G:V,2,FALSE),"")</f>
        <v>M8125099997</v>
      </c>
      <c r="N176" s="103">
        <f>IFNA(VLOOKUP(L176,'🙎‍♂️ Pasien'!G:L,3,FALSE),"")</f>
        <v>45</v>
      </c>
      <c r="O176" s="104" t="str">
        <f>IFNA(VLOOKUP(L176,'🙎‍♂️ Pasien'!G:V,6,FALSE),"")</f>
        <v>LAKI-LAKI</v>
      </c>
      <c r="P176" s="104" t="str">
        <f>IFNA(VLOOKUP(L176,'🙎‍♂️ Pasien'!G:V,12,FALSE),"")</f>
        <v>ISLAM</v>
      </c>
      <c r="Q176" s="104" t="str">
        <f>IFNA(VLOOKUP(L176:L1508,'🙎‍♂️ Pasien'!G:V,13,FALSE),"")</f>
        <v>PNS</v>
      </c>
      <c r="R176" s="104" t="str">
        <f t="array" ref="R176">ifna(xlookup(L176,'🙎‍♂️ Pasien'!$G$5:$G1508,'🙎‍♂️ Pasien'!$T$5:$T1508),"")</f>
        <v>LEHER</v>
      </c>
      <c r="S176" s="104" t="str">
        <f t="array" ref="S176">ifna(xlookup(L176,'🙎‍♂️ Pasien'!$G$5:$G1508,'🙎‍♂️ Pasien'!$U$5:$U1508),"")</f>
        <v>BANGUN TIDUR DARI LEHER SAMAPAI KE TANGAN DAN JARI TERASA NYERI SUDAH 2 MINGGU</v>
      </c>
      <c r="T176" s="97" t="s">
        <v>59</v>
      </c>
      <c r="U176" s="105" t="s">
        <v>60</v>
      </c>
      <c r="V176" s="101"/>
      <c r="W176" s="106" t="b">
        <v>1</v>
      </c>
      <c r="X176" s="107"/>
      <c r="Y176" s="108"/>
    </row>
    <row r="177" ht="22.5" customHeight="1">
      <c r="A177" s="96"/>
      <c r="B177" s="97" t="s">
        <v>53</v>
      </c>
      <c r="C177" s="98" t="str">
        <f t="array" ref="C177">IFNA(XLOOKUP(J177,'⚙️ Pengaturan'!$H$5:$H1508,'⚙️ Pengaturan'!$I$5:$I1508),"")</f>
        <v>TIM A</v>
      </c>
      <c r="D177" s="97" t="s">
        <v>86</v>
      </c>
      <c r="E177" s="99">
        <v>45942.0</v>
      </c>
      <c r="F177" s="100" t="str">
        <f t="shared" si="1"/>
        <v>2025</v>
      </c>
      <c r="G177" s="100" t="str">
        <f t="shared" si="2"/>
        <v>10Okt</v>
      </c>
      <c r="H177" s="100" t="str">
        <f t="shared" si="3"/>
        <v>Minggu</v>
      </c>
      <c r="I177" s="97" t="s">
        <v>55</v>
      </c>
      <c r="J177" s="97" t="s">
        <v>79</v>
      </c>
      <c r="K177" s="97" t="s">
        <v>63</v>
      </c>
      <c r="L177" s="101" t="s">
        <v>216</v>
      </c>
      <c r="M177" s="102" t="str">
        <f>IFNA(VLOOKUP(L177,'🙎‍♂️ Pasien'!G:V,2,FALSE),"")</f>
        <v>R7825108100</v>
      </c>
      <c r="N177" s="103">
        <f>IFNA(VLOOKUP(L177,'🙎‍♂️ Pasien'!G:L,3,FALSE),"")</f>
        <v>48</v>
      </c>
      <c r="O177" s="104" t="str">
        <f>IFNA(VLOOKUP(L177,'🙎‍♂️ Pasien'!G:V,6,FALSE),"")</f>
        <v>PEREMPUAN</v>
      </c>
      <c r="P177" s="104" t="str">
        <f>IFNA(VLOOKUP(L177,'🙎‍♂️ Pasien'!G:V,12,FALSE),"")</f>
        <v>ISLAM</v>
      </c>
      <c r="Q177" s="104" t="str">
        <f>IFNA(VLOOKUP(L177:L1508,'🙎‍♂️ Pasien'!G:V,13,FALSE),"")</f>
        <v>PNS</v>
      </c>
      <c r="R177" s="104" t="str">
        <f t="array" ref="R177">ifna(xlookup(L177,'🙎‍♂️ Pasien'!$G$5:$G1508,'🙎‍♂️ Pasien'!$T$5:$T1508),"")</f>
        <v>LUTUT KANAN</v>
      </c>
      <c r="S177" s="104" t="str">
        <f t="array" ref="S177">ifna(xlookup(L177,'🙎‍♂️ Pasien'!$G$5:$G1508,'🙎‍♂️ Pasien'!$U$5:$U1508),"")</f>
        <v>OLAHRAGA LARI</v>
      </c>
      <c r="T177" s="97" t="s">
        <v>59</v>
      </c>
      <c r="U177" s="105">
        <v>1.0</v>
      </c>
      <c r="V177" s="101"/>
      <c r="W177" s="106" t="b">
        <v>1</v>
      </c>
      <c r="X177" s="107"/>
      <c r="Y177" s="108"/>
    </row>
    <row r="178" ht="22.5" customHeight="1">
      <c r="A178" s="96"/>
      <c r="B178" s="97" t="s">
        <v>53</v>
      </c>
      <c r="C178" s="98" t="str">
        <f t="array" ref="C178">IFNA(XLOOKUP(J178,'⚙️ Pengaturan'!$H$5:$H1508,'⚙️ Pengaturan'!$I$5:$I1508),"")</f>
        <v>MANAJEMEN</v>
      </c>
      <c r="D178" s="97" t="s">
        <v>86</v>
      </c>
      <c r="E178" s="99">
        <v>45942.0</v>
      </c>
      <c r="F178" s="100" t="str">
        <f t="shared" si="1"/>
        <v>2025</v>
      </c>
      <c r="G178" s="100" t="str">
        <f t="shared" si="2"/>
        <v>10Okt</v>
      </c>
      <c r="H178" s="100" t="str">
        <f t="shared" si="3"/>
        <v>Minggu</v>
      </c>
      <c r="I178" s="97" t="s">
        <v>65</v>
      </c>
      <c r="J178" s="97" t="s">
        <v>101</v>
      </c>
      <c r="K178" s="97" t="s">
        <v>63</v>
      </c>
      <c r="L178" s="101" t="s">
        <v>234</v>
      </c>
      <c r="M178" s="102" t="str">
        <f>IFNA(VLOOKUP(L178,'🙎‍♂️ Pasien'!G:V,2,FALSE),"")</f>
        <v>B8825057611</v>
      </c>
      <c r="N178" s="103">
        <f>IFNA(VLOOKUP(L178,'🙎‍♂️ Pasien'!G:L,3,FALSE),"")</f>
        <v>37</v>
      </c>
      <c r="O178" s="104" t="str">
        <f>IFNA(VLOOKUP(L178,'🙎‍♂️ Pasien'!G:V,6,FALSE),"")</f>
        <v>LAKI-LAKI</v>
      </c>
      <c r="P178" s="104" t="str">
        <f>IFNA(VLOOKUP(L178,'🙎‍♂️ Pasien'!G:V,12,FALSE),"")</f>
        <v>LAINNYA</v>
      </c>
      <c r="Q178" s="104" t="str">
        <f>IFNA(VLOOKUP(L178:L1508,'🙎‍♂️ Pasien'!G:V,13,FALSE),"")</f>
        <v>SWASTA</v>
      </c>
      <c r="R178" s="104" t="str">
        <f t="array" ref="R178">ifna(xlookup(L178,'🙎‍♂️ Pasien'!$G$5:$G1508,'🙎‍♂️ Pasien'!$T$5:$T1508),"")</f>
        <v>SAKIT KAKI</v>
      </c>
      <c r="S178" s="104" t="str">
        <f t="array" ref="S178">ifna(xlookup(L178,'🙎‍♂️ Pasien'!$G$5:$G1508,'🙎‍♂️ Pasien'!$U$5:$U1508),"")</f>
        <v>SEPAK BOLA</v>
      </c>
      <c r="T178" s="97" t="s">
        <v>59</v>
      </c>
      <c r="U178" s="105">
        <v>5.0</v>
      </c>
      <c r="V178" s="101" t="s">
        <v>235</v>
      </c>
      <c r="W178" s="106" t="b">
        <v>1</v>
      </c>
      <c r="X178" s="107"/>
      <c r="Y178" s="108"/>
    </row>
    <row r="179" ht="22.5" customHeight="1">
      <c r="A179" s="96"/>
      <c r="B179" s="97" t="s">
        <v>53</v>
      </c>
      <c r="C179" s="98" t="str">
        <f t="array" ref="C179">IFNA(XLOOKUP(J179,'⚙️ Pengaturan'!$H$5:$H1508,'⚙️ Pengaturan'!$I$5:$I1508),"")</f>
        <v>TIM A</v>
      </c>
      <c r="D179" s="97" t="s">
        <v>86</v>
      </c>
      <c r="E179" s="99">
        <v>45942.0</v>
      </c>
      <c r="F179" s="100" t="str">
        <f t="shared" si="1"/>
        <v>2025</v>
      </c>
      <c r="G179" s="100" t="str">
        <f t="shared" si="2"/>
        <v>10Okt</v>
      </c>
      <c r="H179" s="100" t="str">
        <f t="shared" si="3"/>
        <v>Minggu</v>
      </c>
      <c r="I179" s="97" t="s">
        <v>65</v>
      </c>
      <c r="J179" s="97" t="s">
        <v>72</v>
      </c>
      <c r="K179" s="97" t="s">
        <v>69</v>
      </c>
      <c r="L179" s="101" t="s">
        <v>236</v>
      </c>
      <c r="M179" s="102" t="str">
        <f>IFNA(VLOOKUP(L179,'🙎‍♂️ Pasien'!G:V,2,FALSE),"")</f>
        <v>D8624112017</v>
      </c>
      <c r="N179" s="103">
        <f>IFNA(VLOOKUP(L179,'🙎‍♂️ Pasien'!G:L,3,FALSE),"")</f>
        <v>39</v>
      </c>
      <c r="O179" s="104" t="str">
        <f>IFNA(VLOOKUP(L179,'🙎‍♂️ Pasien'!G:V,6,FALSE),"")</f>
        <v>PEREMPUAN</v>
      </c>
      <c r="P179" s="104" t="str">
        <f>IFNA(VLOOKUP(L179,'🙎‍♂️ Pasien'!G:V,12,FALSE),"")</f>
        <v>ISLAM</v>
      </c>
      <c r="Q179" s="104" t="str">
        <f>IFNA(VLOOKUP(L179:L1508,'🙎‍♂️ Pasien'!G:V,13,FALSE),"")</f>
        <v>ASN</v>
      </c>
      <c r="R179" s="104" t="str">
        <f t="array" ref="R179">ifna(xlookup(L179,'🙎‍♂️ Pasien'!$G$5:$G1508,'🙎‍♂️ Pasien'!$T$5:$T1508),"")</f>
        <v>Nyeri pangkal paha kanan saat menapakkan kaki</v>
      </c>
      <c r="S179" s="104" t="str">
        <f t="array" ref="S179">ifna(xlookup(L179,'🙎‍♂️ Pasien'!$G$5:$G1508,'🙎‍♂️ Pasien'!$U$5:$U1508),"")</f>
        <v>Kerja kantor</v>
      </c>
      <c r="T179" s="97" t="s">
        <v>59</v>
      </c>
      <c r="U179" s="105" t="s">
        <v>60</v>
      </c>
      <c r="V179" s="101"/>
      <c r="W179" s="106" t="b">
        <v>1</v>
      </c>
      <c r="X179" s="107"/>
      <c r="Y179" s="108"/>
    </row>
    <row r="180" ht="22.5" customHeight="1">
      <c r="A180" s="96"/>
      <c r="B180" s="97" t="s">
        <v>53</v>
      </c>
      <c r="C180" s="98" t="str">
        <f t="array" ref="C180">IFNA(XLOOKUP(J180,'⚙️ Pengaturan'!$H$5:$H1508,'⚙️ Pengaturan'!$I$5:$I1508),"")</f>
        <v>TIM Y</v>
      </c>
      <c r="D180" s="97" t="s">
        <v>86</v>
      </c>
      <c r="E180" s="99">
        <v>45942.0</v>
      </c>
      <c r="F180" s="100" t="str">
        <f t="shared" si="1"/>
        <v>2025</v>
      </c>
      <c r="G180" s="100" t="str">
        <f t="shared" si="2"/>
        <v>10Okt</v>
      </c>
      <c r="H180" s="100" t="str">
        <f t="shared" si="3"/>
        <v>Minggu</v>
      </c>
      <c r="I180" s="97" t="s">
        <v>65</v>
      </c>
      <c r="J180" s="97" t="s">
        <v>56</v>
      </c>
      <c r="K180" s="97" t="s">
        <v>57</v>
      </c>
      <c r="L180" s="101" t="s">
        <v>237</v>
      </c>
      <c r="M180" s="102" t="str">
        <f>IFNA(VLOOKUP(L180,'🙎‍♂️ Pasien'!G:V,2,FALSE),"")</f>
        <v>T8625107487</v>
      </c>
      <c r="N180" s="103">
        <f>IFNA(VLOOKUP(L180,'🙎‍♂️ Pasien'!G:L,3,FALSE),"")</f>
        <v>39</v>
      </c>
      <c r="O180" s="104" t="str">
        <f>IFNA(VLOOKUP(L180,'🙎‍♂️ Pasien'!G:V,6,FALSE),"")</f>
        <v>LAKI-LAKI</v>
      </c>
      <c r="P180" s="104" t="str">
        <f>IFNA(VLOOKUP(L180,'🙎‍♂️ Pasien'!G:V,12,FALSE),"")</f>
        <v>ISLAM</v>
      </c>
      <c r="Q180" s="104" t="str">
        <f>IFNA(VLOOKUP(L180:L1508,'🙎‍♂️ Pasien'!G:V,13,FALSE),"")</f>
        <v>PNS</v>
      </c>
      <c r="R180" s="104" t="str">
        <f t="array" ref="R180">ifna(xlookup(L180,'🙎‍♂️ Pasien'!$G$5:$G1508,'🙎‍♂️ Pasien'!$T$5:$T1508),"")</f>
        <v>NYERI DI BELIKAT DEPAN BELAKANG</v>
      </c>
      <c r="S180" s="104" t="str">
        <f t="array" ref="S180">ifna(xlookup(L180,'🙎‍♂️ Pasien'!$G$5:$G1508,'🙎‍♂️ Pasien'!$U$5:$U1508),"")</f>
        <v>KESELEO SAAT MENGANGKAT BARANG/ BEBAN</v>
      </c>
      <c r="T180" s="97" t="s">
        <v>59</v>
      </c>
      <c r="U180" s="105" t="s">
        <v>60</v>
      </c>
      <c r="V180" s="101"/>
      <c r="W180" s="106" t="b">
        <v>1</v>
      </c>
      <c r="X180" s="107"/>
      <c r="Y180" s="108"/>
    </row>
    <row r="181" ht="22.5" customHeight="1">
      <c r="A181" s="96"/>
      <c r="B181" s="97" t="s">
        <v>53</v>
      </c>
      <c r="C181" s="98" t="str">
        <f t="array" ref="C181">IFNA(XLOOKUP(J181,'⚙️ Pengaturan'!$H$5:$H1508,'⚙️ Pengaturan'!$I$5:$I1508),"")</f>
        <v>TIM A</v>
      </c>
      <c r="D181" s="97" t="s">
        <v>86</v>
      </c>
      <c r="E181" s="99">
        <v>45942.0</v>
      </c>
      <c r="F181" s="100" t="str">
        <f t="shared" si="1"/>
        <v>2025</v>
      </c>
      <c r="G181" s="100" t="str">
        <f t="shared" si="2"/>
        <v>10Okt</v>
      </c>
      <c r="H181" s="100" t="str">
        <f t="shared" si="3"/>
        <v>Minggu</v>
      </c>
      <c r="I181" s="97" t="s">
        <v>74</v>
      </c>
      <c r="J181" s="97" t="s">
        <v>72</v>
      </c>
      <c r="K181" s="97" t="s">
        <v>63</v>
      </c>
      <c r="L181" s="101" t="s">
        <v>238</v>
      </c>
      <c r="M181" s="102" t="str">
        <f>IFNA(VLOOKUP(L181,'🙎‍♂️ Pasien'!G:V,2,FALSE),"")</f>
        <v>Y9524111515</v>
      </c>
      <c r="N181" s="103">
        <f>IFNA(VLOOKUP(L181,'🙎‍♂️ Pasien'!G:L,3,FALSE),"")</f>
        <v>31</v>
      </c>
      <c r="O181" s="104" t="str">
        <f>IFNA(VLOOKUP(L181,'🙎‍♂️ Pasien'!G:V,6,FALSE),"")</f>
        <v>PEREMPUAN</v>
      </c>
      <c r="P181" s="104" t="str">
        <f>IFNA(VLOOKUP(L181,'🙎‍♂️ Pasien'!G:V,12,FALSE),"")</f>
        <v>BUDDHA</v>
      </c>
      <c r="Q181" s="104" t="str">
        <f>IFNA(VLOOKUP(L181:L1508,'🙎‍♂️ Pasien'!G:V,13,FALSE),"")</f>
        <v>WIRASWASTA</v>
      </c>
      <c r="R181" s="104" t="str">
        <f t="array" ref="R181">ifna(xlookup(L181,'🙎‍♂️ Pasien'!$G$5:$G1508,'🙎‍♂️ Pasien'!$T$5:$T1508),"")</f>
        <v>LOWER BACK PAIN</v>
      </c>
      <c r="S181" s="104" t="str">
        <f t="array" ref="S181">ifna(xlookup(L181,'🙎‍♂️ Pasien'!$G$5:$G1508,'🙎‍♂️ Pasien'!$U$5:$U1508),"")</f>
        <v>PILATES DAN GYM</v>
      </c>
      <c r="T181" s="97" t="s">
        <v>59</v>
      </c>
      <c r="U181" s="105">
        <v>3.0</v>
      </c>
      <c r="V181" s="101"/>
      <c r="W181" s="106" t="b">
        <v>1</v>
      </c>
      <c r="X181" s="107"/>
      <c r="Y181" s="108"/>
    </row>
    <row r="182" ht="22.5" customHeight="1">
      <c r="A182" s="96"/>
      <c r="B182" s="97" t="s">
        <v>53</v>
      </c>
      <c r="C182" s="98" t="str">
        <f t="array" ref="C182">IFNA(XLOOKUP(J182,'⚙️ Pengaturan'!$H$5:$H1508,'⚙️ Pengaturan'!$I$5:$I1508),"")</f>
        <v>TIM A</v>
      </c>
      <c r="D182" s="97" t="s">
        <v>86</v>
      </c>
      <c r="E182" s="99">
        <v>45942.0</v>
      </c>
      <c r="F182" s="100" t="str">
        <f t="shared" si="1"/>
        <v>2025</v>
      </c>
      <c r="G182" s="100" t="str">
        <f t="shared" si="2"/>
        <v>10Okt</v>
      </c>
      <c r="H182" s="100" t="str">
        <f t="shared" si="3"/>
        <v>Minggu</v>
      </c>
      <c r="I182" s="97" t="s">
        <v>76</v>
      </c>
      <c r="J182" s="97" t="s">
        <v>72</v>
      </c>
      <c r="K182" s="97" t="s">
        <v>63</v>
      </c>
      <c r="L182" s="101" t="s">
        <v>129</v>
      </c>
      <c r="M182" s="102" t="str">
        <f>IFNA(VLOOKUP(L182,'🙎‍♂️ Pasien'!G:V,2,FALSE),"")</f>
        <v>D1025091558</v>
      </c>
      <c r="N182" s="103">
        <f>IFNA(VLOOKUP(L182,'🙎‍♂️ Pasien'!G:L,3,FALSE),"")</f>
        <v>16</v>
      </c>
      <c r="O182" s="104" t="str">
        <f>IFNA(VLOOKUP(L182,'🙎‍♂️ Pasien'!G:V,6,FALSE),"")</f>
        <v>LAKI-LAKI</v>
      </c>
      <c r="P182" s="104" t="str">
        <f>IFNA(VLOOKUP(L182,'🙎‍♂️ Pasien'!G:V,12,FALSE),"")</f>
        <v>PROTESTAN</v>
      </c>
      <c r="Q182" s="104" t="str">
        <f>IFNA(VLOOKUP(L182:L1508,'🙎‍♂️ Pasien'!G:V,13,FALSE),"")</f>
        <v>MASI SEKOLAH</v>
      </c>
      <c r="R182" s="104" t="str">
        <f t="array" ref="R182">ifna(xlookup(L182,'🙎‍♂️ Pasien'!$G$5:$G1508,'🙎‍♂️ Pasien'!$T$5:$T1508),"")</f>
        <v>SAKIT DI BAGIAN LUTUT</v>
      </c>
      <c r="S182" s="104" t="str">
        <f t="array" ref="S182">ifna(xlookup(L182,'🙎‍♂️ Pasien'!$G$5:$G1508,'🙎‍♂️ Pasien'!$U$5:$U1508),"")</f>
        <v>BASKET</v>
      </c>
      <c r="T182" s="97" t="s">
        <v>59</v>
      </c>
      <c r="U182" s="105">
        <v>2.0</v>
      </c>
      <c r="V182" s="101"/>
      <c r="W182" s="106" t="b">
        <v>1</v>
      </c>
      <c r="X182" s="107"/>
      <c r="Y182" s="108"/>
    </row>
    <row r="183" ht="22.5" customHeight="1">
      <c r="A183" s="96"/>
      <c r="B183" s="97" t="s">
        <v>53</v>
      </c>
      <c r="C183" s="98" t="str">
        <f t="array" ref="C183">IFNA(XLOOKUP(J183,'⚙️ Pengaturan'!$H$5:$H1508,'⚙️ Pengaturan'!$I$5:$I1508),"")</f>
        <v>TIM Y</v>
      </c>
      <c r="D183" s="97" t="s">
        <v>86</v>
      </c>
      <c r="E183" s="99">
        <v>45942.0</v>
      </c>
      <c r="F183" s="100" t="str">
        <f t="shared" si="1"/>
        <v>2025</v>
      </c>
      <c r="G183" s="100" t="str">
        <f t="shared" si="2"/>
        <v>10Okt</v>
      </c>
      <c r="H183" s="100" t="str">
        <f t="shared" si="3"/>
        <v>Minggu</v>
      </c>
      <c r="I183" s="97" t="s">
        <v>76</v>
      </c>
      <c r="J183" s="97" t="s">
        <v>56</v>
      </c>
      <c r="K183" s="97" t="s">
        <v>69</v>
      </c>
      <c r="L183" s="101" t="s">
        <v>218</v>
      </c>
      <c r="M183" s="102" t="str">
        <f>IFNA(VLOOKUP(L183,'🙎‍♂️ Pasien'!G:V,2,FALSE),"")</f>
        <v>S8225092183</v>
      </c>
      <c r="N183" s="103">
        <f>IFNA(VLOOKUP(L183,'🙎‍♂️ Pasien'!G:L,3,FALSE),"")</f>
        <v>44</v>
      </c>
      <c r="O183" s="104" t="str">
        <f>IFNA(VLOOKUP(L183,'🙎‍♂️ Pasien'!G:V,6,FALSE),"")</f>
        <v>LAKI-LAKI</v>
      </c>
      <c r="P183" s="104" t="str">
        <f>IFNA(VLOOKUP(L183,'🙎‍♂️ Pasien'!G:V,12,FALSE),"")</f>
        <v>KATOLIK</v>
      </c>
      <c r="Q183" s="104" t="str">
        <f>IFNA(VLOOKUP(L183:L1508,'🙎‍♂️ Pasien'!G:V,13,FALSE),"")</f>
        <v>PEGAWAI SWASTA</v>
      </c>
      <c r="R183" s="104" t="str">
        <f t="array" ref="R183">ifna(xlookup(L183,'🙎‍♂️ Pasien'!$G$5:$G1508,'🙎‍♂️ Pasien'!$T$5:$T1508),"")</f>
        <v>CIDERA HAMSTRING</v>
      </c>
      <c r="S183" s="104" t="str">
        <f t="array" ref="S183">ifna(xlookup(L183,'🙎‍♂️ Pasien'!$G$5:$G1508,'🙎‍♂️ Pasien'!$U$5:$U1508),"")</f>
        <v>OLAHRAGA MINI SOCCERS</v>
      </c>
      <c r="T183" s="97" t="s">
        <v>59</v>
      </c>
      <c r="U183" s="105" t="s">
        <v>60</v>
      </c>
      <c r="V183" s="101"/>
      <c r="W183" s="106" t="b">
        <v>1</v>
      </c>
      <c r="X183" s="107"/>
      <c r="Y183" s="108"/>
    </row>
    <row r="184" ht="22.5" customHeight="1">
      <c r="A184" s="96"/>
      <c r="B184" s="97" t="s">
        <v>53</v>
      </c>
      <c r="C184" s="98" t="str">
        <f t="array" ref="C184">IFNA(XLOOKUP(J184,'⚙️ Pengaturan'!$H$5:$H1508,'⚙️ Pengaturan'!$I$5:$I1508),"")</f>
        <v>TIM A</v>
      </c>
      <c r="D184" s="97" t="s">
        <v>86</v>
      </c>
      <c r="E184" s="99">
        <v>45942.0</v>
      </c>
      <c r="F184" s="100" t="str">
        <f t="shared" si="1"/>
        <v>2025</v>
      </c>
      <c r="G184" s="100" t="str">
        <f t="shared" si="2"/>
        <v>10Okt</v>
      </c>
      <c r="H184" s="100" t="str">
        <f t="shared" si="3"/>
        <v>Minggu</v>
      </c>
      <c r="I184" s="97" t="s">
        <v>83</v>
      </c>
      <c r="J184" s="97" t="s">
        <v>72</v>
      </c>
      <c r="K184" s="97" t="s">
        <v>63</v>
      </c>
      <c r="L184" s="101" t="s">
        <v>129</v>
      </c>
      <c r="M184" s="102" t="str">
        <f>IFNA(VLOOKUP(L184,'🙎‍♂️ Pasien'!G:V,2,FALSE),"")</f>
        <v>D1025091558</v>
      </c>
      <c r="N184" s="103">
        <f>IFNA(VLOOKUP(L184,'🙎‍♂️ Pasien'!G:L,3,FALSE),"")</f>
        <v>16</v>
      </c>
      <c r="O184" s="104" t="str">
        <f>IFNA(VLOOKUP(L184,'🙎‍♂️ Pasien'!G:V,6,FALSE),"")</f>
        <v>LAKI-LAKI</v>
      </c>
      <c r="P184" s="104" t="str">
        <f>IFNA(VLOOKUP(L184,'🙎‍♂️ Pasien'!G:V,12,FALSE),"")</f>
        <v>PROTESTAN</v>
      </c>
      <c r="Q184" s="104" t="str">
        <f>IFNA(VLOOKUP(L184:L1508,'🙎‍♂️ Pasien'!G:V,13,FALSE),"")</f>
        <v>MASI SEKOLAH</v>
      </c>
      <c r="R184" s="104" t="str">
        <f t="array" ref="R184">ifna(xlookup(L184,'🙎‍♂️ Pasien'!$G$5:$G1508,'🙎‍♂️ Pasien'!$T$5:$T1508),"")</f>
        <v>SAKIT DI BAGIAN LUTUT</v>
      </c>
      <c r="S184" s="104" t="str">
        <f t="array" ref="S184">ifna(xlookup(L184,'🙎‍♂️ Pasien'!$G$5:$G1508,'🙎‍♂️ Pasien'!$U$5:$U1508),"")</f>
        <v>BASKET</v>
      </c>
      <c r="T184" s="97" t="s">
        <v>59</v>
      </c>
      <c r="U184" s="105">
        <v>3.0</v>
      </c>
      <c r="V184" s="101"/>
      <c r="W184" s="106" t="b">
        <v>1</v>
      </c>
      <c r="X184" s="107"/>
      <c r="Y184" s="108"/>
    </row>
    <row r="185" ht="22.5" customHeight="1">
      <c r="A185" s="96"/>
      <c r="B185" s="97" t="s">
        <v>85</v>
      </c>
      <c r="C185" s="98" t="str">
        <f t="array" ref="C185">IFNA(XLOOKUP(J185,'⚙️ Pengaturan'!$H$5:$H1508,'⚙️ Pengaturan'!$I$5:$I1508),"")</f>
        <v>TIM Y</v>
      </c>
      <c r="D185" s="97" t="s">
        <v>54</v>
      </c>
      <c r="E185" s="99">
        <v>45942.0</v>
      </c>
      <c r="F185" s="100" t="str">
        <f t="shared" si="1"/>
        <v>2025</v>
      </c>
      <c r="G185" s="100" t="str">
        <f t="shared" si="2"/>
        <v>10Okt</v>
      </c>
      <c r="H185" s="100" t="str">
        <f t="shared" si="3"/>
        <v>Minggu</v>
      </c>
      <c r="I185" s="97" t="s">
        <v>87</v>
      </c>
      <c r="J185" s="97" t="s">
        <v>107</v>
      </c>
      <c r="K185" s="97" t="s">
        <v>57</v>
      </c>
      <c r="L185" s="101" t="s">
        <v>239</v>
      </c>
      <c r="M185" s="102" t="str">
        <f>IFNA(VLOOKUP(L185,'🙎‍♂️ Pasien'!G:V,2,FALSE),"")</f>
        <v>A0623071437</v>
      </c>
      <c r="N185" s="103">
        <f>IFNA(VLOOKUP(L185,'🙎‍♂️ Pasien'!G:L,3,FALSE),"")</f>
        <v>20</v>
      </c>
      <c r="O185" s="104" t="str">
        <f>IFNA(VLOOKUP(L185,'🙎‍♂️ Pasien'!G:V,6,FALSE),"")</f>
        <v>LAKI-LAKI</v>
      </c>
      <c r="P185" s="104" t="str">
        <f>IFNA(VLOOKUP(L185,'🙎‍♂️ Pasien'!G:V,12,FALSE),"")</f>
        <v>ISLAM</v>
      </c>
      <c r="Q185" s="104" t="str">
        <f>IFNA(VLOOKUP(L185:L1508,'🙎‍♂️ Pasien'!G:V,13,FALSE),"")</f>
        <v>PELAJAR/MAHASISWA</v>
      </c>
      <c r="R185" s="104" t="str">
        <f t="array" ref="R185">ifna(xlookup(L185,'🙎‍♂️ Pasien'!$G$5:$G1508,'🙎‍♂️ Pasien'!$T$5:$T1508),"")</f>
        <v>Cedera Engkel Di Kaki</v>
      </c>
      <c r="S185" s="104" t="str">
        <f t="array" ref="S185">ifna(xlookup(L185,'🙎‍♂️ Pasien'!$G$5:$G1508,'🙎‍♂️ Pasien'!$U$5:$U1508),"")</f>
        <v>BERMAIN FUTSAL</v>
      </c>
      <c r="T185" s="97" t="s">
        <v>59</v>
      </c>
      <c r="U185" s="105" t="s">
        <v>60</v>
      </c>
      <c r="V185" s="101" t="s">
        <v>240</v>
      </c>
      <c r="W185" s="106" t="b">
        <v>1</v>
      </c>
      <c r="X185" s="107"/>
      <c r="Y185" s="108"/>
    </row>
    <row r="186" ht="22.5" customHeight="1">
      <c r="A186" s="96"/>
      <c r="B186" s="97" t="s">
        <v>85</v>
      </c>
      <c r="C186" s="98" t="str">
        <f t="array" ref="C186">IFNA(XLOOKUP(J186,'⚙️ Pengaturan'!$H$5:$H1508,'⚙️ Pengaturan'!$I$5:$I1508),"")</f>
        <v>TIM A</v>
      </c>
      <c r="D186" s="97" t="s">
        <v>54</v>
      </c>
      <c r="E186" s="99">
        <v>45942.0</v>
      </c>
      <c r="F186" s="100" t="str">
        <f t="shared" si="1"/>
        <v>2025</v>
      </c>
      <c r="G186" s="100" t="str">
        <f t="shared" si="2"/>
        <v>10Okt</v>
      </c>
      <c r="H186" s="100" t="str">
        <f t="shared" si="3"/>
        <v>Minggu</v>
      </c>
      <c r="I186" s="97" t="s">
        <v>93</v>
      </c>
      <c r="J186" s="97" t="s">
        <v>62</v>
      </c>
      <c r="K186" s="97" t="s">
        <v>69</v>
      </c>
      <c r="L186" s="101" t="s">
        <v>210</v>
      </c>
      <c r="M186" s="102" t="str">
        <f>IFNA(VLOOKUP(L186,'🙎‍♂️ Pasien'!G:V,2,FALSE),"")</f>
        <v>A9125100553</v>
      </c>
      <c r="N186" s="103">
        <f>IFNA(VLOOKUP(L186,'🙎‍♂️ Pasien'!G:L,3,FALSE),"")</f>
        <v>34</v>
      </c>
      <c r="O186" s="104" t="str">
        <f>IFNA(VLOOKUP(L186,'🙎‍♂️ Pasien'!G:V,6,FALSE),"")</f>
        <v>LAKI-LAKI</v>
      </c>
      <c r="P186" s="104" t="str">
        <f>IFNA(VLOOKUP(L186,'🙎‍♂️ Pasien'!G:V,12,FALSE),"")</f>
        <v>ISLAM</v>
      </c>
      <c r="Q186" s="104" t="str">
        <f>IFNA(VLOOKUP(L186:L1508,'🙎‍♂️ Pasien'!G:V,13,FALSE),"")</f>
        <v>DOSEN</v>
      </c>
      <c r="R186" s="104" t="str">
        <f t="array" ref="R186">ifna(xlookup(L186,'🙎‍♂️ Pasien'!$G$5:$G1508,'🙎‍♂️ Pasien'!$T$5:$T1508),"")</f>
        <v>BAHH</v>
      </c>
      <c r="S186" s="104" t="str">
        <f t="array" ref="S186">ifna(xlookup(L186,'🙎‍♂️ Pasien'!$G$5:$G1508,'🙎‍♂️ Pasien'!$U$5:$U1508),"")</f>
        <v>MENGAJAR</v>
      </c>
      <c r="T186" s="97" t="s">
        <v>59</v>
      </c>
      <c r="U186" s="105" t="s">
        <v>60</v>
      </c>
      <c r="V186" s="101"/>
      <c r="W186" s="106" t="b">
        <v>1</v>
      </c>
      <c r="X186" s="107"/>
      <c r="Y186" s="108"/>
    </row>
    <row r="187" ht="22.5" customHeight="1">
      <c r="A187" s="96"/>
      <c r="B187" s="97" t="s">
        <v>85</v>
      </c>
      <c r="C187" s="98" t="str">
        <f t="array" ref="C187">IFNA(XLOOKUP(J187,'⚙️ Pengaturan'!$H$5:$H1508,'⚙️ Pengaturan'!$I$5:$I1508),"")</f>
        <v>TIM Y</v>
      </c>
      <c r="D187" s="97" t="s">
        <v>54</v>
      </c>
      <c r="E187" s="99">
        <v>45942.0</v>
      </c>
      <c r="F187" s="100" t="str">
        <f t="shared" si="1"/>
        <v>2025</v>
      </c>
      <c r="G187" s="100" t="str">
        <f t="shared" si="2"/>
        <v>10Okt</v>
      </c>
      <c r="H187" s="100" t="str">
        <f t="shared" si="3"/>
        <v>Minggu</v>
      </c>
      <c r="I187" s="97" t="s">
        <v>93</v>
      </c>
      <c r="J187" s="97" t="s">
        <v>91</v>
      </c>
      <c r="K187" s="97" t="s">
        <v>63</v>
      </c>
      <c r="L187" s="101" t="s">
        <v>241</v>
      </c>
      <c r="M187" s="102" t="str">
        <f>IFNA(VLOOKUP(L187,'🙎‍♂️ Pasien'!G:V,2,FALSE),"")</f>
        <v>M0025084349</v>
      </c>
      <c r="N187" s="103">
        <f>IFNA(VLOOKUP(L187,'🙎‍♂️ Pasien'!G:L,3,FALSE),"")</f>
        <v>26</v>
      </c>
      <c r="O187" s="104" t="str">
        <f>IFNA(VLOOKUP(L187,'🙎‍♂️ Pasien'!G:V,6,FALSE),"")</f>
        <v>PEREMPUAN</v>
      </c>
      <c r="P187" s="104" t="str">
        <f>IFNA(VLOOKUP(L187,'🙎‍♂️ Pasien'!G:V,12,FALSE),"")</f>
        <v>ISLAM</v>
      </c>
      <c r="Q187" s="104" t="str">
        <f>IFNA(VLOOKUP(L187:L1508,'🙎‍♂️ Pasien'!G:V,13,FALSE),"")</f>
        <v>KARYAWAN SWASTA</v>
      </c>
      <c r="R187" s="104" t="str">
        <f t="array" ref="R187">ifna(xlookup(L187,'🙎‍♂️ Pasien'!$G$5:$G1508,'🙎‍♂️ Pasien'!$T$5:$T1508),"")</f>
        <v>KAKI KIRI TIDAK BISA DITEKUK DAN TIDAK BISA JONGKOK AKIBAT KECELAKAAN</v>
      </c>
      <c r="S187" s="104" t="str">
        <f t="array" ref="S187">ifna(xlookup(L187,'🙎‍♂️ Pasien'!$G$5:$G1508,'🙎‍♂️ Pasien'!$U$5:$U1508),"")</f>
        <v>TIDAK BISA BAB/BAK POSISI JONGKOK, DAN SHOLAT DUDUK (TIDAK BISA SHOLAT NORMAL), NAIK TURUN TANGGA AGAK SULIT</v>
      </c>
      <c r="T187" s="97" t="s">
        <v>59</v>
      </c>
      <c r="U187" s="105">
        <v>2.0</v>
      </c>
      <c r="V187" s="101"/>
      <c r="W187" s="106" t="b">
        <v>1</v>
      </c>
      <c r="X187" s="107"/>
      <c r="Y187" s="108"/>
    </row>
    <row r="188" ht="22.5" customHeight="1">
      <c r="A188" s="96"/>
      <c r="B188" s="97" t="s">
        <v>85</v>
      </c>
      <c r="C188" s="98" t="str">
        <f t="array" ref="C188">IFNA(XLOOKUP(J188,'⚙️ Pengaturan'!$H$5:$H1508,'⚙️ Pengaturan'!$I$5:$I1508),"")</f>
        <v>TIM Y</v>
      </c>
      <c r="D188" s="97" t="s">
        <v>54</v>
      </c>
      <c r="E188" s="99">
        <v>45942.0</v>
      </c>
      <c r="F188" s="100" t="str">
        <f t="shared" si="1"/>
        <v>2025</v>
      </c>
      <c r="G188" s="100" t="str">
        <f t="shared" si="2"/>
        <v>10Okt</v>
      </c>
      <c r="H188" s="100" t="str">
        <f t="shared" si="3"/>
        <v>Minggu</v>
      </c>
      <c r="I188" s="97" t="s">
        <v>97</v>
      </c>
      <c r="J188" s="97" t="s">
        <v>91</v>
      </c>
      <c r="K188" s="97" t="s">
        <v>63</v>
      </c>
      <c r="L188" s="101" t="s">
        <v>94</v>
      </c>
      <c r="M188" s="102" t="str">
        <f>IFNA(VLOOKUP(L188,'🙎‍♂️ Pasien'!G:V,2,FALSE),"")</f>
        <v>A0825098780</v>
      </c>
      <c r="N188" s="103">
        <f>IFNA(VLOOKUP(L188,'🙎‍♂️ Pasien'!G:L,3,FALSE),"")</f>
        <v>18</v>
      </c>
      <c r="O188" s="104" t="str">
        <f>IFNA(VLOOKUP(L188,'🙎‍♂️ Pasien'!G:V,6,FALSE),"")</f>
        <v>PEREMPUAN</v>
      </c>
      <c r="P188" s="104" t="str">
        <f>IFNA(VLOOKUP(L188,'🙎‍♂️ Pasien'!G:V,12,FALSE),"")</f>
        <v>ISLAM</v>
      </c>
      <c r="Q188" s="104" t="str">
        <f>IFNA(VLOOKUP(L188:L1508,'🙎‍♂️ Pasien'!G:V,13,FALSE),"")</f>
        <v>PELAJAR</v>
      </c>
      <c r="R188" s="104" t="str">
        <f t="array" ref="R188">ifna(xlookup(L188,'🙎‍♂️ Pasien'!$G$5:$G1508,'🙎‍♂️ Pasien'!$T$5:$T1508),"")</f>
        <v>SAKIT DI LUTUT</v>
      </c>
      <c r="S188" s="104" t="str">
        <f t="array" ref="S188">ifna(xlookup(L188,'🙎‍♂️ Pasien'!$G$5:$G1508,'🙎‍♂️ Pasien'!$U$5:$U1508),"")</f>
        <v>MAIN BASKET</v>
      </c>
      <c r="T188" s="97" t="s">
        <v>59</v>
      </c>
      <c r="U188" s="105">
        <v>5.0</v>
      </c>
      <c r="V188" s="101"/>
      <c r="W188" s="106" t="b">
        <v>1</v>
      </c>
      <c r="X188" s="107"/>
      <c r="Y188" s="108"/>
    </row>
    <row r="189" ht="22.5" customHeight="1">
      <c r="A189" s="96"/>
      <c r="B189" s="97" t="s">
        <v>85</v>
      </c>
      <c r="C189" s="98" t="str">
        <f t="array" ref="C189">IFNA(XLOOKUP(J189,'⚙️ Pengaturan'!$H$5:$H1508,'⚙️ Pengaturan'!$I$5:$I1508),"")</f>
        <v>TIM A</v>
      </c>
      <c r="D189" s="97" t="s">
        <v>54</v>
      </c>
      <c r="E189" s="99">
        <v>45942.0</v>
      </c>
      <c r="F189" s="100" t="str">
        <f t="shared" si="1"/>
        <v>2025</v>
      </c>
      <c r="G189" s="100" t="str">
        <f t="shared" si="2"/>
        <v>10Okt</v>
      </c>
      <c r="H189" s="100" t="str">
        <f t="shared" si="3"/>
        <v>Minggu</v>
      </c>
      <c r="I189" s="97" t="s">
        <v>99</v>
      </c>
      <c r="J189" s="97" t="s">
        <v>62</v>
      </c>
      <c r="K189" s="97" t="s">
        <v>57</v>
      </c>
      <c r="L189" s="101" t="s">
        <v>242</v>
      </c>
      <c r="M189" s="102" t="str">
        <f>IFNA(VLOOKUP(L189,'🙎‍♂️ Pasien'!G:V,2,FALSE),"")</f>
        <v>J9425106812</v>
      </c>
      <c r="N189" s="103">
        <f>IFNA(VLOOKUP(L189,'🙎‍♂️ Pasien'!G:L,3,FALSE),"")</f>
        <v>31</v>
      </c>
      <c r="O189" s="104" t="str">
        <f>IFNA(VLOOKUP(L189,'🙎‍♂️ Pasien'!G:V,6,FALSE),"")</f>
        <v>LAKI-LAKI</v>
      </c>
      <c r="P189" s="104" t="str">
        <f>IFNA(VLOOKUP(L189,'🙎‍♂️ Pasien'!G:V,12,FALSE),"")</f>
        <v>PROTESTAN</v>
      </c>
      <c r="Q189" s="104" t="str">
        <f>IFNA(VLOOKUP(L189:L1508,'🙎‍♂️ Pasien'!G:V,13,FALSE),"")</f>
        <v>WIRASWASTA</v>
      </c>
      <c r="R189" s="104" t="str">
        <f t="array" ref="R189">ifna(xlookup(L189,'🙎‍♂️ Pasien'!$G$5:$G1508,'🙎‍♂️ Pasien'!$T$5:$T1508),"")</f>
        <v>PELATAR</v>
      </c>
      <c r="S189" s="104" t="str">
        <f t="array" ref="S189">ifna(xlookup(L189,'🙎‍♂️ Pasien'!$G$5:$G1508,'🙎‍♂️ Pasien'!$U$5:$U1508),"")</f>
        <v>SEPAK BOLA</v>
      </c>
      <c r="T189" s="97" t="s">
        <v>59</v>
      </c>
      <c r="U189" s="105" t="s">
        <v>60</v>
      </c>
      <c r="V189" s="101"/>
      <c r="W189" s="106" t="b">
        <v>1</v>
      </c>
      <c r="X189" s="107"/>
      <c r="Y189" s="108"/>
    </row>
    <row r="190" ht="22.5" customHeight="1">
      <c r="A190" s="96"/>
      <c r="B190" s="97" t="s">
        <v>53</v>
      </c>
      <c r="C190" s="98" t="str">
        <f t="array" ref="C190">IFNA(XLOOKUP(J190,'⚙️ Pengaturan'!$H$5:$H1508,'⚙️ Pengaturan'!$I$5:$I1508),"")</f>
        <v>TIM Y</v>
      </c>
      <c r="D190" s="97" t="s">
        <v>54</v>
      </c>
      <c r="E190" s="99">
        <v>45943.0</v>
      </c>
      <c r="F190" s="100" t="str">
        <f t="shared" si="1"/>
        <v>2025</v>
      </c>
      <c r="G190" s="100" t="str">
        <f t="shared" si="2"/>
        <v>10Okt</v>
      </c>
      <c r="H190" s="100" t="str">
        <f t="shared" si="3"/>
        <v>Senin</v>
      </c>
      <c r="I190" s="97" t="s">
        <v>55</v>
      </c>
      <c r="J190" s="97" t="s">
        <v>91</v>
      </c>
      <c r="K190" s="97" t="s">
        <v>63</v>
      </c>
      <c r="L190" s="101" t="s">
        <v>108</v>
      </c>
      <c r="M190" s="102" t="str">
        <f>IFNA(VLOOKUP(L190,'🙎‍♂️ Pasien'!G:V,2,FALSE),"")</f>
        <v>A5625092572</v>
      </c>
      <c r="N190" s="103">
        <f>IFNA(VLOOKUP(L190,'🙎‍♂️ Pasien'!G:L,3,FALSE),"")</f>
        <v>69</v>
      </c>
      <c r="O190" s="104" t="str">
        <f>IFNA(VLOOKUP(L190,'🙎‍♂️ Pasien'!G:V,6,FALSE),"")</f>
        <v>PEREMPUAN</v>
      </c>
      <c r="P190" s="104" t="str">
        <f>IFNA(VLOOKUP(L190,'🙎‍♂️ Pasien'!G:V,12,FALSE),"")</f>
        <v>ISLAM</v>
      </c>
      <c r="Q190" s="104" t="str">
        <f>IFNA(VLOOKUP(L190:L1508,'🙎‍♂️ Pasien'!G:V,13,FALSE),"")</f>
        <v>IRT</v>
      </c>
      <c r="R190" s="104" t="str">
        <f t="array" ref="R190">ifna(xlookup(L190,'🙎‍♂️ Pasien'!$G$5:$G1508,'🙎‍♂️ Pasien'!$T$5:$T1508),"")</f>
        <v>PINGGANG DAN KAKI</v>
      </c>
      <c r="S190" s="104" t="str">
        <f t="array" ref="S190">ifna(xlookup(L190,'🙎‍♂️ Pasien'!$G$5:$G1508,'🙎‍♂️ Pasien'!$U$5:$U1508),"")</f>
        <v>-</v>
      </c>
      <c r="T190" s="97" t="s">
        <v>59</v>
      </c>
      <c r="U190" s="105">
        <v>1.0</v>
      </c>
      <c r="V190" s="101" t="s">
        <v>243</v>
      </c>
      <c r="W190" s="106" t="b">
        <v>1</v>
      </c>
      <c r="X190" s="107"/>
      <c r="Y190" s="108"/>
    </row>
    <row r="191" ht="22.5" customHeight="1">
      <c r="A191" s="96"/>
      <c r="B191" s="97" t="s">
        <v>53</v>
      </c>
      <c r="C191" s="98" t="str">
        <f t="array" ref="C191">IFNA(XLOOKUP(J191,'⚙️ Pengaturan'!$H$5:$H1508,'⚙️ Pengaturan'!$I$5:$I1508),"")</f>
        <v>TIM Y</v>
      </c>
      <c r="D191" s="97" t="s">
        <v>54</v>
      </c>
      <c r="E191" s="99">
        <v>45943.0</v>
      </c>
      <c r="F191" s="100" t="str">
        <f t="shared" si="1"/>
        <v>2025</v>
      </c>
      <c r="G191" s="100" t="str">
        <f t="shared" si="2"/>
        <v>10Okt</v>
      </c>
      <c r="H191" s="100" t="str">
        <f t="shared" si="3"/>
        <v>Senin</v>
      </c>
      <c r="I191" s="97" t="s">
        <v>65</v>
      </c>
      <c r="J191" s="97" t="s">
        <v>91</v>
      </c>
      <c r="K191" s="97" t="s">
        <v>63</v>
      </c>
      <c r="L191" s="101" t="s">
        <v>144</v>
      </c>
      <c r="M191" s="102" t="str">
        <f>IFNA(VLOOKUP(L191,'🙎‍♂️ Pasien'!G:V,2,FALSE),"")</f>
        <v>L2525104585</v>
      </c>
      <c r="N191" s="103">
        <f>IFNA(VLOOKUP(L191,'🙎‍♂️ Pasien'!G:L,3,FALSE),"")</f>
        <v>0</v>
      </c>
      <c r="O191" s="104" t="str">
        <f>IFNA(VLOOKUP(L191,'🙎‍♂️ Pasien'!G:V,6,FALSE),"")</f>
        <v>PEREMPUAN</v>
      </c>
      <c r="P191" s="104" t="str">
        <f>IFNA(VLOOKUP(L191,'🙎‍♂️ Pasien'!G:V,12,FALSE),"")</f>
        <v>ISLAM</v>
      </c>
      <c r="Q191" s="104" t="str">
        <f>IFNA(VLOOKUP(L191:L1508,'🙎‍♂️ Pasien'!G:V,13,FALSE),"")</f>
        <v>ANGGOTA DPRD KOTA PONTIANAK</v>
      </c>
      <c r="R191" s="104" t="str">
        <f t="array" ref="R191">ifna(xlookup(L191,'🙎‍♂️ Pasien'!$G$5:$G1508,'🙎‍♂️ Pasien'!$T$5:$T1508),"")</f>
        <v>CEDERA BAHU</v>
      </c>
      <c r="S191" s="104" t="str">
        <f t="array" ref="S191">ifna(xlookup(L191,'🙎‍♂️ Pasien'!$G$5:$G1508,'🙎‍♂️ Pasien'!$U$5:$U1508),"")</f>
        <v>GYM</v>
      </c>
      <c r="T191" s="97" t="s">
        <v>59</v>
      </c>
      <c r="U191" s="105">
        <v>3.0</v>
      </c>
      <c r="V191" s="101"/>
      <c r="W191" s="106" t="b">
        <v>1</v>
      </c>
      <c r="X191" s="107"/>
      <c r="Y191" s="108"/>
    </row>
    <row r="192" ht="22.5" customHeight="1">
      <c r="A192" s="96"/>
      <c r="B192" s="97" t="s">
        <v>53</v>
      </c>
      <c r="C192" s="98" t="str">
        <f t="array" ref="C192">IFNA(XLOOKUP(J192,'⚙️ Pengaturan'!$H$5:$H1508,'⚙️ Pengaturan'!$I$5:$I1508),"")</f>
        <v>TIM Y</v>
      </c>
      <c r="D192" s="97" t="s">
        <v>54</v>
      </c>
      <c r="E192" s="99">
        <v>45943.0</v>
      </c>
      <c r="F192" s="100" t="str">
        <f t="shared" si="1"/>
        <v>2025</v>
      </c>
      <c r="G192" s="100" t="str">
        <f t="shared" si="2"/>
        <v>10Okt</v>
      </c>
      <c r="H192" s="100" t="str">
        <f t="shared" si="3"/>
        <v>Senin</v>
      </c>
      <c r="I192" s="97" t="s">
        <v>65</v>
      </c>
      <c r="J192" s="97" t="s">
        <v>107</v>
      </c>
      <c r="K192" s="97" t="s">
        <v>57</v>
      </c>
      <c r="L192" s="101" t="s">
        <v>244</v>
      </c>
      <c r="M192" s="102" t="str">
        <f>IFNA(VLOOKUP(L192,'🙎‍♂️ Pasien'!G:V,2,FALSE),"")</f>
        <v>N7425100815</v>
      </c>
      <c r="N192" s="103">
        <f>IFNA(VLOOKUP(L192,'🙎‍♂️ Pasien'!G:L,3,FALSE),"")</f>
        <v>52</v>
      </c>
      <c r="O192" s="104" t="str">
        <f>IFNA(VLOOKUP(L192,'🙎‍♂️ Pasien'!G:V,6,FALSE),"")</f>
        <v>PEREMPUAN</v>
      </c>
      <c r="P192" s="104" t="str">
        <f>IFNA(VLOOKUP(L192,'🙎‍♂️ Pasien'!G:V,12,FALSE),"")</f>
        <v>ISLAM</v>
      </c>
      <c r="Q192" s="104" t="str">
        <f>IFNA(VLOOKUP(L192:L1508,'🙎‍♂️ Pasien'!G:V,13,FALSE),"")</f>
        <v>IBU RUMAH TANGGA</v>
      </c>
      <c r="R192" s="104" t="str">
        <f t="array" ref="R192">ifna(xlookup(L192,'🙎‍♂️ Pasien'!$G$5:$G1508,'🙎‍♂️ Pasien'!$T$5:$T1508),"")</f>
        <v/>
      </c>
      <c r="S192" s="104" t="str">
        <f t="array" ref="S192">ifna(xlookup(L192,'🙎‍♂️ Pasien'!$G$5:$G1508,'🙎‍♂️ Pasien'!$U$5:$U1508),"")</f>
        <v>MENATA ULANG INTERIOR RUMAH</v>
      </c>
      <c r="T192" s="97" t="s">
        <v>59</v>
      </c>
      <c r="U192" s="105" t="s">
        <v>60</v>
      </c>
      <c r="V192" s="101"/>
      <c r="W192" s="106" t="b">
        <v>1</v>
      </c>
      <c r="X192" s="107"/>
      <c r="Y192" s="108"/>
    </row>
    <row r="193" ht="22.5" customHeight="1">
      <c r="A193" s="96"/>
      <c r="B193" s="97" t="s">
        <v>53</v>
      </c>
      <c r="C193" s="98" t="str">
        <f t="array" ref="C193">IFNA(XLOOKUP(J193,'⚙️ Pengaturan'!$H$5:$H1508,'⚙️ Pengaturan'!$I$5:$I1508),"")</f>
        <v>TIM Y</v>
      </c>
      <c r="D193" s="97" t="s">
        <v>54</v>
      </c>
      <c r="E193" s="99">
        <v>45943.0</v>
      </c>
      <c r="F193" s="100" t="str">
        <f t="shared" si="1"/>
        <v>2025</v>
      </c>
      <c r="G193" s="100" t="str">
        <f t="shared" si="2"/>
        <v>10Okt</v>
      </c>
      <c r="H193" s="100" t="str">
        <f t="shared" si="3"/>
        <v>Senin</v>
      </c>
      <c r="I193" s="97" t="s">
        <v>65</v>
      </c>
      <c r="J193" s="97" t="s">
        <v>88</v>
      </c>
      <c r="K193" s="97" t="s">
        <v>63</v>
      </c>
      <c r="L193" s="101" t="s">
        <v>245</v>
      </c>
      <c r="M193" s="102" t="str">
        <f>IFNA(VLOOKUP(L193,'🙎‍♂️ Pasien'!G:V,2,FALSE),"")</f>
        <v>W6524066023</v>
      </c>
      <c r="N193" s="103">
        <f>IFNA(VLOOKUP(L193,'🙎‍♂️ Pasien'!G:L,3,FALSE),"")</f>
        <v>60</v>
      </c>
      <c r="O193" s="104" t="str">
        <f>IFNA(VLOOKUP(L193,'🙎‍♂️ Pasien'!G:V,6,FALSE),"")</f>
        <v>LAKI-LAKI</v>
      </c>
      <c r="P193" s="104" t="str">
        <f>IFNA(VLOOKUP(L193,'🙎‍♂️ Pasien'!G:V,12,FALSE),"")</f>
        <v>BUDDHA</v>
      </c>
      <c r="Q193" s="104" t="str">
        <f>IFNA(VLOOKUP(L193:L1508,'🙎‍♂️ Pasien'!G:V,13,FALSE),"")</f>
        <v>SWASTA</v>
      </c>
      <c r="R193" s="104" t="str">
        <f t="array" ref="R193">ifna(xlookup(L193,'🙎‍♂️ Pasien'!$G$5:$G1508,'🙎‍♂️ Pasien'!$T$5:$T1508),"")</f>
        <v>Stroke</v>
      </c>
      <c r="S193" s="104" t="str">
        <f t="array" ref="S193">ifna(xlookup(L193,'🙎‍♂️ Pasien'!$G$5:$G1508,'🙎‍♂️ Pasien'!$U$5:$U1508),"")</f>
        <v>Tidak ada</v>
      </c>
      <c r="T193" s="97" t="s">
        <v>67</v>
      </c>
      <c r="U193" s="105">
        <v>9.0</v>
      </c>
      <c r="V193" s="101" t="s">
        <v>246</v>
      </c>
      <c r="W193" s="106" t="b">
        <v>1</v>
      </c>
      <c r="X193" s="107"/>
      <c r="Y193" s="108"/>
    </row>
    <row r="194" ht="22.5" customHeight="1">
      <c r="A194" s="96"/>
      <c r="B194" s="97" t="s">
        <v>53</v>
      </c>
      <c r="C194" s="98" t="str">
        <f t="array" ref="C194">IFNA(XLOOKUP(J194,'⚙️ Pengaturan'!$H$5:$H1508,'⚙️ Pengaturan'!$I$5:$I1508),"")</f>
        <v>TIM Y</v>
      </c>
      <c r="D194" s="97" t="s">
        <v>54</v>
      </c>
      <c r="E194" s="99">
        <v>45943.0</v>
      </c>
      <c r="F194" s="100" t="str">
        <f t="shared" si="1"/>
        <v>2025</v>
      </c>
      <c r="G194" s="100" t="str">
        <f t="shared" si="2"/>
        <v>10Okt</v>
      </c>
      <c r="H194" s="100" t="str">
        <f t="shared" si="3"/>
        <v>Senin</v>
      </c>
      <c r="I194" s="97" t="s">
        <v>74</v>
      </c>
      <c r="J194" s="97" t="s">
        <v>107</v>
      </c>
      <c r="K194" s="97" t="s">
        <v>63</v>
      </c>
      <c r="L194" s="101" t="s">
        <v>206</v>
      </c>
      <c r="M194" s="102" t="str">
        <f>IFNA(VLOOKUP(L194,'🙎‍♂️ Pasien'!G:V,2,FALSE),"")</f>
        <v>L7225071788</v>
      </c>
      <c r="N194" s="103">
        <f>IFNA(VLOOKUP(L194,'🙎‍♂️ Pasien'!G:L,3,FALSE),"")</f>
        <v>53</v>
      </c>
      <c r="O194" s="104" t="str">
        <f>IFNA(VLOOKUP(L194,'🙎‍♂️ Pasien'!G:V,6,FALSE),"")</f>
        <v>PEREMPUAN</v>
      </c>
      <c r="P194" s="104" t="str">
        <f>IFNA(VLOOKUP(L194,'🙎‍♂️ Pasien'!G:V,12,FALSE),"")</f>
        <v>KATOLIK</v>
      </c>
      <c r="Q194" s="104" t="str">
        <f>IFNA(VLOOKUP(L194:L1508,'🙎‍♂️ Pasien'!G:V,13,FALSE),"")</f>
        <v>IBU RT</v>
      </c>
      <c r="R194" s="104" t="str">
        <f t="array" ref="R194">ifna(xlookup(L194,'🙎‍♂️ Pasien'!$G$5:$G1508,'🙎‍♂️ Pasien'!$T$5:$T1508),"")</f>
        <v>BAHU KANAN DAN PINGGANG</v>
      </c>
      <c r="S194" s="104" t="str">
        <f t="array" ref="S194">ifna(xlookup(L194,'🙎‍♂️ Pasien'!$G$5:$G1508,'🙎‍♂️ Pasien'!$U$5:$U1508),"")</f>
        <v>YOGA</v>
      </c>
      <c r="T194" s="97" t="s">
        <v>59</v>
      </c>
      <c r="U194" s="105">
        <v>5.0</v>
      </c>
      <c r="V194" s="101" t="s">
        <v>125</v>
      </c>
      <c r="W194" s="106" t="b">
        <v>1</v>
      </c>
      <c r="X194" s="107"/>
      <c r="Y194" s="108"/>
    </row>
    <row r="195" ht="22.5" customHeight="1">
      <c r="A195" s="96"/>
      <c r="B195" s="97" t="s">
        <v>53</v>
      </c>
      <c r="C195" s="98" t="str">
        <f t="array" ref="C195">IFNA(XLOOKUP(J195,'⚙️ Pengaturan'!$H$5:$H1508,'⚙️ Pengaturan'!$I$5:$I1508),"")</f>
        <v>TIM Y</v>
      </c>
      <c r="D195" s="97" t="s">
        <v>54</v>
      </c>
      <c r="E195" s="99">
        <v>45943.0</v>
      </c>
      <c r="F195" s="100" t="str">
        <f t="shared" si="1"/>
        <v>2025</v>
      </c>
      <c r="G195" s="100" t="str">
        <f t="shared" si="2"/>
        <v>10Okt</v>
      </c>
      <c r="H195" s="100" t="str">
        <f t="shared" si="3"/>
        <v>Senin</v>
      </c>
      <c r="I195" s="97" t="s">
        <v>74</v>
      </c>
      <c r="J195" s="97" t="s">
        <v>91</v>
      </c>
      <c r="K195" s="97" t="s">
        <v>63</v>
      </c>
      <c r="L195" s="101" t="s">
        <v>204</v>
      </c>
      <c r="M195" s="102" t="str">
        <f>IFNA(VLOOKUP(L195,'🙎‍♂️ Pasien'!G:V,2,FALSE),"")</f>
        <v>R0125045992</v>
      </c>
      <c r="N195" s="103">
        <f>IFNA(VLOOKUP(L195,'🙎‍♂️ Pasien'!G:L,3,FALSE),"")</f>
        <v>25</v>
      </c>
      <c r="O195" s="104" t="str">
        <f>IFNA(VLOOKUP(L195,'🙎‍♂️ Pasien'!G:V,6,FALSE),"")</f>
        <v>PEREMPUAN</v>
      </c>
      <c r="P195" s="104" t="str">
        <f>IFNA(VLOOKUP(L195,'🙎‍♂️ Pasien'!G:V,12,FALSE),"")</f>
        <v>ISLAM</v>
      </c>
      <c r="Q195" s="104" t="str">
        <f>IFNA(VLOOKUP(L195:L1508,'🙎‍♂️ Pasien'!G:V,13,FALSE),"")</f>
        <v>-</v>
      </c>
      <c r="R195" s="104" t="str">
        <f t="array" ref="R195">ifna(xlookup(L195,'🙎‍♂️ Pasien'!$G$5:$G1508,'🙎‍♂️ Pasien'!$T$5:$T1508),"")</f>
        <v>SKOLIOSIS</v>
      </c>
      <c r="S195" s="104" t="str">
        <f t="array" ref="S195">ifna(xlookup(L195,'🙎‍♂️ Pasien'!$G$5:$G1508,'🙎‍♂️ Pasien'!$U$5:$U1508),"")</f>
        <v>PEKERJAAN</v>
      </c>
      <c r="T195" s="97" t="s">
        <v>67</v>
      </c>
      <c r="U195" s="105" t="s">
        <v>60</v>
      </c>
      <c r="V195" s="101" t="s">
        <v>247</v>
      </c>
      <c r="W195" s="106" t="b">
        <v>1</v>
      </c>
      <c r="X195" s="107"/>
      <c r="Y195" s="108"/>
    </row>
    <row r="196" ht="22.5" customHeight="1">
      <c r="A196" s="96"/>
      <c r="B196" s="97" t="s">
        <v>53</v>
      </c>
      <c r="C196" s="98" t="str">
        <f t="array" ref="C196">IFNA(XLOOKUP(J196,'⚙️ Pengaturan'!$H$5:$H1508,'⚙️ Pengaturan'!$I$5:$I1508),"")</f>
        <v>TIM Y</v>
      </c>
      <c r="D196" s="97" t="s">
        <v>54</v>
      </c>
      <c r="E196" s="99">
        <v>45943.0</v>
      </c>
      <c r="F196" s="100" t="str">
        <f t="shared" si="1"/>
        <v>2025</v>
      </c>
      <c r="G196" s="100" t="str">
        <f t="shared" si="2"/>
        <v>10Okt</v>
      </c>
      <c r="H196" s="100" t="str">
        <f t="shared" si="3"/>
        <v>Senin</v>
      </c>
      <c r="I196" s="97" t="s">
        <v>76</v>
      </c>
      <c r="J196" s="97" t="s">
        <v>91</v>
      </c>
      <c r="K196" s="97" t="s">
        <v>63</v>
      </c>
      <c r="L196" s="101" t="s">
        <v>113</v>
      </c>
      <c r="M196" s="102" t="str">
        <f>IFNA(VLOOKUP(L196,'🙎‍♂️ Pasien'!G:V,2,FALSE),"")</f>
        <v>H5325098176</v>
      </c>
      <c r="N196" s="103">
        <f>IFNA(VLOOKUP(L196,'🙎‍♂️ Pasien'!G:L,3,FALSE),"")</f>
        <v>73</v>
      </c>
      <c r="O196" s="104" t="str">
        <f>IFNA(VLOOKUP(L196,'🙎‍♂️ Pasien'!G:V,6,FALSE),"")</f>
        <v>LAKI-LAKI</v>
      </c>
      <c r="P196" s="104" t="str">
        <f>IFNA(VLOOKUP(L196,'🙎‍♂️ Pasien'!G:V,12,FALSE),"")</f>
        <v>BUDDHA</v>
      </c>
      <c r="Q196" s="104" t="str">
        <f>IFNA(VLOOKUP(L196:L1508,'🙎‍♂️ Pasien'!G:V,13,FALSE),"")</f>
        <v>PENSIUN</v>
      </c>
      <c r="R196" s="104" t="str">
        <f t="array" ref="R196">ifna(xlookup(L196,'🙎‍♂️ Pasien'!$G$5:$G1508,'🙎‍♂️ Pasien'!$T$5:$T1508),"")</f>
        <v>KAKI GAK BISA JONGKOK</v>
      </c>
      <c r="S196" s="104" t="str">
        <f t="array" ref="S196">ifna(xlookup(L196,'🙎‍♂️ Pasien'!$G$5:$G1508,'🙎‍♂️ Pasien'!$U$5:$U1508),"")</f>
        <v>——</v>
      </c>
      <c r="T196" s="97" t="s">
        <v>59</v>
      </c>
      <c r="U196" s="105">
        <v>5.0</v>
      </c>
      <c r="V196" s="101"/>
      <c r="W196" s="106" t="b">
        <v>1</v>
      </c>
      <c r="X196" s="107"/>
      <c r="Y196" s="108"/>
    </row>
    <row r="197" ht="22.5" customHeight="1">
      <c r="A197" s="96"/>
      <c r="B197" s="97" t="s">
        <v>53</v>
      </c>
      <c r="C197" s="98" t="str">
        <f t="array" ref="C197">IFNA(XLOOKUP(J197,'⚙️ Pengaturan'!$H$5:$H1508,'⚙️ Pengaturan'!$I$5:$I1508),"")</f>
        <v>TIM Y</v>
      </c>
      <c r="D197" s="97" t="s">
        <v>54</v>
      </c>
      <c r="E197" s="99">
        <v>45943.0</v>
      </c>
      <c r="F197" s="100" t="str">
        <f t="shared" si="1"/>
        <v>2025</v>
      </c>
      <c r="G197" s="100" t="str">
        <f t="shared" si="2"/>
        <v>10Okt</v>
      </c>
      <c r="H197" s="100" t="str">
        <f t="shared" si="3"/>
        <v>Senin</v>
      </c>
      <c r="I197" s="97" t="s">
        <v>83</v>
      </c>
      <c r="J197" s="97" t="s">
        <v>91</v>
      </c>
      <c r="K197" s="97" t="s">
        <v>63</v>
      </c>
      <c r="L197" s="101" t="s">
        <v>66</v>
      </c>
      <c r="M197" s="102" t="str">
        <f>IFNA(VLOOKUP(L197,'🙎‍♂️ Pasien'!G:V,2,FALSE),"")</f>
        <v>G0425088990</v>
      </c>
      <c r="N197" s="103">
        <f>IFNA(VLOOKUP(L197,'🙎‍♂️ Pasien'!G:L,3,FALSE),"")</f>
        <v>21</v>
      </c>
      <c r="O197" s="104" t="str">
        <f>IFNA(VLOOKUP(L197,'🙎‍♂️ Pasien'!G:V,6,FALSE),"")</f>
        <v>PEREMPUAN</v>
      </c>
      <c r="P197" s="104" t="str">
        <f>IFNA(VLOOKUP(L197,'🙎‍♂️ Pasien'!G:V,12,FALSE),"")</f>
        <v>PROTESTAN</v>
      </c>
      <c r="Q197" s="104" t="str">
        <f>IFNA(VLOOKUP(L197:L1508,'🙎‍♂️ Pasien'!G:V,13,FALSE),"")</f>
        <v>BUSINESS OWNER</v>
      </c>
      <c r="R197" s="104" t="str">
        <f t="array" ref="R197">ifna(xlookup(L197,'🙎‍♂️ Pasien'!$G$5:$G1508,'🙎‍♂️ Pasien'!$T$5:$T1508),"")</f>
        <v>TANGAN</v>
      </c>
      <c r="S197" s="104" t="str">
        <f t="array" ref="S197">ifna(xlookup(L197,'🙎‍♂️ Pasien'!$G$5:$G1508,'🙎‍♂️ Pasien'!$U$5:$U1508),"")</f>
        <v>BERMAIN TENNIS</v>
      </c>
      <c r="T197" s="97" t="s">
        <v>67</v>
      </c>
      <c r="U197" s="105">
        <v>4.0</v>
      </c>
      <c r="V197" s="101" t="s">
        <v>205</v>
      </c>
      <c r="W197" s="106" t="b">
        <v>1</v>
      </c>
      <c r="X197" s="107"/>
      <c r="Y197" s="108"/>
    </row>
    <row r="198" ht="22.5" customHeight="1">
      <c r="A198" s="96"/>
      <c r="B198" s="97" t="s">
        <v>53</v>
      </c>
      <c r="C198" s="98" t="str">
        <f t="array" ref="C198">IFNA(XLOOKUP(J198,'⚙️ Pengaturan'!$H$5:$H1508,'⚙️ Pengaturan'!$I$5:$I1508),"")</f>
        <v>TIM Y</v>
      </c>
      <c r="D198" s="97" t="s">
        <v>54</v>
      </c>
      <c r="E198" s="99">
        <v>45943.0</v>
      </c>
      <c r="F198" s="100" t="str">
        <f t="shared" si="1"/>
        <v>2025</v>
      </c>
      <c r="G198" s="100" t="str">
        <f t="shared" si="2"/>
        <v>10Okt</v>
      </c>
      <c r="H198" s="100" t="str">
        <f t="shared" si="3"/>
        <v>Senin</v>
      </c>
      <c r="I198" s="97" t="s">
        <v>83</v>
      </c>
      <c r="J198" s="97" t="s">
        <v>88</v>
      </c>
      <c r="K198" s="97" t="s">
        <v>63</v>
      </c>
      <c r="L198" s="101" t="s">
        <v>132</v>
      </c>
      <c r="M198" s="102" t="str">
        <f>IFNA(VLOOKUP(L198,'🙎‍♂️ Pasien'!G:V,2,FALSE),"")</f>
        <v>R1225091811</v>
      </c>
      <c r="N198" s="103">
        <f>IFNA(VLOOKUP(L198,'🙎‍♂️ Pasien'!G:L,3,FALSE),"")</f>
        <v>13</v>
      </c>
      <c r="O198" s="104" t="str">
        <f>IFNA(VLOOKUP(L198,'🙎‍♂️ Pasien'!G:V,6,FALSE),"")</f>
        <v>LAKI-LAKI</v>
      </c>
      <c r="P198" s="104" t="str">
        <f>IFNA(VLOOKUP(L198,'🙎‍♂️ Pasien'!G:V,12,FALSE),"")</f>
        <v>KATOLIK</v>
      </c>
      <c r="Q198" s="104" t="str">
        <f>IFNA(VLOOKUP(L198:L1508,'🙎‍♂️ Pasien'!G:V,13,FALSE),"")</f>
        <v>SISWA</v>
      </c>
      <c r="R198" s="104" t="str">
        <f t="array" ref="R198">ifna(xlookup(L198,'🙎‍♂️ Pasien'!$G$5:$G1508,'🙎‍♂️ Pasien'!$T$5:$T1508),"")</f>
        <v>BUNGKUK</v>
      </c>
      <c r="S198" s="104" t="str">
        <f t="array" ref="S198">ifna(xlookup(L198,'🙎‍♂️ Pasien'!$G$5:$G1508,'🙎‍♂️ Pasien'!$U$5:$U1508),"")</f>
        <v>SEKOLAH</v>
      </c>
      <c r="T198" s="97" t="s">
        <v>59</v>
      </c>
      <c r="U198" s="105">
        <v>3.0</v>
      </c>
      <c r="V198" s="101"/>
      <c r="W198" s="106" t="b">
        <v>1</v>
      </c>
      <c r="X198" s="107"/>
      <c r="Y198" s="108"/>
    </row>
    <row r="199" ht="22.5" customHeight="1">
      <c r="A199" s="96"/>
      <c r="B199" s="97" t="s">
        <v>85</v>
      </c>
      <c r="C199" s="98" t="str">
        <f t="array" ref="C199">IFNA(XLOOKUP(J199,'⚙️ Pengaturan'!$H$5:$H1508,'⚙️ Pengaturan'!$I$5:$I1508),"")</f>
        <v>TIM Y</v>
      </c>
      <c r="D199" s="97" t="s">
        <v>86</v>
      </c>
      <c r="E199" s="99">
        <v>45943.0</v>
      </c>
      <c r="F199" s="100" t="str">
        <f t="shared" si="1"/>
        <v>2025</v>
      </c>
      <c r="G199" s="100" t="str">
        <f t="shared" si="2"/>
        <v>10Okt</v>
      </c>
      <c r="H199" s="100" t="str">
        <f t="shared" si="3"/>
        <v>Senin</v>
      </c>
      <c r="I199" s="97" t="s">
        <v>87</v>
      </c>
      <c r="J199" s="97" t="s">
        <v>56</v>
      </c>
      <c r="K199" s="97" t="s">
        <v>63</v>
      </c>
      <c r="L199" s="101" t="s">
        <v>119</v>
      </c>
      <c r="M199" s="102" t="str">
        <f>IFNA(VLOOKUP(L199,'🙎‍♂️ Pasien'!G:V,2,FALSE),"")</f>
        <v>H4623015667</v>
      </c>
      <c r="N199" s="103">
        <f>IFNA(VLOOKUP(L199,'🙎‍♂️ Pasien'!G:L,3,FALSE),"")</f>
        <v>80</v>
      </c>
      <c r="O199" s="104" t="str">
        <f>IFNA(VLOOKUP(L199,'🙎‍♂️ Pasien'!G:V,6,FALSE),"")</f>
        <v>LAKI-LAKI</v>
      </c>
      <c r="P199" s="104" t="str">
        <f>IFNA(VLOOKUP(L199,'🙎‍♂️ Pasien'!G:V,12,FALSE),"")</f>
        <v>ISLAM</v>
      </c>
      <c r="Q199" s="104" t="str">
        <f>IFNA(VLOOKUP(L199:L1508,'🙎‍♂️ Pasien'!G:V,13,FALSE),"")</f>
        <v>PENSIUN</v>
      </c>
      <c r="R199" s="104" t="str">
        <f t="array" ref="R199">ifna(xlookup(L199,'🙎‍♂️ Pasien'!$G$5:$G1508,'🙎‍♂️ Pasien'!$T$5:$T1508),"")</f>
        <v>STROKE</v>
      </c>
      <c r="S199" s="104" t="str">
        <f t="array" ref="S199">ifna(xlookup(L199,'🙎‍♂️ Pasien'!$G$5:$G1508,'🙎‍♂️ Pasien'!$U$5:$U1508),"")</f>
        <v/>
      </c>
      <c r="T199" s="97" t="s">
        <v>59</v>
      </c>
      <c r="U199" s="105">
        <v>1.0</v>
      </c>
      <c r="V199" s="101"/>
      <c r="W199" s="106" t="b">
        <v>1</v>
      </c>
      <c r="X199" s="107"/>
      <c r="Y199" s="108"/>
    </row>
    <row r="200" ht="22.5" customHeight="1">
      <c r="A200" s="96"/>
      <c r="B200" s="97" t="s">
        <v>85</v>
      </c>
      <c r="C200" s="98" t="str">
        <f t="array" ref="C200">IFNA(XLOOKUP(J200,'⚙️ Pengaturan'!$H$5:$H1508,'⚙️ Pengaturan'!$I$5:$I1508),"")</f>
        <v>TIM A</v>
      </c>
      <c r="D200" s="97" t="s">
        <v>86</v>
      </c>
      <c r="E200" s="99">
        <v>45943.0</v>
      </c>
      <c r="F200" s="100" t="str">
        <f t="shared" si="1"/>
        <v>2025</v>
      </c>
      <c r="G200" s="100" t="str">
        <f t="shared" si="2"/>
        <v>10Okt</v>
      </c>
      <c r="H200" s="100" t="str">
        <f t="shared" si="3"/>
        <v>Senin</v>
      </c>
      <c r="I200" s="97" t="s">
        <v>87</v>
      </c>
      <c r="J200" s="97" t="s">
        <v>62</v>
      </c>
      <c r="K200" s="97" t="s">
        <v>57</v>
      </c>
      <c r="L200" s="101" t="s">
        <v>248</v>
      </c>
      <c r="M200" s="102" t="str">
        <f>IFNA(VLOOKUP(L200,'🙎‍♂️ Pasien'!G:V,2,FALSE),"")</f>
        <v>H2525100224</v>
      </c>
      <c r="N200" s="103">
        <f>IFNA(VLOOKUP(L200,'🙎‍♂️ Pasien'!G:L,3,FALSE),"")</f>
        <v>1</v>
      </c>
      <c r="O200" s="104" t="str">
        <f>IFNA(VLOOKUP(L200,'🙎‍♂️ Pasien'!G:V,6,FALSE),"")</f>
        <v>PEREMPUAN</v>
      </c>
      <c r="P200" s="104" t="str">
        <f>IFNA(VLOOKUP(L200,'🙎‍♂️ Pasien'!G:V,12,FALSE),"")</f>
        <v>ISLAM</v>
      </c>
      <c r="Q200" s="104" t="str">
        <f>IFNA(VLOOKUP(L200:L1508,'🙎‍♂️ Pasien'!G:V,13,FALSE),"")</f>
        <v>IBU RUMAH TANGGA</v>
      </c>
      <c r="R200" s="104" t="str">
        <f t="array" ref="R200">ifna(xlookup(L200,'🙎‍♂️ Pasien'!$G$5:$G1508,'🙎‍♂️ Pasien'!$T$5:$T1508),"")</f>
        <v>NYERI PINGGANG DAN BETIS</v>
      </c>
      <c r="S200" s="104" t="str">
        <f t="array" ref="S200">ifna(xlookup(L200,'🙎‍♂️ Pasien'!$G$5:$G1508,'🙎‍♂️ Pasien'!$U$5:$U1508),"")</f>
        <v>MENCUCI BAJU</v>
      </c>
      <c r="T200" s="97" t="s">
        <v>59</v>
      </c>
      <c r="U200" s="105" t="s">
        <v>60</v>
      </c>
      <c r="V200" s="101"/>
      <c r="W200" s="106" t="b">
        <v>1</v>
      </c>
      <c r="X200" s="107"/>
      <c r="Y200" s="108"/>
    </row>
    <row r="201" ht="22.5" customHeight="1">
      <c r="A201" s="96"/>
      <c r="B201" s="97" t="s">
        <v>85</v>
      </c>
      <c r="C201" s="98" t="str">
        <f t="array" ref="C201">IFNA(XLOOKUP(J201,'⚙️ Pengaturan'!$H$5:$H1508,'⚙️ Pengaturan'!$I$5:$I1508),"")</f>
        <v>TIM A</v>
      </c>
      <c r="D201" s="97" t="s">
        <v>86</v>
      </c>
      <c r="E201" s="99">
        <v>45943.0</v>
      </c>
      <c r="F201" s="100" t="str">
        <f t="shared" si="1"/>
        <v>2025</v>
      </c>
      <c r="G201" s="100" t="str">
        <f t="shared" si="2"/>
        <v>10Okt</v>
      </c>
      <c r="H201" s="100" t="str">
        <f t="shared" si="3"/>
        <v>Senin</v>
      </c>
      <c r="I201" s="97" t="s">
        <v>87</v>
      </c>
      <c r="J201" s="97" t="s">
        <v>72</v>
      </c>
      <c r="K201" s="97" t="s">
        <v>63</v>
      </c>
      <c r="L201" s="101" t="s">
        <v>249</v>
      </c>
      <c r="M201" s="102" t="str">
        <f>IFNA(VLOOKUP(L201,'🙎‍♂️ Pasien'!G:V,2,FALSE),"")</f>
        <v>M7625071479</v>
      </c>
      <c r="N201" s="103">
        <f>IFNA(VLOOKUP(L201,'🙎‍♂️ Pasien'!G:L,3,FALSE),"")</f>
        <v>50</v>
      </c>
      <c r="O201" s="104" t="str">
        <f>IFNA(VLOOKUP(L201,'🙎‍♂️ Pasien'!G:V,6,FALSE),"")</f>
        <v>PEREMPUAN</v>
      </c>
      <c r="P201" s="104" t="str">
        <f>IFNA(VLOOKUP(L201,'🙎‍♂️ Pasien'!G:V,12,FALSE),"")</f>
        <v>ISLAM</v>
      </c>
      <c r="Q201" s="104" t="str">
        <f>IFNA(VLOOKUP(L201:L1508,'🙎‍♂️ Pasien'!G:V,13,FALSE),"")</f>
        <v>IBU RUMAH TANGGA</v>
      </c>
      <c r="R201" s="104" t="str">
        <f t="array" ref="R201">ifna(xlookup(L201,'🙎‍♂️ Pasien'!$G$5:$G1508,'🙎‍♂️ Pasien'!$T$5:$T1508),"")</f>
        <v>STROKE</v>
      </c>
      <c r="S201" s="104" t="str">
        <f t="array" ref="S201">ifna(xlookup(L201,'🙎‍♂️ Pasien'!$G$5:$G1508,'🙎‍♂️ Pasien'!$U$5:$U1508),"")</f>
        <v>HIPERTENSI, KOLESTROL, DIABETES</v>
      </c>
      <c r="T201" s="97" t="s">
        <v>67</v>
      </c>
      <c r="U201" s="105">
        <v>2.0</v>
      </c>
      <c r="V201" s="101" t="s">
        <v>250</v>
      </c>
      <c r="W201" s="106" t="b">
        <v>1</v>
      </c>
      <c r="X201" s="107"/>
      <c r="Y201" s="108"/>
    </row>
    <row r="202" ht="22.5" customHeight="1">
      <c r="A202" s="96"/>
      <c r="B202" s="97" t="s">
        <v>85</v>
      </c>
      <c r="C202" s="98" t="str">
        <f t="array" ref="C202">IFNA(XLOOKUP(J202,'⚙️ Pengaturan'!$H$5:$H1508,'⚙️ Pengaturan'!$I$5:$I1508),"")</f>
        <v>TIM A</v>
      </c>
      <c r="D202" s="97" t="s">
        <v>86</v>
      </c>
      <c r="E202" s="99">
        <v>45943.0</v>
      </c>
      <c r="F202" s="100" t="str">
        <f t="shared" si="1"/>
        <v>2025</v>
      </c>
      <c r="G202" s="100" t="str">
        <f t="shared" si="2"/>
        <v>10Okt</v>
      </c>
      <c r="H202" s="100" t="str">
        <f t="shared" si="3"/>
        <v>Senin</v>
      </c>
      <c r="I202" s="97" t="s">
        <v>93</v>
      </c>
      <c r="J202" s="97" t="s">
        <v>79</v>
      </c>
      <c r="K202" s="97" t="s">
        <v>63</v>
      </c>
      <c r="L202" s="101" t="s">
        <v>128</v>
      </c>
      <c r="M202" s="102" t="str">
        <f>IFNA(VLOOKUP(L202,'🙎‍♂️ Pasien'!G:V,2,FALSE),"")</f>
        <v>A9725086020</v>
      </c>
      <c r="N202" s="103">
        <f>IFNA(VLOOKUP(L202,'🙎‍♂️ Pasien'!G:L,3,FALSE),"")</f>
        <v>28</v>
      </c>
      <c r="O202" s="104" t="str">
        <f>IFNA(VLOOKUP(L202,'🙎‍♂️ Pasien'!G:V,6,FALSE),"")</f>
        <v>PEREMPUAN</v>
      </c>
      <c r="P202" s="104" t="str">
        <f>IFNA(VLOOKUP(L202,'🙎‍♂️ Pasien'!G:V,12,FALSE),"")</f>
        <v>ISLAM</v>
      </c>
      <c r="Q202" s="104" t="str">
        <f>IFNA(VLOOKUP(L202:L1508,'🙎‍♂️ Pasien'!G:V,13,FALSE),"")</f>
        <v>PNS</v>
      </c>
      <c r="R202" s="104" t="str">
        <f t="array" ref="R202">ifna(xlookup(L202,'🙎‍♂️ Pasien'!$G$5:$G1508,'🙎‍♂️ Pasien'!$T$5:$T1508),"")</f>
        <v>SAKIT BAGIAN PAHA DAN PANGGUL</v>
      </c>
      <c r="S202" s="104" t="str">
        <f t="array" ref="S202">ifna(xlookup(L202,'🙎‍♂️ Pasien'!$G$5:$G1508,'🙎‍♂️ Pasien'!$U$5:$U1508),"")</f>
        <v>VOLI DAN BEKERJA</v>
      </c>
      <c r="T202" s="97" t="s">
        <v>67</v>
      </c>
      <c r="U202" s="105">
        <v>1.0</v>
      </c>
      <c r="V202" s="101" t="s">
        <v>205</v>
      </c>
      <c r="W202" s="106" t="b">
        <v>1</v>
      </c>
      <c r="X202" s="107"/>
      <c r="Y202" s="108"/>
    </row>
    <row r="203" ht="22.5" customHeight="1">
      <c r="A203" s="96"/>
      <c r="B203" s="97" t="s">
        <v>85</v>
      </c>
      <c r="C203" s="98" t="str">
        <f t="array" ref="C203">IFNA(XLOOKUP(J203,'⚙️ Pengaturan'!$H$5:$H1508,'⚙️ Pengaturan'!$I$5:$I1508),"")</f>
        <v>TIM A</v>
      </c>
      <c r="D203" s="97" t="s">
        <v>86</v>
      </c>
      <c r="E203" s="99">
        <v>45943.0</v>
      </c>
      <c r="F203" s="100" t="str">
        <f t="shared" si="1"/>
        <v>2025</v>
      </c>
      <c r="G203" s="100" t="str">
        <f t="shared" si="2"/>
        <v>10Okt</v>
      </c>
      <c r="H203" s="100" t="str">
        <f t="shared" si="3"/>
        <v>Senin</v>
      </c>
      <c r="I203" s="97" t="s">
        <v>93</v>
      </c>
      <c r="J203" s="97" t="s">
        <v>79</v>
      </c>
      <c r="K203" s="97" t="s">
        <v>63</v>
      </c>
      <c r="L203" s="101" t="s">
        <v>200</v>
      </c>
      <c r="M203" s="102" t="str">
        <f>IFNA(VLOOKUP(L203,'🙎‍♂️ Pasien'!G:V,2,FALSE),"")</f>
        <v>R5725106810</v>
      </c>
      <c r="N203" s="103">
        <f>IFNA(VLOOKUP(L203,'🙎‍♂️ Pasien'!G:L,3,FALSE),"")</f>
        <v>68</v>
      </c>
      <c r="O203" s="104" t="str">
        <f>IFNA(VLOOKUP(L203,'🙎‍♂️ Pasien'!G:V,6,FALSE),"")</f>
        <v>PEREMPUAN</v>
      </c>
      <c r="P203" s="104" t="str">
        <f>IFNA(VLOOKUP(L203,'🙎‍♂️ Pasien'!G:V,12,FALSE),"")</f>
        <v>PROTESTAN</v>
      </c>
      <c r="Q203" s="104" t="str">
        <f>IFNA(VLOOKUP(L203:L1508,'🙎‍♂️ Pasien'!G:V,13,FALSE),"")</f>
        <v>RUMAH TANGGA</v>
      </c>
      <c r="R203" s="104" t="str">
        <f t="array" ref="R203">ifna(xlookup(L203,'🙎‍♂️ Pasien'!$G$5:$G1508,'🙎‍♂️ Pasien'!$T$5:$T1508),"")</f>
        <v>KAKI KIRI SERING NYILU, PEGAL KALAU MALAM WAKTU MAU TIDUR, BAGIAN LEHER DAN BELIKAT KANAN SERING SAKIT..</v>
      </c>
      <c r="S203" s="104" t="str">
        <f t="array" ref="S203">ifna(xlookup(L203,'🙎‍♂️ Pasien'!$G$5:$G1508,'🙎‍♂️ Pasien'!$U$5:$U1508),"")</f>
        <v>KERJA DIRUMAH</v>
      </c>
      <c r="T203" s="97" t="s">
        <v>59</v>
      </c>
      <c r="U203" s="105">
        <v>1.0</v>
      </c>
      <c r="V203" s="101"/>
      <c r="W203" s="106" t="b">
        <v>1</v>
      </c>
      <c r="X203" s="107"/>
      <c r="Y203" s="108"/>
    </row>
    <row r="204" ht="22.5" customHeight="1">
      <c r="A204" s="96"/>
      <c r="B204" s="97" t="s">
        <v>85</v>
      </c>
      <c r="C204" s="98" t="str">
        <f t="array" ref="C204">IFNA(XLOOKUP(J204,'⚙️ Pengaturan'!$H$5:$H1508,'⚙️ Pengaturan'!$I$5:$I1508),"")</f>
        <v>TIM Y</v>
      </c>
      <c r="D204" s="97" t="s">
        <v>86</v>
      </c>
      <c r="E204" s="99">
        <v>45943.0</v>
      </c>
      <c r="F204" s="100" t="str">
        <f t="shared" si="1"/>
        <v>2025</v>
      </c>
      <c r="G204" s="100" t="str">
        <f t="shared" si="2"/>
        <v>10Okt</v>
      </c>
      <c r="H204" s="100" t="str">
        <f t="shared" si="3"/>
        <v>Senin</v>
      </c>
      <c r="I204" s="97" t="s">
        <v>93</v>
      </c>
      <c r="J204" s="97" t="s">
        <v>56</v>
      </c>
      <c r="K204" s="97" t="s">
        <v>57</v>
      </c>
      <c r="L204" s="101" t="s">
        <v>251</v>
      </c>
      <c r="M204" s="102" t="str">
        <f>IFNA(VLOOKUP(L204,'🙎‍♂️ Pasien'!G:V,2,FALSE),"")</f>
        <v/>
      </c>
      <c r="N204" s="103" t="str">
        <f>IFNA(VLOOKUP(L204,'🙎‍♂️ Pasien'!G:L,3,FALSE),"")</f>
        <v/>
      </c>
      <c r="O204" s="104" t="str">
        <f>IFNA(VLOOKUP(L204,'🙎‍♂️ Pasien'!G:V,6,FALSE),"")</f>
        <v/>
      </c>
      <c r="P204" s="104" t="str">
        <f>IFNA(VLOOKUP(L204,'🙎‍♂️ Pasien'!G:V,12,FALSE),"")</f>
        <v/>
      </c>
      <c r="Q204" s="104" t="str">
        <f>IFNA(VLOOKUP(L204:L1508,'🙎‍♂️ Pasien'!G:V,13,FALSE),"")</f>
        <v/>
      </c>
      <c r="R204" s="104" t="str">
        <f t="array" ref="R204">ifna(xlookup(L204,'🙎‍♂️ Pasien'!$G$5:$G1508,'🙎‍♂️ Pasien'!$T$5:$T1508),"")</f>
        <v/>
      </c>
      <c r="S204" s="104" t="str">
        <f t="array" ref="S204">ifna(xlookup(L204,'🙎‍♂️ Pasien'!$G$5:$G1508,'🙎‍♂️ Pasien'!$U$5:$U1508),"")</f>
        <v/>
      </c>
      <c r="T204" s="97" t="s">
        <v>67</v>
      </c>
      <c r="U204" s="105" t="s">
        <v>60</v>
      </c>
      <c r="V204" s="101" t="s">
        <v>252</v>
      </c>
      <c r="W204" s="106" t="b">
        <v>1</v>
      </c>
      <c r="X204" s="107"/>
      <c r="Y204" s="108"/>
    </row>
    <row r="205" ht="22.5" customHeight="1">
      <c r="A205" s="96"/>
      <c r="B205" s="97" t="s">
        <v>85</v>
      </c>
      <c r="C205" s="98" t="str">
        <f t="array" ref="C205">IFNA(XLOOKUP(J205,'⚙️ Pengaturan'!$H$5:$H1508,'⚙️ Pengaturan'!$I$5:$I1508),"")</f>
        <v>TIM Y</v>
      </c>
      <c r="D205" s="97" t="s">
        <v>86</v>
      </c>
      <c r="E205" s="99">
        <v>45943.0</v>
      </c>
      <c r="F205" s="100" t="str">
        <f t="shared" si="1"/>
        <v>2025</v>
      </c>
      <c r="G205" s="100" t="str">
        <f t="shared" si="2"/>
        <v>10Okt</v>
      </c>
      <c r="H205" s="100" t="str">
        <f t="shared" si="3"/>
        <v>Senin</v>
      </c>
      <c r="I205" s="97" t="s">
        <v>95</v>
      </c>
      <c r="J205" s="97" t="s">
        <v>56</v>
      </c>
      <c r="K205" s="97" t="s">
        <v>63</v>
      </c>
      <c r="L205" s="101" t="s">
        <v>181</v>
      </c>
      <c r="M205" s="102" t="str">
        <f>IFNA(VLOOKUP(L205,'🙎‍♂️ Pasien'!G:V,2,FALSE),"")</f>
        <v>D0525097586</v>
      </c>
      <c r="N205" s="103">
        <f>IFNA(VLOOKUP(L205,'🙎‍♂️ Pasien'!G:L,3,FALSE),"")</f>
        <v>21</v>
      </c>
      <c r="O205" s="104" t="str">
        <f>IFNA(VLOOKUP(L205,'🙎‍♂️ Pasien'!G:V,6,FALSE),"")</f>
        <v>LAKI-LAKI</v>
      </c>
      <c r="P205" s="104" t="str">
        <f>IFNA(VLOOKUP(L205,'🙎‍♂️ Pasien'!G:V,12,FALSE),"")</f>
        <v>ISLAM</v>
      </c>
      <c r="Q205" s="104" t="str">
        <f>IFNA(VLOOKUP(L205:L1508,'🙎‍♂️ Pasien'!G:V,13,FALSE),"")</f>
        <v>JAGA STAND</v>
      </c>
      <c r="R205" s="104" t="str">
        <f t="array" ref="R205">ifna(xlookup(L205,'🙎‍♂️ Pasien'!$G$5:$G1508,'🙎‍♂️ Pasien'!$T$5:$T1508),"")</f>
        <v>TERTURUN/TURUN BEROK</v>
      </c>
      <c r="S205" s="104" t="str">
        <f t="array" ref="S205">ifna(xlookup(L205,'🙎‍♂️ Pasien'!$G$5:$G1508,'🙎‍♂️ Pasien'!$U$5:$U1508),"")</f>
        <v>SAAT MAIN BOLA</v>
      </c>
      <c r="T205" s="97" t="s">
        <v>59</v>
      </c>
      <c r="U205" s="105">
        <v>4.0</v>
      </c>
      <c r="V205" s="101"/>
      <c r="W205" s="106" t="b">
        <v>1</v>
      </c>
      <c r="X205" s="107"/>
      <c r="Y205" s="108"/>
    </row>
    <row r="206" ht="22.5" customHeight="1">
      <c r="A206" s="96"/>
      <c r="B206" s="97" t="s">
        <v>85</v>
      </c>
      <c r="C206" s="98" t="str">
        <f t="array" ref="C206">IFNA(XLOOKUP(J206,'⚙️ Pengaturan'!$H$5:$H1508,'⚙️ Pengaturan'!$I$5:$I1508),"")</f>
        <v>TIM Y</v>
      </c>
      <c r="D206" s="97" t="s">
        <v>86</v>
      </c>
      <c r="E206" s="99">
        <v>45943.0</v>
      </c>
      <c r="F206" s="100" t="str">
        <f t="shared" si="1"/>
        <v>2025</v>
      </c>
      <c r="G206" s="100" t="str">
        <f t="shared" si="2"/>
        <v>10Okt</v>
      </c>
      <c r="H206" s="100" t="str">
        <f t="shared" si="3"/>
        <v>Senin</v>
      </c>
      <c r="I206" s="97" t="s">
        <v>97</v>
      </c>
      <c r="J206" s="97" t="s">
        <v>56</v>
      </c>
      <c r="K206" s="97" t="s">
        <v>63</v>
      </c>
      <c r="L206" s="101" t="s">
        <v>202</v>
      </c>
      <c r="M206" s="102" t="str">
        <f>IFNA(VLOOKUP(L206,'🙎‍♂️ Pasien'!G:V,2,FALSE),"")</f>
        <v>B9925104512</v>
      </c>
      <c r="N206" s="103">
        <f>IFNA(VLOOKUP(L206,'🙎‍♂️ Pasien'!G:L,3,FALSE),"")</f>
        <v>26</v>
      </c>
      <c r="O206" s="104" t="str">
        <f>IFNA(VLOOKUP(L206,'🙎‍♂️ Pasien'!G:V,6,FALSE),"")</f>
        <v>LAKI-LAKI</v>
      </c>
      <c r="P206" s="104" t="str">
        <f>IFNA(VLOOKUP(L206,'🙎‍♂️ Pasien'!G:V,12,FALSE),"")</f>
        <v>ISLAM</v>
      </c>
      <c r="Q206" s="104" t="str">
        <f>IFNA(VLOOKUP(L206:L1508,'🙎‍♂️ Pasien'!G:V,13,FALSE),"")</f>
        <v>SWASTA</v>
      </c>
      <c r="R206" s="104" t="str">
        <f t="array" ref="R206">ifna(xlookup(L206,'🙎‍♂️ Pasien'!$G$5:$G1508,'🙎‍♂️ Pasien'!$T$5:$T1508),"")</f>
        <v>CIDERA LUTUT SALAH TUMPUAN PAS MAIN BOLA</v>
      </c>
      <c r="S206" s="104" t="str">
        <f t="array" ref="S206">ifna(xlookup(L206,'🙎‍♂️ Pasien'!$G$5:$G1508,'🙎‍♂️ Pasien'!$U$5:$U1508),"")</f>
        <v>SEPAK BOLA</v>
      </c>
      <c r="T206" s="97" t="s">
        <v>59</v>
      </c>
      <c r="U206" s="105">
        <v>3.0</v>
      </c>
      <c r="V206" s="101"/>
      <c r="W206" s="106" t="b">
        <v>1</v>
      </c>
      <c r="X206" s="107"/>
      <c r="Y206" s="108"/>
    </row>
    <row r="207" ht="22.5" customHeight="1">
      <c r="A207" s="96"/>
      <c r="B207" s="97" t="s">
        <v>85</v>
      </c>
      <c r="C207" s="98" t="str">
        <f t="array" ref="C207">IFNA(XLOOKUP(J207,'⚙️ Pengaturan'!$H$5:$H1508,'⚙️ Pengaturan'!$I$5:$I1508),"")</f>
        <v>TIM A</v>
      </c>
      <c r="D207" s="97" t="s">
        <v>86</v>
      </c>
      <c r="E207" s="99">
        <v>45943.0</v>
      </c>
      <c r="F207" s="100" t="str">
        <f t="shared" si="1"/>
        <v>2025</v>
      </c>
      <c r="G207" s="100" t="str">
        <f t="shared" si="2"/>
        <v>10Okt</v>
      </c>
      <c r="H207" s="100" t="str">
        <f t="shared" si="3"/>
        <v>Senin</v>
      </c>
      <c r="I207" s="97" t="s">
        <v>97</v>
      </c>
      <c r="J207" s="97" t="s">
        <v>62</v>
      </c>
      <c r="K207" s="97" t="s">
        <v>57</v>
      </c>
      <c r="L207" s="101" t="s">
        <v>253</v>
      </c>
      <c r="M207" s="102" t="str">
        <f>IFNA(VLOOKUP(L207,'🙎‍♂️ Pasien'!G:V,2,FALSE),"")</f>
        <v>N5125073362</v>
      </c>
      <c r="N207" s="103">
        <f>IFNA(VLOOKUP(L207,'🙎‍♂️ Pasien'!G:L,3,FALSE),"")</f>
        <v>74</v>
      </c>
      <c r="O207" s="104" t="str">
        <f>IFNA(VLOOKUP(L207,'🙎‍♂️ Pasien'!G:V,6,FALSE),"")</f>
        <v>PEREMPUAN</v>
      </c>
      <c r="P207" s="104" t="str">
        <f>IFNA(VLOOKUP(L207,'🙎‍♂️ Pasien'!G:V,12,FALSE),"")</f>
        <v>ISLAM</v>
      </c>
      <c r="Q207" s="104" t="str">
        <f>IFNA(VLOOKUP(L207:L1508,'🙎‍♂️ Pasien'!G:V,13,FALSE),"")</f>
        <v>PENSIUNAN</v>
      </c>
      <c r="R207" s="104" t="str">
        <f t="array" ref="R207">ifna(xlookup(L207,'🙎‍♂️ Pasien'!$G$5:$G1508,'🙎‍♂️ Pasien'!$T$5:$T1508),"")</f>
        <v>SAKIT PADA LUTUT UNTUK JALAN</v>
      </c>
      <c r="S207" s="104" t="str">
        <f t="array" ref="S207">ifna(xlookup(L207,'🙎‍♂️ Pasien'!$G$5:$G1508,'🙎‍♂️ Pasien'!$U$5:$U1508),"")</f>
        <v>TIDAK ADA</v>
      </c>
      <c r="T207" s="97" t="s">
        <v>59</v>
      </c>
      <c r="U207" s="105" t="s">
        <v>60</v>
      </c>
      <c r="V207" s="101"/>
      <c r="W207" s="106" t="b">
        <v>1</v>
      </c>
      <c r="X207" s="107"/>
      <c r="Y207" s="108"/>
    </row>
    <row r="208" ht="22.5" customHeight="1">
      <c r="A208" s="96"/>
      <c r="B208" s="97" t="s">
        <v>85</v>
      </c>
      <c r="C208" s="98" t="str">
        <f t="array" ref="C208">IFNA(XLOOKUP(J208,'⚙️ Pengaturan'!$H$5:$H1508,'⚙️ Pengaturan'!$I$5:$I1508),"")</f>
        <v>TIM Y</v>
      </c>
      <c r="D208" s="97" t="s">
        <v>86</v>
      </c>
      <c r="E208" s="99">
        <v>45943.0</v>
      </c>
      <c r="F208" s="100" t="str">
        <f t="shared" si="1"/>
        <v>2025</v>
      </c>
      <c r="G208" s="100" t="str">
        <f t="shared" si="2"/>
        <v>10Okt</v>
      </c>
      <c r="H208" s="100" t="str">
        <f t="shared" si="3"/>
        <v>Senin</v>
      </c>
      <c r="I208" s="97" t="s">
        <v>99</v>
      </c>
      <c r="J208" s="97" t="s">
        <v>56</v>
      </c>
      <c r="K208" s="97" t="s">
        <v>63</v>
      </c>
      <c r="L208" s="101" t="s">
        <v>202</v>
      </c>
      <c r="M208" s="102" t="str">
        <f>IFNA(VLOOKUP(L208,'🙎‍♂️ Pasien'!G:V,2,FALSE),"")</f>
        <v>B9925104512</v>
      </c>
      <c r="N208" s="103">
        <f>IFNA(VLOOKUP(L208,'🙎‍♂️ Pasien'!G:L,3,FALSE),"")</f>
        <v>26</v>
      </c>
      <c r="O208" s="104" t="str">
        <f>IFNA(VLOOKUP(L208,'🙎‍♂️ Pasien'!G:V,6,FALSE),"")</f>
        <v>LAKI-LAKI</v>
      </c>
      <c r="P208" s="104" t="str">
        <f>IFNA(VLOOKUP(L208,'🙎‍♂️ Pasien'!G:V,12,FALSE),"")</f>
        <v>ISLAM</v>
      </c>
      <c r="Q208" s="104" t="str">
        <f>IFNA(VLOOKUP(L208:L1508,'🙎‍♂️ Pasien'!G:V,13,FALSE),"")</f>
        <v>SWASTA</v>
      </c>
      <c r="R208" s="104" t="str">
        <f t="array" ref="R208">ifna(xlookup(L208,'🙎‍♂️ Pasien'!$G$5:$G1508,'🙎‍♂️ Pasien'!$T$5:$T1508),"")</f>
        <v>CIDERA LUTUT SALAH TUMPUAN PAS MAIN BOLA</v>
      </c>
      <c r="S208" s="104" t="str">
        <f t="array" ref="S208">ifna(xlookup(L208,'🙎‍♂️ Pasien'!$G$5:$G1508,'🙎‍♂️ Pasien'!$U$5:$U1508),"")</f>
        <v>SEPAK BOLA</v>
      </c>
      <c r="T208" s="97" t="s">
        <v>59</v>
      </c>
      <c r="U208" s="105">
        <v>4.0</v>
      </c>
      <c r="V208" s="101"/>
      <c r="W208" s="106" t="b">
        <v>1</v>
      </c>
      <c r="X208" s="107"/>
      <c r="Y208" s="108"/>
    </row>
    <row r="209" ht="22.5" customHeight="1">
      <c r="A209" s="96"/>
      <c r="B209" s="97" t="s">
        <v>85</v>
      </c>
      <c r="C209" s="98" t="str">
        <f t="array" ref="C209">IFNA(XLOOKUP(J209,'⚙️ Pengaturan'!$H$5:$H1508,'⚙️ Pengaturan'!$I$5:$I1508),"")</f>
        <v>TIM A</v>
      </c>
      <c r="D209" s="97" t="s">
        <v>86</v>
      </c>
      <c r="E209" s="99">
        <v>45943.0</v>
      </c>
      <c r="F209" s="100" t="str">
        <f t="shared" si="1"/>
        <v>2025</v>
      </c>
      <c r="G209" s="100" t="str">
        <f t="shared" si="2"/>
        <v>10Okt</v>
      </c>
      <c r="H209" s="100" t="str">
        <f t="shared" si="3"/>
        <v>Senin</v>
      </c>
      <c r="I209" s="97" t="s">
        <v>99</v>
      </c>
      <c r="J209" s="97" t="s">
        <v>62</v>
      </c>
      <c r="K209" s="97" t="s">
        <v>57</v>
      </c>
      <c r="L209" s="101" t="s">
        <v>254</v>
      </c>
      <c r="M209" s="102" t="str">
        <f>IFNA(VLOOKUP(L209,'🙎‍♂️ Pasien'!G:V,2,FALSE),"")</f>
        <v>G0225101517</v>
      </c>
      <c r="N209" s="103">
        <f>IFNA(VLOOKUP(L209,'🙎‍♂️ Pasien'!G:L,3,FALSE),"")</f>
        <v>24</v>
      </c>
      <c r="O209" s="104" t="str">
        <f>IFNA(VLOOKUP(L209,'🙎‍♂️ Pasien'!G:V,6,FALSE),"")</f>
        <v>LAKI-LAKI</v>
      </c>
      <c r="P209" s="104" t="str">
        <f>IFNA(VLOOKUP(L209,'🙎‍♂️ Pasien'!G:V,12,FALSE),"")</f>
        <v>KATOLIK</v>
      </c>
      <c r="Q209" s="104" t="str">
        <f>IFNA(VLOOKUP(L209:L1508,'🙎‍♂️ Pasien'!G:V,13,FALSE),"")</f>
        <v>MAHASISWA</v>
      </c>
      <c r="R209" s="104" t="str">
        <f t="array" ref="R209">ifna(xlookup(L209,'🙎‍♂️ Pasien'!$G$5:$G1508,'🙎‍♂️ Pasien'!$T$5:$T1508),"")</f>
        <v>NYERI PADA LUTUT BAGIAN LUAR</v>
      </c>
      <c r="S209" s="104" t="str">
        <f t="array" ref="S209">ifna(xlookup(L209,'🙎‍♂️ Pasien'!$G$5:$G1508,'🙎‍♂️ Pasien'!$U$5:$U1508),"")</f>
        <v>LARI, MINI SOCCER, GYM</v>
      </c>
      <c r="T209" s="97" t="s">
        <v>59</v>
      </c>
      <c r="U209" s="105" t="s">
        <v>60</v>
      </c>
      <c r="V209" s="101"/>
      <c r="W209" s="106" t="b">
        <v>1</v>
      </c>
      <c r="X209" s="107"/>
      <c r="Y209" s="108"/>
    </row>
    <row r="210" ht="22.5" customHeight="1">
      <c r="A210" s="96"/>
      <c r="B210" s="97" t="s">
        <v>85</v>
      </c>
      <c r="C210" s="98" t="str">
        <f t="array" ref="C210">IFNA(XLOOKUP(J210,'⚙️ Pengaturan'!$H$5:$H1508,'⚙️ Pengaturan'!$I$5:$I1508),"")</f>
        <v>TIM A</v>
      </c>
      <c r="D210" s="97" t="s">
        <v>86</v>
      </c>
      <c r="E210" s="99">
        <v>45943.0</v>
      </c>
      <c r="F210" s="100" t="str">
        <f t="shared" si="1"/>
        <v>2025</v>
      </c>
      <c r="G210" s="100" t="str">
        <f t="shared" si="2"/>
        <v>10Okt</v>
      </c>
      <c r="H210" s="100" t="str">
        <f t="shared" si="3"/>
        <v>Senin</v>
      </c>
      <c r="I210" s="97" t="s">
        <v>99</v>
      </c>
      <c r="J210" s="97" t="s">
        <v>72</v>
      </c>
      <c r="K210" s="97" t="s">
        <v>69</v>
      </c>
      <c r="L210" s="101" t="s">
        <v>229</v>
      </c>
      <c r="M210" s="102" t="str">
        <f>IFNA(VLOOKUP(L210,'🙎‍♂️ Pasien'!G:V,2,FALSE),"")</f>
        <v>T7524104338</v>
      </c>
      <c r="N210" s="103">
        <f>IFNA(VLOOKUP(L210,'🙎‍♂️ Pasien'!G:L,3,FALSE),"")</f>
        <v>51</v>
      </c>
      <c r="O210" s="104" t="str">
        <f>IFNA(VLOOKUP(L210,'🙎‍♂️ Pasien'!G:V,6,FALSE),"")</f>
        <v>PEREMPUAN</v>
      </c>
      <c r="P210" s="104" t="str">
        <f>IFNA(VLOOKUP(L210,'🙎‍♂️ Pasien'!G:V,12,FALSE),"")</f>
        <v>PROTESTAN</v>
      </c>
      <c r="Q210" s="104" t="str">
        <f>IFNA(VLOOKUP(L210:L1508,'🙎‍♂️ Pasien'!G:V,13,FALSE),"")</f>
        <v>RUMAH TANGGA</v>
      </c>
      <c r="R210" s="104" t="str">
        <f t="array" ref="R210">ifna(xlookup(L210,'🙎‍♂️ Pasien'!$G$5:$G1508,'🙎‍♂️ Pasien'!$T$5:$T1508),"")</f>
        <v>Sakit kaki</v>
      </c>
      <c r="S210" s="104" t="str">
        <f t="array" ref="S210">ifna(xlookup(L210,'🙎‍♂️ Pasien'!$G$5:$G1508,'🙎‍♂️ Pasien'!$U$5:$U1508),"")</f>
        <v>Olahraga</v>
      </c>
      <c r="T210" s="97" t="s">
        <v>67</v>
      </c>
      <c r="U210" s="105" t="s">
        <v>60</v>
      </c>
      <c r="V210" s="101" t="s">
        <v>255</v>
      </c>
      <c r="W210" s="106" t="b">
        <v>1</v>
      </c>
      <c r="X210" s="107"/>
      <c r="Y210" s="108"/>
    </row>
    <row r="211" ht="22.5" customHeight="1">
      <c r="A211" s="96"/>
      <c r="B211" s="97" t="s">
        <v>53</v>
      </c>
      <c r="C211" s="98" t="str">
        <f t="array" ref="C211">IFNA(XLOOKUP(J211,'⚙️ Pengaturan'!$H$5:$H1508,'⚙️ Pengaturan'!$I$5:$I1508),"")</f>
        <v>TIM A</v>
      </c>
      <c r="D211" s="97" t="s">
        <v>86</v>
      </c>
      <c r="E211" s="99">
        <v>45944.0</v>
      </c>
      <c r="F211" s="100" t="str">
        <f t="shared" si="1"/>
        <v>2025</v>
      </c>
      <c r="G211" s="100" t="str">
        <f t="shared" si="2"/>
        <v>10Okt</v>
      </c>
      <c r="H211" s="100" t="str">
        <f t="shared" si="3"/>
        <v>Selasa</v>
      </c>
      <c r="I211" s="97" t="s">
        <v>55</v>
      </c>
      <c r="J211" s="97" t="s">
        <v>62</v>
      </c>
      <c r="K211" s="97" t="s">
        <v>63</v>
      </c>
      <c r="L211" s="101" t="s">
        <v>174</v>
      </c>
      <c r="M211" s="102" t="str">
        <f>IFNA(VLOOKUP(L211,'🙎‍♂️ Pasien'!G:V,2,FALSE),"")</f>
        <v>F6925098775</v>
      </c>
      <c r="N211" s="103">
        <f>IFNA(VLOOKUP(L211,'🙎‍♂️ Pasien'!G:L,3,FALSE),"")</f>
        <v>56</v>
      </c>
      <c r="O211" s="104" t="str">
        <f>IFNA(VLOOKUP(L211,'🙎‍♂️ Pasien'!G:V,6,FALSE),"")</f>
        <v>PEREMPUAN</v>
      </c>
      <c r="P211" s="104" t="str">
        <f>IFNA(VLOOKUP(L211,'🙎‍♂️ Pasien'!G:V,12,FALSE),"")</f>
        <v>BUDDHA</v>
      </c>
      <c r="Q211" s="104" t="str">
        <f>IFNA(VLOOKUP(L211:L1508,'🙎‍♂️ Pasien'!G:V,13,FALSE),"")</f>
        <v>IRT</v>
      </c>
      <c r="R211" s="104" t="str">
        <f t="array" ref="R211">ifna(xlookup(L211,'🙎‍♂️ Pasien'!$G$5:$G1508,'🙎‍♂️ Pasien'!$T$5:$T1508),"")</f>
        <v>LUTUT (POST OP TKR)</v>
      </c>
      <c r="S211" s="104" t="str">
        <f t="array" ref="S211">ifna(xlookup(L211,'🙎‍♂️ Pasien'!$G$5:$G1508,'🙎‍♂️ Pasien'!$U$5:$U1508),"")</f>
        <v>PEKERJAAAN RUMAH TANGGA</v>
      </c>
      <c r="T211" s="97" t="s">
        <v>59</v>
      </c>
      <c r="U211" s="105">
        <v>2.0</v>
      </c>
      <c r="V211" s="101"/>
      <c r="W211" s="106" t="b">
        <v>1</v>
      </c>
      <c r="X211" s="107"/>
      <c r="Y211" s="108"/>
    </row>
    <row r="212" ht="22.5" customHeight="1">
      <c r="A212" s="96"/>
      <c r="B212" s="97" t="s">
        <v>53</v>
      </c>
      <c r="C212" s="98" t="str">
        <f t="array" ref="C212">IFNA(XLOOKUP(J212,'⚙️ Pengaturan'!$H$5:$H1508,'⚙️ Pengaturan'!$I$5:$I1508),"")</f>
        <v>TIM A</v>
      </c>
      <c r="D212" s="97" t="s">
        <v>86</v>
      </c>
      <c r="E212" s="99">
        <v>45944.0</v>
      </c>
      <c r="F212" s="100" t="str">
        <f t="shared" si="1"/>
        <v>2025</v>
      </c>
      <c r="G212" s="100" t="str">
        <f t="shared" si="2"/>
        <v>10Okt</v>
      </c>
      <c r="H212" s="100" t="str">
        <f t="shared" si="3"/>
        <v>Selasa</v>
      </c>
      <c r="I212" s="97" t="s">
        <v>65</v>
      </c>
      <c r="J212" s="97" t="s">
        <v>79</v>
      </c>
      <c r="K212" s="97" t="s">
        <v>63</v>
      </c>
      <c r="L212" s="101" t="s">
        <v>80</v>
      </c>
      <c r="M212" s="102" t="str">
        <f>IFNA(VLOOKUP(L212,'🙎‍♂️ Pasien'!G:V,2,FALSE),"")</f>
        <v>L8725094767</v>
      </c>
      <c r="N212" s="103">
        <f>IFNA(VLOOKUP(L212,'🙎‍♂️ Pasien'!G:L,3,FALSE),"")</f>
        <v>38</v>
      </c>
      <c r="O212" s="104" t="str">
        <f>IFNA(VLOOKUP(L212,'🙎‍♂️ Pasien'!G:V,6,FALSE),"")</f>
        <v>PEREMPUAN</v>
      </c>
      <c r="P212" s="104" t="str">
        <f>IFNA(VLOOKUP(L212,'🙎‍♂️ Pasien'!G:V,12,FALSE),"")</f>
        <v>KATOLIK</v>
      </c>
      <c r="Q212" s="104" t="str">
        <f>IFNA(VLOOKUP(L212:L1508,'🙎‍♂️ Pasien'!G:V,13,FALSE),"")</f>
        <v>IBU RUMAH TANGGA</v>
      </c>
      <c r="R212" s="104" t="str">
        <f t="array" ref="R212">ifna(xlookup(L212,'🙎‍♂️ Pasien'!$G$5:$G1508,'🙎‍♂️ Pasien'!$T$5:$T1508),"")</f>
        <v>NYERI LEHER</v>
      </c>
      <c r="S212" s="104" t="str">
        <f t="array" ref="S212">ifna(xlookup(L212,'🙎‍♂️ Pasien'!$G$5:$G1508,'🙎‍♂️ Pasien'!$U$5:$U1508),"")</f>
        <v>KURANG GERAK</v>
      </c>
      <c r="T212" s="97" t="s">
        <v>59</v>
      </c>
      <c r="U212" s="105">
        <v>3.0</v>
      </c>
      <c r="V212" s="101"/>
      <c r="W212" s="106" t="b">
        <v>1</v>
      </c>
      <c r="X212" s="107"/>
      <c r="Y212" s="108"/>
    </row>
    <row r="213" ht="22.5" customHeight="1">
      <c r="A213" s="96"/>
      <c r="B213" s="97" t="s">
        <v>53</v>
      </c>
      <c r="C213" s="98" t="str">
        <f t="array" ref="C213">IFNA(XLOOKUP(J213,'⚙️ Pengaturan'!$H$5:$H1508,'⚙️ Pengaturan'!$I$5:$I1508),"")</f>
        <v>TIM A</v>
      </c>
      <c r="D213" s="97" t="s">
        <v>86</v>
      </c>
      <c r="E213" s="99">
        <v>45944.0</v>
      </c>
      <c r="F213" s="100" t="str">
        <f t="shared" si="1"/>
        <v>2025</v>
      </c>
      <c r="G213" s="100" t="str">
        <f t="shared" si="2"/>
        <v>10Okt</v>
      </c>
      <c r="H213" s="100" t="str">
        <f t="shared" si="3"/>
        <v>Selasa</v>
      </c>
      <c r="I213" s="97" t="s">
        <v>74</v>
      </c>
      <c r="J213" s="97" t="s">
        <v>79</v>
      </c>
      <c r="K213" s="97" t="s">
        <v>63</v>
      </c>
      <c r="L213" s="101" t="s">
        <v>216</v>
      </c>
      <c r="M213" s="102" t="str">
        <f>IFNA(VLOOKUP(L213,'🙎‍♂️ Pasien'!G:V,2,FALSE),"")</f>
        <v>R7825108100</v>
      </c>
      <c r="N213" s="103">
        <f>IFNA(VLOOKUP(L213,'🙎‍♂️ Pasien'!G:L,3,FALSE),"")</f>
        <v>48</v>
      </c>
      <c r="O213" s="104" t="str">
        <f>IFNA(VLOOKUP(L213,'🙎‍♂️ Pasien'!G:V,6,FALSE),"")</f>
        <v>PEREMPUAN</v>
      </c>
      <c r="P213" s="104" t="str">
        <f>IFNA(VLOOKUP(L213,'🙎‍♂️ Pasien'!G:V,12,FALSE),"")</f>
        <v>ISLAM</v>
      </c>
      <c r="Q213" s="104" t="str">
        <f>IFNA(VLOOKUP(L213:L1508,'🙎‍♂️ Pasien'!G:V,13,FALSE),"")</f>
        <v>PNS</v>
      </c>
      <c r="R213" s="104" t="str">
        <f t="array" ref="R213">ifna(xlookup(L213,'🙎‍♂️ Pasien'!$G$5:$G1508,'🙎‍♂️ Pasien'!$T$5:$T1508),"")</f>
        <v>LUTUT KANAN</v>
      </c>
      <c r="S213" s="104" t="str">
        <f t="array" ref="S213">ifna(xlookup(L213,'🙎‍♂️ Pasien'!$G$5:$G1508,'🙎‍♂️ Pasien'!$U$5:$U1508),"")</f>
        <v>OLAHRAGA LARI</v>
      </c>
      <c r="T213" s="97" t="s">
        <v>59</v>
      </c>
      <c r="U213" s="105">
        <v>2.0</v>
      </c>
      <c r="V213" s="101"/>
      <c r="W213" s="106" t="b">
        <v>1</v>
      </c>
      <c r="X213" s="107"/>
      <c r="Y213" s="108"/>
    </row>
    <row r="214" ht="22.5" customHeight="1">
      <c r="A214" s="96"/>
      <c r="B214" s="97" t="s">
        <v>53</v>
      </c>
      <c r="C214" s="98" t="str">
        <f t="array" ref="C214">IFNA(XLOOKUP(J214,'⚙️ Pengaturan'!$H$5:$H1508,'⚙️ Pengaturan'!$I$5:$I1508),"")</f>
        <v>TIM A</v>
      </c>
      <c r="D214" s="97" t="s">
        <v>86</v>
      </c>
      <c r="E214" s="99">
        <v>45944.0</v>
      </c>
      <c r="F214" s="100" t="str">
        <f t="shared" si="1"/>
        <v>2025</v>
      </c>
      <c r="G214" s="100" t="str">
        <f t="shared" si="2"/>
        <v>10Okt</v>
      </c>
      <c r="H214" s="100" t="str">
        <f t="shared" si="3"/>
        <v>Selasa</v>
      </c>
      <c r="I214" s="97" t="s">
        <v>83</v>
      </c>
      <c r="J214" s="97" t="s">
        <v>72</v>
      </c>
      <c r="K214" s="97" t="s">
        <v>69</v>
      </c>
      <c r="L214" s="101" t="s">
        <v>227</v>
      </c>
      <c r="M214" s="102" t="str">
        <f>IFNA(VLOOKUP(L214,'🙎‍♂️ Pasien'!G:V,2,FALSE),"")</f>
        <v>A9323069998</v>
      </c>
      <c r="N214" s="103">
        <f>IFNA(VLOOKUP(L214,'🙎‍♂️ Pasien'!G:L,3,FALSE),"")</f>
        <v>33</v>
      </c>
      <c r="O214" s="104" t="str">
        <f>IFNA(VLOOKUP(L214,'🙎‍♂️ Pasien'!G:V,6,FALSE),"")</f>
        <v>LAKI-LAKI</v>
      </c>
      <c r="P214" s="104" t="str">
        <f>IFNA(VLOOKUP(L214,'🙎‍♂️ Pasien'!G:V,12,FALSE),"")</f>
        <v>KHONGHUCU</v>
      </c>
      <c r="Q214" s="104" t="str">
        <f>IFNA(VLOOKUP(L214:L1508,'🙎‍♂️ Pasien'!G:V,13,FALSE),"")</f>
        <v>WIRASWASTA</v>
      </c>
      <c r="R214" s="104" t="str">
        <f t="array" ref="R214">ifna(xlookup(L214,'🙎‍♂️ Pasien'!$G$5:$G1508,'🙎‍♂️ Pasien'!$T$5:$T1508),"")</f>
        <v>ANGKLE PERGELANGAN TANGAN KANAN</v>
      </c>
      <c r="S214" s="104" t="str">
        <f t="array" ref="S214">ifna(xlookup(L214,'🙎‍♂️ Pasien'!$G$5:$G1508,'🙎‍♂️ Pasien'!$U$5:$U1508),"")</f>
        <v>BADMINTON</v>
      </c>
      <c r="T214" s="97" t="s">
        <v>59</v>
      </c>
      <c r="U214" s="105" t="s">
        <v>60</v>
      </c>
      <c r="V214" s="101"/>
      <c r="W214" s="106" t="b">
        <v>1</v>
      </c>
      <c r="X214" s="107"/>
      <c r="Y214" s="108"/>
    </row>
    <row r="215" ht="22.5" customHeight="1">
      <c r="A215" s="96"/>
      <c r="B215" s="97" t="s">
        <v>53</v>
      </c>
      <c r="C215" s="98" t="str">
        <f t="array" ref="C215">IFNA(XLOOKUP(J215,'⚙️ Pengaturan'!$H$5:$H1508,'⚙️ Pengaturan'!$I$5:$I1508),"")</f>
        <v>TIM Y</v>
      </c>
      <c r="D215" s="97" t="s">
        <v>86</v>
      </c>
      <c r="E215" s="99">
        <v>45944.0</v>
      </c>
      <c r="F215" s="100" t="str">
        <f t="shared" si="1"/>
        <v>2025</v>
      </c>
      <c r="G215" s="100" t="str">
        <f t="shared" si="2"/>
        <v>10Okt</v>
      </c>
      <c r="H215" s="100" t="str">
        <f t="shared" si="3"/>
        <v>Selasa</v>
      </c>
      <c r="I215" s="97" t="s">
        <v>83</v>
      </c>
      <c r="J215" s="97" t="s">
        <v>56</v>
      </c>
      <c r="K215" s="97" t="s">
        <v>63</v>
      </c>
      <c r="L215" s="101" t="s">
        <v>116</v>
      </c>
      <c r="M215" s="102" t="str">
        <f>IFNA(VLOOKUP(L215,'🙎‍♂️ Pasien'!G:V,2,FALSE),"")</f>
        <v>H7825098625</v>
      </c>
      <c r="N215" s="103">
        <f>IFNA(VLOOKUP(L215,'🙎‍♂️ Pasien'!G:L,3,FALSE),"")</f>
        <v>47</v>
      </c>
      <c r="O215" s="104" t="str">
        <f>IFNA(VLOOKUP(L215,'🙎‍♂️ Pasien'!G:V,6,FALSE),"")</f>
        <v>LAKI-LAKI</v>
      </c>
      <c r="P215" s="104" t="str">
        <f>IFNA(VLOOKUP(L215,'🙎‍♂️ Pasien'!G:V,12,FALSE),"")</f>
        <v>KHONGHUCU</v>
      </c>
      <c r="Q215" s="104" t="str">
        <f>IFNA(VLOOKUP(L215:L1508,'🙎‍♂️ Pasien'!G:V,13,FALSE),"")</f>
        <v>WIRASWASTA</v>
      </c>
      <c r="R215" s="104" t="str">
        <f t="array" ref="R215">ifna(xlookup(L215,'🙎‍♂️ Pasien'!$G$5:$G1508,'🙎‍♂️ Pasien'!$T$5:$T1508),"")</f>
        <v>SIANTAN</v>
      </c>
      <c r="S215" s="104" t="str">
        <f t="array" ref="S215">ifna(xlookup(L215,'🙎‍♂️ Pasien'!$G$5:$G1508,'🙎‍♂️ Pasien'!$U$5:$U1508),"")</f>
        <v>GYM</v>
      </c>
      <c r="T215" s="97" t="s">
        <v>59</v>
      </c>
      <c r="U215" s="105">
        <v>5.0</v>
      </c>
      <c r="V215" s="101" t="s">
        <v>125</v>
      </c>
      <c r="W215" s="106" t="b">
        <v>1</v>
      </c>
      <c r="X215" s="107"/>
      <c r="Y215" s="108"/>
    </row>
    <row r="216" ht="22.5" customHeight="1">
      <c r="A216" s="96"/>
      <c r="B216" s="97" t="s">
        <v>85</v>
      </c>
      <c r="C216" s="98" t="str">
        <f t="array" ref="C216">IFNA(XLOOKUP(J216,'⚙️ Pengaturan'!$H$5:$H1508,'⚙️ Pengaturan'!$I$5:$I1508),"")</f>
        <v>TIM Y</v>
      </c>
      <c r="D216" s="97" t="s">
        <v>54</v>
      </c>
      <c r="E216" s="99">
        <v>45944.0</v>
      </c>
      <c r="F216" s="100" t="str">
        <f t="shared" si="1"/>
        <v>2025</v>
      </c>
      <c r="G216" s="100" t="str">
        <f t="shared" si="2"/>
        <v>10Okt</v>
      </c>
      <c r="H216" s="100" t="str">
        <f t="shared" si="3"/>
        <v>Selasa</v>
      </c>
      <c r="I216" s="97" t="s">
        <v>87</v>
      </c>
      <c r="J216" s="97" t="s">
        <v>88</v>
      </c>
      <c r="K216" s="97" t="s">
        <v>63</v>
      </c>
      <c r="L216" s="101" t="s">
        <v>209</v>
      </c>
      <c r="M216" s="102" t="str">
        <f>IFNA(VLOOKUP(L216,'🙎‍♂️ Pasien'!G:V,2,FALSE),"")</f>
        <v>M6825090</v>
      </c>
      <c r="N216" s="103">
        <f>IFNA(VLOOKUP(L216,'🙎‍♂️ Pasien'!G:L,3,FALSE),"")</f>
        <v>57</v>
      </c>
      <c r="O216" s="104" t="str">
        <f>IFNA(VLOOKUP(L216,'🙎‍♂️ Pasien'!G:V,6,FALSE),"")</f>
        <v>LAKI-LAKI</v>
      </c>
      <c r="P216" s="104" t="str">
        <f>IFNA(VLOOKUP(L216,'🙎‍♂️ Pasien'!G:V,12,FALSE),"")</f>
        <v>BUDDHA</v>
      </c>
      <c r="Q216" s="104" t="str">
        <f>IFNA(VLOOKUP(L216:L1508,'🙎‍♂️ Pasien'!G:V,13,FALSE),"")</f>
        <v>WIRASWASTA</v>
      </c>
      <c r="R216" s="104" t="str">
        <f t="array" ref="R216">ifna(xlookup(L216,'🙎‍♂️ Pasien'!$G$5:$G1508,'🙎‍♂️ Pasien'!$T$5:$T1508),"")</f>
        <v>LUTUT</v>
      </c>
      <c r="S216" s="104" t="str">
        <f t="array" ref="S216">ifna(xlookup(L216,'🙎‍♂️ Pasien'!$G$5:$G1508,'🙎‍♂️ Pasien'!$U$5:$U1508),"")</f>
        <v>-</v>
      </c>
      <c r="T216" s="97" t="s">
        <v>59</v>
      </c>
      <c r="U216" s="105">
        <v>1.0</v>
      </c>
      <c r="V216" s="101" t="s">
        <v>256</v>
      </c>
      <c r="W216" s="106" t="b">
        <v>1</v>
      </c>
      <c r="X216" s="107"/>
      <c r="Y216" s="108"/>
    </row>
    <row r="217" ht="22.5" customHeight="1">
      <c r="A217" s="96"/>
      <c r="B217" s="97" t="s">
        <v>85</v>
      </c>
      <c r="C217" s="98" t="str">
        <f t="array" ref="C217">IFNA(XLOOKUP(J217,'⚙️ Pengaturan'!$H$5:$H1508,'⚙️ Pengaturan'!$I$5:$I1508),"")</f>
        <v>TIM Y</v>
      </c>
      <c r="D217" s="97" t="s">
        <v>54</v>
      </c>
      <c r="E217" s="99">
        <v>45944.0</v>
      </c>
      <c r="F217" s="100" t="str">
        <f t="shared" si="1"/>
        <v>2025</v>
      </c>
      <c r="G217" s="100" t="str">
        <f t="shared" si="2"/>
        <v>10Okt</v>
      </c>
      <c r="H217" s="100" t="str">
        <f t="shared" si="3"/>
        <v>Selasa</v>
      </c>
      <c r="I217" s="97" t="s">
        <v>93</v>
      </c>
      <c r="J217" s="97" t="s">
        <v>107</v>
      </c>
      <c r="K217" s="97" t="s">
        <v>57</v>
      </c>
      <c r="L217" s="101" t="s">
        <v>257</v>
      </c>
      <c r="M217" s="102" t="str">
        <f>IFNA(VLOOKUP(L217,'🙎‍♂️ Pasien'!G:V,2,FALSE),"")</f>
        <v>A1025102304</v>
      </c>
      <c r="N217" s="103">
        <f>IFNA(VLOOKUP(L217,'🙎‍♂️ Pasien'!G:L,3,FALSE),"")</f>
        <v>16</v>
      </c>
      <c r="O217" s="104" t="str">
        <f>IFNA(VLOOKUP(L217,'🙎‍♂️ Pasien'!G:V,6,FALSE),"")</f>
        <v>LAKI-LAKI</v>
      </c>
      <c r="P217" s="104" t="str">
        <f>IFNA(VLOOKUP(L217,'🙎‍♂️ Pasien'!G:V,12,FALSE),"")</f>
        <v>PROTESTAN</v>
      </c>
      <c r="Q217" s="104" t="str">
        <f>IFNA(VLOOKUP(L217:L1508,'🙎‍♂️ Pasien'!G:V,13,FALSE),"")</f>
        <v>PELAJAR</v>
      </c>
      <c r="R217" s="104" t="str">
        <f t="array" ref="R217">ifna(xlookup(L217,'🙎‍♂️ Pasien'!$G$5:$G1508,'🙎‍♂️ Pasien'!$T$5:$T1508),"")</f>
        <v>NYERI SENDI KAKI</v>
      </c>
      <c r="S217" s="104" t="str">
        <f t="array" ref="S217">ifna(xlookup(L217,'🙎‍♂️ Pasien'!$G$5:$G1508,'🙎‍♂️ Pasien'!$U$5:$U1508),"")</f>
        <v>OLAHRAGA, NAIK TURUN TANGGA</v>
      </c>
      <c r="T217" s="97" t="s">
        <v>59</v>
      </c>
      <c r="U217" s="105" t="s">
        <v>60</v>
      </c>
      <c r="V217" s="101"/>
      <c r="W217" s="106" t="b">
        <v>1</v>
      </c>
      <c r="X217" s="107"/>
      <c r="Y217" s="108"/>
    </row>
    <row r="218" ht="22.5" customHeight="1">
      <c r="A218" s="96"/>
      <c r="B218" s="97" t="s">
        <v>85</v>
      </c>
      <c r="C218" s="98" t="str">
        <f t="array" ref="C218">IFNA(XLOOKUP(J218,'⚙️ Pengaturan'!$H$5:$H1508,'⚙️ Pengaturan'!$I$5:$I1508),"")</f>
        <v>TIM Y</v>
      </c>
      <c r="D218" s="97" t="s">
        <v>54</v>
      </c>
      <c r="E218" s="99">
        <v>45944.0</v>
      </c>
      <c r="F218" s="100" t="str">
        <f t="shared" si="1"/>
        <v>2025</v>
      </c>
      <c r="G218" s="100" t="str">
        <f t="shared" si="2"/>
        <v>10Okt</v>
      </c>
      <c r="H218" s="100" t="str">
        <f t="shared" si="3"/>
        <v>Selasa</v>
      </c>
      <c r="I218" s="97" t="s">
        <v>93</v>
      </c>
      <c r="J218" s="97" t="s">
        <v>91</v>
      </c>
      <c r="K218" s="97" t="s">
        <v>63</v>
      </c>
      <c r="L218" s="101" t="s">
        <v>169</v>
      </c>
      <c r="M218" s="102" t="str">
        <f>IFNA(VLOOKUP(L218,'🙎‍♂️ Pasien'!G:V,2,FALSE),"")</f>
        <v>N9025080662</v>
      </c>
      <c r="N218" s="103">
        <f>IFNA(VLOOKUP(L218,'🙎‍♂️ Pasien'!G:L,3,FALSE),"")</f>
        <v>35</v>
      </c>
      <c r="O218" s="104" t="str">
        <f>IFNA(VLOOKUP(L218,'🙎‍♂️ Pasien'!G:V,6,FALSE),"")</f>
        <v>PEREMPUAN</v>
      </c>
      <c r="P218" s="104" t="str">
        <f>IFNA(VLOOKUP(L218,'🙎‍♂️ Pasien'!G:V,12,FALSE),"")</f>
        <v>ISLAM</v>
      </c>
      <c r="Q218" s="104" t="str">
        <f>IFNA(VLOOKUP(L218:L1508,'🙎‍♂️ Pasien'!G:V,13,FALSE),"")</f>
        <v>PNS</v>
      </c>
      <c r="R218" s="104" t="str">
        <f t="array" ref="R218">ifna(xlookup(L218,'🙎‍♂️ Pasien'!$G$5:$G1508,'🙎‍♂️ Pasien'!$T$5:$T1508),"")</f>
        <v>LUTUT SAKIT</v>
      </c>
      <c r="S218" s="104" t="str">
        <f t="array" ref="S218">ifna(xlookup(L218,'🙎‍♂️ Pasien'!$G$5:$G1508,'🙎‍♂️ Pasien'!$U$5:$U1508),"")</f>
        <v>DUDUK SEHARIAN</v>
      </c>
      <c r="T218" s="97" t="s">
        <v>59</v>
      </c>
      <c r="U218" s="105">
        <v>4.0</v>
      </c>
      <c r="V218" s="101"/>
      <c r="W218" s="106" t="b">
        <v>1</v>
      </c>
      <c r="X218" s="107"/>
      <c r="Y218" s="108"/>
    </row>
    <row r="219" ht="22.5" customHeight="1">
      <c r="A219" s="96"/>
      <c r="B219" s="97" t="s">
        <v>85</v>
      </c>
      <c r="C219" s="98" t="str">
        <f t="array" ref="C219">IFNA(XLOOKUP(J219,'⚙️ Pengaturan'!$H$5:$H1508,'⚙️ Pengaturan'!$I$5:$I1508),"")</f>
        <v>TIM Y</v>
      </c>
      <c r="D219" s="97" t="s">
        <v>54</v>
      </c>
      <c r="E219" s="99">
        <v>45944.0</v>
      </c>
      <c r="F219" s="100" t="str">
        <f t="shared" si="1"/>
        <v>2025</v>
      </c>
      <c r="G219" s="100" t="str">
        <f t="shared" si="2"/>
        <v>10Okt</v>
      </c>
      <c r="H219" s="100" t="str">
        <f t="shared" si="3"/>
        <v>Selasa</v>
      </c>
      <c r="I219" s="97" t="s">
        <v>95</v>
      </c>
      <c r="J219" s="97" t="s">
        <v>88</v>
      </c>
      <c r="K219" s="97" t="s">
        <v>63</v>
      </c>
      <c r="L219" s="101" t="s">
        <v>239</v>
      </c>
      <c r="M219" s="102" t="str">
        <f>IFNA(VLOOKUP(L219,'🙎‍♂️ Pasien'!G:V,2,FALSE),"")</f>
        <v>A0623071437</v>
      </c>
      <c r="N219" s="103">
        <f>IFNA(VLOOKUP(L219,'🙎‍♂️ Pasien'!G:L,3,FALSE),"")</f>
        <v>20</v>
      </c>
      <c r="O219" s="104" t="str">
        <f>IFNA(VLOOKUP(L219,'🙎‍♂️ Pasien'!G:V,6,FALSE),"")</f>
        <v>LAKI-LAKI</v>
      </c>
      <c r="P219" s="104" t="str">
        <f>IFNA(VLOOKUP(L219,'🙎‍♂️ Pasien'!G:V,12,FALSE),"")</f>
        <v>ISLAM</v>
      </c>
      <c r="Q219" s="104" t="str">
        <f>IFNA(VLOOKUP(L219:L1508,'🙎‍♂️ Pasien'!G:V,13,FALSE),"")</f>
        <v>PELAJAR/MAHASISWA</v>
      </c>
      <c r="R219" s="104" t="str">
        <f t="array" ref="R219">ifna(xlookup(L219,'🙎‍♂️ Pasien'!$G$5:$G1508,'🙎‍♂️ Pasien'!$T$5:$T1508),"")</f>
        <v>Cedera Engkel Di Kaki</v>
      </c>
      <c r="S219" s="104" t="str">
        <f t="array" ref="S219">ifna(xlookup(L219,'🙎‍♂️ Pasien'!$G$5:$G1508,'🙎‍♂️ Pasien'!$U$5:$U1508),"")</f>
        <v>BERMAIN FUTSAL</v>
      </c>
      <c r="T219" s="97" t="s">
        <v>59</v>
      </c>
      <c r="U219" s="105">
        <v>1.0</v>
      </c>
      <c r="V219" s="101"/>
      <c r="W219" s="106" t="b">
        <v>1</v>
      </c>
      <c r="X219" s="107"/>
      <c r="Y219" s="108"/>
    </row>
    <row r="220" ht="22.5" customHeight="1">
      <c r="A220" s="96"/>
      <c r="B220" s="97" t="s">
        <v>85</v>
      </c>
      <c r="C220" s="98" t="str">
        <f t="array" ref="C220">IFNA(XLOOKUP(J220,'⚙️ Pengaturan'!$H$5:$H1508,'⚙️ Pengaturan'!$I$5:$I1508),"")</f>
        <v>TIM Y</v>
      </c>
      <c r="D220" s="97" t="s">
        <v>54</v>
      </c>
      <c r="E220" s="99">
        <v>45944.0</v>
      </c>
      <c r="F220" s="100" t="str">
        <f t="shared" si="1"/>
        <v>2025</v>
      </c>
      <c r="G220" s="100" t="str">
        <f t="shared" si="2"/>
        <v>10Okt</v>
      </c>
      <c r="H220" s="100" t="str">
        <f t="shared" si="3"/>
        <v>Selasa</v>
      </c>
      <c r="I220" s="97" t="s">
        <v>97</v>
      </c>
      <c r="J220" s="97" t="s">
        <v>88</v>
      </c>
      <c r="K220" s="97" t="s">
        <v>63</v>
      </c>
      <c r="L220" s="101" t="s">
        <v>190</v>
      </c>
      <c r="M220" s="102" t="str">
        <f>IFNA(VLOOKUP(L220,'🙎‍♂️ Pasien'!G:V,2,FALSE),"")</f>
        <v>A9025108786</v>
      </c>
      <c r="N220" s="103">
        <f>IFNA(VLOOKUP(L220,'🙎‍♂️ Pasien'!G:L,3,FALSE),"")</f>
        <v>35</v>
      </c>
      <c r="O220" s="104" t="str">
        <f>IFNA(VLOOKUP(L220,'🙎‍♂️ Pasien'!G:V,6,FALSE),"")</f>
        <v>LAKI-LAKI</v>
      </c>
      <c r="P220" s="104" t="str">
        <f>IFNA(VLOOKUP(L220,'🙎‍♂️ Pasien'!G:V,12,FALSE),"")</f>
        <v>ISLAM</v>
      </c>
      <c r="Q220" s="104" t="str">
        <f>IFNA(VLOOKUP(L220:L1508,'🙎‍♂️ Pasien'!G:V,13,FALSE),"")</f>
        <v>WIRASWASTA</v>
      </c>
      <c r="R220" s="104" t="str">
        <f t="array" ref="R220">ifna(xlookup(L220,'🙎‍♂️ Pasien'!$G$5:$G1508,'🙎‍♂️ Pasien'!$T$5:$T1508),"")</f>
        <v>KESELEO PADA BAGIAN LUTUT</v>
      </c>
      <c r="S220" s="104" t="str">
        <f t="array" ref="S220">ifna(xlookup(L220,'🙎‍♂️ Pasien'!$G$5:$G1508,'🙎‍♂️ Pasien'!$U$5:$U1508),"")</f>
        <v>BERMAIN BOLA</v>
      </c>
      <c r="T220" s="97" t="s">
        <v>59</v>
      </c>
      <c r="U220" s="105">
        <v>2.0</v>
      </c>
      <c r="V220" s="101"/>
      <c r="W220" s="106" t="b">
        <v>1</v>
      </c>
      <c r="X220" s="107"/>
      <c r="Y220" s="108"/>
    </row>
    <row r="221" ht="22.5" customHeight="1">
      <c r="A221" s="96"/>
      <c r="B221" s="97" t="s">
        <v>85</v>
      </c>
      <c r="C221" s="98" t="str">
        <f t="array" ref="C221">IFNA(XLOOKUP(J221,'⚙️ Pengaturan'!$H$5:$H1508,'⚙️ Pengaturan'!$I$5:$I1508),"")</f>
        <v>TIM Y</v>
      </c>
      <c r="D221" s="97" t="s">
        <v>54</v>
      </c>
      <c r="E221" s="99">
        <v>45944.0</v>
      </c>
      <c r="F221" s="100" t="str">
        <f t="shared" si="1"/>
        <v>2025</v>
      </c>
      <c r="G221" s="100" t="str">
        <f t="shared" si="2"/>
        <v>10Okt</v>
      </c>
      <c r="H221" s="100" t="str">
        <f t="shared" si="3"/>
        <v>Selasa</v>
      </c>
      <c r="I221" s="97" t="s">
        <v>97</v>
      </c>
      <c r="J221" s="97" t="s">
        <v>91</v>
      </c>
      <c r="K221" s="97" t="s">
        <v>63</v>
      </c>
      <c r="L221" s="101" t="s">
        <v>196</v>
      </c>
      <c r="M221" s="102" t="str">
        <f>IFNA(VLOOKUP(L221,'🙎‍♂️ Pasien'!G:V,2,FALSE),"")</f>
        <v>B7125094370</v>
      </c>
      <c r="N221" s="103">
        <f>IFNA(VLOOKUP(L221,'🙎‍♂️ Pasien'!G:L,3,FALSE),"")</f>
        <v>54</v>
      </c>
      <c r="O221" s="104" t="str">
        <f>IFNA(VLOOKUP(L221,'🙎‍♂️ Pasien'!G:V,6,FALSE),"")</f>
        <v>LAKI-LAKI</v>
      </c>
      <c r="P221" s="104" t="str">
        <f>IFNA(VLOOKUP(L221,'🙎‍♂️ Pasien'!G:V,12,FALSE),"")</f>
        <v>ISLAM</v>
      </c>
      <c r="Q221" s="104" t="str">
        <f>IFNA(VLOOKUP(L221:L1508,'🙎‍♂️ Pasien'!G:V,13,FALSE),"")</f>
        <v>PNS</v>
      </c>
      <c r="R221" s="104" t="str">
        <f t="array" ref="R221">ifna(xlookup(L221,'🙎‍♂️ Pasien'!$G$5:$G1508,'🙎‍♂️ Pasien'!$T$5:$T1508),"")</f>
        <v>PINGGANG</v>
      </c>
      <c r="S221" s="104" t="str">
        <f t="array" ref="S221">ifna(xlookup(L221,'🙎‍♂️ Pasien'!$G$5:$G1508,'🙎‍♂️ Pasien'!$U$5:$U1508),"")</f>
        <v>-</v>
      </c>
      <c r="T221" s="97" t="s">
        <v>67</v>
      </c>
      <c r="U221" s="105">
        <v>5.0</v>
      </c>
      <c r="V221" s="101" t="s">
        <v>258</v>
      </c>
      <c r="W221" s="106" t="b">
        <v>1</v>
      </c>
      <c r="X221" s="107"/>
      <c r="Y221" s="108"/>
    </row>
    <row r="222" ht="22.5" customHeight="1">
      <c r="A222" s="96"/>
      <c r="B222" s="97" t="s">
        <v>85</v>
      </c>
      <c r="C222" s="98" t="str">
        <f t="array" ref="C222">IFNA(XLOOKUP(J222,'⚙️ Pengaturan'!$H$5:$H1508,'⚙️ Pengaturan'!$I$5:$I1508),"")</f>
        <v>TIM Y</v>
      </c>
      <c r="D222" s="97" t="s">
        <v>54</v>
      </c>
      <c r="E222" s="99">
        <v>45944.0</v>
      </c>
      <c r="F222" s="100" t="str">
        <f t="shared" si="1"/>
        <v>2025</v>
      </c>
      <c r="G222" s="100" t="str">
        <f t="shared" si="2"/>
        <v>10Okt</v>
      </c>
      <c r="H222" s="100" t="str">
        <f t="shared" si="3"/>
        <v>Selasa</v>
      </c>
      <c r="I222" s="97" t="s">
        <v>99</v>
      </c>
      <c r="J222" s="97" t="s">
        <v>91</v>
      </c>
      <c r="K222" s="97" t="s">
        <v>69</v>
      </c>
      <c r="L222" s="101" t="s">
        <v>236</v>
      </c>
      <c r="M222" s="102" t="str">
        <f>IFNA(VLOOKUP(L222,'🙎‍♂️ Pasien'!G:V,2,FALSE),"")</f>
        <v>D8624112017</v>
      </c>
      <c r="N222" s="103">
        <f>IFNA(VLOOKUP(L222,'🙎‍♂️ Pasien'!G:L,3,FALSE),"")</f>
        <v>39</v>
      </c>
      <c r="O222" s="104" t="str">
        <f>IFNA(VLOOKUP(L222,'🙎‍♂️ Pasien'!G:V,6,FALSE),"")</f>
        <v>PEREMPUAN</v>
      </c>
      <c r="P222" s="104" t="str">
        <f>IFNA(VLOOKUP(L222,'🙎‍♂️ Pasien'!G:V,12,FALSE),"")</f>
        <v>ISLAM</v>
      </c>
      <c r="Q222" s="104" t="str">
        <f>IFNA(VLOOKUP(L222:L1508,'🙎‍♂️ Pasien'!G:V,13,FALSE),"")</f>
        <v>ASN</v>
      </c>
      <c r="R222" s="104" t="str">
        <f t="array" ref="R222">ifna(xlookup(L222,'🙎‍♂️ Pasien'!$G$5:$G1508,'🙎‍♂️ Pasien'!$T$5:$T1508),"")</f>
        <v>Nyeri pangkal paha kanan saat menapakkan kaki</v>
      </c>
      <c r="S222" s="104" t="str">
        <f t="array" ref="S222">ifna(xlookup(L222,'🙎‍♂️ Pasien'!$G$5:$G1508,'🙎‍♂️ Pasien'!$U$5:$U1508),"")</f>
        <v>Kerja kantor</v>
      </c>
      <c r="T222" s="97" t="s">
        <v>59</v>
      </c>
      <c r="U222" s="105" t="s">
        <v>60</v>
      </c>
      <c r="V222" s="101"/>
      <c r="W222" s="106" t="b">
        <v>1</v>
      </c>
      <c r="X222" s="107"/>
      <c r="Y222" s="108"/>
    </row>
    <row r="223" ht="22.5" customHeight="1">
      <c r="A223" s="96"/>
      <c r="B223" s="97" t="s">
        <v>85</v>
      </c>
      <c r="C223" s="98" t="str">
        <f t="array" ref="C223">IFNA(XLOOKUP(J223,'⚙️ Pengaturan'!$H$5:$H1508,'⚙️ Pengaturan'!$I$5:$I1508),"")</f>
        <v>TIM Y</v>
      </c>
      <c r="D223" s="97" t="s">
        <v>54</v>
      </c>
      <c r="E223" s="99">
        <v>45944.0</v>
      </c>
      <c r="F223" s="100" t="str">
        <f t="shared" si="1"/>
        <v>2025</v>
      </c>
      <c r="G223" s="100" t="str">
        <f t="shared" si="2"/>
        <v>10Okt</v>
      </c>
      <c r="H223" s="100" t="str">
        <f t="shared" si="3"/>
        <v>Selasa</v>
      </c>
      <c r="I223" s="97" t="s">
        <v>99</v>
      </c>
      <c r="J223" s="97" t="s">
        <v>107</v>
      </c>
      <c r="K223" s="97" t="s">
        <v>63</v>
      </c>
      <c r="L223" s="101" t="s">
        <v>259</v>
      </c>
      <c r="M223" s="102" t="str">
        <f>IFNA(VLOOKUP(L223,'🙎‍♂️ Pasien'!G:V,2,FALSE),"")</f>
        <v>D8625106969</v>
      </c>
      <c r="N223" s="103">
        <f>IFNA(VLOOKUP(L223,'🙎‍♂️ Pasien'!G:L,3,FALSE),"")</f>
        <v>39</v>
      </c>
      <c r="O223" s="104" t="str">
        <f>IFNA(VLOOKUP(L223,'🙎‍♂️ Pasien'!G:V,6,FALSE),"")</f>
        <v>PEREMPUAN</v>
      </c>
      <c r="P223" s="104" t="str">
        <f>IFNA(VLOOKUP(L223,'🙎‍♂️ Pasien'!G:V,12,FALSE),"")</f>
        <v>ISLAM</v>
      </c>
      <c r="Q223" s="104" t="str">
        <f>IFNA(VLOOKUP(L223:L1508,'🙎‍♂️ Pasien'!G:V,13,FALSE),"")</f>
        <v>PNS</v>
      </c>
      <c r="R223" s="104" t="str">
        <f t="array" ref="R223">ifna(xlookup(L223,'🙎‍♂️ Pasien'!$G$5:$G1508,'🙎‍♂️ Pasien'!$T$5:$T1508),"")</f>
        <v>LUTUT DAN LENGAN KAKU</v>
      </c>
      <c r="S223" s="104" t="str">
        <f t="array" ref="S223">ifna(xlookup(L223,'🙎‍♂️ Pasien'!$G$5:$G1508,'🙎‍♂️ Pasien'!$U$5:$U1508),"")</f>
        <v>HANYA KE KANTOR</v>
      </c>
      <c r="T223" s="97" t="s">
        <v>59</v>
      </c>
      <c r="U223" s="105">
        <v>3.0</v>
      </c>
      <c r="V223" s="101"/>
      <c r="W223" s="106" t="b">
        <v>1</v>
      </c>
      <c r="X223" s="107"/>
      <c r="Y223" s="108"/>
    </row>
    <row r="224" ht="22.5" customHeight="1">
      <c r="A224" s="96"/>
      <c r="B224" s="97" t="s">
        <v>85</v>
      </c>
      <c r="C224" s="98" t="str">
        <f t="array" ref="C224">IFNA(XLOOKUP(J224,'⚙️ Pengaturan'!$H$5:$H1508,'⚙️ Pengaturan'!$I$5:$I1508),"")</f>
        <v>TIM Y</v>
      </c>
      <c r="D224" s="97" t="s">
        <v>54</v>
      </c>
      <c r="E224" s="99">
        <v>45944.0</v>
      </c>
      <c r="F224" s="100" t="str">
        <f t="shared" si="1"/>
        <v>2025</v>
      </c>
      <c r="G224" s="100" t="str">
        <f t="shared" si="2"/>
        <v>10Okt</v>
      </c>
      <c r="H224" s="100" t="str">
        <f t="shared" si="3"/>
        <v>Selasa</v>
      </c>
      <c r="I224" s="97" t="s">
        <v>99</v>
      </c>
      <c r="J224" s="97" t="s">
        <v>91</v>
      </c>
      <c r="K224" s="97" t="s">
        <v>135</v>
      </c>
      <c r="L224" s="101" t="s">
        <v>260</v>
      </c>
      <c r="M224" s="102" t="str">
        <f>IFNA(VLOOKUP(L224,'🙎‍♂️ Pasien'!G:V,2,FALSE),"")</f>
        <v>F0225101419</v>
      </c>
      <c r="N224" s="103">
        <f>IFNA(VLOOKUP(L224,'🙎‍♂️ Pasien'!G:L,3,FALSE),"")</f>
        <v>23</v>
      </c>
      <c r="O224" s="104" t="str">
        <f>IFNA(VLOOKUP(L224,'🙎‍♂️ Pasien'!G:V,6,FALSE),"")</f>
        <v>PEREMPUAN</v>
      </c>
      <c r="P224" s="104" t="str">
        <f>IFNA(VLOOKUP(L224,'🙎‍♂️ Pasien'!G:V,12,FALSE),"")</f>
        <v>ISLAM</v>
      </c>
      <c r="Q224" s="104" t="str">
        <f>IFNA(VLOOKUP(L224:L1508,'🙎‍♂️ Pasien'!G:V,13,FALSE),"")</f>
        <v>PNS</v>
      </c>
      <c r="R224" s="104" t="str">
        <f t="array" ref="R224">ifna(xlookup(L224,'🙎‍♂️ Pasien'!$G$5:$G1508,'🙎‍♂️ Pasien'!$T$5:$T1508),"")</f>
        <v>KAKI KANAN TERKILIR DAN BENGKANG</v>
      </c>
      <c r="S224" s="104" t="str">
        <f t="array" ref="S224">ifna(xlookup(L224,'🙎‍♂️ Pasien'!$G$5:$G1508,'🙎‍♂️ Pasien'!$U$5:$U1508),"")</f>
        <v>MAIN BADMINTON</v>
      </c>
      <c r="T224" s="97" t="s">
        <v>67</v>
      </c>
      <c r="U224" s="105" t="s">
        <v>60</v>
      </c>
      <c r="V224" s="101" t="s">
        <v>261</v>
      </c>
      <c r="W224" s="106" t="b">
        <v>1</v>
      </c>
      <c r="X224" s="107"/>
      <c r="Y224" s="108"/>
    </row>
    <row r="225" ht="22.5" customHeight="1">
      <c r="A225" s="96"/>
      <c r="B225" s="97" t="s">
        <v>53</v>
      </c>
      <c r="C225" s="98" t="str">
        <f t="array" ref="C225">IFNA(XLOOKUP(J225,'⚙️ Pengaturan'!$H$5:$H1508,'⚙️ Pengaturan'!$I$5:$I1508),"")</f>
        <v>TIM A</v>
      </c>
      <c r="D225" s="97" t="s">
        <v>54</v>
      </c>
      <c r="E225" s="99">
        <v>45945.0</v>
      </c>
      <c r="F225" s="100" t="str">
        <f t="shared" si="1"/>
        <v>2025</v>
      </c>
      <c r="G225" s="100" t="str">
        <f t="shared" si="2"/>
        <v>10Okt</v>
      </c>
      <c r="H225" s="100" t="str">
        <f t="shared" si="3"/>
        <v>Rabu</v>
      </c>
      <c r="I225" s="97" t="s">
        <v>55</v>
      </c>
      <c r="J225" s="97" t="s">
        <v>62</v>
      </c>
      <c r="K225" s="97" t="s">
        <v>63</v>
      </c>
      <c r="L225" s="101" t="s">
        <v>71</v>
      </c>
      <c r="M225" s="102" t="str">
        <f>IFNA(VLOOKUP(L225,'🙎‍♂️ Pasien'!G:V,2,FALSE),"")</f>
        <v>L5925109995</v>
      </c>
      <c r="N225" s="103">
        <f>IFNA(VLOOKUP(L225,'🙎‍♂️ Pasien'!G:L,3,FALSE),"")</f>
        <v>67</v>
      </c>
      <c r="O225" s="104" t="str">
        <f>IFNA(VLOOKUP(L225,'🙎‍♂️ Pasien'!G:V,6,FALSE),"")</f>
        <v>PEREMPUAN</v>
      </c>
      <c r="P225" s="104" t="str">
        <f>IFNA(VLOOKUP(L225,'🙎‍♂️ Pasien'!G:V,12,FALSE),"")</f>
        <v>KATOLIK</v>
      </c>
      <c r="Q225" s="104" t="str">
        <f>IFNA(VLOOKUP(L225:L1508,'🙎‍♂️ Pasien'!G:V,13,FALSE),"")</f>
        <v>WIRASWASTA</v>
      </c>
      <c r="R225" s="104" t="str">
        <f t="array" ref="R225">ifna(xlookup(L225,'🙎‍♂️ Pasien'!$G$5:$G1508,'🙎‍♂️ Pasien'!$T$5:$T1508),"")</f>
        <v>LUTUT</v>
      </c>
      <c r="S225" s="104" t="str">
        <f t="array" ref="S225">ifna(xlookup(L225,'🙎‍♂️ Pasien'!$G$5:$G1508,'🙎‍♂️ Pasien'!$U$5:$U1508),"")</f>
        <v>IBU RUMAH TANGGA</v>
      </c>
      <c r="T225" s="97" t="s">
        <v>59</v>
      </c>
      <c r="U225" s="105">
        <v>3.0</v>
      </c>
      <c r="V225" s="101"/>
      <c r="W225" s="106" t="b">
        <v>1</v>
      </c>
      <c r="X225" s="107"/>
      <c r="Y225" s="108"/>
    </row>
    <row r="226" ht="22.5" customHeight="1">
      <c r="A226" s="96"/>
      <c r="B226" s="97" t="s">
        <v>53</v>
      </c>
      <c r="C226" s="98" t="str">
        <f t="array" ref="C226">IFNA(XLOOKUP(J226,'⚙️ Pengaturan'!$H$5:$H1508,'⚙️ Pengaturan'!$I$5:$I1508),"")</f>
        <v>TIM Y</v>
      </c>
      <c r="D226" s="97" t="s">
        <v>54</v>
      </c>
      <c r="E226" s="99">
        <v>45945.0</v>
      </c>
      <c r="F226" s="100" t="str">
        <f t="shared" si="1"/>
        <v>2025</v>
      </c>
      <c r="G226" s="100" t="str">
        <f t="shared" si="2"/>
        <v>10Okt</v>
      </c>
      <c r="H226" s="100" t="str">
        <f t="shared" si="3"/>
        <v>Rabu</v>
      </c>
      <c r="I226" s="97" t="s">
        <v>55</v>
      </c>
      <c r="J226" s="97" t="s">
        <v>56</v>
      </c>
      <c r="K226" s="97" t="s">
        <v>69</v>
      </c>
      <c r="L226" s="101" t="s">
        <v>141</v>
      </c>
      <c r="M226" s="102" t="str">
        <f>IFNA(VLOOKUP(L226,'🙎‍♂️ Pasien'!G:V,2,FALSE),"")</f>
        <v>R7925105884</v>
      </c>
      <c r="N226" s="103">
        <f>IFNA(VLOOKUP(L226,'🙎‍♂️ Pasien'!G:L,3,FALSE),"")</f>
        <v>46</v>
      </c>
      <c r="O226" s="104" t="str">
        <f>IFNA(VLOOKUP(L226,'🙎‍♂️ Pasien'!G:V,6,FALSE),"")</f>
        <v>LAKI-LAKI</v>
      </c>
      <c r="P226" s="104" t="str">
        <f>IFNA(VLOOKUP(L226,'🙎‍♂️ Pasien'!G:V,12,FALSE),"")</f>
        <v>ISLAM</v>
      </c>
      <c r="Q226" s="104" t="str">
        <f>IFNA(VLOOKUP(L226:L1508,'🙎‍♂️ Pasien'!G:V,13,FALSE),"")</f>
        <v>GURU</v>
      </c>
      <c r="R226" s="104" t="str">
        <f t="array" ref="R226">ifna(xlookup(L226,'🙎‍♂️ Pasien'!$G$5:$G1508,'🙎‍♂️ Pasien'!$T$5:$T1508),"")</f>
        <v>CIDERA OTOT BAGIAN LUTUT</v>
      </c>
      <c r="S226" s="104" t="str">
        <f t="array" ref="S226">ifna(xlookup(L226,'🙎‍♂️ Pasien'!$G$5:$G1508,'🙎‍♂️ Pasien'!$U$5:$U1508),"")</f>
        <v>SEPAKBOLA MINI SOCCER</v>
      </c>
      <c r="T226" s="97" t="s">
        <v>59</v>
      </c>
      <c r="U226" s="105" t="s">
        <v>60</v>
      </c>
      <c r="V226" s="101"/>
      <c r="W226" s="106" t="b">
        <v>1</v>
      </c>
      <c r="X226" s="107"/>
      <c r="Y226" s="108"/>
    </row>
    <row r="227" ht="22.5" customHeight="1">
      <c r="A227" s="96"/>
      <c r="B227" s="97" t="s">
        <v>53</v>
      </c>
      <c r="C227" s="98" t="str">
        <f t="array" ref="C227">IFNA(XLOOKUP(J227,'⚙️ Pengaturan'!$H$5:$H1508,'⚙️ Pengaturan'!$I$5:$I1508),"")</f>
        <v>TIM Y</v>
      </c>
      <c r="D227" s="97" t="s">
        <v>54</v>
      </c>
      <c r="E227" s="99">
        <v>45945.0</v>
      </c>
      <c r="F227" s="100" t="str">
        <f t="shared" si="1"/>
        <v>2025</v>
      </c>
      <c r="G227" s="100" t="str">
        <f t="shared" si="2"/>
        <v>10Okt</v>
      </c>
      <c r="H227" s="100" t="str">
        <f t="shared" si="3"/>
        <v>Rabu</v>
      </c>
      <c r="I227" s="97" t="s">
        <v>65</v>
      </c>
      <c r="J227" s="97" t="s">
        <v>56</v>
      </c>
      <c r="K227" s="97" t="s">
        <v>63</v>
      </c>
      <c r="L227" s="101" t="s">
        <v>202</v>
      </c>
      <c r="M227" s="102" t="str">
        <f>IFNA(VLOOKUP(L227,'🙎‍♂️ Pasien'!G:V,2,FALSE),"")</f>
        <v>B9925104512</v>
      </c>
      <c r="N227" s="103">
        <f>IFNA(VLOOKUP(L227,'🙎‍♂️ Pasien'!G:L,3,FALSE),"")</f>
        <v>26</v>
      </c>
      <c r="O227" s="104" t="str">
        <f>IFNA(VLOOKUP(L227,'🙎‍♂️ Pasien'!G:V,6,FALSE),"")</f>
        <v>LAKI-LAKI</v>
      </c>
      <c r="P227" s="104" t="str">
        <f>IFNA(VLOOKUP(L227,'🙎‍♂️ Pasien'!G:V,12,FALSE),"")</f>
        <v>ISLAM</v>
      </c>
      <c r="Q227" s="104" t="str">
        <f>IFNA(VLOOKUP(L227:L1508,'🙎‍♂️ Pasien'!G:V,13,FALSE),"")</f>
        <v>SWASTA</v>
      </c>
      <c r="R227" s="104" t="str">
        <f t="array" ref="R227">ifna(xlookup(L227,'🙎‍♂️ Pasien'!$G$5:$G1508,'🙎‍♂️ Pasien'!$T$5:$T1508),"")</f>
        <v>CIDERA LUTUT SALAH TUMPUAN PAS MAIN BOLA</v>
      </c>
      <c r="S227" s="104" t="str">
        <f t="array" ref="S227">ifna(xlookup(L227,'🙎‍♂️ Pasien'!$G$5:$G1508,'🙎‍♂️ Pasien'!$U$5:$U1508),"")</f>
        <v>SEPAK BOLA</v>
      </c>
      <c r="T227" s="97" t="s">
        <v>59</v>
      </c>
      <c r="U227" s="105">
        <v>5.0</v>
      </c>
      <c r="V227" s="101"/>
      <c r="W227" s="106" t="b">
        <v>1</v>
      </c>
      <c r="X227" s="107"/>
      <c r="Y227" s="108"/>
    </row>
    <row r="228" ht="22.5" customHeight="1">
      <c r="A228" s="96"/>
      <c r="B228" s="97" t="s">
        <v>53</v>
      </c>
      <c r="C228" s="98" t="str">
        <f t="array" ref="C228">IFNA(XLOOKUP(J228,'⚙️ Pengaturan'!$H$5:$H1508,'⚙️ Pengaturan'!$I$5:$I1508),"")</f>
        <v>TIM A</v>
      </c>
      <c r="D228" s="97" t="s">
        <v>54</v>
      </c>
      <c r="E228" s="99">
        <v>45945.0</v>
      </c>
      <c r="F228" s="100" t="str">
        <f t="shared" si="1"/>
        <v>2025</v>
      </c>
      <c r="G228" s="100" t="str">
        <f t="shared" si="2"/>
        <v>10Okt</v>
      </c>
      <c r="H228" s="100" t="str">
        <f t="shared" si="3"/>
        <v>Rabu</v>
      </c>
      <c r="I228" s="97" t="s">
        <v>65</v>
      </c>
      <c r="J228" s="97" t="s">
        <v>62</v>
      </c>
      <c r="K228" s="97" t="s">
        <v>69</v>
      </c>
      <c r="L228" s="101" t="s">
        <v>253</v>
      </c>
      <c r="M228" s="102" t="str">
        <f>IFNA(VLOOKUP(L228,'🙎‍♂️ Pasien'!G:V,2,FALSE),"")</f>
        <v>N5125073362</v>
      </c>
      <c r="N228" s="103">
        <f>IFNA(VLOOKUP(L228,'🙎‍♂️ Pasien'!G:L,3,FALSE),"")</f>
        <v>74</v>
      </c>
      <c r="O228" s="104" t="str">
        <f>IFNA(VLOOKUP(L228,'🙎‍♂️ Pasien'!G:V,6,FALSE),"")</f>
        <v>PEREMPUAN</v>
      </c>
      <c r="P228" s="104" t="str">
        <f>IFNA(VLOOKUP(L228,'🙎‍♂️ Pasien'!G:V,12,FALSE),"")</f>
        <v>ISLAM</v>
      </c>
      <c r="Q228" s="104" t="str">
        <f>IFNA(VLOOKUP(L228:L1508,'🙎‍♂️ Pasien'!G:V,13,FALSE),"")</f>
        <v>PENSIUNAN</v>
      </c>
      <c r="R228" s="104" t="str">
        <f t="array" ref="R228">ifna(xlookup(L228,'🙎‍♂️ Pasien'!$G$5:$G1508,'🙎‍♂️ Pasien'!$T$5:$T1508),"")</f>
        <v>SAKIT PADA LUTUT UNTUK JALAN</v>
      </c>
      <c r="S228" s="104" t="str">
        <f t="array" ref="S228">ifna(xlookup(L228,'🙎‍♂️ Pasien'!$G$5:$G1508,'🙎‍♂️ Pasien'!$U$5:$U1508),"")</f>
        <v>TIDAK ADA</v>
      </c>
      <c r="T228" s="97" t="s">
        <v>59</v>
      </c>
      <c r="U228" s="105" t="s">
        <v>60</v>
      </c>
      <c r="V228" s="101"/>
      <c r="W228" s="106" t="b">
        <v>1</v>
      </c>
      <c r="X228" s="107"/>
      <c r="Y228" s="108"/>
    </row>
    <row r="229" ht="22.5" customHeight="1">
      <c r="A229" s="96"/>
      <c r="B229" s="97" t="s">
        <v>53</v>
      </c>
      <c r="C229" s="98" t="str">
        <f t="array" ref="C229">IFNA(XLOOKUP(J229,'⚙️ Pengaturan'!$H$5:$H1508,'⚙️ Pengaturan'!$I$5:$I1508),"")</f>
        <v>TIM Y</v>
      </c>
      <c r="D229" s="97" t="s">
        <v>54</v>
      </c>
      <c r="E229" s="99">
        <v>45945.0</v>
      </c>
      <c r="F229" s="100" t="str">
        <f t="shared" si="1"/>
        <v>2025</v>
      </c>
      <c r="G229" s="100" t="str">
        <f t="shared" si="2"/>
        <v>10Okt</v>
      </c>
      <c r="H229" s="100" t="str">
        <f t="shared" si="3"/>
        <v>Rabu</v>
      </c>
      <c r="I229" s="97" t="s">
        <v>74</v>
      </c>
      <c r="J229" s="97" t="s">
        <v>56</v>
      </c>
      <c r="K229" s="97" t="s">
        <v>63</v>
      </c>
      <c r="L229" s="101" t="s">
        <v>202</v>
      </c>
      <c r="M229" s="102" t="str">
        <f>IFNA(VLOOKUP(L229,'🙎‍♂️ Pasien'!G:V,2,FALSE),"")</f>
        <v>B9925104512</v>
      </c>
      <c r="N229" s="103">
        <f>IFNA(VLOOKUP(L229,'🙎‍♂️ Pasien'!G:L,3,FALSE),"")</f>
        <v>26</v>
      </c>
      <c r="O229" s="104" t="str">
        <f>IFNA(VLOOKUP(L229,'🙎‍♂️ Pasien'!G:V,6,FALSE),"")</f>
        <v>LAKI-LAKI</v>
      </c>
      <c r="P229" s="104" t="str">
        <f>IFNA(VLOOKUP(L229,'🙎‍♂️ Pasien'!G:V,12,FALSE),"")</f>
        <v>ISLAM</v>
      </c>
      <c r="Q229" s="104" t="str">
        <f>IFNA(VLOOKUP(L229:L1508,'🙎‍♂️ Pasien'!G:V,13,FALSE),"")</f>
        <v>SWASTA</v>
      </c>
      <c r="R229" s="104" t="str">
        <f t="array" ref="R229">ifna(xlookup(L229,'🙎‍♂️ Pasien'!$G$5:$G1508,'🙎‍♂️ Pasien'!$T$5:$T1508),"")</f>
        <v>CIDERA LUTUT SALAH TUMPUAN PAS MAIN BOLA</v>
      </c>
      <c r="S229" s="104" t="str">
        <f t="array" ref="S229">ifna(xlookup(L229,'🙎‍♂️ Pasien'!$G$5:$G1508,'🙎‍♂️ Pasien'!$U$5:$U1508),"")</f>
        <v>SEPAK BOLA</v>
      </c>
      <c r="T229" s="97" t="s">
        <v>59</v>
      </c>
      <c r="U229" s="105">
        <v>6.0</v>
      </c>
      <c r="V229" s="101"/>
      <c r="W229" s="106" t="b">
        <v>1</v>
      </c>
      <c r="X229" s="107"/>
      <c r="Y229" s="108"/>
    </row>
    <row r="230" ht="22.5" customHeight="1">
      <c r="A230" s="96"/>
      <c r="B230" s="97" t="s">
        <v>53</v>
      </c>
      <c r="C230" s="98" t="str">
        <f t="array" ref="C230">IFNA(XLOOKUP(J230,'⚙️ Pengaturan'!$H$5:$H1508,'⚙️ Pengaturan'!$I$5:$I1508),"")</f>
        <v>TIM A</v>
      </c>
      <c r="D230" s="97" t="s">
        <v>54</v>
      </c>
      <c r="E230" s="99">
        <v>45945.0</v>
      </c>
      <c r="F230" s="100" t="str">
        <f t="shared" si="1"/>
        <v>2025</v>
      </c>
      <c r="G230" s="100" t="str">
        <f t="shared" si="2"/>
        <v>10Okt</v>
      </c>
      <c r="H230" s="100" t="str">
        <f t="shared" si="3"/>
        <v>Rabu</v>
      </c>
      <c r="I230" s="97" t="s">
        <v>74</v>
      </c>
      <c r="J230" s="97" t="s">
        <v>62</v>
      </c>
      <c r="K230" s="97" t="s">
        <v>57</v>
      </c>
      <c r="L230" s="101" t="s">
        <v>262</v>
      </c>
      <c r="M230" s="102" t="str">
        <f>IFNA(VLOOKUP(L230,'🙎‍♂️ Pasien'!G:V,2,FALSE),"")</f>
        <v>M7825100800</v>
      </c>
      <c r="N230" s="103">
        <f>IFNA(VLOOKUP(L230,'🙎‍♂️ Pasien'!G:L,3,FALSE),"")</f>
        <v>48</v>
      </c>
      <c r="O230" s="104" t="str">
        <f>IFNA(VLOOKUP(L230,'🙎‍♂️ Pasien'!G:V,6,FALSE),"")</f>
        <v>PEREMPUAN</v>
      </c>
      <c r="P230" s="104" t="str">
        <f>IFNA(VLOOKUP(L230,'🙎‍♂️ Pasien'!G:V,12,FALSE),"")</f>
        <v>ISLAM</v>
      </c>
      <c r="Q230" s="104" t="str">
        <f>IFNA(VLOOKUP(L230:L1508,'🙎‍♂️ Pasien'!G:V,13,FALSE),"")</f>
        <v>ASN</v>
      </c>
      <c r="R230" s="104" t="str">
        <f t="array" ref="R230">ifna(xlookup(L230,'🙎‍♂️ Pasien'!$G$5:$G1508,'🙎‍♂️ Pasien'!$T$5:$T1508),"")</f>
        <v>NYERI DI LENGAN KANAN</v>
      </c>
      <c r="S230" s="104" t="str">
        <f t="array" ref="S230">ifna(xlookup(L230,'🙎‍♂️ Pasien'!$G$5:$G1508,'🙎‍♂️ Pasien'!$U$5:$U1508),"")</f>
        <v>BEKERJA DI DEPAN KOMPUTER</v>
      </c>
      <c r="T230" s="97" t="s">
        <v>59</v>
      </c>
      <c r="U230" s="105" t="s">
        <v>60</v>
      </c>
      <c r="V230" s="101"/>
      <c r="W230" s="106" t="b">
        <v>1</v>
      </c>
      <c r="X230" s="107"/>
      <c r="Y230" s="108"/>
    </row>
    <row r="231" ht="22.5" customHeight="1">
      <c r="A231" s="96"/>
      <c r="B231" s="97" t="s">
        <v>53</v>
      </c>
      <c r="C231" s="98" t="str">
        <f t="array" ref="C231">IFNA(XLOOKUP(J231,'⚙️ Pengaturan'!$H$5:$H1508,'⚙️ Pengaturan'!$I$5:$I1508),"")</f>
        <v>TIM Y</v>
      </c>
      <c r="D231" s="97" t="s">
        <v>54</v>
      </c>
      <c r="E231" s="99">
        <v>45945.0</v>
      </c>
      <c r="F231" s="100" t="str">
        <f t="shared" si="1"/>
        <v>2025</v>
      </c>
      <c r="G231" s="100" t="str">
        <f t="shared" si="2"/>
        <v>10Okt</v>
      </c>
      <c r="H231" s="100" t="str">
        <f t="shared" si="3"/>
        <v>Rabu</v>
      </c>
      <c r="I231" s="97" t="s">
        <v>76</v>
      </c>
      <c r="J231" s="97" t="s">
        <v>56</v>
      </c>
      <c r="K231" s="97" t="s">
        <v>63</v>
      </c>
      <c r="L231" s="101" t="s">
        <v>189</v>
      </c>
      <c r="M231" s="102" t="str">
        <f>IFNA(VLOOKUP(L231,'🙎‍♂️ Pasien'!G:V,2,FALSE),"")</f>
        <v>A6025048900</v>
      </c>
      <c r="N231" s="103">
        <f>IFNA(VLOOKUP(L231,'🙎‍♂️ Pasien'!G:L,3,FALSE),"")</f>
        <v>66</v>
      </c>
      <c r="O231" s="104" t="str">
        <f>IFNA(VLOOKUP(L231,'🙎‍♂️ Pasien'!G:V,6,FALSE),"")</f>
        <v>LAKI-LAKI</v>
      </c>
      <c r="P231" s="104" t="str">
        <f>IFNA(VLOOKUP(L231,'🙎‍♂️ Pasien'!G:V,12,FALSE),"")</f>
        <v>KHONGHUCU</v>
      </c>
      <c r="Q231" s="104" t="str">
        <f>IFNA(VLOOKUP(L231:L1508,'🙎‍♂️ Pasien'!G:V,13,FALSE),"")</f>
        <v>KONSULTAN PAJAK</v>
      </c>
      <c r="R231" s="104" t="str">
        <f t="array" ref="R231">ifna(xlookup(L231,'🙎‍♂️ Pasien'!$G$5:$G1508,'🙎‍♂️ Pasien'!$T$5:$T1508),"")</f>
        <v>SAKET LEHER</v>
      </c>
      <c r="S231" s="104" t="str">
        <f t="array" ref="S231">ifna(xlookup(L231,'🙎‍♂️ Pasien'!$G$5:$G1508,'🙎‍♂️ Pasien'!$U$5:$U1508),"")</f>
        <v>KERJE KERJE KERJE !!!!</v>
      </c>
      <c r="T231" s="97" t="s">
        <v>59</v>
      </c>
      <c r="U231" s="105">
        <v>10.0</v>
      </c>
      <c r="V231" s="101" t="s">
        <v>125</v>
      </c>
      <c r="W231" s="106" t="b">
        <v>1</v>
      </c>
      <c r="X231" s="107"/>
      <c r="Y231" s="108"/>
    </row>
    <row r="232" ht="22.5" customHeight="1">
      <c r="A232" s="96"/>
      <c r="B232" s="97" t="s">
        <v>53</v>
      </c>
      <c r="C232" s="98" t="str">
        <f t="array" ref="C232">IFNA(XLOOKUP(J232,'⚙️ Pengaturan'!$H$5:$H1508,'⚙️ Pengaturan'!$I$5:$I1508),"")</f>
        <v>TIM A</v>
      </c>
      <c r="D232" s="97" t="s">
        <v>54</v>
      </c>
      <c r="E232" s="99">
        <v>45945.0</v>
      </c>
      <c r="F232" s="100" t="str">
        <f t="shared" si="1"/>
        <v>2025</v>
      </c>
      <c r="G232" s="100" t="str">
        <f t="shared" si="2"/>
        <v>10Okt</v>
      </c>
      <c r="H232" s="100" t="str">
        <f t="shared" si="3"/>
        <v>Rabu</v>
      </c>
      <c r="I232" s="97" t="s">
        <v>76</v>
      </c>
      <c r="J232" s="97" t="s">
        <v>62</v>
      </c>
      <c r="K232" s="97" t="s">
        <v>69</v>
      </c>
      <c r="L232" s="101" t="s">
        <v>263</v>
      </c>
      <c r="M232" s="102" t="str">
        <f>IFNA(VLOOKUP(L232,'🙎‍♂️ Pasien'!G:V,2,FALSE),"")</f>
        <v>F0625102235</v>
      </c>
      <c r="N232" s="103">
        <f>IFNA(VLOOKUP(L232,'🙎‍♂️ Pasien'!G:L,3,FALSE),"")</f>
        <v>20</v>
      </c>
      <c r="O232" s="104" t="str">
        <f>IFNA(VLOOKUP(L232,'🙎‍♂️ Pasien'!G:V,6,FALSE),"")</f>
        <v>PEREMPUAN</v>
      </c>
      <c r="P232" s="104" t="str">
        <f>IFNA(VLOOKUP(L232,'🙎‍♂️ Pasien'!G:V,12,FALSE),"")</f>
        <v>ISLAM</v>
      </c>
      <c r="Q232" s="104" t="str">
        <f>IFNA(VLOOKUP(L232:L1508,'🙎‍♂️ Pasien'!G:V,13,FALSE),"")</f>
        <v>KARYAWAN SWASTA</v>
      </c>
      <c r="R232" s="104" t="str">
        <f t="array" ref="R232">ifna(xlookup(L232,'🙎‍♂️ Pasien'!$G$5:$G1508,'🙎‍♂️ Pasien'!$T$5:$T1508),"")</f>
        <v>TANGAN KANAN SAKIT TIDAK BISA DIANGKAT</v>
      </c>
      <c r="S232" s="104" t="str">
        <f t="array" ref="S232">ifna(xlookup(L232,'🙎‍♂️ Pasien'!$G$5:$G1508,'🙎‍♂️ Pasien'!$U$5:$U1508),"")</f>
        <v>MEMBUAT CROISSANT RAMBUT YG MENGHARUSKAN MENGANGKAT TANGAN</v>
      </c>
      <c r="T232" s="97" t="s">
        <v>59</v>
      </c>
      <c r="U232" s="105" t="s">
        <v>60</v>
      </c>
      <c r="V232" s="101"/>
      <c r="W232" s="106" t="b">
        <v>1</v>
      </c>
      <c r="X232" s="107"/>
      <c r="Y232" s="108"/>
    </row>
    <row r="233" ht="22.5" customHeight="1">
      <c r="A233" s="96"/>
      <c r="B233" s="97" t="s">
        <v>53</v>
      </c>
      <c r="C233" s="98" t="str">
        <f t="array" ref="C233">IFNA(XLOOKUP(J233,'⚙️ Pengaturan'!$H$5:$H1508,'⚙️ Pengaturan'!$I$5:$I1508),"")</f>
        <v>TIM Y</v>
      </c>
      <c r="D233" s="97" t="s">
        <v>54</v>
      </c>
      <c r="E233" s="99">
        <v>45945.0</v>
      </c>
      <c r="F233" s="100" t="str">
        <f t="shared" si="1"/>
        <v>2025</v>
      </c>
      <c r="G233" s="100" t="str">
        <f t="shared" si="2"/>
        <v>10Okt</v>
      </c>
      <c r="H233" s="100" t="str">
        <f t="shared" si="3"/>
        <v>Rabu</v>
      </c>
      <c r="I233" s="97" t="s">
        <v>83</v>
      </c>
      <c r="J233" s="97" t="s">
        <v>56</v>
      </c>
      <c r="K233" s="97" t="s">
        <v>69</v>
      </c>
      <c r="L233" s="101" t="s">
        <v>264</v>
      </c>
      <c r="M233" s="102" t="str">
        <f>IFNA(VLOOKUP(L233,'🙎‍♂️ Pasien'!G:V,2,FALSE),"")</f>
        <v>A9625083700</v>
      </c>
      <c r="N233" s="103">
        <f>IFNA(VLOOKUP(L233,'🙎‍♂️ Pasien'!G:L,3,FALSE),"")</f>
        <v>29</v>
      </c>
      <c r="O233" s="104" t="str">
        <f>IFNA(VLOOKUP(L233,'🙎‍♂️ Pasien'!G:V,6,FALSE),"")</f>
        <v>LAKI-LAKI</v>
      </c>
      <c r="P233" s="104" t="str">
        <f>IFNA(VLOOKUP(L233,'🙎‍♂️ Pasien'!G:V,12,FALSE),"")</f>
        <v>ISLAM</v>
      </c>
      <c r="Q233" s="104" t="str">
        <f>IFNA(VLOOKUP(L233:L1508,'🙎‍♂️ Pasien'!G:V,13,FALSE),"")</f>
        <v>KARYAWAN SWASTA</v>
      </c>
      <c r="R233" s="104" t="str">
        <f t="array" ref="R233">ifna(xlookup(L233,'🙎‍♂️ Pasien'!$G$5:$G1508,'🙎‍♂️ Pasien'!$T$5:$T1508),"")</f>
        <v>LUTUT TIDAK BISA DI TEKUK</v>
      </c>
      <c r="S233" s="104" t="str">
        <f t="array" ref="S233">ifna(xlookup(L233,'🙎‍♂️ Pasien'!$G$5:$G1508,'🙎‍♂️ Pasien'!$U$5:$U1508),"")</f>
        <v>MAIN BOLA</v>
      </c>
      <c r="T233" s="97" t="s">
        <v>59</v>
      </c>
      <c r="U233" s="105" t="s">
        <v>60</v>
      </c>
      <c r="V233" s="101"/>
      <c r="W233" s="106" t="b">
        <v>1</v>
      </c>
      <c r="X233" s="107"/>
      <c r="Y233" s="108"/>
    </row>
    <row r="234" ht="22.5" customHeight="1">
      <c r="A234" s="96"/>
      <c r="B234" s="97" t="s">
        <v>53</v>
      </c>
      <c r="C234" s="98" t="str">
        <f t="array" ref="C234">IFNA(XLOOKUP(J234,'⚙️ Pengaturan'!$H$5:$H1508,'⚙️ Pengaturan'!$I$5:$I1508),"")</f>
        <v>TIM Y</v>
      </c>
      <c r="D234" s="97" t="s">
        <v>54</v>
      </c>
      <c r="E234" s="99">
        <v>45945.0</v>
      </c>
      <c r="F234" s="100" t="str">
        <f t="shared" si="1"/>
        <v>2025</v>
      </c>
      <c r="G234" s="100" t="str">
        <f t="shared" si="2"/>
        <v>10Okt</v>
      </c>
      <c r="H234" s="100" t="str">
        <f t="shared" si="3"/>
        <v>Rabu</v>
      </c>
      <c r="I234" s="97" t="s">
        <v>83</v>
      </c>
      <c r="J234" s="97" t="s">
        <v>56</v>
      </c>
      <c r="K234" s="97" t="s">
        <v>63</v>
      </c>
      <c r="L234" s="101" t="s">
        <v>136</v>
      </c>
      <c r="M234" s="102" t="str">
        <f>IFNA(VLOOKUP(L234,'🙎‍♂️ Pasien'!G:V,2,FALSE),"")</f>
        <v>H9025092496</v>
      </c>
      <c r="N234" s="103">
        <f>IFNA(VLOOKUP(L234,'🙎‍♂️ Pasien'!G:L,3,FALSE),"")</f>
        <v>35</v>
      </c>
      <c r="O234" s="104" t="str">
        <f>IFNA(VLOOKUP(L234,'🙎‍♂️ Pasien'!G:V,6,FALSE),"")</f>
        <v>LAKI-LAKI</v>
      </c>
      <c r="P234" s="104" t="str">
        <f>IFNA(VLOOKUP(L234,'🙎‍♂️ Pasien'!G:V,12,FALSE),"")</f>
        <v>ISLAM</v>
      </c>
      <c r="Q234" s="104" t="str">
        <f>IFNA(VLOOKUP(L234:L1508,'🙎‍♂️ Pasien'!G:V,13,FALSE),"")</f>
        <v>SWASTA</v>
      </c>
      <c r="R234" s="104" t="str">
        <f t="array" ref="R234">ifna(xlookup(L234,'🙎‍♂️ Pasien'!$G$5:$G1508,'🙎‍♂️ Pasien'!$T$5:$T1508),"")</f>
        <v>KAKI KIRI SAKIT</v>
      </c>
      <c r="S234" s="104" t="str">
        <f t="array" ref="S234">ifna(xlookup(L234,'🙎‍♂️ Pasien'!$G$5:$G1508,'🙎‍♂️ Pasien'!$U$5:$U1508),"")</f>
        <v>LATIHAN LATI</v>
      </c>
      <c r="T234" s="97" t="s">
        <v>67</v>
      </c>
      <c r="U234" s="105">
        <v>2.0</v>
      </c>
      <c r="V234" s="101" t="s">
        <v>265</v>
      </c>
      <c r="W234" s="106" t="b">
        <v>1</v>
      </c>
      <c r="X234" s="107"/>
      <c r="Y234" s="108"/>
    </row>
    <row r="235" ht="22.5" customHeight="1">
      <c r="A235" s="96"/>
      <c r="B235" s="97" t="s">
        <v>53</v>
      </c>
      <c r="C235" s="98" t="str">
        <f t="array" ref="C235">IFNA(XLOOKUP(J235,'⚙️ Pengaturan'!$H$5:$H1508,'⚙️ Pengaturan'!$I$5:$I1508),"")</f>
        <v>TIM A</v>
      </c>
      <c r="D235" s="97" t="s">
        <v>54</v>
      </c>
      <c r="E235" s="99">
        <v>45945.0</v>
      </c>
      <c r="F235" s="100" t="str">
        <f t="shared" si="1"/>
        <v>2025</v>
      </c>
      <c r="G235" s="100" t="str">
        <f t="shared" si="2"/>
        <v>10Okt</v>
      </c>
      <c r="H235" s="100" t="str">
        <f t="shared" si="3"/>
        <v>Rabu</v>
      </c>
      <c r="I235" s="97" t="s">
        <v>83</v>
      </c>
      <c r="J235" s="97" t="s">
        <v>72</v>
      </c>
      <c r="K235" s="97" t="s">
        <v>57</v>
      </c>
      <c r="L235" s="101" t="s">
        <v>266</v>
      </c>
      <c r="M235" s="102" t="str">
        <f>IFNA(VLOOKUP(L235,'🙎‍♂️ Pasien'!G:V,2,FALSE),"")</f>
        <v>R8125102726</v>
      </c>
      <c r="N235" s="103">
        <f>IFNA(VLOOKUP(L235,'🙎‍♂️ Pasien'!G:L,3,FALSE),"")</f>
        <v>45</v>
      </c>
      <c r="O235" s="104" t="str">
        <f>IFNA(VLOOKUP(L235,'🙎‍♂️ Pasien'!G:V,6,FALSE),"")</f>
        <v>PEREMPUAN</v>
      </c>
      <c r="P235" s="104" t="str">
        <f>IFNA(VLOOKUP(L235,'🙎‍♂️ Pasien'!G:V,12,FALSE),"")</f>
        <v>ISLAM</v>
      </c>
      <c r="Q235" s="104" t="str">
        <f>IFNA(VLOOKUP(L235:L1508,'🙎‍♂️ Pasien'!G:V,13,FALSE),"")</f>
        <v>IBU RUMAH TANGGA</v>
      </c>
      <c r="R235" s="104" t="str">
        <f t="array" ref="R235">ifna(xlookup(L235,'🙎‍♂️ Pasien'!$G$5:$G1508,'🙎‍♂️ Pasien'!$T$5:$T1508),"")</f>
        <v>SAKIT KAKI</v>
      </c>
      <c r="S235" s="104" t="str">
        <f t="array" ref="S235">ifna(xlookup(L235,'🙎‍♂️ Pasien'!$G$5:$G1508,'🙎‍♂️ Pasien'!$U$5:$U1508),"")</f>
        <v>JAIT</v>
      </c>
      <c r="T235" s="97" t="s">
        <v>59</v>
      </c>
      <c r="U235" s="105" t="s">
        <v>60</v>
      </c>
      <c r="V235" s="101"/>
      <c r="W235" s="106" t="b">
        <v>1</v>
      </c>
      <c r="X235" s="107"/>
      <c r="Y235" s="108"/>
    </row>
    <row r="236" ht="22.5" customHeight="1">
      <c r="A236" s="96"/>
      <c r="B236" s="97" t="s">
        <v>85</v>
      </c>
      <c r="C236" s="98" t="str">
        <f t="array" ref="C236">IFNA(XLOOKUP(J236,'⚙️ Pengaturan'!$H$5:$H1508,'⚙️ Pengaturan'!$I$5:$I1508),"")</f>
        <v>TIM Y</v>
      </c>
      <c r="D236" s="97" t="s">
        <v>86</v>
      </c>
      <c r="E236" s="99">
        <v>45945.0</v>
      </c>
      <c r="F236" s="100" t="str">
        <f t="shared" si="1"/>
        <v>2025</v>
      </c>
      <c r="G236" s="100" t="str">
        <f t="shared" si="2"/>
        <v>10Okt</v>
      </c>
      <c r="H236" s="100" t="str">
        <f t="shared" si="3"/>
        <v>Rabu</v>
      </c>
      <c r="I236" s="97" t="s">
        <v>87</v>
      </c>
      <c r="J236" s="97" t="s">
        <v>107</v>
      </c>
      <c r="K236" s="97" t="s">
        <v>63</v>
      </c>
      <c r="L236" s="101" t="s">
        <v>244</v>
      </c>
      <c r="M236" s="102" t="str">
        <f>IFNA(VLOOKUP(L236,'🙎‍♂️ Pasien'!G:V,2,FALSE),"")</f>
        <v>N7425100815</v>
      </c>
      <c r="N236" s="103">
        <f>IFNA(VLOOKUP(L236,'🙎‍♂️ Pasien'!G:L,3,FALSE),"")</f>
        <v>52</v>
      </c>
      <c r="O236" s="104" t="str">
        <f>IFNA(VLOOKUP(L236,'🙎‍♂️ Pasien'!G:V,6,FALSE),"")</f>
        <v>PEREMPUAN</v>
      </c>
      <c r="P236" s="104" t="str">
        <f>IFNA(VLOOKUP(L236,'🙎‍♂️ Pasien'!G:V,12,FALSE),"")</f>
        <v>ISLAM</v>
      </c>
      <c r="Q236" s="104" t="str">
        <f>IFNA(VLOOKUP(L236:L1508,'🙎‍♂️ Pasien'!G:V,13,FALSE),"")</f>
        <v>IBU RUMAH TANGGA</v>
      </c>
      <c r="R236" s="104" t="str">
        <f t="array" ref="R236">ifna(xlookup(L236,'🙎‍♂️ Pasien'!$G$5:$G1508,'🙎‍♂️ Pasien'!$T$5:$T1508),"")</f>
        <v/>
      </c>
      <c r="S236" s="104" t="str">
        <f t="array" ref="S236">ifna(xlookup(L236,'🙎‍♂️ Pasien'!$G$5:$G1508,'🙎‍♂️ Pasien'!$U$5:$U1508),"")</f>
        <v>MENATA ULANG INTERIOR RUMAH</v>
      </c>
      <c r="T236" s="97" t="s">
        <v>59</v>
      </c>
      <c r="U236" s="105">
        <v>1.0</v>
      </c>
      <c r="V236" s="101"/>
      <c r="W236" s="106" t="b">
        <v>1</v>
      </c>
      <c r="X236" s="107"/>
      <c r="Y236" s="108"/>
    </row>
    <row r="237" ht="22.5" customHeight="1">
      <c r="A237" s="96"/>
      <c r="B237" s="97" t="s">
        <v>85</v>
      </c>
      <c r="C237" s="98" t="str">
        <f t="array" ref="C237">IFNA(XLOOKUP(J237,'⚙️ Pengaturan'!$H$5:$H1508,'⚙️ Pengaturan'!$I$5:$I1508),"")</f>
        <v>TIM Y</v>
      </c>
      <c r="D237" s="97" t="s">
        <v>86</v>
      </c>
      <c r="E237" s="99">
        <v>45945.0</v>
      </c>
      <c r="F237" s="100" t="str">
        <f t="shared" si="1"/>
        <v>2025</v>
      </c>
      <c r="G237" s="100" t="str">
        <f t="shared" si="2"/>
        <v>10Okt</v>
      </c>
      <c r="H237" s="100" t="str">
        <f t="shared" si="3"/>
        <v>Rabu</v>
      </c>
      <c r="I237" s="97" t="s">
        <v>93</v>
      </c>
      <c r="J237" s="97" t="s">
        <v>91</v>
      </c>
      <c r="K237" s="97" t="s">
        <v>63</v>
      </c>
      <c r="L237" s="101" t="s">
        <v>225</v>
      </c>
      <c r="M237" s="102" t="str">
        <f>IFNA(VLOOKUP(L237,'🙎‍♂️ Pasien'!G:V,2,FALSE),"")</f>
        <v>B8025102288</v>
      </c>
      <c r="N237" s="103">
        <f>IFNA(VLOOKUP(L237,'🙎‍♂️ Pasien'!G:L,3,FALSE),"")</f>
        <v>45</v>
      </c>
      <c r="O237" s="104" t="str">
        <f>IFNA(VLOOKUP(L237,'🙎‍♂️ Pasien'!G:V,6,FALSE),"")</f>
        <v>PEREMPUAN</v>
      </c>
      <c r="P237" s="104" t="str">
        <f>IFNA(VLOOKUP(L237,'🙎‍♂️ Pasien'!G:V,12,FALSE),"")</f>
        <v>ISLAM</v>
      </c>
      <c r="Q237" s="104" t="str">
        <f>IFNA(VLOOKUP(L237:L1508,'🙎‍♂️ Pasien'!G:V,13,FALSE),"")</f>
        <v>ASN</v>
      </c>
      <c r="R237" s="104" t="str">
        <f t="array" ref="R237">ifna(xlookup(L237,'🙎‍♂️ Pasien'!$G$5:$G1508,'🙎‍♂️ Pasien'!$T$5:$T1508),"")</f>
        <v>KELUHAN SY NYERI DI TUMIT KIRI SM PAHA KANAN UT DIANGKAT SAMBIL DITEKUK KE ARAH SAMPING LUAR RASA NYA NYERI</v>
      </c>
      <c r="S237" s="104" t="str">
        <f t="array" ref="S237">ifna(xlookup(L237,'🙎‍♂️ Pasien'!$G$5:$G1508,'🙎‍♂️ Pasien'!$U$5:$U1508),"")</f>
        <v>JOGING</v>
      </c>
      <c r="T237" s="97" t="s">
        <v>59</v>
      </c>
      <c r="U237" s="105">
        <v>1.0</v>
      </c>
      <c r="V237" s="101"/>
      <c r="W237" s="106" t="b">
        <v>1</v>
      </c>
      <c r="X237" s="107"/>
      <c r="Y237" s="108"/>
    </row>
    <row r="238" ht="22.5" customHeight="1">
      <c r="A238" s="96"/>
      <c r="B238" s="97" t="s">
        <v>85</v>
      </c>
      <c r="C238" s="98" t="str">
        <f t="array" ref="C238">IFNA(XLOOKUP(J238,'⚙️ Pengaturan'!$H$5:$H1508,'⚙️ Pengaturan'!$I$5:$I1508),"")</f>
        <v>TIM Y</v>
      </c>
      <c r="D238" s="97" t="s">
        <v>86</v>
      </c>
      <c r="E238" s="99">
        <v>45945.0</v>
      </c>
      <c r="F238" s="100" t="str">
        <f t="shared" si="1"/>
        <v>2025</v>
      </c>
      <c r="G238" s="100" t="str">
        <f t="shared" si="2"/>
        <v>10Okt</v>
      </c>
      <c r="H238" s="100" t="str">
        <f t="shared" si="3"/>
        <v>Rabu</v>
      </c>
      <c r="I238" s="97" t="s">
        <v>95</v>
      </c>
      <c r="J238" s="97" t="s">
        <v>107</v>
      </c>
      <c r="K238" s="97" t="s">
        <v>63</v>
      </c>
      <c r="L238" s="101" t="s">
        <v>96</v>
      </c>
      <c r="M238" s="102" t="str">
        <f>IFNA(VLOOKUP(L238,'🙎‍♂️ Pasien'!G:V,2,FALSE),"")</f>
        <v>A0925094650</v>
      </c>
      <c r="N238" s="103">
        <f>IFNA(VLOOKUP(L238,'🙎‍♂️ Pasien'!G:L,3,FALSE),"")</f>
        <v>17</v>
      </c>
      <c r="O238" s="104" t="str">
        <f>IFNA(VLOOKUP(L238,'🙎‍♂️ Pasien'!G:V,6,FALSE),"")</f>
        <v>LAKI-LAKI</v>
      </c>
      <c r="P238" s="104" t="str">
        <f>IFNA(VLOOKUP(L238,'🙎‍♂️ Pasien'!G:V,12,FALSE),"")</f>
        <v>ISLAM</v>
      </c>
      <c r="Q238" s="104" t="str">
        <f>IFNA(VLOOKUP(L238:L1508,'🙎‍♂️ Pasien'!G:V,13,FALSE),"")</f>
        <v>PELAJAR</v>
      </c>
      <c r="R238" s="104" t="str">
        <f t="array" ref="R238">ifna(xlookup(L238,'🙎‍♂️ Pasien'!$G$5:$G1508,'🙎‍♂️ Pasien'!$T$5:$T1508),"")</f>
        <v>LUTUT</v>
      </c>
      <c r="S238" s="104" t="str">
        <f t="array" ref="S238">ifna(xlookup(L238,'🙎‍♂️ Pasien'!$G$5:$G1508,'🙎‍♂️ Pasien'!$U$5:$U1508),"")</f>
        <v>FUTSAL</v>
      </c>
      <c r="T238" s="97" t="s">
        <v>59</v>
      </c>
      <c r="U238" s="105">
        <v>7.0</v>
      </c>
      <c r="V238" s="101"/>
      <c r="W238" s="106" t="b">
        <v>1</v>
      </c>
      <c r="X238" s="107"/>
      <c r="Y238" s="108"/>
    </row>
    <row r="239" ht="22.5" customHeight="1">
      <c r="A239" s="96"/>
      <c r="B239" s="97" t="s">
        <v>85</v>
      </c>
      <c r="C239" s="98" t="str">
        <f t="array" ref="C239">IFNA(XLOOKUP(J239,'⚙️ Pengaturan'!$H$5:$H1508,'⚙️ Pengaturan'!$I$5:$I1508),"")</f>
        <v>TIM Y</v>
      </c>
      <c r="D239" s="97" t="s">
        <v>86</v>
      </c>
      <c r="E239" s="99">
        <v>45945.0</v>
      </c>
      <c r="F239" s="100" t="str">
        <f t="shared" si="1"/>
        <v>2025</v>
      </c>
      <c r="G239" s="100" t="str">
        <f t="shared" si="2"/>
        <v>10Okt</v>
      </c>
      <c r="H239" s="100" t="str">
        <f t="shared" si="3"/>
        <v>Rabu</v>
      </c>
      <c r="I239" s="97" t="s">
        <v>97</v>
      </c>
      <c r="J239" s="97" t="s">
        <v>88</v>
      </c>
      <c r="K239" s="97" t="s">
        <v>63</v>
      </c>
      <c r="L239" s="101" t="s">
        <v>98</v>
      </c>
      <c r="M239" s="102" t="str">
        <f>IFNA(VLOOKUP(L239,'🙎‍♂️ Pasien'!G:V,2,FALSE),"")</f>
        <v>L9925048099</v>
      </c>
      <c r="N239" s="103">
        <f>IFNA(VLOOKUP(L239,'🙎‍♂️ Pasien'!G:L,3,FALSE),"")</f>
        <v>26</v>
      </c>
      <c r="O239" s="104" t="str">
        <f>IFNA(VLOOKUP(L239,'🙎‍♂️ Pasien'!G:V,6,FALSE),"")</f>
        <v>PEREMPUAN</v>
      </c>
      <c r="P239" s="104" t="str">
        <f>IFNA(VLOOKUP(L239,'🙎‍♂️ Pasien'!G:V,12,FALSE),"")</f>
        <v>KATOLIK</v>
      </c>
      <c r="Q239" s="104" t="str">
        <f>IFNA(VLOOKUP(L239:L1508,'🙎‍♂️ Pasien'!G:V,13,FALSE),"")</f>
        <v>ACCOUNTING</v>
      </c>
      <c r="R239" s="104" t="str">
        <f t="array" ref="R239">ifna(xlookup(L239,'🙎‍♂️ Pasien'!$G$5:$G1508,'🙎‍♂️ Pasien'!$T$5:$T1508),"")</f>
        <v>NYERI TULANG BELAKANG SAMPAI KAKI, NYERI DI BAGIAN LUTUT JUGA</v>
      </c>
      <c r="S239" s="104" t="str">
        <f t="array" ref="S239">ifna(xlookup(L239,'🙎‍♂️ Pasien'!$G$5:$G1508,'🙎‍♂️ Pasien'!$U$5:$U1508),"")</f>
        <v>BANYAK DUDUK</v>
      </c>
      <c r="T239" s="97" t="s">
        <v>59</v>
      </c>
      <c r="U239" s="105">
        <v>9.0</v>
      </c>
      <c r="V239" s="101"/>
      <c r="W239" s="106" t="b">
        <v>1</v>
      </c>
      <c r="X239" s="107"/>
      <c r="Y239" s="108"/>
    </row>
    <row r="240" ht="22.5" customHeight="1">
      <c r="A240" s="96"/>
      <c r="B240" s="97" t="s">
        <v>85</v>
      </c>
      <c r="C240" s="98" t="str">
        <f t="array" ref="C240">IFNA(XLOOKUP(J240,'⚙️ Pengaturan'!$H$5:$H1508,'⚙️ Pengaturan'!$I$5:$I1508),"")</f>
        <v>TIM Y</v>
      </c>
      <c r="D240" s="97" t="s">
        <v>86</v>
      </c>
      <c r="E240" s="99">
        <v>45945.0</v>
      </c>
      <c r="F240" s="100" t="str">
        <f t="shared" si="1"/>
        <v>2025</v>
      </c>
      <c r="G240" s="100" t="str">
        <f t="shared" si="2"/>
        <v>10Okt</v>
      </c>
      <c r="H240" s="100" t="str">
        <f t="shared" si="3"/>
        <v>Rabu</v>
      </c>
      <c r="I240" s="97" t="s">
        <v>97</v>
      </c>
      <c r="J240" s="97" t="s">
        <v>107</v>
      </c>
      <c r="K240" s="97" t="s">
        <v>57</v>
      </c>
      <c r="L240" s="101" t="s">
        <v>267</v>
      </c>
      <c r="M240" s="102" t="str">
        <f>IFNA(VLOOKUP(L240,'🙎‍♂️ Pasien'!G:V,2,FALSE),"")</f>
        <v>R8825109439</v>
      </c>
      <c r="N240" s="103">
        <f>IFNA(VLOOKUP(L240,'🙎‍♂️ Pasien'!G:L,3,FALSE),"")</f>
        <v>38</v>
      </c>
      <c r="O240" s="104" t="str">
        <f>IFNA(VLOOKUP(L240,'🙎‍♂️ Pasien'!G:V,6,FALSE),"")</f>
        <v>LAKI-LAKI</v>
      </c>
      <c r="P240" s="104" t="str">
        <f>IFNA(VLOOKUP(L240,'🙎‍♂️ Pasien'!G:V,12,FALSE),"")</f>
        <v>KATOLIK</v>
      </c>
      <c r="Q240" s="104" t="str">
        <f>IFNA(VLOOKUP(L240:L1508,'🙎‍♂️ Pasien'!G:V,13,FALSE),"")</f>
        <v>KARYAWAN SWASTA</v>
      </c>
      <c r="R240" s="104" t="str">
        <f t="array" ref="R240">ifna(xlookup(L240,'🙎‍♂️ Pasien'!$G$5:$G1508,'🙎‍♂️ Pasien'!$T$5:$T1508),"")</f>
        <v>ASSESSMENT BADAN UNTUK PERSIAPAN LARI MARATON</v>
      </c>
      <c r="S240" s="104" t="str">
        <f t="array" ref="S240">ifna(xlookup(L240,'🙎‍♂️ Pasien'!$G$5:$G1508,'🙎‍♂️ Pasien'!$U$5:$U1508),"")</f>
        <v>LARI</v>
      </c>
      <c r="T240" s="97" t="s">
        <v>59</v>
      </c>
      <c r="U240" s="105" t="s">
        <v>60</v>
      </c>
      <c r="V240" s="101"/>
      <c r="W240" s="106" t="b">
        <v>1</v>
      </c>
      <c r="X240" s="107"/>
      <c r="Y240" s="108"/>
    </row>
    <row r="241" ht="22.5" customHeight="1">
      <c r="A241" s="96"/>
      <c r="B241" s="97" t="s">
        <v>85</v>
      </c>
      <c r="C241" s="98" t="str">
        <f t="array" ref="C241">IFNA(XLOOKUP(J241,'⚙️ Pengaturan'!$H$5:$H1508,'⚙️ Pengaturan'!$I$5:$I1508),"")</f>
        <v>TIM Y</v>
      </c>
      <c r="D241" s="97" t="s">
        <v>86</v>
      </c>
      <c r="E241" s="99">
        <v>45945.0</v>
      </c>
      <c r="F241" s="100" t="str">
        <f t="shared" si="1"/>
        <v>2025</v>
      </c>
      <c r="G241" s="100" t="str">
        <f t="shared" si="2"/>
        <v>10Okt</v>
      </c>
      <c r="H241" s="100" t="str">
        <f t="shared" si="3"/>
        <v>Rabu</v>
      </c>
      <c r="I241" s="97" t="s">
        <v>99</v>
      </c>
      <c r="J241" s="97" t="s">
        <v>88</v>
      </c>
      <c r="K241" s="97" t="s">
        <v>69</v>
      </c>
      <c r="L241" s="101" t="s">
        <v>268</v>
      </c>
      <c r="M241" s="102" t="str">
        <f>IFNA(VLOOKUP(L241,'🙎‍♂️ Pasien'!G:V,2,FALSE),"")</f>
        <v>F1025100245</v>
      </c>
      <c r="N241" s="103">
        <f>IFNA(VLOOKUP(L241,'🙎‍♂️ Pasien'!G:L,3,FALSE),"")</f>
        <v>15</v>
      </c>
      <c r="O241" s="104" t="str">
        <f>IFNA(VLOOKUP(L241,'🙎‍♂️ Pasien'!G:V,6,FALSE),"")</f>
        <v>LAKI-LAKI</v>
      </c>
      <c r="P241" s="104" t="str">
        <f>IFNA(VLOOKUP(L241,'🙎‍♂️ Pasien'!G:V,12,FALSE),"")</f>
        <v>ISLAM</v>
      </c>
      <c r="Q241" s="104" t="str">
        <f>IFNA(VLOOKUP(L241:L1508,'🙎‍♂️ Pasien'!G:V,13,FALSE),"")</f>
        <v>PELAJAR</v>
      </c>
      <c r="R241" s="104" t="str">
        <f t="array" ref="R241">ifna(xlookup(L241,'🙎‍♂️ Pasien'!$G$5:$G1508,'🙎‍♂️ Pasien'!$T$5:$T1508),"")</f>
        <v>DISLOKASI LUTUT, SERING GESER</v>
      </c>
      <c r="S241" s="104" t="str">
        <f t="array" ref="S241">ifna(xlookup(L241,'🙎‍♂️ Pasien'!$G$5:$G1508,'🙎‍♂️ Pasien'!$U$5:$U1508),"")</f>
        <v>SERING GESER LUTUT</v>
      </c>
      <c r="T241" s="97" t="s">
        <v>59</v>
      </c>
      <c r="U241" s="105" t="s">
        <v>60</v>
      </c>
      <c r="V241" s="101"/>
      <c r="W241" s="106" t="b">
        <v>1</v>
      </c>
      <c r="X241" s="107"/>
      <c r="Y241" s="108"/>
    </row>
    <row r="242" ht="22.5" customHeight="1">
      <c r="A242" s="96"/>
      <c r="B242" s="97" t="s">
        <v>85</v>
      </c>
      <c r="C242" s="98" t="str">
        <f t="array" ref="C242">IFNA(XLOOKUP(J242,'⚙️ Pengaturan'!$H$5:$H1508,'⚙️ Pengaturan'!$I$5:$I1508),"")</f>
        <v>TIM Y</v>
      </c>
      <c r="D242" s="97" t="s">
        <v>86</v>
      </c>
      <c r="E242" s="99">
        <v>45945.0</v>
      </c>
      <c r="F242" s="100" t="str">
        <f t="shared" si="1"/>
        <v>2025</v>
      </c>
      <c r="G242" s="100" t="str">
        <f t="shared" si="2"/>
        <v>10Okt</v>
      </c>
      <c r="H242" s="100" t="str">
        <f t="shared" si="3"/>
        <v>Rabu</v>
      </c>
      <c r="I242" s="97" t="s">
        <v>99</v>
      </c>
      <c r="J242" s="97" t="s">
        <v>107</v>
      </c>
      <c r="K242" s="97" t="s">
        <v>69</v>
      </c>
      <c r="L242" s="101" t="s">
        <v>242</v>
      </c>
      <c r="M242" s="102" t="str">
        <f>IFNA(VLOOKUP(L242,'🙎‍♂️ Pasien'!G:V,2,FALSE),"")</f>
        <v>J9425106812</v>
      </c>
      <c r="N242" s="103">
        <f>IFNA(VLOOKUP(L242,'🙎‍♂️ Pasien'!G:L,3,FALSE),"")</f>
        <v>31</v>
      </c>
      <c r="O242" s="104" t="str">
        <f>IFNA(VLOOKUP(L242,'🙎‍♂️ Pasien'!G:V,6,FALSE),"")</f>
        <v>LAKI-LAKI</v>
      </c>
      <c r="P242" s="104" t="str">
        <f>IFNA(VLOOKUP(L242,'🙎‍♂️ Pasien'!G:V,12,FALSE),"")</f>
        <v>PROTESTAN</v>
      </c>
      <c r="Q242" s="104" t="str">
        <f>IFNA(VLOOKUP(L242:L1508,'🙎‍♂️ Pasien'!G:V,13,FALSE),"")</f>
        <v>WIRASWASTA</v>
      </c>
      <c r="R242" s="104" t="str">
        <f t="array" ref="R242">ifna(xlookup(L242,'🙎‍♂️ Pasien'!$G$5:$G1508,'🙎‍♂️ Pasien'!$T$5:$T1508),"")</f>
        <v>PELATAR</v>
      </c>
      <c r="S242" s="104" t="str">
        <f t="array" ref="S242">ifna(xlookup(L242,'🙎‍♂️ Pasien'!$G$5:$G1508,'🙎‍♂️ Pasien'!$U$5:$U1508),"")</f>
        <v>SEPAK BOLA</v>
      </c>
      <c r="T242" s="97" t="s">
        <v>67</v>
      </c>
      <c r="U242" s="105" t="s">
        <v>60</v>
      </c>
      <c r="V242" s="101" t="s">
        <v>269</v>
      </c>
      <c r="W242" s="106" t="b">
        <v>1</v>
      </c>
      <c r="X242" s="107"/>
      <c r="Y242" s="108"/>
    </row>
    <row r="243" ht="22.5" customHeight="1">
      <c r="A243" s="96"/>
      <c r="B243" s="97" t="s">
        <v>53</v>
      </c>
      <c r="C243" s="98" t="str">
        <f t="array" ref="C243">IFNA(XLOOKUP(J243,'⚙️ Pengaturan'!$H$5:$H1508,'⚙️ Pengaturan'!$I$5:$I1508),"")</f>
        <v>MANAJEMEN</v>
      </c>
      <c r="D243" s="97" t="s">
        <v>86</v>
      </c>
      <c r="E243" s="99">
        <v>45946.0</v>
      </c>
      <c r="F243" s="100" t="str">
        <f t="shared" si="1"/>
        <v>2025</v>
      </c>
      <c r="G243" s="100" t="str">
        <f t="shared" si="2"/>
        <v>10Okt</v>
      </c>
      <c r="H243" s="100" t="str">
        <f t="shared" si="3"/>
        <v>Kamis</v>
      </c>
      <c r="I243" s="97" t="s">
        <v>55</v>
      </c>
      <c r="J243" s="97" t="s">
        <v>101</v>
      </c>
      <c r="K243" s="97" t="s">
        <v>63</v>
      </c>
      <c r="L243" s="101" t="s">
        <v>102</v>
      </c>
      <c r="M243" s="102" t="str">
        <f>IFNA(VLOOKUP(L243,'🙎‍♂️ Pasien'!G:V,2,FALSE),"")</f>
        <v>B8525075344</v>
      </c>
      <c r="N243" s="103">
        <f>IFNA(VLOOKUP(L243,'🙎‍♂️ Pasien'!G:L,3,FALSE),"")</f>
        <v>40</v>
      </c>
      <c r="O243" s="104" t="str">
        <f>IFNA(VLOOKUP(L243,'🙎‍♂️ Pasien'!G:V,6,FALSE),"")</f>
        <v>LAKI-LAKI</v>
      </c>
      <c r="P243" s="104" t="str">
        <f>IFNA(VLOOKUP(L243,'🙎‍♂️ Pasien'!G:V,12,FALSE),"")</f>
        <v>ISLAM</v>
      </c>
      <c r="Q243" s="104" t="str">
        <f>IFNA(VLOOKUP(L243:L1508,'🙎‍♂️ Pasien'!G:V,13,FALSE),"")</f>
        <v>WIRAUSAHA</v>
      </c>
      <c r="R243" s="104" t="str">
        <f t="array" ref="R243">ifna(xlookup(L243,'🙎‍♂️ Pasien'!$G$5:$G1508,'🙎‍♂️ Pasien'!$T$5:$T1508),"")</f>
        <v>NYERI LUTUT</v>
      </c>
      <c r="S243" s="104" t="str">
        <f t="array" ref="S243">ifna(xlookup(L243,'🙎‍♂️ Pasien'!$G$5:$G1508,'🙎‍♂️ Pasien'!$U$5:$U1508),"")</f>
        <v>JOGGING</v>
      </c>
      <c r="T243" s="97" t="s">
        <v>59</v>
      </c>
      <c r="U243" s="105">
        <v>3.0</v>
      </c>
      <c r="V243" s="101" t="s">
        <v>270</v>
      </c>
      <c r="W243" s="106" t="b">
        <v>1</v>
      </c>
      <c r="X243" s="107"/>
      <c r="Y243" s="108"/>
    </row>
    <row r="244" ht="22.5" customHeight="1">
      <c r="A244" s="96"/>
      <c r="B244" s="97" t="s">
        <v>53</v>
      </c>
      <c r="C244" s="98" t="str">
        <f t="array" ref="C244">IFNA(XLOOKUP(J244,'⚙️ Pengaturan'!$H$5:$H1508,'⚙️ Pengaturan'!$I$5:$I1508),"")</f>
        <v>TIM Y</v>
      </c>
      <c r="D244" s="97" t="s">
        <v>86</v>
      </c>
      <c r="E244" s="99">
        <v>45946.0</v>
      </c>
      <c r="F244" s="100" t="str">
        <f t="shared" si="1"/>
        <v>2025</v>
      </c>
      <c r="G244" s="100" t="str">
        <f t="shared" si="2"/>
        <v>10Okt</v>
      </c>
      <c r="H244" s="100" t="str">
        <f t="shared" si="3"/>
        <v>Kamis</v>
      </c>
      <c r="I244" s="97" t="s">
        <v>55</v>
      </c>
      <c r="J244" s="97" t="s">
        <v>91</v>
      </c>
      <c r="K244" s="97" t="s">
        <v>69</v>
      </c>
      <c r="L244" s="101" t="s">
        <v>173</v>
      </c>
      <c r="M244" s="102" t="str">
        <f>IFNA(VLOOKUP(L244,'🙎‍♂️ Pasien'!G:V,2,FALSE),"")</f>
        <v>E8025071596</v>
      </c>
      <c r="N244" s="103">
        <f>IFNA(VLOOKUP(L244,'🙎‍♂️ Pasien'!G:L,3,FALSE),"")</f>
        <v>45</v>
      </c>
      <c r="O244" s="104" t="str">
        <f>IFNA(VLOOKUP(L244,'🙎‍♂️ Pasien'!G:V,6,FALSE),"")</f>
        <v>PEREMPUAN</v>
      </c>
      <c r="P244" s="104" t="str">
        <f>IFNA(VLOOKUP(L244,'🙎‍♂️ Pasien'!G:V,12,FALSE),"")</f>
        <v>KATOLIK</v>
      </c>
      <c r="Q244" s="104" t="str">
        <f>IFNA(VLOOKUP(L244:L1508,'🙎‍♂️ Pasien'!G:V,13,FALSE),"")</f>
        <v>IBU RUMAH TANGGA</v>
      </c>
      <c r="R244" s="104" t="str">
        <f t="array" ref="R244">ifna(xlookup(L244,'🙎‍♂️ Pasien'!$G$5:$G1508,'🙎‍♂️ Pasien'!$T$5:$T1508),"")</f>
        <v>TULANG PUNGGU BAGIAN BAWAH SAKIT</v>
      </c>
      <c r="S244" s="104" t="str">
        <f t="array" ref="S244">ifna(xlookup(L244,'🙎‍♂️ Pasien'!$G$5:$G1508,'🙎‍♂️ Pasien'!$U$5:$U1508),"")</f>
        <v>YOGA</v>
      </c>
      <c r="T244" s="97" t="s">
        <v>67</v>
      </c>
      <c r="U244" s="105" t="s">
        <v>60</v>
      </c>
      <c r="V244" s="101" t="s">
        <v>271</v>
      </c>
      <c r="W244" s="106" t="b">
        <v>1</v>
      </c>
      <c r="X244" s="107"/>
      <c r="Y244" s="108"/>
    </row>
    <row r="245" ht="22.5" customHeight="1">
      <c r="A245" s="96"/>
      <c r="B245" s="97" t="s">
        <v>53</v>
      </c>
      <c r="C245" s="98" t="str">
        <f t="array" ref="C245">IFNA(XLOOKUP(J245,'⚙️ Pengaturan'!$H$5:$H1508,'⚙️ Pengaturan'!$I$5:$I1508),"")</f>
        <v>TIM Y</v>
      </c>
      <c r="D245" s="97" t="s">
        <v>86</v>
      </c>
      <c r="E245" s="99">
        <v>45946.0</v>
      </c>
      <c r="F245" s="100" t="str">
        <f t="shared" si="1"/>
        <v>2025</v>
      </c>
      <c r="G245" s="100" t="str">
        <f t="shared" si="2"/>
        <v>10Okt</v>
      </c>
      <c r="H245" s="100" t="str">
        <f t="shared" si="3"/>
        <v>Kamis</v>
      </c>
      <c r="I245" s="97" t="s">
        <v>55</v>
      </c>
      <c r="J245" s="97" t="s">
        <v>91</v>
      </c>
      <c r="K245" s="97" t="s">
        <v>57</v>
      </c>
      <c r="L245" s="101" t="s">
        <v>272</v>
      </c>
      <c r="M245" s="102" t="str">
        <f>IFNA(VLOOKUP(L245,'🙎‍♂️ Pasien'!G:V,2,FALSE),"")</f>
        <v>H6725101225</v>
      </c>
      <c r="N245" s="103">
        <f>IFNA(VLOOKUP(L245,'🙎‍♂️ Pasien'!G:L,3,FALSE),"")</f>
        <v>59</v>
      </c>
      <c r="O245" s="104" t="str">
        <f>IFNA(VLOOKUP(L245,'🙎‍♂️ Pasien'!G:V,6,FALSE),"")</f>
        <v>PEREMPUAN</v>
      </c>
      <c r="P245" s="104" t="str">
        <f>IFNA(VLOOKUP(L245,'🙎‍♂️ Pasien'!G:V,12,FALSE),"")</f>
        <v>ISLAM</v>
      </c>
      <c r="Q245" s="104" t="str">
        <f>IFNA(VLOOKUP(L245:L1508,'🙎‍♂️ Pasien'!G:V,13,FALSE),"")</f>
        <v>IRT</v>
      </c>
      <c r="R245" s="104" t="str">
        <f t="array" ref="R245">ifna(xlookup(L245,'🙎‍♂️ Pasien'!$G$5:$G1508,'🙎‍♂️ Pasien'!$T$5:$T1508),"")</f>
        <v>KAKI</v>
      </c>
      <c r="S245" s="104" t="str">
        <f t="array" ref="S245">ifna(xlookup(L245,'🙎‍♂️ Pasien'!$G$5:$G1508,'🙎‍♂️ Pasien'!$U$5:$U1508),"")</f>
        <v>-</v>
      </c>
      <c r="T245" s="97" t="s">
        <v>59</v>
      </c>
      <c r="U245" s="105" t="s">
        <v>60</v>
      </c>
      <c r="V245" s="101"/>
      <c r="W245" s="106" t="b">
        <v>1</v>
      </c>
      <c r="X245" s="107"/>
      <c r="Y245" s="108"/>
    </row>
    <row r="246" ht="22.5" customHeight="1">
      <c r="A246" s="96"/>
      <c r="B246" s="97" t="s">
        <v>53</v>
      </c>
      <c r="C246" s="98" t="str">
        <f t="array" ref="C246">IFNA(XLOOKUP(J246,'⚙️ Pengaturan'!$H$5:$H1508,'⚙️ Pengaturan'!$I$5:$I1508),"")</f>
        <v>MANAJEMEN</v>
      </c>
      <c r="D246" s="97" t="s">
        <v>86</v>
      </c>
      <c r="E246" s="99">
        <v>45946.0</v>
      </c>
      <c r="F246" s="100" t="str">
        <f t="shared" si="1"/>
        <v>2025</v>
      </c>
      <c r="G246" s="100" t="str">
        <f t="shared" si="2"/>
        <v>10Okt</v>
      </c>
      <c r="H246" s="100" t="str">
        <f t="shared" si="3"/>
        <v>Kamis</v>
      </c>
      <c r="I246" s="97" t="s">
        <v>55</v>
      </c>
      <c r="J246" s="97" t="s">
        <v>81</v>
      </c>
      <c r="K246" s="97" t="s">
        <v>63</v>
      </c>
      <c r="L246" s="101" t="s">
        <v>273</v>
      </c>
      <c r="M246" s="102" t="str">
        <f>IFNA(VLOOKUP(L246,'🙎‍♂️ Pasien'!G:V,2,FALSE),"")</f>
        <v>H6325042095</v>
      </c>
      <c r="N246" s="103">
        <f>IFNA(VLOOKUP(L246,'🙎‍♂️ Pasien'!G:L,3,FALSE),"")</f>
        <v>63</v>
      </c>
      <c r="O246" s="104" t="str">
        <f>IFNA(VLOOKUP(L246,'🙎‍♂️ Pasien'!G:V,6,FALSE),"")</f>
        <v>LAKI-LAKI</v>
      </c>
      <c r="P246" s="104" t="str">
        <f>IFNA(VLOOKUP(L246,'🙎‍♂️ Pasien'!G:V,12,FALSE),"")</f>
        <v>KATOLIK</v>
      </c>
      <c r="Q246" s="104" t="str">
        <f>IFNA(VLOOKUP(L246:L1508,'🙎‍♂️ Pasien'!G:V,13,FALSE),"")</f>
        <v>SWASTA</v>
      </c>
      <c r="R246" s="104" t="str">
        <f t="array" ref="R246">ifna(xlookup(L246,'🙎‍♂️ Pasien'!$G$5:$G1508,'🙎‍♂️ Pasien'!$T$5:$T1508),"")</f>
        <v>STROKE SIKIT HAHAHA</v>
      </c>
      <c r="S246" s="104" t="str">
        <f t="array" ref="S246">ifna(xlookup(L246,'🙎‍♂️ Pasien'!$G$5:$G1508,'🙎‍♂️ Pasien'!$U$5:$U1508),"")</f>
        <v>MENGHASILKAN CUAN</v>
      </c>
      <c r="T246" s="97" t="s">
        <v>67</v>
      </c>
      <c r="U246" s="105">
        <v>4.0</v>
      </c>
      <c r="V246" s="101" t="s">
        <v>274</v>
      </c>
      <c r="W246" s="106" t="b">
        <v>1</v>
      </c>
      <c r="X246" s="107"/>
      <c r="Y246" s="108"/>
    </row>
    <row r="247" ht="22.5" customHeight="1">
      <c r="A247" s="96"/>
      <c r="B247" s="97" t="s">
        <v>53</v>
      </c>
      <c r="C247" s="98" t="str">
        <f t="array" ref="C247">IFNA(XLOOKUP(J247,'⚙️ Pengaturan'!$H$5:$H1508,'⚙️ Pengaturan'!$I$5:$I1508),"")</f>
        <v>TIM Y</v>
      </c>
      <c r="D247" s="97" t="s">
        <v>86</v>
      </c>
      <c r="E247" s="99">
        <v>45946.0</v>
      </c>
      <c r="F247" s="100" t="str">
        <f t="shared" si="1"/>
        <v>2025</v>
      </c>
      <c r="G247" s="100" t="str">
        <f t="shared" si="2"/>
        <v>10Okt</v>
      </c>
      <c r="H247" s="100" t="str">
        <f t="shared" si="3"/>
        <v>Kamis</v>
      </c>
      <c r="I247" s="97" t="s">
        <v>65</v>
      </c>
      <c r="J247" s="97" t="s">
        <v>107</v>
      </c>
      <c r="K247" s="97" t="s">
        <v>63</v>
      </c>
      <c r="L247" s="101" t="s">
        <v>193</v>
      </c>
      <c r="M247" s="102" t="str">
        <f>IFNA(VLOOKUP(L247,'🙎‍♂️ Pasien'!G:V,2,FALSE),"")</f>
        <v>E8925075615</v>
      </c>
      <c r="N247" s="103">
        <f>IFNA(VLOOKUP(L247,'🙎‍♂️ Pasien'!G:L,3,FALSE),"")</f>
        <v>36</v>
      </c>
      <c r="O247" s="104" t="str">
        <f>IFNA(VLOOKUP(L247,'🙎‍♂️ Pasien'!G:V,6,FALSE),"")</f>
        <v>PEREMPUAN</v>
      </c>
      <c r="P247" s="104" t="str">
        <f>IFNA(VLOOKUP(L247,'🙎‍♂️ Pasien'!G:V,12,FALSE),"")</f>
        <v>KATOLIK</v>
      </c>
      <c r="Q247" s="104" t="str">
        <f>IFNA(VLOOKUP(L247:L1508,'🙎‍♂️ Pasien'!G:V,13,FALSE),"")</f>
        <v>WIRASWASTA</v>
      </c>
      <c r="R247" s="104" t="str">
        <f t="array" ref="R247">ifna(xlookup(L247,'🙎‍♂️ Pasien'!$G$5:$G1508,'🙎‍♂️ Pasien'!$T$5:$T1508),"")</f>
        <v>BUNION</v>
      </c>
      <c r="S247" s="104" t="str">
        <f t="array" ref="S247">ifna(xlookup(L247,'🙎‍♂️ Pasien'!$G$5:$G1508,'🙎‍♂️ Pasien'!$U$5:$U1508),"")</f>
        <v>TENNIS</v>
      </c>
      <c r="T247" s="97" t="s">
        <v>59</v>
      </c>
      <c r="U247" s="105">
        <v>8.0</v>
      </c>
      <c r="V247" s="101"/>
      <c r="W247" s="106" t="b">
        <v>1</v>
      </c>
      <c r="X247" s="107"/>
      <c r="Y247" s="108"/>
    </row>
    <row r="248" ht="22.5" customHeight="1">
      <c r="A248" s="96"/>
      <c r="B248" s="97" t="s">
        <v>53</v>
      </c>
      <c r="C248" s="98" t="str">
        <f t="array" ref="C248">IFNA(XLOOKUP(J248,'⚙️ Pengaturan'!$H$5:$H1508,'⚙️ Pengaturan'!$I$5:$I1508),"")</f>
        <v>MANAJEMEN</v>
      </c>
      <c r="D248" s="97" t="s">
        <v>86</v>
      </c>
      <c r="E248" s="99">
        <v>45946.0</v>
      </c>
      <c r="F248" s="100" t="str">
        <f t="shared" si="1"/>
        <v>2025</v>
      </c>
      <c r="G248" s="100" t="str">
        <f t="shared" si="2"/>
        <v>10Okt</v>
      </c>
      <c r="H248" s="100" t="str">
        <f t="shared" si="3"/>
        <v>Kamis</v>
      </c>
      <c r="I248" s="97" t="s">
        <v>65</v>
      </c>
      <c r="J248" s="97" t="s">
        <v>101</v>
      </c>
      <c r="K248" s="97" t="s">
        <v>69</v>
      </c>
      <c r="L248" s="101" t="s">
        <v>82</v>
      </c>
      <c r="M248" s="102" t="str">
        <f>IFNA(VLOOKUP(L248,'🙎‍♂️ Pasien'!G:V,2,FALSE),"")</f>
        <v>S8025102353</v>
      </c>
      <c r="N248" s="103">
        <f>IFNA(VLOOKUP(L248,'🙎‍♂️ Pasien'!G:L,3,FALSE),"")</f>
        <v>46</v>
      </c>
      <c r="O248" s="104" t="str">
        <f>IFNA(VLOOKUP(L248,'🙎‍♂️ Pasien'!G:V,6,FALSE),"")</f>
        <v>LAKI-LAKI</v>
      </c>
      <c r="P248" s="104" t="str">
        <f>IFNA(VLOOKUP(L248,'🙎‍♂️ Pasien'!G:V,12,FALSE),"")</f>
        <v>ISLAM</v>
      </c>
      <c r="Q248" s="104" t="str">
        <f>IFNA(VLOOKUP(L248:L1508,'🙎‍♂️ Pasien'!G:V,13,FALSE),"")</f>
        <v>KARYAWAN HONORER</v>
      </c>
      <c r="R248" s="104" t="str">
        <f t="array" ref="R248">ifna(xlookup(L248,'🙎‍♂️ Pasien'!$G$5:$G1508,'🙎‍♂️ Pasien'!$T$5:$T1508),"")</f>
        <v>PINGGANG SAMPAI KAKI</v>
      </c>
      <c r="S248" s="104" t="str">
        <f t="array" ref="S248">ifna(xlookup(L248,'🙎‍♂️ Pasien'!$G$5:$G1508,'🙎‍♂️ Pasien'!$U$5:$U1508),"")</f>
        <v>SEPEDA DAN BULU TANGKIS</v>
      </c>
      <c r="T248" s="97" t="s">
        <v>59</v>
      </c>
      <c r="U248" s="105" t="s">
        <v>60</v>
      </c>
      <c r="V248" s="101"/>
      <c r="W248" s="106" t="b">
        <v>1</v>
      </c>
      <c r="X248" s="107"/>
      <c r="Y248" s="108"/>
    </row>
    <row r="249" ht="22.5" customHeight="1">
      <c r="A249" s="96"/>
      <c r="B249" s="97" t="s">
        <v>53</v>
      </c>
      <c r="C249" s="98" t="str">
        <f t="array" ref="C249">IFNA(XLOOKUP(J249,'⚙️ Pengaturan'!$H$5:$H1508,'⚙️ Pengaturan'!$I$5:$I1508),"")</f>
        <v>TIM Y</v>
      </c>
      <c r="D249" s="97" t="s">
        <v>86</v>
      </c>
      <c r="E249" s="99">
        <v>45946.0</v>
      </c>
      <c r="F249" s="100" t="str">
        <f t="shared" si="1"/>
        <v>2025</v>
      </c>
      <c r="G249" s="100" t="str">
        <f t="shared" si="2"/>
        <v>10Okt</v>
      </c>
      <c r="H249" s="100" t="str">
        <f t="shared" si="3"/>
        <v>Kamis</v>
      </c>
      <c r="I249" s="97" t="s">
        <v>74</v>
      </c>
      <c r="J249" s="97" t="s">
        <v>107</v>
      </c>
      <c r="K249" s="97" t="s">
        <v>63</v>
      </c>
      <c r="L249" s="101" t="s">
        <v>259</v>
      </c>
      <c r="M249" s="102" t="str">
        <f>IFNA(VLOOKUP(L249,'🙎‍♂️ Pasien'!G:V,2,FALSE),"")</f>
        <v>D8625106969</v>
      </c>
      <c r="N249" s="103">
        <f>IFNA(VLOOKUP(L249,'🙎‍♂️ Pasien'!G:L,3,FALSE),"")</f>
        <v>39</v>
      </c>
      <c r="O249" s="104" t="str">
        <f>IFNA(VLOOKUP(L249,'🙎‍♂️ Pasien'!G:V,6,FALSE),"")</f>
        <v>PEREMPUAN</v>
      </c>
      <c r="P249" s="104" t="str">
        <f>IFNA(VLOOKUP(L249,'🙎‍♂️ Pasien'!G:V,12,FALSE),"")</f>
        <v>ISLAM</v>
      </c>
      <c r="Q249" s="104" t="str">
        <f>IFNA(VLOOKUP(L249:L1508,'🙎‍♂️ Pasien'!G:V,13,FALSE),"")</f>
        <v>PNS</v>
      </c>
      <c r="R249" s="104" t="str">
        <f t="array" ref="R249">ifna(xlookup(L249,'🙎‍♂️ Pasien'!$G$5:$G1508,'🙎‍♂️ Pasien'!$T$5:$T1508),"")</f>
        <v>LUTUT DAN LENGAN KAKU</v>
      </c>
      <c r="S249" s="104" t="str">
        <f t="array" ref="S249">ifna(xlookup(L249,'🙎‍♂️ Pasien'!$G$5:$G1508,'🙎‍♂️ Pasien'!$U$5:$U1508),"")</f>
        <v>HANYA KE KANTOR</v>
      </c>
      <c r="T249" s="97" t="s">
        <v>59</v>
      </c>
      <c r="U249" s="105">
        <v>4.0</v>
      </c>
      <c r="V249" s="101"/>
      <c r="W249" s="106" t="b">
        <v>1</v>
      </c>
      <c r="X249" s="107"/>
      <c r="Y249" s="108"/>
    </row>
    <row r="250" ht="22.5" customHeight="1">
      <c r="A250" s="96"/>
      <c r="B250" s="97" t="s">
        <v>53</v>
      </c>
      <c r="C250" s="98" t="str">
        <f t="array" ref="C250">IFNA(XLOOKUP(J250,'⚙️ Pengaturan'!$H$5:$H1508,'⚙️ Pengaturan'!$I$5:$I1508),"")</f>
        <v>TIM Y</v>
      </c>
      <c r="D250" s="97" t="s">
        <v>86</v>
      </c>
      <c r="E250" s="99">
        <v>45946.0</v>
      </c>
      <c r="F250" s="100" t="str">
        <f t="shared" si="1"/>
        <v>2025</v>
      </c>
      <c r="G250" s="100" t="str">
        <f t="shared" si="2"/>
        <v>10Okt</v>
      </c>
      <c r="H250" s="100" t="str">
        <f t="shared" si="3"/>
        <v>Kamis</v>
      </c>
      <c r="I250" s="97" t="s">
        <v>74</v>
      </c>
      <c r="J250" s="97" t="s">
        <v>91</v>
      </c>
      <c r="K250" s="97" t="s">
        <v>57</v>
      </c>
      <c r="L250" s="101" t="s">
        <v>275</v>
      </c>
      <c r="M250" s="102" t="str">
        <f>IFNA(VLOOKUP(L250,'🙎‍♂️ Pasien'!G:V,2,FALSE),"")</f>
        <v>U6125104228</v>
      </c>
      <c r="N250" s="103">
        <f>IFNA(VLOOKUP(L250,'🙎‍♂️ Pasien'!G:L,3,FALSE),"")</f>
        <v>64</v>
      </c>
      <c r="O250" s="104" t="str">
        <f>IFNA(VLOOKUP(L250,'🙎‍♂️ Pasien'!G:V,6,FALSE),"")</f>
        <v>PEREMPUAN</v>
      </c>
      <c r="P250" s="104" t="str">
        <f>IFNA(VLOOKUP(L250,'🙎‍♂️ Pasien'!G:V,12,FALSE),"")</f>
        <v>ISLAM</v>
      </c>
      <c r="Q250" s="104" t="str">
        <f>IFNA(VLOOKUP(L250:L1508,'🙎‍♂️ Pasien'!G:V,13,FALSE),"")</f>
        <v>PENSIUNAN GURU PNS</v>
      </c>
      <c r="R250" s="104" t="str">
        <f t="array" ref="R250">ifna(xlookup(L250,'🙎‍♂️ Pasien'!$G$5:$G1508,'🙎‍♂️ Pasien'!$T$5:$T1508),"")</f>
        <v>NYERI TANGAN KIRI</v>
      </c>
      <c r="S250" s="104" t="str">
        <f t="array" ref="S250">ifna(xlookup(L250,'🙎‍♂️ Pasien'!$G$5:$G1508,'🙎‍♂️ Pasien'!$U$5:$U1508),"")</f>
        <v>-</v>
      </c>
      <c r="T250" s="97" t="s">
        <v>67</v>
      </c>
      <c r="U250" s="105" t="s">
        <v>60</v>
      </c>
      <c r="V250" s="101" t="s">
        <v>276</v>
      </c>
      <c r="W250" s="106" t="b">
        <v>1</v>
      </c>
      <c r="X250" s="107"/>
      <c r="Y250" s="108"/>
    </row>
    <row r="251" ht="22.5" customHeight="1">
      <c r="A251" s="96"/>
      <c r="B251" s="97" t="s">
        <v>53</v>
      </c>
      <c r="C251" s="98" t="str">
        <f t="array" ref="C251">IFNA(XLOOKUP(J251,'⚙️ Pengaturan'!$H$5:$H1508,'⚙️ Pengaturan'!$I$5:$I1508),"")</f>
        <v>TIM Y</v>
      </c>
      <c r="D251" s="97" t="s">
        <v>86</v>
      </c>
      <c r="E251" s="99">
        <v>45946.0</v>
      </c>
      <c r="F251" s="100" t="str">
        <f t="shared" si="1"/>
        <v>2025</v>
      </c>
      <c r="G251" s="100" t="str">
        <f t="shared" si="2"/>
        <v>10Okt</v>
      </c>
      <c r="H251" s="100" t="str">
        <f t="shared" si="3"/>
        <v>Kamis</v>
      </c>
      <c r="I251" s="97" t="s">
        <v>76</v>
      </c>
      <c r="J251" s="97" t="s">
        <v>91</v>
      </c>
      <c r="K251" s="97" t="s">
        <v>63</v>
      </c>
      <c r="L251" s="101" t="s">
        <v>113</v>
      </c>
      <c r="M251" s="102" t="str">
        <f>IFNA(VLOOKUP(L251,'🙎‍♂️ Pasien'!G:V,2,FALSE),"")</f>
        <v>H5325098176</v>
      </c>
      <c r="N251" s="103">
        <f>IFNA(VLOOKUP(L251,'🙎‍♂️ Pasien'!G:L,3,FALSE),"")</f>
        <v>73</v>
      </c>
      <c r="O251" s="104" t="str">
        <f>IFNA(VLOOKUP(L251,'🙎‍♂️ Pasien'!G:V,6,FALSE),"")</f>
        <v>LAKI-LAKI</v>
      </c>
      <c r="P251" s="104" t="str">
        <f>IFNA(VLOOKUP(L251,'🙎‍♂️ Pasien'!G:V,12,FALSE),"")</f>
        <v>BUDDHA</v>
      </c>
      <c r="Q251" s="104" t="str">
        <f>IFNA(VLOOKUP(L251:L1508,'🙎‍♂️ Pasien'!G:V,13,FALSE),"")</f>
        <v>PENSIUN</v>
      </c>
      <c r="R251" s="104" t="str">
        <f t="array" ref="R251">ifna(xlookup(L251,'🙎‍♂️ Pasien'!$G$5:$G1508,'🙎‍♂️ Pasien'!$T$5:$T1508),"")</f>
        <v>KAKI GAK BISA JONGKOK</v>
      </c>
      <c r="S251" s="104" t="str">
        <f t="array" ref="S251">ifna(xlookup(L251,'🙎‍♂️ Pasien'!$G$5:$G1508,'🙎‍♂️ Pasien'!$U$5:$U1508),"")</f>
        <v>——</v>
      </c>
      <c r="T251" s="97" t="s">
        <v>59</v>
      </c>
      <c r="U251" s="105">
        <v>6.0</v>
      </c>
      <c r="V251" s="101"/>
      <c r="W251" s="106" t="b">
        <v>1</v>
      </c>
      <c r="X251" s="107"/>
      <c r="Y251" s="108"/>
    </row>
    <row r="252" ht="22.5" customHeight="1">
      <c r="A252" s="96"/>
      <c r="B252" s="97" t="s">
        <v>53</v>
      </c>
      <c r="C252" s="98" t="str">
        <f t="array" ref="C252">IFNA(XLOOKUP(J252,'⚙️ Pengaturan'!$H$5:$H1508,'⚙️ Pengaturan'!$I$5:$I1508),"")</f>
        <v>TIM Y</v>
      </c>
      <c r="D252" s="97" t="s">
        <v>86</v>
      </c>
      <c r="E252" s="99">
        <v>45946.0</v>
      </c>
      <c r="F252" s="100" t="str">
        <f t="shared" si="1"/>
        <v>2025</v>
      </c>
      <c r="G252" s="100" t="str">
        <f t="shared" si="2"/>
        <v>10Okt</v>
      </c>
      <c r="H252" s="100" t="str">
        <f t="shared" si="3"/>
        <v>Kamis</v>
      </c>
      <c r="I252" s="97" t="s">
        <v>76</v>
      </c>
      <c r="J252" s="97" t="s">
        <v>88</v>
      </c>
      <c r="K252" s="97" t="s">
        <v>63</v>
      </c>
      <c r="L252" s="101" t="s">
        <v>277</v>
      </c>
      <c r="M252" s="102" t="str">
        <f>IFNA(VLOOKUP(L252,'🙎‍♂️ Pasien'!G:V,2,FALSE),"")</f>
        <v>Z8125047588</v>
      </c>
      <c r="N252" s="103">
        <f>IFNA(VLOOKUP(L252,'🙎‍♂️ Pasien'!G:L,3,FALSE),"")</f>
        <v>45</v>
      </c>
      <c r="O252" s="104" t="str">
        <f>IFNA(VLOOKUP(L252,'🙎‍♂️ Pasien'!G:V,6,FALSE),"")</f>
        <v>LAKI-LAKI</v>
      </c>
      <c r="P252" s="104" t="str">
        <f>IFNA(VLOOKUP(L252,'🙎‍♂️ Pasien'!G:V,12,FALSE),"")</f>
        <v>ISLAM</v>
      </c>
      <c r="Q252" s="104" t="str">
        <f>IFNA(VLOOKUP(L252:L1508,'🙎‍♂️ Pasien'!G:V,13,FALSE),"")</f>
        <v>WIRASWASYA</v>
      </c>
      <c r="R252" s="104" t="str">
        <f t="array" ref="R252">ifna(xlookup(L252,'🙎‍♂️ Pasien'!$G$5:$G1508,'🙎‍♂️ Pasien'!$T$5:$T1508),"")</f>
        <v>SERING NYERI DIBAGIAN TENGKUK SEBELAH KIRI</v>
      </c>
      <c r="S252" s="104" t="str">
        <f t="array" ref="S252">ifna(xlookup(L252,'🙎‍♂️ Pasien'!$G$5:$G1508,'🙎‍♂️ Pasien'!$U$5:$U1508),"")</f>
        <v>MANCING</v>
      </c>
      <c r="T252" s="97" t="s">
        <v>67</v>
      </c>
      <c r="U252" s="105">
        <v>7.0</v>
      </c>
      <c r="V252" s="101" t="s">
        <v>278</v>
      </c>
      <c r="W252" s="106" t="b">
        <v>1</v>
      </c>
      <c r="X252" s="107"/>
      <c r="Y252" s="108"/>
    </row>
    <row r="253" ht="22.5" customHeight="1">
      <c r="A253" s="96"/>
      <c r="B253" s="97" t="s">
        <v>53</v>
      </c>
      <c r="C253" s="98" t="str">
        <f t="array" ref="C253">IFNA(XLOOKUP(J253,'⚙️ Pengaturan'!$H$5:$H1508,'⚙️ Pengaturan'!$I$5:$I1508),"")</f>
        <v>TIM Y</v>
      </c>
      <c r="D253" s="97" t="s">
        <v>86</v>
      </c>
      <c r="E253" s="99">
        <v>45946.0</v>
      </c>
      <c r="F253" s="100" t="str">
        <f t="shared" si="1"/>
        <v>2025</v>
      </c>
      <c r="G253" s="100" t="str">
        <f t="shared" si="2"/>
        <v>10Okt</v>
      </c>
      <c r="H253" s="100" t="str">
        <f t="shared" si="3"/>
        <v>Kamis</v>
      </c>
      <c r="I253" s="97" t="s">
        <v>83</v>
      </c>
      <c r="J253" s="97" t="s">
        <v>91</v>
      </c>
      <c r="K253" s="97" t="s">
        <v>63</v>
      </c>
      <c r="L253" s="101" t="s">
        <v>108</v>
      </c>
      <c r="M253" s="102" t="str">
        <f>IFNA(VLOOKUP(L253,'🙎‍♂️ Pasien'!G:V,2,FALSE),"")</f>
        <v>A5625092572</v>
      </c>
      <c r="N253" s="103">
        <f>IFNA(VLOOKUP(L253,'🙎‍♂️ Pasien'!G:L,3,FALSE),"")</f>
        <v>69</v>
      </c>
      <c r="O253" s="104" t="str">
        <f>IFNA(VLOOKUP(L253,'🙎‍♂️ Pasien'!G:V,6,FALSE),"")</f>
        <v>PEREMPUAN</v>
      </c>
      <c r="P253" s="104" t="str">
        <f>IFNA(VLOOKUP(L253,'🙎‍♂️ Pasien'!G:V,12,FALSE),"")</f>
        <v>ISLAM</v>
      </c>
      <c r="Q253" s="104" t="str">
        <f>IFNA(VLOOKUP(L253:L1508,'🙎‍♂️ Pasien'!G:V,13,FALSE),"")</f>
        <v>IRT</v>
      </c>
      <c r="R253" s="104" t="str">
        <f t="array" ref="R253">ifna(xlookup(L253,'🙎‍♂️ Pasien'!$G$5:$G1508,'🙎‍♂️ Pasien'!$T$5:$T1508),"")</f>
        <v>PINGGANG DAN KAKI</v>
      </c>
      <c r="S253" s="104" t="str">
        <f t="array" ref="S253">ifna(xlookup(L253,'🙎‍♂️ Pasien'!$G$5:$G1508,'🙎‍♂️ Pasien'!$U$5:$U1508),"")</f>
        <v>-</v>
      </c>
      <c r="T253" s="97" t="s">
        <v>59</v>
      </c>
      <c r="U253" s="105">
        <v>2.0</v>
      </c>
      <c r="V253" s="101"/>
      <c r="W253" s="106" t="b">
        <v>1</v>
      </c>
      <c r="X253" s="107"/>
      <c r="Y253" s="108"/>
    </row>
    <row r="254" ht="22.5" customHeight="1">
      <c r="A254" s="96"/>
      <c r="B254" s="97" t="s">
        <v>53</v>
      </c>
      <c r="C254" s="98" t="str">
        <f t="array" ref="C254">IFNA(XLOOKUP(J254,'⚙️ Pengaturan'!$H$5:$H1508,'⚙️ Pengaturan'!$I$5:$I1508),"")</f>
        <v>TIM Y</v>
      </c>
      <c r="D254" s="97" t="s">
        <v>86</v>
      </c>
      <c r="E254" s="99">
        <v>45946.0</v>
      </c>
      <c r="F254" s="100" t="str">
        <f t="shared" si="1"/>
        <v>2025</v>
      </c>
      <c r="G254" s="100" t="str">
        <f t="shared" si="2"/>
        <v>10Okt</v>
      </c>
      <c r="H254" s="100" t="str">
        <f t="shared" si="3"/>
        <v>Kamis</v>
      </c>
      <c r="I254" s="97" t="s">
        <v>83</v>
      </c>
      <c r="J254" s="97" t="s">
        <v>88</v>
      </c>
      <c r="K254" s="97" t="s">
        <v>63</v>
      </c>
      <c r="L254" s="101" t="s">
        <v>202</v>
      </c>
      <c r="M254" s="102" t="str">
        <f>IFNA(VLOOKUP(L254,'🙎‍♂️ Pasien'!G:V,2,FALSE),"")</f>
        <v>B9925104512</v>
      </c>
      <c r="N254" s="103">
        <f>IFNA(VLOOKUP(L254,'🙎‍♂️ Pasien'!G:L,3,FALSE),"")</f>
        <v>26</v>
      </c>
      <c r="O254" s="104" t="str">
        <f>IFNA(VLOOKUP(L254,'🙎‍♂️ Pasien'!G:V,6,FALSE),"")</f>
        <v>LAKI-LAKI</v>
      </c>
      <c r="P254" s="104" t="str">
        <f>IFNA(VLOOKUP(L254,'🙎‍♂️ Pasien'!G:V,12,FALSE),"")</f>
        <v>ISLAM</v>
      </c>
      <c r="Q254" s="104" t="str">
        <f>IFNA(VLOOKUP(L254:L1508,'🙎‍♂️ Pasien'!G:V,13,FALSE),"")</f>
        <v>SWASTA</v>
      </c>
      <c r="R254" s="104" t="str">
        <f t="array" ref="R254">ifna(xlookup(L254,'🙎‍♂️ Pasien'!$G$5:$G1508,'🙎‍♂️ Pasien'!$T$5:$T1508),"")</f>
        <v>CIDERA LUTUT SALAH TUMPUAN PAS MAIN BOLA</v>
      </c>
      <c r="S254" s="104" t="str">
        <f t="array" ref="S254">ifna(xlookup(L254,'🙎‍♂️ Pasien'!$G$5:$G1508,'🙎‍♂️ Pasien'!$U$5:$U1508),"")</f>
        <v>SEPAK BOLA</v>
      </c>
      <c r="T254" s="97" t="s">
        <v>67</v>
      </c>
      <c r="U254" s="105">
        <v>8.0</v>
      </c>
      <c r="V254" s="101" t="s">
        <v>278</v>
      </c>
      <c r="W254" s="106" t="b">
        <v>1</v>
      </c>
      <c r="X254" s="107"/>
      <c r="Y254" s="108"/>
    </row>
    <row r="255" ht="22.5" customHeight="1">
      <c r="A255" s="96"/>
      <c r="B255" s="97" t="s">
        <v>85</v>
      </c>
      <c r="C255" s="98" t="str">
        <f t="array" ref="C255">IFNA(XLOOKUP(J255,'⚙️ Pengaturan'!$H$5:$H1508,'⚙️ Pengaturan'!$I$5:$I1508),"")</f>
        <v>TIM A</v>
      </c>
      <c r="D255" s="97" t="s">
        <v>54</v>
      </c>
      <c r="E255" s="99">
        <v>45946.0</v>
      </c>
      <c r="F255" s="100" t="str">
        <f t="shared" si="1"/>
        <v>2025</v>
      </c>
      <c r="G255" s="100" t="str">
        <f t="shared" si="2"/>
        <v>10Okt</v>
      </c>
      <c r="H255" s="100" t="str">
        <f t="shared" si="3"/>
        <v>Kamis</v>
      </c>
      <c r="I255" s="97" t="s">
        <v>87</v>
      </c>
      <c r="J255" s="97" t="s">
        <v>79</v>
      </c>
      <c r="K255" s="97" t="s">
        <v>57</v>
      </c>
      <c r="L255" s="101" t="s">
        <v>279</v>
      </c>
      <c r="M255" s="102" t="str">
        <f>IFNA(VLOOKUP(L255,'🙎‍♂️ Pasien'!G:V,2,FALSE),"")</f>
        <v>F8825103616</v>
      </c>
      <c r="N255" s="103">
        <f>IFNA(VLOOKUP(L255,'🙎‍♂️ Pasien'!G:L,3,FALSE),"")</f>
        <v>38</v>
      </c>
      <c r="O255" s="104" t="str">
        <f>IFNA(VLOOKUP(L255,'🙎‍♂️ Pasien'!G:V,6,FALSE),"")</f>
        <v>PEREMPUAN</v>
      </c>
      <c r="P255" s="104" t="str">
        <f>IFNA(VLOOKUP(L255,'🙎‍♂️ Pasien'!G:V,12,FALSE),"")</f>
        <v>ISLAM</v>
      </c>
      <c r="Q255" s="104" t="str">
        <f>IFNA(VLOOKUP(L255:L1508,'🙎‍♂️ Pasien'!G:V,13,FALSE),"")</f>
        <v>PEGAWAI SWASTA</v>
      </c>
      <c r="R255" s="104" t="str">
        <f t="array" ref="R255">ifna(xlookup(L255,'🙎‍♂️ Pasien'!$G$5:$G1508,'🙎‍♂️ Pasien'!$T$5:$T1508),"")</f>
        <v>SAKIT PINGGANG</v>
      </c>
      <c r="S255" s="104" t="str">
        <f t="array" ref="S255">ifna(xlookup(L255,'🙎‍♂️ Pasien'!$G$5:$G1508,'🙎‍♂️ Pasien'!$U$5:$U1508),"")</f>
        <v>BADMINTON</v>
      </c>
      <c r="T255" s="97" t="s">
        <v>59</v>
      </c>
      <c r="U255" s="105" t="s">
        <v>60</v>
      </c>
      <c r="V255" s="101"/>
      <c r="W255" s="106" t="b">
        <v>1</v>
      </c>
      <c r="X255" s="107"/>
      <c r="Y255" s="108"/>
    </row>
    <row r="256" ht="22.5" customHeight="1">
      <c r="A256" s="96"/>
      <c r="B256" s="97" t="s">
        <v>85</v>
      </c>
      <c r="C256" s="98" t="str">
        <f t="array" ref="C256">IFNA(XLOOKUP(J256,'⚙️ Pengaturan'!$H$5:$H1508,'⚙️ Pengaturan'!$I$5:$I1508),"")</f>
        <v>TIM Y</v>
      </c>
      <c r="D256" s="97" t="s">
        <v>54</v>
      </c>
      <c r="E256" s="99">
        <v>45946.0</v>
      </c>
      <c r="F256" s="100" t="str">
        <f t="shared" si="1"/>
        <v>2025</v>
      </c>
      <c r="G256" s="100" t="str">
        <f t="shared" si="2"/>
        <v>10Okt</v>
      </c>
      <c r="H256" s="100" t="str">
        <f t="shared" si="3"/>
        <v>Kamis</v>
      </c>
      <c r="I256" s="97" t="s">
        <v>87</v>
      </c>
      <c r="J256" s="97" t="s">
        <v>56</v>
      </c>
      <c r="K256" s="97" t="s">
        <v>63</v>
      </c>
      <c r="L256" s="101" t="s">
        <v>119</v>
      </c>
      <c r="M256" s="102" t="str">
        <f>IFNA(VLOOKUP(L256,'🙎‍♂️ Pasien'!G:V,2,FALSE),"")</f>
        <v>H4623015667</v>
      </c>
      <c r="N256" s="103">
        <f>IFNA(VLOOKUP(L256,'🙎‍♂️ Pasien'!G:L,3,FALSE),"")</f>
        <v>80</v>
      </c>
      <c r="O256" s="104" t="str">
        <f>IFNA(VLOOKUP(L256,'🙎‍♂️ Pasien'!G:V,6,FALSE),"")</f>
        <v>LAKI-LAKI</v>
      </c>
      <c r="P256" s="104" t="str">
        <f>IFNA(VLOOKUP(L256,'🙎‍♂️ Pasien'!G:V,12,FALSE),"")</f>
        <v>ISLAM</v>
      </c>
      <c r="Q256" s="104" t="str">
        <f>IFNA(VLOOKUP(L256:L1508,'🙎‍♂️ Pasien'!G:V,13,FALSE),"")</f>
        <v>PENSIUN</v>
      </c>
      <c r="R256" s="104" t="str">
        <f t="array" ref="R256">ifna(xlookup(L256,'🙎‍♂️ Pasien'!$G$5:$G1508,'🙎‍♂️ Pasien'!$T$5:$T1508),"")</f>
        <v>STROKE</v>
      </c>
      <c r="S256" s="104" t="str">
        <f t="array" ref="S256">ifna(xlookup(L256,'🙎‍♂️ Pasien'!$G$5:$G1508,'🙎‍♂️ Pasien'!$U$5:$U1508),"")</f>
        <v/>
      </c>
      <c r="T256" s="97" t="s">
        <v>59</v>
      </c>
      <c r="U256" s="105">
        <v>2.0</v>
      </c>
      <c r="V256" s="101"/>
      <c r="W256" s="106" t="b">
        <v>1</v>
      </c>
      <c r="X256" s="107"/>
      <c r="Y256" s="108"/>
    </row>
    <row r="257" ht="22.5" customHeight="1">
      <c r="A257" s="96"/>
      <c r="B257" s="97" t="s">
        <v>85</v>
      </c>
      <c r="C257" s="98" t="str">
        <f t="array" ref="C257">IFNA(XLOOKUP(J257,'⚙️ Pengaturan'!$H$5:$H1508,'⚙️ Pengaturan'!$I$5:$I1508),"")</f>
        <v>TIM A</v>
      </c>
      <c r="D257" s="97" t="s">
        <v>54</v>
      </c>
      <c r="E257" s="99">
        <v>45946.0</v>
      </c>
      <c r="F257" s="100" t="str">
        <f t="shared" si="1"/>
        <v>2025</v>
      </c>
      <c r="G257" s="100" t="str">
        <f t="shared" si="2"/>
        <v>10Okt</v>
      </c>
      <c r="H257" s="100" t="str">
        <f t="shared" si="3"/>
        <v>Kamis</v>
      </c>
      <c r="I257" s="97" t="s">
        <v>93</v>
      </c>
      <c r="J257" s="97" t="s">
        <v>72</v>
      </c>
      <c r="K257" s="97" t="s">
        <v>63</v>
      </c>
      <c r="L257" s="101" t="s">
        <v>94</v>
      </c>
      <c r="M257" s="102" t="str">
        <f>IFNA(VLOOKUP(L257,'🙎‍♂️ Pasien'!G:V,2,FALSE),"")</f>
        <v>A0825098780</v>
      </c>
      <c r="N257" s="103">
        <f>IFNA(VLOOKUP(L257,'🙎‍♂️ Pasien'!G:L,3,FALSE),"")</f>
        <v>18</v>
      </c>
      <c r="O257" s="104" t="str">
        <f>IFNA(VLOOKUP(L257,'🙎‍♂️ Pasien'!G:V,6,FALSE),"")</f>
        <v>PEREMPUAN</v>
      </c>
      <c r="P257" s="104" t="str">
        <f>IFNA(VLOOKUP(L257,'🙎‍♂️ Pasien'!G:V,12,FALSE),"")</f>
        <v>ISLAM</v>
      </c>
      <c r="Q257" s="104" t="str">
        <f>IFNA(VLOOKUP(L257:L1508,'🙎‍♂️ Pasien'!G:V,13,FALSE),"")</f>
        <v>PELAJAR</v>
      </c>
      <c r="R257" s="104" t="str">
        <f t="array" ref="R257">ifna(xlookup(L257,'🙎‍♂️ Pasien'!$G$5:$G1508,'🙎‍♂️ Pasien'!$T$5:$T1508),"")</f>
        <v>SAKIT DI LUTUT</v>
      </c>
      <c r="S257" s="104" t="str">
        <f t="array" ref="S257">ifna(xlookup(L257,'🙎‍♂️ Pasien'!$G$5:$G1508,'🙎‍♂️ Pasien'!$U$5:$U1508),"")</f>
        <v>MAIN BASKET</v>
      </c>
      <c r="T257" s="97" t="s">
        <v>59</v>
      </c>
      <c r="U257" s="105">
        <v>6.0</v>
      </c>
      <c r="V257" s="101"/>
      <c r="W257" s="106" t="b">
        <v>1</v>
      </c>
      <c r="X257" s="107"/>
      <c r="Y257" s="108"/>
    </row>
    <row r="258" ht="22.5" customHeight="1">
      <c r="A258" s="96"/>
      <c r="B258" s="97" t="s">
        <v>85</v>
      </c>
      <c r="C258" s="98" t="str">
        <f t="array" ref="C258">IFNA(XLOOKUP(J258,'⚙️ Pengaturan'!$H$5:$H1508,'⚙️ Pengaturan'!$I$5:$I1508),"")</f>
        <v>TIM A</v>
      </c>
      <c r="D258" s="97" t="s">
        <v>54</v>
      </c>
      <c r="E258" s="99">
        <v>45946.0</v>
      </c>
      <c r="F258" s="100" t="str">
        <f t="shared" si="1"/>
        <v>2025</v>
      </c>
      <c r="G258" s="100" t="str">
        <f t="shared" si="2"/>
        <v>10Okt</v>
      </c>
      <c r="H258" s="100" t="str">
        <f t="shared" si="3"/>
        <v>Kamis</v>
      </c>
      <c r="I258" s="97" t="s">
        <v>93</v>
      </c>
      <c r="J258" s="97" t="s">
        <v>62</v>
      </c>
      <c r="K258" s="97" t="s">
        <v>69</v>
      </c>
      <c r="L258" s="101" t="s">
        <v>248</v>
      </c>
      <c r="M258" s="102" t="str">
        <f>IFNA(VLOOKUP(L258,'🙎‍♂️ Pasien'!G:V,2,FALSE),"")</f>
        <v>H2525100224</v>
      </c>
      <c r="N258" s="103">
        <f>IFNA(VLOOKUP(L258,'🙎‍♂️ Pasien'!G:L,3,FALSE),"")</f>
        <v>1</v>
      </c>
      <c r="O258" s="104" t="str">
        <f>IFNA(VLOOKUP(L258,'🙎‍♂️ Pasien'!G:V,6,FALSE),"")</f>
        <v>PEREMPUAN</v>
      </c>
      <c r="P258" s="104" t="str">
        <f>IFNA(VLOOKUP(L258,'🙎‍♂️ Pasien'!G:V,12,FALSE),"")</f>
        <v>ISLAM</v>
      </c>
      <c r="Q258" s="104" t="str">
        <f>IFNA(VLOOKUP(L258:L1508,'🙎‍♂️ Pasien'!G:V,13,FALSE),"")</f>
        <v>IBU RUMAH TANGGA</v>
      </c>
      <c r="R258" s="104" t="str">
        <f t="array" ref="R258">ifna(xlookup(L258,'🙎‍♂️ Pasien'!$G$5:$G1508,'🙎‍♂️ Pasien'!$T$5:$T1508),"")</f>
        <v>NYERI PINGGANG DAN BETIS</v>
      </c>
      <c r="S258" s="104" t="str">
        <f t="array" ref="S258">ifna(xlookup(L258,'🙎‍♂️ Pasien'!$G$5:$G1508,'🙎‍♂️ Pasien'!$U$5:$U1508),"")</f>
        <v>MENCUCI BAJU</v>
      </c>
      <c r="T258" s="97" t="s">
        <v>59</v>
      </c>
      <c r="U258" s="105">
        <v>1.0</v>
      </c>
      <c r="V258" s="101"/>
      <c r="W258" s="106" t="b">
        <v>1</v>
      </c>
      <c r="X258" s="107"/>
      <c r="Y258" s="108"/>
    </row>
    <row r="259" ht="22.5" customHeight="1">
      <c r="A259" s="96"/>
      <c r="B259" s="97" t="s">
        <v>85</v>
      </c>
      <c r="C259" s="98" t="str">
        <f t="array" ref="C259">IFNA(XLOOKUP(J259,'⚙️ Pengaturan'!$H$5:$H1508,'⚙️ Pengaturan'!$I$5:$I1508),"")</f>
        <v>TIM A</v>
      </c>
      <c r="D259" s="97" t="s">
        <v>54</v>
      </c>
      <c r="E259" s="99">
        <v>45946.0</v>
      </c>
      <c r="F259" s="100" t="str">
        <f t="shared" si="1"/>
        <v>2025</v>
      </c>
      <c r="G259" s="100" t="str">
        <f t="shared" si="2"/>
        <v>10Okt</v>
      </c>
      <c r="H259" s="100" t="str">
        <f t="shared" si="3"/>
        <v>Kamis</v>
      </c>
      <c r="I259" s="97" t="s">
        <v>95</v>
      </c>
      <c r="J259" s="97" t="s">
        <v>72</v>
      </c>
      <c r="K259" s="97" t="s">
        <v>63</v>
      </c>
      <c r="L259" s="101" t="s">
        <v>231</v>
      </c>
      <c r="M259" s="102" t="str">
        <f>IFNA(VLOOKUP(L259,'🙎‍♂️ Pasien'!G:V,2,FALSE),"")</f>
        <v>A1123072881</v>
      </c>
      <c r="N259" s="103">
        <f>IFNA(VLOOKUP(L259,'🙎‍♂️ Pasien'!G:L,3,FALSE),"")</f>
        <v>14</v>
      </c>
      <c r="O259" s="104" t="str">
        <f>IFNA(VLOOKUP(L259,'🙎‍♂️ Pasien'!G:V,6,FALSE),"")</f>
        <v>PEREMPUAN</v>
      </c>
      <c r="P259" s="104" t="str">
        <f>IFNA(VLOOKUP(L259,'🙎‍♂️ Pasien'!G:V,12,FALSE),"")</f>
        <v>ISLAM</v>
      </c>
      <c r="Q259" s="104" t="str">
        <f>IFNA(VLOOKUP(L259:L1508,'🙎‍♂️ Pasien'!G:V,13,FALSE),"")</f>
        <v>PELAJAR/MAHASISWA</v>
      </c>
      <c r="R259" s="104" t="str">
        <f t="array" ref="R259">ifna(xlookup(L259,'🙎‍♂️ Pasien'!$G$5:$G1508,'🙎‍♂️ Pasien'!$T$5:$T1508),"")</f>
        <v>NYERI</v>
      </c>
      <c r="S259" s="104" t="str">
        <f t="array" ref="S259">ifna(xlookup(L259,'🙎‍♂️ Pasien'!$G$5:$G1508,'🙎‍♂️ Pasien'!$U$5:$U1508),"")</f>
        <v>RENANG</v>
      </c>
      <c r="T259" s="97" t="s">
        <v>59</v>
      </c>
      <c r="U259" s="105">
        <v>2.0</v>
      </c>
      <c r="V259" s="101"/>
      <c r="W259" s="106" t="b">
        <v>1</v>
      </c>
      <c r="X259" s="107"/>
      <c r="Y259" s="108"/>
    </row>
    <row r="260" ht="22.5" customHeight="1">
      <c r="A260" s="96"/>
      <c r="B260" s="97" t="s">
        <v>85</v>
      </c>
      <c r="C260" s="98" t="str">
        <f t="array" ref="C260">IFNA(XLOOKUP(J260,'⚙️ Pengaturan'!$H$5:$H1508,'⚙️ Pengaturan'!$I$5:$I1508),"")</f>
        <v>TIM A</v>
      </c>
      <c r="D260" s="97" t="s">
        <v>54</v>
      </c>
      <c r="E260" s="99">
        <v>45946.0</v>
      </c>
      <c r="F260" s="100" t="str">
        <f t="shared" si="1"/>
        <v>2025</v>
      </c>
      <c r="G260" s="100" t="str">
        <f t="shared" si="2"/>
        <v>10Okt</v>
      </c>
      <c r="H260" s="100" t="str">
        <f t="shared" si="3"/>
        <v>Kamis</v>
      </c>
      <c r="I260" s="97" t="s">
        <v>95</v>
      </c>
      <c r="J260" s="97" t="s">
        <v>62</v>
      </c>
      <c r="K260" s="97" t="s">
        <v>57</v>
      </c>
      <c r="L260" s="101" t="s">
        <v>280</v>
      </c>
      <c r="M260" s="102" t="str">
        <f>IFNA(VLOOKUP(L260,'🙎‍♂️ Pasien'!G:V,2,FALSE),"")</f>
        <v>L5823040082</v>
      </c>
      <c r="N260" s="103">
        <f>IFNA(VLOOKUP(L260,'🙎‍♂️ Pasien'!G:L,3,FALSE),"")</f>
        <v>67</v>
      </c>
      <c r="O260" s="104" t="str">
        <f>IFNA(VLOOKUP(L260,'🙎‍♂️ Pasien'!G:V,6,FALSE),"")</f>
        <v>PEREMPUAN</v>
      </c>
      <c r="P260" s="104" t="str">
        <f>IFNA(VLOOKUP(L260,'🙎‍♂️ Pasien'!G:V,12,FALSE),"")</f>
        <v>KATOLIK</v>
      </c>
      <c r="Q260" s="104" t="str">
        <f>IFNA(VLOOKUP(L260:L1508,'🙎‍♂️ Pasien'!G:V,13,FALSE),"")</f>
        <v>SWASTA</v>
      </c>
      <c r="R260" s="104" t="str">
        <f t="array" ref="R260">ifna(xlookup(L260,'🙎‍♂️ Pasien'!$G$5:$G1508,'🙎‍♂️ Pasien'!$T$5:$T1508),"")</f>
        <v>SAKIT DI PINGGANG</v>
      </c>
      <c r="S260" s="104" t="str">
        <f t="array" ref="S260">ifna(xlookup(L260,'🙎‍♂️ Pasien'!$G$5:$G1508,'🙎‍♂️ Pasien'!$U$5:$U1508),"")</f>
        <v>IBU RUMAH TANGGA DAN JAGA TOKO</v>
      </c>
      <c r="T260" s="97" t="s">
        <v>67</v>
      </c>
      <c r="U260" s="105" t="s">
        <v>60</v>
      </c>
      <c r="V260" s="101" t="s">
        <v>281</v>
      </c>
      <c r="W260" s="106" t="b">
        <v>1</v>
      </c>
      <c r="X260" s="107"/>
      <c r="Y260" s="108"/>
    </row>
    <row r="261" ht="22.5" customHeight="1">
      <c r="A261" s="96"/>
      <c r="B261" s="97" t="s">
        <v>85</v>
      </c>
      <c r="C261" s="98" t="str">
        <f t="array" ref="C261">IFNA(XLOOKUP(J261,'⚙️ Pengaturan'!$H$5:$H1508,'⚙️ Pengaturan'!$I$5:$I1508),"")</f>
        <v>TIM A</v>
      </c>
      <c r="D261" s="97" t="s">
        <v>54</v>
      </c>
      <c r="E261" s="99">
        <v>45946.0</v>
      </c>
      <c r="F261" s="100" t="str">
        <f t="shared" si="1"/>
        <v>2025</v>
      </c>
      <c r="G261" s="100" t="str">
        <f t="shared" si="2"/>
        <v>10Okt</v>
      </c>
      <c r="H261" s="100" t="str">
        <f t="shared" si="3"/>
        <v>Kamis</v>
      </c>
      <c r="I261" s="97" t="s">
        <v>97</v>
      </c>
      <c r="J261" s="97" t="s">
        <v>62</v>
      </c>
      <c r="K261" s="97" t="s">
        <v>69</v>
      </c>
      <c r="L261" s="101" t="s">
        <v>236</v>
      </c>
      <c r="M261" s="102" t="str">
        <f>IFNA(VLOOKUP(L261,'🙎‍♂️ Pasien'!G:V,2,FALSE),"")</f>
        <v>D8624112017</v>
      </c>
      <c r="N261" s="103">
        <f>IFNA(VLOOKUP(L261,'🙎‍♂️ Pasien'!G:L,3,FALSE),"")</f>
        <v>39</v>
      </c>
      <c r="O261" s="104" t="str">
        <f>IFNA(VLOOKUP(L261,'🙎‍♂️ Pasien'!G:V,6,FALSE),"")</f>
        <v>PEREMPUAN</v>
      </c>
      <c r="P261" s="104" t="str">
        <f>IFNA(VLOOKUP(L261,'🙎‍♂️ Pasien'!G:V,12,FALSE),"")</f>
        <v>ISLAM</v>
      </c>
      <c r="Q261" s="104" t="str">
        <f>IFNA(VLOOKUP(L261:L1508,'🙎‍♂️ Pasien'!G:V,13,FALSE),"")</f>
        <v>ASN</v>
      </c>
      <c r="R261" s="104" t="str">
        <f t="array" ref="R261">ifna(xlookup(L261,'🙎‍♂️ Pasien'!$G$5:$G1508,'🙎‍♂️ Pasien'!$T$5:$T1508),"")</f>
        <v>Nyeri pangkal paha kanan saat menapakkan kaki</v>
      </c>
      <c r="S261" s="104" t="str">
        <f t="array" ref="S261">ifna(xlookup(L261,'🙎‍♂️ Pasien'!$G$5:$G1508,'🙎‍♂️ Pasien'!$U$5:$U1508),"")</f>
        <v>Kerja kantor</v>
      </c>
      <c r="T261" s="97" t="s">
        <v>59</v>
      </c>
      <c r="U261" s="105" t="s">
        <v>60</v>
      </c>
      <c r="V261" s="101"/>
      <c r="W261" s="106" t="b">
        <v>1</v>
      </c>
      <c r="X261" s="107"/>
      <c r="Y261" s="108"/>
    </row>
    <row r="262" ht="22.5" customHeight="1">
      <c r="A262" s="96"/>
      <c r="B262" s="97" t="s">
        <v>85</v>
      </c>
      <c r="C262" s="98" t="str">
        <f t="array" ref="C262">IFNA(XLOOKUP(J262,'⚙️ Pengaturan'!$H$5:$H1508,'⚙️ Pengaturan'!$I$5:$I1508),"")</f>
        <v>TIM A</v>
      </c>
      <c r="D262" s="97" t="s">
        <v>54</v>
      </c>
      <c r="E262" s="99">
        <v>45946.0</v>
      </c>
      <c r="F262" s="100" t="str">
        <f t="shared" si="1"/>
        <v>2025</v>
      </c>
      <c r="G262" s="100" t="str">
        <f t="shared" si="2"/>
        <v>10Okt</v>
      </c>
      <c r="H262" s="100" t="str">
        <f t="shared" si="3"/>
        <v>Kamis</v>
      </c>
      <c r="I262" s="97" t="s">
        <v>97</v>
      </c>
      <c r="J262" s="97" t="s">
        <v>72</v>
      </c>
      <c r="K262" s="97" t="s">
        <v>63</v>
      </c>
      <c r="L262" s="101" t="s">
        <v>129</v>
      </c>
      <c r="M262" s="102" t="str">
        <f>IFNA(VLOOKUP(L262,'🙎‍♂️ Pasien'!G:V,2,FALSE),"")</f>
        <v>D1025091558</v>
      </c>
      <c r="N262" s="103">
        <f>IFNA(VLOOKUP(L262,'🙎‍♂️ Pasien'!G:L,3,FALSE),"")</f>
        <v>16</v>
      </c>
      <c r="O262" s="104" t="str">
        <f>IFNA(VLOOKUP(L262,'🙎‍♂️ Pasien'!G:V,6,FALSE),"")</f>
        <v>LAKI-LAKI</v>
      </c>
      <c r="P262" s="104" t="str">
        <f>IFNA(VLOOKUP(L262,'🙎‍♂️ Pasien'!G:V,12,FALSE),"")</f>
        <v>PROTESTAN</v>
      </c>
      <c r="Q262" s="104" t="str">
        <f>IFNA(VLOOKUP(L262:L1508,'🙎‍♂️ Pasien'!G:V,13,FALSE),"")</f>
        <v>MASI SEKOLAH</v>
      </c>
      <c r="R262" s="104" t="str">
        <f t="array" ref="R262">ifna(xlookup(L262,'🙎‍♂️ Pasien'!$G$5:$G1508,'🙎‍♂️ Pasien'!$T$5:$T1508),"")</f>
        <v>SAKIT DI BAGIAN LUTUT</v>
      </c>
      <c r="S262" s="104" t="str">
        <f t="array" ref="S262">ifna(xlookup(L262,'🙎‍♂️ Pasien'!$G$5:$G1508,'🙎‍♂️ Pasien'!$U$5:$U1508),"")</f>
        <v>BASKET</v>
      </c>
      <c r="T262" s="97" t="s">
        <v>59</v>
      </c>
      <c r="U262" s="105">
        <v>4.0</v>
      </c>
      <c r="V262" s="101"/>
      <c r="W262" s="106" t="b">
        <v>1</v>
      </c>
      <c r="X262" s="107"/>
      <c r="Y262" s="108"/>
    </row>
    <row r="263" ht="22.5" customHeight="1">
      <c r="A263" s="96"/>
      <c r="B263" s="97" t="s">
        <v>85</v>
      </c>
      <c r="C263" s="98" t="str">
        <f t="array" ref="C263">IFNA(XLOOKUP(J263,'⚙️ Pengaturan'!$H$5:$H1508,'⚙️ Pengaturan'!$I$5:$I1508),"")</f>
        <v>TIM A</v>
      </c>
      <c r="D263" s="97" t="s">
        <v>54</v>
      </c>
      <c r="E263" s="99">
        <v>45946.0</v>
      </c>
      <c r="F263" s="100" t="str">
        <f t="shared" si="1"/>
        <v>2025</v>
      </c>
      <c r="G263" s="100" t="str">
        <f t="shared" si="2"/>
        <v>10Okt</v>
      </c>
      <c r="H263" s="100" t="str">
        <f t="shared" si="3"/>
        <v>Kamis</v>
      </c>
      <c r="I263" s="97" t="s">
        <v>97</v>
      </c>
      <c r="J263" s="97" t="s">
        <v>79</v>
      </c>
      <c r="K263" s="97" t="s">
        <v>57</v>
      </c>
      <c r="L263" s="101" t="s">
        <v>282</v>
      </c>
      <c r="M263" s="102" t="str">
        <f>IFNA(VLOOKUP(L263,'🙎‍♂️ Pasien'!G:V,2,FALSE),"")</f>
        <v>E9425102074</v>
      </c>
      <c r="N263" s="103">
        <f>IFNA(VLOOKUP(L263,'🙎‍♂️ Pasien'!G:L,3,FALSE),"")</f>
        <v>32</v>
      </c>
      <c r="O263" s="104" t="str">
        <f>IFNA(VLOOKUP(L263,'🙎‍♂️ Pasien'!G:V,6,FALSE),"")</f>
        <v>PEREMPUAN</v>
      </c>
      <c r="P263" s="104" t="str">
        <f>IFNA(VLOOKUP(L263,'🙎‍♂️ Pasien'!G:V,12,FALSE),"")</f>
        <v>KATOLIK</v>
      </c>
      <c r="Q263" s="104" t="str">
        <f>IFNA(VLOOKUP(L263:L1508,'🙎‍♂️ Pasien'!G:V,13,FALSE),"")</f>
        <v>PEGAWAI SWASTA</v>
      </c>
      <c r="R263" s="104" t="str">
        <f t="array" ref="R263">ifna(xlookup(L263,'🙎‍♂️ Pasien'!$G$5:$G1508,'🙎‍♂️ Pasien'!$T$5:$T1508),"")</f>
        <v>TENNIS ELBOW</v>
      </c>
      <c r="S263" s="104" t="str">
        <f t="array" ref="S263">ifna(xlookup(L263,'🙎‍♂️ Pasien'!$G$5:$G1508,'🙎‍♂️ Pasien'!$U$5:$U1508),"")</f>
        <v>BADMINTON</v>
      </c>
      <c r="T263" s="97" t="s">
        <v>59</v>
      </c>
      <c r="U263" s="105" t="s">
        <v>60</v>
      </c>
      <c r="V263" s="101"/>
      <c r="W263" s="106" t="b">
        <v>1</v>
      </c>
      <c r="X263" s="107"/>
      <c r="Y263" s="108"/>
    </row>
    <row r="264" ht="22.5" customHeight="1">
      <c r="A264" s="96"/>
      <c r="B264" s="97" t="s">
        <v>85</v>
      </c>
      <c r="C264" s="98" t="str">
        <f t="array" ref="C264">IFNA(XLOOKUP(J264,'⚙️ Pengaturan'!$H$5:$H1508,'⚙️ Pengaturan'!$I$5:$I1508),"")</f>
        <v>TIM Y</v>
      </c>
      <c r="D264" s="97" t="s">
        <v>54</v>
      </c>
      <c r="E264" s="99">
        <v>45946.0</v>
      </c>
      <c r="F264" s="100" t="str">
        <f t="shared" si="1"/>
        <v>2025</v>
      </c>
      <c r="G264" s="100" t="str">
        <f t="shared" si="2"/>
        <v>10Okt</v>
      </c>
      <c r="H264" s="100" t="str">
        <f t="shared" si="3"/>
        <v>Kamis</v>
      </c>
      <c r="I264" s="97" t="s">
        <v>97</v>
      </c>
      <c r="J264" s="97" t="s">
        <v>56</v>
      </c>
      <c r="K264" s="97" t="s">
        <v>69</v>
      </c>
      <c r="L264" s="101" t="s">
        <v>233</v>
      </c>
      <c r="M264" s="102" t="str">
        <f>IFNA(VLOOKUP(L264,'🙎‍♂️ Pasien'!G:V,2,FALSE),"")</f>
        <v>M8125099997</v>
      </c>
      <c r="N264" s="103">
        <f>IFNA(VLOOKUP(L264,'🙎‍♂️ Pasien'!G:L,3,FALSE),"")</f>
        <v>45</v>
      </c>
      <c r="O264" s="104" t="str">
        <f>IFNA(VLOOKUP(L264,'🙎‍♂️ Pasien'!G:V,6,FALSE),"")</f>
        <v>LAKI-LAKI</v>
      </c>
      <c r="P264" s="104" t="str">
        <f>IFNA(VLOOKUP(L264,'🙎‍♂️ Pasien'!G:V,12,FALSE),"")</f>
        <v>ISLAM</v>
      </c>
      <c r="Q264" s="104" t="str">
        <f>IFNA(VLOOKUP(L264:L1508,'🙎‍♂️ Pasien'!G:V,13,FALSE),"")</f>
        <v>PNS</v>
      </c>
      <c r="R264" s="104" t="str">
        <f t="array" ref="R264">ifna(xlookup(L264,'🙎‍♂️ Pasien'!$G$5:$G1508,'🙎‍♂️ Pasien'!$T$5:$T1508),"")</f>
        <v>LEHER</v>
      </c>
      <c r="S264" s="104" t="str">
        <f t="array" ref="S264">ifna(xlookup(L264,'🙎‍♂️ Pasien'!$G$5:$G1508,'🙎‍♂️ Pasien'!$U$5:$U1508),"")</f>
        <v>BANGUN TIDUR DARI LEHER SAMAPAI KE TANGAN DAN JARI TERASA NYERI SUDAH 2 MINGGU</v>
      </c>
      <c r="T264" s="97" t="s">
        <v>67</v>
      </c>
      <c r="U264" s="105" t="s">
        <v>60</v>
      </c>
      <c r="V264" s="101" t="s">
        <v>283</v>
      </c>
      <c r="W264" s="106" t="b">
        <v>1</v>
      </c>
      <c r="X264" s="107"/>
      <c r="Y264" s="108"/>
    </row>
    <row r="265" ht="22.5" customHeight="1">
      <c r="A265" s="96"/>
      <c r="B265" s="97" t="s">
        <v>85</v>
      </c>
      <c r="C265" s="98" t="str">
        <f t="array" ref="C265">IFNA(XLOOKUP(J265,'⚙️ Pengaturan'!$H$5:$H1508,'⚙️ Pengaturan'!$I$5:$I1508),"")</f>
        <v>TIM Y</v>
      </c>
      <c r="D265" s="97" t="s">
        <v>54</v>
      </c>
      <c r="E265" s="99">
        <v>45946.0</v>
      </c>
      <c r="F265" s="100" t="str">
        <f t="shared" si="1"/>
        <v>2025</v>
      </c>
      <c r="G265" s="100" t="str">
        <f t="shared" si="2"/>
        <v>10Okt</v>
      </c>
      <c r="H265" s="100" t="str">
        <f t="shared" si="3"/>
        <v>Kamis</v>
      </c>
      <c r="I265" s="97" t="s">
        <v>99</v>
      </c>
      <c r="J265" s="97" t="s">
        <v>56</v>
      </c>
      <c r="K265" s="97" t="s">
        <v>63</v>
      </c>
      <c r="L265" s="101" t="s">
        <v>190</v>
      </c>
      <c r="M265" s="102" t="str">
        <f>IFNA(VLOOKUP(L265,'🙎‍♂️ Pasien'!G:V,2,FALSE),"")</f>
        <v>A9025108786</v>
      </c>
      <c r="N265" s="103">
        <f>IFNA(VLOOKUP(L265,'🙎‍♂️ Pasien'!G:L,3,FALSE),"")</f>
        <v>35</v>
      </c>
      <c r="O265" s="104" t="str">
        <f>IFNA(VLOOKUP(L265,'🙎‍♂️ Pasien'!G:V,6,FALSE),"")</f>
        <v>LAKI-LAKI</v>
      </c>
      <c r="P265" s="104" t="str">
        <f>IFNA(VLOOKUP(L265,'🙎‍♂️ Pasien'!G:V,12,FALSE),"")</f>
        <v>ISLAM</v>
      </c>
      <c r="Q265" s="104" t="str">
        <f>IFNA(VLOOKUP(L265:L1508,'🙎‍♂️ Pasien'!G:V,13,FALSE),"")</f>
        <v>WIRASWASTA</v>
      </c>
      <c r="R265" s="104" t="str">
        <f t="array" ref="R265">ifna(xlookup(L265,'🙎‍♂️ Pasien'!$G$5:$G1508,'🙎‍♂️ Pasien'!$T$5:$T1508),"")</f>
        <v>KESELEO PADA BAGIAN LUTUT</v>
      </c>
      <c r="S265" s="104" t="str">
        <f t="array" ref="S265">ifna(xlookup(L265,'🙎‍♂️ Pasien'!$G$5:$G1508,'🙎‍♂️ Pasien'!$U$5:$U1508),"")</f>
        <v>BERMAIN BOLA</v>
      </c>
      <c r="T265" s="97" t="s">
        <v>59</v>
      </c>
      <c r="U265" s="105">
        <v>3.0</v>
      </c>
      <c r="V265" s="101"/>
      <c r="W265" s="106" t="b">
        <v>1</v>
      </c>
      <c r="X265" s="107"/>
      <c r="Y265" s="108"/>
    </row>
    <row r="266" ht="22.5" customHeight="1">
      <c r="A266" s="96"/>
      <c r="B266" s="97" t="s">
        <v>85</v>
      </c>
      <c r="C266" s="98" t="str">
        <f t="array" ref="C266">IFNA(XLOOKUP(J266,'⚙️ Pengaturan'!$H$5:$H1508,'⚙️ Pengaturan'!$I$5:$I1508),"")</f>
        <v>TIM A</v>
      </c>
      <c r="D266" s="97" t="s">
        <v>54</v>
      </c>
      <c r="E266" s="99">
        <v>45946.0</v>
      </c>
      <c r="F266" s="100" t="str">
        <f t="shared" si="1"/>
        <v>2025</v>
      </c>
      <c r="G266" s="100" t="str">
        <f t="shared" si="2"/>
        <v>10Okt</v>
      </c>
      <c r="H266" s="100" t="str">
        <f t="shared" si="3"/>
        <v>Kamis</v>
      </c>
      <c r="I266" s="97" t="s">
        <v>99</v>
      </c>
      <c r="J266" s="97" t="s">
        <v>79</v>
      </c>
      <c r="K266" s="97" t="s">
        <v>69</v>
      </c>
      <c r="L266" s="101" t="s">
        <v>268</v>
      </c>
      <c r="M266" s="102" t="str">
        <f>IFNA(VLOOKUP(L266,'🙎‍♂️ Pasien'!G:V,2,FALSE),"")</f>
        <v>F1025100245</v>
      </c>
      <c r="N266" s="103">
        <f>IFNA(VLOOKUP(L266,'🙎‍♂️ Pasien'!G:L,3,FALSE),"")</f>
        <v>15</v>
      </c>
      <c r="O266" s="104" t="str">
        <f>IFNA(VLOOKUP(L266,'🙎‍♂️ Pasien'!G:V,6,FALSE),"")</f>
        <v>LAKI-LAKI</v>
      </c>
      <c r="P266" s="104" t="str">
        <f>IFNA(VLOOKUP(L266,'🙎‍♂️ Pasien'!G:V,12,FALSE),"")</f>
        <v>ISLAM</v>
      </c>
      <c r="Q266" s="104" t="str">
        <f>IFNA(VLOOKUP(L266:L1508,'🙎‍♂️ Pasien'!G:V,13,FALSE),"")</f>
        <v>PELAJAR</v>
      </c>
      <c r="R266" s="104" t="str">
        <f t="array" ref="R266">ifna(xlookup(L266,'🙎‍♂️ Pasien'!$G$5:$G1508,'🙎‍♂️ Pasien'!$T$5:$T1508),"")</f>
        <v>DISLOKASI LUTUT, SERING GESER</v>
      </c>
      <c r="S266" s="104" t="str">
        <f t="array" ref="S266">ifna(xlookup(L266,'🙎‍♂️ Pasien'!$G$5:$G1508,'🙎‍♂️ Pasien'!$U$5:$U1508),"")</f>
        <v>SERING GESER LUTUT</v>
      </c>
      <c r="T266" s="97" t="s">
        <v>59</v>
      </c>
      <c r="U266" s="105" t="s">
        <v>60</v>
      </c>
      <c r="V266" s="101"/>
      <c r="W266" s="106" t="b">
        <v>1</v>
      </c>
      <c r="X266" s="107"/>
      <c r="Y266" s="108"/>
    </row>
    <row r="267" ht="22.5" customHeight="1">
      <c r="A267" s="96"/>
      <c r="B267" s="97" t="s">
        <v>85</v>
      </c>
      <c r="C267" s="98" t="str">
        <f t="array" ref="C267">IFNA(XLOOKUP(J267,'⚙️ Pengaturan'!$H$5:$H1508,'⚙️ Pengaturan'!$I$5:$I1508),"")</f>
        <v>TIM A</v>
      </c>
      <c r="D267" s="97" t="s">
        <v>54</v>
      </c>
      <c r="E267" s="99">
        <v>45946.0</v>
      </c>
      <c r="F267" s="100" t="str">
        <f t="shared" si="1"/>
        <v>2025</v>
      </c>
      <c r="G267" s="100" t="str">
        <f t="shared" si="2"/>
        <v>10Okt</v>
      </c>
      <c r="H267" s="100" t="str">
        <f t="shared" si="3"/>
        <v>Kamis</v>
      </c>
      <c r="I267" s="97" t="s">
        <v>99</v>
      </c>
      <c r="J267" s="97" t="s">
        <v>62</v>
      </c>
      <c r="K267" s="97" t="s">
        <v>69</v>
      </c>
      <c r="L267" s="101" t="s">
        <v>254</v>
      </c>
      <c r="M267" s="102" t="str">
        <f>IFNA(VLOOKUP(L267,'🙎‍♂️ Pasien'!G:V,2,FALSE),"")</f>
        <v>G0225101517</v>
      </c>
      <c r="N267" s="103">
        <f>IFNA(VLOOKUP(L267,'🙎‍♂️ Pasien'!G:L,3,FALSE),"")</f>
        <v>24</v>
      </c>
      <c r="O267" s="104" t="str">
        <f>IFNA(VLOOKUP(L267,'🙎‍♂️ Pasien'!G:V,6,FALSE),"")</f>
        <v>LAKI-LAKI</v>
      </c>
      <c r="P267" s="104" t="str">
        <f>IFNA(VLOOKUP(L267,'🙎‍♂️ Pasien'!G:V,12,FALSE),"")</f>
        <v>KATOLIK</v>
      </c>
      <c r="Q267" s="104" t="str">
        <f>IFNA(VLOOKUP(L267:L1508,'🙎‍♂️ Pasien'!G:V,13,FALSE),"")</f>
        <v>MAHASISWA</v>
      </c>
      <c r="R267" s="104" t="str">
        <f t="array" ref="R267">ifna(xlookup(L267,'🙎‍♂️ Pasien'!$G$5:$G1508,'🙎‍♂️ Pasien'!$T$5:$T1508),"")</f>
        <v>NYERI PADA LUTUT BAGIAN LUAR</v>
      </c>
      <c r="S267" s="104" t="str">
        <f t="array" ref="S267">ifna(xlookup(L267,'🙎‍♂️ Pasien'!$G$5:$G1508,'🙎‍♂️ Pasien'!$U$5:$U1508),"")</f>
        <v>LARI, MINI SOCCER, GYM</v>
      </c>
      <c r="T267" s="97" t="s">
        <v>67</v>
      </c>
      <c r="U267" s="105" t="s">
        <v>60</v>
      </c>
      <c r="V267" s="101" t="s">
        <v>284</v>
      </c>
      <c r="W267" s="106" t="b">
        <v>1</v>
      </c>
      <c r="X267" s="107"/>
      <c r="Y267" s="108"/>
    </row>
    <row r="268" ht="22.5" customHeight="1">
      <c r="A268" s="96"/>
      <c r="B268" s="97" t="s">
        <v>85</v>
      </c>
      <c r="C268" s="98" t="str">
        <f t="array" ref="C268">IFNA(XLOOKUP(J268,'⚙️ Pengaturan'!$H$5:$H1508,'⚙️ Pengaturan'!$I$5:$I1508),"")</f>
        <v>MANAJEMEN</v>
      </c>
      <c r="D268" s="97" t="s">
        <v>134</v>
      </c>
      <c r="E268" s="99">
        <v>45947.0</v>
      </c>
      <c r="F268" s="100" t="str">
        <f t="shared" si="1"/>
        <v>2025</v>
      </c>
      <c r="G268" s="100" t="str">
        <f t="shared" si="2"/>
        <v>10Okt</v>
      </c>
      <c r="H268" s="100" t="str">
        <f t="shared" si="3"/>
        <v>Jumat</v>
      </c>
      <c r="I268" s="97" t="s">
        <v>87</v>
      </c>
      <c r="J268" s="97" t="s">
        <v>101</v>
      </c>
      <c r="K268" s="97" t="s">
        <v>69</v>
      </c>
      <c r="L268" s="101" t="s">
        <v>264</v>
      </c>
      <c r="M268" s="102" t="str">
        <f>IFNA(VLOOKUP(L268,'🙎‍♂️ Pasien'!G:V,2,FALSE),"")</f>
        <v>A9625083700</v>
      </c>
      <c r="N268" s="103">
        <f>IFNA(VLOOKUP(L268,'🙎‍♂️ Pasien'!G:L,3,FALSE),"")</f>
        <v>29</v>
      </c>
      <c r="O268" s="104" t="str">
        <f>IFNA(VLOOKUP(L268,'🙎‍♂️ Pasien'!G:V,6,FALSE),"")</f>
        <v>LAKI-LAKI</v>
      </c>
      <c r="P268" s="104" t="str">
        <f>IFNA(VLOOKUP(L268,'🙎‍♂️ Pasien'!G:V,12,FALSE),"")</f>
        <v>ISLAM</v>
      </c>
      <c r="Q268" s="104" t="str">
        <f>IFNA(VLOOKUP(L268:L1508,'🙎‍♂️ Pasien'!G:V,13,FALSE),"")</f>
        <v>KARYAWAN SWASTA</v>
      </c>
      <c r="R268" s="104" t="str">
        <f t="array" ref="R268">ifna(xlookup(L268,'🙎‍♂️ Pasien'!$G$5:$G1508,'🙎‍♂️ Pasien'!$T$5:$T1508),"")</f>
        <v>LUTUT TIDAK BISA DI TEKUK</v>
      </c>
      <c r="S268" s="104" t="str">
        <f t="array" ref="S268">ifna(xlookup(L268,'🙎‍♂️ Pasien'!$G$5:$G1508,'🙎‍♂️ Pasien'!$U$5:$U1508),"")</f>
        <v>MAIN BOLA</v>
      </c>
      <c r="T268" s="97" t="s">
        <v>59</v>
      </c>
      <c r="U268" s="105" t="s">
        <v>60</v>
      </c>
      <c r="V268" s="101" t="s">
        <v>285</v>
      </c>
      <c r="W268" s="106" t="b">
        <v>1</v>
      </c>
      <c r="X268" s="109" t="s">
        <v>286</v>
      </c>
      <c r="Y268" s="108"/>
    </row>
    <row r="269" ht="22.5" customHeight="1">
      <c r="A269" s="96"/>
      <c r="B269" s="97" t="s">
        <v>85</v>
      </c>
      <c r="C269" s="98" t="str">
        <f t="array" ref="C269">IFNA(XLOOKUP(J269,'⚙️ Pengaturan'!$H$5:$H1508,'⚙️ Pengaturan'!$I$5:$I1508),"")</f>
        <v>TIM A</v>
      </c>
      <c r="D269" s="97" t="s">
        <v>134</v>
      </c>
      <c r="E269" s="99">
        <v>45947.0</v>
      </c>
      <c r="F269" s="100" t="str">
        <f t="shared" si="1"/>
        <v>2025</v>
      </c>
      <c r="G269" s="100" t="str">
        <f t="shared" si="2"/>
        <v>10Okt</v>
      </c>
      <c r="H269" s="100" t="str">
        <f t="shared" si="3"/>
        <v>Jumat</v>
      </c>
      <c r="I269" s="97" t="s">
        <v>87</v>
      </c>
      <c r="J269" s="97" t="s">
        <v>62</v>
      </c>
      <c r="K269" s="97" t="s">
        <v>63</v>
      </c>
      <c r="L269" s="101" t="s">
        <v>174</v>
      </c>
      <c r="M269" s="102" t="str">
        <f>IFNA(VLOOKUP(L269,'🙎‍♂️ Pasien'!G:V,2,FALSE),"")</f>
        <v>F6925098775</v>
      </c>
      <c r="N269" s="103">
        <f>IFNA(VLOOKUP(L269,'🙎‍♂️ Pasien'!G:L,3,FALSE),"")</f>
        <v>56</v>
      </c>
      <c r="O269" s="104" t="str">
        <f>IFNA(VLOOKUP(L269,'🙎‍♂️ Pasien'!G:V,6,FALSE),"")</f>
        <v>PEREMPUAN</v>
      </c>
      <c r="P269" s="104" t="str">
        <f>IFNA(VLOOKUP(L269,'🙎‍♂️ Pasien'!G:V,12,FALSE),"")</f>
        <v>BUDDHA</v>
      </c>
      <c r="Q269" s="104" t="str">
        <f>IFNA(VLOOKUP(L269:L1508,'🙎‍♂️ Pasien'!G:V,13,FALSE),"")</f>
        <v>IRT</v>
      </c>
      <c r="R269" s="104" t="str">
        <f t="array" ref="R269">ifna(xlookup(L269,'🙎‍♂️ Pasien'!$G$5:$G1508,'🙎‍♂️ Pasien'!$T$5:$T1508),"")</f>
        <v>LUTUT (POST OP TKR)</v>
      </c>
      <c r="S269" s="104" t="str">
        <f t="array" ref="S269">ifna(xlookup(L269,'🙎‍♂️ Pasien'!$G$5:$G1508,'🙎‍♂️ Pasien'!$U$5:$U1508),"")</f>
        <v>PEKERJAAAN RUMAH TANGGA</v>
      </c>
      <c r="T269" s="97" t="s">
        <v>59</v>
      </c>
      <c r="U269" s="105">
        <v>3.0</v>
      </c>
      <c r="V269" s="101"/>
      <c r="W269" s="106" t="b">
        <v>1</v>
      </c>
      <c r="X269" s="109" t="s">
        <v>287</v>
      </c>
      <c r="Y269" s="108"/>
    </row>
    <row r="270" ht="22.5" customHeight="1">
      <c r="A270" s="96"/>
      <c r="B270" s="97" t="s">
        <v>85</v>
      </c>
      <c r="C270" s="98" t="str">
        <f t="array" ref="C270">IFNA(XLOOKUP(J270,'⚙️ Pengaturan'!$H$5:$H1508,'⚙️ Pengaturan'!$I$5:$I1508),"")</f>
        <v>TIM A</v>
      </c>
      <c r="D270" s="97" t="s">
        <v>134</v>
      </c>
      <c r="E270" s="99">
        <v>45947.0</v>
      </c>
      <c r="F270" s="100" t="str">
        <f t="shared" si="1"/>
        <v>2025</v>
      </c>
      <c r="G270" s="100" t="str">
        <f t="shared" si="2"/>
        <v>10Okt</v>
      </c>
      <c r="H270" s="100" t="str">
        <f t="shared" si="3"/>
        <v>Jumat</v>
      </c>
      <c r="I270" s="97" t="s">
        <v>93</v>
      </c>
      <c r="J270" s="97" t="s">
        <v>62</v>
      </c>
      <c r="K270" s="97" t="s">
        <v>57</v>
      </c>
      <c r="L270" s="101" t="s">
        <v>288</v>
      </c>
      <c r="M270" s="102" t="str">
        <f>IFNA(VLOOKUP(L270,'🙎‍♂️ Pasien'!G:V,2,FALSE),"")</f>
        <v>E9925108783</v>
      </c>
      <c r="N270" s="103">
        <f>IFNA(VLOOKUP(L270,'🙎‍♂️ Pasien'!G:L,3,FALSE),"")</f>
        <v>26</v>
      </c>
      <c r="O270" s="104" t="str">
        <f>IFNA(VLOOKUP(L270,'🙎‍♂️ Pasien'!G:V,6,FALSE),"")</f>
        <v>LAKI-LAKI</v>
      </c>
      <c r="P270" s="104" t="str">
        <f>IFNA(VLOOKUP(L270,'🙎‍♂️ Pasien'!G:V,12,FALSE),"")</f>
        <v>KATOLIK</v>
      </c>
      <c r="Q270" s="104" t="str">
        <f>IFNA(VLOOKUP(L270:L1508,'🙎‍♂️ Pasien'!G:V,13,FALSE),"")</f>
        <v>WIRASWASTA</v>
      </c>
      <c r="R270" s="104" t="str">
        <f t="array" ref="R270">ifna(xlookup(L270,'🙎‍♂️ Pasien'!$G$5:$G1508,'🙎‍♂️ Pasien'!$T$5:$T1508),"")</f>
        <v>TERAPI PASCA LATIHAN</v>
      </c>
      <c r="S270" s="104" t="str">
        <f t="array" ref="S270">ifna(xlookup(L270,'🙎‍♂️ Pasien'!$G$5:$G1508,'🙎‍♂️ Pasien'!$U$5:$U1508),"")</f>
        <v>LARI</v>
      </c>
      <c r="T270" s="97" t="s">
        <v>59</v>
      </c>
      <c r="U270" s="105" t="s">
        <v>60</v>
      </c>
      <c r="V270" s="101" t="s">
        <v>289</v>
      </c>
      <c r="W270" s="106" t="b">
        <v>1</v>
      </c>
      <c r="X270" s="109" t="s">
        <v>290</v>
      </c>
      <c r="Y270" s="108"/>
    </row>
    <row r="271" ht="22.5" customHeight="1">
      <c r="A271" s="96"/>
      <c r="B271" s="97" t="s">
        <v>85</v>
      </c>
      <c r="C271" s="98" t="str">
        <f t="array" ref="C271">IFNA(XLOOKUP(J271,'⚙️ Pengaturan'!$H$5:$H1508,'⚙️ Pengaturan'!$I$5:$I1508),"")</f>
        <v>MANAJEMEN</v>
      </c>
      <c r="D271" s="97" t="s">
        <v>134</v>
      </c>
      <c r="E271" s="99">
        <v>45947.0</v>
      </c>
      <c r="F271" s="100" t="str">
        <f t="shared" si="1"/>
        <v>2025</v>
      </c>
      <c r="G271" s="100" t="str">
        <f t="shared" si="2"/>
        <v>10Okt</v>
      </c>
      <c r="H271" s="100" t="str">
        <f t="shared" si="3"/>
        <v>Jumat</v>
      </c>
      <c r="I271" s="97" t="s">
        <v>93</v>
      </c>
      <c r="J271" s="97" t="s">
        <v>101</v>
      </c>
      <c r="K271" s="97" t="s">
        <v>63</v>
      </c>
      <c r="L271" s="101" t="s">
        <v>291</v>
      </c>
      <c r="M271" s="102" t="str">
        <f>IFNA(VLOOKUP(L271,'🙎‍♂️ Pasien'!G:V,2,FALSE),"")</f>
        <v>K5225090123</v>
      </c>
      <c r="N271" s="103">
        <f>IFNA(VLOOKUP(L271,'🙎‍♂️ Pasien'!G:L,3,FALSE),"")</f>
        <v>74</v>
      </c>
      <c r="O271" s="104" t="str">
        <f>IFNA(VLOOKUP(L271,'🙎‍♂️ Pasien'!G:V,6,FALSE),"")</f>
        <v>LAKI-LAKI</v>
      </c>
      <c r="P271" s="104" t="str">
        <f>IFNA(VLOOKUP(L271,'🙎‍♂️ Pasien'!G:V,12,FALSE),"")</f>
        <v>ISLAM</v>
      </c>
      <c r="Q271" s="104" t="str">
        <f>IFNA(VLOOKUP(L271:L1508,'🙎‍♂️ Pasien'!G:V,13,FALSE),"")</f>
        <v>PENSIUNAN</v>
      </c>
      <c r="R271" s="104" t="str">
        <f t="array" ref="R271">ifna(xlookup(L271,'🙎‍♂️ Pasien'!$G$5:$G1508,'🙎‍♂️ Pasien'!$T$5:$T1508),"")</f>
        <v>SAKIT PINGGANG MENJALAR SAMPAI KAKI</v>
      </c>
      <c r="S271" s="104" t="str">
        <f t="array" ref="S271">ifna(xlookup(L271,'🙎‍♂️ Pasien'!$G$5:$G1508,'🙎‍♂️ Pasien'!$U$5:$U1508),"")</f>
        <v>-</v>
      </c>
      <c r="T271" s="97" t="s">
        <v>59</v>
      </c>
      <c r="U271" s="105">
        <v>1.0</v>
      </c>
      <c r="V271" s="101"/>
      <c r="W271" s="106" t="b">
        <v>1</v>
      </c>
      <c r="X271" s="109" t="s">
        <v>292</v>
      </c>
      <c r="Y271" s="108"/>
    </row>
    <row r="272" ht="22.5" customHeight="1">
      <c r="A272" s="96"/>
      <c r="B272" s="97" t="s">
        <v>85</v>
      </c>
      <c r="C272" s="98" t="str">
        <f t="array" ref="C272">IFNA(XLOOKUP(J272,'⚙️ Pengaturan'!$H$5:$H1508,'⚙️ Pengaturan'!$I$5:$I1508),"")</f>
        <v>MANAJEMEN</v>
      </c>
      <c r="D272" s="97" t="s">
        <v>134</v>
      </c>
      <c r="E272" s="99">
        <v>45947.0</v>
      </c>
      <c r="F272" s="100" t="str">
        <f t="shared" si="1"/>
        <v>2025</v>
      </c>
      <c r="G272" s="100" t="str">
        <f t="shared" si="2"/>
        <v>10Okt</v>
      </c>
      <c r="H272" s="100" t="str">
        <f t="shared" si="3"/>
        <v>Jumat</v>
      </c>
      <c r="I272" s="97" t="s">
        <v>95</v>
      </c>
      <c r="J272" s="97" t="s">
        <v>101</v>
      </c>
      <c r="K272" s="97" t="s">
        <v>57</v>
      </c>
      <c r="L272" s="101" t="s">
        <v>293</v>
      </c>
      <c r="M272" s="102" t="str">
        <f>IFNA(VLOOKUP(L272,'🙎‍♂️ Pasien'!G:V,2,FALSE),"")</f>
        <v>D9224015876</v>
      </c>
      <c r="N272" s="103">
        <f>IFNA(VLOOKUP(L272,'🙎‍♂️ Pasien'!G:L,3,FALSE),"")</f>
        <v>33</v>
      </c>
      <c r="O272" s="104" t="str">
        <f>IFNA(VLOOKUP(L272,'🙎‍♂️ Pasien'!G:V,6,FALSE),"")</f>
        <v>PEREMPUAN</v>
      </c>
      <c r="P272" s="104" t="str">
        <f>IFNA(VLOOKUP(L272,'🙎‍♂️ Pasien'!G:V,12,FALSE),"")</f>
        <v>ISLAM</v>
      </c>
      <c r="Q272" s="104" t="str">
        <f>IFNA(VLOOKUP(L272:L1508,'🙎‍♂️ Pasien'!G:V,13,FALSE),"")</f>
        <v>WIRASWASTA</v>
      </c>
      <c r="R272" s="104" t="str">
        <f t="array" ref="R272">ifna(xlookup(L272,'🙎‍♂️ Pasien'!$G$5:$G1508,'🙎‍♂️ Pasien'!$T$5:$T1508),"")</f>
        <v>Pundak belakang dan leher sakit krna salah posisi tidur</v>
      </c>
      <c r="S272" s="104" t="str">
        <f t="array" ref="S272">ifna(xlookup(L272,'🙎‍♂️ Pasien'!$G$5:$G1508,'🙎‍♂️ Pasien'!$U$5:$U1508),"")</f>
        <v>Makan</v>
      </c>
      <c r="T272" s="97" t="s">
        <v>59</v>
      </c>
      <c r="U272" s="105" t="s">
        <v>60</v>
      </c>
      <c r="V272" s="101"/>
      <c r="W272" s="106" t="b">
        <v>1</v>
      </c>
      <c r="X272" s="109" t="s">
        <v>294</v>
      </c>
      <c r="Y272" s="108"/>
    </row>
    <row r="273" ht="22.5" customHeight="1">
      <c r="A273" s="96"/>
      <c r="B273" s="97" t="s">
        <v>85</v>
      </c>
      <c r="C273" s="98" t="str">
        <f t="array" ref="C273">IFNA(XLOOKUP(J273,'⚙️ Pengaturan'!$H$5:$H1508,'⚙️ Pengaturan'!$I$5:$I1508),"")</f>
        <v>TIM A</v>
      </c>
      <c r="D273" s="97" t="s">
        <v>134</v>
      </c>
      <c r="E273" s="99">
        <v>45947.0</v>
      </c>
      <c r="F273" s="100" t="str">
        <f t="shared" si="1"/>
        <v>2025</v>
      </c>
      <c r="G273" s="100" t="str">
        <f t="shared" si="2"/>
        <v>10Okt</v>
      </c>
      <c r="H273" s="100" t="str">
        <f t="shared" si="3"/>
        <v>Jumat</v>
      </c>
      <c r="I273" s="97" t="s">
        <v>95</v>
      </c>
      <c r="J273" s="97" t="s">
        <v>62</v>
      </c>
      <c r="K273" s="97" t="s">
        <v>63</v>
      </c>
      <c r="L273" s="101" t="s">
        <v>84</v>
      </c>
      <c r="M273" s="102" t="str">
        <f>IFNA(VLOOKUP(L273,'🙎‍♂️ Pasien'!G:V,2,FALSE),"")</f>
        <v>M6825093469</v>
      </c>
      <c r="N273" s="103">
        <f>IFNA(VLOOKUP(L273,'🙎‍♂️ Pasien'!G:L,3,FALSE),"")</f>
        <v>58</v>
      </c>
      <c r="O273" s="104" t="str">
        <f>IFNA(VLOOKUP(L273,'🙎‍♂️ Pasien'!G:V,6,FALSE),"")</f>
        <v>PEREMPUAN</v>
      </c>
      <c r="P273" s="104" t="str">
        <f>IFNA(VLOOKUP(L273,'🙎‍♂️ Pasien'!G:V,12,FALSE),"")</f>
        <v>ISLAM</v>
      </c>
      <c r="Q273" s="104" t="str">
        <f>IFNA(VLOOKUP(L273:L1508,'🙎‍♂️ Pasien'!G:V,13,FALSE),"")</f>
        <v>IBU RUMAH TANGGA</v>
      </c>
      <c r="R273" s="104" t="str">
        <f t="array" ref="R273">ifna(xlookup(L273,'🙎‍♂️ Pasien'!$G$5:$G1508,'🙎‍♂️ Pasien'!$T$5:$T1508),"")</f>
        <v>KAKI SAKIT SEKALI BERJALAN.. AWALNYA HANYA SATU KAKI YANG SAKIT PAS PULANG UMROH KAKI YANG TIDAK SAKIT JADI SAKIT SEKALI DAN SANGAT KESULITAN UNTUK BERJALAN DAN SAKITNYA SAMPE KE PINGGANG</v>
      </c>
      <c r="S273" s="104" t="str">
        <f t="array" ref="S273">ifna(xlookup(L273,'🙎‍♂️ Pasien'!$G$5:$G1508,'🙎‍♂️ Pasien'!$U$5:$U1508),"")</f>
        <v>ORANG YANG ULET, SUKA BEBERES, MASAK, NYIRAM TANAMAN, NYAPU, NGEPEL</v>
      </c>
      <c r="T273" s="97" t="s">
        <v>59</v>
      </c>
      <c r="U273" s="105">
        <v>7.0</v>
      </c>
      <c r="V273" s="101"/>
      <c r="W273" s="106" t="b">
        <v>1</v>
      </c>
      <c r="X273" s="109" t="s">
        <v>295</v>
      </c>
      <c r="Y273" s="108"/>
    </row>
    <row r="274" ht="22.5" customHeight="1">
      <c r="A274" s="96"/>
      <c r="B274" s="97" t="s">
        <v>85</v>
      </c>
      <c r="C274" s="98" t="str">
        <f t="array" ref="C274">IFNA(XLOOKUP(J274,'⚙️ Pengaturan'!$H$5:$H1508,'⚙️ Pengaturan'!$I$5:$I1508),"")</f>
        <v>TIM A</v>
      </c>
      <c r="D274" s="97" t="s">
        <v>134</v>
      </c>
      <c r="E274" s="99">
        <v>45947.0</v>
      </c>
      <c r="F274" s="100" t="str">
        <f t="shared" si="1"/>
        <v>2025</v>
      </c>
      <c r="G274" s="100" t="str">
        <f t="shared" si="2"/>
        <v>10Okt</v>
      </c>
      <c r="H274" s="100" t="str">
        <f t="shared" si="3"/>
        <v>Jumat</v>
      </c>
      <c r="I274" s="97" t="s">
        <v>97</v>
      </c>
      <c r="J274" s="97" t="s">
        <v>62</v>
      </c>
      <c r="K274" s="97" t="s">
        <v>69</v>
      </c>
      <c r="L274" s="101" t="s">
        <v>210</v>
      </c>
      <c r="M274" s="102" t="str">
        <f>IFNA(VLOOKUP(L274,'🙎‍♂️ Pasien'!G:V,2,FALSE),"")</f>
        <v>A9125100553</v>
      </c>
      <c r="N274" s="103">
        <f>IFNA(VLOOKUP(L274,'🙎‍♂️ Pasien'!G:L,3,FALSE),"")</f>
        <v>34</v>
      </c>
      <c r="O274" s="104" t="str">
        <f>IFNA(VLOOKUP(L274,'🙎‍♂️ Pasien'!G:V,6,FALSE),"")</f>
        <v>LAKI-LAKI</v>
      </c>
      <c r="P274" s="104" t="str">
        <f>IFNA(VLOOKUP(L274,'🙎‍♂️ Pasien'!G:V,12,FALSE),"")</f>
        <v>ISLAM</v>
      </c>
      <c r="Q274" s="104" t="str">
        <f>IFNA(VLOOKUP(L274:L1508,'🙎‍♂️ Pasien'!G:V,13,FALSE),"")</f>
        <v>DOSEN</v>
      </c>
      <c r="R274" s="104" t="str">
        <f t="array" ref="R274">ifna(xlookup(L274,'🙎‍♂️ Pasien'!$G$5:$G1508,'🙎‍♂️ Pasien'!$T$5:$T1508),"")</f>
        <v>BAHH</v>
      </c>
      <c r="S274" s="104" t="str">
        <f t="array" ref="S274">ifna(xlookup(L274,'🙎‍♂️ Pasien'!$G$5:$G1508,'🙎‍♂️ Pasien'!$U$5:$U1508),"")</f>
        <v>MENGAJAR</v>
      </c>
      <c r="T274" s="97" t="s">
        <v>67</v>
      </c>
      <c r="U274" s="105" t="s">
        <v>60</v>
      </c>
      <c r="V274" s="101" t="s">
        <v>296</v>
      </c>
      <c r="W274" s="106" t="b">
        <v>1</v>
      </c>
      <c r="X274" s="109" t="s">
        <v>60</v>
      </c>
      <c r="Y274" s="108"/>
    </row>
    <row r="275" ht="22.5" customHeight="1">
      <c r="A275" s="96"/>
      <c r="B275" s="97" t="s">
        <v>85</v>
      </c>
      <c r="C275" s="98" t="str">
        <f t="array" ref="C275">IFNA(XLOOKUP(J275,'⚙️ Pengaturan'!$H$5:$H1508,'⚙️ Pengaturan'!$I$5:$I1508),"")</f>
        <v>TIM A</v>
      </c>
      <c r="D275" s="97" t="s">
        <v>134</v>
      </c>
      <c r="E275" s="99">
        <v>45947.0</v>
      </c>
      <c r="F275" s="100" t="str">
        <f t="shared" si="1"/>
        <v>2025</v>
      </c>
      <c r="G275" s="100" t="str">
        <f t="shared" si="2"/>
        <v>10Okt</v>
      </c>
      <c r="H275" s="100" t="str">
        <f t="shared" si="3"/>
        <v>Jumat</v>
      </c>
      <c r="I275" s="97" t="s">
        <v>97</v>
      </c>
      <c r="J275" s="97" t="s">
        <v>62</v>
      </c>
      <c r="K275" s="97" t="s">
        <v>57</v>
      </c>
      <c r="L275" s="101" t="s">
        <v>297</v>
      </c>
      <c r="M275" s="102" t="str">
        <f>IFNA(VLOOKUP(L275,'🙎‍♂️ Pasien'!G:V,2,FALSE),"")</f>
        <v>R8125108947</v>
      </c>
      <c r="N275" s="103">
        <f>IFNA(VLOOKUP(L275,'🙎‍♂️ Pasien'!G:L,3,FALSE),"")</f>
        <v>44</v>
      </c>
      <c r="O275" s="104" t="str">
        <f>IFNA(VLOOKUP(L275,'🙎‍♂️ Pasien'!G:V,6,FALSE),"")</f>
        <v>LAKI-LAKI</v>
      </c>
      <c r="P275" s="104" t="str">
        <f>IFNA(VLOOKUP(L275,'🙎‍♂️ Pasien'!G:V,12,FALSE),"")</f>
        <v>ISLAM</v>
      </c>
      <c r="Q275" s="104" t="str">
        <f>IFNA(VLOOKUP(L275:L1508,'🙎‍♂️ Pasien'!G:V,13,FALSE),"")</f>
        <v>WIRASWASTA</v>
      </c>
      <c r="R275" s="104" t="str">
        <f t="array" ref="R275">ifna(xlookup(L275,'🙎‍♂️ Pasien'!$G$5:$G1508,'🙎‍♂️ Pasien'!$T$5:$T1508),"")</f>
        <v>LBP</v>
      </c>
      <c r="S275" s="104" t="str">
        <f t="array" ref="S275">ifna(xlookup(L275,'🙎‍♂️ Pasien'!$G$5:$G1508,'🙎‍♂️ Pasien'!$U$5:$U1508),"")</f>
        <v>SUPERVISI LAPANGAN</v>
      </c>
      <c r="T275" s="97" t="s">
        <v>59</v>
      </c>
      <c r="U275" s="105" t="s">
        <v>60</v>
      </c>
      <c r="V275" s="101" t="s">
        <v>289</v>
      </c>
      <c r="W275" s="106" t="b">
        <v>1</v>
      </c>
      <c r="X275" s="109" t="s">
        <v>298</v>
      </c>
      <c r="Y275" s="108"/>
    </row>
    <row r="276" ht="22.5" customHeight="1">
      <c r="A276" s="96"/>
      <c r="B276" s="97" t="s">
        <v>85</v>
      </c>
      <c r="C276" s="98" t="str">
        <f t="array" ref="C276">IFNA(XLOOKUP(J276,'⚙️ Pengaturan'!$H$5:$H1508,'⚙️ Pengaturan'!$I$5:$I1508),"")</f>
        <v>TIM A</v>
      </c>
      <c r="D276" s="97" t="s">
        <v>134</v>
      </c>
      <c r="E276" s="99">
        <v>45947.0</v>
      </c>
      <c r="F276" s="100" t="str">
        <f t="shared" si="1"/>
        <v>2025</v>
      </c>
      <c r="G276" s="100" t="str">
        <f t="shared" si="2"/>
        <v>10Okt</v>
      </c>
      <c r="H276" s="100" t="str">
        <f t="shared" si="3"/>
        <v>Jumat</v>
      </c>
      <c r="I276" s="97" t="s">
        <v>99</v>
      </c>
      <c r="J276" s="97" t="s">
        <v>62</v>
      </c>
      <c r="K276" s="97" t="s">
        <v>69</v>
      </c>
      <c r="L276" s="101" t="s">
        <v>299</v>
      </c>
      <c r="M276" s="102" t="str">
        <f>IFNA(VLOOKUP(L276,'🙎‍♂️ Pasien'!G:V,2,FALSE),"")</f>
        <v>F9725096709</v>
      </c>
      <c r="N276" s="103">
        <f>IFNA(VLOOKUP(L276,'🙎‍♂️ Pasien'!G:L,3,FALSE),"")</f>
        <v>28</v>
      </c>
      <c r="O276" s="104" t="str">
        <f>IFNA(VLOOKUP(L276,'🙎‍♂️ Pasien'!G:V,6,FALSE),"")</f>
        <v>PEREMPUAN</v>
      </c>
      <c r="P276" s="104" t="str">
        <f>IFNA(VLOOKUP(L276,'🙎‍♂️ Pasien'!G:V,12,FALSE),"")</f>
        <v>ISLAM</v>
      </c>
      <c r="Q276" s="104" t="str">
        <f>IFNA(VLOOKUP(L276:L1508,'🙎‍♂️ Pasien'!G:V,13,FALSE),"")</f>
        <v>GURU</v>
      </c>
      <c r="R276" s="104" t="str">
        <f t="array" ref="R276">ifna(xlookup(L276,'🙎‍♂️ Pasien'!$G$5:$G1508,'🙎‍♂️ Pasien'!$T$5:$T1508),"")</f>
        <v>CIDERA LUTUT</v>
      </c>
      <c r="S276" s="104" t="str">
        <f t="array" ref="S276">ifna(xlookup(L276,'🙎‍♂️ Pasien'!$G$5:$G1508,'🙎‍♂️ Pasien'!$U$5:$U1508),"")</f>
        <v>BOLA KAKI</v>
      </c>
      <c r="T276" s="97" t="s">
        <v>59</v>
      </c>
      <c r="U276" s="105" t="s">
        <v>60</v>
      </c>
      <c r="V276" s="101" t="s">
        <v>289</v>
      </c>
      <c r="W276" s="106" t="b">
        <v>1</v>
      </c>
      <c r="X276" s="109" t="s">
        <v>300</v>
      </c>
      <c r="Y276" s="108"/>
    </row>
    <row r="277" ht="22.5" customHeight="1">
      <c r="A277" s="96"/>
      <c r="B277" s="97" t="s">
        <v>53</v>
      </c>
      <c r="C277" s="98" t="str">
        <f t="array" ref="C277">IFNA(XLOOKUP(J277,'⚙️ Pengaturan'!$H$5:$H1508,'⚙️ Pengaturan'!$I$5:$I1508),"")</f>
        <v>TIM Y</v>
      </c>
      <c r="D277" s="97" t="s">
        <v>86</v>
      </c>
      <c r="E277" s="99">
        <v>45948.0</v>
      </c>
      <c r="F277" s="100" t="str">
        <f t="shared" si="1"/>
        <v>2025</v>
      </c>
      <c r="G277" s="100" t="str">
        <f t="shared" si="2"/>
        <v>10Okt</v>
      </c>
      <c r="H277" s="100" t="str">
        <f t="shared" si="3"/>
        <v>Sabtu</v>
      </c>
      <c r="I277" s="97" t="s">
        <v>55</v>
      </c>
      <c r="J277" s="97" t="s">
        <v>56</v>
      </c>
      <c r="K277" s="97" t="s">
        <v>63</v>
      </c>
      <c r="L277" s="101" t="s">
        <v>96</v>
      </c>
      <c r="M277" s="102" t="str">
        <f>IFNA(VLOOKUP(L277,'🙎‍♂️ Pasien'!G:V,2,FALSE),"")</f>
        <v>A0925094650</v>
      </c>
      <c r="N277" s="103">
        <f>IFNA(VLOOKUP(L277,'🙎‍♂️ Pasien'!G:L,3,FALSE),"")</f>
        <v>17</v>
      </c>
      <c r="O277" s="104" t="str">
        <f>IFNA(VLOOKUP(L277,'🙎‍♂️ Pasien'!G:V,6,FALSE),"")</f>
        <v>LAKI-LAKI</v>
      </c>
      <c r="P277" s="104" t="str">
        <f>IFNA(VLOOKUP(L277,'🙎‍♂️ Pasien'!G:V,12,FALSE),"")</f>
        <v>ISLAM</v>
      </c>
      <c r="Q277" s="104" t="str">
        <f>IFNA(VLOOKUP(L277:L1508,'🙎‍♂️ Pasien'!G:V,13,FALSE),"")</f>
        <v>PELAJAR</v>
      </c>
      <c r="R277" s="104" t="str">
        <f t="array" ref="R277">ifna(xlookup(L277,'🙎‍♂️ Pasien'!$G$5:$G1508,'🙎‍♂️ Pasien'!$T$5:$T1508),"")</f>
        <v>LUTUT</v>
      </c>
      <c r="S277" s="104" t="str">
        <f t="array" ref="S277">ifna(xlookup(L277,'🙎‍♂️ Pasien'!$G$5:$G1508,'🙎‍♂️ Pasien'!$U$5:$U1508),"")</f>
        <v>FUTSAL</v>
      </c>
      <c r="T277" s="97" t="s">
        <v>59</v>
      </c>
      <c r="U277" s="105">
        <v>8.0</v>
      </c>
      <c r="V277" s="101"/>
      <c r="W277" s="106" t="b">
        <v>1</v>
      </c>
      <c r="X277" s="107"/>
      <c r="Y277" s="108"/>
    </row>
    <row r="278" ht="22.5" customHeight="1">
      <c r="A278" s="96"/>
      <c r="B278" s="97" t="s">
        <v>53</v>
      </c>
      <c r="C278" s="98" t="str">
        <f t="array" ref="C278">IFNA(XLOOKUP(J278,'⚙️ Pengaturan'!$H$5:$H1508,'⚙️ Pengaturan'!$I$5:$I1508),"")</f>
        <v>TIM A</v>
      </c>
      <c r="D278" s="97" t="s">
        <v>86</v>
      </c>
      <c r="E278" s="99">
        <v>45948.0</v>
      </c>
      <c r="F278" s="100" t="str">
        <f t="shared" si="1"/>
        <v>2025</v>
      </c>
      <c r="G278" s="100" t="str">
        <f t="shared" si="2"/>
        <v>10Okt</v>
      </c>
      <c r="H278" s="100" t="str">
        <f t="shared" si="3"/>
        <v>Sabtu</v>
      </c>
      <c r="I278" s="97" t="s">
        <v>55</v>
      </c>
      <c r="J278" s="97" t="s">
        <v>62</v>
      </c>
      <c r="K278" s="97" t="s">
        <v>63</v>
      </c>
      <c r="L278" s="101" t="s">
        <v>64</v>
      </c>
      <c r="M278" s="102" t="str">
        <f>IFNA(VLOOKUP(L278,'🙎‍♂️ Pasien'!G:V,2,FALSE),"")</f>
        <v>R2525091389</v>
      </c>
      <c r="N278" s="103">
        <f>IFNA(VLOOKUP(L278,'🙎‍♂️ Pasien'!G:L,3,FALSE),"")</f>
        <v>1</v>
      </c>
      <c r="O278" s="104" t="str">
        <f>IFNA(VLOOKUP(L278,'🙎‍♂️ Pasien'!G:V,6,FALSE),"")</f>
        <v>LAKI-LAKI</v>
      </c>
      <c r="P278" s="104" t="str">
        <f>IFNA(VLOOKUP(L278,'🙎‍♂️ Pasien'!G:V,12,FALSE),"")</f>
        <v>PROTESTAN</v>
      </c>
      <c r="Q278" s="104" t="str">
        <f>IFNA(VLOOKUP(L278:L1508,'🙎‍♂️ Pasien'!G:V,13,FALSE),"")</f>
        <v>KARYAWAN</v>
      </c>
      <c r="R278" s="104" t="str">
        <f t="array" ref="R278">ifna(xlookup(L278,'🙎‍♂️ Pasien'!$G$5:$G1508,'🙎‍♂️ Pasien'!$T$5:$T1508),"")</f>
        <v>FROZEN SHOULDER</v>
      </c>
      <c r="S278" s="104" t="str">
        <f t="array" ref="S278">ifna(xlookup(L278,'🙎‍♂️ Pasien'!$G$5:$G1508,'🙎‍♂️ Pasien'!$U$5:$U1508),"")</f>
        <v>TIDAK BISA MAIN BADMINTON</v>
      </c>
      <c r="T278" s="97" t="s">
        <v>67</v>
      </c>
      <c r="U278" s="105">
        <v>5.0</v>
      </c>
      <c r="V278" s="101" t="s">
        <v>301</v>
      </c>
      <c r="W278" s="106" t="b">
        <v>1</v>
      </c>
      <c r="X278" s="107"/>
      <c r="Y278" s="108"/>
    </row>
    <row r="279" ht="22.5" customHeight="1">
      <c r="A279" s="96"/>
      <c r="B279" s="97" t="s">
        <v>53</v>
      </c>
      <c r="C279" s="98" t="str">
        <f t="array" ref="C279">IFNA(XLOOKUP(J279,'⚙️ Pengaturan'!$H$5:$H1508,'⚙️ Pengaturan'!$I$5:$I1508),"")</f>
        <v>TIM A</v>
      </c>
      <c r="D279" s="97" t="s">
        <v>86</v>
      </c>
      <c r="E279" s="99">
        <v>45948.0</v>
      </c>
      <c r="F279" s="100" t="str">
        <f t="shared" si="1"/>
        <v>2025</v>
      </c>
      <c r="G279" s="100" t="str">
        <f t="shared" si="2"/>
        <v>10Okt</v>
      </c>
      <c r="H279" s="100" t="str">
        <f t="shared" si="3"/>
        <v>Sabtu</v>
      </c>
      <c r="I279" s="97" t="s">
        <v>65</v>
      </c>
      <c r="J279" s="97" t="s">
        <v>72</v>
      </c>
      <c r="K279" s="97" t="s">
        <v>63</v>
      </c>
      <c r="L279" s="101" t="s">
        <v>225</v>
      </c>
      <c r="M279" s="102" t="str">
        <f>IFNA(VLOOKUP(L279,'🙎‍♂️ Pasien'!G:V,2,FALSE),"")</f>
        <v>B8025102288</v>
      </c>
      <c r="N279" s="103">
        <f>IFNA(VLOOKUP(L279,'🙎‍♂️ Pasien'!G:L,3,FALSE),"")</f>
        <v>45</v>
      </c>
      <c r="O279" s="104" t="str">
        <f>IFNA(VLOOKUP(L279,'🙎‍♂️ Pasien'!G:V,6,FALSE),"")</f>
        <v>PEREMPUAN</v>
      </c>
      <c r="P279" s="104" t="str">
        <f>IFNA(VLOOKUP(L279,'🙎‍♂️ Pasien'!G:V,12,FALSE),"")</f>
        <v>ISLAM</v>
      </c>
      <c r="Q279" s="104" t="str">
        <f>IFNA(VLOOKUP(L279:L1508,'🙎‍♂️ Pasien'!G:V,13,FALSE),"")</f>
        <v>ASN</v>
      </c>
      <c r="R279" s="104" t="str">
        <f t="array" ref="R279">ifna(xlookup(L279,'🙎‍♂️ Pasien'!$G$5:$G1508,'🙎‍♂️ Pasien'!$T$5:$T1508),"")</f>
        <v>KELUHAN SY NYERI DI TUMIT KIRI SM PAHA KANAN UT DIANGKAT SAMBIL DITEKUK KE ARAH SAMPING LUAR RASA NYA NYERI</v>
      </c>
      <c r="S279" s="104" t="str">
        <f t="array" ref="S279">ifna(xlookup(L279,'🙎‍♂️ Pasien'!$G$5:$G1508,'🙎‍♂️ Pasien'!$U$5:$U1508),"")</f>
        <v>JOGING</v>
      </c>
      <c r="T279" s="97" t="s">
        <v>59</v>
      </c>
      <c r="U279" s="105">
        <v>2.0</v>
      </c>
      <c r="V279" s="101"/>
      <c r="W279" s="106" t="b">
        <v>1</v>
      </c>
      <c r="X279" s="107"/>
      <c r="Y279" s="108"/>
    </row>
    <row r="280" ht="22.5" customHeight="1">
      <c r="A280" s="96"/>
      <c r="B280" s="97" t="s">
        <v>53</v>
      </c>
      <c r="C280" s="98" t="str">
        <f t="array" ref="C280">IFNA(XLOOKUP(J280,'⚙️ Pengaturan'!$H$5:$H1508,'⚙️ Pengaturan'!$I$5:$I1508),"")</f>
        <v>TIM A</v>
      </c>
      <c r="D280" s="97" t="s">
        <v>86</v>
      </c>
      <c r="E280" s="99">
        <v>45948.0</v>
      </c>
      <c r="F280" s="100" t="str">
        <f t="shared" si="1"/>
        <v>2025</v>
      </c>
      <c r="G280" s="100" t="str">
        <f t="shared" si="2"/>
        <v>10Okt</v>
      </c>
      <c r="H280" s="100" t="str">
        <f t="shared" si="3"/>
        <v>Sabtu</v>
      </c>
      <c r="I280" s="97" t="s">
        <v>74</v>
      </c>
      <c r="J280" s="97" t="s">
        <v>62</v>
      </c>
      <c r="K280" s="97" t="s">
        <v>57</v>
      </c>
      <c r="L280" s="101" t="s">
        <v>302</v>
      </c>
      <c r="M280" s="102" t="str">
        <f>IFNA(VLOOKUP(L280,'🙎‍♂️ Pasien'!G:V,2,FALSE),"")</f>
        <v>A9425105994</v>
      </c>
      <c r="N280" s="103">
        <f>IFNA(VLOOKUP(L280,'🙎‍♂️ Pasien'!G:L,3,FALSE),"")</f>
        <v>32</v>
      </c>
      <c r="O280" s="104" t="str">
        <f>IFNA(VLOOKUP(L280,'🙎‍♂️ Pasien'!G:V,6,FALSE),"")</f>
        <v>LAKI-LAKI</v>
      </c>
      <c r="P280" s="104" t="str">
        <f>IFNA(VLOOKUP(L280,'🙎‍♂️ Pasien'!G:V,12,FALSE),"")</f>
        <v>ISLAM</v>
      </c>
      <c r="Q280" s="104" t="str">
        <f>IFNA(VLOOKUP(L280:L1508,'🙎‍♂️ Pasien'!G:V,13,FALSE),"")</f>
        <v>KARYAWAN SWASTA</v>
      </c>
      <c r="R280" s="104" t="str">
        <f t="array" ref="R280">ifna(xlookup(L280,'🙎‍♂️ Pasien'!$G$5:$G1508,'🙎‍♂️ Pasien'!$T$5:$T1508),"")</f>
        <v>LUTUT</v>
      </c>
      <c r="S280" s="104" t="str">
        <f t="array" ref="S280">ifna(xlookup(L280,'🙎‍♂️ Pasien'!$G$5:$G1508,'🙎‍♂️ Pasien'!$U$5:$U1508),"")</f>
        <v>OLAGRAGA</v>
      </c>
      <c r="T280" s="97" t="s">
        <v>59</v>
      </c>
      <c r="U280" s="105" t="s">
        <v>60</v>
      </c>
      <c r="V280" s="101"/>
      <c r="W280" s="106" t="b">
        <v>1</v>
      </c>
      <c r="X280" s="107"/>
      <c r="Y280" s="108"/>
    </row>
    <row r="281" ht="22.5" customHeight="1">
      <c r="A281" s="96"/>
      <c r="B281" s="97" t="s">
        <v>53</v>
      </c>
      <c r="C281" s="98" t="str">
        <f t="array" ref="C281">IFNA(XLOOKUP(J281,'⚙️ Pengaturan'!$H$5:$H1508,'⚙️ Pengaturan'!$I$5:$I1508),"")</f>
        <v>TIM Y</v>
      </c>
      <c r="D281" s="97" t="s">
        <v>86</v>
      </c>
      <c r="E281" s="99">
        <v>45948.0</v>
      </c>
      <c r="F281" s="100" t="str">
        <f t="shared" si="1"/>
        <v>2025</v>
      </c>
      <c r="G281" s="100" t="str">
        <f t="shared" si="2"/>
        <v>10Okt</v>
      </c>
      <c r="H281" s="100" t="str">
        <f t="shared" si="3"/>
        <v>Sabtu</v>
      </c>
      <c r="I281" s="97" t="s">
        <v>74</v>
      </c>
      <c r="J281" s="97" t="s">
        <v>56</v>
      </c>
      <c r="K281" s="97" t="s">
        <v>63</v>
      </c>
      <c r="L281" s="101" t="s">
        <v>303</v>
      </c>
      <c r="M281" s="102" t="str">
        <f>IFNA(VLOOKUP(L281,'🙎‍♂️ Pasien'!G:V,2,FALSE),"")</f>
        <v>M7825098720</v>
      </c>
      <c r="N281" s="103">
        <f>IFNA(VLOOKUP(L281,'🙎‍♂️ Pasien'!G:L,3,FALSE),"")</f>
        <v>47</v>
      </c>
      <c r="O281" s="104" t="str">
        <f>IFNA(VLOOKUP(L281,'🙎‍♂️ Pasien'!G:V,6,FALSE),"")</f>
        <v>LAKI-LAKI</v>
      </c>
      <c r="P281" s="104" t="str">
        <f>IFNA(VLOOKUP(L281,'🙎‍♂️ Pasien'!G:V,12,FALSE),"")</f>
        <v>ISLAM</v>
      </c>
      <c r="Q281" s="104" t="str">
        <f>IFNA(VLOOKUP(L281:L1508,'🙎‍♂️ Pasien'!G:V,13,FALSE),"")</f>
        <v>WIRASWASTA</v>
      </c>
      <c r="R281" s="104" t="str">
        <f t="array" ref="R281">ifna(xlookup(L281,'🙎‍♂️ Pasien'!$G$5:$G1508,'🙎‍♂️ Pasien'!$T$5:$T1508),"")</f>
        <v>KAKI KESEMUTAN KEDUANYA, OTOT/URAT/SARAF KADANG KENCANG DR PAHA LUTUT BETIK KAKI, PINGGANG KADANG NYERI, JALAN KADANG SEMPOYONGAN.</v>
      </c>
      <c r="S281" s="104" t="str">
        <f t="array" ref="S281">ifna(xlookup(L281,'🙎‍♂️ Pasien'!$G$5:$G1508,'🙎‍♂️ Pasien'!$U$5:$U1508),"")</f>
        <v>RUTINITAS BIASA AJA</v>
      </c>
      <c r="T281" s="97" t="s">
        <v>59</v>
      </c>
      <c r="U281" s="105">
        <v>2.0</v>
      </c>
      <c r="V281" s="101"/>
      <c r="W281" s="106" t="b">
        <v>1</v>
      </c>
      <c r="X281" s="107"/>
      <c r="Y281" s="108"/>
    </row>
    <row r="282" ht="22.5" customHeight="1">
      <c r="A282" s="96"/>
      <c r="B282" s="97" t="s">
        <v>53</v>
      </c>
      <c r="C282" s="98" t="str">
        <f t="array" ref="C282">IFNA(XLOOKUP(J282,'⚙️ Pengaturan'!$H$5:$H1508,'⚙️ Pengaturan'!$I$5:$I1508),"")</f>
        <v>TIM A</v>
      </c>
      <c r="D282" s="97" t="s">
        <v>86</v>
      </c>
      <c r="E282" s="99">
        <v>45948.0</v>
      </c>
      <c r="F282" s="100" t="str">
        <f t="shared" si="1"/>
        <v>2025</v>
      </c>
      <c r="G282" s="100" t="str">
        <f t="shared" si="2"/>
        <v>10Okt</v>
      </c>
      <c r="H282" s="100" t="str">
        <f t="shared" si="3"/>
        <v>Sabtu</v>
      </c>
      <c r="I282" s="97" t="s">
        <v>76</v>
      </c>
      <c r="J282" s="97" t="s">
        <v>72</v>
      </c>
      <c r="K282" s="97" t="s">
        <v>63</v>
      </c>
      <c r="L282" s="101" t="s">
        <v>239</v>
      </c>
      <c r="M282" s="102" t="str">
        <f>IFNA(VLOOKUP(L282,'🙎‍♂️ Pasien'!G:V,2,FALSE),"")</f>
        <v>A0623071437</v>
      </c>
      <c r="N282" s="103">
        <f>IFNA(VLOOKUP(L282,'🙎‍♂️ Pasien'!G:L,3,FALSE),"")</f>
        <v>20</v>
      </c>
      <c r="O282" s="104" t="str">
        <f>IFNA(VLOOKUP(L282,'🙎‍♂️ Pasien'!G:V,6,FALSE),"")</f>
        <v>LAKI-LAKI</v>
      </c>
      <c r="P282" s="104" t="str">
        <f>IFNA(VLOOKUP(L282,'🙎‍♂️ Pasien'!G:V,12,FALSE),"")</f>
        <v>ISLAM</v>
      </c>
      <c r="Q282" s="104" t="str">
        <f>IFNA(VLOOKUP(L282:L1508,'🙎‍♂️ Pasien'!G:V,13,FALSE),"")</f>
        <v>PELAJAR/MAHASISWA</v>
      </c>
      <c r="R282" s="104" t="str">
        <f t="array" ref="R282">ifna(xlookup(L282,'🙎‍♂️ Pasien'!$G$5:$G1508,'🙎‍♂️ Pasien'!$T$5:$T1508),"")</f>
        <v>Cedera Engkel Di Kaki</v>
      </c>
      <c r="S282" s="104" t="str">
        <f t="array" ref="S282">ifna(xlookup(L282,'🙎‍♂️ Pasien'!$G$5:$G1508,'🙎‍♂️ Pasien'!$U$5:$U1508),"")</f>
        <v>BERMAIN FUTSAL</v>
      </c>
      <c r="T282" s="97" t="s">
        <v>67</v>
      </c>
      <c r="U282" s="105">
        <v>2.0</v>
      </c>
      <c r="V282" s="101" t="s">
        <v>304</v>
      </c>
      <c r="W282" s="106" t="b">
        <v>1</v>
      </c>
      <c r="X282" s="107"/>
      <c r="Y282" s="108"/>
    </row>
    <row r="283" ht="22.5" customHeight="1">
      <c r="A283" s="96"/>
      <c r="B283" s="97" t="s">
        <v>53</v>
      </c>
      <c r="C283" s="98" t="str">
        <f t="array" ref="C283">IFNA(XLOOKUP(J283,'⚙️ Pengaturan'!$H$5:$H1508,'⚙️ Pengaturan'!$I$5:$I1508),"")</f>
        <v>TIM A</v>
      </c>
      <c r="D283" s="97" t="s">
        <v>86</v>
      </c>
      <c r="E283" s="99">
        <v>45948.0</v>
      </c>
      <c r="F283" s="100" t="str">
        <f t="shared" si="1"/>
        <v>2025</v>
      </c>
      <c r="G283" s="100" t="str">
        <f t="shared" si="2"/>
        <v>10Okt</v>
      </c>
      <c r="H283" s="100" t="str">
        <f t="shared" si="3"/>
        <v>Sabtu</v>
      </c>
      <c r="I283" s="97" t="s">
        <v>76</v>
      </c>
      <c r="J283" s="97" t="s">
        <v>62</v>
      </c>
      <c r="K283" s="97" t="s">
        <v>69</v>
      </c>
      <c r="L283" s="101" t="s">
        <v>263</v>
      </c>
      <c r="M283" s="102" t="str">
        <f>IFNA(VLOOKUP(L283,'🙎‍♂️ Pasien'!G:V,2,FALSE),"")</f>
        <v>F0625102235</v>
      </c>
      <c r="N283" s="103">
        <f>IFNA(VLOOKUP(L283,'🙎‍♂️ Pasien'!G:L,3,FALSE),"")</f>
        <v>20</v>
      </c>
      <c r="O283" s="104" t="str">
        <f>IFNA(VLOOKUP(L283,'🙎‍♂️ Pasien'!G:V,6,FALSE),"")</f>
        <v>PEREMPUAN</v>
      </c>
      <c r="P283" s="104" t="str">
        <f>IFNA(VLOOKUP(L283,'🙎‍♂️ Pasien'!G:V,12,FALSE),"")</f>
        <v>ISLAM</v>
      </c>
      <c r="Q283" s="104" t="str">
        <f>IFNA(VLOOKUP(L283:L1508,'🙎‍♂️ Pasien'!G:V,13,FALSE),"")</f>
        <v>KARYAWAN SWASTA</v>
      </c>
      <c r="R283" s="104" t="str">
        <f t="array" ref="R283">ifna(xlookup(L283,'🙎‍♂️ Pasien'!$G$5:$G1508,'🙎‍♂️ Pasien'!$T$5:$T1508),"")</f>
        <v>TANGAN KANAN SAKIT TIDAK BISA DIANGKAT</v>
      </c>
      <c r="S283" s="104" t="str">
        <f t="array" ref="S283">ifna(xlookup(L283,'🙎‍♂️ Pasien'!$G$5:$G1508,'🙎‍♂️ Pasien'!$U$5:$U1508),"")</f>
        <v>MEMBUAT CROISSANT RAMBUT YG MENGHARUSKAN MENGANGKAT TANGAN</v>
      </c>
      <c r="T283" s="97" t="s">
        <v>59</v>
      </c>
      <c r="U283" s="105" t="s">
        <v>60</v>
      </c>
      <c r="V283" s="101"/>
      <c r="W283" s="106" t="b">
        <v>1</v>
      </c>
      <c r="X283" s="107"/>
      <c r="Y283" s="108"/>
    </row>
    <row r="284" ht="22.5" customHeight="1">
      <c r="A284" s="96"/>
      <c r="B284" s="97" t="s">
        <v>53</v>
      </c>
      <c r="C284" s="98" t="str">
        <f t="array" ref="C284">IFNA(XLOOKUP(J284,'⚙️ Pengaturan'!$H$5:$H1508,'⚙️ Pengaturan'!$I$5:$I1508),"")</f>
        <v>TIM Y</v>
      </c>
      <c r="D284" s="97" t="s">
        <v>86</v>
      </c>
      <c r="E284" s="99">
        <v>45948.0</v>
      </c>
      <c r="F284" s="100" t="str">
        <f t="shared" si="1"/>
        <v>2025</v>
      </c>
      <c r="G284" s="100" t="str">
        <f t="shared" si="2"/>
        <v>10Okt</v>
      </c>
      <c r="H284" s="100" t="str">
        <f t="shared" si="3"/>
        <v>Sabtu</v>
      </c>
      <c r="I284" s="97" t="s">
        <v>76</v>
      </c>
      <c r="J284" s="97" t="s">
        <v>56</v>
      </c>
      <c r="K284" s="97" t="s">
        <v>69</v>
      </c>
      <c r="L284" s="101" t="s">
        <v>218</v>
      </c>
      <c r="M284" s="102" t="str">
        <f>IFNA(VLOOKUP(L284,'🙎‍♂️ Pasien'!G:V,2,FALSE),"")</f>
        <v>S8225092183</v>
      </c>
      <c r="N284" s="103">
        <f>IFNA(VLOOKUP(L284,'🙎‍♂️ Pasien'!G:L,3,FALSE),"")</f>
        <v>44</v>
      </c>
      <c r="O284" s="104" t="str">
        <f>IFNA(VLOOKUP(L284,'🙎‍♂️ Pasien'!G:V,6,FALSE),"")</f>
        <v>LAKI-LAKI</v>
      </c>
      <c r="P284" s="104" t="str">
        <f>IFNA(VLOOKUP(L284,'🙎‍♂️ Pasien'!G:V,12,FALSE),"")</f>
        <v>KATOLIK</v>
      </c>
      <c r="Q284" s="104" t="str">
        <f>IFNA(VLOOKUP(L284:L1508,'🙎‍♂️ Pasien'!G:V,13,FALSE),"")</f>
        <v>PEGAWAI SWASTA</v>
      </c>
      <c r="R284" s="104" t="str">
        <f t="array" ref="R284">ifna(xlookup(L284,'🙎‍♂️ Pasien'!$G$5:$G1508,'🙎‍♂️ Pasien'!$T$5:$T1508),"")</f>
        <v>CIDERA HAMSTRING</v>
      </c>
      <c r="S284" s="104" t="str">
        <f t="array" ref="S284">ifna(xlookup(L284,'🙎‍♂️ Pasien'!$G$5:$G1508,'🙎‍♂️ Pasien'!$U$5:$U1508),"")</f>
        <v>OLAHRAGA MINI SOCCERS</v>
      </c>
      <c r="T284" s="97" t="s">
        <v>67</v>
      </c>
      <c r="U284" s="105" t="s">
        <v>60</v>
      </c>
      <c r="V284" s="101" t="s">
        <v>305</v>
      </c>
      <c r="W284" s="106" t="b">
        <v>1</v>
      </c>
      <c r="X284" s="107"/>
      <c r="Y284" s="108"/>
    </row>
    <row r="285" ht="22.5" customHeight="1">
      <c r="A285" s="96"/>
      <c r="B285" s="97" t="s">
        <v>53</v>
      </c>
      <c r="C285" s="98" t="str">
        <f t="array" ref="C285">IFNA(XLOOKUP(J285,'⚙️ Pengaturan'!$H$5:$H1508,'⚙️ Pengaturan'!$I$5:$I1508),"")</f>
        <v>TIM A</v>
      </c>
      <c r="D285" s="97" t="s">
        <v>86</v>
      </c>
      <c r="E285" s="99">
        <v>45948.0</v>
      </c>
      <c r="F285" s="100" t="str">
        <f t="shared" si="1"/>
        <v>2025</v>
      </c>
      <c r="G285" s="100" t="str">
        <f t="shared" si="2"/>
        <v>10Okt</v>
      </c>
      <c r="H285" s="100" t="str">
        <f t="shared" si="3"/>
        <v>Sabtu</v>
      </c>
      <c r="I285" s="97" t="s">
        <v>83</v>
      </c>
      <c r="J285" s="97" t="s">
        <v>62</v>
      </c>
      <c r="K285" s="97" t="s">
        <v>63</v>
      </c>
      <c r="L285" s="101" t="s">
        <v>257</v>
      </c>
      <c r="M285" s="102" t="str">
        <f>IFNA(VLOOKUP(L285,'🙎‍♂️ Pasien'!G:V,2,FALSE),"")</f>
        <v>A1025102304</v>
      </c>
      <c r="N285" s="103">
        <f>IFNA(VLOOKUP(L285,'🙎‍♂️ Pasien'!G:L,3,FALSE),"")</f>
        <v>16</v>
      </c>
      <c r="O285" s="104" t="str">
        <f>IFNA(VLOOKUP(L285,'🙎‍♂️ Pasien'!G:V,6,FALSE),"")</f>
        <v>LAKI-LAKI</v>
      </c>
      <c r="P285" s="104" t="str">
        <f>IFNA(VLOOKUP(L285,'🙎‍♂️ Pasien'!G:V,12,FALSE),"")</f>
        <v>PROTESTAN</v>
      </c>
      <c r="Q285" s="104" t="str">
        <f>IFNA(VLOOKUP(L285:L1508,'🙎‍♂️ Pasien'!G:V,13,FALSE),"")</f>
        <v>PELAJAR</v>
      </c>
      <c r="R285" s="104" t="str">
        <f t="array" ref="R285">ifna(xlookup(L285,'🙎‍♂️ Pasien'!$G$5:$G1508,'🙎‍♂️ Pasien'!$T$5:$T1508),"")</f>
        <v>NYERI SENDI KAKI</v>
      </c>
      <c r="S285" s="104" t="str">
        <f t="array" ref="S285">ifna(xlookup(L285,'🙎‍♂️ Pasien'!$G$5:$G1508,'🙎‍♂️ Pasien'!$U$5:$U1508),"")</f>
        <v>OLAHRAGA, NAIK TURUN TANGGA</v>
      </c>
      <c r="T285" s="97" t="s">
        <v>59</v>
      </c>
      <c r="U285" s="105">
        <v>1.0</v>
      </c>
      <c r="V285" s="101"/>
      <c r="W285" s="106" t="b">
        <v>1</v>
      </c>
      <c r="X285" s="107"/>
      <c r="Y285" s="108"/>
    </row>
    <row r="286" ht="22.5" customHeight="1">
      <c r="A286" s="96"/>
      <c r="B286" s="97" t="s">
        <v>85</v>
      </c>
      <c r="C286" s="98" t="str">
        <f t="array" ref="C286">IFNA(XLOOKUP(J286,'⚙️ Pengaturan'!$H$5:$H1508,'⚙️ Pengaturan'!$I$5:$I1508),"")</f>
        <v>TIM A</v>
      </c>
      <c r="D286" s="97" t="s">
        <v>54</v>
      </c>
      <c r="E286" s="99">
        <v>45948.0</v>
      </c>
      <c r="F286" s="100" t="str">
        <f t="shared" si="1"/>
        <v>2025</v>
      </c>
      <c r="G286" s="100" t="str">
        <f t="shared" si="2"/>
        <v>10Okt</v>
      </c>
      <c r="H286" s="100" t="str">
        <f t="shared" si="3"/>
        <v>Sabtu</v>
      </c>
      <c r="I286" s="97" t="s">
        <v>87</v>
      </c>
      <c r="J286" s="97" t="s">
        <v>79</v>
      </c>
      <c r="K286" s="97" t="s">
        <v>63</v>
      </c>
      <c r="L286" s="101" t="s">
        <v>206</v>
      </c>
      <c r="M286" s="102" t="str">
        <f>IFNA(VLOOKUP(L286,'🙎‍♂️ Pasien'!G:V,2,FALSE),"")</f>
        <v>L7225071788</v>
      </c>
      <c r="N286" s="103">
        <f>IFNA(VLOOKUP(L286,'🙎‍♂️ Pasien'!G:L,3,FALSE),"")</f>
        <v>53</v>
      </c>
      <c r="O286" s="104" t="str">
        <f>IFNA(VLOOKUP(L286,'🙎‍♂️ Pasien'!G:V,6,FALSE),"")</f>
        <v>PEREMPUAN</v>
      </c>
      <c r="P286" s="104" t="str">
        <f>IFNA(VLOOKUP(L286,'🙎‍♂️ Pasien'!G:V,12,FALSE),"")</f>
        <v>KATOLIK</v>
      </c>
      <c r="Q286" s="104" t="str">
        <f>IFNA(VLOOKUP(L286:L1508,'🙎‍♂️ Pasien'!G:V,13,FALSE),"")</f>
        <v>IBU RT</v>
      </c>
      <c r="R286" s="104" t="str">
        <f t="array" ref="R286">ifna(xlookup(L286,'🙎‍♂️ Pasien'!$G$5:$G1508,'🙎‍♂️ Pasien'!$T$5:$T1508),"")</f>
        <v>BAHU KANAN DAN PINGGANG</v>
      </c>
      <c r="S286" s="104" t="str">
        <f t="array" ref="S286">ifna(xlookup(L286,'🙎‍♂️ Pasien'!$G$5:$G1508,'🙎‍♂️ Pasien'!$U$5:$U1508),"")</f>
        <v>YOGA</v>
      </c>
      <c r="T286" s="97" t="s">
        <v>59</v>
      </c>
      <c r="U286" s="105">
        <v>1.0</v>
      </c>
      <c r="V286" s="101"/>
      <c r="W286" s="106" t="b">
        <v>1</v>
      </c>
      <c r="X286" s="107"/>
      <c r="Y286" s="108"/>
    </row>
    <row r="287" ht="22.5" customHeight="1">
      <c r="A287" s="96"/>
      <c r="B287" s="97" t="s">
        <v>85</v>
      </c>
      <c r="C287" s="98" t="str">
        <f t="array" ref="C287">IFNA(XLOOKUP(J287,'⚙️ Pengaturan'!$H$5:$H1508,'⚙️ Pengaturan'!$I$5:$I1508),"")</f>
        <v>TIM Y</v>
      </c>
      <c r="D287" s="97" t="s">
        <v>54</v>
      </c>
      <c r="E287" s="99">
        <v>45948.0</v>
      </c>
      <c r="F287" s="100" t="str">
        <f t="shared" si="1"/>
        <v>2025</v>
      </c>
      <c r="G287" s="100" t="str">
        <f t="shared" si="2"/>
        <v>10Okt</v>
      </c>
      <c r="H287" s="100" t="str">
        <f t="shared" si="3"/>
        <v>Sabtu</v>
      </c>
      <c r="I287" s="97" t="s">
        <v>87</v>
      </c>
      <c r="J287" s="97" t="s">
        <v>88</v>
      </c>
      <c r="K287" s="97" t="s">
        <v>69</v>
      </c>
      <c r="L287" s="101" t="s">
        <v>168</v>
      </c>
      <c r="M287" s="102" t="str">
        <f>IFNA(VLOOKUP(L287,'🙎‍♂️ Pasien'!G:V,2,FALSE),"")</f>
        <v>M0524055808</v>
      </c>
      <c r="N287" s="103">
        <f>IFNA(VLOOKUP(L287,'🙎‍♂️ Pasien'!G:L,3,FALSE),"")</f>
        <v>20</v>
      </c>
      <c r="O287" s="104" t="str">
        <f>IFNA(VLOOKUP(L287,'🙎‍♂️ Pasien'!G:V,6,FALSE),"")</f>
        <v>LAKI-LAKI</v>
      </c>
      <c r="P287" s="104" t="str">
        <f>IFNA(VLOOKUP(L287,'🙎‍♂️ Pasien'!G:V,12,FALSE),"")</f>
        <v>ISLAM</v>
      </c>
      <c r="Q287" s="104" t="str">
        <f>IFNA(VLOOKUP(L287:L1508,'🙎‍♂️ Pasien'!G:V,13,FALSE),"")</f>
        <v>PELAJAR/MAHASISWA</v>
      </c>
      <c r="R287" s="104" t="str">
        <f t="array" ref="R287">ifna(xlookup(L287,'🙎‍♂️ Pasien'!$G$5:$G1508,'🙎‍♂️ Pasien'!$T$5:$T1508),"")</f>
        <v>goyang</v>
      </c>
      <c r="S287" s="104" t="str">
        <f t="array" ref="S287">ifna(xlookup(L287,'🙎‍♂️ Pasien'!$G$5:$G1508,'🙎‍♂️ Pasien'!$U$5:$U1508),"")</f>
        <v>futsal</v>
      </c>
      <c r="T287" s="97" t="s">
        <v>59</v>
      </c>
      <c r="U287" s="105" t="s">
        <v>60</v>
      </c>
      <c r="V287" s="101"/>
      <c r="W287" s="106" t="b">
        <v>1</v>
      </c>
      <c r="X287" s="107"/>
      <c r="Y287" s="108"/>
    </row>
    <row r="288" ht="22.5" customHeight="1">
      <c r="A288" s="96"/>
      <c r="B288" s="97" t="s">
        <v>85</v>
      </c>
      <c r="C288" s="98" t="str">
        <f t="array" ref="C288">IFNA(XLOOKUP(J288,'⚙️ Pengaturan'!$H$5:$H1508,'⚙️ Pengaturan'!$I$5:$I1508),"")</f>
        <v>TIM Y</v>
      </c>
      <c r="D288" s="97" t="s">
        <v>54</v>
      </c>
      <c r="E288" s="99">
        <v>45948.0</v>
      </c>
      <c r="F288" s="100" t="str">
        <f t="shared" si="1"/>
        <v>2025</v>
      </c>
      <c r="G288" s="100" t="str">
        <f t="shared" si="2"/>
        <v>10Okt</v>
      </c>
      <c r="H288" s="100" t="str">
        <f t="shared" si="3"/>
        <v>Sabtu</v>
      </c>
      <c r="I288" s="97" t="s">
        <v>93</v>
      </c>
      <c r="J288" s="97" t="s">
        <v>88</v>
      </c>
      <c r="K288" s="97" t="s">
        <v>69</v>
      </c>
      <c r="L288" s="101" t="s">
        <v>155</v>
      </c>
      <c r="M288" s="102" t="str">
        <f>IFNA(VLOOKUP(L288,'🙎‍♂️ Pasien'!G:V,2,FALSE),"")</f>
        <v>H5325012017</v>
      </c>
      <c r="N288" s="103">
        <f>IFNA(VLOOKUP(L288,'🙎‍♂️ Pasien'!G:L,3,FALSE),"")</f>
        <v>72</v>
      </c>
      <c r="O288" s="104" t="str">
        <f>IFNA(VLOOKUP(L288,'🙎‍♂️ Pasien'!G:V,6,FALSE),"")</f>
        <v>LAKI-LAKI</v>
      </c>
      <c r="P288" s="104" t="str">
        <f>IFNA(VLOOKUP(L288,'🙎‍♂️ Pasien'!G:V,12,FALSE),"")</f>
        <v>ISLAM</v>
      </c>
      <c r="Q288" s="104" t="str">
        <f>IFNA(VLOOKUP(L288:L1508,'🙎‍♂️ Pasien'!G:V,13,FALSE),"")</f>
        <v>PENSIUN</v>
      </c>
      <c r="R288" s="104" t="str">
        <f t="array" ref="R288">ifna(xlookup(L288,'🙎‍♂️ Pasien'!$G$5:$G1508,'🙎‍♂️ Pasien'!$T$5:$T1508),"")</f>
        <v>Kaki terasa nyeri jika dibawa berdiri lama atau berjalan jauh</v>
      </c>
      <c r="S288" s="104" t="str">
        <f t="array" ref="S288">ifna(xlookup(L288,'🙎‍♂️ Pasien'!$G$5:$G1508,'🙎‍♂️ Pasien'!$U$5:$U1508),"")</f>
        <v>Tidak ada</v>
      </c>
      <c r="T288" s="97" t="s">
        <v>59</v>
      </c>
      <c r="U288" s="105" t="s">
        <v>60</v>
      </c>
      <c r="V288" s="101"/>
      <c r="W288" s="106" t="b">
        <v>1</v>
      </c>
      <c r="X288" s="107"/>
      <c r="Y288" s="108"/>
    </row>
    <row r="289" ht="22.5" customHeight="1">
      <c r="A289" s="96"/>
      <c r="B289" s="97" t="s">
        <v>85</v>
      </c>
      <c r="C289" s="98" t="str">
        <f t="array" ref="C289">IFNA(XLOOKUP(J289,'⚙️ Pengaturan'!$H$5:$H1508,'⚙️ Pengaturan'!$I$5:$I1508),"")</f>
        <v>TIM A</v>
      </c>
      <c r="D289" s="97" t="s">
        <v>54</v>
      </c>
      <c r="E289" s="99">
        <v>45948.0</v>
      </c>
      <c r="F289" s="100" t="str">
        <f t="shared" si="1"/>
        <v>2025</v>
      </c>
      <c r="G289" s="100" t="str">
        <f t="shared" si="2"/>
        <v>10Okt</v>
      </c>
      <c r="H289" s="100" t="str">
        <f t="shared" si="3"/>
        <v>Sabtu</v>
      </c>
      <c r="I289" s="97" t="s">
        <v>93</v>
      </c>
      <c r="J289" s="97" t="s">
        <v>79</v>
      </c>
      <c r="K289" s="97" t="s">
        <v>63</v>
      </c>
      <c r="L289" s="101" t="s">
        <v>244</v>
      </c>
      <c r="M289" s="102" t="str">
        <f>IFNA(VLOOKUP(L289,'🙎‍♂️ Pasien'!G:V,2,FALSE),"")</f>
        <v>N7425100815</v>
      </c>
      <c r="N289" s="103">
        <f>IFNA(VLOOKUP(L289,'🙎‍♂️ Pasien'!G:L,3,FALSE),"")</f>
        <v>52</v>
      </c>
      <c r="O289" s="104" t="str">
        <f>IFNA(VLOOKUP(L289,'🙎‍♂️ Pasien'!G:V,6,FALSE),"")</f>
        <v>PEREMPUAN</v>
      </c>
      <c r="P289" s="104" t="str">
        <f>IFNA(VLOOKUP(L289,'🙎‍♂️ Pasien'!G:V,12,FALSE),"")</f>
        <v>ISLAM</v>
      </c>
      <c r="Q289" s="104" t="str">
        <f>IFNA(VLOOKUP(L289:L1508,'🙎‍♂️ Pasien'!G:V,13,FALSE),"")</f>
        <v>IBU RUMAH TANGGA</v>
      </c>
      <c r="R289" s="104" t="str">
        <f t="array" ref="R289">ifna(xlookup(L289,'🙎‍♂️ Pasien'!$G$5:$G1508,'🙎‍♂️ Pasien'!$T$5:$T1508),"")</f>
        <v/>
      </c>
      <c r="S289" s="104" t="str">
        <f t="array" ref="S289">ifna(xlookup(L289,'🙎‍♂️ Pasien'!$G$5:$G1508,'🙎‍♂️ Pasien'!$U$5:$U1508),"")</f>
        <v>MENATA ULANG INTERIOR RUMAH</v>
      </c>
      <c r="T289" s="97" t="s">
        <v>59</v>
      </c>
      <c r="U289" s="105">
        <v>2.0</v>
      </c>
      <c r="V289" s="101"/>
      <c r="W289" s="106" t="b">
        <v>1</v>
      </c>
      <c r="X289" s="107"/>
      <c r="Y289" s="108"/>
    </row>
    <row r="290" ht="22.5" customHeight="1">
      <c r="A290" s="96"/>
      <c r="B290" s="97" t="s">
        <v>85</v>
      </c>
      <c r="C290" s="98" t="str">
        <f t="array" ref="C290">IFNA(XLOOKUP(J290,'⚙️ Pengaturan'!$H$5:$H1508,'⚙️ Pengaturan'!$I$5:$I1508),"")</f>
        <v>TIM Y</v>
      </c>
      <c r="D290" s="97" t="s">
        <v>54</v>
      </c>
      <c r="E290" s="99">
        <v>45948.0</v>
      </c>
      <c r="F290" s="100" t="str">
        <f t="shared" si="1"/>
        <v>2025</v>
      </c>
      <c r="G290" s="100" t="str">
        <f t="shared" si="2"/>
        <v>10Okt</v>
      </c>
      <c r="H290" s="100" t="str">
        <f t="shared" si="3"/>
        <v>Sabtu</v>
      </c>
      <c r="I290" s="97" t="s">
        <v>95</v>
      </c>
      <c r="J290" s="97" t="s">
        <v>91</v>
      </c>
      <c r="K290" s="97" t="s">
        <v>63</v>
      </c>
      <c r="L290" s="101" t="s">
        <v>92</v>
      </c>
      <c r="M290" s="102" t="str">
        <f>IFNA(VLOOKUP(L290,'🙎‍♂️ Pasien'!G:V,2,FALSE),"")</f>
        <v>H5024091565</v>
      </c>
      <c r="N290" s="103">
        <f>IFNA(VLOOKUP(L290,'🙎‍♂️ Pasien'!G:L,3,FALSE),"")</f>
        <v>75</v>
      </c>
      <c r="O290" s="104" t="str">
        <f>IFNA(VLOOKUP(L290,'🙎‍♂️ Pasien'!G:V,6,FALSE),"")</f>
        <v>PEREMPUAN</v>
      </c>
      <c r="P290" s="104" t="str">
        <f>IFNA(VLOOKUP(L290,'🙎‍♂️ Pasien'!G:V,12,FALSE),"")</f>
        <v>BUDDHA</v>
      </c>
      <c r="Q290" s="104" t="str">
        <f>IFNA(VLOOKUP(L290:L1508,'🙎‍♂️ Pasien'!G:V,13,FALSE),"")</f>
        <v>RUMAH TANGGA</v>
      </c>
      <c r="R290" s="104" t="str">
        <f t="array" ref="R290">ifna(xlookup(L290,'🙎‍♂️ Pasien'!$G$5:$G1508,'🙎‍♂️ Pasien'!$T$5:$T1508),"")</f>
        <v>NYERI/KESEMUTAN DI PAHA KIRI</v>
      </c>
      <c r="S290" s="104" t="str">
        <f t="array" ref="S290">ifna(xlookup(L290,'🙎‍♂️ Pasien'!$G$5:$G1508,'🙎‍♂️ Pasien'!$U$5:$U1508),"")</f>
        <v>MENANAM BUNGA</v>
      </c>
      <c r="T290" s="97" t="s">
        <v>59</v>
      </c>
      <c r="U290" s="105">
        <v>10.0</v>
      </c>
      <c r="V290" s="101" t="s">
        <v>125</v>
      </c>
      <c r="W290" s="106" t="b">
        <v>1</v>
      </c>
      <c r="X290" s="107"/>
      <c r="Y290" s="108"/>
    </row>
    <row r="291" ht="22.5" customHeight="1">
      <c r="A291" s="96"/>
      <c r="B291" s="97" t="s">
        <v>85</v>
      </c>
      <c r="C291" s="98" t="str">
        <f t="array" ref="C291">IFNA(XLOOKUP(J291,'⚙️ Pengaturan'!$H$5:$H1508,'⚙️ Pengaturan'!$I$5:$I1508),"")</f>
        <v>TIM Y</v>
      </c>
      <c r="D291" s="97" t="s">
        <v>54</v>
      </c>
      <c r="E291" s="99">
        <v>45948.0</v>
      </c>
      <c r="F291" s="100" t="str">
        <f t="shared" si="1"/>
        <v>2025</v>
      </c>
      <c r="G291" s="100" t="str">
        <f t="shared" si="2"/>
        <v>10Okt</v>
      </c>
      <c r="H291" s="100" t="str">
        <f t="shared" si="3"/>
        <v>Sabtu</v>
      </c>
      <c r="I291" s="97" t="s">
        <v>95</v>
      </c>
      <c r="J291" s="97" t="s">
        <v>88</v>
      </c>
      <c r="K291" s="97" t="s">
        <v>63</v>
      </c>
      <c r="L291" s="101" t="s">
        <v>209</v>
      </c>
      <c r="M291" s="102" t="str">
        <f>IFNA(VLOOKUP(L291,'🙎‍♂️ Pasien'!G:V,2,FALSE),"")</f>
        <v>M6825090</v>
      </c>
      <c r="N291" s="103">
        <f>IFNA(VLOOKUP(L291,'🙎‍♂️ Pasien'!G:L,3,FALSE),"")</f>
        <v>57</v>
      </c>
      <c r="O291" s="104" t="str">
        <f>IFNA(VLOOKUP(L291,'🙎‍♂️ Pasien'!G:V,6,FALSE),"")</f>
        <v>LAKI-LAKI</v>
      </c>
      <c r="P291" s="104" t="str">
        <f>IFNA(VLOOKUP(L291,'🙎‍♂️ Pasien'!G:V,12,FALSE),"")</f>
        <v>BUDDHA</v>
      </c>
      <c r="Q291" s="104" t="str">
        <f>IFNA(VLOOKUP(L291:L1508,'🙎‍♂️ Pasien'!G:V,13,FALSE),"")</f>
        <v>WIRASWASTA</v>
      </c>
      <c r="R291" s="104" t="str">
        <f t="array" ref="R291">ifna(xlookup(L291,'🙎‍♂️ Pasien'!$G$5:$G1508,'🙎‍♂️ Pasien'!$T$5:$T1508),"")</f>
        <v>LUTUT</v>
      </c>
      <c r="S291" s="104" t="str">
        <f t="array" ref="S291">ifna(xlookup(L291,'🙎‍♂️ Pasien'!$G$5:$G1508,'🙎‍♂️ Pasien'!$U$5:$U1508),"")</f>
        <v>-</v>
      </c>
      <c r="T291" s="97" t="s">
        <v>67</v>
      </c>
      <c r="U291" s="105">
        <v>3.0</v>
      </c>
      <c r="V291" s="101" t="s">
        <v>278</v>
      </c>
      <c r="W291" s="106" t="b">
        <v>1</v>
      </c>
      <c r="X291" s="107"/>
      <c r="Y291" s="108"/>
    </row>
    <row r="292" ht="22.5" customHeight="1">
      <c r="A292" s="96"/>
      <c r="B292" s="97" t="s">
        <v>85</v>
      </c>
      <c r="C292" s="98" t="str">
        <f t="array" ref="C292">IFNA(XLOOKUP(J292,'⚙️ Pengaturan'!$H$5:$H1508,'⚙️ Pengaturan'!$I$5:$I1508),"")</f>
        <v>TIM Y</v>
      </c>
      <c r="D292" s="97" t="s">
        <v>54</v>
      </c>
      <c r="E292" s="99">
        <v>45948.0</v>
      </c>
      <c r="F292" s="100" t="str">
        <f t="shared" si="1"/>
        <v>2025</v>
      </c>
      <c r="G292" s="100" t="str">
        <f t="shared" si="2"/>
        <v>10Okt</v>
      </c>
      <c r="H292" s="100" t="str">
        <f t="shared" si="3"/>
        <v>Sabtu</v>
      </c>
      <c r="I292" s="97" t="s">
        <v>95</v>
      </c>
      <c r="J292" s="97" t="s">
        <v>88</v>
      </c>
      <c r="K292" s="97" t="s">
        <v>57</v>
      </c>
      <c r="L292" s="101" t="s">
        <v>306</v>
      </c>
      <c r="M292" s="102" t="str">
        <f>IFNA(VLOOKUP(L292,'🙎‍♂️ Pasien'!G:V,2,FALSE),"")</f>
        <v>R9625105757</v>
      </c>
      <c r="N292" s="103">
        <f>IFNA(VLOOKUP(L292,'🙎‍♂️ Pasien'!G:L,3,FALSE),"")</f>
        <v>29</v>
      </c>
      <c r="O292" s="104" t="str">
        <f>IFNA(VLOOKUP(L292,'🙎‍♂️ Pasien'!G:V,6,FALSE),"")</f>
        <v>LAKI-LAKI</v>
      </c>
      <c r="P292" s="104" t="str">
        <f>IFNA(VLOOKUP(L292,'🙎‍♂️ Pasien'!G:V,12,FALSE),"")</f>
        <v>ISLAM</v>
      </c>
      <c r="Q292" s="104" t="str">
        <f>IFNA(VLOOKUP(L292:L1508,'🙎‍♂️ Pasien'!G:V,13,FALSE),"")</f>
        <v>BUMD</v>
      </c>
      <c r="R292" s="104" t="str">
        <f t="array" ref="R292">ifna(xlookup(L292,'🙎‍♂️ Pasien'!$G$5:$G1508,'🙎‍♂️ Pasien'!$T$5:$T1508),"")</f>
        <v>SAKIT DI BAGIAN PUNGGUNG KAKI SEBELAH KANAN SAAT MENGINJAK</v>
      </c>
      <c r="S292" s="104" t="str">
        <f t="array" ref="S292">ifna(xlookup(L292,'🙎‍♂️ Pasien'!$G$5:$G1508,'🙎‍♂️ Pasien'!$U$5:$U1508),"")</f>
        <v>LARI</v>
      </c>
      <c r="T292" s="97" t="s">
        <v>59</v>
      </c>
      <c r="U292" s="105" t="s">
        <v>60</v>
      </c>
      <c r="V292" s="101"/>
      <c r="W292" s="106" t="b">
        <v>1</v>
      </c>
      <c r="X292" s="107"/>
      <c r="Y292" s="108"/>
    </row>
    <row r="293" ht="22.5" customHeight="1">
      <c r="A293" s="96"/>
      <c r="B293" s="97" t="s">
        <v>85</v>
      </c>
      <c r="C293" s="98" t="str">
        <f t="array" ref="C293">IFNA(XLOOKUP(J293,'⚙️ Pengaturan'!$H$5:$H1508,'⚙️ Pengaturan'!$I$5:$I1508),"")</f>
        <v>TIM Y</v>
      </c>
      <c r="D293" s="97" t="s">
        <v>54</v>
      </c>
      <c r="E293" s="99">
        <v>45948.0</v>
      </c>
      <c r="F293" s="100" t="str">
        <f t="shared" si="1"/>
        <v>2025</v>
      </c>
      <c r="G293" s="100" t="str">
        <f t="shared" si="2"/>
        <v>10Okt</v>
      </c>
      <c r="H293" s="100" t="str">
        <f t="shared" si="3"/>
        <v>Sabtu</v>
      </c>
      <c r="I293" s="97" t="s">
        <v>97</v>
      </c>
      <c r="J293" s="97" t="s">
        <v>88</v>
      </c>
      <c r="K293" s="97" t="s">
        <v>63</v>
      </c>
      <c r="L293" s="101" t="s">
        <v>104</v>
      </c>
      <c r="M293" s="102" t="str">
        <f>IFNA(VLOOKUP(L293,'🙎‍♂️ Pasien'!G:V,2,FALSE),"")</f>
        <v>F4925091811</v>
      </c>
      <c r="N293" s="103">
        <f>IFNA(VLOOKUP(L293,'🙎‍♂️ Pasien'!G:L,3,FALSE),"")</f>
        <v>76</v>
      </c>
      <c r="O293" s="104" t="str">
        <f>IFNA(VLOOKUP(L293,'🙎‍♂️ Pasien'!G:V,6,FALSE),"")</f>
        <v>LAKI-LAKI</v>
      </c>
      <c r="P293" s="104" t="str">
        <f>IFNA(VLOOKUP(L293,'🙎‍♂️ Pasien'!G:V,12,FALSE),"")</f>
        <v>KHONGHUCU</v>
      </c>
      <c r="Q293" s="104" t="str">
        <f>IFNA(VLOOKUP(L293:L1508,'🙎‍♂️ Pasien'!G:V,13,FALSE),"")</f>
        <v>PENSIUN</v>
      </c>
      <c r="R293" s="104" t="str">
        <f t="array" ref="R293">ifna(xlookup(L293,'🙎‍♂️ Pasien'!$G$5:$G1508,'🙎‍♂️ Pasien'!$T$5:$T1508),"")</f>
        <v>KAKI GA KUAT</v>
      </c>
      <c r="S293" s="104" t="str">
        <f t="array" ref="S293">ifna(xlookup(L293,'🙎‍♂️ Pasien'!$G$5:$G1508,'🙎‍♂️ Pasien'!$U$5:$U1508),"")</f>
        <v>BERJALAN MENGGUNAKAN TONGKAT</v>
      </c>
      <c r="T293" s="97" t="s">
        <v>59</v>
      </c>
      <c r="U293" s="105">
        <v>4.0</v>
      </c>
      <c r="V293" s="101"/>
      <c r="W293" s="106" t="b">
        <v>1</v>
      </c>
      <c r="X293" s="107"/>
      <c r="Y293" s="108"/>
    </row>
    <row r="294" ht="22.5" customHeight="1">
      <c r="A294" s="96"/>
      <c r="B294" s="97" t="s">
        <v>85</v>
      </c>
      <c r="C294" s="98" t="str">
        <f t="array" ref="C294">IFNA(XLOOKUP(J294,'⚙️ Pengaturan'!$H$5:$H1508,'⚙️ Pengaturan'!$I$5:$I1508),"")</f>
        <v>TIM A</v>
      </c>
      <c r="D294" s="97" t="s">
        <v>54</v>
      </c>
      <c r="E294" s="99">
        <v>45948.0</v>
      </c>
      <c r="F294" s="100" t="str">
        <f t="shared" si="1"/>
        <v>2025</v>
      </c>
      <c r="G294" s="100" t="str">
        <f t="shared" si="2"/>
        <v>10Okt</v>
      </c>
      <c r="H294" s="100" t="str">
        <f t="shared" si="3"/>
        <v>Sabtu</v>
      </c>
      <c r="I294" s="97" t="s">
        <v>97</v>
      </c>
      <c r="J294" s="97" t="s">
        <v>79</v>
      </c>
      <c r="K294" s="97" t="s">
        <v>63</v>
      </c>
      <c r="L294" s="101" t="s">
        <v>307</v>
      </c>
      <c r="M294" s="102" t="str">
        <f>IFNA(VLOOKUP(L294,'🙎‍♂️ Pasien'!G:V,2,FALSE),"")</f>
        <v>M9825086178</v>
      </c>
      <c r="N294" s="103">
        <f>IFNA(VLOOKUP(L294,'🙎‍♂️ Pasien'!G:L,3,FALSE),"")</f>
        <v>28</v>
      </c>
      <c r="O294" s="104" t="str">
        <f>IFNA(VLOOKUP(L294,'🙎‍♂️ Pasien'!G:V,6,FALSE),"")</f>
        <v>PEREMPUAN</v>
      </c>
      <c r="P294" s="104" t="str">
        <f>IFNA(VLOOKUP(L294,'🙎‍♂️ Pasien'!G:V,12,FALSE),"")</f>
        <v>PROTESTAN</v>
      </c>
      <c r="Q294" s="104" t="str">
        <f>IFNA(VLOOKUP(L294:L1508,'🙎‍♂️ Pasien'!G:V,13,FALSE),"")</f>
        <v>WIRAUSAHA</v>
      </c>
      <c r="R294" s="104" t="str">
        <f t="array" ref="R294">ifna(xlookup(L294,'🙎‍♂️ Pasien'!$G$5:$G1508,'🙎‍♂️ Pasien'!$T$5:$T1508),"")</f>
        <v>BAHU MIRING</v>
      </c>
      <c r="S294" s="104" t="str">
        <f t="array" ref="S294">ifna(xlookup(L294,'🙎‍♂️ Pasien'!$G$5:$G1508,'🙎‍♂️ Pasien'!$U$5:$U1508),"")</f>
        <v>GYM</v>
      </c>
      <c r="T294" s="97" t="s">
        <v>67</v>
      </c>
      <c r="U294" s="105">
        <v>3.0</v>
      </c>
      <c r="V294" s="101" t="s">
        <v>308</v>
      </c>
      <c r="W294" s="106" t="b">
        <v>1</v>
      </c>
      <c r="X294" s="107"/>
      <c r="Y294" s="108"/>
    </row>
    <row r="295" ht="22.5" customHeight="1">
      <c r="A295" s="96"/>
      <c r="B295" s="97" t="s">
        <v>85</v>
      </c>
      <c r="C295" s="98" t="str">
        <f t="array" ref="C295">IFNA(XLOOKUP(J295,'⚙️ Pengaturan'!$H$5:$H1508,'⚙️ Pengaturan'!$I$5:$I1508),"")</f>
        <v>TIM A</v>
      </c>
      <c r="D295" s="97" t="s">
        <v>54</v>
      </c>
      <c r="E295" s="99">
        <v>45948.0</v>
      </c>
      <c r="F295" s="100" t="str">
        <f t="shared" si="1"/>
        <v>2025</v>
      </c>
      <c r="G295" s="100" t="str">
        <f t="shared" si="2"/>
        <v>10Okt</v>
      </c>
      <c r="H295" s="100" t="str">
        <f t="shared" si="3"/>
        <v>Sabtu</v>
      </c>
      <c r="I295" s="97" t="s">
        <v>97</v>
      </c>
      <c r="J295" s="97" t="s">
        <v>79</v>
      </c>
      <c r="K295" s="97" t="s">
        <v>69</v>
      </c>
      <c r="L295" s="101" t="s">
        <v>297</v>
      </c>
      <c r="M295" s="102" t="str">
        <f>IFNA(VLOOKUP(L295,'🙎‍♂️ Pasien'!G:V,2,FALSE),"")</f>
        <v>R8125108947</v>
      </c>
      <c r="N295" s="103">
        <f>IFNA(VLOOKUP(L295,'🙎‍♂️ Pasien'!G:L,3,FALSE),"")</f>
        <v>44</v>
      </c>
      <c r="O295" s="104" t="str">
        <f>IFNA(VLOOKUP(L295,'🙎‍♂️ Pasien'!G:V,6,FALSE),"")</f>
        <v>LAKI-LAKI</v>
      </c>
      <c r="P295" s="104" t="str">
        <f>IFNA(VLOOKUP(L295,'🙎‍♂️ Pasien'!G:V,12,FALSE),"")</f>
        <v>ISLAM</v>
      </c>
      <c r="Q295" s="104" t="str">
        <f>IFNA(VLOOKUP(L295:L1508,'🙎‍♂️ Pasien'!G:V,13,FALSE),"")</f>
        <v>WIRASWASTA</v>
      </c>
      <c r="R295" s="104" t="str">
        <f t="array" ref="R295">ifna(xlookup(L295,'🙎‍♂️ Pasien'!$G$5:$G1508,'🙎‍♂️ Pasien'!$T$5:$T1508),"")</f>
        <v>LBP</v>
      </c>
      <c r="S295" s="104" t="str">
        <f t="array" ref="S295">ifna(xlookup(L295,'🙎‍♂️ Pasien'!$G$5:$G1508,'🙎‍♂️ Pasien'!$U$5:$U1508),"")</f>
        <v>SUPERVISI LAPANGAN</v>
      </c>
      <c r="T295" s="97" t="s">
        <v>59</v>
      </c>
      <c r="U295" s="105" t="s">
        <v>60</v>
      </c>
      <c r="V295" s="101"/>
      <c r="W295" s="106" t="b">
        <v>1</v>
      </c>
      <c r="X295" s="107"/>
      <c r="Y295" s="108"/>
    </row>
    <row r="296" ht="22.5" customHeight="1">
      <c r="A296" s="96"/>
      <c r="B296" s="97" t="s">
        <v>85</v>
      </c>
      <c r="C296" s="98" t="str">
        <f t="array" ref="C296">IFNA(XLOOKUP(J296,'⚙️ Pengaturan'!$H$5:$H1508,'⚙️ Pengaturan'!$I$5:$I1508),"")</f>
        <v>TIM Y</v>
      </c>
      <c r="D296" s="97" t="s">
        <v>54</v>
      </c>
      <c r="E296" s="99">
        <v>45948.0</v>
      </c>
      <c r="F296" s="100" t="str">
        <f t="shared" si="1"/>
        <v>2025</v>
      </c>
      <c r="G296" s="100" t="str">
        <f t="shared" si="2"/>
        <v>10Okt</v>
      </c>
      <c r="H296" s="100" t="str">
        <f t="shared" si="3"/>
        <v>Sabtu</v>
      </c>
      <c r="I296" s="97" t="s">
        <v>97</v>
      </c>
      <c r="J296" s="97" t="s">
        <v>91</v>
      </c>
      <c r="K296" s="97" t="s">
        <v>57</v>
      </c>
      <c r="L296" s="101" t="s">
        <v>309</v>
      </c>
      <c r="M296" s="102" t="str">
        <f>IFNA(VLOOKUP(L296,'🙎‍♂️ Pasien'!G:V,2,FALSE),"")</f>
        <v>R9225072190</v>
      </c>
      <c r="N296" s="103">
        <f>IFNA(VLOOKUP(L296,'🙎‍♂️ Pasien'!G:L,3,FALSE),"")</f>
        <v>34</v>
      </c>
      <c r="O296" s="104" t="str">
        <f>IFNA(VLOOKUP(L296,'🙎‍♂️ Pasien'!G:V,6,FALSE),"")</f>
        <v>PEREMPUAN</v>
      </c>
      <c r="P296" s="104" t="str">
        <f>IFNA(VLOOKUP(L296,'🙎‍♂️ Pasien'!G:V,12,FALSE),"")</f>
        <v>KATOLIK</v>
      </c>
      <c r="Q296" s="104" t="str">
        <f>IFNA(VLOOKUP(L296:L1508,'🙎‍♂️ Pasien'!G:V,13,FALSE),"")</f>
        <v>KARYAWAN SWASTA</v>
      </c>
      <c r="R296" s="104" t="str">
        <f t="array" ref="R296">ifna(xlookup(L296,'🙎‍♂️ Pasien'!$G$5:$G1508,'🙎‍♂️ Pasien'!$T$5:$T1508),"")</f>
        <v>SAKIT PAS JINJIT</v>
      </c>
      <c r="S296" s="104" t="str">
        <f t="array" ref="S296">ifna(xlookup(L296,'🙎‍♂️ Pasien'!$G$5:$G1508,'🙎‍♂️ Pasien'!$U$5:$U1508),"")</f>
        <v>BADMINTON</v>
      </c>
      <c r="T296" s="97" t="s">
        <v>59</v>
      </c>
      <c r="U296" s="105" t="s">
        <v>60</v>
      </c>
      <c r="V296" s="101" t="s">
        <v>310</v>
      </c>
      <c r="W296" s="106" t="b">
        <v>1</v>
      </c>
      <c r="X296" s="107"/>
      <c r="Y296" s="108"/>
    </row>
    <row r="297" ht="22.5" customHeight="1">
      <c r="A297" s="96"/>
      <c r="B297" s="97" t="s">
        <v>85</v>
      </c>
      <c r="C297" s="98" t="str">
        <f t="array" ref="C297">IFNA(XLOOKUP(J297,'⚙️ Pengaturan'!$H$5:$H1508,'⚙️ Pengaturan'!$I$5:$I1508),"")</f>
        <v>TIM Y</v>
      </c>
      <c r="D297" s="97" t="s">
        <v>54</v>
      </c>
      <c r="E297" s="99">
        <v>45948.0</v>
      </c>
      <c r="F297" s="100" t="str">
        <f t="shared" si="1"/>
        <v>2025</v>
      </c>
      <c r="G297" s="100" t="str">
        <f t="shared" si="2"/>
        <v>10Okt</v>
      </c>
      <c r="H297" s="100" t="str">
        <f t="shared" si="3"/>
        <v>Sabtu</v>
      </c>
      <c r="I297" s="97" t="s">
        <v>99</v>
      </c>
      <c r="J297" s="97" t="s">
        <v>91</v>
      </c>
      <c r="K297" s="97" t="s">
        <v>63</v>
      </c>
      <c r="L297" s="101" t="s">
        <v>196</v>
      </c>
      <c r="M297" s="102" t="str">
        <f>IFNA(VLOOKUP(L297,'🙎‍♂️ Pasien'!G:V,2,FALSE),"")</f>
        <v>B7125094370</v>
      </c>
      <c r="N297" s="103">
        <f>IFNA(VLOOKUP(L297,'🙎‍♂️ Pasien'!G:L,3,FALSE),"")</f>
        <v>54</v>
      </c>
      <c r="O297" s="104" t="str">
        <f>IFNA(VLOOKUP(L297,'🙎‍♂️ Pasien'!G:V,6,FALSE),"")</f>
        <v>LAKI-LAKI</v>
      </c>
      <c r="P297" s="104" t="str">
        <f>IFNA(VLOOKUP(L297,'🙎‍♂️ Pasien'!G:V,12,FALSE),"")</f>
        <v>ISLAM</v>
      </c>
      <c r="Q297" s="104" t="str">
        <f>IFNA(VLOOKUP(L297:L1508,'🙎‍♂️ Pasien'!G:V,13,FALSE),"")</f>
        <v>PNS</v>
      </c>
      <c r="R297" s="104" t="str">
        <f t="array" ref="R297">ifna(xlookup(L297,'🙎‍♂️ Pasien'!$G$5:$G1508,'🙎‍♂️ Pasien'!$T$5:$T1508),"")</f>
        <v>PINGGANG</v>
      </c>
      <c r="S297" s="104" t="str">
        <f t="array" ref="S297">ifna(xlookup(L297,'🙎‍♂️ Pasien'!$G$5:$G1508,'🙎‍♂️ Pasien'!$U$5:$U1508),"")</f>
        <v>-</v>
      </c>
      <c r="T297" s="97" t="s">
        <v>59</v>
      </c>
      <c r="U297" s="105">
        <v>5.0</v>
      </c>
      <c r="V297" s="101" t="s">
        <v>125</v>
      </c>
      <c r="W297" s="106" t="b">
        <v>1</v>
      </c>
      <c r="X297" s="107"/>
      <c r="Y297" s="108"/>
    </row>
    <row r="298" ht="22.5" customHeight="1">
      <c r="A298" s="96"/>
      <c r="B298" s="97" t="s">
        <v>85</v>
      </c>
      <c r="C298" s="98" t="str">
        <f t="array" ref="C298">IFNA(XLOOKUP(J298,'⚙️ Pengaturan'!$H$5:$H1508,'⚙️ Pengaturan'!$I$5:$I1508),"")</f>
        <v>TIM Y</v>
      </c>
      <c r="D298" s="97" t="s">
        <v>54</v>
      </c>
      <c r="E298" s="99">
        <v>45948.0</v>
      </c>
      <c r="F298" s="100" t="str">
        <f t="shared" si="1"/>
        <v>2025</v>
      </c>
      <c r="G298" s="100" t="str">
        <f t="shared" si="2"/>
        <v>10Okt</v>
      </c>
      <c r="H298" s="100" t="str">
        <f t="shared" si="3"/>
        <v>Sabtu</v>
      </c>
      <c r="I298" s="97" t="s">
        <v>99</v>
      </c>
      <c r="J298" s="97" t="s">
        <v>88</v>
      </c>
      <c r="K298" s="97" t="s">
        <v>63</v>
      </c>
      <c r="L298" s="101" t="s">
        <v>172</v>
      </c>
      <c r="M298" s="102" t="str">
        <f>IFNA(VLOOKUP(L298,'🙎‍♂️ Pasien'!G:V,2,FALSE),"")</f>
        <v>S9624106365</v>
      </c>
      <c r="N298" s="103">
        <f>IFNA(VLOOKUP(L298,'🙎‍♂️ Pasien'!G:L,3,FALSE),"")</f>
        <v>30</v>
      </c>
      <c r="O298" s="104" t="str">
        <f>IFNA(VLOOKUP(L298,'🙎‍♂️ Pasien'!G:V,6,FALSE),"")</f>
        <v>LAKI-LAKI</v>
      </c>
      <c r="P298" s="104" t="str">
        <f>IFNA(VLOOKUP(L298,'🙎‍♂️ Pasien'!G:V,12,FALSE),"")</f>
        <v>ISLAM</v>
      </c>
      <c r="Q298" s="104" t="str">
        <f>IFNA(VLOOKUP(L298:L1508,'🙎‍♂️ Pasien'!G:V,13,FALSE),"")</f>
        <v>BUMN</v>
      </c>
      <c r="R298" s="104" t="str">
        <f t="array" ref="R298">ifna(xlookup(L298,'🙎‍♂️ Pasien'!$G$5:$G1508,'🙎‍♂️ Pasien'!$T$5:$T1508),"")</f>
        <v>HABIS OPERASI MENISCUD</v>
      </c>
      <c r="S298" s="104" t="str">
        <f t="array" ref="S298">ifna(xlookup(L298,'🙎‍♂️ Pasien'!$G$5:$G1508,'🙎‍♂️ Pasien'!$U$5:$U1508),"")</f>
        <v>Olahraga</v>
      </c>
      <c r="T298" s="97" t="s">
        <v>67</v>
      </c>
      <c r="U298" s="105">
        <v>3.0</v>
      </c>
      <c r="V298" s="101" t="s">
        <v>311</v>
      </c>
      <c r="W298" s="106" t="b">
        <v>1</v>
      </c>
      <c r="X298" s="107"/>
      <c r="Y298" s="108"/>
    </row>
    <row r="299" ht="22.5" customHeight="1">
      <c r="A299" s="96"/>
      <c r="B299" s="97" t="s">
        <v>53</v>
      </c>
      <c r="C299" s="98" t="str">
        <f t="array" ref="C299">IFNA(XLOOKUP(J299,'⚙️ Pengaturan'!$H$5:$H1508,'⚙️ Pengaturan'!$I$5:$I1508),"")</f>
        <v>TIM A</v>
      </c>
      <c r="D299" s="97" t="s">
        <v>54</v>
      </c>
      <c r="E299" s="99">
        <v>45949.0</v>
      </c>
      <c r="F299" s="100" t="str">
        <f t="shared" si="1"/>
        <v>2025</v>
      </c>
      <c r="G299" s="100" t="str">
        <f t="shared" si="2"/>
        <v>10Okt</v>
      </c>
      <c r="H299" s="100" t="str">
        <f t="shared" si="3"/>
        <v>Minggu</v>
      </c>
      <c r="I299" s="97" t="s">
        <v>55</v>
      </c>
      <c r="J299" s="97" t="s">
        <v>72</v>
      </c>
      <c r="K299" s="97" t="s">
        <v>63</v>
      </c>
      <c r="L299" s="101" t="s">
        <v>231</v>
      </c>
      <c r="M299" s="102" t="str">
        <f>IFNA(VLOOKUP(L299,'🙎‍♂️ Pasien'!G:V,2,FALSE),"")</f>
        <v>A1123072881</v>
      </c>
      <c r="N299" s="103">
        <f>IFNA(VLOOKUP(L299,'🙎‍♂️ Pasien'!G:L,3,FALSE),"")</f>
        <v>14</v>
      </c>
      <c r="O299" s="104" t="str">
        <f>IFNA(VLOOKUP(L299,'🙎‍♂️ Pasien'!G:V,6,FALSE),"")</f>
        <v>PEREMPUAN</v>
      </c>
      <c r="P299" s="104" t="str">
        <f>IFNA(VLOOKUP(L299,'🙎‍♂️ Pasien'!G:V,12,FALSE),"")</f>
        <v>ISLAM</v>
      </c>
      <c r="Q299" s="104" t="str">
        <f>IFNA(VLOOKUP(L299:L1508,'🙎‍♂️ Pasien'!G:V,13,FALSE),"")</f>
        <v>PELAJAR/MAHASISWA</v>
      </c>
      <c r="R299" s="104" t="str">
        <f t="array" ref="R299">ifna(xlookup(L299,'🙎‍♂️ Pasien'!$G$5:$G1508,'🙎‍♂️ Pasien'!$T$5:$T1508),"")</f>
        <v>NYERI</v>
      </c>
      <c r="S299" s="104" t="str">
        <f t="array" ref="S299">ifna(xlookup(L299,'🙎‍♂️ Pasien'!$G$5:$G1508,'🙎‍♂️ Pasien'!$U$5:$U1508),"")</f>
        <v>RENANG</v>
      </c>
      <c r="T299" s="97" t="s">
        <v>59</v>
      </c>
      <c r="U299" s="105">
        <v>3.0</v>
      </c>
      <c r="V299" s="101"/>
      <c r="W299" s="106" t="b">
        <v>1</v>
      </c>
      <c r="X299" s="107"/>
      <c r="Y299" s="108"/>
    </row>
    <row r="300" ht="22.5" customHeight="1">
      <c r="A300" s="96"/>
      <c r="B300" s="97" t="s">
        <v>53</v>
      </c>
      <c r="C300" s="98" t="str">
        <f t="array" ref="C300">IFNA(XLOOKUP(J300,'⚙️ Pengaturan'!$H$5:$H1508,'⚙️ Pengaturan'!$I$5:$I1508),"")</f>
        <v>TIM Y</v>
      </c>
      <c r="D300" s="97" t="s">
        <v>54</v>
      </c>
      <c r="E300" s="99">
        <v>45949.0</v>
      </c>
      <c r="F300" s="100" t="str">
        <f t="shared" si="1"/>
        <v>2025</v>
      </c>
      <c r="G300" s="100" t="str">
        <f t="shared" si="2"/>
        <v>10Okt</v>
      </c>
      <c r="H300" s="100" t="str">
        <f t="shared" si="3"/>
        <v>Minggu</v>
      </c>
      <c r="I300" s="97" t="s">
        <v>55</v>
      </c>
      <c r="J300" s="97" t="s">
        <v>56</v>
      </c>
      <c r="K300" s="97" t="s">
        <v>63</v>
      </c>
      <c r="L300" s="101" t="s">
        <v>136</v>
      </c>
      <c r="M300" s="102" t="str">
        <f>IFNA(VLOOKUP(L300,'🙎‍♂️ Pasien'!G:V,2,FALSE),"")</f>
        <v>H9025092496</v>
      </c>
      <c r="N300" s="103">
        <f>IFNA(VLOOKUP(L300,'🙎‍♂️ Pasien'!G:L,3,FALSE),"")</f>
        <v>35</v>
      </c>
      <c r="O300" s="104" t="str">
        <f>IFNA(VLOOKUP(L300,'🙎‍♂️ Pasien'!G:V,6,FALSE),"")</f>
        <v>LAKI-LAKI</v>
      </c>
      <c r="P300" s="104" t="str">
        <f>IFNA(VLOOKUP(L300,'🙎‍♂️ Pasien'!G:V,12,FALSE),"")</f>
        <v>ISLAM</v>
      </c>
      <c r="Q300" s="104" t="str">
        <f>IFNA(VLOOKUP(L300:L1508,'🙎‍♂️ Pasien'!G:V,13,FALSE),"")</f>
        <v>SWASTA</v>
      </c>
      <c r="R300" s="104" t="str">
        <f t="array" ref="R300">ifna(xlookup(L300,'🙎‍♂️ Pasien'!$G$5:$G1508,'🙎‍♂️ Pasien'!$T$5:$T1508),"")</f>
        <v>KAKI KIRI SAKIT</v>
      </c>
      <c r="S300" s="104" t="str">
        <f t="array" ref="S300">ifna(xlookup(L300,'🙎‍♂️ Pasien'!$G$5:$G1508,'🙎‍♂️ Pasien'!$U$5:$U1508),"")</f>
        <v>LATIHAN LATI</v>
      </c>
      <c r="T300" s="97" t="s">
        <v>67</v>
      </c>
      <c r="U300" s="105">
        <v>3.0</v>
      </c>
      <c r="V300" s="101" t="s">
        <v>312</v>
      </c>
      <c r="W300" s="106" t="b">
        <v>1</v>
      </c>
      <c r="X300" s="107"/>
      <c r="Y300" s="108"/>
    </row>
    <row r="301" ht="22.5" customHeight="1">
      <c r="A301" s="96"/>
      <c r="B301" s="97" t="s">
        <v>53</v>
      </c>
      <c r="C301" s="98" t="str">
        <f t="array" ref="C301">IFNA(XLOOKUP(J301,'⚙️ Pengaturan'!$H$5:$H1508,'⚙️ Pengaturan'!$I$5:$I1508),"")</f>
        <v>TIM A</v>
      </c>
      <c r="D301" s="97" t="s">
        <v>54</v>
      </c>
      <c r="E301" s="99">
        <v>45949.0</v>
      </c>
      <c r="F301" s="100" t="str">
        <f t="shared" si="1"/>
        <v>2025</v>
      </c>
      <c r="G301" s="100" t="str">
        <f t="shared" si="2"/>
        <v>10Okt</v>
      </c>
      <c r="H301" s="100" t="str">
        <f t="shared" si="3"/>
        <v>Minggu</v>
      </c>
      <c r="I301" s="97" t="s">
        <v>55</v>
      </c>
      <c r="J301" s="97" t="s">
        <v>79</v>
      </c>
      <c r="K301" s="97" t="s">
        <v>69</v>
      </c>
      <c r="L301" s="101" t="s">
        <v>224</v>
      </c>
      <c r="M301" s="102" t="str">
        <f>IFNA(VLOOKUP(L301,'🙎‍♂️ Pasien'!G:V,2,FALSE),"")</f>
        <v>K6025085313</v>
      </c>
      <c r="N301" s="103">
        <f>IFNA(VLOOKUP(L301,'🙎‍♂️ Pasien'!G:L,3,FALSE),"")</f>
        <v>65</v>
      </c>
      <c r="O301" s="104" t="str">
        <f>IFNA(VLOOKUP(L301,'🙎‍♂️ Pasien'!G:V,6,FALSE),"")</f>
        <v>PEREMPUAN</v>
      </c>
      <c r="P301" s="104" t="str">
        <f>IFNA(VLOOKUP(L301,'🙎‍♂️ Pasien'!G:V,12,FALSE),"")</f>
        <v>ISLAM</v>
      </c>
      <c r="Q301" s="104" t="str">
        <f>IFNA(VLOOKUP(L301:L1508,'🙎‍♂️ Pasien'!G:V,13,FALSE),"")</f>
        <v>IBU RUMAH TANGGA</v>
      </c>
      <c r="R301" s="104" t="str">
        <f t="array" ref="R301">ifna(xlookup(L301,'🙎‍♂️ Pasien'!$G$5:$G1508,'🙎‍♂️ Pasien'!$T$5:$T1508),"")</f>
        <v>SAKIT LUTUT KANAN</v>
      </c>
      <c r="S301" s="104" t="str">
        <f t="array" ref="S301">ifna(xlookup(L301,'🙎‍♂️ Pasien'!$G$5:$G1508,'🙎‍♂️ Pasien'!$U$5:$U1508),"")</f>
        <v>JALAN KAKI</v>
      </c>
      <c r="T301" s="97" t="s">
        <v>59</v>
      </c>
      <c r="U301" s="105" t="s">
        <v>60</v>
      </c>
      <c r="V301" s="101"/>
      <c r="W301" s="106" t="b">
        <v>1</v>
      </c>
      <c r="X301" s="107"/>
      <c r="Y301" s="108"/>
    </row>
    <row r="302" ht="22.5" customHeight="1">
      <c r="A302" s="96"/>
      <c r="B302" s="97" t="s">
        <v>53</v>
      </c>
      <c r="C302" s="98" t="str">
        <f t="array" ref="C302">IFNA(XLOOKUP(J302,'⚙️ Pengaturan'!$H$5:$H1508,'⚙️ Pengaturan'!$I$5:$I1508),"")</f>
        <v>MANAJEMEN</v>
      </c>
      <c r="D302" s="97" t="s">
        <v>54</v>
      </c>
      <c r="E302" s="99">
        <v>45949.0</v>
      </c>
      <c r="F302" s="100" t="str">
        <f t="shared" si="1"/>
        <v>2025</v>
      </c>
      <c r="G302" s="100" t="str">
        <f t="shared" si="2"/>
        <v>10Okt</v>
      </c>
      <c r="H302" s="100" t="str">
        <f t="shared" si="3"/>
        <v>Minggu</v>
      </c>
      <c r="I302" s="97" t="s">
        <v>65</v>
      </c>
      <c r="J302" s="97" t="s">
        <v>101</v>
      </c>
      <c r="K302" s="97" t="s">
        <v>69</v>
      </c>
      <c r="L302" s="101" t="s">
        <v>293</v>
      </c>
      <c r="M302" s="102" t="str">
        <f>IFNA(VLOOKUP(L302,'🙎‍♂️ Pasien'!G:V,2,FALSE),"")</f>
        <v>D9224015876</v>
      </c>
      <c r="N302" s="103">
        <f>IFNA(VLOOKUP(L302,'🙎‍♂️ Pasien'!G:L,3,FALSE),"")</f>
        <v>33</v>
      </c>
      <c r="O302" s="104" t="str">
        <f>IFNA(VLOOKUP(L302,'🙎‍♂️ Pasien'!G:V,6,FALSE),"")</f>
        <v>PEREMPUAN</v>
      </c>
      <c r="P302" s="104" t="str">
        <f>IFNA(VLOOKUP(L302,'🙎‍♂️ Pasien'!G:V,12,FALSE),"")</f>
        <v>ISLAM</v>
      </c>
      <c r="Q302" s="104" t="str">
        <f>IFNA(VLOOKUP(L302:L1508,'🙎‍♂️ Pasien'!G:V,13,FALSE),"")</f>
        <v>WIRASWASTA</v>
      </c>
      <c r="R302" s="104" t="str">
        <f t="array" ref="R302">ifna(xlookup(L302,'🙎‍♂️ Pasien'!$G$5:$G1508,'🙎‍♂️ Pasien'!$T$5:$T1508),"")</f>
        <v>Pundak belakang dan leher sakit krna salah posisi tidur</v>
      </c>
      <c r="S302" s="104" t="str">
        <f t="array" ref="S302">ifna(xlookup(L302,'🙎‍♂️ Pasien'!$G$5:$G1508,'🙎‍♂️ Pasien'!$U$5:$U1508),"")</f>
        <v>Makan</v>
      </c>
      <c r="T302" s="97" t="s">
        <v>59</v>
      </c>
      <c r="U302" s="105" t="s">
        <v>60</v>
      </c>
      <c r="V302" s="101"/>
      <c r="W302" s="106" t="b">
        <v>1</v>
      </c>
      <c r="X302" s="107"/>
      <c r="Y302" s="108"/>
    </row>
    <row r="303" ht="22.5" customHeight="1">
      <c r="A303" s="96"/>
      <c r="B303" s="97" t="s">
        <v>53</v>
      </c>
      <c r="C303" s="98" t="str">
        <f t="array" ref="C303">IFNA(XLOOKUP(J303,'⚙️ Pengaturan'!$H$5:$H1508,'⚙️ Pengaturan'!$I$5:$I1508),"")</f>
        <v>TIM A</v>
      </c>
      <c r="D303" s="97" t="s">
        <v>54</v>
      </c>
      <c r="E303" s="99">
        <v>45949.0</v>
      </c>
      <c r="F303" s="100" t="str">
        <f t="shared" si="1"/>
        <v>2025</v>
      </c>
      <c r="G303" s="100" t="str">
        <f t="shared" si="2"/>
        <v>10Okt</v>
      </c>
      <c r="H303" s="100" t="str">
        <f t="shared" si="3"/>
        <v>Minggu</v>
      </c>
      <c r="I303" s="97" t="s">
        <v>65</v>
      </c>
      <c r="J303" s="97" t="s">
        <v>79</v>
      </c>
      <c r="K303" s="97" t="s">
        <v>63</v>
      </c>
      <c r="L303" s="101" t="s">
        <v>71</v>
      </c>
      <c r="M303" s="102" t="str">
        <f>IFNA(VLOOKUP(L303,'🙎‍♂️ Pasien'!G:V,2,FALSE),"")</f>
        <v>L5925109995</v>
      </c>
      <c r="N303" s="103">
        <f>IFNA(VLOOKUP(L303,'🙎‍♂️ Pasien'!G:L,3,FALSE),"")</f>
        <v>67</v>
      </c>
      <c r="O303" s="104" t="str">
        <f>IFNA(VLOOKUP(L303,'🙎‍♂️ Pasien'!G:V,6,FALSE),"")</f>
        <v>PEREMPUAN</v>
      </c>
      <c r="P303" s="104" t="str">
        <f>IFNA(VLOOKUP(L303,'🙎‍♂️ Pasien'!G:V,12,FALSE),"")</f>
        <v>KATOLIK</v>
      </c>
      <c r="Q303" s="104" t="str">
        <f>IFNA(VLOOKUP(L303:L1508,'🙎‍♂️ Pasien'!G:V,13,FALSE),"")</f>
        <v>WIRASWASTA</v>
      </c>
      <c r="R303" s="104" t="str">
        <f t="array" ref="R303">ifna(xlookup(L303,'🙎‍♂️ Pasien'!$G$5:$G1508,'🙎‍♂️ Pasien'!$T$5:$T1508),"")</f>
        <v>LUTUT</v>
      </c>
      <c r="S303" s="104" t="str">
        <f t="array" ref="S303">ifna(xlookup(L303,'🙎‍♂️ Pasien'!$G$5:$G1508,'🙎‍♂️ Pasien'!$U$5:$U1508),"")</f>
        <v>IBU RUMAH TANGGA</v>
      </c>
      <c r="T303" s="97" t="s">
        <v>59</v>
      </c>
      <c r="U303" s="105">
        <v>4.0</v>
      </c>
      <c r="V303" s="101"/>
      <c r="W303" s="106" t="b">
        <v>1</v>
      </c>
      <c r="X303" s="107"/>
      <c r="Y303" s="108"/>
    </row>
    <row r="304" ht="22.5" customHeight="1">
      <c r="A304" s="96"/>
      <c r="B304" s="97" t="s">
        <v>53</v>
      </c>
      <c r="C304" s="98" t="str">
        <f t="array" ref="C304">IFNA(XLOOKUP(J304,'⚙️ Pengaturan'!$H$5:$H1508,'⚙️ Pengaturan'!$I$5:$I1508),"")</f>
        <v>TIM Y</v>
      </c>
      <c r="D304" s="97" t="s">
        <v>54</v>
      </c>
      <c r="E304" s="99">
        <v>45949.0</v>
      </c>
      <c r="F304" s="100" t="str">
        <f t="shared" si="1"/>
        <v>2025</v>
      </c>
      <c r="G304" s="100" t="str">
        <f t="shared" si="2"/>
        <v>10Okt</v>
      </c>
      <c r="H304" s="100" t="str">
        <f t="shared" si="3"/>
        <v>Minggu</v>
      </c>
      <c r="I304" s="97" t="s">
        <v>74</v>
      </c>
      <c r="J304" s="97" t="s">
        <v>56</v>
      </c>
      <c r="K304" s="97" t="s">
        <v>69</v>
      </c>
      <c r="L304" s="101" t="s">
        <v>233</v>
      </c>
      <c r="M304" s="102" t="str">
        <f>IFNA(VLOOKUP(L304,'🙎‍♂️ Pasien'!G:V,2,FALSE),"")</f>
        <v>M8125099997</v>
      </c>
      <c r="N304" s="103">
        <f>IFNA(VLOOKUP(L304,'🙎‍♂️ Pasien'!G:L,3,FALSE),"")</f>
        <v>45</v>
      </c>
      <c r="O304" s="104" t="str">
        <f>IFNA(VLOOKUP(L304,'🙎‍♂️ Pasien'!G:V,6,FALSE),"")</f>
        <v>LAKI-LAKI</v>
      </c>
      <c r="P304" s="104" t="str">
        <f>IFNA(VLOOKUP(L304,'🙎‍♂️ Pasien'!G:V,12,FALSE),"")</f>
        <v>ISLAM</v>
      </c>
      <c r="Q304" s="104" t="str">
        <f>IFNA(VLOOKUP(L304:L1508,'🙎‍♂️ Pasien'!G:V,13,FALSE),"")</f>
        <v>PNS</v>
      </c>
      <c r="R304" s="104" t="str">
        <f t="array" ref="R304">ifna(xlookup(L304,'🙎‍♂️ Pasien'!$G$5:$G1508,'🙎‍♂️ Pasien'!$T$5:$T1508),"")</f>
        <v>LEHER</v>
      </c>
      <c r="S304" s="104" t="str">
        <f t="array" ref="S304">ifna(xlookup(L304,'🙎‍♂️ Pasien'!$G$5:$G1508,'🙎‍♂️ Pasien'!$U$5:$U1508),"")</f>
        <v>BANGUN TIDUR DARI LEHER SAMAPAI KE TANGAN DAN JARI TERASA NYERI SUDAH 2 MINGGU</v>
      </c>
      <c r="T304" s="97" t="s">
        <v>59</v>
      </c>
      <c r="U304" s="105" t="s">
        <v>60</v>
      </c>
      <c r="V304" s="101"/>
      <c r="W304" s="106" t="b">
        <v>1</v>
      </c>
      <c r="X304" s="107"/>
      <c r="Y304" s="108"/>
    </row>
    <row r="305" ht="22.5" customHeight="1">
      <c r="A305" s="96"/>
      <c r="B305" s="97" t="s">
        <v>53</v>
      </c>
      <c r="C305" s="98" t="str">
        <f t="array" ref="C305">IFNA(XLOOKUP(J305,'⚙️ Pengaturan'!$H$5:$H1508,'⚙️ Pengaturan'!$I$5:$I1508),"")</f>
        <v>TIM A</v>
      </c>
      <c r="D305" s="97" t="s">
        <v>54</v>
      </c>
      <c r="E305" s="99">
        <v>45949.0</v>
      </c>
      <c r="F305" s="100" t="str">
        <f t="shared" si="1"/>
        <v>2025</v>
      </c>
      <c r="G305" s="100" t="str">
        <f t="shared" si="2"/>
        <v>10Okt</v>
      </c>
      <c r="H305" s="100" t="str">
        <f t="shared" si="3"/>
        <v>Minggu</v>
      </c>
      <c r="I305" s="97" t="s">
        <v>74</v>
      </c>
      <c r="J305" s="97" t="s">
        <v>79</v>
      </c>
      <c r="K305" s="97" t="s">
        <v>63</v>
      </c>
      <c r="L305" s="101" t="s">
        <v>216</v>
      </c>
      <c r="M305" s="102" t="str">
        <f>IFNA(VLOOKUP(L305,'🙎‍♂️ Pasien'!G:V,2,FALSE),"")</f>
        <v>R7825108100</v>
      </c>
      <c r="N305" s="103">
        <f>IFNA(VLOOKUP(L305,'🙎‍♂️ Pasien'!G:L,3,FALSE),"")</f>
        <v>48</v>
      </c>
      <c r="O305" s="104" t="str">
        <f>IFNA(VLOOKUP(L305,'🙎‍♂️ Pasien'!G:V,6,FALSE),"")</f>
        <v>PEREMPUAN</v>
      </c>
      <c r="P305" s="104" t="str">
        <f>IFNA(VLOOKUP(L305,'🙎‍♂️ Pasien'!G:V,12,FALSE),"")</f>
        <v>ISLAM</v>
      </c>
      <c r="Q305" s="104" t="str">
        <f>IFNA(VLOOKUP(L305:L1508,'🙎‍♂️ Pasien'!G:V,13,FALSE),"")</f>
        <v>PNS</v>
      </c>
      <c r="R305" s="104" t="str">
        <f t="array" ref="R305">ifna(xlookup(L305,'🙎‍♂️ Pasien'!$G$5:$G1508,'🙎‍♂️ Pasien'!$T$5:$T1508),"")</f>
        <v>LUTUT KANAN</v>
      </c>
      <c r="S305" s="104" t="str">
        <f t="array" ref="S305">ifna(xlookup(L305,'🙎‍♂️ Pasien'!$G$5:$G1508,'🙎‍♂️ Pasien'!$U$5:$U1508),"")</f>
        <v>OLAHRAGA LARI</v>
      </c>
      <c r="T305" s="97" t="s">
        <v>59</v>
      </c>
      <c r="U305" s="105">
        <v>4.0</v>
      </c>
      <c r="V305" s="101"/>
      <c r="W305" s="106" t="b">
        <v>1</v>
      </c>
      <c r="X305" s="107"/>
      <c r="Y305" s="108"/>
    </row>
    <row r="306" ht="22.5" customHeight="1">
      <c r="A306" s="96"/>
      <c r="B306" s="97" t="s">
        <v>53</v>
      </c>
      <c r="C306" s="98" t="str">
        <f t="array" ref="C306">IFNA(XLOOKUP(J306,'⚙️ Pengaturan'!$H$5:$H1508,'⚙️ Pengaturan'!$I$5:$I1508),"")</f>
        <v>TIM Y</v>
      </c>
      <c r="D306" s="97" t="s">
        <v>54</v>
      </c>
      <c r="E306" s="99">
        <v>45949.0</v>
      </c>
      <c r="F306" s="100" t="str">
        <f t="shared" si="1"/>
        <v>2025</v>
      </c>
      <c r="G306" s="100" t="str">
        <f t="shared" si="2"/>
        <v>10Okt</v>
      </c>
      <c r="H306" s="100" t="str">
        <f t="shared" si="3"/>
        <v>Minggu</v>
      </c>
      <c r="I306" s="97" t="s">
        <v>76</v>
      </c>
      <c r="J306" s="97" t="s">
        <v>56</v>
      </c>
      <c r="K306" s="97" t="s">
        <v>63</v>
      </c>
      <c r="L306" s="101" t="s">
        <v>202</v>
      </c>
      <c r="M306" s="102" t="str">
        <f>IFNA(VLOOKUP(L306,'🙎‍♂️ Pasien'!G:V,2,FALSE),"")</f>
        <v>B9925104512</v>
      </c>
      <c r="N306" s="103">
        <f>IFNA(VLOOKUP(L306,'🙎‍♂️ Pasien'!G:L,3,FALSE),"")</f>
        <v>26</v>
      </c>
      <c r="O306" s="104" t="str">
        <f>IFNA(VLOOKUP(L306,'🙎‍♂️ Pasien'!G:V,6,FALSE),"")</f>
        <v>LAKI-LAKI</v>
      </c>
      <c r="P306" s="104" t="str">
        <f>IFNA(VLOOKUP(L306,'🙎‍♂️ Pasien'!G:V,12,FALSE),"")</f>
        <v>ISLAM</v>
      </c>
      <c r="Q306" s="104" t="str">
        <f>IFNA(VLOOKUP(L306:L1508,'🙎‍♂️ Pasien'!G:V,13,FALSE),"")</f>
        <v>SWASTA</v>
      </c>
      <c r="R306" s="104" t="str">
        <f t="array" ref="R306">ifna(xlookup(L306,'🙎‍♂️ Pasien'!$G$5:$G1508,'🙎‍♂️ Pasien'!$T$5:$T1508),"")</f>
        <v>CIDERA LUTUT SALAH TUMPUAN PAS MAIN BOLA</v>
      </c>
      <c r="S306" s="104" t="str">
        <f t="array" ref="S306">ifna(xlookup(L306,'🙎‍♂️ Pasien'!$G$5:$G1508,'🙎‍♂️ Pasien'!$U$5:$U1508),"")</f>
        <v>SEPAK BOLA</v>
      </c>
      <c r="T306" s="97" t="s">
        <v>59</v>
      </c>
      <c r="U306" s="105">
        <v>7.0</v>
      </c>
      <c r="V306" s="101"/>
      <c r="W306" s="106" t="b">
        <v>1</v>
      </c>
      <c r="X306" s="107"/>
      <c r="Y306" s="108"/>
    </row>
    <row r="307" ht="22.5" customHeight="1">
      <c r="A307" s="96"/>
      <c r="B307" s="97" t="s">
        <v>53</v>
      </c>
      <c r="C307" s="98" t="str">
        <f t="array" ref="C307">IFNA(XLOOKUP(J307,'⚙️ Pengaturan'!$H$5:$H1508,'⚙️ Pengaturan'!$I$5:$I1508),"")</f>
        <v>TIM A</v>
      </c>
      <c r="D307" s="97" t="s">
        <v>54</v>
      </c>
      <c r="E307" s="99">
        <v>45949.0</v>
      </c>
      <c r="F307" s="100" t="str">
        <f t="shared" si="1"/>
        <v>2025</v>
      </c>
      <c r="G307" s="100" t="str">
        <f t="shared" si="2"/>
        <v>10Okt</v>
      </c>
      <c r="H307" s="100" t="str">
        <f t="shared" si="3"/>
        <v>Minggu</v>
      </c>
      <c r="I307" s="97" t="s">
        <v>76</v>
      </c>
      <c r="J307" s="97" t="s">
        <v>79</v>
      </c>
      <c r="K307" s="97" t="s">
        <v>69</v>
      </c>
      <c r="L307" s="101" t="s">
        <v>272</v>
      </c>
      <c r="M307" s="102" t="str">
        <f>IFNA(VLOOKUP(L307,'🙎‍♂️ Pasien'!G:V,2,FALSE),"")</f>
        <v>H6725101225</v>
      </c>
      <c r="N307" s="103">
        <f>IFNA(VLOOKUP(L307,'🙎‍♂️ Pasien'!G:L,3,FALSE),"")</f>
        <v>59</v>
      </c>
      <c r="O307" s="104" t="str">
        <f>IFNA(VLOOKUP(L307,'🙎‍♂️ Pasien'!G:V,6,FALSE),"")</f>
        <v>PEREMPUAN</v>
      </c>
      <c r="P307" s="104" t="str">
        <f>IFNA(VLOOKUP(L307,'🙎‍♂️ Pasien'!G:V,12,FALSE),"")</f>
        <v>ISLAM</v>
      </c>
      <c r="Q307" s="104" t="str">
        <f>IFNA(VLOOKUP(L307:L1508,'🙎‍♂️ Pasien'!G:V,13,FALSE),"")</f>
        <v>IRT</v>
      </c>
      <c r="R307" s="104" t="str">
        <f t="array" ref="R307">ifna(xlookup(L307,'🙎‍♂️ Pasien'!$G$5:$G1508,'🙎‍♂️ Pasien'!$T$5:$T1508),"")</f>
        <v>KAKI</v>
      </c>
      <c r="S307" s="104" t="str">
        <f t="array" ref="S307">ifna(xlookup(L307,'🙎‍♂️ Pasien'!$G$5:$G1508,'🙎‍♂️ Pasien'!$U$5:$U1508),"")</f>
        <v>-</v>
      </c>
      <c r="T307" s="97" t="s">
        <v>59</v>
      </c>
      <c r="U307" s="105" t="s">
        <v>60</v>
      </c>
      <c r="V307" s="101"/>
      <c r="W307" s="106" t="b">
        <v>1</v>
      </c>
      <c r="X307" s="107"/>
      <c r="Y307" s="108"/>
    </row>
    <row r="308" ht="22.5" customHeight="1">
      <c r="A308" s="96"/>
      <c r="B308" s="97" t="s">
        <v>53</v>
      </c>
      <c r="C308" s="98" t="str">
        <f t="array" ref="C308">IFNA(XLOOKUP(J308,'⚙️ Pengaturan'!$H$5:$H1508,'⚙️ Pengaturan'!$I$5:$I1508),"")</f>
        <v>TIM Y</v>
      </c>
      <c r="D308" s="97" t="s">
        <v>54</v>
      </c>
      <c r="E308" s="99">
        <v>45949.0</v>
      </c>
      <c r="F308" s="100" t="str">
        <f t="shared" si="1"/>
        <v>2025</v>
      </c>
      <c r="G308" s="100" t="str">
        <f t="shared" si="2"/>
        <v>10Okt</v>
      </c>
      <c r="H308" s="100" t="str">
        <f t="shared" si="3"/>
        <v>Minggu</v>
      </c>
      <c r="I308" s="97" t="s">
        <v>83</v>
      </c>
      <c r="J308" s="97" t="s">
        <v>56</v>
      </c>
      <c r="K308" s="97" t="s">
        <v>63</v>
      </c>
      <c r="L308" s="101" t="s">
        <v>202</v>
      </c>
      <c r="M308" s="102" t="str">
        <f>IFNA(VLOOKUP(L308,'🙎‍♂️ Pasien'!G:V,2,FALSE),"")</f>
        <v>B9925104512</v>
      </c>
      <c r="N308" s="103">
        <f>IFNA(VLOOKUP(L308,'🙎‍♂️ Pasien'!G:L,3,FALSE),"")</f>
        <v>26</v>
      </c>
      <c r="O308" s="104" t="str">
        <f>IFNA(VLOOKUP(L308,'🙎‍♂️ Pasien'!G:V,6,FALSE),"")</f>
        <v>LAKI-LAKI</v>
      </c>
      <c r="P308" s="104" t="str">
        <f>IFNA(VLOOKUP(L308,'🙎‍♂️ Pasien'!G:V,12,FALSE),"")</f>
        <v>ISLAM</v>
      </c>
      <c r="Q308" s="104" t="str">
        <f>IFNA(VLOOKUP(L308:L1508,'🙎‍♂️ Pasien'!G:V,13,FALSE),"")</f>
        <v>SWASTA</v>
      </c>
      <c r="R308" s="104" t="str">
        <f t="array" ref="R308">ifna(xlookup(L308,'🙎‍♂️ Pasien'!$G$5:$G1508,'🙎‍♂️ Pasien'!$T$5:$T1508),"")</f>
        <v>CIDERA LUTUT SALAH TUMPUAN PAS MAIN BOLA</v>
      </c>
      <c r="S308" s="104" t="str">
        <f t="array" ref="S308">ifna(xlookup(L308,'🙎‍♂️ Pasien'!$G$5:$G1508,'🙎‍♂️ Pasien'!$U$5:$U1508),"")</f>
        <v>SEPAK BOLA</v>
      </c>
      <c r="T308" s="97" t="s">
        <v>59</v>
      </c>
      <c r="U308" s="105">
        <v>8.0</v>
      </c>
      <c r="V308" s="101"/>
      <c r="W308" s="106" t="b">
        <v>1</v>
      </c>
      <c r="X308" s="107"/>
      <c r="Y308" s="108"/>
    </row>
    <row r="309" ht="22.5" customHeight="1">
      <c r="A309" s="96"/>
      <c r="B309" s="97" t="s">
        <v>53</v>
      </c>
      <c r="C309" s="98" t="str">
        <f t="array" ref="C309">IFNA(XLOOKUP(J309,'⚙️ Pengaturan'!$H$5:$H1508,'⚙️ Pengaturan'!$I$5:$I1508),"")</f>
        <v>TIM A</v>
      </c>
      <c r="D309" s="97" t="s">
        <v>54</v>
      </c>
      <c r="E309" s="99">
        <v>45949.0</v>
      </c>
      <c r="F309" s="100" t="str">
        <f t="shared" si="1"/>
        <v>2025</v>
      </c>
      <c r="G309" s="100" t="str">
        <f t="shared" si="2"/>
        <v>10Okt</v>
      </c>
      <c r="H309" s="100" t="str">
        <f t="shared" si="3"/>
        <v>Minggu</v>
      </c>
      <c r="I309" s="97" t="s">
        <v>83</v>
      </c>
      <c r="J309" s="97" t="s">
        <v>79</v>
      </c>
      <c r="K309" s="97" t="s">
        <v>57</v>
      </c>
      <c r="L309" s="101" t="s">
        <v>313</v>
      </c>
      <c r="M309" s="102" t="str">
        <f>IFNA(VLOOKUP(L309,'🙎‍♂️ Pasien'!G:V,2,FALSE),"")</f>
        <v>K9925107744</v>
      </c>
      <c r="N309" s="103">
        <f>IFNA(VLOOKUP(L309,'🙎‍♂️ Pasien'!G:L,3,FALSE),"")</f>
        <v>26</v>
      </c>
      <c r="O309" s="104" t="str">
        <f>IFNA(VLOOKUP(L309,'🙎‍♂️ Pasien'!G:V,6,FALSE),"")</f>
        <v>PEREMPUAN</v>
      </c>
      <c r="P309" s="104" t="str">
        <f>IFNA(VLOOKUP(L309,'🙎‍♂️ Pasien'!G:V,12,FALSE),"")</f>
        <v>KATOLIK</v>
      </c>
      <c r="Q309" s="104" t="str">
        <f>IFNA(VLOOKUP(L309:L1508,'🙎‍♂️ Pasien'!G:V,13,FALSE),"")</f>
        <v>SWASTA</v>
      </c>
      <c r="R309" s="104" t="str">
        <f t="array" ref="R309">ifna(xlookup(L309,'🙎‍♂️ Pasien'!$G$5:$G1508,'🙎‍♂️ Pasien'!$T$5:$T1508),"")</f>
        <v>SAKIT BELAKANG</v>
      </c>
      <c r="S309" s="104" t="str">
        <f t="array" ref="S309">ifna(xlookup(L309,'🙎‍♂️ Pasien'!$G$5:$G1508,'🙎‍♂️ Pasien'!$U$5:$U1508),"")</f>
        <v>TIDAK ADA</v>
      </c>
      <c r="T309" s="97" t="s">
        <v>59</v>
      </c>
      <c r="U309" s="105" t="s">
        <v>60</v>
      </c>
      <c r="V309" s="101"/>
      <c r="W309" s="106" t="b">
        <v>1</v>
      </c>
      <c r="X309" s="107"/>
      <c r="Y309" s="108"/>
    </row>
    <row r="310" ht="22.5" customHeight="1">
      <c r="A310" s="96"/>
      <c r="B310" s="97" t="s">
        <v>85</v>
      </c>
      <c r="C310" s="98" t="str">
        <f t="array" ref="C310">IFNA(XLOOKUP(J310,'⚙️ Pengaturan'!$H$5:$H1508,'⚙️ Pengaturan'!$I$5:$I1508),"")</f>
        <v>TIM Y</v>
      </c>
      <c r="D310" s="97" t="s">
        <v>86</v>
      </c>
      <c r="E310" s="99">
        <v>45949.0</v>
      </c>
      <c r="F310" s="100" t="str">
        <f t="shared" si="1"/>
        <v>2025</v>
      </c>
      <c r="G310" s="100" t="str">
        <f t="shared" si="2"/>
        <v>10Okt</v>
      </c>
      <c r="H310" s="100" t="str">
        <f t="shared" si="3"/>
        <v>Minggu</v>
      </c>
      <c r="I310" s="97" t="s">
        <v>87</v>
      </c>
      <c r="J310" s="97" t="s">
        <v>88</v>
      </c>
      <c r="K310" s="97" t="s">
        <v>63</v>
      </c>
      <c r="L310" s="101" t="s">
        <v>257</v>
      </c>
      <c r="M310" s="102" t="str">
        <f>IFNA(VLOOKUP(L310,'🙎‍♂️ Pasien'!G:V,2,FALSE),"")</f>
        <v>A1025102304</v>
      </c>
      <c r="N310" s="103">
        <f>IFNA(VLOOKUP(L310,'🙎‍♂️ Pasien'!G:L,3,FALSE),"")</f>
        <v>16</v>
      </c>
      <c r="O310" s="104" t="str">
        <f>IFNA(VLOOKUP(L310,'🙎‍♂️ Pasien'!G:V,6,FALSE),"")</f>
        <v>LAKI-LAKI</v>
      </c>
      <c r="P310" s="104" t="str">
        <f>IFNA(VLOOKUP(L310,'🙎‍♂️ Pasien'!G:V,12,FALSE),"")</f>
        <v>PROTESTAN</v>
      </c>
      <c r="Q310" s="104" t="str">
        <f>IFNA(VLOOKUP(L310:L1508,'🙎‍♂️ Pasien'!G:V,13,FALSE),"")</f>
        <v>PELAJAR</v>
      </c>
      <c r="R310" s="104" t="str">
        <f t="array" ref="R310">ifna(xlookup(L310,'🙎‍♂️ Pasien'!$G$5:$G1508,'🙎‍♂️ Pasien'!$T$5:$T1508),"")</f>
        <v>NYERI SENDI KAKI</v>
      </c>
      <c r="S310" s="104" t="str">
        <f t="array" ref="S310">ifna(xlookup(L310,'🙎‍♂️ Pasien'!$G$5:$G1508,'🙎‍♂️ Pasien'!$U$5:$U1508),"")</f>
        <v>OLAHRAGA, NAIK TURUN TANGGA</v>
      </c>
      <c r="T310" s="97" t="s">
        <v>59</v>
      </c>
      <c r="U310" s="105">
        <v>2.0</v>
      </c>
      <c r="V310" s="101"/>
      <c r="W310" s="106" t="b">
        <v>1</v>
      </c>
      <c r="X310" s="107"/>
      <c r="Y310" s="108"/>
    </row>
    <row r="311" ht="22.5" customHeight="1">
      <c r="A311" s="96"/>
      <c r="B311" s="97" t="s">
        <v>85</v>
      </c>
      <c r="C311" s="98" t="str">
        <f t="array" ref="C311">IFNA(XLOOKUP(J311,'⚙️ Pengaturan'!$H$5:$H1508,'⚙️ Pengaturan'!$I$5:$I1508),"")</f>
        <v>TIM Y</v>
      </c>
      <c r="D311" s="97" t="s">
        <v>86</v>
      </c>
      <c r="E311" s="99">
        <v>45949.0</v>
      </c>
      <c r="F311" s="100" t="str">
        <f t="shared" si="1"/>
        <v>2025</v>
      </c>
      <c r="G311" s="100" t="str">
        <f t="shared" si="2"/>
        <v>10Okt</v>
      </c>
      <c r="H311" s="100" t="str">
        <f t="shared" si="3"/>
        <v>Minggu</v>
      </c>
      <c r="I311" s="97" t="s">
        <v>87</v>
      </c>
      <c r="J311" s="97" t="s">
        <v>91</v>
      </c>
      <c r="K311" s="97" t="s">
        <v>69</v>
      </c>
      <c r="L311" s="101" t="s">
        <v>236</v>
      </c>
      <c r="M311" s="102" t="str">
        <f>IFNA(VLOOKUP(L311,'🙎‍♂️ Pasien'!G:V,2,FALSE),"")</f>
        <v>D8624112017</v>
      </c>
      <c r="N311" s="103">
        <f>IFNA(VLOOKUP(L311,'🙎‍♂️ Pasien'!G:L,3,FALSE),"")</f>
        <v>39</v>
      </c>
      <c r="O311" s="104" t="str">
        <f>IFNA(VLOOKUP(L311,'🙎‍♂️ Pasien'!G:V,6,FALSE),"")</f>
        <v>PEREMPUAN</v>
      </c>
      <c r="P311" s="104" t="str">
        <f>IFNA(VLOOKUP(L311,'🙎‍♂️ Pasien'!G:V,12,FALSE),"")</f>
        <v>ISLAM</v>
      </c>
      <c r="Q311" s="104" t="str">
        <f>IFNA(VLOOKUP(L311:L1508,'🙎‍♂️ Pasien'!G:V,13,FALSE),"")</f>
        <v>ASN</v>
      </c>
      <c r="R311" s="104" t="str">
        <f t="array" ref="R311">ifna(xlookup(L311,'🙎‍♂️ Pasien'!$G$5:$G1508,'🙎‍♂️ Pasien'!$T$5:$T1508),"")</f>
        <v>Nyeri pangkal paha kanan saat menapakkan kaki</v>
      </c>
      <c r="S311" s="104" t="str">
        <f t="array" ref="S311">ifna(xlookup(L311,'🙎‍♂️ Pasien'!$G$5:$G1508,'🙎‍♂️ Pasien'!$U$5:$U1508),"")</f>
        <v>Kerja kantor</v>
      </c>
      <c r="T311" s="97" t="s">
        <v>59</v>
      </c>
      <c r="U311" s="105" t="s">
        <v>60</v>
      </c>
      <c r="V311" s="101"/>
      <c r="W311" s="106" t="b">
        <v>1</v>
      </c>
      <c r="X311" s="107"/>
      <c r="Y311" s="108"/>
    </row>
    <row r="312" ht="22.5" customHeight="1">
      <c r="A312" s="96"/>
      <c r="B312" s="97" t="s">
        <v>85</v>
      </c>
      <c r="C312" s="98" t="str">
        <f t="array" ref="C312">IFNA(XLOOKUP(J312,'⚙️ Pengaturan'!$H$5:$H1508,'⚙️ Pengaturan'!$I$5:$I1508),"")</f>
        <v>TIM Y</v>
      </c>
      <c r="D312" s="97" t="s">
        <v>86</v>
      </c>
      <c r="E312" s="99">
        <v>45949.0</v>
      </c>
      <c r="F312" s="100" t="str">
        <f t="shared" si="1"/>
        <v>2025</v>
      </c>
      <c r="G312" s="100" t="str">
        <f t="shared" si="2"/>
        <v>10Okt</v>
      </c>
      <c r="H312" s="100" t="str">
        <f t="shared" si="3"/>
        <v>Minggu</v>
      </c>
      <c r="I312" s="97" t="s">
        <v>93</v>
      </c>
      <c r="J312" s="97" t="s">
        <v>88</v>
      </c>
      <c r="K312" s="97" t="s">
        <v>63</v>
      </c>
      <c r="L312" s="101" t="s">
        <v>209</v>
      </c>
      <c r="M312" s="102" t="str">
        <f>IFNA(VLOOKUP(L312,'🙎‍♂️ Pasien'!G:V,2,FALSE),"")</f>
        <v>M6825090</v>
      </c>
      <c r="N312" s="103">
        <f>IFNA(VLOOKUP(L312,'🙎‍♂️ Pasien'!G:L,3,FALSE),"")</f>
        <v>57</v>
      </c>
      <c r="O312" s="104" t="str">
        <f>IFNA(VLOOKUP(L312,'🙎‍♂️ Pasien'!G:V,6,FALSE),"")</f>
        <v>LAKI-LAKI</v>
      </c>
      <c r="P312" s="104" t="str">
        <f>IFNA(VLOOKUP(L312,'🙎‍♂️ Pasien'!G:V,12,FALSE),"")</f>
        <v>BUDDHA</v>
      </c>
      <c r="Q312" s="104" t="str">
        <f>IFNA(VLOOKUP(L312:L1508,'🙎‍♂️ Pasien'!G:V,13,FALSE),"")</f>
        <v>WIRASWASTA</v>
      </c>
      <c r="R312" s="104" t="str">
        <f t="array" ref="R312">ifna(xlookup(L312,'🙎‍♂️ Pasien'!$G$5:$G1508,'🙎‍♂️ Pasien'!$T$5:$T1508),"")</f>
        <v>LUTUT</v>
      </c>
      <c r="S312" s="104" t="str">
        <f t="array" ref="S312">ifna(xlookup(L312,'🙎‍♂️ Pasien'!$G$5:$G1508,'🙎‍♂️ Pasien'!$U$5:$U1508),"")</f>
        <v>-</v>
      </c>
      <c r="T312" s="97" t="s">
        <v>59</v>
      </c>
      <c r="U312" s="105">
        <v>3.0</v>
      </c>
      <c r="V312" s="101"/>
      <c r="W312" s="106" t="b">
        <v>1</v>
      </c>
      <c r="X312" s="107"/>
      <c r="Y312" s="108"/>
    </row>
    <row r="313" ht="22.5" customHeight="1">
      <c r="A313" s="96"/>
      <c r="B313" s="97" t="s">
        <v>85</v>
      </c>
      <c r="C313" s="98" t="str">
        <f t="array" ref="C313">IFNA(XLOOKUP(J313,'⚙️ Pengaturan'!$H$5:$H1508,'⚙️ Pengaturan'!$I$5:$I1508),"")</f>
        <v>TIM Y</v>
      </c>
      <c r="D313" s="97" t="s">
        <v>86</v>
      </c>
      <c r="E313" s="99">
        <v>45949.0</v>
      </c>
      <c r="F313" s="100" t="str">
        <f t="shared" si="1"/>
        <v>2025</v>
      </c>
      <c r="G313" s="100" t="str">
        <f t="shared" si="2"/>
        <v>10Okt</v>
      </c>
      <c r="H313" s="100" t="str">
        <f t="shared" si="3"/>
        <v>Minggu</v>
      </c>
      <c r="I313" s="97" t="s">
        <v>95</v>
      </c>
      <c r="J313" s="97" t="s">
        <v>88</v>
      </c>
      <c r="K313" s="97" t="s">
        <v>69</v>
      </c>
      <c r="L313" s="101" t="s">
        <v>264</v>
      </c>
      <c r="M313" s="102" t="str">
        <f>IFNA(VLOOKUP(L313,'🙎‍♂️ Pasien'!G:V,2,FALSE),"")</f>
        <v>A9625083700</v>
      </c>
      <c r="N313" s="103">
        <f>IFNA(VLOOKUP(L313,'🙎‍♂️ Pasien'!G:L,3,FALSE),"")</f>
        <v>29</v>
      </c>
      <c r="O313" s="104" t="str">
        <f>IFNA(VLOOKUP(L313,'🙎‍♂️ Pasien'!G:V,6,FALSE),"")</f>
        <v>LAKI-LAKI</v>
      </c>
      <c r="P313" s="104" t="str">
        <f>IFNA(VLOOKUP(L313,'🙎‍♂️ Pasien'!G:V,12,FALSE),"")</f>
        <v>ISLAM</v>
      </c>
      <c r="Q313" s="104" t="str">
        <f>IFNA(VLOOKUP(L313:L1508,'🙎‍♂️ Pasien'!G:V,13,FALSE),"")</f>
        <v>KARYAWAN SWASTA</v>
      </c>
      <c r="R313" s="104" t="str">
        <f t="array" ref="R313">ifna(xlookup(L313,'🙎‍♂️ Pasien'!$G$5:$G1508,'🙎‍♂️ Pasien'!$T$5:$T1508),"")</f>
        <v>LUTUT TIDAK BISA DI TEKUK</v>
      </c>
      <c r="S313" s="104" t="str">
        <f t="array" ref="S313">ifna(xlookup(L313,'🙎‍♂️ Pasien'!$G$5:$G1508,'🙎‍♂️ Pasien'!$U$5:$U1508),"")</f>
        <v>MAIN BOLA</v>
      </c>
      <c r="T313" s="97" t="s">
        <v>59</v>
      </c>
      <c r="U313" s="105" t="s">
        <v>60</v>
      </c>
      <c r="V313" s="101"/>
      <c r="W313" s="106" t="b">
        <v>1</v>
      </c>
      <c r="X313" s="107"/>
      <c r="Y313" s="108"/>
    </row>
    <row r="314" ht="22.5" customHeight="1">
      <c r="A314" s="96"/>
      <c r="B314" s="97" t="s">
        <v>85</v>
      </c>
      <c r="C314" s="98" t="str">
        <f t="array" ref="C314">IFNA(XLOOKUP(J314,'⚙️ Pengaturan'!$H$5:$H1508,'⚙️ Pengaturan'!$I$5:$I1508),"")</f>
        <v>TIM Y</v>
      </c>
      <c r="D314" s="97" t="s">
        <v>86</v>
      </c>
      <c r="E314" s="99">
        <v>45949.0</v>
      </c>
      <c r="F314" s="100" t="str">
        <f t="shared" si="1"/>
        <v>2025</v>
      </c>
      <c r="G314" s="100" t="str">
        <f t="shared" si="2"/>
        <v>10Okt</v>
      </c>
      <c r="H314" s="100" t="str">
        <f t="shared" si="3"/>
        <v>Minggu</v>
      </c>
      <c r="I314" s="97" t="s">
        <v>97</v>
      </c>
      <c r="J314" s="97" t="s">
        <v>91</v>
      </c>
      <c r="K314" s="97" t="s">
        <v>63</v>
      </c>
      <c r="L314" s="101" t="s">
        <v>239</v>
      </c>
      <c r="M314" s="102" t="str">
        <f>IFNA(VLOOKUP(L314,'🙎‍♂️ Pasien'!G:V,2,FALSE),"")</f>
        <v>A0623071437</v>
      </c>
      <c r="N314" s="103">
        <f>IFNA(VLOOKUP(L314,'🙎‍♂️ Pasien'!G:L,3,FALSE),"")</f>
        <v>20</v>
      </c>
      <c r="O314" s="104" t="str">
        <f>IFNA(VLOOKUP(L314,'🙎‍♂️ Pasien'!G:V,6,FALSE),"")</f>
        <v>LAKI-LAKI</v>
      </c>
      <c r="P314" s="104" t="str">
        <f>IFNA(VLOOKUP(L314,'🙎‍♂️ Pasien'!G:V,12,FALSE),"")</f>
        <v>ISLAM</v>
      </c>
      <c r="Q314" s="104" t="str">
        <f>IFNA(VLOOKUP(L314:L1508,'🙎‍♂️ Pasien'!G:V,13,FALSE),"")</f>
        <v>PELAJAR/MAHASISWA</v>
      </c>
      <c r="R314" s="104" t="str">
        <f t="array" ref="R314">ifna(xlookup(L314,'🙎‍♂️ Pasien'!$G$5:$G1508,'🙎‍♂️ Pasien'!$T$5:$T1508),"")</f>
        <v>Cedera Engkel Di Kaki</v>
      </c>
      <c r="S314" s="104" t="str">
        <f t="array" ref="S314">ifna(xlookup(L314,'🙎‍♂️ Pasien'!$G$5:$G1508,'🙎‍♂️ Pasien'!$U$5:$U1508),"")</f>
        <v>BERMAIN FUTSAL</v>
      </c>
      <c r="T314" s="97" t="s">
        <v>59</v>
      </c>
      <c r="U314" s="105">
        <v>2.0</v>
      </c>
      <c r="V314" s="101"/>
      <c r="W314" s="106" t="b">
        <v>1</v>
      </c>
      <c r="X314" s="107"/>
      <c r="Y314" s="108"/>
    </row>
    <row r="315" ht="22.5" customHeight="1">
      <c r="A315" s="96"/>
      <c r="B315" s="97" t="s">
        <v>85</v>
      </c>
      <c r="C315" s="98" t="str">
        <f t="array" ref="C315">IFNA(XLOOKUP(J315,'⚙️ Pengaturan'!$H$5:$H1508,'⚙️ Pengaturan'!$I$5:$I1508),"")</f>
        <v>TIM Y</v>
      </c>
      <c r="D315" s="97" t="s">
        <v>86</v>
      </c>
      <c r="E315" s="99">
        <v>45949.0</v>
      </c>
      <c r="F315" s="100" t="str">
        <f t="shared" si="1"/>
        <v>2025</v>
      </c>
      <c r="G315" s="100" t="str">
        <f t="shared" si="2"/>
        <v>10Okt</v>
      </c>
      <c r="H315" s="100" t="str">
        <f t="shared" si="3"/>
        <v>Minggu</v>
      </c>
      <c r="I315" s="97" t="s">
        <v>97</v>
      </c>
      <c r="J315" s="97" t="s">
        <v>88</v>
      </c>
      <c r="K315" s="97" t="s">
        <v>69</v>
      </c>
      <c r="L315" s="101" t="s">
        <v>254</v>
      </c>
      <c r="M315" s="102" t="str">
        <f>IFNA(VLOOKUP(L315,'🙎‍♂️ Pasien'!G:V,2,FALSE),"")</f>
        <v>G0225101517</v>
      </c>
      <c r="N315" s="103">
        <f>IFNA(VLOOKUP(L315,'🙎‍♂️ Pasien'!G:L,3,FALSE),"")</f>
        <v>24</v>
      </c>
      <c r="O315" s="104" t="str">
        <f>IFNA(VLOOKUP(L315,'🙎‍♂️ Pasien'!G:V,6,FALSE),"")</f>
        <v>LAKI-LAKI</v>
      </c>
      <c r="P315" s="104" t="str">
        <f>IFNA(VLOOKUP(L315,'🙎‍♂️ Pasien'!G:V,12,FALSE),"")</f>
        <v>KATOLIK</v>
      </c>
      <c r="Q315" s="104" t="str">
        <f>IFNA(VLOOKUP(L315:L1508,'🙎‍♂️ Pasien'!G:V,13,FALSE),"")</f>
        <v>MAHASISWA</v>
      </c>
      <c r="R315" s="104" t="str">
        <f t="array" ref="R315">ifna(xlookup(L315,'🙎‍♂️ Pasien'!$G$5:$G1508,'🙎‍♂️ Pasien'!$T$5:$T1508),"")</f>
        <v>NYERI PADA LUTUT BAGIAN LUAR</v>
      </c>
      <c r="S315" s="104" t="str">
        <f t="array" ref="S315">ifna(xlookup(L315,'🙎‍♂️ Pasien'!$G$5:$G1508,'🙎‍♂️ Pasien'!$U$5:$U1508),"")</f>
        <v>LARI, MINI SOCCER, GYM</v>
      </c>
      <c r="T315" s="97" t="s">
        <v>59</v>
      </c>
      <c r="U315" s="105" t="s">
        <v>60</v>
      </c>
      <c r="V315" s="101"/>
      <c r="W315" s="106" t="b">
        <v>1</v>
      </c>
      <c r="X315" s="107"/>
      <c r="Y315" s="108"/>
    </row>
    <row r="316" ht="22.5" customHeight="1">
      <c r="A316" s="96"/>
      <c r="B316" s="97" t="s">
        <v>85</v>
      </c>
      <c r="C316" s="98" t="str">
        <f t="array" ref="C316">IFNA(XLOOKUP(J316,'⚙️ Pengaturan'!$H$5:$H1508,'⚙️ Pengaturan'!$I$5:$I1508),"")</f>
        <v>TIM Y</v>
      </c>
      <c r="D316" s="97" t="s">
        <v>86</v>
      </c>
      <c r="E316" s="99">
        <v>45949.0</v>
      </c>
      <c r="F316" s="100" t="str">
        <f t="shared" si="1"/>
        <v>2025</v>
      </c>
      <c r="G316" s="100" t="str">
        <f t="shared" si="2"/>
        <v>10Okt</v>
      </c>
      <c r="H316" s="100" t="str">
        <f t="shared" si="3"/>
        <v>Minggu</v>
      </c>
      <c r="I316" s="97" t="s">
        <v>99</v>
      </c>
      <c r="J316" s="97" t="s">
        <v>91</v>
      </c>
      <c r="K316" s="97" t="s">
        <v>57</v>
      </c>
      <c r="L316" s="101" t="s">
        <v>314</v>
      </c>
      <c r="M316" s="102" t="str">
        <f>IFNA(VLOOKUP(L316,'🙎‍♂️ Pasien'!G:V,2,FALSE),"")</f>
        <v>A2424089584</v>
      </c>
      <c r="N316" s="103">
        <f>IFNA(VLOOKUP(L316,'🙎‍♂️ Pasien'!G:L,3,FALSE),"")</f>
        <v>1</v>
      </c>
      <c r="O316" s="104" t="str">
        <f>IFNA(VLOOKUP(L316,'🙎‍♂️ Pasien'!G:V,6,FALSE),"")</f>
        <v>LAKI-LAKI</v>
      </c>
      <c r="P316" s="104" t="str">
        <f>IFNA(VLOOKUP(L316,'🙎‍♂️ Pasien'!G:V,12,FALSE),"")</f>
        <v>ISLAM</v>
      </c>
      <c r="Q316" s="104" t="str">
        <f>IFNA(VLOOKUP(L316:L1508,'🙎‍♂️ Pasien'!G:V,13,FALSE),"")</f>
        <v>PELAJAR/MAHASISWA</v>
      </c>
      <c r="R316" s="104" t="str">
        <f t="array" ref="R316">ifna(xlookup(L316,'🙎‍♂️ Pasien'!$G$5:$G1508,'🙎‍♂️ Pasien'!$T$5:$T1508),"")</f>
        <v>Cedera engkel</v>
      </c>
      <c r="S316" s="104" t="str">
        <f t="array" ref="S316">ifna(xlookup(L316,'🙎‍♂️ Pasien'!$G$5:$G1508,'🙎‍♂️ Pasien'!$U$5:$U1508),"")</f>
        <v>Maen bola</v>
      </c>
      <c r="T316" s="97" t="s">
        <v>59</v>
      </c>
      <c r="U316" s="105" t="s">
        <v>60</v>
      </c>
      <c r="V316" s="101"/>
      <c r="W316" s="106" t="b">
        <v>1</v>
      </c>
      <c r="X316" s="107"/>
      <c r="Y316" s="108"/>
    </row>
    <row r="317" ht="22.5" customHeight="1">
      <c r="A317" s="96"/>
      <c r="B317" s="97" t="s">
        <v>85</v>
      </c>
      <c r="C317" s="98" t="str">
        <f t="array" ref="C317">IFNA(XLOOKUP(J317,'⚙️ Pengaturan'!$H$5:$H1508,'⚙️ Pengaturan'!$I$5:$I1508),"")</f>
        <v>TIM Y</v>
      </c>
      <c r="D317" s="97" t="s">
        <v>86</v>
      </c>
      <c r="E317" s="99">
        <v>45949.0</v>
      </c>
      <c r="F317" s="100" t="str">
        <f t="shared" si="1"/>
        <v>2025</v>
      </c>
      <c r="G317" s="100" t="str">
        <f t="shared" si="2"/>
        <v>10Okt</v>
      </c>
      <c r="H317" s="100" t="str">
        <f t="shared" si="3"/>
        <v>Minggu</v>
      </c>
      <c r="I317" s="97" t="s">
        <v>99</v>
      </c>
      <c r="J317" s="97" t="s">
        <v>88</v>
      </c>
      <c r="K317" s="97" t="s">
        <v>69</v>
      </c>
      <c r="L317" s="101" t="s">
        <v>242</v>
      </c>
      <c r="M317" s="102" t="str">
        <f>IFNA(VLOOKUP(L317,'🙎‍♂️ Pasien'!G:V,2,FALSE),"")</f>
        <v>J9425106812</v>
      </c>
      <c r="N317" s="103">
        <f>IFNA(VLOOKUP(L317,'🙎‍♂️ Pasien'!G:L,3,FALSE),"")</f>
        <v>31</v>
      </c>
      <c r="O317" s="104" t="str">
        <f>IFNA(VLOOKUP(L317,'🙎‍♂️ Pasien'!G:V,6,FALSE),"")</f>
        <v>LAKI-LAKI</v>
      </c>
      <c r="P317" s="104" t="str">
        <f>IFNA(VLOOKUP(L317,'🙎‍♂️ Pasien'!G:V,12,FALSE),"")</f>
        <v>PROTESTAN</v>
      </c>
      <c r="Q317" s="104" t="str">
        <f>IFNA(VLOOKUP(L317:L1508,'🙎‍♂️ Pasien'!G:V,13,FALSE),"")</f>
        <v>WIRASWASTA</v>
      </c>
      <c r="R317" s="104" t="str">
        <f t="array" ref="R317">ifna(xlookup(L317,'🙎‍♂️ Pasien'!$G$5:$G1508,'🙎‍♂️ Pasien'!$T$5:$T1508),"")</f>
        <v>PELATAR</v>
      </c>
      <c r="S317" s="104" t="str">
        <f t="array" ref="S317">ifna(xlookup(L317,'🙎‍♂️ Pasien'!$G$5:$G1508,'🙎‍♂️ Pasien'!$U$5:$U1508),"")</f>
        <v>SEPAK BOLA</v>
      </c>
      <c r="T317" s="97" t="s">
        <v>67</v>
      </c>
      <c r="U317" s="105" t="s">
        <v>60</v>
      </c>
      <c r="V317" s="101" t="s">
        <v>283</v>
      </c>
      <c r="W317" s="106" t="b">
        <v>1</v>
      </c>
      <c r="X317" s="107"/>
      <c r="Y317" s="108"/>
    </row>
    <row r="318" ht="22.5" customHeight="1">
      <c r="A318" s="96"/>
      <c r="B318" s="97" t="s">
        <v>53</v>
      </c>
      <c r="C318" s="98" t="str">
        <f t="array" ref="C318">IFNA(XLOOKUP(J318,'⚙️ Pengaturan'!$H$5:$H1508,'⚙️ Pengaturan'!$I$5:$I1508),"")</f>
        <v>MANAJEMEN</v>
      </c>
      <c r="D318" s="97" t="s">
        <v>54</v>
      </c>
      <c r="E318" s="99">
        <v>45950.0</v>
      </c>
      <c r="F318" s="100" t="str">
        <f t="shared" si="1"/>
        <v>2025</v>
      </c>
      <c r="G318" s="100" t="str">
        <f t="shared" si="2"/>
        <v>10Okt</v>
      </c>
      <c r="H318" s="100" t="str">
        <f t="shared" si="3"/>
        <v>Senin</v>
      </c>
      <c r="I318" s="97" t="s">
        <v>55</v>
      </c>
      <c r="J318" s="97" t="s">
        <v>101</v>
      </c>
      <c r="K318" s="97" t="s">
        <v>63</v>
      </c>
      <c r="L318" s="101" t="s">
        <v>102</v>
      </c>
      <c r="M318" s="102" t="str">
        <f>IFNA(VLOOKUP(L318,'🙎‍♂️ Pasien'!G:V,2,FALSE),"")</f>
        <v>B8525075344</v>
      </c>
      <c r="N318" s="103">
        <f>IFNA(VLOOKUP(L318,'🙎‍♂️ Pasien'!G:L,3,FALSE),"")</f>
        <v>40</v>
      </c>
      <c r="O318" s="104" t="str">
        <f>IFNA(VLOOKUP(L318,'🙎‍♂️ Pasien'!G:V,6,FALSE),"")</f>
        <v>LAKI-LAKI</v>
      </c>
      <c r="P318" s="104" t="str">
        <f>IFNA(VLOOKUP(L318,'🙎‍♂️ Pasien'!G:V,12,FALSE),"")</f>
        <v>ISLAM</v>
      </c>
      <c r="Q318" s="104" t="str">
        <f>IFNA(VLOOKUP(L318:L1508,'🙎‍♂️ Pasien'!G:V,13,FALSE),"")</f>
        <v>WIRAUSAHA</v>
      </c>
      <c r="R318" s="104" t="str">
        <f t="array" ref="R318">ifna(xlookup(L318,'🙎‍♂️ Pasien'!$G$5:$G1508,'🙎‍♂️ Pasien'!$T$5:$T1508),"")</f>
        <v>NYERI LUTUT</v>
      </c>
      <c r="S318" s="104" t="str">
        <f t="array" ref="S318">ifna(xlookup(L318,'🙎‍♂️ Pasien'!$G$5:$G1508,'🙎‍♂️ Pasien'!$U$5:$U1508),"")</f>
        <v>JOGGING</v>
      </c>
      <c r="T318" s="97" t="s">
        <v>67</v>
      </c>
      <c r="U318" s="105">
        <v>4.0</v>
      </c>
      <c r="V318" s="101" t="s">
        <v>315</v>
      </c>
      <c r="W318" s="106" t="b">
        <v>1</v>
      </c>
      <c r="X318" s="107"/>
      <c r="Y318" s="108"/>
    </row>
    <row r="319" ht="22.5" customHeight="1">
      <c r="A319" s="96"/>
      <c r="B319" s="97" t="s">
        <v>53</v>
      </c>
      <c r="C319" s="98" t="str">
        <f t="array" ref="C319">IFNA(XLOOKUP(J319,'⚙️ Pengaturan'!$H$5:$H1508,'⚙️ Pengaturan'!$I$5:$I1508),"")</f>
        <v>TIM A</v>
      </c>
      <c r="D319" s="97" t="s">
        <v>54</v>
      </c>
      <c r="E319" s="99">
        <v>45950.0</v>
      </c>
      <c r="F319" s="100" t="str">
        <f t="shared" si="1"/>
        <v>2025</v>
      </c>
      <c r="G319" s="100" t="str">
        <f t="shared" si="2"/>
        <v>10Okt</v>
      </c>
      <c r="H319" s="100" t="str">
        <f t="shared" si="3"/>
        <v>Senin</v>
      </c>
      <c r="I319" s="97" t="s">
        <v>55</v>
      </c>
      <c r="J319" s="97" t="s">
        <v>79</v>
      </c>
      <c r="K319" s="97" t="s">
        <v>63</v>
      </c>
      <c r="L319" s="101" t="s">
        <v>244</v>
      </c>
      <c r="M319" s="102" t="str">
        <f>IFNA(VLOOKUP(L319,'🙎‍♂️ Pasien'!G:V,2,FALSE),"")</f>
        <v>N7425100815</v>
      </c>
      <c r="N319" s="103">
        <f>IFNA(VLOOKUP(L319,'🙎‍♂️ Pasien'!G:L,3,FALSE),"")</f>
        <v>52</v>
      </c>
      <c r="O319" s="104" t="str">
        <f>IFNA(VLOOKUP(L319,'🙎‍♂️ Pasien'!G:V,6,FALSE),"")</f>
        <v>PEREMPUAN</v>
      </c>
      <c r="P319" s="104" t="str">
        <f>IFNA(VLOOKUP(L319,'🙎‍♂️ Pasien'!G:V,12,FALSE),"")</f>
        <v>ISLAM</v>
      </c>
      <c r="Q319" s="104" t="str">
        <f>IFNA(VLOOKUP(L319:L1508,'🙎‍♂️ Pasien'!G:V,13,FALSE),"")</f>
        <v>IBU RUMAH TANGGA</v>
      </c>
      <c r="R319" s="104" t="str">
        <f t="array" ref="R319">ifna(xlookup(L319,'🙎‍♂️ Pasien'!$G$5:$G1508,'🙎‍♂️ Pasien'!$T$5:$T1508),"")</f>
        <v/>
      </c>
      <c r="S319" s="104" t="str">
        <f t="array" ref="S319">ifna(xlookup(L319,'🙎‍♂️ Pasien'!$G$5:$G1508,'🙎‍♂️ Pasien'!$U$5:$U1508),"")</f>
        <v>MENATA ULANG INTERIOR RUMAH</v>
      </c>
      <c r="T319" s="97" t="s">
        <v>59</v>
      </c>
      <c r="U319" s="105">
        <v>3.0</v>
      </c>
      <c r="V319" s="101"/>
      <c r="W319" s="106" t="b">
        <v>1</v>
      </c>
      <c r="X319" s="107"/>
      <c r="Y319" s="108"/>
    </row>
    <row r="320" ht="22.5" customHeight="1">
      <c r="A320" s="96"/>
      <c r="B320" s="97" t="s">
        <v>53</v>
      </c>
      <c r="C320" s="98" t="str">
        <f t="array" ref="C320">IFNA(XLOOKUP(J320,'⚙️ Pengaturan'!$H$5:$H1508,'⚙️ Pengaturan'!$I$5:$I1508),"")</f>
        <v>TIM A</v>
      </c>
      <c r="D320" s="97" t="s">
        <v>54</v>
      </c>
      <c r="E320" s="99">
        <v>45950.0</v>
      </c>
      <c r="F320" s="100" t="str">
        <f t="shared" si="1"/>
        <v>2025</v>
      </c>
      <c r="G320" s="100" t="str">
        <f t="shared" si="2"/>
        <v>10Okt</v>
      </c>
      <c r="H320" s="100" t="str">
        <f t="shared" si="3"/>
        <v>Senin</v>
      </c>
      <c r="I320" s="97" t="s">
        <v>65</v>
      </c>
      <c r="J320" s="97" t="s">
        <v>79</v>
      </c>
      <c r="K320" s="97" t="s">
        <v>69</v>
      </c>
      <c r="L320" s="101" t="s">
        <v>253</v>
      </c>
      <c r="M320" s="102" t="str">
        <f>IFNA(VLOOKUP(L320,'🙎‍♂️ Pasien'!G:V,2,FALSE),"")</f>
        <v>N5125073362</v>
      </c>
      <c r="N320" s="103">
        <f>IFNA(VLOOKUP(L320,'🙎‍♂️ Pasien'!G:L,3,FALSE),"")</f>
        <v>74</v>
      </c>
      <c r="O320" s="104" t="str">
        <f>IFNA(VLOOKUP(L320,'🙎‍♂️ Pasien'!G:V,6,FALSE),"")</f>
        <v>PEREMPUAN</v>
      </c>
      <c r="P320" s="104" t="str">
        <f>IFNA(VLOOKUP(L320,'🙎‍♂️ Pasien'!G:V,12,FALSE),"")</f>
        <v>ISLAM</v>
      </c>
      <c r="Q320" s="104" t="str">
        <f>IFNA(VLOOKUP(L320:L1508,'🙎‍♂️ Pasien'!G:V,13,FALSE),"")</f>
        <v>PENSIUNAN</v>
      </c>
      <c r="R320" s="104" t="str">
        <f t="array" ref="R320">ifna(xlookup(L320,'🙎‍♂️ Pasien'!$G$5:$G1508,'🙎‍♂️ Pasien'!$T$5:$T1508),"")</f>
        <v>SAKIT PADA LUTUT UNTUK JALAN</v>
      </c>
      <c r="S320" s="104" t="str">
        <f t="array" ref="S320">ifna(xlookup(L320,'🙎‍♂️ Pasien'!$G$5:$G1508,'🙎‍♂️ Pasien'!$U$5:$U1508),"")</f>
        <v>TIDAK ADA</v>
      </c>
      <c r="T320" s="97" t="s">
        <v>59</v>
      </c>
      <c r="U320" s="105" t="s">
        <v>60</v>
      </c>
      <c r="V320" s="101"/>
      <c r="W320" s="106" t="b">
        <v>1</v>
      </c>
      <c r="X320" s="107"/>
      <c r="Y320" s="108"/>
    </row>
    <row r="321" ht="22.5" customHeight="1">
      <c r="A321" s="96"/>
      <c r="B321" s="97" t="s">
        <v>53</v>
      </c>
      <c r="C321" s="98" t="str">
        <f t="array" ref="C321">IFNA(XLOOKUP(J321,'⚙️ Pengaturan'!$H$5:$H1508,'⚙️ Pengaturan'!$I$5:$I1508),"")</f>
        <v>TIM Y</v>
      </c>
      <c r="D321" s="97" t="s">
        <v>54</v>
      </c>
      <c r="E321" s="99">
        <v>45950.0</v>
      </c>
      <c r="F321" s="100" t="str">
        <f t="shared" si="1"/>
        <v>2025</v>
      </c>
      <c r="G321" s="100" t="str">
        <f t="shared" si="2"/>
        <v>10Okt</v>
      </c>
      <c r="H321" s="100" t="str">
        <f t="shared" si="3"/>
        <v>Senin</v>
      </c>
      <c r="I321" s="97" t="s">
        <v>65</v>
      </c>
      <c r="J321" s="97" t="s">
        <v>91</v>
      </c>
      <c r="K321" s="97" t="s">
        <v>57</v>
      </c>
      <c r="L321" s="101" t="s">
        <v>316</v>
      </c>
      <c r="M321" s="102" t="str">
        <f>IFNA(VLOOKUP(L321,'🙎‍♂️ Pasien'!G:V,2,FALSE),"")</f>
        <v>P0125047300</v>
      </c>
      <c r="N321" s="103">
        <f>IFNA(VLOOKUP(L321,'🙎‍♂️ Pasien'!G:L,3,FALSE),"")</f>
        <v>25</v>
      </c>
      <c r="O321" s="104" t="str">
        <f>IFNA(VLOOKUP(L321,'🙎‍♂️ Pasien'!G:V,6,FALSE),"")</f>
        <v>PEREMPUAN</v>
      </c>
      <c r="P321" s="104" t="str">
        <f>IFNA(VLOOKUP(L321,'🙎‍♂️ Pasien'!G:V,12,FALSE),"")</f>
        <v>ISLAM</v>
      </c>
      <c r="Q321" s="104" t="str">
        <f>IFNA(VLOOKUP(L321:L1508,'🙎‍♂️ Pasien'!G:V,13,FALSE),"")</f>
        <v>FREELANCE</v>
      </c>
      <c r="R321" s="104" t="str">
        <f t="array" ref="R321">ifna(xlookup(L321,'🙎‍♂️ Pasien'!$G$5:$G1508,'🙎‍♂️ Pasien'!$T$5:$T1508),"")</f>
        <v>SAKIT PINGGANG</v>
      </c>
      <c r="S321" s="104" t="str">
        <f t="array" ref="S321">ifna(xlookup(L321,'🙎‍♂️ Pasien'!$G$5:$G1508,'🙎‍♂️ Pasien'!$U$5:$U1508),"")</f>
        <v>GYM</v>
      </c>
      <c r="T321" s="97" t="s">
        <v>59</v>
      </c>
      <c r="U321" s="105" t="s">
        <v>60</v>
      </c>
      <c r="V321" s="101" t="s">
        <v>317</v>
      </c>
      <c r="W321" s="106" t="b">
        <v>1</v>
      </c>
      <c r="X321" s="107"/>
      <c r="Y321" s="108"/>
    </row>
    <row r="322" ht="22.5" customHeight="1">
      <c r="A322" s="96"/>
      <c r="B322" s="97" t="s">
        <v>53</v>
      </c>
      <c r="C322" s="98" t="str">
        <f t="array" ref="C322">IFNA(XLOOKUP(J322,'⚙️ Pengaturan'!$H$5:$H1508,'⚙️ Pengaturan'!$I$5:$I1508),"")</f>
        <v>MANAJEMEN</v>
      </c>
      <c r="D322" s="97" t="s">
        <v>54</v>
      </c>
      <c r="E322" s="99">
        <v>45950.0</v>
      </c>
      <c r="F322" s="100" t="str">
        <f t="shared" si="1"/>
        <v>2025</v>
      </c>
      <c r="G322" s="100" t="str">
        <f t="shared" si="2"/>
        <v>10Okt</v>
      </c>
      <c r="H322" s="100" t="str">
        <f t="shared" si="3"/>
        <v>Senin</v>
      </c>
      <c r="I322" s="97" t="s">
        <v>65</v>
      </c>
      <c r="J322" s="97" t="s">
        <v>101</v>
      </c>
      <c r="K322" s="97" t="s">
        <v>63</v>
      </c>
      <c r="L322" s="101" t="s">
        <v>207</v>
      </c>
      <c r="M322" s="102" t="str">
        <f>IFNA(VLOOKUP(L322,'🙎‍♂️ Pasien'!G:V,2,FALSE),"")</f>
        <v>S8625097998</v>
      </c>
      <c r="N322" s="103">
        <f>IFNA(VLOOKUP(L322,'🙎‍♂️ Pasien'!G:L,3,FALSE),"")</f>
        <v>39</v>
      </c>
      <c r="O322" s="104" t="str">
        <f>IFNA(VLOOKUP(L322,'🙎‍♂️ Pasien'!G:V,6,FALSE),"")</f>
        <v>PEREMPUAN</v>
      </c>
      <c r="P322" s="104" t="str">
        <f>IFNA(VLOOKUP(L322,'🙎‍♂️ Pasien'!G:V,12,FALSE),"")</f>
        <v>KATOLIK</v>
      </c>
      <c r="Q322" s="104" t="str">
        <f>IFNA(VLOOKUP(L322:L1508,'🙎‍♂️ Pasien'!G:V,13,FALSE),"")</f>
        <v>IBU RUMAH TANGGA</v>
      </c>
      <c r="R322" s="104" t="str">
        <f t="array" ref="R322">ifna(xlookup(L322,'🙎‍♂️ Pasien'!$G$5:$G1508,'🙎‍♂️ Pasien'!$T$5:$T1508),"")</f>
        <v>BAHU SERING SAKIT</v>
      </c>
      <c r="S322" s="104" t="str">
        <f t="array" ref="S322">ifna(xlookup(L322,'🙎‍♂️ Pasien'!$G$5:$G1508,'🙎‍♂️ Pasien'!$U$5:$U1508),"")</f>
        <v>OLAH RAGA GYM</v>
      </c>
      <c r="T322" s="97" t="s">
        <v>67</v>
      </c>
      <c r="U322" s="105">
        <v>4.0</v>
      </c>
      <c r="V322" s="101" t="s">
        <v>318</v>
      </c>
      <c r="W322" s="106" t="b">
        <v>1</v>
      </c>
      <c r="X322" s="107"/>
      <c r="Y322" s="108"/>
    </row>
    <row r="323" ht="22.5" customHeight="1">
      <c r="A323" s="96"/>
      <c r="B323" s="97" t="s">
        <v>53</v>
      </c>
      <c r="C323" s="98" t="str">
        <f t="array" ref="C323">IFNA(XLOOKUP(J323,'⚙️ Pengaturan'!$H$5:$H1508,'⚙️ Pengaturan'!$I$5:$I1508),"")</f>
        <v>TIM Y</v>
      </c>
      <c r="D323" s="97" t="s">
        <v>54</v>
      </c>
      <c r="E323" s="99">
        <v>45950.0</v>
      </c>
      <c r="F323" s="100" t="str">
        <f t="shared" si="1"/>
        <v>2025</v>
      </c>
      <c r="G323" s="100" t="str">
        <f t="shared" si="2"/>
        <v>10Okt</v>
      </c>
      <c r="H323" s="100" t="str">
        <f t="shared" si="3"/>
        <v>Senin</v>
      </c>
      <c r="I323" s="97" t="s">
        <v>65</v>
      </c>
      <c r="J323" s="97" t="s">
        <v>88</v>
      </c>
      <c r="K323" s="97" t="s">
        <v>63</v>
      </c>
      <c r="L323" s="101" t="s">
        <v>245</v>
      </c>
      <c r="M323" s="102" t="str">
        <f>IFNA(VLOOKUP(L323,'🙎‍♂️ Pasien'!G:V,2,FALSE),"")</f>
        <v>W6524066023</v>
      </c>
      <c r="N323" s="103">
        <f>IFNA(VLOOKUP(L323,'🙎‍♂️ Pasien'!G:L,3,FALSE),"")</f>
        <v>60</v>
      </c>
      <c r="O323" s="104" t="str">
        <f>IFNA(VLOOKUP(L323,'🙎‍♂️ Pasien'!G:V,6,FALSE),"")</f>
        <v>LAKI-LAKI</v>
      </c>
      <c r="P323" s="104" t="str">
        <f>IFNA(VLOOKUP(L323,'🙎‍♂️ Pasien'!G:V,12,FALSE),"")</f>
        <v>BUDDHA</v>
      </c>
      <c r="Q323" s="104" t="str">
        <f>IFNA(VLOOKUP(L323:L1508,'🙎‍♂️ Pasien'!G:V,13,FALSE),"")</f>
        <v>SWASTA</v>
      </c>
      <c r="R323" s="104" t="str">
        <f t="array" ref="R323">ifna(xlookup(L323,'🙎‍♂️ Pasien'!$G$5:$G1508,'🙎‍♂️ Pasien'!$T$5:$T1508),"")</f>
        <v>Stroke</v>
      </c>
      <c r="S323" s="104" t="str">
        <f t="array" ref="S323">ifna(xlookup(L323,'🙎‍♂️ Pasien'!$G$5:$G1508,'🙎‍♂️ Pasien'!$U$5:$U1508),"")</f>
        <v>Tidak ada</v>
      </c>
      <c r="T323" s="97" t="s">
        <v>59</v>
      </c>
      <c r="U323" s="105">
        <v>10.0</v>
      </c>
      <c r="V323" s="101" t="s">
        <v>125</v>
      </c>
      <c r="W323" s="106" t="b">
        <v>1</v>
      </c>
      <c r="X323" s="107"/>
      <c r="Y323" s="108"/>
    </row>
    <row r="324" ht="22.5" customHeight="1">
      <c r="A324" s="96"/>
      <c r="B324" s="97" t="s">
        <v>53</v>
      </c>
      <c r="C324" s="98" t="str">
        <f t="array" ref="C324">IFNA(XLOOKUP(J324,'⚙️ Pengaturan'!$H$5:$H1508,'⚙️ Pengaturan'!$I$5:$I1508),"")</f>
        <v>TIM A</v>
      </c>
      <c r="D324" s="97" t="s">
        <v>54</v>
      </c>
      <c r="E324" s="99">
        <v>45950.0</v>
      </c>
      <c r="F324" s="100" t="str">
        <f t="shared" si="1"/>
        <v>2025</v>
      </c>
      <c r="G324" s="100" t="str">
        <f t="shared" si="2"/>
        <v>10Okt</v>
      </c>
      <c r="H324" s="100" t="str">
        <f t="shared" si="3"/>
        <v>Senin</v>
      </c>
      <c r="I324" s="97" t="s">
        <v>74</v>
      </c>
      <c r="J324" s="97" t="s">
        <v>79</v>
      </c>
      <c r="K324" s="97" t="s">
        <v>63</v>
      </c>
      <c r="L324" s="101" t="s">
        <v>302</v>
      </c>
      <c r="M324" s="102" t="str">
        <f>IFNA(VLOOKUP(L324,'🙎‍♂️ Pasien'!G:V,2,FALSE),"")</f>
        <v>A9425105994</v>
      </c>
      <c r="N324" s="103">
        <f>IFNA(VLOOKUP(L324,'🙎‍♂️ Pasien'!G:L,3,FALSE),"")</f>
        <v>32</v>
      </c>
      <c r="O324" s="104" t="str">
        <f>IFNA(VLOOKUP(L324,'🙎‍♂️ Pasien'!G:V,6,FALSE),"")</f>
        <v>LAKI-LAKI</v>
      </c>
      <c r="P324" s="104" t="str">
        <f>IFNA(VLOOKUP(L324,'🙎‍♂️ Pasien'!G:V,12,FALSE),"")</f>
        <v>ISLAM</v>
      </c>
      <c r="Q324" s="104" t="str">
        <f>IFNA(VLOOKUP(L324:L1508,'🙎‍♂️ Pasien'!G:V,13,FALSE),"")</f>
        <v>KARYAWAN SWASTA</v>
      </c>
      <c r="R324" s="104" t="str">
        <f t="array" ref="R324">ifna(xlookup(L324,'🙎‍♂️ Pasien'!$G$5:$G1508,'🙎‍♂️ Pasien'!$T$5:$T1508),"")</f>
        <v>LUTUT</v>
      </c>
      <c r="S324" s="104" t="str">
        <f t="array" ref="S324">ifna(xlookup(L324,'🙎‍♂️ Pasien'!$G$5:$G1508,'🙎‍♂️ Pasien'!$U$5:$U1508),"")</f>
        <v>OLAGRAGA</v>
      </c>
      <c r="T324" s="97" t="s">
        <v>59</v>
      </c>
      <c r="U324" s="105">
        <v>1.0</v>
      </c>
      <c r="V324" s="101"/>
      <c r="W324" s="106" t="b">
        <v>1</v>
      </c>
      <c r="X324" s="107"/>
      <c r="Y324" s="108"/>
    </row>
    <row r="325" ht="22.5" customHeight="1">
      <c r="A325" s="96"/>
      <c r="B325" s="97" t="s">
        <v>53</v>
      </c>
      <c r="C325" s="98" t="str">
        <f t="array" ref="C325">IFNA(XLOOKUP(J325,'⚙️ Pengaturan'!$H$5:$H1508,'⚙️ Pengaturan'!$I$5:$I1508),"")</f>
        <v>TIM Y</v>
      </c>
      <c r="D325" s="97" t="s">
        <v>54</v>
      </c>
      <c r="E325" s="99">
        <v>45950.0</v>
      </c>
      <c r="F325" s="100" t="str">
        <f t="shared" si="1"/>
        <v>2025</v>
      </c>
      <c r="G325" s="100" t="str">
        <f t="shared" si="2"/>
        <v>10Okt</v>
      </c>
      <c r="H325" s="100" t="str">
        <f t="shared" si="3"/>
        <v>Senin</v>
      </c>
      <c r="I325" s="97" t="s">
        <v>74</v>
      </c>
      <c r="J325" s="97" t="s">
        <v>88</v>
      </c>
      <c r="K325" s="97" t="s">
        <v>69</v>
      </c>
      <c r="L325" s="101" t="s">
        <v>182</v>
      </c>
      <c r="M325" s="102" t="str">
        <f>IFNA(VLOOKUP(L325,'🙎‍♂️ Pasien'!G:V,2,FALSE),"")</f>
        <v>J8823019998</v>
      </c>
      <c r="N325" s="103">
        <f>IFNA(VLOOKUP(L325,'🙎‍♂️ Pasien'!G:L,3,FALSE),"")</f>
        <v>38</v>
      </c>
      <c r="O325" s="104" t="str">
        <f>IFNA(VLOOKUP(L325,'🙎‍♂️ Pasien'!G:V,6,FALSE),"")</f>
        <v>LAKI-LAKI</v>
      </c>
      <c r="P325" s="104" t="str">
        <f>IFNA(VLOOKUP(L325,'🙎‍♂️ Pasien'!G:V,12,FALSE),"")</f>
        <v>BUDDHA</v>
      </c>
      <c r="Q325" s="104" t="str">
        <f>IFNA(VLOOKUP(L325:L1508,'🙎‍♂️ Pasien'!G:V,13,FALSE),"")</f>
        <v>WIRASWASTA</v>
      </c>
      <c r="R325" s="104" t="str">
        <f t="array" ref="R325">ifna(xlookup(L325,'🙎‍♂️ Pasien'!$G$5:$G1508,'🙎‍♂️ Pasien'!$T$5:$T1508),"")</f>
        <v>STROKE</v>
      </c>
      <c r="S325" s="104" t="str">
        <f t="array" ref="S325">ifna(xlookup(L325,'🙎‍♂️ Pasien'!$G$5:$G1508,'🙎‍♂️ Pasien'!$U$5:$U1508),"")</f>
        <v>-</v>
      </c>
      <c r="T325" s="97" t="s">
        <v>67</v>
      </c>
      <c r="U325" s="105" t="s">
        <v>60</v>
      </c>
      <c r="V325" s="101" t="s">
        <v>319</v>
      </c>
      <c r="W325" s="106" t="b">
        <v>1</v>
      </c>
      <c r="X325" s="107"/>
      <c r="Y325" s="108"/>
    </row>
    <row r="326" ht="22.5" customHeight="1">
      <c r="A326" s="96"/>
      <c r="B326" s="97" t="s">
        <v>53</v>
      </c>
      <c r="C326" s="98" t="str">
        <f t="array" ref="C326">IFNA(XLOOKUP(J326,'⚙️ Pengaturan'!$H$5:$H1508,'⚙️ Pengaturan'!$I$5:$I1508),"")</f>
        <v>TIM Y</v>
      </c>
      <c r="D326" s="97" t="s">
        <v>54</v>
      </c>
      <c r="E326" s="99">
        <v>45950.0</v>
      </c>
      <c r="F326" s="100" t="str">
        <f t="shared" si="1"/>
        <v>2025</v>
      </c>
      <c r="G326" s="100" t="str">
        <f t="shared" si="2"/>
        <v>10Okt</v>
      </c>
      <c r="H326" s="100" t="str">
        <f t="shared" si="3"/>
        <v>Senin</v>
      </c>
      <c r="I326" s="97" t="s">
        <v>74</v>
      </c>
      <c r="J326" s="97" t="s">
        <v>88</v>
      </c>
      <c r="K326" s="97" t="s">
        <v>69</v>
      </c>
      <c r="L326" s="101" t="s">
        <v>297</v>
      </c>
      <c r="M326" s="102" t="str">
        <f>IFNA(VLOOKUP(L326,'🙎‍♂️ Pasien'!G:V,2,FALSE),"")</f>
        <v>R8125108947</v>
      </c>
      <c r="N326" s="103">
        <f>IFNA(VLOOKUP(L326,'🙎‍♂️ Pasien'!G:L,3,FALSE),"")</f>
        <v>44</v>
      </c>
      <c r="O326" s="104" t="str">
        <f>IFNA(VLOOKUP(L326,'🙎‍♂️ Pasien'!G:V,6,FALSE),"")</f>
        <v>LAKI-LAKI</v>
      </c>
      <c r="P326" s="104" t="str">
        <f>IFNA(VLOOKUP(L326,'🙎‍♂️ Pasien'!G:V,12,FALSE),"")</f>
        <v>ISLAM</v>
      </c>
      <c r="Q326" s="104" t="str">
        <f>IFNA(VLOOKUP(L326:L1508,'🙎‍♂️ Pasien'!G:V,13,FALSE),"")</f>
        <v>WIRASWASTA</v>
      </c>
      <c r="R326" s="104" t="str">
        <f t="array" ref="R326">ifna(xlookup(L326,'🙎‍♂️ Pasien'!$G$5:$G1508,'🙎‍♂️ Pasien'!$T$5:$T1508),"")</f>
        <v>LBP</v>
      </c>
      <c r="S326" s="104" t="str">
        <f t="array" ref="S326">ifna(xlookup(L326,'🙎‍♂️ Pasien'!$G$5:$G1508,'🙎‍♂️ Pasien'!$U$5:$U1508),"")</f>
        <v>SUPERVISI LAPANGAN</v>
      </c>
      <c r="T326" s="97" t="s">
        <v>59</v>
      </c>
      <c r="U326" s="105" t="s">
        <v>60</v>
      </c>
      <c r="V326" s="101"/>
      <c r="W326" s="106" t="b">
        <v>1</v>
      </c>
      <c r="X326" s="107"/>
      <c r="Y326" s="108"/>
    </row>
    <row r="327" ht="22.5" customHeight="1">
      <c r="A327" s="96"/>
      <c r="B327" s="97" t="s">
        <v>53</v>
      </c>
      <c r="C327" s="98" t="str">
        <f t="array" ref="C327">IFNA(XLOOKUP(J327,'⚙️ Pengaturan'!$H$5:$H1508,'⚙️ Pengaturan'!$I$5:$I1508),"")</f>
        <v>TIM Y</v>
      </c>
      <c r="D327" s="97" t="s">
        <v>54</v>
      </c>
      <c r="E327" s="99">
        <v>45950.0</v>
      </c>
      <c r="F327" s="100" t="str">
        <f t="shared" si="1"/>
        <v>2025</v>
      </c>
      <c r="G327" s="100" t="str">
        <f t="shared" si="2"/>
        <v>10Okt</v>
      </c>
      <c r="H327" s="100" t="str">
        <f t="shared" si="3"/>
        <v>Senin</v>
      </c>
      <c r="I327" s="97" t="s">
        <v>74</v>
      </c>
      <c r="J327" s="97" t="s">
        <v>91</v>
      </c>
      <c r="K327" s="97" t="s">
        <v>57</v>
      </c>
      <c r="L327" s="101" t="s">
        <v>320</v>
      </c>
      <c r="M327" s="102" t="str">
        <f>IFNA(VLOOKUP(L327,'🙎‍♂️ Pasien'!G:V,2,FALSE),"")</f>
        <v>S6325104795</v>
      </c>
      <c r="N327" s="103">
        <f>IFNA(VLOOKUP(L327,'🙎‍♂️ Pasien'!G:L,3,FALSE),"")</f>
        <v>62</v>
      </c>
      <c r="O327" s="104" t="str">
        <f>IFNA(VLOOKUP(L327,'🙎‍♂️ Pasien'!G:V,6,FALSE),"")</f>
        <v>PEREMPUAN</v>
      </c>
      <c r="P327" s="104" t="str">
        <f>IFNA(VLOOKUP(L327,'🙎‍♂️ Pasien'!G:V,12,FALSE),"")</f>
        <v>ISLAM</v>
      </c>
      <c r="Q327" s="104" t="str">
        <f>IFNA(VLOOKUP(L327:L1508,'🙎‍♂️ Pasien'!G:V,13,FALSE),"")</f>
        <v>PENSIUN</v>
      </c>
      <c r="R327" s="104" t="str">
        <f t="array" ref="R327">ifna(xlookup(L327,'🙎‍♂️ Pasien'!$G$5:$G1508,'🙎‍♂️ Pasien'!$T$5:$T1508),"")</f>
        <v>SAKIT AREA PINGGANG DAN PUNGGUNG SETELAH JATUH DARI TANGGA</v>
      </c>
      <c r="S327" s="104" t="str">
        <f t="array" ref="S327">ifna(xlookup(L327,'🙎‍♂️ Pasien'!$G$5:$G1508,'🙎‍♂️ Pasien'!$U$5:$U1508),"")</f>
        <v>HABIS JEMUR PAKAIAN DILANTAI ATAS, TERPLESET DITANGGA</v>
      </c>
      <c r="T327" s="97" t="s">
        <v>59</v>
      </c>
      <c r="U327" s="105" t="s">
        <v>60</v>
      </c>
      <c r="V327" s="101"/>
      <c r="W327" s="106" t="b">
        <v>1</v>
      </c>
      <c r="X327" s="107"/>
      <c r="Y327" s="108"/>
    </row>
    <row r="328" ht="22.5" customHeight="1">
      <c r="A328" s="96"/>
      <c r="B328" s="97" t="s">
        <v>53</v>
      </c>
      <c r="C328" s="98" t="str">
        <f t="array" ref="C328">IFNA(XLOOKUP(J328,'⚙️ Pengaturan'!$H$5:$H1508,'⚙️ Pengaturan'!$I$5:$I1508),"")</f>
        <v>TIM Y</v>
      </c>
      <c r="D328" s="97" t="s">
        <v>54</v>
      </c>
      <c r="E328" s="99">
        <v>45950.0</v>
      </c>
      <c r="F328" s="100" t="str">
        <f t="shared" si="1"/>
        <v>2025</v>
      </c>
      <c r="G328" s="100" t="str">
        <f t="shared" si="2"/>
        <v>10Okt</v>
      </c>
      <c r="H328" s="100" t="str">
        <f t="shared" si="3"/>
        <v>Senin</v>
      </c>
      <c r="I328" s="97" t="s">
        <v>76</v>
      </c>
      <c r="J328" s="97" t="s">
        <v>91</v>
      </c>
      <c r="K328" s="97" t="s">
        <v>63</v>
      </c>
      <c r="L328" s="101" t="s">
        <v>113</v>
      </c>
      <c r="M328" s="102" t="str">
        <f>IFNA(VLOOKUP(L328,'🙎‍♂️ Pasien'!G:V,2,FALSE),"")</f>
        <v>H5325098176</v>
      </c>
      <c r="N328" s="103">
        <f>IFNA(VLOOKUP(L328,'🙎‍♂️ Pasien'!G:L,3,FALSE),"")</f>
        <v>73</v>
      </c>
      <c r="O328" s="104" t="str">
        <f>IFNA(VLOOKUP(L328,'🙎‍♂️ Pasien'!G:V,6,FALSE),"")</f>
        <v>LAKI-LAKI</v>
      </c>
      <c r="P328" s="104" t="str">
        <f>IFNA(VLOOKUP(L328,'🙎‍♂️ Pasien'!G:V,12,FALSE),"")</f>
        <v>BUDDHA</v>
      </c>
      <c r="Q328" s="104" t="str">
        <f>IFNA(VLOOKUP(L328:L1508,'🙎‍♂️ Pasien'!G:V,13,FALSE),"")</f>
        <v>PENSIUN</v>
      </c>
      <c r="R328" s="104" t="str">
        <f t="array" ref="R328">ifna(xlookup(L328,'🙎‍♂️ Pasien'!$G$5:$G1508,'🙎‍♂️ Pasien'!$T$5:$T1508),"")</f>
        <v>KAKI GAK BISA JONGKOK</v>
      </c>
      <c r="S328" s="104" t="str">
        <f t="array" ref="S328">ifna(xlookup(L328,'🙎‍♂️ Pasien'!$G$5:$G1508,'🙎‍♂️ Pasien'!$U$5:$U1508),"")</f>
        <v>——</v>
      </c>
      <c r="T328" s="97" t="s">
        <v>59</v>
      </c>
      <c r="U328" s="105">
        <v>7.0</v>
      </c>
      <c r="V328" s="101"/>
      <c r="W328" s="106" t="b">
        <v>1</v>
      </c>
      <c r="X328" s="107"/>
      <c r="Y328" s="108"/>
    </row>
    <row r="329" ht="22.5" customHeight="1">
      <c r="A329" s="96"/>
      <c r="B329" s="97" t="s">
        <v>53</v>
      </c>
      <c r="C329" s="98" t="str">
        <f t="array" ref="C329">IFNA(XLOOKUP(J329,'⚙️ Pengaturan'!$H$5:$H1508,'⚙️ Pengaturan'!$I$5:$I1508),"")</f>
        <v>TIM Y</v>
      </c>
      <c r="D329" s="97" t="s">
        <v>54</v>
      </c>
      <c r="E329" s="99">
        <v>45950.0</v>
      </c>
      <c r="F329" s="100" t="str">
        <f t="shared" si="1"/>
        <v>2025</v>
      </c>
      <c r="G329" s="100" t="str">
        <f t="shared" si="2"/>
        <v>10Okt</v>
      </c>
      <c r="H329" s="100" t="str">
        <f t="shared" si="3"/>
        <v>Senin</v>
      </c>
      <c r="I329" s="97" t="s">
        <v>83</v>
      </c>
      <c r="J329" s="97" t="s">
        <v>88</v>
      </c>
      <c r="K329" s="97" t="s">
        <v>63</v>
      </c>
      <c r="L329" s="101" t="s">
        <v>104</v>
      </c>
      <c r="M329" s="102" t="str">
        <f>IFNA(VLOOKUP(L329,'🙎‍♂️ Pasien'!G:V,2,FALSE),"")</f>
        <v>F4925091811</v>
      </c>
      <c r="N329" s="103">
        <f>IFNA(VLOOKUP(L329,'🙎‍♂️ Pasien'!G:L,3,FALSE),"")</f>
        <v>76</v>
      </c>
      <c r="O329" s="104" t="str">
        <f>IFNA(VLOOKUP(L329,'🙎‍♂️ Pasien'!G:V,6,FALSE),"")</f>
        <v>LAKI-LAKI</v>
      </c>
      <c r="P329" s="104" t="str">
        <f>IFNA(VLOOKUP(L329,'🙎‍♂️ Pasien'!G:V,12,FALSE),"")</f>
        <v>KHONGHUCU</v>
      </c>
      <c r="Q329" s="104" t="str">
        <f>IFNA(VLOOKUP(L329:L1508,'🙎‍♂️ Pasien'!G:V,13,FALSE),"")</f>
        <v>PENSIUN</v>
      </c>
      <c r="R329" s="104" t="str">
        <f t="array" ref="R329">ifna(xlookup(L329,'🙎‍♂️ Pasien'!$G$5:$G1508,'🙎‍♂️ Pasien'!$T$5:$T1508),"")</f>
        <v>KAKI GA KUAT</v>
      </c>
      <c r="S329" s="104" t="str">
        <f t="array" ref="S329">ifna(xlookup(L329,'🙎‍♂️ Pasien'!$G$5:$G1508,'🙎‍♂️ Pasien'!$U$5:$U1508),"")</f>
        <v>BERJALAN MENGGUNAKAN TONGKAT</v>
      </c>
      <c r="T329" s="97" t="s">
        <v>59</v>
      </c>
      <c r="U329" s="105">
        <v>5.0</v>
      </c>
      <c r="V329" s="101"/>
      <c r="W329" s="106" t="b">
        <v>1</v>
      </c>
      <c r="X329" s="107"/>
      <c r="Y329" s="108"/>
    </row>
    <row r="330" ht="22.5" customHeight="1">
      <c r="A330" s="96"/>
      <c r="B330" s="97" t="s">
        <v>85</v>
      </c>
      <c r="C330" s="98" t="str">
        <f t="array" ref="C330">IFNA(XLOOKUP(J330,'⚙️ Pengaturan'!$H$5:$H1508,'⚙️ Pengaturan'!$I$5:$I1508),"")</f>
        <v>TIM A</v>
      </c>
      <c r="D330" s="97" t="s">
        <v>86</v>
      </c>
      <c r="E330" s="99">
        <v>45950.0</v>
      </c>
      <c r="F330" s="100" t="str">
        <f t="shared" si="1"/>
        <v>2025</v>
      </c>
      <c r="G330" s="100" t="str">
        <f t="shared" si="2"/>
        <v>10Okt</v>
      </c>
      <c r="H330" s="100" t="str">
        <f t="shared" si="3"/>
        <v>Senin</v>
      </c>
      <c r="I330" s="97" t="s">
        <v>87</v>
      </c>
      <c r="J330" s="97" t="s">
        <v>62</v>
      </c>
      <c r="K330" s="97" t="s">
        <v>63</v>
      </c>
      <c r="L330" s="101" t="s">
        <v>174</v>
      </c>
      <c r="M330" s="102" t="str">
        <f>IFNA(VLOOKUP(L330,'🙎‍♂️ Pasien'!G:V,2,FALSE),"")</f>
        <v>F6925098775</v>
      </c>
      <c r="N330" s="103">
        <f>IFNA(VLOOKUP(L330,'🙎‍♂️ Pasien'!G:L,3,FALSE),"")</f>
        <v>56</v>
      </c>
      <c r="O330" s="104" t="str">
        <f>IFNA(VLOOKUP(L330,'🙎‍♂️ Pasien'!G:V,6,FALSE),"")</f>
        <v>PEREMPUAN</v>
      </c>
      <c r="P330" s="104" t="str">
        <f>IFNA(VLOOKUP(L330,'🙎‍♂️ Pasien'!G:V,12,FALSE),"")</f>
        <v>BUDDHA</v>
      </c>
      <c r="Q330" s="104" t="str">
        <f>IFNA(VLOOKUP(L330:L1508,'🙎‍♂️ Pasien'!G:V,13,FALSE),"")</f>
        <v>IRT</v>
      </c>
      <c r="R330" s="104" t="str">
        <f t="array" ref="R330">ifna(xlookup(L330,'🙎‍♂️ Pasien'!$G$5:$G1508,'🙎‍♂️ Pasien'!$T$5:$T1508),"")</f>
        <v>LUTUT (POST OP TKR)</v>
      </c>
      <c r="S330" s="104" t="str">
        <f t="array" ref="S330">ifna(xlookup(L330,'🙎‍♂️ Pasien'!$G$5:$G1508,'🙎‍♂️ Pasien'!$U$5:$U1508),"")</f>
        <v>PEKERJAAAN RUMAH TANGGA</v>
      </c>
      <c r="T330" s="97" t="s">
        <v>67</v>
      </c>
      <c r="U330" s="105">
        <v>4.0</v>
      </c>
      <c r="V330" s="101" t="s">
        <v>321</v>
      </c>
      <c r="W330" s="106" t="b">
        <v>1</v>
      </c>
      <c r="X330" s="107"/>
      <c r="Y330" s="108"/>
    </row>
    <row r="331" ht="22.5" customHeight="1">
      <c r="A331" s="96"/>
      <c r="B331" s="97" t="s">
        <v>85</v>
      </c>
      <c r="C331" s="98" t="str">
        <f t="array" ref="C331">IFNA(XLOOKUP(J331,'⚙️ Pengaturan'!$H$5:$H1508,'⚙️ Pengaturan'!$I$5:$I1508),"")</f>
        <v>TIM Y</v>
      </c>
      <c r="D331" s="97" t="s">
        <v>86</v>
      </c>
      <c r="E331" s="99">
        <v>45950.0</v>
      </c>
      <c r="F331" s="100" t="str">
        <f t="shared" si="1"/>
        <v>2025</v>
      </c>
      <c r="G331" s="100" t="str">
        <f t="shared" si="2"/>
        <v>10Okt</v>
      </c>
      <c r="H331" s="100" t="str">
        <f t="shared" si="3"/>
        <v>Senin</v>
      </c>
      <c r="I331" s="97" t="s">
        <v>87</v>
      </c>
      <c r="J331" s="97" t="s">
        <v>56</v>
      </c>
      <c r="K331" s="97" t="s">
        <v>63</v>
      </c>
      <c r="L331" s="101" t="s">
        <v>119</v>
      </c>
      <c r="M331" s="102" t="str">
        <f>IFNA(VLOOKUP(L331,'🙎‍♂️ Pasien'!G:V,2,FALSE),"")</f>
        <v>H4623015667</v>
      </c>
      <c r="N331" s="103">
        <f>IFNA(VLOOKUP(L331,'🙎‍♂️ Pasien'!G:L,3,FALSE),"")</f>
        <v>80</v>
      </c>
      <c r="O331" s="104" t="str">
        <f>IFNA(VLOOKUP(L331,'🙎‍♂️ Pasien'!G:V,6,FALSE),"")</f>
        <v>LAKI-LAKI</v>
      </c>
      <c r="P331" s="104" t="str">
        <f>IFNA(VLOOKUP(L331,'🙎‍♂️ Pasien'!G:V,12,FALSE),"")</f>
        <v>ISLAM</v>
      </c>
      <c r="Q331" s="104" t="str">
        <f>IFNA(VLOOKUP(L331:L1508,'🙎‍♂️ Pasien'!G:V,13,FALSE),"")</f>
        <v>PENSIUN</v>
      </c>
      <c r="R331" s="104" t="str">
        <f t="array" ref="R331">ifna(xlookup(L331,'🙎‍♂️ Pasien'!$G$5:$G1508,'🙎‍♂️ Pasien'!$T$5:$T1508),"")</f>
        <v>STROKE</v>
      </c>
      <c r="S331" s="104" t="str">
        <f t="array" ref="S331">ifna(xlookup(L331,'🙎‍♂️ Pasien'!$G$5:$G1508,'🙎‍♂️ Pasien'!$U$5:$U1508),"")</f>
        <v/>
      </c>
      <c r="T331" s="97" t="s">
        <v>59</v>
      </c>
      <c r="U331" s="105">
        <v>3.0</v>
      </c>
      <c r="V331" s="101"/>
      <c r="W331" s="106" t="b">
        <v>1</v>
      </c>
      <c r="X331" s="107"/>
      <c r="Y331" s="108"/>
    </row>
    <row r="332" ht="22.5" customHeight="1">
      <c r="A332" s="96"/>
      <c r="B332" s="97" t="s">
        <v>85</v>
      </c>
      <c r="C332" s="98" t="str">
        <f t="array" ref="C332">IFNA(XLOOKUP(J332,'⚙️ Pengaturan'!$H$5:$H1508,'⚙️ Pengaturan'!$I$5:$I1508),"")</f>
        <v>TIM A</v>
      </c>
      <c r="D332" s="97" t="s">
        <v>86</v>
      </c>
      <c r="E332" s="99">
        <v>45950.0</v>
      </c>
      <c r="F332" s="100" t="str">
        <f t="shared" si="1"/>
        <v>2025</v>
      </c>
      <c r="G332" s="100" t="str">
        <f t="shared" si="2"/>
        <v>10Okt</v>
      </c>
      <c r="H332" s="100" t="str">
        <f t="shared" si="3"/>
        <v>Senin</v>
      </c>
      <c r="I332" s="97" t="s">
        <v>93</v>
      </c>
      <c r="J332" s="97" t="s">
        <v>72</v>
      </c>
      <c r="K332" s="97" t="s">
        <v>63</v>
      </c>
      <c r="L332" s="101" t="s">
        <v>96</v>
      </c>
      <c r="M332" s="102" t="str">
        <f>IFNA(VLOOKUP(L332,'🙎‍♂️ Pasien'!G:V,2,FALSE),"")</f>
        <v>A0925094650</v>
      </c>
      <c r="N332" s="103">
        <f>IFNA(VLOOKUP(L332,'🙎‍♂️ Pasien'!G:L,3,FALSE),"")</f>
        <v>17</v>
      </c>
      <c r="O332" s="104" t="str">
        <f>IFNA(VLOOKUP(L332,'🙎‍♂️ Pasien'!G:V,6,FALSE),"")</f>
        <v>LAKI-LAKI</v>
      </c>
      <c r="P332" s="104" t="str">
        <f>IFNA(VLOOKUP(L332,'🙎‍♂️ Pasien'!G:V,12,FALSE),"")</f>
        <v>ISLAM</v>
      </c>
      <c r="Q332" s="104" t="str">
        <f>IFNA(VLOOKUP(L332:L1508,'🙎‍♂️ Pasien'!G:V,13,FALSE),"")</f>
        <v>PELAJAR</v>
      </c>
      <c r="R332" s="104" t="str">
        <f t="array" ref="R332">ifna(xlookup(L332,'🙎‍♂️ Pasien'!$G$5:$G1508,'🙎‍♂️ Pasien'!$T$5:$T1508),"")</f>
        <v>LUTUT</v>
      </c>
      <c r="S332" s="104" t="str">
        <f t="array" ref="S332">ifna(xlookup(L332,'🙎‍♂️ Pasien'!$G$5:$G1508,'🙎‍♂️ Pasien'!$U$5:$U1508),"")</f>
        <v>FUTSAL</v>
      </c>
      <c r="T332" s="97" t="s">
        <v>67</v>
      </c>
      <c r="U332" s="105">
        <v>9.0</v>
      </c>
      <c r="V332" s="101" t="s">
        <v>322</v>
      </c>
      <c r="W332" s="106" t="b">
        <v>1</v>
      </c>
      <c r="X332" s="107"/>
      <c r="Y332" s="108"/>
    </row>
    <row r="333" ht="22.5" customHeight="1">
      <c r="A333" s="96"/>
      <c r="B333" s="97" t="s">
        <v>85</v>
      </c>
      <c r="C333" s="98" t="str">
        <f t="array" ref="C333">IFNA(XLOOKUP(J333,'⚙️ Pengaturan'!$H$5:$H1508,'⚙️ Pengaturan'!$I$5:$I1508),"")</f>
        <v>TIM Y</v>
      </c>
      <c r="D333" s="97" t="s">
        <v>86</v>
      </c>
      <c r="E333" s="99">
        <v>45950.0</v>
      </c>
      <c r="F333" s="100" t="str">
        <f t="shared" si="1"/>
        <v>2025</v>
      </c>
      <c r="G333" s="100" t="str">
        <f t="shared" si="2"/>
        <v>10Okt</v>
      </c>
      <c r="H333" s="100" t="str">
        <f t="shared" si="3"/>
        <v>Senin</v>
      </c>
      <c r="I333" s="97" t="s">
        <v>93</v>
      </c>
      <c r="J333" s="97" t="s">
        <v>56</v>
      </c>
      <c r="K333" s="97" t="s">
        <v>69</v>
      </c>
      <c r="L333" s="101" t="s">
        <v>323</v>
      </c>
      <c r="M333" s="102" t="str">
        <f>IFNA(VLOOKUP(L333,'🙎‍♂️ Pasien'!G:V,2,FALSE),"")</f>
        <v>E0025103200</v>
      </c>
      <c r="N333" s="103">
        <f>IFNA(VLOOKUP(L333,'🙎‍♂️ Pasien'!G:L,3,FALSE),"")</f>
        <v>26</v>
      </c>
      <c r="O333" s="104" t="str">
        <f>IFNA(VLOOKUP(L333,'🙎‍♂️ Pasien'!G:V,6,FALSE),"")</f>
        <v>LAKI-LAKI</v>
      </c>
      <c r="P333" s="104" t="str">
        <f>IFNA(VLOOKUP(L333,'🙎‍♂️ Pasien'!G:V,12,FALSE),"")</f>
        <v>PROTESTAN</v>
      </c>
      <c r="Q333" s="104" t="str">
        <f>IFNA(VLOOKUP(L333:L1508,'🙎‍♂️ Pasien'!G:V,13,FALSE),"")</f>
        <v>WIRASWAATA</v>
      </c>
      <c r="R333" s="104" t="str">
        <f t="array" ref="R333">ifna(xlookup(L333,'🙎‍♂️ Pasien'!$G$5:$G1508,'🙎‍♂️ Pasien'!$T$5:$T1508),"")</f>
        <v>HEEL PAIN</v>
      </c>
      <c r="S333" s="104" t="str">
        <f t="array" ref="S333">ifna(xlookup(L333,'🙎‍♂️ Pasien'!$G$5:$G1508,'🙎‍♂️ Pasien'!$U$5:$U1508),"")</f>
        <v>MINI SOCCER, RUNNING</v>
      </c>
      <c r="T333" s="97" t="s">
        <v>59</v>
      </c>
      <c r="U333" s="105" t="s">
        <v>60</v>
      </c>
      <c r="V333" s="101"/>
      <c r="W333" s="106" t="b">
        <v>1</v>
      </c>
      <c r="X333" s="107"/>
      <c r="Y333" s="108"/>
    </row>
    <row r="334" ht="22.5" customHeight="1">
      <c r="A334" s="96"/>
      <c r="B334" s="97" t="s">
        <v>85</v>
      </c>
      <c r="C334" s="98" t="str">
        <f t="array" ref="C334">IFNA(XLOOKUP(J334,'⚙️ Pengaturan'!$H$5:$H1508,'⚙️ Pengaturan'!$I$5:$I1508),"")</f>
        <v>TIM A</v>
      </c>
      <c r="D334" s="97" t="s">
        <v>86</v>
      </c>
      <c r="E334" s="99">
        <v>45950.0</v>
      </c>
      <c r="F334" s="100" t="str">
        <f t="shared" si="1"/>
        <v>2025</v>
      </c>
      <c r="G334" s="100" t="str">
        <f t="shared" si="2"/>
        <v>10Okt</v>
      </c>
      <c r="H334" s="100" t="str">
        <f t="shared" si="3"/>
        <v>Senin</v>
      </c>
      <c r="I334" s="97" t="s">
        <v>95</v>
      </c>
      <c r="J334" s="97" t="s">
        <v>72</v>
      </c>
      <c r="K334" s="97" t="s">
        <v>69</v>
      </c>
      <c r="L334" s="101" t="s">
        <v>288</v>
      </c>
      <c r="M334" s="102" t="str">
        <f>IFNA(VLOOKUP(L334,'🙎‍♂️ Pasien'!G:V,2,FALSE),"")</f>
        <v>E9925108783</v>
      </c>
      <c r="N334" s="103">
        <f>IFNA(VLOOKUP(L334,'🙎‍♂️ Pasien'!G:L,3,FALSE),"")</f>
        <v>26</v>
      </c>
      <c r="O334" s="104" t="str">
        <f>IFNA(VLOOKUP(L334,'🙎‍♂️ Pasien'!G:V,6,FALSE),"")</f>
        <v>LAKI-LAKI</v>
      </c>
      <c r="P334" s="104" t="str">
        <f>IFNA(VLOOKUP(L334,'🙎‍♂️ Pasien'!G:V,12,FALSE),"")</f>
        <v>KATOLIK</v>
      </c>
      <c r="Q334" s="104" t="str">
        <f>IFNA(VLOOKUP(L334:L1508,'🙎‍♂️ Pasien'!G:V,13,FALSE),"")</f>
        <v>WIRASWASTA</v>
      </c>
      <c r="R334" s="104" t="str">
        <f t="array" ref="R334">ifna(xlookup(L334,'🙎‍♂️ Pasien'!$G$5:$G1508,'🙎‍♂️ Pasien'!$T$5:$T1508),"")</f>
        <v>TERAPI PASCA LATIHAN</v>
      </c>
      <c r="S334" s="104" t="str">
        <f t="array" ref="S334">ifna(xlookup(L334,'🙎‍♂️ Pasien'!$G$5:$G1508,'🙎‍♂️ Pasien'!$U$5:$U1508),"")</f>
        <v>LARI</v>
      </c>
      <c r="T334" s="97" t="s">
        <v>67</v>
      </c>
      <c r="U334" s="105" t="s">
        <v>60</v>
      </c>
      <c r="V334" s="101" t="s">
        <v>324</v>
      </c>
      <c r="W334" s="106" t="b">
        <v>1</v>
      </c>
      <c r="X334" s="107"/>
      <c r="Y334" s="108"/>
    </row>
    <row r="335" ht="22.5" customHeight="1">
      <c r="A335" s="96"/>
      <c r="B335" s="97" t="s">
        <v>85</v>
      </c>
      <c r="C335" s="98" t="str">
        <f t="array" ref="C335">IFNA(XLOOKUP(J335,'⚙️ Pengaturan'!$H$5:$H1508,'⚙️ Pengaturan'!$I$5:$I1508),"")</f>
        <v>TIM A</v>
      </c>
      <c r="D335" s="97" t="s">
        <v>86</v>
      </c>
      <c r="E335" s="99">
        <v>45950.0</v>
      </c>
      <c r="F335" s="100" t="str">
        <f t="shared" si="1"/>
        <v>2025</v>
      </c>
      <c r="G335" s="100" t="str">
        <f t="shared" si="2"/>
        <v>10Okt</v>
      </c>
      <c r="H335" s="100" t="str">
        <f t="shared" si="3"/>
        <v>Senin</v>
      </c>
      <c r="I335" s="97" t="s">
        <v>95</v>
      </c>
      <c r="J335" s="97" t="s">
        <v>62</v>
      </c>
      <c r="K335" s="97" t="s">
        <v>69</v>
      </c>
      <c r="L335" s="101" t="s">
        <v>263</v>
      </c>
      <c r="M335" s="102" t="str">
        <f>IFNA(VLOOKUP(L335,'🙎‍♂️ Pasien'!G:V,2,FALSE),"")</f>
        <v>F0625102235</v>
      </c>
      <c r="N335" s="103">
        <f>IFNA(VLOOKUP(L335,'🙎‍♂️ Pasien'!G:L,3,FALSE),"")</f>
        <v>20</v>
      </c>
      <c r="O335" s="104" t="str">
        <f>IFNA(VLOOKUP(L335,'🙎‍♂️ Pasien'!G:V,6,FALSE),"")</f>
        <v>PEREMPUAN</v>
      </c>
      <c r="P335" s="104" t="str">
        <f>IFNA(VLOOKUP(L335,'🙎‍♂️ Pasien'!G:V,12,FALSE),"")</f>
        <v>ISLAM</v>
      </c>
      <c r="Q335" s="104" t="str">
        <f>IFNA(VLOOKUP(L335:L1508,'🙎‍♂️ Pasien'!G:V,13,FALSE),"")</f>
        <v>KARYAWAN SWASTA</v>
      </c>
      <c r="R335" s="104" t="str">
        <f t="array" ref="R335">ifna(xlookup(L335,'🙎‍♂️ Pasien'!$G$5:$G1508,'🙎‍♂️ Pasien'!$T$5:$T1508),"")</f>
        <v>TANGAN KANAN SAKIT TIDAK BISA DIANGKAT</v>
      </c>
      <c r="S335" s="104" t="str">
        <f t="array" ref="S335">ifna(xlookup(L335,'🙎‍♂️ Pasien'!$G$5:$G1508,'🙎‍♂️ Pasien'!$U$5:$U1508),"")</f>
        <v>MEMBUAT CROISSANT RAMBUT YG MENGHARUSKAN MENGANGKAT TANGAN</v>
      </c>
      <c r="T335" s="97" t="s">
        <v>59</v>
      </c>
      <c r="U335" s="105" t="s">
        <v>60</v>
      </c>
      <c r="V335" s="101"/>
      <c r="W335" s="106" t="b">
        <v>1</v>
      </c>
      <c r="X335" s="107"/>
      <c r="Y335" s="108"/>
    </row>
    <row r="336" ht="22.5" customHeight="1">
      <c r="A336" s="96"/>
      <c r="B336" s="97" t="s">
        <v>85</v>
      </c>
      <c r="C336" s="98" t="str">
        <f t="array" ref="C336">IFNA(XLOOKUP(J336,'⚙️ Pengaturan'!$H$5:$H1508,'⚙️ Pengaturan'!$I$5:$I1508),"")</f>
        <v>TIM Y</v>
      </c>
      <c r="D336" s="97" t="s">
        <v>86</v>
      </c>
      <c r="E336" s="99">
        <v>45950.0</v>
      </c>
      <c r="F336" s="100" t="str">
        <f t="shared" si="1"/>
        <v>2025</v>
      </c>
      <c r="G336" s="100" t="str">
        <f t="shared" si="2"/>
        <v>10Okt</v>
      </c>
      <c r="H336" s="100" t="str">
        <f t="shared" si="3"/>
        <v>Senin</v>
      </c>
      <c r="I336" s="97" t="s">
        <v>95</v>
      </c>
      <c r="J336" s="97" t="s">
        <v>56</v>
      </c>
      <c r="K336" s="97" t="s">
        <v>57</v>
      </c>
      <c r="L336" s="101" t="s">
        <v>325</v>
      </c>
      <c r="M336" s="102" t="str">
        <f>IFNA(VLOOKUP(L336,'🙎‍♂️ Pasien'!G:V,2,FALSE),"")</f>
        <v>M9825103838</v>
      </c>
      <c r="N336" s="103">
        <f>IFNA(VLOOKUP(L336,'🙎‍♂️ Pasien'!G:L,3,FALSE),"")</f>
        <v>27</v>
      </c>
      <c r="O336" s="104" t="str">
        <f>IFNA(VLOOKUP(L336,'🙎‍♂️ Pasien'!G:V,6,FALSE),"")</f>
        <v>LAKI-LAKI</v>
      </c>
      <c r="P336" s="104" t="str">
        <f>IFNA(VLOOKUP(L336,'🙎‍♂️ Pasien'!G:V,12,FALSE),"")</f>
        <v>ISLAM</v>
      </c>
      <c r="Q336" s="104" t="str">
        <f>IFNA(VLOOKUP(L336:L1508,'🙎‍♂️ Pasien'!G:V,13,FALSE),"")</f>
        <v>MAHASISWA</v>
      </c>
      <c r="R336" s="104" t="str">
        <f t="array" ref="R336">ifna(xlookup(L336,'🙎‍♂️ Pasien'!$G$5:$G1508,'🙎‍♂️ Pasien'!$T$5:$T1508),"")</f>
        <v>KAKI</v>
      </c>
      <c r="S336" s="104" t="str">
        <f t="array" ref="S336">ifna(xlookup(L336,'🙎‍♂️ Pasien'!$G$5:$G1508,'🙎‍♂️ Pasien'!$U$5:$U1508),"")</f>
        <v>-</v>
      </c>
      <c r="T336" s="97" t="s">
        <v>59</v>
      </c>
      <c r="U336" s="105" t="s">
        <v>60</v>
      </c>
      <c r="V336" s="101"/>
      <c r="W336" s="106" t="b">
        <v>1</v>
      </c>
      <c r="X336" s="107"/>
      <c r="Y336" s="108"/>
    </row>
    <row r="337" ht="22.5" customHeight="1">
      <c r="A337" s="96"/>
      <c r="B337" s="97" t="s">
        <v>85</v>
      </c>
      <c r="C337" s="98" t="str">
        <f t="array" ref="C337">IFNA(XLOOKUP(J337,'⚙️ Pengaturan'!$H$5:$H1508,'⚙️ Pengaturan'!$I$5:$I1508),"")</f>
        <v>TIM Y</v>
      </c>
      <c r="D337" s="97" t="s">
        <v>86</v>
      </c>
      <c r="E337" s="99">
        <v>45950.0</v>
      </c>
      <c r="F337" s="100" t="str">
        <f t="shared" si="1"/>
        <v>2025</v>
      </c>
      <c r="G337" s="100" t="str">
        <f t="shared" si="2"/>
        <v>10Okt</v>
      </c>
      <c r="H337" s="100" t="str">
        <f t="shared" si="3"/>
        <v>Senin</v>
      </c>
      <c r="I337" s="97" t="s">
        <v>97</v>
      </c>
      <c r="J337" s="97" t="s">
        <v>56</v>
      </c>
      <c r="K337" s="97" t="s">
        <v>63</v>
      </c>
      <c r="L337" s="101" t="s">
        <v>190</v>
      </c>
      <c r="M337" s="102" t="str">
        <f>IFNA(VLOOKUP(L337,'🙎‍♂️ Pasien'!G:V,2,FALSE),"")</f>
        <v>A9025108786</v>
      </c>
      <c r="N337" s="103">
        <f>IFNA(VLOOKUP(L337,'🙎‍♂️ Pasien'!G:L,3,FALSE),"")</f>
        <v>35</v>
      </c>
      <c r="O337" s="104" t="str">
        <f>IFNA(VLOOKUP(L337,'🙎‍♂️ Pasien'!G:V,6,FALSE),"")</f>
        <v>LAKI-LAKI</v>
      </c>
      <c r="P337" s="104" t="str">
        <f>IFNA(VLOOKUP(L337,'🙎‍♂️ Pasien'!G:V,12,FALSE),"")</f>
        <v>ISLAM</v>
      </c>
      <c r="Q337" s="104" t="str">
        <f>IFNA(VLOOKUP(L337:L1508,'🙎‍♂️ Pasien'!G:V,13,FALSE),"")</f>
        <v>WIRASWASTA</v>
      </c>
      <c r="R337" s="104" t="str">
        <f t="array" ref="R337">ifna(xlookup(L337,'🙎‍♂️ Pasien'!$G$5:$G1508,'🙎‍♂️ Pasien'!$T$5:$T1508),"")</f>
        <v>KESELEO PADA BAGIAN LUTUT</v>
      </c>
      <c r="S337" s="104" t="str">
        <f t="array" ref="S337">ifna(xlookup(L337,'🙎‍♂️ Pasien'!$G$5:$G1508,'🙎‍♂️ Pasien'!$U$5:$U1508),"")</f>
        <v>BERMAIN BOLA</v>
      </c>
      <c r="T337" s="97" t="s">
        <v>67</v>
      </c>
      <c r="U337" s="105">
        <v>4.0</v>
      </c>
      <c r="V337" s="101" t="s">
        <v>212</v>
      </c>
      <c r="W337" s="106" t="b">
        <v>1</v>
      </c>
      <c r="X337" s="107"/>
      <c r="Y337" s="108"/>
    </row>
    <row r="338" ht="22.5" customHeight="1">
      <c r="A338" s="96"/>
      <c r="B338" s="97" t="s">
        <v>85</v>
      </c>
      <c r="C338" s="98" t="str">
        <f t="array" ref="C338">IFNA(XLOOKUP(J338,'⚙️ Pengaturan'!$H$5:$H1508,'⚙️ Pengaturan'!$I$5:$I1508),"")</f>
        <v>TIM A</v>
      </c>
      <c r="D338" s="97" t="s">
        <v>86</v>
      </c>
      <c r="E338" s="99">
        <v>45950.0</v>
      </c>
      <c r="F338" s="100" t="str">
        <f t="shared" si="1"/>
        <v>2025</v>
      </c>
      <c r="G338" s="100" t="str">
        <f t="shared" si="2"/>
        <v>10Okt</v>
      </c>
      <c r="H338" s="100" t="str">
        <f t="shared" si="3"/>
        <v>Senin</v>
      </c>
      <c r="I338" s="97" t="s">
        <v>97</v>
      </c>
      <c r="J338" s="97" t="s">
        <v>72</v>
      </c>
      <c r="K338" s="97" t="s">
        <v>63</v>
      </c>
      <c r="L338" s="101" t="s">
        <v>129</v>
      </c>
      <c r="M338" s="102" t="str">
        <f>IFNA(VLOOKUP(L338,'🙎‍♂️ Pasien'!G:V,2,FALSE),"")</f>
        <v>D1025091558</v>
      </c>
      <c r="N338" s="103">
        <f>IFNA(VLOOKUP(L338,'🙎‍♂️ Pasien'!G:L,3,FALSE),"")</f>
        <v>16</v>
      </c>
      <c r="O338" s="104" t="str">
        <f>IFNA(VLOOKUP(L338,'🙎‍♂️ Pasien'!G:V,6,FALSE),"")</f>
        <v>LAKI-LAKI</v>
      </c>
      <c r="P338" s="104" t="str">
        <f>IFNA(VLOOKUP(L338,'🙎‍♂️ Pasien'!G:V,12,FALSE),"")</f>
        <v>PROTESTAN</v>
      </c>
      <c r="Q338" s="104" t="str">
        <f>IFNA(VLOOKUP(L338:L1508,'🙎‍♂️ Pasien'!G:V,13,FALSE),"")</f>
        <v>MASI SEKOLAH</v>
      </c>
      <c r="R338" s="104" t="str">
        <f t="array" ref="R338">ifna(xlookup(L338,'🙎‍♂️ Pasien'!$G$5:$G1508,'🙎‍♂️ Pasien'!$T$5:$T1508),"")</f>
        <v>SAKIT DI BAGIAN LUTUT</v>
      </c>
      <c r="S338" s="104" t="str">
        <f t="array" ref="S338">ifna(xlookup(L338,'🙎‍♂️ Pasien'!$G$5:$G1508,'🙎‍♂️ Pasien'!$U$5:$U1508),"")</f>
        <v>BASKET</v>
      </c>
      <c r="T338" s="97" t="s">
        <v>59</v>
      </c>
      <c r="U338" s="105">
        <v>2.0</v>
      </c>
      <c r="V338" s="101"/>
      <c r="W338" s="106" t="b">
        <v>1</v>
      </c>
      <c r="X338" s="107"/>
      <c r="Y338" s="108"/>
    </row>
    <row r="339" ht="22.5" customHeight="1">
      <c r="A339" s="96"/>
      <c r="B339" s="97" t="s">
        <v>85</v>
      </c>
      <c r="C339" s="98" t="str">
        <f t="array" ref="C339">IFNA(XLOOKUP(J339,'⚙️ Pengaturan'!$H$5:$H1508,'⚙️ Pengaturan'!$I$5:$I1508),"")</f>
        <v>TIM Y</v>
      </c>
      <c r="D339" s="97" t="s">
        <v>86</v>
      </c>
      <c r="E339" s="99">
        <v>45950.0</v>
      </c>
      <c r="F339" s="100" t="str">
        <f t="shared" si="1"/>
        <v>2025</v>
      </c>
      <c r="G339" s="100" t="str">
        <f t="shared" si="2"/>
        <v>10Okt</v>
      </c>
      <c r="H339" s="100" t="str">
        <f t="shared" si="3"/>
        <v>Senin</v>
      </c>
      <c r="I339" s="97" t="s">
        <v>99</v>
      </c>
      <c r="J339" s="97" t="s">
        <v>56</v>
      </c>
      <c r="K339" s="97" t="s">
        <v>57</v>
      </c>
      <c r="L339" s="101" t="s">
        <v>326</v>
      </c>
      <c r="M339" s="102" t="str">
        <f>IFNA(VLOOKUP(L339,'🙎‍♂️ Pasien'!G:V,2,FALSE),"")</f>
        <v>A1423086916</v>
      </c>
      <c r="N339" s="103">
        <f>IFNA(VLOOKUP(L339,'🙎‍♂️ Pasien'!G:L,3,FALSE),"")</f>
        <v>11</v>
      </c>
      <c r="O339" s="104" t="str">
        <f>IFNA(VLOOKUP(L339,'🙎‍♂️ Pasien'!G:V,6,FALSE),"")</f>
        <v>LAKI-LAKI</v>
      </c>
      <c r="P339" s="104" t="str">
        <f>IFNA(VLOOKUP(L339,'🙎‍♂️ Pasien'!G:V,12,FALSE),"")</f>
        <v>ISLAM</v>
      </c>
      <c r="Q339" s="104" t="str">
        <f>IFNA(VLOOKUP(L339:L1508,'🙎‍♂️ Pasien'!G:V,13,FALSE),"")</f>
        <v>PELAJAR/MAHASISWA</v>
      </c>
      <c r="R339" s="104" t="str">
        <f t="array" ref="R339">ifna(xlookup(L339,'🙎‍♂️ Pasien'!$G$5:$G1508,'🙎‍♂️ Pasien'!$T$5:$T1508),"")</f>
        <v>ANKLE KAKI KANAN</v>
      </c>
      <c r="S339" s="104" t="str">
        <f t="array" ref="S339">ifna(xlookup(L339,'🙎‍♂️ Pasien'!$G$5:$G1508,'🙎‍♂️ Pasien'!$U$5:$U1508),"")</f>
        <v>BOLA</v>
      </c>
      <c r="T339" s="97" t="s">
        <v>59</v>
      </c>
      <c r="U339" s="105" t="s">
        <v>60</v>
      </c>
      <c r="V339" s="101" t="s">
        <v>327</v>
      </c>
      <c r="W339" s="106" t="b">
        <v>1</v>
      </c>
      <c r="X339" s="107"/>
      <c r="Y339" s="108"/>
    </row>
    <row r="340" ht="22.5" customHeight="1">
      <c r="A340" s="96"/>
      <c r="B340" s="97" t="s">
        <v>53</v>
      </c>
      <c r="C340" s="98" t="str">
        <f t="array" ref="C340">IFNA(XLOOKUP(J340,'⚙️ Pengaturan'!$H$5:$H1508,'⚙️ Pengaturan'!$I$5:$I1508),"")</f>
        <v>TIM A</v>
      </c>
      <c r="D340" s="97" t="s">
        <v>86</v>
      </c>
      <c r="E340" s="99">
        <v>45951.0</v>
      </c>
      <c r="F340" s="100" t="str">
        <f t="shared" si="1"/>
        <v>2025</v>
      </c>
      <c r="G340" s="100" t="str">
        <f t="shared" si="2"/>
        <v>10Okt</v>
      </c>
      <c r="H340" s="100" t="str">
        <f t="shared" si="3"/>
        <v>Selasa</v>
      </c>
      <c r="I340" s="97" t="s">
        <v>55</v>
      </c>
      <c r="J340" s="97" t="s">
        <v>72</v>
      </c>
      <c r="K340" s="97" t="s">
        <v>63</v>
      </c>
      <c r="L340" s="101" t="s">
        <v>108</v>
      </c>
      <c r="M340" s="102" t="str">
        <f>IFNA(VLOOKUP(L340,'🙎‍♂️ Pasien'!G:V,2,FALSE),"")</f>
        <v>A5625092572</v>
      </c>
      <c r="N340" s="103">
        <f>IFNA(VLOOKUP(L340,'🙎‍♂️ Pasien'!G:L,3,FALSE),"")</f>
        <v>69</v>
      </c>
      <c r="O340" s="104" t="str">
        <f>IFNA(VLOOKUP(L340,'🙎‍♂️ Pasien'!G:V,6,FALSE),"")</f>
        <v>PEREMPUAN</v>
      </c>
      <c r="P340" s="104" t="str">
        <f>IFNA(VLOOKUP(L340,'🙎‍♂️ Pasien'!G:V,12,FALSE),"")</f>
        <v>ISLAM</v>
      </c>
      <c r="Q340" s="104" t="str">
        <f>IFNA(VLOOKUP(L340:L1508,'🙎‍♂️ Pasien'!G:V,13,FALSE),"")</f>
        <v>IRT</v>
      </c>
      <c r="R340" s="104" t="str">
        <f t="array" ref="R340">ifna(xlookup(L340,'🙎‍♂️ Pasien'!$G$5:$G1508,'🙎‍♂️ Pasien'!$T$5:$T1508),"")</f>
        <v>PINGGANG DAN KAKI</v>
      </c>
      <c r="S340" s="104" t="str">
        <f t="array" ref="S340">ifna(xlookup(L340,'🙎‍♂️ Pasien'!$G$5:$G1508,'🙎‍♂️ Pasien'!$U$5:$U1508),"")</f>
        <v>-</v>
      </c>
      <c r="T340" s="97" t="s">
        <v>67</v>
      </c>
      <c r="U340" s="105">
        <v>3.0</v>
      </c>
      <c r="V340" s="101" t="s">
        <v>328</v>
      </c>
      <c r="W340" s="106" t="b">
        <v>1</v>
      </c>
      <c r="X340" s="107"/>
      <c r="Y340" s="108"/>
    </row>
    <row r="341" ht="22.5" customHeight="1">
      <c r="A341" s="96"/>
      <c r="B341" s="97" t="s">
        <v>53</v>
      </c>
      <c r="C341" s="98" t="str">
        <f t="array" ref="C341">IFNA(XLOOKUP(J341,'⚙️ Pengaturan'!$H$5:$H1508,'⚙️ Pengaturan'!$I$5:$I1508),"")</f>
        <v>TIM A</v>
      </c>
      <c r="D341" s="97" t="s">
        <v>86</v>
      </c>
      <c r="E341" s="99">
        <v>45951.0</v>
      </c>
      <c r="F341" s="100" t="str">
        <f t="shared" si="1"/>
        <v>2025</v>
      </c>
      <c r="G341" s="100" t="str">
        <f t="shared" si="2"/>
        <v>10Okt</v>
      </c>
      <c r="H341" s="100" t="str">
        <f t="shared" si="3"/>
        <v>Selasa</v>
      </c>
      <c r="I341" s="97" t="s">
        <v>55</v>
      </c>
      <c r="J341" s="97" t="s">
        <v>79</v>
      </c>
      <c r="K341" s="97" t="s">
        <v>63</v>
      </c>
      <c r="L341" s="101" t="s">
        <v>329</v>
      </c>
      <c r="M341" s="102" t="str">
        <f>IFNA(VLOOKUP(L341,'🙎‍♂️ Pasien'!G:V,2,FALSE),"")</f>
        <v>M0725093359</v>
      </c>
      <c r="N341" s="103">
        <f>IFNA(VLOOKUP(L341,'🙎‍♂️ Pasien'!G:L,3,FALSE),"")</f>
        <v>18</v>
      </c>
      <c r="O341" s="104" t="str">
        <f>IFNA(VLOOKUP(L341,'🙎‍♂️ Pasien'!G:V,6,FALSE),"")</f>
        <v>PEREMPUAN</v>
      </c>
      <c r="P341" s="104" t="str">
        <f>IFNA(VLOOKUP(L341,'🙎‍♂️ Pasien'!G:V,12,FALSE),"")</f>
        <v>KATOLIK</v>
      </c>
      <c r="Q341" s="104" t="str">
        <f>IFNA(VLOOKUP(L341:L1508,'🙎‍♂️ Pasien'!G:V,13,FALSE),"")</f>
        <v>MAHASISWA</v>
      </c>
      <c r="R341" s="104" t="str">
        <f t="array" ref="R341">ifna(xlookup(L341,'🙎‍♂️ Pasien'!$G$5:$G1508,'🙎‍♂️ Pasien'!$T$5:$T1508),"")</f>
        <v>SCOLOSIS DERAJAT 50 DAN NYERI PINGGANG</v>
      </c>
      <c r="S341" s="104" t="str">
        <f t="array" ref="S341">ifna(xlookup(L341,'🙎‍♂️ Pasien'!$G$5:$G1508,'🙎‍♂️ Pasien'!$U$5:$U1508),"")</f>
        <v>JALAN SANTAI</v>
      </c>
      <c r="T341" s="97" t="s">
        <v>59</v>
      </c>
      <c r="U341" s="105">
        <v>4.0</v>
      </c>
      <c r="V341" s="101"/>
      <c r="W341" s="106" t="b">
        <v>1</v>
      </c>
      <c r="X341" s="107"/>
      <c r="Y341" s="108"/>
    </row>
    <row r="342" ht="22.5" customHeight="1">
      <c r="A342" s="96"/>
      <c r="B342" s="97" t="s">
        <v>53</v>
      </c>
      <c r="C342" s="98" t="str">
        <f t="array" ref="C342">IFNA(XLOOKUP(J342,'⚙️ Pengaturan'!$H$5:$H1508,'⚙️ Pengaturan'!$I$5:$I1508),"")</f>
        <v>MANAJEMEN</v>
      </c>
      <c r="D342" s="97" t="s">
        <v>86</v>
      </c>
      <c r="E342" s="99">
        <v>45951.0</v>
      </c>
      <c r="F342" s="100" t="str">
        <f t="shared" si="1"/>
        <v>2025</v>
      </c>
      <c r="G342" s="100" t="str">
        <f t="shared" si="2"/>
        <v>10Okt</v>
      </c>
      <c r="H342" s="100" t="str">
        <f t="shared" si="3"/>
        <v>Selasa</v>
      </c>
      <c r="I342" s="97" t="s">
        <v>65</v>
      </c>
      <c r="J342" s="97" t="s">
        <v>101</v>
      </c>
      <c r="K342" s="97" t="s">
        <v>63</v>
      </c>
      <c r="L342" s="101" t="s">
        <v>102</v>
      </c>
      <c r="M342" s="102" t="str">
        <f>IFNA(VLOOKUP(L342,'🙎‍♂️ Pasien'!G:V,2,FALSE),"")</f>
        <v>B8525075344</v>
      </c>
      <c r="N342" s="103">
        <f>IFNA(VLOOKUP(L342,'🙎‍♂️ Pasien'!G:L,3,FALSE),"")</f>
        <v>40</v>
      </c>
      <c r="O342" s="104" t="str">
        <f>IFNA(VLOOKUP(L342,'🙎‍♂️ Pasien'!G:V,6,FALSE),"")</f>
        <v>LAKI-LAKI</v>
      </c>
      <c r="P342" s="104" t="str">
        <f>IFNA(VLOOKUP(L342,'🙎‍♂️ Pasien'!G:V,12,FALSE),"")</f>
        <v>ISLAM</v>
      </c>
      <c r="Q342" s="104" t="str">
        <f>IFNA(VLOOKUP(L342:L1508,'🙎‍♂️ Pasien'!G:V,13,FALSE),"")</f>
        <v>WIRAUSAHA</v>
      </c>
      <c r="R342" s="104" t="str">
        <f t="array" ref="R342">ifna(xlookup(L342,'🙎‍♂️ Pasien'!$G$5:$G1508,'🙎‍♂️ Pasien'!$T$5:$T1508),"")</f>
        <v>NYERI LUTUT</v>
      </c>
      <c r="S342" s="104" t="str">
        <f t="array" ref="S342">ifna(xlookup(L342,'🙎‍♂️ Pasien'!$G$5:$G1508,'🙎‍♂️ Pasien'!$U$5:$U1508),"")</f>
        <v>JOGGING</v>
      </c>
      <c r="T342" s="97" t="s">
        <v>59</v>
      </c>
      <c r="U342" s="105">
        <v>4.0</v>
      </c>
      <c r="V342" s="101" t="s">
        <v>330</v>
      </c>
      <c r="W342" s="106" t="b">
        <v>1</v>
      </c>
      <c r="X342" s="107"/>
      <c r="Y342" s="108"/>
    </row>
    <row r="343" ht="22.5" customHeight="1">
      <c r="A343" s="96"/>
      <c r="B343" s="97" t="s">
        <v>53</v>
      </c>
      <c r="C343" s="98" t="str">
        <f t="array" ref="C343">IFNA(XLOOKUP(J343,'⚙️ Pengaturan'!$H$5:$H1508,'⚙️ Pengaturan'!$I$5:$I1508),"")</f>
        <v>TIM Y</v>
      </c>
      <c r="D343" s="97" t="s">
        <v>86</v>
      </c>
      <c r="E343" s="99">
        <v>45951.0</v>
      </c>
      <c r="F343" s="100" t="str">
        <f t="shared" si="1"/>
        <v>2025</v>
      </c>
      <c r="G343" s="100" t="str">
        <f t="shared" si="2"/>
        <v>10Okt</v>
      </c>
      <c r="H343" s="100" t="str">
        <f t="shared" si="3"/>
        <v>Selasa</v>
      </c>
      <c r="I343" s="97" t="s">
        <v>65</v>
      </c>
      <c r="J343" s="97" t="s">
        <v>56</v>
      </c>
      <c r="K343" s="97" t="s">
        <v>57</v>
      </c>
      <c r="L343" s="101" t="s">
        <v>331</v>
      </c>
      <c r="M343" s="102" t="str">
        <f>IFNA(VLOOKUP(L343,'🙎‍♂️ Pasien'!G:V,2,FALSE),"")</f>
        <v>L0825103838</v>
      </c>
      <c r="N343" s="103">
        <f>IFNA(VLOOKUP(L343,'🙎‍♂️ Pasien'!G:L,3,FALSE),"")</f>
        <v>18</v>
      </c>
      <c r="O343" s="104" t="str">
        <f>IFNA(VLOOKUP(L343,'🙎‍♂️ Pasien'!G:V,6,FALSE),"")</f>
        <v>LAKI-LAKI</v>
      </c>
      <c r="P343" s="104" t="str">
        <f>IFNA(VLOOKUP(L343,'🙎‍♂️ Pasien'!G:V,12,FALSE),"")</f>
        <v>KATOLIK</v>
      </c>
      <c r="Q343" s="104" t="str">
        <f>IFNA(VLOOKUP(L343:L1508,'🙎‍♂️ Pasien'!G:V,13,FALSE),"")</f>
        <v>PELAJAR</v>
      </c>
      <c r="R343" s="104" t="str">
        <f t="array" ref="R343">ifna(xlookup(L343,'🙎‍♂️ Pasien'!$G$5:$G1508,'🙎‍♂️ Pasien'!$T$5:$T1508),"")</f>
        <v>ANKLE</v>
      </c>
      <c r="S343" s="104" t="str">
        <f t="array" ref="S343">ifna(xlookup(L343,'🙎‍♂️ Pasien'!$G$5:$G1508,'🙎‍♂️ Pasien'!$U$5:$U1508),"")</f>
        <v>BASKET</v>
      </c>
      <c r="T343" s="97" t="s">
        <v>59</v>
      </c>
      <c r="U343" s="105" t="s">
        <v>60</v>
      </c>
      <c r="V343" s="101"/>
      <c r="W343" s="106" t="b">
        <v>1</v>
      </c>
      <c r="X343" s="107"/>
      <c r="Y343" s="108"/>
    </row>
    <row r="344" ht="22.5" customHeight="1">
      <c r="A344" s="96"/>
      <c r="B344" s="97" t="s">
        <v>53</v>
      </c>
      <c r="C344" s="98" t="str">
        <f t="array" ref="C344">IFNA(XLOOKUP(J344,'⚙️ Pengaturan'!$H$5:$H1508,'⚙️ Pengaturan'!$I$5:$I1508),"")</f>
        <v>TIM A</v>
      </c>
      <c r="D344" s="97" t="s">
        <v>86</v>
      </c>
      <c r="E344" s="99">
        <v>45951.0</v>
      </c>
      <c r="F344" s="100" t="str">
        <f t="shared" si="1"/>
        <v>2025</v>
      </c>
      <c r="G344" s="100" t="str">
        <f t="shared" si="2"/>
        <v>10Okt</v>
      </c>
      <c r="H344" s="100" t="str">
        <f t="shared" si="3"/>
        <v>Selasa</v>
      </c>
      <c r="I344" s="97" t="s">
        <v>74</v>
      </c>
      <c r="J344" s="97" t="s">
        <v>79</v>
      </c>
      <c r="K344" s="97" t="s">
        <v>63</v>
      </c>
      <c r="L344" s="101" t="s">
        <v>307</v>
      </c>
      <c r="M344" s="102" t="str">
        <f>IFNA(VLOOKUP(L344,'🙎‍♂️ Pasien'!G:V,2,FALSE),"")</f>
        <v>M9825086178</v>
      </c>
      <c r="N344" s="103">
        <f>IFNA(VLOOKUP(L344,'🙎‍♂️ Pasien'!G:L,3,FALSE),"")</f>
        <v>28</v>
      </c>
      <c r="O344" s="104" t="str">
        <f>IFNA(VLOOKUP(L344,'🙎‍♂️ Pasien'!G:V,6,FALSE),"")</f>
        <v>PEREMPUAN</v>
      </c>
      <c r="P344" s="104" t="str">
        <f>IFNA(VLOOKUP(L344,'🙎‍♂️ Pasien'!G:V,12,FALSE),"")</f>
        <v>PROTESTAN</v>
      </c>
      <c r="Q344" s="104" t="str">
        <f>IFNA(VLOOKUP(L344:L1508,'🙎‍♂️ Pasien'!G:V,13,FALSE),"")</f>
        <v>WIRAUSAHA</v>
      </c>
      <c r="R344" s="104" t="str">
        <f t="array" ref="R344">ifna(xlookup(L344,'🙎‍♂️ Pasien'!$G$5:$G1508,'🙎‍♂️ Pasien'!$T$5:$T1508),"")</f>
        <v>BAHU MIRING</v>
      </c>
      <c r="S344" s="104" t="str">
        <f t="array" ref="S344">ifna(xlookup(L344,'🙎‍♂️ Pasien'!$G$5:$G1508,'🙎‍♂️ Pasien'!$U$5:$U1508),"")</f>
        <v>GYM</v>
      </c>
      <c r="T344" s="97" t="s">
        <v>59</v>
      </c>
      <c r="U344" s="105">
        <v>3.0</v>
      </c>
      <c r="V344" s="101"/>
      <c r="W344" s="106" t="b">
        <v>1</v>
      </c>
      <c r="X344" s="107"/>
      <c r="Y344" s="108"/>
    </row>
    <row r="345" ht="22.5" customHeight="1">
      <c r="A345" s="96"/>
      <c r="B345" s="97" t="s">
        <v>53</v>
      </c>
      <c r="C345" s="98" t="str">
        <f t="array" ref="C345">IFNA(XLOOKUP(J345,'⚙️ Pengaturan'!$H$5:$H1508,'⚙️ Pengaturan'!$I$5:$I1508),"")</f>
        <v>TIM Y</v>
      </c>
      <c r="D345" s="97" t="s">
        <v>86</v>
      </c>
      <c r="E345" s="99">
        <v>45951.0</v>
      </c>
      <c r="F345" s="100" t="str">
        <f t="shared" si="1"/>
        <v>2025</v>
      </c>
      <c r="G345" s="100" t="str">
        <f t="shared" si="2"/>
        <v>10Okt</v>
      </c>
      <c r="H345" s="100" t="str">
        <f t="shared" si="3"/>
        <v>Selasa</v>
      </c>
      <c r="I345" s="97" t="s">
        <v>76</v>
      </c>
      <c r="J345" s="97" t="s">
        <v>56</v>
      </c>
      <c r="K345" s="97" t="s">
        <v>63</v>
      </c>
      <c r="L345" s="101" t="s">
        <v>202</v>
      </c>
      <c r="M345" s="102" t="str">
        <f>IFNA(VLOOKUP(L345,'🙎‍♂️ Pasien'!G:V,2,FALSE),"")</f>
        <v>B9925104512</v>
      </c>
      <c r="N345" s="103">
        <f>IFNA(VLOOKUP(L345,'🙎‍♂️ Pasien'!G:L,3,FALSE),"")</f>
        <v>26</v>
      </c>
      <c r="O345" s="104" t="str">
        <f>IFNA(VLOOKUP(L345,'🙎‍♂️ Pasien'!G:V,6,FALSE),"")</f>
        <v>LAKI-LAKI</v>
      </c>
      <c r="P345" s="104" t="str">
        <f>IFNA(VLOOKUP(L345,'🙎‍♂️ Pasien'!G:V,12,FALSE),"")</f>
        <v>ISLAM</v>
      </c>
      <c r="Q345" s="104" t="str">
        <f>IFNA(VLOOKUP(L345:L1508,'🙎‍♂️ Pasien'!G:V,13,FALSE),"")</f>
        <v>SWASTA</v>
      </c>
      <c r="R345" s="104" t="str">
        <f t="array" ref="R345">ifna(xlookup(L345,'🙎‍♂️ Pasien'!$G$5:$G1508,'🙎‍♂️ Pasien'!$T$5:$T1508),"")</f>
        <v>CIDERA LUTUT SALAH TUMPUAN PAS MAIN BOLA</v>
      </c>
      <c r="S345" s="104" t="str">
        <f t="array" ref="S345">ifna(xlookup(L345,'🙎‍♂️ Pasien'!$G$5:$G1508,'🙎‍♂️ Pasien'!$U$5:$U1508),"")</f>
        <v>SEPAK BOLA</v>
      </c>
      <c r="T345" s="97" t="s">
        <v>59</v>
      </c>
      <c r="U345" s="105">
        <v>9.0</v>
      </c>
      <c r="V345" s="101"/>
      <c r="W345" s="106" t="b">
        <v>1</v>
      </c>
      <c r="X345" s="107"/>
      <c r="Y345" s="108"/>
    </row>
    <row r="346" ht="22.5" customHeight="1">
      <c r="A346" s="96"/>
      <c r="B346" s="97" t="s">
        <v>53</v>
      </c>
      <c r="C346" s="98" t="str">
        <f t="array" ref="C346">IFNA(XLOOKUP(J346,'⚙️ Pengaturan'!$H$5:$H1508,'⚙️ Pengaturan'!$I$5:$I1508),"")</f>
        <v>TIM A</v>
      </c>
      <c r="D346" s="97" t="s">
        <v>86</v>
      </c>
      <c r="E346" s="99">
        <v>45951.0</v>
      </c>
      <c r="F346" s="100" t="str">
        <f t="shared" si="1"/>
        <v>2025</v>
      </c>
      <c r="G346" s="100" t="str">
        <f t="shared" si="2"/>
        <v>10Okt</v>
      </c>
      <c r="H346" s="100" t="str">
        <f t="shared" si="3"/>
        <v>Selasa</v>
      </c>
      <c r="I346" s="97" t="s">
        <v>76</v>
      </c>
      <c r="J346" s="97" t="s">
        <v>62</v>
      </c>
      <c r="K346" s="97" t="s">
        <v>69</v>
      </c>
      <c r="L346" s="101" t="s">
        <v>272</v>
      </c>
      <c r="M346" s="102" t="str">
        <f>IFNA(VLOOKUP(L346,'🙎‍♂️ Pasien'!G:V,2,FALSE),"")</f>
        <v>H6725101225</v>
      </c>
      <c r="N346" s="103">
        <f>IFNA(VLOOKUP(L346,'🙎‍♂️ Pasien'!G:L,3,FALSE),"")</f>
        <v>59</v>
      </c>
      <c r="O346" s="104" t="str">
        <f>IFNA(VLOOKUP(L346,'🙎‍♂️ Pasien'!G:V,6,FALSE),"")</f>
        <v>PEREMPUAN</v>
      </c>
      <c r="P346" s="104" t="str">
        <f>IFNA(VLOOKUP(L346,'🙎‍♂️ Pasien'!G:V,12,FALSE),"")</f>
        <v>ISLAM</v>
      </c>
      <c r="Q346" s="104" t="str">
        <f>IFNA(VLOOKUP(L346:L1508,'🙎‍♂️ Pasien'!G:V,13,FALSE),"")</f>
        <v>IRT</v>
      </c>
      <c r="R346" s="104" t="str">
        <f t="array" ref="R346">ifna(xlookup(L346,'🙎‍♂️ Pasien'!$G$5:$G1508,'🙎‍♂️ Pasien'!$T$5:$T1508),"")</f>
        <v>KAKI</v>
      </c>
      <c r="S346" s="104" t="str">
        <f t="array" ref="S346">ifna(xlookup(L346,'🙎‍♂️ Pasien'!$G$5:$G1508,'🙎‍♂️ Pasien'!$U$5:$U1508),"")</f>
        <v>-</v>
      </c>
      <c r="T346" s="97" t="s">
        <v>59</v>
      </c>
      <c r="U346" s="105" t="s">
        <v>60</v>
      </c>
      <c r="V346" s="101"/>
      <c r="W346" s="106" t="b">
        <v>1</v>
      </c>
      <c r="X346" s="107"/>
      <c r="Y346" s="108"/>
    </row>
    <row r="347" ht="22.5" customHeight="1">
      <c r="A347" s="96"/>
      <c r="B347" s="97" t="s">
        <v>53</v>
      </c>
      <c r="C347" s="98" t="str">
        <f t="array" ref="C347">IFNA(XLOOKUP(J347,'⚙️ Pengaturan'!$H$5:$H1508,'⚙️ Pengaturan'!$I$5:$I1508),"")</f>
        <v>TIM A</v>
      </c>
      <c r="D347" s="97" t="s">
        <v>86</v>
      </c>
      <c r="E347" s="99">
        <v>45951.0</v>
      </c>
      <c r="F347" s="100" t="str">
        <f t="shared" si="1"/>
        <v>2025</v>
      </c>
      <c r="G347" s="100" t="str">
        <f t="shared" si="2"/>
        <v>10Okt</v>
      </c>
      <c r="H347" s="100" t="str">
        <f t="shared" si="3"/>
        <v>Selasa</v>
      </c>
      <c r="I347" s="97" t="s">
        <v>83</v>
      </c>
      <c r="J347" s="97" t="s">
        <v>72</v>
      </c>
      <c r="K347" s="97" t="s">
        <v>69</v>
      </c>
      <c r="L347" s="101" t="s">
        <v>227</v>
      </c>
      <c r="M347" s="102" t="str">
        <f>IFNA(VLOOKUP(L347,'🙎‍♂️ Pasien'!G:V,2,FALSE),"")</f>
        <v>A9323069998</v>
      </c>
      <c r="N347" s="103">
        <f>IFNA(VLOOKUP(L347,'🙎‍♂️ Pasien'!G:L,3,FALSE),"")</f>
        <v>33</v>
      </c>
      <c r="O347" s="104" t="str">
        <f>IFNA(VLOOKUP(L347,'🙎‍♂️ Pasien'!G:V,6,FALSE),"")</f>
        <v>LAKI-LAKI</v>
      </c>
      <c r="P347" s="104" t="str">
        <f>IFNA(VLOOKUP(L347,'🙎‍♂️ Pasien'!G:V,12,FALSE),"")</f>
        <v>KHONGHUCU</v>
      </c>
      <c r="Q347" s="104" t="str">
        <f>IFNA(VLOOKUP(L347:L1508,'🙎‍♂️ Pasien'!G:V,13,FALSE),"")</f>
        <v>WIRASWASTA</v>
      </c>
      <c r="R347" s="104" t="str">
        <f t="array" ref="R347">ifna(xlookup(L347,'🙎‍♂️ Pasien'!$G$5:$G1508,'🙎‍♂️ Pasien'!$T$5:$T1508),"")</f>
        <v>ANGKLE PERGELANGAN TANGAN KANAN</v>
      </c>
      <c r="S347" s="104" t="str">
        <f t="array" ref="S347">ifna(xlookup(L347,'🙎‍♂️ Pasien'!$G$5:$G1508,'🙎‍♂️ Pasien'!$U$5:$U1508),"")</f>
        <v>BADMINTON</v>
      </c>
      <c r="T347" s="97" t="s">
        <v>59</v>
      </c>
      <c r="U347" s="105" t="s">
        <v>60</v>
      </c>
      <c r="V347" s="101"/>
      <c r="W347" s="106" t="b">
        <v>1</v>
      </c>
      <c r="X347" s="107"/>
      <c r="Y347" s="108"/>
    </row>
    <row r="348" ht="22.5" customHeight="1">
      <c r="A348" s="96"/>
      <c r="B348" s="97" t="s">
        <v>53</v>
      </c>
      <c r="C348" s="98" t="str">
        <f t="array" ref="C348">IFNA(XLOOKUP(J348,'⚙️ Pengaturan'!$H$5:$H1508,'⚙️ Pengaturan'!$I$5:$I1508),"")</f>
        <v>TIM A</v>
      </c>
      <c r="D348" s="97" t="s">
        <v>86</v>
      </c>
      <c r="E348" s="99">
        <v>45951.0</v>
      </c>
      <c r="F348" s="100" t="str">
        <f t="shared" si="1"/>
        <v>2025</v>
      </c>
      <c r="G348" s="100" t="str">
        <f t="shared" si="2"/>
        <v>10Okt</v>
      </c>
      <c r="H348" s="100" t="str">
        <f t="shared" si="3"/>
        <v>Selasa</v>
      </c>
      <c r="I348" s="97" t="s">
        <v>83</v>
      </c>
      <c r="J348" s="97" t="s">
        <v>79</v>
      </c>
      <c r="K348" s="97" t="s">
        <v>63</v>
      </c>
      <c r="L348" s="101" t="s">
        <v>108</v>
      </c>
      <c r="M348" s="102" t="str">
        <f>IFNA(VLOOKUP(L348,'🙎‍♂️ Pasien'!G:V,2,FALSE),"")</f>
        <v>A5625092572</v>
      </c>
      <c r="N348" s="103">
        <f>IFNA(VLOOKUP(L348,'🙎‍♂️ Pasien'!G:L,3,FALSE),"")</f>
        <v>69</v>
      </c>
      <c r="O348" s="104" t="str">
        <f>IFNA(VLOOKUP(L348,'🙎‍♂️ Pasien'!G:V,6,FALSE),"")</f>
        <v>PEREMPUAN</v>
      </c>
      <c r="P348" s="104" t="str">
        <f>IFNA(VLOOKUP(L348,'🙎‍♂️ Pasien'!G:V,12,FALSE),"")</f>
        <v>ISLAM</v>
      </c>
      <c r="Q348" s="104" t="str">
        <f>IFNA(VLOOKUP(L348:L1508,'🙎‍♂️ Pasien'!G:V,13,FALSE),"")</f>
        <v>IRT</v>
      </c>
      <c r="R348" s="104" t="str">
        <f t="array" ref="R348">ifna(xlookup(L348,'🙎‍♂️ Pasien'!$G$5:$G1508,'🙎‍♂️ Pasien'!$T$5:$T1508),"")</f>
        <v>PINGGANG DAN KAKI</v>
      </c>
      <c r="S348" s="104" t="str">
        <f t="array" ref="S348">ifna(xlookup(L348,'🙎‍♂️ Pasien'!$G$5:$G1508,'🙎‍♂️ Pasien'!$U$5:$U1508),"")</f>
        <v>-</v>
      </c>
      <c r="T348" s="97" t="s">
        <v>59</v>
      </c>
      <c r="U348" s="105">
        <v>3.0</v>
      </c>
      <c r="V348" s="101" t="s">
        <v>332</v>
      </c>
      <c r="W348" s="106" t="b">
        <v>1</v>
      </c>
      <c r="X348" s="107"/>
      <c r="Y348" s="108"/>
    </row>
    <row r="349" ht="22.5" customHeight="1">
      <c r="A349" s="96"/>
      <c r="B349" s="97" t="s">
        <v>85</v>
      </c>
      <c r="C349" s="98" t="str">
        <f t="array" ref="C349">IFNA(XLOOKUP(J349,'⚙️ Pengaturan'!$H$5:$H1508,'⚙️ Pengaturan'!$I$5:$I1508),"")</f>
        <v>MANAJEMEN</v>
      </c>
      <c r="D349" s="97" t="s">
        <v>54</v>
      </c>
      <c r="E349" s="99">
        <v>45951.0</v>
      </c>
      <c r="F349" s="100" t="str">
        <f t="shared" si="1"/>
        <v>2025</v>
      </c>
      <c r="G349" s="100" t="str">
        <f t="shared" si="2"/>
        <v>10Okt</v>
      </c>
      <c r="H349" s="100" t="str">
        <f t="shared" si="3"/>
        <v>Selasa</v>
      </c>
      <c r="I349" s="97" t="s">
        <v>87</v>
      </c>
      <c r="J349" s="97" t="s">
        <v>81</v>
      </c>
      <c r="K349" s="97" t="s">
        <v>63</v>
      </c>
      <c r="L349" s="101" t="s">
        <v>189</v>
      </c>
      <c r="M349" s="102" t="str">
        <f>IFNA(VLOOKUP(L349,'🙎‍♂️ Pasien'!G:V,2,FALSE),"")</f>
        <v>A6025048900</v>
      </c>
      <c r="N349" s="103">
        <f>IFNA(VLOOKUP(L349,'🙎‍♂️ Pasien'!G:L,3,FALSE),"")</f>
        <v>66</v>
      </c>
      <c r="O349" s="104" t="str">
        <f>IFNA(VLOOKUP(L349,'🙎‍♂️ Pasien'!G:V,6,FALSE),"")</f>
        <v>LAKI-LAKI</v>
      </c>
      <c r="P349" s="104" t="str">
        <f>IFNA(VLOOKUP(L349,'🙎‍♂️ Pasien'!G:V,12,FALSE),"")</f>
        <v>KHONGHUCU</v>
      </c>
      <c r="Q349" s="104" t="str">
        <f>IFNA(VLOOKUP(L349:L1508,'🙎‍♂️ Pasien'!G:V,13,FALSE),"")</f>
        <v>KONSULTAN PAJAK</v>
      </c>
      <c r="R349" s="104" t="str">
        <f t="array" ref="R349">ifna(xlookup(L349,'🙎‍♂️ Pasien'!$G$5:$G1508,'🙎‍♂️ Pasien'!$T$5:$T1508),"")</f>
        <v>SAKET LEHER</v>
      </c>
      <c r="S349" s="104" t="str">
        <f t="array" ref="S349">ifna(xlookup(L349,'🙎‍♂️ Pasien'!$G$5:$G1508,'🙎‍♂️ Pasien'!$U$5:$U1508),"")</f>
        <v>KERJE KERJE KERJE !!!!</v>
      </c>
      <c r="T349" s="97" t="s">
        <v>59</v>
      </c>
      <c r="U349" s="105">
        <v>1.0</v>
      </c>
      <c r="V349" s="101"/>
      <c r="W349" s="106" t="b">
        <v>1</v>
      </c>
      <c r="X349" s="107"/>
      <c r="Y349" s="108"/>
    </row>
    <row r="350" ht="22.5" customHeight="1">
      <c r="A350" s="96"/>
      <c r="B350" s="97" t="s">
        <v>85</v>
      </c>
      <c r="C350" s="98" t="str">
        <f t="array" ref="C350">IFNA(XLOOKUP(J350,'⚙️ Pengaturan'!$H$5:$H1508,'⚙️ Pengaturan'!$I$5:$I1508),"")</f>
        <v>TIM Y</v>
      </c>
      <c r="D350" s="97" t="s">
        <v>54</v>
      </c>
      <c r="E350" s="99">
        <v>45951.0</v>
      </c>
      <c r="F350" s="100" t="str">
        <f t="shared" si="1"/>
        <v>2025</v>
      </c>
      <c r="G350" s="100" t="str">
        <f t="shared" si="2"/>
        <v>10Okt</v>
      </c>
      <c r="H350" s="100" t="str">
        <f t="shared" si="3"/>
        <v>Selasa</v>
      </c>
      <c r="I350" s="97" t="s">
        <v>87</v>
      </c>
      <c r="J350" s="97" t="s">
        <v>88</v>
      </c>
      <c r="K350" s="97" t="s">
        <v>63</v>
      </c>
      <c r="L350" s="101" t="s">
        <v>172</v>
      </c>
      <c r="M350" s="102" t="str">
        <f>IFNA(VLOOKUP(L350,'🙎‍♂️ Pasien'!G:V,2,FALSE),"")</f>
        <v>S9624106365</v>
      </c>
      <c r="N350" s="103">
        <f>IFNA(VLOOKUP(L350,'🙎‍♂️ Pasien'!G:L,3,FALSE),"")</f>
        <v>30</v>
      </c>
      <c r="O350" s="104" t="str">
        <f>IFNA(VLOOKUP(L350,'🙎‍♂️ Pasien'!G:V,6,FALSE),"")</f>
        <v>LAKI-LAKI</v>
      </c>
      <c r="P350" s="104" t="str">
        <f>IFNA(VLOOKUP(L350,'🙎‍♂️ Pasien'!G:V,12,FALSE),"")</f>
        <v>ISLAM</v>
      </c>
      <c r="Q350" s="104" t="str">
        <f>IFNA(VLOOKUP(L350:L1508,'🙎‍♂️ Pasien'!G:V,13,FALSE),"")</f>
        <v>BUMN</v>
      </c>
      <c r="R350" s="104" t="str">
        <f t="array" ref="R350">ifna(xlookup(L350,'🙎‍♂️ Pasien'!$G$5:$G1508,'🙎‍♂️ Pasien'!$T$5:$T1508),"")</f>
        <v>HABIS OPERASI MENISCUD</v>
      </c>
      <c r="S350" s="104" t="str">
        <f t="array" ref="S350">ifna(xlookup(L350,'🙎‍♂️ Pasien'!$G$5:$G1508,'🙎‍♂️ Pasien'!$U$5:$U1508),"")</f>
        <v>Olahraga</v>
      </c>
      <c r="T350" s="97" t="s">
        <v>67</v>
      </c>
      <c r="U350" s="105">
        <v>3.0</v>
      </c>
      <c r="V350" s="101" t="s">
        <v>333</v>
      </c>
      <c r="W350" s="106" t="b">
        <v>1</v>
      </c>
      <c r="X350" s="107"/>
      <c r="Y350" s="108"/>
    </row>
    <row r="351" ht="22.5" customHeight="1">
      <c r="A351" s="96"/>
      <c r="B351" s="97" t="s">
        <v>85</v>
      </c>
      <c r="C351" s="98" t="str">
        <f t="array" ref="C351">IFNA(XLOOKUP(J351,'⚙️ Pengaturan'!$H$5:$H1508,'⚙️ Pengaturan'!$I$5:$I1508),"")</f>
        <v>TIM Y</v>
      </c>
      <c r="D351" s="97" t="s">
        <v>54</v>
      </c>
      <c r="E351" s="99">
        <v>45951.0</v>
      </c>
      <c r="F351" s="100" t="str">
        <f t="shared" si="1"/>
        <v>2025</v>
      </c>
      <c r="G351" s="100" t="str">
        <f t="shared" si="2"/>
        <v>10Okt</v>
      </c>
      <c r="H351" s="100" t="str">
        <f t="shared" si="3"/>
        <v>Selasa</v>
      </c>
      <c r="I351" s="97" t="s">
        <v>93</v>
      </c>
      <c r="J351" s="97" t="s">
        <v>91</v>
      </c>
      <c r="K351" s="97" t="s">
        <v>63</v>
      </c>
      <c r="L351" s="101" t="s">
        <v>94</v>
      </c>
      <c r="M351" s="102" t="str">
        <f>IFNA(VLOOKUP(L351,'🙎‍♂️ Pasien'!G:V,2,FALSE),"")</f>
        <v>A0825098780</v>
      </c>
      <c r="N351" s="103">
        <f>IFNA(VLOOKUP(L351,'🙎‍♂️ Pasien'!G:L,3,FALSE),"")</f>
        <v>18</v>
      </c>
      <c r="O351" s="104" t="str">
        <f>IFNA(VLOOKUP(L351,'🙎‍♂️ Pasien'!G:V,6,FALSE),"")</f>
        <v>PEREMPUAN</v>
      </c>
      <c r="P351" s="104" t="str">
        <f>IFNA(VLOOKUP(L351,'🙎‍♂️ Pasien'!G:V,12,FALSE),"")</f>
        <v>ISLAM</v>
      </c>
      <c r="Q351" s="104" t="str">
        <f>IFNA(VLOOKUP(L351:L1508,'🙎‍♂️ Pasien'!G:V,13,FALSE),"")</f>
        <v>PELAJAR</v>
      </c>
      <c r="R351" s="104" t="str">
        <f t="array" ref="R351">ifna(xlookup(L351,'🙎‍♂️ Pasien'!$G$5:$G1508,'🙎‍♂️ Pasien'!$T$5:$T1508),"")</f>
        <v>SAKIT DI LUTUT</v>
      </c>
      <c r="S351" s="104" t="str">
        <f t="array" ref="S351">ifna(xlookup(L351,'🙎‍♂️ Pasien'!$G$5:$G1508,'🙎‍♂️ Pasien'!$U$5:$U1508),"")</f>
        <v>MAIN BASKET</v>
      </c>
      <c r="T351" s="97" t="s">
        <v>67</v>
      </c>
      <c r="U351" s="105">
        <v>7.0</v>
      </c>
      <c r="V351" s="101" t="s">
        <v>334</v>
      </c>
      <c r="W351" s="106" t="b">
        <v>1</v>
      </c>
      <c r="X351" s="107"/>
      <c r="Y351" s="108"/>
    </row>
    <row r="352" ht="22.5" customHeight="1">
      <c r="A352" s="96"/>
      <c r="B352" s="97" t="s">
        <v>85</v>
      </c>
      <c r="C352" s="98" t="str">
        <f t="array" ref="C352">IFNA(XLOOKUP(J352,'⚙️ Pengaturan'!$H$5:$H1508,'⚙️ Pengaturan'!$I$5:$I1508),"")</f>
        <v>TIM Y</v>
      </c>
      <c r="D352" s="97" t="s">
        <v>54</v>
      </c>
      <c r="E352" s="99">
        <v>45951.0</v>
      </c>
      <c r="F352" s="100" t="str">
        <f t="shared" si="1"/>
        <v>2025</v>
      </c>
      <c r="G352" s="100" t="str">
        <f t="shared" si="2"/>
        <v>10Okt</v>
      </c>
      <c r="H352" s="100" t="str">
        <f t="shared" si="3"/>
        <v>Selasa</v>
      </c>
      <c r="I352" s="97" t="s">
        <v>93</v>
      </c>
      <c r="J352" s="97" t="s">
        <v>91</v>
      </c>
      <c r="K352" s="97" t="s">
        <v>63</v>
      </c>
      <c r="L352" s="101" t="s">
        <v>225</v>
      </c>
      <c r="M352" s="102" t="str">
        <f>IFNA(VLOOKUP(L352,'🙎‍♂️ Pasien'!G:V,2,FALSE),"")</f>
        <v>B8025102288</v>
      </c>
      <c r="N352" s="103">
        <f>IFNA(VLOOKUP(L352,'🙎‍♂️ Pasien'!G:L,3,FALSE),"")</f>
        <v>45</v>
      </c>
      <c r="O352" s="104" t="str">
        <f>IFNA(VLOOKUP(L352,'🙎‍♂️ Pasien'!G:V,6,FALSE),"")</f>
        <v>PEREMPUAN</v>
      </c>
      <c r="P352" s="104" t="str">
        <f>IFNA(VLOOKUP(L352,'🙎‍♂️ Pasien'!G:V,12,FALSE),"")</f>
        <v>ISLAM</v>
      </c>
      <c r="Q352" s="104" t="str">
        <f>IFNA(VLOOKUP(L352:L1508,'🙎‍♂️ Pasien'!G:V,13,FALSE),"")</f>
        <v>ASN</v>
      </c>
      <c r="R352" s="104" t="str">
        <f t="array" ref="R352">ifna(xlookup(L352,'🙎‍♂️ Pasien'!$G$5:$G1508,'🙎‍♂️ Pasien'!$T$5:$T1508),"")</f>
        <v>KELUHAN SY NYERI DI TUMIT KIRI SM PAHA KANAN UT DIANGKAT SAMBIL DITEKUK KE ARAH SAMPING LUAR RASA NYA NYERI</v>
      </c>
      <c r="S352" s="104" t="str">
        <f t="array" ref="S352">ifna(xlookup(L352,'🙎‍♂️ Pasien'!$G$5:$G1508,'🙎‍♂️ Pasien'!$U$5:$U1508),"")</f>
        <v>JOGING</v>
      </c>
      <c r="T352" s="97" t="s">
        <v>59</v>
      </c>
      <c r="U352" s="105">
        <v>3.0</v>
      </c>
      <c r="V352" s="101"/>
      <c r="W352" s="106" t="b">
        <v>1</v>
      </c>
      <c r="X352" s="107"/>
      <c r="Y352" s="108"/>
    </row>
    <row r="353" ht="22.5" customHeight="1">
      <c r="A353" s="96"/>
      <c r="B353" s="97" t="s">
        <v>85</v>
      </c>
      <c r="C353" s="98" t="str">
        <f t="array" ref="C353">IFNA(XLOOKUP(J353,'⚙️ Pengaturan'!$H$5:$H1508,'⚙️ Pengaturan'!$I$5:$I1508),"")</f>
        <v>TIM Y</v>
      </c>
      <c r="D353" s="97" t="s">
        <v>54</v>
      </c>
      <c r="E353" s="99">
        <v>45951.0</v>
      </c>
      <c r="F353" s="100" t="str">
        <f t="shared" si="1"/>
        <v>2025</v>
      </c>
      <c r="G353" s="100" t="str">
        <f t="shared" si="2"/>
        <v>10Okt</v>
      </c>
      <c r="H353" s="100" t="str">
        <f t="shared" si="3"/>
        <v>Selasa</v>
      </c>
      <c r="I353" s="97" t="s">
        <v>95</v>
      </c>
      <c r="J353" s="97" t="s">
        <v>107</v>
      </c>
      <c r="K353" s="97" t="s">
        <v>63</v>
      </c>
      <c r="L353" s="101" t="s">
        <v>193</v>
      </c>
      <c r="M353" s="102" t="str">
        <f>IFNA(VLOOKUP(L353,'🙎‍♂️ Pasien'!G:V,2,FALSE),"")</f>
        <v>E8925075615</v>
      </c>
      <c r="N353" s="103">
        <f>IFNA(VLOOKUP(L353,'🙎‍♂️ Pasien'!G:L,3,FALSE),"")</f>
        <v>36</v>
      </c>
      <c r="O353" s="104" t="str">
        <f>IFNA(VLOOKUP(L353,'🙎‍♂️ Pasien'!G:V,6,FALSE),"")</f>
        <v>PEREMPUAN</v>
      </c>
      <c r="P353" s="104" t="str">
        <f>IFNA(VLOOKUP(L353,'🙎‍♂️ Pasien'!G:V,12,FALSE),"")</f>
        <v>KATOLIK</v>
      </c>
      <c r="Q353" s="104" t="str">
        <f>IFNA(VLOOKUP(L353:L1508,'🙎‍♂️ Pasien'!G:V,13,FALSE),"")</f>
        <v>WIRASWASTA</v>
      </c>
      <c r="R353" s="104" t="str">
        <f t="array" ref="R353">ifna(xlookup(L353,'🙎‍♂️ Pasien'!$G$5:$G1508,'🙎‍♂️ Pasien'!$T$5:$T1508),"")</f>
        <v>BUNION</v>
      </c>
      <c r="S353" s="104" t="str">
        <f t="array" ref="S353">ifna(xlookup(L353,'🙎‍♂️ Pasien'!$G$5:$G1508,'🙎‍♂️ Pasien'!$U$5:$U1508),"")</f>
        <v>TENNIS</v>
      </c>
      <c r="T353" s="97" t="s">
        <v>59</v>
      </c>
      <c r="U353" s="105">
        <v>9.0</v>
      </c>
      <c r="V353" s="101"/>
      <c r="W353" s="106" t="b">
        <v>1</v>
      </c>
      <c r="X353" s="107"/>
      <c r="Y353" s="108"/>
    </row>
    <row r="354" ht="22.5" customHeight="1">
      <c r="A354" s="96"/>
      <c r="B354" s="97" t="s">
        <v>85</v>
      </c>
      <c r="C354" s="98" t="str">
        <f t="array" ref="C354">IFNA(XLOOKUP(J354,'⚙️ Pengaturan'!$H$5:$H1508,'⚙️ Pengaturan'!$I$5:$I1508),"")</f>
        <v>TIM Y</v>
      </c>
      <c r="D354" s="97" t="s">
        <v>54</v>
      </c>
      <c r="E354" s="99">
        <v>45951.0</v>
      </c>
      <c r="F354" s="100" t="str">
        <f t="shared" si="1"/>
        <v>2025</v>
      </c>
      <c r="G354" s="100" t="str">
        <f t="shared" si="2"/>
        <v>10Okt</v>
      </c>
      <c r="H354" s="100" t="str">
        <f t="shared" si="3"/>
        <v>Selasa</v>
      </c>
      <c r="I354" s="97" t="s">
        <v>95</v>
      </c>
      <c r="J354" s="97" t="s">
        <v>88</v>
      </c>
      <c r="K354" s="97" t="s">
        <v>69</v>
      </c>
      <c r="L354" s="101" t="s">
        <v>182</v>
      </c>
      <c r="M354" s="102" t="str">
        <f>IFNA(VLOOKUP(L354,'🙎‍♂️ Pasien'!G:V,2,FALSE),"")</f>
        <v>J8823019998</v>
      </c>
      <c r="N354" s="103">
        <f>IFNA(VLOOKUP(L354,'🙎‍♂️ Pasien'!G:L,3,FALSE),"")</f>
        <v>38</v>
      </c>
      <c r="O354" s="104" t="str">
        <f>IFNA(VLOOKUP(L354,'🙎‍♂️ Pasien'!G:V,6,FALSE),"")</f>
        <v>LAKI-LAKI</v>
      </c>
      <c r="P354" s="104" t="str">
        <f>IFNA(VLOOKUP(L354,'🙎‍♂️ Pasien'!G:V,12,FALSE),"")</f>
        <v>BUDDHA</v>
      </c>
      <c r="Q354" s="104" t="str">
        <f>IFNA(VLOOKUP(L354:L1508,'🙎‍♂️ Pasien'!G:V,13,FALSE),"")</f>
        <v>WIRASWASTA</v>
      </c>
      <c r="R354" s="104" t="str">
        <f t="array" ref="R354">ifna(xlookup(L354,'🙎‍♂️ Pasien'!$G$5:$G1508,'🙎‍♂️ Pasien'!$T$5:$T1508),"")</f>
        <v>STROKE</v>
      </c>
      <c r="S354" s="104" t="str">
        <f t="array" ref="S354">ifna(xlookup(L354,'🙎‍♂️ Pasien'!$G$5:$G1508,'🙎‍♂️ Pasien'!$U$5:$U1508),"")</f>
        <v>-</v>
      </c>
      <c r="T354" s="97" t="s">
        <v>67</v>
      </c>
      <c r="U354" s="105" t="s">
        <v>60</v>
      </c>
      <c r="V354" s="101" t="s">
        <v>205</v>
      </c>
      <c r="W354" s="106" t="b">
        <v>1</v>
      </c>
      <c r="X354" s="107"/>
      <c r="Y354" s="108"/>
    </row>
    <row r="355" ht="22.5" customHeight="1">
      <c r="A355" s="96"/>
      <c r="B355" s="97" t="s">
        <v>85</v>
      </c>
      <c r="C355" s="98" t="str">
        <f t="array" ref="C355">IFNA(XLOOKUP(J355,'⚙️ Pengaturan'!$H$5:$H1508,'⚙️ Pengaturan'!$I$5:$I1508),"")</f>
        <v>TIM Y</v>
      </c>
      <c r="D355" s="97" t="s">
        <v>54</v>
      </c>
      <c r="E355" s="99">
        <v>45951.0</v>
      </c>
      <c r="F355" s="100" t="str">
        <f t="shared" si="1"/>
        <v>2025</v>
      </c>
      <c r="G355" s="100" t="str">
        <f t="shared" si="2"/>
        <v>10Okt</v>
      </c>
      <c r="H355" s="100" t="str">
        <f t="shared" si="3"/>
        <v>Selasa</v>
      </c>
      <c r="I355" s="97" t="s">
        <v>97</v>
      </c>
      <c r="J355" s="97" t="s">
        <v>88</v>
      </c>
      <c r="K355" s="97" t="s">
        <v>69</v>
      </c>
      <c r="L355" s="101" t="s">
        <v>254</v>
      </c>
      <c r="M355" s="102" t="str">
        <f>IFNA(VLOOKUP(L355,'🙎‍♂️ Pasien'!G:V,2,FALSE),"")</f>
        <v>G0225101517</v>
      </c>
      <c r="N355" s="103">
        <f>IFNA(VLOOKUP(L355,'🙎‍♂️ Pasien'!G:L,3,FALSE),"")</f>
        <v>24</v>
      </c>
      <c r="O355" s="104" t="str">
        <f>IFNA(VLOOKUP(L355,'🙎‍♂️ Pasien'!G:V,6,FALSE),"")</f>
        <v>LAKI-LAKI</v>
      </c>
      <c r="P355" s="104" t="str">
        <f>IFNA(VLOOKUP(L355,'🙎‍♂️ Pasien'!G:V,12,FALSE),"")</f>
        <v>KATOLIK</v>
      </c>
      <c r="Q355" s="104" t="str">
        <f>IFNA(VLOOKUP(L355:L1508,'🙎‍♂️ Pasien'!G:V,13,FALSE),"")</f>
        <v>MAHASISWA</v>
      </c>
      <c r="R355" s="104" t="str">
        <f t="array" ref="R355">ifna(xlookup(L355,'🙎‍♂️ Pasien'!$G$5:$G1508,'🙎‍♂️ Pasien'!$T$5:$T1508),"")</f>
        <v>NYERI PADA LUTUT BAGIAN LUAR</v>
      </c>
      <c r="S355" s="104" t="str">
        <f t="array" ref="S355">ifna(xlookup(L355,'🙎‍♂️ Pasien'!$G$5:$G1508,'🙎‍♂️ Pasien'!$U$5:$U1508),"")</f>
        <v>LARI, MINI SOCCER, GYM</v>
      </c>
      <c r="T355" s="97" t="s">
        <v>67</v>
      </c>
      <c r="U355" s="105" t="s">
        <v>60</v>
      </c>
      <c r="V355" s="101" t="s">
        <v>183</v>
      </c>
      <c r="W355" s="106" t="b">
        <v>1</v>
      </c>
      <c r="X355" s="107"/>
      <c r="Y355" s="108"/>
    </row>
    <row r="356" ht="22.5" customHeight="1">
      <c r="A356" s="96"/>
      <c r="B356" s="97" t="s">
        <v>85</v>
      </c>
      <c r="C356" s="98" t="str">
        <f t="array" ref="C356">IFNA(XLOOKUP(J356,'⚙️ Pengaturan'!$H$5:$H1508,'⚙️ Pengaturan'!$I$5:$I1508),"")</f>
        <v>TIM Y</v>
      </c>
      <c r="D356" s="97" t="s">
        <v>54</v>
      </c>
      <c r="E356" s="99">
        <v>45951.0</v>
      </c>
      <c r="F356" s="100" t="str">
        <f t="shared" si="1"/>
        <v>2025</v>
      </c>
      <c r="G356" s="100" t="str">
        <f t="shared" si="2"/>
        <v>10Okt</v>
      </c>
      <c r="H356" s="100" t="str">
        <f t="shared" si="3"/>
        <v>Selasa</v>
      </c>
      <c r="I356" s="97" t="s">
        <v>97</v>
      </c>
      <c r="J356" s="97" t="s">
        <v>91</v>
      </c>
      <c r="K356" s="97" t="s">
        <v>135</v>
      </c>
      <c r="L356" s="101" t="s">
        <v>313</v>
      </c>
      <c r="M356" s="102" t="str">
        <f>IFNA(VLOOKUP(L356,'🙎‍♂️ Pasien'!G:V,2,FALSE),"")</f>
        <v>K9925107744</v>
      </c>
      <c r="N356" s="103">
        <f>IFNA(VLOOKUP(L356,'🙎‍♂️ Pasien'!G:L,3,FALSE),"")</f>
        <v>26</v>
      </c>
      <c r="O356" s="104" t="str">
        <f>IFNA(VLOOKUP(L356,'🙎‍♂️ Pasien'!G:V,6,FALSE),"")</f>
        <v>PEREMPUAN</v>
      </c>
      <c r="P356" s="104" t="str">
        <f>IFNA(VLOOKUP(L356,'🙎‍♂️ Pasien'!G:V,12,FALSE),"")</f>
        <v>KATOLIK</v>
      </c>
      <c r="Q356" s="104" t="str">
        <f>IFNA(VLOOKUP(L356:L1508,'🙎‍♂️ Pasien'!G:V,13,FALSE),"")</f>
        <v>SWASTA</v>
      </c>
      <c r="R356" s="104" t="str">
        <f t="array" ref="R356">ifna(xlookup(L356,'🙎‍♂️ Pasien'!$G$5:$G1508,'🙎‍♂️ Pasien'!$T$5:$T1508),"")</f>
        <v>SAKIT BELAKANG</v>
      </c>
      <c r="S356" s="104" t="str">
        <f t="array" ref="S356">ifna(xlookup(L356,'🙎‍♂️ Pasien'!$G$5:$G1508,'🙎‍♂️ Pasien'!$U$5:$U1508),"")</f>
        <v>TIDAK ADA</v>
      </c>
      <c r="T356" s="97" t="s">
        <v>67</v>
      </c>
      <c r="U356" s="105" t="s">
        <v>60</v>
      </c>
      <c r="V356" s="101" t="s">
        <v>212</v>
      </c>
      <c r="W356" s="106" t="b">
        <v>1</v>
      </c>
      <c r="X356" s="107"/>
      <c r="Y356" s="108"/>
    </row>
    <row r="357" ht="22.5" customHeight="1">
      <c r="A357" s="96"/>
      <c r="B357" s="97" t="s">
        <v>85</v>
      </c>
      <c r="C357" s="98" t="str">
        <f t="array" ref="C357">IFNA(XLOOKUP(J357,'⚙️ Pengaturan'!$H$5:$H1508,'⚙️ Pengaturan'!$I$5:$I1508),"")</f>
        <v>TIM Y</v>
      </c>
      <c r="D357" s="97" t="s">
        <v>54</v>
      </c>
      <c r="E357" s="99">
        <v>45951.0</v>
      </c>
      <c r="F357" s="100" t="str">
        <f t="shared" si="1"/>
        <v>2025</v>
      </c>
      <c r="G357" s="100" t="str">
        <f t="shared" si="2"/>
        <v>10Okt</v>
      </c>
      <c r="H357" s="100" t="str">
        <f t="shared" si="3"/>
        <v>Selasa</v>
      </c>
      <c r="I357" s="97" t="s">
        <v>97</v>
      </c>
      <c r="J357" s="97" t="s">
        <v>107</v>
      </c>
      <c r="K357" s="97" t="s">
        <v>63</v>
      </c>
      <c r="L357" s="101" t="s">
        <v>335</v>
      </c>
      <c r="M357" s="102" t="str">
        <f>IFNA(VLOOKUP(L357,'🙎‍♂️ Pasien'!G:V,2,FALSE),"")</f>
        <v>M8925040551</v>
      </c>
      <c r="N357" s="103">
        <f>IFNA(VLOOKUP(L357,'🙎‍♂️ Pasien'!G:L,3,FALSE),"")</f>
        <v>37</v>
      </c>
      <c r="O357" s="104" t="str">
        <f>IFNA(VLOOKUP(L357,'🙎‍♂️ Pasien'!G:V,6,FALSE),"")</f>
        <v>PEREMPUAN</v>
      </c>
      <c r="P357" s="104" t="str">
        <f>IFNA(VLOOKUP(L357,'🙎‍♂️ Pasien'!G:V,12,FALSE),"")</f>
        <v>-</v>
      </c>
      <c r="Q357" s="104" t="str">
        <f>IFNA(VLOOKUP(L357:L1508,'🙎‍♂️ Pasien'!G:V,13,FALSE),"")</f>
        <v>PNS</v>
      </c>
      <c r="R357" s="104" t="str">
        <f t="array" ref="R357">ifna(xlookup(L357,'🙎‍♂️ Pasien'!$G$5:$G1508,'🙎‍♂️ Pasien'!$T$5:$T1508),"")</f>
        <v>SAKIT DI TUMIT BAGIAN TENGAH TELAPAK KAKI, KAKI KANAN. KADANG TERASA HANGAT/PANAS</v>
      </c>
      <c r="S357" s="104" t="str">
        <f t="array" ref="S357">ifna(xlookup(L357,'🙎‍♂️ Pasien'!$G$5:$G1508,'🙎‍♂️ Pasien'!$U$5:$U1508),"")</f>
        <v>JALAN PAGI</v>
      </c>
      <c r="T357" s="97" t="s">
        <v>59</v>
      </c>
      <c r="U357" s="105">
        <v>5.0</v>
      </c>
      <c r="V357" s="101" t="s">
        <v>125</v>
      </c>
      <c r="W357" s="106" t="b">
        <v>1</v>
      </c>
      <c r="X357" s="107"/>
      <c r="Y357" s="108"/>
    </row>
    <row r="358" ht="22.5" customHeight="1">
      <c r="A358" s="96"/>
      <c r="B358" s="97" t="s">
        <v>85</v>
      </c>
      <c r="C358" s="98" t="str">
        <f t="array" ref="C358">IFNA(XLOOKUP(J358,'⚙️ Pengaturan'!$H$5:$H1508,'⚙️ Pengaturan'!$I$5:$I1508),"")</f>
        <v>TIM Y</v>
      </c>
      <c r="D358" s="97" t="s">
        <v>54</v>
      </c>
      <c r="E358" s="99">
        <v>45951.0</v>
      </c>
      <c r="F358" s="100" t="str">
        <f t="shared" si="1"/>
        <v>2025</v>
      </c>
      <c r="G358" s="100" t="str">
        <f t="shared" si="2"/>
        <v>10Okt</v>
      </c>
      <c r="H358" s="100" t="str">
        <f t="shared" si="3"/>
        <v>Selasa</v>
      </c>
      <c r="I358" s="97" t="s">
        <v>99</v>
      </c>
      <c r="J358" s="97" t="s">
        <v>88</v>
      </c>
      <c r="K358" s="97" t="s">
        <v>63</v>
      </c>
      <c r="L358" s="101" t="s">
        <v>190</v>
      </c>
      <c r="M358" s="102" t="str">
        <f>IFNA(VLOOKUP(L358,'🙎‍♂️ Pasien'!G:V,2,FALSE),"")</f>
        <v>A9025108786</v>
      </c>
      <c r="N358" s="103">
        <f>IFNA(VLOOKUP(L358,'🙎‍♂️ Pasien'!G:L,3,FALSE),"")</f>
        <v>35</v>
      </c>
      <c r="O358" s="104" t="str">
        <f>IFNA(VLOOKUP(L358,'🙎‍♂️ Pasien'!G:V,6,FALSE),"")</f>
        <v>LAKI-LAKI</v>
      </c>
      <c r="P358" s="104" t="str">
        <f>IFNA(VLOOKUP(L358,'🙎‍♂️ Pasien'!G:V,12,FALSE),"")</f>
        <v>ISLAM</v>
      </c>
      <c r="Q358" s="104" t="str">
        <f>IFNA(VLOOKUP(L358:L1508,'🙎‍♂️ Pasien'!G:V,13,FALSE),"")</f>
        <v>WIRASWASTA</v>
      </c>
      <c r="R358" s="104" t="str">
        <f t="array" ref="R358">ifna(xlookup(L358,'🙎‍♂️ Pasien'!$G$5:$G1508,'🙎‍♂️ Pasien'!$T$5:$T1508),"")</f>
        <v>KESELEO PADA BAGIAN LUTUT</v>
      </c>
      <c r="S358" s="104" t="str">
        <f t="array" ref="S358">ifna(xlookup(L358,'🙎‍♂️ Pasien'!$G$5:$G1508,'🙎‍♂️ Pasien'!$U$5:$U1508),"")</f>
        <v>BERMAIN BOLA</v>
      </c>
      <c r="T358" s="97" t="s">
        <v>59</v>
      </c>
      <c r="U358" s="105">
        <v>4.0</v>
      </c>
      <c r="V358" s="101"/>
      <c r="W358" s="106" t="b">
        <v>1</v>
      </c>
      <c r="X358" s="107"/>
      <c r="Y358" s="108"/>
    </row>
    <row r="359" ht="22.5" customHeight="1">
      <c r="A359" s="96"/>
      <c r="B359" s="97" t="s">
        <v>85</v>
      </c>
      <c r="C359" s="98" t="str">
        <f t="array" ref="C359">IFNA(XLOOKUP(J359,'⚙️ Pengaturan'!$H$5:$H1508,'⚙️ Pengaturan'!$I$5:$I1508),"")</f>
        <v>TIM Y</v>
      </c>
      <c r="D359" s="97" t="s">
        <v>54</v>
      </c>
      <c r="E359" s="99">
        <v>45951.0</v>
      </c>
      <c r="F359" s="100" t="str">
        <f t="shared" si="1"/>
        <v>2025</v>
      </c>
      <c r="G359" s="100" t="str">
        <f t="shared" si="2"/>
        <v>10Okt</v>
      </c>
      <c r="H359" s="100" t="str">
        <f t="shared" si="3"/>
        <v>Selasa</v>
      </c>
      <c r="I359" s="97" t="s">
        <v>99</v>
      </c>
      <c r="J359" s="97" t="s">
        <v>91</v>
      </c>
      <c r="K359" s="97" t="s">
        <v>69</v>
      </c>
      <c r="L359" s="101" t="s">
        <v>236</v>
      </c>
      <c r="M359" s="102" t="str">
        <f>IFNA(VLOOKUP(L359,'🙎‍♂️ Pasien'!G:V,2,FALSE),"")</f>
        <v>D8624112017</v>
      </c>
      <c r="N359" s="103">
        <f>IFNA(VLOOKUP(L359,'🙎‍♂️ Pasien'!G:L,3,FALSE),"")</f>
        <v>39</v>
      </c>
      <c r="O359" s="104" t="str">
        <f>IFNA(VLOOKUP(L359,'🙎‍♂️ Pasien'!G:V,6,FALSE),"")</f>
        <v>PEREMPUAN</v>
      </c>
      <c r="P359" s="104" t="str">
        <f>IFNA(VLOOKUP(L359,'🙎‍♂️ Pasien'!G:V,12,FALSE),"")</f>
        <v>ISLAM</v>
      </c>
      <c r="Q359" s="104" t="str">
        <f>IFNA(VLOOKUP(L359:L1508,'🙎‍♂️ Pasien'!G:V,13,FALSE),"")</f>
        <v>ASN</v>
      </c>
      <c r="R359" s="104" t="str">
        <f t="array" ref="R359">ifna(xlookup(L359,'🙎‍♂️ Pasien'!$G$5:$G1508,'🙎‍♂️ Pasien'!$T$5:$T1508),"")</f>
        <v>Nyeri pangkal paha kanan saat menapakkan kaki</v>
      </c>
      <c r="S359" s="104" t="str">
        <f t="array" ref="S359">ifna(xlookup(L359,'🙎‍♂️ Pasien'!$G$5:$G1508,'🙎‍♂️ Pasien'!$U$5:$U1508),"")</f>
        <v>Kerja kantor</v>
      </c>
      <c r="T359" s="97" t="s">
        <v>59</v>
      </c>
      <c r="U359" s="105" t="s">
        <v>60</v>
      </c>
      <c r="V359" s="101"/>
      <c r="W359" s="106" t="b">
        <v>1</v>
      </c>
      <c r="X359" s="107"/>
      <c r="Y359" s="108"/>
    </row>
    <row r="360" ht="22.5" customHeight="1">
      <c r="A360" s="96"/>
      <c r="B360" s="97" t="s">
        <v>85</v>
      </c>
      <c r="C360" s="98" t="str">
        <f t="array" ref="C360">IFNA(XLOOKUP(J360,'⚙️ Pengaturan'!$H$5:$H1508,'⚙️ Pengaturan'!$I$5:$I1508),"")</f>
        <v>TIM Y</v>
      </c>
      <c r="D360" s="97" t="s">
        <v>54</v>
      </c>
      <c r="E360" s="99">
        <v>45951.0</v>
      </c>
      <c r="F360" s="100" t="str">
        <f t="shared" si="1"/>
        <v>2025</v>
      </c>
      <c r="G360" s="100" t="str">
        <f t="shared" si="2"/>
        <v>10Okt</v>
      </c>
      <c r="H360" s="100" t="str">
        <f t="shared" si="3"/>
        <v>Selasa</v>
      </c>
      <c r="I360" s="97" t="s">
        <v>99</v>
      </c>
      <c r="J360" s="97" t="s">
        <v>107</v>
      </c>
      <c r="K360" s="97" t="s">
        <v>63</v>
      </c>
      <c r="L360" s="101" t="s">
        <v>259</v>
      </c>
      <c r="M360" s="102" t="str">
        <f>IFNA(VLOOKUP(L360,'🙎‍♂️ Pasien'!G:V,2,FALSE),"")</f>
        <v>D8625106969</v>
      </c>
      <c r="N360" s="103">
        <f>IFNA(VLOOKUP(L360,'🙎‍♂️ Pasien'!G:L,3,FALSE),"")</f>
        <v>39</v>
      </c>
      <c r="O360" s="104" t="str">
        <f>IFNA(VLOOKUP(L360,'🙎‍♂️ Pasien'!G:V,6,FALSE),"")</f>
        <v>PEREMPUAN</v>
      </c>
      <c r="P360" s="104" t="str">
        <f>IFNA(VLOOKUP(L360,'🙎‍♂️ Pasien'!G:V,12,FALSE),"")</f>
        <v>ISLAM</v>
      </c>
      <c r="Q360" s="104" t="str">
        <f>IFNA(VLOOKUP(L360:L1508,'🙎‍♂️ Pasien'!G:V,13,FALSE),"")</f>
        <v>PNS</v>
      </c>
      <c r="R360" s="104" t="str">
        <f t="array" ref="R360">ifna(xlookup(L360,'🙎‍♂️ Pasien'!$G$5:$G1508,'🙎‍♂️ Pasien'!$T$5:$T1508),"")</f>
        <v>LUTUT DAN LENGAN KAKU</v>
      </c>
      <c r="S360" s="104" t="str">
        <f t="array" ref="S360">ifna(xlookup(L360,'🙎‍♂️ Pasien'!$G$5:$G1508,'🙎‍♂️ Pasien'!$U$5:$U1508),"")</f>
        <v>HANYA KE KANTOR</v>
      </c>
      <c r="T360" s="97" t="s">
        <v>67</v>
      </c>
      <c r="U360" s="105">
        <v>5.0</v>
      </c>
      <c r="V360" s="101" t="s">
        <v>336</v>
      </c>
      <c r="W360" s="106" t="b">
        <v>1</v>
      </c>
      <c r="X360" s="107"/>
      <c r="Y360" s="108"/>
    </row>
    <row r="361" ht="22.5" customHeight="1">
      <c r="A361" s="96"/>
      <c r="B361" s="97" t="s">
        <v>53</v>
      </c>
      <c r="C361" s="98" t="str">
        <f t="array" ref="C361">IFNA(XLOOKUP(J361,'⚙️ Pengaturan'!$H$5:$H1508,'⚙️ Pengaturan'!$I$5:$I1508),"")</f>
        <v>TIM A</v>
      </c>
      <c r="D361" s="97" t="s">
        <v>54</v>
      </c>
      <c r="E361" s="99">
        <v>45952.0</v>
      </c>
      <c r="F361" s="100" t="str">
        <f t="shared" si="1"/>
        <v>2025</v>
      </c>
      <c r="G361" s="100" t="str">
        <f t="shared" si="2"/>
        <v>10Okt</v>
      </c>
      <c r="H361" s="100" t="str">
        <f t="shared" si="3"/>
        <v>Rabu</v>
      </c>
      <c r="I361" s="97" t="s">
        <v>55</v>
      </c>
      <c r="J361" s="97" t="s">
        <v>62</v>
      </c>
      <c r="K361" s="97" t="s">
        <v>63</v>
      </c>
      <c r="L361" s="101" t="s">
        <v>71</v>
      </c>
      <c r="M361" s="102" t="str">
        <f>IFNA(VLOOKUP(L361,'🙎‍♂️ Pasien'!G:V,2,FALSE),"")</f>
        <v>L5925109995</v>
      </c>
      <c r="N361" s="103">
        <f>IFNA(VLOOKUP(L361,'🙎‍♂️ Pasien'!G:L,3,FALSE),"")</f>
        <v>67</v>
      </c>
      <c r="O361" s="104" t="str">
        <f>IFNA(VLOOKUP(L361,'🙎‍♂️ Pasien'!G:V,6,FALSE),"")</f>
        <v>PEREMPUAN</v>
      </c>
      <c r="P361" s="104" t="str">
        <f>IFNA(VLOOKUP(L361,'🙎‍♂️ Pasien'!G:V,12,FALSE),"")</f>
        <v>KATOLIK</v>
      </c>
      <c r="Q361" s="104" t="str">
        <f>IFNA(VLOOKUP(L361:L1508,'🙎‍♂️ Pasien'!G:V,13,FALSE),"")</f>
        <v>WIRASWASTA</v>
      </c>
      <c r="R361" s="104" t="str">
        <f t="array" ref="R361">ifna(xlookup(L361,'🙎‍♂️ Pasien'!$G$5:$G1508,'🙎‍♂️ Pasien'!$T$5:$T1508),"")</f>
        <v>LUTUT</v>
      </c>
      <c r="S361" s="104" t="str">
        <f t="array" ref="S361">ifna(xlookup(L361,'🙎‍♂️ Pasien'!$G$5:$G1508,'🙎‍♂️ Pasien'!$U$5:$U1508),"")</f>
        <v>IBU RUMAH TANGGA</v>
      </c>
      <c r="T361" s="97" t="s">
        <v>59</v>
      </c>
      <c r="U361" s="105">
        <v>5.0</v>
      </c>
      <c r="V361" s="101"/>
      <c r="W361" s="106" t="b">
        <v>1</v>
      </c>
      <c r="X361" s="107"/>
      <c r="Y361" s="108"/>
    </row>
    <row r="362" ht="22.5" customHeight="1">
      <c r="A362" s="96"/>
      <c r="B362" s="97" t="s">
        <v>53</v>
      </c>
      <c r="C362" s="98" t="str">
        <f t="array" ref="C362">IFNA(XLOOKUP(J362,'⚙️ Pengaturan'!$H$5:$H1508,'⚙️ Pengaturan'!$I$5:$I1508),"")</f>
        <v>TIM A</v>
      </c>
      <c r="D362" s="97" t="s">
        <v>54</v>
      </c>
      <c r="E362" s="99">
        <v>45952.0</v>
      </c>
      <c r="F362" s="100" t="str">
        <f t="shared" si="1"/>
        <v>2025</v>
      </c>
      <c r="G362" s="100" t="str">
        <f t="shared" si="2"/>
        <v>10Okt</v>
      </c>
      <c r="H362" s="100" t="str">
        <f t="shared" si="3"/>
        <v>Rabu</v>
      </c>
      <c r="I362" s="97" t="s">
        <v>65</v>
      </c>
      <c r="J362" s="97" t="s">
        <v>62</v>
      </c>
      <c r="K362" s="97" t="s">
        <v>69</v>
      </c>
      <c r="L362" s="101" t="s">
        <v>253</v>
      </c>
      <c r="M362" s="102" t="str">
        <f>IFNA(VLOOKUP(L362,'🙎‍♂️ Pasien'!G:V,2,FALSE),"")</f>
        <v>N5125073362</v>
      </c>
      <c r="N362" s="103">
        <f>IFNA(VLOOKUP(L362,'🙎‍♂️ Pasien'!G:L,3,FALSE),"")</f>
        <v>74</v>
      </c>
      <c r="O362" s="104" t="str">
        <f>IFNA(VLOOKUP(L362,'🙎‍♂️ Pasien'!G:V,6,FALSE),"")</f>
        <v>PEREMPUAN</v>
      </c>
      <c r="P362" s="104" t="str">
        <f>IFNA(VLOOKUP(L362,'🙎‍♂️ Pasien'!G:V,12,FALSE),"")</f>
        <v>ISLAM</v>
      </c>
      <c r="Q362" s="104" t="str">
        <f>IFNA(VLOOKUP(L362:L1508,'🙎‍♂️ Pasien'!G:V,13,FALSE),"")</f>
        <v>PENSIUNAN</v>
      </c>
      <c r="R362" s="104" t="str">
        <f t="array" ref="R362">ifna(xlookup(L362,'🙎‍♂️ Pasien'!$G$5:$G1508,'🙎‍♂️ Pasien'!$T$5:$T1508),"")</f>
        <v>SAKIT PADA LUTUT UNTUK JALAN</v>
      </c>
      <c r="S362" s="104" t="str">
        <f t="array" ref="S362">ifna(xlookup(L362,'🙎‍♂️ Pasien'!$G$5:$G1508,'🙎‍♂️ Pasien'!$U$5:$U1508),"")</f>
        <v>TIDAK ADA</v>
      </c>
      <c r="T362" s="97" t="s">
        <v>67</v>
      </c>
      <c r="U362" s="105" t="s">
        <v>60</v>
      </c>
      <c r="V362" s="101" t="s">
        <v>199</v>
      </c>
      <c r="W362" s="106" t="b">
        <v>1</v>
      </c>
      <c r="X362" s="107"/>
      <c r="Y362" s="108"/>
    </row>
    <row r="363" ht="22.5" customHeight="1">
      <c r="A363" s="96"/>
      <c r="B363" s="97" t="s">
        <v>53</v>
      </c>
      <c r="C363" s="98" t="str">
        <f t="array" ref="C363">IFNA(XLOOKUP(J363,'⚙️ Pengaturan'!$H$5:$H1508,'⚙️ Pengaturan'!$I$5:$I1508),"")</f>
        <v>TIM A</v>
      </c>
      <c r="D363" s="97" t="s">
        <v>54</v>
      </c>
      <c r="E363" s="99">
        <v>45952.0</v>
      </c>
      <c r="F363" s="100" t="str">
        <f t="shared" si="1"/>
        <v>2025</v>
      </c>
      <c r="G363" s="100" t="str">
        <f t="shared" si="2"/>
        <v>10Okt</v>
      </c>
      <c r="H363" s="100" t="str">
        <f t="shared" si="3"/>
        <v>Rabu</v>
      </c>
      <c r="I363" s="97" t="s">
        <v>65</v>
      </c>
      <c r="J363" s="97" t="s">
        <v>72</v>
      </c>
      <c r="K363" s="97" t="s">
        <v>63</v>
      </c>
      <c r="L363" s="101" t="s">
        <v>200</v>
      </c>
      <c r="M363" s="102" t="str">
        <f>IFNA(VLOOKUP(L363,'🙎‍♂️ Pasien'!G:V,2,FALSE),"")</f>
        <v>R5725106810</v>
      </c>
      <c r="N363" s="103">
        <f>IFNA(VLOOKUP(L363,'🙎‍♂️ Pasien'!G:L,3,FALSE),"")</f>
        <v>68</v>
      </c>
      <c r="O363" s="104" t="str">
        <f>IFNA(VLOOKUP(L363,'🙎‍♂️ Pasien'!G:V,6,FALSE),"")</f>
        <v>PEREMPUAN</v>
      </c>
      <c r="P363" s="104" t="str">
        <f>IFNA(VLOOKUP(L363,'🙎‍♂️ Pasien'!G:V,12,FALSE),"")</f>
        <v>PROTESTAN</v>
      </c>
      <c r="Q363" s="104" t="str">
        <f>IFNA(VLOOKUP(L363:L1508,'🙎‍♂️ Pasien'!G:V,13,FALSE),"")</f>
        <v>RUMAH TANGGA</v>
      </c>
      <c r="R363" s="104" t="str">
        <f t="array" ref="R363">ifna(xlookup(L363,'🙎‍♂️ Pasien'!$G$5:$G1508,'🙎‍♂️ Pasien'!$T$5:$T1508),"")</f>
        <v>KAKI KIRI SERING NYILU, PEGAL KALAU MALAM WAKTU MAU TIDUR, BAGIAN LEHER DAN BELIKAT KANAN SERING SAKIT..</v>
      </c>
      <c r="S363" s="104" t="str">
        <f t="array" ref="S363">ifna(xlookup(L363,'🙎‍♂️ Pasien'!$G$5:$G1508,'🙎‍♂️ Pasien'!$U$5:$U1508),"")</f>
        <v>KERJA DIRUMAH</v>
      </c>
      <c r="T363" s="97" t="s">
        <v>59</v>
      </c>
      <c r="U363" s="105">
        <v>3.0</v>
      </c>
      <c r="V363" s="101"/>
      <c r="W363" s="106" t="b">
        <v>1</v>
      </c>
      <c r="X363" s="107"/>
      <c r="Y363" s="108"/>
    </row>
    <row r="364" ht="22.5" customHeight="1">
      <c r="A364" s="96"/>
      <c r="B364" s="97" t="s">
        <v>53</v>
      </c>
      <c r="C364" s="98" t="str">
        <f t="array" ref="C364">IFNA(XLOOKUP(J364,'⚙️ Pengaturan'!$H$5:$H1508,'⚙️ Pengaturan'!$I$5:$I1508),"")</f>
        <v>TIM A</v>
      </c>
      <c r="D364" s="97" t="s">
        <v>54</v>
      </c>
      <c r="E364" s="99">
        <v>45952.0</v>
      </c>
      <c r="F364" s="100" t="str">
        <f t="shared" si="1"/>
        <v>2025</v>
      </c>
      <c r="G364" s="100" t="str">
        <f t="shared" si="2"/>
        <v>10Okt</v>
      </c>
      <c r="H364" s="100" t="str">
        <f t="shared" si="3"/>
        <v>Rabu</v>
      </c>
      <c r="I364" s="97" t="s">
        <v>74</v>
      </c>
      <c r="J364" s="97" t="s">
        <v>62</v>
      </c>
      <c r="K364" s="97" t="s">
        <v>63</v>
      </c>
      <c r="L364" s="101" t="s">
        <v>302</v>
      </c>
      <c r="M364" s="102" t="str">
        <f>IFNA(VLOOKUP(L364,'🙎‍♂️ Pasien'!G:V,2,FALSE),"")</f>
        <v>A9425105994</v>
      </c>
      <c r="N364" s="103">
        <f>IFNA(VLOOKUP(L364,'🙎‍♂️ Pasien'!G:L,3,FALSE),"")</f>
        <v>32</v>
      </c>
      <c r="O364" s="104" t="str">
        <f>IFNA(VLOOKUP(L364,'🙎‍♂️ Pasien'!G:V,6,FALSE),"")</f>
        <v>LAKI-LAKI</v>
      </c>
      <c r="P364" s="104" t="str">
        <f>IFNA(VLOOKUP(L364,'🙎‍♂️ Pasien'!G:V,12,FALSE),"")</f>
        <v>ISLAM</v>
      </c>
      <c r="Q364" s="104" t="str">
        <f>IFNA(VLOOKUP(L364:L1508,'🙎‍♂️ Pasien'!G:V,13,FALSE),"")</f>
        <v>KARYAWAN SWASTA</v>
      </c>
      <c r="R364" s="104" t="str">
        <f t="array" ref="R364">ifna(xlookup(L364,'🙎‍♂️ Pasien'!$G$5:$G1508,'🙎‍♂️ Pasien'!$T$5:$T1508),"")</f>
        <v>LUTUT</v>
      </c>
      <c r="S364" s="104" t="str">
        <f t="array" ref="S364">ifna(xlookup(L364,'🙎‍♂️ Pasien'!$G$5:$G1508,'🙎‍♂️ Pasien'!$U$5:$U1508),"")</f>
        <v>OLAGRAGA</v>
      </c>
      <c r="T364" s="97" t="s">
        <v>67</v>
      </c>
      <c r="U364" s="105">
        <v>2.0</v>
      </c>
      <c r="V364" s="101" t="s">
        <v>337</v>
      </c>
      <c r="W364" s="106" t="b">
        <v>1</v>
      </c>
      <c r="X364" s="107"/>
      <c r="Y364" s="108"/>
    </row>
    <row r="365" ht="22.5" customHeight="1">
      <c r="A365" s="96"/>
      <c r="B365" s="97" t="s">
        <v>53</v>
      </c>
      <c r="C365" s="98" t="str">
        <f t="array" ref="C365">IFNA(XLOOKUP(J365,'⚙️ Pengaturan'!$H$5:$H1508,'⚙️ Pengaturan'!$I$5:$I1508),"")</f>
        <v>TIM Y</v>
      </c>
      <c r="D365" s="97" t="s">
        <v>54</v>
      </c>
      <c r="E365" s="99">
        <v>45952.0</v>
      </c>
      <c r="F365" s="100" t="str">
        <f t="shared" si="1"/>
        <v>2025</v>
      </c>
      <c r="G365" s="100" t="str">
        <f t="shared" si="2"/>
        <v>10Okt</v>
      </c>
      <c r="H365" s="100" t="str">
        <f t="shared" si="3"/>
        <v>Rabu</v>
      </c>
      <c r="I365" s="97" t="s">
        <v>74</v>
      </c>
      <c r="J365" s="97" t="s">
        <v>56</v>
      </c>
      <c r="K365" s="97" t="s">
        <v>57</v>
      </c>
      <c r="L365" s="101" t="s">
        <v>338</v>
      </c>
      <c r="M365" s="102" t="str">
        <f>IFNA(VLOOKUP(L365,'🙎‍♂️ Pasien'!G:V,2,FALSE),"")</f>
        <v>M0125103039</v>
      </c>
      <c r="N365" s="103">
        <f>IFNA(VLOOKUP(L365,'🙎‍♂️ Pasien'!G:L,3,FALSE),"")</f>
        <v>25</v>
      </c>
      <c r="O365" s="104" t="str">
        <f>IFNA(VLOOKUP(L365,'🙎‍♂️ Pasien'!G:V,6,FALSE),"")</f>
        <v>LAKI-LAKI</v>
      </c>
      <c r="P365" s="104" t="str">
        <f>IFNA(VLOOKUP(L365,'🙎‍♂️ Pasien'!G:V,12,FALSE),"")</f>
        <v>ISLAM</v>
      </c>
      <c r="Q365" s="104" t="str">
        <f>IFNA(VLOOKUP(L365:L1508,'🙎‍♂️ Pasien'!G:V,13,FALSE),"")</f>
        <v>NARKAM</v>
      </c>
      <c r="R365" s="104" t="str">
        <f t="array" ref="R365">ifna(xlookup(L365,'🙎‍♂️ Pasien'!$G$5:$G1508,'🙎‍♂️ Pasien'!$T$5:$T1508),"")</f>
        <v>CIDERA LUTUT</v>
      </c>
      <c r="S365" s="104" t="str">
        <f t="array" ref="S365">ifna(xlookup(L365,'🙎‍♂️ Pasien'!$G$5:$G1508,'🙎‍♂️ Pasien'!$U$5:$U1508),"")</f>
        <v>NARKAM</v>
      </c>
      <c r="T365" s="97" t="s">
        <v>59</v>
      </c>
      <c r="U365" s="105" t="s">
        <v>60</v>
      </c>
      <c r="V365" s="101"/>
      <c r="W365" s="106" t="b">
        <v>1</v>
      </c>
      <c r="X365" s="107"/>
      <c r="Y365" s="108"/>
    </row>
    <row r="366" ht="22.5" customHeight="1">
      <c r="A366" s="96"/>
      <c r="B366" s="97" t="s">
        <v>53</v>
      </c>
      <c r="C366" s="98" t="str">
        <f t="array" ref="C366">IFNA(XLOOKUP(J366,'⚙️ Pengaturan'!$H$5:$H1508,'⚙️ Pengaturan'!$I$5:$I1508),"")</f>
        <v>TIM A</v>
      </c>
      <c r="D366" s="97" t="s">
        <v>54</v>
      </c>
      <c r="E366" s="99">
        <v>45952.0</v>
      </c>
      <c r="F366" s="100" t="str">
        <f t="shared" si="1"/>
        <v>2025</v>
      </c>
      <c r="G366" s="100" t="str">
        <f t="shared" si="2"/>
        <v>10Okt</v>
      </c>
      <c r="H366" s="100" t="str">
        <f t="shared" si="3"/>
        <v>Rabu</v>
      </c>
      <c r="I366" s="97" t="s">
        <v>74</v>
      </c>
      <c r="J366" s="97" t="s">
        <v>79</v>
      </c>
      <c r="K366" s="97" t="s">
        <v>63</v>
      </c>
      <c r="L366" s="101" t="s">
        <v>244</v>
      </c>
      <c r="M366" s="102" t="str">
        <f>IFNA(VLOOKUP(L366,'🙎‍♂️ Pasien'!G:V,2,FALSE),"")</f>
        <v>N7425100815</v>
      </c>
      <c r="N366" s="103">
        <f>IFNA(VLOOKUP(L366,'🙎‍♂️ Pasien'!G:L,3,FALSE),"")</f>
        <v>52</v>
      </c>
      <c r="O366" s="104" t="str">
        <f>IFNA(VLOOKUP(L366,'🙎‍♂️ Pasien'!G:V,6,FALSE),"")</f>
        <v>PEREMPUAN</v>
      </c>
      <c r="P366" s="104" t="str">
        <f>IFNA(VLOOKUP(L366,'🙎‍♂️ Pasien'!G:V,12,FALSE),"")</f>
        <v>ISLAM</v>
      </c>
      <c r="Q366" s="104" t="str">
        <f>IFNA(VLOOKUP(L366:L1508,'🙎‍♂️ Pasien'!G:V,13,FALSE),"")</f>
        <v>IBU RUMAH TANGGA</v>
      </c>
      <c r="R366" s="104" t="str">
        <f t="array" ref="R366">ifna(xlookup(L366,'🙎‍♂️ Pasien'!$G$5:$G1508,'🙎‍♂️ Pasien'!$T$5:$T1508),"")</f>
        <v/>
      </c>
      <c r="S366" s="104" t="str">
        <f t="array" ref="S366">ifna(xlookup(L366,'🙎‍♂️ Pasien'!$G$5:$G1508,'🙎‍♂️ Pasien'!$U$5:$U1508),"")</f>
        <v>MENATA ULANG INTERIOR RUMAH</v>
      </c>
      <c r="T366" s="97" t="s">
        <v>59</v>
      </c>
      <c r="U366" s="105">
        <v>4.0</v>
      </c>
      <c r="V366" s="101"/>
      <c r="W366" s="106" t="b">
        <v>1</v>
      </c>
      <c r="X366" s="107"/>
      <c r="Y366" s="108"/>
    </row>
    <row r="367" ht="22.5" customHeight="1">
      <c r="A367" s="96"/>
      <c r="B367" s="97" t="s">
        <v>53</v>
      </c>
      <c r="C367" s="98" t="str">
        <f t="array" ref="C367">IFNA(XLOOKUP(J367,'⚙️ Pengaturan'!$H$5:$H1508,'⚙️ Pengaturan'!$I$5:$I1508),"")</f>
        <v>TIM Y</v>
      </c>
      <c r="D367" s="97" t="s">
        <v>54</v>
      </c>
      <c r="E367" s="99">
        <v>45952.0</v>
      </c>
      <c r="F367" s="100" t="str">
        <f t="shared" si="1"/>
        <v>2025</v>
      </c>
      <c r="G367" s="100" t="str">
        <f t="shared" si="2"/>
        <v>10Okt</v>
      </c>
      <c r="H367" s="100" t="str">
        <f t="shared" si="3"/>
        <v>Rabu</v>
      </c>
      <c r="I367" s="97" t="s">
        <v>76</v>
      </c>
      <c r="J367" s="97" t="s">
        <v>56</v>
      </c>
      <c r="K367" s="97" t="s">
        <v>57</v>
      </c>
      <c r="L367" s="101" t="s">
        <v>339</v>
      </c>
      <c r="M367" s="102" t="str">
        <f>IFNA(VLOOKUP(L367,'🙎‍♂️ Pasien'!G:V,2,FALSE),"")</f>
        <v>H0125105276</v>
      </c>
      <c r="N367" s="103">
        <f>IFNA(VLOOKUP(L367,'🙎‍♂️ Pasien'!G:L,3,FALSE),"")</f>
        <v>24</v>
      </c>
      <c r="O367" s="104" t="str">
        <f>IFNA(VLOOKUP(L367,'🙎‍♂️ Pasien'!G:V,6,FALSE),"")</f>
        <v>LAKI-LAKI</v>
      </c>
      <c r="P367" s="104" t="str">
        <f>IFNA(VLOOKUP(L367,'🙎‍♂️ Pasien'!G:V,12,FALSE),"")</f>
        <v>LAINNYA</v>
      </c>
      <c r="Q367" s="104" t="str">
        <f>IFNA(VLOOKUP(L367:L1508,'🙎‍♂️ Pasien'!G:V,13,FALSE),"")</f>
        <v>COOK</v>
      </c>
      <c r="R367" s="104" t="str">
        <f t="array" ref="R367">ifna(xlookup(L367,'🙎‍♂️ Pasien'!$G$5:$G1508,'🙎‍♂️ Pasien'!$T$5:$T1508),"")</f>
        <v>LEHER, PUNGGUNG DAN BAHU</v>
      </c>
      <c r="S367" s="104" t="str">
        <f t="array" ref="S367">ifna(xlookup(L367,'🙎‍♂️ Pasien'!$G$5:$G1508,'🙎‍♂️ Pasien'!$U$5:$U1508),"")</f>
        <v>MENYETIR</v>
      </c>
      <c r="T367" s="97" t="s">
        <v>59</v>
      </c>
      <c r="U367" s="105" t="s">
        <v>60</v>
      </c>
      <c r="V367" s="101"/>
      <c r="W367" s="106" t="b">
        <v>1</v>
      </c>
      <c r="X367" s="107"/>
      <c r="Y367" s="108"/>
    </row>
    <row r="368" ht="22.5" customHeight="1">
      <c r="A368" s="96"/>
      <c r="B368" s="97" t="s">
        <v>53</v>
      </c>
      <c r="C368" s="98" t="str">
        <f t="array" ref="C368">IFNA(XLOOKUP(J368,'⚙️ Pengaturan'!$H$5:$H1508,'⚙️ Pengaturan'!$I$5:$I1508),"")</f>
        <v>TIM A</v>
      </c>
      <c r="D368" s="97" t="s">
        <v>54</v>
      </c>
      <c r="E368" s="99">
        <v>45952.0</v>
      </c>
      <c r="F368" s="100" t="str">
        <f t="shared" si="1"/>
        <v>2025</v>
      </c>
      <c r="G368" s="100" t="str">
        <f t="shared" si="2"/>
        <v>10Okt</v>
      </c>
      <c r="H368" s="100" t="str">
        <f t="shared" si="3"/>
        <v>Rabu</v>
      </c>
      <c r="I368" s="97" t="s">
        <v>76</v>
      </c>
      <c r="J368" s="97" t="s">
        <v>62</v>
      </c>
      <c r="K368" s="97" t="s">
        <v>63</v>
      </c>
      <c r="L368" s="101" t="s">
        <v>266</v>
      </c>
      <c r="M368" s="102" t="str">
        <f>IFNA(VLOOKUP(L368,'🙎‍♂️ Pasien'!G:V,2,FALSE),"")</f>
        <v>R8125102726</v>
      </c>
      <c r="N368" s="103">
        <f>IFNA(VLOOKUP(L368,'🙎‍♂️ Pasien'!G:L,3,FALSE),"")</f>
        <v>45</v>
      </c>
      <c r="O368" s="104" t="str">
        <f>IFNA(VLOOKUP(L368,'🙎‍♂️ Pasien'!G:V,6,FALSE),"")</f>
        <v>PEREMPUAN</v>
      </c>
      <c r="P368" s="104" t="str">
        <f>IFNA(VLOOKUP(L368,'🙎‍♂️ Pasien'!G:V,12,FALSE),"")</f>
        <v>ISLAM</v>
      </c>
      <c r="Q368" s="104" t="str">
        <f>IFNA(VLOOKUP(L368:L1508,'🙎‍♂️ Pasien'!G:V,13,FALSE),"")</f>
        <v>IBU RUMAH TANGGA</v>
      </c>
      <c r="R368" s="104" t="str">
        <f t="array" ref="R368">ifna(xlookup(L368,'🙎‍♂️ Pasien'!$G$5:$G1508,'🙎‍♂️ Pasien'!$T$5:$T1508),"")</f>
        <v>SAKIT KAKI</v>
      </c>
      <c r="S368" s="104" t="str">
        <f t="array" ref="S368">ifna(xlookup(L368,'🙎‍♂️ Pasien'!$G$5:$G1508,'🙎‍♂️ Pasien'!$U$5:$U1508),"")</f>
        <v>JAIT</v>
      </c>
      <c r="T368" s="97" t="s">
        <v>59</v>
      </c>
      <c r="U368" s="105">
        <v>3.0</v>
      </c>
      <c r="V368" s="101"/>
      <c r="W368" s="106" t="b">
        <v>1</v>
      </c>
      <c r="X368" s="107"/>
      <c r="Y368" s="108"/>
    </row>
    <row r="369" ht="22.5" customHeight="1">
      <c r="A369" s="96"/>
      <c r="B369" s="97" t="s">
        <v>53</v>
      </c>
      <c r="C369" s="98" t="str">
        <f t="array" ref="C369">IFNA(XLOOKUP(J369,'⚙️ Pengaturan'!$H$5:$H1508,'⚙️ Pengaturan'!$I$5:$I1508),"")</f>
        <v>TIM A</v>
      </c>
      <c r="D369" s="97" t="s">
        <v>54</v>
      </c>
      <c r="E369" s="99">
        <v>45952.0</v>
      </c>
      <c r="F369" s="100" t="str">
        <f t="shared" si="1"/>
        <v>2025</v>
      </c>
      <c r="G369" s="100" t="str">
        <f t="shared" si="2"/>
        <v>10Okt</v>
      </c>
      <c r="H369" s="100" t="str">
        <f t="shared" si="3"/>
        <v>Rabu</v>
      </c>
      <c r="I369" s="97" t="s">
        <v>76</v>
      </c>
      <c r="J369" s="97" t="s">
        <v>79</v>
      </c>
      <c r="K369" s="97" t="s">
        <v>69</v>
      </c>
      <c r="L369" s="101" t="s">
        <v>320</v>
      </c>
      <c r="M369" s="102" t="str">
        <f>IFNA(VLOOKUP(L369,'🙎‍♂️ Pasien'!G:V,2,FALSE),"")</f>
        <v>S6325104795</v>
      </c>
      <c r="N369" s="103">
        <f>IFNA(VLOOKUP(L369,'🙎‍♂️ Pasien'!G:L,3,FALSE),"")</f>
        <v>62</v>
      </c>
      <c r="O369" s="104" t="str">
        <f>IFNA(VLOOKUP(L369,'🙎‍♂️ Pasien'!G:V,6,FALSE),"")</f>
        <v>PEREMPUAN</v>
      </c>
      <c r="P369" s="104" t="str">
        <f>IFNA(VLOOKUP(L369,'🙎‍♂️ Pasien'!G:V,12,FALSE),"")</f>
        <v>ISLAM</v>
      </c>
      <c r="Q369" s="104" t="str">
        <f>IFNA(VLOOKUP(L369:L1508,'🙎‍♂️ Pasien'!G:V,13,FALSE),"")</f>
        <v>PENSIUN</v>
      </c>
      <c r="R369" s="104" t="str">
        <f t="array" ref="R369">ifna(xlookup(L369,'🙎‍♂️ Pasien'!$G$5:$G1508,'🙎‍♂️ Pasien'!$T$5:$T1508),"")</f>
        <v>SAKIT AREA PINGGANG DAN PUNGGUNG SETELAH JATUH DARI TANGGA</v>
      </c>
      <c r="S369" s="104" t="str">
        <f t="array" ref="S369">ifna(xlookup(L369,'🙎‍♂️ Pasien'!$G$5:$G1508,'🙎‍♂️ Pasien'!$U$5:$U1508),"")</f>
        <v>HABIS JEMUR PAKAIAN DILANTAI ATAS, TERPLESET DITANGGA</v>
      </c>
      <c r="T369" s="97" t="s">
        <v>59</v>
      </c>
      <c r="U369" s="105" t="s">
        <v>60</v>
      </c>
      <c r="V369" s="101"/>
      <c r="W369" s="106" t="b">
        <v>1</v>
      </c>
      <c r="X369" s="107"/>
      <c r="Y369" s="108"/>
    </row>
    <row r="370" ht="22.5" customHeight="1">
      <c r="A370" s="96"/>
      <c r="B370" s="97" t="s">
        <v>53</v>
      </c>
      <c r="C370" s="98" t="str">
        <f t="array" ref="C370">IFNA(XLOOKUP(J370,'⚙️ Pengaturan'!$H$5:$H1508,'⚙️ Pengaturan'!$I$5:$I1508),"")</f>
        <v>TIM A</v>
      </c>
      <c r="D370" s="97" t="s">
        <v>54</v>
      </c>
      <c r="E370" s="99">
        <v>45952.0</v>
      </c>
      <c r="F370" s="100" t="str">
        <f t="shared" si="1"/>
        <v>2025</v>
      </c>
      <c r="G370" s="100" t="str">
        <f t="shared" si="2"/>
        <v>10Okt</v>
      </c>
      <c r="H370" s="100" t="str">
        <f t="shared" si="3"/>
        <v>Rabu</v>
      </c>
      <c r="I370" s="97" t="s">
        <v>83</v>
      </c>
      <c r="J370" s="97" t="s">
        <v>79</v>
      </c>
      <c r="K370" s="97" t="s">
        <v>63</v>
      </c>
      <c r="L370" s="101" t="s">
        <v>144</v>
      </c>
      <c r="M370" s="102" t="str">
        <f>IFNA(VLOOKUP(L370,'🙎‍♂️ Pasien'!G:V,2,FALSE),"")</f>
        <v>L2525104585</v>
      </c>
      <c r="N370" s="103">
        <f>IFNA(VLOOKUP(L370,'🙎‍♂️ Pasien'!G:L,3,FALSE),"")</f>
        <v>0</v>
      </c>
      <c r="O370" s="104" t="str">
        <f>IFNA(VLOOKUP(L370,'🙎‍♂️ Pasien'!G:V,6,FALSE),"")</f>
        <v>PEREMPUAN</v>
      </c>
      <c r="P370" s="104" t="str">
        <f>IFNA(VLOOKUP(L370,'🙎‍♂️ Pasien'!G:V,12,FALSE),"")</f>
        <v>ISLAM</v>
      </c>
      <c r="Q370" s="104" t="str">
        <f>IFNA(VLOOKUP(L370:L1508,'🙎‍♂️ Pasien'!G:V,13,FALSE),"")</f>
        <v>ANGGOTA DPRD KOTA PONTIANAK</v>
      </c>
      <c r="R370" s="104" t="str">
        <f t="array" ref="R370">ifna(xlookup(L370,'🙎‍♂️ Pasien'!$G$5:$G1508,'🙎‍♂️ Pasien'!$T$5:$T1508),"")</f>
        <v>CEDERA BAHU</v>
      </c>
      <c r="S370" s="104" t="str">
        <f t="array" ref="S370">ifna(xlookup(L370,'🙎‍♂️ Pasien'!$G$5:$G1508,'🙎‍♂️ Pasien'!$U$5:$U1508),"")</f>
        <v>GYM</v>
      </c>
      <c r="T370" s="97" t="s">
        <v>59</v>
      </c>
      <c r="U370" s="105">
        <v>2.0</v>
      </c>
      <c r="V370" s="101"/>
      <c r="W370" s="106" t="b">
        <v>1</v>
      </c>
      <c r="X370" s="107"/>
      <c r="Y370" s="108"/>
    </row>
    <row r="371" ht="22.5" customHeight="1">
      <c r="A371" s="96"/>
      <c r="B371" s="97" t="s">
        <v>53</v>
      </c>
      <c r="C371" s="98" t="str">
        <f t="array" ref="C371">IFNA(XLOOKUP(J371,'⚙️ Pengaturan'!$H$5:$H1508,'⚙️ Pengaturan'!$I$5:$I1508),"")</f>
        <v>TIM A</v>
      </c>
      <c r="D371" s="97" t="s">
        <v>54</v>
      </c>
      <c r="E371" s="99">
        <v>45952.0</v>
      </c>
      <c r="F371" s="100" t="str">
        <f t="shared" si="1"/>
        <v>2025</v>
      </c>
      <c r="G371" s="100" t="str">
        <f t="shared" si="2"/>
        <v>10Okt</v>
      </c>
      <c r="H371" s="100" t="str">
        <f t="shared" si="3"/>
        <v>Rabu</v>
      </c>
      <c r="I371" s="97" t="s">
        <v>83</v>
      </c>
      <c r="J371" s="97" t="s">
        <v>72</v>
      </c>
      <c r="K371" s="97" t="s">
        <v>57</v>
      </c>
      <c r="L371" s="101" t="s">
        <v>340</v>
      </c>
      <c r="M371" s="102" t="str">
        <f>IFNA(VLOOKUP(L371,'🙎‍♂️ Pasien'!G:V,2,FALSE),"")</f>
        <v>S7024086880</v>
      </c>
      <c r="N371" s="103">
        <f>IFNA(VLOOKUP(L371,'🙎‍♂️ Pasien'!G:L,3,FALSE),"")</f>
        <v>56</v>
      </c>
      <c r="O371" s="104" t="str">
        <f>IFNA(VLOOKUP(L371,'🙎‍♂️ Pasien'!G:V,6,FALSE),"")</f>
        <v>PEREMPUAN</v>
      </c>
      <c r="P371" s="104" t="str">
        <f>IFNA(VLOOKUP(L371,'🙎‍♂️ Pasien'!G:V,12,FALSE),"")</f>
        <v>ISLAM</v>
      </c>
      <c r="Q371" s="104" t="str">
        <f>IFNA(VLOOKUP(L371:L1508,'🙎‍♂️ Pasien'!G:V,13,FALSE),"")</f>
        <v>ASN</v>
      </c>
      <c r="R371" s="104" t="str">
        <f t="array" ref="R371">ifna(xlookup(L371,'🙎‍♂️ Pasien'!$G$5:$G1508,'🙎‍♂️ Pasien'!$T$5:$T1508),"")</f>
        <v>Nyeri pinggang bagian belakang</v>
      </c>
      <c r="S371" s="104" t="str">
        <f t="array" ref="S371">ifna(xlookup(L371,'🙎‍♂️ Pasien'!$G$5:$G1508,'🙎‍♂️ Pasien'!$U$5:$U1508),"")</f>
        <v>Aktivitas kantor</v>
      </c>
      <c r="T371" s="97" t="s">
        <v>67</v>
      </c>
      <c r="U371" s="105" t="s">
        <v>60</v>
      </c>
      <c r="V371" s="101" t="s">
        <v>265</v>
      </c>
      <c r="W371" s="106" t="b">
        <v>1</v>
      </c>
      <c r="X371" s="107"/>
      <c r="Y371" s="108"/>
    </row>
    <row r="372" ht="22.5" customHeight="1">
      <c r="A372" s="96"/>
      <c r="B372" s="97" t="s">
        <v>53</v>
      </c>
      <c r="C372" s="98" t="str">
        <f t="array" ref="C372">IFNA(XLOOKUP(J372,'⚙️ Pengaturan'!$H$5:$H1508,'⚙️ Pengaturan'!$I$5:$I1508),"")</f>
        <v>TIM A</v>
      </c>
      <c r="D372" s="97" t="s">
        <v>54</v>
      </c>
      <c r="E372" s="99">
        <v>45952.0</v>
      </c>
      <c r="F372" s="100" t="str">
        <f t="shared" si="1"/>
        <v>2025</v>
      </c>
      <c r="G372" s="100" t="str">
        <f t="shared" si="2"/>
        <v>10Okt</v>
      </c>
      <c r="H372" s="100" t="str">
        <f t="shared" si="3"/>
        <v>Rabu</v>
      </c>
      <c r="I372" s="97" t="s">
        <v>83</v>
      </c>
      <c r="J372" s="97" t="s">
        <v>62</v>
      </c>
      <c r="K372" s="97" t="s">
        <v>57</v>
      </c>
      <c r="L372" s="101" t="s">
        <v>341</v>
      </c>
      <c r="M372" s="102" t="str">
        <f>IFNA(VLOOKUP(L372,'🙎‍♂️ Pasien'!G:V,2,FALSE),"")</f>
        <v>T7325100015</v>
      </c>
      <c r="N372" s="103">
        <f>IFNA(VLOOKUP(L372,'🙎‍♂️ Pasien'!G:L,3,FALSE),"")</f>
        <v>53</v>
      </c>
      <c r="O372" s="104" t="str">
        <f>IFNA(VLOOKUP(L372,'🙎‍♂️ Pasien'!G:V,6,FALSE),"")</f>
        <v>PEREMPUAN</v>
      </c>
      <c r="P372" s="104" t="str">
        <f>IFNA(VLOOKUP(L372,'🙎‍♂️ Pasien'!G:V,12,FALSE),"")</f>
        <v>ISLAM</v>
      </c>
      <c r="Q372" s="104" t="str">
        <f>IFNA(VLOOKUP(L372:L1508,'🙎‍♂️ Pasien'!G:V,13,FALSE),"")</f>
        <v>PNS</v>
      </c>
      <c r="R372" s="104" t="str">
        <f t="array" ref="R372">ifna(xlookup(L372,'🙎‍♂️ Pasien'!$G$5:$G1508,'🙎‍♂️ Pasien'!$T$5:$T1508),"")</f>
        <v>SAKIT KAKI DAN PINGGANG</v>
      </c>
      <c r="S372" s="104" t="str">
        <f t="array" ref="S372">ifna(xlookup(L372,'🙎‍♂️ Pasien'!$G$5:$G1508,'🙎‍♂️ Pasien'!$U$5:$U1508),"")</f>
        <v>NAIK TURUN TANGGA DAN JONGKOK</v>
      </c>
      <c r="T372" s="97" t="s">
        <v>59</v>
      </c>
      <c r="U372" s="105" t="s">
        <v>60</v>
      </c>
      <c r="V372" s="101"/>
      <c r="W372" s="106" t="b">
        <v>1</v>
      </c>
      <c r="X372" s="107"/>
      <c r="Y372" s="108"/>
    </row>
    <row r="373" ht="22.5" customHeight="1">
      <c r="A373" s="96"/>
      <c r="B373" s="97" t="s">
        <v>85</v>
      </c>
      <c r="C373" s="98" t="str">
        <f t="array" ref="C373">IFNA(XLOOKUP(J373,'⚙️ Pengaturan'!$H$5:$H1508,'⚙️ Pengaturan'!$I$5:$I1508),"")</f>
        <v>TIM Y</v>
      </c>
      <c r="D373" s="97" t="s">
        <v>86</v>
      </c>
      <c r="E373" s="99">
        <v>45952.0</v>
      </c>
      <c r="F373" s="100" t="str">
        <f t="shared" si="1"/>
        <v>2025</v>
      </c>
      <c r="G373" s="100" t="str">
        <f t="shared" si="2"/>
        <v>10Okt</v>
      </c>
      <c r="H373" s="100" t="str">
        <f t="shared" si="3"/>
        <v>Rabu</v>
      </c>
      <c r="I373" s="97" t="s">
        <v>87</v>
      </c>
      <c r="J373" s="97" t="s">
        <v>91</v>
      </c>
      <c r="K373" s="97" t="s">
        <v>63</v>
      </c>
      <c r="L373" s="101" t="s">
        <v>314</v>
      </c>
      <c r="M373" s="102" t="str">
        <f>IFNA(VLOOKUP(L373,'🙎‍♂️ Pasien'!G:V,2,FALSE),"")</f>
        <v>A2424089584</v>
      </c>
      <c r="N373" s="103">
        <f>IFNA(VLOOKUP(L373,'🙎‍♂️ Pasien'!G:L,3,FALSE),"")</f>
        <v>1</v>
      </c>
      <c r="O373" s="104" t="str">
        <f>IFNA(VLOOKUP(L373,'🙎‍♂️ Pasien'!G:V,6,FALSE),"")</f>
        <v>LAKI-LAKI</v>
      </c>
      <c r="P373" s="104" t="str">
        <f>IFNA(VLOOKUP(L373,'🙎‍♂️ Pasien'!G:V,12,FALSE),"")</f>
        <v>ISLAM</v>
      </c>
      <c r="Q373" s="104" t="str">
        <f>IFNA(VLOOKUP(L373:L1508,'🙎‍♂️ Pasien'!G:V,13,FALSE),"")</f>
        <v>PELAJAR/MAHASISWA</v>
      </c>
      <c r="R373" s="104" t="str">
        <f t="array" ref="R373">ifna(xlookup(L373,'🙎‍♂️ Pasien'!$G$5:$G1508,'🙎‍♂️ Pasien'!$T$5:$T1508),"")</f>
        <v>Cedera engkel</v>
      </c>
      <c r="S373" s="104" t="str">
        <f t="array" ref="S373">ifna(xlookup(L373,'🙎‍♂️ Pasien'!$G$5:$G1508,'🙎‍♂️ Pasien'!$U$5:$U1508),"")</f>
        <v>Maen bola</v>
      </c>
      <c r="T373" s="97" t="s">
        <v>59</v>
      </c>
      <c r="U373" s="105">
        <v>1.0</v>
      </c>
      <c r="V373" s="101"/>
      <c r="W373" s="106" t="b">
        <v>1</v>
      </c>
      <c r="X373" s="107"/>
      <c r="Y373" s="108"/>
    </row>
    <row r="374" ht="22.5" customHeight="1">
      <c r="A374" s="96"/>
      <c r="B374" s="97" t="s">
        <v>85</v>
      </c>
      <c r="C374" s="98" t="str">
        <f t="array" ref="C374">IFNA(XLOOKUP(J374,'⚙️ Pengaturan'!$H$5:$H1508,'⚙️ Pengaturan'!$I$5:$I1508),"")</f>
        <v>TIM Y</v>
      </c>
      <c r="D374" s="97" t="s">
        <v>86</v>
      </c>
      <c r="E374" s="99">
        <v>45952.0</v>
      </c>
      <c r="F374" s="100" t="str">
        <f t="shared" si="1"/>
        <v>2025</v>
      </c>
      <c r="G374" s="100" t="str">
        <f t="shared" si="2"/>
        <v>10Okt</v>
      </c>
      <c r="H374" s="100" t="str">
        <f t="shared" si="3"/>
        <v>Rabu</v>
      </c>
      <c r="I374" s="97" t="s">
        <v>93</v>
      </c>
      <c r="J374" s="97" t="s">
        <v>88</v>
      </c>
      <c r="K374" s="97" t="s">
        <v>63</v>
      </c>
      <c r="L374" s="101" t="s">
        <v>96</v>
      </c>
      <c r="M374" s="102" t="str">
        <f>IFNA(VLOOKUP(L374,'🙎‍♂️ Pasien'!G:V,2,FALSE),"")</f>
        <v>A0925094650</v>
      </c>
      <c r="N374" s="103">
        <f>IFNA(VLOOKUP(L374,'🙎‍♂️ Pasien'!G:L,3,FALSE),"")</f>
        <v>17</v>
      </c>
      <c r="O374" s="104" t="str">
        <f>IFNA(VLOOKUP(L374,'🙎‍♂️ Pasien'!G:V,6,FALSE),"")</f>
        <v>LAKI-LAKI</v>
      </c>
      <c r="P374" s="104" t="str">
        <f>IFNA(VLOOKUP(L374,'🙎‍♂️ Pasien'!G:V,12,FALSE),"")</f>
        <v>ISLAM</v>
      </c>
      <c r="Q374" s="104" t="str">
        <f>IFNA(VLOOKUP(L374:L1508,'🙎‍♂️ Pasien'!G:V,13,FALSE),"")</f>
        <v>PELAJAR</v>
      </c>
      <c r="R374" s="104" t="str">
        <f t="array" ref="R374">ifna(xlookup(L374,'🙎‍♂️ Pasien'!$G$5:$G1508,'🙎‍♂️ Pasien'!$T$5:$T1508),"")</f>
        <v>LUTUT</v>
      </c>
      <c r="S374" s="104" t="str">
        <f t="array" ref="S374">ifna(xlookup(L374,'🙎‍♂️ Pasien'!$G$5:$G1508,'🙎‍♂️ Pasien'!$U$5:$U1508),"")</f>
        <v>FUTSAL</v>
      </c>
      <c r="T374" s="97" t="s">
        <v>59</v>
      </c>
      <c r="U374" s="105">
        <v>9.0</v>
      </c>
      <c r="V374" s="101"/>
      <c r="W374" s="106" t="b">
        <v>1</v>
      </c>
      <c r="X374" s="107"/>
      <c r="Y374" s="108"/>
    </row>
    <row r="375" ht="22.5" customHeight="1">
      <c r="A375" s="96"/>
      <c r="B375" s="97" t="s">
        <v>85</v>
      </c>
      <c r="C375" s="98" t="str">
        <f t="array" ref="C375">IFNA(XLOOKUP(J375,'⚙️ Pengaturan'!$H$5:$H1508,'⚙️ Pengaturan'!$I$5:$I1508),"")</f>
        <v>TIM Y</v>
      </c>
      <c r="D375" s="97" t="s">
        <v>86</v>
      </c>
      <c r="E375" s="99">
        <v>45952.0</v>
      </c>
      <c r="F375" s="100" t="str">
        <f t="shared" si="1"/>
        <v>2025</v>
      </c>
      <c r="G375" s="100" t="str">
        <f t="shared" si="2"/>
        <v>10Okt</v>
      </c>
      <c r="H375" s="100" t="str">
        <f t="shared" si="3"/>
        <v>Rabu</v>
      </c>
      <c r="I375" s="97" t="s">
        <v>95</v>
      </c>
      <c r="J375" s="97" t="s">
        <v>91</v>
      </c>
      <c r="K375" s="97" t="s">
        <v>63</v>
      </c>
      <c r="L375" s="101" t="s">
        <v>94</v>
      </c>
      <c r="M375" s="102" t="str">
        <f>IFNA(VLOOKUP(L375,'🙎‍♂️ Pasien'!G:V,2,FALSE),"")</f>
        <v>A0825098780</v>
      </c>
      <c r="N375" s="103">
        <f>IFNA(VLOOKUP(L375,'🙎‍♂️ Pasien'!G:L,3,FALSE),"")</f>
        <v>18</v>
      </c>
      <c r="O375" s="104" t="str">
        <f>IFNA(VLOOKUP(L375,'🙎‍♂️ Pasien'!G:V,6,FALSE),"")</f>
        <v>PEREMPUAN</v>
      </c>
      <c r="P375" s="104" t="str">
        <f>IFNA(VLOOKUP(L375,'🙎‍♂️ Pasien'!G:V,12,FALSE),"")</f>
        <v>ISLAM</v>
      </c>
      <c r="Q375" s="104" t="str">
        <f>IFNA(VLOOKUP(L375:L1508,'🙎‍♂️ Pasien'!G:V,13,FALSE),"")</f>
        <v>PELAJAR</v>
      </c>
      <c r="R375" s="104" t="str">
        <f t="array" ref="R375">ifna(xlookup(L375,'🙎‍♂️ Pasien'!$G$5:$G1508,'🙎‍♂️ Pasien'!$T$5:$T1508),"")</f>
        <v>SAKIT DI LUTUT</v>
      </c>
      <c r="S375" s="104" t="str">
        <f t="array" ref="S375">ifna(xlookup(L375,'🙎‍♂️ Pasien'!$G$5:$G1508,'🙎‍♂️ Pasien'!$U$5:$U1508),"")</f>
        <v>MAIN BASKET</v>
      </c>
      <c r="T375" s="97" t="s">
        <v>59</v>
      </c>
      <c r="U375" s="105">
        <v>7.0</v>
      </c>
      <c r="V375" s="101"/>
      <c r="W375" s="106" t="b">
        <v>1</v>
      </c>
      <c r="X375" s="107"/>
      <c r="Y375" s="108"/>
    </row>
    <row r="376" ht="22.5" customHeight="1">
      <c r="A376" s="96"/>
      <c r="B376" s="97" t="s">
        <v>85</v>
      </c>
      <c r="C376" s="98" t="str">
        <f t="array" ref="C376">IFNA(XLOOKUP(J376,'⚙️ Pengaturan'!$H$5:$H1508,'⚙️ Pengaturan'!$I$5:$I1508),"")</f>
        <v>TIM Y</v>
      </c>
      <c r="D376" s="97" t="s">
        <v>86</v>
      </c>
      <c r="E376" s="99">
        <v>45952.0</v>
      </c>
      <c r="F376" s="100" t="str">
        <f t="shared" si="1"/>
        <v>2025</v>
      </c>
      <c r="G376" s="100" t="str">
        <f t="shared" si="2"/>
        <v>10Okt</v>
      </c>
      <c r="H376" s="100" t="str">
        <f t="shared" si="3"/>
        <v>Rabu</v>
      </c>
      <c r="I376" s="97" t="s">
        <v>95</v>
      </c>
      <c r="J376" s="97" t="s">
        <v>88</v>
      </c>
      <c r="K376" s="97" t="s">
        <v>63</v>
      </c>
      <c r="L376" s="101" t="s">
        <v>325</v>
      </c>
      <c r="M376" s="102" t="str">
        <f>IFNA(VLOOKUP(L376,'🙎‍♂️ Pasien'!G:V,2,FALSE),"")</f>
        <v>M9825103838</v>
      </c>
      <c r="N376" s="103">
        <f>IFNA(VLOOKUP(L376,'🙎‍♂️ Pasien'!G:L,3,FALSE),"")</f>
        <v>27</v>
      </c>
      <c r="O376" s="104" t="str">
        <f>IFNA(VLOOKUP(L376,'🙎‍♂️ Pasien'!G:V,6,FALSE),"")</f>
        <v>LAKI-LAKI</v>
      </c>
      <c r="P376" s="104" t="str">
        <f>IFNA(VLOOKUP(L376,'🙎‍♂️ Pasien'!G:V,12,FALSE),"")</f>
        <v>ISLAM</v>
      </c>
      <c r="Q376" s="104" t="str">
        <f>IFNA(VLOOKUP(L376:L1508,'🙎‍♂️ Pasien'!G:V,13,FALSE),"")</f>
        <v>MAHASISWA</v>
      </c>
      <c r="R376" s="104" t="str">
        <f t="array" ref="R376">ifna(xlookup(L376,'🙎‍♂️ Pasien'!$G$5:$G1508,'🙎‍♂️ Pasien'!$T$5:$T1508),"")</f>
        <v>KAKI</v>
      </c>
      <c r="S376" s="104" t="str">
        <f t="array" ref="S376">ifna(xlookup(L376,'🙎‍♂️ Pasien'!$G$5:$G1508,'🙎‍♂️ Pasien'!$U$5:$U1508),"")</f>
        <v>-</v>
      </c>
      <c r="T376" s="97" t="s">
        <v>67</v>
      </c>
      <c r="U376" s="105">
        <v>2.0</v>
      </c>
      <c r="V376" s="101" t="s">
        <v>342</v>
      </c>
      <c r="W376" s="106" t="b">
        <v>1</v>
      </c>
      <c r="X376" s="107"/>
      <c r="Y376" s="108"/>
    </row>
    <row r="377" ht="22.5" customHeight="1">
      <c r="A377" s="96"/>
      <c r="B377" s="97" t="s">
        <v>85</v>
      </c>
      <c r="C377" s="98" t="str">
        <f t="array" ref="C377">IFNA(XLOOKUP(J377,'⚙️ Pengaturan'!$H$5:$H1508,'⚙️ Pengaturan'!$I$5:$I1508),"")</f>
        <v>TIM Y</v>
      </c>
      <c r="D377" s="97" t="s">
        <v>86</v>
      </c>
      <c r="E377" s="99">
        <v>45952.0</v>
      </c>
      <c r="F377" s="100" t="str">
        <f t="shared" si="1"/>
        <v>2025</v>
      </c>
      <c r="G377" s="100" t="str">
        <f t="shared" si="2"/>
        <v>10Okt</v>
      </c>
      <c r="H377" s="100" t="str">
        <f t="shared" si="3"/>
        <v>Rabu</v>
      </c>
      <c r="I377" s="97" t="s">
        <v>97</v>
      </c>
      <c r="J377" s="97" t="s">
        <v>91</v>
      </c>
      <c r="K377" s="97" t="s">
        <v>63</v>
      </c>
      <c r="L377" s="101" t="s">
        <v>326</v>
      </c>
      <c r="M377" s="102" t="str">
        <f>IFNA(VLOOKUP(L377,'🙎‍♂️ Pasien'!G:V,2,FALSE),"")</f>
        <v>A1423086916</v>
      </c>
      <c r="N377" s="103">
        <f>IFNA(VLOOKUP(L377,'🙎‍♂️ Pasien'!G:L,3,FALSE),"")</f>
        <v>11</v>
      </c>
      <c r="O377" s="104" t="str">
        <f>IFNA(VLOOKUP(L377,'🙎‍♂️ Pasien'!G:V,6,FALSE),"")</f>
        <v>LAKI-LAKI</v>
      </c>
      <c r="P377" s="104" t="str">
        <f>IFNA(VLOOKUP(L377,'🙎‍♂️ Pasien'!G:V,12,FALSE),"")</f>
        <v>ISLAM</v>
      </c>
      <c r="Q377" s="104" t="str">
        <f>IFNA(VLOOKUP(L377:L1508,'🙎‍♂️ Pasien'!G:V,13,FALSE),"")</f>
        <v>PELAJAR/MAHASISWA</v>
      </c>
      <c r="R377" s="104" t="str">
        <f t="array" ref="R377">ifna(xlookup(L377,'🙎‍♂️ Pasien'!$G$5:$G1508,'🙎‍♂️ Pasien'!$T$5:$T1508),"")</f>
        <v>ANKLE KAKI KANAN</v>
      </c>
      <c r="S377" s="104" t="str">
        <f t="array" ref="S377">ifna(xlookup(L377,'🙎‍♂️ Pasien'!$G$5:$G1508,'🙎‍♂️ Pasien'!$U$5:$U1508),"")</f>
        <v>BOLA</v>
      </c>
      <c r="T377" s="97" t="s">
        <v>59</v>
      </c>
      <c r="U377" s="105">
        <v>1.0</v>
      </c>
      <c r="V377" s="101"/>
      <c r="W377" s="106" t="b">
        <v>1</v>
      </c>
      <c r="X377" s="107"/>
      <c r="Y377" s="108"/>
    </row>
    <row r="378" ht="22.5" customHeight="1">
      <c r="A378" s="96"/>
      <c r="B378" s="97" t="s">
        <v>85</v>
      </c>
      <c r="C378" s="98" t="str">
        <f t="array" ref="C378">IFNA(XLOOKUP(J378,'⚙️ Pengaturan'!$H$5:$H1508,'⚙️ Pengaturan'!$I$5:$I1508),"")</f>
        <v>TIM Y</v>
      </c>
      <c r="D378" s="97" t="s">
        <v>86</v>
      </c>
      <c r="E378" s="99">
        <v>45952.0</v>
      </c>
      <c r="F378" s="100" t="str">
        <f t="shared" si="1"/>
        <v>2025</v>
      </c>
      <c r="G378" s="100" t="str">
        <f t="shared" si="2"/>
        <v>10Okt</v>
      </c>
      <c r="H378" s="100" t="str">
        <f t="shared" si="3"/>
        <v>Rabu</v>
      </c>
      <c r="I378" s="97" t="s">
        <v>99</v>
      </c>
      <c r="J378" s="97" t="s">
        <v>91</v>
      </c>
      <c r="K378" s="97" t="s">
        <v>63</v>
      </c>
      <c r="L378" s="101" t="s">
        <v>282</v>
      </c>
      <c r="M378" s="102" t="str">
        <f>IFNA(VLOOKUP(L378,'🙎‍♂️ Pasien'!G:V,2,FALSE),"")</f>
        <v>E9425102074</v>
      </c>
      <c r="N378" s="103">
        <f>IFNA(VLOOKUP(L378,'🙎‍♂️ Pasien'!G:L,3,FALSE),"")</f>
        <v>32</v>
      </c>
      <c r="O378" s="104" t="str">
        <f>IFNA(VLOOKUP(L378,'🙎‍♂️ Pasien'!G:V,6,FALSE),"")</f>
        <v>PEREMPUAN</v>
      </c>
      <c r="P378" s="104" t="str">
        <f>IFNA(VLOOKUP(L378,'🙎‍♂️ Pasien'!G:V,12,FALSE),"")</f>
        <v>KATOLIK</v>
      </c>
      <c r="Q378" s="104" t="str">
        <f>IFNA(VLOOKUP(L378:L1508,'🙎‍♂️ Pasien'!G:V,13,FALSE),"")</f>
        <v>PEGAWAI SWASTA</v>
      </c>
      <c r="R378" s="104" t="str">
        <f t="array" ref="R378">ifna(xlookup(L378,'🙎‍♂️ Pasien'!$G$5:$G1508,'🙎‍♂️ Pasien'!$T$5:$T1508),"")</f>
        <v>TENNIS ELBOW</v>
      </c>
      <c r="S378" s="104" t="str">
        <f t="array" ref="S378">ifna(xlookup(L378,'🙎‍♂️ Pasien'!$G$5:$G1508,'🙎‍♂️ Pasien'!$U$5:$U1508),"")</f>
        <v>BADMINTON</v>
      </c>
      <c r="T378" s="97" t="s">
        <v>59</v>
      </c>
      <c r="U378" s="105">
        <v>1.0</v>
      </c>
      <c r="V378" s="101"/>
      <c r="W378" s="106" t="b">
        <v>1</v>
      </c>
      <c r="X378" s="107"/>
      <c r="Y378" s="108"/>
    </row>
    <row r="379" ht="22.5" customHeight="1">
      <c r="A379" s="96"/>
      <c r="B379" s="97" t="s">
        <v>85</v>
      </c>
      <c r="C379" s="98" t="str">
        <f t="array" ref="C379">IFNA(XLOOKUP(J379,'⚙️ Pengaturan'!$H$5:$H1508,'⚙️ Pengaturan'!$I$5:$I1508),"")</f>
        <v>TIM Y</v>
      </c>
      <c r="D379" s="97" t="s">
        <v>86</v>
      </c>
      <c r="E379" s="99">
        <v>45952.0</v>
      </c>
      <c r="F379" s="100" t="str">
        <f t="shared" si="1"/>
        <v>2025</v>
      </c>
      <c r="G379" s="100" t="str">
        <f t="shared" si="2"/>
        <v>10Okt</v>
      </c>
      <c r="H379" s="100" t="str">
        <f t="shared" si="3"/>
        <v>Rabu</v>
      </c>
      <c r="I379" s="97" t="s">
        <v>99</v>
      </c>
      <c r="J379" s="97" t="s">
        <v>88</v>
      </c>
      <c r="K379" s="97" t="s">
        <v>69</v>
      </c>
      <c r="L379" s="101" t="s">
        <v>306</v>
      </c>
      <c r="M379" s="102" t="str">
        <f>IFNA(VLOOKUP(L379,'🙎‍♂️ Pasien'!G:V,2,FALSE),"")</f>
        <v>R9625105757</v>
      </c>
      <c r="N379" s="103">
        <f>IFNA(VLOOKUP(L379,'🙎‍♂️ Pasien'!G:L,3,FALSE),"")</f>
        <v>29</v>
      </c>
      <c r="O379" s="104" t="str">
        <f>IFNA(VLOOKUP(L379,'🙎‍♂️ Pasien'!G:V,6,FALSE),"")</f>
        <v>LAKI-LAKI</v>
      </c>
      <c r="P379" s="104" t="str">
        <f>IFNA(VLOOKUP(L379,'🙎‍♂️ Pasien'!G:V,12,FALSE),"")</f>
        <v>ISLAM</v>
      </c>
      <c r="Q379" s="104" t="str">
        <f>IFNA(VLOOKUP(L379:L1508,'🙎‍♂️ Pasien'!G:V,13,FALSE),"")</f>
        <v>BUMD</v>
      </c>
      <c r="R379" s="104" t="str">
        <f t="array" ref="R379">ifna(xlookup(L379,'🙎‍♂️ Pasien'!$G$5:$G1508,'🙎‍♂️ Pasien'!$T$5:$T1508),"")</f>
        <v>SAKIT DI BAGIAN PUNGGUNG KAKI SEBELAH KANAN SAAT MENGINJAK</v>
      </c>
      <c r="S379" s="104" t="str">
        <f t="array" ref="S379">ifna(xlookup(L379,'🙎‍♂️ Pasien'!$G$5:$G1508,'🙎‍♂️ Pasien'!$U$5:$U1508),"")</f>
        <v>LARI</v>
      </c>
      <c r="T379" s="97" t="s">
        <v>59</v>
      </c>
      <c r="U379" s="105" t="s">
        <v>60</v>
      </c>
      <c r="V379" s="101"/>
      <c r="W379" s="106" t="b">
        <v>1</v>
      </c>
      <c r="X379" s="107"/>
      <c r="Y379" s="108"/>
    </row>
    <row r="380" ht="22.5" customHeight="1">
      <c r="A380" s="96"/>
      <c r="B380" s="97" t="s">
        <v>53</v>
      </c>
      <c r="C380" s="98" t="str">
        <f t="array" ref="C380">IFNA(XLOOKUP(J380,'⚙️ Pengaturan'!$H$5:$H1508,'⚙️ Pengaturan'!$I$5:$I1508),"")</f>
        <v>MANAJEMEN</v>
      </c>
      <c r="D380" s="97" t="s">
        <v>86</v>
      </c>
      <c r="E380" s="99">
        <v>45953.0</v>
      </c>
      <c r="F380" s="100" t="str">
        <f t="shared" si="1"/>
        <v>2025</v>
      </c>
      <c r="G380" s="100" t="str">
        <f t="shared" si="2"/>
        <v>10Okt</v>
      </c>
      <c r="H380" s="100" t="str">
        <f t="shared" si="3"/>
        <v>Kamis</v>
      </c>
      <c r="I380" s="97" t="s">
        <v>55</v>
      </c>
      <c r="J380" s="97" t="s">
        <v>101</v>
      </c>
      <c r="K380" s="97" t="s">
        <v>63</v>
      </c>
      <c r="L380" s="101" t="s">
        <v>102</v>
      </c>
      <c r="M380" s="102" t="str">
        <f>IFNA(VLOOKUP(L380,'🙎‍♂️ Pasien'!G:V,2,FALSE),"")</f>
        <v>B8525075344</v>
      </c>
      <c r="N380" s="103">
        <f>IFNA(VLOOKUP(L380,'🙎‍♂️ Pasien'!G:L,3,FALSE),"")</f>
        <v>40</v>
      </c>
      <c r="O380" s="104" t="str">
        <f>IFNA(VLOOKUP(L380,'🙎‍♂️ Pasien'!G:V,6,FALSE),"")</f>
        <v>LAKI-LAKI</v>
      </c>
      <c r="P380" s="104" t="str">
        <f>IFNA(VLOOKUP(L380,'🙎‍♂️ Pasien'!G:V,12,FALSE),"")</f>
        <v>ISLAM</v>
      </c>
      <c r="Q380" s="104" t="str">
        <f>IFNA(VLOOKUP(L380:L1508,'🙎‍♂️ Pasien'!G:V,13,FALSE),"")</f>
        <v>WIRAUSAHA</v>
      </c>
      <c r="R380" s="104" t="str">
        <f t="array" ref="R380">ifna(xlookup(L380,'🙎‍♂️ Pasien'!$G$5:$G1508,'🙎‍♂️ Pasien'!$T$5:$T1508),"")</f>
        <v>NYERI LUTUT</v>
      </c>
      <c r="S380" s="104" t="str">
        <f t="array" ref="S380">ifna(xlookup(L380,'🙎‍♂️ Pasien'!$G$5:$G1508,'🙎‍♂️ Pasien'!$U$5:$U1508),"")</f>
        <v>JOGGING</v>
      </c>
      <c r="T380" s="97" t="s">
        <v>59</v>
      </c>
      <c r="U380" s="105">
        <v>5.0</v>
      </c>
      <c r="V380" s="101" t="s">
        <v>270</v>
      </c>
      <c r="W380" s="106" t="b">
        <v>1</v>
      </c>
      <c r="X380" s="107"/>
      <c r="Y380" s="108"/>
    </row>
    <row r="381" ht="22.5" customHeight="1">
      <c r="A381" s="96"/>
      <c r="B381" s="97" t="s">
        <v>53</v>
      </c>
      <c r="C381" s="98" t="str">
        <f t="array" ref="C381">IFNA(XLOOKUP(J381,'⚙️ Pengaturan'!$H$5:$H1508,'⚙️ Pengaturan'!$I$5:$I1508),"")</f>
        <v>MANAJEMEN</v>
      </c>
      <c r="D381" s="97" t="s">
        <v>86</v>
      </c>
      <c r="E381" s="99">
        <v>45953.0</v>
      </c>
      <c r="F381" s="100" t="str">
        <f t="shared" si="1"/>
        <v>2025</v>
      </c>
      <c r="G381" s="100" t="str">
        <f t="shared" si="2"/>
        <v>10Okt</v>
      </c>
      <c r="H381" s="100" t="str">
        <f t="shared" si="3"/>
        <v>Kamis</v>
      </c>
      <c r="I381" s="97" t="s">
        <v>55</v>
      </c>
      <c r="J381" s="97" t="s">
        <v>81</v>
      </c>
      <c r="K381" s="97" t="s">
        <v>63</v>
      </c>
      <c r="L381" s="101" t="s">
        <v>273</v>
      </c>
      <c r="M381" s="102" t="str">
        <f>IFNA(VLOOKUP(L381,'🙎‍♂️ Pasien'!G:V,2,FALSE),"")</f>
        <v>H6325042095</v>
      </c>
      <c r="N381" s="103">
        <f>IFNA(VLOOKUP(L381,'🙎‍♂️ Pasien'!G:L,3,FALSE),"")</f>
        <v>63</v>
      </c>
      <c r="O381" s="104" t="str">
        <f>IFNA(VLOOKUP(L381,'🙎‍♂️ Pasien'!G:V,6,FALSE),"")</f>
        <v>LAKI-LAKI</v>
      </c>
      <c r="P381" s="104" t="str">
        <f>IFNA(VLOOKUP(L381,'🙎‍♂️ Pasien'!G:V,12,FALSE),"")</f>
        <v>KATOLIK</v>
      </c>
      <c r="Q381" s="104" t="str">
        <f>IFNA(VLOOKUP(L381:L1508,'🙎‍♂️ Pasien'!G:V,13,FALSE),"")</f>
        <v>SWASTA</v>
      </c>
      <c r="R381" s="104" t="str">
        <f t="array" ref="R381">ifna(xlookup(L381,'🙎‍♂️ Pasien'!$G$5:$G1508,'🙎‍♂️ Pasien'!$T$5:$T1508),"")</f>
        <v>STROKE SIKIT HAHAHA</v>
      </c>
      <c r="S381" s="104" t="str">
        <f t="array" ref="S381">ifna(xlookup(L381,'🙎‍♂️ Pasien'!$G$5:$G1508,'🙎‍♂️ Pasien'!$U$5:$U1508),"")</f>
        <v>MENGHASILKAN CUAN</v>
      </c>
      <c r="T381" s="97" t="s">
        <v>67</v>
      </c>
      <c r="U381" s="105">
        <v>4.0</v>
      </c>
      <c r="V381" s="101" t="s">
        <v>343</v>
      </c>
      <c r="W381" s="106" t="b">
        <v>1</v>
      </c>
      <c r="X381" s="107"/>
      <c r="Y381" s="108"/>
    </row>
    <row r="382" ht="22.5" customHeight="1">
      <c r="A382" s="96"/>
      <c r="B382" s="97" t="s">
        <v>53</v>
      </c>
      <c r="C382" s="98" t="str">
        <f t="array" ref="C382">IFNA(XLOOKUP(J382,'⚙️ Pengaturan'!$H$5:$H1508,'⚙️ Pengaturan'!$I$5:$I1508),"")</f>
        <v>TIM Y</v>
      </c>
      <c r="D382" s="97" t="s">
        <v>86</v>
      </c>
      <c r="E382" s="99">
        <v>45953.0</v>
      </c>
      <c r="F382" s="100" t="str">
        <f t="shared" si="1"/>
        <v>2025</v>
      </c>
      <c r="G382" s="100" t="str">
        <f t="shared" si="2"/>
        <v>10Okt</v>
      </c>
      <c r="H382" s="100" t="str">
        <f t="shared" si="3"/>
        <v>Kamis</v>
      </c>
      <c r="I382" s="97" t="s">
        <v>65</v>
      </c>
      <c r="J382" s="97" t="s">
        <v>91</v>
      </c>
      <c r="K382" s="97" t="s">
        <v>63</v>
      </c>
      <c r="L382" s="101" t="s">
        <v>302</v>
      </c>
      <c r="M382" s="102" t="str">
        <f>IFNA(VLOOKUP(L382,'🙎‍♂️ Pasien'!G:V,2,FALSE),"")</f>
        <v>A9425105994</v>
      </c>
      <c r="N382" s="103">
        <f>IFNA(VLOOKUP(L382,'🙎‍♂️ Pasien'!G:L,3,FALSE),"")</f>
        <v>32</v>
      </c>
      <c r="O382" s="104" t="str">
        <f>IFNA(VLOOKUP(L382,'🙎‍♂️ Pasien'!G:V,6,FALSE),"")</f>
        <v>LAKI-LAKI</v>
      </c>
      <c r="P382" s="104" t="str">
        <f>IFNA(VLOOKUP(L382,'🙎‍♂️ Pasien'!G:V,12,FALSE),"")</f>
        <v>ISLAM</v>
      </c>
      <c r="Q382" s="104" t="str">
        <f>IFNA(VLOOKUP(L382:L1508,'🙎‍♂️ Pasien'!G:V,13,FALSE),"")</f>
        <v>KARYAWAN SWASTA</v>
      </c>
      <c r="R382" s="104" t="str">
        <f t="array" ref="R382">ifna(xlookup(L382,'🙎‍♂️ Pasien'!$G$5:$G1508,'🙎‍♂️ Pasien'!$T$5:$T1508),"")</f>
        <v>LUTUT</v>
      </c>
      <c r="S382" s="104" t="str">
        <f t="array" ref="S382">ifna(xlookup(L382,'🙎‍♂️ Pasien'!$G$5:$G1508,'🙎‍♂️ Pasien'!$U$5:$U1508),"")</f>
        <v>OLAGRAGA</v>
      </c>
      <c r="T382" s="97" t="s">
        <v>67</v>
      </c>
      <c r="U382" s="105">
        <v>2.0</v>
      </c>
      <c r="V382" s="101" t="s">
        <v>344</v>
      </c>
      <c r="W382" s="106" t="b">
        <v>1</v>
      </c>
      <c r="X382" s="107"/>
      <c r="Y382" s="108"/>
    </row>
    <row r="383" ht="22.5" customHeight="1">
      <c r="A383" s="96"/>
      <c r="B383" s="97" t="s">
        <v>53</v>
      </c>
      <c r="C383" s="98" t="str">
        <f t="array" ref="C383">IFNA(XLOOKUP(J383,'⚙️ Pengaturan'!$H$5:$H1508,'⚙️ Pengaturan'!$I$5:$I1508),"")</f>
        <v>TIM Y</v>
      </c>
      <c r="D383" s="97" t="s">
        <v>86</v>
      </c>
      <c r="E383" s="99">
        <v>45953.0</v>
      </c>
      <c r="F383" s="100" t="str">
        <f t="shared" si="1"/>
        <v>2025</v>
      </c>
      <c r="G383" s="100" t="str">
        <f t="shared" si="2"/>
        <v>10Okt</v>
      </c>
      <c r="H383" s="100" t="str">
        <f t="shared" si="3"/>
        <v>Kamis</v>
      </c>
      <c r="I383" s="97" t="s">
        <v>74</v>
      </c>
      <c r="J383" s="97" t="s">
        <v>88</v>
      </c>
      <c r="K383" s="97" t="s">
        <v>63</v>
      </c>
      <c r="L383" s="101" t="s">
        <v>104</v>
      </c>
      <c r="M383" s="102" t="str">
        <f>IFNA(VLOOKUP(L383,'🙎‍♂️ Pasien'!G:V,2,FALSE),"")</f>
        <v>F4925091811</v>
      </c>
      <c r="N383" s="103">
        <f>IFNA(VLOOKUP(L383,'🙎‍♂️ Pasien'!G:L,3,FALSE),"")</f>
        <v>76</v>
      </c>
      <c r="O383" s="104" t="str">
        <f>IFNA(VLOOKUP(L383,'🙎‍♂️ Pasien'!G:V,6,FALSE),"")</f>
        <v>LAKI-LAKI</v>
      </c>
      <c r="P383" s="104" t="str">
        <f>IFNA(VLOOKUP(L383,'🙎‍♂️ Pasien'!G:V,12,FALSE),"")</f>
        <v>KHONGHUCU</v>
      </c>
      <c r="Q383" s="104" t="str">
        <f>IFNA(VLOOKUP(L383:L1508,'🙎‍♂️ Pasien'!G:V,13,FALSE),"")</f>
        <v>PENSIUN</v>
      </c>
      <c r="R383" s="104" t="str">
        <f t="array" ref="R383">ifna(xlookup(L383,'🙎‍♂️ Pasien'!$G$5:$G1508,'🙎‍♂️ Pasien'!$T$5:$T1508),"")</f>
        <v>KAKI GA KUAT</v>
      </c>
      <c r="S383" s="104" t="str">
        <f t="array" ref="S383">ifna(xlookup(L383,'🙎‍♂️ Pasien'!$G$5:$G1508,'🙎‍♂️ Pasien'!$U$5:$U1508),"")</f>
        <v>BERJALAN MENGGUNAKAN TONGKAT</v>
      </c>
      <c r="T383" s="97" t="s">
        <v>59</v>
      </c>
      <c r="U383" s="105">
        <v>6.0</v>
      </c>
      <c r="V383" s="101"/>
      <c r="W383" s="106" t="b">
        <v>1</v>
      </c>
      <c r="X383" s="107"/>
      <c r="Y383" s="108"/>
    </row>
    <row r="384" ht="22.5" customHeight="1">
      <c r="A384" s="96"/>
      <c r="B384" s="97" t="s">
        <v>53</v>
      </c>
      <c r="C384" s="98" t="str">
        <f t="array" ref="C384">IFNA(XLOOKUP(J384,'⚙️ Pengaturan'!$H$5:$H1508,'⚙️ Pengaturan'!$I$5:$I1508),"")</f>
        <v>TIM Y</v>
      </c>
      <c r="D384" s="97" t="s">
        <v>86</v>
      </c>
      <c r="E384" s="99">
        <v>45953.0</v>
      </c>
      <c r="F384" s="100" t="str">
        <f t="shared" si="1"/>
        <v>2025</v>
      </c>
      <c r="G384" s="100" t="str">
        <f t="shared" si="2"/>
        <v>10Okt</v>
      </c>
      <c r="H384" s="100" t="str">
        <f t="shared" si="3"/>
        <v>Kamis</v>
      </c>
      <c r="I384" s="97" t="s">
        <v>74</v>
      </c>
      <c r="J384" s="97" t="s">
        <v>91</v>
      </c>
      <c r="K384" s="97" t="s">
        <v>69</v>
      </c>
      <c r="L384" s="101" t="s">
        <v>345</v>
      </c>
      <c r="M384" s="102" t="str">
        <f>IFNA(VLOOKUP(L384,'🙎‍♂️ Pasien'!G:V,2,FALSE),"")</f>
        <v>F9225081879</v>
      </c>
      <c r="N384" s="103">
        <f>IFNA(VLOOKUP(L384,'🙎‍♂️ Pasien'!G:L,3,FALSE),"")</f>
        <v>33</v>
      </c>
      <c r="O384" s="104" t="str">
        <f>IFNA(VLOOKUP(L384,'🙎‍♂️ Pasien'!G:V,6,FALSE),"")</f>
        <v>PEREMPUAN</v>
      </c>
      <c r="P384" s="104" t="str">
        <f>IFNA(VLOOKUP(L384,'🙎‍♂️ Pasien'!G:V,12,FALSE),"")</f>
        <v>ISLAM</v>
      </c>
      <c r="Q384" s="104" t="str">
        <f>IFNA(VLOOKUP(L384:L1508,'🙎‍♂️ Pasien'!G:V,13,FALSE),"")</f>
        <v>PRAMUGARI BUMN</v>
      </c>
      <c r="R384" s="104" t="str">
        <f t="array" ref="R384">ifna(xlookup(L384,'🙎‍♂️ Pasien'!$G$5:$G1508,'🙎‍♂️ Pasien'!$T$5:$T1508),"")</f>
        <v>NYERI CEDERA ACL</v>
      </c>
      <c r="S384" s="104" t="str">
        <f t="array" ref="S384">ifna(xlookup(L384,'🙎‍♂️ Pasien'!$G$5:$G1508,'🙎‍♂️ Pasien'!$U$5:$U1508),"")</f>
        <v>B</v>
      </c>
      <c r="T384" s="97" t="s">
        <v>67</v>
      </c>
      <c r="U384" s="105" t="s">
        <v>60</v>
      </c>
      <c r="V384" s="101" t="s">
        <v>346</v>
      </c>
      <c r="W384" s="106" t="b">
        <v>1</v>
      </c>
      <c r="X384" s="107"/>
      <c r="Y384" s="108"/>
    </row>
    <row r="385" ht="22.5" customHeight="1">
      <c r="A385" s="96"/>
      <c r="B385" s="97" t="s">
        <v>53</v>
      </c>
      <c r="C385" s="98" t="str">
        <f t="array" ref="C385">IFNA(XLOOKUP(J385,'⚙️ Pengaturan'!$H$5:$H1508,'⚙️ Pengaturan'!$I$5:$I1508),"")</f>
        <v>MANAJEMEN</v>
      </c>
      <c r="D385" s="97" t="s">
        <v>86</v>
      </c>
      <c r="E385" s="99">
        <v>45953.0</v>
      </c>
      <c r="F385" s="100" t="str">
        <f t="shared" si="1"/>
        <v>2025</v>
      </c>
      <c r="G385" s="100" t="str">
        <f t="shared" si="2"/>
        <v>10Okt</v>
      </c>
      <c r="H385" s="100" t="str">
        <f t="shared" si="3"/>
        <v>Kamis</v>
      </c>
      <c r="I385" s="97" t="s">
        <v>76</v>
      </c>
      <c r="J385" s="97" t="s">
        <v>81</v>
      </c>
      <c r="K385" s="97" t="s">
        <v>63</v>
      </c>
      <c r="L385" s="101" t="s">
        <v>193</v>
      </c>
      <c r="M385" s="102" t="str">
        <f>IFNA(VLOOKUP(L385,'🙎‍♂️ Pasien'!G:V,2,FALSE),"")</f>
        <v>E8925075615</v>
      </c>
      <c r="N385" s="103">
        <f>IFNA(VLOOKUP(L385,'🙎‍♂️ Pasien'!G:L,3,FALSE),"")</f>
        <v>36</v>
      </c>
      <c r="O385" s="104" t="str">
        <f>IFNA(VLOOKUP(L385,'🙎‍♂️ Pasien'!G:V,6,FALSE),"")</f>
        <v>PEREMPUAN</v>
      </c>
      <c r="P385" s="104" t="str">
        <f>IFNA(VLOOKUP(L385,'🙎‍♂️ Pasien'!G:V,12,FALSE),"")</f>
        <v>KATOLIK</v>
      </c>
      <c r="Q385" s="104" t="str">
        <f>IFNA(VLOOKUP(L385:L1508,'🙎‍♂️ Pasien'!G:V,13,FALSE),"")</f>
        <v>WIRASWASTA</v>
      </c>
      <c r="R385" s="104" t="str">
        <f t="array" ref="R385">ifna(xlookup(L385,'🙎‍♂️ Pasien'!$G$5:$G1508,'🙎‍♂️ Pasien'!$T$5:$T1508),"")</f>
        <v>BUNION</v>
      </c>
      <c r="S385" s="104" t="str">
        <f t="array" ref="S385">ifna(xlookup(L385,'🙎‍♂️ Pasien'!$G$5:$G1508,'🙎‍♂️ Pasien'!$U$5:$U1508),"")</f>
        <v>TENNIS</v>
      </c>
      <c r="T385" s="97" t="s">
        <v>59</v>
      </c>
      <c r="U385" s="105">
        <v>10.0</v>
      </c>
      <c r="V385" s="101" t="s">
        <v>125</v>
      </c>
      <c r="W385" s="106" t="b">
        <v>1</v>
      </c>
      <c r="X385" s="107"/>
      <c r="Y385" s="108"/>
    </row>
    <row r="386" ht="22.5" customHeight="1">
      <c r="A386" s="96"/>
      <c r="B386" s="97" t="s">
        <v>53</v>
      </c>
      <c r="C386" s="98" t="str">
        <f t="array" ref="C386">IFNA(XLOOKUP(J386,'⚙️ Pengaturan'!$H$5:$H1508,'⚙️ Pengaturan'!$I$5:$I1508),"")</f>
        <v>TIM Y</v>
      </c>
      <c r="D386" s="97" t="s">
        <v>86</v>
      </c>
      <c r="E386" s="99">
        <v>45953.0</v>
      </c>
      <c r="F386" s="100" t="str">
        <f t="shared" si="1"/>
        <v>2025</v>
      </c>
      <c r="G386" s="100" t="str">
        <f t="shared" si="2"/>
        <v>10Okt</v>
      </c>
      <c r="H386" s="100" t="str">
        <f t="shared" si="3"/>
        <v>Kamis</v>
      </c>
      <c r="I386" s="97" t="s">
        <v>76</v>
      </c>
      <c r="J386" s="97" t="s">
        <v>91</v>
      </c>
      <c r="K386" s="97" t="s">
        <v>69</v>
      </c>
      <c r="L386" s="101" t="s">
        <v>272</v>
      </c>
      <c r="M386" s="102" t="str">
        <f>IFNA(VLOOKUP(L386,'🙎‍♂️ Pasien'!G:V,2,FALSE),"")</f>
        <v>H6725101225</v>
      </c>
      <c r="N386" s="103">
        <f>IFNA(VLOOKUP(L386,'🙎‍♂️ Pasien'!G:L,3,FALSE),"")</f>
        <v>59</v>
      </c>
      <c r="O386" s="104" t="str">
        <f>IFNA(VLOOKUP(L386,'🙎‍♂️ Pasien'!G:V,6,FALSE),"")</f>
        <v>PEREMPUAN</v>
      </c>
      <c r="P386" s="104" t="str">
        <f>IFNA(VLOOKUP(L386,'🙎‍♂️ Pasien'!G:V,12,FALSE),"")</f>
        <v>ISLAM</v>
      </c>
      <c r="Q386" s="104" t="str">
        <f>IFNA(VLOOKUP(L386:L1508,'🙎‍♂️ Pasien'!G:V,13,FALSE),"")</f>
        <v>IRT</v>
      </c>
      <c r="R386" s="104" t="str">
        <f t="array" ref="R386">ifna(xlookup(L386,'🙎‍♂️ Pasien'!$G$5:$G1508,'🙎‍♂️ Pasien'!$T$5:$T1508),"")</f>
        <v>KAKI</v>
      </c>
      <c r="S386" s="104" t="str">
        <f t="array" ref="S386">ifna(xlookup(L386,'🙎‍♂️ Pasien'!$G$5:$G1508,'🙎‍♂️ Pasien'!$U$5:$U1508),"")</f>
        <v>-</v>
      </c>
      <c r="T386" s="97" t="s">
        <v>59</v>
      </c>
      <c r="U386" s="105" t="s">
        <v>60</v>
      </c>
      <c r="V386" s="101"/>
      <c r="W386" s="106" t="b">
        <v>1</v>
      </c>
      <c r="X386" s="107"/>
      <c r="Y386" s="108"/>
    </row>
    <row r="387" ht="22.5" customHeight="1">
      <c r="A387" s="96"/>
      <c r="B387" s="97" t="s">
        <v>53</v>
      </c>
      <c r="C387" s="98" t="str">
        <f t="array" ref="C387">IFNA(XLOOKUP(J387,'⚙️ Pengaturan'!$H$5:$H1508,'⚙️ Pengaturan'!$I$5:$I1508),"")</f>
        <v>TIM Y</v>
      </c>
      <c r="D387" s="97" t="s">
        <v>86</v>
      </c>
      <c r="E387" s="99">
        <v>45953.0</v>
      </c>
      <c r="F387" s="100" t="str">
        <f t="shared" si="1"/>
        <v>2025</v>
      </c>
      <c r="G387" s="100" t="str">
        <f t="shared" si="2"/>
        <v>10Okt</v>
      </c>
      <c r="H387" s="100" t="str">
        <f t="shared" si="3"/>
        <v>Kamis</v>
      </c>
      <c r="I387" s="97" t="s">
        <v>83</v>
      </c>
      <c r="J387" s="97" t="s">
        <v>88</v>
      </c>
      <c r="K387" s="97" t="s">
        <v>63</v>
      </c>
      <c r="L387" s="101" t="s">
        <v>288</v>
      </c>
      <c r="M387" s="102" t="str">
        <f>IFNA(VLOOKUP(L387,'🙎‍♂️ Pasien'!G:V,2,FALSE),"")</f>
        <v>E9925108783</v>
      </c>
      <c r="N387" s="103">
        <f>IFNA(VLOOKUP(L387,'🙎‍♂️ Pasien'!G:L,3,FALSE),"")</f>
        <v>26</v>
      </c>
      <c r="O387" s="104" t="str">
        <f>IFNA(VLOOKUP(L387,'🙎‍♂️ Pasien'!G:V,6,FALSE),"")</f>
        <v>LAKI-LAKI</v>
      </c>
      <c r="P387" s="104" t="str">
        <f>IFNA(VLOOKUP(L387,'🙎‍♂️ Pasien'!G:V,12,FALSE),"")</f>
        <v>KATOLIK</v>
      </c>
      <c r="Q387" s="104" t="str">
        <f>IFNA(VLOOKUP(L387:L1508,'🙎‍♂️ Pasien'!G:V,13,FALSE),"")</f>
        <v>WIRASWASTA</v>
      </c>
      <c r="R387" s="104" t="str">
        <f t="array" ref="R387">ifna(xlookup(L387,'🙎‍♂️ Pasien'!$G$5:$G1508,'🙎‍♂️ Pasien'!$T$5:$T1508),"")</f>
        <v>TERAPI PASCA LATIHAN</v>
      </c>
      <c r="S387" s="104" t="str">
        <f t="array" ref="S387">ifna(xlookup(L387,'🙎‍♂️ Pasien'!$G$5:$G1508,'🙎‍♂️ Pasien'!$U$5:$U1508),"")</f>
        <v>LARI</v>
      </c>
      <c r="T387" s="97" t="s">
        <v>59</v>
      </c>
      <c r="U387" s="105">
        <v>2.0</v>
      </c>
      <c r="V387" s="101"/>
      <c r="W387" s="106" t="b">
        <v>1</v>
      </c>
      <c r="X387" s="107"/>
      <c r="Y387" s="108"/>
    </row>
    <row r="388" ht="22.5" customHeight="1">
      <c r="A388" s="96"/>
      <c r="B388" s="97" t="s">
        <v>85</v>
      </c>
      <c r="C388" s="98" t="str">
        <f t="array" ref="C388">IFNA(XLOOKUP(J388,'⚙️ Pengaturan'!$H$5:$H1508,'⚙️ Pengaturan'!$I$5:$I1508),"")</f>
        <v>TIM A</v>
      </c>
      <c r="D388" s="97" t="s">
        <v>54</v>
      </c>
      <c r="E388" s="99">
        <v>45953.0</v>
      </c>
      <c r="F388" s="100" t="str">
        <f t="shared" si="1"/>
        <v>2025</v>
      </c>
      <c r="G388" s="100" t="str">
        <f t="shared" si="2"/>
        <v>10Okt</v>
      </c>
      <c r="H388" s="100" t="str">
        <f t="shared" si="3"/>
        <v>Kamis</v>
      </c>
      <c r="I388" s="97" t="s">
        <v>87</v>
      </c>
      <c r="J388" s="97" t="s">
        <v>72</v>
      </c>
      <c r="K388" s="97" t="s">
        <v>63</v>
      </c>
      <c r="L388" s="101" t="s">
        <v>302</v>
      </c>
      <c r="M388" s="102" t="str">
        <f>IFNA(VLOOKUP(L388,'🙎‍♂️ Pasien'!G:V,2,FALSE),"")</f>
        <v>A9425105994</v>
      </c>
      <c r="N388" s="103">
        <f>IFNA(VLOOKUP(L388,'🙎‍♂️ Pasien'!G:L,3,FALSE),"")</f>
        <v>32</v>
      </c>
      <c r="O388" s="104" t="str">
        <f>IFNA(VLOOKUP(L388,'🙎‍♂️ Pasien'!G:V,6,FALSE),"")</f>
        <v>LAKI-LAKI</v>
      </c>
      <c r="P388" s="104" t="str">
        <f>IFNA(VLOOKUP(L388,'🙎‍♂️ Pasien'!G:V,12,FALSE),"")</f>
        <v>ISLAM</v>
      </c>
      <c r="Q388" s="104" t="str">
        <f>IFNA(VLOOKUP(L388:L1508,'🙎‍♂️ Pasien'!G:V,13,FALSE),"")</f>
        <v>KARYAWAN SWASTA</v>
      </c>
      <c r="R388" s="104" t="str">
        <f t="array" ref="R388">ifna(xlookup(L388,'🙎‍♂️ Pasien'!$G$5:$G1508,'🙎‍♂️ Pasien'!$T$5:$T1508),"")</f>
        <v>LUTUT</v>
      </c>
      <c r="S388" s="104" t="str">
        <f t="array" ref="S388">ifna(xlookup(L388,'🙎‍♂️ Pasien'!$G$5:$G1508,'🙎‍♂️ Pasien'!$U$5:$U1508),"")</f>
        <v>OLAGRAGA</v>
      </c>
      <c r="T388" s="97" t="s">
        <v>59</v>
      </c>
      <c r="U388" s="105">
        <v>2.0</v>
      </c>
      <c r="V388" s="101"/>
      <c r="W388" s="106" t="b">
        <v>1</v>
      </c>
      <c r="X388" s="107"/>
      <c r="Y388" s="108"/>
    </row>
    <row r="389" ht="22.5" customHeight="1">
      <c r="A389" s="96"/>
      <c r="B389" s="97" t="s">
        <v>85</v>
      </c>
      <c r="C389" s="98" t="str">
        <f t="array" ref="C389">IFNA(XLOOKUP(J389,'⚙️ Pengaturan'!$H$5:$H1508,'⚙️ Pengaturan'!$I$5:$I1508),"")</f>
        <v>TIM A</v>
      </c>
      <c r="D389" s="97" t="s">
        <v>54</v>
      </c>
      <c r="E389" s="99">
        <v>45953.0</v>
      </c>
      <c r="F389" s="100" t="str">
        <f t="shared" si="1"/>
        <v>2025</v>
      </c>
      <c r="G389" s="100" t="str">
        <f t="shared" si="2"/>
        <v>10Okt</v>
      </c>
      <c r="H389" s="100" t="str">
        <f t="shared" si="3"/>
        <v>Kamis</v>
      </c>
      <c r="I389" s="97" t="s">
        <v>87</v>
      </c>
      <c r="J389" s="97" t="s">
        <v>72</v>
      </c>
      <c r="K389" s="97" t="s">
        <v>57</v>
      </c>
      <c r="L389" s="101" t="s">
        <v>347</v>
      </c>
      <c r="M389" s="102" t="str">
        <f>IFNA(VLOOKUP(L389,'🙎‍♂️ Pasien'!G:V,2,FALSE),"")</f>
        <v>E0125101871</v>
      </c>
      <c r="N389" s="103">
        <f>IFNA(VLOOKUP(L389,'🙎‍♂️ Pasien'!G:L,3,FALSE),"")</f>
        <v>24</v>
      </c>
      <c r="O389" s="104" t="str">
        <f>IFNA(VLOOKUP(L389,'🙎‍♂️ Pasien'!G:V,6,FALSE),"")</f>
        <v>LAKI-LAKI</v>
      </c>
      <c r="P389" s="104" t="str">
        <f>IFNA(VLOOKUP(L389,'🙎‍♂️ Pasien'!G:V,12,FALSE),"")</f>
        <v>ISLAM</v>
      </c>
      <c r="Q389" s="104" t="str">
        <f>IFNA(VLOOKUP(L389:L1508,'🙎‍♂️ Pasien'!G:V,13,FALSE),"")</f>
        <v>PNS</v>
      </c>
      <c r="R389" s="104" t="str">
        <f t="array" ref="R389">ifna(xlookup(L389,'🙎‍♂️ Pasien'!$G$5:$G1508,'🙎‍♂️ Pasien'!$T$5:$T1508),"")</f>
        <v>SAKIT DI PINGGANG ATAS BELAKANG KIRI KARNA TERBENTUR SAAT KECELAKAAN KEMARIN PAGI</v>
      </c>
      <c r="S389" s="104" t="str">
        <f t="array" ref="S389">ifna(xlookup(L389,'🙎‍♂️ Pasien'!$G$5:$G1508,'🙎‍♂️ Pasien'!$U$5:$U1508),"")</f>
        <v>-</v>
      </c>
      <c r="T389" s="97" t="s">
        <v>67</v>
      </c>
      <c r="U389" s="105" t="s">
        <v>60</v>
      </c>
      <c r="V389" s="101" t="s">
        <v>348</v>
      </c>
      <c r="W389" s="106" t="b">
        <v>1</v>
      </c>
      <c r="X389" s="107"/>
      <c r="Y389" s="108"/>
    </row>
    <row r="390" ht="22.5" customHeight="1">
      <c r="A390" s="96"/>
      <c r="B390" s="97" t="s">
        <v>85</v>
      </c>
      <c r="C390" s="98" t="str">
        <f t="array" ref="C390">IFNA(XLOOKUP(J390,'⚙️ Pengaturan'!$H$5:$H1508,'⚙️ Pengaturan'!$I$5:$I1508),"")</f>
        <v>TIM A</v>
      </c>
      <c r="D390" s="97" t="s">
        <v>54</v>
      </c>
      <c r="E390" s="99">
        <v>45953.0</v>
      </c>
      <c r="F390" s="100" t="str">
        <f t="shared" si="1"/>
        <v>2025</v>
      </c>
      <c r="G390" s="100" t="str">
        <f t="shared" si="2"/>
        <v>10Okt</v>
      </c>
      <c r="H390" s="100" t="str">
        <f t="shared" si="3"/>
        <v>Kamis</v>
      </c>
      <c r="I390" s="97" t="s">
        <v>87</v>
      </c>
      <c r="J390" s="97" t="s">
        <v>72</v>
      </c>
      <c r="K390" s="97" t="s">
        <v>63</v>
      </c>
      <c r="L390" s="101" t="s">
        <v>249</v>
      </c>
      <c r="M390" s="102" t="str">
        <f>IFNA(VLOOKUP(L390,'🙎‍♂️ Pasien'!G:V,2,FALSE),"")</f>
        <v>M7625071479</v>
      </c>
      <c r="N390" s="103">
        <f>IFNA(VLOOKUP(L390,'🙎‍♂️ Pasien'!G:L,3,FALSE),"")</f>
        <v>50</v>
      </c>
      <c r="O390" s="104" t="str">
        <f>IFNA(VLOOKUP(L390,'🙎‍♂️ Pasien'!G:V,6,FALSE),"")</f>
        <v>PEREMPUAN</v>
      </c>
      <c r="P390" s="104" t="str">
        <f>IFNA(VLOOKUP(L390,'🙎‍♂️ Pasien'!G:V,12,FALSE),"")</f>
        <v>ISLAM</v>
      </c>
      <c r="Q390" s="104" t="str">
        <f>IFNA(VLOOKUP(L390:L1508,'🙎‍♂️ Pasien'!G:V,13,FALSE),"")</f>
        <v>IBU RUMAH TANGGA</v>
      </c>
      <c r="R390" s="104" t="str">
        <f t="array" ref="R390">ifna(xlookup(L390,'🙎‍♂️ Pasien'!$G$5:$G1508,'🙎‍♂️ Pasien'!$T$5:$T1508),"")</f>
        <v>STROKE</v>
      </c>
      <c r="S390" s="104" t="str">
        <f t="array" ref="S390">ifna(xlookup(L390,'🙎‍♂️ Pasien'!$G$5:$G1508,'🙎‍♂️ Pasien'!$U$5:$U1508),"")</f>
        <v>HIPERTENSI, KOLESTROL, DIABETES</v>
      </c>
      <c r="T390" s="97" t="s">
        <v>67</v>
      </c>
      <c r="U390" s="105">
        <v>4.0</v>
      </c>
      <c r="V390" s="101" t="s">
        <v>349</v>
      </c>
      <c r="W390" s="106" t="b">
        <v>1</v>
      </c>
      <c r="X390" s="107"/>
      <c r="Y390" s="108"/>
    </row>
    <row r="391" ht="22.5" customHeight="1">
      <c r="A391" s="96"/>
      <c r="B391" s="97" t="s">
        <v>85</v>
      </c>
      <c r="C391" s="98" t="str">
        <f t="array" ref="C391">IFNA(XLOOKUP(J391,'⚙️ Pengaturan'!$H$5:$H1508,'⚙️ Pengaturan'!$I$5:$I1508),"")</f>
        <v>TIM A</v>
      </c>
      <c r="D391" s="97" t="s">
        <v>54</v>
      </c>
      <c r="E391" s="99">
        <v>45953.0</v>
      </c>
      <c r="F391" s="100" t="str">
        <f t="shared" si="1"/>
        <v>2025</v>
      </c>
      <c r="G391" s="100" t="str">
        <f t="shared" si="2"/>
        <v>10Okt</v>
      </c>
      <c r="H391" s="100" t="str">
        <f t="shared" si="3"/>
        <v>Kamis</v>
      </c>
      <c r="I391" s="97" t="s">
        <v>93</v>
      </c>
      <c r="J391" s="97" t="s">
        <v>72</v>
      </c>
      <c r="K391" s="97" t="s">
        <v>63</v>
      </c>
      <c r="L391" s="101" t="s">
        <v>225</v>
      </c>
      <c r="M391" s="102" t="str">
        <f>IFNA(VLOOKUP(L391,'🙎‍♂️ Pasien'!G:V,2,FALSE),"")</f>
        <v>B8025102288</v>
      </c>
      <c r="N391" s="103">
        <f>IFNA(VLOOKUP(L391,'🙎‍♂️ Pasien'!G:L,3,FALSE),"")</f>
        <v>45</v>
      </c>
      <c r="O391" s="104" t="str">
        <f>IFNA(VLOOKUP(L391,'🙎‍♂️ Pasien'!G:V,6,FALSE),"")</f>
        <v>PEREMPUAN</v>
      </c>
      <c r="P391" s="104" t="str">
        <f>IFNA(VLOOKUP(L391,'🙎‍♂️ Pasien'!G:V,12,FALSE),"")</f>
        <v>ISLAM</v>
      </c>
      <c r="Q391" s="104" t="str">
        <f>IFNA(VLOOKUP(L391:L1508,'🙎‍♂️ Pasien'!G:V,13,FALSE),"")</f>
        <v>ASN</v>
      </c>
      <c r="R391" s="104" t="str">
        <f t="array" ref="R391">ifna(xlookup(L391,'🙎‍♂️ Pasien'!$G$5:$G1508,'🙎‍♂️ Pasien'!$T$5:$T1508),"")</f>
        <v>KELUHAN SY NYERI DI TUMIT KIRI SM PAHA KANAN UT DIANGKAT SAMBIL DITEKUK KE ARAH SAMPING LUAR RASA NYA NYERI</v>
      </c>
      <c r="S391" s="104" t="str">
        <f t="array" ref="S391">ifna(xlookup(L391,'🙎‍♂️ Pasien'!$G$5:$G1508,'🙎‍♂️ Pasien'!$U$5:$U1508),"")</f>
        <v>JOGING</v>
      </c>
      <c r="T391" s="97" t="s">
        <v>59</v>
      </c>
      <c r="U391" s="105">
        <v>4.0</v>
      </c>
      <c r="V391" s="101"/>
      <c r="W391" s="106" t="b">
        <v>1</v>
      </c>
      <c r="X391" s="107"/>
      <c r="Y391" s="108"/>
    </row>
    <row r="392" ht="22.5" customHeight="1">
      <c r="A392" s="96"/>
      <c r="B392" s="97" t="s">
        <v>85</v>
      </c>
      <c r="C392" s="98" t="str">
        <f t="array" ref="C392">IFNA(XLOOKUP(J392,'⚙️ Pengaturan'!$H$5:$H1508,'⚙️ Pengaturan'!$I$5:$I1508),"")</f>
        <v>TIM A</v>
      </c>
      <c r="D392" s="97" t="s">
        <v>54</v>
      </c>
      <c r="E392" s="99">
        <v>45953.0</v>
      </c>
      <c r="F392" s="100" t="str">
        <f t="shared" si="1"/>
        <v>2025</v>
      </c>
      <c r="G392" s="100" t="str">
        <f t="shared" si="2"/>
        <v>10Okt</v>
      </c>
      <c r="H392" s="100" t="str">
        <f t="shared" si="3"/>
        <v>Kamis</v>
      </c>
      <c r="I392" s="97" t="s">
        <v>93</v>
      </c>
      <c r="J392" s="97" t="s">
        <v>79</v>
      </c>
      <c r="K392" s="97" t="s">
        <v>57</v>
      </c>
      <c r="L392" s="101" t="s">
        <v>350</v>
      </c>
      <c r="M392" s="102" t="str">
        <f>IFNA(VLOOKUP(L392,'🙎‍♂️ Pasien'!G:V,2,FALSE),"")</f>
        <v>I8025109996</v>
      </c>
      <c r="N392" s="103">
        <f>IFNA(VLOOKUP(L392,'🙎‍♂️ Pasien'!G:L,3,FALSE),"")</f>
        <v>45</v>
      </c>
      <c r="O392" s="104" t="str">
        <f>IFNA(VLOOKUP(L392,'🙎‍♂️ Pasien'!G:V,6,FALSE),"")</f>
        <v>PEREMPUAN</v>
      </c>
      <c r="P392" s="104" t="str">
        <f>IFNA(VLOOKUP(L392,'🙎‍♂️ Pasien'!G:V,12,FALSE),"")</f>
        <v>ISLAM</v>
      </c>
      <c r="Q392" s="104" t="str">
        <f>IFNA(VLOOKUP(L392:L1508,'🙎‍♂️ Pasien'!G:V,13,FALSE),"")</f>
        <v>WIRASWASTA</v>
      </c>
      <c r="R392" s="104" t="str">
        <f t="array" ref="R392">ifna(xlookup(L392,'🙎‍♂️ Pasien'!$G$5:$G1508,'🙎‍♂️ Pasien'!$T$5:$T1508),"")</f>
        <v>NYERI KEPALA TIPE TEGANG DAN TANGAN SUKA KESEMUTAN</v>
      </c>
      <c r="S392" s="104" t="str">
        <f t="array" ref="S392">ifna(xlookup(L392,'🙎‍♂️ Pasien'!$G$5:$G1508,'🙎‍♂️ Pasien'!$U$5:$U1508),"")</f>
        <v>JIKA BAWA MOTOR DAN TIDUR MENGHADAP KE KANAN</v>
      </c>
      <c r="T392" s="97" t="s">
        <v>59</v>
      </c>
      <c r="U392" s="105" t="s">
        <v>60</v>
      </c>
      <c r="V392" s="101"/>
      <c r="W392" s="106" t="b">
        <v>1</v>
      </c>
      <c r="X392" s="107"/>
      <c r="Y392" s="108"/>
    </row>
    <row r="393" ht="22.5" customHeight="1">
      <c r="A393" s="96"/>
      <c r="B393" s="97" t="s">
        <v>85</v>
      </c>
      <c r="C393" s="98" t="str">
        <f t="array" ref="C393">IFNA(XLOOKUP(J393,'⚙️ Pengaturan'!$H$5:$H1508,'⚙️ Pengaturan'!$I$5:$I1508),"")</f>
        <v>TIM A</v>
      </c>
      <c r="D393" s="97" t="s">
        <v>54</v>
      </c>
      <c r="E393" s="99">
        <v>45953.0</v>
      </c>
      <c r="F393" s="100" t="str">
        <f t="shared" si="1"/>
        <v>2025</v>
      </c>
      <c r="G393" s="100" t="str">
        <f t="shared" si="2"/>
        <v>10Okt</v>
      </c>
      <c r="H393" s="100" t="str">
        <f t="shared" si="3"/>
        <v>Kamis</v>
      </c>
      <c r="I393" s="97" t="s">
        <v>95</v>
      </c>
      <c r="J393" s="97" t="s">
        <v>62</v>
      </c>
      <c r="K393" s="97" t="s">
        <v>57</v>
      </c>
      <c r="L393" s="101" t="s">
        <v>351</v>
      </c>
      <c r="M393" s="102" t="str">
        <f>IFNA(VLOOKUP(L393,'🙎‍♂️ Pasien'!G:V,2,FALSE),"")</f>
        <v>B6125039680</v>
      </c>
      <c r="N393" s="103">
        <f>IFNA(VLOOKUP(L393,'🙎‍♂️ Pasien'!G:L,3,FALSE),"")</f>
        <v>64</v>
      </c>
      <c r="O393" s="104" t="str">
        <f>IFNA(VLOOKUP(L393,'🙎‍♂️ Pasien'!G:V,6,FALSE),"")</f>
        <v>PEREMPUAN</v>
      </c>
      <c r="P393" s="104" t="str">
        <f>IFNA(VLOOKUP(L393,'🙎‍♂️ Pasien'!G:V,12,FALSE),"")</f>
        <v>ISLAM</v>
      </c>
      <c r="Q393" s="104" t="str">
        <f>IFNA(VLOOKUP(L393:L1508,'🙎‍♂️ Pasien'!G:V,13,FALSE),"")</f>
        <v>MENGURUS RUMAH RANGGA</v>
      </c>
      <c r="R393" s="104" t="str">
        <f t="array" ref="R393">ifna(xlookup(L393,'🙎‍♂️ Pasien'!$G$5:$G1508,'🙎‍♂️ Pasien'!$T$5:$T1508),"")</f>
        <v>•SARAF KEJEPIT</v>
      </c>
      <c r="S393" s="104" t="str">
        <f t="array" ref="S393">ifna(xlookup(L393,'🙎‍♂️ Pasien'!$G$5:$G1508,'🙎‍♂️ Pasien'!$U$5:$U1508),"")</f>
        <v>MEMASAK</v>
      </c>
      <c r="T393" s="97" t="s">
        <v>67</v>
      </c>
      <c r="U393" s="105" t="s">
        <v>60</v>
      </c>
      <c r="V393" s="101" t="s">
        <v>199</v>
      </c>
      <c r="W393" s="106" t="b">
        <v>1</v>
      </c>
      <c r="X393" s="107"/>
      <c r="Y393" s="108"/>
    </row>
    <row r="394" ht="22.5" customHeight="1">
      <c r="A394" s="96"/>
      <c r="B394" s="97" t="s">
        <v>85</v>
      </c>
      <c r="C394" s="98" t="str">
        <f t="array" ref="C394">IFNA(XLOOKUP(J394,'⚙️ Pengaturan'!$H$5:$H1508,'⚙️ Pengaturan'!$I$5:$I1508),"")</f>
        <v>TIM A</v>
      </c>
      <c r="D394" s="97" t="s">
        <v>54</v>
      </c>
      <c r="E394" s="99">
        <v>45953.0</v>
      </c>
      <c r="F394" s="100" t="str">
        <f t="shared" si="1"/>
        <v>2025</v>
      </c>
      <c r="G394" s="100" t="str">
        <f t="shared" si="2"/>
        <v>10Okt</v>
      </c>
      <c r="H394" s="100" t="str">
        <f t="shared" si="3"/>
        <v>Kamis</v>
      </c>
      <c r="I394" s="97" t="s">
        <v>95</v>
      </c>
      <c r="J394" s="97" t="s">
        <v>79</v>
      </c>
      <c r="K394" s="97" t="s">
        <v>57</v>
      </c>
      <c r="L394" s="101" t="s">
        <v>345</v>
      </c>
      <c r="M394" s="102" t="str">
        <f>IFNA(VLOOKUP(L394,'🙎‍♂️ Pasien'!G:V,2,FALSE),"")</f>
        <v>F9225081879</v>
      </c>
      <c r="N394" s="103">
        <f>IFNA(VLOOKUP(L394,'🙎‍♂️ Pasien'!G:L,3,FALSE),"")</f>
        <v>33</v>
      </c>
      <c r="O394" s="104" t="str">
        <f>IFNA(VLOOKUP(L394,'🙎‍♂️ Pasien'!G:V,6,FALSE),"")</f>
        <v>PEREMPUAN</v>
      </c>
      <c r="P394" s="104" t="str">
        <f>IFNA(VLOOKUP(L394,'🙎‍♂️ Pasien'!G:V,12,FALSE),"")</f>
        <v>ISLAM</v>
      </c>
      <c r="Q394" s="104" t="str">
        <f>IFNA(VLOOKUP(L394:L1508,'🙎‍♂️ Pasien'!G:V,13,FALSE),"")</f>
        <v>PRAMUGARI BUMN</v>
      </c>
      <c r="R394" s="104" t="str">
        <f t="array" ref="R394">ifna(xlookup(L394,'🙎‍♂️ Pasien'!$G$5:$G1508,'🙎‍♂️ Pasien'!$T$5:$T1508),"")</f>
        <v>NYERI CEDERA ACL</v>
      </c>
      <c r="S394" s="104" t="str">
        <f t="array" ref="S394">ifna(xlookup(L394,'🙎‍♂️ Pasien'!$G$5:$G1508,'🙎‍♂️ Pasien'!$U$5:$U1508),"")</f>
        <v>B</v>
      </c>
      <c r="T394" s="97" t="s">
        <v>59</v>
      </c>
      <c r="U394" s="105" t="s">
        <v>60</v>
      </c>
      <c r="V394" s="101"/>
      <c r="W394" s="106" t="b">
        <v>1</v>
      </c>
      <c r="X394" s="107"/>
      <c r="Y394" s="108"/>
    </row>
    <row r="395" ht="22.5" customHeight="1">
      <c r="A395" s="96"/>
      <c r="B395" s="97" t="s">
        <v>85</v>
      </c>
      <c r="C395" s="98" t="str">
        <f t="array" ref="C395">IFNA(XLOOKUP(J395,'⚙️ Pengaturan'!$H$5:$H1508,'⚙️ Pengaturan'!$I$5:$I1508),"")</f>
        <v>TIM A</v>
      </c>
      <c r="D395" s="97" t="s">
        <v>54</v>
      </c>
      <c r="E395" s="99">
        <v>45953.0</v>
      </c>
      <c r="F395" s="100" t="str">
        <f t="shared" si="1"/>
        <v>2025</v>
      </c>
      <c r="G395" s="100" t="str">
        <f t="shared" si="2"/>
        <v>10Okt</v>
      </c>
      <c r="H395" s="100" t="str">
        <f t="shared" si="3"/>
        <v>Kamis</v>
      </c>
      <c r="I395" s="97" t="s">
        <v>95</v>
      </c>
      <c r="J395" s="97" t="s">
        <v>72</v>
      </c>
      <c r="K395" s="97" t="s">
        <v>63</v>
      </c>
      <c r="L395" s="101" t="s">
        <v>144</v>
      </c>
      <c r="M395" s="102" t="str">
        <f>IFNA(VLOOKUP(L395,'🙎‍♂️ Pasien'!G:V,2,FALSE),"")</f>
        <v>L2525104585</v>
      </c>
      <c r="N395" s="103">
        <f>IFNA(VLOOKUP(L395,'🙎‍♂️ Pasien'!G:L,3,FALSE),"")</f>
        <v>0</v>
      </c>
      <c r="O395" s="104" t="str">
        <f>IFNA(VLOOKUP(L395,'🙎‍♂️ Pasien'!G:V,6,FALSE),"")</f>
        <v>PEREMPUAN</v>
      </c>
      <c r="P395" s="104" t="str">
        <f>IFNA(VLOOKUP(L395,'🙎‍♂️ Pasien'!G:V,12,FALSE),"")</f>
        <v>ISLAM</v>
      </c>
      <c r="Q395" s="104" t="str">
        <f>IFNA(VLOOKUP(L395:L1508,'🙎‍♂️ Pasien'!G:V,13,FALSE),"")</f>
        <v>ANGGOTA DPRD KOTA PONTIANAK</v>
      </c>
      <c r="R395" s="104" t="str">
        <f t="array" ref="R395">ifna(xlookup(L395,'🙎‍♂️ Pasien'!$G$5:$G1508,'🙎‍♂️ Pasien'!$T$5:$T1508),"")</f>
        <v>CEDERA BAHU</v>
      </c>
      <c r="S395" s="104" t="str">
        <f t="array" ref="S395">ifna(xlookup(L395,'🙎‍♂️ Pasien'!$G$5:$G1508,'🙎‍♂️ Pasien'!$U$5:$U1508),"")</f>
        <v>GYM</v>
      </c>
      <c r="T395" s="97" t="s">
        <v>67</v>
      </c>
      <c r="U395" s="105">
        <v>3.0</v>
      </c>
      <c r="V395" s="101" t="s">
        <v>352</v>
      </c>
      <c r="W395" s="106" t="b">
        <v>1</v>
      </c>
      <c r="X395" s="107"/>
      <c r="Y395" s="108"/>
    </row>
    <row r="396" ht="22.5" customHeight="1">
      <c r="A396" s="96"/>
      <c r="B396" s="97" t="s">
        <v>85</v>
      </c>
      <c r="C396" s="98" t="str">
        <f t="array" ref="C396">IFNA(XLOOKUP(J396,'⚙️ Pengaturan'!$H$5:$H1508,'⚙️ Pengaturan'!$I$5:$I1508),"")</f>
        <v>TIM Y</v>
      </c>
      <c r="D396" s="97" t="s">
        <v>54</v>
      </c>
      <c r="E396" s="99">
        <v>45953.0</v>
      </c>
      <c r="F396" s="100" t="str">
        <f t="shared" si="1"/>
        <v>2025</v>
      </c>
      <c r="G396" s="100" t="str">
        <f t="shared" si="2"/>
        <v>10Okt</v>
      </c>
      <c r="H396" s="100" t="str">
        <f t="shared" si="3"/>
        <v>Kamis</v>
      </c>
      <c r="I396" s="97" t="s">
        <v>95</v>
      </c>
      <c r="J396" s="97" t="s">
        <v>56</v>
      </c>
      <c r="K396" s="97" t="s">
        <v>63</v>
      </c>
      <c r="L396" s="101" t="s">
        <v>353</v>
      </c>
      <c r="M396" s="102" t="str">
        <f>IFNA(VLOOKUP(L396,'🙎‍♂️ Pasien'!G:V,2,FALSE),"")</f>
        <v>N0324108818</v>
      </c>
      <c r="N396" s="103">
        <f>IFNA(VLOOKUP(L396,'🙎‍♂️ Pasien'!G:L,3,FALSE),"")</f>
        <v>23</v>
      </c>
      <c r="O396" s="104" t="str">
        <f>IFNA(VLOOKUP(L396,'🙎‍♂️ Pasien'!G:V,6,FALSE),"")</f>
        <v>LAKI-LAKI</v>
      </c>
      <c r="P396" s="104" t="str">
        <f>IFNA(VLOOKUP(L396,'🙎‍♂️ Pasien'!G:V,12,FALSE),"")</f>
        <v>KATOLIK</v>
      </c>
      <c r="Q396" s="104" t="str">
        <f>IFNA(VLOOKUP(L396:L1508,'🙎‍♂️ Pasien'!G:V,13,FALSE),"")</f>
        <v>PELAJAR/MAHASISWA</v>
      </c>
      <c r="R396" s="104" t="str">
        <f t="array" ref="R396">ifna(xlookup(L396,'🙎‍♂️ Pasien'!$G$5:$G1508,'🙎‍♂️ Pasien'!$T$5:$T1508),"")</f>
        <v>Belikat, telapak kaki, bahu, pinggang</v>
      </c>
      <c r="S396" s="104" t="str">
        <f t="array" ref="S396">ifna(xlookup(L396,'🙎‍♂️ Pasien'!$G$5:$G1508,'🙎‍♂️ Pasien'!$U$5:$U1508),"")</f>
        <v>Tennis dan gym</v>
      </c>
      <c r="T396" s="97" t="s">
        <v>59</v>
      </c>
      <c r="U396" s="105">
        <v>3.0</v>
      </c>
      <c r="V396" s="101"/>
      <c r="W396" s="106" t="b">
        <v>1</v>
      </c>
      <c r="X396" s="107"/>
      <c r="Y396" s="108"/>
    </row>
    <row r="397" ht="22.5" customHeight="1">
      <c r="A397" s="96"/>
      <c r="B397" s="97" t="s">
        <v>85</v>
      </c>
      <c r="C397" s="98" t="str">
        <f t="array" ref="C397">IFNA(XLOOKUP(J397,'⚙️ Pengaturan'!$H$5:$H1508,'⚙️ Pengaturan'!$I$5:$I1508),"")</f>
        <v>TIM Y</v>
      </c>
      <c r="D397" s="97" t="s">
        <v>54</v>
      </c>
      <c r="E397" s="99">
        <v>45953.0</v>
      </c>
      <c r="F397" s="100" t="str">
        <f t="shared" si="1"/>
        <v>2025</v>
      </c>
      <c r="G397" s="100" t="str">
        <f t="shared" si="2"/>
        <v>10Okt</v>
      </c>
      <c r="H397" s="100" t="str">
        <f t="shared" si="3"/>
        <v>Kamis</v>
      </c>
      <c r="I397" s="97" t="s">
        <v>97</v>
      </c>
      <c r="J397" s="97" t="s">
        <v>56</v>
      </c>
      <c r="K397" s="97" t="s">
        <v>69</v>
      </c>
      <c r="L397" s="101" t="s">
        <v>202</v>
      </c>
      <c r="M397" s="102" t="str">
        <f>IFNA(VLOOKUP(L397,'🙎‍♂️ Pasien'!G:V,2,FALSE),"")</f>
        <v>B9925104512</v>
      </c>
      <c r="N397" s="103">
        <f>IFNA(VLOOKUP(L397,'🙎‍♂️ Pasien'!G:L,3,FALSE),"")</f>
        <v>26</v>
      </c>
      <c r="O397" s="104" t="str">
        <f>IFNA(VLOOKUP(L397,'🙎‍♂️ Pasien'!G:V,6,FALSE),"")</f>
        <v>LAKI-LAKI</v>
      </c>
      <c r="P397" s="104" t="str">
        <f>IFNA(VLOOKUP(L397,'🙎‍♂️ Pasien'!G:V,12,FALSE),"")</f>
        <v>ISLAM</v>
      </c>
      <c r="Q397" s="104" t="str">
        <f>IFNA(VLOOKUP(L397:L1508,'🙎‍♂️ Pasien'!G:V,13,FALSE),"")</f>
        <v>SWASTA</v>
      </c>
      <c r="R397" s="104" t="str">
        <f t="array" ref="R397">ifna(xlookup(L397,'🙎‍♂️ Pasien'!$G$5:$G1508,'🙎‍♂️ Pasien'!$T$5:$T1508),"")</f>
        <v>CIDERA LUTUT SALAH TUMPUAN PAS MAIN BOLA</v>
      </c>
      <c r="S397" s="104" t="str">
        <f t="array" ref="S397">ifna(xlookup(L397,'🙎‍♂️ Pasien'!$G$5:$G1508,'🙎‍♂️ Pasien'!$U$5:$U1508),"")</f>
        <v>SEPAK BOLA</v>
      </c>
      <c r="T397" s="97" t="s">
        <v>59</v>
      </c>
      <c r="U397" s="105">
        <v>1.0</v>
      </c>
      <c r="V397" s="101"/>
      <c r="W397" s="106" t="b">
        <v>1</v>
      </c>
      <c r="X397" s="107"/>
      <c r="Y397" s="108"/>
    </row>
    <row r="398" ht="22.5" customHeight="1">
      <c r="A398" s="96"/>
      <c r="B398" s="97" t="s">
        <v>85</v>
      </c>
      <c r="C398" s="98" t="str">
        <f t="array" ref="C398">IFNA(XLOOKUP(J398,'⚙️ Pengaturan'!$H$5:$H1508,'⚙️ Pengaturan'!$I$5:$I1508),"")</f>
        <v>TIM A</v>
      </c>
      <c r="D398" s="97" t="s">
        <v>54</v>
      </c>
      <c r="E398" s="99">
        <v>45953.0</v>
      </c>
      <c r="F398" s="100" t="str">
        <f t="shared" si="1"/>
        <v>2025</v>
      </c>
      <c r="G398" s="100" t="str">
        <f t="shared" si="2"/>
        <v>10Okt</v>
      </c>
      <c r="H398" s="100" t="str">
        <f t="shared" si="3"/>
        <v>Kamis</v>
      </c>
      <c r="I398" s="97" t="s">
        <v>97</v>
      </c>
      <c r="J398" s="97" t="s">
        <v>79</v>
      </c>
      <c r="K398" s="97" t="s">
        <v>57</v>
      </c>
      <c r="L398" s="101" t="s">
        <v>354</v>
      </c>
      <c r="M398" s="102" t="str">
        <f>IFNA(VLOOKUP(L398,'🙎‍♂️ Pasien'!G:V,2,FALSE),"")</f>
        <v>B9425106600</v>
      </c>
      <c r="N398" s="103">
        <f>IFNA(VLOOKUP(L398,'🙎‍♂️ Pasien'!G:L,3,FALSE),"")</f>
        <v>31</v>
      </c>
      <c r="O398" s="104" t="str">
        <f>IFNA(VLOOKUP(L398,'🙎‍♂️ Pasien'!G:V,6,FALSE),"")</f>
        <v>LAKI-LAKI</v>
      </c>
      <c r="P398" s="104" t="str">
        <f>IFNA(VLOOKUP(L398,'🙎‍♂️ Pasien'!G:V,12,FALSE),"")</f>
        <v>ISLAM</v>
      </c>
      <c r="Q398" s="104" t="str">
        <f>IFNA(VLOOKUP(L398:L1508,'🙎‍♂️ Pasien'!G:V,13,FALSE),"")</f>
        <v>SWASTA</v>
      </c>
      <c r="R398" s="104" t="str">
        <f t="array" ref="R398">ifna(xlookup(L398,'🙎‍♂️ Pasien'!$G$5:$G1508,'🙎‍♂️ Pasien'!$T$5:$T1508),"")</f>
        <v>SAKIT BAGIAN PINGGANG</v>
      </c>
      <c r="S398" s="104" t="str">
        <f t="array" ref="S398">ifna(xlookup(L398,'🙎‍♂️ Pasien'!$G$5:$G1508,'🙎‍♂️ Pasien'!$U$5:$U1508),"")</f>
        <v>DUDUK TERLALU LAMA</v>
      </c>
      <c r="T398" s="97" t="s">
        <v>67</v>
      </c>
      <c r="U398" s="105" t="s">
        <v>60</v>
      </c>
      <c r="V398" s="101" t="s">
        <v>355</v>
      </c>
      <c r="W398" s="106" t="b">
        <v>1</v>
      </c>
      <c r="X398" s="107"/>
      <c r="Y398" s="108"/>
    </row>
    <row r="399" ht="22.5" customHeight="1">
      <c r="A399" s="96"/>
      <c r="B399" s="97" t="s">
        <v>85</v>
      </c>
      <c r="C399" s="98" t="str">
        <f t="array" ref="C399">IFNA(XLOOKUP(J399,'⚙️ Pengaturan'!$H$5:$H1508,'⚙️ Pengaturan'!$I$5:$I1508),"")</f>
        <v>TIM A</v>
      </c>
      <c r="D399" s="97" t="s">
        <v>54</v>
      </c>
      <c r="E399" s="99">
        <v>45953.0</v>
      </c>
      <c r="F399" s="100" t="str">
        <f t="shared" si="1"/>
        <v>2025</v>
      </c>
      <c r="G399" s="100" t="str">
        <f t="shared" si="2"/>
        <v>10Okt</v>
      </c>
      <c r="H399" s="100" t="str">
        <f t="shared" si="3"/>
        <v>Kamis</v>
      </c>
      <c r="I399" s="97" t="s">
        <v>97</v>
      </c>
      <c r="J399" s="97" t="s">
        <v>72</v>
      </c>
      <c r="K399" s="97" t="s">
        <v>63</v>
      </c>
      <c r="L399" s="101" t="s">
        <v>129</v>
      </c>
      <c r="M399" s="102" t="str">
        <f>IFNA(VLOOKUP(L399,'🙎‍♂️ Pasien'!G:V,2,FALSE),"")</f>
        <v>D1025091558</v>
      </c>
      <c r="N399" s="103">
        <f>IFNA(VLOOKUP(L399,'🙎‍♂️ Pasien'!G:L,3,FALSE),"")</f>
        <v>16</v>
      </c>
      <c r="O399" s="104" t="str">
        <f>IFNA(VLOOKUP(L399,'🙎‍♂️ Pasien'!G:V,6,FALSE),"")</f>
        <v>LAKI-LAKI</v>
      </c>
      <c r="P399" s="104" t="str">
        <f>IFNA(VLOOKUP(L399,'🙎‍♂️ Pasien'!G:V,12,FALSE),"")</f>
        <v>PROTESTAN</v>
      </c>
      <c r="Q399" s="104" t="str">
        <f>IFNA(VLOOKUP(L399:L1508,'🙎‍♂️ Pasien'!G:V,13,FALSE),"")</f>
        <v>MASI SEKOLAH</v>
      </c>
      <c r="R399" s="104" t="str">
        <f t="array" ref="R399">ifna(xlookup(L399,'🙎‍♂️ Pasien'!$G$5:$G1508,'🙎‍♂️ Pasien'!$T$5:$T1508),"")</f>
        <v>SAKIT DI BAGIAN LUTUT</v>
      </c>
      <c r="S399" s="104" t="str">
        <f t="array" ref="S399">ifna(xlookup(L399,'🙎‍♂️ Pasien'!$G$5:$G1508,'🙎‍♂️ Pasien'!$U$5:$U1508),"")</f>
        <v>BASKET</v>
      </c>
      <c r="T399" s="97" t="s">
        <v>59</v>
      </c>
      <c r="U399" s="105">
        <v>3.0</v>
      </c>
      <c r="V399" s="101"/>
      <c r="W399" s="106" t="b">
        <v>1</v>
      </c>
      <c r="X399" s="107"/>
      <c r="Y399" s="108"/>
    </row>
    <row r="400" ht="22.5" customHeight="1">
      <c r="A400" s="96"/>
      <c r="B400" s="97" t="s">
        <v>85</v>
      </c>
      <c r="C400" s="98" t="str">
        <f t="array" ref="C400">IFNA(XLOOKUP(J400,'⚙️ Pengaturan'!$H$5:$H1508,'⚙️ Pengaturan'!$I$5:$I1508),"")</f>
        <v>TIM A</v>
      </c>
      <c r="D400" s="97" t="s">
        <v>54</v>
      </c>
      <c r="E400" s="99">
        <v>45953.0</v>
      </c>
      <c r="F400" s="100" t="str">
        <f t="shared" si="1"/>
        <v>2025</v>
      </c>
      <c r="G400" s="100" t="str">
        <f t="shared" si="2"/>
        <v>10Okt</v>
      </c>
      <c r="H400" s="100" t="str">
        <f t="shared" si="3"/>
        <v>Kamis</v>
      </c>
      <c r="I400" s="97" t="s">
        <v>99</v>
      </c>
      <c r="J400" s="97" t="s">
        <v>72</v>
      </c>
      <c r="K400" s="97" t="s">
        <v>69</v>
      </c>
      <c r="L400" s="101" t="s">
        <v>227</v>
      </c>
      <c r="M400" s="102" t="str">
        <f>IFNA(VLOOKUP(L400,'🙎‍♂️ Pasien'!G:V,2,FALSE),"")</f>
        <v>A9323069998</v>
      </c>
      <c r="N400" s="103">
        <f>IFNA(VLOOKUP(L400,'🙎‍♂️ Pasien'!G:L,3,FALSE),"")</f>
        <v>33</v>
      </c>
      <c r="O400" s="104" t="str">
        <f>IFNA(VLOOKUP(L400,'🙎‍♂️ Pasien'!G:V,6,FALSE),"")</f>
        <v>LAKI-LAKI</v>
      </c>
      <c r="P400" s="104" t="str">
        <f>IFNA(VLOOKUP(L400,'🙎‍♂️ Pasien'!G:V,12,FALSE),"")</f>
        <v>KHONGHUCU</v>
      </c>
      <c r="Q400" s="104" t="str">
        <f>IFNA(VLOOKUP(L400:L1508,'🙎‍♂️ Pasien'!G:V,13,FALSE),"")</f>
        <v>WIRASWASTA</v>
      </c>
      <c r="R400" s="104" t="str">
        <f t="array" ref="R400">ifna(xlookup(L400,'🙎‍♂️ Pasien'!$G$5:$G1508,'🙎‍♂️ Pasien'!$T$5:$T1508),"")</f>
        <v>ANGKLE PERGELANGAN TANGAN KANAN</v>
      </c>
      <c r="S400" s="104" t="str">
        <f t="array" ref="S400">ifna(xlookup(L400,'🙎‍♂️ Pasien'!$G$5:$G1508,'🙎‍♂️ Pasien'!$U$5:$U1508),"")</f>
        <v>BADMINTON</v>
      </c>
      <c r="T400" s="97" t="s">
        <v>67</v>
      </c>
      <c r="U400" s="105" t="s">
        <v>60</v>
      </c>
      <c r="V400" s="101" t="s">
        <v>356</v>
      </c>
      <c r="W400" s="106" t="b">
        <v>1</v>
      </c>
      <c r="X400" s="107"/>
      <c r="Y400" s="108"/>
    </row>
    <row r="401" ht="22.5" customHeight="1">
      <c r="A401" s="96"/>
      <c r="B401" s="97" t="s">
        <v>85</v>
      </c>
      <c r="C401" s="98" t="str">
        <f t="array" ref="C401">IFNA(XLOOKUP(J401,'⚙️ Pengaturan'!$H$5:$H1508,'⚙️ Pengaturan'!$I$5:$I1508),"")</f>
        <v>TIM A</v>
      </c>
      <c r="D401" s="97" t="s">
        <v>54</v>
      </c>
      <c r="E401" s="99">
        <v>45953.0</v>
      </c>
      <c r="F401" s="100" t="str">
        <f t="shared" si="1"/>
        <v>2025</v>
      </c>
      <c r="G401" s="100" t="str">
        <f t="shared" si="2"/>
        <v>10Okt</v>
      </c>
      <c r="H401" s="100" t="str">
        <f t="shared" si="3"/>
        <v>Kamis</v>
      </c>
      <c r="I401" s="97" t="s">
        <v>99</v>
      </c>
      <c r="J401" s="97" t="s">
        <v>62</v>
      </c>
      <c r="K401" s="97" t="s">
        <v>63</v>
      </c>
      <c r="L401" s="101" t="s">
        <v>357</v>
      </c>
      <c r="M401" s="102" t="str">
        <f>IFNA(VLOOKUP(L401,'🙎‍♂️ Pasien'!G:V,2,FALSE),"")</f>
        <v>A0125104452</v>
      </c>
      <c r="N401" s="103">
        <f>IFNA(VLOOKUP(L401,'🙎‍♂️ Pasien'!G:L,3,FALSE),"")</f>
        <v>24</v>
      </c>
      <c r="O401" s="104" t="str">
        <f>IFNA(VLOOKUP(L401,'🙎‍♂️ Pasien'!G:V,6,FALSE),"")</f>
        <v>PEREMPUAN</v>
      </c>
      <c r="P401" s="104" t="str">
        <f>IFNA(VLOOKUP(L401,'🙎‍♂️ Pasien'!G:V,12,FALSE),"")</f>
        <v>ISLAM</v>
      </c>
      <c r="Q401" s="104" t="str">
        <f>IFNA(VLOOKUP(L401:L1508,'🙎‍♂️ Pasien'!G:V,13,FALSE),"")</f>
        <v>PNS</v>
      </c>
      <c r="R401" s="104" t="str">
        <f t="array" ref="R401">ifna(xlookup(L401,'🙎‍♂️ Pasien'!$G$5:$G1508,'🙎‍♂️ Pasien'!$T$5:$T1508),"")</f>
        <v>SAKIT NYERI DAN PEGAL DARI LEHER HINGGA KAKI NAMUN HANYA TUBUH SEBELAH KANAN</v>
      </c>
      <c r="S401" s="104" t="str">
        <f t="array" ref="S401">ifna(xlookup(L401,'🙎‍♂️ Pasien'!$G$5:$G1508,'🙎‍♂️ Pasien'!$U$5:$U1508),"")</f>
        <v>-</v>
      </c>
      <c r="T401" s="97" t="s">
        <v>59</v>
      </c>
      <c r="U401" s="105">
        <v>1.0</v>
      </c>
      <c r="V401" s="101"/>
      <c r="W401" s="106" t="b">
        <v>1</v>
      </c>
      <c r="X401" s="107"/>
      <c r="Y401" s="108"/>
    </row>
    <row r="402" ht="22.5" customHeight="1">
      <c r="A402" s="96"/>
      <c r="B402" s="97" t="s">
        <v>85</v>
      </c>
      <c r="C402" s="98" t="str">
        <f t="array" ref="C402">IFNA(XLOOKUP(J402,'⚙️ Pengaturan'!$H$5:$H1508,'⚙️ Pengaturan'!$I$5:$I1508),"")</f>
        <v>TIM Y</v>
      </c>
      <c r="D402" s="97" t="s">
        <v>54</v>
      </c>
      <c r="E402" s="99">
        <v>45953.0</v>
      </c>
      <c r="F402" s="100" t="str">
        <f t="shared" si="1"/>
        <v>2025</v>
      </c>
      <c r="G402" s="100" t="str">
        <f t="shared" si="2"/>
        <v>10Okt</v>
      </c>
      <c r="H402" s="100" t="str">
        <f t="shared" si="3"/>
        <v>Kamis</v>
      </c>
      <c r="I402" s="97" t="s">
        <v>99</v>
      </c>
      <c r="J402" s="97" t="s">
        <v>56</v>
      </c>
      <c r="K402" s="97" t="s">
        <v>69</v>
      </c>
      <c r="L402" s="101" t="s">
        <v>202</v>
      </c>
      <c r="M402" s="102" t="str">
        <f>IFNA(VLOOKUP(L402,'🙎‍♂️ Pasien'!G:V,2,FALSE),"")</f>
        <v>B9925104512</v>
      </c>
      <c r="N402" s="103">
        <f>IFNA(VLOOKUP(L402,'🙎‍♂️ Pasien'!G:L,3,FALSE),"")</f>
        <v>26</v>
      </c>
      <c r="O402" s="104" t="str">
        <f>IFNA(VLOOKUP(L402,'🙎‍♂️ Pasien'!G:V,6,FALSE),"")</f>
        <v>LAKI-LAKI</v>
      </c>
      <c r="P402" s="104" t="str">
        <f>IFNA(VLOOKUP(L402,'🙎‍♂️ Pasien'!G:V,12,FALSE),"")</f>
        <v>ISLAM</v>
      </c>
      <c r="Q402" s="104" t="str">
        <f>IFNA(VLOOKUP(L402:L1508,'🙎‍♂️ Pasien'!G:V,13,FALSE),"")</f>
        <v>SWASTA</v>
      </c>
      <c r="R402" s="104" t="str">
        <f t="array" ref="R402">ifna(xlookup(L402,'🙎‍♂️ Pasien'!$G$5:$G1508,'🙎‍♂️ Pasien'!$T$5:$T1508),"")</f>
        <v>CIDERA LUTUT SALAH TUMPUAN PAS MAIN BOLA</v>
      </c>
      <c r="S402" s="104" t="str">
        <f t="array" ref="S402">ifna(xlookup(L402,'🙎‍♂️ Pasien'!$G$5:$G1508,'🙎‍♂️ Pasien'!$U$5:$U1508),"")</f>
        <v>SEPAK BOLA</v>
      </c>
      <c r="T402" s="97" t="s">
        <v>59</v>
      </c>
      <c r="U402" s="105">
        <v>2.0</v>
      </c>
      <c r="V402" s="101"/>
      <c r="W402" s="106" t="b">
        <v>1</v>
      </c>
      <c r="X402" s="107"/>
      <c r="Y402" s="108"/>
    </row>
    <row r="403" ht="22.5" customHeight="1">
      <c r="A403" s="96"/>
      <c r="B403" s="97" t="s">
        <v>85</v>
      </c>
      <c r="C403" s="98" t="str">
        <f t="array" ref="C403">IFNA(XLOOKUP(J403,'⚙️ Pengaturan'!$H$5:$H1508,'⚙️ Pengaturan'!$I$5:$I1508),"")</f>
        <v>MANAJEMEN</v>
      </c>
      <c r="D403" s="97" t="s">
        <v>134</v>
      </c>
      <c r="E403" s="99">
        <v>45954.0</v>
      </c>
      <c r="F403" s="100" t="str">
        <f t="shared" si="1"/>
        <v>2025</v>
      </c>
      <c r="G403" s="100" t="str">
        <f t="shared" si="2"/>
        <v>10Okt</v>
      </c>
      <c r="H403" s="100" t="str">
        <f t="shared" si="3"/>
        <v>Jumat</v>
      </c>
      <c r="I403" s="97" t="s">
        <v>87</v>
      </c>
      <c r="J403" s="97" t="s">
        <v>101</v>
      </c>
      <c r="K403" s="97" t="s">
        <v>57</v>
      </c>
      <c r="L403" s="101" t="s">
        <v>358</v>
      </c>
      <c r="M403" s="102" t="str">
        <f>IFNA(VLOOKUP(L403,'🙎‍♂️ Pasien'!G:V,2,FALSE),"")</f>
        <v>A9825105032</v>
      </c>
      <c r="N403" s="103">
        <f>IFNA(VLOOKUP(L403,'🙎‍♂️ Pasien'!G:L,3,FALSE),"")</f>
        <v>27</v>
      </c>
      <c r="O403" s="104" t="str">
        <f>IFNA(VLOOKUP(L403,'🙎‍♂️ Pasien'!G:V,6,FALSE),"")</f>
        <v>LAKI-LAKI</v>
      </c>
      <c r="P403" s="104" t="str">
        <f>IFNA(VLOOKUP(L403,'🙎‍♂️ Pasien'!G:V,12,FALSE),"")</f>
        <v>BUDDHA</v>
      </c>
      <c r="Q403" s="104" t="str">
        <f>IFNA(VLOOKUP(L403:L1508,'🙎‍♂️ Pasien'!G:V,13,FALSE),"")</f>
        <v>TAROT READER</v>
      </c>
      <c r="R403" s="104" t="str">
        <f t="array" ref="R403">ifna(xlookup(L403,'🙎‍♂️ Pasien'!$G$5:$G1508,'🙎‍♂️ Pasien'!$T$5:$T1508),"")</f>
        <v>NYERI DI KESELURUHAN PUNGGUNG (TERUTAMA AREA BELIKAT KIRI YANG TERKADANG BISA MENJALAR KE LENGAN KIRI), JUGA LEHER</v>
      </c>
      <c r="S403" s="104" t="str">
        <f t="array" ref="S403">ifna(xlookup(L403,'🙎‍♂️ Pasien'!$G$5:$G1508,'🙎‍♂️ Pasien'!$U$5:$U1508),"")</f>
        <v>TIDAK ADA, CUMAN MEMANG SERING DUDUK</v>
      </c>
      <c r="T403" s="97" t="s">
        <v>59</v>
      </c>
      <c r="U403" s="105" t="s">
        <v>60</v>
      </c>
      <c r="V403" s="101" t="s">
        <v>142</v>
      </c>
      <c r="W403" s="106" t="b">
        <v>1</v>
      </c>
      <c r="X403" s="109" t="s">
        <v>359</v>
      </c>
      <c r="Y403" s="108"/>
    </row>
    <row r="404" ht="22.5" customHeight="1">
      <c r="A404" s="96"/>
      <c r="B404" s="97" t="s">
        <v>85</v>
      </c>
      <c r="C404" s="98" t="str">
        <f t="array" ref="C404">IFNA(XLOOKUP(J404,'⚙️ Pengaturan'!$H$5:$H1508,'⚙️ Pengaturan'!$I$5:$I1508),"")</f>
        <v>TIM A</v>
      </c>
      <c r="D404" s="97" t="s">
        <v>134</v>
      </c>
      <c r="E404" s="99">
        <v>45954.0</v>
      </c>
      <c r="F404" s="100" t="str">
        <f t="shared" si="1"/>
        <v>2025</v>
      </c>
      <c r="G404" s="100" t="str">
        <f t="shared" si="2"/>
        <v>10Okt</v>
      </c>
      <c r="H404" s="100" t="str">
        <f t="shared" si="3"/>
        <v>Jumat</v>
      </c>
      <c r="I404" s="97" t="s">
        <v>87</v>
      </c>
      <c r="J404" s="97" t="s">
        <v>79</v>
      </c>
      <c r="K404" s="97" t="s">
        <v>63</v>
      </c>
      <c r="L404" s="101" t="s">
        <v>144</v>
      </c>
      <c r="M404" s="102" t="str">
        <f>IFNA(VLOOKUP(L404,'🙎‍♂️ Pasien'!G:V,2,FALSE),"")</f>
        <v>L2525104585</v>
      </c>
      <c r="N404" s="103">
        <f>IFNA(VLOOKUP(L404,'🙎‍♂️ Pasien'!G:L,3,FALSE),"")</f>
        <v>0</v>
      </c>
      <c r="O404" s="104" t="str">
        <f>IFNA(VLOOKUP(L404,'🙎‍♂️ Pasien'!G:V,6,FALSE),"")</f>
        <v>PEREMPUAN</v>
      </c>
      <c r="P404" s="104" t="str">
        <f>IFNA(VLOOKUP(L404,'🙎‍♂️ Pasien'!G:V,12,FALSE),"")</f>
        <v>ISLAM</v>
      </c>
      <c r="Q404" s="104" t="str">
        <f>IFNA(VLOOKUP(L404:L1508,'🙎‍♂️ Pasien'!G:V,13,FALSE),"")</f>
        <v>ANGGOTA DPRD KOTA PONTIANAK</v>
      </c>
      <c r="R404" s="104" t="str">
        <f t="array" ref="R404">ifna(xlookup(L404,'🙎‍♂️ Pasien'!$G$5:$G1508,'🙎‍♂️ Pasien'!$T$5:$T1508),"")</f>
        <v>CEDERA BAHU</v>
      </c>
      <c r="S404" s="104" t="str">
        <f t="array" ref="S404">ifna(xlookup(L404,'🙎‍♂️ Pasien'!$G$5:$G1508,'🙎‍♂️ Pasien'!$U$5:$U1508),"")</f>
        <v>GYM</v>
      </c>
      <c r="T404" s="97" t="s">
        <v>67</v>
      </c>
      <c r="U404" s="105">
        <v>3.0</v>
      </c>
      <c r="V404" s="101" t="s">
        <v>360</v>
      </c>
      <c r="W404" s="106" t="b">
        <v>1</v>
      </c>
      <c r="X404" s="109" t="s">
        <v>60</v>
      </c>
      <c r="Y404" s="108"/>
    </row>
    <row r="405" ht="22.5" customHeight="1">
      <c r="A405" s="96"/>
      <c r="B405" s="97" t="s">
        <v>85</v>
      </c>
      <c r="C405" s="98" t="str">
        <f t="array" ref="C405">IFNA(XLOOKUP(J405,'⚙️ Pengaturan'!$H$5:$H1508,'⚙️ Pengaturan'!$I$5:$I1508),"")</f>
        <v>MANAJEMEN</v>
      </c>
      <c r="D405" s="97" t="s">
        <v>134</v>
      </c>
      <c r="E405" s="99">
        <v>45954.0</v>
      </c>
      <c r="F405" s="100" t="str">
        <f t="shared" si="1"/>
        <v>2025</v>
      </c>
      <c r="G405" s="100" t="str">
        <f t="shared" si="2"/>
        <v>10Okt</v>
      </c>
      <c r="H405" s="100" t="str">
        <f t="shared" si="3"/>
        <v>Jumat</v>
      </c>
      <c r="I405" s="97" t="s">
        <v>93</v>
      </c>
      <c r="J405" s="97" t="s">
        <v>101</v>
      </c>
      <c r="K405" s="97" t="s">
        <v>63</v>
      </c>
      <c r="L405" s="101" t="s">
        <v>291</v>
      </c>
      <c r="M405" s="102" t="str">
        <f>IFNA(VLOOKUP(L405,'🙎‍♂️ Pasien'!G:V,2,FALSE),"")</f>
        <v>K5225090123</v>
      </c>
      <c r="N405" s="103">
        <f>IFNA(VLOOKUP(L405,'🙎‍♂️ Pasien'!G:L,3,FALSE),"")</f>
        <v>74</v>
      </c>
      <c r="O405" s="104" t="str">
        <f>IFNA(VLOOKUP(L405,'🙎‍♂️ Pasien'!G:V,6,FALSE),"")</f>
        <v>LAKI-LAKI</v>
      </c>
      <c r="P405" s="104" t="str">
        <f>IFNA(VLOOKUP(L405,'🙎‍♂️ Pasien'!G:V,12,FALSE),"")</f>
        <v>ISLAM</v>
      </c>
      <c r="Q405" s="104" t="str">
        <f>IFNA(VLOOKUP(L405:L1508,'🙎‍♂️ Pasien'!G:V,13,FALSE),"")</f>
        <v>PENSIUNAN</v>
      </c>
      <c r="R405" s="104" t="str">
        <f t="array" ref="R405">ifna(xlookup(L405,'🙎‍♂️ Pasien'!$G$5:$G1508,'🙎‍♂️ Pasien'!$T$5:$T1508),"")</f>
        <v>SAKIT PINGGANG MENJALAR SAMPAI KAKI</v>
      </c>
      <c r="S405" s="104" t="str">
        <f t="array" ref="S405">ifna(xlookup(L405,'🙎‍♂️ Pasien'!$G$5:$G1508,'🙎‍♂️ Pasien'!$U$5:$U1508),"")</f>
        <v>-</v>
      </c>
      <c r="T405" s="97" t="s">
        <v>67</v>
      </c>
      <c r="U405" s="105">
        <v>2.0</v>
      </c>
      <c r="V405" s="101" t="s">
        <v>361</v>
      </c>
      <c r="W405" s="106" t="b">
        <v>1</v>
      </c>
      <c r="X405" s="109" t="s">
        <v>60</v>
      </c>
      <c r="Y405" s="108"/>
    </row>
    <row r="406" ht="22.5" customHeight="1">
      <c r="A406" s="96"/>
      <c r="B406" s="97" t="s">
        <v>85</v>
      </c>
      <c r="C406" s="98" t="str">
        <f t="array" ref="C406">IFNA(XLOOKUP(J406,'⚙️ Pengaturan'!$H$5:$H1508,'⚙️ Pengaturan'!$I$5:$I1508),"")</f>
        <v>MANAJEMEN</v>
      </c>
      <c r="D406" s="97" t="s">
        <v>134</v>
      </c>
      <c r="E406" s="99">
        <v>45954.0</v>
      </c>
      <c r="F406" s="100" t="str">
        <f t="shared" si="1"/>
        <v>2025</v>
      </c>
      <c r="G406" s="100" t="str">
        <f t="shared" si="2"/>
        <v>10Okt</v>
      </c>
      <c r="H406" s="100" t="str">
        <f t="shared" si="3"/>
        <v>Jumat</v>
      </c>
      <c r="I406" s="97" t="s">
        <v>93</v>
      </c>
      <c r="J406" s="97" t="s">
        <v>101</v>
      </c>
      <c r="K406" s="97" t="s">
        <v>57</v>
      </c>
      <c r="L406" s="101" t="s">
        <v>362</v>
      </c>
      <c r="M406" s="102" t="str">
        <f>IFNA(VLOOKUP(L406,'🙎‍♂️ Pasien'!G:V,2,FALSE),"")</f>
        <v>K1625104577</v>
      </c>
      <c r="N406" s="103">
        <f>IFNA(VLOOKUP(L406,'🙎‍♂️ Pasien'!G:L,3,FALSE),"")</f>
        <v>9</v>
      </c>
      <c r="O406" s="104" t="str">
        <f>IFNA(VLOOKUP(L406,'🙎‍♂️ Pasien'!G:V,6,FALSE),"")</f>
        <v>PEREMPUAN</v>
      </c>
      <c r="P406" s="104" t="str">
        <f>IFNA(VLOOKUP(L406,'🙎‍♂️ Pasien'!G:V,12,FALSE),"")</f>
        <v>KATOLIK</v>
      </c>
      <c r="Q406" s="104" t="str">
        <f>IFNA(VLOOKUP(L406:L1508,'🙎‍♂️ Pasien'!G:V,13,FALSE),"")</f>
        <v>PELAJAR</v>
      </c>
      <c r="R406" s="104" t="str">
        <f t="array" ref="R406">ifna(xlookup(L406,'🙎‍♂️ Pasien'!$G$5:$G1508,'🙎‍♂️ Pasien'!$T$5:$T1508),"")</f>
        <v>KAKI KANAN KAKU</v>
      </c>
      <c r="S406" s="104" t="str">
        <f t="array" ref="S406">ifna(xlookup(L406,'🙎‍♂️ Pasien'!$G$5:$G1508,'🙎‍♂️ Pasien'!$U$5:$U1508),"")</f>
        <v>PERNAH PERSENDIAN SAKIT</v>
      </c>
      <c r="T406" s="97" t="s">
        <v>59</v>
      </c>
      <c r="U406" s="105" t="s">
        <v>60</v>
      </c>
      <c r="V406" s="101" t="s">
        <v>145</v>
      </c>
      <c r="W406" s="106" t="b">
        <v>1</v>
      </c>
      <c r="X406" s="109" t="s">
        <v>363</v>
      </c>
      <c r="Y406" s="108"/>
    </row>
    <row r="407" ht="22.5" customHeight="1">
      <c r="A407" s="96"/>
      <c r="B407" s="97" t="s">
        <v>85</v>
      </c>
      <c r="C407" s="98" t="str">
        <f t="array" ref="C407">IFNA(XLOOKUP(J407,'⚙️ Pengaturan'!$H$5:$H1508,'⚙️ Pengaturan'!$I$5:$I1508),"")</f>
        <v>TIM A</v>
      </c>
      <c r="D407" s="97" t="s">
        <v>134</v>
      </c>
      <c r="E407" s="99">
        <v>45954.0</v>
      </c>
      <c r="F407" s="100" t="str">
        <f t="shared" si="1"/>
        <v>2025</v>
      </c>
      <c r="G407" s="100" t="str">
        <f t="shared" si="2"/>
        <v>10Okt</v>
      </c>
      <c r="H407" s="100" t="str">
        <f t="shared" si="3"/>
        <v>Jumat</v>
      </c>
      <c r="I407" s="97" t="s">
        <v>93</v>
      </c>
      <c r="J407" s="97" t="s">
        <v>79</v>
      </c>
      <c r="K407" s="97" t="s">
        <v>63</v>
      </c>
      <c r="L407" s="101" t="s">
        <v>206</v>
      </c>
      <c r="M407" s="102" t="str">
        <f>IFNA(VLOOKUP(L407,'🙎‍♂️ Pasien'!G:V,2,FALSE),"")</f>
        <v>L7225071788</v>
      </c>
      <c r="N407" s="103">
        <f>IFNA(VLOOKUP(L407,'🙎‍♂️ Pasien'!G:L,3,FALSE),"")</f>
        <v>53</v>
      </c>
      <c r="O407" s="104" t="str">
        <f>IFNA(VLOOKUP(L407,'🙎‍♂️ Pasien'!G:V,6,FALSE),"")</f>
        <v>PEREMPUAN</v>
      </c>
      <c r="P407" s="104" t="str">
        <f>IFNA(VLOOKUP(L407,'🙎‍♂️ Pasien'!G:V,12,FALSE),"")</f>
        <v>KATOLIK</v>
      </c>
      <c r="Q407" s="104" t="str">
        <f>IFNA(VLOOKUP(L407:L1508,'🙎‍♂️ Pasien'!G:V,13,FALSE),"")</f>
        <v>IBU RT</v>
      </c>
      <c r="R407" s="104" t="str">
        <f t="array" ref="R407">ifna(xlookup(L407,'🙎‍♂️ Pasien'!$G$5:$G1508,'🙎‍♂️ Pasien'!$T$5:$T1508),"")</f>
        <v>BAHU KANAN DAN PINGGANG</v>
      </c>
      <c r="S407" s="104" t="str">
        <f t="array" ref="S407">ifna(xlookup(L407,'🙎‍♂️ Pasien'!$G$5:$G1508,'🙎‍♂️ Pasien'!$U$5:$U1508),"")</f>
        <v>YOGA</v>
      </c>
      <c r="T407" s="97" t="s">
        <v>59</v>
      </c>
      <c r="U407" s="105">
        <v>3.0</v>
      </c>
      <c r="V407" s="101"/>
      <c r="W407" s="106" t="b">
        <v>1</v>
      </c>
      <c r="X407" s="109" t="s">
        <v>364</v>
      </c>
      <c r="Y407" s="108"/>
    </row>
    <row r="408" ht="22.5" customHeight="1">
      <c r="A408" s="96"/>
      <c r="B408" s="97" t="s">
        <v>85</v>
      </c>
      <c r="C408" s="98" t="str">
        <f t="array" ref="C408">IFNA(XLOOKUP(J408,'⚙️ Pengaturan'!$H$5:$H1508,'⚙️ Pengaturan'!$I$5:$I1508),"")</f>
        <v>TIM A</v>
      </c>
      <c r="D408" s="97" t="s">
        <v>134</v>
      </c>
      <c r="E408" s="99">
        <v>45954.0</v>
      </c>
      <c r="F408" s="100" t="str">
        <f t="shared" si="1"/>
        <v>2025</v>
      </c>
      <c r="G408" s="100" t="str">
        <f t="shared" si="2"/>
        <v>10Okt</v>
      </c>
      <c r="H408" s="100" t="str">
        <f t="shared" si="3"/>
        <v>Jumat</v>
      </c>
      <c r="I408" s="97" t="s">
        <v>95</v>
      </c>
      <c r="J408" s="97" t="s">
        <v>79</v>
      </c>
      <c r="K408" s="97" t="s">
        <v>63</v>
      </c>
      <c r="L408" s="101" t="s">
        <v>331</v>
      </c>
      <c r="M408" s="102" t="str">
        <f>IFNA(VLOOKUP(L408,'🙎‍♂️ Pasien'!G:V,2,FALSE),"")</f>
        <v>L0825103838</v>
      </c>
      <c r="N408" s="103">
        <f>IFNA(VLOOKUP(L408,'🙎‍♂️ Pasien'!G:L,3,FALSE),"")</f>
        <v>18</v>
      </c>
      <c r="O408" s="104" t="str">
        <f>IFNA(VLOOKUP(L408,'🙎‍♂️ Pasien'!G:V,6,FALSE),"")</f>
        <v>LAKI-LAKI</v>
      </c>
      <c r="P408" s="104" t="str">
        <f>IFNA(VLOOKUP(L408,'🙎‍♂️ Pasien'!G:V,12,FALSE),"")</f>
        <v>KATOLIK</v>
      </c>
      <c r="Q408" s="104" t="str">
        <f>IFNA(VLOOKUP(L408:L1508,'🙎‍♂️ Pasien'!G:V,13,FALSE),"")</f>
        <v>PELAJAR</v>
      </c>
      <c r="R408" s="104" t="str">
        <f t="array" ref="R408">ifna(xlookup(L408,'🙎‍♂️ Pasien'!$G$5:$G1508,'🙎‍♂️ Pasien'!$T$5:$T1508),"")</f>
        <v>ANKLE</v>
      </c>
      <c r="S408" s="104" t="str">
        <f t="array" ref="S408">ifna(xlookup(L408,'🙎‍♂️ Pasien'!$G$5:$G1508,'🙎‍♂️ Pasien'!$U$5:$U1508),"")</f>
        <v>BASKET</v>
      </c>
      <c r="T408" s="97" t="s">
        <v>59</v>
      </c>
      <c r="U408" s="105">
        <v>3.0</v>
      </c>
      <c r="V408" s="101"/>
      <c r="W408" s="106" t="b">
        <v>1</v>
      </c>
      <c r="X408" s="109" t="s">
        <v>365</v>
      </c>
      <c r="Y408" s="108"/>
    </row>
    <row r="409" ht="22.5" customHeight="1">
      <c r="A409" s="96"/>
      <c r="B409" s="97" t="s">
        <v>85</v>
      </c>
      <c r="C409" s="98" t="str">
        <f t="array" ref="C409">IFNA(XLOOKUP(J409,'⚙️ Pengaturan'!$H$5:$H1508,'⚙️ Pengaturan'!$I$5:$I1508),"")</f>
        <v>TIM A</v>
      </c>
      <c r="D409" s="97" t="s">
        <v>134</v>
      </c>
      <c r="E409" s="99">
        <v>45954.0</v>
      </c>
      <c r="F409" s="100" t="str">
        <f t="shared" si="1"/>
        <v>2025</v>
      </c>
      <c r="G409" s="100" t="str">
        <f t="shared" si="2"/>
        <v>10Okt</v>
      </c>
      <c r="H409" s="100" t="str">
        <f t="shared" si="3"/>
        <v>Jumat</v>
      </c>
      <c r="I409" s="97" t="s">
        <v>97</v>
      </c>
      <c r="J409" s="97" t="s">
        <v>79</v>
      </c>
      <c r="K409" s="97" t="s">
        <v>57</v>
      </c>
      <c r="L409" s="101" t="s">
        <v>366</v>
      </c>
      <c r="M409" s="102" t="str">
        <f>IFNA(VLOOKUP(L409,'🙎‍♂️ Pasien'!G:V,2,FALSE),"")</f>
        <v>S0825106969</v>
      </c>
      <c r="N409" s="103">
        <f>IFNA(VLOOKUP(L409,'🙎‍♂️ Pasien'!G:L,3,FALSE),"")</f>
        <v>17</v>
      </c>
      <c r="O409" s="104" t="str">
        <f>IFNA(VLOOKUP(L409,'🙎‍♂️ Pasien'!G:V,6,FALSE),"")</f>
        <v>PEREMPUAN</v>
      </c>
      <c r="P409" s="104" t="str">
        <f>IFNA(VLOOKUP(L409,'🙎‍♂️ Pasien'!G:V,12,FALSE),"")</f>
        <v>KATOLIK</v>
      </c>
      <c r="Q409" s="104" t="str">
        <f>IFNA(VLOOKUP(L409:L1508,'🙎‍♂️ Pasien'!G:V,13,FALSE),"")</f>
        <v>PELAJAR</v>
      </c>
      <c r="R409" s="104" t="str">
        <f t="array" ref="R409">ifna(xlookup(L409,'🙎‍♂️ Pasien'!$G$5:$G1508,'🙎‍♂️ Pasien'!$T$5:$T1508),"")</f>
        <v>KAKI PANJANG PENDEK, SERING SAKIT DI BAGIAN PUNGGUNG BAWAH</v>
      </c>
      <c r="S409" s="104" t="str">
        <f t="array" ref="S409">ifna(xlookup(L409,'🙎‍♂️ Pasien'!$G$5:$G1508,'🙎‍♂️ Pasien'!$U$5:$U1508),"")</f>
        <v>MUAY THAI (BARU BARU INI), GYM (DARI BBRP BULAN LALU), DANCE (SEJAK LAMA UDH DANCE)</v>
      </c>
      <c r="T409" s="97" t="s">
        <v>59</v>
      </c>
      <c r="U409" s="105" t="s">
        <v>60</v>
      </c>
      <c r="V409" s="101" t="s">
        <v>145</v>
      </c>
      <c r="W409" s="106" t="b">
        <v>1</v>
      </c>
      <c r="X409" s="109" t="s">
        <v>367</v>
      </c>
      <c r="Y409" s="108"/>
    </row>
    <row r="410" ht="22.5" customHeight="1">
      <c r="A410" s="96"/>
      <c r="B410" s="97" t="s">
        <v>85</v>
      </c>
      <c r="C410" s="98" t="str">
        <f t="array" ref="C410">IFNA(XLOOKUP(J410,'⚙️ Pengaturan'!$H$5:$H1508,'⚙️ Pengaturan'!$I$5:$I1508),"")</f>
        <v>TIM A</v>
      </c>
      <c r="D410" s="97" t="s">
        <v>134</v>
      </c>
      <c r="E410" s="99">
        <v>45954.0</v>
      </c>
      <c r="F410" s="100" t="str">
        <f t="shared" si="1"/>
        <v>2025</v>
      </c>
      <c r="G410" s="100" t="str">
        <f t="shared" si="2"/>
        <v>10Okt</v>
      </c>
      <c r="H410" s="100" t="str">
        <f t="shared" si="3"/>
        <v>Jumat</v>
      </c>
      <c r="I410" s="97" t="s">
        <v>99</v>
      </c>
      <c r="J410" s="97" t="s">
        <v>79</v>
      </c>
      <c r="K410" s="97" t="s">
        <v>63</v>
      </c>
      <c r="L410" s="101" t="s">
        <v>282</v>
      </c>
      <c r="M410" s="102" t="str">
        <f>IFNA(VLOOKUP(L410,'🙎‍♂️ Pasien'!G:V,2,FALSE),"")</f>
        <v>E9425102074</v>
      </c>
      <c r="N410" s="103">
        <f>IFNA(VLOOKUP(L410,'🙎‍♂️ Pasien'!G:L,3,FALSE),"")</f>
        <v>32</v>
      </c>
      <c r="O410" s="104" t="str">
        <f>IFNA(VLOOKUP(L410,'🙎‍♂️ Pasien'!G:V,6,FALSE),"")</f>
        <v>PEREMPUAN</v>
      </c>
      <c r="P410" s="104" t="str">
        <f>IFNA(VLOOKUP(L410,'🙎‍♂️ Pasien'!G:V,12,FALSE),"")</f>
        <v>KATOLIK</v>
      </c>
      <c r="Q410" s="104" t="str">
        <f>IFNA(VLOOKUP(L410:L1508,'🙎‍♂️ Pasien'!G:V,13,FALSE),"")</f>
        <v>PEGAWAI SWASTA</v>
      </c>
      <c r="R410" s="104" t="str">
        <f t="array" ref="R410">ifna(xlookup(L410,'🙎‍♂️ Pasien'!$G$5:$G1508,'🙎‍♂️ Pasien'!$T$5:$T1508),"")</f>
        <v>TENNIS ELBOW</v>
      </c>
      <c r="S410" s="104" t="str">
        <f t="array" ref="S410">ifna(xlookup(L410,'🙎‍♂️ Pasien'!$G$5:$G1508,'🙎‍♂️ Pasien'!$U$5:$U1508),"")</f>
        <v>BADMINTON</v>
      </c>
      <c r="T410" s="97" t="s">
        <v>59</v>
      </c>
      <c r="U410" s="105">
        <v>2.0</v>
      </c>
      <c r="V410" s="101"/>
      <c r="W410" s="106" t="b">
        <v>1</v>
      </c>
      <c r="X410" s="109" t="s">
        <v>368</v>
      </c>
      <c r="Y410" s="108"/>
    </row>
    <row r="411" ht="22.5" customHeight="1">
      <c r="A411" s="96"/>
      <c r="B411" s="97" t="s">
        <v>53</v>
      </c>
      <c r="C411" s="98" t="str">
        <f t="array" ref="C411">IFNA(XLOOKUP(J411,'⚙️ Pengaturan'!$H$5:$H1508,'⚙️ Pengaturan'!$I$5:$I1508),"")</f>
        <v>TIM Y</v>
      </c>
      <c r="D411" s="97" t="s">
        <v>54</v>
      </c>
      <c r="E411" s="99">
        <v>45955.0</v>
      </c>
      <c r="F411" s="100" t="str">
        <f t="shared" si="1"/>
        <v>2025</v>
      </c>
      <c r="G411" s="100" t="str">
        <f t="shared" si="2"/>
        <v>10Okt</v>
      </c>
      <c r="H411" s="100" t="str">
        <f t="shared" si="3"/>
        <v>Sabtu</v>
      </c>
      <c r="I411" s="97" t="s">
        <v>55</v>
      </c>
      <c r="J411" s="97" t="s">
        <v>107</v>
      </c>
      <c r="K411" s="97" t="s">
        <v>63</v>
      </c>
      <c r="L411" s="101" t="s">
        <v>96</v>
      </c>
      <c r="M411" s="102" t="str">
        <f>IFNA(VLOOKUP(L411,'🙎‍♂️ Pasien'!G:V,2,FALSE),"")</f>
        <v>A0925094650</v>
      </c>
      <c r="N411" s="103">
        <f>IFNA(VLOOKUP(L411,'🙎‍♂️ Pasien'!G:L,3,FALSE),"")</f>
        <v>17</v>
      </c>
      <c r="O411" s="104" t="str">
        <f>IFNA(VLOOKUP(L411,'🙎‍♂️ Pasien'!G:V,6,FALSE),"")</f>
        <v>LAKI-LAKI</v>
      </c>
      <c r="P411" s="104" t="str">
        <f>IFNA(VLOOKUP(L411,'🙎‍♂️ Pasien'!G:V,12,FALSE),"")</f>
        <v>ISLAM</v>
      </c>
      <c r="Q411" s="104" t="str">
        <f>IFNA(VLOOKUP(L411:L1508,'🙎‍♂️ Pasien'!G:V,13,FALSE),"")</f>
        <v>PELAJAR</v>
      </c>
      <c r="R411" s="104" t="str">
        <f t="array" ref="R411">ifna(xlookup(L411,'🙎‍♂️ Pasien'!$G$5:$G1508,'🙎‍♂️ Pasien'!$T$5:$T1508),"")</f>
        <v>LUTUT</v>
      </c>
      <c r="S411" s="104" t="str">
        <f t="array" ref="S411">ifna(xlookup(L411,'🙎‍♂️ Pasien'!$G$5:$G1508,'🙎‍♂️ Pasien'!$U$5:$U1508),"")</f>
        <v>FUTSAL</v>
      </c>
      <c r="T411" s="97" t="s">
        <v>67</v>
      </c>
      <c r="U411" s="105">
        <v>10.0</v>
      </c>
      <c r="V411" s="101" t="s">
        <v>125</v>
      </c>
      <c r="W411" s="106" t="b">
        <v>1</v>
      </c>
      <c r="X411" s="107"/>
      <c r="Y411" s="108"/>
    </row>
    <row r="412" ht="22.5" customHeight="1">
      <c r="A412" s="96"/>
      <c r="B412" s="97" t="s">
        <v>53</v>
      </c>
      <c r="C412" s="98" t="str">
        <f t="array" ref="C412">IFNA(XLOOKUP(J412,'⚙️ Pengaturan'!$H$5:$H1508,'⚙️ Pengaturan'!$I$5:$I1508),"")</f>
        <v>MANAJEMEN</v>
      </c>
      <c r="D412" s="97" t="s">
        <v>54</v>
      </c>
      <c r="E412" s="99">
        <v>45955.0</v>
      </c>
      <c r="F412" s="100" t="str">
        <f t="shared" si="1"/>
        <v>2025</v>
      </c>
      <c r="G412" s="100" t="str">
        <f t="shared" si="2"/>
        <v>10Okt</v>
      </c>
      <c r="H412" s="100" t="str">
        <f t="shared" si="3"/>
        <v>Sabtu</v>
      </c>
      <c r="I412" s="97" t="s">
        <v>55</v>
      </c>
      <c r="J412" s="97" t="s">
        <v>81</v>
      </c>
      <c r="K412" s="97" t="s">
        <v>63</v>
      </c>
      <c r="L412" s="101" t="s">
        <v>222</v>
      </c>
      <c r="M412" s="102" t="str">
        <f>IFNA(VLOOKUP(L412,'🙎‍♂️ Pasien'!G:V,2,FALSE),"")</f>
        <v>D0924079294</v>
      </c>
      <c r="N412" s="103">
        <f>IFNA(VLOOKUP(L412,'🙎‍♂️ Pasien'!G:L,3,FALSE),"")</f>
        <v>17</v>
      </c>
      <c r="O412" s="104" t="str">
        <f>IFNA(VLOOKUP(L412,'🙎‍♂️ Pasien'!G:V,6,FALSE),"")</f>
        <v>LAKI-LAKI</v>
      </c>
      <c r="P412" s="104" t="str">
        <f>IFNA(VLOOKUP(L412,'🙎‍♂️ Pasien'!G:V,12,FALSE),"")</f>
        <v>ISLAM</v>
      </c>
      <c r="Q412" s="104" t="str">
        <f>IFNA(VLOOKUP(L412:L1508,'🙎‍♂️ Pasien'!G:V,13,FALSE),"")</f>
        <v>PELAJAR/MAHASISWA</v>
      </c>
      <c r="R412" s="104" t="str">
        <f t="array" ref="R412">ifna(xlookup(L412,'🙎‍♂️ Pasien'!$G$5:$G1508,'🙎‍♂️ Pasien'!$T$5:$T1508),"")</f>
        <v>Strok ringan</v>
      </c>
      <c r="S412" s="104" t="str">
        <f t="array" ref="S412">ifna(xlookup(L412,'🙎‍♂️ Pasien'!$G$5:$G1508,'🙎‍♂️ Pasien'!$U$5:$U1508),"")</f>
        <v>Olah raga</v>
      </c>
      <c r="T412" s="97" t="s">
        <v>59</v>
      </c>
      <c r="U412" s="105">
        <v>10.0</v>
      </c>
      <c r="V412" s="101" t="s">
        <v>125</v>
      </c>
      <c r="W412" s="106" t="b">
        <v>1</v>
      </c>
      <c r="X412" s="107"/>
      <c r="Y412" s="108"/>
    </row>
    <row r="413" ht="22.5" customHeight="1">
      <c r="A413" s="96"/>
      <c r="B413" s="97" t="s">
        <v>53</v>
      </c>
      <c r="C413" s="98" t="str">
        <f t="array" ref="C413">IFNA(XLOOKUP(J413,'⚙️ Pengaturan'!$H$5:$H1508,'⚙️ Pengaturan'!$I$5:$I1508),"")</f>
        <v>TIM Y</v>
      </c>
      <c r="D413" s="97" t="s">
        <v>54</v>
      </c>
      <c r="E413" s="99">
        <v>45955.0</v>
      </c>
      <c r="F413" s="100" t="str">
        <f t="shared" si="1"/>
        <v>2025</v>
      </c>
      <c r="G413" s="100" t="str">
        <f t="shared" si="2"/>
        <v>10Okt</v>
      </c>
      <c r="H413" s="100" t="str">
        <f t="shared" si="3"/>
        <v>Sabtu</v>
      </c>
      <c r="I413" s="97" t="s">
        <v>55</v>
      </c>
      <c r="J413" s="97" t="s">
        <v>91</v>
      </c>
      <c r="K413" s="97" t="s">
        <v>69</v>
      </c>
      <c r="L413" s="101" t="s">
        <v>309</v>
      </c>
      <c r="M413" s="102" t="str">
        <f>IFNA(VLOOKUP(L413,'🙎‍♂️ Pasien'!G:V,2,FALSE),"")</f>
        <v>R9225072190</v>
      </c>
      <c r="N413" s="103">
        <f>IFNA(VLOOKUP(L413,'🙎‍♂️ Pasien'!G:L,3,FALSE),"")</f>
        <v>34</v>
      </c>
      <c r="O413" s="104" t="str">
        <f>IFNA(VLOOKUP(L413,'🙎‍♂️ Pasien'!G:V,6,FALSE),"")</f>
        <v>PEREMPUAN</v>
      </c>
      <c r="P413" s="104" t="str">
        <f>IFNA(VLOOKUP(L413,'🙎‍♂️ Pasien'!G:V,12,FALSE),"")</f>
        <v>KATOLIK</v>
      </c>
      <c r="Q413" s="104" t="str">
        <f>IFNA(VLOOKUP(L413:L1508,'🙎‍♂️ Pasien'!G:V,13,FALSE),"")</f>
        <v>KARYAWAN SWASTA</v>
      </c>
      <c r="R413" s="104" t="str">
        <f t="array" ref="R413">ifna(xlookup(L413,'🙎‍♂️ Pasien'!$G$5:$G1508,'🙎‍♂️ Pasien'!$T$5:$T1508),"")</f>
        <v>SAKIT PAS JINJIT</v>
      </c>
      <c r="S413" s="104" t="str">
        <f t="array" ref="S413">ifna(xlookup(L413,'🙎‍♂️ Pasien'!$G$5:$G1508,'🙎‍♂️ Pasien'!$U$5:$U1508),"")</f>
        <v>BADMINTON</v>
      </c>
      <c r="T413" s="97" t="s">
        <v>59</v>
      </c>
      <c r="U413" s="105" t="s">
        <v>60</v>
      </c>
      <c r="V413" s="101"/>
      <c r="W413" s="106" t="b">
        <v>1</v>
      </c>
      <c r="X413" s="107"/>
      <c r="Y413" s="108"/>
    </row>
    <row r="414" ht="22.5" customHeight="1">
      <c r="A414" s="96"/>
      <c r="B414" s="97" t="s">
        <v>53</v>
      </c>
      <c r="C414" s="98" t="str">
        <f t="array" ref="C414">IFNA(XLOOKUP(J414,'⚙️ Pengaturan'!$H$5:$H1508,'⚙️ Pengaturan'!$I$5:$I1508),"")</f>
        <v>TIM Y</v>
      </c>
      <c r="D414" s="97" t="s">
        <v>54</v>
      </c>
      <c r="E414" s="99">
        <v>45955.0</v>
      </c>
      <c r="F414" s="100" t="str">
        <f t="shared" si="1"/>
        <v>2025</v>
      </c>
      <c r="G414" s="100" t="str">
        <f t="shared" si="2"/>
        <v>10Okt</v>
      </c>
      <c r="H414" s="100" t="str">
        <f t="shared" si="3"/>
        <v>Sabtu</v>
      </c>
      <c r="I414" s="97" t="s">
        <v>65</v>
      </c>
      <c r="J414" s="97" t="s">
        <v>107</v>
      </c>
      <c r="K414" s="97" t="s">
        <v>63</v>
      </c>
      <c r="L414" s="101" t="s">
        <v>225</v>
      </c>
      <c r="M414" s="102" t="str">
        <f>IFNA(VLOOKUP(L414,'🙎‍♂️ Pasien'!G:V,2,FALSE),"")</f>
        <v>B8025102288</v>
      </c>
      <c r="N414" s="103">
        <f>IFNA(VLOOKUP(L414,'🙎‍♂️ Pasien'!G:L,3,FALSE),"")</f>
        <v>45</v>
      </c>
      <c r="O414" s="104" t="str">
        <f>IFNA(VLOOKUP(L414,'🙎‍♂️ Pasien'!G:V,6,FALSE),"")</f>
        <v>PEREMPUAN</v>
      </c>
      <c r="P414" s="104" t="str">
        <f>IFNA(VLOOKUP(L414,'🙎‍♂️ Pasien'!G:V,12,FALSE),"")</f>
        <v>ISLAM</v>
      </c>
      <c r="Q414" s="104" t="str">
        <f>IFNA(VLOOKUP(L414:L1508,'🙎‍♂️ Pasien'!G:V,13,FALSE),"")</f>
        <v>ASN</v>
      </c>
      <c r="R414" s="104" t="str">
        <f t="array" ref="R414">ifna(xlookup(L414,'🙎‍♂️ Pasien'!$G$5:$G1508,'🙎‍♂️ Pasien'!$T$5:$T1508),"")</f>
        <v>KELUHAN SY NYERI DI TUMIT KIRI SM PAHA KANAN UT DIANGKAT SAMBIL DITEKUK KE ARAH SAMPING LUAR RASA NYA NYERI</v>
      </c>
      <c r="S414" s="104" t="str">
        <f t="array" ref="S414">ifna(xlookup(L414,'🙎‍♂️ Pasien'!$G$5:$G1508,'🙎‍♂️ Pasien'!$U$5:$U1508),"")</f>
        <v>JOGING</v>
      </c>
      <c r="T414" s="97" t="s">
        <v>59</v>
      </c>
      <c r="U414" s="105">
        <v>5.0</v>
      </c>
      <c r="V414" s="101" t="s">
        <v>125</v>
      </c>
      <c r="W414" s="106" t="b">
        <v>1</v>
      </c>
      <c r="X414" s="107"/>
      <c r="Y414" s="108"/>
    </row>
    <row r="415" ht="22.5" customHeight="1">
      <c r="A415" s="96"/>
      <c r="B415" s="97" t="s">
        <v>53</v>
      </c>
      <c r="C415" s="98" t="str">
        <f t="array" ref="C415">IFNA(XLOOKUP(J415,'⚙️ Pengaturan'!$H$5:$H1508,'⚙️ Pengaturan'!$I$5:$I1508),"")</f>
        <v>TIM Y</v>
      </c>
      <c r="D415" s="97" t="s">
        <v>54</v>
      </c>
      <c r="E415" s="99">
        <v>45955.0</v>
      </c>
      <c r="F415" s="100" t="str">
        <f t="shared" si="1"/>
        <v>2025</v>
      </c>
      <c r="G415" s="100" t="str">
        <f t="shared" si="2"/>
        <v>10Okt</v>
      </c>
      <c r="H415" s="100" t="str">
        <f t="shared" si="3"/>
        <v>Sabtu</v>
      </c>
      <c r="I415" s="97" t="s">
        <v>65</v>
      </c>
      <c r="J415" s="97" t="s">
        <v>107</v>
      </c>
      <c r="K415" s="97" t="s">
        <v>63</v>
      </c>
      <c r="L415" s="101" t="s">
        <v>144</v>
      </c>
      <c r="M415" s="102" t="str">
        <f>IFNA(VLOOKUP(L415,'🙎‍♂️ Pasien'!G:V,2,FALSE),"")</f>
        <v>L2525104585</v>
      </c>
      <c r="N415" s="103">
        <f>IFNA(VLOOKUP(L415,'🙎‍♂️ Pasien'!G:L,3,FALSE),"")</f>
        <v>0</v>
      </c>
      <c r="O415" s="104" t="str">
        <f>IFNA(VLOOKUP(L415,'🙎‍♂️ Pasien'!G:V,6,FALSE),"")</f>
        <v>PEREMPUAN</v>
      </c>
      <c r="P415" s="104" t="str">
        <f>IFNA(VLOOKUP(L415,'🙎‍♂️ Pasien'!G:V,12,FALSE),"")</f>
        <v>ISLAM</v>
      </c>
      <c r="Q415" s="104" t="str">
        <f>IFNA(VLOOKUP(L415:L1508,'🙎‍♂️ Pasien'!G:V,13,FALSE),"")</f>
        <v>ANGGOTA DPRD KOTA PONTIANAK</v>
      </c>
      <c r="R415" s="104" t="str">
        <f t="array" ref="R415">ifna(xlookup(L415,'🙎‍♂️ Pasien'!$G$5:$G1508,'🙎‍♂️ Pasien'!$T$5:$T1508),"")</f>
        <v>CEDERA BAHU</v>
      </c>
      <c r="S415" s="104" t="str">
        <f t="array" ref="S415">ifna(xlookup(L415,'🙎‍♂️ Pasien'!$G$5:$G1508,'🙎‍♂️ Pasien'!$U$5:$U1508),"")</f>
        <v>GYM</v>
      </c>
      <c r="T415" s="97" t="s">
        <v>67</v>
      </c>
      <c r="U415" s="105">
        <v>4.0</v>
      </c>
      <c r="V415" s="101" t="s">
        <v>360</v>
      </c>
      <c r="W415" s="106" t="b">
        <v>1</v>
      </c>
      <c r="X415" s="107"/>
      <c r="Y415" s="108"/>
    </row>
    <row r="416" ht="22.5" customHeight="1">
      <c r="A416" s="96"/>
      <c r="B416" s="97" t="s">
        <v>53</v>
      </c>
      <c r="C416" s="98" t="str">
        <f t="array" ref="C416">IFNA(XLOOKUP(J416,'⚙️ Pengaturan'!$H$5:$H1508,'⚙️ Pengaturan'!$I$5:$I1508),"")</f>
        <v>TIM Y</v>
      </c>
      <c r="D416" s="97" t="s">
        <v>54</v>
      </c>
      <c r="E416" s="99">
        <v>45955.0</v>
      </c>
      <c r="F416" s="100" t="str">
        <f t="shared" si="1"/>
        <v>2025</v>
      </c>
      <c r="G416" s="100" t="str">
        <f t="shared" si="2"/>
        <v>10Okt</v>
      </c>
      <c r="H416" s="100" t="str">
        <f t="shared" si="3"/>
        <v>Sabtu</v>
      </c>
      <c r="I416" s="97" t="s">
        <v>74</v>
      </c>
      <c r="J416" s="97" t="s">
        <v>91</v>
      </c>
      <c r="K416" s="97" t="s">
        <v>63</v>
      </c>
      <c r="L416" s="101" t="s">
        <v>302</v>
      </c>
      <c r="M416" s="102" t="str">
        <f>IFNA(VLOOKUP(L416,'🙎‍♂️ Pasien'!G:V,2,FALSE),"")</f>
        <v>A9425105994</v>
      </c>
      <c r="N416" s="103">
        <f>IFNA(VLOOKUP(L416,'🙎‍♂️ Pasien'!G:L,3,FALSE),"")</f>
        <v>32</v>
      </c>
      <c r="O416" s="104" t="str">
        <f>IFNA(VLOOKUP(L416,'🙎‍♂️ Pasien'!G:V,6,FALSE),"")</f>
        <v>LAKI-LAKI</v>
      </c>
      <c r="P416" s="104" t="str">
        <f>IFNA(VLOOKUP(L416,'🙎‍♂️ Pasien'!G:V,12,FALSE),"")</f>
        <v>ISLAM</v>
      </c>
      <c r="Q416" s="104" t="str">
        <f>IFNA(VLOOKUP(L416:L1508,'🙎‍♂️ Pasien'!G:V,13,FALSE),"")</f>
        <v>KARYAWAN SWASTA</v>
      </c>
      <c r="R416" s="104" t="str">
        <f t="array" ref="R416">ifna(xlookup(L416,'🙎‍♂️ Pasien'!$G$5:$G1508,'🙎‍♂️ Pasien'!$T$5:$T1508),"")</f>
        <v>LUTUT</v>
      </c>
      <c r="S416" s="104" t="str">
        <f t="array" ref="S416">ifna(xlookup(L416,'🙎‍♂️ Pasien'!$G$5:$G1508,'🙎‍♂️ Pasien'!$U$5:$U1508),"")</f>
        <v>OLAGRAGA</v>
      </c>
      <c r="T416" s="97" t="s">
        <v>59</v>
      </c>
      <c r="U416" s="105">
        <v>3.0</v>
      </c>
      <c r="V416" s="101"/>
      <c r="W416" s="106" t="b">
        <v>1</v>
      </c>
      <c r="X416" s="107"/>
      <c r="Y416" s="108"/>
    </row>
    <row r="417" ht="22.5" customHeight="1">
      <c r="A417" s="96"/>
      <c r="B417" s="97" t="s">
        <v>53</v>
      </c>
      <c r="C417" s="98" t="str">
        <f t="array" ref="C417">IFNA(XLOOKUP(J417,'⚙️ Pengaturan'!$H$5:$H1508,'⚙️ Pengaturan'!$I$5:$I1508),"")</f>
        <v>TIM Y</v>
      </c>
      <c r="D417" s="97" t="s">
        <v>54</v>
      </c>
      <c r="E417" s="99">
        <v>45955.0</v>
      </c>
      <c r="F417" s="100" t="str">
        <f t="shared" si="1"/>
        <v>2025</v>
      </c>
      <c r="G417" s="100" t="str">
        <f t="shared" si="2"/>
        <v>10Okt</v>
      </c>
      <c r="H417" s="100" t="str">
        <f t="shared" si="3"/>
        <v>Sabtu</v>
      </c>
      <c r="I417" s="97" t="s">
        <v>76</v>
      </c>
      <c r="J417" s="97" t="s">
        <v>91</v>
      </c>
      <c r="K417" s="97" t="s">
        <v>63</v>
      </c>
      <c r="L417" s="101" t="s">
        <v>113</v>
      </c>
      <c r="M417" s="102" t="str">
        <f>IFNA(VLOOKUP(L417,'🙎‍♂️ Pasien'!G:V,2,FALSE),"")</f>
        <v>H5325098176</v>
      </c>
      <c r="N417" s="103">
        <f>IFNA(VLOOKUP(L417,'🙎‍♂️ Pasien'!G:L,3,FALSE),"")</f>
        <v>73</v>
      </c>
      <c r="O417" s="104" t="str">
        <f>IFNA(VLOOKUP(L417,'🙎‍♂️ Pasien'!G:V,6,FALSE),"")</f>
        <v>LAKI-LAKI</v>
      </c>
      <c r="P417" s="104" t="str">
        <f>IFNA(VLOOKUP(L417,'🙎‍♂️ Pasien'!G:V,12,FALSE),"")</f>
        <v>BUDDHA</v>
      </c>
      <c r="Q417" s="104" t="str">
        <f>IFNA(VLOOKUP(L417:L1508,'🙎‍♂️ Pasien'!G:V,13,FALSE),"")</f>
        <v>PENSIUN</v>
      </c>
      <c r="R417" s="104" t="str">
        <f t="array" ref="R417">ifna(xlookup(L417,'🙎‍♂️ Pasien'!$G$5:$G1508,'🙎‍♂️ Pasien'!$T$5:$T1508),"")</f>
        <v>KAKI GAK BISA JONGKOK</v>
      </c>
      <c r="S417" s="104" t="str">
        <f t="array" ref="S417">ifna(xlookup(L417,'🙎‍♂️ Pasien'!$G$5:$G1508,'🙎‍♂️ Pasien'!$U$5:$U1508),"")</f>
        <v>——</v>
      </c>
      <c r="T417" s="97" t="s">
        <v>59</v>
      </c>
      <c r="U417" s="105">
        <v>9.0</v>
      </c>
      <c r="V417" s="101"/>
      <c r="W417" s="106" t="b">
        <v>1</v>
      </c>
      <c r="X417" s="107"/>
      <c r="Y417" s="108"/>
    </row>
    <row r="418" ht="22.5" customHeight="1">
      <c r="A418" s="96"/>
      <c r="B418" s="97" t="s">
        <v>53</v>
      </c>
      <c r="C418" s="98" t="str">
        <f t="array" ref="C418">IFNA(XLOOKUP(J418,'⚙️ Pengaturan'!$H$5:$H1508,'⚙️ Pengaturan'!$I$5:$I1508),"")</f>
        <v>TIM Y</v>
      </c>
      <c r="D418" s="97" t="s">
        <v>54</v>
      </c>
      <c r="E418" s="99">
        <v>45955.0</v>
      </c>
      <c r="F418" s="100" t="str">
        <f t="shared" si="1"/>
        <v>2025</v>
      </c>
      <c r="G418" s="100" t="str">
        <f t="shared" si="2"/>
        <v>10Okt</v>
      </c>
      <c r="H418" s="100" t="str">
        <f t="shared" si="3"/>
        <v>Sabtu</v>
      </c>
      <c r="I418" s="97" t="s">
        <v>83</v>
      </c>
      <c r="J418" s="97" t="s">
        <v>107</v>
      </c>
      <c r="K418" s="97" t="s">
        <v>63</v>
      </c>
      <c r="L418" s="101" t="s">
        <v>257</v>
      </c>
      <c r="M418" s="102" t="str">
        <f>IFNA(VLOOKUP(L418,'🙎‍♂️ Pasien'!G:V,2,FALSE),"")</f>
        <v>A1025102304</v>
      </c>
      <c r="N418" s="103">
        <f>IFNA(VLOOKUP(L418,'🙎‍♂️ Pasien'!G:L,3,FALSE),"")</f>
        <v>16</v>
      </c>
      <c r="O418" s="104" t="str">
        <f>IFNA(VLOOKUP(L418,'🙎‍♂️ Pasien'!G:V,6,FALSE),"")</f>
        <v>LAKI-LAKI</v>
      </c>
      <c r="P418" s="104" t="str">
        <f>IFNA(VLOOKUP(L418,'🙎‍♂️ Pasien'!G:V,12,FALSE),"")</f>
        <v>PROTESTAN</v>
      </c>
      <c r="Q418" s="104" t="str">
        <f>IFNA(VLOOKUP(L418:L1508,'🙎‍♂️ Pasien'!G:V,13,FALSE),"")</f>
        <v>PELAJAR</v>
      </c>
      <c r="R418" s="104" t="str">
        <f t="array" ref="R418">ifna(xlookup(L418,'🙎‍♂️ Pasien'!$G$5:$G1508,'🙎‍♂️ Pasien'!$T$5:$T1508),"")</f>
        <v>NYERI SENDI KAKI</v>
      </c>
      <c r="S418" s="104" t="str">
        <f t="array" ref="S418">ifna(xlookup(L418,'🙎‍♂️ Pasien'!$G$5:$G1508,'🙎‍♂️ Pasien'!$U$5:$U1508),"")</f>
        <v>OLAHRAGA, NAIK TURUN TANGGA</v>
      </c>
      <c r="T418" s="97" t="s">
        <v>59</v>
      </c>
      <c r="U418" s="105">
        <v>3.0</v>
      </c>
      <c r="V418" s="101"/>
      <c r="W418" s="106" t="b">
        <v>1</v>
      </c>
      <c r="X418" s="107"/>
      <c r="Y418" s="108"/>
    </row>
    <row r="419" ht="22.5" customHeight="1">
      <c r="A419" s="96"/>
      <c r="B419" s="97" t="s">
        <v>53</v>
      </c>
      <c r="C419" s="98" t="str">
        <f t="array" ref="C419">IFNA(XLOOKUP(J419,'⚙️ Pengaturan'!$H$5:$H1508,'⚙️ Pengaturan'!$I$5:$I1508),"")</f>
        <v>TIM Y</v>
      </c>
      <c r="D419" s="97" t="s">
        <v>54</v>
      </c>
      <c r="E419" s="99">
        <v>45955.0</v>
      </c>
      <c r="F419" s="100" t="str">
        <f t="shared" si="1"/>
        <v>2025</v>
      </c>
      <c r="G419" s="100" t="str">
        <f t="shared" si="2"/>
        <v>10Okt</v>
      </c>
      <c r="H419" s="100" t="str">
        <f t="shared" si="3"/>
        <v>Sabtu</v>
      </c>
      <c r="I419" s="97" t="s">
        <v>83</v>
      </c>
      <c r="J419" s="97" t="s">
        <v>107</v>
      </c>
      <c r="K419" s="97" t="s">
        <v>63</v>
      </c>
      <c r="L419" s="101" t="s">
        <v>193</v>
      </c>
      <c r="M419" s="102" t="str">
        <f>IFNA(VLOOKUP(L419,'🙎‍♂️ Pasien'!G:V,2,FALSE),"")</f>
        <v>E8925075615</v>
      </c>
      <c r="N419" s="103">
        <f>IFNA(VLOOKUP(L419,'🙎‍♂️ Pasien'!G:L,3,FALSE),"")</f>
        <v>36</v>
      </c>
      <c r="O419" s="104" t="str">
        <f>IFNA(VLOOKUP(L419,'🙎‍♂️ Pasien'!G:V,6,FALSE),"")</f>
        <v>PEREMPUAN</v>
      </c>
      <c r="P419" s="104" t="str">
        <f>IFNA(VLOOKUP(L419,'🙎‍♂️ Pasien'!G:V,12,FALSE),"")</f>
        <v>KATOLIK</v>
      </c>
      <c r="Q419" s="104" t="str">
        <f>IFNA(VLOOKUP(L419:L1508,'🙎‍♂️ Pasien'!G:V,13,FALSE),"")</f>
        <v>WIRASWASTA</v>
      </c>
      <c r="R419" s="104" t="str">
        <f t="array" ref="R419">ifna(xlookup(L419,'🙎‍♂️ Pasien'!$G$5:$G1508,'🙎‍♂️ Pasien'!$T$5:$T1508),"")</f>
        <v>BUNION</v>
      </c>
      <c r="S419" s="104" t="str">
        <f t="array" ref="S419">ifna(xlookup(L419,'🙎‍♂️ Pasien'!$G$5:$G1508,'🙎‍♂️ Pasien'!$U$5:$U1508),"")</f>
        <v>TENNIS</v>
      </c>
      <c r="T419" s="97" t="s">
        <v>67</v>
      </c>
      <c r="U419" s="105">
        <v>1.0</v>
      </c>
      <c r="V419" s="101" t="s">
        <v>215</v>
      </c>
      <c r="W419" s="106" t="b">
        <v>1</v>
      </c>
      <c r="X419" s="107"/>
      <c r="Y419" s="108"/>
    </row>
    <row r="420" ht="22.5" customHeight="1">
      <c r="A420" s="96"/>
      <c r="B420" s="97" t="s">
        <v>53</v>
      </c>
      <c r="C420" s="98" t="str">
        <f t="array" ref="C420">IFNA(XLOOKUP(J420,'⚙️ Pengaturan'!$H$5:$H1508,'⚙️ Pengaturan'!$I$5:$I1508),"")</f>
        <v>TIM Y</v>
      </c>
      <c r="D420" s="97" t="s">
        <v>54</v>
      </c>
      <c r="E420" s="99">
        <v>45955.0</v>
      </c>
      <c r="F420" s="100" t="str">
        <f t="shared" si="1"/>
        <v>2025</v>
      </c>
      <c r="G420" s="100" t="str">
        <f t="shared" si="2"/>
        <v>10Okt</v>
      </c>
      <c r="H420" s="100" t="str">
        <f t="shared" si="3"/>
        <v>Sabtu</v>
      </c>
      <c r="I420" s="97" t="s">
        <v>83</v>
      </c>
      <c r="J420" s="97" t="s">
        <v>88</v>
      </c>
      <c r="K420" s="97" t="s">
        <v>69</v>
      </c>
      <c r="L420" s="101" t="s">
        <v>155</v>
      </c>
      <c r="M420" s="102" t="str">
        <f>IFNA(VLOOKUP(L420,'🙎‍♂️ Pasien'!G:V,2,FALSE),"")</f>
        <v>H5325012017</v>
      </c>
      <c r="N420" s="103">
        <f>IFNA(VLOOKUP(L420,'🙎‍♂️ Pasien'!G:L,3,FALSE),"")</f>
        <v>72</v>
      </c>
      <c r="O420" s="104" t="str">
        <f>IFNA(VLOOKUP(L420,'🙎‍♂️ Pasien'!G:V,6,FALSE),"")</f>
        <v>LAKI-LAKI</v>
      </c>
      <c r="P420" s="104" t="str">
        <f>IFNA(VLOOKUP(L420,'🙎‍♂️ Pasien'!G:V,12,FALSE),"")</f>
        <v>ISLAM</v>
      </c>
      <c r="Q420" s="104" t="str">
        <f>IFNA(VLOOKUP(L420:L1508,'🙎‍♂️ Pasien'!G:V,13,FALSE),"")</f>
        <v>PENSIUN</v>
      </c>
      <c r="R420" s="104" t="str">
        <f t="array" ref="R420">ifna(xlookup(L420,'🙎‍♂️ Pasien'!$G$5:$G1508,'🙎‍♂️ Pasien'!$T$5:$T1508),"")</f>
        <v>Kaki terasa nyeri jika dibawa berdiri lama atau berjalan jauh</v>
      </c>
      <c r="S420" s="104" t="str">
        <f t="array" ref="S420">ifna(xlookup(L420,'🙎‍♂️ Pasien'!$G$5:$G1508,'🙎‍♂️ Pasien'!$U$5:$U1508),"")</f>
        <v>Tidak ada</v>
      </c>
      <c r="T420" s="97" t="s">
        <v>67</v>
      </c>
      <c r="U420" s="105" t="s">
        <v>60</v>
      </c>
      <c r="V420" s="101" t="s">
        <v>369</v>
      </c>
      <c r="W420" s="106" t="b">
        <v>1</v>
      </c>
      <c r="X420" s="107"/>
      <c r="Y420" s="108"/>
    </row>
    <row r="421" ht="22.5" customHeight="1">
      <c r="A421" s="96"/>
      <c r="B421" s="97" t="s">
        <v>53</v>
      </c>
      <c r="C421" s="98" t="str">
        <f t="array" ref="C421">IFNA(XLOOKUP(J421,'⚙️ Pengaturan'!$H$5:$H1508,'⚙️ Pengaturan'!$I$5:$I1508),"")</f>
        <v>TIM Y</v>
      </c>
      <c r="D421" s="97" t="s">
        <v>54</v>
      </c>
      <c r="E421" s="99">
        <v>45955.0</v>
      </c>
      <c r="F421" s="100" t="str">
        <f t="shared" si="1"/>
        <v>2025</v>
      </c>
      <c r="G421" s="100" t="str">
        <f t="shared" si="2"/>
        <v>10Okt</v>
      </c>
      <c r="H421" s="100" t="str">
        <f t="shared" si="3"/>
        <v>Sabtu</v>
      </c>
      <c r="I421" s="97" t="s">
        <v>83</v>
      </c>
      <c r="J421" s="97" t="s">
        <v>91</v>
      </c>
      <c r="K421" s="97" t="s">
        <v>57</v>
      </c>
      <c r="L421" s="101" t="s">
        <v>370</v>
      </c>
      <c r="M421" s="102" t="str">
        <f>IFNA(VLOOKUP(L421,'🙎‍♂️ Pasien'!G:V,2,FALSE),"")</f>
        <v>N0525103483</v>
      </c>
      <c r="N421" s="103">
        <f>IFNA(VLOOKUP(L421,'🙎‍♂️ Pasien'!G:L,3,FALSE),"")</f>
        <v>20</v>
      </c>
      <c r="O421" s="104" t="str">
        <f>IFNA(VLOOKUP(L421,'🙎‍♂️ Pasien'!G:V,6,FALSE),"")</f>
        <v>PEREMPUAN</v>
      </c>
      <c r="P421" s="104" t="str">
        <f>IFNA(VLOOKUP(L421,'🙎‍♂️ Pasien'!G:V,12,FALSE),"")</f>
        <v>ISLAM</v>
      </c>
      <c r="Q421" s="104" t="str">
        <f>IFNA(VLOOKUP(L421:L1508,'🙎‍♂️ Pasien'!G:V,13,FALSE),"")</f>
        <v>PEGAWAI</v>
      </c>
      <c r="R421" s="104" t="str">
        <f t="array" ref="R421">ifna(xlookup(L421,'🙎‍♂️ Pasien'!$G$5:$G1508,'🙎‍♂️ Pasien'!$T$5:$T1508),"")</f>
        <v>LEBAM PASCA KECELAKAAN</v>
      </c>
      <c r="S421" s="104" t="str">
        <f t="array" ref="S421">ifna(xlookup(L421,'🙎‍♂️ Pasien'!$G$5:$G1508,'🙎‍♂️ Pasien'!$U$5:$U1508),"")</f>
        <v>JALAN NAIK TURUN TANGGA</v>
      </c>
      <c r="T421" s="97" t="s">
        <v>59</v>
      </c>
      <c r="U421" s="105" t="s">
        <v>60</v>
      </c>
      <c r="V421" s="101"/>
      <c r="W421" s="106" t="b">
        <v>1</v>
      </c>
      <c r="X421" s="107"/>
      <c r="Y421" s="108"/>
    </row>
    <row r="422" ht="22.5" customHeight="1">
      <c r="A422" s="96"/>
      <c r="B422" s="97" t="s">
        <v>85</v>
      </c>
      <c r="C422" s="98" t="str">
        <f t="array" ref="C422">IFNA(XLOOKUP(J422,'⚙️ Pengaturan'!$H$5:$H1508,'⚙️ Pengaturan'!$I$5:$I1508),"")</f>
        <v>TIM A</v>
      </c>
      <c r="D422" s="97" t="s">
        <v>86</v>
      </c>
      <c r="E422" s="99">
        <v>45955.0</v>
      </c>
      <c r="F422" s="100" t="str">
        <f t="shared" si="1"/>
        <v>2025</v>
      </c>
      <c r="G422" s="100" t="str">
        <f t="shared" si="2"/>
        <v>10Okt</v>
      </c>
      <c r="H422" s="100" t="str">
        <f t="shared" si="3"/>
        <v>Sabtu</v>
      </c>
      <c r="I422" s="97" t="s">
        <v>87</v>
      </c>
      <c r="J422" s="97" t="s">
        <v>72</v>
      </c>
      <c r="K422" s="97" t="s">
        <v>63</v>
      </c>
      <c r="L422" s="101" t="s">
        <v>314</v>
      </c>
      <c r="M422" s="102" t="str">
        <f>IFNA(VLOOKUP(L422,'🙎‍♂️ Pasien'!G:V,2,FALSE),"")</f>
        <v>A2424089584</v>
      </c>
      <c r="N422" s="103">
        <f>IFNA(VLOOKUP(L422,'🙎‍♂️ Pasien'!G:L,3,FALSE),"")</f>
        <v>1</v>
      </c>
      <c r="O422" s="104" t="str">
        <f>IFNA(VLOOKUP(L422,'🙎‍♂️ Pasien'!G:V,6,FALSE),"")</f>
        <v>LAKI-LAKI</v>
      </c>
      <c r="P422" s="104" t="str">
        <f>IFNA(VLOOKUP(L422,'🙎‍♂️ Pasien'!G:V,12,FALSE),"")</f>
        <v>ISLAM</v>
      </c>
      <c r="Q422" s="104" t="str">
        <f>IFNA(VLOOKUP(L422:L1508,'🙎‍♂️ Pasien'!G:V,13,FALSE),"")</f>
        <v>PELAJAR/MAHASISWA</v>
      </c>
      <c r="R422" s="104" t="str">
        <f t="array" ref="R422">ifna(xlookup(L422,'🙎‍♂️ Pasien'!$G$5:$G1508,'🙎‍♂️ Pasien'!$T$5:$T1508),"")</f>
        <v>Cedera engkel</v>
      </c>
      <c r="S422" s="104" t="str">
        <f t="array" ref="S422">ifna(xlookup(L422,'🙎‍♂️ Pasien'!$G$5:$G1508,'🙎‍♂️ Pasien'!$U$5:$U1508),"")</f>
        <v>Maen bola</v>
      </c>
      <c r="T422" s="97" t="s">
        <v>59</v>
      </c>
      <c r="U422" s="105">
        <v>2.0</v>
      </c>
      <c r="V422" s="101"/>
      <c r="W422" s="106" t="b">
        <v>1</v>
      </c>
      <c r="X422" s="107"/>
      <c r="Y422" s="108"/>
    </row>
    <row r="423" ht="22.5" customHeight="1">
      <c r="A423" s="96"/>
      <c r="B423" s="97" t="s">
        <v>85</v>
      </c>
      <c r="C423" s="98" t="str">
        <f t="array" ref="C423">IFNA(XLOOKUP(J423,'⚙️ Pengaturan'!$H$5:$H1508,'⚙️ Pengaturan'!$I$5:$I1508),"")</f>
        <v>TIM Y</v>
      </c>
      <c r="D423" s="97" t="s">
        <v>86</v>
      </c>
      <c r="E423" s="99">
        <v>45955.0</v>
      </c>
      <c r="F423" s="100" t="str">
        <f t="shared" si="1"/>
        <v>2025</v>
      </c>
      <c r="G423" s="100" t="str">
        <f t="shared" si="2"/>
        <v>10Okt</v>
      </c>
      <c r="H423" s="100" t="str">
        <f t="shared" si="3"/>
        <v>Sabtu</v>
      </c>
      <c r="I423" s="97" t="s">
        <v>87</v>
      </c>
      <c r="J423" s="97" t="s">
        <v>56</v>
      </c>
      <c r="K423" s="97" t="s">
        <v>135</v>
      </c>
      <c r="L423" s="101" t="s">
        <v>254</v>
      </c>
      <c r="M423" s="102" t="str">
        <f>IFNA(VLOOKUP(L423,'🙎‍♂️ Pasien'!G:V,2,FALSE),"")</f>
        <v>G0225101517</v>
      </c>
      <c r="N423" s="103">
        <f>IFNA(VLOOKUP(L423,'🙎‍♂️ Pasien'!G:L,3,FALSE),"")</f>
        <v>24</v>
      </c>
      <c r="O423" s="104" t="str">
        <f>IFNA(VLOOKUP(L423,'🙎‍♂️ Pasien'!G:V,6,FALSE),"")</f>
        <v>LAKI-LAKI</v>
      </c>
      <c r="P423" s="104" t="str">
        <f>IFNA(VLOOKUP(L423,'🙎‍♂️ Pasien'!G:V,12,FALSE),"")</f>
        <v>KATOLIK</v>
      </c>
      <c r="Q423" s="104" t="str">
        <f>IFNA(VLOOKUP(L423:L1508,'🙎‍♂️ Pasien'!G:V,13,FALSE),"")</f>
        <v>MAHASISWA</v>
      </c>
      <c r="R423" s="104" t="str">
        <f t="array" ref="R423">ifna(xlookup(L423,'🙎‍♂️ Pasien'!$G$5:$G1508,'🙎‍♂️ Pasien'!$T$5:$T1508),"")</f>
        <v>NYERI PADA LUTUT BAGIAN LUAR</v>
      </c>
      <c r="S423" s="104" t="str">
        <f t="array" ref="S423">ifna(xlookup(L423,'🙎‍♂️ Pasien'!$G$5:$G1508,'🙎‍♂️ Pasien'!$U$5:$U1508),"")</f>
        <v>LARI, MINI SOCCER, GYM</v>
      </c>
      <c r="T423" s="97" t="s">
        <v>67</v>
      </c>
      <c r="U423" s="105" t="s">
        <v>60</v>
      </c>
      <c r="V423" s="101" t="s">
        <v>195</v>
      </c>
      <c r="W423" s="106" t="b">
        <v>1</v>
      </c>
      <c r="X423" s="107"/>
      <c r="Y423" s="108"/>
    </row>
    <row r="424" ht="22.5" customHeight="1">
      <c r="A424" s="96"/>
      <c r="B424" s="97" t="s">
        <v>85</v>
      </c>
      <c r="C424" s="98" t="str">
        <f t="array" ref="C424">IFNA(XLOOKUP(J424,'⚙️ Pengaturan'!$H$5:$H1508,'⚙️ Pengaturan'!$I$5:$I1508),"")</f>
        <v>TIM A</v>
      </c>
      <c r="D424" s="97" t="s">
        <v>86</v>
      </c>
      <c r="E424" s="99">
        <v>45955.0</v>
      </c>
      <c r="F424" s="100" t="str">
        <f t="shared" si="1"/>
        <v>2025</v>
      </c>
      <c r="G424" s="100" t="str">
        <f t="shared" si="2"/>
        <v>10Okt</v>
      </c>
      <c r="H424" s="100" t="str">
        <f t="shared" si="3"/>
        <v>Sabtu</v>
      </c>
      <c r="I424" s="97" t="s">
        <v>87</v>
      </c>
      <c r="J424" s="97" t="s">
        <v>62</v>
      </c>
      <c r="K424" s="97" t="s">
        <v>63</v>
      </c>
      <c r="L424" s="101" t="s">
        <v>64</v>
      </c>
      <c r="M424" s="102" t="str">
        <f>IFNA(VLOOKUP(L424,'🙎‍♂️ Pasien'!G:V,2,FALSE),"")</f>
        <v>R2525091389</v>
      </c>
      <c r="N424" s="103">
        <f>IFNA(VLOOKUP(L424,'🙎‍♂️ Pasien'!G:L,3,FALSE),"")</f>
        <v>1</v>
      </c>
      <c r="O424" s="104" t="str">
        <f>IFNA(VLOOKUP(L424,'🙎‍♂️ Pasien'!G:V,6,FALSE),"")</f>
        <v>LAKI-LAKI</v>
      </c>
      <c r="P424" s="104" t="str">
        <f>IFNA(VLOOKUP(L424,'🙎‍♂️ Pasien'!G:V,12,FALSE),"")</f>
        <v>PROTESTAN</v>
      </c>
      <c r="Q424" s="104" t="str">
        <f>IFNA(VLOOKUP(L424:L1508,'🙎‍♂️ Pasien'!G:V,13,FALSE),"")</f>
        <v>KARYAWAN</v>
      </c>
      <c r="R424" s="104" t="str">
        <f t="array" ref="R424">ifna(xlookup(L424,'🙎‍♂️ Pasien'!$G$5:$G1508,'🙎‍♂️ Pasien'!$T$5:$T1508),"")</f>
        <v>FROZEN SHOULDER</v>
      </c>
      <c r="S424" s="104" t="str">
        <f t="array" ref="S424">ifna(xlookup(L424,'🙎‍♂️ Pasien'!$G$5:$G1508,'🙎‍♂️ Pasien'!$U$5:$U1508),"")</f>
        <v>TIDAK BISA MAIN BADMINTON</v>
      </c>
      <c r="T424" s="97" t="s">
        <v>67</v>
      </c>
      <c r="U424" s="105">
        <v>6.0</v>
      </c>
      <c r="V424" s="101" t="s">
        <v>283</v>
      </c>
      <c r="W424" s="106" t="b">
        <v>1</v>
      </c>
      <c r="X424" s="107"/>
      <c r="Y424" s="108"/>
    </row>
    <row r="425" ht="22.5" customHeight="1">
      <c r="A425" s="96"/>
      <c r="B425" s="97" t="s">
        <v>85</v>
      </c>
      <c r="C425" s="98" t="str">
        <f t="array" ref="C425">IFNA(XLOOKUP(J425,'⚙️ Pengaturan'!$H$5:$H1508,'⚙️ Pengaturan'!$I$5:$I1508),"")</f>
        <v>TIM A</v>
      </c>
      <c r="D425" s="97" t="s">
        <v>86</v>
      </c>
      <c r="E425" s="99">
        <v>45955.0</v>
      </c>
      <c r="F425" s="100" t="str">
        <f t="shared" si="1"/>
        <v>2025</v>
      </c>
      <c r="G425" s="100" t="str">
        <f t="shared" si="2"/>
        <v>10Okt</v>
      </c>
      <c r="H425" s="100" t="str">
        <f t="shared" si="3"/>
        <v>Sabtu</v>
      </c>
      <c r="I425" s="97" t="s">
        <v>93</v>
      </c>
      <c r="J425" s="97" t="s">
        <v>72</v>
      </c>
      <c r="K425" s="97" t="s">
        <v>63</v>
      </c>
      <c r="L425" s="101" t="s">
        <v>231</v>
      </c>
      <c r="M425" s="102" t="str">
        <f>IFNA(VLOOKUP(L425,'🙎‍♂️ Pasien'!G:V,2,FALSE),"")</f>
        <v>A1123072881</v>
      </c>
      <c r="N425" s="103">
        <f>IFNA(VLOOKUP(L425,'🙎‍♂️ Pasien'!G:L,3,FALSE),"")</f>
        <v>14</v>
      </c>
      <c r="O425" s="104" t="str">
        <f>IFNA(VLOOKUP(L425,'🙎‍♂️ Pasien'!G:V,6,FALSE),"")</f>
        <v>PEREMPUAN</v>
      </c>
      <c r="P425" s="104" t="str">
        <f>IFNA(VLOOKUP(L425,'🙎‍♂️ Pasien'!G:V,12,FALSE),"")</f>
        <v>ISLAM</v>
      </c>
      <c r="Q425" s="104" t="str">
        <f>IFNA(VLOOKUP(L425:L1508,'🙎‍♂️ Pasien'!G:V,13,FALSE),"")</f>
        <v>PELAJAR/MAHASISWA</v>
      </c>
      <c r="R425" s="104" t="str">
        <f t="array" ref="R425">ifna(xlookup(L425,'🙎‍♂️ Pasien'!$G$5:$G1508,'🙎‍♂️ Pasien'!$T$5:$T1508),"")</f>
        <v>NYERI</v>
      </c>
      <c r="S425" s="104" t="str">
        <f t="array" ref="S425">ifna(xlookup(L425,'🙎‍♂️ Pasien'!$G$5:$G1508,'🙎‍♂️ Pasien'!$U$5:$U1508),"")</f>
        <v>RENANG</v>
      </c>
      <c r="T425" s="97" t="s">
        <v>59</v>
      </c>
      <c r="U425" s="105">
        <v>5.0</v>
      </c>
      <c r="V425" s="101"/>
      <c r="W425" s="106" t="b">
        <v>1</v>
      </c>
      <c r="X425" s="107"/>
      <c r="Y425" s="108"/>
    </row>
    <row r="426" ht="22.5" customHeight="1">
      <c r="A426" s="96"/>
      <c r="B426" s="97" t="s">
        <v>85</v>
      </c>
      <c r="C426" s="98" t="str">
        <f t="array" ref="C426">IFNA(XLOOKUP(J426,'⚙️ Pengaturan'!$H$5:$H1508,'⚙️ Pengaturan'!$I$5:$I1508),"")</f>
        <v>TIM Y</v>
      </c>
      <c r="D426" s="97" t="s">
        <v>86</v>
      </c>
      <c r="E426" s="99">
        <v>45955.0</v>
      </c>
      <c r="F426" s="100" t="str">
        <f t="shared" si="1"/>
        <v>2025</v>
      </c>
      <c r="G426" s="100" t="str">
        <f t="shared" si="2"/>
        <v>10Okt</v>
      </c>
      <c r="H426" s="100" t="str">
        <f t="shared" si="3"/>
        <v>Sabtu</v>
      </c>
      <c r="I426" s="97" t="s">
        <v>93</v>
      </c>
      <c r="J426" s="97" t="s">
        <v>56</v>
      </c>
      <c r="K426" s="97" t="s">
        <v>69</v>
      </c>
      <c r="L426" s="101" t="s">
        <v>202</v>
      </c>
      <c r="M426" s="102" t="str">
        <f>IFNA(VLOOKUP(L426,'🙎‍♂️ Pasien'!G:V,2,FALSE),"")</f>
        <v>B9925104512</v>
      </c>
      <c r="N426" s="103">
        <f>IFNA(VLOOKUP(L426,'🙎‍♂️ Pasien'!G:L,3,FALSE),"")</f>
        <v>26</v>
      </c>
      <c r="O426" s="104" t="str">
        <f>IFNA(VLOOKUP(L426,'🙎‍♂️ Pasien'!G:V,6,FALSE),"")</f>
        <v>LAKI-LAKI</v>
      </c>
      <c r="P426" s="104" t="str">
        <f>IFNA(VLOOKUP(L426,'🙎‍♂️ Pasien'!G:V,12,FALSE),"")</f>
        <v>ISLAM</v>
      </c>
      <c r="Q426" s="104" t="str">
        <f>IFNA(VLOOKUP(L426:L1508,'🙎‍♂️ Pasien'!G:V,13,FALSE),"")</f>
        <v>SWASTA</v>
      </c>
      <c r="R426" s="104" t="str">
        <f t="array" ref="R426">ifna(xlookup(L426,'🙎‍♂️ Pasien'!$G$5:$G1508,'🙎‍♂️ Pasien'!$T$5:$T1508),"")</f>
        <v>CIDERA LUTUT SALAH TUMPUAN PAS MAIN BOLA</v>
      </c>
      <c r="S426" s="104" t="str">
        <f t="array" ref="S426">ifna(xlookup(L426,'🙎‍♂️ Pasien'!$G$5:$G1508,'🙎‍♂️ Pasien'!$U$5:$U1508),"")</f>
        <v>SEPAK BOLA</v>
      </c>
      <c r="T426" s="97" t="s">
        <v>59</v>
      </c>
      <c r="U426" s="105" t="s">
        <v>60</v>
      </c>
      <c r="V426" s="101"/>
      <c r="W426" s="106" t="b">
        <v>1</v>
      </c>
      <c r="X426" s="107"/>
      <c r="Y426" s="108"/>
    </row>
    <row r="427" ht="22.5" customHeight="1">
      <c r="A427" s="96"/>
      <c r="B427" s="97" t="s">
        <v>85</v>
      </c>
      <c r="C427" s="98" t="str">
        <f t="array" ref="C427">IFNA(XLOOKUP(J427,'⚙️ Pengaturan'!$H$5:$H1508,'⚙️ Pengaturan'!$I$5:$I1508),"")</f>
        <v>TIM A</v>
      </c>
      <c r="D427" s="97" t="s">
        <v>86</v>
      </c>
      <c r="E427" s="99">
        <v>45955.0</v>
      </c>
      <c r="F427" s="100" t="str">
        <f t="shared" si="1"/>
        <v>2025</v>
      </c>
      <c r="G427" s="100" t="str">
        <f t="shared" si="2"/>
        <v>10Okt</v>
      </c>
      <c r="H427" s="100" t="str">
        <f t="shared" si="3"/>
        <v>Sabtu</v>
      </c>
      <c r="I427" s="97" t="s">
        <v>95</v>
      </c>
      <c r="J427" s="97" t="s">
        <v>72</v>
      </c>
      <c r="K427" s="97" t="s">
        <v>69</v>
      </c>
      <c r="L427" s="101" t="s">
        <v>227</v>
      </c>
      <c r="M427" s="102" t="str">
        <f>IFNA(VLOOKUP(L427,'🙎‍♂️ Pasien'!G:V,2,FALSE),"")</f>
        <v>A9323069998</v>
      </c>
      <c r="N427" s="103">
        <f>IFNA(VLOOKUP(L427,'🙎‍♂️ Pasien'!G:L,3,FALSE),"")</f>
        <v>33</v>
      </c>
      <c r="O427" s="104" t="str">
        <f>IFNA(VLOOKUP(L427,'🙎‍♂️ Pasien'!G:V,6,FALSE),"")</f>
        <v>LAKI-LAKI</v>
      </c>
      <c r="P427" s="104" t="str">
        <f>IFNA(VLOOKUP(L427,'🙎‍♂️ Pasien'!G:V,12,FALSE),"")</f>
        <v>KHONGHUCU</v>
      </c>
      <c r="Q427" s="104" t="str">
        <f>IFNA(VLOOKUP(L427:L1508,'🙎‍♂️ Pasien'!G:V,13,FALSE),"")</f>
        <v>WIRASWASTA</v>
      </c>
      <c r="R427" s="104" t="str">
        <f t="array" ref="R427">ifna(xlookup(L427,'🙎‍♂️ Pasien'!$G$5:$G1508,'🙎‍♂️ Pasien'!$T$5:$T1508),"")</f>
        <v>ANGKLE PERGELANGAN TANGAN KANAN</v>
      </c>
      <c r="S427" s="104" t="str">
        <f t="array" ref="S427">ifna(xlookup(L427,'🙎‍♂️ Pasien'!$G$5:$G1508,'🙎‍♂️ Pasien'!$U$5:$U1508),"")</f>
        <v>BADMINTON</v>
      </c>
      <c r="T427" s="97" t="s">
        <v>59</v>
      </c>
      <c r="U427" s="105" t="s">
        <v>60</v>
      </c>
      <c r="V427" s="101"/>
      <c r="W427" s="106" t="b">
        <v>1</v>
      </c>
      <c r="X427" s="107"/>
      <c r="Y427" s="108"/>
    </row>
    <row r="428" ht="22.5" customHeight="1">
      <c r="A428" s="96"/>
      <c r="B428" s="97" t="s">
        <v>85</v>
      </c>
      <c r="C428" s="98" t="str">
        <f t="array" ref="C428">IFNA(XLOOKUP(J428,'⚙️ Pengaturan'!$H$5:$H1508,'⚙️ Pengaturan'!$I$5:$I1508),"")</f>
        <v>TIM A</v>
      </c>
      <c r="D428" s="97" t="s">
        <v>86</v>
      </c>
      <c r="E428" s="99">
        <v>45955.0</v>
      </c>
      <c r="F428" s="100" t="str">
        <f t="shared" si="1"/>
        <v>2025</v>
      </c>
      <c r="G428" s="100" t="str">
        <f t="shared" si="2"/>
        <v>10Okt</v>
      </c>
      <c r="H428" s="100" t="str">
        <f t="shared" si="3"/>
        <v>Sabtu</v>
      </c>
      <c r="I428" s="97" t="s">
        <v>95</v>
      </c>
      <c r="J428" s="97" t="s">
        <v>62</v>
      </c>
      <c r="K428" s="97" t="s">
        <v>63</v>
      </c>
      <c r="L428" s="101" t="s">
        <v>209</v>
      </c>
      <c r="M428" s="102" t="str">
        <f>IFNA(VLOOKUP(L428,'🙎‍♂️ Pasien'!G:V,2,FALSE),"")</f>
        <v>M6825090</v>
      </c>
      <c r="N428" s="103">
        <f>IFNA(VLOOKUP(L428,'🙎‍♂️ Pasien'!G:L,3,FALSE),"")</f>
        <v>57</v>
      </c>
      <c r="O428" s="104" t="str">
        <f>IFNA(VLOOKUP(L428,'🙎‍♂️ Pasien'!G:V,6,FALSE),"")</f>
        <v>LAKI-LAKI</v>
      </c>
      <c r="P428" s="104" t="str">
        <f>IFNA(VLOOKUP(L428,'🙎‍♂️ Pasien'!G:V,12,FALSE),"")</f>
        <v>BUDDHA</v>
      </c>
      <c r="Q428" s="104" t="str">
        <f>IFNA(VLOOKUP(L428:L1508,'🙎‍♂️ Pasien'!G:V,13,FALSE),"")</f>
        <v>WIRASWASTA</v>
      </c>
      <c r="R428" s="104" t="str">
        <f t="array" ref="R428">ifna(xlookup(L428,'🙎‍♂️ Pasien'!$G$5:$G1508,'🙎‍♂️ Pasien'!$T$5:$T1508),"")</f>
        <v>LUTUT</v>
      </c>
      <c r="S428" s="104" t="str">
        <f t="array" ref="S428">ifna(xlookup(L428,'🙎‍♂️ Pasien'!$G$5:$G1508,'🙎‍♂️ Pasien'!$U$5:$U1508),"")</f>
        <v>-</v>
      </c>
      <c r="T428" s="97" t="s">
        <v>59</v>
      </c>
      <c r="U428" s="105">
        <v>4.0</v>
      </c>
      <c r="V428" s="101"/>
      <c r="W428" s="106" t="b">
        <v>1</v>
      </c>
      <c r="X428" s="107"/>
      <c r="Y428" s="108"/>
    </row>
    <row r="429" ht="22.5" customHeight="1">
      <c r="A429" s="96"/>
      <c r="B429" s="97" t="s">
        <v>85</v>
      </c>
      <c r="C429" s="98" t="str">
        <f t="array" ref="C429">IFNA(XLOOKUP(J429,'⚙️ Pengaturan'!$H$5:$H1508,'⚙️ Pengaturan'!$I$5:$I1508),"")</f>
        <v>TIM Y</v>
      </c>
      <c r="D429" s="97" t="s">
        <v>86</v>
      </c>
      <c r="E429" s="99">
        <v>45955.0</v>
      </c>
      <c r="F429" s="100" t="str">
        <f t="shared" si="1"/>
        <v>2025</v>
      </c>
      <c r="G429" s="100" t="str">
        <f t="shared" si="2"/>
        <v>10Okt</v>
      </c>
      <c r="H429" s="100" t="str">
        <f t="shared" si="3"/>
        <v>Sabtu</v>
      </c>
      <c r="I429" s="97" t="s">
        <v>97</v>
      </c>
      <c r="J429" s="97" t="s">
        <v>56</v>
      </c>
      <c r="K429" s="97" t="s">
        <v>63</v>
      </c>
      <c r="L429" s="101" t="s">
        <v>326</v>
      </c>
      <c r="M429" s="102" t="str">
        <f>IFNA(VLOOKUP(L429,'🙎‍♂️ Pasien'!G:V,2,FALSE),"")</f>
        <v>A1423086916</v>
      </c>
      <c r="N429" s="103">
        <f>IFNA(VLOOKUP(L429,'🙎‍♂️ Pasien'!G:L,3,FALSE),"")</f>
        <v>11</v>
      </c>
      <c r="O429" s="104" t="str">
        <f>IFNA(VLOOKUP(L429,'🙎‍♂️ Pasien'!G:V,6,FALSE),"")</f>
        <v>LAKI-LAKI</v>
      </c>
      <c r="P429" s="104" t="str">
        <f>IFNA(VLOOKUP(L429,'🙎‍♂️ Pasien'!G:V,12,FALSE),"")</f>
        <v>ISLAM</v>
      </c>
      <c r="Q429" s="104" t="str">
        <f>IFNA(VLOOKUP(L429:L1508,'🙎‍♂️ Pasien'!G:V,13,FALSE),"")</f>
        <v>PELAJAR/MAHASISWA</v>
      </c>
      <c r="R429" s="104" t="str">
        <f t="array" ref="R429">ifna(xlookup(L429,'🙎‍♂️ Pasien'!$G$5:$G1508,'🙎‍♂️ Pasien'!$T$5:$T1508),"")</f>
        <v>ANKLE KAKI KANAN</v>
      </c>
      <c r="S429" s="104" t="str">
        <f t="array" ref="S429">ifna(xlookup(L429,'🙎‍♂️ Pasien'!$G$5:$G1508,'🙎‍♂️ Pasien'!$U$5:$U1508),"")</f>
        <v>BOLA</v>
      </c>
      <c r="T429" s="97" t="s">
        <v>59</v>
      </c>
      <c r="U429" s="105">
        <v>2.0</v>
      </c>
      <c r="V429" s="101"/>
      <c r="W429" s="106" t="b">
        <v>1</v>
      </c>
      <c r="X429" s="107"/>
      <c r="Y429" s="108"/>
    </row>
    <row r="430" ht="22.5" customHeight="1">
      <c r="A430" s="96"/>
      <c r="B430" s="97" t="s">
        <v>85</v>
      </c>
      <c r="C430" s="98" t="str">
        <f t="array" ref="C430">IFNA(XLOOKUP(J430,'⚙️ Pengaturan'!$H$5:$H1508,'⚙️ Pengaturan'!$I$5:$I1508),"")</f>
        <v>TIM A</v>
      </c>
      <c r="D430" s="97" t="s">
        <v>86</v>
      </c>
      <c r="E430" s="99">
        <v>45955.0</v>
      </c>
      <c r="F430" s="100" t="str">
        <f t="shared" si="1"/>
        <v>2025</v>
      </c>
      <c r="G430" s="100" t="str">
        <f t="shared" si="2"/>
        <v>10Okt</v>
      </c>
      <c r="H430" s="100" t="str">
        <f t="shared" si="3"/>
        <v>Sabtu</v>
      </c>
      <c r="I430" s="97" t="s">
        <v>97</v>
      </c>
      <c r="J430" s="97" t="s">
        <v>62</v>
      </c>
      <c r="K430" s="97" t="s">
        <v>57</v>
      </c>
      <c r="L430" s="101" t="s">
        <v>371</v>
      </c>
      <c r="M430" s="102" t="str">
        <f>IFNA(VLOOKUP(L430,'🙎‍♂️ Pasien'!G:V,2,FALSE),"")</f>
        <v>B9825108681</v>
      </c>
      <c r="N430" s="103">
        <f>IFNA(VLOOKUP(L430,'🙎‍♂️ Pasien'!G:L,3,FALSE),"")</f>
        <v>28</v>
      </c>
      <c r="O430" s="104" t="str">
        <f>IFNA(VLOOKUP(L430,'🙎‍♂️ Pasien'!G:V,6,FALSE),"")</f>
        <v>PEREMPUAN</v>
      </c>
      <c r="P430" s="104" t="str">
        <f>IFNA(VLOOKUP(L430,'🙎‍♂️ Pasien'!G:V,12,FALSE),"")</f>
        <v>KATOLIK</v>
      </c>
      <c r="Q430" s="104" t="str">
        <f>IFNA(VLOOKUP(L430:L1508,'🙎‍♂️ Pasien'!G:V,13,FALSE),"")</f>
        <v>-</v>
      </c>
      <c r="R430" s="104" t="str">
        <f t="array" ref="R430">ifna(xlookup(L430,'🙎‍♂️ Pasien'!$G$5:$G1508,'🙎‍♂️ Pasien'!$T$5:$T1508),"")</f>
        <v>BAHU TIDAK NYAMAN</v>
      </c>
      <c r="S430" s="104" t="str">
        <f t="array" ref="S430">ifna(xlookup(L430,'🙎‍♂️ Pasien'!$G$5:$G1508,'🙎‍♂️ Pasien'!$U$5:$U1508),"")</f>
        <v>DUDUK DEPAN KOMPUTER, OLAHRAGA</v>
      </c>
      <c r="T430" s="97" t="s">
        <v>59</v>
      </c>
      <c r="U430" s="105" t="s">
        <v>60</v>
      </c>
      <c r="V430" s="101"/>
      <c r="W430" s="106" t="b">
        <v>1</v>
      </c>
      <c r="X430" s="107"/>
      <c r="Y430" s="108"/>
    </row>
    <row r="431" ht="22.5" customHeight="1">
      <c r="A431" s="96"/>
      <c r="B431" s="97" t="s">
        <v>85</v>
      </c>
      <c r="C431" s="98" t="str">
        <f t="array" ref="C431">IFNA(XLOOKUP(J431,'⚙️ Pengaturan'!$H$5:$H1508,'⚙️ Pengaturan'!$I$5:$I1508),"")</f>
        <v>TIM A</v>
      </c>
      <c r="D431" s="97" t="s">
        <v>86</v>
      </c>
      <c r="E431" s="99">
        <v>45955.0</v>
      </c>
      <c r="F431" s="100" t="str">
        <f t="shared" si="1"/>
        <v>2025</v>
      </c>
      <c r="G431" s="100" t="str">
        <f t="shared" si="2"/>
        <v>10Okt</v>
      </c>
      <c r="H431" s="100" t="str">
        <f t="shared" si="3"/>
        <v>Sabtu</v>
      </c>
      <c r="I431" s="97" t="s">
        <v>99</v>
      </c>
      <c r="J431" s="97" t="s">
        <v>72</v>
      </c>
      <c r="K431" s="97" t="s">
        <v>63</v>
      </c>
      <c r="L431" s="101" t="s">
        <v>129</v>
      </c>
      <c r="M431" s="102" t="str">
        <f>IFNA(VLOOKUP(L431,'🙎‍♂️ Pasien'!G:V,2,FALSE),"")</f>
        <v>D1025091558</v>
      </c>
      <c r="N431" s="103">
        <f>IFNA(VLOOKUP(L431,'🙎‍♂️ Pasien'!G:L,3,FALSE),"")</f>
        <v>16</v>
      </c>
      <c r="O431" s="104" t="str">
        <f>IFNA(VLOOKUP(L431,'🙎‍♂️ Pasien'!G:V,6,FALSE),"")</f>
        <v>LAKI-LAKI</v>
      </c>
      <c r="P431" s="104" t="str">
        <f>IFNA(VLOOKUP(L431,'🙎‍♂️ Pasien'!G:V,12,FALSE),"")</f>
        <v>PROTESTAN</v>
      </c>
      <c r="Q431" s="104" t="str">
        <f>IFNA(VLOOKUP(L431:L1508,'🙎‍♂️ Pasien'!G:V,13,FALSE),"")</f>
        <v>MASI SEKOLAH</v>
      </c>
      <c r="R431" s="104" t="str">
        <f t="array" ref="R431">ifna(xlookup(L431,'🙎‍♂️ Pasien'!$G$5:$G1508,'🙎‍♂️ Pasien'!$T$5:$T1508),"")</f>
        <v>SAKIT DI BAGIAN LUTUT</v>
      </c>
      <c r="S431" s="104" t="str">
        <f t="array" ref="S431">ifna(xlookup(L431,'🙎‍♂️ Pasien'!$G$5:$G1508,'🙎‍♂️ Pasien'!$U$5:$U1508),"")</f>
        <v>BASKET</v>
      </c>
      <c r="T431" s="97" t="s">
        <v>59</v>
      </c>
      <c r="U431" s="105">
        <v>1.0</v>
      </c>
      <c r="V431" s="101"/>
      <c r="W431" s="106" t="b">
        <v>1</v>
      </c>
      <c r="X431" s="107"/>
      <c r="Y431" s="108"/>
    </row>
    <row r="432" ht="22.5" customHeight="1">
      <c r="A432" s="96"/>
      <c r="B432" s="97" t="s">
        <v>85</v>
      </c>
      <c r="C432" s="98" t="str">
        <f t="array" ref="C432">IFNA(XLOOKUP(J432,'⚙️ Pengaturan'!$H$5:$H1508,'⚙️ Pengaturan'!$I$5:$I1508),"")</f>
        <v>TIM A</v>
      </c>
      <c r="D432" s="97" t="s">
        <v>86</v>
      </c>
      <c r="E432" s="99">
        <v>45955.0</v>
      </c>
      <c r="F432" s="100" t="str">
        <f t="shared" si="1"/>
        <v>2025</v>
      </c>
      <c r="G432" s="100" t="str">
        <f t="shared" si="2"/>
        <v>10Okt</v>
      </c>
      <c r="H432" s="100" t="str">
        <f t="shared" si="3"/>
        <v>Sabtu</v>
      </c>
      <c r="I432" s="97" t="s">
        <v>99</v>
      </c>
      <c r="J432" s="97" t="s">
        <v>62</v>
      </c>
      <c r="K432" s="97" t="s">
        <v>63</v>
      </c>
      <c r="L432" s="101" t="s">
        <v>313</v>
      </c>
      <c r="M432" s="102" t="str">
        <f>IFNA(VLOOKUP(L432,'🙎‍♂️ Pasien'!G:V,2,FALSE),"")</f>
        <v>K9925107744</v>
      </c>
      <c r="N432" s="103">
        <f>IFNA(VLOOKUP(L432,'🙎‍♂️ Pasien'!G:L,3,FALSE),"")</f>
        <v>26</v>
      </c>
      <c r="O432" s="104" t="str">
        <f>IFNA(VLOOKUP(L432,'🙎‍♂️ Pasien'!G:V,6,FALSE),"")</f>
        <v>PEREMPUAN</v>
      </c>
      <c r="P432" s="104" t="str">
        <f>IFNA(VLOOKUP(L432,'🙎‍♂️ Pasien'!G:V,12,FALSE),"")</f>
        <v>KATOLIK</v>
      </c>
      <c r="Q432" s="104" t="str">
        <f>IFNA(VLOOKUP(L432:L1508,'🙎‍♂️ Pasien'!G:V,13,FALSE),"")</f>
        <v>SWASTA</v>
      </c>
      <c r="R432" s="104" t="str">
        <f t="array" ref="R432">ifna(xlookup(L432,'🙎‍♂️ Pasien'!$G$5:$G1508,'🙎‍♂️ Pasien'!$T$5:$T1508),"")</f>
        <v>SAKIT BELAKANG</v>
      </c>
      <c r="S432" s="104" t="str">
        <f t="array" ref="S432">ifna(xlookup(L432,'🙎‍♂️ Pasien'!$G$5:$G1508,'🙎‍♂️ Pasien'!$U$5:$U1508),"")</f>
        <v>TIDAK ADA</v>
      </c>
      <c r="T432" s="97" t="s">
        <v>67</v>
      </c>
      <c r="U432" s="105">
        <v>2.0</v>
      </c>
      <c r="V432" s="101" t="s">
        <v>372</v>
      </c>
      <c r="W432" s="106" t="b">
        <v>1</v>
      </c>
      <c r="X432" s="107"/>
      <c r="Y432" s="108"/>
    </row>
    <row r="433" ht="22.5" customHeight="1">
      <c r="A433" s="96"/>
      <c r="B433" s="97" t="s">
        <v>85</v>
      </c>
      <c r="C433" s="98" t="str">
        <f t="array" ref="C433">IFNA(XLOOKUP(J433,'⚙️ Pengaturan'!$H$5:$H1508,'⚙️ Pengaturan'!$I$5:$I1508),"")</f>
        <v>TIM Y</v>
      </c>
      <c r="D433" s="97" t="s">
        <v>86</v>
      </c>
      <c r="E433" s="99">
        <v>45955.0</v>
      </c>
      <c r="F433" s="100" t="str">
        <f t="shared" si="1"/>
        <v>2025</v>
      </c>
      <c r="G433" s="100" t="str">
        <f t="shared" si="2"/>
        <v>10Okt</v>
      </c>
      <c r="H433" s="100" t="str">
        <f t="shared" si="3"/>
        <v>Sabtu</v>
      </c>
      <c r="I433" s="97" t="s">
        <v>99</v>
      </c>
      <c r="J433" s="97" t="s">
        <v>56</v>
      </c>
      <c r="K433" s="97" t="s">
        <v>57</v>
      </c>
      <c r="L433" s="101" t="s">
        <v>373</v>
      </c>
      <c r="M433" s="102" t="str">
        <f>IFNA(VLOOKUP(L433,'🙎‍♂️ Pasien'!G:V,2,FALSE),"")</f>
        <v>M6125100219</v>
      </c>
      <c r="N433" s="103">
        <f>IFNA(VLOOKUP(L433,'🙎‍♂️ Pasien'!G:L,3,FALSE),"")</f>
        <v>65</v>
      </c>
      <c r="O433" s="104" t="str">
        <f>IFNA(VLOOKUP(L433,'🙎‍♂️ Pasien'!G:V,6,FALSE),"")</f>
        <v>LAKI-LAKI</v>
      </c>
      <c r="P433" s="104" t="str">
        <f>IFNA(VLOOKUP(L433,'🙎‍♂️ Pasien'!G:V,12,FALSE),"")</f>
        <v>ISLAM</v>
      </c>
      <c r="Q433" s="104" t="str">
        <f>IFNA(VLOOKUP(L433:L1508,'🙎‍♂️ Pasien'!G:V,13,FALSE),"")</f>
        <v>SWASTA</v>
      </c>
      <c r="R433" s="104" t="str">
        <f t="array" ref="R433">ifna(xlookup(L433,'🙎‍♂️ Pasien'!$G$5:$G1508,'🙎‍♂️ Pasien'!$T$5:$T1508),"")</f>
        <v>SAKIT DI BAGIAN BOKONG SAMPAI KAKI BAWAH</v>
      </c>
      <c r="S433" s="104" t="str">
        <f t="array" ref="S433">ifna(xlookup(L433,'🙎‍♂️ Pasien'!$G$5:$G1508,'🙎‍♂️ Pasien'!$U$5:$U1508),"")</f>
        <v>TUKANG BANGUNAN</v>
      </c>
      <c r="T433" s="97" t="s">
        <v>59</v>
      </c>
      <c r="U433" s="105" t="s">
        <v>60</v>
      </c>
      <c r="V433" s="101"/>
      <c r="W433" s="106" t="b">
        <v>1</v>
      </c>
      <c r="X433" s="107"/>
      <c r="Y433" s="108"/>
    </row>
    <row r="434" ht="22.5" customHeight="1">
      <c r="A434" s="96"/>
      <c r="B434" s="97" t="s">
        <v>53</v>
      </c>
      <c r="C434" s="98" t="str">
        <f t="array" ref="C434">IFNA(XLOOKUP(J434,'⚙️ Pengaturan'!$H$5:$H1508,'⚙️ Pengaturan'!$I$5:$I1508),"")</f>
        <v>TIM A</v>
      </c>
      <c r="D434" s="97" t="s">
        <v>86</v>
      </c>
      <c r="E434" s="99">
        <v>45956.0</v>
      </c>
      <c r="F434" s="100" t="str">
        <f t="shared" si="1"/>
        <v>2025</v>
      </c>
      <c r="G434" s="100" t="str">
        <f t="shared" si="2"/>
        <v>10Okt</v>
      </c>
      <c r="H434" s="100" t="str">
        <f t="shared" si="3"/>
        <v>Minggu</v>
      </c>
      <c r="I434" s="97" t="s">
        <v>55</v>
      </c>
      <c r="J434" s="97" t="s">
        <v>72</v>
      </c>
      <c r="K434" s="97" t="s">
        <v>57</v>
      </c>
      <c r="L434" s="101" t="s">
        <v>374</v>
      </c>
      <c r="M434" s="102" t="str">
        <f>IFNA(VLOOKUP(L434,'🙎‍♂️ Pasien'!G:V,2,FALSE),"")</f>
        <v>A9125109974</v>
      </c>
      <c r="N434" s="103">
        <f>IFNA(VLOOKUP(L434,'🙎‍♂️ Pasien'!G:L,3,FALSE),"")</f>
        <v>34</v>
      </c>
      <c r="O434" s="104" t="str">
        <f>IFNA(VLOOKUP(L434,'🙎‍♂️ Pasien'!G:V,6,FALSE),"")</f>
        <v>LAKI-LAKI</v>
      </c>
      <c r="P434" s="104" t="str">
        <f>IFNA(VLOOKUP(L434,'🙎‍♂️ Pasien'!G:V,12,FALSE),"")</f>
        <v>ISLAM</v>
      </c>
      <c r="Q434" s="104" t="str">
        <f>IFNA(VLOOKUP(L434:L1508,'🙎‍♂️ Pasien'!G:V,13,FALSE),"")</f>
        <v>KARYAWAN</v>
      </c>
      <c r="R434" s="104" t="str">
        <f t="array" ref="R434">ifna(xlookup(L434,'🙎‍♂️ Pasien'!$G$5:$G1508,'🙎‍♂️ Pasien'!$T$5:$T1508),"")</f>
        <v>STRAIGHT LUMBALIS DAN PLANTAR OS CALCANEUS</v>
      </c>
      <c r="S434" s="104" t="str">
        <f t="array" ref="S434">ifna(xlookup(L434,'🙎‍♂️ Pasien'!$G$5:$G1508,'🙎‍♂️ Pasien'!$U$5:$U1508),"")</f>
        <v>BEKERJA DUDUK BERDIRI LAMA JDI KAKI KANAN SAMPAI PANGKAL PAHA LINU</v>
      </c>
      <c r="T434" s="97" t="s">
        <v>59</v>
      </c>
      <c r="U434" s="105" t="s">
        <v>60</v>
      </c>
      <c r="V434" s="101"/>
      <c r="W434" s="106" t="b">
        <v>1</v>
      </c>
      <c r="X434" s="107"/>
      <c r="Y434" s="108"/>
    </row>
    <row r="435" ht="22.5" customHeight="1">
      <c r="A435" s="96"/>
      <c r="B435" s="97" t="s">
        <v>53</v>
      </c>
      <c r="C435" s="98" t="str">
        <f t="array" ref="C435">IFNA(XLOOKUP(J435,'⚙️ Pengaturan'!$H$5:$H1508,'⚙️ Pengaturan'!$I$5:$I1508),"")</f>
        <v>TIM A</v>
      </c>
      <c r="D435" s="97" t="s">
        <v>86</v>
      </c>
      <c r="E435" s="99">
        <v>45956.0</v>
      </c>
      <c r="F435" s="100" t="str">
        <f t="shared" si="1"/>
        <v>2025</v>
      </c>
      <c r="G435" s="100" t="str">
        <f t="shared" si="2"/>
        <v>10Okt</v>
      </c>
      <c r="H435" s="100" t="str">
        <f t="shared" si="3"/>
        <v>Minggu</v>
      </c>
      <c r="I435" s="97" t="s">
        <v>55</v>
      </c>
      <c r="J435" s="97" t="s">
        <v>62</v>
      </c>
      <c r="K435" s="97" t="s">
        <v>57</v>
      </c>
      <c r="L435" s="101" t="s">
        <v>354</v>
      </c>
      <c r="M435" s="102" t="str">
        <f>IFNA(VLOOKUP(L435,'🙎‍♂️ Pasien'!G:V,2,FALSE),"")</f>
        <v>B9425106600</v>
      </c>
      <c r="N435" s="103">
        <f>IFNA(VLOOKUP(L435,'🙎‍♂️ Pasien'!G:L,3,FALSE),"")</f>
        <v>31</v>
      </c>
      <c r="O435" s="104" t="str">
        <f>IFNA(VLOOKUP(L435,'🙎‍♂️ Pasien'!G:V,6,FALSE),"")</f>
        <v>LAKI-LAKI</v>
      </c>
      <c r="P435" s="104" t="str">
        <f>IFNA(VLOOKUP(L435,'🙎‍♂️ Pasien'!G:V,12,FALSE),"")</f>
        <v>ISLAM</v>
      </c>
      <c r="Q435" s="104" t="str">
        <f>IFNA(VLOOKUP(L435:L1508,'🙎‍♂️ Pasien'!G:V,13,FALSE),"")</f>
        <v>SWASTA</v>
      </c>
      <c r="R435" s="104" t="str">
        <f t="array" ref="R435">ifna(xlookup(L435,'🙎‍♂️ Pasien'!$G$5:$G1508,'🙎‍♂️ Pasien'!$T$5:$T1508),"")</f>
        <v>SAKIT BAGIAN PINGGANG</v>
      </c>
      <c r="S435" s="104" t="str">
        <f t="array" ref="S435">ifna(xlookup(L435,'🙎‍♂️ Pasien'!$G$5:$G1508,'🙎‍♂️ Pasien'!$U$5:$U1508),"")</f>
        <v>DUDUK TERLALU LAMA</v>
      </c>
      <c r="T435" s="97" t="s">
        <v>67</v>
      </c>
      <c r="U435" s="105" t="s">
        <v>60</v>
      </c>
      <c r="V435" s="101" t="s">
        <v>375</v>
      </c>
      <c r="W435" s="106" t="b">
        <v>1</v>
      </c>
      <c r="X435" s="107"/>
      <c r="Y435" s="108"/>
    </row>
    <row r="436" ht="22.5" customHeight="1">
      <c r="A436" s="96"/>
      <c r="B436" s="97" t="s">
        <v>53</v>
      </c>
      <c r="C436" s="98" t="str">
        <f t="array" ref="C436">IFNA(XLOOKUP(J436,'⚙️ Pengaturan'!$H$5:$H1508,'⚙️ Pengaturan'!$I$5:$I1508),"")</f>
        <v>TIM Y</v>
      </c>
      <c r="D436" s="97" t="s">
        <v>86</v>
      </c>
      <c r="E436" s="99">
        <v>45956.0</v>
      </c>
      <c r="F436" s="100" t="str">
        <f t="shared" si="1"/>
        <v>2025</v>
      </c>
      <c r="G436" s="100" t="str">
        <f t="shared" si="2"/>
        <v>10Okt</v>
      </c>
      <c r="H436" s="100" t="str">
        <f t="shared" si="3"/>
        <v>Minggu</v>
      </c>
      <c r="I436" s="97" t="s">
        <v>55</v>
      </c>
      <c r="J436" s="97" t="s">
        <v>56</v>
      </c>
      <c r="K436" s="97" t="s">
        <v>63</v>
      </c>
      <c r="L436" s="101" t="s">
        <v>136</v>
      </c>
      <c r="M436" s="102" t="str">
        <f>IFNA(VLOOKUP(L436,'🙎‍♂️ Pasien'!G:V,2,FALSE),"")</f>
        <v>H9025092496</v>
      </c>
      <c r="N436" s="103">
        <f>IFNA(VLOOKUP(L436,'🙎‍♂️ Pasien'!G:L,3,FALSE),"")</f>
        <v>35</v>
      </c>
      <c r="O436" s="104" t="str">
        <f>IFNA(VLOOKUP(L436,'🙎‍♂️ Pasien'!G:V,6,FALSE),"")</f>
        <v>LAKI-LAKI</v>
      </c>
      <c r="P436" s="104" t="str">
        <f>IFNA(VLOOKUP(L436,'🙎‍♂️ Pasien'!G:V,12,FALSE),"")</f>
        <v>ISLAM</v>
      </c>
      <c r="Q436" s="104" t="str">
        <f>IFNA(VLOOKUP(L436:L1508,'🙎‍♂️ Pasien'!G:V,13,FALSE),"")</f>
        <v>SWASTA</v>
      </c>
      <c r="R436" s="104" t="str">
        <f t="array" ref="R436">ifna(xlookup(L436,'🙎‍♂️ Pasien'!$G$5:$G1508,'🙎‍♂️ Pasien'!$T$5:$T1508),"")</f>
        <v>KAKI KIRI SAKIT</v>
      </c>
      <c r="S436" s="104" t="str">
        <f t="array" ref="S436">ifna(xlookup(L436,'🙎‍♂️ Pasien'!$G$5:$G1508,'🙎‍♂️ Pasien'!$U$5:$U1508),"")</f>
        <v>LATIHAN LATI</v>
      </c>
      <c r="T436" s="97" t="s">
        <v>59</v>
      </c>
      <c r="U436" s="105">
        <v>3.0</v>
      </c>
      <c r="V436" s="101"/>
      <c r="W436" s="106" t="b">
        <v>1</v>
      </c>
      <c r="X436" s="107"/>
      <c r="Y436" s="108"/>
    </row>
    <row r="437" ht="22.5" customHeight="1">
      <c r="A437" s="96"/>
      <c r="B437" s="97" t="s">
        <v>53</v>
      </c>
      <c r="C437" s="98" t="str">
        <f t="array" ref="C437">IFNA(XLOOKUP(J437,'⚙️ Pengaturan'!$H$5:$H1508,'⚙️ Pengaturan'!$I$5:$I1508),"")</f>
        <v>TIM Y</v>
      </c>
      <c r="D437" s="97" t="s">
        <v>86</v>
      </c>
      <c r="E437" s="99">
        <v>45956.0</v>
      </c>
      <c r="F437" s="100" t="str">
        <f t="shared" si="1"/>
        <v>2025</v>
      </c>
      <c r="G437" s="100" t="str">
        <f t="shared" si="2"/>
        <v>10Okt</v>
      </c>
      <c r="H437" s="100" t="str">
        <f t="shared" si="3"/>
        <v>Minggu</v>
      </c>
      <c r="I437" s="97" t="s">
        <v>65</v>
      </c>
      <c r="J437" s="97" t="s">
        <v>56</v>
      </c>
      <c r="K437" s="97" t="s">
        <v>63</v>
      </c>
      <c r="L437" s="101" t="s">
        <v>239</v>
      </c>
      <c r="M437" s="102" t="str">
        <f>IFNA(VLOOKUP(L437,'🙎‍♂️ Pasien'!G:V,2,FALSE),"")</f>
        <v>A0623071437</v>
      </c>
      <c r="N437" s="103">
        <f>IFNA(VLOOKUP(L437,'🙎‍♂️ Pasien'!G:L,3,FALSE),"")</f>
        <v>20</v>
      </c>
      <c r="O437" s="104" t="str">
        <f>IFNA(VLOOKUP(L437,'🙎‍♂️ Pasien'!G:V,6,FALSE),"")</f>
        <v>LAKI-LAKI</v>
      </c>
      <c r="P437" s="104" t="str">
        <f>IFNA(VLOOKUP(L437,'🙎‍♂️ Pasien'!G:V,12,FALSE),"")</f>
        <v>ISLAM</v>
      </c>
      <c r="Q437" s="104" t="str">
        <f>IFNA(VLOOKUP(L437:L1508,'🙎‍♂️ Pasien'!G:V,13,FALSE),"")</f>
        <v>PELAJAR/MAHASISWA</v>
      </c>
      <c r="R437" s="104" t="str">
        <f t="array" ref="R437">ifna(xlookup(L437,'🙎‍♂️ Pasien'!$G$5:$G1508,'🙎‍♂️ Pasien'!$T$5:$T1508),"")</f>
        <v>Cedera Engkel Di Kaki</v>
      </c>
      <c r="S437" s="104" t="str">
        <f t="array" ref="S437">ifna(xlookup(L437,'🙎‍♂️ Pasien'!$G$5:$G1508,'🙎‍♂️ Pasien'!$U$5:$U1508),"")</f>
        <v>BERMAIN FUTSAL</v>
      </c>
      <c r="T437" s="97" t="s">
        <v>59</v>
      </c>
      <c r="U437" s="105">
        <v>3.0</v>
      </c>
      <c r="V437" s="101"/>
      <c r="W437" s="106" t="b">
        <v>1</v>
      </c>
      <c r="X437" s="107"/>
      <c r="Y437" s="108"/>
    </row>
    <row r="438" ht="22.5" customHeight="1">
      <c r="A438" s="96"/>
      <c r="B438" s="97" t="s">
        <v>53</v>
      </c>
      <c r="C438" s="98" t="str">
        <f t="array" ref="C438">IFNA(XLOOKUP(J438,'⚙️ Pengaturan'!$H$5:$H1508,'⚙️ Pengaturan'!$I$5:$I1508),"")</f>
        <v>TIM A</v>
      </c>
      <c r="D438" s="97" t="s">
        <v>86</v>
      </c>
      <c r="E438" s="99">
        <v>45956.0</v>
      </c>
      <c r="F438" s="100" t="str">
        <f t="shared" si="1"/>
        <v>2025</v>
      </c>
      <c r="G438" s="100" t="str">
        <f t="shared" si="2"/>
        <v>10Okt</v>
      </c>
      <c r="H438" s="100" t="str">
        <f t="shared" si="3"/>
        <v>Minggu</v>
      </c>
      <c r="I438" s="97" t="s">
        <v>65</v>
      </c>
      <c r="J438" s="97" t="s">
        <v>62</v>
      </c>
      <c r="K438" s="97" t="s">
        <v>63</v>
      </c>
      <c r="L438" s="101" t="s">
        <v>71</v>
      </c>
      <c r="M438" s="102" t="str">
        <f>IFNA(VLOOKUP(L438,'🙎‍♂️ Pasien'!G:V,2,FALSE),"")</f>
        <v>L5925109995</v>
      </c>
      <c r="N438" s="103">
        <f>IFNA(VLOOKUP(L438,'🙎‍♂️ Pasien'!G:L,3,FALSE),"")</f>
        <v>67</v>
      </c>
      <c r="O438" s="104" t="str">
        <f>IFNA(VLOOKUP(L438,'🙎‍♂️ Pasien'!G:V,6,FALSE),"")</f>
        <v>PEREMPUAN</v>
      </c>
      <c r="P438" s="104" t="str">
        <f>IFNA(VLOOKUP(L438,'🙎‍♂️ Pasien'!G:V,12,FALSE),"")</f>
        <v>KATOLIK</v>
      </c>
      <c r="Q438" s="104" t="str">
        <f>IFNA(VLOOKUP(L438:L1508,'🙎‍♂️ Pasien'!G:V,13,FALSE),"")</f>
        <v>WIRASWASTA</v>
      </c>
      <c r="R438" s="104" t="str">
        <f t="array" ref="R438">ifna(xlookup(L438,'🙎‍♂️ Pasien'!$G$5:$G1508,'🙎‍♂️ Pasien'!$T$5:$T1508),"")</f>
        <v>LUTUT</v>
      </c>
      <c r="S438" s="104" t="str">
        <f t="array" ref="S438">ifna(xlookup(L438,'🙎‍♂️ Pasien'!$G$5:$G1508,'🙎‍♂️ Pasien'!$U$5:$U1508),"")</f>
        <v>IBU RUMAH TANGGA</v>
      </c>
      <c r="T438" s="97" t="s">
        <v>67</v>
      </c>
      <c r="U438" s="105">
        <v>1.0</v>
      </c>
      <c r="V438" s="101" t="s">
        <v>376</v>
      </c>
      <c r="W438" s="106" t="b">
        <v>1</v>
      </c>
      <c r="X438" s="107"/>
      <c r="Y438" s="108"/>
    </row>
    <row r="439" ht="22.5" customHeight="1">
      <c r="A439" s="96"/>
      <c r="B439" s="97" t="s">
        <v>53</v>
      </c>
      <c r="C439" s="98" t="str">
        <f t="array" ref="C439">IFNA(XLOOKUP(J439,'⚙️ Pengaturan'!$H$5:$H1508,'⚙️ Pengaturan'!$I$5:$I1508),"")</f>
        <v>TIM A</v>
      </c>
      <c r="D439" s="97" t="s">
        <v>86</v>
      </c>
      <c r="E439" s="99">
        <v>45956.0</v>
      </c>
      <c r="F439" s="100" t="str">
        <f t="shared" si="1"/>
        <v>2025</v>
      </c>
      <c r="G439" s="100" t="str">
        <f t="shared" si="2"/>
        <v>10Okt</v>
      </c>
      <c r="H439" s="100" t="str">
        <f t="shared" si="3"/>
        <v>Minggu</v>
      </c>
      <c r="I439" s="97" t="s">
        <v>74</v>
      </c>
      <c r="J439" s="97" t="s">
        <v>62</v>
      </c>
      <c r="K439" s="97" t="s">
        <v>57</v>
      </c>
      <c r="L439" s="101" t="s">
        <v>377</v>
      </c>
      <c r="M439" s="102" t="str">
        <f>IFNA(VLOOKUP(L439,'🙎‍♂️ Pasien'!G:V,2,FALSE),"")</f>
        <v>W0825106980</v>
      </c>
      <c r="N439" s="103">
        <f>IFNA(VLOOKUP(L439,'🙎‍♂️ Pasien'!G:L,3,FALSE),"")</f>
        <v>18</v>
      </c>
      <c r="O439" s="104" t="str">
        <f>IFNA(VLOOKUP(L439,'🙎‍♂️ Pasien'!G:V,6,FALSE),"")</f>
        <v>LAKI-LAKI</v>
      </c>
      <c r="P439" s="104" t="str">
        <f>IFNA(VLOOKUP(L439,'🙎‍♂️ Pasien'!G:V,12,FALSE),"")</f>
        <v>ISLAM</v>
      </c>
      <c r="Q439" s="104" t="str">
        <f>IFNA(VLOOKUP(L439:L1508,'🙎‍♂️ Pasien'!G:V,13,FALSE),"")</f>
        <v>PELAJAR</v>
      </c>
      <c r="R439" s="104" t="str">
        <f t="array" ref="R439">ifna(xlookup(L439,'🙎‍♂️ Pasien'!$G$5:$G1508,'🙎‍♂️ Pasien'!$T$5:$T1508),"")</f>
        <v>SKOLIOSIS</v>
      </c>
      <c r="S439" s="104" t="str">
        <f t="array" ref="S439">ifna(xlookup(L439,'🙎‍♂️ Pasien'!$G$5:$G1508,'🙎‍♂️ Pasien'!$U$5:$U1508),"")</f>
        <v>-</v>
      </c>
      <c r="T439" s="97" t="s">
        <v>59</v>
      </c>
      <c r="U439" s="105" t="s">
        <v>60</v>
      </c>
      <c r="V439" s="101"/>
      <c r="W439" s="106" t="b">
        <v>1</v>
      </c>
      <c r="X439" s="107"/>
      <c r="Y439" s="108"/>
    </row>
    <row r="440" ht="22.5" customHeight="1">
      <c r="A440" s="96"/>
      <c r="B440" s="97" t="s">
        <v>53</v>
      </c>
      <c r="C440" s="98" t="str">
        <f t="array" ref="C440">IFNA(XLOOKUP(J440,'⚙️ Pengaturan'!$H$5:$H1508,'⚙️ Pengaturan'!$I$5:$I1508),"")</f>
        <v>TIM Y</v>
      </c>
      <c r="D440" s="97" t="s">
        <v>86</v>
      </c>
      <c r="E440" s="99">
        <v>45956.0</v>
      </c>
      <c r="F440" s="100" t="str">
        <f t="shared" si="1"/>
        <v>2025</v>
      </c>
      <c r="G440" s="100" t="str">
        <f t="shared" si="2"/>
        <v>10Okt</v>
      </c>
      <c r="H440" s="100" t="str">
        <f t="shared" si="3"/>
        <v>Minggu</v>
      </c>
      <c r="I440" s="97" t="s">
        <v>74</v>
      </c>
      <c r="J440" s="97" t="s">
        <v>56</v>
      </c>
      <c r="K440" s="97" t="s">
        <v>63</v>
      </c>
      <c r="L440" s="101" t="s">
        <v>138</v>
      </c>
      <c r="M440" s="102" t="str">
        <f>IFNA(VLOOKUP(L440,'🙎‍♂️ Pasien'!G:V,2,FALSE),"")</f>
        <v>Y5125088477</v>
      </c>
      <c r="N440" s="103">
        <f>IFNA(VLOOKUP(L440,'🙎‍♂️ Pasien'!G:L,3,FALSE),"")</f>
        <v>75</v>
      </c>
      <c r="O440" s="104" t="str">
        <f>IFNA(VLOOKUP(L440,'🙎‍♂️ Pasien'!G:V,6,FALSE),"")</f>
        <v>LAKI-LAKI</v>
      </c>
      <c r="P440" s="104" t="str">
        <f>IFNA(VLOOKUP(L440,'🙎‍♂️ Pasien'!G:V,12,FALSE),"")</f>
        <v>ISLAM</v>
      </c>
      <c r="Q440" s="104" t="str">
        <f>IFNA(VLOOKUP(L440:L1508,'🙎‍♂️ Pasien'!G:V,13,FALSE),"")</f>
        <v>PENSIUNAN PLN</v>
      </c>
      <c r="R440" s="104" t="str">
        <f t="array" ref="R440">ifna(xlookup(L440,'🙎‍♂️ Pasien'!$G$5:$G1508,'🙎‍♂️ Pasien'!$T$5:$T1508),"")</f>
        <v>STROKE SEBELAH KANAN</v>
      </c>
      <c r="S440" s="104" t="str">
        <f t="array" ref="S440">ifna(xlookup(L440,'🙎‍♂️ Pasien'!$G$5:$G1508,'🙎‍♂️ Pasien'!$U$5:$U1508),"")</f>
        <v>TIDAK ADA</v>
      </c>
      <c r="T440" s="97" t="s">
        <v>59</v>
      </c>
      <c r="U440" s="105">
        <v>10.0</v>
      </c>
      <c r="V440" s="101" t="s">
        <v>125</v>
      </c>
      <c r="W440" s="106" t="b">
        <v>1</v>
      </c>
      <c r="X440" s="107"/>
      <c r="Y440" s="108"/>
    </row>
    <row r="441" ht="22.5" customHeight="1">
      <c r="A441" s="96"/>
      <c r="B441" s="97" t="s">
        <v>53</v>
      </c>
      <c r="C441" s="98" t="str">
        <f t="array" ref="C441">IFNA(XLOOKUP(J441,'⚙️ Pengaturan'!$H$5:$H1508,'⚙️ Pengaturan'!$I$5:$I1508),"")</f>
        <v>TIM A</v>
      </c>
      <c r="D441" s="97" t="s">
        <v>86</v>
      </c>
      <c r="E441" s="99">
        <v>45956.0</v>
      </c>
      <c r="F441" s="100" t="str">
        <f t="shared" si="1"/>
        <v>2025</v>
      </c>
      <c r="G441" s="100" t="str">
        <f t="shared" si="2"/>
        <v>10Okt</v>
      </c>
      <c r="H441" s="100" t="str">
        <f t="shared" si="3"/>
        <v>Minggu</v>
      </c>
      <c r="I441" s="97" t="s">
        <v>76</v>
      </c>
      <c r="J441" s="97" t="s">
        <v>72</v>
      </c>
      <c r="K441" s="97" t="s">
        <v>63</v>
      </c>
      <c r="L441" s="101" t="s">
        <v>129</v>
      </c>
      <c r="M441" s="102" t="str">
        <f>IFNA(VLOOKUP(L441,'🙎‍♂️ Pasien'!G:V,2,FALSE),"")</f>
        <v>D1025091558</v>
      </c>
      <c r="N441" s="103">
        <f>IFNA(VLOOKUP(L441,'🙎‍♂️ Pasien'!G:L,3,FALSE),"")</f>
        <v>16</v>
      </c>
      <c r="O441" s="104" t="str">
        <f>IFNA(VLOOKUP(L441,'🙎‍♂️ Pasien'!G:V,6,FALSE),"")</f>
        <v>LAKI-LAKI</v>
      </c>
      <c r="P441" s="104" t="str">
        <f>IFNA(VLOOKUP(L441,'🙎‍♂️ Pasien'!G:V,12,FALSE),"")</f>
        <v>PROTESTAN</v>
      </c>
      <c r="Q441" s="104" t="str">
        <f>IFNA(VLOOKUP(L441:L1508,'🙎‍♂️ Pasien'!G:V,13,FALSE),"")</f>
        <v>MASI SEKOLAH</v>
      </c>
      <c r="R441" s="104" t="str">
        <f t="array" ref="R441">ifna(xlookup(L441,'🙎‍♂️ Pasien'!$G$5:$G1508,'🙎‍♂️ Pasien'!$T$5:$T1508),"")</f>
        <v>SAKIT DI BAGIAN LUTUT</v>
      </c>
      <c r="S441" s="104" t="str">
        <f t="array" ref="S441">ifna(xlookup(L441,'🙎‍♂️ Pasien'!$G$5:$G1508,'🙎‍♂️ Pasien'!$U$5:$U1508),"")</f>
        <v>BASKET</v>
      </c>
      <c r="T441" s="97" t="s">
        <v>59</v>
      </c>
      <c r="U441" s="105">
        <v>2.0</v>
      </c>
      <c r="V441" s="101"/>
      <c r="W441" s="106" t="b">
        <v>1</v>
      </c>
      <c r="X441" s="107"/>
      <c r="Y441" s="108"/>
    </row>
    <row r="442" ht="22.5" customHeight="1">
      <c r="A442" s="96"/>
      <c r="B442" s="97" t="s">
        <v>53</v>
      </c>
      <c r="C442" s="98" t="str">
        <f t="array" ref="C442">IFNA(XLOOKUP(J442,'⚙️ Pengaturan'!$H$5:$H1508,'⚙️ Pengaturan'!$I$5:$I1508),"")</f>
        <v>TIM Y</v>
      </c>
      <c r="D442" s="97" t="s">
        <v>86</v>
      </c>
      <c r="E442" s="99">
        <v>45956.0</v>
      </c>
      <c r="F442" s="100" t="str">
        <f t="shared" si="1"/>
        <v>2025</v>
      </c>
      <c r="G442" s="100" t="str">
        <f t="shared" si="2"/>
        <v>10Okt</v>
      </c>
      <c r="H442" s="100" t="str">
        <f t="shared" si="3"/>
        <v>Minggu</v>
      </c>
      <c r="I442" s="97" t="s">
        <v>76</v>
      </c>
      <c r="J442" s="97" t="s">
        <v>56</v>
      </c>
      <c r="K442" s="97" t="s">
        <v>57</v>
      </c>
      <c r="L442" s="101" t="s">
        <v>378</v>
      </c>
      <c r="M442" s="102" t="str">
        <f>IFNA(VLOOKUP(L442,'🙎‍♂️ Pasien'!G:V,2,FALSE),"")</f>
        <v>N0425105874</v>
      </c>
      <c r="N442" s="103">
        <f>IFNA(VLOOKUP(L442,'🙎‍♂️ Pasien'!G:L,3,FALSE),"")</f>
        <v>22</v>
      </c>
      <c r="O442" s="104" t="str">
        <f>IFNA(VLOOKUP(L442,'🙎‍♂️ Pasien'!G:V,6,FALSE),"")</f>
        <v>LAKI-LAKI</v>
      </c>
      <c r="P442" s="104" t="str">
        <f>IFNA(VLOOKUP(L442,'🙎‍♂️ Pasien'!G:V,12,FALSE),"")</f>
        <v>ISLAM</v>
      </c>
      <c r="Q442" s="104" t="str">
        <f>IFNA(VLOOKUP(L442:L1508,'🙎‍♂️ Pasien'!G:V,13,FALSE),"")</f>
        <v>ADMIN GOR</v>
      </c>
      <c r="R442" s="104" t="str">
        <f t="array" ref="R442">ifna(xlookup(L442,'🙎‍♂️ Pasien'!$G$5:$G1508,'🙎‍♂️ Pasien'!$T$5:$T1508),"")</f>
        <v>NYERI SIKU</v>
      </c>
      <c r="S442" s="104" t="str">
        <f t="array" ref="S442">ifna(xlookup(L442,'🙎‍♂️ Pasien'!$G$5:$G1508,'🙎‍♂️ Pasien'!$U$5:$U1508),"")</f>
        <v>BADMINTON</v>
      </c>
      <c r="T442" s="97" t="s">
        <v>67</v>
      </c>
      <c r="U442" s="105" t="s">
        <v>60</v>
      </c>
      <c r="V442" s="101" t="s">
        <v>379</v>
      </c>
      <c r="W442" s="106" t="b">
        <v>1</v>
      </c>
      <c r="X442" s="107"/>
      <c r="Y442" s="108"/>
    </row>
    <row r="443" ht="22.5" customHeight="1">
      <c r="A443" s="96"/>
      <c r="B443" s="97" t="s">
        <v>53</v>
      </c>
      <c r="C443" s="98" t="str">
        <f t="array" ref="C443">IFNA(XLOOKUP(J443,'⚙️ Pengaturan'!$H$5:$H1508,'⚙️ Pengaturan'!$I$5:$I1508),"")</f>
        <v>TIM A</v>
      </c>
      <c r="D443" s="97" t="s">
        <v>86</v>
      </c>
      <c r="E443" s="99">
        <v>45956.0</v>
      </c>
      <c r="F443" s="100" t="str">
        <f t="shared" si="1"/>
        <v>2025</v>
      </c>
      <c r="G443" s="100" t="str">
        <f t="shared" si="2"/>
        <v>10Okt</v>
      </c>
      <c r="H443" s="100" t="str">
        <f t="shared" si="3"/>
        <v>Minggu</v>
      </c>
      <c r="I443" s="97" t="s">
        <v>83</v>
      </c>
      <c r="J443" s="97" t="s">
        <v>62</v>
      </c>
      <c r="K443" s="97" t="s">
        <v>63</v>
      </c>
      <c r="L443" s="101" t="s">
        <v>257</v>
      </c>
      <c r="M443" s="102" t="str">
        <f>IFNA(VLOOKUP(L443,'🙎‍♂️ Pasien'!G:V,2,FALSE),"")</f>
        <v>A1025102304</v>
      </c>
      <c r="N443" s="103">
        <f>IFNA(VLOOKUP(L443,'🙎‍♂️ Pasien'!G:L,3,FALSE),"")</f>
        <v>16</v>
      </c>
      <c r="O443" s="104" t="str">
        <f>IFNA(VLOOKUP(L443,'🙎‍♂️ Pasien'!G:V,6,FALSE),"")</f>
        <v>LAKI-LAKI</v>
      </c>
      <c r="P443" s="104" t="str">
        <f>IFNA(VLOOKUP(L443,'🙎‍♂️ Pasien'!G:V,12,FALSE),"")</f>
        <v>PROTESTAN</v>
      </c>
      <c r="Q443" s="104" t="str">
        <f>IFNA(VLOOKUP(L443:L1508,'🙎‍♂️ Pasien'!G:V,13,FALSE),"")</f>
        <v>PELAJAR</v>
      </c>
      <c r="R443" s="104" t="str">
        <f t="array" ref="R443">ifna(xlookup(L443,'🙎‍♂️ Pasien'!$G$5:$G1508,'🙎‍♂️ Pasien'!$T$5:$T1508),"")</f>
        <v>NYERI SENDI KAKI</v>
      </c>
      <c r="S443" s="104" t="str">
        <f t="array" ref="S443">ifna(xlookup(L443,'🙎‍♂️ Pasien'!$G$5:$G1508,'🙎‍♂️ Pasien'!$U$5:$U1508),"")</f>
        <v>OLAHRAGA, NAIK TURUN TANGGA</v>
      </c>
      <c r="T443" s="97" t="s">
        <v>67</v>
      </c>
      <c r="U443" s="105">
        <v>4.0</v>
      </c>
      <c r="V443" s="101" t="s">
        <v>343</v>
      </c>
      <c r="W443" s="106" t="b">
        <v>1</v>
      </c>
      <c r="X443" s="107"/>
      <c r="Y443" s="108"/>
    </row>
    <row r="444" ht="22.5" customHeight="1">
      <c r="A444" s="96"/>
      <c r="B444" s="97" t="s">
        <v>53</v>
      </c>
      <c r="C444" s="98" t="str">
        <f t="array" ref="C444">IFNA(XLOOKUP(J444,'⚙️ Pengaturan'!$H$5:$H1508,'⚙️ Pengaturan'!$I$5:$I1508),"")</f>
        <v>TIM Y</v>
      </c>
      <c r="D444" s="97" t="s">
        <v>86</v>
      </c>
      <c r="E444" s="99">
        <v>45956.0</v>
      </c>
      <c r="F444" s="100" t="str">
        <f t="shared" si="1"/>
        <v>2025</v>
      </c>
      <c r="G444" s="100" t="str">
        <f t="shared" si="2"/>
        <v>10Okt</v>
      </c>
      <c r="H444" s="100" t="str">
        <f t="shared" si="3"/>
        <v>Minggu</v>
      </c>
      <c r="I444" s="97" t="s">
        <v>83</v>
      </c>
      <c r="J444" s="97" t="s">
        <v>56</v>
      </c>
      <c r="K444" s="97" t="s">
        <v>57</v>
      </c>
      <c r="L444" s="101" t="s">
        <v>380</v>
      </c>
      <c r="M444" s="102" t="str">
        <f>IFNA(VLOOKUP(L444,'🙎‍♂️ Pasien'!G:V,2,FALSE),"")</f>
        <v>D9825108138</v>
      </c>
      <c r="N444" s="103">
        <f>IFNA(VLOOKUP(L444,'🙎‍♂️ Pasien'!G:L,3,FALSE),"")</f>
        <v>28</v>
      </c>
      <c r="O444" s="104" t="str">
        <f>IFNA(VLOOKUP(L444,'🙎‍♂️ Pasien'!G:V,6,FALSE),"")</f>
        <v>LAKI-LAKI</v>
      </c>
      <c r="P444" s="104" t="str">
        <f>IFNA(VLOOKUP(L444,'🙎‍♂️ Pasien'!G:V,12,FALSE),"")</f>
        <v>ISLAM</v>
      </c>
      <c r="Q444" s="104" t="str">
        <f>IFNA(VLOOKUP(L444:L1508,'🙎‍♂️ Pasien'!G:V,13,FALSE),"")</f>
        <v>WIRASWASTA</v>
      </c>
      <c r="R444" s="104" t="str">
        <f t="array" ref="R444">ifna(xlookup(L444,'🙎‍♂️ Pasien'!$G$5:$G1508,'🙎‍♂️ Pasien'!$T$5:$T1508),"")</f>
        <v>LUTUT NGILU</v>
      </c>
      <c r="S444" s="104" t="str">
        <f t="array" ref="S444">ifna(xlookup(L444,'🙎‍♂️ Pasien'!$G$5:$G1508,'🙎‍♂️ Pasien'!$U$5:$U1508),"")</f>
        <v>MAEN BOLA</v>
      </c>
      <c r="T444" s="97" t="s">
        <v>67</v>
      </c>
      <c r="U444" s="105" t="s">
        <v>60</v>
      </c>
      <c r="V444" s="101" t="s">
        <v>343</v>
      </c>
      <c r="W444" s="106" t="b">
        <v>1</v>
      </c>
      <c r="X444" s="107"/>
      <c r="Y444" s="108"/>
    </row>
    <row r="445" ht="22.5" customHeight="1">
      <c r="A445" s="96"/>
      <c r="B445" s="97" t="s">
        <v>53</v>
      </c>
      <c r="C445" s="98" t="str">
        <f t="array" ref="C445">IFNA(XLOOKUP(J445,'⚙️ Pengaturan'!$H$5:$H1508,'⚙️ Pengaturan'!$I$5:$I1508),"")</f>
        <v>TIM A</v>
      </c>
      <c r="D445" s="97" t="s">
        <v>86</v>
      </c>
      <c r="E445" s="99">
        <v>45956.0</v>
      </c>
      <c r="F445" s="100" t="str">
        <f t="shared" si="1"/>
        <v>2025</v>
      </c>
      <c r="G445" s="100" t="str">
        <f t="shared" si="2"/>
        <v>10Okt</v>
      </c>
      <c r="H445" s="100" t="str">
        <f t="shared" si="3"/>
        <v>Minggu</v>
      </c>
      <c r="I445" s="97" t="s">
        <v>83</v>
      </c>
      <c r="J445" s="97" t="s">
        <v>72</v>
      </c>
      <c r="K445" s="97" t="s">
        <v>63</v>
      </c>
      <c r="L445" s="101" t="s">
        <v>129</v>
      </c>
      <c r="M445" s="102" t="str">
        <f>IFNA(VLOOKUP(L445,'🙎‍♂️ Pasien'!G:V,2,FALSE),"")</f>
        <v>D1025091558</v>
      </c>
      <c r="N445" s="103">
        <f>IFNA(VLOOKUP(L445,'🙎‍♂️ Pasien'!G:L,3,FALSE),"")</f>
        <v>16</v>
      </c>
      <c r="O445" s="104" t="str">
        <f>IFNA(VLOOKUP(L445,'🙎‍♂️ Pasien'!G:V,6,FALSE),"")</f>
        <v>LAKI-LAKI</v>
      </c>
      <c r="P445" s="104" t="str">
        <f>IFNA(VLOOKUP(L445,'🙎‍♂️ Pasien'!G:V,12,FALSE),"")</f>
        <v>PROTESTAN</v>
      </c>
      <c r="Q445" s="104" t="str">
        <f>IFNA(VLOOKUP(L445:L1508,'🙎‍♂️ Pasien'!G:V,13,FALSE),"")</f>
        <v>MASI SEKOLAH</v>
      </c>
      <c r="R445" s="104" t="str">
        <f t="array" ref="R445">ifna(xlookup(L445,'🙎‍♂️ Pasien'!$G$5:$G1508,'🙎‍♂️ Pasien'!$T$5:$T1508),"")</f>
        <v>SAKIT DI BAGIAN LUTUT</v>
      </c>
      <c r="S445" s="104" t="str">
        <f t="array" ref="S445">ifna(xlookup(L445,'🙎‍♂️ Pasien'!$G$5:$G1508,'🙎‍♂️ Pasien'!$U$5:$U1508),"")</f>
        <v>BASKET</v>
      </c>
      <c r="T445" s="97" t="s">
        <v>59</v>
      </c>
      <c r="U445" s="105">
        <v>3.0</v>
      </c>
      <c r="V445" s="101"/>
      <c r="W445" s="106" t="b">
        <v>1</v>
      </c>
      <c r="X445" s="107"/>
      <c r="Y445" s="108"/>
    </row>
    <row r="446" ht="22.5" customHeight="1">
      <c r="A446" s="96"/>
      <c r="B446" s="97" t="s">
        <v>85</v>
      </c>
      <c r="C446" s="98" t="str">
        <f t="array" ref="C446">IFNA(XLOOKUP(J446,'⚙️ Pengaturan'!$H$5:$H1508,'⚙️ Pengaturan'!$I$5:$I1508),"")</f>
        <v>TIM Y</v>
      </c>
      <c r="D446" s="97" t="s">
        <v>54</v>
      </c>
      <c r="E446" s="99">
        <v>45956.0</v>
      </c>
      <c r="F446" s="100" t="str">
        <f t="shared" si="1"/>
        <v>2025</v>
      </c>
      <c r="G446" s="100" t="str">
        <f t="shared" si="2"/>
        <v>10Okt</v>
      </c>
      <c r="H446" s="100" t="str">
        <f t="shared" si="3"/>
        <v>Minggu</v>
      </c>
      <c r="I446" s="97" t="s">
        <v>87</v>
      </c>
      <c r="J446" s="97" t="s">
        <v>91</v>
      </c>
      <c r="K446" s="97" t="s">
        <v>57</v>
      </c>
      <c r="L446" s="101" t="s">
        <v>381</v>
      </c>
      <c r="M446" s="102" t="str">
        <f>IFNA(VLOOKUP(L446,'🙎‍♂️ Pasien'!G:V,2,FALSE),"")</f>
        <v>A9925105509</v>
      </c>
      <c r="N446" s="103">
        <f>IFNA(VLOOKUP(L446,'🙎‍♂️ Pasien'!G:L,3,FALSE),"")</f>
        <v>27</v>
      </c>
      <c r="O446" s="104" t="str">
        <f>IFNA(VLOOKUP(L446,'🙎‍♂️ Pasien'!G:V,6,FALSE),"")</f>
        <v>PEREMPUAN</v>
      </c>
      <c r="P446" s="104" t="str">
        <f>IFNA(VLOOKUP(L446,'🙎‍♂️ Pasien'!G:V,12,FALSE),"")</f>
        <v>BUDDHA</v>
      </c>
      <c r="Q446" s="104" t="str">
        <f>IFNA(VLOOKUP(L446:L1508,'🙎‍♂️ Pasien'!G:V,13,FALSE),"")</f>
        <v>WIRASWASTA</v>
      </c>
      <c r="R446" s="104" t="str">
        <f t="array" ref="R446">ifna(xlookup(L446,'🙎‍♂️ Pasien'!$G$5:$G1508,'🙎‍♂️ Pasien'!$T$5:$T1508),"")</f>
        <v>KAKI BEKAS ANKLE SPRAIN SUDAH DITRE DAN BAHU PEGAL</v>
      </c>
      <c r="S446" s="104" t="str">
        <f t="array" ref="S446">ifna(xlookup(L446,'🙎‍♂️ Pasien'!$G$5:$G1508,'🙎‍♂️ Pasien'!$U$5:$U1508),"")</f>
        <v>2 MINGGU LALU JATUH DARI KETINGGIAN</v>
      </c>
      <c r="T446" s="97" t="s">
        <v>59</v>
      </c>
      <c r="U446" s="105" t="s">
        <v>60</v>
      </c>
      <c r="V446" s="101"/>
      <c r="W446" s="106" t="b">
        <v>1</v>
      </c>
      <c r="X446" s="107"/>
      <c r="Y446" s="108"/>
    </row>
    <row r="447" ht="22.5" customHeight="1">
      <c r="A447" s="96"/>
      <c r="B447" s="97" t="s">
        <v>85</v>
      </c>
      <c r="C447" s="98" t="str">
        <f t="array" ref="C447">IFNA(XLOOKUP(J447,'⚙️ Pengaturan'!$H$5:$H1508,'⚙️ Pengaturan'!$I$5:$I1508),"")</f>
        <v>TIM Y</v>
      </c>
      <c r="D447" s="97" t="s">
        <v>54</v>
      </c>
      <c r="E447" s="99">
        <v>45956.0</v>
      </c>
      <c r="F447" s="100" t="str">
        <f t="shared" si="1"/>
        <v>2025</v>
      </c>
      <c r="G447" s="100" t="str">
        <f t="shared" si="2"/>
        <v>10Okt</v>
      </c>
      <c r="H447" s="100" t="str">
        <f t="shared" si="3"/>
        <v>Minggu</v>
      </c>
      <c r="I447" s="97" t="s">
        <v>87</v>
      </c>
      <c r="J447" s="97" t="s">
        <v>107</v>
      </c>
      <c r="K447" s="97" t="s">
        <v>63</v>
      </c>
      <c r="L447" s="101" t="s">
        <v>257</v>
      </c>
      <c r="M447" s="102" t="str">
        <f>IFNA(VLOOKUP(L447,'🙎‍♂️ Pasien'!G:V,2,FALSE),"")</f>
        <v>A1025102304</v>
      </c>
      <c r="N447" s="103">
        <f>IFNA(VLOOKUP(L447,'🙎‍♂️ Pasien'!G:L,3,FALSE),"")</f>
        <v>16</v>
      </c>
      <c r="O447" s="104" t="str">
        <f>IFNA(VLOOKUP(L447,'🙎‍♂️ Pasien'!G:V,6,FALSE),"")</f>
        <v>LAKI-LAKI</v>
      </c>
      <c r="P447" s="104" t="str">
        <f>IFNA(VLOOKUP(L447,'🙎‍♂️ Pasien'!G:V,12,FALSE),"")</f>
        <v>PROTESTAN</v>
      </c>
      <c r="Q447" s="104" t="str">
        <f>IFNA(VLOOKUP(L447:L1508,'🙎‍♂️ Pasien'!G:V,13,FALSE),"")</f>
        <v>PELAJAR</v>
      </c>
      <c r="R447" s="104" t="str">
        <f t="array" ref="R447">ifna(xlookup(L447,'🙎‍♂️ Pasien'!$G$5:$G1508,'🙎‍♂️ Pasien'!$T$5:$T1508),"")</f>
        <v>NYERI SENDI KAKI</v>
      </c>
      <c r="S447" s="104" t="str">
        <f t="array" ref="S447">ifna(xlookup(L447,'🙎‍♂️ Pasien'!$G$5:$G1508,'🙎‍♂️ Pasien'!$U$5:$U1508),"")</f>
        <v>OLAHRAGA, NAIK TURUN TANGGA</v>
      </c>
      <c r="T447" s="97" t="s">
        <v>59</v>
      </c>
      <c r="U447" s="105">
        <v>4.0</v>
      </c>
      <c r="V447" s="101"/>
      <c r="W447" s="106" t="b">
        <v>1</v>
      </c>
      <c r="X447" s="107"/>
      <c r="Y447" s="108"/>
    </row>
    <row r="448" ht="22.5" customHeight="1">
      <c r="A448" s="96"/>
      <c r="B448" s="97" t="s">
        <v>85</v>
      </c>
      <c r="C448" s="98" t="str">
        <f t="array" ref="C448">IFNA(XLOOKUP(J448,'⚙️ Pengaturan'!$H$5:$H1508,'⚙️ Pengaturan'!$I$5:$I1508),"")</f>
        <v>TIM Y</v>
      </c>
      <c r="D448" s="97" t="s">
        <v>54</v>
      </c>
      <c r="E448" s="99">
        <v>45956.0</v>
      </c>
      <c r="F448" s="100" t="str">
        <f t="shared" si="1"/>
        <v>2025</v>
      </c>
      <c r="G448" s="100" t="str">
        <f t="shared" si="2"/>
        <v>10Okt</v>
      </c>
      <c r="H448" s="100" t="str">
        <f t="shared" si="3"/>
        <v>Minggu</v>
      </c>
      <c r="I448" s="97" t="s">
        <v>87</v>
      </c>
      <c r="J448" s="97" t="s">
        <v>88</v>
      </c>
      <c r="K448" s="97" t="s">
        <v>69</v>
      </c>
      <c r="L448" s="101" t="s">
        <v>168</v>
      </c>
      <c r="M448" s="102" t="str">
        <f>IFNA(VLOOKUP(L448,'🙎‍♂️ Pasien'!G:V,2,FALSE),"")</f>
        <v>M0524055808</v>
      </c>
      <c r="N448" s="103">
        <f>IFNA(VLOOKUP(L448,'🙎‍♂️ Pasien'!G:L,3,FALSE),"")</f>
        <v>20</v>
      </c>
      <c r="O448" s="104" t="str">
        <f>IFNA(VLOOKUP(L448,'🙎‍♂️ Pasien'!G:V,6,FALSE),"")</f>
        <v>LAKI-LAKI</v>
      </c>
      <c r="P448" s="104" t="str">
        <f>IFNA(VLOOKUP(L448,'🙎‍♂️ Pasien'!G:V,12,FALSE),"")</f>
        <v>ISLAM</v>
      </c>
      <c r="Q448" s="104" t="str">
        <f>IFNA(VLOOKUP(L448:L1508,'🙎‍♂️ Pasien'!G:V,13,FALSE),"")</f>
        <v>PELAJAR/MAHASISWA</v>
      </c>
      <c r="R448" s="104" t="str">
        <f t="array" ref="R448">ifna(xlookup(L448,'🙎‍♂️ Pasien'!$G$5:$G1508,'🙎‍♂️ Pasien'!$T$5:$T1508),"")</f>
        <v>goyang</v>
      </c>
      <c r="S448" s="104" t="str">
        <f t="array" ref="S448">ifna(xlookup(L448,'🙎‍♂️ Pasien'!$G$5:$G1508,'🙎‍♂️ Pasien'!$U$5:$U1508),"")</f>
        <v>futsal</v>
      </c>
      <c r="T448" s="97" t="s">
        <v>59</v>
      </c>
      <c r="U448" s="105" t="s">
        <v>60</v>
      </c>
      <c r="V448" s="101"/>
      <c r="W448" s="106" t="b">
        <v>1</v>
      </c>
      <c r="X448" s="107"/>
      <c r="Y448" s="108"/>
    </row>
    <row r="449" ht="22.5" customHeight="1">
      <c r="A449" s="96"/>
      <c r="B449" s="97" t="s">
        <v>85</v>
      </c>
      <c r="C449" s="98" t="str">
        <f t="array" ref="C449">IFNA(XLOOKUP(J449,'⚙️ Pengaturan'!$H$5:$H1508,'⚙️ Pengaturan'!$I$5:$I1508),"")</f>
        <v>TIM Y</v>
      </c>
      <c r="D449" s="97" t="s">
        <v>54</v>
      </c>
      <c r="E449" s="99">
        <v>45956.0</v>
      </c>
      <c r="F449" s="100" t="str">
        <f t="shared" si="1"/>
        <v>2025</v>
      </c>
      <c r="G449" s="100" t="str">
        <f t="shared" si="2"/>
        <v>10Okt</v>
      </c>
      <c r="H449" s="100" t="str">
        <f t="shared" si="3"/>
        <v>Minggu</v>
      </c>
      <c r="I449" s="97" t="s">
        <v>93</v>
      </c>
      <c r="J449" s="97" t="s">
        <v>91</v>
      </c>
      <c r="K449" s="97" t="s">
        <v>69</v>
      </c>
      <c r="L449" s="101" t="s">
        <v>236</v>
      </c>
      <c r="M449" s="102" t="str">
        <f>IFNA(VLOOKUP(L449,'🙎‍♂️ Pasien'!G:V,2,FALSE),"")</f>
        <v>D8624112017</v>
      </c>
      <c r="N449" s="103">
        <f>IFNA(VLOOKUP(L449,'🙎‍♂️ Pasien'!G:L,3,FALSE),"")</f>
        <v>39</v>
      </c>
      <c r="O449" s="104" t="str">
        <f>IFNA(VLOOKUP(L449,'🙎‍♂️ Pasien'!G:V,6,FALSE),"")</f>
        <v>PEREMPUAN</v>
      </c>
      <c r="P449" s="104" t="str">
        <f>IFNA(VLOOKUP(L449,'🙎‍♂️ Pasien'!G:V,12,FALSE),"")</f>
        <v>ISLAM</v>
      </c>
      <c r="Q449" s="104" t="str">
        <f>IFNA(VLOOKUP(L449:L1508,'🙎‍♂️ Pasien'!G:V,13,FALSE),"")</f>
        <v>ASN</v>
      </c>
      <c r="R449" s="104" t="str">
        <f t="array" ref="R449">ifna(xlookup(L449,'🙎‍♂️ Pasien'!$G$5:$G1508,'🙎‍♂️ Pasien'!$T$5:$T1508),"")</f>
        <v>Nyeri pangkal paha kanan saat menapakkan kaki</v>
      </c>
      <c r="S449" s="104" t="str">
        <f t="array" ref="S449">ifna(xlookup(L449,'🙎‍♂️ Pasien'!$G$5:$G1508,'🙎‍♂️ Pasien'!$U$5:$U1508),"")</f>
        <v>Kerja kantor</v>
      </c>
      <c r="T449" s="97" t="s">
        <v>59</v>
      </c>
      <c r="U449" s="105" t="s">
        <v>60</v>
      </c>
      <c r="V449" s="101"/>
      <c r="W449" s="106" t="b">
        <v>1</v>
      </c>
      <c r="X449" s="107"/>
      <c r="Y449" s="108"/>
    </row>
    <row r="450" ht="22.5" customHeight="1">
      <c r="A450" s="96"/>
      <c r="B450" s="97" t="s">
        <v>85</v>
      </c>
      <c r="C450" s="98" t="str">
        <f t="array" ref="C450">IFNA(XLOOKUP(J450,'⚙️ Pengaturan'!$H$5:$H1508,'⚙️ Pengaturan'!$I$5:$I1508),"")</f>
        <v>TIM Y</v>
      </c>
      <c r="D450" s="97" t="s">
        <v>54</v>
      </c>
      <c r="E450" s="99">
        <v>45956.0</v>
      </c>
      <c r="F450" s="100" t="str">
        <f t="shared" si="1"/>
        <v>2025</v>
      </c>
      <c r="G450" s="100" t="str">
        <f t="shared" si="2"/>
        <v>10Okt</v>
      </c>
      <c r="H450" s="100" t="str">
        <f t="shared" si="3"/>
        <v>Minggu</v>
      </c>
      <c r="I450" s="97" t="s">
        <v>93</v>
      </c>
      <c r="J450" s="97" t="s">
        <v>107</v>
      </c>
      <c r="K450" s="97" t="s">
        <v>57</v>
      </c>
      <c r="L450" s="101" t="s">
        <v>382</v>
      </c>
      <c r="M450" s="102" t="str">
        <f>IFNA(VLOOKUP(L450,'🙎‍♂️ Pasien'!G:V,2,FALSE),"")</f>
        <v>D6925037525</v>
      </c>
      <c r="N450" s="103">
        <f>IFNA(VLOOKUP(L450,'🙎‍♂️ Pasien'!G:L,3,FALSE),"")</f>
        <v>57</v>
      </c>
      <c r="O450" s="104" t="str">
        <f>IFNA(VLOOKUP(L450,'🙎‍♂️ Pasien'!G:V,6,FALSE),"")</f>
        <v>PEREMPUAN</v>
      </c>
      <c r="P450" s="104" t="str">
        <f>IFNA(VLOOKUP(L450,'🙎‍♂️ Pasien'!G:V,12,FALSE),"")</f>
        <v>ISLAM</v>
      </c>
      <c r="Q450" s="104" t="str">
        <f>IFNA(VLOOKUP(L450:L1508,'🙎‍♂️ Pasien'!G:V,13,FALSE),"")</f>
        <v>RUMAH TANGGA</v>
      </c>
      <c r="R450" s="104" t="str">
        <f t="array" ref="R450">ifna(xlookup(L450,'🙎‍♂️ Pasien'!$G$5:$G1508,'🙎‍♂️ Pasien'!$T$5:$T1508),"")</f>
        <v>BAHU DAN KAKI</v>
      </c>
      <c r="S450" s="104" t="str">
        <f t="array" ref="S450">ifna(xlookup(L450,'🙎‍♂️ Pasien'!$G$5:$G1508,'🙎‍♂️ Pasien'!$U$5:$U1508),"")</f>
        <v>-</v>
      </c>
      <c r="T450" s="97" t="s">
        <v>59</v>
      </c>
      <c r="U450" s="105" t="s">
        <v>60</v>
      </c>
      <c r="V450" s="101" t="s">
        <v>383</v>
      </c>
      <c r="W450" s="106" t="b">
        <v>1</v>
      </c>
      <c r="X450" s="107"/>
      <c r="Y450" s="108"/>
    </row>
    <row r="451" ht="22.5" customHeight="1">
      <c r="A451" s="96"/>
      <c r="B451" s="97" t="s">
        <v>85</v>
      </c>
      <c r="C451" s="98" t="str">
        <f t="array" ref="C451">IFNA(XLOOKUP(J451,'⚙️ Pengaturan'!$H$5:$H1508,'⚙️ Pengaturan'!$I$5:$I1508),"")</f>
        <v>TIM Y</v>
      </c>
      <c r="D451" s="97" t="s">
        <v>54</v>
      </c>
      <c r="E451" s="99">
        <v>45956.0</v>
      </c>
      <c r="F451" s="100" t="str">
        <f t="shared" si="1"/>
        <v>2025</v>
      </c>
      <c r="G451" s="100" t="str">
        <f t="shared" si="2"/>
        <v>10Okt</v>
      </c>
      <c r="H451" s="100" t="str">
        <f t="shared" si="3"/>
        <v>Minggu</v>
      </c>
      <c r="I451" s="97" t="s">
        <v>93</v>
      </c>
      <c r="J451" s="97" t="s">
        <v>88</v>
      </c>
      <c r="K451" s="97" t="s">
        <v>63</v>
      </c>
      <c r="L451" s="101" t="s">
        <v>325</v>
      </c>
      <c r="M451" s="102" t="str">
        <f>IFNA(VLOOKUP(L451,'🙎‍♂️ Pasien'!G:V,2,FALSE),"")</f>
        <v>M9825103838</v>
      </c>
      <c r="N451" s="103">
        <f>IFNA(VLOOKUP(L451,'🙎‍♂️ Pasien'!G:L,3,FALSE),"")</f>
        <v>27</v>
      </c>
      <c r="O451" s="104" t="str">
        <f>IFNA(VLOOKUP(L451,'🙎‍♂️ Pasien'!G:V,6,FALSE),"")</f>
        <v>LAKI-LAKI</v>
      </c>
      <c r="P451" s="104" t="str">
        <f>IFNA(VLOOKUP(L451,'🙎‍♂️ Pasien'!G:V,12,FALSE),"")</f>
        <v>ISLAM</v>
      </c>
      <c r="Q451" s="104" t="str">
        <f>IFNA(VLOOKUP(L451:L1508,'🙎‍♂️ Pasien'!G:V,13,FALSE),"")</f>
        <v>MAHASISWA</v>
      </c>
      <c r="R451" s="104" t="str">
        <f t="array" ref="R451">ifna(xlookup(L451,'🙎‍♂️ Pasien'!$G$5:$G1508,'🙎‍♂️ Pasien'!$T$5:$T1508),"")</f>
        <v>KAKI</v>
      </c>
      <c r="S451" s="104" t="str">
        <f t="array" ref="S451">ifna(xlookup(L451,'🙎‍♂️ Pasien'!$G$5:$G1508,'🙎‍♂️ Pasien'!$U$5:$U1508),"")</f>
        <v>-</v>
      </c>
      <c r="T451" s="97" t="s">
        <v>67</v>
      </c>
      <c r="U451" s="105">
        <v>3.0</v>
      </c>
      <c r="V451" s="101" t="s">
        <v>384</v>
      </c>
      <c r="W451" s="106" t="b">
        <v>1</v>
      </c>
      <c r="X451" s="107"/>
      <c r="Y451" s="108"/>
    </row>
    <row r="452" ht="22.5" customHeight="1">
      <c r="A452" s="96"/>
      <c r="B452" s="97" t="s">
        <v>85</v>
      </c>
      <c r="C452" s="98" t="str">
        <f t="array" ref="C452">IFNA(XLOOKUP(J452,'⚙️ Pengaturan'!$H$5:$H1508,'⚙️ Pengaturan'!$I$5:$I1508),"")</f>
        <v>TIM Y</v>
      </c>
      <c r="D452" s="97" t="s">
        <v>54</v>
      </c>
      <c r="E452" s="99">
        <v>45956.0</v>
      </c>
      <c r="F452" s="100" t="str">
        <f t="shared" si="1"/>
        <v>2025</v>
      </c>
      <c r="G452" s="100" t="str">
        <f t="shared" si="2"/>
        <v>10Okt</v>
      </c>
      <c r="H452" s="100" t="str">
        <f t="shared" si="3"/>
        <v>Minggu</v>
      </c>
      <c r="I452" s="97" t="s">
        <v>95</v>
      </c>
      <c r="J452" s="97" t="s">
        <v>91</v>
      </c>
      <c r="K452" s="97" t="s">
        <v>63</v>
      </c>
      <c r="L452" s="101" t="s">
        <v>282</v>
      </c>
      <c r="M452" s="102" t="str">
        <f>IFNA(VLOOKUP(L452,'🙎‍♂️ Pasien'!G:V,2,FALSE),"")</f>
        <v>E9425102074</v>
      </c>
      <c r="N452" s="103">
        <f>IFNA(VLOOKUP(L452,'🙎‍♂️ Pasien'!G:L,3,FALSE),"")</f>
        <v>32</v>
      </c>
      <c r="O452" s="104" t="str">
        <f>IFNA(VLOOKUP(L452,'🙎‍♂️ Pasien'!G:V,6,FALSE),"")</f>
        <v>PEREMPUAN</v>
      </c>
      <c r="P452" s="104" t="str">
        <f>IFNA(VLOOKUP(L452,'🙎‍♂️ Pasien'!G:V,12,FALSE),"")</f>
        <v>KATOLIK</v>
      </c>
      <c r="Q452" s="104" t="str">
        <f>IFNA(VLOOKUP(L452:L1508,'🙎‍♂️ Pasien'!G:V,13,FALSE),"")</f>
        <v>PEGAWAI SWASTA</v>
      </c>
      <c r="R452" s="104" t="str">
        <f t="array" ref="R452">ifna(xlookup(L452,'🙎‍♂️ Pasien'!$G$5:$G1508,'🙎‍♂️ Pasien'!$T$5:$T1508),"")</f>
        <v>TENNIS ELBOW</v>
      </c>
      <c r="S452" s="104" t="str">
        <f t="array" ref="S452">ifna(xlookup(L452,'🙎‍♂️ Pasien'!$G$5:$G1508,'🙎‍♂️ Pasien'!$U$5:$U1508),"")</f>
        <v>BADMINTON</v>
      </c>
      <c r="T452" s="97" t="s">
        <v>59</v>
      </c>
      <c r="U452" s="105">
        <v>3.0</v>
      </c>
      <c r="V452" s="101"/>
      <c r="W452" s="106" t="b">
        <v>1</v>
      </c>
      <c r="X452" s="107"/>
      <c r="Y452" s="108"/>
    </row>
    <row r="453" ht="22.5" customHeight="1">
      <c r="A453" s="96"/>
      <c r="B453" s="97" t="s">
        <v>85</v>
      </c>
      <c r="C453" s="98" t="str">
        <f t="array" ref="C453">IFNA(XLOOKUP(J453,'⚙️ Pengaturan'!$H$5:$H1508,'⚙️ Pengaturan'!$I$5:$I1508),"")</f>
        <v>TIM Y</v>
      </c>
      <c r="D453" s="97" t="s">
        <v>54</v>
      </c>
      <c r="E453" s="99">
        <v>45956.0</v>
      </c>
      <c r="F453" s="100" t="str">
        <f t="shared" si="1"/>
        <v>2025</v>
      </c>
      <c r="G453" s="100" t="str">
        <f t="shared" si="2"/>
        <v>10Okt</v>
      </c>
      <c r="H453" s="100" t="str">
        <f t="shared" si="3"/>
        <v>Minggu</v>
      </c>
      <c r="I453" s="97" t="s">
        <v>95</v>
      </c>
      <c r="J453" s="97" t="s">
        <v>88</v>
      </c>
      <c r="K453" s="97" t="s">
        <v>69</v>
      </c>
      <c r="L453" s="101" t="s">
        <v>323</v>
      </c>
      <c r="M453" s="102" t="str">
        <f>IFNA(VLOOKUP(L453,'🙎‍♂️ Pasien'!G:V,2,FALSE),"")</f>
        <v>E0025103200</v>
      </c>
      <c r="N453" s="103">
        <f>IFNA(VLOOKUP(L453,'🙎‍♂️ Pasien'!G:L,3,FALSE),"")</f>
        <v>26</v>
      </c>
      <c r="O453" s="104" t="str">
        <f>IFNA(VLOOKUP(L453,'🙎‍♂️ Pasien'!G:V,6,FALSE),"")</f>
        <v>LAKI-LAKI</v>
      </c>
      <c r="P453" s="104" t="str">
        <f>IFNA(VLOOKUP(L453,'🙎‍♂️ Pasien'!G:V,12,FALSE),"")</f>
        <v>PROTESTAN</v>
      </c>
      <c r="Q453" s="104" t="str">
        <f>IFNA(VLOOKUP(L453:L1508,'🙎‍♂️ Pasien'!G:V,13,FALSE),"")</f>
        <v>WIRASWAATA</v>
      </c>
      <c r="R453" s="104" t="str">
        <f t="array" ref="R453">ifna(xlookup(L453,'🙎‍♂️ Pasien'!$G$5:$G1508,'🙎‍♂️ Pasien'!$T$5:$T1508),"")</f>
        <v>HEEL PAIN</v>
      </c>
      <c r="S453" s="104" t="str">
        <f t="array" ref="S453">ifna(xlookup(L453,'🙎‍♂️ Pasien'!$G$5:$G1508,'🙎‍♂️ Pasien'!$U$5:$U1508),"")</f>
        <v>MINI SOCCER, RUNNING</v>
      </c>
      <c r="T453" s="97" t="s">
        <v>59</v>
      </c>
      <c r="U453" s="105" t="s">
        <v>60</v>
      </c>
      <c r="V453" s="101"/>
      <c r="W453" s="106" t="b">
        <v>1</v>
      </c>
      <c r="X453" s="107"/>
      <c r="Y453" s="108"/>
    </row>
    <row r="454" ht="22.5" customHeight="1">
      <c r="A454" s="96"/>
      <c r="B454" s="97" t="s">
        <v>85</v>
      </c>
      <c r="C454" s="98" t="str">
        <f t="array" ref="C454">IFNA(XLOOKUP(J454,'⚙️ Pengaturan'!$H$5:$H1508,'⚙️ Pengaturan'!$I$5:$I1508),"")</f>
        <v>TIM Y</v>
      </c>
      <c r="D454" s="97" t="s">
        <v>54</v>
      </c>
      <c r="E454" s="99">
        <v>45956.0</v>
      </c>
      <c r="F454" s="100" t="str">
        <f t="shared" si="1"/>
        <v>2025</v>
      </c>
      <c r="G454" s="100" t="str">
        <f t="shared" si="2"/>
        <v>10Okt</v>
      </c>
      <c r="H454" s="100" t="str">
        <f t="shared" si="3"/>
        <v>Minggu</v>
      </c>
      <c r="I454" s="97" t="s">
        <v>95</v>
      </c>
      <c r="J454" s="97" t="s">
        <v>107</v>
      </c>
      <c r="K454" s="97" t="s">
        <v>57</v>
      </c>
      <c r="L454" s="101" t="s">
        <v>385</v>
      </c>
      <c r="M454" s="102" t="str">
        <f>IFNA(VLOOKUP(L454,'🙎‍♂️ Pasien'!G:V,2,FALSE),"")</f>
        <v>O7825104730</v>
      </c>
      <c r="N454" s="103">
        <f>IFNA(VLOOKUP(L454,'🙎‍♂️ Pasien'!G:L,3,FALSE),"")</f>
        <v>48</v>
      </c>
      <c r="O454" s="104" t="str">
        <f>IFNA(VLOOKUP(L454,'🙎‍♂️ Pasien'!G:V,6,FALSE),"")</f>
        <v>PEREMPUAN</v>
      </c>
      <c r="P454" s="104" t="str">
        <f>IFNA(VLOOKUP(L454,'🙎‍♂️ Pasien'!G:V,12,FALSE),"")</f>
        <v>KATOLIK</v>
      </c>
      <c r="Q454" s="104" t="str">
        <f>IFNA(VLOOKUP(L454:L1508,'🙎‍♂️ Pasien'!G:V,13,FALSE),"")</f>
        <v>IBU RUMAH TANGGA</v>
      </c>
      <c r="R454" s="104" t="str">
        <f t="array" ref="R454">ifna(xlookup(L454,'🙎‍♂️ Pasien'!$G$5:$G1508,'🙎‍♂️ Pasien'!$T$5:$T1508),"")</f>
        <v>SARAF KEJEPIT</v>
      </c>
      <c r="S454" s="104" t="str">
        <f t="array" ref="S454">ifna(xlookup(L454,'🙎‍♂️ Pasien'!$G$5:$G1508,'🙎‍♂️ Pasien'!$U$5:$U1508),"")</f>
        <v>NONTON</v>
      </c>
      <c r="T454" s="97" t="s">
        <v>59</v>
      </c>
      <c r="U454" s="105" t="s">
        <v>60</v>
      </c>
      <c r="V454" s="101"/>
      <c r="W454" s="106" t="b">
        <v>1</v>
      </c>
      <c r="X454" s="107"/>
      <c r="Y454" s="108"/>
    </row>
    <row r="455" ht="22.5" customHeight="1">
      <c r="A455" s="96"/>
      <c r="B455" s="97" t="s">
        <v>85</v>
      </c>
      <c r="C455" s="98" t="str">
        <f t="array" ref="C455">IFNA(XLOOKUP(J455,'⚙️ Pengaturan'!$H$5:$H1508,'⚙️ Pengaturan'!$I$5:$I1508),"")</f>
        <v>TIM Y</v>
      </c>
      <c r="D455" s="97" t="s">
        <v>54</v>
      </c>
      <c r="E455" s="99">
        <v>45956.0</v>
      </c>
      <c r="F455" s="100" t="str">
        <f t="shared" si="1"/>
        <v>2025</v>
      </c>
      <c r="G455" s="100" t="str">
        <f t="shared" si="2"/>
        <v>10Okt</v>
      </c>
      <c r="H455" s="100" t="str">
        <f t="shared" si="3"/>
        <v>Minggu</v>
      </c>
      <c r="I455" s="97" t="s">
        <v>99</v>
      </c>
      <c r="J455" s="97" t="s">
        <v>107</v>
      </c>
      <c r="K455" s="97" t="s">
        <v>63</v>
      </c>
      <c r="L455" s="101" t="s">
        <v>313</v>
      </c>
      <c r="M455" s="102" t="str">
        <f>IFNA(VLOOKUP(L455,'🙎‍♂️ Pasien'!G:V,2,FALSE),"")</f>
        <v>K9925107744</v>
      </c>
      <c r="N455" s="103">
        <f>IFNA(VLOOKUP(L455,'🙎‍♂️ Pasien'!G:L,3,FALSE),"")</f>
        <v>26</v>
      </c>
      <c r="O455" s="104" t="str">
        <f>IFNA(VLOOKUP(L455,'🙎‍♂️ Pasien'!G:V,6,FALSE),"")</f>
        <v>PEREMPUAN</v>
      </c>
      <c r="P455" s="104" t="str">
        <f>IFNA(VLOOKUP(L455,'🙎‍♂️ Pasien'!G:V,12,FALSE),"")</f>
        <v>KATOLIK</v>
      </c>
      <c r="Q455" s="104" t="str">
        <f>IFNA(VLOOKUP(L455:L1508,'🙎‍♂️ Pasien'!G:V,13,FALSE),"")</f>
        <v>SWASTA</v>
      </c>
      <c r="R455" s="104" t="str">
        <f t="array" ref="R455">ifna(xlookup(L455,'🙎‍♂️ Pasien'!$G$5:$G1508,'🙎‍♂️ Pasien'!$T$5:$T1508),"")</f>
        <v>SAKIT BELAKANG</v>
      </c>
      <c r="S455" s="104" t="str">
        <f t="array" ref="S455">ifna(xlookup(L455,'🙎‍♂️ Pasien'!$G$5:$G1508,'🙎‍♂️ Pasien'!$U$5:$U1508),"")</f>
        <v>TIDAK ADA</v>
      </c>
      <c r="T455" s="97" t="s">
        <v>59</v>
      </c>
      <c r="U455" s="105">
        <v>2.0</v>
      </c>
      <c r="V455" s="101"/>
      <c r="W455" s="106" t="b">
        <v>1</v>
      </c>
      <c r="X455" s="107"/>
      <c r="Y455" s="108"/>
    </row>
    <row r="456" ht="22.5" customHeight="1">
      <c r="A456" s="96"/>
      <c r="B456" s="97" t="s">
        <v>53</v>
      </c>
      <c r="C456" s="98" t="str">
        <f t="array" ref="C456">IFNA(XLOOKUP(J456,'⚙️ Pengaturan'!$H$5:$H1508,'⚙️ Pengaturan'!$I$5:$I1508),"")</f>
        <v>MANAJEMEN</v>
      </c>
      <c r="D456" s="97" t="s">
        <v>54</v>
      </c>
      <c r="E456" s="99">
        <v>45957.0</v>
      </c>
      <c r="F456" s="100" t="str">
        <f t="shared" si="1"/>
        <v>2025</v>
      </c>
      <c r="G456" s="100" t="str">
        <f t="shared" si="2"/>
        <v>10Okt</v>
      </c>
      <c r="H456" s="100" t="str">
        <f t="shared" si="3"/>
        <v>Senin</v>
      </c>
      <c r="I456" s="97" t="s">
        <v>55</v>
      </c>
      <c r="J456" s="97" t="s">
        <v>101</v>
      </c>
      <c r="K456" s="97" t="s">
        <v>63</v>
      </c>
      <c r="L456" s="101" t="s">
        <v>102</v>
      </c>
      <c r="M456" s="102" t="str">
        <f>IFNA(VLOOKUP(L456,'🙎‍♂️ Pasien'!G:V,2,FALSE),"")</f>
        <v>B8525075344</v>
      </c>
      <c r="N456" s="103">
        <f>IFNA(VLOOKUP(L456,'🙎‍♂️ Pasien'!G:L,3,FALSE),"")</f>
        <v>40</v>
      </c>
      <c r="O456" s="104" t="str">
        <f>IFNA(VLOOKUP(L456,'🙎‍♂️ Pasien'!G:V,6,FALSE),"")</f>
        <v>LAKI-LAKI</v>
      </c>
      <c r="P456" s="104" t="str">
        <f>IFNA(VLOOKUP(L456,'🙎‍♂️ Pasien'!G:V,12,FALSE),"")</f>
        <v>ISLAM</v>
      </c>
      <c r="Q456" s="104" t="str">
        <f>IFNA(VLOOKUP(L456:L1508,'🙎‍♂️ Pasien'!G:V,13,FALSE),"")</f>
        <v>WIRAUSAHA</v>
      </c>
      <c r="R456" s="104" t="str">
        <f t="array" ref="R456">ifna(xlookup(L456,'🙎‍♂️ Pasien'!$G$5:$G1508,'🙎‍♂️ Pasien'!$T$5:$T1508),"")</f>
        <v>NYERI LUTUT</v>
      </c>
      <c r="S456" s="104" t="str">
        <f t="array" ref="S456">ifna(xlookup(L456,'🙎‍♂️ Pasien'!$G$5:$G1508,'🙎‍♂️ Pasien'!$U$5:$U1508),"")</f>
        <v>JOGGING</v>
      </c>
      <c r="T456" s="97" t="s">
        <v>59</v>
      </c>
      <c r="U456" s="105">
        <v>6.0</v>
      </c>
      <c r="V456" s="101" t="s">
        <v>270</v>
      </c>
      <c r="W456" s="106" t="b">
        <v>1</v>
      </c>
      <c r="X456" s="107"/>
      <c r="Y456" s="108"/>
    </row>
    <row r="457" ht="22.5" customHeight="1">
      <c r="A457" s="96"/>
      <c r="B457" s="97" t="s">
        <v>53</v>
      </c>
      <c r="C457" s="98" t="str">
        <f t="array" ref="C457">IFNA(XLOOKUP(J457,'⚙️ Pengaturan'!$H$5:$H1508,'⚙️ Pengaturan'!$I$5:$I1508),"")</f>
        <v>TIM Y</v>
      </c>
      <c r="D457" s="97" t="s">
        <v>54</v>
      </c>
      <c r="E457" s="99">
        <v>45957.0</v>
      </c>
      <c r="F457" s="100" t="str">
        <f t="shared" si="1"/>
        <v>2025</v>
      </c>
      <c r="G457" s="100" t="str">
        <f t="shared" si="2"/>
        <v>10Okt</v>
      </c>
      <c r="H457" s="100" t="str">
        <f t="shared" si="3"/>
        <v>Senin</v>
      </c>
      <c r="I457" s="97" t="s">
        <v>65</v>
      </c>
      <c r="J457" s="97" t="s">
        <v>88</v>
      </c>
      <c r="K457" s="97" t="s">
        <v>57</v>
      </c>
      <c r="L457" s="101" t="s">
        <v>386</v>
      </c>
      <c r="M457" s="102" t="str">
        <f>IFNA(VLOOKUP(L457,'🙎‍♂️ Pasien'!G:V,2,FALSE),"")</f>
        <v>B7325109155</v>
      </c>
      <c r="N457" s="103">
        <f>IFNA(VLOOKUP(L457,'🙎‍♂️ Pasien'!G:L,3,FALSE),"")</f>
        <v>53</v>
      </c>
      <c r="O457" s="104" t="str">
        <f>IFNA(VLOOKUP(L457,'🙎‍♂️ Pasien'!G:V,6,FALSE),"")</f>
        <v>LAKI-LAKI</v>
      </c>
      <c r="P457" s="104" t="str">
        <f>IFNA(VLOOKUP(L457,'🙎‍♂️ Pasien'!G:V,12,FALSE),"")</f>
        <v>ISLAM</v>
      </c>
      <c r="Q457" s="104" t="str">
        <f>IFNA(VLOOKUP(L457:L1508,'🙎‍♂️ Pasien'!G:V,13,FALSE),"")</f>
        <v>WIRASUASTA</v>
      </c>
      <c r="R457" s="104" t="str">
        <f t="array" ref="R457">ifna(xlookup(L457,'🙎‍♂️ Pasien'!$G$5:$G1508,'🙎‍♂️ Pasien'!$T$5:$T1508),"")</f>
        <v>NYERI LUTUT</v>
      </c>
      <c r="S457" s="104" t="str">
        <f t="array" ref="S457">ifna(xlookup(L457,'🙎‍♂️ Pasien'!$G$5:$G1508,'🙎‍♂️ Pasien'!$U$5:$U1508),"")</f>
        <v>BADMINTON</v>
      </c>
      <c r="T457" s="97" t="s">
        <v>59</v>
      </c>
      <c r="U457" s="105" t="s">
        <v>60</v>
      </c>
      <c r="V457" s="101"/>
      <c r="W457" s="106" t="b">
        <v>1</v>
      </c>
      <c r="X457" s="107"/>
      <c r="Y457" s="108"/>
    </row>
    <row r="458" ht="22.5" customHeight="1">
      <c r="A458" s="96"/>
      <c r="B458" s="97" t="s">
        <v>53</v>
      </c>
      <c r="C458" s="98" t="str">
        <f t="array" ref="C458">IFNA(XLOOKUP(J458,'⚙️ Pengaturan'!$H$5:$H1508,'⚙️ Pengaturan'!$I$5:$I1508),"")</f>
        <v>TIM Y</v>
      </c>
      <c r="D458" s="97" t="s">
        <v>54</v>
      </c>
      <c r="E458" s="99">
        <v>45957.0</v>
      </c>
      <c r="F458" s="100" t="str">
        <f t="shared" si="1"/>
        <v>2025</v>
      </c>
      <c r="G458" s="100" t="str">
        <f t="shared" si="2"/>
        <v>10Okt</v>
      </c>
      <c r="H458" s="100" t="str">
        <f t="shared" si="3"/>
        <v>Senin</v>
      </c>
      <c r="I458" s="97" t="s">
        <v>65</v>
      </c>
      <c r="J458" s="97" t="s">
        <v>91</v>
      </c>
      <c r="K458" s="97" t="s">
        <v>63</v>
      </c>
      <c r="L458" s="101" t="s">
        <v>385</v>
      </c>
      <c r="M458" s="102" t="str">
        <f>IFNA(VLOOKUP(L458,'🙎‍♂️ Pasien'!G:V,2,FALSE),"")</f>
        <v>O7825104730</v>
      </c>
      <c r="N458" s="103">
        <f>IFNA(VLOOKUP(L458,'🙎‍♂️ Pasien'!G:L,3,FALSE),"")</f>
        <v>48</v>
      </c>
      <c r="O458" s="104" t="str">
        <f>IFNA(VLOOKUP(L458,'🙎‍♂️ Pasien'!G:V,6,FALSE),"")</f>
        <v>PEREMPUAN</v>
      </c>
      <c r="P458" s="104" t="str">
        <f>IFNA(VLOOKUP(L458,'🙎‍♂️ Pasien'!G:V,12,FALSE),"")</f>
        <v>KATOLIK</v>
      </c>
      <c r="Q458" s="104" t="str">
        <f>IFNA(VLOOKUP(L458:L1508,'🙎‍♂️ Pasien'!G:V,13,FALSE),"")</f>
        <v>IBU RUMAH TANGGA</v>
      </c>
      <c r="R458" s="104" t="str">
        <f t="array" ref="R458">ifna(xlookup(L458,'🙎‍♂️ Pasien'!$G$5:$G1508,'🙎‍♂️ Pasien'!$T$5:$T1508),"")</f>
        <v>SARAF KEJEPIT</v>
      </c>
      <c r="S458" s="104" t="str">
        <f t="array" ref="S458">ifna(xlookup(L458,'🙎‍♂️ Pasien'!$G$5:$G1508,'🙎‍♂️ Pasien'!$U$5:$U1508),"")</f>
        <v>NONTON</v>
      </c>
      <c r="T458" s="97" t="s">
        <v>59</v>
      </c>
      <c r="U458" s="105">
        <v>1.0</v>
      </c>
      <c r="V458" s="101"/>
      <c r="W458" s="106" t="b">
        <v>1</v>
      </c>
      <c r="X458" s="107"/>
      <c r="Y458" s="108"/>
    </row>
    <row r="459" ht="22.5" customHeight="1">
      <c r="A459" s="96"/>
      <c r="B459" s="97" t="s">
        <v>53</v>
      </c>
      <c r="C459" s="98" t="str">
        <f t="array" ref="C459">IFNA(XLOOKUP(J459,'⚙️ Pengaturan'!$H$5:$H1508,'⚙️ Pengaturan'!$I$5:$I1508),"")</f>
        <v>TIM Y</v>
      </c>
      <c r="D459" s="97" t="s">
        <v>54</v>
      </c>
      <c r="E459" s="99">
        <v>45957.0</v>
      </c>
      <c r="F459" s="100" t="str">
        <f t="shared" si="1"/>
        <v>2025</v>
      </c>
      <c r="G459" s="100" t="str">
        <f t="shared" si="2"/>
        <v>10Okt</v>
      </c>
      <c r="H459" s="100" t="str">
        <f t="shared" si="3"/>
        <v>Senin</v>
      </c>
      <c r="I459" s="97" t="s">
        <v>65</v>
      </c>
      <c r="J459" s="97" t="s">
        <v>91</v>
      </c>
      <c r="K459" s="97" t="s">
        <v>135</v>
      </c>
      <c r="L459" s="101" t="s">
        <v>377</v>
      </c>
      <c r="M459" s="102" t="str">
        <f>IFNA(VLOOKUP(L459,'🙎‍♂️ Pasien'!G:V,2,FALSE),"")</f>
        <v>W0825106980</v>
      </c>
      <c r="N459" s="103">
        <f>IFNA(VLOOKUP(L459,'🙎‍♂️ Pasien'!G:L,3,FALSE),"")</f>
        <v>18</v>
      </c>
      <c r="O459" s="104" t="str">
        <f>IFNA(VLOOKUP(L459,'🙎‍♂️ Pasien'!G:V,6,FALSE),"")</f>
        <v>LAKI-LAKI</v>
      </c>
      <c r="P459" s="104" t="str">
        <f>IFNA(VLOOKUP(L459,'🙎‍♂️ Pasien'!G:V,12,FALSE),"")</f>
        <v>ISLAM</v>
      </c>
      <c r="Q459" s="104" t="str">
        <f>IFNA(VLOOKUP(L459:L1508,'🙎‍♂️ Pasien'!G:V,13,FALSE),"")</f>
        <v>PELAJAR</v>
      </c>
      <c r="R459" s="104" t="str">
        <f t="array" ref="R459">ifna(xlookup(L459,'🙎‍♂️ Pasien'!$G$5:$G1508,'🙎‍♂️ Pasien'!$T$5:$T1508),"")</f>
        <v>SKOLIOSIS</v>
      </c>
      <c r="S459" s="104" t="str">
        <f t="array" ref="S459">ifna(xlookup(L459,'🙎‍♂️ Pasien'!$G$5:$G1508,'🙎‍♂️ Pasien'!$U$5:$U1508),"")</f>
        <v>-</v>
      </c>
      <c r="T459" s="97" t="s">
        <v>67</v>
      </c>
      <c r="U459" s="105" t="s">
        <v>60</v>
      </c>
      <c r="V459" s="101" t="s">
        <v>387</v>
      </c>
      <c r="W459" s="106" t="b">
        <v>1</v>
      </c>
      <c r="X459" s="107"/>
      <c r="Y459" s="108"/>
    </row>
    <row r="460" ht="22.5" customHeight="1">
      <c r="A460" s="96"/>
      <c r="B460" s="97" t="s">
        <v>53</v>
      </c>
      <c r="C460" s="98" t="str">
        <f t="array" ref="C460">IFNA(XLOOKUP(J460,'⚙️ Pengaturan'!$H$5:$H1508,'⚙️ Pengaturan'!$I$5:$I1508),"")</f>
        <v>TIM Y</v>
      </c>
      <c r="D460" s="97" t="s">
        <v>54</v>
      </c>
      <c r="E460" s="99">
        <v>45957.0</v>
      </c>
      <c r="F460" s="100" t="str">
        <f t="shared" si="1"/>
        <v>2025</v>
      </c>
      <c r="G460" s="100" t="str">
        <f t="shared" si="2"/>
        <v>10Okt</v>
      </c>
      <c r="H460" s="100" t="str">
        <f t="shared" si="3"/>
        <v>Senin</v>
      </c>
      <c r="I460" s="97" t="s">
        <v>74</v>
      </c>
      <c r="J460" s="97" t="s">
        <v>88</v>
      </c>
      <c r="K460" s="97" t="s">
        <v>63</v>
      </c>
      <c r="L460" s="101" t="s">
        <v>302</v>
      </c>
      <c r="M460" s="102" t="str">
        <f>IFNA(VLOOKUP(L460,'🙎‍♂️ Pasien'!G:V,2,FALSE),"")</f>
        <v>A9425105994</v>
      </c>
      <c r="N460" s="103">
        <f>IFNA(VLOOKUP(L460,'🙎‍♂️ Pasien'!G:L,3,FALSE),"")</f>
        <v>32</v>
      </c>
      <c r="O460" s="104" t="str">
        <f>IFNA(VLOOKUP(L460,'🙎‍♂️ Pasien'!G:V,6,FALSE),"")</f>
        <v>LAKI-LAKI</v>
      </c>
      <c r="P460" s="104" t="str">
        <f>IFNA(VLOOKUP(L460,'🙎‍♂️ Pasien'!G:V,12,FALSE),"")</f>
        <v>ISLAM</v>
      </c>
      <c r="Q460" s="104" t="str">
        <f>IFNA(VLOOKUP(L460:L1508,'🙎‍♂️ Pasien'!G:V,13,FALSE),"")</f>
        <v>KARYAWAN SWASTA</v>
      </c>
      <c r="R460" s="104" t="str">
        <f t="array" ref="R460">ifna(xlookup(L460,'🙎‍♂️ Pasien'!$G$5:$G1508,'🙎‍♂️ Pasien'!$T$5:$T1508),"")</f>
        <v>LUTUT</v>
      </c>
      <c r="S460" s="104" t="str">
        <f t="array" ref="S460">ifna(xlookup(L460,'🙎‍♂️ Pasien'!$G$5:$G1508,'🙎‍♂️ Pasien'!$U$5:$U1508),"")</f>
        <v>OLAGRAGA</v>
      </c>
      <c r="T460" s="97" t="s">
        <v>59</v>
      </c>
      <c r="U460" s="105">
        <v>4.0</v>
      </c>
      <c r="V460" s="101"/>
      <c r="W460" s="106" t="b">
        <v>1</v>
      </c>
      <c r="X460" s="107"/>
      <c r="Y460" s="108"/>
    </row>
    <row r="461" ht="22.5" customHeight="1">
      <c r="A461" s="96"/>
      <c r="B461" s="97" t="s">
        <v>53</v>
      </c>
      <c r="C461" s="98" t="str">
        <f t="array" ref="C461">IFNA(XLOOKUP(J461,'⚙️ Pengaturan'!$H$5:$H1508,'⚙️ Pengaturan'!$I$5:$I1508),"")</f>
        <v>TIM Y</v>
      </c>
      <c r="D461" s="97" t="s">
        <v>54</v>
      </c>
      <c r="E461" s="99">
        <v>45957.0</v>
      </c>
      <c r="F461" s="100" t="str">
        <f t="shared" si="1"/>
        <v>2025</v>
      </c>
      <c r="G461" s="100" t="str">
        <f t="shared" si="2"/>
        <v>10Okt</v>
      </c>
      <c r="H461" s="100" t="str">
        <f t="shared" si="3"/>
        <v>Senin</v>
      </c>
      <c r="I461" s="97" t="s">
        <v>74</v>
      </c>
      <c r="J461" s="97" t="s">
        <v>91</v>
      </c>
      <c r="K461" s="97" t="s">
        <v>57</v>
      </c>
      <c r="L461" s="101" t="s">
        <v>388</v>
      </c>
      <c r="M461" s="102" t="str">
        <f>IFNA(VLOOKUP(L461,'🙎‍♂️ Pasien'!G:V,2,FALSE),"")</f>
        <v>M7925108167</v>
      </c>
      <c r="N461" s="103">
        <f>IFNA(VLOOKUP(L461,'🙎‍♂️ Pasien'!G:L,3,FALSE),"")</f>
        <v>46</v>
      </c>
      <c r="O461" s="104" t="str">
        <f>IFNA(VLOOKUP(L461,'🙎‍♂️ Pasien'!G:V,6,FALSE),"")</f>
        <v>PEREMPUAN</v>
      </c>
      <c r="P461" s="104" t="str">
        <f>IFNA(VLOOKUP(L461,'🙎‍♂️ Pasien'!G:V,12,FALSE),"")</f>
        <v>ISLAM</v>
      </c>
      <c r="Q461" s="104" t="str">
        <f>IFNA(VLOOKUP(L461:L1508,'🙎‍♂️ Pasien'!G:V,13,FALSE),"")</f>
        <v>IRT</v>
      </c>
      <c r="R461" s="104" t="str">
        <f t="array" ref="R461">ifna(xlookup(L461,'🙎‍♂️ Pasien'!$G$5:$G1508,'🙎‍♂️ Pasien'!$T$5:$T1508),"")</f>
        <v>PINGGANG</v>
      </c>
      <c r="S461" s="104" t="str">
        <f t="array" ref="S461">ifna(xlookup(L461,'🙎‍♂️ Pasien'!$G$5:$G1508,'🙎‍♂️ Pasien'!$U$5:$U1508),"")</f>
        <v>PEKERJAAN RUMAH TANGGA</v>
      </c>
      <c r="T461" s="97" t="s">
        <v>59</v>
      </c>
      <c r="U461" s="105" t="s">
        <v>60</v>
      </c>
      <c r="V461" s="101"/>
      <c r="W461" s="106" t="b">
        <v>1</v>
      </c>
      <c r="X461" s="107"/>
      <c r="Y461" s="108"/>
    </row>
    <row r="462" ht="22.5" customHeight="1">
      <c r="A462" s="96"/>
      <c r="B462" s="97" t="s">
        <v>53</v>
      </c>
      <c r="C462" s="98" t="str">
        <f t="array" ref="C462">IFNA(XLOOKUP(J462,'⚙️ Pengaturan'!$H$5:$H1508,'⚙️ Pengaturan'!$I$5:$I1508),"")</f>
        <v>TIM Y</v>
      </c>
      <c r="D462" s="97" t="s">
        <v>54</v>
      </c>
      <c r="E462" s="99">
        <v>45957.0</v>
      </c>
      <c r="F462" s="100" t="str">
        <f t="shared" si="1"/>
        <v>2025</v>
      </c>
      <c r="G462" s="100" t="str">
        <f t="shared" si="2"/>
        <v>10Okt</v>
      </c>
      <c r="H462" s="100" t="str">
        <f t="shared" si="3"/>
        <v>Senin</v>
      </c>
      <c r="I462" s="97" t="s">
        <v>76</v>
      </c>
      <c r="J462" s="97" t="s">
        <v>91</v>
      </c>
      <c r="K462" s="97" t="s">
        <v>63</v>
      </c>
      <c r="L462" s="101" t="s">
        <v>113</v>
      </c>
      <c r="M462" s="102" t="str">
        <f>IFNA(VLOOKUP(L462,'🙎‍♂️ Pasien'!G:V,2,FALSE),"")</f>
        <v>H5325098176</v>
      </c>
      <c r="N462" s="103">
        <f>IFNA(VLOOKUP(L462,'🙎‍♂️ Pasien'!G:L,3,FALSE),"")</f>
        <v>73</v>
      </c>
      <c r="O462" s="104" t="str">
        <f>IFNA(VLOOKUP(L462,'🙎‍♂️ Pasien'!G:V,6,FALSE),"")</f>
        <v>LAKI-LAKI</v>
      </c>
      <c r="P462" s="104" t="str">
        <f>IFNA(VLOOKUP(L462,'🙎‍♂️ Pasien'!G:V,12,FALSE),"")</f>
        <v>BUDDHA</v>
      </c>
      <c r="Q462" s="104" t="str">
        <f>IFNA(VLOOKUP(L462:L1508,'🙎‍♂️ Pasien'!G:V,13,FALSE),"")</f>
        <v>PENSIUN</v>
      </c>
      <c r="R462" s="104" t="str">
        <f t="array" ref="R462">ifna(xlookup(L462,'🙎‍♂️ Pasien'!$G$5:$G1508,'🙎‍♂️ Pasien'!$T$5:$T1508),"")</f>
        <v>KAKI GAK BISA JONGKOK</v>
      </c>
      <c r="S462" s="104" t="str">
        <f t="array" ref="S462">ifna(xlookup(L462,'🙎‍♂️ Pasien'!$G$5:$G1508,'🙎‍♂️ Pasien'!$U$5:$U1508),"")</f>
        <v>——</v>
      </c>
      <c r="T462" s="97" t="s">
        <v>59</v>
      </c>
      <c r="U462" s="105">
        <v>10.0</v>
      </c>
      <c r="V462" s="101" t="s">
        <v>125</v>
      </c>
      <c r="W462" s="106" t="b">
        <v>1</v>
      </c>
      <c r="X462" s="107"/>
      <c r="Y462" s="108"/>
    </row>
    <row r="463" ht="22.5" customHeight="1">
      <c r="A463" s="96"/>
      <c r="B463" s="97" t="s">
        <v>53</v>
      </c>
      <c r="C463" s="98" t="str">
        <f t="array" ref="C463">IFNA(XLOOKUP(J463,'⚙️ Pengaturan'!$H$5:$H1508,'⚙️ Pengaturan'!$I$5:$I1508),"")</f>
        <v>TIM Y</v>
      </c>
      <c r="D463" s="97" t="s">
        <v>54</v>
      </c>
      <c r="E463" s="99">
        <v>45957.0</v>
      </c>
      <c r="F463" s="100" t="str">
        <f t="shared" si="1"/>
        <v>2025</v>
      </c>
      <c r="G463" s="100" t="str">
        <f t="shared" si="2"/>
        <v>10Okt</v>
      </c>
      <c r="H463" s="100" t="str">
        <f t="shared" si="3"/>
        <v>Senin</v>
      </c>
      <c r="I463" s="97" t="s">
        <v>83</v>
      </c>
      <c r="J463" s="97" t="s">
        <v>91</v>
      </c>
      <c r="K463" s="97" t="s">
        <v>63</v>
      </c>
      <c r="L463" s="101" t="s">
        <v>266</v>
      </c>
      <c r="M463" s="102" t="str">
        <f>IFNA(VLOOKUP(L463,'🙎‍♂️ Pasien'!G:V,2,FALSE),"")</f>
        <v>R8125102726</v>
      </c>
      <c r="N463" s="103">
        <f>IFNA(VLOOKUP(L463,'🙎‍♂️ Pasien'!G:L,3,FALSE),"")</f>
        <v>45</v>
      </c>
      <c r="O463" s="104" t="str">
        <f>IFNA(VLOOKUP(L463,'🙎‍♂️ Pasien'!G:V,6,FALSE),"")</f>
        <v>PEREMPUAN</v>
      </c>
      <c r="P463" s="104" t="str">
        <f>IFNA(VLOOKUP(L463,'🙎‍♂️ Pasien'!G:V,12,FALSE),"")</f>
        <v>ISLAM</v>
      </c>
      <c r="Q463" s="104" t="str">
        <f>IFNA(VLOOKUP(L463:L1508,'🙎‍♂️ Pasien'!G:V,13,FALSE),"")</f>
        <v>IBU RUMAH TANGGA</v>
      </c>
      <c r="R463" s="104" t="str">
        <f t="array" ref="R463">ifna(xlookup(L463,'🙎‍♂️ Pasien'!$G$5:$G1508,'🙎‍♂️ Pasien'!$T$5:$T1508),"")</f>
        <v>SAKIT KAKI</v>
      </c>
      <c r="S463" s="104" t="str">
        <f t="array" ref="S463">ifna(xlookup(L463,'🙎‍♂️ Pasien'!$G$5:$G1508,'🙎‍♂️ Pasien'!$U$5:$U1508),"")</f>
        <v>JAIT</v>
      </c>
      <c r="T463" s="97" t="s">
        <v>59</v>
      </c>
      <c r="U463" s="105">
        <v>4.0</v>
      </c>
      <c r="V463" s="101"/>
      <c r="W463" s="106" t="b">
        <v>1</v>
      </c>
      <c r="X463" s="107"/>
      <c r="Y463" s="108"/>
    </row>
    <row r="464" ht="22.5" customHeight="1">
      <c r="A464" s="96"/>
      <c r="B464" s="97" t="s">
        <v>85</v>
      </c>
      <c r="C464" s="98" t="str">
        <f t="array" ref="C464">IFNA(XLOOKUP(J464,'⚙️ Pengaturan'!$H$5:$H1508,'⚙️ Pengaturan'!$I$5:$I1508),"")</f>
        <v>TIM A</v>
      </c>
      <c r="D464" s="97" t="s">
        <v>86</v>
      </c>
      <c r="E464" s="99">
        <v>45957.0</v>
      </c>
      <c r="F464" s="100" t="str">
        <f t="shared" si="1"/>
        <v>2025</v>
      </c>
      <c r="G464" s="100" t="str">
        <f t="shared" si="2"/>
        <v>10Okt</v>
      </c>
      <c r="H464" s="100" t="str">
        <f t="shared" si="3"/>
        <v>Senin</v>
      </c>
      <c r="I464" s="97" t="s">
        <v>87</v>
      </c>
      <c r="J464" s="97" t="s">
        <v>62</v>
      </c>
      <c r="K464" s="97" t="s">
        <v>57</v>
      </c>
      <c r="L464" s="101" t="s">
        <v>389</v>
      </c>
      <c r="M464" s="102" t="str">
        <f>IFNA(VLOOKUP(L464,'🙎‍♂️ Pasien'!G:V,2,FALSE),"")</f>
        <v>A0825042223</v>
      </c>
      <c r="N464" s="103">
        <f>IFNA(VLOOKUP(L464,'🙎‍♂️ Pasien'!G:L,3,FALSE),"")</f>
        <v>18</v>
      </c>
      <c r="O464" s="104" t="str">
        <f>IFNA(VLOOKUP(L464,'🙎‍♂️ Pasien'!G:V,6,FALSE),"")</f>
        <v>LAKI-LAKI</v>
      </c>
      <c r="P464" s="104" t="str">
        <f>IFNA(VLOOKUP(L464,'🙎‍♂️ Pasien'!G:V,12,FALSE),"")</f>
        <v>ISLAM</v>
      </c>
      <c r="Q464" s="104" t="str">
        <f>IFNA(VLOOKUP(L464:L1508,'🙎‍♂️ Pasien'!G:V,13,FALSE),"")</f>
        <v>PELAJAR</v>
      </c>
      <c r="R464" s="104" t="str">
        <f t="array" ref="R464">ifna(xlookup(L464,'🙎‍♂️ Pasien'!$G$5:$G1508,'🙎‍♂️ Pasien'!$T$5:$T1508),"")</f>
        <v>NDA BISA MENGANGKAT BEBAN BERAT DI BAGIAN SIKU TANGAN KIRI</v>
      </c>
      <c r="S464" s="104" t="str">
        <f t="array" ref="S464">ifna(xlookup(L464,'🙎‍♂️ Pasien'!$G$5:$G1508,'🙎‍♂️ Pasien'!$U$5:$U1508),"")</f>
        <v>OLAHRAGA</v>
      </c>
      <c r="T464" s="97" t="s">
        <v>59</v>
      </c>
      <c r="U464" s="105" t="s">
        <v>60</v>
      </c>
      <c r="V464" s="101"/>
      <c r="W464" s="106" t="b">
        <v>1</v>
      </c>
      <c r="X464" s="107"/>
      <c r="Y464" s="108"/>
    </row>
    <row r="465" ht="22.5" customHeight="1">
      <c r="A465" s="96"/>
      <c r="B465" s="97" t="s">
        <v>85</v>
      </c>
      <c r="C465" s="98" t="str">
        <f t="array" ref="C465">IFNA(XLOOKUP(J465,'⚙️ Pengaturan'!$H$5:$H1508,'⚙️ Pengaturan'!$I$5:$I1508),"")</f>
        <v>TIM Y</v>
      </c>
      <c r="D465" s="97" t="s">
        <v>86</v>
      </c>
      <c r="E465" s="99">
        <v>45957.0</v>
      </c>
      <c r="F465" s="100" t="str">
        <f t="shared" si="1"/>
        <v>2025</v>
      </c>
      <c r="G465" s="100" t="str">
        <f t="shared" si="2"/>
        <v>10Okt</v>
      </c>
      <c r="H465" s="100" t="str">
        <f t="shared" si="3"/>
        <v>Senin</v>
      </c>
      <c r="I465" s="97" t="s">
        <v>87</v>
      </c>
      <c r="J465" s="97" t="s">
        <v>56</v>
      </c>
      <c r="K465" s="97" t="s">
        <v>63</v>
      </c>
      <c r="L465" s="101" t="s">
        <v>119</v>
      </c>
      <c r="M465" s="102" t="str">
        <f>IFNA(VLOOKUP(L465,'🙎‍♂️ Pasien'!G:V,2,FALSE),"")</f>
        <v>H4623015667</v>
      </c>
      <c r="N465" s="103">
        <f>IFNA(VLOOKUP(L465,'🙎‍♂️ Pasien'!G:L,3,FALSE),"")</f>
        <v>80</v>
      </c>
      <c r="O465" s="104" t="str">
        <f>IFNA(VLOOKUP(L465,'🙎‍♂️ Pasien'!G:V,6,FALSE),"")</f>
        <v>LAKI-LAKI</v>
      </c>
      <c r="P465" s="104" t="str">
        <f>IFNA(VLOOKUP(L465,'🙎‍♂️ Pasien'!G:V,12,FALSE),"")</f>
        <v>ISLAM</v>
      </c>
      <c r="Q465" s="104" t="str">
        <f>IFNA(VLOOKUP(L465:L1508,'🙎‍♂️ Pasien'!G:V,13,FALSE),"")</f>
        <v>PENSIUN</v>
      </c>
      <c r="R465" s="104" t="str">
        <f t="array" ref="R465">ifna(xlookup(L465,'🙎‍♂️ Pasien'!$G$5:$G1508,'🙎‍♂️ Pasien'!$T$5:$T1508),"")</f>
        <v>STROKE</v>
      </c>
      <c r="S465" s="104" t="str">
        <f t="array" ref="S465">ifna(xlookup(L465,'🙎‍♂️ Pasien'!$G$5:$G1508,'🙎‍♂️ Pasien'!$U$5:$U1508),"")</f>
        <v/>
      </c>
      <c r="T465" s="97" t="s">
        <v>59</v>
      </c>
      <c r="U465" s="105">
        <v>5.0</v>
      </c>
      <c r="V465" s="101"/>
      <c r="W465" s="106" t="b">
        <v>1</v>
      </c>
      <c r="X465" s="107"/>
      <c r="Y465" s="108"/>
    </row>
    <row r="466" ht="22.5" customHeight="1">
      <c r="A466" s="96"/>
      <c r="B466" s="97" t="s">
        <v>85</v>
      </c>
      <c r="C466" s="98" t="str">
        <f t="array" ref="C466">IFNA(XLOOKUP(J466,'⚙️ Pengaturan'!$H$5:$H1508,'⚙️ Pengaturan'!$I$5:$I1508),"")</f>
        <v>TIM A</v>
      </c>
      <c r="D466" s="97" t="s">
        <v>86</v>
      </c>
      <c r="E466" s="99">
        <v>45957.0</v>
      </c>
      <c r="F466" s="100" t="str">
        <f t="shared" si="1"/>
        <v>2025</v>
      </c>
      <c r="G466" s="100" t="str">
        <f t="shared" si="2"/>
        <v>10Okt</v>
      </c>
      <c r="H466" s="100" t="str">
        <f t="shared" si="3"/>
        <v>Senin</v>
      </c>
      <c r="I466" s="97" t="s">
        <v>93</v>
      </c>
      <c r="J466" s="97" t="s">
        <v>72</v>
      </c>
      <c r="K466" s="97" t="s">
        <v>69</v>
      </c>
      <c r="L466" s="101" t="s">
        <v>227</v>
      </c>
      <c r="M466" s="102" t="str">
        <f>IFNA(VLOOKUP(L466,'🙎‍♂️ Pasien'!G:V,2,FALSE),"")</f>
        <v>A9323069998</v>
      </c>
      <c r="N466" s="103">
        <f>IFNA(VLOOKUP(L466,'🙎‍♂️ Pasien'!G:L,3,FALSE),"")</f>
        <v>33</v>
      </c>
      <c r="O466" s="104" t="str">
        <f>IFNA(VLOOKUP(L466,'🙎‍♂️ Pasien'!G:V,6,FALSE),"")</f>
        <v>LAKI-LAKI</v>
      </c>
      <c r="P466" s="104" t="str">
        <f>IFNA(VLOOKUP(L466,'🙎‍♂️ Pasien'!G:V,12,FALSE),"")</f>
        <v>KHONGHUCU</v>
      </c>
      <c r="Q466" s="104" t="str">
        <f>IFNA(VLOOKUP(L466:L1508,'🙎‍♂️ Pasien'!G:V,13,FALSE),"")</f>
        <v>WIRASWASTA</v>
      </c>
      <c r="R466" s="104" t="str">
        <f t="array" ref="R466">ifna(xlookup(L466,'🙎‍♂️ Pasien'!$G$5:$G1508,'🙎‍♂️ Pasien'!$T$5:$T1508),"")</f>
        <v>ANGKLE PERGELANGAN TANGAN KANAN</v>
      </c>
      <c r="S466" s="104" t="str">
        <f t="array" ref="S466">ifna(xlookup(L466,'🙎‍♂️ Pasien'!$G$5:$G1508,'🙎‍♂️ Pasien'!$U$5:$U1508),"")</f>
        <v>BADMINTON</v>
      </c>
      <c r="T466" s="97" t="s">
        <v>59</v>
      </c>
      <c r="U466" s="105" t="s">
        <v>60</v>
      </c>
      <c r="V466" s="101"/>
      <c r="W466" s="106" t="b">
        <v>1</v>
      </c>
      <c r="X466" s="107"/>
      <c r="Y466" s="108"/>
    </row>
    <row r="467" ht="22.5" customHeight="1">
      <c r="A467" s="96"/>
      <c r="B467" s="97" t="s">
        <v>85</v>
      </c>
      <c r="C467" s="98" t="str">
        <f t="array" ref="C467">IFNA(XLOOKUP(J467,'⚙️ Pengaturan'!$H$5:$H1508,'⚙️ Pengaturan'!$I$5:$I1508),"")</f>
        <v>TIM A</v>
      </c>
      <c r="D467" s="97" t="s">
        <v>86</v>
      </c>
      <c r="E467" s="99">
        <v>45957.0</v>
      </c>
      <c r="F467" s="100" t="str">
        <f t="shared" si="1"/>
        <v>2025</v>
      </c>
      <c r="G467" s="100" t="str">
        <f t="shared" si="2"/>
        <v>10Okt</v>
      </c>
      <c r="H467" s="100" t="str">
        <f t="shared" si="3"/>
        <v>Senin</v>
      </c>
      <c r="I467" s="97" t="s">
        <v>93</v>
      </c>
      <c r="J467" s="97" t="s">
        <v>62</v>
      </c>
      <c r="K467" s="97" t="s">
        <v>69</v>
      </c>
      <c r="L467" s="101" t="s">
        <v>70</v>
      </c>
      <c r="M467" s="102" t="str">
        <f>IFNA(VLOOKUP(L467,'🙎‍♂️ Pasien'!G:V,2,FALSE),"")</f>
        <v>L8125099600</v>
      </c>
      <c r="N467" s="103">
        <f>IFNA(VLOOKUP(L467,'🙎‍♂️ Pasien'!G:L,3,FALSE),"")</f>
        <v>45</v>
      </c>
      <c r="O467" s="104" t="str">
        <f>IFNA(VLOOKUP(L467,'🙎‍♂️ Pasien'!G:V,6,FALSE),"")</f>
        <v>PEREMPUAN</v>
      </c>
      <c r="P467" s="104" t="str">
        <f>IFNA(VLOOKUP(L467,'🙎‍♂️ Pasien'!G:V,12,FALSE),"")</f>
        <v>ISLAM</v>
      </c>
      <c r="Q467" s="104" t="str">
        <f>IFNA(VLOOKUP(L467:L1508,'🙎‍♂️ Pasien'!G:V,13,FALSE),"")</f>
        <v>IRT</v>
      </c>
      <c r="R467" s="104" t="str">
        <f t="array" ref="R467">ifna(xlookup(L467,'🙎‍♂️ Pasien'!$G$5:$G1508,'🙎‍♂️ Pasien'!$T$5:$T1508),"")</f>
        <v>SAKIT PINGGANG KIRI</v>
      </c>
      <c r="S467" s="104" t="str">
        <f t="array" ref="S467">ifna(xlookup(L467,'🙎‍♂️ Pasien'!$G$5:$G1508,'🙎‍♂️ Pasien'!$U$5:$U1508),"")</f>
        <v>CATERING</v>
      </c>
      <c r="T467" s="97" t="s">
        <v>67</v>
      </c>
      <c r="U467" s="105" t="s">
        <v>60</v>
      </c>
      <c r="V467" s="101" t="s">
        <v>390</v>
      </c>
      <c r="W467" s="106" t="b">
        <v>1</v>
      </c>
      <c r="X467" s="107"/>
      <c r="Y467" s="108"/>
    </row>
    <row r="468" ht="22.5" customHeight="1">
      <c r="A468" s="96"/>
      <c r="B468" s="97" t="s">
        <v>85</v>
      </c>
      <c r="C468" s="98" t="str">
        <f t="array" ref="C468">IFNA(XLOOKUP(J468,'⚙️ Pengaturan'!$H$5:$H1508,'⚙️ Pengaturan'!$I$5:$I1508),"")</f>
        <v>TIM A</v>
      </c>
      <c r="D468" s="97" t="s">
        <v>86</v>
      </c>
      <c r="E468" s="99">
        <v>45957.0</v>
      </c>
      <c r="F468" s="100" t="str">
        <f t="shared" si="1"/>
        <v>2025</v>
      </c>
      <c r="G468" s="100" t="str">
        <f t="shared" si="2"/>
        <v>10Okt</v>
      </c>
      <c r="H468" s="100" t="str">
        <f t="shared" si="3"/>
        <v>Senin</v>
      </c>
      <c r="I468" s="97" t="s">
        <v>95</v>
      </c>
      <c r="J468" s="97" t="s">
        <v>72</v>
      </c>
      <c r="K468" s="97" t="s">
        <v>63</v>
      </c>
      <c r="L468" s="101" t="s">
        <v>129</v>
      </c>
      <c r="M468" s="102" t="str">
        <f>IFNA(VLOOKUP(L468,'🙎‍♂️ Pasien'!G:V,2,FALSE),"")</f>
        <v>D1025091558</v>
      </c>
      <c r="N468" s="103">
        <f>IFNA(VLOOKUP(L468,'🙎‍♂️ Pasien'!G:L,3,FALSE),"")</f>
        <v>16</v>
      </c>
      <c r="O468" s="104" t="str">
        <f>IFNA(VLOOKUP(L468,'🙎‍♂️ Pasien'!G:V,6,FALSE),"")</f>
        <v>LAKI-LAKI</v>
      </c>
      <c r="P468" s="104" t="str">
        <f>IFNA(VLOOKUP(L468,'🙎‍♂️ Pasien'!G:V,12,FALSE),"")</f>
        <v>PROTESTAN</v>
      </c>
      <c r="Q468" s="104" t="str">
        <f>IFNA(VLOOKUP(L468:L1508,'🙎‍♂️ Pasien'!G:V,13,FALSE),"")</f>
        <v>MASI SEKOLAH</v>
      </c>
      <c r="R468" s="104" t="str">
        <f t="array" ref="R468">ifna(xlookup(L468,'🙎‍♂️ Pasien'!$G$5:$G1508,'🙎‍♂️ Pasien'!$T$5:$T1508),"")</f>
        <v>SAKIT DI BAGIAN LUTUT</v>
      </c>
      <c r="S468" s="104" t="str">
        <f t="array" ref="S468">ifna(xlookup(L468,'🙎‍♂️ Pasien'!$G$5:$G1508,'🙎‍♂️ Pasien'!$U$5:$U1508),"")</f>
        <v>BASKET</v>
      </c>
      <c r="T468" s="97" t="s">
        <v>59</v>
      </c>
      <c r="U468" s="105">
        <v>4.0</v>
      </c>
      <c r="V468" s="101"/>
      <c r="W468" s="106" t="b">
        <v>1</v>
      </c>
      <c r="X468" s="107"/>
      <c r="Y468" s="108"/>
    </row>
    <row r="469" ht="22.5" customHeight="1">
      <c r="A469" s="96"/>
      <c r="B469" s="97" t="s">
        <v>85</v>
      </c>
      <c r="C469" s="98" t="str">
        <f t="array" ref="C469">IFNA(XLOOKUP(J469,'⚙️ Pengaturan'!$H$5:$H1508,'⚙️ Pengaturan'!$I$5:$I1508),"")</f>
        <v>TIM A</v>
      </c>
      <c r="D469" s="97" t="s">
        <v>86</v>
      </c>
      <c r="E469" s="99">
        <v>45957.0</v>
      </c>
      <c r="F469" s="100" t="str">
        <f t="shared" si="1"/>
        <v>2025</v>
      </c>
      <c r="G469" s="100" t="str">
        <f t="shared" si="2"/>
        <v>10Okt</v>
      </c>
      <c r="H469" s="100" t="str">
        <f t="shared" si="3"/>
        <v>Senin</v>
      </c>
      <c r="I469" s="97" t="s">
        <v>95</v>
      </c>
      <c r="J469" s="97" t="s">
        <v>62</v>
      </c>
      <c r="K469" s="97" t="s">
        <v>69</v>
      </c>
      <c r="L469" s="101" t="s">
        <v>254</v>
      </c>
      <c r="M469" s="102" t="str">
        <f>IFNA(VLOOKUP(L469,'🙎‍♂️ Pasien'!G:V,2,FALSE),"")</f>
        <v>G0225101517</v>
      </c>
      <c r="N469" s="103">
        <f>IFNA(VLOOKUP(L469,'🙎‍♂️ Pasien'!G:L,3,FALSE),"")</f>
        <v>24</v>
      </c>
      <c r="O469" s="104" t="str">
        <f>IFNA(VLOOKUP(L469,'🙎‍♂️ Pasien'!G:V,6,FALSE),"")</f>
        <v>LAKI-LAKI</v>
      </c>
      <c r="P469" s="104" t="str">
        <f>IFNA(VLOOKUP(L469,'🙎‍♂️ Pasien'!G:V,12,FALSE),"")</f>
        <v>KATOLIK</v>
      </c>
      <c r="Q469" s="104" t="str">
        <f>IFNA(VLOOKUP(L469:L1508,'🙎‍♂️ Pasien'!G:V,13,FALSE),"")</f>
        <v>MAHASISWA</v>
      </c>
      <c r="R469" s="104" t="str">
        <f t="array" ref="R469">ifna(xlookup(L469,'🙎‍♂️ Pasien'!$G$5:$G1508,'🙎‍♂️ Pasien'!$T$5:$T1508),"")</f>
        <v>NYERI PADA LUTUT BAGIAN LUAR</v>
      </c>
      <c r="S469" s="104" t="str">
        <f t="array" ref="S469">ifna(xlookup(L469,'🙎‍♂️ Pasien'!$G$5:$G1508,'🙎‍♂️ Pasien'!$U$5:$U1508),"")</f>
        <v>LARI, MINI SOCCER, GYM</v>
      </c>
      <c r="T469" s="97" t="s">
        <v>59</v>
      </c>
      <c r="U469" s="105" t="s">
        <v>60</v>
      </c>
      <c r="V469" s="101"/>
      <c r="W469" s="106" t="b">
        <v>1</v>
      </c>
      <c r="X469" s="107"/>
      <c r="Y469" s="108"/>
    </row>
    <row r="470" ht="22.5" customHeight="1">
      <c r="A470" s="96"/>
      <c r="B470" s="97" t="s">
        <v>85</v>
      </c>
      <c r="C470" s="98" t="str">
        <f t="array" ref="C470">IFNA(XLOOKUP(J470,'⚙️ Pengaturan'!$H$5:$H1508,'⚙️ Pengaturan'!$I$5:$I1508),"")</f>
        <v>TIM A</v>
      </c>
      <c r="D470" s="97" t="s">
        <v>86</v>
      </c>
      <c r="E470" s="99">
        <v>45957.0</v>
      </c>
      <c r="F470" s="100" t="str">
        <f t="shared" si="1"/>
        <v>2025</v>
      </c>
      <c r="G470" s="100" t="str">
        <f t="shared" si="2"/>
        <v>10Okt</v>
      </c>
      <c r="H470" s="100" t="str">
        <f t="shared" si="3"/>
        <v>Senin</v>
      </c>
      <c r="I470" s="97" t="s">
        <v>95</v>
      </c>
      <c r="J470" s="97" t="s">
        <v>79</v>
      </c>
      <c r="K470" s="97" t="s">
        <v>63</v>
      </c>
      <c r="L470" s="101" t="s">
        <v>385</v>
      </c>
      <c r="M470" s="102" t="str">
        <f>IFNA(VLOOKUP(L470,'🙎‍♂️ Pasien'!G:V,2,FALSE),"")</f>
        <v>O7825104730</v>
      </c>
      <c r="N470" s="103">
        <f>IFNA(VLOOKUP(L470,'🙎‍♂️ Pasien'!G:L,3,FALSE),"")</f>
        <v>48</v>
      </c>
      <c r="O470" s="104" t="str">
        <f>IFNA(VLOOKUP(L470,'🙎‍♂️ Pasien'!G:V,6,FALSE),"")</f>
        <v>PEREMPUAN</v>
      </c>
      <c r="P470" s="104" t="str">
        <f>IFNA(VLOOKUP(L470,'🙎‍♂️ Pasien'!G:V,12,FALSE),"")</f>
        <v>KATOLIK</v>
      </c>
      <c r="Q470" s="104" t="str">
        <f>IFNA(VLOOKUP(L470:L1508,'🙎‍♂️ Pasien'!G:V,13,FALSE),"")</f>
        <v>IBU RUMAH TANGGA</v>
      </c>
      <c r="R470" s="104" t="str">
        <f t="array" ref="R470">ifna(xlookup(L470,'🙎‍♂️ Pasien'!$G$5:$G1508,'🙎‍♂️ Pasien'!$T$5:$T1508),"")</f>
        <v>SARAF KEJEPIT</v>
      </c>
      <c r="S470" s="104" t="str">
        <f t="array" ref="S470">ifna(xlookup(L470,'🙎‍♂️ Pasien'!$G$5:$G1508,'🙎‍♂️ Pasien'!$U$5:$U1508),"")</f>
        <v>NONTON</v>
      </c>
      <c r="T470" s="97" t="s">
        <v>67</v>
      </c>
      <c r="U470" s="105">
        <v>3.0</v>
      </c>
      <c r="V470" s="101" t="s">
        <v>343</v>
      </c>
      <c r="W470" s="106" t="b">
        <v>1</v>
      </c>
      <c r="X470" s="107"/>
      <c r="Y470" s="108"/>
    </row>
    <row r="471" ht="22.5" customHeight="1">
      <c r="A471" s="96"/>
      <c r="B471" s="97" t="s">
        <v>85</v>
      </c>
      <c r="C471" s="98" t="str">
        <f t="array" ref="C471">IFNA(XLOOKUP(J471,'⚙️ Pengaturan'!$H$5:$H1508,'⚙️ Pengaturan'!$I$5:$I1508),"")</f>
        <v>TIM Y</v>
      </c>
      <c r="D471" s="97" t="s">
        <v>86</v>
      </c>
      <c r="E471" s="99">
        <v>45957.0</v>
      </c>
      <c r="F471" s="100" t="str">
        <f t="shared" si="1"/>
        <v>2025</v>
      </c>
      <c r="G471" s="100" t="str">
        <f t="shared" si="2"/>
        <v>10Okt</v>
      </c>
      <c r="H471" s="100" t="str">
        <f t="shared" si="3"/>
        <v>Senin</v>
      </c>
      <c r="I471" s="97" t="s">
        <v>97</v>
      </c>
      <c r="J471" s="97" t="s">
        <v>56</v>
      </c>
      <c r="K471" s="97" t="s">
        <v>63</v>
      </c>
      <c r="L471" s="101" t="s">
        <v>326</v>
      </c>
      <c r="M471" s="102" t="str">
        <f>IFNA(VLOOKUP(L471,'🙎‍♂️ Pasien'!G:V,2,FALSE),"")</f>
        <v>A1423086916</v>
      </c>
      <c r="N471" s="103">
        <f>IFNA(VLOOKUP(L471,'🙎‍♂️ Pasien'!G:L,3,FALSE),"")</f>
        <v>11</v>
      </c>
      <c r="O471" s="104" t="str">
        <f>IFNA(VLOOKUP(L471,'🙎‍♂️ Pasien'!G:V,6,FALSE),"")</f>
        <v>LAKI-LAKI</v>
      </c>
      <c r="P471" s="104" t="str">
        <f>IFNA(VLOOKUP(L471,'🙎‍♂️ Pasien'!G:V,12,FALSE),"")</f>
        <v>ISLAM</v>
      </c>
      <c r="Q471" s="104" t="str">
        <f>IFNA(VLOOKUP(L471:L1508,'🙎‍♂️ Pasien'!G:V,13,FALSE),"")</f>
        <v>PELAJAR/MAHASISWA</v>
      </c>
      <c r="R471" s="104" t="str">
        <f t="array" ref="R471">ifna(xlookup(L471,'🙎‍♂️ Pasien'!$G$5:$G1508,'🙎‍♂️ Pasien'!$T$5:$T1508),"")</f>
        <v>ANKLE KAKI KANAN</v>
      </c>
      <c r="S471" s="104" t="str">
        <f t="array" ref="S471">ifna(xlookup(L471,'🙎‍♂️ Pasien'!$G$5:$G1508,'🙎‍♂️ Pasien'!$U$5:$U1508),"")</f>
        <v>BOLA</v>
      </c>
      <c r="T471" s="97" t="s">
        <v>59</v>
      </c>
      <c r="U471" s="105">
        <v>3.0</v>
      </c>
      <c r="V471" s="101"/>
      <c r="W471" s="106" t="b">
        <v>1</v>
      </c>
      <c r="X471" s="107"/>
      <c r="Y471" s="108"/>
    </row>
    <row r="472" ht="22.5" customHeight="1">
      <c r="A472" s="96"/>
      <c r="B472" s="97" t="s">
        <v>85</v>
      </c>
      <c r="C472" s="98" t="str">
        <f t="array" ref="C472">IFNA(XLOOKUP(J472,'⚙️ Pengaturan'!$H$5:$H1508,'⚙️ Pengaturan'!$I$5:$I1508),"")</f>
        <v>TIM A</v>
      </c>
      <c r="D472" s="97" t="s">
        <v>86</v>
      </c>
      <c r="E472" s="99">
        <v>45957.0</v>
      </c>
      <c r="F472" s="100" t="str">
        <f t="shared" si="1"/>
        <v>2025</v>
      </c>
      <c r="G472" s="100" t="str">
        <f t="shared" si="2"/>
        <v>10Okt</v>
      </c>
      <c r="H472" s="100" t="str">
        <f t="shared" si="3"/>
        <v>Senin</v>
      </c>
      <c r="I472" s="97" t="s">
        <v>97</v>
      </c>
      <c r="J472" s="97" t="s">
        <v>72</v>
      </c>
      <c r="K472" s="97" t="s">
        <v>69</v>
      </c>
      <c r="L472" s="101" t="s">
        <v>370</v>
      </c>
      <c r="M472" s="102" t="str">
        <f>IFNA(VLOOKUP(L472,'🙎‍♂️ Pasien'!G:V,2,FALSE),"")</f>
        <v>N0525103483</v>
      </c>
      <c r="N472" s="103">
        <f>IFNA(VLOOKUP(L472,'🙎‍♂️ Pasien'!G:L,3,FALSE),"")</f>
        <v>20</v>
      </c>
      <c r="O472" s="104" t="str">
        <f>IFNA(VLOOKUP(L472,'🙎‍♂️ Pasien'!G:V,6,FALSE),"")</f>
        <v>PEREMPUAN</v>
      </c>
      <c r="P472" s="104" t="str">
        <f>IFNA(VLOOKUP(L472,'🙎‍♂️ Pasien'!G:V,12,FALSE),"")</f>
        <v>ISLAM</v>
      </c>
      <c r="Q472" s="104" t="str">
        <f>IFNA(VLOOKUP(L472:L1508,'🙎‍♂️ Pasien'!G:V,13,FALSE),"")</f>
        <v>PEGAWAI</v>
      </c>
      <c r="R472" s="104" t="str">
        <f t="array" ref="R472">ifna(xlookup(L472,'🙎‍♂️ Pasien'!$G$5:$G1508,'🙎‍♂️ Pasien'!$T$5:$T1508),"")</f>
        <v>LEBAM PASCA KECELAKAAN</v>
      </c>
      <c r="S472" s="104" t="str">
        <f t="array" ref="S472">ifna(xlookup(L472,'🙎‍♂️ Pasien'!$G$5:$G1508,'🙎‍♂️ Pasien'!$U$5:$U1508),"")</f>
        <v>JALAN NAIK TURUN TANGGA</v>
      </c>
      <c r="T472" s="97" t="s">
        <v>67</v>
      </c>
      <c r="U472" s="105" t="s">
        <v>60</v>
      </c>
      <c r="V472" s="101" t="s">
        <v>212</v>
      </c>
      <c r="W472" s="106" t="b">
        <v>1</v>
      </c>
      <c r="X472" s="107"/>
      <c r="Y472" s="108"/>
    </row>
    <row r="473" ht="22.5" customHeight="1">
      <c r="A473" s="96"/>
      <c r="B473" s="97" t="s">
        <v>85</v>
      </c>
      <c r="C473" s="98" t="str">
        <f t="array" ref="C473">IFNA(XLOOKUP(J473,'⚙️ Pengaturan'!$H$5:$H1508,'⚙️ Pengaturan'!$I$5:$I1508),"")</f>
        <v>TIM A</v>
      </c>
      <c r="D473" s="97" t="s">
        <v>86</v>
      </c>
      <c r="E473" s="99">
        <v>45957.0</v>
      </c>
      <c r="F473" s="100" t="str">
        <f t="shared" si="1"/>
        <v>2025</v>
      </c>
      <c r="G473" s="100" t="str">
        <f t="shared" si="2"/>
        <v>10Okt</v>
      </c>
      <c r="H473" s="100" t="str">
        <f t="shared" si="3"/>
        <v>Senin</v>
      </c>
      <c r="I473" s="97" t="s">
        <v>97</v>
      </c>
      <c r="J473" s="97" t="s">
        <v>72</v>
      </c>
      <c r="K473" s="97" t="s">
        <v>57</v>
      </c>
      <c r="L473" s="101" t="s">
        <v>391</v>
      </c>
      <c r="M473" s="102" t="str">
        <f>IFNA(VLOOKUP(L473,'🙎‍♂️ Pasien'!G:V,2,FALSE),"")</f>
        <v>R6725103408</v>
      </c>
      <c r="N473" s="103">
        <f>IFNA(VLOOKUP(L473,'🙎‍♂️ Pasien'!G:L,3,FALSE),"")</f>
        <v>59</v>
      </c>
      <c r="O473" s="104" t="str">
        <f>IFNA(VLOOKUP(L473,'🙎‍♂️ Pasien'!G:V,6,FALSE),"")</f>
        <v>LAKI-LAKI</v>
      </c>
      <c r="P473" s="104" t="str">
        <f>IFNA(VLOOKUP(L473,'🙎‍♂️ Pasien'!G:V,12,FALSE),"")</f>
        <v>PROTESTAN</v>
      </c>
      <c r="Q473" s="104" t="str">
        <f>IFNA(VLOOKUP(L473:L1508,'🙎‍♂️ Pasien'!G:V,13,FALSE),"")</f>
        <v>SWASTA</v>
      </c>
      <c r="R473" s="104" t="str">
        <f t="array" ref="R473">ifna(xlookup(L473,'🙎‍♂️ Pasien'!$G$5:$G1508,'🙎‍♂️ Pasien'!$T$5:$T1508),"")</f>
        <v>NYERI BAGIAN PERGELANGAN KAKI SAAT JALAN LEBIH 1 KM</v>
      </c>
      <c r="S473" s="104" t="str">
        <f t="array" ref="S473">ifna(xlookup(L473,'🙎‍♂️ Pasien'!$G$5:$G1508,'🙎‍♂️ Pasien'!$U$5:$U1508),"")</f>
        <v>JALAN KAKI</v>
      </c>
      <c r="T473" s="97" t="s">
        <v>59</v>
      </c>
      <c r="U473" s="105" t="s">
        <v>60</v>
      </c>
      <c r="V473" s="101"/>
      <c r="W473" s="106" t="b">
        <v>1</v>
      </c>
      <c r="X473" s="107"/>
      <c r="Y473" s="108"/>
    </row>
    <row r="474" ht="22.5" customHeight="1">
      <c r="A474" s="96"/>
      <c r="B474" s="97" t="s">
        <v>85</v>
      </c>
      <c r="C474" s="98" t="str">
        <f t="array" ref="C474">IFNA(XLOOKUP(J474,'⚙️ Pengaturan'!$H$5:$H1508,'⚙️ Pengaturan'!$I$5:$I1508),"")</f>
        <v>TIM A</v>
      </c>
      <c r="D474" s="97" t="s">
        <v>86</v>
      </c>
      <c r="E474" s="99">
        <v>45957.0</v>
      </c>
      <c r="F474" s="100" t="str">
        <f t="shared" si="1"/>
        <v>2025</v>
      </c>
      <c r="G474" s="100" t="str">
        <f t="shared" si="2"/>
        <v>10Okt</v>
      </c>
      <c r="H474" s="100" t="str">
        <f t="shared" si="3"/>
        <v>Senin</v>
      </c>
      <c r="I474" s="97" t="s">
        <v>99</v>
      </c>
      <c r="J474" s="97" t="s">
        <v>62</v>
      </c>
      <c r="K474" s="97" t="s">
        <v>63</v>
      </c>
      <c r="L474" s="101" t="s">
        <v>357</v>
      </c>
      <c r="M474" s="102" t="str">
        <f>IFNA(VLOOKUP(L474,'🙎‍♂️ Pasien'!G:V,2,FALSE),"")</f>
        <v>A0125104452</v>
      </c>
      <c r="N474" s="103">
        <f>IFNA(VLOOKUP(L474,'🙎‍♂️ Pasien'!G:L,3,FALSE),"")</f>
        <v>24</v>
      </c>
      <c r="O474" s="104" t="str">
        <f>IFNA(VLOOKUP(L474,'🙎‍♂️ Pasien'!G:V,6,FALSE),"")</f>
        <v>PEREMPUAN</v>
      </c>
      <c r="P474" s="104" t="str">
        <f>IFNA(VLOOKUP(L474,'🙎‍♂️ Pasien'!G:V,12,FALSE),"")</f>
        <v>ISLAM</v>
      </c>
      <c r="Q474" s="104" t="str">
        <f>IFNA(VLOOKUP(L474:L1508,'🙎‍♂️ Pasien'!G:V,13,FALSE),"")</f>
        <v>PNS</v>
      </c>
      <c r="R474" s="104" t="str">
        <f t="array" ref="R474">ifna(xlookup(L474,'🙎‍♂️ Pasien'!$G$5:$G1508,'🙎‍♂️ Pasien'!$T$5:$T1508),"")</f>
        <v>SAKIT NYERI DAN PEGAL DARI LEHER HINGGA KAKI NAMUN HANYA TUBUH SEBELAH KANAN</v>
      </c>
      <c r="S474" s="104" t="str">
        <f t="array" ref="S474">ifna(xlookup(L474,'🙎‍♂️ Pasien'!$G$5:$G1508,'🙎‍♂️ Pasien'!$U$5:$U1508),"")</f>
        <v>-</v>
      </c>
      <c r="T474" s="97" t="s">
        <v>59</v>
      </c>
      <c r="U474" s="105">
        <v>2.0</v>
      </c>
      <c r="V474" s="101"/>
      <c r="W474" s="106" t="b">
        <v>1</v>
      </c>
      <c r="X474" s="107"/>
      <c r="Y474" s="108"/>
    </row>
    <row r="475" ht="22.5" customHeight="1">
      <c r="A475" s="96"/>
      <c r="B475" s="97" t="s">
        <v>85</v>
      </c>
      <c r="C475" s="98" t="str">
        <f t="array" ref="C475">IFNA(XLOOKUP(J475,'⚙️ Pengaturan'!$H$5:$H1508,'⚙️ Pengaturan'!$I$5:$I1508),"")</f>
        <v>TIM Y</v>
      </c>
      <c r="D475" s="97" t="s">
        <v>86</v>
      </c>
      <c r="E475" s="99">
        <v>45957.0</v>
      </c>
      <c r="F475" s="100" t="str">
        <f t="shared" si="1"/>
        <v>2025</v>
      </c>
      <c r="G475" s="100" t="str">
        <f t="shared" si="2"/>
        <v>10Okt</v>
      </c>
      <c r="H475" s="100" t="str">
        <f t="shared" si="3"/>
        <v>Senin</v>
      </c>
      <c r="I475" s="97" t="s">
        <v>99</v>
      </c>
      <c r="J475" s="97" t="s">
        <v>56</v>
      </c>
      <c r="K475" s="97" t="s">
        <v>57</v>
      </c>
      <c r="L475" s="101" t="s">
        <v>392</v>
      </c>
      <c r="M475" s="102" t="str">
        <f>IFNA(VLOOKUP(L475,'🙎‍♂️ Pasien'!G:V,2,FALSE),"")</f>
        <v>D0625102206</v>
      </c>
      <c r="N475" s="103">
        <f>IFNA(VLOOKUP(L475,'🙎‍♂️ Pasien'!G:L,3,FALSE),"")</f>
        <v>19</v>
      </c>
      <c r="O475" s="104" t="str">
        <f>IFNA(VLOOKUP(L475,'🙎‍♂️ Pasien'!G:V,6,FALSE),"")</f>
        <v>LAKI-LAKI</v>
      </c>
      <c r="P475" s="104" t="str">
        <f>IFNA(VLOOKUP(L475,'🙎‍♂️ Pasien'!G:V,12,FALSE),"")</f>
        <v>ISLAM</v>
      </c>
      <c r="Q475" s="104" t="str">
        <f>IFNA(VLOOKUP(L475:L1508,'🙎‍♂️ Pasien'!G:V,13,FALSE),"")</f>
        <v>KARYAWAN SWASTA</v>
      </c>
      <c r="R475" s="104" t="str">
        <f t="array" ref="R475">ifna(xlookup(L475,'🙎‍♂️ Pasien'!$G$5:$G1508,'🙎‍♂️ Pasien'!$T$5:$T1508),"")</f>
        <v>CEDERA KAKI</v>
      </c>
      <c r="S475" s="104" t="str">
        <f t="array" ref="S475">ifna(xlookup(L475,'🙎‍♂️ Pasien'!$G$5:$G1508,'🙎‍♂️ Pasien'!$U$5:$U1508),"")</f>
        <v>BERMAIN FUTSAL</v>
      </c>
      <c r="T475" s="97" t="s">
        <v>59</v>
      </c>
      <c r="U475" s="105" t="s">
        <v>60</v>
      </c>
      <c r="V475" s="101"/>
      <c r="W475" s="106" t="b">
        <v>1</v>
      </c>
      <c r="X475" s="107"/>
      <c r="Y475" s="108"/>
    </row>
    <row r="476" ht="22.5" customHeight="1">
      <c r="A476" s="96"/>
      <c r="B476" s="97" t="s">
        <v>53</v>
      </c>
      <c r="C476" s="98" t="str">
        <f t="array" ref="C476">IFNA(XLOOKUP(J476,'⚙️ Pengaturan'!$H$5:$H1508,'⚙️ Pengaturan'!$I$5:$I1508),"")</f>
        <v>TIM A</v>
      </c>
      <c r="D476" s="97" t="s">
        <v>86</v>
      </c>
      <c r="E476" s="99">
        <v>45958.0</v>
      </c>
      <c r="F476" s="100" t="str">
        <f t="shared" si="1"/>
        <v>2025</v>
      </c>
      <c r="G476" s="100" t="str">
        <f t="shared" si="2"/>
        <v>10Okt</v>
      </c>
      <c r="H476" s="100" t="str">
        <f t="shared" si="3"/>
        <v>Selasa</v>
      </c>
      <c r="I476" s="97" t="s">
        <v>55</v>
      </c>
      <c r="J476" s="97" t="s">
        <v>72</v>
      </c>
      <c r="K476" s="97" t="s">
        <v>63</v>
      </c>
      <c r="L476" s="101" t="s">
        <v>225</v>
      </c>
      <c r="M476" s="102" t="str">
        <f>IFNA(VLOOKUP(L476,'🙎‍♂️ Pasien'!G:V,2,FALSE),"")</f>
        <v>B8025102288</v>
      </c>
      <c r="N476" s="103">
        <f>IFNA(VLOOKUP(L476,'🙎‍♂️ Pasien'!G:L,3,FALSE),"")</f>
        <v>45</v>
      </c>
      <c r="O476" s="104" t="str">
        <f>IFNA(VLOOKUP(L476,'🙎‍♂️ Pasien'!G:V,6,FALSE),"")</f>
        <v>PEREMPUAN</v>
      </c>
      <c r="P476" s="104" t="str">
        <f>IFNA(VLOOKUP(L476,'🙎‍♂️ Pasien'!G:V,12,FALSE),"")</f>
        <v>ISLAM</v>
      </c>
      <c r="Q476" s="104" t="str">
        <f>IFNA(VLOOKUP(L476:L1508,'🙎‍♂️ Pasien'!G:V,13,FALSE),"")</f>
        <v>ASN</v>
      </c>
      <c r="R476" s="104" t="str">
        <f t="array" ref="R476">ifna(xlookup(L476,'🙎‍♂️ Pasien'!$G$5:$G1508,'🙎‍♂️ Pasien'!$T$5:$T1508),"")</f>
        <v>KELUHAN SY NYERI DI TUMIT KIRI SM PAHA KANAN UT DIANGKAT SAMBIL DITEKUK KE ARAH SAMPING LUAR RASA NYA NYERI</v>
      </c>
      <c r="S476" s="104" t="str">
        <f t="array" ref="S476">ifna(xlookup(L476,'🙎‍♂️ Pasien'!$G$5:$G1508,'🙎‍♂️ Pasien'!$U$5:$U1508),"")</f>
        <v>JOGING</v>
      </c>
      <c r="T476" s="97" t="s">
        <v>59</v>
      </c>
      <c r="U476" s="105">
        <v>1.0</v>
      </c>
      <c r="V476" s="101"/>
      <c r="W476" s="106" t="b">
        <v>1</v>
      </c>
      <c r="X476" s="107"/>
      <c r="Y476" s="108"/>
    </row>
    <row r="477" ht="22.5" customHeight="1">
      <c r="A477" s="96"/>
      <c r="B477" s="97" t="s">
        <v>53</v>
      </c>
      <c r="C477" s="98" t="str">
        <f t="array" ref="C477">IFNA(XLOOKUP(J477,'⚙️ Pengaturan'!$H$5:$H1508,'⚙️ Pengaturan'!$I$5:$I1508),"")</f>
        <v>TIM Y</v>
      </c>
      <c r="D477" s="97" t="s">
        <v>86</v>
      </c>
      <c r="E477" s="99">
        <v>45958.0</v>
      </c>
      <c r="F477" s="100" t="str">
        <f t="shared" si="1"/>
        <v>2025</v>
      </c>
      <c r="G477" s="100" t="str">
        <f t="shared" si="2"/>
        <v>10Okt</v>
      </c>
      <c r="H477" s="100" t="str">
        <f t="shared" si="3"/>
        <v>Selasa</v>
      </c>
      <c r="I477" s="97" t="s">
        <v>55</v>
      </c>
      <c r="J477" s="97" t="s">
        <v>56</v>
      </c>
      <c r="K477" s="97" t="s">
        <v>63</v>
      </c>
      <c r="L477" s="101" t="s">
        <v>136</v>
      </c>
      <c r="M477" s="102" t="str">
        <f>IFNA(VLOOKUP(L477,'🙎‍♂️ Pasien'!G:V,2,FALSE),"")</f>
        <v>H9025092496</v>
      </c>
      <c r="N477" s="103">
        <f>IFNA(VLOOKUP(L477,'🙎‍♂️ Pasien'!G:L,3,FALSE),"")</f>
        <v>35</v>
      </c>
      <c r="O477" s="104" t="str">
        <f>IFNA(VLOOKUP(L477,'🙎‍♂️ Pasien'!G:V,6,FALSE),"")</f>
        <v>LAKI-LAKI</v>
      </c>
      <c r="P477" s="104" t="str">
        <f>IFNA(VLOOKUP(L477,'🙎‍♂️ Pasien'!G:V,12,FALSE),"")</f>
        <v>ISLAM</v>
      </c>
      <c r="Q477" s="104" t="str">
        <f>IFNA(VLOOKUP(L477:L1508,'🙎‍♂️ Pasien'!G:V,13,FALSE),"")</f>
        <v>SWASTA</v>
      </c>
      <c r="R477" s="104" t="str">
        <f t="array" ref="R477">ifna(xlookup(L477,'🙎‍♂️ Pasien'!$G$5:$G1508,'🙎‍♂️ Pasien'!$T$5:$T1508),"")</f>
        <v>KAKI KIRI SAKIT</v>
      </c>
      <c r="S477" s="104" t="str">
        <f t="array" ref="S477">ifna(xlookup(L477,'🙎‍♂️ Pasien'!$G$5:$G1508,'🙎‍♂️ Pasien'!$U$5:$U1508),"")</f>
        <v>LATIHAN LATI</v>
      </c>
      <c r="T477" s="97" t="s">
        <v>67</v>
      </c>
      <c r="U477" s="105">
        <v>4.0</v>
      </c>
      <c r="V477" s="101" t="s">
        <v>343</v>
      </c>
      <c r="W477" s="106" t="b">
        <v>1</v>
      </c>
      <c r="X477" s="107"/>
      <c r="Y477" s="108"/>
    </row>
    <row r="478" ht="22.5" customHeight="1">
      <c r="A478" s="96"/>
      <c r="B478" s="97" t="s">
        <v>53</v>
      </c>
      <c r="C478" s="98" t="str">
        <f t="array" ref="C478">IFNA(XLOOKUP(J478,'⚙️ Pengaturan'!$H$5:$H1508,'⚙️ Pengaturan'!$I$5:$I1508),"")</f>
        <v>TIM A</v>
      </c>
      <c r="D478" s="97" t="s">
        <v>86</v>
      </c>
      <c r="E478" s="99">
        <v>45958.0</v>
      </c>
      <c r="F478" s="100" t="str">
        <f t="shared" si="1"/>
        <v>2025</v>
      </c>
      <c r="G478" s="100" t="str">
        <f t="shared" si="2"/>
        <v>10Okt</v>
      </c>
      <c r="H478" s="100" t="str">
        <f t="shared" si="3"/>
        <v>Selasa</v>
      </c>
      <c r="I478" s="97" t="s">
        <v>65</v>
      </c>
      <c r="J478" s="97" t="s">
        <v>62</v>
      </c>
      <c r="K478" s="97" t="s">
        <v>69</v>
      </c>
      <c r="L478" s="101" t="s">
        <v>371</v>
      </c>
      <c r="M478" s="102" t="str">
        <f>IFNA(VLOOKUP(L478,'🙎‍♂️ Pasien'!G:V,2,FALSE),"")</f>
        <v>B9825108681</v>
      </c>
      <c r="N478" s="103">
        <f>IFNA(VLOOKUP(L478,'🙎‍♂️ Pasien'!G:L,3,FALSE),"")</f>
        <v>28</v>
      </c>
      <c r="O478" s="104" t="str">
        <f>IFNA(VLOOKUP(L478,'🙎‍♂️ Pasien'!G:V,6,FALSE),"")</f>
        <v>PEREMPUAN</v>
      </c>
      <c r="P478" s="104" t="str">
        <f>IFNA(VLOOKUP(L478,'🙎‍♂️ Pasien'!G:V,12,FALSE),"")</f>
        <v>KATOLIK</v>
      </c>
      <c r="Q478" s="104" t="str">
        <f>IFNA(VLOOKUP(L478:L1508,'🙎‍♂️ Pasien'!G:V,13,FALSE),"")</f>
        <v>-</v>
      </c>
      <c r="R478" s="104" t="str">
        <f t="array" ref="R478">ifna(xlookup(L478,'🙎‍♂️ Pasien'!$G$5:$G1508,'🙎‍♂️ Pasien'!$T$5:$T1508),"")</f>
        <v>BAHU TIDAK NYAMAN</v>
      </c>
      <c r="S478" s="104" t="str">
        <f t="array" ref="S478">ifna(xlookup(L478,'🙎‍♂️ Pasien'!$G$5:$G1508,'🙎‍♂️ Pasien'!$U$5:$U1508),"")</f>
        <v>DUDUK DEPAN KOMPUTER, OLAHRAGA</v>
      </c>
      <c r="T478" s="97" t="s">
        <v>59</v>
      </c>
      <c r="U478" s="105" t="s">
        <v>60</v>
      </c>
      <c r="V478" s="101"/>
      <c r="W478" s="106" t="b">
        <v>1</v>
      </c>
      <c r="X478" s="107"/>
      <c r="Y478" s="108"/>
    </row>
    <row r="479" ht="22.5" customHeight="1">
      <c r="A479" s="96"/>
      <c r="B479" s="97" t="s">
        <v>53</v>
      </c>
      <c r="C479" s="98" t="str">
        <f t="array" ref="C479">IFNA(XLOOKUP(J479,'⚙️ Pengaturan'!$H$5:$H1508,'⚙️ Pengaturan'!$I$5:$I1508),"")</f>
        <v>TIM A</v>
      </c>
      <c r="D479" s="97" t="s">
        <v>86</v>
      </c>
      <c r="E479" s="99">
        <v>45958.0</v>
      </c>
      <c r="F479" s="100" t="str">
        <f t="shared" si="1"/>
        <v>2025</v>
      </c>
      <c r="G479" s="100" t="str">
        <f t="shared" si="2"/>
        <v>10Okt</v>
      </c>
      <c r="H479" s="100" t="str">
        <f t="shared" si="3"/>
        <v>Selasa</v>
      </c>
      <c r="I479" s="97" t="s">
        <v>65</v>
      </c>
      <c r="J479" s="97" t="s">
        <v>79</v>
      </c>
      <c r="K479" s="97" t="s">
        <v>63</v>
      </c>
      <c r="L479" s="101" t="s">
        <v>307</v>
      </c>
      <c r="M479" s="102" t="str">
        <f>IFNA(VLOOKUP(L479,'🙎‍♂️ Pasien'!G:V,2,FALSE),"")</f>
        <v>M9825086178</v>
      </c>
      <c r="N479" s="103">
        <f>IFNA(VLOOKUP(L479,'🙎‍♂️ Pasien'!G:L,3,FALSE),"")</f>
        <v>28</v>
      </c>
      <c r="O479" s="104" t="str">
        <f>IFNA(VLOOKUP(L479,'🙎‍♂️ Pasien'!G:V,6,FALSE),"")</f>
        <v>PEREMPUAN</v>
      </c>
      <c r="P479" s="104" t="str">
        <f>IFNA(VLOOKUP(L479,'🙎‍♂️ Pasien'!G:V,12,FALSE),"")</f>
        <v>PROTESTAN</v>
      </c>
      <c r="Q479" s="104" t="str">
        <f>IFNA(VLOOKUP(L479:L1508,'🙎‍♂️ Pasien'!G:V,13,FALSE),"")</f>
        <v>WIRAUSAHA</v>
      </c>
      <c r="R479" s="104" t="str">
        <f t="array" ref="R479">ifna(xlookup(L479,'🙎‍♂️ Pasien'!$G$5:$G1508,'🙎‍♂️ Pasien'!$T$5:$T1508),"")</f>
        <v>BAHU MIRING</v>
      </c>
      <c r="S479" s="104" t="str">
        <f t="array" ref="S479">ifna(xlookup(L479,'🙎‍♂️ Pasien'!$G$5:$G1508,'🙎‍♂️ Pasien'!$U$5:$U1508),"")</f>
        <v>GYM</v>
      </c>
      <c r="T479" s="97" t="s">
        <v>59</v>
      </c>
      <c r="U479" s="105">
        <v>4.0</v>
      </c>
      <c r="V479" s="101"/>
      <c r="W479" s="106" t="b">
        <v>1</v>
      </c>
      <c r="X479" s="107"/>
      <c r="Y479" s="108"/>
    </row>
    <row r="480" ht="22.5" customHeight="1">
      <c r="A480" s="96"/>
      <c r="B480" s="97" t="s">
        <v>53</v>
      </c>
      <c r="C480" s="98" t="str">
        <f t="array" ref="C480">IFNA(XLOOKUP(J480,'⚙️ Pengaturan'!$H$5:$H1508,'⚙️ Pengaturan'!$I$5:$I1508),"")</f>
        <v>TIM A</v>
      </c>
      <c r="D480" s="97" t="s">
        <v>86</v>
      </c>
      <c r="E480" s="99">
        <v>45958.0</v>
      </c>
      <c r="F480" s="100" t="str">
        <f t="shared" si="1"/>
        <v>2025</v>
      </c>
      <c r="G480" s="100" t="str">
        <f t="shared" si="2"/>
        <v>10Okt</v>
      </c>
      <c r="H480" s="100" t="str">
        <f t="shared" si="3"/>
        <v>Selasa</v>
      </c>
      <c r="I480" s="97" t="s">
        <v>74</v>
      </c>
      <c r="J480" s="97" t="s">
        <v>79</v>
      </c>
      <c r="K480" s="97" t="s">
        <v>63</v>
      </c>
      <c r="L480" s="101" t="s">
        <v>108</v>
      </c>
      <c r="M480" s="102" t="str">
        <f>IFNA(VLOOKUP(L480,'🙎‍♂️ Pasien'!G:V,2,FALSE),"")</f>
        <v>A5625092572</v>
      </c>
      <c r="N480" s="103">
        <f>IFNA(VLOOKUP(L480,'🙎‍♂️ Pasien'!G:L,3,FALSE),"")</f>
        <v>69</v>
      </c>
      <c r="O480" s="104" t="str">
        <f>IFNA(VLOOKUP(L480,'🙎‍♂️ Pasien'!G:V,6,FALSE),"")</f>
        <v>PEREMPUAN</v>
      </c>
      <c r="P480" s="104" t="str">
        <f>IFNA(VLOOKUP(L480,'🙎‍♂️ Pasien'!G:V,12,FALSE),"")</f>
        <v>ISLAM</v>
      </c>
      <c r="Q480" s="104" t="str">
        <f>IFNA(VLOOKUP(L480:L1508,'🙎‍♂️ Pasien'!G:V,13,FALSE),"")</f>
        <v>IRT</v>
      </c>
      <c r="R480" s="104" t="str">
        <f t="array" ref="R480">ifna(xlookup(L480,'🙎‍♂️ Pasien'!$G$5:$G1508,'🙎‍♂️ Pasien'!$T$5:$T1508),"")</f>
        <v>PINGGANG DAN KAKI</v>
      </c>
      <c r="S480" s="104" t="str">
        <f t="array" ref="S480">ifna(xlookup(L480,'🙎‍♂️ Pasien'!$G$5:$G1508,'🙎‍♂️ Pasien'!$U$5:$U1508),"")</f>
        <v>-</v>
      </c>
      <c r="T480" s="97" t="s">
        <v>59</v>
      </c>
      <c r="U480" s="105">
        <v>4.0</v>
      </c>
      <c r="V480" s="101"/>
      <c r="W480" s="106" t="b">
        <v>1</v>
      </c>
      <c r="X480" s="107"/>
      <c r="Y480" s="108"/>
    </row>
    <row r="481" ht="22.5" customHeight="1">
      <c r="A481" s="96"/>
      <c r="B481" s="97" t="s">
        <v>53</v>
      </c>
      <c r="C481" s="98" t="str">
        <f t="array" ref="C481">IFNA(XLOOKUP(J481,'⚙️ Pengaturan'!$H$5:$H1508,'⚙️ Pengaturan'!$I$5:$I1508),"")</f>
        <v>TIM A</v>
      </c>
      <c r="D481" s="97" t="s">
        <v>86</v>
      </c>
      <c r="E481" s="99">
        <v>45958.0</v>
      </c>
      <c r="F481" s="100" t="str">
        <f t="shared" si="1"/>
        <v>2025</v>
      </c>
      <c r="G481" s="100" t="str">
        <f t="shared" si="2"/>
        <v>10Okt</v>
      </c>
      <c r="H481" s="100" t="str">
        <f t="shared" si="3"/>
        <v>Selasa</v>
      </c>
      <c r="I481" s="97" t="s">
        <v>74</v>
      </c>
      <c r="J481" s="97" t="s">
        <v>62</v>
      </c>
      <c r="K481" s="97" t="s">
        <v>63</v>
      </c>
      <c r="L481" s="101" t="s">
        <v>341</v>
      </c>
      <c r="M481" s="102" t="str">
        <f>IFNA(VLOOKUP(L481,'🙎‍♂️ Pasien'!G:V,2,FALSE),"")</f>
        <v>T7325100015</v>
      </c>
      <c r="N481" s="103">
        <f>IFNA(VLOOKUP(L481,'🙎‍♂️ Pasien'!G:L,3,FALSE),"")</f>
        <v>53</v>
      </c>
      <c r="O481" s="104" t="str">
        <f>IFNA(VLOOKUP(L481,'🙎‍♂️ Pasien'!G:V,6,FALSE),"")</f>
        <v>PEREMPUAN</v>
      </c>
      <c r="P481" s="104" t="str">
        <f>IFNA(VLOOKUP(L481,'🙎‍♂️ Pasien'!G:V,12,FALSE),"")</f>
        <v>ISLAM</v>
      </c>
      <c r="Q481" s="104" t="str">
        <f>IFNA(VLOOKUP(L481:L1508,'🙎‍♂️ Pasien'!G:V,13,FALSE),"")</f>
        <v>PNS</v>
      </c>
      <c r="R481" s="104" t="str">
        <f t="array" ref="R481">ifna(xlookup(L481,'🙎‍♂️ Pasien'!$G$5:$G1508,'🙎‍♂️ Pasien'!$T$5:$T1508),"")</f>
        <v>SAKIT KAKI DAN PINGGANG</v>
      </c>
      <c r="S481" s="104" t="str">
        <f t="array" ref="S481">ifna(xlookup(L481,'🙎‍♂️ Pasien'!$G$5:$G1508,'🙎‍♂️ Pasien'!$U$5:$U1508),"")</f>
        <v>NAIK TURUN TANGGA DAN JONGKOK</v>
      </c>
      <c r="T481" s="97" t="s">
        <v>67</v>
      </c>
      <c r="U481" s="105">
        <v>2.0</v>
      </c>
      <c r="V481" s="101" t="s">
        <v>393</v>
      </c>
      <c r="W481" s="106" t="b">
        <v>1</v>
      </c>
      <c r="X481" s="107"/>
      <c r="Y481" s="108"/>
    </row>
    <row r="482" ht="22.5" customHeight="1">
      <c r="A482" s="96"/>
      <c r="B482" s="97" t="s">
        <v>53</v>
      </c>
      <c r="C482" s="98" t="str">
        <f t="array" ref="C482">IFNA(XLOOKUP(J482,'⚙️ Pengaturan'!$H$5:$H1508,'⚙️ Pengaturan'!$I$5:$I1508),"")</f>
        <v>MANAJEMEN</v>
      </c>
      <c r="D482" s="97" t="s">
        <v>86</v>
      </c>
      <c r="E482" s="99">
        <v>45958.0</v>
      </c>
      <c r="F482" s="100" t="str">
        <f t="shared" si="1"/>
        <v>2025</v>
      </c>
      <c r="G482" s="100" t="str">
        <f t="shared" si="2"/>
        <v>10Okt</v>
      </c>
      <c r="H482" s="100" t="str">
        <f t="shared" si="3"/>
        <v>Selasa</v>
      </c>
      <c r="I482" s="97" t="s">
        <v>76</v>
      </c>
      <c r="J482" s="97" t="s">
        <v>81</v>
      </c>
      <c r="K482" s="97" t="s">
        <v>63</v>
      </c>
      <c r="L482" s="101" t="s">
        <v>193</v>
      </c>
      <c r="M482" s="102" t="str">
        <f>IFNA(VLOOKUP(L482,'🙎‍♂️ Pasien'!G:V,2,FALSE),"")</f>
        <v>E8925075615</v>
      </c>
      <c r="N482" s="103">
        <f>IFNA(VLOOKUP(L482,'🙎‍♂️ Pasien'!G:L,3,FALSE),"")</f>
        <v>36</v>
      </c>
      <c r="O482" s="104" t="str">
        <f>IFNA(VLOOKUP(L482,'🙎‍♂️ Pasien'!G:V,6,FALSE),"")</f>
        <v>PEREMPUAN</v>
      </c>
      <c r="P482" s="104" t="str">
        <f>IFNA(VLOOKUP(L482,'🙎‍♂️ Pasien'!G:V,12,FALSE),"")</f>
        <v>KATOLIK</v>
      </c>
      <c r="Q482" s="104" t="str">
        <f>IFNA(VLOOKUP(L482:L1508,'🙎‍♂️ Pasien'!G:V,13,FALSE),"")</f>
        <v>WIRASWASTA</v>
      </c>
      <c r="R482" s="104" t="str">
        <f t="array" ref="R482">ifna(xlookup(L482,'🙎‍♂️ Pasien'!$G$5:$G1508,'🙎‍♂️ Pasien'!$T$5:$T1508),"")</f>
        <v>BUNION</v>
      </c>
      <c r="S482" s="104" t="str">
        <f t="array" ref="S482">ifna(xlookup(L482,'🙎‍♂️ Pasien'!$G$5:$G1508,'🙎‍♂️ Pasien'!$U$5:$U1508),"")</f>
        <v>TENNIS</v>
      </c>
      <c r="T482" s="97" t="s">
        <v>59</v>
      </c>
      <c r="U482" s="105">
        <v>1.0</v>
      </c>
      <c r="V482" s="101"/>
      <c r="W482" s="106" t="b">
        <v>1</v>
      </c>
      <c r="X482" s="107"/>
      <c r="Y482" s="108"/>
    </row>
    <row r="483" ht="22.5" customHeight="1">
      <c r="A483" s="96"/>
      <c r="B483" s="97" t="s">
        <v>53</v>
      </c>
      <c r="C483" s="98" t="str">
        <f t="array" ref="C483">IFNA(XLOOKUP(J483,'⚙️ Pengaturan'!$H$5:$H1508,'⚙️ Pengaturan'!$I$5:$I1508),"")</f>
        <v>TIM Y</v>
      </c>
      <c r="D483" s="97" t="s">
        <v>86</v>
      </c>
      <c r="E483" s="99">
        <v>45958.0</v>
      </c>
      <c r="F483" s="100" t="str">
        <f t="shared" si="1"/>
        <v>2025</v>
      </c>
      <c r="G483" s="100" t="str">
        <f t="shared" si="2"/>
        <v>10Okt</v>
      </c>
      <c r="H483" s="100" t="str">
        <f t="shared" si="3"/>
        <v>Selasa</v>
      </c>
      <c r="I483" s="97" t="s">
        <v>76</v>
      </c>
      <c r="J483" s="97" t="s">
        <v>56</v>
      </c>
      <c r="K483" s="97" t="s">
        <v>69</v>
      </c>
      <c r="L483" s="101" t="s">
        <v>297</v>
      </c>
      <c r="M483" s="102" t="str">
        <f>IFNA(VLOOKUP(L483,'🙎‍♂️ Pasien'!G:V,2,FALSE),"")</f>
        <v>R8125108947</v>
      </c>
      <c r="N483" s="103">
        <f>IFNA(VLOOKUP(L483,'🙎‍♂️ Pasien'!G:L,3,FALSE),"")</f>
        <v>44</v>
      </c>
      <c r="O483" s="104" t="str">
        <f>IFNA(VLOOKUP(L483,'🙎‍♂️ Pasien'!G:V,6,FALSE),"")</f>
        <v>LAKI-LAKI</v>
      </c>
      <c r="P483" s="104" t="str">
        <f>IFNA(VLOOKUP(L483,'🙎‍♂️ Pasien'!G:V,12,FALSE),"")</f>
        <v>ISLAM</v>
      </c>
      <c r="Q483" s="104" t="str">
        <f>IFNA(VLOOKUP(L483:L1508,'🙎‍♂️ Pasien'!G:V,13,FALSE),"")</f>
        <v>WIRASWASTA</v>
      </c>
      <c r="R483" s="104" t="str">
        <f t="array" ref="R483">ifna(xlookup(L483,'🙎‍♂️ Pasien'!$G$5:$G1508,'🙎‍♂️ Pasien'!$T$5:$T1508),"")</f>
        <v>LBP</v>
      </c>
      <c r="S483" s="104" t="str">
        <f t="array" ref="S483">ifna(xlookup(L483,'🙎‍♂️ Pasien'!$G$5:$G1508,'🙎‍♂️ Pasien'!$U$5:$U1508),"")</f>
        <v>SUPERVISI LAPANGAN</v>
      </c>
      <c r="T483" s="97" t="s">
        <v>67</v>
      </c>
      <c r="U483" s="105" t="s">
        <v>60</v>
      </c>
      <c r="V483" s="101" t="s">
        <v>394</v>
      </c>
      <c r="W483" s="106" t="b">
        <v>1</v>
      </c>
      <c r="X483" s="107"/>
      <c r="Y483" s="108"/>
    </row>
    <row r="484" ht="22.5" customHeight="1">
      <c r="A484" s="96"/>
      <c r="B484" s="97" t="s">
        <v>53</v>
      </c>
      <c r="C484" s="98" t="str">
        <f t="array" ref="C484">IFNA(XLOOKUP(J484,'⚙️ Pengaturan'!$H$5:$H1508,'⚙️ Pengaturan'!$I$5:$I1508),"")</f>
        <v>TIM A</v>
      </c>
      <c r="D484" s="97" t="s">
        <v>86</v>
      </c>
      <c r="E484" s="99">
        <v>45958.0</v>
      </c>
      <c r="F484" s="100" t="str">
        <f t="shared" si="1"/>
        <v>2025</v>
      </c>
      <c r="G484" s="100" t="str">
        <f t="shared" si="2"/>
        <v>10Okt</v>
      </c>
      <c r="H484" s="100" t="str">
        <f t="shared" si="3"/>
        <v>Selasa</v>
      </c>
      <c r="I484" s="97" t="s">
        <v>83</v>
      </c>
      <c r="J484" s="97" t="s">
        <v>62</v>
      </c>
      <c r="K484" s="97" t="s">
        <v>63</v>
      </c>
      <c r="L484" s="101" t="s">
        <v>149</v>
      </c>
      <c r="M484" s="102" t="str">
        <f>IFNA(VLOOKUP(L484,'🙎‍♂️ Pasien'!G:V,2,FALSE),"")</f>
        <v>S9825058991</v>
      </c>
      <c r="N484" s="103">
        <f>IFNA(VLOOKUP(L484,'🙎‍♂️ Pasien'!G:L,3,FALSE),"")</f>
        <v>27</v>
      </c>
      <c r="O484" s="104" t="str">
        <f>IFNA(VLOOKUP(L484,'🙎‍♂️ Pasien'!G:V,6,FALSE),"")</f>
        <v>PEREMPUAN</v>
      </c>
      <c r="P484" s="104" t="str">
        <f>IFNA(VLOOKUP(L484,'🙎‍♂️ Pasien'!G:V,12,FALSE),"")</f>
        <v>ISLAM</v>
      </c>
      <c r="Q484" s="104" t="str">
        <f>IFNA(VLOOKUP(L484:L1508,'🙎‍♂️ Pasien'!G:V,13,FALSE),"")</f>
        <v>SWASTA</v>
      </c>
      <c r="R484" s="104" t="str">
        <f t="array" ref="R484">ifna(xlookup(L484,'🙎‍♂️ Pasien'!$G$5:$G1508,'🙎‍♂️ Pasien'!$T$5:$T1508),"")</f>
        <v>HNP LUMBAL/SARAF KEJEPIT</v>
      </c>
      <c r="S484" s="104" t="str">
        <f t="array" ref="S484">ifna(xlookup(L484,'🙎‍♂️ Pasien'!$G$5:$G1508,'🙎‍♂️ Pasien'!$U$5:$U1508),"")</f>
        <v>BEKERJA KANTORAN</v>
      </c>
      <c r="T484" s="97" t="s">
        <v>59</v>
      </c>
      <c r="U484" s="105">
        <v>8.0</v>
      </c>
      <c r="V484" s="101"/>
      <c r="W484" s="106" t="b">
        <v>1</v>
      </c>
      <c r="X484" s="107"/>
      <c r="Y484" s="108"/>
    </row>
    <row r="485" ht="22.5" customHeight="1">
      <c r="A485" s="96"/>
      <c r="B485" s="97" t="s">
        <v>53</v>
      </c>
      <c r="C485" s="98" t="str">
        <f t="array" ref="C485">IFNA(XLOOKUP(J485,'⚙️ Pengaturan'!$H$5:$H1508,'⚙️ Pengaturan'!$I$5:$I1508),"")</f>
        <v>TIM A</v>
      </c>
      <c r="D485" s="97" t="s">
        <v>86</v>
      </c>
      <c r="E485" s="99">
        <v>45958.0</v>
      </c>
      <c r="F485" s="100" t="str">
        <f t="shared" si="1"/>
        <v>2025</v>
      </c>
      <c r="G485" s="100" t="str">
        <f t="shared" si="2"/>
        <v>10Okt</v>
      </c>
      <c r="H485" s="100" t="str">
        <f t="shared" si="3"/>
        <v>Selasa</v>
      </c>
      <c r="I485" s="97" t="s">
        <v>83</v>
      </c>
      <c r="J485" s="97" t="s">
        <v>72</v>
      </c>
      <c r="K485" s="97" t="s">
        <v>57</v>
      </c>
      <c r="L485" s="101" t="s">
        <v>395</v>
      </c>
      <c r="M485" s="102" t="str">
        <f>IFNA(VLOOKUP(L485,'🙎‍♂️ Pasien'!G:V,2,FALSE),"")</f>
        <v>T6325109944</v>
      </c>
      <c r="N485" s="103">
        <f>IFNA(VLOOKUP(L485,'🙎‍♂️ Pasien'!G:L,3,FALSE),"")</f>
        <v>62</v>
      </c>
      <c r="O485" s="104" t="str">
        <f>IFNA(VLOOKUP(L485,'🙎‍♂️ Pasien'!G:V,6,FALSE),"")</f>
        <v>LAKI-LAKI</v>
      </c>
      <c r="P485" s="104" t="str">
        <f>IFNA(VLOOKUP(L485,'🙎‍♂️ Pasien'!G:V,12,FALSE),"")</f>
        <v>PROTESTAN</v>
      </c>
      <c r="Q485" s="104" t="str">
        <f>IFNA(VLOOKUP(L485:L1508,'🙎‍♂️ Pasien'!G:V,13,FALSE),"")</f>
        <v>BURUH</v>
      </c>
      <c r="R485" s="104" t="str">
        <f t="array" ref="R485">ifna(xlookup(L485,'🙎‍♂️ Pasien'!$G$5:$G1508,'🙎‍♂️ Pasien'!$T$5:$T1508),"")</f>
        <v>SAKIT DI BAGIAN SAMPING BETIS KANAN MENJALAR SAMPAI KE BOKONG KANAN</v>
      </c>
      <c r="S485" s="104" t="str">
        <f t="array" ref="S485">ifna(xlookup(L485,'🙎‍♂️ Pasien'!$G$5:$G1508,'🙎‍♂️ Pasien'!$U$5:$U1508),"")</f>
        <v>SAKIT DIAKIBATKAN OLAHRAGA MENGANGKAT ATAU MENGAYUN KAKI</v>
      </c>
      <c r="T485" s="97" t="s">
        <v>59</v>
      </c>
      <c r="U485" s="105" t="s">
        <v>60</v>
      </c>
      <c r="V485" s="101"/>
      <c r="W485" s="106" t="b">
        <v>1</v>
      </c>
      <c r="X485" s="107"/>
      <c r="Y485" s="108"/>
    </row>
    <row r="486" ht="22.5" customHeight="1">
      <c r="A486" s="96"/>
      <c r="B486" s="97" t="s">
        <v>85</v>
      </c>
      <c r="C486" s="98" t="str">
        <f t="array" ref="C486">IFNA(XLOOKUP(J486,'⚙️ Pengaturan'!$H$5:$H1508,'⚙️ Pengaturan'!$I$5:$I1508),"")</f>
        <v>TIM Y</v>
      </c>
      <c r="D486" s="97" t="s">
        <v>54</v>
      </c>
      <c r="E486" s="99">
        <v>45958.0</v>
      </c>
      <c r="F486" s="100" t="str">
        <f t="shared" si="1"/>
        <v>2025</v>
      </c>
      <c r="G486" s="100" t="str">
        <f t="shared" si="2"/>
        <v>10Okt</v>
      </c>
      <c r="H486" s="100" t="str">
        <f t="shared" si="3"/>
        <v>Selasa</v>
      </c>
      <c r="I486" s="97" t="s">
        <v>87</v>
      </c>
      <c r="J486" s="97" t="s">
        <v>88</v>
      </c>
      <c r="K486" s="97" t="s">
        <v>63</v>
      </c>
      <c r="L486" s="101" t="s">
        <v>181</v>
      </c>
      <c r="M486" s="102" t="str">
        <f>IFNA(VLOOKUP(L486,'🙎‍♂️ Pasien'!G:V,2,FALSE),"")</f>
        <v>D0525097586</v>
      </c>
      <c r="N486" s="103">
        <f>IFNA(VLOOKUP(L486,'🙎‍♂️ Pasien'!G:L,3,FALSE),"")</f>
        <v>21</v>
      </c>
      <c r="O486" s="104" t="str">
        <f>IFNA(VLOOKUP(L486,'🙎‍♂️ Pasien'!G:V,6,FALSE),"")</f>
        <v>LAKI-LAKI</v>
      </c>
      <c r="P486" s="104" t="str">
        <f>IFNA(VLOOKUP(L486,'🙎‍♂️ Pasien'!G:V,12,FALSE),"")</f>
        <v>ISLAM</v>
      </c>
      <c r="Q486" s="104" t="str">
        <f>IFNA(VLOOKUP(L486:L1508,'🙎‍♂️ Pasien'!G:V,13,FALSE),"")</f>
        <v>JAGA STAND</v>
      </c>
      <c r="R486" s="104" t="str">
        <f t="array" ref="R486">ifna(xlookup(L486,'🙎‍♂️ Pasien'!$G$5:$G1508,'🙎‍♂️ Pasien'!$T$5:$T1508),"")</f>
        <v>TERTURUN/TURUN BEROK</v>
      </c>
      <c r="S486" s="104" t="str">
        <f t="array" ref="S486">ifna(xlookup(L486,'🙎‍♂️ Pasien'!$G$5:$G1508,'🙎‍♂️ Pasien'!$U$5:$U1508),"")</f>
        <v>SAAT MAIN BOLA</v>
      </c>
      <c r="T486" s="97" t="s">
        <v>59</v>
      </c>
      <c r="U486" s="105">
        <v>3.0</v>
      </c>
      <c r="V486" s="101"/>
      <c r="W486" s="106" t="b">
        <v>1</v>
      </c>
      <c r="X486" s="107"/>
      <c r="Y486" s="108"/>
    </row>
    <row r="487" ht="22.5" customHeight="1">
      <c r="A487" s="96"/>
      <c r="B487" s="97" t="s">
        <v>85</v>
      </c>
      <c r="C487" s="98" t="str">
        <f t="array" ref="C487">IFNA(XLOOKUP(J487,'⚙️ Pengaturan'!$H$5:$H1508,'⚙️ Pengaturan'!$I$5:$I1508),"")</f>
        <v>TIM Y</v>
      </c>
      <c r="D487" s="97" t="s">
        <v>54</v>
      </c>
      <c r="E487" s="99">
        <v>45958.0</v>
      </c>
      <c r="F487" s="100" t="str">
        <f t="shared" si="1"/>
        <v>2025</v>
      </c>
      <c r="G487" s="100" t="str">
        <f t="shared" si="2"/>
        <v>10Okt</v>
      </c>
      <c r="H487" s="100" t="str">
        <f t="shared" si="3"/>
        <v>Selasa</v>
      </c>
      <c r="I487" s="97" t="s">
        <v>87</v>
      </c>
      <c r="J487" s="97" t="s">
        <v>107</v>
      </c>
      <c r="K487" s="97" t="s">
        <v>63</v>
      </c>
      <c r="L487" s="101" t="s">
        <v>116</v>
      </c>
      <c r="M487" s="102" t="str">
        <f>IFNA(VLOOKUP(L487,'🙎‍♂️ Pasien'!G:V,2,FALSE),"")</f>
        <v>H7825098625</v>
      </c>
      <c r="N487" s="103">
        <f>IFNA(VLOOKUP(L487,'🙎‍♂️ Pasien'!G:L,3,FALSE),"")</f>
        <v>47</v>
      </c>
      <c r="O487" s="104" t="str">
        <f>IFNA(VLOOKUP(L487,'🙎‍♂️ Pasien'!G:V,6,FALSE),"")</f>
        <v>LAKI-LAKI</v>
      </c>
      <c r="P487" s="104" t="str">
        <f>IFNA(VLOOKUP(L487,'🙎‍♂️ Pasien'!G:V,12,FALSE),"")</f>
        <v>KHONGHUCU</v>
      </c>
      <c r="Q487" s="104" t="str">
        <f>IFNA(VLOOKUP(L487:L1508,'🙎‍♂️ Pasien'!G:V,13,FALSE),"")</f>
        <v>WIRASWASTA</v>
      </c>
      <c r="R487" s="104" t="str">
        <f t="array" ref="R487">ifna(xlookup(L487,'🙎‍♂️ Pasien'!$G$5:$G1508,'🙎‍♂️ Pasien'!$T$5:$T1508),"")</f>
        <v>SIANTAN</v>
      </c>
      <c r="S487" s="104" t="str">
        <f t="array" ref="S487">ifna(xlookup(L487,'🙎‍♂️ Pasien'!$G$5:$G1508,'🙎‍♂️ Pasien'!$U$5:$U1508),"")</f>
        <v>GYM</v>
      </c>
      <c r="T487" s="97" t="s">
        <v>67</v>
      </c>
      <c r="U487" s="105">
        <v>3.0</v>
      </c>
      <c r="V487" s="101" t="s">
        <v>396</v>
      </c>
      <c r="W487" s="106" t="b">
        <v>1</v>
      </c>
      <c r="X487" s="107"/>
      <c r="Y487" s="108"/>
    </row>
    <row r="488" ht="22.5" customHeight="1">
      <c r="A488" s="96"/>
      <c r="B488" s="97" t="s">
        <v>85</v>
      </c>
      <c r="C488" s="98" t="str">
        <f t="array" ref="C488">IFNA(XLOOKUP(J488,'⚙️ Pengaturan'!$H$5:$H1508,'⚙️ Pengaturan'!$I$5:$I1508),"")</f>
        <v>TIM Y</v>
      </c>
      <c r="D488" s="97" t="s">
        <v>54</v>
      </c>
      <c r="E488" s="99">
        <v>45958.0</v>
      </c>
      <c r="F488" s="100" t="str">
        <f t="shared" si="1"/>
        <v>2025</v>
      </c>
      <c r="G488" s="100" t="str">
        <f t="shared" si="2"/>
        <v>10Okt</v>
      </c>
      <c r="H488" s="100" t="str">
        <f t="shared" si="3"/>
        <v>Selasa</v>
      </c>
      <c r="I488" s="97" t="s">
        <v>87</v>
      </c>
      <c r="J488" s="97" t="s">
        <v>91</v>
      </c>
      <c r="K488" s="97" t="s">
        <v>57</v>
      </c>
      <c r="L488" s="101" t="s">
        <v>397</v>
      </c>
      <c r="M488" s="102" t="str">
        <f>IFNA(VLOOKUP(L488,'🙎‍♂️ Pasien'!G:V,2,FALSE),"")</f>
        <v>R1325084646</v>
      </c>
      <c r="N488" s="103">
        <f>IFNA(VLOOKUP(L488,'🙎‍♂️ Pasien'!G:L,3,FALSE),"")</f>
        <v>13</v>
      </c>
      <c r="O488" s="104" t="str">
        <f>IFNA(VLOOKUP(L488,'🙎‍♂️ Pasien'!G:V,6,FALSE),"")</f>
        <v>LAKI-LAKI</v>
      </c>
      <c r="P488" s="104" t="str">
        <f>IFNA(VLOOKUP(L488,'🙎‍♂️ Pasien'!G:V,12,FALSE),"")</f>
        <v>ISLAM</v>
      </c>
      <c r="Q488" s="104" t="str">
        <f>IFNA(VLOOKUP(L488:L1508,'🙎‍♂️ Pasien'!G:V,13,FALSE),"")</f>
        <v>PELAJAR SMPIT AL MUMTAZ</v>
      </c>
      <c r="R488" s="104" t="str">
        <f t="array" ref="R488">ifna(xlookup(L488,'🙎‍♂️ Pasien'!$G$5:$G1508,'🙎‍♂️ Pasien'!$T$5:$T1508),"")</f>
        <v>KAKI TERKILIR</v>
      </c>
      <c r="S488" s="104" t="str">
        <f t="array" ref="S488">ifna(xlookup(L488,'🙎‍♂️ Pasien'!$G$5:$G1508,'🙎‍♂️ Pasien'!$U$5:$U1508),"")</f>
        <v>FUTSAL</v>
      </c>
      <c r="T488" s="97" t="s">
        <v>59</v>
      </c>
      <c r="U488" s="105" t="s">
        <v>60</v>
      </c>
      <c r="V488" s="101" t="s">
        <v>310</v>
      </c>
      <c r="W488" s="106" t="b">
        <v>1</v>
      </c>
      <c r="X488" s="107"/>
      <c r="Y488" s="108"/>
    </row>
    <row r="489" ht="22.5" customHeight="1">
      <c r="A489" s="96"/>
      <c r="B489" s="97" t="s">
        <v>85</v>
      </c>
      <c r="C489" s="98" t="str">
        <f t="array" ref="C489">IFNA(XLOOKUP(J489,'⚙️ Pengaturan'!$H$5:$H1508,'⚙️ Pengaturan'!$I$5:$I1508),"")</f>
        <v>TIM Y</v>
      </c>
      <c r="D489" s="97" t="s">
        <v>54</v>
      </c>
      <c r="E489" s="99">
        <v>45958.0</v>
      </c>
      <c r="F489" s="100" t="str">
        <f t="shared" si="1"/>
        <v>2025</v>
      </c>
      <c r="G489" s="100" t="str">
        <f t="shared" si="2"/>
        <v>10Okt</v>
      </c>
      <c r="H489" s="100" t="str">
        <f t="shared" si="3"/>
        <v>Selasa</v>
      </c>
      <c r="I489" s="97" t="s">
        <v>93</v>
      </c>
      <c r="J489" s="97" t="s">
        <v>107</v>
      </c>
      <c r="K489" s="97" t="s">
        <v>135</v>
      </c>
      <c r="L489" s="101" t="s">
        <v>382</v>
      </c>
      <c r="M489" s="102" t="str">
        <f>IFNA(VLOOKUP(L489,'🙎‍♂️ Pasien'!G:V,2,FALSE),"")</f>
        <v>D6925037525</v>
      </c>
      <c r="N489" s="103">
        <f>IFNA(VLOOKUP(L489,'🙎‍♂️ Pasien'!G:L,3,FALSE),"")</f>
        <v>57</v>
      </c>
      <c r="O489" s="104" t="str">
        <f>IFNA(VLOOKUP(L489,'🙎‍♂️ Pasien'!G:V,6,FALSE),"")</f>
        <v>PEREMPUAN</v>
      </c>
      <c r="P489" s="104" t="str">
        <f>IFNA(VLOOKUP(L489,'🙎‍♂️ Pasien'!G:V,12,FALSE),"")</f>
        <v>ISLAM</v>
      </c>
      <c r="Q489" s="104" t="str">
        <f>IFNA(VLOOKUP(L489:L1508,'🙎‍♂️ Pasien'!G:V,13,FALSE),"")</f>
        <v>RUMAH TANGGA</v>
      </c>
      <c r="R489" s="104" t="str">
        <f t="array" ref="R489">ifna(xlookup(L489,'🙎‍♂️ Pasien'!$G$5:$G1508,'🙎‍♂️ Pasien'!$T$5:$T1508),"")</f>
        <v>BAHU DAN KAKI</v>
      </c>
      <c r="S489" s="104" t="str">
        <f t="array" ref="S489">ifna(xlookup(L489,'🙎‍♂️ Pasien'!$G$5:$G1508,'🙎‍♂️ Pasien'!$U$5:$U1508),"")</f>
        <v>-</v>
      </c>
      <c r="T489" s="97" t="s">
        <v>67</v>
      </c>
      <c r="U489" s="105" t="s">
        <v>60</v>
      </c>
      <c r="V489" s="101" t="s">
        <v>398</v>
      </c>
      <c r="W489" s="106" t="b">
        <v>1</v>
      </c>
      <c r="X489" s="107"/>
      <c r="Y489" s="108"/>
    </row>
    <row r="490" ht="22.5" customHeight="1">
      <c r="A490" s="96"/>
      <c r="B490" s="97" t="s">
        <v>85</v>
      </c>
      <c r="C490" s="98" t="str">
        <f t="array" ref="C490">IFNA(XLOOKUP(J490,'⚙️ Pengaturan'!$H$5:$H1508,'⚙️ Pengaturan'!$I$5:$I1508),"")</f>
        <v>TIM Y</v>
      </c>
      <c r="D490" s="97" t="s">
        <v>54</v>
      </c>
      <c r="E490" s="99">
        <v>45958.0</v>
      </c>
      <c r="F490" s="100" t="str">
        <f t="shared" si="1"/>
        <v>2025</v>
      </c>
      <c r="G490" s="100" t="str">
        <f t="shared" si="2"/>
        <v>10Okt</v>
      </c>
      <c r="H490" s="100" t="str">
        <f t="shared" si="3"/>
        <v>Selasa</v>
      </c>
      <c r="I490" s="97" t="s">
        <v>93</v>
      </c>
      <c r="J490" s="97" t="s">
        <v>88</v>
      </c>
      <c r="K490" s="97" t="s">
        <v>63</v>
      </c>
      <c r="L490" s="101" t="s">
        <v>209</v>
      </c>
      <c r="M490" s="102" t="str">
        <f>IFNA(VLOOKUP(L490,'🙎‍♂️ Pasien'!G:V,2,FALSE),"")</f>
        <v>M6825090</v>
      </c>
      <c r="N490" s="103">
        <f>IFNA(VLOOKUP(L490,'🙎‍♂️ Pasien'!G:L,3,FALSE),"")</f>
        <v>57</v>
      </c>
      <c r="O490" s="104" t="str">
        <f>IFNA(VLOOKUP(L490,'🙎‍♂️ Pasien'!G:V,6,FALSE),"")</f>
        <v>LAKI-LAKI</v>
      </c>
      <c r="P490" s="104" t="str">
        <f>IFNA(VLOOKUP(L490,'🙎‍♂️ Pasien'!G:V,12,FALSE),"")</f>
        <v>BUDDHA</v>
      </c>
      <c r="Q490" s="104" t="str">
        <f>IFNA(VLOOKUP(L490:L1508,'🙎‍♂️ Pasien'!G:V,13,FALSE),"")</f>
        <v>WIRASWASTA</v>
      </c>
      <c r="R490" s="104" t="str">
        <f t="array" ref="R490">ifna(xlookup(L490,'🙎‍♂️ Pasien'!$G$5:$G1508,'🙎‍♂️ Pasien'!$T$5:$T1508),"")</f>
        <v>LUTUT</v>
      </c>
      <c r="S490" s="104" t="str">
        <f t="array" ref="S490">ifna(xlookup(L490,'🙎‍♂️ Pasien'!$G$5:$G1508,'🙎‍♂️ Pasien'!$U$5:$U1508),"")</f>
        <v>-</v>
      </c>
      <c r="T490" s="97" t="s">
        <v>59</v>
      </c>
      <c r="U490" s="105">
        <v>5.0</v>
      </c>
      <c r="V490" s="101" t="s">
        <v>125</v>
      </c>
      <c r="W490" s="106" t="b">
        <v>1</v>
      </c>
      <c r="X490" s="107"/>
      <c r="Y490" s="108"/>
    </row>
    <row r="491" ht="22.5" customHeight="1">
      <c r="A491" s="96"/>
      <c r="B491" s="97" t="s">
        <v>85</v>
      </c>
      <c r="C491" s="98" t="str">
        <f t="array" ref="C491">IFNA(XLOOKUP(J491,'⚙️ Pengaturan'!$H$5:$H1508,'⚙️ Pengaturan'!$I$5:$I1508),"")</f>
        <v>TIM Y</v>
      </c>
      <c r="D491" s="97" t="s">
        <v>54</v>
      </c>
      <c r="E491" s="99">
        <v>45958.0</v>
      </c>
      <c r="F491" s="100" t="str">
        <f t="shared" si="1"/>
        <v>2025</v>
      </c>
      <c r="G491" s="100" t="str">
        <f t="shared" si="2"/>
        <v>10Okt</v>
      </c>
      <c r="H491" s="100" t="str">
        <f t="shared" si="3"/>
        <v>Selasa</v>
      </c>
      <c r="I491" s="97" t="s">
        <v>95</v>
      </c>
      <c r="J491" s="97" t="s">
        <v>107</v>
      </c>
      <c r="K491" s="97" t="s">
        <v>63</v>
      </c>
      <c r="L491" s="101" t="s">
        <v>193</v>
      </c>
      <c r="M491" s="102" t="str">
        <f>IFNA(VLOOKUP(L491,'🙎‍♂️ Pasien'!G:V,2,FALSE),"")</f>
        <v>E8925075615</v>
      </c>
      <c r="N491" s="103">
        <f>IFNA(VLOOKUP(L491,'🙎‍♂️ Pasien'!G:L,3,FALSE),"")</f>
        <v>36</v>
      </c>
      <c r="O491" s="104" t="str">
        <f>IFNA(VLOOKUP(L491,'🙎‍♂️ Pasien'!G:V,6,FALSE),"")</f>
        <v>PEREMPUAN</v>
      </c>
      <c r="P491" s="104" t="str">
        <f>IFNA(VLOOKUP(L491,'🙎‍♂️ Pasien'!G:V,12,FALSE),"")</f>
        <v>KATOLIK</v>
      </c>
      <c r="Q491" s="104" t="str">
        <f>IFNA(VLOOKUP(L491:L1508,'🙎‍♂️ Pasien'!G:V,13,FALSE),"")</f>
        <v>WIRASWASTA</v>
      </c>
      <c r="R491" s="104" t="str">
        <f t="array" ref="R491">ifna(xlookup(L491,'🙎‍♂️ Pasien'!$G$5:$G1508,'🙎‍♂️ Pasien'!$T$5:$T1508),"")</f>
        <v>BUNION</v>
      </c>
      <c r="S491" s="104" t="str">
        <f t="array" ref="S491">ifna(xlookup(L491,'🙎‍♂️ Pasien'!$G$5:$G1508,'🙎‍♂️ Pasien'!$U$5:$U1508),"")</f>
        <v>TENNIS</v>
      </c>
      <c r="T491" s="97" t="s">
        <v>67</v>
      </c>
      <c r="U491" s="105">
        <v>2.0</v>
      </c>
      <c r="V491" s="101" t="s">
        <v>399</v>
      </c>
      <c r="W491" s="106" t="b">
        <v>1</v>
      </c>
      <c r="X491" s="107"/>
      <c r="Y491" s="108"/>
    </row>
    <row r="492" ht="22.5" customHeight="1">
      <c r="A492" s="96"/>
      <c r="B492" s="97" t="s">
        <v>85</v>
      </c>
      <c r="C492" s="98" t="str">
        <f t="array" ref="C492">IFNA(XLOOKUP(J492,'⚙️ Pengaturan'!$H$5:$H1508,'⚙️ Pengaturan'!$I$5:$I1508),"")</f>
        <v>TIM Y</v>
      </c>
      <c r="D492" s="97" t="s">
        <v>54</v>
      </c>
      <c r="E492" s="99">
        <v>45958.0</v>
      </c>
      <c r="F492" s="100" t="str">
        <f t="shared" si="1"/>
        <v>2025</v>
      </c>
      <c r="G492" s="100" t="str">
        <f t="shared" si="2"/>
        <v>10Okt</v>
      </c>
      <c r="H492" s="100" t="str">
        <f t="shared" si="3"/>
        <v>Selasa</v>
      </c>
      <c r="I492" s="97" t="s">
        <v>95</v>
      </c>
      <c r="J492" s="97" t="s">
        <v>91</v>
      </c>
      <c r="K492" s="97" t="s">
        <v>63</v>
      </c>
      <c r="L492" s="101" t="s">
        <v>194</v>
      </c>
      <c r="M492" s="102" t="str">
        <f>IFNA(VLOOKUP(L492,'🙎‍♂️ Pasien'!G:V,2,FALSE),"")</f>
        <v>O0925070649</v>
      </c>
      <c r="N492" s="103">
        <f>IFNA(VLOOKUP(L492,'🙎‍♂️ Pasien'!G:L,3,FALSE),"")</f>
        <v>16</v>
      </c>
      <c r="O492" s="104" t="str">
        <f>IFNA(VLOOKUP(L492,'🙎‍♂️ Pasien'!G:V,6,FALSE),"")</f>
        <v>PEREMPUAN</v>
      </c>
      <c r="P492" s="104" t="str">
        <f>IFNA(VLOOKUP(L492,'🙎‍♂️ Pasien'!G:V,12,FALSE),"")</f>
        <v>BUDDHA</v>
      </c>
      <c r="Q492" s="104" t="str">
        <f>IFNA(VLOOKUP(L492:L1508,'🙎‍♂️ Pasien'!G:V,13,FALSE),"")</f>
        <v>PELAJAR</v>
      </c>
      <c r="R492" s="104" t="str">
        <f t="array" ref="R492">ifna(xlookup(L492,'🙎‍♂️ Pasien'!$G$5:$G1508,'🙎‍♂️ Pasien'!$T$5:$T1508),"")</f>
        <v>SKOLIOSIS</v>
      </c>
      <c r="S492" s="104" t="str">
        <f t="array" ref="S492">ifna(xlookup(L492,'🙎‍♂️ Pasien'!$G$5:$G1508,'🙎‍♂️ Pasien'!$U$5:$U1508),"")</f>
        <v>TIDAK ADA</v>
      </c>
      <c r="T492" s="97" t="s">
        <v>59</v>
      </c>
      <c r="U492" s="105">
        <v>6.0</v>
      </c>
      <c r="V492" s="101"/>
      <c r="W492" s="106" t="b">
        <v>1</v>
      </c>
      <c r="X492" s="107"/>
      <c r="Y492" s="108"/>
    </row>
    <row r="493" ht="22.5" customHeight="1">
      <c r="A493" s="96"/>
      <c r="B493" s="97" t="s">
        <v>85</v>
      </c>
      <c r="C493" s="98" t="str">
        <f t="array" ref="C493">IFNA(XLOOKUP(J493,'⚙️ Pengaturan'!$H$5:$H1508,'⚙️ Pengaturan'!$I$5:$I1508),"")</f>
        <v>TIM Y</v>
      </c>
      <c r="D493" s="97" t="s">
        <v>54</v>
      </c>
      <c r="E493" s="99">
        <v>45958.0</v>
      </c>
      <c r="F493" s="100" t="str">
        <f t="shared" si="1"/>
        <v>2025</v>
      </c>
      <c r="G493" s="100" t="str">
        <f t="shared" si="2"/>
        <v>10Okt</v>
      </c>
      <c r="H493" s="100" t="str">
        <f t="shared" si="3"/>
        <v>Selasa</v>
      </c>
      <c r="I493" s="97" t="s">
        <v>95</v>
      </c>
      <c r="J493" s="97" t="s">
        <v>88</v>
      </c>
      <c r="K493" s="97" t="s">
        <v>69</v>
      </c>
      <c r="L493" s="101" t="s">
        <v>297</v>
      </c>
      <c r="M493" s="102" t="str">
        <f>IFNA(VLOOKUP(L493,'🙎‍♂️ Pasien'!G:V,2,FALSE),"")</f>
        <v>R8125108947</v>
      </c>
      <c r="N493" s="103">
        <f>IFNA(VLOOKUP(L493,'🙎‍♂️ Pasien'!G:L,3,FALSE),"")</f>
        <v>44</v>
      </c>
      <c r="O493" s="104" t="str">
        <f>IFNA(VLOOKUP(L493,'🙎‍♂️ Pasien'!G:V,6,FALSE),"")</f>
        <v>LAKI-LAKI</v>
      </c>
      <c r="P493" s="104" t="str">
        <f>IFNA(VLOOKUP(L493,'🙎‍♂️ Pasien'!G:V,12,FALSE),"")</f>
        <v>ISLAM</v>
      </c>
      <c r="Q493" s="104" t="str">
        <f>IFNA(VLOOKUP(L493:L1508,'🙎‍♂️ Pasien'!G:V,13,FALSE),"")</f>
        <v>WIRASWASTA</v>
      </c>
      <c r="R493" s="104" t="str">
        <f t="array" ref="R493">ifna(xlookup(L493,'🙎‍♂️ Pasien'!$G$5:$G1508,'🙎‍♂️ Pasien'!$T$5:$T1508),"")</f>
        <v>LBP</v>
      </c>
      <c r="S493" s="104" t="str">
        <f t="array" ref="S493">ifna(xlookup(L493,'🙎‍♂️ Pasien'!$G$5:$G1508,'🙎‍♂️ Pasien'!$U$5:$U1508),"")</f>
        <v>SUPERVISI LAPANGAN</v>
      </c>
      <c r="T493" s="97" t="s">
        <v>59</v>
      </c>
      <c r="U493" s="105" t="s">
        <v>60</v>
      </c>
      <c r="V493" s="101"/>
      <c r="W493" s="106" t="b">
        <v>1</v>
      </c>
      <c r="X493" s="107"/>
      <c r="Y493" s="108"/>
    </row>
    <row r="494" ht="22.5" customHeight="1">
      <c r="A494" s="96"/>
      <c r="B494" s="97" t="s">
        <v>85</v>
      </c>
      <c r="C494" s="98" t="str">
        <f t="array" ref="C494">IFNA(XLOOKUP(J494,'⚙️ Pengaturan'!$H$5:$H1508,'⚙️ Pengaturan'!$I$5:$I1508),"")</f>
        <v>TIM Y</v>
      </c>
      <c r="D494" s="97" t="s">
        <v>54</v>
      </c>
      <c r="E494" s="99">
        <v>45958.0</v>
      </c>
      <c r="F494" s="100" t="str">
        <f t="shared" si="1"/>
        <v>2025</v>
      </c>
      <c r="G494" s="100" t="str">
        <f t="shared" si="2"/>
        <v>10Okt</v>
      </c>
      <c r="H494" s="100" t="str">
        <f t="shared" si="3"/>
        <v>Selasa</v>
      </c>
      <c r="I494" s="97" t="s">
        <v>97</v>
      </c>
      <c r="J494" s="97" t="s">
        <v>107</v>
      </c>
      <c r="K494" s="97" t="s">
        <v>63</v>
      </c>
      <c r="L494" s="101" t="s">
        <v>335</v>
      </c>
      <c r="M494" s="102" t="str">
        <f>IFNA(VLOOKUP(L494,'🙎‍♂️ Pasien'!G:V,2,FALSE),"")</f>
        <v>M8925040551</v>
      </c>
      <c r="N494" s="103">
        <f>IFNA(VLOOKUP(L494,'🙎‍♂️ Pasien'!G:L,3,FALSE),"")</f>
        <v>37</v>
      </c>
      <c r="O494" s="104" t="str">
        <f>IFNA(VLOOKUP(L494,'🙎‍♂️ Pasien'!G:V,6,FALSE),"")</f>
        <v>PEREMPUAN</v>
      </c>
      <c r="P494" s="104" t="str">
        <f>IFNA(VLOOKUP(L494,'🙎‍♂️ Pasien'!G:V,12,FALSE),"")</f>
        <v>-</v>
      </c>
      <c r="Q494" s="104" t="str">
        <f>IFNA(VLOOKUP(L494:L1508,'🙎‍♂️ Pasien'!G:V,13,FALSE),"")</f>
        <v>PNS</v>
      </c>
      <c r="R494" s="104" t="str">
        <f t="array" ref="R494">ifna(xlookup(L494,'🙎‍♂️ Pasien'!$G$5:$G1508,'🙎‍♂️ Pasien'!$T$5:$T1508),"")</f>
        <v>SAKIT DI TUMIT BAGIAN TENGAH TELAPAK KAKI, KAKI KANAN. KADANG TERASA HANGAT/PANAS</v>
      </c>
      <c r="S494" s="104" t="str">
        <f t="array" ref="S494">ifna(xlookup(L494,'🙎‍♂️ Pasien'!$G$5:$G1508,'🙎‍♂️ Pasien'!$U$5:$U1508),"")</f>
        <v>JALAN PAGI</v>
      </c>
      <c r="T494" s="97" t="s">
        <v>67</v>
      </c>
      <c r="U494" s="105">
        <v>2.0</v>
      </c>
      <c r="V494" s="101" t="s">
        <v>400</v>
      </c>
      <c r="W494" s="106" t="b">
        <v>1</v>
      </c>
      <c r="X494" s="107"/>
      <c r="Y494" s="108"/>
    </row>
    <row r="495" ht="22.5" customHeight="1">
      <c r="A495" s="96"/>
      <c r="B495" s="97" t="s">
        <v>85</v>
      </c>
      <c r="C495" s="98" t="str">
        <f t="array" ref="C495">IFNA(XLOOKUP(J495,'⚙️ Pengaturan'!$H$5:$H1508,'⚙️ Pengaturan'!$I$5:$I1508),"")</f>
        <v>TIM Y</v>
      </c>
      <c r="D495" s="97" t="s">
        <v>54</v>
      </c>
      <c r="E495" s="99">
        <v>45958.0</v>
      </c>
      <c r="F495" s="100" t="str">
        <f t="shared" si="1"/>
        <v>2025</v>
      </c>
      <c r="G495" s="100" t="str">
        <f t="shared" si="2"/>
        <v>10Okt</v>
      </c>
      <c r="H495" s="100" t="str">
        <f t="shared" si="3"/>
        <v>Selasa</v>
      </c>
      <c r="I495" s="97" t="s">
        <v>97</v>
      </c>
      <c r="J495" s="97" t="s">
        <v>88</v>
      </c>
      <c r="K495" s="97" t="s">
        <v>63</v>
      </c>
      <c r="L495" s="101" t="s">
        <v>325</v>
      </c>
      <c r="M495" s="102" t="str">
        <f>IFNA(VLOOKUP(L495,'🙎‍♂️ Pasien'!G:V,2,FALSE),"")</f>
        <v>M9825103838</v>
      </c>
      <c r="N495" s="103">
        <f>IFNA(VLOOKUP(L495,'🙎‍♂️ Pasien'!G:L,3,FALSE),"")</f>
        <v>27</v>
      </c>
      <c r="O495" s="104" t="str">
        <f>IFNA(VLOOKUP(L495,'🙎‍♂️ Pasien'!G:V,6,FALSE),"")</f>
        <v>LAKI-LAKI</v>
      </c>
      <c r="P495" s="104" t="str">
        <f>IFNA(VLOOKUP(L495,'🙎‍♂️ Pasien'!G:V,12,FALSE),"")</f>
        <v>ISLAM</v>
      </c>
      <c r="Q495" s="104" t="str">
        <f>IFNA(VLOOKUP(L495:L1508,'🙎‍♂️ Pasien'!G:V,13,FALSE),"")</f>
        <v>MAHASISWA</v>
      </c>
      <c r="R495" s="104" t="str">
        <f t="array" ref="R495">ifna(xlookup(L495,'🙎‍♂️ Pasien'!$G$5:$G1508,'🙎‍♂️ Pasien'!$T$5:$T1508),"")</f>
        <v>KAKI</v>
      </c>
      <c r="S495" s="104" t="str">
        <f t="array" ref="S495">ifna(xlookup(L495,'🙎‍♂️ Pasien'!$G$5:$G1508,'🙎‍♂️ Pasien'!$U$5:$U1508),"")</f>
        <v>-</v>
      </c>
      <c r="T495" s="97" t="s">
        <v>59</v>
      </c>
      <c r="U495" s="105">
        <v>3.0</v>
      </c>
      <c r="V495" s="101" t="s">
        <v>332</v>
      </c>
      <c r="W495" s="106" t="b">
        <v>1</v>
      </c>
      <c r="X495" s="107"/>
      <c r="Y495" s="108"/>
    </row>
    <row r="496" ht="22.5" customHeight="1">
      <c r="A496" s="96"/>
      <c r="B496" s="97" t="s">
        <v>85</v>
      </c>
      <c r="C496" s="98" t="str">
        <f t="array" ref="C496">IFNA(XLOOKUP(J496,'⚙️ Pengaturan'!$H$5:$H1508,'⚙️ Pengaturan'!$I$5:$I1508),"")</f>
        <v>TIM Y</v>
      </c>
      <c r="D496" s="97" t="s">
        <v>54</v>
      </c>
      <c r="E496" s="99">
        <v>45958.0</v>
      </c>
      <c r="F496" s="100" t="str">
        <f t="shared" si="1"/>
        <v>2025</v>
      </c>
      <c r="G496" s="100" t="str">
        <f t="shared" si="2"/>
        <v>10Okt</v>
      </c>
      <c r="H496" s="100" t="str">
        <f t="shared" si="3"/>
        <v>Selasa</v>
      </c>
      <c r="I496" s="97" t="s">
        <v>97</v>
      </c>
      <c r="J496" s="97" t="s">
        <v>91</v>
      </c>
      <c r="K496" s="97" t="s">
        <v>135</v>
      </c>
      <c r="L496" s="101" t="s">
        <v>370</v>
      </c>
      <c r="M496" s="102" t="str">
        <f>IFNA(VLOOKUP(L496,'🙎‍♂️ Pasien'!G:V,2,FALSE),"")</f>
        <v>N0525103483</v>
      </c>
      <c r="N496" s="103">
        <f>IFNA(VLOOKUP(L496,'🙎‍♂️ Pasien'!G:L,3,FALSE),"")</f>
        <v>20</v>
      </c>
      <c r="O496" s="104" t="str">
        <f>IFNA(VLOOKUP(L496,'🙎‍♂️ Pasien'!G:V,6,FALSE),"")</f>
        <v>PEREMPUAN</v>
      </c>
      <c r="P496" s="104" t="str">
        <f>IFNA(VLOOKUP(L496,'🙎‍♂️ Pasien'!G:V,12,FALSE),"")</f>
        <v>ISLAM</v>
      </c>
      <c r="Q496" s="104" t="str">
        <f>IFNA(VLOOKUP(L496:L1508,'🙎‍♂️ Pasien'!G:V,13,FALSE),"")</f>
        <v>PEGAWAI</v>
      </c>
      <c r="R496" s="104" t="str">
        <f t="array" ref="R496">ifna(xlookup(L496,'🙎‍♂️ Pasien'!$G$5:$G1508,'🙎‍♂️ Pasien'!$T$5:$T1508),"")</f>
        <v>LEBAM PASCA KECELAKAAN</v>
      </c>
      <c r="S496" s="104" t="str">
        <f t="array" ref="S496">ifna(xlookup(L496,'🙎‍♂️ Pasien'!$G$5:$G1508,'🙎‍♂️ Pasien'!$U$5:$U1508),"")</f>
        <v>JALAN NAIK TURUN TANGGA</v>
      </c>
      <c r="T496" s="97" t="s">
        <v>67</v>
      </c>
      <c r="U496" s="105" t="s">
        <v>60</v>
      </c>
      <c r="V496" s="101" t="s">
        <v>199</v>
      </c>
      <c r="W496" s="106" t="b">
        <v>1</v>
      </c>
      <c r="X496" s="107"/>
      <c r="Y496" s="108"/>
    </row>
    <row r="497" ht="22.5" customHeight="1">
      <c r="A497" s="96"/>
      <c r="B497" s="97" t="s">
        <v>85</v>
      </c>
      <c r="C497" s="98" t="str">
        <f t="array" ref="C497">IFNA(XLOOKUP(J497,'⚙️ Pengaturan'!$H$5:$H1508,'⚙️ Pengaturan'!$I$5:$I1508),"")</f>
        <v>TIM Y</v>
      </c>
      <c r="D497" s="97" t="s">
        <v>54</v>
      </c>
      <c r="E497" s="99">
        <v>45958.0</v>
      </c>
      <c r="F497" s="100" t="str">
        <f t="shared" si="1"/>
        <v>2025</v>
      </c>
      <c r="G497" s="100" t="str">
        <f t="shared" si="2"/>
        <v>10Okt</v>
      </c>
      <c r="H497" s="100" t="str">
        <f t="shared" si="3"/>
        <v>Selasa</v>
      </c>
      <c r="I497" s="97" t="s">
        <v>99</v>
      </c>
      <c r="J497" s="97" t="s">
        <v>91</v>
      </c>
      <c r="K497" s="97" t="s">
        <v>69</v>
      </c>
      <c r="L497" s="101" t="s">
        <v>236</v>
      </c>
      <c r="M497" s="102" t="str">
        <f>IFNA(VLOOKUP(L497,'🙎‍♂️ Pasien'!G:V,2,FALSE),"")</f>
        <v>D8624112017</v>
      </c>
      <c r="N497" s="103">
        <f>IFNA(VLOOKUP(L497,'🙎‍♂️ Pasien'!G:L,3,FALSE),"")</f>
        <v>39</v>
      </c>
      <c r="O497" s="104" t="str">
        <f>IFNA(VLOOKUP(L497,'🙎‍♂️ Pasien'!G:V,6,FALSE),"")</f>
        <v>PEREMPUAN</v>
      </c>
      <c r="P497" s="104" t="str">
        <f>IFNA(VLOOKUP(L497,'🙎‍♂️ Pasien'!G:V,12,FALSE),"")</f>
        <v>ISLAM</v>
      </c>
      <c r="Q497" s="104" t="str">
        <f>IFNA(VLOOKUP(L497:L1508,'🙎‍♂️ Pasien'!G:V,13,FALSE),"")</f>
        <v>ASN</v>
      </c>
      <c r="R497" s="104" t="str">
        <f t="array" ref="R497">ifna(xlookup(L497,'🙎‍♂️ Pasien'!$G$5:$G1508,'🙎‍♂️ Pasien'!$T$5:$T1508),"")</f>
        <v>Nyeri pangkal paha kanan saat menapakkan kaki</v>
      </c>
      <c r="S497" s="104" t="str">
        <f t="array" ref="S497">ifna(xlookup(L497,'🙎‍♂️ Pasien'!$G$5:$G1508,'🙎‍♂️ Pasien'!$U$5:$U1508),"")</f>
        <v>Kerja kantor</v>
      </c>
      <c r="T497" s="97" t="s">
        <v>59</v>
      </c>
      <c r="U497" s="105" t="s">
        <v>60</v>
      </c>
      <c r="V497" s="101"/>
      <c r="W497" s="106" t="b">
        <v>1</v>
      </c>
      <c r="X497" s="107"/>
      <c r="Y497" s="108"/>
    </row>
    <row r="498" ht="22.5" customHeight="1">
      <c r="A498" s="96"/>
      <c r="B498" s="97" t="s">
        <v>85</v>
      </c>
      <c r="C498" s="98" t="str">
        <f t="array" ref="C498">IFNA(XLOOKUP(J498,'⚙️ Pengaturan'!$H$5:$H1508,'⚙️ Pengaturan'!$I$5:$I1508),"")</f>
        <v>TIM Y</v>
      </c>
      <c r="D498" s="97" t="s">
        <v>54</v>
      </c>
      <c r="E498" s="99">
        <v>45958.0</v>
      </c>
      <c r="F498" s="100" t="str">
        <f t="shared" si="1"/>
        <v>2025</v>
      </c>
      <c r="G498" s="100" t="str">
        <f t="shared" si="2"/>
        <v>10Okt</v>
      </c>
      <c r="H498" s="100" t="str">
        <f t="shared" si="3"/>
        <v>Selasa</v>
      </c>
      <c r="I498" s="97" t="s">
        <v>99</v>
      </c>
      <c r="J498" s="97" t="s">
        <v>107</v>
      </c>
      <c r="K498" s="97" t="s">
        <v>63</v>
      </c>
      <c r="L498" s="101" t="s">
        <v>313</v>
      </c>
      <c r="M498" s="102" t="str">
        <f>IFNA(VLOOKUP(L498,'🙎‍♂️ Pasien'!G:V,2,FALSE),"")</f>
        <v>K9925107744</v>
      </c>
      <c r="N498" s="103">
        <f>IFNA(VLOOKUP(L498,'🙎‍♂️ Pasien'!G:L,3,FALSE),"")</f>
        <v>26</v>
      </c>
      <c r="O498" s="104" t="str">
        <f>IFNA(VLOOKUP(L498,'🙎‍♂️ Pasien'!G:V,6,FALSE),"")</f>
        <v>PEREMPUAN</v>
      </c>
      <c r="P498" s="104" t="str">
        <f>IFNA(VLOOKUP(L498,'🙎‍♂️ Pasien'!G:V,12,FALSE),"")</f>
        <v>KATOLIK</v>
      </c>
      <c r="Q498" s="104" t="str">
        <f>IFNA(VLOOKUP(L498:L1508,'🙎‍♂️ Pasien'!G:V,13,FALSE),"")</f>
        <v>SWASTA</v>
      </c>
      <c r="R498" s="104" t="str">
        <f t="array" ref="R498">ifna(xlookup(L498,'🙎‍♂️ Pasien'!$G$5:$G1508,'🙎‍♂️ Pasien'!$T$5:$T1508),"")</f>
        <v>SAKIT BELAKANG</v>
      </c>
      <c r="S498" s="104" t="str">
        <f t="array" ref="S498">ifna(xlookup(L498,'🙎‍♂️ Pasien'!$G$5:$G1508,'🙎‍♂️ Pasien'!$U$5:$U1508),"")</f>
        <v>TIDAK ADA</v>
      </c>
      <c r="T498" s="97" t="s">
        <v>67</v>
      </c>
      <c r="U498" s="105">
        <v>3.0</v>
      </c>
      <c r="V498" s="101" t="s">
        <v>398</v>
      </c>
      <c r="W498" s="106" t="b">
        <v>1</v>
      </c>
      <c r="X498" s="107"/>
      <c r="Y498" s="108"/>
    </row>
    <row r="499" ht="22.5" customHeight="1">
      <c r="A499" s="96"/>
      <c r="B499" s="97" t="s">
        <v>85</v>
      </c>
      <c r="C499" s="98" t="str">
        <f t="array" ref="C499">IFNA(XLOOKUP(J499,'⚙️ Pengaturan'!$H$5:$H1508,'⚙️ Pengaturan'!$I$5:$I1508),"")</f>
        <v>TIM Y</v>
      </c>
      <c r="D499" s="97" t="s">
        <v>54</v>
      </c>
      <c r="E499" s="99">
        <v>45958.0</v>
      </c>
      <c r="F499" s="100" t="str">
        <f t="shared" si="1"/>
        <v>2025</v>
      </c>
      <c r="G499" s="100" t="str">
        <f t="shared" si="2"/>
        <v>10Okt</v>
      </c>
      <c r="H499" s="100" t="str">
        <f t="shared" si="3"/>
        <v>Selasa</v>
      </c>
      <c r="I499" s="97" t="s">
        <v>99</v>
      </c>
      <c r="J499" s="97" t="s">
        <v>88</v>
      </c>
      <c r="K499" s="97" t="s">
        <v>63</v>
      </c>
      <c r="L499" s="101" t="s">
        <v>331</v>
      </c>
      <c r="M499" s="102" t="str">
        <f>IFNA(VLOOKUP(L499,'🙎‍♂️ Pasien'!G:V,2,FALSE),"")</f>
        <v>L0825103838</v>
      </c>
      <c r="N499" s="103">
        <f>IFNA(VLOOKUP(L499,'🙎‍♂️ Pasien'!G:L,3,FALSE),"")</f>
        <v>18</v>
      </c>
      <c r="O499" s="104" t="str">
        <f>IFNA(VLOOKUP(L499,'🙎‍♂️ Pasien'!G:V,6,FALSE),"")</f>
        <v>LAKI-LAKI</v>
      </c>
      <c r="P499" s="104" t="str">
        <f>IFNA(VLOOKUP(L499,'🙎‍♂️ Pasien'!G:V,12,FALSE),"")</f>
        <v>KATOLIK</v>
      </c>
      <c r="Q499" s="104" t="str">
        <f>IFNA(VLOOKUP(L499:L1508,'🙎‍♂️ Pasien'!G:V,13,FALSE),"")</f>
        <v>PELAJAR</v>
      </c>
      <c r="R499" s="104" t="str">
        <f t="array" ref="R499">ifna(xlookup(L499,'🙎‍♂️ Pasien'!$G$5:$G1508,'🙎‍♂️ Pasien'!$T$5:$T1508),"")</f>
        <v>ANKLE</v>
      </c>
      <c r="S499" s="104" t="str">
        <f t="array" ref="S499">ifna(xlookup(L499,'🙎‍♂️ Pasien'!$G$5:$G1508,'🙎‍♂️ Pasien'!$U$5:$U1508),"")</f>
        <v>BASKET</v>
      </c>
      <c r="T499" s="97" t="s">
        <v>59</v>
      </c>
      <c r="U499" s="105">
        <v>5.0</v>
      </c>
      <c r="V499" s="101" t="s">
        <v>125</v>
      </c>
      <c r="W499" s="106" t="b">
        <v>1</v>
      </c>
      <c r="X499" s="107"/>
      <c r="Y499" s="108"/>
    </row>
    <row r="500" ht="22.5" customHeight="1">
      <c r="A500" s="96"/>
      <c r="B500" s="97" t="s">
        <v>53</v>
      </c>
      <c r="C500" s="98" t="str">
        <f t="array" ref="C500">IFNA(XLOOKUP(J500,'⚙️ Pengaturan'!$H$5:$H1508,'⚙️ Pengaturan'!$I$5:$I1508),"")</f>
        <v>TIM A</v>
      </c>
      <c r="D500" s="97" t="s">
        <v>54</v>
      </c>
      <c r="E500" s="99">
        <v>45959.0</v>
      </c>
      <c r="F500" s="100" t="str">
        <f t="shared" si="1"/>
        <v>2025</v>
      </c>
      <c r="G500" s="100" t="str">
        <f t="shared" si="2"/>
        <v>10Okt</v>
      </c>
      <c r="H500" s="100" t="str">
        <f t="shared" si="3"/>
        <v>Rabu</v>
      </c>
      <c r="I500" s="97" t="s">
        <v>55</v>
      </c>
      <c r="J500" s="97" t="s">
        <v>72</v>
      </c>
      <c r="K500" s="97" t="s">
        <v>63</v>
      </c>
      <c r="L500" s="101" t="s">
        <v>225</v>
      </c>
      <c r="M500" s="102" t="str">
        <f>IFNA(VLOOKUP(L500,'🙎‍♂️ Pasien'!G:V,2,FALSE),"")</f>
        <v>B8025102288</v>
      </c>
      <c r="N500" s="103">
        <f>IFNA(VLOOKUP(L500,'🙎‍♂️ Pasien'!G:L,3,FALSE),"")</f>
        <v>45</v>
      </c>
      <c r="O500" s="104" t="str">
        <f>IFNA(VLOOKUP(L500,'🙎‍♂️ Pasien'!G:V,6,FALSE),"")</f>
        <v>PEREMPUAN</v>
      </c>
      <c r="P500" s="104" t="str">
        <f>IFNA(VLOOKUP(L500,'🙎‍♂️ Pasien'!G:V,12,FALSE),"")</f>
        <v>ISLAM</v>
      </c>
      <c r="Q500" s="104" t="str">
        <f>IFNA(VLOOKUP(L500:L1508,'🙎‍♂️ Pasien'!G:V,13,FALSE),"")</f>
        <v>ASN</v>
      </c>
      <c r="R500" s="104" t="str">
        <f t="array" ref="R500">ifna(xlookup(L500,'🙎‍♂️ Pasien'!$G$5:$G1508,'🙎‍♂️ Pasien'!$T$5:$T1508),"")</f>
        <v>KELUHAN SY NYERI DI TUMIT KIRI SM PAHA KANAN UT DIANGKAT SAMBIL DITEKUK KE ARAH SAMPING LUAR RASA NYA NYERI</v>
      </c>
      <c r="S500" s="104" t="str">
        <f t="array" ref="S500">ifna(xlookup(L500,'🙎‍♂️ Pasien'!$G$5:$G1508,'🙎‍♂️ Pasien'!$U$5:$U1508),"")</f>
        <v>JOGING</v>
      </c>
      <c r="T500" s="97" t="s">
        <v>59</v>
      </c>
      <c r="U500" s="105">
        <v>2.0</v>
      </c>
      <c r="V500" s="101"/>
      <c r="W500" s="106" t="b">
        <v>1</v>
      </c>
      <c r="X500" s="107"/>
      <c r="Y500" s="108"/>
    </row>
    <row r="501" ht="22.5" customHeight="1">
      <c r="A501" s="96"/>
      <c r="B501" s="97" t="s">
        <v>53</v>
      </c>
      <c r="C501" s="98" t="str">
        <f t="array" ref="C501">IFNA(XLOOKUP(J501,'⚙️ Pengaturan'!$H$5:$H1508,'⚙️ Pengaturan'!$I$5:$I1508),"")</f>
        <v>TIM Y</v>
      </c>
      <c r="D501" s="97" t="s">
        <v>54</v>
      </c>
      <c r="E501" s="99">
        <v>45959.0</v>
      </c>
      <c r="F501" s="100" t="str">
        <f t="shared" si="1"/>
        <v>2025</v>
      </c>
      <c r="G501" s="100" t="str">
        <f t="shared" si="2"/>
        <v>10Okt</v>
      </c>
      <c r="H501" s="100" t="str">
        <f t="shared" si="3"/>
        <v>Rabu</v>
      </c>
      <c r="I501" s="97" t="s">
        <v>55</v>
      </c>
      <c r="J501" s="97" t="s">
        <v>56</v>
      </c>
      <c r="K501" s="97" t="s">
        <v>63</v>
      </c>
      <c r="L501" s="101" t="s">
        <v>373</v>
      </c>
      <c r="M501" s="102" t="str">
        <f>IFNA(VLOOKUP(L501,'🙎‍♂️ Pasien'!G:V,2,FALSE),"")</f>
        <v>M6125100219</v>
      </c>
      <c r="N501" s="103">
        <f>IFNA(VLOOKUP(L501,'🙎‍♂️ Pasien'!G:L,3,FALSE),"")</f>
        <v>65</v>
      </c>
      <c r="O501" s="104" t="str">
        <f>IFNA(VLOOKUP(L501,'🙎‍♂️ Pasien'!G:V,6,FALSE),"")</f>
        <v>LAKI-LAKI</v>
      </c>
      <c r="P501" s="104" t="str">
        <f>IFNA(VLOOKUP(L501,'🙎‍♂️ Pasien'!G:V,12,FALSE),"")</f>
        <v>ISLAM</v>
      </c>
      <c r="Q501" s="104" t="str">
        <f>IFNA(VLOOKUP(L501:L1508,'🙎‍♂️ Pasien'!G:V,13,FALSE),"")</f>
        <v>SWASTA</v>
      </c>
      <c r="R501" s="104" t="str">
        <f t="array" ref="R501">ifna(xlookup(L501,'🙎‍♂️ Pasien'!$G$5:$G1508,'🙎‍♂️ Pasien'!$T$5:$T1508),"")</f>
        <v>SAKIT DI BAGIAN BOKONG SAMPAI KAKI BAWAH</v>
      </c>
      <c r="S501" s="104" t="str">
        <f t="array" ref="S501">ifna(xlookup(L501,'🙎‍♂️ Pasien'!$G$5:$G1508,'🙎‍♂️ Pasien'!$U$5:$U1508),"")</f>
        <v>TUKANG BANGUNAN</v>
      </c>
      <c r="T501" s="97" t="s">
        <v>67</v>
      </c>
      <c r="U501" s="105">
        <v>2.0</v>
      </c>
      <c r="V501" s="101" t="s">
        <v>401</v>
      </c>
      <c r="W501" s="106" t="b">
        <v>1</v>
      </c>
      <c r="X501" s="107"/>
      <c r="Y501" s="108"/>
    </row>
    <row r="502" ht="22.5" customHeight="1">
      <c r="A502" s="96"/>
      <c r="B502" s="97" t="s">
        <v>53</v>
      </c>
      <c r="C502" s="98" t="str">
        <f t="array" ref="C502">IFNA(XLOOKUP(J502,'⚙️ Pengaturan'!$H$5:$H1508,'⚙️ Pengaturan'!$I$5:$I1508),"")</f>
        <v>TIM A</v>
      </c>
      <c r="D502" s="97" t="s">
        <v>54</v>
      </c>
      <c r="E502" s="99">
        <v>45959.0</v>
      </c>
      <c r="F502" s="100" t="str">
        <f t="shared" si="1"/>
        <v>2025</v>
      </c>
      <c r="G502" s="100" t="str">
        <f t="shared" si="2"/>
        <v>10Okt</v>
      </c>
      <c r="H502" s="100" t="str">
        <f t="shared" si="3"/>
        <v>Rabu</v>
      </c>
      <c r="I502" s="97" t="s">
        <v>65</v>
      </c>
      <c r="J502" s="97" t="s">
        <v>79</v>
      </c>
      <c r="K502" s="97" t="s">
        <v>63</v>
      </c>
      <c r="L502" s="101" t="s">
        <v>80</v>
      </c>
      <c r="M502" s="102" t="str">
        <f>IFNA(VLOOKUP(L502,'🙎‍♂️ Pasien'!G:V,2,FALSE),"")</f>
        <v>L8725094767</v>
      </c>
      <c r="N502" s="103">
        <f>IFNA(VLOOKUP(L502,'🙎‍♂️ Pasien'!G:L,3,FALSE),"")</f>
        <v>38</v>
      </c>
      <c r="O502" s="104" t="str">
        <f>IFNA(VLOOKUP(L502,'🙎‍♂️ Pasien'!G:V,6,FALSE),"")</f>
        <v>PEREMPUAN</v>
      </c>
      <c r="P502" s="104" t="str">
        <f>IFNA(VLOOKUP(L502,'🙎‍♂️ Pasien'!G:V,12,FALSE),"")</f>
        <v>KATOLIK</v>
      </c>
      <c r="Q502" s="104" t="str">
        <f>IFNA(VLOOKUP(L502:L1508,'🙎‍♂️ Pasien'!G:V,13,FALSE),"")</f>
        <v>IBU RUMAH TANGGA</v>
      </c>
      <c r="R502" s="104" t="str">
        <f t="array" ref="R502">ifna(xlookup(L502,'🙎‍♂️ Pasien'!$G$5:$G1508,'🙎‍♂️ Pasien'!$T$5:$T1508),"")</f>
        <v>NYERI LEHER</v>
      </c>
      <c r="S502" s="104" t="str">
        <f t="array" ref="S502">ifna(xlookup(L502,'🙎‍♂️ Pasien'!$G$5:$G1508,'🙎‍♂️ Pasien'!$U$5:$U1508),"")</f>
        <v>KURANG GERAK</v>
      </c>
      <c r="T502" s="97" t="s">
        <v>59</v>
      </c>
      <c r="U502" s="105">
        <v>5.0</v>
      </c>
      <c r="V502" s="101"/>
      <c r="W502" s="106" t="b">
        <v>1</v>
      </c>
      <c r="X502" s="107"/>
      <c r="Y502" s="108"/>
    </row>
    <row r="503" ht="22.5" customHeight="1">
      <c r="A503" s="96"/>
      <c r="B503" s="97" t="s">
        <v>53</v>
      </c>
      <c r="C503" s="98" t="str">
        <f t="array" ref="C503">IFNA(XLOOKUP(J503,'⚙️ Pengaturan'!$H$5:$H1508,'⚙️ Pengaturan'!$I$5:$I1508),"")</f>
        <v>TIM A</v>
      </c>
      <c r="D503" s="97" t="s">
        <v>54</v>
      </c>
      <c r="E503" s="99">
        <v>45959.0</v>
      </c>
      <c r="F503" s="100" t="str">
        <f t="shared" si="1"/>
        <v>2025</v>
      </c>
      <c r="G503" s="100" t="str">
        <f t="shared" si="2"/>
        <v>10Okt</v>
      </c>
      <c r="H503" s="100" t="str">
        <f t="shared" si="3"/>
        <v>Rabu</v>
      </c>
      <c r="I503" s="97" t="s">
        <v>74</v>
      </c>
      <c r="J503" s="97" t="s">
        <v>79</v>
      </c>
      <c r="K503" s="97" t="s">
        <v>63</v>
      </c>
      <c r="L503" s="101" t="s">
        <v>302</v>
      </c>
      <c r="M503" s="102" t="str">
        <f>IFNA(VLOOKUP(L503,'🙎‍♂️ Pasien'!G:V,2,FALSE),"")</f>
        <v>A9425105994</v>
      </c>
      <c r="N503" s="103">
        <f>IFNA(VLOOKUP(L503,'🙎‍♂️ Pasien'!G:L,3,FALSE),"")</f>
        <v>32</v>
      </c>
      <c r="O503" s="104" t="str">
        <f>IFNA(VLOOKUP(L503,'🙎‍♂️ Pasien'!G:V,6,FALSE),"")</f>
        <v>LAKI-LAKI</v>
      </c>
      <c r="P503" s="104" t="str">
        <f>IFNA(VLOOKUP(L503,'🙎‍♂️ Pasien'!G:V,12,FALSE),"")</f>
        <v>ISLAM</v>
      </c>
      <c r="Q503" s="104" t="str">
        <f>IFNA(VLOOKUP(L503:L1508,'🙎‍♂️ Pasien'!G:V,13,FALSE),"")</f>
        <v>KARYAWAN SWASTA</v>
      </c>
      <c r="R503" s="104" t="str">
        <f t="array" ref="R503">ifna(xlookup(L503,'🙎‍♂️ Pasien'!$G$5:$G1508,'🙎‍♂️ Pasien'!$T$5:$T1508),"")</f>
        <v>LUTUT</v>
      </c>
      <c r="S503" s="104" t="str">
        <f t="array" ref="S503">ifna(xlookup(L503,'🙎‍♂️ Pasien'!$G$5:$G1508,'🙎‍♂️ Pasien'!$U$5:$U1508),"")</f>
        <v>OLAGRAGA</v>
      </c>
      <c r="T503" s="97" t="s">
        <v>59</v>
      </c>
      <c r="U503" s="105">
        <v>5.0</v>
      </c>
      <c r="V503" s="101"/>
      <c r="W503" s="106" t="b">
        <v>1</v>
      </c>
      <c r="X503" s="107"/>
      <c r="Y503" s="108"/>
    </row>
    <row r="504" ht="22.5" customHeight="1">
      <c r="A504" s="96"/>
      <c r="B504" s="97" t="s">
        <v>53</v>
      </c>
      <c r="C504" s="98" t="str">
        <f t="array" ref="C504">IFNA(XLOOKUP(J504,'⚙️ Pengaturan'!$H$5:$H1508,'⚙️ Pengaturan'!$I$5:$I1508),"")</f>
        <v>TIM Y</v>
      </c>
      <c r="D504" s="97" t="s">
        <v>54</v>
      </c>
      <c r="E504" s="99">
        <v>45959.0</v>
      </c>
      <c r="F504" s="100" t="str">
        <f t="shared" si="1"/>
        <v>2025</v>
      </c>
      <c r="G504" s="100" t="str">
        <f t="shared" si="2"/>
        <v>10Okt</v>
      </c>
      <c r="H504" s="100" t="str">
        <f t="shared" si="3"/>
        <v>Rabu</v>
      </c>
      <c r="I504" s="97" t="s">
        <v>76</v>
      </c>
      <c r="J504" s="97" t="s">
        <v>56</v>
      </c>
      <c r="K504" s="97" t="s">
        <v>69</v>
      </c>
      <c r="L504" s="101" t="s">
        <v>254</v>
      </c>
      <c r="M504" s="102" t="str">
        <f>IFNA(VLOOKUP(L504,'🙎‍♂️ Pasien'!G:V,2,FALSE),"")</f>
        <v>G0225101517</v>
      </c>
      <c r="N504" s="103">
        <f>IFNA(VLOOKUP(L504,'🙎‍♂️ Pasien'!G:L,3,FALSE),"")</f>
        <v>24</v>
      </c>
      <c r="O504" s="104" t="str">
        <f>IFNA(VLOOKUP(L504,'🙎‍♂️ Pasien'!G:V,6,FALSE),"")</f>
        <v>LAKI-LAKI</v>
      </c>
      <c r="P504" s="104" t="str">
        <f>IFNA(VLOOKUP(L504,'🙎‍♂️ Pasien'!G:V,12,FALSE),"")</f>
        <v>KATOLIK</v>
      </c>
      <c r="Q504" s="104" t="str">
        <f>IFNA(VLOOKUP(L504:L1508,'🙎‍♂️ Pasien'!G:V,13,FALSE),"")</f>
        <v>MAHASISWA</v>
      </c>
      <c r="R504" s="104" t="str">
        <f t="array" ref="R504">ifna(xlookup(L504,'🙎‍♂️ Pasien'!$G$5:$G1508,'🙎‍♂️ Pasien'!$T$5:$T1508),"")</f>
        <v>NYERI PADA LUTUT BAGIAN LUAR</v>
      </c>
      <c r="S504" s="104" t="str">
        <f t="array" ref="S504">ifna(xlookup(L504,'🙎‍♂️ Pasien'!$G$5:$G1508,'🙎‍♂️ Pasien'!$U$5:$U1508),"")</f>
        <v>LARI, MINI SOCCER, GYM</v>
      </c>
      <c r="T504" s="97" t="s">
        <v>59</v>
      </c>
      <c r="U504" s="105" t="s">
        <v>60</v>
      </c>
      <c r="V504" s="101"/>
      <c r="W504" s="106" t="b">
        <v>1</v>
      </c>
      <c r="X504" s="107"/>
      <c r="Y504" s="108"/>
    </row>
    <row r="505" ht="22.5" customHeight="1">
      <c r="A505" s="96"/>
      <c r="B505" s="97" t="s">
        <v>53</v>
      </c>
      <c r="C505" s="98" t="str">
        <f t="array" ref="C505">IFNA(XLOOKUP(J505,'⚙️ Pengaturan'!$H$5:$H1508,'⚙️ Pengaturan'!$I$5:$I1508),"")</f>
        <v>TIM A</v>
      </c>
      <c r="D505" s="97" t="s">
        <v>54</v>
      </c>
      <c r="E505" s="99">
        <v>45959.0</v>
      </c>
      <c r="F505" s="100" t="str">
        <f t="shared" si="1"/>
        <v>2025</v>
      </c>
      <c r="G505" s="100" t="str">
        <f t="shared" si="2"/>
        <v>10Okt</v>
      </c>
      <c r="H505" s="100" t="str">
        <f t="shared" si="3"/>
        <v>Rabu</v>
      </c>
      <c r="I505" s="97" t="s">
        <v>76</v>
      </c>
      <c r="J505" s="97" t="s">
        <v>62</v>
      </c>
      <c r="K505" s="97" t="s">
        <v>63</v>
      </c>
      <c r="L505" s="101" t="s">
        <v>397</v>
      </c>
      <c r="M505" s="102" t="str">
        <f>IFNA(VLOOKUP(L505,'🙎‍♂️ Pasien'!G:V,2,FALSE),"")</f>
        <v>R1325084646</v>
      </c>
      <c r="N505" s="103">
        <f>IFNA(VLOOKUP(L505,'🙎‍♂️ Pasien'!G:L,3,FALSE),"")</f>
        <v>13</v>
      </c>
      <c r="O505" s="104" t="str">
        <f>IFNA(VLOOKUP(L505,'🙎‍♂️ Pasien'!G:V,6,FALSE),"")</f>
        <v>LAKI-LAKI</v>
      </c>
      <c r="P505" s="104" t="str">
        <f>IFNA(VLOOKUP(L505,'🙎‍♂️ Pasien'!G:V,12,FALSE),"")</f>
        <v>ISLAM</v>
      </c>
      <c r="Q505" s="104" t="str">
        <f>IFNA(VLOOKUP(L505:L1508,'🙎‍♂️ Pasien'!G:V,13,FALSE),"")</f>
        <v>PELAJAR SMPIT AL MUMTAZ</v>
      </c>
      <c r="R505" s="104" t="str">
        <f t="array" ref="R505">ifna(xlookup(L505,'🙎‍♂️ Pasien'!$G$5:$G1508,'🙎‍♂️ Pasien'!$T$5:$T1508),"")</f>
        <v>KAKI TERKILIR</v>
      </c>
      <c r="S505" s="104" t="str">
        <f t="array" ref="S505">ifna(xlookup(L505,'🙎‍♂️ Pasien'!$G$5:$G1508,'🙎‍♂️ Pasien'!$U$5:$U1508),"")</f>
        <v>FUTSAL</v>
      </c>
      <c r="T505" s="97" t="s">
        <v>59</v>
      </c>
      <c r="U505" s="105">
        <v>1.0</v>
      </c>
      <c r="V505" s="101"/>
      <c r="W505" s="106" t="b">
        <v>1</v>
      </c>
      <c r="X505" s="107"/>
      <c r="Y505" s="108"/>
    </row>
    <row r="506" ht="22.5" customHeight="1">
      <c r="A506" s="96"/>
      <c r="B506" s="97" t="s">
        <v>53</v>
      </c>
      <c r="C506" s="98" t="str">
        <f t="array" ref="C506">IFNA(XLOOKUP(J506,'⚙️ Pengaturan'!$H$5:$H1508,'⚙️ Pengaturan'!$I$5:$I1508),"")</f>
        <v>TIM A</v>
      </c>
      <c r="D506" s="97" t="s">
        <v>54</v>
      </c>
      <c r="E506" s="99">
        <v>45959.0</v>
      </c>
      <c r="F506" s="100" t="str">
        <f t="shared" si="1"/>
        <v>2025</v>
      </c>
      <c r="G506" s="100" t="str">
        <f t="shared" si="2"/>
        <v>10Okt</v>
      </c>
      <c r="H506" s="100" t="str">
        <f t="shared" si="3"/>
        <v>Rabu</v>
      </c>
      <c r="I506" s="97" t="s">
        <v>76</v>
      </c>
      <c r="J506" s="97" t="s">
        <v>79</v>
      </c>
      <c r="K506" s="97" t="s">
        <v>57</v>
      </c>
      <c r="L506" s="101" t="s">
        <v>402</v>
      </c>
      <c r="M506" s="102" t="str">
        <f>IFNA(VLOOKUP(L506,'🙎‍♂️ Pasien'!G:V,2,FALSE),"")</f>
        <v>T6525103639</v>
      </c>
      <c r="N506" s="103">
        <f>IFNA(VLOOKUP(L506,'🙎‍♂️ Pasien'!G:L,3,FALSE),"")</f>
        <v>60</v>
      </c>
      <c r="O506" s="104" t="str">
        <f>IFNA(VLOOKUP(L506,'🙎‍♂️ Pasien'!G:V,6,FALSE),"")</f>
        <v>PEREMPUAN</v>
      </c>
      <c r="P506" s="104" t="str">
        <f>IFNA(VLOOKUP(L506,'🙎‍♂️ Pasien'!G:V,12,FALSE),"")</f>
        <v>ISLAM</v>
      </c>
      <c r="Q506" s="104" t="str">
        <f>IFNA(VLOOKUP(L506:L1508,'🙎‍♂️ Pasien'!G:V,13,FALSE),"")</f>
        <v>IRT</v>
      </c>
      <c r="R506" s="104" t="str">
        <f t="array" ref="R506">ifna(xlookup(L506,'🙎‍♂️ Pasien'!$G$5:$G1508,'🙎‍♂️ Pasien'!$T$5:$T1508),"")</f>
        <v>SARAF KEJEPIT</v>
      </c>
      <c r="S506" s="104" t="str">
        <f t="array" ref="S506">ifna(xlookup(L506,'🙎‍♂️ Pasien'!$G$5:$G1508,'🙎‍♂️ Pasien'!$U$5:$U1508),"")</f>
        <v>PEKERJAAN RUMAH TANGGA</v>
      </c>
      <c r="T506" s="97" t="s">
        <v>59</v>
      </c>
      <c r="U506" s="105" t="s">
        <v>60</v>
      </c>
      <c r="V506" s="101" t="s">
        <v>402</v>
      </c>
      <c r="W506" s="106" t="b">
        <v>1</v>
      </c>
      <c r="X506" s="107"/>
      <c r="Y506" s="108"/>
    </row>
    <row r="507" ht="22.5" customHeight="1">
      <c r="A507" s="96"/>
      <c r="B507" s="97" t="s">
        <v>53</v>
      </c>
      <c r="C507" s="98" t="str">
        <f t="array" ref="C507">IFNA(XLOOKUP(J507,'⚙️ Pengaturan'!$H$5:$H1508,'⚙️ Pengaturan'!$I$5:$I1508),"")</f>
        <v>TIM A</v>
      </c>
      <c r="D507" s="97" t="s">
        <v>54</v>
      </c>
      <c r="E507" s="99">
        <v>45959.0</v>
      </c>
      <c r="F507" s="100" t="str">
        <f t="shared" si="1"/>
        <v>2025</v>
      </c>
      <c r="G507" s="100" t="str">
        <f t="shared" si="2"/>
        <v>10Okt</v>
      </c>
      <c r="H507" s="100" t="str">
        <f t="shared" si="3"/>
        <v>Rabu</v>
      </c>
      <c r="I507" s="97" t="s">
        <v>76</v>
      </c>
      <c r="J507" s="97" t="s">
        <v>62</v>
      </c>
      <c r="K507" s="97" t="s">
        <v>63</v>
      </c>
      <c r="L507" s="101" t="s">
        <v>341</v>
      </c>
      <c r="M507" s="102" t="str">
        <f>IFNA(VLOOKUP(L507,'🙎‍♂️ Pasien'!G:V,2,FALSE),"")</f>
        <v>T7325100015</v>
      </c>
      <c r="N507" s="103">
        <f>IFNA(VLOOKUP(L507,'🙎‍♂️ Pasien'!G:L,3,FALSE),"")</f>
        <v>53</v>
      </c>
      <c r="O507" s="104" t="str">
        <f>IFNA(VLOOKUP(L507,'🙎‍♂️ Pasien'!G:V,6,FALSE),"")</f>
        <v>PEREMPUAN</v>
      </c>
      <c r="P507" s="104" t="str">
        <f>IFNA(VLOOKUP(L507,'🙎‍♂️ Pasien'!G:V,12,FALSE),"")</f>
        <v>ISLAM</v>
      </c>
      <c r="Q507" s="104" t="str">
        <f>IFNA(VLOOKUP(L507:L1508,'🙎‍♂️ Pasien'!G:V,13,FALSE),"")</f>
        <v>PNS</v>
      </c>
      <c r="R507" s="104" t="str">
        <f t="array" ref="R507">ifna(xlookup(L507,'🙎‍♂️ Pasien'!$G$5:$G1508,'🙎‍♂️ Pasien'!$T$5:$T1508),"")</f>
        <v>SAKIT KAKI DAN PINGGANG</v>
      </c>
      <c r="S507" s="104" t="str">
        <f t="array" ref="S507">ifna(xlookup(L507,'🙎‍♂️ Pasien'!$G$5:$G1508,'🙎‍♂️ Pasien'!$U$5:$U1508),"")</f>
        <v>NAIK TURUN TANGGA DAN JONGKOK</v>
      </c>
      <c r="T507" s="97" t="s">
        <v>67</v>
      </c>
      <c r="U507" s="105">
        <v>2.0</v>
      </c>
      <c r="V507" s="101" t="s">
        <v>403</v>
      </c>
      <c r="W507" s="106" t="b">
        <v>1</v>
      </c>
      <c r="X507" s="107"/>
      <c r="Y507" s="108"/>
    </row>
    <row r="508" ht="22.5" customHeight="1">
      <c r="A508" s="96"/>
      <c r="B508" s="97" t="s">
        <v>53</v>
      </c>
      <c r="C508" s="98" t="str">
        <f t="array" ref="C508">IFNA(XLOOKUP(J508,'⚙️ Pengaturan'!$H$5:$H1508,'⚙️ Pengaturan'!$I$5:$I1508),"")</f>
        <v>TIM A</v>
      </c>
      <c r="D508" s="97" t="s">
        <v>54</v>
      </c>
      <c r="E508" s="99">
        <v>45959.0</v>
      </c>
      <c r="F508" s="100" t="str">
        <f t="shared" si="1"/>
        <v>2025</v>
      </c>
      <c r="G508" s="100" t="str">
        <f t="shared" si="2"/>
        <v>10Okt</v>
      </c>
      <c r="H508" s="100" t="str">
        <f t="shared" si="3"/>
        <v>Rabu</v>
      </c>
      <c r="I508" s="97" t="s">
        <v>83</v>
      </c>
      <c r="J508" s="97" t="s">
        <v>72</v>
      </c>
      <c r="K508" s="97" t="s">
        <v>57</v>
      </c>
      <c r="L508" s="101" t="s">
        <v>404</v>
      </c>
      <c r="M508" s="102" t="str">
        <f>IFNA(VLOOKUP(L508,'🙎‍♂️ Pasien'!G:V,2,FALSE),"")</f>
        <v>O0424074824</v>
      </c>
      <c r="N508" s="103">
        <f>IFNA(VLOOKUP(L508,'🙎‍♂️ Pasien'!G:L,3,FALSE),"")</f>
        <v>21</v>
      </c>
      <c r="O508" s="104" t="str">
        <f>IFNA(VLOOKUP(L508,'🙎‍♂️ Pasien'!G:V,6,FALSE),"")</f>
        <v>PEREMPUAN</v>
      </c>
      <c r="P508" s="104" t="str">
        <f>IFNA(VLOOKUP(L508,'🙎‍♂️ Pasien'!G:V,12,FALSE),"")</f>
        <v>ISLAM</v>
      </c>
      <c r="Q508" s="104" t="str">
        <f>IFNA(VLOOKUP(L508:L1508,'🙎‍♂️ Pasien'!G:V,13,FALSE),"")</f>
        <v>TIDAK ADA</v>
      </c>
      <c r="R508" s="104" t="str">
        <f t="array" ref="R508">ifna(xlookup(L508,'🙎‍♂️ Pasien'!$G$5:$G1508,'🙎‍♂️ Pasien'!$T$5:$T1508),"")</f>
        <v>otot paha nyeri</v>
      </c>
      <c r="S508" s="104" t="str">
        <f t="array" ref="S508">ifna(xlookup(L508,'🙎‍♂️ Pasien'!$G$5:$G1508,'🙎‍♂️ Pasien'!$U$5:$U1508),"")</f>
        <v>latian voli</v>
      </c>
      <c r="T508" s="97" t="s">
        <v>59</v>
      </c>
      <c r="U508" s="105" t="s">
        <v>60</v>
      </c>
      <c r="V508" s="101"/>
      <c r="W508" s="106" t="b">
        <v>1</v>
      </c>
      <c r="X508" s="107"/>
      <c r="Y508" s="108"/>
    </row>
    <row r="509" ht="22.5" customHeight="1">
      <c r="A509" s="96"/>
      <c r="B509" s="97" t="s">
        <v>85</v>
      </c>
      <c r="C509" s="98" t="str">
        <f t="array" ref="C509">IFNA(XLOOKUP(J509,'⚙️ Pengaturan'!$H$5:$H1508,'⚙️ Pengaturan'!$I$5:$I1508),"")</f>
        <v>TIM Y</v>
      </c>
      <c r="D509" s="97" t="s">
        <v>86</v>
      </c>
      <c r="E509" s="99">
        <v>45959.0</v>
      </c>
      <c r="F509" s="100" t="str">
        <f t="shared" si="1"/>
        <v>2025</v>
      </c>
      <c r="G509" s="100" t="str">
        <f t="shared" si="2"/>
        <v>10Okt</v>
      </c>
      <c r="H509" s="100" t="str">
        <f t="shared" si="3"/>
        <v>Rabu</v>
      </c>
      <c r="I509" s="97" t="s">
        <v>87</v>
      </c>
      <c r="J509" s="97" t="s">
        <v>91</v>
      </c>
      <c r="K509" s="97" t="s">
        <v>63</v>
      </c>
      <c r="L509" s="101" t="s">
        <v>94</v>
      </c>
      <c r="M509" s="102" t="str">
        <f>IFNA(VLOOKUP(L509,'🙎‍♂️ Pasien'!G:V,2,FALSE),"")</f>
        <v>A0825098780</v>
      </c>
      <c r="N509" s="103">
        <f>IFNA(VLOOKUP(L509,'🙎‍♂️ Pasien'!G:L,3,FALSE),"")</f>
        <v>18</v>
      </c>
      <c r="O509" s="104" t="str">
        <f>IFNA(VLOOKUP(L509,'🙎‍♂️ Pasien'!G:V,6,FALSE),"")</f>
        <v>PEREMPUAN</v>
      </c>
      <c r="P509" s="104" t="str">
        <f>IFNA(VLOOKUP(L509,'🙎‍♂️ Pasien'!G:V,12,FALSE),"")</f>
        <v>ISLAM</v>
      </c>
      <c r="Q509" s="104" t="str">
        <f>IFNA(VLOOKUP(L509:L1508,'🙎‍♂️ Pasien'!G:V,13,FALSE),"")</f>
        <v>PELAJAR</v>
      </c>
      <c r="R509" s="104" t="str">
        <f t="array" ref="R509">ifna(xlookup(L509,'🙎‍♂️ Pasien'!$G$5:$G1508,'🙎‍♂️ Pasien'!$T$5:$T1508),"")</f>
        <v>SAKIT DI LUTUT</v>
      </c>
      <c r="S509" s="104" t="str">
        <f t="array" ref="S509">ifna(xlookup(L509,'🙎‍♂️ Pasien'!$G$5:$G1508,'🙎‍♂️ Pasien'!$U$5:$U1508),"")</f>
        <v>MAIN BASKET</v>
      </c>
      <c r="T509" s="97" t="s">
        <v>59</v>
      </c>
      <c r="U509" s="105">
        <v>8.0</v>
      </c>
      <c r="V509" s="101"/>
      <c r="W509" s="106" t="b">
        <v>1</v>
      </c>
      <c r="X509" s="107"/>
      <c r="Y509" s="108"/>
    </row>
    <row r="510" ht="22.5" customHeight="1">
      <c r="A510" s="96"/>
      <c r="B510" s="97" t="s">
        <v>85</v>
      </c>
      <c r="C510" s="98" t="str">
        <f t="array" ref="C510">IFNA(XLOOKUP(J510,'⚙️ Pengaturan'!$H$5:$H1508,'⚙️ Pengaturan'!$I$5:$I1508),"")</f>
        <v>TIM Y</v>
      </c>
      <c r="D510" s="97" t="s">
        <v>86</v>
      </c>
      <c r="E510" s="99">
        <v>45959.0</v>
      </c>
      <c r="F510" s="100" t="str">
        <f t="shared" si="1"/>
        <v>2025</v>
      </c>
      <c r="G510" s="100" t="str">
        <f t="shared" si="2"/>
        <v>10Okt</v>
      </c>
      <c r="H510" s="100" t="str">
        <f t="shared" si="3"/>
        <v>Rabu</v>
      </c>
      <c r="I510" s="97" t="s">
        <v>93</v>
      </c>
      <c r="J510" s="97" t="s">
        <v>91</v>
      </c>
      <c r="K510" s="97" t="s">
        <v>63</v>
      </c>
      <c r="L510" s="101" t="s">
        <v>350</v>
      </c>
      <c r="M510" s="102" t="str">
        <f>IFNA(VLOOKUP(L510,'🙎‍♂️ Pasien'!G:V,2,FALSE),"")</f>
        <v>I8025109996</v>
      </c>
      <c r="N510" s="103">
        <f>IFNA(VLOOKUP(L510,'🙎‍♂️ Pasien'!G:L,3,FALSE),"")</f>
        <v>45</v>
      </c>
      <c r="O510" s="104" t="str">
        <f>IFNA(VLOOKUP(L510,'🙎‍♂️ Pasien'!G:V,6,FALSE),"")</f>
        <v>PEREMPUAN</v>
      </c>
      <c r="P510" s="104" t="str">
        <f>IFNA(VLOOKUP(L510,'🙎‍♂️ Pasien'!G:V,12,FALSE),"")</f>
        <v>ISLAM</v>
      </c>
      <c r="Q510" s="104" t="str">
        <f>IFNA(VLOOKUP(L510:L1508,'🙎‍♂️ Pasien'!G:V,13,FALSE),"")</f>
        <v>WIRASWASTA</v>
      </c>
      <c r="R510" s="104" t="str">
        <f t="array" ref="R510">ifna(xlookup(L510,'🙎‍♂️ Pasien'!$G$5:$G1508,'🙎‍♂️ Pasien'!$T$5:$T1508),"")</f>
        <v>NYERI KEPALA TIPE TEGANG DAN TANGAN SUKA KESEMUTAN</v>
      </c>
      <c r="S510" s="104" t="str">
        <f t="array" ref="S510">ifna(xlookup(L510,'🙎‍♂️ Pasien'!$G$5:$G1508,'🙎‍♂️ Pasien'!$U$5:$U1508),"")</f>
        <v>JIKA BAWA MOTOR DAN TIDUR MENGHADAP KE KANAN</v>
      </c>
      <c r="T510" s="97" t="s">
        <v>59</v>
      </c>
      <c r="U510" s="105">
        <v>1.0</v>
      </c>
      <c r="V510" s="101"/>
      <c r="W510" s="106" t="b">
        <v>1</v>
      </c>
      <c r="X510" s="107"/>
      <c r="Y510" s="108"/>
    </row>
    <row r="511" ht="22.5" customHeight="1">
      <c r="A511" s="96"/>
      <c r="B511" s="97" t="s">
        <v>85</v>
      </c>
      <c r="C511" s="98" t="str">
        <f t="array" ref="C511">IFNA(XLOOKUP(J511,'⚙️ Pengaturan'!$H$5:$H1508,'⚙️ Pengaturan'!$I$5:$I1508),"")</f>
        <v>TIM Y</v>
      </c>
      <c r="D511" s="97" t="s">
        <v>86</v>
      </c>
      <c r="E511" s="99">
        <v>45959.0</v>
      </c>
      <c r="F511" s="100" t="str">
        <f t="shared" si="1"/>
        <v>2025</v>
      </c>
      <c r="G511" s="100" t="str">
        <f t="shared" si="2"/>
        <v>10Okt</v>
      </c>
      <c r="H511" s="100" t="str">
        <f t="shared" si="3"/>
        <v>Rabu</v>
      </c>
      <c r="I511" s="97" t="s">
        <v>95</v>
      </c>
      <c r="J511" s="97" t="s">
        <v>91</v>
      </c>
      <c r="K511" s="97" t="s">
        <v>63</v>
      </c>
      <c r="L511" s="101" t="s">
        <v>381</v>
      </c>
      <c r="M511" s="102" t="str">
        <f>IFNA(VLOOKUP(L511,'🙎‍♂️ Pasien'!G:V,2,FALSE),"")</f>
        <v>A9925105509</v>
      </c>
      <c r="N511" s="103">
        <f>IFNA(VLOOKUP(L511,'🙎‍♂️ Pasien'!G:L,3,FALSE),"")</f>
        <v>27</v>
      </c>
      <c r="O511" s="104" t="str">
        <f>IFNA(VLOOKUP(L511,'🙎‍♂️ Pasien'!G:V,6,FALSE),"")</f>
        <v>PEREMPUAN</v>
      </c>
      <c r="P511" s="104" t="str">
        <f>IFNA(VLOOKUP(L511,'🙎‍♂️ Pasien'!G:V,12,FALSE),"")</f>
        <v>BUDDHA</v>
      </c>
      <c r="Q511" s="104" t="str">
        <f>IFNA(VLOOKUP(L511:L1508,'🙎‍♂️ Pasien'!G:V,13,FALSE),"")</f>
        <v>WIRASWASTA</v>
      </c>
      <c r="R511" s="104" t="str">
        <f t="array" ref="R511">ifna(xlookup(L511,'🙎‍♂️ Pasien'!$G$5:$G1508,'🙎‍♂️ Pasien'!$T$5:$T1508),"")</f>
        <v>KAKI BEKAS ANKLE SPRAIN SUDAH DITRE DAN BAHU PEGAL</v>
      </c>
      <c r="S511" s="104" t="str">
        <f t="array" ref="S511">ifna(xlookup(L511,'🙎‍♂️ Pasien'!$G$5:$G1508,'🙎‍♂️ Pasien'!$U$5:$U1508),"")</f>
        <v>2 MINGGU LALU JATUH DARI KETINGGIAN</v>
      </c>
      <c r="T511" s="97" t="s">
        <v>59</v>
      </c>
      <c r="U511" s="105">
        <v>1.0</v>
      </c>
      <c r="V511" s="101"/>
      <c r="W511" s="106" t="b">
        <v>1</v>
      </c>
      <c r="X511" s="107"/>
      <c r="Y511" s="108"/>
    </row>
    <row r="512" ht="22.5" customHeight="1">
      <c r="A512" s="96"/>
      <c r="B512" s="97" t="s">
        <v>85</v>
      </c>
      <c r="C512" s="98" t="str">
        <f t="array" ref="C512">IFNA(XLOOKUP(J512,'⚙️ Pengaturan'!$H$5:$H1508,'⚙️ Pengaturan'!$I$5:$I1508),"")</f>
        <v>TIM Y</v>
      </c>
      <c r="D512" s="97" t="s">
        <v>86</v>
      </c>
      <c r="E512" s="99">
        <v>45959.0</v>
      </c>
      <c r="F512" s="100" t="str">
        <f t="shared" si="1"/>
        <v>2025</v>
      </c>
      <c r="G512" s="100" t="str">
        <f t="shared" si="2"/>
        <v>10Okt</v>
      </c>
      <c r="H512" s="100" t="str">
        <f t="shared" si="3"/>
        <v>Rabu</v>
      </c>
      <c r="I512" s="97" t="s">
        <v>95</v>
      </c>
      <c r="J512" s="97" t="s">
        <v>88</v>
      </c>
      <c r="K512" s="97" t="s">
        <v>57</v>
      </c>
      <c r="L512" s="101" t="s">
        <v>405</v>
      </c>
      <c r="M512" s="102" t="str">
        <f>IFNA(VLOOKUP(L512,'🙎‍♂️ Pasien'!G:V,2,FALSE),"")</f>
        <v>M0224087001</v>
      </c>
      <c r="N512" s="103">
        <f>IFNA(VLOOKUP(L512,'🙎‍♂️ Pasien'!G:L,3,FALSE),"")</f>
        <v>24</v>
      </c>
      <c r="O512" s="104" t="str">
        <f>IFNA(VLOOKUP(L512,'🙎‍♂️ Pasien'!G:V,6,FALSE),"")</f>
        <v>LAKI-LAKI</v>
      </c>
      <c r="P512" s="104" t="str">
        <f>IFNA(VLOOKUP(L512,'🙎‍♂️ Pasien'!G:V,12,FALSE),"")</f>
        <v>BUDDHA</v>
      </c>
      <c r="Q512" s="104" t="str">
        <f>IFNA(VLOOKUP(L512:L1508,'🙎‍♂️ Pasien'!G:V,13,FALSE),"")</f>
        <v>PELAJAR/MAHASISWA</v>
      </c>
      <c r="R512" s="104" t="str">
        <f t="array" ref="R512">ifna(xlookup(L512,'🙎‍♂️ Pasien'!$G$5:$G1508,'🙎‍♂️ Pasien'!$T$5:$T1508),"")</f>
        <v>PINGGNG</v>
      </c>
      <c r="S512" s="104" t="str">
        <f t="array" ref="S512">ifna(xlookup(L512,'🙎‍♂️ Pasien'!$G$5:$G1508,'🙎‍♂️ Pasien'!$U$5:$U1508),"")</f>
        <v>BASKET</v>
      </c>
      <c r="T512" s="97" t="s">
        <v>59</v>
      </c>
      <c r="U512" s="105" t="s">
        <v>60</v>
      </c>
      <c r="V512" s="101"/>
      <c r="W512" s="106" t="b">
        <v>1</v>
      </c>
      <c r="X512" s="107"/>
      <c r="Y512" s="108"/>
    </row>
    <row r="513" ht="22.5" customHeight="1">
      <c r="A513" s="96"/>
      <c r="B513" s="97" t="s">
        <v>85</v>
      </c>
      <c r="C513" s="98" t="str">
        <f t="array" ref="C513">IFNA(XLOOKUP(J513,'⚙️ Pengaturan'!$H$5:$H1508,'⚙️ Pengaturan'!$I$5:$I1508),"")</f>
        <v>TIM Y</v>
      </c>
      <c r="D513" s="97" t="s">
        <v>86</v>
      </c>
      <c r="E513" s="99">
        <v>45959.0</v>
      </c>
      <c r="F513" s="100" t="str">
        <f t="shared" si="1"/>
        <v>2025</v>
      </c>
      <c r="G513" s="100" t="str">
        <f t="shared" si="2"/>
        <v>10Okt</v>
      </c>
      <c r="H513" s="100" t="str">
        <f t="shared" si="3"/>
        <v>Rabu</v>
      </c>
      <c r="I513" s="97" t="s">
        <v>97</v>
      </c>
      <c r="J513" s="97" t="s">
        <v>91</v>
      </c>
      <c r="K513" s="97" t="s">
        <v>63</v>
      </c>
      <c r="L513" s="101" t="s">
        <v>326</v>
      </c>
      <c r="M513" s="102" t="str">
        <f>IFNA(VLOOKUP(L513,'🙎‍♂️ Pasien'!G:V,2,FALSE),"")</f>
        <v>A1423086916</v>
      </c>
      <c r="N513" s="103">
        <f>IFNA(VLOOKUP(L513,'🙎‍♂️ Pasien'!G:L,3,FALSE),"")</f>
        <v>11</v>
      </c>
      <c r="O513" s="104" t="str">
        <f>IFNA(VLOOKUP(L513,'🙎‍♂️ Pasien'!G:V,6,FALSE),"")</f>
        <v>LAKI-LAKI</v>
      </c>
      <c r="P513" s="104" t="str">
        <f>IFNA(VLOOKUP(L513,'🙎‍♂️ Pasien'!G:V,12,FALSE),"")</f>
        <v>ISLAM</v>
      </c>
      <c r="Q513" s="104" t="str">
        <f>IFNA(VLOOKUP(L513:L1508,'🙎‍♂️ Pasien'!G:V,13,FALSE),"")</f>
        <v>PELAJAR/MAHASISWA</v>
      </c>
      <c r="R513" s="104" t="str">
        <f t="array" ref="R513">ifna(xlookup(L513,'🙎‍♂️ Pasien'!$G$5:$G1508,'🙎‍♂️ Pasien'!$T$5:$T1508),"")</f>
        <v>ANKLE KAKI KANAN</v>
      </c>
      <c r="S513" s="104" t="str">
        <f t="array" ref="S513">ifna(xlookup(L513,'🙎‍♂️ Pasien'!$G$5:$G1508,'🙎‍♂️ Pasien'!$U$5:$U1508),"")</f>
        <v>BOLA</v>
      </c>
      <c r="T513" s="97" t="s">
        <v>59</v>
      </c>
      <c r="U513" s="105">
        <v>4.0</v>
      </c>
      <c r="V513" s="101"/>
      <c r="W513" s="106" t="b">
        <v>1</v>
      </c>
      <c r="X513" s="107"/>
      <c r="Y513" s="108"/>
    </row>
    <row r="514" ht="22.5" customHeight="1">
      <c r="A514" s="96"/>
      <c r="B514" s="97" t="s">
        <v>85</v>
      </c>
      <c r="C514" s="98" t="str">
        <f t="array" ref="C514">IFNA(XLOOKUP(J514,'⚙️ Pengaturan'!$H$5:$H1508,'⚙️ Pengaturan'!$I$5:$I1508),"")</f>
        <v>TIM Y</v>
      </c>
      <c r="D514" s="97" t="s">
        <v>86</v>
      </c>
      <c r="E514" s="99">
        <v>45959.0</v>
      </c>
      <c r="F514" s="100" t="str">
        <f t="shared" si="1"/>
        <v>2025</v>
      </c>
      <c r="G514" s="100" t="str">
        <f t="shared" si="2"/>
        <v>10Okt</v>
      </c>
      <c r="H514" s="100" t="str">
        <f t="shared" si="3"/>
        <v>Rabu</v>
      </c>
      <c r="I514" s="97" t="s">
        <v>99</v>
      </c>
      <c r="J514" s="97" t="s">
        <v>88</v>
      </c>
      <c r="K514" s="97" t="s">
        <v>63</v>
      </c>
      <c r="L514" s="101" t="s">
        <v>389</v>
      </c>
      <c r="M514" s="102" t="str">
        <f>IFNA(VLOOKUP(L514,'🙎‍♂️ Pasien'!G:V,2,FALSE),"")</f>
        <v>A0825042223</v>
      </c>
      <c r="N514" s="103">
        <f>IFNA(VLOOKUP(L514,'🙎‍♂️ Pasien'!G:L,3,FALSE),"")</f>
        <v>18</v>
      </c>
      <c r="O514" s="104" t="str">
        <f>IFNA(VLOOKUP(L514,'🙎‍♂️ Pasien'!G:V,6,FALSE),"")</f>
        <v>LAKI-LAKI</v>
      </c>
      <c r="P514" s="104" t="str">
        <f>IFNA(VLOOKUP(L514,'🙎‍♂️ Pasien'!G:V,12,FALSE),"")</f>
        <v>ISLAM</v>
      </c>
      <c r="Q514" s="104" t="str">
        <f>IFNA(VLOOKUP(L514:L1508,'🙎‍♂️ Pasien'!G:V,13,FALSE),"")</f>
        <v>PELAJAR</v>
      </c>
      <c r="R514" s="104" t="str">
        <f t="array" ref="R514">ifna(xlookup(L514,'🙎‍♂️ Pasien'!$G$5:$G1508,'🙎‍♂️ Pasien'!$T$5:$T1508),"")</f>
        <v>NDA BISA MENGANGKAT BEBAN BERAT DI BAGIAN SIKU TANGAN KIRI</v>
      </c>
      <c r="S514" s="104" t="str">
        <f t="array" ref="S514">ifna(xlookup(L514,'🙎‍♂️ Pasien'!$G$5:$G1508,'🙎‍♂️ Pasien'!$U$5:$U1508),"")</f>
        <v>OLAHRAGA</v>
      </c>
      <c r="T514" s="97" t="s">
        <v>59</v>
      </c>
      <c r="U514" s="105">
        <v>1.0</v>
      </c>
      <c r="V514" s="101"/>
      <c r="W514" s="106" t="b">
        <v>1</v>
      </c>
      <c r="X514" s="107"/>
      <c r="Y514" s="108"/>
    </row>
    <row r="515" ht="22.5" customHeight="1">
      <c r="A515" s="96"/>
      <c r="B515" s="97" t="s">
        <v>53</v>
      </c>
      <c r="C515" s="98" t="str">
        <f t="array" ref="C515">IFNA(XLOOKUP(J515,'⚙️ Pengaturan'!$H$5:$H1508,'⚙️ Pengaturan'!$I$5:$I1508),"")</f>
        <v>MANAJEMEN</v>
      </c>
      <c r="D515" s="97" t="s">
        <v>86</v>
      </c>
      <c r="E515" s="99">
        <v>45960.0</v>
      </c>
      <c r="F515" s="100" t="str">
        <f t="shared" si="1"/>
        <v>2025</v>
      </c>
      <c r="G515" s="100" t="str">
        <f t="shared" si="2"/>
        <v>10Okt</v>
      </c>
      <c r="H515" s="100" t="str">
        <f t="shared" si="3"/>
        <v>Kamis</v>
      </c>
      <c r="I515" s="97" t="s">
        <v>55</v>
      </c>
      <c r="J515" s="97" t="s">
        <v>101</v>
      </c>
      <c r="K515" s="97" t="s">
        <v>63</v>
      </c>
      <c r="L515" s="101" t="s">
        <v>102</v>
      </c>
      <c r="M515" s="102" t="str">
        <f>IFNA(VLOOKUP(L515,'🙎‍♂️ Pasien'!G:V,2,FALSE),"")</f>
        <v>B8525075344</v>
      </c>
      <c r="N515" s="103">
        <f>IFNA(VLOOKUP(L515,'🙎‍♂️ Pasien'!G:L,3,FALSE),"")</f>
        <v>40</v>
      </c>
      <c r="O515" s="104" t="str">
        <f>IFNA(VLOOKUP(L515,'🙎‍♂️ Pasien'!G:V,6,FALSE),"")</f>
        <v>LAKI-LAKI</v>
      </c>
      <c r="P515" s="104" t="str">
        <f>IFNA(VLOOKUP(L515,'🙎‍♂️ Pasien'!G:V,12,FALSE),"")</f>
        <v>ISLAM</v>
      </c>
      <c r="Q515" s="104" t="str">
        <f>IFNA(VLOOKUP(L515:L1508,'🙎‍♂️ Pasien'!G:V,13,FALSE),"")</f>
        <v>WIRAUSAHA</v>
      </c>
      <c r="R515" s="104" t="str">
        <f t="array" ref="R515">ifna(xlookup(L515,'🙎‍♂️ Pasien'!$G$5:$G1508,'🙎‍♂️ Pasien'!$T$5:$T1508),"")</f>
        <v>NYERI LUTUT</v>
      </c>
      <c r="S515" s="104" t="str">
        <f t="array" ref="S515">ifna(xlookup(L515,'🙎‍♂️ Pasien'!$G$5:$G1508,'🙎‍♂️ Pasien'!$U$5:$U1508),"")</f>
        <v>JOGGING</v>
      </c>
      <c r="T515" s="97" t="s">
        <v>67</v>
      </c>
      <c r="U515" s="105">
        <v>7.0</v>
      </c>
      <c r="V515" s="101" t="s">
        <v>406</v>
      </c>
      <c r="W515" s="106" t="b">
        <v>1</v>
      </c>
      <c r="X515" s="107"/>
      <c r="Y515" s="108"/>
    </row>
    <row r="516" ht="22.5" customHeight="1">
      <c r="A516" s="96"/>
      <c r="B516" s="97" t="s">
        <v>53</v>
      </c>
      <c r="C516" s="98" t="str">
        <f t="array" ref="C516">IFNA(XLOOKUP(J516,'⚙️ Pengaturan'!$H$5:$H1508,'⚙️ Pengaturan'!$I$5:$I1508),"")</f>
        <v>TIM Y</v>
      </c>
      <c r="D516" s="97" t="s">
        <v>86</v>
      </c>
      <c r="E516" s="99">
        <v>45960.0</v>
      </c>
      <c r="F516" s="100" t="str">
        <f t="shared" si="1"/>
        <v>2025</v>
      </c>
      <c r="G516" s="100" t="str">
        <f t="shared" si="2"/>
        <v>10Okt</v>
      </c>
      <c r="H516" s="100" t="str">
        <f t="shared" si="3"/>
        <v>Kamis</v>
      </c>
      <c r="I516" s="97" t="s">
        <v>55</v>
      </c>
      <c r="J516" s="97" t="s">
        <v>91</v>
      </c>
      <c r="K516" s="97" t="s">
        <v>57</v>
      </c>
      <c r="L516" s="101" t="s">
        <v>407</v>
      </c>
      <c r="M516" s="102" t="str">
        <f>IFNA(VLOOKUP(L516,'🙎‍♂️ Pasien'!G:V,2,FALSE),"")</f>
        <v>D8225100100</v>
      </c>
      <c r="N516" s="103">
        <f>IFNA(VLOOKUP(L516,'🙎‍♂️ Pasien'!G:L,3,FALSE),"")</f>
        <v>43</v>
      </c>
      <c r="O516" s="104" t="str">
        <f>IFNA(VLOOKUP(L516,'🙎‍♂️ Pasien'!G:V,6,FALSE),"")</f>
        <v>PEREMPUAN</v>
      </c>
      <c r="P516" s="104" t="str">
        <f>IFNA(VLOOKUP(L516,'🙎‍♂️ Pasien'!G:V,12,FALSE),"")</f>
        <v>KATOLIK</v>
      </c>
      <c r="Q516" s="104" t="str">
        <f>IFNA(VLOOKUP(L516:L1508,'🙎‍♂️ Pasien'!G:V,13,FALSE),"")</f>
        <v>IBU RUMAH TANGGA</v>
      </c>
      <c r="R516" s="104" t="str">
        <f t="array" ref="R516">ifna(xlookup(L516,'🙎‍♂️ Pasien'!$G$5:$G1508,'🙎‍♂️ Pasien'!$T$5:$T1508),"")</f>
        <v>SAKIT DI BAHU DAN LENGAN SEBELAH KIRI</v>
      </c>
      <c r="S516" s="104" t="str">
        <f t="array" ref="S516">ifna(xlookup(L516,'🙎‍♂️ Pasien'!$G$5:$G1508,'🙎‍♂️ Pasien'!$U$5:$U1508),"")</f>
        <v>SERING MEMEGANG HAPE DALAM POSISI TIDUR</v>
      </c>
      <c r="T516" s="97" t="s">
        <v>59</v>
      </c>
      <c r="U516" s="105" t="s">
        <v>60</v>
      </c>
      <c r="V516" s="101"/>
      <c r="W516" s="106" t="b">
        <v>1</v>
      </c>
      <c r="X516" s="107"/>
      <c r="Y516" s="108"/>
    </row>
    <row r="517" ht="22.5" customHeight="1">
      <c r="A517" s="96"/>
      <c r="B517" s="97" t="s">
        <v>53</v>
      </c>
      <c r="C517" s="98" t="str">
        <f t="array" ref="C517">IFNA(XLOOKUP(J517,'⚙️ Pengaturan'!$H$5:$H1508,'⚙️ Pengaturan'!$I$5:$I1508),"")</f>
        <v>TIM Y</v>
      </c>
      <c r="D517" s="97" t="s">
        <v>86</v>
      </c>
      <c r="E517" s="99">
        <v>45960.0</v>
      </c>
      <c r="F517" s="100" t="str">
        <f t="shared" si="1"/>
        <v>2025</v>
      </c>
      <c r="G517" s="100" t="str">
        <f t="shared" si="2"/>
        <v>10Okt</v>
      </c>
      <c r="H517" s="100" t="str">
        <f t="shared" si="3"/>
        <v>Kamis</v>
      </c>
      <c r="I517" s="97" t="s">
        <v>55</v>
      </c>
      <c r="J517" s="97" t="s">
        <v>107</v>
      </c>
      <c r="K517" s="97" t="s">
        <v>63</v>
      </c>
      <c r="L517" s="101" t="s">
        <v>408</v>
      </c>
      <c r="M517" s="102" t="str">
        <f>IFNA(VLOOKUP(L517,'🙎‍♂️ Pasien'!G:V,2,FALSE),"")</f>
        <v>Y6225086451</v>
      </c>
      <c r="N517" s="103">
        <f>IFNA(VLOOKUP(L517,'🙎‍♂️ Pasien'!G:L,3,FALSE),"")</f>
        <v>64</v>
      </c>
      <c r="O517" s="104" t="str">
        <f>IFNA(VLOOKUP(L517,'🙎‍♂️ Pasien'!G:V,6,FALSE),"")</f>
        <v>PEREMPUAN</v>
      </c>
      <c r="P517" s="104" t="str">
        <f>IFNA(VLOOKUP(L517,'🙎‍♂️ Pasien'!G:V,12,FALSE),"")</f>
        <v>ISLAM</v>
      </c>
      <c r="Q517" s="104" t="str">
        <f>IFNA(VLOOKUP(L517:L1508,'🙎‍♂️ Pasien'!G:V,13,FALSE),"")</f>
        <v>IBU RUMAH TANGGA</v>
      </c>
      <c r="R517" s="104" t="str">
        <f t="array" ref="R517">ifna(xlookup(L517,'🙎‍♂️ Pasien'!$G$5:$G1508,'🙎‍♂️ Pasien'!$T$5:$T1508),"")</f>
        <v>LUTUT KANAN</v>
      </c>
      <c r="S517" s="104" t="str">
        <f t="array" ref="S517">ifna(xlookup(L517,'🙎‍♂️ Pasien'!$G$5:$G1508,'🙎‍♂️ Pasien'!$U$5:$U1508),"")</f>
        <v>TIDAK ADA</v>
      </c>
      <c r="T517" s="97" t="s">
        <v>59</v>
      </c>
      <c r="U517" s="105">
        <v>3.0</v>
      </c>
      <c r="V517" s="101"/>
      <c r="W517" s="106" t="b">
        <v>1</v>
      </c>
      <c r="X517" s="107"/>
      <c r="Y517" s="108"/>
    </row>
    <row r="518" ht="22.5" customHeight="1">
      <c r="A518" s="96"/>
      <c r="B518" s="97" t="s">
        <v>53</v>
      </c>
      <c r="C518" s="98" t="str">
        <f t="array" ref="C518">IFNA(XLOOKUP(J518,'⚙️ Pengaturan'!$H$5:$H1508,'⚙️ Pengaturan'!$I$5:$I1508),"")</f>
        <v>TIM Y</v>
      </c>
      <c r="D518" s="97" t="s">
        <v>86</v>
      </c>
      <c r="E518" s="99">
        <v>45960.0</v>
      </c>
      <c r="F518" s="100" t="str">
        <f t="shared" si="1"/>
        <v>2025</v>
      </c>
      <c r="G518" s="100" t="str">
        <f t="shared" si="2"/>
        <v>10Okt</v>
      </c>
      <c r="H518" s="100" t="str">
        <f t="shared" si="3"/>
        <v>Kamis</v>
      </c>
      <c r="I518" s="97" t="s">
        <v>65</v>
      </c>
      <c r="J518" s="97" t="s">
        <v>107</v>
      </c>
      <c r="K518" s="97" t="s">
        <v>63</v>
      </c>
      <c r="L518" s="101" t="s">
        <v>193</v>
      </c>
      <c r="M518" s="102" t="str">
        <f>IFNA(VLOOKUP(L518,'🙎‍♂️ Pasien'!G:V,2,FALSE),"")</f>
        <v>E8925075615</v>
      </c>
      <c r="N518" s="103">
        <f>IFNA(VLOOKUP(L518,'🙎‍♂️ Pasien'!G:L,3,FALSE),"")</f>
        <v>36</v>
      </c>
      <c r="O518" s="104" t="str">
        <f>IFNA(VLOOKUP(L518,'🙎‍♂️ Pasien'!G:V,6,FALSE),"")</f>
        <v>PEREMPUAN</v>
      </c>
      <c r="P518" s="104" t="str">
        <f>IFNA(VLOOKUP(L518,'🙎‍♂️ Pasien'!G:V,12,FALSE),"")</f>
        <v>KATOLIK</v>
      </c>
      <c r="Q518" s="104" t="str">
        <f>IFNA(VLOOKUP(L518:L1508,'🙎‍♂️ Pasien'!G:V,13,FALSE),"")</f>
        <v>WIRASWASTA</v>
      </c>
      <c r="R518" s="104" t="str">
        <f t="array" ref="R518">ifna(xlookup(L518,'🙎‍♂️ Pasien'!$G$5:$G1508,'🙎‍♂️ Pasien'!$T$5:$T1508),"")</f>
        <v>BUNION</v>
      </c>
      <c r="S518" s="104" t="str">
        <f t="array" ref="S518">ifna(xlookup(L518,'🙎‍♂️ Pasien'!$G$5:$G1508,'🙎‍♂️ Pasien'!$U$5:$U1508),"")</f>
        <v>TENNIS</v>
      </c>
      <c r="T518" s="97" t="s">
        <v>59</v>
      </c>
      <c r="U518" s="105">
        <v>2.0</v>
      </c>
      <c r="V518" s="101"/>
      <c r="W518" s="106" t="b">
        <v>1</v>
      </c>
      <c r="X518" s="107"/>
      <c r="Y518" s="108"/>
    </row>
    <row r="519" ht="22.5" customHeight="1">
      <c r="A519" s="96"/>
      <c r="B519" s="97" t="s">
        <v>53</v>
      </c>
      <c r="C519" s="98" t="str">
        <f t="array" ref="C519">IFNA(XLOOKUP(J519,'⚙️ Pengaturan'!$H$5:$H1508,'⚙️ Pengaturan'!$I$5:$I1508),"")</f>
        <v>MANAJEMEN</v>
      </c>
      <c r="D519" s="97" t="s">
        <v>86</v>
      </c>
      <c r="E519" s="99">
        <v>45960.0</v>
      </c>
      <c r="F519" s="100" t="str">
        <f t="shared" si="1"/>
        <v>2025</v>
      </c>
      <c r="G519" s="100" t="str">
        <f t="shared" si="2"/>
        <v>10Okt</v>
      </c>
      <c r="H519" s="100" t="str">
        <f t="shared" si="3"/>
        <v>Kamis</v>
      </c>
      <c r="I519" s="97" t="s">
        <v>65</v>
      </c>
      <c r="J519" s="97" t="s">
        <v>101</v>
      </c>
      <c r="K519" s="97" t="s">
        <v>69</v>
      </c>
      <c r="L519" s="101" t="s">
        <v>409</v>
      </c>
      <c r="M519" s="102" t="str">
        <f>IFNA(VLOOKUP(L519,'🙎‍♂️ Pasien'!G:V,2,FALSE),"")</f>
        <v>T9424061583</v>
      </c>
      <c r="N519" s="103">
        <f>IFNA(VLOOKUP(L519,'🙎‍♂️ Pasien'!G:L,3,FALSE),"")</f>
        <v>31</v>
      </c>
      <c r="O519" s="104" t="str">
        <f>IFNA(VLOOKUP(L519,'🙎‍♂️ Pasien'!G:V,6,FALSE),"")</f>
        <v>LAKI-LAKI</v>
      </c>
      <c r="P519" s="104" t="str">
        <f>IFNA(VLOOKUP(L519,'🙎‍♂️ Pasien'!G:V,12,FALSE),"")</f>
        <v>ISLAM</v>
      </c>
      <c r="Q519" s="104" t="str">
        <f>IFNA(VLOOKUP(L519:L1508,'🙎‍♂️ Pasien'!G:V,13,FALSE),"")</f>
        <v>SWASTA</v>
      </c>
      <c r="R519" s="104" t="str">
        <f t="array" ref="R519">ifna(xlookup(L519,'🙎‍♂️ Pasien'!$G$5:$G1508,'🙎‍♂️ Pasien'!$T$5:$T1508),"")</f>
        <v>Nyeri paha bagian dalam</v>
      </c>
      <c r="S519" s="104" t="str">
        <f t="array" ref="S519">ifna(xlookup(L519,'🙎‍♂️ Pasien'!$G$5:$G1508,'🙎‍♂️ Pasien'!$U$5:$U1508),"")</f>
        <v>-</v>
      </c>
      <c r="T519" s="97" t="s">
        <v>67</v>
      </c>
      <c r="U519" s="105" t="s">
        <v>60</v>
      </c>
      <c r="V519" s="101" t="s">
        <v>379</v>
      </c>
      <c r="W519" s="106" t="b">
        <v>1</v>
      </c>
      <c r="X519" s="107"/>
      <c r="Y519" s="108"/>
    </row>
    <row r="520" ht="22.5" customHeight="1">
      <c r="A520" s="96"/>
      <c r="B520" s="97" t="s">
        <v>53</v>
      </c>
      <c r="C520" s="98" t="str">
        <f t="array" ref="C520">IFNA(XLOOKUP(J520,'⚙️ Pengaturan'!$H$5:$H1508,'⚙️ Pengaturan'!$I$5:$I1508),"")</f>
        <v>TIM Y</v>
      </c>
      <c r="D520" s="97" t="s">
        <v>86</v>
      </c>
      <c r="E520" s="99">
        <v>45960.0</v>
      </c>
      <c r="F520" s="100" t="str">
        <f t="shared" si="1"/>
        <v>2025</v>
      </c>
      <c r="G520" s="100" t="str">
        <f t="shared" si="2"/>
        <v>10Okt</v>
      </c>
      <c r="H520" s="100" t="str">
        <f t="shared" si="3"/>
        <v>Kamis</v>
      </c>
      <c r="I520" s="97" t="s">
        <v>65</v>
      </c>
      <c r="J520" s="97" t="s">
        <v>88</v>
      </c>
      <c r="K520" s="97" t="s">
        <v>57</v>
      </c>
      <c r="L520" s="101" t="s">
        <v>410</v>
      </c>
      <c r="M520" s="102" t="str">
        <f>IFNA(VLOOKUP(L520,'🙎‍♂️ Pasien'!G:V,2,FALSE),"")</f>
        <v>W9525106146</v>
      </c>
      <c r="N520" s="103">
        <f>IFNA(VLOOKUP(L520,'🙎‍♂️ Pasien'!G:L,3,FALSE),"")</f>
        <v>30</v>
      </c>
      <c r="O520" s="104" t="str">
        <f>IFNA(VLOOKUP(L520,'🙎‍♂️ Pasien'!G:V,6,FALSE),"")</f>
        <v>LAKI-LAKI</v>
      </c>
      <c r="P520" s="104" t="str">
        <f>IFNA(VLOOKUP(L520,'🙎‍♂️ Pasien'!G:V,12,FALSE),"")</f>
        <v>ISLAM</v>
      </c>
      <c r="Q520" s="104" t="str">
        <f>IFNA(VLOOKUP(L520:L1508,'🙎‍♂️ Pasien'!G:V,13,FALSE),"")</f>
        <v>KARYAWAN</v>
      </c>
      <c r="R520" s="104" t="str">
        <f t="array" ref="R520">ifna(xlookup(L520,'🙎‍♂️ Pasien'!$G$5:$G1508,'🙎‍♂️ Pasien'!$T$5:$T1508),"")</f>
        <v>NYERI PADA PANGKAL JEMPOL DAN PERGELANGAN TANGAN</v>
      </c>
      <c r="S520" s="104" t="str">
        <f t="array" ref="S520">ifna(xlookup(L520,'🙎‍♂️ Pasien'!$G$5:$G1508,'🙎‍♂️ Pasien'!$U$5:$U1508),"")</f>
        <v>MENGGENDONG BAYI</v>
      </c>
      <c r="T520" s="97" t="s">
        <v>59</v>
      </c>
      <c r="U520" s="105" t="s">
        <v>60</v>
      </c>
      <c r="V520" s="101"/>
      <c r="W520" s="106" t="b">
        <v>1</v>
      </c>
      <c r="X520" s="107"/>
      <c r="Y520" s="108"/>
    </row>
    <row r="521" ht="22.5" customHeight="1">
      <c r="A521" s="96"/>
      <c r="B521" s="97" t="s">
        <v>53</v>
      </c>
      <c r="C521" s="98" t="str">
        <f t="array" ref="C521">IFNA(XLOOKUP(J521,'⚙️ Pengaturan'!$H$5:$H1508,'⚙️ Pengaturan'!$I$5:$I1508),"")</f>
        <v>TIM Y</v>
      </c>
      <c r="D521" s="97" t="s">
        <v>86</v>
      </c>
      <c r="E521" s="99">
        <v>45960.0</v>
      </c>
      <c r="F521" s="100" t="str">
        <f t="shared" si="1"/>
        <v>2025</v>
      </c>
      <c r="G521" s="100" t="str">
        <f t="shared" si="2"/>
        <v>10Okt</v>
      </c>
      <c r="H521" s="100" t="str">
        <f t="shared" si="3"/>
        <v>Kamis</v>
      </c>
      <c r="I521" s="97" t="s">
        <v>74</v>
      </c>
      <c r="J521" s="97" t="s">
        <v>91</v>
      </c>
      <c r="K521" s="97" t="s">
        <v>63</v>
      </c>
      <c r="L521" s="101" t="s">
        <v>302</v>
      </c>
      <c r="M521" s="102" t="str">
        <f>IFNA(VLOOKUP(L521,'🙎‍♂️ Pasien'!G:V,2,FALSE),"")</f>
        <v>A9425105994</v>
      </c>
      <c r="N521" s="103">
        <f>IFNA(VLOOKUP(L521,'🙎‍♂️ Pasien'!G:L,3,FALSE),"")</f>
        <v>32</v>
      </c>
      <c r="O521" s="104" t="str">
        <f>IFNA(VLOOKUP(L521,'🙎‍♂️ Pasien'!G:V,6,FALSE),"")</f>
        <v>LAKI-LAKI</v>
      </c>
      <c r="P521" s="104" t="str">
        <f>IFNA(VLOOKUP(L521,'🙎‍♂️ Pasien'!G:V,12,FALSE),"")</f>
        <v>ISLAM</v>
      </c>
      <c r="Q521" s="104" t="str">
        <f>IFNA(VLOOKUP(L521:L1508,'🙎‍♂️ Pasien'!G:V,13,FALSE),"")</f>
        <v>KARYAWAN SWASTA</v>
      </c>
      <c r="R521" s="104" t="str">
        <f t="array" ref="R521">ifna(xlookup(L521,'🙎‍♂️ Pasien'!$G$5:$G1508,'🙎‍♂️ Pasien'!$T$5:$T1508),"")</f>
        <v>LUTUT</v>
      </c>
      <c r="S521" s="104" t="str">
        <f t="array" ref="S521">ifna(xlookup(L521,'🙎‍♂️ Pasien'!$G$5:$G1508,'🙎‍♂️ Pasien'!$U$5:$U1508),"")</f>
        <v>OLAGRAGA</v>
      </c>
      <c r="T521" s="97" t="s">
        <v>59</v>
      </c>
      <c r="U521" s="105">
        <v>6.0</v>
      </c>
      <c r="V521" s="101"/>
      <c r="W521" s="106" t="b">
        <v>1</v>
      </c>
      <c r="X521" s="107"/>
      <c r="Y521" s="108"/>
    </row>
    <row r="522" ht="22.5" customHeight="1">
      <c r="A522" s="96"/>
      <c r="B522" s="97" t="s">
        <v>53</v>
      </c>
      <c r="C522" s="98" t="str">
        <f t="array" ref="C522">IFNA(XLOOKUP(J522,'⚙️ Pengaturan'!$H$5:$H1508,'⚙️ Pengaturan'!$I$5:$I1508),"")</f>
        <v>TIM Y</v>
      </c>
      <c r="D522" s="97" t="s">
        <v>86</v>
      </c>
      <c r="E522" s="99">
        <v>45960.0</v>
      </c>
      <c r="F522" s="100" t="str">
        <f t="shared" si="1"/>
        <v>2025</v>
      </c>
      <c r="G522" s="100" t="str">
        <f t="shared" si="2"/>
        <v>10Okt</v>
      </c>
      <c r="H522" s="100" t="str">
        <f t="shared" si="3"/>
        <v>Kamis</v>
      </c>
      <c r="I522" s="97" t="s">
        <v>76</v>
      </c>
      <c r="J522" s="97" t="s">
        <v>88</v>
      </c>
      <c r="K522" s="97" t="s">
        <v>63</v>
      </c>
      <c r="L522" s="101" t="s">
        <v>288</v>
      </c>
      <c r="M522" s="102" t="str">
        <f>IFNA(VLOOKUP(L522,'🙎‍♂️ Pasien'!G:V,2,FALSE),"")</f>
        <v>E9925108783</v>
      </c>
      <c r="N522" s="103">
        <f>IFNA(VLOOKUP(L522,'🙎‍♂️ Pasien'!G:L,3,FALSE),"")</f>
        <v>26</v>
      </c>
      <c r="O522" s="104" t="str">
        <f>IFNA(VLOOKUP(L522,'🙎‍♂️ Pasien'!G:V,6,FALSE),"")</f>
        <v>LAKI-LAKI</v>
      </c>
      <c r="P522" s="104" t="str">
        <f>IFNA(VLOOKUP(L522,'🙎‍♂️ Pasien'!G:V,12,FALSE),"")</f>
        <v>KATOLIK</v>
      </c>
      <c r="Q522" s="104" t="str">
        <f>IFNA(VLOOKUP(L522:L1508,'🙎‍♂️ Pasien'!G:V,13,FALSE),"")</f>
        <v>WIRASWASTA</v>
      </c>
      <c r="R522" s="104" t="str">
        <f t="array" ref="R522">ifna(xlookup(L522,'🙎‍♂️ Pasien'!$G$5:$G1508,'🙎‍♂️ Pasien'!$T$5:$T1508),"")</f>
        <v>TERAPI PASCA LATIHAN</v>
      </c>
      <c r="S522" s="104" t="str">
        <f t="array" ref="S522">ifna(xlookup(L522,'🙎‍♂️ Pasien'!$G$5:$G1508,'🙎‍♂️ Pasien'!$U$5:$U1508),"")</f>
        <v>LARI</v>
      </c>
      <c r="T522" s="97" t="s">
        <v>59</v>
      </c>
      <c r="U522" s="105">
        <v>4.0</v>
      </c>
      <c r="V522" s="101"/>
      <c r="W522" s="106" t="b">
        <v>1</v>
      </c>
      <c r="X522" s="107"/>
      <c r="Y522" s="108"/>
    </row>
    <row r="523" ht="22.5" customHeight="1">
      <c r="A523" s="96"/>
      <c r="B523" s="97" t="s">
        <v>53</v>
      </c>
      <c r="C523" s="98" t="str">
        <f t="array" ref="C523">IFNA(XLOOKUP(J523,'⚙️ Pengaturan'!$H$5:$H1508,'⚙️ Pengaturan'!$I$5:$I1508),"")</f>
        <v>TIM Y</v>
      </c>
      <c r="D523" s="97" t="s">
        <v>86</v>
      </c>
      <c r="E523" s="99">
        <v>45960.0</v>
      </c>
      <c r="F523" s="100" t="str">
        <f t="shared" si="1"/>
        <v>2025</v>
      </c>
      <c r="G523" s="100" t="str">
        <f t="shared" si="2"/>
        <v>10Okt</v>
      </c>
      <c r="H523" s="100" t="str">
        <f t="shared" si="3"/>
        <v>Kamis</v>
      </c>
      <c r="I523" s="97" t="s">
        <v>83</v>
      </c>
      <c r="J523" s="97" t="s">
        <v>107</v>
      </c>
      <c r="K523" s="97" t="s">
        <v>63</v>
      </c>
      <c r="L523" s="101" t="s">
        <v>116</v>
      </c>
      <c r="M523" s="102" t="str">
        <f>IFNA(VLOOKUP(L523,'🙎‍♂️ Pasien'!G:V,2,FALSE),"")</f>
        <v>H7825098625</v>
      </c>
      <c r="N523" s="103">
        <f>IFNA(VLOOKUP(L523,'🙎‍♂️ Pasien'!G:L,3,FALSE),"")</f>
        <v>47</v>
      </c>
      <c r="O523" s="104" t="str">
        <f>IFNA(VLOOKUP(L523,'🙎‍♂️ Pasien'!G:V,6,FALSE),"")</f>
        <v>LAKI-LAKI</v>
      </c>
      <c r="P523" s="104" t="str">
        <f>IFNA(VLOOKUP(L523,'🙎‍♂️ Pasien'!G:V,12,FALSE),"")</f>
        <v>KHONGHUCU</v>
      </c>
      <c r="Q523" s="104" t="str">
        <f>IFNA(VLOOKUP(L523:L1508,'🙎‍♂️ Pasien'!G:V,13,FALSE),"")</f>
        <v>WIRASWASTA</v>
      </c>
      <c r="R523" s="104" t="str">
        <f t="array" ref="R523">ifna(xlookup(L523,'🙎‍♂️ Pasien'!$G$5:$G1508,'🙎‍♂️ Pasien'!$T$5:$T1508),"")</f>
        <v>SIANTAN</v>
      </c>
      <c r="S523" s="104" t="str">
        <f t="array" ref="S523">ifna(xlookup(L523,'🙎‍♂️ Pasien'!$G$5:$G1508,'🙎‍♂️ Pasien'!$U$5:$U1508),"")</f>
        <v>GYM</v>
      </c>
      <c r="T523" s="97" t="s">
        <v>59</v>
      </c>
      <c r="U523" s="105">
        <v>3.0</v>
      </c>
      <c r="V523" s="101"/>
      <c r="W523" s="106" t="b">
        <v>1</v>
      </c>
      <c r="X523" s="107"/>
      <c r="Y523" s="108"/>
    </row>
    <row r="524" ht="22.5" customHeight="1">
      <c r="A524" s="96"/>
      <c r="B524" s="97" t="s">
        <v>85</v>
      </c>
      <c r="C524" s="98" t="str">
        <f t="array" ref="C524">IFNA(XLOOKUP(J524,'⚙️ Pengaturan'!$H$5:$H1508,'⚙️ Pengaturan'!$I$5:$I1508),"")</f>
        <v>TIM Y</v>
      </c>
      <c r="D524" s="97" t="s">
        <v>54</v>
      </c>
      <c r="E524" s="99">
        <v>45960.0</v>
      </c>
      <c r="F524" s="100" t="str">
        <f t="shared" si="1"/>
        <v>2025</v>
      </c>
      <c r="G524" s="100" t="str">
        <f t="shared" si="2"/>
        <v>10Okt</v>
      </c>
      <c r="H524" s="100" t="str">
        <f t="shared" si="3"/>
        <v>Kamis</v>
      </c>
      <c r="I524" s="97" t="s">
        <v>87</v>
      </c>
      <c r="J524" s="97" t="s">
        <v>56</v>
      </c>
      <c r="K524" s="97" t="s">
        <v>63</v>
      </c>
      <c r="L524" s="101" t="s">
        <v>119</v>
      </c>
      <c r="M524" s="102" t="str">
        <f>IFNA(VLOOKUP(L524,'🙎‍♂️ Pasien'!G:V,2,FALSE),"")</f>
        <v>H4623015667</v>
      </c>
      <c r="N524" s="103">
        <f>IFNA(VLOOKUP(L524,'🙎‍♂️ Pasien'!G:L,3,FALSE),"")</f>
        <v>80</v>
      </c>
      <c r="O524" s="104" t="str">
        <f>IFNA(VLOOKUP(L524,'🙎‍♂️ Pasien'!G:V,6,FALSE),"")</f>
        <v>LAKI-LAKI</v>
      </c>
      <c r="P524" s="104" t="str">
        <f>IFNA(VLOOKUP(L524,'🙎‍♂️ Pasien'!G:V,12,FALSE),"")</f>
        <v>ISLAM</v>
      </c>
      <c r="Q524" s="104" t="str">
        <f>IFNA(VLOOKUP(L524:L1508,'🙎‍♂️ Pasien'!G:V,13,FALSE),"")</f>
        <v>PENSIUN</v>
      </c>
      <c r="R524" s="104" t="str">
        <f t="array" ref="R524">ifna(xlookup(L524,'🙎‍♂️ Pasien'!$G$5:$G1508,'🙎‍♂️ Pasien'!$T$5:$T1508),"")</f>
        <v>STROKE</v>
      </c>
      <c r="S524" s="104" t="str">
        <f t="array" ref="S524">ifna(xlookup(L524,'🙎‍♂️ Pasien'!$G$5:$G1508,'🙎‍♂️ Pasien'!$U$5:$U1508),"")</f>
        <v/>
      </c>
      <c r="T524" s="97" t="s">
        <v>59</v>
      </c>
      <c r="U524" s="105">
        <v>6.0</v>
      </c>
      <c r="V524" s="101"/>
      <c r="W524" s="106" t="b">
        <v>1</v>
      </c>
      <c r="X524" s="107"/>
      <c r="Y524" s="108"/>
    </row>
    <row r="525" ht="22.5" customHeight="1">
      <c r="A525" s="96"/>
      <c r="B525" s="97" t="s">
        <v>85</v>
      </c>
      <c r="C525" s="98" t="str">
        <f t="array" ref="C525">IFNA(XLOOKUP(J525,'⚙️ Pengaturan'!$H$5:$H1508,'⚙️ Pengaturan'!$I$5:$I1508),"")</f>
        <v>MANAJEMEN</v>
      </c>
      <c r="D525" s="97" t="s">
        <v>54</v>
      </c>
      <c r="E525" s="99">
        <v>45960.0</v>
      </c>
      <c r="F525" s="100" t="str">
        <f t="shared" si="1"/>
        <v>2025</v>
      </c>
      <c r="G525" s="100" t="str">
        <f t="shared" si="2"/>
        <v>10Okt</v>
      </c>
      <c r="H525" s="100" t="str">
        <f t="shared" si="3"/>
        <v>Kamis</v>
      </c>
      <c r="I525" s="97" t="s">
        <v>87</v>
      </c>
      <c r="J525" s="97" t="s">
        <v>101</v>
      </c>
      <c r="K525" s="97" t="s">
        <v>63</v>
      </c>
      <c r="L525" s="101" t="s">
        <v>203</v>
      </c>
      <c r="M525" s="102" t="str">
        <f>IFNA(VLOOKUP(L525,'🙎‍♂️ Pasien'!G:V,2,FALSE),"")</f>
        <v>R7723022907</v>
      </c>
      <c r="N525" s="103">
        <f>IFNA(VLOOKUP(L525,'🙎‍♂️ Pasien'!G:L,3,FALSE),"")</f>
        <v>48</v>
      </c>
      <c r="O525" s="104" t="str">
        <f>IFNA(VLOOKUP(L525,'🙎‍♂️ Pasien'!G:V,6,FALSE),"")</f>
        <v>PEREMPUAN</v>
      </c>
      <c r="P525" s="104" t="str">
        <f>IFNA(VLOOKUP(L525,'🙎‍♂️ Pasien'!G:V,12,FALSE),"")</f>
        <v>LAINNYA</v>
      </c>
      <c r="Q525" s="104" t="str">
        <f>IFNA(VLOOKUP(L525:L1508,'🙎‍♂️ Pasien'!G:V,13,FALSE),"")</f>
        <v>RUMAH TANGGA</v>
      </c>
      <c r="R525" s="104" t="str">
        <f t="array" ref="R525">ifna(xlookup(L525,'🙎‍♂️ Pasien'!$G$5:$G1508,'🙎‍♂️ Pasien'!$T$5:$T1508),"")</f>
        <v>TULANG EKOR</v>
      </c>
      <c r="S525" s="104" t="str">
        <f t="array" ref="S525">ifna(xlookup(L525,'🙎‍♂️ Pasien'!$G$5:$G1508,'🙎‍♂️ Pasien'!$U$5:$U1508),"")</f>
        <v>LARI</v>
      </c>
      <c r="T525" s="97" t="s">
        <v>67</v>
      </c>
      <c r="U525" s="105">
        <v>3.0</v>
      </c>
      <c r="V525" s="101" t="s">
        <v>411</v>
      </c>
      <c r="W525" s="106" t="b">
        <v>1</v>
      </c>
      <c r="X525" s="107"/>
      <c r="Y525" s="108"/>
    </row>
    <row r="526" ht="22.5" customHeight="1">
      <c r="A526" s="96"/>
      <c r="B526" s="97" t="s">
        <v>85</v>
      </c>
      <c r="C526" s="98" t="str">
        <f t="array" ref="C526">IFNA(XLOOKUP(J526,'⚙️ Pengaturan'!$H$5:$H1508,'⚙️ Pengaturan'!$I$5:$I1508),"")</f>
        <v>TIM A</v>
      </c>
      <c r="D526" s="97" t="s">
        <v>54</v>
      </c>
      <c r="E526" s="99">
        <v>45960.0</v>
      </c>
      <c r="F526" s="100" t="str">
        <f t="shared" si="1"/>
        <v>2025</v>
      </c>
      <c r="G526" s="100" t="str">
        <f t="shared" si="2"/>
        <v>10Okt</v>
      </c>
      <c r="H526" s="100" t="str">
        <f t="shared" si="3"/>
        <v>Kamis</v>
      </c>
      <c r="I526" s="97" t="s">
        <v>93</v>
      </c>
      <c r="J526" s="97" t="s">
        <v>79</v>
      </c>
      <c r="K526" s="97" t="s">
        <v>63</v>
      </c>
      <c r="L526" s="101" t="s">
        <v>314</v>
      </c>
      <c r="M526" s="102" t="str">
        <f>IFNA(VLOOKUP(L526,'🙎‍♂️ Pasien'!G:V,2,FALSE),"")</f>
        <v>A2424089584</v>
      </c>
      <c r="N526" s="103">
        <f>IFNA(VLOOKUP(L526,'🙎‍♂️ Pasien'!G:L,3,FALSE),"")</f>
        <v>1</v>
      </c>
      <c r="O526" s="104" t="str">
        <f>IFNA(VLOOKUP(L526,'🙎‍♂️ Pasien'!G:V,6,FALSE),"")</f>
        <v>LAKI-LAKI</v>
      </c>
      <c r="P526" s="104" t="str">
        <f>IFNA(VLOOKUP(L526,'🙎‍♂️ Pasien'!G:V,12,FALSE),"")</f>
        <v>ISLAM</v>
      </c>
      <c r="Q526" s="104" t="str">
        <f>IFNA(VLOOKUP(L526:L1508,'🙎‍♂️ Pasien'!G:V,13,FALSE),"")</f>
        <v>PELAJAR/MAHASISWA</v>
      </c>
      <c r="R526" s="104" t="str">
        <f t="array" ref="R526">ifna(xlookup(L526,'🙎‍♂️ Pasien'!$G$5:$G1508,'🙎‍♂️ Pasien'!$T$5:$T1508),"")</f>
        <v>Cedera engkel</v>
      </c>
      <c r="S526" s="104" t="str">
        <f t="array" ref="S526">ifna(xlookup(L526,'🙎‍♂️ Pasien'!$G$5:$G1508,'🙎‍♂️ Pasien'!$U$5:$U1508),"")</f>
        <v>Maen bola</v>
      </c>
      <c r="T526" s="97" t="s">
        <v>59</v>
      </c>
      <c r="U526" s="105">
        <v>3.0</v>
      </c>
      <c r="V526" s="101" t="s">
        <v>332</v>
      </c>
      <c r="W526" s="106" t="b">
        <v>1</v>
      </c>
      <c r="X526" s="107"/>
      <c r="Y526" s="108"/>
    </row>
    <row r="527" ht="22.5" customHeight="1">
      <c r="A527" s="96"/>
      <c r="B527" s="97" t="s">
        <v>85</v>
      </c>
      <c r="C527" s="98" t="str">
        <f t="array" ref="C527">IFNA(XLOOKUP(J527,'⚙️ Pengaturan'!$H$5:$H1508,'⚙️ Pengaturan'!$I$5:$I1508),"")</f>
        <v>TIM A</v>
      </c>
      <c r="D527" s="97" t="s">
        <v>54</v>
      </c>
      <c r="E527" s="99">
        <v>45960.0</v>
      </c>
      <c r="F527" s="100" t="str">
        <f t="shared" si="1"/>
        <v>2025</v>
      </c>
      <c r="G527" s="100" t="str">
        <f t="shared" si="2"/>
        <v>10Okt</v>
      </c>
      <c r="H527" s="100" t="str">
        <f t="shared" si="3"/>
        <v>Kamis</v>
      </c>
      <c r="I527" s="97" t="s">
        <v>93</v>
      </c>
      <c r="J527" s="97" t="s">
        <v>72</v>
      </c>
      <c r="K527" s="97" t="s">
        <v>63</v>
      </c>
      <c r="L527" s="101" t="s">
        <v>366</v>
      </c>
      <c r="M527" s="102" t="str">
        <f>IFNA(VLOOKUP(L527,'🙎‍♂️ Pasien'!G:V,2,FALSE),"")</f>
        <v>S0825106969</v>
      </c>
      <c r="N527" s="103">
        <f>IFNA(VLOOKUP(L527,'🙎‍♂️ Pasien'!G:L,3,FALSE),"")</f>
        <v>17</v>
      </c>
      <c r="O527" s="104" t="str">
        <f>IFNA(VLOOKUP(L527,'🙎‍♂️ Pasien'!G:V,6,FALSE),"")</f>
        <v>PEREMPUAN</v>
      </c>
      <c r="P527" s="104" t="str">
        <f>IFNA(VLOOKUP(L527,'🙎‍♂️ Pasien'!G:V,12,FALSE),"")</f>
        <v>KATOLIK</v>
      </c>
      <c r="Q527" s="104" t="str">
        <f>IFNA(VLOOKUP(L527:L1508,'🙎‍♂️ Pasien'!G:V,13,FALSE),"")</f>
        <v>PELAJAR</v>
      </c>
      <c r="R527" s="104" t="str">
        <f t="array" ref="R527">ifna(xlookup(L527,'🙎‍♂️ Pasien'!$G$5:$G1508,'🙎‍♂️ Pasien'!$T$5:$T1508),"")</f>
        <v>KAKI PANJANG PENDEK, SERING SAKIT DI BAGIAN PUNGGUNG BAWAH</v>
      </c>
      <c r="S527" s="104" t="str">
        <f t="array" ref="S527">ifna(xlookup(L527,'🙎‍♂️ Pasien'!$G$5:$G1508,'🙎‍♂️ Pasien'!$U$5:$U1508),"")</f>
        <v>MUAY THAI (BARU BARU INI), GYM (DARI BBRP BULAN LALU), DANCE (SEJAK LAMA UDH DANCE)</v>
      </c>
      <c r="T527" s="97" t="s">
        <v>67</v>
      </c>
      <c r="U527" s="105">
        <v>3.0</v>
      </c>
      <c r="V527" s="101" t="s">
        <v>412</v>
      </c>
      <c r="W527" s="106" t="b">
        <v>1</v>
      </c>
      <c r="X527" s="107"/>
      <c r="Y527" s="108"/>
    </row>
    <row r="528" ht="22.5" customHeight="1">
      <c r="A528" s="96"/>
      <c r="B528" s="97" t="s">
        <v>85</v>
      </c>
      <c r="C528" s="98" t="str">
        <f t="array" ref="C528">IFNA(XLOOKUP(J528,'⚙️ Pengaturan'!$H$5:$H1508,'⚙️ Pengaturan'!$I$5:$I1508),"")</f>
        <v>TIM A</v>
      </c>
      <c r="D528" s="97" t="s">
        <v>54</v>
      </c>
      <c r="E528" s="99">
        <v>45960.0</v>
      </c>
      <c r="F528" s="100" t="str">
        <f t="shared" si="1"/>
        <v>2025</v>
      </c>
      <c r="G528" s="100" t="str">
        <f t="shared" si="2"/>
        <v>10Okt</v>
      </c>
      <c r="H528" s="100" t="str">
        <f t="shared" si="3"/>
        <v>Kamis</v>
      </c>
      <c r="I528" s="97" t="s">
        <v>95</v>
      </c>
      <c r="J528" s="97" t="s">
        <v>62</v>
      </c>
      <c r="K528" s="97" t="s">
        <v>63</v>
      </c>
      <c r="L528" s="101" t="s">
        <v>357</v>
      </c>
      <c r="M528" s="102" t="str">
        <f>IFNA(VLOOKUP(L528,'🙎‍♂️ Pasien'!G:V,2,FALSE),"")</f>
        <v>A0125104452</v>
      </c>
      <c r="N528" s="103">
        <f>IFNA(VLOOKUP(L528,'🙎‍♂️ Pasien'!G:L,3,FALSE),"")</f>
        <v>24</v>
      </c>
      <c r="O528" s="104" t="str">
        <f>IFNA(VLOOKUP(L528,'🙎‍♂️ Pasien'!G:V,6,FALSE),"")</f>
        <v>PEREMPUAN</v>
      </c>
      <c r="P528" s="104" t="str">
        <f>IFNA(VLOOKUP(L528,'🙎‍♂️ Pasien'!G:V,12,FALSE),"")</f>
        <v>ISLAM</v>
      </c>
      <c r="Q528" s="104" t="str">
        <f>IFNA(VLOOKUP(L528:L1508,'🙎‍♂️ Pasien'!G:V,13,FALSE),"")</f>
        <v>PNS</v>
      </c>
      <c r="R528" s="104" t="str">
        <f t="array" ref="R528">ifna(xlookup(L528,'🙎‍♂️ Pasien'!$G$5:$G1508,'🙎‍♂️ Pasien'!$T$5:$T1508),"")</f>
        <v>SAKIT NYERI DAN PEGAL DARI LEHER HINGGA KAKI NAMUN HANYA TUBUH SEBELAH KANAN</v>
      </c>
      <c r="S528" s="104" t="str">
        <f t="array" ref="S528">ifna(xlookup(L528,'🙎‍♂️ Pasien'!$G$5:$G1508,'🙎‍♂️ Pasien'!$U$5:$U1508),"")</f>
        <v>-</v>
      </c>
      <c r="T528" s="97" t="s">
        <v>59</v>
      </c>
      <c r="U528" s="105">
        <v>3.0</v>
      </c>
      <c r="V528" s="101"/>
      <c r="W528" s="106" t="b">
        <v>1</v>
      </c>
      <c r="X528" s="107"/>
      <c r="Y528" s="108"/>
    </row>
    <row r="529" ht="22.5" customHeight="1">
      <c r="A529" s="96"/>
      <c r="B529" s="97" t="s">
        <v>85</v>
      </c>
      <c r="C529" s="98" t="str">
        <f t="array" ref="C529">IFNA(XLOOKUP(J529,'⚙️ Pengaturan'!$H$5:$H1508,'⚙️ Pengaturan'!$I$5:$I1508),"")</f>
        <v>TIM A</v>
      </c>
      <c r="D529" s="97" t="s">
        <v>54</v>
      </c>
      <c r="E529" s="99">
        <v>45960.0</v>
      </c>
      <c r="F529" s="100" t="str">
        <f t="shared" si="1"/>
        <v>2025</v>
      </c>
      <c r="G529" s="100" t="str">
        <f t="shared" si="2"/>
        <v>10Okt</v>
      </c>
      <c r="H529" s="100" t="str">
        <f t="shared" si="3"/>
        <v>Kamis</v>
      </c>
      <c r="I529" s="97" t="s">
        <v>95</v>
      </c>
      <c r="J529" s="97" t="s">
        <v>72</v>
      </c>
      <c r="K529" s="97" t="s">
        <v>63</v>
      </c>
      <c r="L529" s="101" t="s">
        <v>129</v>
      </c>
      <c r="M529" s="102" t="str">
        <f>IFNA(VLOOKUP(L529,'🙎‍♂️ Pasien'!G:V,2,FALSE),"")</f>
        <v>D1025091558</v>
      </c>
      <c r="N529" s="103">
        <f>IFNA(VLOOKUP(L529,'🙎‍♂️ Pasien'!G:L,3,FALSE),"")</f>
        <v>16</v>
      </c>
      <c r="O529" s="104" t="str">
        <f>IFNA(VLOOKUP(L529,'🙎‍♂️ Pasien'!G:V,6,FALSE),"")</f>
        <v>LAKI-LAKI</v>
      </c>
      <c r="P529" s="104" t="str">
        <f>IFNA(VLOOKUP(L529,'🙎‍♂️ Pasien'!G:V,12,FALSE),"")</f>
        <v>PROTESTAN</v>
      </c>
      <c r="Q529" s="104" t="str">
        <f>IFNA(VLOOKUP(L529:L1508,'🙎‍♂️ Pasien'!G:V,13,FALSE),"")</f>
        <v>MASI SEKOLAH</v>
      </c>
      <c r="R529" s="104" t="str">
        <f t="array" ref="R529">ifna(xlookup(L529,'🙎‍♂️ Pasien'!$G$5:$G1508,'🙎‍♂️ Pasien'!$T$5:$T1508),"")</f>
        <v>SAKIT DI BAGIAN LUTUT</v>
      </c>
      <c r="S529" s="104" t="str">
        <f t="array" ref="S529">ifna(xlookup(L529,'🙎‍♂️ Pasien'!$G$5:$G1508,'🙎‍♂️ Pasien'!$U$5:$U1508),"")</f>
        <v>BASKET</v>
      </c>
      <c r="T529" s="97" t="s">
        <v>67</v>
      </c>
      <c r="U529" s="105">
        <v>5.0</v>
      </c>
      <c r="V529" s="101" t="s">
        <v>413</v>
      </c>
      <c r="W529" s="106" t="b">
        <v>1</v>
      </c>
      <c r="X529" s="107"/>
      <c r="Y529" s="108"/>
    </row>
    <row r="530" ht="22.5" customHeight="1">
      <c r="A530" s="96"/>
      <c r="B530" s="97" t="s">
        <v>85</v>
      </c>
      <c r="C530" s="98" t="str">
        <f t="array" ref="C530">IFNA(XLOOKUP(J530,'⚙️ Pengaturan'!$H$5:$H1508,'⚙️ Pengaturan'!$I$5:$I1508),"")</f>
        <v>TIM A</v>
      </c>
      <c r="D530" s="97" t="s">
        <v>54</v>
      </c>
      <c r="E530" s="99">
        <v>45960.0</v>
      </c>
      <c r="F530" s="100" t="str">
        <f t="shared" si="1"/>
        <v>2025</v>
      </c>
      <c r="G530" s="100" t="str">
        <f t="shared" si="2"/>
        <v>10Okt</v>
      </c>
      <c r="H530" s="100" t="str">
        <f t="shared" si="3"/>
        <v>Kamis</v>
      </c>
      <c r="I530" s="97" t="s">
        <v>95</v>
      </c>
      <c r="J530" s="97" t="s">
        <v>72</v>
      </c>
      <c r="K530" s="97" t="s">
        <v>57</v>
      </c>
      <c r="L530" s="101" t="s">
        <v>414</v>
      </c>
      <c r="M530" s="102" t="str">
        <f>IFNA(VLOOKUP(L530,'🙎‍♂️ Pasien'!G:V,2,FALSE),"")</f>
        <v>R8723125757</v>
      </c>
      <c r="N530" s="103">
        <f>IFNA(VLOOKUP(L530,'🙎‍♂️ Pasien'!G:L,3,FALSE),"")</f>
        <v>39</v>
      </c>
      <c r="O530" s="104" t="str">
        <f>IFNA(VLOOKUP(L530,'🙎‍♂️ Pasien'!G:V,6,FALSE),"")</f>
        <v>LAKI-LAKI</v>
      </c>
      <c r="P530" s="104" t="str">
        <f>IFNA(VLOOKUP(L530,'🙎‍♂️ Pasien'!G:V,12,FALSE),"")</f>
        <v>ISLAM</v>
      </c>
      <c r="Q530" s="104" t="str">
        <f>IFNA(VLOOKUP(L530:L1508,'🙎‍♂️ Pasien'!G:V,13,FALSE),"")</f>
        <v>SWASTA</v>
      </c>
      <c r="R530" s="104" t="str">
        <f t="array" ref="R530">ifna(xlookup(L530,'🙎‍♂️ Pasien'!$G$5:$G1508,'🙎‍♂️ Pasien'!$T$5:$T1508),"")</f>
        <v>Cidera</v>
      </c>
      <c r="S530" s="104" t="str">
        <f t="array" ref="S530">ifna(xlookup(L530,'🙎‍♂️ Pasien'!$G$5:$G1508,'🙎‍♂️ Pasien'!$U$5:$U1508),"")</f>
        <v>Olahraga</v>
      </c>
      <c r="T530" s="97" t="s">
        <v>59</v>
      </c>
      <c r="U530" s="105" t="s">
        <v>60</v>
      </c>
      <c r="V530" s="101"/>
      <c r="W530" s="106" t="b">
        <v>1</v>
      </c>
      <c r="X530" s="107"/>
      <c r="Y530" s="108"/>
    </row>
    <row r="531" ht="22.5" customHeight="1">
      <c r="A531" s="96"/>
      <c r="B531" s="97" t="s">
        <v>85</v>
      </c>
      <c r="C531" s="98" t="str">
        <f t="array" ref="C531">IFNA(XLOOKUP(J531,'⚙️ Pengaturan'!$H$5:$H1508,'⚙️ Pengaturan'!$I$5:$I1508),"")</f>
        <v>MANAJEMEN</v>
      </c>
      <c r="D531" s="97" t="s">
        <v>54</v>
      </c>
      <c r="E531" s="99">
        <v>45960.0</v>
      </c>
      <c r="F531" s="100" t="str">
        <f t="shared" si="1"/>
        <v>2025</v>
      </c>
      <c r="G531" s="100" t="str">
        <f t="shared" si="2"/>
        <v>10Okt</v>
      </c>
      <c r="H531" s="100" t="str">
        <f t="shared" si="3"/>
        <v>Kamis</v>
      </c>
      <c r="I531" s="97" t="s">
        <v>95</v>
      </c>
      <c r="J531" s="97" t="s">
        <v>101</v>
      </c>
      <c r="K531" s="97" t="s">
        <v>69</v>
      </c>
      <c r="L531" s="101" t="s">
        <v>409</v>
      </c>
      <c r="M531" s="102" t="str">
        <f>IFNA(VLOOKUP(L531,'🙎‍♂️ Pasien'!G:V,2,FALSE),"")</f>
        <v>T9424061583</v>
      </c>
      <c r="N531" s="103">
        <f>IFNA(VLOOKUP(L531,'🙎‍♂️ Pasien'!G:L,3,FALSE),"")</f>
        <v>31</v>
      </c>
      <c r="O531" s="104" t="str">
        <f>IFNA(VLOOKUP(L531,'🙎‍♂️ Pasien'!G:V,6,FALSE),"")</f>
        <v>LAKI-LAKI</v>
      </c>
      <c r="P531" s="104" t="str">
        <f>IFNA(VLOOKUP(L531,'🙎‍♂️ Pasien'!G:V,12,FALSE),"")</f>
        <v>ISLAM</v>
      </c>
      <c r="Q531" s="104" t="str">
        <f>IFNA(VLOOKUP(L531:L1508,'🙎‍♂️ Pasien'!G:V,13,FALSE),"")</f>
        <v>SWASTA</v>
      </c>
      <c r="R531" s="104" t="str">
        <f t="array" ref="R531">ifna(xlookup(L531,'🙎‍♂️ Pasien'!$G$5:$G1508,'🙎‍♂️ Pasien'!$T$5:$T1508),"")</f>
        <v>Nyeri paha bagian dalam</v>
      </c>
      <c r="S531" s="104" t="str">
        <f t="array" ref="S531">ifna(xlookup(L531,'🙎‍♂️ Pasien'!$G$5:$G1508,'🙎‍♂️ Pasien'!$U$5:$U1508),"")</f>
        <v>-</v>
      </c>
      <c r="T531" s="97" t="s">
        <v>59</v>
      </c>
      <c r="U531" s="105" t="s">
        <v>60</v>
      </c>
      <c r="V531" s="101"/>
      <c r="W531" s="106" t="b">
        <v>1</v>
      </c>
      <c r="X531" s="107"/>
      <c r="Y531" s="108"/>
    </row>
    <row r="532" ht="22.5" customHeight="1">
      <c r="A532" s="96"/>
      <c r="B532" s="97" t="s">
        <v>85</v>
      </c>
      <c r="C532" s="98" t="str">
        <f t="array" ref="C532">IFNA(XLOOKUP(J532,'⚙️ Pengaturan'!$H$5:$H1508,'⚙️ Pengaturan'!$I$5:$I1508),"")</f>
        <v>TIM A</v>
      </c>
      <c r="D532" s="97" t="s">
        <v>54</v>
      </c>
      <c r="E532" s="99">
        <v>45960.0</v>
      </c>
      <c r="F532" s="100" t="str">
        <f t="shared" si="1"/>
        <v>2025</v>
      </c>
      <c r="G532" s="100" t="str">
        <f t="shared" si="2"/>
        <v>10Okt</v>
      </c>
      <c r="H532" s="100" t="str">
        <f t="shared" si="3"/>
        <v>Kamis</v>
      </c>
      <c r="I532" s="97" t="s">
        <v>97</v>
      </c>
      <c r="J532" s="97" t="s">
        <v>79</v>
      </c>
      <c r="K532" s="97" t="s">
        <v>57</v>
      </c>
      <c r="L532" s="101" t="s">
        <v>415</v>
      </c>
      <c r="M532" s="102" t="str">
        <f>IFNA(VLOOKUP(L532,'🙎‍♂️ Pasien'!G:V,2,FALSE),"")</f>
        <v>D7925106622</v>
      </c>
      <c r="N532" s="103">
        <f>IFNA(VLOOKUP(L532,'🙎‍♂️ Pasien'!G:L,3,FALSE),"")</f>
        <v>46</v>
      </c>
      <c r="O532" s="104" t="str">
        <f>IFNA(VLOOKUP(L532,'🙎‍♂️ Pasien'!G:V,6,FALSE),"")</f>
        <v>PEREMPUAN</v>
      </c>
      <c r="P532" s="104" t="str">
        <f>IFNA(VLOOKUP(L532,'🙎‍♂️ Pasien'!G:V,12,FALSE),"")</f>
        <v>KATOLIK</v>
      </c>
      <c r="Q532" s="104" t="str">
        <f>IFNA(VLOOKUP(L532:L1508,'🙎‍♂️ Pasien'!G:V,13,FALSE),"")</f>
        <v>SWASTA</v>
      </c>
      <c r="R532" s="104" t="str">
        <f t="array" ref="R532">ifna(xlookup(L532,'🙎‍♂️ Pasien'!$G$5:$G1508,'🙎‍♂️ Pasien'!$T$5:$T1508),"")</f>
        <v>NYERI PINGGANG DAN PUNDAK</v>
      </c>
      <c r="S532" s="104" t="str">
        <f t="array" ref="S532">ifna(xlookup(L532,'🙎‍♂️ Pasien'!$G$5:$G1508,'🙎‍♂️ Pasien'!$U$5:$U1508),"")</f>
        <v>KERJA DI DEPAN LAPTOP, DUDUK BERJAM2</v>
      </c>
      <c r="T532" s="97" t="s">
        <v>59</v>
      </c>
      <c r="U532" s="105" t="s">
        <v>60</v>
      </c>
      <c r="V532" s="101"/>
      <c r="W532" s="106" t="b">
        <v>1</v>
      </c>
      <c r="X532" s="107"/>
      <c r="Y532" s="108"/>
    </row>
    <row r="533" ht="22.5" customHeight="1">
      <c r="A533" s="96"/>
      <c r="B533" s="97" t="s">
        <v>85</v>
      </c>
      <c r="C533" s="98" t="str">
        <f t="array" ref="C533">IFNA(XLOOKUP(J533,'⚙️ Pengaturan'!$H$5:$H1508,'⚙️ Pengaturan'!$I$5:$I1508),"")</f>
        <v>TIM Y</v>
      </c>
      <c r="D533" s="97" t="s">
        <v>54</v>
      </c>
      <c r="E533" s="99">
        <v>45960.0</v>
      </c>
      <c r="F533" s="100" t="str">
        <f t="shared" si="1"/>
        <v>2025</v>
      </c>
      <c r="G533" s="100" t="str">
        <f t="shared" si="2"/>
        <v>10Okt</v>
      </c>
      <c r="H533" s="100" t="str">
        <f t="shared" si="3"/>
        <v>Kamis</v>
      </c>
      <c r="I533" s="97" t="s">
        <v>97</v>
      </c>
      <c r="J533" s="97" t="s">
        <v>56</v>
      </c>
      <c r="K533" s="97" t="s">
        <v>63</v>
      </c>
      <c r="L533" s="101" t="s">
        <v>325</v>
      </c>
      <c r="M533" s="102" t="str">
        <f>IFNA(VLOOKUP(L533,'🙎‍♂️ Pasien'!G:V,2,FALSE),"")</f>
        <v>M9825103838</v>
      </c>
      <c r="N533" s="103">
        <f>IFNA(VLOOKUP(L533,'🙎‍♂️ Pasien'!G:L,3,FALSE),"")</f>
        <v>27</v>
      </c>
      <c r="O533" s="104" t="str">
        <f>IFNA(VLOOKUP(L533,'🙎‍♂️ Pasien'!G:V,6,FALSE),"")</f>
        <v>LAKI-LAKI</v>
      </c>
      <c r="P533" s="104" t="str">
        <f>IFNA(VLOOKUP(L533,'🙎‍♂️ Pasien'!G:V,12,FALSE),"")</f>
        <v>ISLAM</v>
      </c>
      <c r="Q533" s="104" t="str">
        <f>IFNA(VLOOKUP(L533:L1508,'🙎‍♂️ Pasien'!G:V,13,FALSE),"")</f>
        <v>MAHASISWA</v>
      </c>
      <c r="R533" s="104" t="str">
        <f t="array" ref="R533">ifna(xlookup(L533,'🙎‍♂️ Pasien'!$G$5:$G1508,'🙎‍♂️ Pasien'!$T$5:$T1508),"")</f>
        <v>KAKI</v>
      </c>
      <c r="S533" s="104" t="str">
        <f t="array" ref="S533">ifna(xlookup(L533,'🙎‍♂️ Pasien'!$G$5:$G1508,'🙎‍♂️ Pasien'!$U$5:$U1508),"")</f>
        <v>-</v>
      </c>
      <c r="T533" s="97" t="s">
        <v>67</v>
      </c>
      <c r="U533" s="105">
        <v>5.0</v>
      </c>
      <c r="V533" s="101" t="s">
        <v>416</v>
      </c>
      <c r="W533" s="106" t="b">
        <v>1</v>
      </c>
      <c r="X533" s="107"/>
      <c r="Y533" s="108"/>
    </row>
    <row r="534" ht="22.5" customHeight="1">
      <c r="A534" s="96"/>
      <c r="B534" s="97" t="s">
        <v>85</v>
      </c>
      <c r="C534" s="98" t="str">
        <f t="array" ref="C534">IFNA(XLOOKUP(J534,'⚙️ Pengaturan'!$H$5:$H1508,'⚙️ Pengaturan'!$I$5:$I1508),"")</f>
        <v>TIM A</v>
      </c>
      <c r="D534" s="97" t="s">
        <v>54</v>
      </c>
      <c r="E534" s="99">
        <v>45960.0</v>
      </c>
      <c r="F534" s="100" t="str">
        <f t="shared" si="1"/>
        <v>2025</v>
      </c>
      <c r="G534" s="100" t="str">
        <f t="shared" si="2"/>
        <v>10Okt</v>
      </c>
      <c r="H534" s="100" t="str">
        <f t="shared" si="3"/>
        <v>Kamis</v>
      </c>
      <c r="I534" s="97" t="s">
        <v>97</v>
      </c>
      <c r="J534" s="97" t="s">
        <v>72</v>
      </c>
      <c r="K534" s="97" t="s">
        <v>63</v>
      </c>
      <c r="L534" s="101" t="s">
        <v>391</v>
      </c>
      <c r="M534" s="102" t="str">
        <f>IFNA(VLOOKUP(L534,'🙎‍♂️ Pasien'!G:V,2,FALSE),"")</f>
        <v>R6725103408</v>
      </c>
      <c r="N534" s="103">
        <f>IFNA(VLOOKUP(L534,'🙎‍♂️ Pasien'!G:L,3,FALSE),"")</f>
        <v>59</v>
      </c>
      <c r="O534" s="104" t="str">
        <f>IFNA(VLOOKUP(L534,'🙎‍♂️ Pasien'!G:V,6,FALSE),"")</f>
        <v>LAKI-LAKI</v>
      </c>
      <c r="P534" s="104" t="str">
        <f>IFNA(VLOOKUP(L534,'🙎‍♂️ Pasien'!G:V,12,FALSE),"")</f>
        <v>PROTESTAN</v>
      </c>
      <c r="Q534" s="104" t="str">
        <f>IFNA(VLOOKUP(L534:L1508,'🙎‍♂️ Pasien'!G:V,13,FALSE),"")</f>
        <v>SWASTA</v>
      </c>
      <c r="R534" s="104" t="str">
        <f t="array" ref="R534">ifna(xlookup(L534,'🙎‍♂️ Pasien'!$G$5:$G1508,'🙎‍♂️ Pasien'!$T$5:$T1508),"")</f>
        <v>NYERI BAGIAN PERGELANGAN KAKI SAAT JALAN LEBIH 1 KM</v>
      </c>
      <c r="S534" s="104" t="str">
        <f t="array" ref="S534">ifna(xlookup(L534,'🙎‍♂️ Pasien'!$G$5:$G1508,'🙎‍♂️ Pasien'!$U$5:$U1508),"")</f>
        <v>JALAN KAKI</v>
      </c>
      <c r="T534" s="97" t="s">
        <v>59</v>
      </c>
      <c r="U534" s="105">
        <v>1.0</v>
      </c>
      <c r="V534" s="101"/>
      <c r="W534" s="106" t="b">
        <v>1</v>
      </c>
      <c r="X534" s="107"/>
      <c r="Y534" s="108"/>
    </row>
    <row r="535" ht="22.5" customHeight="1">
      <c r="A535" s="96"/>
      <c r="B535" s="97" t="s">
        <v>85</v>
      </c>
      <c r="C535" s="98" t="str">
        <f t="array" ref="C535">IFNA(XLOOKUP(J535,'⚙️ Pengaturan'!$H$5:$H1508,'⚙️ Pengaturan'!$I$5:$I1508),"")</f>
        <v>TIM Y</v>
      </c>
      <c r="D535" s="97" t="s">
        <v>54</v>
      </c>
      <c r="E535" s="99">
        <v>45960.0</v>
      </c>
      <c r="F535" s="100" t="str">
        <f t="shared" si="1"/>
        <v>2025</v>
      </c>
      <c r="G535" s="100" t="str">
        <f t="shared" si="2"/>
        <v>10Okt</v>
      </c>
      <c r="H535" s="100" t="str">
        <f t="shared" si="3"/>
        <v>Kamis</v>
      </c>
      <c r="I535" s="97" t="s">
        <v>99</v>
      </c>
      <c r="J535" s="97" t="s">
        <v>56</v>
      </c>
      <c r="K535" s="97" t="s">
        <v>63</v>
      </c>
      <c r="L535" s="101" t="s">
        <v>181</v>
      </c>
      <c r="M535" s="102" t="str">
        <f>IFNA(VLOOKUP(L535,'🙎‍♂️ Pasien'!G:V,2,FALSE),"")</f>
        <v>D0525097586</v>
      </c>
      <c r="N535" s="103">
        <f>IFNA(VLOOKUP(L535,'🙎‍♂️ Pasien'!G:L,3,FALSE),"")</f>
        <v>21</v>
      </c>
      <c r="O535" s="104" t="str">
        <f>IFNA(VLOOKUP(L535,'🙎‍♂️ Pasien'!G:V,6,FALSE),"")</f>
        <v>LAKI-LAKI</v>
      </c>
      <c r="P535" s="104" t="str">
        <f>IFNA(VLOOKUP(L535,'🙎‍♂️ Pasien'!G:V,12,FALSE),"")</f>
        <v>ISLAM</v>
      </c>
      <c r="Q535" s="104" t="str">
        <f>IFNA(VLOOKUP(L535:L1508,'🙎‍♂️ Pasien'!G:V,13,FALSE),"")</f>
        <v>JAGA STAND</v>
      </c>
      <c r="R535" s="104" t="str">
        <f t="array" ref="R535">ifna(xlookup(L535,'🙎‍♂️ Pasien'!$G$5:$G1508,'🙎‍♂️ Pasien'!$T$5:$T1508),"")</f>
        <v>TERTURUN/TURUN BEROK</v>
      </c>
      <c r="S535" s="104" t="str">
        <f t="array" ref="S535">ifna(xlookup(L535,'🙎‍♂️ Pasien'!$G$5:$G1508,'🙎‍♂️ Pasien'!$U$5:$U1508),"")</f>
        <v>SAAT MAIN BOLA</v>
      </c>
      <c r="T535" s="97" t="s">
        <v>59</v>
      </c>
      <c r="U535" s="105">
        <v>4.0</v>
      </c>
      <c r="V535" s="101"/>
      <c r="W535" s="106" t="b">
        <v>1</v>
      </c>
      <c r="X535" s="107"/>
      <c r="Y535" s="108"/>
    </row>
    <row r="536" ht="22.5" customHeight="1">
      <c r="A536" s="96"/>
      <c r="B536" s="97" t="s">
        <v>85</v>
      </c>
      <c r="C536" s="98" t="str">
        <f t="array" ref="C536">IFNA(XLOOKUP(J536,'⚙️ Pengaturan'!$H$5:$H1508,'⚙️ Pengaturan'!$I$5:$I1508),"")</f>
        <v>TIM A</v>
      </c>
      <c r="D536" s="97" t="s">
        <v>54</v>
      </c>
      <c r="E536" s="99">
        <v>45960.0</v>
      </c>
      <c r="F536" s="100" t="str">
        <f t="shared" si="1"/>
        <v>2025</v>
      </c>
      <c r="G536" s="100" t="str">
        <f t="shared" si="2"/>
        <v>10Okt</v>
      </c>
      <c r="H536" s="100" t="str">
        <f t="shared" si="3"/>
        <v>Kamis</v>
      </c>
      <c r="I536" s="97" t="s">
        <v>99</v>
      </c>
      <c r="J536" s="97" t="s">
        <v>72</v>
      </c>
      <c r="K536" s="97" t="s">
        <v>57</v>
      </c>
      <c r="L536" s="101" t="s">
        <v>417</v>
      </c>
      <c r="M536" s="102" t="str">
        <f>IFNA(VLOOKUP(L536,'🙎‍♂️ Pasien'!G:V,2,FALSE),"")</f>
        <v>F0225102200</v>
      </c>
      <c r="N536" s="103">
        <f>IFNA(VLOOKUP(L536,'🙎‍♂️ Pasien'!G:L,3,FALSE),"")</f>
        <v>23</v>
      </c>
      <c r="O536" s="104" t="str">
        <f>IFNA(VLOOKUP(L536,'🙎‍♂️ Pasien'!G:V,6,FALSE),"")</f>
        <v>LAKI-LAKI</v>
      </c>
      <c r="P536" s="104" t="str">
        <f>IFNA(VLOOKUP(L536,'🙎‍♂️ Pasien'!G:V,12,FALSE),"")</f>
        <v>ISLAM</v>
      </c>
      <c r="Q536" s="104" t="str">
        <f>IFNA(VLOOKUP(L536:L1508,'🙎‍♂️ Pasien'!G:V,13,FALSE),"")</f>
        <v>WIRASWASTA</v>
      </c>
      <c r="R536" s="104" t="str">
        <f t="array" ref="R536">ifna(xlookup(L536,'🙎‍♂️ Pasien'!$G$5:$G1508,'🙎‍♂️ Pasien'!$T$5:$T1508),"")</f>
        <v>SCOLIOSIS, SAKIT SAAT BERDIRI/DUDUK LAMA</v>
      </c>
      <c r="S536" s="104" t="str">
        <f t="array" ref="S536">ifna(xlookup(L536,'🙎‍♂️ Pasien'!$G$5:$G1508,'🙎‍♂️ Pasien'!$U$5:$U1508),"")</f>
        <v>KERJA DI LAPANGAN, LARI</v>
      </c>
      <c r="T536" s="97" t="s">
        <v>59</v>
      </c>
      <c r="U536" s="105" t="s">
        <v>60</v>
      </c>
      <c r="V536" s="101"/>
      <c r="W536" s="106" t="b">
        <v>1</v>
      </c>
      <c r="X536" s="107"/>
      <c r="Y536" s="108"/>
    </row>
    <row r="537" ht="22.5" customHeight="1">
      <c r="A537" s="96"/>
      <c r="B537" s="97" t="s">
        <v>85</v>
      </c>
      <c r="C537" s="98" t="str">
        <f t="array" ref="C537">IFNA(XLOOKUP(J537,'⚙️ Pengaturan'!$H$5:$H1508,'⚙️ Pengaturan'!$I$5:$I1508),"")</f>
        <v>TIM A</v>
      </c>
      <c r="D537" s="97" t="s">
        <v>54</v>
      </c>
      <c r="E537" s="99">
        <v>45960.0</v>
      </c>
      <c r="F537" s="100" t="str">
        <f t="shared" si="1"/>
        <v>2025</v>
      </c>
      <c r="G537" s="100" t="str">
        <f t="shared" si="2"/>
        <v>10Okt</v>
      </c>
      <c r="H537" s="100" t="str">
        <f t="shared" si="3"/>
        <v>Kamis</v>
      </c>
      <c r="I537" s="97" t="s">
        <v>99</v>
      </c>
      <c r="J537" s="97" t="s">
        <v>72</v>
      </c>
      <c r="K537" s="97" t="s">
        <v>135</v>
      </c>
      <c r="L537" s="101" t="s">
        <v>404</v>
      </c>
      <c r="M537" s="102" t="str">
        <f>IFNA(VLOOKUP(L537,'🙎‍♂️ Pasien'!G:V,2,FALSE),"")</f>
        <v>O0424074824</v>
      </c>
      <c r="N537" s="103">
        <f>IFNA(VLOOKUP(L537,'🙎‍♂️ Pasien'!G:L,3,FALSE),"")</f>
        <v>21</v>
      </c>
      <c r="O537" s="104" t="str">
        <f>IFNA(VLOOKUP(L537,'🙎‍♂️ Pasien'!G:V,6,FALSE),"")</f>
        <v>PEREMPUAN</v>
      </c>
      <c r="P537" s="104" t="str">
        <f>IFNA(VLOOKUP(L537,'🙎‍♂️ Pasien'!G:V,12,FALSE),"")</f>
        <v>ISLAM</v>
      </c>
      <c r="Q537" s="104" t="str">
        <f>IFNA(VLOOKUP(L537:L1508,'🙎‍♂️ Pasien'!G:V,13,FALSE),"")</f>
        <v>TIDAK ADA</v>
      </c>
      <c r="R537" s="104" t="str">
        <f t="array" ref="R537">ifna(xlookup(L537,'🙎‍♂️ Pasien'!$G$5:$G1508,'🙎‍♂️ Pasien'!$T$5:$T1508),"")</f>
        <v>otot paha nyeri</v>
      </c>
      <c r="S537" s="104" t="str">
        <f t="array" ref="S537">ifna(xlookup(L537,'🙎‍♂️ Pasien'!$G$5:$G1508,'🙎‍♂️ Pasien'!$U$5:$U1508),"")</f>
        <v>latian voli</v>
      </c>
      <c r="T537" s="97" t="s">
        <v>67</v>
      </c>
      <c r="U537" s="105" t="s">
        <v>60</v>
      </c>
      <c r="V537" s="101" t="s">
        <v>418</v>
      </c>
      <c r="W537" s="106" t="b">
        <v>1</v>
      </c>
      <c r="X537" s="107"/>
      <c r="Y537" s="108"/>
    </row>
    <row r="538" ht="22.5" customHeight="1">
      <c r="A538" s="96"/>
      <c r="B538" s="97" t="s">
        <v>85</v>
      </c>
      <c r="C538" s="98" t="str">
        <f t="array" ref="C538">IFNA(XLOOKUP(J538,'⚙️ Pengaturan'!$H$5:$H1508,'⚙️ Pengaturan'!$I$5:$I1508),"")</f>
        <v>TIM Y</v>
      </c>
      <c r="D538" s="97" t="s">
        <v>134</v>
      </c>
      <c r="E538" s="99">
        <v>45961.0</v>
      </c>
      <c r="F538" s="100" t="str">
        <f t="shared" si="1"/>
        <v>2025</v>
      </c>
      <c r="G538" s="100" t="str">
        <f t="shared" si="2"/>
        <v>10Okt</v>
      </c>
      <c r="H538" s="100" t="str">
        <f t="shared" si="3"/>
        <v>Jumat</v>
      </c>
      <c r="I538" s="97" t="s">
        <v>87</v>
      </c>
      <c r="J538" s="97" t="s">
        <v>91</v>
      </c>
      <c r="K538" s="97" t="s">
        <v>63</v>
      </c>
      <c r="L538" s="101" t="s">
        <v>381</v>
      </c>
      <c r="M538" s="102" t="str">
        <f>IFNA(VLOOKUP(L538,'🙎‍♂️ Pasien'!G:V,2,FALSE),"")</f>
        <v>A9925105509</v>
      </c>
      <c r="N538" s="103">
        <f>IFNA(VLOOKUP(L538,'🙎‍♂️ Pasien'!G:L,3,FALSE),"")</f>
        <v>27</v>
      </c>
      <c r="O538" s="104" t="str">
        <f>IFNA(VLOOKUP(L538,'🙎‍♂️ Pasien'!G:V,6,FALSE),"")</f>
        <v>PEREMPUAN</v>
      </c>
      <c r="P538" s="104" t="str">
        <f>IFNA(VLOOKUP(L538,'🙎‍♂️ Pasien'!G:V,12,FALSE),"")</f>
        <v>BUDDHA</v>
      </c>
      <c r="Q538" s="104" t="str">
        <f>IFNA(VLOOKUP(L538:L1508,'🙎‍♂️ Pasien'!G:V,13,FALSE),"")</f>
        <v>WIRASWASTA</v>
      </c>
      <c r="R538" s="104" t="str">
        <f t="array" ref="R538">ifna(xlookup(L538,'🙎‍♂️ Pasien'!$G$5:$G1508,'🙎‍♂️ Pasien'!$T$5:$T1508),"")</f>
        <v>KAKI BEKAS ANKLE SPRAIN SUDAH DITRE DAN BAHU PEGAL</v>
      </c>
      <c r="S538" s="104" t="str">
        <f t="array" ref="S538">ifna(xlookup(L538,'🙎‍♂️ Pasien'!$G$5:$G1508,'🙎‍♂️ Pasien'!$U$5:$U1508),"")</f>
        <v>2 MINGGU LALU JATUH DARI KETINGGIAN</v>
      </c>
      <c r="T538" s="97" t="s">
        <v>59</v>
      </c>
      <c r="U538" s="105">
        <v>2.0</v>
      </c>
      <c r="V538" s="101"/>
      <c r="W538" s="106" t="b">
        <v>1</v>
      </c>
      <c r="X538" s="109" t="s">
        <v>419</v>
      </c>
      <c r="Y538" s="108"/>
    </row>
    <row r="539" ht="22.5" customHeight="1">
      <c r="A539" s="96"/>
      <c r="B539" s="97" t="s">
        <v>85</v>
      </c>
      <c r="C539" s="98" t="str">
        <f t="array" ref="C539">IFNA(XLOOKUP(J539,'⚙️ Pengaturan'!$H$5:$H1508,'⚙️ Pengaturan'!$I$5:$I1508),"")</f>
        <v>MANAJEMEN</v>
      </c>
      <c r="D539" s="97" t="s">
        <v>134</v>
      </c>
      <c r="E539" s="99">
        <v>45961.0</v>
      </c>
      <c r="F539" s="100" t="str">
        <f t="shared" si="1"/>
        <v>2025</v>
      </c>
      <c r="G539" s="100" t="str">
        <f t="shared" si="2"/>
        <v>10Okt</v>
      </c>
      <c r="H539" s="100" t="str">
        <f t="shared" si="3"/>
        <v>Jumat</v>
      </c>
      <c r="I539" s="97" t="s">
        <v>93</v>
      </c>
      <c r="J539" s="97" t="s">
        <v>101</v>
      </c>
      <c r="K539" s="97" t="s">
        <v>69</v>
      </c>
      <c r="L539" s="101" t="s">
        <v>358</v>
      </c>
      <c r="M539" s="102" t="str">
        <f>IFNA(VLOOKUP(L539,'🙎‍♂️ Pasien'!G:V,2,FALSE),"")</f>
        <v>A9825105032</v>
      </c>
      <c r="N539" s="103">
        <f>IFNA(VLOOKUP(L539,'🙎‍♂️ Pasien'!G:L,3,FALSE),"")</f>
        <v>27</v>
      </c>
      <c r="O539" s="104" t="str">
        <f>IFNA(VLOOKUP(L539,'🙎‍♂️ Pasien'!G:V,6,FALSE),"")</f>
        <v>LAKI-LAKI</v>
      </c>
      <c r="P539" s="104" t="str">
        <f>IFNA(VLOOKUP(L539,'🙎‍♂️ Pasien'!G:V,12,FALSE),"")</f>
        <v>BUDDHA</v>
      </c>
      <c r="Q539" s="104" t="str">
        <f>IFNA(VLOOKUP(L539:L1508,'🙎‍♂️ Pasien'!G:V,13,FALSE),"")</f>
        <v>TAROT READER</v>
      </c>
      <c r="R539" s="104" t="str">
        <f t="array" ref="R539">ifna(xlookup(L539,'🙎‍♂️ Pasien'!$G$5:$G1508,'🙎‍♂️ Pasien'!$T$5:$T1508),"")</f>
        <v>NYERI DI KESELURUHAN PUNGGUNG (TERUTAMA AREA BELIKAT KIRI YANG TERKADANG BISA MENJALAR KE LENGAN KIRI), JUGA LEHER</v>
      </c>
      <c r="S539" s="104" t="str">
        <f t="array" ref="S539">ifna(xlookup(L539,'🙎‍♂️ Pasien'!$G$5:$G1508,'🙎‍♂️ Pasien'!$U$5:$U1508),"")</f>
        <v>TIDAK ADA, CUMAN MEMANG SERING DUDUK</v>
      </c>
      <c r="T539" s="97" t="s">
        <v>59</v>
      </c>
      <c r="U539" s="105" t="s">
        <v>60</v>
      </c>
      <c r="V539" s="101"/>
      <c r="W539" s="106" t="b">
        <v>1</v>
      </c>
      <c r="X539" s="109" t="s">
        <v>420</v>
      </c>
      <c r="Y539" s="108"/>
    </row>
    <row r="540" ht="22.5" customHeight="1">
      <c r="A540" s="96"/>
      <c r="B540" s="97" t="s">
        <v>85</v>
      </c>
      <c r="C540" s="98" t="str">
        <f t="array" ref="C540">IFNA(XLOOKUP(J540,'⚙️ Pengaturan'!$H$5:$H1508,'⚙️ Pengaturan'!$I$5:$I1508),"")</f>
        <v>TIM Y</v>
      </c>
      <c r="D540" s="97" t="s">
        <v>134</v>
      </c>
      <c r="E540" s="99">
        <v>45961.0</v>
      </c>
      <c r="F540" s="100" t="str">
        <f t="shared" si="1"/>
        <v>2025</v>
      </c>
      <c r="G540" s="100" t="str">
        <f t="shared" si="2"/>
        <v>10Okt</v>
      </c>
      <c r="H540" s="100" t="str">
        <f t="shared" si="3"/>
        <v>Jumat</v>
      </c>
      <c r="I540" s="97" t="s">
        <v>93</v>
      </c>
      <c r="J540" s="97" t="s">
        <v>91</v>
      </c>
      <c r="K540" s="97" t="s">
        <v>63</v>
      </c>
      <c r="L540" s="101" t="s">
        <v>110</v>
      </c>
      <c r="M540" s="102" t="str">
        <f>IFNA(VLOOKUP(L540,'🙎‍♂️ Pasien'!G:V,2,FALSE),"")</f>
        <v>E8425098000</v>
      </c>
      <c r="N540" s="103">
        <f>IFNA(VLOOKUP(L540,'🙎‍♂️ Pasien'!G:L,3,FALSE),"")</f>
        <v>41</v>
      </c>
      <c r="O540" s="104" t="str">
        <f>IFNA(VLOOKUP(L540,'🙎‍♂️ Pasien'!G:V,6,FALSE),"")</f>
        <v>PEREMPUAN</v>
      </c>
      <c r="P540" s="104" t="str">
        <f>IFNA(VLOOKUP(L540,'🙎‍♂️ Pasien'!G:V,12,FALSE),"")</f>
        <v>BUDDHA</v>
      </c>
      <c r="Q540" s="104" t="str">
        <f>IFNA(VLOOKUP(L540:L1508,'🙎‍♂️ Pasien'!G:V,13,FALSE),"")</f>
        <v>IRT</v>
      </c>
      <c r="R540" s="104" t="str">
        <f t="array" ref="R540">ifna(xlookup(L540,'🙎‍♂️ Pasien'!$G$5:$G1508,'🙎‍♂️ Pasien'!$T$5:$T1508),"")</f>
        <v>TANGAN KESEMUTAN</v>
      </c>
      <c r="S540" s="104" t="str">
        <f t="array" ref="S540">ifna(xlookup(L540,'🙎‍♂️ Pasien'!$G$5:$G1508,'🙎‍♂️ Pasien'!$U$5:$U1508),"")</f>
        <v>-</v>
      </c>
      <c r="T540" s="97" t="s">
        <v>59</v>
      </c>
      <c r="U540" s="105">
        <v>4.0</v>
      </c>
      <c r="V540" s="101"/>
      <c r="W540" s="106" t="b">
        <v>1</v>
      </c>
      <c r="X540" s="109" t="s">
        <v>421</v>
      </c>
      <c r="Y540" s="108"/>
    </row>
    <row r="541" ht="22.5" customHeight="1">
      <c r="A541" s="96"/>
      <c r="B541" s="97" t="s">
        <v>85</v>
      </c>
      <c r="C541" s="98" t="str">
        <f t="array" ref="C541">IFNA(XLOOKUP(J541,'⚙️ Pengaturan'!$H$5:$H1508,'⚙️ Pengaturan'!$I$5:$I1508),"")</f>
        <v>TIM Y</v>
      </c>
      <c r="D541" s="97" t="s">
        <v>134</v>
      </c>
      <c r="E541" s="99">
        <v>45961.0</v>
      </c>
      <c r="F541" s="100" t="str">
        <f t="shared" si="1"/>
        <v>2025</v>
      </c>
      <c r="G541" s="100" t="str">
        <f t="shared" si="2"/>
        <v>10Okt</v>
      </c>
      <c r="H541" s="100" t="str">
        <f t="shared" si="3"/>
        <v>Jumat</v>
      </c>
      <c r="I541" s="97" t="s">
        <v>95</v>
      </c>
      <c r="J541" s="97" t="s">
        <v>91</v>
      </c>
      <c r="K541" s="97" t="s">
        <v>63</v>
      </c>
      <c r="L541" s="101" t="s">
        <v>397</v>
      </c>
      <c r="M541" s="102" t="str">
        <f>IFNA(VLOOKUP(L541,'🙎‍♂️ Pasien'!G:V,2,FALSE),"")</f>
        <v>R1325084646</v>
      </c>
      <c r="N541" s="103">
        <f>IFNA(VLOOKUP(L541,'🙎‍♂️ Pasien'!G:L,3,FALSE),"")</f>
        <v>13</v>
      </c>
      <c r="O541" s="104" t="str">
        <f>IFNA(VLOOKUP(L541,'🙎‍♂️ Pasien'!G:V,6,FALSE),"")</f>
        <v>LAKI-LAKI</v>
      </c>
      <c r="P541" s="104" t="str">
        <f>IFNA(VLOOKUP(L541,'🙎‍♂️ Pasien'!G:V,12,FALSE),"")</f>
        <v>ISLAM</v>
      </c>
      <c r="Q541" s="104" t="str">
        <f>IFNA(VLOOKUP(L541:L1508,'🙎‍♂️ Pasien'!G:V,13,FALSE),"")</f>
        <v>PELAJAR SMPIT AL MUMTAZ</v>
      </c>
      <c r="R541" s="104" t="str">
        <f t="array" ref="R541">ifna(xlookup(L541,'🙎‍♂️ Pasien'!$G$5:$G1508,'🙎‍♂️ Pasien'!$T$5:$T1508),"")</f>
        <v>KAKI TERKILIR</v>
      </c>
      <c r="S541" s="104" t="str">
        <f t="array" ref="S541">ifna(xlookup(L541,'🙎‍♂️ Pasien'!$G$5:$G1508,'🙎‍♂️ Pasien'!$U$5:$U1508),"")</f>
        <v>FUTSAL</v>
      </c>
      <c r="T541" s="97" t="s">
        <v>59</v>
      </c>
      <c r="U541" s="105">
        <v>2.0</v>
      </c>
      <c r="V541" s="101"/>
      <c r="W541" s="106" t="b">
        <v>1</v>
      </c>
      <c r="X541" s="109" t="s">
        <v>422</v>
      </c>
      <c r="Y541" s="108"/>
    </row>
    <row r="542" ht="22.5" customHeight="1">
      <c r="A542" s="96"/>
      <c r="B542" s="97" t="s">
        <v>85</v>
      </c>
      <c r="C542" s="98" t="str">
        <f t="array" ref="C542">IFNA(XLOOKUP(J542,'⚙️ Pengaturan'!$H$5:$H1508,'⚙️ Pengaturan'!$I$5:$I1508),"")</f>
        <v>TIM Y</v>
      </c>
      <c r="D542" s="97" t="s">
        <v>134</v>
      </c>
      <c r="E542" s="99">
        <v>45961.0</v>
      </c>
      <c r="F542" s="100" t="str">
        <f t="shared" si="1"/>
        <v>2025</v>
      </c>
      <c r="G542" s="100" t="str">
        <f t="shared" si="2"/>
        <v>10Okt</v>
      </c>
      <c r="H542" s="100" t="str">
        <f t="shared" si="3"/>
        <v>Jumat</v>
      </c>
      <c r="I542" s="97" t="s">
        <v>97</v>
      </c>
      <c r="J542" s="97" t="s">
        <v>91</v>
      </c>
      <c r="K542" s="97" t="s">
        <v>69</v>
      </c>
      <c r="L542" s="101" t="s">
        <v>236</v>
      </c>
      <c r="M542" s="102" t="str">
        <f>IFNA(VLOOKUP(L542,'🙎‍♂️ Pasien'!G:V,2,FALSE),"")</f>
        <v>D8624112017</v>
      </c>
      <c r="N542" s="103">
        <f>IFNA(VLOOKUP(L542,'🙎‍♂️ Pasien'!G:L,3,FALSE),"")</f>
        <v>39</v>
      </c>
      <c r="O542" s="104" t="str">
        <f>IFNA(VLOOKUP(L542,'🙎‍♂️ Pasien'!G:V,6,FALSE),"")</f>
        <v>PEREMPUAN</v>
      </c>
      <c r="P542" s="104" t="str">
        <f>IFNA(VLOOKUP(L542,'🙎‍♂️ Pasien'!G:V,12,FALSE),"")</f>
        <v>ISLAM</v>
      </c>
      <c r="Q542" s="104" t="str">
        <f>IFNA(VLOOKUP(L542:L1508,'🙎‍♂️ Pasien'!G:V,13,FALSE),"")</f>
        <v>ASN</v>
      </c>
      <c r="R542" s="104" t="str">
        <f t="array" ref="R542">ifna(xlookup(L542,'🙎‍♂️ Pasien'!$G$5:$G1508,'🙎‍♂️ Pasien'!$T$5:$T1508),"")</f>
        <v>Nyeri pangkal paha kanan saat menapakkan kaki</v>
      </c>
      <c r="S542" s="104" t="str">
        <f t="array" ref="S542">ifna(xlookup(L542,'🙎‍♂️ Pasien'!$G$5:$G1508,'🙎‍♂️ Pasien'!$U$5:$U1508),"")</f>
        <v>Kerja kantor</v>
      </c>
      <c r="T542" s="97" t="s">
        <v>59</v>
      </c>
      <c r="U542" s="105" t="s">
        <v>60</v>
      </c>
      <c r="V542" s="101"/>
      <c r="W542" s="106" t="b">
        <v>1</v>
      </c>
      <c r="X542" s="109" t="s">
        <v>421</v>
      </c>
      <c r="Y542" s="108"/>
    </row>
    <row r="543" ht="22.5" customHeight="1">
      <c r="A543" s="96"/>
      <c r="B543" s="97" t="s">
        <v>85</v>
      </c>
      <c r="C543" s="98" t="str">
        <f t="array" ref="C543">IFNA(XLOOKUP(J543,'⚙️ Pengaturan'!$H$5:$H1508,'⚙️ Pengaturan'!$I$5:$I1508),"")</f>
        <v>TIM Y</v>
      </c>
      <c r="D543" s="97" t="s">
        <v>134</v>
      </c>
      <c r="E543" s="99">
        <v>45961.0</v>
      </c>
      <c r="F543" s="100" t="str">
        <f t="shared" si="1"/>
        <v>2025</v>
      </c>
      <c r="G543" s="100" t="str">
        <f t="shared" si="2"/>
        <v>10Okt</v>
      </c>
      <c r="H543" s="100" t="str">
        <f t="shared" si="3"/>
        <v>Jumat</v>
      </c>
      <c r="I543" s="97" t="s">
        <v>99</v>
      </c>
      <c r="J543" s="97" t="s">
        <v>91</v>
      </c>
      <c r="K543" s="97" t="s">
        <v>63</v>
      </c>
      <c r="L543" s="101" t="s">
        <v>392</v>
      </c>
      <c r="M543" s="102" t="str">
        <f>IFNA(VLOOKUP(L543,'🙎‍♂️ Pasien'!G:V,2,FALSE),"")</f>
        <v>D0625102206</v>
      </c>
      <c r="N543" s="103">
        <f>IFNA(VLOOKUP(L543,'🙎‍♂️ Pasien'!G:L,3,FALSE),"")</f>
        <v>19</v>
      </c>
      <c r="O543" s="104" t="str">
        <f>IFNA(VLOOKUP(L543,'🙎‍♂️ Pasien'!G:V,6,FALSE),"")</f>
        <v>LAKI-LAKI</v>
      </c>
      <c r="P543" s="104" t="str">
        <f>IFNA(VLOOKUP(L543,'🙎‍♂️ Pasien'!G:V,12,FALSE),"")</f>
        <v>ISLAM</v>
      </c>
      <c r="Q543" s="104" t="str">
        <f>IFNA(VLOOKUP(L543:L1508,'🙎‍♂️ Pasien'!G:V,13,FALSE),"")</f>
        <v>KARYAWAN SWASTA</v>
      </c>
      <c r="R543" s="104" t="str">
        <f t="array" ref="R543">ifna(xlookup(L543,'🙎‍♂️ Pasien'!$G$5:$G1508,'🙎‍♂️ Pasien'!$T$5:$T1508),"")</f>
        <v>CEDERA KAKI</v>
      </c>
      <c r="S543" s="104" t="str">
        <f t="array" ref="S543">ifna(xlookup(L543,'🙎‍♂️ Pasien'!$G$5:$G1508,'🙎‍♂️ Pasien'!$U$5:$U1508),"")</f>
        <v>BERMAIN FUTSAL</v>
      </c>
      <c r="T543" s="97" t="s">
        <v>59</v>
      </c>
      <c r="U543" s="105">
        <v>2.0</v>
      </c>
      <c r="V543" s="101"/>
      <c r="W543" s="106" t="b">
        <v>1</v>
      </c>
      <c r="X543" s="109" t="s">
        <v>423</v>
      </c>
      <c r="Y543" s="108"/>
    </row>
    <row r="544" ht="22.5" customHeight="1">
      <c r="A544" s="96"/>
      <c r="B544" s="97" t="s">
        <v>53</v>
      </c>
      <c r="C544" s="98" t="str">
        <f t="array" ref="C544">IFNA(XLOOKUP(J544,'⚙️ Pengaturan'!$H$5:$H1508,'⚙️ Pengaturan'!$I$5:$I1508),"")</f>
        <v>TIM Y</v>
      </c>
      <c r="D544" s="97" t="s">
        <v>54</v>
      </c>
      <c r="E544" s="99">
        <v>45962.0</v>
      </c>
      <c r="F544" s="100" t="str">
        <f t="shared" si="1"/>
        <v>2025</v>
      </c>
      <c r="G544" s="100" t="str">
        <f t="shared" si="2"/>
        <v>11Nov</v>
      </c>
      <c r="H544" s="100" t="str">
        <f t="shared" si="3"/>
        <v>Sabtu</v>
      </c>
      <c r="I544" s="97" t="s">
        <v>55</v>
      </c>
      <c r="J544" s="97" t="s">
        <v>88</v>
      </c>
      <c r="K544" s="97" t="s">
        <v>63</v>
      </c>
      <c r="L544" s="101" t="s">
        <v>239</v>
      </c>
      <c r="M544" s="102" t="str">
        <f>IFNA(VLOOKUP(L544,'🙎‍♂️ Pasien'!G:V,2,FALSE),"")</f>
        <v>A0623071437</v>
      </c>
      <c r="N544" s="103">
        <f>IFNA(VLOOKUP(L544,'🙎‍♂️ Pasien'!G:L,3,FALSE),"")</f>
        <v>20</v>
      </c>
      <c r="O544" s="104" t="str">
        <f>IFNA(VLOOKUP(L544,'🙎‍♂️ Pasien'!G:V,6,FALSE),"")</f>
        <v>LAKI-LAKI</v>
      </c>
      <c r="P544" s="104" t="str">
        <f>IFNA(VLOOKUP(L544,'🙎‍♂️ Pasien'!G:V,12,FALSE),"")</f>
        <v>ISLAM</v>
      </c>
      <c r="Q544" s="104" t="str">
        <f>IFNA(VLOOKUP(L544:L1508,'🙎‍♂️ Pasien'!G:V,13,FALSE),"")</f>
        <v>PELAJAR/MAHASISWA</v>
      </c>
      <c r="R544" s="104" t="str">
        <f t="array" ref="R544">ifna(xlookup(L544,'🙎‍♂️ Pasien'!$G$5:$G1508,'🙎‍♂️ Pasien'!$T$5:$T1508),"")</f>
        <v>Cedera Engkel Di Kaki</v>
      </c>
      <c r="S544" s="104" t="str">
        <f t="array" ref="S544">ifna(xlookup(L544,'🙎‍♂️ Pasien'!$G$5:$G1508,'🙎‍♂️ Pasien'!$U$5:$U1508),"")</f>
        <v>BERMAIN FUTSAL</v>
      </c>
      <c r="T544" s="97" t="s">
        <v>59</v>
      </c>
      <c r="U544" s="105">
        <v>4.0</v>
      </c>
      <c r="V544" s="101" t="s">
        <v>109</v>
      </c>
      <c r="W544" s="106" t="b">
        <v>1</v>
      </c>
      <c r="X544" s="107"/>
      <c r="Y544" s="108"/>
    </row>
    <row r="545" ht="22.5" customHeight="1">
      <c r="A545" s="96"/>
      <c r="B545" s="97" t="s">
        <v>53</v>
      </c>
      <c r="C545" s="98" t="str">
        <f t="array" ref="C545">IFNA(XLOOKUP(J545,'⚙️ Pengaturan'!$H$5:$H1508,'⚙️ Pengaturan'!$I$5:$I1508),"")</f>
        <v>MANAJEMEN</v>
      </c>
      <c r="D545" s="97" t="s">
        <v>54</v>
      </c>
      <c r="E545" s="99">
        <v>45962.0</v>
      </c>
      <c r="F545" s="100" t="str">
        <f t="shared" si="1"/>
        <v>2025</v>
      </c>
      <c r="G545" s="100" t="str">
        <f t="shared" si="2"/>
        <v>11Nov</v>
      </c>
      <c r="H545" s="100" t="str">
        <f t="shared" si="3"/>
        <v>Sabtu</v>
      </c>
      <c r="I545" s="97" t="s">
        <v>55</v>
      </c>
      <c r="J545" s="97" t="s">
        <v>81</v>
      </c>
      <c r="K545" s="97" t="s">
        <v>63</v>
      </c>
      <c r="L545" s="101" t="s">
        <v>222</v>
      </c>
      <c r="M545" s="102" t="str">
        <f>IFNA(VLOOKUP(L545,'🙎‍♂️ Pasien'!G:V,2,FALSE),"")</f>
        <v>D0924079294</v>
      </c>
      <c r="N545" s="103">
        <f>IFNA(VLOOKUP(L545,'🙎‍♂️ Pasien'!G:L,3,FALSE),"")</f>
        <v>17</v>
      </c>
      <c r="O545" s="104" t="str">
        <f>IFNA(VLOOKUP(L545,'🙎‍♂️ Pasien'!G:V,6,FALSE),"")</f>
        <v>LAKI-LAKI</v>
      </c>
      <c r="P545" s="104" t="str">
        <f>IFNA(VLOOKUP(L545,'🙎‍♂️ Pasien'!G:V,12,FALSE),"")</f>
        <v>ISLAM</v>
      </c>
      <c r="Q545" s="104" t="str">
        <f>IFNA(VLOOKUP(L545:L1508,'🙎‍♂️ Pasien'!G:V,13,FALSE),"")</f>
        <v>PELAJAR/MAHASISWA</v>
      </c>
      <c r="R545" s="104" t="str">
        <f t="array" ref="R545">ifna(xlookup(L545,'🙎‍♂️ Pasien'!$G$5:$G1508,'🙎‍♂️ Pasien'!$T$5:$T1508),"")</f>
        <v>Strok ringan</v>
      </c>
      <c r="S545" s="104" t="str">
        <f t="array" ref="S545">ifna(xlookup(L545,'🙎‍♂️ Pasien'!$G$5:$G1508,'🙎‍♂️ Pasien'!$U$5:$U1508),"")</f>
        <v>Olah raga</v>
      </c>
      <c r="T545" s="97" t="s">
        <v>67</v>
      </c>
      <c r="U545" s="105">
        <v>1.0</v>
      </c>
      <c r="V545" s="101" t="s">
        <v>256</v>
      </c>
      <c r="W545" s="106" t="b">
        <v>1</v>
      </c>
      <c r="X545" s="107"/>
      <c r="Y545" s="108"/>
    </row>
    <row r="546" ht="22.5" customHeight="1">
      <c r="A546" s="96"/>
      <c r="B546" s="97" t="s">
        <v>53</v>
      </c>
      <c r="C546" s="98" t="str">
        <f t="array" ref="C546">IFNA(XLOOKUP(J546,'⚙️ Pengaturan'!$H$5:$H1508,'⚙️ Pengaturan'!$I$5:$I1508),"")</f>
        <v>TIM Y</v>
      </c>
      <c r="D546" s="97" t="s">
        <v>54</v>
      </c>
      <c r="E546" s="99">
        <v>45962.0</v>
      </c>
      <c r="F546" s="100" t="str">
        <f t="shared" si="1"/>
        <v>2025</v>
      </c>
      <c r="G546" s="100" t="str">
        <f t="shared" si="2"/>
        <v>11Nov</v>
      </c>
      <c r="H546" s="100" t="str">
        <f t="shared" si="3"/>
        <v>Sabtu</v>
      </c>
      <c r="I546" s="97" t="s">
        <v>65</v>
      </c>
      <c r="J546" s="97" t="s">
        <v>107</v>
      </c>
      <c r="K546" s="97" t="s">
        <v>63</v>
      </c>
      <c r="L546" s="101" t="s">
        <v>225</v>
      </c>
      <c r="M546" s="102" t="str">
        <f>IFNA(VLOOKUP(L546,'🙎‍♂️ Pasien'!G:V,2,FALSE),"")</f>
        <v>B8025102288</v>
      </c>
      <c r="N546" s="103">
        <f>IFNA(VLOOKUP(L546,'🙎‍♂️ Pasien'!G:L,3,FALSE),"")</f>
        <v>45</v>
      </c>
      <c r="O546" s="104" t="str">
        <f>IFNA(VLOOKUP(L546,'🙎‍♂️ Pasien'!G:V,6,FALSE),"")</f>
        <v>PEREMPUAN</v>
      </c>
      <c r="P546" s="104" t="str">
        <f>IFNA(VLOOKUP(L546,'🙎‍♂️ Pasien'!G:V,12,FALSE),"")</f>
        <v>ISLAM</v>
      </c>
      <c r="Q546" s="104" t="str">
        <f>IFNA(VLOOKUP(L546:L1508,'🙎‍♂️ Pasien'!G:V,13,FALSE),"")</f>
        <v>ASN</v>
      </c>
      <c r="R546" s="104" t="str">
        <f t="array" ref="R546">ifna(xlookup(L546,'🙎‍♂️ Pasien'!$G$5:$G1508,'🙎‍♂️ Pasien'!$T$5:$T1508),"")</f>
        <v>KELUHAN SY NYERI DI TUMIT KIRI SM PAHA KANAN UT DIANGKAT SAMBIL DITEKUK KE ARAH SAMPING LUAR RASA NYA NYERI</v>
      </c>
      <c r="S546" s="104" t="str">
        <f t="array" ref="S546">ifna(xlookup(L546,'🙎‍♂️ Pasien'!$G$5:$G1508,'🙎‍♂️ Pasien'!$U$5:$U1508),"")</f>
        <v>JOGING</v>
      </c>
      <c r="T546" s="97" t="s">
        <v>59</v>
      </c>
      <c r="U546" s="105">
        <v>3.0</v>
      </c>
      <c r="V546" s="101"/>
      <c r="W546" s="106" t="b">
        <v>1</v>
      </c>
      <c r="X546" s="107"/>
      <c r="Y546" s="108"/>
    </row>
    <row r="547" ht="22.5" customHeight="1">
      <c r="A547" s="96"/>
      <c r="B547" s="97" t="s">
        <v>53</v>
      </c>
      <c r="C547" s="98" t="str">
        <f t="array" ref="C547">IFNA(XLOOKUP(J547,'⚙️ Pengaturan'!$H$5:$H1508,'⚙️ Pengaturan'!$I$5:$I1508),"")</f>
        <v>MANAJEMEN</v>
      </c>
      <c r="D547" s="97" t="s">
        <v>54</v>
      </c>
      <c r="E547" s="99">
        <v>45962.0</v>
      </c>
      <c r="F547" s="100" t="str">
        <f t="shared" si="1"/>
        <v>2025</v>
      </c>
      <c r="G547" s="100" t="str">
        <f t="shared" si="2"/>
        <v>11Nov</v>
      </c>
      <c r="H547" s="100" t="str">
        <f t="shared" si="3"/>
        <v>Sabtu</v>
      </c>
      <c r="I547" s="97" t="s">
        <v>65</v>
      </c>
      <c r="J547" s="97" t="s">
        <v>81</v>
      </c>
      <c r="K547" s="97" t="s">
        <v>57</v>
      </c>
      <c r="L547" s="101" t="s">
        <v>424</v>
      </c>
      <c r="M547" s="102" t="str">
        <f>IFNA(VLOOKUP(L547,'🙎‍♂️ Pasien'!G:V,2,FALSE),"")</f>
        <v>S4725109888</v>
      </c>
      <c r="N547" s="103">
        <f>IFNA(VLOOKUP(L547,'🙎‍♂️ Pasien'!G:L,3,FALSE),"")</f>
        <v>78</v>
      </c>
      <c r="O547" s="104" t="str">
        <f>IFNA(VLOOKUP(L547,'🙎‍♂️ Pasien'!G:V,6,FALSE),"")</f>
        <v>PEREMPUAN</v>
      </c>
      <c r="P547" s="104" t="str">
        <f>IFNA(VLOOKUP(L547,'🙎‍♂️ Pasien'!G:V,12,FALSE),"")</f>
        <v>BUDDHA</v>
      </c>
      <c r="Q547" s="104" t="str">
        <f>IFNA(VLOOKUP(L547:L1508,'🙎‍♂️ Pasien'!G:V,13,FALSE),"")</f>
        <v>IBU RUMAH TANGGA</v>
      </c>
      <c r="R547" s="104" t="str">
        <f t="array" ref="R547">ifna(xlookup(L547,'🙎‍♂️ Pasien'!$G$5:$G1508,'🙎‍♂️ Pasien'!$T$5:$T1508),"")</f>
        <v>KRAM PADA KAKI</v>
      </c>
      <c r="S547" s="104" t="str">
        <f t="array" ref="S547">ifna(xlookup(L547,'🙎‍♂️ Pasien'!$G$5:$G1508,'🙎‍♂️ Pasien'!$U$5:$U1508),"")</f>
        <v>NAIK TURUN TANGGA DI RUMAH</v>
      </c>
      <c r="T547" s="97" t="s">
        <v>59</v>
      </c>
      <c r="U547" s="105" t="s">
        <v>60</v>
      </c>
      <c r="V547" s="101"/>
      <c r="W547" s="106" t="b">
        <v>1</v>
      </c>
      <c r="X547" s="107"/>
      <c r="Y547" s="108"/>
    </row>
    <row r="548" ht="22.5" customHeight="1">
      <c r="A548" s="96"/>
      <c r="B548" s="97" t="s">
        <v>53</v>
      </c>
      <c r="C548" s="98" t="str">
        <f t="array" ref="C548">IFNA(XLOOKUP(J548,'⚙️ Pengaturan'!$H$5:$H1508,'⚙️ Pengaturan'!$I$5:$I1508),"")</f>
        <v>TIM A</v>
      </c>
      <c r="D548" s="97" t="s">
        <v>54</v>
      </c>
      <c r="E548" s="99">
        <v>45962.0</v>
      </c>
      <c r="F548" s="100" t="str">
        <f t="shared" si="1"/>
        <v>2025</v>
      </c>
      <c r="G548" s="100" t="str">
        <f t="shared" si="2"/>
        <v>11Nov</v>
      </c>
      <c r="H548" s="100" t="str">
        <f t="shared" si="3"/>
        <v>Sabtu</v>
      </c>
      <c r="I548" s="97" t="s">
        <v>74</v>
      </c>
      <c r="J548" s="97" t="s">
        <v>62</v>
      </c>
      <c r="K548" s="97" t="s">
        <v>63</v>
      </c>
      <c r="L548" s="101" t="s">
        <v>302</v>
      </c>
      <c r="M548" s="102" t="str">
        <f>IFNA(VLOOKUP(L548,'🙎‍♂️ Pasien'!G:V,2,FALSE),"")</f>
        <v>A9425105994</v>
      </c>
      <c r="N548" s="103">
        <f>IFNA(VLOOKUP(L548,'🙎‍♂️ Pasien'!G:L,3,FALSE),"")</f>
        <v>32</v>
      </c>
      <c r="O548" s="104" t="str">
        <f>IFNA(VLOOKUP(L548,'🙎‍♂️ Pasien'!G:V,6,FALSE),"")</f>
        <v>LAKI-LAKI</v>
      </c>
      <c r="P548" s="104" t="str">
        <f>IFNA(VLOOKUP(L548,'🙎‍♂️ Pasien'!G:V,12,FALSE),"")</f>
        <v>ISLAM</v>
      </c>
      <c r="Q548" s="104" t="str">
        <f>IFNA(VLOOKUP(L548:L1508,'🙎‍♂️ Pasien'!G:V,13,FALSE),"")</f>
        <v>KARYAWAN SWASTA</v>
      </c>
      <c r="R548" s="104" t="str">
        <f t="array" ref="R548">ifna(xlookup(L548,'🙎‍♂️ Pasien'!$G$5:$G1508,'🙎‍♂️ Pasien'!$T$5:$T1508),"")</f>
        <v>LUTUT</v>
      </c>
      <c r="S548" s="104" t="str">
        <f t="array" ref="S548">ifna(xlookup(L548,'🙎‍♂️ Pasien'!$G$5:$G1508,'🙎‍♂️ Pasien'!$U$5:$U1508),"")</f>
        <v>OLAGRAGA</v>
      </c>
      <c r="T548" s="97" t="s">
        <v>59</v>
      </c>
      <c r="U548" s="105">
        <v>7.0</v>
      </c>
      <c r="V548" s="101"/>
      <c r="W548" s="106" t="b">
        <v>1</v>
      </c>
      <c r="X548" s="107"/>
      <c r="Y548" s="108"/>
    </row>
    <row r="549" ht="22.5" customHeight="1">
      <c r="A549" s="96"/>
      <c r="B549" s="97" t="s">
        <v>53</v>
      </c>
      <c r="C549" s="98" t="str">
        <f t="array" ref="C549">IFNA(XLOOKUP(J549,'⚙️ Pengaturan'!$H$5:$H1508,'⚙️ Pengaturan'!$I$5:$I1508),"")</f>
        <v>TIM Y</v>
      </c>
      <c r="D549" s="97" t="s">
        <v>54</v>
      </c>
      <c r="E549" s="99">
        <v>45962.0</v>
      </c>
      <c r="F549" s="100" t="str">
        <f t="shared" si="1"/>
        <v>2025</v>
      </c>
      <c r="G549" s="100" t="str">
        <f t="shared" si="2"/>
        <v>11Nov</v>
      </c>
      <c r="H549" s="100" t="str">
        <f t="shared" si="3"/>
        <v>Sabtu</v>
      </c>
      <c r="I549" s="97" t="s">
        <v>76</v>
      </c>
      <c r="J549" s="97" t="s">
        <v>88</v>
      </c>
      <c r="K549" s="97" t="s">
        <v>63</v>
      </c>
      <c r="L549" s="101" t="s">
        <v>386</v>
      </c>
      <c r="M549" s="102" t="str">
        <f>IFNA(VLOOKUP(L549,'🙎‍♂️ Pasien'!G:V,2,FALSE),"")</f>
        <v>B7325109155</v>
      </c>
      <c r="N549" s="103">
        <f>IFNA(VLOOKUP(L549,'🙎‍♂️ Pasien'!G:L,3,FALSE),"")</f>
        <v>53</v>
      </c>
      <c r="O549" s="104" t="str">
        <f>IFNA(VLOOKUP(L549,'🙎‍♂️ Pasien'!G:V,6,FALSE),"")</f>
        <v>LAKI-LAKI</v>
      </c>
      <c r="P549" s="104" t="str">
        <f>IFNA(VLOOKUP(L549,'🙎‍♂️ Pasien'!G:V,12,FALSE),"")</f>
        <v>ISLAM</v>
      </c>
      <c r="Q549" s="104" t="str">
        <f>IFNA(VLOOKUP(L549:L1508,'🙎‍♂️ Pasien'!G:V,13,FALSE),"")</f>
        <v>WIRASUASTA</v>
      </c>
      <c r="R549" s="104" t="str">
        <f t="array" ref="R549">ifna(xlookup(L549,'🙎‍♂️ Pasien'!$G$5:$G1508,'🙎‍♂️ Pasien'!$T$5:$T1508),"")</f>
        <v>NYERI LUTUT</v>
      </c>
      <c r="S549" s="104" t="str">
        <f t="array" ref="S549">ifna(xlookup(L549,'🙎‍♂️ Pasien'!$G$5:$G1508,'🙎‍♂️ Pasien'!$U$5:$U1508),"")</f>
        <v>BADMINTON</v>
      </c>
      <c r="T549" s="97" t="s">
        <v>59</v>
      </c>
      <c r="U549" s="105">
        <v>2.0</v>
      </c>
      <c r="V549" s="101"/>
      <c r="W549" s="106" t="b">
        <v>1</v>
      </c>
      <c r="X549" s="107"/>
      <c r="Y549" s="108"/>
    </row>
    <row r="550" ht="22.5" customHeight="1">
      <c r="A550" s="96"/>
      <c r="B550" s="97" t="s">
        <v>53</v>
      </c>
      <c r="C550" s="98" t="str">
        <f t="array" ref="C550">IFNA(XLOOKUP(J550,'⚙️ Pengaturan'!$H$5:$H1508,'⚙️ Pengaturan'!$I$5:$I1508),"")</f>
        <v>TIM A</v>
      </c>
      <c r="D550" s="97" t="s">
        <v>54</v>
      </c>
      <c r="E550" s="99">
        <v>45962.0</v>
      </c>
      <c r="F550" s="100" t="str">
        <f t="shared" si="1"/>
        <v>2025</v>
      </c>
      <c r="G550" s="100" t="str">
        <f t="shared" si="2"/>
        <v>11Nov</v>
      </c>
      <c r="H550" s="100" t="str">
        <f t="shared" si="3"/>
        <v>Sabtu</v>
      </c>
      <c r="I550" s="97" t="s">
        <v>76</v>
      </c>
      <c r="J550" s="97" t="s">
        <v>62</v>
      </c>
      <c r="K550" s="97" t="s">
        <v>57</v>
      </c>
      <c r="L550" s="101" t="s">
        <v>425</v>
      </c>
      <c r="M550" s="102" t="str">
        <f>IFNA(VLOOKUP(L550,'🙎‍♂️ Pasien'!G:V,2,FALSE),"")</f>
        <v>L7725110799</v>
      </c>
      <c r="N550" s="103">
        <f>IFNA(VLOOKUP(L550,'🙎‍♂️ Pasien'!G:L,3,FALSE),"")</f>
        <v>49</v>
      </c>
      <c r="O550" s="104" t="str">
        <f>IFNA(VLOOKUP(L550,'🙎‍♂️ Pasien'!G:V,6,FALSE),"")</f>
        <v>PEREMPUAN</v>
      </c>
      <c r="P550" s="104" t="str">
        <f>IFNA(VLOOKUP(L550,'🙎‍♂️ Pasien'!G:V,12,FALSE),"")</f>
        <v>KATOLIK</v>
      </c>
      <c r="Q550" s="104" t="str">
        <f>IFNA(VLOOKUP(L550:L1508,'🙎‍♂️ Pasien'!G:V,13,FALSE),"")</f>
        <v>PENGANGGURAN</v>
      </c>
      <c r="R550" s="104" t="str">
        <f t="array" ref="R550">ifna(xlookup(L550,'🙎‍♂️ Pasien'!$G$5:$G1508,'🙎‍♂️ Pasien'!$T$5:$T1508),"")</f>
        <v>SAKIT LUTUT</v>
      </c>
      <c r="S550" s="104" t="str">
        <f t="array" ref="S550">ifna(xlookup(L550,'🙎‍♂️ Pasien'!$G$5:$G1508,'🙎‍♂️ Pasien'!$U$5:$U1508),"")</f>
        <v>OLAHRAGA</v>
      </c>
      <c r="T550" s="97" t="s">
        <v>59</v>
      </c>
      <c r="U550" s="105" t="s">
        <v>60</v>
      </c>
      <c r="V550" s="101"/>
      <c r="W550" s="106" t="b">
        <v>1</v>
      </c>
      <c r="X550" s="107"/>
      <c r="Y550" s="108"/>
    </row>
    <row r="551" ht="22.5" customHeight="1">
      <c r="A551" s="96"/>
      <c r="B551" s="97" t="s">
        <v>53</v>
      </c>
      <c r="C551" s="98" t="str">
        <f t="array" ref="C551">IFNA(XLOOKUP(J551,'⚙️ Pengaturan'!$H$5:$H1508,'⚙️ Pengaturan'!$I$5:$I1508),"")</f>
        <v>TIM A</v>
      </c>
      <c r="D551" s="97" t="s">
        <v>54</v>
      </c>
      <c r="E551" s="99">
        <v>45962.0</v>
      </c>
      <c r="F551" s="100" t="str">
        <f t="shared" si="1"/>
        <v>2025</v>
      </c>
      <c r="G551" s="100" t="str">
        <f t="shared" si="2"/>
        <v>11Nov</v>
      </c>
      <c r="H551" s="100" t="str">
        <f t="shared" si="3"/>
        <v>Sabtu</v>
      </c>
      <c r="I551" s="97" t="s">
        <v>83</v>
      </c>
      <c r="J551" s="97" t="s">
        <v>62</v>
      </c>
      <c r="K551" s="97" t="s">
        <v>69</v>
      </c>
      <c r="L551" s="101" t="s">
        <v>371</v>
      </c>
      <c r="M551" s="102" t="str">
        <f>IFNA(VLOOKUP(L551,'🙎‍♂️ Pasien'!G:V,2,FALSE),"")</f>
        <v>B9825108681</v>
      </c>
      <c r="N551" s="103">
        <f>IFNA(VLOOKUP(L551,'🙎‍♂️ Pasien'!G:L,3,FALSE),"")</f>
        <v>28</v>
      </c>
      <c r="O551" s="104" t="str">
        <f>IFNA(VLOOKUP(L551,'🙎‍♂️ Pasien'!G:V,6,FALSE),"")</f>
        <v>PEREMPUAN</v>
      </c>
      <c r="P551" s="104" t="str">
        <f>IFNA(VLOOKUP(L551,'🙎‍♂️ Pasien'!G:V,12,FALSE),"")</f>
        <v>KATOLIK</v>
      </c>
      <c r="Q551" s="104" t="str">
        <f>IFNA(VLOOKUP(L551:L1508,'🙎‍♂️ Pasien'!G:V,13,FALSE),"")</f>
        <v>-</v>
      </c>
      <c r="R551" s="104" t="str">
        <f t="array" ref="R551">ifna(xlookup(L551,'🙎‍♂️ Pasien'!$G$5:$G1508,'🙎‍♂️ Pasien'!$T$5:$T1508),"")</f>
        <v>BAHU TIDAK NYAMAN</v>
      </c>
      <c r="S551" s="104" t="str">
        <f t="array" ref="S551">ifna(xlookup(L551,'🙎‍♂️ Pasien'!$G$5:$G1508,'🙎‍♂️ Pasien'!$U$5:$U1508),"")</f>
        <v>DUDUK DEPAN KOMPUTER, OLAHRAGA</v>
      </c>
      <c r="T551" s="97" t="s">
        <v>67</v>
      </c>
      <c r="U551" s="105" t="s">
        <v>60</v>
      </c>
      <c r="V551" s="101" t="s">
        <v>337</v>
      </c>
      <c r="W551" s="106" t="b">
        <v>1</v>
      </c>
      <c r="X551" s="107"/>
      <c r="Y551" s="108"/>
    </row>
    <row r="552" ht="22.5" customHeight="1">
      <c r="A552" s="96"/>
      <c r="B552" s="97" t="s">
        <v>53</v>
      </c>
      <c r="C552" s="98" t="str">
        <f t="array" ref="C552">IFNA(XLOOKUP(J552,'⚙️ Pengaturan'!$H$5:$H1508,'⚙️ Pengaturan'!$I$5:$I1508),"")</f>
        <v>TIM Y</v>
      </c>
      <c r="D552" s="97" t="s">
        <v>54</v>
      </c>
      <c r="E552" s="99">
        <v>45962.0</v>
      </c>
      <c r="F552" s="100" t="str">
        <f t="shared" si="1"/>
        <v>2025</v>
      </c>
      <c r="G552" s="100" t="str">
        <f t="shared" si="2"/>
        <v>11Nov</v>
      </c>
      <c r="H552" s="100" t="str">
        <f t="shared" si="3"/>
        <v>Sabtu</v>
      </c>
      <c r="I552" s="97" t="s">
        <v>83</v>
      </c>
      <c r="J552" s="97" t="s">
        <v>107</v>
      </c>
      <c r="K552" s="97" t="s">
        <v>63</v>
      </c>
      <c r="L552" s="101" t="s">
        <v>193</v>
      </c>
      <c r="M552" s="102" t="str">
        <f>IFNA(VLOOKUP(L552,'🙎‍♂️ Pasien'!G:V,2,FALSE),"")</f>
        <v>E8925075615</v>
      </c>
      <c r="N552" s="103">
        <f>IFNA(VLOOKUP(L552,'🙎‍♂️ Pasien'!G:L,3,FALSE),"")</f>
        <v>36</v>
      </c>
      <c r="O552" s="104" t="str">
        <f>IFNA(VLOOKUP(L552,'🙎‍♂️ Pasien'!G:V,6,FALSE),"")</f>
        <v>PEREMPUAN</v>
      </c>
      <c r="P552" s="104" t="str">
        <f>IFNA(VLOOKUP(L552,'🙎‍♂️ Pasien'!G:V,12,FALSE),"")</f>
        <v>KATOLIK</v>
      </c>
      <c r="Q552" s="104" t="str">
        <f>IFNA(VLOOKUP(L552:L1508,'🙎‍♂️ Pasien'!G:V,13,FALSE),"")</f>
        <v>WIRASWASTA</v>
      </c>
      <c r="R552" s="104" t="str">
        <f t="array" ref="R552">ifna(xlookup(L552,'🙎‍♂️ Pasien'!$G$5:$G1508,'🙎‍♂️ Pasien'!$T$5:$T1508),"")</f>
        <v>BUNION</v>
      </c>
      <c r="S552" s="104" t="str">
        <f t="array" ref="S552">ifna(xlookup(L552,'🙎‍♂️ Pasien'!$G$5:$G1508,'🙎‍♂️ Pasien'!$U$5:$U1508),"")</f>
        <v>TENNIS</v>
      </c>
      <c r="T552" s="97" t="s">
        <v>59</v>
      </c>
      <c r="U552" s="105">
        <v>3.0</v>
      </c>
      <c r="V552" s="101"/>
      <c r="W552" s="106" t="b">
        <v>1</v>
      </c>
      <c r="X552" s="107"/>
      <c r="Y552" s="108"/>
    </row>
    <row r="553" ht="22.5" customHeight="1">
      <c r="A553" s="96"/>
      <c r="B553" s="97" t="s">
        <v>53</v>
      </c>
      <c r="C553" s="98" t="str">
        <f t="array" ref="C553">IFNA(XLOOKUP(J553,'⚙️ Pengaturan'!$H$5:$H1508,'⚙️ Pengaturan'!$I$5:$I1508),"")</f>
        <v>TIM Y</v>
      </c>
      <c r="D553" s="97" t="s">
        <v>54</v>
      </c>
      <c r="E553" s="99">
        <v>45962.0</v>
      </c>
      <c r="F553" s="100" t="str">
        <f t="shared" si="1"/>
        <v>2025</v>
      </c>
      <c r="G553" s="100" t="str">
        <f t="shared" si="2"/>
        <v>11Nov</v>
      </c>
      <c r="H553" s="100" t="str">
        <f t="shared" si="3"/>
        <v>Sabtu</v>
      </c>
      <c r="I553" s="97" t="s">
        <v>83</v>
      </c>
      <c r="J553" s="97" t="s">
        <v>88</v>
      </c>
      <c r="K553" s="97" t="s">
        <v>69</v>
      </c>
      <c r="L553" s="101" t="s">
        <v>155</v>
      </c>
      <c r="M553" s="102" t="str">
        <f>IFNA(VLOOKUP(L553,'🙎‍♂️ Pasien'!G:V,2,FALSE),"")</f>
        <v>H5325012017</v>
      </c>
      <c r="N553" s="103">
        <f>IFNA(VLOOKUP(L553,'🙎‍♂️ Pasien'!G:L,3,FALSE),"")</f>
        <v>72</v>
      </c>
      <c r="O553" s="104" t="str">
        <f>IFNA(VLOOKUP(L553,'🙎‍♂️ Pasien'!G:V,6,FALSE),"")</f>
        <v>LAKI-LAKI</v>
      </c>
      <c r="P553" s="104" t="str">
        <f>IFNA(VLOOKUP(L553,'🙎‍♂️ Pasien'!G:V,12,FALSE),"")</f>
        <v>ISLAM</v>
      </c>
      <c r="Q553" s="104" t="str">
        <f>IFNA(VLOOKUP(L553:L1508,'🙎‍♂️ Pasien'!G:V,13,FALSE),"")</f>
        <v>PENSIUN</v>
      </c>
      <c r="R553" s="104" t="str">
        <f t="array" ref="R553">ifna(xlookup(L553,'🙎‍♂️ Pasien'!$G$5:$G1508,'🙎‍♂️ Pasien'!$T$5:$T1508),"")</f>
        <v>Kaki terasa nyeri jika dibawa berdiri lama atau berjalan jauh</v>
      </c>
      <c r="S553" s="104" t="str">
        <f t="array" ref="S553">ifna(xlookup(L553,'🙎‍♂️ Pasien'!$G$5:$G1508,'🙎‍♂️ Pasien'!$U$5:$U1508),"")</f>
        <v>Tidak ada</v>
      </c>
      <c r="T553" s="97" t="s">
        <v>59</v>
      </c>
      <c r="U553" s="105" t="s">
        <v>60</v>
      </c>
      <c r="V553" s="101"/>
      <c r="W553" s="106" t="b">
        <v>1</v>
      </c>
      <c r="X553" s="107"/>
      <c r="Y553" s="108"/>
    </row>
    <row r="554" ht="22.5" customHeight="1">
      <c r="A554" s="96"/>
      <c r="B554" s="97" t="s">
        <v>85</v>
      </c>
      <c r="C554" s="98" t="str">
        <f t="array" ref="C554">IFNA(XLOOKUP(J554,'⚙️ Pengaturan'!$H$5:$H1508,'⚙️ Pengaturan'!$I$5:$I1508),"")</f>
        <v>TIM Y</v>
      </c>
      <c r="D554" s="97" t="s">
        <v>86</v>
      </c>
      <c r="E554" s="99">
        <v>45962.0</v>
      </c>
      <c r="F554" s="100" t="str">
        <f t="shared" si="1"/>
        <v>2025</v>
      </c>
      <c r="G554" s="100" t="str">
        <f t="shared" si="2"/>
        <v>11Nov</v>
      </c>
      <c r="H554" s="100" t="str">
        <f t="shared" si="3"/>
        <v>Sabtu</v>
      </c>
      <c r="I554" s="97" t="s">
        <v>87</v>
      </c>
      <c r="J554" s="97" t="s">
        <v>56</v>
      </c>
      <c r="K554" s="97" t="s">
        <v>63</v>
      </c>
      <c r="L554" s="101" t="s">
        <v>353</v>
      </c>
      <c r="M554" s="102" t="str">
        <f>IFNA(VLOOKUP(L554,'🙎‍♂️ Pasien'!G:V,2,FALSE),"")</f>
        <v>N0324108818</v>
      </c>
      <c r="N554" s="103">
        <f>IFNA(VLOOKUP(L554,'🙎‍♂️ Pasien'!G:L,3,FALSE),"")</f>
        <v>23</v>
      </c>
      <c r="O554" s="104" t="str">
        <f>IFNA(VLOOKUP(L554,'🙎‍♂️ Pasien'!G:V,6,FALSE),"")</f>
        <v>LAKI-LAKI</v>
      </c>
      <c r="P554" s="104" t="str">
        <f>IFNA(VLOOKUP(L554,'🙎‍♂️ Pasien'!G:V,12,FALSE),"")</f>
        <v>KATOLIK</v>
      </c>
      <c r="Q554" s="104" t="str">
        <f>IFNA(VLOOKUP(L554:L1508,'🙎‍♂️ Pasien'!G:V,13,FALSE),"")</f>
        <v>PELAJAR/MAHASISWA</v>
      </c>
      <c r="R554" s="104" t="str">
        <f t="array" ref="R554">ifna(xlookup(L554,'🙎‍♂️ Pasien'!$G$5:$G1508,'🙎‍♂️ Pasien'!$T$5:$T1508),"")</f>
        <v>Belikat, telapak kaki, bahu, pinggang</v>
      </c>
      <c r="S554" s="104" t="str">
        <f t="array" ref="S554">ifna(xlookup(L554,'🙎‍♂️ Pasien'!$G$5:$G1508,'🙎‍♂️ Pasien'!$U$5:$U1508),"")</f>
        <v>Tennis dan gym</v>
      </c>
      <c r="T554" s="97" t="s">
        <v>59</v>
      </c>
      <c r="U554" s="105">
        <v>5.0</v>
      </c>
      <c r="V554" s="101"/>
      <c r="W554" s="106" t="b">
        <v>1</v>
      </c>
      <c r="X554" s="107"/>
      <c r="Y554" s="108"/>
    </row>
    <row r="555" ht="22.5" customHeight="1">
      <c r="A555" s="96"/>
      <c r="B555" s="97" t="s">
        <v>85</v>
      </c>
      <c r="C555" s="98" t="str">
        <f t="array" ref="C555">IFNA(XLOOKUP(J555,'⚙️ Pengaturan'!$H$5:$H1508,'⚙️ Pengaturan'!$I$5:$I1508),"")</f>
        <v>TIM A</v>
      </c>
      <c r="D555" s="97" t="s">
        <v>86</v>
      </c>
      <c r="E555" s="99">
        <v>45962.0</v>
      </c>
      <c r="F555" s="100" t="str">
        <f t="shared" si="1"/>
        <v>2025</v>
      </c>
      <c r="G555" s="100" t="str">
        <f t="shared" si="2"/>
        <v>11Nov</v>
      </c>
      <c r="H555" s="100" t="str">
        <f t="shared" si="3"/>
        <v>Sabtu</v>
      </c>
      <c r="I555" s="97" t="s">
        <v>93</v>
      </c>
      <c r="J555" s="97" t="s">
        <v>72</v>
      </c>
      <c r="K555" s="97" t="s">
        <v>63</v>
      </c>
      <c r="L555" s="101" t="s">
        <v>350</v>
      </c>
      <c r="M555" s="102" t="str">
        <f>IFNA(VLOOKUP(L555,'🙎‍♂️ Pasien'!G:V,2,FALSE),"")</f>
        <v>I8025109996</v>
      </c>
      <c r="N555" s="103">
        <f>IFNA(VLOOKUP(L555,'🙎‍♂️ Pasien'!G:L,3,FALSE),"")</f>
        <v>45</v>
      </c>
      <c r="O555" s="104" t="str">
        <f>IFNA(VLOOKUP(L555,'🙎‍♂️ Pasien'!G:V,6,FALSE),"")</f>
        <v>PEREMPUAN</v>
      </c>
      <c r="P555" s="104" t="str">
        <f>IFNA(VLOOKUP(L555,'🙎‍♂️ Pasien'!G:V,12,FALSE),"")</f>
        <v>ISLAM</v>
      </c>
      <c r="Q555" s="104" t="str">
        <f>IFNA(VLOOKUP(L555:L1508,'🙎‍♂️ Pasien'!G:V,13,FALSE),"")</f>
        <v>WIRASWASTA</v>
      </c>
      <c r="R555" s="104" t="str">
        <f t="array" ref="R555">ifna(xlookup(L555,'🙎‍♂️ Pasien'!$G$5:$G1508,'🙎‍♂️ Pasien'!$T$5:$T1508),"")</f>
        <v>NYERI KEPALA TIPE TEGANG DAN TANGAN SUKA KESEMUTAN</v>
      </c>
      <c r="S555" s="104" t="str">
        <f t="array" ref="S555">ifna(xlookup(L555,'🙎‍♂️ Pasien'!$G$5:$G1508,'🙎‍♂️ Pasien'!$U$5:$U1508),"")</f>
        <v>JIKA BAWA MOTOR DAN TIDUR MENGHADAP KE KANAN</v>
      </c>
      <c r="T555" s="97" t="s">
        <v>59</v>
      </c>
      <c r="U555" s="105">
        <v>2.0</v>
      </c>
      <c r="V555" s="101"/>
      <c r="W555" s="106" t="b">
        <v>1</v>
      </c>
      <c r="X555" s="107"/>
      <c r="Y555" s="108"/>
    </row>
    <row r="556" ht="22.5" customHeight="1">
      <c r="A556" s="96"/>
      <c r="B556" s="97" t="s">
        <v>85</v>
      </c>
      <c r="C556" s="98" t="str">
        <f t="array" ref="C556">IFNA(XLOOKUP(J556,'⚙️ Pengaturan'!$H$5:$H1508,'⚙️ Pengaturan'!$I$5:$I1508),"")</f>
        <v>TIM A</v>
      </c>
      <c r="D556" s="97" t="s">
        <v>86</v>
      </c>
      <c r="E556" s="99">
        <v>45962.0</v>
      </c>
      <c r="F556" s="100" t="str">
        <f t="shared" si="1"/>
        <v>2025</v>
      </c>
      <c r="G556" s="100" t="str">
        <f t="shared" si="2"/>
        <v>11Nov</v>
      </c>
      <c r="H556" s="100" t="str">
        <f t="shared" si="3"/>
        <v>Sabtu</v>
      </c>
      <c r="I556" s="97" t="s">
        <v>93</v>
      </c>
      <c r="J556" s="97" t="s">
        <v>79</v>
      </c>
      <c r="K556" s="97" t="s">
        <v>69</v>
      </c>
      <c r="L556" s="101" t="s">
        <v>224</v>
      </c>
      <c r="M556" s="102" t="str">
        <f>IFNA(VLOOKUP(L556,'🙎‍♂️ Pasien'!G:V,2,FALSE),"")</f>
        <v>K6025085313</v>
      </c>
      <c r="N556" s="103">
        <f>IFNA(VLOOKUP(L556,'🙎‍♂️ Pasien'!G:L,3,FALSE),"")</f>
        <v>65</v>
      </c>
      <c r="O556" s="104" t="str">
        <f>IFNA(VLOOKUP(L556,'🙎‍♂️ Pasien'!G:V,6,FALSE),"")</f>
        <v>PEREMPUAN</v>
      </c>
      <c r="P556" s="104" t="str">
        <f>IFNA(VLOOKUP(L556,'🙎‍♂️ Pasien'!G:V,12,FALSE),"")</f>
        <v>ISLAM</v>
      </c>
      <c r="Q556" s="104" t="str">
        <f>IFNA(VLOOKUP(L556:L1508,'🙎‍♂️ Pasien'!G:V,13,FALSE),"")</f>
        <v>IBU RUMAH TANGGA</v>
      </c>
      <c r="R556" s="104" t="str">
        <f t="array" ref="R556">ifna(xlookup(L556,'🙎‍♂️ Pasien'!$G$5:$G1508,'🙎‍♂️ Pasien'!$T$5:$T1508),"")</f>
        <v>SAKIT LUTUT KANAN</v>
      </c>
      <c r="S556" s="104" t="str">
        <f t="array" ref="S556">ifna(xlookup(L556,'🙎‍♂️ Pasien'!$G$5:$G1508,'🙎‍♂️ Pasien'!$U$5:$U1508),"")</f>
        <v>JALAN KAKI</v>
      </c>
      <c r="T556" s="97" t="s">
        <v>59</v>
      </c>
      <c r="U556" s="105" t="s">
        <v>60</v>
      </c>
      <c r="V556" s="101"/>
      <c r="W556" s="106" t="b">
        <v>1</v>
      </c>
      <c r="X556" s="107"/>
      <c r="Y556" s="108"/>
    </row>
    <row r="557" ht="22.5" customHeight="1">
      <c r="A557" s="96"/>
      <c r="B557" s="97" t="s">
        <v>85</v>
      </c>
      <c r="C557" s="98" t="str">
        <f t="array" ref="C557">IFNA(XLOOKUP(J557,'⚙️ Pengaturan'!$H$5:$H1508,'⚙️ Pengaturan'!$I$5:$I1508),"")</f>
        <v>TIM A</v>
      </c>
      <c r="D557" s="97" t="s">
        <v>86</v>
      </c>
      <c r="E557" s="99">
        <v>45962.0</v>
      </c>
      <c r="F557" s="100" t="str">
        <f t="shared" si="1"/>
        <v>2025</v>
      </c>
      <c r="G557" s="100" t="str">
        <f t="shared" si="2"/>
        <v>11Nov</v>
      </c>
      <c r="H557" s="100" t="str">
        <f t="shared" si="3"/>
        <v>Sabtu</v>
      </c>
      <c r="I557" s="97" t="s">
        <v>95</v>
      </c>
      <c r="J557" s="97" t="s">
        <v>72</v>
      </c>
      <c r="K557" s="97" t="s">
        <v>63</v>
      </c>
      <c r="L557" s="101" t="s">
        <v>389</v>
      </c>
      <c r="M557" s="102" t="str">
        <f>IFNA(VLOOKUP(L557,'🙎‍♂️ Pasien'!G:V,2,FALSE),"")</f>
        <v>A0825042223</v>
      </c>
      <c r="N557" s="103">
        <f>IFNA(VLOOKUP(L557,'🙎‍♂️ Pasien'!G:L,3,FALSE),"")</f>
        <v>18</v>
      </c>
      <c r="O557" s="104" t="str">
        <f>IFNA(VLOOKUP(L557,'🙎‍♂️ Pasien'!G:V,6,FALSE),"")</f>
        <v>LAKI-LAKI</v>
      </c>
      <c r="P557" s="104" t="str">
        <f>IFNA(VLOOKUP(L557,'🙎‍♂️ Pasien'!G:V,12,FALSE),"")</f>
        <v>ISLAM</v>
      </c>
      <c r="Q557" s="104" t="str">
        <f>IFNA(VLOOKUP(L557:L1508,'🙎‍♂️ Pasien'!G:V,13,FALSE),"")</f>
        <v>PELAJAR</v>
      </c>
      <c r="R557" s="104" t="str">
        <f t="array" ref="R557">ifna(xlookup(L557,'🙎‍♂️ Pasien'!$G$5:$G1508,'🙎‍♂️ Pasien'!$T$5:$T1508),"")</f>
        <v>NDA BISA MENGANGKAT BEBAN BERAT DI BAGIAN SIKU TANGAN KIRI</v>
      </c>
      <c r="S557" s="104" t="str">
        <f t="array" ref="S557">ifna(xlookup(L557,'🙎‍♂️ Pasien'!$G$5:$G1508,'🙎‍♂️ Pasien'!$U$5:$U1508),"")</f>
        <v>OLAHRAGA</v>
      </c>
      <c r="T557" s="97" t="s">
        <v>59</v>
      </c>
      <c r="U557" s="105">
        <v>2.0</v>
      </c>
      <c r="V557" s="101"/>
      <c r="W557" s="106" t="b">
        <v>1</v>
      </c>
      <c r="X557" s="107"/>
      <c r="Y557" s="108"/>
    </row>
    <row r="558" ht="22.5" customHeight="1">
      <c r="A558" s="96"/>
      <c r="B558" s="97" t="s">
        <v>85</v>
      </c>
      <c r="C558" s="98" t="str">
        <f t="array" ref="C558">IFNA(XLOOKUP(J558,'⚙️ Pengaturan'!$H$5:$H1508,'⚙️ Pengaturan'!$I$5:$I1508),"")</f>
        <v>TIM Y</v>
      </c>
      <c r="D558" s="97" t="s">
        <v>86</v>
      </c>
      <c r="E558" s="99">
        <v>45962.0</v>
      </c>
      <c r="F558" s="100" t="str">
        <f t="shared" si="1"/>
        <v>2025</v>
      </c>
      <c r="G558" s="100" t="str">
        <f t="shared" si="2"/>
        <v>11Nov</v>
      </c>
      <c r="H558" s="100" t="str">
        <f t="shared" si="3"/>
        <v>Sabtu</v>
      </c>
      <c r="I558" s="97" t="s">
        <v>95</v>
      </c>
      <c r="J558" s="97" t="s">
        <v>56</v>
      </c>
      <c r="K558" s="97" t="s">
        <v>69</v>
      </c>
      <c r="L558" s="101" t="s">
        <v>297</v>
      </c>
      <c r="M558" s="102" t="str">
        <f>IFNA(VLOOKUP(L558,'🙎‍♂️ Pasien'!G:V,2,FALSE),"")</f>
        <v>R8125108947</v>
      </c>
      <c r="N558" s="103">
        <f>IFNA(VLOOKUP(L558,'🙎‍♂️ Pasien'!G:L,3,FALSE),"")</f>
        <v>44</v>
      </c>
      <c r="O558" s="104" t="str">
        <f>IFNA(VLOOKUP(L558,'🙎‍♂️ Pasien'!G:V,6,FALSE),"")</f>
        <v>LAKI-LAKI</v>
      </c>
      <c r="P558" s="104" t="str">
        <f>IFNA(VLOOKUP(L558,'🙎‍♂️ Pasien'!G:V,12,FALSE),"")</f>
        <v>ISLAM</v>
      </c>
      <c r="Q558" s="104" t="str">
        <f>IFNA(VLOOKUP(L558:L1508,'🙎‍♂️ Pasien'!G:V,13,FALSE),"")</f>
        <v>WIRASWASTA</v>
      </c>
      <c r="R558" s="104" t="str">
        <f t="array" ref="R558">ifna(xlookup(L558,'🙎‍♂️ Pasien'!$G$5:$G1508,'🙎‍♂️ Pasien'!$T$5:$T1508),"")</f>
        <v>LBP</v>
      </c>
      <c r="S558" s="104" t="str">
        <f t="array" ref="S558">ifna(xlookup(L558,'🙎‍♂️ Pasien'!$G$5:$G1508,'🙎‍♂️ Pasien'!$U$5:$U1508),"")</f>
        <v>SUPERVISI LAPANGAN</v>
      </c>
      <c r="T558" s="97" t="s">
        <v>59</v>
      </c>
      <c r="U558" s="105" t="s">
        <v>60</v>
      </c>
      <c r="V558" s="101"/>
      <c r="W558" s="106" t="b">
        <v>1</v>
      </c>
      <c r="X558" s="107"/>
      <c r="Y558" s="108"/>
    </row>
    <row r="559" ht="22.5" customHeight="1">
      <c r="A559" s="96"/>
      <c r="B559" s="97" t="s">
        <v>85</v>
      </c>
      <c r="C559" s="98" t="str">
        <f t="array" ref="C559">IFNA(XLOOKUP(J559,'⚙️ Pengaturan'!$H$5:$H1508,'⚙️ Pengaturan'!$I$5:$I1508),"")</f>
        <v>TIM Y</v>
      </c>
      <c r="D559" s="97" t="s">
        <v>86</v>
      </c>
      <c r="E559" s="99">
        <v>45962.0</v>
      </c>
      <c r="F559" s="100" t="str">
        <f t="shared" si="1"/>
        <v>2025</v>
      </c>
      <c r="G559" s="100" t="str">
        <f t="shared" si="2"/>
        <v>11Nov</v>
      </c>
      <c r="H559" s="100" t="str">
        <f t="shared" si="3"/>
        <v>Sabtu</v>
      </c>
      <c r="I559" s="97" t="s">
        <v>97</v>
      </c>
      <c r="J559" s="97" t="s">
        <v>56</v>
      </c>
      <c r="K559" s="97" t="s">
        <v>63</v>
      </c>
      <c r="L559" s="101" t="s">
        <v>326</v>
      </c>
      <c r="M559" s="102" t="str">
        <f>IFNA(VLOOKUP(L559,'🙎‍♂️ Pasien'!G:V,2,FALSE),"")</f>
        <v>A1423086916</v>
      </c>
      <c r="N559" s="103">
        <f>IFNA(VLOOKUP(L559,'🙎‍♂️ Pasien'!G:L,3,FALSE),"")</f>
        <v>11</v>
      </c>
      <c r="O559" s="104" t="str">
        <f>IFNA(VLOOKUP(L559,'🙎‍♂️ Pasien'!G:V,6,FALSE),"")</f>
        <v>LAKI-LAKI</v>
      </c>
      <c r="P559" s="104" t="str">
        <f>IFNA(VLOOKUP(L559,'🙎‍♂️ Pasien'!G:V,12,FALSE),"")</f>
        <v>ISLAM</v>
      </c>
      <c r="Q559" s="104" t="str">
        <f>IFNA(VLOOKUP(L559:L1508,'🙎‍♂️ Pasien'!G:V,13,FALSE),"")</f>
        <v>PELAJAR/MAHASISWA</v>
      </c>
      <c r="R559" s="104" t="str">
        <f t="array" ref="R559">ifna(xlookup(L559,'🙎‍♂️ Pasien'!$G$5:$G1508,'🙎‍♂️ Pasien'!$T$5:$T1508),"")</f>
        <v>ANKLE KAKI KANAN</v>
      </c>
      <c r="S559" s="104" t="str">
        <f t="array" ref="S559">ifna(xlookup(L559,'🙎‍♂️ Pasien'!$G$5:$G1508,'🙎‍♂️ Pasien'!$U$5:$U1508),"")</f>
        <v>BOLA</v>
      </c>
      <c r="T559" s="97" t="s">
        <v>59</v>
      </c>
      <c r="U559" s="105">
        <v>5.0</v>
      </c>
      <c r="V559" s="101"/>
      <c r="W559" s="106" t="b">
        <v>1</v>
      </c>
      <c r="X559" s="107"/>
      <c r="Y559" s="108"/>
    </row>
    <row r="560" ht="22.5" customHeight="1">
      <c r="A560" s="96"/>
      <c r="B560" s="97" t="s">
        <v>85</v>
      </c>
      <c r="C560" s="98" t="str">
        <f t="array" ref="C560">IFNA(XLOOKUP(J560,'⚙️ Pengaturan'!$H$5:$H1508,'⚙️ Pengaturan'!$I$5:$I1508),"")</f>
        <v>TIM A</v>
      </c>
      <c r="D560" s="97" t="s">
        <v>86</v>
      </c>
      <c r="E560" s="99">
        <v>45962.0</v>
      </c>
      <c r="F560" s="100" t="str">
        <f t="shared" si="1"/>
        <v>2025</v>
      </c>
      <c r="G560" s="100" t="str">
        <f t="shared" si="2"/>
        <v>11Nov</v>
      </c>
      <c r="H560" s="100" t="str">
        <f t="shared" si="3"/>
        <v>Sabtu</v>
      </c>
      <c r="I560" s="97" t="s">
        <v>97</v>
      </c>
      <c r="J560" s="97" t="s">
        <v>72</v>
      </c>
      <c r="K560" s="97" t="s">
        <v>69</v>
      </c>
      <c r="L560" s="101" t="s">
        <v>264</v>
      </c>
      <c r="M560" s="102" t="str">
        <f>IFNA(VLOOKUP(L560,'🙎‍♂️ Pasien'!G:V,2,FALSE),"")</f>
        <v>A9625083700</v>
      </c>
      <c r="N560" s="103">
        <f>IFNA(VLOOKUP(L560,'🙎‍♂️ Pasien'!G:L,3,FALSE),"")</f>
        <v>29</v>
      </c>
      <c r="O560" s="104" t="str">
        <f>IFNA(VLOOKUP(L560,'🙎‍♂️ Pasien'!G:V,6,FALSE),"")</f>
        <v>LAKI-LAKI</v>
      </c>
      <c r="P560" s="104" t="str">
        <f>IFNA(VLOOKUP(L560,'🙎‍♂️ Pasien'!G:V,12,FALSE),"")</f>
        <v>ISLAM</v>
      </c>
      <c r="Q560" s="104" t="str">
        <f>IFNA(VLOOKUP(L560:L1508,'🙎‍♂️ Pasien'!G:V,13,FALSE),"")</f>
        <v>KARYAWAN SWASTA</v>
      </c>
      <c r="R560" s="104" t="str">
        <f t="array" ref="R560">ifna(xlookup(L560,'🙎‍♂️ Pasien'!$G$5:$G1508,'🙎‍♂️ Pasien'!$T$5:$T1508),"")</f>
        <v>LUTUT TIDAK BISA DI TEKUK</v>
      </c>
      <c r="S560" s="104" t="str">
        <f t="array" ref="S560">ifna(xlookup(L560,'🙎‍♂️ Pasien'!$G$5:$G1508,'🙎‍♂️ Pasien'!$U$5:$U1508),"")</f>
        <v>MAIN BOLA</v>
      </c>
      <c r="T560" s="97" t="s">
        <v>59</v>
      </c>
      <c r="U560" s="105" t="s">
        <v>60</v>
      </c>
      <c r="V560" s="101"/>
      <c r="W560" s="106" t="b">
        <v>1</v>
      </c>
      <c r="X560" s="107"/>
      <c r="Y560" s="108"/>
    </row>
    <row r="561" ht="22.5" customHeight="1">
      <c r="A561" s="96"/>
      <c r="B561" s="97" t="s">
        <v>85</v>
      </c>
      <c r="C561" s="98" t="str">
        <f t="array" ref="C561">IFNA(XLOOKUP(J561,'⚙️ Pengaturan'!$H$5:$H1508,'⚙️ Pengaturan'!$I$5:$I1508),"")</f>
        <v>TIM A</v>
      </c>
      <c r="D561" s="97" t="s">
        <v>86</v>
      </c>
      <c r="E561" s="99">
        <v>45962.0</v>
      </c>
      <c r="F561" s="100" t="str">
        <f t="shared" si="1"/>
        <v>2025</v>
      </c>
      <c r="G561" s="100" t="str">
        <f t="shared" si="2"/>
        <v>11Nov</v>
      </c>
      <c r="H561" s="100" t="str">
        <f t="shared" si="3"/>
        <v>Sabtu</v>
      </c>
      <c r="I561" s="97" t="s">
        <v>97</v>
      </c>
      <c r="J561" s="97" t="s">
        <v>79</v>
      </c>
      <c r="K561" s="97" t="s">
        <v>57</v>
      </c>
      <c r="L561" s="101" t="s">
        <v>426</v>
      </c>
      <c r="M561" s="102" t="str">
        <f>IFNA(VLOOKUP(L561,'🙎‍♂️ Pasien'!G:V,2,FALSE),"")</f>
        <v>S8525111805</v>
      </c>
      <c r="N561" s="103">
        <f>IFNA(VLOOKUP(L561,'🙎‍♂️ Pasien'!G:L,3,FALSE),"")</f>
        <v>41</v>
      </c>
      <c r="O561" s="104" t="str">
        <f>IFNA(VLOOKUP(L561,'🙎‍♂️ Pasien'!G:V,6,FALSE),"")</f>
        <v>PEREMPUAN</v>
      </c>
      <c r="P561" s="104" t="str">
        <f>IFNA(VLOOKUP(L561,'🙎‍♂️ Pasien'!G:V,12,FALSE),"")</f>
        <v>ISLAM</v>
      </c>
      <c r="Q561" s="104" t="str">
        <f>IFNA(VLOOKUP(L561:L1508,'🙎‍♂️ Pasien'!G:V,13,FALSE),"")</f>
        <v>GURU</v>
      </c>
      <c r="R561" s="104" t="str">
        <f t="array" ref="R561">ifna(xlookup(L561,'🙎‍♂️ Pasien'!$G$5:$G1508,'🙎‍♂️ Pasien'!$T$5:$T1508),"")</f>
        <v>TIDAK BISA MENGANGKAT TANGAN</v>
      </c>
      <c r="S561" s="104" t="str">
        <f t="array" ref="S561">ifna(xlookup(L561,'🙎‍♂️ Pasien'!$G$5:$G1508,'🙎‍♂️ Pasien'!$U$5:$U1508),"")</f>
        <v>SETELAH URUT BESOK PAGINYA LNGSUNG SAKIT</v>
      </c>
      <c r="T561" s="97" t="s">
        <v>59</v>
      </c>
      <c r="U561" s="105" t="s">
        <v>60</v>
      </c>
      <c r="V561" s="101"/>
      <c r="W561" s="106" t="b">
        <v>1</v>
      </c>
      <c r="X561" s="107"/>
      <c r="Y561" s="108"/>
    </row>
    <row r="562" ht="22.5" customHeight="1">
      <c r="A562" s="96"/>
      <c r="B562" s="97" t="s">
        <v>53</v>
      </c>
      <c r="C562" s="98" t="str">
        <f t="array" ref="C562">IFNA(XLOOKUP(J562,'⚙️ Pengaturan'!$H$5:$H1508,'⚙️ Pengaturan'!$I$5:$I1508),"")</f>
        <v>TIM Y</v>
      </c>
      <c r="D562" s="97" t="s">
        <v>86</v>
      </c>
      <c r="E562" s="99">
        <v>45963.0</v>
      </c>
      <c r="F562" s="100" t="str">
        <f t="shared" si="1"/>
        <v>2025</v>
      </c>
      <c r="G562" s="100" t="str">
        <f t="shared" si="2"/>
        <v>11Nov</v>
      </c>
      <c r="H562" s="100" t="str">
        <f t="shared" si="3"/>
        <v>Minggu</v>
      </c>
      <c r="I562" s="97" t="s">
        <v>55</v>
      </c>
      <c r="J562" s="97" t="s">
        <v>56</v>
      </c>
      <c r="K562" s="97" t="s">
        <v>57</v>
      </c>
      <c r="L562" s="101" t="s">
        <v>427</v>
      </c>
      <c r="M562" s="102" t="str">
        <f>IFNA(VLOOKUP(L562,'🙎‍♂️ Pasien'!G:V,2,FALSE),"")</f>
        <v>A9424099103</v>
      </c>
      <c r="N562" s="103">
        <f>IFNA(VLOOKUP(L562,'🙎‍♂️ Pasien'!G:L,3,FALSE),"")</f>
        <v>32</v>
      </c>
      <c r="O562" s="104" t="str">
        <f>IFNA(VLOOKUP(L562,'🙎‍♂️ Pasien'!G:V,6,FALSE),"")</f>
        <v>LAKI-LAKI</v>
      </c>
      <c r="P562" s="104" t="str">
        <f>IFNA(VLOOKUP(L562,'🙎‍♂️ Pasien'!G:V,12,FALSE),"")</f>
        <v>KATOLIK</v>
      </c>
      <c r="Q562" s="104" t="str">
        <f>IFNA(VLOOKUP(L562:L1508,'🙎‍♂️ Pasien'!G:V,13,FALSE),"")</f>
        <v>SWASTA</v>
      </c>
      <c r="R562" s="104" t="str">
        <f t="array" ref="R562">ifna(xlookup(L562,'🙎‍♂️ Pasien'!$G$5:$G1508,'🙎‍♂️ Pasien'!$T$5:$T1508),"")</f>
        <v>SAKIT PINGGANG</v>
      </c>
      <c r="S562" s="104" t="str">
        <f t="array" ref="S562">ifna(xlookup(L562,'🙎‍♂️ Pasien'!$G$5:$G1508,'🙎‍♂️ Pasien'!$U$5:$U1508),"")</f>
        <v>Olahraga Batminton</v>
      </c>
      <c r="T562" s="97" t="s">
        <v>59</v>
      </c>
      <c r="U562" s="105" t="s">
        <v>60</v>
      </c>
      <c r="V562" s="101"/>
      <c r="W562" s="106" t="b">
        <v>1</v>
      </c>
      <c r="X562" s="107"/>
      <c r="Y562" s="108"/>
    </row>
    <row r="563" ht="22.5" customHeight="1">
      <c r="A563" s="96"/>
      <c r="B563" s="97" t="s">
        <v>53</v>
      </c>
      <c r="C563" s="98" t="str">
        <f t="array" ref="C563">IFNA(XLOOKUP(J563,'⚙️ Pengaturan'!$H$5:$H1508,'⚙️ Pengaturan'!$I$5:$I1508),"")</f>
        <v>MANAJEMEN</v>
      </c>
      <c r="D563" s="97" t="s">
        <v>86</v>
      </c>
      <c r="E563" s="99">
        <v>45963.0</v>
      </c>
      <c r="F563" s="100" t="str">
        <f t="shared" si="1"/>
        <v>2025</v>
      </c>
      <c r="G563" s="100" t="str">
        <f t="shared" si="2"/>
        <v>11Nov</v>
      </c>
      <c r="H563" s="100" t="str">
        <f t="shared" si="3"/>
        <v>Minggu</v>
      </c>
      <c r="I563" s="97" t="s">
        <v>65</v>
      </c>
      <c r="J563" s="97" t="s">
        <v>81</v>
      </c>
      <c r="K563" s="97" t="s">
        <v>63</v>
      </c>
      <c r="L563" s="101" t="s">
        <v>193</v>
      </c>
      <c r="M563" s="102" t="str">
        <f>IFNA(VLOOKUP(L563,'🙎‍♂️ Pasien'!G:V,2,FALSE),"")</f>
        <v>E8925075615</v>
      </c>
      <c r="N563" s="103">
        <f>IFNA(VLOOKUP(L563,'🙎‍♂️ Pasien'!G:L,3,FALSE),"")</f>
        <v>36</v>
      </c>
      <c r="O563" s="104" t="str">
        <f>IFNA(VLOOKUP(L563,'🙎‍♂️ Pasien'!G:V,6,FALSE),"")</f>
        <v>PEREMPUAN</v>
      </c>
      <c r="P563" s="104" t="str">
        <f>IFNA(VLOOKUP(L563,'🙎‍♂️ Pasien'!G:V,12,FALSE),"")</f>
        <v>KATOLIK</v>
      </c>
      <c r="Q563" s="104" t="str">
        <f>IFNA(VLOOKUP(L563:L1508,'🙎‍♂️ Pasien'!G:V,13,FALSE),"")</f>
        <v>WIRASWASTA</v>
      </c>
      <c r="R563" s="104" t="str">
        <f t="array" ref="R563">ifna(xlookup(L563,'🙎‍♂️ Pasien'!$G$5:$G1508,'🙎‍♂️ Pasien'!$T$5:$T1508),"")</f>
        <v>BUNION</v>
      </c>
      <c r="S563" s="104" t="str">
        <f t="array" ref="S563">ifna(xlookup(L563,'🙎‍♂️ Pasien'!$G$5:$G1508,'🙎‍♂️ Pasien'!$U$5:$U1508),"")</f>
        <v>TENNIS</v>
      </c>
      <c r="T563" s="97" t="s">
        <v>59</v>
      </c>
      <c r="U563" s="105">
        <v>4.0</v>
      </c>
      <c r="V563" s="101"/>
      <c r="W563" s="106" t="b">
        <v>1</v>
      </c>
      <c r="X563" s="107"/>
      <c r="Y563" s="108"/>
    </row>
    <row r="564" ht="22.5" customHeight="1">
      <c r="A564" s="96"/>
      <c r="B564" s="97" t="s">
        <v>53</v>
      </c>
      <c r="C564" s="98" t="str">
        <f t="array" ref="C564">IFNA(XLOOKUP(J564,'⚙️ Pengaturan'!$H$5:$H1508,'⚙️ Pengaturan'!$I$5:$I1508),"")</f>
        <v>MANAJEMEN</v>
      </c>
      <c r="D564" s="97" t="s">
        <v>86</v>
      </c>
      <c r="E564" s="99">
        <v>45963.0</v>
      </c>
      <c r="F564" s="100" t="str">
        <f t="shared" si="1"/>
        <v>2025</v>
      </c>
      <c r="G564" s="100" t="str">
        <f t="shared" si="2"/>
        <v>11Nov</v>
      </c>
      <c r="H564" s="100" t="str">
        <f t="shared" si="3"/>
        <v>Minggu</v>
      </c>
      <c r="I564" s="97" t="s">
        <v>65</v>
      </c>
      <c r="J564" s="97" t="s">
        <v>101</v>
      </c>
      <c r="K564" s="97" t="s">
        <v>57</v>
      </c>
      <c r="L564" s="101" t="s">
        <v>428</v>
      </c>
      <c r="M564" s="102" t="str">
        <f>IFNA(VLOOKUP(L564,'🙎‍♂️ Pasien'!G:V,2,FALSE),"")</f>
        <v>N8325117007</v>
      </c>
      <c r="N564" s="103">
        <f>IFNA(VLOOKUP(L564,'🙎‍♂️ Pasien'!G:L,3,FALSE),"")</f>
        <v>42</v>
      </c>
      <c r="O564" s="104" t="str">
        <f>IFNA(VLOOKUP(L564,'🙎‍♂️ Pasien'!G:V,6,FALSE),"")</f>
        <v>LAKI-LAKI</v>
      </c>
      <c r="P564" s="104" t="str">
        <f>IFNA(VLOOKUP(L564,'🙎‍♂️ Pasien'!G:V,12,FALSE),"")</f>
        <v>PROTESTAN</v>
      </c>
      <c r="Q564" s="104" t="str">
        <f>IFNA(VLOOKUP(L564:L1508,'🙎‍♂️ Pasien'!G:V,13,FALSE),"")</f>
        <v>SWASTA</v>
      </c>
      <c r="R564" s="104" t="str">
        <f t="array" ref="R564">ifna(xlookup(L564,'🙎‍♂️ Pasien'!$G$5:$G1508,'🙎‍♂️ Pasien'!$T$5:$T1508),"")</f>
        <v>SAKIT PINGGANG</v>
      </c>
      <c r="S564" s="104" t="str">
        <f t="array" ref="S564">ifna(xlookup(L564,'🙎‍♂️ Pasien'!$G$5:$G1508,'🙎‍♂️ Pasien'!$U$5:$U1508),"")</f>
        <v>BADMINTON</v>
      </c>
      <c r="T564" s="97" t="s">
        <v>59</v>
      </c>
      <c r="U564" s="105" t="s">
        <v>60</v>
      </c>
      <c r="V564" s="101"/>
      <c r="W564" s="106" t="b">
        <v>1</v>
      </c>
      <c r="X564" s="107"/>
      <c r="Y564" s="108"/>
    </row>
    <row r="565" ht="22.5" customHeight="1">
      <c r="A565" s="96"/>
      <c r="B565" s="97" t="s">
        <v>53</v>
      </c>
      <c r="C565" s="98" t="str">
        <f t="array" ref="C565">IFNA(XLOOKUP(J565,'⚙️ Pengaturan'!$H$5:$H1508,'⚙️ Pengaturan'!$I$5:$I1508),"")</f>
        <v>TIM A</v>
      </c>
      <c r="D565" s="97" t="s">
        <v>86</v>
      </c>
      <c r="E565" s="99">
        <v>45963.0</v>
      </c>
      <c r="F565" s="100" t="str">
        <f t="shared" si="1"/>
        <v>2025</v>
      </c>
      <c r="G565" s="100" t="str">
        <f t="shared" si="2"/>
        <v>11Nov</v>
      </c>
      <c r="H565" s="100" t="str">
        <f t="shared" si="3"/>
        <v>Minggu</v>
      </c>
      <c r="I565" s="97" t="s">
        <v>74</v>
      </c>
      <c r="J565" s="97" t="s">
        <v>79</v>
      </c>
      <c r="K565" s="97" t="s">
        <v>57</v>
      </c>
      <c r="L565" s="101" t="s">
        <v>429</v>
      </c>
      <c r="M565" s="102" t="str">
        <f>IFNA(VLOOKUP(L565,'🙎‍♂️ Pasien'!G:V,2,FALSE),"")</f>
        <v>A9925114514</v>
      </c>
      <c r="N565" s="103">
        <f>IFNA(VLOOKUP(L565,'🙎‍♂️ Pasien'!G:L,3,FALSE),"")</f>
        <v>26</v>
      </c>
      <c r="O565" s="104" t="str">
        <f>IFNA(VLOOKUP(L565,'🙎‍♂️ Pasien'!G:V,6,FALSE),"")</f>
        <v>PEREMPUAN</v>
      </c>
      <c r="P565" s="104" t="str">
        <f>IFNA(VLOOKUP(L565,'🙎‍♂️ Pasien'!G:V,12,FALSE),"")</f>
        <v>ISLAM</v>
      </c>
      <c r="Q565" s="104" t="str">
        <f>IFNA(VLOOKUP(L565:L1508,'🙎‍♂️ Pasien'!G:V,13,FALSE),"")</f>
        <v>PNS</v>
      </c>
      <c r="R565" s="104" t="str">
        <f t="array" ref="R565">ifna(xlookup(L565,'🙎‍♂️ Pasien'!$G$5:$G1508,'🙎‍♂️ Pasien'!$T$5:$T1508),"")</f>
        <v>JARI MANIS KANAN SAKIT</v>
      </c>
      <c r="S565" s="104" t="str">
        <f t="array" ref="S565">ifna(xlookup(L565,'🙎‍♂️ Pasien'!$G$5:$G1508,'🙎‍♂️ Pasien'!$U$5:$U1508),"")</f>
        <v>MAIN GADGET</v>
      </c>
      <c r="T565" s="97" t="s">
        <v>59</v>
      </c>
      <c r="U565" s="105" t="s">
        <v>60</v>
      </c>
      <c r="V565" s="101"/>
      <c r="W565" s="106" t="b">
        <v>1</v>
      </c>
      <c r="X565" s="107"/>
      <c r="Y565" s="108"/>
    </row>
    <row r="566" ht="22.5" customHeight="1">
      <c r="A566" s="96"/>
      <c r="B566" s="97" t="s">
        <v>53</v>
      </c>
      <c r="C566" s="98" t="str">
        <f t="array" ref="C566">IFNA(XLOOKUP(J566,'⚙️ Pengaturan'!$H$5:$H1508,'⚙️ Pengaturan'!$I$5:$I1508),"")</f>
        <v>TIM A</v>
      </c>
      <c r="D566" s="97" t="s">
        <v>86</v>
      </c>
      <c r="E566" s="99">
        <v>45963.0</v>
      </c>
      <c r="F566" s="100" t="str">
        <f t="shared" si="1"/>
        <v>2025</v>
      </c>
      <c r="G566" s="100" t="str">
        <f t="shared" si="2"/>
        <v>11Nov</v>
      </c>
      <c r="H566" s="100" t="str">
        <f t="shared" si="3"/>
        <v>Minggu</v>
      </c>
      <c r="I566" s="97" t="s">
        <v>74</v>
      </c>
      <c r="J566" s="97" t="s">
        <v>62</v>
      </c>
      <c r="K566" s="97" t="s">
        <v>63</v>
      </c>
      <c r="L566" s="101" t="s">
        <v>430</v>
      </c>
      <c r="M566" s="102" t="str">
        <f>IFNA(VLOOKUP(L566,'🙎‍♂️ Pasien'!G:V,2,FALSE),"")</f>
        <v>J5525063513</v>
      </c>
      <c r="N566" s="103">
        <f>IFNA(VLOOKUP(L566,'🙎‍♂️ Pasien'!G:L,3,FALSE),"")</f>
        <v>71</v>
      </c>
      <c r="O566" s="104" t="str">
        <f>IFNA(VLOOKUP(L566,'🙎‍♂️ Pasien'!G:V,6,FALSE),"")</f>
        <v>PEREMPUAN</v>
      </c>
      <c r="P566" s="104" t="str">
        <f>IFNA(VLOOKUP(L566,'🙎‍♂️ Pasien'!G:V,12,FALSE),"")</f>
        <v>KATOLIK</v>
      </c>
      <c r="Q566" s="104" t="str">
        <f>IFNA(VLOOKUP(L566:L1508,'🙎‍♂️ Pasien'!G:V,13,FALSE),"")</f>
        <v>IBU RUMAH TANGGA</v>
      </c>
      <c r="R566" s="104" t="str">
        <f t="array" ref="R566">ifna(xlookup(L566,'🙎‍♂️ Pasien'!$G$5:$G1508,'🙎‍♂️ Pasien'!$T$5:$T1508),"")</f>
        <v>BAGIAN PANTAT SAKIT</v>
      </c>
      <c r="S566" s="104" t="str">
        <f t="array" ref="S566">ifna(xlookup(L566,'🙎‍♂️ Pasien'!$G$5:$G1508,'🙎‍♂️ Pasien'!$U$5:$U1508),"")</f>
        <v>BARU OPERASI TULANG SUMSUNG BELAKANG KARENA SARAF KEJEPIT 1 BULAN LALU</v>
      </c>
      <c r="T566" s="97" t="s">
        <v>59</v>
      </c>
      <c r="U566" s="105">
        <v>1.0</v>
      </c>
      <c r="V566" s="101"/>
      <c r="W566" s="106" t="b">
        <v>1</v>
      </c>
      <c r="X566" s="107"/>
      <c r="Y566" s="108"/>
    </row>
    <row r="567" ht="22.5" customHeight="1">
      <c r="A567" s="96"/>
      <c r="B567" s="97" t="s">
        <v>53</v>
      </c>
      <c r="C567" s="98" t="str">
        <f t="array" ref="C567">IFNA(XLOOKUP(J567,'⚙️ Pengaturan'!$H$5:$H1508,'⚙️ Pengaturan'!$I$5:$I1508),"")</f>
        <v>TIM Y</v>
      </c>
      <c r="D567" s="97" t="s">
        <v>86</v>
      </c>
      <c r="E567" s="99">
        <v>45963.0</v>
      </c>
      <c r="F567" s="100" t="str">
        <f t="shared" si="1"/>
        <v>2025</v>
      </c>
      <c r="G567" s="100" t="str">
        <f t="shared" si="2"/>
        <v>11Nov</v>
      </c>
      <c r="H567" s="100" t="str">
        <f t="shared" si="3"/>
        <v>Minggu</v>
      </c>
      <c r="I567" s="97" t="s">
        <v>76</v>
      </c>
      <c r="J567" s="97" t="s">
        <v>56</v>
      </c>
      <c r="K567" s="97" t="s">
        <v>69</v>
      </c>
      <c r="L567" s="101" t="s">
        <v>431</v>
      </c>
      <c r="M567" s="102" t="str">
        <f>IFNA(VLOOKUP(L567,'🙎‍♂️ Pasien'!G:V,2,FALSE),"")</f>
        <v>A9924088313</v>
      </c>
      <c r="N567" s="103">
        <f>IFNA(VLOOKUP(L567,'🙎‍♂️ Pasien'!G:L,3,FALSE),"")</f>
        <v>26</v>
      </c>
      <c r="O567" s="104" t="str">
        <f>IFNA(VLOOKUP(L567,'🙎‍♂️ Pasien'!G:V,6,FALSE),"")</f>
        <v>LAKI-LAKI</v>
      </c>
      <c r="P567" s="104" t="str">
        <f>IFNA(VLOOKUP(L567,'🙎‍♂️ Pasien'!G:V,12,FALSE),"")</f>
        <v>ISLAM</v>
      </c>
      <c r="Q567" s="104" t="str">
        <f>IFNA(VLOOKUP(L567:L1508,'🙎‍♂️ Pasien'!G:V,13,FALSE),"")</f>
        <v>ASN</v>
      </c>
      <c r="R567" s="104" t="str">
        <f t="array" ref="R567">ifna(xlookup(L567,'🙎‍♂️ Pasien'!$G$5:$G1508,'🙎‍♂️ Pasien'!$T$5:$T1508),"")</f>
        <v>Acl</v>
      </c>
      <c r="S567" s="104" t="str">
        <f t="array" ref="S567">ifna(xlookup(L567,'🙎‍♂️ Pasien'!$G$5:$G1508,'🙎‍♂️ Pasien'!$U$5:$U1508),"")</f>
        <v>Futsal sepakbola running</v>
      </c>
      <c r="T567" s="97" t="s">
        <v>59</v>
      </c>
      <c r="U567" s="105" t="s">
        <v>60</v>
      </c>
      <c r="V567" s="101"/>
      <c r="W567" s="106" t="b">
        <v>1</v>
      </c>
      <c r="X567" s="107"/>
      <c r="Y567" s="108"/>
    </row>
    <row r="568" ht="22.5" customHeight="1">
      <c r="A568" s="96"/>
      <c r="B568" s="97" t="s">
        <v>53</v>
      </c>
      <c r="C568" s="98" t="str">
        <f t="array" ref="C568">IFNA(XLOOKUP(J568,'⚙️ Pengaturan'!$H$5:$H1508,'⚙️ Pengaturan'!$I$5:$I1508),"")</f>
        <v>TIM A</v>
      </c>
      <c r="D568" s="97" t="s">
        <v>86</v>
      </c>
      <c r="E568" s="99">
        <v>45963.0</v>
      </c>
      <c r="F568" s="100" t="str">
        <f t="shared" si="1"/>
        <v>2025</v>
      </c>
      <c r="G568" s="100" t="str">
        <f t="shared" si="2"/>
        <v>11Nov</v>
      </c>
      <c r="H568" s="100" t="str">
        <f t="shared" si="3"/>
        <v>Minggu</v>
      </c>
      <c r="I568" s="97" t="s">
        <v>76</v>
      </c>
      <c r="J568" s="97" t="s">
        <v>79</v>
      </c>
      <c r="K568" s="97" t="s">
        <v>63</v>
      </c>
      <c r="L568" s="101" t="s">
        <v>432</v>
      </c>
      <c r="M568" s="102" t="str">
        <f>IFNA(VLOOKUP(L568,'🙎‍♂️ Pasien'!G:V,2,FALSE),"")</f>
        <v>S5925098785</v>
      </c>
      <c r="N568" s="103">
        <f>IFNA(VLOOKUP(L568,'🙎‍♂️ Pasien'!G:L,3,FALSE),"")</f>
        <v>66</v>
      </c>
      <c r="O568" s="104" t="str">
        <f>IFNA(VLOOKUP(L568,'🙎‍♂️ Pasien'!G:V,6,FALSE),"")</f>
        <v>PEREMPUAN</v>
      </c>
      <c r="P568" s="104" t="str">
        <f>IFNA(VLOOKUP(L568,'🙎‍♂️ Pasien'!G:V,12,FALSE),"")</f>
        <v>PROTESTAN</v>
      </c>
      <c r="Q568" s="104" t="str">
        <f>IFNA(VLOOKUP(L568:L1508,'🙎‍♂️ Pasien'!G:V,13,FALSE),"")</f>
        <v>PENSIUNAN</v>
      </c>
      <c r="R568" s="104" t="str">
        <f t="array" ref="R568">ifna(xlookup(L568,'🙎‍♂️ Pasien'!$G$5:$G1508,'🙎‍♂️ Pasien'!$T$5:$T1508),"")</f>
        <v>LUTUT NYERI</v>
      </c>
      <c r="S568" s="104" t="str">
        <f t="array" ref="S568">ifna(xlookup(L568,'🙎‍♂️ Pasien'!$G$5:$G1508,'🙎‍♂️ Pasien'!$U$5:$U1508),"")</f>
        <v>MEMBERSIHKAN RUMAH DAN MENGANGKAT ORANG SAKIT</v>
      </c>
      <c r="T568" s="97" t="s">
        <v>59</v>
      </c>
      <c r="U568" s="105">
        <v>2.0</v>
      </c>
      <c r="V568" s="101"/>
      <c r="W568" s="106" t="b">
        <v>1</v>
      </c>
      <c r="X568" s="107"/>
      <c r="Y568" s="108"/>
    </row>
    <row r="569" ht="22.5" customHeight="1">
      <c r="A569" s="96"/>
      <c r="B569" s="97" t="s">
        <v>53</v>
      </c>
      <c r="C569" s="98" t="str">
        <f t="array" ref="C569">IFNA(XLOOKUP(J569,'⚙️ Pengaturan'!$H$5:$H1508,'⚙️ Pengaturan'!$I$5:$I1508),"")</f>
        <v>TIM Y</v>
      </c>
      <c r="D569" s="97" t="s">
        <v>86</v>
      </c>
      <c r="E569" s="99">
        <v>45963.0</v>
      </c>
      <c r="F569" s="100" t="str">
        <f t="shared" si="1"/>
        <v>2025</v>
      </c>
      <c r="G569" s="100" t="str">
        <f t="shared" si="2"/>
        <v>11Nov</v>
      </c>
      <c r="H569" s="100" t="str">
        <f t="shared" si="3"/>
        <v>Minggu</v>
      </c>
      <c r="I569" s="97" t="s">
        <v>83</v>
      </c>
      <c r="J569" s="97" t="s">
        <v>56</v>
      </c>
      <c r="K569" s="97" t="s">
        <v>69</v>
      </c>
      <c r="L569" s="101" t="s">
        <v>264</v>
      </c>
      <c r="M569" s="102" t="str">
        <f>IFNA(VLOOKUP(L569,'🙎‍♂️ Pasien'!G:V,2,FALSE),"")</f>
        <v>A9625083700</v>
      </c>
      <c r="N569" s="103">
        <f>IFNA(VLOOKUP(L569,'🙎‍♂️ Pasien'!G:L,3,FALSE),"")</f>
        <v>29</v>
      </c>
      <c r="O569" s="104" t="str">
        <f>IFNA(VLOOKUP(L569,'🙎‍♂️ Pasien'!G:V,6,FALSE),"")</f>
        <v>LAKI-LAKI</v>
      </c>
      <c r="P569" s="104" t="str">
        <f>IFNA(VLOOKUP(L569,'🙎‍♂️ Pasien'!G:V,12,FALSE),"")</f>
        <v>ISLAM</v>
      </c>
      <c r="Q569" s="104" t="str">
        <f>IFNA(VLOOKUP(L569:L1508,'🙎‍♂️ Pasien'!G:V,13,FALSE),"")</f>
        <v>KARYAWAN SWASTA</v>
      </c>
      <c r="R569" s="104" t="str">
        <f t="array" ref="R569">ifna(xlookup(L569,'🙎‍♂️ Pasien'!$G$5:$G1508,'🙎‍♂️ Pasien'!$T$5:$T1508),"")</f>
        <v>LUTUT TIDAK BISA DI TEKUK</v>
      </c>
      <c r="S569" s="104" t="str">
        <f t="array" ref="S569">ifna(xlookup(L569,'🙎‍♂️ Pasien'!$G$5:$G1508,'🙎‍♂️ Pasien'!$U$5:$U1508),"")</f>
        <v>MAIN BOLA</v>
      </c>
      <c r="T569" s="97" t="s">
        <v>59</v>
      </c>
      <c r="U569" s="105" t="s">
        <v>60</v>
      </c>
      <c r="V569" s="101"/>
      <c r="W569" s="106" t="b">
        <v>1</v>
      </c>
      <c r="X569" s="107"/>
      <c r="Y569" s="108"/>
    </row>
    <row r="570" ht="22.5" customHeight="1">
      <c r="A570" s="96"/>
      <c r="B570" s="97" t="s">
        <v>53</v>
      </c>
      <c r="C570" s="98" t="str">
        <f t="array" ref="C570">IFNA(XLOOKUP(J570,'⚙️ Pengaturan'!$H$5:$H1508,'⚙️ Pengaturan'!$I$5:$I1508),"")</f>
        <v>MANAJEMEN</v>
      </c>
      <c r="D570" s="97" t="s">
        <v>86</v>
      </c>
      <c r="E570" s="99">
        <v>45963.0</v>
      </c>
      <c r="F570" s="100" t="str">
        <f t="shared" si="1"/>
        <v>2025</v>
      </c>
      <c r="G570" s="100" t="str">
        <f t="shared" si="2"/>
        <v>11Nov</v>
      </c>
      <c r="H570" s="100" t="str">
        <f t="shared" si="3"/>
        <v>Minggu</v>
      </c>
      <c r="I570" s="97" t="s">
        <v>83</v>
      </c>
      <c r="J570" s="97" t="s">
        <v>101</v>
      </c>
      <c r="K570" s="97" t="s">
        <v>63</v>
      </c>
      <c r="L570" s="101" t="s">
        <v>203</v>
      </c>
      <c r="M570" s="102" t="str">
        <f>IFNA(VLOOKUP(L570,'🙎‍♂️ Pasien'!G:V,2,FALSE),"")</f>
        <v>R7723022907</v>
      </c>
      <c r="N570" s="103">
        <f>IFNA(VLOOKUP(L570,'🙎‍♂️ Pasien'!G:L,3,FALSE),"")</f>
        <v>48</v>
      </c>
      <c r="O570" s="104" t="str">
        <f>IFNA(VLOOKUP(L570,'🙎‍♂️ Pasien'!G:V,6,FALSE),"")</f>
        <v>PEREMPUAN</v>
      </c>
      <c r="P570" s="104" t="str">
        <f>IFNA(VLOOKUP(L570,'🙎‍♂️ Pasien'!G:V,12,FALSE),"")</f>
        <v>LAINNYA</v>
      </c>
      <c r="Q570" s="104" t="str">
        <f>IFNA(VLOOKUP(L570:L1508,'🙎‍♂️ Pasien'!G:V,13,FALSE),"")</f>
        <v>RUMAH TANGGA</v>
      </c>
      <c r="R570" s="104" t="str">
        <f t="array" ref="R570">ifna(xlookup(L570,'🙎‍♂️ Pasien'!$G$5:$G1508,'🙎‍♂️ Pasien'!$T$5:$T1508),"")</f>
        <v>TULANG EKOR</v>
      </c>
      <c r="S570" s="104" t="str">
        <f t="array" ref="S570">ifna(xlookup(L570,'🙎‍♂️ Pasien'!$G$5:$G1508,'🙎‍♂️ Pasien'!$U$5:$U1508),"")</f>
        <v>LARI</v>
      </c>
      <c r="T570" s="97" t="s">
        <v>59</v>
      </c>
      <c r="U570" s="105">
        <v>3.0</v>
      </c>
      <c r="V570" s="101"/>
      <c r="W570" s="106" t="b">
        <v>1</v>
      </c>
      <c r="X570" s="107"/>
      <c r="Y570" s="108"/>
    </row>
    <row r="571" ht="22.5" customHeight="1">
      <c r="A571" s="96"/>
      <c r="B571" s="97" t="s">
        <v>85</v>
      </c>
      <c r="C571" s="98" t="str">
        <f t="array" ref="C571">IFNA(XLOOKUP(J571,'⚙️ Pengaturan'!$H$5:$H1508,'⚙️ Pengaturan'!$I$5:$I1508),"")</f>
        <v>TIM Y</v>
      </c>
      <c r="D571" s="97" t="s">
        <v>54</v>
      </c>
      <c r="E571" s="99">
        <v>45963.0</v>
      </c>
      <c r="F571" s="100" t="str">
        <f t="shared" si="1"/>
        <v>2025</v>
      </c>
      <c r="G571" s="100" t="str">
        <f t="shared" si="2"/>
        <v>11Nov</v>
      </c>
      <c r="H571" s="100" t="str">
        <f t="shared" si="3"/>
        <v>Minggu</v>
      </c>
      <c r="I571" s="97" t="s">
        <v>87</v>
      </c>
      <c r="J571" s="97" t="s">
        <v>107</v>
      </c>
      <c r="K571" s="97" t="s">
        <v>63</v>
      </c>
      <c r="L571" s="101" t="s">
        <v>257</v>
      </c>
      <c r="M571" s="102" t="str">
        <f>IFNA(VLOOKUP(L571,'🙎‍♂️ Pasien'!G:V,2,FALSE),"")</f>
        <v>A1025102304</v>
      </c>
      <c r="N571" s="103">
        <f>IFNA(VLOOKUP(L571,'🙎‍♂️ Pasien'!G:L,3,FALSE),"")</f>
        <v>16</v>
      </c>
      <c r="O571" s="104" t="str">
        <f>IFNA(VLOOKUP(L571,'🙎‍♂️ Pasien'!G:V,6,FALSE),"")</f>
        <v>LAKI-LAKI</v>
      </c>
      <c r="P571" s="104" t="str">
        <f>IFNA(VLOOKUP(L571,'🙎‍♂️ Pasien'!G:V,12,FALSE),"")</f>
        <v>PROTESTAN</v>
      </c>
      <c r="Q571" s="104" t="str">
        <f>IFNA(VLOOKUP(L571:L1508,'🙎‍♂️ Pasien'!G:V,13,FALSE),"")</f>
        <v>PELAJAR</v>
      </c>
      <c r="R571" s="104" t="str">
        <f t="array" ref="R571">ifna(xlookup(L571,'🙎‍♂️ Pasien'!$G$5:$G1508,'🙎‍♂️ Pasien'!$T$5:$T1508),"")</f>
        <v>NYERI SENDI KAKI</v>
      </c>
      <c r="S571" s="104" t="str">
        <f t="array" ref="S571">ifna(xlookup(L571,'🙎‍♂️ Pasien'!$G$5:$G1508,'🙎‍♂️ Pasien'!$U$5:$U1508),"")</f>
        <v>OLAHRAGA, NAIK TURUN TANGGA</v>
      </c>
      <c r="T571" s="97" t="s">
        <v>59</v>
      </c>
      <c r="U571" s="105">
        <v>1.0</v>
      </c>
      <c r="V571" s="101"/>
      <c r="W571" s="106" t="b">
        <v>1</v>
      </c>
      <c r="X571" s="107"/>
      <c r="Y571" s="108"/>
    </row>
    <row r="572" ht="22.5" customHeight="1">
      <c r="A572" s="96"/>
      <c r="B572" s="97" t="s">
        <v>85</v>
      </c>
      <c r="C572" s="98" t="str">
        <f t="array" ref="C572">IFNA(XLOOKUP(J572,'⚙️ Pengaturan'!$H$5:$H1508,'⚙️ Pengaturan'!$I$5:$I1508),"")</f>
        <v>TIM A</v>
      </c>
      <c r="D572" s="97" t="s">
        <v>54</v>
      </c>
      <c r="E572" s="99">
        <v>45963.0</v>
      </c>
      <c r="F572" s="100" t="str">
        <f t="shared" si="1"/>
        <v>2025</v>
      </c>
      <c r="G572" s="100" t="str">
        <f t="shared" si="2"/>
        <v>11Nov</v>
      </c>
      <c r="H572" s="100" t="str">
        <f t="shared" si="3"/>
        <v>Minggu</v>
      </c>
      <c r="I572" s="97" t="s">
        <v>87</v>
      </c>
      <c r="J572" s="97" t="s">
        <v>72</v>
      </c>
      <c r="K572" s="97" t="s">
        <v>57</v>
      </c>
      <c r="L572" s="101" t="s">
        <v>433</v>
      </c>
      <c r="M572" s="102" t="str">
        <f>IFNA(VLOOKUP(L572,'🙎‍♂️ Pasien'!G:V,2,FALSE),"")</f>
        <v>M9825114498</v>
      </c>
      <c r="N572" s="103">
        <f>IFNA(VLOOKUP(L572,'🙎‍♂️ Pasien'!G:L,3,FALSE),"")</f>
        <v>27</v>
      </c>
      <c r="O572" s="104" t="str">
        <f>IFNA(VLOOKUP(L572,'🙎‍♂️ Pasien'!G:V,6,FALSE),"")</f>
        <v>PEREMPUAN</v>
      </c>
      <c r="P572" s="104" t="str">
        <f>IFNA(VLOOKUP(L572,'🙎‍♂️ Pasien'!G:V,12,FALSE),"")</f>
        <v>ISLAM</v>
      </c>
      <c r="Q572" s="104" t="str">
        <f>IFNA(VLOOKUP(L572:L1508,'🙎‍♂️ Pasien'!G:V,13,FALSE),"")</f>
        <v>PNS</v>
      </c>
      <c r="R572" s="104" t="str">
        <f t="array" ref="R572">ifna(xlookup(L572,'🙎‍♂️ Pasien'!$G$5:$G1508,'🙎‍♂️ Pasien'!$T$5:$T1508),"")</f>
        <v>KAKI BENGKAK SETELAH KECELAKAAN DAN BELUM BISA DIBENGKOKKAN</v>
      </c>
      <c r="S572" s="104" t="str">
        <f t="array" ref="S572">ifna(xlookup(L572,'🙎‍♂️ Pasien'!$G$5:$G1508,'🙎‍♂️ Pasien'!$U$5:$U1508),"")</f>
        <v>MENGAJAR DAN HARUS NAIK TANGGA</v>
      </c>
      <c r="T572" s="97" t="s">
        <v>59</v>
      </c>
      <c r="U572" s="105" t="s">
        <v>60</v>
      </c>
      <c r="V572" s="101"/>
      <c r="W572" s="106" t="b">
        <v>1</v>
      </c>
      <c r="X572" s="107"/>
      <c r="Y572" s="108"/>
    </row>
    <row r="573" ht="22.5" customHeight="1">
      <c r="A573" s="96"/>
      <c r="B573" s="97" t="s">
        <v>85</v>
      </c>
      <c r="C573" s="98" t="str">
        <f t="array" ref="C573">IFNA(XLOOKUP(J573,'⚙️ Pengaturan'!$H$5:$H1508,'⚙️ Pengaturan'!$I$5:$I1508),"")</f>
        <v>TIM A</v>
      </c>
      <c r="D573" s="97" t="s">
        <v>54</v>
      </c>
      <c r="E573" s="99">
        <v>45963.0</v>
      </c>
      <c r="F573" s="100" t="str">
        <f t="shared" si="1"/>
        <v>2025</v>
      </c>
      <c r="G573" s="100" t="str">
        <f t="shared" si="2"/>
        <v>11Nov</v>
      </c>
      <c r="H573" s="100" t="str">
        <f t="shared" si="3"/>
        <v>Minggu</v>
      </c>
      <c r="I573" s="97" t="s">
        <v>93</v>
      </c>
      <c r="J573" s="97" t="s">
        <v>72</v>
      </c>
      <c r="K573" s="97" t="s">
        <v>63</v>
      </c>
      <c r="L573" s="101" t="s">
        <v>129</v>
      </c>
      <c r="M573" s="102" t="str">
        <f>IFNA(VLOOKUP(L573,'🙎‍♂️ Pasien'!G:V,2,FALSE),"")</f>
        <v>D1025091558</v>
      </c>
      <c r="N573" s="103">
        <f>IFNA(VLOOKUP(L573,'🙎‍♂️ Pasien'!G:L,3,FALSE),"")</f>
        <v>16</v>
      </c>
      <c r="O573" s="104" t="str">
        <f>IFNA(VLOOKUP(L573,'🙎‍♂️ Pasien'!G:V,6,FALSE),"")</f>
        <v>LAKI-LAKI</v>
      </c>
      <c r="P573" s="104" t="str">
        <f>IFNA(VLOOKUP(L573,'🙎‍♂️ Pasien'!G:V,12,FALSE),"")</f>
        <v>PROTESTAN</v>
      </c>
      <c r="Q573" s="104" t="str">
        <f>IFNA(VLOOKUP(L573:L1508,'🙎‍♂️ Pasien'!G:V,13,FALSE),"")</f>
        <v>MASI SEKOLAH</v>
      </c>
      <c r="R573" s="104" t="str">
        <f t="array" ref="R573">ifna(xlookup(L573,'🙎‍♂️ Pasien'!$G$5:$G1508,'🙎‍♂️ Pasien'!$T$5:$T1508),"")</f>
        <v>SAKIT DI BAGIAN LUTUT</v>
      </c>
      <c r="S573" s="104" t="str">
        <f t="array" ref="S573">ifna(xlookup(L573,'🙎‍♂️ Pasien'!$G$5:$G1508,'🙎‍♂️ Pasien'!$U$5:$U1508),"")</f>
        <v>BASKET</v>
      </c>
      <c r="T573" s="97" t="s">
        <v>59</v>
      </c>
      <c r="U573" s="105">
        <v>5.0</v>
      </c>
      <c r="V573" s="101"/>
      <c r="W573" s="106" t="b">
        <v>1</v>
      </c>
      <c r="X573" s="107"/>
      <c r="Y573" s="108"/>
    </row>
    <row r="574" ht="22.5" customHeight="1">
      <c r="A574" s="96"/>
      <c r="B574" s="97" t="s">
        <v>85</v>
      </c>
      <c r="C574" s="98" t="str">
        <f t="array" ref="C574">IFNA(XLOOKUP(J574,'⚙️ Pengaturan'!$H$5:$H1508,'⚙️ Pengaturan'!$I$5:$I1508),"")</f>
        <v>TIM Y</v>
      </c>
      <c r="D574" s="97" t="s">
        <v>54</v>
      </c>
      <c r="E574" s="99">
        <v>45963.0</v>
      </c>
      <c r="F574" s="100" t="str">
        <f t="shared" si="1"/>
        <v>2025</v>
      </c>
      <c r="G574" s="100" t="str">
        <f t="shared" si="2"/>
        <v>11Nov</v>
      </c>
      <c r="H574" s="100" t="str">
        <f t="shared" si="3"/>
        <v>Minggu</v>
      </c>
      <c r="I574" s="97" t="s">
        <v>95</v>
      </c>
      <c r="J574" s="97" t="s">
        <v>88</v>
      </c>
      <c r="K574" s="97" t="s">
        <v>63</v>
      </c>
      <c r="L574" s="101" t="s">
        <v>389</v>
      </c>
      <c r="M574" s="102" t="str">
        <f>IFNA(VLOOKUP(L574,'🙎‍♂️ Pasien'!G:V,2,FALSE),"")</f>
        <v>A0825042223</v>
      </c>
      <c r="N574" s="103">
        <f>IFNA(VLOOKUP(L574,'🙎‍♂️ Pasien'!G:L,3,FALSE),"")</f>
        <v>18</v>
      </c>
      <c r="O574" s="104" t="str">
        <f>IFNA(VLOOKUP(L574,'🙎‍♂️ Pasien'!G:V,6,FALSE),"")</f>
        <v>LAKI-LAKI</v>
      </c>
      <c r="P574" s="104" t="str">
        <f>IFNA(VLOOKUP(L574,'🙎‍♂️ Pasien'!G:V,12,FALSE),"")</f>
        <v>ISLAM</v>
      </c>
      <c r="Q574" s="104" t="str">
        <f>IFNA(VLOOKUP(L574:L1508,'🙎‍♂️ Pasien'!G:V,13,FALSE),"")</f>
        <v>PELAJAR</v>
      </c>
      <c r="R574" s="104" t="str">
        <f t="array" ref="R574">ifna(xlookup(L574,'🙎‍♂️ Pasien'!$G$5:$G1508,'🙎‍♂️ Pasien'!$T$5:$T1508),"")</f>
        <v>NDA BISA MENGANGKAT BEBAN BERAT DI BAGIAN SIKU TANGAN KIRI</v>
      </c>
      <c r="S574" s="104" t="str">
        <f t="array" ref="S574">ifna(xlookup(L574,'🙎‍♂️ Pasien'!$G$5:$G1508,'🙎‍♂️ Pasien'!$U$5:$U1508),"")</f>
        <v>OLAHRAGA</v>
      </c>
      <c r="T574" s="97" t="s">
        <v>59</v>
      </c>
      <c r="U574" s="105">
        <v>3.0</v>
      </c>
      <c r="V574" s="101"/>
      <c r="W574" s="106" t="b">
        <v>1</v>
      </c>
      <c r="X574" s="107"/>
      <c r="Y574" s="108"/>
    </row>
    <row r="575" ht="22.5" customHeight="1">
      <c r="A575" s="96"/>
      <c r="B575" s="97" t="s">
        <v>85</v>
      </c>
      <c r="C575" s="98" t="str">
        <f t="array" ref="C575">IFNA(XLOOKUP(J575,'⚙️ Pengaturan'!$H$5:$H1508,'⚙️ Pengaturan'!$I$5:$I1508),"")</f>
        <v>TIM Y</v>
      </c>
      <c r="D575" s="97" t="s">
        <v>54</v>
      </c>
      <c r="E575" s="99">
        <v>45963.0</v>
      </c>
      <c r="F575" s="100" t="str">
        <f t="shared" si="1"/>
        <v>2025</v>
      </c>
      <c r="G575" s="100" t="str">
        <f t="shared" si="2"/>
        <v>11Nov</v>
      </c>
      <c r="H575" s="100" t="str">
        <f t="shared" si="3"/>
        <v>Minggu</v>
      </c>
      <c r="I575" s="97" t="s">
        <v>95</v>
      </c>
      <c r="J575" s="97" t="s">
        <v>107</v>
      </c>
      <c r="K575" s="97" t="s">
        <v>57</v>
      </c>
      <c r="L575" s="101" t="s">
        <v>434</v>
      </c>
      <c r="M575" s="102" t="str">
        <f>IFNA(VLOOKUP(L575,'🙎‍♂️ Pasien'!G:V,2,FALSE),"")</f>
        <v>A9326025869</v>
      </c>
      <c r="N575" s="103">
        <f>IFNA(VLOOKUP(L575,'🙎‍♂️ Pasien'!G:L,3,FALSE),"")</f>
        <v>32</v>
      </c>
      <c r="O575" s="104" t="str">
        <f>IFNA(VLOOKUP(L575,'🙎‍♂️ Pasien'!G:V,6,FALSE),"")</f>
        <v>LAKI-LAKI</v>
      </c>
      <c r="P575" s="104" t="str">
        <f>IFNA(VLOOKUP(L575,'🙎‍♂️ Pasien'!G:V,12,FALSE),"")</f>
        <v>KATOLIK</v>
      </c>
      <c r="Q575" s="104" t="str">
        <f>IFNA(VLOOKUP(L575:L1508,'🙎‍♂️ Pasien'!G:V,13,FALSE),"")</f>
        <v>SALES</v>
      </c>
      <c r="R575" s="104" t="str">
        <f t="array" ref="R575">ifna(xlookup(L575,'🙎‍♂️ Pasien'!$G$5:$G1508,'🙎‍♂️ Pasien'!$T$5:$T1508),"")</f>
        <v>TENDON ACHILES</v>
      </c>
      <c r="S575" s="104" t="str">
        <f t="array" ref="S575">ifna(xlookup(L575,'🙎‍♂️ Pasien'!$G$5:$G1508,'🙎‍♂️ Pasien'!$U$5:$U1508),"")</f>
        <v>BOLA</v>
      </c>
      <c r="T575" s="97" t="s">
        <v>59</v>
      </c>
      <c r="U575" s="105" t="s">
        <v>60</v>
      </c>
      <c r="V575" s="101"/>
      <c r="W575" s="106" t="b">
        <v>1</v>
      </c>
      <c r="X575" s="107"/>
      <c r="Y575" s="108"/>
    </row>
    <row r="576" ht="22.5" customHeight="1">
      <c r="A576" s="96"/>
      <c r="B576" s="97" t="s">
        <v>85</v>
      </c>
      <c r="C576" s="98" t="str">
        <f t="array" ref="C576">IFNA(XLOOKUP(J576,'⚙️ Pengaturan'!$H$5:$H1508,'⚙️ Pengaturan'!$I$5:$I1508),"")</f>
        <v>TIM Y</v>
      </c>
      <c r="D576" s="97" t="s">
        <v>54</v>
      </c>
      <c r="E576" s="99">
        <v>45963.0</v>
      </c>
      <c r="F576" s="100" t="str">
        <f t="shared" si="1"/>
        <v>2025</v>
      </c>
      <c r="G576" s="100" t="str">
        <f t="shared" si="2"/>
        <v>11Nov</v>
      </c>
      <c r="H576" s="100" t="str">
        <f t="shared" si="3"/>
        <v>Minggu</v>
      </c>
      <c r="I576" s="97" t="s">
        <v>97</v>
      </c>
      <c r="J576" s="97" t="s">
        <v>88</v>
      </c>
      <c r="K576" s="97" t="s">
        <v>63</v>
      </c>
      <c r="L576" s="101" t="s">
        <v>417</v>
      </c>
      <c r="M576" s="102" t="str">
        <f>IFNA(VLOOKUP(L576,'🙎‍♂️ Pasien'!G:V,2,FALSE),"")</f>
        <v>F0225102200</v>
      </c>
      <c r="N576" s="103">
        <f>IFNA(VLOOKUP(L576,'🙎‍♂️ Pasien'!G:L,3,FALSE),"")</f>
        <v>23</v>
      </c>
      <c r="O576" s="104" t="str">
        <f>IFNA(VLOOKUP(L576,'🙎‍♂️ Pasien'!G:V,6,FALSE),"")</f>
        <v>LAKI-LAKI</v>
      </c>
      <c r="P576" s="104" t="str">
        <f>IFNA(VLOOKUP(L576,'🙎‍♂️ Pasien'!G:V,12,FALSE),"")</f>
        <v>ISLAM</v>
      </c>
      <c r="Q576" s="104" t="str">
        <f>IFNA(VLOOKUP(L576:L1508,'🙎‍♂️ Pasien'!G:V,13,FALSE),"")</f>
        <v>WIRASWASTA</v>
      </c>
      <c r="R576" s="104" t="str">
        <f t="array" ref="R576">ifna(xlookup(L576,'🙎‍♂️ Pasien'!$G$5:$G1508,'🙎‍♂️ Pasien'!$T$5:$T1508),"")</f>
        <v>SCOLIOSIS, SAKIT SAAT BERDIRI/DUDUK LAMA</v>
      </c>
      <c r="S576" s="104" t="str">
        <f t="array" ref="S576">ifna(xlookup(L576,'🙎‍♂️ Pasien'!$G$5:$G1508,'🙎‍♂️ Pasien'!$U$5:$U1508),"")</f>
        <v>KERJA DI LAPANGAN, LARI</v>
      </c>
      <c r="T576" s="97" t="s">
        <v>59</v>
      </c>
      <c r="U576" s="105">
        <v>1.0</v>
      </c>
      <c r="V576" s="101"/>
      <c r="W576" s="106" t="b">
        <v>1</v>
      </c>
      <c r="X576" s="107"/>
      <c r="Y576" s="108"/>
    </row>
    <row r="577" ht="22.5" customHeight="1">
      <c r="A577" s="96"/>
      <c r="B577" s="97" t="s">
        <v>85</v>
      </c>
      <c r="C577" s="98" t="str">
        <f t="array" ref="C577">IFNA(XLOOKUP(J577,'⚙️ Pengaturan'!$H$5:$H1508,'⚙️ Pengaturan'!$I$5:$I1508),"")</f>
        <v>TIM Y</v>
      </c>
      <c r="D577" s="97" t="s">
        <v>54</v>
      </c>
      <c r="E577" s="99">
        <v>45963.0</v>
      </c>
      <c r="F577" s="100" t="str">
        <f t="shared" si="1"/>
        <v>2025</v>
      </c>
      <c r="G577" s="100" t="str">
        <f t="shared" si="2"/>
        <v>11Nov</v>
      </c>
      <c r="H577" s="100" t="str">
        <f t="shared" si="3"/>
        <v>Minggu</v>
      </c>
      <c r="I577" s="97" t="s">
        <v>97</v>
      </c>
      <c r="J577" s="97" t="s">
        <v>107</v>
      </c>
      <c r="K577" s="97" t="s">
        <v>57</v>
      </c>
      <c r="L577" s="101" t="s">
        <v>435</v>
      </c>
      <c r="M577" s="102" t="str">
        <f>IFNA(VLOOKUP(L577,'🙎‍♂️ Pasien'!G:V,2,FALSE),"")</f>
        <v>L6524043399</v>
      </c>
      <c r="N577" s="103">
        <f>IFNA(VLOOKUP(L577,'🙎‍♂️ Pasien'!G:L,3,FALSE),"")</f>
        <v>60</v>
      </c>
      <c r="O577" s="104" t="str">
        <f>IFNA(VLOOKUP(L577,'🙎‍♂️ Pasien'!G:V,6,FALSE),"")</f>
        <v>PEREMPUAN</v>
      </c>
      <c r="P577" s="104" t="str">
        <f>IFNA(VLOOKUP(L577,'🙎‍♂️ Pasien'!G:V,12,FALSE),"")</f>
        <v>ISLAM</v>
      </c>
      <c r="Q577" s="104" t="str">
        <f>IFNA(VLOOKUP(L577:L1508,'🙎‍♂️ Pasien'!G:V,13,FALSE),"")</f>
        <v>RUMAH TANGGA</v>
      </c>
      <c r="R577" s="104" t="str">
        <f t="array" ref="R577">ifna(xlookup(L577,'🙎‍♂️ Pasien'!$G$5:$G1508,'🙎‍♂️ Pasien'!$T$5:$T1508),"")</f>
        <v>Sakit dibagian</v>
      </c>
      <c r="S577" s="104" t="str">
        <f t="array" ref="S577">ifna(xlookup(L577,'🙎‍♂️ Pasien'!$G$5:$G1508,'🙎‍♂️ Pasien'!$U$5:$U1508),"")</f>
        <v>Olahraga</v>
      </c>
      <c r="T577" s="97" t="s">
        <v>59</v>
      </c>
      <c r="U577" s="105" t="s">
        <v>60</v>
      </c>
      <c r="V577" s="101"/>
      <c r="W577" s="106" t="b">
        <v>1</v>
      </c>
      <c r="X577" s="107"/>
      <c r="Y577" s="108"/>
    </row>
    <row r="578" ht="22.5" customHeight="1">
      <c r="A578" s="96"/>
      <c r="B578" s="97" t="s">
        <v>85</v>
      </c>
      <c r="C578" s="98" t="str">
        <f t="array" ref="C578">IFNA(XLOOKUP(J578,'⚙️ Pengaturan'!$H$5:$H1508,'⚙️ Pengaturan'!$I$5:$I1508),"")</f>
        <v>TIM Y</v>
      </c>
      <c r="D578" s="97" t="s">
        <v>54</v>
      </c>
      <c r="E578" s="99">
        <v>45963.0</v>
      </c>
      <c r="F578" s="100" t="str">
        <f t="shared" si="1"/>
        <v>2025</v>
      </c>
      <c r="G578" s="100" t="str">
        <f t="shared" si="2"/>
        <v>11Nov</v>
      </c>
      <c r="H578" s="100" t="str">
        <f t="shared" si="3"/>
        <v>Minggu</v>
      </c>
      <c r="I578" s="97" t="s">
        <v>99</v>
      </c>
      <c r="J578" s="97" t="s">
        <v>107</v>
      </c>
      <c r="K578" s="97" t="s">
        <v>57</v>
      </c>
      <c r="L578" s="101" t="s">
        <v>436</v>
      </c>
      <c r="M578" s="102" t="str">
        <f>IFNA(VLOOKUP(L578,'🙎‍♂️ Pasien'!G:V,2,FALSE),"")</f>
        <v>A9525119187</v>
      </c>
      <c r="N578" s="103">
        <f>IFNA(VLOOKUP(L578,'🙎‍♂️ Pasien'!G:L,3,FALSE),"")</f>
        <v>31</v>
      </c>
      <c r="O578" s="104" t="str">
        <f>IFNA(VLOOKUP(L578,'🙎‍♂️ Pasien'!G:V,6,FALSE),"")</f>
        <v>PEREMPUAN</v>
      </c>
      <c r="P578" s="104" t="str">
        <f>IFNA(VLOOKUP(L578,'🙎‍♂️ Pasien'!G:V,12,FALSE),"")</f>
        <v>ISLAM</v>
      </c>
      <c r="Q578" s="104" t="str">
        <f>IFNA(VLOOKUP(L578:L1508,'🙎‍♂️ Pasien'!G:V,13,FALSE),"")</f>
        <v>IRT</v>
      </c>
      <c r="R578" s="104" t="str">
        <f t="array" ref="R578">ifna(xlookup(L578,'🙎‍♂️ Pasien'!$G$5:$G1508,'🙎‍♂️ Pasien'!$T$5:$T1508),"")</f>
        <v>KEBAS TELAPAK KAKI DN TANGAN</v>
      </c>
      <c r="S578" s="104" t="str">
        <f t="array" ref="S578">ifna(xlookup(L578,'🙎‍♂️ Pasien'!$G$5:$G1508,'🙎‍♂️ Pasien'!$U$5:$U1508),"")</f>
        <v>MNGKIN PEKERJAAN YANG MENGANGKAT BARANG BERAT</v>
      </c>
      <c r="T578" s="97" t="s">
        <v>59</v>
      </c>
      <c r="U578" s="105">
        <v>1.0</v>
      </c>
      <c r="V578" s="101"/>
      <c r="W578" s="106" t="b">
        <v>1</v>
      </c>
      <c r="X578" s="107"/>
      <c r="Y578" s="108"/>
    </row>
    <row r="579" ht="22.5" customHeight="1">
      <c r="A579" s="96"/>
      <c r="B579" s="97" t="s">
        <v>85</v>
      </c>
      <c r="C579" s="98" t="str">
        <f t="array" ref="C579">IFNA(XLOOKUP(J579,'⚙️ Pengaturan'!$H$5:$H1508,'⚙️ Pengaturan'!$I$5:$I1508),"")</f>
        <v>TIM A</v>
      </c>
      <c r="D579" s="97" t="s">
        <v>54</v>
      </c>
      <c r="E579" s="99">
        <v>45963.0</v>
      </c>
      <c r="F579" s="100" t="str">
        <f t="shared" si="1"/>
        <v>2025</v>
      </c>
      <c r="G579" s="100" t="str">
        <f t="shared" si="2"/>
        <v>11Nov</v>
      </c>
      <c r="H579" s="100" t="str">
        <f t="shared" si="3"/>
        <v>Minggu</v>
      </c>
      <c r="I579" s="97" t="s">
        <v>99</v>
      </c>
      <c r="J579" s="97" t="s">
        <v>72</v>
      </c>
      <c r="K579" s="97" t="s">
        <v>63</v>
      </c>
      <c r="L579" s="101" t="s">
        <v>414</v>
      </c>
      <c r="M579" s="102" t="str">
        <f>IFNA(VLOOKUP(L579,'🙎‍♂️ Pasien'!G:V,2,FALSE),"")</f>
        <v>R8723125757</v>
      </c>
      <c r="N579" s="103">
        <f>IFNA(VLOOKUP(L579,'🙎‍♂️ Pasien'!G:L,3,FALSE),"")</f>
        <v>39</v>
      </c>
      <c r="O579" s="104" t="str">
        <f>IFNA(VLOOKUP(L579,'🙎‍♂️ Pasien'!G:V,6,FALSE),"")</f>
        <v>LAKI-LAKI</v>
      </c>
      <c r="P579" s="104" t="str">
        <f>IFNA(VLOOKUP(L579,'🙎‍♂️ Pasien'!G:V,12,FALSE),"")</f>
        <v>ISLAM</v>
      </c>
      <c r="Q579" s="104" t="str">
        <f>IFNA(VLOOKUP(L579:L1508,'🙎‍♂️ Pasien'!G:V,13,FALSE),"")</f>
        <v>SWASTA</v>
      </c>
      <c r="R579" s="104" t="str">
        <f t="array" ref="R579">ifna(xlookup(L579,'🙎‍♂️ Pasien'!$G$5:$G1508,'🙎‍♂️ Pasien'!$T$5:$T1508),"")</f>
        <v>Cidera</v>
      </c>
      <c r="S579" s="104" t="str">
        <f t="array" ref="S579">ifna(xlookup(L579,'🙎‍♂️ Pasien'!$G$5:$G1508,'🙎‍♂️ Pasien'!$U$5:$U1508),"")</f>
        <v>Olahraga</v>
      </c>
      <c r="T579" s="97" t="s">
        <v>59</v>
      </c>
      <c r="U579" s="105">
        <v>1.0</v>
      </c>
      <c r="V579" s="101"/>
      <c r="W579" s="106" t="b">
        <v>1</v>
      </c>
      <c r="X579" s="107"/>
      <c r="Y579" s="108"/>
    </row>
    <row r="580" ht="22.5" customHeight="1">
      <c r="A580" s="96"/>
      <c r="B580" s="97" t="s">
        <v>53</v>
      </c>
      <c r="C580" s="98" t="str">
        <f t="array" ref="C580">IFNA(XLOOKUP(J580,'⚙️ Pengaturan'!$H$5:$H1508,'⚙️ Pengaturan'!$I$5:$I1508),"")</f>
        <v>MANAJEMEN</v>
      </c>
      <c r="D580" s="97" t="s">
        <v>86</v>
      </c>
      <c r="E580" s="99">
        <v>45964.0</v>
      </c>
      <c r="F580" s="100" t="str">
        <f t="shared" si="1"/>
        <v>2025</v>
      </c>
      <c r="G580" s="100" t="str">
        <f t="shared" si="2"/>
        <v>11Nov</v>
      </c>
      <c r="H580" s="100" t="str">
        <f t="shared" si="3"/>
        <v>Senin</v>
      </c>
      <c r="I580" s="97" t="s">
        <v>55</v>
      </c>
      <c r="J580" s="97" t="s">
        <v>101</v>
      </c>
      <c r="K580" s="97" t="s">
        <v>63</v>
      </c>
      <c r="L580" s="101" t="s">
        <v>102</v>
      </c>
      <c r="M580" s="102" t="str">
        <f>IFNA(VLOOKUP(L580,'🙎‍♂️ Pasien'!G:V,2,FALSE),"")</f>
        <v>B8525075344</v>
      </c>
      <c r="N580" s="103">
        <f>IFNA(VLOOKUP(L580,'🙎‍♂️ Pasien'!G:L,3,FALSE),"")</f>
        <v>40</v>
      </c>
      <c r="O580" s="104" t="str">
        <f>IFNA(VLOOKUP(L580,'🙎‍♂️ Pasien'!G:V,6,FALSE),"")</f>
        <v>LAKI-LAKI</v>
      </c>
      <c r="P580" s="104" t="str">
        <f>IFNA(VLOOKUP(L580,'🙎‍♂️ Pasien'!G:V,12,FALSE),"")</f>
        <v>ISLAM</v>
      </c>
      <c r="Q580" s="104" t="str">
        <f>IFNA(VLOOKUP(L580:L1508,'🙎‍♂️ Pasien'!G:V,13,FALSE),"")</f>
        <v>WIRAUSAHA</v>
      </c>
      <c r="R580" s="104" t="str">
        <f t="array" ref="R580">ifna(xlookup(L580,'🙎‍♂️ Pasien'!$G$5:$G1508,'🙎‍♂️ Pasien'!$T$5:$T1508),"")</f>
        <v>NYERI LUTUT</v>
      </c>
      <c r="S580" s="104" t="str">
        <f t="array" ref="S580">ifna(xlookup(L580,'🙎‍♂️ Pasien'!$G$5:$G1508,'🙎‍♂️ Pasien'!$U$5:$U1508),"")</f>
        <v>JOGGING</v>
      </c>
      <c r="T580" s="97" t="s">
        <v>59</v>
      </c>
      <c r="U580" s="105">
        <v>8.0</v>
      </c>
      <c r="V580" s="101"/>
      <c r="W580" s="106" t="b">
        <v>1</v>
      </c>
      <c r="X580" s="107"/>
      <c r="Y580" s="108"/>
    </row>
    <row r="581" ht="22.5" customHeight="1">
      <c r="A581" s="96"/>
      <c r="B581" s="97" t="s">
        <v>53</v>
      </c>
      <c r="C581" s="98" t="str">
        <f t="array" ref="C581">IFNA(XLOOKUP(J581,'⚙️ Pengaturan'!$H$5:$H1508,'⚙️ Pengaturan'!$I$5:$I1508),"")</f>
        <v>TIM Y</v>
      </c>
      <c r="D581" s="97" t="s">
        <v>86</v>
      </c>
      <c r="E581" s="99">
        <v>45964.0</v>
      </c>
      <c r="F581" s="100" t="str">
        <f t="shared" si="1"/>
        <v>2025</v>
      </c>
      <c r="G581" s="100" t="str">
        <f t="shared" si="2"/>
        <v>11Nov</v>
      </c>
      <c r="H581" s="100" t="str">
        <f t="shared" si="3"/>
        <v>Senin</v>
      </c>
      <c r="I581" s="97" t="s">
        <v>65</v>
      </c>
      <c r="J581" s="97" t="s">
        <v>56</v>
      </c>
      <c r="K581" s="97" t="s">
        <v>69</v>
      </c>
      <c r="L581" s="101" t="s">
        <v>264</v>
      </c>
      <c r="M581" s="102" t="str">
        <f>IFNA(VLOOKUP(L581,'🙎‍♂️ Pasien'!G:V,2,FALSE),"")</f>
        <v>A9625083700</v>
      </c>
      <c r="N581" s="103">
        <f>IFNA(VLOOKUP(L581,'🙎‍♂️ Pasien'!G:L,3,FALSE),"")</f>
        <v>29</v>
      </c>
      <c r="O581" s="104" t="str">
        <f>IFNA(VLOOKUP(L581,'🙎‍♂️ Pasien'!G:V,6,FALSE),"")</f>
        <v>LAKI-LAKI</v>
      </c>
      <c r="P581" s="104" t="str">
        <f>IFNA(VLOOKUP(L581,'🙎‍♂️ Pasien'!G:V,12,FALSE),"")</f>
        <v>ISLAM</v>
      </c>
      <c r="Q581" s="104" t="str">
        <f>IFNA(VLOOKUP(L581:L1508,'🙎‍♂️ Pasien'!G:V,13,FALSE),"")</f>
        <v>KARYAWAN SWASTA</v>
      </c>
      <c r="R581" s="104" t="str">
        <f t="array" ref="R581">ifna(xlookup(L581,'🙎‍♂️ Pasien'!$G$5:$G1508,'🙎‍♂️ Pasien'!$T$5:$T1508),"")</f>
        <v>LUTUT TIDAK BISA DI TEKUK</v>
      </c>
      <c r="S581" s="104" t="str">
        <f t="array" ref="S581">ifna(xlookup(L581,'🙎‍♂️ Pasien'!$G$5:$G1508,'🙎‍♂️ Pasien'!$U$5:$U1508),"")</f>
        <v>MAIN BOLA</v>
      </c>
      <c r="T581" s="97" t="s">
        <v>59</v>
      </c>
      <c r="U581" s="105" t="s">
        <v>60</v>
      </c>
      <c r="V581" s="101"/>
      <c r="W581" s="106" t="b">
        <v>1</v>
      </c>
      <c r="X581" s="107"/>
      <c r="Y581" s="108"/>
    </row>
    <row r="582" ht="22.5" customHeight="1">
      <c r="A582" s="96"/>
      <c r="B582" s="97" t="s">
        <v>53</v>
      </c>
      <c r="C582" s="98" t="str">
        <f t="array" ref="C582">IFNA(XLOOKUP(J582,'⚙️ Pengaturan'!$H$5:$H1508,'⚙️ Pengaturan'!$I$5:$I1508),"")</f>
        <v>TIM A</v>
      </c>
      <c r="D582" s="97" t="s">
        <v>86</v>
      </c>
      <c r="E582" s="99">
        <v>45964.0</v>
      </c>
      <c r="F582" s="100" t="str">
        <f t="shared" si="1"/>
        <v>2025</v>
      </c>
      <c r="G582" s="100" t="str">
        <f t="shared" si="2"/>
        <v>11Nov</v>
      </c>
      <c r="H582" s="100" t="str">
        <f t="shared" si="3"/>
        <v>Senin</v>
      </c>
      <c r="I582" s="97" t="s">
        <v>65</v>
      </c>
      <c r="J582" s="97" t="s">
        <v>72</v>
      </c>
      <c r="K582" s="97" t="s">
        <v>57</v>
      </c>
      <c r="L582" s="101" t="s">
        <v>437</v>
      </c>
      <c r="M582" s="102" t="str">
        <f>IFNA(VLOOKUP(L582,'🙎‍♂️ Pasien'!G:V,2,FALSE),"")</f>
        <v>B0025116716</v>
      </c>
      <c r="N582" s="103">
        <f>IFNA(VLOOKUP(L582,'🙎‍♂️ Pasien'!G:L,3,FALSE),"")</f>
        <v>25</v>
      </c>
      <c r="O582" s="104" t="str">
        <f>IFNA(VLOOKUP(L582,'🙎‍♂️ Pasien'!G:V,6,FALSE),"")</f>
        <v>LAKI-LAKI</v>
      </c>
      <c r="P582" s="104" t="str">
        <f>IFNA(VLOOKUP(L582,'🙎‍♂️ Pasien'!G:V,12,FALSE),"")</f>
        <v>ISLAM</v>
      </c>
      <c r="Q582" s="104" t="str">
        <f>IFNA(VLOOKUP(L582:L1508,'🙎‍♂️ Pasien'!G:V,13,FALSE),"")</f>
        <v>PNS</v>
      </c>
      <c r="R582" s="104" t="str">
        <f t="array" ref="R582">ifna(xlookup(L582,'🙎‍♂️ Pasien'!$G$5:$G1508,'🙎‍♂️ Pasien'!$T$5:$T1508),"")</f>
        <v>KAKI</v>
      </c>
      <c r="S582" s="104" t="str">
        <f t="array" ref="S582">ifna(xlookup(L582,'🙎‍♂️ Pasien'!$G$5:$G1508,'🙎‍♂️ Pasien'!$U$5:$U1508),"")</f>
        <v>-</v>
      </c>
      <c r="T582" s="97" t="s">
        <v>59</v>
      </c>
      <c r="U582" s="105" t="s">
        <v>60</v>
      </c>
      <c r="V582" s="101"/>
      <c r="W582" s="106" t="b">
        <v>1</v>
      </c>
      <c r="X582" s="107"/>
      <c r="Y582" s="108"/>
    </row>
    <row r="583" ht="22.5" customHeight="1">
      <c r="A583" s="96"/>
      <c r="B583" s="97" t="s">
        <v>53</v>
      </c>
      <c r="C583" s="98" t="str">
        <f t="array" ref="C583">IFNA(XLOOKUP(J583,'⚙️ Pengaturan'!$H$5:$H1508,'⚙️ Pengaturan'!$I$5:$I1508),"")</f>
        <v>TIM Y</v>
      </c>
      <c r="D583" s="97" t="s">
        <v>86</v>
      </c>
      <c r="E583" s="99">
        <v>45964.0</v>
      </c>
      <c r="F583" s="100" t="str">
        <f t="shared" si="1"/>
        <v>2025</v>
      </c>
      <c r="G583" s="100" t="str">
        <f t="shared" si="2"/>
        <v>11Nov</v>
      </c>
      <c r="H583" s="100" t="str">
        <f t="shared" si="3"/>
        <v>Senin</v>
      </c>
      <c r="I583" s="97" t="s">
        <v>65</v>
      </c>
      <c r="J583" s="97" t="s">
        <v>107</v>
      </c>
      <c r="K583" s="97" t="s">
        <v>63</v>
      </c>
      <c r="L583" s="101" t="s">
        <v>382</v>
      </c>
      <c r="M583" s="102" t="str">
        <f>IFNA(VLOOKUP(L583,'🙎‍♂️ Pasien'!G:V,2,FALSE),"")</f>
        <v>D6925037525</v>
      </c>
      <c r="N583" s="103">
        <f>IFNA(VLOOKUP(L583,'🙎‍♂️ Pasien'!G:L,3,FALSE),"")</f>
        <v>57</v>
      </c>
      <c r="O583" s="104" t="str">
        <f>IFNA(VLOOKUP(L583,'🙎‍♂️ Pasien'!G:V,6,FALSE),"")</f>
        <v>PEREMPUAN</v>
      </c>
      <c r="P583" s="104" t="str">
        <f>IFNA(VLOOKUP(L583,'🙎‍♂️ Pasien'!G:V,12,FALSE),"")</f>
        <v>ISLAM</v>
      </c>
      <c r="Q583" s="104" t="str">
        <f>IFNA(VLOOKUP(L583:L1508,'🙎‍♂️ Pasien'!G:V,13,FALSE),"")</f>
        <v>RUMAH TANGGA</v>
      </c>
      <c r="R583" s="104" t="str">
        <f t="array" ref="R583">ifna(xlookup(L583,'🙎‍♂️ Pasien'!$G$5:$G1508,'🙎‍♂️ Pasien'!$T$5:$T1508),"")</f>
        <v>BAHU DAN KAKI</v>
      </c>
      <c r="S583" s="104" t="str">
        <f t="array" ref="S583">ifna(xlookup(L583,'🙎‍♂️ Pasien'!$G$5:$G1508,'🙎‍♂️ Pasien'!$U$5:$U1508),"")</f>
        <v>-</v>
      </c>
      <c r="T583" s="97" t="s">
        <v>59</v>
      </c>
      <c r="U583" s="105">
        <v>2.0</v>
      </c>
      <c r="V583" s="101"/>
      <c r="W583" s="106" t="b">
        <v>1</v>
      </c>
      <c r="X583" s="107"/>
      <c r="Y583" s="108"/>
    </row>
    <row r="584" ht="22.5" customHeight="1">
      <c r="A584" s="96"/>
      <c r="B584" s="97" t="s">
        <v>53</v>
      </c>
      <c r="C584" s="98" t="str">
        <f t="array" ref="C584">IFNA(XLOOKUP(J584,'⚙️ Pengaturan'!$H$5:$H1508,'⚙️ Pengaturan'!$I$5:$I1508),"")</f>
        <v>TIM A</v>
      </c>
      <c r="D584" s="97" t="s">
        <v>86</v>
      </c>
      <c r="E584" s="99">
        <v>45964.0</v>
      </c>
      <c r="F584" s="100" t="str">
        <f t="shared" si="1"/>
        <v>2025</v>
      </c>
      <c r="G584" s="100" t="str">
        <f t="shared" si="2"/>
        <v>11Nov</v>
      </c>
      <c r="H584" s="100" t="str">
        <f t="shared" si="3"/>
        <v>Senin</v>
      </c>
      <c r="I584" s="97" t="s">
        <v>74</v>
      </c>
      <c r="J584" s="97" t="s">
        <v>72</v>
      </c>
      <c r="K584" s="97" t="s">
        <v>63</v>
      </c>
      <c r="L584" s="101" t="s">
        <v>302</v>
      </c>
      <c r="M584" s="102" t="str">
        <f>IFNA(VLOOKUP(L584,'🙎‍♂️ Pasien'!G:V,2,FALSE),"")</f>
        <v>A9425105994</v>
      </c>
      <c r="N584" s="103">
        <f>IFNA(VLOOKUP(L584,'🙎‍♂️ Pasien'!G:L,3,FALSE),"")</f>
        <v>32</v>
      </c>
      <c r="O584" s="104" t="str">
        <f>IFNA(VLOOKUP(L584,'🙎‍♂️ Pasien'!G:V,6,FALSE),"")</f>
        <v>LAKI-LAKI</v>
      </c>
      <c r="P584" s="104" t="str">
        <f>IFNA(VLOOKUP(L584,'🙎‍♂️ Pasien'!G:V,12,FALSE),"")</f>
        <v>ISLAM</v>
      </c>
      <c r="Q584" s="104" t="str">
        <f>IFNA(VLOOKUP(L584:L1508,'🙎‍♂️ Pasien'!G:V,13,FALSE),"")</f>
        <v>KARYAWAN SWASTA</v>
      </c>
      <c r="R584" s="104" t="str">
        <f t="array" ref="R584">ifna(xlookup(L584,'🙎‍♂️ Pasien'!$G$5:$G1508,'🙎‍♂️ Pasien'!$T$5:$T1508),"")</f>
        <v>LUTUT</v>
      </c>
      <c r="S584" s="104" t="str">
        <f t="array" ref="S584">ifna(xlookup(L584,'🙎‍♂️ Pasien'!$G$5:$G1508,'🙎‍♂️ Pasien'!$U$5:$U1508),"")</f>
        <v>OLAGRAGA</v>
      </c>
      <c r="T584" s="97" t="s">
        <v>59</v>
      </c>
      <c r="U584" s="105">
        <v>8.0</v>
      </c>
      <c r="V584" s="101"/>
      <c r="W584" s="106" t="b">
        <v>1</v>
      </c>
      <c r="X584" s="107"/>
      <c r="Y584" s="108"/>
    </row>
    <row r="585" ht="22.5" customHeight="1">
      <c r="A585" s="96"/>
      <c r="B585" s="97" t="s">
        <v>53</v>
      </c>
      <c r="C585" s="98" t="str">
        <f t="array" ref="C585">IFNA(XLOOKUP(J585,'⚙️ Pengaturan'!$H$5:$H1508,'⚙️ Pengaturan'!$I$5:$I1508),"")</f>
        <v>TIM Y</v>
      </c>
      <c r="D585" s="97" t="s">
        <v>86</v>
      </c>
      <c r="E585" s="99">
        <v>45964.0</v>
      </c>
      <c r="F585" s="100" t="str">
        <f t="shared" si="1"/>
        <v>2025</v>
      </c>
      <c r="G585" s="100" t="str">
        <f t="shared" si="2"/>
        <v>11Nov</v>
      </c>
      <c r="H585" s="100" t="str">
        <f t="shared" si="3"/>
        <v>Senin</v>
      </c>
      <c r="I585" s="97" t="s">
        <v>76</v>
      </c>
      <c r="J585" s="97" t="s">
        <v>56</v>
      </c>
      <c r="K585" s="97" t="s">
        <v>63</v>
      </c>
      <c r="L585" s="101" t="s">
        <v>326</v>
      </c>
      <c r="M585" s="102" t="str">
        <f>IFNA(VLOOKUP(L585,'🙎‍♂️ Pasien'!G:V,2,FALSE),"")</f>
        <v>A1423086916</v>
      </c>
      <c r="N585" s="103">
        <f>IFNA(VLOOKUP(L585,'🙎‍♂️ Pasien'!G:L,3,FALSE),"")</f>
        <v>11</v>
      </c>
      <c r="O585" s="104" t="str">
        <f>IFNA(VLOOKUP(L585,'🙎‍♂️ Pasien'!G:V,6,FALSE),"")</f>
        <v>LAKI-LAKI</v>
      </c>
      <c r="P585" s="104" t="str">
        <f>IFNA(VLOOKUP(L585,'🙎‍♂️ Pasien'!G:V,12,FALSE),"")</f>
        <v>ISLAM</v>
      </c>
      <c r="Q585" s="104" t="str">
        <f>IFNA(VLOOKUP(L585:L1508,'🙎‍♂️ Pasien'!G:V,13,FALSE),"")</f>
        <v>PELAJAR/MAHASISWA</v>
      </c>
      <c r="R585" s="104" t="str">
        <f t="array" ref="R585">ifna(xlookup(L585,'🙎‍♂️ Pasien'!$G$5:$G1508,'🙎‍♂️ Pasien'!$T$5:$T1508),"")</f>
        <v>ANKLE KAKI KANAN</v>
      </c>
      <c r="S585" s="104" t="str">
        <f t="array" ref="S585">ifna(xlookup(L585,'🙎‍♂️ Pasien'!$G$5:$G1508,'🙎‍♂️ Pasien'!$U$5:$U1508),"")</f>
        <v>BOLA</v>
      </c>
      <c r="T585" s="97" t="s">
        <v>67</v>
      </c>
      <c r="U585" s="105">
        <v>6.0</v>
      </c>
      <c r="V585" s="101" t="s">
        <v>438</v>
      </c>
      <c r="W585" s="106" t="b">
        <v>1</v>
      </c>
      <c r="X585" s="107"/>
      <c r="Y585" s="108"/>
    </row>
    <row r="586" ht="22.5" customHeight="1">
      <c r="A586" s="96"/>
      <c r="B586" s="97" t="s">
        <v>53</v>
      </c>
      <c r="C586" s="98" t="str">
        <f t="array" ref="C586">IFNA(XLOOKUP(J586,'⚙️ Pengaturan'!$H$5:$H1508,'⚙️ Pengaturan'!$I$5:$I1508),"")</f>
        <v>TIM Y</v>
      </c>
      <c r="D586" s="97" t="s">
        <v>86</v>
      </c>
      <c r="E586" s="99">
        <v>45964.0</v>
      </c>
      <c r="F586" s="100" t="str">
        <f t="shared" si="1"/>
        <v>2025</v>
      </c>
      <c r="G586" s="100" t="str">
        <f t="shared" si="2"/>
        <v>11Nov</v>
      </c>
      <c r="H586" s="100" t="str">
        <f t="shared" si="3"/>
        <v>Senin</v>
      </c>
      <c r="I586" s="97" t="s">
        <v>76</v>
      </c>
      <c r="J586" s="97" t="s">
        <v>107</v>
      </c>
      <c r="K586" s="97" t="s">
        <v>63</v>
      </c>
      <c r="L586" s="101" t="s">
        <v>439</v>
      </c>
      <c r="M586" s="102" t="str">
        <f>IFNA(VLOOKUP(L586,'🙎‍♂️ Pasien'!G:V,2,FALSE),"")</f>
        <v>K7525084719</v>
      </c>
      <c r="N586" s="103">
        <f>IFNA(VLOOKUP(L586,'🙎‍♂️ Pasien'!G:L,3,FALSE),"")</f>
        <v>50</v>
      </c>
      <c r="O586" s="104" t="str">
        <f>IFNA(VLOOKUP(L586,'🙎‍♂️ Pasien'!G:V,6,FALSE),"")</f>
        <v>PEREMPUAN</v>
      </c>
      <c r="P586" s="104" t="str">
        <f>IFNA(VLOOKUP(L586,'🙎‍♂️ Pasien'!G:V,12,FALSE),"")</f>
        <v>KATOLIK</v>
      </c>
      <c r="Q586" s="104" t="str">
        <f>IFNA(VLOOKUP(L586:L1508,'🙎‍♂️ Pasien'!G:V,13,FALSE),"")</f>
        <v>RUMAH TANGGA</v>
      </c>
      <c r="R586" s="104" t="str">
        <f t="array" ref="R586">ifna(xlookup(L586,'🙎‍♂️ Pasien'!$G$5:$G1508,'🙎‍♂️ Pasien'!$T$5:$T1508),"")</f>
        <v>PINGGANG DAN TANGAN</v>
      </c>
      <c r="S586" s="104" t="str">
        <f t="array" ref="S586">ifna(xlookup(L586,'🙎‍♂️ Pasien'!$G$5:$G1508,'🙎‍♂️ Pasien'!$U$5:$U1508),"")</f>
        <v>YOGA, JOGGING DAN PILATES</v>
      </c>
      <c r="T586" s="97" t="s">
        <v>59</v>
      </c>
      <c r="U586" s="105">
        <v>4.0</v>
      </c>
      <c r="V586" s="101"/>
      <c r="W586" s="106" t="b">
        <v>1</v>
      </c>
      <c r="X586" s="107"/>
      <c r="Y586" s="108"/>
    </row>
    <row r="587" ht="22.5" customHeight="1">
      <c r="A587" s="96"/>
      <c r="B587" s="97" t="s">
        <v>53</v>
      </c>
      <c r="C587" s="98" t="str">
        <f t="array" ref="C587">IFNA(XLOOKUP(J587,'⚙️ Pengaturan'!$H$5:$H1508,'⚙️ Pengaturan'!$I$5:$I1508),"")</f>
        <v>TIM A</v>
      </c>
      <c r="D587" s="97" t="s">
        <v>86</v>
      </c>
      <c r="E587" s="99">
        <v>45964.0</v>
      </c>
      <c r="F587" s="100" t="str">
        <f t="shared" si="1"/>
        <v>2025</v>
      </c>
      <c r="G587" s="100" t="str">
        <f t="shared" si="2"/>
        <v>11Nov</v>
      </c>
      <c r="H587" s="100" t="str">
        <f t="shared" si="3"/>
        <v>Senin</v>
      </c>
      <c r="I587" s="97" t="s">
        <v>83</v>
      </c>
      <c r="J587" s="97" t="s">
        <v>72</v>
      </c>
      <c r="K587" s="97" t="s">
        <v>57</v>
      </c>
      <c r="L587" s="101" t="s">
        <v>440</v>
      </c>
      <c r="M587" s="102" t="str">
        <f>IFNA(VLOOKUP(L587,'🙎‍♂️ Pasien'!G:V,2,FALSE),"")</f>
        <v/>
      </c>
      <c r="N587" s="103" t="str">
        <f>IFNA(VLOOKUP(L587,'🙎‍♂️ Pasien'!G:L,3,FALSE),"")</f>
        <v/>
      </c>
      <c r="O587" s="104" t="str">
        <f>IFNA(VLOOKUP(L587,'🙎‍♂️ Pasien'!G:V,6,FALSE),"")</f>
        <v/>
      </c>
      <c r="P587" s="104" t="str">
        <f>IFNA(VLOOKUP(L587,'🙎‍♂️ Pasien'!G:V,12,FALSE),"")</f>
        <v/>
      </c>
      <c r="Q587" s="104" t="str">
        <f>IFNA(VLOOKUP(L587:L1508,'🙎‍♂️ Pasien'!G:V,13,FALSE),"")</f>
        <v/>
      </c>
      <c r="R587" s="104" t="str">
        <f t="array" ref="R587">ifna(xlookup(L587,'🙎‍♂️ Pasien'!$G$5:$G1508,'🙎‍♂️ Pasien'!$T$5:$T1508),"")</f>
        <v/>
      </c>
      <c r="S587" s="104" t="str">
        <f t="array" ref="S587">ifna(xlookup(L587,'🙎‍♂️ Pasien'!$G$5:$G1508,'🙎‍♂️ Pasien'!$U$5:$U1508),"")</f>
        <v/>
      </c>
      <c r="T587" s="97" t="s">
        <v>59</v>
      </c>
      <c r="U587" s="105" t="s">
        <v>60</v>
      </c>
      <c r="V587" s="101"/>
      <c r="W587" s="106" t="b">
        <v>1</v>
      </c>
      <c r="X587" s="107"/>
      <c r="Y587" s="108"/>
    </row>
    <row r="588" ht="22.5" customHeight="1">
      <c r="A588" s="96"/>
      <c r="B588" s="97" t="s">
        <v>85</v>
      </c>
      <c r="C588" s="98" t="str">
        <f t="array" ref="C588">IFNA(XLOOKUP(J588,'⚙️ Pengaturan'!$H$5:$H1508,'⚙️ Pengaturan'!$I$5:$I1508),"")</f>
        <v>TIM A</v>
      </c>
      <c r="D588" s="97" t="s">
        <v>54</v>
      </c>
      <c r="E588" s="99">
        <v>45964.0</v>
      </c>
      <c r="F588" s="100" t="str">
        <f t="shared" si="1"/>
        <v>2025</v>
      </c>
      <c r="G588" s="100" t="str">
        <f t="shared" si="2"/>
        <v>11Nov</v>
      </c>
      <c r="H588" s="100" t="str">
        <f t="shared" si="3"/>
        <v>Senin</v>
      </c>
      <c r="I588" s="97" t="s">
        <v>87</v>
      </c>
      <c r="J588" s="97" t="s">
        <v>62</v>
      </c>
      <c r="K588" s="97" t="s">
        <v>63</v>
      </c>
      <c r="L588" s="101" t="s">
        <v>288</v>
      </c>
      <c r="M588" s="102" t="str">
        <f>IFNA(VLOOKUP(L588,'🙎‍♂️ Pasien'!G:V,2,FALSE),"")</f>
        <v>E9925108783</v>
      </c>
      <c r="N588" s="103">
        <f>IFNA(VLOOKUP(L588,'🙎‍♂️ Pasien'!G:L,3,FALSE),"")</f>
        <v>26</v>
      </c>
      <c r="O588" s="104" t="str">
        <f>IFNA(VLOOKUP(L588,'🙎‍♂️ Pasien'!G:V,6,FALSE),"")</f>
        <v>LAKI-LAKI</v>
      </c>
      <c r="P588" s="104" t="str">
        <f>IFNA(VLOOKUP(L588,'🙎‍♂️ Pasien'!G:V,12,FALSE),"")</f>
        <v>KATOLIK</v>
      </c>
      <c r="Q588" s="104" t="str">
        <f>IFNA(VLOOKUP(L588:L1508,'🙎‍♂️ Pasien'!G:V,13,FALSE),"")</f>
        <v>WIRASWASTA</v>
      </c>
      <c r="R588" s="104" t="str">
        <f t="array" ref="R588">ifna(xlookup(L588,'🙎‍♂️ Pasien'!$G$5:$G1508,'🙎‍♂️ Pasien'!$T$5:$T1508),"")</f>
        <v>TERAPI PASCA LATIHAN</v>
      </c>
      <c r="S588" s="104" t="str">
        <f t="array" ref="S588">ifna(xlookup(L588,'🙎‍♂️ Pasien'!$G$5:$G1508,'🙎‍♂️ Pasien'!$U$5:$U1508),"")</f>
        <v>LARI</v>
      </c>
      <c r="T588" s="97" t="s">
        <v>67</v>
      </c>
      <c r="U588" s="105">
        <v>5.0</v>
      </c>
      <c r="V588" s="101" t="s">
        <v>441</v>
      </c>
      <c r="W588" s="106" t="b">
        <v>1</v>
      </c>
      <c r="X588" s="107"/>
      <c r="Y588" s="108"/>
    </row>
    <row r="589" ht="22.5" customHeight="1">
      <c r="A589" s="96"/>
      <c r="B589" s="97" t="s">
        <v>85</v>
      </c>
      <c r="C589" s="98" t="str">
        <f t="array" ref="C589">IFNA(XLOOKUP(J589,'⚙️ Pengaturan'!$H$5:$H1508,'⚙️ Pengaturan'!$I$5:$I1508),"")</f>
        <v>TIM A</v>
      </c>
      <c r="D589" s="97" t="s">
        <v>54</v>
      </c>
      <c r="E589" s="99">
        <v>45964.0</v>
      </c>
      <c r="F589" s="100" t="str">
        <f t="shared" si="1"/>
        <v>2025</v>
      </c>
      <c r="G589" s="100" t="str">
        <f t="shared" si="2"/>
        <v>11Nov</v>
      </c>
      <c r="H589" s="100" t="str">
        <f t="shared" si="3"/>
        <v>Senin</v>
      </c>
      <c r="I589" s="97" t="s">
        <v>87</v>
      </c>
      <c r="J589" s="97" t="s">
        <v>79</v>
      </c>
      <c r="K589" s="97" t="s">
        <v>57</v>
      </c>
      <c r="L589" s="101" t="s">
        <v>442</v>
      </c>
      <c r="M589" s="102" t="str">
        <f>IFNA(VLOOKUP(L589,'🙎‍♂️ Pasien'!G:V,2,FALSE),"")</f>
        <v>M0524020310</v>
      </c>
      <c r="N589" s="103">
        <f>IFNA(VLOOKUP(L589,'🙎‍♂️ Pasien'!G:L,3,FALSE),"")</f>
        <v>20</v>
      </c>
      <c r="O589" s="104" t="str">
        <f>IFNA(VLOOKUP(L589,'🙎‍♂️ Pasien'!G:V,6,FALSE),"")</f>
        <v>LAKI-LAKI</v>
      </c>
      <c r="P589" s="104" t="str">
        <f>IFNA(VLOOKUP(L589,'🙎‍♂️ Pasien'!G:V,12,FALSE),"")</f>
        <v>ISLAM</v>
      </c>
      <c r="Q589" s="104" t="str">
        <f>IFNA(VLOOKUP(L589:L1508,'🙎‍♂️ Pasien'!G:V,13,FALSE),"")</f>
        <v>PELAJAR/MAHASISWA</v>
      </c>
      <c r="R589" s="104" t="str">
        <f t="array" ref="R589">ifna(xlookup(L589,'🙎‍♂️ Pasien'!$G$5:$G1508,'🙎‍♂️ Pasien'!$T$5:$T1508),"")</f>
        <v>NYERI/NGILU</v>
      </c>
      <c r="S589" s="104" t="str">
        <f t="array" ref="S589">ifna(xlookup(L589,'🙎‍♂️ Pasien'!$G$5:$G1508,'🙎‍♂️ Pasien'!$U$5:$U1508),"")</f>
        <v>FUTSAL</v>
      </c>
      <c r="T589" s="97" t="s">
        <v>59</v>
      </c>
      <c r="U589" s="105" t="s">
        <v>60</v>
      </c>
      <c r="V589" s="101"/>
      <c r="W589" s="106" t="b">
        <v>1</v>
      </c>
      <c r="X589" s="107"/>
      <c r="Y589" s="108"/>
    </row>
    <row r="590" ht="22.5" customHeight="1">
      <c r="A590" s="96"/>
      <c r="B590" s="97" t="s">
        <v>85</v>
      </c>
      <c r="C590" s="98" t="str">
        <f t="array" ref="C590">IFNA(XLOOKUP(J590,'⚙️ Pengaturan'!$H$5:$H1508,'⚙️ Pengaturan'!$I$5:$I1508),"")</f>
        <v>TIM A</v>
      </c>
      <c r="D590" s="97" t="s">
        <v>54</v>
      </c>
      <c r="E590" s="99">
        <v>45964.0</v>
      </c>
      <c r="F590" s="100" t="str">
        <f t="shared" si="1"/>
        <v>2025</v>
      </c>
      <c r="G590" s="100" t="str">
        <f t="shared" si="2"/>
        <v>11Nov</v>
      </c>
      <c r="H590" s="100" t="str">
        <f t="shared" si="3"/>
        <v>Senin</v>
      </c>
      <c r="I590" s="97" t="s">
        <v>93</v>
      </c>
      <c r="J590" s="97" t="s">
        <v>79</v>
      </c>
      <c r="K590" s="97" t="s">
        <v>63</v>
      </c>
      <c r="L590" s="101" t="s">
        <v>216</v>
      </c>
      <c r="M590" s="102" t="str">
        <f>IFNA(VLOOKUP(L590,'🙎‍♂️ Pasien'!G:V,2,FALSE),"")</f>
        <v>R7825108100</v>
      </c>
      <c r="N590" s="103">
        <f>IFNA(VLOOKUP(L590,'🙎‍♂️ Pasien'!G:L,3,FALSE),"")</f>
        <v>48</v>
      </c>
      <c r="O590" s="104" t="str">
        <f>IFNA(VLOOKUP(L590,'🙎‍♂️ Pasien'!G:V,6,FALSE),"")</f>
        <v>PEREMPUAN</v>
      </c>
      <c r="P590" s="104" t="str">
        <f>IFNA(VLOOKUP(L590,'🙎‍♂️ Pasien'!G:V,12,FALSE),"")</f>
        <v>ISLAM</v>
      </c>
      <c r="Q590" s="104" t="str">
        <f>IFNA(VLOOKUP(L590:L1508,'🙎‍♂️ Pasien'!G:V,13,FALSE),"")</f>
        <v>PNS</v>
      </c>
      <c r="R590" s="104" t="str">
        <f t="array" ref="R590">ifna(xlookup(L590,'🙎‍♂️ Pasien'!$G$5:$G1508,'🙎‍♂️ Pasien'!$T$5:$T1508),"")</f>
        <v>LUTUT KANAN</v>
      </c>
      <c r="S590" s="104" t="str">
        <f t="array" ref="S590">ifna(xlookup(L590,'🙎‍♂️ Pasien'!$G$5:$G1508,'🙎‍♂️ Pasien'!$U$5:$U1508),"")</f>
        <v>OLAHRAGA LARI</v>
      </c>
      <c r="T590" s="97" t="s">
        <v>59</v>
      </c>
      <c r="U590" s="105">
        <v>4.0</v>
      </c>
      <c r="V590" s="101"/>
      <c r="W590" s="106" t="b">
        <v>1</v>
      </c>
      <c r="X590" s="107"/>
      <c r="Y590" s="108"/>
    </row>
    <row r="591" ht="22.5" customHeight="1">
      <c r="A591" s="96"/>
      <c r="B591" s="97" t="s">
        <v>85</v>
      </c>
      <c r="C591" s="98" t="str">
        <f t="array" ref="C591">IFNA(XLOOKUP(J591,'⚙️ Pengaturan'!$H$5:$H1508,'⚙️ Pengaturan'!$I$5:$I1508),"")</f>
        <v>TIM A</v>
      </c>
      <c r="D591" s="97" t="s">
        <v>54</v>
      </c>
      <c r="E591" s="99">
        <v>45964.0</v>
      </c>
      <c r="F591" s="100" t="str">
        <f t="shared" si="1"/>
        <v>2025</v>
      </c>
      <c r="G591" s="100" t="str">
        <f t="shared" si="2"/>
        <v>11Nov</v>
      </c>
      <c r="H591" s="100" t="str">
        <f t="shared" si="3"/>
        <v>Senin</v>
      </c>
      <c r="I591" s="97" t="s">
        <v>95</v>
      </c>
      <c r="J591" s="97" t="s">
        <v>62</v>
      </c>
      <c r="K591" s="97" t="s">
        <v>63</v>
      </c>
      <c r="L591" s="101" t="s">
        <v>357</v>
      </c>
      <c r="M591" s="102" t="str">
        <f>IFNA(VLOOKUP(L591,'🙎‍♂️ Pasien'!G:V,2,FALSE),"")</f>
        <v>A0125104452</v>
      </c>
      <c r="N591" s="103">
        <f>IFNA(VLOOKUP(L591,'🙎‍♂️ Pasien'!G:L,3,FALSE),"")</f>
        <v>24</v>
      </c>
      <c r="O591" s="104" t="str">
        <f>IFNA(VLOOKUP(L591,'🙎‍♂️ Pasien'!G:V,6,FALSE),"")</f>
        <v>PEREMPUAN</v>
      </c>
      <c r="P591" s="104" t="str">
        <f>IFNA(VLOOKUP(L591,'🙎‍♂️ Pasien'!G:V,12,FALSE),"")</f>
        <v>ISLAM</v>
      </c>
      <c r="Q591" s="104" t="str">
        <f>IFNA(VLOOKUP(L591:L1508,'🙎‍♂️ Pasien'!G:V,13,FALSE),"")</f>
        <v>PNS</v>
      </c>
      <c r="R591" s="104" t="str">
        <f t="array" ref="R591">ifna(xlookup(L591,'🙎‍♂️ Pasien'!$G$5:$G1508,'🙎‍♂️ Pasien'!$T$5:$T1508),"")</f>
        <v>SAKIT NYERI DAN PEGAL DARI LEHER HINGGA KAKI NAMUN HANYA TUBUH SEBELAH KANAN</v>
      </c>
      <c r="S591" s="104" t="str">
        <f t="array" ref="S591">ifna(xlookup(L591,'🙎‍♂️ Pasien'!$G$5:$G1508,'🙎‍♂️ Pasien'!$U$5:$U1508),"")</f>
        <v>-</v>
      </c>
      <c r="T591" s="97" t="s">
        <v>59</v>
      </c>
      <c r="U591" s="105">
        <v>4.0</v>
      </c>
      <c r="V591" s="101"/>
      <c r="W591" s="106" t="b">
        <v>1</v>
      </c>
      <c r="X591" s="107"/>
      <c r="Y591" s="108"/>
    </row>
    <row r="592" ht="22.5" customHeight="1">
      <c r="A592" s="96"/>
      <c r="B592" s="97" t="s">
        <v>85</v>
      </c>
      <c r="C592" s="98" t="str">
        <f t="array" ref="C592">IFNA(XLOOKUP(J592,'⚙️ Pengaturan'!$H$5:$H1508,'⚙️ Pengaturan'!$I$5:$I1508),"")</f>
        <v>TIM Y</v>
      </c>
      <c r="D592" s="97" t="s">
        <v>54</v>
      </c>
      <c r="E592" s="99">
        <v>45964.0</v>
      </c>
      <c r="F592" s="100" t="str">
        <f t="shared" si="1"/>
        <v>2025</v>
      </c>
      <c r="G592" s="100" t="str">
        <f t="shared" si="2"/>
        <v>11Nov</v>
      </c>
      <c r="H592" s="100" t="str">
        <f t="shared" si="3"/>
        <v>Senin</v>
      </c>
      <c r="I592" s="97" t="s">
        <v>95</v>
      </c>
      <c r="J592" s="97" t="s">
        <v>88</v>
      </c>
      <c r="K592" s="97" t="s">
        <v>57</v>
      </c>
      <c r="L592" s="101" t="s">
        <v>443</v>
      </c>
      <c r="M592" s="102" t="str">
        <f>IFNA(VLOOKUP(L592,'🙎‍♂️ Pasien'!G:V,2,FALSE),"")</f>
        <v>G9825110702</v>
      </c>
      <c r="N592" s="103">
        <f>IFNA(VLOOKUP(L592,'🙎‍♂️ Pasien'!G:L,3,FALSE),"")</f>
        <v>27</v>
      </c>
      <c r="O592" s="104" t="str">
        <f>IFNA(VLOOKUP(L592,'🙎‍♂️ Pasien'!G:V,6,FALSE),"")</f>
        <v>LAKI-LAKI</v>
      </c>
      <c r="P592" s="104" t="str">
        <f>IFNA(VLOOKUP(L592,'🙎‍♂️ Pasien'!G:V,12,FALSE),"")</f>
        <v>ISLAM</v>
      </c>
      <c r="Q592" s="104" t="str">
        <f>IFNA(VLOOKUP(L592:L1508,'🙎‍♂️ Pasien'!G:V,13,FALSE),"")</f>
        <v>KARYAWAN SWASTA</v>
      </c>
      <c r="R592" s="104" t="str">
        <f t="array" ref="R592">ifna(xlookup(L592,'🙎‍♂️ Pasien'!$G$5:$G1508,'🙎‍♂️ Pasien'!$T$5:$T1508),"")</f>
        <v>SENGAL DAN NGILU BAGIAN BELIKAT (KIRI)</v>
      </c>
      <c r="S592" s="104" t="str">
        <f t="array" ref="S592">ifna(xlookup(L592,'🙎‍♂️ Pasien'!$G$5:$G1508,'🙎‍♂️ Pasien'!$U$5:$U1508),"")</f>
        <v>BADMINTON</v>
      </c>
      <c r="T592" s="97" t="s">
        <v>59</v>
      </c>
      <c r="U592" s="105" t="s">
        <v>60</v>
      </c>
      <c r="V592" s="101"/>
      <c r="W592" s="106" t="b">
        <v>1</v>
      </c>
      <c r="X592" s="107"/>
      <c r="Y592" s="108"/>
    </row>
    <row r="593" ht="22.5" customHeight="1">
      <c r="A593" s="96"/>
      <c r="B593" s="97" t="s">
        <v>85</v>
      </c>
      <c r="C593" s="98" t="str">
        <f t="array" ref="C593">IFNA(XLOOKUP(J593,'⚙️ Pengaturan'!$H$5:$H1508,'⚙️ Pengaturan'!$I$5:$I1508),"")</f>
        <v>TIM Y</v>
      </c>
      <c r="D593" s="97" t="s">
        <v>54</v>
      </c>
      <c r="E593" s="99">
        <v>45964.0</v>
      </c>
      <c r="F593" s="100" t="str">
        <f t="shared" si="1"/>
        <v>2025</v>
      </c>
      <c r="G593" s="100" t="str">
        <f t="shared" si="2"/>
        <v>11Nov</v>
      </c>
      <c r="H593" s="100" t="str">
        <f t="shared" si="3"/>
        <v>Senin</v>
      </c>
      <c r="I593" s="97" t="s">
        <v>97</v>
      </c>
      <c r="J593" s="97" t="s">
        <v>88</v>
      </c>
      <c r="K593" s="97" t="s">
        <v>63</v>
      </c>
      <c r="L593" s="101" t="s">
        <v>326</v>
      </c>
      <c r="M593" s="102" t="str">
        <f>IFNA(VLOOKUP(L593,'🙎‍♂️ Pasien'!G:V,2,FALSE),"")</f>
        <v>A1423086916</v>
      </c>
      <c r="N593" s="103">
        <f>IFNA(VLOOKUP(L593,'🙎‍♂️ Pasien'!G:L,3,FALSE),"")</f>
        <v>11</v>
      </c>
      <c r="O593" s="104" t="str">
        <f>IFNA(VLOOKUP(L593,'🙎‍♂️ Pasien'!G:V,6,FALSE),"")</f>
        <v>LAKI-LAKI</v>
      </c>
      <c r="P593" s="104" t="str">
        <f>IFNA(VLOOKUP(L593,'🙎‍♂️ Pasien'!G:V,12,FALSE),"")</f>
        <v>ISLAM</v>
      </c>
      <c r="Q593" s="104" t="str">
        <f>IFNA(VLOOKUP(L593:L1508,'🙎‍♂️ Pasien'!G:V,13,FALSE),"")</f>
        <v>PELAJAR/MAHASISWA</v>
      </c>
      <c r="R593" s="104" t="str">
        <f t="array" ref="R593">ifna(xlookup(L593,'🙎‍♂️ Pasien'!$G$5:$G1508,'🙎‍♂️ Pasien'!$T$5:$T1508),"")</f>
        <v>ANKLE KAKI KANAN</v>
      </c>
      <c r="S593" s="104" t="str">
        <f t="array" ref="S593">ifna(xlookup(L593,'🙎‍♂️ Pasien'!$G$5:$G1508,'🙎‍♂️ Pasien'!$U$5:$U1508),"")</f>
        <v>BOLA</v>
      </c>
      <c r="T593" s="97" t="s">
        <v>59</v>
      </c>
      <c r="U593" s="105">
        <v>6.0</v>
      </c>
      <c r="V593" s="101"/>
      <c r="W593" s="106" t="b">
        <v>1</v>
      </c>
      <c r="X593" s="107"/>
      <c r="Y593" s="108"/>
    </row>
    <row r="594" ht="22.5" customHeight="1">
      <c r="A594" s="96"/>
      <c r="B594" s="97" t="s">
        <v>85</v>
      </c>
      <c r="C594" s="98" t="str">
        <f t="array" ref="C594">IFNA(XLOOKUP(J594,'⚙️ Pengaturan'!$H$5:$H1508,'⚙️ Pengaturan'!$I$5:$I1508),"")</f>
        <v>TIM A</v>
      </c>
      <c r="D594" s="97" t="s">
        <v>54</v>
      </c>
      <c r="E594" s="99">
        <v>45964.0</v>
      </c>
      <c r="F594" s="100" t="str">
        <f t="shared" si="1"/>
        <v>2025</v>
      </c>
      <c r="G594" s="100" t="str">
        <f t="shared" si="2"/>
        <v>11Nov</v>
      </c>
      <c r="H594" s="100" t="str">
        <f t="shared" si="3"/>
        <v>Senin</v>
      </c>
      <c r="I594" s="97" t="s">
        <v>97</v>
      </c>
      <c r="J594" s="97" t="s">
        <v>62</v>
      </c>
      <c r="K594" s="97" t="s">
        <v>57</v>
      </c>
      <c r="L594" s="101" t="s">
        <v>444</v>
      </c>
      <c r="M594" s="102" t="str">
        <f>IFNA(VLOOKUP(L594,'🙎‍♂️ Pasien'!G:V,2,FALSE),"")</f>
        <v>N8525112090</v>
      </c>
      <c r="N594" s="103">
        <f>IFNA(VLOOKUP(L594,'🙎‍♂️ Pasien'!G:L,3,FALSE),"")</f>
        <v>40</v>
      </c>
      <c r="O594" s="104" t="str">
        <f>IFNA(VLOOKUP(L594,'🙎‍♂️ Pasien'!G:V,6,FALSE),"")</f>
        <v>PEREMPUAN</v>
      </c>
      <c r="P594" s="104" t="str">
        <f>IFNA(VLOOKUP(L594,'🙎‍♂️ Pasien'!G:V,12,FALSE),"")</f>
        <v>ISLAM</v>
      </c>
      <c r="Q594" s="104" t="str">
        <f>IFNA(VLOOKUP(L594:L1508,'🙎‍♂️ Pasien'!G:V,13,FALSE),"")</f>
        <v>PNS</v>
      </c>
      <c r="R594" s="104" t="str">
        <f t="array" ref="R594">ifna(xlookup(L594,'🙎‍♂️ Pasien'!$G$5:$G1508,'🙎‍♂️ Pasien'!$T$5:$T1508),"")</f>
        <v>SAKIT DI TULANG EKOR</v>
      </c>
      <c r="S594" s="104" t="str">
        <f t="array" ref="S594">ifna(xlookup(L594,'🙎‍♂️ Pasien'!$G$5:$G1508,'🙎‍♂️ Pasien'!$U$5:$U1508),"")</f>
        <v>JOGING</v>
      </c>
      <c r="T594" s="97" t="s">
        <v>59</v>
      </c>
      <c r="U594" s="105" t="s">
        <v>60</v>
      </c>
      <c r="V594" s="101"/>
      <c r="W594" s="106" t="b">
        <v>1</v>
      </c>
      <c r="X594" s="107"/>
      <c r="Y594" s="108"/>
    </row>
    <row r="595" ht="22.5" customHeight="1">
      <c r="A595" s="96"/>
      <c r="B595" s="97" t="s">
        <v>85</v>
      </c>
      <c r="C595" s="98" t="str">
        <f t="array" ref="C595">IFNA(XLOOKUP(J595,'⚙️ Pengaturan'!$H$5:$H1508,'⚙️ Pengaturan'!$I$5:$I1508),"")</f>
        <v>TIM A</v>
      </c>
      <c r="D595" s="97" t="s">
        <v>54</v>
      </c>
      <c r="E595" s="99">
        <v>45964.0</v>
      </c>
      <c r="F595" s="100" t="str">
        <f t="shared" si="1"/>
        <v>2025</v>
      </c>
      <c r="G595" s="100" t="str">
        <f t="shared" si="2"/>
        <v>11Nov</v>
      </c>
      <c r="H595" s="100" t="str">
        <f t="shared" si="3"/>
        <v>Senin</v>
      </c>
      <c r="I595" s="97" t="s">
        <v>97</v>
      </c>
      <c r="J595" s="97" t="s">
        <v>79</v>
      </c>
      <c r="K595" s="97" t="s">
        <v>69</v>
      </c>
      <c r="L595" s="101" t="s">
        <v>426</v>
      </c>
      <c r="M595" s="102" t="str">
        <f>IFNA(VLOOKUP(L595,'🙎‍♂️ Pasien'!G:V,2,FALSE),"")</f>
        <v>S8525111805</v>
      </c>
      <c r="N595" s="103">
        <f>IFNA(VLOOKUP(L595,'🙎‍♂️ Pasien'!G:L,3,FALSE),"")</f>
        <v>41</v>
      </c>
      <c r="O595" s="104" t="str">
        <f>IFNA(VLOOKUP(L595,'🙎‍♂️ Pasien'!G:V,6,FALSE),"")</f>
        <v>PEREMPUAN</v>
      </c>
      <c r="P595" s="104" t="str">
        <f>IFNA(VLOOKUP(L595,'🙎‍♂️ Pasien'!G:V,12,FALSE),"")</f>
        <v>ISLAM</v>
      </c>
      <c r="Q595" s="104" t="str">
        <f>IFNA(VLOOKUP(L595:L1508,'🙎‍♂️ Pasien'!G:V,13,FALSE),"")</f>
        <v>GURU</v>
      </c>
      <c r="R595" s="104" t="str">
        <f t="array" ref="R595">ifna(xlookup(L595,'🙎‍♂️ Pasien'!$G$5:$G1508,'🙎‍♂️ Pasien'!$T$5:$T1508),"")</f>
        <v>TIDAK BISA MENGANGKAT TANGAN</v>
      </c>
      <c r="S595" s="104" t="str">
        <f t="array" ref="S595">ifna(xlookup(L595,'🙎‍♂️ Pasien'!$G$5:$G1508,'🙎‍♂️ Pasien'!$U$5:$U1508),"")</f>
        <v>SETELAH URUT BESOK PAGINYA LNGSUNG SAKIT</v>
      </c>
      <c r="T595" s="97" t="s">
        <v>59</v>
      </c>
      <c r="U595" s="105" t="s">
        <v>60</v>
      </c>
      <c r="V595" s="101"/>
      <c r="W595" s="106" t="b">
        <v>1</v>
      </c>
      <c r="X595" s="107"/>
      <c r="Y595" s="108"/>
    </row>
    <row r="596" ht="22.5" customHeight="1">
      <c r="A596" s="96"/>
      <c r="B596" s="97" t="s">
        <v>85</v>
      </c>
      <c r="C596" s="98" t="str">
        <f t="array" ref="C596">IFNA(XLOOKUP(J596,'⚙️ Pengaturan'!$H$5:$H1508,'⚙️ Pengaturan'!$I$5:$I1508),"")</f>
        <v>TIM Y</v>
      </c>
      <c r="D596" s="97" t="s">
        <v>54</v>
      </c>
      <c r="E596" s="99">
        <v>45964.0</v>
      </c>
      <c r="F596" s="100" t="str">
        <f t="shared" si="1"/>
        <v>2025</v>
      </c>
      <c r="G596" s="100" t="str">
        <f t="shared" si="2"/>
        <v>11Nov</v>
      </c>
      <c r="H596" s="100" t="str">
        <f t="shared" si="3"/>
        <v>Senin</v>
      </c>
      <c r="I596" s="97" t="s">
        <v>99</v>
      </c>
      <c r="J596" s="97" t="s">
        <v>88</v>
      </c>
      <c r="K596" s="97" t="s">
        <v>69</v>
      </c>
      <c r="L596" s="101" t="s">
        <v>254</v>
      </c>
      <c r="M596" s="102" t="str">
        <f>IFNA(VLOOKUP(L596,'🙎‍♂️ Pasien'!G:V,2,FALSE),"")</f>
        <v>G0225101517</v>
      </c>
      <c r="N596" s="103">
        <f>IFNA(VLOOKUP(L596,'🙎‍♂️ Pasien'!G:L,3,FALSE),"")</f>
        <v>24</v>
      </c>
      <c r="O596" s="104" t="str">
        <f>IFNA(VLOOKUP(L596,'🙎‍♂️ Pasien'!G:V,6,FALSE),"")</f>
        <v>LAKI-LAKI</v>
      </c>
      <c r="P596" s="104" t="str">
        <f>IFNA(VLOOKUP(L596,'🙎‍♂️ Pasien'!G:V,12,FALSE),"")</f>
        <v>KATOLIK</v>
      </c>
      <c r="Q596" s="104" t="str">
        <f>IFNA(VLOOKUP(L596:L1508,'🙎‍♂️ Pasien'!G:V,13,FALSE),"")</f>
        <v>MAHASISWA</v>
      </c>
      <c r="R596" s="104" t="str">
        <f t="array" ref="R596">ifna(xlookup(L596,'🙎‍♂️ Pasien'!$G$5:$G1508,'🙎‍♂️ Pasien'!$T$5:$T1508),"")</f>
        <v>NYERI PADA LUTUT BAGIAN LUAR</v>
      </c>
      <c r="S596" s="104" t="str">
        <f t="array" ref="S596">ifna(xlookup(L596,'🙎‍♂️ Pasien'!$G$5:$G1508,'🙎‍♂️ Pasien'!$U$5:$U1508),"")</f>
        <v>LARI, MINI SOCCER, GYM</v>
      </c>
      <c r="T596" s="97" t="s">
        <v>59</v>
      </c>
      <c r="U596" s="105" t="s">
        <v>60</v>
      </c>
      <c r="V596" s="101"/>
      <c r="W596" s="106" t="b">
        <v>1</v>
      </c>
      <c r="X596" s="107"/>
      <c r="Y596" s="108"/>
    </row>
    <row r="597" ht="22.5" customHeight="1">
      <c r="A597" s="96"/>
      <c r="B597" s="97" t="s">
        <v>85</v>
      </c>
      <c r="C597" s="98" t="str">
        <f t="array" ref="C597">IFNA(XLOOKUP(J597,'⚙️ Pengaturan'!$H$5:$H1508,'⚙️ Pengaturan'!$I$5:$I1508),"")</f>
        <v>TIM A</v>
      </c>
      <c r="D597" s="97" t="s">
        <v>54</v>
      </c>
      <c r="E597" s="99">
        <v>45964.0</v>
      </c>
      <c r="F597" s="100" t="str">
        <f t="shared" si="1"/>
        <v>2025</v>
      </c>
      <c r="G597" s="100" t="str">
        <f t="shared" si="2"/>
        <v>11Nov</v>
      </c>
      <c r="H597" s="100" t="str">
        <f t="shared" si="3"/>
        <v>Senin</v>
      </c>
      <c r="I597" s="97" t="s">
        <v>99</v>
      </c>
      <c r="J597" s="97" t="s">
        <v>79</v>
      </c>
      <c r="K597" s="97" t="s">
        <v>63</v>
      </c>
      <c r="L597" s="101" t="s">
        <v>313</v>
      </c>
      <c r="M597" s="102" t="str">
        <f>IFNA(VLOOKUP(L597,'🙎‍♂️ Pasien'!G:V,2,FALSE),"")</f>
        <v>K9925107744</v>
      </c>
      <c r="N597" s="103">
        <f>IFNA(VLOOKUP(L597,'🙎‍♂️ Pasien'!G:L,3,FALSE),"")</f>
        <v>26</v>
      </c>
      <c r="O597" s="104" t="str">
        <f>IFNA(VLOOKUP(L597,'🙎‍♂️ Pasien'!G:V,6,FALSE),"")</f>
        <v>PEREMPUAN</v>
      </c>
      <c r="P597" s="104" t="str">
        <f>IFNA(VLOOKUP(L597,'🙎‍♂️ Pasien'!G:V,12,FALSE),"")</f>
        <v>KATOLIK</v>
      </c>
      <c r="Q597" s="104" t="str">
        <f>IFNA(VLOOKUP(L597:L1508,'🙎‍♂️ Pasien'!G:V,13,FALSE),"")</f>
        <v>SWASTA</v>
      </c>
      <c r="R597" s="104" t="str">
        <f t="array" ref="R597">ifna(xlookup(L597,'🙎‍♂️ Pasien'!$G$5:$G1508,'🙎‍♂️ Pasien'!$T$5:$T1508),"")</f>
        <v>SAKIT BELAKANG</v>
      </c>
      <c r="S597" s="104" t="str">
        <f t="array" ref="S597">ifna(xlookup(L597,'🙎‍♂️ Pasien'!$G$5:$G1508,'🙎‍♂️ Pasien'!$U$5:$U1508),"")</f>
        <v>TIDAK ADA</v>
      </c>
      <c r="T597" s="97" t="s">
        <v>59</v>
      </c>
      <c r="U597" s="105">
        <v>4.0</v>
      </c>
      <c r="V597" s="101"/>
      <c r="W597" s="106" t="b">
        <v>1</v>
      </c>
      <c r="X597" s="107"/>
      <c r="Y597" s="108"/>
    </row>
    <row r="598" ht="22.5" customHeight="1">
      <c r="A598" s="96"/>
      <c r="B598" s="97" t="s">
        <v>85</v>
      </c>
      <c r="C598" s="98" t="str">
        <f t="array" ref="C598">IFNA(XLOOKUP(J598,'⚙️ Pengaturan'!$H$5:$H1508,'⚙️ Pengaturan'!$I$5:$I1508),"")</f>
        <v>TIM A</v>
      </c>
      <c r="D598" s="97" t="s">
        <v>54</v>
      </c>
      <c r="E598" s="99">
        <v>45964.0</v>
      </c>
      <c r="F598" s="100" t="str">
        <f t="shared" si="1"/>
        <v>2025</v>
      </c>
      <c r="G598" s="100" t="str">
        <f t="shared" si="2"/>
        <v>11Nov</v>
      </c>
      <c r="H598" s="100" t="str">
        <f t="shared" si="3"/>
        <v>Senin</v>
      </c>
      <c r="I598" s="97" t="s">
        <v>99</v>
      </c>
      <c r="J598" s="97" t="s">
        <v>62</v>
      </c>
      <c r="K598" s="97" t="s">
        <v>57</v>
      </c>
      <c r="L598" s="101" t="s">
        <v>445</v>
      </c>
      <c r="M598" s="102" t="str">
        <f>IFNA(VLOOKUP(L598,'🙎‍♂️ Pasien'!G:V,2,FALSE),"")</f>
        <v>M6925117500</v>
      </c>
      <c r="N598" s="103">
        <f>IFNA(VLOOKUP(L598,'🙎‍♂️ Pasien'!G:L,3,FALSE),"")</f>
        <v>56</v>
      </c>
      <c r="O598" s="104" t="str">
        <f>IFNA(VLOOKUP(L598,'🙎‍♂️ Pasien'!G:V,6,FALSE),"")</f>
        <v>PEREMPUAN</v>
      </c>
      <c r="P598" s="104" t="str">
        <f>IFNA(VLOOKUP(L598,'🙎‍♂️ Pasien'!G:V,12,FALSE),"")</f>
        <v>KATOLIK</v>
      </c>
      <c r="Q598" s="104" t="str">
        <f>IFNA(VLOOKUP(L598:L1508,'🙎‍♂️ Pasien'!G:V,13,FALSE),"")</f>
        <v>IRT</v>
      </c>
      <c r="R598" s="104" t="str">
        <f t="array" ref="R598">ifna(xlookup(L598,'🙎‍♂️ Pasien'!$G$5:$G1508,'🙎‍♂️ Pasien'!$T$5:$T1508),"")</f>
        <v>JARI</v>
      </c>
      <c r="S598" s="104" t="str">
        <f t="array" ref="S598">ifna(xlookup(L598,'🙎‍♂️ Pasien'!$G$5:$G1508,'🙎‍♂️ Pasien'!$U$5:$U1508),"")</f>
        <v>PEKERJAAN RUMAH TANGGA</v>
      </c>
      <c r="T598" s="97" t="s">
        <v>59</v>
      </c>
      <c r="U598" s="105" t="s">
        <v>60</v>
      </c>
      <c r="V598" s="101" t="s">
        <v>446</v>
      </c>
      <c r="W598" s="106" t="b">
        <v>1</v>
      </c>
      <c r="X598" s="107"/>
      <c r="Y598" s="108"/>
    </row>
    <row r="599" ht="22.5" customHeight="1">
      <c r="A599" s="96"/>
      <c r="B599" s="97" t="s">
        <v>53</v>
      </c>
      <c r="C599" s="98" t="str">
        <f t="array" ref="C599">IFNA(XLOOKUP(J599,'⚙️ Pengaturan'!$H$5:$H1508,'⚙️ Pengaturan'!$I$5:$I1508),"")</f>
        <v>TIM A</v>
      </c>
      <c r="D599" s="97" t="s">
        <v>54</v>
      </c>
      <c r="E599" s="99">
        <v>45965.0</v>
      </c>
      <c r="F599" s="100" t="str">
        <f t="shared" si="1"/>
        <v>2025</v>
      </c>
      <c r="G599" s="100" t="str">
        <f t="shared" si="2"/>
        <v>11Nov</v>
      </c>
      <c r="H599" s="100" t="str">
        <f t="shared" si="3"/>
        <v>Selasa</v>
      </c>
      <c r="I599" s="97" t="s">
        <v>55</v>
      </c>
      <c r="J599" s="97" t="s">
        <v>79</v>
      </c>
      <c r="K599" s="97" t="s">
        <v>63</v>
      </c>
      <c r="L599" s="101" t="s">
        <v>108</v>
      </c>
      <c r="M599" s="102" t="str">
        <f>IFNA(VLOOKUP(L599,'🙎‍♂️ Pasien'!G:V,2,FALSE),"")</f>
        <v>A5625092572</v>
      </c>
      <c r="N599" s="103">
        <f>IFNA(VLOOKUP(L599,'🙎‍♂️ Pasien'!G:L,3,FALSE),"")</f>
        <v>69</v>
      </c>
      <c r="O599" s="104" t="str">
        <f>IFNA(VLOOKUP(L599,'🙎‍♂️ Pasien'!G:V,6,FALSE),"")</f>
        <v>PEREMPUAN</v>
      </c>
      <c r="P599" s="104" t="str">
        <f>IFNA(VLOOKUP(L599,'🙎‍♂️ Pasien'!G:V,12,FALSE),"")</f>
        <v>ISLAM</v>
      </c>
      <c r="Q599" s="104" t="str">
        <f>IFNA(VLOOKUP(L599:L1508,'🙎‍♂️ Pasien'!G:V,13,FALSE),"")</f>
        <v>IRT</v>
      </c>
      <c r="R599" s="104" t="str">
        <f t="array" ref="R599">ifna(xlookup(L599,'🙎‍♂️ Pasien'!$G$5:$G1508,'🙎‍♂️ Pasien'!$T$5:$T1508),"")</f>
        <v>PINGGANG DAN KAKI</v>
      </c>
      <c r="S599" s="104" t="str">
        <f t="array" ref="S599">ifna(xlookup(L599,'🙎‍♂️ Pasien'!$G$5:$G1508,'🙎‍♂️ Pasien'!$U$5:$U1508),"")</f>
        <v>-</v>
      </c>
      <c r="T599" s="97" t="s">
        <v>59</v>
      </c>
      <c r="U599" s="105">
        <v>5.0</v>
      </c>
      <c r="V599" s="101"/>
      <c r="W599" s="106" t="b">
        <v>1</v>
      </c>
      <c r="X599" s="107"/>
      <c r="Y599" s="108"/>
    </row>
    <row r="600" ht="22.5" customHeight="1">
      <c r="A600" s="96"/>
      <c r="B600" s="97" t="s">
        <v>53</v>
      </c>
      <c r="C600" s="98" t="str">
        <f t="array" ref="C600">IFNA(XLOOKUP(J600,'⚙️ Pengaturan'!$H$5:$H1508,'⚙️ Pengaturan'!$I$5:$I1508),"")</f>
        <v>TIM Y</v>
      </c>
      <c r="D600" s="97" t="s">
        <v>54</v>
      </c>
      <c r="E600" s="99">
        <v>45965.0</v>
      </c>
      <c r="F600" s="100" t="str">
        <f t="shared" si="1"/>
        <v>2025</v>
      </c>
      <c r="G600" s="100" t="str">
        <f t="shared" si="2"/>
        <v>11Nov</v>
      </c>
      <c r="H600" s="100" t="str">
        <f t="shared" si="3"/>
        <v>Selasa</v>
      </c>
      <c r="I600" s="97" t="s">
        <v>55</v>
      </c>
      <c r="J600" s="97" t="s">
        <v>56</v>
      </c>
      <c r="K600" s="97" t="s">
        <v>63</v>
      </c>
      <c r="L600" s="101" t="s">
        <v>447</v>
      </c>
      <c r="M600" s="102" t="str">
        <f>IFNA(VLOOKUP(L600,'🙎‍♂️ Pasien'!G:V,2,FALSE),"")</f>
        <v>S6425029234</v>
      </c>
      <c r="N600" s="103">
        <f>IFNA(VLOOKUP(L600,'🙎‍♂️ Pasien'!G:L,3,FALSE),"")</f>
        <v>61</v>
      </c>
      <c r="O600" s="104" t="str">
        <f>IFNA(VLOOKUP(L600,'🙎‍♂️ Pasien'!G:V,6,FALSE),"")</f>
        <v>LAKI-LAKI</v>
      </c>
      <c r="P600" s="104" t="str">
        <f>IFNA(VLOOKUP(L600,'🙎‍♂️ Pasien'!G:V,12,FALSE),"")</f>
        <v>ISLAM</v>
      </c>
      <c r="Q600" s="104" t="str">
        <f>IFNA(VLOOKUP(L600:L1508,'🙎‍♂️ Pasien'!G:V,13,FALSE),"")</f>
        <v>PENSIUNAN</v>
      </c>
      <c r="R600" s="104" t="str">
        <f t="array" ref="R600">ifna(xlookup(L600,'🙎‍♂️ Pasien'!$G$5:$G1508,'🙎‍♂️ Pasien'!$T$5:$T1508),"")</f>
        <v>SAKIT NYERI PADA TANGAN KANAN</v>
      </c>
      <c r="S600" s="104" t="str">
        <f t="array" ref="S600">ifna(xlookup(L600,'🙎‍♂️ Pasien'!$G$5:$G1508,'🙎‍♂️ Pasien'!$U$5:$U1508),"")</f>
        <v>PEKERJAAN</v>
      </c>
      <c r="T600" s="97" t="s">
        <v>67</v>
      </c>
      <c r="U600" s="105">
        <v>1.0</v>
      </c>
      <c r="V600" s="101" t="s">
        <v>137</v>
      </c>
      <c r="W600" s="106" t="b">
        <v>1</v>
      </c>
      <c r="X600" s="107"/>
      <c r="Y600" s="108"/>
    </row>
    <row r="601" ht="22.5" customHeight="1">
      <c r="A601" s="96"/>
      <c r="B601" s="97" t="s">
        <v>53</v>
      </c>
      <c r="C601" s="98" t="str">
        <f t="array" ref="C601">IFNA(XLOOKUP(J601,'⚙️ Pengaturan'!$H$5:$H1508,'⚙️ Pengaturan'!$I$5:$I1508),"")</f>
        <v>TIM A</v>
      </c>
      <c r="D601" s="97" t="s">
        <v>54</v>
      </c>
      <c r="E601" s="99">
        <v>45965.0</v>
      </c>
      <c r="F601" s="100" t="str">
        <f t="shared" si="1"/>
        <v>2025</v>
      </c>
      <c r="G601" s="100" t="str">
        <f t="shared" si="2"/>
        <v>11Nov</v>
      </c>
      <c r="H601" s="100" t="str">
        <f t="shared" si="3"/>
        <v>Selasa</v>
      </c>
      <c r="I601" s="97" t="s">
        <v>65</v>
      </c>
      <c r="J601" s="97" t="s">
        <v>79</v>
      </c>
      <c r="K601" s="97" t="s">
        <v>57</v>
      </c>
      <c r="L601" s="101" t="s">
        <v>448</v>
      </c>
      <c r="M601" s="102" t="str">
        <f>IFNA(VLOOKUP(L601,'🙎‍♂️ Pasien'!G:V,2,FALSE),"")</f>
        <v>M8525119888</v>
      </c>
      <c r="N601" s="103">
        <f>IFNA(VLOOKUP(L601,'🙎‍♂️ Pasien'!G:L,3,FALSE),"")</f>
        <v>40</v>
      </c>
      <c r="O601" s="104" t="str">
        <f>IFNA(VLOOKUP(L601,'🙎‍♂️ Pasien'!G:V,6,FALSE),"")</f>
        <v>PEREMPUAN</v>
      </c>
      <c r="P601" s="104" t="str">
        <f>IFNA(VLOOKUP(L601,'🙎‍♂️ Pasien'!G:V,12,FALSE),"")</f>
        <v>BUDDHA</v>
      </c>
      <c r="Q601" s="104" t="str">
        <f>IFNA(VLOOKUP(L601:L1508,'🙎‍♂️ Pasien'!G:V,13,FALSE),"")</f>
        <v>IBU RUMAH TANGGA</v>
      </c>
      <c r="R601" s="104" t="str">
        <f t="array" ref="R601">ifna(xlookup(L601,'🙎‍♂️ Pasien'!$G$5:$G1508,'🙎‍♂️ Pasien'!$T$5:$T1508),"")</f>
        <v>NYERI PADA SIKU SEBELAH KANAN</v>
      </c>
      <c r="S601" s="104" t="str">
        <f t="array" ref="S601">ifna(xlookup(L601,'🙎‍♂️ Pasien'!$G$5:$G1508,'🙎‍♂️ Pasien'!$U$5:$U1508),"")</f>
        <v>GYM</v>
      </c>
      <c r="T601" s="97" t="s">
        <v>59</v>
      </c>
      <c r="U601" s="105" t="s">
        <v>60</v>
      </c>
      <c r="V601" s="101"/>
      <c r="W601" s="106" t="b">
        <v>1</v>
      </c>
      <c r="X601" s="107"/>
      <c r="Y601" s="108"/>
    </row>
    <row r="602" ht="22.5" customHeight="1">
      <c r="A602" s="96"/>
      <c r="B602" s="97" t="s">
        <v>53</v>
      </c>
      <c r="C602" s="98" t="str">
        <f t="array" ref="C602">IFNA(XLOOKUP(J602,'⚙️ Pengaturan'!$H$5:$H1508,'⚙️ Pengaturan'!$I$5:$I1508),"")</f>
        <v>TIM Y</v>
      </c>
      <c r="D602" s="97" t="s">
        <v>54</v>
      </c>
      <c r="E602" s="99">
        <v>45965.0</v>
      </c>
      <c r="F602" s="100" t="str">
        <f t="shared" si="1"/>
        <v>2025</v>
      </c>
      <c r="G602" s="100" t="str">
        <f t="shared" si="2"/>
        <v>11Nov</v>
      </c>
      <c r="H602" s="100" t="str">
        <f t="shared" si="3"/>
        <v>Selasa</v>
      </c>
      <c r="I602" s="97" t="s">
        <v>65</v>
      </c>
      <c r="J602" s="97" t="s">
        <v>56</v>
      </c>
      <c r="K602" s="97" t="s">
        <v>63</v>
      </c>
      <c r="L602" s="101" t="s">
        <v>303</v>
      </c>
      <c r="M602" s="102" t="str">
        <f>IFNA(VLOOKUP(L602,'🙎‍♂️ Pasien'!G:V,2,FALSE),"")</f>
        <v>M7825098720</v>
      </c>
      <c r="N602" s="103">
        <f>IFNA(VLOOKUP(L602,'🙎‍♂️ Pasien'!G:L,3,FALSE),"")</f>
        <v>47</v>
      </c>
      <c r="O602" s="104" t="str">
        <f>IFNA(VLOOKUP(L602,'🙎‍♂️ Pasien'!G:V,6,FALSE),"")</f>
        <v>LAKI-LAKI</v>
      </c>
      <c r="P602" s="104" t="str">
        <f>IFNA(VLOOKUP(L602,'🙎‍♂️ Pasien'!G:V,12,FALSE),"")</f>
        <v>ISLAM</v>
      </c>
      <c r="Q602" s="104" t="str">
        <f>IFNA(VLOOKUP(L602:L1508,'🙎‍♂️ Pasien'!G:V,13,FALSE),"")</f>
        <v>WIRASWASTA</v>
      </c>
      <c r="R602" s="104" t="str">
        <f t="array" ref="R602">ifna(xlookup(L602,'🙎‍♂️ Pasien'!$G$5:$G1508,'🙎‍♂️ Pasien'!$T$5:$T1508),"")</f>
        <v>KAKI KESEMUTAN KEDUANYA, OTOT/URAT/SARAF KADANG KENCANG DR PAHA LUTUT BETIK KAKI, PINGGANG KADANG NYERI, JALAN KADANG SEMPOYONGAN.</v>
      </c>
      <c r="S602" s="104" t="str">
        <f t="array" ref="S602">ifna(xlookup(L602,'🙎‍♂️ Pasien'!$G$5:$G1508,'🙎‍♂️ Pasien'!$U$5:$U1508),"")</f>
        <v>RUTINITAS BIASA AJA</v>
      </c>
      <c r="T602" s="97" t="s">
        <v>59</v>
      </c>
      <c r="U602" s="105">
        <v>5.0</v>
      </c>
      <c r="V602" s="101"/>
      <c r="W602" s="106" t="b">
        <v>1</v>
      </c>
      <c r="X602" s="107"/>
      <c r="Y602" s="108"/>
    </row>
    <row r="603" ht="22.5" customHeight="1">
      <c r="A603" s="96"/>
      <c r="B603" s="97" t="s">
        <v>53</v>
      </c>
      <c r="C603" s="98" t="str">
        <f t="array" ref="C603">IFNA(XLOOKUP(J603,'⚙️ Pengaturan'!$H$5:$H1508,'⚙️ Pengaturan'!$I$5:$I1508),"")</f>
        <v>TIM A</v>
      </c>
      <c r="D603" s="97" t="s">
        <v>54</v>
      </c>
      <c r="E603" s="99">
        <v>45965.0</v>
      </c>
      <c r="F603" s="100" t="str">
        <f t="shared" si="1"/>
        <v>2025</v>
      </c>
      <c r="G603" s="100" t="str">
        <f t="shared" si="2"/>
        <v>11Nov</v>
      </c>
      <c r="H603" s="100" t="str">
        <f t="shared" si="3"/>
        <v>Selasa</v>
      </c>
      <c r="I603" s="97" t="s">
        <v>74</v>
      </c>
      <c r="J603" s="97" t="s">
        <v>79</v>
      </c>
      <c r="K603" s="97" t="s">
        <v>63</v>
      </c>
      <c r="L603" s="101" t="s">
        <v>302</v>
      </c>
      <c r="M603" s="102" t="str">
        <f>IFNA(VLOOKUP(L603,'🙎‍♂️ Pasien'!G:V,2,FALSE),"")</f>
        <v>A9425105994</v>
      </c>
      <c r="N603" s="103">
        <f>IFNA(VLOOKUP(L603,'🙎‍♂️ Pasien'!G:L,3,FALSE),"")</f>
        <v>32</v>
      </c>
      <c r="O603" s="104" t="str">
        <f>IFNA(VLOOKUP(L603,'🙎‍♂️ Pasien'!G:V,6,FALSE),"")</f>
        <v>LAKI-LAKI</v>
      </c>
      <c r="P603" s="104" t="str">
        <f>IFNA(VLOOKUP(L603,'🙎‍♂️ Pasien'!G:V,12,FALSE),"")</f>
        <v>ISLAM</v>
      </c>
      <c r="Q603" s="104" t="str">
        <f>IFNA(VLOOKUP(L603:L1508,'🙎‍♂️ Pasien'!G:V,13,FALSE),"")</f>
        <v>KARYAWAN SWASTA</v>
      </c>
      <c r="R603" s="104" t="str">
        <f t="array" ref="R603">ifna(xlookup(L603,'🙎‍♂️ Pasien'!$G$5:$G1508,'🙎‍♂️ Pasien'!$T$5:$T1508),"")</f>
        <v>LUTUT</v>
      </c>
      <c r="S603" s="104" t="str">
        <f t="array" ref="S603">ifna(xlookup(L603,'🙎‍♂️ Pasien'!$G$5:$G1508,'🙎‍♂️ Pasien'!$U$5:$U1508),"")</f>
        <v>OLAGRAGA</v>
      </c>
      <c r="T603" s="97" t="s">
        <v>59</v>
      </c>
      <c r="U603" s="105">
        <v>9.0</v>
      </c>
      <c r="V603" s="101"/>
      <c r="W603" s="106" t="b">
        <v>1</v>
      </c>
      <c r="X603" s="107"/>
      <c r="Y603" s="108"/>
    </row>
    <row r="604" ht="22.5" customHeight="1">
      <c r="A604" s="96"/>
      <c r="B604" s="97" t="s">
        <v>53</v>
      </c>
      <c r="C604" s="98" t="str">
        <f t="array" ref="C604">IFNA(XLOOKUP(J604,'⚙️ Pengaturan'!$H$5:$H1508,'⚙️ Pengaturan'!$I$5:$I1508),"")</f>
        <v>TIM A</v>
      </c>
      <c r="D604" s="97" t="s">
        <v>54</v>
      </c>
      <c r="E604" s="99">
        <v>45965.0</v>
      </c>
      <c r="F604" s="100" t="str">
        <f t="shared" si="1"/>
        <v>2025</v>
      </c>
      <c r="G604" s="100" t="str">
        <f t="shared" si="2"/>
        <v>11Nov</v>
      </c>
      <c r="H604" s="100" t="str">
        <f t="shared" si="3"/>
        <v>Selasa</v>
      </c>
      <c r="I604" s="97" t="s">
        <v>76</v>
      </c>
      <c r="J604" s="97" t="s">
        <v>62</v>
      </c>
      <c r="K604" s="97" t="s">
        <v>57</v>
      </c>
      <c r="L604" s="101" t="s">
        <v>449</v>
      </c>
      <c r="M604" s="102" t="str">
        <f>IFNA(VLOOKUP(L604,'🙎‍♂️ Pasien'!G:V,2,FALSE),"")</f>
        <v>G9924046563</v>
      </c>
      <c r="N604" s="103">
        <f>IFNA(VLOOKUP(L604,'🙎‍♂️ Pasien'!G:L,3,FALSE),"")</f>
        <v>27</v>
      </c>
      <c r="O604" s="104" t="str">
        <f>IFNA(VLOOKUP(L604,'🙎‍♂️ Pasien'!G:V,6,FALSE),"")</f>
        <v>PEREMPUAN</v>
      </c>
      <c r="P604" s="104" t="str">
        <f>IFNA(VLOOKUP(L604,'🙎‍♂️ Pasien'!G:V,12,FALSE),"")</f>
        <v>ISLAM</v>
      </c>
      <c r="Q604" s="104" t="str">
        <f>IFNA(VLOOKUP(L604:L1508,'🙎‍♂️ Pasien'!G:V,13,FALSE),"")</f>
        <v>BUMN</v>
      </c>
      <c r="R604" s="104" t="str">
        <f t="array" ref="R604">ifna(xlookup(L604,'🙎‍♂️ Pasien'!$G$5:$G1508,'🙎‍♂️ Pasien'!$T$5:$T1508),"")</f>
        <v>Nyeri bahu , lengan kiri, dan leher</v>
      </c>
      <c r="S604" s="104" t="str">
        <f t="array" ref="S604">ifna(xlookup(L604,'🙎‍♂️ Pasien'!$G$5:$G1508,'🙎‍♂️ Pasien'!$U$5:$U1508),"")</f>
        <v>Kerja</v>
      </c>
      <c r="T604" s="97" t="s">
        <v>59</v>
      </c>
      <c r="U604" s="105" t="s">
        <v>60</v>
      </c>
      <c r="V604" s="101"/>
      <c r="W604" s="106" t="b">
        <v>1</v>
      </c>
      <c r="X604" s="107"/>
      <c r="Y604" s="108"/>
    </row>
    <row r="605" ht="22.5" customHeight="1">
      <c r="A605" s="96"/>
      <c r="B605" s="97" t="s">
        <v>53</v>
      </c>
      <c r="C605" s="98" t="str">
        <f t="array" ref="C605">IFNA(XLOOKUP(J605,'⚙️ Pengaturan'!$H$5:$H1508,'⚙️ Pengaturan'!$I$5:$I1508),"")</f>
        <v>TIM A</v>
      </c>
      <c r="D605" s="97" t="s">
        <v>54</v>
      </c>
      <c r="E605" s="99">
        <v>45965.0</v>
      </c>
      <c r="F605" s="100" t="str">
        <f t="shared" si="1"/>
        <v>2025</v>
      </c>
      <c r="G605" s="100" t="str">
        <f t="shared" si="2"/>
        <v>11Nov</v>
      </c>
      <c r="H605" s="100" t="str">
        <f t="shared" si="3"/>
        <v>Selasa</v>
      </c>
      <c r="I605" s="97" t="s">
        <v>76</v>
      </c>
      <c r="J605" s="97" t="s">
        <v>79</v>
      </c>
      <c r="K605" s="97" t="s">
        <v>63</v>
      </c>
      <c r="L605" s="101" t="s">
        <v>307</v>
      </c>
      <c r="M605" s="102" t="str">
        <f>IFNA(VLOOKUP(L605,'🙎‍♂️ Pasien'!G:V,2,FALSE),"")</f>
        <v>M9825086178</v>
      </c>
      <c r="N605" s="103">
        <f>IFNA(VLOOKUP(L605,'🙎‍♂️ Pasien'!G:L,3,FALSE),"")</f>
        <v>28</v>
      </c>
      <c r="O605" s="104" t="str">
        <f>IFNA(VLOOKUP(L605,'🙎‍♂️ Pasien'!G:V,6,FALSE),"")</f>
        <v>PEREMPUAN</v>
      </c>
      <c r="P605" s="104" t="str">
        <f>IFNA(VLOOKUP(L605,'🙎‍♂️ Pasien'!G:V,12,FALSE),"")</f>
        <v>PROTESTAN</v>
      </c>
      <c r="Q605" s="104" t="str">
        <f>IFNA(VLOOKUP(L605:L1508,'🙎‍♂️ Pasien'!G:V,13,FALSE),"")</f>
        <v>WIRAUSAHA</v>
      </c>
      <c r="R605" s="104" t="str">
        <f t="array" ref="R605">ifna(xlookup(L605,'🙎‍♂️ Pasien'!$G$5:$G1508,'🙎‍♂️ Pasien'!$T$5:$T1508),"")</f>
        <v>BAHU MIRING</v>
      </c>
      <c r="S605" s="104" t="str">
        <f t="array" ref="S605">ifna(xlookup(L605,'🙎‍♂️ Pasien'!$G$5:$G1508,'🙎‍♂️ Pasien'!$U$5:$U1508),"")</f>
        <v>GYM</v>
      </c>
      <c r="T605" s="97" t="s">
        <v>59</v>
      </c>
      <c r="U605" s="105">
        <v>5.0</v>
      </c>
      <c r="V605" s="101"/>
      <c r="W605" s="106" t="b">
        <v>1</v>
      </c>
      <c r="X605" s="107"/>
      <c r="Y605" s="108"/>
    </row>
    <row r="606" ht="22.5" customHeight="1">
      <c r="A606" s="96"/>
      <c r="B606" s="97" t="s">
        <v>53</v>
      </c>
      <c r="C606" s="98" t="str">
        <f t="array" ref="C606">IFNA(XLOOKUP(J606,'⚙️ Pengaturan'!$H$5:$H1508,'⚙️ Pengaturan'!$I$5:$I1508),"")</f>
        <v>TIM A</v>
      </c>
      <c r="D606" s="97" t="s">
        <v>54</v>
      </c>
      <c r="E606" s="99">
        <v>45965.0</v>
      </c>
      <c r="F606" s="100" t="str">
        <f t="shared" si="1"/>
        <v>2025</v>
      </c>
      <c r="G606" s="100" t="str">
        <f t="shared" si="2"/>
        <v>11Nov</v>
      </c>
      <c r="H606" s="100" t="str">
        <f t="shared" si="3"/>
        <v>Selasa</v>
      </c>
      <c r="I606" s="97" t="s">
        <v>83</v>
      </c>
      <c r="J606" s="97" t="s">
        <v>79</v>
      </c>
      <c r="K606" s="97" t="s">
        <v>69</v>
      </c>
      <c r="L606" s="101" t="s">
        <v>282</v>
      </c>
      <c r="M606" s="102" t="str">
        <f>IFNA(VLOOKUP(L606,'🙎‍♂️ Pasien'!G:V,2,FALSE),"")</f>
        <v>E9425102074</v>
      </c>
      <c r="N606" s="103">
        <f>IFNA(VLOOKUP(L606,'🙎‍♂️ Pasien'!G:L,3,FALSE),"")</f>
        <v>32</v>
      </c>
      <c r="O606" s="104" t="str">
        <f>IFNA(VLOOKUP(L606,'🙎‍♂️ Pasien'!G:V,6,FALSE),"")</f>
        <v>PEREMPUAN</v>
      </c>
      <c r="P606" s="104" t="str">
        <f>IFNA(VLOOKUP(L606,'🙎‍♂️ Pasien'!G:V,12,FALSE),"")</f>
        <v>KATOLIK</v>
      </c>
      <c r="Q606" s="104" t="str">
        <f>IFNA(VLOOKUP(L606:L1508,'🙎‍♂️ Pasien'!G:V,13,FALSE),"")</f>
        <v>PEGAWAI SWASTA</v>
      </c>
      <c r="R606" s="104" t="str">
        <f t="array" ref="R606">ifna(xlookup(L606,'🙎‍♂️ Pasien'!$G$5:$G1508,'🙎‍♂️ Pasien'!$T$5:$T1508),"")</f>
        <v>TENNIS ELBOW</v>
      </c>
      <c r="S606" s="104" t="str">
        <f t="array" ref="S606">ifna(xlookup(L606,'🙎‍♂️ Pasien'!$G$5:$G1508,'🙎‍♂️ Pasien'!$U$5:$U1508),"")</f>
        <v>BADMINTON</v>
      </c>
      <c r="T606" s="97" t="s">
        <v>59</v>
      </c>
      <c r="U606" s="105" t="s">
        <v>60</v>
      </c>
      <c r="V606" s="101"/>
      <c r="W606" s="106" t="b">
        <v>1</v>
      </c>
      <c r="X606" s="107"/>
      <c r="Y606" s="108"/>
    </row>
    <row r="607" ht="22.5" customHeight="1">
      <c r="A607" s="96"/>
      <c r="B607" s="97" t="s">
        <v>53</v>
      </c>
      <c r="C607" s="98" t="str">
        <f t="array" ref="C607">IFNA(XLOOKUP(J607,'⚙️ Pengaturan'!$H$5:$H1508,'⚙️ Pengaturan'!$I$5:$I1508),"")</f>
        <v>TIM A</v>
      </c>
      <c r="D607" s="97" t="s">
        <v>54</v>
      </c>
      <c r="E607" s="99">
        <v>45965.0</v>
      </c>
      <c r="F607" s="100" t="str">
        <f t="shared" si="1"/>
        <v>2025</v>
      </c>
      <c r="G607" s="100" t="str">
        <f t="shared" si="2"/>
        <v>11Nov</v>
      </c>
      <c r="H607" s="100" t="str">
        <f t="shared" si="3"/>
        <v>Selasa</v>
      </c>
      <c r="I607" s="97" t="s">
        <v>83</v>
      </c>
      <c r="J607" s="97" t="s">
        <v>62</v>
      </c>
      <c r="K607" s="97" t="s">
        <v>63</v>
      </c>
      <c r="L607" s="101" t="s">
        <v>149</v>
      </c>
      <c r="M607" s="102" t="str">
        <f>IFNA(VLOOKUP(L607,'🙎‍♂️ Pasien'!G:V,2,FALSE),"")</f>
        <v>S9825058991</v>
      </c>
      <c r="N607" s="103">
        <f>IFNA(VLOOKUP(L607,'🙎‍♂️ Pasien'!G:L,3,FALSE),"")</f>
        <v>27</v>
      </c>
      <c r="O607" s="104" t="str">
        <f>IFNA(VLOOKUP(L607,'🙎‍♂️ Pasien'!G:V,6,FALSE),"")</f>
        <v>PEREMPUAN</v>
      </c>
      <c r="P607" s="104" t="str">
        <f>IFNA(VLOOKUP(L607,'🙎‍♂️ Pasien'!G:V,12,FALSE),"")</f>
        <v>ISLAM</v>
      </c>
      <c r="Q607" s="104" t="str">
        <f>IFNA(VLOOKUP(L607:L1508,'🙎‍♂️ Pasien'!G:V,13,FALSE),"")</f>
        <v>SWASTA</v>
      </c>
      <c r="R607" s="104" t="str">
        <f t="array" ref="R607">ifna(xlookup(L607,'🙎‍♂️ Pasien'!$G$5:$G1508,'🙎‍♂️ Pasien'!$T$5:$T1508),"")</f>
        <v>HNP LUMBAL/SARAF KEJEPIT</v>
      </c>
      <c r="S607" s="104" t="str">
        <f t="array" ref="S607">ifna(xlookup(L607,'🙎‍♂️ Pasien'!$G$5:$G1508,'🙎‍♂️ Pasien'!$U$5:$U1508),"")</f>
        <v>BEKERJA KANTORAN</v>
      </c>
      <c r="T607" s="97" t="s">
        <v>59</v>
      </c>
      <c r="U607" s="105">
        <v>1.0</v>
      </c>
      <c r="V607" s="101"/>
      <c r="W607" s="106" t="b">
        <v>1</v>
      </c>
      <c r="X607" s="107"/>
      <c r="Y607" s="108"/>
    </row>
    <row r="608" ht="22.5" customHeight="1">
      <c r="A608" s="96"/>
      <c r="B608" s="97" t="s">
        <v>53</v>
      </c>
      <c r="C608" s="98" t="str">
        <f t="array" ref="C608">IFNA(XLOOKUP(J608,'⚙️ Pengaturan'!$H$5:$H1508,'⚙️ Pengaturan'!$I$5:$I1508),"")</f>
        <v>TIM Y</v>
      </c>
      <c r="D608" s="97" t="s">
        <v>54</v>
      </c>
      <c r="E608" s="99">
        <v>45965.0</v>
      </c>
      <c r="F608" s="100" t="str">
        <f t="shared" si="1"/>
        <v>2025</v>
      </c>
      <c r="G608" s="100" t="str">
        <f t="shared" si="2"/>
        <v>11Nov</v>
      </c>
      <c r="H608" s="100" t="str">
        <f t="shared" si="3"/>
        <v>Selasa</v>
      </c>
      <c r="I608" s="97" t="s">
        <v>83</v>
      </c>
      <c r="J608" s="97" t="s">
        <v>56</v>
      </c>
      <c r="K608" s="97" t="s">
        <v>63</v>
      </c>
      <c r="L608" s="101" t="s">
        <v>160</v>
      </c>
      <c r="M608" s="102" t="str">
        <f>IFNA(VLOOKUP(L608,'🙎‍♂️ Pasien'!G:V,2,FALSE),"")</f>
        <v>S7625091177</v>
      </c>
      <c r="N608" s="103">
        <f>IFNA(VLOOKUP(L608,'🙎‍♂️ Pasien'!G:L,3,FALSE),"")</f>
        <v>49</v>
      </c>
      <c r="O608" s="104" t="str">
        <f>IFNA(VLOOKUP(L608,'🙎‍♂️ Pasien'!G:V,6,FALSE),"")</f>
        <v>LAKI-LAKI</v>
      </c>
      <c r="P608" s="104" t="str">
        <f>IFNA(VLOOKUP(L608,'🙎‍♂️ Pasien'!G:V,12,FALSE),"")</f>
        <v>ISLAM</v>
      </c>
      <c r="Q608" s="104" t="str">
        <f>IFNA(VLOOKUP(L608:L1508,'🙎‍♂️ Pasien'!G:V,13,FALSE),"")</f>
        <v>WIRASWASTA</v>
      </c>
      <c r="R608" s="104" t="str">
        <f t="array" ref="R608">ifna(xlookup(L608,'🙎‍♂️ Pasien'!$G$5:$G1508,'🙎‍♂️ Pasien'!$T$5:$T1508),"")</f>
        <v>CEDERA LUTUT</v>
      </c>
      <c r="S608" s="104" t="str">
        <f t="array" ref="S608">ifna(xlookup(L608,'🙎‍♂️ Pasien'!$G$5:$G1508,'🙎‍♂️ Pasien'!$U$5:$U1508),"")</f>
        <v>MAIN BADMINTON</v>
      </c>
      <c r="T608" s="97" t="s">
        <v>67</v>
      </c>
      <c r="U608" s="105">
        <v>3.0</v>
      </c>
      <c r="V608" s="101" t="s">
        <v>450</v>
      </c>
      <c r="W608" s="106" t="b">
        <v>1</v>
      </c>
      <c r="X608" s="107"/>
      <c r="Y608" s="108"/>
    </row>
    <row r="609" ht="22.5" customHeight="1">
      <c r="A609" s="96"/>
      <c r="B609" s="97" t="s">
        <v>85</v>
      </c>
      <c r="C609" s="98" t="str">
        <f t="array" ref="C609">IFNA(XLOOKUP(J609,'⚙️ Pengaturan'!$H$5:$H1508,'⚙️ Pengaturan'!$I$5:$I1508),"")</f>
        <v>TIM A</v>
      </c>
      <c r="D609" s="97" t="s">
        <v>86</v>
      </c>
      <c r="E609" s="99">
        <v>45965.0</v>
      </c>
      <c r="F609" s="100" t="str">
        <f t="shared" si="1"/>
        <v>2025</v>
      </c>
      <c r="G609" s="100" t="str">
        <f t="shared" si="2"/>
        <v>11Nov</v>
      </c>
      <c r="H609" s="100" t="str">
        <f t="shared" si="3"/>
        <v>Selasa</v>
      </c>
      <c r="I609" s="97" t="s">
        <v>87</v>
      </c>
      <c r="J609" s="97" t="s">
        <v>72</v>
      </c>
      <c r="K609" s="97" t="s">
        <v>69</v>
      </c>
      <c r="L609" s="101" t="s">
        <v>433</v>
      </c>
      <c r="M609" s="102" t="str">
        <f>IFNA(VLOOKUP(L609,'🙎‍♂️ Pasien'!G:V,2,FALSE),"")</f>
        <v>M9825114498</v>
      </c>
      <c r="N609" s="103">
        <f>IFNA(VLOOKUP(L609,'🙎‍♂️ Pasien'!G:L,3,FALSE),"")</f>
        <v>27</v>
      </c>
      <c r="O609" s="104" t="str">
        <f>IFNA(VLOOKUP(L609,'🙎‍♂️ Pasien'!G:V,6,FALSE),"")</f>
        <v>PEREMPUAN</v>
      </c>
      <c r="P609" s="104" t="str">
        <f>IFNA(VLOOKUP(L609,'🙎‍♂️ Pasien'!G:V,12,FALSE),"")</f>
        <v>ISLAM</v>
      </c>
      <c r="Q609" s="104" t="str">
        <f>IFNA(VLOOKUP(L609:L1508,'🙎‍♂️ Pasien'!G:V,13,FALSE),"")</f>
        <v>PNS</v>
      </c>
      <c r="R609" s="104" t="str">
        <f t="array" ref="R609">ifna(xlookup(L609,'🙎‍♂️ Pasien'!$G$5:$G1508,'🙎‍♂️ Pasien'!$T$5:$T1508),"")</f>
        <v>KAKI BENGKAK SETELAH KECELAKAAN DAN BELUM BISA DIBENGKOKKAN</v>
      </c>
      <c r="S609" s="104" t="str">
        <f t="array" ref="S609">ifna(xlookup(L609,'🙎‍♂️ Pasien'!$G$5:$G1508,'🙎‍♂️ Pasien'!$U$5:$U1508),"")</f>
        <v>MENGAJAR DAN HARUS NAIK TANGGA</v>
      </c>
      <c r="T609" s="97" t="s">
        <v>59</v>
      </c>
      <c r="U609" s="105" t="s">
        <v>60</v>
      </c>
      <c r="V609" s="101"/>
      <c r="W609" s="106" t="b">
        <v>1</v>
      </c>
      <c r="X609" s="107"/>
      <c r="Y609" s="108"/>
    </row>
    <row r="610" ht="22.5" customHeight="1">
      <c r="A610" s="96"/>
      <c r="B610" s="97" t="s">
        <v>85</v>
      </c>
      <c r="C610" s="98" t="str">
        <f t="array" ref="C610">IFNA(XLOOKUP(J610,'⚙️ Pengaturan'!$H$5:$H1508,'⚙️ Pengaturan'!$I$5:$I1508),"")</f>
        <v>TIM Y</v>
      </c>
      <c r="D610" s="97" t="s">
        <v>86</v>
      </c>
      <c r="E610" s="99">
        <v>45965.0</v>
      </c>
      <c r="F610" s="100" t="str">
        <f t="shared" si="1"/>
        <v>2025</v>
      </c>
      <c r="G610" s="100" t="str">
        <f t="shared" si="2"/>
        <v>11Nov</v>
      </c>
      <c r="H610" s="100" t="str">
        <f t="shared" si="3"/>
        <v>Selasa</v>
      </c>
      <c r="I610" s="97" t="s">
        <v>87</v>
      </c>
      <c r="J610" s="97" t="s">
        <v>88</v>
      </c>
      <c r="K610" s="97" t="s">
        <v>57</v>
      </c>
      <c r="L610" s="101" t="s">
        <v>451</v>
      </c>
      <c r="M610" s="102" t="str">
        <f>IFNA(VLOOKUP(L610,'🙎‍♂️ Pasien'!G:V,2,FALSE),"")</f>
        <v>M0825116129</v>
      </c>
      <c r="N610" s="103">
        <f>IFNA(VLOOKUP(L610,'🙎‍♂️ Pasien'!G:L,3,FALSE),"")</f>
        <v>18</v>
      </c>
      <c r="O610" s="104" t="str">
        <f>IFNA(VLOOKUP(L610,'🙎‍♂️ Pasien'!G:V,6,FALSE),"")</f>
        <v>LAKI-LAKI</v>
      </c>
      <c r="P610" s="104" t="str">
        <f>IFNA(VLOOKUP(L610,'🙎‍♂️ Pasien'!G:V,12,FALSE),"")</f>
        <v>PROTESTAN</v>
      </c>
      <c r="Q610" s="104" t="str">
        <f>IFNA(VLOOKUP(L610:L1508,'🙎‍♂️ Pasien'!G:V,13,FALSE),"")</f>
        <v>PELAJAR</v>
      </c>
      <c r="R610" s="104" t="str">
        <f t="array" ref="R610">ifna(xlookup(L610,'🙎‍♂️ Pasien'!$G$5:$G1508,'🙎‍♂️ Pasien'!$T$5:$T1508),"")</f>
        <v>SKOLIOSIS</v>
      </c>
      <c r="S610" s="104" t="str">
        <f t="array" ref="S610">ifna(xlookup(L610,'🙎‍♂️ Pasien'!$G$5:$G1508,'🙎‍♂️ Pasien'!$U$5:$U1508),"")</f>
        <v>BELAJAR</v>
      </c>
      <c r="T610" s="97" t="s">
        <v>59</v>
      </c>
      <c r="U610" s="105" t="s">
        <v>60</v>
      </c>
      <c r="V610" s="101"/>
      <c r="W610" s="106" t="b">
        <v>1</v>
      </c>
      <c r="X610" s="107"/>
      <c r="Y610" s="108"/>
    </row>
    <row r="611" ht="22.5" customHeight="1">
      <c r="A611" s="96"/>
      <c r="B611" s="97" t="s">
        <v>85</v>
      </c>
      <c r="C611" s="98" t="str">
        <f t="array" ref="C611">IFNA(XLOOKUP(J611,'⚙️ Pengaturan'!$H$5:$H1508,'⚙️ Pengaturan'!$I$5:$I1508),"")</f>
        <v>TIM Y</v>
      </c>
      <c r="D611" s="97" t="s">
        <v>86</v>
      </c>
      <c r="E611" s="99">
        <v>45965.0</v>
      </c>
      <c r="F611" s="100" t="str">
        <f t="shared" si="1"/>
        <v>2025</v>
      </c>
      <c r="G611" s="100" t="str">
        <f t="shared" si="2"/>
        <v>11Nov</v>
      </c>
      <c r="H611" s="100" t="str">
        <f t="shared" si="3"/>
        <v>Selasa</v>
      </c>
      <c r="I611" s="97" t="s">
        <v>87</v>
      </c>
      <c r="J611" s="97" t="s">
        <v>107</v>
      </c>
      <c r="K611" s="97" t="s">
        <v>63</v>
      </c>
      <c r="L611" s="101" t="s">
        <v>153</v>
      </c>
      <c r="M611" s="102" t="str">
        <f>IFNA(VLOOKUP(L611,'🙎‍♂️ Pasien'!G:V,2,FALSE),"")</f>
        <v>S6225086797</v>
      </c>
      <c r="N611" s="103">
        <f>IFNA(VLOOKUP(L611,'🙎‍♂️ Pasien'!G:L,3,FALSE),"")</f>
        <v>63</v>
      </c>
      <c r="O611" s="104" t="str">
        <f>IFNA(VLOOKUP(L611,'🙎‍♂️ Pasien'!G:V,6,FALSE),"")</f>
        <v>PEREMPUAN</v>
      </c>
      <c r="P611" s="104" t="str">
        <f>IFNA(VLOOKUP(L611,'🙎‍♂️ Pasien'!G:V,12,FALSE),"")</f>
        <v>ISLAM</v>
      </c>
      <c r="Q611" s="104" t="str">
        <f>IFNA(VLOOKUP(L611:L1508,'🙎‍♂️ Pasien'!G:V,13,FALSE),"")</f>
        <v>-</v>
      </c>
      <c r="R611" s="104" t="str">
        <f t="array" ref="R611">ifna(xlookup(L611,'🙎‍♂️ Pasien'!$G$5:$G1508,'🙎‍♂️ Pasien'!$T$5:$T1508),"")</f>
        <v>TANGAN KANAN BAGIAN ATAS, SAKIT SAAT DIGERAKKAN</v>
      </c>
      <c r="S611" s="104" t="str">
        <f t="array" ref="S611">ifna(xlookup(L611,'🙎‍♂️ Pasien'!$G$5:$G1508,'🙎‍♂️ Pasien'!$U$5:$U1508),"")</f>
        <v>PEKERJAAN RUMAH TANGGA</v>
      </c>
      <c r="T611" s="97" t="s">
        <v>59</v>
      </c>
      <c r="U611" s="105">
        <v>9.0</v>
      </c>
      <c r="V611" s="101"/>
      <c r="W611" s="106" t="b">
        <v>1</v>
      </c>
      <c r="X611" s="107"/>
      <c r="Y611" s="108"/>
    </row>
    <row r="612" ht="22.5" customHeight="1">
      <c r="A612" s="96"/>
      <c r="B612" s="97" t="s">
        <v>85</v>
      </c>
      <c r="C612" s="98" t="str">
        <f t="array" ref="C612">IFNA(XLOOKUP(J612,'⚙️ Pengaturan'!$H$5:$H1508,'⚙️ Pengaturan'!$I$5:$I1508),"")</f>
        <v>TIM A</v>
      </c>
      <c r="D612" s="97" t="s">
        <v>86</v>
      </c>
      <c r="E612" s="99">
        <v>45965.0</v>
      </c>
      <c r="F612" s="100" t="str">
        <f t="shared" si="1"/>
        <v>2025</v>
      </c>
      <c r="G612" s="100" t="str">
        <f t="shared" si="2"/>
        <v>11Nov</v>
      </c>
      <c r="H612" s="100" t="str">
        <f t="shared" si="3"/>
        <v>Selasa</v>
      </c>
      <c r="I612" s="97" t="s">
        <v>93</v>
      </c>
      <c r="J612" s="97" t="s">
        <v>72</v>
      </c>
      <c r="K612" s="97" t="s">
        <v>63</v>
      </c>
      <c r="L612" s="101" t="s">
        <v>129</v>
      </c>
      <c r="M612" s="102" t="str">
        <f>IFNA(VLOOKUP(L612,'🙎‍♂️ Pasien'!G:V,2,FALSE),"")</f>
        <v>D1025091558</v>
      </c>
      <c r="N612" s="103">
        <f>IFNA(VLOOKUP(L612,'🙎‍♂️ Pasien'!G:L,3,FALSE),"")</f>
        <v>16</v>
      </c>
      <c r="O612" s="104" t="str">
        <f>IFNA(VLOOKUP(L612,'🙎‍♂️ Pasien'!G:V,6,FALSE),"")</f>
        <v>LAKI-LAKI</v>
      </c>
      <c r="P612" s="104" t="str">
        <f>IFNA(VLOOKUP(L612,'🙎‍♂️ Pasien'!G:V,12,FALSE),"")</f>
        <v>PROTESTAN</v>
      </c>
      <c r="Q612" s="104" t="str">
        <f>IFNA(VLOOKUP(L612:L1508,'🙎‍♂️ Pasien'!G:V,13,FALSE),"")</f>
        <v>MASI SEKOLAH</v>
      </c>
      <c r="R612" s="104" t="str">
        <f t="array" ref="R612">ifna(xlookup(L612,'🙎‍♂️ Pasien'!$G$5:$G1508,'🙎‍♂️ Pasien'!$T$5:$T1508),"")</f>
        <v>SAKIT DI BAGIAN LUTUT</v>
      </c>
      <c r="S612" s="104" t="str">
        <f t="array" ref="S612">ifna(xlookup(L612,'🙎‍♂️ Pasien'!$G$5:$G1508,'🙎‍♂️ Pasien'!$U$5:$U1508),"")</f>
        <v>BASKET</v>
      </c>
      <c r="T612" s="97" t="s">
        <v>59</v>
      </c>
      <c r="U612" s="105">
        <v>1.0</v>
      </c>
      <c r="V612" s="101"/>
      <c r="W612" s="106" t="b">
        <v>1</v>
      </c>
      <c r="X612" s="107"/>
      <c r="Y612" s="108"/>
    </row>
    <row r="613" ht="22.5" customHeight="1">
      <c r="A613" s="96"/>
      <c r="B613" s="97" t="s">
        <v>85</v>
      </c>
      <c r="C613" s="98" t="str">
        <f t="array" ref="C613">IFNA(XLOOKUP(J613,'⚙️ Pengaturan'!$H$5:$H1508,'⚙️ Pengaturan'!$I$5:$I1508),"")</f>
        <v>TIM Y</v>
      </c>
      <c r="D613" s="97" t="s">
        <v>86</v>
      </c>
      <c r="E613" s="99">
        <v>45965.0</v>
      </c>
      <c r="F613" s="100" t="str">
        <f t="shared" si="1"/>
        <v>2025</v>
      </c>
      <c r="G613" s="100" t="str">
        <f t="shared" si="2"/>
        <v>11Nov</v>
      </c>
      <c r="H613" s="100" t="str">
        <f t="shared" si="3"/>
        <v>Selasa</v>
      </c>
      <c r="I613" s="97" t="s">
        <v>93</v>
      </c>
      <c r="J613" s="97" t="s">
        <v>107</v>
      </c>
      <c r="K613" s="97" t="s">
        <v>57</v>
      </c>
      <c r="L613" s="101" t="s">
        <v>452</v>
      </c>
      <c r="M613" s="102" t="str">
        <f>IFNA(VLOOKUP(L613,'🙎‍♂️ Pasien'!G:V,2,FALSE),"")</f>
        <v>E8625112448</v>
      </c>
      <c r="N613" s="103">
        <f>IFNA(VLOOKUP(L613,'🙎‍♂️ Pasien'!G:L,3,FALSE),"")</f>
        <v>40</v>
      </c>
      <c r="O613" s="104" t="str">
        <f>IFNA(VLOOKUP(L613,'🙎‍♂️ Pasien'!G:V,6,FALSE),"")</f>
        <v>PEREMPUAN</v>
      </c>
      <c r="P613" s="104" t="str">
        <f>IFNA(VLOOKUP(L613,'🙎‍♂️ Pasien'!G:V,12,FALSE),"")</f>
        <v>KATOLIK</v>
      </c>
      <c r="Q613" s="104" t="str">
        <f>IFNA(VLOOKUP(L613:L1508,'🙎‍♂️ Pasien'!G:V,13,FALSE),"")</f>
        <v>SWASTA</v>
      </c>
      <c r="R613" s="104" t="str">
        <f t="array" ref="R613">ifna(xlookup(L613,'🙎‍♂️ Pasien'!$G$5:$G1508,'🙎‍♂️ Pasien'!$T$5:$T1508),"")</f>
        <v>TENNIS ELBOW DAN KESELEO KAKI</v>
      </c>
      <c r="S613" s="104" t="str">
        <f t="array" ref="S613">ifna(xlookup(L613,'🙎‍♂️ Pasien'!$G$5:$G1508,'🙎‍♂️ Pasien'!$U$5:$U1508),"")</f>
        <v>MAIN TENNIS, PICKLE BALL DAN JALAN KAKI</v>
      </c>
      <c r="T613" s="97" t="s">
        <v>59</v>
      </c>
      <c r="U613" s="105" t="s">
        <v>60</v>
      </c>
      <c r="V613" s="101"/>
      <c r="W613" s="106" t="b">
        <v>1</v>
      </c>
      <c r="X613" s="107"/>
      <c r="Y613" s="108"/>
    </row>
    <row r="614" ht="22.5" customHeight="1">
      <c r="A614" s="96"/>
      <c r="B614" s="97" t="s">
        <v>85</v>
      </c>
      <c r="C614" s="98" t="str">
        <f t="array" ref="C614">IFNA(XLOOKUP(J614,'⚙️ Pengaturan'!$H$5:$H1508,'⚙️ Pengaturan'!$I$5:$I1508),"")</f>
        <v>TIM Y</v>
      </c>
      <c r="D614" s="97" t="s">
        <v>86</v>
      </c>
      <c r="E614" s="99">
        <v>45965.0</v>
      </c>
      <c r="F614" s="100" t="str">
        <f t="shared" si="1"/>
        <v>2025</v>
      </c>
      <c r="G614" s="100" t="str">
        <f t="shared" si="2"/>
        <v>11Nov</v>
      </c>
      <c r="H614" s="100" t="str">
        <f t="shared" si="3"/>
        <v>Selasa</v>
      </c>
      <c r="I614" s="97" t="s">
        <v>95</v>
      </c>
      <c r="J614" s="97" t="s">
        <v>107</v>
      </c>
      <c r="K614" s="97" t="s">
        <v>63</v>
      </c>
      <c r="L614" s="101" t="s">
        <v>193</v>
      </c>
      <c r="M614" s="102" t="str">
        <f>IFNA(VLOOKUP(L614,'🙎‍♂️ Pasien'!G:V,2,FALSE),"")</f>
        <v>E8925075615</v>
      </c>
      <c r="N614" s="103">
        <f>IFNA(VLOOKUP(L614,'🙎‍♂️ Pasien'!G:L,3,FALSE),"")</f>
        <v>36</v>
      </c>
      <c r="O614" s="104" t="str">
        <f>IFNA(VLOOKUP(L614,'🙎‍♂️ Pasien'!G:V,6,FALSE),"")</f>
        <v>PEREMPUAN</v>
      </c>
      <c r="P614" s="104" t="str">
        <f>IFNA(VLOOKUP(L614,'🙎‍♂️ Pasien'!G:V,12,FALSE),"")</f>
        <v>KATOLIK</v>
      </c>
      <c r="Q614" s="104" t="str">
        <f>IFNA(VLOOKUP(L614:L1508,'🙎‍♂️ Pasien'!G:V,13,FALSE),"")</f>
        <v>WIRASWASTA</v>
      </c>
      <c r="R614" s="104" t="str">
        <f t="array" ref="R614">ifna(xlookup(L614,'🙎‍♂️ Pasien'!$G$5:$G1508,'🙎‍♂️ Pasien'!$T$5:$T1508),"")</f>
        <v>BUNION</v>
      </c>
      <c r="S614" s="104" t="str">
        <f t="array" ref="S614">ifna(xlookup(L614,'🙎‍♂️ Pasien'!$G$5:$G1508,'🙎‍♂️ Pasien'!$U$5:$U1508),"")</f>
        <v>TENNIS</v>
      </c>
      <c r="T614" s="97" t="s">
        <v>67</v>
      </c>
      <c r="U614" s="105">
        <v>5.0</v>
      </c>
      <c r="V614" s="101" t="s">
        <v>453</v>
      </c>
      <c r="W614" s="106" t="b">
        <v>1</v>
      </c>
      <c r="X614" s="107"/>
      <c r="Y614" s="108"/>
    </row>
    <row r="615" ht="22.5" customHeight="1">
      <c r="A615" s="96"/>
      <c r="B615" s="97" t="s">
        <v>85</v>
      </c>
      <c r="C615" s="98" t="str">
        <f t="array" ref="C615">IFNA(XLOOKUP(J615,'⚙️ Pengaturan'!$H$5:$H1508,'⚙️ Pengaturan'!$I$5:$I1508),"")</f>
        <v>TIM Y</v>
      </c>
      <c r="D615" s="97" t="s">
        <v>86</v>
      </c>
      <c r="E615" s="99">
        <v>45965.0</v>
      </c>
      <c r="F615" s="100" t="str">
        <f t="shared" si="1"/>
        <v>2025</v>
      </c>
      <c r="G615" s="100" t="str">
        <f t="shared" si="2"/>
        <v>11Nov</v>
      </c>
      <c r="H615" s="100" t="str">
        <f t="shared" si="3"/>
        <v>Selasa</v>
      </c>
      <c r="I615" s="97" t="s">
        <v>97</v>
      </c>
      <c r="J615" s="97" t="s">
        <v>107</v>
      </c>
      <c r="K615" s="97" t="s">
        <v>69</v>
      </c>
      <c r="L615" s="101" t="s">
        <v>434</v>
      </c>
      <c r="M615" s="102" t="str">
        <f>IFNA(VLOOKUP(L615,'🙎‍♂️ Pasien'!G:V,2,FALSE),"")</f>
        <v>A9326025869</v>
      </c>
      <c r="N615" s="103">
        <f>IFNA(VLOOKUP(L615,'🙎‍♂️ Pasien'!G:L,3,FALSE),"")</f>
        <v>32</v>
      </c>
      <c r="O615" s="104" t="str">
        <f>IFNA(VLOOKUP(L615,'🙎‍♂️ Pasien'!G:V,6,FALSE),"")</f>
        <v>LAKI-LAKI</v>
      </c>
      <c r="P615" s="104" t="str">
        <f>IFNA(VLOOKUP(L615,'🙎‍♂️ Pasien'!G:V,12,FALSE),"")</f>
        <v>KATOLIK</v>
      </c>
      <c r="Q615" s="104" t="str">
        <f>IFNA(VLOOKUP(L615:L1508,'🙎‍♂️ Pasien'!G:V,13,FALSE),"")</f>
        <v>SALES</v>
      </c>
      <c r="R615" s="104" t="str">
        <f t="array" ref="R615">ifna(xlookup(L615,'🙎‍♂️ Pasien'!$G$5:$G1508,'🙎‍♂️ Pasien'!$T$5:$T1508),"")</f>
        <v>TENDON ACHILES</v>
      </c>
      <c r="S615" s="104" t="str">
        <f t="array" ref="S615">ifna(xlookup(L615,'🙎‍♂️ Pasien'!$G$5:$G1508,'🙎‍♂️ Pasien'!$U$5:$U1508),"")</f>
        <v>BOLA</v>
      </c>
      <c r="T615" s="97" t="s">
        <v>59</v>
      </c>
      <c r="U615" s="105" t="s">
        <v>60</v>
      </c>
      <c r="V615" s="101"/>
      <c r="W615" s="106" t="b">
        <v>1</v>
      </c>
      <c r="X615" s="107"/>
      <c r="Y615" s="108"/>
    </row>
    <row r="616" ht="22.5" customHeight="1">
      <c r="A616" s="96"/>
      <c r="B616" s="97" t="s">
        <v>85</v>
      </c>
      <c r="C616" s="98" t="str">
        <f t="array" ref="C616">IFNA(XLOOKUP(J616,'⚙️ Pengaturan'!$H$5:$H1508,'⚙️ Pengaturan'!$I$5:$I1508),"")</f>
        <v>TIM Y</v>
      </c>
      <c r="D616" s="97" t="s">
        <v>86</v>
      </c>
      <c r="E616" s="99">
        <v>45965.0</v>
      </c>
      <c r="F616" s="100" t="str">
        <f t="shared" si="1"/>
        <v>2025</v>
      </c>
      <c r="G616" s="100" t="str">
        <f t="shared" si="2"/>
        <v>11Nov</v>
      </c>
      <c r="H616" s="100" t="str">
        <f t="shared" si="3"/>
        <v>Selasa</v>
      </c>
      <c r="I616" s="97" t="s">
        <v>97</v>
      </c>
      <c r="J616" s="97" t="s">
        <v>88</v>
      </c>
      <c r="K616" s="97" t="s">
        <v>63</v>
      </c>
      <c r="L616" s="101" t="s">
        <v>325</v>
      </c>
      <c r="M616" s="102" t="str">
        <f>IFNA(VLOOKUP(L616,'🙎‍♂️ Pasien'!G:V,2,FALSE),"")</f>
        <v>M9825103838</v>
      </c>
      <c r="N616" s="103">
        <f>IFNA(VLOOKUP(L616,'🙎‍♂️ Pasien'!G:L,3,FALSE),"")</f>
        <v>27</v>
      </c>
      <c r="O616" s="104" t="str">
        <f>IFNA(VLOOKUP(L616,'🙎‍♂️ Pasien'!G:V,6,FALSE),"")</f>
        <v>LAKI-LAKI</v>
      </c>
      <c r="P616" s="104" t="str">
        <f>IFNA(VLOOKUP(L616,'🙎‍♂️ Pasien'!G:V,12,FALSE),"")</f>
        <v>ISLAM</v>
      </c>
      <c r="Q616" s="104" t="str">
        <f>IFNA(VLOOKUP(L616:L1508,'🙎‍♂️ Pasien'!G:V,13,FALSE),"")</f>
        <v>MAHASISWA</v>
      </c>
      <c r="R616" s="104" t="str">
        <f t="array" ref="R616">ifna(xlookup(L616,'🙎‍♂️ Pasien'!$G$5:$G1508,'🙎‍♂️ Pasien'!$T$5:$T1508),"")</f>
        <v>KAKI</v>
      </c>
      <c r="S616" s="104" t="str">
        <f t="array" ref="S616">ifna(xlookup(L616,'🙎‍♂️ Pasien'!$G$5:$G1508,'🙎‍♂️ Pasien'!$U$5:$U1508),"")</f>
        <v>-</v>
      </c>
      <c r="T616" s="97" t="s">
        <v>59</v>
      </c>
      <c r="U616" s="105">
        <v>5.0</v>
      </c>
      <c r="V616" s="101" t="s">
        <v>125</v>
      </c>
      <c r="W616" s="106" t="b">
        <v>1</v>
      </c>
      <c r="X616" s="107"/>
      <c r="Y616" s="108"/>
    </row>
    <row r="617" ht="22.5" customHeight="1">
      <c r="A617" s="96"/>
      <c r="B617" s="97" t="s">
        <v>85</v>
      </c>
      <c r="C617" s="98" t="str">
        <f t="array" ref="C617">IFNA(XLOOKUP(J617,'⚙️ Pengaturan'!$H$5:$H1508,'⚙️ Pengaturan'!$I$5:$I1508),"")</f>
        <v>TIM Y</v>
      </c>
      <c r="D617" s="97" t="s">
        <v>86</v>
      </c>
      <c r="E617" s="99">
        <v>45965.0</v>
      </c>
      <c r="F617" s="100" t="str">
        <f t="shared" si="1"/>
        <v>2025</v>
      </c>
      <c r="G617" s="100" t="str">
        <f t="shared" si="2"/>
        <v>11Nov</v>
      </c>
      <c r="H617" s="100" t="str">
        <f t="shared" si="3"/>
        <v>Selasa</v>
      </c>
      <c r="I617" s="97" t="s">
        <v>99</v>
      </c>
      <c r="J617" s="97" t="s">
        <v>107</v>
      </c>
      <c r="K617" s="97" t="s">
        <v>69</v>
      </c>
      <c r="L617" s="101" t="s">
        <v>436</v>
      </c>
      <c r="M617" s="102" t="str">
        <f>IFNA(VLOOKUP(L617,'🙎‍♂️ Pasien'!G:V,2,FALSE),"")</f>
        <v>A9525119187</v>
      </c>
      <c r="N617" s="103">
        <f>IFNA(VLOOKUP(L617,'🙎‍♂️ Pasien'!G:L,3,FALSE),"")</f>
        <v>31</v>
      </c>
      <c r="O617" s="104" t="str">
        <f>IFNA(VLOOKUP(L617,'🙎‍♂️ Pasien'!G:V,6,FALSE),"")</f>
        <v>PEREMPUAN</v>
      </c>
      <c r="P617" s="104" t="str">
        <f>IFNA(VLOOKUP(L617,'🙎‍♂️ Pasien'!G:V,12,FALSE),"")</f>
        <v>ISLAM</v>
      </c>
      <c r="Q617" s="104" t="str">
        <f>IFNA(VLOOKUP(L617:L1508,'🙎‍♂️ Pasien'!G:V,13,FALSE),"")</f>
        <v>IRT</v>
      </c>
      <c r="R617" s="104" t="str">
        <f t="array" ref="R617">ifna(xlookup(L617,'🙎‍♂️ Pasien'!$G$5:$G1508,'🙎‍♂️ Pasien'!$T$5:$T1508),"")</f>
        <v>KEBAS TELAPAK KAKI DN TANGAN</v>
      </c>
      <c r="S617" s="104" t="str">
        <f t="array" ref="S617">ifna(xlookup(L617,'🙎‍♂️ Pasien'!$G$5:$G1508,'🙎‍♂️ Pasien'!$U$5:$U1508),"")</f>
        <v>MNGKIN PEKERJAAN YANG MENGANGKAT BARANG BERAT</v>
      </c>
      <c r="T617" s="97" t="s">
        <v>59</v>
      </c>
      <c r="U617" s="105" t="s">
        <v>60</v>
      </c>
      <c r="V617" s="101"/>
      <c r="W617" s="106" t="b">
        <v>1</v>
      </c>
      <c r="X617" s="107"/>
      <c r="Y617" s="108"/>
    </row>
    <row r="618" ht="22.5" customHeight="1">
      <c r="A618" s="96"/>
      <c r="B618" s="97" t="s">
        <v>85</v>
      </c>
      <c r="C618" s="98" t="str">
        <f t="array" ref="C618">IFNA(XLOOKUP(J618,'⚙️ Pengaturan'!$H$5:$H1508,'⚙️ Pengaturan'!$I$5:$I1508),"")</f>
        <v>TIM Y</v>
      </c>
      <c r="D618" s="97" t="s">
        <v>86</v>
      </c>
      <c r="E618" s="99">
        <v>45965.0</v>
      </c>
      <c r="F618" s="100" t="str">
        <f t="shared" si="1"/>
        <v>2025</v>
      </c>
      <c r="G618" s="100" t="str">
        <f t="shared" si="2"/>
        <v>11Nov</v>
      </c>
      <c r="H618" s="100" t="str">
        <f t="shared" si="3"/>
        <v>Selasa</v>
      </c>
      <c r="I618" s="97" t="s">
        <v>99</v>
      </c>
      <c r="J618" s="97" t="s">
        <v>88</v>
      </c>
      <c r="K618" s="97" t="s">
        <v>63</v>
      </c>
      <c r="L618" s="101" t="s">
        <v>417</v>
      </c>
      <c r="M618" s="102" t="str">
        <f>IFNA(VLOOKUP(L618,'🙎‍♂️ Pasien'!G:V,2,FALSE),"")</f>
        <v>F0225102200</v>
      </c>
      <c r="N618" s="103">
        <f>IFNA(VLOOKUP(L618,'🙎‍♂️ Pasien'!G:L,3,FALSE),"")</f>
        <v>23</v>
      </c>
      <c r="O618" s="104" t="str">
        <f>IFNA(VLOOKUP(L618,'🙎‍♂️ Pasien'!G:V,6,FALSE),"")</f>
        <v>LAKI-LAKI</v>
      </c>
      <c r="P618" s="104" t="str">
        <f>IFNA(VLOOKUP(L618,'🙎‍♂️ Pasien'!G:V,12,FALSE),"")</f>
        <v>ISLAM</v>
      </c>
      <c r="Q618" s="104" t="str">
        <f>IFNA(VLOOKUP(L618:L1508,'🙎‍♂️ Pasien'!G:V,13,FALSE),"")</f>
        <v>WIRASWASTA</v>
      </c>
      <c r="R618" s="104" t="str">
        <f t="array" ref="R618">ifna(xlookup(L618,'🙎‍♂️ Pasien'!$G$5:$G1508,'🙎‍♂️ Pasien'!$T$5:$T1508),"")</f>
        <v>SCOLIOSIS, SAKIT SAAT BERDIRI/DUDUK LAMA</v>
      </c>
      <c r="S618" s="104" t="str">
        <f t="array" ref="S618">ifna(xlookup(L618,'🙎‍♂️ Pasien'!$G$5:$G1508,'🙎‍♂️ Pasien'!$U$5:$U1508),"")</f>
        <v>KERJA DI LAPANGAN, LARI</v>
      </c>
      <c r="T618" s="97" t="s">
        <v>67</v>
      </c>
      <c r="U618" s="105">
        <v>2.0</v>
      </c>
      <c r="V618" s="101" t="s">
        <v>212</v>
      </c>
      <c r="W618" s="106" t="b">
        <v>1</v>
      </c>
      <c r="X618" s="107"/>
      <c r="Y618" s="108"/>
    </row>
    <row r="619" ht="22.5" customHeight="1">
      <c r="A619" s="96"/>
      <c r="B619" s="97" t="s">
        <v>85</v>
      </c>
      <c r="C619" s="98" t="str">
        <f t="array" ref="C619">IFNA(XLOOKUP(J619,'⚙️ Pengaturan'!$H$5:$H1508,'⚙️ Pengaturan'!$I$5:$I1508),"")</f>
        <v>TIM A</v>
      </c>
      <c r="D619" s="97" t="s">
        <v>86</v>
      </c>
      <c r="E619" s="99">
        <v>45965.0</v>
      </c>
      <c r="F619" s="100" t="str">
        <f t="shared" si="1"/>
        <v>2025</v>
      </c>
      <c r="G619" s="100" t="str">
        <f t="shared" si="2"/>
        <v>11Nov</v>
      </c>
      <c r="H619" s="100" t="str">
        <f t="shared" si="3"/>
        <v>Selasa</v>
      </c>
      <c r="I619" s="97" t="s">
        <v>99</v>
      </c>
      <c r="J619" s="97" t="s">
        <v>72</v>
      </c>
      <c r="K619" s="97" t="s">
        <v>63</v>
      </c>
      <c r="L619" s="101" t="s">
        <v>414</v>
      </c>
      <c r="M619" s="102" t="str">
        <f>IFNA(VLOOKUP(L619,'🙎‍♂️ Pasien'!G:V,2,FALSE),"")</f>
        <v>R8723125757</v>
      </c>
      <c r="N619" s="103">
        <f>IFNA(VLOOKUP(L619,'🙎‍♂️ Pasien'!G:L,3,FALSE),"")</f>
        <v>39</v>
      </c>
      <c r="O619" s="104" t="str">
        <f>IFNA(VLOOKUP(L619,'🙎‍♂️ Pasien'!G:V,6,FALSE),"")</f>
        <v>LAKI-LAKI</v>
      </c>
      <c r="P619" s="104" t="str">
        <f>IFNA(VLOOKUP(L619,'🙎‍♂️ Pasien'!G:V,12,FALSE),"")</f>
        <v>ISLAM</v>
      </c>
      <c r="Q619" s="104" t="str">
        <f>IFNA(VLOOKUP(L619:L1508,'🙎‍♂️ Pasien'!G:V,13,FALSE),"")</f>
        <v>SWASTA</v>
      </c>
      <c r="R619" s="104" t="str">
        <f t="array" ref="R619">ifna(xlookup(L619,'🙎‍♂️ Pasien'!$G$5:$G1508,'🙎‍♂️ Pasien'!$T$5:$T1508),"")</f>
        <v>Cidera</v>
      </c>
      <c r="S619" s="104" t="str">
        <f t="array" ref="S619">ifna(xlookup(L619,'🙎‍♂️ Pasien'!$G$5:$G1508,'🙎‍♂️ Pasien'!$U$5:$U1508),"")</f>
        <v>Olahraga</v>
      </c>
      <c r="T619" s="97" t="s">
        <v>59</v>
      </c>
      <c r="U619" s="105">
        <v>2.0</v>
      </c>
      <c r="V619" s="101"/>
      <c r="W619" s="106" t="b">
        <v>1</v>
      </c>
      <c r="X619" s="107"/>
      <c r="Y619" s="108"/>
    </row>
    <row r="620" ht="22.5" customHeight="1">
      <c r="A620" s="96"/>
      <c r="B620" s="97" t="s">
        <v>53</v>
      </c>
      <c r="C620" s="98" t="str">
        <f t="array" ref="C620">IFNA(XLOOKUP(J620,'⚙️ Pengaturan'!$H$5:$H1508,'⚙️ Pengaturan'!$I$5:$I1508),"")</f>
        <v>TIM A</v>
      </c>
      <c r="D620" s="97" t="s">
        <v>54</v>
      </c>
      <c r="E620" s="99">
        <v>45966.0</v>
      </c>
      <c r="F620" s="100" t="str">
        <f t="shared" si="1"/>
        <v>2025</v>
      </c>
      <c r="G620" s="100" t="str">
        <f t="shared" si="2"/>
        <v>11Nov</v>
      </c>
      <c r="H620" s="100" t="str">
        <f t="shared" si="3"/>
        <v>Rabu</v>
      </c>
      <c r="I620" s="97" t="s">
        <v>55</v>
      </c>
      <c r="J620" s="97" t="s">
        <v>79</v>
      </c>
      <c r="K620" s="97" t="s">
        <v>63</v>
      </c>
      <c r="L620" s="101" t="s">
        <v>350</v>
      </c>
      <c r="M620" s="102" t="str">
        <f>IFNA(VLOOKUP(L620,'🙎‍♂️ Pasien'!G:V,2,FALSE),"")</f>
        <v>I8025109996</v>
      </c>
      <c r="N620" s="103">
        <f>IFNA(VLOOKUP(L620,'🙎‍♂️ Pasien'!G:L,3,FALSE),"")</f>
        <v>45</v>
      </c>
      <c r="O620" s="104" t="str">
        <f>IFNA(VLOOKUP(L620,'🙎‍♂️ Pasien'!G:V,6,FALSE),"")</f>
        <v>PEREMPUAN</v>
      </c>
      <c r="P620" s="104" t="str">
        <f>IFNA(VLOOKUP(L620,'🙎‍♂️ Pasien'!G:V,12,FALSE),"")</f>
        <v>ISLAM</v>
      </c>
      <c r="Q620" s="104" t="str">
        <f>IFNA(VLOOKUP(L620:L1508,'🙎‍♂️ Pasien'!G:V,13,FALSE),"")</f>
        <v>WIRASWASTA</v>
      </c>
      <c r="R620" s="104" t="str">
        <f t="array" ref="R620">ifna(xlookup(L620,'🙎‍♂️ Pasien'!$G$5:$G1508,'🙎‍♂️ Pasien'!$T$5:$T1508),"")</f>
        <v>NYERI KEPALA TIPE TEGANG DAN TANGAN SUKA KESEMUTAN</v>
      </c>
      <c r="S620" s="104" t="str">
        <f t="array" ref="S620">ifna(xlookup(L620,'🙎‍♂️ Pasien'!$G$5:$G1508,'🙎‍♂️ Pasien'!$U$5:$U1508),"")</f>
        <v>JIKA BAWA MOTOR DAN TIDUR MENGHADAP KE KANAN</v>
      </c>
      <c r="T620" s="97" t="s">
        <v>59</v>
      </c>
      <c r="U620" s="105">
        <v>4.0</v>
      </c>
      <c r="V620" s="101"/>
      <c r="W620" s="106" t="b">
        <v>1</v>
      </c>
      <c r="X620" s="107"/>
      <c r="Y620" s="108"/>
    </row>
    <row r="621" ht="22.5" customHeight="1">
      <c r="A621" s="96"/>
      <c r="B621" s="97" t="s">
        <v>53</v>
      </c>
      <c r="C621" s="98" t="str">
        <f t="array" ref="C621">IFNA(XLOOKUP(J621,'⚙️ Pengaturan'!$H$5:$H1508,'⚙️ Pengaturan'!$I$5:$I1508),"")</f>
        <v>MANAJEMEN</v>
      </c>
      <c r="D621" s="97" t="s">
        <v>54</v>
      </c>
      <c r="E621" s="99">
        <v>45966.0</v>
      </c>
      <c r="F621" s="100" t="str">
        <f t="shared" si="1"/>
        <v>2025</v>
      </c>
      <c r="G621" s="100" t="str">
        <f t="shared" si="2"/>
        <v>11Nov</v>
      </c>
      <c r="H621" s="100" t="str">
        <f t="shared" si="3"/>
        <v>Rabu</v>
      </c>
      <c r="I621" s="97" t="s">
        <v>55</v>
      </c>
      <c r="J621" s="97" t="s">
        <v>101</v>
      </c>
      <c r="K621" s="97" t="s">
        <v>63</v>
      </c>
      <c r="L621" s="101" t="s">
        <v>454</v>
      </c>
      <c r="M621" s="102" t="str">
        <f>IFNA(VLOOKUP(L621,'🙎‍♂️ Pasien'!G:V,2,FALSE),"")</f>
        <v>R5625107738</v>
      </c>
      <c r="N621" s="103">
        <f>IFNA(VLOOKUP(L621,'🙎‍♂️ Pasien'!G:L,3,FALSE),"")</f>
        <v>70</v>
      </c>
      <c r="O621" s="104" t="str">
        <f>IFNA(VLOOKUP(L621,'🙎‍♂️ Pasien'!G:V,6,FALSE),"")</f>
        <v>PEREMPUAN</v>
      </c>
      <c r="P621" s="104" t="str">
        <f>IFNA(VLOOKUP(L621,'🙎‍♂️ Pasien'!G:V,12,FALSE),"")</f>
        <v>KATOLIK</v>
      </c>
      <c r="Q621" s="104" t="str">
        <f>IFNA(VLOOKUP(L621:L1508,'🙎‍♂️ Pasien'!G:V,13,FALSE),"")</f>
        <v>IBU RUMAH TANGGA</v>
      </c>
      <c r="R621" s="104" t="str">
        <f t="array" ref="R621">ifna(xlookup(L621,'🙎‍♂️ Pasien'!$G$5:$G1508,'🙎‍♂️ Pasien'!$T$5:$T1508),"")</f>
        <v>SAKIT DI BAHU</v>
      </c>
      <c r="S621" s="104" t="str">
        <f t="array" ref="S621">ifna(xlookup(L621,'🙎‍♂️ Pasien'!$G$5:$G1508,'🙎‍♂️ Pasien'!$U$5:$U1508),"")</f>
        <v>PEKERJAAN KANTOR, MENANAM TANAMAN</v>
      </c>
      <c r="T621" s="97" t="s">
        <v>67</v>
      </c>
      <c r="U621" s="105">
        <v>2.0</v>
      </c>
      <c r="V621" s="101" t="s">
        <v>455</v>
      </c>
      <c r="W621" s="106" t="b">
        <v>1</v>
      </c>
      <c r="X621" s="107"/>
      <c r="Y621" s="108"/>
    </row>
    <row r="622" ht="22.5" customHeight="1">
      <c r="A622" s="96"/>
      <c r="B622" s="97" t="s">
        <v>53</v>
      </c>
      <c r="C622" s="98" t="str">
        <f t="array" ref="C622">IFNA(XLOOKUP(J622,'⚙️ Pengaturan'!$H$5:$H1508,'⚙️ Pengaturan'!$I$5:$I1508),"")</f>
        <v>TIM A</v>
      </c>
      <c r="D622" s="97" t="s">
        <v>54</v>
      </c>
      <c r="E622" s="99">
        <v>45966.0</v>
      </c>
      <c r="F622" s="100" t="str">
        <f t="shared" si="1"/>
        <v>2025</v>
      </c>
      <c r="G622" s="100" t="str">
        <f t="shared" si="2"/>
        <v>11Nov</v>
      </c>
      <c r="H622" s="100" t="str">
        <f t="shared" si="3"/>
        <v>Rabu</v>
      </c>
      <c r="I622" s="97" t="s">
        <v>65</v>
      </c>
      <c r="J622" s="97" t="s">
        <v>62</v>
      </c>
      <c r="K622" s="97" t="s">
        <v>63</v>
      </c>
      <c r="L622" s="101" t="s">
        <v>445</v>
      </c>
      <c r="M622" s="102" t="str">
        <f>IFNA(VLOOKUP(L622,'🙎‍♂️ Pasien'!G:V,2,FALSE),"")</f>
        <v>M6925117500</v>
      </c>
      <c r="N622" s="103">
        <f>IFNA(VLOOKUP(L622,'🙎‍♂️ Pasien'!G:L,3,FALSE),"")</f>
        <v>56</v>
      </c>
      <c r="O622" s="104" t="str">
        <f>IFNA(VLOOKUP(L622,'🙎‍♂️ Pasien'!G:V,6,FALSE),"")</f>
        <v>PEREMPUAN</v>
      </c>
      <c r="P622" s="104" t="str">
        <f>IFNA(VLOOKUP(L622,'🙎‍♂️ Pasien'!G:V,12,FALSE),"")</f>
        <v>KATOLIK</v>
      </c>
      <c r="Q622" s="104" t="str">
        <f>IFNA(VLOOKUP(L622:L1508,'🙎‍♂️ Pasien'!G:V,13,FALSE),"")</f>
        <v>IRT</v>
      </c>
      <c r="R622" s="104" t="str">
        <f t="array" ref="R622">ifna(xlookup(L622,'🙎‍♂️ Pasien'!$G$5:$G1508,'🙎‍♂️ Pasien'!$T$5:$T1508),"")</f>
        <v>JARI</v>
      </c>
      <c r="S622" s="104" t="str">
        <f t="array" ref="S622">ifna(xlookup(L622,'🙎‍♂️ Pasien'!$G$5:$G1508,'🙎‍♂️ Pasien'!$U$5:$U1508),"")</f>
        <v>PEKERJAAN RUMAH TANGGA</v>
      </c>
      <c r="T622" s="97" t="s">
        <v>59</v>
      </c>
      <c r="U622" s="105">
        <v>1.0</v>
      </c>
      <c r="V622" s="101"/>
      <c r="W622" s="106" t="b">
        <v>1</v>
      </c>
      <c r="X622" s="107"/>
      <c r="Y622" s="108"/>
    </row>
    <row r="623" ht="22.5" customHeight="1">
      <c r="A623" s="96"/>
      <c r="B623" s="97" t="s">
        <v>53</v>
      </c>
      <c r="C623" s="98" t="str">
        <f t="array" ref="C623">IFNA(XLOOKUP(J623,'⚙️ Pengaturan'!$H$5:$H1508,'⚙️ Pengaturan'!$I$5:$I1508),"")</f>
        <v>TIM A</v>
      </c>
      <c r="D623" s="97" t="s">
        <v>54</v>
      </c>
      <c r="E623" s="99">
        <v>45966.0</v>
      </c>
      <c r="F623" s="100" t="str">
        <f t="shared" si="1"/>
        <v>2025</v>
      </c>
      <c r="G623" s="100" t="str">
        <f t="shared" si="2"/>
        <v>11Nov</v>
      </c>
      <c r="H623" s="100" t="str">
        <f t="shared" si="3"/>
        <v>Rabu</v>
      </c>
      <c r="I623" s="97" t="s">
        <v>74</v>
      </c>
      <c r="J623" s="97" t="s">
        <v>62</v>
      </c>
      <c r="K623" s="97" t="s">
        <v>63</v>
      </c>
      <c r="L623" s="101" t="s">
        <v>302</v>
      </c>
      <c r="M623" s="102" t="str">
        <f>IFNA(VLOOKUP(L623,'🙎‍♂️ Pasien'!G:V,2,FALSE),"")</f>
        <v>A9425105994</v>
      </c>
      <c r="N623" s="103">
        <f>IFNA(VLOOKUP(L623,'🙎‍♂️ Pasien'!G:L,3,FALSE),"")</f>
        <v>32</v>
      </c>
      <c r="O623" s="104" t="str">
        <f>IFNA(VLOOKUP(L623,'🙎‍♂️ Pasien'!G:V,6,FALSE),"")</f>
        <v>LAKI-LAKI</v>
      </c>
      <c r="P623" s="104" t="str">
        <f>IFNA(VLOOKUP(L623,'🙎‍♂️ Pasien'!G:V,12,FALSE),"")</f>
        <v>ISLAM</v>
      </c>
      <c r="Q623" s="104" t="str">
        <f>IFNA(VLOOKUP(L623:L1508,'🙎‍♂️ Pasien'!G:V,13,FALSE),"")</f>
        <v>KARYAWAN SWASTA</v>
      </c>
      <c r="R623" s="104" t="str">
        <f t="array" ref="R623">ifna(xlookup(L623,'🙎‍♂️ Pasien'!$G$5:$G1508,'🙎‍♂️ Pasien'!$T$5:$T1508),"")</f>
        <v>LUTUT</v>
      </c>
      <c r="S623" s="104" t="str">
        <f t="array" ref="S623">ifna(xlookup(L623,'🙎‍♂️ Pasien'!$G$5:$G1508,'🙎‍♂️ Pasien'!$U$5:$U1508),"")</f>
        <v>OLAGRAGA</v>
      </c>
      <c r="T623" s="97" t="s">
        <v>59</v>
      </c>
      <c r="U623" s="105">
        <v>10.0</v>
      </c>
      <c r="V623" s="101" t="s">
        <v>125</v>
      </c>
      <c r="W623" s="106" t="b">
        <v>1</v>
      </c>
      <c r="X623" s="107"/>
      <c r="Y623" s="108"/>
    </row>
    <row r="624" ht="22.5" customHeight="1">
      <c r="A624" s="96"/>
      <c r="B624" s="97" t="s">
        <v>53</v>
      </c>
      <c r="C624" s="98" t="str">
        <f t="array" ref="C624">IFNA(XLOOKUP(J624,'⚙️ Pengaturan'!$H$5:$H1508,'⚙️ Pengaturan'!$I$5:$I1508),"")</f>
        <v>TIM A</v>
      </c>
      <c r="D624" s="97" t="s">
        <v>54</v>
      </c>
      <c r="E624" s="99">
        <v>45966.0</v>
      </c>
      <c r="F624" s="100" t="str">
        <f t="shared" si="1"/>
        <v>2025</v>
      </c>
      <c r="G624" s="100" t="str">
        <f t="shared" si="2"/>
        <v>11Nov</v>
      </c>
      <c r="H624" s="100" t="str">
        <f t="shared" si="3"/>
        <v>Rabu</v>
      </c>
      <c r="I624" s="97" t="s">
        <v>76</v>
      </c>
      <c r="J624" s="97" t="s">
        <v>79</v>
      </c>
      <c r="K624" s="97" t="s">
        <v>57</v>
      </c>
      <c r="L624" s="101" t="s">
        <v>456</v>
      </c>
      <c r="M624" s="102" t="str">
        <f>IFNA(VLOOKUP(L624,'🙎‍♂️ Pasien'!G:V,2,FALSE),"")</f>
        <v>D6525119328</v>
      </c>
      <c r="N624" s="103">
        <f>IFNA(VLOOKUP(L624,'🙎‍♂️ Pasien'!G:L,3,FALSE),"")</f>
        <v>60</v>
      </c>
      <c r="O624" s="104" t="str">
        <f>IFNA(VLOOKUP(L624,'🙎‍♂️ Pasien'!G:V,6,FALSE),"")</f>
        <v>PEREMPUAN</v>
      </c>
      <c r="P624" s="104" t="str">
        <f>IFNA(VLOOKUP(L624,'🙎‍♂️ Pasien'!G:V,12,FALSE),"")</f>
        <v>LAINNYA</v>
      </c>
      <c r="Q624" s="104" t="str">
        <f>IFNA(VLOOKUP(L624:L1508,'🙎‍♂️ Pasien'!G:V,13,FALSE),"")</f>
        <v>IRT</v>
      </c>
      <c r="R624" s="104" t="str">
        <f t="array" ref="R624">ifna(xlookup(L624,'🙎‍♂️ Pasien'!$G$5:$G1508,'🙎‍♂️ Pasien'!$T$5:$T1508),"")</f>
        <v>TUMIT</v>
      </c>
      <c r="S624" s="104" t="str">
        <f t="array" ref="S624">ifna(xlookup(L624,'🙎‍♂️ Pasien'!$G$5:$G1508,'🙎‍♂️ Pasien'!$U$5:$U1508),"")</f>
        <v>DANCING</v>
      </c>
      <c r="T624" s="97" t="s">
        <v>59</v>
      </c>
      <c r="U624" s="105" t="s">
        <v>60</v>
      </c>
      <c r="V624" s="101"/>
      <c r="W624" s="106" t="b">
        <v>1</v>
      </c>
      <c r="X624" s="107"/>
      <c r="Y624" s="108"/>
    </row>
    <row r="625" ht="22.5" customHeight="1">
      <c r="A625" s="96"/>
      <c r="B625" s="97" t="s">
        <v>53</v>
      </c>
      <c r="C625" s="98" t="str">
        <f t="array" ref="C625">IFNA(XLOOKUP(J625,'⚙️ Pengaturan'!$H$5:$H1508,'⚙️ Pengaturan'!$I$5:$I1508),"")</f>
        <v>TIM Y</v>
      </c>
      <c r="D625" s="97" t="s">
        <v>54</v>
      </c>
      <c r="E625" s="99">
        <v>45966.0</v>
      </c>
      <c r="F625" s="100" t="str">
        <f t="shared" si="1"/>
        <v>2025</v>
      </c>
      <c r="G625" s="100" t="str">
        <f t="shared" si="2"/>
        <v>11Nov</v>
      </c>
      <c r="H625" s="100" t="str">
        <f t="shared" si="3"/>
        <v>Rabu</v>
      </c>
      <c r="I625" s="97" t="s">
        <v>76</v>
      </c>
      <c r="J625" s="97" t="s">
        <v>56</v>
      </c>
      <c r="K625" s="97" t="s">
        <v>63</v>
      </c>
      <c r="L625" s="101" t="s">
        <v>442</v>
      </c>
      <c r="M625" s="102" t="str">
        <f>IFNA(VLOOKUP(L625,'🙎‍♂️ Pasien'!G:V,2,FALSE),"")</f>
        <v>M0524020310</v>
      </c>
      <c r="N625" s="103">
        <f>IFNA(VLOOKUP(L625,'🙎‍♂️ Pasien'!G:L,3,FALSE),"")</f>
        <v>20</v>
      </c>
      <c r="O625" s="104" t="str">
        <f>IFNA(VLOOKUP(L625,'🙎‍♂️ Pasien'!G:V,6,FALSE),"")</f>
        <v>LAKI-LAKI</v>
      </c>
      <c r="P625" s="104" t="str">
        <f>IFNA(VLOOKUP(L625,'🙎‍♂️ Pasien'!G:V,12,FALSE),"")</f>
        <v>ISLAM</v>
      </c>
      <c r="Q625" s="104" t="str">
        <f>IFNA(VLOOKUP(L625:L1508,'🙎‍♂️ Pasien'!G:V,13,FALSE),"")</f>
        <v>PELAJAR/MAHASISWA</v>
      </c>
      <c r="R625" s="104" t="str">
        <f t="array" ref="R625">ifna(xlookup(L625,'🙎‍♂️ Pasien'!$G$5:$G1508,'🙎‍♂️ Pasien'!$T$5:$T1508),"")</f>
        <v>NYERI/NGILU</v>
      </c>
      <c r="S625" s="104" t="str">
        <f t="array" ref="S625">ifna(xlookup(L625,'🙎‍♂️ Pasien'!$G$5:$G1508,'🙎‍♂️ Pasien'!$U$5:$U1508),"")</f>
        <v>FUTSAL</v>
      </c>
      <c r="T625" s="97" t="s">
        <v>59</v>
      </c>
      <c r="U625" s="105">
        <v>1.0</v>
      </c>
      <c r="V625" s="101"/>
      <c r="W625" s="106" t="b">
        <v>1</v>
      </c>
      <c r="X625" s="107"/>
      <c r="Y625" s="108"/>
    </row>
    <row r="626" ht="22.5" customHeight="1">
      <c r="A626" s="96"/>
      <c r="B626" s="97" t="s">
        <v>53</v>
      </c>
      <c r="C626" s="98" t="str">
        <f t="array" ref="C626">IFNA(XLOOKUP(J626,'⚙️ Pengaturan'!$H$5:$H1508,'⚙️ Pengaturan'!$I$5:$I1508),"")</f>
        <v>TIM A</v>
      </c>
      <c r="D626" s="97" t="s">
        <v>54</v>
      </c>
      <c r="E626" s="99">
        <v>45966.0</v>
      </c>
      <c r="F626" s="100" t="str">
        <f t="shared" si="1"/>
        <v>2025</v>
      </c>
      <c r="G626" s="100" t="str">
        <f t="shared" si="2"/>
        <v>11Nov</v>
      </c>
      <c r="H626" s="100" t="str">
        <f t="shared" si="3"/>
        <v>Rabu</v>
      </c>
      <c r="I626" s="97" t="s">
        <v>83</v>
      </c>
      <c r="J626" s="97" t="s">
        <v>62</v>
      </c>
      <c r="K626" s="97" t="s">
        <v>63</v>
      </c>
      <c r="L626" s="101" t="s">
        <v>174</v>
      </c>
      <c r="M626" s="102" t="str">
        <f>IFNA(VLOOKUP(L626,'🙎‍♂️ Pasien'!G:V,2,FALSE),"")</f>
        <v>F6925098775</v>
      </c>
      <c r="N626" s="103">
        <f>IFNA(VLOOKUP(L626,'🙎‍♂️ Pasien'!G:L,3,FALSE),"")</f>
        <v>56</v>
      </c>
      <c r="O626" s="104" t="str">
        <f>IFNA(VLOOKUP(L626,'🙎‍♂️ Pasien'!G:V,6,FALSE),"")</f>
        <v>PEREMPUAN</v>
      </c>
      <c r="P626" s="104" t="str">
        <f>IFNA(VLOOKUP(L626,'🙎‍♂️ Pasien'!G:V,12,FALSE),"")</f>
        <v>BUDDHA</v>
      </c>
      <c r="Q626" s="104" t="str">
        <f>IFNA(VLOOKUP(L626:L1508,'🙎‍♂️ Pasien'!G:V,13,FALSE),"")</f>
        <v>IRT</v>
      </c>
      <c r="R626" s="104" t="str">
        <f t="array" ref="R626">ifna(xlookup(L626,'🙎‍♂️ Pasien'!$G$5:$G1508,'🙎‍♂️ Pasien'!$T$5:$T1508),"")</f>
        <v>LUTUT (POST OP TKR)</v>
      </c>
      <c r="S626" s="104" t="str">
        <f t="array" ref="S626">ifna(xlookup(L626,'🙎‍♂️ Pasien'!$G$5:$G1508,'🙎‍♂️ Pasien'!$U$5:$U1508),"")</f>
        <v>PEKERJAAAN RUMAH TANGGA</v>
      </c>
      <c r="T626" s="97" t="s">
        <v>59</v>
      </c>
      <c r="U626" s="105">
        <v>5.0</v>
      </c>
      <c r="V626" s="101" t="s">
        <v>125</v>
      </c>
      <c r="W626" s="106" t="b">
        <v>1</v>
      </c>
      <c r="X626" s="107"/>
      <c r="Y626" s="108"/>
    </row>
    <row r="627" ht="22.5" customHeight="1">
      <c r="A627" s="96"/>
      <c r="B627" s="97" t="s">
        <v>85</v>
      </c>
      <c r="C627" s="98" t="str">
        <f t="array" ref="C627">IFNA(XLOOKUP(J627,'⚙️ Pengaturan'!$H$5:$H1508,'⚙️ Pengaturan'!$I$5:$I1508),"")</f>
        <v>TIM Y</v>
      </c>
      <c r="D627" s="97" t="s">
        <v>86</v>
      </c>
      <c r="E627" s="99">
        <v>45966.0</v>
      </c>
      <c r="F627" s="100" t="str">
        <f t="shared" si="1"/>
        <v>2025</v>
      </c>
      <c r="G627" s="100" t="str">
        <f t="shared" si="2"/>
        <v>11Nov</v>
      </c>
      <c r="H627" s="100" t="str">
        <f t="shared" si="3"/>
        <v>Rabu</v>
      </c>
      <c r="I627" s="97" t="s">
        <v>87</v>
      </c>
      <c r="J627" s="97" t="s">
        <v>107</v>
      </c>
      <c r="K627" s="97" t="s">
        <v>63</v>
      </c>
      <c r="L627" s="101" t="s">
        <v>267</v>
      </c>
      <c r="M627" s="102" t="str">
        <f>IFNA(VLOOKUP(L627,'🙎‍♂️ Pasien'!G:V,2,FALSE),"")</f>
        <v>R8825109439</v>
      </c>
      <c r="N627" s="103">
        <f>IFNA(VLOOKUP(L627,'🙎‍♂️ Pasien'!G:L,3,FALSE),"")</f>
        <v>38</v>
      </c>
      <c r="O627" s="104" t="str">
        <f>IFNA(VLOOKUP(L627,'🙎‍♂️ Pasien'!G:V,6,FALSE),"")</f>
        <v>LAKI-LAKI</v>
      </c>
      <c r="P627" s="104" t="str">
        <f>IFNA(VLOOKUP(L627,'🙎‍♂️ Pasien'!G:V,12,FALSE),"")</f>
        <v>KATOLIK</v>
      </c>
      <c r="Q627" s="104" t="str">
        <f>IFNA(VLOOKUP(L627:L1508,'🙎‍♂️ Pasien'!G:V,13,FALSE),"")</f>
        <v>KARYAWAN SWASTA</v>
      </c>
      <c r="R627" s="104" t="str">
        <f t="array" ref="R627">ifna(xlookup(L627,'🙎‍♂️ Pasien'!$G$5:$G1508,'🙎‍♂️ Pasien'!$T$5:$T1508),"")</f>
        <v>ASSESSMENT BADAN UNTUK PERSIAPAN LARI MARATON</v>
      </c>
      <c r="S627" s="104" t="str">
        <f t="array" ref="S627">ifna(xlookup(L627,'🙎‍♂️ Pasien'!$G$5:$G1508,'🙎‍♂️ Pasien'!$U$5:$U1508),"")</f>
        <v>LARI</v>
      </c>
      <c r="T627" s="97" t="s">
        <v>59</v>
      </c>
      <c r="U627" s="105">
        <v>3.0</v>
      </c>
      <c r="V627" s="101"/>
      <c r="W627" s="106" t="b">
        <v>1</v>
      </c>
      <c r="X627" s="107"/>
      <c r="Y627" s="108"/>
    </row>
    <row r="628" ht="22.5" customHeight="1">
      <c r="A628" s="96"/>
      <c r="B628" s="97" t="s">
        <v>85</v>
      </c>
      <c r="C628" s="98" t="str">
        <f t="array" ref="C628">IFNA(XLOOKUP(J628,'⚙️ Pengaturan'!$H$5:$H1508,'⚙️ Pengaturan'!$I$5:$I1508),"")</f>
        <v>TIM A</v>
      </c>
      <c r="D628" s="97" t="s">
        <v>86</v>
      </c>
      <c r="E628" s="99">
        <v>45966.0</v>
      </c>
      <c r="F628" s="100" t="str">
        <f t="shared" si="1"/>
        <v>2025</v>
      </c>
      <c r="G628" s="100" t="str">
        <f t="shared" si="2"/>
        <v>11Nov</v>
      </c>
      <c r="H628" s="100" t="str">
        <f t="shared" si="3"/>
        <v>Rabu</v>
      </c>
      <c r="I628" s="97" t="s">
        <v>93</v>
      </c>
      <c r="J628" s="97" t="s">
        <v>72</v>
      </c>
      <c r="K628" s="97" t="s">
        <v>63</v>
      </c>
      <c r="L628" s="101" t="s">
        <v>225</v>
      </c>
      <c r="M628" s="102" t="str">
        <f>IFNA(VLOOKUP(L628,'🙎‍♂️ Pasien'!G:V,2,FALSE),"")</f>
        <v>B8025102288</v>
      </c>
      <c r="N628" s="103">
        <f>IFNA(VLOOKUP(L628,'🙎‍♂️ Pasien'!G:L,3,FALSE),"")</f>
        <v>45</v>
      </c>
      <c r="O628" s="104" t="str">
        <f>IFNA(VLOOKUP(L628,'🙎‍♂️ Pasien'!G:V,6,FALSE),"")</f>
        <v>PEREMPUAN</v>
      </c>
      <c r="P628" s="104" t="str">
        <f>IFNA(VLOOKUP(L628,'🙎‍♂️ Pasien'!G:V,12,FALSE),"")</f>
        <v>ISLAM</v>
      </c>
      <c r="Q628" s="104" t="str">
        <f>IFNA(VLOOKUP(L628:L1508,'🙎‍♂️ Pasien'!G:V,13,FALSE),"")</f>
        <v>ASN</v>
      </c>
      <c r="R628" s="104" t="str">
        <f t="array" ref="R628">ifna(xlookup(L628,'🙎‍♂️ Pasien'!$G$5:$G1508,'🙎‍♂️ Pasien'!$T$5:$T1508),"")</f>
        <v>KELUHAN SY NYERI DI TUMIT KIRI SM PAHA KANAN UT DIANGKAT SAMBIL DITEKUK KE ARAH SAMPING LUAR RASA NYA NYERI</v>
      </c>
      <c r="S628" s="104" t="str">
        <f t="array" ref="S628">ifna(xlookup(L628,'🙎‍♂️ Pasien'!$G$5:$G1508,'🙎‍♂️ Pasien'!$U$5:$U1508),"")</f>
        <v>JOGING</v>
      </c>
      <c r="T628" s="97" t="s">
        <v>59</v>
      </c>
      <c r="U628" s="105">
        <v>4.0</v>
      </c>
      <c r="V628" s="101"/>
      <c r="W628" s="106" t="b">
        <v>1</v>
      </c>
      <c r="X628" s="107"/>
      <c r="Y628" s="108"/>
    </row>
    <row r="629" ht="22.5" customHeight="1">
      <c r="A629" s="96"/>
      <c r="B629" s="97" t="s">
        <v>85</v>
      </c>
      <c r="C629" s="98" t="str">
        <f t="array" ref="C629">IFNA(XLOOKUP(J629,'⚙️ Pengaturan'!$H$5:$H1508,'⚙️ Pengaturan'!$I$5:$I1508),"")</f>
        <v>TIM Y</v>
      </c>
      <c r="D629" s="97" t="s">
        <v>86</v>
      </c>
      <c r="E629" s="99">
        <v>45966.0</v>
      </c>
      <c r="F629" s="100" t="str">
        <f t="shared" si="1"/>
        <v>2025</v>
      </c>
      <c r="G629" s="100" t="str">
        <f t="shared" si="2"/>
        <v>11Nov</v>
      </c>
      <c r="H629" s="100" t="str">
        <f t="shared" si="3"/>
        <v>Rabu</v>
      </c>
      <c r="I629" s="97" t="s">
        <v>93</v>
      </c>
      <c r="J629" s="97" t="s">
        <v>88</v>
      </c>
      <c r="K629" s="97" t="s">
        <v>69</v>
      </c>
      <c r="L629" s="101" t="s">
        <v>254</v>
      </c>
      <c r="M629" s="102" t="str">
        <f>IFNA(VLOOKUP(L629,'🙎‍♂️ Pasien'!G:V,2,FALSE),"")</f>
        <v>G0225101517</v>
      </c>
      <c r="N629" s="103">
        <f>IFNA(VLOOKUP(L629,'🙎‍♂️ Pasien'!G:L,3,FALSE),"")</f>
        <v>24</v>
      </c>
      <c r="O629" s="104" t="str">
        <f>IFNA(VLOOKUP(L629,'🙎‍♂️ Pasien'!G:V,6,FALSE),"")</f>
        <v>LAKI-LAKI</v>
      </c>
      <c r="P629" s="104" t="str">
        <f>IFNA(VLOOKUP(L629,'🙎‍♂️ Pasien'!G:V,12,FALSE),"")</f>
        <v>KATOLIK</v>
      </c>
      <c r="Q629" s="104" t="str">
        <f>IFNA(VLOOKUP(L629:L1508,'🙎‍♂️ Pasien'!G:V,13,FALSE),"")</f>
        <v>MAHASISWA</v>
      </c>
      <c r="R629" s="104" t="str">
        <f t="array" ref="R629">ifna(xlookup(L629,'🙎‍♂️ Pasien'!$G$5:$G1508,'🙎‍♂️ Pasien'!$T$5:$T1508),"")</f>
        <v>NYERI PADA LUTUT BAGIAN LUAR</v>
      </c>
      <c r="S629" s="104" t="str">
        <f t="array" ref="S629">ifna(xlookup(L629,'🙎‍♂️ Pasien'!$G$5:$G1508,'🙎‍♂️ Pasien'!$U$5:$U1508),"")</f>
        <v>LARI, MINI SOCCER, GYM</v>
      </c>
      <c r="T629" s="97" t="s">
        <v>59</v>
      </c>
      <c r="U629" s="105" t="s">
        <v>60</v>
      </c>
      <c r="V629" s="101"/>
      <c r="W629" s="106" t="b">
        <v>1</v>
      </c>
      <c r="X629" s="107"/>
      <c r="Y629" s="108"/>
    </row>
    <row r="630" ht="22.5" customHeight="1">
      <c r="A630" s="96"/>
      <c r="B630" s="97" t="s">
        <v>85</v>
      </c>
      <c r="C630" s="98" t="str">
        <f t="array" ref="C630">IFNA(XLOOKUP(J630,'⚙️ Pengaturan'!$H$5:$H1508,'⚙️ Pengaturan'!$I$5:$I1508),"")</f>
        <v>TIM Y</v>
      </c>
      <c r="D630" s="97" t="s">
        <v>86</v>
      </c>
      <c r="E630" s="99">
        <v>45966.0</v>
      </c>
      <c r="F630" s="100" t="str">
        <f t="shared" si="1"/>
        <v>2025</v>
      </c>
      <c r="G630" s="100" t="str">
        <f t="shared" si="2"/>
        <v>11Nov</v>
      </c>
      <c r="H630" s="100" t="str">
        <f t="shared" si="3"/>
        <v>Rabu</v>
      </c>
      <c r="I630" s="97" t="s">
        <v>95</v>
      </c>
      <c r="J630" s="97" t="s">
        <v>107</v>
      </c>
      <c r="K630" s="97" t="s">
        <v>57</v>
      </c>
      <c r="L630" s="101" t="s">
        <v>457</v>
      </c>
      <c r="M630" s="102" t="str">
        <f>IFNA(VLOOKUP(L630,'🙎‍♂️ Pasien'!G:V,2,FALSE),"")</f>
        <v>B0125112743</v>
      </c>
      <c r="N630" s="103">
        <f>IFNA(VLOOKUP(L630,'🙎‍♂️ Pasien'!G:L,3,FALSE),"")</f>
        <v>24</v>
      </c>
      <c r="O630" s="104" t="str">
        <f>IFNA(VLOOKUP(L630,'🙎‍♂️ Pasien'!G:V,6,FALSE),"")</f>
        <v>LAKI-LAKI</v>
      </c>
      <c r="P630" s="104" t="str">
        <f>IFNA(VLOOKUP(L630,'🙎‍♂️ Pasien'!G:V,12,FALSE),"")</f>
        <v>KATOLIK</v>
      </c>
      <c r="Q630" s="104" t="str">
        <f>IFNA(VLOOKUP(L630:L1508,'🙎‍♂️ Pasien'!G:V,13,FALSE),"")</f>
        <v>KARYAWAN SWASTA</v>
      </c>
      <c r="R630" s="104" t="str">
        <f t="array" ref="R630">ifna(xlookup(L630,'🙎‍♂️ Pasien'!$G$5:$G1508,'🙎‍♂️ Pasien'!$T$5:$T1508),"")</f>
        <v>NYERI PADA BAGIAN LUTUT</v>
      </c>
      <c r="S630" s="104" t="str">
        <f t="array" ref="S630">ifna(xlookup(L630,'🙎‍♂️ Pasien'!$G$5:$G1508,'🙎‍♂️ Pasien'!$U$5:$U1508),"")</f>
        <v>LARI</v>
      </c>
      <c r="T630" s="97" t="s">
        <v>59</v>
      </c>
      <c r="U630" s="105" t="s">
        <v>60</v>
      </c>
      <c r="V630" s="101"/>
      <c r="W630" s="106" t="b">
        <v>1</v>
      </c>
      <c r="X630" s="107"/>
      <c r="Y630" s="108"/>
    </row>
    <row r="631" ht="22.5" customHeight="1">
      <c r="A631" s="96"/>
      <c r="B631" s="97" t="s">
        <v>85</v>
      </c>
      <c r="C631" s="98" t="str">
        <f t="array" ref="C631">IFNA(XLOOKUP(J631,'⚙️ Pengaturan'!$H$5:$H1508,'⚙️ Pengaturan'!$I$5:$I1508),"")</f>
        <v>TIM Y</v>
      </c>
      <c r="D631" s="97" t="s">
        <v>86</v>
      </c>
      <c r="E631" s="99">
        <v>45966.0</v>
      </c>
      <c r="F631" s="100" t="str">
        <f t="shared" si="1"/>
        <v>2025</v>
      </c>
      <c r="G631" s="100" t="str">
        <f t="shared" si="2"/>
        <v>11Nov</v>
      </c>
      <c r="H631" s="100" t="str">
        <f t="shared" si="3"/>
        <v>Rabu</v>
      </c>
      <c r="I631" s="97" t="s">
        <v>95</v>
      </c>
      <c r="J631" s="97" t="s">
        <v>88</v>
      </c>
      <c r="K631" s="97" t="s">
        <v>63</v>
      </c>
      <c r="L631" s="101" t="s">
        <v>417</v>
      </c>
      <c r="M631" s="102" t="str">
        <f>IFNA(VLOOKUP(L631,'🙎‍♂️ Pasien'!G:V,2,FALSE),"")</f>
        <v>F0225102200</v>
      </c>
      <c r="N631" s="103">
        <f>IFNA(VLOOKUP(L631,'🙎‍♂️ Pasien'!G:L,3,FALSE),"")</f>
        <v>23</v>
      </c>
      <c r="O631" s="104" t="str">
        <f>IFNA(VLOOKUP(L631,'🙎‍♂️ Pasien'!G:V,6,FALSE),"")</f>
        <v>LAKI-LAKI</v>
      </c>
      <c r="P631" s="104" t="str">
        <f>IFNA(VLOOKUP(L631,'🙎‍♂️ Pasien'!G:V,12,FALSE),"")</f>
        <v>ISLAM</v>
      </c>
      <c r="Q631" s="104" t="str">
        <f>IFNA(VLOOKUP(L631:L1508,'🙎‍♂️ Pasien'!G:V,13,FALSE),"")</f>
        <v>WIRASWASTA</v>
      </c>
      <c r="R631" s="104" t="str">
        <f t="array" ref="R631">ifna(xlookup(L631,'🙎‍♂️ Pasien'!$G$5:$G1508,'🙎‍♂️ Pasien'!$T$5:$T1508),"")</f>
        <v>SCOLIOSIS, SAKIT SAAT BERDIRI/DUDUK LAMA</v>
      </c>
      <c r="S631" s="104" t="str">
        <f t="array" ref="S631">ifna(xlookup(L631,'🙎‍♂️ Pasien'!$G$5:$G1508,'🙎‍♂️ Pasien'!$U$5:$U1508),"")</f>
        <v>KERJA DI LAPANGAN, LARI</v>
      </c>
      <c r="T631" s="97" t="s">
        <v>67</v>
      </c>
      <c r="U631" s="105">
        <v>2.0</v>
      </c>
      <c r="V631" s="101" t="s">
        <v>183</v>
      </c>
      <c r="W631" s="106" t="b">
        <v>1</v>
      </c>
      <c r="X631" s="107"/>
      <c r="Y631" s="108"/>
    </row>
    <row r="632" ht="22.5" customHeight="1">
      <c r="A632" s="96"/>
      <c r="B632" s="97" t="s">
        <v>85</v>
      </c>
      <c r="C632" s="98" t="str">
        <f t="array" ref="C632">IFNA(XLOOKUP(J632,'⚙️ Pengaturan'!$H$5:$H1508,'⚙️ Pengaturan'!$I$5:$I1508),"")</f>
        <v>TIM Y</v>
      </c>
      <c r="D632" s="97" t="s">
        <v>86</v>
      </c>
      <c r="E632" s="99">
        <v>45966.0</v>
      </c>
      <c r="F632" s="100" t="str">
        <f t="shared" si="1"/>
        <v>2025</v>
      </c>
      <c r="G632" s="100" t="str">
        <f t="shared" si="2"/>
        <v>11Nov</v>
      </c>
      <c r="H632" s="100" t="str">
        <f t="shared" si="3"/>
        <v>Rabu</v>
      </c>
      <c r="I632" s="97" t="s">
        <v>97</v>
      </c>
      <c r="J632" s="97" t="s">
        <v>88</v>
      </c>
      <c r="K632" s="97" t="s">
        <v>63</v>
      </c>
      <c r="L632" s="101" t="s">
        <v>98</v>
      </c>
      <c r="M632" s="102" t="str">
        <f>IFNA(VLOOKUP(L632,'🙎‍♂️ Pasien'!G:V,2,FALSE),"")</f>
        <v>L9925048099</v>
      </c>
      <c r="N632" s="103">
        <f>IFNA(VLOOKUP(L632,'🙎‍♂️ Pasien'!G:L,3,FALSE),"")</f>
        <v>26</v>
      </c>
      <c r="O632" s="104" t="str">
        <f>IFNA(VLOOKUP(L632,'🙎‍♂️ Pasien'!G:V,6,FALSE),"")</f>
        <v>PEREMPUAN</v>
      </c>
      <c r="P632" s="104" t="str">
        <f>IFNA(VLOOKUP(L632,'🙎‍♂️ Pasien'!G:V,12,FALSE),"")</f>
        <v>KATOLIK</v>
      </c>
      <c r="Q632" s="104" t="str">
        <f>IFNA(VLOOKUP(L632:L1508,'🙎‍♂️ Pasien'!G:V,13,FALSE),"")</f>
        <v>ACCOUNTING</v>
      </c>
      <c r="R632" s="104" t="str">
        <f t="array" ref="R632">ifna(xlookup(L632,'🙎‍♂️ Pasien'!$G$5:$G1508,'🙎‍♂️ Pasien'!$T$5:$T1508),"")</f>
        <v>NYERI TULANG BELAKANG SAMPAI KAKI, NYERI DI BAGIAN LUTUT JUGA</v>
      </c>
      <c r="S632" s="104" t="str">
        <f t="array" ref="S632">ifna(xlookup(L632,'🙎‍♂️ Pasien'!$G$5:$G1508,'🙎‍♂️ Pasien'!$U$5:$U1508),"")</f>
        <v>BANYAK DUDUK</v>
      </c>
      <c r="T632" s="97" t="s">
        <v>59</v>
      </c>
      <c r="U632" s="105">
        <v>4.0</v>
      </c>
      <c r="V632" s="101"/>
      <c r="W632" s="106" t="b">
        <v>1</v>
      </c>
      <c r="X632" s="107"/>
      <c r="Y632" s="108"/>
    </row>
    <row r="633" ht="22.5" customHeight="1">
      <c r="A633" s="96"/>
      <c r="B633" s="97" t="s">
        <v>85</v>
      </c>
      <c r="C633" s="98" t="str">
        <f t="array" ref="C633">IFNA(XLOOKUP(J633,'⚙️ Pengaturan'!$H$5:$H1508,'⚙️ Pengaturan'!$I$5:$I1508),"")</f>
        <v>TIM A</v>
      </c>
      <c r="D633" s="97" t="s">
        <v>86</v>
      </c>
      <c r="E633" s="99">
        <v>45966.0</v>
      </c>
      <c r="F633" s="100" t="str">
        <f t="shared" si="1"/>
        <v>2025</v>
      </c>
      <c r="G633" s="100" t="str">
        <f t="shared" si="2"/>
        <v>11Nov</v>
      </c>
      <c r="H633" s="100" t="str">
        <f t="shared" si="3"/>
        <v>Rabu</v>
      </c>
      <c r="I633" s="97" t="s">
        <v>99</v>
      </c>
      <c r="J633" s="97" t="s">
        <v>72</v>
      </c>
      <c r="K633" s="97" t="s">
        <v>63</v>
      </c>
      <c r="L633" s="101" t="s">
        <v>381</v>
      </c>
      <c r="M633" s="102" t="str">
        <f>IFNA(VLOOKUP(L633,'🙎‍♂️ Pasien'!G:V,2,FALSE),"")</f>
        <v>A9925105509</v>
      </c>
      <c r="N633" s="103">
        <f>IFNA(VLOOKUP(L633,'🙎‍♂️ Pasien'!G:L,3,FALSE),"")</f>
        <v>27</v>
      </c>
      <c r="O633" s="104" t="str">
        <f>IFNA(VLOOKUP(L633,'🙎‍♂️ Pasien'!G:V,6,FALSE),"")</f>
        <v>PEREMPUAN</v>
      </c>
      <c r="P633" s="104" t="str">
        <f>IFNA(VLOOKUP(L633,'🙎‍♂️ Pasien'!G:V,12,FALSE),"")</f>
        <v>BUDDHA</v>
      </c>
      <c r="Q633" s="104" t="str">
        <f>IFNA(VLOOKUP(L633:L1508,'🙎‍♂️ Pasien'!G:V,13,FALSE),"")</f>
        <v>WIRASWASTA</v>
      </c>
      <c r="R633" s="104" t="str">
        <f t="array" ref="R633">ifna(xlookup(L633,'🙎‍♂️ Pasien'!$G$5:$G1508,'🙎‍♂️ Pasien'!$T$5:$T1508),"")</f>
        <v>KAKI BEKAS ANKLE SPRAIN SUDAH DITRE DAN BAHU PEGAL</v>
      </c>
      <c r="S633" s="104" t="str">
        <f t="array" ref="S633">ifna(xlookup(L633,'🙎‍♂️ Pasien'!$G$5:$G1508,'🙎‍♂️ Pasien'!$U$5:$U1508),"")</f>
        <v>2 MINGGU LALU JATUH DARI KETINGGIAN</v>
      </c>
      <c r="T633" s="97" t="s">
        <v>59</v>
      </c>
      <c r="U633" s="105">
        <v>3.0</v>
      </c>
      <c r="V633" s="101"/>
      <c r="W633" s="106" t="b">
        <v>1</v>
      </c>
      <c r="X633" s="107"/>
      <c r="Y633" s="108"/>
    </row>
    <row r="634" ht="22.5" customHeight="1">
      <c r="A634" s="96"/>
      <c r="B634" s="97" t="s">
        <v>85</v>
      </c>
      <c r="C634" s="98" t="str">
        <f t="array" ref="C634">IFNA(XLOOKUP(J634,'⚙️ Pengaturan'!$H$5:$H1508,'⚙️ Pengaturan'!$I$5:$I1508),"")</f>
        <v>TIM Y</v>
      </c>
      <c r="D634" s="97" t="s">
        <v>86</v>
      </c>
      <c r="E634" s="99">
        <v>45966.0</v>
      </c>
      <c r="F634" s="100" t="str">
        <f t="shared" si="1"/>
        <v>2025</v>
      </c>
      <c r="G634" s="100" t="str">
        <f t="shared" si="2"/>
        <v>11Nov</v>
      </c>
      <c r="H634" s="100" t="str">
        <f t="shared" si="3"/>
        <v>Rabu</v>
      </c>
      <c r="I634" s="97" t="s">
        <v>99</v>
      </c>
      <c r="J634" s="97" t="s">
        <v>88</v>
      </c>
      <c r="K634" s="97" t="s">
        <v>69</v>
      </c>
      <c r="L634" s="101" t="s">
        <v>443</v>
      </c>
      <c r="M634" s="102" t="str">
        <f>IFNA(VLOOKUP(L634,'🙎‍♂️ Pasien'!G:V,2,FALSE),"")</f>
        <v>G9825110702</v>
      </c>
      <c r="N634" s="103">
        <f>IFNA(VLOOKUP(L634,'🙎‍♂️ Pasien'!G:L,3,FALSE),"")</f>
        <v>27</v>
      </c>
      <c r="O634" s="104" t="str">
        <f>IFNA(VLOOKUP(L634,'🙎‍♂️ Pasien'!G:V,6,FALSE),"")</f>
        <v>LAKI-LAKI</v>
      </c>
      <c r="P634" s="104" t="str">
        <f>IFNA(VLOOKUP(L634,'🙎‍♂️ Pasien'!G:V,12,FALSE),"")</f>
        <v>ISLAM</v>
      </c>
      <c r="Q634" s="104" t="str">
        <f>IFNA(VLOOKUP(L634:L1508,'🙎‍♂️ Pasien'!G:V,13,FALSE),"")</f>
        <v>KARYAWAN SWASTA</v>
      </c>
      <c r="R634" s="104" t="str">
        <f t="array" ref="R634">ifna(xlookup(L634,'🙎‍♂️ Pasien'!$G$5:$G1508,'🙎‍♂️ Pasien'!$T$5:$T1508),"")</f>
        <v>SENGAL DAN NGILU BAGIAN BELIKAT (KIRI)</v>
      </c>
      <c r="S634" s="104" t="str">
        <f t="array" ref="S634">ifna(xlookup(L634,'🙎‍♂️ Pasien'!$G$5:$G1508,'🙎‍♂️ Pasien'!$U$5:$U1508),"")</f>
        <v>BADMINTON</v>
      </c>
      <c r="T634" s="97" t="s">
        <v>59</v>
      </c>
      <c r="U634" s="105" t="s">
        <v>60</v>
      </c>
      <c r="V634" s="101"/>
      <c r="W634" s="106" t="b">
        <v>1</v>
      </c>
      <c r="X634" s="107"/>
      <c r="Y634" s="108"/>
    </row>
    <row r="635" ht="22.5" customHeight="1">
      <c r="A635" s="96"/>
      <c r="B635" s="97" t="s">
        <v>53</v>
      </c>
      <c r="C635" s="98" t="str">
        <f t="array" ref="C635">IFNA(XLOOKUP(J635,'⚙️ Pengaturan'!$H$5:$H1508,'⚙️ Pengaturan'!$I$5:$I1508),"")</f>
        <v>MANAJEMEN</v>
      </c>
      <c r="D635" s="97" t="s">
        <v>54</v>
      </c>
      <c r="E635" s="99">
        <v>45967.0</v>
      </c>
      <c r="F635" s="100" t="str">
        <f t="shared" si="1"/>
        <v>2025</v>
      </c>
      <c r="G635" s="100" t="str">
        <f t="shared" si="2"/>
        <v>11Nov</v>
      </c>
      <c r="H635" s="100" t="str">
        <f t="shared" si="3"/>
        <v>Kamis</v>
      </c>
      <c r="I635" s="97" t="s">
        <v>55</v>
      </c>
      <c r="J635" s="97" t="s">
        <v>81</v>
      </c>
      <c r="K635" s="97" t="s">
        <v>63</v>
      </c>
      <c r="L635" s="101" t="s">
        <v>189</v>
      </c>
      <c r="M635" s="102" t="str">
        <f>IFNA(VLOOKUP(L635,'🙎‍♂️ Pasien'!G:V,2,FALSE),"")</f>
        <v>A6025048900</v>
      </c>
      <c r="N635" s="103">
        <f>IFNA(VLOOKUP(L635,'🙎‍♂️ Pasien'!G:L,3,FALSE),"")</f>
        <v>66</v>
      </c>
      <c r="O635" s="104" t="str">
        <f>IFNA(VLOOKUP(L635,'🙎‍♂️ Pasien'!G:V,6,FALSE),"")</f>
        <v>LAKI-LAKI</v>
      </c>
      <c r="P635" s="104" t="str">
        <f>IFNA(VLOOKUP(L635,'🙎‍♂️ Pasien'!G:V,12,FALSE),"")</f>
        <v>KHONGHUCU</v>
      </c>
      <c r="Q635" s="104" t="str">
        <f>IFNA(VLOOKUP(L635:L1508,'🙎‍♂️ Pasien'!G:V,13,FALSE),"")</f>
        <v>KONSULTAN PAJAK</v>
      </c>
      <c r="R635" s="104" t="str">
        <f t="array" ref="R635">ifna(xlookup(L635,'🙎‍♂️ Pasien'!$G$5:$G1508,'🙎‍♂️ Pasien'!$T$5:$T1508),"")</f>
        <v>SAKET LEHER</v>
      </c>
      <c r="S635" s="104" t="str">
        <f t="array" ref="S635">ifna(xlookup(L635,'🙎‍♂️ Pasien'!$G$5:$G1508,'🙎‍♂️ Pasien'!$U$5:$U1508),"")</f>
        <v>KERJE KERJE KERJE !!!!</v>
      </c>
      <c r="T635" s="97" t="s">
        <v>59</v>
      </c>
      <c r="U635" s="105">
        <v>2.0</v>
      </c>
      <c r="V635" s="101"/>
      <c r="W635" s="106" t="b">
        <v>1</v>
      </c>
      <c r="X635" s="107"/>
      <c r="Y635" s="108"/>
    </row>
    <row r="636" ht="22.5" customHeight="1">
      <c r="A636" s="96"/>
      <c r="B636" s="97" t="s">
        <v>53</v>
      </c>
      <c r="C636" s="98" t="str">
        <f t="array" ref="C636">IFNA(XLOOKUP(J636,'⚙️ Pengaturan'!$H$5:$H1508,'⚙️ Pengaturan'!$I$5:$I1508),"")</f>
        <v>TIM Y</v>
      </c>
      <c r="D636" s="97" t="s">
        <v>54</v>
      </c>
      <c r="E636" s="99">
        <v>45967.0</v>
      </c>
      <c r="F636" s="100" t="str">
        <f t="shared" si="1"/>
        <v>2025</v>
      </c>
      <c r="G636" s="100" t="str">
        <f t="shared" si="2"/>
        <v>11Nov</v>
      </c>
      <c r="H636" s="100" t="str">
        <f t="shared" si="3"/>
        <v>Kamis</v>
      </c>
      <c r="I636" s="97" t="s">
        <v>55</v>
      </c>
      <c r="J636" s="97" t="s">
        <v>88</v>
      </c>
      <c r="K636" s="97" t="s">
        <v>57</v>
      </c>
      <c r="L636" s="101" t="s">
        <v>458</v>
      </c>
      <c r="M636" s="102" t="str">
        <f>IFNA(VLOOKUP(L636,'🙎‍♂️ Pasien'!G:V,2,FALSE),"")</f>
        <v>A0625113812</v>
      </c>
      <c r="N636" s="103">
        <f>IFNA(VLOOKUP(L636,'🙎‍♂️ Pasien'!G:L,3,FALSE),"")</f>
        <v>19</v>
      </c>
      <c r="O636" s="104" t="str">
        <f>IFNA(VLOOKUP(L636,'🙎‍♂️ Pasien'!G:V,6,FALSE),"")</f>
        <v>LAKI-LAKI</v>
      </c>
      <c r="P636" s="104" t="str">
        <f>IFNA(VLOOKUP(L636,'🙎‍♂️ Pasien'!G:V,12,FALSE),"")</f>
        <v>ISLAM</v>
      </c>
      <c r="Q636" s="104" t="str">
        <f>IFNA(VLOOKUP(L636:L1508,'🙎‍♂️ Pasien'!G:V,13,FALSE),"")</f>
        <v>TIDAK ADA</v>
      </c>
      <c r="R636" s="104" t="str">
        <f t="array" ref="R636">ifna(xlookup(L636,'🙎‍♂️ Pasien'!$G$5:$G1508,'🙎‍♂️ Pasien'!$T$5:$T1508),"")</f>
        <v>ENGKEL KAKI KIRI SAYA MASIH BLUM SEMBUH" SUDAH MAU 3 BULAN BLUM SEMBUH" MASIH ADA TERSA NYERI"</v>
      </c>
      <c r="S636" s="104" t="str">
        <f t="array" ref="S636">ifna(xlookup(L636,'🙎‍♂️ Pasien'!$G$5:$G1508,'🙎‍♂️ Pasien'!$U$5:$U1508),"")</f>
        <v>BERMAIN BOLA DAN FUTSAL</v>
      </c>
      <c r="T636" s="97" t="s">
        <v>59</v>
      </c>
      <c r="U636" s="105" t="s">
        <v>60</v>
      </c>
      <c r="V636" s="101"/>
      <c r="W636" s="106" t="b">
        <v>1</v>
      </c>
      <c r="X636" s="107"/>
      <c r="Y636" s="108"/>
    </row>
    <row r="637" ht="22.5" customHeight="1">
      <c r="A637" s="96"/>
      <c r="B637" s="97" t="s">
        <v>53</v>
      </c>
      <c r="C637" s="98" t="str">
        <f t="array" ref="C637">IFNA(XLOOKUP(J637,'⚙️ Pengaturan'!$H$5:$H1508,'⚙️ Pengaturan'!$I$5:$I1508),"")</f>
        <v>TIM Y</v>
      </c>
      <c r="D637" s="97" t="s">
        <v>54</v>
      </c>
      <c r="E637" s="99">
        <v>45967.0</v>
      </c>
      <c r="F637" s="100" t="str">
        <f t="shared" si="1"/>
        <v>2025</v>
      </c>
      <c r="G637" s="100" t="str">
        <f t="shared" si="2"/>
        <v>11Nov</v>
      </c>
      <c r="H637" s="100" t="str">
        <f t="shared" si="3"/>
        <v>Kamis</v>
      </c>
      <c r="I637" s="97" t="s">
        <v>55</v>
      </c>
      <c r="J637" s="97" t="s">
        <v>88</v>
      </c>
      <c r="K637" s="97" t="s">
        <v>57</v>
      </c>
      <c r="L637" s="101" t="s">
        <v>459</v>
      </c>
      <c r="M637" s="102" t="str">
        <f>IFNA(VLOOKUP(L637,'🙎‍♂️ Pasien'!G:V,2,FALSE),"")</f>
        <v>S9525118899</v>
      </c>
      <c r="N637" s="103">
        <f>IFNA(VLOOKUP(L637,'🙎‍♂️ Pasien'!G:L,3,FALSE),"")</f>
        <v>30</v>
      </c>
      <c r="O637" s="104" t="str">
        <f>IFNA(VLOOKUP(L637,'🙎‍♂️ Pasien'!G:V,6,FALSE),"")</f>
        <v>LAKI-LAKI</v>
      </c>
      <c r="P637" s="104" t="str">
        <f>IFNA(VLOOKUP(L637,'🙎‍♂️ Pasien'!G:V,12,FALSE),"")</f>
        <v>KATOLIK</v>
      </c>
      <c r="Q637" s="104" t="str">
        <f>IFNA(VLOOKUP(L637:L1508,'🙎‍♂️ Pasien'!G:V,13,FALSE),"")</f>
        <v>SWASTA</v>
      </c>
      <c r="R637" s="104" t="str">
        <f t="array" ref="R637">ifna(xlookup(L637,'🙎‍♂️ Pasien'!$G$5:$G1508,'🙎‍♂️ Pasien'!$T$5:$T1508),"")</f>
        <v>PARIT TOKAYA</v>
      </c>
      <c r="S637" s="104" t="str">
        <f t="array" ref="S637">ifna(xlookup(L637,'🙎‍♂️ Pasien'!$G$5:$G1508,'🙎‍♂️ Pasien'!$U$5:$U1508),"")</f>
        <v>MAIN BOLA</v>
      </c>
      <c r="T637" s="97" t="s">
        <v>67</v>
      </c>
      <c r="U637" s="105" t="s">
        <v>60</v>
      </c>
      <c r="V637" s="101" t="s">
        <v>460</v>
      </c>
      <c r="W637" s="106" t="b">
        <v>1</v>
      </c>
      <c r="X637" s="107"/>
      <c r="Y637" s="108"/>
    </row>
    <row r="638" ht="22.5" customHeight="1">
      <c r="A638" s="96"/>
      <c r="B638" s="97" t="s">
        <v>53</v>
      </c>
      <c r="C638" s="98" t="str">
        <f t="array" ref="C638">IFNA(XLOOKUP(J638,'⚙️ Pengaturan'!$H$5:$H1508,'⚙️ Pengaturan'!$I$5:$I1508),"")</f>
        <v>TIM Y</v>
      </c>
      <c r="D638" s="97" t="s">
        <v>54</v>
      </c>
      <c r="E638" s="99">
        <v>45967.0</v>
      </c>
      <c r="F638" s="100" t="str">
        <f t="shared" si="1"/>
        <v>2025</v>
      </c>
      <c r="G638" s="100" t="str">
        <f t="shared" si="2"/>
        <v>11Nov</v>
      </c>
      <c r="H638" s="100" t="str">
        <f t="shared" si="3"/>
        <v>Kamis</v>
      </c>
      <c r="I638" s="97" t="s">
        <v>65</v>
      </c>
      <c r="J638" s="97" t="s">
        <v>107</v>
      </c>
      <c r="K638" s="97" t="s">
        <v>63</v>
      </c>
      <c r="L638" s="101" t="s">
        <v>193</v>
      </c>
      <c r="M638" s="102" t="str">
        <f>IFNA(VLOOKUP(L638,'🙎‍♂️ Pasien'!G:V,2,FALSE),"")</f>
        <v>E8925075615</v>
      </c>
      <c r="N638" s="103">
        <f>IFNA(VLOOKUP(L638,'🙎‍♂️ Pasien'!G:L,3,FALSE),"")</f>
        <v>36</v>
      </c>
      <c r="O638" s="104" t="str">
        <f>IFNA(VLOOKUP(L638,'🙎‍♂️ Pasien'!G:V,6,FALSE),"")</f>
        <v>PEREMPUAN</v>
      </c>
      <c r="P638" s="104" t="str">
        <f>IFNA(VLOOKUP(L638,'🙎‍♂️ Pasien'!G:V,12,FALSE),"")</f>
        <v>KATOLIK</v>
      </c>
      <c r="Q638" s="104" t="str">
        <f>IFNA(VLOOKUP(L638:L1508,'🙎‍♂️ Pasien'!G:V,13,FALSE),"")</f>
        <v>WIRASWASTA</v>
      </c>
      <c r="R638" s="104" t="str">
        <f t="array" ref="R638">ifna(xlookup(L638,'🙎‍♂️ Pasien'!$G$5:$G1508,'🙎‍♂️ Pasien'!$T$5:$T1508),"")</f>
        <v>BUNION</v>
      </c>
      <c r="S638" s="104" t="str">
        <f t="array" ref="S638">ifna(xlookup(L638,'🙎‍♂️ Pasien'!$G$5:$G1508,'🙎‍♂️ Pasien'!$U$5:$U1508),"")</f>
        <v>TENNIS</v>
      </c>
      <c r="T638" s="97" t="s">
        <v>59</v>
      </c>
      <c r="U638" s="105">
        <v>5.0</v>
      </c>
      <c r="V638" s="101"/>
      <c r="W638" s="106" t="b">
        <v>1</v>
      </c>
      <c r="X638" s="107"/>
      <c r="Y638" s="108"/>
    </row>
    <row r="639" ht="22.5" customHeight="1">
      <c r="A639" s="96"/>
      <c r="B639" s="97" t="s">
        <v>53</v>
      </c>
      <c r="C639" s="98" t="str">
        <f t="array" ref="C639">IFNA(XLOOKUP(J639,'⚙️ Pengaturan'!$H$5:$H1508,'⚙️ Pengaturan'!$I$5:$I1508),"")</f>
        <v>TIM A</v>
      </c>
      <c r="D639" s="97" t="s">
        <v>54</v>
      </c>
      <c r="E639" s="99">
        <v>45967.0</v>
      </c>
      <c r="F639" s="100" t="str">
        <f t="shared" si="1"/>
        <v>2025</v>
      </c>
      <c r="G639" s="100" t="str">
        <f t="shared" si="2"/>
        <v>11Nov</v>
      </c>
      <c r="H639" s="100" t="str">
        <f t="shared" si="3"/>
        <v>Kamis</v>
      </c>
      <c r="I639" s="97" t="s">
        <v>65</v>
      </c>
      <c r="J639" s="97" t="s">
        <v>72</v>
      </c>
      <c r="K639" s="97" t="s">
        <v>63</v>
      </c>
      <c r="L639" s="101" t="s">
        <v>249</v>
      </c>
      <c r="M639" s="102" t="str">
        <f>IFNA(VLOOKUP(L639,'🙎‍♂️ Pasien'!G:V,2,FALSE),"")</f>
        <v>M7625071479</v>
      </c>
      <c r="N639" s="103">
        <f>IFNA(VLOOKUP(L639,'🙎‍♂️ Pasien'!G:L,3,FALSE),"")</f>
        <v>50</v>
      </c>
      <c r="O639" s="104" t="str">
        <f>IFNA(VLOOKUP(L639,'🙎‍♂️ Pasien'!G:V,6,FALSE),"")</f>
        <v>PEREMPUAN</v>
      </c>
      <c r="P639" s="104" t="str">
        <f>IFNA(VLOOKUP(L639,'🙎‍♂️ Pasien'!G:V,12,FALSE),"")</f>
        <v>ISLAM</v>
      </c>
      <c r="Q639" s="104" t="str">
        <f>IFNA(VLOOKUP(L639:L1508,'🙎‍♂️ Pasien'!G:V,13,FALSE),"")</f>
        <v>IBU RUMAH TANGGA</v>
      </c>
      <c r="R639" s="104" t="str">
        <f t="array" ref="R639">ifna(xlookup(L639,'🙎‍♂️ Pasien'!$G$5:$G1508,'🙎‍♂️ Pasien'!$T$5:$T1508),"")</f>
        <v>STROKE</v>
      </c>
      <c r="S639" s="104" t="str">
        <f t="array" ref="S639">ifna(xlookup(L639,'🙎‍♂️ Pasien'!$G$5:$G1508,'🙎‍♂️ Pasien'!$U$5:$U1508),"")</f>
        <v>HIPERTENSI, KOLESTROL, DIABETES</v>
      </c>
      <c r="T639" s="97" t="s">
        <v>67</v>
      </c>
      <c r="U639" s="105">
        <v>6.0</v>
      </c>
      <c r="V639" s="101" t="s">
        <v>205</v>
      </c>
      <c r="W639" s="106" t="b">
        <v>1</v>
      </c>
      <c r="X639" s="107"/>
      <c r="Y639" s="108"/>
    </row>
    <row r="640" ht="22.5" customHeight="1">
      <c r="A640" s="96"/>
      <c r="B640" s="97" t="s">
        <v>53</v>
      </c>
      <c r="C640" s="98" t="str">
        <f t="array" ref="C640">IFNA(XLOOKUP(J640,'⚙️ Pengaturan'!$H$5:$H1508,'⚙️ Pengaturan'!$I$5:$I1508),"")</f>
        <v>TIM A</v>
      </c>
      <c r="D640" s="97" t="s">
        <v>54</v>
      </c>
      <c r="E640" s="99">
        <v>45967.0</v>
      </c>
      <c r="F640" s="100" t="str">
        <f t="shared" si="1"/>
        <v>2025</v>
      </c>
      <c r="G640" s="100" t="str">
        <f t="shared" si="2"/>
        <v>11Nov</v>
      </c>
      <c r="H640" s="100" t="str">
        <f t="shared" si="3"/>
        <v>Kamis</v>
      </c>
      <c r="I640" s="97" t="s">
        <v>74</v>
      </c>
      <c r="J640" s="97" t="s">
        <v>72</v>
      </c>
      <c r="K640" s="97" t="s">
        <v>63</v>
      </c>
      <c r="L640" s="101" t="s">
        <v>302</v>
      </c>
      <c r="M640" s="102" t="str">
        <f>IFNA(VLOOKUP(L640,'🙎‍♂️ Pasien'!G:V,2,FALSE),"")</f>
        <v>A9425105994</v>
      </c>
      <c r="N640" s="103">
        <f>IFNA(VLOOKUP(L640,'🙎‍♂️ Pasien'!G:L,3,FALSE),"")</f>
        <v>32</v>
      </c>
      <c r="O640" s="104" t="str">
        <f>IFNA(VLOOKUP(L640,'🙎‍♂️ Pasien'!G:V,6,FALSE),"")</f>
        <v>LAKI-LAKI</v>
      </c>
      <c r="P640" s="104" t="str">
        <f>IFNA(VLOOKUP(L640,'🙎‍♂️ Pasien'!G:V,12,FALSE),"")</f>
        <v>ISLAM</v>
      </c>
      <c r="Q640" s="104" t="str">
        <f>IFNA(VLOOKUP(L640:L1508,'🙎‍♂️ Pasien'!G:V,13,FALSE),"")</f>
        <v>KARYAWAN SWASTA</v>
      </c>
      <c r="R640" s="104" t="str">
        <f t="array" ref="R640">ifna(xlookup(L640,'🙎‍♂️ Pasien'!$G$5:$G1508,'🙎‍♂️ Pasien'!$T$5:$T1508),"")</f>
        <v>LUTUT</v>
      </c>
      <c r="S640" s="104" t="str">
        <f t="array" ref="S640">ifna(xlookup(L640,'🙎‍♂️ Pasien'!$G$5:$G1508,'🙎‍♂️ Pasien'!$U$5:$U1508),"")</f>
        <v>OLAGRAGA</v>
      </c>
      <c r="T640" s="97" t="s">
        <v>59</v>
      </c>
      <c r="U640" s="105">
        <v>1.0</v>
      </c>
      <c r="V640" s="101"/>
      <c r="W640" s="106" t="b">
        <v>1</v>
      </c>
      <c r="X640" s="107"/>
      <c r="Y640" s="108"/>
    </row>
    <row r="641" ht="22.5" customHeight="1">
      <c r="A641" s="96"/>
      <c r="B641" s="97" t="s">
        <v>53</v>
      </c>
      <c r="C641" s="98" t="str">
        <f t="array" ref="C641">IFNA(XLOOKUP(J641,'⚙️ Pengaturan'!$H$5:$H1508,'⚙️ Pengaturan'!$I$5:$I1508),"")</f>
        <v>TIM Y</v>
      </c>
      <c r="D641" s="97" t="s">
        <v>54</v>
      </c>
      <c r="E641" s="99">
        <v>45967.0</v>
      </c>
      <c r="F641" s="100" t="str">
        <f t="shared" si="1"/>
        <v>2025</v>
      </c>
      <c r="G641" s="100" t="str">
        <f t="shared" si="2"/>
        <v>11Nov</v>
      </c>
      <c r="H641" s="100" t="str">
        <f t="shared" si="3"/>
        <v>Kamis</v>
      </c>
      <c r="I641" s="97" t="s">
        <v>74</v>
      </c>
      <c r="J641" s="97" t="s">
        <v>88</v>
      </c>
      <c r="K641" s="97" t="s">
        <v>57</v>
      </c>
      <c r="L641" s="101" t="s">
        <v>461</v>
      </c>
      <c r="M641" s="102" t="str">
        <f>IFNA(VLOOKUP(L641,'🙎‍♂️ Pasien'!G:V,2,FALSE),"")</f>
        <v>M8425111626</v>
      </c>
      <c r="N641" s="103">
        <f>IFNA(VLOOKUP(L641,'🙎‍♂️ Pasien'!G:L,3,FALSE),"")</f>
        <v>42</v>
      </c>
      <c r="O641" s="104" t="str">
        <f>IFNA(VLOOKUP(L641,'🙎‍♂️ Pasien'!G:V,6,FALSE),"")</f>
        <v>LAKI-LAKI</v>
      </c>
      <c r="P641" s="104" t="str">
        <f>IFNA(VLOOKUP(L641,'🙎‍♂️ Pasien'!G:V,12,FALSE),"")</f>
        <v>ISLAM</v>
      </c>
      <c r="Q641" s="104" t="str">
        <f>IFNA(VLOOKUP(L641:L1508,'🙎‍♂️ Pasien'!G:V,13,FALSE),"")</f>
        <v>WIRAUSAHA</v>
      </c>
      <c r="R641" s="104" t="str">
        <f t="array" ref="R641">ifna(xlookup(L641,'🙎‍♂️ Pasien'!$G$5:$G1508,'🙎‍♂️ Pasien'!$T$5:$T1508),"")</f>
        <v>SAKIT PADA LUTUT</v>
      </c>
      <c r="S641" s="104" t="str">
        <f t="array" ref="S641">ifna(xlookup(L641,'🙎‍♂️ Pasien'!$G$5:$G1508,'🙎‍♂️ Pasien'!$U$5:$U1508),"")</f>
        <v>SAKIT KETIKA BERJALAN KAKI SAKIT SAAT DILIPAT</v>
      </c>
      <c r="T641" s="97" t="s">
        <v>59</v>
      </c>
      <c r="U641" s="105" t="s">
        <v>60</v>
      </c>
      <c r="V641" s="101"/>
      <c r="W641" s="106" t="b">
        <v>1</v>
      </c>
      <c r="X641" s="107"/>
      <c r="Y641" s="108"/>
    </row>
    <row r="642" ht="22.5" customHeight="1">
      <c r="A642" s="96"/>
      <c r="B642" s="97" t="s">
        <v>53</v>
      </c>
      <c r="C642" s="98" t="str">
        <f t="array" ref="C642">IFNA(XLOOKUP(J642,'⚙️ Pengaturan'!$H$5:$H1508,'⚙️ Pengaturan'!$I$5:$I1508),"")</f>
        <v>TIM Y</v>
      </c>
      <c r="D642" s="97" t="s">
        <v>54</v>
      </c>
      <c r="E642" s="99">
        <v>45967.0</v>
      </c>
      <c r="F642" s="100" t="str">
        <f t="shared" si="1"/>
        <v>2025</v>
      </c>
      <c r="G642" s="100" t="str">
        <f t="shared" si="2"/>
        <v>11Nov</v>
      </c>
      <c r="H642" s="100" t="str">
        <f t="shared" si="3"/>
        <v>Kamis</v>
      </c>
      <c r="I642" s="97" t="s">
        <v>76</v>
      </c>
      <c r="J642" s="97" t="s">
        <v>107</v>
      </c>
      <c r="K642" s="97" t="s">
        <v>63</v>
      </c>
      <c r="L642" s="101" t="s">
        <v>439</v>
      </c>
      <c r="M642" s="102" t="str">
        <f>IFNA(VLOOKUP(L642,'🙎‍♂️ Pasien'!G:V,2,FALSE),"")</f>
        <v>K7525084719</v>
      </c>
      <c r="N642" s="103">
        <f>IFNA(VLOOKUP(L642,'🙎‍♂️ Pasien'!G:L,3,FALSE),"")</f>
        <v>50</v>
      </c>
      <c r="O642" s="104" t="str">
        <f>IFNA(VLOOKUP(L642,'🙎‍♂️ Pasien'!G:V,6,FALSE),"")</f>
        <v>PEREMPUAN</v>
      </c>
      <c r="P642" s="104" t="str">
        <f>IFNA(VLOOKUP(L642,'🙎‍♂️ Pasien'!G:V,12,FALSE),"")</f>
        <v>KATOLIK</v>
      </c>
      <c r="Q642" s="104" t="str">
        <f>IFNA(VLOOKUP(L642:L1508,'🙎‍♂️ Pasien'!G:V,13,FALSE),"")</f>
        <v>RUMAH TANGGA</v>
      </c>
      <c r="R642" s="104" t="str">
        <f t="array" ref="R642">ifna(xlookup(L642,'🙎‍♂️ Pasien'!$G$5:$G1508,'🙎‍♂️ Pasien'!$T$5:$T1508),"")</f>
        <v>PINGGANG DAN TANGAN</v>
      </c>
      <c r="S642" s="104" t="str">
        <f t="array" ref="S642">ifna(xlookup(L642,'🙎‍♂️ Pasien'!$G$5:$G1508,'🙎‍♂️ Pasien'!$U$5:$U1508),"")</f>
        <v>YOGA, JOGGING DAN PILATES</v>
      </c>
      <c r="T642" s="97" t="s">
        <v>59</v>
      </c>
      <c r="U642" s="105">
        <v>5.0</v>
      </c>
      <c r="V642" s="101" t="s">
        <v>125</v>
      </c>
      <c r="W642" s="106" t="b">
        <v>1</v>
      </c>
      <c r="X642" s="107"/>
      <c r="Y642" s="108"/>
    </row>
    <row r="643" ht="22.5" customHeight="1">
      <c r="A643" s="96"/>
      <c r="B643" s="97" t="s">
        <v>53</v>
      </c>
      <c r="C643" s="98" t="str">
        <f t="array" ref="C643">IFNA(XLOOKUP(J643,'⚙️ Pengaturan'!$H$5:$H1508,'⚙️ Pengaturan'!$I$5:$I1508),"")</f>
        <v>TIM A</v>
      </c>
      <c r="D643" s="97" t="s">
        <v>54</v>
      </c>
      <c r="E643" s="99">
        <v>45967.0</v>
      </c>
      <c r="F643" s="100" t="str">
        <f t="shared" si="1"/>
        <v>2025</v>
      </c>
      <c r="G643" s="100" t="str">
        <f t="shared" si="2"/>
        <v>11Nov</v>
      </c>
      <c r="H643" s="100" t="str">
        <f t="shared" si="3"/>
        <v>Kamis</v>
      </c>
      <c r="I643" s="97" t="s">
        <v>76</v>
      </c>
      <c r="J643" s="97" t="s">
        <v>72</v>
      </c>
      <c r="K643" s="97" t="s">
        <v>69</v>
      </c>
      <c r="L643" s="101" t="s">
        <v>316</v>
      </c>
      <c r="M643" s="102" t="str">
        <f>IFNA(VLOOKUP(L643,'🙎‍♂️ Pasien'!G:V,2,FALSE),"")</f>
        <v>P0125047300</v>
      </c>
      <c r="N643" s="103">
        <f>IFNA(VLOOKUP(L643,'🙎‍♂️ Pasien'!G:L,3,FALSE),"")</f>
        <v>25</v>
      </c>
      <c r="O643" s="104" t="str">
        <f>IFNA(VLOOKUP(L643,'🙎‍♂️ Pasien'!G:V,6,FALSE),"")</f>
        <v>PEREMPUAN</v>
      </c>
      <c r="P643" s="104" t="str">
        <f>IFNA(VLOOKUP(L643,'🙎‍♂️ Pasien'!G:V,12,FALSE),"")</f>
        <v>ISLAM</v>
      </c>
      <c r="Q643" s="104" t="str">
        <f>IFNA(VLOOKUP(L643:L1508,'🙎‍♂️ Pasien'!G:V,13,FALSE),"")</f>
        <v>FREELANCE</v>
      </c>
      <c r="R643" s="104" t="str">
        <f t="array" ref="R643">ifna(xlookup(L643,'🙎‍♂️ Pasien'!$G$5:$G1508,'🙎‍♂️ Pasien'!$T$5:$T1508),"")</f>
        <v>SAKIT PINGGANG</v>
      </c>
      <c r="S643" s="104" t="str">
        <f t="array" ref="S643">ifna(xlookup(L643,'🙎‍♂️ Pasien'!$G$5:$G1508,'🙎‍♂️ Pasien'!$U$5:$U1508),"")</f>
        <v>GYM</v>
      </c>
      <c r="T643" s="97" t="s">
        <v>59</v>
      </c>
      <c r="U643" s="105" t="s">
        <v>60</v>
      </c>
      <c r="V643" s="101"/>
      <c r="W643" s="106" t="b">
        <v>1</v>
      </c>
      <c r="X643" s="107"/>
      <c r="Y643" s="108"/>
    </row>
    <row r="644" ht="22.5" customHeight="1">
      <c r="A644" s="96"/>
      <c r="B644" s="97" t="s">
        <v>53</v>
      </c>
      <c r="C644" s="98" t="str">
        <f t="array" ref="C644">IFNA(XLOOKUP(J644,'⚙️ Pengaturan'!$H$5:$H1508,'⚙️ Pengaturan'!$I$5:$I1508),"")</f>
        <v>TIM A</v>
      </c>
      <c r="D644" s="97" t="s">
        <v>54</v>
      </c>
      <c r="E644" s="99">
        <v>45967.0</v>
      </c>
      <c r="F644" s="100" t="str">
        <f t="shared" si="1"/>
        <v>2025</v>
      </c>
      <c r="G644" s="100" t="str">
        <f t="shared" si="2"/>
        <v>11Nov</v>
      </c>
      <c r="H644" s="100" t="str">
        <f t="shared" si="3"/>
        <v>Kamis</v>
      </c>
      <c r="I644" s="97" t="s">
        <v>83</v>
      </c>
      <c r="J644" s="97" t="s">
        <v>72</v>
      </c>
      <c r="K644" s="97" t="s">
        <v>63</v>
      </c>
      <c r="L644" s="101" t="s">
        <v>129</v>
      </c>
      <c r="M644" s="102" t="str">
        <f>IFNA(VLOOKUP(L644,'🙎‍♂️ Pasien'!G:V,2,FALSE),"")</f>
        <v>D1025091558</v>
      </c>
      <c r="N644" s="103">
        <f>IFNA(VLOOKUP(L644,'🙎‍♂️ Pasien'!G:L,3,FALSE),"")</f>
        <v>16</v>
      </c>
      <c r="O644" s="104" t="str">
        <f>IFNA(VLOOKUP(L644,'🙎‍♂️ Pasien'!G:V,6,FALSE),"")</f>
        <v>LAKI-LAKI</v>
      </c>
      <c r="P644" s="104" t="str">
        <f>IFNA(VLOOKUP(L644,'🙎‍♂️ Pasien'!G:V,12,FALSE),"")</f>
        <v>PROTESTAN</v>
      </c>
      <c r="Q644" s="104" t="str">
        <f>IFNA(VLOOKUP(L644:L1508,'🙎‍♂️ Pasien'!G:V,13,FALSE),"")</f>
        <v>MASI SEKOLAH</v>
      </c>
      <c r="R644" s="104" t="str">
        <f t="array" ref="R644">ifna(xlookup(L644,'🙎‍♂️ Pasien'!$G$5:$G1508,'🙎‍♂️ Pasien'!$T$5:$T1508),"")</f>
        <v>SAKIT DI BAGIAN LUTUT</v>
      </c>
      <c r="S644" s="104" t="str">
        <f t="array" ref="S644">ifna(xlookup(L644,'🙎‍♂️ Pasien'!$G$5:$G1508,'🙎‍♂️ Pasien'!$U$5:$U1508),"")</f>
        <v>BASKET</v>
      </c>
      <c r="T644" s="97" t="s">
        <v>59</v>
      </c>
      <c r="U644" s="105">
        <v>2.0</v>
      </c>
      <c r="V644" s="101"/>
      <c r="W644" s="106" t="b">
        <v>1</v>
      </c>
      <c r="X644" s="107"/>
      <c r="Y644" s="108"/>
    </row>
    <row r="645" ht="22.5" customHeight="1">
      <c r="A645" s="96"/>
      <c r="B645" s="97" t="s">
        <v>85</v>
      </c>
      <c r="C645" s="98" t="str">
        <f t="array" ref="C645">IFNA(XLOOKUP(J645,'⚙️ Pengaturan'!$H$5:$H1508,'⚙️ Pengaturan'!$I$5:$I1508),"")</f>
        <v>TIM A</v>
      </c>
      <c r="D645" s="97" t="s">
        <v>86</v>
      </c>
      <c r="E645" s="99">
        <v>45967.0</v>
      </c>
      <c r="F645" s="100" t="str">
        <f t="shared" si="1"/>
        <v>2025</v>
      </c>
      <c r="G645" s="100" t="str">
        <f t="shared" si="2"/>
        <v>11Nov</v>
      </c>
      <c r="H645" s="100" t="str">
        <f t="shared" si="3"/>
        <v>Kamis</v>
      </c>
      <c r="I645" s="97" t="s">
        <v>87</v>
      </c>
      <c r="J645" s="97" t="s">
        <v>79</v>
      </c>
      <c r="K645" s="97" t="s">
        <v>63</v>
      </c>
      <c r="L645" s="101" t="s">
        <v>449</v>
      </c>
      <c r="M645" s="102" t="str">
        <f>IFNA(VLOOKUP(L645,'🙎‍♂️ Pasien'!G:V,2,FALSE),"")</f>
        <v>G9924046563</v>
      </c>
      <c r="N645" s="103">
        <f>IFNA(VLOOKUP(L645,'🙎‍♂️ Pasien'!G:L,3,FALSE),"")</f>
        <v>27</v>
      </c>
      <c r="O645" s="104" t="str">
        <f>IFNA(VLOOKUP(L645,'🙎‍♂️ Pasien'!G:V,6,FALSE),"")</f>
        <v>PEREMPUAN</v>
      </c>
      <c r="P645" s="104" t="str">
        <f>IFNA(VLOOKUP(L645,'🙎‍♂️ Pasien'!G:V,12,FALSE),"")</f>
        <v>ISLAM</v>
      </c>
      <c r="Q645" s="104" t="str">
        <f>IFNA(VLOOKUP(L645:L1508,'🙎‍♂️ Pasien'!G:V,13,FALSE),"")</f>
        <v>BUMN</v>
      </c>
      <c r="R645" s="104" t="str">
        <f t="array" ref="R645">ifna(xlookup(L645,'🙎‍♂️ Pasien'!$G$5:$G1508,'🙎‍♂️ Pasien'!$T$5:$T1508),"")</f>
        <v>Nyeri bahu , lengan kiri, dan leher</v>
      </c>
      <c r="S645" s="104" t="str">
        <f t="array" ref="S645">ifna(xlookup(L645,'🙎‍♂️ Pasien'!$G$5:$G1508,'🙎‍♂️ Pasien'!$U$5:$U1508),"")</f>
        <v>Kerja</v>
      </c>
      <c r="T645" s="97" t="s">
        <v>59</v>
      </c>
      <c r="U645" s="105">
        <v>1.0</v>
      </c>
      <c r="V645" s="101"/>
      <c r="W645" s="106" t="b">
        <v>1</v>
      </c>
      <c r="X645" s="107"/>
      <c r="Y645" s="108"/>
    </row>
    <row r="646" ht="22.5" customHeight="1">
      <c r="A646" s="96"/>
      <c r="B646" s="97" t="s">
        <v>85</v>
      </c>
      <c r="C646" s="98" t="str">
        <f t="array" ref="C646">IFNA(XLOOKUP(J646,'⚙️ Pengaturan'!$H$5:$H1508,'⚙️ Pengaturan'!$I$5:$I1508),"")</f>
        <v>TIM A</v>
      </c>
      <c r="D646" s="97" t="s">
        <v>86</v>
      </c>
      <c r="E646" s="99">
        <v>45967.0</v>
      </c>
      <c r="F646" s="100" t="str">
        <f t="shared" si="1"/>
        <v>2025</v>
      </c>
      <c r="G646" s="100" t="str">
        <f t="shared" si="2"/>
        <v>11Nov</v>
      </c>
      <c r="H646" s="100" t="str">
        <f t="shared" si="3"/>
        <v>Kamis</v>
      </c>
      <c r="I646" s="97" t="s">
        <v>87</v>
      </c>
      <c r="J646" s="97" t="s">
        <v>62</v>
      </c>
      <c r="K646" s="97" t="s">
        <v>63</v>
      </c>
      <c r="L646" s="101" t="s">
        <v>149</v>
      </c>
      <c r="M646" s="102" t="str">
        <f>IFNA(VLOOKUP(L646,'🙎‍♂️ Pasien'!G:V,2,FALSE),"")</f>
        <v>S9825058991</v>
      </c>
      <c r="N646" s="103">
        <f>IFNA(VLOOKUP(L646,'🙎‍♂️ Pasien'!G:L,3,FALSE),"")</f>
        <v>27</v>
      </c>
      <c r="O646" s="104" t="str">
        <f>IFNA(VLOOKUP(L646,'🙎‍♂️ Pasien'!G:V,6,FALSE),"")</f>
        <v>PEREMPUAN</v>
      </c>
      <c r="P646" s="104" t="str">
        <f>IFNA(VLOOKUP(L646,'🙎‍♂️ Pasien'!G:V,12,FALSE),"")</f>
        <v>ISLAM</v>
      </c>
      <c r="Q646" s="104" t="str">
        <f>IFNA(VLOOKUP(L646:L1508,'🙎‍♂️ Pasien'!G:V,13,FALSE),"")</f>
        <v>SWASTA</v>
      </c>
      <c r="R646" s="104" t="str">
        <f t="array" ref="R646">ifna(xlookup(L646,'🙎‍♂️ Pasien'!$G$5:$G1508,'🙎‍♂️ Pasien'!$T$5:$T1508),"")</f>
        <v>HNP LUMBAL/SARAF KEJEPIT</v>
      </c>
      <c r="S646" s="104" t="str">
        <f t="array" ref="S646">ifna(xlookup(L646,'🙎‍♂️ Pasien'!$G$5:$G1508,'🙎‍♂️ Pasien'!$U$5:$U1508),"")</f>
        <v>BEKERJA KANTORAN</v>
      </c>
      <c r="T646" s="97" t="s">
        <v>67</v>
      </c>
      <c r="U646" s="105">
        <v>2.0</v>
      </c>
      <c r="V646" s="101" t="s">
        <v>462</v>
      </c>
      <c r="W646" s="106" t="b">
        <v>1</v>
      </c>
      <c r="X646" s="107"/>
      <c r="Y646" s="108"/>
    </row>
    <row r="647" ht="22.5" customHeight="1">
      <c r="A647" s="96"/>
      <c r="B647" s="97" t="s">
        <v>85</v>
      </c>
      <c r="C647" s="98" t="str">
        <f t="array" ref="C647">IFNA(XLOOKUP(J647,'⚙️ Pengaturan'!$H$5:$H1508,'⚙️ Pengaturan'!$I$5:$I1508),"")</f>
        <v>TIM Y</v>
      </c>
      <c r="D647" s="97" t="s">
        <v>86</v>
      </c>
      <c r="E647" s="99">
        <v>45967.0</v>
      </c>
      <c r="F647" s="100" t="str">
        <f t="shared" si="1"/>
        <v>2025</v>
      </c>
      <c r="G647" s="100" t="str">
        <f t="shared" si="2"/>
        <v>11Nov</v>
      </c>
      <c r="H647" s="100" t="str">
        <f t="shared" si="3"/>
        <v>Kamis</v>
      </c>
      <c r="I647" s="97" t="s">
        <v>93</v>
      </c>
      <c r="J647" s="97" t="s">
        <v>56</v>
      </c>
      <c r="K647" s="97" t="s">
        <v>63</v>
      </c>
      <c r="L647" s="101" t="s">
        <v>94</v>
      </c>
      <c r="M647" s="102" t="str">
        <f>IFNA(VLOOKUP(L647,'🙎‍♂️ Pasien'!G:V,2,FALSE),"")</f>
        <v>A0825098780</v>
      </c>
      <c r="N647" s="103">
        <f>IFNA(VLOOKUP(L647,'🙎‍♂️ Pasien'!G:L,3,FALSE),"")</f>
        <v>18</v>
      </c>
      <c r="O647" s="104" t="str">
        <f>IFNA(VLOOKUP(L647,'🙎‍♂️ Pasien'!G:V,6,FALSE),"")</f>
        <v>PEREMPUAN</v>
      </c>
      <c r="P647" s="104" t="str">
        <f>IFNA(VLOOKUP(L647,'🙎‍♂️ Pasien'!G:V,12,FALSE),"")</f>
        <v>ISLAM</v>
      </c>
      <c r="Q647" s="104" t="str">
        <f>IFNA(VLOOKUP(L647:L1508,'🙎‍♂️ Pasien'!G:V,13,FALSE),"")</f>
        <v>PELAJAR</v>
      </c>
      <c r="R647" s="104" t="str">
        <f t="array" ref="R647">ifna(xlookup(L647,'🙎‍♂️ Pasien'!$G$5:$G1508,'🙎‍♂️ Pasien'!$T$5:$T1508),"")</f>
        <v>SAKIT DI LUTUT</v>
      </c>
      <c r="S647" s="104" t="str">
        <f t="array" ref="S647">ifna(xlookup(L647,'🙎‍♂️ Pasien'!$G$5:$G1508,'🙎‍♂️ Pasien'!$U$5:$U1508),"")</f>
        <v>MAIN BASKET</v>
      </c>
      <c r="T647" s="97" t="s">
        <v>59</v>
      </c>
      <c r="U647" s="105">
        <v>9.0</v>
      </c>
      <c r="V647" s="101"/>
      <c r="W647" s="106" t="b">
        <v>1</v>
      </c>
      <c r="X647" s="107"/>
      <c r="Y647" s="108"/>
    </row>
    <row r="648" ht="22.5" customHeight="1">
      <c r="A648" s="96"/>
      <c r="B648" s="97" t="s">
        <v>85</v>
      </c>
      <c r="C648" s="98" t="str">
        <f t="array" ref="C648">IFNA(XLOOKUP(J648,'⚙️ Pengaturan'!$H$5:$H1508,'⚙️ Pengaturan'!$I$5:$I1508),"")</f>
        <v>TIM A</v>
      </c>
      <c r="D648" s="97" t="s">
        <v>86</v>
      </c>
      <c r="E648" s="99">
        <v>45967.0</v>
      </c>
      <c r="F648" s="100" t="str">
        <f t="shared" si="1"/>
        <v>2025</v>
      </c>
      <c r="G648" s="100" t="str">
        <f t="shared" si="2"/>
        <v>11Nov</v>
      </c>
      <c r="H648" s="100" t="str">
        <f t="shared" si="3"/>
        <v>Kamis</v>
      </c>
      <c r="I648" s="97" t="s">
        <v>93</v>
      </c>
      <c r="J648" s="97" t="s">
        <v>79</v>
      </c>
      <c r="K648" s="97" t="s">
        <v>57</v>
      </c>
      <c r="L648" s="101" t="s">
        <v>463</v>
      </c>
      <c r="M648" s="102" t="str">
        <f>IFNA(VLOOKUP(L648,'🙎‍♂️ Pasien'!G:V,2,FALSE),"")</f>
        <v>K0825116630</v>
      </c>
      <c r="N648" s="103">
        <f>IFNA(VLOOKUP(L648,'🙎‍♂️ Pasien'!G:L,3,FALSE),"")</f>
        <v>17</v>
      </c>
      <c r="O648" s="104" t="str">
        <f>IFNA(VLOOKUP(L648,'🙎‍♂️ Pasien'!G:V,6,FALSE),"")</f>
        <v>PEREMPUAN</v>
      </c>
      <c r="P648" s="104" t="str">
        <f>IFNA(VLOOKUP(L648,'🙎‍♂️ Pasien'!G:V,12,FALSE),"")</f>
        <v>ISLAM</v>
      </c>
      <c r="Q648" s="104" t="str">
        <f>IFNA(VLOOKUP(L648:L1508,'🙎‍♂️ Pasien'!G:V,13,FALSE),"")</f>
        <v>PELAJAR/MAHASISWA</v>
      </c>
      <c r="R648" s="104" t="str">
        <f t="array" ref="R648">ifna(xlookup(L648,'🙎‍♂️ Pasien'!$G$5:$G1508,'🙎‍♂️ Pasien'!$T$5:$T1508),"")</f>
        <v>TERAPI BELL'S PALSY</v>
      </c>
      <c r="S648" s="104" t="str">
        <f t="array" ref="S648">ifna(xlookup(L648,'🙎‍♂️ Pasien'!$G$5:$G1508,'🙎‍♂️ Pasien'!$U$5:$U1508),"")</f>
        <v>SERING TERPAPAR AC RUANGAN</v>
      </c>
      <c r="T648" s="97" t="s">
        <v>59</v>
      </c>
      <c r="U648" s="105" t="s">
        <v>60</v>
      </c>
      <c r="V648" s="101"/>
      <c r="W648" s="106" t="b">
        <v>1</v>
      </c>
      <c r="X648" s="107"/>
      <c r="Y648" s="108"/>
    </row>
    <row r="649" ht="22.5" customHeight="1">
      <c r="A649" s="96"/>
      <c r="B649" s="97" t="s">
        <v>85</v>
      </c>
      <c r="C649" s="98" t="str">
        <f t="array" ref="C649">IFNA(XLOOKUP(J649,'⚙️ Pengaturan'!$H$5:$H1508,'⚙️ Pengaturan'!$I$5:$I1508),"")</f>
        <v>TIM Y</v>
      </c>
      <c r="D649" s="97" t="s">
        <v>86</v>
      </c>
      <c r="E649" s="99">
        <v>45967.0</v>
      </c>
      <c r="F649" s="100" t="str">
        <f t="shared" si="1"/>
        <v>2025</v>
      </c>
      <c r="G649" s="100" t="str">
        <f t="shared" si="2"/>
        <v>11Nov</v>
      </c>
      <c r="H649" s="100" t="str">
        <f t="shared" si="3"/>
        <v>Kamis</v>
      </c>
      <c r="I649" s="97" t="s">
        <v>93</v>
      </c>
      <c r="J649" s="97" t="s">
        <v>56</v>
      </c>
      <c r="K649" s="97" t="s">
        <v>135</v>
      </c>
      <c r="L649" s="101" t="s">
        <v>464</v>
      </c>
      <c r="M649" s="102" t="str">
        <f>IFNA(VLOOKUP(L649,'🙎‍♂️ Pasien'!G:V,2,FALSE),"")</f>
        <v/>
      </c>
      <c r="N649" s="103" t="str">
        <f>IFNA(VLOOKUP(L649,'🙎‍♂️ Pasien'!G:L,3,FALSE),"")</f>
        <v/>
      </c>
      <c r="O649" s="104" t="str">
        <f>IFNA(VLOOKUP(L649,'🙎‍♂️ Pasien'!G:V,6,FALSE),"")</f>
        <v/>
      </c>
      <c r="P649" s="104" t="str">
        <f>IFNA(VLOOKUP(L649,'🙎‍♂️ Pasien'!G:V,12,FALSE),"")</f>
        <v/>
      </c>
      <c r="Q649" s="104" t="str">
        <f>IFNA(VLOOKUP(L649:L1508,'🙎‍♂️ Pasien'!G:V,13,FALSE),"")</f>
        <v/>
      </c>
      <c r="R649" s="104" t="str">
        <f t="array" ref="R649">ifna(xlookup(L649,'🙎‍♂️ Pasien'!$G$5:$G1508,'🙎‍♂️ Pasien'!$T$5:$T1508),"")</f>
        <v/>
      </c>
      <c r="S649" s="104" t="str">
        <f t="array" ref="S649">ifna(xlookup(L649,'🙎‍♂️ Pasien'!$G$5:$G1508,'🙎‍♂️ Pasien'!$U$5:$U1508),"")</f>
        <v/>
      </c>
      <c r="T649" s="97" t="s">
        <v>67</v>
      </c>
      <c r="U649" s="105" t="s">
        <v>60</v>
      </c>
      <c r="V649" s="101" t="s">
        <v>465</v>
      </c>
      <c r="W649" s="106" t="b">
        <v>1</v>
      </c>
      <c r="X649" s="107"/>
      <c r="Y649" s="108"/>
    </row>
    <row r="650" ht="22.5" customHeight="1">
      <c r="A650" s="96"/>
      <c r="B650" s="97" t="s">
        <v>85</v>
      </c>
      <c r="C650" s="98" t="str">
        <f t="array" ref="C650">IFNA(XLOOKUP(J650,'⚙️ Pengaturan'!$H$5:$H1508,'⚙️ Pengaturan'!$I$5:$I1508),"")</f>
        <v>TIM A</v>
      </c>
      <c r="D650" s="97" t="s">
        <v>86</v>
      </c>
      <c r="E650" s="99">
        <v>45967.0</v>
      </c>
      <c r="F650" s="100" t="str">
        <f t="shared" si="1"/>
        <v>2025</v>
      </c>
      <c r="G650" s="100" t="str">
        <f t="shared" si="2"/>
        <v>11Nov</v>
      </c>
      <c r="H650" s="100" t="str">
        <f t="shared" si="3"/>
        <v>Kamis</v>
      </c>
      <c r="I650" s="97" t="s">
        <v>95</v>
      </c>
      <c r="J650" s="97" t="s">
        <v>62</v>
      </c>
      <c r="K650" s="97" t="s">
        <v>63</v>
      </c>
      <c r="L650" s="101" t="s">
        <v>430</v>
      </c>
      <c r="M650" s="102" t="str">
        <f>IFNA(VLOOKUP(L650,'🙎‍♂️ Pasien'!G:V,2,FALSE),"")</f>
        <v>J5525063513</v>
      </c>
      <c r="N650" s="103">
        <f>IFNA(VLOOKUP(L650,'🙎‍♂️ Pasien'!G:L,3,FALSE),"")</f>
        <v>71</v>
      </c>
      <c r="O650" s="104" t="str">
        <f>IFNA(VLOOKUP(L650,'🙎‍♂️ Pasien'!G:V,6,FALSE),"")</f>
        <v>PEREMPUAN</v>
      </c>
      <c r="P650" s="104" t="str">
        <f>IFNA(VLOOKUP(L650,'🙎‍♂️ Pasien'!G:V,12,FALSE),"")</f>
        <v>KATOLIK</v>
      </c>
      <c r="Q650" s="104" t="str">
        <f>IFNA(VLOOKUP(L650:L1508,'🙎‍♂️ Pasien'!G:V,13,FALSE),"")</f>
        <v>IBU RUMAH TANGGA</v>
      </c>
      <c r="R650" s="104" t="str">
        <f t="array" ref="R650">ifna(xlookup(L650,'🙎‍♂️ Pasien'!$G$5:$G1508,'🙎‍♂️ Pasien'!$T$5:$T1508),"")</f>
        <v>BAGIAN PANTAT SAKIT</v>
      </c>
      <c r="S650" s="104" t="str">
        <f t="array" ref="S650">ifna(xlookup(L650,'🙎‍♂️ Pasien'!$G$5:$G1508,'🙎‍♂️ Pasien'!$U$5:$U1508),"")</f>
        <v>BARU OPERASI TULANG SUMSUNG BELAKANG KARENA SARAF KEJEPIT 1 BULAN LALU</v>
      </c>
      <c r="T650" s="97" t="s">
        <v>67</v>
      </c>
      <c r="U650" s="105">
        <v>3.0</v>
      </c>
      <c r="V650" s="101" t="s">
        <v>466</v>
      </c>
      <c r="W650" s="106" t="b">
        <v>1</v>
      </c>
      <c r="X650" s="107"/>
      <c r="Y650" s="108"/>
    </row>
    <row r="651" ht="22.5" customHeight="1">
      <c r="A651" s="96"/>
      <c r="B651" s="97" t="s">
        <v>85</v>
      </c>
      <c r="C651" s="98" t="str">
        <f t="array" ref="C651">IFNA(XLOOKUP(J651,'⚙️ Pengaturan'!$H$5:$H1508,'⚙️ Pengaturan'!$I$5:$I1508),"")</f>
        <v>TIM Y</v>
      </c>
      <c r="D651" s="97" t="s">
        <v>86</v>
      </c>
      <c r="E651" s="99">
        <v>45967.0</v>
      </c>
      <c r="F651" s="100" t="str">
        <f t="shared" si="1"/>
        <v>2025</v>
      </c>
      <c r="G651" s="100" t="str">
        <f t="shared" si="2"/>
        <v>11Nov</v>
      </c>
      <c r="H651" s="100" t="str">
        <f t="shared" si="3"/>
        <v>Kamis</v>
      </c>
      <c r="I651" s="97" t="s">
        <v>95</v>
      </c>
      <c r="J651" s="97" t="s">
        <v>56</v>
      </c>
      <c r="K651" s="97" t="s">
        <v>63</v>
      </c>
      <c r="L651" s="101" t="s">
        <v>353</v>
      </c>
      <c r="M651" s="102" t="str">
        <f>IFNA(VLOOKUP(L651,'🙎‍♂️ Pasien'!G:V,2,FALSE),"")</f>
        <v>N0324108818</v>
      </c>
      <c r="N651" s="103">
        <f>IFNA(VLOOKUP(L651,'🙎‍♂️ Pasien'!G:L,3,FALSE),"")</f>
        <v>23</v>
      </c>
      <c r="O651" s="104" t="str">
        <f>IFNA(VLOOKUP(L651,'🙎‍♂️ Pasien'!G:V,6,FALSE),"")</f>
        <v>LAKI-LAKI</v>
      </c>
      <c r="P651" s="104" t="str">
        <f>IFNA(VLOOKUP(L651,'🙎‍♂️ Pasien'!G:V,12,FALSE),"")</f>
        <v>KATOLIK</v>
      </c>
      <c r="Q651" s="104" t="str">
        <f>IFNA(VLOOKUP(L651:L1508,'🙎‍♂️ Pasien'!G:V,13,FALSE),"")</f>
        <v>PELAJAR/MAHASISWA</v>
      </c>
      <c r="R651" s="104" t="str">
        <f t="array" ref="R651">ifna(xlookup(L651,'🙎‍♂️ Pasien'!$G$5:$G1508,'🙎‍♂️ Pasien'!$T$5:$T1508),"")</f>
        <v>Belikat, telapak kaki, bahu, pinggang</v>
      </c>
      <c r="S651" s="104" t="str">
        <f t="array" ref="S651">ifna(xlookup(L651,'🙎‍♂️ Pasien'!$G$5:$G1508,'🙎‍♂️ Pasien'!$U$5:$U1508),"")</f>
        <v>Tennis dan gym</v>
      </c>
      <c r="T651" s="97" t="s">
        <v>59</v>
      </c>
      <c r="U651" s="105">
        <v>6.0</v>
      </c>
      <c r="V651" s="101"/>
      <c r="W651" s="106" t="b">
        <v>1</v>
      </c>
      <c r="X651" s="107"/>
      <c r="Y651" s="108"/>
    </row>
    <row r="652" ht="22.5" customHeight="1">
      <c r="A652" s="96"/>
      <c r="B652" s="97" t="s">
        <v>85</v>
      </c>
      <c r="C652" s="98" t="str">
        <f t="array" ref="C652">IFNA(XLOOKUP(J652,'⚙️ Pengaturan'!$H$5:$H1508,'⚙️ Pengaturan'!$I$5:$I1508),"")</f>
        <v>TIM A</v>
      </c>
      <c r="D652" s="97" t="s">
        <v>86</v>
      </c>
      <c r="E652" s="99">
        <v>45967.0</v>
      </c>
      <c r="F652" s="100" t="str">
        <f t="shared" si="1"/>
        <v>2025</v>
      </c>
      <c r="G652" s="100" t="str">
        <f t="shared" si="2"/>
        <v>11Nov</v>
      </c>
      <c r="H652" s="100" t="str">
        <f t="shared" si="3"/>
        <v>Kamis</v>
      </c>
      <c r="I652" s="97" t="s">
        <v>97</v>
      </c>
      <c r="J652" s="97" t="s">
        <v>79</v>
      </c>
      <c r="K652" s="97" t="s">
        <v>69</v>
      </c>
      <c r="L652" s="101" t="s">
        <v>434</v>
      </c>
      <c r="M652" s="102" t="str">
        <f>IFNA(VLOOKUP(L652,'🙎‍♂️ Pasien'!G:V,2,FALSE),"")</f>
        <v>A9326025869</v>
      </c>
      <c r="N652" s="103">
        <f>IFNA(VLOOKUP(L652,'🙎‍♂️ Pasien'!G:L,3,FALSE),"")</f>
        <v>32</v>
      </c>
      <c r="O652" s="104" t="str">
        <f>IFNA(VLOOKUP(L652,'🙎‍♂️ Pasien'!G:V,6,FALSE),"")</f>
        <v>LAKI-LAKI</v>
      </c>
      <c r="P652" s="104" t="str">
        <f>IFNA(VLOOKUP(L652,'🙎‍♂️ Pasien'!G:V,12,FALSE),"")</f>
        <v>KATOLIK</v>
      </c>
      <c r="Q652" s="104" t="str">
        <f>IFNA(VLOOKUP(L652:L1508,'🙎‍♂️ Pasien'!G:V,13,FALSE),"")</f>
        <v>SALES</v>
      </c>
      <c r="R652" s="104" t="str">
        <f t="array" ref="R652">ifna(xlookup(L652,'🙎‍♂️ Pasien'!$G$5:$G1508,'🙎‍♂️ Pasien'!$T$5:$T1508),"")</f>
        <v>TENDON ACHILES</v>
      </c>
      <c r="S652" s="104" t="str">
        <f t="array" ref="S652">ifna(xlookup(L652,'🙎‍♂️ Pasien'!$G$5:$G1508,'🙎‍♂️ Pasien'!$U$5:$U1508),"")</f>
        <v>BOLA</v>
      </c>
      <c r="T652" s="97" t="s">
        <v>59</v>
      </c>
      <c r="U652" s="105" t="s">
        <v>60</v>
      </c>
      <c r="V652" s="101"/>
      <c r="W652" s="106" t="b">
        <v>1</v>
      </c>
      <c r="X652" s="107"/>
      <c r="Y652" s="108"/>
    </row>
    <row r="653" ht="22.5" customHeight="1">
      <c r="A653" s="96"/>
      <c r="B653" s="97" t="s">
        <v>85</v>
      </c>
      <c r="C653" s="98" t="str">
        <f t="array" ref="C653">IFNA(XLOOKUP(J653,'⚙️ Pengaturan'!$H$5:$H1508,'⚙️ Pengaturan'!$I$5:$I1508),"")</f>
        <v>TIM Y</v>
      </c>
      <c r="D653" s="97" t="s">
        <v>86</v>
      </c>
      <c r="E653" s="99">
        <v>45967.0</v>
      </c>
      <c r="F653" s="100" t="str">
        <f t="shared" si="1"/>
        <v>2025</v>
      </c>
      <c r="G653" s="100" t="str">
        <f t="shared" si="2"/>
        <v>11Nov</v>
      </c>
      <c r="H653" s="100" t="str">
        <f t="shared" si="3"/>
        <v>Kamis</v>
      </c>
      <c r="I653" s="97" t="s">
        <v>97</v>
      </c>
      <c r="J653" s="97" t="s">
        <v>56</v>
      </c>
      <c r="K653" s="97" t="s">
        <v>63</v>
      </c>
      <c r="L653" s="101" t="s">
        <v>190</v>
      </c>
      <c r="M653" s="102" t="str">
        <f>IFNA(VLOOKUP(L653,'🙎‍♂️ Pasien'!G:V,2,FALSE),"")</f>
        <v>A9025108786</v>
      </c>
      <c r="N653" s="103">
        <f>IFNA(VLOOKUP(L653,'🙎‍♂️ Pasien'!G:L,3,FALSE),"")</f>
        <v>35</v>
      </c>
      <c r="O653" s="104" t="str">
        <f>IFNA(VLOOKUP(L653,'🙎‍♂️ Pasien'!G:V,6,FALSE),"")</f>
        <v>LAKI-LAKI</v>
      </c>
      <c r="P653" s="104" t="str">
        <f>IFNA(VLOOKUP(L653,'🙎‍♂️ Pasien'!G:V,12,FALSE),"")</f>
        <v>ISLAM</v>
      </c>
      <c r="Q653" s="104" t="str">
        <f>IFNA(VLOOKUP(L653:L1508,'🙎‍♂️ Pasien'!G:V,13,FALSE),"")</f>
        <v>WIRASWASTA</v>
      </c>
      <c r="R653" s="104" t="str">
        <f t="array" ref="R653">ifna(xlookup(L653,'🙎‍♂️ Pasien'!$G$5:$G1508,'🙎‍♂️ Pasien'!$T$5:$T1508),"")</f>
        <v>KESELEO PADA BAGIAN LUTUT</v>
      </c>
      <c r="S653" s="104" t="str">
        <f t="array" ref="S653">ifna(xlookup(L653,'🙎‍♂️ Pasien'!$G$5:$G1508,'🙎‍♂️ Pasien'!$U$5:$U1508),"")</f>
        <v>BERMAIN BOLA</v>
      </c>
      <c r="T653" s="97" t="s">
        <v>59</v>
      </c>
      <c r="U653" s="105">
        <v>5.0</v>
      </c>
      <c r="V653" s="101" t="s">
        <v>125</v>
      </c>
      <c r="W653" s="106" t="b">
        <v>1</v>
      </c>
      <c r="X653" s="107"/>
      <c r="Y653" s="108"/>
    </row>
    <row r="654" ht="22.5" customHeight="1">
      <c r="A654" s="96"/>
      <c r="B654" s="97" t="s">
        <v>85</v>
      </c>
      <c r="C654" s="98" t="str">
        <f t="array" ref="C654">IFNA(XLOOKUP(J654,'⚙️ Pengaturan'!$H$5:$H1508,'⚙️ Pengaturan'!$I$5:$I1508),"")</f>
        <v>TIM A</v>
      </c>
      <c r="D654" s="97" t="s">
        <v>86</v>
      </c>
      <c r="E654" s="99">
        <v>45967.0</v>
      </c>
      <c r="F654" s="100" t="str">
        <f t="shared" si="1"/>
        <v>2025</v>
      </c>
      <c r="G654" s="100" t="str">
        <f t="shared" si="2"/>
        <v>11Nov</v>
      </c>
      <c r="H654" s="100" t="str">
        <f t="shared" si="3"/>
        <v>Kamis</v>
      </c>
      <c r="I654" s="97" t="s">
        <v>99</v>
      </c>
      <c r="J654" s="97" t="s">
        <v>62</v>
      </c>
      <c r="K654" s="97" t="s">
        <v>63</v>
      </c>
      <c r="L654" s="101" t="s">
        <v>389</v>
      </c>
      <c r="M654" s="102" t="str">
        <f>IFNA(VLOOKUP(L654,'🙎‍♂️ Pasien'!G:V,2,FALSE),"")</f>
        <v>A0825042223</v>
      </c>
      <c r="N654" s="103">
        <f>IFNA(VLOOKUP(L654,'🙎‍♂️ Pasien'!G:L,3,FALSE),"")</f>
        <v>18</v>
      </c>
      <c r="O654" s="104" t="str">
        <f>IFNA(VLOOKUP(L654,'🙎‍♂️ Pasien'!G:V,6,FALSE),"")</f>
        <v>LAKI-LAKI</v>
      </c>
      <c r="P654" s="104" t="str">
        <f>IFNA(VLOOKUP(L654,'🙎‍♂️ Pasien'!G:V,12,FALSE),"")</f>
        <v>ISLAM</v>
      </c>
      <c r="Q654" s="104" t="str">
        <f>IFNA(VLOOKUP(L654:L1508,'🙎‍♂️ Pasien'!G:V,13,FALSE),"")</f>
        <v>PELAJAR</v>
      </c>
      <c r="R654" s="104" t="str">
        <f t="array" ref="R654">ifna(xlookup(L654,'🙎‍♂️ Pasien'!$G$5:$G1508,'🙎‍♂️ Pasien'!$T$5:$T1508),"")</f>
        <v>NDA BISA MENGANGKAT BEBAN BERAT DI BAGIAN SIKU TANGAN KIRI</v>
      </c>
      <c r="S654" s="104" t="str">
        <f t="array" ref="S654">ifna(xlookup(L654,'🙎‍♂️ Pasien'!$G$5:$G1508,'🙎‍♂️ Pasien'!$U$5:$U1508),"")</f>
        <v>OLAHRAGA</v>
      </c>
      <c r="T654" s="97" t="s">
        <v>59</v>
      </c>
      <c r="U654" s="105">
        <v>4.0</v>
      </c>
      <c r="V654" s="101"/>
      <c r="W654" s="106" t="b">
        <v>1</v>
      </c>
      <c r="X654" s="107"/>
      <c r="Y654" s="108"/>
    </row>
    <row r="655" ht="22.5" customHeight="1">
      <c r="A655" s="96"/>
      <c r="B655" s="97" t="s">
        <v>85</v>
      </c>
      <c r="C655" s="98" t="str">
        <f t="array" ref="C655">IFNA(XLOOKUP(J655,'⚙️ Pengaturan'!$H$5:$H1508,'⚙️ Pengaturan'!$I$5:$I1508),"")</f>
        <v>TIM Y</v>
      </c>
      <c r="D655" s="97" t="s">
        <v>86</v>
      </c>
      <c r="E655" s="99">
        <v>45967.0</v>
      </c>
      <c r="F655" s="100" t="str">
        <f t="shared" si="1"/>
        <v>2025</v>
      </c>
      <c r="G655" s="100" t="str">
        <f t="shared" si="2"/>
        <v>11Nov</v>
      </c>
      <c r="H655" s="100" t="str">
        <f t="shared" si="3"/>
        <v>Kamis</v>
      </c>
      <c r="I655" s="97" t="s">
        <v>99</v>
      </c>
      <c r="J655" s="97" t="s">
        <v>56</v>
      </c>
      <c r="K655" s="97" t="s">
        <v>69</v>
      </c>
      <c r="L655" s="101" t="s">
        <v>297</v>
      </c>
      <c r="M655" s="102" t="str">
        <f>IFNA(VLOOKUP(L655,'🙎‍♂️ Pasien'!G:V,2,FALSE),"")</f>
        <v>R8125108947</v>
      </c>
      <c r="N655" s="103">
        <f>IFNA(VLOOKUP(L655,'🙎‍♂️ Pasien'!G:L,3,FALSE),"")</f>
        <v>44</v>
      </c>
      <c r="O655" s="104" t="str">
        <f>IFNA(VLOOKUP(L655,'🙎‍♂️ Pasien'!G:V,6,FALSE),"")</f>
        <v>LAKI-LAKI</v>
      </c>
      <c r="P655" s="104" t="str">
        <f>IFNA(VLOOKUP(L655,'🙎‍♂️ Pasien'!G:V,12,FALSE),"")</f>
        <v>ISLAM</v>
      </c>
      <c r="Q655" s="104" t="str">
        <f>IFNA(VLOOKUP(L655:L1508,'🙎‍♂️ Pasien'!G:V,13,FALSE),"")</f>
        <v>WIRASWASTA</v>
      </c>
      <c r="R655" s="104" t="str">
        <f t="array" ref="R655">ifna(xlookup(L655,'🙎‍♂️ Pasien'!$G$5:$G1508,'🙎‍♂️ Pasien'!$T$5:$T1508),"")</f>
        <v>LBP</v>
      </c>
      <c r="S655" s="104" t="str">
        <f t="array" ref="S655">ifna(xlookup(L655,'🙎‍♂️ Pasien'!$G$5:$G1508,'🙎‍♂️ Pasien'!$U$5:$U1508),"")</f>
        <v>SUPERVISI LAPANGAN</v>
      </c>
      <c r="T655" s="97" t="s">
        <v>59</v>
      </c>
      <c r="U655" s="105" t="s">
        <v>60</v>
      </c>
      <c r="V655" s="101"/>
      <c r="W655" s="106" t="b">
        <v>1</v>
      </c>
      <c r="X655" s="107"/>
      <c r="Y655" s="108"/>
    </row>
    <row r="656" ht="22.5" customHeight="1">
      <c r="A656" s="96"/>
      <c r="B656" s="97" t="s">
        <v>85</v>
      </c>
      <c r="C656" s="98" t="str">
        <f t="array" ref="C656">IFNA(XLOOKUP(J656,'⚙️ Pengaturan'!$H$5:$H1508,'⚙️ Pengaturan'!$I$5:$I1508),"")</f>
        <v>TIM A</v>
      </c>
      <c r="D656" s="97" t="s">
        <v>134</v>
      </c>
      <c r="E656" s="99">
        <v>45968.0</v>
      </c>
      <c r="F656" s="100" t="str">
        <f t="shared" si="1"/>
        <v>2025</v>
      </c>
      <c r="G656" s="100" t="str">
        <f t="shared" si="2"/>
        <v>11Nov</v>
      </c>
      <c r="H656" s="100" t="str">
        <f t="shared" si="3"/>
        <v>Jumat</v>
      </c>
      <c r="I656" s="97" t="s">
        <v>87</v>
      </c>
      <c r="J656" s="97" t="s">
        <v>72</v>
      </c>
      <c r="K656" s="97" t="s">
        <v>63</v>
      </c>
      <c r="L656" s="101" t="s">
        <v>302</v>
      </c>
      <c r="M656" s="102" t="str">
        <f>IFNA(VLOOKUP(L656,'🙎‍♂️ Pasien'!G:V,2,FALSE),"")</f>
        <v>A9425105994</v>
      </c>
      <c r="N656" s="103">
        <f>IFNA(VLOOKUP(L656,'🙎‍♂️ Pasien'!G:L,3,FALSE),"")</f>
        <v>32</v>
      </c>
      <c r="O656" s="104" t="str">
        <f>IFNA(VLOOKUP(L656,'🙎‍♂️ Pasien'!G:V,6,FALSE),"")</f>
        <v>LAKI-LAKI</v>
      </c>
      <c r="P656" s="104" t="str">
        <f>IFNA(VLOOKUP(L656,'🙎‍♂️ Pasien'!G:V,12,FALSE),"")</f>
        <v>ISLAM</v>
      </c>
      <c r="Q656" s="104" t="str">
        <f>IFNA(VLOOKUP(L656:L1508,'🙎‍♂️ Pasien'!G:V,13,FALSE),"")</f>
        <v>KARYAWAN SWASTA</v>
      </c>
      <c r="R656" s="104" t="str">
        <f t="array" ref="R656">ifna(xlookup(L656,'🙎‍♂️ Pasien'!$G$5:$G1508,'🙎‍♂️ Pasien'!$T$5:$T1508),"")</f>
        <v>LUTUT</v>
      </c>
      <c r="S656" s="104" t="str">
        <f t="array" ref="S656">ifna(xlookup(L656,'🙎‍♂️ Pasien'!$G$5:$G1508,'🙎‍♂️ Pasien'!$U$5:$U1508),"")</f>
        <v>OLAGRAGA</v>
      </c>
      <c r="T656" s="97" t="s">
        <v>59</v>
      </c>
      <c r="U656" s="105">
        <v>2.0</v>
      </c>
      <c r="V656" s="101"/>
      <c r="W656" s="106" t="b">
        <v>1</v>
      </c>
      <c r="X656" s="109" t="s">
        <v>467</v>
      </c>
      <c r="Y656" s="108"/>
    </row>
    <row r="657" ht="22.5" customHeight="1">
      <c r="A657" s="96"/>
      <c r="B657" s="97" t="s">
        <v>85</v>
      </c>
      <c r="C657" s="98" t="str">
        <f t="array" ref="C657">IFNA(XLOOKUP(J657,'⚙️ Pengaturan'!$H$5:$H1508,'⚙️ Pengaturan'!$I$5:$I1508),"")</f>
        <v>MANAJEMEN</v>
      </c>
      <c r="D657" s="97" t="s">
        <v>134</v>
      </c>
      <c r="E657" s="99">
        <v>45968.0</v>
      </c>
      <c r="F657" s="100" t="str">
        <f t="shared" si="1"/>
        <v>2025</v>
      </c>
      <c r="G657" s="100" t="str">
        <f t="shared" si="2"/>
        <v>11Nov</v>
      </c>
      <c r="H657" s="100" t="str">
        <f t="shared" si="3"/>
        <v>Jumat</v>
      </c>
      <c r="I657" s="97" t="s">
        <v>93</v>
      </c>
      <c r="J657" s="97" t="s">
        <v>101</v>
      </c>
      <c r="K657" s="97" t="s">
        <v>69</v>
      </c>
      <c r="L657" s="101" t="s">
        <v>358</v>
      </c>
      <c r="M657" s="102" t="str">
        <f>IFNA(VLOOKUP(L657,'🙎‍♂️ Pasien'!G:V,2,FALSE),"")</f>
        <v>A9825105032</v>
      </c>
      <c r="N657" s="103">
        <f>IFNA(VLOOKUP(L657,'🙎‍♂️ Pasien'!G:L,3,FALSE),"")</f>
        <v>27</v>
      </c>
      <c r="O657" s="104" t="str">
        <f>IFNA(VLOOKUP(L657,'🙎‍♂️ Pasien'!G:V,6,FALSE),"")</f>
        <v>LAKI-LAKI</v>
      </c>
      <c r="P657" s="104" t="str">
        <f>IFNA(VLOOKUP(L657,'🙎‍♂️ Pasien'!G:V,12,FALSE),"")</f>
        <v>BUDDHA</v>
      </c>
      <c r="Q657" s="104" t="str">
        <f>IFNA(VLOOKUP(L657:L1508,'🙎‍♂️ Pasien'!G:V,13,FALSE),"")</f>
        <v>TAROT READER</v>
      </c>
      <c r="R657" s="104" t="str">
        <f t="array" ref="R657">ifna(xlookup(L657,'🙎‍♂️ Pasien'!$G$5:$G1508,'🙎‍♂️ Pasien'!$T$5:$T1508),"")</f>
        <v>NYERI DI KESELURUHAN PUNGGUNG (TERUTAMA AREA BELIKAT KIRI YANG TERKADANG BISA MENJALAR KE LENGAN KIRI), JUGA LEHER</v>
      </c>
      <c r="S657" s="104" t="str">
        <f t="array" ref="S657">ifna(xlookup(L657,'🙎‍♂️ Pasien'!$G$5:$G1508,'🙎‍♂️ Pasien'!$U$5:$U1508),"")</f>
        <v>TIDAK ADA, CUMAN MEMANG SERING DUDUK</v>
      </c>
      <c r="T657" s="97" t="s">
        <v>59</v>
      </c>
      <c r="U657" s="105" t="s">
        <v>60</v>
      </c>
      <c r="V657" s="101" t="s">
        <v>468</v>
      </c>
      <c r="W657" s="106" t="b">
        <v>1</v>
      </c>
      <c r="X657" s="109" t="s">
        <v>469</v>
      </c>
      <c r="Y657" s="108"/>
    </row>
    <row r="658" ht="22.5" customHeight="1">
      <c r="A658" s="96"/>
      <c r="B658" s="97" t="s">
        <v>85</v>
      </c>
      <c r="C658" s="98" t="str">
        <f t="array" ref="C658">IFNA(XLOOKUP(J658,'⚙️ Pengaturan'!$H$5:$H1508,'⚙️ Pengaturan'!$I$5:$I1508),"")</f>
        <v>TIM A</v>
      </c>
      <c r="D658" s="97" t="s">
        <v>134</v>
      </c>
      <c r="E658" s="99">
        <v>45968.0</v>
      </c>
      <c r="F658" s="100" t="str">
        <f t="shared" si="1"/>
        <v>2025</v>
      </c>
      <c r="G658" s="100" t="str">
        <f t="shared" si="2"/>
        <v>11Nov</v>
      </c>
      <c r="H658" s="100" t="str">
        <f t="shared" si="3"/>
        <v>Jumat</v>
      </c>
      <c r="I658" s="97" t="s">
        <v>93</v>
      </c>
      <c r="J658" s="97" t="s">
        <v>72</v>
      </c>
      <c r="K658" s="97" t="s">
        <v>63</v>
      </c>
      <c r="L658" s="101" t="s">
        <v>456</v>
      </c>
      <c r="M658" s="102" t="str">
        <f>IFNA(VLOOKUP(L658,'🙎‍♂️ Pasien'!G:V,2,FALSE),"")</f>
        <v>D6525119328</v>
      </c>
      <c r="N658" s="103">
        <f>IFNA(VLOOKUP(L658,'🙎‍♂️ Pasien'!G:L,3,FALSE),"")</f>
        <v>60</v>
      </c>
      <c r="O658" s="104" t="str">
        <f>IFNA(VLOOKUP(L658,'🙎‍♂️ Pasien'!G:V,6,FALSE),"")</f>
        <v>PEREMPUAN</v>
      </c>
      <c r="P658" s="104" t="str">
        <f>IFNA(VLOOKUP(L658,'🙎‍♂️ Pasien'!G:V,12,FALSE),"")</f>
        <v>LAINNYA</v>
      </c>
      <c r="Q658" s="104" t="str">
        <f>IFNA(VLOOKUP(L658:L1508,'🙎‍♂️ Pasien'!G:V,13,FALSE),"")</f>
        <v>IRT</v>
      </c>
      <c r="R658" s="104" t="str">
        <f t="array" ref="R658">ifna(xlookup(L658,'🙎‍♂️ Pasien'!$G$5:$G1508,'🙎‍♂️ Pasien'!$T$5:$T1508),"")</f>
        <v>TUMIT</v>
      </c>
      <c r="S658" s="104" t="str">
        <f t="array" ref="S658">ifna(xlookup(L658,'🙎‍♂️ Pasien'!$G$5:$G1508,'🙎‍♂️ Pasien'!$U$5:$U1508),"")</f>
        <v>DANCING</v>
      </c>
      <c r="T658" s="97" t="s">
        <v>59</v>
      </c>
      <c r="U658" s="105">
        <v>1.0</v>
      </c>
      <c r="V658" s="101" t="s">
        <v>142</v>
      </c>
      <c r="W658" s="106" t="b">
        <v>1</v>
      </c>
      <c r="X658" s="109" t="s">
        <v>470</v>
      </c>
      <c r="Y658" s="108"/>
    </row>
    <row r="659" ht="22.5" customHeight="1">
      <c r="A659" s="96"/>
      <c r="B659" s="97" t="s">
        <v>85</v>
      </c>
      <c r="C659" s="98" t="str">
        <f t="array" ref="C659">IFNA(XLOOKUP(J659,'⚙️ Pengaturan'!$H$5:$H1508,'⚙️ Pengaturan'!$I$5:$I1508),"")</f>
        <v>TIM A</v>
      </c>
      <c r="D659" s="97" t="s">
        <v>134</v>
      </c>
      <c r="E659" s="99">
        <v>45968.0</v>
      </c>
      <c r="F659" s="100" t="str">
        <f t="shared" si="1"/>
        <v>2025</v>
      </c>
      <c r="G659" s="100" t="str">
        <f t="shared" si="2"/>
        <v>11Nov</v>
      </c>
      <c r="H659" s="100" t="str">
        <f t="shared" si="3"/>
        <v>Jumat</v>
      </c>
      <c r="I659" s="97" t="s">
        <v>95</v>
      </c>
      <c r="J659" s="97" t="s">
        <v>72</v>
      </c>
      <c r="K659" s="97" t="s">
        <v>69</v>
      </c>
      <c r="L659" s="101" t="s">
        <v>254</v>
      </c>
      <c r="M659" s="102" t="str">
        <f>IFNA(VLOOKUP(L659,'🙎‍♂️ Pasien'!G:V,2,FALSE),"")</f>
        <v>G0225101517</v>
      </c>
      <c r="N659" s="103">
        <f>IFNA(VLOOKUP(L659,'🙎‍♂️ Pasien'!G:L,3,FALSE),"")</f>
        <v>24</v>
      </c>
      <c r="O659" s="104" t="str">
        <f>IFNA(VLOOKUP(L659,'🙎‍♂️ Pasien'!G:V,6,FALSE),"")</f>
        <v>LAKI-LAKI</v>
      </c>
      <c r="P659" s="104" t="str">
        <f>IFNA(VLOOKUP(L659,'🙎‍♂️ Pasien'!G:V,12,FALSE),"")</f>
        <v>KATOLIK</v>
      </c>
      <c r="Q659" s="104" t="str">
        <f>IFNA(VLOOKUP(L659:L1508,'🙎‍♂️ Pasien'!G:V,13,FALSE),"")</f>
        <v>MAHASISWA</v>
      </c>
      <c r="R659" s="104" t="str">
        <f t="array" ref="R659">ifna(xlookup(L659,'🙎‍♂️ Pasien'!$G$5:$G1508,'🙎‍♂️ Pasien'!$T$5:$T1508),"")</f>
        <v>NYERI PADA LUTUT BAGIAN LUAR</v>
      </c>
      <c r="S659" s="104" t="str">
        <f t="array" ref="S659">ifna(xlookup(L659,'🙎‍♂️ Pasien'!$G$5:$G1508,'🙎‍♂️ Pasien'!$U$5:$U1508),"")</f>
        <v>LARI, MINI SOCCER, GYM</v>
      </c>
      <c r="T659" s="97" t="s">
        <v>59</v>
      </c>
      <c r="U659" s="105" t="s">
        <v>60</v>
      </c>
      <c r="V659" s="101"/>
      <c r="W659" s="106" t="b">
        <v>1</v>
      </c>
      <c r="X659" s="109" t="s">
        <v>471</v>
      </c>
      <c r="Y659" s="108"/>
    </row>
    <row r="660" ht="22.5" customHeight="1">
      <c r="A660" s="96"/>
      <c r="B660" s="97" t="s">
        <v>85</v>
      </c>
      <c r="C660" s="98" t="str">
        <f t="array" ref="C660">IFNA(XLOOKUP(J660,'⚙️ Pengaturan'!$H$5:$H1508,'⚙️ Pengaturan'!$I$5:$I1508),"")</f>
        <v>TIM A</v>
      </c>
      <c r="D660" s="97" t="s">
        <v>134</v>
      </c>
      <c r="E660" s="99">
        <v>45968.0</v>
      </c>
      <c r="F660" s="100" t="str">
        <f t="shared" si="1"/>
        <v>2025</v>
      </c>
      <c r="G660" s="100" t="str">
        <f t="shared" si="2"/>
        <v>11Nov</v>
      </c>
      <c r="H660" s="100" t="str">
        <f t="shared" si="3"/>
        <v>Jumat</v>
      </c>
      <c r="I660" s="97" t="s">
        <v>97</v>
      </c>
      <c r="J660" s="97" t="s">
        <v>72</v>
      </c>
      <c r="K660" s="97" t="s">
        <v>63</v>
      </c>
      <c r="L660" s="101" t="s">
        <v>381</v>
      </c>
      <c r="M660" s="102" t="str">
        <f>IFNA(VLOOKUP(L660,'🙎‍♂️ Pasien'!G:V,2,FALSE),"")</f>
        <v>A9925105509</v>
      </c>
      <c r="N660" s="103">
        <f>IFNA(VLOOKUP(L660,'🙎‍♂️ Pasien'!G:L,3,FALSE),"")</f>
        <v>27</v>
      </c>
      <c r="O660" s="104" t="str">
        <f>IFNA(VLOOKUP(L660,'🙎‍♂️ Pasien'!G:V,6,FALSE),"")</f>
        <v>PEREMPUAN</v>
      </c>
      <c r="P660" s="104" t="str">
        <f>IFNA(VLOOKUP(L660,'🙎‍♂️ Pasien'!G:V,12,FALSE),"")</f>
        <v>BUDDHA</v>
      </c>
      <c r="Q660" s="104" t="str">
        <f>IFNA(VLOOKUP(L660:L1508,'🙎‍♂️ Pasien'!G:V,13,FALSE),"")</f>
        <v>WIRASWASTA</v>
      </c>
      <c r="R660" s="104" t="str">
        <f t="array" ref="R660">ifna(xlookup(L660,'🙎‍♂️ Pasien'!$G$5:$G1508,'🙎‍♂️ Pasien'!$T$5:$T1508),"")</f>
        <v>KAKI BEKAS ANKLE SPRAIN SUDAH DITRE DAN BAHU PEGAL</v>
      </c>
      <c r="S660" s="104" t="str">
        <f t="array" ref="S660">ifna(xlookup(L660,'🙎‍♂️ Pasien'!$G$5:$G1508,'🙎‍♂️ Pasien'!$U$5:$U1508),"")</f>
        <v>2 MINGGU LALU JATUH DARI KETINGGIAN</v>
      </c>
      <c r="T660" s="97" t="s">
        <v>59</v>
      </c>
      <c r="U660" s="105">
        <v>4.0</v>
      </c>
      <c r="V660" s="101"/>
      <c r="W660" s="106" t="b">
        <v>1</v>
      </c>
      <c r="X660" s="109" t="s">
        <v>472</v>
      </c>
      <c r="Y660" s="108"/>
    </row>
    <row r="661" ht="22.5" customHeight="1">
      <c r="A661" s="96"/>
      <c r="B661" s="97" t="s">
        <v>85</v>
      </c>
      <c r="C661" s="98" t="str">
        <f t="array" ref="C661">IFNA(XLOOKUP(J661,'⚙️ Pengaturan'!$H$5:$H1508,'⚙️ Pengaturan'!$I$5:$I1508),"")</f>
        <v>TIM A</v>
      </c>
      <c r="D661" s="97" t="s">
        <v>134</v>
      </c>
      <c r="E661" s="99">
        <v>45968.0</v>
      </c>
      <c r="F661" s="100" t="str">
        <f t="shared" si="1"/>
        <v>2025</v>
      </c>
      <c r="G661" s="100" t="str">
        <f t="shared" si="2"/>
        <v>11Nov</v>
      </c>
      <c r="H661" s="100" t="str">
        <f t="shared" si="3"/>
        <v>Jumat</v>
      </c>
      <c r="I661" s="97" t="s">
        <v>99</v>
      </c>
      <c r="J661" s="97" t="s">
        <v>72</v>
      </c>
      <c r="K661" s="97" t="s">
        <v>63</v>
      </c>
      <c r="L661" s="101" t="s">
        <v>449</v>
      </c>
      <c r="M661" s="102" t="str">
        <f>IFNA(VLOOKUP(L661,'🙎‍♂️ Pasien'!G:V,2,FALSE),"")</f>
        <v>G9924046563</v>
      </c>
      <c r="N661" s="103">
        <f>IFNA(VLOOKUP(L661,'🙎‍♂️ Pasien'!G:L,3,FALSE),"")</f>
        <v>27</v>
      </c>
      <c r="O661" s="104" t="str">
        <f>IFNA(VLOOKUP(L661,'🙎‍♂️ Pasien'!G:V,6,FALSE),"")</f>
        <v>PEREMPUAN</v>
      </c>
      <c r="P661" s="104" t="str">
        <f>IFNA(VLOOKUP(L661,'🙎‍♂️ Pasien'!G:V,12,FALSE),"")</f>
        <v>ISLAM</v>
      </c>
      <c r="Q661" s="104" t="str">
        <f>IFNA(VLOOKUP(L661:L1508,'🙎‍♂️ Pasien'!G:V,13,FALSE),"")</f>
        <v>BUMN</v>
      </c>
      <c r="R661" s="104" t="str">
        <f t="array" ref="R661">ifna(xlookup(L661,'🙎‍♂️ Pasien'!$G$5:$G1508,'🙎‍♂️ Pasien'!$T$5:$T1508),"")</f>
        <v>Nyeri bahu , lengan kiri, dan leher</v>
      </c>
      <c r="S661" s="104" t="str">
        <f t="array" ref="S661">ifna(xlookup(L661,'🙎‍♂️ Pasien'!$G$5:$G1508,'🙎‍♂️ Pasien'!$U$5:$U1508),"")</f>
        <v>Kerja</v>
      </c>
      <c r="T661" s="97" t="s">
        <v>59</v>
      </c>
      <c r="U661" s="105">
        <v>2.0</v>
      </c>
      <c r="V661" s="101"/>
      <c r="W661" s="106" t="b">
        <v>1</v>
      </c>
      <c r="X661" s="109" t="s">
        <v>473</v>
      </c>
      <c r="Y661" s="108"/>
    </row>
    <row r="662" ht="22.5" customHeight="1">
      <c r="A662" s="96"/>
      <c r="B662" s="97" t="s">
        <v>53</v>
      </c>
      <c r="C662" s="98" t="str">
        <f t="array" ref="C662">IFNA(XLOOKUP(J662,'⚙️ Pengaturan'!$H$5:$H1508,'⚙️ Pengaturan'!$I$5:$I1508),"")</f>
        <v>TIM A</v>
      </c>
      <c r="D662" s="97" t="s">
        <v>54</v>
      </c>
      <c r="E662" s="99">
        <v>45969.0</v>
      </c>
      <c r="F662" s="100" t="str">
        <f t="shared" si="1"/>
        <v>2025</v>
      </c>
      <c r="G662" s="100" t="str">
        <f t="shared" si="2"/>
        <v>11Nov</v>
      </c>
      <c r="H662" s="100" t="str">
        <f t="shared" si="3"/>
        <v>Sabtu</v>
      </c>
      <c r="I662" s="97" t="s">
        <v>55</v>
      </c>
      <c r="J662" s="97" t="s">
        <v>62</v>
      </c>
      <c r="K662" s="97" t="s">
        <v>63</v>
      </c>
      <c r="L662" s="101" t="s">
        <v>350</v>
      </c>
      <c r="M662" s="102" t="str">
        <f>IFNA(VLOOKUP(L662,'🙎‍♂️ Pasien'!G:V,2,FALSE),"")</f>
        <v>I8025109996</v>
      </c>
      <c r="N662" s="103">
        <f>IFNA(VLOOKUP(L662,'🙎‍♂️ Pasien'!G:L,3,FALSE),"")</f>
        <v>45</v>
      </c>
      <c r="O662" s="104" t="str">
        <f>IFNA(VLOOKUP(L662,'🙎‍♂️ Pasien'!G:V,6,FALSE),"")</f>
        <v>PEREMPUAN</v>
      </c>
      <c r="P662" s="104" t="str">
        <f>IFNA(VLOOKUP(L662,'🙎‍♂️ Pasien'!G:V,12,FALSE),"")</f>
        <v>ISLAM</v>
      </c>
      <c r="Q662" s="104" t="str">
        <f>IFNA(VLOOKUP(L662:L1508,'🙎‍♂️ Pasien'!G:V,13,FALSE),"")</f>
        <v>WIRASWASTA</v>
      </c>
      <c r="R662" s="104" t="str">
        <f t="array" ref="R662">ifna(xlookup(L662,'🙎‍♂️ Pasien'!$G$5:$G1508,'🙎‍♂️ Pasien'!$T$5:$T1508),"")</f>
        <v>NYERI KEPALA TIPE TEGANG DAN TANGAN SUKA KESEMUTAN</v>
      </c>
      <c r="S662" s="104" t="str">
        <f t="array" ref="S662">ifna(xlookup(L662,'🙎‍♂️ Pasien'!$G$5:$G1508,'🙎‍♂️ Pasien'!$U$5:$U1508),"")</f>
        <v>JIKA BAWA MOTOR DAN TIDUR MENGHADAP KE KANAN</v>
      </c>
      <c r="T662" s="97" t="s">
        <v>59</v>
      </c>
      <c r="U662" s="105">
        <v>5.0</v>
      </c>
      <c r="V662" s="101"/>
      <c r="W662" s="106" t="b">
        <v>1</v>
      </c>
      <c r="X662" s="107"/>
      <c r="Y662" s="108"/>
    </row>
    <row r="663" ht="22.5" customHeight="1">
      <c r="A663" s="96"/>
      <c r="B663" s="97" t="s">
        <v>53</v>
      </c>
      <c r="C663" s="98" t="str">
        <f t="array" ref="C663">IFNA(XLOOKUP(J663,'⚙️ Pengaturan'!$H$5:$H1508,'⚙️ Pengaturan'!$I$5:$I1508),"")</f>
        <v>TIM A</v>
      </c>
      <c r="D663" s="97" t="s">
        <v>54</v>
      </c>
      <c r="E663" s="99">
        <v>45969.0</v>
      </c>
      <c r="F663" s="100" t="str">
        <f t="shared" si="1"/>
        <v>2025</v>
      </c>
      <c r="G663" s="100" t="str">
        <f t="shared" si="2"/>
        <v>11Nov</v>
      </c>
      <c r="H663" s="100" t="str">
        <f t="shared" si="3"/>
        <v>Sabtu</v>
      </c>
      <c r="I663" s="97" t="s">
        <v>55</v>
      </c>
      <c r="J663" s="97" t="s">
        <v>79</v>
      </c>
      <c r="K663" s="97" t="s">
        <v>69</v>
      </c>
      <c r="L663" s="101" t="s">
        <v>224</v>
      </c>
      <c r="M663" s="102" t="str">
        <f>IFNA(VLOOKUP(L663,'🙎‍♂️ Pasien'!G:V,2,FALSE),"")</f>
        <v>K6025085313</v>
      </c>
      <c r="N663" s="103">
        <f>IFNA(VLOOKUP(L663,'🙎‍♂️ Pasien'!G:L,3,FALSE),"")</f>
        <v>65</v>
      </c>
      <c r="O663" s="104" t="str">
        <f>IFNA(VLOOKUP(L663,'🙎‍♂️ Pasien'!G:V,6,FALSE),"")</f>
        <v>PEREMPUAN</v>
      </c>
      <c r="P663" s="104" t="str">
        <f>IFNA(VLOOKUP(L663,'🙎‍♂️ Pasien'!G:V,12,FALSE),"")</f>
        <v>ISLAM</v>
      </c>
      <c r="Q663" s="104" t="str">
        <f>IFNA(VLOOKUP(L663:L1508,'🙎‍♂️ Pasien'!G:V,13,FALSE),"")</f>
        <v>IBU RUMAH TANGGA</v>
      </c>
      <c r="R663" s="104" t="str">
        <f t="array" ref="R663">ifna(xlookup(L663,'🙎‍♂️ Pasien'!$G$5:$G1508,'🙎‍♂️ Pasien'!$T$5:$T1508),"")</f>
        <v>SAKIT LUTUT KANAN</v>
      </c>
      <c r="S663" s="104" t="str">
        <f t="array" ref="S663">ifna(xlookup(L663,'🙎‍♂️ Pasien'!$G$5:$G1508,'🙎‍♂️ Pasien'!$U$5:$U1508),"")</f>
        <v>JALAN KAKI</v>
      </c>
      <c r="T663" s="97" t="s">
        <v>59</v>
      </c>
      <c r="U663" s="105" t="s">
        <v>60</v>
      </c>
      <c r="V663" s="101"/>
      <c r="W663" s="106" t="b">
        <v>1</v>
      </c>
      <c r="X663" s="107"/>
      <c r="Y663" s="108"/>
    </row>
    <row r="664" ht="22.5" customHeight="1">
      <c r="A664" s="96"/>
      <c r="B664" s="97" t="s">
        <v>53</v>
      </c>
      <c r="C664" s="98" t="str">
        <f t="array" ref="C664">IFNA(XLOOKUP(J664,'⚙️ Pengaturan'!$H$5:$H1508,'⚙️ Pengaturan'!$I$5:$I1508),"")</f>
        <v>TIM A</v>
      </c>
      <c r="D664" s="97" t="s">
        <v>54</v>
      </c>
      <c r="E664" s="99">
        <v>45969.0</v>
      </c>
      <c r="F664" s="100" t="str">
        <f t="shared" si="1"/>
        <v>2025</v>
      </c>
      <c r="G664" s="100" t="str">
        <f t="shared" si="2"/>
        <v>11Nov</v>
      </c>
      <c r="H664" s="100" t="str">
        <f t="shared" si="3"/>
        <v>Sabtu</v>
      </c>
      <c r="I664" s="97" t="s">
        <v>55</v>
      </c>
      <c r="J664" s="97" t="s">
        <v>72</v>
      </c>
      <c r="K664" s="97" t="s">
        <v>57</v>
      </c>
      <c r="L664" s="101" t="s">
        <v>474</v>
      </c>
      <c r="M664" s="102" t="str">
        <f>IFNA(VLOOKUP(L664,'🙎‍♂️ Pasien'!G:V,2,FALSE),"")</f>
        <v>M5325110126</v>
      </c>
      <c r="N664" s="103">
        <f>IFNA(VLOOKUP(L664,'🙎‍♂️ Pasien'!G:L,3,FALSE),"")</f>
        <v>73</v>
      </c>
      <c r="O664" s="104" t="str">
        <f>IFNA(VLOOKUP(L664,'🙎‍♂️ Pasien'!G:V,6,FALSE),"")</f>
        <v>PEREMPUAN</v>
      </c>
      <c r="P664" s="104" t="str">
        <f>IFNA(VLOOKUP(L664,'🙎‍♂️ Pasien'!G:V,12,FALSE),"")</f>
        <v>KATOLIK</v>
      </c>
      <c r="Q664" s="104" t="str">
        <f>IFNA(VLOOKUP(L664:L1508,'🙎‍♂️ Pasien'!G:V,13,FALSE),"")</f>
        <v>IBU RUMAH TANGGA</v>
      </c>
      <c r="R664" s="104" t="str">
        <f t="array" ref="R664">ifna(xlookup(L664,'🙎‍♂️ Pasien'!$G$5:$G1508,'🙎‍♂️ Pasien'!$T$5:$T1508),"")</f>
        <v>SAKIT &amp; SUSAH GERAK PAKA LUTUT</v>
      </c>
      <c r="S664" s="104" t="str">
        <f t="array" ref="S664">ifna(xlookup(L664,'🙎‍♂️ Pasien'!$G$5:$G1508,'🙎‍♂️ Pasien'!$U$5:$U1508),"")</f>
        <v>AKTIVITAS RUMAH TANGGA</v>
      </c>
      <c r="T664" s="97" t="s">
        <v>59</v>
      </c>
      <c r="U664" s="105" t="s">
        <v>60</v>
      </c>
      <c r="V664" s="101"/>
      <c r="W664" s="106" t="b">
        <v>1</v>
      </c>
      <c r="X664" s="107"/>
      <c r="Y664" s="108"/>
    </row>
    <row r="665" ht="22.5" customHeight="1">
      <c r="A665" s="96"/>
      <c r="B665" s="97" t="s">
        <v>53</v>
      </c>
      <c r="C665" s="98" t="str">
        <f t="array" ref="C665">IFNA(XLOOKUP(J665,'⚙️ Pengaturan'!$H$5:$H1508,'⚙️ Pengaturan'!$I$5:$I1508),"")</f>
        <v>TIM A</v>
      </c>
      <c r="D665" s="97" t="s">
        <v>54</v>
      </c>
      <c r="E665" s="99">
        <v>45969.0</v>
      </c>
      <c r="F665" s="100" t="str">
        <f t="shared" si="1"/>
        <v>2025</v>
      </c>
      <c r="G665" s="100" t="str">
        <f t="shared" si="2"/>
        <v>11Nov</v>
      </c>
      <c r="H665" s="100" t="str">
        <f t="shared" si="3"/>
        <v>Sabtu</v>
      </c>
      <c r="I665" s="97" t="s">
        <v>65</v>
      </c>
      <c r="J665" s="97" t="s">
        <v>72</v>
      </c>
      <c r="K665" s="97" t="s">
        <v>63</v>
      </c>
      <c r="L665" s="101" t="s">
        <v>225</v>
      </c>
      <c r="M665" s="102" t="str">
        <f>IFNA(VLOOKUP(L665,'🙎‍♂️ Pasien'!G:V,2,FALSE),"")</f>
        <v>B8025102288</v>
      </c>
      <c r="N665" s="103">
        <f>IFNA(VLOOKUP(L665,'🙎‍♂️ Pasien'!G:L,3,FALSE),"")</f>
        <v>45</v>
      </c>
      <c r="O665" s="104" t="str">
        <f>IFNA(VLOOKUP(L665,'🙎‍♂️ Pasien'!G:V,6,FALSE),"")</f>
        <v>PEREMPUAN</v>
      </c>
      <c r="P665" s="104" t="str">
        <f>IFNA(VLOOKUP(L665,'🙎‍♂️ Pasien'!G:V,12,FALSE),"")</f>
        <v>ISLAM</v>
      </c>
      <c r="Q665" s="104" t="str">
        <f>IFNA(VLOOKUP(L665:L1508,'🙎‍♂️ Pasien'!G:V,13,FALSE),"")</f>
        <v>ASN</v>
      </c>
      <c r="R665" s="104" t="str">
        <f t="array" ref="R665">ifna(xlookup(L665,'🙎‍♂️ Pasien'!$G$5:$G1508,'🙎‍♂️ Pasien'!$T$5:$T1508),"")</f>
        <v>KELUHAN SY NYERI DI TUMIT KIRI SM PAHA KANAN UT DIANGKAT SAMBIL DITEKUK KE ARAH SAMPING LUAR RASA NYA NYERI</v>
      </c>
      <c r="S665" s="104" t="str">
        <f t="array" ref="S665">ifna(xlookup(L665,'🙎‍♂️ Pasien'!$G$5:$G1508,'🙎‍♂️ Pasien'!$U$5:$U1508),"")</f>
        <v>JOGING</v>
      </c>
      <c r="T665" s="97" t="s">
        <v>59</v>
      </c>
      <c r="U665" s="105">
        <v>5.0</v>
      </c>
      <c r="V665" s="101" t="s">
        <v>125</v>
      </c>
      <c r="W665" s="106" t="b">
        <v>1</v>
      </c>
      <c r="X665" s="107"/>
      <c r="Y665" s="108"/>
    </row>
    <row r="666" ht="22.5" customHeight="1">
      <c r="A666" s="96"/>
      <c r="B666" s="97" t="s">
        <v>53</v>
      </c>
      <c r="C666" s="98" t="str">
        <f t="array" ref="C666">IFNA(XLOOKUP(J666,'⚙️ Pengaturan'!$H$5:$H1508,'⚙️ Pengaturan'!$I$5:$I1508),"")</f>
        <v>TIM A</v>
      </c>
      <c r="D666" s="97" t="s">
        <v>54</v>
      </c>
      <c r="E666" s="99">
        <v>45969.0</v>
      </c>
      <c r="F666" s="100" t="str">
        <f t="shared" si="1"/>
        <v>2025</v>
      </c>
      <c r="G666" s="100" t="str">
        <f t="shared" si="2"/>
        <v>11Nov</v>
      </c>
      <c r="H666" s="100" t="str">
        <f t="shared" si="3"/>
        <v>Sabtu</v>
      </c>
      <c r="I666" s="97" t="s">
        <v>65</v>
      </c>
      <c r="J666" s="97" t="s">
        <v>79</v>
      </c>
      <c r="K666" s="97" t="s">
        <v>57</v>
      </c>
      <c r="L666" s="101" t="s">
        <v>475</v>
      </c>
      <c r="M666" s="102" t="str">
        <f>IFNA(VLOOKUP(L666,'🙎‍♂️ Pasien'!G:V,2,FALSE),"")</f>
        <v>C0525114334</v>
      </c>
      <c r="N666" s="103">
        <f>IFNA(VLOOKUP(L666,'🙎‍♂️ Pasien'!G:L,3,FALSE),"")</f>
        <v>20</v>
      </c>
      <c r="O666" s="104" t="str">
        <f>IFNA(VLOOKUP(L666,'🙎‍♂️ Pasien'!G:V,6,FALSE),"")</f>
        <v>PEREMPUAN</v>
      </c>
      <c r="P666" s="104" t="str">
        <f>IFNA(VLOOKUP(L666,'🙎‍♂️ Pasien'!G:V,12,FALSE),"")</f>
        <v>ISLAM</v>
      </c>
      <c r="Q666" s="104" t="str">
        <f>IFNA(VLOOKUP(L666:L1508,'🙎‍♂️ Pasien'!G:V,13,FALSE),"")</f>
        <v>PELAJAR</v>
      </c>
      <c r="R666" s="104" t="str">
        <f t="array" ref="R666">ifna(xlookup(L666,'🙎‍♂️ Pasien'!$G$5:$G1508,'🙎‍♂️ Pasien'!$T$5:$T1508),"")</f>
        <v>PEGAL DI AREA PUNGGUNG, POSTUR BADAN BUNGKUK, NYERI DI AREA KAKI, TULANG KLAVIKULA TIDAK SEJAJAR, PANJANG KAKI PANJANG SEBELAH</v>
      </c>
      <c r="S666" s="104" t="str">
        <f t="array" ref="S666">ifna(xlookup(L666,'🙎‍♂️ Pasien'!$G$5:$G1508,'🙎‍♂️ Pasien'!$U$5:$U1508),"")</f>
        <v>BEROLAHRAGA</v>
      </c>
      <c r="T666" s="97" t="s">
        <v>59</v>
      </c>
      <c r="U666" s="105" t="s">
        <v>60</v>
      </c>
      <c r="V666" s="101"/>
      <c r="W666" s="106" t="b">
        <v>1</v>
      </c>
      <c r="X666" s="107"/>
      <c r="Y666" s="108"/>
    </row>
    <row r="667" ht="22.5" customHeight="1">
      <c r="A667" s="96"/>
      <c r="B667" s="97" t="s">
        <v>53</v>
      </c>
      <c r="C667" s="98" t="str">
        <f t="array" ref="C667">IFNA(XLOOKUP(J667,'⚙️ Pengaturan'!$H$5:$H1508,'⚙️ Pengaturan'!$I$5:$I1508),"")</f>
        <v>TIM A</v>
      </c>
      <c r="D667" s="97" t="s">
        <v>54</v>
      </c>
      <c r="E667" s="99">
        <v>45969.0</v>
      </c>
      <c r="F667" s="100" t="str">
        <f t="shared" si="1"/>
        <v>2025</v>
      </c>
      <c r="G667" s="100" t="str">
        <f t="shared" si="2"/>
        <v>11Nov</v>
      </c>
      <c r="H667" s="100" t="str">
        <f t="shared" si="3"/>
        <v>Sabtu</v>
      </c>
      <c r="I667" s="97" t="s">
        <v>74</v>
      </c>
      <c r="J667" s="97" t="s">
        <v>79</v>
      </c>
      <c r="K667" s="97" t="s">
        <v>63</v>
      </c>
      <c r="L667" s="101" t="s">
        <v>302</v>
      </c>
      <c r="M667" s="102" t="str">
        <f>IFNA(VLOOKUP(L667,'🙎‍♂️ Pasien'!G:V,2,FALSE),"")</f>
        <v>A9425105994</v>
      </c>
      <c r="N667" s="103">
        <f>IFNA(VLOOKUP(L667,'🙎‍♂️ Pasien'!G:L,3,FALSE),"")</f>
        <v>32</v>
      </c>
      <c r="O667" s="104" t="str">
        <f>IFNA(VLOOKUP(L667,'🙎‍♂️ Pasien'!G:V,6,FALSE),"")</f>
        <v>LAKI-LAKI</v>
      </c>
      <c r="P667" s="104" t="str">
        <f>IFNA(VLOOKUP(L667,'🙎‍♂️ Pasien'!G:V,12,FALSE),"")</f>
        <v>ISLAM</v>
      </c>
      <c r="Q667" s="104" t="str">
        <f>IFNA(VLOOKUP(L667:L1508,'🙎‍♂️ Pasien'!G:V,13,FALSE),"")</f>
        <v>KARYAWAN SWASTA</v>
      </c>
      <c r="R667" s="104" t="str">
        <f t="array" ref="R667">ifna(xlookup(L667,'🙎‍♂️ Pasien'!$G$5:$G1508,'🙎‍♂️ Pasien'!$T$5:$T1508),"")</f>
        <v>LUTUT</v>
      </c>
      <c r="S667" s="104" t="str">
        <f t="array" ref="S667">ifna(xlookup(L667,'🙎‍♂️ Pasien'!$G$5:$G1508,'🙎‍♂️ Pasien'!$U$5:$U1508),"")</f>
        <v>OLAGRAGA</v>
      </c>
      <c r="T667" s="97" t="s">
        <v>59</v>
      </c>
      <c r="U667" s="105">
        <v>3.0</v>
      </c>
      <c r="V667" s="101"/>
      <c r="W667" s="106" t="b">
        <v>1</v>
      </c>
      <c r="X667" s="107"/>
      <c r="Y667" s="108"/>
    </row>
    <row r="668" ht="22.5" customHeight="1">
      <c r="A668" s="96"/>
      <c r="B668" s="97" t="s">
        <v>53</v>
      </c>
      <c r="C668" s="98" t="str">
        <f t="array" ref="C668">IFNA(XLOOKUP(J668,'⚙️ Pengaturan'!$H$5:$H1508,'⚙️ Pengaturan'!$I$5:$I1508),"")</f>
        <v>TIM Y</v>
      </c>
      <c r="D668" s="97" t="s">
        <v>54</v>
      </c>
      <c r="E668" s="99">
        <v>45969.0</v>
      </c>
      <c r="F668" s="100" t="str">
        <f t="shared" si="1"/>
        <v>2025</v>
      </c>
      <c r="G668" s="100" t="str">
        <f t="shared" si="2"/>
        <v>11Nov</v>
      </c>
      <c r="H668" s="100" t="str">
        <f t="shared" si="3"/>
        <v>Sabtu</v>
      </c>
      <c r="I668" s="97" t="s">
        <v>76</v>
      </c>
      <c r="J668" s="97" t="s">
        <v>88</v>
      </c>
      <c r="K668" s="97" t="s">
        <v>63</v>
      </c>
      <c r="L668" s="101" t="s">
        <v>386</v>
      </c>
      <c r="M668" s="102" t="str">
        <f>IFNA(VLOOKUP(L668,'🙎‍♂️ Pasien'!G:V,2,FALSE),"")</f>
        <v>B7325109155</v>
      </c>
      <c r="N668" s="103">
        <f>IFNA(VLOOKUP(L668,'🙎‍♂️ Pasien'!G:L,3,FALSE),"")</f>
        <v>53</v>
      </c>
      <c r="O668" s="104" t="str">
        <f>IFNA(VLOOKUP(L668,'🙎‍♂️ Pasien'!G:V,6,FALSE),"")</f>
        <v>LAKI-LAKI</v>
      </c>
      <c r="P668" s="104" t="str">
        <f>IFNA(VLOOKUP(L668,'🙎‍♂️ Pasien'!G:V,12,FALSE),"")</f>
        <v>ISLAM</v>
      </c>
      <c r="Q668" s="104" t="str">
        <f>IFNA(VLOOKUP(L668:L1508,'🙎‍♂️ Pasien'!G:V,13,FALSE),"")</f>
        <v>WIRASUASTA</v>
      </c>
      <c r="R668" s="104" t="str">
        <f t="array" ref="R668">ifna(xlookup(L668,'🙎‍♂️ Pasien'!$G$5:$G1508,'🙎‍♂️ Pasien'!$T$5:$T1508),"")</f>
        <v>NYERI LUTUT</v>
      </c>
      <c r="S668" s="104" t="str">
        <f t="array" ref="S668">ifna(xlookup(L668,'🙎‍♂️ Pasien'!$G$5:$G1508,'🙎‍♂️ Pasien'!$U$5:$U1508),"")</f>
        <v>BADMINTON</v>
      </c>
      <c r="T668" s="97" t="s">
        <v>59</v>
      </c>
      <c r="U668" s="105">
        <v>3.0</v>
      </c>
      <c r="V668" s="101"/>
      <c r="W668" s="106" t="b">
        <v>1</v>
      </c>
      <c r="X668" s="107"/>
      <c r="Y668" s="108"/>
    </row>
    <row r="669" ht="22.5" customHeight="1">
      <c r="A669" s="96"/>
      <c r="B669" s="97" t="s">
        <v>53</v>
      </c>
      <c r="C669" s="98" t="str">
        <f t="array" ref="C669">IFNA(XLOOKUP(J669,'⚙️ Pengaturan'!$H$5:$H1508,'⚙️ Pengaturan'!$I$5:$I1508),"")</f>
        <v>TIM Y</v>
      </c>
      <c r="D669" s="97" t="s">
        <v>54</v>
      </c>
      <c r="E669" s="99">
        <v>45969.0</v>
      </c>
      <c r="F669" s="100" t="str">
        <f t="shared" si="1"/>
        <v>2025</v>
      </c>
      <c r="G669" s="100" t="str">
        <f t="shared" si="2"/>
        <v>11Nov</v>
      </c>
      <c r="H669" s="100" t="str">
        <f t="shared" si="3"/>
        <v>Sabtu</v>
      </c>
      <c r="I669" s="97" t="s">
        <v>83</v>
      </c>
      <c r="J669" s="97" t="s">
        <v>88</v>
      </c>
      <c r="K669" s="97" t="s">
        <v>57</v>
      </c>
      <c r="L669" s="101" t="s">
        <v>476</v>
      </c>
      <c r="M669" s="102" t="str">
        <f>IFNA(VLOOKUP(L669,'🙎‍♂️ Pasien'!G:V,2,FALSE),"")</f>
        <v>D8525114110</v>
      </c>
      <c r="N669" s="103">
        <f>IFNA(VLOOKUP(L669,'🙎‍♂️ Pasien'!G:L,3,FALSE),"")</f>
        <v>40</v>
      </c>
      <c r="O669" s="104" t="str">
        <f>IFNA(VLOOKUP(L669,'🙎‍♂️ Pasien'!G:V,6,FALSE),"")</f>
        <v>LAKI-LAKI</v>
      </c>
      <c r="P669" s="104" t="str">
        <f>IFNA(VLOOKUP(L669,'🙎‍♂️ Pasien'!G:V,12,FALSE),"")</f>
        <v>ISLAM</v>
      </c>
      <c r="Q669" s="104" t="str">
        <f>IFNA(VLOOKUP(L669:L1508,'🙎‍♂️ Pasien'!G:V,13,FALSE),"")</f>
        <v>SUPIR</v>
      </c>
      <c r="R669" s="104" t="str">
        <f t="array" ref="R669">ifna(xlookup(L669,'🙎‍♂️ Pasien'!$G$5:$G1508,'🙎‍♂️ Pasien'!$T$5:$T1508),"")</f>
        <v>KAKI BENGKAK DIAGNOSA DOKTER OASTRIRTIS DAN ASAM URAT</v>
      </c>
      <c r="S669" s="104" t="str">
        <f t="array" ref="S669">ifna(xlookup(L669,'🙎‍♂️ Pasien'!$G$5:$G1508,'🙎‍♂️ Pasien'!$U$5:$U1508),"")</f>
        <v>NYETIR,KADANG" MAEN BOLA</v>
      </c>
      <c r="T669" s="97" t="s">
        <v>59</v>
      </c>
      <c r="U669" s="105" t="s">
        <v>60</v>
      </c>
      <c r="V669" s="101"/>
      <c r="W669" s="106" t="b">
        <v>1</v>
      </c>
      <c r="X669" s="107"/>
      <c r="Y669" s="108"/>
    </row>
    <row r="670" ht="22.5" customHeight="1">
      <c r="A670" s="96"/>
      <c r="B670" s="97" t="s">
        <v>53</v>
      </c>
      <c r="C670" s="98" t="str">
        <f t="array" ref="C670">IFNA(XLOOKUP(J670,'⚙️ Pengaturan'!$H$5:$H1508,'⚙️ Pengaturan'!$I$5:$I1508),"")</f>
        <v>TIM A</v>
      </c>
      <c r="D670" s="97" t="s">
        <v>54</v>
      </c>
      <c r="E670" s="99">
        <v>45969.0</v>
      </c>
      <c r="F670" s="100" t="str">
        <f t="shared" si="1"/>
        <v>2025</v>
      </c>
      <c r="G670" s="100" t="str">
        <f t="shared" si="2"/>
        <v>11Nov</v>
      </c>
      <c r="H670" s="100" t="str">
        <f t="shared" si="3"/>
        <v>Sabtu</v>
      </c>
      <c r="I670" s="97" t="s">
        <v>83</v>
      </c>
      <c r="J670" s="97" t="s">
        <v>62</v>
      </c>
      <c r="K670" s="97" t="s">
        <v>63</v>
      </c>
      <c r="L670" s="101" t="s">
        <v>449</v>
      </c>
      <c r="M670" s="102" t="str">
        <f>IFNA(VLOOKUP(L670,'🙎‍♂️ Pasien'!G:V,2,FALSE),"")</f>
        <v>G9924046563</v>
      </c>
      <c r="N670" s="103">
        <f>IFNA(VLOOKUP(L670,'🙎‍♂️ Pasien'!G:L,3,FALSE),"")</f>
        <v>27</v>
      </c>
      <c r="O670" s="104" t="str">
        <f>IFNA(VLOOKUP(L670,'🙎‍♂️ Pasien'!G:V,6,FALSE),"")</f>
        <v>PEREMPUAN</v>
      </c>
      <c r="P670" s="104" t="str">
        <f>IFNA(VLOOKUP(L670,'🙎‍♂️ Pasien'!G:V,12,FALSE),"")</f>
        <v>ISLAM</v>
      </c>
      <c r="Q670" s="104" t="str">
        <f>IFNA(VLOOKUP(L670:L1508,'🙎‍♂️ Pasien'!G:V,13,FALSE),"")</f>
        <v>BUMN</v>
      </c>
      <c r="R670" s="104" t="str">
        <f t="array" ref="R670">ifna(xlookup(L670,'🙎‍♂️ Pasien'!$G$5:$G1508,'🙎‍♂️ Pasien'!$T$5:$T1508),"")</f>
        <v>Nyeri bahu , lengan kiri, dan leher</v>
      </c>
      <c r="S670" s="104" t="str">
        <f t="array" ref="S670">ifna(xlookup(L670,'🙎‍♂️ Pasien'!$G$5:$G1508,'🙎‍♂️ Pasien'!$U$5:$U1508),"")</f>
        <v>Kerja</v>
      </c>
      <c r="T670" s="97" t="s">
        <v>59</v>
      </c>
      <c r="U670" s="105">
        <v>4.0</v>
      </c>
      <c r="V670" s="101"/>
      <c r="W670" s="106" t="b">
        <v>1</v>
      </c>
      <c r="X670" s="107"/>
      <c r="Y670" s="108"/>
    </row>
    <row r="671" ht="22.5" customHeight="1">
      <c r="A671" s="96"/>
      <c r="B671" s="97" t="s">
        <v>53</v>
      </c>
      <c r="C671" s="98" t="str">
        <f t="array" ref="C671">IFNA(XLOOKUP(J671,'⚙️ Pengaturan'!$H$5:$H1508,'⚙️ Pengaturan'!$I$5:$I1508),"")</f>
        <v>TIM A</v>
      </c>
      <c r="D671" s="97" t="s">
        <v>54</v>
      </c>
      <c r="E671" s="99">
        <v>45969.0</v>
      </c>
      <c r="F671" s="100" t="str">
        <f t="shared" si="1"/>
        <v>2025</v>
      </c>
      <c r="G671" s="100" t="str">
        <f t="shared" si="2"/>
        <v>11Nov</v>
      </c>
      <c r="H671" s="100" t="str">
        <f t="shared" si="3"/>
        <v>Sabtu</v>
      </c>
      <c r="I671" s="97" t="s">
        <v>83</v>
      </c>
      <c r="J671" s="97" t="s">
        <v>72</v>
      </c>
      <c r="K671" s="97" t="s">
        <v>69</v>
      </c>
      <c r="L671" s="101" t="s">
        <v>433</v>
      </c>
      <c r="M671" s="102" t="str">
        <f>IFNA(VLOOKUP(L671,'🙎‍♂️ Pasien'!G:V,2,FALSE),"")</f>
        <v>M9825114498</v>
      </c>
      <c r="N671" s="103">
        <f>IFNA(VLOOKUP(L671,'🙎‍♂️ Pasien'!G:L,3,FALSE),"")</f>
        <v>27</v>
      </c>
      <c r="O671" s="104" t="str">
        <f>IFNA(VLOOKUP(L671,'🙎‍♂️ Pasien'!G:V,6,FALSE),"")</f>
        <v>PEREMPUAN</v>
      </c>
      <c r="P671" s="104" t="str">
        <f>IFNA(VLOOKUP(L671,'🙎‍♂️ Pasien'!G:V,12,FALSE),"")</f>
        <v>ISLAM</v>
      </c>
      <c r="Q671" s="104" t="str">
        <f>IFNA(VLOOKUP(L671:L1508,'🙎‍♂️ Pasien'!G:V,13,FALSE),"")</f>
        <v>PNS</v>
      </c>
      <c r="R671" s="104" t="str">
        <f t="array" ref="R671">ifna(xlookup(L671,'🙎‍♂️ Pasien'!$G$5:$G1508,'🙎‍♂️ Pasien'!$T$5:$T1508),"")</f>
        <v>KAKI BENGKAK SETELAH KECELAKAAN DAN BELUM BISA DIBENGKOKKAN</v>
      </c>
      <c r="S671" s="104" t="str">
        <f t="array" ref="S671">ifna(xlookup(L671,'🙎‍♂️ Pasien'!$G$5:$G1508,'🙎‍♂️ Pasien'!$U$5:$U1508),"")</f>
        <v>MENGAJAR DAN HARUS NAIK TANGGA</v>
      </c>
      <c r="T671" s="97" t="s">
        <v>59</v>
      </c>
      <c r="U671" s="105" t="s">
        <v>60</v>
      </c>
      <c r="V671" s="101"/>
      <c r="W671" s="106" t="b">
        <v>1</v>
      </c>
      <c r="X671" s="107"/>
      <c r="Y671" s="108"/>
    </row>
    <row r="672" ht="22.5" customHeight="1">
      <c r="A672" s="96"/>
      <c r="B672" s="97" t="s">
        <v>85</v>
      </c>
      <c r="C672" s="98" t="str">
        <f t="array" ref="C672">IFNA(XLOOKUP(J672,'⚙️ Pengaturan'!$H$5:$H1508,'⚙️ Pengaturan'!$I$5:$I1508),"")</f>
        <v>TIM Y</v>
      </c>
      <c r="D672" s="97" t="s">
        <v>86</v>
      </c>
      <c r="E672" s="99">
        <v>45969.0</v>
      </c>
      <c r="F672" s="100" t="str">
        <f t="shared" si="1"/>
        <v>2025</v>
      </c>
      <c r="G672" s="100" t="str">
        <f t="shared" si="2"/>
        <v>11Nov</v>
      </c>
      <c r="H672" s="100" t="str">
        <f t="shared" si="3"/>
        <v>Sabtu</v>
      </c>
      <c r="I672" s="97" t="s">
        <v>87</v>
      </c>
      <c r="J672" s="97" t="s">
        <v>88</v>
      </c>
      <c r="K672" s="97" t="s">
        <v>63</v>
      </c>
      <c r="L672" s="101" t="s">
        <v>257</v>
      </c>
      <c r="M672" s="102" t="str">
        <f>IFNA(VLOOKUP(L672,'🙎‍♂️ Pasien'!G:V,2,FALSE),"")</f>
        <v>A1025102304</v>
      </c>
      <c r="N672" s="103">
        <f>IFNA(VLOOKUP(L672,'🙎‍♂️ Pasien'!G:L,3,FALSE),"")</f>
        <v>16</v>
      </c>
      <c r="O672" s="104" t="str">
        <f>IFNA(VLOOKUP(L672,'🙎‍♂️ Pasien'!G:V,6,FALSE),"")</f>
        <v>LAKI-LAKI</v>
      </c>
      <c r="P672" s="104" t="str">
        <f>IFNA(VLOOKUP(L672,'🙎‍♂️ Pasien'!G:V,12,FALSE),"")</f>
        <v>PROTESTAN</v>
      </c>
      <c r="Q672" s="104" t="str">
        <f>IFNA(VLOOKUP(L672:L1508,'🙎‍♂️ Pasien'!G:V,13,FALSE),"")</f>
        <v>PELAJAR</v>
      </c>
      <c r="R672" s="104" t="str">
        <f t="array" ref="R672">ifna(xlookup(L672,'🙎‍♂️ Pasien'!$G$5:$G1508,'🙎‍♂️ Pasien'!$T$5:$T1508),"")</f>
        <v>NYERI SENDI KAKI</v>
      </c>
      <c r="S672" s="104" t="str">
        <f t="array" ref="S672">ifna(xlookup(L672,'🙎‍♂️ Pasien'!$G$5:$G1508,'🙎‍♂️ Pasien'!$U$5:$U1508),"")</f>
        <v>OLAHRAGA, NAIK TURUN TANGGA</v>
      </c>
      <c r="T672" s="97" t="s">
        <v>59</v>
      </c>
      <c r="U672" s="105">
        <v>2.0</v>
      </c>
      <c r="V672" s="101"/>
      <c r="W672" s="106" t="b">
        <v>1</v>
      </c>
      <c r="X672" s="107"/>
      <c r="Y672" s="108"/>
    </row>
    <row r="673" ht="22.5" customHeight="1">
      <c r="A673" s="96"/>
      <c r="B673" s="97" t="s">
        <v>85</v>
      </c>
      <c r="C673" s="98" t="str">
        <f t="array" ref="C673">IFNA(XLOOKUP(J673,'⚙️ Pengaturan'!$H$5:$H1508,'⚙️ Pengaturan'!$I$5:$I1508),"")</f>
        <v>TIM Y</v>
      </c>
      <c r="D673" s="97" t="s">
        <v>86</v>
      </c>
      <c r="E673" s="99">
        <v>45969.0</v>
      </c>
      <c r="F673" s="100" t="str">
        <f t="shared" si="1"/>
        <v>2025</v>
      </c>
      <c r="G673" s="100" t="str">
        <f t="shared" si="2"/>
        <v>11Nov</v>
      </c>
      <c r="H673" s="100" t="str">
        <f t="shared" si="3"/>
        <v>Sabtu</v>
      </c>
      <c r="I673" s="97" t="s">
        <v>93</v>
      </c>
      <c r="J673" s="97" t="s">
        <v>107</v>
      </c>
      <c r="K673" s="97" t="s">
        <v>57</v>
      </c>
      <c r="L673" s="101" t="s">
        <v>477</v>
      </c>
      <c r="M673" s="102" t="str">
        <f>IFNA(VLOOKUP(L673,'🙎‍♂️ Pasien'!G:V,2,FALSE),"")</f>
        <v>F2525111598</v>
      </c>
      <c r="N673" s="103">
        <f>IFNA(VLOOKUP(L673,'🙎‍♂️ Pasien'!G:L,3,FALSE),"")</f>
        <v>0</v>
      </c>
      <c r="O673" s="104" t="str">
        <f>IFNA(VLOOKUP(L673,'🙎‍♂️ Pasien'!G:V,6,FALSE),"")</f>
        <v>PEREMPUAN</v>
      </c>
      <c r="P673" s="104" t="str">
        <f>IFNA(VLOOKUP(L673,'🙎‍♂️ Pasien'!G:V,12,FALSE),"")</f>
        <v>KATOLIK</v>
      </c>
      <c r="Q673" s="104" t="str">
        <f>IFNA(VLOOKUP(L673:L1508,'🙎‍♂️ Pasien'!G:V,13,FALSE),"")</f>
        <v>SWASTA</v>
      </c>
      <c r="R673" s="104" t="str">
        <f t="array" ref="R673">ifna(xlookup(L673,'🙎‍♂️ Pasien'!$G$5:$G1508,'🙎‍♂️ Pasien'!$T$5:$T1508),"")</f>
        <v>TANGAN SAKIT SEBELAH KANAN..</v>
      </c>
      <c r="S673" s="104" t="str">
        <f t="array" ref="S673">ifna(xlookup(L673,'🙎‍♂️ Pasien'!$G$5:$G1508,'🙎‍♂️ Pasien'!$U$5:$U1508),"")</f>
        <v>HABIS NGEJIM</v>
      </c>
      <c r="T673" s="97" t="s">
        <v>59</v>
      </c>
      <c r="U673" s="105" t="s">
        <v>60</v>
      </c>
      <c r="V673" s="101"/>
      <c r="W673" s="106" t="b">
        <v>1</v>
      </c>
      <c r="X673" s="107"/>
      <c r="Y673" s="108"/>
    </row>
    <row r="674" ht="22.5" customHeight="1">
      <c r="A674" s="96"/>
      <c r="B674" s="97" t="s">
        <v>85</v>
      </c>
      <c r="C674" s="98" t="str">
        <f t="array" ref="C674">IFNA(XLOOKUP(J674,'⚙️ Pengaturan'!$H$5:$H1508,'⚙️ Pengaturan'!$I$5:$I1508),"")</f>
        <v>TIM Y</v>
      </c>
      <c r="D674" s="97" t="s">
        <v>86</v>
      </c>
      <c r="E674" s="99">
        <v>45969.0</v>
      </c>
      <c r="F674" s="100" t="str">
        <f t="shared" si="1"/>
        <v>2025</v>
      </c>
      <c r="G674" s="100" t="str">
        <f t="shared" si="2"/>
        <v>11Nov</v>
      </c>
      <c r="H674" s="100" t="str">
        <f t="shared" si="3"/>
        <v>Sabtu</v>
      </c>
      <c r="I674" s="97" t="s">
        <v>93</v>
      </c>
      <c r="J674" s="97" t="s">
        <v>91</v>
      </c>
      <c r="K674" s="97" t="s">
        <v>63</v>
      </c>
      <c r="L674" s="101" t="s">
        <v>169</v>
      </c>
      <c r="M674" s="102" t="str">
        <f>IFNA(VLOOKUP(L674,'🙎‍♂️ Pasien'!G:V,2,FALSE),"")</f>
        <v>N9025080662</v>
      </c>
      <c r="N674" s="103">
        <f>IFNA(VLOOKUP(L674,'🙎‍♂️ Pasien'!G:L,3,FALSE),"")</f>
        <v>35</v>
      </c>
      <c r="O674" s="104" t="str">
        <f>IFNA(VLOOKUP(L674,'🙎‍♂️ Pasien'!G:V,6,FALSE),"")</f>
        <v>PEREMPUAN</v>
      </c>
      <c r="P674" s="104" t="str">
        <f>IFNA(VLOOKUP(L674,'🙎‍♂️ Pasien'!G:V,12,FALSE),"")</f>
        <v>ISLAM</v>
      </c>
      <c r="Q674" s="104" t="str">
        <f>IFNA(VLOOKUP(L674:L1508,'🙎‍♂️ Pasien'!G:V,13,FALSE),"")</f>
        <v>PNS</v>
      </c>
      <c r="R674" s="104" t="str">
        <f t="array" ref="R674">ifna(xlookup(L674,'🙎‍♂️ Pasien'!$G$5:$G1508,'🙎‍♂️ Pasien'!$T$5:$T1508),"")</f>
        <v>LUTUT SAKIT</v>
      </c>
      <c r="S674" s="104" t="str">
        <f t="array" ref="S674">ifna(xlookup(L674,'🙎‍♂️ Pasien'!$G$5:$G1508,'🙎‍♂️ Pasien'!$U$5:$U1508),"")</f>
        <v>DUDUK SEHARIAN</v>
      </c>
      <c r="T674" s="97" t="s">
        <v>59</v>
      </c>
      <c r="U674" s="105">
        <v>5.0</v>
      </c>
      <c r="V674" s="101" t="s">
        <v>125</v>
      </c>
      <c r="W674" s="106" t="b">
        <v>1</v>
      </c>
      <c r="X674" s="107"/>
      <c r="Y674" s="108"/>
    </row>
    <row r="675" ht="22.5" customHeight="1">
      <c r="A675" s="96"/>
      <c r="B675" s="97" t="s">
        <v>85</v>
      </c>
      <c r="C675" s="98" t="str">
        <f t="array" ref="C675">IFNA(XLOOKUP(J675,'⚙️ Pengaturan'!$H$5:$H1508,'⚙️ Pengaturan'!$I$5:$I1508),"")</f>
        <v>TIM Y</v>
      </c>
      <c r="D675" s="97" t="s">
        <v>86</v>
      </c>
      <c r="E675" s="99">
        <v>45969.0</v>
      </c>
      <c r="F675" s="100" t="str">
        <f t="shared" si="1"/>
        <v>2025</v>
      </c>
      <c r="G675" s="100" t="str">
        <f t="shared" si="2"/>
        <v>11Nov</v>
      </c>
      <c r="H675" s="100" t="str">
        <f t="shared" si="3"/>
        <v>Sabtu</v>
      </c>
      <c r="I675" s="97" t="s">
        <v>95</v>
      </c>
      <c r="J675" s="97" t="s">
        <v>91</v>
      </c>
      <c r="K675" s="97" t="s">
        <v>63</v>
      </c>
      <c r="L675" s="101" t="s">
        <v>389</v>
      </c>
      <c r="M675" s="102" t="str">
        <f>IFNA(VLOOKUP(L675,'🙎‍♂️ Pasien'!G:V,2,FALSE),"")</f>
        <v>A0825042223</v>
      </c>
      <c r="N675" s="103">
        <f>IFNA(VLOOKUP(L675,'🙎‍♂️ Pasien'!G:L,3,FALSE),"")</f>
        <v>18</v>
      </c>
      <c r="O675" s="104" t="str">
        <f>IFNA(VLOOKUP(L675,'🙎‍♂️ Pasien'!G:V,6,FALSE),"")</f>
        <v>LAKI-LAKI</v>
      </c>
      <c r="P675" s="104" t="str">
        <f>IFNA(VLOOKUP(L675,'🙎‍♂️ Pasien'!G:V,12,FALSE),"")</f>
        <v>ISLAM</v>
      </c>
      <c r="Q675" s="104" t="str">
        <f>IFNA(VLOOKUP(L675:L1508,'🙎‍♂️ Pasien'!G:V,13,FALSE),"")</f>
        <v>PELAJAR</v>
      </c>
      <c r="R675" s="104" t="str">
        <f t="array" ref="R675">ifna(xlookup(L675,'🙎‍♂️ Pasien'!$G$5:$G1508,'🙎‍♂️ Pasien'!$T$5:$T1508),"")</f>
        <v>NDA BISA MENGANGKAT BEBAN BERAT DI BAGIAN SIKU TANGAN KIRI</v>
      </c>
      <c r="S675" s="104" t="str">
        <f t="array" ref="S675">ifna(xlookup(L675,'🙎‍♂️ Pasien'!$G$5:$G1508,'🙎‍♂️ Pasien'!$U$5:$U1508),"")</f>
        <v>OLAHRAGA</v>
      </c>
      <c r="T675" s="97" t="s">
        <v>59</v>
      </c>
      <c r="U675" s="105">
        <v>5.0</v>
      </c>
      <c r="V675" s="101"/>
      <c r="W675" s="106" t="b">
        <v>1</v>
      </c>
      <c r="X675" s="107"/>
      <c r="Y675" s="108"/>
    </row>
    <row r="676" ht="22.5" customHeight="1">
      <c r="A676" s="96"/>
      <c r="B676" s="97" t="s">
        <v>85</v>
      </c>
      <c r="C676" s="98" t="str">
        <f t="array" ref="C676">IFNA(XLOOKUP(J676,'⚙️ Pengaturan'!$H$5:$H1508,'⚙️ Pengaturan'!$I$5:$I1508),"")</f>
        <v>TIM Y</v>
      </c>
      <c r="D676" s="97" t="s">
        <v>86</v>
      </c>
      <c r="E676" s="99">
        <v>45969.0</v>
      </c>
      <c r="F676" s="100" t="str">
        <f t="shared" si="1"/>
        <v>2025</v>
      </c>
      <c r="G676" s="100" t="str">
        <f t="shared" si="2"/>
        <v>11Nov</v>
      </c>
      <c r="H676" s="100" t="str">
        <f t="shared" si="3"/>
        <v>Sabtu</v>
      </c>
      <c r="I676" s="97" t="s">
        <v>95</v>
      </c>
      <c r="J676" s="97" t="s">
        <v>107</v>
      </c>
      <c r="K676" s="97" t="s">
        <v>69</v>
      </c>
      <c r="L676" s="101" t="s">
        <v>457</v>
      </c>
      <c r="M676" s="102" t="str">
        <f>IFNA(VLOOKUP(L676,'🙎‍♂️ Pasien'!G:V,2,FALSE),"")</f>
        <v>B0125112743</v>
      </c>
      <c r="N676" s="103">
        <f>IFNA(VLOOKUP(L676,'🙎‍♂️ Pasien'!G:L,3,FALSE),"")</f>
        <v>24</v>
      </c>
      <c r="O676" s="104" t="str">
        <f>IFNA(VLOOKUP(L676,'🙎‍♂️ Pasien'!G:V,6,FALSE),"")</f>
        <v>LAKI-LAKI</v>
      </c>
      <c r="P676" s="104" t="str">
        <f>IFNA(VLOOKUP(L676,'🙎‍♂️ Pasien'!G:V,12,FALSE),"")</f>
        <v>KATOLIK</v>
      </c>
      <c r="Q676" s="104" t="str">
        <f>IFNA(VLOOKUP(L676:L1508,'🙎‍♂️ Pasien'!G:V,13,FALSE),"")</f>
        <v>KARYAWAN SWASTA</v>
      </c>
      <c r="R676" s="104" t="str">
        <f t="array" ref="R676">ifna(xlookup(L676,'🙎‍♂️ Pasien'!$G$5:$G1508,'🙎‍♂️ Pasien'!$T$5:$T1508),"")</f>
        <v>NYERI PADA BAGIAN LUTUT</v>
      </c>
      <c r="S676" s="104" t="str">
        <f t="array" ref="S676">ifna(xlookup(L676,'🙎‍♂️ Pasien'!$G$5:$G1508,'🙎‍♂️ Pasien'!$U$5:$U1508),"")</f>
        <v>LARI</v>
      </c>
      <c r="T676" s="97" t="s">
        <v>59</v>
      </c>
      <c r="U676" s="105" t="s">
        <v>60</v>
      </c>
      <c r="V676" s="101"/>
      <c r="W676" s="106" t="b">
        <v>1</v>
      </c>
      <c r="X676" s="107"/>
      <c r="Y676" s="108"/>
    </row>
    <row r="677" ht="22.5" customHeight="1">
      <c r="A677" s="96"/>
      <c r="B677" s="97" t="s">
        <v>85</v>
      </c>
      <c r="C677" s="98" t="str">
        <f t="array" ref="C677">IFNA(XLOOKUP(J677,'⚙️ Pengaturan'!$H$5:$H1508,'⚙️ Pengaturan'!$I$5:$I1508),"")</f>
        <v>TIM Y</v>
      </c>
      <c r="D677" s="97" t="s">
        <v>86</v>
      </c>
      <c r="E677" s="99">
        <v>45969.0</v>
      </c>
      <c r="F677" s="100" t="str">
        <f t="shared" si="1"/>
        <v>2025</v>
      </c>
      <c r="G677" s="100" t="str">
        <f t="shared" si="2"/>
        <v>11Nov</v>
      </c>
      <c r="H677" s="100" t="str">
        <f t="shared" si="3"/>
        <v>Sabtu</v>
      </c>
      <c r="I677" s="97" t="s">
        <v>97</v>
      </c>
      <c r="J677" s="97" t="s">
        <v>107</v>
      </c>
      <c r="K677" s="97" t="s">
        <v>69</v>
      </c>
      <c r="L677" s="101" t="s">
        <v>436</v>
      </c>
      <c r="M677" s="102" t="str">
        <f>IFNA(VLOOKUP(L677,'🙎‍♂️ Pasien'!G:V,2,FALSE),"")</f>
        <v>A9525119187</v>
      </c>
      <c r="N677" s="103">
        <f>IFNA(VLOOKUP(L677,'🙎‍♂️ Pasien'!G:L,3,FALSE),"")</f>
        <v>31</v>
      </c>
      <c r="O677" s="104" t="str">
        <f>IFNA(VLOOKUP(L677,'🙎‍♂️ Pasien'!G:V,6,FALSE),"")</f>
        <v>PEREMPUAN</v>
      </c>
      <c r="P677" s="104" t="str">
        <f>IFNA(VLOOKUP(L677,'🙎‍♂️ Pasien'!G:V,12,FALSE),"")</f>
        <v>ISLAM</v>
      </c>
      <c r="Q677" s="104" t="str">
        <f>IFNA(VLOOKUP(L677:L1508,'🙎‍♂️ Pasien'!G:V,13,FALSE),"")</f>
        <v>IRT</v>
      </c>
      <c r="R677" s="104" t="str">
        <f t="array" ref="R677">ifna(xlookup(L677,'🙎‍♂️ Pasien'!$G$5:$G1508,'🙎‍♂️ Pasien'!$T$5:$T1508),"")</f>
        <v>KEBAS TELAPAK KAKI DN TANGAN</v>
      </c>
      <c r="S677" s="104" t="str">
        <f t="array" ref="S677">ifna(xlookup(L677,'🙎‍♂️ Pasien'!$G$5:$G1508,'🙎‍♂️ Pasien'!$U$5:$U1508),"")</f>
        <v>MNGKIN PEKERJAAN YANG MENGANGKAT BARANG BERAT</v>
      </c>
      <c r="T677" s="97" t="s">
        <v>59</v>
      </c>
      <c r="U677" s="105" t="s">
        <v>60</v>
      </c>
      <c r="V677" s="101"/>
      <c r="W677" s="106" t="b">
        <v>1</v>
      </c>
      <c r="X677" s="107"/>
      <c r="Y677" s="108"/>
    </row>
    <row r="678" ht="22.5" customHeight="1">
      <c r="A678" s="96"/>
      <c r="B678" s="97" t="s">
        <v>85</v>
      </c>
      <c r="C678" s="98" t="str">
        <f t="array" ref="C678">IFNA(XLOOKUP(J678,'⚙️ Pengaturan'!$H$5:$H1508,'⚙️ Pengaturan'!$I$5:$I1508),"")</f>
        <v>TIM Y</v>
      </c>
      <c r="D678" s="97" t="s">
        <v>86</v>
      </c>
      <c r="E678" s="99">
        <v>45969.0</v>
      </c>
      <c r="F678" s="100" t="str">
        <f t="shared" si="1"/>
        <v>2025</v>
      </c>
      <c r="G678" s="100" t="str">
        <f t="shared" si="2"/>
        <v>11Nov</v>
      </c>
      <c r="H678" s="100" t="str">
        <f t="shared" si="3"/>
        <v>Sabtu</v>
      </c>
      <c r="I678" s="97" t="s">
        <v>97</v>
      </c>
      <c r="J678" s="97" t="s">
        <v>88</v>
      </c>
      <c r="K678" s="97" t="s">
        <v>63</v>
      </c>
      <c r="L678" s="101" t="s">
        <v>442</v>
      </c>
      <c r="M678" s="102" t="str">
        <f>IFNA(VLOOKUP(L678,'🙎‍♂️ Pasien'!G:V,2,FALSE),"")</f>
        <v>M0524020310</v>
      </c>
      <c r="N678" s="103">
        <f>IFNA(VLOOKUP(L678,'🙎‍♂️ Pasien'!G:L,3,FALSE),"")</f>
        <v>20</v>
      </c>
      <c r="O678" s="104" t="str">
        <f>IFNA(VLOOKUP(L678,'🙎‍♂️ Pasien'!G:V,6,FALSE),"")</f>
        <v>LAKI-LAKI</v>
      </c>
      <c r="P678" s="104" t="str">
        <f>IFNA(VLOOKUP(L678,'🙎‍♂️ Pasien'!G:V,12,FALSE),"")</f>
        <v>ISLAM</v>
      </c>
      <c r="Q678" s="104" t="str">
        <f>IFNA(VLOOKUP(L678:L1508,'🙎‍♂️ Pasien'!G:V,13,FALSE),"")</f>
        <v>PELAJAR/MAHASISWA</v>
      </c>
      <c r="R678" s="104" t="str">
        <f t="array" ref="R678">ifna(xlookup(L678,'🙎‍♂️ Pasien'!$G$5:$G1508,'🙎‍♂️ Pasien'!$T$5:$T1508),"")</f>
        <v>NYERI/NGILU</v>
      </c>
      <c r="S678" s="104" t="str">
        <f t="array" ref="S678">ifna(xlookup(L678,'🙎‍♂️ Pasien'!$G$5:$G1508,'🙎‍♂️ Pasien'!$U$5:$U1508),"")</f>
        <v>FUTSAL</v>
      </c>
      <c r="T678" s="97" t="s">
        <v>59</v>
      </c>
      <c r="U678" s="105">
        <v>3.0</v>
      </c>
      <c r="V678" s="101"/>
      <c r="W678" s="106" t="b">
        <v>1</v>
      </c>
      <c r="X678" s="107"/>
      <c r="Y678" s="108"/>
    </row>
    <row r="679" ht="22.5" customHeight="1">
      <c r="A679" s="96"/>
      <c r="B679" s="97" t="s">
        <v>85</v>
      </c>
      <c r="C679" s="98" t="str">
        <f t="array" ref="C679">IFNA(XLOOKUP(J679,'⚙️ Pengaturan'!$H$5:$H1508,'⚙️ Pengaturan'!$I$5:$I1508),"")</f>
        <v>TIM Y</v>
      </c>
      <c r="D679" s="97" t="s">
        <v>86</v>
      </c>
      <c r="E679" s="99">
        <v>45969.0</v>
      </c>
      <c r="F679" s="100" t="str">
        <f t="shared" si="1"/>
        <v>2025</v>
      </c>
      <c r="G679" s="100" t="str">
        <f t="shared" si="2"/>
        <v>11Nov</v>
      </c>
      <c r="H679" s="100" t="str">
        <f t="shared" si="3"/>
        <v>Sabtu</v>
      </c>
      <c r="I679" s="97" t="s">
        <v>99</v>
      </c>
      <c r="J679" s="97" t="s">
        <v>88</v>
      </c>
      <c r="K679" s="97" t="s">
        <v>57</v>
      </c>
      <c r="L679" s="101" t="s">
        <v>478</v>
      </c>
      <c r="M679" s="102" t="str">
        <f>IFNA(VLOOKUP(L679,'🙎‍♂️ Pasien'!G:V,2,FALSE),"")</f>
        <v>E1023019575</v>
      </c>
      <c r="N679" s="103">
        <f>IFNA(VLOOKUP(L679,'🙎‍♂️ Pasien'!G:L,3,FALSE),"")</f>
        <v>15</v>
      </c>
      <c r="O679" s="104" t="str">
        <f>IFNA(VLOOKUP(L679,'🙎‍♂️ Pasien'!G:V,6,FALSE),"")</f>
        <v>LAKI-LAKI</v>
      </c>
      <c r="P679" s="104" t="str">
        <f>IFNA(VLOOKUP(L679,'🙎‍♂️ Pasien'!G:V,12,FALSE),"")</f>
        <v>PROTESTAN</v>
      </c>
      <c r="Q679" s="104" t="str">
        <f>IFNA(VLOOKUP(L679:L1508,'🙎‍♂️ Pasien'!G:V,13,FALSE),"")</f>
        <v>PELAJAR/MAHASISWA</v>
      </c>
      <c r="R679" s="104" t="str">
        <f t="array" ref="R679">ifna(xlookup(L679,'🙎‍♂️ Pasien'!$G$5:$G1508,'🙎‍♂️ Pasien'!$T$5:$T1508),"")</f>
        <v>TANGAN KIRI</v>
      </c>
      <c r="S679" s="104" t="str">
        <f t="array" ref="S679">ifna(xlookup(L679,'🙎‍♂️ Pasien'!$G$5:$G1508,'🙎‍♂️ Pasien'!$U$5:$U1508),"")</f>
        <v/>
      </c>
      <c r="T679" s="97" t="s">
        <v>59</v>
      </c>
      <c r="U679" s="105" t="s">
        <v>60</v>
      </c>
      <c r="V679" s="101"/>
      <c r="W679" s="106" t="b">
        <v>1</v>
      </c>
      <c r="X679" s="107"/>
      <c r="Y679" s="108"/>
    </row>
    <row r="680" ht="22.5" customHeight="1">
      <c r="A680" s="96"/>
      <c r="B680" s="97" t="s">
        <v>85</v>
      </c>
      <c r="C680" s="98" t="str">
        <f t="array" ref="C680">IFNA(XLOOKUP(J680,'⚙️ Pengaturan'!$H$5:$H1508,'⚙️ Pengaturan'!$I$5:$I1508),"")</f>
        <v>TIM Y</v>
      </c>
      <c r="D680" s="97" t="s">
        <v>86</v>
      </c>
      <c r="E680" s="99">
        <v>45969.0</v>
      </c>
      <c r="F680" s="100" t="str">
        <f t="shared" si="1"/>
        <v>2025</v>
      </c>
      <c r="G680" s="100" t="str">
        <f t="shared" si="2"/>
        <v>11Nov</v>
      </c>
      <c r="H680" s="100" t="str">
        <f t="shared" si="3"/>
        <v>Sabtu</v>
      </c>
      <c r="I680" s="97" t="s">
        <v>99</v>
      </c>
      <c r="J680" s="97" t="s">
        <v>107</v>
      </c>
      <c r="K680" s="97" t="s">
        <v>63</v>
      </c>
      <c r="L680" s="101" t="s">
        <v>417</v>
      </c>
      <c r="M680" s="102" t="str">
        <f>IFNA(VLOOKUP(L680,'🙎‍♂️ Pasien'!G:V,2,FALSE),"")</f>
        <v>F0225102200</v>
      </c>
      <c r="N680" s="103">
        <f>IFNA(VLOOKUP(L680,'🙎‍♂️ Pasien'!G:L,3,FALSE),"")</f>
        <v>23</v>
      </c>
      <c r="O680" s="104" t="str">
        <f>IFNA(VLOOKUP(L680,'🙎‍♂️ Pasien'!G:V,6,FALSE),"")</f>
        <v>LAKI-LAKI</v>
      </c>
      <c r="P680" s="104" t="str">
        <f>IFNA(VLOOKUP(L680,'🙎‍♂️ Pasien'!G:V,12,FALSE),"")</f>
        <v>ISLAM</v>
      </c>
      <c r="Q680" s="104" t="str">
        <f>IFNA(VLOOKUP(L680:L1508,'🙎‍♂️ Pasien'!G:V,13,FALSE),"")</f>
        <v>WIRASWASTA</v>
      </c>
      <c r="R680" s="104" t="str">
        <f t="array" ref="R680">ifna(xlookup(L680,'🙎‍♂️ Pasien'!$G$5:$G1508,'🙎‍♂️ Pasien'!$T$5:$T1508),"")</f>
        <v>SCOLIOSIS, SAKIT SAAT BERDIRI/DUDUK LAMA</v>
      </c>
      <c r="S680" s="104" t="str">
        <f t="array" ref="S680">ifna(xlookup(L680,'🙎‍♂️ Pasien'!$G$5:$G1508,'🙎‍♂️ Pasien'!$U$5:$U1508),"")</f>
        <v>KERJA DI LAPANGAN, LARI</v>
      </c>
      <c r="T680" s="97" t="s">
        <v>59</v>
      </c>
      <c r="U680" s="105">
        <v>2.0</v>
      </c>
      <c r="V680" s="101"/>
      <c r="W680" s="106" t="b">
        <v>1</v>
      </c>
      <c r="X680" s="107"/>
      <c r="Y680" s="108"/>
    </row>
    <row r="681" ht="22.5" customHeight="1">
      <c r="A681" s="96"/>
      <c r="B681" s="97" t="s">
        <v>85</v>
      </c>
      <c r="C681" s="98" t="str">
        <f t="array" ref="C681">IFNA(XLOOKUP(J681,'⚙️ Pengaturan'!$H$5:$H1508,'⚙️ Pengaturan'!$I$5:$I1508),"")</f>
        <v>TIM Y</v>
      </c>
      <c r="D681" s="97" t="s">
        <v>86</v>
      </c>
      <c r="E681" s="99">
        <v>45969.0</v>
      </c>
      <c r="F681" s="100" t="str">
        <f t="shared" si="1"/>
        <v>2025</v>
      </c>
      <c r="G681" s="100" t="str">
        <f t="shared" si="2"/>
        <v>11Nov</v>
      </c>
      <c r="H681" s="100" t="str">
        <f t="shared" si="3"/>
        <v>Sabtu</v>
      </c>
      <c r="I681" s="97" t="s">
        <v>99</v>
      </c>
      <c r="J681" s="97" t="s">
        <v>88</v>
      </c>
      <c r="K681" s="97" t="s">
        <v>69</v>
      </c>
      <c r="L681" s="101" t="s">
        <v>297</v>
      </c>
      <c r="M681" s="102" t="str">
        <f>IFNA(VLOOKUP(L681,'🙎‍♂️ Pasien'!G:V,2,FALSE),"")</f>
        <v>R8125108947</v>
      </c>
      <c r="N681" s="103">
        <f>IFNA(VLOOKUP(L681,'🙎‍♂️ Pasien'!G:L,3,FALSE),"")</f>
        <v>44</v>
      </c>
      <c r="O681" s="104" t="str">
        <f>IFNA(VLOOKUP(L681,'🙎‍♂️ Pasien'!G:V,6,FALSE),"")</f>
        <v>LAKI-LAKI</v>
      </c>
      <c r="P681" s="104" t="str">
        <f>IFNA(VLOOKUP(L681,'🙎‍♂️ Pasien'!G:V,12,FALSE),"")</f>
        <v>ISLAM</v>
      </c>
      <c r="Q681" s="104" t="str">
        <f>IFNA(VLOOKUP(L681:L1508,'🙎‍♂️ Pasien'!G:V,13,FALSE),"")</f>
        <v>WIRASWASTA</v>
      </c>
      <c r="R681" s="104" t="str">
        <f t="array" ref="R681">ifna(xlookup(L681,'🙎‍♂️ Pasien'!$G$5:$G1508,'🙎‍♂️ Pasien'!$T$5:$T1508),"")</f>
        <v>LBP</v>
      </c>
      <c r="S681" s="104" t="str">
        <f t="array" ref="S681">ifna(xlookup(L681,'🙎‍♂️ Pasien'!$G$5:$G1508,'🙎‍♂️ Pasien'!$U$5:$U1508),"")</f>
        <v>SUPERVISI LAPANGAN</v>
      </c>
      <c r="T681" s="97" t="s">
        <v>67</v>
      </c>
      <c r="U681" s="105" t="s">
        <v>60</v>
      </c>
      <c r="V681" s="101" t="s">
        <v>137</v>
      </c>
      <c r="W681" s="106" t="b">
        <v>1</v>
      </c>
      <c r="X681" s="107"/>
      <c r="Y681" s="108"/>
    </row>
    <row r="682" ht="22.5" customHeight="1">
      <c r="A682" s="96"/>
      <c r="B682" s="97" t="s">
        <v>53</v>
      </c>
      <c r="C682" s="98" t="str">
        <f t="array" ref="C682">IFNA(XLOOKUP(J682,'⚙️ Pengaturan'!$H$5:$H1508,'⚙️ Pengaturan'!$I$5:$I1508),"")</f>
        <v>TIM Y</v>
      </c>
      <c r="D682" s="97" t="s">
        <v>54</v>
      </c>
      <c r="E682" s="99">
        <v>45970.0</v>
      </c>
      <c r="F682" s="100" t="str">
        <f t="shared" si="1"/>
        <v>2025</v>
      </c>
      <c r="G682" s="100" t="str">
        <f t="shared" si="2"/>
        <v>11Nov</v>
      </c>
      <c r="H682" s="100" t="str">
        <f t="shared" si="3"/>
        <v>Minggu</v>
      </c>
      <c r="I682" s="97" t="s">
        <v>55</v>
      </c>
      <c r="J682" s="97" t="s">
        <v>56</v>
      </c>
      <c r="K682" s="97" t="s">
        <v>63</v>
      </c>
      <c r="L682" s="101" t="s">
        <v>239</v>
      </c>
      <c r="M682" s="102" t="str">
        <f>IFNA(VLOOKUP(L682,'🙎‍♂️ Pasien'!G:V,2,FALSE),"")</f>
        <v>A0623071437</v>
      </c>
      <c r="N682" s="103">
        <f>IFNA(VLOOKUP(L682,'🙎‍♂️ Pasien'!G:L,3,FALSE),"")</f>
        <v>20</v>
      </c>
      <c r="O682" s="104" t="str">
        <f>IFNA(VLOOKUP(L682,'🙎‍♂️ Pasien'!G:V,6,FALSE),"")</f>
        <v>LAKI-LAKI</v>
      </c>
      <c r="P682" s="104" t="str">
        <f>IFNA(VLOOKUP(L682,'🙎‍♂️ Pasien'!G:V,12,FALSE),"")</f>
        <v>ISLAM</v>
      </c>
      <c r="Q682" s="104" t="str">
        <f>IFNA(VLOOKUP(L682:L1508,'🙎‍♂️ Pasien'!G:V,13,FALSE),"")</f>
        <v>PELAJAR/MAHASISWA</v>
      </c>
      <c r="R682" s="104" t="str">
        <f t="array" ref="R682">ifna(xlookup(L682,'🙎‍♂️ Pasien'!$G$5:$G1508,'🙎‍♂️ Pasien'!$T$5:$T1508),"")</f>
        <v>Cedera Engkel Di Kaki</v>
      </c>
      <c r="S682" s="104" t="str">
        <f t="array" ref="S682">ifna(xlookup(L682,'🙎‍♂️ Pasien'!$G$5:$G1508,'🙎‍♂️ Pasien'!$U$5:$U1508),"")</f>
        <v>BERMAIN FUTSAL</v>
      </c>
      <c r="T682" s="97" t="s">
        <v>67</v>
      </c>
      <c r="U682" s="105">
        <v>5.0</v>
      </c>
      <c r="V682" s="101" t="s">
        <v>479</v>
      </c>
      <c r="W682" s="106" t="b">
        <v>1</v>
      </c>
      <c r="X682" s="107"/>
      <c r="Y682" s="108"/>
    </row>
    <row r="683" ht="22.5" customHeight="1">
      <c r="A683" s="96"/>
      <c r="B683" s="97" t="s">
        <v>53</v>
      </c>
      <c r="C683" s="98" t="str">
        <f t="array" ref="C683">IFNA(XLOOKUP(J683,'⚙️ Pengaturan'!$H$5:$H1508,'⚙️ Pengaturan'!$I$5:$I1508),"")</f>
        <v>TIM A</v>
      </c>
      <c r="D683" s="97" t="s">
        <v>54</v>
      </c>
      <c r="E683" s="99">
        <v>45970.0</v>
      </c>
      <c r="F683" s="100" t="str">
        <f t="shared" si="1"/>
        <v>2025</v>
      </c>
      <c r="G683" s="100" t="str">
        <f t="shared" si="2"/>
        <v>11Nov</v>
      </c>
      <c r="H683" s="100" t="str">
        <f t="shared" si="3"/>
        <v>Minggu</v>
      </c>
      <c r="I683" s="97" t="s">
        <v>55</v>
      </c>
      <c r="J683" s="97" t="s">
        <v>62</v>
      </c>
      <c r="K683" s="97" t="s">
        <v>63</v>
      </c>
      <c r="L683" s="101" t="s">
        <v>480</v>
      </c>
      <c r="M683" s="102" t="str">
        <f>IFNA(VLOOKUP(L683,'🙎‍♂️ Pasien'!G:V,2,FALSE),"")</f>
        <v>E7324031888</v>
      </c>
      <c r="N683" s="103">
        <f>IFNA(VLOOKUP(L683,'🙎‍♂️ Pasien'!G:L,3,FALSE),"")</f>
        <v>52</v>
      </c>
      <c r="O683" s="104" t="str">
        <f>IFNA(VLOOKUP(L683,'🙎‍♂️ Pasien'!G:V,6,FALSE),"")</f>
        <v>PEREMPUAN</v>
      </c>
      <c r="P683" s="104" t="str">
        <f>IFNA(VLOOKUP(L683,'🙎‍♂️ Pasien'!G:V,12,FALSE),"")</f>
        <v>KHONGHUCU</v>
      </c>
      <c r="Q683" s="104" t="str">
        <f>IFNA(VLOOKUP(L683:L1508,'🙎‍♂️ Pasien'!G:V,13,FALSE),"")</f>
        <v>RUMAH TANGGA</v>
      </c>
      <c r="R683" s="104" t="str">
        <f t="array" ref="R683">ifna(xlookup(L683,'🙎‍♂️ Pasien'!$G$5:$G1508,'🙎‍♂️ Pasien'!$T$5:$T1508),"")</f>
        <v>Pinggul sakit</v>
      </c>
      <c r="S683" s="104" t="str">
        <f t="array" ref="S683">ifna(xlookup(L683,'🙎‍♂️ Pasien'!$G$5:$G1508,'🙎‍♂️ Pasien'!$U$5:$U1508),"")</f>
        <v>Yoga, line dance, aerobik</v>
      </c>
      <c r="T683" s="97" t="s">
        <v>59</v>
      </c>
      <c r="U683" s="105">
        <v>5.0</v>
      </c>
      <c r="V683" s="101"/>
      <c r="W683" s="106" t="b">
        <v>1</v>
      </c>
      <c r="X683" s="107"/>
      <c r="Y683" s="108"/>
    </row>
    <row r="684" ht="22.5" customHeight="1">
      <c r="A684" s="96"/>
      <c r="B684" s="97" t="s">
        <v>53</v>
      </c>
      <c r="C684" s="98" t="str">
        <f t="array" ref="C684">IFNA(XLOOKUP(J684,'⚙️ Pengaturan'!$H$5:$H1508,'⚙️ Pengaturan'!$I$5:$I1508),"")</f>
        <v>TIM A</v>
      </c>
      <c r="D684" s="97" t="s">
        <v>54</v>
      </c>
      <c r="E684" s="99">
        <v>45970.0</v>
      </c>
      <c r="F684" s="100" t="str">
        <f t="shared" si="1"/>
        <v>2025</v>
      </c>
      <c r="G684" s="100" t="str">
        <f t="shared" si="2"/>
        <v>11Nov</v>
      </c>
      <c r="H684" s="100" t="str">
        <f t="shared" si="3"/>
        <v>Minggu</v>
      </c>
      <c r="I684" s="97" t="s">
        <v>55</v>
      </c>
      <c r="J684" s="97" t="s">
        <v>79</v>
      </c>
      <c r="K684" s="97" t="s">
        <v>57</v>
      </c>
      <c r="L684" s="101" t="s">
        <v>481</v>
      </c>
      <c r="M684" s="102" t="str">
        <f>IFNA(VLOOKUP(L684,'🙎‍♂️ Pasien'!G:V,2,FALSE),"")</f>
        <v>H0123016085</v>
      </c>
      <c r="N684" s="103">
        <f>IFNA(VLOOKUP(L684,'🙎‍♂️ Pasien'!G:L,3,FALSE),"")</f>
        <v>25</v>
      </c>
      <c r="O684" s="104" t="str">
        <f>IFNA(VLOOKUP(L684,'🙎‍♂️ Pasien'!G:V,6,FALSE),"")</f>
        <v>PEREMPUAN</v>
      </c>
      <c r="P684" s="104" t="str">
        <f>IFNA(VLOOKUP(L684,'🙎‍♂️ Pasien'!G:V,12,FALSE),"")</f>
        <v>ISLAM</v>
      </c>
      <c r="Q684" s="104" t="str">
        <f>IFNA(VLOOKUP(L684:L1508,'🙎‍♂️ Pasien'!G:V,13,FALSE),"")</f>
        <v>DOSEN/GURU</v>
      </c>
      <c r="R684" s="104" t="str">
        <f t="array" ref="R684">ifna(xlookup(L684,'🙎‍♂️ Pasien'!$G$5:$G1508,'🙎‍♂️ Pasien'!$T$5:$T1508),"")</f>
        <v>PINGGANG</v>
      </c>
      <c r="S684" s="104" t="str">
        <f t="array" ref="S684">ifna(xlookup(L684,'🙎‍♂️ Pasien'!$G$5:$G1508,'🙎‍♂️ Pasien'!$U$5:$U1508),"")</f>
        <v/>
      </c>
      <c r="T684" s="97" t="s">
        <v>59</v>
      </c>
      <c r="U684" s="105" t="s">
        <v>60</v>
      </c>
      <c r="V684" s="101"/>
      <c r="W684" s="106" t="b">
        <v>1</v>
      </c>
      <c r="X684" s="107"/>
      <c r="Y684" s="108"/>
    </row>
    <row r="685" ht="22.5" customHeight="1">
      <c r="A685" s="96"/>
      <c r="B685" s="97" t="s">
        <v>53</v>
      </c>
      <c r="C685" s="98" t="str">
        <f t="array" ref="C685">IFNA(XLOOKUP(J685,'⚙️ Pengaturan'!$H$5:$H1508,'⚙️ Pengaturan'!$I$5:$I1508),"")</f>
        <v>TIM A</v>
      </c>
      <c r="D685" s="97" t="s">
        <v>54</v>
      </c>
      <c r="E685" s="99">
        <v>45970.0</v>
      </c>
      <c r="F685" s="100" t="str">
        <f t="shared" si="1"/>
        <v>2025</v>
      </c>
      <c r="G685" s="100" t="str">
        <f t="shared" si="2"/>
        <v>11Nov</v>
      </c>
      <c r="H685" s="100" t="str">
        <f t="shared" si="3"/>
        <v>Minggu</v>
      </c>
      <c r="I685" s="97" t="s">
        <v>65</v>
      </c>
      <c r="J685" s="97" t="s">
        <v>79</v>
      </c>
      <c r="K685" s="97" t="s">
        <v>57</v>
      </c>
      <c r="L685" s="101" t="s">
        <v>482</v>
      </c>
      <c r="M685" s="102" t="str">
        <f>IFNA(VLOOKUP(L685,'🙎‍♂️ Pasien'!G:V,2,FALSE),"")</f>
        <v>E9725118035</v>
      </c>
      <c r="N685" s="103">
        <f>IFNA(VLOOKUP(L685,'🙎‍♂️ Pasien'!G:L,3,FALSE),"")</f>
        <v>29</v>
      </c>
      <c r="O685" s="104" t="str">
        <f>IFNA(VLOOKUP(L685,'🙎‍♂️ Pasien'!G:V,6,FALSE),"")</f>
        <v>PEREMPUAN</v>
      </c>
      <c r="P685" s="104" t="str">
        <f>IFNA(VLOOKUP(L685,'🙎‍♂️ Pasien'!G:V,12,FALSE),"")</f>
        <v>BUDDHA</v>
      </c>
      <c r="Q685" s="104" t="str">
        <f>IFNA(VLOOKUP(L685:L1508,'🙎‍♂️ Pasien'!G:V,13,FALSE),"")</f>
        <v>ADMIN</v>
      </c>
      <c r="R685" s="104" t="str">
        <f t="array" ref="R685">ifna(xlookup(L685,'🙎‍♂️ Pasien'!$G$5:$G1508,'🙎‍♂️ Pasien'!$T$5:$T1508),"")</f>
        <v>KAKI KANAN TELAPAK KAKI</v>
      </c>
      <c r="S685" s="104" t="str">
        <f t="array" ref="S685">ifna(xlookup(L685,'🙎‍♂️ Pasien'!$G$5:$G1508,'🙎‍♂️ Pasien'!$U$5:$U1508),"")</f>
        <v>SEBELUMNY ADA AKTIFITAS IKUT MARATON 5K</v>
      </c>
      <c r="T685" s="97" t="s">
        <v>67</v>
      </c>
      <c r="U685" s="105" t="s">
        <v>60</v>
      </c>
      <c r="V685" s="101" t="s">
        <v>483</v>
      </c>
      <c r="W685" s="106" t="b">
        <v>1</v>
      </c>
      <c r="X685" s="107"/>
      <c r="Y685" s="108"/>
    </row>
    <row r="686" ht="22.5" customHeight="1">
      <c r="A686" s="96"/>
      <c r="B686" s="97" t="s">
        <v>53</v>
      </c>
      <c r="C686" s="98" t="str">
        <f t="array" ref="C686">IFNA(XLOOKUP(J686,'⚙️ Pengaturan'!$H$5:$H1508,'⚙️ Pengaturan'!$I$5:$I1508),"")</f>
        <v>TIM Y</v>
      </c>
      <c r="D686" s="97" t="s">
        <v>54</v>
      </c>
      <c r="E686" s="99">
        <v>45970.0</v>
      </c>
      <c r="F686" s="100" t="str">
        <f t="shared" si="1"/>
        <v>2025</v>
      </c>
      <c r="G686" s="100" t="str">
        <f t="shared" si="2"/>
        <v>11Nov</v>
      </c>
      <c r="H686" s="100" t="str">
        <f t="shared" si="3"/>
        <v>Minggu</v>
      </c>
      <c r="I686" s="97" t="s">
        <v>65</v>
      </c>
      <c r="J686" s="97" t="s">
        <v>56</v>
      </c>
      <c r="K686" s="97" t="s">
        <v>57</v>
      </c>
      <c r="L686" s="101" t="s">
        <v>459</v>
      </c>
      <c r="M686" s="102" t="str">
        <f>IFNA(VLOOKUP(L686,'🙎‍♂️ Pasien'!G:V,2,FALSE),"")</f>
        <v>S9525118899</v>
      </c>
      <c r="N686" s="103">
        <f>IFNA(VLOOKUP(L686,'🙎‍♂️ Pasien'!G:L,3,FALSE),"")</f>
        <v>30</v>
      </c>
      <c r="O686" s="104" t="str">
        <f>IFNA(VLOOKUP(L686,'🙎‍♂️ Pasien'!G:V,6,FALSE),"")</f>
        <v>LAKI-LAKI</v>
      </c>
      <c r="P686" s="104" t="str">
        <f>IFNA(VLOOKUP(L686,'🙎‍♂️ Pasien'!G:V,12,FALSE),"")</f>
        <v>KATOLIK</v>
      </c>
      <c r="Q686" s="104" t="str">
        <f>IFNA(VLOOKUP(L686:L1508,'🙎‍♂️ Pasien'!G:V,13,FALSE),"")</f>
        <v>SWASTA</v>
      </c>
      <c r="R686" s="104" t="str">
        <f t="array" ref="R686">ifna(xlookup(L686,'🙎‍♂️ Pasien'!$G$5:$G1508,'🙎‍♂️ Pasien'!$T$5:$T1508),"")</f>
        <v>PARIT TOKAYA</v>
      </c>
      <c r="S686" s="104" t="str">
        <f t="array" ref="S686">ifna(xlookup(L686,'🙎‍♂️ Pasien'!$G$5:$G1508,'🙎‍♂️ Pasien'!$U$5:$U1508),"")</f>
        <v>MAIN BOLA</v>
      </c>
      <c r="T686" s="97" t="s">
        <v>59</v>
      </c>
      <c r="U686" s="105" t="s">
        <v>60</v>
      </c>
      <c r="V686" s="101"/>
      <c r="W686" s="106" t="b">
        <v>1</v>
      </c>
      <c r="X686" s="107"/>
      <c r="Y686" s="108"/>
    </row>
    <row r="687" ht="22.5" customHeight="1">
      <c r="A687" s="96"/>
      <c r="B687" s="97" t="s">
        <v>53</v>
      </c>
      <c r="C687" s="98" t="str">
        <f t="array" ref="C687">IFNA(XLOOKUP(J687,'⚙️ Pengaturan'!$H$5:$H1508,'⚙️ Pengaturan'!$I$5:$I1508),"")</f>
        <v>TIM A</v>
      </c>
      <c r="D687" s="97" t="s">
        <v>54</v>
      </c>
      <c r="E687" s="99">
        <v>45970.0</v>
      </c>
      <c r="F687" s="100" t="str">
        <f t="shared" si="1"/>
        <v>2025</v>
      </c>
      <c r="G687" s="100" t="str">
        <f t="shared" si="2"/>
        <v>11Nov</v>
      </c>
      <c r="H687" s="100" t="str">
        <f t="shared" si="3"/>
        <v>Minggu</v>
      </c>
      <c r="I687" s="97" t="s">
        <v>65</v>
      </c>
      <c r="J687" s="97" t="s">
        <v>62</v>
      </c>
      <c r="K687" s="97" t="s">
        <v>69</v>
      </c>
      <c r="L687" s="101" t="s">
        <v>484</v>
      </c>
      <c r="M687" s="102" t="str">
        <f>IFNA(VLOOKUP(L687,'🙎‍♂️ Pasien'!G:V,2,FALSE),"")</f>
        <v>T9925112700</v>
      </c>
      <c r="N687" s="103">
        <f>IFNA(VLOOKUP(L687,'🙎‍♂️ Pasien'!G:L,3,FALSE),"")</f>
        <v>27</v>
      </c>
      <c r="O687" s="104" t="str">
        <f>IFNA(VLOOKUP(L687,'🙎‍♂️ Pasien'!G:V,6,FALSE),"")</f>
        <v>PEREMPUAN</v>
      </c>
      <c r="P687" s="104" t="str">
        <f>IFNA(VLOOKUP(L687,'🙎‍♂️ Pasien'!G:V,12,FALSE),"")</f>
        <v>ISLAM</v>
      </c>
      <c r="Q687" s="104" t="str">
        <f>IFNA(VLOOKUP(L687:L1508,'🙎‍♂️ Pasien'!G:V,13,FALSE),"")</f>
        <v>PNS</v>
      </c>
      <c r="R687" s="104" t="str">
        <f t="array" ref="R687">ifna(xlookup(L687,'🙎‍♂️ Pasien'!$G$5:$G1508,'🙎‍♂️ Pasien'!$T$5:$T1508),"")</f>
        <v>LENGAN DAN TANGAN SEBELAH KIRI TERASA SAKIT GARA2 PERNAH JATUH DARI MOTOR DI TAHUN 2021, SAMPAI SEKARANG SERING KAMBUH2 SAKITNYA</v>
      </c>
      <c r="S687" s="104" t="str">
        <f t="array" ref="S687">ifna(xlookup(L687,'🙎‍♂️ Pasien'!$G$5:$G1508,'🙎‍♂️ Pasien'!$U$5:$U1508),"")</f>
        <v>LARI/JOGGING SEMPAT GYM TAPI BERHENTI</v>
      </c>
      <c r="T687" s="97" t="s">
        <v>67</v>
      </c>
      <c r="U687" s="105" t="s">
        <v>60</v>
      </c>
      <c r="V687" s="101" t="s">
        <v>485</v>
      </c>
      <c r="W687" s="106" t="b">
        <v>1</v>
      </c>
      <c r="X687" s="107"/>
      <c r="Y687" s="108"/>
    </row>
    <row r="688" ht="22.5" customHeight="1">
      <c r="A688" s="96"/>
      <c r="B688" s="97" t="s">
        <v>53</v>
      </c>
      <c r="C688" s="98" t="str">
        <f t="array" ref="C688">IFNA(XLOOKUP(J688,'⚙️ Pengaturan'!$H$5:$H1508,'⚙️ Pengaturan'!$I$5:$I1508),"")</f>
        <v>TIM A</v>
      </c>
      <c r="D688" s="97" t="s">
        <v>54</v>
      </c>
      <c r="E688" s="99">
        <v>45970.0</v>
      </c>
      <c r="F688" s="100" t="str">
        <f t="shared" si="1"/>
        <v>2025</v>
      </c>
      <c r="G688" s="100" t="str">
        <f t="shared" si="2"/>
        <v>11Nov</v>
      </c>
      <c r="H688" s="100" t="str">
        <f t="shared" si="3"/>
        <v>Minggu</v>
      </c>
      <c r="I688" s="97" t="s">
        <v>74</v>
      </c>
      <c r="J688" s="97" t="s">
        <v>62</v>
      </c>
      <c r="K688" s="97" t="s">
        <v>63</v>
      </c>
      <c r="L688" s="101" t="s">
        <v>444</v>
      </c>
      <c r="M688" s="102" t="str">
        <f>IFNA(VLOOKUP(L688,'🙎‍♂️ Pasien'!G:V,2,FALSE),"")</f>
        <v>N8525112090</v>
      </c>
      <c r="N688" s="103">
        <f>IFNA(VLOOKUP(L688,'🙎‍♂️ Pasien'!G:L,3,FALSE),"")</f>
        <v>40</v>
      </c>
      <c r="O688" s="104" t="str">
        <f>IFNA(VLOOKUP(L688,'🙎‍♂️ Pasien'!G:V,6,FALSE),"")</f>
        <v>PEREMPUAN</v>
      </c>
      <c r="P688" s="104" t="str">
        <f>IFNA(VLOOKUP(L688,'🙎‍♂️ Pasien'!G:V,12,FALSE),"")</f>
        <v>ISLAM</v>
      </c>
      <c r="Q688" s="104" t="str">
        <f>IFNA(VLOOKUP(L688:L1508,'🙎‍♂️ Pasien'!G:V,13,FALSE),"")</f>
        <v>PNS</v>
      </c>
      <c r="R688" s="104" t="str">
        <f t="array" ref="R688">ifna(xlookup(L688,'🙎‍♂️ Pasien'!$G$5:$G1508,'🙎‍♂️ Pasien'!$T$5:$T1508),"")</f>
        <v>SAKIT DI TULANG EKOR</v>
      </c>
      <c r="S688" s="104" t="str">
        <f t="array" ref="S688">ifna(xlookup(L688,'🙎‍♂️ Pasien'!$G$5:$G1508,'🙎‍♂️ Pasien'!$U$5:$U1508),"")</f>
        <v>JOGING</v>
      </c>
      <c r="T688" s="97" t="s">
        <v>59</v>
      </c>
      <c r="U688" s="105">
        <v>2.0</v>
      </c>
      <c r="V688" s="101"/>
      <c r="W688" s="106" t="b">
        <v>1</v>
      </c>
      <c r="X688" s="107"/>
      <c r="Y688" s="108"/>
    </row>
    <row r="689" ht="22.5" customHeight="1">
      <c r="A689" s="96"/>
      <c r="B689" s="97" t="s">
        <v>53</v>
      </c>
      <c r="C689" s="98" t="str">
        <f t="array" ref="C689">IFNA(XLOOKUP(J689,'⚙️ Pengaturan'!$H$5:$H1508,'⚙️ Pengaturan'!$I$5:$I1508),"")</f>
        <v>TIM A</v>
      </c>
      <c r="D689" s="97" t="s">
        <v>54</v>
      </c>
      <c r="E689" s="99">
        <v>45970.0</v>
      </c>
      <c r="F689" s="100" t="str">
        <f t="shared" si="1"/>
        <v>2025</v>
      </c>
      <c r="G689" s="100" t="str">
        <f t="shared" si="2"/>
        <v>11Nov</v>
      </c>
      <c r="H689" s="100" t="str">
        <f t="shared" si="3"/>
        <v>Minggu</v>
      </c>
      <c r="I689" s="97" t="s">
        <v>76</v>
      </c>
      <c r="J689" s="97" t="s">
        <v>62</v>
      </c>
      <c r="K689" s="97" t="s">
        <v>63</v>
      </c>
      <c r="L689" s="101" t="s">
        <v>430</v>
      </c>
      <c r="M689" s="102" t="str">
        <f>IFNA(VLOOKUP(L689,'🙎‍♂️ Pasien'!G:V,2,FALSE),"")</f>
        <v>J5525063513</v>
      </c>
      <c r="N689" s="103">
        <f>IFNA(VLOOKUP(L689,'🙎‍♂️ Pasien'!G:L,3,FALSE),"")</f>
        <v>71</v>
      </c>
      <c r="O689" s="104" t="str">
        <f>IFNA(VLOOKUP(L689,'🙎‍♂️ Pasien'!G:V,6,FALSE),"")</f>
        <v>PEREMPUAN</v>
      </c>
      <c r="P689" s="104" t="str">
        <f>IFNA(VLOOKUP(L689,'🙎‍♂️ Pasien'!G:V,12,FALSE),"")</f>
        <v>KATOLIK</v>
      </c>
      <c r="Q689" s="104" t="str">
        <f>IFNA(VLOOKUP(L689:L1508,'🙎‍♂️ Pasien'!G:V,13,FALSE),"")</f>
        <v>IBU RUMAH TANGGA</v>
      </c>
      <c r="R689" s="104" t="str">
        <f t="array" ref="R689">ifna(xlookup(L689,'🙎‍♂️ Pasien'!$G$5:$G1508,'🙎‍♂️ Pasien'!$T$5:$T1508),"")</f>
        <v>BAGIAN PANTAT SAKIT</v>
      </c>
      <c r="S689" s="104" t="str">
        <f t="array" ref="S689">ifna(xlookup(L689,'🙎‍♂️ Pasien'!$G$5:$G1508,'🙎‍♂️ Pasien'!$U$5:$U1508),"")</f>
        <v>BARU OPERASI TULANG SUMSUNG BELAKANG KARENA SARAF KEJEPIT 1 BULAN LALU</v>
      </c>
      <c r="T689" s="97" t="s">
        <v>59</v>
      </c>
      <c r="U689" s="105">
        <v>3.0</v>
      </c>
      <c r="V689" s="101"/>
      <c r="W689" s="106" t="b">
        <v>1</v>
      </c>
      <c r="X689" s="107"/>
      <c r="Y689" s="108"/>
    </row>
    <row r="690" ht="22.5" customHeight="1">
      <c r="A690" s="96"/>
      <c r="B690" s="97" t="s">
        <v>85</v>
      </c>
      <c r="C690" s="98" t="str">
        <f t="array" ref="C690">IFNA(XLOOKUP(J690,'⚙️ Pengaturan'!$H$5:$H1508,'⚙️ Pengaturan'!$I$5:$I1508),"")</f>
        <v>TIM Y</v>
      </c>
      <c r="D690" s="97" t="s">
        <v>86</v>
      </c>
      <c r="E690" s="99">
        <v>45970.0</v>
      </c>
      <c r="F690" s="100" t="str">
        <f t="shared" si="1"/>
        <v>2025</v>
      </c>
      <c r="G690" s="100" t="str">
        <f t="shared" si="2"/>
        <v>11Nov</v>
      </c>
      <c r="H690" s="100" t="str">
        <f t="shared" si="3"/>
        <v>Minggu</v>
      </c>
      <c r="I690" s="97" t="s">
        <v>87</v>
      </c>
      <c r="J690" s="97" t="s">
        <v>88</v>
      </c>
      <c r="K690" s="97" t="s">
        <v>69</v>
      </c>
      <c r="L690" s="101" t="s">
        <v>458</v>
      </c>
      <c r="M690" s="102" t="str">
        <f>IFNA(VLOOKUP(L690,'🙎‍♂️ Pasien'!G:V,2,FALSE),"")</f>
        <v>A0625113812</v>
      </c>
      <c r="N690" s="103">
        <f>IFNA(VLOOKUP(L690,'🙎‍♂️ Pasien'!G:L,3,FALSE),"")</f>
        <v>19</v>
      </c>
      <c r="O690" s="104" t="str">
        <f>IFNA(VLOOKUP(L690,'🙎‍♂️ Pasien'!G:V,6,FALSE),"")</f>
        <v>LAKI-LAKI</v>
      </c>
      <c r="P690" s="104" t="str">
        <f>IFNA(VLOOKUP(L690,'🙎‍♂️ Pasien'!G:V,12,FALSE),"")</f>
        <v>ISLAM</v>
      </c>
      <c r="Q690" s="104" t="str">
        <f>IFNA(VLOOKUP(L690:L1508,'🙎‍♂️ Pasien'!G:V,13,FALSE),"")</f>
        <v>TIDAK ADA</v>
      </c>
      <c r="R690" s="104" t="str">
        <f t="array" ref="R690">ifna(xlookup(L690,'🙎‍♂️ Pasien'!$G$5:$G1508,'🙎‍♂️ Pasien'!$T$5:$T1508),"")</f>
        <v>ENGKEL KAKI KIRI SAYA MASIH BLUM SEMBUH" SUDAH MAU 3 BULAN BLUM SEMBUH" MASIH ADA TERSA NYERI"</v>
      </c>
      <c r="S690" s="104" t="str">
        <f t="array" ref="S690">ifna(xlookup(L690,'🙎‍♂️ Pasien'!$G$5:$G1508,'🙎‍♂️ Pasien'!$U$5:$U1508),"")</f>
        <v>BERMAIN BOLA DAN FUTSAL</v>
      </c>
      <c r="T690" s="97" t="s">
        <v>59</v>
      </c>
      <c r="U690" s="105" t="s">
        <v>60</v>
      </c>
      <c r="V690" s="101"/>
      <c r="W690" s="106" t="b">
        <v>1</v>
      </c>
      <c r="X690" s="107"/>
      <c r="Y690" s="108"/>
    </row>
    <row r="691" ht="22.5" customHeight="1">
      <c r="A691" s="96"/>
      <c r="B691" s="97" t="s">
        <v>85</v>
      </c>
      <c r="C691" s="98" t="str">
        <f t="array" ref="C691">IFNA(XLOOKUP(J691,'⚙️ Pengaturan'!$H$5:$H1508,'⚙️ Pengaturan'!$I$5:$I1508),"")</f>
        <v>TIM Y</v>
      </c>
      <c r="D691" s="97" t="s">
        <v>86</v>
      </c>
      <c r="E691" s="99">
        <v>45970.0</v>
      </c>
      <c r="F691" s="100" t="str">
        <f t="shared" si="1"/>
        <v>2025</v>
      </c>
      <c r="G691" s="100" t="str">
        <f t="shared" si="2"/>
        <v>11Nov</v>
      </c>
      <c r="H691" s="100" t="str">
        <f t="shared" si="3"/>
        <v>Minggu</v>
      </c>
      <c r="I691" s="97" t="s">
        <v>87</v>
      </c>
      <c r="J691" s="97" t="s">
        <v>107</v>
      </c>
      <c r="K691" s="97" t="s">
        <v>63</v>
      </c>
      <c r="L691" s="101" t="s">
        <v>257</v>
      </c>
      <c r="M691" s="102" t="str">
        <f>IFNA(VLOOKUP(L691,'🙎‍♂️ Pasien'!G:V,2,FALSE),"")</f>
        <v>A1025102304</v>
      </c>
      <c r="N691" s="103">
        <f>IFNA(VLOOKUP(L691,'🙎‍♂️ Pasien'!G:L,3,FALSE),"")</f>
        <v>16</v>
      </c>
      <c r="O691" s="104" t="str">
        <f>IFNA(VLOOKUP(L691,'🙎‍♂️ Pasien'!G:V,6,FALSE),"")</f>
        <v>LAKI-LAKI</v>
      </c>
      <c r="P691" s="104" t="str">
        <f>IFNA(VLOOKUP(L691,'🙎‍♂️ Pasien'!G:V,12,FALSE),"")</f>
        <v>PROTESTAN</v>
      </c>
      <c r="Q691" s="104" t="str">
        <f>IFNA(VLOOKUP(L691:L1508,'🙎‍♂️ Pasien'!G:V,13,FALSE),"")</f>
        <v>PELAJAR</v>
      </c>
      <c r="R691" s="104" t="str">
        <f t="array" ref="R691">ifna(xlookup(L691,'🙎‍♂️ Pasien'!$G$5:$G1508,'🙎‍♂️ Pasien'!$T$5:$T1508),"")</f>
        <v>NYERI SENDI KAKI</v>
      </c>
      <c r="S691" s="104" t="str">
        <f t="array" ref="S691">ifna(xlookup(L691,'🙎‍♂️ Pasien'!$G$5:$G1508,'🙎‍♂️ Pasien'!$U$5:$U1508),"")</f>
        <v>OLAHRAGA, NAIK TURUN TANGGA</v>
      </c>
      <c r="T691" s="97" t="s">
        <v>59</v>
      </c>
      <c r="U691" s="105">
        <v>3.0</v>
      </c>
      <c r="V691" s="101"/>
      <c r="W691" s="106" t="b">
        <v>1</v>
      </c>
      <c r="X691" s="107"/>
      <c r="Y691" s="108"/>
    </row>
    <row r="692" ht="22.5" customHeight="1">
      <c r="A692" s="96"/>
      <c r="B692" s="97" t="s">
        <v>85</v>
      </c>
      <c r="C692" s="98" t="str">
        <f t="array" ref="C692">IFNA(XLOOKUP(J692,'⚙️ Pengaturan'!$H$5:$H1508,'⚙️ Pengaturan'!$I$5:$I1508),"")</f>
        <v>TIM Y</v>
      </c>
      <c r="D692" s="97" t="s">
        <v>86</v>
      </c>
      <c r="E692" s="99">
        <v>45970.0</v>
      </c>
      <c r="F692" s="100" t="str">
        <f t="shared" si="1"/>
        <v>2025</v>
      </c>
      <c r="G692" s="100" t="str">
        <f t="shared" si="2"/>
        <v>11Nov</v>
      </c>
      <c r="H692" s="100" t="str">
        <f t="shared" si="3"/>
        <v>Minggu</v>
      </c>
      <c r="I692" s="97" t="s">
        <v>87</v>
      </c>
      <c r="J692" s="97" t="s">
        <v>91</v>
      </c>
      <c r="K692" s="97" t="s">
        <v>57</v>
      </c>
      <c r="L692" s="101" t="s">
        <v>486</v>
      </c>
      <c r="M692" s="102" t="str">
        <f>IFNA(VLOOKUP(L692,'🙎‍♂️ Pasien'!G:V,2,FALSE),"")</f>
        <v>S8525116452</v>
      </c>
      <c r="N692" s="103">
        <f>IFNA(VLOOKUP(L692,'🙎‍♂️ Pasien'!G:L,3,FALSE),"")</f>
        <v>41</v>
      </c>
      <c r="O692" s="104" t="str">
        <f>IFNA(VLOOKUP(L692,'🙎‍♂️ Pasien'!G:V,6,FALSE),"")</f>
        <v>PEREMPUAN</v>
      </c>
      <c r="P692" s="104" t="str">
        <f>IFNA(VLOOKUP(L692,'🙎‍♂️ Pasien'!G:V,12,FALSE),"")</f>
        <v>ISLAM</v>
      </c>
      <c r="Q692" s="104" t="str">
        <f>IFNA(VLOOKUP(L692:L1508,'🙎‍♂️ Pasien'!G:V,13,FALSE),"")</f>
        <v>IRT</v>
      </c>
      <c r="R692" s="104" t="str">
        <f t="array" ref="R692">ifna(xlookup(L692,'🙎‍♂️ Pasien'!$G$5:$G1508,'🙎‍♂️ Pasien'!$T$5:$T1508),"")</f>
        <v>KAKI</v>
      </c>
      <c r="S692" s="104" t="str">
        <f t="array" ref="S692">ifna(xlookup(L692,'🙎‍♂️ Pasien'!$G$5:$G1508,'🙎‍♂️ Pasien'!$U$5:$U1508),"")</f>
        <v>-</v>
      </c>
      <c r="T692" s="97" t="s">
        <v>59</v>
      </c>
      <c r="U692" s="105" t="s">
        <v>60</v>
      </c>
      <c r="V692" s="101"/>
      <c r="W692" s="106" t="b">
        <v>1</v>
      </c>
      <c r="X692" s="107"/>
      <c r="Y692" s="108"/>
    </row>
    <row r="693" ht="22.5" customHeight="1">
      <c r="A693" s="96"/>
      <c r="B693" s="97" t="s">
        <v>85</v>
      </c>
      <c r="C693" s="98" t="str">
        <f t="array" ref="C693">IFNA(XLOOKUP(J693,'⚙️ Pengaturan'!$H$5:$H1508,'⚙️ Pengaturan'!$I$5:$I1508),"")</f>
        <v>TIM Y</v>
      </c>
      <c r="D693" s="97" t="s">
        <v>86</v>
      </c>
      <c r="E693" s="99">
        <v>45970.0</v>
      </c>
      <c r="F693" s="100" t="str">
        <f t="shared" si="1"/>
        <v>2025</v>
      </c>
      <c r="G693" s="100" t="str">
        <f t="shared" si="2"/>
        <v>11Nov</v>
      </c>
      <c r="H693" s="100" t="str">
        <f t="shared" si="3"/>
        <v>Minggu</v>
      </c>
      <c r="I693" s="97" t="s">
        <v>93</v>
      </c>
      <c r="J693" s="97" t="s">
        <v>107</v>
      </c>
      <c r="K693" s="97" t="s">
        <v>63</v>
      </c>
      <c r="L693" s="101" t="s">
        <v>153</v>
      </c>
      <c r="M693" s="102" t="str">
        <f>IFNA(VLOOKUP(L693,'🙎‍♂️ Pasien'!G:V,2,FALSE),"")</f>
        <v>S6225086797</v>
      </c>
      <c r="N693" s="103">
        <f>IFNA(VLOOKUP(L693,'🙎‍♂️ Pasien'!G:L,3,FALSE),"")</f>
        <v>63</v>
      </c>
      <c r="O693" s="104" t="str">
        <f>IFNA(VLOOKUP(L693,'🙎‍♂️ Pasien'!G:V,6,FALSE),"")</f>
        <v>PEREMPUAN</v>
      </c>
      <c r="P693" s="104" t="str">
        <f>IFNA(VLOOKUP(L693,'🙎‍♂️ Pasien'!G:V,12,FALSE),"")</f>
        <v>ISLAM</v>
      </c>
      <c r="Q693" s="104" t="str">
        <f>IFNA(VLOOKUP(L693:L1508,'🙎‍♂️ Pasien'!G:V,13,FALSE),"")</f>
        <v>-</v>
      </c>
      <c r="R693" s="104" t="str">
        <f t="array" ref="R693">ifna(xlookup(L693,'🙎‍♂️ Pasien'!$G$5:$G1508,'🙎‍♂️ Pasien'!$T$5:$T1508),"")</f>
        <v>TANGAN KANAN BAGIAN ATAS, SAKIT SAAT DIGERAKKAN</v>
      </c>
      <c r="S693" s="104" t="str">
        <f t="array" ref="S693">ifna(xlookup(L693,'🙎‍♂️ Pasien'!$G$5:$G1508,'🙎‍♂️ Pasien'!$U$5:$U1508),"")</f>
        <v>PEKERJAAN RUMAH TANGGA</v>
      </c>
      <c r="T693" s="97" t="s">
        <v>59</v>
      </c>
      <c r="U693" s="105">
        <v>1.0</v>
      </c>
      <c r="V693" s="101"/>
      <c r="W693" s="106" t="b">
        <v>1</v>
      </c>
      <c r="X693" s="107"/>
      <c r="Y693" s="108"/>
    </row>
    <row r="694" ht="22.5" customHeight="1">
      <c r="A694" s="96"/>
      <c r="B694" s="97" t="s">
        <v>85</v>
      </c>
      <c r="C694" s="98" t="str">
        <f t="array" ref="C694">IFNA(XLOOKUP(J694,'⚙️ Pengaturan'!$H$5:$H1508,'⚙️ Pengaturan'!$I$5:$I1508),"")</f>
        <v>TIM Y</v>
      </c>
      <c r="D694" s="97" t="s">
        <v>86</v>
      </c>
      <c r="E694" s="99">
        <v>45970.0</v>
      </c>
      <c r="F694" s="100" t="str">
        <f t="shared" si="1"/>
        <v>2025</v>
      </c>
      <c r="G694" s="100" t="str">
        <f t="shared" si="2"/>
        <v>11Nov</v>
      </c>
      <c r="H694" s="100" t="str">
        <f t="shared" si="3"/>
        <v>Minggu</v>
      </c>
      <c r="I694" s="97" t="s">
        <v>95</v>
      </c>
      <c r="J694" s="97" t="s">
        <v>107</v>
      </c>
      <c r="K694" s="97" t="s">
        <v>63</v>
      </c>
      <c r="L694" s="101" t="s">
        <v>335</v>
      </c>
      <c r="M694" s="102" t="str">
        <f>IFNA(VLOOKUP(L694,'🙎‍♂️ Pasien'!G:V,2,FALSE),"")</f>
        <v>M8925040551</v>
      </c>
      <c r="N694" s="103">
        <f>IFNA(VLOOKUP(L694,'🙎‍♂️ Pasien'!G:L,3,FALSE),"")</f>
        <v>37</v>
      </c>
      <c r="O694" s="104" t="str">
        <f>IFNA(VLOOKUP(L694,'🙎‍♂️ Pasien'!G:V,6,FALSE),"")</f>
        <v>PEREMPUAN</v>
      </c>
      <c r="P694" s="104" t="str">
        <f>IFNA(VLOOKUP(L694,'🙎‍♂️ Pasien'!G:V,12,FALSE),"")</f>
        <v>-</v>
      </c>
      <c r="Q694" s="104" t="str">
        <f>IFNA(VLOOKUP(L694:L1508,'🙎‍♂️ Pasien'!G:V,13,FALSE),"")</f>
        <v>PNS</v>
      </c>
      <c r="R694" s="104" t="str">
        <f t="array" ref="R694">ifna(xlookup(L694,'🙎‍♂️ Pasien'!$G$5:$G1508,'🙎‍♂️ Pasien'!$T$5:$T1508),"")</f>
        <v>SAKIT DI TUMIT BAGIAN TENGAH TELAPAK KAKI, KAKI KANAN. KADANG TERASA HANGAT/PANAS</v>
      </c>
      <c r="S694" s="104" t="str">
        <f t="array" ref="S694">ifna(xlookup(L694,'🙎‍♂️ Pasien'!$G$5:$G1508,'🙎‍♂️ Pasien'!$U$5:$U1508),"")</f>
        <v>JALAN PAGI</v>
      </c>
      <c r="T694" s="97" t="s">
        <v>59</v>
      </c>
      <c r="U694" s="105">
        <v>3.0</v>
      </c>
      <c r="V694" s="101"/>
      <c r="W694" s="106" t="b">
        <v>1</v>
      </c>
      <c r="X694" s="107"/>
      <c r="Y694" s="108"/>
    </row>
    <row r="695" ht="22.5" customHeight="1">
      <c r="A695" s="96"/>
      <c r="B695" s="97" t="s">
        <v>85</v>
      </c>
      <c r="C695" s="98" t="str">
        <f t="array" ref="C695">IFNA(XLOOKUP(J695,'⚙️ Pengaturan'!$H$5:$H1508,'⚙️ Pengaturan'!$I$5:$I1508),"")</f>
        <v>TIM Y</v>
      </c>
      <c r="D695" s="97" t="s">
        <v>86</v>
      </c>
      <c r="E695" s="99">
        <v>45970.0</v>
      </c>
      <c r="F695" s="100" t="str">
        <f t="shared" si="1"/>
        <v>2025</v>
      </c>
      <c r="G695" s="100" t="str">
        <f t="shared" si="2"/>
        <v>11Nov</v>
      </c>
      <c r="H695" s="100" t="str">
        <f t="shared" si="3"/>
        <v>Minggu</v>
      </c>
      <c r="I695" s="97" t="s">
        <v>97</v>
      </c>
      <c r="J695" s="97" t="s">
        <v>88</v>
      </c>
      <c r="K695" s="97" t="s">
        <v>69</v>
      </c>
      <c r="L695" s="101" t="s">
        <v>210</v>
      </c>
      <c r="M695" s="102" t="str">
        <f>IFNA(VLOOKUP(L695,'🙎‍♂️ Pasien'!G:V,2,FALSE),"")</f>
        <v>A9125100553</v>
      </c>
      <c r="N695" s="103">
        <f>IFNA(VLOOKUP(L695,'🙎‍♂️ Pasien'!G:L,3,FALSE),"")</f>
        <v>34</v>
      </c>
      <c r="O695" s="104" t="str">
        <f>IFNA(VLOOKUP(L695,'🙎‍♂️ Pasien'!G:V,6,FALSE),"")</f>
        <v>LAKI-LAKI</v>
      </c>
      <c r="P695" s="104" t="str">
        <f>IFNA(VLOOKUP(L695,'🙎‍♂️ Pasien'!G:V,12,FALSE),"")</f>
        <v>ISLAM</v>
      </c>
      <c r="Q695" s="104" t="str">
        <f>IFNA(VLOOKUP(L695:L1508,'🙎‍♂️ Pasien'!G:V,13,FALSE),"")</f>
        <v>DOSEN</v>
      </c>
      <c r="R695" s="104" t="str">
        <f t="array" ref="R695">ifna(xlookup(L695,'🙎‍♂️ Pasien'!$G$5:$G1508,'🙎‍♂️ Pasien'!$T$5:$T1508),"")</f>
        <v>BAHH</v>
      </c>
      <c r="S695" s="104" t="str">
        <f t="array" ref="S695">ifna(xlookup(L695,'🙎‍♂️ Pasien'!$G$5:$G1508,'🙎‍♂️ Pasien'!$U$5:$U1508),"")</f>
        <v>MENGAJAR</v>
      </c>
      <c r="T695" s="97" t="s">
        <v>59</v>
      </c>
      <c r="U695" s="105" t="s">
        <v>60</v>
      </c>
      <c r="V695" s="101"/>
      <c r="W695" s="106" t="b">
        <v>1</v>
      </c>
      <c r="X695" s="107"/>
      <c r="Y695" s="108"/>
    </row>
    <row r="696" ht="22.5" customHeight="1">
      <c r="A696" s="96"/>
      <c r="B696" s="97" t="s">
        <v>85</v>
      </c>
      <c r="C696" s="98" t="str">
        <f t="array" ref="C696">IFNA(XLOOKUP(J696,'⚙️ Pengaturan'!$H$5:$H1508,'⚙️ Pengaturan'!$I$5:$I1508),"")</f>
        <v>TIM Y</v>
      </c>
      <c r="D696" s="97" t="s">
        <v>86</v>
      </c>
      <c r="E696" s="99">
        <v>45970.0</v>
      </c>
      <c r="F696" s="100" t="str">
        <f t="shared" si="1"/>
        <v>2025</v>
      </c>
      <c r="G696" s="100" t="str">
        <f t="shared" si="2"/>
        <v>11Nov</v>
      </c>
      <c r="H696" s="100" t="str">
        <f t="shared" si="3"/>
        <v>Minggu</v>
      </c>
      <c r="I696" s="97" t="s">
        <v>97</v>
      </c>
      <c r="J696" s="97" t="s">
        <v>91</v>
      </c>
      <c r="K696" s="97" t="s">
        <v>63</v>
      </c>
      <c r="L696" s="101" t="s">
        <v>487</v>
      </c>
      <c r="M696" s="102" t="str">
        <f>IFNA(VLOOKUP(L696,'🙎‍♂️ Pasien'!G:V,2,FALSE),"")</f>
        <v>M1223117264</v>
      </c>
      <c r="N696" s="103">
        <f>IFNA(VLOOKUP(L696,'🙎‍♂️ Pasien'!G:L,3,FALSE),"")</f>
        <v>14</v>
      </c>
      <c r="O696" s="104" t="str">
        <f>IFNA(VLOOKUP(L696,'🙎‍♂️ Pasien'!G:V,6,FALSE),"")</f>
        <v>LAKI-LAKI</v>
      </c>
      <c r="P696" s="104" t="str">
        <f>IFNA(VLOOKUP(L696,'🙎‍♂️ Pasien'!G:V,12,FALSE),"")</f>
        <v>ISLAM</v>
      </c>
      <c r="Q696" s="104" t="str">
        <f>IFNA(VLOOKUP(L696:L1508,'🙎‍♂️ Pasien'!G:V,13,FALSE),"")</f>
        <v>PELAJAR/MAHASISWA</v>
      </c>
      <c r="R696" s="104" t="str">
        <f t="array" ref="R696">ifna(xlookup(L696,'🙎‍♂️ Pasien'!$G$5:$G1508,'🙎‍♂️ Pasien'!$T$5:$T1508),"")</f>
        <v>Cedera</v>
      </c>
      <c r="S696" s="104" t="str">
        <f t="array" ref="S696">ifna(xlookup(L696,'🙎‍♂️ Pasien'!$G$5:$G1508,'🙎‍♂️ Pasien'!$U$5:$U1508),"")</f>
        <v>Basket</v>
      </c>
      <c r="T696" s="97" t="s">
        <v>59</v>
      </c>
      <c r="U696" s="105">
        <v>1.0</v>
      </c>
      <c r="V696" s="101"/>
      <c r="W696" s="106" t="b">
        <v>1</v>
      </c>
      <c r="X696" s="107"/>
      <c r="Y696" s="108"/>
    </row>
    <row r="697" ht="22.5" customHeight="1">
      <c r="A697" s="96"/>
      <c r="B697" s="97" t="s">
        <v>85</v>
      </c>
      <c r="C697" s="98" t="str">
        <f t="array" ref="C697">IFNA(XLOOKUP(J697,'⚙️ Pengaturan'!$H$5:$H1508,'⚙️ Pengaturan'!$I$5:$I1508),"")</f>
        <v>TIM Y</v>
      </c>
      <c r="D697" s="97" t="s">
        <v>86</v>
      </c>
      <c r="E697" s="99">
        <v>45970.0</v>
      </c>
      <c r="F697" s="100" t="str">
        <f t="shared" si="1"/>
        <v>2025</v>
      </c>
      <c r="G697" s="100" t="str">
        <f t="shared" si="2"/>
        <v>11Nov</v>
      </c>
      <c r="H697" s="100" t="str">
        <f t="shared" si="3"/>
        <v>Minggu</v>
      </c>
      <c r="I697" s="97" t="s">
        <v>99</v>
      </c>
      <c r="J697" s="97" t="s">
        <v>88</v>
      </c>
      <c r="K697" s="97" t="s">
        <v>69</v>
      </c>
      <c r="L697" s="101" t="s">
        <v>155</v>
      </c>
      <c r="M697" s="102" t="str">
        <f>IFNA(VLOOKUP(L697,'🙎‍♂️ Pasien'!G:V,2,FALSE),"")</f>
        <v>H5325012017</v>
      </c>
      <c r="N697" s="103">
        <f>IFNA(VLOOKUP(L697,'🙎‍♂️ Pasien'!G:L,3,FALSE),"")</f>
        <v>72</v>
      </c>
      <c r="O697" s="104" t="str">
        <f>IFNA(VLOOKUP(L697,'🙎‍♂️ Pasien'!G:V,6,FALSE),"")</f>
        <v>LAKI-LAKI</v>
      </c>
      <c r="P697" s="104" t="str">
        <f>IFNA(VLOOKUP(L697,'🙎‍♂️ Pasien'!G:V,12,FALSE),"")</f>
        <v>ISLAM</v>
      </c>
      <c r="Q697" s="104" t="str">
        <f>IFNA(VLOOKUP(L697:L1508,'🙎‍♂️ Pasien'!G:V,13,FALSE),"")</f>
        <v>PENSIUN</v>
      </c>
      <c r="R697" s="104" t="str">
        <f t="array" ref="R697">ifna(xlookup(L697,'🙎‍♂️ Pasien'!$G$5:$G1508,'🙎‍♂️ Pasien'!$T$5:$T1508),"")</f>
        <v>Kaki terasa nyeri jika dibawa berdiri lama atau berjalan jauh</v>
      </c>
      <c r="S697" s="104" t="str">
        <f t="array" ref="S697">ifna(xlookup(L697,'🙎‍♂️ Pasien'!$G$5:$G1508,'🙎‍♂️ Pasien'!$U$5:$U1508),"")</f>
        <v>Tidak ada</v>
      </c>
      <c r="T697" s="97" t="s">
        <v>67</v>
      </c>
      <c r="U697" s="105" t="s">
        <v>60</v>
      </c>
      <c r="V697" s="101" t="s">
        <v>488</v>
      </c>
      <c r="W697" s="106" t="b">
        <v>1</v>
      </c>
      <c r="X697" s="107"/>
      <c r="Y697" s="108"/>
    </row>
    <row r="698" ht="22.5" customHeight="1">
      <c r="A698" s="96"/>
      <c r="B698" s="97" t="s">
        <v>85</v>
      </c>
      <c r="C698" s="98" t="str">
        <f t="array" ref="C698">IFNA(XLOOKUP(J698,'⚙️ Pengaturan'!$H$5:$H1508,'⚙️ Pengaturan'!$I$5:$I1508),"")</f>
        <v>TIM Y</v>
      </c>
      <c r="D698" s="97" t="s">
        <v>86</v>
      </c>
      <c r="E698" s="99">
        <v>45970.0</v>
      </c>
      <c r="F698" s="100" t="str">
        <f t="shared" si="1"/>
        <v>2025</v>
      </c>
      <c r="G698" s="100" t="str">
        <f t="shared" si="2"/>
        <v>11Nov</v>
      </c>
      <c r="H698" s="100" t="str">
        <f t="shared" si="3"/>
        <v>Minggu</v>
      </c>
      <c r="I698" s="97" t="s">
        <v>99</v>
      </c>
      <c r="J698" s="97" t="s">
        <v>91</v>
      </c>
      <c r="K698" s="97" t="s">
        <v>63</v>
      </c>
      <c r="L698" s="101" t="s">
        <v>397</v>
      </c>
      <c r="M698" s="102" t="str">
        <f>IFNA(VLOOKUP(L698,'🙎‍♂️ Pasien'!G:V,2,FALSE),"")</f>
        <v>R1325084646</v>
      </c>
      <c r="N698" s="103">
        <f>IFNA(VLOOKUP(L698,'🙎‍♂️ Pasien'!G:L,3,FALSE),"")</f>
        <v>13</v>
      </c>
      <c r="O698" s="104" t="str">
        <f>IFNA(VLOOKUP(L698,'🙎‍♂️ Pasien'!G:V,6,FALSE),"")</f>
        <v>LAKI-LAKI</v>
      </c>
      <c r="P698" s="104" t="str">
        <f>IFNA(VLOOKUP(L698,'🙎‍♂️ Pasien'!G:V,12,FALSE),"")</f>
        <v>ISLAM</v>
      </c>
      <c r="Q698" s="104" t="str">
        <f>IFNA(VLOOKUP(L698:L1508,'🙎‍♂️ Pasien'!G:V,13,FALSE),"")</f>
        <v>PELAJAR SMPIT AL MUMTAZ</v>
      </c>
      <c r="R698" s="104" t="str">
        <f t="array" ref="R698">ifna(xlookup(L698,'🙎‍♂️ Pasien'!$G$5:$G1508,'🙎‍♂️ Pasien'!$T$5:$T1508),"")</f>
        <v>KAKI TERKILIR</v>
      </c>
      <c r="S698" s="104" t="str">
        <f t="array" ref="S698">ifna(xlookup(L698,'🙎‍♂️ Pasien'!$G$5:$G1508,'🙎‍♂️ Pasien'!$U$5:$U1508),"")</f>
        <v>FUTSAL</v>
      </c>
      <c r="T698" s="97" t="s">
        <v>59</v>
      </c>
      <c r="U698" s="105">
        <v>5.0</v>
      </c>
      <c r="V698" s="101" t="s">
        <v>125</v>
      </c>
      <c r="W698" s="106" t="b">
        <v>1</v>
      </c>
      <c r="X698" s="107"/>
      <c r="Y698" s="108"/>
    </row>
    <row r="699" ht="22.5" customHeight="1">
      <c r="A699" s="96"/>
      <c r="B699" s="97" t="s">
        <v>53</v>
      </c>
      <c r="C699" s="98" t="str">
        <f t="array" ref="C699">IFNA(XLOOKUP(J699,'⚙️ Pengaturan'!$H$5:$H1508,'⚙️ Pengaturan'!$I$5:$I1508),"")</f>
        <v>MANAJEMEN</v>
      </c>
      <c r="D699" s="97" t="s">
        <v>54</v>
      </c>
      <c r="E699" s="99">
        <v>45971.0</v>
      </c>
      <c r="F699" s="100" t="str">
        <f t="shared" si="1"/>
        <v>2025</v>
      </c>
      <c r="G699" s="100" t="str">
        <f t="shared" si="2"/>
        <v>11Nov</v>
      </c>
      <c r="H699" s="100" t="str">
        <f t="shared" si="3"/>
        <v>Senin</v>
      </c>
      <c r="I699" s="97" t="s">
        <v>55</v>
      </c>
      <c r="J699" s="97" t="s">
        <v>101</v>
      </c>
      <c r="K699" s="97" t="s">
        <v>63</v>
      </c>
      <c r="L699" s="101" t="s">
        <v>102</v>
      </c>
      <c r="M699" s="102" t="str">
        <f>IFNA(VLOOKUP(L699,'🙎‍♂️ Pasien'!G:V,2,FALSE),"")</f>
        <v>B8525075344</v>
      </c>
      <c r="N699" s="103">
        <f>IFNA(VLOOKUP(L699,'🙎‍♂️ Pasien'!G:L,3,FALSE),"")</f>
        <v>40</v>
      </c>
      <c r="O699" s="104" t="str">
        <f>IFNA(VLOOKUP(L699,'🙎‍♂️ Pasien'!G:V,6,FALSE),"")</f>
        <v>LAKI-LAKI</v>
      </c>
      <c r="P699" s="104" t="str">
        <f>IFNA(VLOOKUP(L699,'🙎‍♂️ Pasien'!G:V,12,FALSE),"")</f>
        <v>ISLAM</v>
      </c>
      <c r="Q699" s="104" t="str">
        <f>IFNA(VLOOKUP(L699:L1508,'🙎‍♂️ Pasien'!G:V,13,FALSE),"")</f>
        <v>WIRAUSAHA</v>
      </c>
      <c r="R699" s="104" t="str">
        <f t="array" ref="R699">ifna(xlookup(L699,'🙎‍♂️ Pasien'!$G$5:$G1508,'🙎‍♂️ Pasien'!$T$5:$T1508),"")</f>
        <v>NYERI LUTUT</v>
      </c>
      <c r="S699" s="104" t="str">
        <f t="array" ref="S699">ifna(xlookup(L699,'🙎‍♂️ Pasien'!$G$5:$G1508,'🙎‍♂️ Pasien'!$U$5:$U1508),"")</f>
        <v>JOGGING</v>
      </c>
      <c r="T699" s="97" t="s">
        <v>67</v>
      </c>
      <c r="U699" s="105">
        <v>10.0</v>
      </c>
      <c r="V699" s="101" t="s">
        <v>489</v>
      </c>
      <c r="W699" s="106" t="b">
        <v>1</v>
      </c>
      <c r="X699" s="107"/>
      <c r="Y699" s="108"/>
    </row>
    <row r="700" ht="22.5" customHeight="1">
      <c r="A700" s="96"/>
      <c r="B700" s="97" t="s">
        <v>53</v>
      </c>
      <c r="C700" s="98" t="str">
        <f t="array" ref="C700">IFNA(XLOOKUP(J700,'⚙️ Pengaturan'!$H$5:$H1508,'⚙️ Pengaturan'!$I$5:$I1508),"")</f>
        <v>TIM Y</v>
      </c>
      <c r="D700" s="97" t="s">
        <v>54</v>
      </c>
      <c r="E700" s="99">
        <v>45971.0</v>
      </c>
      <c r="F700" s="100" t="str">
        <f t="shared" si="1"/>
        <v>2025</v>
      </c>
      <c r="G700" s="100" t="str">
        <f t="shared" si="2"/>
        <v>11Nov</v>
      </c>
      <c r="H700" s="100" t="str">
        <f t="shared" si="3"/>
        <v>Senin</v>
      </c>
      <c r="I700" s="97" t="s">
        <v>55</v>
      </c>
      <c r="J700" s="97" t="s">
        <v>91</v>
      </c>
      <c r="K700" s="97" t="s">
        <v>63</v>
      </c>
      <c r="L700" s="101" t="s">
        <v>407</v>
      </c>
      <c r="M700" s="102" t="str">
        <f>IFNA(VLOOKUP(L700,'🙎‍♂️ Pasien'!G:V,2,FALSE),"")</f>
        <v>D8225100100</v>
      </c>
      <c r="N700" s="103">
        <f>IFNA(VLOOKUP(L700,'🙎‍♂️ Pasien'!G:L,3,FALSE),"")</f>
        <v>43</v>
      </c>
      <c r="O700" s="104" t="str">
        <f>IFNA(VLOOKUP(L700,'🙎‍♂️ Pasien'!G:V,6,FALSE),"")</f>
        <v>PEREMPUAN</v>
      </c>
      <c r="P700" s="104" t="str">
        <f>IFNA(VLOOKUP(L700,'🙎‍♂️ Pasien'!G:V,12,FALSE),"")</f>
        <v>KATOLIK</v>
      </c>
      <c r="Q700" s="104" t="str">
        <f>IFNA(VLOOKUP(L700:L1508,'🙎‍♂️ Pasien'!G:V,13,FALSE),"")</f>
        <v>IBU RUMAH TANGGA</v>
      </c>
      <c r="R700" s="104" t="str">
        <f t="array" ref="R700">ifna(xlookup(L700,'🙎‍♂️ Pasien'!$G$5:$G1508,'🙎‍♂️ Pasien'!$T$5:$T1508),"")</f>
        <v>SAKIT DI BAHU DAN LENGAN SEBELAH KIRI</v>
      </c>
      <c r="S700" s="104" t="str">
        <f t="array" ref="S700">ifna(xlookup(L700,'🙎‍♂️ Pasien'!$G$5:$G1508,'🙎‍♂️ Pasien'!$U$5:$U1508),"")</f>
        <v>SERING MEMEGANG HAPE DALAM POSISI TIDUR</v>
      </c>
      <c r="T700" s="97" t="s">
        <v>59</v>
      </c>
      <c r="U700" s="105">
        <v>1.0</v>
      </c>
      <c r="V700" s="101"/>
      <c r="W700" s="106" t="b">
        <v>1</v>
      </c>
      <c r="X700" s="107"/>
      <c r="Y700" s="108"/>
    </row>
    <row r="701" ht="22.5" customHeight="1">
      <c r="A701" s="96"/>
      <c r="B701" s="97" t="s">
        <v>53</v>
      </c>
      <c r="C701" s="98" t="str">
        <f t="array" ref="C701">IFNA(XLOOKUP(J701,'⚙️ Pengaturan'!$H$5:$H1508,'⚙️ Pengaturan'!$I$5:$I1508),"")</f>
        <v>TIM Y</v>
      </c>
      <c r="D701" s="97" t="s">
        <v>54</v>
      </c>
      <c r="E701" s="99">
        <v>45971.0</v>
      </c>
      <c r="F701" s="100" t="str">
        <f t="shared" si="1"/>
        <v>2025</v>
      </c>
      <c r="G701" s="100" t="str">
        <f t="shared" si="2"/>
        <v>11Nov</v>
      </c>
      <c r="H701" s="100" t="str">
        <f t="shared" si="3"/>
        <v>Senin</v>
      </c>
      <c r="I701" s="97" t="s">
        <v>65</v>
      </c>
      <c r="J701" s="97" t="s">
        <v>91</v>
      </c>
      <c r="K701" s="97" t="s">
        <v>63</v>
      </c>
      <c r="L701" s="101" t="s">
        <v>108</v>
      </c>
      <c r="M701" s="102" t="str">
        <f>IFNA(VLOOKUP(L701,'🙎‍♂️ Pasien'!G:V,2,FALSE),"")</f>
        <v>A5625092572</v>
      </c>
      <c r="N701" s="103">
        <f>IFNA(VLOOKUP(L701,'🙎‍♂️ Pasien'!G:L,3,FALSE),"")</f>
        <v>69</v>
      </c>
      <c r="O701" s="104" t="str">
        <f>IFNA(VLOOKUP(L701,'🙎‍♂️ Pasien'!G:V,6,FALSE),"")</f>
        <v>PEREMPUAN</v>
      </c>
      <c r="P701" s="104" t="str">
        <f>IFNA(VLOOKUP(L701,'🙎‍♂️ Pasien'!G:V,12,FALSE),"")</f>
        <v>ISLAM</v>
      </c>
      <c r="Q701" s="104" t="str">
        <f>IFNA(VLOOKUP(L701:L1508,'🙎‍♂️ Pasien'!G:V,13,FALSE),"")</f>
        <v>IRT</v>
      </c>
      <c r="R701" s="104" t="str">
        <f t="array" ref="R701">ifna(xlookup(L701,'🙎‍♂️ Pasien'!$G$5:$G1508,'🙎‍♂️ Pasien'!$T$5:$T1508),"")</f>
        <v>PINGGANG DAN KAKI</v>
      </c>
      <c r="S701" s="104" t="str">
        <f t="array" ref="S701">ifna(xlookup(L701,'🙎‍♂️ Pasien'!$G$5:$G1508,'🙎‍♂️ Pasien'!$U$5:$U1508),"")</f>
        <v>-</v>
      </c>
      <c r="T701" s="97" t="s">
        <v>59</v>
      </c>
      <c r="U701" s="105">
        <v>1.0</v>
      </c>
      <c r="V701" s="101" t="s">
        <v>256</v>
      </c>
      <c r="W701" s="106" t="b">
        <v>1</v>
      </c>
      <c r="X701" s="107"/>
      <c r="Y701" s="108"/>
    </row>
    <row r="702" ht="22.5" customHeight="1">
      <c r="A702" s="96"/>
      <c r="B702" s="97" t="s">
        <v>53</v>
      </c>
      <c r="C702" s="98" t="str">
        <f t="array" ref="C702">IFNA(XLOOKUP(J702,'⚙️ Pengaturan'!$H$5:$H1508,'⚙️ Pengaturan'!$I$5:$I1508),"")</f>
        <v>TIM Y</v>
      </c>
      <c r="D702" s="97" t="s">
        <v>54</v>
      </c>
      <c r="E702" s="99">
        <v>45971.0</v>
      </c>
      <c r="F702" s="100" t="str">
        <f t="shared" si="1"/>
        <v>2025</v>
      </c>
      <c r="G702" s="100" t="str">
        <f t="shared" si="2"/>
        <v>11Nov</v>
      </c>
      <c r="H702" s="100" t="str">
        <f t="shared" si="3"/>
        <v>Senin</v>
      </c>
      <c r="I702" s="97" t="s">
        <v>65</v>
      </c>
      <c r="J702" s="97" t="s">
        <v>107</v>
      </c>
      <c r="K702" s="97" t="s">
        <v>57</v>
      </c>
      <c r="L702" s="101" t="s">
        <v>490</v>
      </c>
      <c r="M702" s="102" t="str">
        <f>IFNA(VLOOKUP(L702,'🙎‍♂️ Pasien'!G:V,2,FALSE),"")</f>
        <v>R1125017999</v>
      </c>
      <c r="N702" s="103">
        <f>IFNA(VLOOKUP(L702,'🙎‍♂️ Pasien'!G:L,3,FALSE),"")</f>
        <v>14</v>
      </c>
      <c r="O702" s="104" t="str">
        <f>IFNA(VLOOKUP(L702,'🙎‍♂️ Pasien'!G:V,6,FALSE),"")</f>
        <v>LAKI-LAKI</v>
      </c>
      <c r="P702" s="104" t="str">
        <f>IFNA(VLOOKUP(L702,'🙎‍♂️ Pasien'!G:V,12,FALSE),"")</f>
        <v>ISLAM</v>
      </c>
      <c r="Q702" s="104" t="str">
        <f>IFNA(VLOOKUP(L702:L1508,'🙎‍♂️ Pasien'!G:V,13,FALSE),"")</f>
        <v>Siswa</v>
      </c>
      <c r="R702" s="104" t="str">
        <f t="array" ref="R702">ifna(xlookup(L702,'🙎‍♂️ Pasien'!$G$5:$G1508,'🙎‍♂️ Pasien'!$T$5:$T1508),"")</f>
        <v>Lutut sakit setelah main basket</v>
      </c>
      <c r="S702" s="104" t="str">
        <f t="array" ref="S702">ifna(xlookup(L702,'🙎‍♂️ Pasien'!$G$5:$G1508,'🙎‍♂️ Pasien'!$U$5:$U1508),"")</f>
        <v>Futsal, basket</v>
      </c>
      <c r="T702" s="97" t="s">
        <v>59</v>
      </c>
      <c r="U702" s="105" t="s">
        <v>60</v>
      </c>
      <c r="V702" s="101"/>
      <c r="W702" s="106" t="b">
        <v>1</v>
      </c>
      <c r="X702" s="107"/>
      <c r="Y702" s="108"/>
    </row>
    <row r="703" ht="22.5" customHeight="1">
      <c r="A703" s="96"/>
      <c r="B703" s="97" t="s">
        <v>53</v>
      </c>
      <c r="C703" s="98" t="str">
        <f t="array" ref="C703">IFNA(XLOOKUP(J703,'⚙️ Pengaturan'!$H$5:$H1508,'⚙️ Pengaturan'!$I$5:$I1508),"")</f>
        <v>TIM Y</v>
      </c>
      <c r="D703" s="97" t="s">
        <v>54</v>
      </c>
      <c r="E703" s="99">
        <v>45971.0</v>
      </c>
      <c r="F703" s="100" t="str">
        <f t="shared" si="1"/>
        <v>2025</v>
      </c>
      <c r="G703" s="100" t="str">
        <f t="shared" si="2"/>
        <v>11Nov</v>
      </c>
      <c r="H703" s="100" t="str">
        <f t="shared" si="3"/>
        <v>Senin</v>
      </c>
      <c r="I703" s="97" t="s">
        <v>74</v>
      </c>
      <c r="J703" s="97" t="s">
        <v>91</v>
      </c>
      <c r="K703" s="97" t="s">
        <v>63</v>
      </c>
      <c r="L703" s="101" t="s">
        <v>302</v>
      </c>
      <c r="M703" s="102" t="str">
        <f>IFNA(VLOOKUP(L703,'🙎‍♂️ Pasien'!G:V,2,FALSE),"")</f>
        <v>A9425105994</v>
      </c>
      <c r="N703" s="103">
        <f>IFNA(VLOOKUP(L703,'🙎‍♂️ Pasien'!G:L,3,FALSE),"")</f>
        <v>32</v>
      </c>
      <c r="O703" s="104" t="str">
        <f>IFNA(VLOOKUP(L703,'🙎‍♂️ Pasien'!G:V,6,FALSE),"")</f>
        <v>LAKI-LAKI</v>
      </c>
      <c r="P703" s="104" t="str">
        <f>IFNA(VLOOKUP(L703,'🙎‍♂️ Pasien'!G:V,12,FALSE),"")</f>
        <v>ISLAM</v>
      </c>
      <c r="Q703" s="104" t="str">
        <f>IFNA(VLOOKUP(L703:L1508,'🙎‍♂️ Pasien'!G:V,13,FALSE),"")</f>
        <v>KARYAWAN SWASTA</v>
      </c>
      <c r="R703" s="104" t="str">
        <f t="array" ref="R703">ifna(xlookup(L703,'🙎‍♂️ Pasien'!$G$5:$G1508,'🙎‍♂️ Pasien'!$T$5:$T1508),"")</f>
        <v>LUTUT</v>
      </c>
      <c r="S703" s="104" t="str">
        <f t="array" ref="S703">ifna(xlookup(L703,'🙎‍♂️ Pasien'!$G$5:$G1508,'🙎‍♂️ Pasien'!$U$5:$U1508),"")</f>
        <v>OLAGRAGA</v>
      </c>
      <c r="T703" s="97" t="s">
        <v>59</v>
      </c>
      <c r="U703" s="105">
        <v>4.0</v>
      </c>
      <c r="V703" s="101"/>
      <c r="W703" s="106" t="b">
        <v>1</v>
      </c>
      <c r="X703" s="107"/>
      <c r="Y703" s="108"/>
    </row>
    <row r="704" ht="22.5" customHeight="1">
      <c r="A704" s="96"/>
      <c r="B704" s="97" t="s">
        <v>53</v>
      </c>
      <c r="C704" s="98" t="str">
        <f t="array" ref="C704">IFNA(XLOOKUP(J704,'⚙️ Pengaturan'!$H$5:$H1508,'⚙️ Pengaturan'!$I$5:$I1508),"")</f>
        <v>TIM Y</v>
      </c>
      <c r="D704" s="97" t="s">
        <v>54</v>
      </c>
      <c r="E704" s="99">
        <v>45971.0</v>
      </c>
      <c r="F704" s="100" t="str">
        <f t="shared" si="1"/>
        <v>2025</v>
      </c>
      <c r="G704" s="100" t="str">
        <f t="shared" si="2"/>
        <v>11Nov</v>
      </c>
      <c r="H704" s="100" t="str">
        <f t="shared" si="3"/>
        <v>Senin</v>
      </c>
      <c r="I704" s="97" t="s">
        <v>76</v>
      </c>
      <c r="J704" s="97" t="s">
        <v>91</v>
      </c>
      <c r="K704" s="97" t="s">
        <v>63</v>
      </c>
      <c r="L704" s="101" t="s">
        <v>442</v>
      </c>
      <c r="M704" s="102" t="str">
        <f>IFNA(VLOOKUP(L704,'🙎‍♂️ Pasien'!G:V,2,FALSE),"")</f>
        <v>M0524020310</v>
      </c>
      <c r="N704" s="103">
        <f>IFNA(VLOOKUP(L704,'🙎‍♂️ Pasien'!G:L,3,FALSE),"")</f>
        <v>20</v>
      </c>
      <c r="O704" s="104" t="str">
        <f>IFNA(VLOOKUP(L704,'🙎‍♂️ Pasien'!G:V,6,FALSE),"")</f>
        <v>LAKI-LAKI</v>
      </c>
      <c r="P704" s="104" t="str">
        <f>IFNA(VLOOKUP(L704,'🙎‍♂️ Pasien'!G:V,12,FALSE),"")</f>
        <v>ISLAM</v>
      </c>
      <c r="Q704" s="104" t="str">
        <f>IFNA(VLOOKUP(L704:L1508,'🙎‍♂️ Pasien'!G:V,13,FALSE),"")</f>
        <v>PELAJAR/MAHASISWA</v>
      </c>
      <c r="R704" s="104" t="str">
        <f t="array" ref="R704">ifna(xlookup(L704,'🙎‍♂️ Pasien'!$G$5:$G1508,'🙎‍♂️ Pasien'!$T$5:$T1508),"")</f>
        <v>NYERI/NGILU</v>
      </c>
      <c r="S704" s="104" t="str">
        <f t="array" ref="S704">ifna(xlookup(L704,'🙎‍♂️ Pasien'!$G$5:$G1508,'🙎‍♂️ Pasien'!$U$5:$U1508),"")</f>
        <v>FUTSAL</v>
      </c>
      <c r="T704" s="97" t="s">
        <v>59</v>
      </c>
      <c r="U704" s="105">
        <v>4.0</v>
      </c>
      <c r="V704" s="101"/>
      <c r="W704" s="106" t="b">
        <v>1</v>
      </c>
      <c r="X704" s="107"/>
      <c r="Y704" s="108"/>
    </row>
    <row r="705" ht="22.5" customHeight="1">
      <c r="A705" s="96"/>
      <c r="B705" s="97" t="s">
        <v>85</v>
      </c>
      <c r="C705" s="98" t="str">
        <f t="array" ref="C705">IFNA(XLOOKUP(J705,'⚙️ Pengaturan'!$H$5:$H1508,'⚙️ Pengaturan'!$I$5:$I1508),"")</f>
        <v>TIM Y</v>
      </c>
      <c r="D705" s="97" t="s">
        <v>86</v>
      </c>
      <c r="E705" s="99">
        <v>45971.0</v>
      </c>
      <c r="F705" s="100" t="str">
        <f t="shared" si="1"/>
        <v>2025</v>
      </c>
      <c r="G705" s="100" t="str">
        <f t="shared" si="2"/>
        <v>11Nov</v>
      </c>
      <c r="H705" s="100" t="str">
        <f t="shared" si="3"/>
        <v>Senin</v>
      </c>
      <c r="I705" s="97" t="s">
        <v>87</v>
      </c>
      <c r="J705" s="97" t="s">
        <v>56</v>
      </c>
      <c r="K705" s="97" t="s">
        <v>63</v>
      </c>
      <c r="L705" s="101" t="s">
        <v>119</v>
      </c>
      <c r="M705" s="102" t="str">
        <f>IFNA(VLOOKUP(L705,'🙎‍♂️ Pasien'!G:V,2,FALSE),"")</f>
        <v>H4623015667</v>
      </c>
      <c r="N705" s="103">
        <f>IFNA(VLOOKUP(L705,'🙎‍♂️ Pasien'!G:L,3,FALSE),"")</f>
        <v>80</v>
      </c>
      <c r="O705" s="104" t="str">
        <f>IFNA(VLOOKUP(L705,'🙎‍♂️ Pasien'!G:V,6,FALSE),"")</f>
        <v>LAKI-LAKI</v>
      </c>
      <c r="P705" s="104" t="str">
        <f>IFNA(VLOOKUP(L705,'🙎‍♂️ Pasien'!G:V,12,FALSE),"")</f>
        <v>ISLAM</v>
      </c>
      <c r="Q705" s="104" t="str">
        <f>IFNA(VLOOKUP(L705:L1508,'🙎‍♂️ Pasien'!G:V,13,FALSE),"")</f>
        <v>PENSIUN</v>
      </c>
      <c r="R705" s="104" t="str">
        <f t="array" ref="R705">ifna(xlookup(L705,'🙎‍♂️ Pasien'!$G$5:$G1508,'🙎‍♂️ Pasien'!$T$5:$T1508),"")</f>
        <v>STROKE</v>
      </c>
      <c r="S705" s="104" t="str">
        <f t="array" ref="S705">ifna(xlookup(L705,'🙎‍♂️ Pasien'!$G$5:$G1508,'🙎‍♂️ Pasien'!$U$5:$U1508),"")</f>
        <v/>
      </c>
      <c r="T705" s="97" t="s">
        <v>59</v>
      </c>
      <c r="U705" s="105">
        <v>9.0</v>
      </c>
      <c r="V705" s="101"/>
      <c r="W705" s="106" t="b">
        <v>1</v>
      </c>
      <c r="X705" s="107"/>
      <c r="Y705" s="108"/>
    </row>
    <row r="706" ht="22.5" customHeight="1">
      <c r="A706" s="96"/>
      <c r="B706" s="97" t="s">
        <v>85</v>
      </c>
      <c r="C706" s="98" t="str">
        <f t="array" ref="C706">IFNA(XLOOKUP(J706,'⚙️ Pengaturan'!$H$5:$H1508,'⚙️ Pengaturan'!$I$5:$I1508),"")</f>
        <v>TIM A</v>
      </c>
      <c r="D706" s="97" t="s">
        <v>86</v>
      </c>
      <c r="E706" s="99">
        <v>45971.0</v>
      </c>
      <c r="F706" s="100" t="str">
        <f t="shared" si="1"/>
        <v>2025</v>
      </c>
      <c r="G706" s="100" t="str">
        <f t="shared" si="2"/>
        <v>11Nov</v>
      </c>
      <c r="H706" s="100" t="str">
        <f t="shared" si="3"/>
        <v>Senin</v>
      </c>
      <c r="I706" s="97" t="s">
        <v>87</v>
      </c>
      <c r="J706" s="97" t="s">
        <v>79</v>
      </c>
      <c r="K706" s="97" t="s">
        <v>63</v>
      </c>
      <c r="L706" s="101" t="s">
        <v>350</v>
      </c>
      <c r="M706" s="102" t="str">
        <f>IFNA(VLOOKUP(L706,'🙎‍♂️ Pasien'!G:V,2,FALSE),"")</f>
        <v>I8025109996</v>
      </c>
      <c r="N706" s="103">
        <f>IFNA(VLOOKUP(L706,'🙎‍♂️ Pasien'!G:L,3,FALSE),"")</f>
        <v>45</v>
      </c>
      <c r="O706" s="104" t="str">
        <f>IFNA(VLOOKUP(L706,'🙎‍♂️ Pasien'!G:V,6,FALSE),"")</f>
        <v>PEREMPUAN</v>
      </c>
      <c r="P706" s="104" t="str">
        <f>IFNA(VLOOKUP(L706,'🙎‍♂️ Pasien'!G:V,12,FALSE),"")</f>
        <v>ISLAM</v>
      </c>
      <c r="Q706" s="104" t="str">
        <f>IFNA(VLOOKUP(L706:L1508,'🙎‍♂️ Pasien'!G:V,13,FALSE),"")</f>
        <v>WIRASWASTA</v>
      </c>
      <c r="R706" s="104" t="str">
        <f t="array" ref="R706">ifna(xlookup(L706,'🙎‍♂️ Pasien'!$G$5:$G1508,'🙎‍♂️ Pasien'!$T$5:$T1508),"")</f>
        <v>NYERI KEPALA TIPE TEGANG DAN TANGAN SUKA KESEMUTAN</v>
      </c>
      <c r="S706" s="104" t="str">
        <f t="array" ref="S706">ifna(xlookup(L706,'🙎‍♂️ Pasien'!$G$5:$G1508,'🙎‍♂️ Pasien'!$U$5:$U1508),"")</f>
        <v>JIKA BAWA MOTOR DAN TIDUR MENGHADAP KE KANAN</v>
      </c>
      <c r="T706" s="97" t="s">
        <v>67</v>
      </c>
      <c r="U706" s="105" t="s">
        <v>60</v>
      </c>
      <c r="V706" s="101" t="s">
        <v>137</v>
      </c>
      <c r="W706" s="106" t="b">
        <v>1</v>
      </c>
      <c r="X706" s="107"/>
      <c r="Y706" s="108"/>
    </row>
    <row r="707" ht="22.5" customHeight="1">
      <c r="A707" s="96"/>
      <c r="B707" s="97" t="s">
        <v>85</v>
      </c>
      <c r="C707" s="98" t="str">
        <f t="array" ref="C707">IFNA(XLOOKUP(J707,'⚙️ Pengaturan'!$H$5:$H1508,'⚙️ Pengaturan'!$I$5:$I1508),"")</f>
        <v>TIM A</v>
      </c>
      <c r="D707" s="97" t="s">
        <v>86</v>
      </c>
      <c r="E707" s="99">
        <v>45971.0</v>
      </c>
      <c r="F707" s="100" t="str">
        <f t="shared" si="1"/>
        <v>2025</v>
      </c>
      <c r="G707" s="100" t="str">
        <f t="shared" si="2"/>
        <v>11Nov</v>
      </c>
      <c r="H707" s="100" t="str">
        <f t="shared" si="3"/>
        <v>Senin</v>
      </c>
      <c r="I707" s="97" t="s">
        <v>93</v>
      </c>
      <c r="J707" s="97" t="s">
        <v>79</v>
      </c>
      <c r="K707" s="97" t="s">
        <v>69</v>
      </c>
      <c r="L707" s="101" t="s">
        <v>475</v>
      </c>
      <c r="M707" s="102" t="str">
        <f>IFNA(VLOOKUP(L707,'🙎‍♂️ Pasien'!G:V,2,FALSE),"")</f>
        <v>C0525114334</v>
      </c>
      <c r="N707" s="103">
        <f>IFNA(VLOOKUP(L707,'🙎‍♂️ Pasien'!G:L,3,FALSE),"")</f>
        <v>20</v>
      </c>
      <c r="O707" s="104" t="str">
        <f>IFNA(VLOOKUP(L707,'🙎‍♂️ Pasien'!G:V,6,FALSE),"")</f>
        <v>PEREMPUAN</v>
      </c>
      <c r="P707" s="104" t="str">
        <f>IFNA(VLOOKUP(L707,'🙎‍♂️ Pasien'!G:V,12,FALSE),"")</f>
        <v>ISLAM</v>
      </c>
      <c r="Q707" s="104" t="str">
        <f>IFNA(VLOOKUP(L707:L1508,'🙎‍♂️ Pasien'!G:V,13,FALSE),"")</f>
        <v>PELAJAR</v>
      </c>
      <c r="R707" s="104" t="str">
        <f t="array" ref="R707">ifna(xlookup(L707,'🙎‍♂️ Pasien'!$G$5:$G1508,'🙎‍♂️ Pasien'!$T$5:$T1508),"")</f>
        <v>PEGAL DI AREA PUNGGUNG, POSTUR BADAN BUNGKUK, NYERI DI AREA KAKI, TULANG KLAVIKULA TIDAK SEJAJAR, PANJANG KAKI PANJANG SEBELAH</v>
      </c>
      <c r="S707" s="104" t="str">
        <f t="array" ref="S707">ifna(xlookup(L707,'🙎‍♂️ Pasien'!$G$5:$G1508,'🙎‍♂️ Pasien'!$U$5:$U1508),"")</f>
        <v>BEROLAHRAGA</v>
      </c>
      <c r="T707" s="97" t="s">
        <v>67</v>
      </c>
      <c r="U707" s="105" t="s">
        <v>60</v>
      </c>
      <c r="V707" s="101" t="s">
        <v>491</v>
      </c>
      <c r="W707" s="106" t="b">
        <v>1</v>
      </c>
      <c r="X707" s="107"/>
      <c r="Y707" s="108"/>
    </row>
    <row r="708" ht="22.5" customHeight="1">
      <c r="A708" s="96"/>
      <c r="B708" s="97" t="s">
        <v>85</v>
      </c>
      <c r="C708" s="98" t="str">
        <f t="array" ref="C708">IFNA(XLOOKUP(J708,'⚙️ Pengaturan'!$H$5:$H1508,'⚙️ Pengaturan'!$I$5:$I1508),"")</f>
        <v>TIM A</v>
      </c>
      <c r="D708" s="97" t="s">
        <v>86</v>
      </c>
      <c r="E708" s="99">
        <v>45971.0</v>
      </c>
      <c r="F708" s="100" t="str">
        <f t="shared" si="1"/>
        <v>2025</v>
      </c>
      <c r="G708" s="100" t="str">
        <f t="shared" si="2"/>
        <v>11Nov</v>
      </c>
      <c r="H708" s="100" t="str">
        <f t="shared" si="3"/>
        <v>Senin</v>
      </c>
      <c r="I708" s="97" t="s">
        <v>93</v>
      </c>
      <c r="J708" s="97" t="s">
        <v>72</v>
      </c>
      <c r="K708" s="97" t="s">
        <v>63</v>
      </c>
      <c r="L708" s="101" t="s">
        <v>129</v>
      </c>
      <c r="M708" s="102" t="str">
        <f>IFNA(VLOOKUP(L708,'🙎‍♂️ Pasien'!G:V,2,FALSE),"")</f>
        <v>D1025091558</v>
      </c>
      <c r="N708" s="103">
        <f>IFNA(VLOOKUP(L708,'🙎‍♂️ Pasien'!G:L,3,FALSE),"")</f>
        <v>16</v>
      </c>
      <c r="O708" s="104" t="str">
        <f>IFNA(VLOOKUP(L708,'🙎‍♂️ Pasien'!G:V,6,FALSE),"")</f>
        <v>LAKI-LAKI</v>
      </c>
      <c r="P708" s="104" t="str">
        <f>IFNA(VLOOKUP(L708,'🙎‍♂️ Pasien'!G:V,12,FALSE),"")</f>
        <v>PROTESTAN</v>
      </c>
      <c r="Q708" s="104" t="str">
        <f>IFNA(VLOOKUP(L708:L1508,'🙎‍♂️ Pasien'!G:V,13,FALSE),"")</f>
        <v>MASI SEKOLAH</v>
      </c>
      <c r="R708" s="104" t="str">
        <f t="array" ref="R708">ifna(xlookup(L708,'🙎‍♂️ Pasien'!$G$5:$G1508,'🙎‍♂️ Pasien'!$T$5:$T1508),"")</f>
        <v>SAKIT DI BAGIAN LUTUT</v>
      </c>
      <c r="S708" s="104" t="str">
        <f t="array" ref="S708">ifna(xlookup(L708,'🙎‍♂️ Pasien'!$G$5:$G1508,'🙎‍♂️ Pasien'!$U$5:$U1508),"")</f>
        <v>BASKET</v>
      </c>
      <c r="T708" s="97" t="s">
        <v>67</v>
      </c>
      <c r="U708" s="105">
        <v>4.0</v>
      </c>
      <c r="V708" s="101" t="s">
        <v>492</v>
      </c>
      <c r="W708" s="106" t="b">
        <v>1</v>
      </c>
      <c r="X708" s="107"/>
      <c r="Y708" s="108"/>
    </row>
    <row r="709" ht="22.5" customHeight="1">
      <c r="A709" s="96"/>
      <c r="B709" s="97" t="s">
        <v>85</v>
      </c>
      <c r="C709" s="98" t="str">
        <f t="array" ref="C709">IFNA(XLOOKUP(J709,'⚙️ Pengaturan'!$H$5:$H1508,'⚙️ Pengaturan'!$I$5:$I1508),"")</f>
        <v>TIM Y</v>
      </c>
      <c r="D709" s="97" t="s">
        <v>86</v>
      </c>
      <c r="E709" s="99">
        <v>45971.0</v>
      </c>
      <c r="F709" s="100" t="str">
        <f t="shared" si="1"/>
        <v>2025</v>
      </c>
      <c r="G709" s="100" t="str">
        <f t="shared" si="2"/>
        <v>11Nov</v>
      </c>
      <c r="H709" s="100" t="str">
        <f t="shared" si="3"/>
        <v>Senin</v>
      </c>
      <c r="I709" s="97" t="s">
        <v>93</v>
      </c>
      <c r="J709" s="97" t="s">
        <v>56</v>
      </c>
      <c r="K709" s="97" t="s">
        <v>57</v>
      </c>
      <c r="L709" s="101" t="s">
        <v>493</v>
      </c>
      <c r="M709" s="102" t="str">
        <f>IFNA(VLOOKUP(L709,'🙎‍♂️ Pasien'!G:V,2,FALSE),"")</f>
        <v>W9725116553</v>
      </c>
      <c r="N709" s="103">
        <f>IFNA(VLOOKUP(L709,'🙎‍♂️ Pasien'!G:L,3,FALSE),"")</f>
        <v>28</v>
      </c>
      <c r="O709" s="104" t="str">
        <f>IFNA(VLOOKUP(L709,'🙎‍♂️ Pasien'!G:V,6,FALSE),"")</f>
        <v>LAKI-LAKI</v>
      </c>
      <c r="P709" s="104" t="str">
        <f>IFNA(VLOOKUP(L709,'🙎‍♂️ Pasien'!G:V,12,FALSE),"")</f>
        <v>PROTESTAN</v>
      </c>
      <c r="Q709" s="104" t="str">
        <f>IFNA(VLOOKUP(L709:L1508,'🙎‍♂️ Pasien'!G:V,13,FALSE),"")</f>
        <v>WIRASWASTA</v>
      </c>
      <c r="R709" s="104" t="str">
        <f t="array" ref="R709">ifna(xlookup(L709,'🙎‍♂️ Pasien'!$G$5:$G1508,'🙎‍♂️ Pasien'!$T$5:$T1508),"")</f>
        <v>LUTUT SAKIT</v>
      </c>
      <c r="S709" s="104" t="str">
        <f t="array" ref="S709">ifna(xlookup(L709,'🙎‍♂️ Pasien'!$G$5:$G1508,'🙎‍♂️ Pasien'!$U$5:$U1508),"")</f>
        <v>GYM DAN FUTSAL</v>
      </c>
      <c r="T709" s="97" t="s">
        <v>59</v>
      </c>
      <c r="U709" s="105" t="s">
        <v>60</v>
      </c>
      <c r="V709" s="101"/>
      <c r="W709" s="106" t="b">
        <v>1</v>
      </c>
      <c r="X709" s="107"/>
      <c r="Y709" s="108"/>
    </row>
    <row r="710" ht="22.5" customHeight="1">
      <c r="A710" s="96"/>
      <c r="B710" s="97" t="s">
        <v>85</v>
      </c>
      <c r="C710" s="98" t="str">
        <f t="array" ref="C710">IFNA(XLOOKUP(J710,'⚙️ Pengaturan'!$H$5:$H1508,'⚙️ Pengaturan'!$I$5:$I1508),"")</f>
        <v>TIM Y</v>
      </c>
      <c r="D710" s="97" t="s">
        <v>86</v>
      </c>
      <c r="E710" s="99">
        <v>45971.0</v>
      </c>
      <c r="F710" s="100" t="str">
        <f t="shared" si="1"/>
        <v>2025</v>
      </c>
      <c r="G710" s="100" t="str">
        <f t="shared" si="2"/>
        <v>11Nov</v>
      </c>
      <c r="H710" s="100" t="str">
        <f t="shared" si="3"/>
        <v>Senin</v>
      </c>
      <c r="I710" s="97" t="s">
        <v>95</v>
      </c>
      <c r="J710" s="97" t="s">
        <v>56</v>
      </c>
      <c r="K710" s="97" t="s">
        <v>69</v>
      </c>
      <c r="L710" s="101" t="s">
        <v>457</v>
      </c>
      <c r="M710" s="102" t="str">
        <f>IFNA(VLOOKUP(L710,'🙎‍♂️ Pasien'!G:V,2,FALSE),"")</f>
        <v>B0125112743</v>
      </c>
      <c r="N710" s="103">
        <f>IFNA(VLOOKUP(L710,'🙎‍♂️ Pasien'!G:L,3,FALSE),"")</f>
        <v>24</v>
      </c>
      <c r="O710" s="104" t="str">
        <f>IFNA(VLOOKUP(L710,'🙎‍♂️ Pasien'!G:V,6,FALSE),"")</f>
        <v>LAKI-LAKI</v>
      </c>
      <c r="P710" s="104" t="str">
        <f>IFNA(VLOOKUP(L710,'🙎‍♂️ Pasien'!G:V,12,FALSE),"")</f>
        <v>KATOLIK</v>
      </c>
      <c r="Q710" s="104" t="str">
        <f>IFNA(VLOOKUP(L710:L1508,'🙎‍♂️ Pasien'!G:V,13,FALSE),"")</f>
        <v>KARYAWAN SWASTA</v>
      </c>
      <c r="R710" s="104" t="str">
        <f t="array" ref="R710">ifna(xlookup(L710,'🙎‍♂️ Pasien'!$G$5:$G1508,'🙎‍♂️ Pasien'!$T$5:$T1508),"")</f>
        <v>NYERI PADA BAGIAN LUTUT</v>
      </c>
      <c r="S710" s="104" t="str">
        <f t="array" ref="S710">ifna(xlookup(L710,'🙎‍♂️ Pasien'!$G$5:$G1508,'🙎‍♂️ Pasien'!$U$5:$U1508),"")</f>
        <v>LARI</v>
      </c>
      <c r="T710" s="97" t="s">
        <v>59</v>
      </c>
      <c r="U710" s="105" t="s">
        <v>60</v>
      </c>
      <c r="V710" s="101"/>
      <c r="W710" s="106" t="b">
        <v>1</v>
      </c>
      <c r="X710" s="107"/>
      <c r="Y710" s="108"/>
    </row>
    <row r="711" ht="22.5" customHeight="1">
      <c r="A711" s="96"/>
      <c r="B711" s="97" t="s">
        <v>85</v>
      </c>
      <c r="C711" s="98" t="str">
        <f t="array" ref="C711">IFNA(XLOOKUP(J711,'⚙️ Pengaturan'!$H$5:$H1508,'⚙️ Pengaturan'!$I$5:$I1508),"")</f>
        <v>TIM A</v>
      </c>
      <c r="D711" s="97" t="s">
        <v>86</v>
      </c>
      <c r="E711" s="99">
        <v>45971.0</v>
      </c>
      <c r="F711" s="100" t="str">
        <f t="shared" si="1"/>
        <v>2025</v>
      </c>
      <c r="G711" s="100" t="str">
        <f t="shared" si="2"/>
        <v>11Nov</v>
      </c>
      <c r="H711" s="100" t="str">
        <f t="shared" si="3"/>
        <v>Senin</v>
      </c>
      <c r="I711" s="97" t="s">
        <v>97</v>
      </c>
      <c r="J711" s="97" t="s">
        <v>72</v>
      </c>
      <c r="K711" s="97" t="s">
        <v>69</v>
      </c>
      <c r="L711" s="101" t="s">
        <v>436</v>
      </c>
      <c r="M711" s="102" t="str">
        <f>IFNA(VLOOKUP(L711,'🙎‍♂️ Pasien'!G:V,2,FALSE),"")</f>
        <v>A9525119187</v>
      </c>
      <c r="N711" s="103">
        <f>IFNA(VLOOKUP(L711,'🙎‍♂️ Pasien'!G:L,3,FALSE),"")</f>
        <v>31</v>
      </c>
      <c r="O711" s="104" t="str">
        <f>IFNA(VLOOKUP(L711,'🙎‍♂️ Pasien'!G:V,6,FALSE),"")</f>
        <v>PEREMPUAN</v>
      </c>
      <c r="P711" s="104" t="str">
        <f>IFNA(VLOOKUP(L711,'🙎‍♂️ Pasien'!G:V,12,FALSE),"")</f>
        <v>ISLAM</v>
      </c>
      <c r="Q711" s="104" t="str">
        <f>IFNA(VLOOKUP(L711:L1508,'🙎‍♂️ Pasien'!G:V,13,FALSE),"")</f>
        <v>IRT</v>
      </c>
      <c r="R711" s="104" t="str">
        <f t="array" ref="R711">ifna(xlookup(L711,'🙎‍♂️ Pasien'!$G$5:$G1508,'🙎‍♂️ Pasien'!$T$5:$T1508),"")</f>
        <v>KEBAS TELAPAK KAKI DN TANGAN</v>
      </c>
      <c r="S711" s="104" t="str">
        <f t="array" ref="S711">ifna(xlookup(L711,'🙎‍♂️ Pasien'!$G$5:$G1508,'🙎‍♂️ Pasien'!$U$5:$U1508),"")</f>
        <v>MNGKIN PEKERJAAN YANG MENGANGKAT BARANG BERAT</v>
      </c>
      <c r="T711" s="97" t="s">
        <v>59</v>
      </c>
      <c r="U711" s="105" t="s">
        <v>60</v>
      </c>
      <c r="V711" s="101"/>
      <c r="W711" s="106" t="b">
        <v>1</v>
      </c>
      <c r="X711" s="107"/>
      <c r="Y711" s="108"/>
    </row>
    <row r="712" ht="22.5" customHeight="1">
      <c r="A712" s="96"/>
      <c r="B712" s="97" t="s">
        <v>85</v>
      </c>
      <c r="C712" s="98" t="str">
        <f t="array" ref="C712">IFNA(XLOOKUP(J712,'⚙️ Pengaturan'!$H$5:$H1508,'⚙️ Pengaturan'!$I$5:$I1508),"")</f>
        <v>TIM Y</v>
      </c>
      <c r="D712" s="97" t="s">
        <v>86</v>
      </c>
      <c r="E712" s="99">
        <v>45971.0</v>
      </c>
      <c r="F712" s="100" t="str">
        <f t="shared" si="1"/>
        <v>2025</v>
      </c>
      <c r="G712" s="100" t="str">
        <f t="shared" si="2"/>
        <v>11Nov</v>
      </c>
      <c r="H712" s="100" t="str">
        <f t="shared" si="3"/>
        <v>Senin</v>
      </c>
      <c r="I712" s="97" t="s">
        <v>97</v>
      </c>
      <c r="J712" s="97" t="s">
        <v>56</v>
      </c>
      <c r="K712" s="97" t="s">
        <v>63</v>
      </c>
      <c r="L712" s="101" t="s">
        <v>326</v>
      </c>
      <c r="M712" s="102" t="str">
        <f>IFNA(VLOOKUP(L712,'🙎‍♂️ Pasien'!G:V,2,FALSE),"")</f>
        <v>A1423086916</v>
      </c>
      <c r="N712" s="103">
        <f>IFNA(VLOOKUP(L712,'🙎‍♂️ Pasien'!G:L,3,FALSE),"")</f>
        <v>11</v>
      </c>
      <c r="O712" s="104" t="str">
        <f>IFNA(VLOOKUP(L712,'🙎‍♂️ Pasien'!G:V,6,FALSE),"")</f>
        <v>LAKI-LAKI</v>
      </c>
      <c r="P712" s="104" t="str">
        <f>IFNA(VLOOKUP(L712,'🙎‍♂️ Pasien'!G:V,12,FALSE),"")</f>
        <v>ISLAM</v>
      </c>
      <c r="Q712" s="104" t="str">
        <f>IFNA(VLOOKUP(L712:L1508,'🙎‍♂️ Pasien'!G:V,13,FALSE),"")</f>
        <v>PELAJAR/MAHASISWA</v>
      </c>
      <c r="R712" s="104" t="str">
        <f t="array" ref="R712">ifna(xlookup(L712,'🙎‍♂️ Pasien'!$G$5:$G1508,'🙎‍♂️ Pasien'!$T$5:$T1508),"")</f>
        <v>ANKLE KAKI KANAN</v>
      </c>
      <c r="S712" s="104" t="str">
        <f t="array" ref="S712">ifna(xlookup(L712,'🙎‍♂️ Pasien'!$G$5:$G1508,'🙎‍♂️ Pasien'!$U$5:$U1508),"")</f>
        <v>BOLA</v>
      </c>
      <c r="T712" s="97" t="s">
        <v>59</v>
      </c>
      <c r="U712" s="105">
        <v>7.0</v>
      </c>
      <c r="V712" s="101"/>
      <c r="W712" s="106" t="b">
        <v>1</v>
      </c>
      <c r="X712" s="107"/>
      <c r="Y712" s="108"/>
    </row>
    <row r="713" ht="22.5" customHeight="1">
      <c r="A713" s="96"/>
      <c r="B713" s="97" t="s">
        <v>85</v>
      </c>
      <c r="C713" s="98" t="str">
        <f t="array" ref="C713">IFNA(XLOOKUP(J713,'⚙️ Pengaturan'!$H$5:$H1508,'⚙️ Pengaturan'!$I$5:$I1508),"")</f>
        <v>TIM Y</v>
      </c>
      <c r="D713" s="97" t="s">
        <v>86</v>
      </c>
      <c r="E713" s="99">
        <v>45971.0</v>
      </c>
      <c r="F713" s="100" t="str">
        <f t="shared" si="1"/>
        <v>2025</v>
      </c>
      <c r="G713" s="100" t="str">
        <f t="shared" si="2"/>
        <v>11Nov</v>
      </c>
      <c r="H713" s="100" t="str">
        <f t="shared" si="3"/>
        <v>Senin</v>
      </c>
      <c r="I713" s="97" t="s">
        <v>99</v>
      </c>
      <c r="J713" s="97" t="s">
        <v>56</v>
      </c>
      <c r="K713" s="97" t="s">
        <v>63</v>
      </c>
      <c r="L713" s="101" t="s">
        <v>190</v>
      </c>
      <c r="M713" s="102" t="str">
        <f>IFNA(VLOOKUP(L713,'🙎‍♂️ Pasien'!G:V,2,FALSE),"")</f>
        <v>A9025108786</v>
      </c>
      <c r="N713" s="103">
        <f>IFNA(VLOOKUP(L713,'🙎‍♂️ Pasien'!G:L,3,FALSE),"")</f>
        <v>35</v>
      </c>
      <c r="O713" s="104" t="str">
        <f>IFNA(VLOOKUP(L713,'🙎‍♂️ Pasien'!G:V,6,FALSE),"")</f>
        <v>LAKI-LAKI</v>
      </c>
      <c r="P713" s="104" t="str">
        <f>IFNA(VLOOKUP(L713,'🙎‍♂️ Pasien'!G:V,12,FALSE),"")</f>
        <v>ISLAM</v>
      </c>
      <c r="Q713" s="104" t="str">
        <f>IFNA(VLOOKUP(L713:L1508,'🙎‍♂️ Pasien'!G:V,13,FALSE),"")</f>
        <v>WIRASWASTA</v>
      </c>
      <c r="R713" s="104" t="str">
        <f t="array" ref="R713">ifna(xlookup(L713,'🙎‍♂️ Pasien'!$G$5:$G1508,'🙎‍♂️ Pasien'!$T$5:$T1508),"")</f>
        <v>KESELEO PADA BAGIAN LUTUT</v>
      </c>
      <c r="S713" s="104" t="str">
        <f t="array" ref="S713">ifna(xlookup(L713,'🙎‍♂️ Pasien'!$G$5:$G1508,'🙎‍♂️ Pasien'!$U$5:$U1508),"")</f>
        <v>BERMAIN BOLA</v>
      </c>
      <c r="T713" s="97" t="s">
        <v>67</v>
      </c>
      <c r="U713" s="105">
        <v>1.0</v>
      </c>
      <c r="V713" s="101" t="s">
        <v>494</v>
      </c>
      <c r="W713" s="106" t="b">
        <v>1</v>
      </c>
      <c r="X713" s="107"/>
      <c r="Y713" s="108"/>
    </row>
    <row r="714" ht="22.5" customHeight="1">
      <c r="A714" s="96"/>
      <c r="B714" s="97" t="s">
        <v>85</v>
      </c>
      <c r="C714" s="98" t="str">
        <f t="array" ref="C714">IFNA(XLOOKUP(J714,'⚙️ Pengaturan'!$H$5:$H1508,'⚙️ Pengaturan'!$I$5:$I1508),"")</f>
        <v>TIM A</v>
      </c>
      <c r="D714" s="97" t="s">
        <v>86</v>
      </c>
      <c r="E714" s="99">
        <v>45971.0</v>
      </c>
      <c r="F714" s="100" t="str">
        <f t="shared" si="1"/>
        <v>2025</v>
      </c>
      <c r="G714" s="100" t="str">
        <f t="shared" si="2"/>
        <v>11Nov</v>
      </c>
      <c r="H714" s="100" t="str">
        <f t="shared" si="3"/>
        <v>Senin</v>
      </c>
      <c r="I714" s="97" t="s">
        <v>99</v>
      </c>
      <c r="J714" s="97" t="s">
        <v>72</v>
      </c>
      <c r="K714" s="97" t="s">
        <v>63</v>
      </c>
      <c r="L714" s="101" t="s">
        <v>474</v>
      </c>
      <c r="M714" s="102" t="str">
        <f>IFNA(VLOOKUP(L714,'🙎‍♂️ Pasien'!G:V,2,FALSE),"")</f>
        <v>M5325110126</v>
      </c>
      <c r="N714" s="103">
        <f>IFNA(VLOOKUP(L714,'🙎‍♂️ Pasien'!G:L,3,FALSE),"")</f>
        <v>73</v>
      </c>
      <c r="O714" s="104" t="str">
        <f>IFNA(VLOOKUP(L714,'🙎‍♂️ Pasien'!G:V,6,FALSE),"")</f>
        <v>PEREMPUAN</v>
      </c>
      <c r="P714" s="104" t="str">
        <f>IFNA(VLOOKUP(L714,'🙎‍♂️ Pasien'!G:V,12,FALSE),"")</f>
        <v>KATOLIK</v>
      </c>
      <c r="Q714" s="104" t="str">
        <f>IFNA(VLOOKUP(L714:L1508,'🙎‍♂️ Pasien'!G:V,13,FALSE),"")</f>
        <v>IBU RUMAH TANGGA</v>
      </c>
      <c r="R714" s="104" t="str">
        <f t="array" ref="R714">ifna(xlookup(L714,'🙎‍♂️ Pasien'!$G$5:$G1508,'🙎‍♂️ Pasien'!$T$5:$T1508),"")</f>
        <v>SAKIT &amp; SUSAH GERAK PAKA LUTUT</v>
      </c>
      <c r="S714" s="104" t="str">
        <f t="array" ref="S714">ifna(xlookup(L714,'🙎‍♂️ Pasien'!$G$5:$G1508,'🙎‍♂️ Pasien'!$U$5:$U1508),"")</f>
        <v>AKTIVITAS RUMAH TANGGA</v>
      </c>
      <c r="T714" s="97" t="s">
        <v>59</v>
      </c>
      <c r="U714" s="105">
        <v>1.0</v>
      </c>
      <c r="V714" s="101"/>
      <c r="W714" s="106" t="b">
        <v>1</v>
      </c>
      <c r="X714" s="107"/>
      <c r="Y714" s="108"/>
    </row>
    <row r="715" ht="22.5" customHeight="1">
      <c r="A715" s="96"/>
      <c r="B715" s="97" t="s">
        <v>53</v>
      </c>
      <c r="C715" s="98" t="str">
        <f t="array" ref="C715">IFNA(XLOOKUP(J715,'⚙️ Pengaturan'!$H$5:$H1508,'⚙️ Pengaturan'!$I$5:$I1508),"")</f>
        <v>TIM A</v>
      </c>
      <c r="D715" s="97" t="s">
        <v>86</v>
      </c>
      <c r="E715" s="99">
        <v>45972.0</v>
      </c>
      <c r="F715" s="100" t="str">
        <f t="shared" si="1"/>
        <v>2025</v>
      </c>
      <c r="G715" s="100" t="str">
        <f t="shared" si="2"/>
        <v>11Nov</v>
      </c>
      <c r="H715" s="100" t="str">
        <f t="shared" si="3"/>
        <v>Selasa</v>
      </c>
      <c r="I715" s="97" t="s">
        <v>55</v>
      </c>
      <c r="J715" s="97" t="s">
        <v>62</v>
      </c>
      <c r="K715" s="97" t="s">
        <v>63</v>
      </c>
      <c r="L715" s="101" t="s">
        <v>174</v>
      </c>
      <c r="M715" s="102" t="str">
        <f>IFNA(VLOOKUP(L715,'🙎‍♂️ Pasien'!G:V,2,FALSE),"")</f>
        <v>F6925098775</v>
      </c>
      <c r="N715" s="103">
        <f>IFNA(VLOOKUP(L715,'🙎‍♂️ Pasien'!G:L,3,FALSE),"")</f>
        <v>56</v>
      </c>
      <c r="O715" s="104" t="str">
        <f>IFNA(VLOOKUP(L715,'🙎‍♂️ Pasien'!G:V,6,FALSE),"")</f>
        <v>PEREMPUAN</v>
      </c>
      <c r="P715" s="104" t="str">
        <f>IFNA(VLOOKUP(L715,'🙎‍♂️ Pasien'!G:V,12,FALSE),"")</f>
        <v>BUDDHA</v>
      </c>
      <c r="Q715" s="104" t="str">
        <f>IFNA(VLOOKUP(L715:L1508,'🙎‍♂️ Pasien'!G:V,13,FALSE),"")</f>
        <v>IRT</v>
      </c>
      <c r="R715" s="104" t="str">
        <f t="array" ref="R715">ifna(xlookup(L715,'🙎‍♂️ Pasien'!$G$5:$G1508,'🙎‍♂️ Pasien'!$T$5:$T1508),"")</f>
        <v>LUTUT (POST OP TKR)</v>
      </c>
      <c r="S715" s="104" t="str">
        <f t="array" ref="S715">ifna(xlookup(L715,'🙎‍♂️ Pasien'!$G$5:$G1508,'🙎‍♂️ Pasien'!$U$5:$U1508),"")</f>
        <v>PEKERJAAAN RUMAH TANGGA</v>
      </c>
      <c r="T715" s="97" t="s">
        <v>59</v>
      </c>
      <c r="U715" s="105">
        <v>1.0</v>
      </c>
      <c r="V715" s="101" t="s">
        <v>256</v>
      </c>
      <c r="W715" s="106" t="b">
        <v>1</v>
      </c>
      <c r="X715" s="107"/>
      <c r="Y715" s="108"/>
    </row>
    <row r="716" ht="22.5" customHeight="1">
      <c r="A716" s="96"/>
      <c r="B716" s="97" t="s">
        <v>53</v>
      </c>
      <c r="C716" s="98" t="str">
        <f t="array" ref="C716">IFNA(XLOOKUP(J716,'⚙️ Pengaturan'!$H$5:$H1508,'⚙️ Pengaturan'!$I$5:$I1508),"")</f>
        <v>MANAJEMEN</v>
      </c>
      <c r="D716" s="97" t="s">
        <v>86</v>
      </c>
      <c r="E716" s="99">
        <v>45972.0</v>
      </c>
      <c r="F716" s="100" t="str">
        <f t="shared" si="1"/>
        <v>2025</v>
      </c>
      <c r="G716" s="100" t="str">
        <f t="shared" si="2"/>
        <v>11Nov</v>
      </c>
      <c r="H716" s="100" t="str">
        <f t="shared" si="3"/>
        <v>Selasa</v>
      </c>
      <c r="I716" s="97" t="s">
        <v>55</v>
      </c>
      <c r="J716" s="97" t="s">
        <v>101</v>
      </c>
      <c r="K716" s="97" t="s">
        <v>57</v>
      </c>
      <c r="L716" s="101" t="s">
        <v>495</v>
      </c>
      <c r="M716" s="102" t="str">
        <f>IFNA(VLOOKUP(L716,'🙎‍♂️ Pasien'!G:V,2,FALSE),"")</f>
        <v>S0125117555</v>
      </c>
      <c r="N716" s="103">
        <f>IFNA(VLOOKUP(L716,'🙎‍♂️ Pasien'!G:L,3,FALSE),"")</f>
        <v>24</v>
      </c>
      <c r="O716" s="104" t="str">
        <f>IFNA(VLOOKUP(L716,'🙎‍♂️ Pasien'!G:V,6,FALSE),"")</f>
        <v>LAKI-LAKI</v>
      </c>
      <c r="P716" s="104" t="str">
        <f>IFNA(VLOOKUP(L716,'🙎‍♂️ Pasien'!G:V,12,FALSE),"")</f>
        <v>BUDDHA</v>
      </c>
      <c r="Q716" s="104" t="str">
        <f>IFNA(VLOOKUP(L716:L1508,'🙎‍♂️ Pasien'!G:V,13,FALSE),"")</f>
        <v>SWASTA</v>
      </c>
      <c r="R716" s="104" t="str">
        <f t="array" ref="R716">ifna(xlookup(L716,'🙎‍♂️ Pasien'!$G$5:$G1508,'🙎‍♂️ Pasien'!$T$5:$T1508),"")</f>
        <v>ANKLE</v>
      </c>
      <c r="S716" s="104" t="str">
        <f t="array" ref="S716">ifna(xlookup(L716,'🙎‍♂️ Pasien'!$G$5:$G1508,'🙎‍♂️ Pasien'!$U$5:$U1508),"")</f>
        <v>-</v>
      </c>
      <c r="T716" s="97" t="s">
        <v>59</v>
      </c>
      <c r="U716" s="105" t="s">
        <v>60</v>
      </c>
      <c r="V716" s="101"/>
      <c r="W716" s="106" t="b">
        <v>1</v>
      </c>
      <c r="X716" s="107"/>
      <c r="Y716" s="108"/>
    </row>
    <row r="717" ht="22.5" customHeight="1">
      <c r="A717" s="96"/>
      <c r="B717" s="97" t="s">
        <v>53</v>
      </c>
      <c r="C717" s="98" t="str">
        <f t="array" ref="C717">IFNA(XLOOKUP(J717,'⚙️ Pengaturan'!$H$5:$H1508,'⚙️ Pengaturan'!$I$5:$I1508),"")</f>
        <v>MANAJEMEN</v>
      </c>
      <c r="D717" s="97" t="s">
        <v>86</v>
      </c>
      <c r="E717" s="99">
        <v>45972.0</v>
      </c>
      <c r="F717" s="100" t="str">
        <f t="shared" si="1"/>
        <v>2025</v>
      </c>
      <c r="G717" s="100" t="str">
        <f t="shared" si="2"/>
        <v>11Nov</v>
      </c>
      <c r="H717" s="100" t="str">
        <f t="shared" si="3"/>
        <v>Selasa</v>
      </c>
      <c r="I717" s="97" t="s">
        <v>65</v>
      </c>
      <c r="J717" s="97" t="s">
        <v>101</v>
      </c>
      <c r="K717" s="97" t="s">
        <v>63</v>
      </c>
      <c r="L717" s="101" t="s">
        <v>102</v>
      </c>
      <c r="M717" s="102" t="str">
        <f>IFNA(VLOOKUP(L717,'🙎‍♂️ Pasien'!G:V,2,FALSE),"")</f>
        <v>B8525075344</v>
      </c>
      <c r="N717" s="103">
        <f>IFNA(VLOOKUP(L717,'🙎‍♂️ Pasien'!G:L,3,FALSE),"")</f>
        <v>40</v>
      </c>
      <c r="O717" s="104" t="str">
        <f>IFNA(VLOOKUP(L717,'🙎‍♂️ Pasien'!G:V,6,FALSE),"")</f>
        <v>LAKI-LAKI</v>
      </c>
      <c r="P717" s="104" t="str">
        <f>IFNA(VLOOKUP(L717,'🙎‍♂️ Pasien'!G:V,12,FALSE),"")</f>
        <v>ISLAM</v>
      </c>
      <c r="Q717" s="104" t="str">
        <f>IFNA(VLOOKUP(L717:L1508,'🙎‍♂️ Pasien'!G:V,13,FALSE),"")</f>
        <v>WIRAUSAHA</v>
      </c>
      <c r="R717" s="104" t="str">
        <f t="array" ref="R717">ifna(xlookup(L717,'🙎‍♂️ Pasien'!$G$5:$G1508,'🙎‍♂️ Pasien'!$T$5:$T1508),"")</f>
        <v>NYERI LUTUT</v>
      </c>
      <c r="S717" s="104" t="str">
        <f t="array" ref="S717">ifna(xlookup(L717,'🙎‍♂️ Pasien'!$G$5:$G1508,'🙎‍♂️ Pasien'!$U$5:$U1508),"")</f>
        <v>JOGGING</v>
      </c>
      <c r="T717" s="97" t="s">
        <v>59</v>
      </c>
      <c r="U717" s="105">
        <v>10.0</v>
      </c>
      <c r="V717" s="101" t="s">
        <v>125</v>
      </c>
      <c r="W717" s="106" t="b">
        <v>1</v>
      </c>
      <c r="X717" s="107"/>
      <c r="Y717" s="108"/>
    </row>
    <row r="718" ht="22.5" customHeight="1">
      <c r="A718" s="96"/>
      <c r="B718" s="97" t="s">
        <v>53</v>
      </c>
      <c r="C718" s="98" t="str">
        <f t="array" ref="C718">IFNA(XLOOKUP(J718,'⚙️ Pengaturan'!$H$5:$H1508,'⚙️ Pengaturan'!$I$5:$I1508),"")</f>
        <v>TIM A</v>
      </c>
      <c r="D718" s="97" t="s">
        <v>86</v>
      </c>
      <c r="E718" s="99">
        <v>45972.0</v>
      </c>
      <c r="F718" s="100" t="str">
        <f t="shared" si="1"/>
        <v>2025</v>
      </c>
      <c r="G718" s="100" t="str">
        <f t="shared" si="2"/>
        <v>11Nov</v>
      </c>
      <c r="H718" s="100" t="str">
        <f t="shared" si="3"/>
        <v>Selasa</v>
      </c>
      <c r="I718" s="97" t="s">
        <v>65</v>
      </c>
      <c r="J718" s="97" t="s">
        <v>79</v>
      </c>
      <c r="K718" s="97" t="s">
        <v>69</v>
      </c>
      <c r="L718" s="101" t="s">
        <v>299</v>
      </c>
      <c r="M718" s="102" t="str">
        <f>IFNA(VLOOKUP(L718,'🙎‍♂️ Pasien'!G:V,2,FALSE),"")</f>
        <v>F9725096709</v>
      </c>
      <c r="N718" s="103">
        <f>IFNA(VLOOKUP(L718,'🙎‍♂️ Pasien'!G:L,3,FALSE),"")</f>
        <v>28</v>
      </c>
      <c r="O718" s="104" t="str">
        <f>IFNA(VLOOKUP(L718,'🙎‍♂️ Pasien'!G:V,6,FALSE),"")</f>
        <v>PEREMPUAN</v>
      </c>
      <c r="P718" s="104" t="str">
        <f>IFNA(VLOOKUP(L718,'🙎‍♂️ Pasien'!G:V,12,FALSE),"")</f>
        <v>ISLAM</v>
      </c>
      <c r="Q718" s="104" t="str">
        <f>IFNA(VLOOKUP(L718:L1508,'🙎‍♂️ Pasien'!G:V,13,FALSE),"")</f>
        <v>GURU</v>
      </c>
      <c r="R718" s="104" t="str">
        <f t="array" ref="R718">ifna(xlookup(L718,'🙎‍♂️ Pasien'!$G$5:$G1508,'🙎‍♂️ Pasien'!$T$5:$T1508),"")</f>
        <v>CIDERA LUTUT</v>
      </c>
      <c r="S718" s="104" t="str">
        <f t="array" ref="S718">ifna(xlookup(L718,'🙎‍♂️ Pasien'!$G$5:$G1508,'🙎‍♂️ Pasien'!$U$5:$U1508),"")</f>
        <v>BOLA KAKI</v>
      </c>
      <c r="T718" s="97" t="s">
        <v>59</v>
      </c>
      <c r="U718" s="105" t="s">
        <v>60</v>
      </c>
      <c r="V718" s="101"/>
      <c r="W718" s="106" t="b">
        <v>1</v>
      </c>
      <c r="X718" s="107"/>
      <c r="Y718" s="108"/>
    </row>
    <row r="719" ht="22.5" customHeight="1">
      <c r="A719" s="96"/>
      <c r="B719" s="97" t="s">
        <v>53</v>
      </c>
      <c r="C719" s="98" t="str">
        <f t="array" ref="C719">IFNA(XLOOKUP(J719,'⚙️ Pengaturan'!$H$5:$H1508,'⚙️ Pengaturan'!$I$5:$I1508),"")</f>
        <v>TIM Y</v>
      </c>
      <c r="D719" s="97" t="s">
        <v>86</v>
      </c>
      <c r="E719" s="99">
        <v>45972.0</v>
      </c>
      <c r="F719" s="100" t="str">
        <f t="shared" si="1"/>
        <v>2025</v>
      </c>
      <c r="G719" s="100" t="str">
        <f t="shared" si="2"/>
        <v>11Nov</v>
      </c>
      <c r="H719" s="100" t="str">
        <f t="shared" si="3"/>
        <v>Selasa</v>
      </c>
      <c r="I719" s="97" t="s">
        <v>65</v>
      </c>
      <c r="J719" s="97" t="s">
        <v>56</v>
      </c>
      <c r="K719" s="97" t="s">
        <v>57</v>
      </c>
      <c r="L719" s="101" t="s">
        <v>496</v>
      </c>
      <c r="M719" s="102" t="str">
        <f>IFNA(VLOOKUP(L719,'🙎‍♂️ Pasien'!G:V,2,FALSE),"")</f>
        <v>T5625119994</v>
      </c>
      <c r="N719" s="103">
        <f>IFNA(VLOOKUP(L719,'🙎‍♂️ Pasien'!G:L,3,FALSE),"")</f>
        <v>70</v>
      </c>
      <c r="O719" s="104" t="str">
        <f>IFNA(VLOOKUP(L719,'🙎‍♂️ Pasien'!G:V,6,FALSE),"")</f>
        <v>LAKI-LAKI</v>
      </c>
      <c r="P719" s="104" t="str">
        <f>IFNA(VLOOKUP(L719,'🙎‍♂️ Pasien'!G:V,12,FALSE),"")</f>
        <v>KHONGHUCU</v>
      </c>
      <c r="Q719" s="104" t="str">
        <f>IFNA(VLOOKUP(L719:L1508,'🙎‍♂️ Pasien'!G:V,13,FALSE),"")</f>
        <v>WIRASWASTA</v>
      </c>
      <c r="R719" s="104" t="str">
        <f t="array" ref="R719">ifna(xlookup(L719,'🙎‍♂️ Pasien'!$G$5:$G1508,'🙎‍♂️ Pasien'!$T$5:$T1508),"")</f>
        <v>TULANG BELAKANG MULAI BUNGKUK, KESEIMBANGAN KURANG BAGUS</v>
      </c>
      <c r="S719" s="104" t="str">
        <f t="array" ref="S719">ifna(xlookup(L719,'🙎‍♂️ Pasien'!$G$5:$G1508,'🙎‍♂️ Pasien'!$U$5:$U1508),"")</f>
        <v>TIDAK ADA</v>
      </c>
      <c r="T719" s="97" t="s">
        <v>59</v>
      </c>
      <c r="U719" s="105" t="s">
        <v>60</v>
      </c>
      <c r="V719" s="101"/>
      <c r="W719" s="106" t="b">
        <v>1</v>
      </c>
      <c r="X719" s="107"/>
      <c r="Y719" s="108"/>
    </row>
    <row r="720" ht="22.5" customHeight="1">
      <c r="A720" s="96"/>
      <c r="B720" s="97" t="s">
        <v>53</v>
      </c>
      <c r="C720" s="98" t="str">
        <f t="array" ref="C720">IFNA(XLOOKUP(J720,'⚙️ Pengaturan'!$H$5:$H1508,'⚙️ Pengaturan'!$I$5:$I1508),"")</f>
        <v>TIM A</v>
      </c>
      <c r="D720" s="97" t="s">
        <v>86</v>
      </c>
      <c r="E720" s="99">
        <v>45972.0</v>
      </c>
      <c r="F720" s="100" t="str">
        <f t="shared" si="1"/>
        <v>2025</v>
      </c>
      <c r="G720" s="100" t="str">
        <f t="shared" si="2"/>
        <v>11Nov</v>
      </c>
      <c r="H720" s="100" t="str">
        <f t="shared" si="3"/>
        <v>Selasa</v>
      </c>
      <c r="I720" s="97" t="s">
        <v>74</v>
      </c>
      <c r="J720" s="97" t="s">
        <v>79</v>
      </c>
      <c r="K720" s="97" t="s">
        <v>63</v>
      </c>
      <c r="L720" s="101" t="s">
        <v>302</v>
      </c>
      <c r="M720" s="102" t="str">
        <f>IFNA(VLOOKUP(L720,'🙎‍♂️ Pasien'!G:V,2,FALSE),"")</f>
        <v>A9425105994</v>
      </c>
      <c r="N720" s="103">
        <f>IFNA(VLOOKUP(L720,'🙎‍♂️ Pasien'!G:L,3,FALSE),"")</f>
        <v>32</v>
      </c>
      <c r="O720" s="104" t="str">
        <f>IFNA(VLOOKUP(L720,'🙎‍♂️ Pasien'!G:V,6,FALSE),"")</f>
        <v>LAKI-LAKI</v>
      </c>
      <c r="P720" s="104" t="str">
        <f>IFNA(VLOOKUP(L720,'🙎‍♂️ Pasien'!G:V,12,FALSE),"")</f>
        <v>ISLAM</v>
      </c>
      <c r="Q720" s="104" t="str">
        <f>IFNA(VLOOKUP(L720:L1508,'🙎‍♂️ Pasien'!G:V,13,FALSE),"")</f>
        <v>KARYAWAN SWASTA</v>
      </c>
      <c r="R720" s="104" t="str">
        <f t="array" ref="R720">ifna(xlookup(L720,'🙎‍♂️ Pasien'!$G$5:$G1508,'🙎‍♂️ Pasien'!$T$5:$T1508),"")</f>
        <v>LUTUT</v>
      </c>
      <c r="S720" s="104" t="str">
        <f t="array" ref="S720">ifna(xlookup(L720,'🙎‍♂️ Pasien'!$G$5:$G1508,'🙎‍♂️ Pasien'!$U$5:$U1508),"")</f>
        <v>OLAGRAGA</v>
      </c>
      <c r="T720" s="97" t="s">
        <v>59</v>
      </c>
      <c r="U720" s="105">
        <v>5.0</v>
      </c>
      <c r="V720" s="101" t="s">
        <v>125</v>
      </c>
      <c r="W720" s="106" t="b">
        <v>1</v>
      </c>
      <c r="X720" s="107"/>
      <c r="Y720" s="108"/>
    </row>
    <row r="721" ht="22.5" customHeight="1">
      <c r="A721" s="96"/>
      <c r="B721" s="97" t="s">
        <v>53</v>
      </c>
      <c r="C721" s="98" t="str">
        <f t="array" ref="C721">IFNA(XLOOKUP(J721,'⚙️ Pengaturan'!$H$5:$H1508,'⚙️ Pengaturan'!$I$5:$I1508),"")</f>
        <v>TIM A</v>
      </c>
      <c r="D721" s="97" t="s">
        <v>86</v>
      </c>
      <c r="E721" s="99">
        <v>45972.0</v>
      </c>
      <c r="F721" s="100" t="str">
        <f t="shared" si="1"/>
        <v>2025</v>
      </c>
      <c r="G721" s="100" t="str">
        <f t="shared" si="2"/>
        <v>11Nov</v>
      </c>
      <c r="H721" s="100" t="str">
        <f t="shared" si="3"/>
        <v>Selasa</v>
      </c>
      <c r="I721" s="97" t="s">
        <v>76</v>
      </c>
      <c r="J721" s="97" t="s">
        <v>72</v>
      </c>
      <c r="K721" s="97" t="s">
        <v>63</v>
      </c>
      <c r="L721" s="101" t="s">
        <v>456</v>
      </c>
      <c r="M721" s="102" t="str">
        <f>IFNA(VLOOKUP(L721,'🙎‍♂️ Pasien'!G:V,2,FALSE),"")</f>
        <v>D6525119328</v>
      </c>
      <c r="N721" s="103">
        <f>IFNA(VLOOKUP(L721,'🙎‍♂️ Pasien'!G:L,3,FALSE),"")</f>
        <v>60</v>
      </c>
      <c r="O721" s="104" t="str">
        <f>IFNA(VLOOKUP(L721,'🙎‍♂️ Pasien'!G:V,6,FALSE),"")</f>
        <v>PEREMPUAN</v>
      </c>
      <c r="P721" s="104" t="str">
        <f>IFNA(VLOOKUP(L721,'🙎‍♂️ Pasien'!G:V,12,FALSE),"")</f>
        <v>LAINNYA</v>
      </c>
      <c r="Q721" s="104" t="str">
        <f>IFNA(VLOOKUP(L721:L1508,'🙎‍♂️ Pasien'!G:V,13,FALSE),"")</f>
        <v>IRT</v>
      </c>
      <c r="R721" s="104" t="str">
        <f t="array" ref="R721">ifna(xlookup(L721,'🙎‍♂️ Pasien'!$G$5:$G1508,'🙎‍♂️ Pasien'!$T$5:$T1508),"")</f>
        <v>TUMIT</v>
      </c>
      <c r="S721" s="104" t="str">
        <f t="array" ref="S721">ifna(xlookup(L721,'🙎‍♂️ Pasien'!$G$5:$G1508,'🙎‍♂️ Pasien'!$U$5:$U1508),"")</f>
        <v>DANCING</v>
      </c>
      <c r="T721" s="97" t="s">
        <v>59</v>
      </c>
      <c r="U721" s="105">
        <v>2.0</v>
      </c>
      <c r="V721" s="101"/>
      <c r="W721" s="106" t="b">
        <v>1</v>
      </c>
      <c r="X721" s="107"/>
      <c r="Y721" s="108"/>
    </row>
    <row r="722" ht="22.5" customHeight="1">
      <c r="A722" s="96"/>
      <c r="B722" s="97" t="s">
        <v>53</v>
      </c>
      <c r="C722" s="98" t="str">
        <f t="array" ref="C722">IFNA(XLOOKUP(J722,'⚙️ Pengaturan'!$H$5:$H1508,'⚙️ Pengaturan'!$I$5:$I1508),"")</f>
        <v>TIM A</v>
      </c>
      <c r="D722" s="97" t="s">
        <v>86</v>
      </c>
      <c r="E722" s="99">
        <v>45972.0</v>
      </c>
      <c r="F722" s="100" t="str">
        <f t="shared" si="1"/>
        <v>2025</v>
      </c>
      <c r="G722" s="100" t="str">
        <f t="shared" si="2"/>
        <v>11Nov</v>
      </c>
      <c r="H722" s="100" t="str">
        <f t="shared" si="3"/>
        <v>Selasa</v>
      </c>
      <c r="I722" s="97" t="s">
        <v>76</v>
      </c>
      <c r="J722" s="97" t="s">
        <v>79</v>
      </c>
      <c r="K722" s="97" t="s">
        <v>69</v>
      </c>
      <c r="L722" s="101" t="s">
        <v>448</v>
      </c>
      <c r="M722" s="102" t="str">
        <f>IFNA(VLOOKUP(L722,'🙎‍♂️ Pasien'!G:V,2,FALSE),"")</f>
        <v>M8525119888</v>
      </c>
      <c r="N722" s="103">
        <f>IFNA(VLOOKUP(L722,'🙎‍♂️ Pasien'!G:L,3,FALSE),"")</f>
        <v>40</v>
      </c>
      <c r="O722" s="104" t="str">
        <f>IFNA(VLOOKUP(L722,'🙎‍♂️ Pasien'!G:V,6,FALSE),"")</f>
        <v>PEREMPUAN</v>
      </c>
      <c r="P722" s="104" t="str">
        <f>IFNA(VLOOKUP(L722,'🙎‍♂️ Pasien'!G:V,12,FALSE),"")</f>
        <v>BUDDHA</v>
      </c>
      <c r="Q722" s="104" t="str">
        <f>IFNA(VLOOKUP(L722:L1508,'🙎‍♂️ Pasien'!G:V,13,FALSE),"")</f>
        <v>IBU RUMAH TANGGA</v>
      </c>
      <c r="R722" s="104" t="str">
        <f t="array" ref="R722">ifna(xlookup(L722,'🙎‍♂️ Pasien'!$G$5:$G1508,'🙎‍♂️ Pasien'!$T$5:$T1508),"")</f>
        <v>NYERI PADA SIKU SEBELAH KANAN</v>
      </c>
      <c r="S722" s="104" t="str">
        <f t="array" ref="S722">ifna(xlookup(L722,'🙎‍♂️ Pasien'!$G$5:$G1508,'🙎‍♂️ Pasien'!$U$5:$U1508),"")</f>
        <v>GYM</v>
      </c>
      <c r="T722" s="97" t="s">
        <v>59</v>
      </c>
      <c r="U722" s="105" t="s">
        <v>60</v>
      </c>
      <c r="V722" s="101"/>
      <c r="W722" s="106" t="b">
        <v>1</v>
      </c>
      <c r="X722" s="107"/>
      <c r="Y722" s="108"/>
    </row>
    <row r="723" ht="22.5" customHeight="1">
      <c r="A723" s="96"/>
      <c r="B723" s="97" t="s">
        <v>53</v>
      </c>
      <c r="C723" s="98" t="str">
        <f t="array" ref="C723">IFNA(XLOOKUP(J723,'⚙️ Pengaturan'!$H$5:$H1508,'⚙️ Pengaturan'!$I$5:$I1508),"")</f>
        <v>TIM Y</v>
      </c>
      <c r="D723" s="97" t="s">
        <v>86</v>
      </c>
      <c r="E723" s="99">
        <v>45972.0</v>
      </c>
      <c r="F723" s="100" t="str">
        <f t="shared" si="1"/>
        <v>2025</v>
      </c>
      <c r="G723" s="100" t="str">
        <f t="shared" si="2"/>
        <v>11Nov</v>
      </c>
      <c r="H723" s="100" t="str">
        <f t="shared" si="3"/>
        <v>Selasa</v>
      </c>
      <c r="I723" s="97" t="s">
        <v>83</v>
      </c>
      <c r="J723" s="97" t="s">
        <v>56</v>
      </c>
      <c r="K723" s="97" t="s">
        <v>69</v>
      </c>
      <c r="L723" s="101" t="s">
        <v>476</v>
      </c>
      <c r="M723" s="102" t="str">
        <f>IFNA(VLOOKUP(L723,'🙎‍♂️ Pasien'!G:V,2,FALSE),"")</f>
        <v>D8525114110</v>
      </c>
      <c r="N723" s="103">
        <f>IFNA(VLOOKUP(L723,'🙎‍♂️ Pasien'!G:L,3,FALSE),"")</f>
        <v>40</v>
      </c>
      <c r="O723" s="104" t="str">
        <f>IFNA(VLOOKUP(L723,'🙎‍♂️ Pasien'!G:V,6,FALSE),"")</f>
        <v>LAKI-LAKI</v>
      </c>
      <c r="P723" s="104" t="str">
        <f>IFNA(VLOOKUP(L723,'🙎‍♂️ Pasien'!G:V,12,FALSE),"")</f>
        <v>ISLAM</v>
      </c>
      <c r="Q723" s="104" t="str">
        <f>IFNA(VLOOKUP(L723:L1508,'🙎‍♂️ Pasien'!G:V,13,FALSE),"")</f>
        <v>SUPIR</v>
      </c>
      <c r="R723" s="104" t="str">
        <f t="array" ref="R723">ifna(xlookup(L723,'🙎‍♂️ Pasien'!$G$5:$G1508,'🙎‍♂️ Pasien'!$T$5:$T1508),"")</f>
        <v>KAKI BENGKAK DIAGNOSA DOKTER OASTRIRTIS DAN ASAM URAT</v>
      </c>
      <c r="S723" s="104" t="str">
        <f t="array" ref="S723">ifna(xlookup(L723,'🙎‍♂️ Pasien'!$G$5:$G1508,'🙎‍♂️ Pasien'!$U$5:$U1508),"")</f>
        <v>NYETIR,KADANG" MAEN BOLA</v>
      </c>
      <c r="T723" s="97" t="s">
        <v>67</v>
      </c>
      <c r="U723" s="105" t="s">
        <v>60</v>
      </c>
      <c r="V723" s="101" t="s">
        <v>497</v>
      </c>
      <c r="W723" s="106" t="b">
        <v>1</v>
      </c>
      <c r="X723" s="107"/>
      <c r="Y723" s="108"/>
    </row>
    <row r="724" ht="22.5" customHeight="1">
      <c r="A724" s="96"/>
      <c r="B724" s="97" t="s">
        <v>53</v>
      </c>
      <c r="C724" s="98" t="str">
        <f t="array" ref="C724">IFNA(XLOOKUP(J724,'⚙️ Pengaturan'!$H$5:$H1508,'⚙️ Pengaturan'!$I$5:$I1508),"")</f>
        <v>TIM A</v>
      </c>
      <c r="D724" s="97" t="s">
        <v>86</v>
      </c>
      <c r="E724" s="99">
        <v>45972.0</v>
      </c>
      <c r="F724" s="100" t="str">
        <f t="shared" si="1"/>
        <v>2025</v>
      </c>
      <c r="G724" s="100" t="str">
        <f t="shared" si="2"/>
        <v>11Nov</v>
      </c>
      <c r="H724" s="100" t="str">
        <f t="shared" si="3"/>
        <v>Selasa</v>
      </c>
      <c r="I724" s="97" t="s">
        <v>83</v>
      </c>
      <c r="J724" s="97" t="s">
        <v>72</v>
      </c>
      <c r="K724" s="97" t="s">
        <v>63</v>
      </c>
      <c r="L724" s="101" t="s">
        <v>249</v>
      </c>
      <c r="M724" s="102" t="str">
        <f>IFNA(VLOOKUP(L724,'🙎‍♂️ Pasien'!G:V,2,FALSE),"")</f>
        <v>M7625071479</v>
      </c>
      <c r="N724" s="103">
        <f>IFNA(VLOOKUP(L724,'🙎‍♂️ Pasien'!G:L,3,FALSE),"")</f>
        <v>50</v>
      </c>
      <c r="O724" s="104" t="str">
        <f>IFNA(VLOOKUP(L724,'🙎‍♂️ Pasien'!G:V,6,FALSE),"")</f>
        <v>PEREMPUAN</v>
      </c>
      <c r="P724" s="104" t="str">
        <f>IFNA(VLOOKUP(L724,'🙎‍♂️ Pasien'!G:V,12,FALSE),"")</f>
        <v>ISLAM</v>
      </c>
      <c r="Q724" s="104" t="str">
        <f>IFNA(VLOOKUP(L724:L1508,'🙎‍♂️ Pasien'!G:V,13,FALSE),"")</f>
        <v>IBU RUMAH TANGGA</v>
      </c>
      <c r="R724" s="104" t="str">
        <f t="array" ref="R724">ifna(xlookup(L724,'🙎‍♂️ Pasien'!$G$5:$G1508,'🙎‍♂️ Pasien'!$T$5:$T1508),"")</f>
        <v>STROKE</v>
      </c>
      <c r="S724" s="104" t="str">
        <f t="array" ref="S724">ifna(xlookup(L724,'🙎‍♂️ Pasien'!$G$5:$G1508,'🙎‍♂️ Pasien'!$U$5:$U1508),"")</f>
        <v>HIPERTENSI, KOLESTROL, DIABETES</v>
      </c>
      <c r="T724" s="97" t="s">
        <v>67</v>
      </c>
      <c r="U724" s="105">
        <v>6.0</v>
      </c>
      <c r="V724" s="101" t="s">
        <v>498</v>
      </c>
      <c r="W724" s="106" t="b">
        <v>1</v>
      </c>
      <c r="X724" s="107"/>
      <c r="Y724" s="108"/>
    </row>
    <row r="725" ht="22.5" customHeight="1">
      <c r="A725" s="96"/>
      <c r="B725" s="97" t="s">
        <v>53</v>
      </c>
      <c r="C725" s="98" t="str">
        <f t="array" ref="C725">IFNA(XLOOKUP(J725,'⚙️ Pengaturan'!$H$5:$H1508,'⚙️ Pengaturan'!$I$5:$I1508),"")</f>
        <v>TIM A</v>
      </c>
      <c r="D725" s="97" t="s">
        <v>86</v>
      </c>
      <c r="E725" s="99">
        <v>45972.0</v>
      </c>
      <c r="F725" s="100" t="str">
        <f t="shared" si="1"/>
        <v>2025</v>
      </c>
      <c r="G725" s="100" t="str">
        <f t="shared" si="2"/>
        <v>11Nov</v>
      </c>
      <c r="H725" s="100" t="str">
        <f t="shared" si="3"/>
        <v>Selasa</v>
      </c>
      <c r="I725" s="97" t="s">
        <v>83</v>
      </c>
      <c r="J725" s="97" t="s">
        <v>62</v>
      </c>
      <c r="K725" s="97" t="s">
        <v>63</v>
      </c>
      <c r="L725" s="101" t="s">
        <v>149</v>
      </c>
      <c r="M725" s="102" t="str">
        <f>IFNA(VLOOKUP(L725,'🙎‍♂️ Pasien'!G:V,2,FALSE),"")</f>
        <v>S9825058991</v>
      </c>
      <c r="N725" s="103">
        <f>IFNA(VLOOKUP(L725,'🙎‍♂️ Pasien'!G:L,3,FALSE),"")</f>
        <v>27</v>
      </c>
      <c r="O725" s="104" t="str">
        <f>IFNA(VLOOKUP(L725,'🙎‍♂️ Pasien'!G:V,6,FALSE),"")</f>
        <v>PEREMPUAN</v>
      </c>
      <c r="P725" s="104" t="str">
        <f>IFNA(VLOOKUP(L725,'🙎‍♂️ Pasien'!G:V,12,FALSE),"")</f>
        <v>ISLAM</v>
      </c>
      <c r="Q725" s="104" t="str">
        <f>IFNA(VLOOKUP(L725:L1508,'🙎‍♂️ Pasien'!G:V,13,FALSE),"")</f>
        <v>SWASTA</v>
      </c>
      <c r="R725" s="104" t="str">
        <f t="array" ref="R725">ifna(xlookup(L725,'🙎‍♂️ Pasien'!$G$5:$G1508,'🙎‍♂️ Pasien'!$T$5:$T1508),"")</f>
        <v>HNP LUMBAL/SARAF KEJEPIT</v>
      </c>
      <c r="S725" s="104" t="str">
        <f t="array" ref="S725">ifna(xlookup(L725,'🙎‍♂️ Pasien'!$G$5:$G1508,'🙎‍♂️ Pasien'!$U$5:$U1508),"")</f>
        <v>BEKERJA KANTORAN</v>
      </c>
      <c r="T725" s="97" t="s">
        <v>59</v>
      </c>
      <c r="U725" s="105">
        <v>3.0</v>
      </c>
      <c r="V725" s="101"/>
      <c r="W725" s="106" t="b">
        <v>1</v>
      </c>
      <c r="X725" s="107"/>
      <c r="Y725" s="108"/>
    </row>
    <row r="726" ht="22.5" customHeight="1">
      <c r="A726" s="96"/>
      <c r="B726" s="97" t="s">
        <v>53</v>
      </c>
      <c r="C726" s="98" t="str">
        <f t="array" ref="C726">IFNA(XLOOKUP(J726,'⚙️ Pengaturan'!$H$5:$H1508,'⚙️ Pengaturan'!$I$5:$I1508),"")</f>
        <v>TIM A</v>
      </c>
      <c r="D726" s="97" t="s">
        <v>86</v>
      </c>
      <c r="E726" s="99">
        <v>45972.0</v>
      </c>
      <c r="F726" s="100" t="str">
        <f t="shared" si="1"/>
        <v>2025</v>
      </c>
      <c r="G726" s="100" t="str">
        <f t="shared" si="2"/>
        <v>11Nov</v>
      </c>
      <c r="H726" s="100" t="str">
        <f t="shared" si="3"/>
        <v>Selasa</v>
      </c>
      <c r="I726" s="97" t="s">
        <v>83</v>
      </c>
      <c r="J726" s="97" t="s">
        <v>79</v>
      </c>
      <c r="K726" s="97" t="s">
        <v>57</v>
      </c>
      <c r="L726" s="101" t="s">
        <v>499</v>
      </c>
      <c r="M726" s="102" t="str">
        <f>IFNA(VLOOKUP(L726,'🙎‍♂️ Pasien'!G:V,2,FALSE),"")</f>
        <v>S6025112254</v>
      </c>
      <c r="N726" s="103">
        <f>IFNA(VLOOKUP(L726,'🙎‍♂️ Pasien'!G:L,3,FALSE),"")</f>
        <v>65</v>
      </c>
      <c r="O726" s="104" t="str">
        <f>IFNA(VLOOKUP(L726,'🙎‍♂️ Pasien'!G:V,6,FALSE),"")</f>
        <v>PEREMPUAN</v>
      </c>
      <c r="P726" s="104" t="str">
        <f>IFNA(VLOOKUP(L726,'🙎‍♂️ Pasien'!G:V,12,FALSE),"")</f>
        <v>ISLAM</v>
      </c>
      <c r="Q726" s="104" t="str">
        <f>IFNA(VLOOKUP(L726:L1508,'🙎‍♂️ Pasien'!G:V,13,FALSE),"")</f>
        <v>PENSIUNAN</v>
      </c>
      <c r="R726" s="104" t="str">
        <f t="array" ref="R726">ifna(xlookup(L726,'🙎‍♂️ Pasien'!$G$5:$G1508,'🙎‍♂️ Pasien'!$T$5:$T1508),"")</f>
        <v>LUTUS SAKIT SAAT BERDIRI ATAU JALAN</v>
      </c>
      <c r="S726" s="104" t="str">
        <f t="array" ref="S726">ifna(xlookup(L726,'🙎‍♂️ Pasien'!$G$5:$G1508,'🙎‍♂️ Pasien'!$U$5:$U1508),"")</f>
        <v>DIRUMAH SAJA</v>
      </c>
      <c r="T726" s="97" t="s">
        <v>59</v>
      </c>
      <c r="U726" s="105" t="s">
        <v>60</v>
      </c>
      <c r="V726" s="101"/>
      <c r="W726" s="106" t="b">
        <v>1</v>
      </c>
      <c r="X726" s="107"/>
      <c r="Y726" s="108"/>
    </row>
    <row r="727" ht="22.5" customHeight="1">
      <c r="A727" s="96"/>
      <c r="B727" s="97" t="s">
        <v>85</v>
      </c>
      <c r="C727" s="98" t="str">
        <f t="array" ref="C727">IFNA(XLOOKUP(J727,'⚙️ Pengaturan'!$H$5:$H1508,'⚙️ Pengaturan'!$I$5:$I1508),"")</f>
        <v>TIM Y</v>
      </c>
      <c r="D727" s="97" t="s">
        <v>54</v>
      </c>
      <c r="E727" s="99">
        <v>45972.0</v>
      </c>
      <c r="F727" s="100" t="str">
        <f t="shared" si="1"/>
        <v>2025</v>
      </c>
      <c r="G727" s="100" t="str">
        <f t="shared" si="2"/>
        <v>11Nov</v>
      </c>
      <c r="H727" s="100" t="str">
        <f t="shared" si="3"/>
        <v>Selasa</v>
      </c>
      <c r="I727" s="97" t="s">
        <v>87</v>
      </c>
      <c r="J727" s="97" t="s">
        <v>107</v>
      </c>
      <c r="K727" s="97" t="s">
        <v>63</v>
      </c>
      <c r="L727" s="101" t="s">
        <v>116</v>
      </c>
      <c r="M727" s="102" t="str">
        <f>IFNA(VLOOKUP(L727,'🙎‍♂️ Pasien'!G:V,2,FALSE),"")</f>
        <v>H7825098625</v>
      </c>
      <c r="N727" s="103">
        <f>IFNA(VLOOKUP(L727,'🙎‍♂️ Pasien'!G:L,3,FALSE),"")</f>
        <v>47</v>
      </c>
      <c r="O727" s="104" t="str">
        <f>IFNA(VLOOKUP(L727,'🙎‍♂️ Pasien'!G:V,6,FALSE),"")</f>
        <v>LAKI-LAKI</v>
      </c>
      <c r="P727" s="104" t="str">
        <f>IFNA(VLOOKUP(L727,'🙎‍♂️ Pasien'!G:V,12,FALSE),"")</f>
        <v>KHONGHUCU</v>
      </c>
      <c r="Q727" s="104" t="str">
        <f>IFNA(VLOOKUP(L727:L1508,'🙎‍♂️ Pasien'!G:V,13,FALSE),"")</f>
        <v>WIRASWASTA</v>
      </c>
      <c r="R727" s="104" t="str">
        <f t="array" ref="R727">ifna(xlookup(L727,'🙎‍♂️ Pasien'!$G$5:$G1508,'🙎‍♂️ Pasien'!$T$5:$T1508),"")</f>
        <v>SIANTAN</v>
      </c>
      <c r="S727" s="104" t="str">
        <f t="array" ref="S727">ifna(xlookup(L727,'🙎‍♂️ Pasien'!$G$5:$G1508,'🙎‍♂️ Pasien'!$U$5:$U1508),"")</f>
        <v>GYM</v>
      </c>
      <c r="T727" s="97" t="s">
        <v>59</v>
      </c>
      <c r="U727" s="105">
        <v>4.0</v>
      </c>
      <c r="V727" s="101"/>
      <c r="W727" s="106" t="b">
        <v>1</v>
      </c>
      <c r="X727" s="107"/>
      <c r="Y727" s="108"/>
    </row>
    <row r="728" ht="22.5" customHeight="1">
      <c r="A728" s="96"/>
      <c r="B728" s="97" t="s">
        <v>85</v>
      </c>
      <c r="C728" s="98" t="str">
        <f t="array" ref="C728">IFNA(XLOOKUP(J728,'⚙️ Pengaturan'!$H$5:$H1508,'⚙️ Pengaturan'!$I$5:$I1508),"")</f>
        <v>TIM Y</v>
      </c>
      <c r="D728" s="97" t="s">
        <v>54</v>
      </c>
      <c r="E728" s="99">
        <v>45972.0</v>
      </c>
      <c r="F728" s="100" t="str">
        <f t="shared" si="1"/>
        <v>2025</v>
      </c>
      <c r="G728" s="100" t="str">
        <f t="shared" si="2"/>
        <v>11Nov</v>
      </c>
      <c r="H728" s="100" t="str">
        <f t="shared" si="3"/>
        <v>Selasa</v>
      </c>
      <c r="I728" s="97" t="s">
        <v>93</v>
      </c>
      <c r="J728" s="97" t="s">
        <v>91</v>
      </c>
      <c r="K728" s="97" t="s">
        <v>57</v>
      </c>
      <c r="L728" s="101" t="s">
        <v>500</v>
      </c>
      <c r="M728" s="102" t="str">
        <f>IFNA(VLOOKUP(L728,'🙎‍♂️ Pasien'!G:V,2,FALSE),"")</f>
        <v>M0125099595</v>
      </c>
      <c r="N728" s="103">
        <f>IFNA(VLOOKUP(L728,'🙎‍♂️ Pasien'!G:L,3,FALSE),"")</f>
        <v>24</v>
      </c>
      <c r="O728" s="104" t="str">
        <f>IFNA(VLOOKUP(L728,'🙎‍♂️ Pasien'!G:V,6,FALSE),"")</f>
        <v>LAKI-LAKI</v>
      </c>
      <c r="P728" s="104" t="str">
        <f>IFNA(VLOOKUP(L728,'🙎‍♂️ Pasien'!G:V,12,FALSE),"")</f>
        <v>KATOLIK</v>
      </c>
      <c r="Q728" s="104" t="str">
        <f>IFNA(VLOOKUP(L728:L1508,'🙎‍♂️ Pasien'!G:V,13,FALSE),"")</f>
        <v>KARYAWAN</v>
      </c>
      <c r="R728" s="104" t="str">
        <f t="array" ref="R728">ifna(xlookup(L728,'🙎‍♂️ Pasien'!$G$5:$G1508,'🙎‍♂️ Pasien'!$T$5:$T1508),"")</f>
        <v>LUTUT</v>
      </c>
      <c r="S728" s="104" t="str">
        <f t="array" ref="S728">ifna(xlookup(L728,'🙎‍♂️ Pasien'!$G$5:$G1508,'🙎‍♂️ Pasien'!$U$5:$U1508),"")</f>
        <v>BADMINTON DAN GYM</v>
      </c>
      <c r="T728" s="97" t="s">
        <v>59</v>
      </c>
      <c r="U728" s="105" t="s">
        <v>60</v>
      </c>
      <c r="V728" s="101"/>
      <c r="W728" s="106" t="b">
        <v>1</v>
      </c>
      <c r="X728" s="107"/>
      <c r="Y728" s="108"/>
    </row>
    <row r="729" ht="22.5" customHeight="1">
      <c r="A729" s="96"/>
      <c r="B729" s="97" t="s">
        <v>85</v>
      </c>
      <c r="C729" s="98" t="str">
        <f t="array" ref="C729">IFNA(XLOOKUP(J729,'⚙️ Pengaturan'!$H$5:$H1508,'⚙️ Pengaturan'!$I$5:$I1508),"")</f>
        <v>TIM Y</v>
      </c>
      <c r="D729" s="97" t="s">
        <v>54</v>
      </c>
      <c r="E729" s="99">
        <v>45972.0</v>
      </c>
      <c r="F729" s="100" t="str">
        <f t="shared" si="1"/>
        <v>2025</v>
      </c>
      <c r="G729" s="100" t="str">
        <f t="shared" si="2"/>
        <v>11Nov</v>
      </c>
      <c r="H729" s="100" t="str">
        <f t="shared" si="3"/>
        <v>Selasa</v>
      </c>
      <c r="I729" s="97" t="s">
        <v>93</v>
      </c>
      <c r="J729" s="97" t="s">
        <v>107</v>
      </c>
      <c r="K729" s="97" t="s">
        <v>63</v>
      </c>
      <c r="L729" s="101" t="s">
        <v>335</v>
      </c>
      <c r="M729" s="102" t="str">
        <f>IFNA(VLOOKUP(L729,'🙎‍♂️ Pasien'!G:V,2,FALSE),"")</f>
        <v>M8925040551</v>
      </c>
      <c r="N729" s="103">
        <f>IFNA(VLOOKUP(L729,'🙎‍♂️ Pasien'!G:L,3,FALSE),"")</f>
        <v>37</v>
      </c>
      <c r="O729" s="104" t="str">
        <f>IFNA(VLOOKUP(L729,'🙎‍♂️ Pasien'!G:V,6,FALSE),"")</f>
        <v>PEREMPUAN</v>
      </c>
      <c r="P729" s="104" t="str">
        <f>IFNA(VLOOKUP(L729,'🙎‍♂️ Pasien'!G:V,12,FALSE),"")</f>
        <v>-</v>
      </c>
      <c r="Q729" s="104" t="str">
        <f>IFNA(VLOOKUP(L729:L1508,'🙎‍♂️ Pasien'!G:V,13,FALSE),"")</f>
        <v>PNS</v>
      </c>
      <c r="R729" s="104" t="str">
        <f t="array" ref="R729">ifna(xlookup(L729,'🙎‍♂️ Pasien'!$G$5:$G1508,'🙎‍♂️ Pasien'!$T$5:$T1508),"")</f>
        <v>SAKIT DI TUMIT BAGIAN TENGAH TELAPAK KAKI, KAKI KANAN. KADANG TERASA HANGAT/PANAS</v>
      </c>
      <c r="S729" s="104" t="str">
        <f t="array" ref="S729">ifna(xlookup(L729,'🙎‍♂️ Pasien'!$G$5:$G1508,'🙎‍♂️ Pasien'!$U$5:$U1508),"")</f>
        <v>JALAN PAGI</v>
      </c>
      <c r="T729" s="97" t="s">
        <v>59</v>
      </c>
      <c r="U729" s="105">
        <v>4.0</v>
      </c>
      <c r="V729" s="101"/>
      <c r="W729" s="106" t="b">
        <v>1</v>
      </c>
      <c r="X729" s="107"/>
      <c r="Y729" s="108"/>
    </row>
    <row r="730" ht="22.5" customHeight="1">
      <c r="A730" s="96"/>
      <c r="B730" s="97" t="s">
        <v>85</v>
      </c>
      <c r="C730" s="98" t="str">
        <f t="array" ref="C730">IFNA(XLOOKUP(J730,'⚙️ Pengaturan'!$H$5:$H1508,'⚙️ Pengaturan'!$I$5:$I1508),"")</f>
        <v>TIM Y</v>
      </c>
      <c r="D730" s="97" t="s">
        <v>54</v>
      </c>
      <c r="E730" s="99">
        <v>45972.0</v>
      </c>
      <c r="F730" s="100" t="str">
        <f t="shared" si="1"/>
        <v>2025</v>
      </c>
      <c r="G730" s="100" t="str">
        <f t="shared" si="2"/>
        <v>11Nov</v>
      </c>
      <c r="H730" s="100" t="str">
        <f t="shared" si="3"/>
        <v>Selasa</v>
      </c>
      <c r="I730" s="97" t="s">
        <v>95</v>
      </c>
      <c r="J730" s="97" t="s">
        <v>91</v>
      </c>
      <c r="K730" s="97" t="s">
        <v>57</v>
      </c>
      <c r="L730" s="101" t="s">
        <v>501</v>
      </c>
      <c r="M730" s="102" t="str">
        <f>IFNA(VLOOKUP(L730,'🙎‍♂️ Pasien'!G:V,2,FALSE),"")</f>
        <v>C9025117272</v>
      </c>
      <c r="N730" s="103">
        <f>IFNA(VLOOKUP(L730,'🙎‍♂️ Pasien'!G:L,3,FALSE),"")</f>
        <v>35</v>
      </c>
      <c r="O730" s="104" t="str">
        <f>IFNA(VLOOKUP(L730,'🙎‍♂️ Pasien'!G:V,6,FALSE),"")</f>
        <v>PEREMPUAN</v>
      </c>
      <c r="P730" s="104" t="str">
        <f>IFNA(VLOOKUP(L730,'🙎‍♂️ Pasien'!G:V,12,FALSE),"")</f>
        <v>PROTESTAN</v>
      </c>
      <c r="Q730" s="104" t="str">
        <f>IFNA(VLOOKUP(L730:L1508,'🙎‍♂️ Pasien'!G:V,13,FALSE),"")</f>
        <v>IBU RUMAH TANGGA</v>
      </c>
      <c r="R730" s="104" t="str">
        <f t="array" ref="R730">ifna(xlookup(L730,'🙎‍♂️ Pasien'!$G$5:$G1508,'🙎‍♂️ Pasien'!$T$5:$T1508),"")</f>
        <v>SENDI LUTUT BERGESER</v>
      </c>
      <c r="S730" s="104" t="str">
        <f t="array" ref="S730">ifna(xlookup(L730,'🙎‍♂️ Pasien'!$G$5:$G1508,'🙎‍♂️ Pasien'!$U$5:$U1508),"")</f>
        <v>JATUH KEPELESET</v>
      </c>
      <c r="T730" s="97" t="s">
        <v>59</v>
      </c>
      <c r="U730" s="105" t="s">
        <v>60</v>
      </c>
      <c r="V730" s="101"/>
      <c r="W730" s="106" t="b">
        <v>1</v>
      </c>
      <c r="X730" s="107"/>
      <c r="Y730" s="108"/>
    </row>
    <row r="731" ht="22.5" customHeight="1">
      <c r="A731" s="96"/>
      <c r="B731" s="97" t="s">
        <v>85</v>
      </c>
      <c r="C731" s="98" t="str">
        <f t="array" ref="C731">IFNA(XLOOKUP(J731,'⚙️ Pengaturan'!$H$5:$H1508,'⚙️ Pengaturan'!$I$5:$I1508),"")</f>
        <v>TIM Y</v>
      </c>
      <c r="D731" s="97" t="s">
        <v>54</v>
      </c>
      <c r="E731" s="99">
        <v>45972.0</v>
      </c>
      <c r="F731" s="100" t="str">
        <f t="shared" si="1"/>
        <v>2025</v>
      </c>
      <c r="G731" s="100" t="str">
        <f t="shared" si="2"/>
        <v>11Nov</v>
      </c>
      <c r="H731" s="100" t="str">
        <f t="shared" si="3"/>
        <v>Selasa</v>
      </c>
      <c r="I731" s="97" t="s">
        <v>95</v>
      </c>
      <c r="J731" s="97" t="s">
        <v>107</v>
      </c>
      <c r="K731" s="97" t="s">
        <v>63</v>
      </c>
      <c r="L731" s="101" t="s">
        <v>193</v>
      </c>
      <c r="M731" s="102" t="str">
        <f>IFNA(VLOOKUP(L731,'🙎‍♂️ Pasien'!G:V,2,FALSE),"")</f>
        <v>E8925075615</v>
      </c>
      <c r="N731" s="103">
        <f>IFNA(VLOOKUP(L731,'🙎‍♂️ Pasien'!G:L,3,FALSE),"")</f>
        <v>36</v>
      </c>
      <c r="O731" s="104" t="str">
        <f>IFNA(VLOOKUP(L731,'🙎‍♂️ Pasien'!G:V,6,FALSE),"")</f>
        <v>PEREMPUAN</v>
      </c>
      <c r="P731" s="104" t="str">
        <f>IFNA(VLOOKUP(L731,'🙎‍♂️ Pasien'!G:V,12,FALSE),"")</f>
        <v>KATOLIK</v>
      </c>
      <c r="Q731" s="104" t="str">
        <f>IFNA(VLOOKUP(L731:L1508,'🙎‍♂️ Pasien'!G:V,13,FALSE),"")</f>
        <v>WIRASWASTA</v>
      </c>
      <c r="R731" s="104" t="str">
        <f t="array" ref="R731">ifna(xlookup(L731,'🙎‍♂️ Pasien'!$G$5:$G1508,'🙎‍♂️ Pasien'!$T$5:$T1508),"")</f>
        <v>BUNION</v>
      </c>
      <c r="S731" s="104" t="str">
        <f t="array" ref="S731">ifna(xlookup(L731,'🙎‍♂️ Pasien'!$G$5:$G1508,'🙎‍♂️ Pasien'!$U$5:$U1508),"")</f>
        <v>TENNIS</v>
      </c>
      <c r="T731" s="97" t="s">
        <v>59</v>
      </c>
      <c r="U731" s="105">
        <v>7.0</v>
      </c>
      <c r="V731" s="101"/>
      <c r="W731" s="106" t="b">
        <v>1</v>
      </c>
      <c r="X731" s="107"/>
      <c r="Y731" s="108"/>
    </row>
    <row r="732" ht="22.5" customHeight="1">
      <c r="A732" s="96"/>
      <c r="B732" s="97" t="s">
        <v>85</v>
      </c>
      <c r="C732" s="98" t="str">
        <f t="array" ref="C732">IFNA(XLOOKUP(J732,'⚙️ Pengaturan'!$H$5:$H1508,'⚙️ Pengaturan'!$I$5:$I1508),"")</f>
        <v>TIM Y</v>
      </c>
      <c r="D732" s="97" t="s">
        <v>54</v>
      </c>
      <c r="E732" s="99">
        <v>45972.0</v>
      </c>
      <c r="F732" s="100" t="str">
        <f t="shared" si="1"/>
        <v>2025</v>
      </c>
      <c r="G732" s="100" t="str">
        <f t="shared" si="2"/>
        <v>11Nov</v>
      </c>
      <c r="H732" s="100" t="str">
        <f t="shared" si="3"/>
        <v>Selasa</v>
      </c>
      <c r="I732" s="97" t="s">
        <v>95</v>
      </c>
      <c r="J732" s="97" t="s">
        <v>91</v>
      </c>
      <c r="K732" s="97" t="s">
        <v>63</v>
      </c>
      <c r="L732" s="101" t="s">
        <v>194</v>
      </c>
      <c r="M732" s="102" t="str">
        <f>IFNA(VLOOKUP(L732,'🙎‍♂️ Pasien'!G:V,2,FALSE),"")</f>
        <v>O0925070649</v>
      </c>
      <c r="N732" s="103">
        <f>IFNA(VLOOKUP(L732,'🙎‍♂️ Pasien'!G:L,3,FALSE),"")</f>
        <v>16</v>
      </c>
      <c r="O732" s="104" t="str">
        <f>IFNA(VLOOKUP(L732,'🙎‍♂️ Pasien'!G:V,6,FALSE),"")</f>
        <v>PEREMPUAN</v>
      </c>
      <c r="P732" s="104" t="str">
        <f>IFNA(VLOOKUP(L732,'🙎‍♂️ Pasien'!G:V,12,FALSE),"")</f>
        <v>BUDDHA</v>
      </c>
      <c r="Q732" s="104" t="str">
        <f>IFNA(VLOOKUP(L732:L1508,'🙎‍♂️ Pasien'!G:V,13,FALSE),"")</f>
        <v>PELAJAR</v>
      </c>
      <c r="R732" s="104" t="str">
        <f t="array" ref="R732">ifna(xlookup(L732,'🙎‍♂️ Pasien'!$G$5:$G1508,'🙎‍♂️ Pasien'!$T$5:$T1508),"")</f>
        <v>SKOLIOSIS</v>
      </c>
      <c r="S732" s="104" t="str">
        <f t="array" ref="S732">ifna(xlookup(L732,'🙎‍♂️ Pasien'!$G$5:$G1508,'🙎‍♂️ Pasien'!$U$5:$U1508),"")</f>
        <v>TIDAK ADA</v>
      </c>
      <c r="T732" s="97" t="s">
        <v>67</v>
      </c>
      <c r="U732" s="105">
        <v>7.0</v>
      </c>
      <c r="V732" s="101" t="s">
        <v>502</v>
      </c>
      <c r="W732" s="106" t="b">
        <v>1</v>
      </c>
      <c r="X732" s="107"/>
      <c r="Y732" s="108"/>
    </row>
    <row r="733" ht="22.5" customHeight="1">
      <c r="A733" s="96"/>
      <c r="B733" s="97" t="s">
        <v>85</v>
      </c>
      <c r="C733" s="98" t="str">
        <f t="array" ref="C733">IFNA(XLOOKUP(J733,'⚙️ Pengaturan'!$H$5:$H1508,'⚙️ Pengaturan'!$I$5:$I1508),"")</f>
        <v>TIM Y</v>
      </c>
      <c r="D733" s="97" t="s">
        <v>54</v>
      </c>
      <c r="E733" s="99">
        <v>45972.0</v>
      </c>
      <c r="F733" s="100" t="str">
        <f t="shared" si="1"/>
        <v>2025</v>
      </c>
      <c r="G733" s="100" t="str">
        <f t="shared" si="2"/>
        <v>11Nov</v>
      </c>
      <c r="H733" s="100" t="str">
        <f t="shared" si="3"/>
        <v>Selasa</v>
      </c>
      <c r="I733" s="97" t="s">
        <v>97</v>
      </c>
      <c r="J733" s="97" t="s">
        <v>107</v>
      </c>
      <c r="K733" s="97" t="s">
        <v>69</v>
      </c>
      <c r="L733" s="101" t="s">
        <v>457</v>
      </c>
      <c r="M733" s="102" t="str">
        <f>IFNA(VLOOKUP(L733,'🙎‍♂️ Pasien'!G:V,2,FALSE),"")</f>
        <v>B0125112743</v>
      </c>
      <c r="N733" s="103">
        <f>IFNA(VLOOKUP(L733,'🙎‍♂️ Pasien'!G:L,3,FALSE),"")</f>
        <v>24</v>
      </c>
      <c r="O733" s="104" t="str">
        <f>IFNA(VLOOKUP(L733,'🙎‍♂️ Pasien'!G:V,6,FALSE),"")</f>
        <v>LAKI-LAKI</v>
      </c>
      <c r="P733" s="104" t="str">
        <f>IFNA(VLOOKUP(L733,'🙎‍♂️ Pasien'!G:V,12,FALSE),"")</f>
        <v>KATOLIK</v>
      </c>
      <c r="Q733" s="104" t="str">
        <f>IFNA(VLOOKUP(L733:L1508,'🙎‍♂️ Pasien'!G:V,13,FALSE),"")</f>
        <v>KARYAWAN SWASTA</v>
      </c>
      <c r="R733" s="104" t="str">
        <f t="array" ref="R733">ifna(xlookup(L733,'🙎‍♂️ Pasien'!$G$5:$G1508,'🙎‍♂️ Pasien'!$T$5:$T1508),"")</f>
        <v>NYERI PADA BAGIAN LUTUT</v>
      </c>
      <c r="S733" s="104" t="str">
        <f t="array" ref="S733">ifna(xlookup(L733,'🙎‍♂️ Pasien'!$G$5:$G1508,'🙎‍♂️ Pasien'!$U$5:$U1508),"")</f>
        <v>LARI</v>
      </c>
      <c r="T733" s="97" t="s">
        <v>59</v>
      </c>
      <c r="U733" s="105" t="s">
        <v>60</v>
      </c>
      <c r="V733" s="101"/>
      <c r="W733" s="106" t="b">
        <v>1</v>
      </c>
      <c r="X733" s="107"/>
      <c r="Y733" s="108"/>
    </row>
    <row r="734" ht="22.5" customHeight="1">
      <c r="A734" s="96"/>
      <c r="B734" s="97" t="s">
        <v>85</v>
      </c>
      <c r="C734" s="98" t="str">
        <f t="array" ref="C734">IFNA(XLOOKUP(J734,'⚙️ Pengaturan'!$H$5:$H1508,'⚙️ Pengaturan'!$I$5:$I1508),"")</f>
        <v>TIM Y</v>
      </c>
      <c r="D734" s="97" t="s">
        <v>54</v>
      </c>
      <c r="E734" s="99">
        <v>45972.0</v>
      </c>
      <c r="F734" s="100" t="str">
        <f t="shared" si="1"/>
        <v>2025</v>
      </c>
      <c r="G734" s="100" t="str">
        <f t="shared" si="2"/>
        <v>11Nov</v>
      </c>
      <c r="H734" s="100" t="str">
        <f t="shared" si="3"/>
        <v>Selasa</v>
      </c>
      <c r="I734" s="97" t="s">
        <v>97</v>
      </c>
      <c r="J734" s="97" t="s">
        <v>91</v>
      </c>
      <c r="K734" s="97" t="s">
        <v>63</v>
      </c>
      <c r="L734" s="101" t="s">
        <v>417</v>
      </c>
      <c r="M734" s="102" t="str">
        <f>IFNA(VLOOKUP(L734,'🙎‍♂️ Pasien'!G:V,2,FALSE),"")</f>
        <v>F0225102200</v>
      </c>
      <c r="N734" s="103">
        <f>IFNA(VLOOKUP(L734,'🙎‍♂️ Pasien'!G:L,3,FALSE),"")</f>
        <v>23</v>
      </c>
      <c r="O734" s="104" t="str">
        <f>IFNA(VLOOKUP(L734,'🙎‍♂️ Pasien'!G:V,6,FALSE),"")</f>
        <v>LAKI-LAKI</v>
      </c>
      <c r="P734" s="104" t="str">
        <f>IFNA(VLOOKUP(L734,'🙎‍♂️ Pasien'!G:V,12,FALSE),"")</f>
        <v>ISLAM</v>
      </c>
      <c r="Q734" s="104" t="str">
        <f>IFNA(VLOOKUP(L734:L1508,'🙎‍♂️ Pasien'!G:V,13,FALSE),"")</f>
        <v>WIRASWASTA</v>
      </c>
      <c r="R734" s="104" t="str">
        <f t="array" ref="R734">ifna(xlookup(L734,'🙎‍♂️ Pasien'!$G$5:$G1508,'🙎‍♂️ Pasien'!$T$5:$T1508),"")</f>
        <v>SCOLIOSIS, SAKIT SAAT BERDIRI/DUDUK LAMA</v>
      </c>
      <c r="S734" s="104" t="str">
        <f t="array" ref="S734">ifna(xlookup(L734,'🙎‍♂️ Pasien'!$G$5:$G1508,'🙎‍♂️ Pasien'!$U$5:$U1508),"")</f>
        <v>KERJA DI LAPANGAN, LARI</v>
      </c>
      <c r="T734" s="97" t="s">
        <v>67</v>
      </c>
      <c r="U734" s="105">
        <v>3.0</v>
      </c>
      <c r="V734" s="101" t="s">
        <v>205</v>
      </c>
      <c r="W734" s="106" t="b">
        <v>1</v>
      </c>
      <c r="X734" s="107"/>
      <c r="Y734" s="108"/>
    </row>
    <row r="735" ht="22.5" customHeight="1">
      <c r="A735" s="96"/>
      <c r="B735" s="97" t="s">
        <v>85</v>
      </c>
      <c r="C735" s="98" t="str">
        <f t="array" ref="C735">IFNA(XLOOKUP(J735,'⚙️ Pengaturan'!$H$5:$H1508,'⚙️ Pengaturan'!$I$5:$I1508),"")</f>
        <v>TIM Y</v>
      </c>
      <c r="D735" s="97" t="s">
        <v>54</v>
      </c>
      <c r="E735" s="99">
        <v>45972.0</v>
      </c>
      <c r="F735" s="100" t="str">
        <f t="shared" si="1"/>
        <v>2025</v>
      </c>
      <c r="G735" s="100" t="str">
        <f t="shared" si="2"/>
        <v>11Nov</v>
      </c>
      <c r="H735" s="100" t="str">
        <f t="shared" si="3"/>
        <v>Selasa</v>
      </c>
      <c r="I735" s="97" t="s">
        <v>99</v>
      </c>
      <c r="J735" s="97" t="s">
        <v>91</v>
      </c>
      <c r="K735" s="97" t="s">
        <v>63</v>
      </c>
      <c r="L735" s="101" t="s">
        <v>239</v>
      </c>
      <c r="M735" s="102" t="str">
        <f>IFNA(VLOOKUP(L735,'🙎‍♂️ Pasien'!G:V,2,FALSE),"")</f>
        <v>A0623071437</v>
      </c>
      <c r="N735" s="103">
        <f>IFNA(VLOOKUP(L735,'🙎‍♂️ Pasien'!G:L,3,FALSE),"")</f>
        <v>20</v>
      </c>
      <c r="O735" s="104" t="str">
        <f>IFNA(VLOOKUP(L735,'🙎‍♂️ Pasien'!G:V,6,FALSE),"")</f>
        <v>LAKI-LAKI</v>
      </c>
      <c r="P735" s="104" t="str">
        <f>IFNA(VLOOKUP(L735,'🙎‍♂️ Pasien'!G:V,12,FALSE),"")</f>
        <v>ISLAM</v>
      </c>
      <c r="Q735" s="104" t="str">
        <f>IFNA(VLOOKUP(L735:L1508,'🙎‍♂️ Pasien'!G:V,13,FALSE),"")</f>
        <v>PELAJAR/MAHASISWA</v>
      </c>
      <c r="R735" s="104" t="str">
        <f t="array" ref="R735">ifna(xlookup(L735,'🙎‍♂️ Pasien'!$G$5:$G1508,'🙎‍♂️ Pasien'!$T$5:$T1508),"")</f>
        <v>Cedera Engkel Di Kaki</v>
      </c>
      <c r="S735" s="104" t="str">
        <f t="array" ref="S735">ifna(xlookup(L735,'🙎‍♂️ Pasien'!$G$5:$G1508,'🙎‍♂️ Pasien'!$U$5:$U1508),"")</f>
        <v>BERMAIN FUTSAL</v>
      </c>
      <c r="T735" s="97" t="s">
        <v>59</v>
      </c>
      <c r="U735" s="105">
        <v>5.0</v>
      </c>
      <c r="V735" s="101" t="s">
        <v>125</v>
      </c>
      <c r="W735" s="106" t="b">
        <v>1</v>
      </c>
      <c r="X735" s="107"/>
      <c r="Y735" s="108"/>
    </row>
    <row r="736" ht="22.5" customHeight="1">
      <c r="A736" s="96"/>
      <c r="B736" s="97" t="s">
        <v>53</v>
      </c>
      <c r="C736" s="98" t="str">
        <f t="array" ref="C736">IFNA(XLOOKUP(J736,'⚙️ Pengaturan'!$H$5:$H1508,'⚙️ Pengaturan'!$I$5:$I1508),"")</f>
        <v>TIM Y</v>
      </c>
      <c r="D736" s="97" t="s">
        <v>54</v>
      </c>
      <c r="E736" s="99">
        <v>45973.0</v>
      </c>
      <c r="F736" s="100" t="str">
        <f t="shared" si="1"/>
        <v>2025</v>
      </c>
      <c r="G736" s="100" t="str">
        <f t="shared" si="2"/>
        <v>11Nov</v>
      </c>
      <c r="H736" s="100" t="str">
        <f t="shared" si="3"/>
        <v>Rabu</v>
      </c>
      <c r="I736" s="97" t="s">
        <v>55</v>
      </c>
      <c r="J736" s="97" t="s">
        <v>56</v>
      </c>
      <c r="K736" s="97" t="s">
        <v>69</v>
      </c>
      <c r="L736" s="101" t="s">
        <v>374</v>
      </c>
      <c r="M736" s="102" t="str">
        <f>IFNA(VLOOKUP(L736,'🙎‍♂️ Pasien'!G:V,2,FALSE),"")</f>
        <v>A9125109974</v>
      </c>
      <c r="N736" s="103">
        <f>IFNA(VLOOKUP(L736,'🙎‍♂️ Pasien'!G:L,3,FALSE),"")</f>
        <v>34</v>
      </c>
      <c r="O736" s="104" t="str">
        <f>IFNA(VLOOKUP(L736,'🙎‍♂️ Pasien'!G:V,6,FALSE),"")</f>
        <v>LAKI-LAKI</v>
      </c>
      <c r="P736" s="104" t="str">
        <f>IFNA(VLOOKUP(L736,'🙎‍♂️ Pasien'!G:V,12,FALSE),"")</f>
        <v>ISLAM</v>
      </c>
      <c r="Q736" s="104" t="str">
        <f>IFNA(VLOOKUP(L736:L1508,'🙎‍♂️ Pasien'!G:V,13,FALSE),"")</f>
        <v>KARYAWAN</v>
      </c>
      <c r="R736" s="104" t="str">
        <f t="array" ref="R736">ifna(xlookup(L736,'🙎‍♂️ Pasien'!$G$5:$G1508,'🙎‍♂️ Pasien'!$T$5:$T1508),"")</f>
        <v>STRAIGHT LUMBALIS DAN PLANTAR OS CALCANEUS</v>
      </c>
      <c r="S736" s="104" t="str">
        <f t="array" ref="S736">ifna(xlookup(L736,'🙎‍♂️ Pasien'!$G$5:$G1508,'🙎‍♂️ Pasien'!$U$5:$U1508),"")</f>
        <v>BEKERJA DUDUK BERDIRI LAMA JDI KAKI KANAN SAMPAI PANGKAL PAHA LINU</v>
      </c>
      <c r="T736" s="97" t="s">
        <v>59</v>
      </c>
      <c r="U736" s="105" t="s">
        <v>60</v>
      </c>
      <c r="V736" s="101"/>
      <c r="W736" s="106" t="b">
        <v>1</v>
      </c>
      <c r="X736" s="107"/>
      <c r="Y736" s="108"/>
    </row>
    <row r="737" ht="22.5" customHeight="1">
      <c r="A737" s="96"/>
      <c r="B737" s="97" t="s">
        <v>53</v>
      </c>
      <c r="C737" s="98" t="str">
        <f t="array" ref="C737">IFNA(XLOOKUP(J737,'⚙️ Pengaturan'!$H$5:$H1508,'⚙️ Pengaturan'!$I$5:$I1508),"")</f>
        <v>TIM A</v>
      </c>
      <c r="D737" s="97" t="s">
        <v>54</v>
      </c>
      <c r="E737" s="99">
        <v>45973.0</v>
      </c>
      <c r="F737" s="100" t="str">
        <f t="shared" si="1"/>
        <v>2025</v>
      </c>
      <c r="G737" s="100" t="str">
        <f t="shared" si="2"/>
        <v>11Nov</v>
      </c>
      <c r="H737" s="100" t="str">
        <f t="shared" si="3"/>
        <v>Rabu</v>
      </c>
      <c r="I737" s="97" t="s">
        <v>55</v>
      </c>
      <c r="J737" s="97" t="s">
        <v>79</v>
      </c>
      <c r="K737" s="97" t="s">
        <v>63</v>
      </c>
      <c r="L737" s="101" t="s">
        <v>350</v>
      </c>
      <c r="M737" s="102" t="str">
        <f>IFNA(VLOOKUP(L737,'🙎‍♂️ Pasien'!G:V,2,FALSE),"")</f>
        <v>I8025109996</v>
      </c>
      <c r="N737" s="103">
        <f>IFNA(VLOOKUP(L737,'🙎‍♂️ Pasien'!G:L,3,FALSE),"")</f>
        <v>45</v>
      </c>
      <c r="O737" s="104" t="str">
        <f>IFNA(VLOOKUP(L737,'🙎‍♂️ Pasien'!G:V,6,FALSE),"")</f>
        <v>PEREMPUAN</v>
      </c>
      <c r="P737" s="104" t="str">
        <f>IFNA(VLOOKUP(L737,'🙎‍♂️ Pasien'!G:V,12,FALSE),"")</f>
        <v>ISLAM</v>
      </c>
      <c r="Q737" s="104" t="str">
        <f>IFNA(VLOOKUP(L737:L1508,'🙎‍♂️ Pasien'!G:V,13,FALSE),"")</f>
        <v>WIRASWASTA</v>
      </c>
      <c r="R737" s="104" t="str">
        <f t="array" ref="R737">ifna(xlookup(L737,'🙎‍♂️ Pasien'!$G$5:$G1508,'🙎‍♂️ Pasien'!$T$5:$T1508),"")</f>
        <v>NYERI KEPALA TIPE TEGANG DAN TANGAN SUKA KESEMUTAN</v>
      </c>
      <c r="S737" s="104" t="str">
        <f t="array" ref="S737">ifna(xlookup(L737,'🙎‍♂️ Pasien'!$G$5:$G1508,'🙎‍♂️ Pasien'!$U$5:$U1508),"")</f>
        <v>JIKA BAWA MOTOR DAN TIDUR MENGHADAP KE KANAN</v>
      </c>
      <c r="T737" s="97" t="s">
        <v>59</v>
      </c>
      <c r="U737" s="105">
        <v>1.0</v>
      </c>
      <c r="V737" s="101"/>
      <c r="W737" s="106" t="b">
        <v>1</v>
      </c>
      <c r="X737" s="107"/>
      <c r="Y737" s="108"/>
    </row>
    <row r="738" ht="22.5" customHeight="1">
      <c r="A738" s="96"/>
      <c r="B738" s="97" t="s">
        <v>53</v>
      </c>
      <c r="C738" s="98" t="str">
        <f t="array" ref="C738">IFNA(XLOOKUP(J738,'⚙️ Pengaturan'!$H$5:$H1508,'⚙️ Pengaturan'!$I$5:$I1508),"")</f>
        <v>MANAJEMEN</v>
      </c>
      <c r="D738" s="97" t="s">
        <v>54</v>
      </c>
      <c r="E738" s="99">
        <v>45973.0</v>
      </c>
      <c r="F738" s="100" t="str">
        <f t="shared" si="1"/>
        <v>2025</v>
      </c>
      <c r="G738" s="100" t="str">
        <f t="shared" si="2"/>
        <v>11Nov</v>
      </c>
      <c r="H738" s="100" t="str">
        <f t="shared" si="3"/>
        <v>Rabu</v>
      </c>
      <c r="I738" s="97" t="s">
        <v>55</v>
      </c>
      <c r="J738" s="97" t="s">
        <v>101</v>
      </c>
      <c r="K738" s="97" t="s">
        <v>57</v>
      </c>
      <c r="L738" s="101" t="s">
        <v>503</v>
      </c>
      <c r="M738" s="102" t="str">
        <f>IFNA(VLOOKUP(L738,'🙎‍♂️ Pasien'!G:V,2,FALSE),"")</f>
        <v/>
      </c>
      <c r="N738" s="103" t="str">
        <f>IFNA(VLOOKUP(L738,'🙎‍♂️ Pasien'!G:L,3,FALSE),"")</f>
        <v/>
      </c>
      <c r="O738" s="104" t="str">
        <f>IFNA(VLOOKUP(L738,'🙎‍♂️ Pasien'!G:V,6,FALSE),"")</f>
        <v/>
      </c>
      <c r="P738" s="104" t="str">
        <f>IFNA(VLOOKUP(L738,'🙎‍♂️ Pasien'!G:V,12,FALSE),"")</f>
        <v/>
      </c>
      <c r="Q738" s="104" t="str">
        <f>IFNA(VLOOKUP(L738:L1508,'🙎‍♂️ Pasien'!G:V,13,FALSE),"")</f>
        <v/>
      </c>
      <c r="R738" s="104" t="str">
        <f t="array" ref="R738">ifna(xlookup(L738,'🙎‍♂️ Pasien'!$G$5:$G1508,'🙎‍♂️ Pasien'!$T$5:$T1508),"")</f>
        <v/>
      </c>
      <c r="S738" s="104" t="str">
        <f t="array" ref="S738">ifna(xlookup(L738,'🙎‍♂️ Pasien'!$G$5:$G1508,'🙎‍♂️ Pasien'!$U$5:$U1508),"")</f>
        <v/>
      </c>
      <c r="T738" s="97" t="s">
        <v>67</v>
      </c>
      <c r="U738" s="105" t="s">
        <v>60</v>
      </c>
      <c r="V738" s="101" t="s">
        <v>265</v>
      </c>
      <c r="W738" s="106" t="b">
        <v>1</v>
      </c>
      <c r="X738" s="107"/>
      <c r="Y738" s="108"/>
    </row>
    <row r="739" ht="22.5" customHeight="1">
      <c r="A739" s="96"/>
      <c r="B739" s="97" t="s">
        <v>53</v>
      </c>
      <c r="C739" s="98" t="str">
        <f t="array" ref="C739">IFNA(XLOOKUP(J739,'⚙️ Pengaturan'!$H$5:$H1508,'⚙️ Pengaturan'!$I$5:$I1508),"")</f>
        <v>TIM A</v>
      </c>
      <c r="D739" s="97" t="s">
        <v>54</v>
      </c>
      <c r="E739" s="99">
        <v>45973.0</v>
      </c>
      <c r="F739" s="100" t="str">
        <f t="shared" si="1"/>
        <v>2025</v>
      </c>
      <c r="G739" s="100" t="str">
        <f t="shared" si="2"/>
        <v>11Nov</v>
      </c>
      <c r="H739" s="100" t="str">
        <f t="shared" si="3"/>
        <v>Rabu</v>
      </c>
      <c r="I739" s="97" t="s">
        <v>65</v>
      </c>
      <c r="J739" s="97" t="s">
        <v>79</v>
      </c>
      <c r="K739" s="97" t="s">
        <v>63</v>
      </c>
      <c r="L739" s="101" t="s">
        <v>200</v>
      </c>
      <c r="M739" s="102" t="str">
        <f>IFNA(VLOOKUP(L739,'🙎‍♂️ Pasien'!G:V,2,FALSE),"")</f>
        <v>R5725106810</v>
      </c>
      <c r="N739" s="103">
        <f>IFNA(VLOOKUP(L739,'🙎‍♂️ Pasien'!G:L,3,FALSE),"")</f>
        <v>68</v>
      </c>
      <c r="O739" s="104" t="str">
        <f>IFNA(VLOOKUP(L739,'🙎‍♂️ Pasien'!G:V,6,FALSE),"")</f>
        <v>PEREMPUAN</v>
      </c>
      <c r="P739" s="104" t="str">
        <f>IFNA(VLOOKUP(L739,'🙎‍♂️ Pasien'!G:V,12,FALSE),"")</f>
        <v>PROTESTAN</v>
      </c>
      <c r="Q739" s="104" t="str">
        <f>IFNA(VLOOKUP(L739:L1508,'🙎‍♂️ Pasien'!G:V,13,FALSE),"")</f>
        <v>RUMAH TANGGA</v>
      </c>
      <c r="R739" s="104" t="str">
        <f t="array" ref="R739">ifna(xlookup(L739,'🙎‍♂️ Pasien'!$G$5:$G1508,'🙎‍♂️ Pasien'!$T$5:$T1508),"")</f>
        <v>KAKI KIRI SERING NYILU, PEGAL KALAU MALAM WAKTU MAU TIDUR, BAGIAN LEHER DAN BELIKAT KANAN SERING SAKIT..</v>
      </c>
      <c r="S739" s="104" t="str">
        <f t="array" ref="S739">ifna(xlookup(L739,'🙎‍♂️ Pasien'!$G$5:$G1508,'🙎‍♂️ Pasien'!$U$5:$U1508),"")</f>
        <v>KERJA DIRUMAH</v>
      </c>
      <c r="T739" s="97" t="s">
        <v>59</v>
      </c>
      <c r="U739" s="105">
        <v>1.0</v>
      </c>
      <c r="V739" s="101"/>
      <c r="W739" s="106" t="b">
        <v>1</v>
      </c>
      <c r="X739" s="107"/>
      <c r="Y739" s="108"/>
    </row>
    <row r="740" ht="22.5" customHeight="1">
      <c r="A740" s="96"/>
      <c r="B740" s="97" t="s">
        <v>53</v>
      </c>
      <c r="C740" s="98" t="str">
        <f t="array" ref="C740">IFNA(XLOOKUP(J740,'⚙️ Pengaturan'!$H$5:$H1508,'⚙️ Pengaturan'!$I$5:$I1508),"")</f>
        <v>TIM Y</v>
      </c>
      <c r="D740" s="97" t="s">
        <v>54</v>
      </c>
      <c r="E740" s="99">
        <v>45973.0</v>
      </c>
      <c r="F740" s="100" t="str">
        <f t="shared" si="1"/>
        <v>2025</v>
      </c>
      <c r="G740" s="100" t="str">
        <f t="shared" si="2"/>
        <v>11Nov</v>
      </c>
      <c r="H740" s="100" t="str">
        <f t="shared" si="3"/>
        <v>Rabu</v>
      </c>
      <c r="I740" s="97" t="s">
        <v>65</v>
      </c>
      <c r="J740" s="97" t="s">
        <v>56</v>
      </c>
      <c r="K740" s="97" t="s">
        <v>57</v>
      </c>
      <c r="L740" s="101" t="s">
        <v>504</v>
      </c>
      <c r="M740" s="102" t="str">
        <f>IFNA(VLOOKUP(L740,'🙎‍♂️ Pasien'!G:V,2,FALSE),"")</f>
        <v>S5925119334</v>
      </c>
      <c r="N740" s="103">
        <f>IFNA(VLOOKUP(L740,'🙎‍♂️ Pasien'!G:L,3,FALSE),"")</f>
        <v>67</v>
      </c>
      <c r="O740" s="104" t="str">
        <f>IFNA(VLOOKUP(L740,'🙎‍♂️ Pasien'!G:V,6,FALSE),"")</f>
        <v>LAKI-LAKI</v>
      </c>
      <c r="P740" s="104" t="str">
        <f>IFNA(VLOOKUP(L740,'🙎‍♂️ Pasien'!G:V,12,FALSE),"")</f>
        <v>ISLAM</v>
      </c>
      <c r="Q740" s="104" t="str">
        <f>IFNA(VLOOKUP(L740:L1508,'🙎‍♂️ Pasien'!G:V,13,FALSE),"")</f>
        <v>PENSIUNAN GURU</v>
      </c>
      <c r="R740" s="104" t="str">
        <f t="array" ref="R740">ifna(xlookup(L740,'🙎‍♂️ Pasien'!$G$5:$G1508,'🙎‍♂️ Pasien'!$T$5:$T1508),"")</f>
        <v>TANGAN KIRI LEMAH KALO MENGENGAM (KAKU) KAKI KETIKA SOLAT SULIT DITEKUK SEBELUM NYA PERNAH TERKENA STRUK RINGAN DITAHUN 2015 DAN 2020</v>
      </c>
      <c r="S740" s="104" t="str">
        <f t="array" ref="S740">ifna(xlookup(L740,'🙎‍♂️ Pasien'!$G$5:$G1508,'🙎‍♂️ Pasien'!$U$5:$U1508),"")</f>
        <v>JALAN JALAN KECIL</v>
      </c>
      <c r="T740" s="97" t="s">
        <v>59</v>
      </c>
      <c r="U740" s="105" t="s">
        <v>60</v>
      </c>
      <c r="V740" s="101"/>
      <c r="W740" s="106" t="b">
        <v>1</v>
      </c>
      <c r="X740" s="107"/>
      <c r="Y740" s="108"/>
    </row>
    <row r="741" ht="22.5" customHeight="1">
      <c r="A741" s="96"/>
      <c r="B741" s="97" t="s">
        <v>53</v>
      </c>
      <c r="C741" s="98" t="str">
        <f t="array" ref="C741">IFNA(XLOOKUP(J741,'⚙️ Pengaturan'!$H$5:$H1508,'⚙️ Pengaturan'!$I$5:$I1508),"")</f>
        <v>TIM A</v>
      </c>
      <c r="D741" s="97" t="s">
        <v>54</v>
      </c>
      <c r="E741" s="99">
        <v>45973.0</v>
      </c>
      <c r="F741" s="100" t="str">
        <f t="shared" si="1"/>
        <v>2025</v>
      </c>
      <c r="G741" s="100" t="str">
        <f t="shared" si="2"/>
        <v>11Nov</v>
      </c>
      <c r="H741" s="100" t="str">
        <f t="shared" si="3"/>
        <v>Rabu</v>
      </c>
      <c r="I741" s="97" t="s">
        <v>74</v>
      </c>
      <c r="J741" s="97" t="s">
        <v>62</v>
      </c>
      <c r="K741" s="97" t="s">
        <v>63</v>
      </c>
      <c r="L741" s="101" t="s">
        <v>407</v>
      </c>
      <c r="M741" s="102" t="str">
        <f>IFNA(VLOOKUP(L741,'🙎‍♂️ Pasien'!G:V,2,FALSE),"")</f>
        <v>D8225100100</v>
      </c>
      <c r="N741" s="103">
        <f>IFNA(VLOOKUP(L741,'🙎‍♂️ Pasien'!G:L,3,FALSE),"")</f>
        <v>43</v>
      </c>
      <c r="O741" s="104" t="str">
        <f>IFNA(VLOOKUP(L741,'🙎‍♂️ Pasien'!G:V,6,FALSE),"")</f>
        <v>PEREMPUAN</v>
      </c>
      <c r="P741" s="104" t="str">
        <f>IFNA(VLOOKUP(L741,'🙎‍♂️ Pasien'!G:V,12,FALSE),"")</f>
        <v>KATOLIK</v>
      </c>
      <c r="Q741" s="104" t="str">
        <f>IFNA(VLOOKUP(L741:L1508,'🙎‍♂️ Pasien'!G:V,13,FALSE),"")</f>
        <v>IBU RUMAH TANGGA</v>
      </c>
      <c r="R741" s="104" t="str">
        <f t="array" ref="R741">ifna(xlookup(L741,'🙎‍♂️ Pasien'!$G$5:$G1508,'🙎‍♂️ Pasien'!$T$5:$T1508),"")</f>
        <v>SAKIT DI BAHU DAN LENGAN SEBELAH KIRI</v>
      </c>
      <c r="S741" s="104" t="str">
        <f t="array" ref="S741">ifna(xlookup(L741,'🙎‍♂️ Pasien'!$G$5:$G1508,'🙎‍♂️ Pasien'!$U$5:$U1508),"")</f>
        <v>SERING MEMEGANG HAPE DALAM POSISI TIDUR</v>
      </c>
      <c r="T741" s="97" t="s">
        <v>59</v>
      </c>
      <c r="U741" s="105">
        <v>2.0</v>
      </c>
      <c r="V741" s="101"/>
      <c r="W741" s="106" t="b">
        <v>1</v>
      </c>
      <c r="X741" s="107"/>
      <c r="Y741" s="108"/>
    </row>
    <row r="742" ht="22.5" customHeight="1">
      <c r="A742" s="96"/>
      <c r="B742" s="97" t="s">
        <v>53</v>
      </c>
      <c r="C742" s="98" t="str">
        <f t="array" ref="C742">IFNA(XLOOKUP(J742,'⚙️ Pengaturan'!$H$5:$H1508,'⚙️ Pengaturan'!$I$5:$I1508),"")</f>
        <v>TIM A</v>
      </c>
      <c r="D742" s="97" t="s">
        <v>54</v>
      </c>
      <c r="E742" s="99">
        <v>45973.0</v>
      </c>
      <c r="F742" s="100" t="str">
        <f t="shared" si="1"/>
        <v>2025</v>
      </c>
      <c r="G742" s="100" t="str">
        <f t="shared" si="2"/>
        <v>11Nov</v>
      </c>
      <c r="H742" s="100" t="str">
        <f t="shared" si="3"/>
        <v>Rabu</v>
      </c>
      <c r="I742" s="97" t="s">
        <v>76</v>
      </c>
      <c r="J742" s="97" t="s">
        <v>79</v>
      </c>
      <c r="K742" s="97" t="s">
        <v>63</v>
      </c>
      <c r="L742" s="101" t="s">
        <v>302</v>
      </c>
      <c r="M742" s="102" t="str">
        <f>IFNA(VLOOKUP(L742,'🙎‍♂️ Pasien'!G:V,2,FALSE),"")</f>
        <v>A9425105994</v>
      </c>
      <c r="N742" s="103">
        <f>IFNA(VLOOKUP(L742,'🙎‍♂️ Pasien'!G:L,3,FALSE),"")</f>
        <v>32</v>
      </c>
      <c r="O742" s="104" t="str">
        <f>IFNA(VLOOKUP(L742,'🙎‍♂️ Pasien'!G:V,6,FALSE),"")</f>
        <v>LAKI-LAKI</v>
      </c>
      <c r="P742" s="104" t="str">
        <f>IFNA(VLOOKUP(L742,'🙎‍♂️ Pasien'!G:V,12,FALSE),"")</f>
        <v>ISLAM</v>
      </c>
      <c r="Q742" s="104" t="str">
        <f>IFNA(VLOOKUP(L742:L1508,'🙎‍♂️ Pasien'!G:V,13,FALSE),"")</f>
        <v>KARYAWAN SWASTA</v>
      </c>
      <c r="R742" s="104" t="str">
        <f t="array" ref="R742">ifna(xlookup(L742,'🙎‍♂️ Pasien'!$G$5:$G1508,'🙎‍♂️ Pasien'!$T$5:$T1508),"")</f>
        <v>LUTUT</v>
      </c>
      <c r="S742" s="104" t="str">
        <f t="array" ref="S742">ifna(xlookup(L742,'🙎‍♂️ Pasien'!$G$5:$G1508,'🙎‍♂️ Pasien'!$U$5:$U1508),"")</f>
        <v>OLAGRAGA</v>
      </c>
      <c r="T742" s="97" t="s">
        <v>67</v>
      </c>
      <c r="U742" s="105">
        <v>1.0</v>
      </c>
      <c r="V742" s="101" t="s">
        <v>195</v>
      </c>
      <c r="W742" s="106" t="b">
        <v>1</v>
      </c>
      <c r="X742" s="107"/>
      <c r="Y742" s="108"/>
    </row>
    <row r="743" ht="22.5" customHeight="1">
      <c r="A743" s="96"/>
      <c r="B743" s="97" t="s">
        <v>53</v>
      </c>
      <c r="C743" s="98" t="str">
        <f t="array" ref="C743">IFNA(XLOOKUP(J743,'⚙️ Pengaturan'!$H$5:$H1508,'⚙️ Pengaturan'!$I$5:$I1508),"")</f>
        <v>TIM Y</v>
      </c>
      <c r="D743" s="97" t="s">
        <v>54</v>
      </c>
      <c r="E743" s="99">
        <v>45973.0</v>
      </c>
      <c r="F743" s="100" t="str">
        <f t="shared" si="1"/>
        <v>2025</v>
      </c>
      <c r="G743" s="100" t="str">
        <f t="shared" si="2"/>
        <v>11Nov</v>
      </c>
      <c r="H743" s="100" t="str">
        <f t="shared" si="3"/>
        <v>Rabu</v>
      </c>
      <c r="I743" s="97" t="s">
        <v>76</v>
      </c>
      <c r="J743" s="97" t="s">
        <v>56</v>
      </c>
      <c r="K743" s="97" t="s">
        <v>57</v>
      </c>
      <c r="L743" s="101" t="s">
        <v>505</v>
      </c>
      <c r="M743" s="102" t="str">
        <f>IFNA(VLOOKUP(L743,'🙎‍♂️ Pasien'!G:V,2,FALSE),"")</f>
        <v>E7523087500</v>
      </c>
      <c r="N743" s="103">
        <f>IFNA(VLOOKUP(L743,'🙎‍♂️ Pasien'!G:L,3,FALSE),"")</f>
        <v>50</v>
      </c>
      <c r="O743" s="104" t="str">
        <f>IFNA(VLOOKUP(L743,'🙎‍♂️ Pasien'!G:V,6,FALSE),"")</f>
        <v>LAKI-LAKI</v>
      </c>
      <c r="P743" s="104" t="str">
        <f>IFNA(VLOOKUP(L743,'🙎‍♂️ Pasien'!G:V,12,FALSE),"")</f>
        <v>ISLAM</v>
      </c>
      <c r="Q743" s="104" t="str">
        <f>IFNA(VLOOKUP(L743:L1508,'🙎‍♂️ Pasien'!G:V,13,FALSE),"")</f>
        <v>WIRASWASTA</v>
      </c>
      <c r="R743" s="104" t="str">
        <f t="array" ref="R743">ifna(xlookup(L743,'🙎‍♂️ Pasien'!$G$5:$G1508,'🙎‍♂️ Pasien'!$T$5:$T1508),"")</f>
        <v>LEHER DAN BAHU</v>
      </c>
      <c r="S743" s="104" t="str">
        <f t="array" ref="S743">ifna(xlookup(L743,'🙎‍♂️ Pasien'!$G$5:$G1508,'🙎‍♂️ Pasien'!$U$5:$U1508),"")</f>
        <v>-</v>
      </c>
      <c r="T743" s="97" t="s">
        <v>59</v>
      </c>
      <c r="U743" s="105" t="s">
        <v>60</v>
      </c>
      <c r="V743" s="101"/>
      <c r="W743" s="106" t="b">
        <v>1</v>
      </c>
      <c r="X743" s="107"/>
      <c r="Y743" s="108"/>
    </row>
    <row r="744" ht="22.5" customHeight="1">
      <c r="A744" s="96"/>
      <c r="B744" s="97" t="s">
        <v>53</v>
      </c>
      <c r="C744" s="98" t="str">
        <f t="array" ref="C744">IFNA(XLOOKUP(J744,'⚙️ Pengaturan'!$H$5:$H1508,'⚙️ Pengaturan'!$I$5:$I1508),"")</f>
        <v>TIM A</v>
      </c>
      <c r="D744" s="97" t="s">
        <v>54</v>
      </c>
      <c r="E744" s="99">
        <v>45973.0</v>
      </c>
      <c r="F744" s="100" t="str">
        <f t="shared" si="1"/>
        <v>2025</v>
      </c>
      <c r="G744" s="100" t="str">
        <f t="shared" si="2"/>
        <v>11Nov</v>
      </c>
      <c r="H744" s="100" t="str">
        <f t="shared" si="3"/>
        <v>Rabu</v>
      </c>
      <c r="I744" s="97" t="s">
        <v>76</v>
      </c>
      <c r="J744" s="97" t="s">
        <v>62</v>
      </c>
      <c r="K744" s="97" t="s">
        <v>63</v>
      </c>
      <c r="L744" s="101" t="s">
        <v>430</v>
      </c>
      <c r="M744" s="102" t="str">
        <f>IFNA(VLOOKUP(L744,'🙎‍♂️ Pasien'!G:V,2,FALSE),"")</f>
        <v>J5525063513</v>
      </c>
      <c r="N744" s="103">
        <f>IFNA(VLOOKUP(L744,'🙎‍♂️ Pasien'!G:L,3,FALSE),"")</f>
        <v>71</v>
      </c>
      <c r="O744" s="104" t="str">
        <f>IFNA(VLOOKUP(L744,'🙎‍♂️ Pasien'!G:V,6,FALSE),"")</f>
        <v>PEREMPUAN</v>
      </c>
      <c r="P744" s="104" t="str">
        <f>IFNA(VLOOKUP(L744,'🙎‍♂️ Pasien'!G:V,12,FALSE),"")</f>
        <v>KATOLIK</v>
      </c>
      <c r="Q744" s="104" t="str">
        <f>IFNA(VLOOKUP(L744:L1508,'🙎‍♂️ Pasien'!G:V,13,FALSE),"")</f>
        <v>IBU RUMAH TANGGA</v>
      </c>
      <c r="R744" s="104" t="str">
        <f t="array" ref="R744">ifna(xlookup(L744,'🙎‍♂️ Pasien'!$G$5:$G1508,'🙎‍♂️ Pasien'!$T$5:$T1508),"")</f>
        <v>BAGIAN PANTAT SAKIT</v>
      </c>
      <c r="S744" s="104" t="str">
        <f t="array" ref="S744">ifna(xlookup(L744,'🙎‍♂️ Pasien'!$G$5:$G1508,'🙎‍♂️ Pasien'!$U$5:$U1508),"")</f>
        <v>BARU OPERASI TULANG SUMSUNG BELAKANG KARENA SARAF KEJEPIT 1 BULAN LALU</v>
      </c>
      <c r="T744" s="97" t="s">
        <v>59</v>
      </c>
      <c r="U744" s="105">
        <v>4.0</v>
      </c>
      <c r="V744" s="101"/>
      <c r="W744" s="106" t="b">
        <v>1</v>
      </c>
      <c r="X744" s="107"/>
      <c r="Y744" s="108"/>
    </row>
    <row r="745" ht="22.5" customHeight="1">
      <c r="A745" s="96"/>
      <c r="B745" s="97" t="s">
        <v>53</v>
      </c>
      <c r="C745" s="98" t="str">
        <f t="array" ref="C745">IFNA(XLOOKUP(J745,'⚙️ Pengaturan'!$H$5:$H1508,'⚙️ Pengaturan'!$I$5:$I1508),"")</f>
        <v>TIM Y</v>
      </c>
      <c r="D745" s="97" t="s">
        <v>54</v>
      </c>
      <c r="E745" s="99">
        <v>45973.0</v>
      </c>
      <c r="F745" s="100" t="str">
        <f t="shared" si="1"/>
        <v>2025</v>
      </c>
      <c r="G745" s="100" t="str">
        <f t="shared" si="2"/>
        <v>11Nov</v>
      </c>
      <c r="H745" s="100" t="str">
        <f t="shared" si="3"/>
        <v>Rabu</v>
      </c>
      <c r="I745" s="97" t="s">
        <v>83</v>
      </c>
      <c r="J745" s="97" t="s">
        <v>56</v>
      </c>
      <c r="K745" s="97" t="s">
        <v>63</v>
      </c>
      <c r="L745" s="101" t="s">
        <v>160</v>
      </c>
      <c r="M745" s="102" t="str">
        <f>IFNA(VLOOKUP(L745,'🙎‍♂️ Pasien'!G:V,2,FALSE),"")</f>
        <v>S7625091177</v>
      </c>
      <c r="N745" s="103">
        <f>IFNA(VLOOKUP(L745,'🙎‍♂️ Pasien'!G:L,3,FALSE),"")</f>
        <v>49</v>
      </c>
      <c r="O745" s="104" t="str">
        <f>IFNA(VLOOKUP(L745,'🙎‍♂️ Pasien'!G:V,6,FALSE),"")</f>
        <v>LAKI-LAKI</v>
      </c>
      <c r="P745" s="104" t="str">
        <f>IFNA(VLOOKUP(L745,'🙎‍♂️ Pasien'!G:V,12,FALSE),"")</f>
        <v>ISLAM</v>
      </c>
      <c r="Q745" s="104" t="str">
        <f>IFNA(VLOOKUP(L745:L1508,'🙎‍♂️ Pasien'!G:V,13,FALSE),"")</f>
        <v>WIRASWASTA</v>
      </c>
      <c r="R745" s="104" t="str">
        <f t="array" ref="R745">ifna(xlookup(L745,'🙎‍♂️ Pasien'!$G$5:$G1508,'🙎‍♂️ Pasien'!$T$5:$T1508),"")</f>
        <v>CEDERA LUTUT</v>
      </c>
      <c r="S745" s="104" t="str">
        <f t="array" ref="S745">ifna(xlookup(L745,'🙎‍♂️ Pasien'!$G$5:$G1508,'🙎‍♂️ Pasien'!$U$5:$U1508),"")</f>
        <v>MAIN BADMINTON</v>
      </c>
      <c r="T745" s="97" t="s">
        <v>67</v>
      </c>
      <c r="U745" s="105">
        <v>4.0</v>
      </c>
      <c r="V745" s="101" t="s">
        <v>195</v>
      </c>
      <c r="W745" s="106" t="b">
        <v>1</v>
      </c>
      <c r="X745" s="107"/>
      <c r="Y745" s="108"/>
    </row>
    <row r="746" ht="22.5" customHeight="1">
      <c r="A746" s="96"/>
      <c r="B746" s="97" t="s">
        <v>85</v>
      </c>
      <c r="C746" s="98" t="str">
        <f t="array" ref="C746">IFNA(XLOOKUP(J746,'⚙️ Pengaturan'!$H$5:$H1508,'⚙️ Pengaturan'!$I$5:$I1508),"")</f>
        <v>TIM Y</v>
      </c>
      <c r="D746" s="97" t="s">
        <v>86</v>
      </c>
      <c r="E746" s="99">
        <v>45973.0</v>
      </c>
      <c r="F746" s="100" t="str">
        <f t="shared" si="1"/>
        <v>2025</v>
      </c>
      <c r="G746" s="100" t="str">
        <f t="shared" si="2"/>
        <v>11Nov</v>
      </c>
      <c r="H746" s="100" t="str">
        <f t="shared" si="3"/>
        <v>Rabu</v>
      </c>
      <c r="I746" s="97" t="s">
        <v>87</v>
      </c>
      <c r="J746" s="97" t="s">
        <v>107</v>
      </c>
      <c r="K746" s="97" t="s">
        <v>63</v>
      </c>
      <c r="L746" s="101" t="s">
        <v>267</v>
      </c>
      <c r="M746" s="102" t="str">
        <f>IFNA(VLOOKUP(L746,'🙎‍♂️ Pasien'!G:V,2,FALSE),"")</f>
        <v>R8825109439</v>
      </c>
      <c r="N746" s="103">
        <f>IFNA(VLOOKUP(L746,'🙎‍♂️ Pasien'!G:L,3,FALSE),"")</f>
        <v>38</v>
      </c>
      <c r="O746" s="104" t="str">
        <f>IFNA(VLOOKUP(L746,'🙎‍♂️ Pasien'!G:V,6,FALSE),"")</f>
        <v>LAKI-LAKI</v>
      </c>
      <c r="P746" s="104" t="str">
        <f>IFNA(VLOOKUP(L746,'🙎‍♂️ Pasien'!G:V,12,FALSE),"")</f>
        <v>KATOLIK</v>
      </c>
      <c r="Q746" s="104" t="str">
        <f>IFNA(VLOOKUP(L746:L1508,'🙎‍♂️ Pasien'!G:V,13,FALSE),"")</f>
        <v>KARYAWAN SWASTA</v>
      </c>
      <c r="R746" s="104" t="str">
        <f t="array" ref="R746">ifna(xlookup(L746,'🙎‍♂️ Pasien'!$G$5:$G1508,'🙎‍♂️ Pasien'!$T$5:$T1508),"")</f>
        <v>ASSESSMENT BADAN UNTUK PERSIAPAN LARI MARATON</v>
      </c>
      <c r="S746" s="104" t="str">
        <f t="array" ref="S746">ifna(xlookup(L746,'🙎‍♂️ Pasien'!$G$5:$G1508,'🙎‍♂️ Pasien'!$U$5:$U1508),"")</f>
        <v>LARI</v>
      </c>
      <c r="T746" s="97" t="s">
        <v>59</v>
      </c>
      <c r="U746" s="105">
        <v>4.0</v>
      </c>
      <c r="V746" s="101"/>
      <c r="W746" s="106" t="b">
        <v>1</v>
      </c>
      <c r="X746" s="107"/>
      <c r="Y746" s="108"/>
    </row>
    <row r="747" ht="22.5" customHeight="1">
      <c r="A747" s="96"/>
      <c r="B747" s="97" t="s">
        <v>85</v>
      </c>
      <c r="C747" s="98" t="str">
        <f t="array" ref="C747">IFNA(XLOOKUP(J747,'⚙️ Pengaturan'!$H$5:$H1508,'⚙️ Pengaturan'!$I$5:$I1508),"")</f>
        <v>TIM Y</v>
      </c>
      <c r="D747" s="97" t="s">
        <v>86</v>
      </c>
      <c r="E747" s="99">
        <v>45973.0</v>
      </c>
      <c r="F747" s="100" t="str">
        <f t="shared" si="1"/>
        <v>2025</v>
      </c>
      <c r="G747" s="100" t="str">
        <f t="shared" si="2"/>
        <v>11Nov</v>
      </c>
      <c r="H747" s="100" t="str">
        <f t="shared" si="3"/>
        <v>Rabu</v>
      </c>
      <c r="I747" s="97" t="s">
        <v>93</v>
      </c>
      <c r="J747" s="97" t="s">
        <v>91</v>
      </c>
      <c r="K747" s="97" t="s">
        <v>63</v>
      </c>
      <c r="L747" s="101" t="s">
        <v>225</v>
      </c>
      <c r="M747" s="102" t="str">
        <f>IFNA(VLOOKUP(L747,'🙎‍♂️ Pasien'!G:V,2,FALSE),"")</f>
        <v>B8025102288</v>
      </c>
      <c r="N747" s="103">
        <f>IFNA(VLOOKUP(L747,'🙎‍♂️ Pasien'!G:L,3,FALSE),"")</f>
        <v>45</v>
      </c>
      <c r="O747" s="104" t="str">
        <f>IFNA(VLOOKUP(L747,'🙎‍♂️ Pasien'!G:V,6,FALSE),"")</f>
        <v>PEREMPUAN</v>
      </c>
      <c r="P747" s="104" t="str">
        <f>IFNA(VLOOKUP(L747,'🙎‍♂️ Pasien'!G:V,12,FALSE),"")</f>
        <v>ISLAM</v>
      </c>
      <c r="Q747" s="104" t="str">
        <f>IFNA(VLOOKUP(L747:L1508,'🙎‍♂️ Pasien'!G:V,13,FALSE),"")</f>
        <v>ASN</v>
      </c>
      <c r="R747" s="104" t="str">
        <f t="array" ref="R747">ifna(xlookup(L747,'🙎‍♂️ Pasien'!$G$5:$G1508,'🙎‍♂️ Pasien'!$T$5:$T1508),"")</f>
        <v>KELUHAN SY NYERI DI TUMIT KIRI SM PAHA KANAN UT DIANGKAT SAMBIL DITEKUK KE ARAH SAMPING LUAR RASA NYA NYERI</v>
      </c>
      <c r="S747" s="104" t="str">
        <f t="array" ref="S747">ifna(xlookup(L747,'🙎‍♂️ Pasien'!$G$5:$G1508,'🙎‍♂️ Pasien'!$U$5:$U1508),"")</f>
        <v>JOGING</v>
      </c>
      <c r="T747" s="97" t="s">
        <v>59</v>
      </c>
      <c r="U747" s="105">
        <v>1.0</v>
      </c>
      <c r="V747" s="101"/>
      <c r="W747" s="106" t="b">
        <v>1</v>
      </c>
      <c r="X747" s="107"/>
      <c r="Y747" s="108"/>
    </row>
    <row r="748" ht="22.5" customHeight="1">
      <c r="A748" s="96"/>
      <c r="B748" s="97" t="s">
        <v>85</v>
      </c>
      <c r="C748" s="98" t="str">
        <f t="array" ref="C748">IFNA(XLOOKUP(J748,'⚙️ Pengaturan'!$H$5:$H1508,'⚙️ Pengaturan'!$I$5:$I1508),"")</f>
        <v>TIM Y</v>
      </c>
      <c r="D748" s="97" t="s">
        <v>86</v>
      </c>
      <c r="E748" s="99">
        <v>45973.0</v>
      </c>
      <c r="F748" s="100" t="str">
        <f t="shared" si="1"/>
        <v>2025</v>
      </c>
      <c r="G748" s="100" t="str">
        <f t="shared" si="2"/>
        <v>11Nov</v>
      </c>
      <c r="H748" s="100" t="str">
        <f t="shared" si="3"/>
        <v>Rabu</v>
      </c>
      <c r="I748" s="97" t="s">
        <v>93</v>
      </c>
      <c r="J748" s="97" t="s">
        <v>88</v>
      </c>
      <c r="K748" s="97" t="s">
        <v>63</v>
      </c>
      <c r="L748" s="101" t="s">
        <v>451</v>
      </c>
      <c r="M748" s="102" t="str">
        <f>IFNA(VLOOKUP(L748,'🙎‍♂️ Pasien'!G:V,2,FALSE),"")</f>
        <v>M0825116129</v>
      </c>
      <c r="N748" s="103">
        <f>IFNA(VLOOKUP(L748,'🙎‍♂️ Pasien'!G:L,3,FALSE),"")</f>
        <v>18</v>
      </c>
      <c r="O748" s="104" t="str">
        <f>IFNA(VLOOKUP(L748,'🙎‍♂️ Pasien'!G:V,6,FALSE),"")</f>
        <v>LAKI-LAKI</v>
      </c>
      <c r="P748" s="104" t="str">
        <f>IFNA(VLOOKUP(L748,'🙎‍♂️ Pasien'!G:V,12,FALSE),"")</f>
        <v>PROTESTAN</v>
      </c>
      <c r="Q748" s="104" t="str">
        <f>IFNA(VLOOKUP(L748:L1508,'🙎‍♂️ Pasien'!G:V,13,FALSE),"")</f>
        <v>PELAJAR</v>
      </c>
      <c r="R748" s="104" t="str">
        <f t="array" ref="R748">ifna(xlookup(L748,'🙎‍♂️ Pasien'!$G$5:$G1508,'🙎‍♂️ Pasien'!$T$5:$T1508),"")</f>
        <v>SKOLIOSIS</v>
      </c>
      <c r="S748" s="104" t="str">
        <f t="array" ref="S748">ifna(xlookup(L748,'🙎‍♂️ Pasien'!$G$5:$G1508,'🙎‍♂️ Pasien'!$U$5:$U1508),"")</f>
        <v>BELAJAR</v>
      </c>
      <c r="T748" s="97" t="s">
        <v>67</v>
      </c>
      <c r="U748" s="105">
        <v>2.0</v>
      </c>
      <c r="V748" s="101" t="s">
        <v>506</v>
      </c>
      <c r="W748" s="106" t="b">
        <v>1</v>
      </c>
      <c r="X748" s="107"/>
      <c r="Y748" s="108"/>
    </row>
    <row r="749" ht="22.5" customHeight="1">
      <c r="A749" s="96"/>
      <c r="B749" s="97" t="s">
        <v>85</v>
      </c>
      <c r="C749" s="98" t="str">
        <f t="array" ref="C749">IFNA(XLOOKUP(J749,'⚙️ Pengaturan'!$H$5:$H1508,'⚙️ Pengaturan'!$I$5:$I1508),"")</f>
        <v>TIM Y</v>
      </c>
      <c r="D749" s="97" t="s">
        <v>86</v>
      </c>
      <c r="E749" s="99">
        <v>45973.0</v>
      </c>
      <c r="F749" s="100" t="str">
        <f t="shared" si="1"/>
        <v>2025</v>
      </c>
      <c r="G749" s="100" t="str">
        <f t="shared" si="2"/>
        <v>11Nov</v>
      </c>
      <c r="H749" s="100" t="str">
        <f t="shared" si="3"/>
        <v>Rabu</v>
      </c>
      <c r="I749" s="97" t="s">
        <v>95</v>
      </c>
      <c r="J749" s="97" t="s">
        <v>91</v>
      </c>
      <c r="K749" s="97" t="s">
        <v>63</v>
      </c>
      <c r="L749" s="101" t="s">
        <v>487</v>
      </c>
      <c r="M749" s="102" t="str">
        <f>IFNA(VLOOKUP(L749,'🙎‍♂️ Pasien'!G:V,2,FALSE),"")</f>
        <v>M1223117264</v>
      </c>
      <c r="N749" s="103">
        <f>IFNA(VLOOKUP(L749,'🙎‍♂️ Pasien'!G:L,3,FALSE),"")</f>
        <v>14</v>
      </c>
      <c r="O749" s="104" t="str">
        <f>IFNA(VLOOKUP(L749,'🙎‍♂️ Pasien'!G:V,6,FALSE),"")</f>
        <v>LAKI-LAKI</v>
      </c>
      <c r="P749" s="104" t="str">
        <f>IFNA(VLOOKUP(L749,'🙎‍♂️ Pasien'!G:V,12,FALSE),"")</f>
        <v>ISLAM</v>
      </c>
      <c r="Q749" s="104" t="str">
        <f>IFNA(VLOOKUP(L749:L1508,'🙎‍♂️ Pasien'!G:V,13,FALSE),"")</f>
        <v>PELAJAR/MAHASISWA</v>
      </c>
      <c r="R749" s="104" t="str">
        <f t="array" ref="R749">ifna(xlookup(L749,'🙎‍♂️ Pasien'!$G$5:$G1508,'🙎‍♂️ Pasien'!$T$5:$T1508),"")</f>
        <v>Cedera</v>
      </c>
      <c r="S749" s="104" t="str">
        <f t="array" ref="S749">ifna(xlookup(L749,'🙎‍♂️ Pasien'!$G$5:$G1508,'🙎‍♂️ Pasien'!$U$5:$U1508),"")</f>
        <v>Basket</v>
      </c>
      <c r="T749" s="97" t="s">
        <v>67</v>
      </c>
      <c r="U749" s="105">
        <v>2.0</v>
      </c>
      <c r="V749" s="101" t="s">
        <v>343</v>
      </c>
      <c r="W749" s="106" t="b">
        <v>1</v>
      </c>
      <c r="X749" s="107"/>
      <c r="Y749" s="108"/>
    </row>
    <row r="750" ht="22.5" customHeight="1">
      <c r="A750" s="96"/>
      <c r="B750" s="97" t="s">
        <v>85</v>
      </c>
      <c r="C750" s="98" t="str">
        <f t="array" ref="C750">IFNA(XLOOKUP(J750,'⚙️ Pengaturan'!$H$5:$H1508,'⚙️ Pengaturan'!$I$5:$I1508),"")</f>
        <v>TIM Y</v>
      </c>
      <c r="D750" s="97" t="s">
        <v>86</v>
      </c>
      <c r="E750" s="99">
        <v>45973.0</v>
      </c>
      <c r="F750" s="100" t="str">
        <f t="shared" si="1"/>
        <v>2025</v>
      </c>
      <c r="G750" s="100" t="str">
        <f t="shared" si="2"/>
        <v>11Nov</v>
      </c>
      <c r="H750" s="100" t="str">
        <f t="shared" si="3"/>
        <v>Rabu</v>
      </c>
      <c r="I750" s="97" t="s">
        <v>97</v>
      </c>
      <c r="J750" s="97" t="s">
        <v>91</v>
      </c>
      <c r="K750" s="97" t="s">
        <v>63</v>
      </c>
      <c r="L750" s="101" t="s">
        <v>326</v>
      </c>
      <c r="M750" s="102" t="str">
        <f>IFNA(VLOOKUP(L750,'🙎‍♂️ Pasien'!G:V,2,FALSE),"")</f>
        <v>A1423086916</v>
      </c>
      <c r="N750" s="103">
        <f>IFNA(VLOOKUP(L750,'🙎‍♂️ Pasien'!G:L,3,FALSE),"")</f>
        <v>11</v>
      </c>
      <c r="O750" s="104" t="str">
        <f>IFNA(VLOOKUP(L750,'🙎‍♂️ Pasien'!G:V,6,FALSE),"")</f>
        <v>LAKI-LAKI</v>
      </c>
      <c r="P750" s="104" t="str">
        <f>IFNA(VLOOKUP(L750,'🙎‍♂️ Pasien'!G:V,12,FALSE),"")</f>
        <v>ISLAM</v>
      </c>
      <c r="Q750" s="104" t="str">
        <f>IFNA(VLOOKUP(L750:L1508,'🙎‍♂️ Pasien'!G:V,13,FALSE),"")</f>
        <v>PELAJAR/MAHASISWA</v>
      </c>
      <c r="R750" s="104" t="str">
        <f t="array" ref="R750">ifna(xlookup(L750,'🙎‍♂️ Pasien'!$G$5:$G1508,'🙎‍♂️ Pasien'!$T$5:$T1508),"")</f>
        <v>ANKLE KAKI KANAN</v>
      </c>
      <c r="S750" s="104" t="str">
        <f t="array" ref="S750">ifna(xlookup(L750,'🙎‍♂️ Pasien'!$G$5:$G1508,'🙎‍♂️ Pasien'!$U$5:$U1508),"")</f>
        <v>BOLA</v>
      </c>
      <c r="T750" s="97" t="s">
        <v>59</v>
      </c>
      <c r="U750" s="105">
        <v>8.0</v>
      </c>
      <c r="V750" s="101"/>
      <c r="W750" s="106" t="b">
        <v>1</v>
      </c>
      <c r="X750" s="107"/>
      <c r="Y750" s="108"/>
    </row>
    <row r="751" ht="22.5" customHeight="1">
      <c r="A751" s="96"/>
      <c r="B751" s="97" t="s">
        <v>85</v>
      </c>
      <c r="C751" s="98" t="str">
        <f t="array" ref="C751">IFNA(XLOOKUP(J751,'⚙️ Pengaturan'!$H$5:$H1508,'⚙️ Pengaturan'!$I$5:$I1508),"")</f>
        <v>TIM Y</v>
      </c>
      <c r="D751" s="97" t="s">
        <v>86</v>
      </c>
      <c r="E751" s="99">
        <v>45973.0</v>
      </c>
      <c r="F751" s="100" t="str">
        <f t="shared" si="1"/>
        <v>2025</v>
      </c>
      <c r="G751" s="100" t="str">
        <f t="shared" si="2"/>
        <v>11Nov</v>
      </c>
      <c r="H751" s="100" t="str">
        <f t="shared" si="3"/>
        <v>Rabu</v>
      </c>
      <c r="I751" s="97" t="s">
        <v>97</v>
      </c>
      <c r="J751" s="97" t="s">
        <v>107</v>
      </c>
      <c r="K751" s="97" t="s">
        <v>57</v>
      </c>
      <c r="L751" s="101" t="s">
        <v>507</v>
      </c>
      <c r="M751" s="102" t="str">
        <f>IFNA(VLOOKUP(L751,'🙎‍♂️ Pasien'!G:V,2,FALSE),"")</f>
        <v>S0125112891</v>
      </c>
      <c r="N751" s="103">
        <f>IFNA(VLOOKUP(L751,'🙎‍♂️ Pasien'!G:L,3,FALSE),"")</f>
        <v>25</v>
      </c>
      <c r="O751" s="104" t="str">
        <f>IFNA(VLOOKUP(L751,'🙎‍♂️ Pasien'!G:V,6,FALSE),"")</f>
        <v>PEREMPUAN</v>
      </c>
      <c r="P751" s="104" t="str">
        <f>IFNA(VLOOKUP(L751,'🙎‍♂️ Pasien'!G:V,12,FALSE),"")</f>
        <v>BUDDHA</v>
      </c>
      <c r="Q751" s="104" t="str">
        <f>IFNA(VLOOKUP(L751:L1508,'🙎‍♂️ Pasien'!G:V,13,FALSE),"")</f>
        <v>MAHASISWA</v>
      </c>
      <c r="R751" s="104" t="str">
        <f t="array" ref="R751">ifna(xlookup(L751,'🙎‍♂️ Pasien'!$G$5:$G1508,'🙎‍♂️ Pasien'!$T$5:$T1508),"")</f>
        <v>OTOT KAKI PERNAH SOBEK, KALAU OLAHRAGA SERING SAKIT DI LUTUT KIRI</v>
      </c>
      <c r="S751" s="104" t="str">
        <f t="array" ref="S751">ifna(xlookup(L751,'🙎‍♂️ Pasien'!$G$5:$G1508,'🙎‍♂️ Pasien'!$U$5:$U1508),"")</f>
        <v>JARANG BEROLAHRAGA/SEDENTARY</v>
      </c>
      <c r="T751" s="97" t="s">
        <v>59</v>
      </c>
      <c r="U751" s="105" t="s">
        <v>60</v>
      </c>
      <c r="V751" s="101"/>
      <c r="W751" s="106" t="b">
        <v>1</v>
      </c>
      <c r="X751" s="107"/>
      <c r="Y751" s="108"/>
    </row>
    <row r="752" ht="22.5" customHeight="1">
      <c r="A752" s="96"/>
      <c r="B752" s="97" t="s">
        <v>85</v>
      </c>
      <c r="C752" s="98" t="str">
        <f t="array" ref="C752">IFNA(XLOOKUP(J752,'⚙️ Pengaturan'!$H$5:$H1508,'⚙️ Pengaturan'!$I$5:$I1508),"")</f>
        <v>TIM Y</v>
      </c>
      <c r="D752" s="97" t="s">
        <v>86</v>
      </c>
      <c r="E752" s="99">
        <v>45973.0</v>
      </c>
      <c r="F752" s="100" t="str">
        <f t="shared" si="1"/>
        <v>2025</v>
      </c>
      <c r="G752" s="100" t="str">
        <f t="shared" si="2"/>
        <v>11Nov</v>
      </c>
      <c r="H752" s="100" t="str">
        <f t="shared" si="3"/>
        <v>Rabu</v>
      </c>
      <c r="I752" s="97" t="s">
        <v>99</v>
      </c>
      <c r="J752" s="97" t="s">
        <v>107</v>
      </c>
      <c r="K752" s="97" t="s">
        <v>69</v>
      </c>
      <c r="L752" s="101" t="s">
        <v>436</v>
      </c>
      <c r="M752" s="102" t="str">
        <f>IFNA(VLOOKUP(L752,'🙎‍♂️ Pasien'!G:V,2,FALSE),"")</f>
        <v>A9525119187</v>
      </c>
      <c r="N752" s="103">
        <f>IFNA(VLOOKUP(L752,'🙎‍♂️ Pasien'!G:L,3,FALSE),"")</f>
        <v>31</v>
      </c>
      <c r="O752" s="104" t="str">
        <f>IFNA(VLOOKUP(L752,'🙎‍♂️ Pasien'!G:V,6,FALSE),"")</f>
        <v>PEREMPUAN</v>
      </c>
      <c r="P752" s="104" t="str">
        <f>IFNA(VLOOKUP(L752,'🙎‍♂️ Pasien'!G:V,12,FALSE),"")</f>
        <v>ISLAM</v>
      </c>
      <c r="Q752" s="104" t="str">
        <f>IFNA(VLOOKUP(L752:L1508,'🙎‍♂️ Pasien'!G:V,13,FALSE),"")</f>
        <v>IRT</v>
      </c>
      <c r="R752" s="104" t="str">
        <f t="array" ref="R752">ifna(xlookup(L752,'🙎‍♂️ Pasien'!$G$5:$G1508,'🙎‍♂️ Pasien'!$T$5:$T1508),"")</f>
        <v>KEBAS TELAPAK KAKI DN TANGAN</v>
      </c>
      <c r="S752" s="104" t="str">
        <f t="array" ref="S752">ifna(xlookup(L752,'🙎‍♂️ Pasien'!$G$5:$G1508,'🙎‍♂️ Pasien'!$U$5:$U1508),"")</f>
        <v>MNGKIN PEKERJAAN YANG MENGANGKAT BARANG BERAT</v>
      </c>
      <c r="T752" s="97" t="s">
        <v>67</v>
      </c>
      <c r="U752" s="105" t="s">
        <v>60</v>
      </c>
      <c r="V752" s="101" t="s">
        <v>343</v>
      </c>
      <c r="W752" s="106" t="b">
        <v>1</v>
      </c>
      <c r="X752" s="107"/>
      <c r="Y752" s="108"/>
    </row>
    <row r="753" ht="22.5" customHeight="1">
      <c r="A753" s="96"/>
      <c r="B753" s="97" t="s">
        <v>85</v>
      </c>
      <c r="C753" s="98" t="str">
        <f t="array" ref="C753">IFNA(XLOOKUP(J753,'⚙️ Pengaturan'!$H$5:$H1508,'⚙️ Pengaturan'!$I$5:$I1508),"")</f>
        <v>TIM Y</v>
      </c>
      <c r="D753" s="97" t="s">
        <v>86</v>
      </c>
      <c r="E753" s="99">
        <v>45973.0</v>
      </c>
      <c r="F753" s="100" t="str">
        <f t="shared" si="1"/>
        <v>2025</v>
      </c>
      <c r="G753" s="100" t="str">
        <f t="shared" si="2"/>
        <v>11Nov</v>
      </c>
      <c r="H753" s="100" t="str">
        <f t="shared" si="3"/>
        <v>Rabu</v>
      </c>
      <c r="I753" s="97" t="s">
        <v>99</v>
      </c>
      <c r="J753" s="97" t="s">
        <v>91</v>
      </c>
      <c r="K753" s="97" t="s">
        <v>57</v>
      </c>
      <c r="L753" s="101" t="s">
        <v>508</v>
      </c>
      <c r="M753" s="102" t="str">
        <f>IFNA(VLOOKUP(L753,'🙎‍♂️ Pasien'!G:V,2,FALSE),"")</f>
        <v>G9725111612</v>
      </c>
      <c r="N753" s="103">
        <f>IFNA(VLOOKUP(L753,'🙎‍♂️ Pasien'!G:L,3,FALSE),"")</f>
        <v>29</v>
      </c>
      <c r="O753" s="104" t="str">
        <f>IFNA(VLOOKUP(L753,'🙎‍♂️ Pasien'!G:V,6,FALSE),"")</f>
        <v>LAKI-LAKI</v>
      </c>
      <c r="P753" s="104" t="str">
        <f>IFNA(VLOOKUP(L753,'🙎‍♂️ Pasien'!G:V,12,FALSE),"")</f>
        <v>ISLAM</v>
      </c>
      <c r="Q753" s="104" t="str">
        <f>IFNA(VLOOKUP(L753:L1508,'🙎‍♂️ Pasien'!G:V,13,FALSE),"")</f>
        <v>SWASTA</v>
      </c>
      <c r="R753" s="104" t="str">
        <f t="array" ref="R753">ifna(xlookup(L753,'🙎‍♂️ Pasien'!$G$5:$G1508,'🙎‍♂️ Pasien'!$T$5:$T1508),"")</f>
        <v>ANKLE KIRI</v>
      </c>
      <c r="S753" s="104" t="str">
        <f t="array" ref="S753">ifna(xlookup(L753,'🙎‍♂️ Pasien'!$G$5:$G1508,'🙎‍♂️ Pasien'!$U$5:$U1508),"")</f>
        <v>MAIN BASKET</v>
      </c>
      <c r="T753" s="97" t="s">
        <v>59</v>
      </c>
      <c r="U753" s="105" t="s">
        <v>60</v>
      </c>
      <c r="V753" s="101"/>
      <c r="W753" s="106" t="b">
        <v>1</v>
      </c>
      <c r="X753" s="107"/>
      <c r="Y753" s="108"/>
    </row>
    <row r="754" ht="22.5" customHeight="1">
      <c r="A754" s="96"/>
      <c r="B754" s="97" t="s">
        <v>85</v>
      </c>
      <c r="C754" s="98" t="str">
        <f t="array" ref="C754">IFNA(XLOOKUP(J754,'⚙️ Pengaturan'!$H$5:$H1508,'⚙️ Pengaturan'!$I$5:$I1508),"")</f>
        <v>TIM Y</v>
      </c>
      <c r="D754" s="97" t="s">
        <v>86</v>
      </c>
      <c r="E754" s="99">
        <v>45973.0</v>
      </c>
      <c r="F754" s="100" t="str">
        <f t="shared" si="1"/>
        <v>2025</v>
      </c>
      <c r="G754" s="100" t="str">
        <f t="shared" si="2"/>
        <v>11Nov</v>
      </c>
      <c r="H754" s="100" t="str">
        <f t="shared" si="3"/>
        <v>Rabu</v>
      </c>
      <c r="I754" s="97" t="s">
        <v>99</v>
      </c>
      <c r="J754" s="97" t="s">
        <v>509</v>
      </c>
      <c r="K754" s="97" t="s">
        <v>63</v>
      </c>
      <c r="L754" s="101" t="s">
        <v>510</v>
      </c>
      <c r="M754" s="102" t="str">
        <f>IFNA(VLOOKUP(L754,'🙎‍♂️ Pasien'!G:V,2,FALSE),"")</f>
        <v>Z9325081191</v>
      </c>
      <c r="N754" s="103">
        <f>IFNA(VLOOKUP(L754,'🙎‍♂️ Pasien'!G:L,3,FALSE),"")</f>
        <v>33</v>
      </c>
      <c r="O754" s="104" t="str">
        <f>IFNA(VLOOKUP(L754,'🙎‍♂️ Pasien'!G:V,6,FALSE),"")</f>
        <v>LAKI-LAKI</v>
      </c>
      <c r="P754" s="104" t="str">
        <f>IFNA(VLOOKUP(L754,'🙎‍♂️ Pasien'!G:V,12,FALSE),"")</f>
        <v>ISLAM</v>
      </c>
      <c r="Q754" s="104" t="str">
        <f>IFNA(VLOOKUP(L754:L1508,'🙎‍♂️ Pasien'!G:V,13,FALSE),"")</f>
        <v>KARYAWAN</v>
      </c>
      <c r="R754" s="104" t="str">
        <f t="array" ref="R754">ifna(xlookup(L754,'🙎‍♂️ Pasien'!$G$5:$G1508,'🙎‍♂️ Pasien'!$T$5:$T1508),"")</f>
        <v>HABIS MARATHON</v>
      </c>
      <c r="S754" s="104" t="str">
        <f t="array" ref="S754">ifna(xlookup(L754,'🙎‍♂️ Pasien'!$G$5:$G1508,'🙎‍♂️ Pasien'!$U$5:$U1508),"")</f>
        <v>LARI</v>
      </c>
      <c r="T754" s="97" t="s">
        <v>59</v>
      </c>
      <c r="U754" s="105">
        <v>1.0</v>
      </c>
      <c r="V754" s="101"/>
      <c r="W754" s="106" t="b">
        <v>1</v>
      </c>
      <c r="X754" s="107"/>
      <c r="Y754" s="108"/>
    </row>
    <row r="755" ht="22.5" customHeight="1">
      <c r="A755" s="96"/>
      <c r="B755" s="97" t="s">
        <v>53</v>
      </c>
      <c r="C755" s="98" t="str">
        <f t="array" ref="C755">IFNA(XLOOKUP(J755,'⚙️ Pengaturan'!$H$5:$H1508,'⚙️ Pengaturan'!$I$5:$I1508),"")</f>
        <v>TIM Y</v>
      </c>
      <c r="D755" s="97" t="s">
        <v>54</v>
      </c>
      <c r="E755" s="99">
        <v>45974.0</v>
      </c>
      <c r="F755" s="100" t="str">
        <f t="shared" si="1"/>
        <v>2025</v>
      </c>
      <c r="G755" s="100" t="str">
        <f t="shared" si="2"/>
        <v>11Nov</v>
      </c>
      <c r="H755" s="100" t="str">
        <f t="shared" si="3"/>
        <v>Kamis</v>
      </c>
      <c r="I755" s="97" t="s">
        <v>55</v>
      </c>
      <c r="J755" s="97" t="s">
        <v>91</v>
      </c>
      <c r="K755" s="97" t="s">
        <v>57</v>
      </c>
      <c r="L755" s="101" t="s">
        <v>511</v>
      </c>
      <c r="M755" s="102" t="str">
        <f>IFNA(VLOOKUP(L755,'🙎‍♂️ Pasien'!G:V,2,FALSE),"")</f>
        <v>E9325071431</v>
      </c>
      <c r="N755" s="103">
        <f>IFNA(VLOOKUP(L755,'🙎‍♂️ Pasien'!G:L,3,FALSE),"")</f>
        <v>33</v>
      </c>
      <c r="O755" s="104" t="str">
        <f>IFNA(VLOOKUP(L755,'🙎‍♂️ Pasien'!G:V,6,FALSE),"")</f>
        <v>PEREMPUAN</v>
      </c>
      <c r="P755" s="104" t="str">
        <f>IFNA(VLOOKUP(L755,'🙎‍♂️ Pasien'!G:V,12,FALSE),"")</f>
        <v>BUDDHA</v>
      </c>
      <c r="Q755" s="104" t="str">
        <f>IFNA(VLOOKUP(L755:L1508,'🙎‍♂️ Pasien'!G:V,13,FALSE),"")</f>
        <v>WIRASWASTA</v>
      </c>
      <c r="R755" s="104" t="str">
        <f t="array" ref="R755">ifna(xlookup(L755,'🙎‍♂️ Pasien'!$G$5:$G1508,'🙎‍♂️ Pasien'!$T$5:$T1508),"")</f>
        <v>PUNDAK PEGAL</v>
      </c>
      <c r="S755" s="104" t="str">
        <f t="array" ref="S755">ifna(xlookup(L755,'🙎‍♂️ Pasien'!$G$5:$G1508,'🙎‍♂️ Pasien'!$U$5:$U1508),"")</f>
        <v>YOGA GYM</v>
      </c>
      <c r="T755" s="97" t="s">
        <v>59</v>
      </c>
      <c r="U755" s="105" t="s">
        <v>60</v>
      </c>
      <c r="V755" s="101"/>
      <c r="W755" s="106" t="b">
        <v>1</v>
      </c>
      <c r="X755" s="107"/>
      <c r="Y755" s="108"/>
    </row>
    <row r="756" ht="22.5" customHeight="1">
      <c r="A756" s="96"/>
      <c r="B756" s="97" t="s">
        <v>53</v>
      </c>
      <c r="C756" s="98" t="str">
        <f t="array" ref="C756">IFNA(XLOOKUP(J756,'⚙️ Pengaturan'!$H$5:$H1508,'⚙️ Pengaturan'!$I$5:$I1508),"")</f>
        <v>TIM Y</v>
      </c>
      <c r="D756" s="97" t="s">
        <v>54</v>
      </c>
      <c r="E756" s="99">
        <v>45974.0</v>
      </c>
      <c r="F756" s="100" t="str">
        <f t="shared" si="1"/>
        <v>2025</v>
      </c>
      <c r="G756" s="100" t="str">
        <f t="shared" si="2"/>
        <v>11Nov</v>
      </c>
      <c r="H756" s="100" t="str">
        <f t="shared" si="3"/>
        <v>Kamis</v>
      </c>
      <c r="I756" s="97" t="s">
        <v>55</v>
      </c>
      <c r="J756" s="97" t="s">
        <v>107</v>
      </c>
      <c r="K756" s="97" t="s">
        <v>63</v>
      </c>
      <c r="L756" s="101" t="s">
        <v>408</v>
      </c>
      <c r="M756" s="102" t="str">
        <f>IFNA(VLOOKUP(L756,'🙎‍♂️ Pasien'!G:V,2,FALSE),"")</f>
        <v>Y6225086451</v>
      </c>
      <c r="N756" s="103">
        <f>IFNA(VLOOKUP(L756,'🙎‍♂️ Pasien'!G:L,3,FALSE),"")</f>
        <v>64</v>
      </c>
      <c r="O756" s="104" t="str">
        <f>IFNA(VLOOKUP(L756,'🙎‍♂️ Pasien'!G:V,6,FALSE),"")</f>
        <v>PEREMPUAN</v>
      </c>
      <c r="P756" s="104" t="str">
        <f>IFNA(VLOOKUP(L756,'🙎‍♂️ Pasien'!G:V,12,FALSE),"")</f>
        <v>ISLAM</v>
      </c>
      <c r="Q756" s="104" t="str">
        <f>IFNA(VLOOKUP(L756:L1508,'🙎‍♂️ Pasien'!G:V,13,FALSE),"")</f>
        <v>IBU RUMAH TANGGA</v>
      </c>
      <c r="R756" s="104" t="str">
        <f t="array" ref="R756">ifna(xlookup(L756,'🙎‍♂️ Pasien'!$G$5:$G1508,'🙎‍♂️ Pasien'!$T$5:$T1508),"")</f>
        <v>LUTUT KANAN</v>
      </c>
      <c r="S756" s="104" t="str">
        <f t="array" ref="S756">ifna(xlookup(L756,'🙎‍♂️ Pasien'!$G$5:$G1508,'🙎‍♂️ Pasien'!$U$5:$U1508),"")</f>
        <v>TIDAK ADA</v>
      </c>
      <c r="T756" s="97" t="s">
        <v>59</v>
      </c>
      <c r="U756" s="105">
        <v>6.0</v>
      </c>
      <c r="V756" s="101"/>
      <c r="W756" s="106" t="b">
        <v>1</v>
      </c>
      <c r="X756" s="107"/>
      <c r="Y756" s="108"/>
    </row>
    <row r="757" ht="22.5" customHeight="1">
      <c r="A757" s="96"/>
      <c r="B757" s="97" t="s">
        <v>53</v>
      </c>
      <c r="C757" s="98" t="str">
        <f t="array" ref="C757">IFNA(XLOOKUP(J757,'⚙️ Pengaturan'!$H$5:$H1508,'⚙️ Pengaturan'!$I$5:$I1508),"")</f>
        <v>TIM Y</v>
      </c>
      <c r="D757" s="97" t="s">
        <v>54</v>
      </c>
      <c r="E757" s="99">
        <v>45974.0</v>
      </c>
      <c r="F757" s="100" t="str">
        <f t="shared" si="1"/>
        <v>2025</v>
      </c>
      <c r="G757" s="100" t="str">
        <f t="shared" si="2"/>
        <v>11Nov</v>
      </c>
      <c r="H757" s="100" t="str">
        <f t="shared" si="3"/>
        <v>Kamis</v>
      </c>
      <c r="I757" s="97" t="s">
        <v>65</v>
      </c>
      <c r="J757" s="97" t="s">
        <v>91</v>
      </c>
      <c r="K757" s="97" t="s">
        <v>63</v>
      </c>
      <c r="L757" s="101" t="s">
        <v>456</v>
      </c>
      <c r="M757" s="102" t="str">
        <f>IFNA(VLOOKUP(L757,'🙎‍♂️ Pasien'!G:V,2,FALSE),"")</f>
        <v>D6525119328</v>
      </c>
      <c r="N757" s="103">
        <f>IFNA(VLOOKUP(L757,'🙎‍♂️ Pasien'!G:L,3,FALSE),"")</f>
        <v>60</v>
      </c>
      <c r="O757" s="104" t="str">
        <f>IFNA(VLOOKUP(L757,'🙎‍♂️ Pasien'!G:V,6,FALSE),"")</f>
        <v>PEREMPUAN</v>
      </c>
      <c r="P757" s="104" t="str">
        <f>IFNA(VLOOKUP(L757,'🙎‍♂️ Pasien'!G:V,12,FALSE),"")</f>
        <v>LAINNYA</v>
      </c>
      <c r="Q757" s="104" t="str">
        <f>IFNA(VLOOKUP(L757:L1508,'🙎‍♂️ Pasien'!G:V,13,FALSE),"")</f>
        <v>IRT</v>
      </c>
      <c r="R757" s="104" t="str">
        <f t="array" ref="R757">ifna(xlookup(L757,'🙎‍♂️ Pasien'!$G$5:$G1508,'🙎‍♂️ Pasien'!$T$5:$T1508),"")</f>
        <v>TUMIT</v>
      </c>
      <c r="S757" s="104" t="str">
        <f t="array" ref="S757">ifna(xlookup(L757,'🙎‍♂️ Pasien'!$G$5:$G1508,'🙎‍♂️ Pasien'!$U$5:$U1508),"")</f>
        <v>DANCING</v>
      </c>
      <c r="T757" s="97" t="s">
        <v>59</v>
      </c>
      <c r="U757" s="105">
        <v>3.0</v>
      </c>
      <c r="V757" s="101"/>
      <c r="W757" s="106" t="b">
        <v>1</v>
      </c>
      <c r="X757" s="107"/>
      <c r="Y757" s="108"/>
    </row>
    <row r="758" ht="22.5" customHeight="1">
      <c r="A758" s="96"/>
      <c r="B758" s="97" t="s">
        <v>53</v>
      </c>
      <c r="C758" s="98" t="str">
        <f t="array" ref="C758">IFNA(XLOOKUP(J758,'⚙️ Pengaturan'!$H$5:$H1508,'⚙️ Pengaturan'!$I$5:$I1508),"")</f>
        <v>MANAJEMEN</v>
      </c>
      <c r="D758" s="97" t="s">
        <v>54</v>
      </c>
      <c r="E758" s="99">
        <v>45974.0</v>
      </c>
      <c r="F758" s="100" t="str">
        <f t="shared" si="1"/>
        <v>2025</v>
      </c>
      <c r="G758" s="100" t="str">
        <f t="shared" si="2"/>
        <v>11Nov</v>
      </c>
      <c r="H758" s="100" t="str">
        <f t="shared" si="3"/>
        <v>Kamis</v>
      </c>
      <c r="I758" s="97" t="s">
        <v>65</v>
      </c>
      <c r="J758" s="97" t="s">
        <v>101</v>
      </c>
      <c r="K758" s="97" t="s">
        <v>63</v>
      </c>
      <c r="L758" s="101" t="s">
        <v>454</v>
      </c>
      <c r="M758" s="102" t="str">
        <f>IFNA(VLOOKUP(L758,'🙎‍♂️ Pasien'!G:V,2,FALSE),"")</f>
        <v>R5625107738</v>
      </c>
      <c r="N758" s="103">
        <f>IFNA(VLOOKUP(L758,'🙎‍♂️ Pasien'!G:L,3,FALSE),"")</f>
        <v>70</v>
      </c>
      <c r="O758" s="104" t="str">
        <f>IFNA(VLOOKUP(L758,'🙎‍♂️ Pasien'!G:V,6,FALSE),"")</f>
        <v>PEREMPUAN</v>
      </c>
      <c r="P758" s="104" t="str">
        <f>IFNA(VLOOKUP(L758,'🙎‍♂️ Pasien'!G:V,12,FALSE),"")</f>
        <v>KATOLIK</v>
      </c>
      <c r="Q758" s="104" t="str">
        <f>IFNA(VLOOKUP(L758:L1508,'🙎‍♂️ Pasien'!G:V,13,FALSE),"")</f>
        <v>IBU RUMAH TANGGA</v>
      </c>
      <c r="R758" s="104" t="str">
        <f t="array" ref="R758">ifna(xlookup(L758,'🙎‍♂️ Pasien'!$G$5:$G1508,'🙎‍♂️ Pasien'!$T$5:$T1508),"")</f>
        <v>SAKIT DI BAHU</v>
      </c>
      <c r="S758" s="104" t="str">
        <f t="array" ref="S758">ifna(xlookup(L758,'🙎‍♂️ Pasien'!$G$5:$G1508,'🙎‍♂️ Pasien'!$U$5:$U1508),"")</f>
        <v>PEKERJAAN KANTOR, MENANAM TANAMAN</v>
      </c>
      <c r="T758" s="97" t="s">
        <v>67</v>
      </c>
      <c r="U758" s="105">
        <v>3.0</v>
      </c>
      <c r="V758" s="101" t="s">
        <v>512</v>
      </c>
      <c r="W758" s="106" t="b">
        <v>1</v>
      </c>
      <c r="X758" s="107"/>
      <c r="Y758" s="108"/>
    </row>
    <row r="759" ht="22.5" customHeight="1">
      <c r="A759" s="96"/>
      <c r="B759" s="97" t="s">
        <v>53</v>
      </c>
      <c r="C759" s="98" t="str">
        <f t="array" ref="C759">IFNA(XLOOKUP(J759,'⚙️ Pengaturan'!$H$5:$H1508,'⚙️ Pengaturan'!$I$5:$I1508),"")</f>
        <v>MANAJEMEN</v>
      </c>
      <c r="D759" s="97" t="s">
        <v>54</v>
      </c>
      <c r="E759" s="99">
        <v>45974.0</v>
      </c>
      <c r="F759" s="100" t="str">
        <f t="shared" si="1"/>
        <v>2025</v>
      </c>
      <c r="G759" s="100" t="str">
        <f t="shared" si="2"/>
        <v>11Nov</v>
      </c>
      <c r="H759" s="100" t="str">
        <f t="shared" si="3"/>
        <v>Kamis</v>
      </c>
      <c r="I759" s="97" t="s">
        <v>65</v>
      </c>
      <c r="J759" s="97" t="s">
        <v>101</v>
      </c>
      <c r="K759" s="97" t="s">
        <v>57</v>
      </c>
      <c r="L759" s="101" t="s">
        <v>503</v>
      </c>
      <c r="M759" s="102" t="str">
        <f>IFNA(VLOOKUP(L759,'🙎‍♂️ Pasien'!G:V,2,FALSE),"")</f>
        <v/>
      </c>
      <c r="N759" s="103" t="str">
        <f>IFNA(VLOOKUP(L759,'🙎‍♂️ Pasien'!G:L,3,FALSE),"")</f>
        <v/>
      </c>
      <c r="O759" s="104" t="str">
        <f>IFNA(VLOOKUP(L759,'🙎‍♂️ Pasien'!G:V,6,FALSE),"")</f>
        <v/>
      </c>
      <c r="P759" s="104" t="str">
        <f>IFNA(VLOOKUP(L759,'🙎‍♂️ Pasien'!G:V,12,FALSE),"")</f>
        <v/>
      </c>
      <c r="Q759" s="104" t="str">
        <f>IFNA(VLOOKUP(L759:L1508,'🙎‍♂️ Pasien'!G:V,13,FALSE),"")</f>
        <v/>
      </c>
      <c r="R759" s="104" t="str">
        <f t="array" ref="R759">ifna(xlookup(L759,'🙎‍♂️ Pasien'!$G$5:$G1508,'🙎‍♂️ Pasien'!$T$5:$T1508),"")</f>
        <v/>
      </c>
      <c r="S759" s="104" t="str">
        <f t="array" ref="S759">ifna(xlookup(L759,'🙎‍♂️ Pasien'!$G$5:$G1508,'🙎‍♂️ Pasien'!$U$5:$U1508),"")</f>
        <v/>
      </c>
      <c r="T759" s="97" t="s">
        <v>59</v>
      </c>
      <c r="U759" s="105" t="s">
        <v>60</v>
      </c>
      <c r="V759" s="101"/>
      <c r="W759" s="106" t="b">
        <v>1</v>
      </c>
      <c r="X759" s="107"/>
      <c r="Y759" s="108"/>
    </row>
    <row r="760" ht="22.5" customHeight="1">
      <c r="A760" s="96"/>
      <c r="B760" s="97" t="s">
        <v>53</v>
      </c>
      <c r="C760" s="98" t="str">
        <f t="array" ref="C760">IFNA(XLOOKUP(J760,'⚙️ Pengaturan'!$H$5:$H1508,'⚙️ Pengaturan'!$I$5:$I1508),"")</f>
        <v>TIM Y</v>
      </c>
      <c r="D760" s="97" t="s">
        <v>54</v>
      </c>
      <c r="E760" s="99">
        <v>45974.0</v>
      </c>
      <c r="F760" s="100" t="str">
        <f t="shared" si="1"/>
        <v>2025</v>
      </c>
      <c r="G760" s="100" t="str">
        <f t="shared" si="2"/>
        <v>11Nov</v>
      </c>
      <c r="H760" s="100" t="str">
        <f t="shared" si="3"/>
        <v>Kamis</v>
      </c>
      <c r="I760" s="97" t="s">
        <v>74</v>
      </c>
      <c r="J760" s="97" t="s">
        <v>91</v>
      </c>
      <c r="K760" s="97" t="s">
        <v>63</v>
      </c>
      <c r="L760" s="101" t="s">
        <v>501</v>
      </c>
      <c r="M760" s="102" t="str">
        <f>IFNA(VLOOKUP(L760,'🙎‍♂️ Pasien'!G:V,2,FALSE),"")</f>
        <v>C9025117272</v>
      </c>
      <c r="N760" s="103">
        <f>IFNA(VLOOKUP(L760,'🙎‍♂️ Pasien'!G:L,3,FALSE),"")</f>
        <v>35</v>
      </c>
      <c r="O760" s="104" t="str">
        <f>IFNA(VLOOKUP(L760,'🙎‍♂️ Pasien'!G:V,6,FALSE),"")</f>
        <v>PEREMPUAN</v>
      </c>
      <c r="P760" s="104" t="str">
        <f>IFNA(VLOOKUP(L760,'🙎‍♂️ Pasien'!G:V,12,FALSE),"")</f>
        <v>PROTESTAN</v>
      </c>
      <c r="Q760" s="104" t="str">
        <f>IFNA(VLOOKUP(L760:L1508,'🙎‍♂️ Pasien'!G:V,13,FALSE),"")</f>
        <v>IBU RUMAH TANGGA</v>
      </c>
      <c r="R760" s="104" t="str">
        <f t="array" ref="R760">ifna(xlookup(L760,'🙎‍♂️ Pasien'!$G$5:$G1508,'🙎‍♂️ Pasien'!$T$5:$T1508),"")</f>
        <v>SENDI LUTUT BERGESER</v>
      </c>
      <c r="S760" s="104" t="str">
        <f t="array" ref="S760">ifna(xlookup(L760,'🙎‍♂️ Pasien'!$G$5:$G1508,'🙎‍♂️ Pasien'!$U$5:$U1508),"")</f>
        <v>JATUH KEPELESET</v>
      </c>
      <c r="T760" s="97" t="s">
        <v>59</v>
      </c>
      <c r="U760" s="105">
        <v>1.0</v>
      </c>
      <c r="V760" s="101"/>
      <c r="W760" s="106" t="b">
        <v>1</v>
      </c>
      <c r="X760" s="107"/>
      <c r="Y760" s="108"/>
    </row>
    <row r="761" ht="22.5" customHeight="1">
      <c r="A761" s="96"/>
      <c r="B761" s="97" t="s">
        <v>53</v>
      </c>
      <c r="C761" s="98" t="str">
        <f t="array" ref="C761">IFNA(XLOOKUP(J761,'⚙️ Pengaturan'!$H$5:$H1508,'⚙️ Pengaturan'!$I$5:$I1508),"")</f>
        <v>TIM Y</v>
      </c>
      <c r="D761" s="97" t="s">
        <v>54</v>
      </c>
      <c r="E761" s="99">
        <v>45974.0</v>
      </c>
      <c r="F761" s="100" t="str">
        <f t="shared" si="1"/>
        <v>2025</v>
      </c>
      <c r="G761" s="100" t="str">
        <f t="shared" si="2"/>
        <v>11Nov</v>
      </c>
      <c r="H761" s="100" t="str">
        <f t="shared" si="3"/>
        <v>Kamis</v>
      </c>
      <c r="I761" s="97" t="s">
        <v>74</v>
      </c>
      <c r="J761" s="97" t="s">
        <v>107</v>
      </c>
      <c r="K761" s="97" t="s">
        <v>63</v>
      </c>
      <c r="L761" s="101" t="s">
        <v>382</v>
      </c>
      <c r="M761" s="102" t="str">
        <f>IFNA(VLOOKUP(L761,'🙎‍♂️ Pasien'!G:V,2,FALSE),"")</f>
        <v>D6925037525</v>
      </c>
      <c r="N761" s="103">
        <f>IFNA(VLOOKUP(L761,'🙎‍♂️ Pasien'!G:L,3,FALSE),"")</f>
        <v>57</v>
      </c>
      <c r="O761" s="104" t="str">
        <f>IFNA(VLOOKUP(L761,'🙎‍♂️ Pasien'!G:V,6,FALSE),"")</f>
        <v>PEREMPUAN</v>
      </c>
      <c r="P761" s="104" t="str">
        <f>IFNA(VLOOKUP(L761,'🙎‍♂️ Pasien'!G:V,12,FALSE),"")</f>
        <v>ISLAM</v>
      </c>
      <c r="Q761" s="104" t="str">
        <f>IFNA(VLOOKUP(L761:L1508,'🙎‍♂️ Pasien'!G:V,13,FALSE),"")</f>
        <v>RUMAH TANGGA</v>
      </c>
      <c r="R761" s="104" t="str">
        <f t="array" ref="R761">ifna(xlookup(L761,'🙎‍♂️ Pasien'!$G$5:$G1508,'🙎‍♂️ Pasien'!$T$5:$T1508),"")</f>
        <v>BAHU DAN KAKI</v>
      </c>
      <c r="S761" s="104" t="str">
        <f t="array" ref="S761">ifna(xlookup(L761,'🙎‍♂️ Pasien'!$G$5:$G1508,'🙎‍♂️ Pasien'!$U$5:$U1508),"")</f>
        <v>-</v>
      </c>
      <c r="T761" s="97" t="s">
        <v>67</v>
      </c>
      <c r="U761" s="105">
        <v>5.0</v>
      </c>
      <c r="V761" s="101" t="s">
        <v>125</v>
      </c>
      <c r="W761" s="106" t="b">
        <v>1</v>
      </c>
      <c r="X761" s="107"/>
      <c r="Y761" s="108"/>
    </row>
    <row r="762" ht="22.5" customHeight="1">
      <c r="A762" s="96"/>
      <c r="B762" s="97" t="s">
        <v>53</v>
      </c>
      <c r="C762" s="98" t="str">
        <f t="array" ref="C762">IFNA(XLOOKUP(J762,'⚙️ Pengaturan'!$H$5:$H1508,'⚙️ Pengaturan'!$I$5:$I1508),"")</f>
        <v>TIM Y</v>
      </c>
      <c r="D762" s="97" t="s">
        <v>54</v>
      </c>
      <c r="E762" s="99">
        <v>45974.0</v>
      </c>
      <c r="F762" s="100" t="str">
        <f t="shared" si="1"/>
        <v>2025</v>
      </c>
      <c r="G762" s="100" t="str">
        <f t="shared" si="2"/>
        <v>11Nov</v>
      </c>
      <c r="H762" s="100" t="str">
        <f t="shared" si="3"/>
        <v>Kamis</v>
      </c>
      <c r="I762" s="97" t="s">
        <v>76</v>
      </c>
      <c r="J762" s="97" t="s">
        <v>91</v>
      </c>
      <c r="K762" s="97" t="s">
        <v>63</v>
      </c>
      <c r="L762" s="101" t="s">
        <v>302</v>
      </c>
      <c r="M762" s="102" t="str">
        <f>IFNA(VLOOKUP(L762,'🙎‍♂️ Pasien'!G:V,2,FALSE),"")</f>
        <v>A9425105994</v>
      </c>
      <c r="N762" s="103">
        <f>IFNA(VLOOKUP(L762,'🙎‍♂️ Pasien'!G:L,3,FALSE),"")</f>
        <v>32</v>
      </c>
      <c r="O762" s="104" t="str">
        <f>IFNA(VLOOKUP(L762,'🙎‍♂️ Pasien'!G:V,6,FALSE),"")</f>
        <v>LAKI-LAKI</v>
      </c>
      <c r="P762" s="104" t="str">
        <f>IFNA(VLOOKUP(L762,'🙎‍♂️ Pasien'!G:V,12,FALSE),"")</f>
        <v>ISLAM</v>
      </c>
      <c r="Q762" s="104" t="str">
        <f>IFNA(VLOOKUP(L762:L1508,'🙎‍♂️ Pasien'!G:V,13,FALSE),"")</f>
        <v>KARYAWAN SWASTA</v>
      </c>
      <c r="R762" s="104" t="str">
        <f t="array" ref="R762">ifna(xlookup(L762,'🙎‍♂️ Pasien'!$G$5:$G1508,'🙎‍♂️ Pasien'!$T$5:$T1508),"")</f>
        <v>LUTUT</v>
      </c>
      <c r="S762" s="104" t="str">
        <f t="array" ref="S762">ifna(xlookup(L762,'🙎‍♂️ Pasien'!$G$5:$G1508,'🙎‍♂️ Pasien'!$U$5:$U1508),"")</f>
        <v>OLAGRAGA</v>
      </c>
      <c r="T762" s="97" t="s">
        <v>59</v>
      </c>
      <c r="U762" s="105">
        <v>1.0</v>
      </c>
      <c r="V762" s="101" t="s">
        <v>256</v>
      </c>
      <c r="W762" s="106" t="b">
        <v>1</v>
      </c>
      <c r="X762" s="107"/>
      <c r="Y762" s="108"/>
    </row>
    <row r="763" ht="22.5" customHeight="1">
      <c r="A763" s="96"/>
      <c r="B763" s="97" t="s">
        <v>53</v>
      </c>
      <c r="C763" s="98" t="str">
        <f t="array" ref="C763">IFNA(XLOOKUP(J763,'⚙️ Pengaturan'!$H$5:$H1508,'⚙️ Pengaturan'!$I$5:$I1508),"")</f>
        <v>TIM Y</v>
      </c>
      <c r="D763" s="97" t="s">
        <v>54</v>
      </c>
      <c r="E763" s="99">
        <v>45974.0</v>
      </c>
      <c r="F763" s="100" t="str">
        <f t="shared" si="1"/>
        <v>2025</v>
      </c>
      <c r="G763" s="100" t="str">
        <f t="shared" si="2"/>
        <v>11Nov</v>
      </c>
      <c r="H763" s="100" t="str">
        <f t="shared" si="3"/>
        <v>Kamis</v>
      </c>
      <c r="I763" s="97" t="s">
        <v>76</v>
      </c>
      <c r="J763" s="97" t="s">
        <v>88</v>
      </c>
      <c r="K763" s="97" t="s">
        <v>63</v>
      </c>
      <c r="L763" s="101" t="s">
        <v>386</v>
      </c>
      <c r="M763" s="102" t="str">
        <f>IFNA(VLOOKUP(L763,'🙎‍♂️ Pasien'!G:V,2,FALSE),"")</f>
        <v>B7325109155</v>
      </c>
      <c r="N763" s="103">
        <f>IFNA(VLOOKUP(L763,'🙎‍♂️ Pasien'!G:L,3,FALSE),"")</f>
        <v>53</v>
      </c>
      <c r="O763" s="104" t="str">
        <f>IFNA(VLOOKUP(L763,'🙎‍♂️ Pasien'!G:V,6,FALSE),"")</f>
        <v>LAKI-LAKI</v>
      </c>
      <c r="P763" s="104" t="str">
        <f>IFNA(VLOOKUP(L763,'🙎‍♂️ Pasien'!G:V,12,FALSE),"")</f>
        <v>ISLAM</v>
      </c>
      <c r="Q763" s="104" t="str">
        <f>IFNA(VLOOKUP(L763:L1508,'🙎‍♂️ Pasien'!G:V,13,FALSE),"")</f>
        <v>WIRASUASTA</v>
      </c>
      <c r="R763" s="104" t="str">
        <f t="array" ref="R763">ifna(xlookup(L763,'🙎‍♂️ Pasien'!$G$5:$G1508,'🙎‍♂️ Pasien'!$T$5:$T1508),"")</f>
        <v>NYERI LUTUT</v>
      </c>
      <c r="S763" s="104" t="str">
        <f t="array" ref="S763">ifna(xlookup(L763,'🙎‍♂️ Pasien'!$G$5:$G1508,'🙎‍♂️ Pasien'!$U$5:$U1508),"")</f>
        <v>BADMINTON</v>
      </c>
      <c r="T763" s="97" t="s">
        <v>67</v>
      </c>
      <c r="U763" s="105">
        <v>4.0</v>
      </c>
      <c r="V763" s="101" t="s">
        <v>513</v>
      </c>
      <c r="W763" s="106" t="b">
        <v>1</v>
      </c>
      <c r="X763" s="107"/>
      <c r="Y763" s="108"/>
    </row>
    <row r="764" ht="22.5" customHeight="1">
      <c r="A764" s="96"/>
      <c r="B764" s="97" t="s">
        <v>53</v>
      </c>
      <c r="C764" s="98" t="str">
        <f t="array" ref="C764">IFNA(XLOOKUP(J764,'⚙️ Pengaturan'!$H$5:$H1508,'⚙️ Pengaturan'!$I$5:$I1508),"")</f>
        <v>TIM Y</v>
      </c>
      <c r="D764" s="97" t="s">
        <v>54</v>
      </c>
      <c r="E764" s="99">
        <v>45974.0</v>
      </c>
      <c r="F764" s="100" t="str">
        <f t="shared" si="1"/>
        <v>2025</v>
      </c>
      <c r="G764" s="100" t="str">
        <f t="shared" si="2"/>
        <v>11Nov</v>
      </c>
      <c r="H764" s="100" t="str">
        <f t="shared" si="3"/>
        <v>Kamis</v>
      </c>
      <c r="I764" s="97" t="s">
        <v>83</v>
      </c>
      <c r="J764" s="97" t="s">
        <v>107</v>
      </c>
      <c r="K764" s="97" t="s">
        <v>63</v>
      </c>
      <c r="L764" s="101" t="s">
        <v>477</v>
      </c>
      <c r="M764" s="102" t="str">
        <f>IFNA(VLOOKUP(L764,'🙎‍♂️ Pasien'!G:V,2,FALSE),"")</f>
        <v>F2525111598</v>
      </c>
      <c r="N764" s="103">
        <f>IFNA(VLOOKUP(L764,'🙎‍♂️ Pasien'!G:L,3,FALSE),"")</f>
        <v>0</v>
      </c>
      <c r="O764" s="104" t="str">
        <f>IFNA(VLOOKUP(L764,'🙎‍♂️ Pasien'!G:V,6,FALSE),"")</f>
        <v>PEREMPUAN</v>
      </c>
      <c r="P764" s="104" t="str">
        <f>IFNA(VLOOKUP(L764,'🙎‍♂️ Pasien'!G:V,12,FALSE),"")</f>
        <v>KATOLIK</v>
      </c>
      <c r="Q764" s="104" t="str">
        <f>IFNA(VLOOKUP(L764:L1508,'🙎‍♂️ Pasien'!G:V,13,FALSE),"")</f>
        <v>SWASTA</v>
      </c>
      <c r="R764" s="104" t="str">
        <f t="array" ref="R764">ifna(xlookup(L764,'🙎‍♂️ Pasien'!$G$5:$G1508,'🙎‍♂️ Pasien'!$T$5:$T1508),"")</f>
        <v>TANGAN SAKIT SEBELAH KANAN..</v>
      </c>
      <c r="S764" s="104" t="str">
        <f t="array" ref="S764">ifna(xlookup(L764,'🙎‍♂️ Pasien'!$G$5:$G1508,'🙎‍♂️ Pasien'!$U$5:$U1508),"")</f>
        <v>HABIS NGEJIM</v>
      </c>
      <c r="T764" s="97" t="s">
        <v>59</v>
      </c>
      <c r="U764" s="105">
        <v>2.0</v>
      </c>
      <c r="V764" s="101"/>
      <c r="W764" s="106" t="b">
        <v>1</v>
      </c>
      <c r="X764" s="107"/>
      <c r="Y764" s="108"/>
    </row>
    <row r="765" ht="22.5" customHeight="1">
      <c r="A765" s="96"/>
      <c r="B765" s="97" t="s">
        <v>85</v>
      </c>
      <c r="C765" s="98" t="str">
        <f t="array" ref="C765">IFNA(XLOOKUP(J765,'⚙️ Pengaturan'!$H$5:$H1508,'⚙️ Pengaturan'!$I$5:$I1508),"")</f>
        <v>TIM Y</v>
      </c>
      <c r="D765" s="97" t="s">
        <v>86</v>
      </c>
      <c r="E765" s="99">
        <v>45974.0</v>
      </c>
      <c r="F765" s="100" t="str">
        <f t="shared" si="1"/>
        <v>2025</v>
      </c>
      <c r="G765" s="100" t="str">
        <f t="shared" si="2"/>
        <v>11Nov</v>
      </c>
      <c r="H765" s="100" t="str">
        <f t="shared" si="3"/>
        <v>Kamis</v>
      </c>
      <c r="I765" s="97" t="s">
        <v>87</v>
      </c>
      <c r="J765" s="97" t="s">
        <v>56</v>
      </c>
      <c r="K765" s="97" t="s">
        <v>63</v>
      </c>
      <c r="L765" s="101" t="s">
        <v>119</v>
      </c>
      <c r="M765" s="102" t="str">
        <f>IFNA(VLOOKUP(L765,'🙎‍♂️ Pasien'!G:V,2,FALSE),"")</f>
        <v>H4623015667</v>
      </c>
      <c r="N765" s="103">
        <f>IFNA(VLOOKUP(L765,'🙎‍♂️ Pasien'!G:L,3,FALSE),"")</f>
        <v>80</v>
      </c>
      <c r="O765" s="104" t="str">
        <f>IFNA(VLOOKUP(L765,'🙎‍♂️ Pasien'!G:V,6,FALSE),"")</f>
        <v>LAKI-LAKI</v>
      </c>
      <c r="P765" s="104" t="str">
        <f>IFNA(VLOOKUP(L765,'🙎‍♂️ Pasien'!G:V,12,FALSE),"")</f>
        <v>ISLAM</v>
      </c>
      <c r="Q765" s="104" t="str">
        <f>IFNA(VLOOKUP(L765:L1508,'🙎‍♂️ Pasien'!G:V,13,FALSE),"")</f>
        <v>PENSIUN</v>
      </c>
      <c r="R765" s="104" t="str">
        <f t="array" ref="R765">ifna(xlookup(L765,'🙎‍♂️ Pasien'!$G$5:$G1508,'🙎‍♂️ Pasien'!$T$5:$T1508),"")</f>
        <v>STROKE</v>
      </c>
      <c r="S765" s="104" t="str">
        <f t="array" ref="S765">ifna(xlookup(L765,'🙎‍♂️ Pasien'!$G$5:$G1508,'🙎‍♂️ Pasien'!$U$5:$U1508),"")</f>
        <v/>
      </c>
      <c r="T765" s="97" t="s">
        <v>67</v>
      </c>
      <c r="U765" s="105">
        <v>10.0</v>
      </c>
      <c r="V765" s="101" t="s">
        <v>514</v>
      </c>
      <c r="W765" s="106" t="b">
        <v>1</v>
      </c>
      <c r="X765" s="107"/>
      <c r="Y765" s="108"/>
    </row>
    <row r="766" ht="22.5" customHeight="1">
      <c r="A766" s="96"/>
      <c r="B766" s="97" t="s">
        <v>85</v>
      </c>
      <c r="C766" s="98" t="str">
        <f t="array" ref="C766">IFNA(XLOOKUP(J766,'⚙️ Pengaturan'!$H$5:$H1508,'⚙️ Pengaturan'!$I$5:$I1508),"")</f>
        <v>TIM A</v>
      </c>
      <c r="D766" s="97" t="s">
        <v>86</v>
      </c>
      <c r="E766" s="99">
        <v>45974.0</v>
      </c>
      <c r="F766" s="100" t="str">
        <f t="shared" si="1"/>
        <v>2025</v>
      </c>
      <c r="G766" s="100" t="str">
        <f t="shared" si="2"/>
        <v>11Nov</v>
      </c>
      <c r="H766" s="100" t="str">
        <f t="shared" si="3"/>
        <v>Kamis</v>
      </c>
      <c r="I766" s="97" t="s">
        <v>87</v>
      </c>
      <c r="J766" s="97" t="s">
        <v>62</v>
      </c>
      <c r="K766" s="97" t="s">
        <v>63</v>
      </c>
      <c r="L766" s="101" t="s">
        <v>149</v>
      </c>
      <c r="M766" s="102" t="str">
        <f>IFNA(VLOOKUP(L766,'🙎‍♂️ Pasien'!G:V,2,FALSE),"")</f>
        <v>S9825058991</v>
      </c>
      <c r="N766" s="103">
        <f>IFNA(VLOOKUP(L766,'🙎‍♂️ Pasien'!G:L,3,FALSE),"")</f>
        <v>27</v>
      </c>
      <c r="O766" s="104" t="str">
        <f>IFNA(VLOOKUP(L766,'🙎‍♂️ Pasien'!G:V,6,FALSE),"")</f>
        <v>PEREMPUAN</v>
      </c>
      <c r="P766" s="104" t="str">
        <f>IFNA(VLOOKUP(L766,'🙎‍♂️ Pasien'!G:V,12,FALSE),"")</f>
        <v>ISLAM</v>
      </c>
      <c r="Q766" s="104" t="str">
        <f>IFNA(VLOOKUP(L766:L1508,'🙎‍♂️ Pasien'!G:V,13,FALSE),"")</f>
        <v>SWASTA</v>
      </c>
      <c r="R766" s="104" t="str">
        <f t="array" ref="R766">ifna(xlookup(L766,'🙎‍♂️ Pasien'!$G$5:$G1508,'🙎‍♂️ Pasien'!$T$5:$T1508),"")</f>
        <v>HNP LUMBAL/SARAF KEJEPIT</v>
      </c>
      <c r="S766" s="104" t="str">
        <f t="array" ref="S766">ifna(xlookup(L766,'🙎‍♂️ Pasien'!$G$5:$G1508,'🙎‍♂️ Pasien'!$U$5:$U1508),"")</f>
        <v>BEKERJA KANTORAN</v>
      </c>
      <c r="T766" s="97" t="s">
        <v>59</v>
      </c>
      <c r="U766" s="105">
        <v>4.0</v>
      </c>
      <c r="V766" s="101"/>
      <c r="W766" s="106" t="b">
        <v>1</v>
      </c>
      <c r="X766" s="107"/>
      <c r="Y766" s="108"/>
    </row>
    <row r="767" ht="22.5" customHeight="1">
      <c r="A767" s="96"/>
      <c r="B767" s="97" t="s">
        <v>85</v>
      </c>
      <c r="C767" s="98" t="str">
        <f t="array" ref="C767">IFNA(XLOOKUP(J767,'⚙️ Pengaturan'!$H$5:$H1508,'⚙️ Pengaturan'!$I$5:$I1508),"")</f>
        <v>TIM A</v>
      </c>
      <c r="D767" s="97" t="s">
        <v>86</v>
      </c>
      <c r="E767" s="99">
        <v>45974.0</v>
      </c>
      <c r="F767" s="100" t="str">
        <f t="shared" si="1"/>
        <v>2025</v>
      </c>
      <c r="G767" s="100" t="str">
        <f t="shared" si="2"/>
        <v>11Nov</v>
      </c>
      <c r="H767" s="100" t="str">
        <f t="shared" si="3"/>
        <v>Kamis</v>
      </c>
      <c r="I767" s="97" t="s">
        <v>87</v>
      </c>
      <c r="J767" s="97" t="s">
        <v>79</v>
      </c>
      <c r="K767" s="97" t="s">
        <v>69</v>
      </c>
      <c r="L767" s="101" t="s">
        <v>499</v>
      </c>
      <c r="M767" s="102" t="str">
        <f>IFNA(VLOOKUP(L767,'🙎‍♂️ Pasien'!G:V,2,FALSE),"")</f>
        <v>S6025112254</v>
      </c>
      <c r="N767" s="103">
        <f>IFNA(VLOOKUP(L767,'🙎‍♂️ Pasien'!G:L,3,FALSE),"")</f>
        <v>65</v>
      </c>
      <c r="O767" s="104" t="str">
        <f>IFNA(VLOOKUP(L767,'🙎‍♂️ Pasien'!G:V,6,FALSE),"")</f>
        <v>PEREMPUAN</v>
      </c>
      <c r="P767" s="104" t="str">
        <f>IFNA(VLOOKUP(L767,'🙎‍♂️ Pasien'!G:V,12,FALSE),"")</f>
        <v>ISLAM</v>
      </c>
      <c r="Q767" s="104" t="str">
        <f>IFNA(VLOOKUP(L767:L1508,'🙎‍♂️ Pasien'!G:V,13,FALSE),"")</f>
        <v>PENSIUNAN</v>
      </c>
      <c r="R767" s="104" t="str">
        <f t="array" ref="R767">ifna(xlookup(L767,'🙎‍♂️ Pasien'!$G$5:$G1508,'🙎‍♂️ Pasien'!$T$5:$T1508),"")</f>
        <v>LUTUS SAKIT SAAT BERDIRI ATAU JALAN</v>
      </c>
      <c r="S767" s="104" t="str">
        <f t="array" ref="S767">ifna(xlookup(L767,'🙎‍♂️ Pasien'!$G$5:$G1508,'🙎‍♂️ Pasien'!$U$5:$U1508),"")</f>
        <v>DIRUMAH SAJA</v>
      </c>
      <c r="T767" s="97" t="s">
        <v>59</v>
      </c>
      <c r="U767" s="105" t="s">
        <v>60</v>
      </c>
      <c r="V767" s="101"/>
      <c r="W767" s="106" t="b">
        <v>1</v>
      </c>
      <c r="X767" s="107"/>
      <c r="Y767" s="108"/>
    </row>
    <row r="768" ht="22.5" customHeight="1">
      <c r="A768" s="96"/>
      <c r="B768" s="97" t="s">
        <v>85</v>
      </c>
      <c r="C768" s="98" t="str">
        <f t="array" ref="C768">IFNA(XLOOKUP(J768,'⚙️ Pengaturan'!$H$5:$H1508,'⚙️ Pengaturan'!$I$5:$I1508),"")</f>
        <v>TIM Y</v>
      </c>
      <c r="D768" s="97" t="s">
        <v>86</v>
      </c>
      <c r="E768" s="99">
        <v>45974.0</v>
      </c>
      <c r="F768" s="100" t="str">
        <f t="shared" si="1"/>
        <v>2025</v>
      </c>
      <c r="G768" s="100" t="str">
        <f t="shared" si="2"/>
        <v>11Nov</v>
      </c>
      <c r="H768" s="100" t="str">
        <f t="shared" si="3"/>
        <v>Kamis</v>
      </c>
      <c r="I768" s="97" t="s">
        <v>93</v>
      </c>
      <c r="J768" s="97" t="s">
        <v>509</v>
      </c>
      <c r="K768" s="97" t="s">
        <v>63</v>
      </c>
      <c r="L768" s="101" t="s">
        <v>490</v>
      </c>
      <c r="M768" s="102" t="str">
        <f>IFNA(VLOOKUP(L768,'🙎‍♂️ Pasien'!G:V,2,FALSE),"")</f>
        <v>R1125017999</v>
      </c>
      <c r="N768" s="103">
        <f>IFNA(VLOOKUP(L768,'🙎‍♂️ Pasien'!G:L,3,FALSE),"")</f>
        <v>14</v>
      </c>
      <c r="O768" s="104" t="str">
        <f>IFNA(VLOOKUP(L768,'🙎‍♂️ Pasien'!G:V,6,FALSE),"")</f>
        <v>LAKI-LAKI</v>
      </c>
      <c r="P768" s="104" t="str">
        <f>IFNA(VLOOKUP(L768,'🙎‍♂️ Pasien'!G:V,12,FALSE),"")</f>
        <v>ISLAM</v>
      </c>
      <c r="Q768" s="104" t="str">
        <f>IFNA(VLOOKUP(L768:L1508,'🙎‍♂️ Pasien'!G:V,13,FALSE),"")</f>
        <v>Siswa</v>
      </c>
      <c r="R768" s="104" t="str">
        <f t="array" ref="R768">ifna(xlookup(L768,'🙎‍♂️ Pasien'!$G$5:$G1508,'🙎‍♂️ Pasien'!$T$5:$T1508),"")</f>
        <v>Lutut sakit setelah main basket</v>
      </c>
      <c r="S768" s="104" t="str">
        <f t="array" ref="S768">ifna(xlookup(L768,'🙎‍♂️ Pasien'!$G$5:$G1508,'🙎‍♂️ Pasien'!$U$5:$U1508),"")</f>
        <v>Futsal, basket</v>
      </c>
      <c r="T768" s="97" t="s">
        <v>59</v>
      </c>
      <c r="U768" s="105">
        <v>3.0</v>
      </c>
      <c r="V768" s="101"/>
      <c r="W768" s="106" t="b">
        <v>1</v>
      </c>
      <c r="X768" s="107"/>
      <c r="Y768" s="108"/>
    </row>
    <row r="769" ht="22.5" customHeight="1">
      <c r="A769" s="96"/>
      <c r="B769" s="97" t="s">
        <v>85</v>
      </c>
      <c r="C769" s="98" t="str">
        <f t="array" ref="C769">IFNA(XLOOKUP(J769,'⚙️ Pengaturan'!$H$5:$H1508,'⚙️ Pengaturan'!$I$5:$I1508),"")</f>
        <v>TIM Y</v>
      </c>
      <c r="D769" s="97" t="s">
        <v>86</v>
      </c>
      <c r="E769" s="99">
        <v>45974.0</v>
      </c>
      <c r="F769" s="100" t="str">
        <f t="shared" si="1"/>
        <v>2025</v>
      </c>
      <c r="G769" s="100" t="str">
        <f t="shared" si="2"/>
        <v>11Nov</v>
      </c>
      <c r="H769" s="100" t="str">
        <f t="shared" si="3"/>
        <v>Kamis</v>
      </c>
      <c r="I769" s="97" t="s">
        <v>93</v>
      </c>
      <c r="J769" s="97" t="s">
        <v>56</v>
      </c>
      <c r="K769" s="97" t="s">
        <v>63</v>
      </c>
      <c r="L769" s="101" t="s">
        <v>160</v>
      </c>
      <c r="M769" s="102" t="str">
        <f>IFNA(VLOOKUP(L769,'🙎‍♂️ Pasien'!G:V,2,FALSE),"")</f>
        <v>S7625091177</v>
      </c>
      <c r="N769" s="103">
        <f>IFNA(VLOOKUP(L769,'🙎‍♂️ Pasien'!G:L,3,FALSE),"")</f>
        <v>49</v>
      </c>
      <c r="O769" s="104" t="str">
        <f>IFNA(VLOOKUP(L769,'🙎‍♂️ Pasien'!G:V,6,FALSE),"")</f>
        <v>LAKI-LAKI</v>
      </c>
      <c r="P769" s="104" t="str">
        <f>IFNA(VLOOKUP(L769,'🙎‍♂️ Pasien'!G:V,12,FALSE),"")</f>
        <v>ISLAM</v>
      </c>
      <c r="Q769" s="104" t="str">
        <f>IFNA(VLOOKUP(L769:L1508,'🙎‍♂️ Pasien'!G:V,13,FALSE),"")</f>
        <v>WIRASWASTA</v>
      </c>
      <c r="R769" s="104" t="str">
        <f t="array" ref="R769">ifna(xlookup(L769,'🙎‍♂️ Pasien'!$G$5:$G1508,'🙎‍♂️ Pasien'!$T$5:$T1508),"")</f>
        <v>CEDERA LUTUT</v>
      </c>
      <c r="S769" s="104" t="str">
        <f t="array" ref="S769">ifna(xlookup(L769,'🙎‍♂️ Pasien'!$G$5:$G1508,'🙎‍♂️ Pasien'!$U$5:$U1508),"")</f>
        <v>MAIN BADMINTON</v>
      </c>
      <c r="T769" s="97" t="s">
        <v>67</v>
      </c>
      <c r="U769" s="105">
        <v>4.0</v>
      </c>
      <c r="V769" s="101" t="s">
        <v>515</v>
      </c>
      <c r="W769" s="106" t="b">
        <v>1</v>
      </c>
      <c r="X769" s="107"/>
      <c r="Y769" s="108"/>
    </row>
    <row r="770" ht="22.5" customHeight="1">
      <c r="A770" s="96"/>
      <c r="B770" s="97" t="s">
        <v>85</v>
      </c>
      <c r="C770" s="98" t="str">
        <f t="array" ref="C770">IFNA(XLOOKUP(J770,'⚙️ Pengaturan'!$H$5:$H1508,'⚙️ Pengaturan'!$I$5:$I1508),"")</f>
        <v>TIM Y</v>
      </c>
      <c r="D770" s="97" t="s">
        <v>86</v>
      </c>
      <c r="E770" s="99">
        <v>45974.0</v>
      </c>
      <c r="F770" s="100" t="str">
        <f t="shared" si="1"/>
        <v>2025</v>
      </c>
      <c r="G770" s="100" t="str">
        <f t="shared" si="2"/>
        <v>11Nov</v>
      </c>
      <c r="H770" s="100" t="str">
        <f t="shared" si="3"/>
        <v>Kamis</v>
      </c>
      <c r="I770" s="97" t="s">
        <v>95</v>
      </c>
      <c r="J770" s="97" t="s">
        <v>56</v>
      </c>
      <c r="K770" s="97" t="s">
        <v>63</v>
      </c>
      <c r="L770" s="101" t="s">
        <v>353</v>
      </c>
      <c r="M770" s="102" t="str">
        <f>IFNA(VLOOKUP(L770,'🙎‍♂️ Pasien'!G:V,2,FALSE),"")</f>
        <v>N0324108818</v>
      </c>
      <c r="N770" s="103">
        <f>IFNA(VLOOKUP(L770,'🙎‍♂️ Pasien'!G:L,3,FALSE),"")</f>
        <v>23</v>
      </c>
      <c r="O770" s="104" t="str">
        <f>IFNA(VLOOKUP(L770,'🙎‍♂️ Pasien'!G:V,6,FALSE),"")</f>
        <v>LAKI-LAKI</v>
      </c>
      <c r="P770" s="104" t="str">
        <f>IFNA(VLOOKUP(L770,'🙎‍♂️ Pasien'!G:V,12,FALSE),"")</f>
        <v>KATOLIK</v>
      </c>
      <c r="Q770" s="104" t="str">
        <f>IFNA(VLOOKUP(L770:L1508,'🙎‍♂️ Pasien'!G:V,13,FALSE),"")</f>
        <v>PELAJAR/MAHASISWA</v>
      </c>
      <c r="R770" s="104" t="str">
        <f t="array" ref="R770">ifna(xlookup(L770,'🙎‍♂️ Pasien'!$G$5:$G1508,'🙎‍♂️ Pasien'!$T$5:$T1508),"")</f>
        <v>Belikat, telapak kaki, bahu, pinggang</v>
      </c>
      <c r="S770" s="104" t="str">
        <f t="array" ref="S770">ifna(xlookup(L770,'🙎‍♂️ Pasien'!$G$5:$G1508,'🙎‍♂️ Pasien'!$U$5:$U1508),"")</f>
        <v>Tennis dan gym</v>
      </c>
      <c r="T770" s="97" t="s">
        <v>59</v>
      </c>
      <c r="U770" s="105">
        <v>8.0</v>
      </c>
      <c r="V770" s="101"/>
      <c r="W770" s="106" t="b">
        <v>1</v>
      </c>
      <c r="X770" s="107"/>
      <c r="Y770" s="108"/>
    </row>
    <row r="771" ht="22.5" customHeight="1">
      <c r="A771" s="96"/>
      <c r="B771" s="97" t="s">
        <v>85</v>
      </c>
      <c r="C771" s="98" t="str">
        <f t="array" ref="C771">IFNA(XLOOKUP(J771,'⚙️ Pengaturan'!$H$5:$H1508,'⚙️ Pengaturan'!$I$5:$I1508),"")</f>
        <v>TIM Y</v>
      </c>
      <c r="D771" s="97" t="s">
        <v>86</v>
      </c>
      <c r="E771" s="99">
        <v>45974.0</v>
      </c>
      <c r="F771" s="100" t="str">
        <f t="shared" si="1"/>
        <v>2025</v>
      </c>
      <c r="G771" s="100" t="str">
        <f t="shared" si="2"/>
        <v>11Nov</v>
      </c>
      <c r="H771" s="100" t="str">
        <f t="shared" si="3"/>
        <v>Kamis</v>
      </c>
      <c r="I771" s="97" t="s">
        <v>97</v>
      </c>
      <c r="J771" s="97" t="s">
        <v>56</v>
      </c>
      <c r="K771" s="97" t="s">
        <v>63</v>
      </c>
      <c r="L771" s="101" t="s">
        <v>190</v>
      </c>
      <c r="M771" s="102" t="str">
        <f>IFNA(VLOOKUP(L771,'🙎‍♂️ Pasien'!G:V,2,FALSE),"")</f>
        <v>A9025108786</v>
      </c>
      <c r="N771" s="103">
        <f>IFNA(VLOOKUP(L771,'🙎‍♂️ Pasien'!G:L,3,FALSE),"")</f>
        <v>35</v>
      </c>
      <c r="O771" s="104" t="str">
        <f>IFNA(VLOOKUP(L771,'🙎‍♂️ Pasien'!G:V,6,FALSE),"")</f>
        <v>LAKI-LAKI</v>
      </c>
      <c r="P771" s="104" t="str">
        <f>IFNA(VLOOKUP(L771,'🙎‍♂️ Pasien'!G:V,12,FALSE),"")</f>
        <v>ISLAM</v>
      </c>
      <c r="Q771" s="104" t="str">
        <f>IFNA(VLOOKUP(L771:L1508,'🙎‍♂️ Pasien'!G:V,13,FALSE),"")</f>
        <v>WIRASWASTA</v>
      </c>
      <c r="R771" s="104" t="str">
        <f t="array" ref="R771">ifna(xlookup(L771,'🙎‍♂️ Pasien'!$G$5:$G1508,'🙎‍♂️ Pasien'!$T$5:$T1508),"")</f>
        <v>KESELEO PADA BAGIAN LUTUT</v>
      </c>
      <c r="S771" s="104" t="str">
        <f t="array" ref="S771">ifna(xlookup(L771,'🙎‍♂️ Pasien'!$G$5:$G1508,'🙎‍♂️ Pasien'!$U$5:$U1508),"")</f>
        <v>BERMAIN BOLA</v>
      </c>
      <c r="T771" s="97" t="s">
        <v>67</v>
      </c>
      <c r="U771" s="105">
        <v>2.0</v>
      </c>
      <c r="V771" s="101" t="s">
        <v>343</v>
      </c>
      <c r="W771" s="106" t="b">
        <v>1</v>
      </c>
      <c r="X771" s="107"/>
      <c r="Y771" s="108"/>
    </row>
    <row r="772" ht="22.5" customHeight="1">
      <c r="A772" s="96"/>
      <c r="B772" s="97" t="s">
        <v>85</v>
      </c>
      <c r="C772" s="98" t="str">
        <f t="array" ref="C772">IFNA(XLOOKUP(J772,'⚙️ Pengaturan'!$H$5:$H1508,'⚙️ Pengaturan'!$I$5:$I1508),"")</f>
        <v>TIM A</v>
      </c>
      <c r="D772" s="97" t="s">
        <v>86</v>
      </c>
      <c r="E772" s="99">
        <v>45974.0</v>
      </c>
      <c r="F772" s="100" t="str">
        <f t="shared" si="1"/>
        <v>2025</v>
      </c>
      <c r="G772" s="100" t="str">
        <f t="shared" si="2"/>
        <v>11Nov</v>
      </c>
      <c r="H772" s="100" t="str">
        <f t="shared" si="3"/>
        <v>Kamis</v>
      </c>
      <c r="I772" s="97" t="s">
        <v>97</v>
      </c>
      <c r="J772" s="97" t="s">
        <v>62</v>
      </c>
      <c r="K772" s="97" t="s">
        <v>57</v>
      </c>
      <c r="L772" s="101" t="s">
        <v>516</v>
      </c>
      <c r="M772" s="102" t="str">
        <f>IFNA(VLOOKUP(L772,'🙎‍♂️ Pasien'!G:V,2,FALSE),"")</f>
        <v>M0425117629</v>
      </c>
      <c r="N772" s="103">
        <f>IFNA(VLOOKUP(L772,'🙎‍♂️ Pasien'!G:L,3,FALSE),"")</f>
        <v>22</v>
      </c>
      <c r="O772" s="104" t="str">
        <f>IFNA(VLOOKUP(L772,'🙎‍♂️ Pasien'!G:V,6,FALSE),"")</f>
        <v>PEREMPUAN</v>
      </c>
      <c r="P772" s="104" t="str">
        <f>IFNA(VLOOKUP(L772,'🙎‍♂️ Pasien'!G:V,12,FALSE),"")</f>
        <v>ISLAM</v>
      </c>
      <c r="Q772" s="104" t="str">
        <f>IFNA(VLOOKUP(L772:L1508,'🙎‍♂️ Pasien'!G:V,13,FALSE),"")</f>
        <v>STAFF TOKO</v>
      </c>
      <c r="R772" s="104" t="str">
        <f t="array" ref="R772">ifna(xlookup(L772,'🙎‍♂️ Pasien'!$G$5:$G1508,'🙎‍♂️ Pasien'!$T$5:$T1508),"")</f>
        <v>NYERI LUTUT PASCA GYM</v>
      </c>
      <c r="S772" s="104" t="str">
        <f t="array" ref="S772">ifna(xlookup(L772,'🙎‍♂️ Pasien'!$G$5:$G1508,'🙎‍♂️ Pasien'!$U$5:$U1508),"")</f>
        <v>GYM</v>
      </c>
      <c r="T772" s="97" t="s">
        <v>59</v>
      </c>
      <c r="U772" s="105" t="s">
        <v>60</v>
      </c>
      <c r="V772" s="101"/>
      <c r="W772" s="106" t="b">
        <v>1</v>
      </c>
      <c r="X772" s="107"/>
      <c r="Y772" s="108"/>
    </row>
    <row r="773" ht="22.5" customHeight="1">
      <c r="A773" s="96"/>
      <c r="B773" s="97" t="s">
        <v>85</v>
      </c>
      <c r="C773" s="98" t="str">
        <f t="array" ref="C773">IFNA(XLOOKUP(J773,'⚙️ Pengaturan'!$H$5:$H1508,'⚙️ Pengaturan'!$I$5:$I1508),"")</f>
        <v>TIM Y</v>
      </c>
      <c r="D773" s="97" t="s">
        <v>86</v>
      </c>
      <c r="E773" s="99">
        <v>45974.0</v>
      </c>
      <c r="F773" s="100" t="str">
        <f t="shared" si="1"/>
        <v>2025</v>
      </c>
      <c r="G773" s="100" t="str">
        <f t="shared" si="2"/>
        <v>11Nov</v>
      </c>
      <c r="H773" s="100" t="str">
        <f t="shared" si="3"/>
        <v>Kamis</v>
      </c>
      <c r="I773" s="97" t="s">
        <v>99</v>
      </c>
      <c r="J773" s="97" t="s">
        <v>56</v>
      </c>
      <c r="K773" s="97" t="s">
        <v>57</v>
      </c>
      <c r="L773" s="101" t="s">
        <v>517</v>
      </c>
      <c r="M773" s="102" t="str">
        <f>IFNA(VLOOKUP(L773,'🙎‍♂️ Pasien'!G:V,2,FALSE),"")</f>
        <v>A8525117983</v>
      </c>
      <c r="N773" s="103">
        <f>IFNA(VLOOKUP(L773,'🙎‍♂️ Pasien'!G:L,3,FALSE),"")</f>
        <v>40</v>
      </c>
      <c r="O773" s="104" t="str">
        <f>IFNA(VLOOKUP(L773,'🙎‍♂️ Pasien'!G:V,6,FALSE),"")</f>
        <v>LAKI-LAKI</v>
      </c>
      <c r="P773" s="104" t="str">
        <f>IFNA(VLOOKUP(L773,'🙎‍♂️ Pasien'!G:V,12,FALSE),"")</f>
        <v>ISLAM</v>
      </c>
      <c r="Q773" s="104" t="str">
        <f>IFNA(VLOOKUP(L773:L1508,'🙎‍♂️ Pasien'!G:V,13,FALSE),"")</f>
        <v>SWASTA</v>
      </c>
      <c r="R773" s="104" t="str">
        <f t="array" ref="R773">ifna(xlookup(L773,'🙎‍♂️ Pasien'!$G$5:$G1508,'🙎‍♂️ Pasien'!$T$5:$T1508),"")</f>
        <v>NYERI DI ENGKEL KAKI</v>
      </c>
      <c r="S773" s="104" t="str">
        <f t="array" ref="S773">ifna(xlookup(L773,'🙎‍♂️ Pasien'!$G$5:$G1508,'🙎‍♂️ Pasien'!$U$5:$U1508),"")</f>
        <v>MINI SOCCER</v>
      </c>
      <c r="T773" s="97" t="s">
        <v>59</v>
      </c>
      <c r="U773" s="105" t="s">
        <v>60</v>
      </c>
      <c r="V773" s="101"/>
      <c r="W773" s="106" t="b">
        <v>1</v>
      </c>
      <c r="X773" s="107"/>
      <c r="Y773" s="108"/>
    </row>
    <row r="774" ht="22.5" customHeight="1">
      <c r="A774" s="96"/>
      <c r="B774" s="97" t="s">
        <v>85</v>
      </c>
      <c r="C774" s="98" t="str">
        <f t="array" ref="C774">IFNA(XLOOKUP(J774,'⚙️ Pengaturan'!$H$5:$H1508,'⚙️ Pengaturan'!$I$5:$I1508),"")</f>
        <v>TIM A</v>
      </c>
      <c r="D774" s="97" t="s">
        <v>86</v>
      </c>
      <c r="E774" s="99">
        <v>45974.0</v>
      </c>
      <c r="F774" s="100" t="str">
        <f t="shared" si="1"/>
        <v>2025</v>
      </c>
      <c r="G774" s="100" t="str">
        <f t="shared" si="2"/>
        <v>11Nov</v>
      </c>
      <c r="H774" s="100" t="str">
        <f t="shared" si="3"/>
        <v>Kamis</v>
      </c>
      <c r="I774" s="97" t="s">
        <v>99</v>
      </c>
      <c r="J774" s="97" t="s">
        <v>79</v>
      </c>
      <c r="K774" s="97" t="s">
        <v>63</v>
      </c>
      <c r="L774" s="101" t="s">
        <v>350</v>
      </c>
      <c r="M774" s="102" t="str">
        <f>IFNA(VLOOKUP(L774,'🙎‍♂️ Pasien'!G:V,2,FALSE),"")</f>
        <v>I8025109996</v>
      </c>
      <c r="N774" s="103">
        <f>IFNA(VLOOKUP(L774,'🙎‍♂️ Pasien'!G:L,3,FALSE),"")</f>
        <v>45</v>
      </c>
      <c r="O774" s="104" t="str">
        <f>IFNA(VLOOKUP(L774,'🙎‍♂️ Pasien'!G:V,6,FALSE),"")</f>
        <v>PEREMPUAN</v>
      </c>
      <c r="P774" s="104" t="str">
        <f>IFNA(VLOOKUP(L774,'🙎‍♂️ Pasien'!G:V,12,FALSE),"")</f>
        <v>ISLAM</v>
      </c>
      <c r="Q774" s="104" t="str">
        <f>IFNA(VLOOKUP(L774:L1508,'🙎‍♂️ Pasien'!G:V,13,FALSE),"")</f>
        <v>WIRASWASTA</v>
      </c>
      <c r="R774" s="104" t="str">
        <f t="array" ref="R774">ifna(xlookup(L774,'🙎‍♂️ Pasien'!$G$5:$G1508,'🙎‍♂️ Pasien'!$T$5:$T1508),"")</f>
        <v>NYERI KEPALA TIPE TEGANG DAN TANGAN SUKA KESEMUTAN</v>
      </c>
      <c r="S774" s="104" t="str">
        <f t="array" ref="S774">ifna(xlookup(L774,'🙎‍♂️ Pasien'!$G$5:$G1508,'🙎‍♂️ Pasien'!$U$5:$U1508),"")</f>
        <v>JIKA BAWA MOTOR DAN TIDUR MENGHADAP KE KANAN</v>
      </c>
      <c r="T774" s="97" t="s">
        <v>59</v>
      </c>
      <c r="U774" s="105">
        <v>2.0</v>
      </c>
      <c r="V774" s="101"/>
      <c r="W774" s="106" t="b">
        <v>1</v>
      </c>
      <c r="X774" s="107"/>
      <c r="Y774" s="108"/>
    </row>
    <row r="775" ht="22.5" customHeight="1">
      <c r="A775" s="96"/>
      <c r="B775" s="97" t="s">
        <v>85</v>
      </c>
      <c r="C775" s="98" t="str">
        <f t="array" ref="C775">IFNA(XLOOKUP(J775,'⚙️ Pengaturan'!$H$5:$H1508,'⚙️ Pengaturan'!$I$5:$I1508),"")</f>
        <v>TIM Y</v>
      </c>
      <c r="D775" s="97" t="s">
        <v>134</v>
      </c>
      <c r="E775" s="99">
        <v>45975.0</v>
      </c>
      <c r="F775" s="100" t="str">
        <f t="shared" si="1"/>
        <v>2025</v>
      </c>
      <c r="G775" s="100" t="str">
        <f t="shared" si="2"/>
        <v>11Nov</v>
      </c>
      <c r="H775" s="100" t="str">
        <f t="shared" si="3"/>
        <v>Jumat</v>
      </c>
      <c r="I775" s="97" t="s">
        <v>87</v>
      </c>
      <c r="J775" s="97" t="s">
        <v>107</v>
      </c>
      <c r="K775" s="97" t="s">
        <v>63</v>
      </c>
      <c r="L775" s="101" t="s">
        <v>302</v>
      </c>
      <c r="M775" s="102" t="str">
        <f>IFNA(VLOOKUP(L775,'🙎‍♂️ Pasien'!G:V,2,FALSE),"")</f>
        <v>A9425105994</v>
      </c>
      <c r="N775" s="103">
        <f>IFNA(VLOOKUP(L775,'🙎‍♂️ Pasien'!G:L,3,FALSE),"")</f>
        <v>32</v>
      </c>
      <c r="O775" s="104" t="str">
        <f>IFNA(VLOOKUP(L775,'🙎‍♂️ Pasien'!G:V,6,FALSE),"")</f>
        <v>LAKI-LAKI</v>
      </c>
      <c r="P775" s="104" t="str">
        <f>IFNA(VLOOKUP(L775,'🙎‍♂️ Pasien'!G:V,12,FALSE),"")</f>
        <v>ISLAM</v>
      </c>
      <c r="Q775" s="104" t="str">
        <f>IFNA(VLOOKUP(L775:L1508,'🙎‍♂️ Pasien'!G:V,13,FALSE),"")</f>
        <v>KARYAWAN SWASTA</v>
      </c>
      <c r="R775" s="104" t="str">
        <f t="array" ref="R775">ifna(xlookup(L775,'🙎‍♂️ Pasien'!$G$5:$G1508,'🙎‍♂️ Pasien'!$T$5:$T1508),"")</f>
        <v>LUTUT</v>
      </c>
      <c r="S775" s="104" t="str">
        <f t="array" ref="S775">ifna(xlookup(L775,'🙎‍♂️ Pasien'!$G$5:$G1508,'🙎‍♂️ Pasien'!$U$5:$U1508),"")</f>
        <v>OLAGRAGA</v>
      </c>
      <c r="T775" s="97" t="s">
        <v>67</v>
      </c>
      <c r="U775" s="105">
        <v>2.0</v>
      </c>
      <c r="V775" s="101" t="s">
        <v>483</v>
      </c>
      <c r="W775" s="106" t="b">
        <v>1</v>
      </c>
      <c r="X775" s="107"/>
      <c r="Y775" s="108"/>
    </row>
    <row r="776" ht="22.5" customHeight="1">
      <c r="A776" s="96"/>
      <c r="B776" s="97" t="s">
        <v>85</v>
      </c>
      <c r="C776" s="98" t="str">
        <f t="array" ref="C776">IFNA(XLOOKUP(J776,'⚙️ Pengaturan'!$H$5:$H1508,'⚙️ Pengaturan'!$I$5:$I1508),"")</f>
        <v>MANAJEMEN</v>
      </c>
      <c r="D776" s="97" t="s">
        <v>134</v>
      </c>
      <c r="E776" s="99">
        <v>45975.0</v>
      </c>
      <c r="F776" s="100" t="str">
        <f t="shared" si="1"/>
        <v>2025</v>
      </c>
      <c r="G776" s="100" t="str">
        <f t="shared" si="2"/>
        <v>11Nov</v>
      </c>
      <c r="H776" s="100" t="str">
        <f t="shared" si="3"/>
        <v>Jumat</v>
      </c>
      <c r="I776" s="97" t="s">
        <v>87</v>
      </c>
      <c r="J776" s="97" t="s">
        <v>81</v>
      </c>
      <c r="K776" s="97" t="s">
        <v>63</v>
      </c>
      <c r="L776" s="101" t="s">
        <v>189</v>
      </c>
      <c r="M776" s="102" t="str">
        <f>IFNA(VLOOKUP(L776,'🙎‍♂️ Pasien'!G:V,2,FALSE),"")</f>
        <v>A6025048900</v>
      </c>
      <c r="N776" s="103">
        <f>IFNA(VLOOKUP(L776,'🙎‍♂️ Pasien'!G:L,3,FALSE),"")</f>
        <v>66</v>
      </c>
      <c r="O776" s="104" t="str">
        <f>IFNA(VLOOKUP(L776,'🙎‍♂️ Pasien'!G:V,6,FALSE),"")</f>
        <v>LAKI-LAKI</v>
      </c>
      <c r="P776" s="104" t="str">
        <f>IFNA(VLOOKUP(L776,'🙎‍♂️ Pasien'!G:V,12,FALSE),"")</f>
        <v>KHONGHUCU</v>
      </c>
      <c r="Q776" s="104" t="str">
        <f>IFNA(VLOOKUP(L776:L1508,'🙎‍♂️ Pasien'!G:V,13,FALSE),"")</f>
        <v>KONSULTAN PAJAK</v>
      </c>
      <c r="R776" s="104" t="str">
        <f t="array" ref="R776">ifna(xlookup(L776,'🙎‍♂️ Pasien'!$G$5:$G1508,'🙎‍♂️ Pasien'!$T$5:$T1508),"")</f>
        <v>SAKET LEHER</v>
      </c>
      <c r="S776" s="104" t="str">
        <f t="array" ref="S776">ifna(xlookup(L776,'🙎‍♂️ Pasien'!$G$5:$G1508,'🙎‍♂️ Pasien'!$U$5:$U1508),"")</f>
        <v>KERJE KERJE KERJE !!!!</v>
      </c>
      <c r="T776" s="97" t="s">
        <v>59</v>
      </c>
      <c r="U776" s="105">
        <v>3.0</v>
      </c>
      <c r="V776" s="101"/>
      <c r="W776" s="106" t="b">
        <v>1</v>
      </c>
      <c r="X776" s="107"/>
      <c r="Y776" s="108"/>
    </row>
    <row r="777" ht="22.5" customHeight="1">
      <c r="A777" s="96"/>
      <c r="B777" s="97" t="s">
        <v>85</v>
      </c>
      <c r="C777" s="98" t="str">
        <f t="array" ref="C777">IFNA(XLOOKUP(J777,'⚙️ Pengaturan'!$H$5:$H1508,'⚙️ Pengaturan'!$I$5:$I1508),"")</f>
        <v>MANAJEMEN</v>
      </c>
      <c r="D777" s="97" t="s">
        <v>134</v>
      </c>
      <c r="E777" s="99">
        <v>45975.0</v>
      </c>
      <c r="F777" s="100" t="str">
        <f t="shared" si="1"/>
        <v>2025</v>
      </c>
      <c r="G777" s="100" t="str">
        <f t="shared" si="2"/>
        <v>11Nov</v>
      </c>
      <c r="H777" s="100" t="str">
        <f t="shared" si="3"/>
        <v>Jumat</v>
      </c>
      <c r="I777" s="97" t="s">
        <v>93</v>
      </c>
      <c r="J777" s="97" t="s">
        <v>101</v>
      </c>
      <c r="K777" s="97" t="s">
        <v>69</v>
      </c>
      <c r="L777" s="101" t="s">
        <v>358</v>
      </c>
      <c r="M777" s="102" t="str">
        <f>IFNA(VLOOKUP(L777,'🙎‍♂️ Pasien'!G:V,2,FALSE),"")</f>
        <v>A9825105032</v>
      </c>
      <c r="N777" s="103">
        <f>IFNA(VLOOKUP(L777,'🙎‍♂️ Pasien'!G:L,3,FALSE),"")</f>
        <v>27</v>
      </c>
      <c r="O777" s="104" t="str">
        <f>IFNA(VLOOKUP(L777,'🙎‍♂️ Pasien'!G:V,6,FALSE),"")</f>
        <v>LAKI-LAKI</v>
      </c>
      <c r="P777" s="104" t="str">
        <f>IFNA(VLOOKUP(L777,'🙎‍♂️ Pasien'!G:V,12,FALSE),"")</f>
        <v>BUDDHA</v>
      </c>
      <c r="Q777" s="104" t="str">
        <f>IFNA(VLOOKUP(L777:L1508,'🙎‍♂️ Pasien'!G:V,13,FALSE),"")</f>
        <v>TAROT READER</v>
      </c>
      <c r="R777" s="104" t="str">
        <f t="array" ref="R777">ifna(xlookup(L777,'🙎‍♂️ Pasien'!$G$5:$G1508,'🙎‍♂️ Pasien'!$T$5:$T1508),"")</f>
        <v>NYERI DI KESELURUHAN PUNGGUNG (TERUTAMA AREA BELIKAT KIRI YANG TERKADANG BISA MENJALAR KE LENGAN KIRI), JUGA LEHER</v>
      </c>
      <c r="S777" s="104" t="str">
        <f t="array" ref="S777">ifna(xlookup(L777,'🙎‍♂️ Pasien'!$G$5:$G1508,'🙎‍♂️ Pasien'!$U$5:$U1508),"")</f>
        <v>TIDAK ADA, CUMAN MEMANG SERING DUDUK</v>
      </c>
      <c r="T777" s="97" t="s">
        <v>59</v>
      </c>
      <c r="U777" s="105" t="s">
        <v>60</v>
      </c>
      <c r="V777" s="101" t="s">
        <v>518</v>
      </c>
      <c r="W777" s="106" t="b">
        <v>1</v>
      </c>
      <c r="X777" s="107"/>
      <c r="Y777" s="108"/>
    </row>
    <row r="778" ht="22.5" customHeight="1">
      <c r="A778" s="96"/>
      <c r="B778" s="97" t="s">
        <v>85</v>
      </c>
      <c r="C778" s="98" t="str">
        <f t="array" ref="C778">IFNA(XLOOKUP(J778,'⚙️ Pengaturan'!$H$5:$H1508,'⚙️ Pengaturan'!$I$5:$I1508),"")</f>
        <v>TIM Y</v>
      </c>
      <c r="D778" s="97" t="s">
        <v>134</v>
      </c>
      <c r="E778" s="99">
        <v>45975.0</v>
      </c>
      <c r="F778" s="100" t="str">
        <f t="shared" si="1"/>
        <v>2025</v>
      </c>
      <c r="G778" s="100" t="str">
        <f t="shared" si="2"/>
        <v>11Nov</v>
      </c>
      <c r="H778" s="100" t="str">
        <f t="shared" si="3"/>
        <v>Jumat</v>
      </c>
      <c r="I778" s="97" t="s">
        <v>93</v>
      </c>
      <c r="J778" s="97" t="s">
        <v>509</v>
      </c>
      <c r="K778" s="97" t="s">
        <v>63</v>
      </c>
      <c r="L778" s="101" t="s">
        <v>490</v>
      </c>
      <c r="M778" s="102" t="str">
        <f>IFNA(VLOOKUP(L778,'🙎‍♂️ Pasien'!G:V,2,FALSE),"")</f>
        <v>R1125017999</v>
      </c>
      <c r="N778" s="103">
        <f>IFNA(VLOOKUP(L778,'🙎‍♂️ Pasien'!G:L,3,FALSE),"")</f>
        <v>14</v>
      </c>
      <c r="O778" s="104" t="str">
        <f>IFNA(VLOOKUP(L778,'🙎‍♂️ Pasien'!G:V,6,FALSE),"")</f>
        <v>LAKI-LAKI</v>
      </c>
      <c r="P778" s="104" t="str">
        <f>IFNA(VLOOKUP(L778,'🙎‍♂️ Pasien'!G:V,12,FALSE),"")</f>
        <v>ISLAM</v>
      </c>
      <c r="Q778" s="104" t="str">
        <f>IFNA(VLOOKUP(L778:L1508,'🙎‍♂️ Pasien'!G:V,13,FALSE),"")</f>
        <v>Siswa</v>
      </c>
      <c r="R778" s="104" t="str">
        <f t="array" ref="R778">ifna(xlookup(L778,'🙎‍♂️ Pasien'!$G$5:$G1508,'🙎‍♂️ Pasien'!$T$5:$T1508),"")</f>
        <v>Lutut sakit setelah main basket</v>
      </c>
      <c r="S778" s="104" t="str">
        <f t="array" ref="S778">ifna(xlookup(L778,'🙎‍♂️ Pasien'!$G$5:$G1508,'🙎‍♂️ Pasien'!$U$5:$U1508),"")</f>
        <v>Futsal, basket</v>
      </c>
      <c r="T778" s="97" t="s">
        <v>59</v>
      </c>
      <c r="U778" s="105">
        <v>4.0</v>
      </c>
      <c r="V778" s="101"/>
      <c r="W778" s="106" t="b">
        <v>1</v>
      </c>
      <c r="X778" s="107"/>
      <c r="Y778" s="108"/>
    </row>
    <row r="779" ht="22.5" customHeight="1">
      <c r="A779" s="96"/>
      <c r="B779" s="97" t="s">
        <v>85</v>
      </c>
      <c r="C779" s="98" t="str">
        <f t="array" ref="C779">IFNA(XLOOKUP(J779,'⚙️ Pengaturan'!$H$5:$H1508,'⚙️ Pengaturan'!$I$5:$I1508),"")</f>
        <v>TIM Y</v>
      </c>
      <c r="D779" s="97" t="s">
        <v>134</v>
      </c>
      <c r="E779" s="99">
        <v>45975.0</v>
      </c>
      <c r="F779" s="100" t="str">
        <f t="shared" si="1"/>
        <v>2025</v>
      </c>
      <c r="G779" s="100" t="str">
        <f t="shared" si="2"/>
        <v>11Nov</v>
      </c>
      <c r="H779" s="100" t="str">
        <f t="shared" si="3"/>
        <v>Jumat</v>
      </c>
      <c r="I779" s="97" t="s">
        <v>95</v>
      </c>
      <c r="J779" s="97" t="s">
        <v>107</v>
      </c>
      <c r="K779" s="97" t="s">
        <v>63</v>
      </c>
      <c r="L779" s="101" t="s">
        <v>366</v>
      </c>
      <c r="M779" s="102" t="str">
        <f>IFNA(VLOOKUP(L779,'🙎‍♂️ Pasien'!G:V,2,FALSE),"")</f>
        <v>S0825106969</v>
      </c>
      <c r="N779" s="103">
        <f>IFNA(VLOOKUP(L779,'🙎‍♂️ Pasien'!G:L,3,FALSE),"")</f>
        <v>17</v>
      </c>
      <c r="O779" s="104" t="str">
        <f>IFNA(VLOOKUP(L779,'🙎‍♂️ Pasien'!G:V,6,FALSE),"")</f>
        <v>PEREMPUAN</v>
      </c>
      <c r="P779" s="104" t="str">
        <f>IFNA(VLOOKUP(L779,'🙎‍♂️ Pasien'!G:V,12,FALSE),"")</f>
        <v>KATOLIK</v>
      </c>
      <c r="Q779" s="104" t="str">
        <f>IFNA(VLOOKUP(L779:L1508,'🙎‍♂️ Pasien'!G:V,13,FALSE),"")</f>
        <v>PELAJAR</v>
      </c>
      <c r="R779" s="104" t="str">
        <f t="array" ref="R779">ifna(xlookup(L779,'🙎‍♂️ Pasien'!$G$5:$G1508,'🙎‍♂️ Pasien'!$T$5:$T1508),"")</f>
        <v>KAKI PANJANG PENDEK, SERING SAKIT DI BAGIAN PUNGGUNG BAWAH</v>
      </c>
      <c r="S779" s="104" t="str">
        <f t="array" ref="S779">ifna(xlookup(L779,'🙎‍♂️ Pasien'!$G$5:$G1508,'🙎‍♂️ Pasien'!$U$5:$U1508),"")</f>
        <v>MUAY THAI (BARU BARU INI), GYM (DARI BBRP BULAN LALU), DANCE (SEJAK LAMA UDH DANCE)</v>
      </c>
      <c r="T779" s="97" t="s">
        <v>59</v>
      </c>
      <c r="U779" s="105">
        <v>4.0</v>
      </c>
      <c r="V779" s="101"/>
      <c r="W779" s="106" t="b">
        <v>1</v>
      </c>
      <c r="X779" s="107"/>
      <c r="Y779" s="108"/>
    </row>
    <row r="780" ht="22.5" customHeight="1">
      <c r="A780" s="96"/>
      <c r="B780" s="97" t="s">
        <v>85</v>
      </c>
      <c r="C780" s="98" t="str">
        <f t="array" ref="C780">IFNA(XLOOKUP(J780,'⚙️ Pengaturan'!$H$5:$H1508,'⚙️ Pengaturan'!$I$5:$I1508),"")</f>
        <v>TIM Y</v>
      </c>
      <c r="D780" s="97" t="s">
        <v>134</v>
      </c>
      <c r="E780" s="99">
        <v>45975.0</v>
      </c>
      <c r="F780" s="100" t="str">
        <f t="shared" si="1"/>
        <v>2025</v>
      </c>
      <c r="G780" s="100" t="str">
        <f t="shared" si="2"/>
        <v>11Nov</v>
      </c>
      <c r="H780" s="100" t="str">
        <f t="shared" si="3"/>
        <v>Jumat</v>
      </c>
      <c r="I780" s="97" t="s">
        <v>97</v>
      </c>
      <c r="J780" s="97" t="s">
        <v>107</v>
      </c>
      <c r="K780" s="97" t="s">
        <v>63</v>
      </c>
      <c r="L780" s="101" t="s">
        <v>510</v>
      </c>
      <c r="M780" s="102" t="str">
        <f>IFNA(VLOOKUP(L780,'🙎‍♂️ Pasien'!G:V,2,FALSE),"")</f>
        <v>Z9325081191</v>
      </c>
      <c r="N780" s="103">
        <f>IFNA(VLOOKUP(L780,'🙎‍♂️ Pasien'!G:L,3,FALSE),"")</f>
        <v>33</v>
      </c>
      <c r="O780" s="104" t="str">
        <f>IFNA(VLOOKUP(L780,'🙎‍♂️ Pasien'!G:V,6,FALSE),"")</f>
        <v>LAKI-LAKI</v>
      </c>
      <c r="P780" s="104" t="str">
        <f>IFNA(VLOOKUP(L780,'🙎‍♂️ Pasien'!G:V,12,FALSE),"")</f>
        <v>ISLAM</v>
      </c>
      <c r="Q780" s="104" t="str">
        <f>IFNA(VLOOKUP(L780:L1508,'🙎‍♂️ Pasien'!G:V,13,FALSE),"")</f>
        <v>KARYAWAN</v>
      </c>
      <c r="R780" s="104" t="str">
        <f t="array" ref="R780">ifna(xlookup(L780,'🙎‍♂️ Pasien'!$G$5:$G1508,'🙎‍♂️ Pasien'!$T$5:$T1508),"")</f>
        <v>HABIS MARATHON</v>
      </c>
      <c r="S780" s="104" t="str">
        <f t="array" ref="S780">ifna(xlookup(L780,'🙎‍♂️ Pasien'!$G$5:$G1508,'🙎‍♂️ Pasien'!$U$5:$U1508),"")</f>
        <v>LARI</v>
      </c>
      <c r="T780" s="97" t="s">
        <v>59</v>
      </c>
      <c r="U780" s="105">
        <v>2.0</v>
      </c>
      <c r="V780" s="101"/>
      <c r="W780" s="106" t="b">
        <v>1</v>
      </c>
      <c r="X780" s="107"/>
      <c r="Y780" s="108"/>
    </row>
    <row r="781" ht="22.5" customHeight="1">
      <c r="A781" s="96"/>
      <c r="B781" s="97" t="s">
        <v>85</v>
      </c>
      <c r="C781" s="98" t="str">
        <f t="array" ref="C781">IFNA(XLOOKUP(J781,'⚙️ Pengaturan'!$H$5:$H1508,'⚙️ Pengaturan'!$I$5:$I1508),"")</f>
        <v>TIM Y</v>
      </c>
      <c r="D781" s="97" t="s">
        <v>134</v>
      </c>
      <c r="E781" s="99">
        <v>45975.0</v>
      </c>
      <c r="F781" s="100" t="str">
        <f t="shared" si="1"/>
        <v>2025</v>
      </c>
      <c r="G781" s="100" t="str">
        <f t="shared" si="2"/>
        <v>11Nov</v>
      </c>
      <c r="H781" s="100" t="str">
        <f t="shared" si="3"/>
        <v>Jumat</v>
      </c>
      <c r="I781" s="97" t="s">
        <v>99</v>
      </c>
      <c r="J781" s="97" t="s">
        <v>107</v>
      </c>
      <c r="K781" s="97" t="s">
        <v>63</v>
      </c>
      <c r="L781" s="101" t="s">
        <v>392</v>
      </c>
      <c r="M781" s="102" t="str">
        <f>IFNA(VLOOKUP(L781,'🙎‍♂️ Pasien'!G:V,2,FALSE),"")</f>
        <v>D0625102206</v>
      </c>
      <c r="N781" s="103">
        <f>IFNA(VLOOKUP(L781,'🙎‍♂️ Pasien'!G:L,3,FALSE),"")</f>
        <v>19</v>
      </c>
      <c r="O781" s="104" t="str">
        <f>IFNA(VLOOKUP(L781,'🙎‍♂️ Pasien'!G:V,6,FALSE),"")</f>
        <v>LAKI-LAKI</v>
      </c>
      <c r="P781" s="104" t="str">
        <f>IFNA(VLOOKUP(L781,'🙎‍♂️ Pasien'!G:V,12,FALSE),"")</f>
        <v>ISLAM</v>
      </c>
      <c r="Q781" s="104" t="str">
        <f>IFNA(VLOOKUP(L781:L1508,'🙎‍♂️ Pasien'!G:V,13,FALSE),"")</f>
        <v>KARYAWAN SWASTA</v>
      </c>
      <c r="R781" s="104" t="str">
        <f t="array" ref="R781">ifna(xlookup(L781,'🙎‍♂️ Pasien'!$G$5:$G1508,'🙎‍♂️ Pasien'!$T$5:$T1508),"")</f>
        <v>CEDERA KAKI</v>
      </c>
      <c r="S781" s="104" t="str">
        <f t="array" ref="S781">ifna(xlookup(L781,'🙎‍♂️ Pasien'!$G$5:$G1508,'🙎‍♂️ Pasien'!$U$5:$U1508),"")</f>
        <v>BERMAIN FUTSAL</v>
      </c>
      <c r="T781" s="97" t="s">
        <v>59</v>
      </c>
      <c r="U781" s="105">
        <v>4.0</v>
      </c>
      <c r="V781" s="101"/>
      <c r="W781" s="106" t="b">
        <v>1</v>
      </c>
      <c r="X781" s="107"/>
      <c r="Y781" s="108"/>
    </row>
    <row r="782" ht="22.5" customHeight="1">
      <c r="A782" s="96"/>
      <c r="B782" s="97" t="s">
        <v>85</v>
      </c>
      <c r="C782" s="98" t="str">
        <f t="array" ref="C782">IFNA(XLOOKUP(J782,'⚙️ Pengaturan'!$H$5:$H1508,'⚙️ Pengaturan'!$I$5:$I1508),"")</f>
        <v>MANAJEMEN</v>
      </c>
      <c r="D782" s="97" t="s">
        <v>134</v>
      </c>
      <c r="E782" s="99">
        <v>45975.0</v>
      </c>
      <c r="F782" s="100" t="str">
        <f t="shared" si="1"/>
        <v>2025</v>
      </c>
      <c r="G782" s="100" t="str">
        <f t="shared" si="2"/>
        <v>11Nov</v>
      </c>
      <c r="H782" s="100" t="str">
        <f t="shared" si="3"/>
        <v>Jumat</v>
      </c>
      <c r="I782" s="97" t="s">
        <v>99</v>
      </c>
      <c r="J782" s="97" t="s">
        <v>101</v>
      </c>
      <c r="K782" s="97" t="s">
        <v>57</v>
      </c>
      <c r="L782" s="101" t="s">
        <v>519</v>
      </c>
      <c r="M782" s="102" t="str">
        <f>IFNA(VLOOKUP(L782,'🙎‍♂️ Pasien'!G:V,2,FALSE),"")</f>
        <v>M0425114646</v>
      </c>
      <c r="N782" s="103">
        <f>IFNA(VLOOKUP(L782,'🙎‍♂️ Pasien'!G:L,3,FALSE),"")</f>
        <v>21</v>
      </c>
      <c r="O782" s="104" t="str">
        <f>IFNA(VLOOKUP(L782,'🙎‍♂️ Pasien'!G:V,6,FALSE),"")</f>
        <v>LAKI-LAKI</v>
      </c>
      <c r="P782" s="104" t="str">
        <f>IFNA(VLOOKUP(L782,'🙎‍♂️ Pasien'!G:V,12,FALSE),"")</f>
        <v>ISLAM</v>
      </c>
      <c r="Q782" s="104" t="str">
        <f>IFNA(VLOOKUP(L782:L1508,'🙎‍♂️ Pasien'!G:V,13,FALSE),"")</f>
        <v>BELUM BERKERJA</v>
      </c>
      <c r="R782" s="104" t="str">
        <f t="array" ref="R782">ifna(xlookup(L782,'🙎‍♂️ Pasien'!$G$5:$G1508,'🙎‍♂️ Pasien'!$T$5:$T1508),"")</f>
        <v>SAKIT DARI BOKONG SAMPAI KE LUTUT</v>
      </c>
      <c r="S782" s="104" t="str">
        <f t="array" ref="S782">ifna(xlookup(L782,'🙎‍♂️ Pasien'!$G$5:$G1508,'🙎‍♂️ Pasien'!$U$5:$U1508),"")</f>
        <v>FUTSAL DAN KULIAH</v>
      </c>
      <c r="T782" s="97" t="s">
        <v>59</v>
      </c>
      <c r="U782" s="105" t="s">
        <v>60</v>
      </c>
      <c r="V782" s="101"/>
      <c r="W782" s="106" t="b">
        <v>1</v>
      </c>
      <c r="X782" s="107"/>
      <c r="Y782" s="108"/>
    </row>
    <row r="783" ht="22.5" customHeight="1">
      <c r="A783" s="96"/>
      <c r="B783" s="97" t="s">
        <v>53</v>
      </c>
      <c r="C783" s="98" t="str">
        <f t="array" ref="C783">IFNA(XLOOKUP(J783,'⚙️ Pengaturan'!$H$5:$H1508,'⚙️ Pengaturan'!$I$5:$I1508),"")</f>
        <v>MANAJEMEN</v>
      </c>
      <c r="D783" s="97" t="s">
        <v>54</v>
      </c>
      <c r="E783" s="99">
        <v>45976.0</v>
      </c>
      <c r="F783" s="100" t="str">
        <f t="shared" si="1"/>
        <v>2025</v>
      </c>
      <c r="G783" s="100" t="str">
        <f t="shared" si="2"/>
        <v>11Nov</v>
      </c>
      <c r="H783" s="100" t="str">
        <f t="shared" si="3"/>
        <v>Sabtu</v>
      </c>
      <c r="I783" s="97" t="s">
        <v>55</v>
      </c>
      <c r="J783" s="97" t="s">
        <v>81</v>
      </c>
      <c r="K783" s="97" t="s">
        <v>63</v>
      </c>
      <c r="L783" s="101" t="s">
        <v>222</v>
      </c>
      <c r="M783" s="102" t="str">
        <f>IFNA(VLOOKUP(L783,'🙎‍♂️ Pasien'!G:V,2,FALSE),"")</f>
        <v>D0924079294</v>
      </c>
      <c r="N783" s="103">
        <f>IFNA(VLOOKUP(L783,'🙎‍♂️ Pasien'!G:L,3,FALSE),"")</f>
        <v>17</v>
      </c>
      <c r="O783" s="104" t="str">
        <f>IFNA(VLOOKUP(L783,'🙎‍♂️ Pasien'!G:V,6,FALSE),"")</f>
        <v>LAKI-LAKI</v>
      </c>
      <c r="P783" s="104" t="str">
        <f>IFNA(VLOOKUP(L783,'🙎‍♂️ Pasien'!G:V,12,FALSE),"")</f>
        <v>ISLAM</v>
      </c>
      <c r="Q783" s="104" t="str">
        <f>IFNA(VLOOKUP(L783:L1508,'🙎‍♂️ Pasien'!G:V,13,FALSE),"")</f>
        <v>PELAJAR/MAHASISWA</v>
      </c>
      <c r="R783" s="104" t="str">
        <f t="array" ref="R783">ifna(xlookup(L783,'🙎‍♂️ Pasien'!$G$5:$G1508,'🙎‍♂️ Pasien'!$T$5:$T1508),"")</f>
        <v>Strok ringan</v>
      </c>
      <c r="S783" s="104" t="str">
        <f t="array" ref="S783">ifna(xlookup(L783,'🙎‍♂️ Pasien'!$G$5:$G1508,'🙎‍♂️ Pasien'!$U$5:$U1508),"")</f>
        <v>Olah raga</v>
      </c>
      <c r="T783" s="97" t="s">
        <v>59</v>
      </c>
      <c r="U783" s="105">
        <v>1.0</v>
      </c>
      <c r="V783" s="101" t="s">
        <v>256</v>
      </c>
      <c r="W783" s="106" t="b">
        <v>1</v>
      </c>
      <c r="X783" s="107"/>
      <c r="Y783" s="108"/>
    </row>
    <row r="784" ht="22.5" customHeight="1">
      <c r="A784" s="96"/>
      <c r="B784" s="97" t="s">
        <v>53</v>
      </c>
      <c r="C784" s="98" t="str">
        <f t="array" ref="C784">IFNA(XLOOKUP(J784,'⚙️ Pengaturan'!$H$5:$H1508,'⚙️ Pengaturan'!$I$5:$I1508),"")</f>
        <v>TIM A</v>
      </c>
      <c r="D784" s="97" t="s">
        <v>54</v>
      </c>
      <c r="E784" s="99">
        <v>45976.0</v>
      </c>
      <c r="F784" s="100" t="str">
        <f t="shared" si="1"/>
        <v>2025</v>
      </c>
      <c r="G784" s="100" t="str">
        <f t="shared" si="2"/>
        <v>11Nov</v>
      </c>
      <c r="H784" s="100" t="str">
        <f t="shared" si="3"/>
        <v>Sabtu</v>
      </c>
      <c r="I784" s="97" t="s">
        <v>65</v>
      </c>
      <c r="J784" s="97" t="s">
        <v>79</v>
      </c>
      <c r="K784" s="97" t="s">
        <v>63</v>
      </c>
      <c r="L784" s="101" t="s">
        <v>302</v>
      </c>
      <c r="M784" s="102" t="str">
        <f>IFNA(VLOOKUP(L784,'🙎‍♂️ Pasien'!G:V,2,FALSE),"")</f>
        <v>A9425105994</v>
      </c>
      <c r="N784" s="103">
        <f>IFNA(VLOOKUP(L784,'🙎‍♂️ Pasien'!G:L,3,FALSE),"")</f>
        <v>32</v>
      </c>
      <c r="O784" s="104" t="str">
        <f>IFNA(VLOOKUP(L784,'🙎‍♂️ Pasien'!G:V,6,FALSE),"")</f>
        <v>LAKI-LAKI</v>
      </c>
      <c r="P784" s="104" t="str">
        <f>IFNA(VLOOKUP(L784,'🙎‍♂️ Pasien'!G:V,12,FALSE),"")</f>
        <v>ISLAM</v>
      </c>
      <c r="Q784" s="104" t="str">
        <f>IFNA(VLOOKUP(L784:L1508,'🙎‍♂️ Pasien'!G:V,13,FALSE),"")</f>
        <v>KARYAWAN SWASTA</v>
      </c>
      <c r="R784" s="104" t="str">
        <f t="array" ref="R784">ifna(xlookup(L784,'🙎‍♂️ Pasien'!$G$5:$G1508,'🙎‍♂️ Pasien'!$T$5:$T1508),"")</f>
        <v>LUTUT</v>
      </c>
      <c r="S784" s="104" t="str">
        <f t="array" ref="S784">ifna(xlookup(L784,'🙎‍♂️ Pasien'!$G$5:$G1508,'🙎‍♂️ Pasien'!$U$5:$U1508),"")</f>
        <v>OLAGRAGA</v>
      </c>
      <c r="T784" s="97" t="s">
        <v>59</v>
      </c>
      <c r="U784" s="105">
        <v>2.0</v>
      </c>
      <c r="V784" s="101"/>
      <c r="W784" s="106" t="b">
        <v>1</v>
      </c>
      <c r="X784" s="107"/>
      <c r="Y784" s="108"/>
    </row>
    <row r="785" ht="22.5" customHeight="1">
      <c r="A785" s="96"/>
      <c r="B785" s="97" t="s">
        <v>53</v>
      </c>
      <c r="C785" s="98" t="str">
        <f t="array" ref="C785">IFNA(XLOOKUP(J785,'⚙️ Pengaturan'!$H$5:$H1508,'⚙️ Pengaturan'!$I$5:$I1508),"")</f>
        <v>TIM A</v>
      </c>
      <c r="D785" s="97" t="s">
        <v>54</v>
      </c>
      <c r="E785" s="99">
        <v>45976.0</v>
      </c>
      <c r="F785" s="100" t="str">
        <f t="shared" si="1"/>
        <v>2025</v>
      </c>
      <c r="G785" s="100" t="str">
        <f t="shared" si="2"/>
        <v>11Nov</v>
      </c>
      <c r="H785" s="100" t="str">
        <f t="shared" si="3"/>
        <v>Sabtu</v>
      </c>
      <c r="I785" s="97" t="s">
        <v>74</v>
      </c>
      <c r="J785" s="97" t="s">
        <v>79</v>
      </c>
      <c r="K785" s="97" t="s">
        <v>69</v>
      </c>
      <c r="L785" s="101" t="s">
        <v>182</v>
      </c>
      <c r="M785" s="102" t="str">
        <f>IFNA(VLOOKUP(L785,'🙎‍♂️ Pasien'!G:V,2,FALSE),"")</f>
        <v>J8823019998</v>
      </c>
      <c r="N785" s="103">
        <f>IFNA(VLOOKUP(L785,'🙎‍♂️ Pasien'!G:L,3,FALSE),"")</f>
        <v>38</v>
      </c>
      <c r="O785" s="104" t="str">
        <f>IFNA(VLOOKUP(L785,'🙎‍♂️ Pasien'!G:V,6,FALSE),"")</f>
        <v>LAKI-LAKI</v>
      </c>
      <c r="P785" s="104" t="str">
        <f>IFNA(VLOOKUP(L785,'🙎‍♂️ Pasien'!G:V,12,FALSE),"")</f>
        <v>BUDDHA</v>
      </c>
      <c r="Q785" s="104" t="str">
        <f>IFNA(VLOOKUP(L785:L1508,'🙎‍♂️ Pasien'!G:V,13,FALSE),"")</f>
        <v>WIRASWASTA</v>
      </c>
      <c r="R785" s="104" t="str">
        <f t="array" ref="R785">ifna(xlookup(L785,'🙎‍♂️ Pasien'!$G$5:$G1508,'🙎‍♂️ Pasien'!$T$5:$T1508),"")</f>
        <v>STROKE</v>
      </c>
      <c r="S785" s="104" t="str">
        <f t="array" ref="S785">ifna(xlookup(L785,'🙎‍♂️ Pasien'!$G$5:$G1508,'🙎‍♂️ Pasien'!$U$5:$U1508),"")</f>
        <v>-</v>
      </c>
      <c r="T785" s="97" t="s">
        <v>59</v>
      </c>
      <c r="U785" s="105" t="s">
        <v>60</v>
      </c>
      <c r="V785" s="101"/>
      <c r="W785" s="106" t="b">
        <v>1</v>
      </c>
      <c r="X785" s="107"/>
      <c r="Y785" s="108"/>
    </row>
    <row r="786" ht="22.5" customHeight="1">
      <c r="A786" s="96"/>
      <c r="B786" s="97" t="s">
        <v>53</v>
      </c>
      <c r="C786" s="98" t="str">
        <f t="array" ref="C786">IFNA(XLOOKUP(J786,'⚙️ Pengaturan'!$H$5:$H1508,'⚙️ Pengaturan'!$I$5:$I1508),"")</f>
        <v>TIM A</v>
      </c>
      <c r="D786" s="97" t="s">
        <v>54</v>
      </c>
      <c r="E786" s="99">
        <v>45976.0</v>
      </c>
      <c r="F786" s="100" t="str">
        <f t="shared" si="1"/>
        <v>2025</v>
      </c>
      <c r="G786" s="100" t="str">
        <f t="shared" si="2"/>
        <v>11Nov</v>
      </c>
      <c r="H786" s="100" t="str">
        <f t="shared" si="3"/>
        <v>Sabtu</v>
      </c>
      <c r="I786" s="97" t="s">
        <v>74</v>
      </c>
      <c r="J786" s="97" t="s">
        <v>62</v>
      </c>
      <c r="K786" s="97" t="s">
        <v>63</v>
      </c>
      <c r="L786" s="101" t="s">
        <v>71</v>
      </c>
      <c r="M786" s="102" t="str">
        <f>IFNA(VLOOKUP(L786,'🙎‍♂️ Pasien'!G:V,2,FALSE),"")</f>
        <v>L5925109995</v>
      </c>
      <c r="N786" s="103">
        <f>IFNA(VLOOKUP(L786,'🙎‍♂️ Pasien'!G:L,3,FALSE),"")</f>
        <v>67</v>
      </c>
      <c r="O786" s="104" t="str">
        <f>IFNA(VLOOKUP(L786,'🙎‍♂️ Pasien'!G:V,6,FALSE),"")</f>
        <v>PEREMPUAN</v>
      </c>
      <c r="P786" s="104" t="str">
        <f>IFNA(VLOOKUP(L786,'🙎‍♂️ Pasien'!G:V,12,FALSE),"")</f>
        <v>KATOLIK</v>
      </c>
      <c r="Q786" s="104" t="str">
        <f>IFNA(VLOOKUP(L786:L1508,'🙎‍♂️ Pasien'!G:V,13,FALSE),"")</f>
        <v>WIRASWASTA</v>
      </c>
      <c r="R786" s="104" t="str">
        <f t="array" ref="R786">ifna(xlookup(L786,'🙎‍♂️ Pasien'!$G$5:$G1508,'🙎‍♂️ Pasien'!$T$5:$T1508),"")</f>
        <v>LUTUT</v>
      </c>
      <c r="S786" s="104" t="str">
        <f t="array" ref="S786">ifna(xlookup(L786,'🙎‍♂️ Pasien'!$G$5:$G1508,'🙎‍♂️ Pasien'!$U$5:$U1508),"")</f>
        <v>IBU RUMAH TANGGA</v>
      </c>
      <c r="T786" s="97" t="s">
        <v>59</v>
      </c>
      <c r="U786" s="105">
        <v>3.0</v>
      </c>
      <c r="V786" s="101"/>
      <c r="W786" s="106" t="b">
        <v>1</v>
      </c>
      <c r="X786" s="107"/>
      <c r="Y786" s="108"/>
    </row>
    <row r="787" ht="22.5" customHeight="1">
      <c r="A787" s="96"/>
      <c r="B787" s="97" t="s">
        <v>53</v>
      </c>
      <c r="C787" s="98" t="str">
        <f t="array" ref="C787">IFNA(XLOOKUP(J787,'⚙️ Pengaturan'!$H$5:$H1508,'⚙️ Pengaturan'!$I$5:$I1508),"")</f>
        <v>TIM A</v>
      </c>
      <c r="D787" s="97" t="s">
        <v>54</v>
      </c>
      <c r="E787" s="99">
        <v>45976.0</v>
      </c>
      <c r="F787" s="100" t="str">
        <f t="shared" si="1"/>
        <v>2025</v>
      </c>
      <c r="G787" s="100" t="str">
        <f t="shared" si="2"/>
        <v>11Nov</v>
      </c>
      <c r="H787" s="100" t="str">
        <f t="shared" si="3"/>
        <v>Sabtu</v>
      </c>
      <c r="I787" s="97" t="s">
        <v>76</v>
      </c>
      <c r="J787" s="97" t="s">
        <v>72</v>
      </c>
      <c r="K787" s="97" t="s">
        <v>63</v>
      </c>
      <c r="L787" s="101" t="s">
        <v>129</v>
      </c>
      <c r="M787" s="102" t="str">
        <f>IFNA(VLOOKUP(L787,'🙎‍♂️ Pasien'!G:V,2,FALSE),"")</f>
        <v>D1025091558</v>
      </c>
      <c r="N787" s="103">
        <f>IFNA(VLOOKUP(L787,'🙎‍♂️ Pasien'!G:L,3,FALSE),"")</f>
        <v>16</v>
      </c>
      <c r="O787" s="104" t="str">
        <f>IFNA(VLOOKUP(L787,'🙎‍♂️ Pasien'!G:V,6,FALSE),"")</f>
        <v>LAKI-LAKI</v>
      </c>
      <c r="P787" s="104" t="str">
        <f>IFNA(VLOOKUP(L787,'🙎‍♂️ Pasien'!G:V,12,FALSE),"")</f>
        <v>PROTESTAN</v>
      </c>
      <c r="Q787" s="104" t="str">
        <f>IFNA(VLOOKUP(L787:L1508,'🙎‍♂️ Pasien'!G:V,13,FALSE),"")</f>
        <v>MASI SEKOLAH</v>
      </c>
      <c r="R787" s="104" t="str">
        <f t="array" ref="R787">ifna(xlookup(L787,'🙎‍♂️ Pasien'!$G$5:$G1508,'🙎‍♂️ Pasien'!$T$5:$T1508),"")</f>
        <v>SAKIT DI BAGIAN LUTUT</v>
      </c>
      <c r="S787" s="104" t="str">
        <f t="array" ref="S787">ifna(xlookup(L787,'🙎‍♂️ Pasien'!$G$5:$G1508,'🙎‍♂️ Pasien'!$U$5:$U1508),"")</f>
        <v>BASKET</v>
      </c>
      <c r="T787" s="97" t="s">
        <v>59</v>
      </c>
      <c r="U787" s="105">
        <v>4.0</v>
      </c>
      <c r="V787" s="101"/>
      <c r="W787" s="106" t="b">
        <v>1</v>
      </c>
      <c r="X787" s="107"/>
      <c r="Y787" s="108"/>
    </row>
    <row r="788" ht="22.5" customHeight="1">
      <c r="A788" s="96"/>
      <c r="B788" s="97" t="s">
        <v>53</v>
      </c>
      <c r="C788" s="98" t="str">
        <f t="array" ref="C788">IFNA(XLOOKUP(J788,'⚙️ Pengaturan'!$H$5:$H1508,'⚙️ Pengaturan'!$I$5:$I1508),"")</f>
        <v>TIM A</v>
      </c>
      <c r="D788" s="97" t="s">
        <v>54</v>
      </c>
      <c r="E788" s="99">
        <v>45976.0</v>
      </c>
      <c r="F788" s="100" t="str">
        <f t="shared" si="1"/>
        <v>2025</v>
      </c>
      <c r="G788" s="100" t="str">
        <f t="shared" si="2"/>
        <v>11Nov</v>
      </c>
      <c r="H788" s="100" t="str">
        <f t="shared" si="3"/>
        <v>Sabtu</v>
      </c>
      <c r="I788" s="97" t="s">
        <v>83</v>
      </c>
      <c r="J788" s="97" t="s">
        <v>72</v>
      </c>
      <c r="K788" s="97" t="s">
        <v>63</v>
      </c>
      <c r="L788" s="101" t="s">
        <v>381</v>
      </c>
      <c r="M788" s="102" t="str">
        <f>IFNA(VLOOKUP(L788,'🙎‍♂️ Pasien'!G:V,2,FALSE),"")</f>
        <v>A9925105509</v>
      </c>
      <c r="N788" s="103">
        <f>IFNA(VLOOKUP(L788,'🙎‍♂️ Pasien'!G:L,3,FALSE),"")</f>
        <v>27</v>
      </c>
      <c r="O788" s="104" t="str">
        <f>IFNA(VLOOKUP(L788,'🙎‍♂️ Pasien'!G:V,6,FALSE),"")</f>
        <v>PEREMPUAN</v>
      </c>
      <c r="P788" s="104" t="str">
        <f>IFNA(VLOOKUP(L788,'🙎‍♂️ Pasien'!G:V,12,FALSE),"")</f>
        <v>BUDDHA</v>
      </c>
      <c r="Q788" s="104" t="str">
        <f>IFNA(VLOOKUP(L788:L1508,'🙎‍♂️ Pasien'!G:V,13,FALSE),"")</f>
        <v>WIRASWASTA</v>
      </c>
      <c r="R788" s="104" t="str">
        <f t="array" ref="R788">ifna(xlookup(L788,'🙎‍♂️ Pasien'!$G$5:$G1508,'🙎‍♂️ Pasien'!$T$5:$T1508),"")</f>
        <v>KAKI BEKAS ANKLE SPRAIN SUDAH DITRE DAN BAHU PEGAL</v>
      </c>
      <c r="S788" s="104" t="str">
        <f t="array" ref="S788">ifna(xlookup(L788,'🙎‍♂️ Pasien'!$G$5:$G1508,'🙎‍♂️ Pasien'!$U$5:$U1508),"")</f>
        <v>2 MINGGU LALU JATUH DARI KETINGGIAN</v>
      </c>
      <c r="T788" s="97" t="s">
        <v>59</v>
      </c>
      <c r="U788" s="105">
        <v>5.0</v>
      </c>
      <c r="V788" s="101" t="s">
        <v>125</v>
      </c>
      <c r="W788" s="106" t="b">
        <v>1</v>
      </c>
      <c r="X788" s="107"/>
      <c r="Y788" s="108"/>
    </row>
    <row r="789" ht="22.5" customHeight="1">
      <c r="A789" s="96"/>
      <c r="B789" s="97" t="s">
        <v>53</v>
      </c>
      <c r="C789" s="98" t="str">
        <f t="array" ref="C789">IFNA(XLOOKUP(J789,'⚙️ Pengaturan'!$H$5:$H1508,'⚙️ Pengaturan'!$I$5:$I1508),"")</f>
        <v>TIM Y</v>
      </c>
      <c r="D789" s="97" t="s">
        <v>54</v>
      </c>
      <c r="E789" s="99">
        <v>45976.0</v>
      </c>
      <c r="F789" s="100" t="str">
        <f t="shared" si="1"/>
        <v>2025</v>
      </c>
      <c r="G789" s="100" t="str">
        <f t="shared" si="2"/>
        <v>11Nov</v>
      </c>
      <c r="H789" s="100" t="str">
        <f t="shared" si="3"/>
        <v>Sabtu</v>
      </c>
      <c r="I789" s="97" t="s">
        <v>83</v>
      </c>
      <c r="J789" s="97" t="s">
        <v>56</v>
      </c>
      <c r="K789" s="97" t="s">
        <v>63</v>
      </c>
      <c r="L789" s="101" t="s">
        <v>353</v>
      </c>
      <c r="M789" s="102" t="str">
        <f>IFNA(VLOOKUP(L789,'🙎‍♂️ Pasien'!G:V,2,FALSE),"")</f>
        <v>N0324108818</v>
      </c>
      <c r="N789" s="103">
        <f>IFNA(VLOOKUP(L789,'🙎‍♂️ Pasien'!G:L,3,FALSE),"")</f>
        <v>23</v>
      </c>
      <c r="O789" s="104" t="str">
        <f>IFNA(VLOOKUP(L789,'🙎‍♂️ Pasien'!G:V,6,FALSE),"")</f>
        <v>LAKI-LAKI</v>
      </c>
      <c r="P789" s="104" t="str">
        <f>IFNA(VLOOKUP(L789,'🙎‍♂️ Pasien'!G:V,12,FALSE),"")</f>
        <v>KATOLIK</v>
      </c>
      <c r="Q789" s="104" t="str">
        <f>IFNA(VLOOKUP(L789:L1508,'🙎‍♂️ Pasien'!G:V,13,FALSE),"")</f>
        <v>PELAJAR/MAHASISWA</v>
      </c>
      <c r="R789" s="104" t="str">
        <f t="array" ref="R789">ifna(xlookup(L789,'🙎‍♂️ Pasien'!$G$5:$G1508,'🙎‍♂️ Pasien'!$T$5:$T1508),"")</f>
        <v>Belikat, telapak kaki, bahu, pinggang</v>
      </c>
      <c r="S789" s="104" t="str">
        <f t="array" ref="S789">ifna(xlookup(L789,'🙎‍♂️ Pasien'!$G$5:$G1508,'🙎‍♂️ Pasien'!$U$5:$U1508),"")</f>
        <v>Tennis dan gym</v>
      </c>
      <c r="T789" s="97" t="s">
        <v>67</v>
      </c>
      <c r="U789" s="105">
        <v>9.0</v>
      </c>
      <c r="V789" s="101" t="s">
        <v>520</v>
      </c>
      <c r="W789" s="106" t="b">
        <v>1</v>
      </c>
      <c r="X789" s="107"/>
      <c r="Y789" s="108"/>
    </row>
    <row r="790" ht="22.5" customHeight="1">
      <c r="A790" s="96"/>
      <c r="B790" s="97" t="s">
        <v>85</v>
      </c>
      <c r="C790" s="98" t="str">
        <f t="array" ref="C790">IFNA(XLOOKUP(J790,'⚙️ Pengaturan'!$H$5:$H1508,'⚙️ Pengaturan'!$I$5:$I1508),"")</f>
        <v>TIM Y</v>
      </c>
      <c r="D790" s="97" t="s">
        <v>86</v>
      </c>
      <c r="E790" s="99">
        <v>45976.0</v>
      </c>
      <c r="F790" s="100" t="str">
        <f t="shared" si="1"/>
        <v>2025</v>
      </c>
      <c r="G790" s="100" t="str">
        <f t="shared" si="2"/>
        <v>11Nov</v>
      </c>
      <c r="H790" s="100" t="str">
        <f t="shared" si="3"/>
        <v>Sabtu</v>
      </c>
      <c r="I790" s="97" t="s">
        <v>87</v>
      </c>
      <c r="J790" s="97" t="s">
        <v>107</v>
      </c>
      <c r="K790" s="97" t="s">
        <v>63</v>
      </c>
      <c r="L790" s="101" t="s">
        <v>193</v>
      </c>
      <c r="M790" s="102" t="str">
        <f>IFNA(VLOOKUP(L790,'🙎‍♂️ Pasien'!G:V,2,FALSE),"")</f>
        <v>E8925075615</v>
      </c>
      <c r="N790" s="103">
        <f>IFNA(VLOOKUP(L790,'🙎‍♂️ Pasien'!G:L,3,FALSE),"")</f>
        <v>36</v>
      </c>
      <c r="O790" s="104" t="str">
        <f>IFNA(VLOOKUP(L790,'🙎‍♂️ Pasien'!G:V,6,FALSE),"")</f>
        <v>PEREMPUAN</v>
      </c>
      <c r="P790" s="104" t="str">
        <f>IFNA(VLOOKUP(L790,'🙎‍♂️ Pasien'!G:V,12,FALSE),"")</f>
        <v>KATOLIK</v>
      </c>
      <c r="Q790" s="104" t="str">
        <f>IFNA(VLOOKUP(L790:L1508,'🙎‍♂️ Pasien'!G:V,13,FALSE),"")</f>
        <v>WIRASWASTA</v>
      </c>
      <c r="R790" s="104" t="str">
        <f t="array" ref="R790">ifna(xlookup(L790,'🙎‍♂️ Pasien'!$G$5:$G1508,'🙎‍♂️ Pasien'!$T$5:$T1508),"")</f>
        <v>BUNION</v>
      </c>
      <c r="S790" s="104" t="str">
        <f t="array" ref="S790">ifna(xlookup(L790,'🙎‍♂️ Pasien'!$G$5:$G1508,'🙎‍♂️ Pasien'!$U$5:$U1508),"")</f>
        <v>TENNIS</v>
      </c>
      <c r="T790" s="97" t="s">
        <v>59</v>
      </c>
      <c r="U790" s="105">
        <v>9.0</v>
      </c>
      <c r="V790" s="101"/>
      <c r="W790" s="106" t="b">
        <v>1</v>
      </c>
      <c r="X790" s="107"/>
      <c r="Y790" s="108"/>
    </row>
    <row r="791" ht="22.5" customHeight="1">
      <c r="A791" s="96"/>
      <c r="B791" s="97" t="s">
        <v>85</v>
      </c>
      <c r="C791" s="98" t="str">
        <f t="array" ref="C791">IFNA(XLOOKUP(J791,'⚙️ Pengaturan'!$H$5:$H1508,'⚙️ Pengaturan'!$I$5:$I1508),"")</f>
        <v>TIM Y</v>
      </c>
      <c r="D791" s="97" t="s">
        <v>86</v>
      </c>
      <c r="E791" s="99">
        <v>45976.0</v>
      </c>
      <c r="F791" s="100" t="str">
        <f t="shared" si="1"/>
        <v>2025</v>
      </c>
      <c r="G791" s="100" t="str">
        <f t="shared" si="2"/>
        <v>11Nov</v>
      </c>
      <c r="H791" s="100" t="str">
        <f t="shared" si="3"/>
        <v>Sabtu</v>
      </c>
      <c r="I791" s="97" t="s">
        <v>87</v>
      </c>
      <c r="J791" s="97" t="s">
        <v>88</v>
      </c>
      <c r="K791" s="97" t="s">
        <v>69</v>
      </c>
      <c r="L791" s="101" t="s">
        <v>521</v>
      </c>
      <c r="M791" s="102" t="str">
        <f>IFNA(VLOOKUP(L791,'🙎‍♂️ Pasien'!G:V,2,FALSE),"")</f>
        <v>O0825111109</v>
      </c>
      <c r="N791" s="103">
        <f>IFNA(VLOOKUP(L791,'🙎‍♂️ Pasien'!G:L,3,FALSE),"")</f>
        <v>17</v>
      </c>
      <c r="O791" s="104" t="str">
        <f>IFNA(VLOOKUP(L791,'🙎‍♂️ Pasien'!G:V,6,FALSE),"")</f>
        <v>LAKI-LAKI</v>
      </c>
      <c r="P791" s="104" t="str">
        <f>IFNA(VLOOKUP(L791,'🙎‍♂️ Pasien'!G:V,12,FALSE),"")</f>
        <v>KATOLIK</v>
      </c>
      <c r="Q791" s="104" t="str">
        <f>IFNA(VLOOKUP(L791:L1508,'🙎‍♂️ Pasien'!G:V,13,FALSE),"")</f>
        <v>-</v>
      </c>
      <c r="R791" s="104" t="str">
        <f t="array" ref="R791">ifna(xlookup(L791,'🙎‍♂️ Pasien'!$G$5:$G1508,'🙎‍♂️ Pasien'!$T$5:$T1508),"")</f>
        <v>BETIS NYERI</v>
      </c>
      <c r="S791" s="104" t="str">
        <f t="array" ref="S791">ifna(xlookup(L791,'🙎‍♂️ Pasien'!$G$5:$G1508,'🙎‍♂️ Pasien'!$U$5:$U1508),"")</f>
        <v>BASKET</v>
      </c>
      <c r="T791" s="97" t="s">
        <v>59</v>
      </c>
      <c r="U791" s="105" t="s">
        <v>60</v>
      </c>
      <c r="V791" s="101"/>
      <c r="W791" s="106" t="b">
        <v>1</v>
      </c>
      <c r="X791" s="107"/>
      <c r="Y791" s="108"/>
    </row>
    <row r="792" ht="22.5" customHeight="1">
      <c r="A792" s="96"/>
      <c r="B792" s="97" t="s">
        <v>85</v>
      </c>
      <c r="C792" s="98" t="str">
        <f t="array" ref="C792">IFNA(XLOOKUP(J792,'⚙️ Pengaturan'!$H$5:$H1508,'⚙️ Pengaturan'!$I$5:$I1508),"")</f>
        <v>TIM Y</v>
      </c>
      <c r="D792" s="97" t="s">
        <v>86</v>
      </c>
      <c r="E792" s="99">
        <v>45976.0</v>
      </c>
      <c r="F792" s="100" t="str">
        <f t="shared" si="1"/>
        <v>2025</v>
      </c>
      <c r="G792" s="100" t="str">
        <f t="shared" si="2"/>
        <v>11Nov</v>
      </c>
      <c r="H792" s="100" t="str">
        <f t="shared" si="3"/>
        <v>Sabtu</v>
      </c>
      <c r="I792" s="97" t="s">
        <v>93</v>
      </c>
      <c r="J792" s="97" t="s">
        <v>107</v>
      </c>
      <c r="K792" s="97" t="s">
        <v>57</v>
      </c>
      <c r="L792" s="101" t="s">
        <v>522</v>
      </c>
      <c r="M792" s="102" t="str">
        <f>IFNA(VLOOKUP(L792,'🙎‍♂️ Pasien'!G:V,2,FALSE),"")</f>
        <v>N0725118277</v>
      </c>
      <c r="N792" s="103">
        <f>IFNA(VLOOKUP(L792,'🙎‍♂️ Pasien'!G:L,3,FALSE),"")</f>
        <v>18</v>
      </c>
      <c r="O792" s="104" t="str">
        <f>IFNA(VLOOKUP(L792,'🙎‍♂️ Pasien'!G:V,6,FALSE),"")</f>
        <v>PEREMPUAN</v>
      </c>
      <c r="P792" s="104" t="str">
        <f>IFNA(VLOOKUP(L792,'🙎‍♂️ Pasien'!G:V,12,FALSE),"")</f>
        <v>ISLAM</v>
      </c>
      <c r="Q792" s="104" t="str">
        <f>IFNA(VLOOKUP(L792:L1508,'🙎‍♂️ Pasien'!G:V,13,FALSE),"")</f>
        <v>MAHASISWA</v>
      </c>
      <c r="R792" s="104" t="str">
        <f t="array" ref="R792">ifna(xlookup(L792,'🙎‍♂️ Pasien'!$G$5:$G1508,'🙎‍♂️ Pasien'!$T$5:$T1508),"")</f>
        <v>SETELAH OPERASI PENGANGKATAN HEMANGIOMA PADA KAKI KANAN, KAKI BELUM BISA LURUS SEMPURNA</v>
      </c>
      <c r="S792" s="104" t="str">
        <f t="array" ref="S792">ifna(xlookup(L792,'🙎‍♂️ Pasien'!$G$5:$G1508,'🙎‍♂️ Pasien'!$U$5:$U1508),"")</f>
        <v>NAIK TURUN TANGGA DI KAMPUS</v>
      </c>
      <c r="T792" s="97" t="s">
        <v>59</v>
      </c>
      <c r="U792" s="105" t="s">
        <v>60</v>
      </c>
      <c r="V792" s="101"/>
      <c r="W792" s="106" t="b">
        <v>1</v>
      </c>
      <c r="X792" s="107"/>
      <c r="Y792" s="108"/>
    </row>
    <row r="793" ht="22.5" customHeight="1">
      <c r="A793" s="96"/>
      <c r="B793" s="97" t="s">
        <v>85</v>
      </c>
      <c r="C793" s="98" t="str">
        <f t="array" ref="C793">IFNA(XLOOKUP(J793,'⚙️ Pengaturan'!$H$5:$H1508,'⚙️ Pengaturan'!$I$5:$I1508),"")</f>
        <v>TIM Y</v>
      </c>
      <c r="D793" s="97" t="s">
        <v>86</v>
      </c>
      <c r="E793" s="99">
        <v>45976.0</v>
      </c>
      <c r="F793" s="100" t="str">
        <f t="shared" si="1"/>
        <v>2025</v>
      </c>
      <c r="G793" s="100" t="str">
        <f t="shared" si="2"/>
        <v>11Nov</v>
      </c>
      <c r="H793" s="100" t="str">
        <f t="shared" si="3"/>
        <v>Sabtu</v>
      </c>
      <c r="I793" s="97" t="s">
        <v>93</v>
      </c>
      <c r="J793" s="97" t="s">
        <v>91</v>
      </c>
      <c r="K793" s="97" t="s">
        <v>69</v>
      </c>
      <c r="L793" s="101" t="s">
        <v>523</v>
      </c>
      <c r="M793" s="102" t="str">
        <f>IFNA(VLOOKUP(L793,'🙎‍♂️ Pasien'!G:V,2,FALSE),"")</f>
        <v>S9823066329</v>
      </c>
      <c r="N793" s="103">
        <f>IFNA(VLOOKUP(L793,'🙎‍♂️ Pasien'!G:L,3,FALSE),"")</f>
        <v>28</v>
      </c>
      <c r="O793" s="104" t="str">
        <f>IFNA(VLOOKUP(L793,'🙎‍♂️ Pasien'!G:V,6,FALSE),"")</f>
        <v>LAKI-LAKI</v>
      </c>
      <c r="P793" s="104" t="str">
        <f>IFNA(VLOOKUP(L793,'🙎‍♂️ Pasien'!G:V,12,FALSE),"")</f>
        <v>ISLAM</v>
      </c>
      <c r="Q793" s="104" t="str">
        <f>IFNA(VLOOKUP(L793:L1508,'🙎‍♂️ Pasien'!G:V,13,FALSE),"")</f>
        <v>PELAJAR/MAHASISWA</v>
      </c>
      <c r="R793" s="104" t="str">
        <f t="array" ref="R793">ifna(xlookup(L793,'🙎‍♂️ Pasien'!$G$5:$G1508,'🙎‍♂️ Pasien'!$T$5:$T1508),"")</f>
        <v>TGL 22 KMAREN OPERASI ACL YG PUTUS</v>
      </c>
      <c r="S793" s="104" t="str">
        <f t="array" ref="S793">ifna(xlookup(L793,'🙎‍♂️ Pasien'!$G$5:$G1508,'🙎‍♂️ Pasien'!$U$5:$U1508),"")</f>
        <v>OLAHRAGA, KULIAH</v>
      </c>
      <c r="T793" s="97" t="s">
        <v>59</v>
      </c>
      <c r="U793" s="105" t="s">
        <v>60</v>
      </c>
      <c r="V793" s="101"/>
      <c r="W793" s="106" t="b">
        <v>1</v>
      </c>
      <c r="X793" s="107"/>
      <c r="Y793" s="108"/>
    </row>
    <row r="794" ht="22.5" customHeight="1">
      <c r="A794" s="96"/>
      <c r="B794" s="97" t="s">
        <v>85</v>
      </c>
      <c r="C794" s="98" t="str">
        <f t="array" ref="C794">IFNA(XLOOKUP(J794,'⚙️ Pengaturan'!$H$5:$H1508,'⚙️ Pengaturan'!$I$5:$I1508),"")</f>
        <v>TIM Y</v>
      </c>
      <c r="D794" s="97" t="s">
        <v>86</v>
      </c>
      <c r="E794" s="99">
        <v>45976.0</v>
      </c>
      <c r="F794" s="100" t="str">
        <f t="shared" si="1"/>
        <v>2025</v>
      </c>
      <c r="G794" s="100" t="str">
        <f t="shared" si="2"/>
        <v>11Nov</v>
      </c>
      <c r="H794" s="100" t="str">
        <f t="shared" si="3"/>
        <v>Sabtu</v>
      </c>
      <c r="I794" s="97" t="s">
        <v>95</v>
      </c>
      <c r="J794" s="97" t="s">
        <v>88</v>
      </c>
      <c r="K794" s="97" t="s">
        <v>57</v>
      </c>
      <c r="L794" s="101" t="s">
        <v>524</v>
      </c>
      <c r="M794" s="102" t="str">
        <f>IFNA(VLOOKUP(L794,'🙎‍♂️ Pasien'!G:V,2,FALSE),"")</f>
        <v>R0325114352</v>
      </c>
      <c r="N794" s="103">
        <f>IFNA(VLOOKUP(L794,'🙎‍♂️ Pasien'!G:L,3,FALSE),"")</f>
        <v>23</v>
      </c>
      <c r="O794" s="104" t="str">
        <f>IFNA(VLOOKUP(L794,'🙎‍♂️ Pasien'!G:V,6,FALSE),"")</f>
        <v>LAKI-LAKI</v>
      </c>
      <c r="P794" s="104" t="str">
        <f>IFNA(VLOOKUP(L794,'🙎‍♂️ Pasien'!G:V,12,FALSE),"")</f>
        <v>ISLAM</v>
      </c>
      <c r="Q794" s="104" t="str">
        <f>IFNA(VLOOKUP(L794:L1508,'🙎‍♂️ Pasien'!G:V,13,FALSE),"")</f>
        <v>SWASTA</v>
      </c>
      <c r="R794" s="104" t="str">
        <f t="array" ref="R794">ifna(xlookup(L794,'🙎‍♂️ Pasien'!$G$5:$G1508,'🙎‍♂️ Pasien'!$T$5:$T1508),"")</f>
        <v>CEDERA LUTUT</v>
      </c>
      <c r="S794" s="104" t="str">
        <f t="array" ref="S794">ifna(xlookup(L794,'🙎‍♂️ Pasien'!$G$5:$G1508,'🙎‍♂️ Pasien'!$U$5:$U1508),"")</f>
        <v>SEPAK BOLA</v>
      </c>
      <c r="T794" s="97" t="s">
        <v>59</v>
      </c>
      <c r="U794" s="105" t="s">
        <v>60</v>
      </c>
      <c r="V794" s="101"/>
      <c r="W794" s="106" t="b">
        <v>1</v>
      </c>
      <c r="X794" s="107"/>
      <c r="Y794" s="108"/>
    </row>
    <row r="795" ht="22.5" customHeight="1">
      <c r="A795" s="96"/>
      <c r="B795" s="97" t="s">
        <v>85</v>
      </c>
      <c r="C795" s="98" t="str">
        <f t="array" ref="C795">IFNA(XLOOKUP(J795,'⚙️ Pengaturan'!$H$5:$H1508,'⚙️ Pengaturan'!$I$5:$I1508),"")</f>
        <v>TIM Y</v>
      </c>
      <c r="D795" s="97" t="s">
        <v>86</v>
      </c>
      <c r="E795" s="99">
        <v>45976.0</v>
      </c>
      <c r="F795" s="100" t="str">
        <f t="shared" si="1"/>
        <v>2025</v>
      </c>
      <c r="G795" s="100" t="str">
        <f t="shared" si="2"/>
        <v>11Nov</v>
      </c>
      <c r="H795" s="100" t="str">
        <f t="shared" si="3"/>
        <v>Sabtu</v>
      </c>
      <c r="I795" s="97" t="s">
        <v>95</v>
      </c>
      <c r="J795" s="97" t="s">
        <v>91</v>
      </c>
      <c r="K795" s="97" t="s">
        <v>63</v>
      </c>
      <c r="L795" s="101" t="s">
        <v>232</v>
      </c>
      <c r="M795" s="102" t="str">
        <f>IFNA(VLOOKUP(L795,'🙎‍♂️ Pasien'!G:V,2,FALSE),"")</f>
        <v>T8825037433</v>
      </c>
      <c r="N795" s="103">
        <f>IFNA(VLOOKUP(L795,'🙎‍♂️ Pasien'!G:L,3,FALSE),"")</f>
        <v>37</v>
      </c>
      <c r="O795" s="104" t="str">
        <f>IFNA(VLOOKUP(L795,'🙎‍♂️ Pasien'!G:V,6,FALSE),"")</f>
        <v>PEREMPUAN</v>
      </c>
      <c r="P795" s="104" t="str">
        <f>IFNA(VLOOKUP(L795,'🙎‍♂️ Pasien'!G:V,12,FALSE),"")</f>
        <v>ISLAM</v>
      </c>
      <c r="Q795" s="104" t="str">
        <f>IFNA(VLOOKUP(L795:L1508,'🙎‍♂️ Pasien'!G:V,13,FALSE),"")</f>
        <v>PNS</v>
      </c>
      <c r="R795" s="104" t="str">
        <f t="array" ref="R795">ifna(xlookup(L795,'🙎‍♂️ Pasien'!$G$5:$G1508,'🙎‍♂️ Pasien'!$T$5:$T1508),"")</f>
        <v>NYERI PERGELANGAN TANGAN DAN TELAPAK KAKI</v>
      </c>
      <c r="S795" s="104" t="str">
        <f t="array" ref="S795">ifna(xlookup(L795,'🙎‍♂️ Pasien'!$G$5:$G1508,'🙎‍♂️ Pasien'!$U$5:$U1508),"")</f>
        <v>NAIK SEPEDA MOTOR</v>
      </c>
      <c r="T795" s="97" t="s">
        <v>59</v>
      </c>
      <c r="U795" s="105">
        <v>8.0</v>
      </c>
      <c r="V795" s="101"/>
      <c r="W795" s="106" t="b">
        <v>1</v>
      </c>
      <c r="X795" s="107"/>
      <c r="Y795" s="108"/>
    </row>
    <row r="796" ht="22.5" customHeight="1">
      <c r="A796" s="96"/>
      <c r="B796" s="97" t="s">
        <v>85</v>
      </c>
      <c r="C796" s="98" t="str">
        <f t="array" ref="C796">IFNA(XLOOKUP(J796,'⚙️ Pengaturan'!$H$5:$H1508,'⚙️ Pengaturan'!$I$5:$I1508),"")</f>
        <v>TIM Y</v>
      </c>
      <c r="D796" s="97" t="s">
        <v>86</v>
      </c>
      <c r="E796" s="99">
        <v>45976.0</v>
      </c>
      <c r="F796" s="100" t="str">
        <f t="shared" si="1"/>
        <v>2025</v>
      </c>
      <c r="G796" s="100" t="str">
        <f t="shared" si="2"/>
        <v>11Nov</v>
      </c>
      <c r="H796" s="100" t="str">
        <f t="shared" si="3"/>
        <v>Sabtu</v>
      </c>
      <c r="I796" s="97" t="s">
        <v>97</v>
      </c>
      <c r="J796" s="97" t="s">
        <v>91</v>
      </c>
      <c r="K796" s="97" t="s">
        <v>63</v>
      </c>
      <c r="L796" s="101" t="s">
        <v>326</v>
      </c>
      <c r="M796" s="102" t="str">
        <f>IFNA(VLOOKUP(L796,'🙎‍♂️ Pasien'!G:V,2,FALSE),"")</f>
        <v>A1423086916</v>
      </c>
      <c r="N796" s="103">
        <f>IFNA(VLOOKUP(L796,'🙎‍♂️ Pasien'!G:L,3,FALSE),"")</f>
        <v>11</v>
      </c>
      <c r="O796" s="104" t="str">
        <f>IFNA(VLOOKUP(L796,'🙎‍♂️ Pasien'!G:V,6,FALSE),"")</f>
        <v>LAKI-LAKI</v>
      </c>
      <c r="P796" s="104" t="str">
        <f>IFNA(VLOOKUP(L796,'🙎‍♂️ Pasien'!G:V,12,FALSE),"")</f>
        <v>ISLAM</v>
      </c>
      <c r="Q796" s="104" t="str">
        <f>IFNA(VLOOKUP(L796:L1508,'🙎‍♂️ Pasien'!G:V,13,FALSE),"")</f>
        <v>PELAJAR/MAHASISWA</v>
      </c>
      <c r="R796" s="104" t="str">
        <f t="array" ref="R796">ifna(xlookup(L796,'🙎‍♂️ Pasien'!$G$5:$G1508,'🙎‍♂️ Pasien'!$T$5:$T1508),"")</f>
        <v>ANKLE KAKI KANAN</v>
      </c>
      <c r="S796" s="104" t="str">
        <f t="array" ref="S796">ifna(xlookup(L796,'🙎‍♂️ Pasien'!$G$5:$G1508,'🙎‍♂️ Pasien'!$U$5:$U1508),"")</f>
        <v>BOLA</v>
      </c>
      <c r="T796" s="97" t="s">
        <v>59</v>
      </c>
      <c r="U796" s="105">
        <v>9.0</v>
      </c>
      <c r="V796" s="101"/>
      <c r="W796" s="106" t="b">
        <v>1</v>
      </c>
      <c r="X796" s="107"/>
      <c r="Y796" s="108"/>
    </row>
    <row r="797" ht="22.5" customHeight="1">
      <c r="A797" s="96"/>
      <c r="B797" s="97" t="s">
        <v>85</v>
      </c>
      <c r="C797" s="98" t="str">
        <f t="array" ref="C797">IFNA(XLOOKUP(J797,'⚙️ Pengaturan'!$H$5:$H1508,'⚙️ Pengaturan'!$I$5:$I1508),"")</f>
        <v>TIM Y</v>
      </c>
      <c r="D797" s="97" t="s">
        <v>86</v>
      </c>
      <c r="E797" s="99">
        <v>45976.0</v>
      </c>
      <c r="F797" s="100" t="str">
        <f t="shared" si="1"/>
        <v>2025</v>
      </c>
      <c r="G797" s="100" t="str">
        <f t="shared" si="2"/>
        <v>11Nov</v>
      </c>
      <c r="H797" s="100" t="str">
        <f t="shared" si="3"/>
        <v>Sabtu</v>
      </c>
      <c r="I797" s="97" t="s">
        <v>97</v>
      </c>
      <c r="J797" s="97" t="s">
        <v>88</v>
      </c>
      <c r="K797" s="97" t="s">
        <v>69</v>
      </c>
      <c r="L797" s="101" t="s">
        <v>434</v>
      </c>
      <c r="M797" s="102" t="str">
        <f>IFNA(VLOOKUP(L797,'🙎‍♂️ Pasien'!G:V,2,FALSE),"")</f>
        <v>A9326025869</v>
      </c>
      <c r="N797" s="103">
        <f>IFNA(VLOOKUP(L797,'🙎‍♂️ Pasien'!G:L,3,FALSE),"")</f>
        <v>32</v>
      </c>
      <c r="O797" s="104" t="str">
        <f>IFNA(VLOOKUP(L797,'🙎‍♂️ Pasien'!G:V,6,FALSE),"")</f>
        <v>LAKI-LAKI</v>
      </c>
      <c r="P797" s="104" t="str">
        <f>IFNA(VLOOKUP(L797,'🙎‍♂️ Pasien'!G:V,12,FALSE),"")</f>
        <v>KATOLIK</v>
      </c>
      <c r="Q797" s="104" t="str">
        <f>IFNA(VLOOKUP(L797:L1508,'🙎‍♂️ Pasien'!G:V,13,FALSE),"")</f>
        <v>SALES</v>
      </c>
      <c r="R797" s="104" t="str">
        <f t="array" ref="R797">ifna(xlookup(L797,'🙎‍♂️ Pasien'!$G$5:$G1508,'🙎‍♂️ Pasien'!$T$5:$T1508),"")</f>
        <v>TENDON ACHILES</v>
      </c>
      <c r="S797" s="104" t="str">
        <f t="array" ref="S797">ifna(xlookup(L797,'🙎‍♂️ Pasien'!$G$5:$G1508,'🙎‍♂️ Pasien'!$U$5:$U1508),"")</f>
        <v>BOLA</v>
      </c>
      <c r="T797" s="97" t="s">
        <v>59</v>
      </c>
      <c r="U797" s="105" t="s">
        <v>60</v>
      </c>
      <c r="V797" s="101"/>
      <c r="W797" s="106" t="b">
        <v>1</v>
      </c>
      <c r="X797" s="107"/>
      <c r="Y797" s="108"/>
    </row>
    <row r="798" ht="22.5" customHeight="1">
      <c r="A798" s="96"/>
      <c r="B798" s="97" t="s">
        <v>85</v>
      </c>
      <c r="C798" s="98" t="str">
        <f t="array" ref="C798">IFNA(XLOOKUP(J798,'⚙️ Pengaturan'!$H$5:$H1508,'⚙️ Pengaturan'!$I$5:$I1508),"")</f>
        <v>TIM Y</v>
      </c>
      <c r="D798" s="97" t="s">
        <v>86</v>
      </c>
      <c r="E798" s="99">
        <v>45976.0</v>
      </c>
      <c r="F798" s="100" t="str">
        <f t="shared" si="1"/>
        <v>2025</v>
      </c>
      <c r="G798" s="100" t="str">
        <f t="shared" si="2"/>
        <v>11Nov</v>
      </c>
      <c r="H798" s="100" t="str">
        <f t="shared" si="3"/>
        <v>Sabtu</v>
      </c>
      <c r="I798" s="97" t="s">
        <v>99</v>
      </c>
      <c r="J798" s="97" t="s">
        <v>91</v>
      </c>
      <c r="K798" s="97" t="s">
        <v>63</v>
      </c>
      <c r="L798" s="101" t="s">
        <v>98</v>
      </c>
      <c r="M798" s="102" t="str">
        <f>IFNA(VLOOKUP(L798,'🙎‍♂️ Pasien'!G:V,2,FALSE),"")</f>
        <v>L9925048099</v>
      </c>
      <c r="N798" s="103">
        <f>IFNA(VLOOKUP(L798,'🙎‍♂️ Pasien'!G:L,3,FALSE),"")</f>
        <v>26</v>
      </c>
      <c r="O798" s="104" t="str">
        <f>IFNA(VLOOKUP(L798,'🙎‍♂️ Pasien'!G:V,6,FALSE),"")</f>
        <v>PEREMPUAN</v>
      </c>
      <c r="P798" s="104" t="str">
        <f>IFNA(VLOOKUP(L798,'🙎‍♂️ Pasien'!G:V,12,FALSE),"")</f>
        <v>KATOLIK</v>
      </c>
      <c r="Q798" s="104" t="str">
        <f>IFNA(VLOOKUP(L798:L1508,'🙎‍♂️ Pasien'!G:V,13,FALSE),"")</f>
        <v>ACCOUNTING</v>
      </c>
      <c r="R798" s="104" t="str">
        <f t="array" ref="R798">ifna(xlookup(L798,'🙎‍♂️ Pasien'!$G$5:$G1508,'🙎‍♂️ Pasien'!$T$5:$T1508),"")</f>
        <v>NYERI TULANG BELAKANG SAMPAI KAKI, NYERI DI BAGIAN LUTUT JUGA</v>
      </c>
      <c r="S798" s="104" t="str">
        <f t="array" ref="S798">ifna(xlookup(L798,'🙎‍♂️ Pasien'!$G$5:$G1508,'🙎‍♂️ Pasien'!$U$5:$U1508),"")</f>
        <v>BANYAK DUDUK</v>
      </c>
      <c r="T798" s="97" t="s">
        <v>59</v>
      </c>
      <c r="U798" s="105">
        <v>7.0</v>
      </c>
      <c r="V798" s="101"/>
      <c r="W798" s="106" t="b">
        <v>1</v>
      </c>
      <c r="X798" s="107"/>
      <c r="Y798" s="108"/>
    </row>
    <row r="799" ht="22.5" customHeight="1">
      <c r="A799" s="96"/>
      <c r="B799" s="97" t="s">
        <v>85</v>
      </c>
      <c r="C799" s="98" t="str">
        <f t="array" ref="C799">IFNA(XLOOKUP(J799,'⚙️ Pengaturan'!$H$5:$H1508,'⚙️ Pengaturan'!$I$5:$I1508),"")</f>
        <v>TIM Y</v>
      </c>
      <c r="D799" s="97" t="s">
        <v>86</v>
      </c>
      <c r="E799" s="99">
        <v>45976.0</v>
      </c>
      <c r="F799" s="100" t="str">
        <f t="shared" si="1"/>
        <v>2025</v>
      </c>
      <c r="G799" s="100" t="str">
        <f t="shared" si="2"/>
        <v>11Nov</v>
      </c>
      <c r="H799" s="100" t="str">
        <f t="shared" si="3"/>
        <v>Sabtu</v>
      </c>
      <c r="I799" s="97" t="s">
        <v>99</v>
      </c>
      <c r="J799" s="97" t="s">
        <v>107</v>
      </c>
      <c r="K799" s="97" t="s">
        <v>57</v>
      </c>
      <c r="L799" s="101" t="s">
        <v>525</v>
      </c>
      <c r="M799" s="102" t="str">
        <f>IFNA(VLOOKUP(L799,'🙎‍♂️ Pasien'!G:V,2,FALSE),"")</f>
        <v>M7525114704</v>
      </c>
      <c r="N799" s="103">
        <f>IFNA(VLOOKUP(L799,'🙎‍♂️ Pasien'!G:L,3,FALSE),"")</f>
        <v>51</v>
      </c>
      <c r="O799" s="104" t="str">
        <f>IFNA(VLOOKUP(L799,'🙎‍♂️ Pasien'!G:V,6,FALSE),"")</f>
        <v>PEREMPUAN</v>
      </c>
      <c r="P799" s="104" t="str">
        <f>IFNA(VLOOKUP(L799,'🙎‍♂️ Pasien'!G:V,12,FALSE),"")</f>
        <v>ISLAM</v>
      </c>
      <c r="Q799" s="104" t="str">
        <f>IFNA(VLOOKUP(L799:L1508,'🙎‍♂️ Pasien'!G:V,13,FALSE),"")</f>
        <v>PNS</v>
      </c>
      <c r="R799" s="104" t="str">
        <f t="array" ref="R799">ifna(xlookup(L799,'🙎‍♂️ Pasien'!$G$5:$G1508,'🙎‍♂️ Pasien'!$T$5:$T1508),"")</f>
        <v>PINGGANG NYERI</v>
      </c>
      <c r="S799" s="104" t="str">
        <f t="array" ref="S799">ifna(xlookup(L799,'🙎‍♂️ Pasien'!$G$5:$G1508,'🙎‍♂️ Pasien'!$U$5:$U1508),"")</f>
        <v>DUDUK LAMA</v>
      </c>
      <c r="T799" s="97" t="s">
        <v>59</v>
      </c>
      <c r="U799" s="105" t="s">
        <v>60</v>
      </c>
      <c r="V799" s="101"/>
      <c r="W799" s="106" t="b">
        <v>1</v>
      </c>
      <c r="X799" s="107"/>
      <c r="Y799" s="108"/>
    </row>
    <row r="800" ht="22.5" customHeight="1">
      <c r="A800" s="96"/>
      <c r="B800" s="97" t="s">
        <v>53</v>
      </c>
      <c r="C800" s="98" t="str">
        <f t="array" ref="C800">IFNA(XLOOKUP(J800,'⚙️ Pengaturan'!$H$5:$H1508,'⚙️ Pengaturan'!$I$5:$I1508),"")</f>
        <v>MANAJEMEN</v>
      </c>
      <c r="D800" s="97" t="s">
        <v>54</v>
      </c>
      <c r="E800" s="99">
        <v>45977.0</v>
      </c>
      <c r="F800" s="100" t="str">
        <f t="shared" si="1"/>
        <v>2025</v>
      </c>
      <c r="G800" s="100" t="str">
        <f t="shared" si="2"/>
        <v>11Nov</v>
      </c>
      <c r="H800" s="100" t="str">
        <f t="shared" si="3"/>
        <v>Minggu</v>
      </c>
      <c r="I800" s="97" t="s">
        <v>55</v>
      </c>
      <c r="J800" s="97" t="s">
        <v>101</v>
      </c>
      <c r="K800" s="97" t="s">
        <v>57</v>
      </c>
      <c r="L800" s="101" t="s">
        <v>526</v>
      </c>
      <c r="M800" s="102" t="str">
        <f>IFNA(VLOOKUP(L800,'🙎‍♂️ Pasien'!G:V,2,FALSE),"")</f>
        <v>A8825114554</v>
      </c>
      <c r="N800" s="103">
        <f>IFNA(VLOOKUP(L800,'🙎‍♂️ Pasien'!G:L,3,FALSE),"")</f>
        <v>38</v>
      </c>
      <c r="O800" s="104" t="str">
        <f>IFNA(VLOOKUP(L800,'🙎‍♂️ Pasien'!G:V,6,FALSE),"")</f>
        <v>LAKI-LAKI</v>
      </c>
      <c r="P800" s="104" t="str">
        <f>IFNA(VLOOKUP(L800,'🙎‍♂️ Pasien'!G:V,12,FALSE),"")</f>
        <v>ISLAM</v>
      </c>
      <c r="Q800" s="104" t="str">
        <f>IFNA(VLOOKUP(L800:L1508,'🙎‍♂️ Pasien'!G:V,13,FALSE),"")</f>
        <v>FOOTBALL AGENT</v>
      </c>
      <c r="R800" s="104" t="str">
        <f t="array" ref="R800">ifna(xlookup(L800,'🙎‍♂️ Pasien'!$G$5:$G1508,'🙎‍♂️ Pasien'!$T$5:$T1508),"")</f>
        <v>LUTUT KIRI SAKIT SAAT DI TEKUK</v>
      </c>
      <c r="S800" s="104" t="str">
        <f t="array" ref="S800">ifna(xlookup(L800,'🙎‍♂️ Pasien'!$G$5:$G1508,'🙎‍♂️ Pasien'!$U$5:$U1508),"")</f>
        <v>SEPAKBOLA</v>
      </c>
      <c r="T800" s="97" t="s">
        <v>59</v>
      </c>
      <c r="U800" s="105" t="s">
        <v>60</v>
      </c>
      <c r="V800" s="101"/>
      <c r="W800" s="106" t="b">
        <v>1</v>
      </c>
      <c r="X800" s="107"/>
      <c r="Y800" s="108"/>
    </row>
    <row r="801" ht="22.5" customHeight="1">
      <c r="A801" s="96"/>
      <c r="B801" s="97" t="s">
        <v>53</v>
      </c>
      <c r="C801" s="98" t="str">
        <f t="array" ref="C801">IFNA(XLOOKUP(J801,'⚙️ Pengaturan'!$H$5:$H1508,'⚙️ Pengaturan'!$I$5:$I1508),"")</f>
        <v>TIM A</v>
      </c>
      <c r="D801" s="97" t="s">
        <v>54</v>
      </c>
      <c r="E801" s="99">
        <v>45977.0</v>
      </c>
      <c r="F801" s="100" t="str">
        <f t="shared" si="1"/>
        <v>2025</v>
      </c>
      <c r="G801" s="100" t="str">
        <f t="shared" si="2"/>
        <v>11Nov</v>
      </c>
      <c r="H801" s="100" t="str">
        <f t="shared" si="3"/>
        <v>Minggu</v>
      </c>
      <c r="I801" s="97" t="s">
        <v>55</v>
      </c>
      <c r="J801" s="97" t="s">
        <v>79</v>
      </c>
      <c r="K801" s="97" t="s">
        <v>69</v>
      </c>
      <c r="L801" s="101" t="s">
        <v>224</v>
      </c>
      <c r="M801" s="102" t="str">
        <f>IFNA(VLOOKUP(L801,'🙎‍♂️ Pasien'!G:V,2,FALSE),"")</f>
        <v>K6025085313</v>
      </c>
      <c r="N801" s="103">
        <f>IFNA(VLOOKUP(L801,'🙎‍♂️ Pasien'!G:L,3,FALSE),"")</f>
        <v>65</v>
      </c>
      <c r="O801" s="104" t="str">
        <f>IFNA(VLOOKUP(L801,'🙎‍♂️ Pasien'!G:V,6,FALSE),"")</f>
        <v>PEREMPUAN</v>
      </c>
      <c r="P801" s="104" t="str">
        <f>IFNA(VLOOKUP(L801,'🙎‍♂️ Pasien'!G:V,12,FALSE),"")</f>
        <v>ISLAM</v>
      </c>
      <c r="Q801" s="104" t="str">
        <f>IFNA(VLOOKUP(L801:L1508,'🙎‍♂️ Pasien'!G:V,13,FALSE),"")</f>
        <v>IBU RUMAH TANGGA</v>
      </c>
      <c r="R801" s="104" t="str">
        <f t="array" ref="R801">ifna(xlookup(L801,'🙎‍♂️ Pasien'!$G$5:$G1508,'🙎‍♂️ Pasien'!$T$5:$T1508),"")</f>
        <v>SAKIT LUTUT KANAN</v>
      </c>
      <c r="S801" s="104" t="str">
        <f t="array" ref="S801">ifna(xlookup(L801,'🙎‍♂️ Pasien'!$G$5:$G1508,'🙎‍♂️ Pasien'!$U$5:$U1508),"")</f>
        <v>JALAN KAKI</v>
      </c>
      <c r="T801" s="97" t="s">
        <v>59</v>
      </c>
      <c r="U801" s="105" t="s">
        <v>60</v>
      </c>
      <c r="V801" s="101"/>
      <c r="W801" s="106" t="b">
        <v>1</v>
      </c>
      <c r="X801" s="107"/>
      <c r="Y801" s="108"/>
    </row>
    <row r="802" ht="22.5" customHeight="1">
      <c r="A802" s="96"/>
      <c r="B802" s="97" t="s">
        <v>53</v>
      </c>
      <c r="C802" s="98" t="str">
        <f t="array" ref="C802">IFNA(XLOOKUP(J802,'⚙️ Pengaturan'!$H$5:$H1508,'⚙️ Pengaturan'!$I$5:$I1508),"")</f>
        <v>MANAJEMEN</v>
      </c>
      <c r="D802" s="97" t="s">
        <v>54</v>
      </c>
      <c r="E802" s="99">
        <v>45977.0</v>
      </c>
      <c r="F802" s="100" t="str">
        <f t="shared" si="1"/>
        <v>2025</v>
      </c>
      <c r="G802" s="100" t="str">
        <f t="shared" si="2"/>
        <v>11Nov</v>
      </c>
      <c r="H802" s="100" t="str">
        <f t="shared" si="3"/>
        <v>Minggu</v>
      </c>
      <c r="I802" s="97" t="s">
        <v>65</v>
      </c>
      <c r="J802" s="97" t="s">
        <v>101</v>
      </c>
      <c r="K802" s="97" t="s">
        <v>63</v>
      </c>
      <c r="L802" s="101" t="s">
        <v>234</v>
      </c>
      <c r="M802" s="102" t="str">
        <f>IFNA(VLOOKUP(L802,'🙎‍♂️ Pasien'!G:V,2,FALSE),"")</f>
        <v>B8825057611</v>
      </c>
      <c r="N802" s="103">
        <f>IFNA(VLOOKUP(L802,'🙎‍♂️ Pasien'!G:L,3,FALSE),"")</f>
        <v>37</v>
      </c>
      <c r="O802" s="104" t="str">
        <f>IFNA(VLOOKUP(L802,'🙎‍♂️ Pasien'!G:V,6,FALSE),"")</f>
        <v>LAKI-LAKI</v>
      </c>
      <c r="P802" s="104" t="str">
        <f>IFNA(VLOOKUP(L802,'🙎‍♂️ Pasien'!G:V,12,FALSE),"")</f>
        <v>LAINNYA</v>
      </c>
      <c r="Q802" s="104" t="str">
        <f>IFNA(VLOOKUP(L802:L1508,'🙎‍♂️ Pasien'!G:V,13,FALSE),"")</f>
        <v>SWASTA</v>
      </c>
      <c r="R802" s="104" t="str">
        <f t="array" ref="R802">ifna(xlookup(L802,'🙎‍♂️ Pasien'!$G$5:$G1508,'🙎‍♂️ Pasien'!$T$5:$T1508),"")</f>
        <v>SAKIT KAKI</v>
      </c>
      <c r="S802" s="104" t="str">
        <f t="array" ref="S802">ifna(xlookup(L802,'🙎‍♂️ Pasien'!$G$5:$G1508,'🙎‍♂️ Pasien'!$U$5:$U1508),"")</f>
        <v>SEPAK BOLA</v>
      </c>
      <c r="T802" s="97" t="s">
        <v>59</v>
      </c>
      <c r="U802" s="105">
        <v>1.0</v>
      </c>
      <c r="V802" s="101" t="s">
        <v>256</v>
      </c>
      <c r="W802" s="106" t="b">
        <v>1</v>
      </c>
      <c r="X802" s="107"/>
      <c r="Y802" s="108"/>
    </row>
    <row r="803" ht="22.5" customHeight="1">
      <c r="A803" s="96"/>
      <c r="B803" s="97" t="s">
        <v>53</v>
      </c>
      <c r="C803" s="98" t="str">
        <f t="array" ref="C803">IFNA(XLOOKUP(J803,'⚙️ Pengaturan'!$H$5:$H1508,'⚙️ Pengaturan'!$I$5:$I1508),"")</f>
        <v>TIM A</v>
      </c>
      <c r="D803" s="97" t="s">
        <v>54</v>
      </c>
      <c r="E803" s="99">
        <v>45977.0</v>
      </c>
      <c r="F803" s="100" t="str">
        <f t="shared" si="1"/>
        <v>2025</v>
      </c>
      <c r="G803" s="100" t="str">
        <f t="shared" si="2"/>
        <v>11Nov</v>
      </c>
      <c r="H803" s="100" t="str">
        <f t="shared" si="3"/>
        <v>Minggu</v>
      </c>
      <c r="I803" s="97" t="s">
        <v>65</v>
      </c>
      <c r="J803" s="97" t="s">
        <v>79</v>
      </c>
      <c r="K803" s="97" t="s">
        <v>57</v>
      </c>
      <c r="L803" s="101" t="s">
        <v>527</v>
      </c>
      <c r="M803" s="102" t="str">
        <f>IFNA(VLOOKUP(L803,'🙎‍♂️ Pasien'!G:V,2,FALSE),"")</f>
        <v>S0325118209</v>
      </c>
      <c r="N803" s="103">
        <f>IFNA(VLOOKUP(L803,'🙎‍♂️ Pasien'!G:L,3,FALSE),"")</f>
        <v>23</v>
      </c>
      <c r="O803" s="104" t="str">
        <f>IFNA(VLOOKUP(L803,'🙎‍♂️ Pasien'!G:V,6,FALSE),"")</f>
        <v>PEREMPUAN</v>
      </c>
      <c r="P803" s="104" t="str">
        <f>IFNA(VLOOKUP(L803,'🙎‍♂️ Pasien'!G:V,12,FALSE),"")</f>
        <v>BUDDHA</v>
      </c>
      <c r="Q803" s="104" t="str">
        <f>IFNA(VLOOKUP(L803:L1508,'🙎‍♂️ Pasien'!G:V,13,FALSE),"")</f>
        <v>ADMIN</v>
      </c>
      <c r="R803" s="104" t="str">
        <f t="array" ref="R803">ifna(xlookup(L803,'🙎‍♂️ Pasien'!$G$5:$G1508,'🙎‍♂️ Pasien'!$T$5:$T1508),"")</f>
        <v>SKOLIOSIS</v>
      </c>
      <c r="S803" s="104" t="str">
        <f t="array" ref="S803">ifna(xlookup(L803,'🙎‍♂️ Pasien'!$G$5:$G1508,'🙎‍♂️ Pasien'!$U$5:$U1508),"")</f>
        <v>DUDUK LAMA SAAT BEKERJA, GYM</v>
      </c>
      <c r="T803" s="97" t="s">
        <v>59</v>
      </c>
      <c r="U803" s="105" t="s">
        <v>60</v>
      </c>
      <c r="V803" s="101"/>
      <c r="W803" s="106" t="b">
        <v>1</v>
      </c>
      <c r="X803" s="107"/>
      <c r="Y803" s="108"/>
    </row>
    <row r="804" ht="22.5" customHeight="1">
      <c r="A804" s="96"/>
      <c r="B804" s="97" t="s">
        <v>53</v>
      </c>
      <c r="C804" s="98" t="str">
        <f t="array" ref="C804">IFNA(XLOOKUP(J804,'⚙️ Pengaturan'!$H$5:$H1508,'⚙️ Pengaturan'!$I$5:$I1508),"")</f>
        <v>TIM A</v>
      </c>
      <c r="D804" s="97" t="s">
        <v>54</v>
      </c>
      <c r="E804" s="99">
        <v>45977.0</v>
      </c>
      <c r="F804" s="100" t="str">
        <f t="shared" si="1"/>
        <v>2025</v>
      </c>
      <c r="G804" s="100" t="str">
        <f t="shared" si="2"/>
        <v>11Nov</v>
      </c>
      <c r="H804" s="100" t="str">
        <f t="shared" si="3"/>
        <v>Minggu</v>
      </c>
      <c r="I804" s="97" t="s">
        <v>74</v>
      </c>
      <c r="J804" s="97" t="s">
        <v>79</v>
      </c>
      <c r="K804" s="97" t="s">
        <v>63</v>
      </c>
      <c r="L804" s="101" t="s">
        <v>188</v>
      </c>
      <c r="M804" s="102" t="str">
        <f>IFNA(VLOOKUP(L804,'🙎‍♂️ Pasien'!G:V,2,FALSE),"")</f>
        <v>S0125102986</v>
      </c>
      <c r="N804" s="103">
        <f>IFNA(VLOOKUP(L804,'🙎‍♂️ Pasien'!G:L,3,FALSE),"")</f>
        <v>24</v>
      </c>
      <c r="O804" s="104" t="str">
        <f>IFNA(VLOOKUP(L804,'🙎‍♂️ Pasien'!G:V,6,FALSE),"")</f>
        <v>PEREMPUAN</v>
      </c>
      <c r="P804" s="104" t="str">
        <f>IFNA(VLOOKUP(L804,'🙎‍♂️ Pasien'!G:V,12,FALSE),"")</f>
        <v>ISLAM</v>
      </c>
      <c r="Q804" s="104" t="str">
        <f>IFNA(VLOOKUP(L804:L1508,'🙎‍♂️ Pasien'!G:V,13,FALSE),"")</f>
        <v>PNS</v>
      </c>
      <c r="R804" s="104" t="str">
        <f t="array" ref="R804">ifna(xlookup(L804,'🙎‍♂️ Pasien'!$G$5:$G1508,'🙎‍♂️ Pasien'!$T$5:$T1508),"")</f>
        <v>TANGAN BELUM BISA MENGGENGGAM SETELAH PATAH TULANG TELAPAK TANGAN</v>
      </c>
      <c r="S804" s="104" t="str">
        <f t="array" ref="S804">ifna(xlookup(L804,'🙎‍♂️ Pasien'!$G$5:$G1508,'🙎‍♂️ Pasien'!$U$5:$U1508),"")</f>
        <v>TIDAK ADA</v>
      </c>
      <c r="T804" s="97" t="s">
        <v>59</v>
      </c>
      <c r="U804" s="105">
        <v>5.0</v>
      </c>
      <c r="V804" s="101"/>
      <c r="W804" s="106" t="b">
        <v>1</v>
      </c>
      <c r="X804" s="107"/>
      <c r="Y804" s="108"/>
    </row>
    <row r="805" ht="22.5" customHeight="1">
      <c r="A805" s="96"/>
      <c r="B805" s="97" t="s">
        <v>53</v>
      </c>
      <c r="C805" s="98" t="str">
        <f t="array" ref="C805">IFNA(XLOOKUP(J805,'⚙️ Pengaturan'!$H$5:$H1508,'⚙️ Pengaturan'!$I$5:$I1508),"")</f>
        <v>TIM Y</v>
      </c>
      <c r="D805" s="97" t="s">
        <v>54</v>
      </c>
      <c r="E805" s="99">
        <v>45977.0</v>
      </c>
      <c r="F805" s="100" t="str">
        <f t="shared" si="1"/>
        <v>2025</v>
      </c>
      <c r="G805" s="100" t="str">
        <f t="shared" si="2"/>
        <v>11Nov</v>
      </c>
      <c r="H805" s="100" t="str">
        <f t="shared" si="3"/>
        <v>Minggu</v>
      </c>
      <c r="I805" s="97" t="s">
        <v>76</v>
      </c>
      <c r="J805" s="97" t="s">
        <v>56</v>
      </c>
      <c r="K805" s="97" t="s">
        <v>63</v>
      </c>
      <c r="L805" s="101" t="s">
        <v>160</v>
      </c>
      <c r="M805" s="102" t="str">
        <f>IFNA(VLOOKUP(L805,'🙎‍♂️ Pasien'!G:V,2,FALSE),"")</f>
        <v>S7625091177</v>
      </c>
      <c r="N805" s="103">
        <f>IFNA(VLOOKUP(L805,'🙎‍♂️ Pasien'!G:L,3,FALSE),"")</f>
        <v>49</v>
      </c>
      <c r="O805" s="104" t="str">
        <f>IFNA(VLOOKUP(L805,'🙎‍♂️ Pasien'!G:V,6,FALSE),"")</f>
        <v>LAKI-LAKI</v>
      </c>
      <c r="P805" s="104" t="str">
        <f>IFNA(VLOOKUP(L805,'🙎‍♂️ Pasien'!G:V,12,FALSE),"")</f>
        <v>ISLAM</v>
      </c>
      <c r="Q805" s="104" t="str">
        <f>IFNA(VLOOKUP(L805:L1508,'🙎‍♂️ Pasien'!G:V,13,FALSE),"")</f>
        <v>WIRASWASTA</v>
      </c>
      <c r="R805" s="104" t="str">
        <f t="array" ref="R805">ifna(xlookup(L805,'🙎‍♂️ Pasien'!$G$5:$G1508,'🙎‍♂️ Pasien'!$T$5:$T1508),"")</f>
        <v>CEDERA LUTUT</v>
      </c>
      <c r="S805" s="104" t="str">
        <f t="array" ref="S805">ifna(xlookup(L805,'🙎‍♂️ Pasien'!$G$5:$G1508,'🙎‍♂️ Pasien'!$U$5:$U1508),"")</f>
        <v>MAIN BADMINTON</v>
      </c>
      <c r="T805" s="97" t="s">
        <v>67</v>
      </c>
      <c r="U805" s="105">
        <v>5.0</v>
      </c>
      <c r="V805" s="101" t="s">
        <v>528</v>
      </c>
      <c r="W805" s="106" t="b">
        <v>1</v>
      </c>
      <c r="X805" s="107"/>
      <c r="Y805" s="108"/>
    </row>
    <row r="806" ht="22.5" customHeight="1">
      <c r="A806" s="96"/>
      <c r="B806" s="97" t="s">
        <v>53</v>
      </c>
      <c r="C806" s="98" t="str">
        <f t="array" ref="C806">IFNA(XLOOKUP(J806,'⚙️ Pengaturan'!$H$5:$H1508,'⚙️ Pengaturan'!$I$5:$I1508),"")</f>
        <v>TIM A</v>
      </c>
      <c r="D806" s="97" t="s">
        <v>54</v>
      </c>
      <c r="E806" s="99">
        <v>45977.0</v>
      </c>
      <c r="F806" s="100" t="str">
        <f t="shared" si="1"/>
        <v>2025</v>
      </c>
      <c r="G806" s="100" t="str">
        <f t="shared" si="2"/>
        <v>11Nov</v>
      </c>
      <c r="H806" s="100" t="str">
        <f t="shared" si="3"/>
        <v>Minggu</v>
      </c>
      <c r="I806" s="97" t="s">
        <v>83</v>
      </c>
      <c r="J806" s="97" t="s">
        <v>79</v>
      </c>
      <c r="K806" s="97" t="s">
        <v>57</v>
      </c>
      <c r="L806" s="101" t="s">
        <v>529</v>
      </c>
      <c r="M806" s="102" t="str">
        <f>IFNA(VLOOKUP(L806,'🙎‍♂️ Pasien'!G:V,2,FALSE),"")</f>
        <v>R6825110615</v>
      </c>
      <c r="N806" s="103">
        <f>IFNA(VLOOKUP(L806,'🙎‍♂️ Pasien'!G:L,3,FALSE),"")</f>
        <v>57</v>
      </c>
      <c r="O806" s="104" t="str">
        <f>IFNA(VLOOKUP(L806,'🙎‍♂️ Pasien'!G:V,6,FALSE),"")</f>
        <v>PEREMPUAN</v>
      </c>
      <c r="P806" s="104" t="str">
        <f>IFNA(VLOOKUP(L806,'🙎‍♂️ Pasien'!G:V,12,FALSE),"")</f>
        <v>ISLAM</v>
      </c>
      <c r="Q806" s="104" t="str">
        <f>IFNA(VLOOKUP(L806:L1508,'🙎‍♂️ Pasien'!G:V,13,FALSE),"")</f>
        <v>IBU RUMAH TANGGA</v>
      </c>
      <c r="R806" s="104" t="str">
        <f t="array" ref="R806">ifna(xlookup(L806,'🙎‍♂️ Pasien'!$G$5:$G1508,'🙎‍♂️ Pasien'!$T$5:$T1508),"")</f>
        <v>NYERI TULANG BELAKANG</v>
      </c>
      <c r="S806" s="104" t="str">
        <f t="array" ref="S806">ifna(xlookup(L806,'🙎‍♂️ Pasien'!$G$5:$G1508,'🙎‍♂️ Pasien'!$U$5:$U1508),"")</f>
        <v>MENGERJAKAN PEKERJAAN RUMAH</v>
      </c>
      <c r="T806" s="97" t="s">
        <v>59</v>
      </c>
      <c r="U806" s="105" t="s">
        <v>60</v>
      </c>
      <c r="V806" s="101"/>
      <c r="W806" s="106" t="b">
        <v>1</v>
      </c>
      <c r="X806" s="107"/>
      <c r="Y806" s="108"/>
    </row>
    <row r="807" ht="22.5" customHeight="1">
      <c r="A807" s="96"/>
      <c r="B807" s="97" t="s">
        <v>85</v>
      </c>
      <c r="C807" s="98" t="str">
        <f t="array" ref="C807">IFNA(XLOOKUP(J807,'⚙️ Pengaturan'!$H$5:$H1508,'⚙️ Pengaturan'!$I$5:$I1508),"")</f>
        <v>TIM A</v>
      </c>
      <c r="D807" s="97" t="s">
        <v>86</v>
      </c>
      <c r="E807" s="99">
        <v>45977.0</v>
      </c>
      <c r="F807" s="100" t="str">
        <f t="shared" si="1"/>
        <v>2025</v>
      </c>
      <c r="G807" s="100" t="str">
        <f t="shared" si="2"/>
        <v>11Nov</v>
      </c>
      <c r="H807" s="100" t="str">
        <f t="shared" si="3"/>
        <v>Minggu</v>
      </c>
      <c r="I807" s="97" t="s">
        <v>87</v>
      </c>
      <c r="J807" s="97" t="s">
        <v>62</v>
      </c>
      <c r="K807" s="97" t="s">
        <v>63</v>
      </c>
      <c r="L807" s="101" t="s">
        <v>257</v>
      </c>
      <c r="M807" s="102" t="str">
        <f>IFNA(VLOOKUP(L807,'🙎‍♂️ Pasien'!G:V,2,FALSE),"")</f>
        <v>A1025102304</v>
      </c>
      <c r="N807" s="103">
        <f>IFNA(VLOOKUP(L807,'🙎‍♂️ Pasien'!G:L,3,FALSE),"")</f>
        <v>16</v>
      </c>
      <c r="O807" s="104" t="str">
        <f>IFNA(VLOOKUP(L807,'🙎‍♂️ Pasien'!G:V,6,FALSE),"")</f>
        <v>LAKI-LAKI</v>
      </c>
      <c r="P807" s="104" t="str">
        <f>IFNA(VLOOKUP(L807,'🙎‍♂️ Pasien'!G:V,12,FALSE),"")</f>
        <v>PROTESTAN</v>
      </c>
      <c r="Q807" s="104" t="str">
        <f>IFNA(VLOOKUP(L807:L1508,'🙎‍♂️ Pasien'!G:V,13,FALSE),"")</f>
        <v>PELAJAR</v>
      </c>
      <c r="R807" s="104" t="str">
        <f t="array" ref="R807">ifna(xlookup(L807,'🙎‍♂️ Pasien'!$G$5:$G1508,'🙎‍♂️ Pasien'!$T$5:$T1508),"")</f>
        <v>NYERI SENDI KAKI</v>
      </c>
      <c r="S807" s="104" t="str">
        <f t="array" ref="S807">ifna(xlookup(L807,'🙎‍♂️ Pasien'!$G$5:$G1508,'🙎‍♂️ Pasien'!$U$5:$U1508),"")</f>
        <v>OLAHRAGA, NAIK TURUN TANGGA</v>
      </c>
      <c r="T807" s="97" t="s">
        <v>59</v>
      </c>
      <c r="U807" s="105">
        <v>5.0</v>
      </c>
      <c r="V807" s="101" t="s">
        <v>125</v>
      </c>
      <c r="W807" s="106" t="b">
        <v>1</v>
      </c>
      <c r="X807" s="107"/>
      <c r="Y807" s="108"/>
    </row>
    <row r="808" ht="22.5" customHeight="1">
      <c r="A808" s="96"/>
      <c r="B808" s="97" t="s">
        <v>85</v>
      </c>
      <c r="C808" s="98" t="str">
        <f t="array" ref="C808">IFNA(XLOOKUP(J808,'⚙️ Pengaturan'!$H$5:$H1508,'⚙️ Pengaturan'!$I$5:$I1508),"")</f>
        <v>TIM Y</v>
      </c>
      <c r="D808" s="97" t="s">
        <v>86</v>
      </c>
      <c r="E808" s="99">
        <v>45977.0</v>
      </c>
      <c r="F808" s="100" t="str">
        <f t="shared" si="1"/>
        <v>2025</v>
      </c>
      <c r="G808" s="100" t="str">
        <f t="shared" si="2"/>
        <v>11Nov</v>
      </c>
      <c r="H808" s="100" t="str">
        <f t="shared" si="3"/>
        <v>Minggu</v>
      </c>
      <c r="I808" s="97" t="s">
        <v>87</v>
      </c>
      <c r="J808" s="97" t="s">
        <v>88</v>
      </c>
      <c r="K808" s="97" t="s">
        <v>69</v>
      </c>
      <c r="L808" s="101" t="s">
        <v>168</v>
      </c>
      <c r="M808" s="102" t="str">
        <f>IFNA(VLOOKUP(L808,'🙎‍♂️ Pasien'!G:V,2,FALSE),"")</f>
        <v>M0524055808</v>
      </c>
      <c r="N808" s="103">
        <f>IFNA(VLOOKUP(L808,'🙎‍♂️ Pasien'!G:L,3,FALSE),"")</f>
        <v>20</v>
      </c>
      <c r="O808" s="104" t="str">
        <f>IFNA(VLOOKUP(L808,'🙎‍♂️ Pasien'!G:V,6,FALSE),"")</f>
        <v>LAKI-LAKI</v>
      </c>
      <c r="P808" s="104" t="str">
        <f>IFNA(VLOOKUP(L808,'🙎‍♂️ Pasien'!G:V,12,FALSE),"")</f>
        <v>ISLAM</v>
      </c>
      <c r="Q808" s="104" t="str">
        <f>IFNA(VLOOKUP(L808:L1508,'🙎‍♂️ Pasien'!G:V,13,FALSE),"")</f>
        <v>PELAJAR/MAHASISWA</v>
      </c>
      <c r="R808" s="104" t="str">
        <f t="array" ref="R808">ifna(xlookup(L808,'🙎‍♂️ Pasien'!$G$5:$G1508,'🙎‍♂️ Pasien'!$T$5:$T1508),"")</f>
        <v>goyang</v>
      </c>
      <c r="S808" s="104" t="str">
        <f t="array" ref="S808">ifna(xlookup(L808,'🙎‍♂️ Pasien'!$G$5:$G1508,'🙎‍♂️ Pasien'!$U$5:$U1508),"")</f>
        <v>futsal</v>
      </c>
      <c r="T808" s="97" t="s">
        <v>59</v>
      </c>
      <c r="U808" s="105" t="s">
        <v>60</v>
      </c>
      <c r="V808" s="101"/>
      <c r="W808" s="106" t="b">
        <v>1</v>
      </c>
      <c r="X808" s="107"/>
      <c r="Y808" s="108"/>
    </row>
    <row r="809" ht="22.5" customHeight="1">
      <c r="A809" s="96"/>
      <c r="B809" s="97" t="s">
        <v>85</v>
      </c>
      <c r="C809" s="98" t="str">
        <f t="array" ref="C809">IFNA(XLOOKUP(J809,'⚙️ Pengaturan'!$H$5:$H1508,'⚙️ Pengaturan'!$I$5:$I1508),"")</f>
        <v>TIM Y</v>
      </c>
      <c r="D809" s="97" t="s">
        <v>86</v>
      </c>
      <c r="E809" s="99">
        <v>45977.0</v>
      </c>
      <c r="F809" s="100" t="str">
        <f t="shared" si="1"/>
        <v>2025</v>
      </c>
      <c r="G809" s="100" t="str">
        <f t="shared" si="2"/>
        <v>11Nov</v>
      </c>
      <c r="H809" s="100" t="str">
        <f t="shared" si="3"/>
        <v>Minggu</v>
      </c>
      <c r="I809" s="97" t="s">
        <v>93</v>
      </c>
      <c r="J809" s="97" t="s">
        <v>88</v>
      </c>
      <c r="K809" s="97" t="s">
        <v>63</v>
      </c>
      <c r="L809" s="101" t="s">
        <v>239</v>
      </c>
      <c r="M809" s="102" t="str">
        <f>IFNA(VLOOKUP(L809,'🙎‍♂️ Pasien'!G:V,2,FALSE),"")</f>
        <v>A0623071437</v>
      </c>
      <c r="N809" s="103">
        <f>IFNA(VLOOKUP(L809,'🙎‍♂️ Pasien'!G:L,3,FALSE),"")</f>
        <v>20</v>
      </c>
      <c r="O809" s="104" t="str">
        <f>IFNA(VLOOKUP(L809,'🙎‍♂️ Pasien'!G:V,6,FALSE),"")</f>
        <v>LAKI-LAKI</v>
      </c>
      <c r="P809" s="104" t="str">
        <f>IFNA(VLOOKUP(L809,'🙎‍♂️ Pasien'!G:V,12,FALSE),"")</f>
        <v>ISLAM</v>
      </c>
      <c r="Q809" s="104" t="str">
        <f>IFNA(VLOOKUP(L809:L1508,'🙎‍♂️ Pasien'!G:V,13,FALSE),"")</f>
        <v>PELAJAR/MAHASISWA</v>
      </c>
      <c r="R809" s="104" t="str">
        <f t="array" ref="R809">ifna(xlookup(L809,'🙎‍♂️ Pasien'!$G$5:$G1508,'🙎‍♂️ Pasien'!$T$5:$T1508),"")</f>
        <v>Cedera Engkel Di Kaki</v>
      </c>
      <c r="S809" s="104" t="str">
        <f t="array" ref="S809">ifna(xlookup(L809,'🙎‍♂️ Pasien'!$G$5:$G1508,'🙎‍♂️ Pasien'!$U$5:$U1508),"")</f>
        <v>BERMAIN FUTSAL</v>
      </c>
      <c r="T809" s="97" t="s">
        <v>59</v>
      </c>
      <c r="U809" s="105">
        <v>1.0</v>
      </c>
      <c r="V809" s="101" t="s">
        <v>256</v>
      </c>
      <c r="W809" s="106" t="b">
        <v>1</v>
      </c>
      <c r="X809" s="107"/>
      <c r="Y809" s="108"/>
    </row>
    <row r="810" ht="22.5" customHeight="1">
      <c r="A810" s="96"/>
      <c r="B810" s="97" t="s">
        <v>85</v>
      </c>
      <c r="C810" s="98" t="str">
        <f t="array" ref="C810">IFNA(XLOOKUP(J810,'⚙️ Pengaturan'!$H$5:$H1508,'⚙️ Pengaturan'!$I$5:$I1508),"")</f>
        <v>TIM A</v>
      </c>
      <c r="D810" s="97" t="s">
        <v>86</v>
      </c>
      <c r="E810" s="99">
        <v>45977.0</v>
      </c>
      <c r="F810" s="100" t="str">
        <f t="shared" si="1"/>
        <v>2025</v>
      </c>
      <c r="G810" s="100" t="str">
        <f t="shared" si="2"/>
        <v>11Nov</v>
      </c>
      <c r="H810" s="100" t="str">
        <f t="shared" si="3"/>
        <v>Minggu</v>
      </c>
      <c r="I810" s="97" t="s">
        <v>93</v>
      </c>
      <c r="J810" s="97" t="s">
        <v>62</v>
      </c>
      <c r="K810" s="97" t="s">
        <v>63</v>
      </c>
      <c r="L810" s="101" t="s">
        <v>444</v>
      </c>
      <c r="M810" s="102" t="str">
        <f>IFNA(VLOOKUP(L810,'🙎‍♂️ Pasien'!G:V,2,FALSE),"")</f>
        <v>N8525112090</v>
      </c>
      <c r="N810" s="103">
        <f>IFNA(VLOOKUP(L810,'🙎‍♂️ Pasien'!G:L,3,FALSE),"")</f>
        <v>40</v>
      </c>
      <c r="O810" s="104" t="str">
        <f>IFNA(VLOOKUP(L810,'🙎‍♂️ Pasien'!G:V,6,FALSE),"")</f>
        <v>PEREMPUAN</v>
      </c>
      <c r="P810" s="104" t="str">
        <f>IFNA(VLOOKUP(L810,'🙎‍♂️ Pasien'!G:V,12,FALSE),"")</f>
        <v>ISLAM</v>
      </c>
      <c r="Q810" s="104" t="str">
        <f>IFNA(VLOOKUP(L810:L1508,'🙎‍♂️ Pasien'!G:V,13,FALSE),"")</f>
        <v>PNS</v>
      </c>
      <c r="R810" s="104" t="str">
        <f t="array" ref="R810">ifna(xlookup(L810,'🙎‍♂️ Pasien'!$G$5:$G1508,'🙎‍♂️ Pasien'!$T$5:$T1508),"")</f>
        <v>SAKIT DI TULANG EKOR</v>
      </c>
      <c r="S810" s="104" t="str">
        <f t="array" ref="S810">ifna(xlookup(L810,'🙎‍♂️ Pasien'!$G$5:$G1508,'🙎‍♂️ Pasien'!$U$5:$U1508),"")</f>
        <v>JOGING</v>
      </c>
      <c r="T810" s="97" t="s">
        <v>67</v>
      </c>
      <c r="U810" s="105">
        <v>4.0</v>
      </c>
      <c r="V810" s="101" t="s">
        <v>530</v>
      </c>
      <c r="W810" s="106" t="b">
        <v>1</v>
      </c>
      <c r="X810" s="107"/>
      <c r="Y810" s="108"/>
    </row>
    <row r="811" ht="22.5" customHeight="1">
      <c r="A811" s="96"/>
      <c r="B811" s="97" t="s">
        <v>85</v>
      </c>
      <c r="C811" s="98" t="str">
        <f t="array" ref="C811">IFNA(XLOOKUP(J811,'⚙️ Pengaturan'!$H$5:$H1508,'⚙️ Pengaturan'!$I$5:$I1508),"")</f>
        <v>TIM Y</v>
      </c>
      <c r="D811" s="97" t="s">
        <v>86</v>
      </c>
      <c r="E811" s="99">
        <v>45977.0</v>
      </c>
      <c r="F811" s="100" t="str">
        <f t="shared" si="1"/>
        <v>2025</v>
      </c>
      <c r="G811" s="100" t="str">
        <f t="shared" si="2"/>
        <v>11Nov</v>
      </c>
      <c r="H811" s="100" t="str">
        <f t="shared" si="3"/>
        <v>Minggu</v>
      </c>
      <c r="I811" s="97" t="s">
        <v>95</v>
      </c>
      <c r="J811" s="97" t="s">
        <v>88</v>
      </c>
      <c r="K811" s="97" t="s">
        <v>69</v>
      </c>
      <c r="L811" s="101" t="s">
        <v>155</v>
      </c>
      <c r="M811" s="102" t="str">
        <f>IFNA(VLOOKUP(L811,'🙎‍♂️ Pasien'!G:V,2,FALSE),"")</f>
        <v>H5325012017</v>
      </c>
      <c r="N811" s="103">
        <f>IFNA(VLOOKUP(L811,'🙎‍♂️ Pasien'!G:L,3,FALSE),"")</f>
        <v>72</v>
      </c>
      <c r="O811" s="104" t="str">
        <f>IFNA(VLOOKUP(L811,'🙎‍♂️ Pasien'!G:V,6,FALSE),"")</f>
        <v>LAKI-LAKI</v>
      </c>
      <c r="P811" s="104" t="str">
        <f>IFNA(VLOOKUP(L811,'🙎‍♂️ Pasien'!G:V,12,FALSE),"")</f>
        <v>ISLAM</v>
      </c>
      <c r="Q811" s="104" t="str">
        <f>IFNA(VLOOKUP(L811:L1508,'🙎‍♂️ Pasien'!G:V,13,FALSE),"")</f>
        <v>PENSIUN</v>
      </c>
      <c r="R811" s="104" t="str">
        <f t="array" ref="R811">ifna(xlookup(L811,'🙎‍♂️ Pasien'!$G$5:$G1508,'🙎‍♂️ Pasien'!$T$5:$T1508),"")</f>
        <v>Kaki terasa nyeri jika dibawa berdiri lama atau berjalan jauh</v>
      </c>
      <c r="S811" s="104" t="str">
        <f t="array" ref="S811">ifna(xlookup(L811,'🙎‍♂️ Pasien'!$G$5:$G1508,'🙎‍♂️ Pasien'!$U$5:$U1508),"")</f>
        <v>Tidak ada</v>
      </c>
      <c r="T811" s="97" t="s">
        <v>59</v>
      </c>
      <c r="U811" s="105" t="s">
        <v>60</v>
      </c>
      <c r="V811" s="101"/>
      <c r="W811" s="106" t="b">
        <v>1</v>
      </c>
      <c r="X811" s="107"/>
      <c r="Y811" s="108"/>
    </row>
    <row r="812" ht="22.5" customHeight="1">
      <c r="A812" s="96"/>
      <c r="B812" s="97" t="s">
        <v>85</v>
      </c>
      <c r="C812" s="98" t="str">
        <f t="array" ref="C812">IFNA(XLOOKUP(J812,'⚙️ Pengaturan'!$H$5:$H1508,'⚙️ Pengaturan'!$I$5:$I1508),"")</f>
        <v>TIM A</v>
      </c>
      <c r="D812" s="97" t="s">
        <v>86</v>
      </c>
      <c r="E812" s="99">
        <v>45977.0</v>
      </c>
      <c r="F812" s="100" t="str">
        <f t="shared" si="1"/>
        <v>2025</v>
      </c>
      <c r="G812" s="100" t="str">
        <f t="shared" si="2"/>
        <v>11Nov</v>
      </c>
      <c r="H812" s="100" t="str">
        <f t="shared" si="3"/>
        <v>Minggu</v>
      </c>
      <c r="I812" s="97" t="s">
        <v>95</v>
      </c>
      <c r="J812" s="97" t="s">
        <v>62</v>
      </c>
      <c r="K812" s="97" t="s">
        <v>63</v>
      </c>
      <c r="L812" s="101" t="s">
        <v>341</v>
      </c>
      <c r="M812" s="102" t="str">
        <f>IFNA(VLOOKUP(L812,'🙎‍♂️ Pasien'!G:V,2,FALSE),"")</f>
        <v>T7325100015</v>
      </c>
      <c r="N812" s="103">
        <f>IFNA(VLOOKUP(L812,'🙎‍♂️ Pasien'!G:L,3,FALSE),"")</f>
        <v>53</v>
      </c>
      <c r="O812" s="104" t="str">
        <f>IFNA(VLOOKUP(L812,'🙎‍♂️ Pasien'!G:V,6,FALSE),"")</f>
        <v>PEREMPUAN</v>
      </c>
      <c r="P812" s="104" t="str">
        <f>IFNA(VLOOKUP(L812,'🙎‍♂️ Pasien'!G:V,12,FALSE),"")</f>
        <v>ISLAM</v>
      </c>
      <c r="Q812" s="104" t="str">
        <f>IFNA(VLOOKUP(L812:L1508,'🙎‍♂️ Pasien'!G:V,13,FALSE),"")</f>
        <v>PNS</v>
      </c>
      <c r="R812" s="104" t="str">
        <f t="array" ref="R812">ifna(xlookup(L812,'🙎‍♂️ Pasien'!$G$5:$G1508,'🙎‍♂️ Pasien'!$T$5:$T1508),"")</f>
        <v>SAKIT KAKI DAN PINGGANG</v>
      </c>
      <c r="S812" s="104" t="str">
        <f t="array" ref="S812">ifna(xlookup(L812,'🙎‍♂️ Pasien'!$G$5:$G1508,'🙎‍♂️ Pasien'!$U$5:$U1508),"")</f>
        <v>NAIK TURUN TANGGA DAN JONGKOK</v>
      </c>
      <c r="T812" s="97" t="s">
        <v>67</v>
      </c>
      <c r="U812" s="105">
        <v>5.0</v>
      </c>
      <c r="V812" s="101" t="s">
        <v>531</v>
      </c>
      <c r="W812" s="106" t="b">
        <v>1</v>
      </c>
      <c r="X812" s="107"/>
      <c r="Y812" s="108"/>
    </row>
    <row r="813" ht="22.5" customHeight="1">
      <c r="A813" s="96"/>
      <c r="B813" s="97" t="s">
        <v>85</v>
      </c>
      <c r="C813" s="98" t="str">
        <f t="array" ref="C813">IFNA(XLOOKUP(J813,'⚙️ Pengaturan'!$H$5:$H1508,'⚙️ Pengaturan'!$I$5:$I1508),"")</f>
        <v>TIM A</v>
      </c>
      <c r="D813" s="97" t="s">
        <v>86</v>
      </c>
      <c r="E813" s="99">
        <v>45977.0</v>
      </c>
      <c r="F813" s="100" t="str">
        <f t="shared" si="1"/>
        <v>2025</v>
      </c>
      <c r="G813" s="100" t="str">
        <f t="shared" si="2"/>
        <v>11Nov</v>
      </c>
      <c r="H813" s="100" t="str">
        <f t="shared" si="3"/>
        <v>Minggu</v>
      </c>
      <c r="I813" s="97" t="s">
        <v>97</v>
      </c>
      <c r="J813" s="97" t="s">
        <v>62</v>
      </c>
      <c r="K813" s="97" t="s">
        <v>57</v>
      </c>
      <c r="L813" s="101" t="s">
        <v>532</v>
      </c>
      <c r="M813" s="102" t="str">
        <f>IFNA(VLOOKUP(L813,'🙎‍♂️ Pasien'!G:V,2,FALSE),"")</f>
        <v>H1025113976</v>
      </c>
      <c r="N813" s="103">
        <f>IFNA(VLOOKUP(L813,'🙎‍♂️ Pasien'!G:L,3,FALSE),"")</f>
        <v>15</v>
      </c>
      <c r="O813" s="104" t="str">
        <f>IFNA(VLOOKUP(L813,'🙎‍♂️ Pasien'!G:V,6,FALSE),"")</f>
        <v>PEREMPUAN</v>
      </c>
      <c r="P813" s="104" t="str">
        <f>IFNA(VLOOKUP(L813,'🙎‍♂️ Pasien'!G:V,12,FALSE),"")</f>
        <v>ISLAM</v>
      </c>
      <c r="Q813" s="104" t="str">
        <f>IFNA(VLOOKUP(L813:L1508,'🙎‍♂️ Pasien'!G:V,13,FALSE),"")</f>
        <v>PELAJAR</v>
      </c>
      <c r="R813" s="104" t="str">
        <f t="array" ref="R813">ifna(xlookup(L813,'🙎‍♂️ Pasien'!$G$5:$G1508,'🙎‍♂️ Pasien'!$T$5:$T1508),"")</f>
        <v>PERGELANGAN KAKI DAN LUTUS NYERI, KETIKA BANGUN TIDUR SAMPAI PINCANG</v>
      </c>
      <c r="S813" s="104" t="str">
        <f t="array" ref="S813">ifna(xlookup(L813,'🙎‍♂️ Pasien'!$G$5:$G1508,'🙎‍♂️ Pasien'!$U$5:$U1508),"")</f>
        <v>SEKOLAH NAIK TURUN TANGGA</v>
      </c>
      <c r="T813" s="97" t="s">
        <v>59</v>
      </c>
      <c r="U813" s="105" t="s">
        <v>60</v>
      </c>
      <c r="V813" s="101"/>
      <c r="W813" s="106" t="b">
        <v>1</v>
      </c>
      <c r="X813" s="107"/>
      <c r="Y813" s="108"/>
    </row>
    <row r="814" ht="22.5" customHeight="1">
      <c r="A814" s="96"/>
      <c r="B814" s="97" t="s">
        <v>85</v>
      </c>
      <c r="C814" s="98" t="str">
        <f t="array" ref="C814">IFNA(XLOOKUP(J814,'⚙️ Pengaturan'!$H$5:$H1508,'⚙️ Pengaturan'!$I$5:$I1508),"")</f>
        <v>TIM Y</v>
      </c>
      <c r="D814" s="97" t="s">
        <v>86</v>
      </c>
      <c r="E814" s="99">
        <v>45977.0</v>
      </c>
      <c r="F814" s="100" t="str">
        <f t="shared" si="1"/>
        <v>2025</v>
      </c>
      <c r="G814" s="100" t="str">
        <f t="shared" si="2"/>
        <v>11Nov</v>
      </c>
      <c r="H814" s="100" t="str">
        <f t="shared" si="3"/>
        <v>Minggu</v>
      </c>
      <c r="I814" s="97" t="s">
        <v>97</v>
      </c>
      <c r="J814" s="97" t="s">
        <v>88</v>
      </c>
      <c r="K814" s="97" t="s">
        <v>69</v>
      </c>
      <c r="L814" s="101" t="s">
        <v>533</v>
      </c>
      <c r="M814" s="102" t="str">
        <f>IFNA(VLOOKUP(L814,'🙎‍♂️ Pasien'!G:V,2,FALSE),"")</f>
        <v>R9025103337</v>
      </c>
      <c r="N814" s="103">
        <f>IFNA(VLOOKUP(L814,'🙎‍♂️ Pasien'!G:L,3,FALSE),"")</f>
        <v>35</v>
      </c>
      <c r="O814" s="104" t="str">
        <f>IFNA(VLOOKUP(L814,'🙎‍♂️ Pasien'!G:V,6,FALSE),"")</f>
        <v>LAKI-LAKI</v>
      </c>
      <c r="P814" s="104" t="str">
        <f>IFNA(VLOOKUP(L814,'🙎‍♂️ Pasien'!G:V,12,FALSE),"")</f>
        <v>ISLAM</v>
      </c>
      <c r="Q814" s="104" t="str">
        <f>IFNA(VLOOKUP(L814:L1508,'🙎‍♂️ Pasien'!G:V,13,FALSE),"")</f>
        <v>SWASTA</v>
      </c>
      <c r="R814" s="104" t="str">
        <f t="array" ref="R814">ifna(xlookup(L814,'🙎‍♂️ Pasien'!$G$5:$G1508,'🙎‍♂️ Pasien'!$T$5:$T1508),"")</f>
        <v>NYERI LEHER</v>
      </c>
      <c r="S814" s="104" t="str">
        <f t="array" ref="S814">ifna(xlookup(L814,'🙎‍♂️ Pasien'!$G$5:$G1508,'🙎‍♂️ Pasien'!$U$5:$U1508),"")</f>
        <v>BANYAK NUNDUK</v>
      </c>
      <c r="T814" s="97" t="s">
        <v>59</v>
      </c>
      <c r="U814" s="105" t="s">
        <v>60</v>
      </c>
      <c r="V814" s="101"/>
      <c r="W814" s="106" t="b">
        <v>1</v>
      </c>
      <c r="X814" s="107"/>
      <c r="Y814" s="108"/>
    </row>
    <row r="815" ht="22.5" customHeight="1">
      <c r="A815" s="96"/>
      <c r="B815" s="97" t="s">
        <v>53</v>
      </c>
      <c r="C815" s="98" t="str">
        <f t="array" ref="C815">IFNA(XLOOKUP(J815,'⚙️ Pengaturan'!$H$5:$H1508,'⚙️ Pengaturan'!$I$5:$I1508),"")</f>
        <v>TIM Y</v>
      </c>
      <c r="D815" s="97" t="s">
        <v>54</v>
      </c>
      <c r="E815" s="99">
        <v>45978.0</v>
      </c>
      <c r="F815" s="100" t="str">
        <f t="shared" si="1"/>
        <v>2025</v>
      </c>
      <c r="G815" s="100" t="str">
        <f t="shared" si="2"/>
        <v>11Nov</v>
      </c>
      <c r="H815" s="100" t="str">
        <f t="shared" si="3"/>
        <v>Senin</v>
      </c>
      <c r="I815" s="97" t="s">
        <v>55</v>
      </c>
      <c r="J815" s="97" t="s">
        <v>91</v>
      </c>
      <c r="K815" s="97" t="s">
        <v>63</v>
      </c>
      <c r="L815" s="101" t="s">
        <v>407</v>
      </c>
      <c r="M815" s="102" t="str">
        <f>IFNA(VLOOKUP(L815,'🙎‍♂️ Pasien'!G:V,2,FALSE),"")</f>
        <v>D8225100100</v>
      </c>
      <c r="N815" s="103">
        <f>IFNA(VLOOKUP(L815,'🙎‍♂️ Pasien'!G:L,3,FALSE),"")</f>
        <v>43</v>
      </c>
      <c r="O815" s="104" t="str">
        <f>IFNA(VLOOKUP(L815,'🙎‍♂️ Pasien'!G:V,6,FALSE),"")</f>
        <v>PEREMPUAN</v>
      </c>
      <c r="P815" s="104" t="str">
        <f>IFNA(VLOOKUP(L815,'🙎‍♂️ Pasien'!G:V,12,FALSE),"")</f>
        <v>KATOLIK</v>
      </c>
      <c r="Q815" s="104" t="str">
        <f>IFNA(VLOOKUP(L815:L1508,'🙎‍♂️ Pasien'!G:V,13,FALSE),"")</f>
        <v>IBU RUMAH TANGGA</v>
      </c>
      <c r="R815" s="104" t="str">
        <f t="array" ref="R815">ifna(xlookup(L815,'🙎‍♂️ Pasien'!$G$5:$G1508,'🙎‍♂️ Pasien'!$T$5:$T1508),"")</f>
        <v>SAKIT DI BAHU DAN LENGAN SEBELAH KIRI</v>
      </c>
      <c r="S815" s="104" t="str">
        <f t="array" ref="S815">ifna(xlookup(L815,'🙎‍♂️ Pasien'!$G$5:$G1508,'🙎‍♂️ Pasien'!$U$5:$U1508),"")</f>
        <v>SERING MEMEGANG HAPE DALAM POSISI TIDUR</v>
      </c>
      <c r="T815" s="97" t="s">
        <v>67</v>
      </c>
      <c r="U815" s="105">
        <v>3.0</v>
      </c>
      <c r="V815" s="101" t="s">
        <v>483</v>
      </c>
      <c r="W815" s="106" t="b">
        <v>1</v>
      </c>
      <c r="X815" s="107"/>
      <c r="Y815" s="108"/>
    </row>
    <row r="816" ht="22.5" customHeight="1">
      <c r="A816" s="96"/>
      <c r="B816" s="97" t="s">
        <v>53</v>
      </c>
      <c r="C816" s="98" t="str">
        <f t="array" ref="C816">IFNA(XLOOKUP(J816,'⚙️ Pengaturan'!$H$5:$H1508,'⚙️ Pengaturan'!$I$5:$I1508),"")</f>
        <v>MANAJEMEN</v>
      </c>
      <c r="D816" s="97" t="s">
        <v>54</v>
      </c>
      <c r="E816" s="99">
        <v>45978.0</v>
      </c>
      <c r="F816" s="100" t="str">
        <f t="shared" si="1"/>
        <v>2025</v>
      </c>
      <c r="G816" s="100" t="str">
        <f t="shared" si="2"/>
        <v>11Nov</v>
      </c>
      <c r="H816" s="100" t="str">
        <f t="shared" si="3"/>
        <v>Senin</v>
      </c>
      <c r="I816" s="97" t="s">
        <v>55</v>
      </c>
      <c r="J816" s="97" t="s">
        <v>101</v>
      </c>
      <c r="K816" s="97" t="s">
        <v>57</v>
      </c>
      <c r="L816" s="101" t="s">
        <v>534</v>
      </c>
      <c r="M816" s="102" t="str">
        <f>IFNA(VLOOKUP(L816,'🙎‍♂️ Pasien'!G:V,2,FALSE),"")</f>
        <v>R6925118000</v>
      </c>
      <c r="N816" s="103">
        <f>IFNA(VLOOKUP(L816,'🙎‍♂️ Pasien'!G:L,3,FALSE),"")</f>
        <v>57</v>
      </c>
      <c r="O816" s="104" t="str">
        <f>IFNA(VLOOKUP(L816,'🙎‍♂️ Pasien'!G:V,6,FALSE),"")</f>
        <v>PEREMPUAN</v>
      </c>
      <c r="P816" s="104" t="str">
        <f>IFNA(VLOOKUP(L816,'🙎‍♂️ Pasien'!G:V,12,FALSE),"")</f>
        <v>KATOLIK</v>
      </c>
      <c r="Q816" s="104" t="str">
        <f>IFNA(VLOOKUP(L816:L1508,'🙎‍♂️ Pasien'!G:V,13,FALSE),"")</f>
        <v>RUMAH TANGGA</v>
      </c>
      <c r="R816" s="104" t="str">
        <f t="array" ref="R816">ifna(xlookup(L816,'🙎‍♂️ Pasien'!$G$5:$G1508,'🙎‍♂️ Pasien'!$T$5:$T1508),"")</f>
        <v>KAKI SAKIT</v>
      </c>
      <c r="S816" s="104" t="str">
        <f t="array" ref="S816">ifna(xlookup(L816,'🙎‍♂️ Pasien'!$G$5:$G1508,'🙎‍♂️ Pasien'!$U$5:$U1508),"")</f>
        <v>-</v>
      </c>
      <c r="T816" s="97" t="s">
        <v>59</v>
      </c>
      <c r="U816" s="105" t="s">
        <v>60</v>
      </c>
      <c r="V816" s="101"/>
      <c r="W816" s="106" t="b">
        <v>1</v>
      </c>
      <c r="X816" s="107"/>
      <c r="Y816" s="108"/>
    </row>
    <row r="817" ht="22.5" customHeight="1">
      <c r="A817" s="96"/>
      <c r="B817" s="97" t="s">
        <v>53</v>
      </c>
      <c r="C817" s="98" t="str">
        <f t="array" ref="C817">IFNA(XLOOKUP(J817,'⚙️ Pengaturan'!$H$5:$H1508,'⚙️ Pengaturan'!$I$5:$I1508),"")</f>
        <v>TIM Y</v>
      </c>
      <c r="D817" s="97" t="s">
        <v>54</v>
      </c>
      <c r="E817" s="99">
        <v>45978.0</v>
      </c>
      <c r="F817" s="100" t="str">
        <f t="shared" si="1"/>
        <v>2025</v>
      </c>
      <c r="G817" s="100" t="str">
        <f t="shared" si="2"/>
        <v>11Nov</v>
      </c>
      <c r="H817" s="100" t="str">
        <f t="shared" si="3"/>
        <v>Senin</v>
      </c>
      <c r="I817" s="97" t="s">
        <v>55</v>
      </c>
      <c r="J817" s="97" t="s">
        <v>107</v>
      </c>
      <c r="K817" s="97" t="s">
        <v>63</v>
      </c>
      <c r="L817" s="101" t="s">
        <v>408</v>
      </c>
      <c r="M817" s="102" t="str">
        <f>IFNA(VLOOKUP(L817,'🙎‍♂️ Pasien'!G:V,2,FALSE),"")</f>
        <v>Y6225086451</v>
      </c>
      <c r="N817" s="103">
        <f>IFNA(VLOOKUP(L817,'🙎‍♂️ Pasien'!G:L,3,FALSE),"")</f>
        <v>64</v>
      </c>
      <c r="O817" s="104" t="str">
        <f>IFNA(VLOOKUP(L817,'🙎‍♂️ Pasien'!G:V,6,FALSE),"")</f>
        <v>PEREMPUAN</v>
      </c>
      <c r="P817" s="104" t="str">
        <f>IFNA(VLOOKUP(L817,'🙎‍♂️ Pasien'!G:V,12,FALSE),"")</f>
        <v>ISLAM</v>
      </c>
      <c r="Q817" s="104" t="str">
        <f>IFNA(VLOOKUP(L817:L1508,'🙎‍♂️ Pasien'!G:V,13,FALSE),"")</f>
        <v>IBU RUMAH TANGGA</v>
      </c>
      <c r="R817" s="104" t="str">
        <f t="array" ref="R817">ifna(xlookup(L817,'🙎‍♂️ Pasien'!$G$5:$G1508,'🙎‍♂️ Pasien'!$T$5:$T1508),"")</f>
        <v>LUTUT KANAN</v>
      </c>
      <c r="S817" s="104" t="str">
        <f t="array" ref="S817">ifna(xlookup(L817,'🙎‍♂️ Pasien'!$G$5:$G1508,'🙎‍♂️ Pasien'!$U$5:$U1508),"")</f>
        <v>TIDAK ADA</v>
      </c>
      <c r="T817" s="97" t="s">
        <v>59</v>
      </c>
      <c r="U817" s="105">
        <v>7.0</v>
      </c>
      <c r="V817" s="101"/>
      <c r="W817" s="106" t="b">
        <v>1</v>
      </c>
      <c r="X817" s="107"/>
      <c r="Y817" s="108"/>
    </row>
    <row r="818" ht="22.5" customHeight="1">
      <c r="A818" s="96"/>
      <c r="B818" s="97" t="s">
        <v>53</v>
      </c>
      <c r="C818" s="98" t="str">
        <f t="array" ref="C818">IFNA(XLOOKUP(J818,'⚙️ Pengaturan'!$H$5:$H1508,'⚙️ Pengaturan'!$I$5:$I1508),"")</f>
        <v>TIM Y</v>
      </c>
      <c r="D818" s="97" t="s">
        <v>54</v>
      </c>
      <c r="E818" s="99">
        <v>45978.0</v>
      </c>
      <c r="F818" s="100" t="str">
        <f t="shared" si="1"/>
        <v>2025</v>
      </c>
      <c r="G818" s="100" t="str">
        <f t="shared" si="2"/>
        <v>11Nov</v>
      </c>
      <c r="H818" s="100" t="str">
        <f t="shared" si="3"/>
        <v>Senin</v>
      </c>
      <c r="I818" s="97" t="s">
        <v>65</v>
      </c>
      <c r="J818" s="97" t="s">
        <v>91</v>
      </c>
      <c r="K818" s="97" t="s">
        <v>63</v>
      </c>
      <c r="L818" s="101" t="s">
        <v>501</v>
      </c>
      <c r="M818" s="102" t="str">
        <f>IFNA(VLOOKUP(L818,'🙎‍♂️ Pasien'!G:V,2,FALSE),"")</f>
        <v>C9025117272</v>
      </c>
      <c r="N818" s="103">
        <f>IFNA(VLOOKUP(L818,'🙎‍♂️ Pasien'!G:L,3,FALSE),"")</f>
        <v>35</v>
      </c>
      <c r="O818" s="104" t="str">
        <f>IFNA(VLOOKUP(L818,'🙎‍♂️ Pasien'!G:V,6,FALSE),"")</f>
        <v>PEREMPUAN</v>
      </c>
      <c r="P818" s="104" t="str">
        <f>IFNA(VLOOKUP(L818,'🙎‍♂️ Pasien'!G:V,12,FALSE),"")</f>
        <v>PROTESTAN</v>
      </c>
      <c r="Q818" s="104" t="str">
        <f>IFNA(VLOOKUP(L818:L1508,'🙎‍♂️ Pasien'!G:V,13,FALSE),"")</f>
        <v>IBU RUMAH TANGGA</v>
      </c>
      <c r="R818" s="104" t="str">
        <f t="array" ref="R818">ifna(xlookup(L818,'🙎‍♂️ Pasien'!$G$5:$G1508,'🙎‍♂️ Pasien'!$T$5:$T1508),"")</f>
        <v>SENDI LUTUT BERGESER</v>
      </c>
      <c r="S818" s="104" t="str">
        <f t="array" ref="S818">ifna(xlookup(L818,'🙎‍♂️ Pasien'!$G$5:$G1508,'🙎‍♂️ Pasien'!$U$5:$U1508),"")</f>
        <v>JATUH KEPELESET</v>
      </c>
      <c r="T818" s="97" t="s">
        <v>59</v>
      </c>
      <c r="U818" s="105">
        <v>2.0</v>
      </c>
      <c r="V818" s="101"/>
      <c r="W818" s="106" t="b">
        <v>1</v>
      </c>
      <c r="X818" s="107"/>
      <c r="Y818" s="108"/>
    </row>
    <row r="819" ht="22.5" customHeight="1">
      <c r="A819" s="96"/>
      <c r="B819" s="97" t="s">
        <v>53</v>
      </c>
      <c r="C819" s="98" t="str">
        <f t="array" ref="C819">IFNA(XLOOKUP(J819,'⚙️ Pengaturan'!$H$5:$H1508,'⚙️ Pengaturan'!$I$5:$I1508),"")</f>
        <v>TIM Y</v>
      </c>
      <c r="D819" s="97" t="s">
        <v>54</v>
      </c>
      <c r="E819" s="99">
        <v>45978.0</v>
      </c>
      <c r="F819" s="100" t="str">
        <f t="shared" si="1"/>
        <v>2025</v>
      </c>
      <c r="G819" s="100" t="str">
        <f t="shared" si="2"/>
        <v>11Nov</v>
      </c>
      <c r="H819" s="100" t="str">
        <f t="shared" si="3"/>
        <v>Senin</v>
      </c>
      <c r="I819" s="97" t="s">
        <v>74</v>
      </c>
      <c r="J819" s="97" t="s">
        <v>56</v>
      </c>
      <c r="K819" s="97" t="s">
        <v>63</v>
      </c>
      <c r="L819" s="101" t="s">
        <v>302</v>
      </c>
      <c r="M819" s="102" t="str">
        <f>IFNA(VLOOKUP(L819,'🙎‍♂️ Pasien'!G:V,2,FALSE),"")</f>
        <v>A9425105994</v>
      </c>
      <c r="N819" s="103">
        <f>IFNA(VLOOKUP(L819,'🙎‍♂️ Pasien'!G:L,3,FALSE),"")</f>
        <v>32</v>
      </c>
      <c r="O819" s="104" t="str">
        <f>IFNA(VLOOKUP(L819,'🙎‍♂️ Pasien'!G:V,6,FALSE),"")</f>
        <v>LAKI-LAKI</v>
      </c>
      <c r="P819" s="104" t="str">
        <f>IFNA(VLOOKUP(L819,'🙎‍♂️ Pasien'!G:V,12,FALSE),"")</f>
        <v>ISLAM</v>
      </c>
      <c r="Q819" s="104" t="str">
        <f>IFNA(VLOOKUP(L819:L1508,'🙎‍♂️ Pasien'!G:V,13,FALSE),"")</f>
        <v>KARYAWAN SWASTA</v>
      </c>
      <c r="R819" s="104" t="str">
        <f t="array" ref="R819">ifna(xlookup(L819,'🙎‍♂️ Pasien'!$G$5:$G1508,'🙎‍♂️ Pasien'!$T$5:$T1508),"")</f>
        <v>LUTUT</v>
      </c>
      <c r="S819" s="104" t="str">
        <f t="array" ref="S819">ifna(xlookup(L819,'🙎‍♂️ Pasien'!$G$5:$G1508,'🙎‍♂️ Pasien'!$U$5:$U1508),"")</f>
        <v>OLAGRAGA</v>
      </c>
      <c r="T819" s="97" t="s">
        <v>59</v>
      </c>
      <c r="U819" s="105">
        <v>3.0</v>
      </c>
      <c r="V819" s="101"/>
      <c r="W819" s="106" t="b">
        <v>1</v>
      </c>
      <c r="X819" s="107"/>
      <c r="Y819" s="108"/>
    </row>
    <row r="820" ht="22.5" customHeight="1">
      <c r="A820" s="96"/>
      <c r="B820" s="97" t="s">
        <v>53</v>
      </c>
      <c r="C820" s="98" t="str">
        <f t="array" ref="C820">IFNA(XLOOKUP(J820,'⚙️ Pengaturan'!$H$5:$H1508,'⚙️ Pengaturan'!$I$5:$I1508),"")</f>
        <v>TIM Y</v>
      </c>
      <c r="D820" s="97" t="s">
        <v>54</v>
      </c>
      <c r="E820" s="99">
        <v>45978.0</v>
      </c>
      <c r="F820" s="100" t="str">
        <f t="shared" si="1"/>
        <v>2025</v>
      </c>
      <c r="G820" s="100" t="str">
        <f t="shared" si="2"/>
        <v>11Nov</v>
      </c>
      <c r="H820" s="100" t="str">
        <f t="shared" si="3"/>
        <v>Senin</v>
      </c>
      <c r="I820" s="97" t="s">
        <v>76</v>
      </c>
      <c r="J820" s="97" t="s">
        <v>107</v>
      </c>
      <c r="K820" s="97" t="s">
        <v>63</v>
      </c>
      <c r="L820" s="101" t="s">
        <v>435</v>
      </c>
      <c r="M820" s="102" t="str">
        <f>IFNA(VLOOKUP(L820,'🙎‍♂️ Pasien'!G:V,2,FALSE),"")</f>
        <v>L6524043399</v>
      </c>
      <c r="N820" s="103">
        <f>IFNA(VLOOKUP(L820,'🙎‍♂️ Pasien'!G:L,3,FALSE),"")</f>
        <v>60</v>
      </c>
      <c r="O820" s="104" t="str">
        <f>IFNA(VLOOKUP(L820,'🙎‍♂️ Pasien'!G:V,6,FALSE),"")</f>
        <v>PEREMPUAN</v>
      </c>
      <c r="P820" s="104" t="str">
        <f>IFNA(VLOOKUP(L820,'🙎‍♂️ Pasien'!G:V,12,FALSE),"")</f>
        <v>ISLAM</v>
      </c>
      <c r="Q820" s="104" t="str">
        <f>IFNA(VLOOKUP(L820:L1508,'🙎‍♂️ Pasien'!G:V,13,FALSE),"")</f>
        <v>RUMAH TANGGA</v>
      </c>
      <c r="R820" s="104" t="str">
        <f t="array" ref="R820">ifna(xlookup(L820,'🙎‍♂️ Pasien'!$G$5:$G1508,'🙎‍♂️ Pasien'!$T$5:$T1508),"")</f>
        <v>Sakit dibagian</v>
      </c>
      <c r="S820" s="104" t="str">
        <f t="array" ref="S820">ifna(xlookup(L820,'🙎‍♂️ Pasien'!$G$5:$G1508,'🙎‍♂️ Pasien'!$U$5:$U1508),"")</f>
        <v>Olahraga</v>
      </c>
      <c r="T820" s="97" t="s">
        <v>59</v>
      </c>
      <c r="U820" s="105">
        <v>4.0</v>
      </c>
      <c r="V820" s="101"/>
      <c r="W820" s="106" t="b">
        <v>1</v>
      </c>
      <c r="X820" s="107"/>
      <c r="Y820" s="108"/>
    </row>
    <row r="821" ht="22.5" customHeight="1">
      <c r="A821" s="96"/>
      <c r="B821" s="97" t="s">
        <v>53</v>
      </c>
      <c r="C821" s="98" t="str">
        <f t="array" ref="C821">IFNA(XLOOKUP(J821,'⚙️ Pengaturan'!$H$5:$H1508,'⚙️ Pengaturan'!$I$5:$I1508),"")</f>
        <v>TIM Y</v>
      </c>
      <c r="D821" s="97" t="s">
        <v>54</v>
      </c>
      <c r="E821" s="99">
        <v>45978.0</v>
      </c>
      <c r="F821" s="100" t="str">
        <f t="shared" si="1"/>
        <v>2025</v>
      </c>
      <c r="G821" s="100" t="str">
        <f t="shared" si="2"/>
        <v>11Nov</v>
      </c>
      <c r="H821" s="100" t="str">
        <f t="shared" si="3"/>
        <v>Senin</v>
      </c>
      <c r="I821" s="97" t="s">
        <v>83</v>
      </c>
      <c r="J821" s="97" t="s">
        <v>107</v>
      </c>
      <c r="K821" s="97" t="s">
        <v>63</v>
      </c>
      <c r="L821" s="101" t="s">
        <v>477</v>
      </c>
      <c r="M821" s="102" t="str">
        <f>IFNA(VLOOKUP(L821,'🙎‍♂️ Pasien'!G:V,2,FALSE),"")</f>
        <v>F2525111598</v>
      </c>
      <c r="N821" s="103">
        <f>IFNA(VLOOKUP(L821,'🙎‍♂️ Pasien'!G:L,3,FALSE),"")</f>
        <v>0</v>
      </c>
      <c r="O821" s="104" t="str">
        <f>IFNA(VLOOKUP(L821,'🙎‍♂️ Pasien'!G:V,6,FALSE),"")</f>
        <v>PEREMPUAN</v>
      </c>
      <c r="P821" s="104" t="str">
        <f>IFNA(VLOOKUP(L821,'🙎‍♂️ Pasien'!G:V,12,FALSE),"")</f>
        <v>KATOLIK</v>
      </c>
      <c r="Q821" s="104" t="str">
        <f>IFNA(VLOOKUP(L821:L1508,'🙎‍♂️ Pasien'!G:V,13,FALSE),"")</f>
        <v>SWASTA</v>
      </c>
      <c r="R821" s="104" t="str">
        <f t="array" ref="R821">ifna(xlookup(L821,'🙎‍♂️ Pasien'!$G$5:$G1508,'🙎‍♂️ Pasien'!$T$5:$T1508),"")</f>
        <v>TANGAN SAKIT SEBELAH KANAN..</v>
      </c>
      <c r="S821" s="104" t="str">
        <f t="array" ref="S821">ifna(xlookup(L821,'🙎‍♂️ Pasien'!$G$5:$G1508,'🙎‍♂️ Pasien'!$U$5:$U1508),"")</f>
        <v>HABIS NGEJIM</v>
      </c>
      <c r="T821" s="97" t="s">
        <v>59</v>
      </c>
      <c r="U821" s="105">
        <v>3.0</v>
      </c>
      <c r="V821" s="101"/>
      <c r="W821" s="106" t="b">
        <v>1</v>
      </c>
      <c r="X821" s="107"/>
      <c r="Y821" s="108"/>
    </row>
    <row r="822" ht="22.5" customHeight="1">
      <c r="A822" s="96"/>
      <c r="B822" s="97" t="s">
        <v>85</v>
      </c>
      <c r="C822" s="98" t="str">
        <f t="array" ref="C822">IFNA(XLOOKUP(J822,'⚙️ Pengaturan'!$H$5:$H1508,'⚙️ Pengaturan'!$I$5:$I1508),"")</f>
        <v>TIM Y</v>
      </c>
      <c r="D822" s="97" t="s">
        <v>86</v>
      </c>
      <c r="E822" s="99">
        <v>45978.0</v>
      </c>
      <c r="F822" s="100" t="str">
        <f t="shared" si="1"/>
        <v>2025</v>
      </c>
      <c r="G822" s="100" t="str">
        <f t="shared" si="2"/>
        <v>11Nov</v>
      </c>
      <c r="H822" s="100" t="str">
        <f t="shared" si="3"/>
        <v>Senin</v>
      </c>
      <c r="I822" s="97" t="s">
        <v>87</v>
      </c>
      <c r="J822" s="97" t="s">
        <v>88</v>
      </c>
      <c r="K822" s="97" t="s">
        <v>63</v>
      </c>
      <c r="L822" s="101" t="s">
        <v>386</v>
      </c>
      <c r="M822" s="102" t="str">
        <f>IFNA(VLOOKUP(L822,'🙎‍♂️ Pasien'!G:V,2,FALSE),"")</f>
        <v>B7325109155</v>
      </c>
      <c r="N822" s="103">
        <f>IFNA(VLOOKUP(L822,'🙎‍♂️ Pasien'!G:L,3,FALSE),"")</f>
        <v>53</v>
      </c>
      <c r="O822" s="104" t="str">
        <f>IFNA(VLOOKUP(L822,'🙎‍♂️ Pasien'!G:V,6,FALSE),"")</f>
        <v>LAKI-LAKI</v>
      </c>
      <c r="P822" s="104" t="str">
        <f>IFNA(VLOOKUP(L822,'🙎‍♂️ Pasien'!G:V,12,FALSE),"")</f>
        <v>ISLAM</v>
      </c>
      <c r="Q822" s="104" t="str">
        <f>IFNA(VLOOKUP(L822:L1508,'🙎‍♂️ Pasien'!G:V,13,FALSE),"")</f>
        <v>WIRASUASTA</v>
      </c>
      <c r="R822" s="104" t="str">
        <f t="array" ref="R822">ifna(xlookup(L822,'🙎‍♂️ Pasien'!$G$5:$G1508,'🙎‍♂️ Pasien'!$T$5:$T1508),"")</f>
        <v>NYERI LUTUT</v>
      </c>
      <c r="S822" s="104" t="str">
        <f t="array" ref="S822">ifna(xlookup(L822,'🙎‍♂️ Pasien'!$G$5:$G1508,'🙎‍♂️ Pasien'!$U$5:$U1508),"")</f>
        <v>BADMINTON</v>
      </c>
      <c r="T822" s="97" t="s">
        <v>59</v>
      </c>
      <c r="U822" s="105">
        <v>4.0</v>
      </c>
      <c r="V822" s="101"/>
      <c r="W822" s="106" t="b">
        <v>1</v>
      </c>
      <c r="X822" s="107"/>
      <c r="Y822" s="108"/>
    </row>
    <row r="823" ht="22.5" customHeight="1">
      <c r="A823" s="96"/>
      <c r="B823" s="97" t="s">
        <v>85</v>
      </c>
      <c r="C823" s="98" t="str">
        <f t="array" ref="C823">IFNA(XLOOKUP(J823,'⚙️ Pengaturan'!$H$5:$H1508,'⚙️ Pengaturan'!$I$5:$I1508),"")</f>
        <v>TIM A</v>
      </c>
      <c r="D823" s="97" t="s">
        <v>86</v>
      </c>
      <c r="E823" s="99">
        <v>45978.0</v>
      </c>
      <c r="F823" s="100" t="str">
        <f t="shared" si="1"/>
        <v>2025</v>
      </c>
      <c r="G823" s="100" t="str">
        <f t="shared" si="2"/>
        <v>11Nov</v>
      </c>
      <c r="H823" s="100" t="str">
        <f t="shared" si="3"/>
        <v>Senin</v>
      </c>
      <c r="I823" s="97" t="s">
        <v>87</v>
      </c>
      <c r="J823" s="97" t="s">
        <v>62</v>
      </c>
      <c r="K823" s="97" t="s">
        <v>57</v>
      </c>
      <c r="L823" s="101" t="s">
        <v>535</v>
      </c>
      <c r="M823" s="102" t="str">
        <f>IFNA(VLOOKUP(L823,'🙎‍♂️ Pasien'!G:V,2,FALSE),"")</f>
        <v>N6225110960</v>
      </c>
      <c r="N823" s="103">
        <f>IFNA(VLOOKUP(L823,'🙎‍♂️ Pasien'!G:L,3,FALSE),"")</f>
        <v>64</v>
      </c>
      <c r="O823" s="104" t="str">
        <f>IFNA(VLOOKUP(L823,'🙎‍♂️ Pasien'!G:V,6,FALSE),"")</f>
        <v>PEREMPUAN</v>
      </c>
      <c r="P823" s="104" t="str">
        <f>IFNA(VLOOKUP(L823,'🙎‍♂️ Pasien'!G:V,12,FALSE),"")</f>
        <v>ISLAM</v>
      </c>
      <c r="Q823" s="104" t="str">
        <f>IFNA(VLOOKUP(L823:L1508,'🙎‍♂️ Pasien'!G:V,13,FALSE),"")</f>
        <v>PENSIUNAN PNS</v>
      </c>
      <c r="R823" s="104" t="str">
        <f t="array" ref="R823">ifna(xlookup(L823,'🙎‍♂️ Pasien'!$G$5:$G1508,'🙎‍♂️ Pasien'!$T$5:$T1508),"")</f>
        <v>NYERI PADA BETIS KIRI DAN SUSAH SAAT BERJALAN</v>
      </c>
      <c r="S823" s="104" t="str">
        <f t="array" ref="S823">ifna(xlookup(L823,'🙎‍♂️ Pasien'!$G$5:$G1508,'🙎‍♂️ Pasien'!$U$5:$U1508),"")</f>
        <v>2 HARI SEBELUMNYA BERKEMAS RUMAH, NGEPEL, ANGKAT LEMARI, DOMINAN AKTIVITAS BERTUMPU DI KAKI KIRI KARENA KAKI KANAN PERNAH MENGALAMI KELEMAHAN AKIBAR STROKE TAHUN 2021</v>
      </c>
      <c r="T823" s="97" t="s">
        <v>59</v>
      </c>
      <c r="U823" s="105" t="s">
        <v>60</v>
      </c>
      <c r="V823" s="101"/>
      <c r="W823" s="106" t="b">
        <v>1</v>
      </c>
      <c r="X823" s="107"/>
      <c r="Y823" s="108"/>
    </row>
    <row r="824" ht="22.5" customHeight="1">
      <c r="A824" s="96"/>
      <c r="B824" s="97" t="s">
        <v>85</v>
      </c>
      <c r="C824" s="98" t="str">
        <f t="array" ref="C824">IFNA(XLOOKUP(J824,'⚙️ Pengaturan'!$H$5:$H1508,'⚙️ Pengaturan'!$I$5:$I1508),"")</f>
        <v>TIM Y</v>
      </c>
      <c r="D824" s="97" t="s">
        <v>86</v>
      </c>
      <c r="E824" s="99">
        <v>45978.0</v>
      </c>
      <c r="F824" s="100" t="str">
        <f t="shared" si="1"/>
        <v>2025</v>
      </c>
      <c r="G824" s="100" t="str">
        <f t="shared" si="2"/>
        <v>11Nov</v>
      </c>
      <c r="H824" s="100" t="str">
        <f t="shared" si="3"/>
        <v>Senin</v>
      </c>
      <c r="I824" s="97" t="s">
        <v>93</v>
      </c>
      <c r="J824" s="97" t="s">
        <v>88</v>
      </c>
      <c r="K824" s="97" t="s">
        <v>57</v>
      </c>
      <c r="L824" s="101" t="s">
        <v>536</v>
      </c>
      <c r="M824" s="102" t="str">
        <f>IFNA(VLOOKUP(L824,'🙎‍♂️ Pasien'!G:V,2,FALSE),"")</f>
        <v>A7025110923</v>
      </c>
      <c r="N824" s="103">
        <f>IFNA(VLOOKUP(L824,'🙎‍♂️ Pasien'!G:L,3,FALSE),"")</f>
        <v>55</v>
      </c>
      <c r="O824" s="104" t="str">
        <f>IFNA(VLOOKUP(L824,'🙎‍♂️ Pasien'!G:V,6,FALSE),"")</f>
        <v>LAKI-LAKI</v>
      </c>
      <c r="P824" s="104" t="str">
        <f>IFNA(VLOOKUP(L824,'🙎‍♂️ Pasien'!G:V,12,FALSE),"")</f>
        <v>ISLAM</v>
      </c>
      <c r="Q824" s="104" t="str">
        <f>IFNA(VLOOKUP(L824:L1508,'🙎‍♂️ Pasien'!G:V,13,FALSE),"")</f>
        <v>WIRASWASTA</v>
      </c>
      <c r="R824" s="104" t="str">
        <f t="array" ref="R824">ifna(xlookup(L824,'🙎‍♂️ Pasien'!$G$5:$G1508,'🙎‍♂️ Pasien'!$T$5:$T1508),"")</f>
        <v>ENGSEL LUTUT SAKIT</v>
      </c>
      <c r="S824" s="104" t="str">
        <f t="array" ref="S824">ifna(xlookup(L824,'🙎‍♂️ Pasien'!$G$5:$G1508,'🙎‍♂️ Pasien'!$U$5:$U1508),"")</f>
        <v>TIDAK ADA</v>
      </c>
      <c r="T824" s="97" t="s">
        <v>59</v>
      </c>
      <c r="U824" s="105" t="s">
        <v>60</v>
      </c>
      <c r="V824" s="101"/>
      <c r="W824" s="106" t="b">
        <v>1</v>
      </c>
      <c r="X824" s="107"/>
      <c r="Y824" s="108"/>
    </row>
    <row r="825" ht="22.5" customHeight="1">
      <c r="A825" s="96"/>
      <c r="B825" s="97" t="s">
        <v>85</v>
      </c>
      <c r="C825" s="98" t="str">
        <f t="array" ref="C825">IFNA(XLOOKUP(J825,'⚙️ Pengaturan'!$H$5:$H1508,'⚙️ Pengaturan'!$I$5:$I1508),"")</f>
        <v>TIM A</v>
      </c>
      <c r="D825" s="97" t="s">
        <v>86</v>
      </c>
      <c r="E825" s="99">
        <v>45978.0</v>
      </c>
      <c r="F825" s="100" t="str">
        <f t="shared" si="1"/>
        <v>2025</v>
      </c>
      <c r="G825" s="100" t="str">
        <f t="shared" si="2"/>
        <v>11Nov</v>
      </c>
      <c r="H825" s="100" t="str">
        <f t="shared" si="3"/>
        <v>Senin</v>
      </c>
      <c r="I825" s="97" t="s">
        <v>93</v>
      </c>
      <c r="J825" s="97" t="s">
        <v>62</v>
      </c>
      <c r="K825" s="97" t="s">
        <v>63</v>
      </c>
      <c r="L825" s="101" t="s">
        <v>444</v>
      </c>
      <c r="M825" s="102" t="str">
        <f>IFNA(VLOOKUP(L825,'🙎‍♂️ Pasien'!G:V,2,FALSE),"")</f>
        <v>N8525112090</v>
      </c>
      <c r="N825" s="103">
        <f>IFNA(VLOOKUP(L825,'🙎‍♂️ Pasien'!G:L,3,FALSE),"")</f>
        <v>40</v>
      </c>
      <c r="O825" s="104" t="str">
        <f>IFNA(VLOOKUP(L825,'🙎‍♂️ Pasien'!G:V,6,FALSE),"")</f>
        <v>PEREMPUAN</v>
      </c>
      <c r="P825" s="104" t="str">
        <f>IFNA(VLOOKUP(L825,'🙎‍♂️ Pasien'!G:V,12,FALSE),"")</f>
        <v>ISLAM</v>
      </c>
      <c r="Q825" s="104" t="str">
        <f>IFNA(VLOOKUP(L825:L1508,'🙎‍♂️ Pasien'!G:V,13,FALSE),"")</f>
        <v>PNS</v>
      </c>
      <c r="R825" s="104" t="str">
        <f t="array" ref="R825">ifna(xlookup(L825,'🙎‍♂️ Pasien'!$G$5:$G1508,'🙎‍♂️ Pasien'!$T$5:$T1508),"")</f>
        <v>SAKIT DI TULANG EKOR</v>
      </c>
      <c r="S825" s="104" t="str">
        <f t="array" ref="S825">ifna(xlookup(L825,'🙎‍♂️ Pasien'!$G$5:$G1508,'🙎‍♂️ Pasien'!$U$5:$U1508),"")</f>
        <v>JOGING</v>
      </c>
      <c r="T825" s="97" t="s">
        <v>59</v>
      </c>
      <c r="U825" s="105">
        <v>4.0</v>
      </c>
      <c r="V825" s="101"/>
      <c r="W825" s="106" t="b">
        <v>1</v>
      </c>
      <c r="X825" s="107"/>
      <c r="Y825" s="108"/>
    </row>
    <row r="826" ht="22.5" customHeight="1">
      <c r="A826" s="96"/>
      <c r="B826" s="97" t="s">
        <v>85</v>
      </c>
      <c r="C826" s="98" t="str">
        <f t="array" ref="C826">IFNA(XLOOKUP(J826,'⚙️ Pengaturan'!$H$5:$H1508,'⚙️ Pengaturan'!$I$5:$I1508),"")</f>
        <v>TIM A</v>
      </c>
      <c r="D826" s="97" t="s">
        <v>86</v>
      </c>
      <c r="E826" s="99">
        <v>45978.0</v>
      </c>
      <c r="F826" s="100" t="str">
        <f t="shared" si="1"/>
        <v>2025</v>
      </c>
      <c r="G826" s="100" t="str">
        <f t="shared" si="2"/>
        <v>11Nov</v>
      </c>
      <c r="H826" s="100" t="str">
        <f t="shared" si="3"/>
        <v>Senin</v>
      </c>
      <c r="I826" s="97" t="s">
        <v>95</v>
      </c>
      <c r="J826" s="97" t="s">
        <v>62</v>
      </c>
      <c r="K826" s="97" t="s">
        <v>57</v>
      </c>
      <c r="L826" s="101" t="s">
        <v>537</v>
      </c>
      <c r="M826" s="102" t="str">
        <f>IFNA(VLOOKUP(L826,'🙎‍♂️ Pasien'!G:V,2,FALSE),"")</f>
        <v>H7825116588</v>
      </c>
      <c r="N826" s="103">
        <f>IFNA(VLOOKUP(L826,'🙎‍♂️ Pasien'!G:L,3,FALSE),"")</f>
        <v>47</v>
      </c>
      <c r="O826" s="104" t="str">
        <f>IFNA(VLOOKUP(L826,'🙎‍♂️ Pasien'!G:V,6,FALSE),"")</f>
        <v>PEREMPUAN</v>
      </c>
      <c r="P826" s="104" t="str">
        <f>IFNA(VLOOKUP(L826,'🙎‍♂️ Pasien'!G:V,12,FALSE),"")</f>
        <v>ISLAM</v>
      </c>
      <c r="Q826" s="104" t="str">
        <f>IFNA(VLOOKUP(L826:L1508,'🙎‍♂️ Pasien'!G:V,13,FALSE),"")</f>
        <v>KARYAWAN BUMN</v>
      </c>
      <c r="R826" s="104" t="str">
        <f t="array" ref="R826">ifna(xlookup(L826,'🙎‍♂️ Pasien'!$G$5:$G1508,'🙎‍♂️ Pasien'!$T$5:$T1508),"")</f>
        <v>KAKI</v>
      </c>
      <c r="S826" s="104" t="str">
        <f t="array" ref="S826">ifna(xlookup(L826,'🙎‍♂️ Pasien'!$G$5:$G1508,'🙎‍♂️ Pasien'!$U$5:$U1508),"")</f>
        <v>-</v>
      </c>
      <c r="T826" s="97" t="s">
        <v>59</v>
      </c>
      <c r="U826" s="105" t="s">
        <v>60</v>
      </c>
      <c r="V826" s="101"/>
      <c r="W826" s="106" t="b">
        <v>1</v>
      </c>
      <c r="X826" s="107"/>
      <c r="Y826" s="108"/>
    </row>
    <row r="827" ht="22.5" customHeight="1">
      <c r="A827" s="96"/>
      <c r="B827" s="97" t="s">
        <v>85</v>
      </c>
      <c r="C827" s="98" t="str">
        <f t="array" ref="C827">IFNA(XLOOKUP(J827,'⚙️ Pengaturan'!$H$5:$H1508,'⚙️ Pengaturan'!$I$5:$I1508),"")</f>
        <v>TIM A</v>
      </c>
      <c r="D827" s="97" t="s">
        <v>86</v>
      </c>
      <c r="E827" s="99">
        <v>45978.0</v>
      </c>
      <c r="F827" s="100" t="str">
        <f t="shared" si="1"/>
        <v>2025</v>
      </c>
      <c r="G827" s="100" t="str">
        <f t="shared" si="2"/>
        <v>11Nov</v>
      </c>
      <c r="H827" s="100" t="str">
        <f t="shared" si="3"/>
        <v>Senin</v>
      </c>
      <c r="I827" s="97" t="s">
        <v>95</v>
      </c>
      <c r="J827" s="97" t="s">
        <v>79</v>
      </c>
      <c r="K827" s="97" t="s">
        <v>63</v>
      </c>
      <c r="L827" s="101" t="s">
        <v>527</v>
      </c>
      <c r="M827" s="102" t="str">
        <f>IFNA(VLOOKUP(L827,'🙎‍♂️ Pasien'!G:V,2,FALSE),"")</f>
        <v>S0325118209</v>
      </c>
      <c r="N827" s="103">
        <f>IFNA(VLOOKUP(L827,'🙎‍♂️ Pasien'!G:L,3,FALSE),"")</f>
        <v>23</v>
      </c>
      <c r="O827" s="104" t="str">
        <f>IFNA(VLOOKUP(L827,'🙎‍♂️ Pasien'!G:V,6,FALSE),"")</f>
        <v>PEREMPUAN</v>
      </c>
      <c r="P827" s="104" t="str">
        <f>IFNA(VLOOKUP(L827,'🙎‍♂️ Pasien'!G:V,12,FALSE),"")</f>
        <v>BUDDHA</v>
      </c>
      <c r="Q827" s="104" t="str">
        <f>IFNA(VLOOKUP(L827:L1508,'🙎‍♂️ Pasien'!G:V,13,FALSE),"")</f>
        <v>ADMIN</v>
      </c>
      <c r="R827" s="104" t="str">
        <f t="array" ref="R827">ifna(xlookup(L827,'🙎‍♂️ Pasien'!$G$5:$G1508,'🙎‍♂️ Pasien'!$T$5:$T1508),"")</f>
        <v>SKOLIOSIS</v>
      </c>
      <c r="S827" s="104" t="str">
        <f t="array" ref="S827">ifna(xlookup(L827,'🙎‍♂️ Pasien'!$G$5:$G1508,'🙎‍♂️ Pasien'!$U$5:$U1508),"")</f>
        <v>DUDUK LAMA SAAT BEKERJA, GYM</v>
      </c>
      <c r="T827" s="97" t="s">
        <v>59</v>
      </c>
      <c r="U827" s="105">
        <v>1.0</v>
      </c>
      <c r="V827" s="101"/>
      <c r="W827" s="106" t="b">
        <v>1</v>
      </c>
      <c r="X827" s="107"/>
      <c r="Y827" s="108"/>
    </row>
    <row r="828" ht="22.5" customHeight="1">
      <c r="A828" s="96"/>
      <c r="B828" s="97" t="s">
        <v>85</v>
      </c>
      <c r="C828" s="98" t="str">
        <f t="array" ref="C828">IFNA(XLOOKUP(J828,'⚙️ Pengaturan'!$H$5:$H1508,'⚙️ Pengaturan'!$I$5:$I1508),"")</f>
        <v>TIM A</v>
      </c>
      <c r="D828" s="97" t="s">
        <v>86</v>
      </c>
      <c r="E828" s="99">
        <v>45978.0</v>
      </c>
      <c r="F828" s="100" t="str">
        <f t="shared" si="1"/>
        <v>2025</v>
      </c>
      <c r="G828" s="100" t="str">
        <f t="shared" si="2"/>
        <v>11Nov</v>
      </c>
      <c r="H828" s="100" t="str">
        <f t="shared" si="3"/>
        <v>Senin</v>
      </c>
      <c r="I828" s="97" t="s">
        <v>95</v>
      </c>
      <c r="J828" s="97" t="s">
        <v>62</v>
      </c>
      <c r="K828" s="97" t="s">
        <v>63</v>
      </c>
      <c r="L828" s="101" t="s">
        <v>341</v>
      </c>
      <c r="M828" s="102" t="str">
        <f>IFNA(VLOOKUP(L828,'🙎‍♂️ Pasien'!G:V,2,FALSE),"")</f>
        <v>T7325100015</v>
      </c>
      <c r="N828" s="103">
        <f>IFNA(VLOOKUP(L828,'🙎‍♂️ Pasien'!G:L,3,FALSE),"")</f>
        <v>53</v>
      </c>
      <c r="O828" s="104" t="str">
        <f>IFNA(VLOOKUP(L828,'🙎‍♂️ Pasien'!G:V,6,FALSE),"")</f>
        <v>PEREMPUAN</v>
      </c>
      <c r="P828" s="104" t="str">
        <f>IFNA(VLOOKUP(L828,'🙎‍♂️ Pasien'!G:V,12,FALSE),"")</f>
        <v>ISLAM</v>
      </c>
      <c r="Q828" s="104" t="str">
        <f>IFNA(VLOOKUP(L828:L1508,'🙎‍♂️ Pasien'!G:V,13,FALSE),"")</f>
        <v>PNS</v>
      </c>
      <c r="R828" s="104" t="str">
        <f t="array" ref="R828">ifna(xlookup(L828,'🙎‍♂️ Pasien'!$G$5:$G1508,'🙎‍♂️ Pasien'!$T$5:$T1508),"")</f>
        <v>SAKIT KAKI DAN PINGGANG</v>
      </c>
      <c r="S828" s="104" t="str">
        <f t="array" ref="S828">ifna(xlookup(L828,'🙎‍♂️ Pasien'!$G$5:$G1508,'🙎‍♂️ Pasien'!$U$5:$U1508),"")</f>
        <v>NAIK TURUN TANGGA DAN JONGKOK</v>
      </c>
      <c r="T828" s="97" t="s">
        <v>67</v>
      </c>
      <c r="U828" s="105">
        <v>5.0</v>
      </c>
      <c r="V828" s="101" t="s">
        <v>538</v>
      </c>
      <c r="W828" s="106" t="b">
        <v>1</v>
      </c>
      <c r="X828" s="107"/>
      <c r="Y828" s="108"/>
    </row>
    <row r="829" ht="22.5" customHeight="1">
      <c r="A829" s="96"/>
      <c r="B829" s="97" t="s">
        <v>85</v>
      </c>
      <c r="C829" s="98" t="str">
        <f t="array" ref="C829">IFNA(XLOOKUP(J829,'⚙️ Pengaturan'!$H$5:$H1508,'⚙️ Pengaturan'!$I$5:$I1508),"")</f>
        <v>TIM Y</v>
      </c>
      <c r="D829" s="97" t="s">
        <v>86</v>
      </c>
      <c r="E829" s="99">
        <v>45978.0</v>
      </c>
      <c r="F829" s="100" t="str">
        <f t="shared" si="1"/>
        <v>2025</v>
      </c>
      <c r="G829" s="100" t="str">
        <f t="shared" si="2"/>
        <v>11Nov</v>
      </c>
      <c r="H829" s="100" t="str">
        <f t="shared" si="3"/>
        <v>Senin</v>
      </c>
      <c r="I829" s="97" t="s">
        <v>97</v>
      </c>
      <c r="J829" s="97" t="s">
        <v>88</v>
      </c>
      <c r="K829" s="97" t="s">
        <v>63</v>
      </c>
      <c r="L829" s="101" t="s">
        <v>326</v>
      </c>
      <c r="M829" s="102" t="str">
        <f>IFNA(VLOOKUP(L829,'🙎‍♂️ Pasien'!G:V,2,FALSE),"")</f>
        <v>A1423086916</v>
      </c>
      <c r="N829" s="103">
        <f>IFNA(VLOOKUP(L829,'🙎‍♂️ Pasien'!G:L,3,FALSE),"")</f>
        <v>11</v>
      </c>
      <c r="O829" s="104" t="str">
        <f>IFNA(VLOOKUP(L829,'🙎‍♂️ Pasien'!G:V,6,FALSE),"")</f>
        <v>LAKI-LAKI</v>
      </c>
      <c r="P829" s="104" t="str">
        <f>IFNA(VLOOKUP(L829,'🙎‍♂️ Pasien'!G:V,12,FALSE),"")</f>
        <v>ISLAM</v>
      </c>
      <c r="Q829" s="104" t="str">
        <f>IFNA(VLOOKUP(L829:L1508,'🙎‍♂️ Pasien'!G:V,13,FALSE),"")</f>
        <v>PELAJAR/MAHASISWA</v>
      </c>
      <c r="R829" s="104" t="str">
        <f t="array" ref="R829">ifna(xlookup(L829,'🙎‍♂️ Pasien'!$G$5:$G1508,'🙎‍♂️ Pasien'!$T$5:$T1508),"")</f>
        <v>ANKLE KAKI KANAN</v>
      </c>
      <c r="S829" s="104" t="str">
        <f t="array" ref="S829">ifna(xlookup(L829,'🙎‍♂️ Pasien'!$G$5:$G1508,'🙎‍♂️ Pasien'!$U$5:$U1508),"")</f>
        <v>BOLA</v>
      </c>
      <c r="T829" s="97" t="s">
        <v>59</v>
      </c>
      <c r="U829" s="105">
        <v>10.0</v>
      </c>
      <c r="V829" s="101" t="s">
        <v>125</v>
      </c>
      <c r="W829" s="106" t="b">
        <v>1</v>
      </c>
      <c r="X829" s="107"/>
      <c r="Y829" s="108"/>
    </row>
    <row r="830" ht="22.5" customHeight="1">
      <c r="A830" s="96"/>
      <c r="B830" s="97" t="s">
        <v>85</v>
      </c>
      <c r="C830" s="98" t="str">
        <f t="array" ref="C830">IFNA(XLOOKUP(J830,'⚙️ Pengaturan'!$H$5:$H1508,'⚙️ Pengaturan'!$I$5:$I1508),"")</f>
        <v>TIM A</v>
      </c>
      <c r="D830" s="97" t="s">
        <v>86</v>
      </c>
      <c r="E830" s="99">
        <v>45978.0</v>
      </c>
      <c r="F830" s="100" t="str">
        <f t="shared" si="1"/>
        <v>2025</v>
      </c>
      <c r="G830" s="100" t="str">
        <f t="shared" si="2"/>
        <v>11Nov</v>
      </c>
      <c r="H830" s="100" t="str">
        <f t="shared" si="3"/>
        <v>Senin</v>
      </c>
      <c r="I830" s="97" t="s">
        <v>97</v>
      </c>
      <c r="J830" s="97" t="s">
        <v>79</v>
      </c>
      <c r="K830" s="97" t="s">
        <v>57</v>
      </c>
      <c r="L830" s="101" t="s">
        <v>539</v>
      </c>
      <c r="M830" s="102" t="str">
        <f>IFNA(VLOOKUP(L830,'🙎‍♂️ Pasien'!G:V,2,FALSE),"")</f>
        <v>S7325111991</v>
      </c>
      <c r="N830" s="103">
        <f>IFNA(VLOOKUP(L830,'🙎‍♂️ Pasien'!G:L,3,FALSE),"")</f>
        <v>53</v>
      </c>
      <c r="O830" s="104" t="str">
        <f>IFNA(VLOOKUP(L830,'🙎‍♂️ Pasien'!G:V,6,FALSE),"")</f>
        <v>LAKI-LAKI</v>
      </c>
      <c r="P830" s="104" t="str">
        <f>IFNA(VLOOKUP(L830,'🙎‍♂️ Pasien'!G:V,12,FALSE),"")</f>
        <v>ISLAM</v>
      </c>
      <c r="Q830" s="104" t="str">
        <f>IFNA(VLOOKUP(L830:L1508,'🙎‍♂️ Pasien'!G:V,13,FALSE),"")</f>
        <v>ASN</v>
      </c>
      <c r="R830" s="104" t="str">
        <f t="array" ref="R830">ifna(xlookup(L830,'🙎‍♂️ Pasien'!$G$5:$G1508,'🙎‍♂️ Pasien'!$T$5:$T1508),"")</f>
        <v>BAHU KANAN NYERI, TANGAN KANAN TIDAK DAPAT DIGERAKKAN KE ATAS. PERGERAKAN SIKU TIDAK MASALAH. PERGERAKKAN JARI2 TIDAK MASALAH</v>
      </c>
      <c r="S830" s="104" t="str">
        <f t="array" ref="S830">ifna(xlookup(L830,'🙎‍♂️ Pasien'!$G$5:$G1508,'🙎‍♂️ Pasien'!$U$5:$U1508),"")</f>
        <v>OLAH RAGA TENIS LAPANGAN, PINGPONG</v>
      </c>
      <c r="T830" s="97" t="s">
        <v>59</v>
      </c>
      <c r="U830" s="105" t="s">
        <v>60</v>
      </c>
      <c r="V830" s="101"/>
      <c r="W830" s="106" t="b">
        <v>1</v>
      </c>
      <c r="X830" s="107"/>
      <c r="Y830" s="108"/>
    </row>
    <row r="831" ht="22.5" customHeight="1">
      <c r="A831" s="96"/>
      <c r="B831" s="97" t="s">
        <v>85</v>
      </c>
      <c r="C831" s="98" t="str">
        <f t="array" ref="C831">IFNA(XLOOKUP(J831,'⚙️ Pengaturan'!$H$5:$H1508,'⚙️ Pengaturan'!$I$5:$I1508),"")</f>
        <v>TIM A</v>
      </c>
      <c r="D831" s="97" t="s">
        <v>86</v>
      </c>
      <c r="E831" s="99">
        <v>45978.0</v>
      </c>
      <c r="F831" s="100" t="str">
        <f t="shared" si="1"/>
        <v>2025</v>
      </c>
      <c r="G831" s="100" t="str">
        <f t="shared" si="2"/>
        <v>11Nov</v>
      </c>
      <c r="H831" s="100" t="str">
        <f t="shared" si="3"/>
        <v>Senin</v>
      </c>
      <c r="I831" s="97" t="s">
        <v>99</v>
      </c>
      <c r="J831" s="97" t="s">
        <v>79</v>
      </c>
      <c r="K831" s="97" t="s">
        <v>69</v>
      </c>
      <c r="L831" s="101" t="s">
        <v>525</v>
      </c>
      <c r="M831" s="102" t="str">
        <f>IFNA(VLOOKUP(L831,'🙎‍♂️ Pasien'!G:V,2,FALSE),"")</f>
        <v>M7525114704</v>
      </c>
      <c r="N831" s="103">
        <f>IFNA(VLOOKUP(L831,'🙎‍♂️ Pasien'!G:L,3,FALSE),"")</f>
        <v>51</v>
      </c>
      <c r="O831" s="104" t="str">
        <f>IFNA(VLOOKUP(L831,'🙎‍♂️ Pasien'!G:V,6,FALSE),"")</f>
        <v>PEREMPUAN</v>
      </c>
      <c r="P831" s="104" t="str">
        <f>IFNA(VLOOKUP(L831,'🙎‍♂️ Pasien'!G:V,12,FALSE),"")</f>
        <v>ISLAM</v>
      </c>
      <c r="Q831" s="104" t="str">
        <f>IFNA(VLOOKUP(L831:L1508,'🙎‍♂️ Pasien'!G:V,13,FALSE),"")</f>
        <v>PNS</v>
      </c>
      <c r="R831" s="104" t="str">
        <f t="array" ref="R831">ifna(xlookup(L831,'🙎‍♂️ Pasien'!$G$5:$G1508,'🙎‍♂️ Pasien'!$T$5:$T1508),"")</f>
        <v>PINGGANG NYERI</v>
      </c>
      <c r="S831" s="104" t="str">
        <f t="array" ref="S831">ifna(xlookup(L831,'🙎‍♂️ Pasien'!$G$5:$G1508,'🙎‍♂️ Pasien'!$U$5:$U1508),"")</f>
        <v>DUDUK LAMA</v>
      </c>
      <c r="T831" s="97" t="s">
        <v>59</v>
      </c>
      <c r="U831" s="105" t="s">
        <v>60</v>
      </c>
      <c r="V831" s="101"/>
      <c r="W831" s="106" t="b">
        <v>1</v>
      </c>
      <c r="X831" s="107"/>
      <c r="Y831" s="108"/>
    </row>
    <row r="832" ht="22.5" customHeight="1">
      <c r="A832" s="96"/>
      <c r="B832" s="97" t="s">
        <v>53</v>
      </c>
      <c r="C832" s="98" t="str">
        <f t="array" ref="C832">IFNA(XLOOKUP(J832,'⚙️ Pengaturan'!$H$5:$H1508,'⚙️ Pengaturan'!$I$5:$I1508),"")</f>
        <v>TIM A</v>
      </c>
      <c r="D832" s="97" t="s">
        <v>86</v>
      </c>
      <c r="E832" s="99">
        <v>45979.0</v>
      </c>
      <c r="F832" s="100" t="str">
        <f t="shared" si="1"/>
        <v>2025</v>
      </c>
      <c r="G832" s="100" t="str">
        <f t="shared" si="2"/>
        <v>11Nov</v>
      </c>
      <c r="H832" s="100" t="str">
        <f t="shared" si="3"/>
        <v>Selasa</v>
      </c>
      <c r="I832" s="97" t="s">
        <v>55</v>
      </c>
      <c r="J832" s="97" t="s">
        <v>79</v>
      </c>
      <c r="K832" s="97" t="s">
        <v>63</v>
      </c>
      <c r="L832" s="101" t="s">
        <v>108</v>
      </c>
      <c r="M832" s="102" t="str">
        <f>IFNA(VLOOKUP(L832,'🙎‍♂️ Pasien'!G:V,2,FALSE),"")</f>
        <v>A5625092572</v>
      </c>
      <c r="N832" s="103">
        <f>IFNA(VLOOKUP(L832,'🙎‍♂️ Pasien'!G:L,3,FALSE),"")</f>
        <v>69</v>
      </c>
      <c r="O832" s="104" t="str">
        <f>IFNA(VLOOKUP(L832,'🙎‍♂️ Pasien'!G:V,6,FALSE),"")</f>
        <v>PEREMPUAN</v>
      </c>
      <c r="P832" s="104" t="str">
        <f>IFNA(VLOOKUP(L832,'🙎‍♂️ Pasien'!G:V,12,FALSE),"")</f>
        <v>ISLAM</v>
      </c>
      <c r="Q832" s="104" t="str">
        <f>IFNA(VLOOKUP(L832:L1508,'🙎‍♂️ Pasien'!G:V,13,FALSE),"")</f>
        <v>IRT</v>
      </c>
      <c r="R832" s="104" t="str">
        <f t="array" ref="R832">ifna(xlookup(L832,'🙎‍♂️ Pasien'!$G$5:$G1508,'🙎‍♂️ Pasien'!$T$5:$T1508),"")</f>
        <v>PINGGANG DAN KAKI</v>
      </c>
      <c r="S832" s="104" t="str">
        <f t="array" ref="S832">ifna(xlookup(L832,'🙎‍♂️ Pasien'!$G$5:$G1508,'🙎‍♂️ Pasien'!$U$5:$U1508),"")</f>
        <v>-</v>
      </c>
      <c r="T832" s="97" t="s">
        <v>59</v>
      </c>
      <c r="U832" s="105">
        <v>2.0</v>
      </c>
      <c r="V832" s="101"/>
      <c r="W832" s="106" t="b">
        <v>1</v>
      </c>
      <c r="X832" s="107"/>
      <c r="Y832" s="108"/>
    </row>
    <row r="833" ht="22.5" customHeight="1">
      <c r="A833" s="96"/>
      <c r="B833" s="97" t="s">
        <v>53</v>
      </c>
      <c r="C833" s="98" t="str">
        <f t="array" ref="C833">IFNA(XLOOKUP(J833,'⚙️ Pengaturan'!$H$5:$H1508,'⚙️ Pengaturan'!$I$5:$I1508),"")</f>
        <v>MANAJEMEN</v>
      </c>
      <c r="D833" s="97" t="s">
        <v>86</v>
      </c>
      <c r="E833" s="99">
        <v>45979.0</v>
      </c>
      <c r="F833" s="100" t="str">
        <f t="shared" si="1"/>
        <v>2025</v>
      </c>
      <c r="G833" s="100" t="str">
        <f t="shared" si="2"/>
        <v>11Nov</v>
      </c>
      <c r="H833" s="100" t="str">
        <f t="shared" si="3"/>
        <v>Selasa</v>
      </c>
      <c r="I833" s="97" t="s">
        <v>65</v>
      </c>
      <c r="J833" s="97" t="s">
        <v>101</v>
      </c>
      <c r="K833" s="97" t="s">
        <v>63</v>
      </c>
      <c r="L833" s="101" t="s">
        <v>526</v>
      </c>
      <c r="M833" s="102" t="str">
        <f>IFNA(VLOOKUP(L833,'🙎‍♂️ Pasien'!G:V,2,FALSE),"")</f>
        <v>A8825114554</v>
      </c>
      <c r="N833" s="103">
        <f>IFNA(VLOOKUP(L833,'🙎‍♂️ Pasien'!G:L,3,FALSE),"")</f>
        <v>38</v>
      </c>
      <c r="O833" s="104" t="str">
        <f>IFNA(VLOOKUP(L833,'🙎‍♂️ Pasien'!G:V,6,FALSE),"")</f>
        <v>LAKI-LAKI</v>
      </c>
      <c r="P833" s="104" t="str">
        <f>IFNA(VLOOKUP(L833,'🙎‍♂️ Pasien'!G:V,12,FALSE),"")</f>
        <v>ISLAM</v>
      </c>
      <c r="Q833" s="104" t="str">
        <f>IFNA(VLOOKUP(L833:L1508,'🙎‍♂️ Pasien'!G:V,13,FALSE),"")</f>
        <v>FOOTBALL AGENT</v>
      </c>
      <c r="R833" s="104" t="str">
        <f t="array" ref="R833">ifna(xlookup(L833,'🙎‍♂️ Pasien'!$G$5:$G1508,'🙎‍♂️ Pasien'!$T$5:$T1508),"")</f>
        <v>LUTUT KIRI SAKIT SAAT DI TEKUK</v>
      </c>
      <c r="S833" s="104" t="str">
        <f t="array" ref="S833">ifna(xlookup(L833,'🙎‍♂️ Pasien'!$G$5:$G1508,'🙎‍♂️ Pasien'!$U$5:$U1508),"")</f>
        <v>SEPAKBOLA</v>
      </c>
      <c r="T833" s="97" t="s">
        <v>59</v>
      </c>
      <c r="U833" s="105">
        <v>1.0</v>
      </c>
      <c r="V833" s="101"/>
      <c r="W833" s="106" t="b">
        <v>1</v>
      </c>
      <c r="X833" s="107"/>
      <c r="Y833" s="108"/>
    </row>
    <row r="834" ht="22.5" customHeight="1">
      <c r="A834" s="96"/>
      <c r="B834" s="97" t="s">
        <v>53</v>
      </c>
      <c r="C834" s="98" t="str">
        <f t="array" ref="C834">IFNA(XLOOKUP(J834,'⚙️ Pengaturan'!$H$5:$H1508,'⚙️ Pengaturan'!$I$5:$I1508),"")</f>
        <v>TIM A</v>
      </c>
      <c r="D834" s="97" t="s">
        <v>86</v>
      </c>
      <c r="E834" s="99">
        <v>45979.0</v>
      </c>
      <c r="F834" s="100" t="str">
        <f t="shared" si="1"/>
        <v>2025</v>
      </c>
      <c r="G834" s="100" t="str">
        <f t="shared" si="2"/>
        <v>11Nov</v>
      </c>
      <c r="H834" s="100" t="str">
        <f t="shared" si="3"/>
        <v>Selasa</v>
      </c>
      <c r="I834" s="97" t="s">
        <v>74</v>
      </c>
      <c r="J834" s="97" t="s">
        <v>72</v>
      </c>
      <c r="K834" s="97" t="s">
        <v>57</v>
      </c>
      <c r="L834" s="101" t="s">
        <v>540</v>
      </c>
      <c r="M834" s="102" t="str">
        <f>IFNA(VLOOKUP(L834,'🙎‍♂️ Pasien'!G:V,2,FALSE),"")</f>
        <v>A9425110177</v>
      </c>
      <c r="N834" s="103">
        <f>IFNA(VLOOKUP(L834,'🙎‍♂️ Pasien'!G:L,3,FALSE),"")</f>
        <v>31</v>
      </c>
      <c r="O834" s="104" t="str">
        <f>IFNA(VLOOKUP(L834,'🙎‍♂️ Pasien'!G:V,6,FALSE),"")</f>
        <v>LAKI-LAKI</v>
      </c>
      <c r="P834" s="104" t="str">
        <f>IFNA(VLOOKUP(L834,'🙎‍♂️ Pasien'!G:V,12,FALSE),"")</f>
        <v>KATOLIK</v>
      </c>
      <c r="Q834" s="104" t="str">
        <f>IFNA(VLOOKUP(L834:L1508,'🙎‍♂️ Pasien'!G:V,13,FALSE),"")</f>
        <v>-</v>
      </c>
      <c r="R834" s="104" t="str">
        <f t="array" ref="R834">ifna(xlookup(L834,'🙎‍♂️ Pasien'!$G$5:$G1508,'🙎‍♂️ Pasien'!$T$5:$T1508),"")</f>
        <v>PASCA OPERASI ACL</v>
      </c>
      <c r="S834" s="104" t="str">
        <f t="array" ref="S834">ifna(xlookup(L834,'🙎‍♂️ Pasien'!$G$5:$G1508,'🙎‍♂️ Pasien'!$U$5:$U1508),"")</f>
        <v>-</v>
      </c>
      <c r="T834" s="97" t="s">
        <v>59</v>
      </c>
      <c r="U834" s="105" t="s">
        <v>60</v>
      </c>
      <c r="V834" s="101"/>
      <c r="W834" s="106" t="b">
        <v>1</v>
      </c>
      <c r="X834" s="107"/>
      <c r="Y834" s="108"/>
    </row>
    <row r="835" ht="22.5" customHeight="1">
      <c r="A835" s="96"/>
      <c r="B835" s="97" t="s">
        <v>53</v>
      </c>
      <c r="C835" s="98" t="str">
        <f t="array" ref="C835">IFNA(XLOOKUP(J835,'⚙️ Pengaturan'!$H$5:$H1508,'⚙️ Pengaturan'!$I$5:$I1508),"")</f>
        <v>TIM A</v>
      </c>
      <c r="D835" s="97" t="s">
        <v>86</v>
      </c>
      <c r="E835" s="99">
        <v>45979.0</v>
      </c>
      <c r="F835" s="100" t="str">
        <f t="shared" si="1"/>
        <v>2025</v>
      </c>
      <c r="G835" s="100" t="str">
        <f t="shared" si="2"/>
        <v>11Nov</v>
      </c>
      <c r="H835" s="100" t="str">
        <f t="shared" si="3"/>
        <v>Selasa</v>
      </c>
      <c r="I835" s="97" t="s">
        <v>74</v>
      </c>
      <c r="J835" s="97" t="s">
        <v>79</v>
      </c>
      <c r="K835" s="97" t="s">
        <v>63</v>
      </c>
      <c r="L835" s="101" t="s">
        <v>110</v>
      </c>
      <c r="M835" s="102" t="str">
        <f>IFNA(VLOOKUP(L835,'🙎‍♂️ Pasien'!G:V,2,FALSE),"")</f>
        <v>E8425098000</v>
      </c>
      <c r="N835" s="103">
        <f>IFNA(VLOOKUP(L835,'🙎‍♂️ Pasien'!G:L,3,FALSE),"")</f>
        <v>41</v>
      </c>
      <c r="O835" s="104" t="str">
        <f>IFNA(VLOOKUP(L835,'🙎‍♂️ Pasien'!G:V,6,FALSE),"")</f>
        <v>PEREMPUAN</v>
      </c>
      <c r="P835" s="104" t="str">
        <f>IFNA(VLOOKUP(L835,'🙎‍♂️ Pasien'!G:V,12,FALSE),"")</f>
        <v>BUDDHA</v>
      </c>
      <c r="Q835" s="104" t="str">
        <f>IFNA(VLOOKUP(L835:L1508,'🙎‍♂️ Pasien'!G:V,13,FALSE),"")</f>
        <v>IRT</v>
      </c>
      <c r="R835" s="104" t="str">
        <f t="array" ref="R835">ifna(xlookup(L835,'🙎‍♂️ Pasien'!$G$5:$G1508,'🙎‍♂️ Pasien'!$T$5:$T1508),"")</f>
        <v>TANGAN KESEMUTAN</v>
      </c>
      <c r="S835" s="104" t="str">
        <f t="array" ref="S835">ifna(xlookup(L835,'🙎‍♂️ Pasien'!$G$5:$G1508,'🙎‍♂️ Pasien'!$U$5:$U1508),"")</f>
        <v>-</v>
      </c>
      <c r="T835" s="97" t="s">
        <v>59</v>
      </c>
      <c r="U835" s="105">
        <v>5.0</v>
      </c>
      <c r="V835" s="101" t="s">
        <v>125</v>
      </c>
      <c r="W835" s="106" t="b">
        <v>1</v>
      </c>
      <c r="X835" s="107"/>
      <c r="Y835" s="108"/>
    </row>
    <row r="836" ht="22.5" customHeight="1">
      <c r="A836" s="96"/>
      <c r="B836" s="97" t="s">
        <v>53</v>
      </c>
      <c r="C836" s="98" t="str">
        <f t="array" ref="C836">IFNA(XLOOKUP(J836,'⚙️ Pengaturan'!$H$5:$H1508,'⚙️ Pengaturan'!$I$5:$I1508),"")</f>
        <v>TIM Y</v>
      </c>
      <c r="D836" s="97" t="s">
        <v>86</v>
      </c>
      <c r="E836" s="99">
        <v>45979.0</v>
      </c>
      <c r="F836" s="100" t="str">
        <f t="shared" si="1"/>
        <v>2025</v>
      </c>
      <c r="G836" s="100" t="str">
        <f t="shared" si="2"/>
        <v>11Nov</v>
      </c>
      <c r="H836" s="100" t="str">
        <f t="shared" si="3"/>
        <v>Selasa</v>
      </c>
      <c r="I836" s="97" t="s">
        <v>74</v>
      </c>
      <c r="J836" s="97" t="s">
        <v>56</v>
      </c>
      <c r="K836" s="97" t="s">
        <v>63</v>
      </c>
      <c r="L836" s="101" t="s">
        <v>160</v>
      </c>
      <c r="M836" s="102" t="str">
        <f>IFNA(VLOOKUP(L836,'🙎‍♂️ Pasien'!G:V,2,FALSE),"")</f>
        <v>S7625091177</v>
      </c>
      <c r="N836" s="103">
        <f>IFNA(VLOOKUP(L836,'🙎‍♂️ Pasien'!G:L,3,FALSE),"")</f>
        <v>49</v>
      </c>
      <c r="O836" s="104" t="str">
        <f>IFNA(VLOOKUP(L836,'🙎‍♂️ Pasien'!G:V,6,FALSE),"")</f>
        <v>LAKI-LAKI</v>
      </c>
      <c r="P836" s="104" t="str">
        <f>IFNA(VLOOKUP(L836,'🙎‍♂️ Pasien'!G:V,12,FALSE),"")</f>
        <v>ISLAM</v>
      </c>
      <c r="Q836" s="104" t="str">
        <f>IFNA(VLOOKUP(L836:L1508,'🙎‍♂️ Pasien'!G:V,13,FALSE),"")</f>
        <v>WIRASWASTA</v>
      </c>
      <c r="R836" s="104" t="str">
        <f t="array" ref="R836">ifna(xlookup(L836,'🙎‍♂️ Pasien'!$G$5:$G1508,'🙎‍♂️ Pasien'!$T$5:$T1508),"")</f>
        <v>CEDERA LUTUT</v>
      </c>
      <c r="S836" s="104" t="str">
        <f t="array" ref="S836">ifna(xlookup(L836,'🙎‍♂️ Pasien'!$G$5:$G1508,'🙎‍♂️ Pasien'!$U$5:$U1508),"")</f>
        <v>MAIN BADMINTON</v>
      </c>
      <c r="T836" s="97" t="s">
        <v>67</v>
      </c>
      <c r="U836" s="105">
        <v>5.0</v>
      </c>
      <c r="V836" s="101" t="s">
        <v>541</v>
      </c>
      <c r="W836" s="106" t="b">
        <v>1</v>
      </c>
      <c r="X836" s="107"/>
      <c r="Y836" s="108"/>
    </row>
    <row r="837" ht="22.5" customHeight="1">
      <c r="A837" s="96"/>
      <c r="B837" s="97" t="s">
        <v>53</v>
      </c>
      <c r="C837" s="98" t="str">
        <f t="array" ref="C837">IFNA(XLOOKUP(J837,'⚙️ Pengaturan'!$H$5:$H1508,'⚙️ Pengaturan'!$I$5:$I1508),"")</f>
        <v>TIM A</v>
      </c>
      <c r="D837" s="97" t="s">
        <v>86</v>
      </c>
      <c r="E837" s="99">
        <v>45979.0</v>
      </c>
      <c r="F837" s="100" t="str">
        <f t="shared" si="1"/>
        <v>2025</v>
      </c>
      <c r="G837" s="100" t="str">
        <f t="shared" si="2"/>
        <v>11Nov</v>
      </c>
      <c r="H837" s="100" t="str">
        <f t="shared" si="3"/>
        <v>Selasa</v>
      </c>
      <c r="I837" s="97" t="s">
        <v>76</v>
      </c>
      <c r="J837" s="97" t="s">
        <v>79</v>
      </c>
      <c r="K837" s="97" t="s">
        <v>63</v>
      </c>
      <c r="L837" s="101" t="s">
        <v>302</v>
      </c>
      <c r="M837" s="102" t="str">
        <f>IFNA(VLOOKUP(L837,'🙎‍♂️ Pasien'!G:V,2,FALSE),"")</f>
        <v>A9425105994</v>
      </c>
      <c r="N837" s="103">
        <f>IFNA(VLOOKUP(L837,'🙎‍♂️ Pasien'!G:L,3,FALSE),"")</f>
        <v>32</v>
      </c>
      <c r="O837" s="104" t="str">
        <f>IFNA(VLOOKUP(L837,'🙎‍♂️ Pasien'!G:V,6,FALSE),"")</f>
        <v>LAKI-LAKI</v>
      </c>
      <c r="P837" s="104" t="str">
        <f>IFNA(VLOOKUP(L837,'🙎‍♂️ Pasien'!G:V,12,FALSE),"")</f>
        <v>ISLAM</v>
      </c>
      <c r="Q837" s="104" t="str">
        <f>IFNA(VLOOKUP(L837:L1508,'🙎‍♂️ Pasien'!G:V,13,FALSE),"")</f>
        <v>KARYAWAN SWASTA</v>
      </c>
      <c r="R837" s="104" t="str">
        <f t="array" ref="R837">ifna(xlookup(L837,'🙎‍♂️ Pasien'!$G$5:$G1508,'🙎‍♂️ Pasien'!$T$5:$T1508),"")</f>
        <v>LUTUT</v>
      </c>
      <c r="S837" s="104" t="str">
        <f t="array" ref="S837">ifna(xlookup(L837,'🙎‍♂️ Pasien'!$G$5:$G1508,'🙎‍♂️ Pasien'!$U$5:$U1508),"")</f>
        <v>OLAGRAGA</v>
      </c>
      <c r="T837" s="97" t="s">
        <v>59</v>
      </c>
      <c r="U837" s="105">
        <v>4.0</v>
      </c>
      <c r="V837" s="101"/>
      <c r="W837" s="106" t="b">
        <v>1</v>
      </c>
      <c r="X837" s="107"/>
      <c r="Y837" s="108"/>
    </row>
    <row r="838" ht="22.5" customHeight="1">
      <c r="A838" s="96"/>
      <c r="B838" s="97" t="s">
        <v>53</v>
      </c>
      <c r="C838" s="98" t="str">
        <f t="array" ref="C838">IFNA(XLOOKUP(J838,'⚙️ Pengaturan'!$H$5:$H1508,'⚙️ Pengaturan'!$I$5:$I1508),"")</f>
        <v>TIM A</v>
      </c>
      <c r="D838" s="97" t="s">
        <v>86</v>
      </c>
      <c r="E838" s="99">
        <v>45979.0</v>
      </c>
      <c r="F838" s="100" t="str">
        <f t="shared" si="1"/>
        <v>2025</v>
      </c>
      <c r="G838" s="100" t="str">
        <f t="shared" si="2"/>
        <v>11Nov</v>
      </c>
      <c r="H838" s="100" t="str">
        <f t="shared" si="3"/>
        <v>Selasa</v>
      </c>
      <c r="I838" s="97" t="s">
        <v>76</v>
      </c>
      <c r="J838" s="97" t="s">
        <v>72</v>
      </c>
      <c r="K838" s="97" t="s">
        <v>57</v>
      </c>
      <c r="L838" s="101" t="s">
        <v>542</v>
      </c>
      <c r="M838" s="102" t="str">
        <f>IFNA(VLOOKUP(L838,'🙎‍♂️ Pasien'!G:V,2,FALSE),"")</f>
        <v>P0123123241</v>
      </c>
      <c r="N838" s="103">
        <f>IFNA(VLOOKUP(L838,'🙎‍♂️ Pasien'!G:L,3,FALSE),"")</f>
        <v>24</v>
      </c>
      <c r="O838" s="104" t="str">
        <f>IFNA(VLOOKUP(L838,'🙎‍♂️ Pasien'!G:V,6,FALSE),"")</f>
        <v>LAKI-LAKI</v>
      </c>
      <c r="P838" s="104" t="str">
        <f>IFNA(VLOOKUP(L838,'🙎‍♂️ Pasien'!G:V,12,FALSE),"")</f>
        <v>PROTESTAN</v>
      </c>
      <c r="Q838" s="104" t="str">
        <f>IFNA(VLOOKUP(L838:L1508,'🙎‍♂️ Pasien'!G:V,13,FALSE),"")</f>
        <v>TNI/POLRI</v>
      </c>
      <c r="R838" s="104" t="str">
        <f t="array" ref="R838">ifna(xlookup(L838,'🙎‍♂️ Pasien'!$G$5:$G1508,'🙎‍♂️ Pasien'!$T$5:$T1508),"")</f>
        <v>Ankle</v>
      </c>
      <c r="S838" s="104" t="str">
        <f t="array" ref="S838">ifna(xlookup(L838,'🙎‍♂️ Pasien'!$G$5:$G1508,'🙎‍♂️ Pasien'!$U$5:$U1508),"")</f>
        <v>Basket</v>
      </c>
      <c r="T838" s="97" t="s">
        <v>59</v>
      </c>
      <c r="U838" s="105" t="s">
        <v>60</v>
      </c>
      <c r="V838" s="101"/>
      <c r="W838" s="106" t="b">
        <v>1</v>
      </c>
      <c r="X838" s="107"/>
      <c r="Y838" s="108"/>
    </row>
    <row r="839" ht="22.5" customHeight="1">
      <c r="A839" s="96"/>
      <c r="B839" s="97" t="s">
        <v>53</v>
      </c>
      <c r="C839" s="98" t="str">
        <f t="array" ref="C839">IFNA(XLOOKUP(J839,'⚙️ Pengaturan'!$H$5:$H1508,'⚙️ Pengaturan'!$I$5:$I1508),"")</f>
        <v>TIM A</v>
      </c>
      <c r="D839" s="97" t="s">
        <v>86</v>
      </c>
      <c r="E839" s="99">
        <v>45979.0</v>
      </c>
      <c r="F839" s="100" t="str">
        <f t="shared" si="1"/>
        <v>2025</v>
      </c>
      <c r="G839" s="100" t="str">
        <f t="shared" si="2"/>
        <v>11Nov</v>
      </c>
      <c r="H839" s="100" t="str">
        <f t="shared" si="3"/>
        <v>Selasa</v>
      </c>
      <c r="I839" s="97" t="s">
        <v>76</v>
      </c>
      <c r="J839" s="97" t="s">
        <v>62</v>
      </c>
      <c r="K839" s="97" t="s">
        <v>69</v>
      </c>
      <c r="L839" s="101" t="s">
        <v>529</v>
      </c>
      <c r="M839" s="102" t="str">
        <f>IFNA(VLOOKUP(L839,'🙎‍♂️ Pasien'!G:V,2,FALSE),"")</f>
        <v>R6825110615</v>
      </c>
      <c r="N839" s="103">
        <f>IFNA(VLOOKUP(L839,'🙎‍♂️ Pasien'!G:L,3,FALSE),"")</f>
        <v>57</v>
      </c>
      <c r="O839" s="104" t="str">
        <f>IFNA(VLOOKUP(L839,'🙎‍♂️ Pasien'!G:V,6,FALSE),"")</f>
        <v>PEREMPUAN</v>
      </c>
      <c r="P839" s="104" t="str">
        <f>IFNA(VLOOKUP(L839,'🙎‍♂️ Pasien'!G:V,12,FALSE),"")</f>
        <v>ISLAM</v>
      </c>
      <c r="Q839" s="104" t="str">
        <f>IFNA(VLOOKUP(L839:L1508,'🙎‍♂️ Pasien'!G:V,13,FALSE),"")</f>
        <v>IBU RUMAH TANGGA</v>
      </c>
      <c r="R839" s="104" t="str">
        <f t="array" ref="R839">ifna(xlookup(L839,'🙎‍♂️ Pasien'!$G$5:$G1508,'🙎‍♂️ Pasien'!$T$5:$T1508),"")</f>
        <v>NYERI TULANG BELAKANG</v>
      </c>
      <c r="S839" s="104" t="str">
        <f t="array" ref="S839">ifna(xlookup(L839,'🙎‍♂️ Pasien'!$G$5:$G1508,'🙎‍♂️ Pasien'!$U$5:$U1508),"")</f>
        <v>MENGERJAKAN PEKERJAAN RUMAH</v>
      </c>
      <c r="T839" s="97" t="s">
        <v>59</v>
      </c>
      <c r="U839" s="105" t="s">
        <v>60</v>
      </c>
      <c r="V839" s="101"/>
      <c r="W839" s="106" t="b">
        <v>1</v>
      </c>
      <c r="X839" s="107"/>
      <c r="Y839" s="108"/>
    </row>
    <row r="840" ht="22.5" customHeight="1">
      <c r="A840" s="96"/>
      <c r="B840" s="97" t="s">
        <v>53</v>
      </c>
      <c r="C840" s="98" t="str">
        <f t="array" ref="C840">IFNA(XLOOKUP(J840,'⚙️ Pengaturan'!$H$5:$H1508,'⚙️ Pengaturan'!$I$5:$I1508),"")</f>
        <v>TIM A</v>
      </c>
      <c r="D840" s="97" t="s">
        <v>86</v>
      </c>
      <c r="E840" s="99">
        <v>45979.0</v>
      </c>
      <c r="F840" s="100" t="str">
        <f t="shared" si="1"/>
        <v>2025</v>
      </c>
      <c r="G840" s="100" t="str">
        <f t="shared" si="2"/>
        <v>11Nov</v>
      </c>
      <c r="H840" s="100" t="str">
        <f t="shared" si="3"/>
        <v>Selasa</v>
      </c>
      <c r="I840" s="97" t="s">
        <v>83</v>
      </c>
      <c r="J840" s="97" t="s">
        <v>79</v>
      </c>
      <c r="K840" s="97" t="s">
        <v>63</v>
      </c>
      <c r="L840" s="101" t="s">
        <v>302</v>
      </c>
      <c r="M840" s="102" t="str">
        <f>IFNA(VLOOKUP(L840,'🙎‍♂️ Pasien'!G:V,2,FALSE),"")</f>
        <v>A9425105994</v>
      </c>
      <c r="N840" s="103">
        <f>IFNA(VLOOKUP(L840,'🙎‍♂️ Pasien'!G:L,3,FALSE),"")</f>
        <v>32</v>
      </c>
      <c r="O840" s="104" t="str">
        <f>IFNA(VLOOKUP(L840,'🙎‍♂️ Pasien'!G:V,6,FALSE),"")</f>
        <v>LAKI-LAKI</v>
      </c>
      <c r="P840" s="104" t="str">
        <f>IFNA(VLOOKUP(L840,'🙎‍♂️ Pasien'!G:V,12,FALSE),"")</f>
        <v>ISLAM</v>
      </c>
      <c r="Q840" s="104" t="str">
        <f>IFNA(VLOOKUP(L840:L1508,'🙎‍♂️ Pasien'!G:V,13,FALSE),"")</f>
        <v>KARYAWAN SWASTA</v>
      </c>
      <c r="R840" s="104" t="str">
        <f t="array" ref="R840">ifna(xlookup(L840,'🙎‍♂️ Pasien'!$G$5:$G1508,'🙎‍♂️ Pasien'!$T$5:$T1508),"")</f>
        <v>LUTUT</v>
      </c>
      <c r="S840" s="104" t="str">
        <f t="array" ref="S840">ifna(xlookup(L840,'🙎‍♂️ Pasien'!$G$5:$G1508,'🙎‍♂️ Pasien'!$U$5:$U1508),"")</f>
        <v>OLAGRAGA</v>
      </c>
      <c r="T840" s="97" t="s">
        <v>59</v>
      </c>
      <c r="U840" s="105">
        <v>5.0</v>
      </c>
      <c r="V840" s="101"/>
      <c r="W840" s="106" t="b">
        <v>1</v>
      </c>
      <c r="X840" s="107"/>
      <c r="Y840" s="108"/>
    </row>
    <row r="841" ht="22.5" customHeight="1">
      <c r="A841" s="96"/>
      <c r="B841" s="97" t="s">
        <v>53</v>
      </c>
      <c r="C841" s="98" t="str">
        <f t="array" ref="C841">IFNA(XLOOKUP(J841,'⚙️ Pengaturan'!$H$5:$H1508,'⚙️ Pengaturan'!$I$5:$I1508),"")</f>
        <v>TIM A</v>
      </c>
      <c r="D841" s="97" t="s">
        <v>86</v>
      </c>
      <c r="E841" s="99">
        <v>45979.0</v>
      </c>
      <c r="F841" s="100" t="str">
        <f t="shared" si="1"/>
        <v>2025</v>
      </c>
      <c r="G841" s="100" t="str">
        <f t="shared" si="2"/>
        <v>11Nov</v>
      </c>
      <c r="H841" s="100" t="str">
        <f t="shared" si="3"/>
        <v>Selasa</v>
      </c>
      <c r="I841" s="97" t="s">
        <v>83</v>
      </c>
      <c r="J841" s="97" t="s">
        <v>62</v>
      </c>
      <c r="K841" s="97" t="s">
        <v>63</v>
      </c>
      <c r="L841" s="101" t="s">
        <v>149</v>
      </c>
      <c r="M841" s="102" t="str">
        <f>IFNA(VLOOKUP(L841,'🙎‍♂️ Pasien'!G:V,2,FALSE),"")</f>
        <v>S9825058991</v>
      </c>
      <c r="N841" s="103">
        <f>IFNA(VLOOKUP(L841,'🙎‍♂️ Pasien'!G:L,3,FALSE),"")</f>
        <v>27</v>
      </c>
      <c r="O841" s="104" t="str">
        <f>IFNA(VLOOKUP(L841,'🙎‍♂️ Pasien'!G:V,6,FALSE),"")</f>
        <v>PEREMPUAN</v>
      </c>
      <c r="P841" s="104" t="str">
        <f>IFNA(VLOOKUP(L841,'🙎‍♂️ Pasien'!G:V,12,FALSE),"")</f>
        <v>ISLAM</v>
      </c>
      <c r="Q841" s="104" t="str">
        <f>IFNA(VLOOKUP(L841:L1508,'🙎‍♂️ Pasien'!G:V,13,FALSE),"")</f>
        <v>SWASTA</v>
      </c>
      <c r="R841" s="104" t="str">
        <f t="array" ref="R841">ifna(xlookup(L841,'🙎‍♂️ Pasien'!$G$5:$G1508,'🙎‍♂️ Pasien'!$T$5:$T1508),"")</f>
        <v>HNP LUMBAL/SARAF KEJEPIT</v>
      </c>
      <c r="S841" s="104" t="str">
        <f t="array" ref="S841">ifna(xlookup(L841,'🙎‍♂️ Pasien'!$G$5:$G1508,'🙎‍♂️ Pasien'!$U$5:$U1508),"")</f>
        <v>BEKERJA KANTORAN</v>
      </c>
      <c r="T841" s="97" t="s">
        <v>67</v>
      </c>
      <c r="U841" s="105">
        <v>6.0</v>
      </c>
      <c r="V841" s="101" t="s">
        <v>137</v>
      </c>
      <c r="W841" s="106" t="b">
        <v>1</v>
      </c>
      <c r="X841" s="107"/>
      <c r="Y841" s="108"/>
    </row>
    <row r="842" ht="22.5" customHeight="1">
      <c r="A842" s="96"/>
      <c r="B842" s="97" t="s">
        <v>85</v>
      </c>
      <c r="C842" s="98" t="str">
        <f t="array" ref="C842">IFNA(XLOOKUP(J842,'⚙️ Pengaturan'!$H$5:$H1508,'⚙️ Pengaturan'!$I$5:$I1508),"")</f>
        <v>TIM Y</v>
      </c>
      <c r="D842" s="97" t="s">
        <v>54</v>
      </c>
      <c r="E842" s="99">
        <v>45979.0</v>
      </c>
      <c r="F842" s="100" t="str">
        <f t="shared" si="1"/>
        <v>2025</v>
      </c>
      <c r="G842" s="100" t="str">
        <f t="shared" si="2"/>
        <v>11Nov</v>
      </c>
      <c r="H842" s="100" t="str">
        <f t="shared" si="3"/>
        <v>Selasa</v>
      </c>
      <c r="I842" s="97" t="s">
        <v>87</v>
      </c>
      <c r="J842" s="97" t="s">
        <v>107</v>
      </c>
      <c r="K842" s="97" t="s">
        <v>63</v>
      </c>
      <c r="L842" s="101" t="s">
        <v>382</v>
      </c>
      <c r="M842" s="102" t="str">
        <f>IFNA(VLOOKUP(L842,'🙎‍♂️ Pasien'!G:V,2,FALSE),"")</f>
        <v>D6925037525</v>
      </c>
      <c r="N842" s="103">
        <f>IFNA(VLOOKUP(L842,'🙎‍♂️ Pasien'!G:L,3,FALSE),"")</f>
        <v>57</v>
      </c>
      <c r="O842" s="104" t="str">
        <f>IFNA(VLOOKUP(L842,'🙎‍♂️ Pasien'!G:V,6,FALSE),"")</f>
        <v>PEREMPUAN</v>
      </c>
      <c r="P842" s="104" t="str">
        <f>IFNA(VLOOKUP(L842,'🙎‍♂️ Pasien'!G:V,12,FALSE),"")</f>
        <v>ISLAM</v>
      </c>
      <c r="Q842" s="104" t="str">
        <f>IFNA(VLOOKUP(L842:L1508,'🙎‍♂️ Pasien'!G:V,13,FALSE),"")</f>
        <v>RUMAH TANGGA</v>
      </c>
      <c r="R842" s="104" t="str">
        <f t="array" ref="R842">ifna(xlookup(L842,'🙎‍♂️ Pasien'!$G$5:$G1508,'🙎‍♂️ Pasien'!$T$5:$T1508),"")</f>
        <v>BAHU DAN KAKI</v>
      </c>
      <c r="S842" s="104" t="str">
        <f t="array" ref="S842">ifna(xlookup(L842,'🙎‍♂️ Pasien'!$G$5:$G1508,'🙎‍♂️ Pasien'!$U$5:$U1508),"")</f>
        <v>-</v>
      </c>
      <c r="T842" s="97" t="s">
        <v>59</v>
      </c>
      <c r="U842" s="105">
        <v>5.0</v>
      </c>
      <c r="V842" s="101" t="s">
        <v>125</v>
      </c>
      <c r="W842" s="106" t="b">
        <v>1</v>
      </c>
      <c r="X842" s="107"/>
      <c r="Y842" s="108"/>
    </row>
    <row r="843" ht="22.5" customHeight="1">
      <c r="A843" s="96"/>
      <c r="B843" s="97" t="s">
        <v>85</v>
      </c>
      <c r="C843" s="98" t="str">
        <f t="array" ref="C843">IFNA(XLOOKUP(J843,'⚙️ Pengaturan'!$H$5:$H1508,'⚙️ Pengaturan'!$I$5:$I1508),"")</f>
        <v>TIM Y</v>
      </c>
      <c r="D843" s="97" t="s">
        <v>54</v>
      </c>
      <c r="E843" s="99">
        <v>45979.0</v>
      </c>
      <c r="F843" s="100" t="str">
        <f t="shared" si="1"/>
        <v>2025</v>
      </c>
      <c r="G843" s="100" t="str">
        <f t="shared" si="2"/>
        <v>11Nov</v>
      </c>
      <c r="H843" s="100" t="str">
        <f t="shared" si="3"/>
        <v>Selasa</v>
      </c>
      <c r="I843" s="97" t="s">
        <v>87</v>
      </c>
      <c r="J843" s="97" t="s">
        <v>91</v>
      </c>
      <c r="K843" s="97" t="s">
        <v>69</v>
      </c>
      <c r="L843" s="101" t="s">
        <v>499</v>
      </c>
      <c r="M843" s="102" t="str">
        <f>IFNA(VLOOKUP(L843,'🙎‍♂️ Pasien'!G:V,2,FALSE),"")</f>
        <v>S6025112254</v>
      </c>
      <c r="N843" s="103">
        <f>IFNA(VLOOKUP(L843,'🙎‍♂️ Pasien'!G:L,3,FALSE),"")</f>
        <v>65</v>
      </c>
      <c r="O843" s="104" t="str">
        <f>IFNA(VLOOKUP(L843,'🙎‍♂️ Pasien'!G:V,6,FALSE),"")</f>
        <v>PEREMPUAN</v>
      </c>
      <c r="P843" s="104" t="str">
        <f>IFNA(VLOOKUP(L843,'🙎‍♂️ Pasien'!G:V,12,FALSE),"")</f>
        <v>ISLAM</v>
      </c>
      <c r="Q843" s="104" t="str">
        <f>IFNA(VLOOKUP(L843:L1508,'🙎‍♂️ Pasien'!G:V,13,FALSE),"")</f>
        <v>PENSIUNAN</v>
      </c>
      <c r="R843" s="104" t="str">
        <f t="array" ref="R843">ifna(xlookup(L843,'🙎‍♂️ Pasien'!$G$5:$G1508,'🙎‍♂️ Pasien'!$T$5:$T1508),"")</f>
        <v>LUTUS SAKIT SAAT BERDIRI ATAU JALAN</v>
      </c>
      <c r="S843" s="104" t="str">
        <f t="array" ref="S843">ifna(xlookup(L843,'🙎‍♂️ Pasien'!$G$5:$G1508,'🙎‍♂️ Pasien'!$U$5:$U1508),"")</f>
        <v>DIRUMAH SAJA</v>
      </c>
      <c r="T843" s="97" t="s">
        <v>59</v>
      </c>
      <c r="U843" s="105" t="s">
        <v>60</v>
      </c>
      <c r="V843" s="101"/>
      <c r="W843" s="106" t="b">
        <v>1</v>
      </c>
      <c r="X843" s="107"/>
      <c r="Y843" s="108"/>
    </row>
    <row r="844" ht="22.5" customHeight="1">
      <c r="A844" s="96"/>
      <c r="B844" s="97" t="s">
        <v>85</v>
      </c>
      <c r="C844" s="98" t="str">
        <f t="array" ref="C844">IFNA(XLOOKUP(J844,'⚙️ Pengaturan'!$H$5:$H1508,'⚙️ Pengaturan'!$I$5:$I1508),"")</f>
        <v>TIM Y</v>
      </c>
      <c r="D844" s="97" t="s">
        <v>54</v>
      </c>
      <c r="E844" s="99">
        <v>45979.0</v>
      </c>
      <c r="F844" s="100" t="str">
        <f t="shared" si="1"/>
        <v>2025</v>
      </c>
      <c r="G844" s="100" t="str">
        <f t="shared" si="2"/>
        <v>11Nov</v>
      </c>
      <c r="H844" s="100" t="str">
        <f t="shared" si="3"/>
        <v>Selasa</v>
      </c>
      <c r="I844" s="97" t="s">
        <v>93</v>
      </c>
      <c r="J844" s="97" t="s">
        <v>91</v>
      </c>
      <c r="K844" s="97" t="s">
        <v>63</v>
      </c>
      <c r="L844" s="101" t="s">
        <v>381</v>
      </c>
      <c r="M844" s="102" t="str">
        <f>IFNA(VLOOKUP(L844,'🙎‍♂️ Pasien'!G:V,2,FALSE),"")</f>
        <v>A9925105509</v>
      </c>
      <c r="N844" s="103">
        <f>IFNA(VLOOKUP(L844,'🙎‍♂️ Pasien'!G:L,3,FALSE),"")</f>
        <v>27</v>
      </c>
      <c r="O844" s="104" t="str">
        <f>IFNA(VLOOKUP(L844,'🙎‍♂️ Pasien'!G:V,6,FALSE),"")</f>
        <v>PEREMPUAN</v>
      </c>
      <c r="P844" s="104" t="str">
        <f>IFNA(VLOOKUP(L844,'🙎‍♂️ Pasien'!G:V,12,FALSE),"")</f>
        <v>BUDDHA</v>
      </c>
      <c r="Q844" s="104" t="str">
        <f>IFNA(VLOOKUP(L844:L1508,'🙎‍♂️ Pasien'!G:V,13,FALSE),"")</f>
        <v>WIRASWASTA</v>
      </c>
      <c r="R844" s="104" t="str">
        <f t="array" ref="R844">ifna(xlookup(L844,'🙎‍♂️ Pasien'!$G$5:$G1508,'🙎‍♂️ Pasien'!$T$5:$T1508),"")</f>
        <v>KAKI BEKAS ANKLE SPRAIN SUDAH DITRE DAN BAHU PEGAL</v>
      </c>
      <c r="S844" s="104" t="str">
        <f t="array" ref="S844">ifna(xlookup(L844,'🙎‍♂️ Pasien'!$G$5:$G1508,'🙎‍♂️ Pasien'!$U$5:$U1508),"")</f>
        <v>2 MINGGU LALU JATUH DARI KETINGGIAN</v>
      </c>
      <c r="T844" s="97" t="s">
        <v>59</v>
      </c>
      <c r="U844" s="105">
        <v>1.0</v>
      </c>
      <c r="V844" s="101"/>
      <c r="W844" s="106" t="b">
        <v>1</v>
      </c>
      <c r="X844" s="107"/>
      <c r="Y844" s="108"/>
    </row>
    <row r="845" ht="22.5" customHeight="1">
      <c r="A845" s="96"/>
      <c r="B845" s="97" t="s">
        <v>85</v>
      </c>
      <c r="C845" s="98" t="str">
        <f t="array" ref="C845">IFNA(XLOOKUP(J845,'⚙️ Pengaturan'!$H$5:$H1508,'⚙️ Pengaturan'!$I$5:$I1508),"")</f>
        <v>TIM Y</v>
      </c>
      <c r="D845" s="97" t="s">
        <v>54</v>
      </c>
      <c r="E845" s="99">
        <v>45979.0</v>
      </c>
      <c r="F845" s="100" t="str">
        <f t="shared" si="1"/>
        <v>2025</v>
      </c>
      <c r="G845" s="100" t="str">
        <f t="shared" si="2"/>
        <v>11Nov</v>
      </c>
      <c r="H845" s="100" t="str">
        <f t="shared" si="3"/>
        <v>Selasa</v>
      </c>
      <c r="I845" s="97" t="s">
        <v>93</v>
      </c>
      <c r="J845" s="97" t="s">
        <v>107</v>
      </c>
      <c r="K845" s="97" t="s">
        <v>57</v>
      </c>
      <c r="L845" s="101" t="s">
        <v>543</v>
      </c>
      <c r="M845" s="102" t="str">
        <f>IFNA(VLOOKUP(L845,'🙎‍♂️ Pasien'!G:V,2,FALSE),"")</f>
        <v>A8725115557</v>
      </c>
      <c r="N845" s="103">
        <f>IFNA(VLOOKUP(L845,'🙎‍♂️ Pasien'!G:L,3,FALSE),"")</f>
        <v>38</v>
      </c>
      <c r="O845" s="104" t="str">
        <f>IFNA(VLOOKUP(L845,'🙎‍♂️ Pasien'!G:V,6,FALSE),"")</f>
        <v>PEREMPUAN</v>
      </c>
      <c r="P845" s="104" t="str">
        <f>IFNA(VLOOKUP(L845,'🙎‍♂️ Pasien'!G:V,12,FALSE),"")</f>
        <v>ISLAM</v>
      </c>
      <c r="Q845" s="104" t="str">
        <f>IFNA(VLOOKUP(L845:L1508,'🙎‍♂️ Pasien'!G:V,13,FALSE),"")</f>
        <v>KARYAWAN SWASTA</v>
      </c>
      <c r="R845" s="104" t="str">
        <f t="array" ref="R845">ifna(xlookup(L845,'🙎‍♂️ Pasien'!$G$5:$G1508,'🙎‍♂️ Pasien'!$T$5:$T1508),"")</f>
        <v>NYERI SAAT NARIK NAFAS DAN BERGERAK AREA RUSUK DEPAN HINGGA BELAKANG SEBELAH KANAN</v>
      </c>
      <c r="S845" s="104" t="str">
        <f t="array" ref="S845">ifna(xlookup(L845,'🙎‍♂️ Pasien'!$G$5:$G1508,'🙎‍♂️ Pasien'!$U$5:$U1508),"")</f>
        <v>SAAT INI SEDANG BATUK, OLAHRAGA THREADMIL DAN BULU TANGKIS BEBERAPA WAKTU INI</v>
      </c>
      <c r="T845" s="97" t="s">
        <v>59</v>
      </c>
      <c r="U845" s="105" t="s">
        <v>60</v>
      </c>
      <c r="V845" s="101"/>
      <c r="W845" s="106" t="b">
        <v>1</v>
      </c>
      <c r="X845" s="107"/>
      <c r="Y845" s="108"/>
    </row>
    <row r="846" ht="22.5" customHeight="1">
      <c r="A846" s="96"/>
      <c r="B846" s="97" t="s">
        <v>85</v>
      </c>
      <c r="C846" s="98" t="str">
        <f t="array" ref="C846">IFNA(XLOOKUP(J846,'⚙️ Pengaturan'!$H$5:$H1508,'⚙️ Pengaturan'!$I$5:$I1508),"")</f>
        <v>TIM Y</v>
      </c>
      <c r="D846" s="97" t="s">
        <v>54</v>
      </c>
      <c r="E846" s="99">
        <v>45979.0</v>
      </c>
      <c r="F846" s="100" t="str">
        <f t="shared" si="1"/>
        <v>2025</v>
      </c>
      <c r="G846" s="100" t="str">
        <f t="shared" si="2"/>
        <v>11Nov</v>
      </c>
      <c r="H846" s="100" t="str">
        <f t="shared" si="3"/>
        <v>Selasa</v>
      </c>
      <c r="I846" s="97" t="s">
        <v>95</v>
      </c>
      <c r="J846" s="97" t="s">
        <v>107</v>
      </c>
      <c r="K846" s="97" t="s">
        <v>63</v>
      </c>
      <c r="L846" s="101" t="s">
        <v>193</v>
      </c>
      <c r="M846" s="102" t="str">
        <f>IFNA(VLOOKUP(L846,'🙎‍♂️ Pasien'!G:V,2,FALSE),"")</f>
        <v>E8925075615</v>
      </c>
      <c r="N846" s="103">
        <f>IFNA(VLOOKUP(L846,'🙎‍♂️ Pasien'!G:L,3,FALSE),"")</f>
        <v>36</v>
      </c>
      <c r="O846" s="104" t="str">
        <f>IFNA(VLOOKUP(L846,'🙎‍♂️ Pasien'!G:V,6,FALSE),"")</f>
        <v>PEREMPUAN</v>
      </c>
      <c r="P846" s="104" t="str">
        <f>IFNA(VLOOKUP(L846,'🙎‍♂️ Pasien'!G:V,12,FALSE),"")</f>
        <v>KATOLIK</v>
      </c>
      <c r="Q846" s="104" t="str">
        <f>IFNA(VLOOKUP(L846:L1508,'🙎‍♂️ Pasien'!G:V,13,FALSE),"")</f>
        <v>WIRASWASTA</v>
      </c>
      <c r="R846" s="104" t="str">
        <f t="array" ref="R846">ifna(xlookup(L846,'🙎‍♂️ Pasien'!$G$5:$G1508,'🙎‍♂️ Pasien'!$T$5:$T1508),"")</f>
        <v>BUNION</v>
      </c>
      <c r="S846" s="104" t="str">
        <f t="array" ref="S846">ifna(xlookup(L846,'🙎‍♂️ Pasien'!$G$5:$G1508,'🙎‍♂️ Pasien'!$U$5:$U1508),"")</f>
        <v>TENNIS</v>
      </c>
      <c r="T846" s="97" t="s">
        <v>59</v>
      </c>
      <c r="U846" s="105">
        <v>10.0</v>
      </c>
      <c r="V846" s="101" t="s">
        <v>125</v>
      </c>
      <c r="W846" s="106" t="b">
        <v>1</v>
      </c>
      <c r="X846" s="107"/>
      <c r="Y846" s="108"/>
    </row>
    <row r="847" ht="22.5" customHeight="1">
      <c r="A847" s="96"/>
      <c r="B847" s="97" t="s">
        <v>85</v>
      </c>
      <c r="C847" s="98" t="str">
        <f t="array" ref="C847">IFNA(XLOOKUP(J847,'⚙️ Pengaturan'!$H$5:$H1508,'⚙️ Pengaturan'!$I$5:$I1508),"")</f>
        <v>TIM Y</v>
      </c>
      <c r="D847" s="97" t="s">
        <v>54</v>
      </c>
      <c r="E847" s="99">
        <v>45979.0</v>
      </c>
      <c r="F847" s="100" t="str">
        <f t="shared" si="1"/>
        <v>2025</v>
      </c>
      <c r="G847" s="100" t="str">
        <f t="shared" si="2"/>
        <v>11Nov</v>
      </c>
      <c r="H847" s="100" t="str">
        <f t="shared" si="3"/>
        <v>Selasa</v>
      </c>
      <c r="I847" s="97" t="s">
        <v>97</v>
      </c>
      <c r="J847" s="97" t="s">
        <v>91</v>
      </c>
      <c r="K847" s="97" t="s">
        <v>63</v>
      </c>
      <c r="L847" s="101" t="s">
        <v>532</v>
      </c>
      <c r="M847" s="102" t="str">
        <f>IFNA(VLOOKUP(L847,'🙎‍♂️ Pasien'!G:V,2,FALSE),"")</f>
        <v>H1025113976</v>
      </c>
      <c r="N847" s="103">
        <f>IFNA(VLOOKUP(L847,'🙎‍♂️ Pasien'!G:L,3,FALSE),"")</f>
        <v>15</v>
      </c>
      <c r="O847" s="104" t="str">
        <f>IFNA(VLOOKUP(L847,'🙎‍♂️ Pasien'!G:V,6,FALSE),"")</f>
        <v>PEREMPUAN</v>
      </c>
      <c r="P847" s="104" t="str">
        <f>IFNA(VLOOKUP(L847,'🙎‍♂️ Pasien'!G:V,12,FALSE),"")</f>
        <v>ISLAM</v>
      </c>
      <c r="Q847" s="104" t="str">
        <f>IFNA(VLOOKUP(L847:L1508,'🙎‍♂️ Pasien'!G:V,13,FALSE),"")</f>
        <v>PELAJAR</v>
      </c>
      <c r="R847" s="104" t="str">
        <f t="array" ref="R847">ifna(xlookup(L847,'🙎‍♂️ Pasien'!$G$5:$G1508,'🙎‍♂️ Pasien'!$T$5:$T1508),"")</f>
        <v>PERGELANGAN KAKI DAN LUTUS NYERI, KETIKA BANGUN TIDUR SAMPAI PINCANG</v>
      </c>
      <c r="S847" s="104" t="str">
        <f t="array" ref="S847">ifna(xlookup(L847,'🙎‍♂️ Pasien'!$G$5:$G1508,'🙎‍♂️ Pasien'!$U$5:$U1508),"")</f>
        <v>SEKOLAH NAIK TURUN TANGGA</v>
      </c>
      <c r="T847" s="97" t="s">
        <v>59</v>
      </c>
      <c r="U847" s="105">
        <v>1.0</v>
      </c>
      <c r="V847" s="101"/>
      <c r="W847" s="106" t="b">
        <v>1</v>
      </c>
      <c r="X847" s="107"/>
      <c r="Y847" s="108"/>
    </row>
    <row r="848" ht="22.5" customHeight="1">
      <c r="A848" s="96"/>
      <c r="B848" s="97" t="s">
        <v>85</v>
      </c>
      <c r="C848" s="98" t="str">
        <f t="array" ref="C848">IFNA(XLOOKUP(J848,'⚙️ Pengaturan'!$H$5:$H1508,'⚙️ Pengaturan'!$I$5:$I1508),"")</f>
        <v>TIM Y</v>
      </c>
      <c r="D848" s="97" t="s">
        <v>54</v>
      </c>
      <c r="E848" s="99">
        <v>45979.0</v>
      </c>
      <c r="F848" s="100" t="str">
        <f t="shared" si="1"/>
        <v>2025</v>
      </c>
      <c r="G848" s="100" t="str">
        <f t="shared" si="2"/>
        <v>11Nov</v>
      </c>
      <c r="H848" s="100" t="str">
        <f t="shared" si="3"/>
        <v>Selasa</v>
      </c>
      <c r="I848" s="97" t="s">
        <v>99</v>
      </c>
      <c r="J848" s="97" t="s">
        <v>88</v>
      </c>
      <c r="K848" s="97" t="s">
        <v>63</v>
      </c>
      <c r="L848" s="101" t="s">
        <v>392</v>
      </c>
      <c r="M848" s="102" t="str">
        <f>IFNA(VLOOKUP(L848,'🙎‍♂️ Pasien'!G:V,2,FALSE),"")</f>
        <v>D0625102206</v>
      </c>
      <c r="N848" s="103">
        <f>IFNA(VLOOKUP(L848,'🙎‍♂️ Pasien'!G:L,3,FALSE),"")</f>
        <v>19</v>
      </c>
      <c r="O848" s="104" t="str">
        <f>IFNA(VLOOKUP(L848,'🙎‍♂️ Pasien'!G:V,6,FALSE),"")</f>
        <v>LAKI-LAKI</v>
      </c>
      <c r="P848" s="104" t="str">
        <f>IFNA(VLOOKUP(L848,'🙎‍♂️ Pasien'!G:V,12,FALSE),"")</f>
        <v>ISLAM</v>
      </c>
      <c r="Q848" s="104" t="str">
        <f>IFNA(VLOOKUP(L848:L1508,'🙎‍♂️ Pasien'!G:V,13,FALSE),"")</f>
        <v>KARYAWAN SWASTA</v>
      </c>
      <c r="R848" s="104" t="str">
        <f t="array" ref="R848">ifna(xlookup(L848,'🙎‍♂️ Pasien'!$G$5:$G1508,'🙎‍♂️ Pasien'!$T$5:$T1508),"")</f>
        <v>CEDERA KAKI</v>
      </c>
      <c r="S848" s="104" t="str">
        <f t="array" ref="S848">ifna(xlookup(L848,'🙎‍♂️ Pasien'!$G$5:$G1508,'🙎‍♂️ Pasien'!$U$5:$U1508),"")</f>
        <v>BERMAIN FUTSAL</v>
      </c>
      <c r="T848" s="97" t="s">
        <v>67</v>
      </c>
      <c r="U848" s="105">
        <v>5.0</v>
      </c>
      <c r="V848" s="101" t="s">
        <v>544</v>
      </c>
      <c r="W848" s="106" t="b">
        <v>1</v>
      </c>
      <c r="X848" s="107"/>
      <c r="Y848" s="108"/>
    </row>
    <row r="849" ht="22.5" customHeight="1">
      <c r="A849" s="96"/>
      <c r="B849" s="97" t="s">
        <v>85</v>
      </c>
      <c r="C849" s="98" t="str">
        <f t="array" ref="C849">IFNA(XLOOKUP(J849,'⚙️ Pengaturan'!$H$5:$H1508,'⚙️ Pengaturan'!$I$5:$I1508),"")</f>
        <v>TIM Y</v>
      </c>
      <c r="D849" s="97" t="s">
        <v>54</v>
      </c>
      <c r="E849" s="99">
        <v>45979.0</v>
      </c>
      <c r="F849" s="100" t="str">
        <f t="shared" si="1"/>
        <v>2025</v>
      </c>
      <c r="G849" s="100" t="str">
        <f t="shared" si="2"/>
        <v>11Nov</v>
      </c>
      <c r="H849" s="100" t="str">
        <f t="shared" si="3"/>
        <v>Selasa</v>
      </c>
      <c r="I849" s="97" t="s">
        <v>99</v>
      </c>
      <c r="J849" s="97" t="s">
        <v>91</v>
      </c>
      <c r="K849" s="97" t="s">
        <v>57</v>
      </c>
      <c r="L849" s="101" t="s">
        <v>482</v>
      </c>
      <c r="M849" s="102" t="str">
        <f>IFNA(VLOOKUP(L849,'🙎‍♂️ Pasien'!G:V,2,FALSE),"")</f>
        <v>E9725118035</v>
      </c>
      <c r="N849" s="103">
        <f>IFNA(VLOOKUP(L849,'🙎‍♂️ Pasien'!G:L,3,FALSE),"")</f>
        <v>29</v>
      </c>
      <c r="O849" s="104" t="str">
        <f>IFNA(VLOOKUP(L849,'🙎‍♂️ Pasien'!G:V,6,FALSE),"")</f>
        <v>PEREMPUAN</v>
      </c>
      <c r="P849" s="104" t="str">
        <f>IFNA(VLOOKUP(L849,'🙎‍♂️ Pasien'!G:V,12,FALSE),"")</f>
        <v>BUDDHA</v>
      </c>
      <c r="Q849" s="104" t="str">
        <f>IFNA(VLOOKUP(L849:L1508,'🙎‍♂️ Pasien'!G:V,13,FALSE),"")</f>
        <v>ADMIN</v>
      </c>
      <c r="R849" s="104" t="str">
        <f t="array" ref="R849">ifna(xlookup(L849,'🙎‍♂️ Pasien'!$G$5:$G1508,'🙎‍♂️ Pasien'!$T$5:$T1508),"")</f>
        <v>KAKI KANAN TELAPAK KAKI</v>
      </c>
      <c r="S849" s="104" t="str">
        <f t="array" ref="S849">ifna(xlookup(L849,'🙎‍♂️ Pasien'!$G$5:$G1508,'🙎‍♂️ Pasien'!$U$5:$U1508),"")</f>
        <v>SEBELUMNY ADA AKTIFITAS IKUT MARATON 5K</v>
      </c>
      <c r="T849" s="97" t="s">
        <v>59</v>
      </c>
      <c r="U849" s="105" t="s">
        <v>60</v>
      </c>
      <c r="V849" s="101"/>
      <c r="W849" s="106" t="b">
        <v>1</v>
      </c>
      <c r="X849" s="107"/>
      <c r="Y849" s="108"/>
    </row>
    <row r="850" ht="22.5" customHeight="1">
      <c r="A850" s="96"/>
      <c r="B850" s="97" t="s">
        <v>85</v>
      </c>
      <c r="C850" s="98" t="str">
        <f t="array" ref="C850">IFNA(XLOOKUP(J850,'⚙️ Pengaturan'!$H$5:$H1508,'⚙️ Pengaturan'!$I$5:$I1508),"")</f>
        <v>TIM Y</v>
      </c>
      <c r="D850" s="97" t="s">
        <v>54</v>
      </c>
      <c r="E850" s="99">
        <v>45979.0</v>
      </c>
      <c r="F850" s="100" t="str">
        <f t="shared" si="1"/>
        <v>2025</v>
      </c>
      <c r="G850" s="100" t="str">
        <f t="shared" si="2"/>
        <v>11Nov</v>
      </c>
      <c r="H850" s="100" t="str">
        <f t="shared" si="3"/>
        <v>Selasa</v>
      </c>
      <c r="I850" s="97" t="s">
        <v>99</v>
      </c>
      <c r="J850" s="97" t="s">
        <v>107</v>
      </c>
      <c r="K850" s="97" t="s">
        <v>63</v>
      </c>
      <c r="L850" s="101" t="s">
        <v>545</v>
      </c>
      <c r="M850" s="102" t="str">
        <f>IFNA(VLOOKUP(L850,'🙎‍♂️ Pasien'!G:V,2,FALSE),"")</f>
        <v>Y9325112254</v>
      </c>
      <c r="N850" s="103">
        <f>IFNA(VLOOKUP(L850,'🙎‍♂️ Pasien'!G:L,3,FALSE),"")</f>
        <v>33</v>
      </c>
      <c r="O850" s="104" t="str">
        <f>IFNA(VLOOKUP(L850,'🙎‍♂️ Pasien'!G:V,6,FALSE),"")</f>
        <v>PEREMPUAN</v>
      </c>
      <c r="P850" s="104" t="str">
        <f>IFNA(VLOOKUP(L850,'🙎‍♂️ Pasien'!G:V,12,FALSE),"")</f>
        <v>ISLAM</v>
      </c>
      <c r="Q850" s="104" t="str">
        <f>IFNA(VLOOKUP(L850:L1508,'🙎‍♂️ Pasien'!G:V,13,FALSE),"")</f>
        <v>SWASTA</v>
      </c>
      <c r="R850" s="104" t="str">
        <f t="array" ref="R850">ifna(xlookup(L850,'🙎‍♂️ Pasien'!$G$5:$G1508,'🙎‍♂️ Pasien'!$T$5:$T1508),"")</f>
        <v>PINGGANG SERING NYERI</v>
      </c>
      <c r="S850" s="104" t="str">
        <f t="array" ref="S850">ifna(xlookup(L850,'🙎‍♂️ Pasien'!$G$5:$G1508,'🙎‍♂️ Pasien'!$U$5:$U1508),"")</f>
        <v>OLAHRAGA</v>
      </c>
      <c r="T850" s="97" t="s">
        <v>59</v>
      </c>
      <c r="U850" s="105">
        <v>1.0</v>
      </c>
      <c r="V850" s="101"/>
      <c r="W850" s="106" t="b">
        <v>1</v>
      </c>
      <c r="X850" s="107"/>
      <c r="Y850" s="108"/>
    </row>
    <row r="851" ht="22.5" customHeight="1">
      <c r="A851" s="96"/>
      <c r="B851" s="97" t="s">
        <v>53</v>
      </c>
      <c r="C851" s="98" t="str">
        <f t="array" ref="C851">IFNA(XLOOKUP(J851,'⚙️ Pengaturan'!$H$5:$H1508,'⚙️ Pengaturan'!$I$5:$I1508),"")</f>
        <v>TIM Y</v>
      </c>
      <c r="D851" s="97" t="s">
        <v>54</v>
      </c>
      <c r="E851" s="99">
        <v>45980.0</v>
      </c>
      <c r="F851" s="100" t="str">
        <f t="shared" si="1"/>
        <v>2025</v>
      </c>
      <c r="G851" s="100" t="str">
        <f t="shared" si="2"/>
        <v>11Nov</v>
      </c>
      <c r="H851" s="100" t="str">
        <f t="shared" si="3"/>
        <v>Rabu</v>
      </c>
      <c r="I851" s="97" t="s">
        <v>55</v>
      </c>
      <c r="J851" s="97" t="s">
        <v>56</v>
      </c>
      <c r="K851" s="97" t="s">
        <v>57</v>
      </c>
      <c r="L851" s="101" t="s">
        <v>546</v>
      </c>
      <c r="M851" s="102" t="str">
        <f>IFNA(VLOOKUP(L851,'🙎‍♂️ Pasien'!G:V,2,FALSE),"")</f>
        <v/>
      </c>
      <c r="N851" s="103" t="str">
        <f>IFNA(VLOOKUP(L851,'🙎‍♂️ Pasien'!G:L,3,FALSE),"")</f>
        <v/>
      </c>
      <c r="O851" s="104" t="str">
        <f>IFNA(VLOOKUP(L851,'🙎‍♂️ Pasien'!G:V,6,FALSE),"")</f>
        <v/>
      </c>
      <c r="P851" s="104" t="str">
        <f>IFNA(VLOOKUP(L851,'🙎‍♂️ Pasien'!G:V,12,FALSE),"")</f>
        <v/>
      </c>
      <c r="Q851" s="104" t="str">
        <f>IFNA(VLOOKUP(L851:L1508,'🙎‍♂️ Pasien'!G:V,13,FALSE),"")</f>
        <v/>
      </c>
      <c r="R851" s="104" t="str">
        <f t="array" ref="R851">ifna(xlookup(L851,'🙎‍♂️ Pasien'!$G$5:$G1508,'🙎‍♂️ Pasien'!$T$5:$T1508),"")</f>
        <v/>
      </c>
      <c r="S851" s="104" t="str">
        <f t="array" ref="S851">ifna(xlookup(L851,'🙎‍♂️ Pasien'!$G$5:$G1508,'🙎‍♂️ Pasien'!$U$5:$U1508),"")</f>
        <v/>
      </c>
      <c r="T851" s="97" t="s">
        <v>59</v>
      </c>
      <c r="U851" s="105" t="s">
        <v>60</v>
      </c>
      <c r="V851" s="101"/>
      <c r="W851" s="106" t="b">
        <v>1</v>
      </c>
      <c r="X851" s="107"/>
      <c r="Y851" s="108"/>
    </row>
    <row r="852" ht="22.5" customHeight="1">
      <c r="A852" s="96"/>
      <c r="B852" s="97" t="s">
        <v>53</v>
      </c>
      <c r="C852" s="98" t="str">
        <f t="array" ref="C852">IFNA(XLOOKUP(J852,'⚙️ Pengaturan'!$H$5:$H1508,'⚙️ Pengaturan'!$I$5:$I1508),"")</f>
        <v>MANAJEMEN</v>
      </c>
      <c r="D852" s="97" t="s">
        <v>54</v>
      </c>
      <c r="E852" s="99">
        <v>45980.0</v>
      </c>
      <c r="F852" s="100" t="str">
        <f t="shared" si="1"/>
        <v>2025</v>
      </c>
      <c r="G852" s="100" t="str">
        <f t="shared" si="2"/>
        <v>11Nov</v>
      </c>
      <c r="H852" s="100" t="str">
        <f t="shared" si="3"/>
        <v>Rabu</v>
      </c>
      <c r="I852" s="97" t="s">
        <v>55</v>
      </c>
      <c r="J852" s="97" t="s">
        <v>101</v>
      </c>
      <c r="K852" s="97" t="s">
        <v>63</v>
      </c>
      <c r="L852" s="101" t="s">
        <v>534</v>
      </c>
      <c r="M852" s="102" t="str">
        <f>IFNA(VLOOKUP(L852,'🙎‍♂️ Pasien'!G:V,2,FALSE),"")</f>
        <v>R6925118000</v>
      </c>
      <c r="N852" s="103">
        <f>IFNA(VLOOKUP(L852,'🙎‍♂️ Pasien'!G:L,3,FALSE),"")</f>
        <v>57</v>
      </c>
      <c r="O852" s="104" t="str">
        <f>IFNA(VLOOKUP(L852,'🙎‍♂️ Pasien'!G:V,6,FALSE),"")</f>
        <v>PEREMPUAN</v>
      </c>
      <c r="P852" s="104" t="str">
        <f>IFNA(VLOOKUP(L852,'🙎‍♂️ Pasien'!G:V,12,FALSE),"")</f>
        <v>KATOLIK</v>
      </c>
      <c r="Q852" s="104" t="str">
        <f>IFNA(VLOOKUP(L852:L1508,'🙎‍♂️ Pasien'!G:V,13,FALSE),"")</f>
        <v>RUMAH TANGGA</v>
      </c>
      <c r="R852" s="104" t="str">
        <f t="array" ref="R852">ifna(xlookup(L852,'🙎‍♂️ Pasien'!$G$5:$G1508,'🙎‍♂️ Pasien'!$T$5:$T1508),"")</f>
        <v>KAKI SAKIT</v>
      </c>
      <c r="S852" s="104" t="str">
        <f t="array" ref="S852">ifna(xlookup(L852,'🙎‍♂️ Pasien'!$G$5:$G1508,'🙎‍♂️ Pasien'!$U$5:$U1508),"")</f>
        <v>-</v>
      </c>
      <c r="T852" s="97" t="s">
        <v>59</v>
      </c>
      <c r="U852" s="105">
        <v>1.0</v>
      </c>
      <c r="V852" s="101"/>
      <c r="W852" s="106" t="b">
        <v>1</v>
      </c>
      <c r="X852" s="107"/>
      <c r="Y852" s="108"/>
    </row>
    <row r="853" ht="22.5" customHeight="1">
      <c r="A853" s="96"/>
      <c r="B853" s="97" t="s">
        <v>53</v>
      </c>
      <c r="C853" s="98" t="str">
        <f t="array" ref="C853">IFNA(XLOOKUP(J853,'⚙️ Pengaturan'!$H$5:$H1508,'⚙️ Pengaturan'!$I$5:$I1508),"")</f>
        <v>TIM A</v>
      </c>
      <c r="D853" s="97" t="s">
        <v>54</v>
      </c>
      <c r="E853" s="99">
        <v>45980.0</v>
      </c>
      <c r="F853" s="100" t="str">
        <f t="shared" si="1"/>
        <v>2025</v>
      </c>
      <c r="G853" s="100" t="str">
        <f t="shared" si="2"/>
        <v>11Nov</v>
      </c>
      <c r="H853" s="100" t="str">
        <f t="shared" si="3"/>
        <v>Rabu</v>
      </c>
      <c r="I853" s="97" t="s">
        <v>65</v>
      </c>
      <c r="J853" s="97" t="s">
        <v>72</v>
      </c>
      <c r="K853" s="97" t="s">
        <v>63</v>
      </c>
      <c r="L853" s="101" t="s">
        <v>200</v>
      </c>
      <c r="M853" s="102" t="str">
        <f>IFNA(VLOOKUP(L853,'🙎‍♂️ Pasien'!G:V,2,FALSE),"")</f>
        <v>R5725106810</v>
      </c>
      <c r="N853" s="103">
        <f>IFNA(VLOOKUP(L853,'🙎‍♂️ Pasien'!G:L,3,FALSE),"")</f>
        <v>68</v>
      </c>
      <c r="O853" s="104" t="str">
        <f>IFNA(VLOOKUP(L853,'🙎‍♂️ Pasien'!G:V,6,FALSE),"")</f>
        <v>PEREMPUAN</v>
      </c>
      <c r="P853" s="104" t="str">
        <f>IFNA(VLOOKUP(L853,'🙎‍♂️ Pasien'!G:V,12,FALSE),"")</f>
        <v>PROTESTAN</v>
      </c>
      <c r="Q853" s="104" t="str">
        <f>IFNA(VLOOKUP(L853:L1508,'🙎‍♂️ Pasien'!G:V,13,FALSE),"")</f>
        <v>RUMAH TANGGA</v>
      </c>
      <c r="R853" s="104" t="str">
        <f t="array" ref="R853">ifna(xlookup(L853,'🙎‍♂️ Pasien'!$G$5:$G1508,'🙎‍♂️ Pasien'!$T$5:$T1508),"")</f>
        <v>KAKI KIRI SERING NYILU, PEGAL KALAU MALAM WAKTU MAU TIDUR, BAGIAN LEHER DAN BELIKAT KANAN SERING SAKIT..</v>
      </c>
      <c r="S853" s="104" t="str">
        <f t="array" ref="S853">ifna(xlookup(L853,'🙎‍♂️ Pasien'!$G$5:$G1508,'🙎‍♂️ Pasien'!$U$5:$U1508),"")</f>
        <v>KERJA DIRUMAH</v>
      </c>
      <c r="T853" s="97" t="s">
        <v>59</v>
      </c>
      <c r="U853" s="105">
        <v>2.0</v>
      </c>
      <c r="V853" s="101"/>
      <c r="W853" s="106" t="b">
        <v>1</v>
      </c>
      <c r="X853" s="107"/>
      <c r="Y853" s="108"/>
    </row>
    <row r="854" ht="22.5" customHeight="1">
      <c r="A854" s="96"/>
      <c r="B854" s="97" t="s">
        <v>53</v>
      </c>
      <c r="C854" s="98" t="str">
        <f t="array" ref="C854">IFNA(XLOOKUP(J854,'⚙️ Pengaturan'!$H$5:$H1508,'⚙️ Pengaturan'!$I$5:$I1508),"")</f>
        <v>TIM A</v>
      </c>
      <c r="D854" s="97" t="s">
        <v>54</v>
      </c>
      <c r="E854" s="99">
        <v>45980.0</v>
      </c>
      <c r="F854" s="100" t="str">
        <f t="shared" si="1"/>
        <v>2025</v>
      </c>
      <c r="G854" s="100" t="str">
        <f t="shared" si="2"/>
        <v>11Nov</v>
      </c>
      <c r="H854" s="100" t="str">
        <f t="shared" si="3"/>
        <v>Rabu</v>
      </c>
      <c r="I854" s="97" t="s">
        <v>76</v>
      </c>
      <c r="J854" s="97" t="s">
        <v>72</v>
      </c>
      <c r="K854" s="97" t="s">
        <v>57</v>
      </c>
      <c r="L854" s="101" t="s">
        <v>547</v>
      </c>
      <c r="M854" s="102" t="str">
        <f>IFNA(VLOOKUP(L854,'🙎‍♂️ Pasien'!G:V,2,FALSE),"")</f>
        <v>I5825112202</v>
      </c>
      <c r="N854" s="103">
        <f>IFNA(VLOOKUP(L854,'🙎‍♂️ Pasien'!G:L,3,FALSE),"")</f>
        <v>68</v>
      </c>
      <c r="O854" s="104" t="str">
        <f>IFNA(VLOOKUP(L854,'🙎‍♂️ Pasien'!G:V,6,FALSE),"")</f>
        <v>PEREMPUAN</v>
      </c>
      <c r="P854" s="104" t="str">
        <f>IFNA(VLOOKUP(L854,'🙎‍♂️ Pasien'!G:V,12,FALSE),"")</f>
        <v>ISLAM</v>
      </c>
      <c r="Q854" s="104" t="str">
        <f>IFNA(VLOOKUP(L854:L1508,'🙎‍♂️ Pasien'!G:V,13,FALSE),"")</f>
        <v>PENSIUNAN</v>
      </c>
      <c r="R854" s="104" t="str">
        <f t="array" ref="R854">ifna(xlookup(L854,'🙎‍♂️ Pasien'!$G$5:$G1508,'🙎‍♂️ Pasien'!$T$5:$T1508),"")</f>
        <v>SAKIT PUNGGUNG BAWAH</v>
      </c>
      <c r="S854" s="104" t="str">
        <f t="array" ref="S854">ifna(xlookup(L854,'🙎‍♂️ Pasien'!$G$5:$G1508,'🙎‍♂️ Pasien'!$U$5:$U1508),"")</f>
        <v>-</v>
      </c>
      <c r="T854" s="97" t="s">
        <v>59</v>
      </c>
      <c r="U854" s="105" t="s">
        <v>60</v>
      </c>
      <c r="V854" s="101"/>
      <c r="W854" s="106" t="b">
        <v>1</v>
      </c>
      <c r="X854" s="107"/>
      <c r="Y854" s="108"/>
    </row>
    <row r="855" ht="22.5" customHeight="1">
      <c r="A855" s="96"/>
      <c r="B855" s="97" t="s">
        <v>53</v>
      </c>
      <c r="C855" s="98" t="str">
        <f t="array" ref="C855">IFNA(XLOOKUP(J855,'⚙️ Pengaturan'!$H$5:$H1508,'⚙️ Pengaturan'!$I$5:$I1508),"")</f>
        <v>TIM A</v>
      </c>
      <c r="D855" s="97" t="s">
        <v>54</v>
      </c>
      <c r="E855" s="99">
        <v>45980.0</v>
      </c>
      <c r="F855" s="100" t="str">
        <f t="shared" si="1"/>
        <v>2025</v>
      </c>
      <c r="G855" s="100" t="str">
        <f t="shared" si="2"/>
        <v>11Nov</v>
      </c>
      <c r="H855" s="100" t="str">
        <f t="shared" si="3"/>
        <v>Rabu</v>
      </c>
      <c r="I855" s="97" t="s">
        <v>76</v>
      </c>
      <c r="J855" s="97" t="s">
        <v>62</v>
      </c>
      <c r="K855" s="97" t="s">
        <v>63</v>
      </c>
      <c r="L855" s="101" t="s">
        <v>445</v>
      </c>
      <c r="M855" s="102" t="str">
        <f>IFNA(VLOOKUP(L855,'🙎‍♂️ Pasien'!G:V,2,FALSE),"")</f>
        <v>M6925117500</v>
      </c>
      <c r="N855" s="103">
        <f>IFNA(VLOOKUP(L855,'🙎‍♂️ Pasien'!G:L,3,FALSE),"")</f>
        <v>56</v>
      </c>
      <c r="O855" s="104" t="str">
        <f>IFNA(VLOOKUP(L855,'🙎‍♂️ Pasien'!G:V,6,FALSE),"")</f>
        <v>PEREMPUAN</v>
      </c>
      <c r="P855" s="104" t="str">
        <f>IFNA(VLOOKUP(L855,'🙎‍♂️ Pasien'!G:V,12,FALSE),"")</f>
        <v>KATOLIK</v>
      </c>
      <c r="Q855" s="104" t="str">
        <f>IFNA(VLOOKUP(L855:L1508,'🙎‍♂️ Pasien'!G:V,13,FALSE),"")</f>
        <v>IRT</v>
      </c>
      <c r="R855" s="104" t="str">
        <f t="array" ref="R855">ifna(xlookup(L855,'🙎‍♂️ Pasien'!$G$5:$G1508,'🙎‍♂️ Pasien'!$T$5:$T1508),"")</f>
        <v>JARI</v>
      </c>
      <c r="S855" s="104" t="str">
        <f t="array" ref="S855">ifna(xlookup(L855,'🙎‍♂️ Pasien'!$G$5:$G1508,'🙎‍♂️ Pasien'!$U$5:$U1508),"")</f>
        <v>PEKERJAAN RUMAH TANGGA</v>
      </c>
      <c r="T855" s="97" t="s">
        <v>59</v>
      </c>
      <c r="U855" s="105">
        <v>5.0</v>
      </c>
      <c r="V855" s="101"/>
      <c r="W855" s="106" t="b">
        <v>1</v>
      </c>
      <c r="X855" s="107"/>
      <c r="Y855" s="108"/>
    </row>
    <row r="856" ht="22.5" customHeight="1">
      <c r="A856" s="96"/>
      <c r="B856" s="97" t="s">
        <v>53</v>
      </c>
      <c r="C856" s="98" t="str">
        <f t="array" ref="C856">IFNA(XLOOKUP(J856,'⚙️ Pengaturan'!$H$5:$H1508,'⚙️ Pengaturan'!$I$5:$I1508),"")</f>
        <v>TIM Y</v>
      </c>
      <c r="D856" s="97" t="s">
        <v>54</v>
      </c>
      <c r="E856" s="99">
        <v>45980.0</v>
      </c>
      <c r="F856" s="100" t="str">
        <f t="shared" si="1"/>
        <v>2025</v>
      </c>
      <c r="G856" s="100" t="str">
        <f t="shared" si="2"/>
        <v>11Nov</v>
      </c>
      <c r="H856" s="100" t="str">
        <f t="shared" si="3"/>
        <v>Rabu</v>
      </c>
      <c r="I856" s="97" t="s">
        <v>83</v>
      </c>
      <c r="J856" s="97" t="s">
        <v>56</v>
      </c>
      <c r="K856" s="97" t="s">
        <v>57</v>
      </c>
      <c r="L856" s="101" t="s">
        <v>548</v>
      </c>
      <c r="M856" s="102" t="str">
        <f>IFNA(VLOOKUP(L856,'🙎‍♂️ Pasien'!G:V,2,FALSE),"")</f>
        <v>C0525115291</v>
      </c>
      <c r="N856" s="103">
        <f>IFNA(VLOOKUP(L856,'🙎‍♂️ Pasien'!G:L,3,FALSE),"")</f>
        <v>20</v>
      </c>
      <c r="O856" s="104" t="str">
        <f>IFNA(VLOOKUP(L856,'🙎‍♂️ Pasien'!G:V,6,FALSE),"")</f>
        <v>LAKI-LAKI</v>
      </c>
      <c r="P856" s="104" t="str">
        <f>IFNA(VLOOKUP(L856,'🙎‍♂️ Pasien'!G:V,12,FALSE),"")</f>
        <v>KATOLIK</v>
      </c>
      <c r="Q856" s="104" t="str">
        <f>IFNA(VLOOKUP(L856:L1508,'🙎‍♂️ Pasien'!G:V,13,FALSE),"")</f>
        <v>-</v>
      </c>
      <c r="R856" s="104" t="str">
        <f t="array" ref="R856">ifna(xlookup(L856,'🙎‍♂️ Pasien'!$G$5:$G1508,'🙎‍♂️ Pasien'!$T$5:$T1508),"")</f>
        <v>LUTUT (TERAKHIR CEK DISINI DI BILANG NYA ADA KEMUNGKINAN ACL 2022)</v>
      </c>
      <c r="S856" s="104" t="str">
        <f t="array" ref="S856">ifna(xlookup(L856,'🙎‍♂️ Pasien'!$G$5:$G1508,'🙎‍♂️ Pasien'!$U$5:$U1508),"")</f>
        <v>BASKET, BADMINTON</v>
      </c>
      <c r="T856" s="97" t="s">
        <v>59</v>
      </c>
      <c r="U856" s="105" t="s">
        <v>60</v>
      </c>
      <c r="V856" s="101"/>
      <c r="W856" s="106" t="b">
        <v>1</v>
      </c>
      <c r="X856" s="107"/>
      <c r="Y856" s="108"/>
    </row>
    <row r="857" ht="22.5" customHeight="1">
      <c r="A857" s="96"/>
      <c r="B857" s="97" t="s">
        <v>53</v>
      </c>
      <c r="C857" s="98" t="str">
        <f t="array" ref="C857">IFNA(XLOOKUP(J857,'⚙️ Pengaturan'!$H$5:$H1508,'⚙️ Pengaturan'!$I$5:$I1508),"")</f>
        <v>TIM A</v>
      </c>
      <c r="D857" s="97" t="s">
        <v>54</v>
      </c>
      <c r="E857" s="99">
        <v>45980.0</v>
      </c>
      <c r="F857" s="100" t="str">
        <f t="shared" si="1"/>
        <v>2025</v>
      </c>
      <c r="G857" s="100" t="str">
        <f t="shared" si="2"/>
        <v>11Nov</v>
      </c>
      <c r="H857" s="100" t="str">
        <f t="shared" si="3"/>
        <v>Rabu</v>
      </c>
      <c r="I857" s="97" t="s">
        <v>83</v>
      </c>
      <c r="J857" s="97" t="s">
        <v>62</v>
      </c>
      <c r="K857" s="97" t="s">
        <v>63</v>
      </c>
      <c r="L857" s="101" t="s">
        <v>430</v>
      </c>
      <c r="M857" s="102" t="str">
        <f>IFNA(VLOOKUP(L857,'🙎‍♂️ Pasien'!G:V,2,FALSE),"")</f>
        <v>J5525063513</v>
      </c>
      <c r="N857" s="103">
        <f>IFNA(VLOOKUP(L857,'🙎‍♂️ Pasien'!G:L,3,FALSE),"")</f>
        <v>71</v>
      </c>
      <c r="O857" s="104" t="str">
        <f>IFNA(VLOOKUP(L857,'🙎‍♂️ Pasien'!G:V,6,FALSE),"")</f>
        <v>PEREMPUAN</v>
      </c>
      <c r="P857" s="104" t="str">
        <f>IFNA(VLOOKUP(L857,'🙎‍♂️ Pasien'!G:V,12,FALSE),"")</f>
        <v>KATOLIK</v>
      </c>
      <c r="Q857" s="104" t="str">
        <f>IFNA(VLOOKUP(L857:L1508,'🙎‍♂️ Pasien'!G:V,13,FALSE),"")</f>
        <v>IBU RUMAH TANGGA</v>
      </c>
      <c r="R857" s="104" t="str">
        <f t="array" ref="R857">ifna(xlookup(L857,'🙎‍♂️ Pasien'!$G$5:$G1508,'🙎‍♂️ Pasien'!$T$5:$T1508),"")</f>
        <v>BAGIAN PANTAT SAKIT</v>
      </c>
      <c r="S857" s="104" t="str">
        <f t="array" ref="S857">ifna(xlookup(L857,'🙎‍♂️ Pasien'!$G$5:$G1508,'🙎‍♂️ Pasien'!$U$5:$U1508),"")</f>
        <v>BARU OPERASI TULANG SUMSUNG BELAKANG KARENA SARAF KEJEPIT 1 BULAN LALU</v>
      </c>
      <c r="T857" s="97" t="s">
        <v>59</v>
      </c>
      <c r="U857" s="105">
        <v>6.0</v>
      </c>
      <c r="V857" s="101"/>
      <c r="W857" s="106" t="b">
        <v>1</v>
      </c>
      <c r="X857" s="107"/>
      <c r="Y857" s="108"/>
    </row>
    <row r="858" ht="22.5" customHeight="1">
      <c r="A858" s="96"/>
      <c r="B858" s="97" t="s">
        <v>53</v>
      </c>
      <c r="C858" s="98" t="str">
        <f t="array" ref="C858">IFNA(XLOOKUP(J858,'⚙️ Pengaturan'!$H$5:$H1508,'⚙️ Pengaturan'!$I$5:$I1508),"")</f>
        <v>TIM A</v>
      </c>
      <c r="D858" s="97" t="s">
        <v>54</v>
      </c>
      <c r="E858" s="99">
        <v>45980.0</v>
      </c>
      <c r="F858" s="100" t="str">
        <f t="shared" si="1"/>
        <v>2025</v>
      </c>
      <c r="G858" s="100" t="str">
        <f t="shared" si="2"/>
        <v>11Nov</v>
      </c>
      <c r="H858" s="100" t="str">
        <f t="shared" si="3"/>
        <v>Rabu</v>
      </c>
      <c r="I858" s="97" t="s">
        <v>83</v>
      </c>
      <c r="J858" s="97" t="s">
        <v>72</v>
      </c>
      <c r="K858" s="97" t="s">
        <v>69</v>
      </c>
      <c r="L858" s="101" t="s">
        <v>366</v>
      </c>
      <c r="M858" s="102" t="str">
        <f>IFNA(VLOOKUP(L858,'🙎‍♂️ Pasien'!G:V,2,FALSE),"")</f>
        <v>S0825106969</v>
      </c>
      <c r="N858" s="103">
        <f>IFNA(VLOOKUP(L858,'🙎‍♂️ Pasien'!G:L,3,FALSE),"")</f>
        <v>17</v>
      </c>
      <c r="O858" s="104" t="str">
        <f>IFNA(VLOOKUP(L858,'🙎‍♂️ Pasien'!G:V,6,FALSE),"")</f>
        <v>PEREMPUAN</v>
      </c>
      <c r="P858" s="104" t="str">
        <f>IFNA(VLOOKUP(L858,'🙎‍♂️ Pasien'!G:V,12,FALSE),"")</f>
        <v>KATOLIK</v>
      </c>
      <c r="Q858" s="104" t="str">
        <f>IFNA(VLOOKUP(L858:L1508,'🙎‍♂️ Pasien'!G:V,13,FALSE),"")</f>
        <v>PELAJAR</v>
      </c>
      <c r="R858" s="104" t="str">
        <f t="array" ref="R858">ifna(xlookup(L858,'🙎‍♂️ Pasien'!$G$5:$G1508,'🙎‍♂️ Pasien'!$T$5:$T1508),"")</f>
        <v>KAKI PANJANG PENDEK, SERING SAKIT DI BAGIAN PUNGGUNG BAWAH</v>
      </c>
      <c r="S858" s="104" t="str">
        <f t="array" ref="S858">ifna(xlookup(L858,'🙎‍♂️ Pasien'!$G$5:$G1508,'🙎‍♂️ Pasien'!$U$5:$U1508),"")</f>
        <v>MUAY THAI (BARU BARU INI), GYM (DARI BBRP BULAN LALU), DANCE (SEJAK LAMA UDH DANCE)</v>
      </c>
      <c r="T858" s="97" t="s">
        <v>59</v>
      </c>
      <c r="U858" s="105" t="s">
        <v>60</v>
      </c>
      <c r="V858" s="101"/>
      <c r="W858" s="106" t="b">
        <v>1</v>
      </c>
      <c r="X858" s="107"/>
      <c r="Y858" s="108"/>
    </row>
    <row r="859" ht="22.5" customHeight="1">
      <c r="A859" s="96"/>
      <c r="B859" s="97" t="s">
        <v>85</v>
      </c>
      <c r="C859" s="98" t="str">
        <f t="array" ref="C859">IFNA(XLOOKUP(J859,'⚙️ Pengaturan'!$H$5:$H1508,'⚙️ Pengaturan'!$I$5:$I1508),"")</f>
        <v>TIM Y</v>
      </c>
      <c r="D859" s="97" t="s">
        <v>86</v>
      </c>
      <c r="E859" s="99">
        <v>45980.0</v>
      </c>
      <c r="F859" s="100" t="str">
        <f t="shared" si="1"/>
        <v>2025</v>
      </c>
      <c r="G859" s="100" t="str">
        <f t="shared" si="2"/>
        <v>11Nov</v>
      </c>
      <c r="H859" s="100" t="str">
        <f t="shared" si="3"/>
        <v>Rabu</v>
      </c>
      <c r="I859" s="97" t="s">
        <v>87</v>
      </c>
      <c r="J859" s="97" t="s">
        <v>107</v>
      </c>
      <c r="K859" s="97" t="s">
        <v>63</v>
      </c>
      <c r="L859" s="101" t="s">
        <v>267</v>
      </c>
      <c r="M859" s="102" t="str">
        <f>IFNA(VLOOKUP(L859,'🙎‍♂️ Pasien'!G:V,2,FALSE),"")</f>
        <v>R8825109439</v>
      </c>
      <c r="N859" s="103">
        <f>IFNA(VLOOKUP(L859,'🙎‍♂️ Pasien'!G:L,3,FALSE),"")</f>
        <v>38</v>
      </c>
      <c r="O859" s="104" t="str">
        <f>IFNA(VLOOKUP(L859,'🙎‍♂️ Pasien'!G:V,6,FALSE),"")</f>
        <v>LAKI-LAKI</v>
      </c>
      <c r="P859" s="104" t="str">
        <f>IFNA(VLOOKUP(L859,'🙎‍♂️ Pasien'!G:V,12,FALSE),"")</f>
        <v>KATOLIK</v>
      </c>
      <c r="Q859" s="104" t="str">
        <f>IFNA(VLOOKUP(L859:L1508,'🙎‍♂️ Pasien'!G:V,13,FALSE),"")</f>
        <v>KARYAWAN SWASTA</v>
      </c>
      <c r="R859" s="104" t="str">
        <f t="array" ref="R859">ifna(xlookup(L859,'🙎‍♂️ Pasien'!$G$5:$G1508,'🙎‍♂️ Pasien'!$T$5:$T1508),"")</f>
        <v>ASSESSMENT BADAN UNTUK PERSIAPAN LARI MARATON</v>
      </c>
      <c r="S859" s="104" t="str">
        <f t="array" ref="S859">ifna(xlookup(L859,'🙎‍♂️ Pasien'!$G$5:$G1508,'🙎‍♂️ Pasien'!$U$5:$U1508),"")</f>
        <v>LARI</v>
      </c>
      <c r="T859" s="97" t="s">
        <v>59</v>
      </c>
      <c r="U859" s="105">
        <v>5.0</v>
      </c>
      <c r="V859" s="101" t="s">
        <v>125</v>
      </c>
      <c r="W859" s="106" t="b">
        <v>1</v>
      </c>
      <c r="X859" s="107"/>
      <c r="Y859" s="108"/>
    </row>
    <row r="860" ht="22.5" customHeight="1">
      <c r="A860" s="96"/>
      <c r="B860" s="97" t="s">
        <v>85</v>
      </c>
      <c r="C860" s="98" t="str">
        <f t="array" ref="C860">IFNA(XLOOKUP(J860,'⚙️ Pengaturan'!$H$5:$H1508,'⚙️ Pengaturan'!$I$5:$I1508),"")</f>
        <v>TIM Y</v>
      </c>
      <c r="D860" s="97" t="s">
        <v>86</v>
      </c>
      <c r="E860" s="99">
        <v>45980.0</v>
      </c>
      <c r="F860" s="100" t="str">
        <f t="shared" si="1"/>
        <v>2025</v>
      </c>
      <c r="G860" s="100" t="str">
        <f t="shared" si="2"/>
        <v>11Nov</v>
      </c>
      <c r="H860" s="100" t="str">
        <f t="shared" si="3"/>
        <v>Rabu</v>
      </c>
      <c r="I860" s="97" t="s">
        <v>93</v>
      </c>
      <c r="J860" s="97" t="s">
        <v>91</v>
      </c>
      <c r="K860" s="97" t="s">
        <v>63</v>
      </c>
      <c r="L860" s="101" t="s">
        <v>225</v>
      </c>
      <c r="M860" s="102" t="str">
        <f>IFNA(VLOOKUP(L860,'🙎‍♂️ Pasien'!G:V,2,FALSE),"")</f>
        <v>B8025102288</v>
      </c>
      <c r="N860" s="103">
        <f>IFNA(VLOOKUP(L860,'🙎‍♂️ Pasien'!G:L,3,FALSE),"")</f>
        <v>45</v>
      </c>
      <c r="O860" s="104" t="str">
        <f>IFNA(VLOOKUP(L860,'🙎‍♂️ Pasien'!G:V,6,FALSE),"")</f>
        <v>PEREMPUAN</v>
      </c>
      <c r="P860" s="104" t="str">
        <f>IFNA(VLOOKUP(L860,'🙎‍♂️ Pasien'!G:V,12,FALSE),"")</f>
        <v>ISLAM</v>
      </c>
      <c r="Q860" s="104" t="str">
        <f>IFNA(VLOOKUP(L860:L1508,'🙎‍♂️ Pasien'!G:V,13,FALSE),"")</f>
        <v>ASN</v>
      </c>
      <c r="R860" s="104" t="str">
        <f t="array" ref="R860">ifna(xlookup(L860,'🙎‍♂️ Pasien'!$G$5:$G1508,'🙎‍♂️ Pasien'!$T$5:$T1508),"")</f>
        <v>KELUHAN SY NYERI DI TUMIT KIRI SM PAHA KANAN UT DIANGKAT SAMBIL DITEKUK KE ARAH SAMPING LUAR RASA NYA NYERI</v>
      </c>
      <c r="S860" s="104" t="str">
        <f t="array" ref="S860">ifna(xlookup(L860,'🙎‍♂️ Pasien'!$G$5:$G1508,'🙎‍♂️ Pasien'!$U$5:$U1508),"")</f>
        <v>JOGING</v>
      </c>
      <c r="T860" s="97" t="s">
        <v>59</v>
      </c>
      <c r="U860" s="105">
        <v>3.0</v>
      </c>
      <c r="V860" s="101"/>
      <c r="W860" s="106" t="b">
        <v>1</v>
      </c>
      <c r="X860" s="107"/>
      <c r="Y860" s="108"/>
    </row>
    <row r="861" ht="22.5" customHeight="1">
      <c r="A861" s="96"/>
      <c r="B861" s="97" t="s">
        <v>85</v>
      </c>
      <c r="C861" s="98" t="str">
        <f t="array" ref="C861">IFNA(XLOOKUP(J861,'⚙️ Pengaturan'!$H$5:$H1508,'⚙️ Pengaturan'!$I$5:$I1508),"")</f>
        <v>TIM Y</v>
      </c>
      <c r="D861" s="97" t="s">
        <v>86</v>
      </c>
      <c r="E861" s="99">
        <v>45980.0</v>
      </c>
      <c r="F861" s="100" t="str">
        <f t="shared" si="1"/>
        <v>2025</v>
      </c>
      <c r="G861" s="100" t="str">
        <f t="shared" si="2"/>
        <v>11Nov</v>
      </c>
      <c r="H861" s="100" t="str">
        <f t="shared" si="3"/>
        <v>Rabu</v>
      </c>
      <c r="I861" s="97" t="s">
        <v>95</v>
      </c>
      <c r="J861" s="97" t="s">
        <v>88</v>
      </c>
      <c r="K861" s="97" t="s">
        <v>69</v>
      </c>
      <c r="L861" s="101" t="s">
        <v>434</v>
      </c>
      <c r="M861" s="102" t="str">
        <f>IFNA(VLOOKUP(L861,'🙎‍♂️ Pasien'!G:V,2,FALSE),"")</f>
        <v>A9326025869</v>
      </c>
      <c r="N861" s="103">
        <f>IFNA(VLOOKUP(L861,'🙎‍♂️ Pasien'!G:L,3,FALSE),"")</f>
        <v>32</v>
      </c>
      <c r="O861" s="104" t="str">
        <f>IFNA(VLOOKUP(L861,'🙎‍♂️ Pasien'!G:V,6,FALSE),"")</f>
        <v>LAKI-LAKI</v>
      </c>
      <c r="P861" s="104" t="str">
        <f>IFNA(VLOOKUP(L861,'🙎‍♂️ Pasien'!G:V,12,FALSE),"")</f>
        <v>KATOLIK</v>
      </c>
      <c r="Q861" s="104" t="str">
        <f>IFNA(VLOOKUP(L861:L1508,'🙎‍♂️ Pasien'!G:V,13,FALSE),"")</f>
        <v>SALES</v>
      </c>
      <c r="R861" s="104" t="str">
        <f t="array" ref="R861">ifna(xlookup(L861,'🙎‍♂️ Pasien'!$G$5:$G1508,'🙎‍♂️ Pasien'!$T$5:$T1508),"")</f>
        <v>TENDON ACHILES</v>
      </c>
      <c r="S861" s="104" t="str">
        <f t="array" ref="S861">ifna(xlookup(L861,'🙎‍♂️ Pasien'!$G$5:$G1508,'🙎‍♂️ Pasien'!$U$5:$U1508),"")</f>
        <v>BOLA</v>
      </c>
      <c r="T861" s="97" t="s">
        <v>59</v>
      </c>
      <c r="U861" s="105" t="s">
        <v>60</v>
      </c>
      <c r="V861" s="101"/>
      <c r="W861" s="106" t="b">
        <v>1</v>
      </c>
      <c r="X861" s="107"/>
      <c r="Y861" s="108"/>
    </row>
    <row r="862" ht="22.5" customHeight="1">
      <c r="A862" s="96"/>
      <c r="B862" s="97" t="s">
        <v>85</v>
      </c>
      <c r="C862" s="98" t="str">
        <f t="array" ref="C862">IFNA(XLOOKUP(J862,'⚙️ Pengaturan'!$H$5:$H1508,'⚙️ Pengaturan'!$I$5:$I1508),"")</f>
        <v>TIM Y</v>
      </c>
      <c r="D862" s="97" t="s">
        <v>86</v>
      </c>
      <c r="E862" s="99">
        <v>45980.0</v>
      </c>
      <c r="F862" s="100" t="str">
        <f t="shared" si="1"/>
        <v>2025</v>
      </c>
      <c r="G862" s="100" t="str">
        <f t="shared" si="2"/>
        <v>11Nov</v>
      </c>
      <c r="H862" s="100" t="str">
        <f t="shared" si="3"/>
        <v>Rabu</v>
      </c>
      <c r="I862" s="97" t="s">
        <v>97</v>
      </c>
      <c r="J862" s="97" t="s">
        <v>91</v>
      </c>
      <c r="K862" s="97" t="s">
        <v>63</v>
      </c>
      <c r="L862" s="101" t="s">
        <v>326</v>
      </c>
      <c r="M862" s="102" t="str">
        <f>IFNA(VLOOKUP(L862,'🙎‍♂️ Pasien'!G:V,2,FALSE),"")</f>
        <v>A1423086916</v>
      </c>
      <c r="N862" s="103">
        <f>IFNA(VLOOKUP(L862,'🙎‍♂️ Pasien'!G:L,3,FALSE),"")</f>
        <v>11</v>
      </c>
      <c r="O862" s="104" t="str">
        <f>IFNA(VLOOKUP(L862,'🙎‍♂️ Pasien'!G:V,6,FALSE),"")</f>
        <v>LAKI-LAKI</v>
      </c>
      <c r="P862" s="104" t="str">
        <f>IFNA(VLOOKUP(L862,'🙎‍♂️ Pasien'!G:V,12,FALSE),"")</f>
        <v>ISLAM</v>
      </c>
      <c r="Q862" s="104" t="str">
        <f>IFNA(VLOOKUP(L862:L1508,'🙎‍♂️ Pasien'!G:V,13,FALSE),"")</f>
        <v>PELAJAR/MAHASISWA</v>
      </c>
      <c r="R862" s="104" t="str">
        <f t="array" ref="R862">ifna(xlookup(L862,'🙎‍♂️ Pasien'!$G$5:$G1508,'🙎‍♂️ Pasien'!$T$5:$T1508),"")</f>
        <v>ANKLE KAKI KANAN</v>
      </c>
      <c r="S862" s="104" t="str">
        <f t="array" ref="S862">ifna(xlookup(L862,'🙎‍♂️ Pasien'!$G$5:$G1508,'🙎‍♂️ Pasien'!$U$5:$U1508),"")</f>
        <v>BOLA</v>
      </c>
      <c r="T862" s="97" t="s">
        <v>59</v>
      </c>
      <c r="U862" s="105">
        <v>1.0</v>
      </c>
      <c r="V862" s="101" t="s">
        <v>549</v>
      </c>
      <c r="W862" s="106" t="b">
        <v>1</v>
      </c>
      <c r="X862" s="107"/>
      <c r="Y862" s="108"/>
    </row>
    <row r="863" ht="22.5" customHeight="1">
      <c r="A863" s="96"/>
      <c r="B863" s="97" t="s">
        <v>85</v>
      </c>
      <c r="C863" s="98" t="str">
        <f t="array" ref="C863">IFNA(XLOOKUP(J863,'⚙️ Pengaturan'!$H$5:$H1508,'⚙️ Pengaturan'!$I$5:$I1508),"")</f>
        <v>TIM Y</v>
      </c>
      <c r="D863" s="97" t="s">
        <v>86</v>
      </c>
      <c r="E863" s="99">
        <v>45980.0</v>
      </c>
      <c r="F863" s="100" t="str">
        <f t="shared" si="1"/>
        <v>2025</v>
      </c>
      <c r="G863" s="100" t="str">
        <f t="shared" si="2"/>
        <v>11Nov</v>
      </c>
      <c r="H863" s="100" t="str">
        <f t="shared" si="3"/>
        <v>Rabu</v>
      </c>
      <c r="I863" s="97" t="s">
        <v>97</v>
      </c>
      <c r="J863" s="97" t="s">
        <v>107</v>
      </c>
      <c r="K863" s="97" t="s">
        <v>69</v>
      </c>
      <c r="L863" s="101" t="s">
        <v>507</v>
      </c>
      <c r="M863" s="102" t="str">
        <f>IFNA(VLOOKUP(L863,'🙎‍♂️ Pasien'!G:V,2,FALSE),"")</f>
        <v>S0125112891</v>
      </c>
      <c r="N863" s="103">
        <f>IFNA(VLOOKUP(L863,'🙎‍♂️ Pasien'!G:L,3,FALSE),"")</f>
        <v>25</v>
      </c>
      <c r="O863" s="104" t="str">
        <f>IFNA(VLOOKUP(L863,'🙎‍♂️ Pasien'!G:V,6,FALSE),"")</f>
        <v>PEREMPUAN</v>
      </c>
      <c r="P863" s="104" t="str">
        <f>IFNA(VLOOKUP(L863,'🙎‍♂️ Pasien'!G:V,12,FALSE),"")</f>
        <v>BUDDHA</v>
      </c>
      <c r="Q863" s="104" t="str">
        <f>IFNA(VLOOKUP(L863:L1508,'🙎‍♂️ Pasien'!G:V,13,FALSE),"")</f>
        <v>MAHASISWA</v>
      </c>
      <c r="R863" s="104" t="str">
        <f t="array" ref="R863">ifna(xlookup(L863,'🙎‍♂️ Pasien'!$G$5:$G1508,'🙎‍♂️ Pasien'!$T$5:$T1508),"")</f>
        <v>OTOT KAKI PERNAH SOBEK, KALAU OLAHRAGA SERING SAKIT DI LUTUT KIRI</v>
      </c>
      <c r="S863" s="104" t="str">
        <f t="array" ref="S863">ifna(xlookup(L863,'🙎‍♂️ Pasien'!$G$5:$G1508,'🙎‍♂️ Pasien'!$U$5:$U1508),"")</f>
        <v>JARANG BEROLAHRAGA/SEDENTARY</v>
      </c>
      <c r="T863" s="97" t="s">
        <v>59</v>
      </c>
      <c r="U863" s="105" t="s">
        <v>60</v>
      </c>
      <c r="V863" s="101"/>
      <c r="W863" s="106" t="b">
        <v>1</v>
      </c>
      <c r="X863" s="107"/>
      <c r="Y863" s="108"/>
    </row>
    <row r="864" ht="22.5" customHeight="1">
      <c r="A864" s="96"/>
      <c r="B864" s="97" t="s">
        <v>85</v>
      </c>
      <c r="C864" s="98" t="str">
        <f t="array" ref="C864">IFNA(XLOOKUP(J864,'⚙️ Pengaturan'!$H$5:$H1508,'⚙️ Pengaturan'!$I$5:$I1508),"")</f>
        <v>TIM Y</v>
      </c>
      <c r="D864" s="97" t="s">
        <v>86</v>
      </c>
      <c r="E864" s="99">
        <v>45980.0</v>
      </c>
      <c r="F864" s="100" t="str">
        <f t="shared" si="1"/>
        <v>2025</v>
      </c>
      <c r="G864" s="100" t="str">
        <f t="shared" si="2"/>
        <v>11Nov</v>
      </c>
      <c r="H864" s="100" t="str">
        <f t="shared" si="3"/>
        <v>Rabu</v>
      </c>
      <c r="I864" s="97" t="s">
        <v>99</v>
      </c>
      <c r="J864" s="97" t="s">
        <v>88</v>
      </c>
      <c r="K864" s="97" t="s">
        <v>63</v>
      </c>
      <c r="L864" s="101" t="s">
        <v>190</v>
      </c>
      <c r="M864" s="102" t="str">
        <f>IFNA(VLOOKUP(L864,'🙎‍♂️ Pasien'!G:V,2,FALSE),"")</f>
        <v>A9025108786</v>
      </c>
      <c r="N864" s="103">
        <f>IFNA(VLOOKUP(L864,'🙎‍♂️ Pasien'!G:L,3,FALSE),"")</f>
        <v>35</v>
      </c>
      <c r="O864" s="104" t="str">
        <f>IFNA(VLOOKUP(L864,'🙎‍♂️ Pasien'!G:V,6,FALSE),"")</f>
        <v>LAKI-LAKI</v>
      </c>
      <c r="P864" s="104" t="str">
        <f>IFNA(VLOOKUP(L864,'🙎‍♂️ Pasien'!G:V,12,FALSE),"")</f>
        <v>ISLAM</v>
      </c>
      <c r="Q864" s="104" t="str">
        <f>IFNA(VLOOKUP(L864:L1508,'🙎‍♂️ Pasien'!G:V,13,FALSE),"")</f>
        <v>WIRASWASTA</v>
      </c>
      <c r="R864" s="104" t="str">
        <f t="array" ref="R864">ifna(xlookup(L864,'🙎‍♂️ Pasien'!$G$5:$G1508,'🙎‍♂️ Pasien'!$T$5:$T1508),"")</f>
        <v>KESELEO PADA BAGIAN LUTUT</v>
      </c>
      <c r="S864" s="104" t="str">
        <f t="array" ref="S864">ifna(xlookup(L864,'🙎‍♂️ Pasien'!$G$5:$G1508,'🙎‍♂️ Pasien'!$U$5:$U1508),"")</f>
        <v>BERMAIN BOLA</v>
      </c>
      <c r="T864" s="97" t="s">
        <v>59</v>
      </c>
      <c r="U864" s="105">
        <v>2.0</v>
      </c>
      <c r="V864" s="101"/>
      <c r="W864" s="106" t="b">
        <v>1</v>
      </c>
      <c r="X864" s="107"/>
      <c r="Y864" s="108"/>
    </row>
    <row r="865" ht="22.5" customHeight="1">
      <c r="A865" s="96"/>
      <c r="B865" s="97" t="s">
        <v>85</v>
      </c>
      <c r="C865" s="98" t="str">
        <f t="array" ref="C865">IFNA(XLOOKUP(J865,'⚙️ Pengaturan'!$H$5:$H1508,'⚙️ Pengaturan'!$I$5:$I1508),"")</f>
        <v>TIM Y</v>
      </c>
      <c r="D865" s="97" t="s">
        <v>86</v>
      </c>
      <c r="E865" s="99">
        <v>45980.0</v>
      </c>
      <c r="F865" s="100" t="str">
        <f t="shared" si="1"/>
        <v>2025</v>
      </c>
      <c r="G865" s="100" t="str">
        <f t="shared" si="2"/>
        <v>11Nov</v>
      </c>
      <c r="H865" s="100" t="str">
        <f t="shared" si="3"/>
        <v>Rabu</v>
      </c>
      <c r="I865" s="97" t="s">
        <v>99</v>
      </c>
      <c r="J865" s="97" t="s">
        <v>91</v>
      </c>
      <c r="K865" s="97" t="s">
        <v>57</v>
      </c>
      <c r="L865" s="101" t="s">
        <v>550</v>
      </c>
      <c r="M865" s="102" t="str">
        <f>IFNA(VLOOKUP(L865,'🙎‍♂️ Pasien'!G:V,2,FALSE),"")</f>
        <v>C9925116192</v>
      </c>
      <c r="N865" s="103">
        <f>IFNA(VLOOKUP(L865,'🙎‍♂️ Pasien'!G:L,3,FALSE),"")</f>
        <v>26</v>
      </c>
      <c r="O865" s="104" t="str">
        <f>IFNA(VLOOKUP(L865,'🙎‍♂️ Pasien'!G:V,6,FALSE),"")</f>
        <v>PEREMPUAN</v>
      </c>
      <c r="P865" s="104" t="str">
        <f>IFNA(VLOOKUP(L865,'🙎‍♂️ Pasien'!G:V,12,FALSE),"")</f>
        <v>ISLAM</v>
      </c>
      <c r="Q865" s="104" t="str">
        <f>IFNA(VLOOKUP(L865:L1508,'🙎‍♂️ Pasien'!G:V,13,FALSE),"")</f>
        <v>RUMAH TANGGA</v>
      </c>
      <c r="R865" s="104" t="str">
        <f t="array" ref="R865">ifna(xlookup(L865,'🙎‍♂️ Pasien'!$G$5:$G1508,'🙎‍♂️ Pasien'!$T$5:$T1508),"")</f>
        <v>LUTUT SAKIT</v>
      </c>
      <c r="S865" s="104" t="str">
        <f t="array" ref="S865">ifna(xlookup(L865,'🙎‍♂️ Pasien'!$G$5:$G1508,'🙎‍♂️ Pasien'!$U$5:$U1508),"")</f>
        <v>MEMASAK</v>
      </c>
      <c r="T865" s="97" t="s">
        <v>59</v>
      </c>
      <c r="U865" s="105" t="s">
        <v>60</v>
      </c>
      <c r="V865" s="101"/>
      <c r="W865" s="106" t="b">
        <v>1</v>
      </c>
      <c r="X865" s="107"/>
      <c r="Y865" s="108"/>
    </row>
    <row r="866" ht="22.5" customHeight="1">
      <c r="A866" s="96"/>
      <c r="B866" s="97" t="s">
        <v>85</v>
      </c>
      <c r="C866" s="98" t="str">
        <f t="array" ref="C866">IFNA(XLOOKUP(J866,'⚙️ Pengaturan'!$H$5:$H1508,'⚙️ Pengaturan'!$I$5:$I1508),"")</f>
        <v>TIM Y</v>
      </c>
      <c r="D866" s="97" t="s">
        <v>86</v>
      </c>
      <c r="E866" s="99">
        <v>45980.0</v>
      </c>
      <c r="F866" s="100" t="str">
        <f t="shared" si="1"/>
        <v>2025</v>
      </c>
      <c r="G866" s="100" t="str">
        <f t="shared" si="2"/>
        <v>11Nov</v>
      </c>
      <c r="H866" s="100" t="str">
        <f t="shared" si="3"/>
        <v>Rabu</v>
      </c>
      <c r="I866" s="97" t="s">
        <v>99</v>
      </c>
      <c r="J866" s="97" t="s">
        <v>107</v>
      </c>
      <c r="K866" s="97" t="s">
        <v>63</v>
      </c>
      <c r="L866" s="101" t="s">
        <v>510</v>
      </c>
      <c r="M866" s="102" t="str">
        <f>IFNA(VLOOKUP(L866,'🙎‍♂️ Pasien'!G:V,2,FALSE),"")</f>
        <v>Z9325081191</v>
      </c>
      <c r="N866" s="103">
        <f>IFNA(VLOOKUP(L866,'🙎‍♂️ Pasien'!G:L,3,FALSE),"")</f>
        <v>33</v>
      </c>
      <c r="O866" s="104" t="str">
        <f>IFNA(VLOOKUP(L866,'🙎‍♂️ Pasien'!G:V,6,FALSE),"")</f>
        <v>LAKI-LAKI</v>
      </c>
      <c r="P866" s="104" t="str">
        <f>IFNA(VLOOKUP(L866,'🙎‍♂️ Pasien'!G:V,12,FALSE),"")</f>
        <v>ISLAM</v>
      </c>
      <c r="Q866" s="104" t="str">
        <f>IFNA(VLOOKUP(L866:L1508,'🙎‍♂️ Pasien'!G:V,13,FALSE),"")</f>
        <v>KARYAWAN</v>
      </c>
      <c r="R866" s="104" t="str">
        <f t="array" ref="R866">ifna(xlookup(L866,'🙎‍♂️ Pasien'!$G$5:$G1508,'🙎‍♂️ Pasien'!$T$5:$T1508),"")</f>
        <v>HABIS MARATHON</v>
      </c>
      <c r="S866" s="104" t="str">
        <f t="array" ref="S866">ifna(xlookup(L866,'🙎‍♂️ Pasien'!$G$5:$G1508,'🙎‍♂️ Pasien'!$U$5:$U1508),"")</f>
        <v>LARI</v>
      </c>
      <c r="T866" s="97" t="s">
        <v>67</v>
      </c>
      <c r="U866" s="105">
        <v>3.0</v>
      </c>
      <c r="V866" s="101" t="s">
        <v>551</v>
      </c>
      <c r="W866" s="106" t="b">
        <v>1</v>
      </c>
      <c r="X866" s="107"/>
      <c r="Y866" s="108"/>
    </row>
    <row r="867" ht="22.5" customHeight="1">
      <c r="A867" s="96"/>
      <c r="B867" s="97" t="s">
        <v>53</v>
      </c>
      <c r="C867" s="98" t="str">
        <f t="array" ref="C867">IFNA(XLOOKUP(J867,'⚙️ Pengaturan'!$H$5:$H1508,'⚙️ Pengaturan'!$I$5:$I1508),"")</f>
        <v>MANAJEMEN</v>
      </c>
      <c r="D867" s="97" t="s">
        <v>54</v>
      </c>
      <c r="E867" s="99">
        <v>45981.0</v>
      </c>
      <c r="F867" s="100" t="str">
        <f t="shared" si="1"/>
        <v>2025</v>
      </c>
      <c r="G867" s="100" t="str">
        <f t="shared" si="2"/>
        <v>11Nov</v>
      </c>
      <c r="H867" s="100" t="str">
        <f t="shared" si="3"/>
        <v>Kamis</v>
      </c>
      <c r="I867" s="97" t="s">
        <v>55</v>
      </c>
      <c r="J867" s="97" t="s">
        <v>101</v>
      </c>
      <c r="K867" s="97" t="s">
        <v>63</v>
      </c>
      <c r="L867" s="101" t="s">
        <v>526</v>
      </c>
      <c r="M867" s="102" t="str">
        <f>IFNA(VLOOKUP(L867,'🙎‍♂️ Pasien'!G:V,2,FALSE),"")</f>
        <v>A8825114554</v>
      </c>
      <c r="N867" s="103">
        <f>IFNA(VLOOKUP(L867,'🙎‍♂️ Pasien'!G:L,3,FALSE),"")</f>
        <v>38</v>
      </c>
      <c r="O867" s="104" t="str">
        <f>IFNA(VLOOKUP(L867,'🙎‍♂️ Pasien'!G:V,6,FALSE),"")</f>
        <v>LAKI-LAKI</v>
      </c>
      <c r="P867" s="104" t="str">
        <f>IFNA(VLOOKUP(L867,'🙎‍♂️ Pasien'!G:V,12,FALSE),"")</f>
        <v>ISLAM</v>
      </c>
      <c r="Q867" s="104" t="str">
        <f>IFNA(VLOOKUP(L867:L1508,'🙎‍♂️ Pasien'!G:V,13,FALSE),"")</f>
        <v>FOOTBALL AGENT</v>
      </c>
      <c r="R867" s="104" t="str">
        <f t="array" ref="R867">ifna(xlookup(L867,'🙎‍♂️ Pasien'!$G$5:$G1508,'🙎‍♂️ Pasien'!$T$5:$T1508),"")</f>
        <v>LUTUT KIRI SAKIT SAAT DI TEKUK</v>
      </c>
      <c r="S867" s="104" t="str">
        <f t="array" ref="S867">ifna(xlookup(L867,'🙎‍♂️ Pasien'!$G$5:$G1508,'🙎‍♂️ Pasien'!$U$5:$U1508),"")</f>
        <v>SEPAKBOLA</v>
      </c>
      <c r="T867" s="97" t="s">
        <v>59</v>
      </c>
      <c r="U867" s="105">
        <v>2.0</v>
      </c>
      <c r="V867" s="101"/>
      <c r="W867" s="106" t="b">
        <v>1</v>
      </c>
      <c r="X867" s="107"/>
      <c r="Y867" s="108"/>
    </row>
    <row r="868" ht="22.5" customHeight="1">
      <c r="A868" s="96"/>
      <c r="B868" s="97" t="s">
        <v>53</v>
      </c>
      <c r="C868" s="98" t="str">
        <f t="array" ref="C868">IFNA(XLOOKUP(J868,'⚙️ Pengaturan'!$H$5:$H1508,'⚙️ Pengaturan'!$I$5:$I1508),"")</f>
        <v>TIM Y</v>
      </c>
      <c r="D868" s="97" t="s">
        <v>54</v>
      </c>
      <c r="E868" s="99">
        <v>45981.0</v>
      </c>
      <c r="F868" s="100" t="str">
        <f t="shared" si="1"/>
        <v>2025</v>
      </c>
      <c r="G868" s="100" t="str">
        <f t="shared" si="2"/>
        <v>11Nov</v>
      </c>
      <c r="H868" s="100" t="str">
        <f t="shared" si="3"/>
        <v>Kamis</v>
      </c>
      <c r="I868" s="97" t="s">
        <v>55</v>
      </c>
      <c r="J868" s="97" t="s">
        <v>107</v>
      </c>
      <c r="K868" s="97" t="s">
        <v>63</v>
      </c>
      <c r="L868" s="101" t="s">
        <v>408</v>
      </c>
      <c r="M868" s="102" t="str">
        <f>IFNA(VLOOKUP(L868,'🙎‍♂️ Pasien'!G:V,2,FALSE),"")</f>
        <v>Y6225086451</v>
      </c>
      <c r="N868" s="103">
        <f>IFNA(VLOOKUP(L868,'🙎‍♂️ Pasien'!G:L,3,FALSE),"")</f>
        <v>64</v>
      </c>
      <c r="O868" s="104" t="str">
        <f>IFNA(VLOOKUP(L868,'🙎‍♂️ Pasien'!G:V,6,FALSE),"")</f>
        <v>PEREMPUAN</v>
      </c>
      <c r="P868" s="104" t="str">
        <f>IFNA(VLOOKUP(L868,'🙎‍♂️ Pasien'!G:V,12,FALSE),"")</f>
        <v>ISLAM</v>
      </c>
      <c r="Q868" s="104" t="str">
        <f>IFNA(VLOOKUP(L868:L1508,'🙎‍♂️ Pasien'!G:V,13,FALSE),"")</f>
        <v>IBU RUMAH TANGGA</v>
      </c>
      <c r="R868" s="104" t="str">
        <f t="array" ref="R868">ifna(xlookup(L868,'🙎‍♂️ Pasien'!$G$5:$G1508,'🙎‍♂️ Pasien'!$T$5:$T1508),"")</f>
        <v>LUTUT KANAN</v>
      </c>
      <c r="S868" s="104" t="str">
        <f t="array" ref="S868">ifna(xlookup(L868,'🙎‍♂️ Pasien'!$G$5:$G1508,'🙎‍♂️ Pasien'!$U$5:$U1508),"")</f>
        <v>TIDAK ADA</v>
      </c>
      <c r="T868" s="97" t="s">
        <v>67</v>
      </c>
      <c r="U868" s="105">
        <v>8.0</v>
      </c>
      <c r="V868" s="101" t="s">
        <v>287</v>
      </c>
      <c r="W868" s="106" t="b">
        <v>1</v>
      </c>
      <c r="X868" s="107"/>
      <c r="Y868" s="108"/>
    </row>
    <row r="869" ht="22.5" customHeight="1">
      <c r="A869" s="96"/>
      <c r="B869" s="97" t="s">
        <v>53</v>
      </c>
      <c r="C869" s="98" t="str">
        <f t="array" ref="C869">IFNA(XLOOKUP(J869,'⚙️ Pengaturan'!$H$5:$H1508,'⚙️ Pengaturan'!$I$5:$I1508),"")</f>
        <v>TIM Y</v>
      </c>
      <c r="D869" s="97" t="s">
        <v>54</v>
      </c>
      <c r="E869" s="99">
        <v>45981.0</v>
      </c>
      <c r="F869" s="100" t="str">
        <f t="shared" si="1"/>
        <v>2025</v>
      </c>
      <c r="G869" s="100" t="str">
        <f t="shared" si="2"/>
        <v>11Nov</v>
      </c>
      <c r="H869" s="100" t="str">
        <f t="shared" si="3"/>
        <v>Kamis</v>
      </c>
      <c r="I869" s="97" t="s">
        <v>65</v>
      </c>
      <c r="J869" s="97" t="s">
        <v>91</v>
      </c>
      <c r="K869" s="97" t="s">
        <v>63</v>
      </c>
      <c r="L869" s="101" t="s">
        <v>501</v>
      </c>
      <c r="M869" s="102" t="str">
        <f>IFNA(VLOOKUP(L869,'🙎‍♂️ Pasien'!G:V,2,FALSE),"")</f>
        <v>C9025117272</v>
      </c>
      <c r="N869" s="103">
        <f>IFNA(VLOOKUP(L869,'🙎‍♂️ Pasien'!G:L,3,FALSE),"")</f>
        <v>35</v>
      </c>
      <c r="O869" s="104" t="str">
        <f>IFNA(VLOOKUP(L869,'🙎‍♂️ Pasien'!G:V,6,FALSE),"")</f>
        <v>PEREMPUAN</v>
      </c>
      <c r="P869" s="104" t="str">
        <f>IFNA(VLOOKUP(L869,'🙎‍♂️ Pasien'!G:V,12,FALSE),"")</f>
        <v>PROTESTAN</v>
      </c>
      <c r="Q869" s="104" t="str">
        <f>IFNA(VLOOKUP(L869:L1508,'🙎‍♂️ Pasien'!G:V,13,FALSE),"")</f>
        <v>IBU RUMAH TANGGA</v>
      </c>
      <c r="R869" s="104" t="str">
        <f t="array" ref="R869">ifna(xlookup(L869,'🙎‍♂️ Pasien'!$G$5:$G1508,'🙎‍♂️ Pasien'!$T$5:$T1508),"")</f>
        <v>SENDI LUTUT BERGESER</v>
      </c>
      <c r="S869" s="104" t="str">
        <f t="array" ref="S869">ifna(xlookup(L869,'🙎‍♂️ Pasien'!$G$5:$G1508,'🙎‍♂️ Pasien'!$U$5:$U1508),"")</f>
        <v>JATUH KEPELESET</v>
      </c>
      <c r="T869" s="97" t="s">
        <v>59</v>
      </c>
      <c r="U869" s="105">
        <v>3.0</v>
      </c>
      <c r="V869" s="101"/>
      <c r="W869" s="106" t="b">
        <v>1</v>
      </c>
      <c r="X869" s="107"/>
      <c r="Y869" s="108"/>
    </row>
    <row r="870" ht="22.5" customHeight="1">
      <c r="A870" s="96"/>
      <c r="B870" s="97" t="s">
        <v>53</v>
      </c>
      <c r="C870" s="98" t="str">
        <f t="array" ref="C870">IFNA(XLOOKUP(J870,'⚙️ Pengaturan'!$H$5:$H1508,'⚙️ Pengaturan'!$I$5:$I1508),"")</f>
        <v>MANAJEMEN</v>
      </c>
      <c r="D870" s="97" t="s">
        <v>54</v>
      </c>
      <c r="E870" s="99">
        <v>45981.0</v>
      </c>
      <c r="F870" s="100" t="str">
        <f t="shared" si="1"/>
        <v>2025</v>
      </c>
      <c r="G870" s="100" t="str">
        <f t="shared" si="2"/>
        <v>11Nov</v>
      </c>
      <c r="H870" s="100" t="str">
        <f t="shared" si="3"/>
        <v>Kamis</v>
      </c>
      <c r="I870" s="97" t="s">
        <v>65</v>
      </c>
      <c r="J870" s="97" t="s">
        <v>101</v>
      </c>
      <c r="K870" s="97" t="s">
        <v>57</v>
      </c>
      <c r="L870" s="101" t="s">
        <v>552</v>
      </c>
      <c r="M870" s="102" t="str">
        <f>IFNA(VLOOKUP(L870,'🙎‍♂️ Pasien'!G:V,2,FALSE),"")</f>
        <v>E8825039292</v>
      </c>
      <c r="N870" s="103">
        <f>IFNA(VLOOKUP(L870,'🙎‍♂️ Pasien'!G:L,3,FALSE),"")</f>
        <v>37</v>
      </c>
      <c r="O870" s="104" t="str">
        <f>IFNA(VLOOKUP(L870,'🙎‍♂️ Pasien'!G:V,6,FALSE),"")</f>
        <v>LAKI-LAKI</v>
      </c>
      <c r="P870" s="104" t="str">
        <f>IFNA(VLOOKUP(L870,'🙎‍♂️ Pasien'!G:V,12,FALSE),"")</f>
        <v>KATOLIK</v>
      </c>
      <c r="Q870" s="104" t="str">
        <f>IFNA(VLOOKUP(L870:L1508,'🙎‍♂️ Pasien'!G:V,13,FALSE),"")</f>
        <v>KARYAWAN SWASTA</v>
      </c>
      <c r="R870" s="104" t="str">
        <f t="array" ref="R870">ifna(xlookup(L870,'🙎‍♂️ Pasien'!$G$5:$G1508,'🙎‍♂️ Pasien'!$T$5:$T1508),"")</f>
        <v>RUPTURE PATTELAR TENDON</v>
      </c>
      <c r="S870" s="104" t="str">
        <f t="array" ref="S870">ifna(xlookup(L870,'🙎‍♂️ Pasien'!$G$5:$G1508,'🙎‍♂️ Pasien'!$U$5:$U1508),"")</f>
        <v>BASKET</v>
      </c>
      <c r="T870" s="97" t="s">
        <v>59</v>
      </c>
      <c r="U870" s="105" t="s">
        <v>60</v>
      </c>
      <c r="V870" s="101"/>
      <c r="W870" s="106" t="b">
        <v>1</v>
      </c>
      <c r="X870" s="107"/>
      <c r="Y870" s="108"/>
    </row>
    <row r="871" ht="22.5" customHeight="1">
      <c r="A871" s="96"/>
      <c r="B871" s="97" t="s">
        <v>53</v>
      </c>
      <c r="C871" s="98" t="str">
        <f t="array" ref="C871">IFNA(XLOOKUP(J871,'⚙️ Pengaturan'!$H$5:$H1508,'⚙️ Pengaturan'!$I$5:$I1508),"")</f>
        <v>TIM Y</v>
      </c>
      <c r="D871" s="97" t="s">
        <v>54</v>
      </c>
      <c r="E871" s="99">
        <v>45981.0</v>
      </c>
      <c r="F871" s="100" t="str">
        <f t="shared" si="1"/>
        <v>2025</v>
      </c>
      <c r="G871" s="100" t="str">
        <f t="shared" si="2"/>
        <v>11Nov</v>
      </c>
      <c r="H871" s="100" t="str">
        <f t="shared" si="3"/>
        <v>Kamis</v>
      </c>
      <c r="I871" s="97" t="s">
        <v>65</v>
      </c>
      <c r="J871" s="97" t="s">
        <v>88</v>
      </c>
      <c r="K871" s="97" t="s">
        <v>69</v>
      </c>
      <c r="L871" s="101" t="s">
        <v>542</v>
      </c>
      <c r="M871" s="102" t="str">
        <f>IFNA(VLOOKUP(L871,'🙎‍♂️ Pasien'!G:V,2,FALSE),"")</f>
        <v>P0123123241</v>
      </c>
      <c r="N871" s="103">
        <f>IFNA(VLOOKUP(L871,'🙎‍♂️ Pasien'!G:L,3,FALSE),"")</f>
        <v>24</v>
      </c>
      <c r="O871" s="104" t="str">
        <f>IFNA(VLOOKUP(L871,'🙎‍♂️ Pasien'!G:V,6,FALSE),"")</f>
        <v>LAKI-LAKI</v>
      </c>
      <c r="P871" s="104" t="str">
        <f>IFNA(VLOOKUP(L871,'🙎‍♂️ Pasien'!G:V,12,FALSE),"")</f>
        <v>PROTESTAN</v>
      </c>
      <c r="Q871" s="104" t="str">
        <f>IFNA(VLOOKUP(L871:L1508,'🙎‍♂️ Pasien'!G:V,13,FALSE),"")</f>
        <v>TNI/POLRI</v>
      </c>
      <c r="R871" s="104" t="str">
        <f t="array" ref="R871">ifna(xlookup(L871,'🙎‍♂️ Pasien'!$G$5:$G1508,'🙎‍♂️ Pasien'!$T$5:$T1508),"")</f>
        <v>Ankle</v>
      </c>
      <c r="S871" s="104" t="str">
        <f t="array" ref="S871">ifna(xlookup(L871,'🙎‍♂️ Pasien'!$G$5:$G1508,'🙎‍♂️ Pasien'!$U$5:$U1508),"")</f>
        <v>Basket</v>
      </c>
      <c r="T871" s="97" t="s">
        <v>59</v>
      </c>
      <c r="U871" s="105" t="s">
        <v>60</v>
      </c>
      <c r="V871" s="101"/>
      <c r="W871" s="106" t="b">
        <v>1</v>
      </c>
      <c r="X871" s="107"/>
      <c r="Y871" s="108"/>
    </row>
    <row r="872" ht="22.5" customHeight="1">
      <c r="A872" s="96"/>
      <c r="B872" s="97" t="s">
        <v>53</v>
      </c>
      <c r="C872" s="98" t="str">
        <f t="array" ref="C872">IFNA(XLOOKUP(J872,'⚙️ Pengaturan'!$H$5:$H1508,'⚙️ Pengaturan'!$I$5:$I1508),"")</f>
        <v>TIM Y</v>
      </c>
      <c r="D872" s="97" t="s">
        <v>54</v>
      </c>
      <c r="E872" s="99">
        <v>45981.0</v>
      </c>
      <c r="F872" s="100" t="str">
        <f t="shared" si="1"/>
        <v>2025</v>
      </c>
      <c r="G872" s="100" t="str">
        <f t="shared" si="2"/>
        <v>11Nov</v>
      </c>
      <c r="H872" s="100" t="str">
        <f t="shared" si="3"/>
        <v>Kamis</v>
      </c>
      <c r="I872" s="97" t="s">
        <v>74</v>
      </c>
      <c r="J872" s="97" t="s">
        <v>107</v>
      </c>
      <c r="K872" s="97" t="s">
        <v>63</v>
      </c>
      <c r="L872" s="101" t="s">
        <v>543</v>
      </c>
      <c r="M872" s="102" t="str">
        <f>IFNA(VLOOKUP(L872,'🙎‍♂️ Pasien'!G:V,2,FALSE),"")</f>
        <v>A8725115557</v>
      </c>
      <c r="N872" s="103">
        <f>IFNA(VLOOKUP(L872,'🙎‍♂️ Pasien'!G:L,3,FALSE),"")</f>
        <v>38</v>
      </c>
      <c r="O872" s="104" t="str">
        <f>IFNA(VLOOKUP(L872,'🙎‍♂️ Pasien'!G:V,6,FALSE),"")</f>
        <v>PEREMPUAN</v>
      </c>
      <c r="P872" s="104" t="str">
        <f>IFNA(VLOOKUP(L872,'🙎‍♂️ Pasien'!G:V,12,FALSE),"")</f>
        <v>ISLAM</v>
      </c>
      <c r="Q872" s="104" t="str">
        <f>IFNA(VLOOKUP(L872:L1508,'🙎‍♂️ Pasien'!G:V,13,FALSE),"")</f>
        <v>KARYAWAN SWASTA</v>
      </c>
      <c r="R872" s="104" t="str">
        <f t="array" ref="R872">ifna(xlookup(L872,'🙎‍♂️ Pasien'!$G$5:$G1508,'🙎‍♂️ Pasien'!$T$5:$T1508),"")</f>
        <v>NYERI SAAT NARIK NAFAS DAN BERGERAK AREA RUSUK DEPAN HINGGA BELAKANG SEBELAH KANAN</v>
      </c>
      <c r="S872" s="104" t="str">
        <f t="array" ref="S872">ifna(xlookup(L872,'🙎‍♂️ Pasien'!$G$5:$G1508,'🙎‍♂️ Pasien'!$U$5:$U1508),"")</f>
        <v>SAAT INI SEDANG BATUK, OLAHRAGA THREADMIL DAN BULU TANGKIS BEBERAPA WAKTU INI</v>
      </c>
      <c r="T872" s="97" t="s">
        <v>59</v>
      </c>
      <c r="U872" s="105">
        <v>1.0</v>
      </c>
      <c r="V872" s="101"/>
      <c r="W872" s="106" t="b">
        <v>1</v>
      </c>
      <c r="X872" s="107"/>
      <c r="Y872" s="108"/>
    </row>
    <row r="873" ht="22.5" customHeight="1">
      <c r="A873" s="96"/>
      <c r="B873" s="97" t="s">
        <v>53</v>
      </c>
      <c r="C873" s="98" t="str">
        <f t="array" ref="C873">IFNA(XLOOKUP(J873,'⚙️ Pengaturan'!$H$5:$H1508,'⚙️ Pengaturan'!$I$5:$I1508),"")</f>
        <v>TIM Y</v>
      </c>
      <c r="D873" s="97" t="s">
        <v>54</v>
      </c>
      <c r="E873" s="99">
        <v>45981.0</v>
      </c>
      <c r="F873" s="100" t="str">
        <f t="shared" si="1"/>
        <v>2025</v>
      </c>
      <c r="G873" s="100" t="str">
        <f t="shared" si="2"/>
        <v>11Nov</v>
      </c>
      <c r="H873" s="100" t="str">
        <f t="shared" si="3"/>
        <v>Kamis</v>
      </c>
      <c r="I873" s="97" t="s">
        <v>76</v>
      </c>
      <c r="J873" s="97" t="s">
        <v>88</v>
      </c>
      <c r="K873" s="97" t="s">
        <v>63</v>
      </c>
      <c r="L873" s="101" t="s">
        <v>386</v>
      </c>
      <c r="M873" s="102" t="str">
        <f>IFNA(VLOOKUP(L873,'🙎‍♂️ Pasien'!G:V,2,FALSE),"")</f>
        <v>B7325109155</v>
      </c>
      <c r="N873" s="103">
        <f>IFNA(VLOOKUP(L873,'🙎‍♂️ Pasien'!G:L,3,FALSE),"")</f>
        <v>53</v>
      </c>
      <c r="O873" s="104" t="str">
        <f>IFNA(VLOOKUP(L873,'🙎‍♂️ Pasien'!G:V,6,FALSE),"")</f>
        <v>LAKI-LAKI</v>
      </c>
      <c r="P873" s="104" t="str">
        <f>IFNA(VLOOKUP(L873,'🙎‍♂️ Pasien'!G:V,12,FALSE),"")</f>
        <v>ISLAM</v>
      </c>
      <c r="Q873" s="104" t="str">
        <f>IFNA(VLOOKUP(L873:L1508,'🙎‍♂️ Pasien'!G:V,13,FALSE),"")</f>
        <v>WIRASUASTA</v>
      </c>
      <c r="R873" s="104" t="str">
        <f t="array" ref="R873">ifna(xlookup(L873,'🙎‍♂️ Pasien'!$G$5:$G1508,'🙎‍♂️ Pasien'!$T$5:$T1508),"")</f>
        <v>NYERI LUTUT</v>
      </c>
      <c r="S873" s="104" t="str">
        <f t="array" ref="S873">ifna(xlookup(L873,'🙎‍♂️ Pasien'!$G$5:$G1508,'🙎‍♂️ Pasien'!$U$5:$U1508),"")</f>
        <v>BADMINTON</v>
      </c>
      <c r="T873" s="97" t="s">
        <v>59</v>
      </c>
      <c r="U873" s="105">
        <v>5.0</v>
      </c>
      <c r="V873" s="101"/>
      <c r="W873" s="106" t="b">
        <v>1</v>
      </c>
      <c r="X873" s="107"/>
      <c r="Y873" s="108"/>
    </row>
    <row r="874" ht="22.5" customHeight="1">
      <c r="A874" s="96"/>
      <c r="B874" s="97" t="s">
        <v>53</v>
      </c>
      <c r="C874" s="98" t="str">
        <f t="array" ref="C874">IFNA(XLOOKUP(J874,'⚙️ Pengaturan'!$H$5:$H1508,'⚙️ Pengaturan'!$I$5:$I1508),"")</f>
        <v>TIM Y</v>
      </c>
      <c r="D874" s="97" t="s">
        <v>54</v>
      </c>
      <c r="E874" s="99">
        <v>45981.0</v>
      </c>
      <c r="F874" s="100" t="str">
        <f t="shared" si="1"/>
        <v>2025</v>
      </c>
      <c r="G874" s="100" t="str">
        <f t="shared" si="2"/>
        <v>11Nov</v>
      </c>
      <c r="H874" s="100" t="str">
        <f t="shared" si="3"/>
        <v>Kamis</v>
      </c>
      <c r="I874" s="97" t="s">
        <v>76</v>
      </c>
      <c r="J874" s="97" t="s">
        <v>107</v>
      </c>
      <c r="K874" s="97" t="s">
        <v>57</v>
      </c>
      <c r="L874" s="101" t="s">
        <v>553</v>
      </c>
      <c r="M874" s="102" t="str">
        <f>IFNA(VLOOKUP(L874,'🙎‍♂️ Pasien'!G:V,2,FALSE),"")</f>
        <v>M9924081266</v>
      </c>
      <c r="N874" s="103">
        <f>IFNA(VLOOKUP(L874,'🙎‍♂️ Pasien'!G:L,3,FALSE),"")</f>
        <v>27</v>
      </c>
      <c r="O874" s="104" t="str">
        <f>IFNA(VLOOKUP(L874,'🙎‍♂️ Pasien'!G:V,6,FALSE),"")</f>
        <v>PEREMPUAN</v>
      </c>
      <c r="P874" s="104" t="str">
        <f>IFNA(VLOOKUP(L874,'🙎‍♂️ Pasien'!G:V,12,FALSE),"")</f>
        <v>ISLAM</v>
      </c>
      <c r="Q874" s="104" t="str">
        <f>IFNA(VLOOKUP(L874:L1508,'🙎‍♂️ Pasien'!G:V,13,FALSE),"")</f>
        <v>SWASTA</v>
      </c>
      <c r="R874" s="104" t="str">
        <f t="array" ref="R874">ifna(xlookup(L874,'🙎‍♂️ Pasien'!$G$5:$G1508,'🙎‍♂️ Pasien'!$T$5:$T1508),"")</f>
        <v>Keseleo</v>
      </c>
      <c r="S874" s="104" t="str">
        <f t="array" ref="S874">ifna(xlookup(L874,'🙎‍♂️ Pasien'!$G$5:$G1508,'🙎‍♂️ Pasien'!$U$5:$U1508),"")</f>
        <v>Olahraga (Badminton &amp; Tennis)</v>
      </c>
      <c r="T874" s="97" t="s">
        <v>59</v>
      </c>
      <c r="U874" s="105" t="s">
        <v>60</v>
      </c>
      <c r="V874" s="101"/>
      <c r="W874" s="106" t="b">
        <v>1</v>
      </c>
      <c r="X874" s="107"/>
      <c r="Y874" s="108"/>
    </row>
    <row r="875" ht="22.5" customHeight="1">
      <c r="A875" s="96"/>
      <c r="B875" s="97" t="s">
        <v>53</v>
      </c>
      <c r="C875" s="98" t="str">
        <f t="array" ref="C875">IFNA(XLOOKUP(J875,'⚙️ Pengaturan'!$H$5:$H1508,'⚙️ Pengaturan'!$I$5:$I1508),"")</f>
        <v>TIM Y</v>
      </c>
      <c r="D875" s="97" t="s">
        <v>54</v>
      </c>
      <c r="E875" s="99">
        <v>45981.0</v>
      </c>
      <c r="F875" s="100" t="str">
        <f t="shared" si="1"/>
        <v>2025</v>
      </c>
      <c r="G875" s="100" t="str">
        <f t="shared" si="2"/>
        <v>11Nov</v>
      </c>
      <c r="H875" s="100" t="str">
        <f t="shared" si="3"/>
        <v>Kamis</v>
      </c>
      <c r="I875" s="97" t="s">
        <v>83</v>
      </c>
      <c r="J875" s="97" t="s">
        <v>107</v>
      </c>
      <c r="K875" s="97" t="s">
        <v>69</v>
      </c>
      <c r="L875" s="101" t="s">
        <v>436</v>
      </c>
      <c r="M875" s="102" t="str">
        <f>IFNA(VLOOKUP(L875,'🙎‍♂️ Pasien'!G:V,2,FALSE),"")</f>
        <v>A9525119187</v>
      </c>
      <c r="N875" s="103">
        <f>IFNA(VLOOKUP(L875,'🙎‍♂️ Pasien'!G:L,3,FALSE),"")</f>
        <v>31</v>
      </c>
      <c r="O875" s="104" t="str">
        <f>IFNA(VLOOKUP(L875,'🙎‍♂️ Pasien'!G:V,6,FALSE),"")</f>
        <v>PEREMPUAN</v>
      </c>
      <c r="P875" s="104" t="str">
        <f>IFNA(VLOOKUP(L875,'🙎‍♂️ Pasien'!G:V,12,FALSE),"")</f>
        <v>ISLAM</v>
      </c>
      <c r="Q875" s="104" t="str">
        <f>IFNA(VLOOKUP(L875:L1508,'🙎‍♂️ Pasien'!G:V,13,FALSE),"")</f>
        <v>IRT</v>
      </c>
      <c r="R875" s="104" t="str">
        <f t="array" ref="R875">ifna(xlookup(L875,'🙎‍♂️ Pasien'!$G$5:$G1508,'🙎‍♂️ Pasien'!$T$5:$T1508),"")</f>
        <v>KEBAS TELAPAK KAKI DN TANGAN</v>
      </c>
      <c r="S875" s="104" t="str">
        <f t="array" ref="S875">ifna(xlookup(L875,'🙎‍♂️ Pasien'!$G$5:$G1508,'🙎‍♂️ Pasien'!$U$5:$U1508),"")</f>
        <v>MNGKIN PEKERJAAN YANG MENGANGKAT BARANG BERAT</v>
      </c>
      <c r="T875" s="97" t="s">
        <v>59</v>
      </c>
      <c r="U875" s="105" t="s">
        <v>60</v>
      </c>
      <c r="V875" s="101"/>
      <c r="W875" s="106" t="b">
        <v>1</v>
      </c>
      <c r="X875" s="107"/>
      <c r="Y875" s="108"/>
    </row>
    <row r="876" ht="22.5" customHeight="1">
      <c r="A876" s="96"/>
      <c r="B876" s="97" t="s">
        <v>53</v>
      </c>
      <c r="C876" s="98" t="str">
        <f t="array" ref="C876">IFNA(XLOOKUP(J876,'⚙️ Pengaturan'!$H$5:$H1508,'⚙️ Pengaturan'!$I$5:$I1508),"")</f>
        <v>TIM Y</v>
      </c>
      <c r="D876" s="97" t="s">
        <v>54</v>
      </c>
      <c r="E876" s="99">
        <v>45981.0</v>
      </c>
      <c r="F876" s="100" t="str">
        <f t="shared" si="1"/>
        <v>2025</v>
      </c>
      <c r="G876" s="100" t="str">
        <f t="shared" si="2"/>
        <v>11Nov</v>
      </c>
      <c r="H876" s="100" t="str">
        <f t="shared" si="3"/>
        <v>Kamis</v>
      </c>
      <c r="I876" s="97" t="s">
        <v>83</v>
      </c>
      <c r="J876" s="97" t="s">
        <v>88</v>
      </c>
      <c r="K876" s="97" t="s">
        <v>57</v>
      </c>
      <c r="L876" s="101" t="s">
        <v>554</v>
      </c>
      <c r="M876" s="102" t="str">
        <f>IFNA(VLOOKUP(L876,'🙎‍♂️ Pasien'!G:V,2,FALSE),"")</f>
        <v>J0825113594</v>
      </c>
      <c r="N876" s="103">
        <f>IFNA(VLOOKUP(L876,'🙎‍♂️ Pasien'!G:L,3,FALSE),"")</f>
        <v>18</v>
      </c>
      <c r="O876" s="104" t="str">
        <f>IFNA(VLOOKUP(L876,'🙎‍♂️ Pasien'!G:V,6,FALSE),"")</f>
        <v>LAKI-LAKI</v>
      </c>
      <c r="P876" s="104" t="str">
        <f>IFNA(VLOOKUP(L876,'🙎‍♂️ Pasien'!G:V,12,FALSE),"")</f>
        <v>BUDDHA</v>
      </c>
      <c r="Q876" s="104" t="str">
        <f>IFNA(VLOOKUP(L876:L1508,'🙎‍♂️ Pasien'!G:V,13,FALSE),"")</f>
        <v>PELAJAR</v>
      </c>
      <c r="R876" s="104" t="str">
        <f t="array" ref="R876">ifna(xlookup(L876,'🙎‍♂️ Pasien'!$G$5:$G1508,'🙎‍♂️ Pasien'!$T$5:$T1508),"")</f>
        <v>KESELEO</v>
      </c>
      <c r="S876" s="104" t="str">
        <f t="array" ref="S876">ifna(xlookup(L876,'🙎‍♂️ Pasien'!$G$5:$G1508,'🙎‍♂️ Pasien'!$U$5:$U1508),"")</f>
        <v>BASKET</v>
      </c>
      <c r="T876" s="97" t="s">
        <v>59</v>
      </c>
      <c r="U876" s="105" t="s">
        <v>60</v>
      </c>
      <c r="V876" s="101"/>
      <c r="W876" s="106" t="b">
        <v>1</v>
      </c>
      <c r="X876" s="107"/>
      <c r="Y876" s="108"/>
    </row>
    <row r="877" ht="22.5" customHeight="1">
      <c r="A877" s="96"/>
      <c r="B877" s="97" t="s">
        <v>85</v>
      </c>
      <c r="C877" s="98" t="str">
        <f t="array" ref="C877">IFNA(XLOOKUP(J877,'⚙️ Pengaturan'!$H$5:$H1508,'⚙️ Pengaturan'!$I$5:$I1508),"")</f>
        <v>TIM A</v>
      </c>
      <c r="D877" s="97" t="s">
        <v>86</v>
      </c>
      <c r="E877" s="99">
        <v>45981.0</v>
      </c>
      <c r="F877" s="100" t="str">
        <f t="shared" si="1"/>
        <v>2025</v>
      </c>
      <c r="G877" s="100" t="str">
        <f t="shared" si="2"/>
        <v>11Nov</v>
      </c>
      <c r="H877" s="100" t="str">
        <f t="shared" si="3"/>
        <v>Kamis</v>
      </c>
      <c r="I877" s="97" t="s">
        <v>87</v>
      </c>
      <c r="J877" s="97" t="s">
        <v>72</v>
      </c>
      <c r="K877" s="97" t="s">
        <v>63</v>
      </c>
      <c r="L877" s="101" t="s">
        <v>381</v>
      </c>
      <c r="M877" s="102" t="str">
        <f>IFNA(VLOOKUP(L877,'🙎‍♂️ Pasien'!G:V,2,FALSE),"")</f>
        <v>A9925105509</v>
      </c>
      <c r="N877" s="103">
        <f>IFNA(VLOOKUP(L877,'🙎‍♂️ Pasien'!G:L,3,FALSE),"")</f>
        <v>27</v>
      </c>
      <c r="O877" s="104" t="str">
        <f>IFNA(VLOOKUP(L877,'🙎‍♂️ Pasien'!G:V,6,FALSE),"")</f>
        <v>PEREMPUAN</v>
      </c>
      <c r="P877" s="104" t="str">
        <f>IFNA(VLOOKUP(L877,'🙎‍♂️ Pasien'!G:V,12,FALSE),"")</f>
        <v>BUDDHA</v>
      </c>
      <c r="Q877" s="104" t="str">
        <f>IFNA(VLOOKUP(L877:L1508,'🙎‍♂️ Pasien'!G:V,13,FALSE),"")</f>
        <v>WIRASWASTA</v>
      </c>
      <c r="R877" s="104" t="str">
        <f t="array" ref="R877">ifna(xlookup(L877,'🙎‍♂️ Pasien'!$G$5:$G1508,'🙎‍♂️ Pasien'!$T$5:$T1508),"")</f>
        <v>KAKI BEKAS ANKLE SPRAIN SUDAH DITRE DAN BAHU PEGAL</v>
      </c>
      <c r="S877" s="104" t="str">
        <f t="array" ref="S877">ifna(xlookup(L877,'🙎‍♂️ Pasien'!$G$5:$G1508,'🙎‍♂️ Pasien'!$U$5:$U1508),"")</f>
        <v>2 MINGGU LALU JATUH DARI KETINGGIAN</v>
      </c>
      <c r="T877" s="97" t="s">
        <v>59</v>
      </c>
      <c r="U877" s="105">
        <v>2.0</v>
      </c>
      <c r="V877" s="101"/>
      <c r="W877" s="106" t="b">
        <v>1</v>
      </c>
      <c r="X877" s="107"/>
      <c r="Y877" s="108"/>
    </row>
    <row r="878" ht="22.5" customHeight="1">
      <c r="A878" s="96"/>
      <c r="B878" s="97" t="s">
        <v>85</v>
      </c>
      <c r="C878" s="98" t="str">
        <f t="array" ref="C878">IFNA(XLOOKUP(J878,'⚙️ Pengaturan'!$H$5:$H1508,'⚙️ Pengaturan'!$I$5:$I1508),"")</f>
        <v>MANAJEMEN</v>
      </c>
      <c r="D878" s="97" t="s">
        <v>86</v>
      </c>
      <c r="E878" s="99">
        <v>45981.0</v>
      </c>
      <c r="F878" s="100" t="str">
        <f t="shared" si="1"/>
        <v>2025</v>
      </c>
      <c r="G878" s="100" t="str">
        <f t="shared" si="2"/>
        <v>11Nov</v>
      </c>
      <c r="H878" s="100" t="str">
        <f t="shared" si="3"/>
        <v>Kamis</v>
      </c>
      <c r="I878" s="97" t="s">
        <v>87</v>
      </c>
      <c r="J878" s="97" t="s">
        <v>101</v>
      </c>
      <c r="K878" s="97" t="s">
        <v>63</v>
      </c>
      <c r="L878" s="101" t="s">
        <v>203</v>
      </c>
      <c r="M878" s="102" t="str">
        <f>IFNA(VLOOKUP(L878,'🙎‍♂️ Pasien'!G:V,2,FALSE),"")</f>
        <v>R7723022907</v>
      </c>
      <c r="N878" s="103">
        <f>IFNA(VLOOKUP(L878,'🙎‍♂️ Pasien'!G:L,3,FALSE),"")</f>
        <v>48</v>
      </c>
      <c r="O878" s="104" t="str">
        <f>IFNA(VLOOKUP(L878,'🙎‍♂️ Pasien'!G:V,6,FALSE),"")</f>
        <v>PEREMPUAN</v>
      </c>
      <c r="P878" s="104" t="str">
        <f>IFNA(VLOOKUP(L878,'🙎‍♂️ Pasien'!G:V,12,FALSE),"")</f>
        <v>LAINNYA</v>
      </c>
      <c r="Q878" s="104" t="str">
        <f>IFNA(VLOOKUP(L878:L1508,'🙎‍♂️ Pasien'!G:V,13,FALSE),"")</f>
        <v>RUMAH TANGGA</v>
      </c>
      <c r="R878" s="104" t="str">
        <f t="array" ref="R878">ifna(xlookup(L878,'🙎‍♂️ Pasien'!$G$5:$G1508,'🙎‍♂️ Pasien'!$T$5:$T1508),"")</f>
        <v>TULANG EKOR</v>
      </c>
      <c r="S878" s="104" t="str">
        <f t="array" ref="S878">ifna(xlookup(L878,'🙎‍♂️ Pasien'!$G$5:$G1508,'🙎‍♂️ Pasien'!$U$5:$U1508),"")</f>
        <v>LARI</v>
      </c>
      <c r="T878" s="97" t="s">
        <v>67</v>
      </c>
      <c r="U878" s="105">
        <v>1.0</v>
      </c>
      <c r="V878" s="101" t="s">
        <v>265</v>
      </c>
      <c r="W878" s="106" t="b">
        <v>1</v>
      </c>
      <c r="X878" s="107"/>
      <c r="Y878" s="108"/>
    </row>
    <row r="879" ht="22.5" customHeight="1">
      <c r="A879" s="96"/>
      <c r="B879" s="97" t="s">
        <v>85</v>
      </c>
      <c r="C879" s="98" t="str">
        <f t="array" ref="C879">IFNA(XLOOKUP(J879,'⚙️ Pengaturan'!$H$5:$H1508,'⚙️ Pengaturan'!$I$5:$I1508),"")</f>
        <v>TIM A</v>
      </c>
      <c r="D879" s="97" t="s">
        <v>86</v>
      </c>
      <c r="E879" s="99">
        <v>45981.0</v>
      </c>
      <c r="F879" s="100" t="str">
        <f t="shared" si="1"/>
        <v>2025</v>
      </c>
      <c r="G879" s="100" t="str">
        <f t="shared" si="2"/>
        <v>11Nov</v>
      </c>
      <c r="H879" s="100" t="str">
        <f t="shared" si="3"/>
        <v>Kamis</v>
      </c>
      <c r="I879" s="97" t="s">
        <v>93</v>
      </c>
      <c r="J879" s="97" t="s">
        <v>79</v>
      </c>
      <c r="K879" s="97" t="s">
        <v>57</v>
      </c>
      <c r="L879" s="101" t="s">
        <v>555</v>
      </c>
      <c r="M879" s="102" t="str">
        <f>IFNA(VLOOKUP(L879,'🙎‍♂️ Pasien'!G:V,2,FALSE),"")</f>
        <v>M7125117366</v>
      </c>
      <c r="N879" s="103">
        <f>IFNA(VLOOKUP(L879,'🙎‍♂️ Pasien'!G:L,3,FALSE),"")</f>
        <v>54</v>
      </c>
      <c r="O879" s="104" t="str">
        <f>IFNA(VLOOKUP(L879,'🙎‍♂️ Pasien'!G:V,6,FALSE),"")</f>
        <v>PEREMPUAN</v>
      </c>
      <c r="P879" s="104" t="str">
        <f>IFNA(VLOOKUP(L879,'🙎‍♂️ Pasien'!G:V,12,FALSE),"")</f>
        <v>ISLAM</v>
      </c>
      <c r="Q879" s="104" t="str">
        <f>IFNA(VLOOKUP(L879:L1508,'🙎‍♂️ Pasien'!G:V,13,FALSE),"")</f>
        <v>PEDAGANG</v>
      </c>
      <c r="R879" s="104" t="str">
        <f t="array" ref="R879">ifna(xlookup(L879,'🙎‍♂️ Pasien'!$G$5:$G1508,'🙎‍♂️ Pasien'!$T$5:$T1508),"")</f>
        <v>KRAM/KESEMUTAN BEKERJA</v>
      </c>
      <c r="S879" s="104" t="str">
        <f t="array" ref="S879">ifna(xlookup(L879,'🙎‍♂️ Pasien'!$G$5:$G1508,'🙎‍♂️ Pasien'!$U$5:$U1508),"")</f>
        <v>PEKERJAAN BELADANG</v>
      </c>
      <c r="T879" s="97" t="s">
        <v>59</v>
      </c>
      <c r="U879" s="105" t="s">
        <v>60</v>
      </c>
      <c r="V879" s="101"/>
      <c r="W879" s="106" t="b">
        <v>1</v>
      </c>
      <c r="X879" s="107"/>
      <c r="Y879" s="108"/>
    </row>
    <row r="880" ht="22.5" customHeight="1">
      <c r="A880" s="96"/>
      <c r="B880" s="97" t="s">
        <v>85</v>
      </c>
      <c r="C880" s="98" t="str">
        <f t="array" ref="C880">IFNA(XLOOKUP(J880,'⚙️ Pengaturan'!$H$5:$H1508,'⚙️ Pengaturan'!$I$5:$I1508),"")</f>
        <v>TIM A</v>
      </c>
      <c r="D880" s="97" t="s">
        <v>86</v>
      </c>
      <c r="E880" s="99">
        <v>45981.0</v>
      </c>
      <c r="F880" s="100" t="str">
        <f t="shared" si="1"/>
        <v>2025</v>
      </c>
      <c r="G880" s="100" t="str">
        <f t="shared" si="2"/>
        <v>11Nov</v>
      </c>
      <c r="H880" s="100" t="str">
        <f t="shared" si="3"/>
        <v>Kamis</v>
      </c>
      <c r="I880" s="97" t="s">
        <v>93</v>
      </c>
      <c r="J880" s="97" t="s">
        <v>72</v>
      </c>
      <c r="K880" s="97" t="s">
        <v>63</v>
      </c>
      <c r="L880" s="101" t="s">
        <v>249</v>
      </c>
      <c r="M880" s="102" t="str">
        <f>IFNA(VLOOKUP(L880,'🙎‍♂️ Pasien'!G:V,2,FALSE),"")</f>
        <v>M7625071479</v>
      </c>
      <c r="N880" s="103">
        <f>IFNA(VLOOKUP(L880,'🙎‍♂️ Pasien'!G:L,3,FALSE),"")</f>
        <v>50</v>
      </c>
      <c r="O880" s="104" t="str">
        <f>IFNA(VLOOKUP(L880,'🙎‍♂️ Pasien'!G:V,6,FALSE),"")</f>
        <v>PEREMPUAN</v>
      </c>
      <c r="P880" s="104" t="str">
        <f>IFNA(VLOOKUP(L880,'🙎‍♂️ Pasien'!G:V,12,FALSE),"")</f>
        <v>ISLAM</v>
      </c>
      <c r="Q880" s="104" t="str">
        <f>IFNA(VLOOKUP(L880:L1508,'🙎‍♂️ Pasien'!G:V,13,FALSE),"")</f>
        <v>IBU RUMAH TANGGA</v>
      </c>
      <c r="R880" s="104" t="str">
        <f t="array" ref="R880">ifna(xlookup(L880,'🙎‍♂️ Pasien'!$G$5:$G1508,'🙎‍♂️ Pasien'!$T$5:$T1508),"")</f>
        <v>STROKE</v>
      </c>
      <c r="S880" s="104" t="str">
        <f t="array" ref="S880">ifna(xlookup(L880,'🙎‍♂️ Pasien'!$G$5:$G1508,'🙎‍♂️ Pasien'!$U$5:$U1508),"")</f>
        <v>HIPERTENSI, KOLESTROL, DIABETES</v>
      </c>
      <c r="T880" s="97" t="s">
        <v>59</v>
      </c>
      <c r="U880" s="105">
        <v>6.0</v>
      </c>
      <c r="V880" s="101"/>
      <c r="W880" s="106" t="b">
        <v>1</v>
      </c>
      <c r="X880" s="107"/>
      <c r="Y880" s="108"/>
    </row>
    <row r="881" ht="22.5" customHeight="1">
      <c r="A881" s="96"/>
      <c r="B881" s="97" t="s">
        <v>85</v>
      </c>
      <c r="C881" s="98" t="str">
        <f t="array" ref="C881">IFNA(XLOOKUP(J881,'⚙️ Pengaturan'!$H$5:$H1508,'⚙️ Pengaturan'!$I$5:$I1508),"")</f>
        <v>TIM Y</v>
      </c>
      <c r="D881" s="97" t="s">
        <v>86</v>
      </c>
      <c r="E881" s="99">
        <v>45981.0</v>
      </c>
      <c r="F881" s="100" t="str">
        <f t="shared" si="1"/>
        <v>2025</v>
      </c>
      <c r="G881" s="100" t="str">
        <f t="shared" si="2"/>
        <v>11Nov</v>
      </c>
      <c r="H881" s="100" t="str">
        <f t="shared" si="3"/>
        <v>Kamis</v>
      </c>
      <c r="I881" s="97" t="s">
        <v>93</v>
      </c>
      <c r="J881" s="97" t="s">
        <v>56</v>
      </c>
      <c r="K881" s="97" t="s">
        <v>135</v>
      </c>
      <c r="L881" s="101" t="s">
        <v>556</v>
      </c>
      <c r="M881" s="102" t="str">
        <f>IFNA(VLOOKUP(L881,'🙎‍♂️ Pasien'!G:V,2,FALSE),"")</f>
        <v>M0025117586</v>
      </c>
      <c r="N881" s="103">
        <f>IFNA(VLOOKUP(L881,'🙎‍♂️ Pasien'!G:L,3,FALSE),"")</f>
        <v>25</v>
      </c>
      <c r="O881" s="104" t="str">
        <f>IFNA(VLOOKUP(L881,'🙎‍♂️ Pasien'!G:V,6,FALSE),"")</f>
        <v>LAKI-LAKI</v>
      </c>
      <c r="P881" s="104" t="str">
        <f>IFNA(VLOOKUP(L881,'🙎‍♂️ Pasien'!G:V,12,FALSE),"")</f>
        <v>ISLAM</v>
      </c>
      <c r="Q881" s="104" t="str">
        <f>IFNA(VLOOKUP(L881:L1508,'🙎‍♂️ Pasien'!G:V,13,FALSE),"")</f>
        <v>WIRASWASTA</v>
      </c>
      <c r="R881" s="104" t="str">
        <f t="array" ref="R881">ifna(xlookup(L881,'🙎‍♂️ Pasien'!$G$5:$G1508,'🙎‍♂️ Pasien'!$T$5:$T1508),"")</f>
        <v>KESEMUTAN TANGAN KIRI</v>
      </c>
      <c r="S881" s="104" t="str">
        <f t="array" ref="S881">ifna(xlookup(L881,'🙎‍♂️ Pasien'!$G$5:$G1508,'🙎‍♂️ Pasien'!$U$5:$U1508),"")</f>
        <v>GYM</v>
      </c>
      <c r="T881" s="97" t="s">
        <v>67</v>
      </c>
      <c r="U881" s="105" t="s">
        <v>60</v>
      </c>
      <c r="V881" s="101" t="s">
        <v>205</v>
      </c>
      <c r="W881" s="106" t="b">
        <v>1</v>
      </c>
      <c r="X881" s="107"/>
      <c r="Y881" s="108"/>
    </row>
    <row r="882" ht="22.5" customHeight="1">
      <c r="A882" s="96"/>
      <c r="B882" s="97" t="s">
        <v>85</v>
      </c>
      <c r="C882" s="98" t="str">
        <f t="array" ref="C882">IFNA(XLOOKUP(J882,'⚙️ Pengaturan'!$H$5:$H1508,'⚙️ Pengaturan'!$I$5:$I1508),"")</f>
        <v>TIM A</v>
      </c>
      <c r="D882" s="97" t="s">
        <v>86</v>
      </c>
      <c r="E882" s="99">
        <v>45981.0</v>
      </c>
      <c r="F882" s="100" t="str">
        <f t="shared" si="1"/>
        <v>2025</v>
      </c>
      <c r="G882" s="100" t="str">
        <f t="shared" si="2"/>
        <v>11Nov</v>
      </c>
      <c r="H882" s="100" t="str">
        <f t="shared" si="3"/>
        <v>Kamis</v>
      </c>
      <c r="I882" s="97" t="s">
        <v>95</v>
      </c>
      <c r="J882" s="97" t="s">
        <v>62</v>
      </c>
      <c r="K882" s="97" t="s">
        <v>63</v>
      </c>
      <c r="L882" s="101" t="s">
        <v>357</v>
      </c>
      <c r="M882" s="102" t="str">
        <f>IFNA(VLOOKUP(L882,'🙎‍♂️ Pasien'!G:V,2,FALSE),"")</f>
        <v>A0125104452</v>
      </c>
      <c r="N882" s="103">
        <f>IFNA(VLOOKUP(L882,'🙎‍♂️ Pasien'!G:L,3,FALSE),"")</f>
        <v>24</v>
      </c>
      <c r="O882" s="104" t="str">
        <f>IFNA(VLOOKUP(L882,'🙎‍♂️ Pasien'!G:V,6,FALSE),"")</f>
        <v>PEREMPUAN</v>
      </c>
      <c r="P882" s="104" t="str">
        <f>IFNA(VLOOKUP(L882,'🙎‍♂️ Pasien'!G:V,12,FALSE),"")</f>
        <v>ISLAM</v>
      </c>
      <c r="Q882" s="104" t="str">
        <f>IFNA(VLOOKUP(L882:L1508,'🙎‍♂️ Pasien'!G:V,13,FALSE),"")</f>
        <v>PNS</v>
      </c>
      <c r="R882" s="104" t="str">
        <f t="array" ref="R882">ifna(xlookup(L882,'🙎‍♂️ Pasien'!$G$5:$G1508,'🙎‍♂️ Pasien'!$T$5:$T1508),"")</f>
        <v>SAKIT NYERI DAN PEGAL DARI LEHER HINGGA KAKI NAMUN HANYA TUBUH SEBELAH KANAN</v>
      </c>
      <c r="S882" s="104" t="str">
        <f t="array" ref="S882">ifna(xlookup(L882,'🙎‍♂️ Pasien'!$G$5:$G1508,'🙎‍♂️ Pasien'!$U$5:$U1508),"")</f>
        <v>-</v>
      </c>
      <c r="T882" s="97" t="s">
        <v>59</v>
      </c>
      <c r="U882" s="105">
        <v>5.0</v>
      </c>
      <c r="V882" s="101" t="s">
        <v>125</v>
      </c>
      <c r="W882" s="106" t="b">
        <v>1</v>
      </c>
      <c r="X882" s="107"/>
      <c r="Y882" s="108"/>
    </row>
    <row r="883" ht="22.5" customHeight="1">
      <c r="A883" s="96"/>
      <c r="B883" s="97" t="s">
        <v>85</v>
      </c>
      <c r="C883" s="98" t="str">
        <f t="array" ref="C883">IFNA(XLOOKUP(J883,'⚙️ Pengaturan'!$H$5:$H1508,'⚙️ Pengaturan'!$I$5:$I1508),"")</f>
        <v>TIM A</v>
      </c>
      <c r="D883" s="97" t="s">
        <v>86</v>
      </c>
      <c r="E883" s="99">
        <v>45981.0</v>
      </c>
      <c r="F883" s="100" t="str">
        <f t="shared" si="1"/>
        <v>2025</v>
      </c>
      <c r="G883" s="100" t="str">
        <f t="shared" si="2"/>
        <v>11Nov</v>
      </c>
      <c r="H883" s="100" t="str">
        <f t="shared" si="3"/>
        <v>Kamis</v>
      </c>
      <c r="I883" s="97" t="s">
        <v>97</v>
      </c>
      <c r="J883" s="97" t="s">
        <v>72</v>
      </c>
      <c r="K883" s="97" t="s">
        <v>63</v>
      </c>
      <c r="L883" s="101" t="s">
        <v>474</v>
      </c>
      <c r="M883" s="102" t="str">
        <f>IFNA(VLOOKUP(L883,'🙎‍♂️ Pasien'!G:V,2,FALSE),"")</f>
        <v>M5325110126</v>
      </c>
      <c r="N883" s="103">
        <f>IFNA(VLOOKUP(L883,'🙎‍♂️ Pasien'!G:L,3,FALSE),"")</f>
        <v>73</v>
      </c>
      <c r="O883" s="104" t="str">
        <f>IFNA(VLOOKUP(L883,'🙎‍♂️ Pasien'!G:V,6,FALSE),"")</f>
        <v>PEREMPUAN</v>
      </c>
      <c r="P883" s="104" t="str">
        <f>IFNA(VLOOKUP(L883,'🙎‍♂️ Pasien'!G:V,12,FALSE),"")</f>
        <v>KATOLIK</v>
      </c>
      <c r="Q883" s="104" t="str">
        <f>IFNA(VLOOKUP(L883:L1508,'🙎‍♂️ Pasien'!G:V,13,FALSE),"")</f>
        <v>IBU RUMAH TANGGA</v>
      </c>
      <c r="R883" s="104" t="str">
        <f t="array" ref="R883">ifna(xlookup(L883,'🙎‍♂️ Pasien'!$G$5:$G1508,'🙎‍♂️ Pasien'!$T$5:$T1508),"")</f>
        <v>SAKIT &amp; SUSAH GERAK PAKA LUTUT</v>
      </c>
      <c r="S883" s="104" t="str">
        <f t="array" ref="S883">ifna(xlookup(L883,'🙎‍♂️ Pasien'!$G$5:$G1508,'🙎‍♂️ Pasien'!$U$5:$U1508),"")</f>
        <v>AKTIVITAS RUMAH TANGGA</v>
      </c>
      <c r="T883" s="97" t="s">
        <v>59</v>
      </c>
      <c r="U883" s="105">
        <v>5.0</v>
      </c>
      <c r="V883" s="101" t="s">
        <v>125</v>
      </c>
      <c r="W883" s="106" t="b">
        <v>1</v>
      </c>
      <c r="X883" s="107"/>
      <c r="Y883" s="108"/>
    </row>
    <row r="884" ht="22.5" customHeight="1">
      <c r="A884" s="96"/>
      <c r="B884" s="97" t="s">
        <v>85</v>
      </c>
      <c r="C884" s="98" t="str">
        <f t="array" ref="C884">IFNA(XLOOKUP(J884,'⚙️ Pengaturan'!$H$5:$H1508,'⚙️ Pengaturan'!$I$5:$I1508),"")</f>
        <v>TIM Y</v>
      </c>
      <c r="D884" s="97" t="s">
        <v>86</v>
      </c>
      <c r="E884" s="99">
        <v>45981.0</v>
      </c>
      <c r="F884" s="100" t="str">
        <f t="shared" si="1"/>
        <v>2025</v>
      </c>
      <c r="G884" s="100" t="str">
        <f t="shared" si="2"/>
        <v>11Nov</v>
      </c>
      <c r="H884" s="100" t="str">
        <f t="shared" si="3"/>
        <v>Kamis</v>
      </c>
      <c r="I884" s="97" t="s">
        <v>97</v>
      </c>
      <c r="J884" s="97" t="s">
        <v>56</v>
      </c>
      <c r="K884" s="97" t="s">
        <v>69</v>
      </c>
      <c r="L884" s="101" t="s">
        <v>297</v>
      </c>
      <c r="M884" s="102" t="str">
        <f>IFNA(VLOOKUP(L884,'🙎‍♂️ Pasien'!G:V,2,FALSE),"")</f>
        <v>R8125108947</v>
      </c>
      <c r="N884" s="103">
        <f>IFNA(VLOOKUP(L884,'🙎‍♂️ Pasien'!G:L,3,FALSE),"")</f>
        <v>44</v>
      </c>
      <c r="O884" s="104" t="str">
        <f>IFNA(VLOOKUP(L884,'🙎‍♂️ Pasien'!G:V,6,FALSE),"")</f>
        <v>LAKI-LAKI</v>
      </c>
      <c r="P884" s="104" t="str">
        <f>IFNA(VLOOKUP(L884,'🙎‍♂️ Pasien'!G:V,12,FALSE),"")</f>
        <v>ISLAM</v>
      </c>
      <c r="Q884" s="104" t="str">
        <f>IFNA(VLOOKUP(L884:L1508,'🙎‍♂️ Pasien'!G:V,13,FALSE),"")</f>
        <v>WIRASWASTA</v>
      </c>
      <c r="R884" s="104" t="str">
        <f t="array" ref="R884">ifna(xlookup(L884,'🙎‍♂️ Pasien'!$G$5:$G1508,'🙎‍♂️ Pasien'!$T$5:$T1508),"")</f>
        <v>LBP</v>
      </c>
      <c r="S884" s="104" t="str">
        <f t="array" ref="S884">ifna(xlookup(L884,'🙎‍♂️ Pasien'!$G$5:$G1508,'🙎‍♂️ Pasien'!$U$5:$U1508),"")</f>
        <v>SUPERVISI LAPANGAN</v>
      </c>
      <c r="T884" s="97" t="s">
        <v>59</v>
      </c>
      <c r="U884" s="105" t="s">
        <v>60</v>
      </c>
      <c r="V884" s="101"/>
      <c r="W884" s="106" t="b">
        <v>1</v>
      </c>
      <c r="X884" s="107"/>
      <c r="Y884" s="108"/>
    </row>
    <row r="885" ht="22.5" customHeight="1">
      <c r="A885" s="96"/>
      <c r="B885" s="97" t="s">
        <v>85</v>
      </c>
      <c r="C885" s="98" t="str">
        <f t="array" ref="C885">IFNA(XLOOKUP(J885,'⚙️ Pengaturan'!$H$5:$H1508,'⚙️ Pengaturan'!$I$5:$I1508),"")</f>
        <v>TIM A</v>
      </c>
      <c r="D885" s="97" t="s">
        <v>86</v>
      </c>
      <c r="E885" s="99">
        <v>45981.0</v>
      </c>
      <c r="F885" s="100" t="str">
        <f t="shared" si="1"/>
        <v>2025</v>
      </c>
      <c r="G885" s="100" t="str">
        <f t="shared" si="2"/>
        <v>11Nov</v>
      </c>
      <c r="H885" s="100" t="str">
        <f t="shared" si="3"/>
        <v>Kamis</v>
      </c>
      <c r="I885" s="97" t="s">
        <v>99</v>
      </c>
      <c r="J885" s="97" t="s">
        <v>79</v>
      </c>
      <c r="K885" s="97" t="s">
        <v>63</v>
      </c>
      <c r="L885" s="101" t="s">
        <v>540</v>
      </c>
      <c r="M885" s="102" t="str">
        <f>IFNA(VLOOKUP(L885,'🙎‍♂️ Pasien'!G:V,2,FALSE),"")</f>
        <v>A9425110177</v>
      </c>
      <c r="N885" s="103">
        <f>IFNA(VLOOKUP(L885,'🙎‍♂️ Pasien'!G:L,3,FALSE),"")</f>
        <v>31</v>
      </c>
      <c r="O885" s="104" t="str">
        <f>IFNA(VLOOKUP(L885,'🙎‍♂️ Pasien'!G:V,6,FALSE),"")</f>
        <v>LAKI-LAKI</v>
      </c>
      <c r="P885" s="104" t="str">
        <f>IFNA(VLOOKUP(L885,'🙎‍♂️ Pasien'!G:V,12,FALSE),"")</f>
        <v>KATOLIK</v>
      </c>
      <c r="Q885" s="104" t="str">
        <f>IFNA(VLOOKUP(L885:L1508,'🙎‍♂️ Pasien'!G:V,13,FALSE),"")</f>
        <v>-</v>
      </c>
      <c r="R885" s="104" t="str">
        <f t="array" ref="R885">ifna(xlookup(L885,'🙎‍♂️ Pasien'!$G$5:$G1508,'🙎‍♂️ Pasien'!$T$5:$T1508),"")</f>
        <v>PASCA OPERASI ACL</v>
      </c>
      <c r="S885" s="104" t="str">
        <f t="array" ref="S885">ifna(xlookup(L885,'🙎‍♂️ Pasien'!$G$5:$G1508,'🙎‍♂️ Pasien'!$U$5:$U1508),"")</f>
        <v>-</v>
      </c>
      <c r="T885" s="97" t="s">
        <v>59</v>
      </c>
      <c r="U885" s="105">
        <v>1.0</v>
      </c>
      <c r="V885" s="101"/>
      <c r="W885" s="106" t="b">
        <v>1</v>
      </c>
      <c r="X885" s="107"/>
      <c r="Y885" s="108"/>
    </row>
    <row r="886" ht="22.5" customHeight="1">
      <c r="A886" s="96"/>
      <c r="B886" s="97" t="s">
        <v>85</v>
      </c>
      <c r="C886" s="98" t="str">
        <f t="array" ref="C886">IFNA(XLOOKUP(J886,'⚙️ Pengaturan'!$H$5:$H1508,'⚙️ Pengaturan'!$I$5:$I1508),"")</f>
        <v>TIM A</v>
      </c>
      <c r="D886" s="97" t="s">
        <v>86</v>
      </c>
      <c r="E886" s="99">
        <v>45981.0</v>
      </c>
      <c r="F886" s="100" t="str">
        <f t="shared" si="1"/>
        <v>2025</v>
      </c>
      <c r="G886" s="100" t="str">
        <f t="shared" si="2"/>
        <v>11Nov</v>
      </c>
      <c r="H886" s="100" t="str">
        <f t="shared" si="3"/>
        <v>Kamis</v>
      </c>
      <c r="I886" s="97" t="s">
        <v>99</v>
      </c>
      <c r="J886" s="97" t="s">
        <v>62</v>
      </c>
      <c r="K886" s="97" t="s">
        <v>57</v>
      </c>
      <c r="L886" s="101" t="s">
        <v>557</v>
      </c>
      <c r="M886" s="102" t="str">
        <f>IFNA(VLOOKUP(L886,'🙎‍♂️ Pasien'!G:V,2,FALSE),"")</f>
        <v>S1223087980</v>
      </c>
      <c r="N886" s="103">
        <f>IFNA(VLOOKUP(L886,'🙎‍♂️ Pasien'!G:L,3,FALSE),"")</f>
        <v>14</v>
      </c>
      <c r="O886" s="104" t="str">
        <f>IFNA(VLOOKUP(L886,'🙎‍♂️ Pasien'!G:V,6,FALSE),"")</f>
        <v>LAKI-LAKI</v>
      </c>
      <c r="P886" s="104" t="str">
        <f>IFNA(VLOOKUP(L886,'🙎‍♂️ Pasien'!G:V,12,FALSE),"")</f>
        <v>ISLAM</v>
      </c>
      <c r="Q886" s="104" t="str">
        <f>IFNA(VLOOKUP(L886:L1508,'🙎‍♂️ Pasien'!G:V,13,FALSE),"")</f>
        <v>PELAJAR/MAHASISWA</v>
      </c>
      <c r="R886" s="104" t="str">
        <f t="array" ref="R886">ifna(xlookup(L886,'🙎‍♂️ Pasien'!$G$5:$G1508,'🙎‍♂️ Pasien'!$T$5:$T1508),"")</f>
        <v>NYERI TUMIT DAN</v>
      </c>
      <c r="S886" s="104" t="str">
        <f t="array" ref="S886">ifna(xlookup(L886,'🙎‍♂️ Pasien'!$G$5:$G1508,'🙎‍♂️ Pasien'!$U$5:$U1508),"")</f>
        <v>FUTSAL</v>
      </c>
      <c r="T886" s="97" t="s">
        <v>67</v>
      </c>
      <c r="U886" s="105" t="s">
        <v>60</v>
      </c>
      <c r="V886" s="101" t="s">
        <v>558</v>
      </c>
      <c r="W886" s="106" t="b">
        <v>1</v>
      </c>
      <c r="X886" s="107"/>
      <c r="Y886" s="108"/>
    </row>
    <row r="887" ht="22.5" customHeight="1">
      <c r="A887" s="96"/>
      <c r="B887" s="97" t="s">
        <v>85</v>
      </c>
      <c r="C887" s="98" t="str">
        <f t="array" ref="C887">IFNA(XLOOKUP(J887,'⚙️ Pengaturan'!$H$5:$H1508,'⚙️ Pengaturan'!$I$5:$I1508),"")</f>
        <v>MANAJEMEN</v>
      </c>
      <c r="D887" s="97" t="s">
        <v>134</v>
      </c>
      <c r="E887" s="99">
        <v>45982.0</v>
      </c>
      <c r="F887" s="100" t="str">
        <f t="shared" si="1"/>
        <v>2025</v>
      </c>
      <c r="G887" s="100" t="str">
        <f t="shared" si="2"/>
        <v>11Nov</v>
      </c>
      <c r="H887" s="100" t="str">
        <f t="shared" si="3"/>
        <v>Jumat</v>
      </c>
      <c r="I887" s="97" t="s">
        <v>87</v>
      </c>
      <c r="J887" s="97" t="s">
        <v>101</v>
      </c>
      <c r="K887" s="97" t="s">
        <v>63</v>
      </c>
      <c r="L887" s="101" t="s">
        <v>161</v>
      </c>
      <c r="M887" s="102" t="str">
        <f>IFNA(VLOOKUP(L887,'🙎‍♂️ Pasien'!G:V,2,FALSE),"")</f>
        <v>A9224038209</v>
      </c>
      <c r="N887" s="103">
        <f>IFNA(VLOOKUP(L887,'🙎‍♂️ Pasien'!G:L,3,FALSE),"")</f>
        <v>33</v>
      </c>
      <c r="O887" s="104" t="str">
        <f>IFNA(VLOOKUP(L887,'🙎‍♂️ Pasien'!G:V,6,FALSE),"")</f>
        <v>PEREMPUAN</v>
      </c>
      <c r="P887" s="104" t="str">
        <f>IFNA(VLOOKUP(L887,'🙎‍♂️ Pasien'!G:V,12,FALSE),"")</f>
        <v>KATOLIK</v>
      </c>
      <c r="Q887" s="104" t="str">
        <f>IFNA(VLOOKUP(L887:L1508,'🙎‍♂️ Pasien'!G:V,13,FALSE),"")</f>
        <v>SWASTA</v>
      </c>
      <c r="R887" s="104" t="str">
        <f t="array" ref="R887">ifna(xlookup(L887,'🙎‍♂️ Pasien'!$G$5:$G1508,'🙎‍♂️ Pasien'!$T$5:$T1508),"")</f>
        <v>Kaki kiri sakit, bahu dan punggung kiri sakit, leher agak bungkuk</v>
      </c>
      <c r="S887" s="104" t="str">
        <f t="array" ref="S887">ifna(xlookup(L887,'🙎‍♂️ Pasien'!$G$5:$G1508,'🙎‍♂️ Pasien'!$U$5:$U1508),"")</f>
        <v>Olahraga, kerja, dan mengurus anak</v>
      </c>
      <c r="T887" s="97" t="s">
        <v>67</v>
      </c>
      <c r="U887" s="105">
        <v>1.0</v>
      </c>
      <c r="V887" s="101" t="s">
        <v>559</v>
      </c>
      <c r="W887" s="106" t="b">
        <v>1</v>
      </c>
      <c r="X887" s="107"/>
      <c r="Y887" s="108"/>
    </row>
    <row r="888" ht="22.5" customHeight="1">
      <c r="A888" s="96"/>
      <c r="B888" s="97" t="s">
        <v>85</v>
      </c>
      <c r="C888" s="98" t="str">
        <f t="array" ref="C888">IFNA(XLOOKUP(J888,'⚙️ Pengaturan'!$H$5:$H1508,'⚙️ Pengaturan'!$I$5:$I1508),"")</f>
        <v>TIM Y</v>
      </c>
      <c r="D888" s="97" t="s">
        <v>134</v>
      </c>
      <c r="E888" s="99">
        <v>45982.0</v>
      </c>
      <c r="F888" s="100" t="str">
        <f t="shared" si="1"/>
        <v>2025</v>
      </c>
      <c r="G888" s="100" t="str">
        <f t="shared" si="2"/>
        <v>11Nov</v>
      </c>
      <c r="H888" s="100" t="str">
        <f t="shared" si="3"/>
        <v>Jumat</v>
      </c>
      <c r="I888" s="97" t="s">
        <v>87</v>
      </c>
      <c r="J888" s="97" t="s">
        <v>56</v>
      </c>
      <c r="K888" s="97" t="s">
        <v>69</v>
      </c>
      <c r="L888" s="101" t="s">
        <v>555</v>
      </c>
      <c r="M888" s="102" t="str">
        <f>IFNA(VLOOKUP(L888,'🙎‍♂️ Pasien'!G:V,2,FALSE),"")</f>
        <v>M7125117366</v>
      </c>
      <c r="N888" s="103">
        <f>IFNA(VLOOKUP(L888,'🙎‍♂️ Pasien'!G:L,3,FALSE),"")</f>
        <v>54</v>
      </c>
      <c r="O888" s="104" t="str">
        <f>IFNA(VLOOKUP(L888,'🙎‍♂️ Pasien'!G:V,6,FALSE),"")</f>
        <v>PEREMPUAN</v>
      </c>
      <c r="P888" s="104" t="str">
        <f>IFNA(VLOOKUP(L888,'🙎‍♂️ Pasien'!G:V,12,FALSE),"")</f>
        <v>ISLAM</v>
      </c>
      <c r="Q888" s="104" t="str">
        <f>IFNA(VLOOKUP(L888:L1508,'🙎‍♂️ Pasien'!G:V,13,FALSE),"")</f>
        <v>PEDAGANG</v>
      </c>
      <c r="R888" s="104" t="str">
        <f t="array" ref="R888">ifna(xlookup(L888,'🙎‍♂️ Pasien'!$G$5:$G1508,'🙎‍♂️ Pasien'!$T$5:$T1508),"")</f>
        <v>KRAM/KESEMUTAN BEKERJA</v>
      </c>
      <c r="S888" s="104" t="str">
        <f t="array" ref="S888">ifna(xlookup(L888,'🙎‍♂️ Pasien'!$G$5:$G1508,'🙎‍♂️ Pasien'!$U$5:$U1508),"")</f>
        <v>PEKERJAAN BELADANG</v>
      </c>
      <c r="T888" s="97" t="s">
        <v>59</v>
      </c>
      <c r="U888" s="105" t="s">
        <v>60</v>
      </c>
      <c r="V888" s="101" t="s">
        <v>560</v>
      </c>
      <c r="W888" s="106" t="b">
        <v>1</v>
      </c>
      <c r="X888" s="107"/>
      <c r="Y888" s="108"/>
    </row>
    <row r="889" ht="22.5" customHeight="1">
      <c r="A889" s="96"/>
      <c r="B889" s="97" t="s">
        <v>85</v>
      </c>
      <c r="C889" s="98" t="str">
        <f t="array" ref="C889">IFNA(XLOOKUP(J889,'⚙️ Pengaturan'!$H$5:$H1508,'⚙️ Pengaturan'!$I$5:$I1508),"")</f>
        <v>TIM Y</v>
      </c>
      <c r="D889" s="97" t="s">
        <v>134</v>
      </c>
      <c r="E889" s="99">
        <v>45982.0</v>
      </c>
      <c r="F889" s="100" t="str">
        <f t="shared" si="1"/>
        <v>2025</v>
      </c>
      <c r="G889" s="100" t="str">
        <f t="shared" si="2"/>
        <v>11Nov</v>
      </c>
      <c r="H889" s="100" t="str">
        <f t="shared" si="3"/>
        <v>Jumat</v>
      </c>
      <c r="I889" s="97" t="s">
        <v>93</v>
      </c>
      <c r="J889" s="97" t="s">
        <v>56</v>
      </c>
      <c r="K889" s="97" t="s">
        <v>63</v>
      </c>
      <c r="L889" s="101" t="s">
        <v>546</v>
      </c>
      <c r="M889" s="102" t="str">
        <f>IFNA(VLOOKUP(L889,'🙎‍♂️ Pasien'!G:V,2,FALSE),"")</f>
        <v/>
      </c>
      <c r="N889" s="103" t="str">
        <f>IFNA(VLOOKUP(L889,'🙎‍♂️ Pasien'!G:L,3,FALSE),"")</f>
        <v/>
      </c>
      <c r="O889" s="104" t="str">
        <f>IFNA(VLOOKUP(L889,'🙎‍♂️ Pasien'!G:V,6,FALSE),"")</f>
        <v/>
      </c>
      <c r="P889" s="104" t="str">
        <f>IFNA(VLOOKUP(L889,'🙎‍♂️ Pasien'!G:V,12,FALSE),"")</f>
        <v/>
      </c>
      <c r="Q889" s="104" t="str">
        <f>IFNA(VLOOKUP(L889:L1508,'🙎‍♂️ Pasien'!G:V,13,FALSE),"")</f>
        <v/>
      </c>
      <c r="R889" s="104" t="str">
        <f t="array" ref="R889">ifna(xlookup(L889,'🙎‍♂️ Pasien'!$G$5:$G1508,'🙎‍♂️ Pasien'!$T$5:$T1508),"")</f>
        <v/>
      </c>
      <c r="S889" s="104" t="str">
        <f t="array" ref="S889">ifna(xlookup(L889,'🙎‍♂️ Pasien'!$G$5:$G1508,'🙎‍♂️ Pasien'!$U$5:$U1508),"")</f>
        <v/>
      </c>
      <c r="T889" s="97" t="s">
        <v>59</v>
      </c>
      <c r="U889" s="105">
        <v>1.0</v>
      </c>
      <c r="V889" s="101"/>
      <c r="W889" s="106" t="b">
        <v>1</v>
      </c>
      <c r="X889" s="107"/>
      <c r="Y889" s="108"/>
    </row>
    <row r="890" ht="22.5" customHeight="1">
      <c r="A890" s="96"/>
      <c r="B890" s="97" t="s">
        <v>85</v>
      </c>
      <c r="C890" s="98" t="str">
        <f t="array" ref="C890">IFNA(XLOOKUP(J890,'⚙️ Pengaturan'!$H$5:$H1508,'⚙️ Pengaturan'!$I$5:$I1508),"")</f>
        <v>MANAJEMEN</v>
      </c>
      <c r="D890" s="97" t="s">
        <v>134</v>
      </c>
      <c r="E890" s="99">
        <v>45982.0</v>
      </c>
      <c r="F890" s="100" t="str">
        <f t="shared" si="1"/>
        <v>2025</v>
      </c>
      <c r="G890" s="100" t="str">
        <f t="shared" si="2"/>
        <v>11Nov</v>
      </c>
      <c r="H890" s="100" t="str">
        <f t="shared" si="3"/>
        <v>Jumat</v>
      </c>
      <c r="I890" s="97" t="s">
        <v>93</v>
      </c>
      <c r="J890" s="97" t="s">
        <v>101</v>
      </c>
      <c r="K890" s="97" t="s">
        <v>63</v>
      </c>
      <c r="L890" s="101" t="s">
        <v>503</v>
      </c>
      <c r="M890" s="102" t="str">
        <f>IFNA(VLOOKUP(L890,'🙎‍♂️ Pasien'!G:V,2,FALSE),"")</f>
        <v/>
      </c>
      <c r="N890" s="103" t="str">
        <f>IFNA(VLOOKUP(L890,'🙎‍♂️ Pasien'!G:L,3,FALSE),"")</f>
        <v/>
      </c>
      <c r="O890" s="104" t="str">
        <f>IFNA(VLOOKUP(L890,'🙎‍♂️ Pasien'!G:V,6,FALSE),"")</f>
        <v/>
      </c>
      <c r="P890" s="104" t="str">
        <f>IFNA(VLOOKUP(L890,'🙎‍♂️ Pasien'!G:V,12,FALSE),"")</f>
        <v/>
      </c>
      <c r="Q890" s="104" t="str">
        <f>IFNA(VLOOKUP(L890:L1508,'🙎‍♂️ Pasien'!G:V,13,FALSE),"")</f>
        <v/>
      </c>
      <c r="R890" s="104" t="str">
        <f t="array" ref="R890">ifna(xlookup(L890,'🙎‍♂️ Pasien'!$G$5:$G1508,'🙎‍♂️ Pasien'!$T$5:$T1508),"")</f>
        <v/>
      </c>
      <c r="S890" s="104" t="str">
        <f t="array" ref="S890">ifna(xlookup(L890,'🙎‍♂️ Pasien'!$G$5:$G1508,'🙎‍♂️ Pasien'!$U$5:$U1508),"")</f>
        <v/>
      </c>
      <c r="T890" s="97" t="s">
        <v>67</v>
      </c>
      <c r="U890" s="105">
        <v>2.0</v>
      </c>
      <c r="V890" s="101" t="s">
        <v>60</v>
      </c>
      <c r="W890" s="106" t="b">
        <v>1</v>
      </c>
      <c r="X890" s="107"/>
      <c r="Y890" s="108"/>
    </row>
    <row r="891" ht="22.5" customHeight="1">
      <c r="A891" s="96"/>
      <c r="B891" s="97" t="s">
        <v>85</v>
      </c>
      <c r="C891" s="98" t="str">
        <f t="array" ref="C891">IFNA(XLOOKUP(J891,'⚙️ Pengaturan'!$H$5:$H1508,'⚙️ Pengaturan'!$I$5:$I1508),"")</f>
        <v>TIM Y</v>
      </c>
      <c r="D891" s="97" t="s">
        <v>134</v>
      </c>
      <c r="E891" s="99">
        <v>45982.0</v>
      </c>
      <c r="F891" s="100" t="str">
        <f t="shared" si="1"/>
        <v>2025</v>
      </c>
      <c r="G891" s="100" t="str">
        <f t="shared" si="2"/>
        <v>11Nov</v>
      </c>
      <c r="H891" s="100" t="str">
        <f t="shared" si="3"/>
        <v>Jumat</v>
      </c>
      <c r="I891" s="97" t="s">
        <v>95</v>
      </c>
      <c r="J891" s="97" t="s">
        <v>56</v>
      </c>
      <c r="K891" s="97" t="s">
        <v>63</v>
      </c>
      <c r="L891" s="101" t="s">
        <v>548</v>
      </c>
      <c r="M891" s="102" t="str">
        <f>IFNA(VLOOKUP(L891,'🙎‍♂️ Pasien'!G:V,2,FALSE),"")</f>
        <v>C0525115291</v>
      </c>
      <c r="N891" s="103">
        <f>IFNA(VLOOKUP(L891,'🙎‍♂️ Pasien'!G:L,3,FALSE),"")</f>
        <v>20</v>
      </c>
      <c r="O891" s="104" t="str">
        <f>IFNA(VLOOKUP(L891,'🙎‍♂️ Pasien'!G:V,6,FALSE),"")</f>
        <v>LAKI-LAKI</v>
      </c>
      <c r="P891" s="104" t="str">
        <f>IFNA(VLOOKUP(L891,'🙎‍♂️ Pasien'!G:V,12,FALSE),"")</f>
        <v>KATOLIK</v>
      </c>
      <c r="Q891" s="104" t="str">
        <f>IFNA(VLOOKUP(L891:L1508,'🙎‍♂️ Pasien'!G:V,13,FALSE),"")</f>
        <v>-</v>
      </c>
      <c r="R891" s="104" t="str">
        <f t="array" ref="R891">ifna(xlookup(L891,'🙎‍♂️ Pasien'!$G$5:$G1508,'🙎‍♂️ Pasien'!$T$5:$T1508),"")</f>
        <v>LUTUT (TERAKHIR CEK DISINI DI BILANG NYA ADA KEMUNGKINAN ACL 2022)</v>
      </c>
      <c r="S891" s="104" t="str">
        <f t="array" ref="S891">ifna(xlookup(L891,'🙎‍♂️ Pasien'!$G$5:$G1508,'🙎‍♂️ Pasien'!$U$5:$U1508),"")</f>
        <v>BASKET, BADMINTON</v>
      </c>
      <c r="T891" s="97" t="s">
        <v>59</v>
      </c>
      <c r="U891" s="105">
        <v>1.0</v>
      </c>
      <c r="V891" s="101"/>
      <c r="W891" s="106" t="b">
        <v>1</v>
      </c>
      <c r="X891" s="107"/>
      <c r="Y891" s="108"/>
    </row>
    <row r="892" ht="22.5" customHeight="1">
      <c r="A892" s="96"/>
      <c r="B892" s="97" t="s">
        <v>85</v>
      </c>
      <c r="C892" s="98" t="str">
        <f t="array" ref="C892">IFNA(XLOOKUP(J892,'⚙️ Pengaturan'!$H$5:$H1508,'⚙️ Pengaturan'!$I$5:$I1508),"")</f>
        <v>TIM Y</v>
      </c>
      <c r="D892" s="97" t="s">
        <v>134</v>
      </c>
      <c r="E892" s="99">
        <v>45982.0</v>
      </c>
      <c r="F892" s="100" t="str">
        <f t="shared" si="1"/>
        <v>2025</v>
      </c>
      <c r="G892" s="100" t="str">
        <f t="shared" si="2"/>
        <v>11Nov</v>
      </c>
      <c r="H892" s="100" t="str">
        <f t="shared" si="3"/>
        <v>Jumat</v>
      </c>
      <c r="I892" s="97" t="s">
        <v>97</v>
      </c>
      <c r="J892" s="97" t="s">
        <v>56</v>
      </c>
      <c r="K892" s="97" t="s">
        <v>63</v>
      </c>
      <c r="L892" s="101" t="s">
        <v>561</v>
      </c>
      <c r="M892" s="102" t="str">
        <f>IFNA(VLOOKUP(L892,'🙎‍♂️ Pasien'!G:V,2,FALSE),"")</f>
        <v>S7325119020</v>
      </c>
      <c r="N892" s="103">
        <f>IFNA(VLOOKUP(L892,'🙎‍♂️ Pasien'!G:L,3,FALSE),"")</f>
        <v>52</v>
      </c>
      <c r="O892" s="104" t="str">
        <f>IFNA(VLOOKUP(L892,'🙎‍♂️ Pasien'!G:V,6,FALSE),"")</f>
        <v>LAKI-LAKI</v>
      </c>
      <c r="P892" s="104" t="str">
        <f>IFNA(VLOOKUP(L892,'🙎‍♂️ Pasien'!G:V,12,FALSE),"")</f>
        <v>ISLAM</v>
      </c>
      <c r="Q892" s="104" t="str">
        <f>IFNA(VLOOKUP(L892:L1508,'🙎‍♂️ Pasien'!G:V,13,FALSE),"")</f>
        <v>TIDAK BEKERJA</v>
      </c>
      <c r="R892" s="104" t="str">
        <f t="array" ref="R892">ifna(xlookup(L892,'🙎‍♂️ Pasien'!$G$5:$G1508,'🙎‍♂️ Pasien'!$T$5:$T1508),"")</f>
        <v>TANGAN KAKI SEBELAH KANAN TIDAK BISA BERGERAK</v>
      </c>
      <c r="S892" s="104" t="str">
        <f t="array" ref="S892">ifna(xlookup(L892,'🙎‍♂️ Pasien'!$G$5:$G1508,'🙎‍♂️ Pasien'!$U$5:$U1508),"")</f>
        <v>-</v>
      </c>
      <c r="T892" s="97" t="s">
        <v>59</v>
      </c>
      <c r="U892" s="105">
        <v>1.0</v>
      </c>
      <c r="V892" s="101" t="s">
        <v>562</v>
      </c>
      <c r="W892" s="106" t="b">
        <v>1</v>
      </c>
      <c r="X892" s="107"/>
      <c r="Y892" s="108"/>
    </row>
    <row r="893" ht="22.5" customHeight="1">
      <c r="A893" s="96"/>
      <c r="B893" s="97" t="s">
        <v>85</v>
      </c>
      <c r="C893" s="98" t="str">
        <f t="array" ref="C893">IFNA(XLOOKUP(J893,'⚙️ Pengaturan'!$H$5:$H1508,'⚙️ Pengaturan'!$I$5:$I1508),"")</f>
        <v>TIM Y</v>
      </c>
      <c r="D893" s="97" t="s">
        <v>134</v>
      </c>
      <c r="E893" s="99">
        <v>45982.0</v>
      </c>
      <c r="F893" s="100" t="str">
        <f t="shared" si="1"/>
        <v>2025</v>
      </c>
      <c r="G893" s="100" t="str">
        <f t="shared" si="2"/>
        <v>11Nov</v>
      </c>
      <c r="H893" s="100" t="str">
        <f t="shared" si="3"/>
        <v>Jumat</v>
      </c>
      <c r="I893" s="97" t="s">
        <v>99</v>
      </c>
      <c r="J893" s="97" t="s">
        <v>56</v>
      </c>
      <c r="K893" s="97" t="s">
        <v>69</v>
      </c>
      <c r="L893" s="101" t="s">
        <v>563</v>
      </c>
      <c r="M893" s="102" t="str">
        <f>IFNA(VLOOKUP(L893,'🙎‍♂️ Pasien'!G:V,2,FALSE),"")</f>
        <v>W0725110582</v>
      </c>
      <c r="N893" s="103">
        <f>IFNA(VLOOKUP(L893,'🙎‍♂️ Pasien'!G:L,3,FALSE),"")</f>
        <v>18</v>
      </c>
      <c r="O893" s="104" t="str">
        <f>IFNA(VLOOKUP(L893,'🙎‍♂️ Pasien'!G:V,6,FALSE),"")</f>
        <v>LAKI-LAKI</v>
      </c>
      <c r="P893" s="104" t="str">
        <f>IFNA(VLOOKUP(L893,'🙎‍♂️ Pasien'!G:V,12,FALSE),"")</f>
        <v>ISLAM</v>
      </c>
      <c r="Q893" s="104" t="str">
        <f>IFNA(VLOOKUP(L893:L1508,'🙎‍♂️ Pasien'!G:V,13,FALSE),"")</f>
        <v>-</v>
      </c>
      <c r="R893" s="104" t="str">
        <f t="array" ref="R893">ifna(xlookup(L893,'🙎‍♂️ Pasien'!$G$5:$G1508,'🙎‍♂️ Pasien'!$T$5:$T1508),"")</f>
        <v>KAKI</v>
      </c>
      <c r="S893" s="104" t="str">
        <f t="array" ref="S893">ifna(xlookup(L893,'🙎‍♂️ Pasien'!$G$5:$G1508,'🙎‍♂️ Pasien'!$U$5:$U1508),"")</f>
        <v>-</v>
      </c>
      <c r="T893" s="97" t="s">
        <v>67</v>
      </c>
      <c r="U893" s="105" t="s">
        <v>60</v>
      </c>
      <c r="V893" s="101" t="s">
        <v>343</v>
      </c>
      <c r="W893" s="106" t="b">
        <v>1</v>
      </c>
      <c r="X893" s="107"/>
      <c r="Y893" s="108"/>
    </row>
    <row r="894" ht="22.5" customHeight="1">
      <c r="A894" s="96"/>
      <c r="B894" s="97" t="s">
        <v>53</v>
      </c>
      <c r="C894" s="98" t="str">
        <f t="array" ref="C894">IFNA(XLOOKUP(J894,'⚙️ Pengaturan'!$H$5:$H1508,'⚙️ Pengaturan'!$I$5:$I1508),"")</f>
        <v>MANAJEMEN</v>
      </c>
      <c r="D894" s="97" t="s">
        <v>86</v>
      </c>
      <c r="E894" s="99">
        <v>45983.0</v>
      </c>
      <c r="F894" s="100" t="str">
        <f t="shared" si="1"/>
        <v>2025</v>
      </c>
      <c r="G894" s="100" t="str">
        <f t="shared" si="2"/>
        <v>11Nov</v>
      </c>
      <c r="H894" s="100" t="str">
        <f t="shared" si="3"/>
        <v>Sabtu</v>
      </c>
      <c r="I894" s="97" t="s">
        <v>55</v>
      </c>
      <c r="J894" s="97" t="s">
        <v>81</v>
      </c>
      <c r="K894" s="97" t="s">
        <v>63</v>
      </c>
      <c r="L894" s="101" t="s">
        <v>222</v>
      </c>
      <c r="M894" s="102" t="str">
        <f>IFNA(VLOOKUP(L894,'🙎‍♂️ Pasien'!G:V,2,FALSE),"")</f>
        <v>D0924079294</v>
      </c>
      <c r="N894" s="103">
        <f>IFNA(VLOOKUP(L894,'🙎‍♂️ Pasien'!G:L,3,FALSE),"")</f>
        <v>17</v>
      </c>
      <c r="O894" s="104" t="str">
        <f>IFNA(VLOOKUP(L894,'🙎‍♂️ Pasien'!G:V,6,FALSE),"")</f>
        <v>LAKI-LAKI</v>
      </c>
      <c r="P894" s="104" t="str">
        <f>IFNA(VLOOKUP(L894,'🙎‍♂️ Pasien'!G:V,12,FALSE),"")</f>
        <v>ISLAM</v>
      </c>
      <c r="Q894" s="104" t="str">
        <f>IFNA(VLOOKUP(L894:L1508,'🙎‍♂️ Pasien'!G:V,13,FALSE),"")</f>
        <v>PELAJAR/MAHASISWA</v>
      </c>
      <c r="R894" s="104" t="str">
        <f t="array" ref="R894">ifna(xlookup(L894,'🙎‍♂️ Pasien'!$G$5:$G1508,'🙎‍♂️ Pasien'!$T$5:$T1508),"")</f>
        <v>Strok ringan</v>
      </c>
      <c r="S894" s="104" t="str">
        <f t="array" ref="S894">ifna(xlookup(L894,'🙎‍♂️ Pasien'!$G$5:$G1508,'🙎‍♂️ Pasien'!$U$5:$U1508),"")</f>
        <v>Olah raga</v>
      </c>
      <c r="T894" s="97" t="s">
        <v>59</v>
      </c>
      <c r="U894" s="105">
        <v>2.0</v>
      </c>
      <c r="V894" s="101"/>
      <c r="W894" s="106" t="b">
        <v>1</v>
      </c>
      <c r="X894" s="107"/>
      <c r="Y894" s="108"/>
    </row>
    <row r="895" ht="22.5" customHeight="1">
      <c r="A895" s="96"/>
      <c r="B895" s="97" t="s">
        <v>53</v>
      </c>
      <c r="C895" s="98" t="str">
        <f t="array" ref="C895">IFNA(XLOOKUP(J895,'⚙️ Pengaturan'!$H$5:$H1508,'⚙️ Pengaturan'!$I$5:$I1508),"")</f>
        <v>TIM Y</v>
      </c>
      <c r="D895" s="97" t="s">
        <v>86</v>
      </c>
      <c r="E895" s="99">
        <v>45983.0</v>
      </c>
      <c r="F895" s="100" t="str">
        <f t="shared" si="1"/>
        <v>2025</v>
      </c>
      <c r="G895" s="100" t="str">
        <f t="shared" si="2"/>
        <v>11Nov</v>
      </c>
      <c r="H895" s="100" t="str">
        <f t="shared" si="3"/>
        <v>Sabtu</v>
      </c>
      <c r="I895" s="97" t="s">
        <v>65</v>
      </c>
      <c r="J895" s="97" t="s">
        <v>107</v>
      </c>
      <c r="K895" s="97" t="s">
        <v>63</v>
      </c>
      <c r="L895" s="101" t="s">
        <v>225</v>
      </c>
      <c r="M895" s="102" t="str">
        <f>IFNA(VLOOKUP(L895,'🙎‍♂️ Pasien'!G:V,2,FALSE),"")</f>
        <v>B8025102288</v>
      </c>
      <c r="N895" s="103">
        <f>IFNA(VLOOKUP(L895,'🙎‍♂️ Pasien'!G:L,3,FALSE),"")</f>
        <v>45</v>
      </c>
      <c r="O895" s="104" t="str">
        <f>IFNA(VLOOKUP(L895,'🙎‍♂️ Pasien'!G:V,6,FALSE),"")</f>
        <v>PEREMPUAN</v>
      </c>
      <c r="P895" s="104" t="str">
        <f>IFNA(VLOOKUP(L895,'🙎‍♂️ Pasien'!G:V,12,FALSE),"")</f>
        <v>ISLAM</v>
      </c>
      <c r="Q895" s="104" t="str">
        <f>IFNA(VLOOKUP(L895:L1508,'🙎‍♂️ Pasien'!G:V,13,FALSE),"")</f>
        <v>ASN</v>
      </c>
      <c r="R895" s="104" t="str">
        <f t="array" ref="R895">ifna(xlookup(L895,'🙎‍♂️ Pasien'!$G$5:$G1508,'🙎‍♂️ Pasien'!$T$5:$T1508),"")</f>
        <v>KELUHAN SY NYERI DI TUMIT KIRI SM PAHA KANAN UT DIANGKAT SAMBIL DITEKUK KE ARAH SAMPING LUAR RASA NYA NYERI</v>
      </c>
      <c r="S895" s="104" t="str">
        <f t="array" ref="S895">ifna(xlookup(L895,'🙎‍♂️ Pasien'!$G$5:$G1508,'🙎‍♂️ Pasien'!$U$5:$U1508),"")</f>
        <v>JOGING</v>
      </c>
      <c r="T895" s="97" t="s">
        <v>59</v>
      </c>
      <c r="U895" s="105">
        <v>4.0</v>
      </c>
      <c r="V895" s="101"/>
      <c r="W895" s="106" t="b">
        <v>1</v>
      </c>
      <c r="X895" s="107"/>
      <c r="Y895" s="108"/>
    </row>
    <row r="896" ht="22.5" customHeight="1">
      <c r="A896" s="96"/>
      <c r="B896" s="97" t="s">
        <v>53</v>
      </c>
      <c r="C896" s="98" t="str">
        <f t="array" ref="C896">IFNA(XLOOKUP(J896,'⚙️ Pengaturan'!$H$5:$H1508,'⚙️ Pengaturan'!$I$5:$I1508),"")</f>
        <v>TIM Y</v>
      </c>
      <c r="D896" s="97" t="s">
        <v>86</v>
      </c>
      <c r="E896" s="99">
        <v>45983.0</v>
      </c>
      <c r="F896" s="100" t="str">
        <f t="shared" si="1"/>
        <v>2025</v>
      </c>
      <c r="G896" s="100" t="str">
        <f t="shared" si="2"/>
        <v>11Nov</v>
      </c>
      <c r="H896" s="100" t="str">
        <f t="shared" si="3"/>
        <v>Sabtu</v>
      </c>
      <c r="I896" s="97" t="s">
        <v>74</v>
      </c>
      <c r="J896" s="97" t="s">
        <v>91</v>
      </c>
      <c r="K896" s="97" t="s">
        <v>63</v>
      </c>
      <c r="L896" s="101" t="s">
        <v>501</v>
      </c>
      <c r="M896" s="102" t="str">
        <f>IFNA(VLOOKUP(L896,'🙎‍♂️ Pasien'!G:V,2,FALSE),"")</f>
        <v>C9025117272</v>
      </c>
      <c r="N896" s="103">
        <f>IFNA(VLOOKUP(L896,'🙎‍♂️ Pasien'!G:L,3,FALSE),"")</f>
        <v>35</v>
      </c>
      <c r="O896" s="104" t="str">
        <f>IFNA(VLOOKUP(L896,'🙎‍♂️ Pasien'!G:V,6,FALSE),"")</f>
        <v>PEREMPUAN</v>
      </c>
      <c r="P896" s="104" t="str">
        <f>IFNA(VLOOKUP(L896,'🙎‍♂️ Pasien'!G:V,12,FALSE),"")</f>
        <v>PROTESTAN</v>
      </c>
      <c r="Q896" s="104" t="str">
        <f>IFNA(VLOOKUP(L896:L1508,'🙎‍♂️ Pasien'!G:V,13,FALSE),"")</f>
        <v>IBU RUMAH TANGGA</v>
      </c>
      <c r="R896" s="104" t="str">
        <f t="array" ref="R896">ifna(xlookup(L896,'🙎‍♂️ Pasien'!$G$5:$G1508,'🙎‍♂️ Pasien'!$T$5:$T1508),"")</f>
        <v>SENDI LUTUT BERGESER</v>
      </c>
      <c r="S896" s="104" t="str">
        <f t="array" ref="S896">ifna(xlookup(L896,'🙎‍♂️ Pasien'!$G$5:$G1508,'🙎‍♂️ Pasien'!$U$5:$U1508),"")</f>
        <v>JATUH KEPELESET</v>
      </c>
      <c r="T896" s="97" t="s">
        <v>59</v>
      </c>
      <c r="U896" s="105">
        <v>4.0</v>
      </c>
      <c r="V896" s="101"/>
      <c r="W896" s="106" t="b">
        <v>1</v>
      </c>
      <c r="X896" s="107"/>
      <c r="Y896" s="108"/>
    </row>
    <row r="897" ht="22.5" customHeight="1">
      <c r="A897" s="96"/>
      <c r="B897" s="97" t="s">
        <v>53</v>
      </c>
      <c r="C897" s="98" t="str">
        <f t="array" ref="C897">IFNA(XLOOKUP(J897,'⚙️ Pengaturan'!$H$5:$H1508,'⚙️ Pengaturan'!$I$5:$I1508),"")</f>
        <v>TIM Y</v>
      </c>
      <c r="D897" s="97" t="s">
        <v>86</v>
      </c>
      <c r="E897" s="99">
        <v>45983.0</v>
      </c>
      <c r="F897" s="100" t="str">
        <f t="shared" si="1"/>
        <v>2025</v>
      </c>
      <c r="G897" s="100" t="str">
        <f t="shared" si="2"/>
        <v>11Nov</v>
      </c>
      <c r="H897" s="100" t="str">
        <f t="shared" si="3"/>
        <v>Sabtu</v>
      </c>
      <c r="I897" s="97" t="s">
        <v>76</v>
      </c>
      <c r="J897" s="97" t="s">
        <v>88</v>
      </c>
      <c r="K897" s="97" t="s">
        <v>63</v>
      </c>
      <c r="L897" s="101" t="s">
        <v>546</v>
      </c>
      <c r="M897" s="102" t="str">
        <f>IFNA(VLOOKUP(L897,'🙎‍♂️ Pasien'!G:V,2,FALSE),"")</f>
        <v/>
      </c>
      <c r="N897" s="103" t="str">
        <f>IFNA(VLOOKUP(L897,'🙎‍♂️ Pasien'!G:L,3,FALSE),"")</f>
        <v/>
      </c>
      <c r="O897" s="104" t="str">
        <f>IFNA(VLOOKUP(L897,'🙎‍♂️ Pasien'!G:V,6,FALSE),"")</f>
        <v/>
      </c>
      <c r="P897" s="104" t="str">
        <f>IFNA(VLOOKUP(L897,'🙎‍♂️ Pasien'!G:V,12,FALSE),"")</f>
        <v/>
      </c>
      <c r="Q897" s="104" t="str">
        <f>IFNA(VLOOKUP(L897:L1508,'🙎‍♂️ Pasien'!G:V,13,FALSE),"")</f>
        <v/>
      </c>
      <c r="R897" s="104" t="str">
        <f t="array" ref="R897">ifna(xlookup(L897,'🙎‍♂️ Pasien'!$G$5:$G1508,'🙎‍♂️ Pasien'!$T$5:$T1508),"")</f>
        <v/>
      </c>
      <c r="S897" s="104" t="str">
        <f t="array" ref="S897">ifna(xlookup(L897,'🙎‍♂️ Pasien'!$G$5:$G1508,'🙎‍♂️ Pasien'!$U$5:$U1508),"")</f>
        <v/>
      </c>
      <c r="T897" s="97" t="s">
        <v>59</v>
      </c>
      <c r="U897" s="105">
        <v>2.0</v>
      </c>
      <c r="V897" s="101"/>
      <c r="W897" s="106" t="b">
        <v>1</v>
      </c>
      <c r="X897" s="107"/>
      <c r="Y897" s="108"/>
    </row>
    <row r="898" ht="22.5" customHeight="1">
      <c r="A898" s="96"/>
      <c r="B898" s="97" t="s">
        <v>53</v>
      </c>
      <c r="C898" s="98" t="str">
        <f t="array" ref="C898">IFNA(XLOOKUP(J898,'⚙️ Pengaturan'!$H$5:$H1508,'⚙️ Pengaturan'!$I$5:$I1508),"")</f>
        <v>TIM Y</v>
      </c>
      <c r="D898" s="97" t="s">
        <v>86</v>
      </c>
      <c r="E898" s="99">
        <v>45983.0</v>
      </c>
      <c r="F898" s="100" t="str">
        <f t="shared" si="1"/>
        <v>2025</v>
      </c>
      <c r="G898" s="100" t="str">
        <f t="shared" si="2"/>
        <v>11Nov</v>
      </c>
      <c r="H898" s="100" t="str">
        <f t="shared" si="3"/>
        <v>Sabtu</v>
      </c>
      <c r="I898" s="97" t="s">
        <v>76</v>
      </c>
      <c r="J898" s="97" t="s">
        <v>91</v>
      </c>
      <c r="K898" s="97" t="s">
        <v>69</v>
      </c>
      <c r="L898" s="101" t="s">
        <v>542</v>
      </c>
      <c r="M898" s="102" t="str">
        <f>IFNA(VLOOKUP(L898,'🙎‍♂️ Pasien'!G:V,2,FALSE),"")</f>
        <v>P0123123241</v>
      </c>
      <c r="N898" s="103">
        <f>IFNA(VLOOKUP(L898,'🙎‍♂️ Pasien'!G:L,3,FALSE),"")</f>
        <v>24</v>
      </c>
      <c r="O898" s="104" t="str">
        <f>IFNA(VLOOKUP(L898,'🙎‍♂️ Pasien'!G:V,6,FALSE),"")</f>
        <v>LAKI-LAKI</v>
      </c>
      <c r="P898" s="104" t="str">
        <f>IFNA(VLOOKUP(L898,'🙎‍♂️ Pasien'!G:V,12,FALSE),"")</f>
        <v>PROTESTAN</v>
      </c>
      <c r="Q898" s="104" t="str">
        <f>IFNA(VLOOKUP(L898:L1508,'🙎‍♂️ Pasien'!G:V,13,FALSE),"")</f>
        <v>TNI/POLRI</v>
      </c>
      <c r="R898" s="104" t="str">
        <f t="array" ref="R898">ifna(xlookup(L898,'🙎‍♂️ Pasien'!$G$5:$G1508,'🙎‍♂️ Pasien'!$T$5:$T1508),"")</f>
        <v>Ankle</v>
      </c>
      <c r="S898" s="104" t="str">
        <f t="array" ref="S898">ifna(xlookup(L898,'🙎‍♂️ Pasien'!$G$5:$G1508,'🙎‍♂️ Pasien'!$U$5:$U1508),"")</f>
        <v>Basket</v>
      </c>
      <c r="T898" s="97" t="s">
        <v>59</v>
      </c>
      <c r="U898" s="105" t="s">
        <v>60</v>
      </c>
      <c r="V898" s="101"/>
      <c r="W898" s="106" t="b">
        <v>1</v>
      </c>
      <c r="X898" s="107"/>
      <c r="Y898" s="108"/>
    </row>
    <row r="899" ht="22.5" customHeight="1">
      <c r="A899" s="96"/>
      <c r="B899" s="97" t="s">
        <v>53</v>
      </c>
      <c r="C899" s="98" t="str">
        <f t="array" ref="C899">IFNA(XLOOKUP(J899,'⚙️ Pengaturan'!$H$5:$H1508,'⚙️ Pengaturan'!$I$5:$I1508),"")</f>
        <v>TIM Y</v>
      </c>
      <c r="D899" s="97" t="s">
        <v>86</v>
      </c>
      <c r="E899" s="99">
        <v>45983.0</v>
      </c>
      <c r="F899" s="100" t="str">
        <f t="shared" si="1"/>
        <v>2025</v>
      </c>
      <c r="G899" s="100" t="str">
        <f t="shared" si="2"/>
        <v>11Nov</v>
      </c>
      <c r="H899" s="100" t="str">
        <f t="shared" si="3"/>
        <v>Sabtu</v>
      </c>
      <c r="I899" s="97" t="s">
        <v>83</v>
      </c>
      <c r="J899" s="97" t="s">
        <v>91</v>
      </c>
      <c r="K899" s="97" t="s">
        <v>63</v>
      </c>
      <c r="L899" s="101" t="s">
        <v>482</v>
      </c>
      <c r="M899" s="102" t="str">
        <f>IFNA(VLOOKUP(L899,'🙎‍♂️ Pasien'!G:V,2,FALSE),"")</f>
        <v>E9725118035</v>
      </c>
      <c r="N899" s="103">
        <f>IFNA(VLOOKUP(L899,'🙎‍♂️ Pasien'!G:L,3,FALSE),"")</f>
        <v>29</v>
      </c>
      <c r="O899" s="104" t="str">
        <f>IFNA(VLOOKUP(L899,'🙎‍♂️ Pasien'!G:V,6,FALSE),"")</f>
        <v>PEREMPUAN</v>
      </c>
      <c r="P899" s="104" t="str">
        <f>IFNA(VLOOKUP(L899,'🙎‍♂️ Pasien'!G:V,12,FALSE),"")</f>
        <v>BUDDHA</v>
      </c>
      <c r="Q899" s="104" t="str">
        <f>IFNA(VLOOKUP(L899:L1508,'🙎‍♂️ Pasien'!G:V,13,FALSE),"")</f>
        <v>ADMIN</v>
      </c>
      <c r="R899" s="104" t="str">
        <f t="array" ref="R899">ifna(xlookup(L899,'🙎‍♂️ Pasien'!$G$5:$G1508,'🙎‍♂️ Pasien'!$T$5:$T1508),"")</f>
        <v>KAKI KANAN TELAPAK KAKI</v>
      </c>
      <c r="S899" s="104" t="str">
        <f t="array" ref="S899">ifna(xlookup(L899,'🙎‍♂️ Pasien'!$G$5:$G1508,'🙎‍♂️ Pasien'!$U$5:$U1508),"")</f>
        <v>SEBELUMNY ADA AKTIFITAS IKUT MARATON 5K</v>
      </c>
      <c r="T899" s="97" t="s">
        <v>59</v>
      </c>
      <c r="U899" s="105">
        <v>1.0</v>
      </c>
      <c r="V899" s="101"/>
      <c r="W899" s="106" t="b">
        <v>1</v>
      </c>
      <c r="X899" s="107"/>
      <c r="Y899" s="108"/>
    </row>
    <row r="900" ht="22.5" customHeight="1">
      <c r="A900" s="96"/>
      <c r="B900" s="97" t="s">
        <v>53</v>
      </c>
      <c r="C900" s="98" t="str">
        <f t="array" ref="C900">IFNA(XLOOKUP(J900,'⚙️ Pengaturan'!$H$5:$H1508,'⚙️ Pengaturan'!$I$5:$I1508),"")</f>
        <v>TIM Y</v>
      </c>
      <c r="D900" s="97" t="s">
        <v>86</v>
      </c>
      <c r="E900" s="99">
        <v>45983.0</v>
      </c>
      <c r="F900" s="100" t="str">
        <f t="shared" si="1"/>
        <v>2025</v>
      </c>
      <c r="G900" s="100" t="str">
        <f t="shared" si="2"/>
        <v>11Nov</v>
      </c>
      <c r="H900" s="100" t="str">
        <f t="shared" si="3"/>
        <v>Sabtu</v>
      </c>
      <c r="I900" s="97" t="s">
        <v>83</v>
      </c>
      <c r="J900" s="97" t="s">
        <v>107</v>
      </c>
      <c r="K900" s="97" t="s">
        <v>63</v>
      </c>
      <c r="L900" s="101" t="s">
        <v>193</v>
      </c>
      <c r="M900" s="102" t="str">
        <f>IFNA(VLOOKUP(L900,'🙎‍♂️ Pasien'!G:V,2,FALSE),"")</f>
        <v>E8925075615</v>
      </c>
      <c r="N900" s="103">
        <f>IFNA(VLOOKUP(L900,'🙎‍♂️ Pasien'!G:L,3,FALSE),"")</f>
        <v>36</v>
      </c>
      <c r="O900" s="104" t="str">
        <f>IFNA(VLOOKUP(L900,'🙎‍♂️ Pasien'!G:V,6,FALSE),"")</f>
        <v>PEREMPUAN</v>
      </c>
      <c r="P900" s="104" t="str">
        <f>IFNA(VLOOKUP(L900,'🙎‍♂️ Pasien'!G:V,12,FALSE),"")</f>
        <v>KATOLIK</v>
      </c>
      <c r="Q900" s="104" t="str">
        <f>IFNA(VLOOKUP(L900:L1508,'🙎‍♂️ Pasien'!G:V,13,FALSE),"")</f>
        <v>WIRASWASTA</v>
      </c>
      <c r="R900" s="104" t="str">
        <f t="array" ref="R900">ifna(xlookup(L900,'🙎‍♂️ Pasien'!$G$5:$G1508,'🙎‍♂️ Pasien'!$T$5:$T1508),"")</f>
        <v>BUNION</v>
      </c>
      <c r="S900" s="104" t="str">
        <f t="array" ref="S900">ifna(xlookup(L900,'🙎‍♂️ Pasien'!$G$5:$G1508,'🙎‍♂️ Pasien'!$U$5:$U1508),"")</f>
        <v>TENNIS</v>
      </c>
      <c r="T900" s="97" t="s">
        <v>67</v>
      </c>
      <c r="U900" s="105">
        <v>2.0</v>
      </c>
      <c r="V900" s="101" t="s">
        <v>564</v>
      </c>
      <c r="W900" s="106" t="b">
        <v>1</v>
      </c>
      <c r="X900" s="107"/>
      <c r="Y900" s="108"/>
    </row>
    <row r="901" ht="22.5" customHeight="1">
      <c r="A901" s="96"/>
      <c r="B901" s="97" t="s">
        <v>53</v>
      </c>
      <c r="C901" s="98" t="str">
        <f t="array" ref="C901">IFNA(XLOOKUP(J901,'⚙️ Pengaturan'!$H$5:$H1508,'⚙️ Pengaturan'!$I$5:$I1508),"")</f>
        <v>TIM Y</v>
      </c>
      <c r="D901" s="97" t="s">
        <v>86</v>
      </c>
      <c r="E901" s="99">
        <v>45983.0</v>
      </c>
      <c r="F901" s="100" t="str">
        <f t="shared" si="1"/>
        <v>2025</v>
      </c>
      <c r="G901" s="100" t="str">
        <f t="shared" si="2"/>
        <v>11Nov</v>
      </c>
      <c r="H901" s="100" t="str">
        <f t="shared" si="3"/>
        <v>Sabtu</v>
      </c>
      <c r="I901" s="97" t="s">
        <v>83</v>
      </c>
      <c r="J901" s="97" t="s">
        <v>88</v>
      </c>
      <c r="K901" s="97" t="s">
        <v>69</v>
      </c>
      <c r="L901" s="101" t="s">
        <v>155</v>
      </c>
      <c r="M901" s="102" t="str">
        <f>IFNA(VLOOKUP(L901,'🙎‍♂️ Pasien'!G:V,2,FALSE),"")</f>
        <v>H5325012017</v>
      </c>
      <c r="N901" s="103">
        <f>IFNA(VLOOKUP(L901,'🙎‍♂️ Pasien'!G:L,3,FALSE),"")</f>
        <v>72</v>
      </c>
      <c r="O901" s="104" t="str">
        <f>IFNA(VLOOKUP(L901,'🙎‍♂️ Pasien'!G:V,6,FALSE),"")</f>
        <v>LAKI-LAKI</v>
      </c>
      <c r="P901" s="104" t="str">
        <f>IFNA(VLOOKUP(L901,'🙎‍♂️ Pasien'!G:V,12,FALSE),"")</f>
        <v>ISLAM</v>
      </c>
      <c r="Q901" s="104" t="str">
        <f>IFNA(VLOOKUP(L901:L1508,'🙎‍♂️ Pasien'!G:V,13,FALSE),"")</f>
        <v>PENSIUN</v>
      </c>
      <c r="R901" s="104" t="str">
        <f t="array" ref="R901">ifna(xlookup(L901,'🙎‍♂️ Pasien'!$G$5:$G1508,'🙎‍♂️ Pasien'!$T$5:$T1508),"")</f>
        <v>Kaki terasa nyeri jika dibawa berdiri lama atau berjalan jauh</v>
      </c>
      <c r="S901" s="104" t="str">
        <f t="array" ref="S901">ifna(xlookup(L901,'🙎‍♂️ Pasien'!$G$5:$G1508,'🙎‍♂️ Pasien'!$U$5:$U1508),"")</f>
        <v>Tidak ada</v>
      </c>
      <c r="T901" s="97" t="s">
        <v>59</v>
      </c>
      <c r="U901" s="105" t="s">
        <v>60</v>
      </c>
      <c r="V901" s="101"/>
      <c r="W901" s="106" t="b">
        <v>1</v>
      </c>
      <c r="X901" s="107"/>
      <c r="Y901" s="108"/>
    </row>
    <row r="902" ht="22.5" customHeight="1">
      <c r="A902" s="96"/>
      <c r="B902" s="97" t="s">
        <v>85</v>
      </c>
      <c r="C902" s="98" t="str">
        <f t="array" ref="C902">IFNA(XLOOKUP(J902,'⚙️ Pengaturan'!$H$5:$H1508,'⚙️ Pengaturan'!$I$5:$I1508),"")</f>
        <v>TIM Y</v>
      </c>
      <c r="D902" s="97" t="s">
        <v>54</v>
      </c>
      <c r="E902" s="99">
        <v>45983.0</v>
      </c>
      <c r="F902" s="100" t="str">
        <f t="shared" si="1"/>
        <v>2025</v>
      </c>
      <c r="G902" s="100" t="str">
        <f t="shared" si="2"/>
        <v>11Nov</v>
      </c>
      <c r="H902" s="100" t="str">
        <f t="shared" si="3"/>
        <v>Sabtu</v>
      </c>
      <c r="I902" s="97" t="s">
        <v>87</v>
      </c>
      <c r="J902" s="97" t="s">
        <v>56</v>
      </c>
      <c r="K902" s="97" t="s">
        <v>63</v>
      </c>
      <c r="L902" s="101" t="s">
        <v>257</v>
      </c>
      <c r="M902" s="102" t="str">
        <f>IFNA(VLOOKUP(L902,'🙎‍♂️ Pasien'!G:V,2,FALSE),"")</f>
        <v>A1025102304</v>
      </c>
      <c r="N902" s="103">
        <f>IFNA(VLOOKUP(L902,'🙎‍♂️ Pasien'!G:L,3,FALSE),"")</f>
        <v>16</v>
      </c>
      <c r="O902" s="104" t="str">
        <f>IFNA(VLOOKUP(L902,'🙎‍♂️ Pasien'!G:V,6,FALSE),"")</f>
        <v>LAKI-LAKI</v>
      </c>
      <c r="P902" s="104" t="str">
        <f>IFNA(VLOOKUP(L902,'🙎‍♂️ Pasien'!G:V,12,FALSE),"")</f>
        <v>PROTESTAN</v>
      </c>
      <c r="Q902" s="104" t="str">
        <f>IFNA(VLOOKUP(L902:L1508,'🙎‍♂️ Pasien'!G:V,13,FALSE),"")</f>
        <v>PELAJAR</v>
      </c>
      <c r="R902" s="104" t="str">
        <f t="array" ref="R902">ifna(xlookup(L902,'🙎‍♂️ Pasien'!$G$5:$G1508,'🙎‍♂️ Pasien'!$T$5:$T1508),"")</f>
        <v>NYERI SENDI KAKI</v>
      </c>
      <c r="S902" s="104" t="str">
        <f t="array" ref="S902">ifna(xlookup(L902,'🙎‍♂️ Pasien'!$G$5:$G1508,'🙎‍♂️ Pasien'!$U$5:$U1508),"")</f>
        <v>OLAHRAGA, NAIK TURUN TANGGA</v>
      </c>
      <c r="T902" s="97" t="s">
        <v>59</v>
      </c>
      <c r="U902" s="105">
        <v>1.0</v>
      </c>
      <c r="V902" s="101"/>
      <c r="W902" s="106" t="b">
        <v>1</v>
      </c>
      <c r="X902" s="107"/>
      <c r="Y902" s="108"/>
    </row>
    <row r="903" ht="22.5" customHeight="1">
      <c r="A903" s="96"/>
      <c r="B903" s="97" t="s">
        <v>85</v>
      </c>
      <c r="C903" s="98" t="str">
        <f t="array" ref="C903">IFNA(XLOOKUP(J903,'⚙️ Pengaturan'!$H$5:$H1508,'⚙️ Pengaturan'!$I$5:$I1508),"")</f>
        <v>TIM A</v>
      </c>
      <c r="D903" s="97" t="s">
        <v>54</v>
      </c>
      <c r="E903" s="99">
        <v>45983.0</v>
      </c>
      <c r="F903" s="100" t="str">
        <f t="shared" si="1"/>
        <v>2025</v>
      </c>
      <c r="G903" s="100" t="str">
        <f t="shared" si="2"/>
        <v>11Nov</v>
      </c>
      <c r="H903" s="100" t="str">
        <f t="shared" si="3"/>
        <v>Sabtu</v>
      </c>
      <c r="I903" s="97" t="s">
        <v>93</v>
      </c>
      <c r="J903" s="97" t="s">
        <v>79</v>
      </c>
      <c r="K903" s="97" t="s">
        <v>69</v>
      </c>
      <c r="L903" s="101" t="s">
        <v>224</v>
      </c>
      <c r="M903" s="102" t="str">
        <f>IFNA(VLOOKUP(L903,'🙎‍♂️ Pasien'!G:V,2,FALSE),"")</f>
        <v>K6025085313</v>
      </c>
      <c r="N903" s="103">
        <f>IFNA(VLOOKUP(L903,'🙎‍♂️ Pasien'!G:L,3,FALSE),"")</f>
        <v>65</v>
      </c>
      <c r="O903" s="104" t="str">
        <f>IFNA(VLOOKUP(L903,'🙎‍♂️ Pasien'!G:V,6,FALSE),"")</f>
        <v>PEREMPUAN</v>
      </c>
      <c r="P903" s="104" t="str">
        <f>IFNA(VLOOKUP(L903,'🙎‍♂️ Pasien'!G:V,12,FALSE),"")</f>
        <v>ISLAM</v>
      </c>
      <c r="Q903" s="104" t="str">
        <f>IFNA(VLOOKUP(L903:L1508,'🙎‍♂️ Pasien'!G:V,13,FALSE),"")</f>
        <v>IBU RUMAH TANGGA</v>
      </c>
      <c r="R903" s="104" t="str">
        <f t="array" ref="R903">ifna(xlookup(L903,'🙎‍♂️ Pasien'!$G$5:$G1508,'🙎‍♂️ Pasien'!$T$5:$T1508),"")</f>
        <v>SAKIT LUTUT KANAN</v>
      </c>
      <c r="S903" s="104" t="str">
        <f t="array" ref="S903">ifna(xlookup(L903,'🙎‍♂️ Pasien'!$G$5:$G1508,'🙎‍♂️ Pasien'!$U$5:$U1508),"")</f>
        <v>JALAN KAKI</v>
      </c>
      <c r="T903" s="97" t="s">
        <v>59</v>
      </c>
      <c r="U903" s="105" t="s">
        <v>60</v>
      </c>
      <c r="V903" s="101"/>
      <c r="W903" s="106" t="b">
        <v>1</v>
      </c>
      <c r="X903" s="107"/>
      <c r="Y903" s="108"/>
    </row>
    <row r="904" ht="22.5" customHeight="1">
      <c r="A904" s="96"/>
      <c r="B904" s="97" t="s">
        <v>85</v>
      </c>
      <c r="C904" s="98" t="str">
        <f t="array" ref="C904">IFNA(XLOOKUP(J904,'⚙️ Pengaturan'!$H$5:$H1508,'⚙️ Pengaturan'!$I$5:$I1508),"")</f>
        <v>TIM A</v>
      </c>
      <c r="D904" s="97" t="s">
        <v>54</v>
      </c>
      <c r="E904" s="99">
        <v>45983.0</v>
      </c>
      <c r="F904" s="100" t="str">
        <f t="shared" si="1"/>
        <v>2025</v>
      </c>
      <c r="G904" s="100" t="str">
        <f t="shared" si="2"/>
        <v>11Nov</v>
      </c>
      <c r="H904" s="100" t="str">
        <f t="shared" si="3"/>
        <v>Sabtu</v>
      </c>
      <c r="I904" s="97" t="s">
        <v>93</v>
      </c>
      <c r="J904" s="97" t="s">
        <v>72</v>
      </c>
      <c r="K904" s="97" t="s">
        <v>63</v>
      </c>
      <c r="L904" s="101" t="s">
        <v>474</v>
      </c>
      <c r="M904" s="102" t="str">
        <f>IFNA(VLOOKUP(L904,'🙎‍♂️ Pasien'!G:V,2,FALSE),"")</f>
        <v>M5325110126</v>
      </c>
      <c r="N904" s="103">
        <f>IFNA(VLOOKUP(L904,'🙎‍♂️ Pasien'!G:L,3,FALSE),"")</f>
        <v>73</v>
      </c>
      <c r="O904" s="104" t="str">
        <f>IFNA(VLOOKUP(L904,'🙎‍♂️ Pasien'!G:V,6,FALSE),"")</f>
        <v>PEREMPUAN</v>
      </c>
      <c r="P904" s="104" t="str">
        <f>IFNA(VLOOKUP(L904,'🙎‍♂️ Pasien'!G:V,12,FALSE),"")</f>
        <v>KATOLIK</v>
      </c>
      <c r="Q904" s="104" t="str">
        <f>IFNA(VLOOKUP(L904:L1508,'🙎‍♂️ Pasien'!G:V,13,FALSE),"")</f>
        <v>IBU RUMAH TANGGA</v>
      </c>
      <c r="R904" s="104" t="str">
        <f t="array" ref="R904">ifna(xlookup(L904,'🙎‍♂️ Pasien'!$G$5:$G1508,'🙎‍♂️ Pasien'!$T$5:$T1508),"")</f>
        <v>SAKIT &amp; SUSAH GERAK PAKA LUTUT</v>
      </c>
      <c r="S904" s="104" t="str">
        <f t="array" ref="S904">ifna(xlookup(L904,'🙎‍♂️ Pasien'!$G$5:$G1508,'🙎‍♂️ Pasien'!$U$5:$U1508),"")</f>
        <v>AKTIVITAS RUMAH TANGGA</v>
      </c>
      <c r="T904" s="97" t="s">
        <v>59</v>
      </c>
      <c r="U904" s="105">
        <v>1.0</v>
      </c>
      <c r="V904" s="101"/>
      <c r="W904" s="106" t="b">
        <v>1</v>
      </c>
      <c r="X904" s="107"/>
      <c r="Y904" s="108"/>
    </row>
    <row r="905" ht="22.5" customHeight="1">
      <c r="A905" s="96"/>
      <c r="B905" s="97" t="s">
        <v>85</v>
      </c>
      <c r="C905" s="98" t="str">
        <f t="array" ref="C905">IFNA(XLOOKUP(J905,'⚙️ Pengaturan'!$H$5:$H1508,'⚙️ Pengaturan'!$I$5:$I1508),"")</f>
        <v>TIM A</v>
      </c>
      <c r="D905" s="97" t="s">
        <v>54</v>
      </c>
      <c r="E905" s="99">
        <v>45983.0</v>
      </c>
      <c r="F905" s="100" t="str">
        <f t="shared" si="1"/>
        <v>2025</v>
      </c>
      <c r="G905" s="100" t="str">
        <f t="shared" si="2"/>
        <v>11Nov</v>
      </c>
      <c r="H905" s="100" t="str">
        <f t="shared" si="3"/>
        <v>Sabtu</v>
      </c>
      <c r="I905" s="97" t="s">
        <v>93</v>
      </c>
      <c r="J905" s="97" t="s">
        <v>62</v>
      </c>
      <c r="K905" s="97" t="s">
        <v>63</v>
      </c>
      <c r="L905" s="101" t="s">
        <v>341</v>
      </c>
      <c r="M905" s="102" t="str">
        <f>IFNA(VLOOKUP(L905,'🙎‍♂️ Pasien'!G:V,2,FALSE),"")</f>
        <v>T7325100015</v>
      </c>
      <c r="N905" s="103">
        <f>IFNA(VLOOKUP(L905,'🙎‍♂️ Pasien'!G:L,3,FALSE),"")</f>
        <v>53</v>
      </c>
      <c r="O905" s="104" t="str">
        <f>IFNA(VLOOKUP(L905,'🙎‍♂️ Pasien'!G:V,6,FALSE),"")</f>
        <v>PEREMPUAN</v>
      </c>
      <c r="P905" s="104" t="str">
        <f>IFNA(VLOOKUP(L905,'🙎‍♂️ Pasien'!G:V,12,FALSE),"")</f>
        <v>ISLAM</v>
      </c>
      <c r="Q905" s="104" t="str">
        <f>IFNA(VLOOKUP(L905:L1508,'🙎‍♂️ Pasien'!G:V,13,FALSE),"")</f>
        <v>PNS</v>
      </c>
      <c r="R905" s="104" t="str">
        <f t="array" ref="R905">ifna(xlookup(L905,'🙎‍♂️ Pasien'!$G$5:$G1508,'🙎‍♂️ Pasien'!$T$5:$T1508),"")</f>
        <v>SAKIT KAKI DAN PINGGANG</v>
      </c>
      <c r="S905" s="104" t="str">
        <f t="array" ref="S905">ifna(xlookup(L905,'🙎‍♂️ Pasien'!$G$5:$G1508,'🙎‍♂️ Pasien'!$U$5:$U1508),"")</f>
        <v>NAIK TURUN TANGGA DAN JONGKOK</v>
      </c>
      <c r="T905" s="97" t="s">
        <v>67</v>
      </c>
      <c r="U905" s="105">
        <v>5.0</v>
      </c>
      <c r="V905" s="101" t="s">
        <v>565</v>
      </c>
      <c r="W905" s="106" t="b">
        <v>1</v>
      </c>
      <c r="X905" s="107"/>
      <c r="Y905" s="108"/>
    </row>
    <row r="906" ht="22.5" customHeight="1">
      <c r="A906" s="96"/>
      <c r="B906" s="97" t="s">
        <v>85</v>
      </c>
      <c r="C906" s="98" t="str">
        <f t="array" ref="C906">IFNA(XLOOKUP(J906,'⚙️ Pengaturan'!$H$5:$H1508,'⚙️ Pengaturan'!$I$5:$I1508),"")</f>
        <v>TIM A</v>
      </c>
      <c r="D906" s="97" t="s">
        <v>54</v>
      </c>
      <c r="E906" s="99">
        <v>45983.0</v>
      </c>
      <c r="F906" s="100" t="str">
        <f t="shared" si="1"/>
        <v>2025</v>
      </c>
      <c r="G906" s="100" t="str">
        <f t="shared" si="2"/>
        <v>11Nov</v>
      </c>
      <c r="H906" s="100" t="str">
        <f t="shared" si="3"/>
        <v>Sabtu</v>
      </c>
      <c r="I906" s="97" t="s">
        <v>95</v>
      </c>
      <c r="J906" s="97" t="s">
        <v>72</v>
      </c>
      <c r="K906" s="97" t="s">
        <v>63</v>
      </c>
      <c r="L906" s="101" t="s">
        <v>451</v>
      </c>
      <c r="M906" s="102" t="str">
        <f>IFNA(VLOOKUP(L906,'🙎‍♂️ Pasien'!G:V,2,FALSE),"")</f>
        <v>M0825116129</v>
      </c>
      <c r="N906" s="103">
        <f>IFNA(VLOOKUP(L906,'🙎‍♂️ Pasien'!G:L,3,FALSE),"")</f>
        <v>18</v>
      </c>
      <c r="O906" s="104" t="str">
        <f>IFNA(VLOOKUP(L906,'🙎‍♂️ Pasien'!G:V,6,FALSE),"")</f>
        <v>LAKI-LAKI</v>
      </c>
      <c r="P906" s="104" t="str">
        <f>IFNA(VLOOKUP(L906,'🙎‍♂️ Pasien'!G:V,12,FALSE),"")</f>
        <v>PROTESTAN</v>
      </c>
      <c r="Q906" s="104" t="str">
        <f>IFNA(VLOOKUP(L906:L1508,'🙎‍♂️ Pasien'!G:V,13,FALSE),"")</f>
        <v>PELAJAR</v>
      </c>
      <c r="R906" s="104" t="str">
        <f t="array" ref="R906">ifna(xlookup(L906,'🙎‍♂️ Pasien'!$G$5:$G1508,'🙎‍♂️ Pasien'!$T$5:$T1508),"")</f>
        <v>SKOLIOSIS</v>
      </c>
      <c r="S906" s="104" t="str">
        <f t="array" ref="S906">ifna(xlookup(L906,'🙎‍♂️ Pasien'!$G$5:$G1508,'🙎‍♂️ Pasien'!$U$5:$U1508),"")</f>
        <v>BELAJAR</v>
      </c>
      <c r="T906" s="97" t="s">
        <v>59</v>
      </c>
      <c r="U906" s="105">
        <v>4.0</v>
      </c>
      <c r="V906" s="101"/>
      <c r="W906" s="106" t="b">
        <v>1</v>
      </c>
      <c r="X906" s="107"/>
      <c r="Y906" s="108"/>
    </row>
    <row r="907" ht="22.5" customHeight="1">
      <c r="A907" s="96"/>
      <c r="B907" s="97" t="s">
        <v>85</v>
      </c>
      <c r="C907" s="98" t="str">
        <f t="array" ref="C907">IFNA(XLOOKUP(J907,'⚙️ Pengaturan'!$H$5:$H1508,'⚙️ Pengaturan'!$I$5:$I1508),"")</f>
        <v>TIM Y</v>
      </c>
      <c r="D907" s="97" t="s">
        <v>54</v>
      </c>
      <c r="E907" s="99">
        <v>45983.0</v>
      </c>
      <c r="F907" s="100" t="str">
        <f t="shared" si="1"/>
        <v>2025</v>
      </c>
      <c r="G907" s="100" t="str">
        <f t="shared" si="2"/>
        <v>11Nov</v>
      </c>
      <c r="H907" s="100" t="str">
        <f t="shared" si="3"/>
        <v>Sabtu</v>
      </c>
      <c r="I907" s="97" t="s">
        <v>95</v>
      </c>
      <c r="J907" s="97" t="s">
        <v>56</v>
      </c>
      <c r="K907" s="97" t="s">
        <v>63</v>
      </c>
      <c r="L907" s="101" t="s">
        <v>160</v>
      </c>
      <c r="M907" s="102" t="str">
        <f>IFNA(VLOOKUP(L907,'🙎‍♂️ Pasien'!G:V,2,FALSE),"")</f>
        <v>S7625091177</v>
      </c>
      <c r="N907" s="103">
        <f>IFNA(VLOOKUP(L907,'🙎‍♂️ Pasien'!G:L,3,FALSE),"")</f>
        <v>49</v>
      </c>
      <c r="O907" s="104" t="str">
        <f>IFNA(VLOOKUP(L907,'🙎‍♂️ Pasien'!G:V,6,FALSE),"")</f>
        <v>LAKI-LAKI</v>
      </c>
      <c r="P907" s="104" t="str">
        <f>IFNA(VLOOKUP(L907,'🙎‍♂️ Pasien'!G:V,12,FALSE),"")</f>
        <v>ISLAM</v>
      </c>
      <c r="Q907" s="104" t="str">
        <f>IFNA(VLOOKUP(L907:L1508,'🙎‍♂️ Pasien'!G:V,13,FALSE),"")</f>
        <v>WIRASWASTA</v>
      </c>
      <c r="R907" s="104" t="str">
        <f t="array" ref="R907">ifna(xlookup(L907,'🙎‍♂️ Pasien'!$G$5:$G1508,'🙎‍♂️ Pasien'!$T$5:$T1508),"")</f>
        <v>CEDERA LUTUT</v>
      </c>
      <c r="S907" s="104" t="str">
        <f t="array" ref="S907">ifna(xlookup(L907,'🙎‍♂️ Pasien'!$G$5:$G1508,'🙎‍♂️ Pasien'!$U$5:$U1508),"")</f>
        <v>MAIN BADMINTON</v>
      </c>
      <c r="T907" s="97" t="s">
        <v>67</v>
      </c>
      <c r="U907" s="105">
        <v>5.0</v>
      </c>
      <c r="V907" s="101" t="s">
        <v>566</v>
      </c>
      <c r="W907" s="106" t="b">
        <v>1</v>
      </c>
      <c r="X907" s="107"/>
      <c r="Y907" s="108"/>
    </row>
    <row r="908" ht="22.5" customHeight="1">
      <c r="A908" s="96"/>
      <c r="B908" s="97" t="s">
        <v>85</v>
      </c>
      <c r="C908" s="98" t="str">
        <f t="array" ref="C908">IFNA(XLOOKUP(J908,'⚙️ Pengaturan'!$H$5:$H1508,'⚙️ Pengaturan'!$I$5:$I1508),"")</f>
        <v>TIM A</v>
      </c>
      <c r="D908" s="97" t="s">
        <v>54</v>
      </c>
      <c r="E908" s="99">
        <v>45983.0</v>
      </c>
      <c r="F908" s="100" t="str">
        <f t="shared" si="1"/>
        <v>2025</v>
      </c>
      <c r="G908" s="100" t="str">
        <f t="shared" si="2"/>
        <v>11Nov</v>
      </c>
      <c r="H908" s="100" t="str">
        <f t="shared" si="3"/>
        <v>Sabtu</v>
      </c>
      <c r="I908" s="97" t="s">
        <v>97</v>
      </c>
      <c r="J908" s="97" t="s">
        <v>79</v>
      </c>
      <c r="K908" s="97" t="s">
        <v>63</v>
      </c>
      <c r="L908" s="101" t="s">
        <v>239</v>
      </c>
      <c r="M908" s="102" t="str">
        <f>IFNA(VLOOKUP(L908,'🙎‍♂️ Pasien'!G:V,2,FALSE),"")</f>
        <v>A0623071437</v>
      </c>
      <c r="N908" s="103">
        <f>IFNA(VLOOKUP(L908,'🙎‍♂️ Pasien'!G:L,3,FALSE),"")</f>
        <v>20</v>
      </c>
      <c r="O908" s="104" t="str">
        <f>IFNA(VLOOKUP(L908,'🙎‍♂️ Pasien'!G:V,6,FALSE),"")</f>
        <v>LAKI-LAKI</v>
      </c>
      <c r="P908" s="104" t="str">
        <f>IFNA(VLOOKUP(L908,'🙎‍♂️ Pasien'!G:V,12,FALSE),"")</f>
        <v>ISLAM</v>
      </c>
      <c r="Q908" s="104" t="str">
        <f>IFNA(VLOOKUP(L908:L1508,'🙎‍♂️ Pasien'!G:V,13,FALSE),"")</f>
        <v>PELAJAR/MAHASISWA</v>
      </c>
      <c r="R908" s="104" t="str">
        <f t="array" ref="R908">ifna(xlookup(L908,'🙎‍♂️ Pasien'!$G$5:$G1508,'🙎‍♂️ Pasien'!$T$5:$T1508),"")</f>
        <v>Cedera Engkel Di Kaki</v>
      </c>
      <c r="S908" s="104" t="str">
        <f t="array" ref="S908">ifna(xlookup(L908,'🙎‍♂️ Pasien'!$G$5:$G1508,'🙎‍♂️ Pasien'!$U$5:$U1508),"")</f>
        <v>BERMAIN FUTSAL</v>
      </c>
      <c r="T908" s="97" t="s">
        <v>59</v>
      </c>
      <c r="U908" s="105">
        <v>2.0</v>
      </c>
      <c r="V908" s="101"/>
      <c r="W908" s="106" t="b">
        <v>1</v>
      </c>
      <c r="X908" s="107"/>
      <c r="Y908" s="108"/>
    </row>
    <row r="909" ht="22.5" customHeight="1">
      <c r="A909" s="96"/>
      <c r="B909" s="97" t="s">
        <v>85</v>
      </c>
      <c r="C909" s="98" t="str">
        <f t="array" ref="C909">IFNA(XLOOKUP(J909,'⚙️ Pengaturan'!$H$5:$H1508,'⚙️ Pengaturan'!$I$5:$I1508),"")</f>
        <v>TIM Y</v>
      </c>
      <c r="D909" s="97" t="s">
        <v>54</v>
      </c>
      <c r="E909" s="99">
        <v>45983.0</v>
      </c>
      <c r="F909" s="100" t="str">
        <f t="shared" si="1"/>
        <v>2025</v>
      </c>
      <c r="G909" s="100" t="str">
        <f t="shared" si="2"/>
        <v>11Nov</v>
      </c>
      <c r="H909" s="100" t="str">
        <f t="shared" si="3"/>
        <v>Sabtu</v>
      </c>
      <c r="I909" s="97" t="s">
        <v>97</v>
      </c>
      <c r="J909" s="97" t="s">
        <v>56</v>
      </c>
      <c r="K909" s="97" t="s">
        <v>63</v>
      </c>
      <c r="L909" s="101" t="s">
        <v>326</v>
      </c>
      <c r="M909" s="102" t="str">
        <f>IFNA(VLOOKUP(L909,'🙎‍♂️ Pasien'!G:V,2,FALSE),"")</f>
        <v>A1423086916</v>
      </c>
      <c r="N909" s="103">
        <f>IFNA(VLOOKUP(L909,'🙎‍♂️ Pasien'!G:L,3,FALSE),"")</f>
        <v>11</v>
      </c>
      <c r="O909" s="104" t="str">
        <f>IFNA(VLOOKUP(L909,'🙎‍♂️ Pasien'!G:V,6,FALSE),"")</f>
        <v>LAKI-LAKI</v>
      </c>
      <c r="P909" s="104" t="str">
        <f>IFNA(VLOOKUP(L909,'🙎‍♂️ Pasien'!G:V,12,FALSE),"")</f>
        <v>ISLAM</v>
      </c>
      <c r="Q909" s="104" t="str">
        <f>IFNA(VLOOKUP(L909:L1508,'🙎‍♂️ Pasien'!G:V,13,FALSE),"")</f>
        <v>PELAJAR/MAHASISWA</v>
      </c>
      <c r="R909" s="104" t="str">
        <f t="array" ref="R909">ifna(xlookup(L909,'🙎‍♂️ Pasien'!$G$5:$G1508,'🙎‍♂️ Pasien'!$T$5:$T1508),"")</f>
        <v>ANKLE KAKI KANAN</v>
      </c>
      <c r="S909" s="104" t="str">
        <f t="array" ref="S909">ifna(xlookup(L909,'🙎‍♂️ Pasien'!$G$5:$G1508,'🙎‍♂️ Pasien'!$U$5:$U1508),"")</f>
        <v>BOLA</v>
      </c>
      <c r="T909" s="97" t="s">
        <v>67</v>
      </c>
      <c r="U909" s="105">
        <v>2.0</v>
      </c>
      <c r="V909" s="101" t="s">
        <v>567</v>
      </c>
      <c r="W909" s="106" t="b">
        <v>1</v>
      </c>
      <c r="X909" s="107"/>
      <c r="Y909" s="108"/>
    </row>
    <row r="910" ht="22.5" customHeight="1">
      <c r="A910" s="96"/>
      <c r="B910" s="97" t="s">
        <v>85</v>
      </c>
      <c r="C910" s="98" t="str">
        <f t="array" ref="C910">IFNA(XLOOKUP(J910,'⚙️ Pengaturan'!$H$5:$H1508,'⚙️ Pengaturan'!$I$5:$I1508),"")</f>
        <v>TIM A</v>
      </c>
      <c r="D910" s="97" t="s">
        <v>54</v>
      </c>
      <c r="E910" s="99">
        <v>45983.0</v>
      </c>
      <c r="F910" s="100" t="str">
        <f t="shared" si="1"/>
        <v>2025</v>
      </c>
      <c r="G910" s="100" t="str">
        <f t="shared" si="2"/>
        <v>11Nov</v>
      </c>
      <c r="H910" s="100" t="str">
        <f t="shared" si="3"/>
        <v>Sabtu</v>
      </c>
      <c r="I910" s="97" t="s">
        <v>97</v>
      </c>
      <c r="J910" s="97" t="s">
        <v>62</v>
      </c>
      <c r="K910" s="97" t="s">
        <v>57</v>
      </c>
      <c r="L910" s="101" t="s">
        <v>557</v>
      </c>
      <c r="M910" s="102" t="str">
        <f>IFNA(VLOOKUP(L910,'🙎‍♂️ Pasien'!G:V,2,FALSE),"")</f>
        <v>S1223087980</v>
      </c>
      <c r="N910" s="103">
        <f>IFNA(VLOOKUP(L910,'🙎‍♂️ Pasien'!G:L,3,FALSE),"")</f>
        <v>14</v>
      </c>
      <c r="O910" s="104" t="str">
        <f>IFNA(VLOOKUP(L910,'🙎‍♂️ Pasien'!G:V,6,FALSE),"")</f>
        <v>LAKI-LAKI</v>
      </c>
      <c r="P910" s="104" t="str">
        <f>IFNA(VLOOKUP(L910,'🙎‍♂️ Pasien'!G:V,12,FALSE),"")</f>
        <v>ISLAM</v>
      </c>
      <c r="Q910" s="104" t="str">
        <f>IFNA(VLOOKUP(L910:L1508,'🙎‍♂️ Pasien'!G:V,13,FALSE),"")</f>
        <v>PELAJAR/MAHASISWA</v>
      </c>
      <c r="R910" s="104" t="str">
        <f t="array" ref="R910">ifna(xlookup(L910,'🙎‍♂️ Pasien'!$G$5:$G1508,'🙎‍♂️ Pasien'!$T$5:$T1508),"")</f>
        <v>NYERI TUMIT DAN</v>
      </c>
      <c r="S910" s="104" t="str">
        <f t="array" ref="S910">ifna(xlookup(L910,'🙎‍♂️ Pasien'!$G$5:$G1508,'🙎‍♂️ Pasien'!$U$5:$U1508),"")</f>
        <v>FUTSAL</v>
      </c>
      <c r="T910" s="97" t="s">
        <v>59</v>
      </c>
      <c r="U910" s="105" t="s">
        <v>60</v>
      </c>
      <c r="V910" s="101"/>
      <c r="W910" s="106" t="b">
        <v>1</v>
      </c>
      <c r="X910" s="107"/>
      <c r="Y910" s="108"/>
    </row>
    <row r="911" ht="22.5" customHeight="1">
      <c r="A911" s="96"/>
      <c r="B911" s="97" t="s">
        <v>85</v>
      </c>
      <c r="C911" s="98" t="str">
        <f t="array" ref="C911">IFNA(XLOOKUP(J911,'⚙️ Pengaturan'!$H$5:$H1508,'⚙️ Pengaturan'!$I$5:$I1508),"")</f>
        <v>TIM A</v>
      </c>
      <c r="D911" s="97" t="s">
        <v>54</v>
      </c>
      <c r="E911" s="99">
        <v>45983.0</v>
      </c>
      <c r="F911" s="100" t="str">
        <f t="shared" si="1"/>
        <v>2025</v>
      </c>
      <c r="G911" s="100" t="str">
        <f t="shared" si="2"/>
        <v>11Nov</v>
      </c>
      <c r="H911" s="100" t="str">
        <f t="shared" si="3"/>
        <v>Sabtu</v>
      </c>
      <c r="I911" s="97" t="s">
        <v>99</v>
      </c>
      <c r="J911" s="97" t="s">
        <v>62</v>
      </c>
      <c r="K911" s="97" t="s">
        <v>63</v>
      </c>
      <c r="L911" s="101" t="s">
        <v>71</v>
      </c>
      <c r="M911" s="102" t="str">
        <f>IFNA(VLOOKUP(L911,'🙎‍♂️ Pasien'!G:V,2,FALSE),"")</f>
        <v>L5925109995</v>
      </c>
      <c r="N911" s="103">
        <f>IFNA(VLOOKUP(L911,'🙎‍♂️ Pasien'!G:L,3,FALSE),"")</f>
        <v>67</v>
      </c>
      <c r="O911" s="104" t="str">
        <f>IFNA(VLOOKUP(L911,'🙎‍♂️ Pasien'!G:V,6,FALSE),"")</f>
        <v>PEREMPUAN</v>
      </c>
      <c r="P911" s="104" t="str">
        <f>IFNA(VLOOKUP(L911,'🙎‍♂️ Pasien'!G:V,12,FALSE),"")</f>
        <v>KATOLIK</v>
      </c>
      <c r="Q911" s="104" t="str">
        <f>IFNA(VLOOKUP(L911:L1508,'🙎‍♂️ Pasien'!G:V,13,FALSE),"")</f>
        <v>WIRASWASTA</v>
      </c>
      <c r="R911" s="104" t="str">
        <f t="array" ref="R911">ifna(xlookup(L911,'🙎‍♂️ Pasien'!$G$5:$G1508,'🙎‍♂️ Pasien'!$T$5:$T1508),"")</f>
        <v>LUTUT</v>
      </c>
      <c r="S911" s="104" t="str">
        <f t="array" ref="S911">ifna(xlookup(L911,'🙎‍♂️ Pasien'!$G$5:$G1508,'🙎‍♂️ Pasien'!$U$5:$U1508),"")</f>
        <v>IBU RUMAH TANGGA</v>
      </c>
      <c r="T911" s="97" t="s">
        <v>59</v>
      </c>
      <c r="U911" s="105">
        <v>5.0</v>
      </c>
      <c r="V911" s="101" t="s">
        <v>125</v>
      </c>
      <c r="W911" s="106" t="b">
        <v>1</v>
      </c>
      <c r="X911" s="107"/>
      <c r="Y911" s="108"/>
    </row>
    <row r="912" ht="22.5" customHeight="1">
      <c r="A912" s="96"/>
      <c r="B912" s="97" t="s">
        <v>85</v>
      </c>
      <c r="C912" s="98" t="str">
        <f t="array" ref="C912">IFNA(XLOOKUP(J912,'⚙️ Pengaturan'!$H$5:$H1508,'⚙️ Pengaturan'!$I$5:$I1508),"")</f>
        <v>TIM A</v>
      </c>
      <c r="D912" s="97" t="s">
        <v>54</v>
      </c>
      <c r="E912" s="99">
        <v>45983.0</v>
      </c>
      <c r="F912" s="100" t="str">
        <f t="shared" si="1"/>
        <v>2025</v>
      </c>
      <c r="G912" s="100" t="str">
        <f t="shared" si="2"/>
        <v>11Nov</v>
      </c>
      <c r="H912" s="100" t="str">
        <f t="shared" si="3"/>
        <v>Sabtu</v>
      </c>
      <c r="I912" s="97" t="s">
        <v>99</v>
      </c>
      <c r="J912" s="97" t="s">
        <v>79</v>
      </c>
      <c r="K912" s="97" t="s">
        <v>57</v>
      </c>
      <c r="L912" s="101" t="s">
        <v>568</v>
      </c>
      <c r="M912" s="102" t="str">
        <f>IFNA(VLOOKUP(L912,'🙎‍♂️ Pasien'!G:V,2,FALSE),"")</f>
        <v>T8425110655</v>
      </c>
      <c r="N912" s="103">
        <f>IFNA(VLOOKUP(L912,'🙎‍♂️ Pasien'!G:L,3,FALSE),"")</f>
        <v>41</v>
      </c>
      <c r="O912" s="104" t="str">
        <f>IFNA(VLOOKUP(L912,'🙎‍♂️ Pasien'!G:V,6,FALSE),"")</f>
        <v>PEREMPUAN</v>
      </c>
      <c r="P912" s="104" t="str">
        <f>IFNA(VLOOKUP(L912,'🙎‍♂️ Pasien'!G:V,12,FALSE),"")</f>
        <v>ISLAM</v>
      </c>
      <c r="Q912" s="104" t="str">
        <f>IFNA(VLOOKUP(L912:L1508,'🙎‍♂️ Pasien'!G:V,13,FALSE),"")</f>
        <v>KARYAWAN SWASTA</v>
      </c>
      <c r="R912" s="104" t="str">
        <f t="array" ref="R912">ifna(xlookup(L912,'🙎‍♂️ Pasien'!$G$5:$G1508,'🙎‍♂️ Pasien'!$T$5:$T1508),"")</f>
        <v>SAKIT DIPINGGANG</v>
      </c>
      <c r="S912" s="104" t="str">
        <f t="array" ref="S912">ifna(xlookup(L912,'🙎‍♂️ Pasien'!$G$5:$G1508,'🙎‍♂️ Pasien'!$U$5:$U1508),"")</f>
        <v>KETIKA MEMBUNGKUK, BATUK</v>
      </c>
      <c r="T912" s="97" t="s">
        <v>59</v>
      </c>
      <c r="U912" s="105" t="s">
        <v>60</v>
      </c>
      <c r="V912" s="101"/>
      <c r="W912" s="106" t="b">
        <v>1</v>
      </c>
      <c r="X912" s="107"/>
      <c r="Y912" s="108"/>
    </row>
    <row r="913" ht="22.5" customHeight="1">
      <c r="A913" s="96"/>
      <c r="B913" s="97" t="s">
        <v>85</v>
      </c>
      <c r="C913" s="98" t="str">
        <f t="array" ref="C913">IFNA(XLOOKUP(J913,'⚙️ Pengaturan'!$H$5:$H1508,'⚙️ Pengaturan'!$I$5:$I1508),"")</f>
        <v>TIM A</v>
      </c>
      <c r="D913" s="97" t="s">
        <v>54</v>
      </c>
      <c r="E913" s="99">
        <v>45983.0</v>
      </c>
      <c r="F913" s="100" t="str">
        <f t="shared" si="1"/>
        <v>2025</v>
      </c>
      <c r="G913" s="100" t="str">
        <f t="shared" si="2"/>
        <v>11Nov</v>
      </c>
      <c r="H913" s="100" t="str">
        <f t="shared" si="3"/>
        <v>Sabtu</v>
      </c>
      <c r="I913" s="97" t="s">
        <v>99</v>
      </c>
      <c r="J913" s="97" t="s">
        <v>79</v>
      </c>
      <c r="K913" s="97" t="s">
        <v>63</v>
      </c>
      <c r="L913" s="101" t="s">
        <v>510</v>
      </c>
      <c r="M913" s="102" t="str">
        <f>IFNA(VLOOKUP(L913,'🙎‍♂️ Pasien'!G:V,2,FALSE),"")</f>
        <v>Z9325081191</v>
      </c>
      <c r="N913" s="103">
        <f>IFNA(VLOOKUP(L913,'🙎‍♂️ Pasien'!G:L,3,FALSE),"")</f>
        <v>33</v>
      </c>
      <c r="O913" s="104" t="str">
        <f>IFNA(VLOOKUP(L913,'🙎‍♂️ Pasien'!G:V,6,FALSE),"")</f>
        <v>LAKI-LAKI</v>
      </c>
      <c r="P913" s="104" t="str">
        <f>IFNA(VLOOKUP(L913,'🙎‍♂️ Pasien'!G:V,12,FALSE),"")</f>
        <v>ISLAM</v>
      </c>
      <c r="Q913" s="104" t="str">
        <f>IFNA(VLOOKUP(L913:L1508,'🙎‍♂️ Pasien'!G:V,13,FALSE),"")</f>
        <v>KARYAWAN</v>
      </c>
      <c r="R913" s="104" t="str">
        <f t="array" ref="R913">ifna(xlookup(L913,'🙎‍♂️ Pasien'!$G$5:$G1508,'🙎‍♂️ Pasien'!$T$5:$T1508),"")</f>
        <v>HABIS MARATHON</v>
      </c>
      <c r="S913" s="104" t="str">
        <f t="array" ref="S913">ifna(xlookup(L913,'🙎‍♂️ Pasien'!$G$5:$G1508,'🙎‍♂️ Pasien'!$U$5:$U1508),"")</f>
        <v>LARI</v>
      </c>
      <c r="T913" s="97" t="s">
        <v>67</v>
      </c>
      <c r="U913" s="105">
        <v>3.0</v>
      </c>
      <c r="V913" s="101" t="s">
        <v>569</v>
      </c>
      <c r="W913" s="106" t="b">
        <v>1</v>
      </c>
      <c r="X913" s="107"/>
      <c r="Y913" s="108"/>
    </row>
    <row r="914" ht="22.5" customHeight="1">
      <c r="A914" s="96"/>
      <c r="B914" s="97" t="s">
        <v>53</v>
      </c>
      <c r="C914" s="98" t="str">
        <f t="array" ref="C914">IFNA(XLOOKUP(J914,'⚙️ Pengaturan'!$H$5:$H1508,'⚙️ Pengaturan'!$I$5:$I1508),"")</f>
        <v>MANAJEMEN</v>
      </c>
      <c r="D914" s="97" t="s">
        <v>86</v>
      </c>
      <c r="E914" s="99">
        <v>45985.0</v>
      </c>
      <c r="F914" s="100" t="str">
        <f t="shared" si="1"/>
        <v>2025</v>
      </c>
      <c r="G914" s="100" t="str">
        <f t="shared" si="2"/>
        <v>11Nov</v>
      </c>
      <c r="H914" s="100" t="str">
        <f t="shared" si="3"/>
        <v>Senin</v>
      </c>
      <c r="I914" s="97" t="s">
        <v>55</v>
      </c>
      <c r="J914" s="97" t="s">
        <v>101</v>
      </c>
      <c r="K914" s="97" t="s">
        <v>63</v>
      </c>
      <c r="L914" s="101" t="s">
        <v>161</v>
      </c>
      <c r="M914" s="102" t="str">
        <f>IFNA(VLOOKUP(L914,'🙎‍♂️ Pasien'!G:V,2,FALSE),"")</f>
        <v>A9224038209</v>
      </c>
      <c r="N914" s="103">
        <f>IFNA(VLOOKUP(L914,'🙎‍♂️ Pasien'!G:L,3,FALSE),"")</f>
        <v>33</v>
      </c>
      <c r="O914" s="104" t="str">
        <f>IFNA(VLOOKUP(L914,'🙎‍♂️ Pasien'!G:V,6,FALSE),"")</f>
        <v>PEREMPUAN</v>
      </c>
      <c r="P914" s="104" t="str">
        <f>IFNA(VLOOKUP(L914,'🙎‍♂️ Pasien'!G:V,12,FALSE),"")</f>
        <v>KATOLIK</v>
      </c>
      <c r="Q914" s="104" t="str">
        <f>IFNA(VLOOKUP(L914:L1508,'🙎‍♂️ Pasien'!G:V,13,FALSE),"")</f>
        <v>SWASTA</v>
      </c>
      <c r="R914" s="104" t="str">
        <f t="array" ref="R914">ifna(xlookup(L914,'🙎‍♂️ Pasien'!$G$5:$G1508,'🙎‍♂️ Pasien'!$T$5:$T1508),"")</f>
        <v>Kaki kiri sakit, bahu dan punggung kiri sakit, leher agak bungkuk</v>
      </c>
      <c r="S914" s="104" t="str">
        <f t="array" ref="S914">ifna(xlookup(L914,'🙎‍♂️ Pasien'!$G$5:$G1508,'🙎‍♂️ Pasien'!$U$5:$U1508),"")</f>
        <v>Olahraga, kerja, dan mengurus anak</v>
      </c>
      <c r="T914" s="97" t="s">
        <v>59</v>
      </c>
      <c r="U914" s="105">
        <v>1.0</v>
      </c>
      <c r="V914" s="101" t="s">
        <v>243</v>
      </c>
      <c r="W914" s="106" t="b">
        <v>1</v>
      </c>
      <c r="X914" s="107"/>
      <c r="Y914" s="108"/>
    </row>
    <row r="915" ht="22.5" customHeight="1">
      <c r="A915" s="96"/>
      <c r="B915" s="97" t="s">
        <v>53</v>
      </c>
      <c r="C915" s="98" t="str">
        <f t="array" ref="C915">IFNA(XLOOKUP(J915,'⚙️ Pengaturan'!$H$5:$H1508,'⚙️ Pengaturan'!$I$5:$I1508),"")</f>
        <v>TIM Y</v>
      </c>
      <c r="D915" s="97" t="s">
        <v>86</v>
      </c>
      <c r="E915" s="99">
        <v>45985.0</v>
      </c>
      <c r="F915" s="100" t="str">
        <f t="shared" si="1"/>
        <v>2025</v>
      </c>
      <c r="G915" s="100" t="str">
        <f t="shared" si="2"/>
        <v>11Nov</v>
      </c>
      <c r="H915" s="100" t="str">
        <f t="shared" si="3"/>
        <v>Senin</v>
      </c>
      <c r="I915" s="97" t="s">
        <v>55</v>
      </c>
      <c r="J915" s="97" t="s">
        <v>88</v>
      </c>
      <c r="K915" s="97" t="s">
        <v>69</v>
      </c>
      <c r="L915" s="101" t="s">
        <v>434</v>
      </c>
      <c r="M915" s="102" t="str">
        <f>IFNA(VLOOKUP(L915,'🙎‍♂️ Pasien'!G:V,2,FALSE),"")</f>
        <v>A9326025869</v>
      </c>
      <c r="N915" s="103">
        <f>IFNA(VLOOKUP(L915,'🙎‍♂️ Pasien'!G:L,3,FALSE),"")</f>
        <v>32</v>
      </c>
      <c r="O915" s="104" t="str">
        <f>IFNA(VLOOKUP(L915,'🙎‍♂️ Pasien'!G:V,6,FALSE),"")</f>
        <v>LAKI-LAKI</v>
      </c>
      <c r="P915" s="104" t="str">
        <f>IFNA(VLOOKUP(L915,'🙎‍♂️ Pasien'!G:V,12,FALSE),"")</f>
        <v>KATOLIK</v>
      </c>
      <c r="Q915" s="104" t="str">
        <f>IFNA(VLOOKUP(L915:L1508,'🙎‍♂️ Pasien'!G:V,13,FALSE),"")</f>
        <v>SALES</v>
      </c>
      <c r="R915" s="104" t="str">
        <f t="array" ref="R915">ifna(xlookup(L915,'🙎‍♂️ Pasien'!$G$5:$G1508,'🙎‍♂️ Pasien'!$T$5:$T1508),"")</f>
        <v>TENDON ACHILES</v>
      </c>
      <c r="S915" s="104" t="str">
        <f t="array" ref="S915">ifna(xlookup(L915,'🙎‍♂️ Pasien'!$G$5:$G1508,'🙎‍♂️ Pasien'!$U$5:$U1508),"")</f>
        <v>BOLA</v>
      </c>
      <c r="T915" s="97" t="s">
        <v>59</v>
      </c>
      <c r="U915" s="105" t="s">
        <v>60</v>
      </c>
      <c r="V915" s="101"/>
      <c r="W915" s="106" t="b">
        <v>1</v>
      </c>
      <c r="X915" s="107"/>
      <c r="Y915" s="108"/>
    </row>
    <row r="916" ht="22.5" customHeight="1">
      <c r="A916" s="96"/>
      <c r="B916" s="97" t="s">
        <v>53</v>
      </c>
      <c r="C916" s="98" t="str">
        <f t="array" ref="C916">IFNA(XLOOKUP(J916,'⚙️ Pengaturan'!$H$5:$H1508,'⚙️ Pengaturan'!$I$5:$I1508),"")</f>
        <v>TIM Y</v>
      </c>
      <c r="D916" s="97" t="s">
        <v>86</v>
      </c>
      <c r="E916" s="99">
        <v>45985.0</v>
      </c>
      <c r="F916" s="100" t="str">
        <f t="shared" si="1"/>
        <v>2025</v>
      </c>
      <c r="G916" s="100" t="str">
        <f t="shared" si="2"/>
        <v>11Nov</v>
      </c>
      <c r="H916" s="100" t="str">
        <f t="shared" si="3"/>
        <v>Senin</v>
      </c>
      <c r="I916" s="97" t="s">
        <v>65</v>
      </c>
      <c r="J916" s="97" t="s">
        <v>107</v>
      </c>
      <c r="K916" s="97" t="s">
        <v>63</v>
      </c>
      <c r="L916" s="101" t="s">
        <v>543</v>
      </c>
      <c r="M916" s="102" t="str">
        <f>IFNA(VLOOKUP(L916,'🙎‍♂️ Pasien'!G:V,2,FALSE),"")</f>
        <v>A8725115557</v>
      </c>
      <c r="N916" s="103">
        <f>IFNA(VLOOKUP(L916,'🙎‍♂️ Pasien'!G:L,3,FALSE),"")</f>
        <v>38</v>
      </c>
      <c r="O916" s="104" t="str">
        <f>IFNA(VLOOKUP(L916,'🙎‍♂️ Pasien'!G:V,6,FALSE),"")</f>
        <v>PEREMPUAN</v>
      </c>
      <c r="P916" s="104" t="str">
        <f>IFNA(VLOOKUP(L916,'🙎‍♂️ Pasien'!G:V,12,FALSE),"")</f>
        <v>ISLAM</v>
      </c>
      <c r="Q916" s="104" t="str">
        <f>IFNA(VLOOKUP(L916:L1508,'🙎‍♂️ Pasien'!G:V,13,FALSE),"")</f>
        <v>KARYAWAN SWASTA</v>
      </c>
      <c r="R916" s="104" t="str">
        <f t="array" ref="R916">ifna(xlookup(L916,'🙎‍♂️ Pasien'!$G$5:$G1508,'🙎‍♂️ Pasien'!$T$5:$T1508),"")</f>
        <v>NYERI SAAT NARIK NAFAS DAN BERGERAK AREA RUSUK DEPAN HINGGA BELAKANG SEBELAH KANAN</v>
      </c>
      <c r="S916" s="104" t="str">
        <f t="array" ref="S916">ifna(xlookup(L916,'🙎‍♂️ Pasien'!$G$5:$G1508,'🙎‍♂️ Pasien'!$U$5:$U1508),"")</f>
        <v>SAAT INI SEDANG BATUK, OLAHRAGA THREADMIL DAN BULU TANGKIS BEBERAPA WAKTU INI</v>
      </c>
      <c r="T916" s="97" t="s">
        <v>59</v>
      </c>
      <c r="U916" s="105">
        <v>2.0</v>
      </c>
      <c r="V916" s="101"/>
      <c r="W916" s="106" t="b">
        <v>1</v>
      </c>
      <c r="X916" s="107"/>
      <c r="Y916" s="108"/>
    </row>
    <row r="917" ht="22.5" customHeight="1">
      <c r="A917" s="96"/>
      <c r="B917" s="97" t="s">
        <v>53</v>
      </c>
      <c r="C917" s="98" t="str">
        <f t="array" ref="C917">IFNA(XLOOKUP(J917,'⚙️ Pengaturan'!$H$5:$H1508,'⚙️ Pengaturan'!$I$5:$I1508),"")</f>
        <v>TIM Y</v>
      </c>
      <c r="D917" s="97" t="s">
        <v>86</v>
      </c>
      <c r="E917" s="99">
        <v>45985.0</v>
      </c>
      <c r="F917" s="100" t="str">
        <f t="shared" si="1"/>
        <v>2025</v>
      </c>
      <c r="G917" s="100" t="str">
        <f t="shared" si="2"/>
        <v>11Nov</v>
      </c>
      <c r="H917" s="100" t="str">
        <f t="shared" si="3"/>
        <v>Senin</v>
      </c>
      <c r="I917" s="97" t="s">
        <v>65</v>
      </c>
      <c r="J917" s="97" t="s">
        <v>88</v>
      </c>
      <c r="K917" s="97" t="s">
        <v>57</v>
      </c>
      <c r="L917" s="101" t="s">
        <v>570</v>
      </c>
      <c r="M917" s="102" t="str">
        <f>IFNA(VLOOKUP(L917,'🙎‍♂️ Pasien'!G:V,2,FALSE),"")</f>
        <v>F9625115501</v>
      </c>
      <c r="N917" s="103">
        <f>IFNA(VLOOKUP(L917,'🙎‍♂️ Pasien'!G:L,3,FALSE),"")</f>
        <v>30</v>
      </c>
      <c r="O917" s="104" t="str">
        <f>IFNA(VLOOKUP(L917,'🙎‍♂️ Pasien'!G:V,6,FALSE),"")</f>
        <v>LAKI-LAKI</v>
      </c>
      <c r="P917" s="104" t="str">
        <f>IFNA(VLOOKUP(L917,'🙎‍♂️ Pasien'!G:V,12,FALSE),"")</f>
        <v>ISLAM</v>
      </c>
      <c r="Q917" s="104" t="str">
        <f>IFNA(VLOOKUP(L917:L1508,'🙎‍♂️ Pasien'!G:V,13,FALSE),"")</f>
        <v>WIRASWASTA</v>
      </c>
      <c r="R917" s="104" t="str">
        <f t="array" ref="R917">ifna(xlookup(L917,'🙎‍♂️ Pasien'!$G$5:$G1508,'🙎‍♂️ Pasien'!$T$5:$T1508),"")</f>
        <v>SAKIT PINGGANG (AGAK INTENS DALAM BEBERAPA BULAN KEBELAKANG) , KADANG SUKE TIBA TIBA KESEMUTAN, PERGELANGAN TANGAN SEBELAH KANAN SERING SAKIT KARNA DULU PERNAH JATUHNSAAT MAIN MOTOR</v>
      </c>
      <c r="S917" s="104" t="str">
        <f t="array" ref="S917">ifna(xlookup(L917,'🙎‍♂️ Pasien'!$G$5:$G1508,'🙎‍♂️ Pasien'!$U$5:$U1508),"")</f>
        <v>PADEL,RUNNING, TOURING</v>
      </c>
      <c r="T917" s="97" t="s">
        <v>59</v>
      </c>
      <c r="U917" s="105" t="s">
        <v>60</v>
      </c>
      <c r="V917" s="101"/>
      <c r="W917" s="106" t="b">
        <v>1</v>
      </c>
      <c r="X917" s="107"/>
      <c r="Y917" s="108"/>
    </row>
    <row r="918" ht="22.5" customHeight="1">
      <c r="A918" s="96"/>
      <c r="B918" s="97" t="s">
        <v>53</v>
      </c>
      <c r="C918" s="98" t="str">
        <f t="array" ref="C918">IFNA(XLOOKUP(J918,'⚙️ Pengaturan'!$H$5:$H1508,'⚙️ Pengaturan'!$I$5:$I1508),"")</f>
        <v>TIM Y</v>
      </c>
      <c r="D918" s="97" t="s">
        <v>86</v>
      </c>
      <c r="E918" s="99">
        <v>45985.0</v>
      </c>
      <c r="F918" s="100" t="str">
        <f t="shared" si="1"/>
        <v>2025</v>
      </c>
      <c r="G918" s="100" t="str">
        <f t="shared" si="2"/>
        <v>11Nov</v>
      </c>
      <c r="H918" s="100" t="str">
        <f t="shared" si="3"/>
        <v>Senin</v>
      </c>
      <c r="I918" s="97" t="s">
        <v>74</v>
      </c>
      <c r="J918" s="97" t="s">
        <v>107</v>
      </c>
      <c r="K918" s="97" t="s">
        <v>63</v>
      </c>
      <c r="L918" s="101" t="s">
        <v>452</v>
      </c>
      <c r="M918" s="102" t="str">
        <f>IFNA(VLOOKUP(L918,'🙎‍♂️ Pasien'!G:V,2,FALSE),"")</f>
        <v>E8625112448</v>
      </c>
      <c r="N918" s="103">
        <f>IFNA(VLOOKUP(L918,'🙎‍♂️ Pasien'!G:L,3,FALSE),"")</f>
        <v>40</v>
      </c>
      <c r="O918" s="104" t="str">
        <f>IFNA(VLOOKUP(L918,'🙎‍♂️ Pasien'!G:V,6,FALSE),"")</f>
        <v>PEREMPUAN</v>
      </c>
      <c r="P918" s="104" t="str">
        <f>IFNA(VLOOKUP(L918,'🙎‍♂️ Pasien'!G:V,12,FALSE),"")</f>
        <v>KATOLIK</v>
      </c>
      <c r="Q918" s="104" t="str">
        <f>IFNA(VLOOKUP(L918:L1508,'🙎‍♂️ Pasien'!G:V,13,FALSE),"")</f>
        <v>SWASTA</v>
      </c>
      <c r="R918" s="104" t="str">
        <f t="array" ref="R918">ifna(xlookup(L918,'🙎‍♂️ Pasien'!$G$5:$G1508,'🙎‍♂️ Pasien'!$T$5:$T1508),"")</f>
        <v>TENNIS ELBOW DAN KESELEO KAKI</v>
      </c>
      <c r="S918" s="104" t="str">
        <f t="array" ref="S918">ifna(xlookup(L918,'🙎‍♂️ Pasien'!$G$5:$G1508,'🙎‍♂️ Pasien'!$U$5:$U1508),"")</f>
        <v>MAIN TENNIS, PICKLE BALL DAN JALAN KAKI</v>
      </c>
      <c r="T918" s="97" t="s">
        <v>67</v>
      </c>
      <c r="U918" s="105">
        <v>3.0</v>
      </c>
      <c r="V918" s="101" t="s">
        <v>343</v>
      </c>
      <c r="W918" s="106" t="b">
        <v>1</v>
      </c>
      <c r="X918" s="107"/>
      <c r="Y918" s="108"/>
    </row>
    <row r="919" ht="22.5" customHeight="1">
      <c r="A919" s="96"/>
      <c r="B919" s="97" t="s">
        <v>53</v>
      </c>
      <c r="C919" s="98" t="str">
        <f t="array" ref="C919">IFNA(XLOOKUP(J919,'⚙️ Pengaturan'!$H$5:$H1508,'⚙️ Pengaturan'!$I$5:$I1508),"")</f>
        <v>TIM Y</v>
      </c>
      <c r="D919" s="97" t="s">
        <v>86</v>
      </c>
      <c r="E919" s="99">
        <v>45985.0</v>
      </c>
      <c r="F919" s="100" t="str">
        <f t="shared" si="1"/>
        <v>2025</v>
      </c>
      <c r="G919" s="100" t="str">
        <f t="shared" si="2"/>
        <v>11Nov</v>
      </c>
      <c r="H919" s="100" t="str">
        <f t="shared" si="3"/>
        <v>Senin</v>
      </c>
      <c r="I919" s="97" t="s">
        <v>74</v>
      </c>
      <c r="J919" s="97" t="s">
        <v>88</v>
      </c>
      <c r="K919" s="97" t="s">
        <v>69</v>
      </c>
      <c r="L919" s="101" t="s">
        <v>542</v>
      </c>
      <c r="M919" s="102" t="str">
        <f>IFNA(VLOOKUP(L919,'🙎‍♂️ Pasien'!G:V,2,FALSE),"")</f>
        <v>P0123123241</v>
      </c>
      <c r="N919" s="103">
        <f>IFNA(VLOOKUP(L919,'🙎‍♂️ Pasien'!G:L,3,FALSE),"")</f>
        <v>24</v>
      </c>
      <c r="O919" s="104" t="str">
        <f>IFNA(VLOOKUP(L919,'🙎‍♂️ Pasien'!G:V,6,FALSE),"")</f>
        <v>LAKI-LAKI</v>
      </c>
      <c r="P919" s="104" t="str">
        <f>IFNA(VLOOKUP(L919,'🙎‍♂️ Pasien'!G:V,12,FALSE),"")</f>
        <v>PROTESTAN</v>
      </c>
      <c r="Q919" s="104" t="str">
        <f>IFNA(VLOOKUP(L919:L1508,'🙎‍♂️ Pasien'!G:V,13,FALSE),"")</f>
        <v>TNI/POLRI</v>
      </c>
      <c r="R919" s="104" t="str">
        <f t="array" ref="R919">ifna(xlookup(L919,'🙎‍♂️ Pasien'!$G$5:$G1508,'🙎‍♂️ Pasien'!$T$5:$T1508),"")</f>
        <v>Ankle</v>
      </c>
      <c r="S919" s="104" t="str">
        <f t="array" ref="S919">ifna(xlookup(L919,'🙎‍♂️ Pasien'!$G$5:$G1508,'🙎‍♂️ Pasien'!$U$5:$U1508),"")</f>
        <v>Basket</v>
      </c>
      <c r="T919" s="97" t="s">
        <v>67</v>
      </c>
      <c r="U919" s="105" t="s">
        <v>60</v>
      </c>
      <c r="V919" s="101" t="s">
        <v>343</v>
      </c>
      <c r="W919" s="106" t="b">
        <v>1</v>
      </c>
      <c r="X919" s="107"/>
      <c r="Y919" s="108"/>
    </row>
    <row r="920" ht="22.5" customHeight="1">
      <c r="A920" s="96"/>
      <c r="B920" s="97" t="s">
        <v>53</v>
      </c>
      <c r="C920" s="98" t="str">
        <f t="array" ref="C920">IFNA(XLOOKUP(J920,'⚙️ Pengaturan'!$H$5:$H1508,'⚙️ Pengaturan'!$I$5:$I1508),"")</f>
        <v>TIM Y</v>
      </c>
      <c r="D920" s="97" t="s">
        <v>86</v>
      </c>
      <c r="E920" s="99">
        <v>45985.0</v>
      </c>
      <c r="F920" s="100" t="str">
        <f t="shared" si="1"/>
        <v>2025</v>
      </c>
      <c r="G920" s="100" t="str">
        <f t="shared" si="2"/>
        <v>11Nov</v>
      </c>
      <c r="H920" s="100" t="str">
        <f t="shared" si="3"/>
        <v>Senin</v>
      </c>
      <c r="I920" s="97" t="s">
        <v>74</v>
      </c>
      <c r="J920" s="97" t="s">
        <v>91</v>
      </c>
      <c r="K920" s="97" t="s">
        <v>57</v>
      </c>
      <c r="L920" s="101" t="s">
        <v>571</v>
      </c>
      <c r="M920" s="102" t="str">
        <f>IFNA(VLOOKUP(L920,'🙎‍♂️ Pasien'!G:V,2,FALSE),"")</f>
        <v>S9225116214</v>
      </c>
      <c r="N920" s="103">
        <f>IFNA(VLOOKUP(L920,'🙎‍♂️ Pasien'!G:L,3,FALSE),"")</f>
        <v>33</v>
      </c>
      <c r="O920" s="104" t="str">
        <f>IFNA(VLOOKUP(L920,'🙎‍♂️ Pasien'!G:V,6,FALSE),"")</f>
        <v>PEREMPUAN</v>
      </c>
      <c r="P920" s="104" t="str">
        <f>IFNA(VLOOKUP(L920,'🙎‍♂️ Pasien'!G:V,12,FALSE),"")</f>
        <v>ISLAM</v>
      </c>
      <c r="Q920" s="104" t="str">
        <f>IFNA(VLOOKUP(L920:L1508,'🙎‍♂️ Pasien'!G:V,13,FALSE),"")</f>
        <v>PNS</v>
      </c>
      <c r="R920" s="104" t="str">
        <f t="array" ref="R920">ifna(xlookup(L920,'🙎‍♂️ Pasien'!$G$5:$G1508,'🙎‍♂️ Pasien'!$T$5:$T1508),"")</f>
        <v>KAKI SEBELAH KIRI TERKILIR KARENA JATUH DARI TANGGA</v>
      </c>
      <c r="S920" s="104" t="str">
        <f t="array" ref="S920">ifna(xlookup(L920,'🙎‍♂️ Pasien'!$G$5:$G1508,'🙎‍♂️ Pasien'!$U$5:$U1508),"")</f>
        <v>BEKERJA</v>
      </c>
      <c r="T920" s="97" t="s">
        <v>59</v>
      </c>
      <c r="U920" s="105" t="s">
        <v>60</v>
      </c>
      <c r="V920" s="101"/>
      <c r="W920" s="106" t="b">
        <v>1</v>
      </c>
      <c r="X920" s="107"/>
      <c r="Y920" s="108"/>
    </row>
    <row r="921" ht="22.5" customHeight="1">
      <c r="A921" s="96"/>
      <c r="B921" s="97" t="s">
        <v>53</v>
      </c>
      <c r="C921" s="98" t="str">
        <f t="array" ref="C921">IFNA(XLOOKUP(J921,'⚙️ Pengaturan'!$H$5:$H1508,'⚙️ Pengaturan'!$I$5:$I1508),"")</f>
        <v>TIM Y</v>
      </c>
      <c r="D921" s="97" t="s">
        <v>86</v>
      </c>
      <c r="E921" s="99">
        <v>45985.0</v>
      </c>
      <c r="F921" s="100" t="str">
        <f t="shared" si="1"/>
        <v>2025</v>
      </c>
      <c r="G921" s="100" t="str">
        <f t="shared" si="2"/>
        <v>11Nov</v>
      </c>
      <c r="H921" s="100" t="str">
        <f t="shared" si="3"/>
        <v>Senin</v>
      </c>
      <c r="I921" s="97" t="s">
        <v>76</v>
      </c>
      <c r="J921" s="97" t="s">
        <v>91</v>
      </c>
      <c r="K921" s="97" t="s">
        <v>57</v>
      </c>
      <c r="L921" s="101" t="s">
        <v>572</v>
      </c>
      <c r="M921" s="102" t="str">
        <f>IFNA(VLOOKUP(L921,'🙎‍♂️ Pasien'!G:V,2,FALSE),"")</f>
        <v>J0525113412</v>
      </c>
      <c r="N921" s="103">
        <f>IFNA(VLOOKUP(L921,'🙎‍♂️ Pasien'!G:L,3,FALSE),"")</f>
        <v>21</v>
      </c>
      <c r="O921" s="104" t="str">
        <f>IFNA(VLOOKUP(L921,'🙎‍♂️ Pasien'!G:V,6,FALSE),"")</f>
        <v>LAKI-LAKI</v>
      </c>
      <c r="P921" s="104" t="str">
        <f>IFNA(VLOOKUP(L921,'🙎‍♂️ Pasien'!G:V,12,FALSE),"")</f>
        <v>KATOLIK</v>
      </c>
      <c r="Q921" s="104" t="str">
        <f>IFNA(VLOOKUP(L921:L1508,'🙎‍♂️ Pasien'!G:V,13,FALSE),"")</f>
        <v>WIRASWASTA</v>
      </c>
      <c r="R921" s="104" t="str">
        <f t="array" ref="R921">ifna(xlookup(L921,'🙎‍♂️ Pasien'!$G$5:$G1508,'🙎‍♂️ Pasien'!$T$5:$T1508),"")</f>
        <v>SAKIT DI PERGELANGAN TANGAN</v>
      </c>
      <c r="S921" s="104" t="str">
        <f t="array" ref="S921">ifna(xlookup(L921,'🙎‍♂️ Pasien'!$G$5:$G1508,'🙎‍♂️ Pasien'!$U$5:$U1508),"")</f>
        <v>OLAHRAGA</v>
      </c>
      <c r="T921" s="97" t="s">
        <v>59</v>
      </c>
      <c r="U921" s="105" t="s">
        <v>60</v>
      </c>
      <c r="V921" s="101"/>
      <c r="W921" s="106" t="b">
        <v>1</v>
      </c>
      <c r="X921" s="107"/>
      <c r="Y921" s="108"/>
    </row>
    <row r="922" ht="22.5" customHeight="1">
      <c r="A922" s="96"/>
      <c r="B922" s="97" t="s">
        <v>53</v>
      </c>
      <c r="C922" s="98" t="str">
        <f t="array" ref="C922">IFNA(XLOOKUP(J922,'⚙️ Pengaturan'!$H$5:$H1508,'⚙️ Pengaturan'!$I$5:$I1508),"")</f>
        <v>TIM Y</v>
      </c>
      <c r="D922" s="97" t="s">
        <v>86</v>
      </c>
      <c r="E922" s="99">
        <v>45985.0</v>
      </c>
      <c r="F922" s="100" t="str">
        <f t="shared" si="1"/>
        <v>2025</v>
      </c>
      <c r="G922" s="100" t="str">
        <f t="shared" si="2"/>
        <v>11Nov</v>
      </c>
      <c r="H922" s="100" t="str">
        <f t="shared" si="3"/>
        <v>Senin</v>
      </c>
      <c r="I922" s="97" t="s">
        <v>83</v>
      </c>
      <c r="J922" s="97" t="s">
        <v>107</v>
      </c>
      <c r="K922" s="97" t="s">
        <v>63</v>
      </c>
      <c r="L922" s="101" t="s">
        <v>477</v>
      </c>
      <c r="M922" s="102" t="str">
        <f>IFNA(VLOOKUP(L922,'🙎‍♂️ Pasien'!G:V,2,FALSE),"")</f>
        <v>F2525111598</v>
      </c>
      <c r="N922" s="103">
        <f>IFNA(VLOOKUP(L922,'🙎‍♂️ Pasien'!G:L,3,FALSE),"")</f>
        <v>0</v>
      </c>
      <c r="O922" s="104" t="str">
        <f>IFNA(VLOOKUP(L922,'🙎‍♂️ Pasien'!G:V,6,FALSE),"")</f>
        <v>PEREMPUAN</v>
      </c>
      <c r="P922" s="104" t="str">
        <f>IFNA(VLOOKUP(L922,'🙎‍♂️ Pasien'!G:V,12,FALSE),"")</f>
        <v>KATOLIK</v>
      </c>
      <c r="Q922" s="104" t="str">
        <f>IFNA(VLOOKUP(L922:L1508,'🙎‍♂️ Pasien'!G:V,13,FALSE),"")</f>
        <v>SWASTA</v>
      </c>
      <c r="R922" s="104" t="str">
        <f t="array" ref="R922">ifna(xlookup(L922,'🙎‍♂️ Pasien'!$G$5:$G1508,'🙎‍♂️ Pasien'!$T$5:$T1508),"")</f>
        <v>TANGAN SAKIT SEBELAH KANAN..</v>
      </c>
      <c r="S922" s="104" t="str">
        <f t="array" ref="S922">ifna(xlookup(L922,'🙎‍♂️ Pasien'!$G$5:$G1508,'🙎‍♂️ Pasien'!$U$5:$U1508),"")</f>
        <v>HABIS NGEJIM</v>
      </c>
      <c r="T922" s="97" t="s">
        <v>59</v>
      </c>
      <c r="U922" s="105">
        <v>4.0</v>
      </c>
      <c r="V922" s="101"/>
      <c r="W922" s="106" t="b">
        <v>1</v>
      </c>
      <c r="X922" s="107"/>
      <c r="Y922" s="108"/>
    </row>
    <row r="923" ht="22.5" customHeight="1">
      <c r="A923" s="96"/>
      <c r="B923" s="97" t="s">
        <v>85</v>
      </c>
      <c r="C923" s="98" t="str">
        <f t="array" ref="C923">IFNA(XLOOKUP(J923,'⚙️ Pengaturan'!$H$5:$H1508,'⚙️ Pengaturan'!$I$5:$I1508),"")</f>
        <v>TIM A</v>
      </c>
      <c r="D923" s="97" t="s">
        <v>54</v>
      </c>
      <c r="E923" s="99">
        <v>45985.0</v>
      </c>
      <c r="F923" s="100" t="str">
        <f t="shared" si="1"/>
        <v>2025</v>
      </c>
      <c r="G923" s="100" t="str">
        <f t="shared" si="2"/>
        <v>11Nov</v>
      </c>
      <c r="H923" s="100" t="str">
        <f t="shared" si="3"/>
        <v>Senin</v>
      </c>
      <c r="I923" s="97" t="s">
        <v>87</v>
      </c>
      <c r="J923" s="97" t="s">
        <v>72</v>
      </c>
      <c r="K923" s="97" t="s">
        <v>57</v>
      </c>
      <c r="L923" s="101" t="s">
        <v>573</v>
      </c>
      <c r="M923" s="102" t="str">
        <f>IFNA(VLOOKUP(L923,'🙎‍♂️ Pasien'!G:V,2,FALSE),"")</f>
        <v>D0725113899</v>
      </c>
      <c r="N923" s="103">
        <f>IFNA(VLOOKUP(L923,'🙎‍♂️ Pasien'!G:L,3,FALSE),"")</f>
        <v>18</v>
      </c>
      <c r="O923" s="104" t="str">
        <f>IFNA(VLOOKUP(L923,'🙎‍♂️ Pasien'!G:V,6,FALSE),"")</f>
        <v>PEREMPUAN</v>
      </c>
      <c r="P923" s="104" t="str">
        <f>IFNA(VLOOKUP(L923,'🙎‍♂️ Pasien'!G:V,12,FALSE),"")</f>
        <v>PROTESTAN</v>
      </c>
      <c r="Q923" s="104" t="str">
        <f>IFNA(VLOOKUP(L923:L1508,'🙎‍♂️ Pasien'!G:V,13,FALSE),"")</f>
        <v>MAHASISWA</v>
      </c>
      <c r="R923" s="104" t="str">
        <f t="array" ref="R923">ifna(xlookup(L923,'🙎‍♂️ Pasien'!$G$5:$G1508,'🙎‍♂️ Pasien'!$T$5:$T1508),"")</f>
        <v>KAKI X</v>
      </c>
      <c r="S923" s="104" t="str">
        <f t="array" ref="S923">ifna(xlookup(L923,'🙎‍♂️ Pasien'!$G$5:$G1508,'🙎‍♂️ Pasien'!$U$5:$U1508),"")</f>
        <v>LARI</v>
      </c>
      <c r="T923" s="97" t="s">
        <v>59</v>
      </c>
      <c r="U923" s="105" t="s">
        <v>60</v>
      </c>
      <c r="V923" s="101"/>
      <c r="W923" s="106" t="b">
        <v>1</v>
      </c>
      <c r="X923" s="107"/>
      <c r="Y923" s="108"/>
    </row>
    <row r="924" ht="22.5" customHeight="1">
      <c r="A924" s="96"/>
      <c r="B924" s="97" t="s">
        <v>85</v>
      </c>
      <c r="C924" s="98" t="str">
        <f t="array" ref="C924">IFNA(XLOOKUP(J924,'⚙️ Pengaturan'!$H$5:$H1508,'⚙️ Pengaturan'!$I$5:$I1508),"")</f>
        <v>TIM A</v>
      </c>
      <c r="D924" s="97" t="s">
        <v>54</v>
      </c>
      <c r="E924" s="99">
        <v>45985.0</v>
      </c>
      <c r="F924" s="100" t="str">
        <f t="shared" si="1"/>
        <v>2025</v>
      </c>
      <c r="G924" s="100" t="str">
        <f t="shared" si="2"/>
        <v>11Nov</v>
      </c>
      <c r="H924" s="100" t="str">
        <f t="shared" si="3"/>
        <v>Senin</v>
      </c>
      <c r="I924" s="97" t="s">
        <v>87</v>
      </c>
      <c r="J924" s="97" t="s">
        <v>79</v>
      </c>
      <c r="K924" s="97" t="s">
        <v>63</v>
      </c>
      <c r="L924" s="101" t="s">
        <v>241</v>
      </c>
      <c r="M924" s="102" t="str">
        <f>IFNA(VLOOKUP(L924,'🙎‍♂️ Pasien'!G:V,2,FALSE),"")</f>
        <v>M0025084349</v>
      </c>
      <c r="N924" s="103">
        <f>IFNA(VLOOKUP(L924,'🙎‍♂️ Pasien'!G:L,3,FALSE),"")</f>
        <v>26</v>
      </c>
      <c r="O924" s="104" t="str">
        <f>IFNA(VLOOKUP(L924,'🙎‍♂️ Pasien'!G:V,6,FALSE),"")</f>
        <v>PEREMPUAN</v>
      </c>
      <c r="P924" s="104" t="str">
        <f>IFNA(VLOOKUP(L924,'🙎‍♂️ Pasien'!G:V,12,FALSE),"")</f>
        <v>ISLAM</v>
      </c>
      <c r="Q924" s="104" t="str">
        <f>IFNA(VLOOKUP(L924:L1508,'🙎‍♂️ Pasien'!G:V,13,FALSE),"")</f>
        <v>KARYAWAN SWASTA</v>
      </c>
      <c r="R924" s="104" t="str">
        <f t="array" ref="R924">ifna(xlookup(L924,'🙎‍♂️ Pasien'!$G$5:$G1508,'🙎‍♂️ Pasien'!$T$5:$T1508),"")</f>
        <v>KAKI KIRI TIDAK BISA DITEKUK DAN TIDAK BISA JONGKOK AKIBAT KECELAKAAN</v>
      </c>
      <c r="S924" s="104" t="str">
        <f t="array" ref="S924">ifna(xlookup(L924,'🙎‍♂️ Pasien'!$G$5:$G1508,'🙎‍♂️ Pasien'!$U$5:$U1508),"")</f>
        <v>TIDAK BISA BAB/BAK POSISI JONGKOK, DAN SHOLAT DUDUK (TIDAK BISA SHOLAT NORMAL), NAIK TURUN TANGGA AGAK SULIT</v>
      </c>
      <c r="T924" s="97" t="s">
        <v>59</v>
      </c>
      <c r="U924" s="105">
        <v>4.0</v>
      </c>
      <c r="V924" s="101"/>
      <c r="W924" s="106" t="b">
        <v>1</v>
      </c>
      <c r="X924" s="107"/>
      <c r="Y924" s="108"/>
    </row>
    <row r="925" ht="22.5" customHeight="1">
      <c r="A925" s="96"/>
      <c r="B925" s="97" t="s">
        <v>85</v>
      </c>
      <c r="C925" s="98" t="str">
        <f t="array" ref="C925">IFNA(XLOOKUP(J925,'⚙️ Pengaturan'!$H$5:$H1508,'⚙️ Pengaturan'!$I$5:$I1508),"")</f>
        <v>TIM A</v>
      </c>
      <c r="D925" s="97" t="s">
        <v>54</v>
      </c>
      <c r="E925" s="99">
        <v>45985.0</v>
      </c>
      <c r="F925" s="100" t="str">
        <f t="shared" si="1"/>
        <v>2025</v>
      </c>
      <c r="G925" s="100" t="str">
        <f t="shared" si="2"/>
        <v>11Nov</v>
      </c>
      <c r="H925" s="100" t="str">
        <f t="shared" si="3"/>
        <v>Senin</v>
      </c>
      <c r="I925" s="97" t="s">
        <v>93</v>
      </c>
      <c r="J925" s="97" t="s">
        <v>72</v>
      </c>
      <c r="K925" s="97" t="s">
        <v>63</v>
      </c>
      <c r="L925" s="101" t="s">
        <v>546</v>
      </c>
      <c r="M925" s="102" t="str">
        <f>IFNA(VLOOKUP(L925,'🙎‍♂️ Pasien'!G:V,2,FALSE),"")</f>
        <v/>
      </c>
      <c r="N925" s="103" t="str">
        <f>IFNA(VLOOKUP(L925,'🙎‍♂️ Pasien'!G:L,3,FALSE),"")</f>
        <v/>
      </c>
      <c r="O925" s="104" t="str">
        <f>IFNA(VLOOKUP(L925,'🙎‍♂️ Pasien'!G:V,6,FALSE),"")</f>
        <v/>
      </c>
      <c r="P925" s="104" t="str">
        <f>IFNA(VLOOKUP(L925,'🙎‍♂️ Pasien'!G:V,12,FALSE),"")</f>
        <v/>
      </c>
      <c r="Q925" s="104" t="str">
        <f>IFNA(VLOOKUP(L925:L1508,'🙎‍♂️ Pasien'!G:V,13,FALSE),"")</f>
        <v/>
      </c>
      <c r="R925" s="104" t="str">
        <f t="array" ref="R925">ifna(xlookup(L925,'🙎‍♂️ Pasien'!$G$5:$G1508,'🙎‍♂️ Pasien'!$T$5:$T1508),"")</f>
        <v/>
      </c>
      <c r="S925" s="104" t="str">
        <f t="array" ref="S925">ifna(xlookup(L925,'🙎‍♂️ Pasien'!$G$5:$G1508,'🙎‍♂️ Pasien'!$U$5:$U1508),"")</f>
        <v/>
      </c>
      <c r="T925" s="97" t="s">
        <v>59</v>
      </c>
      <c r="U925" s="105">
        <v>3.0</v>
      </c>
      <c r="V925" s="101"/>
      <c r="W925" s="106" t="b">
        <v>1</v>
      </c>
      <c r="X925" s="107"/>
      <c r="Y925" s="108"/>
    </row>
    <row r="926" ht="22.5" customHeight="1">
      <c r="A926" s="96"/>
      <c r="B926" s="97" t="s">
        <v>85</v>
      </c>
      <c r="C926" s="98" t="str">
        <f t="array" ref="C926">IFNA(XLOOKUP(J926,'⚙️ Pengaturan'!$H$5:$H1508,'⚙️ Pengaturan'!$I$5:$I1508),"")</f>
        <v>TIM A</v>
      </c>
      <c r="D926" s="97" t="s">
        <v>54</v>
      </c>
      <c r="E926" s="99">
        <v>45985.0</v>
      </c>
      <c r="F926" s="100" t="str">
        <f t="shared" si="1"/>
        <v>2025</v>
      </c>
      <c r="G926" s="100" t="str">
        <f t="shared" si="2"/>
        <v>11Nov</v>
      </c>
      <c r="H926" s="100" t="str">
        <f t="shared" si="3"/>
        <v>Senin</v>
      </c>
      <c r="I926" s="97" t="s">
        <v>93</v>
      </c>
      <c r="J926" s="97" t="s">
        <v>79</v>
      </c>
      <c r="K926" s="97" t="s">
        <v>69</v>
      </c>
      <c r="L926" s="101" t="s">
        <v>554</v>
      </c>
      <c r="M926" s="102" t="str">
        <f>IFNA(VLOOKUP(L926,'🙎‍♂️ Pasien'!G:V,2,FALSE),"")</f>
        <v>J0825113594</v>
      </c>
      <c r="N926" s="103">
        <f>IFNA(VLOOKUP(L926,'🙎‍♂️ Pasien'!G:L,3,FALSE),"")</f>
        <v>18</v>
      </c>
      <c r="O926" s="104" t="str">
        <f>IFNA(VLOOKUP(L926,'🙎‍♂️ Pasien'!G:V,6,FALSE),"")</f>
        <v>LAKI-LAKI</v>
      </c>
      <c r="P926" s="104" t="str">
        <f>IFNA(VLOOKUP(L926,'🙎‍♂️ Pasien'!G:V,12,FALSE),"")</f>
        <v>BUDDHA</v>
      </c>
      <c r="Q926" s="104" t="str">
        <f>IFNA(VLOOKUP(L926:L1508,'🙎‍♂️ Pasien'!G:V,13,FALSE),"")</f>
        <v>PELAJAR</v>
      </c>
      <c r="R926" s="104" t="str">
        <f t="array" ref="R926">ifna(xlookup(L926,'🙎‍♂️ Pasien'!$G$5:$G1508,'🙎‍♂️ Pasien'!$T$5:$T1508),"")</f>
        <v>KESELEO</v>
      </c>
      <c r="S926" s="104" t="str">
        <f t="array" ref="S926">ifna(xlookup(L926,'🙎‍♂️ Pasien'!$G$5:$G1508,'🙎‍♂️ Pasien'!$U$5:$U1508),"")</f>
        <v>BASKET</v>
      </c>
      <c r="T926" s="97" t="s">
        <v>59</v>
      </c>
      <c r="U926" s="105" t="s">
        <v>60</v>
      </c>
      <c r="V926" s="101"/>
      <c r="W926" s="106" t="b">
        <v>1</v>
      </c>
      <c r="X926" s="107"/>
      <c r="Y926" s="108"/>
    </row>
    <row r="927" ht="22.5" customHeight="1">
      <c r="A927" s="96"/>
      <c r="B927" s="97" t="s">
        <v>85</v>
      </c>
      <c r="C927" s="98" t="str">
        <f t="array" ref="C927">IFNA(XLOOKUP(J927,'⚙️ Pengaturan'!$H$5:$H1508,'⚙️ Pengaturan'!$I$5:$I1508),"")</f>
        <v>TIM A</v>
      </c>
      <c r="D927" s="97" t="s">
        <v>54</v>
      </c>
      <c r="E927" s="99">
        <v>45985.0</v>
      </c>
      <c r="F927" s="100" t="str">
        <f t="shared" si="1"/>
        <v>2025</v>
      </c>
      <c r="G927" s="100" t="str">
        <f t="shared" si="2"/>
        <v>11Nov</v>
      </c>
      <c r="H927" s="100" t="str">
        <f t="shared" si="3"/>
        <v>Senin</v>
      </c>
      <c r="I927" s="97" t="s">
        <v>93</v>
      </c>
      <c r="J927" s="97" t="s">
        <v>72</v>
      </c>
      <c r="K927" s="97" t="s">
        <v>69</v>
      </c>
      <c r="L927" s="101" t="s">
        <v>366</v>
      </c>
      <c r="M927" s="102" t="str">
        <f>IFNA(VLOOKUP(L927,'🙎‍♂️ Pasien'!G:V,2,FALSE),"")</f>
        <v>S0825106969</v>
      </c>
      <c r="N927" s="103">
        <f>IFNA(VLOOKUP(L927,'🙎‍♂️ Pasien'!G:L,3,FALSE),"")</f>
        <v>17</v>
      </c>
      <c r="O927" s="104" t="str">
        <f>IFNA(VLOOKUP(L927,'🙎‍♂️ Pasien'!G:V,6,FALSE),"")</f>
        <v>PEREMPUAN</v>
      </c>
      <c r="P927" s="104" t="str">
        <f>IFNA(VLOOKUP(L927,'🙎‍♂️ Pasien'!G:V,12,FALSE),"")</f>
        <v>KATOLIK</v>
      </c>
      <c r="Q927" s="104" t="str">
        <f>IFNA(VLOOKUP(L927:L1508,'🙎‍♂️ Pasien'!G:V,13,FALSE),"")</f>
        <v>PELAJAR</v>
      </c>
      <c r="R927" s="104" t="str">
        <f t="array" ref="R927">ifna(xlookup(L927,'🙎‍♂️ Pasien'!$G$5:$G1508,'🙎‍♂️ Pasien'!$T$5:$T1508),"")</f>
        <v>KAKI PANJANG PENDEK, SERING SAKIT DI BAGIAN PUNGGUNG BAWAH</v>
      </c>
      <c r="S927" s="104" t="str">
        <f t="array" ref="S927">ifna(xlookup(L927,'🙎‍♂️ Pasien'!$G$5:$G1508,'🙎‍♂️ Pasien'!$U$5:$U1508),"")</f>
        <v>MUAY THAI (BARU BARU INI), GYM (DARI BBRP BULAN LALU), DANCE (SEJAK LAMA UDH DANCE)</v>
      </c>
      <c r="T927" s="97" t="s">
        <v>67</v>
      </c>
      <c r="U927" s="105" t="s">
        <v>60</v>
      </c>
      <c r="V927" s="101" t="s">
        <v>308</v>
      </c>
      <c r="W927" s="106" t="b">
        <v>1</v>
      </c>
      <c r="X927" s="107"/>
      <c r="Y927" s="108"/>
    </row>
    <row r="928" ht="22.5" customHeight="1">
      <c r="A928" s="96"/>
      <c r="B928" s="97" t="s">
        <v>85</v>
      </c>
      <c r="C928" s="98" t="str">
        <f t="array" ref="C928">IFNA(XLOOKUP(J928,'⚙️ Pengaturan'!$H$5:$H1508,'⚙️ Pengaturan'!$I$5:$I1508),"")</f>
        <v>TIM A</v>
      </c>
      <c r="D928" s="97" t="s">
        <v>54</v>
      </c>
      <c r="E928" s="99">
        <v>45985.0</v>
      </c>
      <c r="F928" s="100" t="str">
        <f t="shared" si="1"/>
        <v>2025</v>
      </c>
      <c r="G928" s="100" t="str">
        <f t="shared" si="2"/>
        <v>11Nov</v>
      </c>
      <c r="H928" s="100" t="str">
        <f t="shared" si="3"/>
        <v>Senin</v>
      </c>
      <c r="I928" s="97" t="s">
        <v>95</v>
      </c>
      <c r="J928" s="97" t="s">
        <v>72</v>
      </c>
      <c r="K928" s="97" t="s">
        <v>63</v>
      </c>
      <c r="L928" s="101" t="s">
        <v>381</v>
      </c>
      <c r="M928" s="102" t="str">
        <f>IFNA(VLOOKUP(L928,'🙎‍♂️ Pasien'!G:V,2,FALSE),"")</f>
        <v>A9925105509</v>
      </c>
      <c r="N928" s="103">
        <f>IFNA(VLOOKUP(L928,'🙎‍♂️ Pasien'!G:L,3,FALSE),"")</f>
        <v>27</v>
      </c>
      <c r="O928" s="104" t="str">
        <f>IFNA(VLOOKUP(L928,'🙎‍♂️ Pasien'!G:V,6,FALSE),"")</f>
        <v>PEREMPUAN</v>
      </c>
      <c r="P928" s="104" t="str">
        <f>IFNA(VLOOKUP(L928,'🙎‍♂️ Pasien'!G:V,12,FALSE),"")</f>
        <v>BUDDHA</v>
      </c>
      <c r="Q928" s="104" t="str">
        <f>IFNA(VLOOKUP(L928:L1508,'🙎‍♂️ Pasien'!G:V,13,FALSE),"")</f>
        <v>WIRASWASTA</v>
      </c>
      <c r="R928" s="104" t="str">
        <f t="array" ref="R928">ifna(xlookup(L928,'🙎‍♂️ Pasien'!$G$5:$G1508,'🙎‍♂️ Pasien'!$T$5:$T1508),"")</f>
        <v>KAKI BEKAS ANKLE SPRAIN SUDAH DITRE DAN BAHU PEGAL</v>
      </c>
      <c r="S928" s="104" t="str">
        <f t="array" ref="S928">ifna(xlookup(L928,'🙎‍♂️ Pasien'!$G$5:$G1508,'🙎‍♂️ Pasien'!$U$5:$U1508),"")</f>
        <v>2 MINGGU LALU JATUH DARI KETINGGIAN</v>
      </c>
      <c r="T928" s="97" t="s">
        <v>59</v>
      </c>
      <c r="U928" s="105">
        <v>3.0</v>
      </c>
      <c r="V928" s="101"/>
      <c r="W928" s="106" t="b">
        <v>1</v>
      </c>
      <c r="X928" s="107"/>
      <c r="Y928" s="108"/>
    </row>
    <row r="929" ht="22.5" customHeight="1">
      <c r="A929" s="96"/>
      <c r="B929" s="97" t="s">
        <v>85</v>
      </c>
      <c r="C929" s="98" t="str">
        <f t="array" ref="C929">IFNA(XLOOKUP(J929,'⚙️ Pengaturan'!$H$5:$H1508,'⚙️ Pengaturan'!$I$5:$I1508),"")</f>
        <v>TIM A</v>
      </c>
      <c r="D929" s="97" t="s">
        <v>54</v>
      </c>
      <c r="E929" s="99">
        <v>45985.0</v>
      </c>
      <c r="F929" s="100" t="str">
        <f t="shared" si="1"/>
        <v>2025</v>
      </c>
      <c r="G929" s="100" t="str">
        <f t="shared" si="2"/>
        <v>11Nov</v>
      </c>
      <c r="H929" s="100" t="str">
        <f t="shared" si="3"/>
        <v>Senin</v>
      </c>
      <c r="I929" s="97" t="s">
        <v>95</v>
      </c>
      <c r="J929" s="97" t="s">
        <v>79</v>
      </c>
      <c r="K929" s="97" t="s">
        <v>57</v>
      </c>
      <c r="L929" s="101" t="s">
        <v>574</v>
      </c>
      <c r="M929" s="102" t="str">
        <f>IFNA(VLOOKUP(L929,'🙎‍♂️ Pasien'!G:V,2,FALSE),"")</f>
        <v>E7325114705</v>
      </c>
      <c r="N929" s="103">
        <f>IFNA(VLOOKUP(L929,'🙎‍♂️ Pasien'!G:L,3,FALSE),"")</f>
        <v>53</v>
      </c>
      <c r="O929" s="104" t="str">
        <f>IFNA(VLOOKUP(L929,'🙎‍♂️ Pasien'!G:V,6,FALSE),"")</f>
        <v>PEREMPUAN</v>
      </c>
      <c r="P929" s="104" t="str">
        <f>IFNA(VLOOKUP(L929,'🙎‍♂️ Pasien'!G:V,12,FALSE),"")</f>
        <v>KATOLIK</v>
      </c>
      <c r="Q929" s="104" t="str">
        <f>IFNA(VLOOKUP(L929:L1508,'🙎‍♂️ Pasien'!G:V,13,FALSE),"")</f>
        <v>PNS</v>
      </c>
      <c r="R929" s="104" t="str">
        <f t="array" ref="R929">ifna(xlookup(L929,'🙎‍♂️ Pasien'!$G$5:$G1508,'🙎‍♂️ Pasien'!$T$5:$T1508),"")</f>
        <v>SERING SAKIT PINGGANG. NYERI TULANG EKOR (SETIAP SAAT), TERUTAMA SETELAH AKTIVITAS (MISAL JOGGING, JALAN, DUDUK). TUMIT KIRI SAKIT KETIKA BERJALAN. BAHU PUNGGUNG ATAS TERASA KAKU.</v>
      </c>
      <c r="S929" s="104" t="str">
        <f t="array" ref="S929">ifna(xlookup(L929,'🙎‍♂️ Pasien'!$G$5:$G1508,'🙎‍♂️ Pasien'!$U$5:$U1508),"")</f>
        <v>DUDUK LAMA DI DEPAN KOMPUTER. JALAN/TREADMILL</v>
      </c>
      <c r="T929" s="97" t="s">
        <v>59</v>
      </c>
      <c r="U929" s="105" t="s">
        <v>60</v>
      </c>
      <c r="V929" s="101"/>
      <c r="W929" s="106" t="b">
        <v>1</v>
      </c>
      <c r="X929" s="107"/>
      <c r="Y929" s="108"/>
    </row>
    <row r="930" ht="22.5" customHeight="1">
      <c r="A930" s="96"/>
      <c r="B930" s="97" t="s">
        <v>85</v>
      </c>
      <c r="C930" s="98" t="str">
        <f t="array" ref="C930">IFNA(XLOOKUP(J930,'⚙️ Pengaturan'!$H$5:$H1508,'⚙️ Pengaturan'!$I$5:$I1508),"")</f>
        <v>TIM A</v>
      </c>
      <c r="D930" s="97" t="s">
        <v>54</v>
      </c>
      <c r="E930" s="99">
        <v>45985.0</v>
      </c>
      <c r="F930" s="100" t="str">
        <f t="shared" si="1"/>
        <v>2025</v>
      </c>
      <c r="G930" s="100" t="str">
        <f t="shared" si="2"/>
        <v>11Nov</v>
      </c>
      <c r="H930" s="100" t="str">
        <f t="shared" si="3"/>
        <v>Senin</v>
      </c>
      <c r="I930" s="97" t="s">
        <v>97</v>
      </c>
      <c r="J930" s="97" t="s">
        <v>79</v>
      </c>
      <c r="K930" s="97" t="s">
        <v>63</v>
      </c>
      <c r="L930" s="101" t="s">
        <v>326</v>
      </c>
      <c r="M930" s="102" t="str">
        <f>IFNA(VLOOKUP(L930,'🙎‍♂️ Pasien'!G:V,2,FALSE),"")</f>
        <v>A1423086916</v>
      </c>
      <c r="N930" s="103">
        <f>IFNA(VLOOKUP(L930,'🙎‍♂️ Pasien'!G:L,3,FALSE),"")</f>
        <v>11</v>
      </c>
      <c r="O930" s="104" t="str">
        <f>IFNA(VLOOKUP(L930,'🙎‍♂️ Pasien'!G:V,6,FALSE),"")</f>
        <v>LAKI-LAKI</v>
      </c>
      <c r="P930" s="104" t="str">
        <f>IFNA(VLOOKUP(L930,'🙎‍♂️ Pasien'!G:V,12,FALSE),"")</f>
        <v>ISLAM</v>
      </c>
      <c r="Q930" s="104" t="str">
        <f>IFNA(VLOOKUP(L930:L1508,'🙎‍♂️ Pasien'!G:V,13,FALSE),"")</f>
        <v>PELAJAR/MAHASISWA</v>
      </c>
      <c r="R930" s="104" t="str">
        <f t="array" ref="R930">ifna(xlookup(L930,'🙎‍♂️ Pasien'!$G$5:$G1508,'🙎‍♂️ Pasien'!$T$5:$T1508),"")</f>
        <v>ANKLE KAKI KANAN</v>
      </c>
      <c r="S930" s="104" t="str">
        <f t="array" ref="S930">ifna(xlookup(L930,'🙎‍♂️ Pasien'!$G$5:$G1508,'🙎‍♂️ Pasien'!$U$5:$U1508),"")</f>
        <v>BOLA</v>
      </c>
      <c r="T930" s="97" t="s">
        <v>67</v>
      </c>
      <c r="U930" s="105">
        <v>2.0</v>
      </c>
      <c r="V930" s="101" t="s">
        <v>575</v>
      </c>
      <c r="W930" s="106" t="b">
        <v>1</v>
      </c>
      <c r="X930" s="107"/>
      <c r="Y930" s="108"/>
    </row>
    <row r="931" ht="22.5" customHeight="1">
      <c r="A931" s="96"/>
      <c r="B931" s="97" t="s">
        <v>85</v>
      </c>
      <c r="C931" s="98" t="str">
        <f t="array" ref="C931">IFNA(XLOOKUP(J931,'⚙️ Pengaturan'!$H$5:$H1508,'⚙️ Pengaturan'!$I$5:$I1508),"")</f>
        <v>TIM A</v>
      </c>
      <c r="D931" s="97" t="s">
        <v>54</v>
      </c>
      <c r="E931" s="99">
        <v>45985.0</v>
      </c>
      <c r="F931" s="100" t="str">
        <f t="shared" si="1"/>
        <v>2025</v>
      </c>
      <c r="G931" s="100" t="str">
        <f t="shared" si="2"/>
        <v>11Nov</v>
      </c>
      <c r="H931" s="100" t="str">
        <f t="shared" si="3"/>
        <v>Senin</v>
      </c>
      <c r="I931" s="97" t="s">
        <v>97</v>
      </c>
      <c r="J931" s="97" t="s">
        <v>72</v>
      </c>
      <c r="K931" s="97" t="s">
        <v>63</v>
      </c>
      <c r="L931" s="101" t="s">
        <v>474</v>
      </c>
      <c r="M931" s="102" t="str">
        <f>IFNA(VLOOKUP(L931,'🙎‍♂️ Pasien'!G:V,2,FALSE),"")</f>
        <v>M5325110126</v>
      </c>
      <c r="N931" s="103">
        <f>IFNA(VLOOKUP(L931,'🙎‍♂️ Pasien'!G:L,3,FALSE),"")</f>
        <v>73</v>
      </c>
      <c r="O931" s="104" t="str">
        <f>IFNA(VLOOKUP(L931,'🙎‍♂️ Pasien'!G:V,6,FALSE),"")</f>
        <v>PEREMPUAN</v>
      </c>
      <c r="P931" s="104" t="str">
        <f>IFNA(VLOOKUP(L931,'🙎‍♂️ Pasien'!G:V,12,FALSE),"")</f>
        <v>KATOLIK</v>
      </c>
      <c r="Q931" s="104" t="str">
        <f>IFNA(VLOOKUP(L931:L1508,'🙎‍♂️ Pasien'!G:V,13,FALSE),"")</f>
        <v>IBU RUMAH TANGGA</v>
      </c>
      <c r="R931" s="104" t="str">
        <f t="array" ref="R931">ifna(xlookup(L931,'🙎‍♂️ Pasien'!$G$5:$G1508,'🙎‍♂️ Pasien'!$T$5:$T1508),"")</f>
        <v>SAKIT &amp; SUSAH GERAK PAKA LUTUT</v>
      </c>
      <c r="S931" s="104" t="str">
        <f t="array" ref="S931">ifna(xlookup(L931,'🙎‍♂️ Pasien'!$G$5:$G1508,'🙎‍♂️ Pasien'!$U$5:$U1508),"")</f>
        <v>AKTIVITAS RUMAH TANGGA</v>
      </c>
      <c r="T931" s="97" t="s">
        <v>59</v>
      </c>
      <c r="U931" s="105">
        <v>2.0</v>
      </c>
      <c r="V931" s="101"/>
      <c r="W931" s="106" t="b">
        <v>1</v>
      </c>
      <c r="X931" s="107"/>
      <c r="Y931" s="108"/>
    </row>
    <row r="932" ht="22.5" customHeight="1">
      <c r="A932" s="96"/>
      <c r="B932" s="97" t="s">
        <v>85</v>
      </c>
      <c r="C932" s="98" t="str">
        <f t="array" ref="C932">IFNA(XLOOKUP(J932,'⚙️ Pengaturan'!$H$5:$H1508,'⚙️ Pengaturan'!$I$5:$I1508),"")</f>
        <v>TIM A</v>
      </c>
      <c r="D932" s="97" t="s">
        <v>54</v>
      </c>
      <c r="E932" s="99">
        <v>45985.0</v>
      </c>
      <c r="F932" s="100" t="str">
        <f t="shared" si="1"/>
        <v>2025</v>
      </c>
      <c r="G932" s="100" t="str">
        <f t="shared" si="2"/>
        <v>11Nov</v>
      </c>
      <c r="H932" s="100" t="str">
        <f t="shared" si="3"/>
        <v>Senin</v>
      </c>
      <c r="I932" s="97" t="s">
        <v>99</v>
      </c>
      <c r="J932" s="97" t="s">
        <v>79</v>
      </c>
      <c r="K932" s="97" t="s">
        <v>63</v>
      </c>
      <c r="L932" s="101" t="s">
        <v>540</v>
      </c>
      <c r="M932" s="102" t="str">
        <f>IFNA(VLOOKUP(L932,'🙎‍♂️ Pasien'!G:V,2,FALSE),"")</f>
        <v>A9425110177</v>
      </c>
      <c r="N932" s="103">
        <f>IFNA(VLOOKUP(L932,'🙎‍♂️ Pasien'!G:L,3,FALSE),"")</f>
        <v>31</v>
      </c>
      <c r="O932" s="104" t="str">
        <f>IFNA(VLOOKUP(L932,'🙎‍♂️ Pasien'!G:V,6,FALSE),"")</f>
        <v>LAKI-LAKI</v>
      </c>
      <c r="P932" s="104" t="str">
        <f>IFNA(VLOOKUP(L932,'🙎‍♂️ Pasien'!G:V,12,FALSE),"")</f>
        <v>KATOLIK</v>
      </c>
      <c r="Q932" s="104" t="str">
        <f>IFNA(VLOOKUP(L932:L1508,'🙎‍♂️ Pasien'!G:V,13,FALSE),"")</f>
        <v>-</v>
      </c>
      <c r="R932" s="104" t="str">
        <f t="array" ref="R932">ifna(xlookup(L932,'🙎‍♂️ Pasien'!$G$5:$G1508,'🙎‍♂️ Pasien'!$T$5:$T1508),"")</f>
        <v>PASCA OPERASI ACL</v>
      </c>
      <c r="S932" s="104" t="str">
        <f t="array" ref="S932">ifna(xlookup(L932,'🙎‍♂️ Pasien'!$G$5:$G1508,'🙎‍♂️ Pasien'!$U$5:$U1508),"")</f>
        <v>-</v>
      </c>
      <c r="T932" s="97" t="s">
        <v>59</v>
      </c>
      <c r="U932" s="105">
        <v>2.0</v>
      </c>
      <c r="V932" s="101"/>
      <c r="W932" s="106" t="b">
        <v>1</v>
      </c>
      <c r="X932" s="107"/>
      <c r="Y932" s="108"/>
    </row>
    <row r="933" ht="22.5" customHeight="1">
      <c r="A933" s="96"/>
      <c r="B933" s="97" t="s">
        <v>85</v>
      </c>
      <c r="C933" s="98" t="str">
        <f t="array" ref="C933">IFNA(XLOOKUP(J933,'⚙️ Pengaturan'!$H$5:$H1508,'⚙️ Pengaturan'!$I$5:$I1508),"")</f>
        <v>TIM A</v>
      </c>
      <c r="D933" s="97" t="s">
        <v>54</v>
      </c>
      <c r="E933" s="99">
        <v>45985.0</v>
      </c>
      <c r="F933" s="100" t="str">
        <f t="shared" si="1"/>
        <v>2025</v>
      </c>
      <c r="G933" s="100" t="str">
        <f t="shared" si="2"/>
        <v>11Nov</v>
      </c>
      <c r="H933" s="100" t="str">
        <f t="shared" si="3"/>
        <v>Senin</v>
      </c>
      <c r="I933" s="97" t="s">
        <v>99</v>
      </c>
      <c r="J933" s="97" t="s">
        <v>62</v>
      </c>
      <c r="K933" s="97" t="s">
        <v>63</v>
      </c>
      <c r="L933" s="101" t="s">
        <v>532</v>
      </c>
      <c r="M933" s="102" t="str">
        <f>IFNA(VLOOKUP(L933,'🙎‍♂️ Pasien'!G:V,2,FALSE),"")</f>
        <v>H1025113976</v>
      </c>
      <c r="N933" s="103">
        <f>IFNA(VLOOKUP(L933,'🙎‍♂️ Pasien'!G:L,3,FALSE),"")</f>
        <v>15</v>
      </c>
      <c r="O933" s="104" t="str">
        <f>IFNA(VLOOKUP(L933,'🙎‍♂️ Pasien'!G:V,6,FALSE),"")</f>
        <v>PEREMPUAN</v>
      </c>
      <c r="P933" s="104" t="str">
        <f>IFNA(VLOOKUP(L933,'🙎‍♂️ Pasien'!G:V,12,FALSE),"")</f>
        <v>ISLAM</v>
      </c>
      <c r="Q933" s="104" t="str">
        <f>IFNA(VLOOKUP(L933:L1508,'🙎‍♂️ Pasien'!G:V,13,FALSE),"")</f>
        <v>PELAJAR</v>
      </c>
      <c r="R933" s="104" t="str">
        <f t="array" ref="R933">ifna(xlookup(L933,'🙎‍♂️ Pasien'!$G$5:$G1508,'🙎‍♂️ Pasien'!$T$5:$T1508),"")</f>
        <v>PERGELANGAN KAKI DAN LUTUS NYERI, KETIKA BANGUN TIDUR SAMPAI PINCANG</v>
      </c>
      <c r="S933" s="104" t="str">
        <f t="array" ref="S933">ifna(xlookup(L933,'🙎‍♂️ Pasien'!$G$5:$G1508,'🙎‍♂️ Pasien'!$U$5:$U1508),"")</f>
        <v>SEKOLAH NAIK TURUN TANGGA</v>
      </c>
      <c r="T933" s="97" t="s">
        <v>67</v>
      </c>
      <c r="U933" s="105">
        <v>2.0</v>
      </c>
      <c r="V933" s="101" t="s">
        <v>205</v>
      </c>
      <c r="W933" s="106" t="b">
        <v>1</v>
      </c>
      <c r="X933" s="107"/>
      <c r="Y933" s="108"/>
    </row>
    <row r="934" ht="22.5" customHeight="1">
      <c r="A934" s="96"/>
      <c r="B934" s="97" t="s">
        <v>53</v>
      </c>
      <c r="C934" s="98" t="str">
        <f t="array" ref="C934">IFNA(XLOOKUP(J934,'⚙️ Pengaturan'!$H$5:$H1508,'⚙️ Pengaturan'!$I$5:$I1508),"")</f>
        <v>TIM A</v>
      </c>
      <c r="D934" s="97" t="s">
        <v>54</v>
      </c>
      <c r="E934" s="99">
        <v>45986.0</v>
      </c>
      <c r="F934" s="100" t="str">
        <f t="shared" si="1"/>
        <v>2025</v>
      </c>
      <c r="G934" s="100" t="str">
        <f t="shared" si="2"/>
        <v>11Nov</v>
      </c>
      <c r="H934" s="100" t="str">
        <f t="shared" si="3"/>
        <v>Selasa</v>
      </c>
      <c r="I934" s="97" t="s">
        <v>55</v>
      </c>
      <c r="J934" s="97" t="s">
        <v>79</v>
      </c>
      <c r="K934" s="97" t="s">
        <v>63</v>
      </c>
      <c r="L934" s="101" t="s">
        <v>407</v>
      </c>
      <c r="M934" s="102" t="str">
        <f>IFNA(VLOOKUP(L934,'🙎‍♂️ Pasien'!G:V,2,FALSE),"")</f>
        <v>D8225100100</v>
      </c>
      <c r="N934" s="103">
        <f>IFNA(VLOOKUP(L934,'🙎‍♂️ Pasien'!G:L,3,FALSE),"")</f>
        <v>43</v>
      </c>
      <c r="O934" s="104" t="str">
        <f>IFNA(VLOOKUP(L934,'🙎‍♂️ Pasien'!G:V,6,FALSE),"")</f>
        <v>PEREMPUAN</v>
      </c>
      <c r="P934" s="104" t="str">
        <f>IFNA(VLOOKUP(L934,'🙎‍♂️ Pasien'!G:V,12,FALSE),"")</f>
        <v>KATOLIK</v>
      </c>
      <c r="Q934" s="104" t="str">
        <f>IFNA(VLOOKUP(L934:L1508,'🙎‍♂️ Pasien'!G:V,13,FALSE),"")</f>
        <v>IBU RUMAH TANGGA</v>
      </c>
      <c r="R934" s="104" t="str">
        <f t="array" ref="R934">ifna(xlookup(L934,'🙎‍♂️ Pasien'!$G$5:$G1508,'🙎‍♂️ Pasien'!$T$5:$T1508),"")</f>
        <v>SAKIT DI BAHU DAN LENGAN SEBELAH KIRI</v>
      </c>
      <c r="S934" s="104" t="str">
        <f t="array" ref="S934">ifna(xlookup(L934,'🙎‍♂️ Pasien'!$G$5:$G1508,'🙎‍♂️ Pasien'!$U$5:$U1508),"")</f>
        <v>SERING MEMEGANG HAPE DALAM POSISI TIDUR</v>
      </c>
      <c r="T934" s="97" t="s">
        <v>59</v>
      </c>
      <c r="U934" s="105">
        <v>3.0</v>
      </c>
      <c r="V934" s="101"/>
      <c r="W934" s="106" t="b">
        <v>1</v>
      </c>
      <c r="X934" s="107"/>
      <c r="Y934" s="108"/>
    </row>
    <row r="935" ht="22.5" customHeight="1">
      <c r="A935" s="96"/>
      <c r="B935" s="97" t="s">
        <v>53</v>
      </c>
      <c r="C935" s="98" t="str">
        <f t="array" ref="C935">IFNA(XLOOKUP(J935,'⚙️ Pengaturan'!$H$5:$H1508,'⚙️ Pengaturan'!$I$5:$I1508),"")</f>
        <v>TIM A</v>
      </c>
      <c r="D935" s="97" t="s">
        <v>54</v>
      </c>
      <c r="E935" s="99">
        <v>45986.0</v>
      </c>
      <c r="F935" s="100" t="str">
        <f t="shared" si="1"/>
        <v>2025</v>
      </c>
      <c r="G935" s="100" t="str">
        <f t="shared" si="2"/>
        <v>11Nov</v>
      </c>
      <c r="H935" s="100" t="str">
        <f t="shared" si="3"/>
        <v>Selasa</v>
      </c>
      <c r="I935" s="97" t="s">
        <v>55</v>
      </c>
      <c r="J935" s="97" t="s">
        <v>62</v>
      </c>
      <c r="K935" s="97" t="s">
        <v>63</v>
      </c>
      <c r="L935" s="101" t="s">
        <v>174</v>
      </c>
      <c r="M935" s="102" t="str">
        <f>IFNA(VLOOKUP(L935,'🙎‍♂️ Pasien'!G:V,2,FALSE),"")</f>
        <v>F6925098775</v>
      </c>
      <c r="N935" s="103">
        <f>IFNA(VLOOKUP(L935,'🙎‍♂️ Pasien'!G:L,3,FALSE),"")</f>
        <v>56</v>
      </c>
      <c r="O935" s="104" t="str">
        <f>IFNA(VLOOKUP(L935,'🙎‍♂️ Pasien'!G:V,6,FALSE),"")</f>
        <v>PEREMPUAN</v>
      </c>
      <c r="P935" s="104" t="str">
        <f>IFNA(VLOOKUP(L935,'🙎‍♂️ Pasien'!G:V,12,FALSE),"")</f>
        <v>BUDDHA</v>
      </c>
      <c r="Q935" s="104" t="str">
        <f>IFNA(VLOOKUP(L935:L1508,'🙎‍♂️ Pasien'!G:V,13,FALSE),"")</f>
        <v>IRT</v>
      </c>
      <c r="R935" s="104" t="str">
        <f t="array" ref="R935">ifna(xlookup(L935,'🙎‍♂️ Pasien'!$G$5:$G1508,'🙎‍♂️ Pasien'!$T$5:$T1508),"")</f>
        <v>LUTUT (POST OP TKR)</v>
      </c>
      <c r="S935" s="104" t="str">
        <f t="array" ref="S935">ifna(xlookup(L935,'🙎‍♂️ Pasien'!$G$5:$G1508,'🙎‍♂️ Pasien'!$U$5:$U1508),"")</f>
        <v>PEKERJAAAN RUMAH TANGGA</v>
      </c>
      <c r="T935" s="97" t="s">
        <v>67</v>
      </c>
      <c r="U935" s="105">
        <v>4.0</v>
      </c>
      <c r="V935" s="101" t="s">
        <v>576</v>
      </c>
      <c r="W935" s="106" t="b">
        <v>1</v>
      </c>
      <c r="X935" s="107"/>
      <c r="Y935" s="108"/>
    </row>
    <row r="936" ht="22.5" customHeight="1">
      <c r="A936" s="96"/>
      <c r="B936" s="97" t="s">
        <v>53</v>
      </c>
      <c r="C936" s="98" t="str">
        <f t="array" ref="C936">IFNA(XLOOKUP(J936,'⚙️ Pengaturan'!$H$5:$H1508,'⚙️ Pengaturan'!$I$5:$I1508),"")</f>
        <v>MANAJEMEN</v>
      </c>
      <c r="D936" s="97" t="s">
        <v>54</v>
      </c>
      <c r="E936" s="99">
        <v>45986.0</v>
      </c>
      <c r="F936" s="100" t="str">
        <f t="shared" si="1"/>
        <v>2025</v>
      </c>
      <c r="G936" s="100" t="str">
        <f t="shared" si="2"/>
        <v>11Nov</v>
      </c>
      <c r="H936" s="100" t="str">
        <f t="shared" si="3"/>
        <v>Selasa</v>
      </c>
      <c r="I936" s="97" t="s">
        <v>65</v>
      </c>
      <c r="J936" s="97" t="s">
        <v>101</v>
      </c>
      <c r="K936" s="97" t="s">
        <v>63</v>
      </c>
      <c r="L936" s="101" t="s">
        <v>526</v>
      </c>
      <c r="M936" s="102" t="str">
        <f>IFNA(VLOOKUP(L936,'🙎‍♂️ Pasien'!G:V,2,FALSE),"")</f>
        <v>A8825114554</v>
      </c>
      <c r="N936" s="103">
        <f>IFNA(VLOOKUP(L936,'🙎‍♂️ Pasien'!G:L,3,FALSE),"")</f>
        <v>38</v>
      </c>
      <c r="O936" s="104" t="str">
        <f>IFNA(VLOOKUP(L936,'🙎‍♂️ Pasien'!G:V,6,FALSE),"")</f>
        <v>LAKI-LAKI</v>
      </c>
      <c r="P936" s="104" t="str">
        <f>IFNA(VLOOKUP(L936,'🙎‍♂️ Pasien'!G:V,12,FALSE),"")</f>
        <v>ISLAM</v>
      </c>
      <c r="Q936" s="104" t="str">
        <f>IFNA(VLOOKUP(L936:L1508,'🙎‍♂️ Pasien'!G:V,13,FALSE),"")</f>
        <v>FOOTBALL AGENT</v>
      </c>
      <c r="R936" s="104" t="str">
        <f t="array" ref="R936">ifna(xlookup(L936,'🙎‍♂️ Pasien'!$G$5:$G1508,'🙎‍♂️ Pasien'!$T$5:$T1508),"")</f>
        <v>LUTUT KIRI SAKIT SAAT DI TEKUK</v>
      </c>
      <c r="S936" s="104" t="str">
        <f t="array" ref="S936">ifna(xlookup(L936,'🙎‍♂️ Pasien'!$G$5:$G1508,'🙎‍♂️ Pasien'!$U$5:$U1508),"")</f>
        <v>SEPAKBOLA</v>
      </c>
      <c r="T936" s="97" t="s">
        <v>59</v>
      </c>
      <c r="U936" s="105">
        <v>3.0</v>
      </c>
      <c r="V936" s="101"/>
      <c r="W936" s="106" t="b">
        <v>1</v>
      </c>
      <c r="X936" s="107"/>
      <c r="Y936" s="108"/>
    </row>
    <row r="937" ht="22.5" customHeight="1">
      <c r="A937" s="96"/>
      <c r="B937" s="97" t="s">
        <v>53</v>
      </c>
      <c r="C937" s="98" t="str">
        <f t="array" ref="C937">IFNA(XLOOKUP(J937,'⚙️ Pengaturan'!$H$5:$H1508,'⚙️ Pengaturan'!$I$5:$I1508),"")</f>
        <v>TIM A</v>
      </c>
      <c r="D937" s="97" t="s">
        <v>54</v>
      </c>
      <c r="E937" s="99">
        <v>45986.0</v>
      </c>
      <c r="F937" s="100" t="str">
        <f t="shared" si="1"/>
        <v>2025</v>
      </c>
      <c r="G937" s="100" t="str">
        <f t="shared" si="2"/>
        <v>11Nov</v>
      </c>
      <c r="H937" s="100" t="str">
        <f t="shared" si="3"/>
        <v>Selasa</v>
      </c>
      <c r="I937" s="97" t="s">
        <v>74</v>
      </c>
      <c r="J937" s="97" t="s">
        <v>79</v>
      </c>
      <c r="K937" s="97" t="s">
        <v>69</v>
      </c>
      <c r="L937" s="101" t="s">
        <v>339</v>
      </c>
      <c r="M937" s="102" t="str">
        <f>IFNA(VLOOKUP(L937,'🙎‍♂️ Pasien'!G:V,2,FALSE),"")</f>
        <v>H0125105276</v>
      </c>
      <c r="N937" s="103">
        <f>IFNA(VLOOKUP(L937,'🙎‍♂️ Pasien'!G:L,3,FALSE),"")</f>
        <v>24</v>
      </c>
      <c r="O937" s="104" t="str">
        <f>IFNA(VLOOKUP(L937,'🙎‍♂️ Pasien'!G:V,6,FALSE),"")</f>
        <v>LAKI-LAKI</v>
      </c>
      <c r="P937" s="104" t="str">
        <f>IFNA(VLOOKUP(L937,'🙎‍♂️ Pasien'!G:V,12,FALSE),"")</f>
        <v>LAINNYA</v>
      </c>
      <c r="Q937" s="104" t="str">
        <f>IFNA(VLOOKUP(L937:L1508,'🙎‍♂️ Pasien'!G:V,13,FALSE),"")</f>
        <v>COOK</v>
      </c>
      <c r="R937" s="104" t="str">
        <f t="array" ref="R937">ifna(xlookup(L937,'🙎‍♂️ Pasien'!$G$5:$G1508,'🙎‍♂️ Pasien'!$T$5:$T1508),"")</f>
        <v>LEHER, PUNGGUNG DAN BAHU</v>
      </c>
      <c r="S937" s="104" t="str">
        <f t="array" ref="S937">ifna(xlookup(L937,'🙎‍♂️ Pasien'!$G$5:$G1508,'🙎‍♂️ Pasien'!$U$5:$U1508),"")</f>
        <v>MENYETIR</v>
      </c>
      <c r="T937" s="97" t="s">
        <v>59</v>
      </c>
      <c r="U937" s="105" t="s">
        <v>60</v>
      </c>
      <c r="V937" s="101"/>
      <c r="W937" s="106" t="b">
        <v>1</v>
      </c>
      <c r="X937" s="107"/>
      <c r="Y937" s="108"/>
    </row>
    <row r="938" ht="22.5" customHeight="1">
      <c r="A938" s="96"/>
      <c r="B938" s="97" t="s">
        <v>53</v>
      </c>
      <c r="C938" s="98" t="str">
        <f t="array" ref="C938">IFNA(XLOOKUP(J938,'⚙️ Pengaturan'!$H$5:$H1508,'⚙️ Pengaturan'!$I$5:$I1508),"")</f>
        <v>TIM A</v>
      </c>
      <c r="D938" s="97" t="s">
        <v>54</v>
      </c>
      <c r="E938" s="99">
        <v>45986.0</v>
      </c>
      <c r="F938" s="100" t="str">
        <f t="shared" si="1"/>
        <v>2025</v>
      </c>
      <c r="G938" s="100" t="str">
        <f t="shared" si="2"/>
        <v>11Nov</v>
      </c>
      <c r="H938" s="100" t="str">
        <f t="shared" si="3"/>
        <v>Selasa</v>
      </c>
      <c r="I938" s="97" t="s">
        <v>74</v>
      </c>
      <c r="J938" s="97" t="s">
        <v>62</v>
      </c>
      <c r="K938" s="97" t="s">
        <v>63</v>
      </c>
      <c r="L938" s="101" t="s">
        <v>341</v>
      </c>
      <c r="M938" s="102" t="str">
        <f>IFNA(VLOOKUP(L938,'🙎‍♂️ Pasien'!G:V,2,FALSE),"")</f>
        <v>T7325100015</v>
      </c>
      <c r="N938" s="103">
        <f>IFNA(VLOOKUP(L938,'🙎‍♂️ Pasien'!G:L,3,FALSE),"")</f>
        <v>53</v>
      </c>
      <c r="O938" s="104" t="str">
        <f>IFNA(VLOOKUP(L938,'🙎‍♂️ Pasien'!G:V,6,FALSE),"")</f>
        <v>PEREMPUAN</v>
      </c>
      <c r="P938" s="104" t="str">
        <f>IFNA(VLOOKUP(L938,'🙎‍♂️ Pasien'!G:V,12,FALSE),"")</f>
        <v>ISLAM</v>
      </c>
      <c r="Q938" s="104" t="str">
        <f>IFNA(VLOOKUP(L938:L1508,'🙎‍♂️ Pasien'!G:V,13,FALSE),"")</f>
        <v>PNS</v>
      </c>
      <c r="R938" s="104" t="str">
        <f t="array" ref="R938">ifna(xlookup(L938,'🙎‍♂️ Pasien'!$G$5:$G1508,'🙎‍♂️ Pasien'!$T$5:$T1508),"")</f>
        <v>SAKIT KAKI DAN PINGGANG</v>
      </c>
      <c r="S938" s="104" t="str">
        <f t="array" ref="S938">ifna(xlookup(L938,'🙎‍♂️ Pasien'!$G$5:$G1508,'🙎‍♂️ Pasien'!$U$5:$U1508),"")</f>
        <v>NAIK TURUN TANGGA DAN JONGKOK</v>
      </c>
      <c r="T938" s="97" t="s">
        <v>67</v>
      </c>
      <c r="U938" s="105">
        <v>5.0</v>
      </c>
      <c r="V938" s="101" t="s">
        <v>199</v>
      </c>
      <c r="W938" s="106" t="b">
        <v>1</v>
      </c>
      <c r="X938" s="107"/>
      <c r="Y938" s="108"/>
    </row>
    <row r="939" ht="22.5" customHeight="1">
      <c r="A939" s="96"/>
      <c r="B939" s="97" t="s">
        <v>85</v>
      </c>
      <c r="C939" s="98" t="str">
        <f t="array" ref="C939">IFNA(XLOOKUP(J939,'⚙️ Pengaturan'!$H$5:$H1508,'⚙️ Pengaturan'!$I$5:$I1508),"")</f>
        <v>TIM A</v>
      </c>
      <c r="D939" s="97" t="s">
        <v>86</v>
      </c>
      <c r="E939" s="99">
        <v>45986.0</v>
      </c>
      <c r="F939" s="100" t="str">
        <f t="shared" si="1"/>
        <v>2025</v>
      </c>
      <c r="G939" s="100" t="str">
        <f t="shared" si="2"/>
        <v>11Nov</v>
      </c>
      <c r="H939" s="100" t="str">
        <f t="shared" si="3"/>
        <v>Selasa</v>
      </c>
      <c r="I939" s="97" t="s">
        <v>76</v>
      </c>
      <c r="J939" s="97" t="s">
        <v>79</v>
      </c>
      <c r="K939" s="97" t="s">
        <v>57</v>
      </c>
      <c r="L939" s="101" t="s">
        <v>577</v>
      </c>
      <c r="M939" s="102" t="str">
        <f>IFNA(VLOOKUP(L939,'🙎‍♂️ Pasien'!G:V,2,FALSE),"")</f>
        <v>D9425115021</v>
      </c>
      <c r="N939" s="103">
        <f>IFNA(VLOOKUP(L939,'🙎‍♂️ Pasien'!G:L,3,FALSE),"")</f>
        <v>31</v>
      </c>
      <c r="O939" s="104" t="str">
        <f>IFNA(VLOOKUP(L939,'🙎‍♂️ Pasien'!G:V,6,FALSE),"")</f>
        <v>PEREMPUAN</v>
      </c>
      <c r="P939" s="104" t="str">
        <f>IFNA(VLOOKUP(L939,'🙎‍♂️ Pasien'!G:V,12,FALSE),"")</f>
        <v>ISLAM</v>
      </c>
      <c r="Q939" s="104" t="str">
        <f>IFNA(VLOOKUP(L939:L1508,'🙎‍♂️ Pasien'!G:V,13,FALSE),"")</f>
        <v>PNS</v>
      </c>
      <c r="R939" s="104" t="str">
        <f t="array" ref="R939">ifna(xlookup(L939,'🙎‍♂️ Pasien'!$G$5:$G1508,'🙎‍♂️ Pasien'!$T$5:$T1508),"")</f>
        <v>SAKIT LUTUT</v>
      </c>
      <c r="S939" s="104" t="str">
        <f t="array" ref="S939">ifna(xlookup(L939,'🙎‍♂️ Pasien'!$G$5:$G1508,'🙎‍♂️ Pasien'!$U$5:$U1508),"")</f>
        <v>OLAHRAGA LARI DAN PADEL</v>
      </c>
      <c r="T939" s="97" t="s">
        <v>59</v>
      </c>
      <c r="U939" s="105" t="s">
        <v>60</v>
      </c>
      <c r="V939" s="101"/>
      <c r="W939" s="106" t="b">
        <v>1</v>
      </c>
      <c r="X939" s="107"/>
      <c r="Y939" s="108"/>
    </row>
    <row r="940" ht="22.5" customHeight="1">
      <c r="A940" s="96"/>
      <c r="B940" s="97" t="s">
        <v>85</v>
      </c>
      <c r="C940" s="98" t="str">
        <f t="array" ref="C940">IFNA(XLOOKUP(J940,'⚙️ Pengaturan'!$H$5:$H1508,'⚙️ Pengaturan'!$I$5:$I1508),"")</f>
        <v>TIM A</v>
      </c>
      <c r="D940" s="97" t="s">
        <v>86</v>
      </c>
      <c r="E940" s="99">
        <v>45986.0</v>
      </c>
      <c r="F940" s="100" t="str">
        <f t="shared" si="1"/>
        <v>2025</v>
      </c>
      <c r="G940" s="100" t="str">
        <f t="shared" si="2"/>
        <v>11Nov</v>
      </c>
      <c r="H940" s="100" t="str">
        <f t="shared" si="3"/>
        <v>Selasa</v>
      </c>
      <c r="I940" s="97" t="s">
        <v>76</v>
      </c>
      <c r="J940" s="97" t="s">
        <v>72</v>
      </c>
      <c r="K940" s="97" t="s">
        <v>63</v>
      </c>
      <c r="L940" s="101" t="s">
        <v>547</v>
      </c>
      <c r="M940" s="102" t="str">
        <f>IFNA(VLOOKUP(L940,'🙎‍♂️ Pasien'!G:V,2,FALSE),"")</f>
        <v>I5825112202</v>
      </c>
      <c r="N940" s="103">
        <f>IFNA(VLOOKUP(L940,'🙎‍♂️ Pasien'!G:L,3,FALSE),"")</f>
        <v>68</v>
      </c>
      <c r="O940" s="104" t="str">
        <f>IFNA(VLOOKUP(L940,'🙎‍♂️ Pasien'!G:V,6,FALSE),"")</f>
        <v>PEREMPUAN</v>
      </c>
      <c r="P940" s="104" t="str">
        <f>IFNA(VLOOKUP(L940,'🙎‍♂️ Pasien'!G:V,12,FALSE),"")</f>
        <v>ISLAM</v>
      </c>
      <c r="Q940" s="104" t="str">
        <f>IFNA(VLOOKUP(L940:L1508,'🙎‍♂️ Pasien'!G:V,13,FALSE),"")</f>
        <v>PENSIUNAN</v>
      </c>
      <c r="R940" s="104" t="str">
        <f t="array" ref="R940">ifna(xlookup(L940,'🙎‍♂️ Pasien'!$G$5:$G1508,'🙎‍♂️ Pasien'!$T$5:$T1508),"")</f>
        <v>SAKIT PUNGGUNG BAWAH</v>
      </c>
      <c r="S940" s="104" t="str">
        <f t="array" ref="S940">ifna(xlookup(L940,'🙎‍♂️ Pasien'!$G$5:$G1508,'🙎‍♂️ Pasien'!$U$5:$U1508),"")</f>
        <v>-</v>
      </c>
      <c r="T940" s="97" t="s">
        <v>59</v>
      </c>
      <c r="U940" s="105">
        <v>2.0</v>
      </c>
      <c r="V940" s="101"/>
      <c r="W940" s="106" t="b">
        <v>1</v>
      </c>
      <c r="X940" s="107"/>
      <c r="Y940" s="108"/>
    </row>
    <row r="941" ht="22.5" customHeight="1">
      <c r="A941" s="96"/>
      <c r="B941" s="97" t="s">
        <v>85</v>
      </c>
      <c r="C941" s="98" t="str">
        <f t="array" ref="C941">IFNA(XLOOKUP(J941,'⚙️ Pengaturan'!$H$5:$H1508,'⚙️ Pengaturan'!$I$5:$I1508),"")</f>
        <v>TIM Y</v>
      </c>
      <c r="D941" s="97" t="s">
        <v>86</v>
      </c>
      <c r="E941" s="99">
        <v>45986.0</v>
      </c>
      <c r="F941" s="100" t="str">
        <f t="shared" si="1"/>
        <v>2025</v>
      </c>
      <c r="G941" s="100" t="str">
        <f t="shared" si="2"/>
        <v>11Nov</v>
      </c>
      <c r="H941" s="100" t="str">
        <f t="shared" si="3"/>
        <v>Selasa</v>
      </c>
      <c r="I941" s="97" t="s">
        <v>83</v>
      </c>
      <c r="J941" s="97" t="s">
        <v>107</v>
      </c>
      <c r="K941" s="97" t="s">
        <v>63</v>
      </c>
      <c r="L941" s="101" t="s">
        <v>193</v>
      </c>
      <c r="M941" s="102" t="str">
        <f>IFNA(VLOOKUP(L941,'🙎‍♂️ Pasien'!G:V,2,FALSE),"")</f>
        <v>E8925075615</v>
      </c>
      <c r="N941" s="103">
        <f>IFNA(VLOOKUP(L941,'🙎‍♂️ Pasien'!G:L,3,FALSE),"")</f>
        <v>36</v>
      </c>
      <c r="O941" s="104" t="str">
        <f>IFNA(VLOOKUP(L941,'🙎‍♂️ Pasien'!G:V,6,FALSE),"")</f>
        <v>PEREMPUAN</v>
      </c>
      <c r="P941" s="104" t="str">
        <f>IFNA(VLOOKUP(L941,'🙎‍♂️ Pasien'!G:V,12,FALSE),"")</f>
        <v>KATOLIK</v>
      </c>
      <c r="Q941" s="104" t="str">
        <f>IFNA(VLOOKUP(L941:L1508,'🙎‍♂️ Pasien'!G:V,13,FALSE),"")</f>
        <v>WIRASWASTA</v>
      </c>
      <c r="R941" s="104" t="str">
        <f t="array" ref="R941">ifna(xlookup(L941,'🙎‍♂️ Pasien'!$G$5:$G1508,'🙎‍♂️ Pasien'!$T$5:$T1508),"")</f>
        <v>BUNION</v>
      </c>
      <c r="S941" s="104" t="str">
        <f t="array" ref="S941">ifna(xlookup(L941,'🙎‍♂️ Pasien'!$G$5:$G1508,'🙎‍♂️ Pasien'!$U$5:$U1508),"")</f>
        <v>TENNIS</v>
      </c>
      <c r="T941" s="97" t="s">
        <v>59</v>
      </c>
      <c r="U941" s="105">
        <v>2.0</v>
      </c>
      <c r="V941" s="101"/>
      <c r="W941" s="106" t="b">
        <v>1</v>
      </c>
      <c r="X941" s="107"/>
      <c r="Y941" s="108"/>
    </row>
    <row r="942" ht="22.5" customHeight="1">
      <c r="A942" s="96"/>
      <c r="B942" s="97" t="s">
        <v>85</v>
      </c>
      <c r="C942" s="98" t="str">
        <f t="array" ref="C942">IFNA(XLOOKUP(J942,'⚙️ Pengaturan'!$H$5:$H1508,'⚙️ Pengaturan'!$I$5:$I1508),"")</f>
        <v>TIM Y</v>
      </c>
      <c r="D942" s="97" t="s">
        <v>86</v>
      </c>
      <c r="E942" s="99">
        <v>45986.0</v>
      </c>
      <c r="F942" s="100" t="str">
        <f t="shared" si="1"/>
        <v>2025</v>
      </c>
      <c r="G942" s="100" t="str">
        <f t="shared" si="2"/>
        <v>11Nov</v>
      </c>
      <c r="H942" s="100" t="str">
        <f t="shared" si="3"/>
        <v>Selasa</v>
      </c>
      <c r="I942" s="97" t="s">
        <v>83</v>
      </c>
      <c r="J942" s="97" t="s">
        <v>91</v>
      </c>
      <c r="K942" s="97" t="s">
        <v>57</v>
      </c>
      <c r="L942" s="101" t="s">
        <v>578</v>
      </c>
      <c r="M942" s="102" t="str">
        <f>IFNA(VLOOKUP(L942,'🙎‍♂️ Pasien'!G:V,2,FALSE),"")</f>
        <v>V8825112988</v>
      </c>
      <c r="N942" s="103">
        <f>IFNA(VLOOKUP(L942,'🙎‍♂️ Pasien'!G:L,3,FALSE),"")</f>
        <v>38</v>
      </c>
      <c r="O942" s="104" t="str">
        <f>IFNA(VLOOKUP(L942,'🙎‍♂️ Pasien'!G:V,6,FALSE),"")</f>
        <v>PEREMPUAN</v>
      </c>
      <c r="P942" s="104" t="str">
        <f>IFNA(VLOOKUP(L942,'🙎‍♂️ Pasien'!G:V,12,FALSE),"")</f>
        <v>PROTESTAN</v>
      </c>
      <c r="Q942" s="104" t="str">
        <f>IFNA(VLOOKUP(L942:L1508,'🙎‍♂️ Pasien'!G:V,13,FALSE),"")</f>
        <v>KARYAWATI</v>
      </c>
      <c r="R942" s="104" t="str">
        <f t="array" ref="R942">ifna(xlookup(L942,'🙎‍♂️ Pasien'!$G$5:$G1508,'🙎‍♂️ Pasien'!$T$5:$T1508),"")</f>
        <v>JARI TENGAH SEBELAH KIRI TERLAMBAT KALAU DIGENGAM DAN DBUKA DAN TERASA SAKIT</v>
      </c>
      <c r="S942" s="104" t="str">
        <f t="array" ref="S942">ifna(xlookup(L942,'🙎‍♂️ Pasien'!$G$5:$G1508,'🙎‍♂️ Pasien'!$U$5:$U1508),"")</f>
        <v>MEMASAK BERSIH2 NULIS2</v>
      </c>
      <c r="T942" s="97" t="s">
        <v>59</v>
      </c>
      <c r="U942" s="105" t="s">
        <v>60</v>
      </c>
      <c r="V942" s="101"/>
      <c r="W942" s="106" t="b">
        <v>1</v>
      </c>
      <c r="X942" s="107"/>
      <c r="Y942" s="108"/>
    </row>
    <row r="943" ht="22.5" customHeight="1">
      <c r="A943" s="96"/>
      <c r="B943" s="97" t="s">
        <v>85</v>
      </c>
      <c r="C943" s="98" t="str">
        <f t="array" ref="C943">IFNA(XLOOKUP(J943,'⚙️ Pengaturan'!$H$5:$H1508,'⚙️ Pengaturan'!$I$5:$I1508),"")</f>
        <v>TIM Y</v>
      </c>
      <c r="D943" s="97" t="s">
        <v>86</v>
      </c>
      <c r="E943" s="99">
        <v>45986.0</v>
      </c>
      <c r="F943" s="100" t="str">
        <f t="shared" si="1"/>
        <v>2025</v>
      </c>
      <c r="G943" s="100" t="str">
        <f t="shared" si="2"/>
        <v>11Nov</v>
      </c>
      <c r="H943" s="100" t="str">
        <f t="shared" si="3"/>
        <v>Selasa</v>
      </c>
      <c r="I943" s="97" t="s">
        <v>87</v>
      </c>
      <c r="J943" s="97" t="s">
        <v>91</v>
      </c>
      <c r="K943" s="97" t="s">
        <v>57</v>
      </c>
      <c r="L943" s="101" t="s">
        <v>579</v>
      </c>
      <c r="M943" s="102" t="str">
        <f>IFNA(VLOOKUP(L943,'🙎‍♂️ Pasien'!G:V,2,FALSE),"")</f>
        <v>J8425110309</v>
      </c>
      <c r="N943" s="103">
        <f>IFNA(VLOOKUP(L943,'🙎‍♂️ Pasien'!G:L,3,FALSE),"")</f>
        <v>42</v>
      </c>
      <c r="O943" s="104" t="str">
        <f>IFNA(VLOOKUP(L943,'🙎‍♂️ Pasien'!G:V,6,FALSE),"")</f>
        <v>PEREMPUAN</v>
      </c>
      <c r="P943" s="104" t="str">
        <f>IFNA(VLOOKUP(L943,'🙎‍♂️ Pasien'!G:V,12,FALSE),"")</f>
        <v>KATOLIK</v>
      </c>
      <c r="Q943" s="104" t="str">
        <f>IFNA(VLOOKUP(L943:L1508,'🙎‍♂️ Pasien'!G:V,13,FALSE),"")</f>
        <v>IBU RUMAH TANGGA</v>
      </c>
      <c r="R943" s="104" t="str">
        <f t="array" ref="R943">ifna(xlookup(L943,'🙎‍♂️ Pasien'!$G$5:$G1508,'🙎‍♂️ Pasien'!$T$5:$T1508),"")</f>
        <v>SALAH SATU JARI TANGAN SAKIT</v>
      </c>
      <c r="S943" s="104" t="str">
        <f t="array" ref="S943">ifna(xlookup(L943,'🙎‍♂️ Pasien'!$G$5:$G1508,'🙎‍♂️ Pasien'!$U$5:$U1508),"")</f>
        <v>GA ADA</v>
      </c>
      <c r="T943" s="97" t="s">
        <v>59</v>
      </c>
      <c r="U943" s="105">
        <v>3.0</v>
      </c>
      <c r="V943" s="101"/>
      <c r="W943" s="106" t="b">
        <v>1</v>
      </c>
      <c r="X943" s="107"/>
      <c r="Y943" s="108"/>
    </row>
    <row r="944" ht="22.5" customHeight="1">
      <c r="A944" s="96"/>
      <c r="B944" s="97" t="s">
        <v>85</v>
      </c>
      <c r="C944" s="98" t="str">
        <f t="array" ref="C944">IFNA(XLOOKUP(J944,'⚙️ Pengaturan'!$H$5:$H1508,'⚙️ Pengaturan'!$I$5:$I1508),"")</f>
        <v>TIM Y</v>
      </c>
      <c r="D944" s="97" t="s">
        <v>86</v>
      </c>
      <c r="E944" s="99">
        <v>45986.0</v>
      </c>
      <c r="F944" s="100" t="str">
        <f t="shared" si="1"/>
        <v>2025</v>
      </c>
      <c r="G944" s="100" t="str">
        <f t="shared" si="2"/>
        <v>11Nov</v>
      </c>
      <c r="H944" s="100" t="str">
        <f t="shared" si="3"/>
        <v>Selasa</v>
      </c>
      <c r="I944" s="97" t="s">
        <v>95</v>
      </c>
      <c r="J944" s="97" t="s">
        <v>91</v>
      </c>
      <c r="K944" s="97" t="s">
        <v>63</v>
      </c>
      <c r="L944" s="101" t="s">
        <v>194</v>
      </c>
      <c r="M944" s="102" t="str">
        <f>IFNA(VLOOKUP(L944,'🙎‍♂️ Pasien'!G:V,2,FALSE),"")</f>
        <v>O0925070649</v>
      </c>
      <c r="N944" s="103">
        <f>IFNA(VLOOKUP(L944,'🙎‍♂️ Pasien'!G:L,3,FALSE),"")</f>
        <v>16</v>
      </c>
      <c r="O944" s="104" t="str">
        <f>IFNA(VLOOKUP(L944,'🙎‍♂️ Pasien'!G:V,6,FALSE),"")</f>
        <v>PEREMPUAN</v>
      </c>
      <c r="P944" s="104" t="str">
        <f>IFNA(VLOOKUP(L944,'🙎‍♂️ Pasien'!G:V,12,FALSE),"")</f>
        <v>BUDDHA</v>
      </c>
      <c r="Q944" s="104" t="str">
        <f>IFNA(VLOOKUP(L944:L1508,'🙎‍♂️ Pasien'!G:V,13,FALSE),"")</f>
        <v>PELAJAR</v>
      </c>
      <c r="R944" s="104" t="str">
        <f t="array" ref="R944">ifna(xlookup(L944,'🙎‍♂️ Pasien'!$G$5:$G1508,'🙎‍♂️ Pasien'!$T$5:$T1508),"")</f>
        <v>SKOLIOSIS</v>
      </c>
      <c r="S944" s="104" t="str">
        <f t="array" ref="S944">ifna(xlookup(L944,'🙎‍♂️ Pasien'!$G$5:$G1508,'🙎‍♂️ Pasien'!$U$5:$U1508),"")</f>
        <v>TIDAK ADA</v>
      </c>
      <c r="T944" s="97" t="s">
        <v>59</v>
      </c>
      <c r="U944" s="105">
        <v>8.0</v>
      </c>
      <c r="V944" s="101"/>
      <c r="W944" s="106" t="b">
        <v>1</v>
      </c>
      <c r="X944" s="107"/>
      <c r="Y944" s="108"/>
    </row>
    <row r="945" ht="22.5" customHeight="1">
      <c r="A945" s="96"/>
      <c r="B945" s="97" t="s">
        <v>53</v>
      </c>
      <c r="C945" s="98" t="str">
        <f t="array" ref="C945">IFNA(XLOOKUP(J945,'⚙️ Pengaturan'!$H$5:$H1508,'⚙️ Pengaturan'!$I$5:$I1508),"")</f>
        <v>TIM A</v>
      </c>
      <c r="D945" s="97" t="s">
        <v>86</v>
      </c>
      <c r="E945" s="99">
        <v>45987.0</v>
      </c>
      <c r="F945" s="100" t="str">
        <f t="shared" si="1"/>
        <v>2025</v>
      </c>
      <c r="G945" s="100" t="str">
        <f t="shared" si="2"/>
        <v>11Nov</v>
      </c>
      <c r="H945" s="100" t="str">
        <f t="shared" si="3"/>
        <v>Rabu</v>
      </c>
      <c r="I945" s="97" t="s">
        <v>55</v>
      </c>
      <c r="J945" s="97" t="s">
        <v>62</v>
      </c>
      <c r="K945" s="97" t="s">
        <v>63</v>
      </c>
      <c r="L945" s="101" t="s">
        <v>71</v>
      </c>
      <c r="M945" s="102" t="str">
        <f>IFNA(VLOOKUP(L945,'🙎‍♂️ Pasien'!G:V,2,FALSE),"")</f>
        <v>L5925109995</v>
      </c>
      <c r="N945" s="103">
        <f>IFNA(VLOOKUP(L945,'🙎‍♂️ Pasien'!G:L,3,FALSE),"")</f>
        <v>67</v>
      </c>
      <c r="O945" s="104" t="str">
        <f>IFNA(VLOOKUP(L945,'🙎‍♂️ Pasien'!G:V,6,FALSE),"")</f>
        <v>PEREMPUAN</v>
      </c>
      <c r="P945" s="104" t="str">
        <f>IFNA(VLOOKUP(L945,'🙎‍♂️ Pasien'!G:V,12,FALSE),"")</f>
        <v>KATOLIK</v>
      </c>
      <c r="Q945" s="104" t="str">
        <f>IFNA(VLOOKUP(L945:L1508,'🙎‍♂️ Pasien'!G:V,13,FALSE),"")</f>
        <v>WIRASWASTA</v>
      </c>
      <c r="R945" s="104" t="str">
        <f t="array" ref="R945">ifna(xlookup(L945,'🙎‍♂️ Pasien'!$G$5:$G1508,'🙎‍♂️ Pasien'!$T$5:$T1508),"")</f>
        <v>LUTUT</v>
      </c>
      <c r="S945" s="104" t="str">
        <f t="array" ref="S945">ifna(xlookup(L945,'🙎‍♂️ Pasien'!$G$5:$G1508,'🙎‍♂️ Pasien'!$U$5:$U1508),"")</f>
        <v>IBU RUMAH TANGGA</v>
      </c>
      <c r="T945" s="97" t="s">
        <v>59</v>
      </c>
      <c r="U945" s="105">
        <v>1.0</v>
      </c>
      <c r="V945" s="101" t="s">
        <v>256</v>
      </c>
      <c r="W945" s="106" t="b">
        <v>1</v>
      </c>
      <c r="X945" s="107"/>
      <c r="Y945" s="108"/>
    </row>
    <row r="946" ht="22.5" customHeight="1">
      <c r="A946" s="96"/>
      <c r="B946" s="97" t="s">
        <v>53</v>
      </c>
      <c r="C946" s="98" t="str">
        <f t="array" ref="C946">IFNA(XLOOKUP(J946,'⚙️ Pengaturan'!$H$5:$H1508,'⚙️ Pengaturan'!$I$5:$I1508),"")</f>
        <v>TIM Y</v>
      </c>
      <c r="D946" s="97" t="s">
        <v>86</v>
      </c>
      <c r="E946" s="99">
        <v>45987.0</v>
      </c>
      <c r="F946" s="100" t="str">
        <f t="shared" si="1"/>
        <v>2025</v>
      </c>
      <c r="G946" s="100" t="str">
        <f t="shared" si="2"/>
        <v>11Nov</v>
      </c>
      <c r="H946" s="100" t="str">
        <f t="shared" si="3"/>
        <v>Rabu</v>
      </c>
      <c r="I946" s="97" t="s">
        <v>65</v>
      </c>
      <c r="J946" s="97" t="s">
        <v>56</v>
      </c>
      <c r="K946" s="97" t="s">
        <v>63</v>
      </c>
      <c r="L946" s="101" t="s">
        <v>160</v>
      </c>
      <c r="M946" s="102" t="str">
        <f>IFNA(VLOOKUP(L946,'🙎‍♂️ Pasien'!G:V,2,FALSE),"")</f>
        <v>S7625091177</v>
      </c>
      <c r="N946" s="103">
        <f>IFNA(VLOOKUP(L946,'🙎‍♂️ Pasien'!G:L,3,FALSE),"")</f>
        <v>49</v>
      </c>
      <c r="O946" s="104" t="str">
        <f>IFNA(VLOOKUP(L946,'🙎‍♂️ Pasien'!G:V,6,FALSE),"")</f>
        <v>LAKI-LAKI</v>
      </c>
      <c r="P946" s="104" t="str">
        <f>IFNA(VLOOKUP(L946,'🙎‍♂️ Pasien'!G:V,12,FALSE),"")</f>
        <v>ISLAM</v>
      </c>
      <c r="Q946" s="104" t="str">
        <f>IFNA(VLOOKUP(L946:L1508,'🙎‍♂️ Pasien'!G:V,13,FALSE),"")</f>
        <v>WIRASWASTA</v>
      </c>
      <c r="R946" s="104" t="str">
        <f t="array" ref="R946">ifna(xlookup(L946,'🙎‍♂️ Pasien'!$G$5:$G1508,'🙎‍♂️ Pasien'!$T$5:$T1508),"")</f>
        <v>CEDERA LUTUT</v>
      </c>
      <c r="S946" s="104" t="str">
        <f t="array" ref="S946">ifna(xlookup(L946,'🙎‍♂️ Pasien'!$G$5:$G1508,'🙎‍♂️ Pasien'!$U$5:$U1508),"")</f>
        <v>MAIN BADMINTON</v>
      </c>
      <c r="T946" s="97" t="s">
        <v>67</v>
      </c>
      <c r="U946" s="105">
        <v>5.0</v>
      </c>
      <c r="V946" s="101" t="s">
        <v>580</v>
      </c>
      <c r="W946" s="106" t="b">
        <v>1</v>
      </c>
      <c r="X946" s="107"/>
      <c r="Y946" s="108"/>
    </row>
    <row r="947" ht="22.5" customHeight="1">
      <c r="A947" s="96"/>
      <c r="B947" s="97" t="s">
        <v>53</v>
      </c>
      <c r="C947" s="98" t="str">
        <f t="array" ref="C947">IFNA(XLOOKUP(J947,'⚙️ Pengaturan'!$H$5:$H1508,'⚙️ Pengaturan'!$I$5:$I1508),"")</f>
        <v>TIM Y</v>
      </c>
      <c r="D947" s="97" t="s">
        <v>86</v>
      </c>
      <c r="E947" s="99">
        <v>45987.0</v>
      </c>
      <c r="F947" s="100" t="str">
        <f t="shared" si="1"/>
        <v>2025</v>
      </c>
      <c r="G947" s="100" t="str">
        <f t="shared" si="2"/>
        <v>11Nov</v>
      </c>
      <c r="H947" s="100" t="str">
        <f t="shared" si="3"/>
        <v>Rabu</v>
      </c>
      <c r="I947" s="97" t="s">
        <v>74</v>
      </c>
      <c r="J947" s="97" t="s">
        <v>56</v>
      </c>
      <c r="K947" s="97" t="s">
        <v>63</v>
      </c>
      <c r="L947" s="101" t="s">
        <v>546</v>
      </c>
      <c r="M947" s="102" t="str">
        <f>IFNA(VLOOKUP(L947,'🙎‍♂️ Pasien'!G:V,2,FALSE),"")</f>
        <v/>
      </c>
      <c r="N947" s="103" t="str">
        <f>IFNA(VLOOKUP(L947,'🙎‍♂️ Pasien'!G:L,3,FALSE),"")</f>
        <v/>
      </c>
      <c r="O947" s="104" t="str">
        <f>IFNA(VLOOKUP(L947,'🙎‍♂️ Pasien'!G:V,6,FALSE),"")</f>
        <v/>
      </c>
      <c r="P947" s="104" t="str">
        <f>IFNA(VLOOKUP(L947,'🙎‍♂️ Pasien'!G:V,12,FALSE),"")</f>
        <v/>
      </c>
      <c r="Q947" s="104" t="str">
        <f>IFNA(VLOOKUP(L947:L1508,'🙎‍♂️ Pasien'!G:V,13,FALSE),"")</f>
        <v/>
      </c>
      <c r="R947" s="104" t="str">
        <f t="array" ref="R947">ifna(xlookup(L947,'🙎‍♂️ Pasien'!$G$5:$G1508,'🙎‍♂️ Pasien'!$T$5:$T1508),"")</f>
        <v/>
      </c>
      <c r="S947" s="104" t="str">
        <f t="array" ref="S947">ifna(xlookup(L947,'🙎‍♂️ Pasien'!$G$5:$G1508,'🙎‍♂️ Pasien'!$U$5:$U1508),"")</f>
        <v/>
      </c>
      <c r="T947" s="97" t="s">
        <v>59</v>
      </c>
      <c r="U947" s="105">
        <v>5.0</v>
      </c>
      <c r="V947" s="101" t="s">
        <v>125</v>
      </c>
      <c r="W947" s="106" t="b">
        <v>1</v>
      </c>
      <c r="X947" s="107"/>
      <c r="Y947" s="108"/>
    </row>
    <row r="948" ht="22.5" customHeight="1">
      <c r="A948" s="96"/>
      <c r="B948" s="97" t="s">
        <v>53</v>
      </c>
      <c r="C948" s="98" t="str">
        <f t="array" ref="C948">IFNA(XLOOKUP(J948,'⚙️ Pengaturan'!$H$5:$H1508,'⚙️ Pengaturan'!$I$5:$I1508),"")</f>
        <v>TIM A</v>
      </c>
      <c r="D948" s="97" t="s">
        <v>86</v>
      </c>
      <c r="E948" s="99">
        <v>45987.0</v>
      </c>
      <c r="F948" s="100" t="str">
        <f t="shared" si="1"/>
        <v>2025</v>
      </c>
      <c r="G948" s="100" t="str">
        <f t="shared" si="2"/>
        <v>11Nov</v>
      </c>
      <c r="H948" s="100" t="str">
        <f t="shared" si="3"/>
        <v>Rabu</v>
      </c>
      <c r="I948" s="97" t="s">
        <v>74</v>
      </c>
      <c r="J948" s="97" t="s">
        <v>79</v>
      </c>
      <c r="K948" s="97" t="s">
        <v>57</v>
      </c>
      <c r="L948" s="101" t="s">
        <v>581</v>
      </c>
      <c r="M948" s="102" t="str">
        <f>IFNA(VLOOKUP(L948,'🙎‍♂️ Pasien'!G:V,2,FALSE),"")</f>
        <v>Z9524058455</v>
      </c>
      <c r="N948" s="103">
        <f>IFNA(VLOOKUP(L948,'🙎‍♂️ Pasien'!G:L,3,FALSE),"")</f>
        <v>31</v>
      </c>
      <c r="O948" s="104" t="str">
        <f>IFNA(VLOOKUP(L948,'🙎‍♂️ Pasien'!G:V,6,FALSE),"")</f>
        <v>LAKI-LAKI</v>
      </c>
      <c r="P948" s="104" t="str">
        <f>IFNA(VLOOKUP(L948,'🙎‍♂️ Pasien'!G:V,12,FALSE),"")</f>
        <v>ISLAM</v>
      </c>
      <c r="Q948" s="104" t="str">
        <f>IFNA(VLOOKUP(L948:L1508,'🙎‍♂️ Pasien'!G:V,13,FALSE),"")</f>
        <v>WIRASWASTA</v>
      </c>
      <c r="R948" s="104" t="str">
        <f t="array" ref="R948">ifna(xlookup(L948,'🙎‍♂️ Pasien'!$G$5:$G1508,'🙎‍♂️ Pasien'!$T$5:$T1508),"")</f>
        <v>Selisih</v>
      </c>
      <c r="S948" s="104" t="str">
        <f t="array" ref="S948">ifna(xlookup(L948,'🙎‍♂️ Pasien'!$G$5:$G1508,'🙎‍♂️ Pasien'!$U$5:$U1508),"")</f>
        <v>Olahraga</v>
      </c>
      <c r="T948" s="97" t="s">
        <v>59</v>
      </c>
      <c r="U948" s="105" t="s">
        <v>60</v>
      </c>
      <c r="V948" s="101"/>
      <c r="W948" s="106" t="b">
        <v>1</v>
      </c>
      <c r="X948" s="107"/>
      <c r="Y948" s="108"/>
    </row>
    <row r="949" ht="22.5" customHeight="1">
      <c r="A949" s="96"/>
      <c r="B949" s="97" t="s">
        <v>53</v>
      </c>
      <c r="C949" s="98" t="str">
        <f t="array" ref="C949">IFNA(XLOOKUP(J949,'⚙️ Pengaturan'!$H$5:$H1508,'⚙️ Pengaturan'!$I$5:$I1508),"")</f>
        <v>TIM Y</v>
      </c>
      <c r="D949" s="97" t="s">
        <v>86</v>
      </c>
      <c r="E949" s="99">
        <v>45987.0</v>
      </c>
      <c r="F949" s="100" t="str">
        <f t="shared" si="1"/>
        <v>2025</v>
      </c>
      <c r="G949" s="100" t="str">
        <f t="shared" si="2"/>
        <v>11Nov</v>
      </c>
      <c r="H949" s="100" t="str">
        <f t="shared" si="3"/>
        <v>Rabu</v>
      </c>
      <c r="I949" s="97" t="s">
        <v>76</v>
      </c>
      <c r="J949" s="97" t="s">
        <v>56</v>
      </c>
      <c r="K949" s="97" t="s">
        <v>57</v>
      </c>
      <c r="L949" s="101" t="s">
        <v>582</v>
      </c>
      <c r="M949" s="102" t="str">
        <f>IFNA(VLOOKUP(L949,'🙎‍♂️ Pasien'!G:V,2,FALSE),"")</f>
        <v>B8225112104</v>
      </c>
      <c r="N949" s="103">
        <f>IFNA(VLOOKUP(L949,'🙎‍♂️ Pasien'!G:L,3,FALSE),"")</f>
        <v>43</v>
      </c>
      <c r="O949" s="104" t="str">
        <f>IFNA(VLOOKUP(L949,'🙎‍♂️ Pasien'!G:V,6,FALSE),"")</f>
        <v>LAKI-LAKI</v>
      </c>
      <c r="P949" s="104" t="str">
        <f>IFNA(VLOOKUP(L949,'🙎‍♂️ Pasien'!G:V,12,FALSE),"")</f>
        <v>PROTESTAN</v>
      </c>
      <c r="Q949" s="104" t="str">
        <f>IFNA(VLOOKUP(L949:L1508,'🙎‍♂️ Pasien'!G:V,13,FALSE),"")</f>
        <v>TNI AD</v>
      </c>
      <c r="R949" s="104" t="str">
        <f t="array" ref="R949">ifna(xlookup(L949,'🙎‍♂️ Pasien'!$G$5:$G1508,'🙎‍♂️ Pasien'!$T$5:$T1508),"")</f>
        <v>CEDERA DI BAHU SEBELAH KIRI</v>
      </c>
      <c r="S949" s="104" t="str">
        <f t="array" ref="S949">ifna(xlookup(L949,'🙎‍♂️ Pasien'!$G$5:$G1508,'🙎‍♂️ Pasien'!$U$5:$U1508),"")</f>
        <v>GYM (FITNESS)</v>
      </c>
      <c r="T949" s="97" t="s">
        <v>59</v>
      </c>
      <c r="U949" s="105" t="s">
        <v>60</v>
      </c>
      <c r="V949" s="101"/>
      <c r="W949" s="106" t="b">
        <v>1</v>
      </c>
      <c r="X949" s="107"/>
      <c r="Y949" s="108"/>
    </row>
    <row r="950" ht="22.5" customHeight="1">
      <c r="A950" s="96"/>
      <c r="B950" s="97" t="s">
        <v>53</v>
      </c>
      <c r="C950" s="98" t="str">
        <f t="array" ref="C950">IFNA(XLOOKUP(J950,'⚙️ Pengaturan'!$H$5:$H1508,'⚙️ Pengaturan'!$I$5:$I1508),"")</f>
        <v>TIM A</v>
      </c>
      <c r="D950" s="97" t="s">
        <v>86</v>
      </c>
      <c r="E950" s="99">
        <v>45987.0</v>
      </c>
      <c r="F950" s="100" t="str">
        <f t="shared" si="1"/>
        <v>2025</v>
      </c>
      <c r="G950" s="100" t="str">
        <f t="shared" si="2"/>
        <v>11Nov</v>
      </c>
      <c r="H950" s="100" t="str">
        <f t="shared" si="3"/>
        <v>Rabu</v>
      </c>
      <c r="I950" s="97" t="s">
        <v>76</v>
      </c>
      <c r="J950" s="97" t="s">
        <v>72</v>
      </c>
      <c r="K950" s="97" t="s">
        <v>63</v>
      </c>
      <c r="L950" s="101" t="s">
        <v>414</v>
      </c>
      <c r="M950" s="102" t="str">
        <f>IFNA(VLOOKUP(L950,'🙎‍♂️ Pasien'!G:V,2,FALSE),"")</f>
        <v>R8723125757</v>
      </c>
      <c r="N950" s="103">
        <f>IFNA(VLOOKUP(L950,'🙎‍♂️ Pasien'!G:L,3,FALSE),"")</f>
        <v>39</v>
      </c>
      <c r="O950" s="104" t="str">
        <f>IFNA(VLOOKUP(L950,'🙎‍♂️ Pasien'!G:V,6,FALSE),"")</f>
        <v>LAKI-LAKI</v>
      </c>
      <c r="P950" s="104" t="str">
        <f>IFNA(VLOOKUP(L950,'🙎‍♂️ Pasien'!G:V,12,FALSE),"")</f>
        <v>ISLAM</v>
      </c>
      <c r="Q950" s="104" t="str">
        <f>IFNA(VLOOKUP(L950:L1508,'🙎‍♂️ Pasien'!G:V,13,FALSE),"")</f>
        <v>SWASTA</v>
      </c>
      <c r="R950" s="104" t="str">
        <f t="array" ref="R950">ifna(xlookup(L950,'🙎‍♂️ Pasien'!$G$5:$G1508,'🙎‍♂️ Pasien'!$T$5:$T1508),"")</f>
        <v>Cidera</v>
      </c>
      <c r="S950" s="104" t="str">
        <f t="array" ref="S950">ifna(xlookup(L950,'🙎‍♂️ Pasien'!$G$5:$G1508,'🙎‍♂️ Pasien'!$U$5:$U1508),"")</f>
        <v>Olahraga</v>
      </c>
      <c r="T950" s="97" t="s">
        <v>59</v>
      </c>
      <c r="U950" s="105">
        <v>3.0</v>
      </c>
      <c r="V950" s="101"/>
      <c r="W950" s="106" t="b">
        <v>1</v>
      </c>
      <c r="X950" s="107"/>
      <c r="Y950" s="108"/>
    </row>
    <row r="951" ht="22.5" customHeight="1">
      <c r="A951" s="96"/>
      <c r="B951" s="97" t="s">
        <v>53</v>
      </c>
      <c r="C951" s="98" t="str">
        <f t="array" ref="C951">IFNA(XLOOKUP(J951,'⚙️ Pengaturan'!$H$5:$H1508,'⚙️ Pengaturan'!$I$5:$I1508),"")</f>
        <v>TIM A</v>
      </c>
      <c r="D951" s="97" t="s">
        <v>86</v>
      </c>
      <c r="E951" s="99">
        <v>45987.0</v>
      </c>
      <c r="F951" s="100" t="str">
        <f t="shared" si="1"/>
        <v>2025</v>
      </c>
      <c r="G951" s="100" t="str">
        <f t="shared" si="2"/>
        <v>11Nov</v>
      </c>
      <c r="H951" s="100" t="str">
        <f t="shared" si="3"/>
        <v>Rabu</v>
      </c>
      <c r="I951" s="97" t="s">
        <v>83</v>
      </c>
      <c r="J951" s="97" t="s">
        <v>72</v>
      </c>
      <c r="K951" s="97" t="s">
        <v>63</v>
      </c>
      <c r="L951" s="101" t="s">
        <v>381</v>
      </c>
      <c r="M951" s="102" t="str">
        <f>IFNA(VLOOKUP(L951,'🙎‍♂️ Pasien'!G:V,2,FALSE),"")</f>
        <v>A9925105509</v>
      </c>
      <c r="N951" s="103">
        <f>IFNA(VLOOKUP(L951,'🙎‍♂️ Pasien'!G:L,3,FALSE),"")</f>
        <v>27</v>
      </c>
      <c r="O951" s="104" t="str">
        <f>IFNA(VLOOKUP(L951,'🙎‍♂️ Pasien'!G:V,6,FALSE),"")</f>
        <v>PEREMPUAN</v>
      </c>
      <c r="P951" s="104" t="str">
        <f>IFNA(VLOOKUP(L951,'🙎‍♂️ Pasien'!G:V,12,FALSE),"")</f>
        <v>BUDDHA</v>
      </c>
      <c r="Q951" s="104" t="str">
        <f>IFNA(VLOOKUP(L951:L1508,'🙎‍♂️ Pasien'!G:V,13,FALSE),"")</f>
        <v>WIRASWASTA</v>
      </c>
      <c r="R951" s="104" t="str">
        <f t="array" ref="R951">ifna(xlookup(L951,'🙎‍♂️ Pasien'!$G$5:$G1508,'🙎‍♂️ Pasien'!$T$5:$T1508),"")</f>
        <v>KAKI BEKAS ANKLE SPRAIN SUDAH DITRE DAN BAHU PEGAL</v>
      </c>
      <c r="S951" s="104" t="str">
        <f t="array" ref="S951">ifna(xlookup(L951,'🙎‍♂️ Pasien'!$G$5:$G1508,'🙎‍♂️ Pasien'!$U$5:$U1508),"")</f>
        <v>2 MINGGU LALU JATUH DARI KETINGGIAN</v>
      </c>
      <c r="T951" s="97" t="s">
        <v>59</v>
      </c>
      <c r="U951" s="105">
        <v>4.0</v>
      </c>
      <c r="V951" s="101"/>
      <c r="W951" s="106" t="b">
        <v>1</v>
      </c>
      <c r="X951" s="107"/>
      <c r="Y951" s="108"/>
    </row>
    <row r="952" ht="22.5" customHeight="1">
      <c r="A952" s="96"/>
      <c r="B952" s="97" t="s">
        <v>85</v>
      </c>
      <c r="C952" s="98" t="str">
        <f t="array" ref="C952">IFNA(XLOOKUP(J952,'⚙️ Pengaturan'!$H$5:$H1508,'⚙️ Pengaturan'!$I$5:$I1508),"")</f>
        <v>TIM Y</v>
      </c>
      <c r="D952" s="97" t="s">
        <v>54</v>
      </c>
      <c r="E952" s="99">
        <v>45987.0</v>
      </c>
      <c r="F952" s="100" t="str">
        <f t="shared" si="1"/>
        <v>2025</v>
      </c>
      <c r="G952" s="100" t="str">
        <f t="shared" si="2"/>
        <v>11Nov</v>
      </c>
      <c r="H952" s="100" t="str">
        <f t="shared" si="3"/>
        <v>Rabu</v>
      </c>
      <c r="I952" s="97" t="s">
        <v>87</v>
      </c>
      <c r="J952" s="97" t="s">
        <v>91</v>
      </c>
      <c r="K952" s="97" t="s">
        <v>57</v>
      </c>
      <c r="L952" s="101" t="s">
        <v>583</v>
      </c>
      <c r="M952" s="102" t="str">
        <f>IFNA(VLOOKUP(L952,'🙎‍♂️ Pasien'!G:V,2,FALSE),"")</f>
        <v>R0025116078</v>
      </c>
      <c r="N952" s="103">
        <f>IFNA(VLOOKUP(L952,'🙎‍♂️ Pasien'!G:L,3,FALSE),"")</f>
        <v>25</v>
      </c>
      <c r="O952" s="104" t="str">
        <f>IFNA(VLOOKUP(L952,'🙎‍♂️ Pasien'!G:V,6,FALSE),"")</f>
        <v>PEREMPUAN</v>
      </c>
      <c r="P952" s="104" t="str">
        <f>IFNA(VLOOKUP(L952,'🙎‍♂️ Pasien'!G:V,12,FALSE),"")</f>
        <v>PROTESTAN</v>
      </c>
      <c r="Q952" s="104" t="str">
        <f>IFNA(VLOOKUP(L952:L1508,'🙎‍♂️ Pasien'!G:V,13,FALSE),"")</f>
        <v>WIRASWASTA</v>
      </c>
      <c r="R952" s="104" t="str">
        <f t="array" ref="R952">ifna(xlookup(L952,'🙎‍♂️ Pasien'!$G$5:$G1508,'🙎‍♂️ Pasien'!$T$5:$T1508),"")</f>
        <v>CEDERA BAGIAN JARI</v>
      </c>
      <c r="S952" s="104" t="str">
        <f t="array" ref="S952">ifna(xlookup(L952,'🙎‍♂️ Pasien'!$G$5:$G1508,'🙎‍♂️ Pasien'!$U$5:$U1508),"")</f>
        <v>OLAHRAGA (BELA DIRI TAEKWONDO, WORKOUT)</v>
      </c>
      <c r="T952" s="97" t="s">
        <v>59</v>
      </c>
      <c r="U952" s="105" t="s">
        <v>60</v>
      </c>
      <c r="V952" s="101"/>
      <c r="W952" s="106" t="b">
        <v>1</v>
      </c>
      <c r="X952" s="107"/>
      <c r="Y952" s="108"/>
    </row>
    <row r="953" ht="22.5" customHeight="1">
      <c r="A953" s="96"/>
      <c r="B953" s="97" t="s">
        <v>85</v>
      </c>
      <c r="C953" s="98" t="str">
        <f t="array" ref="C953">IFNA(XLOOKUP(J953,'⚙️ Pengaturan'!$H$5:$H1508,'⚙️ Pengaturan'!$I$5:$I1508),"")</f>
        <v>TIM Y</v>
      </c>
      <c r="D953" s="97" t="s">
        <v>54</v>
      </c>
      <c r="E953" s="99">
        <v>45987.0</v>
      </c>
      <c r="F953" s="100" t="str">
        <f t="shared" si="1"/>
        <v>2025</v>
      </c>
      <c r="G953" s="100" t="str">
        <f t="shared" si="2"/>
        <v>11Nov</v>
      </c>
      <c r="H953" s="100" t="str">
        <f t="shared" si="3"/>
        <v>Rabu</v>
      </c>
      <c r="I953" s="97" t="s">
        <v>87</v>
      </c>
      <c r="J953" s="97" t="s">
        <v>107</v>
      </c>
      <c r="K953" s="97" t="s">
        <v>63</v>
      </c>
      <c r="L953" s="101" t="s">
        <v>267</v>
      </c>
      <c r="M953" s="102" t="str">
        <f>IFNA(VLOOKUP(L953,'🙎‍♂️ Pasien'!G:V,2,FALSE),"")</f>
        <v>R8825109439</v>
      </c>
      <c r="N953" s="103">
        <f>IFNA(VLOOKUP(L953,'🙎‍♂️ Pasien'!G:L,3,FALSE),"")</f>
        <v>38</v>
      </c>
      <c r="O953" s="104" t="str">
        <f>IFNA(VLOOKUP(L953,'🙎‍♂️ Pasien'!G:V,6,FALSE),"")</f>
        <v>LAKI-LAKI</v>
      </c>
      <c r="P953" s="104" t="str">
        <f>IFNA(VLOOKUP(L953,'🙎‍♂️ Pasien'!G:V,12,FALSE),"")</f>
        <v>KATOLIK</v>
      </c>
      <c r="Q953" s="104" t="str">
        <f>IFNA(VLOOKUP(L953:L1508,'🙎‍♂️ Pasien'!G:V,13,FALSE),"")</f>
        <v>KARYAWAN SWASTA</v>
      </c>
      <c r="R953" s="104" t="str">
        <f t="array" ref="R953">ifna(xlookup(L953,'🙎‍♂️ Pasien'!$G$5:$G1508,'🙎‍♂️ Pasien'!$T$5:$T1508),"")</f>
        <v>ASSESSMENT BADAN UNTUK PERSIAPAN LARI MARATON</v>
      </c>
      <c r="S953" s="104" t="str">
        <f t="array" ref="S953">ifna(xlookup(L953,'🙎‍♂️ Pasien'!$G$5:$G1508,'🙎‍♂️ Pasien'!$U$5:$U1508),"")</f>
        <v>LARI</v>
      </c>
      <c r="T953" s="97" t="s">
        <v>59</v>
      </c>
      <c r="U953" s="105">
        <v>1.0</v>
      </c>
      <c r="V953" s="101" t="s">
        <v>256</v>
      </c>
      <c r="W953" s="106" t="b">
        <v>1</v>
      </c>
      <c r="X953" s="107"/>
      <c r="Y953" s="108"/>
    </row>
    <row r="954" ht="22.5" customHeight="1">
      <c r="A954" s="96"/>
      <c r="B954" s="97" t="s">
        <v>85</v>
      </c>
      <c r="C954" s="98" t="str">
        <f t="array" ref="C954">IFNA(XLOOKUP(J954,'⚙️ Pengaturan'!$H$5:$H1508,'⚙️ Pengaturan'!$I$5:$I1508),"")</f>
        <v>TIM Y</v>
      </c>
      <c r="D954" s="97" t="s">
        <v>54</v>
      </c>
      <c r="E954" s="99">
        <v>45987.0</v>
      </c>
      <c r="F954" s="100" t="str">
        <f t="shared" si="1"/>
        <v>2025</v>
      </c>
      <c r="G954" s="100" t="str">
        <f t="shared" si="2"/>
        <v>11Nov</v>
      </c>
      <c r="H954" s="100" t="str">
        <f t="shared" si="3"/>
        <v>Rabu</v>
      </c>
      <c r="I954" s="97" t="s">
        <v>87</v>
      </c>
      <c r="J954" s="97" t="s">
        <v>88</v>
      </c>
      <c r="K954" s="97" t="s">
        <v>69</v>
      </c>
      <c r="L954" s="101" t="s">
        <v>251</v>
      </c>
      <c r="M954" s="102" t="str">
        <f>IFNA(VLOOKUP(L954,'🙎‍♂️ Pasien'!G:V,2,FALSE),"")</f>
        <v/>
      </c>
      <c r="N954" s="103" t="str">
        <f>IFNA(VLOOKUP(L954,'🙎‍♂️ Pasien'!G:L,3,FALSE),"")</f>
        <v/>
      </c>
      <c r="O954" s="104" t="str">
        <f>IFNA(VLOOKUP(L954,'🙎‍♂️ Pasien'!G:V,6,FALSE),"")</f>
        <v/>
      </c>
      <c r="P954" s="104" t="str">
        <f>IFNA(VLOOKUP(L954,'🙎‍♂️ Pasien'!G:V,12,FALSE),"")</f>
        <v/>
      </c>
      <c r="Q954" s="104" t="str">
        <f>IFNA(VLOOKUP(L954:L1508,'🙎‍♂️ Pasien'!G:V,13,FALSE),"")</f>
        <v/>
      </c>
      <c r="R954" s="104" t="str">
        <f t="array" ref="R954">ifna(xlookup(L954,'🙎‍♂️ Pasien'!$G$5:$G1508,'🙎‍♂️ Pasien'!$T$5:$T1508),"")</f>
        <v/>
      </c>
      <c r="S954" s="104" t="str">
        <f t="array" ref="S954">ifna(xlookup(L954,'🙎‍♂️ Pasien'!$G$5:$G1508,'🙎‍♂️ Pasien'!$U$5:$U1508),"")</f>
        <v/>
      </c>
      <c r="T954" s="97" t="s">
        <v>59</v>
      </c>
      <c r="U954" s="105" t="s">
        <v>60</v>
      </c>
      <c r="V954" s="101" t="s">
        <v>584</v>
      </c>
      <c r="W954" s="106" t="b">
        <v>1</v>
      </c>
      <c r="X954" s="107"/>
      <c r="Y954" s="108"/>
    </row>
    <row r="955" ht="22.5" customHeight="1">
      <c r="A955" s="96"/>
      <c r="B955" s="97" t="s">
        <v>85</v>
      </c>
      <c r="C955" s="98" t="str">
        <f t="array" ref="C955">IFNA(XLOOKUP(J955,'⚙️ Pengaturan'!$H$5:$H1508,'⚙️ Pengaturan'!$I$5:$I1508),"")</f>
        <v>TIM Y</v>
      </c>
      <c r="D955" s="97" t="s">
        <v>54</v>
      </c>
      <c r="E955" s="99">
        <v>45987.0</v>
      </c>
      <c r="F955" s="100" t="str">
        <f t="shared" si="1"/>
        <v>2025</v>
      </c>
      <c r="G955" s="100" t="str">
        <f t="shared" si="2"/>
        <v>11Nov</v>
      </c>
      <c r="H955" s="100" t="str">
        <f t="shared" si="3"/>
        <v>Rabu</v>
      </c>
      <c r="I955" s="97" t="s">
        <v>93</v>
      </c>
      <c r="J955" s="97" t="s">
        <v>91</v>
      </c>
      <c r="K955" s="97" t="s">
        <v>63</v>
      </c>
      <c r="L955" s="101" t="s">
        <v>225</v>
      </c>
      <c r="M955" s="102" t="str">
        <f>IFNA(VLOOKUP(L955,'🙎‍♂️ Pasien'!G:V,2,FALSE),"")</f>
        <v>B8025102288</v>
      </c>
      <c r="N955" s="103">
        <f>IFNA(VLOOKUP(L955,'🙎‍♂️ Pasien'!G:L,3,FALSE),"")</f>
        <v>45</v>
      </c>
      <c r="O955" s="104" t="str">
        <f>IFNA(VLOOKUP(L955,'🙎‍♂️ Pasien'!G:V,6,FALSE),"")</f>
        <v>PEREMPUAN</v>
      </c>
      <c r="P955" s="104" t="str">
        <f>IFNA(VLOOKUP(L955,'🙎‍♂️ Pasien'!G:V,12,FALSE),"")</f>
        <v>ISLAM</v>
      </c>
      <c r="Q955" s="104" t="str">
        <f>IFNA(VLOOKUP(L955:L1508,'🙎‍♂️ Pasien'!G:V,13,FALSE),"")</f>
        <v>ASN</v>
      </c>
      <c r="R955" s="104" t="str">
        <f t="array" ref="R955">ifna(xlookup(L955,'🙎‍♂️ Pasien'!$G$5:$G1508,'🙎‍♂️ Pasien'!$T$5:$T1508),"")</f>
        <v>KELUHAN SY NYERI DI TUMIT KIRI SM PAHA KANAN UT DIANGKAT SAMBIL DITEKUK KE ARAH SAMPING LUAR RASA NYA NYERI</v>
      </c>
      <c r="S955" s="104" t="str">
        <f t="array" ref="S955">ifna(xlookup(L955,'🙎‍♂️ Pasien'!$G$5:$G1508,'🙎‍♂️ Pasien'!$U$5:$U1508),"")</f>
        <v>JOGING</v>
      </c>
      <c r="T955" s="97" t="s">
        <v>59</v>
      </c>
      <c r="U955" s="105">
        <v>5.0</v>
      </c>
      <c r="V955" s="101" t="s">
        <v>125</v>
      </c>
      <c r="W955" s="106" t="b">
        <v>1</v>
      </c>
      <c r="X955" s="107"/>
      <c r="Y955" s="108"/>
    </row>
    <row r="956" ht="22.5" customHeight="1">
      <c r="A956" s="96"/>
      <c r="B956" s="97" t="s">
        <v>85</v>
      </c>
      <c r="C956" s="98" t="str">
        <f t="array" ref="C956">IFNA(XLOOKUP(J956,'⚙️ Pengaturan'!$H$5:$H1508,'⚙️ Pengaturan'!$I$5:$I1508),"")</f>
        <v>TIM Y</v>
      </c>
      <c r="D956" s="97" t="s">
        <v>54</v>
      </c>
      <c r="E956" s="99">
        <v>45987.0</v>
      </c>
      <c r="F956" s="100" t="str">
        <f t="shared" si="1"/>
        <v>2025</v>
      </c>
      <c r="G956" s="100" t="str">
        <f t="shared" si="2"/>
        <v>11Nov</v>
      </c>
      <c r="H956" s="100" t="str">
        <f t="shared" si="3"/>
        <v>Rabu</v>
      </c>
      <c r="I956" s="97" t="s">
        <v>95</v>
      </c>
      <c r="J956" s="97" t="s">
        <v>107</v>
      </c>
      <c r="K956" s="97" t="s">
        <v>63</v>
      </c>
      <c r="L956" s="101" t="s">
        <v>573</v>
      </c>
      <c r="M956" s="102" t="str">
        <f>IFNA(VLOOKUP(L956,'🙎‍♂️ Pasien'!G:V,2,FALSE),"")</f>
        <v>D0725113899</v>
      </c>
      <c r="N956" s="103">
        <f>IFNA(VLOOKUP(L956,'🙎‍♂️ Pasien'!G:L,3,FALSE),"")</f>
        <v>18</v>
      </c>
      <c r="O956" s="104" t="str">
        <f>IFNA(VLOOKUP(L956,'🙎‍♂️ Pasien'!G:V,6,FALSE),"")</f>
        <v>PEREMPUAN</v>
      </c>
      <c r="P956" s="104" t="str">
        <f>IFNA(VLOOKUP(L956,'🙎‍♂️ Pasien'!G:V,12,FALSE),"")</f>
        <v>PROTESTAN</v>
      </c>
      <c r="Q956" s="104" t="str">
        <f>IFNA(VLOOKUP(L956:L1508,'🙎‍♂️ Pasien'!G:V,13,FALSE),"")</f>
        <v>MAHASISWA</v>
      </c>
      <c r="R956" s="104" t="str">
        <f t="array" ref="R956">ifna(xlookup(L956,'🙎‍♂️ Pasien'!$G$5:$G1508,'🙎‍♂️ Pasien'!$T$5:$T1508),"")</f>
        <v>KAKI X</v>
      </c>
      <c r="S956" s="104" t="str">
        <f t="array" ref="S956">ifna(xlookup(L956,'🙎‍♂️ Pasien'!$G$5:$G1508,'🙎‍♂️ Pasien'!$U$5:$U1508),"")</f>
        <v>LARI</v>
      </c>
      <c r="T956" s="97" t="s">
        <v>59</v>
      </c>
      <c r="U956" s="105">
        <v>1.0</v>
      </c>
      <c r="V956" s="101"/>
      <c r="W956" s="106" t="b">
        <v>1</v>
      </c>
      <c r="X956" s="107"/>
      <c r="Y956" s="108"/>
    </row>
    <row r="957" ht="22.5" customHeight="1">
      <c r="A957" s="96"/>
      <c r="B957" s="97" t="s">
        <v>85</v>
      </c>
      <c r="C957" s="98" t="str">
        <f t="array" ref="C957">IFNA(XLOOKUP(J957,'⚙️ Pengaturan'!$H$5:$H1508,'⚙️ Pengaturan'!$I$5:$I1508),"")</f>
        <v>TIM Y</v>
      </c>
      <c r="D957" s="97" t="s">
        <v>54</v>
      </c>
      <c r="E957" s="99">
        <v>45987.0</v>
      </c>
      <c r="F957" s="100" t="str">
        <f t="shared" si="1"/>
        <v>2025</v>
      </c>
      <c r="G957" s="100" t="str">
        <f t="shared" si="2"/>
        <v>11Nov</v>
      </c>
      <c r="H957" s="100" t="str">
        <f t="shared" si="3"/>
        <v>Rabu</v>
      </c>
      <c r="I957" s="97" t="s">
        <v>95</v>
      </c>
      <c r="J957" s="97" t="s">
        <v>509</v>
      </c>
      <c r="K957" s="97" t="s">
        <v>57</v>
      </c>
      <c r="L957" s="101" t="s">
        <v>585</v>
      </c>
      <c r="M957" s="102" t="str">
        <f>IFNA(VLOOKUP(L957,'🙎‍♂️ Pasien'!G:V,2,FALSE),"")</f>
        <v>I0025112738</v>
      </c>
      <c r="N957" s="103">
        <f>IFNA(VLOOKUP(L957,'🙎‍♂️ Pasien'!G:L,3,FALSE),"")</f>
        <v>25</v>
      </c>
      <c r="O957" s="104" t="str">
        <f>IFNA(VLOOKUP(L957,'🙎‍♂️ Pasien'!G:V,6,FALSE),"")</f>
        <v>PEREMPUAN</v>
      </c>
      <c r="P957" s="104" t="str">
        <f>IFNA(VLOOKUP(L957,'🙎‍♂️ Pasien'!G:V,12,FALSE),"")</f>
        <v>ISLAM</v>
      </c>
      <c r="Q957" s="104" t="str">
        <f>IFNA(VLOOKUP(L957:L1508,'🙎‍♂️ Pasien'!G:V,13,FALSE),"")</f>
        <v>-</v>
      </c>
      <c r="R957" s="104" t="str">
        <f t="array" ref="R957">ifna(xlookup(L957,'🙎‍♂️ Pasien'!$G$5:$G1508,'🙎‍♂️ Pasien'!$T$5:$T1508),"")</f>
        <v>LUTUT</v>
      </c>
      <c r="S957" s="104" t="str">
        <f t="array" ref="S957">ifna(xlookup(L957,'🙎‍♂️ Pasien'!$G$5:$G1508,'🙎‍♂️ Pasien'!$U$5:$U1508),"")</f>
        <v>-</v>
      </c>
      <c r="T957" s="97" t="s">
        <v>59</v>
      </c>
      <c r="U957" s="105" t="s">
        <v>60</v>
      </c>
      <c r="V957" s="101"/>
      <c r="W957" s="106" t="b">
        <v>1</v>
      </c>
      <c r="X957" s="107"/>
      <c r="Y957" s="108"/>
    </row>
    <row r="958" ht="22.5" customHeight="1">
      <c r="A958" s="96"/>
      <c r="B958" s="97" t="s">
        <v>85</v>
      </c>
      <c r="C958" s="98" t="str">
        <f t="array" ref="C958">IFNA(XLOOKUP(J958,'⚙️ Pengaturan'!$H$5:$H1508,'⚙️ Pengaturan'!$I$5:$I1508),"")</f>
        <v>TIM Y</v>
      </c>
      <c r="D958" s="97" t="s">
        <v>54</v>
      </c>
      <c r="E958" s="99">
        <v>45987.0</v>
      </c>
      <c r="F958" s="100" t="str">
        <f t="shared" si="1"/>
        <v>2025</v>
      </c>
      <c r="G958" s="100" t="str">
        <f t="shared" si="2"/>
        <v>11Nov</v>
      </c>
      <c r="H958" s="100" t="str">
        <f t="shared" si="3"/>
        <v>Rabu</v>
      </c>
      <c r="I958" s="97" t="s">
        <v>97</v>
      </c>
      <c r="J958" s="97" t="s">
        <v>509</v>
      </c>
      <c r="K958" s="97" t="s">
        <v>57</v>
      </c>
      <c r="L958" s="101" t="s">
        <v>586</v>
      </c>
      <c r="M958" s="102" t="str">
        <f>IFNA(VLOOKUP(L958,'🙎‍♂️ Pasien'!G:V,2,FALSE),"")</f>
        <v>B0924114293</v>
      </c>
      <c r="N958" s="103">
        <f>IFNA(VLOOKUP(L958,'🙎‍♂️ Pasien'!G:L,3,FALSE),"")</f>
        <v>16</v>
      </c>
      <c r="O958" s="104" t="str">
        <f>IFNA(VLOOKUP(L958,'🙎‍♂️ Pasien'!G:V,6,FALSE),"")</f>
        <v>LAKI-LAKI</v>
      </c>
      <c r="P958" s="104" t="str">
        <f>IFNA(VLOOKUP(L958,'🙎‍♂️ Pasien'!G:V,12,FALSE),"")</f>
        <v>ISLAM</v>
      </c>
      <c r="Q958" s="104" t="str">
        <f>IFNA(VLOOKUP(L958:L1508,'🙎‍♂️ Pasien'!G:V,13,FALSE),"")</f>
        <v>PELAJAR/MAHASISWA</v>
      </c>
      <c r="R958" s="104" t="str">
        <f t="array" ref="R958">ifna(xlookup(L958,'🙎‍♂️ Pasien'!$G$5:$G1508,'🙎‍♂️ Pasien'!$T$5:$T1508),"")</f>
        <v>SAKIT PADA BAHU</v>
      </c>
      <c r="S958" s="104" t="str">
        <f t="array" ref="S958">ifna(xlookup(L958,'🙎‍♂️ Pasien'!$G$5:$G1508,'🙎‍♂️ Pasien'!$U$5:$U1508),"")</f>
        <v>OLAHARAGA VOLEYY</v>
      </c>
      <c r="T958" s="97" t="s">
        <v>59</v>
      </c>
      <c r="U958" s="105" t="s">
        <v>60</v>
      </c>
      <c r="V958" s="101"/>
      <c r="W958" s="106" t="b">
        <v>1</v>
      </c>
      <c r="X958" s="107"/>
      <c r="Y958" s="108"/>
    </row>
    <row r="959" ht="22.5" customHeight="1">
      <c r="A959" s="96"/>
      <c r="B959" s="97" t="s">
        <v>85</v>
      </c>
      <c r="C959" s="98" t="str">
        <f t="array" ref="C959">IFNA(XLOOKUP(J959,'⚙️ Pengaturan'!$H$5:$H1508,'⚙️ Pengaturan'!$I$5:$I1508),"")</f>
        <v>TIM Y</v>
      </c>
      <c r="D959" s="97" t="s">
        <v>54</v>
      </c>
      <c r="E959" s="99">
        <v>45987.0</v>
      </c>
      <c r="F959" s="100" t="str">
        <f t="shared" si="1"/>
        <v>2025</v>
      </c>
      <c r="G959" s="100" t="str">
        <f t="shared" si="2"/>
        <v>11Nov</v>
      </c>
      <c r="H959" s="100" t="str">
        <f t="shared" si="3"/>
        <v>Rabu</v>
      </c>
      <c r="I959" s="97" t="s">
        <v>97</v>
      </c>
      <c r="J959" s="97" t="s">
        <v>88</v>
      </c>
      <c r="K959" s="97" t="s">
        <v>63</v>
      </c>
      <c r="L959" s="101" t="s">
        <v>98</v>
      </c>
      <c r="M959" s="102" t="str">
        <f>IFNA(VLOOKUP(L959,'🙎‍♂️ Pasien'!G:V,2,FALSE),"")</f>
        <v>L9925048099</v>
      </c>
      <c r="N959" s="103">
        <f>IFNA(VLOOKUP(L959,'🙎‍♂️ Pasien'!G:L,3,FALSE),"")</f>
        <v>26</v>
      </c>
      <c r="O959" s="104" t="str">
        <f>IFNA(VLOOKUP(L959,'🙎‍♂️ Pasien'!G:V,6,FALSE),"")</f>
        <v>PEREMPUAN</v>
      </c>
      <c r="P959" s="104" t="str">
        <f>IFNA(VLOOKUP(L959,'🙎‍♂️ Pasien'!G:V,12,FALSE),"")</f>
        <v>KATOLIK</v>
      </c>
      <c r="Q959" s="104" t="str">
        <f>IFNA(VLOOKUP(L959:L1508,'🙎‍♂️ Pasien'!G:V,13,FALSE),"")</f>
        <v>ACCOUNTING</v>
      </c>
      <c r="R959" s="104" t="str">
        <f t="array" ref="R959">ifna(xlookup(L959,'🙎‍♂️ Pasien'!$G$5:$G1508,'🙎‍♂️ Pasien'!$T$5:$T1508),"")</f>
        <v>NYERI TULANG BELAKANG SAMPAI KAKI, NYERI DI BAGIAN LUTUT JUGA</v>
      </c>
      <c r="S959" s="104" t="str">
        <f t="array" ref="S959">ifna(xlookup(L959,'🙎‍♂️ Pasien'!$G$5:$G1508,'🙎‍♂️ Pasien'!$U$5:$U1508),"")</f>
        <v>BANYAK DUDUK</v>
      </c>
      <c r="T959" s="97" t="s">
        <v>59</v>
      </c>
      <c r="U959" s="105">
        <v>10.0</v>
      </c>
      <c r="V959" s="101" t="s">
        <v>125</v>
      </c>
      <c r="W959" s="106" t="b">
        <v>1</v>
      </c>
      <c r="X959" s="107"/>
      <c r="Y959" s="108"/>
    </row>
    <row r="960" ht="22.5" customHeight="1">
      <c r="A960" s="96"/>
      <c r="B960" s="97" t="s">
        <v>85</v>
      </c>
      <c r="C960" s="98" t="str">
        <f t="array" ref="C960">IFNA(XLOOKUP(J960,'⚙️ Pengaturan'!$H$5:$H1508,'⚙️ Pengaturan'!$I$5:$I1508),"")</f>
        <v>TIM Y</v>
      </c>
      <c r="D960" s="97" t="s">
        <v>54</v>
      </c>
      <c r="E960" s="99">
        <v>45987.0</v>
      </c>
      <c r="F960" s="100" t="str">
        <f t="shared" si="1"/>
        <v>2025</v>
      </c>
      <c r="G960" s="100" t="str">
        <f t="shared" si="2"/>
        <v>11Nov</v>
      </c>
      <c r="H960" s="100" t="str">
        <f t="shared" si="3"/>
        <v>Rabu</v>
      </c>
      <c r="I960" s="97" t="s">
        <v>99</v>
      </c>
      <c r="J960" s="97" t="s">
        <v>88</v>
      </c>
      <c r="K960" s="97" t="s">
        <v>63</v>
      </c>
      <c r="L960" s="101" t="s">
        <v>540</v>
      </c>
      <c r="M960" s="102" t="str">
        <f>IFNA(VLOOKUP(L960,'🙎‍♂️ Pasien'!G:V,2,FALSE),"")</f>
        <v>A9425110177</v>
      </c>
      <c r="N960" s="103">
        <f>IFNA(VLOOKUP(L960,'🙎‍♂️ Pasien'!G:L,3,FALSE),"")</f>
        <v>31</v>
      </c>
      <c r="O960" s="104" t="str">
        <f>IFNA(VLOOKUP(L960,'🙎‍♂️ Pasien'!G:V,6,FALSE),"")</f>
        <v>LAKI-LAKI</v>
      </c>
      <c r="P960" s="104" t="str">
        <f>IFNA(VLOOKUP(L960,'🙎‍♂️ Pasien'!G:V,12,FALSE),"")</f>
        <v>KATOLIK</v>
      </c>
      <c r="Q960" s="104" t="str">
        <f>IFNA(VLOOKUP(L960:L1508,'🙎‍♂️ Pasien'!G:V,13,FALSE),"")</f>
        <v>-</v>
      </c>
      <c r="R960" s="104" t="str">
        <f t="array" ref="R960">ifna(xlookup(L960,'🙎‍♂️ Pasien'!$G$5:$G1508,'🙎‍♂️ Pasien'!$T$5:$T1508),"")</f>
        <v>PASCA OPERASI ACL</v>
      </c>
      <c r="S960" s="104" t="str">
        <f t="array" ref="S960">ifna(xlookup(L960,'🙎‍♂️ Pasien'!$G$5:$G1508,'🙎‍♂️ Pasien'!$U$5:$U1508),"")</f>
        <v>-</v>
      </c>
      <c r="T960" s="97" t="s">
        <v>59</v>
      </c>
      <c r="U960" s="105">
        <v>3.0</v>
      </c>
      <c r="V960" s="101"/>
      <c r="W960" s="106" t="b">
        <v>1</v>
      </c>
      <c r="X960" s="107"/>
      <c r="Y960" s="108"/>
    </row>
    <row r="961" ht="22.5" customHeight="1">
      <c r="A961" s="96"/>
      <c r="B961" s="97" t="s">
        <v>85</v>
      </c>
      <c r="C961" s="98" t="str">
        <f t="array" ref="C961">IFNA(XLOOKUP(J961,'⚙️ Pengaturan'!$H$5:$H1508,'⚙️ Pengaturan'!$I$5:$I1508),"")</f>
        <v>TIM Y</v>
      </c>
      <c r="D961" s="97" t="s">
        <v>54</v>
      </c>
      <c r="E961" s="99">
        <v>45987.0</v>
      </c>
      <c r="F961" s="100" t="str">
        <f t="shared" si="1"/>
        <v>2025</v>
      </c>
      <c r="G961" s="100" t="str">
        <f t="shared" si="2"/>
        <v>11Nov</v>
      </c>
      <c r="H961" s="100" t="str">
        <f t="shared" si="3"/>
        <v>Rabu</v>
      </c>
      <c r="I961" s="97" t="s">
        <v>99</v>
      </c>
      <c r="J961" s="97" t="s">
        <v>91</v>
      </c>
      <c r="K961" s="97" t="s">
        <v>63</v>
      </c>
      <c r="L961" s="101" t="s">
        <v>482</v>
      </c>
      <c r="M961" s="102" t="str">
        <f>IFNA(VLOOKUP(L961,'🙎‍♂️ Pasien'!G:V,2,FALSE),"")</f>
        <v>E9725118035</v>
      </c>
      <c r="N961" s="103">
        <f>IFNA(VLOOKUP(L961,'🙎‍♂️ Pasien'!G:L,3,FALSE),"")</f>
        <v>29</v>
      </c>
      <c r="O961" s="104" t="str">
        <f>IFNA(VLOOKUP(L961,'🙎‍♂️ Pasien'!G:V,6,FALSE),"")</f>
        <v>PEREMPUAN</v>
      </c>
      <c r="P961" s="104" t="str">
        <f>IFNA(VLOOKUP(L961,'🙎‍♂️ Pasien'!G:V,12,FALSE),"")</f>
        <v>BUDDHA</v>
      </c>
      <c r="Q961" s="104" t="str">
        <f>IFNA(VLOOKUP(L961:L1508,'🙎‍♂️ Pasien'!G:V,13,FALSE),"")</f>
        <v>ADMIN</v>
      </c>
      <c r="R961" s="104" t="str">
        <f t="array" ref="R961">ifna(xlookup(L961,'🙎‍♂️ Pasien'!$G$5:$G1508,'🙎‍♂️ Pasien'!$T$5:$T1508),"")</f>
        <v>KAKI KANAN TELAPAK KAKI</v>
      </c>
      <c r="S961" s="104" t="str">
        <f t="array" ref="S961">ifna(xlookup(L961,'🙎‍♂️ Pasien'!$G$5:$G1508,'🙎‍♂️ Pasien'!$U$5:$U1508),"")</f>
        <v>SEBELUMNY ADA AKTIFITAS IKUT MARATON 5K</v>
      </c>
      <c r="T961" s="97" t="s">
        <v>67</v>
      </c>
      <c r="U961" s="105">
        <v>2.0</v>
      </c>
      <c r="V961" s="101" t="s">
        <v>515</v>
      </c>
      <c r="W961" s="106" t="b">
        <v>1</v>
      </c>
      <c r="X961" s="107"/>
      <c r="Y961" s="108"/>
    </row>
    <row r="962" ht="22.5" customHeight="1">
      <c r="A962" s="96"/>
      <c r="B962" s="97" t="s">
        <v>85</v>
      </c>
      <c r="C962" s="98" t="str">
        <f t="array" ref="C962">IFNA(XLOOKUP(J962,'⚙️ Pengaturan'!$H$5:$H1508,'⚙️ Pengaturan'!$I$5:$I1508),"")</f>
        <v>TIM Y</v>
      </c>
      <c r="D962" s="97" t="s">
        <v>54</v>
      </c>
      <c r="E962" s="99">
        <v>45987.0</v>
      </c>
      <c r="F962" s="100" t="str">
        <f t="shared" si="1"/>
        <v>2025</v>
      </c>
      <c r="G962" s="100" t="str">
        <f t="shared" si="2"/>
        <v>11Nov</v>
      </c>
      <c r="H962" s="100" t="str">
        <f t="shared" si="3"/>
        <v>Rabu</v>
      </c>
      <c r="I962" s="97" t="s">
        <v>99</v>
      </c>
      <c r="J962" s="97" t="s">
        <v>91</v>
      </c>
      <c r="K962" s="97" t="s">
        <v>57</v>
      </c>
      <c r="L962" s="101" t="s">
        <v>587</v>
      </c>
      <c r="M962" s="102" t="str">
        <f>IFNA(VLOOKUP(L962,'🙎‍♂️ Pasien'!G:V,2,FALSE),"")</f>
        <v>H0625118331</v>
      </c>
      <c r="N962" s="103">
        <f>IFNA(VLOOKUP(L962,'🙎‍♂️ Pasien'!G:L,3,FALSE),"")</f>
        <v>20</v>
      </c>
      <c r="O962" s="104" t="str">
        <f>IFNA(VLOOKUP(L962,'🙎‍♂️ Pasien'!G:V,6,FALSE),"")</f>
        <v>LAKI-LAKI</v>
      </c>
      <c r="P962" s="104" t="str">
        <f>IFNA(VLOOKUP(L962,'🙎‍♂️ Pasien'!G:V,12,FALSE),"")</f>
        <v>PROTESTAN</v>
      </c>
      <c r="Q962" s="104" t="str">
        <f>IFNA(VLOOKUP(L962:L1508,'🙎‍♂️ Pasien'!G:V,13,FALSE),"")</f>
        <v>-</v>
      </c>
      <c r="R962" s="104" t="str">
        <f t="array" ref="R962">ifna(xlookup(L962,'🙎‍♂️ Pasien'!$G$5:$G1508,'🙎‍♂️ Pasien'!$T$5:$T1508),"")</f>
        <v>NYERI LUTUT SAMPING</v>
      </c>
      <c r="S962" s="104" t="str">
        <f t="array" ref="S962">ifna(xlookup(L962,'🙎‍♂️ Pasien'!$G$5:$G1508,'🙎‍♂️ Pasien'!$U$5:$U1508),"")</f>
        <v>LARI RENANG</v>
      </c>
      <c r="T962" s="97" t="s">
        <v>59</v>
      </c>
      <c r="U962" s="105" t="s">
        <v>60</v>
      </c>
      <c r="V962" s="101"/>
      <c r="W962" s="106" t="b">
        <v>1</v>
      </c>
      <c r="X962" s="107"/>
      <c r="Y962" s="108"/>
    </row>
    <row r="963" ht="22.5" customHeight="1">
      <c r="A963" s="96"/>
      <c r="B963" s="97" t="s">
        <v>53</v>
      </c>
      <c r="C963" s="98" t="str">
        <f t="array" ref="C963">IFNA(XLOOKUP(J963,'⚙️ Pengaturan'!$H$5:$H1508,'⚙️ Pengaturan'!$I$5:$I1508),"")</f>
        <v>TIM Y</v>
      </c>
      <c r="D963" s="97" t="s">
        <v>54</v>
      </c>
      <c r="E963" s="99">
        <v>45988.0</v>
      </c>
      <c r="F963" s="100" t="str">
        <f t="shared" si="1"/>
        <v>2025</v>
      </c>
      <c r="G963" s="100" t="str">
        <f t="shared" si="2"/>
        <v>11Nov</v>
      </c>
      <c r="H963" s="100" t="str">
        <f t="shared" si="3"/>
        <v>Kamis</v>
      </c>
      <c r="I963" s="97" t="s">
        <v>55</v>
      </c>
      <c r="J963" s="97" t="s">
        <v>88</v>
      </c>
      <c r="K963" s="97" t="s">
        <v>57</v>
      </c>
      <c r="L963" s="101" t="s">
        <v>588</v>
      </c>
      <c r="M963" s="102" t="str">
        <f>IFNA(VLOOKUP(L963,'🙎‍♂️ Pasien'!G:V,2,FALSE),"")</f>
        <v>A9125115541</v>
      </c>
      <c r="N963" s="103">
        <f>IFNA(VLOOKUP(L963,'🙎‍♂️ Pasien'!G:L,3,FALSE),"")</f>
        <v>35</v>
      </c>
      <c r="O963" s="104" t="str">
        <f>IFNA(VLOOKUP(L963,'🙎‍♂️ Pasien'!G:V,6,FALSE),"")</f>
        <v>LAKI-LAKI</v>
      </c>
      <c r="P963" s="104" t="str">
        <f>IFNA(VLOOKUP(L963,'🙎‍♂️ Pasien'!G:V,12,FALSE),"")</f>
        <v>KHONGHUCU</v>
      </c>
      <c r="Q963" s="104" t="str">
        <f>IFNA(VLOOKUP(L963:L1508,'🙎‍♂️ Pasien'!G:V,13,FALSE),"")</f>
        <v>WIRASWASTA</v>
      </c>
      <c r="R963" s="104" t="str">
        <f t="array" ref="R963">ifna(xlookup(L963,'🙎‍♂️ Pasien'!$G$5:$G1508,'🙎‍♂️ Pasien'!$T$5:$T1508),"")</f>
        <v>SAKIT DIBAGIAN LUTUT(SAMPING KANAN)</v>
      </c>
      <c r="S963" s="104" t="str">
        <f t="array" ref="S963">ifna(xlookup(L963,'🙎‍♂️ Pasien'!$G$5:$G1508,'🙎‍♂️ Pasien'!$U$5:$U1508),"")</f>
        <v>LARI DAN GYM</v>
      </c>
      <c r="T963" s="97" t="s">
        <v>59</v>
      </c>
      <c r="U963" s="105" t="s">
        <v>60</v>
      </c>
      <c r="V963" s="101"/>
      <c r="W963" s="106" t="b">
        <v>1</v>
      </c>
      <c r="X963" s="107"/>
      <c r="Y963" s="108"/>
    </row>
    <row r="964" ht="22.5" customHeight="1">
      <c r="A964" s="96"/>
      <c r="B964" s="97" t="s">
        <v>53</v>
      </c>
      <c r="C964" s="98" t="str">
        <f t="array" ref="C964">IFNA(XLOOKUP(J964,'⚙️ Pengaturan'!$H$5:$H1508,'⚙️ Pengaturan'!$I$5:$I1508),"")</f>
        <v>MANAJEMEN</v>
      </c>
      <c r="D964" s="97" t="s">
        <v>54</v>
      </c>
      <c r="E964" s="99">
        <v>45988.0</v>
      </c>
      <c r="F964" s="100" t="str">
        <f t="shared" si="1"/>
        <v>2025</v>
      </c>
      <c r="G964" s="100" t="str">
        <f t="shared" si="2"/>
        <v>11Nov</v>
      </c>
      <c r="H964" s="100" t="str">
        <f t="shared" si="3"/>
        <v>Kamis</v>
      </c>
      <c r="I964" s="97" t="s">
        <v>55</v>
      </c>
      <c r="J964" s="97" t="s">
        <v>101</v>
      </c>
      <c r="K964" s="97" t="s">
        <v>63</v>
      </c>
      <c r="L964" s="101" t="s">
        <v>526</v>
      </c>
      <c r="M964" s="102" t="str">
        <f>IFNA(VLOOKUP(L964,'🙎‍♂️ Pasien'!G:V,2,FALSE),"")</f>
        <v>A8825114554</v>
      </c>
      <c r="N964" s="103">
        <f>IFNA(VLOOKUP(L964,'🙎‍♂️ Pasien'!G:L,3,FALSE),"")</f>
        <v>38</v>
      </c>
      <c r="O964" s="104" t="str">
        <f>IFNA(VLOOKUP(L964,'🙎‍♂️ Pasien'!G:V,6,FALSE),"")</f>
        <v>LAKI-LAKI</v>
      </c>
      <c r="P964" s="104" t="str">
        <f>IFNA(VLOOKUP(L964,'🙎‍♂️ Pasien'!G:V,12,FALSE),"")</f>
        <v>ISLAM</v>
      </c>
      <c r="Q964" s="104" t="str">
        <f>IFNA(VLOOKUP(L964:L1508,'🙎‍♂️ Pasien'!G:V,13,FALSE),"")</f>
        <v>FOOTBALL AGENT</v>
      </c>
      <c r="R964" s="104" t="str">
        <f t="array" ref="R964">ifna(xlookup(L964,'🙎‍♂️ Pasien'!$G$5:$G1508,'🙎‍♂️ Pasien'!$T$5:$T1508),"")</f>
        <v>LUTUT KIRI SAKIT SAAT DI TEKUK</v>
      </c>
      <c r="S964" s="104" t="str">
        <f t="array" ref="S964">ifna(xlookup(L964,'🙎‍♂️ Pasien'!$G$5:$G1508,'🙎‍♂️ Pasien'!$U$5:$U1508),"")</f>
        <v>SEPAKBOLA</v>
      </c>
      <c r="T964" s="97" t="s">
        <v>59</v>
      </c>
      <c r="U964" s="105">
        <v>4.0</v>
      </c>
      <c r="V964" s="101"/>
      <c r="W964" s="106" t="b">
        <v>1</v>
      </c>
      <c r="X964" s="107"/>
      <c r="Y964" s="108"/>
    </row>
    <row r="965" ht="22.5" customHeight="1">
      <c r="A965" s="96"/>
      <c r="B965" s="97" t="s">
        <v>53</v>
      </c>
      <c r="C965" s="98" t="str">
        <f t="array" ref="C965">IFNA(XLOOKUP(J965,'⚙️ Pengaturan'!$H$5:$H1508,'⚙️ Pengaturan'!$I$5:$I1508),"")</f>
        <v>TIM Y</v>
      </c>
      <c r="D965" s="97" t="s">
        <v>54</v>
      </c>
      <c r="E965" s="99">
        <v>45988.0</v>
      </c>
      <c r="F965" s="100" t="str">
        <f t="shared" si="1"/>
        <v>2025</v>
      </c>
      <c r="G965" s="100" t="str">
        <f t="shared" si="2"/>
        <v>11Nov</v>
      </c>
      <c r="H965" s="100" t="str">
        <f t="shared" si="3"/>
        <v>Kamis</v>
      </c>
      <c r="I965" s="97" t="s">
        <v>55</v>
      </c>
      <c r="J965" s="97" t="s">
        <v>91</v>
      </c>
      <c r="K965" s="97" t="s">
        <v>69</v>
      </c>
      <c r="L965" s="101" t="s">
        <v>579</v>
      </c>
      <c r="M965" s="102" t="str">
        <f>IFNA(VLOOKUP(L965,'🙎‍♂️ Pasien'!G:V,2,FALSE),"")</f>
        <v>J8425110309</v>
      </c>
      <c r="N965" s="103">
        <f>IFNA(VLOOKUP(L965,'🙎‍♂️ Pasien'!G:L,3,FALSE),"")</f>
        <v>42</v>
      </c>
      <c r="O965" s="104" t="str">
        <f>IFNA(VLOOKUP(L965,'🙎‍♂️ Pasien'!G:V,6,FALSE),"")</f>
        <v>PEREMPUAN</v>
      </c>
      <c r="P965" s="104" t="str">
        <f>IFNA(VLOOKUP(L965,'🙎‍♂️ Pasien'!G:V,12,FALSE),"")</f>
        <v>KATOLIK</v>
      </c>
      <c r="Q965" s="104" t="str">
        <f>IFNA(VLOOKUP(L965:L1508,'🙎‍♂️ Pasien'!G:V,13,FALSE),"")</f>
        <v>IBU RUMAH TANGGA</v>
      </c>
      <c r="R965" s="104" t="str">
        <f t="array" ref="R965">ifna(xlookup(L965,'🙎‍♂️ Pasien'!$G$5:$G1508,'🙎‍♂️ Pasien'!$T$5:$T1508),"")</f>
        <v>SALAH SATU JARI TANGAN SAKIT</v>
      </c>
      <c r="S965" s="104" t="str">
        <f t="array" ref="S965">ifna(xlookup(L965,'🙎‍♂️ Pasien'!$G$5:$G1508,'🙎‍♂️ Pasien'!$U$5:$U1508),"")</f>
        <v>GA ADA</v>
      </c>
      <c r="T965" s="97" t="s">
        <v>59</v>
      </c>
      <c r="U965" s="105" t="s">
        <v>60</v>
      </c>
      <c r="V965" s="101"/>
      <c r="W965" s="106" t="b">
        <v>1</v>
      </c>
      <c r="X965" s="107"/>
      <c r="Y965" s="108"/>
    </row>
    <row r="966" ht="22.5" customHeight="1">
      <c r="A966" s="96"/>
      <c r="B966" s="97" t="s">
        <v>53</v>
      </c>
      <c r="C966" s="98" t="str">
        <f t="array" ref="C966">IFNA(XLOOKUP(J966,'⚙️ Pengaturan'!$H$5:$H1508,'⚙️ Pengaturan'!$I$5:$I1508),"")</f>
        <v>TIM Y</v>
      </c>
      <c r="D966" s="97" t="s">
        <v>54</v>
      </c>
      <c r="E966" s="99">
        <v>45988.0</v>
      </c>
      <c r="F966" s="100" t="str">
        <f t="shared" si="1"/>
        <v>2025</v>
      </c>
      <c r="G966" s="100" t="str">
        <f t="shared" si="2"/>
        <v>11Nov</v>
      </c>
      <c r="H966" s="100" t="str">
        <f t="shared" si="3"/>
        <v>Kamis</v>
      </c>
      <c r="I966" s="97" t="s">
        <v>65</v>
      </c>
      <c r="J966" s="97" t="s">
        <v>91</v>
      </c>
      <c r="K966" s="97" t="s">
        <v>63</v>
      </c>
      <c r="L966" s="101" t="s">
        <v>501</v>
      </c>
      <c r="M966" s="102" t="str">
        <f>IFNA(VLOOKUP(L966,'🙎‍♂️ Pasien'!G:V,2,FALSE),"")</f>
        <v>C9025117272</v>
      </c>
      <c r="N966" s="103">
        <f>IFNA(VLOOKUP(L966,'🙎‍♂️ Pasien'!G:L,3,FALSE),"")</f>
        <v>35</v>
      </c>
      <c r="O966" s="104" t="str">
        <f>IFNA(VLOOKUP(L966,'🙎‍♂️ Pasien'!G:V,6,FALSE),"")</f>
        <v>PEREMPUAN</v>
      </c>
      <c r="P966" s="104" t="str">
        <f>IFNA(VLOOKUP(L966,'🙎‍♂️ Pasien'!G:V,12,FALSE),"")</f>
        <v>PROTESTAN</v>
      </c>
      <c r="Q966" s="104" t="str">
        <f>IFNA(VLOOKUP(L966:L1508,'🙎‍♂️ Pasien'!G:V,13,FALSE),"")</f>
        <v>IBU RUMAH TANGGA</v>
      </c>
      <c r="R966" s="104" t="str">
        <f t="array" ref="R966">ifna(xlookup(L966,'🙎‍♂️ Pasien'!$G$5:$G1508,'🙎‍♂️ Pasien'!$T$5:$T1508),"")</f>
        <v>SENDI LUTUT BERGESER</v>
      </c>
      <c r="S966" s="104" t="str">
        <f t="array" ref="S966">ifna(xlookup(L966,'🙎‍♂️ Pasien'!$G$5:$G1508,'🙎‍♂️ Pasien'!$U$5:$U1508),"")</f>
        <v>JATUH KEPELESET</v>
      </c>
      <c r="T966" s="97" t="s">
        <v>67</v>
      </c>
      <c r="U966" s="105">
        <v>6.0</v>
      </c>
      <c r="V966" s="101" t="s">
        <v>589</v>
      </c>
      <c r="W966" s="106" t="b">
        <v>1</v>
      </c>
      <c r="X966" s="107"/>
      <c r="Y966" s="108"/>
    </row>
    <row r="967" ht="22.5" customHeight="1">
      <c r="A967" s="96"/>
      <c r="B967" s="97" t="s">
        <v>53</v>
      </c>
      <c r="C967" s="98" t="str">
        <f t="array" ref="C967">IFNA(XLOOKUP(J967,'⚙️ Pengaturan'!$H$5:$H1508,'⚙️ Pengaturan'!$I$5:$I1508),"")</f>
        <v>TIM Y</v>
      </c>
      <c r="D967" s="97" t="s">
        <v>54</v>
      </c>
      <c r="E967" s="99">
        <v>45988.0</v>
      </c>
      <c r="F967" s="100" t="str">
        <f t="shared" si="1"/>
        <v>2025</v>
      </c>
      <c r="G967" s="100" t="str">
        <f t="shared" si="2"/>
        <v>11Nov</v>
      </c>
      <c r="H967" s="100" t="str">
        <f t="shared" si="3"/>
        <v>Kamis</v>
      </c>
      <c r="I967" s="97" t="s">
        <v>65</v>
      </c>
      <c r="J967" s="97" t="s">
        <v>107</v>
      </c>
      <c r="K967" s="97" t="s">
        <v>63</v>
      </c>
      <c r="L967" s="101" t="s">
        <v>193</v>
      </c>
      <c r="M967" s="102" t="str">
        <f>IFNA(VLOOKUP(L967,'🙎‍♂️ Pasien'!G:V,2,FALSE),"")</f>
        <v>E8925075615</v>
      </c>
      <c r="N967" s="103">
        <f>IFNA(VLOOKUP(L967,'🙎‍♂️ Pasien'!G:L,3,FALSE),"")</f>
        <v>36</v>
      </c>
      <c r="O967" s="104" t="str">
        <f>IFNA(VLOOKUP(L967,'🙎‍♂️ Pasien'!G:V,6,FALSE),"")</f>
        <v>PEREMPUAN</v>
      </c>
      <c r="P967" s="104" t="str">
        <f>IFNA(VLOOKUP(L967,'🙎‍♂️ Pasien'!G:V,12,FALSE),"")</f>
        <v>KATOLIK</v>
      </c>
      <c r="Q967" s="104" t="str">
        <f>IFNA(VLOOKUP(L967:L1508,'🙎‍♂️ Pasien'!G:V,13,FALSE),"")</f>
        <v>WIRASWASTA</v>
      </c>
      <c r="R967" s="104" t="str">
        <f t="array" ref="R967">ifna(xlookup(L967,'🙎‍♂️ Pasien'!$G$5:$G1508,'🙎‍♂️ Pasien'!$T$5:$T1508),"")</f>
        <v>BUNION</v>
      </c>
      <c r="S967" s="104" t="str">
        <f t="array" ref="S967">ifna(xlookup(L967,'🙎‍♂️ Pasien'!$G$5:$G1508,'🙎‍♂️ Pasien'!$U$5:$U1508),"")</f>
        <v>TENNIS</v>
      </c>
      <c r="T967" s="97" t="s">
        <v>59</v>
      </c>
      <c r="U967" s="105">
        <v>3.0</v>
      </c>
      <c r="V967" s="101"/>
      <c r="W967" s="106" t="b">
        <v>1</v>
      </c>
      <c r="X967" s="107"/>
      <c r="Y967" s="108"/>
    </row>
    <row r="968" ht="22.5" customHeight="1">
      <c r="A968" s="96"/>
      <c r="B968" s="97" t="s">
        <v>53</v>
      </c>
      <c r="C968" s="98" t="str">
        <f t="array" ref="C968">IFNA(XLOOKUP(J968,'⚙️ Pengaturan'!$H$5:$H1508,'⚙️ Pengaturan'!$I$5:$I1508),"")</f>
        <v>TIM Y</v>
      </c>
      <c r="D968" s="97" t="s">
        <v>54</v>
      </c>
      <c r="E968" s="99">
        <v>45988.0</v>
      </c>
      <c r="F968" s="100" t="str">
        <f t="shared" si="1"/>
        <v>2025</v>
      </c>
      <c r="G968" s="100" t="str">
        <f t="shared" si="2"/>
        <v>11Nov</v>
      </c>
      <c r="H968" s="100" t="str">
        <f t="shared" si="3"/>
        <v>Kamis</v>
      </c>
      <c r="I968" s="97" t="s">
        <v>65</v>
      </c>
      <c r="J968" s="97" t="s">
        <v>88</v>
      </c>
      <c r="K968" s="97" t="s">
        <v>69</v>
      </c>
      <c r="L968" s="101" t="s">
        <v>590</v>
      </c>
      <c r="M968" s="102" t="str">
        <f>IFNA(VLOOKUP(L968,'🙎‍♂️ Pasien'!G:V,2,FALSE),"")</f>
        <v>K6925117323</v>
      </c>
      <c r="N968" s="103">
        <f>IFNA(VLOOKUP(L968,'🙎‍♂️ Pasien'!G:L,3,FALSE),"")</f>
        <v>56</v>
      </c>
      <c r="O968" s="104" t="str">
        <f>IFNA(VLOOKUP(L968,'🙎‍♂️ Pasien'!G:V,6,FALSE),"")</f>
        <v>PEREMPUAN</v>
      </c>
      <c r="P968" s="104" t="str">
        <f>IFNA(VLOOKUP(L968,'🙎‍♂️ Pasien'!G:V,12,FALSE),"")</f>
        <v>KHONGHUCU</v>
      </c>
      <c r="Q968" s="104" t="str">
        <f>IFNA(VLOOKUP(L968:L1508,'🙎‍♂️ Pasien'!G:V,13,FALSE),"")</f>
        <v>SWASTA</v>
      </c>
      <c r="R968" s="104" t="str">
        <f t="array" ref="R968">ifna(xlookup(L968,'🙎‍♂️ Pasien'!$G$5:$G1508,'🙎‍♂️ Pasien'!$T$5:$T1508),"")</f>
        <v>TANGAN GAK MAMPU ANGKAT BEBAN</v>
      </c>
      <c r="S968" s="104" t="str">
        <f t="array" ref="S968">ifna(xlookup(L968,'🙎‍♂️ Pasien'!$G$5:$G1508,'🙎‍♂️ Pasien'!$U$5:$U1508),"")</f>
        <v>-</v>
      </c>
      <c r="T968" s="97" t="s">
        <v>59</v>
      </c>
      <c r="U968" s="105" t="s">
        <v>60</v>
      </c>
      <c r="V968" s="101" t="s">
        <v>591</v>
      </c>
      <c r="W968" s="106" t="b">
        <v>1</v>
      </c>
      <c r="X968" s="107"/>
      <c r="Y968" s="108"/>
    </row>
    <row r="969" ht="22.5" customHeight="1">
      <c r="A969" s="96"/>
      <c r="B969" s="97" t="s">
        <v>53</v>
      </c>
      <c r="C969" s="98" t="str">
        <f t="array" ref="C969">IFNA(XLOOKUP(J969,'⚙️ Pengaturan'!$H$5:$H1508,'⚙️ Pengaturan'!$I$5:$I1508),"")</f>
        <v>TIM Y</v>
      </c>
      <c r="D969" s="97" t="s">
        <v>54</v>
      </c>
      <c r="E969" s="99">
        <v>45988.0</v>
      </c>
      <c r="F969" s="100" t="str">
        <f t="shared" si="1"/>
        <v>2025</v>
      </c>
      <c r="G969" s="100" t="str">
        <f t="shared" si="2"/>
        <v>11Nov</v>
      </c>
      <c r="H969" s="100" t="str">
        <f t="shared" si="3"/>
        <v>Kamis</v>
      </c>
      <c r="I969" s="97" t="s">
        <v>74</v>
      </c>
      <c r="J969" s="97" t="s">
        <v>107</v>
      </c>
      <c r="K969" s="97" t="s">
        <v>63</v>
      </c>
      <c r="L969" s="101" t="s">
        <v>543</v>
      </c>
      <c r="M969" s="102" t="str">
        <f>IFNA(VLOOKUP(L969,'🙎‍♂️ Pasien'!G:V,2,FALSE),"")</f>
        <v>A8725115557</v>
      </c>
      <c r="N969" s="103">
        <f>IFNA(VLOOKUP(L969,'🙎‍♂️ Pasien'!G:L,3,FALSE),"")</f>
        <v>38</v>
      </c>
      <c r="O969" s="104" t="str">
        <f>IFNA(VLOOKUP(L969,'🙎‍♂️ Pasien'!G:V,6,FALSE),"")</f>
        <v>PEREMPUAN</v>
      </c>
      <c r="P969" s="104" t="str">
        <f>IFNA(VLOOKUP(L969,'🙎‍♂️ Pasien'!G:V,12,FALSE),"")</f>
        <v>ISLAM</v>
      </c>
      <c r="Q969" s="104" t="str">
        <f>IFNA(VLOOKUP(L969:L1508,'🙎‍♂️ Pasien'!G:V,13,FALSE),"")</f>
        <v>KARYAWAN SWASTA</v>
      </c>
      <c r="R969" s="104" t="str">
        <f t="array" ref="R969">ifna(xlookup(L969,'🙎‍♂️ Pasien'!$G$5:$G1508,'🙎‍♂️ Pasien'!$T$5:$T1508),"")</f>
        <v>NYERI SAAT NARIK NAFAS DAN BERGERAK AREA RUSUK DEPAN HINGGA BELAKANG SEBELAH KANAN</v>
      </c>
      <c r="S969" s="104" t="str">
        <f t="array" ref="S969">ifna(xlookup(L969,'🙎‍♂️ Pasien'!$G$5:$G1508,'🙎‍♂️ Pasien'!$U$5:$U1508),"")</f>
        <v>SAAT INI SEDANG BATUK, OLAHRAGA THREADMIL DAN BULU TANGKIS BEBERAPA WAKTU INI</v>
      </c>
      <c r="T969" s="97" t="s">
        <v>67</v>
      </c>
      <c r="U969" s="105">
        <v>3.0</v>
      </c>
      <c r="V969" s="101" t="s">
        <v>311</v>
      </c>
      <c r="W969" s="106" t="b">
        <v>1</v>
      </c>
      <c r="X969" s="107"/>
      <c r="Y969" s="108"/>
    </row>
    <row r="970" ht="22.5" customHeight="1">
      <c r="A970" s="96"/>
      <c r="B970" s="97" t="s">
        <v>53</v>
      </c>
      <c r="C970" s="98" t="str">
        <f t="array" ref="C970">IFNA(XLOOKUP(J970,'⚙️ Pengaturan'!$H$5:$H1508,'⚙️ Pengaturan'!$I$5:$I1508),"")</f>
        <v>TIM Y</v>
      </c>
      <c r="D970" s="97" t="s">
        <v>54</v>
      </c>
      <c r="E970" s="99">
        <v>45988.0</v>
      </c>
      <c r="F970" s="100" t="str">
        <f t="shared" si="1"/>
        <v>2025</v>
      </c>
      <c r="G970" s="100" t="str">
        <f t="shared" si="2"/>
        <v>11Nov</v>
      </c>
      <c r="H970" s="100" t="str">
        <f t="shared" si="3"/>
        <v>Kamis</v>
      </c>
      <c r="I970" s="97" t="s">
        <v>74</v>
      </c>
      <c r="J970" s="97" t="s">
        <v>88</v>
      </c>
      <c r="K970" s="97" t="s">
        <v>63</v>
      </c>
      <c r="L970" s="101" t="s">
        <v>548</v>
      </c>
      <c r="M970" s="102" t="str">
        <f>IFNA(VLOOKUP(L970,'🙎‍♂️ Pasien'!G:V,2,FALSE),"")</f>
        <v>C0525115291</v>
      </c>
      <c r="N970" s="103">
        <f>IFNA(VLOOKUP(L970,'🙎‍♂️ Pasien'!G:L,3,FALSE),"")</f>
        <v>20</v>
      </c>
      <c r="O970" s="104" t="str">
        <f>IFNA(VLOOKUP(L970,'🙎‍♂️ Pasien'!G:V,6,FALSE),"")</f>
        <v>LAKI-LAKI</v>
      </c>
      <c r="P970" s="104" t="str">
        <f>IFNA(VLOOKUP(L970,'🙎‍♂️ Pasien'!G:V,12,FALSE),"")</f>
        <v>KATOLIK</v>
      </c>
      <c r="Q970" s="104" t="str">
        <f>IFNA(VLOOKUP(L970:L1508,'🙎‍♂️ Pasien'!G:V,13,FALSE),"")</f>
        <v>-</v>
      </c>
      <c r="R970" s="104" t="str">
        <f t="array" ref="R970">ifna(xlookup(L970,'🙎‍♂️ Pasien'!$G$5:$G1508,'🙎‍♂️ Pasien'!$T$5:$T1508),"")</f>
        <v>LUTUT (TERAKHIR CEK DISINI DI BILANG NYA ADA KEMUNGKINAN ACL 2022)</v>
      </c>
      <c r="S970" s="104" t="str">
        <f t="array" ref="S970">ifna(xlookup(L970,'🙎‍♂️ Pasien'!$G$5:$G1508,'🙎‍♂️ Pasien'!$U$5:$U1508),"")</f>
        <v>BASKET, BADMINTON</v>
      </c>
      <c r="T970" s="97" t="s">
        <v>59</v>
      </c>
      <c r="U970" s="105">
        <v>2.0</v>
      </c>
      <c r="V970" s="101"/>
      <c r="W970" s="106" t="b">
        <v>1</v>
      </c>
      <c r="X970" s="107"/>
      <c r="Y970" s="108"/>
    </row>
    <row r="971" ht="22.5" customHeight="1">
      <c r="A971" s="96"/>
      <c r="B971" s="97" t="s">
        <v>53</v>
      </c>
      <c r="C971" s="98" t="str">
        <f t="array" ref="C971">IFNA(XLOOKUP(J971,'⚙️ Pengaturan'!$H$5:$H1508,'⚙️ Pengaturan'!$I$5:$I1508),"")</f>
        <v>TIM Y</v>
      </c>
      <c r="D971" s="97" t="s">
        <v>54</v>
      </c>
      <c r="E971" s="99">
        <v>45988.0</v>
      </c>
      <c r="F971" s="100" t="str">
        <f t="shared" si="1"/>
        <v>2025</v>
      </c>
      <c r="G971" s="100" t="str">
        <f t="shared" si="2"/>
        <v>11Nov</v>
      </c>
      <c r="H971" s="100" t="str">
        <f t="shared" si="3"/>
        <v>Kamis</v>
      </c>
      <c r="I971" s="97" t="s">
        <v>76</v>
      </c>
      <c r="J971" s="97" t="s">
        <v>91</v>
      </c>
      <c r="K971" s="97" t="s">
        <v>63</v>
      </c>
      <c r="L971" s="101" t="s">
        <v>592</v>
      </c>
      <c r="M971" s="102" t="str">
        <f>IFNA(VLOOKUP(L971,'🙎‍♂️ Pasien'!G:V,2,FALSE),"")</f>
        <v>L8123072518</v>
      </c>
      <c r="N971" s="103">
        <f>IFNA(VLOOKUP(L971,'🙎‍♂️ Pasien'!G:L,3,FALSE),"")</f>
        <v>45</v>
      </c>
      <c r="O971" s="104" t="str">
        <f>IFNA(VLOOKUP(L971,'🙎‍♂️ Pasien'!G:V,6,FALSE),"")</f>
        <v>PEREMPUAN</v>
      </c>
      <c r="P971" s="104" t="str">
        <f>IFNA(VLOOKUP(L971,'🙎‍♂️ Pasien'!G:V,12,FALSE),"")</f>
        <v>KATOLIK</v>
      </c>
      <c r="Q971" s="104" t="str">
        <f>IFNA(VLOOKUP(L971:L1508,'🙎‍♂️ Pasien'!G:V,13,FALSE),"")</f>
        <v>RUMAH TANGGA</v>
      </c>
      <c r="R971" s="104" t="str">
        <f t="array" ref="R971">ifna(xlookup(L971,'🙎‍♂️ Pasien'!$G$5:$G1508,'🙎‍♂️ Pasien'!$T$5:$T1508),"")</f>
        <v>OTOT LEMAH, SENDI KAKU, HILANG KESEIMBANGAN, KESULITAN BERJALAN</v>
      </c>
      <c r="S971" s="104" t="str">
        <f t="array" ref="S971">ifna(xlookup(L971,'🙎‍♂️ Pasien'!$G$5:$G1508,'🙎‍♂️ Pasien'!$U$5:$U1508),"")</f>
        <v>MENGURUS RUMAH TANGGA</v>
      </c>
      <c r="T971" s="97" t="s">
        <v>59</v>
      </c>
      <c r="U971" s="105">
        <v>7.0</v>
      </c>
      <c r="V971" s="101"/>
      <c r="W971" s="106" t="b">
        <v>1</v>
      </c>
      <c r="X971" s="107"/>
      <c r="Y971" s="108"/>
    </row>
    <row r="972" ht="22.5" customHeight="1">
      <c r="A972" s="96"/>
      <c r="B972" s="97" t="s">
        <v>53</v>
      </c>
      <c r="C972" s="98" t="str">
        <f t="array" ref="C972">IFNA(XLOOKUP(J972,'⚙️ Pengaturan'!$H$5:$H1508,'⚙️ Pengaturan'!$I$5:$I1508),"")</f>
        <v>TIM Y</v>
      </c>
      <c r="D972" s="97" t="s">
        <v>54</v>
      </c>
      <c r="E972" s="99">
        <v>45988.0</v>
      </c>
      <c r="F972" s="100" t="str">
        <f t="shared" si="1"/>
        <v>2025</v>
      </c>
      <c r="G972" s="100" t="str">
        <f t="shared" si="2"/>
        <v>11Nov</v>
      </c>
      <c r="H972" s="100" t="str">
        <f t="shared" si="3"/>
        <v>Kamis</v>
      </c>
      <c r="I972" s="97" t="s">
        <v>83</v>
      </c>
      <c r="J972" s="97" t="s">
        <v>91</v>
      </c>
      <c r="K972" s="97" t="s">
        <v>63</v>
      </c>
      <c r="L972" s="101" t="s">
        <v>108</v>
      </c>
      <c r="M972" s="102" t="str">
        <f>IFNA(VLOOKUP(L972,'🙎‍♂️ Pasien'!G:V,2,FALSE),"")</f>
        <v>A5625092572</v>
      </c>
      <c r="N972" s="103">
        <f>IFNA(VLOOKUP(L972,'🙎‍♂️ Pasien'!G:L,3,FALSE),"")</f>
        <v>69</v>
      </c>
      <c r="O972" s="104" t="str">
        <f>IFNA(VLOOKUP(L972,'🙎‍♂️ Pasien'!G:V,6,FALSE),"")</f>
        <v>PEREMPUAN</v>
      </c>
      <c r="P972" s="104" t="str">
        <f>IFNA(VLOOKUP(L972,'🙎‍♂️ Pasien'!G:V,12,FALSE),"")</f>
        <v>ISLAM</v>
      </c>
      <c r="Q972" s="104" t="str">
        <f>IFNA(VLOOKUP(L972:L1508,'🙎‍♂️ Pasien'!G:V,13,FALSE),"")</f>
        <v>IRT</v>
      </c>
      <c r="R972" s="104" t="str">
        <f t="array" ref="R972">ifna(xlookup(L972,'🙎‍♂️ Pasien'!$G$5:$G1508,'🙎‍♂️ Pasien'!$T$5:$T1508),"")</f>
        <v>PINGGANG DAN KAKI</v>
      </c>
      <c r="S972" s="104" t="str">
        <f t="array" ref="S972">ifna(xlookup(L972,'🙎‍♂️ Pasien'!$G$5:$G1508,'🙎‍♂️ Pasien'!$U$5:$U1508),"")</f>
        <v>-</v>
      </c>
      <c r="T972" s="97" t="s">
        <v>59</v>
      </c>
      <c r="U972" s="105">
        <v>3.0</v>
      </c>
      <c r="V972" s="101"/>
      <c r="W972" s="106" t="b">
        <v>1</v>
      </c>
      <c r="X972" s="107"/>
      <c r="Y972" s="108"/>
    </row>
    <row r="973" ht="22.5" customHeight="1">
      <c r="A973" s="96"/>
      <c r="B973" s="97" t="s">
        <v>85</v>
      </c>
      <c r="C973" s="98" t="str">
        <f t="array" ref="C973">IFNA(XLOOKUP(J973,'⚙️ Pengaturan'!$H$5:$H1508,'⚙️ Pengaturan'!$I$5:$I1508),"")</f>
        <v>TIM Y</v>
      </c>
      <c r="D973" s="97" t="s">
        <v>86</v>
      </c>
      <c r="E973" s="99">
        <v>45988.0</v>
      </c>
      <c r="F973" s="100" t="str">
        <f t="shared" si="1"/>
        <v>2025</v>
      </c>
      <c r="G973" s="100" t="str">
        <f t="shared" si="2"/>
        <v>11Nov</v>
      </c>
      <c r="H973" s="100" t="str">
        <f t="shared" si="3"/>
        <v>Kamis</v>
      </c>
      <c r="I973" s="97" t="s">
        <v>87</v>
      </c>
      <c r="J973" s="97" t="s">
        <v>56</v>
      </c>
      <c r="K973" s="97" t="s">
        <v>63</v>
      </c>
      <c r="L973" s="101" t="s">
        <v>119</v>
      </c>
      <c r="M973" s="102" t="str">
        <f>IFNA(VLOOKUP(L973,'🙎‍♂️ Pasien'!G:V,2,FALSE),"")</f>
        <v>H4623015667</v>
      </c>
      <c r="N973" s="103">
        <f>IFNA(VLOOKUP(L973,'🙎‍♂️ Pasien'!G:L,3,FALSE),"")</f>
        <v>80</v>
      </c>
      <c r="O973" s="104" t="str">
        <f>IFNA(VLOOKUP(L973,'🙎‍♂️ Pasien'!G:V,6,FALSE),"")</f>
        <v>LAKI-LAKI</v>
      </c>
      <c r="P973" s="104" t="str">
        <f>IFNA(VLOOKUP(L973,'🙎‍♂️ Pasien'!G:V,12,FALSE),"")</f>
        <v>ISLAM</v>
      </c>
      <c r="Q973" s="104" t="str">
        <f>IFNA(VLOOKUP(L973:L1508,'🙎‍♂️ Pasien'!G:V,13,FALSE),"")</f>
        <v>PENSIUN</v>
      </c>
      <c r="R973" s="104" t="str">
        <f t="array" ref="R973">ifna(xlookup(L973,'🙎‍♂️ Pasien'!$G$5:$G1508,'🙎‍♂️ Pasien'!$T$5:$T1508),"")</f>
        <v>STROKE</v>
      </c>
      <c r="S973" s="104" t="str">
        <f t="array" ref="S973">ifna(xlookup(L973,'🙎‍♂️ Pasien'!$G$5:$G1508,'🙎‍♂️ Pasien'!$U$5:$U1508),"")</f>
        <v/>
      </c>
      <c r="T973" s="97" t="s">
        <v>59</v>
      </c>
      <c r="U973" s="105">
        <v>2.0</v>
      </c>
      <c r="V973" s="101"/>
      <c r="W973" s="106" t="b">
        <v>1</v>
      </c>
      <c r="X973" s="107"/>
      <c r="Y973" s="108"/>
    </row>
    <row r="974" ht="22.5" customHeight="1">
      <c r="A974" s="96"/>
      <c r="B974" s="97" t="s">
        <v>85</v>
      </c>
      <c r="C974" s="98" t="str">
        <f t="array" ref="C974">IFNA(XLOOKUP(J974,'⚙️ Pengaturan'!$H$5:$H1508,'⚙️ Pengaturan'!$I$5:$I1508),"")</f>
        <v>TIM A</v>
      </c>
      <c r="D974" s="97" t="s">
        <v>86</v>
      </c>
      <c r="E974" s="99">
        <v>45988.0</v>
      </c>
      <c r="F974" s="100" t="str">
        <f t="shared" si="1"/>
        <v>2025</v>
      </c>
      <c r="G974" s="100" t="str">
        <f t="shared" si="2"/>
        <v>11Nov</v>
      </c>
      <c r="H974" s="100" t="str">
        <f t="shared" si="3"/>
        <v>Kamis</v>
      </c>
      <c r="I974" s="97" t="s">
        <v>93</v>
      </c>
      <c r="J974" s="97" t="s">
        <v>72</v>
      </c>
      <c r="K974" s="97" t="s">
        <v>63</v>
      </c>
      <c r="L974" s="101" t="s">
        <v>547</v>
      </c>
      <c r="M974" s="102" t="str">
        <f>IFNA(VLOOKUP(L974,'🙎‍♂️ Pasien'!G:V,2,FALSE),"")</f>
        <v>I5825112202</v>
      </c>
      <c r="N974" s="103">
        <f>IFNA(VLOOKUP(L974,'🙎‍♂️ Pasien'!G:L,3,FALSE),"")</f>
        <v>68</v>
      </c>
      <c r="O974" s="104" t="str">
        <f>IFNA(VLOOKUP(L974,'🙎‍♂️ Pasien'!G:V,6,FALSE),"")</f>
        <v>PEREMPUAN</v>
      </c>
      <c r="P974" s="104" t="str">
        <f>IFNA(VLOOKUP(L974,'🙎‍♂️ Pasien'!G:V,12,FALSE),"")</f>
        <v>ISLAM</v>
      </c>
      <c r="Q974" s="104" t="str">
        <f>IFNA(VLOOKUP(L974:L1508,'🙎‍♂️ Pasien'!G:V,13,FALSE),"")</f>
        <v>PENSIUNAN</v>
      </c>
      <c r="R974" s="104" t="str">
        <f t="array" ref="R974">ifna(xlookup(L974,'🙎‍♂️ Pasien'!$G$5:$G1508,'🙎‍♂️ Pasien'!$T$5:$T1508),"")</f>
        <v>SAKIT PUNGGUNG BAWAH</v>
      </c>
      <c r="S974" s="104" t="str">
        <f t="array" ref="S974">ifna(xlookup(L974,'🙎‍♂️ Pasien'!$G$5:$G1508,'🙎‍♂️ Pasien'!$U$5:$U1508),"")</f>
        <v>-</v>
      </c>
      <c r="T974" s="97" t="s">
        <v>59</v>
      </c>
      <c r="U974" s="105">
        <v>3.0</v>
      </c>
      <c r="V974" s="101"/>
      <c r="W974" s="106" t="b">
        <v>1</v>
      </c>
      <c r="X974" s="107"/>
      <c r="Y974" s="108"/>
    </row>
    <row r="975" ht="22.5" customHeight="1">
      <c r="A975" s="96"/>
      <c r="B975" s="97" t="s">
        <v>85</v>
      </c>
      <c r="C975" s="98" t="str">
        <f t="array" ref="C975">IFNA(XLOOKUP(J975,'⚙️ Pengaturan'!$H$5:$H1508,'⚙️ Pengaturan'!$I$5:$I1508),"")</f>
        <v>TIM A</v>
      </c>
      <c r="D975" s="97" t="s">
        <v>86</v>
      </c>
      <c r="E975" s="99">
        <v>45988.0</v>
      </c>
      <c r="F975" s="100" t="str">
        <f t="shared" si="1"/>
        <v>2025</v>
      </c>
      <c r="G975" s="100" t="str">
        <f t="shared" si="2"/>
        <v>11Nov</v>
      </c>
      <c r="H975" s="100" t="str">
        <f t="shared" si="3"/>
        <v>Kamis</v>
      </c>
      <c r="I975" s="97" t="s">
        <v>95</v>
      </c>
      <c r="J975" s="97" t="s">
        <v>62</v>
      </c>
      <c r="K975" s="97" t="s">
        <v>63</v>
      </c>
      <c r="L975" s="101" t="s">
        <v>357</v>
      </c>
      <c r="M975" s="102" t="str">
        <f>IFNA(VLOOKUP(L975,'🙎‍♂️ Pasien'!G:V,2,FALSE),"")</f>
        <v>A0125104452</v>
      </c>
      <c r="N975" s="103">
        <f>IFNA(VLOOKUP(L975,'🙎‍♂️ Pasien'!G:L,3,FALSE),"")</f>
        <v>24</v>
      </c>
      <c r="O975" s="104" t="str">
        <f>IFNA(VLOOKUP(L975,'🙎‍♂️ Pasien'!G:V,6,FALSE),"")</f>
        <v>PEREMPUAN</v>
      </c>
      <c r="P975" s="104" t="str">
        <f>IFNA(VLOOKUP(L975,'🙎‍♂️ Pasien'!G:V,12,FALSE),"")</f>
        <v>ISLAM</v>
      </c>
      <c r="Q975" s="104" t="str">
        <f>IFNA(VLOOKUP(L975:L1508,'🙎‍♂️ Pasien'!G:V,13,FALSE),"")</f>
        <v>PNS</v>
      </c>
      <c r="R975" s="104" t="str">
        <f t="array" ref="R975">ifna(xlookup(L975,'🙎‍♂️ Pasien'!$G$5:$G1508,'🙎‍♂️ Pasien'!$T$5:$T1508),"")</f>
        <v>SAKIT NYERI DAN PEGAL DARI LEHER HINGGA KAKI NAMUN HANYA TUBUH SEBELAH KANAN</v>
      </c>
      <c r="S975" s="104" t="str">
        <f t="array" ref="S975">ifna(xlookup(L975,'🙎‍♂️ Pasien'!$G$5:$G1508,'🙎‍♂️ Pasien'!$U$5:$U1508),"")</f>
        <v>-</v>
      </c>
      <c r="T975" s="97" t="s">
        <v>59</v>
      </c>
      <c r="U975" s="105">
        <v>2.0</v>
      </c>
      <c r="V975" s="101"/>
      <c r="W975" s="106" t="b">
        <v>1</v>
      </c>
      <c r="X975" s="107"/>
      <c r="Y975" s="108"/>
    </row>
    <row r="976" ht="22.5" customHeight="1">
      <c r="A976" s="96"/>
      <c r="B976" s="97" t="s">
        <v>85</v>
      </c>
      <c r="C976" s="98" t="str">
        <f t="array" ref="C976">IFNA(XLOOKUP(J976,'⚙️ Pengaturan'!$H$5:$H1508,'⚙️ Pengaturan'!$I$5:$I1508),"")</f>
        <v>TIM A</v>
      </c>
      <c r="D976" s="97" t="s">
        <v>86</v>
      </c>
      <c r="E976" s="99">
        <v>45988.0</v>
      </c>
      <c r="F976" s="100" t="str">
        <f t="shared" si="1"/>
        <v>2025</v>
      </c>
      <c r="G976" s="100" t="str">
        <f t="shared" si="2"/>
        <v>11Nov</v>
      </c>
      <c r="H976" s="100" t="str">
        <f t="shared" si="3"/>
        <v>Kamis</v>
      </c>
      <c r="I976" s="97" t="s">
        <v>97</v>
      </c>
      <c r="J976" s="97" t="s">
        <v>79</v>
      </c>
      <c r="K976" s="97" t="s">
        <v>57</v>
      </c>
      <c r="L976" s="101" t="s">
        <v>593</v>
      </c>
      <c r="M976" s="102" t="str">
        <f>IFNA(VLOOKUP(L976,'🙎‍♂️ Pasien'!G:V,2,FALSE),"")</f>
        <v>A0125119292</v>
      </c>
      <c r="N976" s="103">
        <f>IFNA(VLOOKUP(L976,'🙎‍♂️ Pasien'!G:L,3,FALSE),"")</f>
        <v>25</v>
      </c>
      <c r="O976" s="104" t="str">
        <f>IFNA(VLOOKUP(L976,'🙎‍♂️ Pasien'!G:V,6,FALSE),"")</f>
        <v>PEREMPUAN</v>
      </c>
      <c r="P976" s="104" t="str">
        <f>IFNA(VLOOKUP(L976,'🙎‍♂️ Pasien'!G:V,12,FALSE),"")</f>
        <v>ISLAM</v>
      </c>
      <c r="Q976" s="104" t="str">
        <f>IFNA(VLOOKUP(L976:L1508,'🙎‍♂️ Pasien'!G:V,13,FALSE),"")</f>
        <v>ADMIN</v>
      </c>
      <c r="R976" s="104" t="str">
        <f t="array" ref="R976">ifna(xlookup(L976,'🙎‍♂️ Pasien'!$G$5:$G1508,'🙎‍♂️ Pasien'!$T$5:$T1508),"")</f>
        <v>LUTUT SAKIT</v>
      </c>
      <c r="S976" s="104" t="str">
        <f t="array" ref="S976">ifna(xlookup(L976,'🙎‍♂️ Pasien'!$G$5:$G1508,'🙎‍♂️ Pasien'!$U$5:$U1508),"")</f>
        <v>LARI</v>
      </c>
      <c r="T976" s="97" t="s">
        <v>59</v>
      </c>
      <c r="U976" s="105" t="s">
        <v>60</v>
      </c>
      <c r="V976" s="101"/>
      <c r="W976" s="106" t="b">
        <v>1</v>
      </c>
      <c r="X976" s="107"/>
      <c r="Y976" s="108"/>
    </row>
    <row r="977" ht="22.5" customHeight="1">
      <c r="A977" s="96"/>
      <c r="B977" s="97" t="s">
        <v>85</v>
      </c>
      <c r="C977" s="98" t="str">
        <f t="array" ref="C977">IFNA(XLOOKUP(J977,'⚙️ Pengaturan'!$H$5:$H1508,'⚙️ Pengaturan'!$I$5:$I1508),"")</f>
        <v>TIM A</v>
      </c>
      <c r="D977" s="97" t="s">
        <v>86</v>
      </c>
      <c r="E977" s="99">
        <v>45988.0</v>
      </c>
      <c r="F977" s="100" t="str">
        <f t="shared" si="1"/>
        <v>2025</v>
      </c>
      <c r="G977" s="100" t="str">
        <f t="shared" si="2"/>
        <v>11Nov</v>
      </c>
      <c r="H977" s="100" t="str">
        <f t="shared" si="3"/>
        <v>Kamis</v>
      </c>
      <c r="I977" s="97" t="s">
        <v>97</v>
      </c>
      <c r="J977" s="97" t="s">
        <v>72</v>
      </c>
      <c r="K977" s="97" t="s">
        <v>63</v>
      </c>
      <c r="L977" s="101" t="s">
        <v>474</v>
      </c>
      <c r="M977" s="102" t="str">
        <f>IFNA(VLOOKUP(L977,'🙎‍♂️ Pasien'!G:V,2,FALSE),"")</f>
        <v>M5325110126</v>
      </c>
      <c r="N977" s="103">
        <f>IFNA(VLOOKUP(L977,'🙎‍♂️ Pasien'!G:L,3,FALSE),"")</f>
        <v>73</v>
      </c>
      <c r="O977" s="104" t="str">
        <f>IFNA(VLOOKUP(L977,'🙎‍♂️ Pasien'!G:V,6,FALSE),"")</f>
        <v>PEREMPUAN</v>
      </c>
      <c r="P977" s="104" t="str">
        <f>IFNA(VLOOKUP(L977,'🙎‍♂️ Pasien'!G:V,12,FALSE),"")</f>
        <v>KATOLIK</v>
      </c>
      <c r="Q977" s="104" t="str">
        <f>IFNA(VLOOKUP(L977:L1508,'🙎‍♂️ Pasien'!G:V,13,FALSE),"")</f>
        <v>IBU RUMAH TANGGA</v>
      </c>
      <c r="R977" s="104" t="str">
        <f t="array" ref="R977">ifna(xlookup(L977,'🙎‍♂️ Pasien'!$G$5:$G1508,'🙎‍♂️ Pasien'!$T$5:$T1508),"")</f>
        <v>SAKIT &amp; SUSAH GERAK PAKA LUTUT</v>
      </c>
      <c r="S977" s="104" t="str">
        <f t="array" ref="S977">ifna(xlookup(L977,'🙎‍♂️ Pasien'!$G$5:$G1508,'🙎‍♂️ Pasien'!$U$5:$U1508),"")</f>
        <v>AKTIVITAS RUMAH TANGGA</v>
      </c>
      <c r="T977" s="97" t="s">
        <v>59</v>
      </c>
      <c r="U977" s="105">
        <v>3.0</v>
      </c>
      <c r="V977" s="101"/>
      <c r="W977" s="106" t="b">
        <v>1</v>
      </c>
      <c r="X977" s="107"/>
      <c r="Y977" s="108"/>
    </row>
    <row r="978" ht="22.5" customHeight="1">
      <c r="A978" s="96"/>
      <c r="B978" s="97" t="s">
        <v>85</v>
      </c>
      <c r="C978" s="98" t="str">
        <f t="array" ref="C978">IFNA(XLOOKUP(J978,'⚙️ Pengaturan'!$H$5:$H1508,'⚙️ Pengaturan'!$I$5:$I1508),"")</f>
        <v>TIM A</v>
      </c>
      <c r="D978" s="97" t="s">
        <v>86</v>
      </c>
      <c r="E978" s="99">
        <v>45988.0</v>
      </c>
      <c r="F978" s="100" t="str">
        <f t="shared" si="1"/>
        <v>2025</v>
      </c>
      <c r="G978" s="100" t="str">
        <f t="shared" si="2"/>
        <v>11Nov</v>
      </c>
      <c r="H978" s="100" t="str">
        <f t="shared" si="3"/>
        <v>Kamis</v>
      </c>
      <c r="I978" s="97" t="s">
        <v>99</v>
      </c>
      <c r="J978" s="97" t="s">
        <v>72</v>
      </c>
      <c r="K978" s="97" t="s">
        <v>63</v>
      </c>
      <c r="L978" s="101" t="s">
        <v>129</v>
      </c>
      <c r="M978" s="102" t="str">
        <f>IFNA(VLOOKUP(L978,'🙎‍♂️ Pasien'!G:V,2,FALSE),"")</f>
        <v>D1025091558</v>
      </c>
      <c r="N978" s="103">
        <f>IFNA(VLOOKUP(L978,'🙎‍♂️ Pasien'!G:L,3,FALSE),"")</f>
        <v>16</v>
      </c>
      <c r="O978" s="104" t="str">
        <f>IFNA(VLOOKUP(L978,'🙎‍♂️ Pasien'!G:V,6,FALSE),"")</f>
        <v>LAKI-LAKI</v>
      </c>
      <c r="P978" s="104" t="str">
        <f>IFNA(VLOOKUP(L978,'🙎‍♂️ Pasien'!G:V,12,FALSE),"")</f>
        <v>PROTESTAN</v>
      </c>
      <c r="Q978" s="104" t="str">
        <f>IFNA(VLOOKUP(L978:L1508,'🙎‍♂️ Pasien'!G:V,13,FALSE),"")</f>
        <v>MASI SEKOLAH</v>
      </c>
      <c r="R978" s="104" t="str">
        <f t="array" ref="R978">ifna(xlookup(L978,'🙎‍♂️ Pasien'!$G$5:$G1508,'🙎‍♂️ Pasien'!$T$5:$T1508),"")</f>
        <v>SAKIT DI BAGIAN LUTUT</v>
      </c>
      <c r="S978" s="104" t="str">
        <f t="array" ref="S978">ifna(xlookup(L978,'🙎‍♂️ Pasien'!$G$5:$G1508,'🙎‍♂️ Pasien'!$U$5:$U1508),"")</f>
        <v>BASKET</v>
      </c>
      <c r="T978" s="97" t="s">
        <v>59</v>
      </c>
      <c r="U978" s="105">
        <v>4.0</v>
      </c>
      <c r="V978" s="101"/>
      <c r="W978" s="106" t="b">
        <v>1</v>
      </c>
      <c r="X978" s="107"/>
      <c r="Y978" s="108"/>
    </row>
    <row r="979" ht="22.5" customHeight="1">
      <c r="A979" s="96"/>
      <c r="B979" s="97" t="s">
        <v>85</v>
      </c>
      <c r="C979" s="98" t="str">
        <f t="array" ref="C979">IFNA(XLOOKUP(J979,'⚙️ Pengaturan'!$H$5:$H1508,'⚙️ Pengaturan'!$I$5:$I1508),"")</f>
        <v>TIM Y</v>
      </c>
      <c r="D979" s="97" t="s">
        <v>134</v>
      </c>
      <c r="E979" s="99">
        <v>45989.0</v>
      </c>
      <c r="F979" s="100" t="str">
        <f t="shared" si="1"/>
        <v>2025</v>
      </c>
      <c r="G979" s="100" t="str">
        <f t="shared" si="2"/>
        <v>11Nov</v>
      </c>
      <c r="H979" s="100" t="str">
        <f t="shared" si="3"/>
        <v>Jumat</v>
      </c>
      <c r="I979" s="97" t="s">
        <v>87</v>
      </c>
      <c r="J979" s="97" t="s">
        <v>88</v>
      </c>
      <c r="K979" s="97" t="s">
        <v>57</v>
      </c>
      <c r="L979" s="101" t="s">
        <v>594</v>
      </c>
      <c r="M979" s="102" t="str">
        <f>IFNA(VLOOKUP(L979,'🙎‍♂️ Pasien'!G:V,2,FALSE),"")</f>
        <v>O0925115685</v>
      </c>
      <c r="N979" s="103">
        <f>IFNA(VLOOKUP(L979,'🙎‍♂️ Pasien'!G:L,3,FALSE),"")</f>
        <v>17</v>
      </c>
      <c r="O979" s="104" t="str">
        <f>IFNA(VLOOKUP(L979,'🙎‍♂️ Pasien'!G:V,6,FALSE),"")</f>
        <v>LAKI-LAKI</v>
      </c>
      <c r="P979" s="104" t="str">
        <f>IFNA(VLOOKUP(L979,'🙎‍♂️ Pasien'!G:V,12,FALSE),"")</f>
        <v>KATOLIK</v>
      </c>
      <c r="Q979" s="104" t="str">
        <f>IFNA(VLOOKUP(L979:L1508,'🙎‍♂️ Pasien'!G:V,13,FALSE),"")</f>
        <v>PELAJAR</v>
      </c>
      <c r="R979" s="104" t="str">
        <f t="array" ref="R979">ifna(xlookup(L979,'🙎‍♂️ Pasien'!$G$5:$G1508,'🙎‍♂️ Pasien'!$T$5:$T1508),"")</f>
        <v>OPERASI PATAH TULANG(AVULSI TUBEROSITAS TIBIA). OTOT KAKI MENGECIL. BELUM LURUS 100%. DAN MASIH TERASA NYERI</v>
      </c>
      <c r="S979" s="104" t="str">
        <f t="array" ref="S979">ifna(xlookup(L979,'🙎‍♂️ Pasien'!$G$5:$G1508,'🙎‍♂️ Pasien'!$U$5:$U1508),"")</f>
        <v>SEPAKBOLA/FUTSAL</v>
      </c>
      <c r="T979" s="97" t="s">
        <v>59</v>
      </c>
      <c r="U979" s="105" t="s">
        <v>60</v>
      </c>
      <c r="V979" s="101" t="s">
        <v>142</v>
      </c>
      <c r="W979" s="106" t="b">
        <v>1</v>
      </c>
      <c r="X979" s="109" t="s">
        <v>294</v>
      </c>
      <c r="Y979" s="108"/>
    </row>
    <row r="980" ht="22.5" customHeight="1">
      <c r="A980" s="96"/>
      <c r="B980" s="97" t="s">
        <v>85</v>
      </c>
      <c r="C980" s="98" t="str">
        <f t="array" ref="C980">IFNA(XLOOKUP(J980,'⚙️ Pengaturan'!$H$5:$H1508,'⚙️ Pengaturan'!$I$5:$I1508),"")</f>
        <v>MANAJEMEN</v>
      </c>
      <c r="D980" s="97" t="s">
        <v>134</v>
      </c>
      <c r="E980" s="99">
        <v>45989.0</v>
      </c>
      <c r="F980" s="100" t="str">
        <f t="shared" si="1"/>
        <v>2025</v>
      </c>
      <c r="G980" s="100" t="str">
        <f t="shared" si="2"/>
        <v>11Nov</v>
      </c>
      <c r="H980" s="100" t="str">
        <f t="shared" si="3"/>
        <v>Jumat</v>
      </c>
      <c r="I980" s="97" t="s">
        <v>87</v>
      </c>
      <c r="J980" s="97" t="s">
        <v>101</v>
      </c>
      <c r="K980" s="97" t="s">
        <v>63</v>
      </c>
      <c r="L980" s="101" t="s">
        <v>534</v>
      </c>
      <c r="M980" s="102" t="str">
        <f>IFNA(VLOOKUP(L980,'🙎‍♂️ Pasien'!G:V,2,FALSE),"")</f>
        <v>R6925118000</v>
      </c>
      <c r="N980" s="103">
        <f>IFNA(VLOOKUP(L980,'🙎‍♂️ Pasien'!G:L,3,FALSE),"")</f>
        <v>57</v>
      </c>
      <c r="O980" s="104" t="str">
        <f>IFNA(VLOOKUP(L980,'🙎‍♂️ Pasien'!G:V,6,FALSE),"")</f>
        <v>PEREMPUAN</v>
      </c>
      <c r="P980" s="104" t="str">
        <f>IFNA(VLOOKUP(L980,'🙎‍♂️ Pasien'!G:V,12,FALSE),"")</f>
        <v>KATOLIK</v>
      </c>
      <c r="Q980" s="104" t="str">
        <f>IFNA(VLOOKUP(L980:L1508,'🙎‍♂️ Pasien'!G:V,13,FALSE),"")</f>
        <v>RUMAH TANGGA</v>
      </c>
      <c r="R980" s="104" t="str">
        <f t="array" ref="R980">ifna(xlookup(L980,'🙎‍♂️ Pasien'!$G$5:$G1508,'🙎‍♂️ Pasien'!$T$5:$T1508),"")</f>
        <v>KAKI SAKIT</v>
      </c>
      <c r="S980" s="104" t="str">
        <f t="array" ref="S980">ifna(xlookup(L980,'🙎‍♂️ Pasien'!$G$5:$G1508,'🙎‍♂️ Pasien'!$U$5:$U1508),"")</f>
        <v>-</v>
      </c>
      <c r="T980" s="97" t="s">
        <v>59</v>
      </c>
      <c r="U980" s="105">
        <v>4.0</v>
      </c>
      <c r="V980" s="101" t="s">
        <v>595</v>
      </c>
      <c r="W980" s="106" t="b">
        <v>1</v>
      </c>
      <c r="X980" s="109" t="s">
        <v>596</v>
      </c>
      <c r="Y980" s="108"/>
    </row>
    <row r="981" ht="22.5" customHeight="1">
      <c r="A981" s="96"/>
      <c r="B981" s="97" t="s">
        <v>85</v>
      </c>
      <c r="C981" s="98" t="str">
        <f t="array" ref="C981">IFNA(XLOOKUP(J981,'⚙️ Pengaturan'!$H$5:$H1508,'⚙️ Pengaturan'!$I$5:$I1508),"")</f>
        <v>MANAJEMEN</v>
      </c>
      <c r="D981" s="97" t="s">
        <v>134</v>
      </c>
      <c r="E981" s="99">
        <v>45989.0</v>
      </c>
      <c r="F981" s="100" t="str">
        <f t="shared" si="1"/>
        <v>2025</v>
      </c>
      <c r="G981" s="100" t="str">
        <f t="shared" si="2"/>
        <v>11Nov</v>
      </c>
      <c r="H981" s="100" t="str">
        <f t="shared" si="3"/>
        <v>Jumat</v>
      </c>
      <c r="I981" s="97" t="s">
        <v>93</v>
      </c>
      <c r="J981" s="97" t="s">
        <v>101</v>
      </c>
      <c r="K981" s="97" t="s">
        <v>69</v>
      </c>
      <c r="L981" s="101" t="s">
        <v>358</v>
      </c>
      <c r="M981" s="102" t="str">
        <f>IFNA(VLOOKUP(L981,'🙎‍♂️ Pasien'!G:V,2,FALSE),"")</f>
        <v>A9825105032</v>
      </c>
      <c r="N981" s="103">
        <f>IFNA(VLOOKUP(L981,'🙎‍♂️ Pasien'!G:L,3,FALSE),"")</f>
        <v>27</v>
      </c>
      <c r="O981" s="104" t="str">
        <f>IFNA(VLOOKUP(L981,'🙎‍♂️ Pasien'!G:V,6,FALSE),"")</f>
        <v>LAKI-LAKI</v>
      </c>
      <c r="P981" s="104" t="str">
        <f>IFNA(VLOOKUP(L981,'🙎‍♂️ Pasien'!G:V,12,FALSE),"")</f>
        <v>BUDDHA</v>
      </c>
      <c r="Q981" s="104" t="str">
        <f>IFNA(VLOOKUP(L981:L1508,'🙎‍♂️ Pasien'!G:V,13,FALSE),"")</f>
        <v>TAROT READER</v>
      </c>
      <c r="R981" s="104" t="str">
        <f t="array" ref="R981">ifna(xlookup(L981,'🙎‍♂️ Pasien'!$G$5:$G1508,'🙎‍♂️ Pasien'!$T$5:$T1508),"")</f>
        <v>NYERI DI KESELURUHAN PUNGGUNG (TERUTAMA AREA BELIKAT KIRI YANG TERKADANG BISA MENJALAR KE LENGAN KIRI), JUGA LEHER</v>
      </c>
      <c r="S981" s="104" t="str">
        <f t="array" ref="S981">ifna(xlookup(L981,'🙎‍♂️ Pasien'!$G$5:$G1508,'🙎‍♂️ Pasien'!$U$5:$U1508),"")</f>
        <v>TIDAK ADA, CUMAN MEMANG SERING DUDUK</v>
      </c>
      <c r="T981" s="97" t="s">
        <v>59</v>
      </c>
      <c r="U981" s="105" t="s">
        <v>60</v>
      </c>
      <c r="V981" s="101" t="s">
        <v>597</v>
      </c>
      <c r="W981" s="106" t="b">
        <v>1</v>
      </c>
      <c r="X981" s="109" t="s">
        <v>214</v>
      </c>
      <c r="Y981" s="108"/>
    </row>
    <row r="982" ht="22.5" customHeight="1">
      <c r="A982" s="96"/>
      <c r="B982" s="97" t="s">
        <v>85</v>
      </c>
      <c r="C982" s="98" t="str">
        <f t="array" ref="C982">IFNA(XLOOKUP(J982,'⚙️ Pengaturan'!$H$5:$H1508,'⚙️ Pengaturan'!$I$5:$I1508),"")</f>
        <v>INAKTIF</v>
      </c>
      <c r="D982" s="97" t="s">
        <v>134</v>
      </c>
      <c r="E982" s="99">
        <v>45989.0</v>
      </c>
      <c r="F982" s="100" t="str">
        <f t="shared" si="1"/>
        <v>2025</v>
      </c>
      <c r="G982" s="100" t="str">
        <f t="shared" si="2"/>
        <v>11Nov</v>
      </c>
      <c r="H982" s="100" t="str">
        <f t="shared" si="3"/>
        <v>Jumat</v>
      </c>
      <c r="I982" s="97" t="s">
        <v>93</v>
      </c>
      <c r="J982" s="97" t="s">
        <v>598</v>
      </c>
      <c r="K982" s="97" t="s">
        <v>63</v>
      </c>
      <c r="L982" s="101" t="s">
        <v>599</v>
      </c>
      <c r="M982" s="102" t="str">
        <f>IFNA(VLOOKUP(L982,'🙎‍♂️ Pasien'!G:V,2,FALSE),"")</f>
        <v>V8925118000</v>
      </c>
      <c r="N982" s="103">
        <f>IFNA(VLOOKUP(L982,'🙎‍♂️ Pasien'!G:L,3,FALSE),"")</f>
        <v>37</v>
      </c>
      <c r="O982" s="104" t="str">
        <f>IFNA(VLOOKUP(L982,'🙎‍♂️ Pasien'!G:V,6,FALSE),"")</f>
        <v>LAKI-LAKI</v>
      </c>
      <c r="P982" s="104" t="str">
        <f>IFNA(VLOOKUP(L982,'🙎‍♂️ Pasien'!G:V,12,FALSE),"")</f>
        <v>ISLAM</v>
      </c>
      <c r="Q982" s="104" t="str">
        <f>IFNA(VLOOKUP(L982:L1508,'🙎‍♂️ Pasien'!G:V,13,FALSE),"")</f>
        <v>PNS</v>
      </c>
      <c r="R982" s="104" t="str">
        <f t="array" ref="R982">ifna(xlookup(L982,'🙎‍♂️ Pasien'!$G$5:$G1508,'🙎‍♂️ Pasien'!$T$5:$T1508),"")</f>
        <v>SENDI LUTUT KIRI BERMASALAH</v>
      </c>
      <c r="S982" s="104" t="str">
        <f t="array" ref="S982">ifna(xlookup(L982,'🙎‍♂️ Pasien'!$G$5:$G1508,'🙎‍♂️ Pasien'!$U$5:$U1508),"")</f>
        <v>OLAHRAGA GYM</v>
      </c>
      <c r="T982" s="97" t="s">
        <v>59</v>
      </c>
      <c r="U982" s="105">
        <v>1.0</v>
      </c>
      <c r="V982" s="101"/>
      <c r="W982" s="106" t="b">
        <v>1</v>
      </c>
      <c r="X982" s="109" t="s">
        <v>600</v>
      </c>
      <c r="Y982" s="108"/>
    </row>
    <row r="983" ht="22.5" customHeight="1">
      <c r="A983" s="96"/>
      <c r="B983" s="97" t="s">
        <v>85</v>
      </c>
      <c r="C983" s="98" t="str">
        <f t="array" ref="C983">IFNA(XLOOKUP(J983,'⚙️ Pengaturan'!$H$5:$H1508,'⚙️ Pengaturan'!$I$5:$I1508),"")</f>
        <v>TIM Y</v>
      </c>
      <c r="D983" s="97" t="s">
        <v>134</v>
      </c>
      <c r="E983" s="99">
        <v>45989.0</v>
      </c>
      <c r="F983" s="100" t="str">
        <f t="shared" si="1"/>
        <v>2025</v>
      </c>
      <c r="G983" s="100" t="str">
        <f t="shared" si="2"/>
        <v>11Nov</v>
      </c>
      <c r="H983" s="100" t="str">
        <f t="shared" si="3"/>
        <v>Jumat</v>
      </c>
      <c r="I983" s="97" t="s">
        <v>95</v>
      </c>
      <c r="J983" s="97" t="s">
        <v>88</v>
      </c>
      <c r="K983" s="97" t="s">
        <v>63</v>
      </c>
      <c r="L983" s="101" t="s">
        <v>601</v>
      </c>
      <c r="M983" s="102" t="str">
        <f>IFNA(VLOOKUP(L983,'🙎‍♂️ Pasien'!G:V,2,FALSE),"")</f>
        <v>S6724108986</v>
      </c>
      <c r="N983" s="103">
        <f>IFNA(VLOOKUP(L983,'🙎‍♂️ Pasien'!G:L,3,FALSE),"")</f>
        <v>59</v>
      </c>
      <c r="O983" s="104" t="str">
        <f>IFNA(VLOOKUP(L983,'🙎‍♂️ Pasien'!G:V,6,FALSE),"")</f>
        <v>LAKI-LAKI</v>
      </c>
      <c r="P983" s="104" t="str">
        <f>IFNA(VLOOKUP(L983,'🙎‍♂️ Pasien'!G:V,12,FALSE),"")</f>
        <v>ISLAM</v>
      </c>
      <c r="Q983" s="104" t="str">
        <f>IFNA(VLOOKUP(L983:L1508,'🙎‍♂️ Pasien'!G:V,13,FALSE),"")</f>
        <v>PENSIUN</v>
      </c>
      <c r="R983" s="104" t="str">
        <f t="array" ref="R983">ifna(xlookup(L983,'🙎‍♂️ Pasien'!$G$5:$G1508,'🙎‍♂️ Pasien'!$T$5:$T1508),"")</f>
        <v>Badan kaku , kaki tidak bisa / tidak ada kekuaran untuk menapaki tangga</v>
      </c>
      <c r="S983" s="104" t="str">
        <f t="array" ref="S983">ifna(xlookup(L983,'🙎‍♂️ Pasien'!$G$5:$G1508,'🙎‍♂️ Pasien'!$U$5:$U1508),"")</f>
        <v>Membaca</v>
      </c>
      <c r="T983" s="97" t="s">
        <v>59</v>
      </c>
      <c r="U983" s="105">
        <v>2.0</v>
      </c>
      <c r="V983" s="101"/>
      <c r="W983" s="106" t="b">
        <v>1</v>
      </c>
      <c r="X983" s="109" t="s">
        <v>602</v>
      </c>
      <c r="Y983" s="108"/>
    </row>
    <row r="984" ht="22.5" customHeight="1">
      <c r="A984" s="96"/>
      <c r="B984" s="97" t="s">
        <v>85</v>
      </c>
      <c r="C984" s="98" t="str">
        <f t="array" ref="C984">IFNA(XLOOKUP(J984,'⚙️ Pengaturan'!$H$5:$H1508,'⚙️ Pengaturan'!$I$5:$I1508),"")</f>
        <v>TIM Y</v>
      </c>
      <c r="D984" s="97" t="s">
        <v>134</v>
      </c>
      <c r="E984" s="99">
        <v>45989.0</v>
      </c>
      <c r="F984" s="100" t="str">
        <f t="shared" si="1"/>
        <v>2025</v>
      </c>
      <c r="G984" s="100" t="str">
        <f t="shared" si="2"/>
        <v>11Nov</v>
      </c>
      <c r="H984" s="100" t="str">
        <f t="shared" si="3"/>
        <v>Jumat</v>
      </c>
      <c r="I984" s="97" t="s">
        <v>97</v>
      </c>
      <c r="J984" s="97" t="s">
        <v>88</v>
      </c>
      <c r="K984" s="97" t="s">
        <v>63</v>
      </c>
      <c r="L984" s="101" t="s">
        <v>540</v>
      </c>
      <c r="M984" s="102" t="str">
        <f>IFNA(VLOOKUP(L984,'🙎‍♂️ Pasien'!G:V,2,FALSE),"")</f>
        <v>A9425110177</v>
      </c>
      <c r="N984" s="103">
        <f>IFNA(VLOOKUP(L984,'🙎‍♂️ Pasien'!G:L,3,FALSE),"")</f>
        <v>31</v>
      </c>
      <c r="O984" s="104" t="str">
        <f>IFNA(VLOOKUP(L984,'🙎‍♂️ Pasien'!G:V,6,FALSE),"")</f>
        <v>LAKI-LAKI</v>
      </c>
      <c r="P984" s="104" t="str">
        <f>IFNA(VLOOKUP(L984,'🙎‍♂️ Pasien'!G:V,12,FALSE),"")</f>
        <v>KATOLIK</v>
      </c>
      <c r="Q984" s="104" t="str">
        <f>IFNA(VLOOKUP(L984:L1508,'🙎‍♂️ Pasien'!G:V,13,FALSE),"")</f>
        <v>-</v>
      </c>
      <c r="R984" s="104" t="str">
        <f t="array" ref="R984">ifna(xlookup(L984,'🙎‍♂️ Pasien'!$G$5:$G1508,'🙎‍♂️ Pasien'!$T$5:$T1508),"")</f>
        <v>PASCA OPERASI ACL</v>
      </c>
      <c r="S984" s="104" t="str">
        <f t="array" ref="S984">ifna(xlookup(L984,'🙎‍♂️ Pasien'!$G$5:$G1508,'🙎‍♂️ Pasien'!$U$5:$U1508),"")</f>
        <v>-</v>
      </c>
      <c r="T984" s="97" t="s">
        <v>59</v>
      </c>
      <c r="U984" s="105">
        <v>4.0</v>
      </c>
      <c r="V984" s="101"/>
      <c r="W984" s="106" t="b">
        <v>1</v>
      </c>
      <c r="X984" s="109" t="s">
        <v>214</v>
      </c>
      <c r="Y984" s="108"/>
    </row>
    <row r="985" ht="22.5" customHeight="1">
      <c r="A985" s="96"/>
      <c r="B985" s="97" t="s">
        <v>85</v>
      </c>
      <c r="C985" s="98" t="str">
        <f t="array" ref="C985">IFNA(XLOOKUP(J985,'⚙️ Pengaturan'!$H$5:$H1508,'⚙️ Pengaturan'!$I$5:$I1508),"")</f>
        <v>TIM Y</v>
      </c>
      <c r="D985" s="97" t="s">
        <v>134</v>
      </c>
      <c r="E985" s="99">
        <v>45989.0</v>
      </c>
      <c r="F985" s="100" t="str">
        <f t="shared" si="1"/>
        <v>2025</v>
      </c>
      <c r="G985" s="100" t="str">
        <f t="shared" si="2"/>
        <v>11Nov</v>
      </c>
      <c r="H985" s="100" t="str">
        <f t="shared" si="3"/>
        <v>Jumat</v>
      </c>
      <c r="I985" s="97" t="s">
        <v>99</v>
      </c>
      <c r="J985" s="97" t="s">
        <v>88</v>
      </c>
      <c r="K985" s="97" t="s">
        <v>63</v>
      </c>
      <c r="L985" s="101" t="s">
        <v>239</v>
      </c>
      <c r="M985" s="102" t="str">
        <f>IFNA(VLOOKUP(L985,'🙎‍♂️ Pasien'!G:V,2,FALSE),"")</f>
        <v>A0623071437</v>
      </c>
      <c r="N985" s="103">
        <f>IFNA(VLOOKUP(L985,'🙎‍♂️ Pasien'!G:L,3,FALSE),"")</f>
        <v>20</v>
      </c>
      <c r="O985" s="104" t="str">
        <f>IFNA(VLOOKUP(L985,'🙎‍♂️ Pasien'!G:V,6,FALSE),"")</f>
        <v>LAKI-LAKI</v>
      </c>
      <c r="P985" s="104" t="str">
        <f>IFNA(VLOOKUP(L985,'🙎‍♂️ Pasien'!G:V,12,FALSE),"")</f>
        <v>ISLAM</v>
      </c>
      <c r="Q985" s="104" t="str">
        <f>IFNA(VLOOKUP(L985:L1508,'🙎‍♂️ Pasien'!G:V,13,FALSE),"")</f>
        <v>PELAJAR/MAHASISWA</v>
      </c>
      <c r="R985" s="104" t="str">
        <f t="array" ref="R985">ifna(xlookup(L985,'🙎‍♂️ Pasien'!$G$5:$G1508,'🙎‍♂️ Pasien'!$T$5:$T1508),"")</f>
        <v>Cedera Engkel Di Kaki</v>
      </c>
      <c r="S985" s="104" t="str">
        <f t="array" ref="S985">ifna(xlookup(L985,'🙎‍♂️ Pasien'!$G$5:$G1508,'🙎‍♂️ Pasien'!$U$5:$U1508),"")</f>
        <v>BERMAIN FUTSAL</v>
      </c>
      <c r="T985" s="97" t="s">
        <v>67</v>
      </c>
      <c r="U985" s="105">
        <v>3.0</v>
      </c>
      <c r="V985" s="101" t="s">
        <v>603</v>
      </c>
      <c r="W985" s="106" t="b">
        <v>1</v>
      </c>
      <c r="X985" s="107"/>
      <c r="Y985" s="108"/>
    </row>
    <row r="986" ht="22.5" customHeight="1">
      <c r="A986" s="96"/>
      <c r="B986" s="97" t="s">
        <v>53</v>
      </c>
      <c r="C986" s="98" t="str">
        <f t="array" ref="C986">IFNA(XLOOKUP(J986,'⚙️ Pengaturan'!$H$5:$H1508,'⚙️ Pengaturan'!$I$5:$I1508),"")</f>
        <v>MANAJEMEN</v>
      </c>
      <c r="D986" s="97" t="s">
        <v>54</v>
      </c>
      <c r="E986" s="99">
        <v>45990.0</v>
      </c>
      <c r="F986" s="100" t="str">
        <f t="shared" si="1"/>
        <v>2025</v>
      </c>
      <c r="G986" s="100" t="str">
        <f t="shared" si="2"/>
        <v>11Nov</v>
      </c>
      <c r="H986" s="100" t="str">
        <f t="shared" si="3"/>
        <v>Sabtu</v>
      </c>
      <c r="I986" s="97" t="s">
        <v>55</v>
      </c>
      <c r="J986" s="97" t="s">
        <v>81</v>
      </c>
      <c r="K986" s="97" t="s">
        <v>63</v>
      </c>
      <c r="L986" s="101" t="s">
        <v>222</v>
      </c>
      <c r="M986" s="102" t="str">
        <f>IFNA(VLOOKUP(L986,'🙎‍♂️ Pasien'!G:V,2,FALSE),"")</f>
        <v>D0924079294</v>
      </c>
      <c r="N986" s="103">
        <f>IFNA(VLOOKUP(L986,'🙎‍♂️ Pasien'!G:L,3,FALSE),"")</f>
        <v>17</v>
      </c>
      <c r="O986" s="104" t="str">
        <f>IFNA(VLOOKUP(L986,'🙎‍♂️ Pasien'!G:V,6,FALSE),"")</f>
        <v>LAKI-LAKI</v>
      </c>
      <c r="P986" s="104" t="str">
        <f>IFNA(VLOOKUP(L986,'🙎‍♂️ Pasien'!G:V,12,FALSE),"")</f>
        <v>ISLAM</v>
      </c>
      <c r="Q986" s="104" t="str">
        <f>IFNA(VLOOKUP(L986:L1508,'🙎‍♂️ Pasien'!G:V,13,FALSE),"")</f>
        <v>PELAJAR/MAHASISWA</v>
      </c>
      <c r="R986" s="104" t="str">
        <f t="array" ref="R986">ifna(xlookup(L986,'🙎‍♂️ Pasien'!$G$5:$G1508,'🙎‍♂️ Pasien'!$T$5:$T1508),"")</f>
        <v>Strok ringan</v>
      </c>
      <c r="S986" s="104" t="str">
        <f t="array" ref="S986">ifna(xlookup(L986,'🙎‍♂️ Pasien'!$G$5:$G1508,'🙎‍♂️ Pasien'!$U$5:$U1508),"")</f>
        <v>Olah raga</v>
      </c>
      <c r="T986" s="97" t="s">
        <v>59</v>
      </c>
      <c r="U986" s="105">
        <v>3.0</v>
      </c>
      <c r="V986" s="101"/>
      <c r="W986" s="106" t="b">
        <v>1</v>
      </c>
      <c r="X986" s="107"/>
      <c r="Y986" s="108"/>
    </row>
    <row r="987" ht="22.5" customHeight="1">
      <c r="A987" s="96"/>
      <c r="B987" s="97" t="s">
        <v>53</v>
      </c>
      <c r="C987" s="98" t="str">
        <f t="array" ref="C987">IFNA(XLOOKUP(J987,'⚙️ Pengaturan'!$H$5:$H1508,'⚙️ Pengaturan'!$I$5:$I1508),"")</f>
        <v>TIM Y</v>
      </c>
      <c r="D987" s="97" t="s">
        <v>54</v>
      </c>
      <c r="E987" s="99">
        <v>45990.0</v>
      </c>
      <c r="F987" s="100" t="str">
        <f t="shared" si="1"/>
        <v>2025</v>
      </c>
      <c r="G987" s="100" t="str">
        <f t="shared" si="2"/>
        <v>11Nov</v>
      </c>
      <c r="H987" s="100" t="str">
        <f t="shared" si="3"/>
        <v>Sabtu</v>
      </c>
      <c r="I987" s="97" t="s">
        <v>55</v>
      </c>
      <c r="J987" s="97" t="s">
        <v>107</v>
      </c>
      <c r="K987" s="97" t="s">
        <v>63</v>
      </c>
      <c r="L987" s="101" t="s">
        <v>414</v>
      </c>
      <c r="M987" s="102" t="str">
        <f>IFNA(VLOOKUP(L987,'🙎‍♂️ Pasien'!G:V,2,FALSE),"")</f>
        <v>R8723125757</v>
      </c>
      <c r="N987" s="103">
        <f>IFNA(VLOOKUP(L987,'🙎‍♂️ Pasien'!G:L,3,FALSE),"")</f>
        <v>39</v>
      </c>
      <c r="O987" s="104" t="str">
        <f>IFNA(VLOOKUP(L987,'🙎‍♂️ Pasien'!G:V,6,FALSE),"")</f>
        <v>LAKI-LAKI</v>
      </c>
      <c r="P987" s="104" t="str">
        <f>IFNA(VLOOKUP(L987,'🙎‍♂️ Pasien'!G:V,12,FALSE),"")</f>
        <v>ISLAM</v>
      </c>
      <c r="Q987" s="104" t="str">
        <f>IFNA(VLOOKUP(L987:L1508,'🙎‍♂️ Pasien'!G:V,13,FALSE),"")</f>
        <v>SWASTA</v>
      </c>
      <c r="R987" s="104" t="str">
        <f t="array" ref="R987">ifna(xlookup(L987,'🙎‍♂️ Pasien'!$G$5:$G1508,'🙎‍♂️ Pasien'!$T$5:$T1508),"")</f>
        <v>Cidera</v>
      </c>
      <c r="S987" s="104" t="str">
        <f t="array" ref="S987">ifna(xlookup(L987,'🙎‍♂️ Pasien'!$G$5:$G1508,'🙎‍♂️ Pasien'!$U$5:$U1508),"")</f>
        <v>Olahraga</v>
      </c>
      <c r="T987" s="97" t="s">
        <v>67</v>
      </c>
      <c r="U987" s="105">
        <v>4.0</v>
      </c>
      <c r="V987" s="101" t="s">
        <v>604</v>
      </c>
      <c r="W987" s="106" t="b">
        <v>1</v>
      </c>
      <c r="X987" s="107"/>
      <c r="Y987" s="108"/>
    </row>
    <row r="988" ht="22.5" customHeight="1">
      <c r="A988" s="96"/>
      <c r="B988" s="97" t="s">
        <v>53</v>
      </c>
      <c r="C988" s="98" t="str">
        <f t="array" ref="C988">IFNA(XLOOKUP(J988,'⚙️ Pengaturan'!$H$5:$H1508,'⚙️ Pengaturan'!$I$5:$I1508),"")</f>
        <v>TIM Y</v>
      </c>
      <c r="D988" s="97" t="s">
        <v>54</v>
      </c>
      <c r="E988" s="99">
        <v>45990.0</v>
      </c>
      <c r="F988" s="100" t="str">
        <f t="shared" si="1"/>
        <v>2025</v>
      </c>
      <c r="G988" s="100" t="str">
        <f t="shared" si="2"/>
        <v>11Nov</v>
      </c>
      <c r="H988" s="100" t="str">
        <f t="shared" si="3"/>
        <v>Sabtu</v>
      </c>
      <c r="I988" s="97" t="s">
        <v>55</v>
      </c>
      <c r="J988" s="97" t="s">
        <v>107</v>
      </c>
      <c r="K988" s="97" t="s">
        <v>57</v>
      </c>
      <c r="L988" s="101" t="s">
        <v>605</v>
      </c>
      <c r="M988" s="102" t="str">
        <f>IFNA(VLOOKUP(L988,'🙎‍♂️ Pasien'!G:V,2,FALSE),"")</f>
        <v>Y7025113569</v>
      </c>
      <c r="N988" s="103">
        <f>IFNA(VLOOKUP(L988,'🙎‍♂️ Pasien'!G:L,3,FALSE),"")</f>
        <v>55</v>
      </c>
      <c r="O988" s="104" t="str">
        <f>IFNA(VLOOKUP(L988,'🙎‍♂️ Pasien'!G:V,6,FALSE),"")</f>
        <v>PEREMPUAN</v>
      </c>
      <c r="P988" s="104" t="str">
        <f>IFNA(VLOOKUP(L988,'🙎‍♂️ Pasien'!G:V,12,FALSE),"")</f>
        <v>ISLAM</v>
      </c>
      <c r="Q988" s="104" t="str">
        <f>IFNA(VLOOKUP(L988:L1508,'🙎‍♂️ Pasien'!G:V,13,FALSE),"")</f>
        <v>PENSIUNAN</v>
      </c>
      <c r="R988" s="104" t="str">
        <f t="array" ref="R988">ifna(xlookup(L988,'🙎‍♂️ Pasien'!$G$5:$G1508,'🙎‍♂️ Pasien'!$T$5:$T1508),"")</f>
        <v>TUMIT SAKIT, DAN MAU MENAMBAH MASSA OTOT KAKI</v>
      </c>
      <c r="S988" s="104" t="str">
        <f t="array" ref="S988">ifna(xlookup(L988,'🙎‍♂️ Pasien'!$G$5:$G1508,'🙎‍♂️ Pasien'!$U$5:$U1508),"")</f>
        <v>TIDAK ADA</v>
      </c>
      <c r="T988" s="97" t="s">
        <v>59</v>
      </c>
      <c r="U988" s="105" t="s">
        <v>60</v>
      </c>
      <c r="V988" s="101"/>
      <c r="W988" s="106" t="b">
        <v>1</v>
      </c>
      <c r="X988" s="107"/>
      <c r="Y988" s="108"/>
    </row>
    <row r="989" ht="22.5" customHeight="1">
      <c r="A989" s="96"/>
      <c r="B989" s="97" t="s">
        <v>53</v>
      </c>
      <c r="C989" s="98" t="str">
        <f t="array" ref="C989">IFNA(XLOOKUP(J989,'⚙️ Pengaturan'!$H$5:$H1508,'⚙️ Pengaturan'!$I$5:$I1508),"")</f>
        <v>TIM Y</v>
      </c>
      <c r="D989" s="97" t="s">
        <v>54</v>
      </c>
      <c r="E989" s="99">
        <v>45990.0</v>
      </c>
      <c r="F989" s="100" t="str">
        <f t="shared" si="1"/>
        <v>2025</v>
      </c>
      <c r="G989" s="100" t="str">
        <f t="shared" si="2"/>
        <v>11Nov</v>
      </c>
      <c r="H989" s="100" t="str">
        <f t="shared" si="3"/>
        <v>Sabtu</v>
      </c>
      <c r="I989" s="97" t="s">
        <v>65</v>
      </c>
      <c r="J989" s="97" t="s">
        <v>107</v>
      </c>
      <c r="K989" s="97" t="s">
        <v>63</v>
      </c>
      <c r="L989" s="101" t="s">
        <v>225</v>
      </c>
      <c r="M989" s="102" t="str">
        <f>IFNA(VLOOKUP(L989,'🙎‍♂️ Pasien'!G:V,2,FALSE),"")</f>
        <v>B8025102288</v>
      </c>
      <c r="N989" s="103">
        <f>IFNA(VLOOKUP(L989,'🙎‍♂️ Pasien'!G:L,3,FALSE),"")</f>
        <v>45</v>
      </c>
      <c r="O989" s="104" t="str">
        <f>IFNA(VLOOKUP(L989,'🙎‍♂️ Pasien'!G:V,6,FALSE),"")</f>
        <v>PEREMPUAN</v>
      </c>
      <c r="P989" s="104" t="str">
        <f>IFNA(VLOOKUP(L989,'🙎‍♂️ Pasien'!G:V,12,FALSE),"")</f>
        <v>ISLAM</v>
      </c>
      <c r="Q989" s="104" t="str">
        <f>IFNA(VLOOKUP(L989:L1508,'🙎‍♂️ Pasien'!G:V,13,FALSE),"")</f>
        <v>ASN</v>
      </c>
      <c r="R989" s="104" t="str">
        <f t="array" ref="R989">ifna(xlookup(L989,'🙎‍♂️ Pasien'!$G$5:$G1508,'🙎‍♂️ Pasien'!$T$5:$T1508),"")</f>
        <v>KELUHAN SY NYERI DI TUMIT KIRI SM PAHA KANAN UT DIANGKAT SAMBIL DITEKUK KE ARAH SAMPING LUAR RASA NYA NYERI</v>
      </c>
      <c r="S989" s="104" t="str">
        <f t="array" ref="S989">ifna(xlookup(L989,'🙎‍♂️ Pasien'!$G$5:$G1508,'🙎‍♂️ Pasien'!$U$5:$U1508),"")</f>
        <v>JOGING</v>
      </c>
      <c r="T989" s="97" t="s">
        <v>59</v>
      </c>
      <c r="U989" s="105">
        <v>1.0</v>
      </c>
      <c r="V989" s="101" t="s">
        <v>256</v>
      </c>
      <c r="W989" s="106" t="b">
        <v>1</v>
      </c>
      <c r="X989" s="107"/>
      <c r="Y989" s="108"/>
    </row>
    <row r="990" ht="22.5" customHeight="1">
      <c r="A990" s="96"/>
      <c r="B990" s="97" t="s">
        <v>53</v>
      </c>
      <c r="C990" s="98" t="str">
        <f t="array" ref="C990">IFNA(XLOOKUP(J990,'⚙️ Pengaturan'!$H$5:$H1508,'⚙️ Pengaturan'!$I$5:$I1508),"")</f>
        <v>TIM Y</v>
      </c>
      <c r="D990" s="97" t="s">
        <v>54</v>
      </c>
      <c r="E990" s="99">
        <v>45990.0</v>
      </c>
      <c r="F990" s="100" t="str">
        <f t="shared" si="1"/>
        <v>2025</v>
      </c>
      <c r="G990" s="100" t="str">
        <f t="shared" si="2"/>
        <v>11Nov</v>
      </c>
      <c r="H990" s="100" t="str">
        <f t="shared" si="3"/>
        <v>Sabtu</v>
      </c>
      <c r="I990" s="97" t="s">
        <v>74</v>
      </c>
      <c r="J990" s="97" t="s">
        <v>91</v>
      </c>
      <c r="K990" s="97" t="s">
        <v>63</v>
      </c>
      <c r="L990" s="101" t="s">
        <v>501</v>
      </c>
      <c r="M990" s="102" t="str">
        <f>IFNA(VLOOKUP(L990,'🙎‍♂️ Pasien'!G:V,2,FALSE),"")</f>
        <v>C9025117272</v>
      </c>
      <c r="N990" s="103">
        <f>IFNA(VLOOKUP(L990,'🙎‍♂️ Pasien'!G:L,3,FALSE),"")</f>
        <v>35</v>
      </c>
      <c r="O990" s="104" t="str">
        <f>IFNA(VLOOKUP(L990,'🙎‍♂️ Pasien'!G:V,6,FALSE),"")</f>
        <v>PEREMPUAN</v>
      </c>
      <c r="P990" s="104" t="str">
        <f>IFNA(VLOOKUP(L990,'🙎‍♂️ Pasien'!G:V,12,FALSE),"")</f>
        <v>PROTESTAN</v>
      </c>
      <c r="Q990" s="104" t="str">
        <f>IFNA(VLOOKUP(L990:L1508,'🙎‍♂️ Pasien'!G:V,13,FALSE),"")</f>
        <v>IBU RUMAH TANGGA</v>
      </c>
      <c r="R990" s="104" t="str">
        <f t="array" ref="R990">ifna(xlookup(L990,'🙎‍♂️ Pasien'!$G$5:$G1508,'🙎‍♂️ Pasien'!$T$5:$T1508),"")</f>
        <v>SENDI LUTUT BERGESER</v>
      </c>
      <c r="S990" s="104" t="str">
        <f t="array" ref="S990">ifna(xlookup(L990,'🙎‍♂️ Pasien'!$G$5:$G1508,'🙎‍♂️ Pasien'!$U$5:$U1508),"")</f>
        <v>JATUH KEPELESET</v>
      </c>
      <c r="T990" s="97" t="s">
        <v>59</v>
      </c>
      <c r="U990" s="105">
        <v>6.0</v>
      </c>
      <c r="V990" s="101"/>
      <c r="W990" s="106" t="b">
        <v>1</v>
      </c>
      <c r="X990" s="107"/>
      <c r="Y990" s="108"/>
    </row>
    <row r="991" ht="22.5" customHeight="1">
      <c r="A991" s="96"/>
      <c r="B991" s="97" t="s">
        <v>53</v>
      </c>
      <c r="C991" s="98" t="str">
        <f t="array" ref="C991">IFNA(XLOOKUP(J991,'⚙️ Pengaturan'!$H$5:$H1508,'⚙️ Pengaturan'!$I$5:$I1508),"")</f>
        <v>TIM Y</v>
      </c>
      <c r="D991" s="97" t="s">
        <v>54</v>
      </c>
      <c r="E991" s="99">
        <v>45990.0</v>
      </c>
      <c r="F991" s="100" t="str">
        <f t="shared" si="1"/>
        <v>2025</v>
      </c>
      <c r="G991" s="100" t="str">
        <f t="shared" si="2"/>
        <v>11Nov</v>
      </c>
      <c r="H991" s="100" t="str">
        <f t="shared" si="3"/>
        <v>Sabtu</v>
      </c>
      <c r="I991" s="97" t="s">
        <v>74</v>
      </c>
      <c r="J991" s="97" t="s">
        <v>88</v>
      </c>
      <c r="K991" s="97" t="s">
        <v>57</v>
      </c>
      <c r="L991" s="101" t="s">
        <v>606</v>
      </c>
      <c r="M991" s="102" t="str">
        <f>IFNA(VLOOKUP(L991,'🙎‍♂️ Pasien'!G:V,2,FALSE),"")</f>
        <v>D9225112288</v>
      </c>
      <c r="N991" s="103">
        <f>IFNA(VLOOKUP(L991,'🙎‍♂️ Pasien'!G:L,3,FALSE),"")</f>
        <v>33</v>
      </c>
      <c r="O991" s="104" t="str">
        <f>IFNA(VLOOKUP(L991,'🙎‍♂️ Pasien'!G:V,6,FALSE),"")</f>
        <v>LAKI-LAKI</v>
      </c>
      <c r="P991" s="104" t="str">
        <f>IFNA(VLOOKUP(L991,'🙎‍♂️ Pasien'!G:V,12,FALSE),"")</f>
        <v>ISLAM</v>
      </c>
      <c r="Q991" s="104" t="str">
        <f>IFNA(VLOOKUP(L991:L1508,'🙎‍♂️ Pasien'!G:V,13,FALSE),"")</f>
        <v>WIRASWASTA</v>
      </c>
      <c r="R991" s="104" t="str">
        <f t="array" ref="R991">ifna(xlookup(L991,'🙎‍♂️ Pasien'!$G$5:$G1508,'🙎‍♂️ Pasien'!$T$5:$T1508),"")</f>
        <v>STROKE SEBELAH KANAN, PEMBENGKAKAN JANTUNG</v>
      </c>
      <c r="S991" s="104" t="str">
        <f t="array" ref="S991">ifna(xlookup(L991,'🙎‍♂️ Pasien'!$G$5:$G1508,'🙎‍♂️ Pasien'!$U$5:$U1508),"")</f>
        <v>PARKIR, PEROKOK AKTIF</v>
      </c>
      <c r="T991" s="97" t="s">
        <v>59</v>
      </c>
      <c r="U991" s="105" t="s">
        <v>60</v>
      </c>
      <c r="V991" s="101"/>
      <c r="W991" s="106" t="b">
        <v>1</v>
      </c>
      <c r="X991" s="107"/>
      <c r="Y991" s="108"/>
    </row>
    <row r="992" ht="22.5" customHeight="1">
      <c r="A992" s="96"/>
      <c r="B992" s="97" t="s">
        <v>53</v>
      </c>
      <c r="C992" s="98" t="str">
        <f t="array" ref="C992">IFNA(XLOOKUP(J992,'⚙️ Pengaturan'!$H$5:$H1508,'⚙️ Pengaturan'!$I$5:$I1508),"")</f>
        <v>TIM Y</v>
      </c>
      <c r="D992" s="97" t="s">
        <v>54</v>
      </c>
      <c r="E992" s="99">
        <v>45990.0</v>
      </c>
      <c r="F992" s="100" t="str">
        <f t="shared" si="1"/>
        <v>2025</v>
      </c>
      <c r="G992" s="100" t="str">
        <f t="shared" si="2"/>
        <v>11Nov</v>
      </c>
      <c r="H992" s="100" t="str">
        <f t="shared" si="3"/>
        <v>Sabtu</v>
      </c>
      <c r="I992" s="97" t="s">
        <v>76</v>
      </c>
      <c r="J992" s="97" t="s">
        <v>88</v>
      </c>
      <c r="K992" s="97" t="s">
        <v>57</v>
      </c>
      <c r="L992" s="101" t="s">
        <v>607</v>
      </c>
      <c r="M992" s="102" t="str">
        <f>IFNA(VLOOKUP(L992,'🙎‍♂️ Pasien'!G:V,2,FALSE),"")</f>
        <v>R0325117252</v>
      </c>
      <c r="N992" s="103">
        <f>IFNA(VLOOKUP(L992,'🙎‍♂️ Pasien'!G:L,3,FALSE),"")</f>
        <v>23</v>
      </c>
      <c r="O992" s="104" t="str">
        <f>IFNA(VLOOKUP(L992,'🙎‍♂️ Pasien'!G:V,6,FALSE),"")</f>
        <v>LAKI-LAKI</v>
      </c>
      <c r="P992" s="104" t="str">
        <f>IFNA(VLOOKUP(L992,'🙎‍♂️ Pasien'!G:V,12,FALSE),"")</f>
        <v>ISLAM</v>
      </c>
      <c r="Q992" s="104" t="str">
        <f>IFNA(VLOOKUP(L992:L1508,'🙎‍♂️ Pasien'!G:V,13,FALSE),"")</f>
        <v>BURUH</v>
      </c>
      <c r="R992" s="104" t="str">
        <f t="array" ref="R992">ifna(xlookup(L992,'🙎‍♂️ Pasien'!$G$5:$G1508,'🙎‍♂️ Pasien'!$T$5:$T1508),"")</f>
        <v>NYERI PADA LUTUT</v>
      </c>
      <c r="S992" s="104" t="str">
        <f t="array" ref="S992">ifna(xlookup(L992,'🙎‍♂️ Pasien'!$G$5:$G1508,'🙎‍♂️ Pasien'!$U$5:$U1508),"")</f>
        <v>SEPAK BOLA</v>
      </c>
      <c r="T992" s="97" t="s">
        <v>59</v>
      </c>
      <c r="U992" s="105" t="s">
        <v>60</v>
      </c>
      <c r="V992" s="101"/>
      <c r="W992" s="106" t="b">
        <v>1</v>
      </c>
      <c r="X992" s="107"/>
      <c r="Y992" s="108"/>
    </row>
    <row r="993" ht="22.5" customHeight="1">
      <c r="A993" s="96"/>
      <c r="B993" s="97" t="s">
        <v>53</v>
      </c>
      <c r="C993" s="98" t="str">
        <f t="array" ref="C993">IFNA(XLOOKUP(J993,'⚙️ Pengaturan'!$H$5:$H1508,'⚙️ Pengaturan'!$I$5:$I1508),"")</f>
        <v>TIM Y</v>
      </c>
      <c r="D993" s="97" t="s">
        <v>54</v>
      </c>
      <c r="E993" s="99">
        <v>45990.0</v>
      </c>
      <c r="F993" s="100" t="str">
        <f t="shared" si="1"/>
        <v>2025</v>
      </c>
      <c r="G993" s="100" t="str">
        <f t="shared" si="2"/>
        <v>11Nov</v>
      </c>
      <c r="H993" s="100" t="str">
        <f t="shared" si="3"/>
        <v>Sabtu</v>
      </c>
      <c r="I993" s="97" t="s">
        <v>76</v>
      </c>
      <c r="J993" s="97" t="s">
        <v>107</v>
      </c>
      <c r="K993" s="97" t="s">
        <v>63</v>
      </c>
      <c r="L993" s="101" t="s">
        <v>153</v>
      </c>
      <c r="M993" s="102" t="str">
        <f>IFNA(VLOOKUP(L993,'🙎‍♂️ Pasien'!G:V,2,FALSE),"")</f>
        <v>S6225086797</v>
      </c>
      <c r="N993" s="103">
        <f>IFNA(VLOOKUP(L993,'🙎‍♂️ Pasien'!G:L,3,FALSE),"")</f>
        <v>63</v>
      </c>
      <c r="O993" s="104" t="str">
        <f>IFNA(VLOOKUP(L993,'🙎‍♂️ Pasien'!G:V,6,FALSE),"")</f>
        <v>PEREMPUAN</v>
      </c>
      <c r="P993" s="104" t="str">
        <f>IFNA(VLOOKUP(L993,'🙎‍♂️ Pasien'!G:V,12,FALSE),"")</f>
        <v>ISLAM</v>
      </c>
      <c r="Q993" s="104" t="str">
        <f>IFNA(VLOOKUP(L993:L1508,'🙎‍♂️ Pasien'!G:V,13,FALSE),"")</f>
        <v>-</v>
      </c>
      <c r="R993" s="104" t="str">
        <f t="array" ref="R993">ifna(xlookup(L993,'🙎‍♂️ Pasien'!$G$5:$G1508,'🙎‍♂️ Pasien'!$T$5:$T1508),"")</f>
        <v>TANGAN KANAN BAGIAN ATAS, SAKIT SAAT DIGERAKKAN</v>
      </c>
      <c r="S993" s="104" t="str">
        <f t="array" ref="S993">ifna(xlookup(L993,'🙎‍♂️ Pasien'!$G$5:$G1508,'🙎‍♂️ Pasien'!$U$5:$U1508),"")</f>
        <v>PEKERJAAN RUMAH TANGGA</v>
      </c>
      <c r="T993" s="97" t="s">
        <v>59</v>
      </c>
      <c r="U993" s="105">
        <v>1.0</v>
      </c>
      <c r="V993" s="101"/>
      <c r="W993" s="106" t="b">
        <v>1</v>
      </c>
      <c r="X993" s="107"/>
      <c r="Y993" s="108"/>
    </row>
    <row r="994" ht="22.5" customHeight="1">
      <c r="A994" s="96"/>
      <c r="B994" s="97" t="s">
        <v>53</v>
      </c>
      <c r="C994" s="98" t="str">
        <f t="array" ref="C994">IFNA(XLOOKUP(J994,'⚙️ Pengaturan'!$H$5:$H1508,'⚙️ Pengaturan'!$I$5:$I1508),"")</f>
        <v>TIM Y</v>
      </c>
      <c r="D994" s="97" t="s">
        <v>54</v>
      </c>
      <c r="E994" s="99">
        <v>45990.0</v>
      </c>
      <c r="F994" s="100" t="str">
        <f t="shared" si="1"/>
        <v>2025</v>
      </c>
      <c r="G994" s="100" t="str">
        <f t="shared" si="2"/>
        <v>11Nov</v>
      </c>
      <c r="H994" s="100" t="str">
        <f t="shared" si="3"/>
        <v>Sabtu</v>
      </c>
      <c r="I994" s="97" t="s">
        <v>83</v>
      </c>
      <c r="J994" s="97" t="s">
        <v>91</v>
      </c>
      <c r="K994" s="97" t="s">
        <v>63</v>
      </c>
      <c r="L994" s="101" t="s">
        <v>573</v>
      </c>
      <c r="M994" s="102" t="str">
        <f>IFNA(VLOOKUP(L994,'🙎‍♂️ Pasien'!G:V,2,FALSE),"")</f>
        <v>D0725113899</v>
      </c>
      <c r="N994" s="103">
        <f>IFNA(VLOOKUP(L994,'🙎‍♂️ Pasien'!G:L,3,FALSE),"")</f>
        <v>18</v>
      </c>
      <c r="O994" s="104" t="str">
        <f>IFNA(VLOOKUP(L994,'🙎‍♂️ Pasien'!G:V,6,FALSE),"")</f>
        <v>PEREMPUAN</v>
      </c>
      <c r="P994" s="104" t="str">
        <f>IFNA(VLOOKUP(L994,'🙎‍♂️ Pasien'!G:V,12,FALSE),"")</f>
        <v>PROTESTAN</v>
      </c>
      <c r="Q994" s="104" t="str">
        <f>IFNA(VLOOKUP(L994:L1508,'🙎‍♂️ Pasien'!G:V,13,FALSE),"")</f>
        <v>MAHASISWA</v>
      </c>
      <c r="R994" s="104" t="str">
        <f t="array" ref="R994">ifna(xlookup(L994,'🙎‍♂️ Pasien'!$G$5:$G1508,'🙎‍♂️ Pasien'!$T$5:$T1508),"")</f>
        <v>KAKI X</v>
      </c>
      <c r="S994" s="104" t="str">
        <f t="array" ref="S994">ifna(xlookup(L994,'🙎‍♂️ Pasien'!$G$5:$G1508,'🙎‍♂️ Pasien'!$U$5:$U1508),"")</f>
        <v>LARI</v>
      </c>
      <c r="T994" s="97" t="s">
        <v>59</v>
      </c>
      <c r="U994" s="105">
        <v>2.0</v>
      </c>
      <c r="V994" s="101"/>
      <c r="W994" s="106" t="b">
        <v>1</v>
      </c>
      <c r="X994" s="107"/>
      <c r="Y994" s="108"/>
    </row>
    <row r="995" ht="22.5" customHeight="1">
      <c r="A995" s="96"/>
      <c r="B995" s="97" t="s">
        <v>53</v>
      </c>
      <c r="C995" s="98" t="str">
        <f t="array" ref="C995">IFNA(XLOOKUP(J995,'⚙️ Pengaturan'!$H$5:$H1508,'⚙️ Pengaturan'!$I$5:$I1508),"")</f>
        <v>TIM Y</v>
      </c>
      <c r="D995" s="97" t="s">
        <v>54</v>
      </c>
      <c r="E995" s="99">
        <v>45990.0</v>
      </c>
      <c r="F995" s="100" t="str">
        <f t="shared" si="1"/>
        <v>2025</v>
      </c>
      <c r="G995" s="100" t="str">
        <f t="shared" si="2"/>
        <v>11Nov</v>
      </c>
      <c r="H995" s="100" t="str">
        <f t="shared" si="3"/>
        <v>Sabtu</v>
      </c>
      <c r="I995" s="97" t="s">
        <v>83</v>
      </c>
      <c r="J995" s="97" t="s">
        <v>88</v>
      </c>
      <c r="K995" s="97" t="s">
        <v>69</v>
      </c>
      <c r="L995" s="101" t="s">
        <v>155</v>
      </c>
      <c r="M995" s="102" t="str">
        <f>IFNA(VLOOKUP(L995,'🙎‍♂️ Pasien'!G:V,2,FALSE),"")</f>
        <v>H5325012017</v>
      </c>
      <c r="N995" s="103">
        <f>IFNA(VLOOKUP(L995,'🙎‍♂️ Pasien'!G:L,3,FALSE),"")</f>
        <v>72</v>
      </c>
      <c r="O995" s="104" t="str">
        <f>IFNA(VLOOKUP(L995,'🙎‍♂️ Pasien'!G:V,6,FALSE),"")</f>
        <v>LAKI-LAKI</v>
      </c>
      <c r="P995" s="104" t="str">
        <f>IFNA(VLOOKUP(L995,'🙎‍♂️ Pasien'!G:V,12,FALSE),"")</f>
        <v>ISLAM</v>
      </c>
      <c r="Q995" s="104" t="str">
        <f>IFNA(VLOOKUP(L995:L1508,'🙎‍♂️ Pasien'!G:V,13,FALSE),"")</f>
        <v>PENSIUN</v>
      </c>
      <c r="R995" s="104" t="str">
        <f t="array" ref="R995">ifna(xlookup(L995,'🙎‍♂️ Pasien'!$G$5:$G1508,'🙎‍♂️ Pasien'!$T$5:$T1508),"")</f>
        <v>Kaki terasa nyeri jika dibawa berdiri lama atau berjalan jauh</v>
      </c>
      <c r="S995" s="104" t="str">
        <f t="array" ref="S995">ifna(xlookup(L995,'🙎‍♂️ Pasien'!$G$5:$G1508,'🙎‍♂️ Pasien'!$U$5:$U1508),"")</f>
        <v>Tidak ada</v>
      </c>
      <c r="T995" s="97" t="s">
        <v>59</v>
      </c>
      <c r="U995" s="105" t="s">
        <v>60</v>
      </c>
      <c r="V995" s="101"/>
      <c r="W995" s="106" t="b">
        <v>1</v>
      </c>
      <c r="X995" s="107"/>
      <c r="Y995" s="108"/>
    </row>
    <row r="996" ht="22.5" customHeight="1">
      <c r="A996" s="96"/>
      <c r="B996" s="97" t="s">
        <v>85</v>
      </c>
      <c r="C996" s="98" t="str">
        <f t="array" ref="C996">IFNA(XLOOKUP(J996,'⚙️ Pengaturan'!$H$5:$H1508,'⚙️ Pengaturan'!$I$5:$I1508),"")</f>
        <v>TIM A</v>
      </c>
      <c r="D996" s="97" t="s">
        <v>86</v>
      </c>
      <c r="E996" s="99">
        <v>45990.0</v>
      </c>
      <c r="F996" s="100" t="str">
        <f t="shared" si="1"/>
        <v>2025</v>
      </c>
      <c r="G996" s="100" t="str">
        <f t="shared" si="2"/>
        <v>11Nov</v>
      </c>
      <c r="H996" s="100" t="str">
        <f t="shared" si="3"/>
        <v>Sabtu</v>
      </c>
      <c r="I996" s="97" t="s">
        <v>87</v>
      </c>
      <c r="J996" s="97" t="s">
        <v>72</v>
      </c>
      <c r="K996" s="97" t="s">
        <v>63</v>
      </c>
      <c r="L996" s="101" t="s">
        <v>257</v>
      </c>
      <c r="M996" s="102" t="str">
        <f>IFNA(VLOOKUP(L996,'🙎‍♂️ Pasien'!G:V,2,FALSE),"")</f>
        <v>A1025102304</v>
      </c>
      <c r="N996" s="103">
        <f>IFNA(VLOOKUP(L996,'🙎‍♂️ Pasien'!G:L,3,FALSE),"")</f>
        <v>16</v>
      </c>
      <c r="O996" s="104" t="str">
        <f>IFNA(VLOOKUP(L996,'🙎‍♂️ Pasien'!G:V,6,FALSE),"")</f>
        <v>LAKI-LAKI</v>
      </c>
      <c r="P996" s="104" t="str">
        <f>IFNA(VLOOKUP(L996,'🙎‍♂️ Pasien'!G:V,12,FALSE),"")</f>
        <v>PROTESTAN</v>
      </c>
      <c r="Q996" s="104" t="str">
        <f>IFNA(VLOOKUP(L996:L1508,'🙎‍♂️ Pasien'!G:V,13,FALSE),"")</f>
        <v>PELAJAR</v>
      </c>
      <c r="R996" s="104" t="str">
        <f t="array" ref="R996">ifna(xlookup(L996,'🙎‍♂️ Pasien'!$G$5:$G1508,'🙎‍♂️ Pasien'!$T$5:$T1508),"")</f>
        <v>NYERI SENDI KAKI</v>
      </c>
      <c r="S996" s="104" t="str">
        <f t="array" ref="S996">ifna(xlookup(L996,'🙎‍♂️ Pasien'!$G$5:$G1508,'🙎‍♂️ Pasien'!$U$5:$U1508),"")</f>
        <v>OLAHRAGA, NAIK TURUN TANGGA</v>
      </c>
      <c r="T996" s="97" t="s">
        <v>59</v>
      </c>
      <c r="U996" s="105">
        <v>2.0</v>
      </c>
      <c r="V996" s="101"/>
      <c r="W996" s="106" t="b">
        <v>1</v>
      </c>
      <c r="X996" s="107"/>
      <c r="Y996" s="108"/>
    </row>
    <row r="997" ht="22.5" customHeight="1">
      <c r="A997" s="96"/>
      <c r="B997" s="97" t="s">
        <v>85</v>
      </c>
      <c r="C997" s="98" t="str">
        <f t="array" ref="C997">IFNA(XLOOKUP(J997,'⚙️ Pengaturan'!$H$5:$H1508,'⚙️ Pengaturan'!$I$5:$I1508),"")</f>
        <v>TIM Y</v>
      </c>
      <c r="D997" s="97" t="s">
        <v>86</v>
      </c>
      <c r="E997" s="99">
        <v>45990.0</v>
      </c>
      <c r="F997" s="100" t="str">
        <f t="shared" si="1"/>
        <v>2025</v>
      </c>
      <c r="G997" s="100" t="str">
        <f t="shared" si="2"/>
        <v>11Nov</v>
      </c>
      <c r="H997" s="100" t="str">
        <f t="shared" si="3"/>
        <v>Sabtu</v>
      </c>
      <c r="I997" s="97" t="s">
        <v>93</v>
      </c>
      <c r="J997" s="97" t="s">
        <v>509</v>
      </c>
      <c r="K997" s="97" t="s">
        <v>69</v>
      </c>
      <c r="L997" s="101" t="s">
        <v>585</v>
      </c>
      <c r="M997" s="102" t="str">
        <f>IFNA(VLOOKUP(L997,'🙎‍♂️ Pasien'!G:V,2,FALSE),"")</f>
        <v>I0025112738</v>
      </c>
      <c r="N997" s="103">
        <f>IFNA(VLOOKUP(L997,'🙎‍♂️ Pasien'!G:L,3,FALSE),"")</f>
        <v>25</v>
      </c>
      <c r="O997" s="104" t="str">
        <f>IFNA(VLOOKUP(L997,'🙎‍♂️ Pasien'!G:V,6,FALSE),"")</f>
        <v>PEREMPUAN</v>
      </c>
      <c r="P997" s="104" t="str">
        <f>IFNA(VLOOKUP(L997,'🙎‍♂️ Pasien'!G:V,12,FALSE),"")</f>
        <v>ISLAM</v>
      </c>
      <c r="Q997" s="104" t="str">
        <f>IFNA(VLOOKUP(L997:L1508,'🙎‍♂️ Pasien'!G:V,13,FALSE),"")</f>
        <v>-</v>
      </c>
      <c r="R997" s="104" t="str">
        <f t="array" ref="R997">ifna(xlookup(L997,'🙎‍♂️ Pasien'!$G$5:$G1508,'🙎‍♂️ Pasien'!$T$5:$T1508),"")</f>
        <v>LUTUT</v>
      </c>
      <c r="S997" s="104" t="str">
        <f t="array" ref="S997">ifna(xlookup(L997,'🙎‍♂️ Pasien'!$G$5:$G1508,'🙎‍♂️ Pasien'!$U$5:$U1508),"")</f>
        <v>-</v>
      </c>
      <c r="T997" s="97" t="s">
        <v>67</v>
      </c>
      <c r="U997" s="105" t="s">
        <v>60</v>
      </c>
      <c r="V997" s="101" t="s">
        <v>343</v>
      </c>
      <c r="W997" s="106" t="b">
        <v>1</v>
      </c>
      <c r="X997" s="107"/>
      <c r="Y997" s="108"/>
    </row>
    <row r="998" ht="22.5" customHeight="1">
      <c r="A998" s="96"/>
      <c r="B998" s="97" t="s">
        <v>85</v>
      </c>
      <c r="C998" s="98" t="str">
        <f t="array" ref="C998">IFNA(XLOOKUP(J998,'⚙️ Pengaturan'!$H$5:$H1508,'⚙️ Pengaturan'!$I$5:$I1508),"")</f>
        <v>TIM A</v>
      </c>
      <c r="D998" s="97" t="s">
        <v>86</v>
      </c>
      <c r="E998" s="99">
        <v>45990.0</v>
      </c>
      <c r="F998" s="100" t="str">
        <f t="shared" si="1"/>
        <v>2025</v>
      </c>
      <c r="G998" s="100" t="str">
        <f t="shared" si="2"/>
        <v>11Nov</v>
      </c>
      <c r="H998" s="100" t="str">
        <f t="shared" si="3"/>
        <v>Sabtu</v>
      </c>
      <c r="I998" s="97" t="s">
        <v>93</v>
      </c>
      <c r="J998" s="97" t="s">
        <v>72</v>
      </c>
      <c r="K998" s="97" t="s">
        <v>63</v>
      </c>
      <c r="L998" s="101" t="s">
        <v>474</v>
      </c>
      <c r="M998" s="102" t="str">
        <f>IFNA(VLOOKUP(L998,'🙎‍♂️ Pasien'!G:V,2,FALSE),"")</f>
        <v>M5325110126</v>
      </c>
      <c r="N998" s="103">
        <f>IFNA(VLOOKUP(L998,'🙎‍♂️ Pasien'!G:L,3,FALSE),"")</f>
        <v>73</v>
      </c>
      <c r="O998" s="104" t="str">
        <f>IFNA(VLOOKUP(L998,'🙎‍♂️ Pasien'!G:V,6,FALSE),"")</f>
        <v>PEREMPUAN</v>
      </c>
      <c r="P998" s="104" t="str">
        <f>IFNA(VLOOKUP(L998,'🙎‍♂️ Pasien'!G:V,12,FALSE),"")</f>
        <v>KATOLIK</v>
      </c>
      <c r="Q998" s="104" t="str">
        <f>IFNA(VLOOKUP(L998:L1508,'🙎‍♂️ Pasien'!G:V,13,FALSE),"")</f>
        <v>IBU RUMAH TANGGA</v>
      </c>
      <c r="R998" s="104" t="str">
        <f t="array" ref="R998">ifna(xlookup(L998,'🙎‍♂️ Pasien'!$G$5:$G1508,'🙎‍♂️ Pasien'!$T$5:$T1508),"")</f>
        <v>SAKIT &amp; SUSAH GERAK PAKA LUTUT</v>
      </c>
      <c r="S998" s="104" t="str">
        <f t="array" ref="S998">ifna(xlookup(L998,'🙎‍♂️ Pasien'!$G$5:$G1508,'🙎‍♂️ Pasien'!$U$5:$U1508),"")</f>
        <v>AKTIVITAS RUMAH TANGGA</v>
      </c>
      <c r="T998" s="97" t="s">
        <v>59</v>
      </c>
      <c r="U998" s="105">
        <v>4.0</v>
      </c>
      <c r="V998" s="101"/>
      <c r="W998" s="106" t="b">
        <v>1</v>
      </c>
      <c r="X998" s="107"/>
      <c r="Y998" s="108"/>
    </row>
    <row r="999" ht="22.5" customHeight="1">
      <c r="A999" s="96"/>
      <c r="B999" s="97" t="s">
        <v>85</v>
      </c>
      <c r="C999" s="98" t="str">
        <f t="array" ref="C999">IFNA(XLOOKUP(J999,'⚙️ Pengaturan'!$H$5:$H1508,'⚙️ Pengaturan'!$I$5:$I1508),"")</f>
        <v>TIM A</v>
      </c>
      <c r="D999" s="97" t="s">
        <v>86</v>
      </c>
      <c r="E999" s="99">
        <v>45990.0</v>
      </c>
      <c r="F999" s="100" t="str">
        <f t="shared" si="1"/>
        <v>2025</v>
      </c>
      <c r="G999" s="100" t="str">
        <f t="shared" si="2"/>
        <v>11Nov</v>
      </c>
      <c r="H999" s="100" t="str">
        <f t="shared" si="3"/>
        <v>Sabtu</v>
      </c>
      <c r="I999" s="97" t="s">
        <v>95</v>
      </c>
      <c r="J999" s="97" t="s">
        <v>72</v>
      </c>
      <c r="K999" s="97" t="s">
        <v>63</v>
      </c>
      <c r="L999" s="101" t="s">
        <v>239</v>
      </c>
      <c r="M999" s="102" t="str">
        <f>IFNA(VLOOKUP(L999,'🙎‍♂️ Pasien'!G:V,2,FALSE),"")</f>
        <v>A0623071437</v>
      </c>
      <c r="N999" s="103">
        <f>IFNA(VLOOKUP(L999,'🙎‍♂️ Pasien'!G:L,3,FALSE),"")</f>
        <v>20</v>
      </c>
      <c r="O999" s="104" t="str">
        <f>IFNA(VLOOKUP(L999,'🙎‍♂️ Pasien'!G:V,6,FALSE),"")</f>
        <v>LAKI-LAKI</v>
      </c>
      <c r="P999" s="104" t="str">
        <f>IFNA(VLOOKUP(L999,'🙎‍♂️ Pasien'!G:V,12,FALSE),"")</f>
        <v>ISLAM</v>
      </c>
      <c r="Q999" s="104" t="str">
        <f>IFNA(VLOOKUP(L999:L1508,'🙎‍♂️ Pasien'!G:V,13,FALSE),"")</f>
        <v>PELAJAR/MAHASISWA</v>
      </c>
      <c r="R999" s="104" t="str">
        <f t="array" ref="R999">ifna(xlookup(L999,'🙎‍♂️ Pasien'!$G$5:$G1508,'🙎‍♂️ Pasien'!$T$5:$T1508),"")</f>
        <v>Cedera Engkel Di Kaki</v>
      </c>
      <c r="S999" s="104" t="str">
        <f t="array" ref="S999">ifna(xlookup(L999,'🙎‍♂️ Pasien'!$G$5:$G1508,'🙎‍♂️ Pasien'!$U$5:$U1508),"")</f>
        <v>BERMAIN FUTSAL</v>
      </c>
      <c r="T999" s="97" t="s">
        <v>59</v>
      </c>
      <c r="U999" s="105">
        <v>3.0</v>
      </c>
      <c r="V999" s="101"/>
      <c r="W999" s="106" t="b">
        <v>1</v>
      </c>
      <c r="X999" s="107"/>
      <c r="Y999" s="108"/>
    </row>
    <row r="1000" ht="22.5" customHeight="1">
      <c r="A1000" s="96"/>
      <c r="B1000" s="97" t="s">
        <v>85</v>
      </c>
      <c r="C1000" s="98" t="str">
        <f t="array" ref="C1000">IFNA(XLOOKUP(J1000,'⚙️ Pengaturan'!$H$5:$H1508,'⚙️ Pengaturan'!$I$5:$I1508),"")</f>
        <v>TIM A</v>
      </c>
      <c r="D1000" s="97" t="s">
        <v>86</v>
      </c>
      <c r="E1000" s="99">
        <v>45990.0</v>
      </c>
      <c r="F1000" s="100" t="str">
        <f t="shared" si="1"/>
        <v>2025</v>
      </c>
      <c r="G1000" s="100" t="str">
        <f t="shared" si="2"/>
        <v>11Nov</v>
      </c>
      <c r="H1000" s="100" t="str">
        <f t="shared" si="3"/>
        <v>Sabtu</v>
      </c>
      <c r="I1000" s="97" t="s">
        <v>95</v>
      </c>
      <c r="J1000" s="97" t="s">
        <v>79</v>
      </c>
      <c r="K1000" s="97" t="s">
        <v>57</v>
      </c>
      <c r="L1000" s="101" t="s">
        <v>608</v>
      </c>
      <c r="M1000" s="102" t="str">
        <f>IFNA(VLOOKUP(L1000,'🙎‍♂️ Pasien'!G:V,2,FALSE),"")</f>
        <v>V8625117580</v>
      </c>
      <c r="N1000" s="103">
        <f>IFNA(VLOOKUP(L1000,'🙎‍♂️ Pasien'!G:L,3,FALSE),"")</f>
        <v>39</v>
      </c>
      <c r="O1000" s="104" t="str">
        <f>IFNA(VLOOKUP(L1000,'🙎‍♂️ Pasien'!G:V,6,FALSE),"")</f>
        <v>PEREMPUAN</v>
      </c>
      <c r="P1000" s="104" t="str">
        <f>IFNA(VLOOKUP(L1000,'🙎‍♂️ Pasien'!G:V,12,FALSE),"")</f>
        <v>PROTESTAN</v>
      </c>
      <c r="Q1000" s="104" t="str">
        <f>IFNA(VLOOKUP(L1000:L1508,'🙎‍♂️ Pasien'!G:V,13,FALSE),"")</f>
        <v>KARYAWAN</v>
      </c>
      <c r="R1000" s="104" t="str">
        <f t="array" ref="R1000">ifna(xlookup(L1000,'🙎‍♂️ Pasien'!$G$5:$G1508,'🙎‍♂️ Pasien'!$T$5:$T1508),"")</f>
        <v>SENDI PERGELANGAN TANGAN KIRI DAN KANAN SAKIT TERUTAMA SAAT MENGANGKAT BARANG BERAT, TUMIT KAKI KIRI SAKIT. ADA RIWAYAT SKOLIOSIS DERAJAT KECIL</v>
      </c>
      <c r="S1000" s="104" t="str">
        <f t="array" ref="S1000">ifna(xlookup(L1000,'🙎‍♂️ Pasien'!$G$5:$G1508,'🙎‍♂️ Pasien'!$U$5:$U1508),"")</f>
        <v>LEBIH BANYAK DUDUK JARANG OLAHRAGA</v>
      </c>
      <c r="T1000" s="97" t="s">
        <v>67</v>
      </c>
      <c r="U1000" s="105" t="s">
        <v>60</v>
      </c>
      <c r="V1000" s="101" t="s">
        <v>337</v>
      </c>
      <c r="W1000" s="106" t="b">
        <v>1</v>
      </c>
      <c r="X1000" s="107"/>
      <c r="Y1000" s="108"/>
    </row>
    <row r="1001" ht="22.5" customHeight="1">
      <c r="A1001" s="96"/>
      <c r="B1001" s="97" t="s">
        <v>85</v>
      </c>
      <c r="C1001" s="98" t="str">
        <f t="array" ref="C1001">IFNA(XLOOKUP(J1001,'⚙️ Pengaturan'!$H$5:$H1508,'⚙️ Pengaturan'!$I$5:$I1508),"")</f>
        <v>TIM Y</v>
      </c>
      <c r="D1001" s="97" t="s">
        <v>86</v>
      </c>
      <c r="E1001" s="99">
        <v>45990.0</v>
      </c>
      <c r="F1001" s="100" t="str">
        <f t="shared" si="1"/>
        <v>2025</v>
      </c>
      <c r="G1001" s="100" t="str">
        <f t="shared" si="2"/>
        <v>11Nov</v>
      </c>
      <c r="H1001" s="100" t="str">
        <f t="shared" si="3"/>
        <v>Sabtu</v>
      </c>
      <c r="I1001" s="97" t="s">
        <v>97</v>
      </c>
      <c r="J1001" s="97" t="s">
        <v>56</v>
      </c>
      <c r="K1001" s="97" t="s">
        <v>63</v>
      </c>
      <c r="L1001" s="101" t="s">
        <v>326</v>
      </c>
      <c r="M1001" s="102" t="str">
        <f>IFNA(VLOOKUP(L1001,'🙎‍♂️ Pasien'!G:V,2,FALSE),"")</f>
        <v>A1423086916</v>
      </c>
      <c r="N1001" s="103">
        <f>IFNA(VLOOKUP(L1001,'🙎‍♂️ Pasien'!G:L,3,FALSE),"")</f>
        <v>11</v>
      </c>
      <c r="O1001" s="104" t="str">
        <f>IFNA(VLOOKUP(L1001,'🙎‍♂️ Pasien'!G:V,6,FALSE),"")</f>
        <v>LAKI-LAKI</v>
      </c>
      <c r="P1001" s="104" t="str">
        <f>IFNA(VLOOKUP(L1001,'🙎‍♂️ Pasien'!G:V,12,FALSE),"")</f>
        <v>ISLAM</v>
      </c>
      <c r="Q1001" s="104" t="str">
        <f>IFNA(VLOOKUP(L1001:L1508,'🙎‍♂️ Pasien'!G:V,13,FALSE),"")</f>
        <v>PELAJAR/MAHASISWA</v>
      </c>
      <c r="R1001" s="104" t="str">
        <f t="array" ref="R1001">ifna(xlookup(L1001,'🙎‍♂️ Pasien'!$G$5:$G1508,'🙎‍♂️ Pasien'!$T$5:$T1508),"")</f>
        <v>ANKLE KAKI KANAN</v>
      </c>
      <c r="S1001" s="104" t="str">
        <f t="array" ref="S1001">ifna(xlookup(L1001,'🙎‍♂️ Pasien'!$G$5:$G1508,'🙎‍♂️ Pasien'!$U$5:$U1508),"")</f>
        <v>BOLA</v>
      </c>
      <c r="T1001" s="97" t="s">
        <v>59</v>
      </c>
      <c r="U1001" s="105">
        <v>2.0</v>
      </c>
      <c r="V1001" s="101" t="s">
        <v>549</v>
      </c>
      <c r="W1001" s="106" t="b">
        <v>1</v>
      </c>
      <c r="X1001" s="107"/>
      <c r="Y1001" s="108"/>
    </row>
    <row r="1002" ht="22.5" customHeight="1">
      <c r="A1002" s="96"/>
      <c r="B1002" s="97" t="s">
        <v>85</v>
      </c>
      <c r="C1002" s="98" t="str">
        <f t="array" ref="C1002">IFNA(XLOOKUP(J1002,'⚙️ Pengaturan'!$H$5:$H1508,'⚙️ Pengaturan'!$I$5:$I1508),"")</f>
        <v>TIM Y</v>
      </c>
      <c r="D1002" s="97" t="s">
        <v>86</v>
      </c>
      <c r="E1002" s="99">
        <v>45990.0</v>
      </c>
      <c r="F1002" s="100" t="str">
        <f t="shared" si="1"/>
        <v>2025</v>
      </c>
      <c r="G1002" s="100" t="str">
        <f t="shared" si="2"/>
        <v>11Nov</v>
      </c>
      <c r="H1002" s="100" t="str">
        <f t="shared" si="3"/>
        <v>Sabtu</v>
      </c>
      <c r="I1002" s="97" t="s">
        <v>99</v>
      </c>
      <c r="J1002" s="97" t="s">
        <v>56</v>
      </c>
      <c r="K1002" s="97" t="s">
        <v>57</v>
      </c>
      <c r="L1002" s="101" t="s">
        <v>609</v>
      </c>
      <c r="M1002" s="102" t="str">
        <f>IFNA(VLOOKUP(L1002,'🙎‍♂️ Pasien'!G:V,2,FALSE),"")</f>
        <v>A5125112484</v>
      </c>
      <c r="N1002" s="103">
        <f>IFNA(VLOOKUP(L1002,'🙎‍♂️ Pasien'!G:L,3,FALSE),"")</f>
        <v>74</v>
      </c>
      <c r="O1002" s="104" t="str">
        <f>IFNA(VLOOKUP(L1002,'🙎‍♂️ Pasien'!G:V,6,FALSE),"")</f>
        <v>LAKI-LAKI</v>
      </c>
      <c r="P1002" s="104" t="str">
        <f>IFNA(VLOOKUP(L1002,'🙎‍♂️ Pasien'!G:V,12,FALSE),"")</f>
        <v>ISLAM</v>
      </c>
      <c r="Q1002" s="104" t="str">
        <f>IFNA(VLOOKUP(L1002:L1508,'🙎‍♂️ Pasien'!G:V,13,FALSE),"")</f>
        <v>PETANI</v>
      </c>
      <c r="R1002" s="104" t="str">
        <f t="array" ref="R1002">ifna(xlookup(L1002,'🙎‍♂️ Pasien'!$G$5:$G1508,'🙎‍♂️ Pasien'!$T$5:$T1508),"")</f>
        <v>NYERI DARI PAHA SAMPAI TELAPAK KAKI, STOKE SEBELAH KIRI SEJAK DUA BULAN LALU</v>
      </c>
      <c r="S1002" s="104" t="str">
        <f t="array" ref="S1002">ifna(xlookup(L1002,'🙎‍♂️ Pasien'!$G$5:$G1508,'🙎‍♂️ Pasien'!$U$5:$U1508),"")</f>
        <v>PEROKOK, NGOPI, SUKA MINUM MANIS MANIS</v>
      </c>
      <c r="T1002" s="97" t="s">
        <v>59</v>
      </c>
      <c r="U1002" s="105" t="s">
        <v>60</v>
      </c>
      <c r="V1002" s="101"/>
      <c r="W1002" s="106" t="b">
        <v>1</v>
      </c>
      <c r="X1002" s="107"/>
      <c r="Y1002" s="108"/>
    </row>
    <row r="1003" ht="22.5" customHeight="1">
      <c r="A1003" s="96"/>
      <c r="B1003" s="97" t="s">
        <v>85</v>
      </c>
      <c r="C1003" s="98" t="str">
        <f t="array" ref="C1003">IFNA(XLOOKUP(J1003,'⚙️ Pengaturan'!$H$5:$H1508,'⚙️ Pengaturan'!$I$5:$I1508),"")</f>
        <v>TIM A</v>
      </c>
      <c r="D1003" s="97" t="s">
        <v>86</v>
      </c>
      <c r="E1003" s="99">
        <v>45990.0</v>
      </c>
      <c r="F1003" s="100" t="str">
        <f t="shared" si="1"/>
        <v>2025</v>
      </c>
      <c r="G1003" s="100" t="str">
        <f t="shared" si="2"/>
        <v>11Nov</v>
      </c>
      <c r="H1003" s="100" t="str">
        <f t="shared" si="3"/>
        <v>Sabtu</v>
      </c>
      <c r="I1003" s="97" t="s">
        <v>99</v>
      </c>
      <c r="J1003" s="97" t="s">
        <v>79</v>
      </c>
      <c r="K1003" s="97" t="s">
        <v>63</v>
      </c>
      <c r="L1003" s="101" t="s">
        <v>593</v>
      </c>
      <c r="M1003" s="102" t="str">
        <f>IFNA(VLOOKUP(L1003,'🙎‍♂️ Pasien'!G:V,2,FALSE),"")</f>
        <v>A0125119292</v>
      </c>
      <c r="N1003" s="103">
        <f>IFNA(VLOOKUP(L1003,'🙎‍♂️ Pasien'!G:L,3,FALSE),"")</f>
        <v>25</v>
      </c>
      <c r="O1003" s="104" t="str">
        <f>IFNA(VLOOKUP(L1003,'🙎‍♂️ Pasien'!G:V,6,FALSE),"")</f>
        <v>PEREMPUAN</v>
      </c>
      <c r="P1003" s="104" t="str">
        <f>IFNA(VLOOKUP(L1003,'🙎‍♂️ Pasien'!G:V,12,FALSE),"")</f>
        <v>ISLAM</v>
      </c>
      <c r="Q1003" s="104" t="str">
        <f>IFNA(VLOOKUP(L1003:L1508,'🙎‍♂️ Pasien'!G:V,13,FALSE),"")</f>
        <v>ADMIN</v>
      </c>
      <c r="R1003" s="104" t="str">
        <f t="array" ref="R1003">ifna(xlookup(L1003,'🙎‍♂️ Pasien'!$G$5:$G1508,'🙎‍♂️ Pasien'!$T$5:$T1508),"")</f>
        <v>LUTUT SAKIT</v>
      </c>
      <c r="S1003" s="104" t="str">
        <f t="array" ref="S1003">ifna(xlookup(L1003,'🙎‍♂️ Pasien'!$G$5:$G1508,'🙎‍♂️ Pasien'!$U$5:$U1508),"")</f>
        <v>LARI</v>
      </c>
      <c r="T1003" s="97" t="s">
        <v>67</v>
      </c>
      <c r="U1003" s="105" t="s">
        <v>60</v>
      </c>
      <c r="V1003" s="101" t="s">
        <v>610</v>
      </c>
      <c r="W1003" s="106" t="b">
        <v>1</v>
      </c>
      <c r="X1003" s="107"/>
      <c r="Y1003" s="108"/>
    </row>
    <row r="1004" ht="22.5" customHeight="1">
      <c r="A1004" s="96"/>
      <c r="B1004" s="97" t="s">
        <v>85</v>
      </c>
      <c r="C1004" s="98" t="str">
        <f t="array" ref="C1004">IFNA(XLOOKUP(J1004,'⚙️ Pengaturan'!$H$5:$H1508,'⚙️ Pengaturan'!$I$5:$I1508),"")</f>
        <v>TIM A</v>
      </c>
      <c r="D1004" s="97" t="s">
        <v>86</v>
      </c>
      <c r="E1004" s="99">
        <v>45990.0</v>
      </c>
      <c r="F1004" s="100" t="str">
        <f t="shared" si="1"/>
        <v>2025</v>
      </c>
      <c r="G1004" s="100" t="str">
        <f t="shared" si="2"/>
        <v>11Nov</v>
      </c>
      <c r="H1004" s="100" t="str">
        <f t="shared" si="3"/>
        <v>Sabtu</v>
      </c>
      <c r="I1004" s="97" t="s">
        <v>99</v>
      </c>
      <c r="J1004" s="97" t="s">
        <v>62</v>
      </c>
      <c r="K1004" s="97" t="s">
        <v>63</v>
      </c>
      <c r="L1004" s="101" t="s">
        <v>557</v>
      </c>
      <c r="M1004" s="102" t="str">
        <f>IFNA(VLOOKUP(L1004,'🙎‍♂️ Pasien'!G:V,2,FALSE),"")</f>
        <v>S1223087980</v>
      </c>
      <c r="N1004" s="103">
        <f>IFNA(VLOOKUP(L1004,'🙎‍♂️ Pasien'!G:L,3,FALSE),"")</f>
        <v>14</v>
      </c>
      <c r="O1004" s="104" t="str">
        <f>IFNA(VLOOKUP(L1004,'🙎‍♂️ Pasien'!G:V,6,FALSE),"")</f>
        <v>LAKI-LAKI</v>
      </c>
      <c r="P1004" s="104" t="str">
        <f>IFNA(VLOOKUP(L1004,'🙎‍♂️ Pasien'!G:V,12,FALSE),"")</f>
        <v>ISLAM</v>
      </c>
      <c r="Q1004" s="104" t="str">
        <f>IFNA(VLOOKUP(L1004:L1508,'🙎‍♂️ Pasien'!G:V,13,FALSE),"")</f>
        <v>PELAJAR/MAHASISWA</v>
      </c>
      <c r="R1004" s="104" t="str">
        <f t="array" ref="R1004">ifna(xlookup(L1004,'🙎‍♂️ Pasien'!$G$5:$G1508,'🙎‍♂️ Pasien'!$T$5:$T1508),"")</f>
        <v>NYERI TUMIT DAN</v>
      </c>
      <c r="S1004" s="104" t="str">
        <f t="array" ref="S1004">ifna(xlookup(L1004,'🙎‍♂️ Pasien'!$G$5:$G1508,'🙎‍♂️ Pasien'!$U$5:$U1508),"")</f>
        <v>FUTSAL</v>
      </c>
      <c r="T1004" s="97" t="s">
        <v>59</v>
      </c>
      <c r="U1004" s="105">
        <v>2.0</v>
      </c>
      <c r="V1004" s="101"/>
      <c r="W1004" s="106" t="b">
        <v>1</v>
      </c>
      <c r="X1004" s="107"/>
      <c r="Y1004" s="108"/>
    </row>
    <row r="1005" ht="22.5" customHeight="1">
      <c r="A1005" s="96"/>
      <c r="B1005" s="97" t="s">
        <v>53</v>
      </c>
      <c r="C1005" s="98" t="str">
        <f t="array" ref="C1005">IFNA(XLOOKUP(J1005,'⚙️ Pengaturan'!$H$5:$H1508,'⚙️ Pengaturan'!$I$5:$I1508),"")</f>
        <v>MANAJEMEN</v>
      </c>
      <c r="D1005" s="97" t="s">
        <v>54</v>
      </c>
      <c r="E1005" s="99">
        <v>45991.0</v>
      </c>
      <c r="F1005" s="100" t="str">
        <f t="shared" si="1"/>
        <v>2025</v>
      </c>
      <c r="G1005" s="100" t="str">
        <f t="shared" si="2"/>
        <v>11Nov</v>
      </c>
      <c r="H1005" s="100" t="str">
        <f t="shared" si="3"/>
        <v>Minggu</v>
      </c>
      <c r="I1005" s="97" t="s">
        <v>55</v>
      </c>
      <c r="J1005" s="97" t="s">
        <v>101</v>
      </c>
      <c r="K1005" s="97" t="s">
        <v>63</v>
      </c>
      <c r="L1005" s="101" t="s">
        <v>161</v>
      </c>
      <c r="M1005" s="102" t="str">
        <f>IFNA(VLOOKUP(L1005,'🙎‍♂️ Pasien'!G:V,2,FALSE),"")</f>
        <v>A9224038209</v>
      </c>
      <c r="N1005" s="103">
        <f>IFNA(VLOOKUP(L1005,'🙎‍♂️ Pasien'!G:L,3,FALSE),"")</f>
        <v>33</v>
      </c>
      <c r="O1005" s="104" t="str">
        <f>IFNA(VLOOKUP(L1005,'🙎‍♂️ Pasien'!G:V,6,FALSE),"")</f>
        <v>PEREMPUAN</v>
      </c>
      <c r="P1005" s="104" t="str">
        <f>IFNA(VLOOKUP(L1005,'🙎‍♂️ Pasien'!G:V,12,FALSE),"")</f>
        <v>KATOLIK</v>
      </c>
      <c r="Q1005" s="104" t="str">
        <f>IFNA(VLOOKUP(L1005:L1508,'🙎‍♂️ Pasien'!G:V,13,FALSE),"")</f>
        <v>SWASTA</v>
      </c>
      <c r="R1005" s="104" t="str">
        <f t="array" ref="R1005">ifna(xlookup(L1005,'🙎‍♂️ Pasien'!$G$5:$G1508,'🙎‍♂️ Pasien'!$T$5:$T1508),"")</f>
        <v>Kaki kiri sakit, bahu dan punggung kiri sakit, leher agak bungkuk</v>
      </c>
      <c r="S1005" s="104" t="str">
        <f t="array" ref="S1005">ifna(xlookup(L1005,'🙎‍♂️ Pasien'!$G$5:$G1508,'🙎‍♂️ Pasien'!$U$5:$U1508),"")</f>
        <v>Olahraga, kerja, dan mengurus anak</v>
      </c>
      <c r="T1005" s="97" t="s">
        <v>67</v>
      </c>
      <c r="U1005" s="105">
        <v>2.0</v>
      </c>
      <c r="V1005" s="101" t="s">
        <v>611</v>
      </c>
      <c r="W1005" s="106" t="b">
        <v>1</v>
      </c>
      <c r="X1005" s="107"/>
      <c r="Y1005" s="108"/>
    </row>
    <row r="1006" ht="22.5" customHeight="1">
      <c r="A1006" s="96"/>
      <c r="B1006" s="97" t="s">
        <v>53</v>
      </c>
      <c r="C1006" s="98" t="str">
        <f t="array" ref="C1006">IFNA(XLOOKUP(J1006,'⚙️ Pengaturan'!$H$5:$H1508,'⚙️ Pengaturan'!$I$5:$I1508),"")</f>
        <v>TIM A</v>
      </c>
      <c r="D1006" s="97" t="s">
        <v>54</v>
      </c>
      <c r="E1006" s="99">
        <v>45991.0</v>
      </c>
      <c r="F1006" s="100" t="str">
        <f t="shared" si="1"/>
        <v>2025</v>
      </c>
      <c r="G1006" s="100" t="str">
        <f t="shared" si="2"/>
        <v>11Nov</v>
      </c>
      <c r="H1006" s="100" t="str">
        <f t="shared" si="3"/>
        <v>Minggu</v>
      </c>
      <c r="I1006" s="97" t="s">
        <v>55</v>
      </c>
      <c r="J1006" s="97" t="s">
        <v>62</v>
      </c>
      <c r="K1006" s="97" t="s">
        <v>63</v>
      </c>
      <c r="L1006" s="101" t="s">
        <v>71</v>
      </c>
      <c r="M1006" s="102" t="str">
        <f>IFNA(VLOOKUP(L1006,'🙎‍♂️ Pasien'!G:V,2,FALSE),"")</f>
        <v>L5925109995</v>
      </c>
      <c r="N1006" s="103">
        <f>IFNA(VLOOKUP(L1006,'🙎‍♂️ Pasien'!G:L,3,FALSE),"")</f>
        <v>67</v>
      </c>
      <c r="O1006" s="104" t="str">
        <f>IFNA(VLOOKUP(L1006,'🙎‍♂️ Pasien'!G:V,6,FALSE),"")</f>
        <v>PEREMPUAN</v>
      </c>
      <c r="P1006" s="104" t="str">
        <f>IFNA(VLOOKUP(L1006,'🙎‍♂️ Pasien'!G:V,12,FALSE),"")</f>
        <v>KATOLIK</v>
      </c>
      <c r="Q1006" s="104" t="str">
        <f>IFNA(VLOOKUP(L1006:L1508,'🙎‍♂️ Pasien'!G:V,13,FALSE),"")</f>
        <v>WIRASWASTA</v>
      </c>
      <c r="R1006" s="104" t="str">
        <f t="array" ref="R1006">ifna(xlookup(L1006,'🙎‍♂️ Pasien'!$G$5:$G1508,'🙎‍♂️ Pasien'!$T$5:$T1508),"")</f>
        <v>LUTUT</v>
      </c>
      <c r="S1006" s="104" t="str">
        <f t="array" ref="S1006">ifna(xlookup(L1006,'🙎‍♂️ Pasien'!$G$5:$G1508,'🙎‍♂️ Pasien'!$U$5:$U1508),"")</f>
        <v>IBU RUMAH TANGGA</v>
      </c>
      <c r="T1006" s="97" t="s">
        <v>59</v>
      </c>
      <c r="U1006" s="105">
        <v>2.0</v>
      </c>
      <c r="V1006" s="101"/>
      <c r="W1006" s="106" t="b">
        <v>1</v>
      </c>
      <c r="X1006" s="107"/>
      <c r="Y1006" s="108"/>
    </row>
    <row r="1007" ht="22.5" customHeight="1">
      <c r="A1007" s="96"/>
      <c r="B1007" s="97" t="s">
        <v>53</v>
      </c>
      <c r="C1007" s="98" t="str">
        <f t="array" ref="C1007">IFNA(XLOOKUP(J1007,'⚙️ Pengaturan'!$H$5:$H1508,'⚙️ Pengaturan'!$I$5:$I1508),"")</f>
        <v>TIM Y</v>
      </c>
      <c r="D1007" s="97" t="s">
        <v>54</v>
      </c>
      <c r="E1007" s="99">
        <v>45991.0</v>
      </c>
      <c r="F1007" s="100" t="str">
        <f t="shared" si="1"/>
        <v>2025</v>
      </c>
      <c r="G1007" s="100" t="str">
        <f t="shared" si="2"/>
        <v>11Nov</v>
      </c>
      <c r="H1007" s="100" t="str">
        <f t="shared" si="3"/>
        <v>Minggu</v>
      </c>
      <c r="I1007" s="97" t="s">
        <v>65</v>
      </c>
      <c r="J1007" s="97" t="s">
        <v>56</v>
      </c>
      <c r="K1007" s="97" t="s">
        <v>69</v>
      </c>
      <c r="L1007" s="101" t="s">
        <v>612</v>
      </c>
      <c r="M1007" s="102" t="str">
        <f>IFNA(VLOOKUP(L1007,'🙎‍♂️ Pasien'!G:V,2,FALSE),"")</f>
        <v>A8525119797</v>
      </c>
      <c r="N1007" s="103">
        <f>IFNA(VLOOKUP(L1007,'🙎‍♂️ Pasien'!G:L,3,FALSE),"")</f>
        <v>41</v>
      </c>
      <c r="O1007" s="104" t="str">
        <f>IFNA(VLOOKUP(L1007,'🙎‍♂️ Pasien'!G:V,6,FALSE),"")</f>
        <v>LAKI-LAKI</v>
      </c>
      <c r="P1007" s="104" t="str">
        <f>IFNA(VLOOKUP(L1007,'🙎‍♂️ Pasien'!G:V,12,FALSE),"")</f>
        <v>KATOLIK</v>
      </c>
      <c r="Q1007" s="104" t="str">
        <f>IFNA(VLOOKUP(L1007:L1508,'🙎‍♂️ Pasien'!G:V,13,FALSE),"")</f>
        <v>WIRASWASTA</v>
      </c>
      <c r="R1007" s="104" t="str">
        <f t="array" ref="R1007">ifna(xlookup(L1007,'🙎‍♂️ Pasien'!$G$5:$G1508,'🙎‍♂️ Pasien'!$T$5:$T1508),"")</f>
        <v>SAKIT PUNGGUNG MENAHUN</v>
      </c>
      <c r="S1007" s="104" t="str">
        <f t="array" ref="S1007">ifna(xlookup(L1007,'🙎‍♂️ Pasien'!$G$5:$G1508,'🙎‍♂️ Pasien'!$U$5:$U1508),"")</f>
        <v>BERSEPEDA DAN BERKEBUN</v>
      </c>
      <c r="T1007" s="97" t="s">
        <v>59</v>
      </c>
      <c r="U1007" s="105" t="s">
        <v>60</v>
      </c>
      <c r="V1007" s="101"/>
      <c r="W1007" s="106" t="b">
        <v>1</v>
      </c>
      <c r="X1007" s="107"/>
      <c r="Y1007" s="108"/>
    </row>
    <row r="1008" ht="22.5" customHeight="1">
      <c r="A1008" s="96"/>
      <c r="B1008" s="97" t="s">
        <v>53</v>
      </c>
      <c r="C1008" s="98" t="str">
        <f t="array" ref="C1008">IFNA(XLOOKUP(J1008,'⚙️ Pengaturan'!$H$5:$H1508,'⚙️ Pengaturan'!$I$5:$I1508),"")</f>
        <v>TIM A</v>
      </c>
      <c r="D1008" s="97" t="s">
        <v>54</v>
      </c>
      <c r="E1008" s="99">
        <v>45991.0</v>
      </c>
      <c r="F1008" s="100" t="str">
        <f t="shared" si="1"/>
        <v>2025</v>
      </c>
      <c r="G1008" s="100" t="str">
        <f t="shared" si="2"/>
        <v>11Nov</v>
      </c>
      <c r="H1008" s="100" t="str">
        <f t="shared" si="3"/>
        <v>Minggu</v>
      </c>
      <c r="I1008" s="97" t="s">
        <v>65</v>
      </c>
      <c r="J1008" s="97" t="s">
        <v>72</v>
      </c>
      <c r="K1008" s="97" t="s">
        <v>63</v>
      </c>
      <c r="L1008" s="101" t="s">
        <v>547</v>
      </c>
      <c r="M1008" s="102" t="str">
        <f>IFNA(VLOOKUP(L1008,'🙎‍♂️ Pasien'!G:V,2,FALSE),"")</f>
        <v>I5825112202</v>
      </c>
      <c r="N1008" s="103">
        <f>IFNA(VLOOKUP(L1008,'🙎‍♂️ Pasien'!G:L,3,FALSE),"")</f>
        <v>68</v>
      </c>
      <c r="O1008" s="104" t="str">
        <f>IFNA(VLOOKUP(L1008,'🙎‍♂️ Pasien'!G:V,6,FALSE),"")</f>
        <v>PEREMPUAN</v>
      </c>
      <c r="P1008" s="104" t="str">
        <f>IFNA(VLOOKUP(L1008,'🙎‍♂️ Pasien'!G:V,12,FALSE),"")</f>
        <v>ISLAM</v>
      </c>
      <c r="Q1008" s="104" t="str">
        <f>IFNA(VLOOKUP(L1008:L1508,'🙎‍♂️ Pasien'!G:V,13,FALSE),"")</f>
        <v>PENSIUNAN</v>
      </c>
      <c r="R1008" s="104" t="str">
        <f t="array" ref="R1008">ifna(xlookup(L1008,'🙎‍♂️ Pasien'!$G$5:$G1508,'🙎‍♂️ Pasien'!$T$5:$T1508),"")</f>
        <v>SAKIT PUNGGUNG BAWAH</v>
      </c>
      <c r="S1008" s="104" t="str">
        <f t="array" ref="S1008">ifna(xlookup(L1008,'🙎‍♂️ Pasien'!$G$5:$G1508,'🙎‍♂️ Pasien'!$U$5:$U1508),"")</f>
        <v>-</v>
      </c>
      <c r="T1008" s="97" t="s">
        <v>59</v>
      </c>
      <c r="U1008" s="105">
        <v>4.0</v>
      </c>
      <c r="V1008" s="101"/>
      <c r="W1008" s="106" t="b">
        <v>1</v>
      </c>
      <c r="X1008" s="107"/>
      <c r="Y1008" s="108"/>
    </row>
    <row r="1009" ht="22.5" customHeight="1">
      <c r="A1009" s="96"/>
      <c r="B1009" s="97" t="s">
        <v>53</v>
      </c>
      <c r="C1009" s="98" t="str">
        <f t="array" ref="C1009">IFNA(XLOOKUP(J1009,'⚙️ Pengaturan'!$H$5:$H1508,'⚙️ Pengaturan'!$I$5:$I1508),"")</f>
        <v>TIM Y</v>
      </c>
      <c r="D1009" s="97" t="s">
        <v>54</v>
      </c>
      <c r="E1009" s="99">
        <v>45991.0</v>
      </c>
      <c r="F1009" s="100" t="str">
        <f t="shared" si="1"/>
        <v>2025</v>
      </c>
      <c r="G1009" s="100" t="str">
        <f t="shared" si="2"/>
        <v>11Nov</v>
      </c>
      <c r="H1009" s="100" t="str">
        <f t="shared" si="3"/>
        <v>Minggu</v>
      </c>
      <c r="I1009" s="97" t="s">
        <v>76</v>
      </c>
      <c r="J1009" s="97" t="s">
        <v>56</v>
      </c>
      <c r="K1009" s="97" t="s">
        <v>57</v>
      </c>
      <c r="L1009" s="101" t="s">
        <v>613</v>
      </c>
      <c r="M1009" s="102" t="str">
        <f>IFNA(VLOOKUP(L1009,'🙎‍♂️ Pasien'!G:V,2,FALSE),"")</f>
        <v>A9625081247</v>
      </c>
      <c r="N1009" s="103">
        <f>IFNA(VLOOKUP(L1009,'🙎‍♂️ Pasien'!G:L,3,FALSE),"")</f>
        <v>30</v>
      </c>
      <c r="O1009" s="104" t="str">
        <f>IFNA(VLOOKUP(L1009,'🙎‍♂️ Pasien'!G:V,6,FALSE),"")</f>
        <v>LAKI-LAKI</v>
      </c>
      <c r="P1009" s="104" t="str">
        <f>IFNA(VLOOKUP(L1009,'🙎‍♂️ Pasien'!G:V,12,FALSE),"")</f>
        <v>ISLAM</v>
      </c>
      <c r="Q1009" s="104" t="str">
        <f>IFNA(VLOOKUP(L1009:L1508,'🙎‍♂️ Pasien'!G:V,13,FALSE),"")</f>
        <v>PPPK</v>
      </c>
      <c r="R1009" s="104" t="str">
        <f t="array" ref="R1009">ifna(xlookup(L1009,'🙎‍♂️ Pasien'!$G$5:$G1508,'🙎‍♂️ Pasien'!$T$5:$T1508),"")</f>
        <v>LUTUT BENGKAK, MENISCUS</v>
      </c>
      <c r="S1009" s="104" t="str">
        <f t="array" ref="S1009">ifna(xlookup(L1009,'🙎‍♂️ Pasien'!$G$5:$G1508,'🙎‍♂️ Pasien'!$U$5:$U1508),"")</f>
        <v>FUTSAL, MINISOCCER</v>
      </c>
      <c r="T1009" s="97" t="s">
        <v>59</v>
      </c>
      <c r="U1009" s="105" t="s">
        <v>60</v>
      </c>
      <c r="V1009" s="101"/>
      <c r="W1009" s="106" t="b">
        <v>1</v>
      </c>
      <c r="X1009" s="107"/>
      <c r="Y1009" s="108"/>
    </row>
    <row r="1010" ht="22.5" customHeight="1">
      <c r="A1010" s="96"/>
      <c r="B1010" s="97" t="s">
        <v>53</v>
      </c>
      <c r="C1010" s="98" t="str">
        <f t="array" ref="C1010">IFNA(XLOOKUP(J1010,'⚙️ Pengaturan'!$H$5:$H1508,'⚙️ Pengaturan'!$I$5:$I1508),"")</f>
        <v>TIM A</v>
      </c>
      <c r="D1010" s="97" t="s">
        <v>54</v>
      </c>
      <c r="E1010" s="99">
        <v>45991.0</v>
      </c>
      <c r="F1010" s="100" t="str">
        <f t="shared" si="1"/>
        <v>2025</v>
      </c>
      <c r="G1010" s="100" t="str">
        <f t="shared" si="2"/>
        <v>11Nov</v>
      </c>
      <c r="H1010" s="100" t="str">
        <f t="shared" si="3"/>
        <v>Minggu</v>
      </c>
      <c r="I1010" s="97" t="s">
        <v>76</v>
      </c>
      <c r="J1010" s="97" t="s">
        <v>62</v>
      </c>
      <c r="K1010" s="97" t="s">
        <v>63</v>
      </c>
      <c r="L1010" s="101" t="s">
        <v>430</v>
      </c>
      <c r="M1010" s="102" t="str">
        <f>IFNA(VLOOKUP(L1010,'🙎‍♂️ Pasien'!G:V,2,FALSE),"")</f>
        <v>J5525063513</v>
      </c>
      <c r="N1010" s="103">
        <f>IFNA(VLOOKUP(L1010,'🙎‍♂️ Pasien'!G:L,3,FALSE),"")</f>
        <v>71</v>
      </c>
      <c r="O1010" s="104" t="str">
        <f>IFNA(VLOOKUP(L1010,'🙎‍♂️ Pasien'!G:V,6,FALSE),"")</f>
        <v>PEREMPUAN</v>
      </c>
      <c r="P1010" s="104" t="str">
        <f>IFNA(VLOOKUP(L1010,'🙎‍♂️ Pasien'!G:V,12,FALSE),"")</f>
        <v>KATOLIK</v>
      </c>
      <c r="Q1010" s="104" t="str">
        <f>IFNA(VLOOKUP(L1010:L1508,'🙎‍♂️ Pasien'!G:V,13,FALSE),"")</f>
        <v>IBU RUMAH TANGGA</v>
      </c>
      <c r="R1010" s="104" t="str">
        <f t="array" ref="R1010">ifna(xlookup(L1010,'🙎‍♂️ Pasien'!$G$5:$G1508,'🙎‍♂️ Pasien'!$T$5:$T1508),"")</f>
        <v>BAGIAN PANTAT SAKIT</v>
      </c>
      <c r="S1010" s="104" t="str">
        <f t="array" ref="S1010">ifna(xlookup(L1010,'🙎‍♂️ Pasien'!$G$5:$G1508,'🙎‍♂️ Pasien'!$U$5:$U1508),"")</f>
        <v>BARU OPERASI TULANG SUMSUNG BELAKANG KARENA SARAF KEJEPIT 1 BULAN LALU</v>
      </c>
      <c r="T1010" s="97" t="s">
        <v>59</v>
      </c>
      <c r="U1010" s="105">
        <v>7.0</v>
      </c>
      <c r="V1010" s="101"/>
      <c r="W1010" s="106" t="b">
        <v>1</v>
      </c>
      <c r="X1010" s="107"/>
      <c r="Y1010" s="108"/>
    </row>
    <row r="1011" ht="22.5" customHeight="1">
      <c r="A1011" s="96"/>
      <c r="B1011" s="97" t="s">
        <v>53</v>
      </c>
      <c r="C1011" s="98" t="str">
        <f t="array" ref="C1011">IFNA(XLOOKUP(J1011,'⚙️ Pengaturan'!$H$5:$H1508,'⚙️ Pengaturan'!$I$5:$I1508),"")</f>
        <v>TIM Y</v>
      </c>
      <c r="D1011" s="97" t="s">
        <v>54</v>
      </c>
      <c r="E1011" s="99">
        <v>45991.0</v>
      </c>
      <c r="F1011" s="100" t="str">
        <f t="shared" si="1"/>
        <v>2025</v>
      </c>
      <c r="G1011" s="100" t="str">
        <f t="shared" si="2"/>
        <v>11Nov</v>
      </c>
      <c r="H1011" s="100" t="str">
        <f t="shared" si="3"/>
        <v>Minggu</v>
      </c>
      <c r="I1011" s="97" t="s">
        <v>83</v>
      </c>
      <c r="J1011" s="97" t="s">
        <v>56</v>
      </c>
      <c r="K1011" s="97" t="s">
        <v>63</v>
      </c>
      <c r="L1011" s="101" t="s">
        <v>613</v>
      </c>
      <c r="M1011" s="102" t="str">
        <f>IFNA(VLOOKUP(L1011,'🙎‍♂️ Pasien'!G:V,2,FALSE),"")</f>
        <v>A9625081247</v>
      </c>
      <c r="N1011" s="103">
        <f>IFNA(VLOOKUP(L1011,'🙎‍♂️ Pasien'!G:L,3,FALSE),"")</f>
        <v>30</v>
      </c>
      <c r="O1011" s="104" t="str">
        <f>IFNA(VLOOKUP(L1011,'🙎‍♂️ Pasien'!G:V,6,FALSE),"")</f>
        <v>LAKI-LAKI</v>
      </c>
      <c r="P1011" s="104" t="str">
        <f>IFNA(VLOOKUP(L1011,'🙎‍♂️ Pasien'!G:V,12,FALSE),"")</f>
        <v>ISLAM</v>
      </c>
      <c r="Q1011" s="104" t="str">
        <f>IFNA(VLOOKUP(L1011:L1508,'🙎‍♂️ Pasien'!G:V,13,FALSE),"")</f>
        <v>PPPK</v>
      </c>
      <c r="R1011" s="104" t="str">
        <f t="array" ref="R1011">ifna(xlookup(L1011,'🙎‍♂️ Pasien'!$G$5:$G1508,'🙎‍♂️ Pasien'!$T$5:$T1508),"")</f>
        <v>LUTUT BENGKAK, MENISCUS</v>
      </c>
      <c r="S1011" s="104" t="str">
        <f t="array" ref="S1011">ifna(xlookup(L1011,'🙎‍♂️ Pasien'!$G$5:$G1508,'🙎‍♂️ Pasien'!$U$5:$U1508),"")</f>
        <v>FUTSAL, MINISOCCER</v>
      </c>
      <c r="T1011" s="97" t="s">
        <v>59</v>
      </c>
      <c r="U1011" s="105">
        <v>1.0</v>
      </c>
      <c r="V1011" s="101"/>
      <c r="W1011" s="106" t="b">
        <v>1</v>
      </c>
      <c r="X1011" s="107"/>
      <c r="Y1011" s="108"/>
    </row>
    <row r="1012" ht="22.5" customHeight="1">
      <c r="A1012" s="96"/>
      <c r="B1012" s="97" t="s">
        <v>53</v>
      </c>
      <c r="C1012" s="98" t="str">
        <f t="array" ref="C1012">IFNA(XLOOKUP(J1012,'⚙️ Pengaturan'!$H$5:$H1508,'⚙️ Pengaturan'!$I$5:$I1508),"")</f>
        <v>TIM A</v>
      </c>
      <c r="D1012" s="97" t="s">
        <v>54</v>
      </c>
      <c r="E1012" s="99">
        <v>45991.0</v>
      </c>
      <c r="F1012" s="100" t="str">
        <f t="shared" si="1"/>
        <v>2025</v>
      </c>
      <c r="G1012" s="100" t="str">
        <f t="shared" si="2"/>
        <v>11Nov</v>
      </c>
      <c r="H1012" s="100" t="str">
        <f t="shared" si="3"/>
        <v>Minggu</v>
      </c>
      <c r="I1012" s="97" t="s">
        <v>83</v>
      </c>
      <c r="J1012" s="97" t="s">
        <v>72</v>
      </c>
      <c r="K1012" s="97" t="s">
        <v>63</v>
      </c>
      <c r="L1012" s="101" t="s">
        <v>129</v>
      </c>
      <c r="M1012" s="102" t="str">
        <f>IFNA(VLOOKUP(L1012,'🙎‍♂️ Pasien'!G:V,2,FALSE),"")</f>
        <v>D1025091558</v>
      </c>
      <c r="N1012" s="103">
        <f>IFNA(VLOOKUP(L1012,'🙎‍♂️ Pasien'!G:L,3,FALSE),"")</f>
        <v>16</v>
      </c>
      <c r="O1012" s="104" t="str">
        <f>IFNA(VLOOKUP(L1012,'🙎‍♂️ Pasien'!G:V,6,FALSE),"")</f>
        <v>LAKI-LAKI</v>
      </c>
      <c r="P1012" s="104" t="str">
        <f>IFNA(VLOOKUP(L1012,'🙎‍♂️ Pasien'!G:V,12,FALSE),"")</f>
        <v>PROTESTAN</v>
      </c>
      <c r="Q1012" s="104" t="str">
        <f>IFNA(VLOOKUP(L1012:L1508,'🙎‍♂️ Pasien'!G:V,13,FALSE),"")</f>
        <v>MASI SEKOLAH</v>
      </c>
      <c r="R1012" s="104" t="str">
        <f t="array" ref="R1012">ifna(xlookup(L1012,'🙎‍♂️ Pasien'!$G$5:$G1508,'🙎‍♂️ Pasien'!$T$5:$T1508),"")</f>
        <v>SAKIT DI BAGIAN LUTUT</v>
      </c>
      <c r="S1012" s="104" t="str">
        <f t="array" ref="S1012">ifna(xlookup(L1012,'🙎‍♂️ Pasien'!$G$5:$G1508,'🙎‍♂️ Pasien'!$U$5:$U1508),"")</f>
        <v>BASKET</v>
      </c>
      <c r="T1012" s="97" t="s">
        <v>67</v>
      </c>
      <c r="U1012" s="105">
        <v>5.0</v>
      </c>
      <c r="V1012" s="101" t="s">
        <v>614</v>
      </c>
      <c r="W1012" s="106" t="b">
        <v>1</v>
      </c>
      <c r="X1012" s="107"/>
      <c r="Y1012" s="108"/>
    </row>
    <row r="1013" ht="22.5" customHeight="1">
      <c r="A1013" s="96"/>
      <c r="B1013" s="97" t="s">
        <v>53</v>
      </c>
      <c r="C1013" s="98" t="str">
        <f t="array" ref="C1013">IFNA(XLOOKUP(J1013,'⚙️ Pengaturan'!$H$5:$H1508,'⚙️ Pengaturan'!$I$5:$I1508),"")</f>
        <v>TIM A</v>
      </c>
      <c r="D1013" s="97" t="s">
        <v>54</v>
      </c>
      <c r="E1013" s="99">
        <v>45991.0</v>
      </c>
      <c r="F1013" s="100" t="str">
        <f t="shared" si="1"/>
        <v>2025</v>
      </c>
      <c r="G1013" s="100" t="str">
        <f t="shared" si="2"/>
        <v>11Nov</v>
      </c>
      <c r="H1013" s="100" t="str">
        <f t="shared" si="3"/>
        <v>Minggu</v>
      </c>
      <c r="I1013" s="97" t="s">
        <v>83</v>
      </c>
      <c r="J1013" s="97" t="s">
        <v>62</v>
      </c>
      <c r="K1013" s="97" t="s">
        <v>57</v>
      </c>
      <c r="L1013" s="101" t="s">
        <v>615</v>
      </c>
      <c r="M1013" s="102" t="str">
        <f>IFNA(VLOOKUP(L1013,'🙎‍♂️ Pasien'!G:V,2,FALSE),"")</f>
        <v>W9625114960</v>
      </c>
      <c r="N1013" s="103">
        <f>IFNA(VLOOKUP(L1013,'🙎‍♂️ Pasien'!G:L,3,FALSE),"")</f>
        <v>30</v>
      </c>
      <c r="O1013" s="104" t="str">
        <f>IFNA(VLOOKUP(L1013,'🙎‍♂️ Pasien'!G:V,6,FALSE),"")</f>
        <v>LAKI-LAKI</v>
      </c>
      <c r="P1013" s="104" t="str">
        <f>IFNA(VLOOKUP(L1013,'🙎‍♂️ Pasien'!G:V,12,FALSE),"")</f>
        <v>ISLAM</v>
      </c>
      <c r="Q1013" s="104" t="str">
        <f>IFNA(VLOOKUP(L1013:L1508,'🙎‍♂️ Pasien'!G:V,13,FALSE),"")</f>
        <v>ARSITEK</v>
      </c>
      <c r="R1013" s="104" t="str">
        <f t="array" ref="R1013">ifna(xlookup(L1013,'🙎‍♂️ Pasien'!$G$5:$G1508,'🙎‍♂️ Pasien'!$T$5:$T1508),"")</f>
        <v>SAKIT TULANG BELAKANG AREA PINGGANG</v>
      </c>
      <c r="S1013" s="104" t="str">
        <f t="array" ref="S1013">ifna(xlookup(L1013,'🙎‍♂️ Pasien'!$G$5:$G1508,'🙎‍♂️ Pasien'!$U$5:$U1508),"")</f>
        <v>DUDUK DEPAN KOMPUTER BERJAM JAM</v>
      </c>
      <c r="T1013" s="97" t="s">
        <v>59</v>
      </c>
      <c r="U1013" s="105" t="s">
        <v>60</v>
      </c>
      <c r="V1013" s="101"/>
      <c r="W1013" s="106" t="b">
        <v>1</v>
      </c>
      <c r="X1013" s="107"/>
      <c r="Y1013" s="108"/>
    </row>
    <row r="1014" ht="22.5" customHeight="1">
      <c r="A1014" s="96"/>
      <c r="B1014" s="97" t="s">
        <v>85</v>
      </c>
      <c r="C1014" s="98" t="str">
        <f t="array" ref="C1014">IFNA(XLOOKUP(J1014,'⚙️ Pengaturan'!$H$5:$H1508,'⚙️ Pengaturan'!$I$5:$I1508),"")</f>
        <v>TIM Y</v>
      </c>
      <c r="D1014" s="97" t="s">
        <v>86</v>
      </c>
      <c r="E1014" s="99">
        <v>45991.0</v>
      </c>
      <c r="F1014" s="100" t="str">
        <f t="shared" si="1"/>
        <v>2025</v>
      </c>
      <c r="G1014" s="100" t="str">
        <f t="shared" si="2"/>
        <v>11Nov</v>
      </c>
      <c r="H1014" s="100" t="str">
        <f t="shared" si="3"/>
        <v>Minggu</v>
      </c>
      <c r="I1014" s="97" t="s">
        <v>87</v>
      </c>
      <c r="J1014" s="97" t="s">
        <v>91</v>
      </c>
      <c r="K1014" s="97" t="s">
        <v>63</v>
      </c>
      <c r="L1014" s="101" t="s">
        <v>257</v>
      </c>
      <c r="M1014" s="102" t="str">
        <f>IFNA(VLOOKUP(L1014,'🙎‍♂️ Pasien'!G:V,2,FALSE),"")</f>
        <v>A1025102304</v>
      </c>
      <c r="N1014" s="103">
        <f>IFNA(VLOOKUP(L1014,'🙎‍♂️ Pasien'!G:L,3,FALSE),"")</f>
        <v>16</v>
      </c>
      <c r="O1014" s="104" t="str">
        <f>IFNA(VLOOKUP(L1014,'🙎‍♂️ Pasien'!G:V,6,FALSE),"")</f>
        <v>LAKI-LAKI</v>
      </c>
      <c r="P1014" s="104" t="str">
        <f>IFNA(VLOOKUP(L1014,'🙎‍♂️ Pasien'!G:V,12,FALSE),"")</f>
        <v>PROTESTAN</v>
      </c>
      <c r="Q1014" s="104" t="str">
        <f>IFNA(VLOOKUP(L1014:L1508,'🙎‍♂️ Pasien'!G:V,13,FALSE),"")</f>
        <v>PELAJAR</v>
      </c>
      <c r="R1014" s="104" t="str">
        <f t="array" ref="R1014">ifna(xlookup(L1014,'🙎‍♂️ Pasien'!$G$5:$G1508,'🙎‍♂️ Pasien'!$T$5:$T1508),"")</f>
        <v>NYERI SENDI KAKI</v>
      </c>
      <c r="S1014" s="104" t="str">
        <f t="array" ref="S1014">ifna(xlookup(L1014,'🙎‍♂️ Pasien'!$G$5:$G1508,'🙎‍♂️ Pasien'!$U$5:$U1508),"")</f>
        <v>OLAHRAGA, NAIK TURUN TANGGA</v>
      </c>
      <c r="T1014" s="97" t="s">
        <v>59</v>
      </c>
      <c r="U1014" s="105">
        <v>3.0</v>
      </c>
      <c r="V1014" s="101"/>
      <c r="W1014" s="106" t="b">
        <v>1</v>
      </c>
      <c r="X1014" s="107"/>
      <c r="Y1014" s="108"/>
    </row>
    <row r="1015" ht="22.5" customHeight="1">
      <c r="A1015" s="96"/>
      <c r="B1015" s="97" t="s">
        <v>85</v>
      </c>
      <c r="C1015" s="98" t="str">
        <f t="array" ref="C1015">IFNA(XLOOKUP(J1015,'⚙️ Pengaturan'!$H$5:$H1508,'⚙️ Pengaturan'!$I$5:$I1508),"")</f>
        <v>TIM Y</v>
      </c>
      <c r="D1015" s="97" t="s">
        <v>86</v>
      </c>
      <c r="E1015" s="99">
        <v>45991.0</v>
      </c>
      <c r="F1015" s="100" t="str">
        <f t="shared" si="1"/>
        <v>2025</v>
      </c>
      <c r="G1015" s="100" t="str">
        <f t="shared" si="2"/>
        <v>11Nov</v>
      </c>
      <c r="H1015" s="100" t="str">
        <f t="shared" si="3"/>
        <v>Minggu</v>
      </c>
      <c r="I1015" s="97" t="s">
        <v>87</v>
      </c>
      <c r="J1015" s="97" t="s">
        <v>107</v>
      </c>
      <c r="K1015" s="97" t="s">
        <v>69</v>
      </c>
      <c r="L1015" s="101" t="s">
        <v>168</v>
      </c>
      <c r="M1015" s="102" t="str">
        <f>IFNA(VLOOKUP(L1015,'🙎‍♂️ Pasien'!G:V,2,FALSE),"")</f>
        <v>M0524055808</v>
      </c>
      <c r="N1015" s="103">
        <f>IFNA(VLOOKUP(L1015,'🙎‍♂️ Pasien'!G:L,3,FALSE),"")</f>
        <v>20</v>
      </c>
      <c r="O1015" s="104" t="str">
        <f>IFNA(VLOOKUP(L1015,'🙎‍♂️ Pasien'!G:V,6,FALSE),"")</f>
        <v>LAKI-LAKI</v>
      </c>
      <c r="P1015" s="104" t="str">
        <f>IFNA(VLOOKUP(L1015,'🙎‍♂️ Pasien'!G:V,12,FALSE),"")</f>
        <v>ISLAM</v>
      </c>
      <c r="Q1015" s="104" t="str">
        <f>IFNA(VLOOKUP(L1015:L1508,'🙎‍♂️ Pasien'!G:V,13,FALSE),"")</f>
        <v>PELAJAR/MAHASISWA</v>
      </c>
      <c r="R1015" s="104" t="str">
        <f t="array" ref="R1015">ifna(xlookup(L1015,'🙎‍♂️ Pasien'!$G$5:$G1508,'🙎‍♂️ Pasien'!$T$5:$T1508),"")</f>
        <v>goyang</v>
      </c>
      <c r="S1015" s="104" t="str">
        <f t="array" ref="S1015">ifna(xlookup(L1015,'🙎‍♂️ Pasien'!$G$5:$G1508,'🙎‍♂️ Pasien'!$U$5:$U1508),"")</f>
        <v>futsal</v>
      </c>
      <c r="T1015" s="97" t="s">
        <v>59</v>
      </c>
      <c r="U1015" s="105" t="s">
        <v>60</v>
      </c>
      <c r="V1015" s="101"/>
      <c r="W1015" s="106" t="b">
        <v>1</v>
      </c>
      <c r="X1015" s="107"/>
      <c r="Y1015" s="108"/>
    </row>
    <row r="1016" ht="22.5" customHeight="1">
      <c r="A1016" s="96"/>
      <c r="B1016" s="97" t="s">
        <v>85</v>
      </c>
      <c r="C1016" s="98" t="str">
        <f t="array" ref="C1016">IFNA(XLOOKUP(J1016,'⚙️ Pengaturan'!$H$5:$H1508,'⚙️ Pengaturan'!$I$5:$I1508),"")</f>
        <v>TIM Y</v>
      </c>
      <c r="D1016" s="97" t="s">
        <v>86</v>
      </c>
      <c r="E1016" s="99">
        <v>45991.0</v>
      </c>
      <c r="F1016" s="100" t="str">
        <f t="shared" si="1"/>
        <v>2025</v>
      </c>
      <c r="G1016" s="100" t="str">
        <f t="shared" si="2"/>
        <v>11Nov</v>
      </c>
      <c r="H1016" s="100" t="str">
        <f t="shared" si="3"/>
        <v>Minggu</v>
      </c>
      <c r="I1016" s="97" t="s">
        <v>93</v>
      </c>
      <c r="J1016" s="97" t="s">
        <v>107</v>
      </c>
      <c r="K1016" s="97" t="s">
        <v>57</v>
      </c>
      <c r="L1016" s="101" t="s">
        <v>616</v>
      </c>
      <c r="M1016" s="102" t="str">
        <f>IFNA(VLOOKUP(L1016,'🙎‍♂️ Pasien'!G:V,2,FALSE),"")</f>
        <v>R6725050750</v>
      </c>
      <c r="N1016" s="103">
        <f>IFNA(VLOOKUP(L1016,'🙎‍♂️ Pasien'!G:L,3,FALSE),"")</f>
        <v>58</v>
      </c>
      <c r="O1016" s="104" t="str">
        <f>IFNA(VLOOKUP(L1016,'🙎‍♂️ Pasien'!G:V,6,FALSE),"")</f>
        <v>PEREMPUAN</v>
      </c>
      <c r="P1016" s="104" t="str">
        <f>IFNA(VLOOKUP(L1016,'🙎‍♂️ Pasien'!G:V,12,FALSE),"")</f>
        <v>ISLAM</v>
      </c>
      <c r="Q1016" s="104" t="str">
        <f>IFNA(VLOOKUP(L1016:L1508,'🙎‍♂️ Pasien'!G:V,13,FALSE),"")</f>
        <v>PNS</v>
      </c>
      <c r="R1016" s="104" t="str">
        <f t="array" ref="R1016">ifna(xlookup(L1016,'🙎‍♂️ Pasien'!$G$5:$G1508,'🙎‍♂️ Pasien'!$T$5:$T1508),"")</f>
        <v>CTS</v>
      </c>
      <c r="S1016" s="104" t="str">
        <f t="array" ref="S1016">ifna(xlookup(L1016,'🙎‍♂️ Pasien'!$G$5:$G1508,'🙎‍♂️ Pasien'!$U$5:$U1508),"")</f>
        <v>-</v>
      </c>
      <c r="T1016" s="97" t="s">
        <v>59</v>
      </c>
      <c r="U1016" s="105" t="s">
        <v>60</v>
      </c>
      <c r="V1016" s="101"/>
      <c r="W1016" s="106" t="b">
        <v>1</v>
      </c>
      <c r="X1016" s="107"/>
      <c r="Y1016" s="108"/>
    </row>
    <row r="1017" ht="22.5" customHeight="1">
      <c r="A1017" s="96"/>
      <c r="B1017" s="97" t="s">
        <v>85</v>
      </c>
      <c r="C1017" s="98" t="str">
        <f t="array" ref="C1017">IFNA(XLOOKUP(J1017,'⚙️ Pengaturan'!$H$5:$H1508,'⚙️ Pengaturan'!$I$5:$I1508),"")</f>
        <v>TIM A</v>
      </c>
      <c r="D1017" s="97" t="s">
        <v>86</v>
      </c>
      <c r="E1017" s="99">
        <v>45991.0</v>
      </c>
      <c r="F1017" s="100" t="str">
        <f t="shared" si="1"/>
        <v>2025</v>
      </c>
      <c r="G1017" s="100" t="str">
        <f t="shared" si="2"/>
        <v>11Nov</v>
      </c>
      <c r="H1017" s="100" t="str">
        <f t="shared" si="3"/>
        <v>Minggu</v>
      </c>
      <c r="I1017" s="97" t="s">
        <v>95</v>
      </c>
      <c r="J1017" s="97" t="s">
        <v>79</v>
      </c>
      <c r="K1017" s="97" t="s">
        <v>63</v>
      </c>
      <c r="L1017" s="101" t="s">
        <v>527</v>
      </c>
      <c r="M1017" s="102" t="str">
        <f>IFNA(VLOOKUP(L1017,'🙎‍♂️ Pasien'!G:V,2,FALSE),"")</f>
        <v>S0325118209</v>
      </c>
      <c r="N1017" s="103">
        <f>IFNA(VLOOKUP(L1017,'🙎‍♂️ Pasien'!G:L,3,FALSE),"")</f>
        <v>23</v>
      </c>
      <c r="O1017" s="104" t="str">
        <f>IFNA(VLOOKUP(L1017,'🙎‍♂️ Pasien'!G:V,6,FALSE),"")</f>
        <v>PEREMPUAN</v>
      </c>
      <c r="P1017" s="104" t="str">
        <f>IFNA(VLOOKUP(L1017,'🙎‍♂️ Pasien'!G:V,12,FALSE),"")</f>
        <v>BUDDHA</v>
      </c>
      <c r="Q1017" s="104" t="str">
        <f>IFNA(VLOOKUP(L1017:L1508,'🙎‍♂️ Pasien'!G:V,13,FALSE),"")</f>
        <v>ADMIN</v>
      </c>
      <c r="R1017" s="104" t="str">
        <f t="array" ref="R1017">ifna(xlookup(L1017,'🙎‍♂️ Pasien'!$G$5:$G1508,'🙎‍♂️ Pasien'!$T$5:$T1508),"")</f>
        <v>SKOLIOSIS</v>
      </c>
      <c r="S1017" s="104" t="str">
        <f t="array" ref="S1017">ifna(xlookup(L1017,'🙎‍♂️ Pasien'!$G$5:$G1508,'🙎‍♂️ Pasien'!$U$5:$U1508),"")</f>
        <v>DUDUK LAMA SAAT BEKERJA, GYM</v>
      </c>
      <c r="T1017" s="97" t="s">
        <v>59</v>
      </c>
      <c r="U1017" s="105">
        <v>5.0</v>
      </c>
      <c r="V1017" s="101" t="s">
        <v>125</v>
      </c>
      <c r="W1017" s="106" t="b">
        <v>1</v>
      </c>
      <c r="X1017" s="107"/>
      <c r="Y1017" s="108"/>
    </row>
    <row r="1018" ht="22.5" customHeight="1">
      <c r="A1018" s="96"/>
      <c r="B1018" s="97" t="s">
        <v>85</v>
      </c>
      <c r="C1018" s="98" t="str">
        <f t="array" ref="C1018">IFNA(XLOOKUP(J1018,'⚙️ Pengaturan'!$H$5:$H1508,'⚙️ Pengaturan'!$I$5:$I1508),"")</f>
        <v>TIM A</v>
      </c>
      <c r="D1018" s="97" t="s">
        <v>86</v>
      </c>
      <c r="E1018" s="99">
        <v>45991.0</v>
      </c>
      <c r="F1018" s="100" t="str">
        <f t="shared" si="1"/>
        <v>2025</v>
      </c>
      <c r="G1018" s="100" t="str">
        <f t="shared" si="2"/>
        <v>11Nov</v>
      </c>
      <c r="H1018" s="100" t="str">
        <f t="shared" si="3"/>
        <v>Minggu</v>
      </c>
      <c r="I1018" s="97" t="s">
        <v>97</v>
      </c>
      <c r="J1018" s="97" t="s">
        <v>79</v>
      </c>
      <c r="K1018" s="97" t="s">
        <v>63</v>
      </c>
      <c r="L1018" s="101" t="s">
        <v>540</v>
      </c>
      <c r="M1018" s="102" t="str">
        <f>IFNA(VLOOKUP(L1018,'🙎‍♂️ Pasien'!G:V,2,FALSE),"")</f>
        <v>A9425110177</v>
      </c>
      <c r="N1018" s="103">
        <f>IFNA(VLOOKUP(L1018,'🙎‍♂️ Pasien'!G:L,3,FALSE),"")</f>
        <v>31</v>
      </c>
      <c r="O1018" s="104" t="str">
        <f>IFNA(VLOOKUP(L1018,'🙎‍♂️ Pasien'!G:V,6,FALSE),"")</f>
        <v>LAKI-LAKI</v>
      </c>
      <c r="P1018" s="104" t="str">
        <f>IFNA(VLOOKUP(L1018,'🙎‍♂️ Pasien'!G:V,12,FALSE),"")</f>
        <v>KATOLIK</v>
      </c>
      <c r="Q1018" s="104" t="str">
        <f>IFNA(VLOOKUP(L1018:L1508,'🙎‍♂️ Pasien'!G:V,13,FALSE),"")</f>
        <v>-</v>
      </c>
      <c r="R1018" s="104" t="str">
        <f t="array" ref="R1018">ifna(xlookup(L1018,'🙎‍♂️ Pasien'!$G$5:$G1508,'🙎‍♂️ Pasien'!$T$5:$T1508),"")</f>
        <v>PASCA OPERASI ACL</v>
      </c>
      <c r="S1018" s="104" t="str">
        <f t="array" ref="S1018">ifna(xlookup(L1018,'🙎‍♂️ Pasien'!$G$5:$G1508,'🙎‍♂️ Pasien'!$U$5:$U1508),"")</f>
        <v>-</v>
      </c>
      <c r="T1018" s="97" t="s">
        <v>59</v>
      </c>
      <c r="U1018" s="105">
        <v>5.0</v>
      </c>
      <c r="V1018" s="101" t="s">
        <v>125</v>
      </c>
      <c r="W1018" s="106" t="b">
        <v>1</v>
      </c>
      <c r="X1018" s="107"/>
      <c r="Y1018" s="108"/>
    </row>
    <row r="1019" ht="22.5" customHeight="1">
      <c r="A1019" s="96"/>
      <c r="B1019" s="97" t="s">
        <v>85</v>
      </c>
      <c r="C1019" s="98" t="str">
        <f t="array" ref="C1019">IFNA(XLOOKUP(J1019,'⚙️ Pengaturan'!$H$5:$H1508,'⚙️ Pengaturan'!$I$5:$I1508),"")</f>
        <v>TIM Y</v>
      </c>
      <c r="D1019" s="97" t="s">
        <v>86</v>
      </c>
      <c r="E1019" s="99">
        <v>45991.0</v>
      </c>
      <c r="F1019" s="100" t="str">
        <f t="shared" si="1"/>
        <v>2025</v>
      </c>
      <c r="G1019" s="100" t="str">
        <f t="shared" si="2"/>
        <v>11Nov</v>
      </c>
      <c r="H1019" s="100" t="str">
        <f t="shared" si="3"/>
        <v>Minggu</v>
      </c>
      <c r="I1019" s="97" t="s">
        <v>97</v>
      </c>
      <c r="J1019" s="97" t="s">
        <v>107</v>
      </c>
      <c r="K1019" s="97" t="s">
        <v>63</v>
      </c>
      <c r="L1019" s="101" t="s">
        <v>543</v>
      </c>
      <c r="M1019" s="102" t="str">
        <f>IFNA(VLOOKUP(L1019,'🙎‍♂️ Pasien'!G:V,2,FALSE),"")</f>
        <v>A8725115557</v>
      </c>
      <c r="N1019" s="103">
        <f>IFNA(VLOOKUP(L1019,'🙎‍♂️ Pasien'!G:L,3,FALSE),"")</f>
        <v>38</v>
      </c>
      <c r="O1019" s="104" t="str">
        <f>IFNA(VLOOKUP(L1019,'🙎‍♂️ Pasien'!G:V,6,FALSE),"")</f>
        <v>PEREMPUAN</v>
      </c>
      <c r="P1019" s="104" t="str">
        <f>IFNA(VLOOKUP(L1019,'🙎‍♂️ Pasien'!G:V,12,FALSE),"")</f>
        <v>ISLAM</v>
      </c>
      <c r="Q1019" s="104" t="str">
        <f>IFNA(VLOOKUP(L1019:L1508,'🙎‍♂️ Pasien'!G:V,13,FALSE),"")</f>
        <v>KARYAWAN SWASTA</v>
      </c>
      <c r="R1019" s="104" t="str">
        <f t="array" ref="R1019">ifna(xlookup(L1019,'🙎‍♂️ Pasien'!$G$5:$G1508,'🙎‍♂️ Pasien'!$T$5:$T1508),"")</f>
        <v>NYERI SAAT NARIK NAFAS DAN BERGERAK AREA RUSUK DEPAN HINGGA BELAKANG SEBELAH KANAN</v>
      </c>
      <c r="S1019" s="104" t="str">
        <f t="array" ref="S1019">ifna(xlookup(L1019,'🙎‍♂️ Pasien'!$G$5:$G1508,'🙎‍♂️ Pasien'!$U$5:$U1508),"")</f>
        <v>SAAT INI SEDANG BATUK, OLAHRAGA THREADMIL DAN BULU TANGKIS BEBERAPA WAKTU INI</v>
      </c>
      <c r="T1019" s="97" t="s">
        <v>67</v>
      </c>
      <c r="U1019" s="105">
        <v>3.0</v>
      </c>
      <c r="V1019" s="101" t="s">
        <v>617</v>
      </c>
      <c r="W1019" s="106" t="b">
        <v>1</v>
      </c>
      <c r="X1019" s="107"/>
      <c r="Y1019" s="108"/>
    </row>
    <row r="1020" ht="22.5" customHeight="1">
      <c r="A1020" s="96"/>
      <c r="B1020" s="97" t="s">
        <v>85</v>
      </c>
      <c r="C1020" s="98" t="str">
        <f t="array" ref="C1020">IFNA(XLOOKUP(J1020,'⚙️ Pengaturan'!$H$5:$H1508,'⚙️ Pengaturan'!$I$5:$I1508),"")</f>
        <v>TIM Y</v>
      </c>
      <c r="D1020" s="97" t="s">
        <v>86</v>
      </c>
      <c r="E1020" s="99">
        <v>45991.0</v>
      </c>
      <c r="F1020" s="100" t="str">
        <f t="shared" si="1"/>
        <v>2025</v>
      </c>
      <c r="G1020" s="100" t="str">
        <f t="shared" si="2"/>
        <v>11Nov</v>
      </c>
      <c r="H1020" s="100" t="str">
        <f t="shared" si="3"/>
        <v>Minggu</v>
      </c>
      <c r="I1020" s="97" t="s">
        <v>97</v>
      </c>
      <c r="J1020" s="97" t="s">
        <v>91</v>
      </c>
      <c r="K1020" s="97" t="s">
        <v>57</v>
      </c>
      <c r="L1020" s="101" t="s">
        <v>618</v>
      </c>
      <c r="M1020" s="102" t="str">
        <f>IFNA(VLOOKUP(L1020,'🙎‍♂️ Pasien'!G:V,2,FALSE),"")</f>
        <v>Y8625113524</v>
      </c>
      <c r="N1020" s="103">
        <f>IFNA(VLOOKUP(L1020,'🙎‍♂️ Pasien'!G:L,3,FALSE),"")</f>
        <v>39</v>
      </c>
      <c r="O1020" s="104" t="str">
        <f>IFNA(VLOOKUP(L1020,'🙎‍♂️ Pasien'!G:V,6,FALSE),"")</f>
        <v>PEREMPUAN</v>
      </c>
      <c r="P1020" s="104" t="str">
        <f>IFNA(VLOOKUP(L1020,'🙎‍♂️ Pasien'!G:V,12,FALSE),"")</f>
        <v>KATOLIK</v>
      </c>
      <c r="Q1020" s="104" t="str">
        <f>IFNA(VLOOKUP(L1020:L1508,'🙎‍♂️ Pasien'!G:V,13,FALSE),"")</f>
        <v>KARYAWAN SWASTA</v>
      </c>
      <c r="R1020" s="104" t="str">
        <f t="array" ref="R1020">ifna(xlookup(L1020,'🙎‍♂️ Pasien'!$G$5:$G1508,'🙎‍♂️ Pasien'!$T$5:$T1508),"")</f>
        <v>TANGAN KANAN NYERI</v>
      </c>
      <c r="S1020" s="104" t="str">
        <f t="array" ref="S1020">ifna(xlookup(L1020,'🙎‍♂️ Pasien'!$G$5:$G1508,'🙎‍♂️ Pasien'!$U$5:$U1508),"")</f>
        <v>GYM</v>
      </c>
      <c r="T1020" s="97" t="s">
        <v>59</v>
      </c>
      <c r="U1020" s="105" t="s">
        <v>60</v>
      </c>
      <c r="V1020" s="101"/>
      <c r="W1020" s="106" t="b">
        <v>1</v>
      </c>
      <c r="X1020" s="107"/>
      <c r="Y1020" s="108"/>
    </row>
    <row r="1021" ht="22.5" customHeight="1">
      <c r="A1021" s="96"/>
      <c r="B1021" s="97" t="s">
        <v>53</v>
      </c>
      <c r="C1021" s="98" t="str">
        <f t="array" ref="C1021">IFNA(XLOOKUP(J1021,'⚙️ Pengaturan'!$H$5:$H1508,'⚙️ Pengaturan'!$I$5:$I1508),"")</f>
        <v>TIM Y</v>
      </c>
      <c r="D1021" s="97" t="s">
        <v>54</v>
      </c>
      <c r="E1021" s="99">
        <v>45992.0</v>
      </c>
      <c r="F1021" s="100" t="str">
        <f t="shared" si="1"/>
        <v>2025</v>
      </c>
      <c r="G1021" s="100" t="str">
        <f t="shared" si="2"/>
        <v>12Des</v>
      </c>
      <c r="H1021" s="100" t="str">
        <f t="shared" si="3"/>
        <v>Senin</v>
      </c>
      <c r="I1021" s="97" t="s">
        <v>55</v>
      </c>
      <c r="J1021" s="97" t="s">
        <v>88</v>
      </c>
      <c r="K1021" s="97" t="s">
        <v>57</v>
      </c>
      <c r="L1021" s="101" t="s">
        <v>619</v>
      </c>
      <c r="M1021" s="102" t="str">
        <f>IFNA(VLOOKUP(L1021,'🙎‍♂️ Pasien'!G:V,2,FALSE),"")</f>
        <v>B0525015519</v>
      </c>
      <c r="N1021" s="103">
        <f>IFNA(VLOOKUP(L1021,'🙎‍♂️ Pasien'!G:L,3,FALSE),"")</f>
        <v>20</v>
      </c>
      <c r="O1021" s="104" t="str">
        <f>IFNA(VLOOKUP(L1021,'🙎‍♂️ Pasien'!G:V,6,FALSE),"")</f>
        <v>LAKI-LAKI</v>
      </c>
      <c r="P1021" s="104" t="str">
        <f>IFNA(VLOOKUP(L1021,'🙎‍♂️ Pasien'!G:V,12,FALSE),"")</f>
        <v>ISLAM</v>
      </c>
      <c r="Q1021" s="104" t="str">
        <f>IFNA(VLOOKUP(L1021:L1508,'🙎‍♂️ Pasien'!G:V,13,FALSE),"")</f>
        <v>PELAJAR/MAHASISWA</v>
      </c>
      <c r="R1021" s="104" t="str">
        <f t="array" ref="R1021">ifna(xlookup(L1021,'🙎‍♂️ Pasien'!$G$5:$G1508,'🙎‍♂️ Pasien'!$T$5:$T1508),"")</f>
        <v>SAKIT DI AREA ENGKEL (KAKI BAGIAN KANAN)</v>
      </c>
      <c r="S1021" s="104" t="str">
        <f t="array" ref="S1021">ifna(xlookup(L1021,'🙎‍♂️ Pasien'!$G$5:$G1508,'🙎‍♂️ Pasien'!$U$5:$U1508),"")</f>
        <v>LARI DAN GYM</v>
      </c>
      <c r="T1021" s="97" t="s">
        <v>59</v>
      </c>
      <c r="U1021" s="105" t="s">
        <v>60</v>
      </c>
      <c r="V1021" s="101" t="s">
        <v>620</v>
      </c>
      <c r="W1021" s="106" t="b">
        <v>1</v>
      </c>
      <c r="X1021" s="107"/>
      <c r="Y1021" s="108"/>
    </row>
    <row r="1022" ht="22.5" customHeight="1">
      <c r="A1022" s="96"/>
      <c r="B1022" s="97" t="s">
        <v>53</v>
      </c>
      <c r="C1022" s="98" t="str">
        <f t="array" ref="C1022">IFNA(XLOOKUP(J1022,'⚙️ Pengaturan'!$H$5:$H1508,'⚙️ Pengaturan'!$I$5:$I1508),"")</f>
        <v>TIM Y</v>
      </c>
      <c r="D1022" s="97" t="s">
        <v>54</v>
      </c>
      <c r="E1022" s="99">
        <v>45992.0</v>
      </c>
      <c r="F1022" s="100" t="str">
        <f t="shared" si="1"/>
        <v>2025</v>
      </c>
      <c r="G1022" s="100" t="str">
        <f t="shared" si="2"/>
        <v>12Des</v>
      </c>
      <c r="H1022" s="100" t="str">
        <f t="shared" si="3"/>
        <v>Senin</v>
      </c>
      <c r="I1022" s="97" t="s">
        <v>55</v>
      </c>
      <c r="J1022" s="97" t="s">
        <v>91</v>
      </c>
      <c r="K1022" s="97" t="s">
        <v>63</v>
      </c>
      <c r="L1022" s="101" t="s">
        <v>501</v>
      </c>
      <c r="M1022" s="102" t="str">
        <f>IFNA(VLOOKUP(L1022,'🙎‍♂️ Pasien'!G:V,2,FALSE),"")</f>
        <v>C9025117272</v>
      </c>
      <c r="N1022" s="103">
        <f>IFNA(VLOOKUP(L1022,'🙎‍♂️ Pasien'!G:L,3,FALSE),"")</f>
        <v>35</v>
      </c>
      <c r="O1022" s="104" t="str">
        <f>IFNA(VLOOKUP(L1022,'🙎‍♂️ Pasien'!G:V,6,FALSE),"")</f>
        <v>PEREMPUAN</v>
      </c>
      <c r="P1022" s="104" t="str">
        <f>IFNA(VLOOKUP(L1022,'🙎‍♂️ Pasien'!G:V,12,FALSE),"")</f>
        <v>PROTESTAN</v>
      </c>
      <c r="Q1022" s="104" t="str">
        <f>IFNA(VLOOKUP(L1022:L1508,'🙎‍♂️ Pasien'!G:V,13,FALSE),"")</f>
        <v>IBU RUMAH TANGGA</v>
      </c>
      <c r="R1022" s="104" t="str">
        <f t="array" ref="R1022">ifna(xlookup(L1022,'🙎‍♂️ Pasien'!$G$5:$G1508,'🙎‍♂️ Pasien'!$T$5:$T1508),"")</f>
        <v>SENDI LUTUT BERGESER</v>
      </c>
      <c r="S1022" s="104" t="str">
        <f t="array" ref="S1022">ifna(xlookup(L1022,'🙎‍♂️ Pasien'!$G$5:$G1508,'🙎‍♂️ Pasien'!$U$5:$U1508),"")</f>
        <v>JATUH KEPELESET</v>
      </c>
      <c r="T1022" s="97" t="s">
        <v>59</v>
      </c>
      <c r="U1022" s="105">
        <v>7.0</v>
      </c>
      <c r="V1022" s="101"/>
      <c r="W1022" s="106" t="b">
        <v>1</v>
      </c>
      <c r="X1022" s="107"/>
      <c r="Y1022" s="108"/>
    </row>
    <row r="1023" ht="22.5" customHeight="1">
      <c r="A1023" s="96"/>
      <c r="B1023" s="97" t="s">
        <v>53</v>
      </c>
      <c r="C1023" s="98" t="str">
        <f t="array" ref="C1023">IFNA(XLOOKUP(J1023,'⚙️ Pengaturan'!$H$5:$H1508,'⚙️ Pengaturan'!$I$5:$I1508),"")</f>
        <v>TIM Y</v>
      </c>
      <c r="D1023" s="97" t="s">
        <v>54</v>
      </c>
      <c r="E1023" s="99">
        <v>45992.0</v>
      </c>
      <c r="F1023" s="100" t="str">
        <f t="shared" si="1"/>
        <v>2025</v>
      </c>
      <c r="G1023" s="100" t="str">
        <f t="shared" si="2"/>
        <v>12Des</v>
      </c>
      <c r="H1023" s="100" t="str">
        <f t="shared" si="3"/>
        <v>Senin</v>
      </c>
      <c r="I1023" s="97" t="s">
        <v>65</v>
      </c>
      <c r="J1023" s="97" t="s">
        <v>88</v>
      </c>
      <c r="K1023" s="97" t="s">
        <v>69</v>
      </c>
      <c r="L1023" s="101" t="s">
        <v>588</v>
      </c>
      <c r="M1023" s="102" t="str">
        <f>IFNA(VLOOKUP(L1023,'🙎‍♂️ Pasien'!G:V,2,FALSE),"")</f>
        <v>A9125115541</v>
      </c>
      <c r="N1023" s="103">
        <f>IFNA(VLOOKUP(L1023,'🙎‍♂️ Pasien'!G:L,3,FALSE),"")</f>
        <v>35</v>
      </c>
      <c r="O1023" s="104" t="str">
        <f>IFNA(VLOOKUP(L1023,'🙎‍♂️ Pasien'!G:V,6,FALSE),"")</f>
        <v>LAKI-LAKI</v>
      </c>
      <c r="P1023" s="104" t="str">
        <f>IFNA(VLOOKUP(L1023,'🙎‍♂️ Pasien'!G:V,12,FALSE),"")</f>
        <v>KHONGHUCU</v>
      </c>
      <c r="Q1023" s="104" t="str">
        <f>IFNA(VLOOKUP(L1023:L1508,'🙎‍♂️ Pasien'!G:V,13,FALSE),"")</f>
        <v>WIRASWASTA</v>
      </c>
      <c r="R1023" s="104" t="str">
        <f t="array" ref="R1023">ifna(xlookup(L1023,'🙎‍♂️ Pasien'!$G$5:$G1508,'🙎‍♂️ Pasien'!$T$5:$T1508),"")</f>
        <v>SAKIT DIBAGIAN LUTUT(SAMPING KANAN)</v>
      </c>
      <c r="S1023" s="104" t="str">
        <f t="array" ref="S1023">ifna(xlookup(L1023,'🙎‍♂️ Pasien'!$G$5:$G1508,'🙎‍♂️ Pasien'!$U$5:$U1508),"")</f>
        <v>LARI DAN GYM</v>
      </c>
      <c r="T1023" s="97" t="s">
        <v>59</v>
      </c>
      <c r="U1023" s="105" t="s">
        <v>60</v>
      </c>
      <c r="V1023" s="101"/>
      <c r="W1023" s="106" t="b">
        <v>1</v>
      </c>
      <c r="X1023" s="107"/>
      <c r="Y1023" s="108"/>
    </row>
    <row r="1024" ht="22.5" customHeight="1">
      <c r="A1024" s="96"/>
      <c r="B1024" s="97" t="s">
        <v>53</v>
      </c>
      <c r="C1024" s="98" t="str">
        <f t="array" ref="C1024">IFNA(XLOOKUP(J1024,'⚙️ Pengaturan'!$H$5:$H1508,'⚙️ Pengaturan'!$I$5:$I1508),"")</f>
        <v>TIM Y</v>
      </c>
      <c r="D1024" s="97" t="s">
        <v>54</v>
      </c>
      <c r="E1024" s="99">
        <v>45992.0</v>
      </c>
      <c r="F1024" s="100" t="str">
        <f t="shared" si="1"/>
        <v>2025</v>
      </c>
      <c r="G1024" s="100" t="str">
        <f t="shared" si="2"/>
        <v>12Des</v>
      </c>
      <c r="H1024" s="100" t="str">
        <f t="shared" si="3"/>
        <v>Senin</v>
      </c>
      <c r="I1024" s="97" t="s">
        <v>65</v>
      </c>
      <c r="J1024" s="97" t="s">
        <v>91</v>
      </c>
      <c r="K1024" s="97" t="s">
        <v>57</v>
      </c>
      <c r="L1024" s="101" t="s">
        <v>621</v>
      </c>
      <c r="M1024" s="102" t="str">
        <f>IFNA(VLOOKUP(L1024,'🙎‍♂️ Pasien'!G:V,2,FALSE),"")</f>
        <v>N0725085070</v>
      </c>
      <c r="N1024" s="103">
        <f>IFNA(VLOOKUP(L1024,'🙎‍♂️ Pasien'!G:L,3,FALSE),"")</f>
        <v>18</v>
      </c>
      <c r="O1024" s="104" t="str">
        <f>IFNA(VLOOKUP(L1024,'🙎‍♂️ Pasien'!G:V,6,FALSE),"")</f>
        <v>PEREMPUAN</v>
      </c>
      <c r="P1024" s="104" t="str">
        <f>IFNA(VLOOKUP(L1024,'🙎‍♂️ Pasien'!G:V,12,FALSE),"")</f>
        <v>BUDDHA</v>
      </c>
      <c r="Q1024" s="104" t="str">
        <f>IFNA(VLOOKUP(L1024:L1508,'🙎‍♂️ Pasien'!G:V,13,FALSE),"")</f>
        <v>PELAJAR</v>
      </c>
      <c r="R1024" s="104" t="str">
        <f t="array" ref="R1024">ifna(xlookup(L1024,'🙎‍♂️ Pasien'!$G$5:$G1508,'🙎‍♂️ Pasien'!$T$5:$T1508),"")</f>
        <v>SKOLIOSIS</v>
      </c>
      <c r="S1024" s="104" t="str">
        <f t="array" ref="S1024">ifna(xlookup(L1024,'🙎‍♂️ Pasien'!$G$5:$G1508,'🙎‍♂️ Pasien'!$U$5:$U1508),"")</f>
        <v>MELUKIS</v>
      </c>
      <c r="T1024" s="97" t="s">
        <v>59</v>
      </c>
      <c r="U1024" s="105" t="s">
        <v>60</v>
      </c>
      <c r="V1024" s="101"/>
      <c r="W1024" s="106" t="b">
        <v>1</v>
      </c>
      <c r="X1024" s="107"/>
      <c r="Y1024" s="108"/>
    </row>
    <row r="1025" ht="22.5" customHeight="1">
      <c r="A1025" s="96"/>
      <c r="B1025" s="97" t="s">
        <v>53</v>
      </c>
      <c r="C1025" s="98" t="str">
        <f t="array" ref="C1025">IFNA(XLOOKUP(J1025,'⚙️ Pengaturan'!$H$5:$H1508,'⚙️ Pengaturan'!$I$5:$I1508),"")</f>
        <v>MANAJEMEN</v>
      </c>
      <c r="D1025" s="97" t="s">
        <v>54</v>
      </c>
      <c r="E1025" s="99">
        <v>45992.0</v>
      </c>
      <c r="F1025" s="100" t="str">
        <f t="shared" si="1"/>
        <v>2025</v>
      </c>
      <c r="G1025" s="100" t="str">
        <f t="shared" si="2"/>
        <v>12Des</v>
      </c>
      <c r="H1025" s="100" t="str">
        <f t="shared" si="3"/>
        <v>Senin</v>
      </c>
      <c r="I1025" s="97" t="s">
        <v>65</v>
      </c>
      <c r="J1025" s="97" t="s">
        <v>101</v>
      </c>
      <c r="K1025" s="97" t="s">
        <v>63</v>
      </c>
      <c r="L1025" s="101" t="s">
        <v>503</v>
      </c>
      <c r="M1025" s="102" t="str">
        <f>IFNA(VLOOKUP(L1025,'🙎‍♂️ Pasien'!G:V,2,FALSE),"")</f>
        <v/>
      </c>
      <c r="N1025" s="103" t="str">
        <f>IFNA(VLOOKUP(L1025,'🙎‍♂️ Pasien'!G:L,3,FALSE),"")</f>
        <v/>
      </c>
      <c r="O1025" s="104" t="str">
        <f>IFNA(VLOOKUP(L1025,'🙎‍♂️ Pasien'!G:V,6,FALSE),"")</f>
        <v/>
      </c>
      <c r="P1025" s="104" t="str">
        <f>IFNA(VLOOKUP(L1025,'🙎‍♂️ Pasien'!G:V,12,FALSE),"")</f>
        <v/>
      </c>
      <c r="Q1025" s="104" t="str">
        <f>IFNA(VLOOKUP(L1025:L1508,'🙎‍♂️ Pasien'!G:V,13,FALSE),"")</f>
        <v/>
      </c>
      <c r="R1025" s="104" t="str">
        <f t="array" ref="R1025">ifna(xlookup(L1025,'🙎‍♂️ Pasien'!$G$5:$G1508,'🙎‍♂️ Pasien'!$T$5:$T1508),"")</f>
        <v/>
      </c>
      <c r="S1025" s="104" t="str">
        <f t="array" ref="S1025">ifna(xlookup(L1025,'🙎‍♂️ Pasien'!$G$5:$G1508,'🙎‍♂️ Pasien'!$U$5:$U1508),"")</f>
        <v/>
      </c>
      <c r="T1025" s="97" t="s">
        <v>59</v>
      </c>
      <c r="U1025" s="105">
        <v>3.0</v>
      </c>
      <c r="V1025" s="101"/>
      <c r="W1025" s="106" t="b">
        <v>1</v>
      </c>
      <c r="X1025" s="107"/>
      <c r="Y1025" s="108"/>
    </row>
    <row r="1026" ht="22.5" customHeight="1">
      <c r="A1026" s="96"/>
      <c r="B1026" s="97" t="s">
        <v>53</v>
      </c>
      <c r="C1026" s="98" t="str">
        <f t="array" ref="C1026">IFNA(XLOOKUP(J1026,'⚙️ Pengaturan'!$H$5:$H1508,'⚙️ Pengaturan'!$I$5:$I1508),"")</f>
        <v>TIM Y</v>
      </c>
      <c r="D1026" s="97" t="s">
        <v>54</v>
      </c>
      <c r="E1026" s="99">
        <v>45992.0</v>
      </c>
      <c r="F1026" s="100" t="str">
        <f t="shared" si="1"/>
        <v>2025</v>
      </c>
      <c r="G1026" s="100" t="str">
        <f t="shared" si="2"/>
        <v>12Des</v>
      </c>
      <c r="H1026" s="100" t="str">
        <f t="shared" si="3"/>
        <v>Senin</v>
      </c>
      <c r="I1026" s="97" t="s">
        <v>74</v>
      </c>
      <c r="J1026" s="97" t="s">
        <v>107</v>
      </c>
      <c r="K1026" s="97" t="s">
        <v>63</v>
      </c>
      <c r="L1026" s="101" t="s">
        <v>543</v>
      </c>
      <c r="M1026" s="102" t="str">
        <f>IFNA(VLOOKUP(L1026,'🙎‍♂️ Pasien'!G:V,2,FALSE),"")</f>
        <v>A8725115557</v>
      </c>
      <c r="N1026" s="103">
        <f>IFNA(VLOOKUP(L1026,'🙎‍♂️ Pasien'!G:L,3,FALSE),"")</f>
        <v>38</v>
      </c>
      <c r="O1026" s="104" t="str">
        <f>IFNA(VLOOKUP(L1026,'🙎‍♂️ Pasien'!G:V,6,FALSE),"")</f>
        <v>PEREMPUAN</v>
      </c>
      <c r="P1026" s="104" t="str">
        <f>IFNA(VLOOKUP(L1026,'🙎‍♂️ Pasien'!G:V,12,FALSE),"")</f>
        <v>ISLAM</v>
      </c>
      <c r="Q1026" s="104" t="str">
        <f>IFNA(VLOOKUP(L1026:L1508,'🙎‍♂️ Pasien'!G:V,13,FALSE),"")</f>
        <v>KARYAWAN SWASTA</v>
      </c>
      <c r="R1026" s="104" t="str">
        <f t="array" ref="R1026">ifna(xlookup(L1026,'🙎‍♂️ Pasien'!$G$5:$G1508,'🙎‍♂️ Pasien'!$T$5:$T1508),"")</f>
        <v>NYERI SAAT NARIK NAFAS DAN BERGERAK AREA RUSUK DEPAN HINGGA BELAKANG SEBELAH KANAN</v>
      </c>
      <c r="S1026" s="104" t="str">
        <f t="array" ref="S1026">ifna(xlookup(L1026,'🙎‍♂️ Pasien'!$G$5:$G1508,'🙎‍♂️ Pasien'!$U$5:$U1508),"")</f>
        <v>SAAT INI SEDANG BATUK, OLAHRAGA THREADMIL DAN BULU TANGKIS BEBERAPA WAKTU INI</v>
      </c>
      <c r="T1026" s="97" t="s">
        <v>59</v>
      </c>
      <c r="U1026" s="105">
        <v>3.0</v>
      </c>
      <c r="V1026" s="101"/>
      <c r="W1026" s="106" t="b">
        <v>1</v>
      </c>
      <c r="X1026" s="107"/>
      <c r="Y1026" s="108"/>
    </row>
    <row r="1027" ht="22.5" customHeight="1">
      <c r="A1027" s="96"/>
      <c r="B1027" s="97" t="s">
        <v>53</v>
      </c>
      <c r="C1027" s="98" t="str">
        <f t="array" ref="C1027">IFNA(XLOOKUP(J1027,'⚙️ Pengaturan'!$H$5:$H1508,'⚙️ Pengaturan'!$I$5:$I1508),"")</f>
        <v>TIM Y</v>
      </c>
      <c r="D1027" s="97" t="s">
        <v>54</v>
      </c>
      <c r="E1027" s="99">
        <v>45992.0</v>
      </c>
      <c r="F1027" s="100" t="str">
        <f t="shared" si="1"/>
        <v>2025</v>
      </c>
      <c r="G1027" s="100" t="str">
        <f t="shared" si="2"/>
        <v>12Des</v>
      </c>
      <c r="H1027" s="100" t="str">
        <f t="shared" si="3"/>
        <v>Senin</v>
      </c>
      <c r="I1027" s="97" t="s">
        <v>74</v>
      </c>
      <c r="J1027" s="97" t="s">
        <v>91</v>
      </c>
      <c r="K1027" s="97" t="s">
        <v>57</v>
      </c>
      <c r="L1027" s="101" t="s">
        <v>622</v>
      </c>
      <c r="M1027" s="102" t="str">
        <f>IFNA(VLOOKUP(L1027,'🙎‍♂️ Pasien'!G:V,2,FALSE),"")</f>
        <v>S2525120816</v>
      </c>
      <c r="N1027" s="103">
        <f>IFNA(VLOOKUP(L1027,'🙎‍♂️ Pasien'!G:L,3,FALSE),"")</f>
        <v>0</v>
      </c>
      <c r="O1027" s="104" t="str">
        <f>IFNA(VLOOKUP(L1027,'🙎‍♂️ Pasien'!G:V,6,FALSE),"")</f>
        <v>PEREMPUAN</v>
      </c>
      <c r="P1027" s="104" t="str">
        <f>IFNA(VLOOKUP(L1027,'🙎‍♂️ Pasien'!G:V,12,FALSE),"")</f>
        <v>KHONGHUCU</v>
      </c>
      <c r="Q1027" s="104" t="str">
        <f>IFNA(VLOOKUP(L1027:L1508,'🙎‍♂️ Pasien'!G:V,13,FALSE),"")</f>
        <v>IRT</v>
      </c>
      <c r="R1027" s="104" t="str">
        <f t="array" ref="R1027">ifna(xlookup(L1027,'🙎‍♂️ Pasien'!$G$5:$G1508,'🙎‍♂️ Pasien'!$T$5:$T1508),"")</f>
        <v>PUNDAK,PANGGUL PEGAL</v>
      </c>
      <c r="S1027" s="104" t="str">
        <f t="array" ref="S1027">ifna(xlookup(L1027,'🙎‍♂️ Pasien'!$G$5:$G1508,'🙎‍♂️ Pasien'!$U$5:$U1508),"")</f>
        <v>SERING ANGKAT BERAT</v>
      </c>
      <c r="T1027" s="97" t="s">
        <v>59</v>
      </c>
      <c r="U1027" s="105" t="s">
        <v>60</v>
      </c>
      <c r="V1027" s="101"/>
      <c r="W1027" s="106" t="b">
        <v>1</v>
      </c>
      <c r="X1027" s="107"/>
      <c r="Y1027" s="108"/>
    </row>
    <row r="1028" ht="22.5" customHeight="1">
      <c r="A1028" s="96"/>
      <c r="B1028" s="97" t="s">
        <v>53</v>
      </c>
      <c r="C1028" s="98" t="str">
        <f t="array" ref="C1028">IFNA(XLOOKUP(J1028,'⚙️ Pengaturan'!$H$5:$H1508,'⚙️ Pengaturan'!$I$5:$I1508),"")</f>
        <v>MANAJEMEN</v>
      </c>
      <c r="D1028" s="97" t="s">
        <v>54</v>
      </c>
      <c r="E1028" s="99">
        <v>45992.0</v>
      </c>
      <c r="F1028" s="100" t="str">
        <f t="shared" si="1"/>
        <v>2025</v>
      </c>
      <c r="G1028" s="100" t="str">
        <f t="shared" si="2"/>
        <v>12Des</v>
      </c>
      <c r="H1028" s="100" t="str">
        <f t="shared" si="3"/>
        <v>Senin</v>
      </c>
      <c r="I1028" s="97" t="s">
        <v>76</v>
      </c>
      <c r="J1028" s="97" t="s">
        <v>101</v>
      </c>
      <c r="K1028" s="97" t="s">
        <v>63</v>
      </c>
      <c r="L1028" s="101" t="s">
        <v>161</v>
      </c>
      <c r="M1028" s="102" t="str">
        <f>IFNA(VLOOKUP(L1028,'🙎‍♂️ Pasien'!G:V,2,FALSE),"")</f>
        <v>A9224038209</v>
      </c>
      <c r="N1028" s="103">
        <f>IFNA(VLOOKUP(L1028,'🙎‍♂️ Pasien'!G:L,3,FALSE),"")</f>
        <v>33</v>
      </c>
      <c r="O1028" s="104" t="str">
        <f>IFNA(VLOOKUP(L1028,'🙎‍♂️ Pasien'!G:V,6,FALSE),"")</f>
        <v>PEREMPUAN</v>
      </c>
      <c r="P1028" s="104" t="str">
        <f>IFNA(VLOOKUP(L1028,'🙎‍♂️ Pasien'!G:V,12,FALSE),"")</f>
        <v>KATOLIK</v>
      </c>
      <c r="Q1028" s="104" t="str">
        <f>IFNA(VLOOKUP(L1028:L1508,'🙎‍♂️ Pasien'!G:V,13,FALSE),"")</f>
        <v>SWASTA</v>
      </c>
      <c r="R1028" s="104" t="str">
        <f t="array" ref="R1028">ifna(xlookup(L1028,'🙎‍♂️ Pasien'!$G$5:$G1508,'🙎‍♂️ Pasien'!$T$5:$T1508),"")</f>
        <v>Kaki kiri sakit, bahu dan punggung kiri sakit, leher agak bungkuk</v>
      </c>
      <c r="S1028" s="104" t="str">
        <f t="array" ref="S1028">ifna(xlookup(L1028,'🙎‍♂️ Pasien'!$G$5:$G1508,'🙎‍♂️ Pasien'!$U$5:$U1508),"")</f>
        <v>Olahraga, kerja, dan mengurus anak</v>
      </c>
      <c r="T1028" s="97" t="s">
        <v>59</v>
      </c>
      <c r="U1028" s="105">
        <v>2.0</v>
      </c>
      <c r="V1028" s="101"/>
      <c r="W1028" s="106" t="b">
        <v>1</v>
      </c>
      <c r="X1028" s="107"/>
      <c r="Y1028" s="108"/>
    </row>
    <row r="1029" ht="22.5" customHeight="1">
      <c r="A1029" s="96"/>
      <c r="B1029" s="97" t="s">
        <v>53</v>
      </c>
      <c r="C1029" s="98" t="str">
        <f t="array" ref="C1029">IFNA(XLOOKUP(J1029,'⚙️ Pengaturan'!$H$5:$H1508,'⚙️ Pengaturan'!$I$5:$I1508),"")</f>
        <v>TIM Y</v>
      </c>
      <c r="D1029" s="97" t="s">
        <v>54</v>
      </c>
      <c r="E1029" s="99">
        <v>45992.0</v>
      </c>
      <c r="F1029" s="100" t="str">
        <f t="shared" si="1"/>
        <v>2025</v>
      </c>
      <c r="G1029" s="100" t="str">
        <f t="shared" si="2"/>
        <v>12Des</v>
      </c>
      <c r="H1029" s="100" t="str">
        <f t="shared" si="3"/>
        <v>Senin</v>
      </c>
      <c r="I1029" s="97" t="s">
        <v>76</v>
      </c>
      <c r="J1029" s="97" t="s">
        <v>107</v>
      </c>
      <c r="K1029" s="97" t="s">
        <v>63</v>
      </c>
      <c r="L1029" s="101" t="s">
        <v>573</v>
      </c>
      <c r="M1029" s="102" t="str">
        <f>IFNA(VLOOKUP(L1029,'🙎‍♂️ Pasien'!G:V,2,FALSE),"")</f>
        <v>D0725113899</v>
      </c>
      <c r="N1029" s="103">
        <f>IFNA(VLOOKUP(L1029,'🙎‍♂️ Pasien'!G:L,3,FALSE),"")</f>
        <v>18</v>
      </c>
      <c r="O1029" s="104" t="str">
        <f>IFNA(VLOOKUP(L1029,'🙎‍♂️ Pasien'!G:V,6,FALSE),"")</f>
        <v>PEREMPUAN</v>
      </c>
      <c r="P1029" s="104" t="str">
        <f>IFNA(VLOOKUP(L1029,'🙎‍♂️ Pasien'!G:V,12,FALSE),"")</f>
        <v>PROTESTAN</v>
      </c>
      <c r="Q1029" s="104" t="str">
        <f>IFNA(VLOOKUP(L1029:L1508,'🙎‍♂️ Pasien'!G:V,13,FALSE),"")</f>
        <v>MAHASISWA</v>
      </c>
      <c r="R1029" s="104" t="str">
        <f t="array" ref="R1029">ifna(xlookup(L1029,'🙎‍♂️ Pasien'!$G$5:$G1508,'🙎‍♂️ Pasien'!$T$5:$T1508),"")</f>
        <v>KAKI X</v>
      </c>
      <c r="S1029" s="104" t="str">
        <f t="array" ref="S1029">ifna(xlookup(L1029,'🙎‍♂️ Pasien'!$G$5:$G1508,'🙎‍♂️ Pasien'!$U$5:$U1508),"")</f>
        <v>LARI</v>
      </c>
      <c r="T1029" s="97" t="s">
        <v>67</v>
      </c>
      <c r="U1029" s="105">
        <v>3.0</v>
      </c>
      <c r="V1029" s="101" t="s">
        <v>195</v>
      </c>
      <c r="W1029" s="106" t="b">
        <v>1</v>
      </c>
      <c r="X1029" s="107"/>
      <c r="Y1029" s="108"/>
    </row>
    <row r="1030" ht="22.5" customHeight="1">
      <c r="A1030" s="96"/>
      <c r="B1030" s="97" t="s">
        <v>53</v>
      </c>
      <c r="C1030" s="98" t="str">
        <f t="array" ref="C1030">IFNA(XLOOKUP(J1030,'⚙️ Pengaturan'!$H$5:$H1508,'⚙️ Pengaturan'!$I$5:$I1508),"")</f>
        <v>TIM Y</v>
      </c>
      <c r="D1030" s="97" t="s">
        <v>54</v>
      </c>
      <c r="E1030" s="99">
        <v>45992.0</v>
      </c>
      <c r="F1030" s="100" t="str">
        <f t="shared" si="1"/>
        <v>2025</v>
      </c>
      <c r="G1030" s="100" t="str">
        <f t="shared" si="2"/>
        <v>12Des</v>
      </c>
      <c r="H1030" s="100" t="str">
        <f t="shared" si="3"/>
        <v>Senin</v>
      </c>
      <c r="I1030" s="97" t="s">
        <v>76</v>
      </c>
      <c r="J1030" s="97" t="s">
        <v>91</v>
      </c>
      <c r="K1030" s="97" t="s">
        <v>57</v>
      </c>
      <c r="L1030" s="101" t="s">
        <v>623</v>
      </c>
      <c r="M1030" s="102" t="str">
        <f>IFNA(VLOOKUP(L1030,'🙎‍♂️ Pasien'!G:V,2,FALSE),"")</f>
        <v>E9225127347</v>
      </c>
      <c r="N1030" s="103">
        <f>IFNA(VLOOKUP(L1030,'🙎‍♂️ Pasien'!G:L,3,FALSE),"")</f>
        <v>34</v>
      </c>
      <c r="O1030" s="104" t="str">
        <f>IFNA(VLOOKUP(L1030,'🙎‍♂️ Pasien'!G:V,6,FALSE),"")</f>
        <v>PEREMPUAN</v>
      </c>
      <c r="P1030" s="104" t="str">
        <f>IFNA(VLOOKUP(L1030,'🙎‍♂️ Pasien'!G:V,12,FALSE),"")</f>
        <v>KATOLIK</v>
      </c>
      <c r="Q1030" s="104" t="str">
        <f>IFNA(VLOOKUP(L1030:L1508,'🙎‍♂️ Pasien'!G:V,13,FALSE),"")</f>
        <v>P3K</v>
      </c>
      <c r="R1030" s="104" t="str">
        <f t="array" ref="R1030">ifna(xlookup(L1030,'🙎‍♂️ Pasien'!$G$5:$G1508,'🙎‍♂️ Pasien'!$T$5:$T1508),"")</f>
        <v>NYERI SENDI KAKI LUTUT TANGAN</v>
      </c>
      <c r="S1030" s="104" t="str">
        <f t="array" ref="S1030">ifna(xlookup(L1030,'🙎‍♂️ Pasien'!$G$5:$G1508,'🙎‍♂️ Pasien'!$U$5:$U1508),"")</f>
        <v>SERING MENGGUNAKAN SEPEDA MOTOR</v>
      </c>
      <c r="T1030" s="97" t="s">
        <v>59</v>
      </c>
      <c r="U1030" s="105" t="s">
        <v>60</v>
      </c>
      <c r="V1030" s="101"/>
      <c r="W1030" s="106" t="b">
        <v>1</v>
      </c>
      <c r="X1030" s="107"/>
      <c r="Y1030" s="108"/>
    </row>
    <row r="1031" ht="22.5" customHeight="1">
      <c r="A1031" s="96"/>
      <c r="B1031" s="97" t="s">
        <v>53</v>
      </c>
      <c r="C1031" s="98" t="str">
        <f t="array" ref="C1031">IFNA(XLOOKUP(J1031,'⚙️ Pengaturan'!$H$5:$H1508,'⚙️ Pengaturan'!$I$5:$I1508),"")</f>
        <v>TIM Y</v>
      </c>
      <c r="D1031" s="97" t="s">
        <v>54</v>
      </c>
      <c r="E1031" s="99">
        <v>45992.0</v>
      </c>
      <c r="F1031" s="100" t="str">
        <f t="shared" si="1"/>
        <v>2025</v>
      </c>
      <c r="G1031" s="100" t="str">
        <f t="shared" si="2"/>
        <v>12Des</v>
      </c>
      <c r="H1031" s="100" t="str">
        <f t="shared" si="3"/>
        <v>Senin</v>
      </c>
      <c r="I1031" s="97" t="s">
        <v>83</v>
      </c>
      <c r="J1031" s="97" t="s">
        <v>88</v>
      </c>
      <c r="K1031" s="97" t="s">
        <v>63</v>
      </c>
      <c r="L1031" s="101" t="s">
        <v>548</v>
      </c>
      <c r="M1031" s="102" t="str">
        <f>IFNA(VLOOKUP(L1031,'🙎‍♂️ Pasien'!G:V,2,FALSE),"")</f>
        <v>C0525115291</v>
      </c>
      <c r="N1031" s="103">
        <f>IFNA(VLOOKUP(L1031,'🙎‍♂️ Pasien'!G:L,3,FALSE),"")</f>
        <v>20</v>
      </c>
      <c r="O1031" s="104" t="str">
        <f>IFNA(VLOOKUP(L1031,'🙎‍♂️ Pasien'!G:V,6,FALSE),"")</f>
        <v>LAKI-LAKI</v>
      </c>
      <c r="P1031" s="104" t="str">
        <f>IFNA(VLOOKUP(L1031,'🙎‍♂️ Pasien'!G:V,12,FALSE),"")</f>
        <v>KATOLIK</v>
      </c>
      <c r="Q1031" s="104" t="str">
        <f>IFNA(VLOOKUP(L1031:L1508,'🙎‍♂️ Pasien'!G:V,13,FALSE),"")</f>
        <v>-</v>
      </c>
      <c r="R1031" s="104" t="str">
        <f t="array" ref="R1031">ifna(xlookup(L1031,'🙎‍♂️ Pasien'!$G$5:$G1508,'🙎‍♂️ Pasien'!$T$5:$T1508),"")</f>
        <v>LUTUT (TERAKHIR CEK DISINI DI BILANG NYA ADA KEMUNGKINAN ACL 2022)</v>
      </c>
      <c r="S1031" s="104" t="str">
        <f t="array" ref="S1031">ifna(xlookup(L1031,'🙎‍♂️ Pasien'!$G$5:$G1508,'🙎‍♂️ Pasien'!$U$5:$U1508),"")</f>
        <v>BASKET, BADMINTON</v>
      </c>
      <c r="T1031" s="97" t="s">
        <v>59</v>
      </c>
      <c r="U1031" s="105">
        <v>3.0</v>
      </c>
      <c r="V1031" s="101"/>
      <c r="W1031" s="106" t="b">
        <v>1</v>
      </c>
      <c r="X1031" s="107"/>
      <c r="Y1031" s="108"/>
    </row>
    <row r="1032" ht="22.5" customHeight="1">
      <c r="A1032" s="96"/>
      <c r="B1032" s="97" t="s">
        <v>85</v>
      </c>
      <c r="C1032" s="98" t="str">
        <f t="array" ref="C1032">IFNA(XLOOKUP(J1032,'⚙️ Pengaturan'!$H$5:$H1508,'⚙️ Pengaturan'!$I$5:$I1508),"")</f>
        <v>TIM A</v>
      </c>
      <c r="D1032" s="97" t="s">
        <v>86</v>
      </c>
      <c r="E1032" s="99">
        <v>45992.0</v>
      </c>
      <c r="F1032" s="100" t="str">
        <f t="shared" si="1"/>
        <v>2025</v>
      </c>
      <c r="G1032" s="100" t="str">
        <f t="shared" si="2"/>
        <v>12Des</v>
      </c>
      <c r="H1032" s="100" t="str">
        <f t="shared" si="3"/>
        <v>Senin</v>
      </c>
      <c r="I1032" s="97" t="s">
        <v>87</v>
      </c>
      <c r="J1032" s="97" t="s">
        <v>72</v>
      </c>
      <c r="K1032" s="97" t="s">
        <v>63</v>
      </c>
      <c r="L1032" s="101" t="s">
        <v>573</v>
      </c>
      <c r="M1032" s="102" t="str">
        <f>IFNA(VLOOKUP(L1032,'🙎‍♂️ Pasien'!G:V,2,FALSE),"")</f>
        <v>D0725113899</v>
      </c>
      <c r="N1032" s="103">
        <f>IFNA(VLOOKUP(L1032,'🙎‍♂️ Pasien'!G:L,3,FALSE),"")</f>
        <v>18</v>
      </c>
      <c r="O1032" s="104" t="str">
        <f>IFNA(VLOOKUP(L1032,'🙎‍♂️ Pasien'!G:V,6,FALSE),"")</f>
        <v>PEREMPUAN</v>
      </c>
      <c r="P1032" s="104" t="str">
        <f>IFNA(VLOOKUP(L1032,'🙎‍♂️ Pasien'!G:V,12,FALSE),"")</f>
        <v>PROTESTAN</v>
      </c>
      <c r="Q1032" s="104" t="str">
        <f>IFNA(VLOOKUP(L1032:L1508,'🙎‍♂️ Pasien'!G:V,13,FALSE),"")</f>
        <v>MAHASISWA</v>
      </c>
      <c r="R1032" s="104" t="str">
        <f t="array" ref="R1032">ifna(xlookup(L1032,'🙎‍♂️ Pasien'!$G$5:$G1508,'🙎‍♂️ Pasien'!$T$5:$T1508),"")</f>
        <v>KAKI X</v>
      </c>
      <c r="S1032" s="104" t="str">
        <f t="array" ref="S1032">ifna(xlookup(L1032,'🙎‍♂️ Pasien'!$G$5:$G1508,'🙎‍♂️ Pasien'!$U$5:$U1508),"")</f>
        <v>LARI</v>
      </c>
      <c r="T1032" s="97" t="s">
        <v>59</v>
      </c>
      <c r="U1032" s="105">
        <v>3.0</v>
      </c>
      <c r="V1032" s="101"/>
      <c r="W1032" s="106" t="b">
        <v>1</v>
      </c>
      <c r="X1032" s="107"/>
      <c r="Y1032" s="108"/>
    </row>
    <row r="1033" ht="22.5" customHeight="1">
      <c r="A1033" s="96"/>
      <c r="B1033" s="97" t="s">
        <v>85</v>
      </c>
      <c r="C1033" s="98" t="str">
        <f t="array" ref="C1033">IFNA(XLOOKUP(J1033,'⚙️ Pengaturan'!$H$5:$H1508,'⚙️ Pengaturan'!$I$5:$I1508),"")</f>
        <v>TIM A</v>
      </c>
      <c r="D1033" s="97" t="s">
        <v>86</v>
      </c>
      <c r="E1033" s="99">
        <v>45992.0</v>
      </c>
      <c r="F1033" s="100" t="str">
        <f t="shared" si="1"/>
        <v>2025</v>
      </c>
      <c r="G1033" s="100" t="str">
        <f t="shared" si="2"/>
        <v>12Des</v>
      </c>
      <c r="H1033" s="100" t="str">
        <f t="shared" si="3"/>
        <v>Senin</v>
      </c>
      <c r="I1033" s="97" t="s">
        <v>87</v>
      </c>
      <c r="J1033" s="97" t="s">
        <v>72</v>
      </c>
      <c r="K1033" s="97" t="s">
        <v>57</v>
      </c>
      <c r="L1033" s="101" t="s">
        <v>624</v>
      </c>
      <c r="M1033" s="102" t="str">
        <f>IFNA(VLOOKUP(L1033,'🙎‍♂️ Pasien'!G:V,2,FALSE),"")</f>
        <v>M0525128789</v>
      </c>
      <c r="N1033" s="103">
        <f>IFNA(VLOOKUP(L1033,'🙎‍♂️ Pasien'!G:L,3,FALSE),"")</f>
        <v>21</v>
      </c>
      <c r="O1033" s="104" t="str">
        <f>IFNA(VLOOKUP(L1033,'🙎‍♂️ Pasien'!G:V,6,FALSE),"")</f>
        <v>PEREMPUAN</v>
      </c>
      <c r="P1033" s="104" t="str">
        <f>IFNA(VLOOKUP(L1033,'🙎‍♂️ Pasien'!G:V,12,FALSE),"")</f>
        <v>ISLAM</v>
      </c>
      <c r="Q1033" s="104" t="str">
        <f>IFNA(VLOOKUP(L1033:L1508,'🙎‍♂️ Pasien'!G:V,13,FALSE),"")</f>
        <v>MAHASISWA</v>
      </c>
      <c r="R1033" s="104" t="str">
        <f t="array" ref="R1033">ifna(xlookup(L1033,'🙎‍♂️ Pasien'!$G$5:$G1508,'🙎‍♂️ Pasien'!$T$5:$T1508),"")</f>
        <v>LUTUT SEPERTI TERKUNCI</v>
      </c>
      <c r="S1033" s="104" t="str">
        <f t="array" ref="S1033">ifna(xlookup(L1033,'🙎‍♂️ Pasien'!$G$5:$G1508,'🙎‍♂️ Pasien'!$U$5:$U1508),"")</f>
        <v>KULIAH</v>
      </c>
      <c r="T1033" s="97" t="s">
        <v>67</v>
      </c>
      <c r="U1033" s="105" t="s">
        <v>60</v>
      </c>
      <c r="V1033" s="101" t="s">
        <v>625</v>
      </c>
      <c r="W1033" s="106" t="b">
        <v>1</v>
      </c>
      <c r="X1033" s="107"/>
      <c r="Y1033" s="108"/>
    </row>
    <row r="1034" ht="22.5" customHeight="1">
      <c r="A1034" s="96"/>
      <c r="B1034" s="97" t="s">
        <v>85</v>
      </c>
      <c r="C1034" s="98" t="str">
        <f t="array" ref="C1034">IFNA(XLOOKUP(J1034,'⚙️ Pengaturan'!$H$5:$H1508,'⚙️ Pengaturan'!$I$5:$I1508),"")</f>
        <v>TIM A</v>
      </c>
      <c r="D1034" s="97" t="s">
        <v>86</v>
      </c>
      <c r="E1034" s="99">
        <v>45992.0</v>
      </c>
      <c r="F1034" s="100" t="str">
        <f t="shared" si="1"/>
        <v>2025</v>
      </c>
      <c r="G1034" s="100" t="str">
        <f t="shared" si="2"/>
        <v>12Des</v>
      </c>
      <c r="H1034" s="100" t="str">
        <f t="shared" si="3"/>
        <v>Senin</v>
      </c>
      <c r="I1034" s="97" t="s">
        <v>93</v>
      </c>
      <c r="J1034" s="97" t="s">
        <v>72</v>
      </c>
      <c r="K1034" s="97" t="s">
        <v>63</v>
      </c>
      <c r="L1034" s="101" t="s">
        <v>129</v>
      </c>
      <c r="M1034" s="102" t="str">
        <f>IFNA(VLOOKUP(L1034,'🙎‍♂️ Pasien'!G:V,2,FALSE),"")</f>
        <v>D1025091558</v>
      </c>
      <c r="N1034" s="103">
        <f>IFNA(VLOOKUP(L1034,'🙎‍♂️ Pasien'!G:L,3,FALSE),"")</f>
        <v>16</v>
      </c>
      <c r="O1034" s="104" t="str">
        <f>IFNA(VLOOKUP(L1034,'🙎‍♂️ Pasien'!G:V,6,FALSE),"")</f>
        <v>LAKI-LAKI</v>
      </c>
      <c r="P1034" s="104" t="str">
        <f>IFNA(VLOOKUP(L1034,'🙎‍♂️ Pasien'!G:V,12,FALSE),"")</f>
        <v>PROTESTAN</v>
      </c>
      <c r="Q1034" s="104" t="str">
        <f>IFNA(VLOOKUP(L1034:L1508,'🙎‍♂️ Pasien'!G:V,13,FALSE),"")</f>
        <v>MASI SEKOLAH</v>
      </c>
      <c r="R1034" s="104" t="str">
        <f t="array" ref="R1034">ifna(xlookup(L1034,'🙎‍♂️ Pasien'!$G$5:$G1508,'🙎‍♂️ Pasien'!$T$5:$T1508),"")</f>
        <v>SAKIT DI BAGIAN LUTUT</v>
      </c>
      <c r="S1034" s="104" t="str">
        <f t="array" ref="S1034">ifna(xlookup(L1034,'🙎‍♂️ Pasien'!$G$5:$G1508,'🙎‍♂️ Pasien'!$U$5:$U1508),"")</f>
        <v>BASKET</v>
      </c>
      <c r="T1034" s="97" t="s">
        <v>59</v>
      </c>
      <c r="U1034" s="105">
        <v>5.0</v>
      </c>
      <c r="V1034" s="101"/>
      <c r="W1034" s="106" t="b">
        <v>1</v>
      </c>
      <c r="X1034" s="107"/>
      <c r="Y1034" s="108"/>
    </row>
    <row r="1035" ht="22.5" customHeight="1">
      <c r="A1035" s="96"/>
      <c r="B1035" s="97" t="s">
        <v>85</v>
      </c>
      <c r="C1035" s="98" t="str">
        <f t="array" ref="C1035">IFNA(XLOOKUP(J1035,'⚙️ Pengaturan'!$H$5:$H1508,'⚙️ Pengaturan'!$I$5:$I1508),"")</f>
        <v>TIM A</v>
      </c>
      <c r="D1035" s="97" t="s">
        <v>86</v>
      </c>
      <c r="E1035" s="99">
        <v>45992.0</v>
      </c>
      <c r="F1035" s="100" t="str">
        <f t="shared" si="1"/>
        <v>2025</v>
      </c>
      <c r="G1035" s="100" t="str">
        <f t="shared" si="2"/>
        <v>12Des</v>
      </c>
      <c r="H1035" s="100" t="str">
        <f t="shared" si="3"/>
        <v>Senin</v>
      </c>
      <c r="I1035" s="97" t="s">
        <v>93</v>
      </c>
      <c r="J1035" s="97" t="s">
        <v>62</v>
      </c>
      <c r="K1035" s="97" t="s">
        <v>69</v>
      </c>
      <c r="L1035" s="101" t="s">
        <v>556</v>
      </c>
      <c r="M1035" s="102" t="str">
        <f>IFNA(VLOOKUP(L1035,'🙎‍♂️ Pasien'!G:V,2,FALSE),"")</f>
        <v>M0025117586</v>
      </c>
      <c r="N1035" s="103">
        <f>IFNA(VLOOKUP(L1035,'🙎‍♂️ Pasien'!G:L,3,FALSE),"")</f>
        <v>25</v>
      </c>
      <c r="O1035" s="104" t="str">
        <f>IFNA(VLOOKUP(L1035,'🙎‍♂️ Pasien'!G:V,6,FALSE),"")</f>
        <v>LAKI-LAKI</v>
      </c>
      <c r="P1035" s="104" t="str">
        <f>IFNA(VLOOKUP(L1035,'🙎‍♂️ Pasien'!G:V,12,FALSE),"")</f>
        <v>ISLAM</v>
      </c>
      <c r="Q1035" s="104" t="str">
        <f>IFNA(VLOOKUP(L1035:L1508,'🙎‍♂️ Pasien'!G:V,13,FALSE),"")</f>
        <v>WIRASWASTA</v>
      </c>
      <c r="R1035" s="104" t="str">
        <f t="array" ref="R1035">ifna(xlookup(L1035,'🙎‍♂️ Pasien'!$G$5:$G1508,'🙎‍♂️ Pasien'!$T$5:$T1508),"")</f>
        <v>KESEMUTAN TANGAN KIRI</v>
      </c>
      <c r="S1035" s="104" t="str">
        <f t="array" ref="S1035">ifna(xlookup(L1035,'🙎‍♂️ Pasien'!$G$5:$G1508,'🙎‍♂️ Pasien'!$U$5:$U1508),"")</f>
        <v>GYM</v>
      </c>
      <c r="T1035" s="97" t="s">
        <v>67</v>
      </c>
      <c r="U1035" s="105" t="s">
        <v>60</v>
      </c>
      <c r="V1035" s="101" t="s">
        <v>342</v>
      </c>
      <c r="W1035" s="106" t="b">
        <v>1</v>
      </c>
      <c r="X1035" s="107"/>
      <c r="Y1035" s="108"/>
    </row>
    <row r="1036" ht="22.5" customHeight="1">
      <c r="A1036" s="96"/>
      <c r="B1036" s="97" t="s">
        <v>85</v>
      </c>
      <c r="C1036" s="98" t="str">
        <f t="array" ref="C1036">IFNA(XLOOKUP(J1036,'⚙️ Pengaturan'!$H$5:$H1508,'⚙️ Pengaturan'!$I$5:$I1508),"")</f>
        <v>TIM A</v>
      </c>
      <c r="D1036" s="97" t="s">
        <v>86</v>
      </c>
      <c r="E1036" s="99">
        <v>45992.0</v>
      </c>
      <c r="F1036" s="100" t="str">
        <f t="shared" si="1"/>
        <v>2025</v>
      </c>
      <c r="G1036" s="100" t="str">
        <f t="shared" si="2"/>
        <v>12Des</v>
      </c>
      <c r="H1036" s="100" t="str">
        <f t="shared" si="3"/>
        <v>Senin</v>
      </c>
      <c r="I1036" s="97" t="s">
        <v>95</v>
      </c>
      <c r="J1036" s="97" t="s">
        <v>72</v>
      </c>
      <c r="K1036" s="97" t="s">
        <v>63</v>
      </c>
      <c r="L1036" s="101" t="s">
        <v>381</v>
      </c>
      <c r="M1036" s="102" t="str">
        <f>IFNA(VLOOKUP(L1036,'🙎‍♂️ Pasien'!G:V,2,FALSE),"")</f>
        <v>A9925105509</v>
      </c>
      <c r="N1036" s="103">
        <f>IFNA(VLOOKUP(L1036,'🙎‍♂️ Pasien'!G:L,3,FALSE),"")</f>
        <v>27</v>
      </c>
      <c r="O1036" s="104" t="str">
        <f>IFNA(VLOOKUP(L1036,'🙎‍♂️ Pasien'!G:V,6,FALSE),"")</f>
        <v>PEREMPUAN</v>
      </c>
      <c r="P1036" s="104" t="str">
        <f>IFNA(VLOOKUP(L1036,'🙎‍♂️ Pasien'!G:V,12,FALSE),"")</f>
        <v>BUDDHA</v>
      </c>
      <c r="Q1036" s="104" t="str">
        <f>IFNA(VLOOKUP(L1036:L1508,'🙎‍♂️ Pasien'!G:V,13,FALSE),"")</f>
        <v>WIRASWASTA</v>
      </c>
      <c r="R1036" s="104" t="str">
        <f t="array" ref="R1036">ifna(xlookup(L1036,'🙎‍♂️ Pasien'!$G$5:$G1508,'🙎‍♂️ Pasien'!$T$5:$T1508),"")</f>
        <v>KAKI BEKAS ANKLE SPRAIN SUDAH DITRE DAN BAHU PEGAL</v>
      </c>
      <c r="S1036" s="104" t="str">
        <f t="array" ref="S1036">ifna(xlookup(L1036,'🙎‍♂️ Pasien'!$G$5:$G1508,'🙎‍♂️ Pasien'!$U$5:$U1508),"")</f>
        <v>2 MINGGU LALU JATUH DARI KETINGGIAN</v>
      </c>
      <c r="T1036" s="97" t="s">
        <v>59</v>
      </c>
      <c r="U1036" s="105">
        <v>5.0</v>
      </c>
      <c r="V1036" s="101" t="s">
        <v>125</v>
      </c>
      <c r="W1036" s="106" t="b">
        <v>1</v>
      </c>
      <c r="X1036" s="107"/>
      <c r="Y1036" s="108"/>
    </row>
    <row r="1037" ht="22.5" customHeight="1">
      <c r="A1037" s="96"/>
      <c r="B1037" s="97" t="s">
        <v>85</v>
      </c>
      <c r="C1037" s="98" t="str">
        <f t="array" ref="C1037">IFNA(XLOOKUP(J1037,'⚙️ Pengaturan'!$H$5:$H1508,'⚙️ Pengaturan'!$I$5:$I1508),"")</f>
        <v>TIM Y</v>
      </c>
      <c r="D1037" s="97" t="s">
        <v>86</v>
      </c>
      <c r="E1037" s="99">
        <v>45992.0</v>
      </c>
      <c r="F1037" s="100" t="str">
        <f t="shared" si="1"/>
        <v>2025</v>
      </c>
      <c r="G1037" s="100" t="str">
        <f t="shared" si="2"/>
        <v>12Des</v>
      </c>
      <c r="H1037" s="100" t="str">
        <f t="shared" si="3"/>
        <v>Senin</v>
      </c>
      <c r="I1037" s="97" t="s">
        <v>95</v>
      </c>
      <c r="J1037" s="97" t="s">
        <v>56</v>
      </c>
      <c r="K1037" s="97" t="s">
        <v>69</v>
      </c>
      <c r="L1037" s="101" t="s">
        <v>612</v>
      </c>
      <c r="M1037" s="102" t="str">
        <f>IFNA(VLOOKUP(L1037,'🙎‍♂️ Pasien'!G:V,2,FALSE),"")</f>
        <v>A8525119797</v>
      </c>
      <c r="N1037" s="103">
        <f>IFNA(VLOOKUP(L1037,'🙎‍♂️ Pasien'!G:L,3,FALSE),"")</f>
        <v>41</v>
      </c>
      <c r="O1037" s="104" t="str">
        <f>IFNA(VLOOKUP(L1037,'🙎‍♂️ Pasien'!G:V,6,FALSE),"")</f>
        <v>LAKI-LAKI</v>
      </c>
      <c r="P1037" s="104" t="str">
        <f>IFNA(VLOOKUP(L1037,'🙎‍♂️ Pasien'!G:V,12,FALSE),"")</f>
        <v>KATOLIK</v>
      </c>
      <c r="Q1037" s="104" t="str">
        <f>IFNA(VLOOKUP(L1037:L1508,'🙎‍♂️ Pasien'!G:V,13,FALSE),"")</f>
        <v>WIRASWASTA</v>
      </c>
      <c r="R1037" s="104" t="str">
        <f t="array" ref="R1037">ifna(xlookup(L1037,'🙎‍♂️ Pasien'!$G$5:$G1508,'🙎‍♂️ Pasien'!$T$5:$T1508),"")</f>
        <v>SAKIT PUNGGUNG MENAHUN</v>
      </c>
      <c r="S1037" s="104" t="str">
        <f t="array" ref="S1037">ifna(xlookup(L1037,'🙎‍♂️ Pasien'!$G$5:$G1508,'🙎‍♂️ Pasien'!$U$5:$U1508),"")</f>
        <v>BERSEPEDA DAN BERKEBUN</v>
      </c>
      <c r="T1037" s="97" t="s">
        <v>59</v>
      </c>
      <c r="U1037" s="105" t="s">
        <v>60</v>
      </c>
      <c r="V1037" s="101"/>
      <c r="W1037" s="106" t="b">
        <v>1</v>
      </c>
      <c r="X1037" s="107"/>
      <c r="Y1037" s="108"/>
    </row>
    <row r="1038" ht="22.5" customHeight="1">
      <c r="A1038" s="96"/>
      <c r="B1038" s="97" t="s">
        <v>85</v>
      </c>
      <c r="C1038" s="98" t="str">
        <f t="array" ref="C1038">IFNA(XLOOKUP(J1038,'⚙️ Pengaturan'!$H$5:$H1508,'⚙️ Pengaturan'!$I$5:$I1508),"")</f>
        <v>TIM A</v>
      </c>
      <c r="D1038" s="97" t="s">
        <v>86</v>
      </c>
      <c r="E1038" s="99">
        <v>45992.0</v>
      </c>
      <c r="F1038" s="100" t="str">
        <f t="shared" si="1"/>
        <v>2025</v>
      </c>
      <c r="G1038" s="100" t="str">
        <f t="shared" si="2"/>
        <v>12Des</v>
      </c>
      <c r="H1038" s="100" t="str">
        <f t="shared" si="3"/>
        <v>Senin</v>
      </c>
      <c r="I1038" s="97" t="s">
        <v>95</v>
      </c>
      <c r="J1038" s="97" t="s">
        <v>79</v>
      </c>
      <c r="K1038" s="97" t="s">
        <v>57</v>
      </c>
      <c r="L1038" s="101" t="s">
        <v>626</v>
      </c>
      <c r="M1038" s="102" t="str">
        <f>IFNA(VLOOKUP(L1038,'🙎‍♂️ Pasien'!G:V,2,FALSE),"")</f>
        <v>A8525127477</v>
      </c>
      <c r="N1038" s="103">
        <f>IFNA(VLOOKUP(L1038,'🙎‍♂️ Pasien'!G:L,3,FALSE),"")</f>
        <v>41</v>
      </c>
      <c r="O1038" s="104" t="str">
        <f>IFNA(VLOOKUP(L1038,'🙎‍♂️ Pasien'!G:V,6,FALSE),"")</f>
        <v>PEREMPUAN</v>
      </c>
      <c r="P1038" s="104" t="str">
        <f>IFNA(VLOOKUP(L1038,'🙎‍♂️ Pasien'!G:V,12,FALSE),"")</f>
        <v>LAINNYA</v>
      </c>
      <c r="Q1038" s="104" t="str">
        <f>IFNA(VLOOKUP(L1038:L1508,'🙎‍♂️ Pasien'!G:V,13,FALSE),"")</f>
        <v>IRT</v>
      </c>
      <c r="R1038" s="104" t="str">
        <f t="array" ref="R1038">ifna(xlookup(L1038,'🙎‍♂️ Pasien'!$G$5:$G1508,'🙎‍♂️ Pasien'!$T$5:$T1508),"")</f>
        <v>LUTUT</v>
      </c>
      <c r="S1038" s="104" t="str">
        <f t="array" ref="S1038">ifna(xlookup(L1038,'🙎‍♂️ Pasien'!$G$5:$G1508,'🙎‍♂️ Pasien'!$U$5:$U1508),"")</f>
        <v>-</v>
      </c>
      <c r="T1038" s="97" t="s">
        <v>59</v>
      </c>
      <c r="U1038" s="105" t="s">
        <v>60</v>
      </c>
      <c r="V1038" s="101"/>
      <c r="W1038" s="106" t="b">
        <v>1</v>
      </c>
      <c r="X1038" s="107"/>
      <c r="Y1038" s="108"/>
    </row>
    <row r="1039" ht="22.5" customHeight="1">
      <c r="A1039" s="96"/>
      <c r="B1039" s="97" t="s">
        <v>85</v>
      </c>
      <c r="C1039" s="98" t="str">
        <f t="array" ref="C1039">IFNA(XLOOKUP(J1039,'⚙️ Pengaturan'!$H$5:$H1508,'⚙️ Pengaturan'!$I$5:$I1508),"")</f>
        <v>TIM A</v>
      </c>
      <c r="D1039" s="97" t="s">
        <v>86</v>
      </c>
      <c r="E1039" s="99">
        <v>45992.0</v>
      </c>
      <c r="F1039" s="100" t="str">
        <f t="shared" si="1"/>
        <v>2025</v>
      </c>
      <c r="G1039" s="100" t="str">
        <f t="shared" si="2"/>
        <v>12Des</v>
      </c>
      <c r="H1039" s="100" t="str">
        <f t="shared" si="3"/>
        <v>Senin</v>
      </c>
      <c r="I1039" s="97" t="s">
        <v>97</v>
      </c>
      <c r="J1039" s="97" t="s">
        <v>62</v>
      </c>
      <c r="K1039" s="97" t="s">
        <v>63</v>
      </c>
      <c r="L1039" s="101" t="s">
        <v>532</v>
      </c>
      <c r="M1039" s="102" t="str">
        <f>IFNA(VLOOKUP(L1039,'🙎‍♂️ Pasien'!G:V,2,FALSE),"")</f>
        <v>H1025113976</v>
      </c>
      <c r="N1039" s="103">
        <f>IFNA(VLOOKUP(L1039,'🙎‍♂️ Pasien'!G:L,3,FALSE),"")</f>
        <v>15</v>
      </c>
      <c r="O1039" s="104" t="str">
        <f>IFNA(VLOOKUP(L1039,'🙎‍♂️ Pasien'!G:V,6,FALSE),"")</f>
        <v>PEREMPUAN</v>
      </c>
      <c r="P1039" s="104" t="str">
        <f>IFNA(VLOOKUP(L1039,'🙎‍♂️ Pasien'!G:V,12,FALSE),"")</f>
        <v>ISLAM</v>
      </c>
      <c r="Q1039" s="104" t="str">
        <f>IFNA(VLOOKUP(L1039:L1508,'🙎‍♂️ Pasien'!G:V,13,FALSE),"")</f>
        <v>PELAJAR</v>
      </c>
      <c r="R1039" s="104" t="str">
        <f t="array" ref="R1039">ifna(xlookup(L1039,'🙎‍♂️ Pasien'!$G$5:$G1508,'🙎‍♂️ Pasien'!$T$5:$T1508),"")</f>
        <v>PERGELANGAN KAKI DAN LUTUS NYERI, KETIKA BANGUN TIDUR SAMPAI PINCANG</v>
      </c>
      <c r="S1039" s="104" t="str">
        <f t="array" ref="S1039">ifna(xlookup(L1039,'🙎‍♂️ Pasien'!$G$5:$G1508,'🙎‍♂️ Pasien'!$U$5:$U1508),"")</f>
        <v>SEKOLAH NAIK TURUN TANGGA</v>
      </c>
      <c r="T1039" s="97" t="s">
        <v>59</v>
      </c>
      <c r="U1039" s="105">
        <v>3.0</v>
      </c>
      <c r="V1039" s="101"/>
      <c r="W1039" s="106" t="b">
        <v>1</v>
      </c>
      <c r="X1039" s="107"/>
      <c r="Y1039" s="108"/>
    </row>
    <row r="1040" ht="22.5" customHeight="1">
      <c r="A1040" s="96"/>
      <c r="B1040" s="97" t="s">
        <v>85</v>
      </c>
      <c r="C1040" s="98" t="str">
        <f t="array" ref="C1040">IFNA(XLOOKUP(J1040,'⚙️ Pengaturan'!$H$5:$H1508,'⚙️ Pengaturan'!$I$5:$I1508),"")</f>
        <v>TIM A</v>
      </c>
      <c r="D1040" s="97" t="s">
        <v>86</v>
      </c>
      <c r="E1040" s="99">
        <v>45992.0</v>
      </c>
      <c r="F1040" s="100" t="str">
        <f t="shared" si="1"/>
        <v>2025</v>
      </c>
      <c r="G1040" s="100" t="str">
        <f t="shared" si="2"/>
        <v>12Des</v>
      </c>
      <c r="H1040" s="100" t="str">
        <f t="shared" si="3"/>
        <v>Senin</v>
      </c>
      <c r="I1040" s="97" t="s">
        <v>97</v>
      </c>
      <c r="J1040" s="97" t="s">
        <v>79</v>
      </c>
      <c r="K1040" s="97" t="s">
        <v>135</v>
      </c>
      <c r="L1040" s="101" t="s">
        <v>516</v>
      </c>
      <c r="M1040" s="102" t="str">
        <f>IFNA(VLOOKUP(L1040,'🙎‍♂️ Pasien'!G:V,2,FALSE),"")</f>
        <v>M0425117629</v>
      </c>
      <c r="N1040" s="103">
        <f>IFNA(VLOOKUP(L1040,'🙎‍♂️ Pasien'!G:L,3,FALSE),"")</f>
        <v>22</v>
      </c>
      <c r="O1040" s="104" t="str">
        <f>IFNA(VLOOKUP(L1040,'🙎‍♂️ Pasien'!G:V,6,FALSE),"")</f>
        <v>PEREMPUAN</v>
      </c>
      <c r="P1040" s="104" t="str">
        <f>IFNA(VLOOKUP(L1040,'🙎‍♂️ Pasien'!G:V,12,FALSE),"")</f>
        <v>ISLAM</v>
      </c>
      <c r="Q1040" s="104" t="str">
        <f>IFNA(VLOOKUP(L1040:L1508,'🙎‍♂️ Pasien'!G:V,13,FALSE),"")</f>
        <v>STAFF TOKO</v>
      </c>
      <c r="R1040" s="104" t="str">
        <f t="array" ref="R1040">ifna(xlookup(L1040,'🙎‍♂️ Pasien'!$G$5:$G1508,'🙎‍♂️ Pasien'!$T$5:$T1508),"")</f>
        <v>NYERI LUTUT PASCA GYM</v>
      </c>
      <c r="S1040" s="104" t="str">
        <f t="array" ref="S1040">ifna(xlookup(L1040,'🙎‍♂️ Pasien'!$G$5:$G1508,'🙎‍♂️ Pasien'!$U$5:$U1508),"")</f>
        <v>GYM</v>
      </c>
      <c r="T1040" s="97" t="s">
        <v>67</v>
      </c>
      <c r="U1040" s="105" t="s">
        <v>60</v>
      </c>
      <c r="V1040" s="101" t="s">
        <v>195</v>
      </c>
      <c r="W1040" s="106" t="b">
        <v>1</v>
      </c>
      <c r="X1040" s="107"/>
      <c r="Y1040" s="108"/>
    </row>
    <row r="1041" ht="22.5" customHeight="1">
      <c r="A1041" s="96"/>
      <c r="B1041" s="97" t="s">
        <v>85</v>
      </c>
      <c r="C1041" s="98" t="str">
        <f t="array" ref="C1041">IFNA(XLOOKUP(J1041,'⚙️ Pengaturan'!$H$5:$H1508,'⚙️ Pengaturan'!$I$5:$I1508),"")</f>
        <v>TIM Y</v>
      </c>
      <c r="D1041" s="97" t="s">
        <v>86</v>
      </c>
      <c r="E1041" s="99">
        <v>45992.0</v>
      </c>
      <c r="F1041" s="100" t="str">
        <f t="shared" si="1"/>
        <v>2025</v>
      </c>
      <c r="G1041" s="100" t="str">
        <f t="shared" si="2"/>
        <v>12Des</v>
      </c>
      <c r="H1041" s="100" t="str">
        <f t="shared" si="3"/>
        <v>Senin</v>
      </c>
      <c r="I1041" s="97" t="s">
        <v>97</v>
      </c>
      <c r="J1041" s="97" t="s">
        <v>56</v>
      </c>
      <c r="K1041" s="97" t="s">
        <v>57</v>
      </c>
      <c r="L1041" s="101" t="s">
        <v>627</v>
      </c>
      <c r="M1041" s="102" t="str">
        <f>IFNA(VLOOKUP(L1041,'🙎‍♂️ Pasien'!G:V,2,FALSE),"")</f>
        <v>W8825126959</v>
      </c>
      <c r="N1041" s="103">
        <f>IFNA(VLOOKUP(L1041,'🙎‍♂️ Pasien'!G:L,3,FALSE),"")</f>
        <v>37</v>
      </c>
      <c r="O1041" s="104" t="str">
        <f>IFNA(VLOOKUP(L1041,'🙎‍♂️ Pasien'!G:V,6,FALSE),"")</f>
        <v>LAKI-LAKI</v>
      </c>
      <c r="P1041" s="104" t="str">
        <f>IFNA(VLOOKUP(L1041,'🙎‍♂️ Pasien'!G:V,12,FALSE),"")</f>
        <v>ISLAM</v>
      </c>
      <c r="Q1041" s="104" t="str">
        <f>IFNA(VLOOKUP(L1041:L1508,'🙎‍♂️ Pasien'!G:V,13,FALSE),"")</f>
        <v>WIRASWASTA</v>
      </c>
      <c r="R1041" s="104" t="str">
        <f t="array" ref="R1041">ifna(xlookup(L1041,'🙎‍♂️ Pasien'!$G$5:$G1508,'🙎‍♂️ Pasien'!$T$5:$T1508),"")</f>
        <v>PINGGANG</v>
      </c>
      <c r="S1041" s="104" t="str">
        <f t="array" ref="S1041">ifna(xlookup(L1041,'🙎‍♂️ Pasien'!$G$5:$G1508,'🙎‍♂️ Pasien'!$U$5:$U1508),"")</f>
        <v>-</v>
      </c>
      <c r="T1041" s="97" t="s">
        <v>67</v>
      </c>
      <c r="U1041" s="105" t="s">
        <v>60</v>
      </c>
      <c r="V1041" s="101" t="s">
        <v>628</v>
      </c>
      <c r="W1041" s="106" t="b">
        <v>1</v>
      </c>
      <c r="X1041" s="107"/>
      <c r="Y1041" s="108"/>
    </row>
    <row r="1042" ht="22.5" customHeight="1">
      <c r="A1042" s="96"/>
      <c r="B1042" s="97" t="s">
        <v>85</v>
      </c>
      <c r="C1042" s="98" t="str">
        <f t="array" ref="C1042">IFNA(XLOOKUP(J1042,'⚙️ Pengaturan'!$H$5:$H1508,'⚙️ Pengaturan'!$I$5:$I1508),"")</f>
        <v>TIM A</v>
      </c>
      <c r="D1042" s="97" t="s">
        <v>86</v>
      </c>
      <c r="E1042" s="99">
        <v>45992.0</v>
      </c>
      <c r="F1042" s="100" t="str">
        <f t="shared" si="1"/>
        <v>2025</v>
      </c>
      <c r="G1042" s="100" t="str">
        <f t="shared" si="2"/>
        <v>12Des</v>
      </c>
      <c r="H1042" s="100" t="str">
        <f t="shared" si="3"/>
        <v>Senin</v>
      </c>
      <c r="I1042" s="97" t="s">
        <v>99</v>
      </c>
      <c r="J1042" s="97" t="s">
        <v>62</v>
      </c>
      <c r="K1042" s="97" t="s">
        <v>135</v>
      </c>
      <c r="L1042" s="101" t="s">
        <v>629</v>
      </c>
      <c r="M1042" s="102" t="str">
        <f>IFNA(VLOOKUP(L1042,'🙎‍♂️ Pasien'!G:V,2,FALSE),"")</f>
        <v>H9624094749</v>
      </c>
      <c r="N1042" s="103">
        <f>IFNA(VLOOKUP(L1042,'🙎‍♂️ Pasien'!G:L,3,FALSE),"")</f>
        <v>30</v>
      </c>
      <c r="O1042" s="104" t="str">
        <f>IFNA(VLOOKUP(L1042,'🙎‍♂️ Pasien'!G:V,6,FALSE),"")</f>
        <v>LAKI-LAKI</v>
      </c>
      <c r="P1042" s="104" t="str">
        <f>IFNA(VLOOKUP(L1042,'🙎‍♂️ Pasien'!G:V,12,FALSE),"")</f>
        <v>KATOLIK</v>
      </c>
      <c r="Q1042" s="104" t="str">
        <f>IFNA(VLOOKUP(L1042:L1508,'🙎‍♂️ Pasien'!G:V,13,FALSE),"")</f>
        <v>SWASTA</v>
      </c>
      <c r="R1042" s="104" t="str">
        <f t="array" ref="R1042">ifna(xlookup(L1042,'🙎‍♂️ Pasien'!$G$5:$G1508,'🙎‍♂️ Pasien'!$T$5:$T1508),"")</f>
        <v>KAMI PENAT, SEPERTI TIDAK ADA RASA. AWAL KEJADIAN KESELEO SAAT MAIN BOLA</v>
      </c>
      <c r="S1042" s="104" t="str">
        <f t="array" ref="S1042">ifna(xlookup(L1042,'🙎‍♂️ Pasien'!$G$5:$G1508,'🙎‍♂️ Pasien'!$U$5:$U1508),"")</f>
        <v>Olahraga/Kerja ringan</v>
      </c>
      <c r="T1042" s="97" t="s">
        <v>67</v>
      </c>
      <c r="U1042" s="105" t="s">
        <v>60</v>
      </c>
      <c r="V1042" s="101" t="s">
        <v>375</v>
      </c>
      <c r="W1042" s="106" t="b">
        <v>1</v>
      </c>
      <c r="X1042" s="107"/>
      <c r="Y1042" s="108"/>
    </row>
    <row r="1043" ht="22.5" customHeight="1">
      <c r="A1043" s="96"/>
      <c r="B1043" s="97" t="s">
        <v>85</v>
      </c>
      <c r="C1043" s="98" t="str">
        <f t="array" ref="C1043">IFNA(XLOOKUP(J1043,'⚙️ Pengaturan'!$H$5:$H1508,'⚙️ Pengaturan'!$I$5:$I1508),"")</f>
        <v>TIM A</v>
      </c>
      <c r="D1043" s="97" t="s">
        <v>86</v>
      </c>
      <c r="E1043" s="99">
        <v>45992.0</v>
      </c>
      <c r="F1043" s="100" t="str">
        <f t="shared" si="1"/>
        <v>2025</v>
      </c>
      <c r="G1043" s="100" t="str">
        <f t="shared" si="2"/>
        <v>12Des</v>
      </c>
      <c r="H1043" s="100" t="str">
        <f t="shared" si="3"/>
        <v>Senin</v>
      </c>
      <c r="I1043" s="97" t="s">
        <v>99</v>
      </c>
      <c r="J1043" s="97" t="s">
        <v>79</v>
      </c>
      <c r="K1043" s="97" t="s">
        <v>63</v>
      </c>
      <c r="L1043" s="101" t="s">
        <v>529</v>
      </c>
      <c r="M1043" s="102" t="str">
        <f>IFNA(VLOOKUP(L1043,'🙎‍♂️ Pasien'!G:V,2,FALSE),"")</f>
        <v>R6825110615</v>
      </c>
      <c r="N1043" s="103">
        <f>IFNA(VLOOKUP(L1043,'🙎‍♂️ Pasien'!G:L,3,FALSE),"")</f>
        <v>57</v>
      </c>
      <c r="O1043" s="104" t="str">
        <f>IFNA(VLOOKUP(L1043,'🙎‍♂️ Pasien'!G:V,6,FALSE),"")</f>
        <v>PEREMPUAN</v>
      </c>
      <c r="P1043" s="104" t="str">
        <f>IFNA(VLOOKUP(L1043,'🙎‍♂️ Pasien'!G:V,12,FALSE),"")</f>
        <v>ISLAM</v>
      </c>
      <c r="Q1043" s="104" t="str">
        <f>IFNA(VLOOKUP(L1043:L1508,'🙎‍♂️ Pasien'!G:V,13,FALSE),"")</f>
        <v>IBU RUMAH TANGGA</v>
      </c>
      <c r="R1043" s="104" t="str">
        <f t="array" ref="R1043">ifna(xlookup(L1043,'🙎‍♂️ Pasien'!$G$5:$G1508,'🙎‍♂️ Pasien'!$T$5:$T1508),"")</f>
        <v>NYERI TULANG BELAKANG</v>
      </c>
      <c r="S1043" s="104" t="str">
        <f t="array" ref="S1043">ifna(xlookup(L1043,'🙎‍♂️ Pasien'!$G$5:$G1508,'🙎‍♂️ Pasien'!$U$5:$U1508),"")</f>
        <v>MENGERJAKAN PEKERJAAN RUMAH</v>
      </c>
      <c r="T1043" s="97" t="s">
        <v>59</v>
      </c>
      <c r="U1043" s="105">
        <v>5.0</v>
      </c>
      <c r="V1043" s="101"/>
      <c r="W1043" s="106" t="b">
        <v>1</v>
      </c>
      <c r="X1043" s="107"/>
      <c r="Y1043" s="108"/>
    </row>
    <row r="1044" ht="22.5" customHeight="1">
      <c r="A1044" s="96"/>
      <c r="B1044" s="97" t="s">
        <v>85</v>
      </c>
      <c r="C1044" s="98" t="str">
        <f t="array" ref="C1044">IFNA(XLOOKUP(J1044,'⚙️ Pengaturan'!$H$5:$H1508,'⚙️ Pengaturan'!$I$5:$I1508),"")</f>
        <v>TIM A</v>
      </c>
      <c r="D1044" s="97" t="s">
        <v>86</v>
      </c>
      <c r="E1044" s="99">
        <v>45992.0</v>
      </c>
      <c r="F1044" s="100" t="str">
        <f t="shared" si="1"/>
        <v>2025</v>
      </c>
      <c r="G1044" s="100" t="str">
        <f t="shared" si="2"/>
        <v>12Des</v>
      </c>
      <c r="H1044" s="100" t="str">
        <f t="shared" si="3"/>
        <v>Senin</v>
      </c>
      <c r="I1044" s="97" t="s">
        <v>99</v>
      </c>
      <c r="J1044" s="97" t="s">
        <v>72</v>
      </c>
      <c r="K1044" s="97" t="s">
        <v>57</v>
      </c>
      <c r="L1044" s="101" t="s">
        <v>630</v>
      </c>
      <c r="M1044" s="102" t="str">
        <f>IFNA(VLOOKUP(L1044,'🙎‍♂️ Pasien'!G:V,2,FALSE),"")</f>
        <v>W7625111739</v>
      </c>
      <c r="N1044" s="103">
        <f>IFNA(VLOOKUP(L1044,'🙎‍♂️ Pasien'!G:L,3,FALSE),"")</f>
        <v>50</v>
      </c>
      <c r="O1044" s="104" t="str">
        <f>IFNA(VLOOKUP(L1044,'🙎‍♂️ Pasien'!G:V,6,FALSE),"")</f>
        <v>PEREMPUAN</v>
      </c>
      <c r="P1044" s="104" t="str">
        <f>IFNA(VLOOKUP(L1044,'🙎‍♂️ Pasien'!G:V,12,FALSE),"")</f>
        <v>ISLAM</v>
      </c>
      <c r="Q1044" s="104" t="str">
        <f>IFNA(VLOOKUP(L1044:L1508,'🙎‍♂️ Pasien'!G:V,13,FALSE),"")</f>
        <v>IBU RUMAH TANGGA</v>
      </c>
      <c r="R1044" s="104" t="str">
        <f t="array" ref="R1044">ifna(xlookup(L1044,'🙎‍♂️ Pasien'!$G$5:$G1508,'🙎‍♂️ Pasien'!$T$5:$T1508),"")</f>
        <v>TELAPAK KAKI SERING KERAM</v>
      </c>
      <c r="S1044" s="104" t="str">
        <f t="array" ref="S1044">ifna(xlookup(L1044,'🙎‍♂️ Pasien'!$G$5:$G1508,'🙎‍♂️ Pasien'!$U$5:$U1508),"")</f>
        <v>-</v>
      </c>
      <c r="T1044" s="97" t="s">
        <v>59</v>
      </c>
      <c r="U1044" s="105" t="s">
        <v>60</v>
      </c>
      <c r="V1044" s="101"/>
      <c r="W1044" s="106" t="b">
        <v>1</v>
      </c>
      <c r="X1044" s="107"/>
      <c r="Y1044" s="108"/>
    </row>
    <row r="1045" ht="22.5" customHeight="1">
      <c r="A1045" s="96"/>
      <c r="B1045" s="97" t="s">
        <v>53</v>
      </c>
      <c r="C1045" s="98" t="str">
        <f t="array" ref="C1045">IFNA(XLOOKUP(J1045,'⚙️ Pengaturan'!$H$5:$H1508,'⚙️ Pengaturan'!$I$5:$I1508),"")</f>
        <v>TIM A</v>
      </c>
      <c r="D1045" s="97" t="s">
        <v>86</v>
      </c>
      <c r="E1045" s="99">
        <v>45993.0</v>
      </c>
      <c r="F1045" s="100" t="str">
        <f t="shared" si="1"/>
        <v>2025</v>
      </c>
      <c r="G1045" s="100" t="str">
        <f t="shared" si="2"/>
        <v>12Des</v>
      </c>
      <c r="H1045" s="100" t="str">
        <f t="shared" si="3"/>
        <v>Selasa</v>
      </c>
      <c r="I1045" s="97" t="s">
        <v>55</v>
      </c>
      <c r="J1045" s="97" t="s">
        <v>79</v>
      </c>
      <c r="K1045" s="97" t="s">
        <v>69</v>
      </c>
      <c r="L1045" s="101" t="s">
        <v>623</v>
      </c>
      <c r="M1045" s="102" t="str">
        <f>IFNA(VLOOKUP(L1045,'🙎‍♂️ Pasien'!G:V,2,FALSE),"")</f>
        <v>E9225127347</v>
      </c>
      <c r="N1045" s="103">
        <f>IFNA(VLOOKUP(L1045,'🙎‍♂️ Pasien'!G:L,3,FALSE),"")</f>
        <v>34</v>
      </c>
      <c r="O1045" s="104" t="str">
        <f>IFNA(VLOOKUP(L1045,'🙎‍♂️ Pasien'!G:V,6,FALSE),"")</f>
        <v>PEREMPUAN</v>
      </c>
      <c r="P1045" s="104" t="str">
        <f>IFNA(VLOOKUP(L1045,'🙎‍♂️ Pasien'!G:V,12,FALSE),"")</f>
        <v>KATOLIK</v>
      </c>
      <c r="Q1045" s="104" t="str">
        <f>IFNA(VLOOKUP(L1045:L1508,'🙎‍♂️ Pasien'!G:V,13,FALSE),"")</f>
        <v>P3K</v>
      </c>
      <c r="R1045" s="104" t="str">
        <f t="array" ref="R1045">ifna(xlookup(L1045,'🙎‍♂️ Pasien'!$G$5:$G1508,'🙎‍♂️ Pasien'!$T$5:$T1508),"")</f>
        <v>NYERI SENDI KAKI LUTUT TANGAN</v>
      </c>
      <c r="S1045" s="104" t="str">
        <f t="array" ref="S1045">ifna(xlookup(L1045,'🙎‍♂️ Pasien'!$G$5:$G1508,'🙎‍♂️ Pasien'!$U$5:$U1508),"")</f>
        <v>SERING MENGGUNAKAN SEPEDA MOTOR</v>
      </c>
      <c r="T1045" s="97" t="s">
        <v>59</v>
      </c>
      <c r="U1045" s="105" t="s">
        <v>60</v>
      </c>
      <c r="V1045" s="101"/>
      <c r="W1045" s="106" t="b">
        <v>1</v>
      </c>
      <c r="X1045" s="107"/>
      <c r="Y1045" s="108"/>
    </row>
    <row r="1046" ht="22.5" customHeight="1">
      <c r="A1046" s="96"/>
      <c r="B1046" s="97" t="s">
        <v>53</v>
      </c>
      <c r="C1046" s="98" t="str">
        <f t="array" ref="C1046">IFNA(XLOOKUP(J1046,'⚙️ Pengaturan'!$H$5:$H1508,'⚙️ Pengaturan'!$I$5:$I1508),"")</f>
        <v>TIM A</v>
      </c>
      <c r="D1046" s="97" t="s">
        <v>86</v>
      </c>
      <c r="E1046" s="99">
        <v>45993.0</v>
      </c>
      <c r="F1046" s="100" t="str">
        <f t="shared" si="1"/>
        <v>2025</v>
      </c>
      <c r="G1046" s="100" t="str">
        <f t="shared" si="2"/>
        <v>12Des</v>
      </c>
      <c r="H1046" s="100" t="str">
        <f t="shared" si="3"/>
        <v>Selasa</v>
      </c>
      <c r="I1046" s="97" t="s">
        <v>55</v>
      </c>
      <c r="J1046" s="97" t="s">
        <v>62</v>
      </c>
      <c r="K1046" s="97" t="s">
        <v>63</v>
      </c>
      <c r="L1046" s="101" t="s">
        <v>174</v>
      </c>
      <c r="M1046" s="102" t="str">
        <f>IFNA(VLOOKUP(L1046,'🙎‍♂️ Pasien'!G:V,2,FALSE),"")</f>
        <v>F6925098775</v>
      </c>
      <c r="N1046" s="103">
        <f>IFNA(VLOOKUP(L1046,'🙎‍♂️ Pasien'!G:L,3,FALSE),"")</f>
        <v>56</v>
      </c>
      <c r="O1046" s="104" t="str">
        <f>IFNA(VLOOKUP(L1046,'🙎‍♂️ Pasien'!G:V,6,FALSE),"")</f>
        <v>PEREMPUAN</v>
      </c>
      <c r="P1046" s="104" t="str">
        <f>IFNA(VLOOKUP(L1046,'🙎‍♂️ Pasien'!G:V,12,FALSE),"")</f>
        <v>BUDDHA</v>
      </c>
      <c r="Q1046" s="104" t="str">
        <f>IFNA(VLOOKUP(L1046:L1508,'🙎‍♂️ Pasien'!G:V,13,FALSE),"")</f>
        <v>IRT</v>
      </c>
      <c r="R1046" s="104" t="str">
        <f t="array" ref="R1046">ifna(xlookup(L1046,'🙎‍♂️ Pasien'!$G$5:$G1508,'🙎‍♂️ Pasien'!$T$5:$T1508),"")</f>
        <v>LUTUT (POST OP TKR)</v>
      </c>
      <c r="S1046" s="104" t="str">
        <f t="array" ref="S1046">ifna(xlookup(L1046,'🙎‍♂️ Pasien'!$G$5:$G1508,'🙎‍♂️ Pasien'!$U$5:$U1508),"")</f>
        <v>PEKERJAAAN RUMAH TANGGA</v>
      </c>
      <c r="T1046" s="97" t="s">
        <v>67</v>
      </c>
      <c r="U1046" s="105">
        <v>4.0</v>
      </c>
      <c r="V1046" s="101" t="s">
        <v>631</v>
      </c>
      <c r="W1046" s="106" t="b">
        <v>1</v>
      </c>
      <c r="X1046" s="107"/>
      <c r="Y1046" s="108"/>
    </row>
    <row r="1047" ht="22.5" customHeight="1">
      <c r="A1047" s="96"/>
      <c r="B1047" s="97" t="s">
        <v>53</v>
      </c>
      <c r="C1047" s="98" t="str">
        <f t="array" ref="C1047">IFNA(XLOOKUP(J1047,'⚙️ Pengaturan'!$H$5:$H1508,'⚙️ Pengaturan'!$I$5:$I1508),"")</f>
        <v>TIM Y</v>
      </c>
      <c r="D1047" s="97" t="s">
        <v>86</v>
      </c>
      <c r="E1047" s="99">
        <v>45993.0</v>
      </c>
      <c r="F1047" s="100" t="str">
        <f t="shared" si="1"/>
        <v>2025</v>
      </c>
      <c r="G1047" s="100" t="str">
        <f t="shared" si="2"/>
        <v>12Des</v>
      </c>
      <c r="H1047" s="100" t="str">
        <f t="shared" si="3"/>
        <v>Selasa</v>
      </c>
      <c r="I1047" s="97" t="s">
        <v>55</v>
      </c>
      <c r="J1047" s="97" t="s">
        <v>56</v>
      </c>
      <c r="K1047" s="97" t="s">
        <v>57</v>
      </c>
      <c r="L1047" s="101" t="s">
        <v>627</v>
      </c>
      <c r="M1047" s="102" t="str">
        <f>IFNA(VLOOKUP(L1047,'🙎‍♂️ Pasien'!G:V,2,FALSE),"")</f>
        <v>W8825126959</v>
      </c>
      <c r="N1047" s="103">
        <f>IFNA(VLOOKUP(L1047,'🙎‍♂️ Pasien'!G:L,3,FALSE),"")</f>
        <v>37</v>
      </c>
      <c r="O1047" s="104" t="str">
        <f>IFNA(VLOOKUP(L1047,'🙎‍♂️ Pasien'!G:V,6,FALSE),"")</f>
        <v>LAKI-LAKI</v>
      </c>
      <c r="P1047" s="104" t="str">
        <f>IFNA(VLOOKUP(L1047,'🙎‍♂️ Pasien'!G:V,12,FALSE),"")</f>
        <v>ISLAM</v>
      </c>
      <c r="Q1047" s="104" t="str">
        <f>IFNA(VLOOKUP(L1047:L1508,'🙎‍♂️ Pasien'!G:V,13,FALSE),"")</f>
        <v>WIRASWASTA</v>
      </c>
      <c r="R1047" s="104" t="str">
        <f t="array" ref="R1047">ifna(xlookup(L1047,'🙎‍♂️ Pasien'!$G$5:$G1508,'🙎‍♂️ Pasien'!$T$5:$T1508),"")</f>
        <v>PINGGANG</v>
      </c>
      <c r="S1047" s="104" t="str">
        <f t="array" ref="S1047">ifna(xlookup(L1047,'🙎‍♂️ Pasien'!$G$5:$G1508,'🙎‍♂️ Pasien'!$U$5:$U1508),"")</f>
        <v>-</v>
      </c>
      <c r="T1047" s="97" t="s">
        <v>59</v>
      </c>
      <c r="U1047" s="105" t="s">
        <v>60</v>
      </c>
      <c r="V1047" s="101"/>
      <c r="W1047" s="106" t="b">
        <v>1</v>
      </c>
      <c r="X1047" s="107"/>
      <c r="Y1047" s="108"/>
    </row>
    <row r="1048" ht="22.5" customHeight="1">
      <c r="A1048" s="96"/>
      <c r="B1048" s="97" t="s">
        <v>53</v>
      </c>
      <c r="C1048" s="98" t="str">
        <f t="array" ref="C1048">IFNA(XLOOKUP(J1048,'⚙️ Pengaturan'!$H$5:$H1508,'⚙️ Pengaturan'!$I$5:$I1508),"")</f>
        <v>TIM A</v>
      </c>
      <c r="D1048" s="97" t="s">
        <v>86</v>
      </c>
      <c r="E1048" s="99">
        <v>45993.0</v>
      </c>
      <c r="F1048" s="100" t="str">
        <f t="shared" si="1"/>
        <v>2025</v>
      </c>
      <c r="G1048" s="100" t="str">
        <f t="shared" si="2"/>
        <v>12Des</v>
      </c>
      <c r="H1048" s="100" t="str">
        <f t="shared" si="3"/>
        <v>Selasa</v>
      </c>
      <c r="I1048" s="97" t="s">
        <v>65</v>
      </c>
      <c r="J1048" s="97" t="s">
        <v>79</v>
      </c>
      <c r="K1048" s="97" t="s">
        <v>69</v>
      </c>
      <c r="L1048" s="101" t="s">
        <v>623</v>
      </c>
      <c r="M1048" s="102" t="str">
        <f>IFNA(VLOOKUP(L1048,'🙎‍♂️ Pasien'!G:V,2,FALSE),"")</f>
        <v>E9225127347</v>
      </c>
      <c r="N1048" s="103">
        <f>IFNA(VLOOKUP(L1048,'🙎‍♂️ Pasien'!G:L,3,FALSE),"")</f>
        <v>34</v>
      </c>
      <c r="O1048" s="104" t="str">
        <f>IFNA(VLOOKUP(L1048,'🙎‍♂️ Pasien'!G:V,6,FALSE),"")</f>
        <v>PEREMPUAN</v>
      </c>
      <c r="P1048" s="104" t="str">
        <f>IFNA(VLOOKUP(L1048,'🙎‍♂️ Pasien'!G:V,12,FALSE),"")</f>
        <v>KATOLIK</v>
      </c>
      <c r="Q1048" s="104" t="str">
        <f>IFNA(VLOOKUP(L1048:L1508,'🙎‍♂️ Pasien'!G:V,13,FALSE),"")</f>
        <v>P3K</v>
      </c>
      <c r="R1048" s="104" t="str">
        <f t="array" ref="R1048">ifna(xlookup(L1048,'🙎‍♂️ Pasien'!$G$5:$G1508,'🙎‍♂️ Pasien'!$T$5:$T1508),"")</f>
        <v>NYERI SENDI KAKI LUTUT TANGAN</v>
      </c>
      <c r="S1048" s="104" t="str">
        <f t="array" ref="S1048">ifna(xlookup(L1048,'🙎‍♂️ Pasien'!$G$5:$G1508,'🙎‍♂️ Pasien'!$U$5:$U1508),"")</f>
        <v>SERING MENGGUNAKAN SEPEDA MOTOR</v>
      </c>
      <c r="T1048" s="97" t="s">
        <v>59</v>
      </c>
      <c r="U1048" s="105" t="s">
        <v>60</v>
      </c>
      <c r="V1048" s="101"/>
      <c r="W1048" s="106" t="b">
        <v>1</v>
      </c>
      <c r="X1048" s="107"/>
      <c r="Y1048" s="108"/>
    </row>
    <row r="1049" ht="22.5" customHeight="1">
      <c r="A1049" s="96"/>
      <c r="B1049" s="97" t="s">
        <v>53</v>
      </c>
      <c r="C1049" s="98" t="str">
        <f t="array" ref="C1049">IFNA(XLOOKUP(J1049,'⚙️ Pengaturan'!$H$5:$H1508,'⚙️ Pengaturan'!$I$5:$I1508),"")</f>
        <v>TIM A</v>
      </c>
      <c r="D1049" s="97" t="s">
        <v>86</v>
      </c>
      <c r="E1049" s="99">
        <v>45993.0</v>
      </c>
      <c r="F1049" s="100" t="str">
        <f t="shared" si="1"/>
        <v>2025</v>
      </c>
      <c r="G1049" s="100" t="str">
        <f t="shared" si="2"/>
        <v>12Des</v>
      </c>
      <c r="H1049" s="100" t="str">
        <f t="shared" si="3"/>
        <v>Selasa</v>
      </c>
      <c r="I1049" s="97" t="s">
        <v>65</v>
      </c>
      <c r="J1049" s="97" t="s">
        <v>62</v>
      </c>
      <c r="K1049" s="97" t="s">
        <v>63</v>
      </c>
      <c r="L1049" s="101" t="s">
        <v>71</v>
      </c>
      <c r="M1049" s="102" t="str">
        <f>IFNA(VLOOKUP(L1049,'🙎‍♂️ Pasien'!G:V,2,FALSE),"")</f>
        <v>L5925109995</v>
      </c>
      <c r="N1049" s="103">
        <f>IFNA(VLOOKUP(L1049,'🙎‍♂️ Pasien'!G:L,3,FALSE),"")</f>
        <v>67</v>
      </c>
      <c r="O1049" s="104" t="str">
        <f>IFNA(VLOOKUP(L1049,'🙎‍♂️ Pasien'!G:V,6,FALSE),"")</f>
        <v>PEREMPUAN</v>
      </c>
      <c r="P1049" s="104" t="str">
        <f>IFNA(VLOOKUP(L1049,'🙎‍♂️ Pasien'!G:V,12,FALSE),"")</f>
        <v>KATOLIK</v>
      </c>
      <c r="Q1049" s="104" t="str">
        <f>IFNA(VLOOKUP(L1049:L1508,'🙎‍♂️ Pasien'!G:V,13,FALSE),"")</f>
        <v>WIRASWASTA</v>
      </c>
      <c r="R1049" s="104" t="str">
        <f t="array" ref="R1049">ifna(xlookup(L1049,'🙎‍♂️ Pasien'!$G$5:$G1508,'🙎‍♂️ Pasien'!$T$5:$T1508),"")</f>
        <v>LUTUT</v>
      </c>
      <c r="S1049" s="104" t="str">
        <f t="array" ref="S1049">ifna(xlookup(L1049,'🙎‍♂️ Pasien'!$G$5:$G1508,'🙎‍♂️ Pasien'!$U$5:$U1508),"")</f>
        <v>IBU RUMAH TANGGA</v>
      </c>
      <c r="T1049" s="97" t="s">
        <v>59</v>
      </c>
      <c r="U1049" s="105">
        <v>3.0</v>
      </c>
      <c r="V1049" s="101"/>
      <c r="W1049" s="106" t="b">
        <v>1</v>
      </c>
      <c r="X1049" s="107"/>
      <c r="Y1049" s="108"/>
    </row>
    <row r="1050" ht="22.5" customHeight="1">
      <c r="A1050" s="96"/>
      <c r="B1050" s="97" t="s">
        <v>53</v>
      </c>
      <c r="C1050" s="98" t="str">
        <f t="array" ref="C1050">IFNA(XLOOKUP(J1050,'⚙️ Pengaturan'!$H$5:$H1508,'⚙️ Pengaturan'!$I$5:$I1508),"")</f>
        <v>TIM A</v>
      </c>
      <c r="D1050" s="97" t="s">
        <v>86</v>
      </c>
      <c r="E1050" s="99">
        <v>45993.0</v>
      </c>
      <c r="F1050" s="100" t="str">
        <f t="shared" si="1"/>
        <v>2025</v>
      </c>
      <c r="G1050" s="100" t="str">
        <f t="shared" si="2"/>
        <v>12Des</v>
      </c>
      <c r="H1050" s="100" t="str">
        <f t="shared" si="3"/>
        <v>Selasa</v>
      </c>
      <c r="I1050" s="97" t="s">
        <v>74</v>
      </c>
      <c r="J1050" s="97" t="s">
        <v>62</v>
      </c>
      <c r="K1050" s="97" t="s">
        <v>69</v>
      </c>
      <c r="L1050" s="101" t="s">
        <v>632</v>
      </c>
      <c r="M1050" s="102" t="str">
        <f>IFNA(VLOOKUP(L1050,'🙎‍♂️ Pasien'!G:V,2,FALSE),"")</f>
        <v>C8525081338</v>
      </c>
      <c r="N1050" s="103">
        <f>IFNA(VLOOKUP(L1050,'🙎‍♂️ Pasien'!G:L,3,FALSE),"")</f>
        <v>40</v>
      </c>
      <c r="O1050" s="104" t="str">
        <f>IFNA(VLOOKUP(L1050,'🙎‍♂️ Pasien'!G:V,6,FALSE),"")</f>
        <v>PEREMPUAN</v>
      </c>
      <c r="P1050" s="104" t="str">
        <f>IFNA(VLOOKUP(L1050,'🙎‍♂️ Pasien'!G:V,12,FALSE),"")</f>
        <v>ISLAM</v>
      </c>
      <c r="Q1050" s="104" t="str">
        <f>IFNA(VLOOKUP(L1050:L1508,'🙎‍♂️ Pasien'!G:V,13,FALSE),"")</f>
        <v>PNS</v>
      </c>
      <c r="R1050" s="104" t="str">
        <f t="array" ref="R1050">ifna(xlookup(L1050,'🙎‍♂️ Pasien'!$G$5:$G1508,'🙎‍♂️ Pasien'!$T$5:$T1508),"")</f>
        <v>KRAM KAKI KIRI SAMPAI PINGGANG</v>
      </c>
      <c r="S1050" s="104" t="str">
        <f t="array" ref="S1050">ifna(xlookup(L1050,'🙎‍♂️ Pasien'!$G$5:$G1508,'🙎‍♂️ Pasien'!$U$5:$U1508),"")</f>
        <v>-</v>
      </c>
      <c r="T1050" s="97" t="s">
        <v>59</v>
      </c>
      <c r="U1050" s="105" t="s">
        <v>60</v>
      </c>
      <c r="V1050" s="101"/>
      <c r="W1050" s="106" t="b">
        <v>1</v>
      </c>
      <c r="X1050" s="107"/>
      <c r="Y1050" s="108"/>
    </row>
    <row r="1051" ht="22.5" customHeight="1">
      <c r="A1051" s="96"/>
      <c r="B1051" s="97" t="s">
        <v>53</v>
      </c>
      <c r="C1051" s="98" t="str">
        <f t="array" ref="C1051">IFNA(XLOOKUP(J1051,'⚙️ Pengaturan'!$H$5:$H1508,'⚙️ Pengaturan'!$I$5:$I1508),"")</f>
        <v>TIM A</v>
      </c>
      <c r="D1051" s="97" t="s">
        <v>86</v>
      </c>
      <c r="E1051" s="99">
        <v>45993.0</v>
      </c>
      <c r="F1051" s="100" t="str">
        <f t="shared" si="1"/>
        <v>2025</v>
      </c>
      <c r="G1051" s="100" t="str">
        <f t="shared" si="2"/>
        <v>12Des</v>
      </c>
      <c r="H1051" s="100" t="str">
        <f t="shared" si="3"/>
        <v>Selasa</v>
      </c>
      <c r="I1051" s="97" t="s">
        <v>74</v>
      </c>
      <c r="J1051" s="97" t="s">
        <v>72</v>
      </c>
      <c r="K1051" s="97" t="s">
        <v>63</v>
      </c>
      <c r="L1051" s="101" t="s">
        <v>129</v>
      </c>
      <c r="M1051" s="102" t="str">
        <f>IFNA(VLOOKUP(L1051,'🙎‍♂️ Pasien'!G:V,2,FALSE),"")</f>
        <v>D1025091558</v>
      </c>
      <c r="N1051" s="103">
        <f>IFNA(VLOOKUP(L1051,'🙎‍♂️ Pasien'!G:L,3,FALSE),"")</f>
        <v>16</v>
      </c>
      <c r="O1051" s="104" t="str">
        <f>IFNA(VLOOKUP(L1051,'🙎‍♂️ Pasien'!G:V,6,FALSE),"")</f>
        <v>LAKI-LAKI</v>
      </c>
      <c r="P1051" s="104" t="str">
        <f>IFNA(VLOOKUP(L1051,'🙎‍♂️ Pasien'!G:V,12,FALSE),"")</f>
        <v>PROTESTAN</v>
      </c>
      <c r="Q1051" s="104" t="str">
        <f>IFNA(VLOOKUP(L1051:L1508,'🙎‍♂️ Pasien'!G:V,13,FALSE),"")</f>
        <v>MASI SEKOLAH</v>
      </c>
      <c r="R1051" s="104" t="str">
        <f t="array" ref="R1051">ifna(xlookup(L1051,'🙎‍♂️ Pasien'!$G$5:$G1508,'🙎‍♂️ Pasien'!$T$5:$T1508),"")</f>
        <v>SAKIT DI BAGIAN LUTUT</v>
      </c>
      <c r="S1051" s="104" t="str">
        <f t="array" ref="S1051">ifna(xlookup(L1051,'🙎‍♂️ Pasien'!$G$5:$G1508,'🙎‍♂️ Pasien'!$U$5:$U1508),"")</f>
        <v>BASKET</v>
      </c>
      <c r="T1051" s="97" t="s">
        <v>59</v>
      </c>
      <c r="U1051" s="105">
        <v>1.0</v>
      </c>
      <c r="V1051" s="101" t="s">
        <v>256</v>
      </c>
      <c r="W1051" s="106" t="b">
        <v>1</v>
      </c>
      <c r="X1051" s="107"/>
      <c r="Y1051" s="108"/>
    </row>
    <row r="1052" ht="22.5" customHeight="1">
      <c r="A1052" s="96"/>
      <c r="B1052" s="97" t="s">
        <v>53</v>
      </c>
      <c r="C1052" s="98" t="str">
        <f t="array" ref="C1052">IFNA(XLOOKUP(J1052,'⚙️ Pengaturan'!$H$5:$H1508,'⚙️ Pengaturan'!$I$5:$I1508),"")</f>
        <v>MANAJEMEN</v>
      </c>
      <c r="D1052" s="97" t="s">
        <v>86</v>
      </c>
      <c r="E1052" s="99">
        <v>45993.0</v>
      </c>
      <c r="F1052" s="100" t="str">
        <f t="shared" si="1"/>
        <v>2025</v>
      </c>
      <c r="G1052" s="100" t="str">
        <f t="shared" si="2"/>
        <v>12Des</v>
      </c>
      <c r="H1052" s="100" t="str">
        <f t="shared" si="3"/>
        <v>Selasa</v>
      </c>
      <c r="I1052" s="97" t="s">
        <v>76</v>
      </c>
      <c r="J1052" s="97" t="s">
        <v>101</v>
      </c>
      <c r="K1052" s="97" t="s">
        <v>63</v>
      </c>
      <c r="L1052" s="101" t="s">
        <v>552</v>
      </c>
      <c r="M1052" s="102" t="str">
        <f>IFNA(VLOOKUP(L1052,'🙎‍♂️ Pasien'!G:V,2,FALSE),"")</f>
        <v>E8825039292</v>
      </c>
      <c r="N1052" s="103">
        <f>IFNA(VLOOKUP(L1052,'🙎‍♂️ Pasien'!G:L,3,FALSE),"")</f>
        <v>37</v>
      </c>
      <c r="O1052" s="104" t="str">
        <f>IFNA(VLOOKUP(L1052,'🙎‍♂️ Pasien'!G:V,6,FALSE),"")</f>
        <v>LAKI-LAKI</v>
      </c>
      <c r="P1052" s="104" t="str">
        <f>IFNA(VLOOKUP(L1052,'🙎‍♂️ Pasien'!G:V,12,FALSE),"")</f>
        <v>KATOLIK</v>
      </c>
      <c r="Q1052" s="104" t="str">
        <f>IFNA(VLOOKUP(L1052:L1508,'🙎‍♂️ Pasien'!G:V,13,FALSE),"")</f>
        <v>KARYAWAN SWASTA</v>
      </c>
      <c r="R1052" s="104" t="str">
        <f t="array" ref="R1052">ifna(xlookup(L1052,'🙎‍♂️ Pasien'!$G$5:$G1508,'🙎‍♂️ Pasien'!$T$5:$T1508),"")</f>
        <v>RUPTURE PATTELAR TENDON</v>
      </c>
      <c r="S1052" s="104" t="str">
        <f t="array" ref="S1052">ifna(xlookup(L1052,'🙎‍♂️ Pasien'!$G$5:$G1508,'🙎‍♂️ Pasien'!$U$5:$U1508),"")</f>
        <v>BASKET</v>
      </c>
      <c r="T1052" s="97" t="s">
        <v>59</v>
      </c>
      <c r="U1052" s="105">
        <v>5.0</v>
      </c>
      <c r="V1052" s="101" t="s">
        <v>633</v>
      </c>
      <c r="W1052" s="106" t="b">
        <v>1</v>
      </c>
      <c r="X1052" s="107"/>
      <c r="Y1052" s="108"/>
    </row>
    <row r="1053" ht="22.5" customHeight="1">
      <c r="A1053" s="96"/>
      <c r="B1053" s="97" t="s">
        <v>53</v>
      </c>
      <c r="C1053" s="98" t="str">
        <f t="array" ref="C1053">IFNA(XLOOKUP(J1053,'⚙️ Pengaturan'!$H$5:$H1508,'⚙️ Pengaturan'!$I$5:$I1508),"")</f>
        <v>TIM Y</v>
      </c>
      <c r="D1053" s="97" t="s">
        <v>86</v>
      </c>
      <c r="E1053" s="99">
        <v>45993.0</v>
      </c>
      <c r="F1053" s="100" t="str">
        <f t="shared" si="1"/>
        <v>2025</v>
      </c>
      <c r="G1053" s="100" t="str">
        <f t="shared" si="2"/>
        <v>12Des</v>
      </c>
      <c r="H1053" s="100" t="str">
        <f t="shared" si="3"/>
        <v>Selasa</v>
      </c>
      <c r="I1053" s="97" t="s">
        <v>76</v>
      </c>
      <c r="J1053" s="97" t="s">
        <v>56</v>
      </c>
      <c r="K1053" s="97" t="s">
        <v>57</v>
      </c>
      <c r="L1053" s="101" t="s">
        <v>634</v>
      </c>
      <c r="M1053" s="102" t="str">
        <f>IFNA(VLOOKUP(L1053,'🙎‍♂️ Pasien'!G:V,2,FALSE),"")</f>
        <v>F7725120001</v>
      </c>
      <c r="N1053" s="103">
        <f>IFNA(VLOOKUP(L1053,'🙎‍♂️ Pasien'!G:L,3,FALSE),"")</f>
        <v>48</v>
      </c>
      <c r="O1053" s="104" t="str">
        <f>IFNA(VLOOKUP(L1053,'🙎‍♂️ Pasien'!G:V,6,FALSE),"")</f>
        <v>LAKI-LAKI</v>
      </c>
      <c r="P1053" s="104" t="str">
        <f>IFNA(VLOOKUP(L1053,'🙎‍♂️ Pasien'!G:V,12,FALSE),"")</f>
        <v>ISLAM</v>
      </c>
      <c r="Q1053" s="104" t="str">
        <f>IFNA(VLOOKUP(L1053:L1508,'🙎‍♂️ Pasien'!G:V,13,FALSE),"")</f>
        <v>SWASTA</v>
      </c>
      <c r="R1053" s="104" t="str">
        <f t="array" ref="R1053">ifna(xlookup(L1053,'🙎‍♂️ Pasien'!$G$5:$G1508,'🙎‍♂️ Pasien'!$T$5:$T1508),"")</f>
        <v>NYERI SEKITAR PINGGANG</v>
      </c>
      <c r="S1053" s="104" t="str">
        <f t="array" ref="S1053">ifna(xlookup(L1053,'🙎‍♂️ Pasien'!$G$5:$G1508,'🙎‍♂️ Pasien'!$U$5:$U1508),"")</f>
        <v>BERMOTOR, OLAH RAGA TENIS</v>
      </c>
      <c r="T1053" s="97" t="s">
        <v>59</v>
      </c>
      <c r="U1053" s="105" t="s">
        <v>60</v>
      </c>
      <c r="V1053" s="101"/>
      <c r="W1053" s="106" t="b">
        <v>1</v>
      </c>
      <c r="X1053" s="107"/>
      <c r="Y1053" s="108"/>
    </row>
    <row r="1054" ht="22.5" customHeight="1">
      <c r="A1054" s="96"/>
      <c r="B1054" s="97" t="s">
        <v>53</v>
      </c>
      <c r="C1054" s="98" t="str">
        <f t="array" ref="C1054">IFNA(XLOOKUP(J1054,'⚙️ Pengaturan'!$H$5:$H1508,'⚙️ Pengaturan'!$I$5:$I1508),"")</f>
        <v>TIM A</v>
      </c>
      <c r="D1054" s="97" t="s">
        <v>86</v>
      </c>
      <c r="E1054" s="99">
        <v>45993.0</v>
      </c>
      <c r="F1054" s="100" t="str">
        <f t="shared" si="1"/>
        <v>2025</v>
      </c>
      <c r="G1054" s="100" t="str">
        <f t="shared" si="2"/>
        <v>12Des</v>
      </c>
      <c r="H1054" s="100" t="str">
        <f t="shared" si="3"/>
        <v>Selasa</v>
      </c>
      <c r="I1054" s="97" t="s">
        <v>76</v>
      </c>
      <c r="J1054" s="97" t="s">
        <v>62</v>
      </c>
      <c r="K1054" s="97" t="s">
        <v>63</v>
      </c>
      <c r="L1054" s="101" t="s">
        <v>341</v>
      </c>
      <c r="M1054" s="102" t="str">
        <f>IFNA(VLOOKUP(L1054,'🙎‍♂️ Pasien'!G:V,2,FALSE),"")</f>
        <v>T7325100015</v>
      </c>
      <c r="N1054" s="103">
        <f>IFNA(VLOOKUP(L1054,'🙎‍♂️ Pasien'!G:L,3,FALSE),"")</f>
        <v>53</v>
      </c>
      <c r="O1054" s="104" t="str">
        <f>IFNA(VLOOKUP(L1054,'🙎‍♂️ Pasien'!G:V,6,FALSE),"")</f>
        <v>PEREMPUAN</v>
      </c>
      <c r="P1054" s="104" t="str">
        <f>IFNA(VLOOKUP(L1054,'🙎‍♂️ Pasien'!G:V,12,FALSE),"")</f>
        <v>ISLAM</v>
      </c>
      <c r="Q1054" s="104" t="str">
        <f>IFNA(VLOOKUP(L1054:L1508,'🙎‍♂️ Pasien'!G:V,13,FALSE),"")</f>
        <v>PNS</v>
      </c>
      <c r="R1054" s="104" t="str">
        <f t="array" ref="R1054">ifna(xlookup(L1054,'🙎‍♂️ Pasien'!$G$5:$G1508,'🙎‍♂️ Pasien'!$T$5:$T1508),"")</f>
        <v>SAKIT KAKI DAN PINGGANG</v>
      </c>
      <c r="S1054" s="104" t="str">
        <f t="array" ref="S1054">ifna(xlookup(L1054,'🙎‍♂️ Pasien'!$G$5:$G1508,'🙎‍♂️ Pasien'!$U$5:$U1508),"")</f>
        <v>NAIK TURUN TANGGA DAN JONGKOK</v>
      </c>
      <c r="T1054" s="97" t="s">
        <v>67</v>
      </c>
      <c r="U1054" s="105">
        <v>2.0</v>
      </c>
      <c r="V1054" s="101" t="s">
        <v>343</v>
      </c>
      <c r="W1054" s="106" t="b">
        <v>1</v>
      </c>
      <c r="X1054" s="107"/>
      <c r="Y1054" s="108"/>
    </row>
    <row r="1055" ht="22.5" customHeight="1">
      <c r="A1055" s="96"/>
      <c r="B1055" s="97" t="s">
        <v>53</v>
      </c>
      <c r="C1055" s="98" t="str">
        <f t="array" ref="C1055">IFNA(XLOOKUP(J1055,'⚙️ Pengaturan'!$H$5:$H1508,'⚙️ Pengaturan'!$I$5:$I1508),"")</f>
        <v>TIM Y</v>
      </c>
      <c r="D1055" s="97" t="s">
        <v>86</v>
      </c>
      <c r="E1055" s="99">
        <v>45993.0</v>
      </c>
      <c r="F1055" s="100" t="str">
        <f t="shared" si="1"/>
        <v>2025</v>
      </c>
      <c r="G1055" s="100" t="str">
        <f t="shared" si="2"/>
        <v>12Des</v>
      </c>
      <c r="H1055" s="100" t="str">
        <f t="shared" si="3"/>
        <v>Selasa</v>
      </c>
      <c r="I1055" s="97" t="s">
        <v>83</v>
      </c>
      <c r="J1055" s="97" t="s">
        <v>56</v>
      </c>
      <c r="K1055" s="97" t="s">
        <v>63</v>
      </c>
      <c r="L1055" s="101" t="s">
        <v>609</v>
      </c>
      <c r="M1055" s="102" t="str">
        <f>IFNA(VLOOKUP(L1055,'🙎‍♂️ Pasien'!G:V,2,FALSE),"")</f>
        <v>A5125112484</v>
      </c>
      <c r="N1055" s="103">
        <f>IFNA(VLOOKUP(L1055,'🙎‍♂️ Pasien'!G:L,3,FALSE),"")</f>
        <v>74</v>
      </c>
      <c r="O1055" s="104" t="str">
        <f>IFNA(VLOOKUP(L1055,'🙎‍♂️ Pasien'!G:V,6,FALSE),"")</f>
        <v>LAKI-LAKI</v>
      </c>
      <c r="P1055" s="104" t="str">
        <f>IFNA(VLOOKUP(L1055,'🙎‍♂️ Pasien'!G:V,12,FALSE),"")</f>
        <v>ISLAM</v>
      </c>
      <c r="Q1055" s="104" t="str">
        <f>IFNA(VLOOKUP(L1055:L1508,'🙎‍♂️ Pasien'!G:V,13,FALSE),"")</f>
        <v>PETANI</v>
      </c>
      <c r="R1055" s="104" t="str">
        <f t="array" ref="R1055">ifna(xlookup(L1055,'🙎‍♂️ Pasien'!$G$5:$G1508,'🙎‍♂️ Pasien'!$T$5:$T1508),"")</f>
        <v>NYERI DARI PAHA SAMPAI TELAPAK KAKI, STOKE SEBELAH KIRI SEJAK DUA BULAN LALU</v>
      </c>
      <c r="S1055" s="104" t="str">
        <f t="array" ref="S1055">ifna(xlookup(L1055,'🙎‍♂️ Pasien'!$G$5:$G1508,'🙎‍♂️ Pasien'!$U$5:$U1508),"")</f>
        <v>PEROKOK, NGOPI, SUKA MINUM MANIS MANIS</v>
      </c>
      <c r="T1055" s="97" t="s">
        <v>59</v>
      </c>
      <c r="U1055" s="105">
        <v>1.0</v>
      </c>
      <c r="V1055" s="101"/>
      <c r="W1055" s="106" t="b">
        <v>1</v>
      </c>
      <c r="X1055" s="107"/>
      <c r="Y1055" s="108"/>
    </row>
    <row r="1056" ht="22.5" customHeight="1">
      <c r="A1056" s="96"/>
      <c r="B1056" s="97" t="s">
        <v>53</v>
      </c>
      <c r="C1056" s="98" t="str">
        <f t="array" ref="C1056">IFNA(XLOOKUP(J1056,'⚙️ Pengaturan'!$H$5:$H1508,'⚙️ Pengaturan'!$I$5:$I1508),"")</f>
        <v>TIM A</v>
      </c>
      <c r="D1056" s="97" t="s">
        <v>86</v>
      </c>
      <c r="E1056" s="99">
        <v>45993.0</v>
      </c>
      <c r="F1056" s="100" t="str">
        <f t="shared" si="1"/>
        <v>2025</v>
      </c>
      <c r="G1056" s="100" t="str">
        <f t="shared" si="2"/>
        <v>12Des</v>
      </c>
      <c r="H1056" s="100" t="str">
        <f t="shared" si="3"/>
        <v>Selasa</v>
      </c>
      <c r="I1056" s="97" t="s">
        <v>83</v>
      </c>
      <c r="J1056" s="97" t="s">
        <v>72</v>
      </c>
      <c r="K1056" s="97" t="s">
        <v>57</v>
      </c>
      <c r="L1056" s="101" t="s">
        <v>635</v>
      </c>
      <c r="M1056" s="102" t="str">
        <f>IFNA(VLOOKUP(L1056,'🙎‍♂️ Pasien'!G:V,2,FALSE),"")</f>
        <v>A8824129408</v>
      </c>
      <c r="N1056" s="103">
        <f>IFNA(VLOOKUP(L1056,'🙎‍♂️ Pasien'!G:L,3,FALSE),"")</f>
        <v>37</v>
      </c>
      <c r="O1056" s="104" t="str">
        <f>IFNA(VLOOKUP(L1056,'🙎‍♂️ Pasien'!G:V,6,FALSE),"")</f>
        <v>LAKI-LAKI</v>
      </c>
      <c r="P1056" s="104" t="str">
        <f>IFNA(VLOOKUP(L1056,'🙎‍♂️ Pasien'!G:V,12,FALSE),"")</f>
        <v>BUDDHA</v>
      </c>
      <c r="Q1056" s="104" t="str">
        <f>IFNA(VLOOKUP(L1056:L1508,'🙎‍♂️ Pasien'!G:V,13,FALSE),"")</f>
        <v>SWASTA</v>
      </c>
      <c r="R1056" s="104" t="str">
        <f t="array" ref="R1056">ifna(xlookup(L1056,'🙎‍♂️ Pasien'!$G$5:$G1508,'🙎‍♂️ Pasien'!$T$5:$T1508),"")</f>
        <v>LUTUT</v>
      </c>
      <c r="S1056" s="104" t="str">
        <f t="array" ref="S1056">ifna(xlookup(L1056,'🙎‍♂️ Pasien'!$G$5:$G1508,'🙎‍♂️ Pasien'!$U$5:$U1508),"")</f>
        <v>OLAHRAGA</v>
      </c>
      <c r="T1056" s="97" t="s">
        <v>59</v>
      </c>
      <c r="U1056" s="105" t="s">
        <v>60</v>
      </c>
      <c r="V1056" s="101"/>
      <c r="W1056" s="106" t="b">
        <v>1</v>
      </c>
      <c r="X1056" s="107"/>
      <c r="Y1056" s="108"/>
    </row>
    <row r="1057" ht="22.5" customHeight="1">
      <c r="A1057" s="96"/>
      <c r="B1057" s="97" t="s">
        <v>53</v>
      </c>
      <c r="C1057" s="98" t="str">
        <f t="array" ref="C1057">IFNA(XLOOKUP(J1057,'⚙️ Pengaturan'!$H$5:$H1508,'⚙️ Pengaturan'!$I$5:$I1508),"")</f>
        <v>TIM A</v>
      </c>
      <c r="D1057" s="97" t="s">
        <v>86</v>
      </c>
      <c r="E1057" s="99">
        <v>45993.0</v>
      </c>
      <c r="F1057" s="100" t="str">
        <f t="shared" si="1"/>
        <v>2025</v>
      </c>
      <c r="G1057" s="100" t="str">
        <f t="shared" si="2"/>
        <v>12Des</v>
      </c>
      <c r="H1057" s="100" t="str">
        <f t="shared" si="3"/>
        <v>Selasa</v>
      </c>
      <c r="I1057" s="97" t="s">
        <v>83</v>
      </c>
      <c r="J1057" s="97" t="s">
        <v>79</v>
      </c>
      <c r="K1057" s="97" t="s">
        <v>69</v>
      </c>
      <c r="L1057" s="101" t="s">
        <v>621</v>
      </c>
      <c r="M1057" s="102" t="str">
        <f>IFNA(VLOOKUP(L1057,'🙎‍♂️ Pasien'!G:V,2,FALSE),"")</f>
        <v>N0725085070</v>
      </c>
      <c r="N1057" s="103">
        <f>IFNA(VLOOKUP(L1057,'🙎‍♂️ Pasien'!G:L,3,FALSE),"")</f>
        <v>18</v>
      </c>
      <c r="O1057" s="104" t="str">
        <f>IFNA(VLOOKUP(L1057,'🙎‍♂️ Pasien'!G:V,6,FALSE),"")</f>
        <v>PEREMPUAN</v>
      </c>
      <c r="P1057" s="104" t="str">
        <f>IFNA(VLOOKUP(L1057,'🙎‍♂️ Pasien'!G:V,12,FALSE),"")</f>
        <v>BUDDHA</v>
      </c>
      <c r="Q1057" s="104" t="str">
        <f>IFNA(VLOOKUP(L1057:L1508,'🙎‍♂️ Pasien'!G:V,13,FALSE),"")</f>
        <v>PELAJAR</v>
      </c>
      <c r="R1057" s="104" t="str">
        <f t="array" ref="R1057">ifna(xlookup(L1057,'🙎‍♂️ Pasien'!$G$5:$G1508,'🙎‍♂️ Pasien'!$T$5:$T1508),"")</f>
        <v>SKOLIOSIS</v>
      </c>
      <c r="S1057" s="104" t="str">
        <f t="array" ref="S1057">ifna(xlookup(L1057,'🙎‍♂️ Pasien'!$G$5:$G1508,'🙎‍♂️ Pasien'!$U$5:$U1508),"")</f>
        <v>MELUKIS</v>
      </c>
      <c r="T1057" s="97" t="s">
        <v>59</v>
      </c>
      <c r="U1057" s="105" t="s">
        <v>60</v>
      </c>
      <c r="V1057" s="101"/>
      <c r="W1057" s="106" t="b">
        <v>1</v>
      </c>
      <c r="X1057" s="107"/>
      <c r="Y1057" s="108"/>
    </row>
    <row r="1058" ht="22.5" customHeight="1">
      <c r="A1058" s="96"/>
      <c r="B1058" s="97" t="s">
        <v>53</v>
      </c>
      <c r="C1058" s="98" t="str">
        <f t="array" ref="C1058">IFNA(XLOOKUP(J1058,'⚙️ Pengaturan'!$H$5:$H1508,'⚙️ Pengaturan'!$I$5:$I1508),"")</f>
        <v>TIM A</v>
      </c>
      <c r="D1058" s="97" t="s">
        <v>86</v>
      </c>
      <c r="E1058" s="99">
        <v>45993.0</v>
      </c>
      <c r="F1058" s="100" t="str">
        <f t="shared" si="1"/>
        <v>2025</v>
      </c>
      <c r="G1058" s="100" t="str">
        <f t="shared" si="2"/>
        <v>12Des</v>
      </c>
      <c r="H1058" s="100" t="str">
        <f t="shared" si="3"/>
        <v>Selasa</v>
      </c>
      <c r="I1058" s="97" t="s">
        <v>83</v>
      </c>
      <c r="J1058" s="97" t="s">
        <v>62</v>
      </c>
      <c r="K1058" s="97" t="s">
        <v>63</v>
      </c>
      <c r="L1058" s="101" t="s">
        <v>149</v>
      </c>
      <c r="M1058" s="102" t="str">
        <f>IFNA(VLOOKUP(L1058,'🙎‍♂️ Pasien'!G:V,2,FALSE),"")</f>
        <v>S9825058991</v>
      </c>
      <c r="N1058" s="103">
        <f>IFNA(VLOOKUP(L1058,'🙎‍♂️ Pasien'!G:L,3,FALSE),"")</f>
        <v>27</v>
      </c>
      <c r="O1058" s="104" t="str">
        <f>IFNA(VLOOKUP(L1058,'🙎‍♂️ Pasien'!G:V,6,FALSE),"")</f>
        <v>PEREMPUAN</v>
      </c>
      <c r="P1058" s="104" t="str">
        <f>IFNA(VLOOKUP(L1058,'🙎‍♂️ Pasien'!G:V,12,FALSE),"")</f>
        <v>ISLAM</v>
      </c>
      <c r="Q1058" s="104" t="str">
        <f>IFNA(VLOOKUP(L1058:L1508,'🙎‍♂️ Pasien'!G:V,13,FALSE),"")</f>
        <v>SWASTA</v>
      </c>
      <c r="R1058" s="104" t="str">
        <f t="array" ref="R1058">ifna(xlookup(L1058,'🙎‍♂️ Pasien'!$G$5:$G1508,'🙎‍♂️ Pasien'!$T$5:$T1508),"")</f>
        <v>HNP LUMBAL/SARAF KEJEPIT</v>
      </c>
      <c r="S1058" s="104" t="str">
        <f t="array" ref="S1058">ifna(xlookup(L1058,'🙎‍♂️ Pasien'!$G$5:$G1508,'🙎‍♂️ Pasien'!$U$5:$U1508),"")</f>
        <v>BEKERJA KANTORAN</v>
      </c>
      <c r="T1058" s="97" t="s">
        <v>67</v>
      </c>
      <c r="U1058" s="105">
        <v>9.0</v>
      </c>
      <c r="V1058" s="101" t="s">
        <v>349</v>
      </c>
      <c r="W1058" s="106" t="b">
        <v>1</v>
      </c>
      <c r="X1058" s="107"/>
      <c r="Y1058" s="108"/>
    </row>
    <row r="1059" ht="22.5" customHeight="1">
      <c r="A1059" s="96"/>
      <c r="B1059" s="97" t="s">
        <v>85</v>
      </c>
      <c r="C1059" s="98" t="str">
        <f t="array" ref="C1059">IFNA(XLOOKUP(J1059,'⚙️ Pengaturan'!$H$5:$H1508,'⚙️ Pengaturan'!$I$5:$I1508),"")</f>
        <v>TIM Y</v>
      </c>
      <c r="D1059" s="97" t="s">
        <v>54</v>
      </c>
      <c r="E1059" s="99">
        <v>45993.0</v>
      </c>
      <c r="F1059" s="100" t="str">
        <f t="shared" si="1"/>
        <v>2025</v>
      </c>
      <c r="G1059" s="100" t="str">
        <f t="shared" si="2"/>
        <v>12Des</v>
      </c>
      <c r="H1059" s="100" t="str">
        <f t="shared" si="3"/>
        <v>Selasa</v>
      </c>
      <c r="I1059" s="97" t="s">
        <v>87</v>
      </c>
      <c r="J1059" s="97" t="s">
        <v>91</v>
      </c>
      <c r="K1059" s="97" t="s">
        <v>63</v>
      </c>
      <c r="L1059" s="101" t="s">
        <v>225</v>
      </c>
      <c r="M1059" s="102" t="str">
        <f>IFNA(VLOOKUP(L1059,'🙎‍♂️ Pasien'!G:V,2,FALSE),"")</f>
        <v>B8025102288</v>
      </c>
      <c r="N1059" s="103">
        <f>IFNA(VLOOKUP(L1059,'🙎‍♂️ Pasien'!G:L,3,FALSE),"")</f>
        <v>45</v>
      </c>
      <c r="O1059" s="104" t="str">
        <f>IFNA(VLOOKUP(L1059,'🙎‍♂️ Pasien'!G:V,6,FALSE),"")</f>
        <v>PEREMPUAN</v>
      </c>
      <c r="P1059" s="104" t="str">
        <f>IFNA(VLOOKUP(L1059,'🙎‍♂️ Pasien'!G:V,12,FALSE),"")</f>
        <v>ISLAM</v>
      </c>
      <c r="Q1059" s="104" t="str">
        <f>IFNA(VLOOKUP(L1059:L1508,'🙎‍♂️ Pasien'!G:V,13,FALSE),"")</f>
        <v>ASN</v>
      </c>
      <c r="R1059" s="104" t="str">
        <f t="array" ref="R1059">ifna(xlookup(L1059,'🙎‍♂️ Pasien'!$G$5:$G1508,'🙎‍♂️ Pasien'!$T$5:$T1508),"")</f>
        <v>KELUHAN SY NYERI DI TUMIT KIRI SM PAHA KANAN UT DIANGKAT SAMBIL DITEKUK KE ARAH SAMPING LUAR RASA NYA NYERI</v>
      </c>
      <c r="S1059" s="104" t="str">
        <f t="array" ref="S1059">ifna(xlookup(L1059,'🙎‍♂️ Pasien'!$G$5:$G1508,'🙎‍♂️ Pasien'!$U$5:$U1508),"")</f>
        <v>JOGING</v>
      </c>
      <c r="T1059" s="97" t="s">
        <v>59</v>
      </c>
      <c r="U1059" s="105">
        <v>2.0</v>
      </c>
      <c r="V1059" s="101"/>
      <c r="W1059" s="106" t="b">
        <v>1</v>
      </c>
      <c r="X1059" s="107"/>
      <c r="Y1059" s="108"/>
    </row>
    <row r="1060" ht="22.5" customHeight="1">
      <c r="A1060" s="96"/>
      <c r="B1060" s="97" t="s">
        <v>85</v>
      </c>
      <c r="C1060" s="98" t="str">
        <f t="array" ref="C1060">IFNA(XLOOKUP(J1060,'⚙️ Pengaturan'!$H$5:$H1508,'⚙️ Pengaturan'!$I$5:$I1508),"")</f>
        <v>TIM Y</v>
      </c>
      <c r="D1060" s="97" t="s">
        <v>54</v>
      </c>
      <c r="E1060" s="99">
        <v>45993.0</v>
      </c>
      <c r="F1060" s="100" t="str">
        <f t="shared" si="1"/>
        <v>2025</v>
      </c>
      <c r="G1060" s="100" t="str">
        <f t="shared" si="2"/>
        <v>12Des</v>
      </c>
      <c r="H1060" s="100" t="str">
        <f t="shared" si="3"/>
        <v>Selasa</v>
      </c>
      <c r="I1060" s="97" t="s">
        <v>87</v>
      </c>
      <c r="J1060" s="97" t="s">
        <v>107</v>
      </c>
      <c r="K1060" s="97" t="s">
        <v>69</v>
      </c>
      <c r="L1060" s="101" t="s">
        <v>116</v>
      </c>
      <c r="M1060" s="102" t="str">
        <f>IFNA(VLOOKUP(L1060,'🙎‍♂️ Pasien'!G:V,2,FALSE),"")</f>
        <v>H7825098625</v>
      </c>
      <c r="N1060" s="103">
        <f>IFNA(VLOOKUP(L1060,'🙎‍♂️ Pasien'!G:L,3,FALSE),"")</f>
        <v>47</v>
      </c>
      <c r="O1060" s="104" t="str">
        <f>IFNA(VLOOKUP(L1060,'🙎‍♂️ Pasien'!G:V,6,FALSE),"")</f>
        <v>LAKI-LAKI</v>
      </c>
      <c r="P1060" s="104" t="str">
        <f>IFNA(VLOOKUP(L1060,'🙎‍♂️ Pasien'!G:V,12,FALSE),"")</f>
        <v>KHONGHUCU</v>
      </c>
      <c r="Q1060" s="104" t="str">
        <f>IFNA(VLOOKUP(L1060:L1508,'🙎‍♂️ Pasien'!G:V,13,FALSE),"")</f>
        <v>WIRASWASTA</v>
      </c>
      <c r="R1060" s="104" t="str">
        <f t="array" ref="R1060">ifna(xlookup(L1060,'🙎‍♂️ Pasien'!$G$5:$G1508,'🙎‍♂️ Pasien'!$T$5:$T1508),"")</f>
        <v>SIANTAN</v>
      </c>
      <c r="S1060" s="104" t="str">
        <f t="array" ref="S1060">ifna(xlookup(L1060,'🙎‍♂️ Pasien'!$G$5:$G1508,'🙎‍♂️ Pasien'!$U$5:$U1508),"")</f>
        <v>GYM</v>
      </c>
      <c r="T1060" s="97" t="s">
        <v>59</v>
      </c>
      <c r="U1060" s="105">
        <v>5.0</v>
      </c>
      <c r="V1060" s="101" t="s">
        <v>125</v>
      </c>
      <c r="W1060" s="106" t="b">
        <v>1</v>
      </c>
      <c r="X1060" s="107"/>
      <c r="Y1060" s="108"/>
    </row>
    <row r="1061" ht="22.5" customHeight="1">
      <c r="A1061" s="96"/>
      <c r="B1061" s="97" t="s">
        <v>85</v>
      </c>
      <c r="C1061" s="98" t="str">
        <f t="array" ref="C1061">IFNA(XLOOKUP(J1061,'⚙️ Pengaturan'!$H$5:$H1508,'⚙️ Pengaturan'!$I$5:$I1508),"")</f>
        <v>TIM Y</v>
      </c>
      <c r="D1061" s="97" t="s">
        <v>54</v>
      </c>
      <c r="E1061" s="99">
        <v>45993.0</v>
      </c>
      <c r="F1061" s="100" t="str">
        <f t="shared" si="1"/>
        <v>2025</v>
      </c>
      <c r="G1061" s="100" t="str">
        <f t="shared" si="2"/>
        <v>12Des</v>
      </c>
      <c r="H1061" s="100" t="str">
        <f t="shared" si="3"/>
        <v>Selasa</v>
      </c>
      <c r="I1061" s="97" t="s">
        <v>87</v>
      </c>
      <c r="J1061" s="97" t="s">
        <v>88</v>
      </c>
      <c r="K1061" s="97" t="s">
        <v>57</v>
      </c>
      <c r="L1061" s="101" t="s">
        <v>636</v>
      </c>
      <c r="M1061" s="102" t="str">
        <f>IFNA(VLOOKUP(L1061,'🙎‍♂️ Pasien'!G:V,2,FALSE),"")</f>
        <v>S5625122439</v>
      </c>
      <c r="N1061" s="103">
        <f>IFNA(VLOOKUP(L1061,'🙎‍♂️ Pasien'!G:L,3,FALSE),"")</f>
        <v>69</v>
      </c>
      <c r="O1061" s="104" t="str">
        <f>IFNA(VLOOKUP(L1061,'🙎‍♂️ Pasien'!G:V,6,FALSE),"")</f>
        <v>LAKI-LAKI</v>
      </c>
      <c r="P1061" s="104" t="str">
        <f>IFNA(VLOOKUP(L1061,'🙎‍♂️ Pasien'!G:V,12,FALSE),"")</f>
        <v>ISLAM</v>
      </c>
      <c r="Q1061" s="104" t="str">
        <f>IFNA(VLOOKUP(L1061:L1508,'🙎‍♂️ Pasien'!G:V,13,FALSE),"")</f>
        <v>PENSIUNAN</v>
      </c>
      <c r="R1061" s="104" t="str">
        <f t="array" ref="R1061">ifna(xlookup(L1061,'🙎‍♂️ Pasien'!$G$5:$G1508,'🙎‍♂️ Pasien'!$T$5:$T1508),"")</f>
        <v>KAKI</v>
      </c>
      <c r="S1061" s="104" t="str">
        <f t="array" ref="S1061">ifna(xlookup(L1061,'🙎‍♂️ Pasien'!$G$5:$G1508,'🙎‍♂️ Pasien'!$U$5:$U1508),"")</f>
        <v>-</v>
      </c>
      <c r="T1061" s="97" t="s">
        <v>67</v>
      </c>
      <c r="U1061" s="105" t="s">
        <v>60</v>
      </c>
      <c r="V1061" s="101" t="s">
        <v>375</v>
      </c>
      <c r="W1061" s="106" t="b">
        <v>1</v>
      </c>
      <c r="X1061" s="107"/>
      <c r="Y1061" s="108"/>
    </row>
    <row r="1062" ht="22.5" customHeight="1">
      <c r="A1062" s="96"/>
      <c r="B1062" s="97" t="s">
        <v>85</v>
      </c>
      <c r="C1062" s="98" t="str">
        <f t="array" ref="C1062">IFNA(XLOOKUP(J1062,'⚙️ Pengaturan'!$H$5:$H1508,'⚙️ Pengaturan'!$I$5:$I1508),"")</f>
        <v>TIM Y</v>
      </c>
      <c r="D1062" s="97" t="s">
        <v>54</v>
      </c>
      <c r="E1062" s="99">
        <v>45993.0</v>
      </c>
      <c r="F1062" s="100" t="str">
        <f t="shared" si="1"/>
        <v>2025</v>
      </c>
      <c r="G1062" s="100" t="str">
        <f t="shared" si="2"/>
        <v>12Des</v>
      </c>
      <c r="H1062" s="100" t="str">
        <f t="shared" si="3"/>
        <v>Selasa</v>
      </c>
      <c r="I1062" s="97" t="s">
        <v>93</v>
      </c>
      <c r="J1062" s="97" t="s">
        <v>88</v>
      </c>
      <c r="K1062" s="97" t="s">
        <v>69</v>
      </c>
      <c r="L1062" s="101" t="s">
        <v>556</v>
      </c>
      <c r="M1062" s="102" t="str">
        <f>IFNA(VLOOKUP(L1062,'🙎‍♂️ Pasien'!G:V,2,FALSE),"")</f>
        <v>M0025117586</v>
      </c>
      <c r="N1062" s="103">
        <f>IFNA(VLOOKUP(L1062,'🙎‍♂️ Pasien'!G:L,3,FALSE),"")</f>
        <v>25</v>
      </c>
      <c r="O1062" s="104" t="str">
        <f>IFNA(VLOOKUP(L1062,'🙎‍♂️ Pasien'!G:V,6,FALSE),"")</f>
        <v>LAKI-LAKI</v>
      </c>
      <c r="P1062" s="104" t="str">
        <f>IFNA(VLOOKUP(L1062,'🙎‍♂️ Pasien'!G:V,12,FALSE),"")</f>
        <v>ISLAM</v>
      </c>
      <c r="Q1062" s="104" t="str">
        <f>IFNA(VLOOKUP(L1062:L1508,'🙎‍♂️ Pasien'!G:V,13,FALSE),"")</f>
        <v>WIRASWASTA</v>
      </c>
      <c r="R1062" s="104" t="str">
        <f t="array" ref="R1062">ifna(xlookup(L1062,'🙎‍♂️ Pasien'!$G$5:$G1508,'🙎‍♂️ Pasien'!$T$5:$T1508),"")</f>
        <v>KESEMUTAN TANGAN KIRI</v>
      </c>
      <c r="S1062" s="104" t="str">
        <f t="array" ref="S1062">ifna(xlookup(L1062,'🙎‍♂️ Pasien'!$G$5:$G1508,'🙎‍♂️ Pasien'!$U$5:$U1508),"")</f>
        <v>GYM</v>
      </c>
      <c r="T1062" s="97" t="s">
        <v>59</v>
      </c>
      <c r="U1062" s="105" t="s">
        <v>60</v>
      </c>
      <c r="V1062" s="101"/>
      <c r="W1062" s="106" t="b">
        <v>1</v>
      </c>
      <c r="X1062" s="107"/>
      <c r="Y1062" s="108"/>
    </row>
    <row r="1063" ht="22.5" customHeight="1">
      <c r="A1063" s="96"/>
      <c r="B1063" s="97" t="s">
        <v>85</v>
      </c>
      <c r="C1063" s="98" t="str">
        <f t="array" ref="C1063">IFNA(XLOOKUP(J1063,'⚙️ Pengaturan'!$H$5:$H1508,'⚙️ Pengaturan'!$I$5:$I1508),"")</f>
        <v>TIM Y</v>
      </c>
      <c r="D1063" s="97" t="s">
        <v>54</v>
      </c>
      <c r="E1063" s="99">
        <v>45993.0</v>
      </c>
      <c r="F1063" s="100" t="str">
        <f t="shared" si="1"/>
        <v>2025</v>
      </c>
      <c r="G1063" s="100" t="str">
        <f t="shared" si="2"/>
        <v>12Des</v>
      </c>
      <c r="H1063" s="100" t="str">
        <f t="shared" si="3"/>
        <v>Selasa</v>
      </c>
      <c r="I1063" s="97" t="s">
        <v>93</v>
      </c>
      <c r="J1063" s="97" t="s">
        <v>91</v>
      </c>
      <c r="K1063" s="97" t="s">
        <v>63</v>
      </c>
      <c r="L1063" s="101" t="s">
        <v>571</v>
      </c>
      <c r="M1063" s="102" t="str">
        <f>IFNA(VLOOKUP(L1063,'🙎‍♂️ Pasien'!G:V,2,FALSE),"")</f>
        <v>S9225116214</v>
      </c>
      <c r="N1063" s="103">
        <f>IFNA(VLOOKUP(L1063,'🙎‍♂️ Pasien'!G:L,3,FALSE),"")</f>
        <v>33</v>
      </c>
      <c r="O1063" s="104" t="str">
        <f>IFNA(VLOOKUP(L1063,'🙎‍♂️ Pasien'!G:V,6,FALSE),"")</f>
        <v>PEREMPUAN</v>
      </c>
      <c r="P1063" s="104" t="str">
        <f>IFNA(VLOOKUP(L1063,'🙎‍♂️ Pasien'!G:V,12,FALSE),"")</f>
        <v>ISLAM</v>
      </c>
      <c r="Q1063" s="104" t="str">
        <f>IFNA(VLOOKUP(L1063:L1508,'🙎‍♂️ Pasien'!G:V,13,FALSE),"")</f>
        <v>PNS</v>
      </c>
      <c r="R1063" s="104" t="str">
        <f t="array" ref="R1063">ifna(xlookup(L1063,'🙎‍♂️ Pasien'!$G$5:$G1508,'🙎‍♂️ Pasien'!$T$5:$T1508),"")</f>
        <v>KAKI SEBELAH KIRI TERKILIR KARENA JATUH DARI TANGGA</v>
      </c>
      <c r="S1063" s="104" t="str">
        <f t="array" ref="S1063">ifna(xlookup(L1063,'🙎‍♂️ Pasien'!$G$5:$G1508,'🙎‍♂️ Pasien'!$U$5:$U1508),"")</f>
        <v>BEKERJA</v>
      </c>
      <c r="T1063" s="97" t="s">
        <v>59</v>
      </c>
      <c r="U1063" s="105">
        <v>3.0</v>
      </c>
      <c r="V1063" s="101"/>
      <c r="W1063" s="106" t="b">
        <v>1</v>
      </c>
      <c r="X1063" s="107"/>
      <c r="Y1063" s="108"/>
    </row>
    <row r="1064" ht="22.5" customHeight="1">
      <c r="A1064" s="96"/>
      <c r="B1064" s="97" t="s">
        <v>85</v>
      </c>
      <c r="C1064" s="98" t="str">
        <f t="array" ref="C1064">IFNA(XLOOKUP(J1064,'⚙️ Pengaturan'!$H$5:$H1508,'⚙️ Pengaturan'!$I$5:$I1508),"")</f>
        <v>TIM Y</v>
      </c>
      <c r="D1064" s="97" t="s">
        <v>54</v>
      </c>
      <c r="E1064" s="99">
        <v>45993.0</v>
      </c>
      <c r="F1064" s="100" t="str">
        <f t="shared" si="1"/>
        <v>2025</v>
      </c>
      <c r="G1064" s="100" t="str">
        <f t="shared" si="2"/>
        <v>12Des</v>
      </c>
      <c r="H1064" s="100" t="str">
        <f t="shared" si="3"/>
        <v>Selasa</v>
      </c>
      <c r="I1064" s="97" t="s">
        <v>95</v>
      </c>
      <c r="J1064" s="97" t="s">
        <v>107</v>
      </c>
      <c r="K1064" s="97" t="s">
        <v>63</v>
      </c>
      <c r="L1064" s="101" t="s">
        <v>193</v>
      </c>
      <c r="M1064" s="102" t="str">
        <f>IFNA(VLOOKUP(L1064,'🙎‍♂️ Pasien'!G:V,2,FALSE),"")</f>
        <v>E8925075615</v>
      </c>
      <c r="N1064" s="103">
        <f>IFNA(VLOOKUP(L1064,'🙎‍♂️ Pasien'!G:L,3,FALSE),"")</f>
        <v>36</v>
      </c>
      <c r="O1064" s="104" t="str">
        <f>IFNA(VLOOKUP(L1064,'🙎‍♂️ Pasien'!G:V,6,FALSE),"")</f>
        <v>PEREMPUAN</v>
      </c>
      <c r="P1064" s="104" t="str">
        <f>IFNA(VLOOKUP(L1064,'🙎‍♂️ Pasien'!G:V,12,FALSE),"")</f>
        <v>KATOLIK</v>
      </c>
      <c r="Q1064" s="104" t="str">
        <f>IFNA(VLOOKUP(L1064:L1508,'🙎‍♂️ Pasien'!G:V,13,FALSE),"")</f>
        <v>WIRASWASTA</v>
      </c>
      <c r="R1064" s="104" t="str">
        <f t="array" ref="R1064">ifna(xlookup(L1064,'🙎‍♂️ Pasien'!$G$5:$G1508,'🙎‍♂️ Pasien'!$T$5:$T1508),"")</f>
        <v>BUNION</v>
      </c>
      <c r="S1064" s="104" t="str">
        <f t="array" ref="S1064">ifna(xlookup(L1064,'🙎‍♂️ Pasien'!$G$5:$G1508,'🙎‍♂️ Pasien'!$U$5:$U1508),"")</f>
        <v>TENNIS</v>
      </c>
      <c r="T1064" s="97" t="s">
        <v>59</v>
      </c>
      <c r="U1064" s="105">
        <v>5.0</v>
      </c>
      <c r="V1064" s="101"/>
      <c r="W1064" s="106" t="b">
        <v>1</v>
      </c>
      <c r="X1064" s="107"/>
      <c r="Y1064" s="108"/>
    </row>
    <row r="1065" ht="22.5" customHeight="1">
      <c r="A1065" s="96"/>
      <c r="B1065" s="97" t="s">
        <v>85</v>
      </c>
      <c r="C1065" s="98" t="str">
        <f t="array" ref="C1065">IFNA(XLOOKUP(J1065,'⚙️ Pengaturan'!$H$5:$H1508,'⚙️ Pengaturan'!$I$5:$I1508),"")</f>
        <v>TIM Y</v>
      </c>
      <c r="D1065" s="97" t="s">
        <v>54</v>
      </c>
      <c r="E1065" s="99">
        <v>45993.0</v>
      </c>
      <c r="F1065" s="100" t="str">
        <f t="shared" si="1"/>
        <v>2025</v>
      </c>
      <c r="G1065" s="100" t="str">
        <f t="shared" si="2"/>
        <v>12Des</v>
      </c>
      <c r="H1065" s="100" t="str">
        <f t="shared" si="3"/>
        <v>Selasa</v>
      </c>
      <c r="I1065" s="97" t="s">
        <v>95</v>
      </c>
      <c r="J1065" s="97" t="s">
        <v>91</v>
      </c>
      <c r="K1065" s="97" t="s">
        <v>69</v>
      </c>
      <c r="L1065" s="101" t="s">
        <v>587</v>
      </c>
      <c r="M1065" s="102" t="str">
        <f>IFNA(VLOOKUP(L1065,'🙎‍♂️ Pasien'!G:V,2,FALSE),"")</f>
        <v>H0625118331</v>
      </c>
      <c r="N1065" s="103">
        <f>IFNA(VLOOKUP(L1065,'🙎‍♂️ Pasien'!G:L,3,FALSE),"")</f>
        <v>20</v>
      </c>
      <c r="O1065" s="104" t="str">
        <f>IFNA(VLOOKUP(L1065,'🙎‍♂️ Pasien'!G:V,6,FALSE),"")</f>
        <v>LAKI-LAKI</v>
      </c>
      <c r="P1065" s="104" t="str">
        <f>IFNA(VLOOKUP(L1065,'🙎‍♂️ Pasien'!G:V,12,FALSE),"")</f>
        <v>PROTESTAN</v>
      </c>
      <c r="Q1065" s="104" t="str">
        <f>IFNA(VLOOKUP(L1065:L1508,'🙎‍♂️ Pasien'!G:V,13,FALSE),"")</f>
        <v>-</v>
      </c>
      <c r="R1065" s="104" t="str">
        <f t="array" ref="R1065">ifna(xlookup(L1065,'🙎‍♂️ Pasien'!$G$5:$G1508,'🙎‍♂️ Pasien'!$T$5:$T1508),"")</f>
        <v>NYERI LUTUT SAMPING</v>
      </c>
      <c r="S1065" s="104" t="str">
        <f t="array" ref="S1065">ifna(xlookup(L1065,'🙎‍♂️ Pasien'!$G$5:$G1508,'🙎‍♂️ Pasien'!$U$5:$U1508),"")</f>
        <v>LARI RENANG</v>
      </c>
      <c r="T1065" s="97" t="s">
        <v>59</v>
      </c>
      <c r="U1065" s="105" t="s">
        <v>60</v>
      </c>
      <c r="V1065" s="101"/>
      <c r="W1065" s="106" t="b">
        <v>1</v>
      </c>
      <c r="X1065" s="107"/>
      <c r="Y1065" s="108"/>
    </row>
    <row r="1066" ht="22.5" customHeight="1">
      <c r="A1066" s="96"/>
      <c r="B1066" s="97" t="s">
        <v>85</v>
      </c>
      <c r="C1066" s="98" t="str">
        <f t="array" ref="C1066">IFNA(XLOOKUP(J1066,'⚙️ Pengaturan'!$H$5:$H1508,'⚙️ Pengaturan'!$I$5:$I1508),"")</f>
        <v>TIM Y</v>
      </c>
      <c r="D1066" s="97" t="s">
        <v>54</v>
      </c>
      <c r="E1066" s="99">
        <v>45993.0</v>
      </c>
      <c r="F1066" s="100" t="str">
        <f t="shared" si="1"/>
        <v>2025</v>
      </c>
      <c r="G1066" s="100" t="str">
        <f t="shared" si="2"/>
        <v>12Des</v>
      </c>
      <c r="H1066" s="100" t="str">
        <f t="shared" si="3"/>
        <v>Selasa</v>
      </c>
      <c r="I1066" s="97" t="s">
        <v>95</v>
      </c>
      <c r="J1066" s="97" t="s">
        <v>91</v>
      </c>
      <c r="K1066" s="97" t="s">
        <v>63</v>
      </c>
      <c r="L1066" s="101" t="s">
        <v>194</v>
      </c>
      <c r="M1066" s="102" t="str">
        <f>IFNA(VLOOKUP(L1066,'🙎‍♂️ Pasien'!G:V,2,FALSE),"")</f>
        <v>O0925070649</v>
      </c>
      <c r="N1066" s="103">
        <f>IFNA(VLOOKUP(L1066,'🙎‍♂️ Pasien'!G:L,3,FALSE),"")</f>
        <v>16</v>
      </c>
      <c r="O1066" s="104" t="str">
        <f>IFNA(VLOOKUP(L1066,'🙎‍♂️ Pasien'!G:V,6,FALSE),"")</f>
        <v>PEREMPUAN</v>
      </c>
      <c r="P1066" s="104" t="str">
        <f>IFNA(VLOOKUP(L1066,'🙎‍♂️ Pasien'!G:V,12,FALSE),"")</f>
        <v>BUDDHA</v>
      </c>
      <c r="Q1066" s="104" t="str">
        <f>IFNA(VLOOKUP(L1066:L1508,'🙎‍♂️ Pasien'!G:V,13,FALSE),"")</f>
        <v>PELAJAR</v>
      </c>
      <c r="R1066" s="104" t="str">
        <f t="array" ref="R1066">ifna(xlookup(L1066,'🙎‍♂️ Pasien'!$G$5:$G1508,'🙎‍♂️ Pasien'!$T$5:$T1508),"")</f>
        <v>SKOLIOSIS</v>
      </c>
      <c r="S1066" s="104" t="str">
        <f t="array" ref="S1066">ifna(xlookup(L1066,'🙎‍♂️ Pasien'!$G$5:$G1508,'🙎‍♂️ Pasien'!$U$5:$U1508),"")</f>
        <v>TIDAK ADA</v>
      </c>
      <c r="T1066" s="97" t="s">
        <v>67</v>
      </c>
      <c r="U1066" s="105">
        <v>9.0</v>
      </c>
      <c r="V1066" s="101" t="s">
        <v>637</v>
      </c>
      <c r="W1066" s="106" t="b">
        <v>1</v>
      </c>
      <c r="X1066" s="107"/>
      <c r="Y1066" s="108"/>
    </row>
    <row r="1067" ht="22.5" customHeight="1">
      <c r="A1067" s="96"/>
      <c r="B1067" s="97" t="s">
        <v>85</v>
      </c>
      <c r="C1067" s="98" t="str">
        <f t="array" ref="C1067">IFNA(XLOOKUP(J1067,'⚙️ Pengaturan'!$H$5:$H1508,'⚙️ Pengaturan'!$I$5:$I1508),"")</f>
        <v>TIM Y</v>
      </c>
      <c r="D1067" s="97" t="s">
        <v>54</v>
      </c>
      <c r="E1067" s="99">
        <v>45993.0</v>
      </c>
      <c r="F1067" s="100" t="str">
        <f t="shared" si="1"/>
        <v>2025</v>
      </c>
      <c r="G1067" s="100" t="str">
        <f t="shared" si="2"/>
        <v>12Des</v>
      </c>
      <c r="H1067" s="100" t="str">
        <f t="shared" si="3"/>
        <v>Selasa</v>
      </c>
      <c r="I1067" s="97" t="s">
        <v>95</v>
      </c>
      <c r="J1067" s="97" t="s">
        <v>88</v>
      </c>
      <c r="K1067" s="97" t="s">
        <v>57</v>
      </c>
      <c r="L1067" s="101" t="s">
        <v>638</v>
      </c>
      <c r="M1067" s="102" t="str">
        <f>IFNA(VLOOKUP(L1067,'🙎‍♂️ Pasien'!G:V,2,FALSE),"")</f>
        <v>R9025120312</v>
      </c>
      <c r="N1067" s="103">
        <f>IFNA(VLOOKUP(L1067,'🙎‍♂️ Pasien'!G:L,3,FALSE),"")</f>
        <v>36</v>
      </c>
      <c r="O1067" s="104" t="str">
        <f>IFNA(VLOOKUP(L1067,'🙎‍♂️ Pasien'!G:V,6,FALSE),"")</f>
        <v>LAKI-LAKI</v>
      </c>
      <c r="P1067" s="104" t="str">
        <f>IFNA(VLOOKUP(L1067,'🙎‍♂️ Pasien'!G:V,12,FALSE),"")</f>
        <v>BUDDHA</v>
      </c>
      <c r="Q1067" s="104" t="str">
        <f>IFNA(VLOOKUP(L1067:L1508,'🙎‍♂️ Pasien'!G:V,13,FALSE),"")</f>
        <v>SWASTA</v>
      </c>
      <c r="R1067" s="104" t="str">
        <f t="array" ref="R1067">ifna(xlookup(L1067,'🙎‍♂️ Pasien'!$G$5:$G1508,'🙎‍♂️ Pasien'!$T$5:$T1508),"")</f>
        <v>KAKI KIRI SAKIT</v>
      </c>
      <c r="S1067" s="104" t="str">
        <f t="array" ref="S1067">ifna(xlookup(L1067,'🙎‍♂️ Pasien'!$G$5:$G1508,'🙎‍♂️ Pasien'!$U$5:$U1508),"")</f>
        <v>BADMINTON SEPAK BOLA</v>
      </c>
      <c r="T1067" s="97" t="s">
        <v>59</v>
      </c>
      <c r="U1067" s="105" t="s">
        <v>60</v>
      </c>
      <c r="V1067" s="101"/>
      <c r="W1067" s="106" t="b">
        <v>1</v>
      </c>
      <c r="X1067" s="107"/>
      <c r="Y1067" s="108"/>
    </row>
    <row r="1068" ht="22.5" customHeight="1">
      <c r="A1068" s="96"/>
      <c r="B1068" s="97" t="s">
        <v>85</v>
      </c>
      <c r="C1068" s="98" t="str">
        <f t="array" ref="C1068">IFNA(XLOOKUP(J1068,'⚙️ Pengaturan'!$H$5:$H1508,'⚙️ Pengaturan'!$I$5:$I1508),"")</f>
        <v>TIM Y</v>
      </c>
      <c r="D1068" s="97" t="s">
        <v>54</v>
      </c>
      <c r="E1068" s="99">
        <v>45993.0</v>
      </c>
      <c r="F1068" s="100" t="str">
        <f t="shared" si="1"/>
        <v>2025</v>
      </c>
      <c r="G1068" s="100" t="str">
        <f t="shared" si="2"/>
        <v>12Des</v>
      </c>
      <c r="H1068" s="100" t="str">
        <f t="shared" si="3"/>
        <v>Selasa</v>
      </c>
      <c r="I1068" s="97" t="s">
        <v>97</v>
      </c>
      <c r="J1068" s="97" t="s">
        <v>88</v>
      </c>
      <c r="K1068" s="97" t="s">
        <v>63</v>
      </c>
      <c r="L1068" s="101" t="s">
        <v>540</v>
      </c>
      <c r="M1068" s="102" t="str">
        <f>IFNA(VLOOKUP(L1068,'🙎‍♂️ Pasien'!G:V,2,FALSE),"")</f>
        <v>A9425110177</v>
      </c>
      <c r="N1068" s="103">
        <f>IFNA(VLOOKUP(L1068,'🙎‍♂️ Pasien'!G:L,3,FALSE),"")</f>
        <v>31</v>
      </c>
      <c r="O1068" s="104" t="str">
        <f>IFNA(VLOOKUP(L1068,'🙎‍♂️ Pasien'!G:V,6,FALSE),"")</f>
        <v>LAKI-LAKI</v>
      </c>
      <c r="P1068" s="104" t="str">
        <f>IFNA(VLOOKUP(L1068,'🙎‍♂️ Pasien'!G:V,12,FALSE),"")</f>
        <v>KATOLIK</v>
      </c>
      <c r="Q1068" s="104" t="str">
        <f>IFNA(VLOOKUP(L1068:L1508,'🙎‍♂️ Pasien'!G:V,13,FALSE),"")</f>
        <v>-</v>
      </c>
      <c r="R1068" s="104" t="str">
        <f t="array" ref="R1068">ifna(xlookup(L1068,'🙎‍♂️ Pasien'!$G$5:$G1508,'🙎‍♂️ Pasien'!$T$5:$T1508),"")</f>
        <v>PASCA OPERASI ACL</v>
      </c>
      <c r="S1068" s="104" t="str">
        <f t="array" ref="S1068">ifna(xlookup(L1068,'🙎‍♂️ Pasien'!$G$5:$G1508,'🙎‍♂️ Pasien'!$U$5:$U1508),"")</f>
        <v>-</v>
      </c>
      <c r="T1068" s="97" t="s">
        <v>59</v>
      </c>
      <c r="U1068" s="105">
        <v>1.0</v>
      </c>
      <c r="V1068" s="101"/>
      <c r="W1068" s="106" t="b">
        <v>1</v>
      </c>
      <c r="X1068" s="107"/>
      <c r="Y1068" s="108"/>
    </row>
    <row r="1069" ht="22.5" customHeight="1">
      <c r="A1069" s="96"/>
      <c r="B1069" s="97" t="s">
        <v>85</v>
      </c>
      <c r="C1069" s="98" t="str">
        <f t="array" ref="C1069">IFNA(XLOOKUP(J1069,'⚙️ Pengaturan'!$H$5:$H1508,'⚙️ Pengaturan'!$I$5:$I1508),"")</f>
        <v>TIM Y</v>
      </c>
      <c r="D1069" s="97" t="s">
        <v>54</v>
      </c>
      <c r="E1069" s="99">
        <v>45993.0</v>
      </c>
      <c r="F1069" s="100" t="str">
        <f t="shared" si="1"/>
        <v>2025</v>
      </c>
      <c r="G1069" s="100" t="str">
        <f t="shared" si="2"/>
        <v>12Des</v>
      </c>
      <c r="H1069" s="100" t="str">
        <f t="shared" si="3"/>
        <v>Selasa</v>
      </c>
      <c r="I1069" s="97" t="s">
        <v>97</v>
      </c>
      <c r="J1069" s="97" t="s">
        <v>91</v>
      </c>
      <c r="K1069" s="97" t="s">
        <v>57</v>
      </c>
      <c r="L1069" s="101" t="s">
        <v>639</v>
      </c>
      <c r="M1069" s="102" t="str">
        <f>IFNA(VLOOKUP(L1069,'🙎‍♂️ Pasien'!G:V,2,FALSE),"")</f>
        <v>Y6225125478</v>
      </c>
      <c r="N1069" s="103">
        <f>IFNA(VLOOKUP(L1069,'🙎‍♂️ Pasien'!G:L,3,FALSE),"")</f>
        <v>64</v>
      </c>
      <c r="O1069" s="104" t="str">
        <f>IFNA(VLOOKUP(L1069,'🙎‍♂️ Pasien'!G:V,6,FALSE),"")</f>
        <v>PEREMPUAN</v>
      </c>
      <c r="P1069" s="104" t="str">
        <f>IFNA(VLOOKUP(L1069,'🙎‍♂️ Pasien'!G:V,12,FALSE),"")</f>
        <v>ISLAM</v>
      </c>
      <c r="Q1069" s="104" t="str">
        <f>IFNA(VLOOKUP(L1069:L1508,'🙎‍♂️ Pasien'!G:V,13,FALSE),"")</f>
        <v>PEDAGANG</v>
      </c>
      <c r="R1069" s="104" t="str">
        <f t="array" ref="R1069">ifna(xlookup(L1069,'🙎‍♂️ Pasien'!$G$5:$G1508,'🙎‍♂️ Pasien'!$T$5:$T1508),"")</f>
        <v>DISLOKASI BAHU</v>
      </c>
      <c r="S1069" s="104" t="str">
        <f t="array" ref="S1069">ifna(xlookup(L1069,'🙎‍♂️ Pasien'!$G$5:$G1508,'🙎‍♂️ Pasien'!$U$5:$U1508),"")</f>
        <v>SERING MENGANGKAT BOTOL BERAT DENGAN 1 TANGAN, BERULANG SETIAP HARI, RIWAYAT JATUH DAN MENAHAN TUBUH DENGAN TANGAN KANAN HINGGA NYERI BAHU</v>
      </c>
      <c r="T1069" s="97" t="s">
        <v>59</v>
      </c>
      <c r="U1069" s="105" t="s">
        <v>60</v>
      </c>
      <c r="V1069" s="101"/>
      <c r="W1069" s="106" t="b">
        <v>1</v>
      </c>
      <c r="X1069" s="107"/>
      <c r="Y1069" s="108"/>
    </row>
    <row r="1070" ht="22.5" customHeight="1">
      <c r="A1070" s="96"/>
      <c r="B1070" s="97" t="s">
        <v>85</v>
      </c>
      <c r="C1070" s="98" t="str">
        <f t="array" ref="C1070">IFNA(XLOOKUP(J1070,'⚙️ Pengaturan'!$H$5:$H1508,'⚙️ Pengaturan'!$I$5:$I1508),"")</f>
        <v>TIM Y</v>
      </c>
      <c r="D1070" s="97" t="s">
        <v>54</v>
      </c>
      <c r="E1070" s="99">
        <v>45993.0</v>
      </c>
      <c r="F1070" s="100" t="str">
        <f t="shared" si="1"/>
        <v>2025</v>
      </c>
      <c r="G1070" s="100" t="str">
        <f t="shared" si="2"/>
        <v>12Des</v>
      </c>
      <c r="H1070" s="100" t="str">
        <f t="shared" si="3"/>
        <v>Selasa</v>
      </c>
      <c r="I1070" s="97" t="s">
        <v>99</v>
      </c>
      <c r="J1070" s="97" t="s">
        <v>91</v>
      </c>
      <c r="K1070" s="97" t="s">
        <v>69</v>
      </c>
      <c r="L1070" s="101" t="s">
        <v>500</v>
      </c>
      <c r="M1070" s="102" t="str">
        <f>IFNA(VLOOKUP(L1070,'🙎‍♂️ Pasien'!G:V,2,FALSE),"")</f>
        <v>M0125099595</v>
      </c>
      <c r="N1070" s="103">
        <f>IFNA(VLOOKUP(L1070,'🙎‍♂️ Pasien'!G:L,3,FALSE),"")</f>
        <v>24</v>
      </c>
      <c r="O1070" s="104" t="str">
        <f>IFNA(VLOOKUP(L1070,'🙎‍♂️ Pasien'!G:V,6,FALSE),"")</f>
        <v>LAKI-LAKI</v>
      </c>
      <c r="P1070" s="104" t="str">
        <f>IFNA(VLOOKUP(L1070,'🙎‍♂️ Pasien'!G:V,12,FALSE),"")</f>
        <v>KATOLIK</v>
      </c>
      <c r="Q1070" s="104" t="str">
        <f>IFNA(VLOOKUP(L1070:L1508,'🙎‍♂️ Pasien'!G:V,13,FALSE),"")</f>
        <v>KARYAWAN</v>
      </c>
      <c r="R1070" s="104" t="str">
        <f t="array" ref="R1070">ifna(xlookup(L1070,'🙎‍♂️ Pasien'!$G$5:$G1508,'🙎‍♂️ Pasien'!$T$5:$T1508),"")</f>
        <v>LUTUT</v>
      </c>
      <c r="S1070" s="104" t="str">
        <f t="array" ref="S1070">ifna(xlookup(L1070,'🙎‍♂️ Pasien'!$G$5:$G1508,'🙎‍♂️ Pasien'!$U$5:$U1508),"")</f>
        <v>BADMINTON DAN GYM</v>
      </c>
      <c r="T1070" s="97" t="s">
        <v>59</v>
      </c>
      <c r="U1070" s="105" t="s">
        <v>60</v>
      </c>
      <c r="V1070" s="101"/>
      <c r="W1070" s="106" t="b">
        <v>1</v>
      </c>
      <c r="X1070" s="107"/>
      <c r="Y1070" s="108"/>
    </row>
    <row r="1071" ht="22.5" customHeight="1">
      <c r="A1071" s="96"/>
      <c r="B1071" s="97" t="s">
        <v>53</v>
      </c>
      <c r="C1071" s="98" t="str">
        <f t="array" ref="C1071">IFNA(XLOOKUP(J1071,'⚙️ Pengaturan'!$H$5:$H1508,'⚙️ Pengaturan'!$I$5:$I1508),"")</f>
        <v>TIM A</v>
      </c>
      <c r="D1071" s="97" t="s">
        <v>54</v>
      </c>
      <c r="E1071" s="99">
        <v>45994.0</v>
      </c>
      <c r="F1071" s="100" t="str">
        <f t="shared" si="1"/>
        <v>2025</v>
      </c>
      <c r="G1071" s="100" t="str">
        <f t="shared" si="2"/>
        <v>12Des</v>
      </c>
      <c r="H1071" s="100" t="str">
        <f t="shared" si="3"/>
        <v>Rabu</v>
      </c>
      <c r="I1071" s="97" t="s">
        <v>55</v>
      </c>
      <c r="J1071" s="97" t="s">
        <v>62</v>
      </c>
      <c r="K1071" s="97" t="s">
        <v>69</v>
      </c>
      <c r="L1071" s="101" t="s">
        <v>632</v>
      </c>
      <c r="M1071" s="102" t="str">
        <f>IFNA(VLOOKUP(L1071,'🙎‍♂️ Pasien'!G:V,2,FALSE),"")</f>
        <v>C8525081338</v>
      </c>
      <c r="N1071" s="103">
        <f>IFNA(VLOOKUP(L1071,'🙎‍♂️ Pasien'!G:L,3,FALSE),"")</f>
        <v>40</v>
      </c>
      <c r="O1071" s="104" t="str">
        <f>IFNA(VLOOKUP(L1071,'🙎‍♂️ Pasien'!G:V,6,FALSE),"")</f>
        <v>PEREMPUAN</v>
      </c>
      <c r="P1071" s="104" t="str">
        <f>IFNA(VLOOKUP(L1071,'🙎‍♂️ Pasien'!G:V,12,FALSE),"")</f>
        <v>ISLAM</v>
      </c>
      <c r="Q1071" s="104" t="str">
        <f>IFNA(VLOOKUP(L1071:L1508,'🙎‍♂️ Pasien'!G:V,13,FALSE),"")</f>
        <v>PNS</v>
      </c>
      <c r="R1071" s="104" t="str">
        <f t="array" ref="R1071">ifna(xlookup(L1071,'🙎‍♂️ Pasien'!$G$5:$G1508,'🙎‍♂️ Pasien'!$T$5:$T1508),"")</f>
        <v>KRAM KAKI KIRI SAMPAI PINGGANG</v>
      </c>
      <c r="S1071" s="104" t="str">
        <f t="array" ref="S1071">ifna(xlookup(L1071,'🙎‍♂️ Pasien'!$G$5:$G1508,'🙎‍♂️ Pasien'!$U$5:$U1508),"")</f>
        <v>-</v>
      </c>
      <c r="T1071" s="97" t="s">
        <v>59</v>
      </c>
      <c r="U1071" s="105" t="s">
        <v>60</v>
      </c>
      <c r="V1071" s="101"/>
      <c r="W1071" s="106" t="b">
        <v>1</v>
      </c>
      <c r="X1071" s="107"/>
      <c r="Y1071" s="108"/>
    </row>
    <row r="1072" ht="22.5" customHeight="1">
      <c r="A1072" s="96"/>
      <c r="B1072" s="97" t="s">
        <v>53</v>
      </c>
      <c r="C1072" s="98" t="str">
        <f t="array" ref="C1072">IFNA(XLOOKUP(J1072,'⚙️ Pengaturan'!$H$5:$H1508,'⚙️ Pengaturan'!$I$5:$I1508),"")</f>
        <v>TIM A</v>
      </c>
      <c r="D1072" s="97" t="s">
        <v>54</v>
      </c>
      <c r="E1072" s="99">
        <v>45994.0</v>
      </c>
      <c r="F1072" s="100" t="str">
        <f t="shared" si="1"/>
        <v>2025</v>
      </c>
      <c r="G1072" s="100" t="str">
        <f t="shared" si="2"/>
        <v>12Des</v>
      </c>
      <c r="H1072" s="100" t="str">
        <f t="shared" si="3"/>
        <v>Rabu</v>
      </c>
      <c r="I1072" s="97" t="s">
        <v>55</v>
      </c>
      <c r="J1072" s="97" t="s">
        <v>79</v>
      </c>
      <c r="K1072" s="97" t="s">
        <v>63</v>
      </c>
      <c r="L1072" s="101" t="s">
        <v>616</v>
      </c>
      <c r="M1072" s="102" t="str">
        <f>IFNA(VLOOKUP(L1072,'🙎‍♂️ Pasien'!G:V,2,FALSE),"")</f>
        <v>R6725050750</v>
      </c>
      <c r="N1072" s="103">
        <f>IFNA(VLOOKUP(L1072,'🙎‍♂️ Pasien'!G:L,3,FALSE),"")</f>
        <v>58</v>
      </c>
      <c r="O1072" s="104" t="str">
        <f>IFNA(VLOOKUP(L1072,'🙎‍♂️ Pasien'!G:V,6,FALSE),"")</f>
        <v>PEREMPUAN</v>
      </c>
      <c r="P1072" s="104" t="str">
        <f>IFNA(VLOOKUP(L1072,'🙎‍♂️ Pasien'!G:V,12,FALSE),"")</f>
        <v>ISLAM</v>
      </c>
      <c r="Q1072" s="104" t="str">
        <f>IFNA(VLOOKUP(L1072:L1508,'🙎‍♂️ Pasien'!G:V,13,FALSE),"")</f>
        <v>PNS</v>
      </c>
      <c r="R1072" s="104" t="str">
        <f t="array" ref="R1072">ifna(xlookup(L1072,'🙎‍♂️ Pasien'!$G$5:$G1508,'🙎‍♂️ Pasien'!$T$5:$T1508),"")</f>
        <v>CTS</v>
      </c>
      <c r="S1072" s="104" t="str">
        <f t="array" ref="S1072">ifna(xlookup(L1072,'🙎‍♂️ Pasien'!$G$5:$G1508,'🙎‍♂️ Pasien'!$U$5:$U1508),"")</f>
        <v>-</v>
      </c>
      <c r="T1072" s="97" t="s">
        <v>59</v>
      </c>
      <c r="U1072" s="105">
        <v>1.0</v>
      </c>
      <c r="V1072" s="101"/>
      <c r="W1072" s="106" t="b">
        <v>1</v>
      </c>
      <c r="X1072" s="107"/>
      <c r="Y1072" s="108"/>
    </row>
    <row r="1073" ht="22.5" customHeight="1">
      <c r="A1073" s="96"/>
      <c r="B1073" s="97" t="s">
        <v>53</v>
      </c>
      <c r="C1073" s="98" t="str">
        <f t="array" ref="C1073">IFNA(XLOOKUP(J1073,'⚙️ Pengaturan'!$H$5:$H1508,'⚙️ Pengaturan'!$I$5:$I1508),"")</f>
        <v>TIM A</v>
      </c>
      <c r="D1073" s="97" t="s">
        <v>54</v>
      </c>
      <c r="E1073" s="99">
        <v>45994.0</v>
      </c>
      <c r="F1073" s="100" t="str">
        <f t="shared" si="1"/>
        <v>2025</v>
      </c>
      <c r="G1073" s="100" t="str">
        <f t="shared" si="2"/>
        <v>12Des</v>
      </c>
      <c r="H1073" s="100" t="str">
        <f t="shared" si="3"/>
        <v>Rabu</v>
      </c>
      <c r="I1073" s="97" t="s">
        <v>65</v>
      </c>
      <c r="J1073" s="97" t="s">
        <v>79</v>
      </c>
      <c r="K1073" s="97" t="s">
        <v>69</v>
      </c>
      <c r="L1073" s="101" t="s">
        <v>621</v>
      </c>
      <c r="M1073" s="102" t="str">
        <f>IFNA(VLOOKUP(L1073,'🙎‍♂️ Pasien'!G:V,2,FALSE),"")</f>
        <v>N0725085070</v>
      </c>
      <c r="N1073" s="103">
        <f>IFNA(VLOOKUP(L1073,'🙎‍♂️ Pasien'!G:L,3,FALSE),"")</f>
        <v>18</v>
      </c>
      <c r="O1073" s="104" t="str">
        <f>IFNA(VLOOKUP(L1073,'🙎‍♂️ Pasien'!G:V,6,FALSE),"")</f>
        <v>PEREMPUAN</v>
      </c>
      <c r="P1073" s="104" t="str">
        <f>IFNA(VLOOKUP(L1073,'🙎‍♂️ Pasien'!G:V,12,FALSE),"")</f>
        <v>BUDDHA</v>
      </c>
      <c r="Q1073" s="104" t="str">
        <f>IFNA(VLOOKUP(L1073:L1508,'🙎‍♂️ Pasien'!G:V,13,FALSE),"")</f>
        <v>PELAJAR</v>
      </c>
      <c r="R1073" s="104" t="str">
        <f t="array" ref="R1073">ifna(xlookup(L1073,'🙎‍♂️ Pasien'!$G$5:$G1508,'🙎‍♂️ Pasien'!$T$5:$T1508),"")</f>
        <v>SKOLIOSIS</v>
      </c>
      <c r="S1073" s="104" t="str">
        <f t="array" ref="S1073">ifna(xlookup(L1073,'🙎‍♂️ Pasien'!$G$5:$G1508,'🙎‍♂️ Pasien'!$U$5:$U1508),"")</f>
        <v>MELUKIS</v>
      </c>
      <c r="T1073" s="97" t="s">
        <v>59</v>
      </c>
      <c r="U1073" s="105" t="s">
        <v>60</v>
      </c>
      <c r="V1073" s="101"/>
      <c r="W1073" s="106" t="b">
        <v>1</v>
      </c>
      <c r="X1073" s="107"/>
      <c r="Y1073" s="108"/>
    </row>
    <row r="1074" ht="22.5" customHeight="1">
      <c r="A1074" s="96"/>
      <c r="B1074" s="97" t="s">
        <v>53</v>
      </c>
      <c r="C1074" s="98" t="str">
        <f t="array" ref="C1074">IFNA(XLOOKUP(J1074,'⚙️ Pengaturan'!$H$5:$H1508,'⚙️ Pengaturan'!$I$5:$I1508),"")</f>
        <v>TIM A</v>
      </c>
      <c r="D1074" s="97" t="s">
        <v>54</v>
      </c>
      <c r="E1074" s="99">
        <v>45994.0</v>
      </c>
      <c r="F1074" s="100" t="str">
        <f t="shared" si="1"/>
        <v>2025</v>
      </c>
      <c r="G1074" s="100" t="str">
        <f t="shared" si="2"/>
        <v>12Des</v>
      </c>
      <c r="H1074" s="100" t="str">
        <f t="shared" si="3"/>
        <v>Rabu</v>
      </c>
      <c r="I1074" s="97" t="s">
        <v>74</v>
      </c>
      <c r="J1074" s="97" t="s">
        <v>72</v>
      </c>
      <c r="K1074" s="97" t="s">
        <v>63</v>
      </c>
      <c r="L1074" s="101" t="s">
        <v>129</v>
      </c>
      <c r="M1074" s="102" t="str">
        <f>IFNA(VLOOKUP(L1074,'🙎‍♂️ Pasien'!G:V,2,FALSE),"")</f>
        <v>D1025091558</v>
      </c>
      <c r="N1074" s="103">
        <f>IFNA(VLOOKUP(L1074,'🙎‍♂️ Pasien'!G:L,3,FALSE),"")</f>
        <v>16</v>
      </c>
      <c r="O1074" s="104" t="str">
        <f>IFNA(VLOOKUP(L1074,'🙎‍♂️ Pasien'!G:V,6,FALSE),"")</f>
        <v>LAKI-LAKI</v>
      </c>
      <c r="P1074" s="104" t="str">
        <f>IFNA(VLOOKUP(L1074,'🙎‍♂️ Pasien'!G:V,12,FALSE),"")</f>
        <v>PROTESTAN</v>
      </c>
      <c r="Q1074" s="104" t="str">
        <f>IFNA(VLOOKUP(L1074:L1508,'🙎‍♂️ Pasien'!G:V,13,FALSE),"")</f>
        <v>MASI SEKOLAH</v>
      </c>
      <c r="R1074" s="104" t="str">
        <f t="array" ref="R1074">ifna(xlookup(L1074,'🙎‍♂️ Pasien'!$G$5:$G1508,'🙎‍♂️ Pasien'!$T$5:$T1508),"")</f>
        <v>SAKIT DI BAGIAN LUTUT</v>
      </c>
      <c r="S1074" s="104" t="str">
        <f t="array" ref="S1074">ifna(xlookup(L1074,'🙎‍♂️ Pasien'!$G$5:$G1508,'🙎‍♂️ Pasien'!$U$5:$U1508),"")</f>
        <v>BASKET</v>
      </c>
      <c r="T1074" s="97" t="s">
        <v>67</v>
      </c>
      <c r="U1074" s="105">
        <v>2.0</v>
      </c>
      <c r="V1074" s="101" t="s">
        <v>640</v>
      </c>
      <c r="W1074" s="106" t="b">
        <v>1</v>
      </c>
      <c r="X1074" s="107"/>
      <c r="Y1074" s="108"/>
    </row>
    <row r="1075" ht="22.5" customHeight="1">
      <c r="A1075" s="96"/>
      <c r="B1075" s="97" t="s">
        <v>53</v>
      </c>
      <c r="C1075" s="98" t="str">
        <f t="array" ref="C1075">IFNA(XLOOKUP(J1075,'⚙️ Pengaturan'!$H$5:$H1508,'⚙️ Pengaturan'!$I$5:$I1508),"")</f>
        <v>TIM A</v>
      </c>
      <c r="D1075" s="97" t="s">
        <v>54</v>
      </c>
      <c r="E1075" s="99">
        <v>45994.0</v>
      </c>
      <c r="F1075" s="100" t="str">
        <f t="shared" si="1"/>
        <v>2025</v>
      </c>
      <c r="G1075" s="100" t="str">
        <f t="shared" si="2"/>
        <v>12Des</v>
      </c>
      <c r="H1075" s="100" t="str">
        <f t="shared" si="3"/>
        <v>Rabu</v>
      </c>
      <c r="I1075" s="97" t="s">
        <v>74</v>
      </c>
      <c r="J1075" s="97" t="s">
        <v>62</v>
      </c>
      <c r="K1075" s="97" t="s">
        <v>63</v>
      </c>
      <c r="L1075" s="101" t="s">
        <v>641</v>
      </c>
      <c r="M1075" s="102" t="str">
        <f>IFNA(VLOOKUP(L1075,'🙎‍♂️ Pasien'!G:V,2,FALSE),"")</f>
        <v>S4425117922</v>
      </c>
      <c r="N1075" s="103">
        <f>IFNA(VLOOKUP(L1075,'🙎‍♂️ Pasien'!G:L,3,FALSE),"")</f>
        <v>82</v>
      </c>
      <c r="O1075" s="104" t="str">
        <f>IFNA(VLOOKUP(L1075,'🙎‍♂️ Pasien'!G:V,6,FALSE),"")</f>
        <v>PEREMPUAN</v>
      </c>
      <c r="P1075" s="104" t="str">
        <f>IFNA(VLOOKUP(L1075,'🙎‍♂️ Pasien'!G:V,12,FALSE),"")</f>
        <v>KATOLIK</v>
      </c>
      <c r="Q1075" s="104" t="str">
        <f>IFNA(VLOOKUP(L1075:L1508,'🙎‍♂️ Pasien'!G:V,13,FALSE),"")</f>
        <v>PENSIUNAN</v>
      </c>
      <c r="R1075" s="104" t="str">
        <f t="array" ref="R1075">ifna(xlookup(L1075,'🙎‍♂️ Pasien'!$G$5:$G1508,'🙎‍♂️ Pasien'!$T$5:$T1508),"")</f>
        <v>OTOT LEMAH SETELAH SEMBUH DARI JATUH</v>
      </c>
      <c r="S1075" s="104" t="str">
        <f t="array" ref="S1075">ifna(xlookup(L1075,'🙎‍♂️ Pasien'!$G$5:$G1508,'🙎‍♂️ Pasien'!$U$5:$U1508),"")</f>
        <v>NO APPLICABLE</v>
      </c>
      <c r="T1075" s="97" t="s">
        <v>59</v>
      </c>
      <c r="U1075" s="105">
        <v>2.0</v>
      </c>
      <c r="V1075" s="101"/>
      <c r="W1075" s="106" t="b">
        <v>1</v>
      </c>
      <c r="X1075" s="107"/>
      <c r="Y1075" s="108"/>
    </row>
    <row r="1076" ht="22.5" customHeight="1">
      <c r="A1076" s="96"/>
      <c r="B1076" s="97" t="s">
        <v>53</v>
      </c>
      <c r="C1076" s="98" t="str">
        <f t="array" ref="C1076">IFNA(XLOOKUP(J1076,'⚙️ Pengaturan'!$H$5:$H1508,'⚙️ Pengaturan'!$I$5:$I1508),"")</f>
        <v>TIM A</v>
      </c>
      <c r="D1076" s="97" t="s">
        <v>54</v>
      </c>
      <c r="E1076" s="99">
        <v>45994.0</v>
      </c>
      <c r="F1076" s="100" t="str">
        <f t="shared" si="1"/>
        <v>2025</v>
      </c>
      <c r="G1076" s="100" t="str">
        <f t="shared" si="2"/>
        <v>12Des</v>
      </c>
      <c r="H1076" s="100" t="str">
        <f t="shared" si="3"/>
        <v>Rabu</v>
      </c>
      <c r="I1076" s="97" t="s">
        <v>76</v>
      </c>
      <c r="J1076" s="97" t="s">
        <v>62</v>
      </c>
      <c r="K1076" s="97" t="s">
        <v>63</v>
      </c>
      <c r="L1076" s="101" t="s">
        <v>430</v>
      </c>
      <c r="M1076" s="102" t="str">
        <f>IFNA(VLOOKUP(L1076,'🙎‍♂️ Pasien'!G:V,2,FALSE),"")</f>
        <v>J5525063513</v>
      </c>
      <c r="N1076" s="103">
        <f>IFNA(VLOOKUP(L1076,'🙎‍♂️ Pasien'!G:L,3,FALSE),"")</f>
        <v>71</v>
      </c>
      <c r="O1076" s="104" t="str">
        <f>IFNA(VLOOKUP(L1076,'🙎‍♂️ Pasien'!G:V,6,FALSE),"")</f>
        <v>PEREMPUAN</v>
      </c>
      <c r="P1076" s="104" t="str">
        <f>IFNA(VLOOKUP(L1076,'🙎‍♂️ Pasien'!G:V,12,FALSE),"")</f>
        <v>KATOLIK</v>
      </c>
      <c r="Q1076" s="104" t="str">
        <f>IFNA(VLOOKUP(L1076:L1508,'🙎‍♂️ Pasien'!G:V,13,FALSE),"")</f>
        <v>IBU RUMAH TANGGA</v>
      </c>
      <c r="R1076" s="104" t="str">
        <f t="array" ref="R1076">ifna(xlookup(L1076,'🙎‍♂️ Pasien'!$G$5:$G1508,'🙎‍♂️ Pasien'!$T$5:$T1508),"")</f>
        <v>BAGIAN PANTAT SAKIT</v>
      </c>
      <c r="S1076" s="104" t="str">
        <f t="array" ref="S1076">ifna(xlookup(L1076,'🙎‍♂️ Pasien'!$G$5:$G1508,'🙎‍♂️ Pasien'!$U$5:$U1508),"")</f>
        <v>BARU OPERASI TULANG SUMSUNG BELAKANG KARENA SARAF KEJEPIT 1 BULAN LALU</v>
      </c>
      <c r="T1076" s="97" t="s">
        <v>59</v>
      </c>
      <c r="U1076" s="105">
        <v>8.0</v>
      </c>
      <c r="V1076" s="101"/>
      <c r="W1076" s="106" t="b">
        <v>1</v>
      </c>
      <c r="X1076" s="107"/>
      <c r="Y1076" s="108"/>
    </row>
    <row r="1077" ht="22.5" customHeight="1">
      <c r="A1077" s="96"/>
      <c r="B1077" s="97" t="s">
        <v>53</v>
      </c>
      <c r="C1077" s="98" t="str">
        <f t="array" ref="C1077">IFNA(XLOOKUP(J1077,'⚙️ Pengaturan'!$H$5:$H1508,'⚙️ Pengaturan'!$I$5:$I1508),"")</f>
        <v>TIM A</v>
      </c>
      <c r="D1077" s="97" t="s">
        <v>54</v>
      </c>
      <c r="E1077" s="99">
        <v>45994.0</v>
      </c>
      <c r="F1077" s="100" t="str">
        <f t="shared" si="1"/>
        <v>2025</v>
      </c>
      <c r="G1077" s="100" t="str">
        <f t="shared" si="2"/>
        <v>12Des</v>
      </c>
      <c r="H1077" s="100" t="str">
        <f t="shared" si="3"/>
        <v>Rabu</v>
      </c>
      <c r="I1077" s="97" t="s">
        <v>76</v>
      </c>
      <c r="J1077" s="97" t="s">
        <v>79</v>
      </c>
      <c r="K1077" s="97" t="s">
        <v>63</v>
      </c>
      <c r="L1077" s="101" t="s">
        <v>624</v>
      </c>
      <c r="M1077" s="102" t="str">
        <f>IFNA(VLOOKUP(L1077,'🙎‍♂️ Pasien'!G:V,2,FALSE),"")</f>
        <v>M0525128789</v>
      </c>
      <c r="N1077" s="103">
        <f>IFNA(VLOOKUP(L1077,'🙎‍♂️ Pasien'!G:L,3,FALSE),"")</f>
        <v>21</v>
      </c>
      <c r="O1077" s="104" t="str">
        <f>IFNA(VLOOKUP(L1077,'🙎‍♂️ Pasien'!G:V,6,FALSE),"")</f>
        <v>PEREMPUAN</v>
      </c>
      <c r="P1077" s="104" t="str">
        <f>IFNA(VLOOKUP(L1077,'🙎‍♂️ Pasien'!G:V,12,FALSE),"")</f>
        <v>ISLAM</v>
      </c>
      <c r="Q1077" s="104" t="str">
        <f>IFNA(VLOOKUP(L1077:L1508,'🙎‍♂️ Pasien'!G:V,13,FALSE),"")</f>
        <v>MAHASISWA</v>
      </c>
      <c r="R1077" s="104" t="str">
        <f t="array" ref="R1077">ifna(xlookup(L1077,'🙎‍♂️ Pasien'!$G$5:$G1508,'🙎‍♂️ Pasien'!$T$5:$T1508),"")</f>
        <v>LUTUT SEPERTI TERKUNCI</v>
      </c>
      <c r="S1077" s="104" t="str">
        <f t="array" ref="S1077">ifna(xlookup(L1077,'🙎‍♂️ Pasien'!$G$5:$G1508,'🙎‍♂️ Pasien'!$U$5:$U1508),"")</f>
        <v>KULIAH</v>
      </c>
      <c r="T1077" s="97" t="s">
        <v>67</v>
      </c>
      <c r="U1077" s="105">
        <v>1.0</v>
      </c>
      <c r="V1077" s="101" t="s">
        <v>195</v>
      </c>
      <c r="W1077" s="106" t="b">
        <v>1</v>
      </c>
      <c r="X1077" s="107"/>
      <c r="Y1077" s="108"/>
    </row>
    <row r="1078" ht="22.5" customHeight="1">
      <c r="A1078" s="96"/>
      <c r="B1078" s="97" t="s">
        <v>53</v>
      </c>
      <c r="C1078" s="98" t="str">
        <f t="array" ref="C1078">IFNA(XLOOKUP(J1078,'⚙️ Pengaturan'!$H$5:$H1508,'⚙️ Pengaturan'!$I$5:$I1508),"")</f>
        <v>TIM A</v>
      </c>
      <c r="D1078" s="97" t="s">
        <v>54</v>
      </c>
      <c r="E1078" s="99">
        <v>45994.0</v>
      </c>
      <c r="F1078" s="100" t="str">
        <f t="shared" si="1"/>
        <v>2025</v>
      </c>
      <c r="G1078" s="100" t="str">
        <f t="shared" si="2"/>
        <v>12Des</v>
      </c>
      <c r="H1078" s="100" t="str">
        <f t="shared" si="3"/>
        <v>Rabu</v>
      </c>
      <c r="I1078" s="97" t="s">
        <v>83</v>
      </c>
      <c r="J1078" s="97" t="s">
        <v>72</v>
      </c>
      <c r="K1078" s="97" t="s">
        <v>63</v>
      </c>
      <c r="L1078" s="101" t="s">
        <v>108</v>
      </c>
      <c r="M1078" s="102" t="str">
        <f>IFNA(VLOOKUP(L1078,'🙎‍♂️ Pasien'!G:V,2,FALSE),"")</f>
        <v>A5625092572</v>
      </c>
      <c r="N1078" s="103">
        <f>IFNA(VLOOKUP(L1078,'🙎‍♂️ Pasien'!G:L,3,FALSE),"")</f>
        <v>69</v>
      </c>
      <c r="O1078" s="104" t="str">
        <f>IFNA(VLOOKUP(L1078,'🙎‍♂️ Pasien'!G:V,6,FALSE),"")</f>
        <v>PEREMPUAN</v>
      </c>
      <c r="P1078" s="104" t="str">
        <f>IFNA(VLOOKUP(L1078,'🙎‍♂️ Pasien'!G:V,12,FALSE),"")</f>
        <v>ISLAM</v>
      </c>
      <c r="Q1078" s="104" t="str">
        <f>IFNA(VLOOKUP(L1078:L1508,'🙎‍♂️ Pasien'!G:V,13,FALSE),"")</f>
        <v>IRT</v>
      </c>
      <c r="R1078" s="104" t="str">
        <f t="array" ref="R1078">ifna(xlookup(L1078,'🙎‍♂️ Pasien'!$G$5:$G1508,'🙎‍♂️ Pasien'!$T$5:$T1508),"")</f>
        <v>PINGGANG DAN KAKI</v>
      </c>
      <c r="S1078" s="104" t="str">
        <f t="array" ref="S1078">ifna(xlookup(L1078,'🙎‍♂️ Pasien'!$G$5:$G1508,'🙎‍♂️ Pasien'!$U$5:$U1508),"")</f>
        <v>-</v>
      </c>
      <c r="T1078" s="97" t="s">
        <v>59</v>
      </c>
      <c r="U1078" s="105">
        <v>4.0</v>
      </c>
      <c r="V1078" s="101"/>
      <c r="W1078" s="106" t="b">
        <v>1</v>
      </c>
      <c r="X1078" s="107"/>
      <c r="Y1078" s="108"/>
    </row>
    <row r="1079" ht="22.5" customHeight="1">
      <c r="A1079" s="96"/>
      <c r="B1079" s="97" t="s">
        <v>53</v>
      </c>
      <c r="C1079" s="98" t="str">
        <f t="array" ref="C1079">IFNA(XLOOKUP(J1079,'⚙️ Pengaturan'!$H$5:$H1508,'⚙️ Pengaturan'!$I$5:$I1508),"")</f>
        <v>TIM Y</v>
      </c>
      <c r="D1079" s="97" t="s">
        <v>54</v>
      </c>
      <c r="E1079" s="99">
        <v>45994.0</v>
      </c>
      <c r="F1079" s="100" t="str">
        <f t="shared" si="1"/>
        <v>2025</v>
      </c>
      <c r="G1079" s="100" t="str">
        <f t="shared" si="2"/>
        <v>12Des</v>
      </c>
      <c r="H1079" s="100" t="str">
        <f t="shared" si="3"/>
        <v>Rabu</v>
      </c>
      <c r="I1079" s="97" t="s">
        <v>83</v>
      </c>
      <c r="J1079" s="97" t="s">
        <v>56</v>
      </c>
      <c r="K1079" s="97" t="s">
        <v>57</v>
      </c>
      <c r="L1079" s="101" t="s">
        <v>642</v>
      </c>
      <c r="M1079" s="102" t="str">
        <f>IFNA(VLOOKUP(L1079,'🙎‍♂️ Pasien'!G:V,2,FALSE),"")</f>
        <v>D7925125149</v>
      </c>
      <c r="N1079" s="103">
        <f>IFNA(VLOOKUP(L1079,'🙎‍♂️ Pasien'!G:L,3,FALSE),"")</f>
        <v>46</v>
      </c>
      <c r="O1079" s="104" t="str">
        <f>IFNA(VLOOKUP(L1079,'🙎‍♂️ Pasien'!G:V,6,FALSE),"")</f>
        <v>LAKI-LAKI</v>
      </c>
      <c r="P1079" s="104" t="str">
        <f>IFNA(VLOOKUP(L1079,'🙎‍♂️ Pasien'!G:V,12,FALSE),"")</f>
        <v>KHONGHUCU</v>
      </c>
      <c r="Q1079" s="104" t="str">
        <f>IFNA(VLOOKUP(L1079:L1508,'🙎‍♂️ Pasien'!G:V,13,FALSE),"")</f>
        <v>SWASTA</v>
      </c>
      <c r="R1079" s="104" t="str">
        <f t="array" ref="R1079">ifna(xlookup(L1079,'🙎‍♂️ Pasien'!$G$5:$G1508,'🙎‍♂️ Pasien'!$T$5:$T1508),"")</f>
        <v>TENIS ELBOW</v>
      </c>
      <c r="S1079" s="104" t="str">
        <f t="array" ref="S1079">ifna(xlookup(L1079,'🙎‍♂️ Pasien'!$G$5:$G1508,'🙎‍♂️ Pasien'!$U$5:$U1508),"")</f>
        <v>OLAH RAGA</v>
      </c>
      <c r="T1079" s="97" t="s">
        <v>59</v>
      </c>
      <c r="U1079" s="105" t="s">
        <v>60</v>
      </c>
      <c r="V1079" s="101"/>
      <c r="W1079" s="106" t="b">
        <v>1</v>
      </c>
      <c r="X1079" s="107"/>
      <c r="Y1079" s="108"/>
    </row>
    <row r="1080" ht="22.5" customHeight="1">
      <c r="A1080" s="96"/>
      <c r="B1080" s="97" t="s">
        <v>53</v>
      </c>
      <c r="C1080" s="98" t="str">
        <f t="array" ref="C1080">IFNA(XLOOKUP(J1080,'⚙️ Pengaturan'!$H$5:$H1508,'⚙️ Pengaturan'!$I$5:$I1508),"")</f>
        <v>TIM Y</v>
      </c>
      <c r="D1080" s="97" t="s">
        <v>54</v>
      </c>
      <c r="E1080" s="99">
        <v>45994.0</v>
      </c>
      <c r="F1080" s="100" t="str">
        <f t="shared" si="1"/>
        <v>2025</v>
      </c>
      <c r="G1080" s="100" t="str">
        <f t="shared" si="2"/>
        <v>12Des</v>
      </c>
      <c r="H1080" s="100" t="str">
        <f t="shared" si="3"/>
        <v>Rabu</v>
      </c>
      <c r="I1080" s="97" t="s">
        <v>83</v>
      </c>
      <c r="J1080" s="97" t="s">
        <v>91</v>
      </c>
      <c r="K1080" s="97" t="s">
        <v>63</v>
      </c>
      <c r="L1080" s="101" t="s">
        <v>573</v>
      </c>
      <c r="M1080" s="102" t="str">
        <f>IFNA(VLOOKUP(L1080,'🙎‍♂️ Pasien'!G:V,2,FALSE),"")</f>
        <v>D0725113899</v>
      </c>
      <c r="N1080" s="103">
        <f>IFNA(VLOOKUP(L1080,'🙎‍♂️ Pasien'!G:L,3,FALSE),"")</f>
        <v>18</v>
      </c>
      <c r="O1080" s="104" t="str">
        <f>IFNA(VLOOKUP(L1080,'🙎‍♂️ Pasien'!G:V,6,FALSE),"")</f>
        <v>PEREMPUAN</v>
      </c>
      <c r="P1080" s="104" t="str">
        <f>IFNA(VLOOKUP(L1080,'🙎‍♂️ Pasien'!G:V,12,FALSE),"")</f>
        <v>PROTESTAN</v>
      </c>
      <c r="Q1080" s="104" t="str">
        <f>IFNA(VLOOKUP(L1080:L1508,'🙎‍♂️ Pasien'!G:V,13,FALSE),"")</f>
        <v>MAHASISWA</v>
      </c>
      <c r="R1080" s="104" t="str">
        <f t="array" ref="R1080">ifna(xlookup(L1080,'🙎‍♂️ Pasien'!$G$5:$G1508,'🙎‍♂️ Pasien'!$T$5:$T1508),"")</f>
        <v>KAKI X</v>
      </c>
      <c r="S1080" s="104" t="str">
        <f t="array" ref="S1080">ifna(xlookup(L1080,'🙎‍♂️ Pasien'!$G$5:$G1508,'🙎‍♂️ Pasien'!$U$5:$U1508),"")</f>
        <v>LARI</v>
      </c>
      <c r="T1080" s="97" t="s">
        <v>67</v>
      </c>
      <c r="U1080" s="105">
        <v>5.0</v>
      </c>
      <c r="V1080" s="101" t="s">
        <v>311</v>
      </c>
      <c r="W1080" s="106" t="b">
        <v>1</v>
      </c>
      <c r="X1080" s="107"/>
      <c r="Y1080" s="108"/>
    </row>
    <row r="1081" ht="22.5" customHeight="1">
      <c r="A1081" s="96"/>
      <c r="B1081" s="97" t="s">
        <v>85</v>
      </c>
      <c r="C1081" s="98" t="str">
        <f t="array" ref="C1081">IFNA(XLOOKUP(J1081,'⚙️ Pengaturan'!$H$5:$H1508,'⚙️ Pengaturan'!$I$5:$I1508),"")</f>
        <v>TIM Y</v>
      </c>
      <c r="D1081" s="97" t="s">
        <v>86</v>
      </c>
      <c r="E1081" s="99">
        <v>45994.0</v>
      </c>
      <c r="F1081" s="100" t="str">
        <f t="shared" si="1"/>
        <v>2025</v>
      </c>
      <c r="G1081" s="100" t="str">
        <f t="shared" si="2"/>
        <v>12Des</v>
      </c>
      <c r="H1081" s="100" t="str">
        <f t="shared" si="3"/>
        <v>Rabu</v>
      </c>
      <c r="I1081" s="97" t="s">
        <v>87</v>
      </c>
      <c r="J1081" s="97" t="s">
        <v>88</v>
      </c>
      <c r="K1081" s="97" t="s">
        <v>63</v>
      </c>
      <c r="L1081" s="101" t="s">
        <v>548</v>
      </c>
      <c r="M1081" s="102" t="str">
        <f>IFNA(VLOOKUP(L1081,'🙎‍♂️ Pasien'!G:V,2,FALSE),"")</f>
        <v>C0525115291</v>
      </c>
      <c r="N1081" s="103">
        <f>IFNA(VLOOKUP(L1081,'🙎‍♂️ Pasien'!G:L,3,FALSE),"")</f>
        <v>20</v>
      </c>
      <c r="O1081" s="104" t="str">
        <f>IFNA(VLOOKUP(L1081,'🙎‍♂️ Pasien'!G:V,6,FALSE),"")</f>
        <v>LAKI-LAKI</v>
      </c>
      <c r="P1081" s="104" t="str">
        <f>IFNA(VLOOKUP(L1081,'🙎‍♂️ Pasien'!G:V,12,FALSE),"")</f>
        <v>KATOLIK</v>
      </c>
      <c r="Q1081" s="104" t="str">
        <f>IFNA(VLOOKUP(L1081:L1508,'🙎‍♂️ Pasien'!G:V,13,FALSE),"")</f>
        <v>-</v>
      </c>
      <c r="R1081" s="104" t="str">
        <f t="array" ref="R1081">ifna(xlookup(L1081,'🙎‍♂️ Pasien'!$G$5:$G1508,'🙎‍♂️ Pasien'!$T$5:$T1508),"")</f>
        <v>LUTUT (TERAKHIR CEK DISINI DI BILANG NYA ADA KEMUNGKINAN ACL 2022)</v>
      </c>
      <c r="S1081" s="104" t="str">
        <f t="array" ref="S1081">ifna(xlookup(L1081,'🙎‍♂️ Pasien'!$G$5:$G1508,'🙎‍♂️ Pasien'!$U$5:$U1508),"")</f>
        <v>BASKET, BADMINTON</v>
      </c>
      <c r="T1081" s="97" t="s">
        <v>59</v>
      </c>
      <c r="U1081" s="105">
        <v>4.0</v>
      </c>
      <c r="V1081" s="101"/>
      <c r="W1081" s="106" t="b">
        <v>1</v>
      </c>
      <c r="X1081" s="107"/>
      <c r="Y1081" s="108"/>
    </row>
    <row r="1082" ht="22.5" customHeight="1">
      <c r="A1082" s="96"/>
      <c r="B1082" s="97" t="s">
        <v>85</v>
      </c>
      <c r="C1082" s="98" t="str">
        <f t="array" ref="C1082">IFNA(XLOOKUP(J1082,'⚙️ Pengaturan'!$H$5:$H1508,'⚙️ Pengaturan'!$I$5:$I1508),"")</f>
        <v>TIM Y</v>
      </c>
      <c r="D1082" s="97" t="s">
        <v>86</v>
      </c>
      <c r="E1082" s="99">
        <v>45994.0</v>
      </c>
      <c r="F1082" s="100" t="str">
        <f t="shared" si="1"/>
        <v>2025</v>
      </c>
      <c r="G1082" s="100" t="str">
        <f t="shared" si="2"/>
        <v>12Des</v>
      </c>
      <c r="H1082" s="100" t="str">
        <f t="shared" si="3"/>
        <v>Rabu</v>
      </c>
      <c r="I1082" s="97" t="s">
        <v>93</v>
      </c>
      <c r="J1082" s="97" t="s">
        <v>509</v>
      </c>
      <c r="K1082" s="97" t="s">
        <v>63</v>
      </c>
      <c r="L1082" s="101" t="s">
        <v>586</v>
      </c>
      <c r="M1082" s="102" t="str">
        <f>IFNA(VLOOKUP(L1082,'🙎‍♂️ Pasien'!G:V,2,FALSE),"")</f>
        <v>B0924114293</v>
      </c>
      <c r="N1082" s="103">
        <f>IFNA(VLOOKUP(L1082,'🙎‍♂️ Pasien'!G:L,3,FALSE),"")</f>
        <v>16</v>
      </c>
      <c r="O1082" s="104" t="str">
        <f>IFNA(VLOOKUP(L1082,'🙎‍♂️ Pasien'!G:V,6,FALSE),"")</f>
        <v>LAKI-LAKI</v>
      </c>
      <c r="P1082" s="104" t="str">
        <f>IFNA(VLOOKUP(L1082,'🙎‍♂️ Pasien'!G:V,12,FALSE),"")</f>
        <v>ISLAM</v>
      </c>
      <c r="Q1082" s="104" t="str">
        <f>IFNA(VLOOKUP(L1082:L1508,'🙎‍♂️ Pasien'!G:V,13,FALSE),"")</f>
        <v>PELAJAR/MAHASISWA</v>
      </c>
      <c r="R1082" s="104" t="str">
        <f t="array" ref="R1082">ifna(xlookup(L1082,'🙎‍♂️ Pasien'!$G$5:$G1508,'🙎‍♂️ Pasien'!$T$5:$T1508),"")</f>
        <v>SAKIT PADA BAHU</v>
      </c>
      <c r="S1082" s="104" t="str">
        <f t="array" ref="S1082">ifna(xlookup(L1082,'🙎‍♂️ Pasien'!$G$5:$G1508,'🙎‍♂️ Pasien'!$U$5:$U1508),"")</f>
        <v>OLAHARAGA VOLEYY</v>
      </c>
      <c r="T1082" s="97" t="s">
        <v>59</v>
      </c>
      <c r="U1082" s="105">
        <v>2.0</v>
      </c>
      <c r="V1082" s="101"/>
      <c r="W1082" s="106" t="b">
        <v>1</v>
      </c>
      <c r="X1082" s="107"/>
      <c r="Y1082" s="108"/>
    </row>
    <row r="1083" ht="22.5" customHeight="1">
      <c r="A1083" s="96"/>
      <c r="B1083" s="97" t="s">
        <v>85</v>
      </c>
      <c r="C1083" s="98" t="str">
        <f t="array" ref="C1083">IFNA(XLOOKUP(J1083,'⚙️ Pengaturan'!$H$5:$H1508,'⚙️ Pengaturan'!$I$5:$I1508),"")</f>
        <v>TIM Y</v>
      </c>
      <c r="D1083" s="97" t="s">
        <v>86</v>
      </c>
      <c r="E1083" s="99">
        <v>45994.0</v>
      </c>
      <c r="F1083" s="100" t="str">
        <f t="shared" si="1"/>
        <v>2025</v>
      </c>
      <c r="G1083" s="100" t="str">
        <f t="shared" si="2"/>
        <v>12Des</v>
      </c>
      <c r="H1083" s="100" t="str">
        <f t="shared" si="3"/>
        <v>Rabu</v>
      </c>
      <c r="I1083" s="97" t="s">
        <v>93</v>
      </c>
      <c r="J1083" s="97" t="s">
        <v>88</v>
      </c>
      <c r="K1083" s="97" t="s">
        <v>69</v>
      </c>
      <c r="L1083" s="101" t="s">
        <v>457</v>
      </c>
      <c r="M1083" s="102" t="str">
        <f>IFNA(VLOOKUP(L1083,'🙎‍♂️ Pasien'!G:V,2,FALSE),"")</f>
        <v>B0125112743</v>
      </c>
      <c r="N1083" s="103">
        <f>IFNA(VLOOKUP(L1083,'🙎‍♂️ Pasien'!G:L,3,FALSE),"")</f>
        <v>24</v>
      </c>
      <c r="O1083" s="104" t="str">
        <f>IFNA(VLOOKUP(L1083,'🙎‍♂️ Pasien'!G:V,6,FALSE),"")</f>
        <v>LAKI-LAKI</v>
      </c>
      <c r="P1083" s="104" t="str">
        <f>IFNA(VLOOKUP(L1083,'🙎‍♂️ Pasien'!G:V,12,FALSE),"")</f>
        <v>KATOLIK</v>
      </c>
      <c r="Q1083" s="104" t="str">
        <f>IFNA(VLOOKUP(L1083:L1508,'🙎‍♂️ Pasien'!G:V,13,FALSE),"")</f>
        <v>KARYAWAN SWASTA</v>
      </c>
      <c r="R1083" s="104" t="str">
        <f t="array" ref="R1083">ifna(xlookup(L1083,'🙎‍♂️ Pasien'!$G$5:$G1508,'🙎‍♂️ Pasien'!$T$5:$T1508),"")</f>
        <v>NYERI PADA BAGIAN LUTUT</v>
      </c>
      <c r="S1083" s="104" t="str">
        <f t="array" ref="S1083">ifna(xlookup(L1083,'🙎‍♂️ Pasien'!$G$5:$G1508,'🙎‍♂️ Pasien'!$U$5:$U1508),"")</f>
        <v>LARI</v>
      </c>
      <c r="T1083" s="97" t="s">
        <v>67</v>
      </c>
      <c r="U1083" s="105" t="s">
        <v>60</v>
      </c>
      <c r="V1083" s="101" t="s">
        <v>643</v>
      </c>
      <c r="W1083" s="106" t="b">
        <v>1</v>
      </c>
      <c r="X1083" s="107"/>
      <c r="Y1083" s="108"/>
    </row>
    <row r="1084" ht="22.5" customHeight="1">
      <c r="A1084" s="96"/>
      <c r="B1084" s="97" t="s">
        <v>85</v>
      </c>
      <c r="C1084" s="98" t="str">
        <f t="array" ref="C1084">IFNA(XLOOKUP(J1084,'⚙️ Pengaturan'!$H$5:$H1508,'⚙️ Pengaturan'!$I$5:$I1508),"")</f>
        <v>TIM Y</v>
      </c>
      <c r="D1084" s="97" t="s">
        <v>86</v>
      </c>
      <c r="E1084" s="99">
        <v>45994.0</v>
      </c>
      <c r="F1084" s="100" t="str">
        <f t="shared" si="1"/>
        <v>2025</v>
      </c>
      <c r="G1084" s="100" t="str">
        <f t="shared" si="2"/>
        <v>12Des</v>
      </c>
      <c r="H1084" s="100" t="str">
        <f t="shared" si="3"/>
        <v>Rabu</v>
      </c>
      <c r="I1084" s="97" t="s">
        <v>95</v>
      </c>
      <c r="J1084" s="97" t="s">
        <v>91</v>
      </c>
      <c r="K1084" s="97" t="s">
        <v>63</v>
      </c>
      <c r="L1084" s="101" t="s">
        <v>593</v>
      </c>
      <c r="M1084" s="102" t="str">
        <f>IFNA(VLOOKUP(L1084,'🙎‍♂️ Pasien'!G:V,2,FALSE),"")</f>
        <v>A0125119292</v>
      </c>
      <c r="N1084" s="103">
        <f>IFNA(VLOOKUP(L1084,'🙎‍♂️ Pasien'!G:L,3,FALSE),"")</f>
        <v>25</v>
      </c>
      <c r="O1084" s="104" t="str">
        <f>IFNA(VLOOKUP(L1084,'🙎‍♂️ Pasien'!G:V,6,FALSE),"")</f>
        <v>PEREMPUAN</v>
      </c>
      <c r="P1084" s="104" t="str">
        <f>IFNA(VLOOKUP(L1084,'🙎‍♂️ Pasien'!G:V,12,FALSE),"")</f>
        <v>ISLAM</v>
      </c>
      <c r="Q1084" s="104" t="str">
        <f>IFNA(VLOOKUP(L1084:L1508,'🙎‍♂️ Pasien'!G:V,13,FALSE),"")</f>
        <v>ADMIN</v>
      </c>
      <c r="R1084" s="104" t="str">
        <f t="array" ref="R1084">ifna(xlookup(L1084,'🙎‍♂️ Pasien'!$G$5:$G1508,'🙎‍♂️ Pasien'!$T$5:$T1508),"")</f>
        <v>LUTUT SAKIT</v>
      </c>
      <c r="S1084" s="104" t="str">
        <f t="array" ref="S1084">ifna(xlookup(L1084,'🙎‍♂️ Pasien'!$G$5:$G1508,'🙎‍♂️ Pasien'!$U$5:$U1508),"")</f>
        <v>LARI</v>
      </c>
      <c r="T1084" s="97" t="s">
        <v>59</v>
      </c>
      <c r="U1084" s="105">
        <v>1.0</v>
      </c>
      <c r="V1084" s="101"/>
      <c r="W1084" s="106" t="b">
        <v>1</v>
      </c>
      <c r="X1084" s="107"/>
      <c r="Y1084" s="108"/>
    </row>
    <row r="1085" ht="22.5" customHeight="1">
      <c r="A1085" s="96"/>
      <c r="B1085" s="97" t="s">
        <v>85</v>
      </c>
      <c r="C1085" s="98" t="str">
        <f t="array" ref="C1085">IFNA(XLOOKUP(J1085,'⚙️ Pengaturan'!$H$5:$H1508,'⚙️ Pengaturan'!$I$5:$I1508),"")</f>
        <v>TIM Y</v>
      </c>
      <c r="D1085" s="97" t="s">
        <v>86</v>
      </c>
      <c r="E1085" s="99">
        <v>45994.0</v>
      </c>
      <c r="F1085" s="100" t="str">
        <f t="shared" si="1"/>
        <v>2025</v>
      </c>
      <c r="G1085" s="100" t="str">
        <f t="shared" si="2"/>
        <v>12Des</v>
      </c>
      <c r="H1085" s="100" t="str">
        <f t="shared" si="3"/>
        <v>Rabu</v>
      </c>
      <c r="I1085" s="97" t="s">
        <v>97</v>
      </c>
      <c r="J1085" s="97" t="s">
        <v>91</v>
      </c>
      <c r="K1085" s="97" t="s">
        <v>69</v>
      </c>
      <c r="L1085" s="101" t="s">
        <v>644</v>
      </c>
      <c r="M1085" s="102" t="str">
        <f>IFNA(VLOOKUP(L1085,'🙎‍♂️ Pasien'!G:V,2,FALSE),"")</f>
        <v>R5825110969</v>
      </c>
      <c r="N1085" s="103">
        <f>IFNA(VLOOKUP(L1085,'🙎‍♂️ Pasien'!G:L,3,FALSE),"")</f>
        <v>68</v>
      </c>
      <c r="O1085" s="104" t="str">
        <f>IFNA(VLOOKUP(L1085,'🙎‍♂️ Pasien'!G:V,6,FALSE),"")</f>
        <v>PEREMPUAN</v>
      </c>
      <c r="P1085" s="104" t="str">
        <f>IFNA(VLOOKUP(L1085,'🙎‍♂️ Pasien'!G:V,12,FALSE),"")</f>
        <v>ISLAM</v>
      </c>
      <c r="Q1085" s="104" t="str">
        <f>IFNA(VLOOKUP(L1085:L1508,'🙎‍♂️ Pasien'!G:V,13,FALSE),"")</f>
        <v>RUMAH TANGGA</v>
      </c>
      <c r="R1085" s="104" t="str">
        <f t="array" ref="R1085">ifna(xlookup(L1085,'🙎‍♂️ Pasien'!$G$5:$G1508,'🙎‍♂️ Pasien'!$T$5:$T1508),"")</f>
        <v>TANGAN SEBELAH KANAN DARI BAHU SAKIT DAN SAKIT JIKA DIANGKAT HAMPIR 1 BULANAN</v>
      </c>
      <c r="S1085" s="104" t="str">
        <f t="array" ref="S1085">ifna(xlookup(L1085,'🙎‍♂️ Pasien'!$G$5:$G1508,'🙎‍♂️ Pasien'!$U$5:$U1508),"")</f>
        <v>DI RUMAH SAJA</v>
      </c>
      <c r="T1085" s="97" t="s">
        <v>59</v>
      </c>
      <c r="U1085" s="105" t="s">
        <v>60</v>
      </c>
      <c r="V1085" s="101"/>
      <c r="W1085" s="106" t="b">
        <v>1</v>
      </c>
      <c r="X1085" s="107"/>
      <c r="Y1085" s="108"/>
    </row>
    <row r="1086" ht="22.5" customHeight="1">
      <c r="A1086" s="96"/>
      <c r="B1086" s="97" t="s">
        <v>85</v>
      </c>
      <c r="C1086" s="98" t="str">
        <f t="array" ref="C1086">IFNA(XLOOKUP(J1086,'⚙️ Pengaturan'!$H$5:$H1508,'⚙️ Pengaturan'!$I$5:$I1508),"")</f>
        <v>TIM Y</v>
      </c>
      <c r="D1086" s="97" t="s">
        <v>86</v>
      </c>
      <c r="E1086" s="99">
        <v>45994.0</v>
      </c>
      <c r="F1086" s="100" t="str">
        <f t="shared" si="1"/>
        <v>2025</v>
      </c>
      <c r="G1086" s="100" t="str">
        <f t="shared" si="2"/>
        <v>12Des</v>
      </c>
      <c r="H1086" s="100" t="str">
        <f t="shared" si="3"/>
        <v>Rabu</v>
      </c>
      <c r="I1086" s="97" t="s">
        <v>97</v>
      </c>
      <c r="J1086" s="97" t="s">
        <v>107</v>
      </c>
      <c r="K1086" s="97" t="s">
        <v>63</v>
      </c>
      <c r="L1086" s="101" t="s">
        <v>507</v>
      </c>
      <c r="M1086" s="102" t="str">
        <f>IFNA(VLOOKUP(L1086,'🙎‍♂️ Pasien'!G:V,2,FALSE),"")</f>
        <v>S0125112891</v>
      </c>
      <c r="N1086" s="103">
        <f>IFNA(VLOOKUP(L1086,'🙎‍♂️ Pasien'!G:L,3,FALSE),"")</f>
        <v>25</v>
      </c>
      <c r="O1086" s="104" t="str">
        <f>IFNA(VLOOKUP(L1086,'🙎‍♂️ Pasien'!G:V,6,FALSE),"")</f>
        <v>PEREMPUAN</v>
      </c>
      <c r="P1086" s="104" t="str">
        <f>IFNA(VLOOKUP(L1086,'🙎‍♂️ Pasien'!G:V,12,FALSE),"")</f>
        <v>BUDDHA</v>
      </c>
      <c r="Q1086" s="104" t="str">
        <f>IFNA(VLOOKUP(L1086:L1508,'🙎‍♂️ Pasien'!G:V,13,FALSE),"")</f>
        <v>MAHASISWA</v>
      </c>
      <c r="R1086" s="104" t="str">
        <f t="array" ref="R1086">ifna(xlookup(L1086,'🙎‍♂️ Pasien'!$G$5:$G1508,'🙎‍♂️ Pasien'!$T$5:$T1508),"")</f>
        <v>OTOT KAKI PERNAH SOBEK, KALAU OLAHRAGA SERING SAKIT DI LUTUT KIRI</v>
      </c>
      <c r="S1086" s="104" t="str">
        <f t="array" ref="S1086">ifna(xlookup(L1086,'🙎‍♂️ Pasien'!$G$5:$G1508,'🙎‍♂️ Pasien'!$U$5:$U1508),"")</f>
        <v>JARANG BEROLAHRAGA/SEDENTARY</v>
      </c>
      <c r="T1086" s="97" t="s">
        <v>59</v>
      </c>
      <c r="U1086" s="105">
        <v>2.0</v>
      </c>
      <c r="V1086" s="101"/>
      <c r="W1086" s="106" t="b">
        <v>1</v>
      </c>
      <c r="X1086" s="107"/>
      <c r="Y1086" s="108"/>
    </row>
    <row r="1087" ht="22.5" customHeight="1">
      <c r="A1087" s="96"/>
      <c r="B1087" s="97" t="s">
        <v>85</v>
      </c>
      <c r="C1087" s="98" t="str">
        <f t="array" ref="C1087">IFNA(XLOOKUP(J1087,'⚙️ Pengaturan'!$H$5:$H1508,'⚙️ Pengaturan'!$I$5:$I1508),"")</f>
        <v>TIM Y</v>
      </c>
      <c r="D1087" s="97" t="s">
        <v>86</v>
      </c>
      <c r="E1087" s="99">
        <v>45994.0</v>
      </c>
      <c r="F1087" s="100" t="str">
        <f t="shared" si="1"/>
        <v>2025</v>
      </c>
      <c r="G1087" s="100" t="str">
        <f t="shared" si="2"/>
        <v>12Des</v>
      </c>
      <c r="H1087" s="100" t="str">
        <f t="shared" si="3"/>
        <v>Rabu</v>
      </c>
      <c r="I1087" s="97" t="s">
        <v>99</v>
      </c>
      <c r="J1087" s="97" t="s">
        <v>91</v>
      </c>
      <c r="K1087" s="97" t="s">
        <v>63</v>
      </c>
      <c r="L1087" s="101" t="s">
        <v>414</v>
      </c>
      <c r="M1087" s="102" t="str">
        <f>IFNA(VLOOKUP(L1087,'🙎‍♂️ Pasien'!G:V,2,FALSE),"")</f>
        <v>R8723125757</v>
      </c>
      <c r="N1087" s="103">
        <f>IFNA(VLOOKUP(L1087,'🙎‍♂️ Pasien'!G:L,3,FALSE),"")</f>
        <v>39</v>
      </c>
      <c r="O1087" s="104" t="str">
        <f>IFNA(VLOOKUP(L1087,'🙎‍♂️ Pasien'!G:V,6,FALSE),"")</f>
        <v>LAKI-LAKI</v>
      </c>
      <c r="P1087" s="104" t="str">
        <f>IFNA(VLOOKUP(L1087,'🙎‍♂️ Pasien'!G:V,12,FALSE),"")</f>
        <v>ISLAM</v>
      </c>
      <c r="Q1087" s="104" t="str">
        <f>IFNA(VLOOKUP(L1087:L1508,'🙎‍♂️ Pasien'!G:V,13,FALSE),"")</f>
        <v>SWASTA</v>
      </c>
      <c r="R1087" s="104" t="str">
        <f t="array" ref="R1087">ifna(xlookup(L1087,'🙎‍♂️ Pasien'!$G$5:$G1508,'🙎‍♂️ Pasien'!$T$5:$T1508),"")</f>
        <v>Cidera</v>
      </c>
      <c r="S1087" s="104" t="str">
        <f t="array" ref="S1087">ifna(xlookup(L1087,'🙎‍♂️ Pasien'!$G$5:$G1508,'🙎‍♂️ Pasien'!$U$5:$U1508),"")</f>
        <v>Olahraga</v>
      </c>
      <c r="T1087" s="97" t="s">
        <v>59</v>
      </c>
      <c r="U1087" s="105">
        <v>4.0</v>
      </c>
      <c r="V1087" s="101"/>
      <c r="W1087" s="106" t="b">
        <v>1</v>
      </c>
      <c r="X1087" s="107"/>
      <c r="Y1087" s="108"/>
    </row>
    <row r="1088" ht="22.5" customHeight="1">
      <c r="A1088" s="96"/>
      <c r="B1088" s="97" t="s">
        <v>85</v>
      </c>
      <c r="C1088" s="98" t="str">
        <f t="array" ref="C1088">IFNA(XLOOKUP(J1088,'⚙️ Pengaturan'!$H$5:$H1508,'⚙️ Pengaturan'!$I$5:$I1508),"")</f>
        <v>TIM Y</v>
      </c>
      <c r="D1088" s="97" t="s">
        <v>86</v>
      </c>
      <c r="E1088" s="99">
        <v>45994.0</v>
      </c>
      <c r="F1088" s="100" t="str">
        <f t="shared" si="1"/>
        <v>2025</v>
      </c>
      <c r="G1088" s="100" t="str">
        <f t="shared" si="2"/>
        <v>12Des</v>
      </c>
      <c r="H1088" s="100" t="str">
        <f t="shared" si="3"/>
        <v>Rabu</v>
      </c>
      <c r="I1088" s="97" t="s">
        <v>99</v>
      </c>
      <c r="J1088" s="97" t="s">
        <v>88</v>
      </c>
      <c r="K1088" s="97" t="s">
        <v>69</v>
      </c>
      <c r="L1088" s="101" t="s">
        <v>615</v>
      </c>
      <c r="M1088" s="102" t="str">
        <f>IFNA(VLOOKUP(L1088,'🙎‍♂️ Pasien'!G:V,2,FALSE),"")</f>
        <v>W9625114960</v>
      </c>
      <c r="N1088" s="103">
        <f>IFNA(VLOOKUP(L1088,'🙎‍♂️ Pasien'!G:L,3,FALSE),"")</f>
        <v>30</v>
      </c>
      <c r="O1088" s="104" t="str">
        <f>IFNA(VLOOKUP(L1088,'🙎‍♂️ Pasien'!G:V,6,FALSE),"")</f>
        <v>LAKI-LAKI</v>
      </c>
      <c r="P1088" s="104" t="str">
        <f>IFNA(VLOOKUP(L1088,'🙎‍♂️ Pasien'!G:V,12,FALSE),"")</f>
        <v>ISLAM</v>
      </c>
      <c r="Q1088" s="104" t="str">
        <f>IFNA(VLOOKUP(L1088:L1508,'🙎‍♂️ Pasien'!G:V,13,FALSE),"")</f>
        <v>ARSITEK</v>
      </c>
      <c r="R1088" s="104" t="str">
        <f t="array" ref="R1088">ifna(xlookup(L1088,'🙎‍♂️ Pasien'!$G$5:$G1508,'🙎‍♂️ Pasien'!$T$5:$T1508),"")</f>
        <v>SAKIT TULANG BELAKANG AREA PINGGANG</v>
      </c>
      <c r="S1088" s="104" t="str">
        <f t="array" ref="S1088">ifna(xlookup(L1088,'🙎‍♂️ Pasien'!$G$5:$G1508,'🙎‍♂️ Pasien'!$U$5:$U1508),"")</f>
        <v>DUDUK DEPAN KOMPUTER BERJAM JAM</v>
      </c>
      <c r="T1088" s="97" t="s">
        <v>59</v>
      </c>
      <c r="U1088" s="105" t="s">
        <v>60</v>
      </c>
      <c r="V1088" s="101"/>
      <c r="W1088" s="106" t="b">
        <v>1</v>
      </c>
      <c r="X1088" s="107"/>
      <c r="Y1088" s="108"/>
    </row>
    <row r="1089" ht="22.5" customHeight="1">
      <c r="A1089" s="96"/>
      <c r="B1089" s="97" t="s">
        <v>53</v>
      </c>
      <c r="C1089" s="98" t="str">
        <f t="array" ref="C1089">IFNA(XLOOKUP(J1089,'⚙️ Pengaturan'!$H$5:$H1508,'⚙️ Pengaturan'!$I$5:$I1508),"")</f>
        <v>TIM Y</v>
      </c>
      <c r="D1089" s="97" t="s">
        <v>54</v>
      </c>
      <c r="E1089" s="99">
        <v>45995.0</v>
      </c>
      <c r="F1089" s="100" t="str">
        <f t="shared" si="1"/>
        <v>2025</v>
      </c>
      <c r="G1089" s="100" t="str">
        <f t="shared" si="2"/>
        <v>12Des</v>
      </c>
      <c r="H1089" s="100" t="str">
        <f t="shared" si="3"/>
        <v>Kamis</v>
      </c>
      <c r="I1089" s="97" t="s">
        <v>55</v>
      </c>
      <c r="J1089" s="97" t="s">
        <v>91</v>
      </c>
      <c r="K1089" s="97" t="s">
        <v>63</v>
      </c>
      <c r="L1089" s="101" t="s">
        <v>501</v>
      </c>
      <c r="M1089" s="102" t="str">
        <f>IFNA(VLOOKUP(L1089,'🙎‍♂️ Pasien'!G:V,2,FALSE),"")</f>
        <v>C9025117272</v>
      </c>
      <c r="N1089" s="103">
        <f>IFNA(VLOOKUP(L1089,'🙎‍♂️ Pasien'!G:L,3,FALSE),"")</f>
        <v>35</v>
      </c>
      <c r="O1089" s="104" t="str">
        <f>IFNA(VLOOKUP(L1089,'🙎‍♂️ Pasien'!G:V,6,FALSE),"")</f>
        <v>PEREMPUAN</v>
      </c>
      <c r="P1089" s="104" t="str">
        <f>IFNA(VLOOKUP(L1089,'🙎‍♂️ Pasien'!G:V,12,FALSE),"")</f>
        <v>PROTESTAN</v>
      </c>
      <c r="Q1089" s="104" t="str">
        <f>IFNA(VLOOKUP(L1089:L1508,'🙎‍♂️ Pasien'!G:V,13,FALSE),"")</f>
        <v>IBU RUMAH TANGGA</v>
      </c>
      <c r="R1089" s="104" t="str">
        <f t="array" ref="R1089">ifna(xlookup(L1089,'🙎‍♂️ Pasien'!$G$5:$G1508,'🙎‍♂️ Pasien'!$T$5:$T1508),"")</f>
        <v>SENDI LUTUT BERGESER</v>
      </c>
      <c r="S1089" s="104" t="str">
        <f t="array" ref="S1089">ifna(xlookup(L1089,'🙎‍♂️ Pasien'!$G$5:$G1508,'🙎‍♂️ Pasien'!$U$5:$U1508),"")</f>
        <v>JATUH KEPELESET</v>
      </c>
      <c r="T1089" s="97" t="s">
        <v>59</v>
      </c>
      <c r="U1089" s="105">
        <v>8.0</v>
      </c>
      <c r="V1089" s="101"/>
      <c r="W1089" s="106" t="b">
        <v>1</v>
      </c>
      <c r="X1089" s="107"/>
      <c r="Y1089" s="108"/>
    </row>
    <row r="1090" ht="22.5" customHeight="1">
      <c r="A1090" s="96"/>
      <c r="B1090" s="97" t="s">
        <v>53</v>
      </c>
      <c r="C1090" s="98" t="str">
        <f t="array" ref="C1090">IFNA(XLOOKUP(J1090,'⚙️ Pengaturan'!$H$5:$H1508,'⚙️ Pengaturan'!$I$5:$I1508),"")</f>
        <v>TIM Y</v>
      </c>
      <c r="D1090" s="97" t="s">
        <v>54</v>
      </c>
      <c r="E1090" s="99">
        <v>45995.0</v>
      </c>
      <c r="F1090" s="100" t="str">
        <f t="shared" si="1"/>
        <v>2025</v>
      </c>
      <c r="G1090" s="100" t="str">
        <f t="shared" si="2"/>
        <v>12Des</v>
      </c>
      <c r="H1090" s="100" t="str">
        <f t="shared" si="3"/>
        <v>Kamis</v>
      </c>
      <c r="I1090" s="97" t="s">
        <v>65</v>
      </c>
      <c r="J1090" s="97" t="s">
        <v>107</v>
      </c>
      <c r="K1090" s="97" t="s">
        <v>63</v>
      </c>
      <c r="L1090" s="101" t="s">
        <v>193</v>
      </c>
      <c r="M1090" s="102" t="str">
        <f>IFNA(VLOOKUP(L1090,'🙎‍♂️ Pasien'!G:V,2,FALSE),"")</f>
        <v>E8925075615</v>
      </c>
      <c r="N1090" s="103">
        <f>IFNA(VLOOKUP(L1090,'🙎‍♂️ Pasien'!G:L,3,FALSE),"")</f>
        <v>36</v>
      </c>
      <c r="O1090" s="104" t="str">
        <f>IFNA(VLOOKUP(L1090,'🙎‍♂️ Pasien'!G:V,6,FALSE),"")</f>
        <v>PEREMPUAN</v>
      </c>
      <c r="P1090" s="104" t="str">
        <f>IFNA(VLOOKUP(L1090,'🙎‍♂️ Pasien'!G:V,12,FALSE),"")</f>
        <v>KATOLIK</v>
      </c>
      <c r="Q1090" s="104" t="str">
        <f>IFNA(VLOOKUP(L1090:L1508,'🙎‍♂️ Pasien'!G:V,13,FALSE),"")</f>
        <v>WIRASWASTA</v>
      </c>
      <c r="R1090" s="104" t="str">
        <f t="array" ref="R1090">ifna(xlookup(L1090,'🙎‍♂️ Pasien'!$G$5:$G1508,'🙎‍♂️ Pasien'!$T$5:$T1508),"")</f>
        <v>BUNION</v>
      </c>
      <c r="S1090" s="104" t="str">
        <f t="array" ref="S1090">ifna(xlookup(L1090,'🙎‍♂️ Pasien'!$G$5:$G1508,'🙎‍♂️ Pasien'!$U$5:$U1508),"")</f>
        <v>TENNIS</v>
      </c>
      <c r="T1090" s="97" t="s">
        <v>59</v>
      </c>
      <c r="U1090" s="105">
        <v>6.0</v>
      </c>
      <c r="V1090" s="101"/>
      <c r="W1090" s="106" t="b">
        <v>1</v>
      </c>
      <c r="X1090" s="107"/>
      <c r="Y1090" s="108"/>
    </row>
    <row r="1091" ht="22.5" customHeight="1">
      <c r="A1091" s="96"/>
      <c r="B1091" s="97" t="s">
        <v>53</v>
      </c>
      <c r="C1091" s="98" t="str">
        <f t="array" ref="C1091">IFNA(XLOOKUP(J1091,'⚙️ Pengaturan'!$H$5:$H1508,'⚙️ Pengaturan'!$I$5:$I1508),"")</f>
        <v>TIM Y</v>
      </c>
      <c r="D1091" s="97" t="s">
        <v>54</v>
      </c>
      <c r="E1091" s="99">
        <v>45995.0</v>
      </c>
      <c r="F1091" s="100" t="str">
        <f t="shared" si="1"/>
        <v>2025</v>
      </c>
      <c r="G1091" s="100" t="str">
        <f t="shared" si="2"/>
        <v>12Des</v>
      </c>
      <c r="H1091" s="100" t="str">
        <f t="shared" si="3"/>
        <v>Kamis</v>
      </c>
      <c r="I1091" s="97" t="s">
        <v>65</v>
      </c>
      <c r="J1091" s="97" t="s">
        <v>88</v>
      </c>
      <c r="K1091" s="97" t="s">
        <v>57</v>
      </c>
      <c r="L1091" s="101" t="s">
        <v>645</v>
      </c>
      <c r="M1091" s="102" t="str">
        <f>IFNA(VLOOKUP(L1091,'🙎‍♂️ Pasien'!G:V,2,FALSE),"")</f>
        <v>T9225125183</v>
      </c>
      <c r="N1091" s="103">
        <f>IFNA(VLOOKUP(L1091,'🙎‍♂️ Pasien'!G:L,3,FALSE),"")</f>
        <v>33</v>
      </c>
      <c r="O1091" s="104" t="str">
        <f>IFNA(VLOOKUP(L1091,'🙎‍♂️ Pasien'!G:V,6,FALSE),"")</f>
        <v>LAKI-LAKI</v>
      </c>
      <c r="P1091" s="104" t="str">
        <f>IFNA(VLOOKUP(L1091,'🙎‍♂️ Pasien'!G:V,12,FALSE),"")</f>
        <v>PROTESTAN</v>
      </c>
      <c r="Q1091" s="104" t="str">
        <f>IFNA(VLOOKUP(L1091:L1508,'🙎‍♂️ Pasien'!G:V,13,FALSE),"")</f>
        <v>WIRASWASTA</v>
      </c>
      <c r="R1091" s="104" t="str">
        <f t="array" ref="R1091">ifna(xlookup(L1091,'🙎‍♂️ Pasien'!$G$5:$G1508,'🙎‍♂️ Pasien'!$T$5:$T1508),"")</f>
        <v>LOW BACK PAIN</v>
      </c>
      <c r="S1091" s="104" t="str">
        <f t="array" ref="S1091">ifna(xlookup(L1091,'🙎‍♂️ Pasien'!$G$5:$G1508,'🙎‍♂️ Pasien'!$U$5:$U1508),"")</f>
        <v>GYM</v>
      </c>
      <c r="T1091" s="97" t="s">
        <v>59</v>
      </c>
      <c r="U1091" s="105" t="s">
        <v>60</v>
      </c>
      <c r="V1091" s="101"/>
      <c r="W1091" s="106" t="b">
        <v>1</v>
      </c>
      <c r="X1091" s="107"/>
      <c r="Y1091" s="108"/>
    </row>
    <row r="1092" ht="22.5" customHeight="1">
      <c r="A1092" s="96"/>
      <c r="B1092" s="97" t="s">
        <v>53</v>
      </c>
      <c r="C1092" s="98" t="str">
        <f t="array" ref="C1092">IFNA(XLOOKUP(J1092,'⚙️ Pengaturan'!$H$5:$H1508,'⚙️ Pengaturan'!$I$5:$I1508),"")</f>
        <v>MANAJEMEN</v>
      </c>
      <c r="D1092" s="97" t="s">
        <v>54</v>
      </c>
      <c r="E1092" s="99">
        <v>45995.0</v>
      </c>
      <c r="F1092" s="100" t="str">
        <f t="shared" si="1"/>
        <v>2025</v>
      </c>
      <c r="G1092" s="100" t="str">
        <f t="shared" si="2"/>
        <v>12Des</v>
      </c>
      <c r="H1092" s="100" t="str">
        <f t="shared" si="3"/>
        <v>Kamis</v>
      </c>
      <c r="I1092" s="97" t="s">
        <v>74</v>
      </c>
      <c r="J1092" s="97" t="s">
        <v>101</v>
      </c>
      <c r="K1092" s="97" t="s">
        <v>63</v>
      </c>
      <c r="L1092" s="101" t="s">
        <v>552</v>
      </c>
      <c r="M1092" s="102" t="str">
        <f>IFNA(VLOOKUP(L1092,'🙎‍♂️ Pasien'!G:V,2,FALSE),"")</f>
        <v>E8825039292</v>
      </c>
      <c r="N1092" s="103">
        <f>IFNA(VLOOKUP(L1092,'🙎‍♂️ Pasien'!G:L,3,FALSE),"")</f>
        <v>37</v>
      </c>
      <c r="O1092" s="104" t="str">
        <f>IFNA(VLOOKUP(L1092,'🙎‍♂️ Pasien'!G:V,6,FALSE),"")</f>
        <v>LAKI-LAKI</v>
      </c>
      <c r="P1092" s="104" t="str">
        <f>IFNA(VLOOKUP(L1092,'🙎‍♂️ Pasien'!G:V,12,FALSE),"")</f>
        <v>KATOLIK</v>
      </c>
      <c r="Q1092" s="104" t="str">
        <f>IFNA(VLOOKUP(L1092:L1508,'🙎‍♂️ Pasien'!G:V,13,FALSE),"")</f>
        <v>KARYAWAN SWASTA</v>
      </c>
      <c r="R1092" s="104" t="str">
        <f t="array" ref="R1092">ifna(xlookup(L1092,'🙎‍♂️ Pasien'!$G$5:$G1508,'🙎‍♂️ Pasien'!$T$5:$T1508),"")</f>
        <v>RUPTURE PATTELAR TENDON</v>
      </c>
      <c r="S1092" s="104" t="str">
        <f t="array" ref="S1092">ifna(xlookup(L1092,'🙎‍♂️ Pasien'!$G$5:$G1508,'🙎‍♂️ Pasien'!$U$5:$U1508),"")</f>
        <v>BASKET</v>
      </c>
      <c r="T1092" s="97" t="s">
        <v>59</v>
      </c>
      <c r="U1092" s="105">
        <v>6.0</v>
      </c>
      <c r="V1092" s="101" t="s">
        <v>633</v>
      </c>
      <c r="W1092" s="106" t="b">
        <v>1</v>
      </c>
      <c r="X1092" s="107"/>
      <c r="Y1092" s="108"/>
    </row>
    <row r="1093" ht="22.5" customHeight="1">
      <c r="A1093" s="96"/>
      <c r="B1093" s="97" t="s">
        <v>53</v>
      </c>
      <c r="C1093" s="98" t="str">
        <f t="array" ref="C1093">IFNA(XLOOKUP(J1093,'⚙️ Pengaturan'!$H$5:$H1508,'⚙️ Pengaturan'!$I$5:$I1508),"")</f>
        <v>TIM Y</v>
      </c>
      <c r="D1093" s="97" t="s">
        <v>54</v>
      </c>
      <c r="E1093" s="99">
        <v>45995.0</v>
      </c>
      <c r="F1093" s="100" t="str">
        <f t="shared" si="1"/>
        <v>2025</v>
      </c>
      <c r="G1093" s="100" t="str">
        <f t="shared" si="2"/>
        <v>12Des</v>
      </c>
      <c r="H1093" s="100" t="str">
        <f t="shared" si="3"/>
        <v>Kamis</v>
      </c>
      <c r="I1093" s="97" t="s">
        <v>74</v>
      </c>
      <c r="J1093" s="97" t="s">
        <v>88</v>
      </c>
      <c r="K1093" s="97" t="s">
        <v>57</v>
      </c>
      <c r="L1093" s="101" t="s">
        <v>646</v>
      </c>
      <c r="M1093" s="102" t="str">
        <f>IFNA(VLOOKUP(L1093,'🙎‍♂️ Pasien'!G:V,2,FALSE),"")</f>
        <v>H6725049807</v>
      </c>
      <c r="N1093" s="103">
        <f>IFNA(VLOOKUP(L1093,'🙎‍♂️ Pasien'!G:L,3,FALSE),"")</f>
        <v>59</v>
      </c>
      <c r="O1093" s="104" t="str">
        <f>IFNA(VLOOKUP(L1093,'🙎‍♂️ Pasien'!G:V,6,FALSE),"")</f>
        <v>LAKI-LAKI</v>
      </c>
      <c r="P1093" s="104" t="str">
        <f>IFNA(VLOOKUP(L1093,'🙎‍♂️ Pasien'!G:V,12,FALSE),"")</f>
        <v>ISLAM</v>
      </c>
      <c r="Q1093" s="104" t="str">
        <f>IFNA(VLOOKUP(L1093:L1508,'🙎‍♂️ Pasien'!G:V,13,FALSE),"")</f>
        <v>PENSIUNAN PNS</v>
      </c>
      <c r="R1093" s="104" t="str">
        <f t="array" ref="R1093">ifna(xlookup(L1093,'🙎‍♂️ Pasien'!$G$5:$G1508,'🙎‍♂️ Pasien'!$T$5:$T1508),"")</f>
        <v>SUSAH BERJALAN</v>
      </c>
      <c r="S1093" s="104" t="str">
        <f t="array" ref="S1093">ifna(xlookup(L1093,'🙎‍♂️ Pasien'!$G$5:$G1508,'🙎‍♂️ Pasien'!$U$5:$U1508),"")</f>
        <v>JALAN2 BAWA MOTOR</v>
      </c>
      <c r="T1093" s="97" t="s">
        <v>59</v>
      </c>
      <c r="U1093" s="105" t="s">
        <v>60</v>
      </c>
      <c r="V1093" s="101"/>
      <c r="W1093" s="106" t="b">
        <v>1</v>
      </c>
      <c r="X1093" s="107"/>
      <c r="Y1093" s="108"/>
    </row>
    <row r="1094" ht="22.5" customHeight="1">
      <c r="A1094" s="96"/>
      <c r="B1094" s="97" t="s">
        <v>53</v>
      </c>
      <c r="C1094" s="98" t="str">
        <f t="array" ref="C1094">IFNA(XLOOKUP(J1094,'⚙️ Pengaturan'!$H$5:$H1508,'⚙️ Pengaturan'!$I$5:$I1508),"")</f>
        <v>TIM Y</v>
      </c>
      <c r="D1094" s="97" t="s">
        <v>54</v>
      </c>
      <c r="E1094" s="99">
        <v>45995.0</v>
      </c>
      <c r="F1094" s="100" t="str">
        <f t="shared" si="1"/>
        <v>2025</v>
      </c>
      <c r="G1094" s="100" t="str">
        <f t="shared" si="2"/>
        <v>12Des</v>
      </c>
      <c r="H1094" s="100" t="str">
        <f t="shared" si="3"/>
        <v>Kamis</v>
      </c>
      <c r="I1094" s="97" t="s">
        <v>76</v>
      </c>
      <c r="J1094" s="97" t="s">
        <v>91</v>
      </c>
      <c r="K1094" s="97" t="s">
        <v>63</v>
      </c>
      <c r="L1094" s="101" t="s">
        <v>592</v>
      </c>
      <c r="M1094" s="102" t="str">
        <f>IFNA(VLOOKUP(L1094,'🙎‍♂️ Pasien'!G:V,2,FALSE),"")</f>
        <v>L8123072518</v>
      </c>
      <c r="N1094" s="103">
        <f>IFNA(VLOOKUP(L1094,'🙎‍♂️ Pasien'!G:L,3,FALSE),"")</f>
        <v>45</v>
      </c>
      <c r="O1094" s="104" t="str">
        <f>IFNA(VLOOKUP(L1094,'🙎‍♂️ Pasien'!G:V,6,FALSE),"")</f>
        <v>PEREMPUAN</v>
      </c>
      <c r="P1094" s="104" t="str">
        <f>IFNA(VLOOKUP(L1094,'🙎‍♂️ Pasien'!G:V,12,FALSE),"")</f>
        <v>KATOLIK</v>
      </c>
      <c r="Q1094" s="104" t="str">
        <f>IFNA(VLOOKUP(L1094:L1508,'🙎‍♂️ Pasien'!G:V,13,FALSE),"")</f>
        <v>RUMAH TANGGA</v>
      </c>
      <c r="R1094" s="104" t="str">
        <f t="array" ref="R1094">ifna(xlookup(L1094,'🙎‍♂️ Pasien'!$G$5:$G1508,'🙎‍♂️ Pasien'!$T$5:$T1508),"")</f>
        <v>OTOT LEMAH, SENDI KAKU, HILANG KESEIMBANGAN, KESULITAN BERJALAN</v>
      </c>
      <c r="S1094" s="104" t="str">
        <f t="array" ref="S1094">ifna(xlookup(L1094,'🙎‍♂️ Pasien'!$G$5:$G1508,'🙎‍♂️ Pasien'!$U$5:$U1508),"")</f>
        <v>MENGURUS RUMAH TANGGA</v>
      </c>
      <c r="T1094" s="97" t="s">
        <v>67</v>
      </c>
      <c r="U1094" s="105">
        <v>8.0</v>
      </c>
      <c r="V1094" s="101" t="s">
        <v>205</v>
      </c>
      <c r="W1094" s="106" t="b">
        <v>1</v>
      </c>
      <c r="X1094" s="107"/>
      <c r="Y1094" s="108"/>
    </row>
    <row r="1095" ht="22.5" customHeight="1">
      <c r="A1095" s="96"/>
      <c r="B1095" s="97" t="s">
        <v>53</v>
      </c>
      <c r="C1095" s="98" t="str">
        <f t="array" ref="C1095">IFNA(XLOOKUP(J1095,'⚙️ Pengaturan'!$H$5:$H1508,'⚙️ Pengaturan'!$I$5:$I1508),"")</f>
        <v>TIM Y</v>
      </c>
      <c r="D1095" s="97" t="s">
        <v>54</v>
      </c>
      <c r="E1095" s="99">
        <v>45995.0</v>
      </c>
      <c r="F1095" s="100" t="str">
        <f t="shared" si="1"/>
        <v>2025</v>
      </c>
      <c r="G1095" s="100" t="str">
        <f t="shared" si="2"/>
        <v>12Des</v>
      </c>
      <c r="H1095" s="100" t="str">
        <f t="shared" si="3"/>
        <v>Kamis</v>
      </c>
      <c r="I1095" s="97" t="s">
        <v>76</v>
      </c>
      <c r="J1095" s="97" t="s">
        <v>509</v>
      </c>
      <c r="K1095" s="97" t="s">
        <v>57</v>
      </c>
      <c r="L1095" s="101" t="s">
        <v>647</v>
      </c>
      <c r="M1095" s="102" t="str">
        <f>IFNA(VLOOKUP(L1095,'🙎‍♂️ Pasien'!G:V,2,FALSE),"")</f>
        <v>M6325122994</v>
      </c>
      <c r="N1095" s="103">
        <f>IFNA(VLOOKUP(L1095,'🙎‍♂️ Pasien'!G:L,3,FALSE),"")</f>
        <v>63</v>
      </c>
      <c r="O1095" s="104" t="str">
        <f>IFNA(VLOOKUP(L1095,'🙎‍♂️ Pasien'!G:V,6,FALSE),"")</f>
        <v>PEREMPUAN</v>
      </c>
      <c r="P1095" s="104" t="str">
        <f>IFNA(VLOOKUP(L1095,'🙎‍♂️ Pasien'!G:V,12,FALSE),"")</f>
        <v>ISLAM</v>
      </c>
      <c r="Q1095" s="104" t="str">
        <f>IFNA(VLOOKUP(L1095:L1508,'🙎‍♂️ Pasien'!G:V,13,FALSE),"")</f>
        <v>PENSIUNAN</v>
      </c>
      <c r="R1095" s="104" t="str">
        <f t="array" ref="R1095">ifna(xlookup(L1095,'🙎‍♂️ Pasien'!$G$5:$G1508,'🙎‍♂️ Pasien'!$T$5:$T1508),"")</f>
        <v>SYARAT KEJEPIT</v>
      </c>
      <c r="S1095" s="104" t="str">
        <f t="array" ref="S1095">ifna(xlookup(L1095,'🙎‍♂️ Pasien'!$G$5:$G1508,'🙎‍♂️ Pasien'!$U$5:$U1508),"")</f>
        <v>IRT</v>
      </c>
      <c r="T1095" s="97" t="s">
        <v>59</v>
      </c>
      <c r="U1095" s="105" t="s">
        <v>60</v>
      </c>
      <c r="V1095" s="101"/>
      <c r="W1095" s="106" t="b">
        <v>1</v>
      </c>
      <c r="X1095" s="107"/>
      <c r="Y1095" s="108"/>
    </row>
    <row r="1096" ht="22.5" customHeight="1">
      <c r="A1096" s="96"/>
      <c r="B1096" s="97" t="s">
        <v>53</v>
      </c>
      <c r="C1096" s="98" t="str">
        <f t="array" ref="C1096">IFNA(XLOOKUP(J1096,'⚙️ Pengaturan'!$H$5:$H1508,'⚙️ Pengaturan'!$I$5:$I1508),"")</f>
        <v>MANAJEMEN</v>
      </c>
      <c r="D1096" s="97" t="s">
        <v>54</v>
      </c>
      <c r="E1096" s="99">
        <v>45995.0</v>
      </c>
      <c r="F1096" s="100" t="str">
        <f t="shared" si="1"/>
        <v>2025</v>
      </c>
      <c r="G1096" s="100" t="str">
        <f t="shared" si="2"/>
        <v>12Des</v>
      </c>
      <c r="H1096" s="100" t="str">
        <f t="shared" si="3"/>
        <v>Kamis</v>
      </c>
      <c r="I1096" s="97" t="s">
        <v>83</v>
      </c>
      <c r="J1096" s="97" t="s">
        <v>81</v>
      </c>
      <c r="K1096" s="97" t="s">
        <v>63</v>
      </c>
      <c r="L1096" s="101" t="s">
        <v>189</v>
      </c>
      <c r="M1096" s="102" t="str">
        <f>IFNA(VLOOKUP(L1096,'🙎‍♂️ Pasien'!G:V,2,FALSE),"")</f>
        <v>A6025048900</v>
      </c>
      <c r="N1096" s="103">
        <f>IFNA(VLOOKUP(L1096,'🙎‍♂️ Pasien'!G:L,3,FALSE),"")</f>
        <v>66</v>
      </c>
      <c r="O1096" s="104" t="str">
        <f>IFNA(VLOOKUP(L1096,'🙎‍♂️ Pasien'!G:V,6,FALSE),"")</f>
        <v>LAKI-LAKI</v>
      </c>
      <c r="P1096" s="104" t="str">
        <f>IFNA(VLOOKUP(L1096,'🙎‍♂️ Pasien'!G:V,12,FALSE),"")</f>
        <v>KHONGHUCU</v>
      </c>
      <c r="Q1096" s="104" t="str">
        <f>IFNA(VLOOKUP(L1096:L1508,'🙎‍♂️ Pasien'!G:V,13,FALSE),"")</f>
        <v>KONSULTAN PAJAK</v>
      </c>
      <c r="R1096" s="104" t="str">
        <f t="array" ref="R1096">ifna(xlookup(L1096,'🙎‍♂️ Pasien'!$G$5:$G1508,'🙎‍♂️ Pasien'!$T$5:$T1508),"")</f>
        <v>SAKET LEHER</v>
      </c>
      <c r="S1096" s="104" t="str">
        <f t="array" ref="S1096">ifna(xlookup(L1096,'🙎‍♂️ Pasien'!$G$5:$G1508,'🙎‍♂️ Pasien'!$U$5:$U1508),"")</f>
        <v>KERJE KERJE KERJE !!!!</v>
      </c>
      <c r="T1096" s="97" t="s">
        <v>59</v>
      </c>
      <c r="U1096" s="105">
        <v>4.0</v>
      </c>
      <c r="V1096" s="101"/>
      <c r="W1096" s="106" t="b">
        <v>1</v>
      </c>
      <c r="X1096" s="107"/>
      <c r="Y1096" s="108"/>
    </row>
    <row r="1097" ht="22.5" customHeight="1">
      <c r="A1097" s="96"/>
      <c r="B1097" s="97" t="s">
        <v>53</v>
      </c>
      <c r="C1097" s="98" t="str">
        <f t="array" ref="C1097">IFNA(XLOOKUP(J1097,'⚙️ Pengaturan'!$H$5:$H1508,'⚙️ Pengaturan'!$I$5:$I1508),"")</f>
        <v>TIM Y</v>
      </c>
      <c r="D1097" s="97" t="s">
        <v>54</v>
      </c>
      <c r="E1097" s="99">
        <v>45995.0</v>
      </c>
      <c r="F1097" s="100" t="str">
        <f t="shared" si="1"/>
        <v>2025</v>
      </c>
      <c r="G1097" s="100" t="str">
        <f t="shared" si="2"/>
        <v>12Des</v>
      </c>
      <c r="H1097" s="100" t="str">
        <f t="shared" si="3"/>
        <v>Kamis</v>
      </c>
      <c r="I1097" s="97" t="s">
        <v>83</v>
      </c>
      <c r="J1097" s="97" t="s">
        <v>91</v>
      </c>
      <c r="K1097" s="97" t="s">
        <v>57</v>
      </c>
      <c r="L1097" s="101" t="s">
        <v>648</v>
      </c>
      <c r="M1097" s="102" t="str">
        <f>IFNA(VLOOKUP(L1097,'🙎‍♂️ Pasien'!G:V,2,FALSE),"")</f>
        <v>L7425128709</v>
      </c>
      <c r="N1097" s="103">
        <f>IFNA(VLOOKUP(L1097,'🙎‍♂️ Pasien'!G:L,3,FALSE),"")</f>
        <v>51</v>
      </c>
      <c r="O1097" s="104" t="str">
        <f>IFNA(VLOOKUP(L1097,'🙎‍♂️ Pasien'!G:V,6,FALSE),"")</f>
        <v>LAKI-LAKI</v>
      </c>
      <c r="P1097" s="104" t="str">
        <f>IFNA(VLOOKUP(L1097,'🙎‍♂️ Pasien'!G:V,12,FALSE),"")</f>
        <v>ISLAM</v>
      </c>
      <c r="Q1097" s="104" t="str">
        <f>IFNA(VLOOKUP(L1097:L1508,'🙎‍♂️ Pasien'!G:V,13,FALSE),"")</f>
        <v>KARYAWAN SWASTA</v>
      </c>
      <c r="R1097" s="104" t="str">
        <f t="array" ref="R1097">ifna(xlookup(L1097,'🙎‍♂️ Pasien'!$G$5:$G1508,'🙎‍♂️ Pasien'!$T$5:$T1508),"")</f>
        <v>FROZEN SHOULDER</v>
      </c>
      <c r="S1097" s="104" t="str">
        <f t="array" ref="S1097">ifna(xlookup(L1097,'🙎‍♂️ Pasien'!$G$5:$G1508,'🙎‍♂️ Pasien'!$U$5:$U1508),"")</f>
        <v>-</v>
      </c>
      <c r="T1097" s="97" t="s">
        <v>59</v>
      </c>
      <c r="U1097" s="105" t="s">
        <v>60</v>
      </c>
      <c r="V1097" s="101"/>
      <c r="W1097" s="106" t="b">
        <v>1</v>
      </c>
      <c r="X1097" s="107"/>
      <c r="Y1097" s="108"/>
    </row>
    <row r="1098" ht="22.5" customHeight="1">
      <c r="A1098" s="96"/>
      <c r="B1098" s="97" t="s">
        <v>53</v>
      </c>
      <c r="C1098" s="98" t="str">
        <f t="array" ref="C1098">IFNA(XLOOKUP(J1098,'⚙️ Pengaturan'!$H$5:$H1508,'⚙️ Pengaturan'!$I$5:$I1508),"")</f>
        <v>TIM Y</v>
      </c>
      <c r="D1098" s="97" t="s">
        <v>54</v>
      </c>
      <c r="E1098" s="99">
        <v>45995.0</v>
      </c>
      <c r="F1098" s="100" t="str">
        <f t="shared" si="1"/>
        <v>2025</v>
      </c>
      <c r="G1098" s="100" t="str">
        <f t="shared" si="2"/>
        <v>12Des</v>
      </c>
      <c r="H1098" s="100" t="str">
        <f t="shared" si="3"/>
        <v>Kamis</v>
      </c>
      <c r="I1098" s="97" t="s">
        <v>83</v>
      </c>
      <c r="J1098" s="97" t="s">
        <v>88</v>
      </c>
      <c r="K1098" s="97" t="s">
        <v>69</v>
      </c>
      <c r="L1098" s="101" t="s">
        <v>556</v>
      </c>
      <c r="M1098" s="102" t="str">
        <f>IFNA(VLOOKUP(L1098,'🙎‍♂️ Pasien'!G:V,2,FALSE),"")</f>
        <v>M0025117586</v>
      </c>
      <c r="N1098" s="103">
        <f>IFNA(VLOOKUP(L1098,'🙎‍♂️ Pasien'!G:L,3,FALSE),"")</f>
        <v>25</v>
      </c>
      <c r="O1098" s="104" t="str">
        <f>IFNA(VLOOKUP(L1098,'🙎‍♂️ Pasien'!G:V,6,FALSE),"")</f>
        <v>LAKI-LAKI</v>
      </c>
      <c r="P1098" s="104" t="str">
        <f>IFNA(VLOOKUP(L1098,'🙎‍♂️ Pasien'!G:V,12,FALSE),"")</f>
        <v>ISLAM</v>
      </c>
      <c r="Q1098" s="104" t="str">
        <f>IFNA(VLOOKUP(L1098:L1508,'🙎‍♂️ Pasien'!G:V,13,FALSE),"")</f>
        <v>WIRASWASTA</v>
      </c>
      <c r="R1098" s="104" t="str">
        <f t="array" ref="R1098">ifna(xlookup(L1098,'🙎‍♂️ Pasien'!$G$5:$G1508,'🙎‍♂️ Pasien'!$T$5:$T1508),"")</f>
        <v>KESEMUTAN TANGAN KIRI</v>
      </c>
      <c r="S1098" s="104" t="str">
        <f t="array" ref="S1098">ifna(xlookup(L1098,'🙎‍♂️ Pasien'!$G$5:$G1508,'🙎‍♂️ Pasien'!$U$5:$U1508),"")</f>
        <v>GYM</v>
      </c>
      <c r="T1098" s="97" t="s">
        <v>67</v>
      </c>
      <c r="U1098" s="105" t="s">
        <v>60</v>
      </c>
      <c r="V1098" s="101" t="s">
        <v>649</v>
      </c>
      <c r="W1098" s="106" t="b">
        <v>1</v>
      </c>
      <c r="X1098" s="107"/>
      <c r="Y1098" s="108"/>
    </row>
    <row r="1099" ht="22.5" customHeight="1">
      <c r="A1099" s="96"/>
      <c r="B1099" s="97" t="s">
        <v>85</v>
      </c>
      <c r="C1099" s="98" t="str">
        <f t="array" ref="C1099">IFNA(XLOOKUP(J1099,'⚙️ Pengaturan'!$H$5:$H1508,'⚙️ Pengaturan'!$I$5:$I1508),"")</f>
        <v>TIM Y</v>
      </c>
      <c r="D1099" s="97" t="s">
        <v>86</v>
      </c>
      <c r="E1099" s="99">
        <v>45995.0</v>
      </c>
      <c r="F1099" s="100" t="str">
        <f t="shared" si="1"/>
        <v>2025</v>
      </c>
      <c r="G1099" s="100" t="str">
        <f t="shared" si="2"/>
        <v>12Des</v>
      </c>
      <c r="H1099" s="100" t="str">
        <f t="shared" si="3"/>
        <v>Kamis</v>
      </c>
      <c r="I1099" s="97" t="s">
        <v>87</v>
      </c>
      <c r="J1099" s="97" t="s">
        <v>56</v>
      </c>
      <c r="K1099" s="97" t="s">
        <v>63</v>
      </c>
      <c r="L1099" s="101" t="s">
        <v>119</v>
      </c>
      <c r="M1099" s="102" t="str">
        <f>IFNA(VLOOKUP(L1099,'🙎‍♂️ Pasien'!G:V,2,FALSE),"")</f>
        <v>H4623015667</v>
      </c>
      <c r="N1099" s="103">
        <f>IFNA(VLOOKUP(L1099,'🙎‍♂️ Pasien'!G:L,3,FALSE),"")</f>
        <v>80</v>
      </c>
      <c r="O1099" s="104" t="str">
        <f>IFNA(VLOOKUP(L1099,'🙎‍♂️ Pasien'!G:V,6,FALSE),"")</f>
        <v>LAKI-LAKI</v>
      </c>
      <c r="P1099" s="104" t="str">
        <f>IFNA(VLOOKUP(L1099,'🙎‍♂️ Pasien'!G:V,12,FALSE),"")</f>
        <v>ISLAM</v>
      </c>
      <c r="Q1099" s="104" t="str">
        <f>IFNA(VLOOKUP(L1099:L1508,'🙎‍♂️ Pasien'!G:V,13,FALSE),"")</f>
        <v>PENSIUN</v>
      </c>
      <c r="R1099" s="104" t="str">
        <f t="array" ref="R1099">ifna(xlookup(L1099,'🙎‍♂️ Pasien'!$G$5:$G1508,'🙎‍♂️ Pasien'!$T$5:$T1508),"")</f>
        <v>STROKE</v>
      </c>
      <c r="S1099" s="104" t="str">
        <f t="array" ref="S1099">ifna(xlookup(L1099,'🙎‍♂️ Pasien'!$G$5:$G1508,'🙎‍♂️ Pasien'!$U$5:$U1508),"")</f>
        <v/>
      </c>
      <c r="T1099" s="97" t="s">
        <v>59</v>
      </c>
      <c r="U1099" s="105">
        <v>4.0</v>
      </c>
      <c r="V1099" s="101"/>
      <c r="W1099" s="106" t="b">
        <v>1</v>
      </c>
      <c r="X1099" s="107"/>
      <c r="Y1099" s="108"/>
    </row>
    <row r="1100" ht="22.5" customHeight="1">
      <c r="A1100" s="96"/>
      <c r="B1100" s="97" t="s">
        <v>85</v>
      </c>
      <c r="C1100" s="98" t="str">
        <f t="array" ref="C1100">IFNA(XLOOKUP(J1100,'⚙️ Pengaturan'!$H$5:$H1508,'⚙️ Pengaturan'!$I$5:$I1508),"")</f>
        <v>TIM A</v>
      </c>
      <c r="D1100" s="97" t="s">
        <v>86</v>
      </c>
      <c r="E1100" s="99">
        <v>45995.0</v>
      </c>
      <c r="F1100" s="100" t="str">
        <f t="shared" si="1"/>
        <v>2025</v>
      </c>
      <c r="G1100" s="100" t="str">
        <f t="shared" si="2"/>
        <v>12Des</v>
      </c>
      <c r="H1100" s="100" t="str">
        <f t="shared" si="3"/>
        <v>Kamis</v>
      </c>
      <c r="I1100" s="97" t="s">
        <v>87</v>
      </c>
      <c r="J1100" s="97" t="s">
        <v>79</v>
      </c>
      <c r="K1100" s="97" t="s">
        <v>63</v>
      </c>
      <c r="L1100" s="101" t="s">
        <v>366</v>
      </c>
      <c r="M1100" s="102" t="str">
        <f>IFNA(VLOOKUP(L1100,'🙎‍♂️ Pasien'!G:V,2,FALSE),"")</f>
        <v>S0825106969</v>
      </c>
      <c r="N1100" s="103">
        <f>IFNA(VLOOKUP(L1100,'🙎‍♂️ Pasien'!G:L,3,FALSE),"")</f>
        <v>17</v>
      </c>
      <c r="O1100" s="104" t="str">
        <f>IFNA(VLOOKUP(L1100,'🙎‍♂️ Pasien'!G:V,6,FALSE),"")</f>
        <v>PEREMPUAN</v>
      </c>
      <c r="P1100" s="104" t="str">
        <f>IFNA(VLOOKUP(L1100,'🙎‍♂️ Pasien'!G:V,12,FALSE),"")</f>
        <v>KATOLIK</v>
      </c>
      <c r="Q1100" s="104" t="str">
        <f>IFNA(VLOOKUP(L1100:L1508,'🙎‍♂️ Pasien'!G:V,13,FALSE),"")</f>
        <v>PELAJAR</v>
      </c>
      <c r="R1100" s="104" t="str">
        <f t="array" ref="R1100">ifna(xlookup(L1100,'🙎‍♂️ Pasien'!$G$5:$G1508,'🙎‍♂️ Pasien'!$T$5:$T1508),"")</f>
        <v>KAKI PANJANG PENDEK, SERING SAKIT DI BAGIAN PUNGGUNG BAWAH</v>
      </c>
      <c r="S1100" s="104" t="str">
        <f t="array" ref="S1100">ifna(xlookup(L1100,'🙎‍♂️ Pasien'!$G$5:$G1508,'🙎‍♂️ Pasien'!$U$5:$U1508),"")</f>
        <v>MUAY THAI (BARU BARU INI), GYM (DARI BBRP BULAN LALU), DANCE (SEJAK LAMA UDH DANCE)</v>
      </c>
      <c r="T1100" s="97" t="s">
        <v>67</v>
      </c>
      <c r="U1100" s="105">
        <v>3.0</v>
      </c>
      <c r="V1100" s="101" t="s">
        <v>650</v>
      </c>
      <c r="W1100" s="106" t="b">
        <v>1</v>
      </c>
      <c r="X1100" s="107"/>
      <c r="Y1100" s="108"/>
    </row>
    <row r="1101" ht="22.5" customHeight="1">
      <c r="A1101" s="96"/>
      <c r="B1101" s="97" t="s">
        <v>85</v>
      </c>
      <c r="C1101" s="98" t="str">
        <f t="array" ref="C1101">IFNA(XLOOKUP(J1101,'⚙️ Pengaturan'!$H$5:$H1508,'⚙️ Pengaturan'!$I$5:$I1508),"")</f>
        <v>TIM Y</v>
      </c>
      <c r="D1101" s="97" t="s">
        <v>86</v>
      </c>
      <c r="E1101" s="99">
        <v>45995.0</v>
      </c>
      <c r="F1101" s="100" t="str">
        <f t="shared" si="1"/>
        <v>2025</v>
      </c>
      <c r="G1101" s="100" t="str">
        <f t="shared" si="2"/>
        <v>12Des</v>
      </c>
      <c r="H1101" s="100" t="str">
        <f t="shared" si="3"/>
        <v>Kamis</v>
      </c>
      <c r="I1101" s="97" t="s">
        <v>93</v>
      </c>
      <c r="J1101" s="97" t="s">
        <v>56</v>
      </c>
      <c r="K1101" s="97" t="s">
        <v>63</v>
      </c>
      <c r="L1101" s="101" t="s">
        <v>613</v>
      </c>
      <c r="M1101" s="102" t="str">
        <f>IFNA(VLOOKUP(L1101,'🙎‍♂️ Pasien'!G:V,2,FALSE),"")</f>
        <v>A9625081247</v>
      </c>
      <c r="N1101" s="103">
        <f>IFNA(VLOOKUP(L1101,'🙎‍♂️ Pasien'!G:L,3,FALSE),"")</f>
        <v>30</v>
      </c>
      <c r="O1101" s="104" t="str">
        <f>IFNA(VLOOKUP(L1101,'🙎‍♂️ Pasien'!G:V,6,FALSE),"")</f>
        <v>LAKI-LAKI</v>
      </c>
      <c r="P1101" s="104" t="str">
        <f>IFNA(VLOOKUP(L1101,'🙎‍♂️ Pasien'!G:V,12,FALSE),"")</f>
        <v>ISLAM</v>
      </c>
      <c r="Q1101" s="104" t="str">
        <f>IFNA(VLOOKUP(L1101:L1508,'🙎‍♂️ Pasien'!G:V,13,FALSE),"")</f>
        <v>PPPK</v>
      </c>
      <c r="R1101" s="104" t="str">
        <f t="array" ref="R1101">ifna(xlookup(L1101,'🙎‍♂️ Pasien'!$G$5:$G1508,'🙎‍♂️ Pasien'!$T$5:$T1508),"")</f>
        <v>LUTUT BENGKAK, MENISCUS</v>
      </c>
      <c r="S1101" s="104" t="str">
        <f t="array" ref="S1101">ifna(xlookup(L1101,'🙎‍♂️ Pasien'!$G$5:$G1508,'🙎‍♂️ Pasien'!$U$5:$U1508),"")</f>
        <v>FUTSAL, MINISOCCER</v>
      </c>
      <c r="T1101" s="97" t="s">
        <v>59</v>
      </c>
      <c r="U1101" s="105">
        <v>2.0</v>
      </c>
      <c r="V1101" s="101"/>
      <c r="W1101" s="106" t="b">
        <v>1</v>
      </c>
      <c r="X1101" s="107"/>
      <c r="Y1101" s="108"/>
    </row>
    <row r="1102" ht="22.5" customHeight="1">
      <c r="A1102" s="96"/>
      <c r="B1102" s="97" t="s">
        <v>85</v>
      </c>
      <c r="C1102" s="98" t="str">
        <f t="array" ref="C1102">IFNA(XLOOKUP(J1102,'⚙️ Pengaturan'!$H$5:$H1508,'⚙️ Pengaturan'!$I$5:$I1508),"")</f>
        <v>TIM A</v>
      </c>
      <c r="D1102" s="97" t="s">
        <v>86</v>
      </c>
      <c r="E1102" s="99">
        <v>45995.0</v>
      </c>
      <c r="F1102" s="100" t="str">
        <f t="shared" si="1"/>
        <v>2025</v>
      </c>
      <c r="G1102" s="100" t="str">
        <f t="shared" si="2"/>
        <v>12Des</v>
      </c>
      <c r="H1102" s="100" t="str">
        <f t="shared" si="3"/>
        <v>Kamis</v>
      </c>
      <c r="I1102" s="97" t="s">
        <v>93</v>
      </c>
      <c r="J1102" s="97" t="s">
        <v>62</v>
      </c>
      <c r="K1102" s="97" t="s">
        <v>69</v>
      </c>
      <c r="L1102" s="101" t="s">
        <v>632</v>
      </c>
      <c r="M1102" s="102" t="str">
        <f>IFNA(VLOOKUP(L1102,'🙎‍♂️ Pasien'!G:V,2,FALSE),"")</f>
        <v>C8525081338</v>
      </c>
      <c r="N1102" s="103">
        <f>IFNA(VLOOKUP(L1102,'🙎‍♂️ Pasien'!G:L,3,FALSE),"")</f>
        <v>40</v>
      </c>
      <c r="O1102" s="104" t="str">
        <f>IFNA(VLOOKUP(L1102,'🙎‍♂️ Pasien'!G:V,6,FALSE),"")</f>
        <v>PEREMPUAN</v>
      </c>
      <c r="P1102" s="104" t="str">
        <f>IFNA(VLOOKUP(L1102,'🙎‍♂️ Pasien'!G:V,12,FALSE),"")</f>
        <v>ISLAM</v>
      </c>
      <c r="Q1102" s="104" t="str">
        <f>IFNA(VLOOKUP(L1102:L1508,'🙎‍♂️ Pasien'!G:V,13,FALSE),"")</f>
        <v>PNS</v>
      </c>
      <c r="R1102" s="104" t="str">
        <f t="array" ref="R1102">ifna(xlookup(L1102,'🙎‍♂️ Pasien'!$G$5:$G1508,'🙎‍♂️ Pasien'!$T$5:$T1508),"")</f>
        <v>KRAM KAKI KIRI SAMPAI PINGGANG</v>
      </c>
      <c r="S1102" s="104" t="str">
        <f t="array" ref="S1102">ifna(xlookup(L1102,'🙎‍♂️ Pasien'!$G$5:$G1508,'🙎‍♂️ Pasien'!$U$5:$U1508),"")</f>
        <v>-</v>
      </c>
      <c r="T1102" s="97" t="s">
        <v>59</v>
      </c>
      <c r="U1102" s="105" t="s">
        <v>60</v>
      </c>
      <c r="V1102" s="101"/>
      <c r="W1102" s="106" t="b">
        <v>1</v>
      </c>
      <c r="X1102" s="107"/>
      <c r="Y1102" s="108"/>
    </row>
    <row r="1103" ht="22.5" customHeight="1">
      <c r="A1103" s="96"/>
      <c r="B1103" s="97" t="s">
        <v>85</v>
      </c>
      <c r="C1103" s="98" t="str">
        <f t="array" ref="C1103">IFNA(XLOOKUP(J1103,'⚙️ Pengaturan'!$H$5:$H1508,'⚙️ Pengaturan'!$I$5:$I1508),"")</f>
        <v>TIM A</v>
      </c>
      <c r="D1103" s="97" t="s">
        <v>86</v>
      </c>
      <c r="E1103" s="99">
        <v>45995.0</v>
      </c>
      <c r="F1103" s="100" t="str">
        <f t="shared" si="1"/>
        <v>2025</v>
      </c>
      <c r="G1103" s="100" t="str">
        <f t="shared" si="2"/>
        <v>12Des</v>
      </c>
      <c r="H1103" s="100" t="str">
        <f t="shared" si="3"/>
        <v>Kamis</v>
      </c>
      <c r="I1103" s="97" t="s">
        <v>93</v>
      </c>
      <c r="J1103" s="97" t="s">
        <v>72</v>
      </c>
      <c r="K1103" s="97" t="s">
        <v>63</v>
      </c>
      <c r="L1103" s="101" t="s">
        <v>129</v>
      </c>
      <c r="M1103" s="102" t="str">
        <f>IFNA(VLOOKUP(L1103,'🙎‍♂️ Pasien'!G:V,2,FALSE),"")</f>
        <v>D1025091558</v>
      </c>
      <c r="N1103" s="103">
        <f>IFNA(VLOOKUP(L1103,'🙎‍♂️ Pasien'!G:L,3,FALSE),"")</f>
        <v>16</v>
      </c>
      <c r="O1103" s="104" t="str">
        <f>IFNA(VLOOKUP(L1103,'🙎‍♂️ Pasien'!G:V,6,FALSE),"")</f>
        <v>LAKI-LAKI</v>
      </c>
      <c r="P1103" s="104" t="str">
        <f>IFNA(VLOOKUP(L1103,'🙎‍♂️ Pasien'!G:V,12,FALSE),"")</f>
        <v>PROTESTAN</v>
      </c>
      <c r="Q1103" s="104" t="str">
        <f>IFNA(VLOOKUP(L1103:L1508,'🙎‍♂️ Pasien'!G:V,13,FALSE),"")</f>
        <v>MASI SEKOLAH</v>
      </c>
      <c r="R1103" s="104" t="str">
        <f t="array" ref="R1103">ifna(xlookup(L1103,'🙎‍♂️ Pasien'!$G$5:$G1508,'🙎‍♂️ Pasien'!$T$5:$T1508),"")</f>
        <v>SAKIT DI BAGIAN LUTUT</v>
      </c>
      <c r="S1103" s="104" t="str">
        <f t="array" ref="S1103">ifna(xlookup(L1103,'🙎‍♂️ Pasien'!$G$5:$G1508,'🙎‍♂️ Pasien'!$U$5:$U1508),"")</f>
        <v>BASKET</v>
      </c>
      <c r="T1103" s="97" t="s">
        <v>67</v>
      </c>
      <c r="U1103" s="105">
        <v>2.0</v>
      </c>
      <c r="V1103" s="101" t="s">
        <v>512</v>
      </c>
      <c r="W1103" s="106" t="b">
        <v>1</v>
      </c>
      <c r="X1103" s="107"/>
      <c r="Y1103" s="108"/>
    </row>
    <row r="1104" ht="22.5" customHeight="1">
      <c r="A1104" s="96"/>
      <c r="B1104" s="97" t="s">
        <v>85</v>
      </c>
      <c r="C1104" s="98" t="str">
        <f t="array" ref="C1104">IFNA(XLOOKUP(J1104,'⚙️ Pengaturan'!$H$5:$H1508,'⚙️ Pengaturan'!$I$5:$I1508),"")</f>
        <v>TIM Y</v>
      </c>
      <c r="D1104" s="97" t="s">
        <v>86</v>
      </c>
      <c r="E1104" s="99">
        <v>45995.0</v>
      </c>
      <c r="F1104" s="100" t="str">
        <f t="shared" si="1"/>
        <v>2025</v>
      </c>
      <c r="G1104" s="100" t="str">
        <f t="shared" si="2"/>
        <v>12Des</v>
      </c>
      <c r="H1104" s="100" t="str">
        <f t="shared" si="3"/>
        <v>Kamis</v>
      </c>
      <c r="I1104" s="97" t="s">
        <v>95</v>
      </c>
      <c r="J1104" s="97" t="s">
        <v>56</v>
      </c>
      <c r="K1104" s="97" t="s">
        <v>63</v>
      </c>
      <c r="L1104" s="101" t="s">
        <v>613</v>
      </c>
      <c r="M1104" s="102" t="str">
        <f>IFNA(VLOOKUP(L1104,'🙎‍♂️ Pasien'!G:V,2,FALSE),"")</f>
        <v>A9625081247</v>
      </c>
      <c r="N1104" s="103">
        <f>IFNA(VLOOKUP(L1104,'🙎‍♂️ Pasien'!G:L,3,FALSE),"")</f>
        <v>30</v>
      </c>
      <c r="O1104" s="104" t="str">
        <f>IFNA(VLOOKUP(L1104,'🙎‍♂️ Pasien'!G:V,6,FALSE),"")</f>
        <v>LAKI-LAKI</v>
      </c>
      <c r="P1104" s="104" t="str">
        <f>IFNA(VLOOKUP(L1104,'🙎‍♂️ Pasien'!G:V,12,FALSE),"")</f>
        <v>ISLAM</v>
      </c>
      <c r="Q1104" s="104" t="str">
        <f>IFNA(VLOOKUP(L1104:L1508,'🙎‍♂️ Pasien'!G:V,13,FALSE),"")</f>
        <v>PPPK</v>
      </c>
      <c r="R1104" s="104" t="str">
        <f t="array" ref="R1104">ifna(xlookup(L1104,'🙎‍♂️ Pasien'!$G$5:$G1508,'🙎‍♂️ Pasien'!$T$5:$T1508),"")</f>
        <v>LUTUT BENGKAK, MENISCUS</v>
      </c>
      <c r="S1104" s="104" t="str">
        <f t="array" ref="S1104">ifna(xlookup(L1104,'🙎‍♂️ Pasien'!$G$5:$G1508,'🙎‍♂️ Pasien'!$U$5:$U1508),"")</f>
        <v>FUTSAL, MINISOCCER</v>
      </c>
      <c r="T1104" s="97" t="s">
        <v>59</v>
      </c>
      <c r="U1104" s="105">
        <v>3.0</v>
      </c>
      <c r="V1104" s="101"/>
      <c r="W1104" s="106" t="b">
        <v>1</v>
      </c>
      <c r="X1104" s="107"/>
      <c r="Y1104" s="108"/>
    </row>
    <row r="1105" ht="22.5" customHeight="1">
      <c r="A1105" s="96"/>
      <c r="B1105" s="97" t="s">
        <v>85</v>
      </c>
      <c r="C1105" s="98" t="str">
        <f t="array" ref="C1105">IFNA(XLOOKUP(J1105,'⚙️ Pengaturan'!$H$5:$H1508,'⚙️ Pengaturan'!$I$5:$I1508),"")</f>
        <v>TIM A</v>
      </c>
      <c r="D1105" s="97" t="s">
        <v>86</v>
      </c>
      <c r="E1105" s="99">
        <v>45995.0</v>
      </c>
      <c r="F1105" s="100" t="str">
        <f t="shared" si="1"/>
        <v>2025</v>
      </c>
      <c r="G1105" s="100" t="str">
        <f t="shared" si="2"/>
        <v>12Des</v>
      </c>
      <c r="H1105" s="100" t="str">
        <f t="shared" si="3"/>
        <v>Kamis</v>
      </c>
      <c r="I1105" s="97" t="s">
        <v>95</v>
      </c>
      <c r="J1105" s="97" t="s">
        <v>62</v>
      </c>
      <c r="K1105" s="97" t="s">
        <v>57</v>
      </c>
      <c r="L1105" s="101" t="s">
        <v>651</v>
      </c>
      <c r="M1105" s="102" t="str">
        <f>IFNA(VLOOKUP(L1105,'🙎‍♂️ Pasien'!G:V,2,FALSE),"")</f>
        <v>D9125126509</v>
      </c>
      <c r="N1105" s="103">
        <f>IFNA(VLOOKUP(L1105,'🙎‍♂️ Pasien'!G:L,3,FALSE),"")</f>
        <v>34</v>
      </c>
      <c r="O1105" s="104" t="str">
        <f>IFNA(VLOOKUP(L1105,'🙎‍♂️ Pasien'!G:V,6,FALSE),"")</f>
        <v>PEREMPUAN</v>
      </c>
      <c r="P1105" s="104" t="str">
        <f>IFNA(VLOOKUP(L1105,'🙎‍♂️ Pasien'!G:V,12,FALSE),"")</f>
        <v>ISLAM</v>
      </c>
      <c r="Q1105" s="104" t="str">
        <f>IFNA(VLOOKUP(L1105:L1508,'🙎‍♂️ Pasien'!G:V,13,FALSE),"")</f>
        <v>PNS</v>
      </c>
      <c r="R1105" s="104" t="str">
        <f t="array" ref="R1105">ifna(xlookup(L1105,'🙎‍♂️ Pasien'!$G$5:$G1508,'🙎‍♂️ Pasien'!$T$5:$T1508),"")</f>
        <v>CIDERA LUTUT</v>
      </c>
      <c r="S1105" s="104" t="str">
        <f t="array" ref="S1105">ifna(xlookup(L1105,'🙎‍♂️ Pasien'!$G$5:$G1508,'🙎‍♂️ Pasien'!$U$5:$U1508),"")</f>
        <v>OLAHRAGA</v>
      </c>
      <c r="T1105" s="97" t="s">
        <v>59</v>
      </c>
      <c r="U1105" s="105" t="s">
        <v>60</v>
      </c>
      <c r="V1105" s="101"/>
      <c r="W1105" s="106" t="b">
        <v>1</v>
      </c>
      <c r="X1105" s="107"/>
      <c r="Y1105" s="108"/>
    </row>
    <row r="1106" ht="22.5" customHeight="1">
      <c r="A1106" s="96"/>
      <c r="B1106" s="97" t="s">
        <v>85</v>
      </c>
      <c r="C1106" s="98" t="str">
        <f t="array" ref="C1106">IFNA(XLOOKUP(J1106,'⚙️ Pengaturan'!$H$5:$H1508,'⚙️ Pengaturan'!$I$5:$I1508),"")</f>
        <v>TIM A</v>
      </c>
      <c r="D1106" s="97" t="s">
        <v>86</v>
      </c>
      <c r="E1106" s="99">
        <v>45995.0</v>
      </c>
      <c r="F1106" s="100" t="str">
        <f t="shared" si="1"/>
        <v>2025</v>
      </c>
      <c r="G1106" s="100" t="str">
        <f t="shared" si="2"/>
        <v>12Des</v>
      </c>
      <c r="H1106" s="100" t="str">
        <f t="shared" si="3"/>
        <v>Kamis</v>
      </c>
      <c r="I1106" s="97" t="s">
        <v>95</v>
      </c>
      <c r="J1106" s="97" t="s">
        <v>72</v>
      </c>
      <c r="K1106" s="97" t="s">
        <v>69</v>
      </c>
      <c r="L1106" s="101" t="s">
        <v>585</v>
      </c>
      <c r="M1106" s="102" t="str">
        <f>IFNA(VLOOKUP(L1106,'🙎‍♂️ Pasien'!G:V,2,FALSE),"")</f>
        <v>I0025112738</v>
      </c>
      <c r="N1106" s="103">
        <f>IFNA(VLOOKUP(L1106,'🙎‍♂️ Pasien'!G:L,3,FALSE),"")</f>
        <v>25</v>
      </c>
      <c r="O1106" s="104" t="str">
        <f>IFNA(VLOOKUP(L1106,'🙎‍♂️ Pasien'!G:V,6,FALSE),"")</f>
        <v>PEREMPUAN</v>
      </c>
      <c r="P1106" s="104" t="str">
        <f>IFNA(VLOOKUP(L1106,'🙎‍♂️ Pasien'!G:V,12,FALSE),"")</f>
        <v>ISLAM</v>
      </c>
      <c r="Q1106" s="104" t="str">
        <f>IFNA(VLOOKUP(L1106:L1508,'🙎‍♂️ Pasien'!G:V,13,FALSE),"")</f>
        <v>-</v>
      </c>
      <c r="R1106" s="104" t="str">
        <f t="array" ref="R1106">ifna(xlookup(L1106,'🙎‍♂️ Pasien'!$G$5:$G1508,'🙎‍♂️ Pasien'!$T$5:$T1508),"")</f>
        <v>LUTUT</v>
      </c>
      <c r="S1106" s="104" t="str">
        <f t="array" ref="S1106">ifna(xlookup(L1106,'🙎‍♂️ Pasien'!$G$5:$G1508,'🙎‍♂️ Pasien'!$U$5:$U1508),"")</f>
        <v>-</v>
      </c>
      <c r="T1106" s="97" t="s">
        <v>59</v>
      </c>
      <c r="U1106" s="105" t="s">
        <v>60</v>
      </c>
      <c r="V1106" s="101"/>
      <c r="W1106" s="106" t="b">
        <v>1</v>
      </c>
      <c r="X1106" s="107"/>
      <c r="Y1106" s="108"/>
    </row>
    <row r="1107" ht="22.5" customHeight="1">
      <c r="A1107" s="96"/>
      <c r="B1107" s="97" t="s">
        <v>85</v>
      </c>
      <c r="C1107" s="98" t="str">
        <f t="array" ref="C1107">IFNA(XLOOKUP(J1107,'⚙️ Pengaturan'!$H$5:$H1508,'⚙️ Pengaturan'!$I$5:$I1508),"")</f>
        <v>TIM A</v>
      </c>
      <c r="D1107" s="97" t="s">
        <v>86</v>
      </c>
      <c r="E1107" s="99">
        <v>45995.0</v>
      </c>
      <c r="F1107" s="100" t="str">
        <f t="shared" si="1"/>
        <v>2025</v>
      </c>
      <c r="G1107" s="100" t="str">
        <f t="shared" si="2"/>
        <v>12Des</v>
      </c>
      <c r="H1107" s="100" t="str">
        <f t="shared" si="3"/>
        <v>Kamis</v>
      </c>
      <c r="I1107" s="97" t="s">
        <v>97</v>
      </c>
      <c r="J1107" s="97" t="s">
        <v>79</v>
      </c>
      <c r="K1107" s="97" t="s">
        <v>63</v>
      </c>
      <c r="L1107" s="101" t="s">
        <v>540</v>
      </c>
      <c r="M1107" s="102" t="str">
        <f>IFNA(VLOOKUP(L1107,'🙎‍♂️ Pasien'!G:V,2,FALSE),"")</f>
        <v>A9425110177</v>
      </c>
      <c r="N1107" s="103">
        <f>IFNA(VLOOKUP(L1107,'🙎‍♂️ Pasien'!G:L,3,FALSE),"")</f>
        <v>31</v>
      </c>
      <c r="O1107" s="104" t="str">
        <f>IFNA(VLOOKUP(L1107,'🙎‍♂️ Pasien'!G:V,6,FALSE),"")</f>
        <v>LAKI-LAKI</v>
      </c>
      <c r="P1107" s="104" t="str">
        <f>IFNA(VLOOKUP(L1107,'🙎‍♂️ Pasien'!G:V,12,FALSE),"")</f>
        <v>KATOLIK</v>
      </c>
      <c r="Q1107" s="104" t="str">
        <f>IFNA(VLOOKUP(L1107:L1508,'🙎‍♂️ Pasien'!G:V,13,FALSE),"")</f>
        <v>-</v>
      </c>
      <c r="R1107" s="104" t="str">
        <f t="array" ref="R1107">ifna(xlookup(L1107,'🙎‍♂️ Pasien'!$G$5:$G1508,'🙎‍♂️ Pasien'!$T$5:$T1508),"")</f>
        <v>PASCA OPERASI ACL</v>
      </c>
      <c r="S1107" s="104" t="str">
        <f t="array" ref="S1107">ifna(xlookup(L1107,'🙎‍♂️ Pasien'!$G$5:$G1508,'🙎‍♂️ Pasien'!$U$5:$U1508),"")</f>
        <v>-</v>
      </c>
      <c r="T1107" s="97" t="s">
        <v>59</v>
      </c>
      <c r="U1107" s="105">
        <v>2.0</v>
      </c>
      <c r="V1107" s="101"/>
      <c r="W1107" s="106" t="b">
        <v>1</v>
      </c>
      <c r="X1107" s="107"/>
      <c r="Y1107" s="108"/>
    </row>
    <row r="1108" ht="22.5" customHeight="1">
      <c r="A1108" s="96"/>
      <c r="B1108" s="97" t="s">
        <v>85</v>
      </c>
      <c r="C1108" s="98" t="str">
        <f t="array" ref="C1108">IFNA(XLOOKUP(J1108,'⚙️ Pengaturan'!$H$5:$H1508,'⚙️ Pengaturan'!$I$5:$I1508),"")</f>
        <v>TIM A</v>
      </c>
      <c r="D1108" s="97" t="s">
        <v>86</v>
      </c>
      <c r="E1108" s="99">
        <v>45995.0</v>
      </c>
      <c r="F1108" s="100" t="str">
        <f t="shared" si="1"/>
        <v>2025</v>
      </c>
      <c r="G1108" s="100" t="str">
        <f t="shared" si="2"/>
        <v>12Des</v>
      </c>
      <c r="H1108" s="100" t="str">
        <f t="shared" si="3"/>
        <v>Kamis</v>
      </c>
      <c r="I1108" s="97" t="s">
        <v>99</v>
      </c>
      <c r="J1108" s="97" t="s">
        <v>79</v>
      </c>
      <c r="K1108" s="97" t="s">
        <v>63</v>
      </c>
      <c r="L1108" s="101" t="s">
        <v>239</v>
      </c>
      <c r="M1108" s="102" t="str">
        <f>IFNA(VLOOKUP(L1108,'🙎‍♂️ Pasien'!G:V,2,FALSE),"")</f>
        <v>A0623071437</v>
      </c>
      <c r="N1108" s="103">
        <f>IFNA(VLOOKUP(L1108,'🙎‍♂️ Pasien'!G:L,3,FALSE),"")</f>
        <v>20</v>
      </c>
      <c r="O1108" s="104" t="str">
        <f>IFNA(VLOOKUP(L1108,'🙎‍♂️ Pasien'!G:V,6,FALSE),"")</f>
        <v>LAKI-LAKI</v>
      </c>
      <c r="P1108" s="104" t="str">
        <f>IFNA(VLOOKUP(L1108,'🙎‍♂️ Pasien'!G:V,12,FALSE),"")</f>
        <v>ISLAM</v>
      </c>
      <c r="Q1108" s="104" t="str">
        <f>IFNA(VLOOKUP(L1108:L1508,'🙎‍♂️ Pasien'!G:V,13,FALSE),"")</f>
        <v>PELAJAR/MAHASISWA</v>
      </c>
      <c r="R1108" s="104" t="str">
        <f t="array" ref="R1108">ifna(xlookup(L1108,'🙎‍♂️ Pasien'!$G$5:$G1508,'🙎‍♂️ Pasien'!$T$5:$T1508),"")</f>
        <v>Cedera Engkel Di Kaki</v>
      </c>
      <c r="S1108" s="104" t="str">
        <f t="array" ref="S1108">ifna(xlookup(L1108,'🙎‍♂️ Pasien'!$G$5:$G1508,'🙎‍♂️ Pasien'!$U$5:$U1508),"")</f>
        <v>BERMAIN FUTSAL</v>
      </c>
      <c r="T1108" s="97" t="s">
        <v>59</v>
      </c>
      <c r="U1108" s="105">
        <v>4.0</v>
      </c>
      <c r="V1108" s="101"/>
      <c r="W1108" s="106" t="b">
        <v>1</v>
      </c>
      <c r="X1108" s="107"/>
      <c r="Y1108" s="108"/>
    </row>
    <row r="1109" ht="22.5" customHeight="1">
      <c r="A1109" s="96"/>
      <c r="B1109" s="97" t="s">
        <v>85</v>
      </c>
      <c r="C1109" s="98" t="str">
        <f t="array" ref="C1109">IFNA(XLOOKUP(J1109,'⚙️ Pengaturan'!$H$5:$H1508,'⚙️ Pengaturan'!$I$5:$I1508),"")</f>
        <v>TIM A</v>
      </c>
      <c r="D1109" s="97" t="s">
        <v>86</v>
      </c>
      <c r="E1109" s="99">
        <v>45995.0</v>
      </c>
      <c r="F1109" s="100" t="str">
        <f t="shared" si="1"/>
        <v>2025</v>
      </c>
      <c r="G1109" s="100" t="str">
        <f t="shared" si="2"/>
        <v>12Des</v>
      </c>
      <c r="H1109" s="100" t="str">
        <f t="shared" si="3"/>
        <v>Kamis</v>
      </c>
      <c r="I1109" s="97" t="s">
        <v>99</v>
      </c>
      <c r="J1109" s="97" t="s">
        <v>72</v>
      </c>
      <c r="K1109" s="97" t="s">
        <v>69</v>
      </c>
      <c r="L1109" s="101" t="s">
        <v>381</v>
      </c>
      <c r="M1109" s="102" t="str">
        <f>IFNA(VLOOKUP(L1109,'🙎‍♂️ Pasien'!G:V,2,FALSE),"")</f>
        <v>A9925105509</v>
      </c>
      <c r="N1109" s="103">
        <f>IFNA(VLOOKUP(L1109,'🙎‍♂️ Pasien'!G:L,3,FALSE),"")</f>
        <v>27</v>
      </c>
      <c r="O1109" s="104" t="str">
        <f>IFNA(VLOOKUP(L1109,'🙎‍♂️ Pasien'!G:V,6,FALSE),"")</f>
        <v>PEREMPUAN</v>
      </c>
      <c r="P1109" s="104" t="str">
        <f>IFNA(VLOOKUP(L1109,'🙎‍♂️ Pasien'!G:V,12,FALSE),"")</f>
        <v>BUDDHA</v>
      </c>
      <c r="Q1109" s="104" t="str">
        <f>IFNA(VLOOKUP(L1109:L1508,'🙎‍♂️ Pasien'!G:V,13,FALSE),"")</f>
        <v>WIRASWASTA</v>
      </c>
      <c r="R1109" s="104" t="str">
        <f t="array" ref="R1109">ifna(xlookup(L1109,'🙎‍♂️ Pasien'!$G$5:$G1508,'🙎‍♂️ Pasien'!$T$5:$T1508),"")</f>
        <v>KAKI BEKAS ANKLE SPRAIN SUDAH DITRE DAN BAHU PEGAL</v>
      </c>
      <c r="S1109" s="104" t="str">
        <f t="array" ref="S1109">ifna(xlookup(L1109,'🙎‍♂️ Pasien'!$G$5:$G1508,'🙎‍♂️ Pasien'!$U$5:$U1508),"")</f>
        <v>2 MINGGU LALU JATUH DARI KETINGGIAN</v>
      </c>
      <c r="T1109" s="97" t="s">
        <v>59</v>
      </c>
      <c r="U1109" s="105" t="s">
        <v>60</v>
      </c>
      <c r="V1109" s="101"/>
      <c r="W1109" s="106" t="b">
        <v>1</v>
      </c>
      <c r="X1109" s="107"/>
      <c r="Y1109" s="108"/>
    </row>
    <row r="1110" ht="22.5" customHeight="1">
      <c r="A1110" s="96"/>
      <c r="B1110" s="97" t="s">
        <v>85</v>
      </c>
      <c r="C1110" s="98" t="str">
        <f t="array" ref="C1110">IFNA(XLOOKUP(J1110,'⚙️ Pengaturan'!$H$5:$H1508,'⚙️ Pengaturan'!$I$5:$I1508),"")</f>
        <v>TIM A</v>
      </c>
      <c r="D1110" s="97" t="s">
        <v>134</v>
      </c>
      <c r="E1110" s="99">
        <v>45996.0</v>
      </c>
      <c r="F1110" s="100" t="str">
        <f t="shared" si="1"/>
        <v>2025</v>
      </c>
      <c r="G1110" s="100" t="str">
        <f t="shared" si="2"/>
        <v>12Des</v>
      </c>
      <c r="H1110" s="100" t="str">
        <f t="shared" si="3"/>
        <v>Jumat</v>
      </c>
      <c r="I1110" s="97" t="s">
        <v>87</v>
      </c>
      <c r="J1110" s="97" t="s">
        <v>62</v>
      </c>
      <c r="K1110" s="97" t="s">
        <v>63</v>
      </c>
      <c r="L1110" s="101" t="s">
        <v>642</v>
      </c>
      <c r="M1110" s="102" t="str">
        <f>IFNA(VLOOKUP(L1110,'🙎‍♂️ Pasien'!G:V,2,FALSE),"")</f>
        <v>D7925125149</v>
      </c>
      <c r="N1110" s="103">
        <f>IFNA(VLOOKUP(L1110,'🙎‍♂️ Pasien'!G:L,3,FALSE),"")</f>
        <v>46</v>
      </c>
      <c r="O1110" s="104" t="str">
        <f>IFNA(VLOOKUP(L1110,'🙎‍♂️ Pasien'!G:V,6,FALSE),"")</f>
        <v>LAKI-LAKI</v>
      </c>
      <c r="P1110" s="104" t="str">
        <f>IFNA(VLOOKUP(L1110,'🙎‍♂️ Pasien'!G:V,12,FALSE),"")</f>
        <v>KHONGHUCU</v>
      </c>
      <c r="Q1110" s="104" t="str">
        <f>IFNA(VLOOKUP(L1110:L1508,'🙎‍♂️ Pasien'!G:V,13,FALSE),"")</f>
        <v>SWASTA</v>
      </c>
      <c r="R1110" s="104" t="str">
        <f t="array" ref="R1110">ifna(xlookup(L1110,'🙎‍♂️ Pasien'!$G$5:$G1508,'🙎‍♂️ Pasien'!$T$5:$T1508),"")</f>
        <v>TENIS ELBOW</v>
      </c>
      <c r="S1110" s="104" t="str">
        <f t="array" ref="S1110">ifna(xlookup(L1110,'🙎‍♂️ Pasien'!$G$5:$G1508,'🙎‍♂️ Pasien'!$U$5:$U1508),"")</f>
        <v>OLAH RAGA</v>
      </c>
      <c r="T1110" s="97" t="s">
        <v>59</v>
      </c>
      <c r="U1110" s="105">
        <v>1.0</v>
      </c>
      <c r="V1110" s="101" t="s">
        <v>652</v>
      </c>
      <c r="W1110" s="106" t="b">
        <v>1</v>
      </c>
      <c r="X1110" s="109" t="s">
        <v>214</v>
      </c>
      <c r="Y1110" s="108"/>
    </row>
    <row r="1111" ht="22.5" customHeight="1">
      <c r="A1111" s="96"/>
      <c r="B1111" s="97" t="s">
        <v>85</v>
      </c>
      <c r="C1111" s="98" t="str">
        <f t="array" ref="C1111">IFNA(XLOOKUP(J1111,'⚙️ Pengaturan'!$H$5:$H1508,'⚙️ Pengaturan'!$I$5:$I1508),"")</f>
        <v>TIM A</v>
      </c>
      <c r="D1111" s="97" t="s">
        <v>134</v>
      </c>
      <c r="E1111" s="99">
        <v>45996.0</v>
      </c>
      <c r="F1111" s="100" t="str">
        <f t="shared" si="1"/>
        <v>2025</v>
      </c>
      <c r="G1111" s="100" t="str">
        <f t="shared" si="2"/>
        <v>12Des</v>
      </c>
      <c r="H1111" s="100" t="str">
        <f t="shared" si="3"/>
        <v>Jumat</v>
      </c>
      <c r="I1111" s="97" t="s">
        <v>93</v>
      </c>
      <c r="J1111" s="97" t="s">
        <v>62</v>
      </c>
      <c r="K1111" s="97" t="s">
        <v>63</v>
      </c>
      <c r="L1111" s="101" t="s">
        <v>225</v>
      </c>
      <c r="M1111" s="102" t="str">
        <f>IFNA(VLOOKUP(L1111,'🙎‍♂️ Pasien'!G:V,2,FALSE),"")</f>
        <v>B8025102288</v>
      </c>
      <c r="N1111" s="103">
        <f>IFNA(VLOOKUP(L1111,'🙎‍♂️ Pasien'!G:L,3,FALSE),"")</f>
        <v>45</v>
      </c>
      <c r="O1111" s="104" t="str">
        <f>IFNA(VLOOKUP(L1111,'🙎‍♂️ Pasien'!G:V,6,FALSE),"")</f>
        <v>PEREMPUAN</v>
      </c>
      <c r="P1111" s="104" t="str">
        <f>IFNA(VLOOKUP(L1111,'🙎‍♂️ Pasien'!G:V,12,FALSE),"")</f>
        <v>ISLAM</v>
      </c>
      <c r="Q1111" s="104" t="str">
        <f>IFNA(VLOOKUP(L1111:L1508,'🙎‍♂️ Pasien'!G:V,13,FALSE),"")</f>
        <v>ASN</v>
      </c>
      <c r="R1111" s="104" t="str">
        <f t="array" ref="R1111">ifna(xlookup(L1111,'🙎‍♂️ Pasien'!$G$5:$G1508,'🙎‍♂️ Pasien'!$T$5:$T1508),"")</f>
        <v>KELUHAN SY NYERI DI TUMIT KIRI SM PAHA KANAN UT DIANGKAT SAMBIL DITEKUK KE ARAH SAMPING LUAR RASA NYA NYERI</v>
      </c>
      <c r="S1111" s="104" t="str">
        <f t="array" ref="S1111">ifna(xlookup(L1111,'🙎‍♂️ Pasien'!$G$5:$G1508,'🙎‍♂️ Pasien'!$U$5:$U1508),"")</f>
        <v>JOGING</v>
      </c>
      <c r="T1111" s="97" t="s">
        <v>59</v>
      </c>
      <c r="U1111" s="105">
        <v>3.0</v>
      </c>
      <c r="V1111" s="101"/>
      <c r="W1111" s="106" t="b">
        <v>1</v>
      </c>
      <c r="X1111" s="109" t="s">
        <v>214</v>
      </c>
      <c r="Y1111" s="108"/>
    </row>
    <row r="1112" ht="22.5" customHeight="1">
      <c r="A1112" s="96"/>
      <c r="B1112" s="97" t="s">
        <v>85</v>
      </c>
      <c r="C1112" s="98" t="str">
        <f t="array" ref="C1112">IFNA(XLOOKUP(J1112,'⚙️ Pengaturan'!$H$5:$H1508,'⚙️ Pengaturan'!$I$5:$I1508),"")</f>
        <v>MANAJEMEN</v>
      </c>
      <c r="D1112" s="97" t="s">
        <v>134</v>
      </c>
      <c r="E1112" s="99">
        <v>45996.0</v>
      </c>
      <c r="F1112" s="100" t="str">
        <f t="shared" si="1"/>
        <v>2025</v>
      </c>
      <c r="G1112" s="100" t="str">
        <f t="shared" si="2"/>
        <v>12Des</v>
      </c>
      <c r="H1112" s="100" t="str">
        <f t="shared" si="3"/>
        <v>Jumat</v>
      </c>
      <c r="I1112" s="97" t="s">
        <v>93</v>
      </c>
      <c r="J1112" s="97" t="s">
        <v>101</v>
      </c>
      <c r="K1112" s="97" t="s">
        <v>57</v>
      </c>
      <c r="L1112" s="101" t="s">
        <v>653</v>
      </c>
      <c r="M1112" s="102" t="str">
        <f>IFNA(VLOOKUP(L1112,'🙎‍♂️ Pasien'!G:V,2,FALSE),"")</f>
        <v>T8525127478</v>
      </c>
      <c r="N1112" s="103">
        <f>IFNA(VLOOKUP(L1112,'🙎‍♂️ Pasien'!G:L,3,FALSE),"")</f>
        <v>40</v>
      </c>
      <c r="O1112" s="104" t="str">
        <f>IFNA(VLOOKUP(L1112,'🙎‍♂️ Pasien'!G:V,6,FALSE),"")</f>
        <v>LAKI-LAKI</v>
      </c>
      <c r="P1112" s="104" t="str">
        <f>IFNA(VLOOKUP(L1112,'🙎‍♂️ Pasien'!G:V,12,FALSE),"")</f>
        <v>PROTESTAN</v>
      </c>
      <c r="Q1112" s="104" t="str">
        <f>IFNA(VLOOKUP(L1112:L1508,'🙎‍♂️ Pasien'!G:V,13,FALSE),"")</f>
        <v>ASN</v>
      </c>
      <c r="R1112" s="104" t="str">
        <f t="array" ref="R1112">ifna(xlookup(L1112,'🙎‍♂️ Pasien'!$G$5:$G1508,'🙎‍♂️ Pasien'!$T$5:$T1508),"")</f>
        <v>LENGAN SAKIT</v>
      </c>
      <c r="S1112" s="104" t="str">
        <f t="array" ref="S1112">ifna(xlookup(L1112,'🙎‍♂️ Pasien'!$G$5:$G1508,'🙎‍♂️ Pasien'!$U$5:$U1508),"")</f>
        <v>LARI</v>
      </c>
      <c r="T1112" s="97" t="s">
        <v>59</v>
      </c>
      <c r="U1112" s="105" t="s">
        <v>60</v>
      </c>
      <c r="V1112" s="101" t="s">
        <v>654</v>
      </c>
      <c r="W1112" s="106" t="b">
        <v>1</v>
      </c>
      <c r="X1112" s="109" t="s">
        <v>294</v>
      </c>
      <c r="Y1112" s="108"/>
    </row>
    <row r="1113" ht="22.5" customHeight="1">
      <c r="A1113" s="96"/>
      <c r="B1113" s="97" t="s">
        <v>85</v>
      </c>
      <c r="C1113" s="98" t="str">
        <f t="array" ref="C1113">IFNA(XLOOKUP(J1113,'⚙️ Pengaturan'!$H$5:$H1508,'⚙️ Pengaturan'!$I$5:$I1508),"")</f>
        <v>TIM A</v>
      </c>
      <c r="D1113" s="97" t="s">
        <v>134</v>
      </c>
      <c r="E1113" s="99">
        <v>45996.0</v>
      </c>
      <c r="F1113" s="100" t="str">
        <f t="shared" si="1"/>
        <v>2025</v>
      </c>
      <c r="G1113" s="100" t="str">
        <f t="shared" si="2"/>
        <v>12Des</v>
      </c>
      <c r="H1113" s="100" t="str">
        <f t="shared" si="3"/>
        <v>Jumat</v>
      </c>
      <c r="I1113" s="97" t="s">
        <v>95</v>
      </c>
      <c r="J1113" s="97" t="s">
        <v>62</v>
      </c>
      <c r="K1113" s="97" t="s">
        <v>63</v>
      </c>
      <c r="L1113" s="101" t="s">
        <v>624</v>
      </c>
      <c r="M1113" s="102" t="str">
        <f>IFNA(VLOOKUP(L1113,'🙎‍♂️ Pasien'!G:V,2,FALSE),"")</f>
        <v>M0525128789</v>
      </c>
      <c r="N1113" s="103">
        <f>IFNA(VLOOKUP(L1113,'🙎‍♂️ Pasien'!G:L,3,FALSE),"")</f>
        <v>21</v>
      </c>
      <c r="O1113" s="104" t="str">
        <f>IFNA(VLOOKUP(L1113,'🙎‍♂️ Pasien'!G:V,6,FALSE),"")</f>
        <v>PEREMPUAN</v>
      </c>
      <c r="P1113" s="104" t="str">
        <f>IFNA(VLOOKUP(L1113,'🙎‍♂️ Pasien'!G:V,12,FALSE),"")</f>
        <v>ISLAM</v>
      </c>
      <c r="Q1113" s="104" t="str">
        <f>IFNA(VLOOKUP(L1113:L1508,'🙎‍♂️ Pasien'!G:V,13,FALSE),"")</f>
        <v>MAHASISWA</v>
      </c>
      <c r="R1113" s="104" t="str">
        <f t="array" ref="R1113">ifna(xlookup(L1113,'🙎‍♂️ Pasien'!$G$5:$G1508,'🙎‍♂️ Pasien'!$T$5:$T1508),"")</f>
        <v>LUTUT SEPERTI TERKUNCI</v>
      </c>
      <c r="S1113" s="104" t="str">
        <f t="array" ref="S1113">ifna(xlookup(L1113,'🙎‍♂️ Pasien'!$G$5:$G1508,'🙎‍♂️ Pasien'!$U$5:$U1508),"")</f>
        <v>KULIAH</v>
      </c>
      <c r="T1113" s="97" t="s">
        <v>59</v>
      </c>
      <c r="U1113" s="105">
        <v>1.0</v>
      </c>
      <c r="V1113" s="101"/>
      <c r="W1113" s="106" t="b">
        <v>1</v>
      </c>
      <c r="X1113" s="109" t="s">
        <v>655</v>
      </c>
      <c r="Y1113" s="108"/>
    </row>
    <row r="1114" ht="22.5" customHeight="1">
      <c r="A1114" s="96"/>
      <c r="B1114" s="97" t="s">
        <v>85</v>
      </c>
      <c r="C1114" s="98" t="str">
        <f t="array" ref="C1114">IFNA(XLOOKUP(J1114,'⚙️ Pengaturan'!$H$5:$H1508,'⚙️ Pengaturan'!$I$5:$I1508),"")</f>
        <v>TIM A</v>
      </c>
      <c r="D1114" s="97" t="s">
        <v>134</v>
      </c>
      <c r="E1114" s="99">
        <v>45996.0</v>
      </c>
      <c r="F1114" s="100" t="str">
        <f t="shared" si="1"/>
        <v>2025</v>
      </c>
      <c r="G1114" s="100" t="str">
        <f t="shared" si="2"/>
        <v>12Des</v>
      </c>
      <c r="H1114" s="100" t="str">
        <f t="shared" si="3"/>
        <v>Jumat</v>
      </c>
      <c r="I1114" s="97" t="s">
        <v>97</v>
      </c>
      <c r="J1114" s="97" t="s">
        <v>62</v>
      </c>
      <c r="K1114" s="97" t="s">
        <v>63</v>
      </c>
      <c r="L1114" s="101" t="s">
        <v>357</v>
      </c>
      <c r="M1114" s="102" t="str">
        <f>IFNA(VLOOKUP(L1114,'🙎‍♂️ Pasien'!G:V,2,FALSE),"")</f>
        <v>A0125104452</v>
      </c>
      <c r="N1114" s="103">
        <f>IFNA(VLOOKUP(L1114,'🙎‍♂️ Pasien'!G:L,3,FALSE),"")</f>
        <v>24</v>
      </c>
      <c r="O1114" s="104" t="str">
        <f>IFNA(VLOOKUP(L1114,'🙎‍♂️ Pasien'!G:V,6,FALSE),"")</f>
        <v>PEREMPUAN</v>
      </c>
      <c r="P1114" s="104" t="str">
        <f>IFNA(VLOOKUP(L1114,'🙎‍♂️ Pasien'!G:V,12,FALSE),"")</f>
        <v>ISLAM</v>
      </c>
      <c r="Q1114" s="104" t="str">
        <f>IFNA(VLOOKUP(L1114:L1508,'🙎‍♂️ Pasien'!G:V,13,FALSE),"")</f>
        <v>PNS</v>
      </c>
      <c r="R1114" s="104" t="str">
        <f t="array" ref="R1114">ifna(xlookup(L1114,'🙎‍♂️ Pasien'!$G$5:$G1508,'🙎‍♂️ Pasien'!$T$5:$T1508),"")</f>
        <v>SAKIT NYERI DAN PEGAL DARI LEHER HINGGA KAKI NAMUN HANYA TUBUH SEBELAH KANAN</v>
      </c>
      <c r="S1114" s="104" t="str">
        <f t="array" ref="S1114">ifna(xlookup(L1114,'🙎‍♂️ Pasien'!$G$5:$G1508,'🙎‍♂️ Pasien'!$U$5:$U1508),"")</f>
        <v>-</v>
      </c>
      <c r="T1114" s="97" t="s">
        <v>59</v>
      </c>
      <c r="U1114" s="105">
        <v>4.0</v>
      </c>
      <c r="V1114" s="101"/>
      <c r="W1114" s="106" t="b">
        <v>1</v>
      </c>
      <c r="X1114" s="109" t="s">
        <v>214</v>
      </c>
      <c r="Y1114" s="108"/>
    </row>
    <row r="1115" ht="22.5" customHeight="1">
      <c r="A1115" s="96"/>
      <c r="B1115" s="97" t="s">
        <v>85</v>
      </c>
      <c r="C1115" s="98" t="str">
        <f t="array" ref="C1115">IFNA(XLOOKUP(J1115,'⚙️ Pengaturan'!$H$5:$H1508,'⚙️ Pengaturan'!$I$5:$I1508),"")</f>
        <v>TIM A</v>
      </c>
      <c r="D1115" s="97" t="s">
        <v>134</v>
      </c>
      <c r="E1115" s="99">
        <v>45996.0</v>
      </c>
      <c r="F1115" s="100" t="str">
        <f t="shared" si="1"/>
        <v>2025</v>
      </c>
      <c r="G1115" s="100" t="str">
        <f t="shared" si="2"/>
        <v>12Des</v>
      </c>
      <c r="H1115" s="100" t="str">
        <f t="shared" si="3"/>
        <v>Jumat</v>
      </c>
      <c r="I1115" s="97" t="s">
        <v>99</v>
      </c>
      <c r="J1115" s="97" t="s">
        <v>62</v>
      </c>
      <c r="K1115" s="97" t="s">
        <v>63</v>
      </c>
      <c r="L1115" s="101" t="s">
        <v>619</v>
      </c>
      <c r="M1115" s="102" t="str">
        <f>IFNA(VLOOKUP(L1115,'🙎‍♂️ Pasien'!G:V,2,FALSE),"")</f>
        <v>B0525015519</v>
      </c>
      <c r="N1115" s="103">
        <f>IFNA(VLOOKUP(L1115,'🙎‍♂️ Pasien'!G:L,3,FALSE),"")</f>
        <v>20</v>
      </c>
      <c r="O1115" s="104" t="str">
        <f>IFNA(VLOOKUP(L1115,'🙎‍♂️ Pasien'!G:V,6,FALSE),"")</f>
        <v>LAKI-LAKI</v>
      </c>
      <c r="P1115" s="104" t="str">
        <f>IFNA(VLOOKUP(L1115,'🙎‍♂️ Pasien'!G:V,12,FALSE),"")</f>
        <v>ISLAM</v>
      </c>
      <c r="Q1115" s="104" t="str">
        <f>IFNA(VLOOKUP(L1115:L1508,'🙎‍♂️ Pasien'!G:V,13,FALSE),"")</f>
        <v>PELAJAR/MAHASISWA</v>
      </c>
      <c r="R1115" s="104" t="str">
        <f t="array" ref="R1115">ifna(xlookup(L1115,'🙎‍♂️ Pasien'!$G$5:$G1508,'🙎‍♂️ Pasien'!$T$5:$T1508),"")</f>
        <v>SAKIT DI AREA ENGKEL (KAKI BAGIAN KANAN)</v>
      </c>
      <c r="S1115" s="104" t="str">
        <f t="array" ref="S1115">ifna(xlookup(L1115,'🙎‍♂️ Pasien'!$G$5:$G1508,'🙎‍♂️ Pasien'!$U$5:$U1508),"")</f>
        <v>LARI DAN GYM</v>
      </c>
      <c r="T1115" s="97" t="s">
        <v>59</v>
      </c>
      <c r="U1115" s="105">
        <v>2.0</v>
      </c>
      <c r="V1115" s="101"/>
      <c r="W1115" s="106" t="b">
        <v>1</v>
      </c>
      <c r="X1115" s="109" t="s">
        <v>214</v>
      </c>
      <c r="Y1115" s="108"/>
    </row>
    <row r="1116" ht="22.5" customHeight="1">
      <c r="A1116" s="96"/>
      <c r="B1116" s="97" t="s">
        <v>53</v>
      </c>
      <c r="C1116" s="98" t="str">
        <f t="array" ref="C1116">IFNA(XLOOKUP(J1116,'⚙️ Pengaturan'!$H$5:$H1508,'⚙️ Pengaturan'!$I$5:$I1508),"")</f>
        <v>TIM Y</v>
      </c>
      <c r="D1116" s="97" t="s">
        <v>54</v>
      </c>
      <c r="E1116" s="99">
        <v>45997.0</v>
      </c>
      <c r="F1116" s="100" t="str">
        <f t="shared" si="1"/>
        <v>2025</v>
      </c>
      <c r="G1116" s="100" t="str">
        <f t="shared" si="2"/>
        <v>12Des</v>
      </c>
      <c r="H1116" s="100" t="str">
        <f t="shared" si="3"/>
        <v>Sabtu</v>
      </c>
      <c r="I1116" s="97" t="s">
        <v>55</v>
      </c>
      <c r="J1116" s="97" t="s">
        <v>56</v>
      </c>
      <c r="K1116" s="97" t="s">
        <v>63</v>
      </c>
      <c r="L1116" s="101" t="s">
        <v>548</v>
      </c>
      <c r="M1116" s="102" t="str">
        <f>IFNA(VLOOKUP(L1116,'🙎‍♂️ Pasien'!G:V,2,FALSE),"")</f>
        <v>C0525115291</v>
      </c>
      <c r="N1116" s="103">
        <f>IFNA(VLOOKUP(L1116,'🙎‍♂️ Pasien'!G:L,3,FALSE),"")</f>
        <v>20</v>
      </c>
      <c r="O1116" s="104" t="str">
        <f>IFNA(VLOOKUP(L1116,'🙎‍♂️ Pasien'!G:V,6,FALSE),"")</f>
        <v>LAKI-LAKI</v>
      </c>
      <c r="P1116" s="104" t="str">
        <f>IFNA(VLOOKUP(L1116,'🙎‍♂️ Pasien'!G:V,12,FALSE),"")</f>
        <v>KATOLIK</v>
      </c>
      <c r="Q1116" s="104" t="str">
        <f>IFNA(VLOOKUP(L1116:L1508,'🙎‍♂️ Pasien'!G:V,13,FALSE),"")</f>
        <v>-</v>
      </c>
      <c r="R1116" s="104" t="str">
        <f t="array" ref="R1116">ifna(xlookup(L1116,'🙎‍♂️ Pasien'!$G$5:$G1508,'🙎‍♂️ Pasien'!$T$5:$T1508),"")</f>
        <v>LUTUT (TERAKHIR CEK DISINI DI BILANG NYA ADA KEMUNGKINAN ACL 2022)</v>
      </c>
      <c r="S1116" s="104" t="str">
        <f t="array" ref="S1116">ifna(xlookup(L1116,'🙎‍♂️ Pasien'!$G$5:$G1508,'🙎‍♂️ Pasien'!$U$5:$U1508),"")</f>
        <v>BASKET, BADMINTON</v>
      </c>
      <c r="T1116" s="97" t="s">
        <v>59</v>
      </c>
      <c r="U1116" s="105">
        <v>5.0</v>
      </c>
      <c r="V1116" s="101" t="s">
        <v>125</v>
      </c>
      <c r="W1116" s="106" t="b">
        <v>1</v>
      </c>
      <c r="X1116" s="107"/>
      <c r="Y1116" s="108"/>
    </row>
    <row r="1117" ht="22.5" customHeight="1">
      <c r="A1117" s="96"/>
      <c r="B1117" s="97" t="s">
        <v>53</v>
      </c>
      <c r="C1117" s="98" t="str">
        <f t="array" ref="C1117">IFNA(XLOOKUP(J1117,'⚙️ Pengaturan'!$H$5:$H1508,'⚙️ Pengaturan'!$I$5:$I1508),"")</f>
        <v>TIM A</v>
      </c>
      <c r="D1117" s="97" t="s">
        <v>54</v>
      </c>
      <c r="E1117" s="99">
        <v>45997.0</v>
      </c>
      <c r="F1117" s="100" t="str">
        <f t="shared" si="1"/>
        <v>2025</v>
      </c>
      <c r="G1117" s="100" t="str">
        <f t="shared" si="2"/>
        <v>12Des</v>
      </c>
      <c r="H1117" s="100" t="str">
        <f t="shared" si="3"/>
        <v>Sabtu</v>
      </c>
      <c r="I1117" s="97" t="s">
        <v>55</v>
      </c>
      <c r="J1117" s="97" t="s">
        <v>62</v>
      </c>
      <c r="K1117" s="97" t="s">
        <v>69</v>
      </c>
      <c r="L1117" s="101" t="s">
        <v>651</v>
      </c>
      <c r="M1117" s="102" t="str">
        <f>IFNA(VLOOKUP(L1117,'🙎‍♂️ Pasien'!G:V,2,FALSE),"")</f>
        <v>D9125126509</v>
      </c>
      <c r="N1117" s="103">
        <f>IFNA(VLOOKUP(L1117,'🙎‍♂️ Pasien'!G:L,3,FALSE),"")</f>
        <v>34</v>
      </c>
      <c r="O1117" s="104" t="str">
        <f>IFNA(VLOOKUP(L1117,'🙎‍♂️ Pasien'!G:V,6,FALSE),"")</f>
        <v>PEREMPUAN</v>
      </c>
      <c r="P1117" s="104" t="str">
        <f>IFNA(VLOOKUP(L1117,'🙎‍♂️ Pasien'!G:V,12,FALSE),"")</f>
        <v>ISLAM</v>
      </c>
      <c r="Q1117" s="104" t="str">
        <f>IFNA(VLOOKUP(L1117:L1508,'🙎‍♂️ Pasien'!G:V,13,FALSE),"")</f>
        <v>PNS</v>
      </c>
      <c r="R1117" s="104" t="str">
        <f t="array" ref="R1117">ifna(xlookup(L1117,'🙎‍♂️ Pasien'!$G$5:$G1508,'🙎‍♂️ Pasien'!$T$5:$T1508),"")</f>
        <v>CIDERA LUTUT</v>
      </c>
      <c r="S1117" s="104" t="str">
        <f t="array" ref="S1117">ifna(xlookup(L1117,'🙎‍♂️ Pasien'!$G$5:$G1508,'🙎‍♂️ Pasien'!$U$5:$U1508),"")</f>
        <v>OLAHRAGA</v>
      </c>
      <c r="T1117" s="97" t="s">
        <v>59</v>
      </c>
      <c r="U1117" s="105" t="s">
        <v>60</v>
      </c>
      <c r="V1117" s="101" t="s">
        <v>656</v>
      </c>
      <c r="W1117" s="106" t="b">
        <v>1</v>
      </c>
      <c r="X1117" s="107"/>
      <c r="Y1117" s="108"/>
    </row>
    <row r="1118" ht="22.5" customHeight="1">
      <c r="A1118" s="96"/>
      <c r="B1118" s="97" t="s">
        <v>53</v>
      </c>
      <c r="C1118" s="98" t="str">
        <f t="array" ref="C1118">IFNA(XLOOKUP(J1118,'⚙️ Pengaturan'!$H$5:$H1508,'⚙️ Pengaturan'!$I$5:$I1508),"")</f>
        <v>TIM A</v>
      </c>
      <c r="D1118" s="97" t="s">
        <v>54</v>
      </c>
      <c r="E1118" s="99">
        <v>45997.0</v>
      </c>
      <c r="F1118" s="100" t="str">
        <f t="shared" si="1"/>
        <v>2025</v>
      </c>
      <c r="G1118" s="100" t="str">
        <f t="shared" si="2"/>
        <v>12Des</v>
      </c>
      <c r="H1118" s="100" t="str">
        <f t="shared" si="3"/>
        <v>Sabtu</v>
      </c>
      <c r="I1118" s="97" t="s">
        <v>55</v>
      </c>
      <c r="J1118" s="97" t="s">
        <v>72</v>
      </c>
      <c r="K1118" s="97" t="s">
        <v>57</v>
      </c>
      <c r="L1118" s="101" t="s">
        <v>657</v>
      </c>
      <c r="M1118" s="102" t="str">
        <f>IFNA(VLOOKUP(L1118,'🙎‍♂️ Pasien'!G:V,2,FALSE),"")</f>
        <v>S9525127945</v>
      </c>
      <c r="N1118" s="103">
        <f>IFNA(VLOOKUP(L1118,'🙎‍♂️ Pasien'!G:L,3,FALSE),"")</f>
        <v>30</v>
      </c>
      <c r="O1118" s="104" t="str">
        <f>IFNA(VLOOKUP(L1118,'🙎‍♂️ Pasien'!G:V,6,FALSE),"")</f>
        <v>PEREMPUAN</v>
      </c>
      <c r="P1118" s="104" t="str">
        <f>IFNA(VLOOKUP(L1118,'🙎‍♂️ Pasien'!G:V,12,FALSE),"")</f>
        <v>ISLAM</v>
      </c>
      <c r="Q1118" s="104" t="str">
        <f>IFNA(VLOOKUP(L1118:L1508,'🙎‍♂️ Pasien'!G:V,13,FALSE),"")</f>
        <v>SEASTA</v>
      </c>
      <c r="R1118" s="104" t="str">
        <f t="array" ref="R1118">ifna(xlookup(L1118,'🙎‍♂️ Pasien'!$G$5:$G1508,'🙎‍♂️ Pasien'!$T$5:$T1508),"")</f>
        <v>SAKIT DI IBU JARI TANGAN</v>
      </c>
      <c r="S1118" s="104" t="str">
        <f t="array" ref="S1118">ifna(xlookup(L1118,'🙎‍♂️ Pasien'!$G$5:$G1508,'🙎‍♂️ Pasien'!$U$5:$U1508),"")</f>
        <v>MELAKUKAN AKTIVITAS TANGAN SEPERTI MENGETIK, MELAKUKAN PEKERJAAN RUMAH TANGGA</v>
      </c>
      <c r="T1118" s="97" t="s">
        <v>67</v>
      </c>
      <c r="U1118" s="105" t="s">
        <v>60</v>
      </c>
      <c r="V1118" s="101" t="s">
        <v>205</v>
      </c>
      <c r="W1118" s="106" t="b">
        <v>1</v>
      </c>
      <c r="X1118" s="107"/>
      <c r="Y1118" s="108"/>
    </row>
    <row r="1119" ht="22.5" customHeight="1">
      <c r="A1119" s="96"/>
      <c r="B1119" s="97" t="s">
        <v>53</v>
      </c>
      <c r="C1119" s="98" t="str">
        <f t="array" ref="C1119">IFNA(XLOOKUP(J1119,'⚙️ Pengaturan'!$H$5:$H1508,'⚙️ Pengaturan'!$I$5:$I1508),"")</f>
        <v>TIM A</v>
      </c>
      <c r="D1119" s="97" t="s">
        <v>54</v>
      </c>
      <c r="E1119" s="99">
        <v>45997.0</v>
      </c>
      <c r="F1119" s="100" t="str">
        <f t="shared" si="1"/>
        <v>2025</v>
      </c>
      <c r="G1119" s="100" t="str">
        <f t="shared" si="2"/>
        <v>12Des</v>
      </c>
      <c r="H1119" s="100" t="str">
        <f t="shared" si="3"/>
        <v>Sabtu</v>
      </c>
      <c r="I1119" s="97" t="s">
        <v>65</v>
      </c>
      <c r="J1119" s="97" t="s">
        <v>62</v>
      </c>
      <c r="K1119" s="97" t="s">
        <v>63</v>
      </c>
      <c r="L1119" s="101" t="s">
        <v>642</v>
      </c>
      <c r="M1119" s="102" t="str">
        <f>IFNA(VLOOKUP(L1119,'🙎‍♂️ Pasien'!G:V,2,FALSE),"")</f>
        <v>D7925125149</v>
      </c>
      <c r="N1119" s="103">
        <f>IFNA(VLOOKUP(L1119,'🙎‍♂️ Pasien'!G:L,3,FALSE),"")</f>
        <v>46</v>
      </c>
      <c r="O1119" s="104" t="str">
        <f>IFNA(VLOOKUP(L1119,'🙎‍♂️ Pasien'!G:V,6,FALSE),"")</f>
        <v>LAKI-LAKI</v>
      </c>
      <c r="P1119" s="104" t="str">
        <f>IFNA(VLOOKUP(L1119,'🙎‍♂️ Pasien'!G:V,12,FALSE),"")</f>
        <v>KHONGHUCU</v>
      </c>
      <c r="Q1119" s="104" t="str">
        <f>IFNA(VLOOKUP(L1119:L1508,'🙎‍♂️ Pasien'!G:V,13,FALSE),"")</f>
        <v>SWASTA</v>
      </c>
      <c r="R1119" s="104" t="str">
        <f t="array" ref="R1119">ifna(xlookup(L1119,'🙎‍♂️ Pasien'!$G$5:$G1508,'🙎‍♂️ Pasien'!$T$5:$T1508),"")</f>
        <v>TENIS ELBOW</v>
      </c>
      <c r="S1119" s="104" t="str">
        <f t="array" ref="S1119">ifna(xlookup(L1119,'🙎‍♂️ Pasien'!$G$5:$G1508,'🙎‍♂️ Pasien'!$U$5:$U1508),"")</f>
        <v>OLAH RAGA</v>
      </c>
      <c r="T1119" s="97" t="s">
        <v>59</v>
      </c>
      <c r="U1119" s="105">
        <v>2.0</v>
      </c>
      <c r="V1119" s="101"/>
      <c r="W1119" s="106" t="b">
        <v>1</v>
      </c>
      <c r="X1119" s="107"/>
      <c r="Y1119" s="108"/>
    </row>
    <row r="1120" ht="22.5" customHeight="1">
      <c r="A1120" s="96"/>
      <c r="B1120" s="97" t="s">
        <v>53</v>
      </c>
      <c r="C1120" s="98" t="str">
        <f t="array" ref="C1120">IFNA(XLOOKUP(J1120,'⚙️ Pengaturan'!$H$5:$H1508,'⚙️ Pengaturan'!$I$5:$I1508),"")</f>
        <v>TIM A</v>
      </c>
      <c r="D1120" s="97" t="s">
        <v>54</v>
      </c>
      <c r="E1120" s="99">
        <v>45997.0</v>
      </c>
      <c r="F1120" s="100" t="str">
        <f t="shared" si="1"/>
        <v>2025</v>
      </c>
      <c r="G1120" s="100" t="str">
        <f t="shared" si="2"/>
        <v>12Des</v>
      </c>
      <c r="H1120" s="100" t="str">
        <f t="shared" si="3"/>
        <v>Sabtu</v>
      </c>
      <c r="I1120" s="97" t="s">
        <v>65</v>
      </c>
      <c r="J1120" s="97" t="s">
        <v>62</v>
      </c>
      <c r="K1120" s="97" t="s">
        <v>63</v>
      </c>
      <c r="L1120" s="101" t="s">
        <v>149</v>
      </c>
      <c r="M1120" s="102" t="str">
        <f>IFNA(VLOOKUP(L1120,'🙎‍♂️ Pasien'!G:V,2,FALSE),"")</f>
        <v>S9825058991</v>
      </c>
      <c r="N1120" s="103">
        <f>IFNA(VLOOKUP(L1120,'🙎‍♂️ Pasien'!G:L,3,FALSE),"")</f>
        <v>27</v>
      </c>
      <c r="O1120" s="104" t="str">
        <f>IFNA(VLOOKUP(L1120,'🙎‍♂️ Pasien'!G:V,6,FALSE),"")</f>
        <v>PEREMPUAN</v>
      </c>
      <c r="P1120" s="104" t="str">
        <f>IFNA(VLOOKUP(L1120,'🙎‍♂️ Pasien'!G:V,12,FALSE),"")</f>
        <v>ISLAM</v>
      </c>
      <c r="Q1120" s="104" t="str">
        <f>IFNA(VLOOKUP(L1120:L1508,'🙎‍♂️ Pasien'!G:V,13,FALSE),"")</f>
        <v>SWASTA</v>
      </c>
      <c r="R1120" s="104" t="str">
        <f t="array" ref="R1120">ifna(xlookup(L1120,'🙎‍♂️ Pasien'!$G$5:$G1508,'🙎‍♂️ Pasien'!$T$5:$T1508),"")</f>
        <v>HNP LUMBAL/SARAF KEJEPIT</v>
      </c>
      <c r="S1120" s="104" t="str">
        <f t="array" ref="S1120">ifna(xlookup(L1120,'🙎‍♂️ Pasien'!$G$5:$G1508,'🙎‍♂️ Pasien'!$U$5:$U1508),"")</f>
        <v>BEKERJA KANTORAN</v>
      </c>
      <c r="T1120" s="97" t="s">
        <v>67</v>
      </c>
      <c r="U1120" s="105">
        <v>10.0</v>
      </c>
      <c r="V1120" s="101" t="s">
        <v>658</v>
      </c>
      <c r="W1120" s="106" t="b">
        <v>1</v>
      </c>
      <c r="X1120" s="107"/>
      <c r="Y1120" s="108"/>
    </row>
    <row r="1121" ht="22.5" customHeight="1">
      <c r="A1121" s="96"/>
      <c r="B1121" s="97" t="s">
        <v>53</v>
      </c>
      <c r="C1121" s="98" t="str">
        <f t="array" ref="C1121">IFNA(XLOOKUP(J1121,'⚙️ Pengaturan'!$H$5:$H1508,'⚙️ Pengaturan'!$I$5:$I1508),"")</f>
        <v>TIM A</v>
      </c>
      <c r="D1121" s="97" t="s">
        <v>54</v>
      </c>
      <c r="E1121" s="99">
        <v>45997.0</v>
      </c>
      <c r="F1121" s="100" t="str">
        <f t="shared" si="1"/>
        <v>2025</v>
      </c>
      <c r="G1121" s="100" t="str">
        <f t="shared" si="2"/>
        <v>12Des</v>
      </c>
      <c r="H1121" s="100" t="str">
        <f t="shared" si="3"/>
        <v>Sabtu</v>
      </c>
      <c r="I1121" s="97" t="s">
        <v>74</v>
      </c>
      <c r="J1121" s="97" t="s">
        <v>79</v>
      </c>
      <c r="K1121" s="97" t="s">
        <v>57</v>
      </c>
      <c r="L1121" s="101" t="s">
        <v>642</v>
      </c>
      <c r="M1121" s="102" t="str">
        <f>IFNA(VLOOKUP(L1121,'🙎‍♂️ Pasien'!G:V,2,FALSE),"")</f>
        <v>D7925125149</v>
      </c>
      <c r="N1121" s="103">
        <f>IFNA(VLOOKUP(L1121,'🙎‍♂️ Pasien'!G:L,3,FALSE),"")</f>
        <v>46</v>
      </c>
      <c r="O1121" s="104" t="str">
        <f>IFNA(VLOOKUP(L1121,'🙎‍♂️ Pasien'!G:V,6,FALSE),"")</f>
        <v>LAKI-LAKI</v>
      </c>
      <c r="P1121" s="104" t="str">
        <f>IFNA(VLOOKUP(L1121,'🙎‍♂️ Pasien'!G:V,12,FALSE),"")</f>
        <v>KHONGHUCU</v>
      </c>
      <c r="Q1121" s="104" t="str">
        <f>IFNA(VLOOKUP(L1121:L1508,'🙎‍♂️ Pasien'!G:V,13,FALSE),"")</f>
        <v>SWASTA</v>
      </c>
      <c r="R1121" s="104" t="str">
        <f t="array" ref="R1121">ifna(xlookup(L1121,'🙎‍♂️ Pasien'!$G$5:$G1508,'🙎‍♂️ Pasien'!$T$5:$T1508),"")</f>
        <v>TENIS ELBOW</v>
      </c>
      <c r="S1121" s="104" t="str">
        <f t="array" ref="S1121">ifna(xlookup(L1121,'🙎‍♂️ Pasien'!$G$5:$G1508,'🙎‍♂️ Pasien'!$U$5:$U1508),"")</f>
        <v>OLAH RAGA</v>
      </c>
      <c r="T1121" s="97" t="s">
        <v>59</v>
      </c>
      <c r="U1121" s="105" t="s">
        <v>60</v>
      </c>
      <c r="V1121" s="101"/>
      <c r="W1121" s="106" t="b">
        <v>1</v>
      </c>
      <c r="X1121" s="107"/>
      <c r="Y1121" s="108"/>
    </row>
    <row r="1122" ht="22.5" customHeight="1">
      <c r="A1122" s="96"/>
      <c r="B1122" s="97" t="s">
        <v>53</v>
      </c>
      <c r="C1122" s="98" t="str">
        <f t="array" ref="C1122">IFNA(XLOOKUP(J1122,'⚙️ Pengaturan'!$H$5:$H1508,'⚙️ Pengaturan'!$I$5:$I1508),"")</f>
        <v>TIM A</v>
      </c>
      <c r="D1122" s="97" t="s">
        <v>54</v>
      </c>
      <c r="E1122" s="99">
        <v>45997.0</v>
      </c>
      <c r="F1122" s="100" t="str">
        <f t="shared" si="1"/>
        <v>2025</v>
      </c>
      <c r="G1122" s="100" t="str">
        <f t="shared" si="2"/>
        <v>12Des</v>
      </c>
      <c r="H1122" s="100" t="str">
        <f t="shared" si="3"/>
        <v>Sabtu</v>
      </c>
      <c r="I1122" s="97" t="s">
        <v>74</v>
      </c>
      <c r="J1122" s="97" t="s">
        <v>62</v>
      </c>
      <c r="K1122" s="97" t="s">
        <v>63</v>
      </c>
      <c r="L1122" s="101" t="s">
        <v>641</v>
      </c>
      <c r="M1122" s="102" t="str">
        <f>IFNA(VLOOKUP(L1122,'🙎‍♂️ Pasien'!G:V,2,FALSE),"")</f>
        <v>S4425117922</v>
      </c>
      <c r="N1122" s="103">
        <f>IFNA(VLOOKUP(L1122,'🙎‍♂️ Pasien'!G:L,3,FALSE),"")</f>
        <v>82</v>
      </c>
      <c r="O1122" s="104" t="str">
        <f>IFNA(VLOOKUP(L1122,'🙎‍♂️ Pasien'!G:V,6,FALSE),"")</f>
        <v>PEREMPUAN</v>
      </c>
      <c r="P1122" s="104" t="str">
        <f>IFNA(VLOOKUP(L1122,'🙎‍♂️ Pasien'!G:V,12,FALSE),"")</f>
        <v>KATOLIK</v>
      </c>
      <c r="Q1122" s="104" t="str">
        <f>IFNA(VLOOKUP(L1122:L1508,'🙎‍♂️ Pasien'!G:V,13,FALSE),"")</f>
        <v>PENSIUNAN</v>
      </c>
      <c r="R1122" s="104" t="str">
        <f t="array" ref="R1122">ifna(xlookup(L1122,'🙎‍♂️ Pasien'!$G$5:$G1508,'🙎‍♂️ Pasien'!$T$5:$T1508),"")</f>
        <v>OTOT LEMAH SETELAH SEMBUH DARI JATUH</v>
      </c>
      <c r="S1122" s="104" t="str">
        <f t="array" ref="S1122">ifna(xlookup(L1122,'🙎‍♂️ Pasien'!$G$5:$G1508,'🙎‍♂️ Pasien'!$U$5:$U1508),"")</f>
        <v>NO APPLICABLE</v>
      </c>
      <c r="T1122" s="97" t="s">
        <v>59</v>
      </c>
      <c r="U1122" s="105">
        <v>3.0</v>
      </c>
      <c r="V1122" s="101"/>
      <c r="W1122" s="106" t="b">
        <v>1</v>
      </c>
      <c r="X1122" s="107"/>
      <c r="Y1122" s="108"/>
    </row>
    <row r="1123" ht="22.5" customHeight="1">
      <c r="A1123" s="96"/>
      <c r="B1123" s="97" t="s">
        <v>53</v>
      </c>
      <c r="C1123" s="98" t="str">
        <f t="array" ref="C1123">IFNA(XLOOKUP(J1123,'⚙️ Pengaturan'!$H$5:$H1508,'⚙️ Pengaturan'!$I$5:$I1508),"")</f>
        <v>MANAJEMEN</v>
      </c>
      <c r="D1123" s="97" t="s">
        <v>54</v>
      </c>
      <c r="E1123" s="99">
        <v>45997.0</v>
      </c>
      <c r="F1123" s="100" t="str">
        <f t="shared" si="1"/>
        <v>2025</v>
      </c>
      <c r="G1123" s="100" t="str">
        <f t="shared" si="2"/>
        <v>12Des</v>
      </c>
      <c r="H1123" s="100" t="str">
        <f t="shared" si="3"/>
        <v>Sabtu</v>
      </c>
      <c r="I1123" s="97" t="s">
        <v>76</v>
      </c>
      <c r="J1123" s="97" t="s">
        <v>81</v>
      </c>
      <c r="K1123" s="97" t="s">
        <v>63</v>
      </c>
      <c r="L1123" s="101" t="s">
        <v>193</v>
      </c>
      <c r="M1123" s="102" t="str">
        <f>IFNA(VLOOKUP(L1123,'🙎‍♂️ Pasien'!G:V,2,FALSE),"")</f>
        <v>E8925075615</v>
      </c>
      <c r="N1123" s="103">
        <f>IFNA(VLOOKUP(L1123,'🙎‍♂️ Pasien'!G:L,3,FALSE),"")</f>
        <v>36</v>
      </c>
      <c r="O1123" s="104" t="str">
        <f>IFNA(VLOOKUP(L1123,'🙎‍♂️ Pasien'!G:V,6,FALSE),"")</f>
        <v>PEREMPUAN</v>
      </c>
      <c r="P1123" s="104" t="str">
        <f>IFNA(VLOOKUP(L1123,'🙎‍♂️ Pasien'!G:V,12,FALSE),"")</f>
        <v>KATOLIK</v>
      </c>
      <c r="Q1123" s="104" t="str">
        <f>IFNA(VLOOKUP(L1123:L1508,'🙎‍♂️ Pasien'!G:V,13,FALSE),"")</f>
        <v>WIRASWASTA</v>
      </c>
      <c r="R1123" s="104" t="str">
        <f t="array" ref="R1123">ifna(xlookup(L1123,'🙎‍♂️ Pasien'!$G$5:$G1508,'🙎‍♂️ Pasien'!$T$5:$T1508),"")</f>
        <v>BUNION</v>
      </c>
      <c r="S1123" s="104" t="str">
        <f t="array" ref="S1123">ifna(xlookup(L1123,'🙎‍♂️ Pasien'!$G$5:$G1508,'🙎‍♂️ Pasien'!$U$5:$U1508),"")</f>
        <v>TENNIS</v>
      </c>
      <c r="T1123" s="97" t="s">
        <v>59</v>
      </c>
      <c r="U1123" s="105">
        <v>7.0</v>
      </c>
      <c r="V1123" s="101"/>
      <c r="W1123" s="106" t="b">
        <v>1</v>
      </c>
      <c r="X1123" s="107"/>
      <c r="Y1123" s="108"/>
    </row>
    <row r="1124" ht="22.5" customHeight="1">
      <c r="A1124" s="96"/>
      <c r="B1124" s="97" t="s">
        <v>53</v>
      </c>
      <c r="C1124" s="98" t="str">
        <f t="array" ref="C1124">IFNA(XLOOKUP(J1124,'⚙️ Pengaturan'!$H$5:$H1508,'⚙️ Pengaturan'!$I$5:$I1508),"")</f>
        <v>MANAJEMEN</v>
      </c>
      <c r="D1124" s="97" t="s">
        <v>54</v>
      </c>
      <c r="E1124" s="99">
        <v>45997.0</v>
      </c>
      <c r="F1124" s="100" t="str">
        <f t="shared" si="1"/>
        <v>2025</v>
      </c>
      <c r="G1124" s="100" t="str">
        <f t="shared" si="2"/>
        <v>12Des</v>
      </c>
      <c r="H1124" s="100" t="str">
        <f t="shared" si="3"/>
        <v>Sabtu</v>
      </c>
      <c r="I1124" s="97" t="s">
        <v>83</v>
      </c>
      <c r="J1124" s="97" t="s">
        <v>81</v>
      </c>
      <c r="K1124" s="97" t="s">
        <v>63</v>
      </c>
      <c r="L1124" s="101" t="s">
        <v>189</v>
      </c>
      <c r="M1124" s="102" t="str">
        <f>IFNA(VLOOKUP(L1124,'🙎‍♂️ Pasien'!G:V,2,FALSE),"")</f>
        <v>A6025048900</v>
      </c>
      <c r="N1124" s="103">
        <f>IFNA(VLOOKUP(L1124,'🙎‍♂️ Pasien'!G:L,3,FALSE),"")</f>
        <v>66</v>
      </c>
      <c r="O1124" s="104" t="str">
        <f>IFNA(VLOOKUP(L1124,'🙎‍♂️ Pasien'!G:V,6,FALSE),"")</f>
        <v>LAKI-LAKI</v>
      </c>
      <c r="P1124" s="104" t="str">
        <f>IFNA(VLOOKUP(L1124,'🙎‍♂️ Pasien'!G:V,12,FALSE),"")</f>
        <v>KHONGHUCU</v>
      </c>
      <c r="Q1124" s="104" t="str">
        <f>IFNA(VLOOKUP(L1124:L1508,'🙎‍♂️ Pasien'!G:V,13,FALSE),"")</f>
        <v>KONSULTAN PAJAK</v>
      </c>
      <c r="R1124" s="104" t="str">
        <f t="array" ref="R1124">ifna(xlookup(L1124,'🙎‍♂️ Pasien'!$G$5:$G1508,'🙎‍♂️ Pasien'!$T$5:$T1508),"")</f>
        <v>SAKET LEHER</v>
      </c>
      <c r="S1124" s="104" t="str">
        <f t="array" ref="S1124">ifna(xlookup(L1124,'🙎‍♂️ Pasien'!$G$5:$G1508,'🙎‍♂️ Pasien'!$U$5:$U1508),"")</f>
        <v>KERJE KERJE KERJE !!!!</v>
      </c>
      <c r="T1124" s="97" t="s">
        <v>59</v>
      </c>
      <c r="U1124" s="105">
        <v>5.0</v>
      </c>
      <c r="V1124" s="101"/>
      <c r="W1124" s="106" t="b">
        <v>1</v>
      </c>
      <c r="X1124" s="107"/>
      <c r="Y1124" s="108"/>
    </row>
    <row r="1125" ht="22.5" customHeight="1">
      <c r="A1125" s="96"/>
      <c r="B1125" s="97" t="s">
        <v>53</v>
      </c>
      <c r="C1125" s="98" t="str">
        <f t="array" ref="C1125">IFNA(XLOOKUP(J1125,'⚙️ Pengaturan'!$H$5:$H1508,'⚙️ Pengaturan'!$I$5:$I1508),"")</f>
        <v>TIM A</v>
      </c>
      <c r="D1125" s="97" t="s">
        <v>54</v>
      </c>
      <c r="E1125" s="99">
        <v>45997.0</v>
      </c>
      <c r="F1125" s="100" t="str">
        <f t="shared" si="1"/>
        <v>2025</v>
      </c>
      <c r="G1125" s="100" t="str">
        <f t="shared" si="2"/>
        <v>12Des</v>
      </c>
      <c r="H1125" s="100" t="str">
        <f t="shared" si="3"/>
        <v>Sabtu</v>
      </c>
      <c r="I1125" s="97" t="s">
        <v>83</v>
      </c>
      <c r="J1125" s="97" t="s">
        <v>79</v>
      </c>
      <c r="K1125" s="97" t="s">
        <v>69</v>
      </c>
      <c r="L1125" s="101" t="s">
        <v>594</v>
      </c>
      <c r="M1125" s="102" t="str">
        <f>IFNA(VLOOKUP(L1125,'🙎‍♂️ Pasien'!G:V,2,FALSE),"")</f>
        <v>O0925115685</v>
      </c>
      <c r="N1125" s="103">
        <f>IFNA(VLOOKUP(L1125,'🙎‍♂️ Pasien'!G:L,3,FALSE),"")</f>
        <v>17</v>
      </c>
      <c r="O1125" s="104" t="str">
        <f>IFNA(VLOOKUP(L1125,'🙎‍♂️ Pasien'!G:V,6,FALSE),"")</f>
        <v>LAKI-LAKI</v>
      </c>
      <c r="P1125" s="104" t="str">
        <f>IFNA(VLOOKUP(L1125,'🙎‍♂️ Pasien'!G:V,12,FALSE),"")</f>
        <v>KATOLIK</v>
      </c>
      <c r="Q1125" s="104" t="str">
        <f>IFNA(VLOOKUP(L1125:L1508,'🙎‍♂️ Pasien'!G:V,13,FALSE),"")</f>
        <v>PELAJAR</v>
      </c>
      <c r="R1125" s="104" t="str">
        <f t="array" ref="R1125">ifna(xlookup(L1125,'🙎‍♂️ Pasien'!$G$5:$G1508,'🙎‍♂️ Pasien'!$T$5:$T1508),"")</f>
        <v>OPERASI PATAH TULANG(AVULSI TUBEROSITAS TIBIA). OTOT KAKI MENGECIL. BELUM LURUS 100%. DAN MASIH TERASA NYERI</v>
      </c>
      <c r="S1125" s="104" t="str">
        <f t="array" ref="S1125">ifna(xlookup(L1125,'🙎‍♂️ Pasien'!$G$5:$G1508,'🙎‍♂️ Pasien'!$U$5:$U1508),"")</f>
        <v>SEPAKBOLA/FUTSAL</v>
      </c>
      <c r="T1125" s="97" t="s">
        <v>59</v>
      </c>
      <c r="U1125" s="105" t="s">
        <v>60</v>
      </c>
      <c r="V1125" s="101"/>
      <c r="W1125" s="106" t="b">
        <v>1</v>
      </c>
      <c r="X1125" s="107"/>
      <c r="Y1125" s="108"/>
    </row>
    <row r="1126" ht="22.5" customHeight="1">
      <c r="A1126" s="96"/>
      <c r="B1126" s="97" t="s">
        <v>53</v>
      </c>
      <c r="C1126" s="98" t="str">
        <f t="array" ref="C1126">IFNA(XLOOKUP(J1126,'⚙️ Pengaturan'!$H$5:$H1508,'⚙️ Pengaturan'!$I$5:$I1508),"")</f>
        <v>TIM Y</v>
      </c>
      <c r="D1126" s="97" t="s">
        <v>54</v>
      </c>
      <c r="E1126" s="99">
        <v>45997.0</v>
      </c>
      <c r="F1126" s="100" t="str">
        <f t="shared" si="1"/>
        <v>2025</v>
      </c>
      <c r="G1126" s="100" t="str">
        <f t="shared" si="2"/>
        <v>12Des</v>
      </c>
      <c r="H1126" s="100" t="str">
        <f t="shared" si="3"/>
        <v>Sabtu</v>
      </c>
      <c r="I1126" s="97" t="s">
        <v>83</v>
      </c>
      <c r="J1126" s="97" t="s">
        <v>88</v>
      </c>
      <c r="K1126" s="97" t="s">
        <v>57</v>
      </c>
      <c r="L1126" s="101" t="s">
        <v>251</v>
      </c>
      <c r="M1126" s="102" t="str">
        <f>IFNA(VLOOKUP(L1126,'🙎‍♂️ Pasien'!G:V,2,FALSE),"")</f>
        <v/>
      </c>
      <c r="N1126" s="103" t="str">
        <f>IFNA(VLOOKUP(L1126,'🙎‍♂️ Pasien'!G:L,3,FALSE),"")</f>
        <v/>
      </c>
      <c r="O1126" s="104" t="str">
        <f>IFNA(VLOOKUP(L1126,'🙎‍♂️ Pasien'!G:V,6,FALSE),"")</f>
        <v/>
      </c>
      <c r="P1126" s="104" t="str">
        <f>IFNA(VLOOKUP(L1126,'🙎‍♂️ Pasien'!G:V,12,FALSE),"")</f>
        <v/>
      </c>
      <c r="Q1126" s="104" t="str">
        <f>IFNA(VLOOKUP(L1126:L1508,'🙎‍♂️ Pasien'!G:V,13,FALSE),"")</f>
        <v/>
      </c>
      <c r="R1126" s="104" t="str">
        <f t="array" ref="R1126">ifna(xlookup(L1126,'🙎‍♂️ Pasien'!$G$5:$G1508,'🙎‍♂️ Pasien'!$T$5:$T1508),"")</f>
        <v/>
      </c>
      <c r="S1126" s="104" t="str">
        <f t="array" ref="S1126">ifna(xlookup(L1126,'🙎‍♂️ Pasien'!$G$5:$G1508,'🙎‍♂️ Pasien'!$U$5:$U1508),"")</f>
        <v/>
      </c>
      <c r="T1126" s="97" t="s">
        <v>59</v>
      </c>
      <c r="U1126" s="105" t="s">
        <v>60</v>
      </c>
      <c r="V1126" s="101" t="s">
        <v>659</v>
      </c>
      <c r="W1126" s="106" t="b">
        <v>1</v>
      </c>
      <c r="X1126" s="107"/>
      <c r="Y1126" s="108"/>
    </row>
    <row r="1127" ht="22.5" customHeight="1">
      <c r="A1127" s="96"/>
      <c r="B1127" s="97" t="s">
        <v>85</v>
      </c>
      <c r="C1127" s="98" t="str">
        <f t="array" ref="C1127">IFNA(XLOOKUP(J1127,'⚙️ Pengaturan'!$H$5:$H1508,'⚙️ Pengaturan'!$I$5:$I1508),"")</f>
        <v>TIM Y</v>
      </c>
      <c r="D1127" s="97" t="s">
        <v>86</v>
      </c>
      <c r="E1127" s="99">
        <v>45997.0</v>
      </c>
      <c r="F1127" s="100" t="str">
        <f t="shared" si="1"/>
        <v>2025</v>
      </c>
      <c r="G1127" s="100" t="str">
        <f t="shared" si="2"/>
        <v>12Des</v>
      </c>
      <c r="H1127" s="100" t="str">
        <f t="shared" si="3"/>
        <v>Sabtu</v>
      </c>
      <c r="I1127" s="97" t="s">
        <v>87</v>
      </c>
      <c r="J1127" s="97" t="s">
        <v>88</v>
      </c>
      <c r="K1127" s="97" t="s">
        <v>63</v>
      </c>
      <c r="L1127" s="101" t="s">
        <v>257</v>
      </c>
      <c r="M1127" s="102" t="str">
        <f>IFNA(VLOOKUP(L1127,'🙎‍♂️ Pasien'!G:V,2,FALSE),"")</f>
        <v>A1025102304</v>
      </c>
      <c r="N1127" s="103">
        <f>IFNA(VLOOKUP(L1127,'🙎‍♂️ Pasien'!G:L,3,FALSE),"")</f>
        <v>16</v>
      </c>
      <c r="O1127" s="104" t="str">
        <f>IFNA(VLOOKUP(L1127,'🙎‍♂️ Pasien'!G:V,6,FALSE),"")</f>
        <v>LAKI-LAKI</v>
      </c>
      <c r="P1127" s="104" t="str">
        <f>IFNA(VLOOKUP(L1127,'🙎‍♂️ Pasien'!G:V,12,FALSE),"")</f>
        <v>PROTESTAN</v>
      </c>
      <c r="Q1127" s="104" t="str">
        <f>IFNA(VLOOKUP(L1127:L1508,'🙎‍♂️ Pasien'!G:V,13,FALSE),"")</f>
        <v>PELAJAR</v>
      </c>
      <c r="R1127" s="104" t="str">
        <f t="array" ref="R1127">ifna(xlookup(L1127,'🙎‍♂️ Pasien'!$G$5:$G1508,'🙎‍♂️ Pasien'!$T$5:$T1508),"")</f>
        <v>NYERI SENDI KAKI</v>
      </c>
      <c r="S1127" s="104" t="str">
        <f t="array" ref="S1127">ifna(xlookup(L1127,'🙎‍♂️ Pasien'!$G$5:$G1508,'🙎‍♂️ Pasien'!$U$5:$U1508),"")</f>
        <v>OLAHRAGA, NAIK TURUN TANGGA</v>
      </c>
      <c r="T1127" s="97" t="s">
        <v>59</v>
      </c>
      <c r="U1127" s="105">
        <v>4.0</v>
      </c>
      <c r="V1127" s="101"/>
      <c r="W1127" s="106" t="b">
        <v>1</v>
      </c>
      <c r="X1127" s="107"/>
      <c r="Y1127" s="108"/>
    </row>
    <row r="1128" ht="22.5" customHeight="1">
      <c r="A1128" s="96"/>
      <c r="B1128" s="97" t="s">
        <v>85</v>
      </c>
      <c r="C1128" s="98" t="str">
        <f t="array" ref="C1128">IFNA(XLOOKUP(J1128,'⚙️ Pengaturan'!$H$5:$H1508,'⚙️ Pengaturan'!$I$5:$I1508),"")</f>
        <v>TIM Y</v>
      </c>
      <c r="D1128" s="97" t="s">
        <v>86</v>
      </c>
      <c r="E1128" s="99">
        <v>45997.0</v>
      </c>
      <c r="F1128" s="100" t="str">
        <f t="shared" si="1"/>
        <v>2025</v>
      </c>
      <c r="G1128" s="100" t="str">
        <f t="shared" si="2"/>
        <v>12Des</v>
      </c>
      <c r="H1128" s="100" t="str">
        <f t="shared" si="3"/>
        <v>Sabtu</v>
      </c>
      <c r="I1128" s="97" t="s">
        <v>93</v>
      </c>
      <c r="J1128" s="97" t="s">
        <v>509</v>
      </c>
      <c r="K1128" s="97" t="s">
        <v>63</v>
      </c>
      <c r="L1128" s="101" t="s">
        <v>586</v>
      </c>
      <c r="M1128" s="102" t="str">
        <f>IFNA(VLOOKUP(L1128,'🙎‍♂️ Pasien'!G:V,2,FALSE),"")</f>
        <v>B0924114293</v>
      </c>
      <c r="N1128" s="103">
        <f>IFNA(VLOOKUP(L1128,'🙎‍♂️ Pasien'!G:L,3,FALSE),"")</f>
        <v>16</v>
      </c>
      <c r="O1128" s="104" t="str">
        <f>IFNA(VLOOKUP(L1128,'🙎‍♂️ Pasien'!G:V,6,FALSE),"")</f>
        <v>LAKI-LAKI</v>
      </c>
      <c r="P1128" s="104" t="str">
        <f>IFNA(VLOOKUP(L1128,'🙎‍♂️ Pasien'!G:V,12,FALSE),"")</f>
        <v>ISLAM</v>
      </c>
      <c r="Q1128" s="104" t="str">
        <f>IFNA(VLOOKUP(L1128:L1508,'🙎‍♂️ Pasien'!G:V,13,FALSE),"")</f>
        <v>PELAJAR/MAHASISWA</v>
      </c>
      <c r="R1128" s="104" t="str">
        <f t="array" ref="R1128">ifna(xlookup(L1128,'🙎‍♂️ Pasien'!$G$5:$G1508,'🙎‍♂️ Pasien'!$T$5:$T1508),"")</f>
        <v>SAKIT PADA BAHU</v>
      </c>
      <c r="S1128" s="104" t="str">
        <f t="array" ref="S1128">ifna(xlookup(L1128,'🙎‍♂️ Pasien'!$G$5:$G1508,'🙎‍♂️ Pasien'!$U$5:$U1508),"")</f>
        <v>OLAHARAGA VOLEYY</v>
      </c>
      <c r="T1128" s="97" t="s">
        <v>59</v>
      </c>
      <c r="U1128" s="105">
        <v>3.0</v>
      </c>
      <c r="V1128" s="101"/>
      <c r="W1128" s="106" t="b">
        <v>1</v>
      </c>
      <c r="X1128" s="107"/>
      <c r="Y1128" s="108"/>
    </row>
    <row r="1129" ht="22.5" customHeight="1">
      <c r="A1129" s="96"/>
      <c r="B1129" s="97" t="s">
        <v>85</v>
      </c>
      <c r="C1129" s="98" t="str">
        <f t="array" ref="C1129">IFNA(XLOOKUP(J1129,'⚙️ Pengaturan'!$H$5:$H1508,'⚙️ Pengaturan'!$I$5:$I1508),"")</f>
        <v>TIM Y</v>
      </c>
      <c r="D1129" s="97" t="s">
        <v>86</v>
      </c>
      <c r="E1129" s="99">
        <v>45997.0</v>
      </c>
      <c r="F1129" s="100" t="str">
        <f t="shared" si="1"/>
        <v>2025</v>
      </c>
      <c r="G1129" s="100" t="str">
        <f t="shared" si="2"/>
        <v>12Des</v>
      </c>
      <c r="H1129" s="100" t="str">
        <f t="shared" si="3"/>
        <v>Sabtu</v>
      </c>
      <c r="I1129" s="97" t="s">
        <v>93</v>
      </c>
      <c r="J1129" s="97" t="s">
        <v>88</v>
      </c>
      <c r="K1129" s="97" t="s">
        <v>69</v>
      </c>
      <c r="L1129" s="101" t="s">
        <v>155</v>
      </c>
      <c r="M1129" s="102" t="str">
        <f>IFNA(VLOOKUP(L1129,'🙎‍♂️ Pasien'!G:V,2,FALSE),"")</f>
        <v>H5325012017</v>
      </c>
      <c r="N1129" s="103">
        <f>IFNA(VLOOKUP(L1129,'🙎‍♂️ Pasien'!G:L,3,FALSE),"")</f>
        <v>72</v>
      </c>
      <c r="O1129" s="104" t="str">
        <f>IFNA(VLOOKUP(L1129,'🙎‍♂️ Pasien'!G:V,6,FALSE),"")</f>
        <v>LAKI-LAKI</v>
      </c>
      <c r="P1129" s="104" t="str">
        <f>IFNA(VLOOKUP(L1129,'🙎‍♂️ Pasien'!G:V,12,FALSE),"")</f>
        <v>ISLAM</v>
      </c>
      <c r="Q1129" s="104" t="str">
        <f>IFNA(VLOOKUP(L1129:L1508,'🙎‍♂️ Pasien'!G:V,13,FALSE),"")</f>
        <v>PENSIUN</v>
      </c>
      <c r="R1129" s="104" t="str">
        <f t="array" ref="R1129">ifna(xlookup(L1129,'🙎‍♂️ Pasien'!$G$5:$G1508,'🙎‍♂️ Pasien'!$T$5:$T1508),"")</f>
        <v>Kaki terasa nyeri jika dibawa berdiri lama atau berjalan jauh</v>
      </c>
      <c r="S1129" s="104" t="str">
        <f t="array" ref="S1129">ifna(xlookup(L1129,'🙎‍♂️ Pasien'!$G$5:$G1508,'🙎‍♂️ Pasien'!$U$5:$U1508),"")</f>
        <v>Tidak ada</v>
      </c>
      <c r="T1129" s="97" t="s">
        <v>59</v>
      </c>
      <c r="U1129" s="105" t="s">
        <v>60</v>
      </c>
      <c r="V1129" s="101"/>
      <c r="W1129" s="106" t="b">
        <v>1</v>
      </c>
      <c r="X1129" s="107"/>
      <c r="Y1129" s="108"/>
    </row>
    <row r="1130" ht="22.5" customHeight="1">
      <c r="A1130" s="96"/>
      <c r="B1130" s="97" t="s">
        <v>85</v>
      </c>
      <c r="C1130" s="98" t="str">
        <f t="array" ref="C1130">IFNA(XLOOKUP(J1130,'⚙️ Pengaturan'!$H$5:$H1508,'⚙️ Pengaturan'!$I$5:$I1508),"")</f>
        <v>TIM Y</v>
      </c>
      <c r="D1130" s="97" t="s">
        <v>86</v>
      </c>
      <c r="E1130" s="99">
        <v>45997.0</v>
      </c>
      <c r="F1130" s="100" t="str">
        <f t="shared" si="1"/>
        <v>2025</v>
      </c>
      <c r="G1130" s="100" t="str">
        <f t="shared" si="2"/>
        <v>12Des</v>
      </c>
      <c r="H1130" s="100" t="str">
        <f t="shared" si="3"/>
        <v>Sabtu</v>
      </c>
      <c r="I1130" s="97" t="s">
        <v>95</v>
      </c>
      <c r="J1130" s="97" t="s">
        <v>509</v>
      </c>
      <c r="K1130" s="97" t="s">
        <v>63</v>
      </c>
      <c r="L1130" s="101" t="s">
        <v>593</v>
      </c>
      <c r="M1130" s="102" t="str">
        <f>IFNA(VLOOKUP(L1130,'🙎‍♂️ Pasien'!G:V,2,FALSE),"")</f>
        <v>A0125119292</v>
      </c>
      <c r="N1130" s="103">
        <f>IFNA(VLOOKUP(L1130,'🙎‍♂️ Pasien'!G:L,3,FALSE),"")</f>
        <v>25</v>
      </c>
      <c r="O1130" s="104" t="str">
        <f>IFNA(VLOOKUP(L1130,'🙎‍♂️ Pasien'!G:V,6,FALSE),"")</f>
        <v>PEREMPUAN</v>
      </c>
      <c r="P1130" s="104" t="str">
        <f>IFNA(VLOOKUP(L1130,'🙎‍♂️ Pasien'!G:V,12,FALSE),"")</f>
        <v>ISLAM</v>
      </c>
      <c r="Q1130" s="104" t="str">
        <f>IFNA(VLOOKUP(L1130:L1508,'🙎‍♂️ Pasien'!G:V,13,FALSE),"")</f>
        <v>ADMIN</v>
      </c>
      <c r="R1130" s="104" t="str">
        <f t="array" ref="R1130">ifna(xlookup(L1130,'🙎‍♂️ Pasien'!$G$5:$G1508,'🙎‍♂️ Pasien'!$T$5:$T1508),"")</f>
        <v>LUTUT SAKIT</v>
      </c>
      <c r="S1130" s="104" t="str">
        <f t="array" ref="S1130">ifna(xlookup(L1130,'🙎‍♂️ Pasien'!$G$5:$G1508,'🙎‍♂️ Pasien'!$U$5:$U1508),"")</f>
        <v>LARI</v>
      </c>
      <c r="T1130" s="97" t="s">
        <v>59</v>
      </c>
      <c r="U1130" s="105">
        <v>2.0</v>
      </c>
      <c r="V1130" s="101"/>
      <c r="W1130" s="106" t="b">
        <v>1</v>
      </c>
      <c r="X1130" s="107"/>
      <c r="Y1130" s="108"/>
    </row>
    <row r="1131" ht="22.5" customHeight="1">
      <c r="A1131" s="96"/>
      <c r="B1131" s="97" t="s">
        <v>85</v>
      </c>
      <c r="C1131" s="98" t="str">
        <f t="array" ref="C1131">IFNA(XLOOKUP(J1131,'⚙️ Pengaturan'!$H$5:$H1508,'⚙️ Pengaturan'!$I$5:$I1508),"")</f>
        <v>TIM Y</v>
      </c>
      <c r="D1131" s="97" t="s">
        <v>86</v>
      </c>
      <c r="E1131" s="99">
        <v>45997.0</v>
      </c>
      <c r="F1131" s="100" t="str">
        <f t="shared" si="1"/>
        <v>2025</v>
      </c>
      <c r="G1131" s="100" t="str">
        <f t="shared" si="2"/>
        <v>12Des</v>
      </c>
      <c r="H1131" s="100" t="str">
        <f t="shared" si="3"/>
        <v>Sabtu</v>
      </c>
      <c r="I1131" s="97" t="s">
        <v>97</v>
      </c>
      <c r="J1131" s="97" t="s">
        <v>88</v>
      </c>
      <c r="K1131" s="97" t="s">
        <v>63</v>
      </c>
      <c r="L1131" s="101" t="s">
        <v>540</v>
      </c>
      <c r="M1131" s="102" t="str">
        <f>IFNA(VLOOKUP(L1131,'🙎‍♂️ Pasien'!G:V,2,FALSE),"")</f>
        <v>A9425110177</v>
      </c>
      <c r="N1131" s="103">
        <f>IFNA(VLOOKUP(L1131,'🙎‍♂️ Pasien'!G:L,3,FALSE),"")</f>
        <v>31</v>
      </c>
      <c r="O1131" s="104" t="str">
        <f>IFNA(VLOOKUP(L1131,'🙎‍♂️ Pasien'!G:V,6,FALSE),"")</f>
        <v>LAKI-LAKI</v>
      </c>
      <c r="P1131" s="104" t="str">
        <f>IFNA(VLOOKUP(L1131,'🙎‍♂️ Pasien'!G:V,12,FALSE),"")</f>
        <v>KATOLIK</v>
      </c>
      <c r="Q1131" s="104" t="str">
        <f>IFNA(VLOOKUP(L1131:L1508,'🙎‍♂️ Pasien'!G:V,13,FALSE),"")</f>
        <v>-</v>
      </c>
      <c r="R1131" s="104" t="str">
        <f t="array" ref="R1131">ifna(xlookup(L1131,'🙎‍♂️ Pasien'!$G$5:$G1508,'🙎‍♂️ Pasien'!$T$5:$T1508),"")</f>
        <v>PASCA OPERASI ACL</v>
      </c>
      <c r="S1131" s="104" t="str">
        <f t="array" ref="S1131">ifna(xlookup(L1131,'🙎‍♂️ Pasien'!$G$5:$G1508,'🙎‍♂️ Pasien'!$U$5:$U1508),"")</f>
        <v>-</v>
      </c>
      <c r="T1131" s="97" t="s">
        <v>59</v>
      </c>
      <c r="U1131" s="105">
        <v>3.0</v>
      </c>
      <c r="V1131" s="101"/>
      <c r="W1131" s="106" t="b">
        <v>1</v>
      </c>
      <c r="X1131" s="107"/>
      <c r="Y1131" s="108"/>
    </row>
    <row r="1132" ht="22.5" customHeight="1">
      <c r="A1132" s="96"/>
      <c r="B1132" s="97" t="s">
        <v>85</v>
      </c>
      <c r="C1132" s="98" t="str">
        <f t="array" ref="C1132">IFNA(XLOOKUP(J1132,'⚙️ Pengaturan'!$H$5:$H1508,'⚙️ Pengaturan'!$I$5:$I1508),"")</f>
        <v>TIM Y</v>
      </c>
      <c r="D1132" s="97" t="s">
        <v>86</v>
      </c>
      <c r="E1132" s="99">
        <v>45997.0</v>
      </c>
      <c r="F1132" s="100" t="str">
        <f t="shared" si="1"/>
        <v>2025</v>
      </c>
      <c r="G1132" s="100" t="str">
        <f t="shared" si="2"/>
        <v>12Des</v>
      </c>
      <c r="H1132" s="100" t="str">
        <f t="shared" si="3"/>
        <v>Sabtu</v>
      </c>
      <c r="I1132" s="97" t="s">
        <v>97</v>
      </c>
      <c r="J1132" s="97" t="s">
        <v>509</v>
      </c>
      <c r="K1132" s="97" t="s">
        <v>57</v>
      </c>
      <c r="L1132" s="101" t="s">
        <v>660</v>
      </c>
      <c r="M1132" s="102" t="str">
        <f>IFNA(VLOOKUP(L1132,'🙎‍♂️ Pasien'!G:V,2,FALSE),"")</f>
        <v>I7225127895</v>
      </c>
      <c r="N1132" s="103">
        <f>IFNA(VLOOKUP(L1132,'🙎‍♂️ Pasien'!G:L,3,FALSE),"")</f>
        <v>54</v>
      </c>
      <c r="O1132" s="104" t="str">
        <f>IFNA(VLOOKUP(L1132,'🙎‍♂️ Pasien'!G:V,6,FALSE),"")</f>
        <v>LAKI-LAKI</v>
      </c>
      <c r="P1132" s="104" t="str">
        <f>IFNA(VLOOKUP(L1132,'🙎‍♂️ Pasien'!G:V,12,FALSE),"")</f>
        <v>ISLAM</v>
      </c>
      <c r="Q1132" s="104" t="str">
        <f>IFNA(VLOOKUP(L1132:L1508,'🙎‍♂️ Pasien'!G:V,13,FALSE),"")</f>
        <v>ASN</v>
      </c>
      <c r="R1132" s="104" t="str">
        <f t="array" ref="R1132">ifna(xlookup(L1132,'🙎‍♂️ Pasien'!$G$5:$G1508,'🙎‍♂️ Pasien'!$T$5:$T1508),"")</f>
        <v>LUTUT SAKIT MENJALAN SAMPE PINGGANG</v>
      </c>
      <c r="S1132" s="104" t="str">
        <f t="array" ref="S1132">ifna(xlookup(L1132,'🙎‍♂️ Pasien'!$G$5:$G1508,'🙎‍♂️ Pasien'!$U$5:$U1508),"")</f>
        <v>TENIS</v>
      </c>
      <c r="T1132" s="97" t="s">
        <v>59</v>
      </c>
      <c r="U1132" s="105" t="s">
        <v>60</v>
      </c>
      <c r="V1132" s="101"/>
      <c r="W1132" s="106" t="b">
        <v>1</v>
      </c>
      <c r="X1132" s="107"/>
      <c r="Y1132" s="108"/>
    </row>
    <row r="1133" ht="22.5" customHeight="1">
      <c r="A1133" s="96"/>
      <c r="B1133" s="97" t="s">
        <v>85</v>
      </c>
      <c r="C1133" s="98" t="str">
        <f t="array" ref="C1133">IFNA(XLOOKUP(J1133,'⚙️ Pengaturan'!$H$5:$H1508,'⚙️ Pengaturan'!$I$5:$I1508),"")</f>
        <v>TIM Y</v>
      </c>
      <c r="D1133" s="97" t="s">
        <v>86</v>
      </c>
      <c r="E1133" s="99">
        <v>45997.0</v>
      </c>
      <c r="F1133" s="100" t="str">
        <f t="shared" si="1"/>
        <v>2025</v>
      </c>
      <c r="G1133" s="100" t="str">
        <f t="shared" si="2"/>
        <v>12Des</v>
      </c>
      <c r="H1133" s="100" t="str">
        <f t="shared" si="3"/>
        <v>Sabtu</v>
      </c>
      <c r="I1133" s="97" t="s">
        <v>99</v>
      </c>
      <c r="J1133" s="97" t="s">
        <v>509</v>
      </c>
      <c r="K1133" s="97" t="s">
        <v>57</v>
      </c>
      <c r="L1133" s="101" t="s">
        <v>661</v>
      </c>
      <c r="M1133" s="102" t="str">
        <f>IFNA(VLOOKUP(L1133,'🙎‍♂️ Pasien'!G:V,2,FALSE),"")</f>
        <v>F1325121234</v>
      </c>
      <c r="N1133" s="103">
        <f>IFNA(VLOOKUP(L1133,'🙎‍♂️ Pasien'!G:L,3,FALSE),"")</f>
        <v>12</v>
      </c>
      <c r="O1133" s="104" t="str">
        <f>IFNA(VLOOKUP(L1133,'🙎‍♂️ Pasien'!G:V,6,FALSE),"")</f>
        <v>LAKI-LAKI</v>
      </c>
      <c r="P1133" s="104" t="str">
        <f>IFNA(VLOOKUP(L1133,'🙎‍♂️ Pasien'!G:V,12,FALSE),"")</f>
        <v>ISLAM</v>
      </c>
      <c r="Q1133" s="104" t="str">
        <f>IFNA(VLOOKUP(L1133:L1508,'🙎‍♂️ Pasien'!G:V,13,FALSE),"")</f>
        <v>PELAJAR</v>
      </c>
      <c r="R1133" s="104" t="str">
        <f t="array" ref="R1133">ifna(xlookup(L1133,'🙎‍♂️ Pasien'!$G$5:$G1508,'🙎‍♂️ Pasien'!$T$5:$T1508),"")</f>
        <v>SAKIT PADA LUTUT</v>
      </c>
      <c r="S1133" s="104" t="str">
        <f t="array" ref="S1133">ifna(xlookup(L1133,'🙎‍♂️ Pasien'!$G$5:$G1508,'🙎‍♂️ Pasien'!$U$5:$U1508),"")</f>
        <v>BASKET</v>
      </c>
      <c r="T1133" s="97" t="s">
        <v>59</v>
      </c>
      <c r="U1133" s="105" t="s">
        <v>60</v>
      </c>
      <c r="V1133" s="101"/>
      <c r="W1133" s="106" t="b">
        <v>1</v>
      </c>
      <c r="X1133" s="107"/>
      <c r="Y1133" s="108"/>
    </row>
    <row r="1134" ht="22.5" customHeight="1">
      <c r="A1134" s="96"/>
      <c r="B1134" s="97" t="s">
        <v>85</v>
      </c>
      <c r="C1134" s="98" t="str">
        <f t="array" ref="C1134">IFNA(XLOOKUP(J1134,'⚙️ Pengaturan'!$H$5:$H1508,'⚙️ Pengaturan'!$I$5:$I1508),"")</f>
        <v>TIM Y</v>
      </c>
      <c r="D1134" s="97" t="s">
        <v>86</v>
      </c>
      <c r="E1134" s="99">
        <v>45997.0</v>
      </c>
      <c r="F1134" s="100" t="str">
        <f t="shared" si="1"/>
        <v>2025</v>
      </c>
      <c r="G1134" s="100" t="str">
        <f t="shared" si="2"/>
        <v>12Des</v>
      </c>
      <c r="H1134" s="100" t="str">
        <f t="shared" si="3"/>
        <v>Sabtu</v>
      </c>
      <c r="I1134" s="97" t="s">
        <v>99</v>
      </c>
      <c r="J1134" s="97" t="s">
        <v>88</v>
      </c>
      <c r="K1134" s="97" t="s">
        <v>63</v>
      </c>
      <c r="L1134" s="101" t="s">
        <v>277</v>
      </c>
      <c r="M1134" s="102" t="str">
        <f>IFNA(VLOOKUP(L1134,'🙎‍♂️ Pasien'!G:V,2,FALSE),"")</f>
        <v>Z8125047588</v>
      </c>
      <c r="N1134" s="103">
        <f>IFNA(VLOOKUP(L1134,'🙎‍♂️ Pasien'!G:L,3,FALSE),"")</f>
        <v>45</v>
      </c>
      <c r="O1134" s="104" t="str">
        <f>IFNA(VLOOKUP(L1134,'🙎‍♂️ Pasien'!G:V,6,FALSE),"")</f>
        <v>LAKI-LAKI</v>
      </c>
      <c r="P1134" s="104" t="str">
        <f>IFNA(VLOOKUP(L1134,'🙎‍♂️ Pasien'!G:V,12,FALSE),"")</f>
        <v>ISLAM</v>
      </c>
      <c r="Q1134" s="104" t="str">
        <f>IFNA(VLOOKUP(L1134:L1508,'🙎‍♂️ Pasien'!G:V,13,FALSE),"")</f>
        <v>WIRASWASYA</v>
      </c>
      <c r="R1134" s="104" t="str">
        <f t="array" ref="R1134">ifna(xlookup(L1134,'🙎‍♂️ Pasien'!$G$5:$G1508,'🙎‍♂️ Pasien'!$T$5:$T1508),"")</f>
        <v>SERING NYERI DIBAGIAN TENGKUK SEBELAH KIRI</v>
      </c>
      <c r="S1134" s="104" t="str">
        <f t="array" ref="S1134">ifna(xlookup(L1134,'🙎‍♂️ Pasien'!$G$5:$G1508,'🙎‍♂️ Pasien'!$U$5:$U1508),"")</f>
        <v>MANCING</v>
      </c>
      <c r="T1134" s="97" t="s">
        <v>67</v>
      </c>
      <c r="U1134" s="105" t="s">
        <v>60</v>
      </c>
      <c r="V1134" s="101" t="s">
        <v>324</v>
      </c>
      <c r="W1134" s="106" t="b">
        <v>1</v>
      </c>
      <c r="X1134" s="107"/>
      <c r="Y1134" s="108"/>
    </row>
    <row r="1135" ht="22.5" customHeight="1">
      <c r="A1135" s="96"/>
      <c r="B1135" s="97" t="s">
        <v>53</v>
      </c>
      <c r="C1135" s="98" t="str">
        <f t="array" ref="C1135">IFNA(XLOOKUP(J1135,'⚙️ Pengaturan'!$H$5:$H1508,'⚙️ Pengaturan'!$I$5:$I1508),"")</f>
        <v>TIM A</v>
      </c>
      <c r="D1135" s="97" t="s">
        <v>54</v>
      </c>
      <c r="E1135" s="99">
        <v>45998.0</v>
      </c>
      <c r="F1135" s="100" t="str">
        <f t="shared" si="1"/>
        <v>2025</v>
      </c>
      <c r="G1135" s="100" t="str">
        <f t="shared" si="2"/>
        <v>12Des</v>
      </c>
      <c r="H1135" s="100" t="str">
        <f t="shared" si="3"/>
        <v>Minggu</v>
      </c>
      <c r="I1135" s="97" t="s">
        <v>55</v>
      </c>
      <c r="J1135" s="97" t="s">
        <v>79</v>
      </c>
      <c r="K1135" s="97" t="s">
        <v>63</v>
      </c>
      <c r="L1135" s="101" t="s">
        <v>366</v>
      </c>
      <c r="M1135" s="102" t="str">
        <f>IFNA(VLOOKUP(L1135,'🙎‍♂️ Pasien'!G:V,2,FALSE),"")</f>
        <v>S0825106969</v>
      </c>
      <c r="N1135" s="103">
        <f>IFNA(VLOOKUP(L1135,'🙎‍♂️ Pasien'!G:L,3,FALSE),"")</f>
        <v>17</v>
      </c>
      <c r="O1135" s="104" t="str">
        <f>IFNA(VLOOKUP(L1135,'🙎‍♂️ Pasien'!G:V,6,FALSE),"")</f>
        <v>PEREMPUAN</v>
      </c>
      <c r="P1135" s="104" t="str">
        <f>IFNA(VLOOKUP(L1135,'🙎‍♂️ Pasien'!G:V,12,FALSE),"")</f>
        <v>KATOLIK</v>
      </c>
      <c r="Q1135" s="104" t="str">
        <f>IFNA(VLOOKUP(L1135:L1508,'🙎‍♂️ Pasien'!G:V,13,FALSE),"")</f>
        <v>PELAJAR</v>
      </c>
      <c r="R1135" s="104" t="str">
        <f t="array" ref="R1135">ifna(xlookup(L1135,'🙎‍♂️ Pasien'!$G$5:$G1508,'🙎‍♂️ Pasien'!$T$5:$T1508),"")</f>
        <v>KAKI PANJANG PENDEK, SERING SAKIT DI BAGIAN PUNGGUNG BAWAH</v>
      </c>
      <c r="S1135" s="104" t="str">
        <f t="array" ref="S1135">ifna(xlookup(L1135,'🙎‍♂️ Pasien'!$G$5:$G1508,'🙎‍♂️ Pasien'!$U$5:$U1508),"")</f>
        <v>MUAY THAI (BARU BARU INI), GYM (DARI BBRP BULAN LALU), DANCE (SEJAK LAMA UDH DANCE)</v>
      </c>
      <c r="T1135" s="97" t="s">
        <v>67</v>
      </c>
      <c r="U1135" s="105">
        <v>4.0</v>
      </c>
      <c r="V1135" s="101" t="s">
        <v>662</v>
      </c>
      <c r="W1135" s="106" t="b">
        <v>1</v>
      </c>
      <c r="X1135" s="107"/>
      <c r="Y1135" s="108"/>
    </row>
    <row r="1136" ht="22.5" customHeight="1">
      <c r="A1136" s="96"/>
      <c r="B1136" s="97" t="s">
        <v>53</v>
      </c>
      <c r="C1136" s="98" t="str">
        <f t="array" ref="C1136">IFNA(XLOOKUP(J1136,'⚙️ Pengaturan'!$H$5:$H1508,'⚙️ Pengaturan'!$I$5:$I1508),"")</f>
        <v>TIM A</v>
      </c>
      <c r="D1136" s="97" t="s">
        <v>54</v>
      </c>
      <c r="E1136" s="99">
        <v>45998.0</v>
      </c>
      <c r="F1136" s="100" t="str">
        <f t="shared" si="1"/>
        <v>2025</v>
      </c>
      <c r="G1136" s="100" t="str">
        <f t="shared" si="2"/>
        <v>12Des</v>
      </c>
      <c r="H1136" s="100" t="str">
        <f t="shared" si="3"/>
        <v>Minggu</v>
      </c>
      <c r="I1136" s="97" t="s">
        <v>65</v>
      </c>
      <c r="J1136" s="97" t="s">
        <v>72</v>
      </c>
      <c r="K1136" s="97" t="s">
        <v>69</v>
      </c>
      <c r="L1136" s="101" t="s">
        <v>585</v>
      </c>
      <c r="M1136" s="102" t="str">
        <f>IFNA(VLOOKUP(L1136,'🙎‍♂️ Pasien'!G:V,2,FALSE),"")</f>
        <v>I0025112738</v>
      </c>
      <c r="N1136" s="103">
        <f>IFNA(VLOOKUP(L1136,'🙎‍♂️ Pasien'!G:L,3,FALSE),"")</f>
        <v>25</v>
      </c>
      <c r="O1136" s="104" t="str">
        <f>IFNA(VLOOKUP(L1136,'🙎‍♂️ Pasien'!G:V,6,FALSE),"")</f>
        <v>PEREMPUAN</v>
      </c>
      <c r="P1136" s="104" t="str">
        <f>IFNA(VLOOKUP(L1136,'🙎‍♂️ Pasien'!G:V,12,FALSE),"")</f>
        <v>ISLAM</v>
      </c>
      <c r="Q1136" s="104" t="str">
        <f>IFNA(VLOOKUP(L1136:L1508,'🙎‍♂️ Pasien'!G:V,13,FALSE),"")</f>
        <v>-</v>
      </c>
      <c r="R1136" s="104" t="str">
        <f t="array" ref="R1136">ifna(xlookup(L1136,'🙎‍♂️ Pasien'!$G$5:$G1508,'🙎‍♂️ Pasien'!$T$5:$T1508),"")</f>
        <v>LUTUT</v>
      </c>
      <c r="S1136" s="104" t="str">
        <f t="array" ref="S1136">ifna(xlookup(L1136,'🙎‍♂️ Pasien'!$G$5:$G1508,'🙎‍♂️ Pasien'!$U$5:$U1508),"")</f>
        <v>-</v>
      </c>
      <c r="T1136" s="97" t="s">
        <v>59</v>
      </c>
      <c r="U1136" s="105" t="s">
        <v>60</v>
      </c>
      <c r="V1136" s="101"/>
      <c r="W1136" s="106" t="b">
        <v>1</v>
      </c>
      <c r="X1136" s="107"/>
      <c r="Y1136" s="108"/>
    </row>
    <row r="1137" ht="22.5" customHeight="1">
      <c r="A1137" s="96"/>
      <c r="B1137" s="97" t="s">
        <v>53</v>
      </c>
      <c r="C1137" s="98" t="str">
        <f t="array" ref="C1137">IFNA(XLOOKUP(J1137,'⚙️ Pengaturan'!$H$5:$H1508,'⚙️ Pengaturan'!$I$5:$I1508),"")</f>
        <v>TIM A</v>
      </c>
      <c r="D1137" s="97" t="s">
        <v>54</v>
      </c>
      <c r="E1137" s="99">
        <v>45998.0</v>
      </c>
      <c r="F1137" s="100" t="str">
        <f t="shared" si="1"/>
        <v>2025</v>
      </c>
      <c r="G1137" s="100" t="str">
        <f t="shared" si="2"/>
        <v>12Des</v>
      </c>
      <c r="H1137" s="100" t="str">
        <f t="shared" si="3"/>
        <v>Minggu</v>
      </c>
      <c r="I1137" s="97" t="s">
        <v>65</v>
      </c>
      <c r="J1137" s="97" t="s">
        <v>62</v>
      </c>
      <c r="K1137" s="97" t="s">
        <v>63</v>
      </c>
      <c r="L1137" s="101" t="s">
        <v>445</v>
      </c>
      <c r="M1137" s="102" t="str">
        <f>IFNA(VLOOKUP(L1137,'🙎‍♂️ Pasien'!G:V,2,FALSE),"")</f>
        <v>M6925117500</v>
      </c>
      <c r="N1137" s="103">
        <f>IFNA(VLOOKUP(L1137,'🙎‍♂️ Pasien'!G:L,3,FALSE),"")</f>
        <v>56</v>
      </c>
      <c r="O1137" s="104" t="str">
        <f>IFNA(VLOOKUP(L1137,'🙎‍♂️ Pasien'!G:V,6,FALSE),"")</f>
        <v>PEREMPUAN</v>
      </c>
      <c r="P1137" s="104" t="str">
        <f>IFNA(VLOOKUP(L1137,'🙎‍♂️ Pasien'!G:V,12,FALSE),"")</f>
        <v>KATOLIK</v>
      </c>
      <c r="Q1137" s="104" t="str">
        <f>IFNA(VLOOKUP(L1137:L1508,'🙎‍♂️ Pasien'!G:V,13,FALSE),"")</f>
        <v>IRT</v>
      </c>
      <c r="R1137" s="104" t="str">
        <f t="array" ref="R1137">ifna(xlookup(L1137,'🙎‍♂️ Pasien'!$G$5:$G1508,'🙎‍♂️ Pasien'!$T$5:$T1508),"")</f>
        <v>JARI</v>
      </c>
      <c r="S1137" s="104" t="str">
        <f t="array" ref="S1137">ifna(xlookup(L1137,'🙎‍♂️ Pasien'!$G$5:$G1508,'🙎‍♂️ Pasien'!$U$5:$U1508),"")</f>
        <v>PEKERJAAN RUMAH TANGGA</v>
      </c>
      <c r="T1137" s="97" t="s">
        <v>59</v>
      </c>
      <c r="U1137" s="105">
        <v>4.0</v>
      </c>
      <c r="V1137" s="101"/>
      <c r="W1137" s="106" t="b">
        <v>1</v>
      </c>
      <c r="X1137" s="107"/>
      <c r="Y1137" s="108"/>
    </row>
    <row r="1138" ht="22.5" customHeight="1">
      <c r="A1138" s="96"/>
      <c r="B1138" s="97" t="s">
        <v>53</v>
      </c>
      <c r="C1138" s="98" t="str">
        <f t="array" ref="C1138">IFNA(XLOOKUP(J1138,'⚙️ Pengaturan'!$H$5:$H1508,'⚙️ Pengaturan'!$I$5:$I1508),"")</f>
        <v>TIM A</v>
      </c>
      <c r="D1138" s="97" t="s">
        <v>54</v>
      </c>
      <c r="E1138" s="99">
        <v>45998.0</v>
      </c>
      <c r="F1138" s="100" t="str">
        <f t="shared" si="1"/>
        <v>2025</v>
      </c>
      <c r="G1138" s="100" t="str">
        <f t="shared" si="2"/>
        <v>12Des</v>
      </c>
      <c r="H1138" s="100" t="str">
        <f t="shared" si="3"/>
        <v>Minggu</v>
      </c>
      <c r="I1138" s="97" t="s">
        <v>65</v>
      </c>
      <c r="J1138" s="97" t="s">
        <v>79</v>
      </c>
      <c r="K1138" s="97" t="s">
        <v>57</v>
      </c>
      <c r="L1138" s="101" t="s">
        <v>663</v>
      </c>
      <c r="M1138" s="102" t="str">
        <f>IFNA(VLOOKUP(L1138,'🙎‍♂️ Pasien'!G:V,2,FALSE),"")</f>
        <v>U6125123244</v>
      </c>
      <c r="N1138" s="103">
        <f>IFNA(VLOOKUP(L1138,'🙎‍♂️ Pasien'!G:L,3,FALSE),"")</f>
        <v>65</v>
      </c>
      <c r="O1138" s="104" t="str">
        <f>IFNA(VLOOKUP(L1138,'🙎‍♂️ Pasien'!G:V,6,FALSE),"")</f>
        <v>LAKI-LAKI</v>
      </c>
      <c r="P1138" s="104" t="str">
        <f>IFNA(VLOOKUP(L1138,'🙎‍♂️ Pasien'!G:V,12,FALSE),"")</f>
        <v>ISLAM</v>
      </c>
      <c r="Q1138" s="104" t="str">
        <f>IFNA(VLOOKUP(L1138:L1508,'🙎‍♂️ Pasien'!G:V,13,FALSE),"")</f>
        <v>PENSIUNAN</v>
      </c>
      <c r="R1138" s="104" t="str">
        <f t="array" ref="R1138">ifna(xlookup(L1138,'🙎‍♂️ Pasien'!$G$5:$G1508,'🙎‍♂️ Pasien'!$T$5:$T1508),"")</f>
        <v>PINGGANG</v>
      </c>
      <c r="S1138" s="104" t="str">
        <f t="array" ref="S1138">ifna(xlookup(L1138,'🙎‍♂️ Pasien'!$G$5:$G1508,'🙎‍♂️ Pasien'!$U$5:$U1508),"")</f>
        <v>JOGING</v>
      </c>
      <c r="T1138" s="97" t="s">
        <v>59</v>
      </c>
      <c r="U1138" s="105" t="s">
        <v>60</v>
      </c>
      <c r="V1138" s="101"/>
      <c r="W1138" s="106" t="b">
        <v>1</v>
      </c>
      <c r="X1138" s="107"/>
      <c r="Y1138" s="108"/>
    </row>
    <row r="1139" ht="22.5" customHeight="1">
      <c r="A1139" s="96"/>
      <c r="B1139" s="97" t="s">
        <v>53</v>
      </c>
      <c r="C1139" s="98" t="str">
        <f t="array" ref="C1139">IFNA(XLOOKUP(J1139,'⚙️ Pengaturan'!$H$5:$H1508,'⚙️ Pengaturan'!$I$5:$I1508),"")</f>
        <v>TIM A</v>
      </c>
      <c r="D1139" s="97" t="s">
        <v>54</v>
      </c>
      <c r="E1139" s="99">
        <v>45998.0</v>
      </c>
      <c r="F1139" s="100" t="str">
        <f t="shared" si="1"/>
        <v>2025</v>
      </c>
      <c r="G1139" s="100" t="str">
        <f t="shared" si="2"/>
        <v>12Des</v>
      </c>
      <c r="H1139" s="100" t="str">
        <f t="shared" si="3"/>
        <v>Minggu</v>
      </c>
      <c r="I1139" s="97" t="s">
        <v>74</v>
      </c>
      <c r="J1139" s="97" t="s">
        <v>72</v>
      </c>
      <c r="K1139" s="97" t="s">
        <v>57</v>
      </c>
      <c r="L1139" s="101" t="s">
        <v>664</v>
      </c>
      <c r="M1139" s="102" t="str">
        <f>IFNA(VLOOKUP(L1139,'🙎‍♂️ Pasien'!G:V,2,FALSE),"")</f>
        <v>R5825122217</v>
      </c>
      <c r="N1139" s="103">
        <f>IFNA(VLOOKUP(L1139,'🙎‍♂️ Pasien'!G:L,3,FALSE),"")</f>
        <v>67</v>
      </c>
      <c r="O1139" s="104" t="str">
        <f>IFNA(VLOOKUP(L1139,'🙎‍♂️ Pasien'!G:V,6,FALSE),"")</f>
        <v>PEREMPUAN</v>
      </c>
      <c r="P1139" s="104" t="str">
        <f>IFNA(VLOOKUP(L1139,'🙎‍♂️ Pasien'!G:V,12,FALSE),"")</f>
        <v>ISLAM</v>
      </c>
      <c r="Q1139" s="104" t="str">
        <f>IFNA(VLOOKUP(L1139:L1508,'🙎‍♂️ Pasien'!G:V,13,FALSE),"")</f>
        <v>IBU RUMAH TANGGA</v>
      </c>
      <c r="R1139" s="104" t="str">
        <f t="array" ref="R1139">ifna(xlookup(L1139,'🙎‍♂️ Pasien'!$G$5:$G1508,'🙎‍♂️ Pasien'!$T$5:$T1508),"")</f>
        <v>KEADAAN SEBELUMNYA JALAN AGAK SUSAH SEMINGGU TERAKHIR MENGALAMI CEDERA (KESELEO) SUDAH PERNAH DI URUT TAPI TIDAK ADA PERUBAHAN</v>
      </c>
      <c r="S1139" s="104" t="str">
        <f t="array" ref="S1139">ifna(xlookup(L1139,'🙎‍♂️ Pasien'!$G$5:$G1508,'🙎‍♂️ Pasien'!$U$5:$U1508),"")</f>
        <v>SENAM</v>
      </c>
      <c r="T1139" s="97" t="s">
        <v>59</v>
      </c>
      <c r="U1139" s="105" t="s">
        <v>60</v>
      </c>
      <c r="V1139" s="101"/>
      <c r="W1139" s="106" t="b">
        <v>1</v>
      </c>
      <c r="X1139" s="107"/>
      <c r="Y1139" s="108"/>
    </row>
    <row r="1140" ht="22.5" customHeight="1">
      <c r="A1140" s="96"/>
      <c r="B1140" s="97" t="s">
        <v>53</v>
      </c>
      <c r="C1140" s="98" t="str">
        <f t="array" ref="C1140">IFNA(XLOOKUP(J1140,'⚙️ Pengaturan'!$H$5:$H1508,'⚙️ Pengaturan'!$I$5:$I1508),"")</f>
        <v>TIM A</v>
      </c>
      <c r="D1140" s="97" t="s">
        <v>54</v>
      </c>
      <c r="E1140" s="99">
        <v>45998.0</v>
      </c>
      <c r="F1140" s="100" t="str">
        <f t="shared" si="1"/>
        <v>2025</v>
      </c>
      <c r="G1140" s="100" t="str">
        <f t="shared" si="2"/>
        <v>12Des</v>
      </c>
      <c r="H1140" s="100" t="str">
        <f t="shared" si="3"/>
        <v>Minggu</v>
      </c>
      <c r="I1140" s="97" t="s">
        <v>74</v>
      </c>
      <c r="J1140" s="97" t="s">
        <v>62</v>
      </c>
      <c r="K1140" s="97" t="s">
        <v>63</v>
      </c>
      <c r="L1140" s="101" t="s">
        <v>665</v>
      </c>
      <c r="M1140" s="102" t="str">
        <f>IFNA(VLOOKUP(L1140,'🙎‍♂️ Pasien'!G:V,2,FALSE),"")</f>
        <v>V9225074870</v>
      </c>
      <c r="N1140" s="103">
        <f>IFNA(VLOOKUP(L1140,'🙎‍♂️ Pasien'!G:L,3,FALSE),"")</f>
        <v>33</v>
      </c>
      <c r="O1140" s="104" t="str">
        <f>IFNA(VLOOKUP(L1140,'🙎‍♂️ Pasien'!G:V,6,FALSE),"")</f>
        <v>PEREMPUAN</v>
      </c>
      <c r="P1140" s="104" t="str">
        <f>IFNA(VLOOKUP(L1140,'🙎‍♂️ Pasien'!G:V,12,FALSE),"")</f>
        <v>KATOLIK</v>
      </c>
      <c r="Q1140" s="104" t="str">
        <f>IFNA(VLOOKUP(L1140:L1508,'🙎‍♂️ Pasien'!G:V,13,FALSE),"")</f>
        <v>IBU RUMAH TANGGA</v>
      </c>
      <c r="R1140" s="104" t="str">
        <f t="array" ref="R1140">ifna(xlookup(L1140,'🙎‍♂️ Pasien'!$G$5:$G1508,'🙎‍♂️ Pasien'!$T$5:$T1508),"")</f>
        <v>SAKIT PUNGGUNG DAN TULANG BELAKANG</v>
      </c>
      <c r="S1140" s="104" t="str">
        <f t="array" ref="S1140">ifna(xlookup(L1140,'🙎‍♂️ Pasien'!$G$5:$G1508,'🙎‍♂️ Pasien'!$U$5:$U1508),"")</f>
        <v>DUDUK DAN PAKAI SANDAL TIPIS</v>
      </c>
      <c r="T1140" s="97" t="s">
        <v>67</v>
      </c>
      <c r="U1140" s="105">
        <v>9.0</v>
      </c>
      <c r="V1140" s="101" t="s">
        <v>283</v>
      </c>
      <c r="W1140" s="106" t="b">
        <v>1</v>
      </c>
      <c r="X1140" s="107"/>
      <c r="Y1140" s="108"/>
    </row>
    <row r="1141" ht="22.5" customHeight="1">
      <c r="A1141" s="96"/>
      <c r="B1141" s="97" t="s">
        <v>53</v>
      </c>
      <c r="C1141" s="98" t="str">
        <f t="array" ref="C1141">IFNA(XLOOKUP(J1141,'⚙️ Pengaturan'!$H$5:$H1508,'⚙️ Pengaturan'!$I$5:$I1508),"")</f>
        <v>TIM Y</v>
      </c>
      <c r="D1141" s="97" t="s">
        <v>54</v>
      </c>
      <c r="E1141" s="99">
        <v>45998.0</v>
      </c>
      <c r="F1141" s="100" t="str">
        <f t="shared" si="1"/>
        <v>2025</v>
      </c>
      <c r="G1141" s="100" t="str">
        <f t="shared" si="2"/>
        <v>12Des</v>
      </c>
      <c r="H1141" s="100" t="str">
        <f t="shared" si="3"/>
        <v>Minggu</v>
      </c>
      <c r="I1141" s="97" t="s">
        <v>76</v>
      </c>
      <c r="J1141" s="97" t="s">
        <v>56</v>
      </c>
      <c r="K1141" s="97" t="s">
        <v>57</v>
      </c>
      <c r="L1141" s="101" t="s">
        <v>666</v>
      </c>
      <c r="M1141" s="102" t="str">
        <f>IFNA(VLOOKUP(L1141,'🙎‍♂️ Pasien'!G:V,2,FALSE),"")</f>
        <v>B0025121417</v>
      </c>
      <c r="N1141" s="103">
        <f>IFNA(VLOOKUP(L1141,'🙎‍♂️ Pasien'!G:L,3,FALSE),"")</f>
        <v>25</v>
      </c>
      <c r="O1141" s="104" t="str">
        <f>IFNA(VLOOKUP(L1141,'🙎‍♂️ Pasien'!G:V,6,FALSE),"")</f>
        <v>LAKI-LAKI</v>
      </c>
      <c r="P1141" s="104" t="str">
        <f>IFNA(VLOOKUP(L1141,'🙎‍♂️ Pasien'!G:V,12,FALSE),"")</f>
        <v>ISLAM</v>
      </c>
      <c r="Q1141" s="104" t="str">
        <f>IFNA(VLOOKUP(L1141:L1508,'🙎‍♂️ Pasien'!G:V,13,FALSE),"")</f>
        <v>PEGAWAI</v>
      </c>
      <c r="R1141" s="104" t="str">
        <f t="array" ref="R1141">ifna(xlookup(L1141,'🙎‍♂️ Pasien'!$G$5:$G1508,'🙎‍♂️ Pasien'!$T$5:$T1508),"")</f>
        <v>SAKIT PADA KAKI SEBELAH KIRI SETELAH TENIS</v>
      </c>
      <c r="S1141" s="104" t="str">
        <f t="array" ref="S1141">ifna(xlookup(L1141,'🙎‍♂️ Pasien'!$G$5:$G1508,'🙎‍♂️ Pasien'!$U$5:$U1508),"")</f>
        <v>TENIS</v>
      </c>
      <c r="T1141" s="97" t="s">
        <v>59</v>
      </c>
      <c r="U1141" s="105" t="s">
        <v>60</v>
      </c>
      <c r="V1141" s="101"/>
      <c r="W1141" s="106" t="b">
        <v>1</v>
      </c>
      <c r="X1141" s="107"/>
      <c r="Y1141" s="108"/>
    </row>
    <row r="1142" ht="22.5" customHeight="1">
      <c r="A1142" s="96"/>
      <c r="B1142" s="97" t="s">
        <v>53</v>
      </c>
      <c r="C1142" s="98" t="str">
        <f t="array" ref="C1142">IFNA(XLOOKUP(J1142,'⚙️ Pengaturan'!$H$5:$H1508,'⚙️ Pengaturan'!$I$5:$I1508),"")</f>
        <v>MANAJEMEN</v>
      </c>
      <c r="D1142" s="97" t="s">
        <v>54</v>
      </c>
      <c r="E1142" s="99">
        <v>45998.0</v>
      </c>
      <c r="F1142" s="100" t="str">
        <f t="shared" si="1"/>
        <v>2025</v>
      </c>
      <c r="G1142" s="100" t="str">
        <f t="shared" si="2"/>
        <v>12Des</v>
      </c>
      <c r="H1142" s="100" t="str">
        <f t="shared" si="3"/>
        <v>Minggu</v>
      </c>
      <c r="I1142" s="97" t="s">
        <v>76</v>
      </c>
      <c r="J1142" s="97" t="s">
        <v>101</v>
      </c>
      <c r="K1142" s="97" t="s">
        <v>63</v>
      </c>
      <c r="L1142" s="101" t="s">
        <v>234</v>
      </c>
      <c r="M1142" s="102" t="str">
        <f>IFNA(VLOOKUP(L1142,'🙎‍♂️ Pasien'!G:V,2,FALSE),"")</f>
        <v>B8825057611</v>
      </c>
      <c r="N1142" s="103">
        <f>IFNA(VLOOKUP(L1142,'🙎‍♂️ Pasien'!G:L,3,FALSE),"")</f>
        <v>37</v>
      </c>
      <c r="O1142" s="104" t="str">
        <f>IFNA(VLOOKUP(L1142,'🙎‍♂️ Pasien'!G:V,6,FALSE),"")</f>
        <v>LAKI-LAKI</v>
      </c>
      <c r="P1142" s="104" t="str">
        <f>IFNA(VLOOKUP(L1142,'🙎‍♂️ Pasien'!G:V,12,FALSE),"")</f>
        <v>LAINNYA</v>
      </c>
      <c r="Q1142" s="104" t="str">
        <f>IFNA(VLOOKUP(L1142:L1508,'🙎‍♂️ Pasien'!G:V,13,FALSE),"")</f>
        <v>SWASTA</v>
      </c>
      <c r="R1142" s="104" t="str">
        <f t="array" ref="R1142">ifna(xlookup(L1142,'🙎‍♂️ Pasien'!$G$5:$G1508,'🙎‍♂️ Pasien'!$T$5:$T1508),"")</f>
        <v>SAKIT KAKI</v>
      </c>
      <c r="S1142" s="104" t="str">
        <f t="array" ref="S1142">ifna(xlookup(L1142,'🙎‍♂️ Pasien'!$G$5:$G1508,'🙎‍♂️ Pasien'!$U$5:$U1508),"")</f>
        <v>SEPAK BOLA</v>
      </c>
      <c r="T1142" s="97" t="s">
        <v>59</v>
      </c>
      <c r="U1142" s="105">
        <v>2.0</v>
      </c>
      <c r="V1142" s="101"/>
      <c r="W1142" s="106" t="b">
        <v>1</v>
      </c>
      <c r="X1142" s="107"/>
      <c r="Y1142" s="108"/>
    </row>
    <row r="1143" ht="22.5" customHeight="1">
      <c r="A1143" s="96"/>
      <c r="B1143" s="97" t="s">
        <v>53</v>
      </c>
      <c r="C1143" s="98" t="str">
        <f t="array" ref="C1143">IFNA(XLOOKUP(J1143,'⚙️ Pengaturan'!$H$5:$H1508,'⚙️ Pengaturan'!$I$5:$I1508),"")</f>
        <v>TIM A</v>
      </c>
      <c r="D1143" s="97" t="s">
        <v>54</v>
      </c>
      <c r="E1143" s="99">
        <v>45998.0</v>
      </c>
      <c r="F1143" s="100" t="str">
        <f t="shared" si="1"/>
        <v>2025</v>
      </c>
      <c r="G1143" s="100" t="str">
        <f t="shared" si="2"/>
        <v>12Des</v>
      </c>
      <c r="H1143" s="100" t="str">
        <f t="shared" si="3"/>
        <v>Minggu</v>
      </c>
      <c r="I1143" s="97" t="s">
        <v>76</v>
      </c>
      <c r="J1143" s="97" t="s">
        <v>62</v>
      </c>
      <c r="K1143" s="97" t="s">
        <v>69</v>
      </c>
      <c r="L1143" s="101" t="s">
        <v>632</v>
      </c>
      <c r="M1143" s="102" t="str">
        <f>IFNA(VLOOKUP(L1143,'🙎‍♂️ Pasien'!G:V,2,FALSE),"")</f>
        <v>C8525081338</v>
      </c>
      <c r="N1143" s="103">
        <f>IFNA(VLOOKUP(L1143,'🙎‍♂️ Pasien'!G:L,3,FALSE),"")</f>
        <v>40</v>
      </c>
      <c r="O1143" s="104" t="str">
        <f>IFNA(VLOOKUP(L1143,'🙎‍♂️ Pasien'!G:V,6,FALSE),"")</f>
        <v>PEREMPUAN</v>
      </c>
      <c r="P1143" s="104" t="str">
        <f>IFNA(VLOOKUP(L1143,'🙎‍♂️ Pasien'!G:V,12,FALSE),"")</f>
        <v>ISLAM</v>
      </c>
      <c r="Q1143" s="104" t="str">
        <f>IFNA(VLOOKUP(L1143:L1508,'🙎‍♂️ Pasien'!G:V,13,FALSE),"")</f>
        <v>PNS</v>
      </c>
      <c r="R1143" s="104" t="str">
        <f t="array" ref="R1143">ifna(xlookup(L1143,'🙎‍♂️ Pasien'!$G$5:$G1508,'🙎‍♂️ Pasien'!$T$5:$T1508),"")</f>
        <v>KRAM KAKI KIRI SAMPAI PINGGANG</v>
      </c>
      <c r="S1143" s="104" t="str">
        <f t="array" ref="S1143">ifna(xlookup(L1143,'🙎‍♂️ Pasien'!$G$5:$G1508,'🙎‍♂️ Pasien'!$U$5:$U1508),"")</f>
        <v>-</v>
      </c>
      <c r="T1143" s="97" t="s">
        <v>59</v>
      </c>
      <c r="U1143" s="105" t="s">
        <v>60</v>
      </c>
      <c r="V1143" s="101"/>
      <c r="W1143" s="106" t="b">
        <v>1</v>
      </c>
      <c r="X1143" s="107"/>
      <c r="Y1143" s="108"/>
    </row>
    <row r="1144" ht="22.5" customHeight="1">
      <c r="A1144" s="96"/>
      <c r="B1144" s="97" t="s">
        <v>53</v>
      </c>
      <c r="C1144" s="98" t="str">
        <f t="array" ref="C1144">IFNA(XLOOKUP(J1144,'⚙️ Pengaturan'!$H$5:$H1508,'⚙️ Pengaturan'!$I$5:$I1508),"")</f>
        <v>TIM Y</v>
      </c>
      <c r="D1144" s="97" t="s">
        <v>54</v>
      </c>
      <c r="E1144" s="99">
        <v>45998.0</v>
      </c>
      <c r="F1144" s="100" t="str">
        <f t="shared" si="1"/>
        <v>2025</v>
      </c>
      <c r="G1144" s="100" t="str">
        <f t="shared" si="2"/>
        <v>12Des</v>
      </c>
      <c r="H1144" s="100" t="str">
        <f t="shared" si="3"/>
        <v>Minggu</v>
      </c>
      <c r="I1144" s="97" t="s">
        <v>83</v>
      </c>
      <c r="J1144" s="97" t="s">
        <v>56</v>
      </c>
      <c r="K1144" s="97" t="s">
        <v>63</v>
      </c>
      <c r="L1144" s="101" t="s">
        <v>609</v>
      </c>
      <c r="M1144" s="102" t="str">
        <f>IFNA(VLOOKUP(L1144,'🙎‍♂️ Pasien'!G:V,2,FALSE),"")</f>
        <v>A5125112484</v>
      </c>
      <c r="N1144" s="103">
        <f>IFNA(VLOOKUP(L1144,'🙎‍♂️ Pasien'!G:L,3,FALSE),"")</f>
        <v>74</v>
      </c>
      <c r="O1144" s="104" t="str">
        <f>IFNA(VLOOKUP(L1144,'🙎‍♂️ Pasien'!G:V,6,FALSE),"")</f>
        <v>LAKI-LAKI</v>
      </c>
      <c r="P1144" s="104" t="str">
        <f>IFNA(VLOOKUP(L1144,'🙎‍♂️ Pasien'!G:V,12,FALSE),"")</f>
        <v>ISLAM</v>
      </c>
      <c r="Q1144" s="104" t="str">
        <f>IFNA(VLOOKUP(L1144:L1508,'🙎‍♂️ Pasien'!G:V,13,FALSE),"")</f>
        <v>PETANI</v>
      </c>
      <c r="R1144" s="104" t="str">
        <f t="array" ref="R1144">ifna(xlookup(L1144,'🙎‍♂️ Pasien'!$G$5:$G1508,'🙎‍♂️ Pasien'!$T$5:$T1508),"")</f>
        <v>NYERI DARI PAHA SAMPAI TELAPAK KAKI, STOKE SEBELAH KIRI SEJAK DUA BULAN LALU</v>
      </c>
      <c r="S1144" s="104" t="str">
        <f t="array" ref="S1144">ifna(xlookup(L1144,'🙎‍♂️ Pasien'!$G$5:$G1508,'🙎‍♂️ Pasien'!$U$5:$U1508),"")</f>
        <v>PEROKOK, NGOPI, SUKA MINUM MANIS MANIS</v>
      </c>
      <c r="T1144" s="97" t="s">
        <v>59</v>
      </c>
      <c r="U1144" s="105">
        <v>2.0</v>
      </c>
      <c r="V1144" s="101"/>
      <c r="W1144" s="106" t="b">
        <v>1</v>
      </c>
      <c r="X1144" s="107"/>
      <c r="Y1144" s="108"/>
    </row>
    <row r="1145" ht="22.5" customHeight="1">
      <c r="A1145" s="96"/>
      <c r="B1145" s="97" t="s">
        <v>85</v>
      </c>
      <c r="C1145" s="98" t="str">
        <f t="array" ref="C1145">IFNA(XLOOKUP(J1145,'⚙️ Pengaturan'!$H$5:$H1508,'⚙️ Pengaturan'!$I$5:$I1508),"")</f>
        <v>TIM Y</v>
      </c>
      <c r="D1145" s="97" t="s">
        <v>86</v>
      </c>
      <c r="E1145" s="99">
        <v>45998.0</v>
      </c>
      <c r="F1145" s="100" t="str">
        <f t="shared" si="1"/>
        <v>2025</v>
      </c>
      <c r="G1145" s="100" t="str">
        <f t="shared" si="2"/>
        <v>12Des</v>
      </c>
      <c r="H1145" s="100" t="str">
        <f t="shared" si="3"/>
        <v>Minggu</v>
      </c>
      <c r="I1145" s="97" t="s">
        <v>87</v>
      </c>
      <c r="J1145" s="97" t="s">
        <v>509</v>
      </c>
      <c r="K1145" s="97" t="s">
        <v>69</v>
      </c>
      <c r="L1145" s="101" t="s">
        <v>667</v>
      </c>
      <c r="M1145" s="102" t="str">
        <f>IFNA(VLOOKUP(L1145,'🙎‍♂️ Pasien'!G:V,2,FALSE),"")</f>
        <v>M9425123698</v>
      </c>
      <c r="N1145" s="103">
        <f>IFNA(VLOOKUP(L1145,'🙎‍♂️ Pasien'!G:L,3,FALSE),"")</f>
        <v>31</v>
      </c>
      <c r="O1145" s="104" t="str">
        <f>IFNA(VLOOKUP(L1145,'🙎‍♂️ Pasien'!G:V,6,FALSE),"")</f>
        <v>LAKI-LAKI</v>
      </c>
      <c r="P1145" s="104" t="str">
        <f>IFNA(VLOOKUP(L1145,'🙎‍♂️ Pasien'!G:V,12,FALSE),"")</f>
        <v>ISLAM</v>
      </c>
      <c r="Q1145" s="104" t="str">
        <f>IFNA(VLOOKUP(L1145:L1508,'🙎‍♂️ Pasien'!G:V,13,FALSE),"")</f>
        <v>SWASTA</v>
      </c>
      <c r="R1145" s="104" t="str">
        <f t="array" ref="R1145">ifna(xlookup(L1145,'🙎‍♂️ Pasien'!$G$5:$G1508,'🙎‍♂️ Pasien'!$T$5:$T1508),"")</f>
        <v>NYERI KEPALA</v>
      </c>
      <c r="S1145" s="104" t="str">
        <f t="array" ref="S1145">ifna(xlookup(L1145,'🙎‍♂️ Pasien'!$G$5:$G1508,'🙎‍♂️ Pasien'!$U$5:$U1508),"")</f>
        <v>ANGKAT BARANG</v>
      </c>
      <c r="T1145" s="97" t="s">
        <v>59</v>
      </c>
      <c r="U1145" s="105" t="s">
        <v>60</v>
      </c>
      <c r="V1145" s="101"/>
      <c r="W1145" s="106" t="b">
        <v>1</v>
      </c>
      <c r="X1145" s="107"/>
      <c r="Y1145" s="108"/>
    </row>
    <row r="1146" ht="22.5" customHeight="1">
      <c r="A1146" s="96"/>
      <c r="B1146" s="97" t="s">
        <v>85</v>
      </c>
      <c r="C1146" s="98" t="str">
        <f t="array" ref="C1146">IFNA(XLOOKUP(J1146,'⚙️ Pengaturan'!$H$5:$H1508,'⚙️ Pengaturan'!$I$5:$I1508),"")</f>
        <v>TIM Y</v>
      </c>
      <c r="D1146" s="97" t="s">
        <v>86</v>
      </c>
      <c r="E1146" s="99">
        <v>45998.0</v>
      </c>
      <c r="F1146" s="100" t="str">
        <f t="shared" si="1"/>
        <v>2025</v>
      </c>
      <c r="G1146" s="100" t="str">
        <f t="shared" si="2"/>
        <v>12Des</v>
      </c>
      <c r="H1146" s="100" t="str">
        <f t="shared" si="3"/>
        <v>Minggu</v>
      </c>
      <c r="I1146" s="97" t="s">
        <v>87</v>
      </c>
      <c r="J1146" s="97" t="s">
        <v>91</v>
      </c>
      <c r="K1146" s="97" t="s">
        <v>57</v>
      </c>
      <c r="L1146" s="101" t="s">
        <v>668</v>
      </c>
      <c r="M1146" s="102" t="str">
        <f>IFNA(VLOOKUP(L1146,'🙎‍♂️ Pasien'!G:V,2,FALSE),"")</f>
        <v>R9625012853</v>
      </c>
      <c r="N1146" s="103">
        <f>IFNA(VLOOKUP(L1146,'🙎‍♂️ Pasien'!G:L,3,FALSE),"")</f>
        <v>30</v>
      </c>
      <c r="O1146" s="104" t="str">
        <f>IFNA(VLOOKUP(L1146,'🙎‍♂️ Pasien'!G:V,6,FALSE),"")</f>
        <v>PEREMPUAN</v>
      </c>
      <c r="P1146" s="104" t="str">
        <f>IFNA(VLOOKUP(L1146,'🙎‍♂️ Pasien'!G:V,12,FALSE),"")</f>
        <v>ISLAM</v>
      </c>
      <c r="Q1146" s="104" t="str">
        <f>IFNA(VLOOKUP(L1146:L1508,'🙎‍♂️ Pasien'!G:V,13,FALSE),"")</f>
        <v>ASN</v>
      </c>
      <c r="R1146" s="104" t="str">
        <f t="array" ref="R1146">ifna(xlookup(L1146,'🙎‍♂️ Pasien'!$G$5:$G1508,'🙎‍♂️ Pasien'!$T$5:$T1508),"")</f>
        <v>NYERI BAGIAN LUTUT SETIAP SETELAH LARI DIATAS 6KM</v>
      </c>
      <c r="S1146" s="104" t="str">
        <f t="array" ref="S1146">ifna(xlookup(L1146,'🙎‍♂️ Pasien'!$G$5:$G1508,'🙎‍♂️ Pasien'!$U$5:$U1508),"")</f>
        <v>LARI</v>
      </c>
      <c r="T1146" s="97" t="s">
        <v>59</v>
      </c>
      <c r="U1146" s="105" t="s">
        <v>60</v>
      </c>
      <c r="V1146" s="101"/>
      <c r="W1146" s="106" t="b">
        <v>1</v>
      </c>
      <c r="X1146" s="107"/>
      <c r="Y1146" s="108"/>
    </row>
    <row r="1147" ht="22.5" customHeight="1">
      <c r="A1147" s="96"/>
      <c r="B1147" s="97" t="s">
        <v>85</v>
      </c>
      <c r="C1147" s="98" t="str">
        <f t="array" ref="C1147">IFNA(XLOOKUP(J1147,'⚙️ Pengaturan'!$H$5:$H1508,'⚙️ Pengaturan'!$I$5:$I1508),"")</f>
        <v>TIM Y</v>
      </c>
      <c r="D1147" s="97" t="s">
        <v>86</v>
      </c>
      <c r="E1147" s="99">
        <v>45998.0</v>
      </c>
      <c r="F1147" s="100" t="str">
        <f t="shared" si="1"/>
        <v>2025</v>
      </c>
      <c r="G1147" s="100" t="str">
        <f t="shared" si="2"/>
        <v>12Des</v>
      </c>
      <c r="H1147" s="100" t="str">
        <f t="shared" si="3"/>
        <v>Minggu</v>
      </c>
      <c r="I1147" s="97" t="s">
        <v>87</v>
      </c>
      <c r="J1147" s="97" t="s">
        <v>107</v>
      </c>
      <c r="K1147" s="97" t="s">
        <v>63</v>
      </c>
      <c r="L1147" s="101" t="s">
        <v>153</v>
      </c>
      <c r="M1147" s="102" t="str">
        <f>IFNA(VLOOKUP(L1147,'🙎‍♂️ Pasien'!G:V,2,FALSE),"")</f>
        <v>S6225086797</v>
      </c>
      <c r="N1147" s="103">
        <f>IFNA(VLOOKUP(L1147,'🙎‍♂️ Pasien'!G:L,3,FALSE),"")</f>
        <v>63</v>
      </c>
      <c r="O1147" s="104" t="str">
        <f>IFNA(VLOOKUP(L1147,'🙎‍♂️ Pasien'!G:V,6,FALSE),"")</f>
        <v>PEREMPUAN</v>
      </c>
      <c r="P1147" s="104" t="str">
        <f>IFNA(VLOOKUP(L1147,'🙎‍♂️ Pasien'!G:V,12,FALSE),"")</f>
        <v>ISLAM</v>
      </c>
      <c r="Q1147" s="104" t="str">
        <f>IFNA(VLOOKUP(L1147:L1508,'🙎‍♂️ Pasien'!G:V,13,FALSE),"")</f>
        <v>-</v>
      </c>
      <c r="R1147" s="104" t="str">
        <f t="array" ref="R1147">ifna(xlookup(L1147,'🙎‍♂️ Pasien'!$G$5:$G1508,'🙎‍♂️ Pasien'!$T$5:$T1508),"")</f>
        <v>TANGAN KANAN BAGIAN ATAS, SAKIT SAAT DIGERAKKAN</v>
      </c>
      <c r="S1147" s="104" t="str">
        <f t="array" ref="S1147">ifna(xlookup(L1147,'🙎‍♂️ Pasien'!$G$5:$G1508,'🙎‍♂️ Pasien'!$U$5:$U1508),"")</f>
        <v>PEKERJAAN RUMAH TANGGA</v>
      </c>
      <c r="T1147" s="97" t="s">
        <v>59</v>
      </c>
      <c r="U1147" s="105">
        <v>3.0</v>
      </c>
      <c r="V1147" s="101"/>
      <c r="W1147" s="106" t="b">
        <v>1</v>
      </c>
      <c r="X1147" s="107"/>
      <c r="Y1147" s="108"/>
    </row>
    <row r="1148" ht="22.5" customHeight="1">
      <c r="A1148" s="96"/>
      <c r="B1148" s="97" t="s">
        <v>85</v>
      </c>
      <c r="C1148" s="98" t="str">
        <f t="array" ref="C1148">IFNA(XLOOKUP(J1148,'⚙️ Pengaturan'!$H$5:$H1508,'⚙️ Pengaturan'!$I$5:$I1508),"")</f>
        <v>TIM Y</v>
      </c>
      <c r="D1148" s="97" t="s">
        <v>86</v>
      </c>
      <c r="E1148" s="99">
        <v>45998.0</v>
      </c>
      <c r="F1148" s="100" t="str">
        <f t="shared" si="1"/>
        <v>2025</v>
      </c>
      <c r="G1148" s="100" t="str">
        <f t="shared" si="2"/>
        <v>12Des</v>
      </c>
      <c r="H1148" s="100" t="str">
        <f t="shared" si="3"/>
        <v>Minggu</v>
      </c>
      <c r="I1148" s="97" t="s">
        <v>93</v>
      </c>
      <c r="J1148" s="97" t="s">
        <v>107</v>
      </c>
      <c r="K1148" s="97" t="s">
        <v>63</v>
      </c>
      <c r="L1148" s="101" t="s">
        <v>543</v>
      </c>
      <c r="M1148" s="102" t="str">
        <f>IFNA(VLOOKUP(L1148,'🙎‍♂️ Pasien'!G:V,2,FALSE),"")</f>
        <v>A8725115557</v>
      </c>
      <c r="N1148" s="103">
        <f>IFNA(VLOOKUP(L1148,'🙎‍♂️ Pasien'!G:L,3,FALSE),"")</f>
        <v>38</v>
      </c>
      <c r="O1148" s="104" t="str">
        <f>IFNA(VLOOKUP(L1148,'🙎‍♂️ Pasien'!G:V,6,FALSE),"")</f>
        <v>PEREMPUAN</v>
      </c>
      <c r="P1148" s="104" t="str">
        <f>IFNA(VLOOKUP(L1148,'🙎‍♂️ Pasien'!G:V,12,FALSE),"")</f>
        <v>ISLAM</v>
      </c>
      <c r="Q1148" s="104" t="str">
        <f>IFNA(VLOOKUP(L1148:L1508,'🙎‍♂️ Pasien'!G:V,13,FALSE),"")</f>
        <v>KARYAWAN SWASTA</v>
      </c>
      <c r="R1148" s="104" t="str">
        <f t="array" ref="R1148">ifna(xlookup(L1148,'🙎‍♂️ Pasien'!$G$5:$G1508,'🙎‍♂️ Pasien'!$T$5:$T1508),"")</f>
        <v>NYERI SAAT NARIK NAFAS DAN BERGERAK AREA RUSUK DEPAN HINGGA BELAKANG SEBELAH KANAN</v>
      </c>
      <c r="S1148" s="104" t="str">
        <f t="array" ref="S1148">ifna(xlookup(L1148,'🙎‍♂️ Pasien'!$G$5:$G1508,'🙎‍♂️ Pasien'!$U$5:$U1508),"")</f>
        <v>SAAT INI SEDANG BATUK, OLAHRAGA THREADMIL DAN BULU TANGKIS BEBERAPA WAKTU INI</v>
      </c>
      <c r="T1148" s="97" t="s">
        <v>59</v>
      </c>
      <c r="U1148" s="105">
        <v>5.0</v>
      </c>
      <c r="V1148" s="101"/>
      <c r="W1148" s="106" t="b">
        <v>1</v>
      </c>
      <c r="X1148" s="107"/>
      <c r="Y1148" s="108"/>
    </row>
    <row r="1149" ht="22.5" customHeight="1">
      <c r="A1149" s="96"/>
      <c r="B1149" s="97" t="s">
        <v>85</v>
      </c>
      <c r="C1149" s="98" t="str">
        <f t="array" ref="C1149">IFNA(XLOOKUP(J1149,'⚙️ Pengaturan'!$H$5:$H1508,'⚙️ Pengaturan'!$I$5:$I1508),"")</f>
        <v>TIM Y</v>
      </c>
      <c r="D1149" s="97" t="s">
        <v>86</v>
      </c>
      <c r="E1149" s="99">
        <v>45998.0</v>
      </c>
      <c r="F1149" s="100" t="str">
        <f t="shared" si="1"/>
        <v>2025</v>
      </c>
      <c r="G1149" s="100" t="str">
        <f t="shared" si="2"/>
        <v>12Des</v>
      </c>
      <c r="H1149" s="100" t="str">
        <f t="shared" si="3"/>
        <v>Minggu</v>
      </c>
      <c r="I1149" s="97" t="s">
        <v>95</v>
      </c>
      <c r="J1149" s="97" t="s">
        <v>107</v>
      </c>
      <c r="K1149" s="97" t="s">
        <v>135</v>
      </c>
      <c r="L1149" s="101" t="s">
        <v>669</v>
      </c>
      <c r="M1149" s="102" t="str">
        <f>IFNA(VLOOKUP(L1149,'🙎‍♂️ Pasien'!G:V,2,FALSE),"")</f>
        <v>L6625122686</v>
      </c>
      <c r="N1149" s="103">
        <f>IFNA(VLOOKUP(L1149,'🙎‍♂️ Pasien'!G:L,3,FALSE),"")</f>
        <v>60</v>
      </c>
      <c r="O1149" s="104" t="str">
        <f>IFNA(VLOOKUP(L1149,'🙎‍♂️ Pasien'!G:V,6,FALSE),"")</f>
        <v>PEREMPUAN</v>
      </c>
      <c r="P1149" s="104" t="str">
        <f>IFNA(VLOOKUP(L1149,'🙎‍♂️ Pasien'!G:V,12,FALSE),"")</f>
        <v>KATOLIK</v>
      </c>
      <c r="Q1149" s="104" t="str">
        <f>IFNA(VLOOKUP(L1149:L1508,'🙎‍♂️ Pasien'!G:V,13,FALSE),"")</f>
        <v>DOKTER GIGI</v>
      </c>
      <c r="R1149" s="104" t="str">
        <f t="array" ref="R1149">ifna(xlookup(L1149,'🙎‍♂️ Pasien'!$G$5:$G1508,'🙎‍♂️ Pasien'!$T$5:$T1508),"")</f>
        <v>PINGGANG</v>
      </c>
      <c r="S1149" s="104" t="str">
        <f t="array" ref="S1149">ifna(xlookup(L1149,'🙎‍♂️ Pasien'!$G$5:$G1508,'🙎‍♂️ Pasien'!$U$5:$U1508),"")</f>
        <v>-</v>
      </c>
      <c r="T1149" s="97" t="s">
        <v>67</v>
      </c>
      <c r="U1149" s="105" t="s">
        <v>60</v>
      </c>
      <c r="V1149" s="101" t="s">
        <v>670</v>
      </c>
      <c r="W1149" s="106" t="b">
        <v>1</v>
      </c>
      <c r="X1149" s="107"/>
      <c r="Y1149" s="108"/>
    </row>
    <row r="1150" ht="22.5" customHeight="1">
      <c r="A1150" s="96"/>
      <c r="B1150" s="97" t="s">
        <v>85</v>
      </c>
      <c r="C1150" s="98" t="str">
        <f t="array" ref="C1150">IFNA(XLOOKUP(J1150,'⚙️ Pengaturan'!$H$5:$H1508,'⚙️ Pengaturan'!$I$5:$I1508),"")</f>
        <v>TIM Y</v>
      </c>
      <c r="D1150" s="97" t="s">
        <v>86</v>
      </c>
      <c r="E1150" s="99">
        <v>45998.0</v>
      </c>
      <c r="F1150" s="100" t="str">
        <f t="shared" si="1"/>
        <v>2025</v>
      </c>
      <c r="G1150" s="100" t="str">
        <f t="shared" si="2"/>
        <v>12Des</v>
      </c>
      <c r="H1150" s="100" t="str">
        <f t="shared" si="3"/>
        <v>Minggu</v>
      </c>
      <c r="I1150" s="97" t="s">
        <v>95</v>
      </c>
      <c r="J1150" s="97" t="s">
        <v>91</v>
      </c>
      <c r="K1150" s="97" t="s">
        <v>63</v>
      </c>
      <c r="L1150" s="101" t="s">
        <v>571</v>
      </c>
      <c r="M1150" s="102" t="str">
        <f>IFNA(VLOOKUP(L1150,'🙎‍♂️ Pasien'!G:V,2,FALSE),"")</f>
        <v>S9225116214</v>
      </c>
      <c r="N1150" s="103">
        <f>IFNA(VLOOKUP(L1150,'🙎‍♂️ Pasien'!G:L,3,FALSE),"")</f>
        <v>33</v>
      </c>
      <c r="O1150" s="104" t="str">
        <f>IFNA(VLOOKUP(L1150,'🙎‍♂️ Pasien'!G:V,6,FALSE),"")</f>
        <v>PEREMPUAN</v>
      </c>
      <c r="P1150" s="104" t="str">
        <f>IFNA(VLOOKUP(L1150,'🙎‍♂️ Pasien'!G:V,12,FALSE),"")</f>
        <v>ISLAM</v>
      </c>
      <c r="Q1150" s="104" t="str">
        <f>IFNA(VLOOKUP(L1150:L1508,'🙎‍♂️ Pasien'!G:V,13,FALSE),"")</f>
        <v>PNS</v>
      </c>
      <c r="R1150" s="104" t="str">
        <f t="array" ref="R1150">ifna(xlookup(L1150,'🙎‍♂️ Pasien'!$G$5:$G1508,'🙎‍♂️ Pasien'!$T$5:$T1508),"")</f>
        <v>KAKI SEBELAH KIRI TERKILIR KARENA JATUH DARI TANGGA</v>
      </c>
      <c r="S1150" s="104" t="str">
        <f t="array" ref="S1150">ifna(xlookup(L1150,'🙎‍♂️ Pasien'!$G$5:$G1508,'🙎‍♂️ Pasien'!$U$5:$U1508),"")</f>
        <v>BEKERJA</v>
      </c>
      <c r="T1150" s="97" t="s">
        <v>67</v>
      </c>
      <c r="U1150" s="105">
        <v>3.0</v>
      </c>
      <c r="V1150" s="101" t="s">
        <v>671</v>
      </c>
      <c r="W1150" s="106" t="b">
        <v>1</v>
      </c>
      <c r="X1150" s="107"/>
      <c r="Y1150" s="108"/>
    </row>
    <row r="1151" ht="22.5" customHeight="1">
      <c r="A1151" s="96"/>
      <c r="B1151" s="97" t="s">
        <v>85</v>
      </c>
      <c r="C1151" s="98" t="str">
        <f t="array" ref="C1151">IFNA(XLOOKUP(J1151,'⚙️ Pengaturan'!$H$5:$H1508,'⚙️ Pengaturan'!$I$5:$I1508),"")</f>
        <v>TIM Y</v>
      </c>
      <c r="D1151" s="97" t="s">
        <v>86</v>
      </c>
      <c r="E1151" s="99">
        <v>45998.0</v>
      </c>
      <c r="F1151" s="100" t="str">
        <f t="shared" si="1"/>
        <v>2025</v>
      </c>
      <c r="G1151" s="100" t="str">
        <f t="shared" si="2"/>
        <v>12Des</v>
      </c>
      <c r="H1151" s="100" t="str">
        <f t="shared" si="3"/>
        <v>Minggu</v>
      </c>
      <c r="I1151" s="97" t="s">
        <v>97</v>
      </c>
      <c r="J1151" s="97" t="s">
        <v>88</v>
      </c>
      <c r="K1151" s="97" t="s">
        <v>57</v>
      </c>
      <c r="L1151" s="101" t="s">
        <v>672</v>
      </c>
      <c r="M1151" s="102" t="str">
        <f>IFNA(VLOOKUP(L1151,'🙎‍♂️ Pasien'!G:V,2,FALSE),"")</f>
        <v>A9825122289</v>
      </c>
      <c r="N1151" s="103">
        <f>IFNA(VLOOKUP(L1151,'🙎‍♂️ Pasien'!G:L,3,FALSE),"")</f>
        <v>28</v>
      </c>
      <c r="O1151" s="104" t="str">
        <f>IFNA(VLOOKUP(L1151,'🙎‍♂️ Pasien'!G:V,6,FALSE),"")</f>
        <v>LAKI-LAKI</v>
      </c>
      <c r="P1151" s="104" t="str">
        <f>IFNA(VLOOKUP(L1151,'🙎‍♂️ Pasien'!G:V,12,FALSE),"")</f>
        <v>ISLAM</v>
      </c>
      <c r="Q1151" s="104" t="str">
        <f>IFNA(VLOOKUP(L1151:L1508,'🙎‍♂️ Pasien'!G:V,13,FALSE),"")</f>
        <v>DI BANDARA</v>
      </c>
      <c r="R1151" s="104" t="str">
        <f t="array" ref="R1151">ifna(xlookup(L1151,'🙎‍♂️ Pasien'!$G$5:$G1508,'🙎‍♂️ Pasien'!$T$5:$T1508),"")</f>
        <v>PINGGANG SAKIT NYERI SETELAH ANGKAT BEBAN, ENKLE KAKI NYERI KIRI KANAN SUDAH LAMA, DI PERGELANGAN TANGAN KIRI KANAN NYERI AKIBAT ANGKAT BEBAN,JEMPO TANGAN KIRI KESELEO</v>
      </c>
      <c r="S1151" s="104" t="str">
        <f t="array" ref="S1151">ifna(xlookup(L1151,'🙎‍♂️ Pasien'!$G$5:$G1508,'🙎‍♂️ Pasien'!$U$5:$U1508),"")</f>
        <v>GYM, JOGGING, SEPAK BOLA</v>
      </c>
      <c r="T1151" s="97" t="s">
        <v>59</v>
      </c>
      <c r="U1151" s="105" t="s">
        <v>60</v>
      </c>
      <c r="V1151" s="101"/>
      <c r="W1151" s="106" t="b">
        <v>1</v>
      </c>
      <c r="X1151" s="107"/>
      <c r="Y1151" s="108"/>
    </row>
    <row r="1152" ht="22.5" customHeight="1">
      <c r="A1152" s="96"/>
      <c r="B1152" s="97" t="s">
        <v>85</v>
      </c>
      <c r="C1152" s="98" t="str">
        <f t="array" ref="C1152">IFNA(XLOOKUP(J1152,'⚙️ Pengaturan'!$H$5:$H1508,'⚙️ Pengaturan'!$I$5:$I1508),"")</f>
        <v>TIM Y</v>
      </c>
      <c r="D1152" s="97" t="s">
        <v>86</v>
      </c>
      <c r="E1152" s="99">
        <v>45998.0</v>
      </c>
      <c r="F1152" s="100" t="str">
        <f t="shared" si="1"/>
        <v>2025</v>
      </c>
      <c r="G1152" s="100" t="str">
        <f t="shared" si="2"/>
        <v>12Des</v>
      </c>
      <c r="H1152" s="100" t="str">
        <f t="shared" si="3"/>
        <v>Minggu</v>
      </c>
      <c r="I1152" s="97" t="s">
        <v>99</v>
      </c>
      <c r="J1152" s="97" t="s">
        <v>88</v>
      </c>
      <c r="K1152" s="97" t="s">
        <v>63</v>
      </c>
      <c r="L1152" s="101" t="s">
        <v>277</v>
      </c>
      <c r="M1152" s="102" t="str">
        <f>IFNA(VLOOKUP(L1152,'🙎‍♂️ Pasien'!G:V,2,FALSE),"")</f>
        <v>Z8125047588</v>
      </c>
      <c r="N1152" s="103">
        <f>IFNA(VLOOKUP(L1152,'🙎‍♂️ Pasien'!G:L,3,FALSE),"")</f>
        <v>45</v>
      </c>
      <c r="O1152" s="104" t="str">
        <f>IFNA(VLOOKUP(L1152,'🙎‍♂️ Pasien'!G:V,6,FALSE),"")</f>
        <v>LAKI-LAKI</v>
      </c>
      <c r="P1152" s="104" t="str">
        <f>IFNA(VLOOKUP(L1152,'🙎‍♂️ Pasien'!G:V,12,FALSE),"")</f>
        <v>ISLAM</v>
      </c>
      <c r="Q1152" s="104" t="str">
        <f>IFNA(VLOOKUP(L1152:L1508,'🙎‍♂️ Pasien'!G:V,13,FALSE),"")</f>
        <v>WIRASWASYA</v>
      </c>
      <c r="R1152" s="104" t="str">
        <f t="array" ref="R1152">ifna(xlookup(L1152,'🙎‍♂️ Pasien'!$G$5:$G1508,'🙎‍♂️ Pasien'!$T$5:$T1508),"")</f>
        <v>SERING NYERI DIBAGIAN TENGKUK SEBELAH KIRI</v>
      </c>
      <c r="S1152" s="104" t="str">
        <f t="array" ref="S1152">ifna(xlookup(L1152,'🙎‍♂️ Pasien'!$G$5:$G1508,'🙎‍♂️ Pasien'!$U$5:$U1508),"")</f>
        <v>MANCING</v>
      </c>
      <c r="T1152" s="97" t="s">
        <v>59</v>
      </c>
      <c r="U1152" s="105">
        <v>2.0</v>
      </c>
      <c r="V1152" s="101"/>
      <c r="W1152" s="106" t="b">
        <v>1</v>
      </c>
      <c r="X1152" s="107"/>
      <c r="Y1152" s="108"/>
    </row>
    <row r="1153" ht="22.5" customHeight="1">
      <c r="A1153" s="96"/>
      <c r="B1153" s="97" t="s">
        <v>53</v>
      </c>
      <c r="C1153" s="98" t="str">
        <f t="array" ref="C1153">IFNA(XLOOKUP(J1153,'⚙️ Pengaturan'!$H$5:$H1508,'⚙️ Pengaturan'!$I$5:$I1508),"")</f>
        <v>TIM Y</v>
      </c>
      <c r="D1153" s="97" t="s">
        <v>54</v>
      </c>
      <c r="E1153" s="99">
        <v>45999.0</v>
      </c>
      <c r="F1153" s="100" t="str">
        <f t="shared" si="1"/>
        <v>2025</v>
      </c>
      <c r="G1153" s="100" t="str">
        <f t="shared" si="2"/>
        <v>12Des</v>
      </c>
      <c r="H1153" s="100" t="str">
        <f t="shared" si="3"/>
        <v>Senin</v>
      </c>
      <c r="I1153" s="97" t="s">
        <v>55</v>
      </c>
      <c r="J1153" s="97" t="s">
        <v>91</v>
      </c>
      <c r="K1153" s="97" t="s">
        <v>63</v>
      </c>
      <c r="L1153" s="101" t="s">
        <v>616</v>
      </c>
      <c r="M1153" s="102" t="str">
        <f>IFNA(VLOOKUP(L1153,'🙎‍♂️ Pasien'!G:V,2,FALSE),"")</f>
        <v>R6725050750</v>
      </c>
      <c r="N1153" s="103">
        <f>IFNA(VLOOKUP(L1153,'🙎‍♂️ Pasien'!G:L,3,FALSE),"")</f>
        <v>58</v>
      </c>
      <c r="O1153" s="104" t="str">
        <f>IFNA(VLOOKUP(L1153,'🙎‍♂️ Pasien'!G:V,6,FALSE),"")</f>
        <v>PEREMPUAN</v>
      </c>
      <c r="P1153" s="104" t="str">
        <f>IFNA(VLOOKUP(L1153,'🙎‍♂️ Pasien'!G:V,12,FALSE),"")</f>
        <v>ISLAM</v>
      </c>
      <c r="Q1153" s="104" t="str">
        <f>IFNA(VLOOKUP(L1153:L1508,'🙎‍♂️ Pasien'!G:V,13,FALSE),"")</f>
        <v>PNS</v>
      </c>
      <c r="R1153" s="104" t="str">
        <f t="array" ref="R1153">ifna(xlookup(L1153,'🙎‍♂️ Pasien'!$G$5:$G1508,'🙎‍♂️ Pasien'!$T$5:$T1508),"")</f>
        <v>CTS</v>
      </c>
      <c r="S1153" s="104" t="str">
        <f t="array" ref="S1153">ifna(xlookup(L1153,'🙎‍♂️ Pasien'!$G$5:$G1508,'🙎‍♂️ Pasien'!$U$5:$U1508),"")</f>
        <v>-</v>
      </c>
      <c r="T1153" s="97" t="s">
        <v>59</v>
      </c>
      <c r="U1153" s="105">
        <v>3.0</v>
      </c>
      <c r="V1153" s="101"/>
      <c r="W1153" s="106" t="b">
        <v>1</v>
      </c>
      <c r="X1153" s="107"/>
      <c r="Y1153" s="108"/>
    </row>
    <row r="1154" ht="22.5" customHeight="1">
      <c r="A1154" s="96"/>
      <c r="B1154" s="97" t="s">
        <v>53</v>
      </c>
      <c r="C1154" s="98" t="str">
        <f t="array" ref="C1154">IFNA(XLOOKUP(J1154,'⚙️ Pengaturan'!$H$5:$H1508,'⚙️ Pengaturan'!$I$5:$I1508),"")</f>
        <v>TIM Y</v>
      </c>
      <c r="D1154" s="97" t="s">
        <v>54</v>
      </c>
      <c r="E1154" s="99">
        <v>45999.0</v>
      </c>
      <c r="F1154" s="100" t="str">
        <f t="shared" si="1"/>
        <v>2025</v>
      </c>
      <c r="G1154" s="100" t="str">
        <f t="shared" si="2"/>
        <v>12Des</v>
      </c>
      <c r="H1154" s="100" t="str">
        <f t="shared" si="3"/>
        <v>Senin</v>
      </c>
      <c r="I1154" s="97" t="s">
        <v>65</v>
      </c>
      <c r="J1154" s="97" t="s">
        <v>91</v>
      </c>
      <c r="K1154" s="97" t="s">
        <v>63</v>
      </c>
      <c r="L1154" s="101" t="s">
        <v>573</v>
      </c>
      <c r="M1154" s="102" t="str">
        <f>IFNA(VLOOKUP(L1154,'🙎‍♂️ Pasien'!G:V,2,FALSE),"")</f>
        <v>D0725113899</v>
      </c>
      <c r="N1154" s="103">
        <f>IFNA(VLOOKUP(L1154,'🙎‍♂️ Pasien'!G:L,3,FALSE),"")</f>
        <v>18</v>
      </c>
      <c r="O1154" s="104" t="str">
        <f>IFNA(VLOOKUP(L1154,'🙎‍♂️ Pasien'!G:V,6,FALSE),"")</f>
        <v>PEREMPUAN</v>
      </c>
      <c r="P1154" s="104" t="str">
        <f>IFNA(VLOOKUP(L1154,'🙎‍♂️ Pasien'!G:V,12,FALSE),"")</f>
        <v>PROTESTAN</v>
      </c>
      <c r="Q1154" s="104" t="str">
        <f>IFNA(VLOOKUP(L1154:L1508,'🙎‍♂️ Pasien'!G:V,13,FALSE),"")</f>
        <v>MAHASISWA</v>
      </c>
      <c r="R1154" s="104" t="str">
        <f t="array" ref="R1154">ifna(xlookup(L1154,'🙎‍♂️ Pasien'!$G$5:$G1508,'🙎‍♂️ Pasien'!$T$5:$T1508),"")</f>
        <v>KAKI X</v>
      </c>
      <c r="S1154" s="104" t="str">
        <f t="array" ref="S1154">ifna(xlookup(L1154,'🙎‍♂️ Pasien'!$G$5:$G1508,'🙎‍♂️ Pasien'!$U$5:$U1508),"")</f>
        <v>LARI</v>
      </c>
      <c r="T1154" s="97" t="s">
        <v>59</v>
      </c>
      <c r="U1154" s="105">
        <v>5.0</v>
      </c>
      <c r="V1154" s="101"/>
      <c r="W1154" s="106" t="b">
        <v>1</v>
      </c>
      <c r="X1154" s="107"/>
      <c r="Y1154" s="108"/>
    </row>
    <row r="1155" ht="22.5" customHeight="1">
      <c r="A1155" s="96"/>
      <c r="B1155" s="97" t="s">
        <v>53</v>
      </c>
      <c r="C1155" s="98" t="str">
        <f t="array" ref="C1155">IFNA(XLOOKUP(J1155,'⚙️ Pengaturan'!$H$5:$H1508,'⚙️ Pengaturan'!$I$5:$I1508),"")</f>
        <v>TIM Y</v>
      </c>
      <c r="D1155" s="97" t="s">
        <v>54</v>
      </c>
      <c r="E1155" s="99">
        <v>45999.0</v>
      </c>
      <c r="F1155" s="100" t="str">
        <f t="shared" si="1"/>
        <v>2025</v>
      </c>
      <c r="G1155" s="100" t="str">
        <f t="shared" si="2"/>
        <v>12Des</v>
      </c>
      <c r="H1155" s="100" t="str">
        <f t="shared" si="3"/>
        <v>Senin</v>
      </c>
      <c r="I1155" s="97" t="s">
        <v>65</v>
      </c>
      <c r="J1155" s="97" t="s">
        <v>88</v>
      </c>
      <c r="K1155" s="97" t="s">
        <v>69</v>
      </c>
      <c r="L1155" s="101" t="s">
        <v>646</v>
      </c>
      <c r="M1155" s="102" t="str">
        <f>IFNA(VLOOKUP(L1155,'🙎‍♂️ Pasien'!G:V,2,FALSE),"")</f>
        <v>H6725049807</v>
      </c>
      <c r="N1155" s="103">
        <f>IFNA(VLOOKUP(L1155,'🙎‍♂️ Pasien'!G:L,3,FALSE),"")</f>
        <v>59</v>
      </c>
      <c r="O1155" s="104" t="str">
        <f>IFNA(VLOOKUP(L1155,'🙎‍♂️ Pasien'!G:V,6,FALSE),"")</f>
        <v>LAKI-LAKI</v>
      </c>
      <c r="P1155" s="104" t="str">
        <f>IFNA(VLOOKUP(L1155,'🙎‍♂️ Pasien'!G:V,12,FALSE),"")</f>
        <v>ISLAM</v>
      </c>
      <c r="Q1155" s="104" t="str">
        <f>IFNA(VLOOKUP(L1155:L1508,'🙎‍♂️ Pasien'!G:V,13,FALSE),"")</f>
        <v>PENSIUNAN PNS</v>
      </c>
      <c r="R1155" s="104" t="str">
        <f t="array" ref="R1155">ifna(xlookup(L1155,'🙎‍♂️ Pasien'!$G$5:$G1508,'🙎‍♂️ Pasien'!$T$5:$T1508),"")</f>
        <v>SUSAH BERJALAN</v>
      </c>
      <c r="S1155" s="104" t="str">
        <f t="array" ref="S1155">ifna(xlookup(L1155,'🙎‍♂️ Pasien'!$G$5:$G1508,'🙎‍♂️ Pasien'!$U$5:$U1508),"")</f>
        <v>JALAN2 BAWA MOTOR</v>
      </c>
      <c r="T1155" s="97" t="s">
        <v>67</v>
      </c>
      <c r="U1155" s="105" t="s">
        <v>60</v>
      </c>
      <c r="V1155" s="101" t="s">
        <v>274</v>
      </c>
      <c r="W1155" s="106" t="b">
        <v>1</v>
      </c>
      <c r="X1155" s="107"/>
      <c r="Y1155" s="108"/>
    </row>
    <row r="1156" ht="22.5" customHeight="1">
      <c r="A1156" s="96"/>
      <c r="B1156" s="97" t="s">
        <v>53</v>
      </c>
      <c r="C1156" s="98" t="str">
        <f t="array" ref="C1156">IFNA(XLOOKUP(J1156,'⚙️ Pengaturan'!$H$5:$H1508,'⚙️ Pengaturan'!$I$5:$I1508),"")</f>
        <v>TIM Y</v>
      </c>
      <c r="D1156" s="97" t="s">
        <v>54</v>
      </c>
      <c r="E1156" s="99">
        <v>45999.0</v>
      </c>
      <c r="F1156" s="100" t="str">
        <f t="shared" si="1"/>
        <v>2025</v>
      </c>
      <c r="G1156" s="100" t="str">
        <f t="shared" si="2"/>
        <v>12Des</v>
      </c>
      <c r="H1156" s="100" t="str">
        <f t="shared" si="3"/>
        <v>Senin</v>
      </c>
      <c r="I1156" s="97" t="s">
        <v>65</v>
      </c>
      <c r="J1156" s="97" t="s">
        <v>88</v>
      </c>
      <c r="K1156" s="97" t="s">
        <v>57</v>
      </c>
      <c r="L1156" s="101" t="s">
        <v>673</v>
      </c>
      <c r="M1156" s="102" t="str">
        <f>IFNA(VLOOKUP(L1156,'🙎‍♂️ Pasien'!G:V,2,FALSE),"")</f>
        <v>K8825128215</v>
      </c>
      <c r="N1156" s="103">
        <f>IFNA(VLOOKUP(L1156,'🙎‍♂️ Pasien'!G:L,3,FALSE),"")</f>
        <v>37</v>
      </c>
      <c r="O1156" s="104" t="str">
        <f>IFNA(VLOOKUP(L1156,'🙎‍♂️ Pasien'!G:V,6,FALSE),"")</f>
        <v>LAKI-LAKI</v>
      </c>
      <c r="P1156" s="104" t="str">
        <f>IFNA(VLOOKUP(L1156,'🙎‍♂️ Pasien'!G:V,12,FALSE),"")</f>
        <v>PROTESTAN</v>
      </c>
      <c r="Q1156" s="104" t="str">
        <f>IFNA(VLOOKUP(L1156:L1508,'🙎‍♂️ Pasien'!G:V,13,FALSE),"")</f>
        <v>PNS</v>
      </c>
      <c r="R1156" s="104" t="str">
        <f t="array" ref="R1156">ifna(xlookup(L1156,'🙎‍♂️ Pasien'!$G$5:$G1508,'🙎‍♂️ Pasien'!$T$5:$T1508),"")</f>
        <v>CIDERA OTOT PAHA</v>
      </c>
      <c r="S1156" s="104" t="str">
        <f t="array" ref="S1156">ifna(xlookup(L1156,'🙎‍♂️ Pasien'!$G$5:$G1508,'🙎‍♂️ Pasien'!$U$5:$U1508),"")</f>
        <v>LARI DAN SEPAKBOLA</v>
      </c>
      <c r="T1156" s="97" t="s">
        <v>59</v>
      </c>
      <c r="U1156" s="105" t="s">
        <v>60</v>
      </c>
      <c r="V1156" s="101"/>
      <c r="W1156" s="106" t="b">
        <v>1</v>
      </c>
      <c r="X1156" s="107"/>
      <c r="Y1156" s="108"/>
    </row>
    <row r="1157" ht="22.5" customHeight="1">
      <c r="A1157" s="96"/>
      <c r="B1157" s="97" t="s">
        <v>53</v>
      </c>
      <c r="C1157" s="98" t="str">
        <f t="array" ref="C1157">IFNA(XLOOKUP(J1157,'⚙️ Pengaturan'!$H$5:$H1508,'⚙️ Pengaturan'!$I$5:$I1508),"")</f>
        <v>TIM Y</v>
      </c>
      <c r="D1157" s="97" t="s">
        <v>54</v>
      </c>
      <c r="E1157" s="99">
        <v>45999.0</v>
      </c>
      <c r="F1157" s="100" t="str">
        <f t="shared" si="1"/>
        <v>2025</v>
      </c>
      <c r="G1157" s="100" t="str">
        <f t="shared" si="2"/>
        <v>12Des</v>
      </c>
      <c r="H1157" s="100" t="str">
        <f t="shared" si="3"/>
        <v>Senin</v>
      </c>
      <c r="I1157" s="97" t="s">
        <v>74</v>
      </c>
      <c r="J1157" s="97" t="s">
        <v>91</v>
      </c>
      <c r="K1157" s="97" t="s">
        <v>57</v>
      </c>
      <c r="L1157" s="101" t="s">
        <v>674</v>
      </c>
      <c r="M1157" s="102" t="str">
        <f>IFNA(VLOOKUP(L1157,'🙎‍♂️ Pasien'!G:V,2,FALSE),"")</f>
        <v>G0225127027</v>
      </c>
      <c r="N1157" s="103">
        <f>IFNA(VLOOKUP(L1157,'🙎‍♂️ Pasien'!G:L,3,FALSE),"")</f>
        <v>23</v>
      </c>
      <c r="O1157" s="104" t="str">
        <f>IFNA(VLOOKUP(L1157,'🙎‍♂️ Pasien'!G:V,6,FALSE),"")</f>
        <v>PEREMPUAN</v>
      </c>
      <c r="P1157" s="104" t="str">
        <f>IFNA(VLOOKUP(L1157,'🙎‍♂️ Pasien'!G:V,12,FALSE),"")</f>
        <v>BUDDHA</v>
      </c>
      <c r="Q1157" s="104" t="str">
        <f>IFNA(VLOOKUP(L1157:L1508,'🙎‍♂️ Pasien'!G:V,13,FALSE),"")</f>
        <v>KARYAWAN SWASTA</v>
      </c>
      <c r="R1157" s="104" t="str">
        <f t="array" ref="R1157">ifna(xlookup(L1157,'🙎‍♂️ Pasien'!$G$5:$G1508,'🙎‍♂️ Pasien'!$T$5:$T1508),"")</f>
        <v>INGIN CEK SKOLIOSIS</v>
      </c>
      <c r="S1157" s="104" t="str">
        <f t="array" ref="S1157">ifna(xlookup(L1157,'🙎‍♂️ Pasien'!$G$5:$G1508,'🙎‍♂️ Pasien'!$U$5:$U1508),"")</f>
        <v>KERJA DAN OLAHRAGA (GYM)</v>
      </c>
      <c r="T1157" s="97" t="s">
        <v>59</v>
      </c>
      <c r="U1157" s="105" t="s">
        <v>60</v>
      </c>
      <c r="V1157" s="101"/>
      <c r="W1157" s="106" t="b">
        <v>1</v>
      </c>
      <c r="X1157" s="107"/>
      <c r="Y1157" s="108"/>
    </row>
    <row r="1158" ht="22.5" customHeight="1">
      <c r="A1158" s="96"/>
      <c r="B1158" s="97" t="s">
        <v>53</v>
      </c>
      <c r="C1158" s="98" t="str">
        <f t="array" ref="C1158">IFNA(XLOOKUP(J1158,'⚙️ Pengaturan'!$H$5:$H1508,'⚙️ Pengaturan'!$I$5:$I1508),"")</f>
        <v>TIM Y</v>
      </c>
      <c r="D1158" s="97" t="s">
        <v>54</v>
      </c>
      <c r="E1158" s="99">
        <v>45999.0</v>
      </c>
      <c r="F1158" s="100" t="str">
        <f t="shared" si="1"/>
        <v>2025</v>
      </c>
      <c r="G1158" s="100" t="str">
        <f t="shared" si="2"/>
        <v>12Des</v>
      </c>
      <c r="H1158" s="100" t="str">
        <f t="shared" si="3"/>
        <v>Senin</v>
      </c>
      <c r="I1158" s="97" t="s">
        <v>76</v>
      </c>
      <c r="J1158" s="97" t="s">
        <v>107</v>
      </c>
      <c r="K1158" s="97" t="s">
        <v>57</v>
      </c>
      <c r="L1158" s="101" t="s">
        <v>675</v>
      </c>
      <c r="M1158" s="102" t="str">
        <f>IFNA(VLOOKUP(L1158,'🙎‍♂️ Pasien'!G:V,2,FALSE),"")</f>
        <v>A0325126212</v>
      </c>
      <c r="N1158" s="103">
        <f>IFNA(VLOOKUP(L1158,'🙎‍♂️ Pasien'!G:L,3,FALSE),"")</f>
        <v>22</v>
      </c>
      <c r="O1158" s="104" t="str">
        <f>IFNA(VLOOKUP(L1158,'🙎‍♂️ Pasien'!G:V,6,FALSE),"")</f>
        <v>PEREMPUAN</v>
      </c>
      <c r="P1158" s="104" t="str">
        <f>IFNA(VLOOKUP(L1158,'🙎‍♂️ Pasien'!G:V,12,FALSE),"")</f>
        <v>PROTESTAN</v>
      </c>
      <c r="Q1158" s="104" t="str">
        <f>IFNA(VLOOKUP(L1158:L1508,'🙎‍♂️ Pasien'!G:V,13,FALSE),"")</f>
        <v>SWASTA</v>
      </c>
      <c r="R1158" s="104" t="str">
        <f t="array" ref="R1158">ifna(xlookup(L1158,'🙎‍♂️ Pasien'!$G$5:$G1508,'🙎‍♂️ Pasien'!$T$5:$T1508),"")</f>
        <v>KEKNYA SKOLIOSIS</v>
      </c>
      <c r="S1158" s="104" t="str">
        <f t="array" ref="S1158">ifna(xlookup(L1158,'🙎‍♂️ Pasien'!$G$5:$G1508,'🙎‍♂️ Pasien'!$U$5:$U1508),"")</f>
        <v>ANGKAT BEBAN</v>
      </c>
      <c r="T1158" s="97" t="s">
        <v>59</v>
      </c>
      <c r="U1158" s="105" t="s">
        <v>60</v>
      </c>
      <c r="V1158" s="101"/>
      <c r="W1158" s="106" t="b">
        <v>1</v>
      </c>
      <c r="X1158" s="107"/>
      <c r="Y1158" s="108"/>
    </row>
    <row r="1159" ht="22.5" customHeight="1">
      <c r="A1159" s="96"/>
      <c r="B1159" s="97" t="s">
        <v>53</v>
      </c>
      <c r="C1159" s="98" t="str">
        <f t="array" ref="C1159">IFNA(XLOOKUP(J1159,'⚙️ Pengaturan'!$H$5:$H1508,'⚙️ Pengaturan'!$I$5:$I1508),"")</f>
        <v>TIM Y</v>
      </c>
      <c r="D1159" s="97" t="s">
        <v>54</v>
      </c>
      <c r="E1159" s="99">
        <v>45999.0</v>
      </c>
      <c r="F1159" s="100" t="str">
        <f t="shared" si="1"/>
        <v>2025</v>
      </c>
      <c r="G1159" s="100" t="str">
        <f t="shared" si="2"/>
        <v>12Des</v>
      </c>
      <c r="H1159" s="100" t="str">
        <f t="shared" si="3"/>
        <v>Senin</v>
      </c>
      <c r="I1159" s="97" t="s">
        <v>76</v>
      </c>
      <c r="J1159" s="97" t="s">
        <v>88</v>
      </c>
      <c r="K1159" s="97" t="s">
        <v>57</v>
      </c>
      <c r="L1159" s="101" t="s">
        <v>676</v>
      </c>
      <c r="M1159" s="102" t="str">
        <f>IFNA(VLOOKUP(L1159,'🙎‍♂️ Pasien'!G:V,2,FALSE),"")</f>
        <v>N8325126783</v>
      </c>
      <c r="N1159" s="103">
        <f>IFNA(VLOOKUP(L1159,'🙎‍♂️ Pasien'!G:L,3,FALSE),"")</f>
        <v>42</v>
      </c>
      <c r="O1159" s="104" t="str">
        <f>IFNA(VLOOKUP(L1159,'🙎‍♂️ Pasien'!G:V,6,FALSE),"")</f>
        <v>LAKI-LAKI</v>
      </c>
      <c r="P1159" s="104" t="str">
        <f>IFNA(VLOOKUP(L1159,'🙎‍♂️ Pasien'!G:V,12,FALSE),"")</f>
        <v>ISLAM</v>
      </c>
      <c r="Q1159" s="104" t="str">
        <f>IFNA(VLOOKUP(L1159:L1508,'🙎‍♂️ Pasien'!G:V,13,FALSE),"")</f>
        <v>PEGAWAI SWASTA</v>
      </c>
      <c r="R1159" s="104" t="str">
        <f t="array" ref="R1159">ifna(xlookup(L1159,'🙎‍♂️ Pasien'!$G$5:$G1508,'🙎‍♂️ Pasien'!$T$5:$T1508),"")</f>
        <v>NYERI LUTUT</v>
      </c>
      <c r="S1159" s="104" t="str">
        <f t="array" ref="S1159">ifna(xlookup(L1159,'🙎‍♂️ Pasien'!$G$5:$G1508,'🙎‍♂️ Pasien'!$U$5:$U1508),"")</f>
        <v>LARI, BADMINTON</v>
      </c>
      <c r="T1159" s="97" t="s">
        <v>67</v>
      </c>
      <c r="U1159" s="105" t="s">
        <v>60</v>
      </c>
      <c r="V1159" s="101" t="s">
        <v>677</v>
      </c>
      <c r="W1159" s="106" t="b">
        <v>1</v>
      </c>
      <c r="X1159" s="107"/>
      <c r="Y1159" s="108"/>
    </row>
    <row r="1160" ht="22.5" customHeight="1">
      <c r="A1160" s="96"/>
      <c r="B1160" s="97" t="s">
        <v>53</v>
      </c>
      <c r="C1160" s="98" t="str">
        <f t="array" ref="C1160">IFNA(XLOOKUP(J1160,'⚙️ Pengaturan'!$H$5:$H1508,'⚙️ Pengaturan'!$I$5:$I1508),"")</f>
        <v>MANAJEMEN</v>
      </c>
      <c r="D1160" s="97" t="s">
        <v>54</v>
      </c>
      <c r="E1160" s="99">
        <v>45999.0</v>
      </c>
      <c r="F1160" s="100" t="str">
        <f t="shared" si="1"/>
        <v>2025</v>
      </c>
      <c r="G1160" s="100" t="str">
        <f t="shared" si="2"/>
        <v>12Des</v>
      </c>
      <c r="H1160" s="100" t="str">
        <f t="shared" si="3"/>
        <v>Senin</v>
      </c>
      <c r="I1160" s="97" t="s">
        <v>76</v>
      </c>
      <c r="J1160" s="97" t="s">
        <v>101</v>
      </c>
      <c r="K1160" s="97" t="s">
        <v>63</v>
      </c>
      <c r="L1160" s="101" t="s">
        <v>534</v>
      </c>
      <c r="M1160" s="102" t="str">
        <f>IFNA(VLOOKUP(L1160,'🙎‍♂️ Pasien'!G:V,2,FALSE),"")</f>
        <v>R6925118000</v>
      </c>
      <c r="N1160" s="103">
        <f>IFNA(VLOOKUP(L1160,'🙎‍♂️ Pasien'!G:L,3,FALSE),"")</f>
        <v>57</v>
      </c>
      <c r="O1160" s="104" t="str">
        <f>IFNA(VLOOKUP(L1160,'🙎‍♂️ Pasien'!G:V,6,FALSE),"")</f>
        <v>PEREMPUAN</v>
      </c>
      <c r="P1160" s="104" t="str">
        <f>IFNA(VLOOKUP(L1160,'🙎‍♂️ Pasien'!G:V,12,FALSE),"")</f>
        <v>KATOLIK</v>
      </c>
      <c r="Q1160" s="104" t="str">
        <f>IFNA(VLOOKUP(L1160:L1508,'🙎‍♂️ Pasien'!G:V,13,FALSE),"")</f>
        <v>RUMAH TANGGA</v>
      </c>
      <c r="R1160" s="104" t="str">
        <f t="array" ref="R1160">ifna(xlookup(L1160,'🙎‍♂️ Pasien'!$G$5:$G1508,'🙎‍♂️ Pasien'!$T$5:$T1508),"")</f>
        <v>KAKI SAKIT</v>
      </c>
      <c r="S1160" s="104" t="str">
        <f t="array" ref="S1160">ifna(xlookup(L1160,'🙎‍♂️ Pasien'!$G$5:$G1508,'🙎‍♂️ Pasien'!$U$5:$U1508),"")</f>
        <v>-</v>
      </c>
      <c r="T1160" s="97" t="s">
        <v>59</v>
      </c>
      <c r="U1160" s="105">
        <v>5.0</v>
      </c>
      <c r="V1160" s="101"/>
      <c r="W1160" s="106" t="b">
        <v>1</v>
      </c>
      <c r="X1160" s="107"/>
      <c r="Y1160" s="108"/>
    </row>
    <row r="1161" ht="22.5" customHeight="1">
      <c r="A1161" s="96"/>
      <c r="B1161" s="97" t="s">
        <v>85</v>
      </c>
      <c r="C1161" s="98" t="str">
        <f t="array" ref="C1161">IFNA(XLOOKUP(J1161,'⚙️ Pengaturan'!$H$5:$H1508,'⚙️ Pengaturan'!$I$5:$I1508),"")</f>
        <v>TIM A</v>
      </c>
      <c r="D1161" s="97" t="s">
        <v>86</v>
      </c>
      <c r="E1161" s="99">
        <v>45999.0</v>
      </c>
      <c r="F1161" s="100" t="str">
        <f t="shared" si="1"/>
        <v>2025</v>
      </c>
      <c r="G1161" s="100" t="str">
        <f t="shared" si="2"/>
        <v>12Des</v>
      </c>
      <c r="H1161" s="100" t="str">
        <f t="shared" si="3"/>
        <v>Senin</v>
      </c>
      <c r="I1161" s="97" t="s">
        <v>87</v>
      </c>
      <c r="J1161" s="97" t="s">
        <v>79</v>
      </c>
      <c r="K1161" s="97" t="s">
        <v>63</v>
      </c>
      <c r="L1161" s="101" t="s">
        <v>257</v>
      </c>
      <c r="M1161" s="102" t="str">
        <f>IFNA(VLOOKUP(L1161,'🙎‍♂️ Pasien'!G:V,2,FALSE),"")</f>
        <v>A1025102304</v>
      </c>
      <c r="N1161" s="103">
        <f>IFNA(VLOOKUP(L1161,'🙎‍♂️ Pasien'!G:L,3,FALSE),"")</f>
        <v>16</v>
      </c>
      <c r="O1161" s="104" t="str">
        <f>IFNA(VLOOKUP(L1161,'🙎‍♂️ Pasien'!G:V,6,FALSE),"")</f>
        <v>LAKI-LAKI</v>
      </c>
      <c r="P1161" s="104" t="str">
        <f>IFNA(VLOOKUP(L1161,'🙎‍♂️ Pasien'!G:V,12,FALSE),"")</f>
        <v>PROTESTAN</v>
      </c>
      <c r="Q1161" s="104" t="str">
        <f>IFNA(VLOOKUP(L1161:L1508,'🙎‍♂️ Pasien'!G:V,13,FALSE),"")</f>
        <v>PELAJAR</v>
      </c>
      <c r="R1161" s="104" t="str">
        <f t="array" ref="R1161">ifna(xlookup(L1161,'🙎‍♂️ Pasien'!$G$5:$G1508,'🙎‍♂️ Pasien'!$T$5:$T1508),"")</f>
        <v>NYERI SENDI KAKI</v>
      </c>
      <c r="S1161" s="104" t="str">
        <f t="array" ref="S1161">ifna(xlookup(L1161,'🙎‍♂️ Pasien'!$G$5:$G1508,'🙎‍♂️ Pasien'!$U$5:$U1508),"")</f>
        <v>OLAHRAGA, NAIK TURUN TANGGA</v>
      </c>
      <c r="T1161" s="97" t="s">
        <v>67</v>
      </c>
      <c r="U1161" s="105">
        <v>5.0</v>
      </c>
      <c r="V1161" s="101" t="s">
        <v>212</v>
      </c>
      <c r="W1161" s="106" t="b">
        <v>1</v>
      </c>
      <c r="X1161" s="107"/>
      <c r="Y1161" s="108"/>
    </row>
    <row r="1162" ht="22.5" customHeight="1">
      <c r="A1162" s="96"/>
      <c r="B1162" s="97" t="s">
        <v>85</v>
      </c>
      <c r="C1162" s="98" t="str">
        <f t="array" ref="C1162">IFNA(XLOOKUP(J1162,'⚙️ Pengaturan'!$H$5:$H1508,'⚙️ Pengaturan'!$I$5:$I1508),"")</f>
        <v>TIM Y</v>
      </c>
      <c r="D1162" s="97" t="s">
        <v>86</v>
      </c>
      <c r="E1162" s="99">
        <v>45999.0</v>
      </c>
      <c r="F1162" s="100" t="str">
        <f t="shared" si="1"/>
        <v>2025</v>
      </c>
      <c r="G1162" s="100" t="str">
        <f t="shared" si="2"/>
        <v>12Des</v>
      </c>
      <c r="H1162" s="100" t="str">
        <f t="shared" si="3"/>
        <v>Senin</v>
      </c>
      <c r="I1162" s="97" t="s">
        <v>87</v>
      </c>
      <c r="J1162" s="97" t="s">
        <v>56</v>
      </c>
      <c r="K1162" s="97" t="s">
        <v>63</v>
      </c>
      <c r="L1162" s="101" t="s">
        <v>119</v>
      </c>
      <c r="M1162" s="102" t="str">
        <f>IFNA(VLOOKUP(L1162,'🙎‍♂️ Pasien'!G:V,2,FALSE),"")</f>
        <v>H4623015667</v>
      </c>
      <c r="N1162" s="103">
        <f>IFNA(VLOOKUP(L1162,'🙎‍♂️ Pasien'!G:L,3,FALSE),"")</f>
        <v>80</v>
      </c>
      <c r="O1162" s="104" t="str">
        <f>IFNA(VLOOKUP(L1162,'🙎‍♂️ Pasien'!G:V,6,FALSE),"")</f>
        <v>LAKI-LAKI</v>
      </c>
      <c r="P1162" s="104" t="str">
        <f>IFNA(VLOOKUP(L1162,'🙎‍♂️ Pasien'!G:V,12,FALSE),"")</f>
        <v>ISLAM</v>
      </c>
      <c r="Q1162" s="104" t="str">
        <f>IFNA(VLOOKUP(L1162:L1508,'🙎‍♂️ Pasien'!G:V,13,FALSE),"")</f>
        <v>PENSIUN</v>
      </c>
      <c r="R1162" s="104" t="str">
        <f t="array" ref="R1162">ifna(xlookup(L1162,'🙎‍♂️ Pasien'!$G$5:$G1508,'🙎‍♂️ Pasien'!$T$5:$T1508),"")</f>
        <v>STROKE</v>
      </c>
      <c r="S1162" s="104" t="str">
        <f t="array" ref="S1162">ifna(xlookup(L1162,'🙎‍♂️ Pasien'!$G$5:$G1508,'🙎‍♂️ Pasien'!$U$5:$U1508),"")</f>
        <v/>
      </c>
      <c r="T1162" s="97" t="s">
        <v>59</v>
      </c>
      <c r="U1162" s="105">
        <v>5.0</v>
      </c>
      <c r="V1162" s="101"/>
      <c r="W1162" s="106" t="b">
        <v>1</v>
      </c>
      <c r="X1162" s="107"/>
      <c r="Y1162" s="108"/>
    </row>
    <row r="1163" ht="22.5" customHeight="1">
      <c r="A1163" s="96"/>
      <c r="B1163" s="97" t="s">
        <v>85</v>
      </c>
      <c r="C1163" s="98" t="str">
        <f t="array" ref="C1163">IFNA(XLOOKUP(J1163,'⚙️ Pengaturan'!$H$5:$H1508,'⚙️ Pengaturan'!$I$5:$I1508),"")</f>
        <v>TIM A</v>
      </c>
      <c r="D1163" s="97" t="s">
        <v>86</v>
      </c>
      <c r="E1163" s="99">
        <v>45999.0</v>
      </c>
      <c r="F1163" s="100" t="str">
        <f t="shared" si="1"/>
        <v>2025</v>
      </c>
      <c r="G1163" s="100" t="str">
        <f t="shared" si="2"/>
        <v>12Des</v>
      </c>
      <c r="H1163" s="100" t="str">
        <f t="shared" si="3"/>
        <v>Senin</v>
      </c>
      <c r="I1163" s="97" t="s">
        <v>93</v>
      </c>
      <c r="J1163" s="97" t="s">
        <v>72</v>
      </c>
      <c r="K1163" s="97" t="s">
        <v>63</v>
      </c>
      <c r="L1163" s="101" t="s">
        <v>129</v>
      </c>
      <c r="M1163" s="102" t="str">
        <f>IFNA(VLOOKUP(L1163,'🙎‍♂️ Pasien'!G:V,2,FALSE),"")</f>
        <v>D1025091558</v>
      </c>
      <c r="N1163" s="103">
        <f>IFNA(VLOOKUP(L1163,'🙎‍♂️ Pasien'!G:L,3,FALSE),"")</f>
        <v>16</v>
      </c>
      <c r="O1163" s="104" t="str">
        <f>IFNA(VLOOKUP(L1163,'🙎‍♂️ Pasien'!G:V,6,FALSE),"")</f>
        <v>LAKI-LAKI</v>
      </c>
      <c r="P1163" s="104" t="str">
        <f>IFNA(VLOOKUP(L1163,'🙎‍♂️ Pasien'!G:V,12,FALSE),"")</f>
        <v>PROTESTAN</v>
      </c>
      <c r="Q1163" s="104" t="str">
        <f>IFNA(VLOOKUP(L1163:L1508,'🙎‍♂️ Pasien'!G:V,13,FALSE),"")</f>
        <v>MASI SEKOLAH</v>
      </c>
      <c r="R1163" s="104" t="str">
        <f t="array" ref="R1163">ifna(xlookup(L1163,'🙎‍♂️ Pasien'!$G$5:$G1508,'🙎‍♂️ Pasien'!$T$5:$T1508),"")</f>
        <v>SAKIT DI BAGIAN LUTUT</v>
      </c>
      <c r="S1163" s="104" t="str">
        <f t="array" ref="S1163">ifna(xlookup(L1163,'🙎‍♂️ Pasien'!$G$5:$G1508,'🙎‍♂️ Pasien'!$U$5:$U1508),"")</f>
        <v>BASKET</v>
      </c>
      <c r="T1163" s="97" t="s">
        <v>59</v>
      </c>
      <c r="U1163" s="105">
        <v>2.0</v>
      </c>
      <c r="V1163" s="101"/>
      <c r="W1163" s="106" t="b">
        <v>1</v>
      </c>
      <c r="X1163" s="107"/>
      <c r="Y1163" s="108"/>
    </row>
    <row r="1164" ht="22.5" customHeight="1">
      <c r="A1164" s="96"/>
      <c r="B1164" s="97" t="s">
        <v>85</v>
      </c>
      <c r="C1164" s="98" t="str">
        <f t="array" ref="C1164">IFNA(XLOOKUP(J1164,'⚙️ Pengaturan'!$H$5:$H1508,'⚙️ Pengaturan'!$I$5:$I1508),"")</f>
        <v>TIM Y</v>
      </c>
      <c r="D1164" s="97" t="s">
        <v>86</v>
      </c>
      <c r="E1164" s="99">
        <v>45999.0</v>
      </c>
      <c r="F1164" s="100" t="str">
        <f t="shared" si="1"/>
        <v>2025</v>
      </c>
      <c r="G1164" s="100" t="str">
        <f t="shared" si="2"/>
        <v>12Des</v>
      </c>
      <c r="H1164" s="100" t="str">
        <f t="shared" si="3"/>
        <v>Senin</v>
      </c>
      <c r="I1164" s="97" t="s">
        <v>93</v>
      </c>
      <c r="J1164" s="97" t="s">
        <v>56</v>
      </c>
      <c r="K1164" s="97" t="s">
        <v>135</v>
      </c>
      <c r="L1164" s="101" t="s">
        <v>561</v>
      </c>
      <c r="M1164" s="102" t="str">
        <f>IFNA(VLOOKUP(L1164,'🙎‍♂️ Pasien'!G:V,2,FALSE),"")</f>
        <v>S7325119020</v>
      </c>
      <c r="N1164" s="103">
        <f>IFNA(VLOOKUP(L1164,'🙎‍♂️ Pasien'!G:L,3,FALSE),"")</f>
        <v>52</v>
      </c>
      <c r="O1164" s="104" t="str">
        <f>IFNA(VLOOKUP(L1164,'🙎‍♂️ Pasien'!G:V,6,FALSE),"")</f>
        <v>LAKI-LAKI</v>
      </c>
      <c r="P1164" s="104" t="str">
        <f>IFNA(VLOOKUP(L1164,'🙎‍♂️ Pasien'!G:V,12,FALSE),"")</f>
        <v>ISLAM</v>
      </c>
      <c r="Q1164" s="104" t="str">
        <f>IFNA(VLOOKUP(L1164:L1508,'🙎‍♂️ Pasien'!G:V,13,FALSE),"")</f>
        <v>TIDAK BEKERJA</v>
      </c>
      <c r="R1164" s="104" t="str">
        <f t="array" ref="R1164">ifna(xlookup(L1164,'🙎‍♂️ Pasien'!$G$5:$G1508,'🙎‍♂️ Pasien'!$T$5:$T1508),"")</f>
        <v>TANGAN KAKI SEBELAH KANAN TIDAK BISA BERGERAK</v>
      </c>
      <c r="S1164" s="104" t="str">
        <f t="array" ref="S1164">ifna(xlookup(L1164,'🙎‍♂️ Pasien'!$G$5:$G1508,'🙎‍♂️ Pasien'!$U$5:$U1508),"")</f>
        <v>-</v>
      </c>
      <c r="T1164" s="97" t="s">
        <v>67</v>
      </c>
      <c r="U1164" s="105" t="s">
        <v>60</v>
      </c>
      <c r="V1164" s="101" t="s">
        <v>677</v>
      </c>
      <c r="W1164" s="106" t="b">
        <v>1</v>
      </c>
      <c r="X1164" s="107"/>
      <c r="Y1164" s="108"/>
    </row>
    <row r="1165" ht="22.5" customHeight="1">
      <c r="A1165" s="96"/>
      <c r="B1165" s="97" t="s">
        <v>85</v>
      </c>
      <c r="C1165" s="98" t="str">
        <f t="array" ref="C1165">IFNA(XLOOKUP(J1165,'⚙️ Pengaturan'!$H$5:$H1508,'⚙️ Pengaturan'!$I$5:$I1508),"")</f>
        <v>TIM Y</v>
      </c>
      <c r="D1165" s="97" t="s">
        <v>86</v>
      </c>
      <c r="E1165" s="99">
        <v>45999.0</v>
      </c>
      <c r="F1165" s="100" t="str">
        <f t="shared" si="1"/>
        <v>2025</v>
      </c>
      <c r="G1165" s="100" t="str">
        <f t="shared" si="2"/>
        <v>12Des</v>
      </c>
      <c r="H1165" s="100" t="str">
        <f t="shared" si="3"/>
        <v>Senin</v>
      </c>
      <c r="I1165" s="97" t="s">
        <v>95</v>
      </c>
      <c r="J1165" s="97" t="s">
        <v>56</v>
      </c>
      <c r="K1165" s="97" t="s">
        <v>63</v>
      </c>
      <c r="L1165" s="101" t="s">
        <v>613</v>
      </c>
      <c r="M1165" s="102" t="str">
        <f>IFNA(VLOOKUP(L1165,'🙎‍♂️ Pasien'!G:V,2,FALSE),"")</f>
        <v>A9625081247</v>
      </c>
      <c r="N1165" s="103">
        <f>IFNA(VLOOKUP(L1165,'🙎‍♂️ Pasien'!G:L,3,FALSE),"")</f>
        <v>30</v>
      </c>
      <c r="O1165" s="104" t="str">
        <f>IFNA(VLOOKUP(L1165,'🙎‍♂️ Pasien'!G:V,6,FALSE),"")</f>
        <v>LAKI-LAKI</v>
      </c>
      <c r="P1165" s="104" t="str">
        <f>IFNA(VLOOKUP(L1165,'🙎‍♂️ Pasien'!G:V,12,FALSE),"")</f>
        <v>ISLAM</v>
      </c>
      <c r="Q1165" s="104" t="str">
        <f>IFNA(VLOOKUP(L1165:L1508,'🙎‍♂️ Pasien'!G:V,13,FALSE),"")</f>
        <v>PPPK</v>
      </c>
      <c r="R1165" s="104" t="str">
        <f t="array" ref="R1165">ifna(xlookup(L1165,'🙎‍♂️ Pasien'!$G$5:$G1508,'🙎‍♂️ Pasien'!$T$5:$T1508),"")</f>
        <v>LUTUT BENGKAK, MENISCUS</v>
      </c>
      <c r="S1165" s="104" t="str">
        <f t="array" ref="S1165">ifna(xlookup(L1165,'🙎‍♂️ Pasien'!$G$5:$G1508,'🙎‍♂️ Pasien'!$U$5:$U1508),"")</f>
        <v>FUTSAL, MINISOCCER</v>
      </c>
      <c r="T1165" s="97" t="s">
        <v>67</v>
      </c>
      <c r="U1165" s="105">
        <v>4.0</v>
      </c>
      <c r="V1165" s="101" t="s">
        <v>343</v>
      </c>
      <c r="W1165" s="106" t="b">
        <v>1</v>
      </c>
      <c r="X1165" s="107"/>
      <c r="Y1165" s="108"/>
    </row>
    <row r="1166" ht="22.5" customHeight="1">
      <c r="A1166" s="96"/>
      <c r="B1166" s="97" t="s">
        <v>85</v>
      </c>
      <c r="C1166" s="98" t="str">
        <f t="array" ref="C1166">IFNA(XLOOKUP(J1166,'⚙️ Pengaturan'!$H$5:$H1508,'⚙️ Pengaturan'!$I$5:$I1508),"")</f>
        <v>TIM A</v>
      </c>
      <c r="D1166" s="97" t="s">
        <v>86</v>
      </c>
      <c r="E1166" s="99">
        <v>45999.0</v>
      </c>
      <c r="F1166" s="100" t="str">
        <f t="shared" si="1"/>
        <v>2025</v>
      </c>
      <c r="G1166" s="100" t="str">
        <f t="shared" si="2"/>
        <v>12Des</v>
      </c>
      <c r="H1166" s="100" t="str">
        <f t="shared" si="3"/>
        <v>Senin</v>
      </c>
      <c r="I1166" s="97" t="s">
        <v>95</v>
      </c>
      <c r="J1166" s="97" t="s">
        <v>79</v>
      </c>
      <c r="K1166" s="97" t="s">
        <v>69</v>
      </c>
      <c r="L1166" s="101" t="s">
        <v>585</v>
      </c>
      <c r="M1166" s="102" t="str">
        <f>IFNA(VLOOKUP(L1166,'🙎‍♂️ Pasien'!G:V,2,FALSE),"")</f>
        <v>I0025112738</v>
      </c>
      <c r="N1166" s="103">
        <f>IFNA(VLOOKUP(L1166,'🙎‍♂️ Pasien'!G:L,3,FALSE),"")</f>
        <v>25</v>
      </c>
      <c r="O1166" s="104" t="str">
        <f>IFNA(VLOOKUP(L1166,'🙎‍♂️ Pasien'!G:V,6,FALSE),"")</f>
        <v>PEREMPUAN</v>
      </c>
      <c r="P1166" s="104" t="str">
        <f>IFNA(VLOOKUP(L1166,'🙎‍♂️ Pasien'!G:V,12,FALSE),"")</f>
        <v>ISLAM</v>
      </c>
      <c r="Q1166" s="104" t="str">
        <f>IFNA(VLOOKUP(L1166:L1508,'🙎‍♂️ Pasien'!G:V,13,FALSE),"")</f>
        <v>-</v>
      </c>
      <c r="R1166" s="104" t="str">
        <f t="array" ref="R1166">ifna(xlookup(L1166,'🙎‍♂️ Pasien'!$G$5:$G1508,'🙎‍♂️ Pasien'!$T$5:$T1508),"")</f>
        <v>LUTUT</v>
      </c>
      <c r="S1166" s="104" t="str">
        <f t="array" ref="S1166">ifna(xlookup(L1166,'🙎‍♂️ Pasien'!$G$5:$G1508,'🙎‍♂️ Pasien'!$U$5:$U1508),"")</f>
        <v>-</v>
      </c>
      <c r="T1166" s="97" t="s">
        <v>67</v>
      </c>
      <c r="U1166" s="105" t="s">
        <v>60</v>
      </c>
      <c r="V1166" s="101" t="s">
        <v>343</v>
      </c>
      <c r="W1166" s="106" t="b">
        <v>1</v>
      </c>
      <c r="X1166" s="107"/>
      <c r="Y1166" s="108"/>
    </row>
    <row r="1167" ht="22.5" customHeight="1">
      <c r="A1167" s="96"/>
      <c r="B1167" s="97" t="s">
        <v>85</v>
      </c>
      <c r="C1167" s="98" t="str">
        <f t="array" ref="C1167">IFNA(XLOOKUP(J1167,'⚙️ Pengaturan'!$H$5:$H1508,'⚙️ Pengaturan'!$I$5:$I1508),"")</f>
        <v>TIM A</v>
      </c>
      <c r="D1167" s="97" t="s">
        <v>86</v>
      </c>
      <c r="E1167" s="99">
        <v>45999.0</v>
      </c>
      <c r="F1167" s="100" t="str">
        <f t="shared" si="1"/>
        <v>2025</v>
      </c>
      <c r="G1167" s="100" t="str">
        <f t="shared" si="2"/>
        <v>12Des</v>
      </c>
      <c r="H1167" s="100" t="str">
        <f t="shared" si="3"/>
        <v>Senin</v>
      </c>
      <c r="I1167" s="97" t="s">
        <v>95</v>
      </c>
      <c r="J1167" s="97" t="s">
        <v>72</v>
      </c>
      <c r="K1167" s="97" t="s">
        <v>63</v>
      </c>
      <c r="L1167" s="101" t="s">
        <v>238</v>
      </c>
      <c r="M1167" s="102" t="str">
        <f>IFNA(VLOOKUP(L1167,'🙎‍♂️ Pasien'!G:V,2,FALSE),"")</f>
        <v>Y9524111515</v>
      </c>
      <c r="N1167" s="103">
        <f>IFNA(VLOOKUP(L1167,'🙎‍♂️ Pasien'!G:L,3,FALSE),"")</f>
        <v>31</v>
      </c>
      <c r="O1167" s="104" t="str">
        <f>IFNA(VLOOKUP(L1167,'🙎‍♂️ Pasien'!G:V,6,FALSE),"")</f>
        <v>PEREMPUAN</v>
      </c>
      <c r="P1167" s="104" t="str">
        <f>IFNA(VLOOKUP(L1167,'🙎‍♂️ Pasien'!G:V,12,FALSE),"")</f>
        <v>BUDDHA</v>
      </c>
      <c r="Q1167" s="104" t="str">
        <f>IFNA(VLOOKUP(L1167:L1508,'🙎‍♂️ Pasien'!G:V,13,FALSE),"")</f>
        <v>WIRASWASTA</v>
      </c>
      <c r="R1167" s="104" t="str">
        <f t="array" ref="R1167">ifna(xlookup(L1167,'🙎‍♂️ Pasien'!$G$5:$G1508,'🙎‍♂️ Pasien'!$T$5:$T1508),"")</f>
        <v>LOWER BACK PAIN</v>
      </c>
      <c r="S1167" s="104" t="str">
        <f t="array" ref="S1167">ifna(xlookup(L1167,'🙎‍♂️ Pasien'!$G$5:$G1508,'🙎‍♂️ Pasien'!$U$5:$U1508),"")</f>
        <v>PILATES DAN GYM</v>
      </c>
      <c r="T1167" s="97" t="s">
        <v>59</v>
      </c>
      <c r="U1167" s="105">
        <v>4.0</v>
      </c>
      <c r="V1167" s="101"/>
      <c r="W1167" s="106" t="b">
        <v>1</v>
      </c>
      <c r="X1167" s="107"/>
      <c r="Y1167" s="108"/>
    </row>
    <row r="1168" ht="22.5" customHeight="1">
      <c r="A1168" s="96"/>
      <c r="B1168" s="97" t="s">
        <v>85</v>
      </c>
      <c r="C1168" s="98" t="str">
        <f t="array" ref="C1168">IFNA(XLOOKUP(J1168,'⚙️ Pengaturan'!$H$5:$H1508,'⚙️ Pengaturan'!$I$5:$I1508),"")</f>
        <v>TIM A</v>
      </c>
      <c r="D1168" s="97" t="s">
        <v>86</v>
      </c>
      <c r="E1168" s="99">
        <v>45999.0</v>
      </c>
      <c r="F1168" s="100" t="str">
        <f t="shared" si="1"/>
        <v>2025</v>
      </c>
      <c r="G1168" s="100" t="str">
        <f t="shared" si="2"/>
        <v>12Des</v>
      </c>
      <c r="H1168" s="100" t="str">
        <f t="shared" si="3"/>
        <v>Senin</v>
      </c>
      <c r="I1168" s="97" t="s">
        <v>97</v>
      </c>
      <c r="J1168" s="97" t="s">
        <v>72</v>
      </c>
      <c r="K1168" s="97" t="s">
        <v>63</v>
      </c>
      <c r="L1168" s="101" t="s">
        <v>474</v>
      </c>
      <c r="M1168" s="102" t="str">
        <f>IFNA(VLOOKUP(L1168,'🙎‍♂️ Pasien'!G:V,2,FALSE),"")</f>
        <v>M5325110126</v>
      </c>
      <c r="N1168" s="103">
        <f>IFNA(VLOOKUP(L1168,'🙎‍♂️ Pasien'!G:L,3,FALSE),"")</f>
        <v>73</v>
      </c>
      <c r="O1168" s="104" t="str">
        <f>IFNA(VLOOKUP(L1168,'🙎‍♂️ Pasien'!G:V,6,FALSE),"")</f>
        <v>PEREMPUAN</v>
      </c>
      <c r="P1168" s="104" t="str">
        <f>IFNA(VLOOKUP(L1168,'🙎‍♂️ Pasien'!G:V,12,FALSE),"")</f>
        <v>KATOLIK</v>
      </c>
      <c r="Q1168" s="104" t="str">
        <f>IFNA(VLOOKUP(L1168:L1508,'🙎‍♂️ Pasien'!G:V,13,FALSE),"")</f>
        <v>IBU RUMAH TANGGA</v>
      </c>
      <c r="R1168" s="104" t="str">
        <f t="array" ref="R1168">ifna(xlookup(L1168,'🙎‍♂️ Pasien'!$G$5:$G1508,'🙎‍♂️ Pasien'!$T$5:$T1508),"")</f>
        <v>SAKIT &amp; SUSAH GERAK PAKA LUTUT</v>
      </c>
      <c r="S1168" s="104" t="str">
        <f t="array" ref="S1168">ifna(xlookup(L1168,'🙎‍♂️ Pasien'!$G$5:$G1508,'🙎‍♂️ Pasien'!$U$5:$U1508),"")</f>
        <v>AKTIVITAS RUMAH TANGGA</v>
      </c>
      <c r="T1168" s="97" t="s">
        <v>67</v>
      </c>
      <c r="U1168" s="105" t="s">
        <v>60</v>
      </c>
      <c r="V1168" s="101" t="s">
        <v>678</v>
      </c>
      <c r="W1168" s="106" t="b">
        <v>1</v>
      </c>
      <c r="X1168" s="107"/>
      <c r="Y1168" s="108"/>
    </row>
    <row r="1169" ht="22.5" customHeight="1">
      <c r="A1169" s="96"/>
      <c r="B1169" s="97" t="s">
        <v>85</v>
      </c>
      <c r="C1169" s="98" t="str">
        <f t="array" ref="C1169">IFNA(XLOOKUP(J1169,'⚙️ Pengaturan'!$H$5:$H1508,'⚙️ Pengaturan'!$I$5:$I1508),"")</f>
        <v>TIM A</v>
      </c>
      <c r="D1169" s="97" t="s">
        <v>86</v>
      </c>
      <c r="E1169" s="99">
        <v>45999.0</v>
      </c>
      <c r="F1169" s="100" t="str">
        <f t="shared" si="1"/>
        <v>2025</v>
      </c>
      <c r="G1169" s="100" t="str">
        <f t="shared" si="2"/>
        <v>12Des</v>
      </c>
      <c r="H1169" s="100" t="str">
        <f t="shared" si="3"/>
        <v>Senin</v>
      </c>
      <c r="I1169" s="97" t="s">
        <v>97</v>
      </c>
      <c r="J1169" s="97" t="s">
        <v>62</v>
      </c>
      <c r="K1169" s="97" t="s">
        <v>63</v>
      </c>
      <c r="L1169" s="101" t="s">
        <v>516</v>
      </c>
      <c r="M1169" s="102" t="str">
        <f>IFNA(VLOOKUP(L1169,'🙎‍♂️ Pasien'!G:V,2,FALSE),"")</f>
        <v>M0425117629</v>
      </c>
      <c r="N1169" s="103">
        <f>IFNA(VLOOKUP(L1169,'🙎‍♂️ Pasien'!G:L,3,FALSE),"")</f>
        <v>22</v>
      </c>
      <c r="O1169" s="104" t="str">
        <f>IFNA(VLOOKUP(L1169,'🙎‍♂️ Pasien'!G:V,6,FALSE),"")</f>
        <v>PEREMPUAN</v>
      </c>
      <c r="P1169" s="104" t="str">
        <f>IFNA(VLOOKUP(L1169,'🙎‍♂️ Pasien'!G:V,12,FALSE),"")</f>
        <v>ISLAM</v>
      </c>
      <c r="Q1169" s="104" t="str">
        <f>IFNA(VLOOKUP(L1169:L1508,'🙎‍♂️ Pasien'!G:V,13,FALSE),"")</f>
        <v>STAFF TOKO</v>
      </c>
      <c r="R1169" s="104" t="str">
        <f t="array" ref="R1169">ifna(xlookup(L1169,'🙎‍♂️ Pasien'!$G$5:$G1508,'🙎‍♂️ Pasien'!$T$5:$T1508),"")</f>
        <v>NYERI LUTUT PASCA GYM</v>
      </c>
      <c r="S1169" s="104" t="str">
        <f t="array" ref="S1169">ifna(xlookup(L1169,'🙎‍♂️ Pasien'!$G$5:$G1508,'🙎‍♂️ Pasien'!$U$5:$U1508),"")</f>
        <v>GYM</v>
      </c>
      <c r="T1169" s="97" t="s">
        <v>59</v>
      </c>
      <c r="U1169" s="105">
        <v>2.0</v>
      </c>
      <c r="V1169" s="101"/>
      <c r="W1169" s="106" t="b">
        <v>1</v>
      </c>
      <c r="X1169" s="107"/>
      <c r="Y1169" s="108"/>
    </row>
    <row r="1170" ht="22.5" customHeight="1">
      <c r="A1170" s="96"/>
      <c r="B1170" s="97" t="s">
        <v>85</v>
      </c>
      <c r="C1170" s="98" t="str">
        <f t="array" ref="C1170">IFNA(XLOOKUP(J1170,'⚙️ Pengaturan'!$H$5:$H1508,'⚙️ Pengaturan'!$I$5:$I1508),"")</f>
        <v>TIM A</v>
      </c>
      <c r="D1170" s="97" t="s">
        <v>86</v>
      </c>
      <c r="E1170" s="99">
        <v>45999.0</v>
      </c>
      <c r="F1170" s="100" t="str">
        <f t="shared" si="1"/>
        <v>2025</v>
      </c>
      <c r="G1170" s="100" t="str">
        <f t="shared" si="2"/>
        <v>12Des</v>
      </c>
      <c r="H1170" s="100" t="str">
        <f t="shared" si="3"/>
        <v>Senin</v>
      </c>
      <c r="I1170" s="97" t="s">
        <v>97</v>
      </c>
      <c r="J1170" s="97" t="s">
        <v>79</v>
      </c>
      <c r="K1170" s="97" t="s">
        <v>69</v>
      </c>
      <c r="L1170" s="101" t="s">
        <v>529</v>
      </c>
      <c r="M1170" s="102" t="str">
        <f>IFNA(VLOOKUP(L1170,'🙎‍♂️ Pasien'!G:V,2,FALSE),"")</f>
        <v>R6825110615</v>
      </c>
      <c r="N1170" s="103">
        <f>IFNA(VLOOKUP(L1170,'🙎‍♂️ Pasien'!G:L,3,FALSE),"")</f>
        <v>57</v>
      </c>
      <c r="O1170" s="104" t="str">
        <f>IFNA(VLOOKUP(L1170,'🙎‍♂️ Pasien'!G:V,6,FALSE),"")</f>
        <v>PEREMPUAN</v>
      </c>
      <c r="P1170" s="104" t="str">
        <f>IFNA(VLOOKUP(L1170,'🙎‍♂️ Pasien'!G:V,12,FALSE),"")</f>
        <v>ISLAM</v>
      </c>
      <c r="Q1170" s="104" t="str">
        <f>IFNA(VLOOKUP(L1170:L1508,'🙎‍♂️ Pasien'!G:V,13,FALSE),"")</f>
        <v>IBU RUMAH TANGGA</v>
      </c>
      <c r="R1170" s="104" t="str">
        <f t="array" ref="R1170">ifna(xlookup(L1170,'🙎‍♂️ Pasien'!$G$5:$G1508,'🙎‍♂️ Pasien'!$T$5:$T1508),"")</f>
        <v>NYERI TULANG BELAKANG</v>
      </c>
      <c r="S1170" s="104" t="str">
        <f t="array" ref="S1170">ifna(xlookup(L1170,'🙎‍♂️ Pasien'!$G$5:$G1508,'🙎‍♂️ Pasien'!$U$5:$U1508),"")</f>
        <v>MENGERJAKAN PEKERJAAN RUMAH</v>
      </c>
      <c r="T1170" s="97" t="s">
        <v>59</v>
      </c>
      <c r="U1170" s="105" t="s">
        <v>60</v>
      </c>
      <c r="V1170" s="101"/>
      <c r="W1170" s="106" t="b">
        <v>1</v>
      </c>
      <c r="X1170" s="107"/>
      <c r="Y1170" s="108"/>
    </row>
    <row r="1171" ht="22.5" customHeight="1">
      <c r="A1171" s="96"/>
      <c r="B1171" s="97" t="s">
        <v>85</v>
      </c>
      <c r="C1171" s="98" t="str">
        <f t="array" ref="C1171">IFNA(XLOOKUP(J1171,'⚙️ Pengaturan'!$H$5:$H1508,'⚙️ Pengaturan'!$I$5:$I1508),"")</f>
        <v>TIM Y</v>
      </c>
      <c r="D1171" s="97" t="s">
        <v>86</v>
      </c>
      <c r="E1171" s="99">
        <v>45999.0</v>
      </c>
      <c r="F1171" s="100" t="str">
        <f t="shared" si="1"/>
        <v>2025</v>
      </c>
      <c r="G1171" s="100" t="str">
        <f t="shared" si="2"/>
        <v>12Des</v>
      </c>
      <c r="H1171" s="100" t="str">
        <f t="shared" si="3"/>
        <v>Senin</v>
      </c>
      <c r="I1171" s="97" t="s">
        <v>99</v>
      </c>
      <c r="J1171" s="97" t="s">
        <v>56</v>
      </c>
      <c r="K1171" s="97" t="s">
        <v>63</v>
      </c>
      <c r="L1171" s="101" t="s">
        <v>609</v>
      </c>
      <c r="M1171" s="102" t="str">
        <f>IFNA(VLOOKUP(L1171,'🙎‍♂️ Pasien'!G:V,2,FALSE),"")</f>
        <v>A5125112484</v>
      </c>
      <c r="N1171" s="103">
        <f>IFNA(VLOOKUP(L1171,'🙎‍♂️ Pasien'!G:L,3,FALSE),"")</f>
        <v>74</v>
      </c>
      <c r="O1171" s="104" t="str">
        <f>IFNA(VLOOKUP(L1171,'🙎‍♂️ Pasien'!G:V,6,FALSE),"")</f>
        <v>LAKI-LAKI</v>
      </c>
      <c r="P1171" s="104" t="str">
        <f>IFNA(VLOOKUP(L1171,'🙎‍♂️ Pasien'!G:V,12,FALSE),"")</f>
        <v>ISLAM</v>
      </c>
      <c r="Q1171" s="104" t="str">
        <f>IFNA(VLOOKUP(L1171:L1508,'🙎‍♂️ Pasien'!G:V,13,FALSE),"")</f>
        <v>PETANI</v>
      </c>
      <c r="R1171" s="104" t="str">
        <f t="array" ref="R1171">ifna(xlookup(L1171,'🙎‍♂️ Pasien'!$G$5:$G1508,'🙎‍♂️ Pasien'!$T$5:$T1508),"")</f>
        <v>NYERI DARI PAHA SAMPAI TELAPAK KAKI, STOKE SEBELAH KIRI SEJAK DUA BULAN LALU</v>
      </c>
      <c r="S1171" s="104" t="str">
        <f t="array" ref="S1171">ifna(xlookup(L1171,'🙎‍♂️ Pasien'!$G$5:$G1508,'🙎‍♂️ Pasien'!$U$5:$U1508),"")</f>
        <v>PEROKOK, NGOPI, SUKA MINUM MANIS MANIS</v>
      </c>
      <c r="T1171" s="97" t="s">
        <v>59</v>
      </c>
      <c r="U1171" s="105">
        <v>3.0</v>
      </c>
      <c r="V1171" s="101"/>
      <c r="W1171" s="106" t="b">
        <v>1</v>
      </c>
      <c r="X1171" s="107"/>
      <c r="Y1171" s="108"/>
    </row>
    <row r="1172" ht="22.5" customHeight="1">
      <c r="A1172" s="96"/>
      <c r="B1172" s="97" t="s">
        <v>53</v>
      </c>
      <c r="C1172" s="98" t="str">
        <f t="array" ref="C1172">IFNA(XLOOKUP(J1172,'⚙️ Pengaturan'!$H$5:$H1508,'⚙️ Pengaturan'!$I$5:$I1508),"")</f>
        <v>TIM A</v>
      </c>
      <c r="D1172" s="97" t="s">
        <v>86</v>
      </c>
      <c r="E1172" s="99">
        <v>46000.0</v>
      </c>
      <c r="F1172" s="100" t="str">
        <f t="shared" si="1"/>
        <v>2025</v>
      </c>
      <c r="G1172" s="100" t="str">
        <f t="shared" si="2"/>
        <v>12Des</v>
      </c>
      <c r="H1172" s="100" t="str">
        <f t="shared" si="3"/>
        <v>Selasa</v>
      </c>
      <c r="I1172" s="97" t="s">
        <v>55</v>
      </c>
      <c r="J1172" s="97" t="s">
        <v>62</v>
      </c>
      <c r="K1172" s="97" t="s">
        <v>69</v>
      </c>
      <c r="L1172" s="101" t="s">
        <v>651</v>
      </c>
      <c r="M1172" s="102" t="str">
        <f>IFNA(VLOOKUP(L1172,'🙎‍♂️ Pasien'!G:V,2,FALSE),"")</f>
        <v>D9125126509</v>
      </c>
      <c r="N1172" s="103">
        <f>IFNA(VLOOKUP(L1172,'🙎‍♂️ Pasien'!G:L,3,FALSE),"")</f>
        <v>34</v>
      </c>
      <c r="O1172" s="104" t="str">
        <f>IFNA(VLOOKUP(L1172,'🙎‍♂️ Pasien'!G:V,6,FALSE),"")</f>
        <v>PEREMPUAN</v>
      </c>
      <c r="P1172" s="104" t="str">
        <f>IFNA(VLOOKUP(L1172,'🙎‍♂️ Pasien'!G:V,12,FALSE),"")</f>
        <v>ISLAM</v>
      </c>
      <c r="Q1172" s="104" t="str">
        <f>IFNA(VLOOKUP(L1172:L1508,'🙎‍♂️ Pasien'!G:V,13,FALSE),"")</f>
        <v>PNS</v>
      </c>
      <c r="R1172" s="104" t="str">
        <f t="array" ref="R1172">ifna(xlookup(L1172,'🙎‍♂️ Pasien'!$G$5:$G1508,'🙎‍♂️ Pasien'!$T$5:$T1508),"")</f>
        <v>CIDERA LUTUT</v>
      </c>
      <c r="S1172" s="104" t="str">
        <f t="array" ref="S1172">ifna(xlookup(L1172,'🙎‍♂️ Pasien'!$G$5:$G1508,'🙎‍♂️ Pasien'!$U$5:$U1508),"")</f>
        <v>OLAHRAGA</v>
      </c>
      <c r="T1172" s="97" t="s">
        <v>59</v>
      </c>
      <c r="U1172" s="105" t="s">
        <v>60</v>
      </c>
      <c r="V1172" s="101"/>
      <c r="W1172" s="106" t="b">
        <v>1</v>
      </c>
      <c r="X1172" s="107"/>
      <c r="Y1172" s="108"/>
    </row>
    <row r="1173" ht="22.5" customHeight="1">
      <c r="A1173" s="96"/>
      <c r="B1173" s="97" t="s">
        <v>53</v>
      </c>
      <c r="C1173" s="98" t="str">
        <f t="array" ref="C1173">IFNA(XLOOKUP(J1173,'⚙️ Pengaturan'!$H$5:$H1508,'⚙️ Pengaturan'!$I$5:$I1508),"")</f>
        <v>TIM A</v>
      </c>
      <c r="D1173" s="97" t="s">
        <v>86</v>
      </c>
      <c r="E1173" s="99">
        <v>46000.0</v>
      </c>
      <c r="F1173" s="100" t="str">
        <f t="shared" si="1"/>
        <v>2025</v>
      </c>
      <c r="G1173" s="100" t="str">
        <f t="shared" si="2"/>
        <v>12Des</v>
      </c>
      <c r="H1173" s="100" t="str">
        <f t="shared" si="3"/>
        <v>Selasa</v>
      </c>
      <c r="I1173" s="97" t="s">
        <v>65</v>
      </c>
      <c r="J1173" s="97" t="s">
        <v>62</v>
      </c>
      <c r="K1173" s="97" t="s">
        <v>63</v>
      </c>
      <c r="L1173" s="101" t="s">
        <v>71</v>
      </c>
      <c r="M1173" s="102" t="str">
        <f>IFNA(VLOOKUP(L1173,'🙎‍♂️ Pasien'!G:V,2,FALSE),"")</f>
        <v>L5925109995</v>
      </c>
      <c r="N1173" s="103">
        <f>IFNA(VLOOKUP(L1173,'🙎‍♂️ Pasien'!G:L,3,FALSE),"")</f>
        <v>67</v>
      </c>
      <c r="O1173" s="104" t="str">
        <f>IFNA(VLOOKUP(L1173,'🙎‍♂️ Pasien'!G:V,6,FALSE),"")</f>
        <v>PEREMPUAN</v>
      </c>
      <c r="P1173" s="104" t="str">
        <f>IFNA(VLOOKUP(L1173,'🙎‍♂️ Pasien'!G:V,12,FALSE),"")</f>
        <v>KATOLIK</v>
      </c>
      <c r="Q1173" s="104" t="str">
        <f>IFNA(VLOOKUP(L1173:L1508,'🙎‍♂️ Pasien'!G:V,13,FALSE),"")</f>
        <v>WIRASWASTA</v>
      </c>
      <c r="R1173" s="104" t="str">
        <f t="array" ref="R1173">ifna(xlookup(L1173,'🙎‍♂️ Pasien'!$G$5:$G1508,'🙎‍♂️ Pasien'!$T$5:$T1508),"")</f>
        <v>LUTUT</v>
      </c>
      <c r="S1173" s="104" t="str">
        <f t="array" ref="S1173">ifna(xlookup(L1173,'🙎‍♂️ Pasien'!$G$5:$G1508,'🙎‍♂️ Pasien'!$U$5:$U1508),"")</f>
        <v>IBU RUMAH TANGGA</v>
      </c>
      <c r="T1173" s="97" t="s">
        <v>59</v>
      </c>
      <c r="U1173" s="105">
        <v>5.0</v>
      </c>
      <c r="V1173" s="101" t="s">
        <v>125</v>
      </c>
      <c r="W1173" s="106" t="b">
        <v>1</v>
      </c>
      <c r="X1173" s="107"/>
      <c r="Y1173" s="108"/>
    </row>
    <row r="1174" ht="22.5" customHeight="1">
      <c r="A1174" s="96"/>
      <c r="B1174" s="97" t="s">
        <v>53</v>
      </c>
      <c r="C1174" s="98" t="str">
        <f t="array" ref="C1174">IFNA(XLOOKUP(J1174,'⚙️ Pengaturan'!$H$5:$H1508,'⚙️ Pengaturan'!$I$5:$I1508),"")</f>
        <v>TIM Y</v>
      </c>
      <c r="D1174" s="97" t="s">
        <v>86</v>
      </c>
      <c r="E1174" s="99">
        <v>46000.0</v>
      </c>
      <c r="F1174" s="100" t="str">
        <f t="shared" si="1"/>
        <v>2025</v>
      </c>
      <c r="G1174" s="100" t="str">
        <f t="shared" si="2"/>
        <v>12Des</v>
      </c>
      <c r="H1174" s="100" t="str">
        <f t="shared" si="3"/>
        <v>Selasa</v>
      </c>
      <c r="I1174" s="97" t="s">
        <v>74</v>
      </c>
      <c r="J1174" s="97" t="s">
        <v>56</v>
      </c>
      <c r="K1174" s="97" t="s">
        <v>69</v>
      </c>
      <c r="L1174" s="101" t="s">
        <v>561</v>
      </c>
      <c r="M1174" s="102" t="str">
        <f>IFNA(VLOOKUP(L1174,'🙎‍♂️ Pasien'!G:V,2,FALSE),"")</f>
        <v>S7325119020</v>
      </c>
      <c r="N1174" s="103">
        <f>IFNA(VLOOKUP(L1174,'🙎‍♂️ Pasien'!G:L,3,FALSE),"")</f>
        <v>52</v>
      </c>
      <c r="O1174" s="104" t="str">
        <f>IFNA(VLOOKUP(L1174,'🙎‍♂️ Pasien'!G:V,6,FALSE),"")</f>
        <v>LAKI-LAKI</v>
      </c>
      <c r="P1174" s="104" t="str">
        <f>IFNA(VLOOKUP(L1174,'🙎‍♂️ Pasien'!G:V,12,FALSE),"")</f>
        <v>ISLAM</v>
      </c>
      <c r="Q1174" s="104" t="str">
        <f>IFNA(VLOOKUP(L1174:L1508,'🙎‍♂️ Pasien'!G:V,13,FALSE),"")</f>
        <v>TIDAK BEKERJA</v>
      </c>
      <c r="R1174" s="104" t="str">
        <f t="array" ref="R1174">ifna(xlookup(L1174,'🙎‍♂️ Pasien'!$G$5:$G1508,'🙎‍♂️ Pasien'!$T$5:$T1508),"")</f>
        <v>TANGAN KAKI SEBELAH KANAN TIDAK BISA BERGERAK</v>
      </c>
      <c r="S1174" s="104" t="str">
        <f t="array" ref="S1174">ifna(xlookup(L1174,'🙎‍♂️ Pasien'!$G$5:$G1508,'🙎‍♂️ Pasien'!$U$5:$U1508),"")</f>
        <v>-</v>
      </c>
      <c r="T1174" s="97" t="s">
        <v>59</v>
      </c>
      <c r="U1174" s="105" t="s">
        <v>60</v>
      </c>
      <c r="V1174" s="101"/>
      <c r="W1174" s="106" t="b">
        <v>1</v>
      </c>
      <c r="X1174" s="107"/>
      <c r="Y1174" s="108"/>
    </row>
    <row r="1175" ht="22.5" customHeight="1">
      <c r="A1175" s="96"/>
      <c r="B1175" s="97" t="s">
        <v>53</v>
      </c>
      <c r="C1175" s="98" t="str">
        <f t="array" ref="C1175">IFNA(XLOOKUP(J1175,'⚙️ Pengaturan'!$H$5:$H1508,'⚙️ Pengaturan'!$I$5:$I1508),"")</f>
        <v>TIM A</v>
      </c>
      <c r="D1175" s="97" t="s">
        <v>86</v>
      </c>
      <c r="E1175" s="99">
        <v>46000.0</v>
      </c>
      <c r="F1175" s="100" t="str">
        <f t="shared" si="1"/>
        <v>2025</v>
      </c>
      <c r="G1175" s="100" t="str">
        <f t="shared" si="2"/>
        <v>12Des</v>
      </c>
      <c r="H1175" s="100" t="str">
        <f t="shared" si="3"/>
        <v>Selasa</v>
      </c>
      <c r="I1175" s="97" t="s">
        <v>76</v>
      </c>
      <c r="J1175" s="97" t="s">
        <v>79</v>
      </c>
      <c r="K1175" s="97" t="s">
        <v>69</v>
      </c>
      <c r="L1175" s="101" t="s">
        <v>182</v>
      </c>
      <c r="M1175" s="102" t="str">
        <f>IFNA(VLOOKUP(L1175,'🙎‍♂️ Pasien'!G:V,2,FALSE),"")</f>
        <v>J8823019998</v>
      </c>
      <c r="N1175" s="103">
        <f>IFNA(VLOOKUP(L1175,'🙎‍♂️ Pasien'!G:L,3,FALSE),"")</f>
        <v>38</v>
      </c>
      <c r="O1175" s="104" t="str">
        <f>IFNA(VLOOKUP(L1175,'🙎‍♂️ Pasien'!G:V,6,FALSE),"")</f>
        <v>LAKI-LAKI</v>
      </c>
      <c r="P1175" s="104" t="str">
        <f>IFNA(VLOOKUP(L1175,'🙎‍♂️ Pasien'!G:V,12,FALSE),"")</f>
        <v>BUDDHA</v>
      </c>
      <c r="Q1175" s="104" t="str">
        <f>IFNA(VLOOKUP(L1175:L1508,'🙎‍♂️ Pasien'!G:V,13,FALSE),"")</f>
        <v>WIRASWASTA</v>
      </c>
      <c r="R1175" s="104" t="str">
        <f t="array" ref="R1175">ifna(xlookup(L1175,'🙎‍♂️ Pasien'!$G$5:$G1508,'🙎‍♂️ Pasien'!$T$5:$T1508),"")</f>
        <v>STROKE</v>
      </c>
      <c r="S1175" s="104" t="str">
        <f t="array" ref="S1175">ifna(xlookup(L1175,'🙎‍♂️ Pasien'!$G$5:$G1508,'🙎‍♂️ Pasien'!$U$5:$U1508),"")</f>
        <v>-</v>
      </c>
      <c r="T1175" s="97" t="s">
        <v>59</v>
      </c>
      <c r="U1175" s="105" t="s">
        <v>60</v>
      </c>
      <c r="V1175" s="101"/>
      <c r="W1175" s="106" t="b">
        <v>1</v>
      </c>
      <c r="X1175" s="107"/>
      <c r="Y1175" s="108"/>
    </row>
    <row r="1176" ht="22.5" customHeight="1">
      <c r="A1176" s="96"/>
      <c r="B1176" s="97" t="s">
        <v>53</v>
      </c>
      <c r="C1176" s="98" t="str">
        <f t="array" ref="C1176">IFNA(XLOOKUP(J1176,'⚙️ Pengaturan'!$H$5:$H1508,'⚙️ Pengaturan'!$I$5:$I1508),"")</f>
        <v>TIM A</v>
      </c>
      <c r="D1176" s="97" t="s">
        <v>86</v>
      </c>
      <c r="E1176" s="99">
        <v>46000.0</v>
      </c>
      <c r="F1176" s="100" t="str">
        <f t="shared" si="1"/>
        <v>2025</v>
      </c>
      <c r="G1176" s="100" t="str">
        <f t="shared" si="2"/>
        <v>12Des</v>
      </c>
      <c r="H1176" s="100" t="str">
        <f t="shared" si="3"/>
        <v>Selasa</v>
      </c>
      <c r="I1176" s="97" t="s">
        <v>76</v>
      </c>
      <c r="J1176" s="97" t="s">
        <v>62</v>
      </c>
      <c r="K1176" s="97" t="s">
        <v>63</v>
      </c>
      <c r="L1176" s="101" t="s">
        <v>98</v>
      </c>
      <c r="M1176" s="102" t="str">
        <f>IFNA(VLOOKUP(L1176,'🙎‍♂️ Pasien'!G:V,2,FALSE),"")</f>
        <v>L9925048099</v>
      </c>
      <c r="N1176" s="103">
        <f>IFNA(VLOOKUP(L1176,'🙎‍♂️ Pasien'!G:L,3,FALSE),"")</f>
        <v>26</v>
      </c>
      <c r="O1176" s="104" t="str">
        <f>IFNA(VLOOKUP(L1176,'🙎‍♂️ Pasien'!G:V,6,FALSE),"")</f>
        <v>PEREMPUAN</v>
      </c>
      <c r="P1176" s="104" t="str">
        <f>IFNA(VLOOKUP(L1176,'🙎‍♂️ Pasien'!G:V,12,FALSE),"")</f>
        <v>KATOLIK</v>
      </c>
      <c r="Q1176" s="104" t="str">
        <f>IFNA(VLOOKUP(L1176:L1508,'🙎‍♂️ Pasien'!G:V,13,FALSE),"")</f>
        <v>ACCOUNTING</v>
      </c>
      <c r="R1176" s="104" t="str">
        <f t="array" ref="R1176">ifna(xlookup(L1176,'🙎‍♂️ Pasien'!$G$5:$G1508,'🙎‍♂️ Pasien'!$T$5:$T1508),"")</f>
        <v>NYERI TULANG BELAKANG SAMPAI KAKI, NYERI DI BAGIAN LUTUT JUGA</v>
      </c>
      <c r="S1176" s="104" t="str">
        <f t="array" ref="S1176">ifna(xlookup(L1176,'🙎‍♂️ Pasien'!$G$5:$G1508,'🙎‍♂️ Pasien'!$U$5:$U1508),"")</f>
        <v>BANYAK DUDUK</v>
      </c>
      <c r="T1176" s="97" t="s">
        <v>67</v>
      </c>
      <c r="U1176" s="105">
        <v>3.0</v>
      </c>
      <c r="V1176" s="101" t="s">
        <v>679</v>
      </c>
      <c r="W1176" s="106" t="b">
        <v>1</v>
      </c>
      <c r="X1176" s="107"/>
      <c r="Y1176" s="108"/>
    </row>
    <row r="1177" ht="22.5" customHeight="1">
      <c r="A1177" s="96"/>
      <c r="B1177" s="97" t="s">
        <v>53</v>
      </c>
      <c r="C1177" s="98" t="str">
        <f t="array" ref="C1177">IFNA(XLOOKUP(J1177,'⚙️ Pengaturan'!$H$5:$H1508,'⚙️ Pengaturan'!$I$5:$I1508),"")</f>
        <v>TIM Y</v>
      </c>
      <c r="D1177" s="97" t="s">
        <v>86</v>
      </c>
      <c r="E1177" s="99">
        <v>46000.0</v>
      </c>
      <c r="F1177" s="100" t="str">
        <f t="shared" si="1"/>
        <v>2025</v>
      </c>
      <c r="G1177" s="100" t="str">
        <f t="shared" si="2"/>
        <v>12Des</v>
      </c>
      <c r="H1177" s="100" t="str">
        <f t="shared" si="3"/>
        <v>Selasa</v>
      </c>
      <c r="I1177" s="97" t="s">
        <v>83</v>
      </c>
      <c r="J1177" s="97" t="s">
        <v>56</v>
      </c>
      <c r="K1177" s="97" t="s">
        <v>63</v>
      </c>
      <c r="L1177" s="101" t="s">
        <v>642</v>
      </c>
      <c r="M1177" s="102" t="str">
        <f>IFNA(VLOOKUP(L1177,'🙎‍♂️ Pasien'!G:V,2,FALSE),"")</f>
        <v>D7925125149</v>
      </c>
      <c r="N1177" s="103">
        <f>IFNA(VLOOKUP(L1177,'🙎‍♂️ Pasien'!G:L,3,FALSE),"")</f>
        <v>46</v>
      </c>
      <c r="O1177" s="104" t="str">
        <f>IFNA(VLOOKUP(L1177,'🙎‍♂️ Pasien'!G:V,6,FALSE),"")</f>
        <v>LAKI-LAKI</v>
      </c>
      <c r="P1177" s="104" t="str">
        <f>IFNA(VLOOKUP(L1177,'🙎‍♂️ Pasien'!G:V,12,FALSE),"")</f>
        <v>KHONGHUCU</v>
      </c>
      <c r="Q1177" s="104" t="str">
        <f>IFNA(VLOOKUP(L1177:L1508,'🙎‍♂️ Pasien'!G:V,13,FALSE),"")</f>
        <v>SWASTA</v>
      </c>
      <c r="R1177" s="104" t="str">
        <f t="array" ref="R1177">ifna(xlookup(L1177,'🙎‍♂️ Pasien'!$G$5:$G1508,'🙎‍♂️ Pasien'!$T$5:$T1508),"")</f>
        <v>TENIS ELBOW</v>
      </c>
      <c r="S1177" s="104" t="str">
        <f t="array" ref="S1177">ifna(xlookup(L1177,'🙎‍♂️ Pasien'!$G$5:$G1508,'🙎‍♂️ Pasien'!$U$5:$U1508),"")</f>
        <v>OLAH RAGA</v>
      </c>
      <c r="T1177" s="97" t="s">
        <v>59</v>
      </c>
      <c r="U1177" s="105">
        <v>3.0</v>
      </c>
      <c r="V1177" s="101"/>
      <c r="W1177" s="106" t="b">
        <v>1</v>
      </c>
      <c r="X1177" s="107"/>
      <c r="Y1177" s="108"/>
    </row>
    <row r="1178" ht="22.5" customHeight="1">
      <c r="A1178" s="96"/>
      <c r="B1178" s="97" t="s">
        <v>53</v>
      </c>
      <c r="C1178" s="98" t="str">
        <f t="array" ref="C1178">IFNA(XLOOKUP(J1178,'⚙️ Pengaturan'!$H$5:$H1508,'⚙️ Pengaturan'!$I$5:$I1508),"")</f>
        <v>TIM A</v>
      </c>
      <c r="D1178" s="97" t="s">
        <v>86</v>
      </c>
      <c r="E1178" s="99">
        <v>46000.0</v>
      </c>
      <c r="F1178" s="100" t="str">
        <f t="shared" si="1"/>
        <v>2025</v>
      </c>
      <c r="G1178" s="100" t="str">
        <f t="shared" si="2"/>
        <v>12Des</v>
      </c>
      <c r="H1178" s="100" t="str">
        <f t="shared" si="3"/>
        <v>Selasa</v>
      </c>
      <c r="I1178" s="97" t="s">
        <v>83</v>
      </c>
      <c r="J1178" s="97" t="s">
        <v>72</v>
      </c>
      <c r="K1178" s="97" t="s">
        <v>57</v>
      </c>
      <c r="L1178" s="101" t="s">
        <v>680</v>
      </c>
      <c r="M1178" s="102" t="str">
        <f>IFNA(VLOOKUP(L1178,'🙎‍♂️ Pasien'!G:V,2,FALSE),"")</f>
        <v>E9025088822</v>
      </c>
      <c r="N1178" s="103">
        <f>IFNA(VLOOKUP(L1178,'🙎‍♂️ Pasien'!G:L,3,FALSE),"")</f>
        <v>35</v>
      </c>
      <c r="O1178" s="104" t="str">
        <f>IFNA(VLOOKUP(L1178,'🙎‍♂️ Pasien'!G:V,6,FALSE),"")</f>
        <v>PEREMPUAN</v>
      </c>
      <c r="P1178" s="104" t="str">
        <f>IFNA(VLOOKUP(L1178,'🙎‍♂️ Pasien'!G:V,12,FALSE),"")</f>
        <v>BUDDHA</v>
      </c>
      <c r="Q1178" s="104" t="str">
        <f>IFNA(VLOOKUP(L1178:L1508,'🙎‍♂️ Pasien'!G:V,13,FALSE),"")</f>
        <v>IRT</v>
      </c>
      <c r="R1178" s="104" t="str">
        <f t="array" ref="R1178">ifna(xlookup(L1178,'🙎‍♂️ Pasien'!$G$5:$G1508,'🙎‍♂️ Pasien'!$T$5:$T1508),"")</f>
        <v>NYERI DI BETIS DEPAN DAN PAHA BELAKANG</v>
      </c>
      <c r="S1178" s="104" t="str">
        <f t="array" ref="S1178">ifna(xlookup(L1178,'🙎‍♂️ Pasien'!$G$5:$G1508,'🙎‍♂️ Pasien'!$U$5:$U1508),"")</f>
        <v>-</v>
      </c>
      <c r="T1178" s="97" t="s">
        <v>67</v>
      </c>
      <c r="U1178" s="105" t="s">
        <v>60</v>
      </c>
      <c r="V1178" s="101" t="s">
        <v>343</v>
      </c>
      <c r="W1178" s="106" t="b">
        <v>1</v>
      </c>
      <c r="X1178" s="107"/>
      <c r="Y1178" s="108"/>
    </row>
    <row r="1179" ht="22.5" customHeight="1">
      <c r="A1179" s="96"/>
      <c r="B1179" s="97" t="s">
        <v>85</v>
      </c>
      <c r="C1179" s="98" t="str">
        <f t="array" ref="C1179">IFNA(XLOOKUP(J1179,'⚙️ Pengaturan'!$H$5:$H1508,'⚙️ Pengaturan'!$I$5:$I1508),"")</f>
        <v>TIM Y</v>
      </c>
      <c r="D1179" s="97" t="s">
        <v>54</v>
      </c>
      <c r="E1179" s="99">
        <v>46000.0</v>
      </c>
      <c r="F1179" s="100" t="str">
        <f t="shared" si="1"/>
        <v>2025</v>
      </c>
      <c r="G1179" s="100" t="str">
        <f t="shared" si="2"/>
        <v>12Des</v>
      </c>
      <c r="H1179" s="100" t="str">
        <f t="shared" si="3"/>
        <v>Selasa</v>
      </c>
      <c r="I1179" s="97" t="s">
        <v>87</v>
      </c>
      <c r="J1179" s="97" t="s">
        <v>107</v>
      </c>
      <c r="K1179" s="97" t="s">
        <v>63</v>
      </c>
      <c r="L1179" s="101" t="s">
        <v>257</v>
      </c>
      <c r="M1179" s="102" t="str">
        <f>IFNA(VLOOKUP(L1179,'🙎‍♂️ Pasien'!G:V,2,FALSE),"")</f>
        <v>A1025102304</v>
      </c>
      <c r="N1179" s="103">
        <f>IFNA(VLOOKUP(L1179,'🙎‍♂️ Pasien'!G:L,3,FALSE),"")</f>
        <v>16</v>
      </c>
      <c r="O1179" s="104" t="str">
        <f>IFNA(VLOOKUP(L1179,'🙎‍♂️ Pasien'!G:V,6,FALSE),"")</f>
        <v>LAKI-LAKI</v>
      </c>
      <c r="P1179" s="104" t="str">
        <f>IFNA(VLOOKUP(L1179,'🙎‍♂️ Pasien'!G:V,12,FALSE),"")</f>
        <v>PROTESTAN</v>
      </c>
      <c r="Q1179" s="104" t="str">
        <f>IFNA(VLOOKUP(L1179:L1508,'🙎‍♂️ Pasien'!G:V,13,FALSE),"")</f>
        <v>PELAJAR</v>
      </c>
      <c r="R1179" s="104" t="str">
        <f t="array" ref="R1179">ifna(xlookup(L1179,'🙎‍♂️ Pasien'!$G$5:$G1508,'🙎‍♂️ Pasien'!$T$5:$T1508),"")</f>
        <v>NYERI SENDI KAKI</v>
      </c>
      <c r="S1179" s="104" t="str">
        <f t="array" ref="S1179">ifna(xlookup(L1179,'🙎‍♂️ Pasien'!$G$5:$G1508,'🙎‍♂️ Pasien'!$U$5:$U1508),"")</f>
        <v>OLAHRAGA, NAIK TURUN TANGGA</v>
      </c>
      <c r="T1179" s="97" t="s">
        <v>59</v>
      </c>
      <c r="U1179" s="105">
        <v>5.0</v>
      </c>
      <c r="V1179" s="101" t="s">
        <v>125</v>
      </c>
      <c r="W1179" s="106" t="b">
        <v>1</v>
      </c>
      <c r="X1179" s="107"/>
      <c r="Y1179" s="108"/>
    </row>
    <row r="1180" ht="22.5" customHeight="1">
      <c r="A1180" s="96"/>
      <c r="B1180" s="97" t="s">
        <v>85</v>
      </c>
      <c r="C1180" s="98" t="str">
        <f t="array" ref="C1180">IFNA(XLOOKUP(J1180,'⚙️ Pengaturan'!$H$5:$H1508,'⚙️ Pengaturan'!$I$5:$I1508),"")</f>
        <v>TIM Y</v>
      </c>
      <c r="D1180" s="97" t="s">
        <v>54</v>
      </c>
      <c r="E1180" s="99">
        <v>46000.0</v>
      </c>
      <c r="F1180" s="100" t="str">
        <f t="shared" si="1"/>
        <v>2025</v>
      </c>
      <c r="G1180" s="100" t="str">
        <f t="shared" si="2"/>
        <v>12Des</v>
      </c>
      <c r="H1180" s="100" t="str">
        <f t="shared" si="3"/>
        <v>Selasa</v>
      </c>
      <c r="I1180" s="97" t="s">
        <v>93</v>
      </c>
      <c r="J1180" s="97" t="s">
        <v>88</v>
      </c>
      <c r="K1180" s="97" t="s">
        <v>63</v>
      </c>
      <c r="L1180" s="101" t="s">
        <v>552</v>
      </c>
      <c r="M1180" s="102" t="str">
        <f>IFNA(VLOOKUP(L1180,'🙎‍♂️ Pasien'!G:V,2,FALSE),"")</f>
        <v>E8825039292</v>
      </c>
      <c r="N1180" s="103">
        <f>IFNA(VLOOKUP(L1180,'🙎‍♂️ Pasien'!G:L,3,FALSE),"")</f>
        <v>37</v>
      </c>
      <c r="O1180" s="104" t="str">
        <f>IFNA(VLOOKUP(L1180,'🙎‍♂️ Pasien'!G:V,6,FALSE),"")</f>
        <v>LAKI-LAKI</v>
      </c>
      <c r="P1180" s="104" t="str">
        <f>IFNA(VLOOKUP(L1180,'🙎‍♂️ Pasien'!G:V,12,FALSE),"")</f>
        <v>KATOLIK</v>
      </c>
      <c r="Q1180" s="104" t="str">
        <f>IFNA(VLOOKUP(L1180:L1508,'🙎‍♂️ Pasien'!G:V,13,FALSE),"")</f>
        <v>KARYAWAN SWASTA</v>
      </c>
      <c r="R1180" s="104" t="str">
        <f t="array" ref="R1180">ifna(xlookup(L1180,'🙎‍♂️ Pasien'!$G$5:$G1508,'🙎‍♂️ Pasien'!$T$5:$T1508),"")</f>
        <v>RUPTURE PATTELAR TENDON</v>
      </c>
      <c r="S1180" s="104" t="str">
        <f t="array" ref="S1180">ifna(xlookup(L1180,'🙎‍♂️ Pasien'!$G$5:$G1508,'🙎‍♂️ Pasien'!$U$5:$U1508),"")</f>
        <v>BASKET</v>
      </c>
      <c r="T1180" s="97" t="s">
        <v>59</v>
      </c>
      <c r="U1180" s="105">
        <v>8.0</v>
      </c>
      <c r="V1180" s="101"/>
      <c r="W1180" s="106" t="b">
        <v>1</v>
      </c>
      <c r="X1180" s="107"/>
      <c r="Y1180" s="108"/>
    </row>
    <row r="1181" ht="22.5" customHeight="1">
      <c r="A1181" s="96"/>
      <c r="B1181" s="97" t="s">
        <v>85</v>
      </c>
      <c r="C1181" s="98" t="str">
        <f t="array" ref="C1181">IFNA(XLOOKUP(J1181,'⚙️ Pengaturan'!$H$5:$H1508,'⚙️ Pengaturan'!$I$5:$I1508),"")</f>
        <v>TIM Y</v>
      </c>
      <c r="D1181" s="97" t="s">
        <v>54</v>
      </c>
      <c r="E1181" s="99">
        <v>46000.0</v>
      </c>
      <c r="F1181" s="100" t="str">
        <f t="shared" si="1"/>
        <v>2025</v>
      </c>
      <c r="G1181" s="100" t="str">
        <f t="shared" si="2"/>
        <v>12Des</v>
      </c>
      <c r="H1181" s="100" t="str">
        <f t="shared" si="3"/>
        <v>Selasa</v>
      </c>
      <c r="I1181" s="97" t="s">
        <v>93</v>
      </c>
      <c r="J1181" s="97" t="s">
        <v>91</v>
      </c>
      <c r="K1181" s="97" t="s">
        <v>57</v>
      </c>
      <c r="L1181" s="101" t="s">
        <v>98</v>
      </c>
      <c r="M1181" s="102" t="str">
        <f>IFNA(VLOOKUP(L1181,'🙎‍♂️ Pasien'!G:V,2,FALSE),"")</f>
        <v>L9925048099</v>
      </c>
      <c r="N1181" s="103">
        <f>IFNA(VLOOKUP(L1181,'🙎‍♂️ Pasien'!G:L,3,FALSE),"")</f>
        <v>26</v>
      </c>
      <c r="O1181" s="104" t="str">
        <f>IFNA(VLOOKUP(L1181,'🙎‍♂️ Pasien'!G:V,6,FALSE),"")</f>
        <v>PEREMPUAN</v>
      </c>
      <c r="P1181" s="104" t="str">
        <f>IFNA(VLOOKUP(L1181,'🙎‍♂️ Pasien'!G:V,12,FALSE),"")</f>
        <v>KATOLIK</v>
      </c>
      <c r="Q1181" s="104" t="str">
        <f>IFNA(VLOOKUP(L1181:L1508,'🙎‍♂️ Pasien'!G:V,13,FALSE),"")</f>
        <v>ACCOUNTING</v>
      </c>
      <c r="R1181" s="104" t="str">
        <f t="array" ref="R1181">ifna(xlookup(L1181,'🙎‍♂️ Pasien'!$G$5:$G1508,'🙎‍♂️ Pasien'!$T$5:$T1508),"")</f>
        <v>NYERI TULANG BELAKANG SAMPAI KAKI, NYERI DI BAGIAN LUTUT JUGA</v>
      </c>
      <c r="S1181" s="104" t="str">
        <f t="array" ref="S1181">ifna(xlookup(L1181,'🙎‍♂️ Pasien'!$G$5:$G1508,'🙎‍♂️ Pasien'!$U$5:$U1508),"")</f>
        <v>BANYAK DUDUK</v>
      </c>
      <c r="T1181" s="97" t="s">
        <v>59</v>
      </c>
      <c r="U1181" s="105" t="s">
        <v>60</v>
      </c>
      <c r="V1181" s="101"/>
      <c r="W1181" s="106" t="b">
        <v>1</v>
      </c>
      <c r="X1181" s="107"/>
      <c r="Y1181" s="108"/>
    </row>
    <row r="1182" ht="22.5" customHeight="1">
      <c r="A1182" s="96"/>
      <c r="B1182" s="97" t="s">
        <v>85</v>
      </c>
      <c r="C1182" s="98" t="str">
        <f t="array" ref="C1182">IFNA(XLOOKUP(J1182,'⚙️ Pengaturan'!$H$5:$H1508,'⚙️ Pengaturan'!$I$5:$I1508),"")</f>
        <v>TIM Y</v>
      </c>
      <c r="D1182" s="97" t="s">
        <v>54</v>
      </c>
      <c r="E1182" s="99">
        <v>46000.0</v>
      </c>
      <c r="F1182" s="100" t="str">
        <f t="shared" si="1"/>
        <v>2025</v>
      </c>
      <c r="G1182" s="100" t="str">
        <f t="shared" si="2"/>
        <v>12Des</v>
      </c>
      <c r="H1182" s="100" t="str">
        <f t="shared" si="3"/>
        <v>Selasa</v>
      </c>
      <c r="I1182" s="97" t="s">
        <v>95</v>
      </c>
      <c r="J1182" s="97" t="s">
        <v>107</v>
      </c>
      <c r="K1182" s="97" t="s">
        <v>63</v>
      </c>
      <c r="L1182" s="101" t="s">
        <v>193</v>
      </c>
      <c r="M1182" s="102" t="str">
        <f>IFNA(VLOOKUP(L1182,'🙎‍♂️ Pasien'!G:V,2,FALSE),"")</f>
        <v>E8925075615</v>
      </c>
      <c r="N1182" s="103">
        <f>IFNA(VLOOKUP(L1182,'🙎‍♂️ Pasien'!G:L,3,FALSE),"")</f>
        <v>36</v>
      </c>
      <c r="O1182" s="104" t="str">
        <f>IFNA(VLOOKUP(L1182,'🙎‍♂️ Pasien'!G:V,6,FALSE),"")</f>
        <v>PEREMPUAN</v>
      </c>
      <c r="P1182" s="104" t="str">
        <f>IFNA(VLOOKUP(L1182,'🙎‍♂️ Pasien'!G:V,12,FALSE),"")</f>
        <v>KATOLIK</v>
      </c>
      <c r="Q1182" s="104" t="str">
        <f>IFNA(VLOOKUP(L1182:L1508,'🙎‍♂️ Pasien'!G:V,13,FALSE),"")</f>
        <v>WIRASWASTA</v>
      </c>
      <c r="R1182" s="104" t="str">
        <f t="array" ref="R1182">ifna(xlookup(L1182,'🙎‍♂️ Pasien'!$G$5:$G1508,'🙎‍♂️ Pasien'!$T$5:$T1508),"")</f>
        <v>BUNION</v>
      </c>
      <c r="S1182" s="104" t="str">
        <f t="array" ref="S1182">ifna(xlookup(L1182,'🙎‍♂️ Pasien'!$G$5:$G1508,'🙎‍♂️ Pasien'!$U$5:$U1508),"")</f>
        <v>TENNIS</v>
      </c>
      <c r="T1182" s="97" t="s">
        <v>67</v>
      </c>
      <c r="U1182" s="105">
        <v>8.0</v>
      </c>
      <c r="V1182" s="101" t="s">
        <v>485</v>
      </c>
      <c r="W1182" s="106" t="b">
        <v>1</v>
      </c>
      <c r="X1182" s="107"/>
      <c r="Y1182" s="108"/>
    </row>
    <row r="1183" ht="22.5" customHeight="1">
      <c r="A1183" s="96"/>
      <c r="B1183" s="97" t="s">
        <v>85</v>
      </c>
      <c r="C1183" s="98" t="str">
        <f t="array" ref="C1183">IFNA(XLOOKUP(J1183,'⚙️ Pengaturan'!$H$5:$H1508,'⚙️ Pengaturan'!$I$5:$I1508),"")</f>
        <v>TIM Y</v>
      </c>
      <c r="D1183" s="97" t="s">
        <v>54</v>
      </c>
      <c r="E1183" s="99">
        <v>46000.0</v>
      </c>
      <c r="F1183" s="100" t="str">
        <f t="shared" si="1"/>
        <v>2025</v>
      </c>
      <c r="G1183" s="100" t="str">
        <f t="shared" si="2"/>
        <v>12Des</v>
      </c>
      <c r="H1183" s="100" t="str">
        <f t="shared" si="3"/>
        <v>Selasa</v>
      </c>
      <c r="I1183" s="97" t="s">
        <v>95</v>
      </c>
      <c r="J1183" s="97" t="s">
        <v>107</v>
      </c>
      <c r="K1183" s="97" t="s">
        <v>57</v>
      </c>
      <c r="L1183" s="101" t="s">
        <v>681</v>
      </c>
      <c r="M1183" s="102" t="str">
        <f>IFNA(VLOOKUP(L1183,'🙎‍♂️ Pasien'!G:V,2,FALSE),"")</f>
        <v>H8525124000</v>
      </c>
      <c r="N1183" s="103">
        <f>IFNA(VLOOKUP(L1183,'🙎‍♂️ Pasien'!G:L,3,FALSE),"")</f>
        <v>41</v>
      </c>
      <c r="O1183" s="104" t="str">
        <f>IFNA(VLOOKUP(L1183,'🙎‍♂️ Pasien'!G:V,6,FALSE),"")</f>
        <v>PEREMPUAN</v>
      </c>
      <c r="P1183" s="104" t="str">
        <f>IFNA(VLOOKUP(L1183,'🙎‍♂️ Pasien'!G:V,12,FALSE),"")</f>
        <v>ISLAM</v>
      </c>
      <c r="Q1183" s="104" t="str">
        <f>IFNA(VLOOKUP(L1183:L1508,'🙎‍♂️ Pasien'!G:V,13,FALSE),"")</f>
        <v>GURU</v>
      </c>
      <c r="R1183" s="104" t="str">
        <f t="array" ref="R1183">ifna(xlookup(L1183,'🙎‍♂️ Pasien'!$G$5:$G1508,'🙎‍♂️ Pasien'!$T$5:$T1508),"")</f>
        <v>SAKIT PINGGANG BELAKANG</v>
      </c>
      <c r="S1183" s="104" t="str">
        <f t="array" ref="S1183">ifna(xlookup(L1183,'🙎‍♂️ Pasien'!$G$5:$G1508,'🙎‍♂️ Pasien'!$U$5:$U1508),"")</f>
        <v>PERJALANAN JAUH PAKE MOTOR</v>
      </c>
      <c r="T1183" s="97" t="s">
        <v>59</v>
      </c>
      <c r="U1183" s="105" t="s">
        <v>60</v>
      </c>
      <c r="V1183" s="101"/>
      <c r="W1183" s="106" t="b">
        <v>1</v>
      </c>
      <c r="X1183" s="107"/>
      <c r="Y1183" s="108"/>
    </row>
    <row r="1184" ht="22.5" customHeight="1">
      <c r="A1184" s="96"/>
      <c r="B1184" s="97" t="s">
        <v>85</v>
      </c>
      <c r="C1184" s="98" t="str">
        <f t="array" ref="C1184">IFNA(XLOOKUP(J1184,'⚙️ Pengaturan'!$H$5:$H1508,'⚙️ Pengaturan'!$I$5:$I1508),"")</f>
        <v>TIM Y</v>
      </c>
      <c r="D1184" s="97" t="s">
        <v>54</v>
      </c>
      <c r="E1184" s="99">
        <v>46000.0</v>
      </c>
      <c r="F1184" s="100" t="str">
        <f t="shared" si="1"/>
        <v>2025</v>
      </c>
      <c r="G1184" s="100" t="str">
        <f t="shared" si="2"/>
        <v>12Des</v>
      </c>
      <c r="H1184" s="100" t="str">
        <f t="shared" si="3"/>
        <v>Selasa</v>
      </c>
      <c r="I1184" s="97" t="s">
        <v>95</v>
      </c>
      <c r="J1184" s="97" t="s">
        <v>88</v>
      </c>
      <c r="K1184" s="97" t="s">
        <v>69</v>
      </c>
      <c r="L1184" s="101" t="s">
        <v>667</v>
      </c>
      <c r="M1184" s="102" t="str">
        <f>IFNA(VLOOKUP(L1184,'🙎‍♂️ Pasien'!G:V,2,FALSE),"")</f>
        <v>M9425123698</v>
      </c>
      <c r="N1184" s="103">
        <f>IFNA(VLOOKUP(L1184,'🙎‍♂️ Pasien'!G:L,3,FALSE),"")</f>
        <v>31</v>
      </c>
      <c r="O1184" s="104" t="str">
        <f>IFNA(VLOOKUP(L1184,'🙎‍♂️ Pasien'!G:V,6,FALSE),"")</f>
        <v>LAKI-LAKI</v>
      </c>
      <c r="P1184" s="104" t="str">
        <f>IFNA(VLOOKUP(L1184,'🙎‍♂️ Pasien'!G:V,12,FALSE),"")</f>
        <v>ISLAM</v>
      </c>
      <c r="Q1184" s="104" t="str">
        <f>IFNA(VLOOKUP(L1184:L1508,'🙎‍♂️ Pasien'!G:V,13,FALSE),"")</f>
        <v>SWASTA</v>
      </c>
      <c r="R1184" s="104" t="str">
        <f t="array" ref="R1184">ifna(xlookup(L1184,'🙎‍♂️ Pasien'!$G$5:$G1508,'🙎‍♂️ Pasien'!$T$5:$T1508),"")</f>
        <v>NYERI KEPALA</v>
      </c>
      <c r="S1184" s="104" t="str">
        <f t="array" ref="S1184">ifna(xlookup(L1184,'🙎‍♂️ Pasien'!$G$5:$G1508,'🙎‍♂️ Pasien'!$U$5:$U1508),"")</f>
        <v>ANGKAT BARANG</v>
      </c>
      <c r="T1184" s="97" t="s">
        <v>67</v>
      </c>
      <c r="U1184" s="105" t="s">
        <v>60</v>
      </c>
      <c r="V1184" s="101" t="s">
        <v>682</v>
      </c>
      <c r="W1184" s="106" t="b">
        <v>1</v>
      </c>
      <c r="X1184" s="107"/>
      <c r="Y1184" s="108"/>
    </row>
    <row r="1185" ht="22.5" customHeight="1">
      <c r="A1185" s="96"/>
      <c r="B1185" s="97" t="s">
        <v>85</v>
      </c>
      <c r="C1185" s="98" t="str">
        <f t="array" ref="C1185">IFNA(XLOOKUP(J1185,'⚙️ Pengaturan'!$H$5:$H1508,'⚙️ Pengaturan'!$I$5:$I1508),"")</f>
        <v>TIM Y</v>
      </c>
      <c r="D1185" s="97" t="s">
        <v>54</v>
      </c>
      <c r="E1185" s="99">
        <v>46000.0</v>
      </c>
      <c r="F1185" s="100" t="str">
        <f t="shared" si="1"/>
        <v>2025</v>
      </c>
      <c r="G1185" s="100" t="str">
        <f t="shared" si="2"/>
        <v>12Des</v>
      </c>
      <c r="H1185" s="100" t="str">
        <f t="shared" si="3"/>
        <v>Selasa</v>
      </c>
      <c r="I1185" s="97" t="s">
        <v>95</v>
      </c>
      <c r="J1185" s="97" t="s">
        <v>91</v>
      </c>
      <c r="K1185" s="97" t="s">
        <v>63</v>
      </c>
      <c r="L1185" s="101" t="s">
        <v>194</v>
      </c>
      <c r="M1185" s="102" t="str">
        <f>IFNA(VLOOKUP(L1185,'🙎‍♂️ Pasien'!G:V,2,FALSE),"")</f>
        <v>O0925070649</v>
      </c>
      <c r="N1185" s="103">
        <f>IFNA(VLOOKUP(L1185,'🙎‍♂️ Pasien'!G:L,3,FALSE),"")</f>
        <v>16</v>
      </c>
      <c r="O1185" s="104" t="str">
        <f>IFNA(VLOOKUP(L1185,'🙎‍♂️ Pasien'!G:V,6,FALSE),"")</f>
        <v>PEREMPUAN</v>
      </c>
      <c r="P1185" s="104" t="str">
        <f>IFNA(VLOOKUP(L1185,'🙎‍♂️ Pasien'!G:V,12,FALSE),"")</f>
        <v>BUDDHA</v>
      </c>
      <c r="Q1185" s="104" t="str">
        <f>IFNA(VLOOKUP(L1185:L1508,'🙎‍♂️ Pasien'!G:V,13,FALSE),"")</f>
        <v>PELAJAR</v>
      </c>
      <c r="R1185" s="104" t="str">
        <f t="array" ref="R1185">ifna(xlookup(L1185,'🙎‍♂️ Pasien'!$G$5:$G1508,'🙎‍♂️ Pasien'!$T$5:$T1508),"")</f>
        <v>SKOLIOSIS</v>
      </c>
      <c r="S1185" s="104" t="str">
        <f t="array" ref="S1185">ifna(xlookup(L1185,'🙎‍♂️ Pasien'!$G$5:$G1508,'🙎‍♂️ Pasien'!$U$5:$U1508),"")</f>
        <v>TIDAK ADA</v>
      </c>
      <c r="T1185" s="97" t="s">
        <v>59</v>
      </c>
      <c r="U1185" s="105">
        <v>9.0</v>
      </c>
      <c r="V1185" s="101"/>
      <c r="W1185" s="106" t="b">
        <v>1</v>
      </c>
      <c r="X1185" s="107"/>
      <c r="Y1185" s="108"/>
    </row>
    <row r="1186" ht="22.5" customHeight="1">
      <c r="A1186" s="96"/>
      <c r="B1186" s="97" t="s">
        <v>85</v>
      </c>
      <c r="C1186" s="98" t="str">
        <f t="array" ref="C1186">IFNA(XLOOKUP(J1186,'⚙️ Pengaturan'!$H$5:$H1508,'⚙️ Pengaturan'!$I$5:$I1508),"")</f>
        <v>TIM Y</v>
      </c>
      <c r="D1186" s="97" t="s">
        <v>54</v>
      </c>
      <c r="E1186" s="99">
        <v>46000.0</v>
      </c>
      <c r="F1186" s="100" t="str">
        <f t="shared" si="1"/>
        <v>2025</v>
      </c>
      <c r="G1186" s="100" t="str">
        <f t="shared" si="2"/>
        <v>12Des</v>
      </c>
      <c r="H1186" s="100" t="str">
        <f t="shared" si="3"/>
        <v>Selasa</v>
      </c>
      <c r="I1186" s="97" t="s">
        <v>97</v>
      </c>
      <c r="J1186" s="97" t="s">
        <v>88</v>
      </c>
      <c r="K1186" s="97" t="s">
        <v>63</v>
      </c>
      <c r="L1186" s="101" t="s">
        <v>540</v>
      </c>
      <c r="M1186" s="102" t="str">
        <f>IFNA(VLOOKUP(L1186,'🙎‍♂️ Pasien'!G:V,2,FALSE),"")</f>
        <v>A9425110177</v>
      </c>
      <c r="N1186" s="103">
        <f>IFNA(VLOOKUP(L1186,'🙎‍♂️ Pasien'!G:L,3,FALSE),"")</f>
        <v>31</v>
      </c>
      <c r="O1186" s="104" t="str">
        <f>IFNA(VLOOKUP(L1186,'🙎‍♂️ Pasien'!G:V,6,FALSE),"")</f>
        <v>LAKI-LAKI</v>
      </c>
      <c r="P1186" s="104" t="str">
        <f>IFNA(VLOOKUP(L1186,'🙎‍♂️ Pasien'!G:V,12,FALSE),"")</f>
        <v>KATOLIK</v>
      </c>
      <c r="Q1186" s="104" t="str">
        <f>IFNA(VLOOKUP(L1186:L1508,'🙎‍♂️ Pasien'!G:V,13,FALSE),"")</f>
        <v>-</v>
      </c>
      <c r="R1186" s="104" t="str">
        <f t="array" ref="R1186">ifna(xlookup(L1186,'🙎‍♂️ Pasien'!$G$5:$G1508,'🙎‍♂️ Pasien'!$T$5:$T1508),"")</f>
        <v>PASCA OPERASI ACL</v>
      </c>
      <c r="S1186" s="104" t="str">
        <f t="array" ref="S1186">ifna(xlookup(L1186,'🙎‍♂️ Pasien'!$G$5:$G1508,'🙎‍♂️ Pasien'!$U$5:$U1508),"")</f>
        <v>-</v>
      </c>
      <c r="T1186" s="97" t="s">
        <v>59</v>
      </c>
      <c r="U1186" s="105">
        <v>4.0</v>
      </c>
      <c r="V1186" s="101"/>
      <c r="W1186" s="106" t="b">
        <v>1</v>
      </c>
      <c r="X1186" s="107"/>
      <c r="Y1186" s="108"/>
    </row>
    <row r="1187" ht="22.5" customHeight="1">
      <c r="A1187" s="96"/>
      <c r="B1187" s="97" t="s">
        <v>85</v>
      </c>
      <c r="C1187" s="98" t="str">
        <f t="array" ref="C1187">IFNA(XLOOKUP(J1187,'⚙️ Pengaturan'!$H$5:$H1508,'⚙️ Pengaturan'!$I$5:$I1508),"")</f>
        <v>TIM Y</v>
      </c>
      <c r="D1187" s="97" t="s">
        <v>54</v>
      </c>
      <c r="E1187" s="99">
        <v>46000.0</v>
      </c>
      <c r="F1187" s="100" t="str">
        <f t="shared" si="1"/>
        <v>2025</v>
      </c>
      <c r="G1187" s="100" t="str">
        <f t="shared" si="2"/>
        <v>12Des</v>
      </c>
      <c r="H1187" s="100" t="str">
        <f t="shared" si="3"/>
        <v>Selasa</v>
      </c>
      <c r="I1187" s="97" t="s">
        <v>97</v>
      </c>
      <c r="J1187" s="97" t="s">
        <v>509</v>
      </c>
      <c r="K1187" s="97" t="s">
        <v>63</v>
      </c>
      <c r="L1187" s="101" t="s">
        <v>586</v>
      </c>
      <c r="M1187" s="102" t="str">
        <f>IFNA(VLOOKUP(L1187,'🙎‍♂️ Pasien'!G:V,2,FALSE),"")</f>
        <v>B0924114293</v>
      </c>
      <c r="N1187" s="103">
        <f>IFNA(VLOOKUP(L1187,'🙎‍♂️ Pasien'!G:L,3,FALSE),"")</f>
        <v>16</v>
      </c>
      <c r="O1187" s="104" t="str">
        <f>IFNA(VLOOKUP(L1187,'🙎‍♂️ Pasien'!G:V,6,FALSE),"")</f>
        <v>LAKI-LAKI</v>
      </c>
      <c r="P1187" s="104" t="str">
        <f>IFNA(VLOOKUP(L1187,'🙎‍♂️ Pasien'!G:V,12,FALSE),"")</f>
        <v>ISLAM</v>
      </c>
      <c r="Q1187" s="104" t="str">
        <f>IFNA(VLOOKUP(L1187:L1508,'🙎‍♂️ Pasien'!G:V,13,FALSE),"")</f>
        <v>PELAJAR/MAHASISWA</v>
      </c>
      <c r="R1187" s="104" t="str">
        <f t="array" ref="R1187">ifna(xlookup(L1187,'🙎‍♂️ Pasien'!$G$5:$G1508,'🙎‍♂️ Pasien'!$T$5:$T1508),"")</f>
        <v>SAKIT PADA BAHU</v>
      </c>
      <c r="S1187" s="104" t="str">
        <f t="array" ref="S1187">ifna(xlookup(L1187,'🙎‍♂️ Pasien'!$G$5:$G1508,'🙎‍♂️ Pasien'!$U$5:$U1508),"")</f>
        <v>OLAHARAGA VOLEYY</v>
      </c>
      <c r="T1187" s="97" t="s">
        <v>67</v>
      </c>
      <c r="U1187" s="105">
        <v>4.0</v>
      </c>
      <c r="V1187" s="101" t="s">
        <v>683</v>
      </c>
      <c r="W1187" s="106" t="b">
        <v>1</v>
      </c>
      <c r="X1187" s="107"/>
      <c r="Y1187" s="108"/>
    </row>
    <row r="1188" ht="22.5" customHeight="1">
      <c r="A1188" s="96"/>
      <c r="B1188" s="97" t="s">
        <v>85</v>
      </c>
      <c r="C1188" s="98" t="str">
        <f t="array" ref="C1188">IFNA(XLOOKUP(J1188,'⚙️ Pengaturan'!$H$5:$H1508,'⚙️ Pengaturan'!$I$5:$I1508),"")</f>
        <v>TIM Y</v>
      </c>
      <c r="D1188" s="97" t="s">
        <v>54</v>
      </c>
      <c r="E1188" s="99">
        <v>46000.0</v>
      </c>
      <c r="F1188" s="100" t="str">
        <f t="shared" si="1"/>
        <v>2025</v>
      </c>
      <c r="G1188" s="100" t="str">
        <f t="shared" si="2"/>
        <v>12Des</v>
      </c>
      <c r="H1188" s="100" t="str">
        <f t="shared" si="3"/>
        <v>Selasa</v>
      </c>
      <c r="I1188" s="97" t="s">
        <v>99</v>
      </c>
      <c r="J1188" s="97" t="s">
        <v>88</v>
      </c>
      <c r="K1188" s="97" t="s">
        <v>57</v>
      </c>
      <c r="L1188" s="101" t="s">
        <v>684</v>
      </c>
      <c r="M1188" s="102" t="str">
        <f>IFNA(VLOOKUP(L1188,'🙎‍♂️ Pasien'!G:V,2,FALSE),"")</f>
        <v>K9924034069</v>
      </c>
      <c r="N1188" s="103">
        <f>IFNA(VLOOKUP(L1188,'🙎‍♂️ Pasien'!G:L,3,FALSE),"")</f>
        <v>26</v>
      </c>
      <c r="O1188" s="104" t="str">
        <f>IFNA(VLOOKUP(L1188,'🙎‍♂️ Pasien'!G:V,6,FALSE),"")</f>
        <v>LAKI-LAKI</v>
      </c>
      <c r="P1188" s="104" t="str">
        <f>IFNA(VLOOKUP(L1188,'🙎‍♂️ Pasien'!G:V,12,FALSE),"")</f>
        <v>KATOLIK</v>
      </c>
      <c r="Q1188" s="104" t="str">
        <f>IFNA(VLOOKUP(L1188:L1508,'🙎‍♂️ Pasien'!G:V,13,FALSE),"")</f>
        <v>WIRASWASTA</v>
      </c>
      <c r="R1188" s="104" t="str">
        <f t="array" ref="R1188">ifna(xlookup(L1188,'🙎‍♂️ Pasien'!$G$5:$G1508,'🙎‍♂️ Pasien'!$T$5:$T1508),"")</f>
        <v>Dislokasi Bahu</v>
      </c>
      <c r="S1188" s="104" t="str">
        <f t="array" ref="S1188">ifna(xlookup(L1188,'🙎‍♂️ Pasien'!$G$5:$G1508,'🙎‍♂️ Pasien'!$U$5:$U1508),"")</f>
        <v>gym</v>
      </c>
      <c r="T1188" s="97" t="s">
        <v>59</v>
      </c>
      <c r="U1188" s="105" t="s">
        <v>60</v>
      </c>
      <c r="V1188" s="101"/>
      <c r="W1188" s="106" t="b">
        <v>1</v>
      </c>
      <c r="X1188" s="107"/>
      <c r="Y1188" s="108"/>
    </row>
    <row r="1189" ht="22.5" customHeight="1">
      <c r="A1189" s="96"/>
      <c r="B1189" s="97" t="s">
        <v>85</v>
      </c>
      <c r="C1189" s="98" t="str">
        <f t="array" ref="C1189">IFNA(XLOOKUP(J1189,'⚙️ Pengaturan'!$H$5:$H1508,'⚙️ Pengaturan'!$I$5:$I1508),"")</f>
        <v>TIM Y</v>
      </c>
      <c r="D1189" s="97" t="s">
        <v>54</v>
      </c>
      <c r="E1189" s="99">
        <v>46000.0</v>
      </c>
      <c r="F1189" s="100" t="str">
        <f t="shared" si="1"/>
        <v>2025</v>
      </c>
      <c r="G1189" s="100" t="str">
        <f t="shared" si="2"/>
        <v>12Des</v>
      </c>
      <c r="H1189" s="100" t="str">
        <f t="shared" si="3"/>
        <v>Selasa</v>
      </c>
      <c r="I1189" s="97" t="s">
        <v>99</v>
      </c>
      <c r="J1189" s="97" t="s">
        <v>91</v>
      </c>
      <c r="K1189" s="97" t="s">
        <v>63</v>
      </c>
      <c r="L1189" s="101" t="s">
        <v>571</v>
      </c>
      <c r="M1189" s="102" t="str">
        <f>IFNA(VLOOKUP(L1189,'🙎‍♂️ Pasien'!G:V,2,FALSE),"")</f>
        <v>S9225116214</v>
      </c>
      <c r="N1189" s="103">
        <f>IFNA(VLOOKUP(L1189,'🙎‍♂️ Pasien'!G:L,3,FALSE),"")</f>
        <v>33</v>
      </c>
      <c r="O1189" s="104" t="str">
        <f>IFNA(VLOOKUP(L1189,'🙎‍♂️ Pasien'!G:V,6,FALSE),"")</f>
        <v>PEREMPUAN</v>
      </c>
      <c r="P1189" s="104" t="str">
        <f>IFNA(VLOOKUP(L1189,'🙎‍♂️ Pasien'!G:V,12,FALSE),"")</f>
        <v>ISLAM</v>
      </c>
      <c r="Q1189" s="104" t="str">
        <f>IFNA(VLOOKUP(L1189:L1508,'🙎‍♂️ Pasien'!G:V,13,FALSE),"")</f>
        <v>PNS</v>
      </c>
      <c r="R1189" s="104" t="str">
        <f t="array" ref="R1189">ifna(xlookup(L1189,'🙎‍♂️ Pasien'!$G$5:$G1508,'🙎‍♂️ Pasien'!$T$5:$T1508),"")</f>
        <v>KAKI SEBELAH KIRI TERKILIR KARENA JATUH DARI TANGGA</v>
      </c>
      <c r="S1189" s="104" t="str">
        <f t="array" ref="S1189">ifna(xlookup(L1189,'🙎‍♂️ Pasien'!$G$5:$G1508,'🙎‍♂️ Pasien'!$U$5:$U1508),"")</f>
        <v>BEKERJA</v>
      </c>
      <c r="T1189" s="97" t="s">
        <v>59</v>
      </c>
      <c r="U1189" s="105">
        <v>4.0</v>
      </c>
      <c r="V1189" s="101"/>
      <c r="W1189" s="106" t="b">
        <v>1</v>
      </c>
      <c r="X1189" s="107"/>
      <c r="Y1189" s="108"/>
    </row>
    <row r="1190" ht="22.5" customHeight="1">
      <c r="A1190" s="96"/>
      <c r="B1190" s="97" t="s">
        <v>53</v>
      </c>
      <c r="C1190" s="98" t="str">
        <f t="array" ref="C1190">IFNA(XLOOKUP(J1190,'⚙️ Pengaturan'!$H$5:$H1508,'⚙️ Pengaturan'!$I$5:$I1508),"")</f>
        <v>TIM A</v>
      </c>
      <c r="D1190" s="97" t="s">
        <v>86</v>
      </c>
      <c r="E1190" s="99">
        <v>46001.0</v>
      </c>
      <c r="F1190" s="100" t="str">
        <f t="shared" si="1"/>
        <v>2025</v>
      </c>
      <c r="G1190" s="100" t="str">
        <f t="shared" si="2"/>
        <v>12Des</v>
      </c>
      <c r="H1190" s="100" t="str">
        <f t="shared" si="3"/>
        <v>Rabu</v>
      </c>
      <c r="I1190" s="97" t="s">
        <v>55</v>
      </c>
      <c r="J1190" s="97" t="s">
        <v>79</v>
      </c>
      <c r="K1190" s="97" t="s">
        <v>63</v>
      </c>
      <c r="L1190" s="101" t="s">
        <v>108</v>
      </c>
      <c r="M1190" s="102" t="str">
        <f>IFNA(VLOOKUP(L1190,'🙎‍♂️ Pasien'!G:V,2,FALSE),"")</f>
        <v>A5625092572</v>
      </c>
      <c r="N1190" s="103">
        <f>IFNA(VLOOKUP(L1190,'🙎‍♂️ Pasien'!G:L,3,FALSE),"")</f>
        <v>69</v>
      </c>
      <c r="O1190" s="104" t="str">
        <f>IFNA(VLOOKUP(L1190,'🙎‍♂️ Pasien'!G:V,6,FALSE),"")</f>
        <v>PEREMPUAN</v>
      </c>
      <c r="P1190" s="104" t="str">
        <f>IFNA(VLOOKUP(L1190,'🙎‍♂️ Pasien'!G:V,12,FALSE),"")</f>
        <v>ISLAM</v>
      </c>
      <c r="Q1190" s="104" t="str">
        <f>IFNA(VLOOKUP(L1190:L1508,'🙎‍♂️ Pasien'!G:V,13,FALSE),"")</f>
        <v>IRT</v>
      </c>
      <c r="R1190" s="104" t="str">
        <f t="array" ref="R1190">ifna(xlookup(L1190,'🙎‍♂️ Pasien'!$G$5:$G1508,'🙎‍♂️ Pasien'!$T$5:$T1508),"")</f>
        <v>PINGGANG DAN KAKI</v>
      </c>
      <c r="S1190" s="104" t="str">
        <f t="array" ref="S1190">ifna(xlookup(L1190,'🙎‍♂️ Pasien'!$G$5:$G1508,'🙎‍♂️ Pasien'!$U$5:$U1508),"")</f>
        <v>-</v>
      </c>
      <c r="T1190" s="97" t="s">
        <v>59</v>
      </c>
      <c r="U1190" s="105">
        <v>5.0</v>
      </c>
      <c r="V1190" s="101"/>
      <c r="W1190" s="106" t="b">
        <v>1</v>
      </c>
      <c r="X1190" s="107"/>
      <c r="Y1190" s="108"/>
    </row>
    <row r="1191" ht="22.5" customHeight="1">
      <c r="A1191" s="96"/>
      <c r="B1191" s="97" t="s">
        <v>53</v>
      </c>
      <c r="C1191" s="98" t="str">
        <f t="array" ref="C1191">IFNA(XLOOKUP(J1191,'⚙️ Pengaturan'!$H$5:$H1508,'⚙️ Pengaturan'!$I$5:$I1508),"")</f>
        <v>TIM Y</v>
      </c>
      <c r="D1191" s="97" t="s">
        <v>86</v>
      </c>
      <c r="E1191" s="99">
        <v>46001.0</v>
      </c>
      <c r="F1191" s="100" t="str">
        <f t="shared" si="1"/>
        <v>2025</v>
      </c>
      <c r="G1191" s="100" t="str">
        <f t="shared" si="2"/>
        <v>12Des</v>
      </c>
      <c r="H1191" s="100" t="str">
        <f t="shared" si="3"/>
        <v>Rabu</v>
      </c>
      <c r="I1191" s="97" t="s">
        <v>65</v>
      </c>
      <c r="J1191" s="97" t="s">
        <v>56</v>
      </c>
      <c r="K1191" s="97" t="s">
        <v>63</v>
      </c>
      <c r="L1191" s="101" t="s">
        <v>685</v>
      </c>
      <c r="M1191" s="102" t="str">
        <f>IFNA(VLOOKUP(L1191,'🙎‍♂️ Pasien'!G:V,2,FALSE),"")</f>
        <v>W6425129394</v>
      </c>
      <c r="N1191" s="103">
        <f>IFNA(VLOOKUP(L1191,'🙎‍♂️ Pasien'!G:L,3,FALSE),"")</f>
        <v>61</v>
      </c>
      <c r="O1191" s="104" t="str">
        <f>IFNA(VLOOKUP(L1191,'🙎‍♂️ Pasien'!G:V,6,FALSE),"")</f>
        <v>LAKI-LAKI</v>
      </c>
      <c r="P1191" s="104" t="str">
        <f>IFNA(VLOOKUP(L1191,'🙎‍♂️ Pasien'!G:V,12,FALSE),"")</f>
        <v>ISLAM</v>
      </c>
      <c r="Q1191" s="104" t="str">
        <f>IFNA(VLOOKUP(L1191:L1508,'🙎‍♂️ Pasien'!G:V,13,FALSE),"")</f>
        <v>PENSIUNAN</v>
      </c>
      <c r="R1191" s="104" t="str">
        <f t="array" ref="R1191">ifna(xlookup(L1191,'🙎‍♂️ Pasien'!$G$5:$G1508,'🙎‍♂️ Pasien'!$T$5:$T1508),"")</f>
        <v>STROKE</v>
      </c>
      <c r="S1191" s="104" t="str">
        <f t="array" ref="S1191">ifna(xlookup(L1191,'🙎‍♂️ Pasien'!$G$5:$G1508,'🙎‍♂️ Pasien'!$U$5:$U1508),"")</f>
        <v>BERKEBUN</v>
      </c>
      <c r="T1191" s="97" t="s">
        <v>59</v>
      </c>
      <c r="U1191" s="105">
        <v>1.0</v>
      </c>
      <c r="V1191" s="101"/>
      <c r="W1191" s="106" t="b">
        <v>1</v>
      </c>
      <c r="X1191" s="107"/>
      <c r="Y1191" s="108"/>
    </row>
    <row r="1192" ht="22.5" customHeight="1">
      <c r="A1192" s="96"/>
      <c r="B1192" s="97" t="s">
        <v>53</v>
      </c>
      <c r="C1192" s="98" t="str">
        <f t="array" ref="C1192">IFNA(XLOOKUP(J1192,'⚙️ Pengaturan'!$H$5:$H1508,'⚙️ Pengaturan'!$I$5:$I1508),"")</f>
        <v>TIM Y</v>
      </c>
      <c r="D1192" s="97" t="s">
        <v>86</v>
      </c>
      <c r="E1192" s="99">
        <v>46001.0</v>
      </c>
      <c r="F1192" s="100" t="str">
        <f t="shared" si="1"/>
        <v>2025</v>
      </c>
      <c r="G1192" s="100" t="str">
        <f t="shared" si="2"/>
        <v>12Des</v>
      </c>
      <c r="H1192" s="100" t="str">
        <f t="shared" si="3"/>
        <v>Rabu</v>
      </c>
      <c r="I1192" s="97" t="s">
        <v>74</v>
      </c>
      <c r="J1192" s="97" t="s">
        <v>56</v>
      </c>
      <c r="K1192" s="97" t="s">
        <v>57</v>
      </c>
      <c r="L1192" s="101" t="s">
        <v>686</v>
      </c>
      <c r="M1192" s="102" t="str">
        <f>IFNA(VLOOKUP(L1192,'🙎‍♂️ Pasien'!G:V,2,FALSE),"")</f>
        <v>A0125120628</v>
      </c>
      <c r="N1192" s="103">
        <f>IFNA(VLOOKUP(L1192,'🙎‍♂️ Pasien'!G:L,3,FALSE),"")</f>
        <v>24</v>
      </c>
      <c r="O1192" s="104" t="str">
        <f>IFNA(VLOOKUP(L1192,'🙎‍♂️ Pasien'!G:V,6,FALSE),"")</f>
        <v>LAKI-LAKI</v>
      </c>
      <c r="P1192" s="104" t="str">
        <f>IFNA(VLOOKUP(L1192,'🙎‍♂️ Pasien'!G:V,12,FALSE),"")</f>
        <v>ISLAM</v>
      </c>
      <c r="Q1192" s="104" t="str">
        <f>IFNA(VLOOKUP(L1192:L1508,'🙎‍♂️ Pasien'!G:V,13,FALSE),"")</f>
        <v>POLRI</v>
      </c>
      <c r="R1192" s="104" t="str">
        <f t="array" ref="R1192">ifna(xlookup(L1192,'🙎‍♂️ Pasien'!$G$5:$G1508,'🙎‍♂️ Pasien'!$T$5:$T1508),"")</f>
        <v>ANKLE</v>
      </c>
      <c r="S1192" s="104" t="str">
        <f t="array" ref="S1192">ifna(xlookup(L1192,'🙎‍♂️ Pasien'!$G$5:$G1508,'🙎‍♂️ Pasien'!$U$5:$U1508),"")</f>
        <v>.</v>
      </c>
      <c r="T1192" s="97" t="s">
        <v>67</v>
      </c>
      <c r="U1192" s="105" t="s">
        <v>60</v>
      </c>
      <c r="V1192" s="101" t="s">
        <v>687</v>
      </c>
      <c r="W1192" s="106" t="b">
        <v>1</v>
      </c>
      <c r="X1192" s="107"/>
      <c r="Y1192" s="108"/>
    </row>
    <row r="1193" ht="22.5" customHeight="1">
      <c r="A1193" s="96"/>
      <c r="B1193" s="97" t="s">
        <v>53</v>
      </c>
      <c r="C1193" s="98" t="str">
        <f t="array" ref="C1193">IFNA(XLOOKUP(J1193,'⚙️ Pengaturan'!$H$5:$H1508,'⚙️ Pengaturan'!$I$5:$I1508),"")</f>
        <v>TIM A</v>
      </c>
      <c r="D1193" s="97" t="s">
        <v>86</v>
      </c>
      <c r="E1193" s="99">
        <v>46001.0</v>
      </c>
      <c r="F1193" s="100" t="str">
        <f t="shared" si="1"/>
        <v>2025</v>
      </c>
      <c r="G1193" s="100" t="str">
        <f t="shared" si="2"/>
        <v>12Des</v>
      </c>
      <c r="H1193" s="100" t="str">
        <f t="shared" si="3"/>
        <v>Rabu</v>
      </c>
      <c r="I1193" s="97" t="s">
        <v>74</v>
      </c>
      <c r="J1193" s="97" t="s">
        <v>62</v>
      </c>
      <c r="K1193" s="97" t="s">
        <v>63</v>
      </c>
      <c r="L1193" s="101" t="s">
        <v>641</v>
      </c>
      <c r="M1193" s="102" t="str">
        <f>IFNA(VLOOKUP(L1193,'🙎‍♂️ Pasien'!G:V,2,FALSE),"")</f>
        <v>S4425117922</v>
      </c>
      <c r="N1193" s="103">
        <f>IFNA(VLOOKUP(L1193,'🙎‍♂️ Pasien'!G:L,3,FALSE),"")</f>
        <v>82</v>
      </c>
      <c r="O1193" s="104" t="str">
        <f>IFNA(VLOOKUP(L1193,'🙎‍♂️ Pasien'!G:V,6,FALSE),"")</f>
        <v>PEREMPUAN</v>
      </c>
      <c r="P1193" s="104" t="str">
        <f>IFNA(VLOOKUP(L1193,'🙎‍♂️ Pasien'!G:V,12,FALSE),"")</f>
        <v>KATOLIK</v>
      </c>
      <c r="Q1193" s="104" t="str">
        <f>IFNA(VLOOKUP(L1193:L1508,'🙎‍♂️ Pasien'!G:V,13,FALSE),"")</f>
        <v>PENSIUNAN</v>
      </c>
      <c r="R1193" s="104" t="str">
        <f t="array" ref="R1193">ifna(xlookup(L1193,'🙎‍♂️ Pasien'!$G$5:$G1508,'🙎‍♂️ Pasien'!$T$5:$T1508),"")</f>
        <v>OTOT LEMAH SETELAH SEMBUH DARI JATUH</v>
      </c>
      <c r="S1193" s="104" t="str">
        <f t="array" ref="S1193">ifna(xlookup(L1193,'🙎‍♂️ Pasien'!$G$5:$G1508,'🙎‍♂️ Pasien'!$U$5:$U1508),"")</f>
        <v>NO APPLICABLE</v>
      </c>
      <c r="T1193" s="97" t="s">
        <v>59</v>
      </c>
      <c r="U1193" s="105">
        <v>4.0</v>
      </c>
      <c r="V1193" s="101"/>
      <c r="W1193" s="106" t="b">
        <v>1</v>
      </c>
      <c r="X1193" s="107"/>
      <c r="Y1193" s="108"/>
    </row>
    <row r="1194" ht="22.5" customHeight="1">
      <c r="A1194" s="96"/>
      <c r="B1194" s="97" t="s">
        <v>53</v>
      </c>
      <c r="C1194" s="98" t="str">
        <f t="array" ref="C1194">IFNA(XLOOKUP(J1194,'⚙️ Pengaturan'!$H$5:$H1508,'⚙️ Pengaturan'!$I$5:$I1508),"")</f>
        <v>TIM Y</v>
      </c>
      <c r="D1194" s="97" t="s">
        <v>86</v>
      </c>
      <c r="E1194" s="99">
        <v>46001.0</v>
      </c>
      <c r="F1194" s="100" t="str">
        <f t="shared" si="1"/>
        <v>2025</v>
      </c>
      <c r="G1194" s="100" t="str">
        <f t="shared" si="2"/>
        <v>12Des</v>
      </c>
      <c r="H1194" s="100" t="str">
        <f t="shared" si="3"/>
        <v>Rabu</v>
      </c>
      <c r="I1194" s="97" t="s">
        <v>76</v>
      </c>
      <c r="J1194" s="97" t="s">
        <v>56</v>
      </c>
      <c r="K1194" s="97" t="s">
        <v>57</v>
      </c>
      <c r="L1194" s="101" t="s">
        <v>688</v>
      </c>
      <c r="M1194" s="102" t="str">
        <f>IFNA(VLOOKUP(L1194,'🙎‍♂️ Pasien'!G:V,2,FALSE),"")</f>
        <v>G0225127367</v>
      </c>
      <c r="N1194" s="103">
        <f>IFNA(VLOOKUP(L1194,'🙎‍♂️ Pasien'!G:L,3,FALSE),"")</f>
        <v>24</v>
      </c>
      <c r="O1194" s="104" t="str">
        <f>IFNA(VLOOKUP(L1194,'🙎‍♂️ Pasien'!G:V,6,FALSE),"")</f>
        <v>LAKI-LAKI</v>
      </c>
      <c r="P1194" s="104" t="str">
        <f>IFNA(VLOOKUP(L1194,'🙎‍♂️ Pasien'!G:V,12,FALSE),"")</f>
        <v>KATOLIK</v>
      </c>
      <c r="Q1194" s="104" t="str">
        <f>IFNA(VLOOKUP(L1194:L1508,'🙎‍♂️ Pasien'!G:V,13,FALSE),"")</f>
        <v>MAHASISWA</v>
      </c>
      <c r="R1194" s="104" t="str">
        <f t="array" ref="R1194">ifna(xlookup(L1194,'🙎‍♂️ Pasien'!$G$5:$G1508,'🙎‍♂️ Pasien'!$T$5:$T1508),"")</f>
        <v>CIDERA LUTUT</v>
      </c>
      <c r="S1194" s="104" t="str">
        <f t="array" ref="S1194">ifna(xlookup(L1194,'🙎‍♂️ Pasien'!$G$5:$G1508,'🙎‍♂️ Pasien'!$U$5:$U1508),"")</f>
        <v>SEPAK BOLA</v>
      </c>
      <c r="T1194" s="97" t="s">
        <v>59</v>
      </c>
      <c r="U1194" s="105" t="s">
        <v>60</v>
      </c>
      <c r="V1194" s="101"/>
      <c r="W1194" s="106" t="b">
        <v>1</v>
      </c>
      <c r="X1194" s="107"/>
      <c r="Y1194" s="108"/>
    </row>
    <row r="1195" ht="22.5" customHeight="1">
      <c r="A1195" s="96"/>
      <c r="B1195" s="97" t="s">
        <v>53</v>
      </c>
      <c r="C1195" s="98" t="str">
        <f t="array" ref="C1195">IFNA(XLOOKUP(J1195,'⚙️ Pengaturan'!$H$5:$H1508,'⚙️ Pengaturan'!$I$5:$I1508),"")</f>
        <v>TIM A</v>
      </c>
      <c r="D1195" s="97" t="s">
        <v>86</v>
      </c>
      <c r="E1195" s="99">
        <v>46001.0</v>
      </c>
      <c r="F1195" s="100" t="str">
        <f t="shared" si="1"/>
        <v>2025</v>
      </c>
      <c r="G1195" s="100" t="str">
        <f t="shared" si="2"/>
        <v>12Des</v>
      </c>
      <c r="H1195" s="100" t="str">
        <f t="shared" si="3"/>
        <v>Rabu</v>
      </c>
      <c r="I1195" s="97" t="s">
        <v>76</v>
      </c>
      <c r="J1195" s="97" t="s">
        <v>62</v>
      </c>
      <c r="K1195" s="97" t="s">
        <v>63</v>
      </c>
      <c r="L1195" s="101" t="s">
        <v>430</v>
      </c>
      <c r="M1195" s="102" t="str">
        <f>IFNA(VLOOKUP(L1195,'🙎‍♂️ Pasien'!G:V,2,FALSE),"")</f>
        <v>J5525063513</v>
      </c>
      <c r="N1195" s="103">
        <f>IFNA(VLOOKUP(L1195,'🙎‍♂️ Pasien'!G:L,3,FALSE),"")</f>
        <v>71</v>
      </c>
      <c r="O1195" s="104" t="str">
        <f>IFNA(VLOOKUP(L1195,'🙎‍♂️ Pasien'!G:V,6,FALSE),"")</f>
        <v>PEREMPUAN</v>
      </c>
      <c r="P1195" s="104" t="str">
        <f>IFNA(VLOOKUP(L1195,'🙎‍♂️ Pasien'!G:V,12,FALSE),"")</f>
        <v>KATOLIK</v>
      </c>
      <c r="Q1195" s="104" t="str">
        <f>IFNA(VLOOKUP(L1195:L1508,'🙎‍♂️ Pasien'!G:V,13,FALSE),"")</f>
        <v>IBU RUMAH TANGGA</v>
      </c>
      <c r="R1195" s="104" t="str">
        <f t="array" ref="R1195">ifna(xlookup(L1195,'🙎‍♂️ Pasien'!$G$5:$G1508,'🙎‍♂️ Pasien'!$T$5:$T1508),"")</f>
        <v>BAGIAN PANTAT SAKIT</v>
      </c>
      <c r="S1195" s="104" t="str">
        <f t="array" ref="S1195">ifna(xlookup(L1195,'🙎‍♂️ Pasien'!$G$5:$G1508,'🙎‍♂️ Pasien'!$U$5:$U1508),"")</f>
        <v>BARU OPERASI TULANG SUMSUNG BELAKANG KARENA SARAF KEJEPIT 1 BULAN LALU</v>
      </c>
      <c r="T1195" s="97" t="s">
        <v>59</v>
      </c>
      <c r="U1195" s="105">
        <v>10.0</v>
      </c>
      <c r="V1195" s="101"/>
      <c r="W1195" s="106" t="b">
        <v>1</v>
      </c>
      <c r="X1195" s="107"/>
      <c r="Y1195" s="108"/>
    </row>
    <row r="1196" ht="22.5" customHeight="1">
      <c r="A1196" s="96"/>
      <c r="B1196" s="97" t="s">
        <v>53</v>
      </c>
      <c r="C1196" s="98" t="str">
        <f t="array" ref="C1196">IFNA(XLOOKUP(J1196,'⚙️ Pengaturan'!$H$5:$H1508,'⚙️ Pengaturan'!$I$5:$I1508),"")</f>
        <v>TIM Y</v>
      </c>
      <c r="D1196" s="97" t="s">
        <v>86</v>
      </c>
      <c r="E1196" s="99">
        <v>46001.0</v>
      </c>
      <c r="F1196" s="100" t="str">
        <f t="shared" si="1"/>
        <v>2025</v>
      </c>
      <c r="G1196" s="100" t="str">
        <f t="shared" si="2"/>
        <v>12Des</v>
      </c>
      <c r="H1196" s="100" t="str">
        <f t="shared" si="3"/>
        <v>Rabu</v>
      </c>
      <c r="I1196" s="97" t="s">
        <v>83</v>
      </c>
      <c r="J1196" s="97" t="s">
        <v>56</v>
      </c>
      <c r="K1196" s="97" t="s">
        <v>57</v>
      </c>
      <c r="L1196" s="101" t="s">
        <v>689</v>
      </c>
      <c r="M1196" s="102" t="str">
        <f>IFNA(VLOOKUP(L1196,'🙎‍♂️ Pasien'!G:V,2,FALSE),"")</f>
        <v>S8825078486</v>
      </c>
      <c r="N1196" s="103">
        <f>IFNA(VLOOKUP(L1196,'🙎‍♂️ Pasien'!G:L,3,FALSE),"")</f>
        <v>38</v>
      </c>
      <c r="O1196" s="104" t="str">
        <f>IFNA(VLOOKUP(L1196,'🙎‍♂️ Pasien'!G:V,6,FALSE),"")</f>
        <v>LAKI-LAKI</v>
      </c>
      <c r="P1196" s="104" t="str">
        <f>IFNA(VLOOKUP(L1196,'🙎‍♂️ Pasien'!G:V,12,FALSE),"")</f>
        <v>KATOLIK</v>
      </c>
      <c r="Q1196" s="104" t="str">
        <f>IFNA(VLOOKUP(L1196:L1508,'🙎‍♂️ Pasien'!G:V,13,FALSE),"")</f>
        <v>WIRASWASTA</v>
      </c>
      <c r="R1196" s="104" t="str">
        <f t="array" ref="R1196">ifna(xlookup(L1196,'🙎‍♂️ Pasien'!$G$5:$G1508,'🙎‍♂️ Pasien'!$T$5:$T1508),"")</f>
        <v>SAKIT TULANG EKOR</v>
      </c>
      <c r="S1196" s="104" t="str">
        <f t="array" ref="S1196">ifna(xlookup(L1196,'🙎‍♂️ Pasien'!$G$5:$G1508,'🙎‍♂️ Pasien'!$U$5:$U1508),"")</f>
        <v>SERING NAIK MOTOR MELALUI JALAN YG JELEK JATUH DARI MOTOR</v>
      </c>
      <c r="T1196" s="97" t="s">
        <v>67</v>
      </c>
      <c r="U1196" s="105" t="s">
        <v>60</v>
      </c>
      <c r="V1196" s="101" t="s">
        <v>690</v>
      </c>
      <c r="W1196" s="106" t="b">
        <v>1</v>
      </c>
      <c r="X1196" s="107"/>
      <c r="Y1196" s="108"/>
    </row>
    <row r="1197" ht="22.5" customHeight="1">
      <c r="A1197" s="96"/>
      <c r="B1197" s="97" t="s">
        <v>53</v>
      </c>
      <c r="C1197" s="98" t="str">
        <f t="array" ref="C1197">IFNA(XLOOKUP(J1197,'⚙️ Pengaturan'!$H$5:$H1508,'⚙️ Pengaturan'!$I$5:$I1508),"")</f>
        <v>TIM A</v>
      </c>
      <c r="D1197" s="97" t="s">
        <v>86</v>
      </c>
      <c r="E1197" s="99">
        <v>46001.0</v>
      </c>
      <c r="F1197" s="100" t="str">
        <f t="shared" si="1"/>
        <v>2025</v>
      </c>
      <c r="G1197" s="100" t="str">
        <f t="shared" si="2"/>
        <v>12Des</v>
      </c>
      <c r="H1197" s="100" t="str">
        <f t="shared" si="3"/>
        <v>Rabu</v>
      </c>
      <c r="I1197" s="97" t="s">
        <v>83</v>
      </c>
      <c r="J1197" s="97" t="s">
        <v>62</v>
      </c>
      <c r="K1197" s="97" t="s">
        <v>63</v>
      </c>
      <c r="L1197" s="101" t="s">
        <v>665</v>
      </c>
      <c r="M1197" s="102" t="str">
        <f>IFNA(VLOOKUP(L1197,'🙎‍♂️ Pasien'!G:V,2,FALSE),"")</f>
        <v>V9225074870</v>
      </c>
      <c r="N1197" s="103">
        <f>IFNA(VLOOKUP(L1197,'🙎‍♂️ Pasien'!G:L,3,FALSE),"")</f>
        <v>33</v>
      </c>
      <c r="O1197" s="104" t="str">
        <f>IFNA(VLOOKUP(L1197,'🙎‍♂️ Pasien'!G:V,6,FALSE),"")</f>
        <v>PEREMPUAN</v>
      </c>
      <c r="P1197" s="104" t="str">
        <f>IFNA(VLOOKUP(L1197,'🙎‍♂️ Pasien'!G:V,12,FALSE),"")</f>
        <v>KATOLIK</v>
      </c>
      <c r="Q1197" s="104" t="str">
        <f>IFNA(VLOOKUP(L1197:L1508,'🙎‍♂️ Pasien'!G:V,13,FALSE),"")</f>
        <v>IBU RUMAH TANGGA</v>
      </c>
      <c r="R1197" s="104" t="str">
        <f t="array" ref="R1197">ifna(xlookup(L1197,'🙎‍♂️ Pasien'!$G$5:$G1508,'🙎‍♂️ Pasien'!$T$5:$T1508),"")</f>
        <v>SAKIT PUNGGUNG DAN TULANG BELAKANG</v>
      </c>
      <c r="S1197" s="104" t="str">
        <f t="array" ref="S1197">ifna(xlookup(L1197,'🙎‍♂️ Pasien'!$G$5:$G1508,'🙎‍♂️ Pasien'!$U$5:$U1508),"")</f>
        <v>DUDUK DAN PAKAI SANDAL TIPIS</v>
      </c>
      <c r="T1197" s="97" t="s">
        <v>67</v>
      </c>
      <c r="U1197" s="105">
        <v>9.0</v>
      </c>
      <c r="V1197" s="101" t="s">
        <v>690</v>
      </c>
      <c r="W1197" s="106" t="b">
        <v>1</v>
      </c>
      <c r="X1197" s="107"/>
      <c r="Y1197" s="108"/>
    </row>
    <row r="1198" ht="22.5" customHeight="1">
      <c r="A1198" s="96"/>
      <c r="B1198" s="97" t="s">
        <v>85</v>
      </c>
      <c r="C1198" s="98" t="str">
        <f t="array" ref="C1198">IFNA(XLOOKUP(J1198,'⚙️ Pengaturan'!$H$5:$H1508,'⚙️ Pengaturan'!$I$5:$I1508),"")</f>
        <v>TIM Y</v>
      </c>
      <c r="D1198" s="97" t="s">
        <v>54</v>
      </c>
      <c r="E1198" s="99">
        <v>46001.0</v>
      </c>
      <c r="F1198" s="100" t="str">
        <f t="shared" si="1"/>
        <v>2025</v>
      </c>
      <c r="G1198" s="100" t="str">
        <f t="shared" si="2"/>
        <v>12Des</v>
      </c>
      <c r="H1198" s="100" t="str">
        <f t="shared" si="3"/>
        <v>Rabu</v>
      </c>
      <c r="I1198" s="97" t="s">
        <v>87</v>
      </c>
      <c r="J1198" s="97" t="s">
        <v>88</v>
      </c>
      <c r="K1198" s="97" t="s">
        <v>63</v>
      </c>
      <c r="L1198" s="101" t="s">
        <v>672</v>
      </c>
      <c r="M1198" s="102" t="str">
        <f>IFNA(VLOOKUP(L1198,'🙎‍♂️ Pasien'!G:V,2,FALSE),"")</f>
        <v>A9825122289</v>
      </c>
      <c r="N1198" s="103">
        <f>IFNA(VLOOKUP(L1198,'🙎‍♂️ Pasien'!G:L,3,FALSE),"")</f>
        <v>28</v>
      </c>
      <c r="O1198" s="104" t="str">
        <f>IFNA(VLOOKUP(L1198,'🙎‍♂️ Pasien'!G:V,6,FALSE),"")</f>
        <v>LAKI-LAKI</v>
      </c>
      <c r="P1198" s="104" t="str">
        <f>IFNA(VLOOKUP(L1198,'🙎‍♂️ Pasien'!G:V,12,FALSE),"")</f>
        <v>ISLAM</v>
      </c>
      <c r="Q1198" s="104" t="str">
        <f>IFNA(VLOOKUP(L1198:L1508,'🙎‍♂️ Pasien'!G:V,13,FALSE),"")</f>
        <v>DI BANDARA</v>
      </c>
      <c r="R1198" s="104" t="str">
        <f t="array" ref="R1198">ifna(xlookup(L1198,'🙎‍♂️ Pasien'!$G$5:$G1508,'🙎‍♂️ Pasien'!$T$5:$T1508),"")</f>
        <v>PINGGANG SAKIT NYERI SETELAH ANGKAT BEBAN, ENKLE KAKI NYERI KIRI KANAN SUDAH LAMA, DI PERGELANGAN TANGAN KIRI KANAN NYERI AKIBAT ANGKAT BEBAN,JEMPO TANGAN KIRI KESELEO</v>
      </c>
      <c r="S1198" s="104" t="str">
        <f t="array" ref="S1198">ifna(xlookup(L1198,'🙎‍♂️ Pasien'!$G$5:$G1508,'🙎‍♂️ Pasien'!$U$5:$U1508),"")</f>
        <v>GYM, JOGGING, SEPAK BOLA</v>
      </c>
      <c r="T1198" s="97" t="s">
        <v>59</v>
      </c>
      <c r="U1198" s="105">
        <v>1.0</v>
      </c>
      <c r="V1198" s="101"/>
      <c r="W1198" s="106" t="b">
        <v>1</v>
      </c>
      <c r="X1198" s="107"/>
      <c r="Y1198" s="108"/>
    </row>
    <row r="1199" ht="22.5" customHeight="1">
      <c r="A1199" s="96"/>
      <c r="B1199" s="97" t="s">
        <v>85</v>
      </c>
      <c r="C1199" s="98" t="str">
        <f t="array" ref="C1199">IFNA(XLOOKUP(J1199,'⚙️ Pengaturan'!$H$5:$H1508,'⚙️ Pengaturan'!$I$5:$I1508),"")</f>
        <v>TIM Y</v>
      </c>
      <c r="D1199" s="97" t="s">
        <v>54</v>
      </c>
      <c r="E1199" s="99">
        <v>46001.0</v>
      </c>
      <c r="F1199" s="100" t="str">
        <f t="shared" si="1"/>
        <v>2025</v>
      </c>
      <c r="G1199" s="100" t="str">
        <f t="shared" si="2"/>
        <v>12Des</v>
      </c>
      <c r="H1199" s="100" t="str">
        <f t="shared" si="3"/>
        <v>Rabu</v>
      </c>
      <c r="I1199" s="97" t="s">
        <v>93</v>
      </c>
      <c r="J1199" s="97" t="s">
        <v>88</v>
      </c>
      <c r="K1199" s="97" t="s">
        <v>57</v>
      </c>
      <c r="L1199" s="101" t="s">
        <v>691</v>
      </c>
      <c r="M1199" s="102" t="str">
        <f>IFNA(VLOOKUP(L1199,'🙎‍♂️ Pasien'!G:V,2,FALSE),"")</f>
        <v>A7825121998</v>
      </c>
      <c r="N1199" s="103">
        <f>IFNA(VLOOKUP(L1199,'🙎‍♂️ Pasien'!G:L,3,FALSE),"")</f>
        <v>47</v>
      </c>
      <c r="O1199" s="104" t="str">
        <f>IFNA(VLOOKUP(L1199,'🙎‍♂️ Pasien'!G:V,6,FALSE),"")</f>
        <v>LAKI-LAKI</v>
      </c>
      <c r="P1199" s="104" t="str">
        <f>IFNA(VLOOKUP(L1199,'🙎‍♂️ Pasien'!G:V,12,FALSE),"")</f>
        <v>ISLAM</v>
      </c>
      <c r="Q1199" s="104" t="str">
        <f>IFNA(VLOOKUP(L1199:L1508,'🙎‍♂️ Pasien'!G:V,13,FALSE),"")</f>
        <v>POLRI</v>
      </c>
      <c r="R1199" s="104" t="str">
        <f t="array" ref="R1199">ifna(xlookup(L1199,'🙎‍♂️ Pasien'!$G$5:$G1508,'🙎‍♂️ Pasien'!$T$5:$T1508),"")</f>
        <v>SAKIT KAKI</v>
      </c>
      <c r="S1199" s="104" t="str">
        <f t="array" ref="S1199">ifna(xlookup(L1199,'🙎‍♂️ Pasien'!$G$5:$G1508,'🙎‍♂️ Pasien'!$U$5:$U1508),"")</f>
        <v>OLAHRAGA</v>
      </c>
      <c r="T1199" s="97" t="s">
        <v>59</v>
      </c>
      <c r="U1199" s="105" t="s">
        <v>60</v>
      </c>
      <c r="V1199" s="101"/>
      <c r="W1199" s="106" t="b">
        <v>1</v>
      </c>
      <c r="X1199" s="107"/>
      <c r="Y1199" s="108"/>
    </row>
    <row r="1200" ht="22.5" customHeight="1">
      <c r="A1200" s="96"/>
      <c r="B1200" s="97" t="s">
        <v>85</v>
      </c>
      <c r="C1200" s="98" t="str">
        <f t="array" ref="C1200">IFNA(XLOOKUP(J1200,'⚙️ Pengaturan'!$H$5:$H1508,'⚙️ Pengaturan'!$I$5:$I1508),"")</f>
        <v>TIM Y</v>
      </c>
      <c r="D1200" s="97" t="s">
        <v>54</v>
      </c>
      <c r="E1200" s="99">
        <v>46001.0</v>
      </c>
      <c r="F1200" s="100" t="str">
        <f t="shared" si="1"/>
        <v>2025</v>
      </c>
      <c r="G1200" s="100" t="str">
        <f t="shared" si="2"/>
        <v>12Des</v>
      </c>
      <c r="H1200" s="100" t="str">
        <f t="shared" si="3"/>
        <v>Rabu</v>
      </c>
      <c r="I1200" s="97" t="s">
        <v>93</v>
      </c>
      <c r="J1200" s="97" t="s">
        <v>509</v>
      </c>
      <c r="K1200" s="97" t="s">
        <v>63</v>
      </c>
      <c r="L1200" s="101" t="s">
        <v>586</v>
      </c>
      <c r="M1200" s="102" t="str">
        <f>IFNA(VLOOKUP(L1200,'🙎‍♂️ Pasien'!G:V,2,FALSE),"")</f>
        <v>B0924114293</v>
      </c>
      <c r="N1200" s="103">
        <f>IFNA(VLOOKUP(L1200,'🙎‍♂️ Pasien'!G:L,3,FALSE),"")</f>
        <v>16</v>
      </c>
      <c r="O1200" s="104" t="str">
        <f>IFNA(VLOOKUP(L1200,'🙎‍♂️ Pasien'!G:V,6,FALSE),"")</f>
        <v>LAKI-LAKI</v>
      </c>
      <c r="P1200" s="104" t="str">
        <f>IFNA(VLOOKUP(L1200,'🙎‍♂️ Pasien'!G:V,12,FALSE),"")</f>
        <v>ISLAM</v>
      </c>
      <c r="Q1200" s="104" t="str">
        <f>IFNA(VLOOKUP(L1200:L1508,'🙎‍♂️ Pasien'!G:V,13,FALSE),"")</f>
        <v>PELAJAR/MAHASISWA</v>
      </c>
      <c r="R1200" s="104" t="str">
        <f t="array" ref="R1200">ifna(xlookup(L1200,'🙎‍♂️ Pasien'!$G$5:$G1508,'🙎‍♂️ Pasien'!$T$5:$T1508),"")</f>
        <v>SAKIT PADA BAHU</v>
      </c>
      <c r="S1200" s="104" t="str">
        <f t="array" ref="S1200">ifna(xlookup(L1200,'🙎‍♂️ Pasien'!$G$5:$G1508,'🙎‍♂️ Pasien'!$U$5:$U1508),"")</f>
        <v>OLAHARAGA VOLEYY</v>
      </c>
      <c r="T1200" s="97" t="s">
        <v>59</v>
      </c>
      <c r="U1200" s="105">
        <v>4.0</v>
      </c>
      <c r="V1200" s="101"/>
      <c r="W1200" s="106" t="b">
        <v>1</v>
      </c>
      <c r="X1200" s="107"/>
      <c r="Y1200" s="108"/>
    </row>
    <row r="1201" ht="22.5" customHeight="1">
      <c r="A1201" s="96"/>
      <c r="B1201" s="97" t="s">
        <v>85</v>
      </c>
      <c r="C1201" s="98" t="str">
        <f t="array" ref="C1201">IFNA(XLOOKUP(J1201,'⚙️ Pengaturan'!$H$5:$H1508,'⚙️ Pengaturan'!$I$5:$I1508),"")</f>
        <v>TIM Y</v>
      </c>
      <c r="D1201" s="97" t="s">
        <v>54</v>
      </c>
      <c r="E1201" s="99">
        <v>46001.0</v>
      </c>
      <c r="F1201" s="100" t="str">
        <f t="shared" si="1"/>
        <v>2025</v>
      </c>
      <c r="G1201" s="100" t="str">
        <f t="shared" si="2"/>
        <v>12Des</v>
      </c>
      <c r="H1201" s="100" t="str">
        <f t="shared" si="3"/>
        <v>Rabu</v>
      </c>
      <c r="I1201" s="97" t="s">
        <v>95</v>
      </c>
      <c r="J1201" s="97" t="s">
        <v>88</v>
      </c>
      <c r="K1201" s="97" t="s">
        <v>63</v>
      </c>
      <c r="L1201" s="101" t="s">
        <v>673</v>
      </c>
      <c r="M1201" s="102" t="str">
        <f>IFNA(VLOOKUP(L1201,'🙎‍♂️ Pasien'!G:V,2,FALSE),"")</f>
        <v>K8825128215</v>
      </c>
      <c r="N1201" s="103">
        <f>IFNA(VLOOKUP(L1201,'🙎‍♂️ Pasien'!G:L,3,FALSE),"")</f>
        <v>37</v>
      </c>
      <c r="O1201" s="104" t="str">
        <f>IFNA(VLOOKUP(L1201,'🙎‍♂️ Pasien'!G:V,6,FALSE),"")</f>
        <v>LAKI-LAKI</v>
      </c>
      <c r="P1201" s="104" t="str">
        <f>IFNA(VLOOKUP(L1201,'🙎‍♂️ Pasien'!G:V,12,FALSE),"")</f>
        <v>PROTESTAN</v>
      </c>
      <c r="Q1201" s="104" t="str">
        <f>IFNA(VLOOKUP(L1201:L1508,'🙎‍♂️ Pasien'!G:V,13,FALSE),"")</f>
        <v>PNS</v>
      </c>
      <c r="R1201" s="104" t="str">
        <f t="array" ref="R1201">ifna(xlookup(L1201,'🙎‍♂️ Pasien'!$G$5:$G1508,'🙎‍♂️ Pasien'!$T$5:$T1508),"")</f>
        <v>CIDERA OTOT PAHA</v>
      </c>
      <c r="S1201" s="104" t="str">
        <f t="array" ref="S1201">ifna(xlookup(L1201,'🙎‍♂️ Pasien'!$G$5:$G1508,'🙎‍♂️ Pasien'!$U$5:$U1508),"")</f>
        <v>LARI DAN SEPAKBOLA</v>
      </c>
      <c r="T1201" s="97" t="s">
        <v>59</v>
      </c>
      <c r="U1201" s="105" t="s">
        <v>60</v>
      </c>
      <c r="V1201" s="101"/>
      <c r="W1201" s="106" t="b">
        <v>1</v>
      </c>
      <c r="X1201" s="107"/>
      <c r="Y1201" s="108"/>
    </row>
    <row r="1202" ht="22.5" customHeight="1">
      <c r="A1202" s="96"/>
      <c r="B1202" s="97" t="s">
        <v>85</v>
      </c>
      <c r="C1202" s="98" t="str">
        <f t="array" ref="C1202">IFNA(XLOOKUP(J1202,'⚙️ Pengaturan'!$H$5:$H1508,'⚙️ Pengaturan'!$I$5:$I1508),"")</f>
        <v>TIM Y</v>
      </c>
      <c r="D1202" s="97" t="s">
        <v>54</v>
      </c>
      <c r="E1202" s="99">
        <v>46001.0</v>
      </c>
      <c r="F1202" s="100" t="str">
        <f t="shared" si="1"/>
        <v>2025</v>
      </c>
      <c r="G1202" s="100" t="str">
        <f t="shared" si="2"/>
        <v>12Des</v>
      </c>
      <c r="H1202" s="100" t="str">
        <f t="shared" si="3"/>
        <v>Rabu</v>
      </c>
      <c r="I1202" s="97" t="s">
        <v>95</v>
      </c>
      <c r="J1202" s="97" t="s">
        <v>509</v>
      </c>
      <c r="K1202" s="97" t="s">
        <v>57</v>
      </c>
      <c r="L1202" s="101" t="s">
        <v>692</v>
      </c>
      <c r="M1202" s="102" t="str">
        <f>IFNA(VLOOKUP(L1202,'🙎‍♂️ Pasien'!G:V,2,FALSE),"")</f>
        <v>R9024087560</v>
      </c>
      <c r="N1202" s="103">
        <f>IFNA(VLOOKUP(L1202,'🙎‍♂️ Pasien'!G:L,3,FALSE),"")</f>
        <v>35</v>
      </c>
      <c r="O1202" s="104" t="str">
        <f>IFNA(VLOOKUP(L1202,'🙎‍♂️ Pasien'!G:V,6,FALSE),"")</f>
        <v>PEREMPUAN</v>
      </c>
      <c r="P1202" s="104" t="str">
        <f>IFNA(VLOOKUP(L1202,'🙎‍♂️ Pasien'!G:V,12,FALSE),"")</f>
        <v>KATOLIK</v>
      </c>
      <c r="Q1202" s="104" t="str">
        <f>IFNA(VLOOKUP(L1202:L1508,'🙎‍♂️ Pasien'!G:V,13,FALSE),"")</f>
        <v>SWASTA</v>
      </c>
      <c r="R1202" s="104" t="str">
        <f t="array" ref="R1202">ifna(xlookup(L1202,'🙎‍♂️ Pasien'!$G$5:$G1508,'🙎‍♂️ Pasien'!$T$5:$T1508),"")</f>
        <v>Syaraf kejepit di L4 dan L5</v>
      </c>
      <c r="S1202" s="104" t="str">
        <f t="array" ref="S1202">ifna(xlookup(L1202,'🙎‍♂️ Pasien'!$G$5:$G1508,'🙎‍♂️ Pasien'!$U$5:$U1508),"")</f>
        <v>Nonton</v>
      </c>
      <c r="T1202" s="97" t="s">
        <v>59</v>
      </c>
      <c r="U1202" s="105" t="s">
        <v>60</v>
      </c>
      <c r="V1202" s="101"/>
      <c r="W1202" s="106" t="b">
        <v>1</v>
      </c>
      <c r="X1202" s="107"/>
      <c r="Y1202" s="108"/>
    </row>
    <row r="1203" ht="22.5" customHeight="1">
      <c r="A1203" s="96"/>
      <c r="B1203" s="97" t="s">
        <v>85</v>
      </c>
      <c r="C1203" s="98" t="str">
        <f t="array" ref="C1203">IFNA(XLOOKUP(J1203,'⚙️ Pengaturan'!$H$5:$H1508,'⚙️ Pengaturan'!$I$5:$I1508),"")</f>
        <v>TIM Y</v>
      </c>
      <c r="D1203" s="97" t="s">
        <v>54</v>
      </c>
      <c r="E1203" s="99">
        <v>46001.0</v>
      </c>
      <c r="F1203" s="100" t="str">
        <f t="shared" si="1"/>
        <v>2025</v>
      </c>
      <c r="G1203" s="100" t="str">
        <f t="shared" si="2"/>
        <v>12Des</v>
      </c>
      <c r="H1203" s="100" t="str">
        <f t="shared" si="3"/>
        <v>Rabu</v>
      </c>
      <c r="I1203" s="97" t="s">
        <v>97</v>
      </c>
      <c r="J1203" s="97" t="s">
        <v>88</v>
      </c>
      <c r="K1203" s="97" t="s">
        <v>63</v>
      </c>
      <c r="L1203" s="101" t="s">
        <v>609</v>
      </c>
      <c r="M1203" s="102" t="str">
        <f>IFNA(VLOOKUP(L1203,'🙎‍♂️ Pasien'!G:V,2,FALSE),"")</f>
        <v>A5125112484</v>
      </c>
      <c r="N1203" s="103">
        <f>IFNA(VLOOKUP(L1203,'🙎‍♂️ Pasien'!G:L,3,FALSE),"")</f>
        <v>74</v>
      </c>
      <c r="O1203" s="104" t="str">
        <f>IFNA(VLOOKUP(L1203,'🙎‍♂️ Pasien'!G:V,6,FALSE),"")</f>
        <v>LAKI-LAKI</v>
      </c>
      <c r="P1203" s="104" t="str">
        <f>IFNA(VLOOKUP(L1203,'🙎‍♂️ Pasien'!G:V,12,FALSE),"")</f>
        <v>ISLAM</v>
      </c>
      <c r="Q1203" s="104" t="str">
        <f>IFNA(VLOOKUP(L1203:L1508,'🙎‍♂️ Pasien'!G:V,13,FALSE),"")</f>
        <v>PETANI</v>
      </c>
      <c r="R1203" s="104" t="str">
        <f t="array" ref="R1203">ifna(xlookup(L1203,'🙎‍♂️ Pasien'!$G$5:$G1508,'🙎‍♂️ Pasien'!$T$5:$T1508),"")</f>
        <v>NYERI DARI PAHA SAMPAI TELAPAK KAKI, STOKE SEBELAH KIRI SEJAK DUA BULAN LALU</v>
      </c>
      <c r="S1203" s="104" t="str">
        <f t="array" ref="S1203">ifna(xlookup(L1203,'🙎‍♂️ Pasien'!$G$5:$G1508,'🙎‍♂️ Pasien'!$U$5:$U1508),"")</f>
        <v>PEROKOK, NGOPI, SUKA MINUM MANIS MANIS</v>
      </c>
      <c r="T1203" s="97" t="s">
        <v>59</v>
      </c>
      <c r="U1203" s="105">
        <v>4.0</v>
      </c>
      <c r="V1203" s="101"/>
      <c r="W1203" s="106" t="b">
        <v>1</v>
      </c>
      <c r="X1203" s="107"/>
      <c r="Y1203" s="108"/>
    </row>
    <row r="1204" ht="22.5" customHeight="1">
      <c r="A1204" s="96"/>
      <c r="B1204" s="97" t="s">
        <v>85</v>
      </c>
      <c r="C1204" s="98" t="str">
        <f t="array" ref="C1204">IFNA(XLOOKUP(J1204,'⚙️ Pengaturan'!$H$5:$H1508,'⚙️ Pengaturan'!$I$5:$I1508),"")</f>
        <v>TIM Y</v>
      </c>
      <c r="D1204" s="97" t="s">
        <v>54</v>
      </c>
      <c r="E1204" s="99">
        <v>46001.0</v>
      </c>
      <c r="F1204" s="100" t="str">
        <f t="shared" si="1"/>
        <v>2025</v>
      </c>
      <c r="G1204" s="100" t="str">
        <f t="shared" si="2"/>
        <v>12Des</v>
      </c>
      <c r="H1204" s="100" t="str">
        <f t="shared" si="3"/>
        <v>Rabu</v>
      </c>
      <c r="I1204" s="97" t="s">
        <v>99</v>
      </c>
      <c r="J1204" s="97" t="s">
        <v>88</v>
      </c>
      <c r="K1204" s="97" t="s">
        <v>63</v>
      </c>
      <c r="L1204" s="101" t="s">
        <v>277</v>
      </c>
      <c r="M1204" s="102" t="str">
        <f>IFNA(VLOOKUP(L1204,'🙎‍♂️ Pasien'!G:V,2,FALSE),"")</f>
        <v>Z8125047588</v>
      </c>
      <c r="N1204" s="103">
        <f>IFNA(VLOOKUP(L1204,'🙎‍♂️ Pasien'!G:L,3,FALSE),"")</f>
        <v>45</v>
      </c>
      <c r="O1204" s="104" t="str">
        <f>IFNA(VLOOKUP(L1204,'🙎‍♂️ Pasien'!G:V,6,FALSE),"")</f>
        <v>LAKI-LAKI</v>
      </c>
      <c r="P1204" s="104" t="str">
        <f>IFNA(VLOOKUP(L1204,'🙎‍♂️ Pasien'!G:V,12,FALSE),"")</f>
        <v>ISLAM</v>
      </c>
      <c r="Q1204" s="104" t="str">
        <f>IFNA(VLOOKUP(L1204:L1508,'🙎‍♂️ Pasien'!G:V,13,FALSE),"")</f>
        <v>WIRASWASYA</v>
      </c>
      <c r="R1204" s="104" t="str">
        <f t="array" ref="R1204">ifna(xlookup(L1204,'🙎‍♂️ Pasien'!$G$5:$G1508,'🙎‍♂️ Pasien'!$T$5:$T1508),"")</f>
        <v>SERING NYERI DIBAGIAN TENGKUK SEBELAH KIRI</v>
      </c>
      <c r="S1204" s="104" t="str">
        <f t="array" ref="S1204">ifna(xlookup(L1204,'🙎‍♂️ Pasien'!$G$5:$G1508,'🙎‍♂️ Pasien'!$U$5:$U1508),"")</f>
        <v>MANCING</v>
      </c>
      <c r="T1204" s="97" t="s">
        <v>59</v>
      </c>
      <c r="U1204" s="105">
        <v>3.0</v>
      </c>
      <c r="V1204" s="101"/>
      <c r="W1204" s="106" t="b">
        <v>1</v>
      </c>
      <c r="X1204" s="107"/>
      <c r="Y1204" s="108"/>
    </row>
    <row r="1205" ht="22.5" customHeight="1">
      <c r="A1205" s="96"/>
      <c r="B1205" s="97" t="s">
        <v>53</v>
      </c>
      <c r="C1205" s="98" t="str">
        <f t="array" ref="C1205">IFNA(XLOOKUP(J1205,'⚙️ Pengaturan'!$H$5:$H1508,'⚙️ Pengaturan'!$I$5:$I1508),"")</f>
        <v>TIM Y</v>
      </c>
      <c r="D1205" s="97" t="s">
        <v>54</v>
      </c>
      <c r="E1205" s="99">
        <v>46002.0</v>
      </c>
      <c r="F1205" s="100" t="str">
        <f t="shared" si="1"/>
        <v>2025</v>
      </c>
      <c r="G1205" s="100" t="str">
        <f t="shared" si="2"/>
        <v>12Des</v>
      </c>
      <c r="H1205" s="100" t="str">
        <f t="shared" si="3"/>
        <v>Kamis</v>
      </c>
      <c r="I1205" s="97" t="s">
        <v>55</v>
      </c>
      <c r="J1205" s="97" t="s">
        <v>91</v>
      </c>
      <c r="K1205" s="97" t="s">
        <v>63</v>
      </c>
      <c r="L1205" s="101" t="s">
        <v>501</v>
      </c>
      <c r="M1205" s="102" t="str">
        <f>IFNA(VLOOKUP(L1205,'🙎‍♂️ Pasien'!G:V,2,FALSE),"")</f>
        <v>C9025117272</v>
      </c>
      <c r="N1205" s="103">
        <f>IFNA(VLOOKUP(L1205,'🙎‍♂️ Pasien'!G:L,3,FALSE),"")</f>
        <v>35</v>
      </c>
      <c r="O1205" s="104" t="str">
        <f>IFNA(VLOOKUP(L1205,'🙎‍♂️ Pasien'!G:V,6,FALSE),"")</f>
        <v>PEREMPUAN</v>
      </c>
      <c r="P1205" s="104" t="str">
        <f>IFNA(VLOOKUP(L1205,'🙎‍♂️ Pasien'!G:V,12,FALSE),"")</f>
        <v>PROTESTAN</v>
      </c>
      <c r="Q1205" s="104" t="str">
        <f>IFNA(VLOOKUP(L1205:L1508,'🙎‍♂️ Pasien'!G:V,13,FALSE),"")</f>
        <v>IBU RUMAH TANGGA</v>
      </c>
      <c r="R1205" s="104" t="str">
        <f t="array" ref="R1205">ifna(xlookup(L1205,'🙎‍♂️ Pasien'!$G$5:$G1508,'🙎‍♂️ Pasien'!$T$5:$T1508),"")</f>
        <v>SENDI LUTUT BERGESER</v>
      </c>
      <c r="S1205" s="104" t="str">
        <f t="array" ref="S1205">ifna(xlookup(L1205,'🙎‍♂️ Pasien'!$G$5:$G1508,'🙎‍♂️ Pasien'!$U$5:$U1508),"")</f>
        <v>JATUH KEPELESET</v>
      </c>
      <c r="T1205" s="97" t="s">
        <v>59</v>
      </c>
      <c r="U1205" s="105">
        <v>10.0</v>
      </c>
      <c r="V1205" s="101" t="s">
        <v>125</v>
      </c>
      <c r="W1205" s="106" t="b">
        <v>1</v>
      </c>
      <c r="X1205" s="107"/>
      <c r="Y1205" s="108"/>
    </row>
    <row r="1206" ht="22.5" customHeight="1">
      <c r="A1206" s="96"/>
      <c r="B1206" s="97" t="s">
        <v>53</v>
      </c>
      <c r="C1206" s="98" t="str">
        <f t="array" ref="C1206">IFNA(XLOOKUP(J1206,'⚙️ Pengaturan'!$H$5:$H1508,'⚙️ Pengaturan'!$I$5:$I1508),"")</f>
        <v>TIM Y</v>
      </c>
      <c r="D1206" s="97" t="s">
        <v>54</v>
      </c>
      <c r="E1206" s="99">
        <v>46002.0</v>
      </c>
      <c r="F1206" s="100" t="str">
        <f t="shared" si="1"/>
        <v>2025</v>
      </c>
      <c r="G1206" s="100" t="str">
        <f t="shared" si="2"/>
        <v>12Des</v>
      </c>
      <c r="H1206" s="100" t="str">
        <f t="shared" si="3"/>
        <v>Kamis</v>
      </c>
      <c r="I1206" s="97" t="s">
        <v>65</v>
      </c>
      <c r="J1206" s="97" t="s">
        <v>88</v>
      </c>
      <c r="K1206" s="97" t="s">
        <v>57</v>
      </c>
      <c r="L1206" s="101" t="s">
        <v>693</v>
      </c>
      <c r="M1206" s="102" t="str">
        <f>IFNA(VLOOKUP(L1206,'🙎‍♂️ Pasien'!G:V,2,FALSE),"")</f>
        <v>A6825060057</v>
      </c>
      <c r="N1206" s="103">
        <f>IFNA(VLOOKUP(L1206,'🙎‍♂️ Pasien'!G:L,3,FALSE),"")</f>
        <v>58</v>
      </c>
      <c r="O1206" s="104" t="str">
        <f>IFNA(VLOOKUP(L1206,'🙎‍♂️ Pasien'!G:V,6,FALSE),"")</f>
        <v>LAKI-LAKI</v>
      </c>
      <c r="P1206" s="104" t="str">
        <f>IFNA(VLOOKUP(L1206,'🙎‍♂️ Pasien'!G:V,12,FALSE),"")</f>
        <v>ISLAM</v>
      </c>
      <c r="Q1206" s="104" t="str">
        <f>IFNA(VLOOKUP(L1206:L1508,'🙎‍♂️ Pasien'!G:V,13,FALSE),"")</f>
        <v>PENSIUNAN</v>
      </c>
      <c r="R1206" s="104" t="str">
        <f t="array" ref="R1206">ifna(xlookup(L1206,'🙎‍♂️ Pasien'!$G$5:$G1508,'🙎‍♂️ Pasien'!$T$5:$T1508),"")</f>
        <v>NYERI DITUMIT DAN UJUNG TELAPAK KAKI</v>
      </c>
      <c r="S1206" s="104" t="str">
        <f t="array" ref="S1206">ifna(xlookup(L1206,'🙎‍♂️ Pasien'!$G$5:$G1508,'🙎‍♂️ Pasien'!$U$5:$U1508),"")</f>
        <v>FITNES</v>
      </c>
      <c r="T1206" s="97" t="s">
        <v>59</v>
      </c>
      <c r="U1206" s="105" t="s">
        <v>60</v>
      </c>
      <c r="V1206" s="101"/>
      <c r="W1206" s="106" t="b">
        <v>1</v>
      </c>
      <c r="X1206" s="107"/>
      <c r="Y1206" s="108"/>
    </row>
    <row r="1207" ht="22.5" customHeight="1">
      <c r="A1207" s="96"/>
      <c r="B1207" s="97" t="s">
        <v>53</v>
      </c>
      <c r="C1207" s="98" t="str">
        <f t="array" ref="C1207">IFNA(XLOOKUP(J1207,'⚙️ Pengaturan'!$H$5:$H1508,'⚙️ Pengaturan'!$I$5:$I1508),"")</f>
        <v>TIM Y</v>
      </c>
      <c r="D1207" s="97" t="s">
        <v>54</v>
      </c>
      <c r="E1207" s="99">
        <v>46002.0</v>
      </c>
      <c r="F1207" s="100" t="str">
        <f t="shared" si="1"/>
        <v>2025</v>
      </c>
      <c r="G1207" s="100" t="str">
        <f t="shared" si="2"/>
        <v>12Des</v>
      </c>
      <c r="H1207" s="100" t="str">
        <f t="shared" si="3"/>
        <v>Kamis</v>
      </c>
      <c r="I1207" s="97" t="s">
        <v>65</v>
      </c>
      <c r="J1207" s="97" t="s">
        <v>509</v>
      </c>
      <c r="K1207" s="97" t="s">
        <v>63</v>
      </c>
      <c r="L1207" s="101" t="s">
        <v>619</v>
      </c>
      <c r="M1207" s="102" t="str">
        <f>IFNA(VLOOKUP(L1207,'🙎‍♂️ Pasien'!G:V,2,FALSE),"")</f>
        <v>B0525015519</v>
      </c>
      <c r="N1207" s="103">
        <f>IFNA(VLOOKUP(L1207,'🙎‍♂️ Pasien'!G:L,3,FALSE),"")</f>
        <v>20</v>
      </c>
      <c r="O1207" s="104" t="str">
        <f>IFNA(VLOOKUP(L1207,'🙎‍♂️ Pasien'!G:V,6,FALSE),"")</f>
        <v>LAKI-LAKI</v>
      </c>
      <c r="P1207" s="104" t="str">
        <f>IFNA(VLOOKUP(L1207,'🙎‍♂️ Pasien'!G:V,12,FALSE),"")</f>
        <v>ISLAM</v>
      </c>
      <c r="Q1207" s="104" t="str">
        <f>IFNA(VLOOKUP(L1207:L1508,'🙎‍♂️ Pasien'!G:V,13,FALSE),"")</f>
        <v>PELAJAR/MAHASISWA</v>
      </c>
      <c r="R1207" s="104" t="str">
        <f t="array" ref="R1207">ifna(xlookup(L1207,'🙎‍♂️ Pasien'!$G$5:$G1508,'🙎‍♂️ Pasien'!$T$5:$T1508),"")</f>
        <v>SAKIT DI AREA ENGKEL (KAKI BAGIAN KANAN)</v>
      </c>
      <c r="S1207" s="104" t="str">
        <f t="array" ref="S1207">ifna(xlookup(L1207,'🙎‍♂️ Pasien'!$G$5:$G1508,'🙎‍♂️ Pasien'!$U$5:$U1508),"")</f>
        <v>LARI DAN GYM</v>
      </c>
      <c r="T1207" s="97" t="s">
        <v>59</v>
      </c>
      <c r="U1207" s="105">
        <v>5.0</v>
      </c>
      <c r="V1207" s="101" t="s">
        <v>125</v>
      </c>
      <c r="W1207" s="106" t="b">
        <v>1</v>
      </c>
      <c r="X1207" s="107"/>
      <c r="Y1207" s="108"/>
    </row>
    <row r="1208" ht="22.5" customHeight="1">
      <c r="A1208" s="96"/>
      <c r="B1208" s="97" t="s">
        <v>53</v>
      </c>
      <c r="C1208" s="98" t="str">
        <f t="array" ref="C1208">IFNA(XLOOKUP(J1208,'⚙️ Pengaturan'!$H$5:$H1508,'⚙️ Pengaturan'!$I$5:$I1508),"")</f>
        <v>TIM Y</v>
      </c>
      <c r="D1208" s="97" t="s">
        <v>54</v>
      </c>
      <c r="E1208" s="99">
        <v>46002.0</v>
      </c>
      <c r="F1208" s="100" t="str">
        <f t="shared" si="1"/>
        <v>2025</v>
      </c>
      <c r="G1208" s="100" t="str">
        <f t="shared" si="2"/>
        <v>12Des</v>
      </c>
      <c r="H1208" s="100" t="str">
        <f t="shared" si="3"/>
        <v>Kamis</v>
      </c>
      <c r="I1208" s="97" t="s">
        <v>74</v>
      </c>
      <c r="J1208" s="97" t="s">
        <v>107</v>
      </c>
      <c r="K1208" s="97" t="s">
        <v>63</v>
      </c>
      <c r="L1208" s="101" t="s">
        <v>543</v>
      </c>
      <c r="M1208" s="102" t="str">
        <f>IFNA(VLOOKUP(L1208,'🙎‍♂️ Pasien'!G:V,2,FALSE),"")</f>
        <v>A8725115557</v>
      </c>
      <c r="N1208" s="103">
        <f>IFNA(VLOOKUP(L1208,'🙎‍♂️ Pasien'!G:L,3,FALSE),"")</f>
        <v>38</v>
      </c>
      <c r="O1208" s="104" t="str">
        <f>IFNA(VLOOKUP(L1208,'🙎‍♂️ Pasien'!G:V,6,FALSE),"")</f>
        <v>PEREMPUAN</v>
      </c>
      <c r="P1208" s="104" t="str">
        <f>IFNA(VLOOKUP(L1208,'🙎‍♂️ Pasien'!G:V,12,FALSE),"")</f>
        <v>ISLAM</v>
      </c>
      <c r="Q1208" s="104" t="str">
        <f>IFNA(VLOOKUP(L1208:L1508,'🙎‍♂️ Pasien'!G:V,13,FALSE),"")</f>
        <v>KARYAWAN SWASTA</v>
      </c>
      <c r="R1208" s="104" t="str">
        <f t="array" ref="R1208">ifna(xlookup(L1208,'🙎‍♂️ Pasien'!$G$5:$G1508,'🙎‍♂️ Pasien'!$T$5:$T1508),"")</f>
        <v>NYERI SAAT NARIK NAFAS DAN BERGERAK AREA RUSUK DEPAN HINGGA BELAKANG SEBELAH KANAN</v>
      </c>
      <c r="S1208" s="104" t="str">
        <f t="array" ref="S1208">ifna(xlookup(L1208,'🙎‍♂️ Pasien'!$G$5:$G1508,'🙎‍♂️ Pasien'!$U$5:$U1508),"")</f>
        <v>SAAT INI SEDANG BATUK, OLAHRAGA THREADMIL DAN BULU TANGKIS BEBERAPA WAKTU INI</v>
      </c>
      <c r="T1208" s="97" t="s">
        <v>59</v>
      </c>
      <c r="U1208" s="105">
        <v>1.0</v>
      </c>
      <c r="V1208" s="101" t="s">
        <v>243</v>
      </c>
      <c r="W1208" s="106" t="b">
        <v>1</v>
      </c>
      <c r="X1208" s="107"/>
      <c r="Y1208" s="108"/>
    </row>
    <row r="1209" ht="22.5" customHeight="1">
      <c r="A1209" s="96"/>
      <c r="B1209" s="97" t="s">
        <v>53</v>
      </c>
      <c r="C1209" s="98" t="str">
        <f t="array" ref="C1209">IFNA(XLOOKUP(J1209,'⚙️ Pengaturan'!$H$5:$H1508,'⚙️ Pengaturan'!$I$5:$I1508),"")</f>
        <v>TIM Y</v>
      </c>
      <c r="D1209" s="97" t="s">
        <v>54</v>
      </c>
      <c r="E1209" s="99">
        <v>46002.0</v>
      </c>
      <c r="F1209" s="100" t="str">
        <f t="shared" si="1"/>
        <v>2025</v>
      </c>
      <c r="G1209" s="100" t="str">
        <f t="shared" si="2"/>
        <v>12Des</v>
      </c>
      <c r="H1209" s="100" t="str">
        <f t="shared" si="3"/>
        <v>Kamis</v>
      </c>
      <c r="I1209" s="97" t="s">
        <v>74</v>
      </c>
      <c r="J1209" s="97" t="s">
        <v>88</v>
      </c>
      <c r="K1209" s="97" t="s">
        <v>57</v>
      </c>
      <c r="L1209" s="101" t="s">
        <v>694</v>
      </c>
      <c r="M1209" s="102" t="str">
        <f>IFNA(VLOOKUP(L1209,'🙎‍♂️ Pasien'!G:V,2,FALSE),"")</f>
        <v>D0625121108</v>
      </c>
      <c r="N1209" s="103">
        <f>IFNA(VLOOKUP(L1209,'🙎‍♂️ Pasien'!G:L,3,FALSE),"")</f>
        <v>19</v>
      </c>
      <c r="O1209" s="104" t="str">
        <f>IFNA(VLOOKUP(L1209,'🙎‍♂️ Pasien'!G:V,6,FALSE),"")</f>
        <v>LAKI-LAKI</v>
      </c>
      <c r="P1209" s="104" t="str">
        <f>IFNA(VLOOKUP(L1209,'🙎‍♂️ Pasien'!G:V,12,FALSE),"")</f>
        <v>KATOLIK</v>
      </c>
      <c r="Q1209" s="104" t="str">
        <f>IFNA(VLOOKUP(L1209:L1508,'🙎‍♂️ Pasien'!G:V,13,FALSE),"")</f>
        <v>MAHASISWA</v>
      </c>
      <c r="R1209" s="104" t="str">
        <f t="array" ref="R1209">ifna(xlookup(L1209,'🙎‍♂️ Pasien'!$G$5:$G1508,'🙎‍♂️ Pasien'!$T$5:$T1508),"")</f>
        <v>LOWER BACK</v>
      </c>
      <c r="S1209" s="104" t="str">
        <f t="array" ref="S1209">ifna(xlookup(L1209,'🙎‍♂️ Pasien'!$G$5:$G1508,'🙎‍♂️ Pasien'!$U$5:$U1508),"")</f>
        <v>GYM, BASKET</v>
      </c>
      <c r="T1209" s="97" t="s">
        <v>59</v>
      </c>
      <c r="U1209" s="105" t="s">
        <v>60</v>
      </c>
      <c r="V1209" s="101"/>
      <c r="W1209" s="106" t="b">
        <v>1</v>
      </c>
      <c r="X1209" s="107"/>
      <c r="Y1209" s="108"/>
    </row>
    <row r="1210" ht="22.5" customHeight="1">
      <c r="A1210" s="96"/>
      <c r="B1210" s="97" t="s">
        <v>53</v>
      </c>
      <c r="C1210" s="98" t="str">
        <f t="array" ref="C1210">IFNA(XLOOKUP(J1210,'⚙️ Pengaturan'!$H$5:$H1508,'⚙️ Pengaturan'!$I$5:$I1508),"")</f>
        <v>MANAJEMEN</v>
      </c>
      <c r="D1210" s="97" t="s">
        <v>54</v>
      </c>
      <c r="E1210" s="99">
        <v>46002.0</v>
      </c>
      <c r="F1210" s="100" t="str">
        <f t="shared" si="1"/>
        <v>2025</v>
      </c>
      <c r="G1210" s="100" t="str">
        <f t="shared" si="2"/>
        <v>12Des</v>
      </c>
      <c r="H1210" s="100" t="str">
        <f t="shared" si="3"/>
        <v>Kamis</v>
      </c>
      <c r="I1210" s="97" t="s">
        <v>76</v>
      </c>
      <c r="J1210" s="97" t="s">
        <v>101</v>
      </c>
      <c r="K1210" s="97" t="s">
        <v>57</v>
      </c>
      <c r="L1210" s="101" t="s">
        <v>695</v>
      </c>
      <c r="M1210" s="102" t="str">
        <f>IFNA(VLOOKUP(L1210,'🙎‍♂️ Pasien'!G:V,2,FALSE),"")</f>
        <v>L5725121301</v>
      </c>
      <c r="N1210" s="103">
        <f>IFNA(VLOOKUP(L1210,'🙎‍♂️ Pasien'!G:L,3,FALSE),"")</f>
        <v>68</v>
      </c>
      <c r="O1210" s="104" t="str">
        <f>IFNA(VLOOKUP(L1210,'🙎‍♂️ Pasien'!G:V,6,FALSE),"")</f>
        <v>PEREMPUAN</v>
      </c>
      <c r="P1210" s="104" t="str">
        <f>IFNA(VLOOKUP(L1210,'🙎‍♂️ Pasien'!G:V,12,FALSE),"")</f>
        <v>PROTESTAN</v>
      </c>
      <c r="Q1210" s="104" t="str">
        <f>IFNA(VLOOKUP(L1210:L1508,'🙎‍♂️ Pasien'!G:V,13,FALSE),"")</f>
        <v>IRT</v>
      </c>
      <c r="R1210" s="104" t="str">
        <f t="array" ref="R1210">ifna(xlookup(L1210,'🙎‍♂️ Pasien'!$G$5:$G1508,'🙎‍♂️ Pasien'!$T$5:$T1508),"")</f>
        <v>PINGGANG</v>
      </c>
      <c r="S1210" s="104" t="str">
        <f t="array" ref="S1210">ifna(xlookup(L1210,'🙎‍♂️ Pasien'!$G$5:$G1508,'🙎‍♂️ Pasien'!$U$5:$U1508),"")</f>
        <v>-</v>
      </c>
      <c r="T1210" s="97" t="s">
        <v>59</v>
      </c>
      <c r="U1210" s="105" t="s">
        <v>60</v>
      </c>
      <c r="V1210" s="101"/>
      <c r="W1210" s="106" t="b">
        <v>1</v>
      </c>
      <c r="X1210" s="107"/>
      <c r="Y1210" s="108"/>
    </row>
    <row r="1211" ht="22.5" customHeight="1">
      <c r="A1211" s="96"/>
      <c r="B1211" s="97" t="s">
        <v>53</v>
      </c>
      <c r="C1211" s="98" t="str">
        <f t="array" ref="C1211">IFNA(XLOOKUP(J1211,'⚙️ Pengaturan'!$H$5:$H1508,'⚙️ Pengaturan'!$I$5:$I1508),"")</f>
        <v>TIM Y</v>
      </c>
      <c r="D1211" s="97" t="s">
        <v>54</v>
      </c>
      <c r="E1211" s="99">
        <v>46002.0</v>
      </c>
      <c r="F1211" s="100" t="str">
        <f t="shared" si="1"/>
        <v>2025</v>
      </c>
      <c r="G1211" s="100" t="str">
        <f t="shared" si="2"/>
        <v>12Des</v>
      </c>
      <c r="H1211" s="100" t="str">
        <f t="shared" si="3"/>
        <v>Kamis</v>
      </c>
      <c r="I1211" s="97" t="s">
        <v>76</v>
      </c>
      <c r="J1211" s="97" t="s">
        <v>91</v>
      </c>
      <c r="K1211" s="97" t="s">
        <v>63</v>
      </c>
      <c r="L1211" s="101" t="s">
        <v>571</v>
      </c>
      <c r="M1211" s="102" t="str">
        <f>IFNA(VLOOKUP(L1211,'🙎‍♂️ Pasien'!G:V,2,FALSE),"")</f>
        <v>S9225116214</v>
      </c>
      <c r="N1211" s="103">
        <f>IFNA(VLOOKUP(L1211,'🙎‍♂️ Pasien'!G:L,3,FALSE),"")</f>
        <v>33</v>
      </c>
      <c r="O1211" s="104" t="str">
        <f>IFNA(VLOOKUP(L1211,'🙎‍♂️ Pasien'!G:V,6,FALSE),"")</f>
        <v>PEREMPUAN</v>
      </c>
      <c r="P1211" s="104" t="str">
        <f>IFNA(VLOOKUP(L1211,'🙎‍♂️ Pasien'!G:V,12,FALSE),"")</f>
        <v>ISLAM</v>
      </c>
      <c r="Q1211" s="104" t="str">
        <f>IFNA(VLOOKUP(L1211:L1508,'🙎‍♂️ Pasien'!G:V,13,FALSE),"")</f>
        <v>PNS</v>
      </c>
      <c r="R1211" s="104" t="str">
        <f t="array" ref="R1211">ifna(xlookup(L1211,'🙎‍♂️ Pasien'!$G$5:$G1508,'🙎‍♂️ Pasien'!$T$5:$T1508),"")</f>
        <v>KAKI SEBELAH KIRI TERKILIR KARENA JATUH DARI TANGGA</v>
      </c>
      <c r="S1211" s="104" t="str">
        <f t="array" ref="S1211">ifna(xlookup(L1211,'🙎‍♂️ Pasien'!$G$5:$G1508,'🙎‍♂️ Pasien'!$U$5:$U1508),"")</f>
        <v>BEKERJA</v>
      </c>
      <c r="T1211" s="97" t="s">
        <v>59</v>
      </c>
      <c r="U1211" s="105">
        <v>5.0</v>
      </c>
      <c r="V1211" s="101" t="s">
        <v>125</v>
      </c>
      <c r="W1211" s="106" t="b">
        <v>1</v>
      </c>
      <c r="X1211" s="107"/>
      <c r="Y1211" s="108"/>
    </row>
    <row r="1212" ht="22.5" customHeight="1">
      <c r="A1212" s="96"/>
      <c r="B1212" s="97" t="s">
        <v>85</v>
      </c>
      <c r="C1212" s="98" t="str">
        <f t="array" ref="C1212">IFNA(XLOOKUP(J1212,'⚙️ Pengaturan'!$H$5:$H1508,'⚙️ Pengaturan'!$I$5:$I1508),"")</f>
        <v>TIM Y</v>
      </c>
      <c r="D1212" s="97" t="s">
        <v>86</v>
      </c>
      <c r="E1212" s="99">
        <v>46002.0</v>
      </c>
      <c r="F1212" s="100" t="str">
        <f t="shared" si="1"/>
        <v>2025</v>
      </c>
      <c r="G1212" s="100" t="str">
        <f t="shared" si="2"/>
        <v>12Des</v>
      </c>
      <c r="H1212" s="100" t="str">
        <f t="shared" si="3"/>
        <v>Kamis</v>
      </c>
      <c r="I1212" s="97" t="s">
        <v>87</v>
      </c>
      <c r="J1212" s="97" t="s">
        <v>56</v>
      </c>
      <c r="K1212" s="97" t="s">
        <v>63</v>
      </c>
      <c r="L1212" s="101" t="s">
        <v>119</v>
      </c>
      <c r="M1212" s="102" t="str">
        <f>IFNA(VLOOKUP(L1212,'🙎‍♂️ Pasien'!G:V,2,FALSE),"")</f>
        <v>H4623015667</v>
      </c>
      <c r="N1212" s="103">
        <f>IFNA(VLOOKUP(L1212,'🙎‍♂️ Pasien'!G:L,3,FALSE),"")</f>
        <v>80</v>
      </c>
      <c r="O1212" s="104" t="str">
        <f>IFNA(VLOOKUP(L1212,'🙎‍♂️ Pasien'!G:V,6,FALSE),"")</f>
        <v>LAKI-LAKI</v>
      </c>
      <c r="P1212" s="104" t="str">
        <f>IFNA(VLOOKUP(L1212,'🙎‍♂️ Pasien'!G:V,12,FALSE),"")</f>
        <v>ISLAM</v>
      </c>
      <c r="Q1212" s="104" t="str">
        <f>IFNA(VLOOKUP(L1212:L1508,'🙎‍♂️ Pasien'!G:V,13,FALSE),"")</f>
        <v>PENSIUN</v>
      </c>
      <c r="R1212" s="104" t="str">
        <f t="array" ref="R1212">ifna(xlookup(L1212,'🙎‍♂️ Pasien'!$G$5:$G1508,'🙎‍♂️ Pasien'!$T$5:$T1508),"")</f>
        <v>STROKE</v>
      </c>
      <c r="S1212" s="104" t="str">
        <f t="array" ref="S1212">ifna(xlookup(L1212,'🙎‍♂️ Pasien'!$G$5:$G1508,'🙎‍♂️ Pasien'!$U$5:$U1508),"")</f>
        <v/>
      </c>
      <c r="T1212" s="97" t="s">
        <v>59</v>
      </c>
      <c r="U1212" s="105">
        <v>6.0</v>
      </c>
      <c r="V1212" s="101"/>
      <c r="W1212" s="106" t="b">
        <v>1</v>
      </c>
      <c r="X1212" s="107"/>
      <c r="Y1212" s="108"/>
    </row>
    <row r="1213" ht="22.5" customHeight="1">
      <c r="A1213" s="96"/>
      <c r="B1213" s="97" t="s">
        <v>85</v>
      </c>
      <c r="C1213" s="98" t="str">
        <f t="array" ref="C1213">IFNA(XLOOKUP(J1213,'⚙️ Pengaturan'!$H$5:$H1508,'⚙️ Pengaturan'!$I$5:$I1508),"")</f>
        <v>TIM A</v>
      </c>
      <c r="D1213" s="97" t="s">
        <v>86</v>
      </c>
      <c r="E1213" s="99">
        <v>46002.0</v>
      </c>
      <c r="F1213" s="100" t="str">
        <f t="shared" si="1"/>
        <v>2025</v>
      </c>
      <c r="G1213" s="100" t="str">
        <f t="shared" si="2"/>
        <v>12Des</v>
      </c>
      <c r="H1213" s="100" t="str">
        <f t="shared" si="3"/>
        <v>Kamis</v>
      </c>
      <c r="I1213" s="97" t="s">
        <v>87</v>
      </c>
      <c r="J1213" s="97" t="s">
        <v>72</v>
      </c>
      <c r="K1213" s="97" t="s">
        <v>57</v>
      </c>
      <c r="L1213" s="101" t="s">
        <v>696</v>
      </c>
      <c r="M1213" s="102" t="str">
        <f>IFNA(VLOOKUP(L1213,'🙎‍♂️ Pasien'!G:V,2,FALSE),"")</f>
        <v>Y6825129986</v>
      </c>
      <c r="N1213" s="103">
        <f>IFNA(VLOOKUP(L1213,'🙎‍♂️ Pasien'!G:L,3,FALSE),"")</f>
        <v>58</v>
      </c>
      <c r="O1213" s="104" t="str">
        <f>IFNA(VLOOKUP(L1213,'🙎‍♂️ Pasien'!G:V,6,FALSE),"")</f>
        <v>PEREMPUAN</v>
      </c>
      <c r="P1213" s="104" t="str">
        <f>IFNA(VLOOKUP(L1213,'🙎‍♂️ Pasien'!G:V,12,FALSE),"")</f>
        <v>ISLAM</v>
      </c>
      <c r="Q1213" s="104" t="str">
        <f>IFNA(VLOOKUP(L1213:L1508,'🙎‍♂️ Pasien'!G:V,13,FALSE),"")</f>
        <v>PNS</v>
      </c>
      <c r="R1213" s="104" t="str">
        <f t="array" ref="R1213">ifna(xlookup(L1213,'🙎‍♂️ Pasien'!$G$5:$G1508,'🙎‍♂️ Pasien'!$T$5:$T1508),"")</f>
        <v>LENGAN KANAN ATAS KAKU</v>
      </c>
      <c r="S1213" s="104" t="str">
        <f t="array" ref="S1213">ifna(xlookup(L1213,'🙎‍♂️ Pasien'!$G$5:$G1508,'🙎‍♂️ Pasien'!$U$5:$U1508),"")</f>
        <v>-</v>
      </c>
      <c r="T1213" s="97" t="s">
        <v>59</v>
      </c>
      <c r="U1213" s="105" t="s">
        <v>60</v>
      </c>
      <c r="V1213" s="101"/>
      <c r="W1213" s="106" t="b">
        <v>1</v>
      </c>
      <c r="X1213" s="107"/>
      <c r="Y1213" s="108"/>
    </row>
    <row r="1214" ht="22.5" customHeight="1">
      <c r="A1214" s="96"/>
      <c r="B1214" s="97" t="s">
        <v>85</v>
      </c>
      <c r="C1214" s="98" t="str">
        <f t="array" ref="C1214">IFNA(XLOOKUP(J1214,'⚙️ Pengaturan'!$H$5:$H1508,'⚙️ Pengaturan'!$I$5:$I1508),"")</f>
        <v>TIM Y</v>
      </c>
      <c r="D1214" s="97" t="s">
        <v>86</v>
      </c>
      <c r="E1214" s="99">
        <v>46002.0</v>
      </c>
      <c r="F1214" s="100" t="str">
        <f t="shared" si="1"/>
        <v>2025</v>
      </c>
      <c r="G1214" s="100" t="str">
        <f t="shared" si="2"/>
        <v>12Des</v>
      </c>
      <c r="H1214" s="100" t="str">
        <f t="shared" si="3"/>
        <v>Kamis</v>
      </c>
      <c r="I1214" s="97" t="s">
        <v>93</v>
      </c>
      <c r="J1214" s="97" t="s">
        <v>56</v>
      </c>
      <c r="K1214" s="97" t="s">
        <v>63</v>
      </c>
      <c r="L1214" s="101" t="s">
        <v>613</v>
      </c>
      <c r="M1214" s="102" t="str">
        <f>IFNA(VLOOKUP(L1214,'🙎‍♂️ Pasien'!G:V,2,FALSE),"")</f>
        <v>A9625081247</v>
      </c>
      <c r="N1214" s="103">
        <f>IFNA(VLOOKUP(L1214,'🙎‍♂️ Pasien'!G:L,3,FALSE),"")</f>
        <v>30</v>
      </c>
      <c r="O1214" s="104" t="str">
        <f>IFNA(VLOOKUP(L1214,'🙎‍♂️ Pasien'!G:V,6,FALSE),"")</f>
        <v>LAKI-LAKI</v>
      </c>
      <c r="P1214" s="104" t="str">
        <f>IFNA(VLOOKUP(L1214,'🙎‍♂️ Pasien'!G:V,12,FALSE),"")</f>
        <v>ISLAM</v>
      </c>
      <c r="Q1214" s="104" t="str">
        <f>IFNA(VLOOKUP(L1214:L1508,'🙎‍♂️ Pasien'!G:V,13,FALSE),"")</f>
        <v>PPPK</v>
      </c>
      <c r="R1214" s="104" t="str">
        <f t="array" ref="R1214">ifna(xlookup(L1214,'🙎‍♂️ Pasien'!$G$5:$G1508,'🙎‍♂️ Pasien'!$T$5:$T1508),"")</f>
        <v>LUTUT BENGKAK, MENISCUS</v>
      </c>
      <c r="S1214" s="104" t="str">
        <f t="array" ref="S1214">ifna(xlookup(L1214,'🙎‍♂️ Pasien'!$G$5:$G1508,'🙎‍♂️ Pasien'!$U$5:$U1508),"")</f>
        <v>FUTSAL, MINISOCCER</v>
      </c>
      <c r="T1214" s="97" t="s">
        <v>59</v>
      </c>
      <c r="U1214" s="105">
        <v>4.0</v>
      </c>
      <c r="V1214" s="101"/>
      <c r="W1214" s="106" t="b">
        <v>1</v>
      </c>
      <c r="X1214" s="107"/>
      <c r="Y1214" s="108"/>
    </row>
    <row r="1215" ht="22.5" customHeight="1">
      <c r="A1215" s="96"/>
      <c r="B1215" s="97" t="s">
        <v>85</v>
      </c>
      <c r="C1215" s="98" t="str">
        <f t="array" ref="C1215">IFNA(XLOOKUP(J1215,'⚙️ Pengaturan'!$H$5:$H1508,'⚙️ Pengaturan'!$I$5:$I1508),"")</f>
        <v>TIM A</v>
      </c>
      <c r="D1215" s="97" t="s">
        <v>86</v>
      </c>
      <c r="E1215" s="99">
        <v>46002.0</v>
      </c>
      <c r="F1215" s="100" t="str">
        <f t="shared" si="1"/>
        <v>2025</v>
      </c>
      <c r="G1215" s="100" t="str">
        <f t="shared" si="2"/>
        <v>12Des</v>
      </c>
      <c r="H1215" s="100" t="str">
        <f t="shared" si="3"/>
        <v>Kamis</v>
      </c>
      <c r="I1215" s="97" t="s">
        <v>93</v>
      </c>
      <c r="J1215" s="97" t="s">
        <v>79</v>
      </c>
      <c r="K1215" s="97" t="s">
        <v>57</v>
      </c>
      <c r="L1215" s="101" t="s">
        <v>689</v>
      </c>
      <c r="M1215" s="102" t="str">
        <f>IFNA(VLOOKUP(L1215,'🙎‍♂️ Pasien'!G:V,2,FALSE),"")</f>
        <v>S8825078486</v>
      </c>
      <c r="N1215" s="103">
        <f>IFNA(VLOOKUP(L1215,'🙎‍♂️ Pasien'!G:L,3,FALSE),"")</f>
        <v>38</v>
      </c>
      <c r="O1215" s="104" t="str">
        <f>IFNA(VLOOKUP(L1215,'🙎‍♂️ Pasien'!G:V,6,FALSE),"")</f>
        <v>LAKI-LAKI</v>
      </c>
      <c r="P1215" s="104" t="str">
        <f>IFNA(VLOOKUP(L1215,'🙎‍♂️ Pasien'!G:V,12,FALSE),"")</f>
        <v>KATOLIK</v>
      </c>
      <c r="Q1215" s="104" t="str">
        <f>IFNA(VLOOKUP(L1215:L1508,'🙎‍♂️ Pasien'!G:V,13,FALSE),"")</f>
        <v>WIRASWASTA</v>
      </c>
      <c r="R1215" s="104" t="str">
        <f t="array" ref="R1215">ifna(xlookup(L1215,'🙎‍♂️ Pasien'!$G$5:$G1508,'🙎‍♂️ Pasien'!$T$5:$T1508),"")</f>
        <v>SAKIT TULANG EKOR</v>
      </c>
      <c r="S1215" s="104" t="str">
        <f t="array" ref="S1215">ifna(xlookup(L1215,'🙎‍♂️ Pasien'!$G$5:$G1508,'🙎‍♂️ Pasien'!$U$5:$U1508),"")</f>
        <v>SERING NAIK MOTOR MELALUI JALAN YG JELEK JATUH DARI MOTOR</v>
      </c>
      <c r="T1215" s="97" t="s">
        <v>59</v>
      </c>
      <c r="U1215" s="105" t="s">
        <v>60</v>
      </c>
      <c r="V1215" s="101"/>
      <c r="W1215" s="106" t="b">
        <v>1</v>
      </c>
      <c r="X1215" s="107"/>
      <c r="Y1215" s="108"/>
    </row>
    <row r="1216" ht="22.5" customHeight="1">
      <c r="A1216" s="96"/>
      <c r="B1216" s="97" t="s">
        <v>85</v>
      </c>
      <c r="C1216" s="98" t="str">
        <f t="array" ref="C1216">IFNA(XLOOKUP(J1216,'⚙️ Pengaturan'!$H$5:$H1508,'⚙️ Pengaturan'!$I$5:$I1508),"")</f>
        <v>TIM Y</v>
      </c>
      <c r="D1216" s="97" t="s">
        <v>86</v>
      </c>
      <c r="E1216" s="99">
        <v>46002.0</v>
      </c>
      <c r="F1216" s="100" t="str">
        <f t="shared" si="1"/>
        <v>2025</v>
      </c>
      <c r="G1216" s="100" t="str">
        <f t="shared" si="2"/>
        <v>12Des</v>
      </c>
      <c r="H1216" s="100" t="str">
        <f t="shared" si="3"/>
        <v>Kamis</v>
      </c>
      <c r="I1216" s="97" t="s">
        <v>95</v>
      </c>
      <c r="J1216" s="97" t="s">
        <v>56</v>
      </c>
      <c r="K1216" s="97" t="s">
        <v>63</v>
      </c>
      <c r="L1216" s="101" t="s">
        <v>613</v>
      </c>
      <c r="M1216" s="102" t="str">
        <f>IFNA(VLOOKUP(L1216,'🙎‍♂️ Pasien'!G:V,2,FALSE),"")</f>
        <v>A9625081247</v>
      </c>
      <c r="N1216" s="103">
        <f>IFNA(VLOOKUP(L1216,'🙎‍♂️ Pasien'!G:L,3,FALSE),"")</f>
        <v>30</v>
      </c>
      <c r="O1216" s="104" t="str">
        <f>IFNA(VLOOKUP(L1216,'🙎‍♂️ Pasien'!G:V,6,FALSE),"")</f>
        <v>LAKI-LAKI</v>
      </c>
      <c r="P1216" s="104" t="str">
        <f>IFNA(VLOOKUP(L1216,'🙎‍♂️ Pasien'!G:V,12,FALSE),"")</f>
        <v>ISLAM</v>
      </c>
      <c r="Q1216" s="104" t="str">
        <f>IFNA(VLOOKUP(L1216:L1508,'🙎‍♂️ Pasien'!G:V,13,FALSE),"")</f>
        <v>PPPK</v>
      </c>
      <c r="R1216" s="104" t="str">
        <f t="array" ref="R1216">ifna(xlookup(L1216,'🙎‍♂️ Pasien'!$G$5:$G1508,'🙎‍♂️ Pasien'!$T$5:$T1508),"")</f>
        <v>LUTUT BENGKAK, MENISCUS</v>
      </c>
      <c r="S1216" s="104" t="str">
        <f t="array" ref="S1216">ifna(xlookup(L1216,'🙎‍♂️ Pasien'!$G$5:$G1508,'🙎‍♂️ Pasien'!$U$5:$U1508),"")</f>
        <v>FUTSAL, MINISOCCER</v>
      </c>
      <c r="T1216" s="97" t="s">
        <v>59</v>
      </c>
      <c r="U1216" s="105">
        <v>5.0</v>
      </c>
      <c r="V1216" s="101"/>
      <c r="W1216" s="106" t="b">
        <v>1</v>
      </c>
      <c r="X1216" s="107"/>
      <c r="Y1216" s="108"/>
    </row>
    <row r="1217" ht="22.5" customHeight="1">
      <c r="A1217" s="96"/>
      <c r="B1217" s="97" t="s">
        <v>85</v>
      </c>
      <c r="C1217" s="98" t="str">
        <f t="array" ref="C1217">IFNA(XLOOKUP(J1217,'⚙️ Pengaturan'!$H$5:$H1508,'⚙️ Pengaturan'!$I$5:$I1508),"")</f>
        <v>TIM A</v>
      </c>
      <c r="D1217" s="97" t="s">
        <v>86</v>
      </c>
      <c r="E1217" s="99">
        <v>46002.0</v>
      </c>
      <c r="F1217" s="100" t="str">
        <f t="shared" si="1"/>
        <v>2025</v>
      </c>
      <c r="G1217" s="100" t="str">
        <f t="shared" si="2"/>
        <v>12Des</v>
      </c>
      <c r="H1217" s="100" t="str">
        <f t="shared" si="3"/>
        <v>Kamis</v>
      </c>
      <c r="I1217" s="97" t="s">
        <v>95</v>
      </c>
      <c r="J1217" s="97" t="s">
        <v>72</v>
      </c>
      <c r="K1217" s="97" t="s">
        <v>69</v>
      </c>
      <c r="L1217" s="101" t="s">
        <v>585</v>
      </c>
      <c r="M1217" s="102" t="str">
        <f>IFNA(VLOOKUP(L1217,'🙎‍♂️ Pasien'!G:V,2,FALSE),"")</f>
        <v>I0025112738</v>
      </c>
      <c r="N1217" s="103">
        <f>IFNA(VLOOKUP(L1217,'🙎‍♂️ Pasien'!G:L,3,FALSE),"")</f>
        <v>25</v>
      </c>
      <c r="O1217" s="104" t="str">
        <f>IFNA(VLOOKUP(L1217,'🙎‍♂️ Pasien'!G:V,6,FALSE),"")</f>
        <v>PEREMPUAN</v>
      </c>
      <c r="P1217" s="104" t="str">
        <f>IFNA(VLOOKUP(L1217,'🙎‍♂️ Pasien'!G:V,12,FALSE),"")</f>
        <v>ISLAM</v>
      </c>
      <c r="Q1217" s="104" t="str">
        <f>IFNA(VLOOKUP(L1217:L1508,'🙎‍♂️ Pasien'!G:V,13,FALSE),"")</f>
        <v>-</v>
      </c>
      <c r="R1217" s="104" t="str">
        <f t="array" ref="R1217">ifna(xlookup(L1217,'🙎‍♂️ Pasien'!$G$5:$G1508,'🙎‍♂️ Pasien'!$T$5:$T1508),"")</f>
        <v>LUTUT</v>
      </c>
      <c r="S1217" s="104" t="str">
        <f t="array" ref="S1217">ifna(xlookup(L1217,'🙎‍♂️ Pasien'!$G$5:$G1508,'🙎‍♂️ Pasien'!$U$5:$U1508),"")</f>
        <v>-</v>
      </c>
      <c r="T1217" s="97" t="s">
        <v>59</v>
      </c>
      <c r="U1217" s="105" t="s">
        <v>60</v>
      </c>
      <c r="V1217" s="101"/>
      <c r="W1217" s="106" t="b">
        <v>1</v>
      </c>
      <c r="X1217" s="107"/>
      <c r="Y1217" s="108"/>
    </row>
    <row r="1218" ht="22.5" customHeight="1">
      <c r="A1218" s="96"/>
      <c r="B1218" s="97" t="s">
        <v>85</v>
      </c>
      <c r="C1218" s="98" t="str">
        <f t="array" ref="C1218">IFNA(XLOOKUP(J1218,'⚙️ Pengaturan'!$H$5:$H1508,'⚙️ Pengaturan'!$I$5:$I1508),"")</f>
        <v>TIM A</v>
      </c>
      <c r="D1218" s="97" t="s">
        <v>86</v>
      </c>
      <c r="E1218" s="99">
        <v>46002.0</v>
      </c>
      <c r="F1218" s="100" t="str">
        <f t="shared" si="1"/>
        <v>2025</v>
      </c>
      <c r="G1218" s="100" t="str">
        <f t="shared" si="2"/>
        <v>12Des</v>
      </c>
      <c r="H1218" s="100" t="str">
        <f t="shared" si="3"/>
        <v>Kamis</v>
      </c>
      <c r="I1218" s="97" t="s">
        <v>95</v>
      </c>
      <c r="J1218" s="97" t="s">
        <v>79</v>
      </c>
      <c r="K1218" s="97" t="s">
        <v>57</v>
      </c>
      <c r="L1218" s="101" t="s">
        <v>697</v>
      </c>
      <c r="M1218" s="102" t="str">
        <f>IFNA(VLOOKUP(L1218,'🙎‍♂️ Pasien'!G:V,2,FALSE),"")</f>
        <v>L6025128579</v>
      </c>
      <c r="N1218" s="103">
        <f>IFNA(VLOOKUP(L1218,'🙎‍♂️ Pasien'!G:L,3,FALSE),"")</f>
        <v>66</v>
      </c>
      <c r="O1218" s="104" t="str">
        <f>IFNA(VLOOKUP(L1218,'🙎‍♂️ Pasien'!G:V,6,FALSE),"")</f>
        <v>LAKI-LAKI</v>
      </c>
      <c r="P1218" s="104" t="str">
        <f>IFNA(VLOOKUP(L1218,'🙎‍♂️ Pasien'!G:V,12,FALSE),"")</f>
        <v>BUDDHA</v>
      </c>
      <c r="Q1218" s="104" t="str">
        <f>IFNA(VLOOKUP(L1218:L1508,'🙎‍♂️ Pasien'!G:V,13,FALSE),"")</f>
        <v>-</v>
      </c>
      <c r="R1218" s="104" t="str">
        <f t="array" ref="R1218">ifna(xlookup(L1218,'🙎‍♂️ Pasien'!$G$5:$G1508,'🙎‍♂️ Pasien'!$T$5:$T1508),"")</f>
        <v>BANTALAN ANTARA TULANG L5 DENGAN S1 GEPENG SEHINGGA PINGGAN TERASA SAKIT SAMPAI KAKI. TIDAK BISA BERDIRI LAMA DAN DUDUK LAMA. BERDIRI TIDAK BISA TEGAK. SUDAH BERLANGSUNG SELAMA 1 MINGGU. TELAH MELAKUKAN RADIOLOGI DAN KUNJUNGAN DOKTER SPELIASIS SARAF</v>
      </c>
      <c r="S1218" s="104" t="str">
        <f t="array" ref="S1218">ifna(xlookup(L1218,'🙎‍♂️ Pasien'!$G$5:$G1508,'🙎‍♂️ Pasien'!$U$5:$U1508),"")</f>
        <v>SERING MELAKUKAN PEKERJAAN YANG MEMBUTUHKAN POSISI BADAN BUNGKUK</v>
      </c>
      <c r="T1218" s="97" t="s">
        <v>59</v>
      </c>
      <c r="U1218" s="105" t="s">
        <v>60</v>
      </c>
      <c r="V1218" s="101"/>
      <c r="W1218" s="106" t="b">
        <v>1</v>
      </c>
      <c r="X1218" s="107"/>
      <c r="Y1218" s="108"/>
    </row>
    <row r="1219" ht="22.5" customHeight="1">
      <c r="A1219" s="96"/>
      <c r="B1219" s="97" t="s">
        <v>85</v>
      </c>
      <c r="C1219" s="98" t="str">
        <f t="array" ref="C1219">IFNA(XLOOKUP(J1219,'⚙️ Pengaturan'!$H$5:$H1508,'⚙️ Pengaturan'!$I$5:$I1508),"")</f>
        <v>TIM Y</v>
      </c>
      <c r="D1219" s="97" t="s">
        <v>86</v>
      </c>
      <c r="E1219" s="99">
        <v>46002.0</v>
      </c>
      <c r="F1219" s="100" t="str">
        <f t="shared" si="1"/>
        <v>2025</v>
      </c>
      <c r="G1219" s="100" t="str">
        <f t="shared" si="2"/>
        <v>12Des</v>
      </c>
      <c r="H1219" s="100" t="str">
        <f t="shared" si="3"/>
        <v>Kamis</v>
      </c>
      <c r="I1219" s="97" t="s">
        <v>97</v>
      </c>
      <c r="J1219" s="97" t="s">
        <v>56</v>
      </c>
      <c r="K1219" s="97" t="s">
        <v>63</v>
      </c>
      <c r="L1219" s="101" t="s">
        <v>540</v>
      </c>
      <c r="M1219" s="102" t="str">
        <f>IFNA(VLOOKUP(L1219,'🙎‍♂️ Pasien'!G:V,2,FALSE),"")</f>
        <v>A9425110177</v>
      </c>
      <c r="N1219" s="103">
        <f>IFNA(VLOOKUP(L1219,'🙎‍♂️ Pasien'!G:L,3,FALSE),"")</f>
        <v>31</v>
      </c>
      <c r="O1219" s="104" t="str">
        <f>IFNA(VLOOKUP(L1219,'🙎‍♂️ Pasien'!G:V,6,FALSE),"")</f>
        <v>LAKI-LAKI</v>
      </c>
      <c r="P1219" s="104" t="str">
        <f>IFNA(VLOOKUP(L1219,'🙎‍♂️ Pasien'!G:V,12,FALSE),"")</f>
        <v>KATOLIK</v>
      </c>
      <c r="Q1219" s="104" t="str">
        <f>IFNA(VLOOKUP(L1219:L1508,'🙎‍♂️ Pasien'!G:V,13,FALSE),"")</f>
        <v>-</v>
      </c>
      <c r="R1219" s="104" t="str">
        <f t="array" ref="R1219">ifna(xlookup(L1219,'🙎‍♂️ Pasien'!$G$5:$G1508,'🙎‍♂️ Pasien'!$T$5:$T1508),"")</f>
        <v>PASCA OPERASI ACL</v>
      </c>
      <c r="S1219" s="104" t="str">
        <f t="array" ref="S1219">ifna(xlookup(L1219,'🙎‍♂️ Pasien'!$G$5:$G1508,'🙎‍♂️ Pasien'!$U$5:$U1508),"")</f>
        <v>-</v>
      </c>
      <c r="T1219" s="97" t="s">
        <v>59</v>
      </c>
      <c r="U1219" s="105">
        <v>5.0</v>
      </c>
      <c r="V1219" s="101"/>
      <c r="W1219" s="106" t="b">
        <v>1</v>
      </c>
      <c r="X1219" s="107"/>
      <c r="Y1219" s="108"/>
    </row>
    <row r="1220" ht="22.5" customHeight="1">
      <c r="A1220" s="96"/>
      <c r="B1220" s="97" t="s">
        <v>85</v>
      </c>
      <c r="C1220" s="98" t="str">
        <f t="array" ref="C1220">IFNA(XLOOKUP(J1220,'⚙️ Pengaturan'!$H$5:$H1508,'⚙️ Pengaturan'!$I$5:$I1508),"")</f>
        <v>TIM A</v>
      </c>
      <c r="D1220" s="97" t="s">
        <v>86</v>
      </c>
      <c r="E1220" s="99">
        <v>46002.0</v>
      </c>
      <c r="F1220" s="100" t="str">
        <f t="shared" si="1"/>
        <v>2025</v>
      </c>
      <c r="G1220" s="100" t="str">
        <f t="shared" si="2"/>
        <v>12Des</v>
      </c>
      <c r="H1220" s="100" t="str">
        <f t="shared" si="3"/>
        <v>Kamis</v>
      </c>
      <c r="I1220" s="97" t="s">
        <v>97</v>
      </c>
      <c r="J1220" s="97" t="s">
        <v>79</v>
      </c>
      <c r="K1220" s="97" t="s">
        <v>57</v>
      </c>
      <c r="L1220" s="101" t="s">
        <v>698</v>
      </c>
      <c r="M1220" s="102" t="str">
        <f>IFNA(VLOOKUP(L1220,'🙎‍♂️ Pasien'!G:V,2,FALSE),"")</f>
        <v>A0025123200</v>
      </c>
      <c r="N1220" s="103">
        <f>IFNA(VLOOKUP(L1220,'🙎‍♂️ Pasien'!G:L,3,FALSE),"")</f>
        <v>25</v>
      </c>
      <c r="O1220" s="104" t="str">
        <f>IFNA(VLOOKUP(L1220,'🙎‍♂️ Pasien'!G:V,6,FALSE),"")</f>
        <v>PEREMPUAN</v>
      </c>
      <c r="P1220" s="104" t="str">
        <f>IFNA(VLOOKUP(L1220,'🙎‍♂️ Pasien'!G:V,12,FALSE),"")</f>
        <v>KATOLIK</v>
      </c>
      <c r="Q1220" s="104" t="str">
        <f>IFNA(VLOOKUP(L1220:L1508,'🙎‍♂️ Pasien'!G:V,13,FALSE),"")</f>
        <v>KARYAWAN SWASTA</v>
      </c>
      <c r="R1220" s="104" t="str">
        <f t="array" ref="R1220">ifna(xlookup(L1220,'🙎‍♂️ Pasien'!$G$5:$G1508,'🙎‍♂️ Pasien'!$T$5:$T1508),"")</f>
        <v>SAKIT PADA BAGIAN FOREARM DAN PEGAL DI BELAKANG LUTUT KANAN</v>
      </c>
      <c r="S1220" s="104" t="str">
        <f t="array" ref="S1220">ifna(xlookup(L1220,'🙎‍♂️ Pasien'!$G$5:$G1508,'🙎‍♂️ Pasien'!$U$5:$U1508),"")</f>
        <v>MAIN PADEL</v>
      </c>
      <c r="T1220" s="97" t="s">
        <v>59</v>
      </c>
      <c r="U1220" s="105" t="s">
        <v>60</v>
      </c>
      <c r="V1220" s="101"/>
      <c r="W1220" s="106" t="b">
        <v>1</v>
      </c>
      <c r="X1220" s="107"/>
      <c r="Y1220" s="108"/>
    </row>
    <row r="1221" ht="22.5" customHeight="1">
      <c r="A1221" s="96"/>
      <c r="B1221" s="97" t="s">
        <v>85</v>
      </c>
      <c r="C1221" s="98" t="str">
        <f t="array" ref="C1221">IFNA(XLOOKUP(J1221,'⚙️ Pengaturan'!$H$5:$H1508,'⚙️ Pengaturan'!$I$5:$I1508),"")</f>
        <v>TIM Y</v>
      </c>
      <c r="D1221" s="97" t="s">
        <v>86</v>
      </c>
      <c r="E1221" s="99">
        <v>46002.0</v>
      </c>
      <c r="F1221" s="100" t="str">
        <f t="shared" si="1"/>
        <v>2025</v>
      </c>
      <c r="G1221" s="100" t="str">
        <f t="shared" si="2"/>
        <v>12Des</v>
      </c>
      <c r="H1221" s="100" t="str">
        <f t="shared" si="3"/>
        <v>Kamis</v>
      </c>
      <c r="I1221" s="97" t="s">
        <v>99</v>
      </c>
      <c r="J1221" s="97" t="s">
        <v>56</v>
      </c>
      <c r="K1221" s="97" t="s">
        <v>63</v>
      </c>
      <c r="L1221" s="101" t="s">
        <v>392</v>
      </c>
      <c r="M1221" s="102" t="str">
        <f>IFNA(VLOOKUP(L1221,'🙎‍♂️ Pasien'!G:V,2,FALSE),"")</f>
        <v>D0625102206</v>
      </c>
      <c r="N1221" s="103">
        <f>IFNA(VLOOKUP(L1221,'🙎‍♂️ Pasien'!G:L,3,FALSE),"")</f>
        <v>19</v>
      </c>
      <c r="O1221" s="104" t="str">
        <f>IFNA(VLOOKUP(L1221,'🙎‍♂️ Pasien'!G:V,6,FALSE),"")</f>
        <v>LAKI-LAKI</v>
      </c>
      <c r="P1221" s="104" t="str">
        <f>IFNA(VLOOKUP(L1221,'🙎‍♂️ Pasien'!G:V,12,FALSE),"")</f>
        <v>ISLAM</v>
      </c>
      <c r="Q1221" s="104" t="str">
        <f>IFNA(VLOOKUP(L1221:L1508,'🙎‍♂️ Pasien'!G:V,13,FALSE),"")</f>
        <v>KARYAWAN SWASTA</v>
      </c>
      <c r="R1221" s="104" t="str">
        <f t="array" ref="R1221">ifna(xlookup(L1221,'🙎‍♂️ Pasien'!$G$5:$G1508,'🙎‍♂️ Pasien'!$T$5:$T1508),"")</f>
        <v>CEDERA KAKI</v>
      </c>
      <c r="S1221" s="104" t="str">
        <f t="array" ref="S1221">ifna(xlookup(L1221,'🙎‍♂️ Pasien'!$G$5:$G1508,'🙎‍♂️ Pasien'!$U$5:$U1508),"")</f>
        <v>BERMAIN FUTSAL</v>
      </c>
      <c r="T1221" s="97" t="s">
        <v>59</v>
      </c>
      <c r="U1221" s="105">
        <v>3.0</v>
      </c>
      <c r="V1221" s="101"/>
      <c r="W1221" s="106" t="b">
        <v>1</v>
      </c>
      <c r="X1221" s="107"/>
      <c r="Y1221" s="108"/>
    </row>
    <row r="1222" ht="22.5" customHeight="1">
      <c r="A1222" s="96"/>
      <c r="B1222" s="97" t="s">
        <v>85</v>
      </c>
      <c r="C1222" s="98" t="str">
        <f t="array" ref="C1222">IFNA(XLOOKUP(J1222,'⚙️ Pengaturan'!$H$5:$H1508,'⚙️ Pengaturan'!$I$5:$I1508),"")</f>
        <v>TIM A</v>
      </c>
      <c r="D1222" s="97" t="s">
        <v>86</v>
      </c>
      <c r="E1222" s="99">
        <v>46002.0</v>
      </c>
      <c r="F1222" s="100" t="str">
        <f t="shared" si="1"/>
        <v>2025</v>
      </c>
      <c r="G1222" s="100" t="str">
        <f t="shared" si="2"/>
        <v>12Des</v>
      </c>
      <c r="H1222" s="100" t="str">
        <f t="shared" si="3"/>
        <v>Kamis</v>
      </c>
      <c r="I1222" s="97" t="s">
        <v>99</v>
      </c>
      <c r="J1222" s="97" t="s">
        <v>72</v>
      </c>
      <c r="K1222" s="97" t="s">
        <v>57</v>
      </c>
      <c r="L1222" s="101" t="s">
        <v>699</v>
      </c>
      <c r="M1222" s="102" t="str">
        <f>IFNA(VLOOKUP(L1222,'🙎‍♂️ Pasien'!G:V,2,FALSE),"")</f>
        <v>F9325121778</v>
      </c>
      <c r="N1222" s="103">
        <f>IFNA(VLOOKUP(L1222,'🙎‍♂️ Pasien'!G:L,3,FALSE),"")</f>
        <v>33</v>
      </c>
      <c r="O1222" s="104" t="str">
        <f>IFNA(VLOOKUP(L1222,'🙎‍♂️ Pasien'!G:V,6,FALSE),"")</f>
        <v>LAKI-LAKI</v>
      </c>
      <c r="P1222" s="104" t="str">
        <f>IFNA(VLOOKUP(L1222,'🙎‍♂️ Pasien'!G:V,12,FALSE),"")</f>
        <v>LAINNYA</v>
      </c>
      <c r="Q1222" s="104" t="str">
        <f>IFNA(VLOOKUP(L1222:L1508,'🙎‍♂️ Pasien'!G:V,13,FALSE),"")</f>
        <v>WIRASWASTA</v>
      </c>
      <c r="R1222" s="104" t="str">
        <f t="array" ref="R1222">ifna(xlookup(L1222,'🙎‍♂️ Pasien'!$G$5:$G1508,'🙎‍♂️ Pasien'!$T$5:$T1508),"")</f>
        <v>CEDERA DI WRIST TANGAN KANAN, PAHA KAKI KANAN DAN PINGGANG BAGIAN BAWAH</v>
      </c>
      <c r="S1222" s="104" t="str">
        <f t="array" ref="S1222">ifna(xlookup(L1222,'🙎‍♂️ Pasien'!$G$5:$G1508,'🙎‍♂️ Pasien'!$U$5:$U1508),"")</f>
        <v>PADEL DAN DUDUK DI WAKTU YG LAMA DI KURSI KARENA PEKERJAAN DI DEPAN KOMPUTER</v>
      </c>
      <c r="T1222" s="97" t="s">
        <v>59</v>
      </c>
      <c r="U1222" s="105" t="s">
        <v>60</v>
      </c>
      <c r="V1222" s="101"/>
      <c r="W1222" s="106" t="b">
        <v>1</v>
      </c>
      <c r="X1222" s="107"/>
      <c r="Y1222" s="108"/>
    </row>
    <row r="1223" ht="22.5" customHeight="1">
      <c r="A1223" s="96"/>
      <c r="B1223" s="97" t="s">
        <v>85</v>
      </c>
      <c r="C1223" s="98" t="str">
        <f t="array" ref="C1223">IFNA(XLOOKUP(J1223,'⚙️ Pengaturan'!$H$5:$H1508,'⚙️ Pengaturan'!$I$5:$I1508),"")</f>
        <v>TIM A</v>
      </c>
      <c r="D1223" s="97" t="s">
        <v>86</v>
      </c>
      <c r="E1223" s="99">
        <v>46002.0</v>
      </c>
      <c r="F1223" s="100" t="str">
        <f t="shared" si="1"/>
        <v>2025</v>
      </c>
      <c r="G1223" s="100" t="str">
        <f t="shared" si="2"/>
        <v>12Des</v>
      </c>
      <c r="H1223" s="100" t="str">
        <f t="shared" si="3"/>
        <v>Kamis</v>
      </c>
      <c r="I1223" s="97" t="s">
        <v>99</v>
      </c>
      <c r="J1223" s="97" t="s">
        <v>79</v>
      </c>
      <c r="K1223" s="97" t="s">
        <v>69</v>
      </c>
      <c r="L1223" s="101" t="s">
        <v>529</v>
      </c>
      <c r="M1223" s="102" t="str">
        <f>IFNA(VLOOKUP(L1223,'🙎‍♂️ Pasien'!G:V,2,FALSE),"")</f>
        <v>R6825110615</v>
      </c>
      <c r="N1223" s="103">
        <f>IFNA(VLOOKUP(L1223,'🙎‍♂️ Pasien'!G:L,3,FALSE),"")</f>
        <v>57</v>
      </c>
      <c r="O1223" s="104" t="str">
        <f>IFNA(VLOOKUP(L1223,'🙎‍♂️ Pasien'!G:V,6,FALSE),"")</f>
        <v>PEREMPUAN</v>
      </c>
      <c r="P1223" s="104" t="str">
        <f>IFNA(VLOOKUP(L1223,'🙎‍♂️ Pasien'!G:V,12,FALSE),"")</f>
        <v>ISLAM</v>
      </c>
      <c r="Q1223" s="104" t="str">
        <f>IFNA(VLOOKUP(L1223:L1508,'🙎‍♂️ Pasien'!G:V,13,FALSE),"")</f>
        <v>IBU RUMAH TANGGA</v>
      </c>
      <c r="R1223" s="104" t="str">
        <f t="array" ref="R1223">ifna(xlookup(L1223,'🙎‍♂️ Pasien'!$G$5:$G1508,'🙎‍♂️ Pasien'!$T$5:$T1508),"")</f>
        <v>NYERI TULANG BELAKANG</v>
      </c>
      <c r="S1223" s="104" t="str">
        <f t="array" ref="S1223">ifna(xlookup(L1223,'🙎‍♂️ Pasien'!$G$5:$G1508,'🙎‍♂️ Pasien'!$U$5:$U1508),"")</f>
        <v>MENGERJAKAN PEKERJAAN RUMAH</v>
      </c>
      <c r="T1223" s="97" t="s">
        <v>59</v>
      </c>
      <c r="U1223" s="105" t="s">
        <v>60</v>
      </c>
      <c r="V1223" s="101"/>
      <c r="W1223" s="106" t="b">
        <v>1</v>
      </c>
      <c r="X1223" s="107"/>
      <c r="Y1223" s="108"/>
    </row>
    <row r="1224" ht="22.5" customHeight="1">
      <c r="A1224" s="96"/>
      <c r="B1224" s="97" t="s">
        <v>85</v>
      </c>
      <c r="C1224" s="98" t="str">
        <f t="array" ref="C1224">IFNA(XLOOKUP(J1224,'⚙️ Pengaturan'!$H$5:$H1508,'⚙️ Pengaturan'!$I$5:$I1508),"")</f>
        <v>MANAJEMEN</v>
      </c>
      <c r="D1224" s="97" t="s">
        <v>134</v>
      </c>
      <c r="E1224" s="99">
        <v>46003.0</v>
      </c>
      <c r="F1224" s="100" t="str">
        <f t="shared" si="1"/>
        <v>2025</v>
      </c>
      <c r="G1224" s="100" t="str">
        <f t="shared" si="2"/>
        <v>12Des</v>
      </c>
      <c r="H1224" s="100" t="str">
        <f t="shared" si="3"/>
        <v>Jumat</v>
      </c>
      <c r="I1224" s="97" t="s">
        <v>87</v>
      </c>
      <c r="J1224" s="97" t="s">
        <v>101</v>
      </c>
      <c r="K1224" s="97" t="s">
        <v>63</v>
      </c>
      <c r="L1224" s="101" t="s">
        <v>534</v>
      </c>
      <c r="M1224" s="102" t="str">
        <f>IFNA(VLOOKUP(L1224,'🙎‍♂️ Pasien'!G:V,2,FALSE),"")</f>
        <v>R6925118000</v>
      </c>
      <c r="N1224" s="103">
        <f>IFNA(VLOOKUP(L1224,'🙎‍♂️ Pasien'!G:L,3,FALSE),"")</f>
        <v>57</v>
      </c>
      <c r="O1224" s="104" t="str">
        <f>IFNA(VLOOKUP(L1224,'🙎‍♂️ Pasien'!G:V,6,FALSE),"")</f>
        <v>PEREMPUAN</v>
      </c>
      <c r="P1224" s="104" t="str">
        <f>IFNA(VLOOKUP(L1224,'🙎‍♂️ Pasien'!G:V,12,FALSE),"")</f>
        <v>KATOLIK</v>
      </c>
      <c r="Q1224" s="104" t="str">
        <f>IFNA(VLOOKUP(L1224:L1508,'🙎‍♂️ Pasien'!G:V,13,FALSE),"")</f>
        <v>RUMAH TANGGA</v>
      </c>
      <c r="R1224" s="104" t="str">
        <f t="array" ref="R1224">ifna(xlookup(L1224,'🙎‍♂️ Pasien'!$G$5:$G1508,'🙎‍♂️ Pasien'!$T$5:$T1508),"")</f>
        <v>KAKI SAKIT</v>
      </c>
      <c r="S1224" s="104" t="str">
        <f t="array" ref="S1224">ifna(xlookup(L1224,'🙎‍♂️ Pasien'!$G$5:$G1508,'🙎‍♂️ Pasien'!$U$5:$U1508),"")</f>
        <v>-</v>
      </c>
      <c r="T1224" s="97" t="s">
        <v>59</v>
      </c>
      <c r="U1224" s="105">
        <v>7.0</v>
      </c>
      <c r="V1224" s="101" t="s">
        <v>595</v>
      </c>
      <c r="W1224" s="106" t="b">
        <v>1</v>
      </c>
      <c r="X1224" s="107"/>
      <c r="Y1224" s="108"/>
    </row>
    <row r="1225" ht="22.5" customHeight="1">
      <c r="A1225" s="96"/>
      <c r="B1225" s="97" t="s">
        <v>85</v>
      </c>
      <c r="C1225" s="98" t="str">
        <f t="array" ref="C1225">IFNA(XLOOKUP(J1225,'⚙️ Pengaturan'!$H$5:$H1508,'⚙️ Pengaturan'!$I$5:$I1508),"")</f>
        <v>TIM A</v>
      </c>
      <c r="D1225" s="97" t="s">
        <v>134</v>
      </c>
      <c r="E1225" s="99">
        <v>46003.0</v>
      </c>
      <c r="F1225" s="100" t="str">
        <f t="shared" si="1"/>
        <v>2025</v>
      </c>
      <c r="G1225" s="100" t="str">
        <f t="shared" si="2"/>
        <v>12Des</v>
      </c>
      <c r="H1225" s="100" t="str">
        <f t="shared" si="3"/>
        <v>Jumat</v>
      </c>
      <c r="I1225" s="97" t="s">
        <v>87</v>
      </c>
      <c r="J1225" s="97" t="s">
        <v>79</v>
      </c>
      <c r="K1225" s="97" t="s">
        <v>69</v>
      </c>
      <c r="L1225" s="101" t="s">
        <v>696</v>
      </c>
      <c r="M1225" s="102" t="str">
        <f>IFNA(VLOOKUP(L1225,'🙎‍♂️ Pasien'!G:V,2,FALSE),"")</f>
        <v>Y6825129986</v>
      </c>
      <c r="N1225" s="103">
        <f>IFNA(VLOOKUP(L1225,'🙎‍♂️ Pasien'!G:L,3,FALSE),"")</f>
        <v>58</v>
      </c>
      <c r="O1225" s="104" t="str">
        <f>IFNA(VLOOKUP(L1225,'🙎‍♂️ Pasien'!G:V,6,FALSE),"")</f>
        <v>PEREMPUAN</v>
      </c>
      <c r="P1225" s="104" t="str">
        <f>IFNA(VLOOKUP(L1225,'🙎‍♂️ Pasien'!G:V,12,FALSE),"")</f>
        <v>ISLAM</v>
      </c>
      <c r="Q1225" s="104" t="str">
        <f>IFNA(VLOOKUP(L1225:L1508,'🙎‍♂️ Pasien'!G:V,13,FALSE),"")</f>
        <v>PNS</v>
      </c>
      <c r="R1225" s="104" t="str">
        <f t="array" ref="R1225">ifna(xlookup(L1225,'🙎‍♂️ Pasien'!$G$5:$G1508,'🙎‍♂️ Pasien'!$T$5:$T1508),"")</f>
        <v>LENGAN KANAN ATAS KAKU</v>
      </c>
      <c r="S1225" s="104" t="str">
        <f t="array" ref="S1225">ifna(xlookup(L1225,'🙎‍♂️ Pasien'!$G$5:$G1508,'🙎‍♂️ Pasien'!$U$5:$U1508),"")</f>
        <v>-</v>
      </c>
      <c r="T1225" s="97" t="s">
        <v>59</v>
      </c>
      <c r="U1225" s="105" t="s">
        <v>60</v>
      </c>
      <c r="V1225" s="101" t="s">
        <v>700</v>
      </c>
      <c r="W1225" s="106" t="b">
        <v>1</v>
      </c>
      <c r="X1225" s="107"/>
      <c r="Y1225" s="108"/>
    </row>
    <row r="1226" ht="22.5" customHeight="1">
      <c r="A1226" s="96"/>
      <c r="B1226" s="97" t="s">
        <v>85</v>
      </c>
      <c r="C1226" s="98" t="str">
        <f t="array" ref="C1226">IFNA(XLOOKUP(J1226,'⚙️ Pengaturan'!$H$5:$H1508,'⚙️ Pengaturan'!$I$5:$I1508),"")</f>
        <v>TIM A</v>
      </c>
      <c r="D1226" s="97" t="s">
        <v>134</v>
      </c>
      <c r="E1226" s="99">
        <v>46003.0</v>
      </c>
      <c r="F1226" s="100" t="str">
        <f t="shared" si="1"/>
        <v>2025</v>
      </c>
      <c r="G1226" s="100" t="str">
        <f t="shared" si="2"/>
        <v>12Des</v>
      </c>
      <c r="H1226" s="100" t="str">
        <f t="shared" si="3"/>
        <v>Jumat</v>
      </c>
      <c r="I1226" s="97" t="s">
        <v>93</v>
      </c>
      <c r="J1226" s="97" t="s">
        <v>79</v>
      </c>
      <c r="K1226" s="97" t="s">
        <v>63</v>
      </c>
      <c r="L1226" s="101" t="s">
        <v>239</v>
      </c>
      <c r="M1226" s="102" t="str">
        <f>IFNA(VLOOKUP(L1226,'🙎‍♂️ Pasien'!G:V,2,FALSE),"")</f>
        <v>A0623071437</v>
      </c>
      <c r="N1226" s="103">
        <f>IFNA(VLOOKUP(L1226,'🙎‍♂️ Pasien'!G:L,3,FALSE),"")</f>
        <v>20</v>
      </c>
      <c r="O1226" s="104" t="str">
        <f>IFNA(VLOOKUP(L1226,'🙎‍♂️ Pasien'!G:V,6,FALSE),"")</f>
        <v>LAKI-LAKI</v>
      </c>
      <c r="P1226" s="104" t="str">
        <f>IFNA(VLOOKUP(L1226,'🙎‍♂️ Pasien'!G:V,12,FALSE),"")</f>
        <v>ISLAM</v>
      </c>
      <c r="Q1226" s="104" t="str">
        <f>IFNA(VLOOKUP(L1226:L1508,'🙎‍♂️ Pasien'!G:V,13,FALSE),"")</f>
        <v>PELAJAR/MAHASISWA</v>
      </c>
      <c r="R1226" s="104" t="str">
        <f t="array" ref="R1226">ifna(xlookup(L1226,'🙎‍♂️ Pasien'!$G$5:$G1508,'🙎‍♂️ Pasien'!$T$5:$T1508),"")</f>
        <v>Cedera Engkel Di Kaki</v>
      </c>
      <c r="S1226" s="104" t="str">
        <f t="array" ref="S1226">ifna(xlookup(L1226,'🙎‍♂️ Pasien'!$G$5:$G1508,'🙎‍♂️ Pasien'!$U$5:$U1508),"")</f>
        <v>BERMAIN FUTSAL</v>
      </c>
      <c r="T1226" s="97" t="s">
        <v>67</v>
      </c>
      <c r="U1226" s="105">
        <v>5.0</v>
      </c>
      <c r="V1226" s="101" t="s">
        <v>278</v>
      </c>
      <c r="W1226" s="106" t="b">
        <v>1</v>
      </c>
      <c r="X1226" s="107"/>
      <c r="Y1226" s="108"/>
    </row>
    <row r="1227" ht="22.5" customHeight="1">
      <c r="A1227" s="96"/>
      <c r="B1227" s="97" t="s">
        <v>85</v>
      </c>
      <c r="C1227" s="98" t="str">
        <f t="array" ref="C1227">IFNA(XLOOKUP(J1227,'⚙️ Pengaturan'!$H$5:$H1508,'⚙️ Pengaturan'!$I$5:$I1508),"")</f>
        <v>MANAJEMEN</v>
      </c>
      <c r="D1227" s="97" t="s">
        <v>134</v>
      </c>
      <c r="E1227" s="99">
        <v>46003.0</v>
      </c>
      <c r="F1227" s="100" t="str">
        <f t="shared" si="1"/>
        <v>2025</v>
      </c>
      <c r="G1227" s="100" t="str">
        <f t="shared" si="2"/>
        <v>12Des</v>
      </c>
      <c r="H1227" s="100" t="str">
        <f t="shared" si="3"/>
        <v>Jumat</v>
      </c>
      <c r="I1227" s="97" t="s">
        <v>93</v>
      </c>
      <c r="J1227" s="97" t="s">
        <v>101</v>
      </c>
      <c r="K1227" s="97" t="s">
        <v>69</v>
      </c>
      <c r="L1227" s="101" t="s">
        <v>688</v>
      </c>
      <c r="M1227" s="102" t="str">
        <f>IFNA(VLOOKUP(L1227,'🙎‍♂️ Pasien'!G:V,2,FALSE),"")</f>
        <v>G0225127367</v>
      </c>
      <c r="N1227" s="103">
        <f>IFNA(VLOOKUP(L1227,'🙎‍♂️ Pasien'!G:L,3,FALSE),"")</f>
        <v>24</v>
      </c>
      <c r="O1227" s="104" t="str">
        <f>IFNA(VLOOKUP(L1227,'🙎‍♂️ Pasien'!G:V,6,FALSE),"")</f>
        <v>LAKI-LAKI</v>
      </c>
      <c r="P1227" s="104" t="str">
        <f>IFNA(VLOOKUP(L1227,'🙎‍♂️ Pasien'!G:V,12,FALSE),"")</f>
        <v>KATOLIK</v>
      </c>
      <c r="Q1227" s="104" t="str">
        <f>IFNA(VLOOKUP(L1227:L1508,'🙎‍♂️ Pasien'!G:V,13,FALSE),"")</f>
        <v>MAHASISWA</v>
      </c>
      <c r="R1227" s="104" t="str">
        <f t="array" ref="R1227">ifna(xlookup(L1227,'🙎‍♂️ Pasien'!$G$5:$G1508,'🙎‍♂️ Pasien'!$T$5:$T1508),"")</f>
        <v>CIDERA LUTUT</v>
      </c>
      <c r="S1227" s="104" t="str">
        <f t="array" ref="S1227">ifna(xlookup(L1227,'🙎‍♂️ Pasien'!$G$5:$G1508,'🙎‍♂️ Pasien'!$U$5:$U1508),"")</f>
        <v>SEPAK BOLA</v>
      </c>
      <c r="T1227" s="97" t="s">
        <v>59</v>
      </c>
      <c r="U1227" s="105" t="s">
        <v>60</v>
      </c>
      <c r="V1227" s="101" t="s">
        <v>701</v>
      </c>
      <c r="W1227" s="106" t="b">
        <v>1</v>
      </c>
      <c r="X1227" s="107"/>
      <c r="Y1227" s="108"/>
    </row>
    <row r="1228" ht="22.5" customHeight="1">
      <c r="A1228" s="96"/>
      <c r="B1228" s="97" t="s">
        <v>85</v>
      </c>
      <c r="C1228" s="98" t="str">
        <f t="array" ref="C1228">IFNA(XLOOKUP(J1228,'⚙️ Pengaturan'!$H$5:$H1508,'⚙️ Pengaturan'!$I$5:$I1508),"")</f>
        <v>TIM A</v>
      </c>
      <c r="D1228" s="97" t="s">
        <v>134</v>
      </c>
      <c r="E1228" s="99">
        <v>46003.0</v>
      </c>
      <c r="F1228" s="100" t="str">
        <f t="shared" si="1"/>
        <v>2025</v>
      </c>
      <c r="G1228" s="100" t="str">
        <f t="shared" si="2"/>
        <v>12Des</v>
      </c>
      <c r="H1228" s="100" t="str">
        <f t="shared" si="3"/>
        <v>Jumat</v>
      </c>
      <c r="I1228" s="97" t="s">
        <v>95</v>
      </c>
      <c r="J1228" s="97" t="s">
        <v>79</v>
      </c>
      <c r="K1228" s="97" t="s">
        <v>57</v>
      </c>
      <c r="L1228" s="101" t="s">
        <v>702</v>
      </c>
      <c r="M1228" s="102" t="str">
        <f>IFNA(VLOOKUP(L1228,'🙎‍♂️ Pasien'!G:V,2,FALSE),"")</f>
        <v>W7525122424</v>
      </c>
      <c r="N1228" s="103">
        <f>IFNA(VLOOKUP(L1228,'🙎‍♂️ Pasien'!G:L,3,FALSE),"")</f>
        <v>51</v>
      </c>
      <c r="O1228" s="104" t="str">
        <f>IFNA(VLOOKUP(L1228,'🙎‍♂️ Pasien'!G:V,6,FALSE),"")</f>
        <v>PEREMPUAN</v>
      </c>
      <c r="P1228" s="104" t="str">
        <f>IFNA(VLOOKUP(L1228,'🙎‍♂️ Pasien'!G:V,12,FALSE),"")</f>
        <v>ISLAM</v>
      </c>
      <c r="Q1228" s="104" t="str">
        <f>IFNA(VLOOKUP(L1228:L1508,'🙎‍♂️ Pasien'!G:V,13,FALSE),"")</f>
        <v>IBU RUMAH TANGGA</v>
      </c>
      <c r="R1228" s="104" t="str">
        <f t="array" ref="R1228">ifna(xlookup(L1228,'🙎‍♂️ Pasien'!$G$5:$G1508,'🙎‍♂️ Pasien'!$T$5:$T1508),"")</f>
        <v>NYERI LEHER BAGIAN KANAN</v>
      </c>
      <c r="S1228" s="104" t="str">
        <f t="array" ref="S1228">ifna(xlookup(L1228,'🙎‍♂️ Pasien'!$G$5:$G1508,'🙎‍♂️ Pasien'!$U$5:$U1508),"")</f>
        <v>SULIT UTK MENOLEH KEKANAN</v>
      </c>
      <c r="T1228" s="97" t="s">
        <v>59</v>
      </c>
      <c r="U1228" s="105" t="s">
        <v>60</v>
      </c>
      <c r="V1228" s="101" t="s">
        <v>142</v>
      </c>
      <c r="W1228" s="106" t="b">
        <v>1</v>
      </c>
      <c r="X1228" s="107"/>
      <c r="Y1228" s="108"/>
    </row>
    <row r="1229" ht="22.5" customHeight="1">
      <c r="A1229" s="96"/>
      <c r="B1229" s="97" t="s">
        <v>85</v>
      </c>
      <c r="C1229" s="98" t="str">
        <f t="array" ref="C1229">IFNA(XLOOKUP(J1229,'⚙️ Pengaturan'!$H$5:$H1508,'⚙️ Pengaturan'!$I$5:$I1508),"")</f>
        <v>MANAJEMEN</v>
      </c>
      <c r="D1229" s="97" t="s">
        <v>134</v>
      </c>
      <c r="E1229" s="99">
        <v>46003.0</v>
      </c>
      <c r="F1229" s="100" t="str">
        <f t="shared" si="1"/>
        <v>2025</v>
      </c>
      <c r="G1229" s="100" t="str">
        <f t="shared" si="2"/>
        <v>12Des</v>
      </c>
      <c r="H1229" s="100" t="str">
        <f t="shared" si="3"/>
        <v>Jumat</v>
      </c>
      <c r="I1229" s="97" t="s">
        <v>97</v>
      </c>
      <c r="J1229" s="97" t="s">
        <v>101</v>
      </c>
      <c r="K1229" s="97" t="s">
        <v>63</v>
      </c>
      <c r="L1229" s="101" t="s">
        <v>601</v>
      </c>
      <c r="M1229" s="102" t="str">
        <f>IFNA(VLOOKUP(L1229,'🙎‍♂️ Pasien'!G:V,2,FALSE),"")</f>
        <v>S6724108986</v>
      </c>
      <c r="N1229" s="103">
        <f>IFNA(VLOOKUP(L1229,'🙎‍♂️ Pasien'!G:L,3,FALSE),"")</f>
        <v>59</v>
      </c>
      <c r="O1229" s="104" t="str">
        <f>IFNA(VLOOKUP(L1229,'🙎‍♂️ Pasien'!G:V,6,FALSE),"")</f>
        <v>LAKI-LAKI</v>
      </c>
      <c r="P1229" s="104" t="str">
        <f>IFNA(VLOOKUP(L1229,'🙎‍♂️ Pasien'!G:V,12,FALSE),"")</f>
        <v>ISLAM</v>
      </c>
      <c r="Q1229" s="104" t="str">
        <f>IFNA(VLOOKUP(L1229:L1508,'🙎‍♂️ Pasien'!G:V,13,FALSE),"")</f>
        <v>PENSIUN</v>
      </c>
      <c r="R1229" s="104" t="str">
        <f t="array" ref="R1229">ifna(xlookup(L1229,'🙎‍♂️ Pasien'!$G$5:$G1508,'🙎‍♂️ Pasien'!$T$5:$T1508),"")</f>
        <v>Badan kaku , kaki tidak bisa / tidak ada kekuaran untuk menapaki tangga</v>
      </c>
      <c r="S1229" s="104" t="str">
        <f t="array" ref="S1229">ifna(xlookup(L1229,'🙎‍♂️ Pasien'!$G$5:$G1508,'🙎‍♂️ Pasien'!$U$5:$U1508),"")</f>
        <v>Membaca</v>
      </c>
      <c r="T1229" s="97" t="s">
        <v>59</v>
      </c>
      <c r="U1229" s="105">
        <v>5.0</v>
      </c>
      <c r="V1229" s="101"/>
      <c r="W1229" s="106" t="b">
        <v>1</v>
      </c>
      <c r="X1229" s="107"/>
      <c r="Y1229" s="108"/>
    </row>
    <row r="1230" ht="22.5" customHeight="1">
      <c r="A1230" s="96"/>
      <c r="B1230" s="97" t="s">
        <v>85</v>
      </c>
      <c r="C1230" s="98" t="str">
        <f t="array" ref="C1230">IFNA(XLOOKUP(J1230,'⚙️ Pengaturan'!$H$5:$H1508,'⚙️ Pengaturan'!$I$5:$I1508),"")</f>
        <v>TIM A</v>
      </c>
      <c r="D1230" s="97" t="s">
        <v>134</v>
      </c>
      <c r="E1230" s="99">
        <v>46003.0</v>
      </c>
      <c r="F1230" s="100" t="str">
        <f t="shared" si="1"/>
        <v>2025</v>
      </c>
      <c r="G1230" s="100" t="str">
        <f t="shared" si="2"/>
        <v>12Des</v>
      </c>
      <c r="H1230" s="100" t="str">
        <f t="shared" si="3"/>
        <v>Jumat</v>
      </c>
      <c r="I1230" s="97" t="s">
        <v>99</v>
      </c>
      <c r="J1230" s="97" t="s">
        <v>79</v>
      </c>
      <c r="K1230" s="97" t="s">
        <v>57</v>
      </c>
      <c r="L1230" s="101" t="s">
        <v>703</v>
      </c>
      <c r="M1230" s="102" t="str">
        <f>IFNA(VLOOKUP(L1230,'🙎‍♂️ Pasien'!G:V,2,FALSE),"")</f>
        <v>D8825037244</v>
      </c>
      <c r="N1230" s="103">
        <f>IFNA(VLOOKUP(L1230,'🙎‍♂️ Pasien'!G:L,3,FALSE),"")</f>
        <v>37</v>
      </c>
      <c r="O1230" s="104" t="str">
        <f>IFNA(VLOOKUP(L1230,'🙎‍♂️ Pasien'!G:V,6,FALSE),"")</f>
        <v>PEREMPUAN</v>
      </c>
      <c r="P1230" s="104" t="str">
        <f>IFNA(VLOOKUP(L1230,'🙎‍♂️ Pasien'!G:V,12,FALSE),"")</f>
        <v>ISLAM</v>
      </c>
      <c r="Q1230" s="104" t="str">
        <f>IFNA(VLOOKUP(L1230:L1508,'🙎‍♂️ Pasien'!G:V,13,FALSE),"")</f>
        <v>GURU PPPK</v>
      </c>
      <c r="R1230" s="104" t="str">
        <f t="array" ref="R1230">ifna(xlookup(L1230,'🙎‍♂️ Pasien'!$G$5:$G1508,'🙎‍♂️ Pasien'!$T$5:$T1508),"")</f>
        <v>SPUR DI TUMIT, SAKIT HINGGA BOKONG</v>
      </c>
      <c r="S1230" s="104" t="str">
        <f t="array" ref="S1230">ifna(xlookup(L1230,'🙎‍♂️ Pasien'!$G$5:$G1508,'🙎‍♂️ Pasien'!$U$5:$U1508),"")</f>
        <v>BERKENDARA MOTOR, GERAKAN SEHARI HARI</v>
      </c>
      <c r="T1230" s="97" t="s">
        <v>59</v>
      </c>
      <c r="U1230" s="105" t="s">
        <v>60</v>
      </c>
      <c r="V1230" s="101" t="s">
        <v>468</v>
      </c>
      <c r="W1230" s="106" t="b">
        <v>1</v>
      </c>
      <c r="X1230" s="107"/>
      <c r="Y1230" s="108"/>
    </row>
    <row r="1231" ht="22.5" customHeight="1">
      <c r="A1231" s="96"/>
      <c r="B1231" s="97" t="s">
        <v>53</v>
      </c>
      <c r="C1231" s="98" t="str">
        <f t="array" ref="C1231">IFNA(XLOOKUP(J1231,'⚙️ Pengaturan'!$H$5:$H1508,'⚙️ Pengaturan'!$I$5:$I1508),"")</f>
        <v>TIM A</v>
      </c>
      <c r="D1231" s="97" t="s">
        <v>86</v>
      </c>
      <c r="E1231" s="99">
        <v>46004.0</v>
      </c>
      <c r="F1231" s="100" t="str">
        <f t="shared" si="1"/>
        <v>2025</v>
      </c>
      <c r="G1231" s="100" t="str">
        <f t="shared" si="2"/>
        <v>12Des</v>
      </c>
      <c r="H1231" s="100" t="str">
        <f t="shared" si="3"/>
        <v>Sabtu</v>
      </c>
      <c r="I1231" s="97" t="s">
        <v>55</v>
      </c>
      <c r="J1231" s="97" t="s">
        <v>72</v>
      </c>
      <c r="K1231" s="97" t="s">
        <v>63</v>
      </c>
      <c r="L1231" s="101" t="s">
        <v>129</v>
      </c>
      <c r="M1231" s="102" t="str">
        <f>IFNA(VLOOKUP(L1231,'🙎‍♂️ Pasien'!G:V,2,FALSE),"")</f>
        <v>D1025091558</v>
      </c>
      <c r="N1231" s="103">
        <f>IFNA(VLOOKUP(L1231,'🙎‍♂️ Pasien'!G:L,3,FALSE),"")</f>
        <v>16</v>
      </c>
      <c r="O1231" s="104" t="str">
        <f>IFNA(VLOOKUP(L1231,'🙎‍♂️ Pasien'!G:V,6,FALSE),"")</f>
        <v>LAKI-LAKI</v>
      </c>
      <c r="P1231" s="104" t="str">
        <f>IFNA(VLOOKUP(L1231,'🙎‍♂️ Pasien'!G:V,12,FALSE),"")</f>
        <v>PROTESTAN</v>
      </c>
      <c r="Q1231" s="104" t="str">
        <f>IFNA(VLOOKUP(L1231:L1508,'🙎‍♂️ Pasien'!G:V,13,FALSE),"")</f>
        <v>MASI SEKOLAH</v>
      </c>
      <c r="R1231" s="104" t="str">
        <f t="array" ref="R1231">ifna(xlookup(L1231,'🙎‍♂️ Pasien'!$G$5:$G1508,'🙎‍♂️ Pasien'!$T$5:$T1508),"")</f>
        <v>SAKIT DI BAGIAN LUTUT</v>
      </c>
      <c r="S1231" s="104" t="str">
        <f t="array" ref="S1231">ifna(xlookup(L1231,'🙎‍♂️ Pasien'!$G$5:$G1508,'🙎‍♂️ Pasien'!$U$5:$U1508),"")</f>
        <v>BASKET</v>
      </c>
      <c r="T1231" s="97" t="s">
        <v>67</v>
      </c>
      <c r="U1231" s="105">
        <v>4.0</v>
      </c>
      <c r="V1231" s="101" t="s">
        <v>704</v>
      </c>
      <c r="W1231" s="106" t="b">
        <v>1</v>
      </c>
      <c r="X1231" s="107"/>
      <c r="Y1231" s="108"/>
    </row>
    <row r="1232" ht="22.5" customHeight="1">
      <c r="A1232" s="96"/>
      <c r="B1232" s="97" t="s">
        <v>53</v>
      </c>
      <c r="C1232" s="98" t="str">
        <f t="array" ref="C1232">IFNA(XLOOKUP(J1232,'⚙️ Pengaturan'!$H$5:$H1508,'⚙️ Pengaturan'!$I$5:$I1508),"")</f>
        <v>MANAJEMEN</v>
      </c>
      <c r="D1232" s="97" t="s">
        <v>86</v>
      </c>
      <c r="E1232" s="99">
        <v>46004.0</v>
      </c>
      <c r="F1232" s="100" t="str">
        <f t="shared" si="1"/>
        <v>2025</v>
      </c>
      <c r="G1232" s="100" t="str">
        <f t="shared" si="2"/>
        <v>12Des</v>
      </c>
      <c r="H1232" s="100" t="str">
        <f t="shared" si="3"/>
        <v>Sabtu</v>
      </c>
      <c r="I1232" s="97" t="s">
        <v>55</v>
      </c>
      <c r="J1232" s="97" t="s">
        <v>81</v>
      </c>
      <c r="K1232" s="97" t="s">
        <v>63</v>
      </c>
      <c r="L1232" s="101" t="s">
        <v>222</v>
      </c>
      <c r="M1232" s="102" t="str">
        <f>IFNA(VLOOKUP(L1232,'🙎‍♂️ Pasien'!G:V,2,FALSE),"")</f>
        <v>D0924079294</v>
      </c>
      <c r="N1232" s="103">
        <f>IFNA(VLOOKUP(L1232,'🙎‍♂️ Pasien'!G:L,3,FALSE),"")</f>
        <v>17</v>
      </c>
      <c r="O1232" s="104" t="str">
        <f>IFNA(VLOOKUP(L1232,'🙎‍♂️ Pasien'!G:V,6,FALSE),"")</f>
        <v>LAKI-LAKI</v>
      </c>
      <c r="P1232" s="104" t="str">
        <f>IFNA(VLOOKUP(L1232,'🙎‍♂️ Pasien'!G:V,12,FALSE),"")</f>
        <v>ISLAM</v>
      </c>
      <c r="Q1232" s="104" t="str">
        <f>IFNA(VLOOKUP(L1232:L1508,'🙎‍♂️ Pasien'!G:V,13,FALSE),"")</f>
        <v>PELAJAR/MAHASISWA</v>
      </c>
      <c r="R1232" s="104" t="str">
        <f t="array" ref="R1232">ifna(xlookup(L1232,'🙎‍♂️ Pasien'!$G$5:$G1508,'🙎‍♂️ Pasien'!$T$5:$T1508),"")</f>
        <v>Strok ringan</v>
      </c>
      <c r="S1232" s="104" t="str">
        <f t="array" ref="S1232">ifna(xlookup(L1232,'🙎‍♂️ Pasien'!$G$5:$G1508,'🙎‍♂️ Pasien'!$U$5:$U1508),"")</f>
        <v>Olah raga</v>
      </c>
      <c r="T1232" s="97" t="s">
        <v>59</v>
      </c>
      <c r="U1232" s="105">
        <v>5.0</v>
      </c>
      <c r="V1232" s="101"/>
      <c r="W1232" s="106" t="b">
        <v>1</v>
      </c>
      <c r="X1232" s="107"/>
      <c r="Y1232" s="108"/>
    </row>
    <row r="1233" ht="22.5" customHeight="1">
      <c r="A1233" s="96"/>
      <c r="B1233" s="97" t="s">
        <v>53</v>
      </c>
      <c r="C1233" s="98" t="str">
        <f t="array" ref="C1233">IFNA(XLOOKUP(J1233,'⚙️ Pengaturan'!$H$5:$H1508,'⚙️ Pengaturan'!$I$5:$I1508),"")</f>
        <v>TIM A</v>
      </c>
      <c r="D1233" s="97" t="s">
        <v>86</v>
      </c>
      <c r="E1233" s="99">
        <v>46004.0</v>
      </c>
      <c r="F1233" s="100" t="str">
        <f t="shared" si="1"/>
        <v>2025</v>
      </c>
      <c r="G1233" s="100" t="str">
        <f t="shared" si="2"/>
        <v>12Des</v>
      </c>
      <c r="H1233" s="100" t="str">
        <f t="shared" si="3"/>
        <v>Sabtu</v>
      </c>
      <c r="I1233" s="97" t="s">
        <v>65</v>
      </c>
      <c r="J1233" s="97" t="s">
        <v>72</v>
      </c>
      <c r="K1233" s="97" t="s">
        <v>63</v>
      </c>
      <c r="L1233" s="101" t="s">
        <v>225</v>
      </c>
      <c r="M1233" s="102" t="str">
        <f>IFNA(VLOOKUP(L1233,'🙎‍♂️ Pasien'!G:V,2,FALSE),"")</f>
        <v>B8025102288</v>
      </c>
      <c r="N1233" s="103">
        <f>IFNA(VLOOKUP(L1233,'🙎‍♂️ Pasien'!G:L,3,FALSE),"")</f>
        <v>45</v>
      </c>
      <c r="O1233" s="104" t="str">
        <f>IFNA(VLOOKUP(L1233,'🙎‍♂️ Pasien'!G:V,6,FALSE),"")</f>
        <v>PEREMPUAN</v>
      </c>
      <c r="P1233" s="104" t="str">
        <f>IFNA(VLOOKUP(L1233,'🙎‍♂️ Pasien'!G:V,12,FALSE),"")</f>
        <v>ISLAM</v>
      </c>
      <c r="Q1233" s="104" t="str">
        <f>IFNA(VLOOKUP(L1233:L1508,'🙎‍♂️ Pasien'!G:V,13,FALSE),"")</f>
        <v>ASN</v>
      </c>
      <c r="R1233" s="104" t="str">
        <f t="array" ref="R1233">ifna(xlookup(L1233,'🙎‍♂️ Pasien'!$G$5:$G1508,'🙎‍♂️ Pasien'!$T$5:$T1508),"")</f>
        <v>KELUHAN SY NYERI DI TUMIT KIRI SM PAHA KANAN UT DIANGKAT SAMBIL DITEKUK KE ARAH SAMPING LUAR RASA NYA NYERI</v>
      </c>
      <c r="S1233" s="104" t="str">
        <f t="array" ref="S1233">ifna(xlookup(L1233,'🙎‍♂️ Pasien'!$G$5:$G1508,'🙎‍♂️ Pasien'!$U$5:$U1508),"")</f>
        <v>JOGING</v>
      </c>
      <c r="T1233" s="97" t="s">
        <v>59</v>
      </c>
      <c r="U1233" s="105">
        <v>5.0</v>
      </c>
      <c r="V1233" s="101" t="s">
        <v>125</v>
      </c>
      <c r="W1233" s="106" t="b">
        <v>1</v>
      </c>
      <c r="X1233" s="107"/>
      <c r="Y1233" s="108"/>
    </row>
    <row r="1234" ht="22.5" customHeight="1">
      <c r="A1234" s="96"/>
      <c r="B1234" s="97" t="s">
        <v>53</v>
      </c>
      <c r="C1234" s="98" t="str">
        <f t="array" ref="C1234">IFNA(XLOOKUP(J1234,'⚙️ Pengaturan'!$H$5:$H1508,'⚙️ Pengaturan'!$I$5:$I1508),"")</f>
        <v>TIM A</v>
      </c>
      <c r="D1234" s="97" t="s">
        <v>86</v>
      </c>
      <c r="E1234" s="99">
        <v>46004.0</v>
      </c>
      <c r="F1234" s="100" t="str">
        <f t="shared" si="1"/>
        <v>2025</v>
      </c>
      <c r="G1234" s="100" t="str">
        <f t="shared" si="2"/>
        <v>12Des</v>
      </c>
      <c r="H1234" s="100" t="str">
        <f t="shared" si="3"/>
        <v>Sabtu</v>
      </c>
      <c r="I1234" s="97" t="s">
        <v>65</v>
      </c>
      <c r="J1234" s="97" t="s">
        <v>79</v>
      </c>
      <c r="K1234" s="97" t="s">
        <v>69</v>
      </c>
      <c r="L1234" s="101" t="s">
        <v>694</v>
      </c>
      <c r="M1234" s="102" t="str">
        <f>IFNA(VLOOKUP(L1234,'🙎‍♂️ Pasien'!G:V,2,FALSE),"")</f>
        <v>D0625121108</v>
      </c>
      <c r="N1234" s="103">
        <f>IFNA(VLOOKUP(L1234,'🙎‍♂️ Pasien'!G:L,3,FALSE),"")</f>
        <v>19</v>
      </c>
      <c r="O1234" s="104" t="str">
        <f>IFNA(VLOOKUP(L1234,'🙎‍♂️ Pasien'!G:V,6,FALSE),"")</f>
        <v>LAKI-LAKI</v>
      </c>
      <c r="P1234" s="104" t="str">
        <f>IFNA(VLOOKUP(L1234,'🙎‍♂️ Pasien'!G:V,12,FALSE),"")</f>
        <v>KATOLIK</v>
      </c>
      <c r="Q1234" s="104" t="str">
        <f>IFNA(VLOOKUP(L1234:L1508,'🙎‍♂️ Pasien'!G:V,13,FALSE),"")</f>
        <v>MAHASISWA</v>
      </c>
      <c r="R1234" s="104" t="str">
        <f t="array" ref="R1234">ifna(xlookup(L1234,'🙎‍♂️ Pasien'!$G$5:$G1508,'🙎‍♂️ Pasien'!$T$5:$T1508),"")</f>
        <v>LOWER BACK</v>
      </c>
      <c r="S1234" s="104" t="str">
        <f t="array" ref="S1234">ifna(xlookup(L1234,'🙎‍♂️ Pasien'!$G$5:$G1508,'🙎‍♂️ Pasien'!$U$5:$U1508),"")</f>
        <v>GYM, BASKET</v>
      </c>
      <c r="T1234" s="97" t="s">
        <v>59</v>
      </c>
      <c r="U1234" s="105" t="s">
        <v>60</v>
      </c>
      <c r="V1234" s="101"/>
      <c r="W1234" s="106" t="b">
        <v>1</v>
      </c>
      <c r="X1234" s="107"/>
      <c r="Y1234" s="108"/>
    </row>
    <row r="1235" ht="22.5" customHeight="1">
      <c r="A1235" s="96"/>
      <c r="B1235" s="97" t="s">
        <v>53</v>
      </c>
      <c r="C1235" s="98" t="str">
        <f t="array" ref="C1235">IFNA(XLOOKUP(J1235,'⚙️ Pengaturan'!$H$5:$H1508,'⚙️ Pengaturan'!$I$5:$I1508),"")</f>
        <v>TIM A</v>
      </c>
      <c r="D1235" s="97" t="s">
        <v>86</v>
      </c>
      <c r="E1235" s="99">
        <v>46004.0</v>
      </c>
      <c r="F1235" s="100" t="str">
        <f t="shared" si="1"/>
        <v>2025</v>
      </c>
      <c r="G1235" s="100" t="str">
        <f t="shared" si="2"/>
        <v>12Des</v>
      </c>
      <c r="H1235" s="100" t="str">
        <f t="shared" si="3"/>
        <v>Sabtu</v>
      </c>
      <c r="I1235" s="97" t="s">
        <v>74</v>
      </c>
      <c r="J1235" s="97" t="s">
        <v>79</v>
      </c>
      <c r="K1235" s="97" t="s">
        <v>57</v>
      </c>
      <c r="L1235" s="101" t="s">
        <v>705</v>
      </c>
      <c r="M1235" s="102" t="str">
        <f>IFNA(VLOOKUP(L1235,'🙎‍♂️ Pasien'!G:V,2,FALSE),"")</f>
        <v>R0825114030</v>
      </c>
      <c r="N1235" s="103">
        <f>IFNA(VLOOKUP(L1235,'🙎‍♂️ Pasien'!G:L,3,FALSE),"")</f>
        <v>17</v>
      </c>
      <c r="O1235" s="104" t="str">
        <f>IFNA(VLOOKUP(L1235,'🙎‍♂️ Pasien'!G:V,6,FALSE),"")</f>
        <v>LAKI-LAKI</v>
      </c>
      <c r="P1235" s="104" t="str">
        <f>IFNA(VLOOKUP(L1235,'🙎‍♂️ Pasien'!G:V,12,FALSE),"")</f>
        <v>ISLAM</v>
      </c>
      <c r="Q1235" s="104" t="str">
        <f>IFNA(VLOOKUP(L1235:L1508,'🙎‍♂️ Pasien'!G:V,13,FALSE),"")</f>
        <v>PELAJAR</v>
      </c>
      <c r="R1235" s="104" t="str">
        <f t="array" ref="R1235">ifna(xlookup(L1235,'🙎‍♂️ Pasien'!$G$5:$G1508,'🙎‍♂️ Pasien'!$T$5:$T1508),"")</f>
        <v>CEDERA LUTUT</v>
      </c>
      <c r="S1235" s="104" t="str">
        <f t="array" ref="S1235">ifna(xlookup(L1235,'🙎‍♂️ Pasien'!$G$5:$G1508,'🙎‍♂️ Pasien'!$U$5:$U1508),"")</f>
        <v>FUTSAL,BERENANG</v>
      </c>
      <c r="T1235" s="97" t="s">
        <v>59</v>
      </c>
      <c r="U1235" s="105" t="s">
        <v>60</v>
      </c>
      <c r="V1235" s="101"/>
      <c r="W1235" s="106" t="b">
        <v>1</v>
      </c>
      <c r="X1235" s="107"/>
      <c r="Y1235" s="108"/>
    </row>
    <row r="1236" ht="22.5" customHeight="1">
      <c r="A1236" s="96"/>
      <c r="B1236" s="97" t="s">
        <v>53</v>
      </c>
      <c r="C1236" s="98" t="str">
        <f t="array" ref="C1236">IFNA(XLOOKUP(J1236,'⚙️ Pengaturan'!$H$5:$H1508,'⚙️ Pengaturan'!$I$5:$I1508),"")</f>
        <v>TIM A</v>
      </c>
      <c r="D1236" s="97" t="s">
        <v>86</v>
      </c>
      <c r="E1236" s="99">
        <v>46004.0</v>
      </c>
      <c r="F1236" s="100" t="str">
        <f t="shared" si="1"/>
        <v>2025</v>
      </c>
      <c r="G1236" s="100" t="str">
        <f t="shared" si="2"/>
        <v>12Des</v>
      </c>
      <c r="H1236" s="100" t="str">
        <f t="shared" si="3"/>
        <v>Sabtu</v>
      </c>
      <c r="I1236" s="97" t="s">
        <v>74</v>
      </c>
      <c r="J1236" s="97" t="s">
        <v>72</v>
      </c>
      <c r="K1236" s="97" t="s">
        <v>63</v>
      </c>
      <c r="L1236" s="101" t="s">
        <v>706</v>
      </c>
      <c r="M1236" s="102" t="str">
        <f>IFNA(VLOOKUP(L1236,'🙎‍♂️ Pasien'!G:V,2,FALSE),"")</f>
        <v>S7325124774</v>
      </c>
      <c r="N1236" s="103">
        <f>IFNA(VLOOKUP(L1236,'🙎‍♂️ Pasien'!G:L,3,FALSE),"")</f>
        <v>52</v>
      </c>
      <c r="O1236" s="104" t="str">
        <f>IFNA(VLOOKUP(L1236,'🙎‍♂️ Pasien'!G:V,6,FALSE),"")</f>
        <v>PEREMPUAN</v>
      </c>
      <c r="P1236" s="104" t="str">
        <f>IFNA(VLOOKUP(L1236,'🙎‍♂️ Pasien'!G:V,12,FALSE),"")</f>
        <v>ISLAM</v>
      </c>
      <c r="Q1236" s="104" t="str">
        <f>IFNA(VLOOKUP(L1236:L1508,'🙎‍♂️ Pasien'!G:V,13,FALSE),"")</f>
        <v>IBU RUMAH TANGGA</v>
      </c>
      <c r="R1236" s="104" t="str">
        <f t="array" ref="R1236">ifna(xlookup(L1236,'🙎‍♂️ Pasien'!$G$5:$G1508,'🙎‍♂️ Pasien'!$T$5:$T1508),"")</f>
        <v>SAKIT DIBAGIAN LUTUT TIDAK BISA NEKUK</v>
      </c>
      <c r="S1236" s="104" t="str">
        <f t="array" ref="S1236">ifna(xlookup(L1236,'🙎‍♂️ Pasien'!$G$5:$G1508,'🙎‍♂️ Pasien'!$U$5:$U1508),"")</f>
        <v>.</v>
      </c>
      <c r="T1236" s="97" t="s">
        <v>59</v>
      </c>
      <c r="U1236" s="105">
        <v>2.0</v>
      </c>
      <c r="V1236" s="101"/>
      <c r="W1236" s="106" t="b">
        <v>1</v>
      </c>
      <c r="X1236" s="107"/>
      <c r="Y1236" s="108"/>
    </row>
    <row r="1237" ht="22.5" customHeight="1">
      <c r="A1237" s="96"/>
      <c r="B1237" s="97" t="s">
        <v>53</v>
      </c>
      <c r="C1237" s="98" t="str">
        <f t="array" ref="C1237">IFNA(XLOOKUP(J1237,'⚙️ Pengaturan'!$H$5:$H1508,'⚙️ Pengaturan'!$I$5:$I1508),"")</f>
        <v>TIM A</v>
      </c>
      <c r="D1237" s="97" t="s">
        <v>86</v>
      </c>
      <c r="E1237" s="99">
        <v>46004.0</v>
      </c>
      <c r="F1237" s="100" t="str">
        <f t="shared" si="1"/>
        <v>2025</v>
      </c>
      <c r="G1237" s="100" t="str">
        <f t="shared" si="2"/>
        <v>12Des</v>
      </c>
      <c r="H1237" s="100" t="str">
        <f t="shared" si="3"/>
        <v>Sabtu</v>
      </c>
      <c r="I1237" s="97" t="s">
        <v>74</v>
      </c>
      <c r="J1237" s="97" t="s">
        <v>62</v>
      </c>
      <c r="K1237" s="97" t="s">
        <v>63</v>
      </c>
      <c r="L1237" s="101" t="s">
        <v>641</v>
      </c>
      <c r="M1237" s="102" t="str">
        <f>IFNA(VLOOKUP(L1237,'🙎‍♂️ Pasien'!G:V,2,FALSE),"")</f>
        <v>S4425117922</v>
      </c>
      <c r="N1237" s="103">
        <f>IFNA(VLOOKUP(L1237,'🙎‍♂️ Pasien'!G:L,3,FALSE),"")</f>
        <v>82</v>
      </c>
      <c r="O1237" s="104" t="str">
        <f>IFNA(VLOOKUP(L1237,'🙎‍♂️ Pasien'!G:V,6,FALSE),"")</f>
        <v>PEREMPUAN</v>
      </c>
      <c r="P1237" s="104" t="str">
        <f>IFNA(VLOOKUP(L1237,'🙎‍♂️ Pasien'!G:V,12,FALSE),"")</f>
        <v>KATOLIK</v>
      </c>
      <c r="Q1237" s="104" t="str">
        <f>IFNA(VLOOKUP(L1237:L1508,'🙎‍♂️ Pasien'!G:V,13,FALSE),"")</f>
        <v>PENSIUNAN</v>
      </c>
      <c r="R1237" s="104" t="str">
        <f t="array" ref="R1237">ifna(xlookup(L1237,'🙎‍♂️ Pasien'!$G$5:$G1508,'🙎‍♂️ Pasien'!$T$5:$T1508),"")</f>
        <v>OTOT LEMAH SETELAH SEMBUH DARI JATUH</v>
      </c>
      <c r="S1237" s="104" t="str">
        <f t="array" ref="S1237">ifna(xlookup(L1237,'🙎‍♂️ Pasien'!$G$5:$G1508,'🙎‍♂️ Pasien'!$U$5:$U1508),"")</f>
        <v>NO APPLICABLE</v>
      </c>
      <c r="T1237" s="97" t="s">
        <v>67</v>
      </c>
      <c r="U1237" s="105">
        <v>5.0</v>
      </c>
      <c r="V1237" s="101" t="s">
        <v>707</v>
      </c>
      <c r="W1237" s="106" t="b">
        <v>1</v>
      </c>
      <c r="X1237" s="107"/>
      <c r="Y1237" s="108"/>
    </row>
    <row r="1238" ht="22.5" customHeight="1">
      <c r="A1238" s="96"/>
      <c r="B1238" s="97" t="s">
        <v>53</v>
      </c>
      <c r="C1238" s="98" t="str">
        <f t="array" ref="C1238">IFNA(XLOOKUP(J1238,'⚙️ Pengaturan'!$H$5:$H1508,'⚙️ Pengaturan'!$I$5:$I1508),"")</f>
        <v>TIM A</v>
      </c>
      <c r="D1238" s="97" t="s">
        <v>86</v>
      </c>
      <c r="E1238" s="99">
        <v>46004.0</v>
      </c>
      <c r="F1238" s="100" t="str">
        <f t="shared" si="1"/>
        <v>2025</v>
      </c>
      <c r="G1238" s="100" t="str">
        <f t="shared" si="2"/>
        <v>12Des</v>
      </c>
      <c r="H1238" s="100" t="str">
        <f t="shared" si="3"/>
        <v>Sabtu</v>
      </c>
      <c r="I1238" s="97" t="s">
        <v>76</v>
      </c>
      <c r="J1238" s="97" t="s">
        <v>72</v>
      </c>
      <c r="K1238" s="97" t="s">
        <v>63</v>
      </c>
      <c r="L1238" s="101" t="s">
        <v>381</v>
      </c>
      <c r="M1238" s="102" t="str">
        <f>IFNA(VLOOKUP(L1238,'🙎‍♂️ Pasien'!G:V,2,FALSE),"")</f>
        <v>A9925105509</v>
      </c>
      <c r="N1238" s="103">
        <f>IFNA(VLOOKUP(L1238,'🙎‍♂️ Pasien'!G:L,3,FALSE),"")</f>
        <v>27</v>
      </c>
      <c r="O1238" s="104" t="str">
        <f>IFNA(VLOOKUP(L1238,'🙎‍♂️ Pasien'!G:V,6,FALSE),"")</f>
        <v>PEREMPUAN</v>
      </c>
      <c r="P1238" s="104" t="str">
        <f>IFNA(VLOOKUP(L1238,'🙎‍♂️ Pasien'!G:V,12,FALSE),"")</f>
        <v>BUDDHA</v>
      </c>
      <c r="Q1238" s="104" t="str">
        <f>IFNA(VLOOKUP(L1238:L1508,'🙎‍♂️ Pasien'!G:V,13,FALSE),"")</f>
        <v>WIRASWASTA</v>
      </c>
      <c r="R1238" s="104" t="str">
        <f t="array" ref="R1238">ifna(xlookup(L1238,'🙎‍♂️ Pasien'!$G$5:$G1508,'🙎‍♂️ Pasien'!$T$5:$T1508),"")</f>
        <v>KAKI BEKAS ANKLE SPRAIN SUDAH DITRE DAN BAHU PEGAL</v>
      </c>
      <c r="S1238" s="104" t="str">
        <f t="array" ref="S1238">ifna(xlookup(L1238,'🙎‍♂️ Pasien'!$G$5:$G1508,'🙎‍♂️ Pasien'!$U$5:$U1508),"")</f>
        <v>2 MINGGU LALU JATUH DARI KETINGGIAN</v>
      </c>
      <c r="T1238" s="97" t="s">
        <v>59</v>
      </c>
      <c r="U1238" s="105">
        <v>1.0</v>
      </c>
      <c r="V1238" s="101"/>
      <c r="W1238" s="106" t="b">
        <v>1</v>
      </c>
      <c r="X1238" s="107"/>
      <c r="Y1238" s="108"/>
    </row>
    <row r="1239" ht="22.5" customHeight="1">
      <c r="A1239" s="96"/>
      <c r="B1239" s="97" t="s">
        <v>53</v>
      </c>
      <c r="C1239" s="98" t="str">
        <f t="array" ref="C1239">IFNA(XLOOKUP(J1239,'⚙️ Pengaturan'!$H$5:$H1508,'⚙️ Pengaturan'!$I$5:$I1508),"")</f>
        <v>TIM A</v>
      </c>
      <c r="D1239" s="97" t="s">
        <v>86</v>
      </c>
      <c r="E1239" s="99">
        <v>46004.0</v>
      </c>
      <c r="F1239" s="100" t="str">
        <f t="shared" si="1"/>
        <v>2025</v>
      </c>
      <c r="G1239" s="100" t="str">
        <f t="shared" si="2"/>
        <v>12Des</v>
      </c>
      <c r="H1239" s="100" t="str">
        <f t="shared" si="3"/>
        <v>Sabtu</v>
      </c>
      <c r="I1239" s="97" t="s">
        <v>76</v>
      </c>
      <c r="J1239" s="97" t="s">
        <v>72</v>
      </c>
      <c r="K1239" s="97" t="s">
        <v>69</v>
      </c>
      <c r="L1239" s="101" t="s">
        <v>585</v>
      </c>
      <c r="M1239" s="102" t="str">
        <f>IFNA(VLOOKUP(L1239,'🙎‍♂️ Pasien'!G:V,2,FALSE),"")</f>
        <v>I0025112738</v>
      </c>
      <c r="N1239" s="103">
        <f>IFNA(VLOOKUP(L1239,'🙎‍♂️ Pasien'!G:L,3,FALSE),"")</f>
        <v>25</v>
      </c>
      <c r="O1239" s="104" t="str">
        <f>IFNA(VLOOKUP(L1239,'🙎‍♂️ Pasien'!G:V,6,FALSE),"")</f>
        <v>PEREMPUAN</v>
      </c>
      <c r="P1239" s="104" t="str">
        <f>IFNA(VLOOKUP(L1239,'🙎‍♂️ Pasien'!G:V,12,FALSE),"")</f>
        <v>ISLAM</v>
      </c>
      <c r="Q1239" s="104" t="str">
        <f>IFNA(VLOOKUP(L1239:L1508,'🙎‍♂️ Pasien'!G:V,13,FALSE),"")</f>
        <v>-</v>
      </c>
      <c r="R1239" s="104" t="str">
        <f t="array" ref="R1239">ifna(xlookup(L1239,'🙎‍♂️ Pasien'!$G$5:$G1508,'🙎‍♂️ Pasien'!$T$5:$T1508),"")</f>
        <v>LUTUT</v>
      </c>
      <c r="S1239" s="104" t="str">
        <f t="array" ref="S1239">ifna(xlookup(L1239,'🙎‍♂️ Pasien'!$G$5:$G1508,'🙎‍♂️ Pasien'!$U$5:$U1508),"")</f>
        <v>-</v>
      </c>
      <c r="T1239" s="97" t="s">
        <v>67</v>
      </c>
      <c r="U1239" s="105" t="s">
        <v>60</v>
      </c>
      <c r="V1239" s="101" t="s">
        <v>278</v>
      </c>
      <c r="W1239" s="106" t="b">
        <v>1</v>
      </c>
      <c r="X1239" s="107"/>
      <c r="Y1239" s="108"/>
    </row>
    <row r="1240" ht="22.5" customHeight="1">
      <c r="A1240" s="96"/>
      <c r="B1240" s="97" t="s">
        <v>53</v>
      </c>
      <c r="C1240" s="98" t="str">
        <f t="array" ref="C1240">IFNA(XLOOKUP(J1240,'⚙️ Pengaturan'!$H$5:$H1508,'⚙️ Pengaturan'!$I$5:$I1508),"")</f>
        <v>TIM A</v>
      </c>
      <c r="D1240" s="97" t="s">
        <v>86</v>
      </c>
      <c r="E1240" s="99">
        <v>46004.0</v>
      </c>
      <c r="F1240" s="100" t="str">
        <f t="shared" si="1"/>
        <v>2025</v>
      </c>
      <c r="G1240" s="100" t="str">
        <f t="shared" si="2"/>
        <v>12Des</v>
      </c>
      <c r="H1240" s="100" t="str">
        <f t="shared" si="3"/>
        <v>Sabtu</v>
      </c>
      <c r="I1240" s="97" t="s">
        <v>76</v>
      </c>
      <c r="J1240" s="97" t="s">
        <v>79</v>
      </c>
      <c r="K1240" s="97" t="s">
        <v>69</v>
      </c>
      <c r="L1240" s="101" t="s">
        <v>182</v>
      </c>
      <c r="M1240" s="102" t="str">
        <f>IFNA(VLOOKUP(L1240,'🙎‍♂️ Pasien'!G:V,2,FALSE),"")</f>
        <v>J8823019998</v>
      </c>
      <c r="N1240" s="103">
        <f>IFNA(VLOOKUP(L1240,'🙎‍♂️ Pasien'!G:L,3,FALSE),"")</f>
        <v>38</v>
      </c>
      <c r="O1240" s="104" t="str">
        <f>IFNA(VLOOKUP(L1240,'🙎‍♂️ Pasien'!G:V,6,FALSE),"")</f>
        <v>LAKI-LAKI</v>
      </c>
      <c r="P1240" s="104" t="str">
        <f>IFNA(VLOOKUP(L1240,'🙎‍♂️ Pasien'!G:V,12,FALSE),"")</f>
        <v>BUDDHA</v>
      </c>
      <c r="Q1240" s="104" t="str">
        <f>IFNA(VLOOKUP(L1240:L1508,'🙎‍♂️ Pasien'!G:V,13,FALSE),"")</f>
        <v>WIRASWASTA</v>
      </c>
      <c r="R1240" s="104" t="str">
        <f t="array" ref="R1240">ifna(xlookup(L1240,'🙎‍♂️ Pasien'!$G$5:$G1508,'🙎‍♂️ Pasien'!$T$5:$T1508),"")</f>
        <v>STROKE</v>
      </c>
      <c r="S1240" s="104" t="str">
        <f t="array" ref="S1240">ifna(xlookup(L1240,'🙎‍♂️ Pasien'!$G$5:$G1508,'🙎‍♂️ Pasien'!$U$5:$U1508),"")</f>
        <v>-</v>
      </c>
      <c r="T1240" s="97" t="s">
        <v>59</v>
      </c>
      <c r="U1240" s="105" t="s">
        <v>60</v>
      </c>
      <c r="V1240" s="101"/>
      <c r="W1240" s="106" t="b">
        <v>1</v>
      </c>
      <c r="X1240" s="107"/>
      <c r="Y1240" s="108"/>
    </row>
    <row r="1241" ht="22.5" customHeight="1">
      <c r="A1241" s="96"/>
      <c r="B1241" s="97" t="s">
        <v>53</v>
      </c>
      <c r="C1241" s="98" t="str">
        <f t="array" ref="C1241">IFNA(XLOOKUP(J1241,'⚙️ Pengaturan'!$H$5:$H1508,'⚙️ Pengaturan'!$I$5:$I1508),"")</f>
        <v>TIM A</v>
      </c>
      <c r="D1241" s="97" t="s">
        <v>86</v>
      </c>
      <c r="E1241" s="99">
        <v>46004.0</v>
      </c>
      <c r="F1241" s="100" t="str">
        <f t="shared" si="1"/>
        <v>2025</v>
      </c>
      <c r="G1241" s="100" t="str">
        <f t="shared" si="2"/>
        <v>12Des</v>
      </c>
      <c r="H1241" s="100" t="str">
        <f t="shared" si="3"/>
        <v>Sabtu</v>
      </c>
      <c r="I1241" s="97" t="s">
        <v>76</v>
      </c>
      <c r="J1241" s="97" t="s">
        <v>62</v>
      </c>
      <c r="K1241" s="97" t="s">
        <v>57</v>
      </c>
      <c r="L1241" s="101" t="s">
        <v>708</v>
      </c>
      <c r="M1241" s="102" t="str">
        <f>IFNA(VLOOKUP(L1241,'🙎‍♂️ Pasien'!G:V,2,FALSE),"")</f>
        <v>N5725121100</v>
      </c>
      <c r="N1241" s="103">
        <f>IFNA(VLOOKUP(L1241,'🙎‍♂️ Pasien'!G:L,3,FALSE),"")</f>
        <v>69</v>
      </c>
      <c r="O1241" s="104" t="str">
        <f>IFNA(VLOOKUP(L1241,'🙎‍♂️ Pasien'!G:V,6,FALSE),"")</f>
        <v>PEREMPUAN</v>
      </c>
      <c r="P1241" s="104" t="str">
        <f>IFNA(VLOOKUP(L1241,'🙎‍♂️ Pasien'!G:V,12,FALSE),"")</f>
        <v>ISLAM</v>
      </c>
      <c r="Q1241" s="104" t="str">
        <f>IFNA(VLOOKUP(L1241:L1508,'🙎‍♂️ Pasien'!G:V,13,FALSE),"")</f>
        <v>PENSIUNAN</v>
      </c>
      <c r="R1241" s="104" t="str">
        <f t="array" ref="R1241">ifna(xlookup(L1241,'🙎‍♂️ Pasien'!$G$5:$G1508,'🙎‍♂️ Pasien'!$T$5:$T1508),"")</f>
        <v>SAKIT PINGGANG</v>
      </c>
      <c r="S1241" s="104" t="str">
        <f t="array" ref="S1241">ifna(xlookup(L1241,'🙎‍♂️ Pasien'!$G$5:$G1508,'🙎‍♂️ Pasien'!$U$5:$U1508),"")</f>
        <v>IRT</v>
      </c>
      <c r="T1241" s="97" t="s">
        <v>59</v>
      </c>
      <c r="U1241" s="105" t="s">
        <v>60</v>
      </c>
      <c r="V1241" s="101"/>
      <c r="W1241" s="106" t="b">
        <v>1</v>
      </c>
      <c r="X1241" s="107"/>
      <c r="Y1241" s="108"/>
    </row>
    <row r="1242" ht="22.5" customHeight="1">
      <c r="A1242" s="96"/>
      <c r="B1242" s="97" t="s">
        <v>53</v>
      </c>
      <c r="C1242" s="98" t="str">
        <f t="array" ref="C1242">IFNA(XLOOKUP(J1242,'⚙️ Pengaturan'!$H$5:$H1508,'⚙️ Pengaturan'!$I$5:$I1508),"")</f>
        <v>TIM A</v>
      </c>
      <c r="D1242" s="97" t="s">
        <v>86</v>
      </c>
      <c r="E1242" s="99">
        <v>46004.0</v>
      </c>
      <c r="F1242" s="100" t="str">
        <f t="shared" si="1"/>
        <v>2025</v>
      </c>
      <c r="G1242" s="100" t="str">
        <f t="shared" si="2"/>
        <v>12Des</v>
      </c>
      <c r="H1242" s="100" t="str">
        <f t="shared" si="3"/>
        <v>Sabtu</v>
      </c>
      <c r="I1242" s="97" t="s">
        <v>83</v>
      </c>
      <c r="J1242" s="97" t="s">
        <v>62</v>
      </c>
      <c r="K1242" s="97" t="s">
        <v>57</v>
      </c>
      <c r="L1242" s="101" t="s">
        <v>709</v>
      </c>
      <c r="M1242" s="102" t="str">
        <f>IFNA(VLOOKUP(L1242,'🙎‍♂️ Pasien'!G:V,2,FALSE),"")</f>
        <v>C0325128008</v>
      </c>
      <c r="N1242" s="103">
        <f>IFNA(VLOOKUP(L1242,'🙎‍♂️ Pasien'!G:L,3,FALSE),"")</f>
        <v>23</v>
      </c>
      <c r="O1242" s="104" t="str">
        <f>IFNA(VLOOKUP(L1242,'🙎‍♂️ Pasien'!G:V,6,FALSE),"")</f>
        <v>PEREMPUAN</v>
      </c>
      <c r="P1242" s="104" t="str">
        <f>IFNA(VLOOKUP(L1242,'🙎‍♂️ Pasien'!G:V,12,FALSE),"")</f>
        <v>BUDDHA</v>
      </c>
      <c r="Q1242" s="104" t="str">
        <f>IFNA(VLOOKUP(L1242:L1508,'🙎‍♂️ Pasien'!G:V,13,FALSE),"")</f>
        <v>ADMIN</v>
      </c>
      <c r="R1242" s="104" t="str">
        <f t="array" ref="R1242">ifna(xlookup(L1242,'🙎‍♂️ Pasien'!$G$5:$G1508,'🙎‍♂️ Pasien'!$T$5:$T1508),"")</f>
        <v>SKOLIOSIS</v>
      </c>
      <c r="S1242" s="104" t="str">
        <f t="array" ref="S1242">ifna(xlookup(L1242,'🙎‍♂️ Pasien'!$G$5:$G1508,'🙎‍♂️ Pasien'!$U$5:$U1508),"")</f>
        <v>KERJA KANTORAN</v>
      </c>
      <c r="T1242" s="97" t="s">
        <v>59</v>
      </c>
      <c r="U1242" s="105" t="s">
        <v>60</v>
      </c>
      <c r="V1242" s="101"/>
      <c r="W1242" s="106" t="b">
        <v>1</v>
      </c>
      <c r="X1242" s="107"/>
      <c r="Y1242" s="108"/>
    </row>
    <row r="1243" ht="22.5" customHeight="1">
      <c r="A1243" s="96"/>
      <c r="B1243" s="97" t="s">
        <v>53</v>
      </c>
      <c r="C1243" s="98" t="str">
        <f t="array" ref="C1243">IFNA(XLOOKUP(J1243,'⚙️ Pengaturan'!$H$5:$H1508,'⚙️ Pengaturan'!$I$5:$I1508),"")</f>
        <v>TIM A</v>
      </c>
      <c r="D1243" s="97" t="s">
        <v>86</v>
      </c>
      <c r="E1243" s="99">
        <v>46004.0</v>
      </c>
      <c r="F1243" s="100" t="str">
        <f t="shared" si="1"/>
        <v>2025</v>
      </c>
      <c r="G1243" s="100" t="str">
        <f t="shared" si="2"/>
        <v>12Des</v>
      </c>
      <c r="H1243" s="100" t="str">
        <f t="shared" si="3"/>
        <v>Sabtu</v>
      </c>
      <c r="I1243" s="97" t="s">
        <v>83</v>
      </c>
      <c r="J1243" s="97" t="s">
        <v>79</v>
      </c>
      <c r="K1243" s="97" t="s">
        <v>69</v>
      </c>
      <c r="L1243" s="101" t="s">
        <v>697</v>
      </c>
      <c r="M1243" s="102" t="str">
        <f>IFNA(VLOOKUP(L1243,'🙎‍♂️ Pasien'!G:V,2,FALSE),"")</f>
        <v>L6025128579</v>
      </c>
      <c r="N1243" s="103">
        <f>IFNA(VLOOKUP(L1243,'🙎‍♂️ Pasien'!G:L,3,FALSE),"")</f>
        <v>66</v>
      </c>
      <c r="O1243" s="104" t="str">
        <f>IFNA(VLOOKUP(L1243,'🙎‍♂️ Pasien'!G:V,6,FALSE),"")</f>
        <v>LAKI-LAKI</v>
      </c>
      <c r="P1243" s="104" t="str">
        <f>IFNA(VLOOKUP(L1243,'🙎‍♂️ Pasien'!G:V,12,FALSE),"")</f>
        <v>BUDDHA</v>
      </c>
      <c r="Q1243" s="104" t="str">
        <f>IFNA(VLOOKUP(L1243:L1508,'🙎‍♂️ Pasien'!G:V,13,FALSE),"")</f>
        <v>-</v>
      </c>
      <c r="R1243" s="104" t="str">
        <f t="array" ref="R1243">ifna(xlookup(L1243,'🙎‍♂️ Pasien'!$G$5:$G1508,'🙎‍♂️ Pasien'!$T$5:$T1508),"")</f>
        <v>BANTALAN ANTARA TULANG L5 DENGAN S1 GEPENG SEHINGGA PINGGAN TERASA SAKIT SAMPAI KAKI. TIDAK BISA BERDIRI LAMA DAN DUDUK LAMA. BERDIRI TIDAK BISA TEGAK. SUDAH BERLANGSUNG SELAMA 1 MINGGU. TELAH MELAKUKAN RADIOLOGI DAN KUNJUNGAN DOKTER SPELIASIS SARAF</v>
      </c>
      <c r="S1243" s="104" t="str">
        <f t="array" ref="S1243">ifna(xlookup(L1243,'🙎‍♂️ Pasien'!$G$5:$G1508,'🙎‍♂️ Pasien'!$U$5:$U1508),"")</f>
        <v>SERING MELAKUKAN PEKERJAAN YANG MEMBUTUHKAN POSISI BADAN BUNGKUK</v>
      </c>
      <c r="T1243" s="97" t="s">
        <v>59</v>
      </c>
      <c r="U1243" s="105" t="s">
        <v>60</v>
      </c>
      <c r="V1243" s="101"/>
      <c r="W1243" s="106" t="b">
        <v>1</v>
      </c>
      <c r="X1243" s="107"/>
      <c r="Y1243" s="108"/>
    </row>
    <row r="1244" ht="22.5" customHeight="1">
      <c r="A1244" s="96"/>
      <c r="B1244" s="97" t="s">
        <v>53</v>
      </c>
      <c r="C1244" s="98" t="str">
        <f t="array" ref="C1244">IFNA(XLOOKUP(J1244,'⚙️ Pengaturan'!$H$5:$H1508,'⚙️ Pengaturan'!$I$5:$I1508),"")</f>
        <v>TIM A</v>
      </c>
      <c r="D1244" s="97" t="s">
        <v>86</v>
      </c>
      <c r="E1244" s="99">
        <v>46004.0</v>
      </c>
      <c r="F1244" s="100" t="str">
        <f t="shared" si="1"/>
        <v>2025</v>
      </c>
      <c r="G1244" s="100" t="str">
        <f t="shared" si="2"/>
        <v>12Des</v>
      </c>
      <c r="H1244" s="100" t="str">
        <f t="shared" si="3"/>
        <v>Sabtu</v>
      </c>
      <c r="I1244" s="97" t="s">
        <v>83</v>
      </c>
      <c r="J1244" s="97" t="s">
        <v>72</v>
      </c>
      <c r="K1244" s="97" t="s">
        <v>63</v>
      </c>
      <c r="L1244" s="101" t="s">
        <v>474</v>
      </c>
      <c r="M1244" s="102" t="str">
        <f>IFNA(VLOOKUP(L1244,'🙎‍♂️ Pasien'!G:V,2,FALSE),"")</f>
        <v>M5325110126</v>
      </c>
      <c r="N1244" s="103">
        <f>IFNA(VLOOKUP(L1244,'🙎‍♂️ Pasien'!G:L,3,FALSE),"")</f>
        <v>73</v>
      </c>
      <c r="O1244" s="104" t="str">
        <f>IFNA(VLOOKUP(L1244,'🙎‍♂️ Pasien'!G:V,6,FALSE),"")</f>
        <v>PEREMPUAN</v>
      </c>
      <c r="P1244" s="104" t="str">
        <f>IFNA(VLOOKUP(L1244,'🙎‍♂️ Pasien'!G:V,12,FALSE),"")</f>
        <v>KATOLIK</v>
      </c>
      <c r="Q1244" s="104" t="str">
        <f>IFNA(VLOOKUP(L1244:L1508,'🙎‍♂️ Pasien'!G:V,13,FALSE),"")</f>
        <v>IBU RUMAH TANGGA</v>
      </c>
      <c r="R1244" s="104" t="str">
        <f t="array" ref="R1244">ifna(xlookup(L1244,'🙎‍♂️ Pasien'!$G$5:$G1508,'🙎‍♂️ Pasien'!$T$5:$T1508),"")</f>
        <v>SAKIT &amp; SUSAH GERAK PAKA LUTUT</v>
      </c>
      <c r="S1244" s="104" t="str">
        <f t="array" ref="S1244">ifna(xlookup(L1244,'🙎‍♂️ Pasien'!$G$5:$G1508,'🙎‍♂️ Pasien'!$U$5:$U1508),"")</f>
        <v>AKTIVITAS RUMAH TANGGA</v>
      </c>
      <c r="T1244" s="97" t="s">
        <v>59</v>
      </c>
      <c r="U1244" s="105">
        <v>3.0</v>
      </c>
      <c r="V1244" s="101"/>
      <c r="W1244" s="106" t="b">
        <v>1</v>
      </c>
      <c r="X1244" s="107"/>
      <c r="Y1244" s="108"/>
    </row>
    <row r="1245" ht="22.5" customHeight="1">
      <c r="A1245" s="96"/>
      <c r="B1245" s="97" t="s">
        <v>85</v>
      </c>
      <c r="C1245" s="98" t="str">
        <f t="array" ref="C1245">IFNA(XLOOKUP(J1245,'⚙️ Pengaturan'!$H$5:$H1508,'⚙️ Pengaturan'!$I$5:$I1508),"")</f>
        <v>TIM Y</v>
      </c>
      <c r="D1245" s="97" t="s">
        <v>54</v>
      </c>
      <c r="E1245" s="99">
        <v>46004.0</v>
      </c>
      <c r="F1245" s="100" t="str">
        <f t="shared" si="1"/>
        <v>2025</v>
      </c>
      <c r="G1245" s="100" t="str">
        <f t="shared" si="2"/>
        <v>12Des</v>
      </c>
      <c r="H1245" s="100" t="str">
        <f t="shared" si="3"/>
        <v>Sabtu</v>
      </c>
      <c r="I1245" s="97" t="s">
        <v>87</v>
      </c>
      <c r="J1245" s="97" t="s">
        <v>91</v>
      </c>
      <c r="K1245" s="97" t="s">
        <v>57</v>
      </c>
      <c r="L1245" s="101" t="s">
        <v>710</v>
      </c>
      <c r="M1245" s="102" t="str">
        <f>IFNA(VLOOKUP(L1245,'🙎‍♂️ Pasien'!G:V,2,FALSE),"")</f>
        <v>D8525121185</v>
      </c>
      <c r="N1245" s="103">
        <f>IFNA(VLOOKUP(L1245,'🙎‍♂️ Pasien'!G:L,3,FALSE),"")</f>
        <v>40</v>
      </c>
      <c r="O1245" s="104" t="str">
        <f>IFNA(VLOOKUP(L1245,'🙎‍♂️ Pasien'!G:V,6,FALSE),"")</f>
        <v>PEREMPUAN</v>
      </c>
      <c r="P1245" s="104" t="str">
        <f>IFNA(VLOOKUP(L1245,'🙎‍♂️ Pasien'!G:V,12,FALSE),"")</f>
        <v>ISLAM</v>
      </c>
      <c r="Q1245" s="104" t="str">
        <f>IFNA(VLOOKUP(L1245:L1508,'🙎‍♂️ Pasien'!G:V,13,FALSE),"")</f>
        <v>IRT</v>
      </c>
      <c r="R1245" s="104" t="str">
        <f t="array" ref="R1245">ifna(xlookup(L1245,'🙎‍♂️ Pasien'!$G$5:$G1508,'🙎‍♂️ Pasien'!$T$5:$T1508),"")</f>
        <v>PALNTAR PACITIS</v>
      </c>
      <c r="S1245" s="104" t="str">
        <f t="array" ref="S1245">ifna(xlookup(L1245,'🙎‍♂️ Pasien'!$G$5:$G1508,'🙎‍♂️ Pasien'!$U$5:$U1508),"")</f>
        <v>-</v>
      </c>
      <c r="T1245" s="97" t="s">
        <v>59</v>
      </c>
      <c r="U1245" s="105" t="s">
        <v>60</v>
      </c>
      <c r="V1245" s="101"/>
      <c r="W1245" s="106" t="b">
        <v>1</v>
      </c>
      <c r="X1245" s="107"/>
      <c r="Y1245" s="108"/>
    </row>
    <row r="1246" ht="22.5" customHeight="1">
      <c r="A1246" s="96"/>
      <c r="B1246" s="97" t="s">
        <v>85</v>
      </c>
      <c r="C1246" s="98" t="str">
        <f t="array" ref="C1246">IFNA(XLOOKUP(J1246,'⚙️ Pengaturan'!$H$5:$H1508,'⚙️ Pengaturan'!$I$5:$I1508),"")</f>
        <v>TIM Y</v>
      </c>
      <c r="D1246" s="97" t="s">
        <v>54</v>
      </c>
      <c r="E1246" s="99">
        <v>46004.0</v>
      </c>
      <c r="F1246" s="100" t="str">
        <f t="shared" si="1"/>
        <v>2025</v>
      </c>
      <c r="G1246" s="100" t="str">
        <f t="shared" si="2"/>
        <v>12Des</v>
      </c>
      <c r="H1246" s="100" t="str">
        <f t="shared" si="3"/>
        <v>Sabtu</v>
      </c>
      <c r="I1246" s="97" t="s">
        <v>87</v>
      </c>
      <c r="J1246" s="97" t="s">
        <v>509</v>
      </c>
      <c r="K1246" s="97" t="s">
        <v>63</v>
      </c>
      <c r="L1246" s="101" t="s">
        <v>692</v>
      </c>
      <c r="M1246" s="102" t="str">
        <f>IFNA(VLOOKUP(L1246,'🙎‍♂️ Pasien'!G:V,2,FALSE),"")</f>
        <v>R9024087560</v>
      </c>
      <c r="N1246" s="103">
        <f>IFNA(VLOOKUP(L1246,'🙎‍♂️ Pasien'!G:L,3,FALSE),"")</f>
        <v>35</v>
      </c>
      <c r="O1246" s="104" t="str">
        <f>IFNA(VLOOKUP(L1246,'🙎‍♂️ Pasien'!G:V,6,FALSE),"")</f>
        <v>PEREMPUAN</v>
      </c>
      <c r="P1246" s="104" t="str">
        <f>IFNA(VLOOKUP(L1246,'🙎‍♂️ Pasien'!G:V,12,FALSE),"")</f>
        <v>KATOLIK</v>
      </c>
      <c r="Q1246" s="104" t="str">
        <f>IFNA(VLOOKUP(L1246:L1508,'🙎‍♂️ Pasien'!G:V,13,FALSE),"")</f>
        <v>SWASTA</v>
      </c>
      <c r="R1246" s="104" t="str">
        <f t="array" ref="R1246">ifna(xlookup(L1246,'🙎‍♂️ Pasien'!$G$5:$G1508,'🙎‍♂️ Pasien'!$T$5:$T1508),"")</f>
        <v>Syaraf kejepit di L4 dan L5</v>
      </c>
      <c r="S1246" s="104" t="str">
        <f t="array" ref="S1246">ifna(xlookup(L1246,'🙎‍♂️ Pasien'!$G$5:$G1508,'🙎‍♂️ Pasien'!$U$5:$U1508),"")</f>
        <v>Nonton</v>
      </c>
      <c r="T1246" s="97" t="s">
        <v>59</v>
      </c>
      <c r="U1246" s="105">
        <v>2.0</v>
      </c>
      <c r="V1246" s="101"/>
      <c r="W1246" s="106" t="b">
        <v>1</v>
      </c>
      <c r="X1246" s="107"/>
      <c r="Y1246" s="108"/>
    </row>
    <row r="1247" ht="22.5" customHeight="1">
      <c r="A1247" s="96"/>
      <c r="B1247" s="97" t="s">
        <v>85</v>
      </c>
      <c r="C1247" s="98" t="str">
        <f t="array" ref="C1247">IFNA(XLOOKUP(J1247,'⚙️ Pengaturan'!$H$5:$H1508,'⚙️ Pengaturan'!$I$5:$I1508),"")</f>
        <v>TIM Y</v>
      </c>
      <c r="D1247" s="97" t="s">
        <v>54</v>
      </c>
      <c r="E1247" s="99">
        <v>46004.0</v>
      </c>
      <c r="F1247" s="100" t="str">
        <f t="shared" si="1"/>
        <v>2025</v>
      </c>
      <c r="G1247" s="100" t="str">
        <f t="shared" si="2"/>
        <v>12Des</v>
      </c>
      <c r="H1247" s="100" t="str">
        <f t="shared" si="3"/>
        <v>Sabtu</v>
      </c>
      <c r="I1247" s="97" t="s">
        <v>93</v>
      </c>
      <c r="J1247" s="97" t="s">
        <v>88</v>
      </c>
      <c r="K1247" s="97" t="s">
        <v>69</v>
      </c>
      <c r="L1247" s="101" t="s">
        <v>155</v>
      </c>
      <c r="M1247" s="102" t="str">
        <f>IFNA(VLOOKUP(L1247,'🙎‍♂️ Pasien'!G:V,2,FALSE),"")</f>
        <v>H5325012017</v>
      </c>
      <c r="N1247" s="103">
        <f>IFNA(VLOOKUP(L1247,'🙎‍♂️ Pasien'!G:L,3,FALSE),"")</f>
        <v>72</v>
      </c>
      <c r="O1247" s="104" t="str">
        <f>IFNA(VLOOKUP(L1247,'🙎‍♂️ Pasien'!G:V,6,FALSE),"")</f>
        <v>LAKI-LAKI</v>
      </c>
      <c r="P1247" s="104" t="str">
        <f>IFNA(VLOOKUP(L1247,'🙎‍♂️ Pasien'!G:V,12,FALSE),"")</f>
        <v>ISLAM</v>
      </c>
      <c r="Q1247" s="104" t="str">
        <f>IFNA(VLOOKUP(L1247:L1508,'🙎‍♂️ Pasien'!G:V,13,FALSE),"")</f>
        <v>PENSIUN</v>
      </c>
      <c r="R1247" s="104" t="str">
        <f t="array" ref="R1247">ifna(xlookup(L1247,'🙎‍♂️ Pasien'!$G$5:$G1508,'🙎‍♂️ Pasien'!$T$5:$T1508),"")</f>
        <v>Kaki terasa nyeri jika dibawa berdiri lama atau berjalan jauh</v>
      </c>
      <c r="S1247" s="104" t="str">
        <f t="array" ref="S1247">ifna(xlookup(L1247,'🙎‍♂️ Pasien'!$G$5:$G1508,'🙎‍♂️ Pasien'!$U$5:$U1508),"")</f>
        <v>Tidak ada</v>
      </c>
      <c r="T1247" s="97" t="s">
        <v>67</v>
      </c>
      <c r="U1247" s="105" t="s">
        <v>60</v>
      </c>
      <c r="V1247" s="101" t="s">
        <v>212</v>
      </c>
      <c r="W1247" s="106" t="b">
        <v>1</v>
      </c>
      <c r="X1247" s="107"/>
      <c r="Y1247" s="108"/>
    </row>
    <row r="1248" ht="22.5" customHeight="1">
      <c r="A1248" s="96"/>
      <c r="B1248" s="97" t="s">
        <v>85</v>
      </c>
      <c r="C1248" s="98" t="str">
        <f t="array" ref="C1248">IFNA(XLOOKUP(J1248,'⚙️ Pengaturan'!$H$5:$H1508,'⚙️ Pengaturan'!$I$5:$I1508),"")</f>
        <v>TIM Y</v>
      </c>
      <c r="D1248" s="97" t="s">
        <v>54</v>
      </c>
      <c r="E1248" s="99">
        <v>46004.0</v>
      </c>
      <c r="F1248" s="100" t="str">
        <f t="shared" si="1"/>
        <v>2025</v>
      </c>
      <c r="G1248" s="100" t="str">
        <f t="shared" si="2"/>
        <v>12Des</v>
      </c>
      <c r="H1248" s="100" t="str">
        <f t="shared" si="3"/>
        <v>Sabtu</v>
      </c>
      <c r="I1248" s="97" t="s">
        <v>93</v>
      </c>
      <c r="J1248" s="97" t="s">
        <v>509</v>
      </c>
      <c r="K1248" s="97" t="s">
        <v>135</v>
      </c>
      <c r="L1248" s="101" t="s">
        <v>711</v>
      </c>
      <c r="M1248" s="102" t="str">
        <f>IFNA(VLOOKUP(L1248,'🙎‍♂️ Pasien'!G:V,2,FALSE),"")</f>
        <v>N0025126327</v>
      </c>
      <c r="N1248" s="103">
        <f>IFNA(VLOOKUP(L1248,'🙎‍♂️ Pasien'!G:L,3,FALSE),"")</f>
        <v>26</v>
      </c>
      <c r="O1248" s="104" t="str">
        <f>IFNA(VLOOKUP(L1248,'🙎‍♂️ Pasien'!G:V,6,FALSE),"")</f>
        <v>LAKI-LAKI</v>
      </c>
      <c r="P1248" s="104" t="str">
        <f>IFNA(VLOOKUP(L1248,'🙎‍♂️ Pasien'!G:V,12,FALSE),"")</f>
        <v>ISLAM</v>
      </c>
      <c r="Q1248" s="104" t="str">
        <f>IFNA(VLOOKUP(L1248:L1508,'🙎‍♂️ Pasien'!G:V,13,FALSE),"")</f>
        <v>MAHASISWA/PELAJAR</v>
      </c>
      <c r="R1248" s="104" t="str">
        <f t="array" ref="R1248">ifna(xlookup(L1248,'🙎‍♂️ Pasien'!$G$5:$G1508,'🙎‍♂️ Pasien'!$T$5:$T1508),"")</f>
        <v>KAKI KIRI</v>
      </c>
      <c r="S1248" s="104" t="str">
        <f t="array" ref="S1248">ifna(xlookup(L1248,'🙎‍♂️ Pasien'!$G$5:$G1508,'🙎‍♂️ Pasien'!$U$5:$U1508),"")</f>
        <v>-</v>
      </c>
      <c r="T1248" s="97" t="s">
        <v>67</v>
      </c>
      <c r="U1248" s="105" t="s">
        <v>60</v>
      </c>
      <c r="V1248" s="101" t="s">
        <v>712</v>
      </c>
      <c r="W1248" s="106" t="b">
        <v>1</v>
      </c>
      <c r="X1248" s="107"/>
      <c r="Y1248" s="108"/>
    </row>
    <row r="1249" ht="22.5" customHeight="1">
      <c r="A1249" s="96"/>
      <c r="B1249" s="97" t="s">
        <v>85</v>
      </c>
      <c r="C1249" s="98" t="str">
        <f t="array" ref="C1249">IFNA(XLOOKUP(J1249,'⚙️ Pengaturan'!$H$5:$H1508,'⚙️ Pengaturan'!$I$5:$I1508),"")</f>
        <v>TIM Y</v>
      </c>
      <c r="D1249" s="97" t="s">
        <v>54</v>
      </c>
      <c r="E1249" s="99">
        <v>46004.0</v>
      </c>
      <c r="F1249" s="100" t="str">
        <f t="shared" si="1"/>
        <v>2025</v>
      </c>
      <c r="G1249" s="100" t="str">
        <f t="shared" si="2"/>
        <v>12Des</v>
      </c>
      <c r="H1249" s="100" t="str">
        <f t="shared" si="3"/>
        <v>Sabtu</v>
      </c>
      <c r="I1249" s="97" t="s">
        <v>93</v>
      </c>
      <c r="J1249" s="97" t="s">
        <v>107</v>
      </c>
      <c r="K1249" s="97" t="s">
        <v>63</v>
      </c>
      <c r="L1249" s="101" t="s">
        <v>153</v>
      </c>
      <c r="M1249" s="102" t="str">
        <f>IFNA(VLOOKUP(L1249,'🙎‍♂️ Pasien'!G:V,2,FALSE),"")</f>
        <v>S6225086797</v>
      </c>
      <c r="N1249" s="103">
        <f>IFNA(VLOOKUP(L1249,'🙎‍♂️ Pasien'!G:L,3,FALSE),"")</f>
        <v>63</v>
      </c>
      <c r="O1249" s="104" t="str">
        <f>IFNA(VLOOKUP(L1249,'🙎‍♂️ Pasien'!G:V,6,FALSE),"")</f>
        <v>PEREMPUAN</v>
      </c>
      <c r="P1249" s="104" t="str">
        <f>IFNA(VLOOKUP(L1249,'🙎‍♂️ Pasien'!G:V,12,FALSE),"")</f>
        <v>ISLAM</v>
      </c>
      <c r="Q1249" s="104" t="str">
        <f>IFNA(VLOOKUP(L1249:L1508,'🙎‍♂️ Pasien'!G:V,13,FALSE),"")</f>
        <v>-</v>
      </c>
      <c r="R1249" s="104" t="str">
        <f t="array" ref="R1249">ifna(xlookup(L1249,'🙎‍♂️ Pasien'!$G$5:$G1508,'🙎‍♂️ Pasien'!$T$5:$T1508),"")</f>
        <v>TANGAN KANAN BAGIAN ATAS, SAKIT SAAT DIGERAKKAN</v>
      </c>
      <c r="S1249" s="104" t="str">
        <f t="array" ref="S1249">ifna(xlookup(L1249,'🙎‍♂️ Pasien'!$G$5:$G1508,'🙎‍♂️ Pasien'!$U$5:$U1508),"")</f>
        <v>PEKERJAAN RUMAH TANGGA</v>
      </c>
      <c r="T1249" s="97" t="s">
        <v>59</v>
      </c>
      <c r="U1249" s="105">
        <v>5.0</v>
      </c>
      <c r="V1249" s="101"/>
      <c r="W1249" s="106" t="b">
        <v>1</v>
      </c>
      <c r="X1249" s="107"/>
      <c r="Y1249" s="108"/>
    </row>
    <row r="1250" ht="22.5" customHeight="1">
      <c r="A1250" s="96"/>
      <c r="B1250" s="97" t="s">
        <v>85</v>
      </c>
      <c r="C1250" s="98" t="str">
        <f t="array" ref="C1250">IFNA(XLOOKUP(J1250,'⚙️ Pengaturan'!$H$5:$H1508,'⚙️ Pengaturan'!$I$5:$I1508),"")</f>
        <v>TIM Y</v>
      </c>
      <c r="D1250" s="97" t="s">
        <v>54</v>
      </c>
      <c r="E1250" s="99">
        <v>46004.0</v>
      </c>
      <c r="F1250" s="100" t="str">
        <f t="shared" si="1"/>
        <v>2025</v>
      </c>
      <c r="G1250" s="100" t="str">
        <f t="shared" si="2"/>
        <v>12Des</v>
      </c>
      <c r="H1250" s="100" t="str">
        <f t="shared" si="3"/>
        <v>Sabtu</v>
      </c>
      <c r="I1250" s="97" t="s">
        <v>95</v>
      </c>
      <c r="J1250" s="97" t="s">
        <v>91</v>
      </c>
      <c r="K1250" s="97" t="s">
        <v>63</v>
      </c>
      <c r="L1250" s="101" t="s">
        <v>593</v>
      </c>
      <c r="M1250" s="102" t="str">
        <f>IFNA(VLOOKUP(L1250,'🙎‍♂️ Pasien'!G:V,2,FALSE),"")</f>
        <v>A0125119292</v>
      </c>
      <c r="N1250" s="103">
        <f>IFNA(VLOOKUP(L1250,'🙎‍♂️ Pasien'!G:L,3,FALSE),"")</f>
        <v>25</v>
      </c>
      <c r="O1250" s="104" t="str">
        <f>IFNA(VLOOKUP(L1250,'🙎‍♂️ Pasien'!G:V,6,FALSE),"")</f>
        <v>PEREMPUAN</v>
      </c>
      <c r="P1250" s="104" t="str">
        <f>IFNA(VLOOKUP(L1250,'🙎‍♂️ Pasien'!G:V,12,FALSE),"")</f>
        <v>ISLAM</v>
      </c>
      <c r="Q1250" s="104" t="str">
        <f>IFNA(VLOOKUP(L1250:L1508,'🙎‍♂️ Pasien'!G:V,13,FALSE),"")</f>
        <v>ADMIN</v>
      </c>
      <c r="R1250" s="104" t="str">
        <f t="array" ref="R1250">ifna(xlookup(L1250,'🙎‍♂️ Pasien'!$G$5:$G1508,'🙎‍♂️ Pasien'!$T$5:$T1508),"")</f>
        <v>LUTUT SAKIT</v>
      </c>
      <c r="S1250" s="104" t="str">
        <f t="array" ref="S1250">ifna(xlookup(L1250,'🙎‍♂️ Pasien'!$G$5:$G1508,'🙎‍♂️ Pasien'!$U$5:$U1508),"")</f>
        <v>LARI</v>
      </c>
      <c r="T1250" s="97" t="s">
        <v>59</v>
      </c>
      <c r="U1250" s="105">
        <v>3.0</v>
      </c>
      <c r="V1250" s="101"/>
      <c r="W1250" s="106" t="b">
        <v>1</v>
      </c>
      <c r="X1250" s="107"/>
      <c r="Y1250" s="108"/>
    </row>
    <row r="1251" ht="22.5" customHeight="1">
      <c r="A1251" s="96"/>
      <c r="B1251" s="97" t="s">
        <v>85</v>
      </c>
      <c r="C1251" s="98" t="str">
        <f t="array" ref="C1251">IFNA(XLOOKUP(J1251,'⚙️ Pengaturan'!$H$5:$H1508,'⚙️ Pengaturan'!$I$5:$I1508),"")</f>
        <v>TIM Y</v>
      </c>
      <c r="D1251" s="97" t="s">
        <v>54</v>
      </c>
      <c r="E1251" s="99">
        <v>46004.0</v>
      </c>
      <c r="F1251" s="100" t="str">
        <f t="shared" si="1"/>
        <v>2025</v>
      </c>
      <c r="G1251" s="100" t="str">
        <f t="shared" si="2"/>
        <v>12Des</v>
      </c>
      <c r="H1251" s="100" t="str">
        <f t="shared" si="3"/>
        <v>Sabtu</v>
      </c>
      <c r="I1251" s="97" t="s">
        <v>95</v>
      </c>
      <c r="J1251" s="97" t="s">
        <v>107</v>
      </c>
      <c r="K1251" s="97" t="s">
        <v>69</v>
      </c>
      <c r="L1251" s="101" t="s">
        <v>681</v>
      </c>
      <c r="M1251" s="102" t="str">
        <f>IFNA(VLOOKUP(L1251,'🙎‍♂️ Pasien'!G:V,2,FALSE),"")</f>
        <v>H8525124000</v>
      </c>
      <c r="N1251" s="103">
        <f>IFNA(VLOOKUP(L1251,'🙎‍♂️ Pasien'!G:L,3,FALSE),"")</f>
        <v>41</v>
      </c>
      <c r="O1251" s="104" t="str">
        <f>IFNA(VLOOKUP(L1251,'🙎‍♂️ Pasien'!G:V,6,FALSE),"")</f>
        <v>PEREMPUAN</v>
      </c>
      <c r="P1251" s="104" t="str">
        <f>IFNA(VLOOKUP(L1251,'🙎‍♂️ Pasien'!G:V,12,FALSE),"")</f>
        <v>ISLAM</v>
      </c>
      <c r="Q1251" s="104" t="str">
        <f>IFNA(VLOOKUP(L1251:L1508,'🙎‍♂️ Pasien'!G:V,13,FALSE),"")</f>
        <v>GURU</v>
      </c>
      <c r="R1251" s="104" t="str">
        <f t="array" ref="R1251">ifna(xlookup(L1251,'🙎‍♂️ Pasien'!$G$5:$G1508,'🙎‍♂️ Pasien'!$T$5:$T1508),"")</f>
        <v>SAKIT PINGGANG BELAKANG</v>
      </c>
      <c r="S1251" s="104" t="str">
        <f t="array" ref="S1251">ifna(xlookup(L1251,'🙎‍♂️ Pasien'!$G$5:$G1508,'🙎‍♂️ Pasien'!$U$5:$U1508),"")</f>
        <v>PERJALANAN JAUH PAKE MOTOR</v>
      </c>
      <c r="T1251" s="97" t="s">
        <v>59</v>
      </c>
      <c r="U1251" s="105" t="s">
        <v>60</v>
      </c>
      <c r="V1251" s="101"/>
      <c r="W1251" s="106" t="b">
        <v>1</v>
      </c>
      <c r="X1251" s="107"/>
      <c r="Y1251" s="108"/>
    </row>
    <row r="1252" ht="22.5" customHeight="1">
      <c r="A1252" s="96"/>
      <c r="B1252" s="97" t="s">
        <v>85</v>
      </c>
      <c r="C1252" s="98" t="str">
        <f t="array" ref="C1252">IFNA(XLOOKUP(J1252,'⚙️ Pengaturan'!$H$5:$H1508,'⚙️ Pengaturan'!$I$5:$I1508),"")</f>
        <v>TIM Y</v>
      </c>
      <c r="D1252" s="97" t="s">
        <v>54</v>
      </c>
      <c r="E1252" s="99">
        <v>46004.0</v>
      </c>
      <c r="F1252" s="100" t="str">
        <f t="shared" si="1"/>
        <v>2025</v>
      </c>
      <c r="G1252" s="100" t="str">
        <f t="shared" si="2"/>
        <v>12Des</v>
      </c>
      <c r="H1252" s="100" t="str">
        <f t="shared" si="3"/>
        <v>Sabtu</v>
      </c>
      <c r="I1252" s="97" t="s">
        <v>95</v>
      </c>
      <c r="J1252" s="97" t="s">
        <v>88</v>
      </c>
      <c r="K1252" s="97" t="s">
        <v>57</v>
      </c>
      <c r="L1252" s="101" t="s">
        <v>713</v>
      </c>
      <c r="M1252" s="102" t="str">
        <f>IFNA(VLOOKUP(L1252,'🙎‍♂️ Pasien'!G:V,2,FALSE),"")</f>
        <v>M7925122235</v>
      </c>
      <c r="N1252" s="103">
        <f>IFNA(VLOOKUP(L1252,'🙎‍♂️ Pasien'!G:L,3,FALSE),"")</f>
        <v>46</v>
      </c>
      <c r="O1252" s="104" t="str">
        <f>IFNA(VLOOKUP(L1252,'🙎‍♂️ Pasien'!G:V,6,FALSE),"")</f>
        <v>LAKI-LAKI</v>
      </c>
      <c r="P1252" s="104" t="str">
        <f>IFNA(VLOOKUP(L1252,'🙎‍♂️ Pasien'!G:V,12,FALSE),"")</f>
        <v>ISLAM</v>
      </c>
      <c r="Q1252" s="104" t="str">
        <f>IFNA(VLOOKUP(L1252:L1508,'🙎‍♂️ Pasien'!G:V,13,FALSE),"")</f>
        <v>STAF</v>
      </c>
      <c r="R1252" s="104" t="str">
        <f t="array" ref="R1252">ifna(xlookup(L1252,'🙎‍♂️ Pasien'!$G$5:$G1508,'🙎‍♂️ Pasien'!$T$5:$T1508),"")</f>
        <v>NYERI BAHU KIRI DAN PINGGANG</v>
      </c>
      <c r="S1252" s="104" t="str">
        <f t="array" ref="S1252">ifna(xlookup(L1252,'🙎‍♂️ Pasien'!$G$5:$G1508,'🙎‍♂️ Pasien'!$U$5:$U1508),"")</f>
        <v>DUDUK LAMA DAN PERNAH JATUH</v>
      </c>
      <c r="T1252" s="97" t="s">
        <v>59</v>
      </c>
      <c r="U1252" s="105" t="s">
        <v>60</v>
      </c>
      <c r="V1252" s="101"/>
      <c r="W1252" s="106" t="b">
        <v>1</v>
      </c>
      <c r="X1252" s="107"/>
      <c r="Y1252" s="108"/>
    </row>
    <row r="1253" ht="22.5" customHeight="1">
      <c r="A1253" s="96"/>
      <c r="B1253" s="97" t="s">
        <v>85</v>
      </c>
      <c r="C1253" s="98" t="str">
        <f t="array" ref="C1253">IFNA(XLOOKUP(J1253,'⚙️ Pengaturan'!$H$5:$H1508,'⚙️ Pengaturan'!$I$5:$I1508),"")</f>
        <v>TIM Y</v>
      </c>
      <c r="D1253" s="97" t="s">
        <v>54</v>
      </c>
      <c r="E1253" s="99">
        <v>46004.0</v>
      </c>
      <c r="F1253" s="100" t="str">
        <f t="shared" si="1"/>
        <v>2025</v>
      </c>
      <c r="G1253" s="100" t="str">
        <f t="shared" si="2"/>
        <v>12Des</v>
      </c>
      <c r="H1253" s="100" t="str">
        <f t="shared" si="3"/>
        <v>Sabtu</v>
      </c>
      <c r="I1253" s="97" t="s">
        <v>97</v>
      </c>
      <c r="J1253" s="97" t="s">
        <v>88</v>
      </c>
      <c r="K1253" s="97" t="s">
        <v>63</v>
      </c>
      <c r="L1253" s="101" t="s">
        <v>540</v>
      </c>
      <c r="M1253" s="102" t="str">
        <f>IFNA(VLOOKUP(L1253,'🙎‍♂️ Pasien'!G:V,2,FALSE),"")</f>
        <v>A9425110177</v>
      </c>
      <c r="N1253" s="103">
        <f>IFNA(VLOOKUP(L1253,'🙎‍♂️ Pasien'!G:L,3,FALSE),"")</f>
        <v>31</v>
      </c>
      <c r="O1253" s="104" t="str">
        <f>IFNA(VLOOKUP(L1253,'🙎‍♂️ Pasien'!G:V,6,FALSE),"")</f>
        <v>LAKI-LAKI</v>
      </c>
      <c r="P1253" s="104" t="str">
        <f>IFNA(VLOOKUP(L1253,'🙎‍♂️ Pasien'!G:V,12,FALSE),"")</f>
        <v>KATOLIK</v>
      </c>
      <c r="Q1253" s="104" t="str">
        <f>IFNA(VLOOKUP(L1253:L1508,'🙎‍♂️ Pasien'!G:V,13,FALSE),"")</f>
        <v>-</v>
      </c>
      <c r="R1253" s="104" t="str">
        <f t="array" ref="R1253">ifna(xlookup(L1253,'🙎‍♂️ Pasien'!$G$5:$G1508,'🙎‍♂️ Pasien'!$T$5:$T1508),"")</f>
        <v>PASCA OPERASI ACL</v>
      </c>
      <c r="S1253" s="104" t="str">
        <f t="array" ref="S1253">ifna(xlookup(L1253,'🙎‍♂️ Pasien'!$G$5:$G1508,'🙎‍♂️ Pasien'!$U$5:$U1508),"")</f>
        <v>-</v>
      </c>
      <c r="T1253" s="97" t="s">
        <v>59</v>
      </c>
      <c r="U1253" s="105">
        <v>6.0</v>
      </c>
      <c r="V1253" s="101"/>
      <c r="W1253" s="106" t="b">
        <v>1</v>
      </c>
      <c r="X1253" s="107"/>
      <c r="Y1253" s="108"/>
    </row>
    <row r="1254" ht="22.5" customHeight="1">
      <c r="A1254" s="96"/>
      <c r="B1254" s="97" t="s">
        <v>53</v>
      </c>
      <c r="C1254" s="98" t="str">
        <f t="array" ref="C1254">IFNA(XLOOKUP(J1254,'⚙️ Pengaturan'!$H$5:$H1508,'⚙️ Pengaturan'!$I$5:$I1508),"")</f>
        <v>TIM Y</v>
      </c>
      <c r="D1254" s="97" t="s">
        <v>54</v>
      </c>
      <c r="E1254" s="99">
        <v>46005.0</v>
      </c>
      <c r="F1254" s="100" t="str">
        <f t="shared" si="1"/>
        <v>2025</v>
      </c>
      <c r="G1254" s="100" t="str">
        <f t="shared" si="2"/>
        <v>12Des</v>
      </c>
      <c r="H1254" s="100" t="str">
        <f t="shared" si="3"/>
        <v>Minggu</v>
      </c>
      <c r="I1254" s="97" t="s">
        <v>55</v>
      </c>
      <c r="J1254" s="97" t="s">
        <v>56</v>
      </c>
      <c r="K1254" s="97" t="s">
        <v>63</v>
      </c>
      <c r="L1254" s="101" t="s">
        <v>496</v>
      </c>
      <c r="M1254" s="102" t="str">
        <f>IFNA(VLOOKUP(L1254,'🙎‍♂️ Pasien'!G:V,2,FALSE),"")</f>
        <v>T5625119994</v>
      </c>
      <c r="N1254" s="103">
        <f>IFNA(VLOOKUP(L1254,'🙎‍♂️ Pasien'!G:L,3,FALSE),"")</f>
        <v>70</v>
      </c>
      <c r="O1254" s="104" t="str">
        <f>IFNA(VLOOKUP(L1254,'🙎‍♂️ Pasien'!G:V,6,FALSE),"")</f>
        <v>LAKI-LAKI</v>
      </c>
      <c r="P1254" s="104" t="str">
        <f>IFNA(VLOOKUP(L1254,'🙎‍♂️ Pasien'!G:V,12,FALSE),"")</f>
        <v>KHONGHUCU</v>
      </c>
      <c r="Q1254" s="104" t="str">
        <f>IFNA(VLOOKUP(L1254:L1508,'🙎‍♂️ Pasien'!G:V,13,FALSE),"")</f>
        <v>WIRASWASTA</v>
      </c>
      <c r="R1254" s="104" t="str">
        <f t="array" ref="R1254">ifna(xlookup(L1254,'🙎‍♂️ Pasien'!$G$5:$G1508,'🙎‍♂️ Pasien'!$T$5:$T1508),"")</f>
        <v>TULANG BELAKANG MULAI BUNGKUK, KESEIMBANGAN KURANG BAGUS</v>
      </c>
      <c r="S1254" s="104" t="str">
        <f t="array" ref="S1254">ifna(xlookup(L1254,'🙎‍♂️ Pasien'!$G$5:$G1508,'🙎‍♂️ Pasien'!$U$5:$U1508),"")</f>
        <v>TIDAK ADA</v>
      </c>
      <c r="T1254" s="97" t="s">
        <v>59</v>
      </c>
      <c r="U1254" s="105">
        <v>9.0</v>
      </c>
      <c r="V1254" s="101" t="s">
        <v>125</v>
      </c>
      <c r="W1254" s="106" t="b">
        <v>1</v>
      </c>
      <c r="X1254" s="107"/>
      <c r="Y1254" s="108"/>
    </row>
    <row r="1255" ht="22.5" customHeight="1">
      <c r="A1255" s="96"/>
      <c r="B1255" s="97" t="s">
        <v>53</v>
      </c>
      <c r="C1255" s="98" t="str">
        <f t="array" ref="C1255">IFNA(XLOOKUP(J1255,'⚙️ Pengaturan'!$H$5:$H1508,'⚙️ Pengaturan'!$I$5:$I1508),"")</f>
        <v>TIM A</v>
      </c>
      <c r="D1255" s="97" t="s">
        <v>54</v>
      </c>
      <c r="E1255" s="99">
        <v>46005.0</v>
      </c>
      <c r="F1255" s="100" t="str">
        <f t="shared" si="1"/>
        <v>2025</v>
      </c>
      <c r="G1255" s="100" t="str">
        <f t="shared" si="2"/>
        <v>12Des</v>
      </c>
      <c r="H1255" s="100" t="str">
        <f t="shared" si="3"/>
        <v>Minggu</v>
      </c>
      <c r="I1255" s="97" t="s">
        <v>65</v>
      </c>
      <c r="J1255" s="97" t="s">
        <v>62</v>
      </c>
      <c r="K1255" s="97" t="s">
        <v>63</v>
      </c>
      <c r="L1255" s="101" t="s">
        <v>668</v>
      </c>
      <c r="M1255" s="102" t="str">
        <f>IFNA(VLOOKUP(L1255,'🙎‍♂️ Pasien'!G:V,2,FALSE),"")</f>
        <v>R9625012853</v>
      </c>
      <c r="N1255" s="103">
        <f>IFNA(VLOOKUP(L1255,'🙎‍♂️ Pasien'!G:L,3,FALSE),"")</f>
        <v>30</v>
      </c>
      <c r="O1255" s="104" t="str">
        <f>IFNA(VLOOKUP(L1255,'🙎‍♂️ Pasien'!G:V,6,FALSE),"")</f>
        <v>PEREMPUAN</v>
      </c>
      <c r="P1255" s="104" t="str">
        <f>IFNA(VLOOKUP(L1255,'🙎‍♂️ Pasien'!G:V,12,FALSE),"")</f>
        <v>ISLAM</v>
      </c>
      <c r="Q1255" s="104" t="str">
        <f>IFNA(VLOOKUP(L1255:L1508,'🙎‍♂️ Pasien'!G:V,13,FALSE),"")</f>
        <v>ASN</v>
      </c>
      <c r="R1255" s="104" t="str">
        <f t="array" ref="R1255">ifna(xlookup(L1255,'🙎‍♂️ Pasien'!$G$5:$G1508,'🙎‍♂️ Pasien'!$T$5:$T1508),"")</f>
        <v>NYERI BAGIAN LUTUT SETIAP SETELAH LARI DIATAS 6KM</v>
      </c>
      <c r="S1255" s="104" t="str">
        <f t="array" ref="S1255">ifna(xlookup(L1255,'🙎‍♂️ Pasien'!$G$5:$G1508,'🙎‍♂️ Pasien'!$U$5:$U1508),"")</f>
        <v>LARI</v>
      </c>
      <c r="T1255" s="97" t="s">
        <v>59</v>
      </c>
      <c r="U1255" s="105">
        <v>1.0</v>
      </c>
      <c r="V1255" s="101"/>
      <c r="W1255" s="106" t="b">
        <v>1</v>
      </c>
      <c r="X1255" s="107"/>
      <c r="Y1255" s="108"/>
    </row>
    <row r="1256" ht="22.5" customHeight="1">
      <c r="A1256" s="96"/>
      <c r="B1256" s="97" t="s">
        <v>53</v>
      </c>
      <c r="C1256" s="98" t="str">
        <f t="array" ref="C1256">IFNA(XLOOKUP(J1256,'⚙️ Pengaturan'!$H$5:$H1508,'⚙️ Pengaturan'!$I$5:$I1508),"")</f>
        <v>TIM Y</v>
      </c>
      <c r="D1256" s="97" t="s">
        <v>54</v>
      </c>
      <c r="E1256" s="99">
        <v>46005.0</v>
      </c>
      <c r="F1256" s="100" t="str">
        <f t="shared" si="1"/>
        <v>2025</v>
      </c>
      <c r="G1256" s="100" t="str">
        <f t="shared" si="2"/>
        <v>12Des</v>
      </c>
      <c r="H1256" s="100" t="str">
        <f t="shared" si="3"/>
        <v>Minggu</v>
      </c>
      <c r="I1256" s="97" t="s">
        <v>74</v>
      </c>
      <c r="J1256" s="97" t="s">
        <v>56</v>
      </c>
      <c r="K1256" s="97" t="s">
        <v>69</v>
      </c>
      <c r="L1256" s="101" t="s">
        <v>693</v>
      </c>
      <c r="M1256" s="102" t="str">
        <f>IFNA(VLOOKUP(L1256,'🙎‍♂️ Pasien'!G:V,2,FALSE),"")</f>
        <v>A6825060057</v>
      </c>
      <c r="N1256" s="103">
        <f>IFNA(VLOOKUP(L1256,'🙎‍♂️ Pasien'!G:L,3,FALSE),"")</f>
        <v>58</v>
      </c>
      <c r="O1256" s="104" t="str">
        <f>IFNA(VLOOKUP(L1256,'🙎‍♂️ Pasien'!G:V,6,FALSE),"")</f>
        <v>LAKI-LAKI</v>
      </c>
      <c r="P1256" s="104" t="str">
        <f>IFNA(VLOOKUP(L1256,'🙎‍♂️ Pasien'!G:V,12,FALSE),"")</f>
        <v>ISLAM</v>
      </c>
      <c r="Q1256" s="104" t="str">
        <f>IFNA(VLOOKUP(L1256:L1508,'🙎‍♂️ Pasien'!G:V,13,FALSE),"")</f>
        <v>PENSIUNAN</v>
      </c>
      <c r="R1256" s="104" t="str">
        <f t="array" ref="R1256">ifna(xlookup(L1256,'🙎‍♂️ Pasien'!$G$5:$G1508,'🙎‍♂️ Pasien'!$T$5:$T1508),"")</f>
        <v>NYERI DITUMIT DAN UJUNG TELAPAK KAKI</v>
      </c>
      <c r="S1256" s="104" t="str">
        <f t="array" ref="S1256">ifna(xlookup(L1256,'🙎‍♂️ Pasien'!$G$5:$G1508,'🙎‍♂️ Pasien'!$U$5:$U1508),"")</f>
        <v>FITNES</v>
      </c>
      <c r="T1256" s="97" t="s">
        <v>59</v>
      </c>
      <c r="U1256" s="105" t="s">
        <v>60</v>
      </c>
      <c r="V1256" s="101"/>
      <c r="W1256" s="106" t="b">
        <v>1</v>
      </c>
      <c r="X1256" s="107"/>
      <c r="Y1256" s="108"/>
    </row>
    <row r="1257" ht="22.5" customHeight="1">
      <c r="A1257" s="96"/>
      <c r="B1257" s="97" t="s">
        <v>53</v>
      </c>
      <c r="C1257" s="98" t="str">
        <f t="array" ref="C1257">IFNA(XLOOKUP(J1257,'⚙️ Pengaturan'!$H$5:$H1508,'⚙️ Pengaturan'!$I$5:$I1508),"")</f>
        <v>MANAJEMEN</v>
      </c>
      <c r="D1257" s="97" t="s">
        <v>54</v>
      </c>
      <c r="E1257" s="99">
        <v>46005.0</v>
      </c>
      <c r="F1257" s="100" t="str">
        <f t="shared" si="1"/>
        <v>2025</v>
      </c>
      <c r="G1257" s="100" t="str">
        <f t="shared" si="2"/>
        <v>12Des</v>
      </c>
      <c r="H1257" s="100" t="str">
        <f t="shared" si="3"/>
        <v>Minggu</v>
      </c>
      <c r="I1257" s="97" t="s">
        <v>74</v>
      </c>
      <c r="J1257" s="97" t="s">
        <v>101</v>
      </c>
      <c r="K1257" s="97" t="s">
        <v>63</v>
      </c>
      <c r="L1257" s="101" t="s">
        <v>234</v>
      </c>
      <c r="M1257" s="102" t="str">
        <f>IFNA(VLOOKUP(L1257,'🙎‍♂️ Pasien'!G:V,2,FALSE),"")</f>
        <v>B8825057611</v>
      </c>
      <c r="N1257" s="103">
        <f>IFNA(VLOOKUP(L1257,'🙎‍♂️ Pasien'!G:L,3,FALSE),"")</f>
        <v>37</v>
      </c>
      <c r="O1257" s="104" t="str">
        <f>IFNA(VLOOKUP(L1257,'🙎‍♂️ Pasien'!G:V,6,FALSE),"")</f>
        <v>LAKI-LAKI</v>
      </c>
      <c r="P1257" s="104" t="str">
        <f>IFNA(VLOOKUP(L1257,'🙎‍♂️ Pasien'!G:V,12,FALSE),"")</f>
        <v>LAINNYA</v>
      </c>
      <c r="Q1257" s="104" t="str">
        <f>IFNA(VLOOKUP(L1257:L1508,'🙎‍♂️ Pasien'!G:V,13,FALSE),"")</f>
        <v>SWASTA</v>
      </c>
      <c r="R1257" s="104" t="str">
        <f t="array" ref="R1257">ifna(xlookup(L1257,'🙎‍♂️ Pasien'!$G$5:$G1508,'🙎‍♂️ Pasien'!$T$5:$T1508),"")</f>
        <v>SAKIT KAKI</v>
      </c>
      <c r="S1257" s="104" t="str">
        <f t="array" ref="S1257">ifna(xlookup(L1257,'🙎‍♂️ Pasien'!$G$5:$G1508,'🙎‍♂️ Pasien'!$U$5:$U1508),"")</f>
        <v>SEPAK BOLA</v>
      </c>
      <c r="T1257" s="97" t="s">
        <v>59</v>
      </c>
      <c r="U1257" s="105">
        <v>3.0</v>
      </c>
      <c r="V1257" s="101"/>
      <c r="W1257" s="106" t="b">
        <v>1</v>
      </c>
      <c r="X1257" s="107"/>
      <c r="Y1257" s="108"/>
    </row>
    <row r="1258" ht="22.5" customHeight="1">
      <c r="A1258" s="96"/>
      <c r="B1258" s="97" t="s">
        <v>53</v>
      </c>
      <c r="C1258" s="98" t="str">
        <f t="array" ref="C1258">IFNA(XLOOKUP(J1258,'⚙️ Pengaturan'!$H$5:$H1508,'⚙️ Pengaturan'!$I$5:$I1508),"")</f>
        <v>TIM A</v>
      </c>
      <c r="D1258" s="97" t="s">
        <v>54</v>
      </c>
      <c r="E1258" s="99">
        <v>46005.0</v>
      </c>
      <c r="F1258" s="100" t="str">
        <f t="shared" si="1"/>
        <v>2025</v>
      </c>
      <c r="G1258" s="100" t="str">
        <f t="shared" si="2"/>
        <v>12Des</v>
      </c>
      <c r="H1258" s="100" t="str">
        <f t="shared" si="3"/>
        <v>Minggu</v>
      </c>
      <c r="I1258" s="97" t="s">
        <v>76</v>
      </c>
      <c r="J1258" s="97" t="s">
        <v>62</v>
      </c>
      <c r="K1258" s="97" t="s">
        <v>135</v>
      </c>
      <c r="L1258" s="101" t="s">
        <v>430</v>
      </c>
      <c r="M1258" s="102" t="str">
        <f>IFNA(VLOOKUP(L1258,'🙎‍♂️ Pasien'!G:V,2,FALSE),"")</f>
        <v>J5525063513</v>
      </c>
      <c r="N1258" s="103">
        <f>IFNA(VLOOKUP(L1258,'🙎‍♂️ Pasien'!G:L,3,FALSE),"")</f>
        <v>71</v>
      </c>
      <c r="O1258" s="104" t="str">
        <f>IFNA(VLOOKUP(L1258,'🙎‍♂️ Pasien'!G:V,6,FALSE),"")</f>
        <v>PEREMPUAN</v>
      </c>
      <c r="P1258" s="104" t="str">
        <f>IFNA(VLOOKUP(L1258,'🙎‍♂️ Pasien'!G:V,12,FALSE),"")</f>
        <v>KATOLIK</v>
      </c>
      <c r="Q1258" s="104" t="str">
        <f>IFNA(VLOOKUP(L1258:L1508,'🙎‍♂️ Pasien'!G:V,13,FALSE),"")</f>
        <v>IBU RUMAH TANGGA</v>
      </c>
      <c r="R1258" s="104" t="str">
        <f t="array" ref="R1258">ifna(xlookup(L1258,'🙎‍♂️ Pasien'!$G$5:$G1508,'🙎‍♂️ Pasien'!$T$5:$T1508),"")</f>
        <v>BAGIAN PANTAT SAKIT</v>
      </c>
      <c r="S1258" s="104" t="str">
        <f t="array" ref="S1258">ifna(xlookup(L1258,'🙎‍♂️ Pasien'!$G$5:$G1508,'🙎‍♂️ Pasien'!$U$5:$U1508),"")</f>
        <v>BARU OPERASI TULANG SUMSUNG BELAKANG KARENA SARAF KEJEPIT 1 BULAN LALU</v>
      </c>
      <c r="T1258" s="97" t="s">
        <v>67</v>
      </c>
      <c r="U1258" s="105">
        <v>1.0</v>
      </c>
      <c r="V1258" s="101" t="s">
        <v>714</v>
      </c>
      <c r="W1258" s="106" t="b">
        <v>1</v>
      </c>
      <c r="X1258" s="107"/>
      <c r="Y1258" s="108"/>
    </row>
    <row r="1259" ht="22.5" customHeight="1">
      <c r="A1259" s="96"/>
      <c r="B1259" s="97" t="s">
        <v>53</v>
      </c>
      <c r="C1259" s="98" t="str">
        <f t="array" ref="C1259">IFNA(XLOOKUP(J1259,'⚙️ Pengaturan'!$H$5:$H1508,'⚙️ Pengaturan'!$I$5:$I1508),"")</f>
        <v>MANAJEMEN</v>
      </c>
      <c r="D1259" s="97" t="s">
        <v>54</v>
      </c>
      <c r="E1259" s="99">
        <v>46005.0</v>
      </c>
      <c r="F1259" s="100" t="str">
        <f t="shared" si="1"/>
        <v>2025</v>
      </c>
      <c r="G1259" s="100" t="str">
        <f t="shared" si="2"/>
        <v>12Des</v>
      </c>
      <c r="H1259" s="100" t="str">
        <f t="shared" si="3"/>
        <v>Minggu</v>
      </c>
      <c r="I1259" s="97" t="s">
        <v>76</v>
      </c>
      <c r="J1259" s="97" t="s">
        <v>101</v>
      </c>
      <c r="K1259" s="97" t="s">
        <v>63</v>
      </c>
      <c r="L1259" s="101" t="s">
        <v>534</v>
      </c>
      <c r="M1259" s="102" t="str">
        <f>IFNA(VLOOKUP(L1259,'🙎‍♂️ Pasien'!G:V,2,FALSE),"")</f>
        <v>R6925118000</v>
      </c>
      <c r="N1259" s="103">
        <f>IFNA(VLOOKUP(L1259,'🙎‍♂️ Pasien'!G:L,3,FALSE),"")</f>
        <v>57</v>
      </c>
      <c r="O1259" s="104" t="str">
        <f>IFNA(VLOOKUP(L1259,'🙎‍♂️ Pasien'!G:V,6,FALSE),"")</f>
        <v>PEREMPUAN</v>
      </c>
      <c r="P1259" s="104" t="str">
        <f>IFNA(VLOOKUP(L1259,'🙎‍♂️ Pasien'!G:V,12,FALSE),"")</f>
        <v>KATOLIK</v>
      </c>
      <c r="Q1259" s="104" t="str">
        <f>IFNA(VLOOKUP(L1259:L1508,'🙎‍♂️ Pasien'!G:V,13,FALSE),"")</f>
        <v>RUMAH TANGGA</v>
      </c>
      <c r="R1259" s="104" t="str">
        <f t="array" ref="R1259">ifna(xlookup(L1259,'🙎‍♂️ Pasien'!$G$5:$G1508,'🙎‍♂️ Pasien'!$T$5:$T1508),"")</f>
        <v>KAKI SAKIT</v>
      </c>
      <c r="S1259" s="104" t="str">
        <f t="array" ref="S1259">ifna(xlookup(L1259,'🙎‍♂️ Pasien'!$G$5:$G1508,'🙎‍♂️ Pasien'!$U$5:$U1508),"")</f>
        <v>-</v>
      </c>
      <c r="T1259" s="97" t="s">
        <v>59</v>
      </c>
      <c r="U1259" s="105">
        <v>8.0</v>
      </c>
      <c r="V1259" s="101"/>
      <c r="W1259" s="106" t="b">
        <v>1</v>
      </c>
      <c r="X1259" s="107"/>
      <c r="Y1259" s="108"/>
    </row>
    <row r="1260" ht="22.5" customHeight="1">
      <c r="A1260" s="96"/>
      <c r="B1260" s="97" t="s">
        <v>53</v>
      </c>
      <c r="C1260" s="98" t="str">
        <f t="array" ref="C1260">IFNA(XLOOKUP(J1260,'⚙️ Pengaturan'!$H$5:$H1508,'⚙️ Pengaturan'!$I$5:$I1508),"")</f>
        <v>TIM A</v>
      </c>
      <c r="D1260" s="97" t="s">
        <v>54</v>
      </c>
      <c r="E1260" s="99">
        <v>46005.0</v>
      </c>
      <c r="F1260" s="100" t="str">
        <f t="shared" si="1"/>
        <v>2025</v>
      </c>
      <c r="G1260" s="100" t="str">
        <f t="shared" si="2"/>
        <v>12Des</v>
      </c>
      <c r="H1260" s="100" t="str">
        <f t="shared" si="3"/>
        <v>Minggu</v>
      </c>
      <c r="I1260" s="97" t="s">
        <v>83</v>
      </c>
      <c r="J1260" s="97" t="s">
        <v>72</v>
      </c>
      <c r="K1260" s="97" t="s">
        <v>57</v>
      </c>
      <c r="L1260" s="101" t="s">
        <v>715</v>
      </c>
      <c r="M1260" s="102" t="str">
        <f>IFNA(VLOOKUP(L1260,'🙎‍♂️ Pasien'!G:V,2,FALSE),"")</f>
        <v>J9725124944</v>
      </c>
      <c r="N1260" s="103">
        <f>IFNA(VLOOKUP(L1260,'🙎‍♂️ Pasien'!G:L,3,FALSE),"")</f>
        <v>28</v>
      </c>
      <c r="O1260" s="104" t="str">
        <f>IFNA(VLOOKUP(L1260,'🙎‍♂️ Pasien'!G:V,6,FALSE),"")</f>
        <v>LAKI-LAKI</v>
      </c>
      <c r="P1260" s="104" t="str">
        <f>IFNA(VLOOKUP(L1260,'🙎‍♂️ Pasien'!G:V,12,FALSE),"")</f>
        <v>ISLAM</v>
      </c>
      <c r="Q1260" s="104" t="str">
        <f>IFNA(VLOOKUP(L1260:L1508,'🙎‍♂️ Pasien'!G:V,13,FALSE),"")</f>
        <v>PERDAGANGAN</v>
      </c>
      <c r="R1260" s="104" t="str">
        <f t="array" ref="R1260">ifna(xlookup(L1260,'🙎‍♂️ Pasien'!$G$5:$G1508,'🙎‍♂️ Pasien'!$T$5:$T1508),"")</f>
        <v>CIDERA LUTUT</v>
      </c>
      <c r="S1260" s="104" t="str">
        <f t="array" ref="S1260">ifna(xlookup(L1260,'🙎‍♂️ Pasien'!$G$5:$G1508,'🙎‍♂️ Pasien'!$U$5:$U1508),"")</f>
        <v>MAIN BOLA</v>
      </c>
      <c r="T1260" s="97" t="s">
        <v>59</v>
      </c>
      <c r="U1260" s="105" t="s">
        <v>60</v>
      </c>
      <c r="V1260" s="101"/>
      <c r="W1260" s="106" t="b">
        <v>1</v>
      </c>
      <c r="X1260" s="107"/>
      <c r="Y1260" s="108"/>
    </row>
    <row r="1261" ht="22.5" customHeight="1">
      <c r="A1261" s="96"/>
      <c r="B1261" s="97" t="s">
        <v>53</v>
      </c>
      <c r="C1261" s="98" t="str">
        <f t="array" ref="C1261">IFNA(XLOOKUP(J1261,'⚙️ Pengaturan'!$H$5:$H1508,'⚙️ Pengaturan'!$I$5:$I1508),"")</f>
        <v>TIM A</v>
      </c>
      <c r="D1261" s="97" t="s">
        <v>54</v>
      </c>
      <c r="E1261" s="99">
        <v>46005.0</v>
      </c>
      <c r="F1261" s="100" t="str">
        <f t="shared" si="1"/>
        <v>2025</v>
      </c>
      <c r="G1261" s="100" t="str">
        <f t="shared" si="2"/>
        <v>12Des</v>
      </c>
      <c r="H1261" s="100" t="str">
        <f t="shared" si="3"/>
        <v>Minggu</v>
      </c>
      <c r="I1261" s="97" t="s">
        <v>83</v>
      </c>
      <c r="J1261" s="97" t="s">
        <v>62</v>
      </c>
      <c r="K1261" s="97" t="s">
        <v>63</v>
      </c>
      <c r="L1261" s="101" t="s">
        <v>84</v>
      </c>
      <c r="M1261" s="102" t="str">
        <f>IFNA(VLOOKUP(L1261,'🙎‍♂️ Pasien'!G:V,2,FALSE),"")</f>
        <v>M6825093469</v>
      </c>
      <c r="N1261" s="103">
        <f>IFNA(VLOOKUP(L1261,'🙎‍♂️ Pasien'!G:L,3,FALSE),"")</f>
        <v>58</v>
      </c>
      <c r="O1261" s="104" t="str">
        <f>IFNA(VLOOKUP(L1261,'🙎‍♂️ Pasien'!G:V,6,FALSE),"")</f>
        <v>PEREMPUAN</v>
      </c>
      <c r="P1261" s="104" t="str">
        <f>IFNA(VLOOKUP(L1261,'🙎‍♂️ Pasien'!G:V,12,FALSE),"")</f>
        <v>ISLAM</v>
      </c>
      <c r="Q1261" s="104" t="str">
        <f>IFNA(VLOOKUP(L1261:L1508,'🙎‍♂️ Pasien'!G:V,13,FALSE),"")</f>
        <v>IBU RUMAH TANGGA</v>
      </c>
      <c r="R1261" s="104" t="str">
        <f t="array" ref="R1261">ifna(xlookup(L1261,'🙎‍♂️ Pasien'!$G$5:$G1508,'🙎‍♂️ Pasien'!$T$5:$T1508),"")</f>
        <v>KAKI SAKIT SEKALI BERJALAN.. AWALNYA HANYA SATU KAKI YANG SAKIT PAS PULANG UMROH KAKI YANG TIDAK SAKIT JADI SAKIT SEKALI DAN SANGAT KESULITAN UNTUK BERJALAN DAN SAKITNYA SAMPE KE PINGGANG</v>
      </c>
      <c r="S1261" s="104" t="str">
        <f t="array" ref="S1261">ifna(xlookup(L1261,'🙎‍♂️ Pasien'!$G$5:$G1508,'🙎‍♂️ Pasien'!$U$5:$U1508),"")</f>
        <v>ORANG YANG ULET, SUKA BEBERES, MASAK, NYIRAM TANAMAN, NYAPU, NGEPEL</v>
      </c>
      <c r="T1261" s="97" t="s">
        <v>59</v>
      </c>
      <c r="U1261" s="105">
        <v>10.0</v>
      </c>
      <c r="V1261" s="101"/>
      <c r="W1261" s="106" t="b">
        <v>1</v>
      </c>
      <c r="X1261" s="107"/>
      <c r="Y1261" s="108"/>
    </row>
    <row r="1262" ht="22.5" customHeight="1">
      <c r="A1262" s="96"/>
      <c r="B1262" s="97" t="s">
        <v>85</v>
      </c>
      <c r="C1262" s="98" t="str">
        <f t="array" ref="C1262">IFNA(XLOOKUP(J1262,'⚙️ Pengaturan'!$H$5:$H1508,'⚙️ Pengaturan'!$I$5:$I1508),"")</f>
        <v>TIM Y</v>
      </c>
      <c r="D1262" s="97" t="s">
        <v>86</v>
      </c>
      <c r="E1262" s="99">
        <v>46005.0</v>
      </c>
      <c r="F1262" s="100" t="str">
        <f t="shared" si="1"/>
        <v>2025</v>
      </c>
      <c r="G1262" s="100" t="str">
        <f t="shared" si="2"/>
        <v>12Des</v>
      </c>
      <c r="H1262" s="100" t="str">
        <f t="shared" si="3"/>
        <v>Minggu</v>
      </c>
      <c r="I1262" s="97" t="s">
        <v>87</v>
      </c>
      <c r="J1262" s="97" t="s">
        <v>88</v>
      </c>
      <c r="K1262" s="97" t="s">
        <v>57</v>
      </c>
      <c r="L1262" s="101" t="s">
        <v>716</v>
      </c>
      <c r="M1262" s="102" t="str">
        <f>IFNA(VLOOKUP(L1262,'🙎‍♂️ Pasien'!G:V,2,FALSE),"")</f>
        <v>J9725129346</v>
      </c>
      <c r="N1262" s="103">
        <f>IFNA(VLOOKUP(L1262,'🙎‍♂️ Pasien'!G:L,3,FALSE),"")</f>
        <v>29</v>
      </c>
      <c r="O1262" s="104" t="str">
        <f>IFNA(VLOOKUP(L1262,'🙎‍♂️ Pasien'!G:V,6,FALSE),"")</f>
        <v>LAKI-LAKI</v>
      </c>
      <c r="P1262" s="104" t="str">
        <f>IFNA(VLOOKUP(L1262,'🙎‍♂️ Pasien'!G:V,12,FALSE),"")</f>
        <v>ISLAM</v>
      </c>
      <c r="Q1262" s="104" t="str">
        <f>IFNA(VLOOKUP(L1262:L1508,'🙎‍♂️ Pasien'!G:V,13,FALSE),"")</f>
        <v>KARYAWAN SWASTA</v>
      </c>
      <c r="R1262" s="104" t="str">
        <f t="array" ref="R1262">ifna(xlookup(L1262,'🙎‍♂️ Pasien'!$G$5:$G1508,'🙎‍♂️ Pasien'!$T$5:$T1508),"")</f>
        <v>LUTUT</v>
      </c>
      <c r="S1262" s="104" t="str">
        <f t="array" ref="S1262">ifna(xlookup(L1262,'🙎‍♂️ Pasien'!$G$5:$G1508,'🙎‍♂️ Pasien'!$U$5:$U1508),"")</f>
        <v>MAIN BOLA</v>
      </c>
      <c r="T1262" s="97" t="s">
        <v>59</v>
      </c>
      <c r="U1262" s="105" t="s">
        <v>60</v>
      </c>
      <c r="V1262" s="101"/>
      <c r="W1262" s="106" t="b">
        <v>1</v>
      </c>
      <c r="X1262" s="107"/>
      <c r="Y1262" s="108"/>
    </row>
    <row r="1263" ht="22.5" customHeight="1">
      <c r="A1263" s="96"/>
      <c r="B1263" s="97" t="s">
        <v>85</v>
      </c>
      <c r="C1263" s="98" t="str">
        <f t="array" ref="C1263">IFNA(XLOOKUP(J1263,'⚙️ Pengaturan'!$H$5:$H1508,'⚙️ Pengaturan'!$I$5:$I1508),"")</f>
        <v>TIM Y</v>
      </c>
      <c r="D1263" s="97" t="s">
        <v>86</v>
      </c>
      <c r="E1263" s="99">
        <v>46005.0</v>
      </c>
      <c r="F1263" s="100" t="str">
        <f t="shared" si="1"/>
        <v>2025</v>
      </c>
      <c r="G1263" s="100" t="str">
        <f t="shared" si="2"/>
        <v>12Des</v>
      </c>
      <c r="H1263" s="100" t="str">
        <f t="shared" si="3"/>
        <v>Minggu</v>
      </c>
      <c r="I1263" s="97" t="s">
        <v>87</v>
      </c>
      <c r="J1263" s="97" t="s">
        <v>107</v>
      </c>
      <c r="K1263" s="97" t="s">
        <v>69</v>
      </c>
      <c r="L1263" s="101" t="s">
        <v>702</v>
      </c>
      <c r="M1263" s="102" t="str">
        <f>IFNA(VLOOKUP(L1263,'🙎‍♂️ Pasien'!G:V,2,FALSE),"")</f>
        <v>W7525122424</v>
      </c>
      <c r="N1263" s="103">
        <f>IFNA(VLOOKUP(L1263,'🙎‍♂️ Pasien'!G:L,3,FALSE),"")</f>
        <v>51</v>
      </c>
      <c r="O1263" s="104" t="str">
        <f>IFNA(VLOOKUP(L1263,'🙎‍♂️ Pasien'!G:V,6,FALSE),"")</f>
        <v>PEREMPUAN</v>
      </c>
      <c r="P1263" s="104" t="str">
        <f>IFNA(VLOOKUP(L1263,'🙎‍♂️ Pasien'!G:V,12,FALSE),"")</f>
        <v>ISLAM</v>
      </c>
      <c r="Q1263" s="104" t="str">
        <f>IFNA(VLOOKUP(L1263:L1508,'🙎‍♂️ Pasien'!G:V,13,FALSE),"")</f>
        <v>IBU RUMAH TANGGA</v>
      </c>
      <c r="R1263" s="104" t="str">
        <f t="array" ref="R1263">ifna(xlookup(L1263,'🙎‍♂️ Pasien'!$G$5:$G1508,'🙎‍♂️ Pasien'!$T$5:$T1508),"")</f>
        <v>NYERI LEHER BAGIAN KANAN</v>
      </c>
      <c r="S1263" s="104" t="str">
        <f t="array" ref="S1263">ifna(xlookup(L1263,'🙎‍♂️ Pasien'!$G$5:$G1508,'🙎‍♂️ Pasien'!$U$5:$U1508),"")</f>
        <v>SULIT UTK MENOLEH KEKANAN</v>
      </c>
      <c r="T1263" s="97" t="s">
        <v>59</v>
      </c>
      <c r="U1263" s="105" t="s">
        <v>60</v>
      </c>
      <c r="V1263" s="101"/>
      <c r="W1263" s="106" t="b">
        <v>1</v>
      </c>
      <c r="X1263" s="107"/>
      <c r="Y1263" s="108"/>
    </row>
    <row r="1264" ht="22.5" customHeight="1">
      <c r="A1264" s="96"/>
      <c r="B1264" s="97" t="s">
        <v>85</v>
      </c>
      <c r="C1264" s="98" t="str">
        <f t="array" ref="C1264">IFNA(XLOOKUP(J1264,'⚙️ Pengaturan'!$H$5:$H1508,'⚙️ Pengaturan'!$I$5:$I1508),"")</f>
        <v>TIM Y</v>
      </c>
      <c r="D1264" s="97" t="s">
        <v>86</v>
      </c>
      <c r="E1264" s="99">
        <v>46005.0</v>
      </c>
      <c r="F1264" s="100" t="str">
        <f t="shared" si="1"/>
        <v>2025</v>
      </c>
      <c r="G1264" s="100" t="str">
        <f t="shared" si="2"/>
        <v>12Des</v>
      </c>
      <c r="H1264" s="100" t="str">
        <f t="shared" si="3"/>
        <v>Minggu</v>
      </c>
      <c r="I1264" s="97" t="s">
        <v>93</v>
      </c>
      <c r="J1264" s="97" t="s">
        <v>88</v>
      </c>
      <c r="K1264" s="97" t="s">
        <v>63</v>
      </c>
      <c r="L1264" s="101" t="s">
        <v>613</v>
      </c>
      <c r="M1264" s="102" t="str">
        <f>IFNA(VLOOKUP(L1264,'🙎‍♂️ Pasien'!G:V,2,FALSE),"")</f>
        <v>A9625081247</v>
      </c>
      <c r="N1264" s="103">
        <f>IFNA(VLOOKUP(L1264,'🙎‍♂️ Pasien'!G:L,3,FALSE),"")</f>
        <v>30</v>
      </c>
      <c r="O1264" s="104" t="str">
        <f>IFNA(VLOOKUP(L1264,'🙎‍♂️ Pasien'!G:V,6,FALSE),"")</f>
        <v>LAKI-LAKI</v>
      </c>
      <c r="P1264" s="104" t="str">
        <f>IFNA(VLOOKUP(L1264,'🙎‍♂️ Pasien'!G:V,12,FALSE),"")</f>
        <v>ISLAM</v>
      </c>
      <c r="Q1264" s="104" t="str">
        <f>IFNA(VLOOKUP(L1264:L1508,'🙎‍♂️ Pasien'!G:V,13,FALSE),"")</f>
        <v>PPPK</v>
      </c>
      <c r="R1264" s="104" t="str">
        <f t="array" ref="R1264">ifna(xlookup(L1264,'🙎‍♂️ Pasien'!$G$5:$G1508,'🙎‍♂️ Pasien'!$T$5:$T1508),"")</f>
        <v>LUTUT BENGKAK, MENISCUS</v>
      </c>
      <c r="S1264" s="104" t="str">
        <f t="array" ref="S1264">ifna(xlookup(L1264,'🙎‍♂️ Pasien'!$G$5:$G1508,'🙎‍♂️ Pasien'!$U$5:$U1508),"")</f>
        <v>FUTSAL, MINISOCCER</v>
      </c>
      <c r="T1264" s="97" t="s">
        <v>59</v>
      </c>
      <c r="U1264" s="105">
        <v>6.0</v>
      </c>
      <c r="V1264" s="101"/>
      <c r="W1264" s="106" t="b">
        <v>1</v>
      </c>
      <c r="X1264" s="107"/>
      <c r="Y1264" s="108"/>
    </row>
    <row r="1265" ht="22.5" customHeight="1">
      <c r="A1265" s="96"/>
      <c r="B1265" s="97" t="s">
        <v>85</v>
      </c>
      <c r="C1265" s="98" t="str">
        <f t="array" ref="C1265">IFNA(XLOOKUP(J1265,'⚙️ Pengaturan'!$H$5:$H1508,'⚙️ Pengaturan'!$I$5:$I1508),"")</f>
        <v>TIM Y</v>
      </c>
      <c r="D1265" s="97" t="s">
        <v>86</v>
      </c>
      <c r="E1265" s="99">
        <v>46005.0</v>
      </c>
      <c r="F1265" s="100" t="str">
        <f t="shared" si="1"/>
        <v>2025</v>
      </c>
      <c r="G1265" s="100" t="str">
        <f t="shared" si="2"/>
        <v>12Des</v>
      </c>
      <c r="H1265" s="100" t="str">
        <f t="shared" si="3"/>
        <v>Minggu</v>
      </c>
      <c r="I1265" s="97" t="s">
        <v>93</v>
      </c>
      <c r="J1265" s="97" t="s">
        <v>509</v>
      </c>
      <c r="K1265" s="97" t="s">
        <v>57</v>
      </c>
      <c r="L1265" s="101" t="s">
        <v>717</v>
      </c>
      <c r="M1265" s="102" t="str">
        <f>IFNA(VLOOKUP(L1265,'🙎‍♂️ Pasien'!G:V,2,FALSE),"")</f>
        <v>A0325125109</v>
      </c>
      <c r="N1265" s="103">
        <f>IFNA(VLOOKUP(L1265,'🙎‍♂️ Pasien'!G:L,3,FALSE),"")</f>
        <v>22</v>
      </c>
      <c r="O1265" s="104" t="str">
        <f>IFNA(VLOOKUP(L1265,'🙎‍♂️ Pasien'!G:V,6,FALSE),"")</f>
        <v>PEREMPUAN</v>
      </c>
      <c r="P1265" s="104" t="str">
        <f>IFNA(VLOOKUP(L1265,'🙎‍♂️ Pasien'!G:V,12,FALSE),"")</f>
        <v>PROTESTAN</v>
      </c>
      <c r="Q1265" s="104" t="str">
        <f>IFNA(VLOOKUP(L1265:L1508,'🙎‍♂️ Pasien'!G:V,13,FALSE),"")</f>
        <v>BARISTA</v>
      </c>
      <c r="R1265" s="104" t="str">
        <f t="array" ref="R1265">ifna(xlookup(L1265,'🙎‍♂️ Pasien'!$G$5:$G1508,'🙎‍♂️ Pasien'!$T$5:$T1508),"")</f>
        <v>SERING PEGAL</v>
      </c>
      <c r="S1265" s="104" t="str">
        <f t="array" ref="S1265">ifna(xlookup(L1265,'🙎‍♂️ Pasien'!$G$5:$G1508,'🙎‍♂️ Pasien'!$U$5:$U1508),"")</f>
        <v>KARYAWAN CAFFE</v>
      </c>
      <c r="T1265" s="97" t="s">
        <v>59</v>
      </c>
      <c r="U1265" s="105" t="s">
        <v>60</v>
      </c>
      <c r="V1265" s="101"/>
      <c r="W1265" s="106" t="b">
        <v>1</v>
      </c>
      <c r="X1265" s="107"/>
      <c r="Y1265" s="108"/>
    </row>
    <row r="1266" ht="22.5" customHeight="1">
      <c r="A1266" s="96"/>
      <c r="B1266" s="97" t="s">
        <v>85</v>
      </c>
      <c r="C1266" s="98" t="str">
        <f t="array" ref="C1266">IFNA(XLOOKUP(J1266,'⚙️ Pengaturan'!$H$5:$H1508,'⚙️ Pengaturan'!$I$5:$I1508),"")</f>
        <v>TIM Y</v>
      </c>
      <c r="D1266" s="97" t="s">
        <v>86</v>
      </c>
      <c r="E1266" s="99">
        <v>46005.0</v>
      </c>
      <c r="F1266" s="100" t="str">
        <f t="shared" si="1"/>
        <v>2025</v>
      </c>
      <c r="G1266" s="100" t="str">
        <f t="shared" si="2"/>
        <v>12Des</v>
      </c>
      <c r="H1266" s="100" t="str">
        <f t="shared" si="3"/>
        <v>Minggu</v>
      </c>
      <c r="I1266" s="97" t="s">
        <v>95</v>
      </c>
      <c r="J1266" s="97" t="s">
        <v>91</v>
      </c>
      <c r="K1266" s="97" t="s">
        <v>63</v>
      </c>
      <c r="L1266" s="101" t="s">
        <v>239</v>
      </c>
      <c r="M1266" s="102" t="str">
        <f>IFNA(VLOOKUP(L1266,'🙎‍♂️ Pasien'!G:V,2,FALSE),"")</f>
        <v>A0623071437</v>
      </c>
      <c r="N1266" s="103">
        <f>IFNA(VLOOKUP(L1266,'🙎‍♂️ Pasien'!G:L,3,FALSE),"")</f>
        <v>20</v>
      </c>
      <c r="O1266" s="104" t="str">
        <f>IFNA(VLOOKUP(L1266,'🙎‍♂️ Pasien'!G:V,6,FALSE),"")</f>
        <v>LAKI-LAKI</v>
      </c>
      <c r="P1266" s="104" t="str">
        <f>IFNA(VLOOKUP(L1266,'🙎‍♂️ Pasien'!G:V,12,FALSE),"")</f>
        <v>ISLAM</v>
      </c>
      <c r="Q1266" s="104" t="str">
        <f>IFNA(VLOOKUP(L1266:L1508,'🙎‍♂️ Pasien'!G:V,13,FALSE),"")</f>
        <v>PELAJAR/MAHASISWA</v>
      </c>
      <c r="R1266" s="104" t="str">
        <f t="array" ref="R1266">ifna(xlookup(L1266,'🙎‍♂️ Pasien'!$G$5:$G1508,'🙎‍♂️ Pasien'!$T$5:$T1508),"")</f>
        <v>Cedera Engkel Di Kaki</v>
      </c>
      <c r="S1266" s="104" t="str">
        <f t="array" ref="S1266">ifna(xlookup(L1266,'🙎‍♂️ Pasien'!$G$5:$G1508,'🙎‍♂️ Pasien'!$U$5:$U1508),"")</f>
        <v>BERMAIN FUTSAL</v>
      </c>
      <c r="T1266" s="97" t="s">
        <v>59</v>
      </c>
      <c r="U1266" s="105">
        <v>5.0</v>
      </c>
      <c r="V1266" s="101"/>
      <c r="W1266" s="106" t="b">
        <v>1</v>
      </c>
      <c r="X1266" s="107"/>
      <c r="Y1266" s="108"/>
    </row>
    <row r="1267" ht="22.5" customHeight="1">
      <c r="A1267" s="96"/>
      <c r="B1267" s="97" t="s">
        <v>85</v>
      </c>
      <c r="C1267" s="98" t="str">
        <f t="array" ref="C1267">IFNA(XLOOKUP(J1267,'⚙️ Pengaturan'!$H$5:$H1508,'⚙️ Pengaturan'!$I$5:$I1508),"")</f>
        <v>TIM Y</v>
      </c>
      <c r="D1267" s="97" t="s">
        <v>86</v>
      </c>
      <c r="E1267" s="99">
        <v>46005.0</v>
      </c>
      <c r="F1267" s="100" t="str">
        <f t="shared" si="1"/>
        <v>2025</v>
      </c>
      <c r="G1267" s="100" t="str">
        <f t="shared" si="2"/>
        <v>12Des</v>
      </c>
      <c r="H1267" s="100" t="str">
        <f t="shared" si="3"/>
        <v>Minggu</v>
      </c>
      <c r="I1267" s="97" t="s">
        <v>95</v>
      </c>
      <c r="J1267" s="97" t="s">
        <v>107</v>
      </c>
      <c r="K1267" s="97" t="s">
        <v>57</v>
      </c>
      <c r="L1267" s="101" t="s">
        <v>718</v>
      </c>
      <c r="M1267" s="102" t="str">
        <f>IFNA(VLOOKUP(L1267,'🙎‍♂️ Pasien'!G:V,2,FALSE),"")</f>
        <v>D6625125696</v>
      </c>
      <c r="N1267" s="103">
        <f>IFNA(VLOOKUP(L1267,'🙎‍♂️ Pasien'!G:L,3,FALSE),"")</f>
        <v>59</v>
      </c>
      <c r="O1267" s="104" t="str">
        <f>IFNA(VLOOKUP(L1267,'🙎‍♂️ Pasien'!G:V,6,FALSE),"")</f>
        <v>PEREMPUAN</v>
      </c>
      <c r="P1267" s="104" t="str">
        <f>IFNA(VLOOKUP(L1267,'🙎‍♂️ Pasien'!G:V,12,FALSE),"")</f>
        <v>ISLAM</v>
      </c>
      <c r="Q1267" s="104" t="str">
        <f>IFNA(VLOOKUP(L1267:L1508,'🙎‍♂️ Pasien'!G:V,13,FALSE),"")</f>
        <v>PNS</v>
      </c>
      <c r="R1267" s="104" t="str">
        <f t="array" ref="R1267">ifna(xlookup(L1267,'🙎‍♂️ Pasien'!$G$5:$G1508,'🙎‍♂️ Pasien'!$T$5:$T1508),"")</f>
        <v>PINGGANG</v>
      </c>
      <c r="S1267" s="104" t="str">
        <f t="array" ref="S1267">ifna(xlookup(L1267,'🙎‍♂️ Pasien'!$G$5:$G1508,'🙎‍♂️ Pasien'!$U$5:$U1508),"")</f>
        <v>-</v>
      </c>
      <c r="T1267" s="97" t="s">
        <v>59</v>
      </c>
      <c r="U1267" s="105" t="s">
        <v>60</v>
      </c>
      <c r="V1267" s="101"/>
      <c r="W1267" s="106" t="b">
        <v>1</v>
      </c>
      <c r="X1267" s="107"/>
      <c r="Y1267" s="108"/>
    </row>
    <row r="1268" ht="22.5" customHeight="1">
      <c r="A1268" s="96"/>
      <c r="B1268" s="97" t="s">
        <v>85</v>
      </c>
      <c r="C1268" s="98" t="str">
        <f t="array" ref="C1268">IFNA(XLOOKUP(J1268,'⚙️ Pengaturan'!$H$5:$H1508,'⚙️ Pengaturan'!$I$5:$I1508),"")</f>
        <v>TIM Y</v>
      </c>
      <c r="D1268" s="97" t="s">
        <v>86</v>
      </c>
      <c r="E1268" s="99">
        <v>46005.0</v>
      </c>
      <c r="F1268" s="100" t="str">
        <f t="shared" si="1"/>
        <v>2025</v>
      </c>
      <c r="G1268" s="100" t="str">
        <f t="shared" si="2"/>
        <v>12Des</v>
      </c>
      <c r="H1268" s="100" t="str">
        <f t="shared" si="3"/>
        <v>Minggu</v>
      </c>
      <c r="I1268" s="97" t="s">
        <v>97</v>
      </c>
      <c r="J1268" s="97" t="s">
        <v>509</v>
      </c>
      <c r="K1268" s="97" t="s">
        <v>63</v>
      </c>
      <c r="L1268" s="101" t="s">
        <v>703</v>
      </c>
      <c r="M1268" s="102" t="str">
        <f>IFNA(VLOOKUP(L1268,'🙎‍♂️ Pasien'!G:V,2,FALSE),"")</f>
        <v>D8825037244</v>
      </c>
      <c r="N1268" s="103">
        <f>IFNA(VLOOKUP(L1268,'🙎‍♂️ Pasien'!G:L,3,FALSE),"")</f>
        <v>37</v>
      </c>
      <c r="O1268" s="104" t="str">
        <f>IFNA(VLOOKUP(L1268,'🙎‍♂️ Pasien'!G:V,6,FALSE),"")</f>
        <v>PEREMPUAN</v>
      </c>
      <c r="P1268" s="104" t="str">
        <f>IFNA(VLOOKUP(L1268,'🙎‍♂️ Pasien'!G:V,12,FALSE),"")</f>
        <v>ISLAM</v>
      </c>
      <c r="Q1268" s="104" t="str">
        <f>IFNA(VLOOKUP(L1268:L1508,'🙎‍♂️ Pasien'!G:V,13,FALSE),"")</f>
        <v>GURU PPPK</v>
      </c>
      <c r="R1268" s="104" t="str">
        <f t="array" ref="R1268">ifna(xlookup(L1268,'🙎‍♂️ Pasien'!$G$5:$G1508,'🙎‍♂️ Pasien'!$T$5:$T1508),"")</f>
        <v>SPUR DI TUMIT, SAKIT HINGGA BOKONG</v>
      </c>
      <c r="S1268" s="104" t="str">
        <f t="array" ref="S1268">ifna(xlookup(L1268,'🙎‍♂️ Pasien'!$G$5:$G1508,'🙎‍♂️ Pasien'!$U$5:$U1508),"")</f>
        <v>BERKENDARA MOTOR, GERAKAN SEHARI HARI</v>
      </c>
      <c r="T1268" s="97" t="s">
        <v>59</v>
      </c>
      <c r="U1268" s="105">
        <v>1.0</v>
      </c>
      <c r="V1268" s="101"/>
      <c r="W1268" s="106" t="b">
        <v>1</v>
      </c>
      <c r="X1268" s="107"/>
      <c r="Y1268" s="108"/>
    </row>
    <row r="1269" ht="22.5" customHeight="1">
      <c r="A1269" s="96"/>
      <c r="B1269" s="97" t="s">
        <v>85</v>
      </c>
      <c r="C1269" s="98" t="str">
        <f t="array" ref="C1269">IFNA(XLOOKUP(J1269,'⚙️ Pengaturan'!$H$5:$H1508,'⚙️ Pengaturan'!$I$5:$I1508),"")</f>
        <v>TIM Y</v>
      </c>
      <c r="D1269" s="97" t="s">
        <v>86</v>
      </c>
      <c r="E1269" s="99">
        <v>46005.0</v>
      </c>
      <c r="F1269" s="100" t="str">
        <f t="shared" si="1"/>
        <v>2025</v>
      </c>
      <c r="G1269" s="100" t="str">
        <f t="shared" si="2"/>
        <v>12Des</v>
      </c>
      <c r="H1269" s="100" t="str">
        <f t="shared" si="3"/>
        <v>Minggu</v>
      </c>
      <c r="I1269" s="97" t="s">
        <v>97</v>
      </c>
      <c r="J1269" s="97" t="s">
        <v>88</v>
      </c>
      <c r="K1269" s="97" t="s">
        <v>69</v>
      </c>
      <c r="L1269" s="101" t="s">
        <v>155</v>
      </c>
      <c r="M1269" s="102" t="str">
        <f>IFNA(VLOOKUP(L1269,'🙎‍♂️ Pasien'!G:V,2,FALSE),"")</f>
        <v>H5325012017</v>
      </c>
      <c r="N1269" s="103">
        <f>IFNA(VLOOKUP(L1269,'🙎‍♂️ Pasien'!G:L,3,FALSE),"")</f>
        <v>72</v>
      </c>
      <c r="O1269" s="104" t="str">
        <f>IFNA(VLOOKUP(L1269,'🙎‍♂️ Pasien'!G:V,6,FALSE),"")</f>
        <v>LAKI-LAKI</v>
      </c>
      <c r="P1269" s="104" t="str">
        <f>IFNA(VLOOKUP(L1269,'🙎‍♂️ Pasien'!G:V,12,FALSE),"")</f>
        <v>ISLAM</v>
      </c>
      <c r="Q1269" s="104" t="str">
        <f>IFNA(VLOOKUP(L1269:L1508,'🙎‍♂️ Pasien'!G:V,13,FALSE),"")</f>
        <v>PENSIUN</v>
      </c>
      <c r="R1269" s="104" t="str">
        <f t="array" ref="R1269">ifna(xlookup(L1269,'🙎‍♂️ Pasien'!$G$5:$G1508,'🙎‍♂️ Pasien'!$T$5:$T1508),"")</f>
        <v>Kaki terasa nyeri jika dibawa berdiri lama atau berjalan jauh</v>
      </c>
      <c r="S1269" s="104" t="str">
        <f t="array" ref="S1269">ifna(xlookup(L1269,'🙎‍♂️ Pasien'!$G$5:$G1508,'🙎‍♂️ Pasien'!$U$5:$U1508),"")</f>
        <v>Tidak ada</v>
      </c>
      <c r="T1269" s="97" t="s">
        <v>59</v>
      </c>
      <c r="U1269" s="105" t="s">
        <v>60</v>
      </c>
      <c r="V1269" s="101"/>
      <c r="W1269" s="106" t="b">
        <v>1</v>
      </c>
      <c r="X1269" s="107"/>
      <c r="Y1269" s="108"/>
    </row>
    <row r="1270" ht="22.5" customHeight="1">
      <c r="A1270" s="96"/>
      <c r="B1270" s="97" t="s">
        <v>85</v>
      </c>
      <c r="C1270" s="98" t="str">
        <f t="array" ref="C1270">IFNA(XLOOKUP(J1270,'⚙️ Pengaturan'!$H$5:$H1508,'⚙️ Pengaturan'!$I$5:$I1508),"")</f>
        <v>TIM Y</v>
      </c>
      <c r="D1270" s="97" t="s">
        <v>86</v>
      </c>
      <c r="E1270" s="99">
        <v>46005.0</v>
      </c>
      <c r="F1270" s="100" t="str">
        <f t="shared" si="1"/>
        <v>2025</v>
      </c>
      <c r="G1270" s="100" t="str">
        <f t="shared" si="2"/>
        <v>12Des</v>
      </c>
      <c r="H1270" s="100" t="str">
        <f t="shared" si="3"/>
        <v>Minggu</v>
      </c>
      <c r="I1270" s="97" t="s">
        <v>99</v>
      </c>
      <c r="J1270" s="97" t="s">
        <v>88</v>
      </c>
      <c r="K1270" s="97" t="s">
        <v>63</v>
      </c>
      <c r="L1270" s="101" t="s">
        <v>627</v>
      </c>
      <c r="M1270" s="102" t="str">
        <f>IFNA(VLOOKUP(L1270,'🙎‍♂️ Pasien'!G:V,2,FALSE),"")</f>
        <v>W8825126959</v>
      </c>
      <c r="N1270" s="103">
        <f>IFNA(VLOOKUP(L1270,'🙎‍♂️ Pasien'!G:L,3,FALSE),"")</f>
        <v>37</v>
      </c>
      <c r="O1270" s="104" t="str">
        <f>IFNA(VLOOKUP(L1270,'🙎‍♂️ Pasien'!G:V,6,FALSE),"")</f>
        <v>LAKI-LAKI</v>
      </c>
      <c r="P1270" s="104" t="str">
        <f>IFNA(VLOOKUP(L1270,'🙎‍♂️ Pasien'!G:V,12,FALSE),"")</f>
        <v>ISLAM</v>
      </c>
      <c r="Q1270" s="104" t="str">
        <f>IFNA(VLOOKUP(L1270:L1508,'🙎‍♂️ Pasien'!G:V,13,FALSE),"")</f>
        <v>WIRASWASTA</v>
      </c>
      <c r="R1270" s="104" t="str">
        <f t="array" ref="R1270">ifna(xlookup(L1270,'🙎‍♂️ Pasien'!$G$5:$G1508,'🙎‍♂️ Pasien'!$T$5:$T1508),"")</f>
        <v>PINGGANG</v>
      </c>
      <c r="S1270" s="104" t="str">
        <f t="array" ref="S1270">ifna(xlookup(L1270,'🙎‍♂️ Pasien'!$G$5:$G1508,'🙎‍♂️ Pasien'!$U$5:$U1508),"")</f>
        <v>-</v>
      </c>
      <c r="T1270" s="97" t="s">
        <v>59</v>
      </c>
      <c r="U1270" s="105">
        <v>5.0</v>
      </c>
      <c r="V1270" s="101"/>
      <c r="W1270" s="106" t="b">
        <v>1</v>
      </c>
      <c r="X1270" s="107"/>
      <c r="Y1270" s="108"/>
    </row>
    <row r="1271" ht="22.5" customHeight="1">
      <c r="A1271" s="96"/>
      <c r="B1271" s="97" t="s">
        <v>53</v>
      </c>
      <c r="C1271" s="98" t="str">
        <f t="array" ref="C1271">IFNA(XLOOKUP(J1271,'⚙️ Pengaturan'!$H$5:$H1508,'⚙️ Pengaturan'!$I$5:$I1508),"")</f>
        <v>TIM Y</v>
      </c>
      <c r="D1271" s="97" t="s">
        <v>54</v>
      </c>
      <c r="E1271" s="99">
        <v>46006.0</v>
      </c>
      <c r="F1271" s="100" t="str">
        <f t="shared" si="1"/>
        <v>2025</v>
      </c>
      <c r="G1271" s="100" t="str">
        <f t="shared" si="2"/>
        <v>12Des</v>
      </c>
      <c r="H1271" s="100" t="str">
        <f t="shared" si="3"/>
        <v>Senin</v>
      </c>
      <c r="I1271" s="97" t="s">
        <v>55</v>
      </c>
      <c r="J1271" s="97" t="s">
        <v>509</v>
      </c>
      <c r="K1271" s="97" t="s">
        <v>57</v>
      </c>
      <c r="L1271" s="101" t="s">
        <v>719</v>
      </c>
      <c r="M1271" s="102" t="str">
        <f>IFNA(VLOOKUP(L1271,'🙎‍♂️ Pasien'!G:V,2,FALSE),"")</f>
        <v>A9625120301</v>
      </c>
      <c r="N1271" s="103">
        <f>IFNA(VLOOKUP(L1271,'🙎‍♂️ Pasien'!G:L,3,FALSE),"")</f>
        <v>29</v>
      </c>
      <c r="O1271" s="104" t="str">
        <f>IFNA(VLOOKUP(L1271,'🙎‍♂️ Pasien'!G:V,6,FALSE),"")</f>
        <v>LAKI-LAKI</v>
      </c>
      <c r="P1271" s="104" t="str">
        <f>IFNA(VLOOKUP(L1271,'🙎‍♂️ Pasien'!G:V,12,FALSE),"")</f>
        <v>KATOLIK</v>
      </c>
      <c r="Q1271" s="104" t="str">
        <f>IFNA(VLOOKUP(L1271:L1508,'🙎‍♂️ Pasien'!G:V,13,FALSE),"")</f>
        <v>SWASTA</v>
      </c>
      <c r="R1271" s="104" t="str">
        <f t="array" ref="R1271">ifna(xlookup(L1271,'🙎‍♂️ Pasien'!$G$5:$G1508,'🙎‍♂️ Pasien'!$T$5:$T1508),"")</f>
        <v>BENGKAK DI AREA ATAS TUMIT KAKI SEBELAH KANAN</v>
      </c>
      <c r="S1271" s="104" t="str">
        <f t="array" ref="S1271">ifna(xlookup(L1271,'🙎‍♂️ Pasien'!$G$5:$G1508,'🙎‍♂️ Pasien'!$U$5:$U1508),"")</f>
        <v>SEPAK BOLA</v>
      </c>
      <c r="T1271" s="97" t="s">
        <v>59</v>
      </c>
      <c r="U1271" s="105" t="s">
        <v>60</v>
      </c>
      <c r="V1271" s="101"/>
      <c r="W1271" s="106" t="b">
        <v>1</v>
      </c>
      <c r="X1271" s="107"/>
      <c r="Y1271" s="108"/>
    </row>
    <row r="1272" ht="22.5" customHeight="1">
      <c r="A1272" s="96"/>
      <c r="B1272" s="97" t="s">
        <v>53</v>
      </c>
      <c r="C1272" s="98" t="str">
        <f t="array" ref="C1272">IFNA(XLOOKUP(J1272,'⚙️ Pengaturan'!$H$5:$H1508,'⚙️ Pengaturan'!$I$5:$I1508),"")</f>
        <v>TIM Y</v>
      </c>
      <c r="D1272" s="97" t="s">
        <v>54</v>
      </c>
      <c r="E1272" s="99">
        <v>46006.0</v>
      </c>
      <c r="F1272" s="100" t="str">
        <f t="shared" si="1"/>
        <v>2025</v>
      </c>
      <c r="G1272" s="100" t="str">
        <f t="shared" si="2"/>
        <v>12Des</v>
      </c>
      <c r="H1272" s="100" t="str">
        <f t="shared" si="3"/>
        <v>Senin</v>
      </c>
      <c r="I1272" s="97" t="s">
        <v>55</v>
      </c>
      <c r="J1272" s="97" t="s">
        <v>91</v>
      </c>
      <c r="K1272" s="97" t="s">
        <v>63</v>
      </c>
      <c r="L1272" s="101" t="s">
        <v>501</v>
      </c>
      <c r="M1272" s="102" t="str">
        <f>IFNA(VLOOKUP(L1272,'🙎‍♂️ Pasien'!G:V,2,FALSE),"")</f>
        <v>C9025117272</v>
      </c>
      <c r="N1272" s="103">
        <f>IFNA(VLOOKUP(L1272,'🙎‍♂️ Pasien'!G:L,3,FALSE),"")</f>
        <v>35</v>
      </c>
      <c r="O1272" s="104" t="str">
        <f>IFNA(VLOOKUP(L1272,'🙎‍♂️ Pasien'!G:V,6,FALSE),"")</f>
        <v>PEREMPUAN</v>
      </c>
      <c r="P1272" s="104" t="str">
        <f>IFNA(VLOOKUP(L1272,'🙎‍♂️ Pasien'!G:V,12,FALSE),"")</f>
        <v>PROTESTAN</v>
      </c>
      <c r="Q1272" s="104" t="str">
        <f>IFNA(VLOOKUP(L1272:L1508,'🙎‍♂️ Pasien'!G:V,13,FALSE),"")</f>
        <v>IBU RUMAH TANGGA</v>
      </c>
      <c r="R1272" s="104" t="str">
        <f t="array" ref="R1272">ifna(xlookup(L1272,'🙎‍♂️ Pasien'!$G$5:$G1508,'🙎‍♂️ Pasien'!$T$5:$T1508),"")</f>
        <v>SENDI LUTUT BERGESER</v>
      </c>
      <c r="S1272" s="104" t="str">
        <f t="array" ref="S1272">ifna(xlookup(L1272,'🙎‍♂️ Pasien'!$G$5:$G1508,'🙎‍♂️ Pasien'!$U$5:$U1508),"")</f>
        <v>JATUH KEPELESET</v>
      </c>
      <c r="T1272" s="97" t="s">
        <v>59</v>
      </c>
      <c r="U1272" s="105">
        <v>2.0</v>
      </c>
      <c r="V1272" s="101"/>
      <c r="W1272" s="106" t="b">
        <v>1</v>
      </c>
      <c r="X1272" s="107"/>
      <c r="Y1272" s="108"/>
    </row>
    <row r="1273" ht="22.5" customHeight="1">
      <c r="A1273" s="96"/>
      <c r="B1273" s="97" t="s">
        <v>53</v>
      </c>
      <c r="C1273" s="98" t="str">
        <f t="array" ref="C1273">IFNA(XLOOKUP(J1273,'⚙️ Pengaturan'!$H$5:$H1508,'⚙️ Pengaturan'!$I$5:$I1508),"")</f>
        <v>TIM Y</v>
      </c>
      <c r="D1273" s="97" t="s">
        <v>54</v>
      </c>
      <c r="E1273" s="99">
        <v>46006.0</v>
      </c>
      <c r="F1273" s="100" t="str">
        <f t="shared" si="1"/>
        <v>2025</v>
      </c>
      <c r="G1273" s="100" t="str">
        <f t="shared" si="2"/>
        <v>12Des</v>
      </c>
      <c r="H1273" s="100" t="str">
        <f t="shared" si="3"/>
        <v>Senin</v>
      </c>
      <c r="I1273" s="97" t="s">
        <v>65</v>
      </c>
      <c r="J1273" s="97" t="s">
        <v>88</v>
      </c>
      <c r="K1273" s="97" t="s">
        <v>63</v>
      </c>
      <c r="L1273" s="101" t="s">
        <v>672</v>
      </c>
      <c r="M1273" s="102" t="str">
        <f>IFNA(VLOOKUP(L1273,'🙎‍♂️ Pasien'!G:V,2,FALSE),"")</f>
        <v>A9825122289</v>
      </c>
      <c r="N1273" s="103">
        <f>IFNA(VLOOKUP(L1273,'🙎‍♂️ Pasien'!G:L,3,FALSE),"")</f>
        <v>28</v>
      </c>
      <c r="O1273" s="104" t="str">
        <f>IFNA(VLOOKUP(L1273,'🙎‍♂️ Pasien'!G:V,6,FALSE),"")</f>
        <v>LAKI-LAKI</v>
      </c>
      <c r="P1273" s="104" t="str">
        <f>IFNA(VLOOKUP(L1273,'🙎‍♂️ Pasien'!G:V,12,FALSE),"")</f>
        <v>ISLAM</v>
      </c>
      <c r="Q1273" s="104" t="str">
        <f>IFNA(VLOOKUP(L1273:L1508,'🙎‍♂️ Pasien'!G:V,13,FALSE),"")</f>
        <v>DI BANDARA</v>
      </c>
      <c r="R1273" s="104" t="str">
        <f t="array" ref="R1273">ifna(xlookup(L1273,'🙎‍♂️ Pasien'!$G$5:$G1508,'🙎‍♂️ Pasien'!$T$5:$T1508),"")</f>
        <v>PINGGANG SAKIT NYERI SETELAH ANGKAT BEBAN, ENKLE KAKI NYERI KIRI KANAN SUDAH LAMA, DI PERGELANGAN TANGAN KIRI KANAN NYERI AKIBAT ANGKAT BEBAN,JEMPO TANGAN KIRI KESELEO</v>
      </c>
      <c r="S1273" s="104" t="str">
        <f t="array" ref="S1273">ifna(xlookup(L1273,'🙎‍♂️ Pasien'!$G$5:$G1508,'🙎‍♂️ Pasien'!$U$5:$U1508),"")</f>
        <v>GYM, JOGGING, SEPAK BOLA</v>
      </c>
      <c r="T1273" s="97" t="s">
        <v>59</v>
      </c>
      <c r="U1273" s="105">
        <v>2.0</v>
      </c>
      <c r="V1273" s="101"/>
      <c r="W1273" s="106" t="b">
        <v>1</v>
      </c>
      <c r="X1273" s="107"/>
      <c r="Y1273" s="108"/>
    </row>
    <row r="1274" ht="22.5" customHeight="1">
      <c r="A1274" s="96"/>
      <c r="B1274" s="97" t="s">
        <v>53</v>
      </c>
      <c r="C1274" s="98" t="str">
        <f t="array" ref="C1274">IFNA(XLOOKUP(J1274,'⚙️ Pengaturan'!$H$5:$H1508,'⚙️ Pengaturan'!$I$5:$I1508),"")</f>
        <v>TIM Y</v>
      </c>
      <c r="D1274" s="97" t="s">
        <v>54</v>
      </c>
      <c r="E1274" s="99">
        <v>46006.0</v>
      </c>
      <c r="F1274" s="100" t="str">
        <f t="shared" si="1"/>
        <v>2025</v>
      </c>
      <c r="G1274" s="100" t="str">
        <f t="shared" si="2"/>
        <v>12Des</v>
      </c>
      <c r="H1274" s="100" t="str">
        <f t="shared" si="3"/>
        <v>Senin</v>
      </c>
      <c r="I1274" s="97" t="s">
        <v>65</v>
      </c>
      <c r="J1274" s="97" t="s">
        <v>91</v>
      </c>
      <c r="K1274" s="97" t="s">
        <v>69</v>
      </c>
      <c r="L1274" s="101" t="s">
        <v>710</v>
      </c>
      <c r="M1274" s="102" t="str">
        <f>IFNA(VLOOKUP(L1274,'🙎‍♂️ Pasien'!G:V,2,FALSE),"")</f>
        <v>D8525121185</v>
      </c>
      <c r="N1274" s="103">
        <f>IFNA(VLOOKUP(L1274,'🙎‍♂️ Pasien'!G:L,3,FALSE),"")</f>
        <v>40</v>
      </c>
      <c r="O1274" s="104" t="str">
        <f>IFNA(VLOOKUP(L1274,'🙎‍♂️ Pasien'!G:V,6,FALSE),"")</f>
        <v>PEREMPUAN</v>
      </c>
      <c r="P1274" s="104" t="str">
        <f>IFNA(VLOOKUP(L1274,'🙎‍♂️ Pasien'!G:V,12,FALSE),"")</f>
        <v>ISLAM</v>
      </c>
      <c r="Q1274" s="104" t="str">
        <f>IFNA(VLOOKUP(L1274:L1508,'🙎‍♂️ Pasien'!G:V,13,FALSE),"")</f>
        <v>IRT</v>
      </c>
      <c r="R1274" s="104" t="str">
        <f t="array" ref="R1274">ifna(xlookup(L1274,'🙎‍♂️ Pasien'!$G$5:$G1508,'🙎‍♂️ Pasien'!$T$5:$T1508),"")</f>
        <v>PALNTAR PACITIS</v>
      </c>
      <c r="S1274" s="104" t="str">
        <f t="array" ref="S1274">ifna(xlookup(L1274,'🙎‍♂️ Pasien'!$G$5:$G1508,'🙎‍♂️ Pasien'!$U$5:$U1508),"")</f>
        <v>-</v>
      </c>
      <c r="T1274" s="97" t="s">
        <v>59</v>
      </c>
      <c r="U1274" s="105" t="s">
        <v>60</v>
      </c>
      <c r="V1274" s="101"/>
      <c r="W1274" s="106" t="b">
        <v>1</v>
      </c>
      <c r="X1274" s="107"/>
      <c r="Y1274" s="108"/>
    </row>
    <row r="1275" ht="22.5" customHeight="1">
      <c r="A1275" s="96"/>
      <c r="B1275" s="97" t="s">
        <v>53</v>
      </c>
      <c r="C1275" s="98" t="str">
        <f t="array" ref="C1275">IFNA(XLOOKUP(J1275,'⚙️ Pengaturan'!$H$5:$H1508,'⚙️ Pengaturan'!$I$5:$I1508),"")</f>
        <v>TIM Y</v>
      </c>
      <c r="D1275" s="97" t="s">
        <v>54</v>
      </c>
      <c r="E1275" s="99">
        <v>46006.0</v>
      </c>
      <c r="F1275" s="100" t="str">
        <f t="shared" si="1"/>
        <v>2025</v>
      </c>
      <c r="G1275" s="100" t="str">
        <f t="shared" si="2"/>
        <v>12Des</v>
      </c>
      <c r="H1275" s="100" t="str">
        <f t="shared" si="3"/>
        <v>Senin</v>
      </c>
      <c r="I1275" s="97" t="s">
        <v>65</v>
      </c>
      <c r="J1275" s="97" t="s">
        <v>107</v>
      </c>
      <c r="K1275" s="97" t="s">
        <v>57</v>
      </c>
      <c r="L1275" s="101" t="s">
        <v>720</v>
      </c>
      <c r="M1275" s="102" t="str">
        <f>IFNA(VLOOKUP(L1275,'🙎‍♂️ Pasien'!G:V,2,FALSE),"")</f>
        <v>G8425125725</v>
      </c>
      <c r="N1275" s="103">
        <f>IFNA(VLOOKUP(L1275,'🙎‍♂️ Pasien'!G:L,3,FALSE),"")</f>
        <v>41</v>
      </c>
      <c r="O1275" s="104" t="str">
        <f>IFNA(VLOOKUP(L1275,'🙎‍♂️ Pasien'!G:V,6,FALSE),"")</f>
        <v>PEREMPUAN</v>
      </c>
      <c r="P1275" s="104" t="str">
        <f>IFNA(VLOOKUP(L1275,'🙎‍♂️ Pasien'!G:V,12,FALSE),"")</f>
        <v>ISLAM</v>
      </c>
      <c r="Q1275" s="104" t="str">
        <f>IFNA(VLOOKUP(L1275:L1508,'🙎‍♂️ Pasien'!G:V,13,FALSE),"")</f>
        <v>WIRAUSAHA</v>
      </c>
      <c r="R1275" s="104" t="str">
        <f t="array" ref="R1275">ifna(xlookup(L1275,'🙎‍♂️ Pasien'!$G$5:$G1508,'🙎‍♂️ Pasien'!$T$5:$T1508),"")</f>
        <v>STORKE RINGAN (KAKI KURANG KOKOH)</v>
      </c>
      <c r="S1275" s="104" t="str">
        <f t="array" ref="S1275">ifna(xlookup(L1275,'🙎‍♂️ Pasien'!$G$5:$G1508,'🙎‍♂️ Pasien'!$U$5:$U1508),"")</f>
        <v>AKTIVITAS BEKERJA SEHARI HARI MEETING DGN KLIEN</v>
      </c>
      <c r="T1275" s="97" t="s">
        <v>59</v>
      </c>
      <c r="U1275" s="105" t="s">
        <v>60</v>
      </c>
      <c r="V1275" s="101"/>
      <c r="W1275" s="106" t="b">
        <v>1</v>
      </c>
      <c r="X1275" s="107"/>
      <c r="Y1275" s="108"/>
    </row>
    <row r="1276" ht="22.5" customHeight="1">
      <c r="A1276" s="96"/>
      <c r="B1276" s="97" t="s">
        <v>53</v>
      </c>
      <c r="C1276" s="98" t="str">
        <f t="array" ref="C1276">IFNA(XLOOKUP(J1276,'⚙️ Pengaturan'!$H$5:$H1508,'⚙️ Pengaturan'!$I$5:$I1508),"")</f>
        <v>TIM Y</v>
      </c>
      <c r="D1276" s="97" t="s">
        <v>54</v>
      </c>
      <c r="E1276" s="99">
        <v>46006.0</v>
      </c>
      <c r="F1276" s="100" t="str">
        <f t="shared" si="1"/>
        <v>2025</v>
      </c>
      <c r="G1276" s="100" t="str">
        <f t="shared" si="2"/>
        <v>12Des</v>
      </c>
      <c r="H1276" s="100" t="str">
        <f t="shared" si="3"/>
        <v>Senin</v>
      </c>
      <c r="I1276" s="97" t="s">
        <v>74</v>
      </c>
      <c r="J1276" s="97" t="s">
        <v>107</v>
      </c>
      <c r="K1276" s="97" t="s">
        <v>63</v>
      </c>
      <c r="L1276" s="101" t="s">
        <v>543</v>
      </c>
      <c r="M1276" s="102" t="str">
        <f>IFNA(VLOOKUP(L1276,'🙎‍♂️ Pasien'!G:V,2,FALSE),"")</f>
        <v>A8725115557</v>
      </c>
      <c r="N1276" s="103">
        <f>IFNA(VLOOKUP(L1276,'🙎‍♂️ Pasien'!G:L,3,FALSE),"")</f>
        <v>38</v>
      </c>
      <c r="O1276" s="104" t="str">
        <f>IFNA(VLOOKUP(L1276,'🙎‍♂️ Pasien'!G:V,6,FALSE),"")</f>
        <v>PEREMPUAN</v>
      </c>
      <c r="P1276" s="104" t="str">
        <f>IFNA(VLOOKUP(L1276,'🙎‍♂️ Pasien'!G:V,12,FALSE),"")</f>
        <v>ISLAM</v>
      </c>
      <c r="Q1276" s="104" t="str">
        <f>IFNA(VLOOKUP(L1276:L1508,'🙎‍♂️ Pasien'!G:V,13,FALSE),"")</f>
        <v>KARYAWAN SWASTA</v>
      </c>
      <c r="R1276" s="104" t="str">
        <f t="array" ref="R1276">ifna(xlookup(L1276,'🙎‍♂️ Pasien'!$G$5:$G1508,'🙎‍♂️ Pasien'!$T$5:$T1508),"")</f>
        <v>NYERI SAAT NARIK NAFAS DAN BERGERAK AREA RUSUK DEPAN HINGGA BELAKANG SEBELAH KANAN</v>
      </c>
      <c r="S1276" s="104" t="str">
        <f t="array" ref="S1276">ifna(xlookup(L1276,'🙎‍♂️ Pasien'!$G$5:$G1508,'🙎‍♂️ Pasien'!$U$5:$U1508),"")</f>
        <v>SAAT INI SEDANG BATUK, OLAHRAGA THREADMIL DAN BULU TANGKIS BEBERAPA WAKTU INI</v>
      </c>
      <c r="T1276" s="97" t="s">
        <v>59</v>
      </c>
      <c r="U1276" s="105">
        <v>2.0</v>
      </c>
      <c r="V1276" s="101"/>
      <c r="W1276" s="106" t="b">
        <v>1</v>
      </c>
      <c r="X1276" s="107"/>
      <c r="Y1276" s="108"/>
    </row>
    <row r="1277" ht="22.5" customHeight="1">
      <c r="A1277" s="96"/>
      <c r="B1277" s="97" t="s">
        <v>53</v>
      </c>
      <c r="C1277" s="98" t="str">
        <f t="array" ref="C1277">IFNA(XLOOKUP(J1277,'⚙️ Pengaturan'!$H$5:$H1508,'⚙️ Pengaturan'!$I$5:$I1508),"")</f>
        <v>TIM Y</v>
      </c>
      <c r="D1277" s="97" t="s">
        <v>54</v>
      </c>
      <c r="E1277" s="99">
        <v>46006.0</v>
      </c>
      <c r="F1277" s="100" t="str">
        <f t="shared" si="1"/>
        <v>2025</v>
      </c>
      <c r="G1277" s="100" t="str">
        <f t="shared" si="2"/>
        <v>12Des</v>
      </c>
      <c r="H1277" s="100" t="str">
        <f t="shared" si="3"/>
        <v>Senin</v>
      </c>
      <c r="I1277" s="97" t="s">
        <v>74</v>
      </c>
      <c r="J1277" s="97" t="s">
        <v>509</v>
      </c>
      <c r="K1277" s="97" t="s">
        <v>69</v>
      </c>
      <c r="L1277" s="101" t="s">
        <v>694</v>
      </c>
      <c r="M1277" s="102" t="str">
        <f>IFNA(VLOOKUP(L1277,'🙎‍♂️ Pasien'!G:V,2,FALSE),"")</f>
        <v>D0625121108</v>
      </c>
      <c r="N1277" s="103">
        <f>IFNA(VLOOKUP(L1277,'🙎‍♂️ Pasien'!G:L,3,FALSE),"")</f>
        <v>19</v>
      </c>
      <c r="O1277" s="104" t="str">
        <f>IFNA(VLOOKUP(L1277,'🙎‍♂️ Pasien'!G:V,6,FALSE),"")</f>
        <v>LAKI-LAKI</v>
      </c>
      <c r="P1277" s="104" t="str">
        <f>IFNA(VLOOKUP(L1277,'🙎‍♂️ Pasien'!G:V,12,FALSE),"")</f>
        <v>KATOLIK</v>
      </c>
      <c r="Q1277" s="104" t="str">
        <f>IFNA(VLOOKUP(L1277:L1508,'🙎‍♂️ Pasien'!G:V,13,FALSE),"")</f>
        <v>MAHASISWA</v>
      </c>
      <c r="R1277" s="104" t="str">
        <f t="array" ref="R1277">ifna(xlookup(L1277,'🙎‍♂️ Pasien'!$G$5:$G1508,'🙎‍♂️ Pasien'!$T$5:$T1508),"")</f>
        <v>LOWER BACK</v>
      </c>
      <c r="S1277" s="104" t="str">
        <f t="array" ref="S1277">ifna(xlookup(L1277,'🙎‍♂️ Pasien'!$G$5:$G1508,'🙎‍♂️ Pasien'!$U$5:$U1508),"")</f>
        <v>GYM, BASKET</v>
      </c>
      <c r="T1277" s="97" t="s">
        <v>59</v>
      </c>
      <c r="U1277" s="105" t="s">
        <v>60</v>
      </c>
      <c r="V1277" s="101"/>
      <c r="W1277" s="106" t="b">
        <v>1</v>
      </c>
      <c r="X1277" s="107"/>
      <c r="Y1277" s="108"/>
    </row>
    <row r="1278" ht="22.5" customHeight="1">
      <c r="A1278" s="96"/>
      <c r="B1278" s="97" t="s">
        <v>53</v>
      </c>
      <c r="C1278" s="98" t="str">
        <f t="array" ref="C1278">IFNA(XLOOKUP(J1278,'⚙️ Pengaturan'!$H$5:$H1508,'⚙️ Pengaturan'!$I$5:$I1508),"")</f>
        <v>MANAJEMEN</v>
      </c>
      <c r="D1278" s="97" t="s">
        <v>54</v>
      </c>
      <c r="E1278" s="99">
        <v>46006.0</v>
      </c>
      <c r="F1278" s="100" t="str">
        <f t="shared" si="1"/>
        <v>2025</v>
      </c>
      <c r="G1278" s="100" t="str">
        <f t="shared" si="2"/>
        <v>12Des</v>
      </c>
      <c r="H1278" s="100" t="str">
        <f t="shared" si="3"/>
        <v>Senin</v>
      </c>
      <c r="I1278" s="97" t="s">
        <v>83</v>
      </c>
      <c r="J1278" s="97" t="s">
        <v>81</v>
      </c>
      <c r="K1278" s="97" t="s">
        <v>63</v>
      </c>
      <c r="L1278" s="101" t="s">
        <v>189</v>
      </c>
      <c r="M1278" s="102" t="str">
        <f>IFNA(VLOOKUP(L1278,'🙎‍♂️ Pasien'!G:V,2,FALSE),"")</f>
        <v>A6025048900</v>
      </c>
      <c r="N1278" s="103">
        <f>IFNA(VLOOKUP(L1278,'🙎‍♂️ Pasien'!G:L,3,FALSE),"")</f>
        <v>66</v>
      </c>
      <c r="O1278" s="104" t="str">
        <f>IFNA(VLOOKUP(L1278,'🙎‍♂️ Pasien'!G:V,6,FALSE),"")</f>
        <v>LAKI-LAKI</v>
      </c>
      <c r="P1278" s="104" t="str">
        <f>IFNA(VLOOKUP(L1278,'🙎‍♂️ Pasien'!G:V,12,FALSE),"")</f>
        <v>KHONGHUCU</v>
      </c>
      <c r="Q1278" s="104" t="str">
        <f>IFNA(VLOOKUP(L1278:L1508,'🙎‍♂️ Pasien'!G:V,13,FALSE),"")</f>
        <v>KONSULTAN PAJAK</v>
      </c>
      <c r="R1278" s="104" t="str">
        <f t="array" ref="R1278">ifna(xlookup(L1278,'🙎‍♂️ Pasien'!$G$5:$G1508,'🙎‍♂️ Pasien'!$T$5:$T1508),"")</f>
        <v>SAKET LEHER</v>
      </c>
      <c r="S1278" s="104" t="str">
        <f t="array" ref="S1278">ifna(xlookup(L1278,'🙎‍♂️ Pasien'!$G$5:$G1508,'🙎‍♂️ Pasien'!$U$5:$U1508),"")</f>
        <v>KERJE KERJE KERJE !!!!</v>
      </c>
      <c r="T1278" s="97" t="s">
        <v>59</v>
      </c>
      <c r="U1278" s="105">
        <v>6.0</v>
      </c>
      <c r="V1278" s="101"/>
      <c r="W1278" s="106" t="b">
        <v>1</v>
      </c>
      <c r="X1278" s="107"/>
      <c r="Y1278" s="108"/>
    </row>
    <row r="1279" ht="22.5" customHeight="1">
      <c r="A1279" s="96"/>
      <c r="B1279" s="97" t="s">
        <v>85</v>
      </c>
      <c r="C1279" s="98" t="str">
        <f t="array" ref="C1279">IFNA(XLOOKUP(J1279,'⚙️ Pengaturan'!$H$5:$H1508,'⚙️ Pengaturan'!$I$5:$I1508),"")</f>
        <v>TIM Y</v>
      </c>
      <c r="D1279" s="97" t="s">
        <v>86</v>
      </c>
      <c r="E1279" s="99">
        <v>46006.0</v>
      </c>
      <c r="F1279" s="100" t="str">
        <f t="shared" si="1"/>
        <v>2025</v>
      </c>
      <c r="G1279" s="100" t="str">
        <f t="shared" si="2"/>
        <v>12Des</v>
      </c>
      <c r="H1279" s="100" t="str">
        <f t="shared" si="3"/>
        <v>Senin</v>
      </c>
      <c r="I1279" s="97" t="s">
        <v>87</v>
      </c>
      <c r="J1279" s="97" t="s">
        <v>56</v>
      </c>
      <c r="K1279" s="97" t="s">
        <v>63</v>
      </c>
      <c r="L1279" s="101" t="s">
        <v>119</v>
      </c>
      <c r="M1279" s="102" t="str">
        <f>IFNA(VLOOKUP(L1279,'🙎‍♂️ Pasien'!G:V,2,FALSE),"")</f>
        <v>H4623015667</v>
      </c>
      <c r="N1279" s="103">
        <f>IFNA(VLOOKUP(L1279,'🙎‍♂️ Pasien'!G:L,3,FALSE),"")</f>
        <v>80</v>
      </c>
      <c r="O1279" s="104" t="str">
        <f>IFNA(VLOOKUP(L1279,'🙎‍♂️ Pasien'!G:V,6,FALSE),"")</f>
        <v>LAKI-LAKI</v>
      </c>
      <c r="P1279" s="104" t="str">
        <f>IFNA(VLOOKUP(L1279,'🙎‍♂️ Pasien'!G:V,12,FALSE),"")</f>
        <v>ISLAM</v>
      </c>
      <c r="Q1279" s="104" t="str">
        <f>IFNA(VLOOKUP(L1279:L1508,'🙎‍♂️ Pasien'!G:V,13,FALSE),"")</f>
        <v>PENSIUN</v>
      </c>
      <c r="R1279" s="104" t="str">
        <f t="array" ref="R1279">ifna(xlookup(L1279,'🙎‍♂️ Pasien'!$G$5:$G1508,'🙎‍♂️ Pasien'!$T$5:$T1508),"")</f>
        <v>STROKE</v>
      </c>
      <c r="S1279" s="104" t="str">
        <f t="array" ref="S1279">ifna(xlookup(L1279,'🙎‍♂️ Pasien'!$G$5:$G1508,'🙎‍♂️ Pasien'!$U$5:$U1508),"")</f>
        <v/>
      </c>
      <c r="T1279" s="97" t="s">
        <v>59</v>
      </c>
      <c r="U1279" s="105">
        <v>7.0</v>
      </c>
      <c r="V1279" s="101"/>
      <c r="W1279" s="106" t="b">
        <v>1</v>
      </c>
      <c r="X1279" s="107"/>
      <c r="Y1279" s="108"/>
    </row>
    <row r="1280" ht="22.5" customHeight="1">
      <c r="A1280" s="96"/>
      <c r="B1280" s="97" t="s">
        <v>85</v>
      </c>
      <c r="C1280" s="98" t="str">
        <f t="array" ref="C1280">IFNA(XLOOKUP(J1280,'⚙️ Pengaturan'!$H$5:$H1508,'⚙️ Pengaturan'!$I$5:$I1508),"")</f>
        <v>TIM A</v>
      </c>
      <c r="D1280" s="97" t="s">
        <v>86</v>
      </c>
      <c r="E1280" s="99">
        <v>46006.0</v>
      </c>
      <c r="F1280" s="100" t="str">
        <f t="shared" si="1"/>
        <v>2025</v>
      </c>
      <c r="G1280" s="100" t="str">
        <f t="shared" si="2"/>
        <v>12Des</v>
      </c>
      <c r="H1280" s="100" t="str">
        <f t="shared" si="3"/>
        <v>Senin</v>
      </c>
      <c r="I1280" s="97" t="s">
        <v>93</v>
      </c>
      <c r="J1280" s="97" t="s">
        <v>79</v>
      </c>
      <c r="K1280" s="97" t="s">
        <v>63</v>
      </c>
      <c r="L1280" s="101" t="s">
        <v>573</v>
      </c>
      <c r="M1280" s="102" t="str">
        <f>IFNA(VLOOKUP(L1280,'🙎‍♂️ Pasien'!G:V,2,FALSE),"")</f>
        <v>D0725113899</v>
      </c>
      <c r="N1280" s="103">
        <f>IFNA(VLOOKUP(L1280,'🙎‍♂️ Pasien'!G:L,3,FALSE),"")</f>
        <v>18</v>
      </c>
      <c r="O1280" s="104" t="str">
        <f>IFNA(VLOOKUP(L1280,'🙎‍♂️ Pasien'!G:V,6,FALSE),"")</f>
        <v>PEREMPUAN</v>
      </c>
      <c r="P1280" s="104" t="str">
        <f>IFNA(VLOOKUP(L1280,'🙎‍♂️ Pasien'!G:V,12,FALSE),"")</f>
        <v>PROTESTAN</v>
      </c>
      <c r="Q1280" s="104" t="str">
        <f>IFNA(VLOOKUP(L1280:L1508,'🙎‍♂️ Pasien'!G:V,13,FALSE),"")</f>
        <v>MAHASISWA</v>
      </c>
      <c r="R1280" s="104" t="str">
        <f t="array" ref="R1280">ifna(xlookup(L1280,'🙎‍♂️ Pasien'!$G$5:$G1508,'🙎‍♂️ Pasien'!$T$5:$T1508),"")</f>
        <v>KAKI X</v>
      </c>
      <c r="S1280" s="104" t="str">
        <f t="array" ref="S1280">ifna(xlookup(L1280,'🙎‍♂️ Pasien'!$G$5:$G1508,'🙎‍♂️ Pasien'!$U$5:$U1508),"")</f>
        <v>LARI</v>
      </c>
      <c r="T1280" s="97" t="s">
        <v>59</v>
      </c>
      <c r="U1280" s="105">
        <v>7.0</v>
      </c>
      <c r="V1280" s="101"/>
      <c r="W1280" s="106" t="b">
        <v>1</v>
      </c>
      <c r="X1280" s="107"/>
      <c r="Y1280" s="108"/>
    </row>
    <row r="1281" ht="22.5" customHeight="1">
      <c r="A1281" s="96"/>
      <c r="B1281" s="97" t="s">
        <v>85</v>
      </c>
      <c r="C1281" s="98" t="str">
        <f t="array" ref="C1281">IFNA(XLOOKUP(J1281,'⚙️ Pengaturan'!$H$5:$H1508,'⚙️ Pengaturan'!$I$5:$I1508),"")</f>
        <v>TIM A</v>
      </c>
      <c r="D1281" s="97" t="s">
        <v>86</v>
      </c>
      <c r="E1281" s="99">
        <v>46006.0</v>
      </c>
      <c r="F1281" s="100" t="str">
        <f t="shared" si="1"/>
        <v>2025</v>
      </c>
      <c r="G1281" s="100" t="str">
        <f t="shared" si="2"/>
        <v>12Des</v>
      </c>
      <c r="H1281" s="100" t="str">
        <f t="shared" si="3"/>
        <v>Senin</v>
      </c>
      <c r="I1281" s="97" t="s">
        <v>93</v>
      </c>
      <c r="J1281" s="97" t="s">
        <v>62</v>
      </c>
      <c r="K1281" s="97" t="s">
        <v>57</v>
      </c>
      <c r="L1281" s="101" t="s">
        <v>721</v>
      </c>
      <c r="M1281" s="102" t="str">
        <f>IFNA(VLOOKUP(L1281,'🙎‍♂️ Pasien'!G:V,2,FALSE),"")</f>
        <v>S1625067980</v>
      </c>
      <c r="N1281" s="103">
        <f>IFNA(VLOOKUP(L1281,'🙎‍♂️ Pasien'!G:L,3,FALSE),"")</f>
        <v>9</v>
      </c>
      <c r="O1281" s="104" t="str">
        <f>IFNA(VLOOKUP(L1281,'🙎‍♂️ Pasien'!G:V,6,FALSE),"")</f>
        <v>LAKI-LAKI</v>
      </c>
      <c r="P1281" s="104" t="str">
        <f>IFNA(VLOOKUP(L1281,'🙎‍♂️ Pasien'!G:V,12,FALSE),"")</f>
        <v>ISLAM</v>
      </c>
      <c r="Q1281" s="104" t="str">
        <f>IFNA(VLOOKUP(L1281:L1508,'🙎‍♂️ Pasien'!G:V,13,FALSE),"")</f>
        <v>PELAJAR</v>
      </c>
      <c r="R1281" s="104" t="str">
        <f t="array" ref="R1281">ifna(xlookup(L1281,'🙎‍♂️ Pasien'!$G$5:$G1508,'🙎‍♂️ Pasien'!$T$5:$T1508),"")</f>
        <v>NYERI ENGKEL KAKI</v>
      </c>
      <c r="S1281" s="104" t="str">
        <f t="array" ref="S1281">ifna(xlookup(L1281,'🙎‍♂️ Pasien'!$G$5:$G1508,'🙎‍♂️ Pasien'!$U$5:$U1508),"")</f>
        <v>SEPAKBOLA DAN FUTSAL</v>
      </c>
      <c r="T1281" s="97" t="s">
        <v>59</v>
      </c>
      <c r="U1281" s="105" t="s">
        <v>60</v>
      </c>
      <c r="V1281" s="101"/>
      <c r="W1281" s="106" t="b">
        <v>1</v>
      </c>
      <c r="X1281" s="107"/>
      <c r="Y1281" s="108"/>
    </row>
    <row r="1282" ht="22.5" customHeight="1">
      <c r="A1282" s="96"/>
      <c r="B1282" s="97" t="s">
        <v>85</v>
      </c>
      <c r="C1282" s="98" t="str">
        <f t="array" ref="C1282">IFNA(XLOOKUP(J1282,'⚙️ Pengaturan'!$H$5:$H1508,'⚙️ Pengaturan'!$I$5:$I1508),"")</f>
        <v>TIM A</v>
      </c>
      <c r="D1282" s="97" t="s">
        <v>86</v>
      </c>
      <c r="E1282" s="99">
        <v>46006.0</v>
      </c>
      <c r="F1282" s="100" t="str">
        <f t="shared" si="1"/>
        <v>2025</v>
      </c>
      <c r="G1282" s="100" t="str">
        <f t="shared" si="2"/>
        <v>12Des</v>
      </c>
      <c r="H1282" s="100" t="str">
        <f t="shared" si="3"/>
        <v>Senin</v>
      </c>
      <c r="I1282" s="97" t="s">
        <v>95</v>
      </c>
      <c r="J1282" s="97" t="s">
        <v>72</v>
      </c>
      <c r="K1282" s="97" t="s">
        <v>57</v>
      </c>
      <c r="L1282" s="101" t="s">
        <v>722</v>
      </c>
      <c r="M1282" s="102" t="str">
        <f>IFNA(VLOOKUP(L1282,'🙎‍♂️ Pasien'!G:V,2,FALSE),"")</f>
        <v>F6125128057</v>
      </c>
      <c r="N1282" s="103">
        <f>IFNA(VLOOKUP(L1282,'🙎‍♂️ Pasien'!G:L,3,FALSE),"")</f>
        <v>64</v>
      </c>
      <c r="O1282" s="104" t="str">
        <f>IFNA(VLOOKUP(L1282,'🙎‍♂️ Pasien'!G:V,6,FALSE),"")</f>
        <v>PEREMPUAN</v>
      </c>
      <c r="P1282" s="104" t="str">
        <f>IFNA(VLOOKUP(L1282,'🙎‍♂️ Pasien'!G:V,12,FALSE),"")</f>
        <v>ISLAM</v>
      </c>
      <c r="Q1282" s="104" t="str">
        <f>IFNA(VLOOKUP(L1282:L1508,'🙎‍♂️ Pasien'!G:V,13,FALSE),"")</f>
        <v>IRT</v>
      </c>
      <c r="R1282" s="104" t="str">
        <f t="array" ref="R1282">ifna(xlookup(L1282,'🙎‍♂️ Pasien'!$G$5:$G1508,'🙎‍♂️ Pasien'!$T$5:$T1508),"")</f>
        <v>SAKIT DI BAGIAN KAKI , AWAL KARNA SQUAT . SEMPAT SEMBUH . TRUS KEPELESET JADI KETRIGGER LAGI</v>
      </c>
      <c r="S1282" s="104" t="str">
        <f t="array" ref="S1282">ifna(xlookup(L1282,'🙎‍♂️ Pasien'!$G$5:$G1508,'🙎‍♂️ Pasien'!$U$5:$U1508),"")</f>
        <v>HANYA SUKA OLAHRAGA PAGI DIRUMAH</v>
      </c>
      <c r="T1282" s="97" t="s">
        <v>59</v>
      </c>
      <c r="U1282" s="105" t="s">
        <v>60</v>
      </c>
      <c r="V1282" s="101"/>
      <c r="W1282" s="106" t="b">
        <v>1</v>
      </c>
      <c r="X1282" s="107"/>
      <c r="Y1282" s="108"/>
    </row>
    <row r="1283" ht="22.5" customHeight="1">
      <c r="A1283" s="96"/>
      <c r="B1283" s="97" t="s">
        <v>85</v>
      </c>
      <c r="C1283" s="98" t="str">
        <f t="array" ref="C1283">IFNA(XLOOKUP(J1283,'⚙️ Pengaturan'!$H$5:$H1508,'⚙️ Pengaturan'!$I$5:$I1508),"")</f>
        <v>TIM A</v>
      </c>
      <c r="D1283" s="97" t="s">
        <v>86</v>
      </c>
      <c r="E1283" s="99">
        <v>46006.0</v>
      </c>
      <c r="F1283" s="100" t="str">
        <f t="shared" si="1"/>
        <v>2025</v>
      </c>
      <c r="G1283" s="100" t="str">
        <f t="shared" si="2"/>
        <v>12Des</v>
      </c>
      <c r="H1283" s="100" t="str">
        <f t="shared" si="3"/>
        <v>Senin</v>
      </c>
      <c r="I1283" s="97" t="s">
        <v>95</v>
      </c>
      <c r="J1283" s="97" t="s">
        <v>79</v>
      </c>
      <c r="K1283" s="97" t="s">
        <v>63</v>
      </c>
      <c r="L1283" s="101" t="s">
        <v>697</v>
      </c>
      <c r="M1283" s="102" t="str">
        <f>IFNA(VLOOKUP(L1283,'🙎‍♂️ Pasien'!G:V,2,FALSE),"")</f>
        <v>L6025128579</v>
      </c>
      <c r="N1283" s="103">
        <f>IFNA(VLOOKUP(L1283,'🙎‍♂️ Pasien'!G:L,3,FALSE),"")</f>
        <v>66</v>
      </c>
      <c r="O1283" s="104" t="str">
        <f>IFNA(VLOOKUP(L1283,'🙎‍♂️ Pasien'!G:V,6,FALSE),"")</f>
        <v>LAKI-LAKI</v>
      </c>
      <c r="P1283" s="104" t="str">
        <f>IFNA(VLOOKUP(L1283,'🙎‍♂️ Pasien'!G:V,12,FALSE),"")</f>
        <v>BUDDHA</v>
      </c>
      <c r="Q1283" s="104" t="str">
        <f>IFNA(VLOOKUP(L1283:L1508,'🙎‍♂️ Pasien'!G:V,13,FALSE),"")</f>
        <v>-</v>
      </c>
      <c r="R1283" s="104" t="str">
        <f t="array" ref="R1283">ifna(xlookup(L1283,'🙎‍♂️ Pasien'!$G$5:$G1508,'🙎‍♂️ Pasien'!$T$5:$T1508),"")</f>
        <v>BANTALAN ANTARA TULANG L5 DENGAN S1 GEPENG SEHINGGA PINGGAN TERASA SAKIT SAMPAI KAKI. TIDAK BISA BERDIRI LAMA DAN DUDUK LAMA. BERDIRI TIDAK BISA TEGAK. SUDAH BERLANGSUNG SELAMA 1 MINGGU. TELAH MELAKUKAN RADIOLOGI DAN KUNJUNGAN DOKTER SPELIASIS SARAF</v>
      </c>
      <c r="S1283" s="104" t="str">
        <f t="array" ref="S1283">ifna(xlookup(L1283,'🙎‍♂️ Pasien'!$G$5:$G1508,'🙎‍♂️ Pasien'!$U$5:$U1508),"")</f>
        <v>SERING MELAKUKAN PEKERJAAN YANG MEMBUTUHKAN POSISI BADAN BUNGKUK</v>
      </c>
      <c r="T1283" s="97" t="s">
        <v>59</v>
      </c>
      <c r="U1283" s="105">
        <v>1.0</v>
      </c>
      <c r="V1283" s="101"/>
      <c r="W1283" s="106" t="b">
        <v>1</v>
      </c>
      <c r="X1283" s="107"/>
      <c r="Y1283" s="108"/>
    </row>
    <row r="1284" ht="22.5" customHeight="1">
      <c r="A1284" s="96"/>
      <c r="B1284" s="97" t="s">
        <v>85</v>
      </c>
      <c r="C1284" s="98" t="str">
        <f t="array" ref="C1284">IFNA(XLOOKUP(J1284,'⚙️ Pengaturan'!$H$5:$H1508,'⚙️ Pengaturan'!$I$5:$I1508),"")</f>
        <v>TIM A</v>
      </c>
      <c r="D1284" s="97" t="s">
        <v>86</v>
      </c>
      <c r="E1284" s="99">
        <v>46006.0</v>
      </c>
      <c r="F1284" s="100" t="str">
        <f t="shared" si="1"/>
        <v>2025</v>
      </c>
      <c r="G1284" s="100" t="str">
        <f t="shared" si="2"/>
        <v>12Des</v>
      </c>
      <c r="H1284" s="100" t="str">
        <f t="shared" si="3"/>
        <v>Senin</v>
      </c>
      <c r="I1284" s="97" t="s">
        <v>97</v>
      </c>
      <c r="J1284" s="97" t="s">
        <v>62</v>
      </c>
      <c r="K1284" s="97" t="s">
        <v>63</v>
      </c>
      <c r="L1284" s="101" t="s">
        <v>709</v>
      </c>
      <c r="M1284" s="102" t="str">
        <f>IFNA(VLOOKUP(L1284,'🙎‍♂️ Pasien'!G:V,2,FALSE),"")</f>
        <v>C0325128008</v>
      </c>
      <c r="N1284" s="103">
        <f>IFNA(VLOOKUP(L1284,'🙎‍♂️ Pasien'!G:L,3,FALSE),"")</f>
        <v>23</v>
      </c>
      <c r="O1284" s="104" t="str">
        <f>IFNA(VLOOKUP(L1284,'🙎‍♂️ Pasien'!G:V,6,FALSE),"")</f>
        <v>PEREMPUAN</v>
      </c>
      <c r="P1284" s="104" t="str">
        <f>IFNA(VLOOKUP(L1284,'🙎‍♂️ Pasien'!G:V,12,FALSE),"")</f>
        <v>BUDDHA</v>
      </c>
      <c r="Q1284" s="104" t="str">
        <f>IFNA(VLOOKUP(L1284:L1508,'🙎‍♂️ Pasien'!G:V,13,FALSE),"")</f>
        <v>ADMIN</v>
      </c>
      <c r="R1284" s="104" t="str">
        <f t="array" ref="R1284">ifna(xlookup(L1284,'🙎‍♂️ Pasien'!$G$5:$G1508,'🙎‍♂️ Pasien'!$T$5:$T1508),"")</f>
        <v>SKOLIOSIS</v>
      </c>
      <c r="S1284" s="104" t="str">
        <f t="array" ref="S1284">ifna(xlookup(L1284,'🙎‍♂️ Pasien'!$G$5:$G1508,'🙎‍♂️ Pasien'!$U$5:$U1508),"")</f>
        <v>KERJA KANTORAN</v>
      </c>
      <c r="T1284" s="97" t="s">
        <v>59</v>
      </c>
      <c r="U1284" s="105">
        <v>1.0</v>
      </c>
      <c r="V1284" s="101"/>
      <c r="W1284" s="106" t="b">
        <v>1</v>
      </c>
      <c r="X1284" s="107"/>
      <c r="Y1284" s="108"/>
    </row>
    <row r="1285" ht="22.5" customHeight="1">
      <c r="A1285" s="96"/>
      <c r="B1285" s="97" t="s">
        <v>85</v>
      </c>
      <c r="C1285" s="98" t="str">
        <f t="array" ref="C1285">IFNA(XLOOKUP(J1285,'⚙️ Pengaturan'!$H$5:$H1508,'⚙️ Pengaturan'!$I$5:$I1508),"")</f>
        <v>TIM Y</v>
      </c>
      <c r="D1285" s="97" t="s">
        <v>86</v>
      </c>
      <c r="E1285" s="99">
        <v>46006.0</v>
      </c>
      <c r="F1285" s="100" t="str">
        <f t="shared" si="1"/>
        <v>2025</v>
      </c>
      <c r="G1285" s="100" t="str">
        <f t="shared" si="2"/>
        <v>12Des</v>
      </c>
      <c r="H1285" s="100" t="str">
        <f t="shared" si="3"/>
        <v>Senin</v>
      </c>
      <c r="I1285" s="97" t="s">
        <v>97</v>
      </c>
      <c r="J1285" s="97" t="s">
        <v>56</v>
      </c>
      <c r="K1285" s="97" t="s">
        <v>135</v>
      </c>
      <c r="L1285" s="101" t="s">
        <v>676</v>
      </c>
      <c r="M1285" s="102" t="str">
        <f>IFNA(VLOOKUP(L1285,'🙎‍♂️ Pasien'!G:V,2,FALSE),"")</f>
        <v>N8325126783</v>
      </c>
      <c r="N1285" s="103">
        <f>IFNA(VLOOKUP(L1285,'🙎‍♂️ Pasien'!G:L,3,FALSE),"")</f>
        <v>42</v>
      </c>
      <c r="O1285" s="104" t="str">
        <f>IFNA(VLOOKUP(L1285,'🙎‍♂️ Pasien'!G:V,6,FALSE),"")</f>
        <v>LAKI-LAKI</v>
      </c>
      <c r="P1285" s="104" t="str">
        <f>IFNA(VLOOKUP(L1285,'🙎‍♂️ Pasien'!G:V,12,FALSE),"")</f>
        <v>ISLAM</v>
      </c>
      <c r="Q1285" s="104" t="str">
        <f>IFNA(VLOOKUP(L1285:L1508,'🙎‍♂️ Pasien'!G:V,13,FALSE),"")</f>
        <v>PEGAWAI SWASTA</v>
      </c>
      <c r="R1285" s="104" t="str">
        <f t="array" ref="R1285">ifna(xlookup(L1285,'🙎‍♂️ Pasien'!$G$5:$G1508,'🙎‍♂️ Pasien'!$T$5:$T1508),"")</f>
        <v>NYERI LUTUT</v>
      </c>
      <c r="S1285" s="104" t="str">
        <f t="array" ref="S1285">ifna(xlookup(L1285,'🙎‍♂️ Pasien'!$G$5:$G1508,'🙎‍♂️ Pasien'!$U$5:$U1508),"")</f>
        <v>LARI, BADMINTON</v>
      </c>
      <c r="T1285" s="97" t="s">
        <v>67</v>
      </c>
      <c r="U1285" s="105" t="s">
        <v>60</v>
      </c>
      <c r="V1285" s="101" t="s">
        <v>305</v>
      </c>
      <c r="W1285" s="106" t="b">
        <v>1</v>
      </c>
      <c r="X1285" s="107"/>
      <c r="Y1285" s="108"/>
    </row>
    <row r="1286" ht="22.5" customHeight="1">
      <c r="A1286" s="96"/>
      <c r="B1286" s="97" t="s">
        <v>85</v>
      </c>
      <c r="C1286" s="98" t="str">
        <f t="array" ref="C1286">IFNA(XLOOKUP(J1286,'⚙️ Pengaturan'!$H$5:$H1508,'⚙️ Pengaturan'!$I$5:$I1508),"")</f>
        <v>TIM A</v>
      </c>
      <c r="D1286" s="97" t="s">
        <v>86</v>
      </c>
      <c r="E1286" s="99">
        <v>46006.0</v>
      </c>
      <c r="F1286" s="100" t="str">
        <f t="shared" si="1"/>
        <v>2025</v>
      </c>
      <c r="G1286" s="100" t="str">
        <f t="shared" si="2"/>
        <v>12Des</v>
      </c>
      <c r="H1286" s="100" t="str">
        <f t="shared" si="3"/>
        <v>Senin</v>
      </c>
      <c r="I1286" s="97" t="s">
        <v>97</v>
      </c>
      <c r="J1286" s="97" t="s">
        <v>79</v>
      </c>
      <c r="K1286" s="97" t="s">
        <v>57</v>
      </c>
      <c r="L1286" s="101" t="s">
        <v>723</v>
      </c>
      <c r="M1286" s="102" t="str">
        <f>IFNA(VLOOKUP(L1286,'🙎‍♂️ Pasien'!G:V,2,FALSE),"")</f>
        <v>R1325123120</v>
      </c>
      <c r="N1286" s="103">
        <f>IFNA(VLOOKUP(L1286,'🙎‍♂️ Pasien'!G:L,3,FALSE),"")</f>
        <v>12</v>
      </c>
      <c r="O1286" s="104" t="str">
        <f>IFNA(VLOOKUP(L1286,'🙎‍♂️ Pasien'!G:V,6,FALSE),"")</f>
        <v>LAKI-LAKI</v>
      </c>
      <c r="P1286" s="104" t="str">
        <f>IFNA(VLOOKUP(L1286,'🙎‍♂️ Pasien'!G:V,12,FALSE),"")</f>
        <v>ISLAM</v>
      </c>
      <c r="Q1286" s="104" t="str">
        <f>IFNA(VLOOKUP(L1286:L1508,'🙎‍♂️ Pasien'!G:V,13,FALSE),"")</f>
        <v>-</v>
      </c>
      <c r="R1286" s="104" t="str">
        <f t="array" ref="R1286">ifna(xlookup(L1286,'🙎‍♂️ Pasien'!$G$5:$G1508,'🙎‍♂️ Pasien'!$T$5:$T1508),"")</f>
        <v>KAKI</v>
      </c>
      <c r="S1286" s="104" t="str">
        <f t="array" ref="S1286">ifna(xlookup(L1286,'🙎‍♂️ Pasien'!$G$5:$G1508,'🙎‍♂️ Pasien'!$U$5:$U1508),"")</f>
        <v>-</v>
      </c>
      <c r="T1286" s="97" t="s">
        <v>59</v>
      </c>
      <c r="U1286" s="105" t="s">
        <v>60</v>
      </c>
      <c r="V1286" s="101"/>
      <c r="W1286" s="106" t="b">
        <v>1</v>
      </c>
      <c r="X1286" s="107"/>
      <c r="Y1286" s="108"/>
    </row>
    <row r="1287" ht="22.5" customHeight="1">
      <c r="A1287" s="96"/>
      <c r="B1287" s="97" t="s">
        <v>85</v>
      </c>
      <c r="C1287" s="98" t="str">
        <f t="array" ref="C1287">IFNA(XLOOKUP(J1287,'⚙️ Pengaturan'!$H$5:$H1508,'⚙️ Pengaturan'!$I$5:$I1508),"")</f>
        <v>TIM Y</v>
      </c>
      <c r="D1287" s="97" t="s">
        <v>86</v>
      </c>
      <c r="E1287" s="99">
        <v>46006.0</v>
      </c>
      <c r="F1287" s="100" t="str">
        <f t="shared" si="1"/>
        <v>2025</v>
      </c>
      <c r="G1287" s="100" t="str">
        <f t="shared" si="2"/>
        <v>12Des</v>
      </c>
      <c r="H1287" s="100" t="str">
        <f t="shared" si="3"/>
        <v>Senin</v>
      </c>
      <c r="I1287" s="97" t="s">
        <v>99</v>
      </c>
      <c r="J1287" s="97" t="s">
        <v>56</v>
      </c>
      <c r="K1287" s="97" t="s">
        <v>63</v>
      </c>
      <c r="L1287" s="101" t="s">
        <v>609</v>
      </c>
      <c r="M1287" s="102" t="str">
        <f>IFNA(VLOOKUP(L1287,'🙎‍♂️ Pasien'!G:V,2,FALSE),"")</f>
        <v>A5125112484</v>
      </c>
      <c r="N1287" s="103">
        <f>IFNA(VLOOKUP(L1287,'🙎‍♂️ Pasien'!G:L,3,FALSE),"")</f>
        <v>74</v>
      </c>
      <c r="O1287" s="104" t="str">
        <f>IFNA(VLOOKUP(L1287,'🙎‍♂️ Pasien'!G:V,6,FALSE),"")</f>
        <v>LAKI-LAKI</v>
      </c>
      <c r="P1287" s="104" t="str">
        <f>IFNA(VLOOKUP(L1287,'🙎‍♂️ Pasien'!G:V,12,FALSE),"")</f>
        <v>ISLAM</v>
      </c>
      <c r="Q1287" s="104" t="str">
        <f>IFNA(VLOOKUP(L1287:L1508,'🙎‍♂️ Pasien'!G:V,13,FALSE),"")</f>
        <v>PETANI</v>
      </c>
      <c r="R1287" s="104" t="str">
        <f t="array" ref="R1287">ifna(xlookup(L1287,'🙎‍♂️ Pasien'!$G$5:$G1508,'🙎‍♂️ Pasien'!$T$5:$T1508),"")</f>
        <v>NYERI DARI PAHA SAMPAI TELAPAK KAKI, STOKE SEBELAH KIRI SEJAK DUA BULAN LALU</v>
      </c>
      <c r="S1287" s="104" t="str">
        <f t="array" ref="S1287">ifna(xlookup(L1287,'🙎‍♂️ Pasien'!$G$5:$G1508,'🙎‍♂️ Pasien'!$U$5:$U1508),"")</f>
        <v>PEROKOK, NGOPI, SUKA MINUM MANIS MANIS</v>
      </c>
      <c r="T1287" s="97" t="s">
        <v>59</v>
      </c>
      <c r="U1287" s="105">
        <v>5.0</v>
      </c>
      <c r="V1287" s="101"/>
      <c r="W1287" s="106" t="b">
        <v>1</v>
      </c>
      <c r="X1287" s="107"/>
      <c r="Y1287" s="108"/>
    </row>
    <row r="1288" ht="22.5" customHeight="1">
      <c r="A1288" s="96"/>
      <c r="B1288" s="97" t="s">
        <v>53</v>
      </c>
      <c r="C1288" s="98" t="str">
        <f t="array" ref="C1288">IFNA(XLOOKUP(J1288,'⚙️ Pengaturan'!$H$5:$H1508,'⚙️ Pengaturan'!$I$5:$I1508),"")</f>
        <v>TIM Y</v>
      </c>
      <c r="D1288" s="97" t="s">
        <v>86</v>
      </c>
      <c r="E1288" s="99">
        <v>46007.0</v>
      </c>
      <c r="F1288" s="100" t="str">
        <f t="shared" si="1"/>
        <v>2025</v>
      </c>
      <c r="G1288" s="100" t="str">
        <f t="shared" si="2"/>
        <v>12Des</v>
      </c>
      <c r="H1288" s="100" t="str">
        <f t="shared" si="3"/>
        <v>Selasa</v>
      </c>
      <c r="I1288" s="97" t="s">
        <v>55</v>
      </c>
      <c r="J1288" s="97" t="s">
        <v>56</v>
      </c>
      <c r="K1288" s="97" t="s">
        <v>63</v>
      </c>
      <c r="L1288" s="101" t="s">
        <v>627</v>
      </c>
      <c r="M1288" s="102" t="str">
        <f>IFNA(VLOOKUP(L1288,'🙎‍♂️ Pasien'!G:V,2,FALSE),"")</f>
        <v>W8825126959</v>
      </c>
      <c r="N1288" s="103">
        <f>IFNA(VLOOKUP(L1288,'🙎‍♂️ Pasien'!G:L,3,FALSE),"")</f>
        <v>37</v>
      </c>
      <c r="O1288" s="104" t="str">
        <f>IFNA(VLOOKUP(L1288,'🙎‍♂️ Pasien'!G:V,6,FALSE),"")</f>
        <v>LAKI-LAKI</v>
      </c>
      <c r="P1288" s="104" t="str">
        <f>IFNA(VLOOKUP(L1288,'🙎‍♂️ Pasien'!G:V,12,FALSE),"")</f>
        <v>ISLAM</v>
      </c>
      <c r="Q1288" s="104" t="str">
        <f>IFNA(VLOOKUP(L1288:L1508,'🙎‍♂️ Pasien'!G:V,13,FALSE),"")</f>
        <v>WIRASWASTA</v>
      </c>
      <c r="R1288" s="104" t="str">
        <f t="array" ref="R1288">ifna(xlookup(L1288,'🙎‍♂️ Pasien'!$G$5:$G1508,'🙎‍♂️ Pasien'!$T$5:$T1508),"")</f>
        <v>PINGGANG</v>
      </c>
      <c r="S1288" s="104" t="str">
        <f t="array" ref="S1288">ifna(xlookup(L1288,'🙎‍♂️ Pasien'!$G$5:$G1508,'🙎‍♂️ Pasien'!$U$5:$U1508),"")</f>
        <v>-</v>
      </c>
      <c r="T1288" s="97" t="s">
        <v>59</v>
      </c>
      <c r="U1288" s="105">
        <v>6.0</v>
      </c>
      <c r="V1288" s="101"/>
      <c r="W1288" s="106" t="b">
        <v>1</v>
      </c>
      <c r="X1288" s="107"/>
      <c r="Y1288" s="108"/>
    </row>
    <row r="1289" ht="22.5" customHeight="1">
      <c r="A1289" s="96"/>
      <c r="B1289" s="97" t="s">
        <v>53</v>
      </c>
      <c r="C1289" s="98" t="str">
        <f t="array" ref="C1289">IFNA(XLOOKUP(J1289,'⚙️ Pengaturan'!$H$5:$H1508,'⚙️ Pengaturan'!$I$5:$I1508),"")</f>
        <v>TIM Y</v>
      </c>
      <c r="D1289" s="97" t="s">
        <v>86</v>
      </c>
      <c r="E1289" s="99">
        <v>46007.0</v>
      </c>
      <c r="F1289" s="100" t="str">
        <f t="shared" si="1"/>
        <v>2025</v>
      </c>
      <c r="G1289" s="100" t="str">
        <f t="shared" si="2"/>
        <v>12Des</v>
      </c>
      <c r="H1289" s="100" t="str">
        <f t="shared" si="3"/>
        <v>Selasa</v>
      </c>
      <c r="I1289" s="97" t="s">
        <v>65</v>
      </c>
      <c r="J1289" s="97" t="s">
        <v>56</v>
      </c>
      <c r="K1289" s="97" t="s">
        <v>69</v>
      </c>
      <c r="L1289" s="101" t="s">
        <v>693</v>
      </c>
      <c r="M1289" s="102" t="str">
        <f>IFNA(VLOOKUP(L1289,'🙎‍♂️ Pasien'!G:V,2,FALSE),"")</f>
        <v>A6825060057</v>
      </c>
      <c r="N1289" s="103">
        <f>IFNA(VLOOKUP(L1289,'🙎‍♂️ Pasien'!G:L,3,FALSE),"")</f>
        <v>58</v>
      </c>
      <c r="O1289" s="104" t="str">
        <f>IFNA(VLOOKUP(L1289,'🙎‍♂️ Pasien'!G:V,6,FALSE),"")</f>
        <v>LAKI-LAKI</v>
      </c>
      <c r="P1289" s="104" t="str">
        <f>IFNA(VLOOKUP(L1289,'🙎‍♂️ Pasien'!G:V,12,FALSE),"")</f>
        <v>ISLAM</v>
      </c>
      <c r="Q1289" s="104" t="str">
        <f>IFNA(VLOOKUP(L1289:L1508,'🙎‍♂️ Pasien'!G:V,13,FALSE),"")</f>
        <v>PENSIUNAN</v>
      </c>
      <c r="R1289" s="104" t="str">
        <f t="array" ref="R1289">ifna(xlookup(L1289,'🙎‍♂️ Pasien'!$G$5:$G1508,'🙎‍♂️ Pasien'!$T$5:$T1508),"")</f>
        <v>NYERI DITUMIT DAN UJUNG TELAPAK KAKI</v>
      </c>
      <c r="S1289" s="104" t="str">
        <f t="array" ref="S1289">ifna(xlookup(L1289,'🙎‍♂️ Pasien'!$G$5:$G1508,'🙎‍♂️ Pasien'!$U$5:$U1508),"")</f>
        <v>FITNES</v>
      </c>
      <c r="T1289" s="97" t="s">
        <v>59</v>
      </c>
      <c r="U1289" s="105" t="s">
        <v>60</v>
      </c>
      <c r="V1289" s="101"/>
      <c r="W1289" s="106" t="b">
        <v>1</v>
      </c>
      <c r="X1289" s="107"/>
      <c r="Y1289" s="108"/>
    </row>
    <row r="1290" ht="22.5" customHeight="1">
      <c r="A1290" s="96"/>
      <c r="B1290" s="97" t="s">
        <v>53</v>
      </c>
      <c r="C1290" s="98" t="str">
        <f t="array" ref="C1290">IFNA(XLOOKUP(J1290,'⚙️ Pengaturan'!$H$5:$H1508,'⚙️ Pengaturan'!$I$5:$I1508),"")</f>
        <v>MANAJEMEN</v>
      </c>
      <c r="D1290" s="97" t="s">
        <v>86</v>
      </c>
      <c r="E1290" s="99">
        <v>46007.0</v>
      </c>
      <c r="F1290" s="100" t="str">
        <f t="shared" si="1"/>
        <v>2025</v>
      </c>
      <c r="G1290" s="100" t="str">
        <f t="shared" si="2"/>
        <v>12Des</v>
      </c>
      <c r="H1290" s="100" t="str">
        <f t="shared" si="3"/>
        <v>Selasa</v>
      </c>
      <c r="I1290" s="97" t="s">
        <v>74</v>
      </c>
      <c r="J1290" s="97" t="s">
        <v>101</v>
      </c>
      <c r="K1290" s="97" t="s">
        <v>63</v>
      </c>
      <c r="L1290" s="101" t="s">
        <v>161</v>
      </c>
      <c r="M1290" s="102" t="str">
        <f>IFNA(VLOOKUP(L1290,'🙎‍♂️ Pasien'!G:V,2,FALSE),"")</f>
        <v>A9224038209</v>
      </c>
      <c r="N1290" s="103">
        <f>IFNA(VLOOKUP(L1290,'🙎‍♂️ Pasien'!G:L,3,FALSE),"")</f>
        <v>33</v>
      </c>
      <c r="O1290" s="104" t="str">
        <f>IFNA(VLOOKUP(L1290,'🙎‍♂️ Pasien'!G:V,6,FALSE),"")</f>
        <v>PEREMPUAN</v>
      </c>
      <c r="P1290" s="104" t="str">
        <f>IFNA(VLOOKUP(L1290,'🙎‍♂️ Pasien'!G:V,12,FALSE),"")</f>
        <v>KATOLIK</v>
      </c>
      <c r="Q1290" s="104" t="str">
        <f>IFNA(VLOOKUP(L1290:L1508,'🙎‍♂️ Pasien'!G:V,13,FALSE),"")</f>
        <v>SWASTA</v>
      </c>
      <c r="R1290" s="104" t="str">
        <f t="array" ref="R1290">ifna(xlookup(L1290,'🙎‍♂️ Pasien'!$G$5:$G1508,'🙎‍♂️ Pasien'!$T$5:$T1508),"")</f>
        <v>Kaki kiri sakit, bahu dan punggung kiri sakit, leher agak bungkuk</v>
      </c>
      <c r="S1290" s="104" t="str">
        <f t="array" ref="S1290">ifna(xlookup(L1290,'🙎‍♂️ Pasien'!$G$5:$G1508,'🙎‍♂️ Pasien'!$U$5:$U1508),"")</f>
        <v>Olahraga, kerja, dan mengurus anak</v>
      </c>
      <c r="T1290" s="97" t="s">
        <v>59</v>
      </c>
      <c r="U1290" s="105">
        <v>2.0</v>
      </c>
      <c r="V1290" s="101" t="s">
        <v>633</v>
      </c>
      <c r="W1290" s="106" t="b">
        <v>1</v>
      </c>
      <c r="X1290" s="107"/>
      <c r="Y1290" s="108"/>
    </row>
    <row r="1291" ht="22.5" customHeight="1">
      <c r="A1291" s="96"/>
      <c r="B1291" s="97" t="s">
        <v>53</v>
      </c>
      <c r="C1291" s="98" t="str">
        <f t="array" ref="C1291">IFNA(XLOOKUP(J1291,'⚙️ Pengaturan'!$H$5:$H1508,'⚙️ Pengaturan'!$I$5:$I1508),"")</f>
        <v>MANAJEMEN</v>
      </c>
      <c r="D1291" s="97" t="s">
        <v>86</v>
      </c>
      <c r="E1291" s="99">
        <v>46007.0</v>
      </c>
      <c r="F1291" s="100" t="str">
        <f t="shared" si="1"/>
        <v>2025</v>
      </c>
      <c r="G1291" s="100" t="str">
        <f t="shared" si="2"/>
        <v>12Des</v>
      </c>
      <c r="H1291" s="100" t="str">
        <f t="shared" si="3"/>
        <v>Selasa</v>
      </c>
      <c r="I1291" s="97" t="s">
        <v>74</v>
      </c>
      <c r="J1291" s="97" t="s">
        <v>81</v>
      </c>
      <c r="K1291" s="97" t="s">
        <v>57</v>
      </c>
      <c r="L1291" s="101" t="s">
        <v>724</v>
      </c>
      <c r="M1291" s="102" t="str">
        <f>IFNA(VLOOKUP(L1291,'🙎‍♂️ Pasien'!G:V,2,FALSE),"")</f>
        <v>E9725120876</v>
      </c>
      <c r="N1291" s="103">
        <f>IFNA(VLOOKUP(L1291,'🙎‍♂️ Pasien'!G:L,3,FALSE),"")</f>
        <v>28</v>
      </c>
      <c r="O1291" s="104" t="str">
        <f>IFNA(VLOOKUP(L1291,'🙎‍♂️ Pasien'!G:V,6,FALSE),"")</f>
        <v>PEREMPUAN</v>
      </c>
      <c r="P1291" s="104" t="str">
        <f>IFNA(VLOOKUP(L1291,'🙎‍♂️ Pasien'!G:V,12,FALSE),"")</f>
        <v>KATOLIK</v>
      </c>
      <c r="Q1291" s="104" t="str">
        <f>IFNA(VLOOKUP(L1291:L1508,'🙎‍♂️ Pasien'!G:V,13,FALSE),"")</f>
        <v>GURU TODDLER</v>
      </c>
      <c r="R1291" s="104" t="str">
        <f t="array" ref="R1291">ifna(xlookup(L1291,'🙎‍♂️ Pasien'!$G$5:$G1508,'🙎‍♂️ Pasien'!$T$5:$T1508),"")</f>
        <v>SALAH TIDOK SM SAKIT PINGGANG</v>
      </c>
      <c r="S1291" s="104" t="str">
        <f t="array" ref="S1291">ifna(xlookup(L1291,'🙎‍♂️ Pasien'!$G$5:$G1508,'🙎‍♂️ Pasien'!$U$5:$U1508),"")</f>
        <v>SKOLIOSIS DIE</v>
      </c>
      <c r="T1291" s="97" t="s">
        <v>59</v>
      </c>
      <c r="U1291" s="105" t="s">
        <v>60</v>
      </c>
      <c r="V1291" s="101"/>
      <c r="W1291" s="106" t="b">
        <v>1</v>
      </c>
      <c r="X1291" s="107"/>
      <c r="Y1291" s="108"/>
    </row>
    <row r="1292" ht="22.5" customHeight="1">
      <c r="A1292" s="96"/>
      <c r="B1292" s="97" t="s">
        <v>53</v>
      </c>
      <c r="C1292" s="98" t="str">
        <f t="array" ref="C1292">IFNA(XLOOKUP(J1292,'⚙️ Pengaturan'!$H$5:$H1508,'⚙️ Pengaturan'!$I$5:$I1508),"")</f>
        <v>TIM Y</v>
      </c>
      <c r="D1292" s="97" t="s">
        <v>86</v>
      </c>
      <c r="E1292" s="99">
        <v>46007.0</v>
      </c>
      <c r="F1292" s="100" t="str">
        <f t="shared" si="1"/>
        <v>2025</v>
      </c>
      <c r="G1292" s="100" t="str">
        <f t="shared" si="2"/>
        <v>12Des</v>
      </c>
      <c r="H1292" s="100" t="str">
        <f t="shared" si="3"/>
        <v>Selasa</v>
      </c>
      <c r="I1292" s="97" t="s">
        <v>74</v>
      </c>
      <c r="J1292" s="97" t="s">
        <v>56</v>
      </c>
      <c r="K1292" s="97" t="s">
        <v>69</v>
      </c>
      <c r="L1292" s="101" t="s">
        <v>160</v>
      </c>
      <c r="M1292" s="102" t="str">
        <f>IFNA(VLOOKUP(L1292,'🙎‍♂️ Pasien'!G:V,2,FALSE),"")</f>
        <v>S7625091177</v>
      </c>
      <c r="N1292" s="103">
        <f>IFNA(VLOOKUP(L1292,'🙎‍♂️ Pasien'!G:L,3,FALSE),"")</f>
        <v>49</v>
      </c>
      <c r="O1292" s="104" t="str">
        <f>IFNA(VLOOKUP(L1292,'🙎‍♂️ Pasien'!G:V,6,FALSE),"")</f>
        <v>LAKI-LAKI</v>
      </c>
      <c r="P1292" s="104" t="str">
        <f>IFNA(VLOOKUP(L1292,'🙎‍♂️ Pasien'!G:V,12,FALSE),"")</f>
        <v>ISLAM</v>
      </c>
      <c r="Q1292" s="104" t="str">
        <f>IFNA(VLOOKUP(L1292:L1508,'🙎‍♂️ Pasien'!G:V,13,FALSE),"")</f>
        <v>WIRASWASTA</v>
      </c>
      <c r="R1292" s="104" t="str">
        <f t="array" ref="R1292">ifna(xlookup(L1292,'🙎‍♂️ Pasien'!$G$5:$G1508,'🙎‍♂️ Pasien'!$T$5:$T1508),"")</f>
        <v>CEDERA LUTUT</v>
      </c>
      <c r="S1292" s="104" t="str">
        <f t="array" ref="S1292">ifna(xlookup(L1292,'🙎‍♂️ Pasien'!$G$5:$G1508,'🙎‍♂️ Pasien'!$U$5:$U1508),"")</f>
        <v>MAIN BADMINTON</v>
      </c>
      <c r="T1292" s="97" t="s">
        <v>59</v>
      </c>
      <c r="U1292" s="105" t="s">
        <v>60</v>
      </c>
      <c r="V1292" s="101"/>
      <c r="W1292" s="106" t="b">
        <v>1</v>
      </c>
      <c r="X1292" s="107"/>
      <c r="Y1292" s="108"/>
    </row>
    <row r="1293" ht="22.5" customHeight="1">
      <c r="A1293" s="96"/>
      <c r="B1293" s="97" t="s">
        <v>53</v>
      </c>
      <c r="C1293" s="98" t="str">
        <f t="array" ref="C1293">IFNA(XLOOKUP(J1293,'⚙️ Pengaturan'!$H$5:$H1508,'⚙️ Pengaturan'!$I$5:$I1508),"")</f>
        <v>MANAJEMEN</v>
      </c>
      <c r="D1293" s="97" t="s">
        <v>86</v>
      </c>
      <c r="E1293" s="99">
        <v>46007.0</v>
      </c>
      <c r="F1293" s="100" t="str">
        <f t="shared" si="1"/>
        <v>2025</v>
      </c>
      <c r="G1293" s="100" t="str">
        <f t="shared" si="2"/>
        <v>12Des</v>
      </c>
      <c r="H1293" s="100" t="str">
        <f t="shared" si="3"/>
        <v>Selasa</v>
      </c>
      <c r="I1293" s="97" t="s">
        <v>76</v>
      </c>
      <c r="J1293" s="97" t="s">
        <v>81</v>
      </c>
      <c r="K1293" s="97" t="s">
        <v>57</v>
      </c>
      <c r="L1293" s="101" t="s">
        <v>725</v>
      </c>
      <c r="M1293" s="102" t="str">
        <f>IFNA(VLOOKUP(L1293,'🙎‍♂️ Pasien'!G:V,2,FALSE),"")</f>
        <v>A9226023219</v>
      </c>
      <c r="N1293" s="103">
        <f>IFNA(VLOOKUP(L1293,'🙎‍♂️ Pasien'!G:L,3,FALSE),"")</f>
        <v>33</v>
      </c>
      <c r="O1293" s="104" t="str">
        <f>IFNA(VLOOKUP(L1293,'🙎‍♂️ Pasien'!G:V,6,FALSE),"")</f>
        <v>LAKI-LAKI</v>
      </c>
      <c r="P1293" s="104" t="str">
        <f>IFNA(VLOOKUP(L1293,'🙎‍♂️ Pasien'!G:V,12,FALSE),"")</f>
        <v>KATOLIK</v>
      </c>
      <c r="Q1293" s="104" t="str">
        <f>IFNA(VLOOKUP(L1293:L1508,'🙎‍♂️ Pasien'!G:V,13,FALSE),"")</f>
        <v>WIRASWASTA</v>
      </c>
      <c r="R1293" s="104" t="str">
        <f t="array" ref="R1293">ifna(xlookup(L1293,'🙎‍♂️ Pasien'!$G$5:$G1508,'🙎‍♂️ Pasien'!$T$5:$T1508),"")</f>
        <v>SAKIT PUNDAK </v>
      </c>
      <c r="S1293" s="104" t="str">
        <f t="array" ref="S1293">ifna(xlookup(L1293,'🙎‍♂️ Pasien'!$G$5:$G1508,'🙎‍♂️ Pasien'!$U$5:$U1508),"")</f>
        <v>BASKET GENDONG ANAK</v>
      </c>
      <c r="T1293" s="97" t="s">
        <v>59</v>
      </c>
      <c r="U1293" s="105" t="s">
        <v>60</v>
      </c>
      <c r="V1293" s="101" t="s">
        <v>633</v>
      </c>
      <c r="W1293" s="106" t="b">
        <v>1</v>
      </c>
      <c r="X1293" s="107"/>
      <c r="Y1293" s="108"/>
    </row>
    <row r="1294" ht="22.5" customHeight="1">
      <c r="A1294" s="96"/>
      <c r="B1294" s="97" t="s">
        <v>53</v>
      </c>
      <c r="C1294" s="98" t="str">
        <f t="array" ref="C1294">IFNA(XLOOKUP(J1294,'⚙️ Pengaturan'!$H$5:$H1508,'⚙️ Pengaturan'!$I$5:$I1508),"")</f>
        <v>TIM A</v>
      </c>
      <c r="D1294" s="97" t="s">
        <v>86</v>
      </c>
      <c r="E1294" s="99">
        <v>46007.0</v>
      </c>
      <c r="F1294" s="100" t="str">
        <f t="shared" si="1"/>
        <v>2025</v>
      </c>
      <c r="G1294" s="100" t="str">
        <f t="shared" si="2"/>
        <v>12Des</v>
      </c>
      <c r="H1294" s="100" t="str">
        <f t="shared" si="3"/>
        <v>Selasa</v>
      </c>
      <c r="I1294" s="97" t="s">
        <v>76</v>
      </c>
      <c r="J1294" s="97" t="s">
        <v>62</v>
      </c>
      <c r="K1294" s="97" t="s">
        <v>63</v>
      </c>
      <c r="L1294" s="101" t="s">
        <v>624</v>
      </c>
      <c r="M1294" s="102" t="str">
        <f>IFNA(VLOOKUP(L1294,'🙎‍♂️ Pasien'!G:V,2,FALSE),"")</f>
        <v>M0525128789</v>
      </c>
      <c r="N1294" s="103">
        <f>IFNA(VLOOKUP(L1294,'🙎‍♂️ Pasien'!G:L,3,FALSE),"")</f>
        <v>21</v>
      </c>
      <c r="O1294" s="104" t="str">
        <f>IFNA(VLOOKUP(L1294,'🙎‍♂️ Pasien'!G:V,6,FALSE),"")</f>
        <v>PEREMPUAN</v>
      </c>
      <c r="P1294" s="104" t="str">
        <f>IFNA(VLOOKUP(L1294,'🙎‍♂️ Pasien'!G:V,12,FALSE),"")</f>
        <v>ISLAM</v>
      </c>
      <c r="Q1294" s="104" t="str">
        <f>IFNA(VLOOKUP(L1294:L1508,'🙎‍♂️ Pasien'!G:V,13,FALSE),"")</f>
        <v>MAHASISWA</v>
      </c>
      <c r="R1294" s="104" t="str">
        <f t="array" ref="R1294">ifna(xlookup(L1294,'🙎‍♂️ Pasien'!$G$5:$G1508,'🙎‍♂️ Pasien'!$T$5:$T1508),"")</f>
        <v>LUTUT SEPERTI TERKUNCI</v>
      </c>
      <c r="S1294" s="104" t="str">
        <f t="array" ref="S1294">ifna(xlookup(L1294,'🙎‍♂️ Pasien'!$G$5:$G1508,'🙎‍♂️ Pasien'!$U$5:$U1508),"")</f>
        <v>KULIAH</v>
      </c>
      <c r="T1294" s="97" t="s">
        <v>59</v>
      </c>
      <c r="U1294" s="105">
        <v>4.0</v>
      </c>
      <c r="V1294" s="101"/>
      <c r="W1294" s="106" t="b">
        <v>1</v>
      </c>
      <c r="X1294" s="107"/>
      <c r="Y1294" s="108"/>
    </row>
    <row r="1295" ht="22.5" customHeight="1">
      <c r="A1295" s="96"/>
      <c r="B1295" s="97" t="s">
        <v>53</v>
      </c>
      <c r="C1295" s="98" t="str">
        <f t="array" ref="C1295">IFNA(XLOOKUP(J1295,'⚙️ Pengaturan'!$H$5:$H1508,'⚙️ Pengaturan'!$I$5:$I1508),"")</f>
        <v>TIM A</v>
      </c>
      <c r="D1295" s="97" t="s">
        <v>86</v>
      </c>
      <c r="E1295" s="99">
        <v>46007.0</v>
      </c>
      <c r="F1295" s="100" t="str">
        <f t="shared" si="1"/>
        <v>2025</v>
      </c>
      <c r="G1295" s="100" t="str">
        <f t="shared" si="2"/>
        <v>12Des</v>
      </c>
      <c r="H1295" s="100" t="str">
        <f t="shared" si="3"/>
        <v>Selasa</v>
      </c>
      <c r="I1295" s="97" t="s">
        <v>83</v>
      </c>
      <c r="J1295" s="97" t="s">
        <v>62</v>
      </c>
      <c r="K1295" s="97" t="s">
        <v>63</v>
      </c>
      <c r="L1295" s="101" t="s">
        <v>149</v>
      </c>
      <c r="M1295" s="102" t="str">
        <f>IFNA(VLOOKUP(L1295,'🙎‍♂️ Pasien'!G:V,2,FALSE),"")</f>
        <v>S9825058991</v>
      </c>
      <c r="N1295" s="103">
        <f>IFNA(VLOOKUP(L1295,'🙎‍♂️ Pasien'!G:L,3,FALSE),"")</f>
        <v>27</v>
      </c>
      <c r="O1295" s="104" t="str">
        <f>IFNA(VLOOKUP(L1295,'🙎‍♂️ Pasien'!G:V,6,FALSE),"")</f>
        <v>PEREMPUAN</v>
      </c>
      <c r="P1295" s="104" t="str">
        <f>IFNA(VLOOKUP(L1295,'🙎‍♂️ Pasien'!G:V,12,FALSE),"")</f>
        <v>ISLAM</v>
      </c>
      <c r="Q1295" s="104" t="str">
        <f>IFNA(VLOOKUP(L1295:L1508,'🙎‍♂️ Pasien'!G:V,13,FALSE),"")</f>
        <v>SWASTA</v>
      </c>
      <c r="R1295" s="104" t="str">
        <f t="array" ref="R1295">ifna(xlookup(L1295,'🙎‍♂️ Pasien'!$G$5:$G1508,'🙎‍♂️ Pasien'!$T$5:$T1508),"")</f>
        <v>HNP LUMBAL/SARAF KEJEPIT</v>
      </c>
      <c r="S1295" s="104" t="str">
        <f t="array" ref="S1295">ifna(xlookup(L1295,'🙎‍♂️ Pasien'!$G$5:$G1508,'🙎‍♂️ Pasien'!$U$5:$U1508),"")</f>
        <v>BEKERJA KANTORAN</v>
      </c>
      <c r="T1295" s="97" t="s">
        <v>59</v>
      </c>
      <c r="U1295" s="105">
        <v>3.0</v>
      </c>
      <c r="V1295" s="101"/>
      <c r="W1295" s="106" t="b">
        <v>1</v>
      </c>
      <c r="X1295" s="107"/>
      <c r="Y1295" s="108"/>
    </row>
    <row r="1296" ht="22.5" customHeight="1">
      <c r="A1296" s="96"/>
      <c r="B1296" s="97" t="s">
        <v>85</v>
      </c>
      <c r="C1296" s="98" t="str">
        <f t="array" ref="C1296">IFNA(XLOOKUP(J1296,'⚙️ Pengaturan'!$H$5:$H1508,'⚙️ Pengaturan'!$I$5:$I1508),"")</f>
        <v>TIM Y</v>
      </c>
      <c r="D1296" s="97" t="s">
        <v>54</v>
      </c>
      <c r="E1296" s="99">
        <v>46007.0</v>
      </c>
      <c r="F1296" s="100" t="str">
        <f t="shared" si="1"/>
        <v>2025</v>
      </c>
      <c r="G1296" s="100" t="str">
        <f t="shared" si="2"/>
        <v>12Des</v>
      </c>
      <c r="H1296" s="100" t="str">
        <f t="shared" si="3"/>
        <v>Selasa</v>
      </c>
      <c r="I1296" s="97" t="s">
        <v>87</v>
      </c>
      <c r="J1296" s="97" t="s">
        <v>91</v>
      </c>
      <c r="K1296" s="97" t="s">
        <v>63</v>
      </c>
      <c r="L1296" s="101" t="s">
        <v>225</v>
      </c>
      <c r="M1296" s="102" t="str">
        <f>IFNA(VLOOKUP(L1296,'🙎‍♂️ Pasien'!G:V,2,FALSE),"")</f>
        <v>B8025102288</v>
      </c>
      <c r="N1296" s="103">
        <f>IFNA(VLOOKUP(L1296,'🙎‍♂️ Pasien'!G:L,3,FALSE),"")</f>
        <v>45</v>
      </c>
      <c r="O1296" s="104" t="str">
        <f>IFNA(VLOOKUP(L1296,'🙎‍♂️ Pasien'!G:V,6,FALSE),"")</f>
        <v>PEREMPUAN</v>
      </c>
      <c r="P1296" s="104" t="str">
        <f>IFNA(VLOOKUP(L1296,'🙎‍♂️ Pasien'!G:V,12,FALSE),"")</f>
        <v>ISLAM</v>
      </c>
      <c r="Q1296" s="104" t="str">
        <f>IFNA(VLOOKUP(L1296:L1508,'🙎‍♂️ Pasien'!G:V,13,FALSE),"")</f>
        <v>ASN</v>
      </c>
      <c r="R1296" s="104" t="str">
        <f t="array" ref="R1296">ifna(xlookup(L1296,'🙎‍♂️ Pasien'!$G$5:$G1508,'🙎‍♂️ Pasien'!$T$5:$T1508),"")</f>
        <v>KELUHAN SY NYERI DI TUMIT KIRI SM PAHA KANAN UT DIANGKAT SAMBIL DITEKUK KE ARAH SAMPING LUAR RASA NYA NYERI</v>
      </c>
      <c r="S1296" s="104" t="str">
        <f t="array" ref="S1296">ifna(xlookup(L1296,'🙎‍♂️ Pasien'!$G$5:$G1508,'🙎‍♂️ Pasien'!$U$5:$U1508),"")</f>
        <v>JOGING</v>
      </c>
      <c r="T1296" s="97" t="s">
        <v>59</v>
      </c>
      <c r="U1296" s="105">
        <v>1.0</v>
      </c>
      <c r="V1296" s="101" t="s">
        <v>243</v>
      </c>
      <c r="W1296" s="106" t="b">
        <v>1</v>
      </c>
      <c r="X1296" s="107"/>
      <c r="Y1296" s="108"/>
    </row>
    <row r="1297" ht="22.5" customHeight="1">
      <c r="A1297" s="96"/>
      <c r="B1297" s="97" t="s">
        <v>85</v>
      </c>
      <c r="C1297" s="98" t="str">
        <f t="array" ref="C1297">IFNA(XLOOKUP(J1297,'⚙️ Pengaturan'!$H$5:$H1508,'⚙️ Pengaturan'!$I$5:$I1508),"")</f>
        <v>TIM Y</v>
      </c>
      <c r="D1297" s="97" t="s">
        <v>54</v>
      </c>
      <c r="E1297" s="99">
        <v>46007.0</v>
      </c>
      <c r="F1297" s="100" t="str">
        <f t="shared" si="1"/>
        <v>2025</v>
      </c>
      <c r="G1297" s="100" t="str">
        <f t="shared" si="2"/>
        <v>12Des</v>
      </c>
      <c r="H1297" s="100" t="str">
        <f t="shared" si="3"/>
        <v>Selasa</v>
      </c>
      <c r="I1297" s="97" t="s">
        <v>93</v>
      </c>
      <c r="J1297" s="97" t="s">
        <v>107</v>
      </c>
      <c r="K1297" s="97" t="s">
        <v>63</v>
      </c>
      <c r="L1297" s="101" t="s">
        <v>573</v>
      </c>
      <c r="M1297" s="102" t="str">
        <f>IFNA(VLOOKUP(L1297,'🙎‍♂️ Pasien'!G:V,2,FALSE),"")</f>
        <v>D0725113899</v>
      </c>
      <c r="N1297" s="103">
        <f>IFNA(VLOOKUP(L1297,'🙎‍♂️ Pasien'!G:L,3,FALSE),"")</f>
        <v>18</v>
      </c>
      <c r="O1297" s="104" t="str">
        <f>IFNA(VLOOKUP(L1297,'🙎‍♂️ Pasien'!G:V,6,FALSE),"")</f>
        <v>PEREMPUAN</v>
      </c>
      <c r="P1297" s="104" t="str">
        <f>IFNA(VLOOKUP(L1297,'🙎‍♂️ Pasien'!G:V,12,FALSE),"")</f>
        <v>PROTESTAN</v>
      </c>
      <c r="Q1297" s="104" t="str">
        <f>IFNA(VLOOKUP(L1297:L1508,'🙎‍♂️ Pasien'!G:V,13,FALSE),"")</f>
        <v>MAHASISWA</v>
      </c>
      <c r="R1297" s="104" t="str">
        <f t="array" ref="R1297">ifna(xlookup(L1297,'🙎‍♂️ Pasien'!$G$5:$G1508,'🙎‍♂️ Pasien'!$T$5:$T1508),"")</f>
        <v>KAKI X</v>
      </c>
      <c r="S1297" s="104" t="str">
        <f t="array" ref="S1297">ifna(xlookup(L1297,'🙎‍♂️ Pasien'!$G$5:$G1508,'🙎‍♂️ Pasien'!$U$5:$U1508),"")</f>
        <v>LARI</v>
      </c>
      <c r="T1297" s="97" t="s">
        <v>59</v>
      </c>
      <c r="U1297" s="105">
        <v>8.0</v>
      </c>
      <c r="V1297" s="101"/>
      <c r="W1297" s="106" t="b">
        <v>1</v>
      </c>
      <c r="X1297" s="107"/>
      <c r="Y1297" s="108"/>
    </row>
    <row r="1298" ht="22.5" customHeight="1">
      <c r="A1298" s="96"/>
      <c r="B1298" s="97" t="s">
        <v>85</v>
      </c>
      <c r="C1298" s="98" t="str">
        <f t="array" ref="C1298">IFNA(XLOOKUP(J1298,'⚙️ Pengaturan'!$H$5:$H1508,'⚙️ Pengaturan'!$I$5:$I1508),"")</f>
        <v>TIM Y</v>
      </c>
      <c r="D1298" s="97" t="s">
        <v>54</v>
      </c>
      <c r="E1298" s="99">
        <v>46007.0</v>
      </c>
      <c r="F1298" s="100" t="str">
        <f t="shared" si="1"/>
        <v>2025</v>
      </c>
      <c r="G1298" s="100" t="str">
        <f t="shared" si="2"/>
        <v>12Des</v>
      </c>
      <c r="H1298" s="100" t="str">
        <f t="shared" si="3"/>
        <v>Selasa</v>
      </c>
      <c r="I1298" s="97" t="s">
        <v>93</v>
      </c>
      <c r="J1298" s="97" t="s">
        <v>91</v>
      </c>
      <c r="K1298" s="97" t="s">
        <v>69</v>
      </c>
      <c r="L1298" s="101" t="s">
        <v>718</v>
      </c>
      <c r="M1298" s="102" t="str">
        <f>IFNA(VLOOKUP(L1298,'🙎‍♂️ Pasien'!G:V,2,FALSE),"")</f>
        <v>D6625125696</v>
      </c>
      <c r="N1298" s="103">
        <f>IFNA(VLOOKUP(L1298,'🙎‍♂️ Pasien'!G:L,3,FALSE),"")</f>
        <v>59</v>
      </c>
      <c r="O1298" s="104" t="str">
        <f>IFNA(VLOOKUP(L1298,'🙎‍♂️ Pasien'!G:V,6,FALSE),"")</f>
        <v>PEREMPUAN</v>
      </c>
      <c r="P1298" s="104" t="str">
        <f>IFNA(VLOOKUP(L1298,'🙎‍♂️ Pasien'!G:V,12,FALSE),"")</f>
        <v>ISLAM</v>
      </c>
      <c r="Q1298" s="104" t="str">
        <f>IFNA(VLOOKUP(L1298:L1508,'🙎‍♂️ Pasien'!G:V,13,FALSE),"")</f>
        <v>PNS</v>
      </c>
      <c r="R1298" s="104" t="str">
        <f t="array" ref="R1298">ifna(xlookup(L1298,'🙎‍♂️ Pasien'!$G$5:$G1508,'🙎‍♂️ Pasien'!$T$5:$T1508),"")</f>
        <v>PINGGANG</v>
      </c>
      <c r="S1298" s="104" t="str">
        <f t="array" ref="S1298">ifna(xlookup(L1298,'🙎‍♂️ Pasien'!$G$5:$G1508,'🙎‍♂️ Pasien'!$U$5:$U1508),"")</f>
        <v>-</v>
      </c>
      <c r="T1298" s="97" t="s">
        <v>59</v>
      </c>
      <c r="U1298" s="105" t="s">
        <v>60</v>
      </c>
      <c r="V1298" s="101"/>
      <c r="W1298" s="106" t="b">
        <v>1</v>
      </c>
      <c r="X1298" s="107"/>
      <c r="Y1298" s="108"/>
    </row>
    <row r="1299" ht="22.5" customHeight="1">
      <c r="A1299" s="96"/>
      <c r="B1299" s="97" t="s">
        <v>85</v>
      </c>
      <c r="C1299" s="98" t="str">
        <f t="array" ref="C1299">IFNA(XLOOKUP(J1299,'⚙️ Pengaturan'!$H$5:$H1508,'⚙️ Pengaturan'!$I$5:$I1508),"")</f>
        <v>TIM Y</v>
      </c>
      <c r="D1299" s="97" t="s">
        <v>54</v>
      </c>
      <c r="E1299" s="99">
        <v>46007.0</v>
      </c>
      <c r="F1299" s="100" t="str">
        <f t="shared" si="1"/>
        <v>2025</v>
      </c>
      <c r="G1299" s="100" t="str">
        <f t="shared" si="2"/>
        <v>12Des</v>
      </c>
      <c r="H1299" s="100" t="str">
        <f t="shared" si="3"/>
        <v>Selasa</v>
      </c>
      <c r="I1299" s="97" t="s">
        <v>93</v>
      </c>
      <c r="J1299" s="97" t="s">
        <v>509</v>
      </c>
      <c r="K1299" s="97" t="s">
        <v>57</v>
      </c>
      <c r="L1299" s="101" t="s">
        <v>657</v>
      </c>
      <c r="M1299" s="102" t="str">
        <f>IFNA(VLOOKUP(L1299,'🙎‍♂️ Pasien'!G:V,2,FALSE),"")</f>
        <v>S9525127945</v>
      </c>
      <c r="N1299" s="103">
        <f>IFNA(VLOOKUP(L1299,'🙎‍♂️ Pasien'!G:L,3,FALSE),"")</f>
        <v>30</v>
      </c>
      <c r="O1299" s="104" t="str">
        <f>IFNA(VLOOKUP(L1299,'🙎‍♂️ Pasien'!G:V,6,FALSE),"")</f>
        <v>PEREMPUAN</v>
      </c>
      <c r="P1299" s="104" t="str">
        <f>IFNA(VLOOKUP(L1299,'🙎‍♂️ Pasien'!G:V,12,FALSE),"")</f>
        <v>ISLAM</v>
      </c>
      <c r="Q1299" s="104" t="str">
        <f>IFNA(VLOOKUP(L1299:L1508,'🙎‍♂️ Pasien'!G:V,13,FALSE),"")</f>
        <v>SEASTA</v>
      </c>
      <c r="R1299" s="104" t="str">
        <f t="array" ref="R1299">ifna(xlookup(L1299,'🙎‍♂️ Pasien'!$G$5:$G1508,'🙎‍♂️ Pasien'!$T$5:$T1508),"")</f>
        <v>SAKIT DI IBU JARI TANGAN</v>
      </c>
      <c r="S1299" s="104" t="str">
        <f t="array" ref="S1299">ifna(xlookup(L1299,'🙎‍♂️ Pasien'!$G$5:$G1508,'🙎‍♂️ Pasien'!$U$5:$U1508),"")</f>
        <v>MELAKUKAN AKTIVITAS TANGAN SEPERTI MENGETIK, MELAKUKAN PEKERJAAN RUMAH TANGGA</v>
      </c>
      <c r="T1299" s="97" t="s">
        <v>59</v>
      </c>
      <c r="U1299" s="105" t="s">
        <v>60</v>
      </c>
      <c r="V1299" s="101"/>
      <c r="W1299" s="106" t="b">
        <v>1</v>
      </c>
      <c r="X1299" s="107"/>
      <c r="Y1299" s="108"/>
    </row>
    <row r="1300" ht="22.5" customHeight="1">
      <c r="A1300" s="96"/>
      <c r="B1300" s="97" t="s">
        <v>85</v>
      </c>
      <c r="C1300" s="98" t="str">
        <f t="array" ref="C1300">IFNA(XLOOKUP(J1300,'⚙️ Pengaturan'!$H$5:$H1508,'⚙️ Pengaturan'!$I$5:$I1508),"")</f>
        <v>TIM Y</v>
      </c>
      <c r="D1300" s="97" t="s">
        <v>54</v>
      </c>
      <c r="E1300" s="99">
        <v>46007.0</v>
      </c>
      <c r="F1300" s="100" t="str">
        <f t="shared" si="1"/>
        <v>2025</v>
      </c>
      <c r="G1300" s="100" t="str">
        <f t="shared" si="2"/>
        <v>12Des</v>
      </c>
      <c r="H1300" s="100" t="str">
        <f t="shared" si="3"/>
        <v>Selasa</v>
      </c>
      <c r="I1300" s="97" t="s">
        <v>95</v>
      </c>
      <c r="J1300" s="97" t="s">
        <v>91</v>
      </c>
      <c r="K1300" s="97" t="s">
        <v>63</v>
      </c>
      <c r="L1300" s="101" t="s">
        <v>194</v>
      </c>
      <c r="M1300" s="102" t="str">
        <f>IFNA(VLOOKUP(L1300,'🙎‍♂️ Pasien'!G:V,2,FALSE),"")</f>
        <v>O0925070649</v>
      </c>
      <c r="N1300" s="103">
        <f>IFNA(VLOOKUP(L1300,'🙎‍♂️ Pasien'!G:L,3,FALSE),"")</f>
        <v>16</v>
      </c>
      <c r="O1300" s="104" t="str">
        <f>IFNA(VLOOKUP(L1300,'🙎‍♂️ Pasien'!G:V,6,FALSE),"")</f>
        <v>PEREMPUAN</v>
      </c>
      <c r="P1300" s="104" t="str">
        <f>IFNA(VLOOKUP(L1300,'🙎‍♂️ Pasien'!G:V,12,FALSE),"")</f>
        <v>BUDDHA</v>
      </c>
      <c r="Q1300" s="104" t="str">
        <f>IFNA(VLOOKUP(L1300:L1508,'🙎‍♂️ Pasien'!G:V,13,FALSE),"")</f>
        <v>PELAJAR</v>
      </c>
      <c r="R1300" s="104" t="str">
        <f t="array" ref="R1300">ifna(xlookup(L1300,'🙎‍♂️ Pasien'!$G$5:$G1508,'🙎‍♂️ Pasien'!$T$5:$T1508),"")</f>
        <v>SKOLIOSIS</v>
      </c>
      <c r="S1300" s="104" t="str">
        <f t="array" ref="S1300">ifna(xlookup(L1300,'🙎‍♂️ Pasien'!$G$5:$G1508,'🙎‍♂️ Pasien'!$U$5:$U1508),"")</f>
        <v>TIDAK ADA</v>
      </c>
      <c r="T1300" s="97" t="s">
        <v>59</v>
      </c>
      <c r="U1300" s="105">
        <v>9.0</v>
      </c>
      <c r="V1300" s="101"/>
      <c r="W1300" s="106" t="b">
        <v>1</v>
      </c>
      <c r="X1300" s="107"/>
      <c r="Y1300" s="108"/>
    </row>
    <row r="1301" ht="22.5" customHeight="1">
      <c r="A1301" s="96"/>
      <c r="B1301" s="97" t="s">
        <v>85</v>
      </c>
      <c r="C1301" s="98" t="str">
        <f t="array" ref="C1301">IFNA(XLOOKUP(J1301,'⚙️ Pengaturan'!$H$5:$H1508,'⚙️ Pengaturan'!$I$5:$I1508),"")</f>
        <v>TIM Y</v>
      </c>
      <c r="D1301" s="97" t="s">
        <v>54</v>
      </c>
      <c r="E1301" s="99">
        <v>46007.0</v>
      </c>
      <c r="F1301" s="100" t="str">
        <f t="shared" si="1"/>
        <v>2025</v>
      </c>
      <c r="G1301" s="100" t="str">
        <f t="shared" si="2"/>
        <v>12Des</v>
      </c>
      <c r="H1301" s="100" t="str">
        <f t="shared" si="3"/>
        <v>Selasa</v>
      </c>
      <c r="I1301" s="97" t="s">
        <v>95</v>
      </c>
      <c r="J1301" s="97" t="s">
        <v>509</v>
      </c>
      <c r="K1301" s="97" t="s">
        <v>63</v>
      </c>
      <c r="L1301" s="101" t="s">
        <v>668</v>
      </c>
      <c r="M1301" s="102" t="str">
        <f>IFNA(VLOOKUP(L1301,'🙎‍♂️ Pasien'!G:V,2,FALSE),"")</f>
        <v>R9625012853</v>
      </c>
      <c r="N1301" s="103">
        <f>IFNA(VLOOKUP(L1301,'🙎‍♂️ Pasien'!G:L,3,FALSE),"")</f>
        <v>30</v>
      </c>
      <c r="O1301" s="104" t="str">
        <f>IFNA(VLOOKUP(L1301,'🙎‍♂️ Pasien'!G:V,6,FALSE),"")</f>
        <v>PEREMPUAN</v>
      </c>
      <c r="P1301" s="104" t="str">
        <f>IFNA(VLOOKUP(L1301,'🙎‍♂️ Pasien'!G:V,12,FALSE),"")</f>
        <v>ISLAM</v>
      </c>
      <c r="Q1301" s="104" t="str">
        <f>IFNA(VLOOKUP(L1301:L1508,'🙎‍♂️ Pasien'!G:V,13,FALSE),"")</f>
        <v>ASN</v>
      </c>
      <c r="R1301" s="104" t="str">
        <f t="array" ref="R1301">ifna(xlookup(L1301,'🙎‍♂️ Pasien'!$G$5:$G1508,'🙎‍♂️ Pasien'!$T$5:$T1508),"")</f>
        <v>NYERI BAGIAN LUTUT SETIAP SETELAH LARI DIATAS 6KM</v>
      </c>
      <c r="S1301" s="104" t="str">
        <f t="array" ref="S1301">ifna(xlookup(L1301,'🙎‍♂️ Pasien'!$G$5:$G1508,'🙎‍♂️ Pasien'!$U$5:$U1508),"")</f>
        <v>LARI</v>
      </c>
      <c r="T1301" s="97" t="s">
        <v>67</v>
      </c>
      <c r="U1301" s="105" t="s">
        <v>60</v>
      </c>
      <c r="V1301" s="101" t="s">
        <v>726</v>
      </c>
      <c r="W1301" s="106" t="b">
        <v>1</v>
      </c>
      <c r="X1301" s="107"/>
      <c r="Y1301" s="108"/>
    </row>
    <row r="1302" ht="22.5" customHeight="1">
      <c r="A1302" s="96"/>
      <c r="B1302" s="97" t="s">
        <v>85</v>
      </c>
      <c r="C1302" s="98" t="str">
        <f t="array" ref="C1302">IFNA(XLOOKUP(J1302,'⚙️ Pengaturan'!$H$5:$H1508,'⚙️ Pengaturan'!$I$5:$I1508),"")</f>
        <v>TIM Y</v>
      </c>
      <c r="D1302" s="97" t="s">
        <v>54</v>
      </c>
      <c r="E1302" s="99">
        <v>46007.0</v>
      </c>
      <c r="F1302" s="100" t="str">
        <f t="shared" si="1"/>
        <v>2025</v>
      </c>
      <c r="G1302" s="100" t="str">
        <f t="shared" si="2"/>
        <v>12Des</v>
      </c>
      <c r="H1302" s="100" t="str">
        <f t="shared" si="3"/>
        <v>Selasa</v>
      </c>
      <c r="I1302" s="97" t="s">
        <v>95</v>
      </c>
      <c r="J1302" s="97" t="s">
        <v>88</v>
      </c>
      <c r="K1302" s="97" t="s">
        <v>57</v>
      </c>
      <c r="L1302" s="101" t="s">
        <v>727</v>
      </c>
      <c r="M1302" s="102" t="str">
        <f>IFNA(VLOOKUP(L1302,'🙎‍♂️ Pasien'!G:V,2,FALSE),"")</f>
        <v>R0225129200</v>
      </c>
      <c r="N1302" s="103">
        <f>IFNA(VLOOKUP(L1302,'🙎‍♂️ Pasien'!G:L,3,FALSE),"")</f>
        <v>24</v>
      </c>
      <c r="O1302" s="104" t="str">
        <f>IFNA(VLOOKUP(L1302,'🙎‍♂️ Pasien'!G:V,6,FALSE),"")</f>
        <v>LAKI-LAKI</v>
      </c>
      <c r="P1302" s="104" t="str">
        <f>IFNA(VLOOKUP(L1302,'🙎‍♂️ Pasien'!G:V,12,FALSE),"")</f>
        <v>ISLAM</v>
      </c>
      <c r="Q1302" s="104" t="str">
        <f>IFNA(VLOOKUP(L1302:L1508,'🙎‍♂️ Pasien'!G:V,13,FALSE),"")</f>
        <v>BELUM ADA</v>
      </c>
      <c r="R1302" s="104" t="str">
        <f t="array" ref="R1302">ifna(xlookup(L1302,'🙎‍♂️ Pasien'!$G$5:$G1508,'🙎‍♂️ Pasien'!$T$5:$T1508),"")</f>
        <v>.BAHU TIDAK SIMETRIS</v>
      </c>
      <c r="S1302" s="104" t="str">
        <f t="array" ref="S1302">ifna(xlookup(L1302,'🙎‍♂️ Pasien'!$G$5:$G1508,'🙎‍♂️ Pasien'!$U$5:$U1508),"")</f>
        <v>LARI</v>
      </c>
      <c r="T1302" s="97" t="s">
        <v>59</v>
      </c>
      <c r="U1302" s="105" t="s">
        <v>60</v>
      </c>
      <c r="V1302" s="101"/>
      <c r="W1302" s="106" t="b">
        <v>1</v>
      </c>
      <c r="X1302" s="107"/>
      <c r="Y1302" s="108"/>
    </row>
    <row r="1303" ht="22.5" customHeight="1">
      <c r="A1303" s="96"/>
      <c r="B1303" s="97" t="s">
        <v>85</v>
      </c>
      <c r="C1303" s="98" t="str">
        <f t="array" ref="C1303">IFNA(XLOOKUP(J1303,'⚙️ Pengaturan'!$H$5:$H1508,'⚙️ Pengaturan'!$I$5:$I1508),"")</f>
        <v>TIM Y</v>
      </c>
      <c r="D1303" s="97" t="s">
        <v>54</v>
      </c>
      <c r="E1303" s="99">
        <v>46007.0</v>
      </c>
      <c r="F1303" s="100" t="str">
        <f t="shared" si="1"/>
        <v>2025</v>
      </c>
      <c r="G1303" s="100" t="str">
        <f t="shared" si="2"/>
        <v>12Des</v>
      </c>
      <c r="H1303" s="100" t="str">
        <f t="shared" si="3"/>
        <v>Selasa</v>
      </c>
      <c r="I1303" s="97" t="s">
        <v>97</v>
      </c>
      <c r="J1303" s="97" t="s">
        <v>88</v>
      </c>
      <c r="K1303" s="97" t="s">
        <v>63</v>
      </c>
      <c r="L1303" s="101" t="s">
        <v>540</v>
      </c>
      <c r="M1303" s="102" t="str">
        <f>IFNA(VLOOKUP(L1303,'🙎‍♂️ Pasien'!G:V,2,FALSE),"")</f>
        <v>A9425110177</v>
      </c>
      <c r="N1303" s="103">
        <f>IFNA(VLOOKUP(L1303,'🙎‍♂️ Pasien'!G:L,3,FALSE),"")</f>
        <v>31</v>
      </c>
      <c r="O1303" s="104" t="str">
        <f>IFNA(VLOOKUP(L1303,'🙎‍♂️ Pasien'!G:V,6,FALSE),"")</f>
        <v>LAKI-LAKI</v>
      </c>
      <c r="P1303" s="104" t="str">
        <f>IFNA(VLOOKUP(L1303,'🙎‍♂️ Pasien'!G:V,12,FALSE),"")</f>
        <v>KATOLIK</v>
      </c>
      <c r="Q1303" s="104" t="str">
        <f>IFNA(VLOOKUP(L1303:L1508,'🙎‍♂️ Pasien'!G:V,13,FALSE),"")</f>
        <v>-</v>
      </c>
      <c r="R1303" s="104" t="str">
        <f t="array" ref="R1303">ifna(xlookup(L1303,'🙎‍♂️ Pasien'!$G$5:$G1508,'🙎‍♂️ Pasien'!$T$5:$T1508),"")</f>
        <v>PASCA OPERASI ACL</v>
      </c>
      <c r="S1303" s="104" t="str">
        <f t="array" ref="S1303">ifna(xlookup(L1303,'🙎‍♂️ Pasien'!$G$5:$G1508,'🙎‍♂️ Pasien'!$U$5:$U1508),"")</f>
        <v>-</v>
      </c>
      <c r="T1303" s="97" t="s">
        <v>59</v>
      </c>
      <c r="U1303" s="105">
        <v>7.0</v>
      </c>
      <c r="V1303" s="101"/>
      <c r="W1303" s="106" t="b">
        <v>1</v>
      </c>
      <c r="X1303" s="107"/>
      <c r="Y1303" s="108"/>
    </row>
    <row r="1304" ht="22.5" customHeight="1">
      <c r="A1304" s="96"/>
      <c r="B1304" s="97" t="s">
        <v>85</v>
      </c>
      <c r="C1304" s="98" t="str">
        <f t="array" ref="C1304">IFNA(XLOOKUP(J1304,'⚙️ Pengaturan'!$H$5:$H1508,'⚙️ Pengaturan'!$I$5:$I1508),"")</f>
        <v>TIM Y</v>
      </c>
      <c r="D1304" s="97" t="s">
        <v>54</v>
      </c>
      <c r="E1304" s="99">
        <v>46007.0</v>
      </c>
      <c r="F1304" s="100" t="str">
        <f t="shared" si="1"/>
        <v>2025</v>
      </c>
      <c r="G1304" s="100" t="str">
        <f t="shared" si="2"/>
        <v>12Des</v>
      </c>
      <c r="H1304" s="100" t="str">
        <f t="shared" si="3"/>
        <v>Selasa</v>
      </c>
      <c r="I1304" s="97" t="s">
        <v>97</v>
      </c>
      <c r="J1304" s="97" t="s">
        <v>509</v>
      </c>
      <c r="K1304" s="97" t="s">
        <v>69</v>
      </c>
      <c r="L1304" s="101" t="s">
        <v>719</v>
      </c>
      <c r="M1304" s="102" t="str">
        <f>IFNA(VLOOKUP(L1304,'🙎‍♂️ Pasien'!G:V,2,FALSE),"")</f>
        <v>A9625120301</v>
      </c>
      <c r="N1304" s="103">
        <f>IFNA(VLOOKUP(L1304,'🙎‍♂️ Pasien'!G:L,3,FALSE),"")</f>
        <v>29</v>
      </c>
      <c r="O1304" s="104" t="str">
        <f>IFNA(VLOOKUP(L1304,'🙎‍♂️ Pasien'!G:V,6,FALSE),"")</f>
        <v>LAKI-LAKI</v>
      </c>
      <c r="P1304" s="104" t="str">
        <f>IFNA(VLOOKUP(L1304,'🙎‍♂️ Pasien'!G:V,12,FALSE),"")</f>
        <v>KATOLIK</v>
      </c>
      <c r="Q1304" s="104" t="str">
        <f>IFNA(VLOOKUP(L1304:L1508,'🙎‍♂️ Pasien'!G:V,13,FALSE),"")</f>
        <v>SWASTA</v>
      </c>
      <c r="R1304" s="104" t="str">
        <f t="array" ref="R1304">ifna(xlookup(L1304,'🙎‍♂️ Pasien'!$G$5:$G1508,'🙎‍♂️ Pasien'!$T$5:$T1508),"")</f>
        <v>BENGKAK DI AREA ATAS TUMIT KAKI SEBELAH KANAN</v>
      </c>
      <c r="S1304" s="104" t="str">
        <f t="array" ref="S1304">ifna(xlookup(L1304,'🙎‍♂️ Pasien'!$G$5:$G1508,'🙎‍♂️ Pasien'!$U$5:$U1508),"")</f>
        <v>SEPAK BOLA</v>
      </c>
      <c r="T1304" s="97" t="s">
        <v>59</v>
      </c>
      <c r="U1304" s="105" t="s">
        <v>60</v>
      </c>
      <c r="V1304" s="101" t="s">
        <v>728</v>
      </c>
      <c r="W1304" s="106" t="b">
        <v>1</v>
      </c>
      <c r="X1304" s="107"/>
      <c r="Y1304" s="108"/>
    </row>
    <row r="1305" ht="22.5" customHeight="1">
      <c r="A1305" s="96"/>
      <c r="B1305" s="97" t="s">
        <v>85</v>
      </c>
      <c r="C1305" s="98" t="str">
        <f t="array" ref="C1305">IFNA(XLOOKUP(J1305,'⚙️ Pengaturan'!$H$5:$H1508,'⚙️ Pengaturan'!$I$5:$I1508),"")</f>
        <v>TIM Y</v>
      </c>
      <c r="D1305" s="97" t="s">
        <v>54</v>
      </c>
      <c r="E1305" s="99">
        <v>46007.0</v>
      </c>
      <c r="F1305" s="100" t="str">
        <f t="shared" si="1"/>
        <v>2025</v>
      </c>
      <c r="G1305" s="100" t="str">
        <f t="shared" si="2"/>
        <v>12Des</v>
      </c>
      <c r="H1305" s="100" t="str">
        <f t="shared" si="3"/>
        <v>Selasa</v>
      </c>
      <c r="I1305" s="97" t="s">
        <v>97</v>
      </c>
      <c r="J1305" s="97" t="s">
        <v>91</v>
      </c>
      <c r="K1305" s="97" t="s">
        <v>63</v>
      </c>
      <c r="L1305" s="101" t="s">
        <v>501</v>
      </c>
      <c r="M1305" s="102" t="str">
        <f>IFNA(VLOOKUP(L1305,'🙎‍♂️ Pasien'!G:V,2,FALSE),"")</f>
        <v>C9025117272</v>
      </c>
      <c r="N1305" s="103">
        <f>IFNA(VLOOKUP(L1305,'🙎‍♂️ Pasien'!G:L,3,FALSE),"")</f>
        <v>35</v>
      </c>
      <c r="O1305" s="104" t="str">
        <f>IFNA(VLOOKUP(L1305,'🙎‍♂️ Pasien'!G:V,6,FALSE),"")</f>
        <v>PEREMPUAN</v>
      </c>
      <c r="P1305" s="104" t="str">
        <f>IFNA(VLOOKUP(L1305,'🙎‍♂️ Pasien'!G:V,12,FALSE),"")</f>
        <v>PROTESTAN</v>
      </c>
      <c r="Q1305" s="104" t="str">
        <f>IFNA(VLOOKUP(L1305:L1508,'🙎‍♂️ Pasien'!G:V,13,FALSE),"")</f>
        <v>IBU RUMAH TANGGA</v>
      </c>
      <c r="R1305" s="104" t="str">
        <f t="array" ref="R1305">ifna(xlookup(L1305,'🙎‍♂️ Pasien'!$G$5:$G1508,'🙎‍♂️ Pasien'!$T$5:$T1508),"")</f>
        <v>SENDI LUTUT BERGESER</v>
      </c>
      <c r="S1305" s="104" t="str">
        <f t="array" ref="S1305">ifna(xlookup(L1305,'🙎‍♂️ Pasien'!$G$5:$G1508,'🙎‍♂️ Pasien'!$U$5:$U1508),"")</f>
        <v>JATUH KEPELESET</v>
      </c>
      <c r="T1305" s="97" t="s">
        <v>67</v>
      </c>
      <c r="U1305" s="105">
        <v>3.0</v>
      </c>
      <c r="V1305" s="101" t="s">
        <v>729</v>
      </c>
      <c r="W1305" s="106" t="b">
        <v>1</v>
      </c>
      <c r="X1305" s="107"/>
      <c r="Y1305" s="108"/>
    </row>
    <row r="1306" ht="22.5" customHeight="1">
      <c r="A1306" s="96"/>
      <c r="B1306" s="97" t="s">
        <v>85</v>
      </c>
      <c r="C1306" s="98" t="str">
        <f t="array" ref="C1306">IFNA(XLOOKUP(J1306,'⚙️ Pengaturan'!$H$5:$H1508,'⚙️ Pengaturan'!$I$5:$I1508),"")</f>
        <v>TIM Y</v>
      </c>
      <c r="D1306" s="97" t="s">
        <v>54</v>
      </c>
      <c r="E1306" s="99">
        <v>46007.0</v>
      </c>
      <c r="F1306" s="100" t="str">
        <f t="shared" si="1"/>
        <v>2025</v>
      </c>
      <c r="G1306" s="100" t="str">
        <f t="shared" si="2"/>
        <v>12Des</v>
      </c>
      <c r="H1306" s="100" t="str">
        <f t="shared" si="3"/>
        <v>Selasa</v>
      </c>
      <c r="I1306" s="97" t="s">
        <v>97</v>
      </c>
      <c r="J1306" s="97" t="s">
        <v>91</v>
      </c>
      <c r="K1306" s="97" t="s">
        <v>57</v>
      </c>
      <c r="L1306" s="101" t="s">
        <v>730</v>
      </c>
      <c r="M1306" s="102" t="str">
        <f>IFNA(VLOOKUP(L1306,'🙎‍♂️ Pasien'!G:V,2,FALSE),"")</f>
        <v>J6625120248</v>
      </c>
      <c r="N1306" s="103">
        <f>IFNA(VLOOKUP(L1306,'🙎‍♂️ Pasien'!G:L,3,FALSE),"")</f>
        <v>59</v>
      </c>
      <c r="O1306" s="104" t="str">
        <f>IFNA(VLOOKUP(L1306,'🙎‍♂️ Pasien'!G:V,6,FALSE),"")</f>
        <v>LAKI-LAKI</v>
      </c>
      <c r="P1306" s="104" t="str">
        <f>IFNA(VLOOKUP(L1306,'🙎‍♂️ Pasien'!G:V,12,FALSE),"")</f>
        <v>ISLAM</v>
      </c>
      <c r="Q1306" s="104" t="str">
        <f>IFNA(VLOOKUP(L1306:L1508,'🙎‍♂️ Pasien'!G:V,13,FALSE),"")</f>
        <v>KARYAWAN SWASTA</v>
      </c>
      <c r="R1306" s="104" t="str">
        <f t="array" ref="R1306">ifna(xlookup(L1306,'🙎‍♂️ Pasien'!$G$5:$G1508,'🙎‍♂️ Pasien'!$T$5:$T1508),"")</f>
        <v>LUTUT</v>
      </c>
      <c r="S1306" s="104" t="str">
        <f t="array" ref="S1306">ifna(xlookup(L1306,'🙎‍♂️ Pasien'!$G$5:$G1508,'🙎‍♂️ Pasien'!$U$5:$U1508),"")</f>
        <v>KAKI LUTUT SAKIT BUAT BERJALAN ATAU BERDIAM HABIS JATUH 1 BLN LALU HABIS JATUH JUGA KIRI PAKAI GIPS UDAH LEPAS EH HABIS DILEPAS JATUH NAHAN DR MTR BIAR KIR NDA JATUH JADI KANAN DIPAKAI NAHAN JD SKRG KAKI KANAN YG SAKIT BUAT DIPAKAI AKTIVITAS</v>
      </c>
      <c r="T1306" s="97" t="s">
        <v>59</v>
      </c>
      <c r="U1306" s="105" t="s">
        <v>60</v>
      </c>
      <c r="V1306" s="101" t="s">
        <v>731</v>
      </c>
      <c r="W1306" s="106" t="b">
        <v>1</v>
      </c>
      <c r="X1306" s="107"/>
      <c r="Y1306" s="108"/>
    </row>
    <row r="1307" ht="22.5" customHeight="1">
      <c r="A1307" s="96"/>
      <c r="B1307" s="97" t="s">
        <v>85</v>
      </c>
      <c r="C1307" s="98" t="str">
        <f t="array" ref="C1307">IFNA(XLOOKUP(J1307,'⚙️ Pengaturan'!$H$5:$H1508,'⚙️ Pengaturan'!$I$5:$I1508),"")</f>
        <v>TIM Y</v>
      </c>
      <c r="D1307" s="97" t="s">
        <v>54</v>
      </c>
      <c r="E1307" s="99">
        <v>46007.0</v>
      </c>
      <c r="F1307" s="100" t="str">
        <f t="shared" si="1"/>
        <v>2025</v>
      </c>
      <c r="G1307" s="100" t="str">
        <f t="shared" si="2"/>
        <v>12Des</v>
      </c>
      <c r="H1307" s="100" t="str">
        <f t="shared" si="3"/>
        <v>Selasa</v>
      </c>
      <c r="I1307" s="97" t="s">
        <v>99</v>
      </c>
      <c r="J1307" s="97" t="s">
        <v>509</v>
      </c>
      <c r="K1307" s="97" t="s">
        <v>57</v>
      </c>
      <c r="L1307" s="101" t="s">
        <v>732</v>
      </c>
      <c r="M1307" s="102" t="str">
        <f>IFNA(VLOOKUP(L1307,'🙎‍♂️ Pasien'!G:V,2,FALSE),"")</f>
        <v>D9825126821</v>
      </c>
      <c r="N1307" s="103">
        <f>IFNA(VLOOKUP(L1307,'🙎‍♂️ Pasien'!G:L,3,FALSE),"")</f>
        <v>27</v>
      </c>
      <c r="O1307" s="104" t="str">
        <f>IFNA(VLOOKUP(L1307,'🙎‍♂️ Pasien'!G:V,6,FALSE),"")</f>
        <v>PEREMPUAN</v>
      </c>
      <c r="P1307" s="104" t="str">
        <f>IFNA(VLOOKUP(L1307,'🙎‍♂️ Pasien'!G:V,12,FALSE),"")</f>
        <v>ISLAM</v>
      </c>
      <c r="Q1307" s="104" t="str">
        <f>IFNA(VLOOKUP(L1307:L1508,'🙎‍♂️ Pasien'!G:V,13,FALSE),"")</f>
        <v>MAHASISWA</v>
      </c>
      <c r="R1307" s="104" t="str">
        <f t="array" ref="R1307">ifna(xlookup(L1307,'🙎‍♂️ Pasien'!$G$5:$G1508,'🙎‍♂️ Pasien'!$T$5:$T1508),"")</f>
        <v>BACK PAIN</v>
      </c>
      <c r="S1307" s="104" t="str">
        <f t="array" ref="S1307">ifna(xlookup(L1307,'🙎‍♂️ Pasien'!$G$5:$G1508,'🙎‍♂️ Pasien'!$U$5:$U1508),"")</f>
        <v>DUDUK TERLALU KAMA</v>
      </c>
      <c r="T1307" s="97" t="s">
        <v>59</v>
      </c>
      <c r="U1307" s="105" t="s">
        <v>60</v>
      </c>
      <c r="V1307" s="101" t="s">
        <v>733</v>
      </c>
      <c r="W1307" s="106" t="b">
        <v>1</v>
      </c>
      <c r="X1307" s="107"/>
      <c r="Y1307" s="108"/>
    </row>
    <row r="1308" ht="22.5" customHeight="1">
      <c r="A1308" s="96"/>
      <c r="B1308" s="97" t="s">
        <v>85</v>
      </c>
      <c r="C1308" s="98" t="str">
        <f t="array" ref="C1308">IFNA(XLOOKUP(J1308,'⚙️ Pengaturan'!$H$5:$H1508,'⚙️ Pengaturan'!$I$5:$I1508),"")</f>
        <v>TIM Y</v>
      </c>
      <c r="D1308" s="97" t="s">
        <v>54</v>
      </c>
      <c r="E1308" s="99">
        <v>46007.0</v>
      </c>
      <c r="F1308" s="100" t="str">
        <f t="shared" si="1"/>
        <v>2025</v>
      </c>
      <c r="G1308" s="100" t="str">
        <f t="shared" si="2"/>
        <v>12Des</v>
      </c>
      <c r="H1308" s="100" t="str">
        <f t="shared" si="3"/>
        <v>Selasa</v>
      </c>
      <c r="I1308" s="97" t="s">
        <v>99</v>
      </c>
      <c r="J1308" s="97" t="s">
        <v>88</v>
      </c>
      <c r="K1308" s="97" t="s">
        <v>63</v>
      </c>
      <c r="L1308" s="101" t="s">
        <v>277</v>
      </c>
      <c r="M1308" s="102" t="str">
        <f>IFNA(VLOOKUP(L1308,'🙎‍♂️ Pasien'!G:V,2,FALSE),"")</f>
        <v>Z8125047588</v>
      </c>
      <c r="N1308" s="103">
        <f>IFNA(VLOOKUP(L1308,'🙎‍♂️ Pasien'!G:L,3,FALSE),"")</f>
        <v>45</v>
      </c>
      <c r="O1308" s="104" t="str">
        <f>IFNA(VLOOKUP(L1308,'🙎‍♂️ Pasien'!G:V,6,FALSE),"")</f>
        <v>LAKI-LAKI</v>
      </c>
      <c r="P1308" s="104" t="str">
        <f>IFNA(VLOOKUP(L1308,'🙎‍♂️ Pasien'!G:V,12,FALSE),"")</f>
        <v>ISLAM</v>
      </c>
      <c r="Q1308" s="104" t="str">
        <f>IFNA(VLOOKUP(L1308:L1508,'🙎‍♂️ Pasien'!G:V,13,FALSE),"")</f>
        <v>WIRASWASYA</v>
      </c>
      <c r="R1308" s="104" t="str">
        <f t="array" ref="R1308">ifna(xlookup(L1308,'🙎‍♂️ Pasien'!$G$5:$G1508,'🙎‍♂️ Pasien'!$T$5:$T1508),"")</f>
        <v>SERING NYERI DIBAGIAN TENGKUK SEBELAH KIRI</v>
      </c>
      <c r="S1308" s="104" t="str">
        <f t="array" ref="S1308">ifna(xlookup(L1308,'🙎‍♂️ Pasien'!$G$5:$G1508,'🙎‍♂️ Pasien'!$U$5:$U1508),"")</f>
        <v>MANCING</v>
      </c>
      <c r="T1308" s="97" t="s">
        <v>59</v>
      </c>
      <c r="U1308" s="105">
        <v>4.0</v>
      </c>
      <c r="V1308" s="101"/>
      <c r="W1308" s="106" t="b">
        <v>1</v>
      </c>
      <c r="X1308" s="107"/>
      <c r="Y1308" s="108"/>
    </row>
    <row r="1309" ht="22.5" customHeight="1">
      <c r="A1309" s="96"/>
      <c r="B1309" s="97" t="s">
        <v>53</v>
      </c>
      <c r="C1309" s="98" t="str">
        <f t="array" ref="C1309">IFNA(XLOOKUP(J1309,'⚙️ Pengaturan'!$H$5:$H1508,'⚙️ Pengaturan'!$I$5:$I1508),"")</f>
        <v>TIM A</v>
      </c>
      <c r="D1309" s="97" t="s">
        <v>54</v>
      </c>
      <c r="E1309" s="99">
        <v>46008.0</v>
      </c>
      <c r="F1309" s="100" t="str">
        <f t="shared" si="1"/>
        <v>2025</v>
      </c>
      <c r="G1309" s="100" t="str">
        <f t="shared" si="2"/>
        <v>12Des</v>
      </c>
      <c r="H1309" s="100" t="str">
        <f t="shared" si="3"/>
        <v>Rabu</v>
      </c>
      <c r="I1309" s="97" t="s">
        <v>55</v>
      </c>
      <c r="J1309" s="97" t="s">
        <v>79</v>
      </c>
      <c r="K1309" s="97" t="s">
        <v>63</v>
      </c>
      <c r="L1309" s="101" t="s">
        <v>108</v>
      </c>
      <c r="M1309" s="102" t="str">
        <f>IFNA(VLOOKUP(L1309,'🙎‍♂️ Pasien'!G:V,2,FALSE),"")</f>
        <v>A5625092572</v>
      </c>
      <c r="N1309" s="103">
        <f>IFNA(VLOOKUP(L1309,'🙎‍♂️ Pasien'!G:L,3,FALSE),"")</f>
        <v>69</v>
      </c>
      <c r="O1309" s="104" t="str">
        <f>IFNA(VLOOKUP(L1309,'🙎‍♂️ Pasien'!G:V,6,FALSE),"")</f>
        <v>PEREMPUAN</v>
      </c>
      <c r="P1309" s="104" t="str">
        <f>IFNA(VLOOKUP(L1309,'🙎‍♂️ Pasien'!G:V,12,FALSE),"")</f>
        <v>ISLAM</v>
      </c>
      <c r="Q1309" s="104" t="str">
        <f>IFNA(VLOOKUP(L1309:L1508,'🙎‍♂️ Pasien'!G:V,13,FALSE),"")</f>
        <v>IRT</v>
      </c>
      <c r="R1309" s="104" t="str">
        <f t="array" ref="R1309">ifna(xlookup(L1309,'🙎‍♂️ Pasien'!$G$5:$G1508,'🙎‍♂️ Pasien'!$T$5:$T1508),"")</f>
        <v>PINGGANG DAN KAKI</v>
      </c>
      <c r="S1309" s="104" t="str">
        <f t="array" ref="S1309">ifna(xlookup(L1309,'🙎‍♂️ Pasien'!$G$5:$G1508,'🙎‍♂️ Pasien'!$U$5:$U1508),"")</f>
        <v>-</v>
      </c>
      <c r="T1309" s="97" t="s">
        <v>59</v>
      </c>
      <c r="U1309" s="105">
        <v>1.0</v>
      </c>
      <c r="V1309" s="101"/>
      <c r="W1309" s="106" t="b">
        <v>1</v>
      </c>
      <c r="X1309" s="107"/>
      <c r="Y1309" s="108"/>
    </row>
    <row r="1310" ht="22.5" customHeight="1">
      <c r="A1310" s="96"/>
      <c r="B1310" s="97" t="s">
        <v>53</v>
      </c>
      <c r="C1310" s="98" t="str">
        <f t="array" ref="C1310">IFNA(XLOOKUP(J1310,'⚙️ Pengaturan'!$H$5:$H1508,'⚙️ Pengaturan'!$I$5:$I1508),"")</f>
        <v>TIM A</v>
      </c>
      <c r="D1310" s="97" t="s">
        <v>54</v>
      </c>
      <c r="E1310" s="99">
        <v>46008.0</v>
      </c>
      <c r="F1310" s="100" t="str">
        <f t="shared" si="1"/>
        <v>2025</v>
      </c>
      <c r="G1310" s="100" t="str">
        <f t="shared" si="2"/>
        <v>12Des</v>
      </c>
      <c r="H1310" s="100" t="str">
        <f t="shared" si="3"/>
        <v>Rabu</v>
      </c>
      <c r="I1310" s="97" t="s">
        <v>65</v>
      </c>
      <c r="J1310" s="97" t="s">
        <v>72</v>
      </c>
      <c r="K1310" s="97" t="s">
        <v>63</v>
      </c>
      <c r="L1310" s="101" t="s">
        <v>720</v>
      </c>
      <c r="M1310" s="102" t="str">
        <f>IFNA(VLOOKUP(L1310,'🙎‍♂️ Pasien'!G:V,2,FALSE),"")</f>
        <v>G8425125725</v>
      </c>
      <c r="N1310" s="103">
        <f>IFNA(VLOOKUP(L1310,'🙎‍♂️ Pasien'!G:L,3,FALSE),"")</f>
        <v>41</v>
      </c>
      <c r="O1310" s="104" t="str">
        <f>IFNA(VLOOKUP(L1310,'🙎‍♂️ Pasien'!G:V,6,FALSE),"")</f>
        <v>PEREMPUAN</v>
      </c>
      <c r="P1310" s="104" t="str">
        <f>IFNA(VLOOKUP(L1310,'🙎‍♂️ Pasien'!G:V,12,FALSE),"")</f>
        <v>ISLAM</v>
      </c>
      <c r="Q1310" s="104" t="str">
        <f>IFNA(VLOOKUP(L1310:L1508,'🙎‍♂️ Pasien'!G:V,13,FALSE),"")</f>
        <v>WIRAUSAHA</v>
      </c>
      <c r="R1310" s="104" t="str">
        <f t="array" ref="R1310">ifna(xlookup(L1310,'🙎‍♂️ Pasien'!$G$5:$G1508,'🙎‍♂️ Pasien'!$T$5:$T1508),"")</f>
        <v>STORKE RINGAN (KAKI KURANG KOKOH)</v>
      </c>
      <c r="S1310" s="104" t="str">
        <f t="array" ref="S1310">ifna(xlookup(L1310,'🙎‍♂️ Pasien'!$G$5:$G1508,'🙎‍♂️ Pasien'!$U$5:$U1508),"")</f>
        <v>AKTIVITAS BEKERJA SEHARI HARI MEETING DGN KLIEN</v>
      </c>
      <c r="T1310" s="97" t="s">
        <v>59</v>
      </c>
      <c r="U1310" s="105">
        <v>1.0</v>
      </c>
      <c r="V1310" s="101"/>
      <c r="W1310" s="106" t="b">
        <v>1</v>
      </c>
      <c r="X1310" s="107"/>
      <c r="Y1310" s="108"/>
    </row>
    <row r="1311" ht="22.5" customHeight="1">
      <c r="A1311" s="96"/>
      <c r="B1311" s="97" t="s">
        <v>53</v>
      </c>
      <c r="C1311" s="98" t="str">
        <f t="array" ref="C1311">IFNA(XLOOKUP(J1311,'⚙️ Pengaturan'!$H$5:$H1508,'⚙️ Pengaturan'!$I$5:$I1508),"")</f>
        <v>TIM Y</v>
      </c>
      <c r="D1311" s="97" t="s">
        <v>54</v>
      </c>
      <c r="E1311" s="99">
        <v>46008.0</v>
      </c>
      <c r="F1311" s="100" t="str">
        <f t="shared" si="1"/>
        <v>2025</v>
      </c>
      <c r="G1311" s="100" t="str">
        <f t="shared" si="2"/>
        <v>12Des</v>
      </c>
      <c r="H1311" s="100" t="str">
        <f t="shared" si="3"/>
        <v>Rabu</v>
      </c>
      <c r="I1311" s="97" t="s">
        <v>65</v>
      </c>
      <c r="J1311" s="97" t="s">
        <v>56</v>
      </c>
      <c r="K1311" s="97" t="s">
        <v>69</v>
      </c>
      <c r="L1311" s="101" t="s">
        <v>561</v>
      </c>
      <c r="M1311" s="102" t="str">
        <f>IFNA(VLOOKUP(L1311,'🙎‍♂️ Pasien'!G:V,2,FALSE),"")</f>
        <v>S7325119020</v>
      </c>
      <c r="N1311" s="103">
        <f>IFNA(VLOOKUP(L1311,'🙎‍♂️ Pasien'!G:L,3,FALSE),"")</f>
        <v>52</v>
      </c>
      <c r="O1311" s="104" t="str">
        <f>IFNA(VLOOKUP(L1311,'🙎‍♂️ Pasien'!G:V,6,FALSE),"")</f>
        <v>LAKI-LAKI</v>
      </c>
      <c r="P1311" s="104" t="str">
        <f>IFNA(VLOOKUP(L1311,'🙎‍♂️ Pasien'!G:V,12,FALSE),"")</f>
        <v>ISLAM</v>
      </c>
      <c r="Q1311" s="104" t="str">
        <f>IFNA(VLOOKUP(L1311:L1508,'🙎‍♂️ Pasien'!G:V,13,FALSE),"")</f>
        <v>TIDAK BEKERJA</v>
      </c>
      <c r="R1311" s="104" t="str">
        <f t="array" ref="R1311">ifna(xlookup(L1311,'🙎‍♂️ Pasien'!$G$5:$G1508,'🙎‍♂️ Pasien'!$T$5:$T1508),"")</f>
        <v>TANGAN KAKI SEBELAH KANAN TIDAK BISA BERGERAK</v>
      </c>
      <c r="S1311" s="104" t="str">
        <f t="array" ref="S1311">ifna(xlookup(L1311,'🙎‍♂️ Pasien'!$G$5:$G1508,'🙎‍♂️ Pasien'!$U$5:$U1508),"")</f>
        <v>-</v>
      </c>
      <c r="T1311" s="97" t="s">
        <v>59</v>
      </c>
      <c r="U1311" s="105" t="s">
        <v>60</v>
      </c>
      <c r="V1311" s="101"/>
      <c r="W1311" s="106" t="b">
        <v>1</v>
      </c>
      <c r="X1311" s="107"/>
      <c r="Y1311" s="108"/>
    </row>
    <row r="1312" ht="22.5" customHeight="1">
      <c r="A1312" s="96"/>
      <c r="B1312" s="97" t="s">
        <v>53</v>
      </c>
      <c r="C1312" s="98" t="str">
        <f t="array" ref="C1312">IFNA(XLOOKUP(J1312,'⚙️ Pengaturan'!$H$5:$H1508,'⚙️ Pengaturan'!$I$5:$I1508),"")</f>
        <v>TIM Y</v>
      </c>
      <c r="D1312" s="97" t="s">
        <v>54</v>
      </c>
      <c r="E1312" s="99">
        <v>46008.0</v>
      </c>
      <c r="F1312" s="100" t="str">
        <f t="shared" si="1"/>
        <v>2025</v>
      </c>
      <c r="G1312" s="100" t="str">
        <f t="shared" si="2"/>
        <v>12Des</v>
      </c>
      <c r="H1312" s="100" t="str">
        <f t="shared" si="3"/>
        <v>Rabu</v>
      </c>
      <c r="I1312" s="97" t="s">
        <v>76</v>
      </c>
      <c r="J1312" s="97" t="s">
        <v>56</v>
      </c>
      <c r="K1312" s="97" t="s">
        <v>57</v>
      </c>
      <c r="L1312" s="101" t="s">
        <v>734</v>
      </c>
      <c r="M1312" s="102" t="str">
        <f>IFNA(VLOOKUP(L1312,'🙎‍♂️ Pasien'!G:V,2,FALSE),"")</f>
        <v>A0724125118</v>
      </c>
      <c r="N1312" s="103">
        <f>IFNA(VLOOKUP(L1312,'🙎‍♂️ Pasien'!G:L,3,FALSE),"")</f>
        <v>18</v>
      </c>
      <c r="O1312" s="104" t="str">
        <f>IFNA(VLOOKUP(L1312,'🙎‍♂️ Pasien'!G:V,6,FALSE),"")</f>
        <v>LAKI-LAKI</v>
      </c>
      <c r="P1312" s="104" t="str">
        <f>IFNA(VLOOKUP(L1312,'🙎‍♂️ Pasien'!G:V,12,FALSE),"")</f>
        <v>ISLAM</v>
      </c>
      <c r="Q1312" s="104" t="str">
        <f>IFNA(VLOOKUP(L1312:L1508,'🙎‍♂️ Pasien'!G:V,13,FALSE),"")</f>
        <v>PELAJAR/MAHASISWA</v>
      </c>
      <c r="R1312" s="104" t="str">
        <f t="array" ref="R1312">ifna(xlookup(L1312,'🙎‍♂️ Pasien'!$G$5:$G1508,'🙎‍♂️ Pasien'!$T$5:$T1508),"")</f>
        <v>cedera lutut oprasi</v>
      </c>
      <c r="S1312" s="104" t="str">
        <f t="array" ref="S1312">ifna(xlookup(L1312,'🙎‍♂️ Pasien'!$G$5:$G1508,'🙎‍♂️ Pasien'!$U$5:$U1508),"")</f>
        <v>futsal</v>
      </c>
      <c r="T1312" s="97" t="s">
        <v>59</v>
      </c>
      <c r="U1312" s="105" t="s">
        <v>60</v>
      </c>
      <c r="V1312" s="101"/>
      <c r="W1312" s="106" t="b">
        <v>1</v>
      </c>
      <c r="X1312" s="107"/>
      <c r="Y1312" s="108"/>
    </row>
    <row r="1313" ht="22.5" customHeight="1">
      <c r="A1313" s="96"/>
      <c r="B1313" s="97" t="s">
        <v>53</v>
      </c>
      <c r="C1313" s="98" t="str">
        <f t="array" ref="C1313">IFNA(XLOOKUP(J1313,'⚙️ Pengaturan'!$H$5:$H1508,'⚙️ Pengaturan'!$I$5:$I1508),"")</f>
        <v>TIM A</v>
      </c>
      <c r="D1313" s="97" t="s">
        <v>54</v>
      </c>
      <c r="E1313" s="99">
        <v>46008.0</v>
      </c>
      <c r="F1313" s="100" t="str">
        <f t="shared" si="1"/>
        <v>2025</v>
      </c>
      <c r="G1313" s="100" t="str">
        <f t="shared" si="2"/>
        <v>12Des</v>
      </c>
      <c r="H1313" s="100" t="str">
        <f t="shared" si="3"/>
        <v>Rabu</v>
      </c>
      <c r="I1313" s="97" t="s">
        <v>76</v>
      </c>
      <c r="J1313" s="97" t="s">
        <v>79</v>
      </c>
      <c r="K1313" s="97" t="s">
        <v>69</v>
      </c>
      <c r="L1313" s="101" t="s">
        <v>182</v>
      </c>
      <c r="M1313" s="102" t="str">
        <f>IFNA(VLOOKUP(L1313,'🙎‍♂️ Pasien'!G:V,2,FALSE),"")</f>
        <v>J8823019998</v>
      </c>
      <c r="N1313" s="103">
        <f>IFNA(VLOOKUP(L1313,'🙎‍♂️ Pasien'!G:L,3,FALSE),"")</f>
        <v>38</v>
      </c>
      <c r="O1313" s="104" t="str">
        <f>IFNA(VLOOKUP(L1313,'🙎‍♂️ Pasien'!G:V,6,FALSE),"")</f>
        <v>LAKI-LAKI</v>
      </c>
      <c r="P1313" s="104" t="str">
        <f>IFNA(VLOOKUP(L1313,'🙎‍♂️ Pasien'!G:V,12,FALSE),"")</f>
        <v>BUDDHA</v>
      </c>
      <c r="Q1313" s="104" t="str">
        <f>IFNA(VLOOKUP(L1313:L1508,'🙎‍♂️ Pasien'!G:V,13,FALSE),"")</f>
        <v>WIRASWASTA</v>
      </c>
      <c r="R1313" s="104" t="str">
        <f t="array" ref="R1313">ifna(xlookup(L1313,'🙎‍♂️ Pasien'!$G$5:$G1508,'🙎‍♂️ Pasien'!$T$5:$T1508),"")</f>
        <v>STROKE</v>
      </c>
      <c r="S1313" s="104" t="str">
        <f t="array" ref="S1313">ifna(xlookup(L1313,'🙎‍♂️ Pasien'!$G$5:$G1508,'🙎‍♂️ Pasien'!$U$5:$U1508),"")</f>
        <v>-</v>
      </c>
      <c r="T1313" s="97" t="s">
        <v>67</v>
      </c>
      <c r="U1313" s="105" t="s">
        <v>60</v>
      </c>
      <c r="V1313" s="101" t="s">
        <v>735</v>
      </c>
      <c r="W1313" s="106" t="b">
        <v>1</v>
      </c>
      <c r="X1313" s="107"/>
      <c r="Y1313" s="108"/>
    </row>
    <row r="1314" ht="22.5" customHeight="1">
      <c r="A1314" s="96"/>
      <c r="B1314" s="97" t="s">
        <v>53</v>
      </c>
      <c r="C1314" s="98" t="str">
        <f t="array" ref="C1314">IFNA(XLOOKUP(J1314,'⚙️ Pengaturan'!$H$5:$H1508,'⚙️ Pengaturan'!$I$5:$I1508),"")</f>
        <v>MANAJEMEN</v>
      </c>
      <c r="D1314" s="97" t="s">
        <v>54</v>
      </c>
      <c r="E1314" s="99">
        <v>46008.0</v>
      </c>
      <c r="F1314" s="100" t="str">
        <f t="shared" si="1"/>
        <v>2025</v>
      </c>
      <c r="G1314" s="100" t="str">
        <f t="shared" si="2"/>
        <v>12Des</v>
      </c>
      <c r="H1314" s="100" t="str">
        <f t="shared" si="3"/>
        <v>Rabu</v>
      </c>
      <c r="I1314" s="97" t="s">
        <v>76</v>
      </c>
      <c r="J1314" s="97" t="s">
        <v>101</v>
      </c>
      <c r="K1314" s="97" t="s">
        <v>63</v>
      </c>
      <c r="L1314" s="101" t="s">
        <v>534</v>
      </c>
      <c r="M1314" s="102" t="str">
        <f>IFNA(VLOOKUP(L1314,'🙎‍♂️ Pasien'!G:V,2,FALSE),"")</f>
        <v>R6925118000</v>
      </c>
      <c r="N1314" s="103">
        <f>IFNA(VLOOKUP(L1314,'🙎‍♂️ Pasien'!G:L,3,FALSE),"")</f>
        <v>57</v>
      </c>
      <c r="O1314" s="104" t="str">
        <f>IFNA(VLOOKUP(L1314,'🙎‍♂️ Pasien'!G:V,6,FALSE),"")</f>
        <v>PEREMPUAN</v>
      </c>
      <c r="P1314" s="104" t="str">
        <f>IFNA(VLOOKUP(L1314,'🙎‍♂️ Pasien'!G:V,12,FALSE),"")</f>
        <v>KATOLIK</v>
      </c>
      <c r="Q1314" s="104" t="str">
        <f>IFNA(VLOOKUP(L1314:L1508,'🙎‍♂️ Pasien'!G:V,13,FALSE),"")</f>
        <v>RUMAH TANGGA</v>
      </c>
      <c r="R1314" s="104" t="str">
        <f t="array" ref="R1314">ifna(xlookup(L1314,'🙎‍♂️ Pasien'!$G$5:$G1508,'🙎‍♂️ Pasien'!$T$5:$T1508),"")</f>
        <v>KAKI SAKIT</v>
      </c>
      <c r="S1314" s="104" t="str">
        <f t="array" ref="S1314">ifna(xlookup(L1314,'🙎‍♂️ Pasien'!$G$5:$G1508,'🙎‍♂️ Pasien'!$U$5:$U1508),"")</f>
        <v>-</v>
      </c>
      <c r="T1314" s="97" t="s">
        <v>59</v>
      </c>
      <c r="U1314" s="105">
        <v>9.0</v>
      </c>
      <c r="V1314" s="101"/>
      <c r="W1314" s="106" t="b">
        <v>1</v>
      </c>
      <c r="X1314" s="107"/>
      <c r="Y1314" s="108"/>
    </row>
    <row r="1315" ht="22.5" customHeight="1">
      <c r="A1315" s="96"/>
      <c r="B1315" s="97" t="s">
        <v>85</v>
      </c>
      <c r="C1315" s="98" t="str">
        <f t="array" ref="C1315">IFNA(XLOOKUP(J1315,'⚙️ Pengaturan'!$H$5:$H1508,'⚙️ Pengaturan'!$I$5:$I1508),"")</f>
        <v>TIM Y</v>
      </c>
      <c r="D1315" s="97" t="s">
        <v>54</v>
      </c>
      <c r="E1315" s="99">
        <v>46008.0</v>
      </c>
      <c r="F1315" s="100" t="str">
        <f t="shared" si="1"/>
        <v>2025</v>
      </c>
      <c r="G1315" s="100" t="str">
        <f t="shared" si="2"/>
        <v>12Des</v>
      </c>
      <c r="H1315" s="100" t="str">
        <f t="shared" si="3"/>
        <v>Rabu</v>
      </c>
      <c r="I1315" s="97" t="s">
        <v>87</v>
      </c>
      <c r="J1315" s="97" t="s">
        <v>91</v>
      </c>
      <c r="K1315" s="97" t="s">
        <v>69</v>
      </c>
      <c r="L1315" s="101" t="s">
        <v>688</v>
      </c>
      <c r="M1315" s="102" t="str">
        <f>IFNA(VLOOKUP(L1315,'🙎‍♂️ Pasien'!G:V,2,FALSE),"")</f>
        <v>G0225127367</v>
      </c>
      <c r="N1315" s="103">
        <f>IFNA(VLOOKUP(L1315,'🙎‍♂️ Pasien'!G:L,3,FALSE),"")</f>
        <v>24</v>
      </c>
      <c r="O1315" s="104" t="str">
        <f>IFNA(VLOOKUP(L1315,'🙎‍♂️ Pasien'!G:V,6,FALSE),"")</f>
        <v>LAKI-LAKI</v>
      </c>
      <c r="P1315" s="104" t="str">
        <f>IFNA(VLOOKUP(L1315,'🙎‍♂️ Pasien'!G:V,12,FALSE),"")</f>
        <v>KATOLIK</v>
      </c>
      <c r="Q1315" s="104" t="str">
        <f>IFNA(VLOOKUP(L1315:L1508,'🙎‍♂️ Pasien'!G:V,13,FALSE),"")</f>
        <v>MAHASISWA</v>
      </c>
      <c r="R1315" s="104" t="str">
        <f t="array" ref="R1315">ifna(xlookup(L1315,'🙎‍♂️ Pasien'!$G$5:$G1508,'🙎‍♂️ Pasien'!$T$5:$T1508),"")</f>
        <v>CIDERA LUTUT</v>
      </c>
      <c r="S1315" s="104" t="str">
        <f t="array" ref="S1315">ifna(xlookup(L1315,'🙎‍♂️ Pasien'!$G$5:$G1508,'🙎‍♂️ Pasien'!$U$5:$U1508),"")</f>
        <v>SEPAK BOLA</v>
      </c>
      <c r="T1315" s="97" t="s">
        <v>59</v>
      </c>
      <c r="U1315" s="105" t="s">
        <v>60</v>
      </c>
      <c r="V1315" s="101"/>
      <c r="W1315" s="106" t="b">
        <v>1</v>
      </c>
      <c r="X1315" s="107"/>
      <c r="Y1315" s="108"/>
    </row>
    <row r="1316" ht="22.5" customHeight="1">
      <c r="A1316" s="96"/>
      <c r="B1316" s="97" t="s">
        <v>85</v>
      </c>
      <c r="C1316" s="98" t="str">
        <f t="array" ref="C1316">IFNA(XLOOKUP(J1316,'⚙️ Pengaturan'!$H$5:$H1508,'⚙️ Pengaturan'!$I$5:$I1508),"")</f>
        <v>TIM Y</v>
      </c>
      <c r="D1316" s="97" t="s">
        <v>86</v>
      </c>
      <c r="E1316" s="99">
        <v>46008.0</v>
      </c>
      <c r="F1316" s="100" t="str">
        <f t="shared" si="1"/>
        <v>2025</v>
      </c>
      <c r="G1316" s="100" t="str">
        <f t="shared" si="2"/>
        <v>12Des</v>
      </c>
      <c r="H1316" s="100" t="str">
        <f t="shared" si="3"/>
        <v>Rabu</v>
      </c>
      <c r="I1316" s="97" t="s">
        <v>87</v>
      </c>
      <c r="J1316" s="97" t="s">
        <v>509</v>
      </c>
      <c r="K1316" s="97" t="s">
        <v>63</v>
      </c>
      <c r="L1316" s="101" t="s">
        <v>692</v>
      </c>
      <c r="M1316" s="102" t="str">
        <f>IFNA(VLOOKUP(L1316,'🙎‍♂️ Pasien'!G:V,2,FALSE),"")</f>
        <v>R9024087560</v>
      </c>
      <c r="N1316" s="103">
        <f>IFNA(VLOOKUP(L1316,'🙎‍♂️ Pasien'!G:L,3,FALSE),"")</f>
        <v>35</v>
      </c>
      <c r="O1316" s="104" t="str">
        <f>IFNA(VLOOKUP(L1316,'🙎‍♂️ Pasien'!G:V,6,FALSE),"")</f>
        <v>PEREMPUAN</v>
      </c>
      <c r="P1316" s="104" t="str">
        <f>IFNA(VLOOKUP(L1316,'🙎‍♂️ Pasien'!G:V,12,FALSE),"")</f>
        <v>KATOLIK</v>
      </c>
      <c r="Q1316" s="104" t="str">
        <f>IFNA(VLOOKUP(L1316:L1508,'🙎‍♂️ Pasien'!G:V,13,FALSE),"")</f>
        <v>SWASTA</v>
      </c>
      <c r="R1316" s="104" t="str">
        <f t="array" ref="R1316">ifna(xlookup(L1316,'🙎‍♂️ Pasien'!$G$5:$G1508,'🙎‍♂️ Pasien'!$T$5:$T1508),"")</f>
        <v>Syaraf kejepit di L4 dan L5</v>
      </c>
      <c r="S1316" s="104" t="str">
        <f t="array" ref="S1316">ifna(xlookup(L1316,'🙎‍♂️ Pasien'!$G$5:$G1508,'🙎‍♂️ Pasien'!$U$5:$U1508),"")</f>
        <v>Nonton</v>
      </c>
      <c r="T1316" s="97" t="s">
        <v>59</v>
      </c>
      <c r="U1316" s="105">
        <v>4.0</v>
      </c>
      <c r="V1316" s="101"/>
      <c r="W1316" s="106" t="b">
        <v>1</v>
      </c>
      <c r="X1316" s="107"/>
      <c r="Y1316" s="108"/>
    </row>
    <row r="1317" ht="22.5" customHeight="1">
      <c r="A1317" s="96"/>
      <c r="B1317" s="97" t="s">
        <v>85</v>
      </c>
      <c r="C1317" s="98" t="str">
        <f t="array" ref="C1317">IFNA(XLOOKUP(J1317,'⚙️ Pengaturan'!$H$5:$H1508,'⚙️ Pengaturan'!$I$5:$I1508),"")</f>
        <v>TIM Y</v>
      </c>
      <c r="D1317" s="97" t="s">
        <v>86</v>
      </c>
      <c r="E1317" s="99">
        <v>46008.0</v>
      </c>
      <c r="F1317" s="100" t="str">
        <f t="shared" si="1"/>
        <v>2025</v>
      </c>
      <c r="G1317" s="100" t="str">
        <f t="shared" si="2"/>
        <v>12Des</v>
      </c>
      <c r="H1317" s="100" t="str">
        <f t="shared" si="3"/>
        <v>Rabu</v>
      </c>
      <c r="I1317" s="97" t="s">
        <v>93</v>
      </c>
      <c r="J1317" s="97" t="s">
        <v>107</v>
      </c>
      <c r="K1317" s="97" t="s">
        <v>63</v>
      </c>
      <c r="L1317" s="101" t="s">
        <v>573</v>
      </c>
      <c r="M1317" s="102" t="str">
        <f>IFNA(VLOOKUP(L1317,'🙎‍♂️ Pasien'!G:V,2,FALSE),"")</f>
        <v>D0725113899</v>
      </c>
      <c r="N1317" s="103">
        <f>IFNA(VLOOKUP(L1317,'🙎‍♂️ Pasien'!G:L,3,FALSE),"")</f>
        <v>18</v>
      </c>
      <c r="O1317" s="104" t="str">
        <f>IFNA(VLOOKUP(L1317,'🙎‍♂️ Pasien'!G:V,6,FALSE),"")</f>
        <v>PEREMPUAN</v>
      </c>
      <c r="P1317" s="104" t="str">
        <f>IFNA(VLOOKUP(L1317,'🙎‍♂️ Pasien'!G:V,12,FALSE),"")</f>
        <v>PROTESTAN</v>
      </c>
      <c r="Q1317" s="104" t="str">
        <f>IFNA(VLOOKUP(L1317:L1508,'🙎‍♂️ Pasien'!G:V,13,FALSE),"")</f>
        <v>MAHASISWA</v>
      </c>
      <c r="R1317" s="104" t="str">
        <f t="array" ref="R1317">ifna(xlookup(L1317,'🙎‍♂️ Pasien'!$G$5:$G1508,'🙎‍♂️ Pasien'!$T$5:$T1508),"")</f>
        <v>KAKI X</v>
      </c>
      <c r="S1317" s="104" t="str">
        <f t="array" ref="S1317">ifna(xlookup(L1317,'🙎‍♂️ Pasien'!$G$5:$G1508,'🙎‍♂️ Pasien'!$U$5:$U1508),"")</f>
        <v>LARI</v>
      </c>
      <c r="T1317" s="97" t="s">
        <v>59</v>
      </c>
      <c r="U1317" s="105">
        <v>9.0</v>
      </c>
      <c r="V1317" s="101"/>
      <c r="W1317" s="106" t="b">
        <v>1</v>
      </c>
      <c r="X1317" s="107"/>
      <c r="Y1317" s="108"/>
    </row>
    <row r="1318" ht="22.5" customHeight="1">
      <c r="A1318" s="96"/>
      <c r="B1318" s="97" t="s">
        <v>85</v>
      </c>
      <c r="C1318" s="98" t="str">
        <f t="array" ref="C1318">IFNA(XLOOKUP(J1318,'⚙️ Pengaturan'!$H$5:$H1508,'⚙️ Pengaturan'!$I$5:$I1508),"")</f>
        <v>TIM Y</v>
      </c>
      <c r="D1318" s="97" t="s">
        <v>86</v>
      </c>
      <c r="E1318" s="99">
        <v>46008.0</v>
      </c>
      <c r="F1318" s="100" t="str">
        <f t="shared" si="1"/>
        <v>2025</v>
      </c>
      <c r="G1318" s="100" t="str">
        <f t="shared" si="2"/>
        <v>12Des</v>
      </c>
      <c r="H1318" s="100" t="str">
        <f t="shared" si="3"/>
        <v>Rabu</v>
      </c>
      <c r="I1318" s="97" t="s">
        <v>93</v>
      </c>
      <c r="J1318" s="97" t="s">
        <v>107</v>
      </c>
      <c r="K1318" s="97" t="s">
        <v>69</v>
      </c>
      <c r="L1318" s="101" t="s">
        <v>702</v>
      </c>
      <c r="M1318" s="102" t="str">
        <f>IFNA(VLOOKUP(L1318,'🙎‍♂️ Pasien'!G:V,2,FALSE),"")</f>
        <v>W7525122424</v>
      </c>
      <c r="N1318" s="103">
        <f>IFNA(VLOOKUP(L1318,'🙎‍♂️ Pasien'!G:L,3,FALSE),"")</f>
        <v>51</v>
      </c>
      <c r="O1318" s="104" t="str">
        <f>IFNA(VLOOKUP(L1318,'🙎‍♂️ Pasien'!G:V,6,FALSE),"")</f>
        <v>PEREMPUAN</v>
      </c>
      <c r="P1318" s="104" t="str">
        <f>IFNA(VLOOKUP(L1318,'🙎‍♂️ Pasien'!G:V,12,FALSE),"")</f>
        <v>ISLAM</v>
      </c>
      <c r="Q1318" s="104" t="str">
        <f>IFNA(VLOOKUP(L1318:L1508,'🙎‍♂️ Pasien'!G:V,13,FALSE),"")</f>
        <v>IBU RUMAH TANGGA</v>
      </c>
      <c r="R1318" s="104" t="str">
        <f t="array" ref="R1318">ifna(xlookup(L1318,'🙎‍♂️ Pasien'!$G$5:$G1508,'🙎‍♂️ Pasien'!$T$5:$T1508),"")</f>
        <v>NYERI LEHER BAGIAN KANAN</v>
      </c>
      <c r="S1318" s="104" t="str">
        <f t="array" ref="S1318">ifna(xlookup(L1318,'🙎‍♂️ Pasien'!$G$5:$G1508,'🙎‍♂️ Pasien'!$U$5:$U1508),"")</f>
        <v>SULIT UTK MENOLEH KEKANAN</v>
      </c>
      <c r="T1318" s="97" t="s">
        <v>67</v>
      </c>
      <c r="U1318" s="105" t="s">
        <v>60</v>
      </c>
      <c r="V1318" s="101" t="s">
        <v>736</v>
      </c>
      <c r="W1318" s="106" t="b">
        <v>1</v>
      </c>
      <c r="X1318" s="107"/>
      <c r="Y1318" s="108"/>
    </row>
    <row r="1319" ht="22.5" customHeight="1">
      <c r="A1319" s="96"/>
      <c r="B1319" s="97" t="s">
        <v>85</v>
      </c>
      <c r="C1319" s="98" t="str">
        <f t="array" ref="C1319">IFNA(XLOOKUP(J1319,'⚙️ Pengaturan'!$H$5:$H1508,'⚙️ Pengaturan'!$I$5:$I1508),"")</f>
        <v>TIM Y</v>
      </c>
      <c r="D1319" s="97" t="s">
        <v>86</v>
      </c>
      <c r="E1319" s="99">
        <v>46008.0</v>
      </c>
      <c r="F1319" s="100" t="str">
        <f t="shared" si="1"/>
        <v>2025</v>
      </c>
      <c r="G1319" s="100" t="str">
        <f t="shared" si="2"/>
        <v>12Des</v>
      </c>
      <c r="H1319" s="100" t="str">
        <f t="shared" si="3"/>
        <v>Rabu</v>
      </c>
      <c r="I1319" s="97" t="s">
        <v>95</v>
      </c>
      <c r="J1319" s="97" t="s">
        <v>88</v>
      </c>
      <c r="K1319" s="97" t="s">
        <v>63</v>
      </c>
      <c r="L1319" s="101" t="s">
        <v>613</v>
      </c>
      <c r="M1319" s="102" t="str">
        <f>IFNA(VLOOKUP(L1319,'🙎‍♂️ Pasien'!G:V,2,FALSE),"")</f>
        <v>A9625081247</v>
      </c>
      <c r="N1319" s="103">
        <f>IFNA(VLOOKUP(L1319,'🙎‍♂️ Pasien'!G:L,3,FALSE),"")</f>
        <v>30</v>
      </c>
      <c r="O1319" s="104" t="str">
        <f>IFNA(VLOOKUP(L1319,'🙎‍♂️ Pasien'!G:V,6,FALSE),"")</f>
        <v>LAKI-LAKI</v>
      </c>
      <c r="P1319" s="104" t="str">
        <f>IFNA(VLOOKUP(L1319,'🙎‍♂️ Pasien'!G:V,12,FALSE),"")</f>
        <v>ISLAM</v>
      </c>
      <c r="Q1319" s="104" t="str">
        <f>IFNA(VLOOKUP(L1319:L1508,'🙎‍♂️ Pasien'!G:V,13,FALSE),"")</f>
        <v>PPPK</v>
      </c>
      <c r="R1319" s="104" t="str">
        <f t="array" ref="R1319">ifna(xlookup(L1319,'🙎‍♂️ Pasien'!$G$5:$G1508,'🙎‍♂️ Pasien'!$T$5:$T1508),"")</f>
        <v>LUTUT BENGKAK, MENISCUS</v>
      </c>
      <c r="S1319" s="104" t="str">
        <f t="array" ref="S1319">ifna(xlookup(L1319,'🙎‍♂️ Pasien'!$G$5:$G1508,'🙎‍♂️ Pasien'!$U$5:$U1508),"")</f>
        <v>FUTSAL, MINISOCCER</v>
      </c>
      <c r="T1319" s="97" t="s">
        <v>59</v>
      </c>
      <c r="U1319" s="105">
        <v>8.0</v>
      </c>
      <c r="V1319" s="101"/>
      <c r="W1319" s="106" t="b">
        <v>1</v>
      </c>
      <c r="X1319" s="107"/>
      <c r="Y1319" s="108"/>
    </row>
    <row r="1320" ht="22.5" customHeight="1">
      <c r="A1320" s="96"/>
      <c r="B1320" s="97" t="s">
        <v>85</v>
      </c>
      <c r="C1320" s="98" t="str">
        <f t="array" ref="C1320">IFNA(XLOOKUP(J1320,'⚙️ Pengaturan'!$H$5:$H1508,'⚙️ Pengaturan'!$I$5:$I1508),"")</f>
        <v>TIM Y</v>
      </c>
      <c r="D1320" s="97" t="s">
        <v>86</v>
      </c>
      <c r="E1320" s="99">
        <v>46008.0</v>
      </c>
      <c r="F1320" s="100" t="str">
        <f t="shared" si="1"/>
        <v>2025</v>
      </c>
      <c r="G1320" s="100" t="str">
        <f t="shared" si="2"/>
        <v>12Des</v>
      </c>
      <c r="H1320" s="100" t="str">
        <f t="shared" si="3"/>
        <v>Rabu</v>
      </c>
      <c r="I1320" s="97" t="s">
        <v>97</v>
      </c>
      <c r="J1320" s="97" t="s">
        <v>88</v>
      </c>
      <c r="K1320" s="97" t="s">
        <v>63</v>
      </c>
      <c r="L1320" s="101" t="s">
        <v>609</v>
      </c>
      <c r="M1320" s="102" t="str">
        <f>IFNA(VLOOKUP(L1320,'🙎‍♂️ Pasien'!G:V,2,FALSE),"")</f>
        <v>A5125112484</v>
      </c>
      <c r="N1320" s="103">
        <f>IFNA(VLOOKUP(L1320,'🙎‍♂️ Pasien'!G:L,3,FALSE),"")</f>
        <v>74</v>
      </c>
      <c r="O1320" s="104" t="str">
        <f>IFNA(VLOOKUP(L1320,'🙎‍♂️ Pasien'!G:V,6,FALSE),"")</f>
        <v>LAKI-LAKI</v>
      </c>
      <c r="P1320" s="104" t="str">
        <f>IFNA(VLOOKUP(L1320,'🙎‍♂️ Pasien'!G:V,12,FALSE),"")</f>
        <v>ISLAM</v>
      </c>
      <c r="Q1320" s="104" t="str">
        <f>IFNA(VLOOKUP(L1320:L1508,'🙎‍♂️ Pasien'!G:V,13,FALSE),"")</f>
        <v>PETANI</v>
      </c>
      <c r="R1320" s="104" t="str">
        <f t="array" ref="R1320">ifna(xlookup(L1320,'🙎‍♂️ Pasien'!$G$5:$G1508,'🙎‍♂️ Pasien'!$T$5:$T1508),"")</f>
        <v>NYERI DARI PAHA SAMPAI TELAPAK KAKI, STOKE SEBELAH KIRI SEJAK DUA BULAN LALU</v>
      </c>
      <c r="S1320" s="104" t="str">
        <f t="array" ref="S1320">ifna(xlookup(L1320,'🙎‍♂️ Pasien'!$G$5:$G1508,'🙎‍♂️ Pasien'!$U$5:$U1508),"")</f>
        <v>PEROKOK, NGOPI, SUKA MINUM MANIS MANIS</v>
      </c>
      <c r="T1320" s="97" t="s">
        <v>59</v>
      </c>
      <c r="U1320" s="105">
        <v>1.0</v>
      </c>
      <c r="V1320" s="101" t="s">
        <v>243</v>
      </c>
      <c r="W1320" s="106" t="b">
        <v>1</v>
      </c>
      <c r="X1320" s="107"/>
      <c r="Y1320" s="108"/>
    </row>
    <row r="1321" ht="22.5" customHeight="1">
      <c r="A1321" s="96"/>
      <c r="B1321" s="97" t="s">
        <v>85</v>
      </c>
      <c r="C1321" s="98" t="str">
        <f t="array" ref="C1321">IFNA(XLOOKUP(J1321,'⚙️ Pengaturan'!$H$5:$H1508,'⚙️ Pengaturan'!$I$5:$I1508),"")</f>
        <v>TIM Y</v>
      </c>
      <c r="D1321" s="97" t="s">
        <v>86</v>
      </c>
      <c r="E1321" s="99">
        <v>46008.0</v>
      </c>
      <c r="F1321" s="100" t="str">
        <f t="shared" si="1"/>
        <v>2025</v>
      </c>
      <c r="G1321" s="100" t="str">
        <f t="shared" si="2"/>
        <v>12Des</v>
      </c>
      <c r="H1321" s="100" t="str">
        <f t="shared" si="3"/>
        <v>Rabu</v>
      </c>
      <c r="I1321" s="97" t="s">
        <v>99</v>
      </c>
      <c r="J1321" s="97" t="s">
        <v>91</v>
      </c>
      <c r="K1321" s="97" t="s">
        <v>57</v>
      </c>
      <c r="L1321" s="101" t="s">
        <v>737</v>
      </c>
      <c r="M1321" s="102" t="str">
        <f>IFNA(VLOOKUP(L1321,'🙎‍♂️ Pasien'!G:V,2,FALSE),"")</f>
        <v>D7725120078</v>
      </c>
      <c r="N1321" s="103">
        <f>IFNA(VLOOKUP(L1321,'🙎‍♂️ Pasien'!G:L,3,FALSE),"")</f>
        <v>48</v>
      </c>
      <c r="O1321" s="104" t="str">
        <f>IFNA(VLOOKUP(L1321,'🙎‍♂️ Pasien'!G:V,6,FALSE),"")</f>
        <v>LAKI-LAKI</v>
      </c>
      <c r="P1321" s="104" t="str">
        <f>IFNA(VLOOKUP(L1321,'🙎‍♂️ Pasien'!G:V,12,FALSE),"")</f>
        <v>ISLAM</v>
      </c>
      <c r="Q1321" s="104" t="str">
        <f>IFNA(VLOOKUP(L1321:L1508,'🙎‍♂️ Pasien'!G:V,13,FALSE),"")</f>
        <v>TNI</v>
      </c>
      <c r="R1321" s="104" t="str">
        <f t="array" ref="R1321">ifna(xlookup(L1321,'🙎‍♂️ Pasien'!$G$5:$G1508,'🙎‍♂️ Pasien'!$T$5:$T1508),"")</f>
        <v>BAHU</v>
      </c>
      <c r="S1321" s="104" t="str">
        <f t="array" ref="S1321">ifna(xlookup(L1321,'🙎‍♂️ Pasien'!$G$5:$G1508,'🙎‍♂️ Pasien'!$U$5:$U1508),"")</f>
        <v>-</v>
      </c>
      <c r="T1321" s="97" t="s">
        <v>59</v>
      </c>
      <c r="U1321" s="105" t="s">
        <v>60</v>
      </c>
      <c r="V1321" s="101"/>
      <c r="W1321" s="106" t="b">
        <v>1</v>
      </c>
      <c r="X1321" s="107"/>
      <c r="Y1321" s="108"/>
    </row>
    <row r="1322" ht="22.5" customHeight="1">
      <c r="A1322" s="96"/>
      <c r="B1322" s="97" t="s">
        <v>85</v>
      </c>
      <c r="C1322" s="98" t="str">
        <f t="array" ref="C1322">IFNA(XLOOKUP(J1322,'⚙️ Pengaturan'!$H$5:$H1508,'⚙️ Pengaturan'!$I$5:$I1508),"")</f>
        <v>TIM Y</v>
      </c>
      <c r="D1322" s="97" t="s">
        <v>86</v>
      </c>
      <c r="E1322" s="99">
        <v>46008.0</v>
      </c>
      <c r="F1322" s="100" t="str">
        <f t="shared" si="1"/>
        <v>2025</v>
      </c>
      <c r="G1322" s="100" t="str">
        <f t="shared" si="2"/>
        <v>12Des</v>
      </c>
      <c r="H1322" s="100" t="str">
        <f t="shared" si="3"/>
        <v>Rabu</v>
      </c>
      <c r="I1322" s="97" t="s">
        <v>99</v>
      </c>
      <c r="J1322" s="97" t="s">
        <v>509</v>
      </c>
      <c r="K1322" s="97" t="s">
        <v>63</v>
      </c>
      <c r="L1322" s="101" t="s">
        <v>703</v>
      </c>
      <c r="M1322" s="102" t="str">
        <f>IFNA(VLOOKUP(L1322,'🙎‍♂️ Pasien'!G:V,2,FALSE),"")</f>
        <v>D8825037244</v>
      </c>
      <c r="N1322" s="103">
        <f>IFNA(VLOOKUP(L1322,'🙎‍♂️ Pasien'!G:L,3,FALSE),"")</f>
        <v>37</v>
      </c>
      <c r="O1322" s="104" t="str">
        <f>IFNA(VLOOKUP(L1322,'🙎‍♂️ Pasien'!G:V,6,FALSE),"")</f>
        <v>PEREMPUAN</v>
      </c>
      <c r="P1322" s="104" t="str">
        <f>IFNA(VLOOKUP(L1322,'🙎‍♂️ Pasien'!G:V,12,FALSE),"")</f>
        <v>ISLAM</v>
      </c>
      <c r="Q1322" s="104" t="str">
        <f>IFNA(VLOOKUP(L1322:L1508,'🙎‍♂️ Pasien'!G:V,13,FALSE),"")</f>
        <v>GURU PPPK</v>
      </c>
      <c r="R1322" s="104" t="str">
        <f t="array" ref="R1322">ifna(xlookup(L1322,'🙎‍♂️ Pasien'!$G$5:$G1508,'🙎‍♂️ Pasien'!$T$5:$T1508),"")</f>
        <v>SPUR DI TUMIT, SAKIT HINGGA BOKONG</v>
      </c>
      <c r="S1322" s="104" t="str">
        <f t="array" ref="S1322">ifna(xlookup(L1322,'🙎‍♂️ Pasien'!$G$5:$G1508,'🙎‍♂️ Pasien'!$U$5:$U1508),"")</f>
        <v>BERKENDARA MOTOR, GERAKAN SEHARI HARI</v>
      </c>
      <c r="T1322" s="97" t="s">
        <v>59</v>
      </c>
      <c r="U1322" s="105">
        <v>2.0</v>
      </c>
      <c r="V1322" s="101"/>
      <c r="W1322" s="106" t="b">
        <v>1</v>
      </c>
      <c r="X1322" s="107"/>
      <c r="Y1322" s="108"/>
    </row>
    <row r="1323" ht="22.5" customHeight="1">
      <c r="A1323" s="96"/>
      <c r="B1323" s="97" t="s">
        <v>85</v>
      </c>
      <c r="C1323" s="98" t="str">
        <f t="array" ref="C1323">IFNA(XLOOKUP(J1323,'⚙️ Pengaturan'!$H$5:$H1508,'⚙️ Pengaturan'!$I$5:$I1508),"")</f>
        <v>TIM Y</v>
      </c>
      <c r="D1323" s="97" t="s">
        <v>86</v>
      </c>
      <c r="E1323" s="99">
        <v>46008.0</v>
      </c>
      <c r="F1323" s="100" t="str">
        <f t="shared" si="1"/>
        <v>2025</v>
      </c>
      <c r="G1323" s="100" t="str">
        <f t="shared" si="2"/>
        <v>12Des</v>
      </c>
      <c r="H1323" s="100" t="str">
        <f t="shared" si="3"/>
        <v>Rabu</v>
      </c>
      <c r="I1323" s="97" t="s">
        <v>99</v>
      </c>
      <c r="J1323" s="97" t="s">
        <v>107</v>
      </c>
      <c r="K1323" s="97" t="s">
        <v>69</v>
      </c>
      <c r="L1323" s="101" t="s">
        <v>702</v>
      </c>
      <c r="M1323" s="102" t="str">
        <f>IFNA(VLOOKUP(L1323,'🙎‍♂️ Pasien'!G:V,2,FALSE),"")</f>
        <v>W7525122424</v>
      </c>
      <c r="N1323" s="103">
        <f>IFNA(VLOOKUP(L1323,'🙎‍♂️ Pasien'!G:L,3,FALSE),"")</f>
        <v>51</v>
      </c>
      <c r="O1323" s="104" t="str">
        <f>IFNA(VLOOKUP(L1323,'🙎‍♂️ Pasien'!G:V,6,FALSE),"")</f>
        <v>PEREMPUAN</v>
      </c>
      <c r="P1323" s="104" t="str">
        <f>IFNA(VLOOKUP(L1323,'🙎‍♂️ Pasien'!G:V,12,FALSE),"")</f>
        <v>ISLAM</v>
      </c>
      <c r="Q1323" s="104" t="str">
        <f>IFNA(VLOOKUP(L1323:L1508,'🙎‍♂️ Pasien'!G:V,13,FALSE),"")</f>
        <v>IBU RUMAH TANGGA</v>
      </c>
      <c r="R1323" s="104" t="str">
        <f t="array" ref="R1323">ifna(xlookup(L1323,'🙎‍♂️ Pasien'!$G$5:$G1508,'🙎‍♂️ Pasien'!$T$5:$T1508),"")</f>
        <v>NYERI LEHER BAGIAN KANAN</v>
      </c>
      <c r="S1323" s="104" t="str">
        <f t="array" ref="S1323">ifna(xlookup(L1323,'🙎‍♂️ Pasien'!$G$5:$G1508,'🙎‍♂️ Pasien'!$U$5:$U1508),"")</f>
        <v>SULIT UTK MENOLEH KEKANAN</v>
      </c>
      <c r="T1323" s="97" t="s">
        <v>59</v>
      </c>
      <c r="U1323" s="105" t="s">
        <v>60</v>
      </c>
      <c r="V1323" s="101"/>
      <c r="W1323" s="106" t="b">
        <v>1</v>
      </c>
      <c r="X1323" s="107"/>
      <c r="Y1323" s="108"/>
    </row>
    <row r="1324" ht="22.5" customHeight="1">
      <c r="A1324" s="96"/>
      <c r="B1324" s="97" t="s">
        <v>53</v>
      </c>
      <c r="C1324" s="98" t="str">
        <f t="array" ref="C1324">IFNA(XLOOKUP(J1324,'⚙️ Pengaturan'!$H$5:$H1508,'⚙️ Pengaturan'!$I$5:$I1508),"")</f>
        <v>TIM Y</v>
      </c>
      <c r="D1324" s="97" t="s">
        <v>54</v>
      </c>
      <c r="E1324" s="99">
        <v>46009.0</v>
      </c>
      <c r="F1324" s="100" t="str">
        <f t="shared" si="1"/>
        <v>2025</v>
      </c>
      <c r="G1324" s="100" t="str">
        <f t="shared" si="2"/>
        <v>12Des</v>
      </c>
      <c r="H1324" s="100" t="str">
        <f t="shared" si="3"/>
        <v>Kamis</v>
      </c>
      <c r="I1324" s="97" t="s">
        <v>55</v>
      </c>
      <c r="J1324" s="97" t="s">
        <v>88</v>
      </c>
      <c r="K1324" s="97" t="s">
        <v>63</v>
      </c>
      <c r="L1324" s="101" t="s">
        <v>627</v>
      </c>
      <c r="M1324" s="102" t="str">
        <f>IFNA(VLOOKUP(L1324,'🙎‍♂️ Pasien'!G:V,2,FALSE),"")</f>
        <v>W8825126959</v>
      </c>
      <c r="N1324" s="103">
        <f>IFNA(VLOOKUP(L1324,'🙎‍♂️ Pasien'!G:L,3,FALSE),"")</f>
        <v>37</v>
      </c>
      <c r="O1324" s="104" t="str">
        <f>IFNA(VLOOKUP(L1324,'🙎‍♂️ Pasien'!G:V,6,FALSE),"")</f>
        <v>LAKI-LAKI</v>
      </c>
      <c r="P1324" s="104" t="str">
        <f>IFNA(VLOOKUP(L1324,'🙎‍♂️ Pasien'!G:V,12,FALSE),"")</f>
        <v>ISLAM</v>
      </c>
      <c r="Q1324" s="104" t="str">
        <f>IFNA(VLOOKUP(L1324:L1508,'🙎‍♂️ Pasien'!G:V,13,FALSE),"")</f>
        <v>WIRASWASTA</v>
      </c>
      <c r="R1324" s="104" t="str">
        <f t="array" ref="R1324">ifna(xlookup(L1324,'🙎‍♂️ Pasien'!$G$5:$G1508,'🙎‍♂️ Pasien'!$T$5:$T1508),"")</f>
        <v>PINGGANG</v>
      </c>
      <c r="S1324" s="104" t="str">
        <f t="array" ref="S1324">ifna(xlookup(L1324,'🙎‍♂️ Pasien'!$G$5:$G1508,'🙎‍♂️ Pasien'!$U$5:$U1508),"")</f>
        <v>-</v>
      </c>
      <c r="T1324" s="97" t="s">
        <v>59</v>
      </c>
      <c r="U1324" s="105">
        <v>7.0</v>
      </c>
      <c r="V1324" s="101"/>
      <c r="W1324" s="106" t="b">
        <v>1</v>
      </c>
      <c r="X1324" s="107"/>
      <c r="Y1324" s="108"/>
    </row>
    <row r="1325" ht="22.5" customHeight="1">
      <c r="A1325" s="96"/>
      <c r="B1325" s="97" t="s">
        <v>53</v>
      </c>
      <c r="C1325" s="98" t="str">
        <f t="array" ref="C1325">IFNA(XLOOKUP(J1325,'⚙️ Pengaturan'!$H$5:$H1508,'⚙️ Pengaturan'!$I$5:$I1508),"")</f>
        <v>TIM Y</v>
      </c>
      <c r="D1325" s="97" t="s">
        <v>54</v>
      </c>
      <c r="E1325" s="99">
        <v>46009.0</v>
      </c>
      <c r="F1325" s="100" t="str">
        <f t="shared" si="1"/>
        <v>2025</v>
      </c>
      <c r="G1325" s="100" t="str">
        <f t="shared" si="2"/>
        <v>12Des</v>
      </c>
      <c r="H1325" s="100" t="str">
        <f t="shared" si="3"/>
        <v>Kamis</v>
      </c>
      <c r="I1325" s="97" t="s">
        <v>65</v>
      </c>
      <c r="J1325" s="97" t="s">
        <v>88</v>
      </c>
      <c r="K1325" s="97" t="s">
        <v>69</v>
      </c>
      <c r="L1325" s="101" t="s">
        <v>693</v>
      </c>
      <c r="M1325" s="102" t="str">
        <f>IFNA(VLOOKUP(L1325,'🙎‍♂️ Pasien'!G:V,2,FALSE),"")</f>
        <v>A6825060057</v>
      </c>
      <c r="N1325" s="103">
        <f>IFNA(VLOOKUP(L1325,'🙎‍♂️ Pasien'!G:L,3,FALSE),"")</f>
        <v>58</v>
      </c>
      <c r="O1325" s="104" t="str">
        <f>IFNA(VLOOKUP(L1325,'🙎‍♂️ Pasien'!G:V,6,FALSE),"")</f>
        <v>LAKI-LAKI</v>
      </c>
      <c r="P1325" s="104" t="str">
        <f>IFNA(VLOOKUP(L1325,'🙎‍♂️ Pasien'!G:V,12,FALSE),"")</f>
        <v>ISLAM</v>
      </c>
      <c r="Q1325" s="104" t="str">
        <f>IFNA(VLOOKUP(L1325:L1508,'🙎‍♂️ Pasien'!G:V,13,FALSE),"")</f>
        <v>PENSIUNAN</v>
      </c>
      <c r="R1325" s="104" t="str">
        <f t="array" ref="R1325">ifna(xlookup(L1325,'🙎‍♂️ Pasien'!$G$5:$G1508,'🙎‍♂️ Pasien'!$T$5:$T1508),"")</f>
        <v>NYERI DITUMIT DAN UJUNG TELAPAK KAKI</v>
      </c>
      <c r="S1325" s="104" t="str">
        <f t="array" ref="S1325">ifna(xlookup(L1325,'🙎‍♂️ Pasien'!$G$5:$G1508,'🙎‍♂️ Pasien'!$U$5:$U1508),"")</f>
        <v>FITNES</v>
      </c>
      <c r="T1325" s="97" t="s">
        <v>59</v>
      </c>
      <c r="U1325" s="105" t="s">
        <v>60</v>
      </c>
      <c r="V1325" s="101"/>
      <c r="W1325" s="106" t="b">
        <v>1</v>
      </c>
      <c r="X1325" s="107"/>
      <c r="Y1325" s="108"/>
    </row>
    <row r="1326" ht="22.5" customHeight="1">
      <c r="A1326" s="96"/>
      <c r="B1326" s="97" t="s">
        <v>53</v>
      </c>
      <c r="C1326" s="98" t="str">
        <f t="array" ref="C1326">IFNA(XLOOKUP(J1326,'⚙️ Pengaturan'!$H$5:$H1508,'⚙️ Pengaturan'!$I$5:$I1508),"")</f>
        <v>TIM Y</v>
      </c>
      <c r="D1326" s="97" t="s">
        <v>54</v>
      </c>
      <c r="E1326" s="99">
        <v>46009.0</v>
      </c>
      <c r="F1326" s="100" t="str">
        <f t="shared" si="1"/>
        <v>2025</v>
      </c>
      <c r="G1326" s="100" t="str">
        <f t="shared" si="2"/>
        <v>12Des</v>
      </c>
      <c r="H1326" s="100" t="str">
        <f t="shared" si="3"/>
        <v>Kamis</v>
      </c>
      <c r="I1326" s="97" t="s">
        <v>65</v>
      </c>
      <c r="J1326" s="97" t="s">
        <v>107</v>
      </c>
      <c r="K1326" s="97" t="s">
        <v>63</v>
      </c>
      <c r="L1326" s="101" t="s">
        <v>543</v>
      </c>
      <c r="M1326" s="102" t="str">
        <f>IFNA(VLOOKUP(L1326,'🙎‍♂️ Pasien'!G:V,2,FALSE),"")</f>
        <v>A8725115557</v>
      </c>
      <c r="N1326" s="103">
        <f>IFNA(VLOOKUP(L1326,'🙎‍♂️ Pasien'!G:L,3,FALSE),"")</f>
        <v>38</v>
      </c>
      <c r="O1326" s="104" t="str">
        <f>IFNA(VLOOKUP(L1326,'🙎‍♂️ Pasien'!G:V,6,FALSE),"")</f>
        <v>PEREMPUAN</v>
      </c>
      <c r="P1326" s="104" t="str">
        <f>IFNA(VLOOKUP(L1326,'🙎‍♂️ Pasien'!G:V,12,FALSE),"")</f>
        <v>ISLAM</v>
      </c>
      <c r="Q1326" s="104" t="str">
        <f>IFNA(VLOOKUP(L1326:L1508,'🙎‍♂️ Pasien'!G:V,13,FALSE),"")</f>
        <v>KARYAWAN SWASTA</v>
      </c>
      <c r="R1326" s="104" t="str">
        <f t="array" ref="R1326">ifna(xlookup(L1326,'🙎‍♂️ Pasien'!$G$5:$G1508,'🙎‍♂️ Pasien'!$T$5:$T1508),"")</f>
        <v>NYERI SAAT NARIK NAFAS DAN BERGERAK AREA RUSUK DEPAN HINGGA BELAKANG SEBELAH KANAN</v>
      </c>
      <c r="S1326" s="104" t="str">
        <f t="array" ref="S1326">ifna(xlookup(L1326,'🙎‍♂️ Pasien'!$G$5:$G1508,'🙎‍♂️ Pasien'!$U$5:$U1508),"")</f>
        <v>SAAT INI SEDANG BATUK, OLAHRAGA THREADMIL DAN BULU TANGKIS BEBERAPA WAKTU INI</v>
      </c>
      <c r="T1326" s="97" t="s">
        <v>59</v>
      </c>
      <c r="U1326" s="105">
        <v>3.0</v>
      </c>
      <c r="V1326" s="101"/>
      <c r="W1326" s="106" t="b">
        <v>1</v>
      </c>
      <c r="X1326" s="107"/>
      <c r="Y1326" s="108"/>
    </row>
    <row r="1327" ht="22.5" customHeight="1">
      <c r="A1327" s="96"/>
      <c r="B1327" s="97" t="s">
        <v>53</v>
      </c>
      <c r="C1327" s="98" t="str">
        <f t="array" ref="C1327">IFNA(XLOOKUP(J1327,'⚙️ Pengaturan'!$H$5:$H1508,'⚙️ Pengaturan'!$I$5:$I1508),"")</f>
        <v>TIM Y</v>
      </c>
      <c r="D1327" s="97" t="s">
        <v>54</v>
      </c>
      <c r="E1327" s="99">
        <v>46009.0</v>
      </c>
      <c r="F1327" s="100" t="str">
        <f t="shared" si="1"/>
        <v>2025</v>
      </c>
      <c r="G1327" s="100" t="str">
        <f t="shared" si="2"/>
        <v>12Des</v>
      </c>
      <c r="H1327" s="100" t="str">
        <f t="shared" si="3"/>
        <v>Kamis</v>
      </c>
      <c r="I1327" s="97" t="s">
        <v>65</v>
      </c>
      <c r="J1327" s="97" t="s">
        <v>509</v>
      </c>
      <c r="K1327" s="97" t="s">
        <v>57</v>
      </c>
      <c r="L1327" s="101" t="s">
        <v>738</v>
      </c>
      <c r="M1327" s="102" t="str">
        <f>IFNA(VLOOKUP(L1327,'🙎‍♂️ Pasien'!G:V,2,FALSE),"")</f>
        <v>S7125124801</v>
      </c>
      <c r="N1327" s="103">
        <f>IFNA(VLOOKUP(L1327,'🙎‍♂️ Pasien'!G:L,3,FALSE),"")</f>
        <v>55</v>
      </c>
      <c r="O1327" s="104" t="str">
        <f>IFNA(VLOOKUP(L1327,'🙎‍♂️ Pasien'!G:V,6,FALSE),"")</f>
        <v>LAKI-LAKI</v>
      </c>
      <c r="P1327" s="104" t="str">
        <f>IFNA(VLOOKUP(L1327,'🙎‍♂️ Pasien'!G:V,12,FALSE),"")</f>
        <v>ISLAM</v>
      </c>
      <c r="Q1327" s="104" t="str">
        <f>IFNA(VLOOKUP(L1327:L1508,'🙎‍♂️ Pasien'!G:V,13,FALSE),"")</f>
        <v>SWASTA</v>
      </c>
      <c r="R1327" s="104" t="str">
        <f t="array" ref="R1327">ifna(xlookup(L1327,'🙎‍♂️ Pasien'!$G$5:$G1508,'🙎‍♂️ Pasien'!$T$5:$T1508),"")</f>
        <v>KESELEO DIPERGELANGAN KAKI</v>
      </c>
      <c r="S1327" s="104" t="str">
        <f t="array" ref="S1327">ifna(xlookup(L1327,'🙎‍♂️ Pasien'!$G$5:$G1508,'🙎‍♂️ Pasien'!$U$5:$U1508),"")</f>
        <v>OLAH RAGA BADMINTON</v>
      </c>
      <c r="T1327" s="97" t="s">
        <v>59</v>
      </c>
      <c r="U1327" s="105" t="s">
        <v>60</v>
      </c>
      <c r="V1327" s="101"/>
      <c r="W1327" s="106" t="b">
        <v>1</v>
      </c>
      <c r="X1327" s="107"/>
      <c r="Y1327" s="108"/>
    </row>
    <row r="1328" ht="22.5" customHeight="1">
      <c r="A1328" s="96"/>
      <c r="B1328" s="97" t="s">
        <v>53</v>
      </c>
      <c r="C1328" s="98" t="str">
        <f t="array" ref="C1328">IFNA(XLOOKUP(J1328,'⚙️ Pengaturan'!$H$5:$H1508,'⚙️ Pengaturan'!$I$5:$I1508),"")</f>
        <v>TIM Y</v>
      </c>
      <c r="D1328" s="97" t="s">
        <v>54</v>
      </c>
      <c r="E1328" s="99">
        <v>46009.0</v>
      </c>
      <c r="F1328" s="100" t="str">
        <f t="shared" si="1"/>
        <v>2025</v>
      </c>
      <c r="G1328" s="100" t="str">
        <f t="shared" si="2"/>
        <v>12Des</v>
      </c>
      <c r="H1328" s="100" t="str">
        <f t="shared" si="3"/>
        <v>Kamis</v>
      </c>
      <c r="I1328" s="97" t="s">
        <v>74</v>
      </c>
      <c r="J1328" s="97" t="s">
        <v>509</v>
      </c>
      <c r="K1328" s="97" t="s">
        <v>69</v>
      </c>
      <c r="L1328" s="101" t="s">
        <v>694</v>
      </c>
      <c r="M1328" s="102" t="str">
        <f>IFNA(VLOOKUP(L1328,'🙎‍♂️ Pasien'!G:V,2,FALSE),"")</f>
        <v>D0625121108</v>
      </c>
      <c r="N1328" s="103">
        <f>IFNA(VLOOKUP(L1328,'🙎‍♂️ Pasien'!G:L,3,FALSE),"")</f>
        <v>19</v>
      </c>
      <c r="O1328" s="104" t="str">
        <f>IFNA(VLOOKUP(L1328,'🙎‍♂️ Pasien'!G:V,6,FALSE),"")</f>
        <v>LAKI-LAKI</v>
      </c>
      <c r="P1328" s="104" t="str">
        <f>IFNA(VLOOKUP(L1328,'🙎‍♂️ Pasien'!G:V,12,FALSE),"")</f>
        <v>KATOLIK</v>
      </c>
      <c r="Q1328" s="104" t="str">
        <f>IFNA(VLOOKUP(L1328:L1508,'🙎‍♂️ Pasien'!G:V,13,FALSE),"")</f>
        <v>MAHASISWA</v>
      </c>
      <c r="R1328" s="104" t="str">
        <f t="array" ref="R1328">ifna(xlookup(L1328,'🙎‍♂️ Pasien'!$G$5:$G1508,'🙎‍♂️ Pasien'!$T$5:$T1508),"")</f>
        <v>LOWER BACK</v>
      </c>
      <c r="S1328" s="104" t="str">
        <f t="array" ref="S1328">ifna(xlookup(L1328,'🙎‍♂️ Pasien'!$G$5:$G1508,'🙎‍♂️ Pasien'!$U$5:$U1508),"")</f>
        <v>GYM, BASKET</v>
      </c>
      <c r="T1328" s="97" t="s">
        <v>59</v>
      </c>
      <c r="U1328" s="105" t="s">
        <v>60</v>
      </c>
      <c r="V1328" s="101"/>
      <c r="W1328" s="106" t="b">
        <v>1</v>
      </c>
      <c r="X1328" s="107"/>
      <c r="Y1328" s="108"/>
    </row>
    <row r="1329" ht="22.5" customHeight="1">
      <c r="A1329" s="96"/>
      <c r="B1329" s="97" t="s">
        <v>53</v>
      </c>
      <c r="C1329" s="98" t="str">
        <f t="array" ref="C1329">IFNA(XLOOKUP(J1329,'⚙️ Pengaturan'!$H$5:$H1508,'⚙️ Pengaturan'!$I$5:$I1508),"")</f>
        <v>MANAJEMEN</v>
      </c>
      <c r="D1329" s="97" t="s">
        <v>54</v>
      </c>
      <c r="E1329" s="99">
        <v>46009.0</v>
      </c>
      <c r="F1329" s="100" t="str">
        <f t="shared" si="1"/>
        <v>2025</v>
      </c>
      <c r="G1329" s="100" t="str">
        <f t="shared" si="2"/>
        <v>12Des</v>
      </c>
      <c r="H1329" s="100" t="str">
        <f t="shared" si="3"/>
        <v>Kamis</v>
      </c>
      <c r="I1329" s="97" t="s">
        <v>76</v>
      </c>
      <c r="J1329" s="97" t="s">
        <v>101</v>
      </c>
      <c r="K1329" s="97" t="s">
        <v>63</v>
      </c>
      <c r="L1329" s="101" t="s">
        <v>734</v>
      </c>
      <c r="M1329" s="102" t="str">
        <f>IFNA(VLOOKUP(L1329,'🙎‍♂️ Pasien'!G:V,2,FALSE),"")</f>
        <v>A0724125118</v>
      </c>
      <c r="N1329" s="103">
        <f>IFNA(VLOOKUP(L1329,'🙎‍♂️ Pasien'!G:L,3,FALSE),"")</f>
        <v>18</v>
      </c>
      <c r="O1329" s="104" t="str">
        <f>IFNA(VLOOKUP(L1329,'🙎‍♂️ Pasien'!G:V,6,FALSE),"")</f>
        <v>LAKI-LAKI</v>
      </c>
      <c r="P1329" s="104" t="str">
        <f>IFNA(VLOOKUP(L1329,'🙎‍♂️ Pasien'!G:V,12,FALSE),"")</f>
        <v>ISLAM</v>
      </c>
      <c r="Q1329" s="104" t="str">
        <f>IFNA(VLOOKUP(L1329:L1508,'🙎‍♂️ Pasien'!G:V,13,FALSE),"")</f>
        <v>PELAJAR/MAHASISWA</v>
      </c>
      <c r="R1329" s="104" t="str">
        <f t="array" ref="R1329">ifna(xlookup(L1329,'🙎‍♂️ Pasien'!$G$5:$G1508,'🙎‍♂️ Pasien'!$T$5:$T1508),"")</f>
        <v>cedera lutut oprasi</v>
      </c>
      <c r="S1329" s="104" t="str">
        <f t="array" ref="S1329">ifna(xlookup(L1329,'🙎‍♂️ Pasien'!$G$5:$G1508,'🙎‍♂️ Pasien'!$U$5:$U1508),"")</f>
        <v>futsal</v>
      </c>
      <c r="T1329" s="97" t="s">
        <v>59</v>
      </c>
      <c r="U1329" s="105">
        <v>5.0</v>
      </c>
      <c r="V1329" s="101" t="s">
        <v>739</v>
      </c>
      <c r="W1329" s="106" t="b">
        <v>1</v>
      </c>
      <c r="X1329" s="107"/>
      <c r="Y1329" s="108"/>
    </row>
    <row r="1330" ht="22.5" customHeight="1">
      <c r="A1330" s="96"/>
      <c r="B1330" s="97" t="s">
        <v>53</v>
      </c>
      <c r="C1330" s="98" t="str">
        <f t="array" ref="C1330">IFNA(XLOOKUP(J1330,'⚙️ Pengaturan'!$H$5:$H1508,'⚙️ Pengaturan'!$I$5:$I1508),"")</f>
        <v>TIM Y</v>
      </c>
      <c r="D1330" s="97" t="s">
        <v>54</v>
      </c>
      <c r="E1330" s="99">
        <v>46009.0</v>
      </c>
      <c r="F1330" s="100" t="str">
        <f t="shared" si="1"/>
        <v>2025</v>
      </c>
      <c r="G1330" s="100" t="str">
        <f t="shared" si="2"/>
        <v>12Des</v>
      </c>
      <c r="H1330" s="100" t="str">
        <f t="shared" si="3"/>
        <v>Kamis</v>
      </c>
      <c r="I1330" s="97" t="s">
        <v>76</v>
      </c>
      <c r="J1330" s="97" t="s">
        <v>88</v>
      </c>
      <c r="K1330" s="97" t="s">
        <v>135</v>
      </c>
      <c r="L1330" s="101" t="s">
        <v>716</v>
      </c>
      <c r="M1330" s="102" t="str">
        <f>IFNA(VLOOKUP(L1330,'🙎‍♂️ Pasien'!G:V,2,FALSE),"")</f>
        <v>J9725129346</v>
      </c>
      <c r="N1330" s="103">
        <f>IFNA(VLOOKUP(L1330,'🙎‍♂️ Pasien'!G:L,3,FALSE),"")</f>
        <v>29</v>
      </c>
      <c r="O1330" s="104" t="str">
        <f>IFNA(VLOOKUP(L1330,'🙎‍♂️ Pasien'!G:V,6,FALSE),"")</f>
        <v>LAKI-LAKI</v>
      </c>
      <c r="P1330" s="104" t="str">
        <f>IFNA(VLOOKUP(L1330,'🙎‍♂️ Pasien'!G:V,12,FALSE),"")</f>
        <v>ISLAM</v>
      </c>
      <c r="Q1330" s="104" t="str">
        <f>IFNA(VLOOKUP(L1330:L1508,'🙎‍♂️ Pasien'!G:V,13,FALSE),"")</f>
        <v>KARYAWAN SWASTA</v>
      </c>
      <c r="R1330" s="104" t="str">
        <f t="array" ref="R1330">ifna(xlookup(L1330,'🙎‍♂️ Pasien'!$G$5:$G1508,'🙎‍♂️ Pasien'!$T$5:$T1508),"")</f>
        <v>LUTUT</v>
      </c>
      <c r="S1330" s="104" t="str">
        <f t="array" ref="S1330">ifna(xlookup(L1330,'🙎‍♂️ Pasien'!$G$5:$G1508,'🙎‍♂️ Pasien'!$U$5:$U1508),"")</f>
        <v>MAIN BOLA</v>
      </c>
      <c r="T1330" s="97" t="s">
        <v>67</v>
      </c>
      <c r="U1330" s="105" t="s">
        <v>60</v>
      </c>
      <c r="V1330" s="101" t="s">
        <v>740</v>
      </c>
      <c r="W1330" s="106" t="b">
        <v>1</v>
      </c>
      <c r="X1330" s="107"/>
      <c r="Y1330" s="108"/>
    </row>
    <row r="1331" ht="22.5" customHeight="1">
      <c r="A1331" s="96"/>
      <c r="B1331" s="97" t="s">
        <v>53</v>
      </c>
      <c r="C1331" s="98" t="str">
        <f t="array" ref="C1331">IFNA(XLOOKUP(J1331,'⚙️ Pengaturan'!$H$5:$H1508,'⚙️ Pengaturan'!$I$5:$I1508),"")</f>
        <v>TIM Y</v>
      </c>
      <c r="D1331" s="97" t="s">
        <v>54</v>
      </c>
      <c r="E1331" s="99">
        <v>46009.0</v>
      </c>
      <c r="F1331" s="100" t="str">
        <f t="shared" si="1"/>
        <v>2025</v>
      </c>
      <c r="G1331" s="100" t="str">
        <f t="shared" si="2"/>
        <v>12Des</v>
      </c>
      <c r="H1331" s="100" t="str">
        <f t="shared" si="3"/>
        <v>Kamis</v>
      </c>
      <c r="I1331" s="97" t="s">
        <v>83</v>
      </c>
      <c r="J1331" s="97" t="s">
        <v>88</v>
      </c>
      <c r="K1331" s="97" t="s">
        <v>63</v>
      </c>
      <c r="L1331" s="101" t="s">
        <v>672</v>
      </c>
      <c r="M1331" s="102" t="str">
        <f>IFNA(VLOOKUP(L1331,'🙎‍♂️ Pasien'!G:V,2,FALSE),"")</f>
        <v>A9825122289</v>
      </c>
      <c r="N1331" s="103">
        <f>IFNA(VLOOKUP(L1331,'🙎‍♂️ Pasien'!G:L,3,FALSE),"")</f>
        <v>28</v>
      </c>
      <c r="O1331" s="104" t="str">
        <f>IFNA(VLOOKUP(L1331,'🙎‍♂️ Pasien'!G:V,6,FALSE),"")</f>
        <v>LAKI-LAKI</v>
      </c>
      <c r="P1331" s="104" t="str">
        <f>IFNA(VLOOKUP(L1331,'🙎‍♂️ Pasien'!G:V,12,FALSE),"")</f>
        <v>ISLAM</v>
      </c>
      <c r="Q1331" s="104" t="str">
        <f>IFNA(VLOOKUP(L1331:L1508,'🙎‍♂️ Pasien'!G:V,13,FALSE),"")</f>
        <v>DI BANDARA</v>
      </c>
      <c r="R1331" s="104" t="str">
        <f t="array" ref="R1331">ifna(xlookup(L1331,'🙎‍♂️ Pasien'!$G$5:$G1508,'🙎‍♂️ Pasien'!$T$5:$T1508),"")</f>
        <v>PINGGANG SAKIT NYERI SETELAH ANGKAT BEBAN, ENKLE KAKI NYERI KIRI KANAN SUDAH LAMA, DI PERGELANGAN TANGAN KIRI KANAN NYERI AKIBAT ANGKAT BEBAN,JEMPO TANGAN KIRI KESELEO</v>
      </c>
      <c r="S1331" s="104" t="str">
        <f t="array" ref="S1331">ifna(xlookup(L1331,'🙎‍♂️ Pasien'!$G$5:$G1508,'🙎‍♂️ Pasien'!$U$5:$U1508),"")</f>
        <v>GYM, JOGGING, SEPAK BOLA</v>
      </c>
      <c r="T1331" s="97" t="s">
        <v>59</v>
      </c>
      <c r="U1331" s="105">
        <v>3.0</v>
      </c>
      <c r="V1331" s="101"/>
      <c r="W1331" s="106" t="b">
        <v>1</v>
      </c>
      <c r="X1331" s="107"/>
      <c r="Y1331" s="108"/>
    </row>
    <row r="1332" ht="22.5" customHeight="1">
      <c r="A1332" s="96"/>
      <c r="B1332" s="97" t="s">
        <v>85</v>
      </c>
      <c r="C1332" s="98" t="str">
        <f t="array" ref="C1332">IFNA(XLOOKUP(J1332,'⚙️ Pengaturan'!$H$5:$H1508,'⚙️ Pengaturan'!$I$5:$I1508),"")</f>
        <v>TIM Y</v>
      </c>
      <c r="D1332" s="97" t="s">
        <v>86</v>
      </c>
      <c r="E1332" s="99">
        <v>46009.0</v>
      </c>
      <c r="F1332" s="100" t="str">
        <f t="shared" si="1"/>
        <v>2025</v>
      </c>
      <c r="G1332" s="100" t="str">
        <f t="shared" si="2"/>
        <v>12Des</v>
      </c>
      <c r="H1332" s="100" t="str">
        <f t="shared" si="3"/>
        <v>Kamis</v>
      </c>
      <c r="I1332" s="97" t="s">
        <v>87</v>
      </c>
      <c r="J1332" s="97" t="s">
        <v>56</v>
      </c>
      <c r="K1332" s="97" t="s">
        <v>63</v>
      </c>
      <c r="L1332" s="101" t="s">
        <v>119</v>
      </c>
      <c r="M1332" s="102" t="str">
        <f>IFNA(VLOOKUP(L1332,'🙎‍♂️ Pasien'!G:V,2,FALSE),"")</f>
        <v>H4623015667</v>
      </c>
      <c r="N1332" s="103">
        <f>IFNA(VLOOKUP(L1332,'🙎‍♂️ Pasien'!G:L,3,FALSE),"")</f>
        <v>80</v>
      </c>
      <c r="O1332" s="104" t="str">
        <f>IFNA(VLOOKUP(L1332,'🙎‍♂️ Pasien'!G:V,6,FALSE),"")</f>
        <v>LAKI-LAKI</v>
      </c>
      <c r="P1332" s="104" t="str">
        <f>IFNA(VLOOKUP(L1332,'🙎‍♂️ Pasien'!G:V,12,FALSE),"")</f>
        <v>ISLAM</v>
      </c>
      <c r="Q1332" s="104" t="str">
        <f>IFNA(VLOOKUP(L1332:L1508,'🙎‍♂️ Pasien'!G:V,13,FALSE),"")</f>
        <v>PENSIUN</v>
      </c>
      <c r="R1332" s="104" t="str">
        <f t="array" ref="R1332">ifna(xlookup(L1332,'🙎‍♂️ Pasien'!$G$5:$G1508,'🙎‍♂️ Pasien'!$T$5:$T1508),"")</f>
        <v>STROKE</v>
      </c>
      <c r="S1332" s="104" t="str">
        <f t="array" ref="S1332">ifna(xlookup(L1332,'🙎‍♂️ Pasien'!$G$5:$G1508,'🙎‍♂️ Pasien'!$U$5:$U1508),"")</f>
        <v/>
      </c>
      <c r="T1332" s="97" t="s">
        <v>59</v>
      </c>
      <c r="U1332" s="105">
        <v>8.0</v>
      </c>
      <c r="V1332" s="101"/>
      <c r="W1332" s="106" t="b">
        <v>1</v>
      </c>
      <c r="X1332" s="107"/>
      <c r="Y1332" s="108"/>
    </row>
    <row r="1333" ht="22.5" customHeight="1">
      <c r="A1333" s="96"/>
      <c r="B1333" s="97" t="s">
        <v>85</v>
      </c>
      <c r="C1333" s="98" t="str">
        <f t="array" ref="C1333">IFNA(XLOOKUP(J1333,'⚙️ Pengaturan'!$H$5:$H1508,'⚙️ Pengaturan'!$I$5:$I1508),"")</f>
        <v>TIM A</v>
      </c>
      <c r="D1333" s="97" t="s">
        <v>86</v>
      </c>
      <c r="E1333" s="99">
        <v>46009.0</v>
      </c>
      <c r="F1333" s="100" t="str">
        <f t="shared" si="1"/>
        <v>2025</v>
      </c>
      <c r="G1333" s="100" t="str">
        <f t="shared" si="2"/>
        <v>12Des</v>
      </c>
      <c r="H1333" s="100" t="str">
        <f t="shared" si="3"/>
        <v>Kamis</v>
      </c>
      <c r="I1333" s="97" t="s">
        <v>87</v>
      </c>
      <c r="J1333" s="97" t="s">
        <v>79</v>
      </c>
      <c r="K1333" s="97" t="s">
        <v>63</v>
      </c>
      <c r="L1333" s="101" t="s">
        <v>366</v>
      </c>
      <c r="M1333" s="102" t="str">
        <f>IFNA(VLOOKUP(L1333,'🙎‍♂️ Pasien'!G:V,2,FALSE),"")</f>
        <v>S0825106969</v>
      </c>
      <c r="N1333" s="103">
        <f>IFNA(VLOOKUP(L1333,'🙎‍♂️ Pasien'!G:L,3,FALSE),"")</f>
        <v>17</v>
      </c>
      <c r="O1333" s="104" t="str">
        <f>IFNA(VLOOKUP(L1333,'🙎‍♂️ Pasien'!G:V,6,FALSE),"")</f>
        <v>PEREMPUAN</v>
      </c>
      <c r="P1333" s="104" t="str">
        <f>IFNA(VLOOKUP(L1333,'🙎‍♂️ Pasien'!G:V,12,FALSE),"")</f>
        <v>KATOLIK</v>
      </c>
      <c r="Q1333" s="104" t="str">
        <f>IFNA(VLOOKUP(L1333:L1508,'🙎‍♂️ Pasien'!G:V,13,FALSE),"")</f>
        <v>PELAJAR</v>
      </c>
      <c r="R1333" s="104" t="str">
        <f t="array" ref="R1333">ifna(xlookup(L1333,'🙎‍♂️ Pasien'!$G$5:$G1508,'🙎‍♂️ Pasien'!$T$5:$T1508),"")</f>
        <v>KAKI PANJANG PENDEK, SERING SAKIT DI BAGIAN PUNGGUNG BAWAH</v>
      </c>
      <c r="S1333" s="104" t="str">
        <f t="array" ref="S1333">ifna(xlookup(L1333,'🙎‍♂️ Pasien'!$G$5:$G1508,'🙎‍♂️ Pasien'!$U$5:$U1508),"")</f>
        <v>MUAY THAI (BARU BARU INI), GYM (DARI BBRP BULAN LALU), DANCE (SEJAK LAMA UDH DANCE)</v>
      </c>
      <c r="T1333" s="97" t="s">
        <v>67</v>
      </c>
      <c r="U1333" s="105">
        <v>6.0</v>
      </c>
      <c r="V1333" s="101" t="s">
        <v>343</v>
      </c>
      <c r="W1333" s="106" t="b">
        <v>1</v>
      </c>
      <c r="X1333" s="107"/>
      <c r="Y1333" s="108"/>
    </row>
    <row r="1334" ht="22.5" customHeight="1">
      <c r="A1334" s="96"/>
      <c r="B1334" s="97" t="s">
        <v>85</v>
      </c>
      <c r="C1334" s="98" t="str">
        <f t="array" ref="C1334">IFNA(XLOOKUP(J1334,'⚙️ Pengaturan'!$H$5:$H1508,'⚙️ Pengaturan'!$I$5:$I1508),"")</f>
        <v>TIM A</v>
      </c>
      <c r="D1334" s="97" t="s">
        <v>86</v>
      </c>
      <c r="E1334" s="99">
        <v>46009.0</v>
      </c>
      <c r="F1334" s="100" t="str">
        <f t="shared" si="1"/>
        <v>2025</v>
      </c>
      <c r="G1334" s="100" t="str">
        <f t="shared" si="2"/>
        <v>12Des</v>
      </c>
      <c r="H1334" s="100" t="str">
        <f t="shared" si="3"/>
        <v>Kamis</v>
      </c>
      <c r="I1334" s="97" t="s">
        <v>93</v>
      </c>
      <c r="J1334" s="97" t="s">
        <v>79</v>
      </c>
      <c r="K1334" s="97" t="s">
        <v>69</v>
      </c>
      <c r="L1334" s="101" t="s">
        <v>741</v>
      </c>
      <c r="M1334" s="102" t="str">
        <f>IFNA(VLOOKUP(L1334,'🙎‍♂️ Pasien'!G:V,2,FALSE),"")</f>
        <v>J0625127652</v>
      </c>
      <c r="N1334" s="103">
        <f>IFNA(VLOOKUP(L1334,'🙎‍♂️ Pasien'!G:L,3,FALSE),"")</f>
        <v>19</v>
      </c>
      <c r="O1334" s="104" t="str">
        <f>IFNA(VLOOKUP(L1334,'🙎‍♂️ Pasien'!G:V,6,FALSE),"")</f>
        <v>PEREMPUAN</v>
      </c>
      <c r="P1334" s="104" t="str">
        <f>IFNA(VLOOKUP(L1334,'🙎‍♂️ Pasien'!G:V,12,FALSE),"")</f>
        <v>ISLAM</v>
      </c>
      <c r="Q1334" s="104" t="str">
        <f>IFNA(VLOOKUP(L1334:L1508,'🙎‍♂️ Pasien'!G:V,13,FALSE),"")</f>
        <v>PELAJAR</v>
      </c>
      <c r="R1334" s="104" t="str">
        <f t="array" ref="R1334">ifna(xlookup(L1334,'🙎‍♂️ Pasien'!$G$5:$G1508,'🙎‍♂️ Pasien'!$T$5:$T1508),"")</f>
        <v>CEDERA KAKI POST OP AMPUTASI JARI KELINGKING</v>
      </c>
      <c r="S1334" s="104" t="str">
        <f t="array" ref="S1334">ifna(xlookup(L1334,'🙎‍♂️ Pasien'!$G$5:$G1508,'🙎‍♂️ Pasien'!$U$5:$U1508),"")</f>
        <v>TIDAK ADA</v>
      </c>
      <c r="T1334" s="97" t="s">
        <v>59</v>
      </c>
      <c r="U1334" s="105" t="s">
        <v>60</v>
      </c>
      <c r="V1334" s="101"/>
      <c r="W1334" s="106" t="b">
        <v>1</v>
      </c>
      <c r="X1334" s="107"/>
      <c r="Y1334" s="108"/>
    </row>
    <row r="1335" ht="22.5" customHeight="1">
      <c r="A1335" s="96"/>
      <c r="B1335" s="97" t="s">
        <v>85</v>
      </c>
      <c r="C1335" s="98" t="str">
        <f t="array" ref="C1335">IFNA(XLOOKUP(J1335,'⚙️ Pengaturan'!$H$5:$H1508,'⚙️ Pengaturan'!$I$5:$I1508),"")</f>
        <v>TIM A</v>
      </c>
      <c r="D1335" s="97" t="s">
        <v>86</v>
      </c>
      <c r="E1335" s="99">
        <v>46009.0</v>
      </c>
      <c r="F1335" s="100" t="str">
        <f t="shared" si="1"/>
        <v>2025</v>
      </c>
      <c r="G1335" s="100" t="str">
        <f t="shared" si="2"/>
        <v>12Des</v>
      </c>
      <c r="H1335" s="100" t="str">
        <f t="shared" si="3"/>
        <v>Kamis</v>
      </c>
      <c r="I1335" s="97" t="s">
        <v>93</v>
      </c>
      <c r="J1335" s="97" t="s">
        <v>62</v>
      </c>
      <c r="K1335" s="97" t="s">
        <v>63</v>
      </c>
      <c r="L1335" s="101" t="s">
        <v>583</v>
      </c>
      <c r="M1335" s="102" t="str">
        <f>IFNA(VLOOKUP(L1335,'🙎‍♂️ Pasien'!G:V,2,FALSE),"")</f>
        <v>R0025116078</v>
      </c>
      <c r="N1335" s="103">
        <f>IFNA(VLOOKUP(L1335,'🙎‍♂️ Pasien'!G:L,3,FALSE),"")</f>
        <v>25</v>
      </c>
      <c r="O1335" s="104" t="str">
        <f>IFNA(VLOOKUP(L1335,'🙎‍♂️ Pasien'!G:V,6,FALSE),"")</f>
        <v>PEREMPUAN</v>
      </c>
      <c r="P1335" s="104" t="str">
        <f>IFNA(VLOOKUP(L1335,'🙎‍♂️ Pasien'!G:V,12,FALSE),"")</f>
        <v>PROTESTAN</v>
      </c>
      <c r="Q1335" s="104" t="str">
        <f>IFNA(VLOOKUP(L1335:L1508,'🙎‍♂️ Pasien'!G:V,13,FALSE),"")</f>
        <v>WIRASWASTA</v>
      </c>
      <c r="R1335" s="104" t="str">
        <f t="array" ref="R1335">ifna(xlookup(L1335,'🙎‍♂️ Pasien'!$G$5:$G1508,'🙎‍♂️ Pasien'!$T$5:$T1508),"")</f>
        <v>CEDERA BAGIAN JARI</v>
      </c>
      <c r="S1335" s="104" t="str">
        <f t="array" ref="S1335">ifna(xlookup(L1335,'🙎‍♂️ Pasien'!$G$5:$G1508,'🙎‍♂️ Pasien'!$U$5:$U1508),"")</f>
        <v>OLAHRAGA (BELA DIRI TAEKWONDO, WORKOUT)</v>
      </c>
      <c r="T1335" s="97" t="s">
        <v>59</v>
      </c>
      <c r="U1335" s="105">
        <v>4.0</v>
      </c>
      <c r="V1335" s="101"/>
      <c r="W1335" s="106" t="b">
        <v>1</v>
      </c>
      <c r="X1335" s="107"/>
      <c r="Y1335" s="108"/>
    </row>
    <row r="1336" ht="22.5" customHeight="1">
      <c r="A1336" s="96"/>
      <c r="B1336" s="97" t="s">
        <v>85</v>
      </c>
      <c r="C1336" s="98" t="str">
        <f t="array" ref="C1336">IFNA(XLOOKUP(J1336,'⚙️ Pengaturan'!$H$5:$H1508,'⚙️ Pengaturan'!$I$5:$I1508),"")</f>
        <v>TIM A</v>
      </c>
      <c r="D1336" s="97" t="s">
        <v>86</v>
      </c>
      <c r="E1336" s="99">
        <v>46009.0</v>
      </c>
      <c r="F1336" s="100" t="str">
        <f t="shared" si="1"/>
        <v>2025</v>
      </c>
      <c r="G1336" s="100" t="str">
        <f t="shared" si="2"/>
        <v>12Des</v>
      </c>
      <c r="H1336" s="100" t="str">
        <f t="shared" si="3"/>
        <v>Kamis</v>
      </c>
      <c r="I1336" s="97" t="s">
        <v>95</v>
      </c>
      <c r="J1336" s="97" t="s">
        <v>72</v>
      </c>
      <c r="K1336" s="97" t="s">
        <v>63</v>
      </c>
      <c r="L1336" s="101" t="s">
        <v>381</v>
      </c>
      <c r="M1336" s="102" t="str">
        <f>IFNA(VLOOKUP(L1336,'🙎‍♂️ Pasien'!G:V,2,FALSE),"")</f>
        <v>A9925105509</v>
      </c>
      <c r="N1336" s="103">
        <f>IFNA(VLOOKUP(L1336,'🙎‍♂️ Pasien'!G:L,3,FALSE),"")</f>
        <v>27</v>
      </c>
      <c r="O1336" s="104" t="str">
        <f>IFNA(VLOOKUP(L1336,'🙎‍♂️ Pasien'!G:V,6,FALSE),"")</f>
        <v>PEREMPUAN</v>
      </c>
      <c r="P1336" s="104" t="str">
        <f>IFNA(VLOOKUP(L1336,'🙎‍♂️ Pasien'!G:V,12,FALSE),"")</f>
        <v>BUDDHA</v>
      </c>
      <c r="Q1336" s="104" t="str">
        <f>IFNA(VLOOKUP(L1336:L1508,'🙎‍♂️ Pasien'!G:V,13,FALSE),"")</f>
        <v>WIRASWASTA</v>
      </c>
      <c r="R1336" s="104" t="str">
        <f t="array" ref="R1336">ifna(xlookup(L1336,'🙎‍♂️ Pasien'!$G$5:$G1508,'🙎‍♂️ Pasien'!$T$5:$T1508),"")</f>
        <v>KAKI BEKAS ANKLE SPRAIN SUDAH DITRE DAN BAHU PEGAL</v>
      </c>
      <c r="S1336" s="104" t="str">
        <f t="array" ref="S1336">ifna(xlookup(L1336,'🙎‍♂️ Pasien'!$G$5:$G1508,'🙎‍♂️ Pasien'!$U$5:$U1508),"")</f>
        <v>2 MINGGU LALU JATUH DARI KETINGGIAN</v>
      </c>
      <c r="T1336" s="97" t="s">
        <v>59</v>
      </c>
      <c r="U1336" s="105">
        <v>2.0</v>
      </c>
      <c r="V1336" s="101"/>
      <c r="W1336" s="106" t="b">
        <v>1</v>
      </c>
      <c r="X1336" s="107"/>
      <c r="Y1336" s="108"/>
    </row>
    <row r="1337" ht="22.5" customHeight="1">
      <c r="A1337" s="96"/>
      <c r="B1337" s="97" t="s">
        <v>85</v>
      </c>
      <c r="C1337" s="98" t="str">
        <f t="array" ref="C1337">IFNA(XLOOKUP(J1337,'⚙️ Pengaturan'!$H$5:$H1508,'⚙️ Pengaturan'!$I$5:$I1508),"")</f>
        <v>TIM A</v>
      </c>
      <c r="D1337" s="97" t="s">
        <v>86</v>
      </c>
      <c r="E1337" s="99">
        <v>46009.0</v>
      </c>
      <c r="F1337" s="100" t="str">
        <f t="shared" si="1"/>
        <v>2025</v>
      </c>
      <c r="G1337" s="100" t="str">
        <f t="shared" si="2"/>
        <v>12Des</v>
      </c>
      <c r="H1337" s="100" t="str">
        <f t="shared" si="3"/>
        <v>Kamis</v>
      </c>
      <c r="I1337" s="97" t="s">
        <v>97</v>
      </c>
      <c r="J1337" s="97" t="s">
        <v>79</v>
      </c>
      <c r="K1337" s="97" t="s">
        <v>63</v>
      </c>
      <c r="L1337" s="101" t="s">
        <v>540</v>
      </c>
      <c r="M1337" s="102" t="str">
        <f>IFNA(VLOOKUP(L1337,'🙎‍♂️ Pasien'!G:V,2,FALSE),"")</f>
        <v>A9425110177</v>
      </c>
      <c r="N1337" s="103">
        <f>IFNA(VLOOKUP(L1337,'🙎‍♂️ Pasien'!G:L,3,FALSE),"")</f>
        <v>31</v>
      </c>
      <c r="O1337" s="104" t="str">
        <f>IFNA(VLOOKUP(L1337,'🙎‍♂️ Pasien'!G:V,6,FALSE),"")</f>
        <v>LAKI-LAKI</v>
      </c>
      <c r="P1337" s="104" t="str">
        <f>IFNA(VLOOKUP(L1337,'🙎‍♂️ Pasien'!G:V,12,FALSE),"")</f>
        <v>KATOLIK</v>
      </c>
      <c r="Q1337" s="104" t="str">
        <f>IFNA(VLOOKUP(L1337:L1508,'🙎‍♂️ Pasien'!G:V,13,FALSE),"")</f>
        <v>-</v>
      </c>
      <c r="R1337" s="104" t="str">
        <f t="array" ref="R1337">ifna(xlookup(L1337,'🙎‍♂️ Pasien'!$G$5:$G1508,'🙎‍♂️ Pasien'!$T$5:$T1508),"")</f>
        <v>PASCA OPERASI ACL</v>
      </c>
      <c r="S1337" s="104" t="str">
        <f t="array" ref="S1337">ifna(xlookup(L1337,'🙎‍♂️ Pasien'!$G$5:$G1508,'🙎‍♂️ Pasien'!$U$5:$U1508),"")</f>
        <v>-</v>
      </c>
      <c r="T1337" s="97" t="s">
        <v>59</v>
      </c>
      <c r="U1337" s="105">
        <v>8.0</v>
      </c>
      <c r="V1337" s="101"/>
      <c r="W1337" s="106" t="b">
        <v>1</v>
      </c>
      <c r="X1337" s="107"/>
      <c r="Y1337" s="108"/>
    </row>
    <row r="1338" ht="22.5" customHeight="1">
      <c r="A1338" s="96"/>
      <c r="B1338" s="97" t="s">
        <v>85</v>
      </c>
      <c r="C1338" s="98" t="str">
        <f t="array" ref="C1338">IFNA(XLOOKUP(J1338,'⚙️ Pengaturan'!$H$5:$H1508,'⚙️ Pengaturan'!$I$5:$I1508),"")</f>
        <v>TIM A</v>
      </c>
      <c r="D1338" s="97" t="s">
        <v>86</v>
      </c>
      <c r="E1338" s="99">
        <v>46009.0</v>
      </c>
      <c r="F1338" s="100" t="str">
        <f t="shared" si="1"/>
        <v>2025</v>
      </c>
      <c r="G1338" s="100" t="str">
        <f t="shared" si="2"/>
        <v>12Des</v>
      </c>
      <c r="H1338" s="100" t="str">
        <f t="shared" si="3"/>
        <v>Kamis</v>
      </c>
      <c r="I1338" s="97" t="s">
        <v>97</v>
      </c>
      <c r="J1338" s="97" t="s">
        <v>72</v>
      </c>
      <c r="K1338" s="97" t="s">
        <v>69</v>
      </c>
      <c r="L1338" s="101" t="s">
        <v>722</v>
      </c>
      <c r="M1338" s="102" t="str">
        <f>IFNA(VLOOKUP(L1338,'🙎‍♂️ Pasien'!G:V,2,FALSE),"")</f>
        <v>F6125128057</v>
      </c>
      <c r="N1338" s="103">
        <f>IFNA(VLOOKUP(L1338,'🙎‍♂️ Pasien'!G:L,3,FALSE),"")</f>
        <v>64</v>
      </c>
      <c r="O1338" s="104" t="str">
        <f>IFNA(VLOOKUP(L1338,'🙎‍♂️ Pasien'!G:V,6,FALSE),"")</f>
        <v>PEREMPUAN</v>
      </c>
      <c r="P1338" s="104" t="str">
        <f>IFNA(VLOOKUP(L1338,'🙎‍♂️ Pasien'!G:V,12,FALSE),"")</f>
        <v>ISLAM</v>
      </c>
      <c r="Q1338" s="104" t="str">
        <f>IFNA(VLOOKUP(L1338:L1508,'🙎‍♂️ Pasien'!G:V,13,FALSE),"")</f>
        <v>IRT</v>
      </c>
      <c r="R1338" s="104" t="str">
        <f t="array" ref="R1338">ifna(xlookup(L1338,'🙎‍♂️ Pasien'!$G$5:$G1508,'🙎‍♂️ Pasien'!$T$5:$T1508),"")</f>
        <v>SAKIT DI BAGIAN KAKI , AWAL KARNA SQUAT . SEMPAT SEMBUH . TRUS KEPELESET JADI KETRIGGER LAGI</v>
      </c>
      <c r="S1338" s="104" t="str">
        <f t="array" ref="S1338">ifna(xlookup(L1338,'🙎‍♂️ Pasien'!$G$5:$G1508,'🙎‍♂️ Pasien'!$U$5:$U1508),"")</f>
        <v>HANYA SUKA OLAHRAGA PAGI DIRUMAH</v>
      </c>
      <c r="T1338" s="97" t="s">
        <v>59</v>
      </c>
      <c r="U1338" s="105" t="s">
        <v>60</v>
      </c>
      <c r="V1338" s="101"/>
      <c r="W1338" s="106" t="b">
        <v>1</v>
      </c>
      <c r="X1338" s="107"/>
      <c r="Y1338" s="108"/>
    </row>
    <row r="1339" ht="22.5" customHeight="1">
      <c r="A1339" s="96"/>
      <c r="B1339" s="97" t="s">
        <v>85</v>
      </c>
      <c r="C1339" s="98" t="str">
        <f t="array" ref="C1339">IFNA(XLOOKUP(J1339,'⚙️ Pengaturan'!$H$5:$H1508,'⚙️ Pengaturan'!$I$5:$I1508),"")</f>
        <v>TIM A</v>
      </c>
      <c r="D1339" s="97" t="s">
        <v>86</v>
      </c>
      <c r="E1339" s="99">
        <v>46009.0</v>
      </c>
      <c r="F1339" s="100" t="str">
        <f t="shared" si="1"/>
        <v>2025</v>
      </c>
      <c r="G1339" s="100" t="str">
        <f t="shared" si="2"/>
        <v>12Des</v>
      </c>
      <c r="H1339" s="100" t="str">
        <f t="shared" si="3"/>
        <v>Kamis</v>
      </c>
      <c r="I1339" s="97" t="s">
        <v>97</v>
      </c>
      <c r="J1339" s="97" t="s">
        <v>72</v>
      </c>
      <c r="K1339" s="97" t="s">
        <v>63</v>
      </c>
      <c r="L1339" s="101" t="s">
        <v>474</v>
      </c>
      <c r="M1339" s="102" t="str">
        <f>IFNA(VLOOKUP(L1339,'🙎‍♂️ Pasien'!G:V,2,FALSE),"")</f>
        <v>M5325110126</v>
      </c>
      <c r="N1339" s="103">
        <f>IFNA(VLOOKUP(L1339,'🙎‍♂️ Pasien'!G:L,3,FALSE),"")</f>
        <v>73</v>
      </c>
      <c r="O1339" s="104" t="str">
        <f>IFNA(VLOOKUP(L1339,'🙎‍♂️ Pasien'!G:V,6,FALSE),"")</f>
        <v>PEREMPUAN</v>
      </c>
      <c r="P1339" s="104" t="str">
        <f>IFNA(VLOOKUP(L1339,'🙎‍♂️ Pasien'!G:V,12,FALSE),"")</f>
        <v>KATOLIK</v>
      </c>
      <c r="Q1339" s="104" t="str">
        <f>IFNA(VLOOKUP(L1339:L1508,'🙎‍♂️ Pasien'!G:V,13,FALSE),"")</f>
        <v>IBU RUMAH TANGGA</v>
      </c>
      <c r="R1339" s="104" t="str">
        <f t="array" ref="R1339">ifna(xlookup(L1339,'🙎‍♂️ Pasien'!$G$5:$G1508,'🙎‍♂️ Pasien'!$T$5:$T1508),"")</f>
        <v>SAKIT &amp; SUSAH GERAK PAKA LUTUT</v>
      </c>
      <c r="S1339" s="104" t="str">
        <f t="array" ref="S1339">ifna(xlookup(L1339,'🙎‍♂️ Pasien'!$G$5:$G1508,'🙎‍♂️ Pasien'!$U$5:$U1508),"")</f>
        <v>AKTIVITAS RUMAH TANGGA</v>
      </c>
      <c r="T1339" s="97" t="s">
        <v>67</v>
      </c>
      <c r="U1339" s="105">
        <v>4.0</v>
      </c>
      <c r="V1339" s="101" t="s">
        <v>742</v>
      </c>
      <c r="W1339" s="106" t="b">
        <v>1</v>
      </c>
      <c r="X1339" s="107"/>
      <c r="Y1339" s="108"/>
    </row>
    <row r="1340" ht="22.5" customHeight="1">
      <c r="A1340" s="96"/>
      <c r="B1340" s="97" t="s">
        <v>85</v>
      </c>
      <c r="C1340" s="98" t="str">
        <f t="array" ref="C1340">IFNA(XLOOKUP(J1340,'⚙️ Pengaturan'!$H$5:$H1508,'⚙️ Pengaturan'!$I$5:$I1508),"")</f>
        <v>TIM Y</v>
      </c>
      <c r="D1340" s="97" t="s">
        <v>86</v>
      </c>
      <c r="E1340" s="99">
        <v>46009.0</v>
      </c>
      <c r="F1340" s="100" t="str">
        <f t="shared" si="1"/>
        <v>2025</v>
      </c>
      <c r="G1340" s="100" t="str">
        <f t="shared" si="2"/>
        <v>12Des</v>
      </c>
      <c r="H1340" s="100" t="str">
        <f t="shared" si="3"/>
        <v>Kamis</v>
      </c>
      <c r="I1340" s="97" t="s">
        <v>99</v>
      </c>
      <c r="J1340" s="97" t="s">
        <v>56</v>
      </c>
      <c r="K1340" s="97" t="s">
        <v>63</v>
      </c>
      <c r="L1340" s="101" t="s">
        <v>392</v>
      </c>
      <c r="M1340" s="102" t="str">
        <f>IFNA(VLOOKUP(L1340,'🙎‍♂️ Pasien'!G:V,2,FALSE),"")</f>
        <v>D0625102206</v>
      </c>
      <c r="N1340" s="103">
        <f>IFNA(VLOOKUP(L1340,'🙎‍♂️ Pasien'!G:L,3,FALSE),"")</f>
        <v>19</v>
      </c>
      <c r="O1340" s="104" t="str">
        <f>IFNA(VLOOKUP(L1340,'🙎‍♂️ Pasien'!G:V,6,FALSE),"")</f>
        <v>LAKI-LAKI</v>
      </c>
      <c r="P1340" s="104" t="str">
        <f>IFNA(VLOOKUP(L1340,'🙎‍♂️ Pasien'!G:V,12,FALSE),"")</f>
        <v>ISLAM</v>
      </c>
      <c r="Q1340" s="104" t="str">
        <f>IFNA(VLOOKUP(L1340:L1508,'🙎‍♂️ Pasien'!G:V,13,FALSE),"")</f>
        <v>KARYAWAN SWASTA</v>
      </c>
      <c r="R1340" s="104" t="str">
        <f t="array" ref="R1340">ifna(xlookup(L1340,'🙎‍♂️ Pasien'!$G$5:$G1508,'🙎‍♂️ Pasien'!$T$5:$T1508),"")</f>
        <v>CEDERA KAKI</v>
      </c>
      <c r="S1340" s="104" t="str">
        <f t="array" ref="S1340">ifna(xlookup(L1340,'🙎‍♂️ Pasien'!$G$5:$G1508,'🙎‍♂️ Pasien'!$U$5:$U1508),"")</f>
        <v>BERMAIN FUTSAL</v>
      </c>
      <c r="T1340" s="97" t="s">
        <v>59</v>
      </c>
      <c r="U1340" s="105">
        <v>4.0</v>
      </c>
      <c r="V1340" s="101"/>
      <c r="W1340" s="106" t="b">
        <v>1</v>
      </c>
      <c r="X1340" s="107"/>
      <c r="Y1340" s="108"/>
    </row>
    <row r="1341" ht="22.5" customHeight="1">
      <c r="A1341" s="96"/>
      <c r="B1341" s="97" t="s">
        <v>85</v>
      </c>
      <c r="C1341" s="98" t="str">
        <f t="array" ref="C1341">IFNA(XLOOKUP(J1341,'⚙️ Pengaturan'!$H$5:$H1508,'⚙️ Pengaturan'!$I$5:$I1508),"")</f>
        <v>TIM A</v>
      </c>
      <c r="D1341" s="97" t="s">
        <v>86</v>
      </c>
      <c r="E1341" s="99">
        <v>46009.0</v>
      </c>
      <c r="F1341" s="100" t="str">
        <f t="shared" si="1"/>
        <v>2025</v>
      </c>
      <c r="G1341" s="100" t="str">
        <f t="shared" si="2"/>
        <v>12Des</v>
      </c>
      <c r="H1341" s="100" t="str">
        <f t="shared" si="3"/>
        <v>Kamis</v>
      </c>
      <c r="I1341" s="97" t="s">
        <v>99</v>
      </c>
      <c r="J1341" s="97" t="s">
        <v>72</v>
      </c>
      <c r="K1341" s="97" t="s">
        <v>57</v>
      </c>
      <c r="L1341" s="101" t="s">
        <v>177</v>
      </c>
      <c r="M1341" s="102" t="str">
        <f>IFNA(VLOOKUP(L1341,'🙎‍♂️ Pasien'!G:V,2,FALSE),"")</f>
        <v>M9225108407</v>
      </c>
      <c r="N1341" s="103">
        <f>IFNA(VLOOKUP(L1341,'🙎‍♂️ Pasien'!G:L,3,FALSE),"")</f>
        <v>34</v>
      </c>
      <c r="O1341" s="104" t="str">
        <f>IFNA(VLOOKUP(L1341,'🙎‍♂️ Pasien'!G:V,6,FALSE),"")</f>
        <v>PEREMPUAN</v>
      </c>
      <c r="P1341" s="104" t="str">
        <f>IFNA(VLOOKUP(L1341,'🙎‍♂️ Pasien'!G:V,12,FALSE),"")</f>
        <v>ISLAM</v>
      </c>
      <c r="Q1341" s="104" t="str">
        <f>IFNA(VLOOKUP(L1341:L1508,'🙎‍♂️ Pasien'!G:V,13,FALSE),"")</f>
        <v>IRT</v>
      </c>
      <c r="R1341" s="104" t="str">
        <f t="array" ref="R1341">ifna(xlookup(L1341,'🙎‍♂️ Pasien'!$G$5:$G1508,'🙎‍♂️ Pasien'!$T$5:$T1508),"")</f>
        <v>TUMIT KAKI KIRI SAKIT TAK KUNJUNG HILANG</v>
      </c>
      <c r="S1341" s="104" t="str">
        <f t="array" ref="S1341">ifna(xlookup(L1341,'🙎‍♂️ Pasien'!$G$5:$G1508,'🙎‍♂️ Pasien'!$U$5:$U1508),"")</f>
        <v>OLAHRAGA RUTIN</v>
      </c>
      <c r="T1341" s="97" t="s">
        <v>67</v>
      </c>
      <c r="U1341" s="105" t="s">
        <v>60</v>
      </c>
      <c r="V1341" s="101" t="s">
        <v>743</v>
      </c>
      <c r="W1341" s="106" t="b">
        <v>1</v>
      </c>
      <c r="X1341" s="107"/>
      <c r="Y1341" s="108"/>
    </row>
    <row r="1342" ht="22.5" customHeight="1">
      <c r="A1342" s="96"/>
      <c r="B1342" s="97" t="s">
        <v>85</v>
      </c>
      <c r="C1342" s="98" t="str">
        <f t="array" ref="C1342">IFNA(XLOOKUP(J1342,'⚙️ Pengaturan'!$H$5:$H1508,'⚙️ Pengaturan'!$I$5:$I1508),"")</f>
        <v>TIM Y</v>
      </c>
      <c r="D1342" s="97" t="s">
        <v>134</v>
      </c>
      <c r="E1342" s="99">
        <v>46010.0</v>
      </c>
      <c r="F1342" s="100" t="str">
        <f t="shared" si="1"/>
        <v>2025</v>
      </c>
      <c r="G1342" s="100" t="str">
        <f t="shared" si="2"/>
        <v>12Des</v>
      </c>
      <c r="H1342" s="100" t="str">
        <f t="shared" si="3"/>
        <v>Jumat</v>
      </c>
      <c r="I1342" s="97" t="s">
        <v>87</v>
      </c>
      <c r="J1342" s="97" t="s">
        <v>509</v>
      </c>
      <c r="K1342" s="97" t="s">
        <v>63</v>
      </c>
      <c r="L1342" s="101" t="s">
        <v>225</v>
      </c>
      <c r="M1342" s="102" t="str">
        <f>IFNA(VLOOKUP(L1342,'🙎‍♂️ Pasien'!G:V,2,FALSE),"")</f>
        <v>B8025102288</v>
      </c>
      <c r="N1342" s="103">
        <f>IFNA(VLOOKUP(L1342,'🙎‍♂️ Pasien'!G:L,3,FALSE),"")</f>
        <v>45</v>
      </c>
      <c r="O1342" s="104" t="str">
        <f>IFNA(VLOOKUP(L1342,'🙎‍♂️ Pasien'!G:V,6,FALSE),"")</f>
        <v>PEREMPUAN</v>
      </c>
      <c r="P1342" s="104" t="str">
        <f>IFNA(VLOOKUP(L1342,'🙎‍♂️ Pasien'!G:V,12,FALSE),"")</f>
        <v>ISLAM</v>
      </c>
      <c r="Q1342" s="104" t="str">
        <f>IFNA(VLOOKUP(L1342:L1508,'🙎‍♂️ Pasien'!G:V,13,FALSE),"")</f>
        <v>ASN</v>
      </c>
      <c r="R1342" s="104" t="str">
        <f t="array" ref="R1342">ifna(xlookup(L1342,'🙎‍♂️ Pasien'!$G$5:$G1508,'🙎‍♂️ Pasien'!$T$5:$T1508),"")</f>
        <v>KELUHAN SY NYERI DI TUMIT KIRI SM PAHA KANAN UT DIANGKAT SAMBIL DITEKUK KE ARAH SAMPING LUAR RASA NYA NYERI</v>
      </c>
      <c r="S1342" s="104" t="str">
        <f t="array" ref="S1342">ifna(xlookup(L1342,'🙎‍♂️ Pasien'!$G$5:$G1508,'🙎‍♂️ Pasien'!$U$5:$U1508),"")</f>
        <v>JOGING</v>
      </c>
      <c r="T1342" s="97" t="s">
        <v>59</v>
      </c>
      <c r="U1342" s="105">
        <v>2.0</v>
      </c>
      <c r="V1342" s="101"/>
      <c r="W1342" s="106" t="b">
        <v>1</v>
      </c>
      <c r="X1342" s="109" t="s">
        <v>214</v>
      </c>
      <c r="Y1342" s="108"/>
    </row>
    <row r="1343" ht="22.5" customHeight="1">
      <c r="A1343" s="96"/>
      <c r="B1343" s="97" t="s">
        <v>85</v>
      </c>
      <c r="C1343" s="98" t="str">
        <f t="array" ref="C1343">IFNA(XLOOKUP(J1343,'⚙️ Pengaturan'!$H$5:$H1508,'⚙️ Pengaturan'!$I$5:$I1508),"")</f>
        <v>MANAJEMEN</v>
      </c>
      <c r="D1343" s="97" t="s">
        <v>134</v>
      </c>
      <c r="E1343" s="99">
        <v>46010.0</v>
      </c>
      <c r="F1343" s="100" t="str">
        <f t="shared" si="1"/>
        <v>2025</v>
      </c>
      <c r="G1343" s="100" t="str">
        <f t="shared" si="2"/>
        <v>12Des</v>
      </c>
      <c r="H1343" s="100" t="str">
        <f t="shared" si="3"/>
        <v>Jumat</v>
      </c>
      <c r="I1343" s="97" t="s">
        <v>93</v>
      </c>
      <c r="J1343" s="97" t="s">
        <v>101</v>
      </c>
      <c r="K1343" s="97" t="s">
        <v>57</v>
      </c>
      <c r="L1343" s="101" t="s">
        <v>744</v>
      </c>
      <c r="M1343" s="102" t="str">
        <f>IFNA(VLOOKUP(L1343,'🙎‍♂️ Pasien'!G:V,2,FALSE),"")</f>
        <v>D9525039860</v>
      </c>
      <c r="N1343" s="103">
        <f>IFNA(VLOOKUP(L1343,'🙎‍♂️ Pasien'!G:L,3,FALSE),"")</f>
        <v>31</v>
      </c>
      <c r="O1343" s="104" t="str">
        <f>IFNA(VLOOKUP(L1343,'🙎‍♂️ Pasien'!G:V,6,FALSE),"")</f>
        <v>LAKI-LAKI</v>
      </c>
      <c r="P1343" s="104" t="str">
        <f>IFNA(VLOOKUP(L1343,'🙎‍♂️ Pasien'!G:V,12,FALSE),"")</f>
        <v>ISLAM</v>
      </c>
      <c r="Q1343" s="104" t="str">
        <f>IFNA(VLOOKUP(L1343:L1508,'🙎‍♂️ Pasien'!G:V,13,FALSE),"")</f>
        <v>SWASTA</v>
      </c>
      <c r="R1343" s="104" t="str">
        <f t="array" ref="R1343">ifna(xlookup(L1343,'🙎‍♂️ Pasien'!$G$5:$G1508,'🙎‍♂️ Pasien'!$T$5:$T1508),"")</f>
        <v>SAKIT DI PUNGGUNG KE BAWAH</v>
      </c>
      <c r="S1343" s="104" t="str">
        <f t="array" ref="S1343">ifna(xlookup(L1343,'🙎‍♂️ Pasien'!$G$5:$G1508,'🙎‍♂️ Pasien'!$U$5:$U1508),"")</f>
        <v>OLAHRAGA</v>
      </c>
      <c r="T1343" s="97" t="s">
        <v>59</v>
      </c>
      <c r="U1343" s="105" t="s">
        <v>60</v>
      </c>
      <c r="V1343" s="101" t="s">
        <v>745</v>
      </c>
      <c r="W1343" s="106" t="b">
        <v>1</v>
      </c>
      <c r="X1343" s="109" t="s">
        <v>220</v>
      </c>
      <c r="Y1343" s="108"/>
    </row>
    <row r="1344" ht="22.5" customHeight="1">
      <c r="A1344" s="96"/>
      <c r="B1344" s="97" t="s">
        <v>85</v>
      </c>
      <c r="C1344" s="98" t="str">
        <f t="array" ref="C1344">IFNA(XLOOKUP(J1344,'⚙️ Pengaturan'!$H$5:$H1508,'⚙️ Pengaturan'!$I$5:$I1508),"")</f>
        <v>TIM Y</v>
      </c>
      <c r="D1344" s="97" t="s">
        <v>134</v>
      </c>
      <c r="E1344" s="99">
        <v>46010.0</v>
      </c>
      <c r="F1344" s="100" t="str">
        <f t="shared" si="1"/>
        <v>2025</v>
      </c>
      <c r="G1344" s="100" t="str">
        <f t="shared" si="2"/>
        <v>12Des</v>
      </c>
      <c r="H1344" s="100" t="str">
        <f t="shared" si="3"/>
        <v>Jumat</v>
      </c>
      <c r="I1344" s="97" t="s">
        <v>93</v>
      </c>
      <c r="J1344" s="97" t="s">
        <v>509</v>
      </c>
      <c r="K1344" s="97" t="s">
        <v>63</v>
      </c>
      <c r="L1344" s="101" t="s">
        <v>720</v>
      </c>
      <c r="M1344" s="102" t="str">
        <f>IFNA(VLOOKUP(L1344,'🙎‍♂️ Pasien'!G:V,2,FALSE),"")</f>
        <v>G8425125725</v>
      </c>
      <c r="N1344" s="103">
        <f>IFNA(VLOOKUP(L1344,'🙎‍♂️ Pasien'!G:L,3,FALSE),"")</f>
        <v>41</v>
      </c>
      <c r="O1344" s="104" t="str">
        <f>IFNA(VLOOKUP(L1344,'🙎‍♂️ Pasien'!G:V,6,FALSE),"")</f>
        <v>PEREMPUAN</v>
      </c>
      <c r="P1344" s="104" t="str">
        <f>IFNA(VLOOKUP(L1344,'🙎‍♂️ Pasien'!G:V,12,FALSE),"")</f>
        <v>ISLAM</v>
      </c>
      <c r="Q1344" s="104" t="str">
        <f>IFNA(VLOOKUP(L1344:L1508,'🙎‍♂️ Pasien'!G:V,13,FALSE),"")</f>
        <v>WIRAUSAHA</v>
      </c>
      <c r="R1344" s="104" t="str">
        <f t="array" ref="R1344">ifna(xlookup(L1344,'🙎‍♂️ Pasien'!$G$5:$G1508,'🙎‍♂️ Pasien'!$T$5:$T1508),"")</f>
        <v>STORKE RINGAN (KAKI KURANG KOKOH)</v>
      </c>
      <c r="S1344" s="104" t="str">
        <f t="array" ref="S1344">ifna(xlookup(L1344,'🙎‍♂️ Pasien'!$G$5:$G1508,'🙎‍♂️ Pasien'!$U$5:$U1508),"")</f>
        <v>AKTIVITAS BEKERJA SEHARI HARI MEETING DGN KLIEN</v>
      </c>
      <c r="T1344" s="97" t="s">
        <v>59</v>
      </c>
      <c r="U1344" s="105">
        <v>2.0</v>
      </c>
      <c r="V1344" s="101"/>
      <c r="W1344" s="106" t="b">
        <v>1</v>
      </c>
      <c r="X1344" s="109" t="s">
        <v>214</v>
      </c>
      <c r="Y1344" s="108"/>
    </row>
    <row r="1345" ht="22.5" customHeight="1">
      <c r="A1345" s="96"/>
      <c r="B1345" s="97" t="s">
        <v>85</v>
      </c>
      <c r="C1345" s="98" t="str">
        <f t="array" ref="C1345">IFNA(XLOOKUP(J1345,'⚙️ Pengaturan'!$H$5:$H1508,'⚙️ Pengaturan'!$I$5:$I1508),"")</f>
        <v>MANAJEMEN</v>
      </c>
      <c r="D1345" s="97" t="s">
        <v>134</v>
      </c>
      <c r="E1345" s="99">
        <v>46010.0</v>
      </c>
      <c r="F1345" s="100" t="str">
        <f t="shared" si="1"/>
        <v>2025</v>
      </c>
      <c r="G1345" s="100" t="str">
        <f t="shared" si="2"/>
        <v>12Des</v>
      </c>
      <c r="H1345" s="100" t="str">
        <f t="shared" si="3"/>
        <v>Jumat</v>
      </c>
      <c r="I1345" s="97" t="s">
        <v>95</v>
      </c>
      <c r="J1345" s="97" t="s">
        <v>101</v>
      </c>
      <c r="K1345" s="97" t="s">
        <v>63</v>
      </c>
      <c r="L1345" s="101" t="s">
        <v>734</v>
      </c>
      <c r="M1345" s="102" t="str">
        <f>IFNA(VLOOKUP(L1345,'🙎‍♂️ Pasien'!G:V,2,FALSE),"")</f>
        <v>A0724125118</v>
      </c>
      <c r="N1345" s="103">
        <f>IFNA(VLOOKUP(L1345,'🙎‍♂️ Pasien'!G:L,3,FALSE),"")</f>
        <v>18</v>
      </c>
      <c r="O1345" s="104" t="str">
        <f>IFNA(VLOOKUP(L1345,'🙎‍♂️ Pasien'!G:V,6,FALSE),"")</f>
        <v>LAKI-LAKI</v>
      </c>
      <c r="P1345" s="104" t="str">
        <f>IFNA(VLOOKUP(L1345,'🙎‍♂️ Pasien'!G:V,12,FALSE),"")</f>
        <v>ISLAM</v>
      </c>
      <c r="Q1345" s="104" t="str">
        <f>IFNA(VLOOKUP(L1345:L1508,'🙎‍♂️ Pasien'!G:V,13,FALSE),"")</f>
        <v>PELAJAR/MAHASISWA</v>
      </c>
      <c r="R1345" s="104" t="str">
        <f t="array" ref="R1345">ifna(xlookup(L1345,'🙎‍♂️ Pasien'!$G$5:$G1508,'🙎‍♂️ Pasien'!$T$5:$T1508),"")</f>
        <v>cedera lutut oprasi</v>
      </c>
      <c r="S1345" s="104" t="str">
        <f t="array" ref="S1345">ifna(xlookup(L1345,'🙎‍♂️ Pasien'!$G$5:$G1508,'🙎‍♂️ Pasien'!$U$5:$U1508),"")</f>
        <v>futsal</v>
      </c>
      <c r="T1345" s="97" t="s">
        <v>67</v>
      </c>
      <c r="U1345" s="105">
        <v>1.0</v>
      </c>
      <c r="V1345" s="101" t="s">
        <v>411</v>
      </c>
      <c r="W1345" s="106" t="b">
        <v>1</v>
      </c>
      <c r="X1345" s="107"/>
      <c r="Y1345" s="108"/>
    </row>
    <row r="1346" ht="22.5" customHeight="1">
      <c r="A1346" s="96"/>
      <c r="B1346" s="97" t="s">
        <v>85</v>
      </c>
      <c r="C1346" s="98" t="str">
        <f t="array" ref="C1346">IFNA(XLOOKUP(J1346,'⚙️ Pengaturan'!$H$5:$H1508,'⚙️ Pengaturan'!$I$5:$I1508),"")</f>
        <v>TIM Y</v>
      </c>
      <c r="D1346" s="97" t="s">
        <v>134</v>
      </c>
      <c r="E1346" s="99">
        <v>46010.0</v>
      </c>
      <c r="F1346" s="100" t="str">
        <f t="shared" si="1"/>
        <v>2025</v>
      </c>
      <c r="G1346" s="100" t="str">
        <f t="shared" si="2"/>
        <v>12Des</v>
      </c>
      <c r="H1346" s="100" t="str">
        <f t="shared" si="3"/>
        <v>Jumat</v>
      </c>
      <c r="I1346" s="97" t="s">
        <v>97</v>
      </c>
      <c r="J1346" s="97" t="s">
        <v>509</v>
      </c>
      <c r="K1346" s="97" t="s">
        <v>57</v>
      </c>
      <c r="L1346" s="101" t="s">
        <v>177</v>
      </c>
      <c r="M1346" s="102" t="str">
        <f>IFNA(VLOOKUP(L1346,'🙎‍♂️ Pasien'!G:V,2,FALSE),"")</f>
        <v>M9225108407</v>
      </c>
      <c r="N1346" s="103">
        <f>IFNA(VLOOKUP(L1346,'🙎‍♂️ Pasien'!G:L,3,FALSE),"")</f>
        <v>34</v>
      </c>
      <c r="O1346" s="104" t="str">
        <f>IFNA(VLOOKUP(L1346,'🙎‍♂️ Pasien'!G:V,6,FALSE),"")</f>
        <v>PEREMPUAN</v>
      </c>
      <c r="P1346" s="104" t="str">
        <f>IFNA(VLOOKUP(L1346,'🙎‍♂️ Pasien'!G:V,12,FALSE),"")</f>
        <v>ISLAM</v>
      </c>
      <c r="Q1346" s="104" t="str">
        <f>IFNA(VLOOKUP(L1346:L1508,'🙎‍♂️ Pasien'!G:V,13,FALSE),"")</f>
        <v>IRT</v>
      </c>
      <c r="R1346" s="104" t="str">
        <f t="array" ref="R1346">ifna(xlookup(L1346,'🙎‍♂️ Pasien'!$G$5:$G1508,'🙎‍♂️ Pasien'!$T$5:$T1508),"")</f>
        <v>TUMIT KAKI KIRI SAKIT TAK KUNJUNG HILANG</v>
      </c>
      <c r="S1346" s="104" t="str">
        <f t="array" ref="S1346">ifna(xlookup(L1346,'🙎‍♂️ Pasien'!$G$5:$G1508,'🙎‍♂️ Pasien'!$U$5:$U1508),"")</f>
        <v>OLAHRAGA RUTIN</v>
      </c>
      <c r="T1346" s="97" t="s">
        <v>59</v>
      </c>
      <c r="U1346" s="105" t="s">
        <v>60</v>
      </c>
      <c r="V1346" s="101" t="s">
        <v>518</v>
      </c>
      <c r="W1346" s="106" t="b">
        <v>1</v>
      </c>
      <c r="X1346" s="109" t="s">
        <v>746</v>
      </c>
      <c r="Y1346" s="108"/>
    </row>
    <row r="1347" ht="22.5" customHeight="1">
      <c r="A1347" s="96"/>
      <c r="B1347" s="97" t="s">
        <v>85</v>
      </c>
      <c r="C1347" s="98" t="str">
        <f t="array" ref="C1347">IFNA(XLOOKUP(J1347,'⚙️ Pengaturan'!$H$5:$H1508,'⚙️ Pengaturan'!$I$5:$I1508),"")</f>
        <v>TIM Y</v>
      </c>
      <c r="D1347" s="97" t="s">
        <v>134</v>
      </c>
      <c r="E1347" s="99">
        <v>46010.0</v>
      </c>
      <c r="F1347" s="100" t="str">
        <f t="shared" si="1"/>
        <v>2025</v>
      </c>
      <c r="G1347" s="100" t="str">
        <f t="shared" si="2"/>
        <v>12Des</v>
      </c>
      <c r="H1347" s="100" t="str">
        <f t="shared" si="3"/>
        <v>Jumat</v>
      </c>
      <c r="I1347" s="97" t="s">
        <v>99</v>
      </c>
      <c r="J1347" s="97" t="s">
        <v>509</v>
      </c>
      <c r="K1347" s="97" t="s">
        <v>63</v>
      </c>
      <c r="L1347" s="101" t="s">
        <v>522</v>
      </c>
      <c r="M1347" s="102" t="str">
        <f>IFNA(VLOOKUP(L1347,'🙎‍♂️ Pasien'!G:V,2,FALSE),"")</f>
        <v>N0725118277</v>
      </c>
      <c r="N1347" s="103">
        <f>IFNA(VLOOKUP(L1347,'🙎‍♂️ Pasien'!G:L,3,FALSE),"")</f>
        <v>18</v>
      </c>
      <c r="O1347" s="104" t="str">
        <f>IFNA(VLOOKUP(L1347,'🙎‍♂️ Pasien'!G:V,6,FALSE),"")</f>
        <v>PEREMPUAN</v>
      </c>
      <c r="P1347" s="104" t="str">
        <f>IFNA(VLOOKUP(L1347,'🙎‍♂️ Pasien'!G:V,12,FALSE),"")</f>
        <v>ISLAM</v>
      </c>
      <c r="Q1347" s="104" t="str">
        <f>IFNA(VLOOKUP(L1347:L1508,'🙎‍♂️ Pasien'!G:V,13,FALSE),"")</f>
        <v>MAHASISWA</v>
      </c>
      <c r="R1347" s="104" t="str">
        <f t="array" ref="R1347">ifna(xlookup(L1347,'🙎‍♂️ Pasien'!$G$5:$G1508,'🙎‍♂️ Pasien'!$T$5:$T1508),"")</f>
        <v>SETELAH OPERASI PENGANGKATAN HEMANGIOMA PADA KAKI KANAN, KAKI BELUM BISA LURUS SEMPURNA</v>
      </c>
      <c r="S1347" s="104" t="str">
        <f t="array" ref="S1347">ifna(xlookup(L1347,'🙎‍♂️ Pasien'!$G$5:$G1508,'🙎‍♂️ Pasien'!$U$5:$U1508),"")</f>
        <v>NAIK TURUN TANGGA DI KAMPUS</v>
      </c>
      <c r="T1347" s="97" t="s">
        <v>59</v>
      </c>
      <c r="U1347" s="105">
        <v>9.0</v>
      </c>
      <c r="V1347" s="101"/>
      <c r="W1347" s="106" t="b">
        <v>1</v>
      </c>
      <c r="X1347" s="109" t="s">
        <v>747</v>
      </c>
      <c r="Y1347" s="108"/>
    </row>
    <row r="1348" ht="22.5" customHeight="1">
      <c r="A1348" s="96"/>
      <c r="B1348" s="97" t="s">
        <v>53</v>
      </c>
      <c r="C1348" s="98" t="str">
        <f t="array" ref="C1348">IFNA(XLOOKUP(J1348,'⚙️ Pengaturan'!$H$5:$H1508,'⚙️ Pengaturan'!$I$5:$I1508),"")</f>
        <v>TIM Y</v>
      </c>
      <c r="D1348" s="97" t="s">
        <v>54</v>
      </c>
      <c r="E1348" s="99">
        <v>46011.0</v>
      </c>
      <c r="F1348" s="100" t="str">
        <f t="shared" si="1"/>
        <v>2025</v>
      </c>
      <c r="G1348" s="100" t="str">
        <f t="shared" si="2"/>
        <v>12Des</v>
      </c>
      <c r="H1348" s="100" t="str">
        <f t="shared" si="3"/>
        <v>Sabtu</v>
      </c>
      <c r="I1348" s="97" t="s">
        <v>55</v>
      </c>
      <c r="J1348" s="97" t="s">
        <v>509</v>
      </c>
      <c r="K1348" s="97" t="s">
        <v>57</v>
      </c>
      <c r="L1348" s="101" t="s">
        <v>748</v>
      </c>
      <c r="M1348" s="102" t="str">
        <f>IFNA(VLOOKUP(L1348,'🙎‍♂️ Pasien'!G:V,2,FALSE),"")</f>
        <v>A9525120897</v>
      </c>
      <c r="N1348" s="103">
        <f>IFNA(VLOOKUP(L1348,'🙎‍♂️ Pasien'!G:L,3,FALSE),"")</f>
        <v>31</v>
      </c>
      <c r="O1348" s="104" t="str">
        <f>IFNA(VLOOKUP(L1348,'🙎‍♂️ Pasien'!G:V,6,FALSE),"")</f>
        <v>LAKI-LAKI</v>
      </c>
      <c r="P1348" s="104" t="str">
        <f>IFNA(VLOOKUP(L1348,'🙎‍♂️ Pasien'!G:V,12,FALSE),"")</f>
        <v>ISLAM</v>
      </c>
      <c r="Q1348" s="104" t="str">
        <f>IFNA(VLOOKUP(L1348:L1508,'🙎‍♂️ Pasien'!G:V,13,FALSE),"")</f>
        <v>SWASTA</v>
      </c>
      <c r="R1348" s="104" t="str">
        <f t="array" ref="R1348">ifna(xlookup(L1348,'🙎‍♂️ Pasien'!$G$5:$G1508,'🙎‍♂️ Pasien'!$T$5:$T1508),"")</f>
        <v>SAKIT BAHU SUSAH DIANGKAT KE ATAS</v>
      </c>
      <c r="S1348" s="104" t="str">
        <f t="array" ref="S1348">ifna(xlookup(L1348,'🙎‍♂️ Pasien'!$G$5:$G1508,'🙎‍♂️ Pasien'!$U$5:$U1508),"")</f>
        <v>DI DEPAN KOMPUTER BERJAM JAM</v>
      </c>
      <c r="T1348" s="97" t="s">
        <v>59</v>
      </c>
      <c r="U1348" s="105" t="s">
        <v>60</v>
      </c>
      <c r="V1348" s="101"/>
      <c r="W1348" s="106" t="b">
        <v>1</v>
      </c>
      <c r="X1348" s="107"/>
      <c r="Y1348" s="108"/>
    </row>
    <row r="1349" ht="22.5" customHeight="1">
      <c r="A1349" s="96"/>
      <c r="B1349" s="97" t="s">
        <v>53</v>
      </c>
      <c r="C1349" s="98" t="str">
        <f t="array" ref="C1349">IFNA(XLOOKUP(J1349,'⚙️ Pengaturan'!$H$5:$H1508,'⚙️ Pengaturan'!$I$5:$I1508),"")</f>
        <v>MANAJEMEN</v>
      </c>
      <c r="D1349" s="97" t="s">
        <v>54</v>
      </c>
      <c r="E1349" s="99">
        <v>46011.0</v>
      </c>
      <c r="F1349" s="100" t="str">
        <f t="shared" si="1"/>
        <v>2025</v>
      </c>
      <c r="G1349" s="100" t="str">
        <f t="shared" si="2"/>
        <v>12Des</v>
      </c>
      <c r="H1349" s="100" t="str">
        <f t="shared" si="3"/>
        <v>Sabtu</v>
      </c>
      <c r="I1349" s="97" t="s">
        <v>55</v>
      </c>
      <c r="J1349" s="97" t="s">
        <v>81</v>
      </c>
      <c r="K1349" s="97" t="s">
        <v>63</v>
      </c>
      <c r="L1349" s="101" t="s">
        <v>222</v>
      </c>
      <c r="M1349" s="102" t="str">
        <f>IFNA(VLOOKUP(L1349,'🙎‍♂️ Pasien'!G:V,2,FALSE),"")</f>
        <v>D0924079294</v>
      </c>
      <c r="N1349" s="103">
        <f>IFNA(VLOOKUP(L1349,'🙎‍♂️ Pasien'!G:L,3,FALSE),"")</f>
        <v>17</v>
      </c>
      <c r="O1349" s="104" t="str">
        <f>IFNA(VLOOKUP(L1349,'🙎‍♂️ Pasien'!G:V,6,FALSE),"")</f>
        <v>LAKI-LAKI</v>
      </c>
      <c r="P1349" s="104" t="str">
        <f>IFNA(VLOOKUP(L1349,'🙎‍♂️ Pasien'!G:V,12,FALSE),"")</f>
        <v>ISLAM</v>
      </c>
      <c r="Q1349" s="104" t="str">
        <f>IFNA(VLOOKUP(L1349:L1508,'🙎‍♂️ Pasien'!G:V,13,FALSE),"")</f>
        <v>PELAJAR/MAHASISWA</v>
      </c>
      <c r="R1349" s="104" t="str">
        <f t="array" ref="R1349">ifna(xlookup(L1349,'🙎‍♂️ Pasien'!$G$5:$G1508,'🙎‍♂️ Pasien'!$T$5:$T1508),"")</f>
        <v>Strok ringan</v>
      </c>
      <c r="S1349" s="104" t="str">
        <f t="array" ref="S1349">ifna(xlookup(L1349,'🙎‍♂️ Pasien'!$G$5:$G1508,'🙎‍♂️ Pasien'!$U$5:$U1508),"")</f>
        <v>Olah raga</v>
      </c>
      <c r="T1349" s="97" t="s">
        <v>67</v>
      </c>
      <c r="U1349" s="105">
        <v>6.0</v>
      </c>
      <c r="V1349" s="101" t="s">
        <v>749</v>
      </c>
      <c r="W1349" s="106" t="b">
        <v>1</v>
      </c>
      <c r="X1349" s="107"/>
      <c r="Y1349" s="108"/>
    </row>
    <row r="1350" ht="22.5" customHeight="1">
      <c r="A1350" s="96"/>
      <c r="B1350" s="97" t="s">
        <v>53</v>
      </c>
      <c r="C1350" s="98" t="str">
        <f t="array" ref="C1350">IFNA(XLOOKUP(J1350,'⚙️ Pengaturan'!$H$5:$H1508,'⚙️ Pengaturan'!$I$5:$I1508),"")</f>
        <v>TIM Y</v>
      </c>
      <c r="D1350" s="97" t="s">
        <v>54</v>
      </c>
      <c r="E1350" s="99">
        <v>46011.0</v>
      </c>
      <c r="F1350" s="100" t="str">
        <f t="shared" si="1"/>
        <v>2025</v>
      </c>
      <c r="G1350" s="100" t="str">
        <f t="shared" si="2"/>
        <v>12Des</v>
      </c>
      <c r="H1350" s="100" t="str">
        <f t="shared" si="3"/>
        <v>Sabtu</v>
      </c>
      <c r="I1350" s="97" t="s">
        <v>55</v>
      </c>
      <c r="J1350" s="97" t="s">
        <v>88</v>
      </c>
      <c r="K1350" s="97" t="s">
        <v>63</v>
      </c>
      <c r="L1350" s="101" t="s">
        <v>627</v>
      </c>
      <c r="M1350" s="102" t="str">
        <f>IFNA(VLOOKUP(L1350,'🙎‍♂️ Pasien'!G:V,2,FALSE),"")</f>
        <v>W8825126959</v>
      </c>
      <c r="N1350" s="103">
        <f>IFNA(VLOOKUP(L1350,'🙎‍♂️ Pasien'!G:L,3,FALSE),"")</f>
        <v>37</v>
      </c>
      <c r="O1350" s="104" t="str">
        <f>IFNA(VLOOKUP(L1350,'🙎‍♂️ Pasien'!G:V,6,FALSE),"")</f>
        <v>LAKI-LAKI</v>
      </c>
      <c r="P1350" s="104" t="str">
        <f>IFNA(VLOOKUP(L1350,'🙎‍♂️ Pasien'!G:V,12,FALSE),"")</f>
        <v>ISLAM</v>
      </c>
      <c r="Q1350" s="104" t="str">
        <f>IFNA(VLOOKUP(L1350:L1508,'🙎‍♂️ Pasien'!G:V,13,FALSE),"")</f>
        <v>WIRASWASTA</v>
      </c>
      <c r="R1350" s="104" t="str">
        <f t="array" ref="R1350">ifna(xlookup(L1350,'🙎‍♂️ Pasien'!$G$5:$G1508,'🙎‍♂️ Pasien'!$T$5:$T1508),"")</f>
        <v>PINGGANG</v>
      </c>
      <c r="S1350" s="104" t="str">
        <f t="array" ref="S1350">ifna(xlookup(L1350,'🙎‍♂️ Pasien'!$G$5:$G1508,'🙎‍♂️ Pasien'!$U$5:$U1508),"")</f>
        <v>-</v>
      </c>
      <c r="T1350" s="97" t="s">
        <v>59</v>
      </c>
      <c r="U1350" s="105">
        <v>8.0</v>
      </c>
      <c r="V1350" s="101"/>
      <c r="W1350" s="106" t="b">
        <v>1</v>
      </c>
      <c r="X1350" s="107"/>
      <c r="Y1350" s="108"/>
    </row>
    <row r="1351" ht="22.5" customHeight="1">
      <c r="A1351" s="96"/>
      <c r="B1351" s="97" t="s">
        <v>53</v>
      </c>
      <c r="C1351" s="98" t="str">
        <f t="array" ref="C1351">IFNA(XLOOKUP(J1351,'⚙️ Pengaturan'!$H$5:$H1508,'⚙️ Pengaturan'!$I$5:$I1508),"")</f>
        <v>TIM Y</v>
      </c>
      <c r="D1351" s="97" t="s">
        <v>54</v>
      </c>
      <c r="E1351" s="99">
        <v>46011.0</v>
      </c>
      <c r="F1351" s="100" t="str">
        <f t="shared" si="1"/>
        <v>2025</v>
      </c>
      <c r="G1351" s="100" t="str">
        <f t="shared" si="2"/>
        <v>12Des</v>
      </c>
      <c r="H1351" s="100" t="str">
        <f t="shared" si="3"/>
        <v>Sabtu</v>
      </c>
      <c r="I1351" s="97" t="s">
        <v>65</v>
      </c>
      <c r="J1351" s="97" t="s">
        <v>509</v>
      </c>
      <c r="K1351" s="97" t="s">
        <v>63</v>
      </c>
      <c r="L1351" s="101" t="s">
        <v>668</v>
      </c>
      <c r="M1351" s="102" t="str">
        <f>IFNA(VLOOKUP(L1351,'🙎‍♂️ Pasien'!G:V,2,FALSE),"")</f>
        <v>R9625012853</v>
      </c>
      <c r="N1351" s="103">
        <f>IFNA(VLOOKUP(L1351,'🙎‍♂️ Pasien'!G:L,3,FALSE),"")</f>
        <v>30</v>
      </c>
      <c r="O1351" s="104" t="str">
        <f>IFNA(VLOOKUP(L1351,'🙎‍♂️ Pasien'!G:V,6,FALSE),"")</f>
        <v>PEREMPUAN</v>
      </c>
      <c r="P1351" s="104" t="str">
        <f>IFNA(VLOOKUP(L1351,'🙎‍♂️ Pasien'!G:V,12,FALSE),"")</f>
        <v>ISLAM</v>
      </c>
      <c r="Q1351" s="104" t="str">
        <f>IFNA(VLOOKUP(L1351:L1508,'🙎‍♂️ Pasien'!G:V,13,FALSE),"")</f>
        <v>ASN</v>
      </c>
      <c r="R1351" s="104" t="str">
        <f t="array" ref="R1351">ifna(xlookup(L1351,'🙎‍♂️ Pasien'!$G$5:$G1508,'🙎‍♂️ Pasien'!$T$5:$T1508),"")</f>
        <v>NYERI BAGIAN LUTUT SETIAP SETELAH LARI DIATAS 6KM</v>
      </c>
      <c r="S1351" s="104" t="str">
        <f t="array" ref="S1351">ifna(xlookup(L1351,'🙎‍♂️ Pasien'!$G$5:$G1508,'🙎‍♂️ Pasien'!$U$5:$U1508),"")</f>
        <v>LARI</v>
      </c>
      <c r="T1351" s="97" t="s">
        <v>59</v>
      </c>
      <c r="U1351" s="105">
        <v>3.0</v>
      </c>
      <c r="V1351" s="101"/>
      <c r="W1351" s="106" t="b">
        <v>1</v>
      </c>
      <c r="X1351" s="107"/>
      <c r="Y1351" s="108"/>
    </row>
    <row r="1352" ht="22.5" customHeight="1">
      <c r="A1352" s="96"/>
      <c r="B1352" s="97" t="s">
        <v>53</v>
      </c>
      <c r="C1352" s="98" t="str">
        <f t="array" ref="C1352">IFNA(XLOOKUP(J1352,'⚙️ Pengaturan'!$H$5:$H1508,'⚙️ Pengaturan'!$I$5:$I1508),"")</f>
        <v>TIM Y</v>
      </c>
      <c r="D1352" s="97" t="s">
        <v>54</v>
      </c>
      <c r="E1352" s="99">
        <v>46011.0</v>
      </c>
      <c r="F1352" s="100" t="str">
        <f t="shared" si="1"/>
        <v>2025</v>
      </c>
      <c r="G1352" s="100" t="str">
        <f t="shared" si="2"/>
        <v>12Des</v>
      </c>
      <c r="H1352" s="100" t="str">
        <f t="shared" si="3"/>
        <v>Sabtu</v>
      </c>
      <c r="I1352" s="97" t="s">
        <v>74</v>
      </c>
      <c r="J1352" s="97" t="s">
        <v>107</v>
      </c>
      <c r="K1352" s="97" t="s">
        <v>57</v>
      </c>
      <c r="L1352" s="101" t="s">
        <v>750</v>
      </c>
      <c r="M1352" s="102" t="str">
        <f>IFNA(VLOOKUP(L1352,'🙎‍♂️ Pasien'!G:V,2,FALSE),"")</f>
        <v>A1325122428</v>
      </c>
      <c r="N1352" s="103">
        <f>IFNA(VLOOKUP(L1352,'🙎‍♂️ Pasien'!G:L,3,FALSE),"")</f>
        <v>12</v>
      </c>
      <c r="O1352" s="104" t="str">
        <f>IFNA(VLOOKUP(L1352,'🙎‍♂️ Pasien'!G:V,6,FALSE),"")</f>
        <v>PEREMPUAN</v>
      </c>
      <c r="P1352" s="104" t="str">
        <f>IFNA(VLOOKUP(L1352,'🙎‍♂️ Pasien'!G:V,12,FALSE),"")</f>
        <v>ISLAM</v>
      </c>
      <c r="Q1352" s="104" t="str">
        <f>IFNA(VLOOKUP(L1352:L1508,'🙎‍♂️ Pasien'!G:V,13,FALSE),"")</f>
        <v>PELAJAR</v>
      </c>
      <c r="R1352" s="104" t="str">
        <f t="array" ref="R1352">ifna(xlookup(L1352,'🙎‍♂️ Pasien'!$G$5:$G1508,'🙎‍♂️ Pasien'!$T$5:$T1508),"")</f>
        <v>PINGGANG</v>
      </c>
      <c r="S1352" s="104" t="str">
        <f t="array" ref="S1352">ifna(xlookup(L1352,'🙎‍♂️ Pasien'!$G$5:$G1508,'🙎‍♂️ Pasien'!$U$5:$U1508),"")</f>
        <v>AKTIVITAS SEHARI2 / SEKOLAH</v>
      </c>
      <c r="T1352" s="97" t="s">
        <v>59</v>
      </c>
      <c r="U1352" s="105" t="s">
        <v>60</v>
      </c>
      <c r="V1352" s="101"/>
      <c r="W1352" s="106" t="b">
        <v>1</v>
      </c>
      <c r="X1352" s="107"/>
      <c r="Y1352" s="108"/>
    </row>
    <row r="1353" ht="22.5" customHeight="1">
      <c r="A1353" s="96"/>
      <c r="B1353" s="97" t="s">
        <v>53</v>
      </c>
      <c r="C1353" s="98" t="str">
        <f t="array" ref="C1353">IFNA(XLOOKUP(J1353,'⚙️ Pengaturan'!$H$5:$H1508,'⚙️ Pengaturan'!$I$5:$I1508),"")</f>
        <v>TIM Y</v>
      </c>
      <c r="D1353" s="97" t="s">
        <v>54</v>
      </c>
      <c r="E1353" s="99">
        <v>46011.0</v>
      </c>
      <c r="F1353" s="100" t="str">
        <f t="shared" si="1"/>
        <v>2025</v>
      </c>
      <c r="G1353" s="100" t="str">
        <f t="shared" si="2"/>
        <v>12Des</v>
      </c>
      <c r="H1353" s="100" t="str">
        <f t="shared" si="3"/>
        <v>Sabtu</v>
      </c>
      <c r="I1353" s="97" t="s">
        <v>74</v>
      </c>
      <c r="J1353" s="97" t="s">
        <v>509</v>
      </c>
      <c r="K1353" s="97" t="s">
        <v>69</v>
      </c>
      <c r="L1353" s="101" t="s">
        <v>694</v>
      </c>
      <c r="M1353" s="102" t="str">
        <f>IFNA(VLOOKUP(L1353,'🙎‍♂️ Pasien'!G:V,2,FALSE),"")</f>
        <v>D0625121108</v>
      </c>
      <c r="N1353" s="103">
        <f>IFNA(VLOOKUP(L1353,'🙎‍♂️ Pasien'!G:L,3,FALSE),"")</f>
        <v>19</v>
      </c>
      <c r="O1353" s="104" t="str">
        <f>IFNA(VLOOKUP(L1353,'🙎‍♂️ Pasien'!G:V,6,FALSE),"")</f>
        <v>LAKI-LAKI</v>
      </c>
      <c r="P1353" s="104" t="str">
        <f>IFNA(VLOOKUP(L1353,'🙎‍♂️ Pasien'!G:V,12,FALSE),"")</f>
        <v>KATOLIK</v>
      </c>
      <c r="Q1353" s="104" t="str">
        <f>IFNA(VLOOKUP(L1353:L1508,'🙎‍♂️ Pasien'!G:V,13,FALSE),"")</f>
        <v>MAHASISWA</v>
      </c>
      <c r="R1353" s="104" t="str">
        <f t="array" ref="R1353">ifna(xlookup(L1353,'🙎‍♂️ Pasien'!$G$5:$G1508,'🙎‍♂️ Pasien'!$T$5:$T1508),"")</f>
        <v>LOWER BACK</v>
      </c>
      <c r="S1353" s="104" t="str">
        <f t="array" ref="S1353">ifna(xlookup(L1353,'🙎‍♂️ Pasien'!$G$5:$G1508,'🙎‍♂️ Pasien'!$U$5:$U1508),"")</f>
        <v>GYM, BASKET</v>
      </c>
      <c r="T1353" s="97" t="s">
        <v>59</v>
      </c>
      <c r="U1353" s="105" t="s">
        <v>60</v>
      </c>
      <c r="V1353" s="101"/>
      <c r="W1353" s="106" t="b">
        <v>1</v>
      </c>
      <c r="X1353" s="107"/>
      <c r="Y1353" s="108"/>
    </row>
    <row r="1354" ht="22.5" customHeight="1">
      <c r="A1354" s="96"/>
      <c r="B1354" s="97" t="s">
        <v>53</v>
      </c>
      <c r="C1354" s="98" t="str">
        <f t="array" ref="C1354">IFNA(XLOOKUP(J1354,'⚙️ Pengaturan'!$H$5:$H1508,'⚙️ Pengaturan'!$I$5:$I1508),"")</f>
        <v>TIM Y</v>
      </c>
      <c r="D1354" s="97" t="s">
        <v>54</v>
      </c>
      <c r="E1354" s="99">
        <v>46011.0</v>
      </c>
      <c r="F1354" s="100" t="str">
        <f t="shared" si="1"/>
        <v>2025</v>
      </c>
      <c r="G1354" s="100" t="str">
        <f t="shared" si="2"/>
        <v>12Des</v>
      </c>
      <c r="H1354" s="100" t="str">
        <f t="shared" si="3"/>
        <v>Sabtu</v>
      </c>
      <c r="I1354" s="97" t="s">
        <v>74</v>
      </c>
      <c r="J1354" s="97" t="s">
        <v>107</v>
      </c>
      <c r="K1354" s="97" t="s">
        <v>63</v>
      </c>
      <c r="L1354" s="101" t="s">
        <v>335</v>
      </c>
      <c r="M1354" s="102" t="str">
        <f>IFNA(VLOOKUP(L1354,'🙎‍♂️ Pasien'!G:V,2,FALSE),"")</f>
        <v>M8925040551</v>
      </c>
      <c r="N1354" s="103">
        <f>IFNA(VLOOKUP(L1354,'🙎‍♂️ Pasien'!G:L,3,FALSE),"")</f>
        <v>37</v>
      </c>
      <c r="O1354" s="104" t="str">
        <f>IFNA(VLOOKUP(L1354,'🙎‍♂️ Pasien'!G:V,6,FALSE),"")</f>
        <v>PEREMPUAN</v>
      </c>
      <c r="P1354" s="104" t="str">
        <f>IFNA(VLOOKUP(L1354,'🙎‍♂️ Pasien'!G:V,12,FALSE),"")</f>
        <v>-</v>
      </c>
      <c r="Q1354" s="104" t="str">
        <f>IFNA(VLOOKUP(L1354:L1508,'🙎‍♂️ Pasien'!G:V,13,FALSE),"")</f>
        <v>PNS</v>
      </c>
      <c r="R1354" s="104" t="str">
        <f t="array" ref="R1354">ifna(xlookup(L1354,'🙎‍♂️ Pasien'!$G$5:$G1508,'🙎‍♂️ Pasien'!$T$5:$T1508),"")</f>
        <v>SAKIT DI TUMIT BAGIAN TENGAH TELAPAK KAKI, KAKI KANAN. KADANG TERASA HANGAT/PANAS</v>
      </c>
      <c r="S1354" s="104" t="str">
        <f t="array" ref="S1354">ifna(xlookup(L1354,'🙎‍♂️ Pasien'!$G$5:$G1508,'🙎‍♂️ Pasien'!$U$5:$U1508),"")</f>
        <v>JALAN PAGI</v>
      </c>
      <c r="T1354" s="97" t="s">
        <v>67</v>
      </c>
      <c r="U1354" s="105">
        <v>2.0</v>
      </c>
      <c r="V1354" s="101" t="s">
        <v>515</v>
      </c>
      <c r="W1354" s="106" t="b">
        <v>1</v>
      </c>
      <c r="X1354" s="107"/>
      <c r="Y1354" s="108"/>
    </row>
    <row r="1355" ht="22.5" customHeight="1">
      <c r="A1355" s="96"/>
      <c r="B1355" s="97" t="s">
        <v>53</v>
      </c>
      <c r="C1355" s="98" t="str">
        <f t="array" ref="C1355">IFNA(XLOOKUP(J1355,'⚙️ Pengaturan'!$H$5:$H1508,'⚙️ Pengaturan'!$I$5:$I1508),"")</f>
        <v>TIM Y</v>
      </c>
      <c r="D1355" s="97" t="s">
        <v>54</v>
      </c>
      <c r="E1355" s="99">
        <v>46011.0</v>
      </c>
      <c r="F1355" s="100" t="str">
        <f t="shared" si="1"/>
        <v>2025</v>
      </c>
      <c r="G1355" s="100" t="str">
        <f t="shared" si="2"/>
        <v>12Des</v>
      </c>
      <c r="H1355" s="100" t="str">
        <f t="shared" si="3"/>
        <v>Sabtu</v>
      </c>
      <c r="I1355" s="97" t="s">
        <v>74</v>
      </c>
      <c r="J1355" s="97" t="s">
        <v>88</v>
      </c>
      <c r="K1355" s="97" t="s">
        <v>63</v>
      </c>
      <c r="L1355" s="101" t="s">
        <v>727</v>
      </c>
      <c r="M1355" s="102" t="str">
        <f>IFNA(VLOOKUP(L1355,'🙎‍♂️ Pasien'!G:V,2,FALSE),"")</f>
        <v>R0225129200</v>
      </c>
      <c r="N1355" s="103">
        <f>IFNA(VLOOKUP(L1355,'🙎‍♂️ Pasien'!G:L,3,FALSE),"")</f>
        <v>24</v>
      </c>
      <c r="O1355" s="104" t="str">
        <f>IFNA(VLOOKUP(L1355,'🙎‍♂️ Pasien'!G:V,6,FALSE),"")</f>
        <v>LAKI-LAKI</v>
      </c>
      <c r="P1355" s="104" t="str">
        <f>IFNA(VLOOKUP(L1355,'🙎‍♂️ Pasien'!G:V,12,FALSE),"")</f>
        <v>ISLAM</v>
      </c>
      <c r="Q1355" s="104" t="str">
        <f>IFNA(VLOOKUP(L1355:L1508,'🙎‍♂️ Pasien'!G:V,13,FALSE),"")</f>
        <v>BELUM ADA</v>
      </c>
      <c r="R1355" s="104" t="str">
        <f t="array" ref="R1355">ifna(xlookup(L1355,'🙎‍♂️ Pasien'!$G$5:$G1508,'🙎‍♂️ Pasien'!$T$5:$T1508),"")</f>
        <v>.BAHU TIDAK SIMETRIS</v>
      </c>
      <c r="S1355" s="104" t="str">
        <f t="array" ref="S1355">ifna(xlookup(L1355,'🙎‍♂️ Pasien'!$G$5:$G1508,'🙎‍♂️ Pasien'!$U$5:$U1508),"")</f>
        <v>LARI</v>
      </c>
      <c r="T1355" s="97" t="s">
        <v>59</v>
      </c>
      <c r="U1355" s="105">
        <v>2.0</v>
      </c>
      <c r="V1355" s="101"/>
      <c r="W1355" s="106" t="b">
        <v>1</v>
      </c>
      <c r="X1355" s="107"/>
      <c r="Y1355" s="108"/>
    </row>
    <row r="1356" ht="22.5" customHeight="1">
      <c r="A1356" s="96"/>
      <c r="B1356" s="97" t="s">
        <v>53</v>
      </c>
      <c r="C1356" s="98" t="str">
        <f t="array" ref="C1356">IFNA(XLOOKUP(J1356,'⚙️ Pengaturan'!$H$5:$H1508,'⚙️ Pengaturan'!$I$5:$I1508),"")</f>
        <v>TIM Y</v>
      </c>
      <c r="D1356" s="97" t="s">
        <v>54</v>
      </c>
      <c r="E1356" s="99">
        <v>46011.0</v>
      </c>
      <c r="F1356" s="100" t="str">
        <f t="shared" si="1"/>
        <v>2025</v>
      </c>
      <c r="G1356" s="100" t="str">
        <f t="shared" si="2"/>
        <v>12Des</v>
      </c>
      <c r="H1356" s="100" t="str">
        <f t="shared" si="3"/>
        <v>Sabtu</v>
      </c>
      <c r="I1356" s="97" t="s">
        <v>76</v>
      </c>
      <c r="J1356" s="97" t="s">
        <v>91</v>
      </c>
      <c r="K1356" s="97" t="s">
        <v>63</v>
      </c>
      <c r="L1356" s="101" t="s">
        <v>98</v>
      </c>
      <c r="M1356" s="102" t="str">
        <f>IFNA(VLOOKUP(L1356,'🙎‍♂️ Pasien'!G:V,2,FALSE),"")</f>
        <v>L9925048099</v>
      </c>
      <c r="N1356" s="103">
        <f>IFNA(VLOOKUP(L1356,'🙎‍♂️ Pasien'!G:L,3,FALSE),"")</f>
        <v>26</v>
      </c>
      <c r="O1356" s="104" t="str">
        <f>IFNA(VLOOKUP(L1356,'🙎‍♂️ Pasien'!G:V,6,FALSE),"")</f>
        <v>PEREMPUAN</v>
      </c>
      <c r="P1356" s="104" t="str">
        <f>IFNA(VLOOKUP(L1356,'🙎‍♂️ Pasien'!G:V,12,FALSE),"")</f>
        <v>KATOLIK</v>
      </c>
      <c r="Q1356" s="104" t="str">
        <f>IFNA(VLOOKUP(L1356:L1508,'🙎‍♂️ Pasien'!G:V,13,FALSE),"")</f>
        <v>ACCOUNTING</v>
      </c>
      <c r="R1356" s="104" t="str">
        <f t="array" ref="R1356">ifna(xlookup(L1356,'🙎‍♂️ Pasien'!$G$5:$G1508,'🙎‍♂️ Pasien'!$T$5:$T1508),"")</f>
        <v>NYERI TULANG BELAKANG SAMPAI KAKI, NYERI DI BAGIAN LUTUT JUGA</v>
      </c>
      <c r="S1356" s="104" t="str">
        <f t="array" ref="S1356">ifna(xlookup(L1356,'🙎‍♂️ Pasien'!$G$5:$G1508,'🙎‍♂️ Pasien'!$U$5:$U1508),"")</f>
        <v>BANYAK DUDUK</v>
      </c>
      <c r="T1356" s="97" t="s">
        <v>59</v>
      </c>
      <c r="U1356" s="105">
        <v>6.0</v>
      </c>
      <c r="V1356" s="101"/>
      <c r="W1356" s="106" t="b">
        <v>1</v>
      </c>
      <c r="X1356" s="107"/>
      <c r="Y1356" s="108"/>
    </row>
    <row r="1357" ht="22.5" customHeight="1">
      <c r="A1357" s="96"/>
      <c r="B1357" s="97" t="s">
        <v>53</v>
      </c>
      <c r="C1357" s="98" t="str">
        <f t="array" ref="C1357">IFNA(XLOOKUP(J1357,'⚙️ Pengaturan'!$H$5:$H1508,'⚙️ Pengaturan'!$I$5:$I1508),"")</f>
        <v>TIM Y</v>
      </c>
      <c r="D1357" s="97" t="s">
        <v>54</v>
      </c>
      <c r="E1357" s="99">
        <v>46011.0</v>
      </c>
      <c r="F1357" s="100" t="str">
        <f t="shared" si="1"/>
        <v>2025</v>
      </c>
      <c r="G1357" s="100" t="str">
        <f t="shared" si="2"/>
        <v>12Des</v>
      </c>
      <c r="H1357" s="100" t="str">
        <f t="shared" si="3"/>
        <v>Sabtu</v>
      </c>
      <c r="I1357" s="97" t="s">
        <v>76</v>
      </c>
      <c r="J1357" s="97" t="s">
        <v>509</v>
      </c>
      <c r="K1357" s="97" t="s">
        <v>57</v>
      </c>
      <c r="L1357" s="101" t="s">
        <v>751</v>
      </c>
      <c r="M1357" s="102" t="str">
        <f>IFNA(VLOOKUP(L1357,'🙎‍♂️ Pasien'!G:V,2,FALSE),"")</f>
        <v>S5125127001</v>
      </c>
      <c r="N1357" s="103">
        <f>IFNA(VLOOKUP(L1357,'🙎‍♂️ Pasien'!G:L,3,FALSE),"")</f>
        <v>75</v>
      </c>
      <c r="O1357" s="104" t="str">
        <f>IFNA(VLOOKUP(L1357,'🙎‍♂️ Pasien'!G:V,6,FALSE),"")</f>
        <v>LAKI-LAKI</v>
      </c>
      <c r="P1357" s="104" t="str">
        <f>IFNA(VLOOKUP(L1357,'🙎‍♂️ Pasien'!G:V,12,FALSE),"")</f>
        <v>KATOLIK</v>
      </c>
      <c r="Q1357" s="104" t="str">
        <f>IFNA(VLOOKUP(L1357:L1508,'🙎‍♂️ Pasien'!G:V,13,FALSE),"")</f>
        <v>PERDAGANGAN</v>
      </c>
      <c r="R1357" s="104" t="str">
        <f t="array" ref="R1357">ifna(xlookup(L1357,'🙎‍♂️ Pasien'!$G$5:$G1508,'🙎‍♂️ Pasien'!$T$5:$T1508),"")</f>
        <v>TELAPAK KAKI</v>
      </c>
      <c r="S1357" s="104" t="str">
        <f t="array" ref="S1357">ifna(xlookup(L1357,'🙎‍♂️ Pasien'!$G$5:$G1508,'🙎‍♂️ Pasien'!$U$5:$U1508),"")</f>
        <v>-</v>
      </c>
      <c r="T1357" s="97" t="s">
        <v>59</v>
      </c>
      <c r="U1357" s="105" t="s">
        <v>60</v>
      </c>
      <c r="V1357" s="101"/>
      <c r="W1357" s="106" t="b">
        <v>1</v>
      </c>
      <c r="X1357" s="107"/>
      <c r="Y1357" s="108"/>
    </row>
    <row r="1358" ht="22.5" customHeight="1">
      <c r="A1358" s="96"/>
      <c r="B1358" s="97" t="s">
        <v>53</v>
      </c>
      <c r="C1358" s="98" t="str">
        <f t="array" ref="C1358">IFNA(XLOOKUP(J1358,'⚙️ Pengaturan'!$H$5:$H1508,'⚙️ Pengaturan'!$I$5:$I1508),"")</f>
        <v>TIM Y</v>
      </c>
      <c r="D1358" s="97" t="s">
        <v>54</v>
      </c>
      <c r="E1358" s="99">
        <v>46011.0</v>
      </c>
      <c r="F1358" s="100" t="str">
        <f t="shared" si="1"/>
        <v>2025</v>
      </c>
      <c r="G1358" s="100" t="str">
        <f t="shared" si="2"/>
        <v>12Des</v>
      </c>
      <c r="H1358" s="100" t="str">
        <f t="shared" si="3"/>
        <v>Sabtu</v>
      </c>
      <c r="I1358" s="97" t="s">
        <v>83</v>
      </c>
      <c r="J1358" s="97" t="s">
        <v>88</v>
      </c>
      <c r="K1358" s="97" t="s">
        <v>69</v>
      </c>
      <c r="L1358" s="101" t="s">
        <v>155</v>
      </c>
      <c r="M1358" s="102" t="str">
        <f>IFNA(VLOOKUP(L1358,'🙎‍♂️ Pasien'!G:V,2,FALSE),"")</f>
        <v>H5325012017</v>
      </c>
      <c r="N1358" s="103">
        <f>IFNA(VLOOKUP(L1358,'🙎‍♂️ Pasien'!G:L,3,FALSE),"")</f>
        <v>72</v>
      </c>
      <c r="O1358" s="104" t="str">
        <f>IFNA(VLOOKUP(L1358,'🙎‍♂️ Pasien'!G:V,6,FALSE),"")</f>
        <v>LAKI-LAKI</v>
      </c>
      <c r="P1358" s="104" t="str">
        <f>IFNA(VLOOKUP(L1358,'🙎‍♂️ Pasien'!G:V,12,FALSE),"")</f>
        <v>ISLAM</v>
      </c>
      <c r="Q1358" s="104" t="str">
        <f>IFNA(VLOOKUP(L1358:L1508,'🙎‍♂️ Pasien'!G:V,13,FALSE),"")</f>
        <v>PENSIUN</v>
      </c>
      <c r="R1358" s="104" t="str">
        <f t="array" ref="R1358">ifna(xlookup(L1358,'🙎‍♂️ Pasien'!$G$5:$G1508,'🙎‍♂️ Pasien'!$T$5:$T1508),"")</f>
        <v>Kaki terasa nyeri jika dibawa berdiri lama atau berjalan jauh</v>
      </c>
      <c r="S1358" s="104" t="str">
        <f t="array" ref="S1358">ifna(xlookup(L1358,'🙎‍♂️ Pasien'!$G$5:$G1508,'🙎‍♂️ Pasien'!$U$5:$U1508),"")</f>
        <v>Tidak ada</v>
      </c>
      <c r="T1358" s="97" t="s">
        <v>59</v>
      </c>
      <c r="U1358" s="105" t="s">
        <v>60</v>
      </c>
      <c r="V1358" s="101"/>
      <c r="W1358" s="106" t="b">
        <v>1</v>
      </c>
      <c r="X1358" s="107"/>
      <c r="Y1358" s="108"/>
    </row>
    <row r="1359" ht="22.5" customHeight="1">
      <c r="A1359" s="96"/>
      <c r="B1359" s="97" t="s">
        <v>53</v>
      </c>
      <c r="C1359" s="98" t="str">
        <f t="array" ref="C1359">IFNA(XLOOKUP(J1359,'⚙️ Pengaturan'!$H$5:$H1508,'⚙️ Pengaturan'!$I$5:$I1508),"")</f>
        <v>TIM Y</v>
      </c>
      <c r="D1359" s="97" t="s">
        <v>54</v>
      </c>
      <c r="E1359" s="99">
        <v>46011.0</v>
      </c>
      <c r="F1359" s="100" t="str">
        <f t="shared" si="1"/>
        <v>2025</v>
      </c>
      <c r="G1359" s="100" t="str">
        <f t="shared" si="2"/>
        <v>12Des</v>
      </c>
      <c r="H1359" s="100" t="str">
        <f t="shared" si="3"/>
        <v>Sabtu</v>
      </c>
      <c r="I1359" s="97" t="s">
        <v>83</v>
      </c>
      <c r="J1359" s="97" t="s">
        <v>509</v>
      </c>
      <c r="K1359" s="97" t="s">
        <v>57</v>
      </c>
      <c r="L1359" s="101" t="s">
        <v>752</v>
      </c>
      <c r="M1359" s="102" t="str">
        <f>IFNA(VLOOKUP(L1359,'🙎‍♂️ Pasien'!G:V,2,FALSE),"")</f>
        <v>J9824114915</v>
      </c>
      <c r="N1359" s="103">
        <f>IFNA(VLOOKUP(L1359,'🙎‍♂️ Pasien'!G:L,3,FALSE),"")</f>
        <v>27</v>
      </c>
      <c r="O1359" s="104" t="str">
        <f>IFNA(VLOOKUP(L1359,'🙎‍♂️ Pasien'!G:V,6,FALSE),"")</f>
        <v>LAKI-LAKI</v>
      </c>
      <c r="P1359" s="104" t="str">
        <f>IFNA(VLOOKUP(L1359,'🙎‍♂️ Pasien'!G:V,12,FALSE),"")</f>
        <v>KHONGHUCU</v>
      </c>
      <c r="Q1359" s="104" t="str">
        <f>IFNA(VLOOKUP(L1359:L1508,'🙎‍♂️ Pasien'!G:V,13,FALSE),"")</f>
        <v>SALES LUAR KOTA</v>
      </c>
      <c r="R1359" s="104" t="str">
        <f t="array" ref="R1359">ifna(xlookup(L1359,'🙎‍♂️ Pasien'!$G$5:$G1508,'🙎‍♂️ Pasien'!$T$5:$T1508),"")</f>
        <v>LUTUT KAKI</v>
      </c>
      <c r="S1359" s="104" t="str">
        <f t="array" ref="S1359">ifna(xlookup(L1359,'🙎‍♂️ Pasien'!$G$5:$G1508,'🙎‍♂️ Pasien'!$U$5:$U1508),"")</f>
        <v>SEPAK BOLA</v>
      </c>
      <c r="T1359" s="97" t="s">
        <v>59</v>
      </c>
      <c r="U1359" s="105" t="s">
        <v>60</v>
      </c>
      <c r="V1359" s="101"/>
      <c r="W1359" s="106" t="b">
        <v>1</v>
      </c>
      <c r="X1359" s="107"/>
      <c r="Y1359" s="108"/>
    </row>
    <row r="1360" ht="22.5" customHeight="1">
      <c r="A1360" s="96"/>
      <c r="B1360" s="97" t="s">
        <v>53</v>
      </c>
      <c r="C1360" s="98" t="str">
        <f t="array" ref="C1360">IFNA(XLOOKUP(J1360,'⚙️ Pengaturan'!$H$5:$H1508,'⚙️ Pengaturan'!$I$5:$I1508),"")</f>
        <v>TIM Y</v>
      </c>
      <c r="D1360" s="97" t="s">
        <v>54</v>
      </c>
      <c r="E1360" s="99">
        <v>46011.0</v>
      </c>
      <c r="F1360" s="100" t="str">
        <f t="shared" si="1"/>
        <v>2025</v>
      </c>
      <c r="G1360" s="100" t="str">
        <f t="shared" si="2"/>
        <v>12Des</v>
      </c>
      <c r="H1360" s="100" t="str">
        <f t="shared" si="3"/>
        <v>Sabtu</v>
      </c>
      <c r="I1360" s="97" t="s">
        <v>83</v>
      </c>
      <c r="J1360" s="97" t="s">
        <v>107</v>
      </c>
      <c r="K1360" s="97" t="s">
        <v>63</v>
      </c>
      <c r="L1360" s="101" t="s">
        <v>153</v>
      </c>
      <c r="M1360" s="102" t="str">
        <f>IFNA(VLOOKUP(L1360,'🙎‍♂️ Pasien'!G:V,2,FALSE),"")</f>
        <v>S6225086797</v>
      </c>
      <c r="N1360" s="103">
        <f>IFNA(VLOOKUP(L1360,'🙎‍♂️ Pasien'!G:L,3,FALSE),"")</f>
        <v>63</v>
      </c>
      <c r="O1360" s="104" t="str">
        <f>IFNA(VLOOKUP(L1360,'🙎‍♂️ Pasien'!G:V,6,FALSE),"")</f>
        <v>PEREMPUAN</v>
      </c>
      <c r="P1360" s="104" t="str">
        <f>IFNA(VLOOKUP(L1360,'🙎‍♂️ Pasien'!G:V,12,FALSE),"")</f>
        <v>ISLAM</v>
      </c>
      <c r="Q1360" s="104" t="str">
        <f>IFNA(VLOOKUP(L1360:L1508,'🙎‍♂️ Pasien'!G:V,13,FALSE),"")</f>
        <v>-</v>
      </c>
      <c r="R1360" s="104" t="str">
        <f t="array" ref="R1360">ifna(xlookup(L1360,'🙎‍♂️ Pasien'!$G$5:$G1508,'🙎‍♂️ Pasien'!$T$5:$T1508),"")</f>
        <v>TANGAN KANAN BAGIAN ATAS, SAKIT SAAT DIGERAKKAN</v>
      </c>
      <c r="S1360" s="104" t="str">
        <f t="array" ref="S1360">ifna(xlookup(L1360,'🙎‍♂️ Pasien'!$G$5:$G1508,'🙎‍♂️ Pasien'!$U$5:$U1508),"")</f>
        <v>PEKERJAAN RUMAH TANGGA</v>
      </c>
      <c r="T1360" s="97" t="s">
        <v>59</v>
      </c>
      <c r="U1360" s="105">
        <v>8.0</v>
      </c>
      <c r="V1360" s="101"/>
      <c r="W1360" s="106" t="b">
        <v>1</v>
      </c>
      <c r="X1360" s="107"/>
      <c r="Y1360" s="108"/>
    </row>
    <row r="1361" ht="22.5" customHeight="1">
      <c r="A1361" s="96"/>
      <c r="B1361" s="97" t="s">
        <v>85</v>
      </c>
      <c r="C1361" s="98" t="str">
        <f t="array" ref="C1361">IFNA(XLOOKUP(J1361,'⚙️ Pengaturan'!$H$5:$H1508,'⚙️ Pengaturan'!$I$5:$I1508),"")</f>
        <v>TIM A</v>
      </c>
      <c r="D1361" s="97" t="s">
        <v>86</v>
      </c>
      <c r="E1361" s="99">
        <v>46011.0</v>
      </c>
      <c r="F1361" s="100" t="str">
        <f t="shared" si="1"/>
        <v>2025</v>
      </c>
      <c r="G1361" s="100" t="str">
        <f t="shared" si="2"/>
        <v>12Des</v>
      </c>
      <c r="H1361" s="100" t="str">
        <f t="shared" si="3"/>
        <v>Sabtu</v>
      </c>
      <c r="I1361" s="97" t="s">
        <v>87</v>
      </c>
      <c r="J1361" s="97" t="s">
        <v>72</v>
      </c>
      <c r="K1361" s="97" t="s">
        <v>57</v>
      </c>
      <c r="L1361" s="101" t="s">
        <v>753</v>
      </c>
      <c r="M1361" s="102" t="str">
        <f>IFNA(VLOOKUP(L1361,'🙎‍♂️ Pasien'!G:V,2,FALSE),"")</f>
        <v>S0025121122</v>
      </c>
      <c r="N1361" s="103">
        <f>IFNA(VLOOKUP(L1361,'🙎‍♂️ Pasien'!G:L,3,FALSE),"")</f>
        <v>25</v>
      </c>
      <c r="O1361" s="104" t="str">
        <f>IFNA(VLOOKUP(L1361,'🙎‍♂️ Pasien'!G:V,6,FALSE),"")</f>
        <v>LAKI-LAKI</v>
      </c>
      <c r="P1361" s="104" t="str">
        <f>IFNA(VLOOKUP(L1361,'🙎‍♂️ Pasien'!G:V,12,FALSE),"")</f>
        <v>KATOLIK</v>
      </c>
      <c r="Q1361" s="104" t="str">
        <f>IFNA(VLOOKUP(L1361:L1508,'🙎‍♂️ Pasien'!G:V,13,FALSE),"")</f>
        <v>PEMBISNIS</v>
      </c>
      <c r="R1361" s="104" t="str">
        <f t="array" ref="R1361">ifna(xlookup(L1361,'🙎‍♂️ Pasien'!$G$5:$G1508,'🙎‍♂️ Pasien'!$T$5:$T1508),"")</f>
        <v>ENGSEL MATA KAKI BENGKAK</v>
      </c>
      <c r="S1361" s="104" t="str">
        <f t="array" ref="S1361">ifna(xlookup(L1361,'🙎‍♂️ Pasien'!$G$5:$G1508,'🙎‍♂️ Pasien'!$U$5:$U1508),"")</f>
        <v>MAIN BOLA</v>
      </c>
      <c r="T1361" s="97" t="s">
        <v>59</v>
      </c>
      <c r="U1361" s="105" t="s">
        <v>60</v>
      </c>
      <c r="V1361" s="101"/>
      <c r="W1361" s="106" t="b">
        <v>1</v>
      </c>
      <c r="X1361" s="107"/>
      <c r="Y1361" s="108"/>
    </row>
    <row r="1362" ht="22.5" customHeight="1">
      <c r="A1362" s="96"/>
      <c r="B1362" s="97" t="s">
        <v>85</v>
      </c>
      <c r="C1362" s="98" t="str">
        <f t="array" ref="C1362">IFNA(XLOOKUP(J1362,'⚙️ Pengaturan'!$H$5:$H1508,'⚙️ Pengaturan'!$I$5:$I1508),"")</f>
        <v>TIM Y</v>
      </c>
      <c r="D1362" s="97" t="s">
        <v>86</v>
      </c>
      <c r="E1362" s="99">
        <v>46011.0</v>
      </c>
      <c r="F1362" s="100" t="str">
        <f t="shared" si="1"/>
        <v>2025</v>
      </c>
      <c r="G1362" s="100" t="str">
        <f t="shared" si="2"/>
        <v>12Des</v>
      </c>
      <c r="H1362" s="100" t="str">
        <f t="shared" si="3"/>
        <v>Sabtu</v>
      </c>
      <c r="I1362" s="97" t="s">
        <v>87</v>
      </c>
      <c r="J1362" s="97" t="s">
        <v>56</v>
      </c>
      <c r="K1362" s="97" t="s">
        <v>63</v>
      </c>
      <c r="L1362" s="101" t="s">
        <v>138</v>
      </c>
      <c r="M1362" s="102" t="str">
        <f>IFNA(VLOOKUP(L1362,'🙎‍♂️ Pasien'!G:V,2,FALSE),"")</f>
        <v>Y5125088477</v>
      </c>
      <c r="N1362" s="103">
        <f>IFNA(VLOOKUP(L1362,'🙎‍♂️ Pasien'!G:L,3,FALSE),"")</f>
        <v>75</v>
      </c>
      <c r="O1362" s="104" t="str">
        <f>IFNA(VLOOKUP(L1362,'🙎‍♂️ Pasien'!G:V,6,FALSE),"")</f>
        <v>LAKI-LAKI</v>
      </c>
      <c r="P1362" s="104" t="str">
        <f>IFNA(VLOOKUP(L1362,'🙎‍♂️ Pasien'!G:V,12,FALSE),"")</f>
        <v>ISLAM</v>
      </c>
      <c r="Q1362" s="104" t="str">
        <f>IFNA(VLOOKUP(L1362:L1508,'🙎‍♂️ Pasien'!G:V,13,FALSE),"")</f>
        <v>PENSIUNAN PLN</v>
      </c>
      <c r="R1362" s="104" t="str">
        <f t="array" ref="R1362">ifna(xlookup(L1362,'🙎‍♂️ Pasien'!$G$5:$G1508,'🙎‍♂️ Pasien'!$T$5:$T1508),"")</f>
        <v>STROKE SEBELAH KANAN</v>
      </c>
      <c r="S1362" s="104" t="str">
        <f t="array" ref="S1362">ifna(xlookup(L1362,'🙎‍♂️ Pasien'!$G$5:$G1508,'🙎‍♂️ Pasien'!$U$5:$U1508),"")</f>
        <v>TIDAK ADA</v>
      </c>
      <c r="T1362" s="97" t="s">
        <v>59</v>
      </c>
      <c r="U1362" s="105">
        <v>3.0</v>
      </c>
      <c r="V1362" s="101"/>
      <c r="W1362" s="106" t="b">
        <v>1</v>
      </c>
      <c r="X1362" s="107"/>
      <c r="Y1362" s="108"/>
    </row>
    <row r="1363" ht="22.5" customHeight="1">
      <c r="A1363" s="96"/>
      <c r="B1363" s="97" t="s">
        <v>85</v>
      </c>
      <c r="C1363" s="98" t="str">
        <f t="array" ref="C1363">IFNA(XLOOKUP(J1363,'⚙️ Pengaturan'!$H$5:$H1508,'⚙️ Pengaturan'!$I$5:$I1508),"")</f>
        <v>TIM Y</v>
      </c>
      <c r="D1363" s="97" t="s">
        <v>86</v>
      </c>
      <c r="E1363" s="99">
        <v>46011.0</v>
      </c>
      <c r="F1363" s="100" t="str">
        <f t="shared" si="1"/>
        <v>2025</v>
      </c>
      <c r="G1363" s="100" t="str">
        <f t="shared" si="2"/>
        <v>12Des</v>
      </c>
      <c r="H1363" s="100" t="str">
        <f t="shared" si="3"/>
        <v>Sabtu</v>
      </c>
      <c r="I1363" s="97" t="s">
        <v>93</v>
      </c>
      <c r="J1363" s="97" t="s">
        <v>56</v>
      </c>
      <c r="K1363" s="97" t="s">
        <v>63</v>
      </c>
      <c r="L1363" s="101" t="s">
        <v>613</v>
      </c>
      <c r="M1363" s="102" t="str">
        <f>IFNA(VLOOKUP(L1363,'🙎‍♂️ Pasien'!G:V,2,FALSE),"")</f>
        <v>A9625081247</v>
      </c>
      <c r="N1363" s="103">
        <f>IFNA(VLOOKUP(L1363,'🙎‍♂️ Pasien'!G:L,3,FALSE),"")</f>
        <v>30</v>
      </c>
      <c r="O1363" s="104" t="str">
        <f>IFNA(VLOOKUP(L1363,'🙎‍♂️ Pasien'!G:V,6,FALSE),"")</f>
        <v>LAKI-LAKI</v>
      </c>
      <c r="P1363" s="104" t="str">
        <f>IFNA(VLOOKUP(L1363,'🙎‍♂️ Pasien'!G:V,12,FALSE),"")</f>
        <v>ISLAM</v>
      </c>
      <c r="Q1363" s="104" t="str">
        <f>IFNA(VLOOKUP(L1363:L1508,'🙎‍♂️ Pasien'!G:V,13,FALSE),"")</f>
        <v>PPPK</v>
      </c>
      <c r="R1363" s="104" t="str">
        <f t="array" ref="R1363">ifna(xlookup(L1363,'🙎‍♂️ Pasien'!$G$5:$G1508,'🙎‍♂️ Pasien'!$T$5:$T1508),"")</f>
        <v>LUTUT BENGKAK, MENISCUS</v>
      </c>
      <c r="S1363" s="104" t="str">
        <f t="array" ref="S1363">ifna(xlookup(L1363,'🙎‍♂️ Pasien'!$G$5:$G1508,'🙎‍♂️ Pasien'!$U$5:$U1508),"")</f>
        <v>FUTSAL, MINISOCCER</v>
      </c>
      <c r="T1363" s="97" t="s">
        <v>59</v>
      </c>
      <c r="U1363" s="105">
        <v>9.0</v>
      </c>
      <c r="V1363" s="101"/>
      <c r="W1363" s="106" t="b">
        <v>1</v>
      </c>
      <c r="X1363" s="107"/>
      <c r="Y1363" s="108"/>
    </row>
    <row r="1364" ht="22.5" customHeight="1">
      <c r="A1364" s="96"/>
      <c r="B1364" s="97" t="s">
        <v>85</v>
      </c>
      <c r="C1364" s="98" t="str">
        <f t="array" ref="C1364">IFNA(XLOOKUP(J1364,'⚙️ Pengaturan'!$H$5:$H1508,'⚙️ Pengaturan'!$I$5:$I1508),"")</f>
        <v>TIM A</v>
      </c>
      <c r="D1364" s="97" t="s">
        <v>86</v>
      </c>
      <c r="E1364" s="99">
        <v>46011.0</v>
      </c>
      <c r="F1364" s="100" t="str">
        <f t="shared" si="1"/>
        <v>2025</v>
      </c>
      <c r="G1364" s="100" t="str">
        <f t="shared" si="2"/>
        <v>12Des</v>
      </c>
      <c r="H1364" s="100" t="str">
        <f t="shared" si="3"/>
        <v>Sabtu</v>
      </c>
      <c r="I1364" s="97" t="s">
        <v>93</v>
      </c>
      <c r="J1364" s="97" t="s">
        <v>79</v>
      </c>
      <c r="K1364" s="97" t="s">
        <v>69</v>
      </c>
      <c r="L1364" s="101" t="s">
        <v>688</v>
      </c>
      <c r="M1364" s="102" t="str">
        <f>IFNA(VLOOKUP(L1364,'🙎‍♂️ Pasien'!G:V,2,FALSE),"")</f>
        <v>G0225127367</v>
      </c>
      <c r="N1364" s="103">
        <f>IFNA(VLOOKUP(L1364,'🙎‍♂️ Pasien'!G:L,3,FALSE),"")</f>
        <v>24</v>
      </c>
      <c r="O1364" s="104" t="str">
        <f>IFNA(VLOOKUP(L1364,'🙎‍♂️ Pasien'!G:V,6,FALSE),"")</f>
        <v>LAKI-LAKI</v>
      </c>
      <c r="P1364" s="104" t="str">
        <f>IFNA(VLOOKUP(L1364,'🙎‍♂️ Pasien'!G:V,12,FALSE),"")</f>
        <v>KATOLIK</v>
      </c>
      <c r="Q1364" s="104" t="str">
        <f>IFNA(VLOOKUP(L1364:L1508,'🙎‍♂️ Pasien'!G:V,13,FALSE),"")</f>
        <v>MAHASISWA</v>
      </c>
      <c r="R1364" s="104" t="str">
        <f t="array" ref="R1364">ifna(xlookup(L1364,'🙎‍♂️ Pasien'!$G$5:$G1508,'🙎‍♂️ Pasien'!$T$5:$T1508),"")</f>
        <v>CIDERA LUTUT</v>
      </c>
      <c r="S1364" s="104" t="str">
        <f t="array" ref="S1364">ifna(xlookup(L1364,'🙎‍♂️ Pasien'!$G$5:$G1508,'🙎‍♂️ Pasien'!$U$5:$U1508),"")</f>
        <v>SEPAK BOLA</v>
      </c>
      <c r="T1364" s="97" t="s">
        <v>59</v>
      </c>
      <c r="U1364" s="105" t="s">
        <v>60</v>
      </c>
      <c r="V1364" s="101"/>
      <c r="W1364" s="106" t="b">
        <v>1</v>
      </c>
      <c r="X1364" s="107"/>
      <c r="Y1364" s="108"/>
    </row>
    <row r="1365" ht="22.5" customHeight="1">
      <c r="A1365" s="96"/>
      <c r="B1365" s="97" t="s">
        <v>85</v>
      </c>
      <c r="C1365" s="98" t="str">
        <f t="array" ref="C1365">IFNA(XLOOKUP(J1365,'⚙️ Pengaturan'!$H$5:$H1508,'⚙️ Pengaturan'!$I$5:$I1508),"")</f>
        <v>TIM A</v>
      </c>
      <c r="D1365" s="97" t="s">
        <v>86</v>
      </c>
      <c r="E1365" s="99">
        <v>46011.0</v>
      </c>
      <c r="F1365" s="100" t="str">
        <f t="shared" si="1"/>
        <v>2025</v>
      </c>
      <c r="G1365" s="100" t="str">
        <f t="shared" si="2"/>
        <v>12Des</v>
      </c>
      <c r="H1365" s="100" t="str">
        <f t="shared" si="3"/>
        <v>Sabtu</v>
      </c>
      <c r="I1365" s="97" t="s">
        <v>93</v>
      </c>
      <c r="J1365" s="97" t="s">
        <v>72</v>
      </c>
      <c r="K1365" s="97" t="s">
        <v>57</v>
      </c>
      <c r="L1365" s="101" t="s">
        <v>754</v>
      </c>
      <c r="M1365" s="102" t="str">
        <f>IFNA(VLOOKUP(L1365,'🙎‍♂️ Pasien'!G:V,2,FALSE),"")</f>
        <v>L5825122264</v>
      </c>
      <c r="N1365" s="103">
        <f>IFNA(VLOOKUP(L1365,'🙎‍♂️ Pasien'!G:L,3,FALSE),"")</f>
        <v>67</v>
      </c>
      <c r="O1365" s="104" t="str">
        <f>IFNA(VLOOKUP(L1365,'🙎‍♂️ Pasien'!G:V,6,FALSE),"")</f>
        <v>PEREMPUAN</v>
      </c>
      <c r="P1365" s="104" t="str">
        <f>IFNA(VLOOKUP(L1365,'🙎‍♂️ Pasien'!G:V,12,FALSE),"")</f>
        <v>BUDDHA</v>
      </c>
      <c r="Q1365" s="104" t="str">
        <f>IFNA(VLOOKUP(L1365:L1508,'🙎‍♂️ Pasien'!G:V,13,FALSE),"")</f>
        <v>IBU RUMAH TANGGA</v>
      </c>
      <c r="R1365" s="104" t="str">
        <f t="array" ref="R1365">ifna(xlookup(L1365,'🙎‍♂️ Pasien'!$G$5:$G1508,'🙎‍♂️ Pasien'!$T$5:$T1508),"")</f>
        <v>LUTUT SAKIT MENJALAR KE KAKI.</v>
      </c>
      <c r="S1365" s="104" t="str">
        <f t="array" ref="S1365">ifna(xlookup(L1365,'🙎‍♂️ Pasien'!$G$5:$G1508,'🙎‍♂️ Pasien'!$U$5:$U1508),"")</f>
        <v>JALAN KAKI KE PASAR, NAIK TANGGA</v>
      </c>
      <c r="T1365" s="97" t="s">
        <v>59</v>
      </c>
      <c r="U1365" s="105" t="s">
        <v>60</v>
      </c>
      <c r="V1365" s="101"/>
      <c r="W1365" s="106" t="b">
        <v>1</v>
      </c>
      <c r="X1365" s="107"/>
      <c r="Y1365" s="108"/>
    </row>
    <row r="1366" ht="22.5" customHeight="1">
      <c r="A1366" s="96"/>
      <c r="B1366" s="97" t="s">
        <v>85</v>
      </c>
      <c r="C1366" s="98" t="str">
        <f t="array" ref="C1366">IFNA(XLOOKUP(J1366,'⚙️ Pengaturan'!$H$5:$H1508,'⚙️ Pengaturan'!$I$5:$I1508),"")</f>
        <v>TIM Y</v>
      </c>
      <c r="D1366" s="97" t="s">
        <v>86</v>
      </c>
      <c r="E1366" s="99">
        <v>46011.0</v>
      </c>
      <c r="F1366" s="100" t="str">
        <f t="shared" si="1"/>
        <v>2025</v>
      </c>
      <c r="G1366" s="100" t="str">
        <f t="shared" si="2"/>
        <v>12Des</v>
      </c>
      <c r="H1366" s="100" t="str">
        <f t="shared" si="3"/>
        <v>Sabtu</v>
      </c>
      <c r="I1366" s="97" t="s">
        <v>95</v>
      </c>
      <c r="J1366" s="97" t="s">
        <v>56</v>
      </c>
      <c r="K1366" s="97" t="s">
        <v>63</v>
      </c>
      <c r="L1366" s="101" t="s">
        <v>613</v>
      </c>
      <c r="M1366" s="102" t="str">
        <f>IFNA(VLOOKUP(L1366,'🙎‍♂️ Pasien'!G:V,2,FALSE),"")</f>
        <v>A9625081247</v>
      </c>
      <c r="N1366" s="103">
        <f>IFNA(VLOOKUP(L1366,'🙎‍♂️ Pasien'!G:L,3,FALSE),"")</f>
        <v>30</v>
      </c>
      <c r="O1366" s="104" t="str">
        <f>IFNA(VLOOKUP(L1366,'🙎‍♂️ Pasien'!G:V,6,FALSE),"")</f>
        <v>LAKI-LAKI</v>
      </c>
      <c r="P1366" s="104" t="str">
        <f>IFNA(VLOOKUP(L1366,'🙎‍♂️ Pasien'!G:V,12,FALSE),"")</f>
        <v>ISLAM</v>
      </c>
      <c r="Q1366" s="104" t="str">
        <f>IFNA(VLOOKUP(L1366:L1508,'🙎‍♂️ Pasien'!G:V,13,FALSE),"")</f>
        <v>PPPK</v>
      </c>
      <c r="R1366" s="104" t="str">
        <f t="array" ref="R1366">ifna(xlookup(L1366,'🙎‍♂️ Pasien'!$G$5:$G1508,'🙎‍♂️ Pasien'!$T$5:$T1508),"")</f>
        <v>LUTUT BENGKAK, MENISCUS</v>
      </c>
      <c r="S1366" s="104" t="str">
        <f t="array" ref="S1366">ifna(xlookup(L1366,'🙎‍♂️ Pasien'!$G$5:$G1508,'🙎‍♂️ Pasien'!$U$5:$U1508),"")</f>
        <v>FUTSAL, MINISOCCER</v>
      </c>
      <c r="T1366" s="97" t="s">
        <v>59</v>
      </c>
      <c r="U1366" s="105">
        <v>10.0</v>
      </c>
      <c r="V1366" s="101"/>
      <c r="W1366" s="106" t="b">
        <v>1</v>
      </c>
      <c r="X1366" s="107"/>
      <c r="Y1366" s="108"/>
    </row>
    <row r="1367" ht="22.5" customHeight="1">
      <c r="A1367" s="96"/>
      <c r="B1367" s="97" t="s">
        <v>85</v>
      </c>
      <c r="C1367" s="98" t="str">
        <f t="array" ref="C1367">IFNA(XLOOKUP(J1367,'⚙️ Pengaturan'!$H$5:$H1508,'⚙️ Pengaturan'!$I$5:$I1508),"")</f>
        <v>TIM A</v>
      </c>
      <c r="D1367" s="97" t="s">
        <v>86</v>
      </c>
      <c r="E1367" s="99">
        <v>46011.0</v>
      </c>
      <c r="F1367" s="100" t="str">
        <f t="shared" si="1"/>
        <v>2025</v>
      </c>
      <c r="G1367" s="100" t="str">
        <f t="shared" si="2"/>
        <v>12Des</v>
      </c>
      <c r="H1367" s="100" t="str">
        <f t="shared" si="3"/>
        <v>Sabtu</v>
      </c>
      <c r="I1367" s="97" t="s">
        <v>95</v>
      </c>
      <c r="J1367" s="97" t="s">
        <v>72</v>
      </c>
      <c r="K1367" s="97" t="s">
        <v>63</v>
      </c>
      <c r="L1367" s="101" t="s">
        <v>593</v>
      </c>
      <c r="M1367" s="102" t="str">
        <f>IFNA(VLOOKUP(L1367,'🙎‍♂️ Pasien'!G:V,2,FALSE),"")</f>
        <v>A0125119292</v>
      </c>
      <c r="N1367" s="103">
        <f>IFNA(VLOOKUP(L1367,'🙎‍♂️ Pasien'!G:L,3,FALSE),"")</f>
        <v>25</v>
      </c>
      <c r="O1367" s="104" t="str">
        <f>IFNA(VLOOKUP(L1367,'🙎‍♂️ Pasien'!G:V,6,FALSE),"")</f>
        <v>PEREMPUAN</v>
      </c>
      <c r="P1367" s="104" t="str">
        <f>IFNA(VLOOKUP(L1367,'🙎‍♂️ Pasien'!G:V,12,FALSE),"")</f>
        <v>ISLAM</v>
      </c>
      <c r="Q1367" s="104" t="str">
        <f>IFNA(VLOOKUP(L1367:L1508,'🙎‍♂️ Pasien'!G:V,13,FALSE),"")</f>
        <v>ADMIN</v>
      </c>
      <c r="R1367" s="104" t="str">
        <f t="array" ref="R1367">ifna(xlookup(L1367,'🙎‍♂️ Pasien'!$G$5:$G1508,'🙎‍♂️ Pasien'!$T$5:$T1508),"")</f>
        <v>LUTUT SAKIT</v>
      </c>
      <c r="S1367" s="104" t="str">
        <f t="array" ref="S1367">ifna(xlookup(L1367,'🙎‍♂️ Pasien'!$G$5:$G1508,'🙎‍♂️ Pasien'!$U$5:$U1508),"")</f>
        <v>LARI</v>
      </c>
      <c r="T1367" s="97" t="s">
        <v>67</v>
      </c>
      <c r="U1367" s="105">
        <v>4.0</v>
      </c>
      <c r="V1367" s="101" t="s">
        <v>755</v>
      </c>
      <c r="W1367" s="106" t="b">
        <v>1</v>
      </c>
      <c r="X1367" s="107"/>
      <c r="Y1367" s="108"/>
    </row>
    <row r="1368" ht="22.5" customHeight="1">
      <c r="A1368" s="96"/>
      <c r="B1368" s="97" t="s">
        <v>85</v>
      </c>
      <c r="C1368" s="98" t="str">
        <f t="array" ref="C1368">IFNA(XLOOKUP(J1368,'⚙️ Pengaturan'!$H$5:$H1508,'⚙️ Pengaturan'!$I$5:$I1508),"")</f>
        <v>TIM A</v>
      </c>
      <c r="D1368" s="97" t="s">
        <v>86</v>
      </c>
      <c r="E1368" s="99">
        <v>46011.0</v>
      </c>
      <c r="F1368" s="100" t="str">
        <f t="shared" si="1"/>
        <v>2025</v>
      </c>
      <c r="G1368" s="100" t="str">
        <f t="shared" si="2"/>
        <v>12Des</v>
      </c>
      <c r="H1368" s="100" t="str">
        <f t="shared" si="3"/>
        <v>Sabtu</v>
      </c>
      <c r="I1368" s="97" t="s">
        <v>95</v>
      </c>
      <c r="J1368" s="97" t="s">
        <v>79</v>
      </c>
      <c r="K1368" s="97" t="s">
        <v>57</v>
      </c>
      <c r="L1368" s="101" t="s">
        <v>756</v>
      </c>
      <c r="M1368" s="102" t="str">
        <f>IFNA(VLOOKUP(L1368,'🙎‍♂️ Pasien'!G:V,2,FALSE),"")</f>
        <v>K7425121740</v>
      </c>
      <c r="N1368" s="103">
        <f>IFNA(VLOOKUP(L1368,'🙎‍♂️ Pasien'!G:L,3,FALSE),"")</f>
        <v>52</v>
      </c>
      <c r="O1368" s="104" t="str">
        <f>IFNA(VLOOKUP(L1368,'🙎‍♂️ Pasien'!G:V,6,FALSE),"")</f>
        <v>PEREMPUAN</v>
      </c>
      <c r="P1368" s="104" t="str">
        <f>IFNA(VLOOKUP(L1368,'🙎‍♂️ Pasien'!G:V,12,FALSE),"")</f>
        <v>ISLAM</v>
      </c>
      <c r="Q1368" s="104" t="str">
        <f>IFNA(VLOOKUP(L1368:L1508,'🙎‍♂️ Pasien'!G:V,13,FALSE),"")</f>
        <v>IRT</v>
      </c>
      <c r="R1368" s="104" t="str">
        <f t="array" ref="R1368">ifna(xlookup(L1368,'🙎‍♂️ Pasien'!$G$5:$G1508,'🙎‍♂️ Pasien'!$T$5:$T1508),"")</f>
        <v>BAHU</v>
      </c>
      <c r="S1368" s="104" t="str">
        <f t="array" ref="S1368">ifna(xlookup(L1368,'🙎‍♂️ Pasien'!$G$5:$G1508,'🙎‍♂️ Pasien'!$U$5:$U1508),"")</f>
        <v>-</v>
      </c>
      <c r="T1368" s="97" t="s">
        <v>59</v>
      </c>
      <c r="U1368" s="105" t="s">
        <v>60</v>
      </c>
      <c r="V1368" s="101"/>
      <c r="W1368" s="106" t="b">
        <v>1</v>
      </c>
      <c r="X1368" s="107"/>
      <c r="Y1368" s="108"/>
    </row>
    <row r="1369" ht="22.5" customHeight="1">
      <c r="A1369" s="96"/>
      <c r="B1369" s="97" t="s">
        <v>85</v>
      </c>
      <c r="C1369" s="98" t="str">
        <f t="array" ref="C1369">IFNA(XLOOKUP(J1369,'⚙️ Pengaturan'!$H$5:$H1508,'⚙️ Pengaturan'!$I$5:$I1508),"")</f>
        <v>TIM Y</v>
      </c>
      <c r="D1369" s="97" t="s">
        <v>86</v>
      </c>
      <c r="E1369" s="99">
        <v>46011.0</v>
      </c>
      <c r="F1369" s="100" t="str">
        <f t="shared" si="1"/>
        <v>2025</v>
      </c>
      <c r="G1369" s="100" t="str">
        <f t="shared" si="2"/>
        <v>12Des</v>
      </c>
      <c r="H1369" s="100" t="str">
        <f t="shared" si="3"/>
        <v>Sabtu</v>
      </c>
      <c r="I1369" s="97" t="s">
        <v>97</v>
      </c>
      <c r="J1369" s="97" t="s">
        <v>56</v>
      </c>
      <c r="K1369" s="97" t="s">
        <v>63</v>
      </c>
      <c r="L1369" s="101" t="s">
        <v>540</v>
      </c>
      <c r="M1369" s="102" t="str">
        <f>IFNA(VLOOKUP(L1369,'🙎‍♂️ Pasien'!G:V,2,FALSE),"")</f>
        <v>A9425110177</v>
      </c>
      <c r="N1369" s="103">
        <f>IFNA(VLOOKUP(L1369,'🙎‍♂️ Pasien'!G:L,3,FALSE),"")</f>
        <v>31</v>
      </c>
      <c r="O1369" s="104" t="str">
        <f>IFNA(VLOOKUP(L1369,'🙎‍♂️ Pasien'!G:V,6,FALSE),"")</f>
        <v>LAKI-LAKI</v>
      </c>
      <c r="P1369" s="104" t="str">
        <f>IFNA(VLOOKUP(L1369,'🙎‍♂️ Pasien'!G:V,12,FALSE),"")</f>
        <v>KATOLIK</v>
      </c>
      <c r="Q1369" s="104" t="str">
        <f>IFNA(VLOOKUP(L1369:L1508,'🙎‍♂️ Pasien'!G:V,13,FALSE),"")</f>
        <v>-</v>
      </c>
      <c r="R1369" s="104" t="str">
        <f t="array" ref="R1369">ifna(xlookup(L1369,'🙎‍♂️ Pasien'!$G$5:$G1508,'🙎‍♂️ Pasien'!$T$5:$T1508),"")</f>
        <v>PASCA OPERASI ACL</v>
      </c>
      <c r="S1369" s="104" t="str">
        <f t="array" ref="S1369">ifna(xlookup(L1369,'🙎‍♂️ Pasien'!$G$5:$G1508,'🙎‍♂️ Pasien'!$U$5:$U1508),"")</f>
        <v>-</v>
      </c>
      <c r="T1369" s="97" t="s">
        <v>59</v>
      </c>
      <c r="U1369" s="105">
        <v>9.0</v>
      </c>
      <c r="V1369" s="101"/>
      <c r="W1369" s="106" t="b">
        <v>1</v>
      </c>
      <c r="X1369" s="107"/>
      <c r="Y1369" s="108"/>
    </row>
    <row r="1370" ht="22.5" customHeight="1">
      <c r="A1370" s="96"/>
      <c r="B1370" s="97" t="s">
        <v>85</v>
      </c>
      <c r="C1370" s="98" t="str">
        <f t="array" ref="C1370">IFNA(XLOOKUP(J1370,'⚙️ Pengaturan'!$H$5:$H1508,'⚙️ Pengaturan'!$I$5:$I1508),"")</f>
        <v>TIM A</v>
      </c>
      <c r="D1370" s="97" t="s">
        <v>86</v>
      </c>
      <c r="E1370" s="99">
        <v>46011.0</v>
      </c>
      <c r="F1370" s="100" t="str">
        <f t="shared" si="1"/>
        <v>2025</v>
      </c>
      <c r="G1370" s="100" t="str">
        <f t="shared" si="2"/>
        <v>12Des</v>
      </c>
      <c r="H1370" s="100" t="str">
        <f t="shared" si="3"/>
        <v>Sabtu</v>
      </c>
      <c r="I1370" s="97" t="s">
        <v>97</v>
      </c>
      <c r="J1370" s="97" t="s">
        <v>72</v>
      </c>
      <c r="K1370" s="97" t="s">
        <v>57</v>
      </c>
      <c r="L1370" s="101" t="s">
        <v>757</v>
      </c>
      <c r="M1370" s="102" t="str">
        <f>IFNA(VLOOKUP(L1370,'🙎‍♂️ Pasien'!G:V,2,FALSE),"")</f>
        <v>C9225128367</v>
      </c>
      <c r="N1370" s="103">
        <f>IFNA(VLOOKUP(L1370,'🙎‍♂️ Pasien'!G:L,3,FALSE),"")</f>
        <v>34</v>
      </c>
      <c r="O1370" s="104" t="str">
        <f>IFNA(VLOOKUP(L1370,'🙎‍♂️ Pasien'!G:V,6,FALSE),"")</f>
        <v>PEREMPUAN</v>
      </c>
      <c r="P1370" s="104" t="str">
        <f>IFNA(VLOOKUP(L1370,'🙎‍♂️ Pasien'!G:V,12,FALSE),"")</f>
        <v>ISLAM</v>
      </c>
      <c r="Q1370" s="104" t="str">
        <f>IFNA(VLOOKUP(L1370:L1508,'🙎‍♂️ Pasien'!G:V,13,FALSE),"")</f>
        <v>SWASTA</v>
      </c>
      <c r="R1370" s="104" t="str">
        <f t="array" ref="R1370">ifna(xlookup(L1370,'🙎‍♂️ Pasien'!$G$5:$G1508,'🙎‍♂️ Pasien'!$T$5:$T1508),"")</f>
        <v>BELLS PALSY</v>
      </c>
      <c r="S1370" s="104" t="str">
        <f t="array" ref="S1370">ifna(xlookup(L1370,'🙎‍♂️ Pasien'!$G$5:$G1508,'🙎‍♂️ Pasien'!$U$5:$U1508),"")</f>
        <v>BIASA SAJA</v>
      </c>
      <c r="T1370" s="97" t="s">
        <v>59</v>
      </c>
      <c r="U1370" s="105" t="s">
        <v>60</v>
      </c>
      <c r="V1370" s="101"/>
      <c r="W1370" s="106" t="b">
        <v>1</v>
      </c>
      <c r="X1370" s="107"/>
      <c r="Y1370" s="108"/>
    </row>
    <row r="1371" ht="22.5" customHeight="1">
      <c r="A1371" s="96"/>
      <c r="B1371" s="97" t="s">
        <v>85</v>
      </c>
      <c r="C1371" s="98" t="str">
        <f t="array" ref="C1371">IFNA(XLOOKUP(J1371,'⚙️ Pengaturan'!$H$5:$H1508,'⚙️ Pengaturan'!$I$5:$I1508),"")</f>
        <v>TIM A</v>
      </c>
      <c r="D1371" s="97" t="s">
        <v>86</v>
      </c>
      <c r="E1371" s="99">
        <v>46011.0</v>
      </c>
      <c r="F1371" s="100" t="str">
        <f t="shared" si="1"/>
        <v>2025</v>
      </c>
      <c r="G1371" s="100" t="str">
        <f t="shared" si="2"/>
        <v>12Des</v>
      </c>
      <c r="H1371" s="100" t="str">
        <f t="shared" si="3"/>
        <v>Sabtu</v>
      </c>
      <c r="I1371" s="97" t="s">
        <v>99</v>
      </c>
      <c r="J1371" s="97" t="s">
        <v>79</v>
      </c>
      <c r="K1371" s="97" t="s">
        <v>69</v>
      </c>
      <c r="L1371" s="101" t="s">
        <v>182</v>
      </c>
      <c r="M1371" s="102" t="str">
        <f>IFNA(VLOOKUP(L1371,'🙎‍♂️ Pasien'!G:V,2,FALSE),"")</f>
        <v>J8823019998</v>
      </c>
      <c r="N1371" s="103">
        <f>IFNA(VLOOKUP(L1371,'🙎‍♂️ Pasien'!G:L,3,FALSE),"")</f>
        <v>38</v>
      </c>
      <c r="O1371" s="104" t="str">
        <f>IFNA(VLOOKUP(L1371,'🙎‍♂️ Pasien'!G:V,6,FALSE),"")</f>
        <v>LAKI-LAKI</v>
      </c>
      <c r="P1371" s="104" t="str">
        <f>IFNA(VLOOKUP(L1371,'🙎‍♂️ Pasien'!G:V,12,FALSE),"")</f>
        <v>BUDDHA</v>
      </c>
      <c r="Q1371" s="104" t="str">
        <f>IFNA(VLOOKUP(L1371:L1508,'🙎‍♂️ Pasien'!G:V,13,FALSE),"")</f>
        <v>WIRASWASTA</v>
      </c>
      <c r="R1371" s="104" t="str">
        <f t="array" ref="R1371">ifna(xlookup(L1371,'🙎‍♂️ Pasien'!$G$5:$G1508,'🙎‍♂️ Pasien'!$T$5:$T1508),"")</f>
        <v>STROKE</v>
      </c>
      <c r="S1371" s="104" t="str">
        <f t="array" ref="S1371">ifna(xlookup(L1371,'🙎‍♂️ Pasien'!$G$5:$G1508,'🙎‍♂️ Pasien'!$U$5:$U1508),"")</f>
        <v>-</v>
      </c>
      <c r="T1371" s="97" t="s">
        <v>59</v>
      </c>
      <c r="U1371" s="105" t="s">
        <v>60</v>
      </c>
      <c r="V1371" s="101"/>
      <c r="W1371" s="106" t="b">
        <v>1</v>
      </c>
      <c r="X1371" s="107"/>
      <c r="Y1371" s="108"/>
    </row>
    <row r="1372" ht="22.5" customHeight="1">
      <c r="A1372" s="96"/>
      <c r="B1372" s="97" t="s">
        <v>85</v>
      </c>
      <c r="C1372" s="98" t="str">
        <f t="array" ref="C1372">IFNA(XLOOKUP(J1372,'⚙️ Pengaturan'!$H$5:$H1508,'⚙️ Pengaturan'!$I$5:$I1508),"")</f>
        <v>TIM A</v>
      </c>
      <c r="D1372" s="97" t="s">
        <v>86</v>
      </c>
      <c r="E1372" s="99">
        <v>46011.0</v>
      </c>
      <c r="F1372" s="100" t="str">
        <f t="shared" si="1"/>
        <v>2025</v>
      </c>
      <c r="G1372" s="100" t="str">
        <f t="shared" si="2"/>
        <v>12Des</v>
      </c>
      <c r="H1372" s="100" t="str">
        <f t="shared" si="3"/>
        <v>Sabtu</v>
      </c>
      <c r="I1372" s="97" t="s">
        <v>99</v>
      </c>
      <c r="J1372" s="97" t="s">
        <v>62</v>
      </c>
      <c r="K1372" s="97" t="s">
        <v>135</v>
      </c>
      <c r="L1372" s="101" t="s">
        <v>721</v>
      </c>
      <c r="M1372" s="102" t="str">
        <f>IFNA(VLOOKUP(L1372,'🙎‍♂️ Pasien'!G:V,2,FALSE),"")</f>
        <v>S1625067980</v>
      </c>
      <c r="N1372" s="103">
        <f>IFNA(VLOOKUP(L1372,'🙎‍♂️ Pasien'!G:L,3,FALSE),"")</f>
        <v>9</v>
      </c>
      <c r="O1372" s="104" t="str">
        <f>IFNA(VLOOKUP(L1372,'🙎‍♂️ Pasien'!G:V,6,FALSE),"")</f>
        <v>LAKI-LAKI</v>
      </c>
      <c r="P1372" s="104" t="str">
        <f>IFNA(VLOOKUP(L1372,'🙎‍♂️ Pasien'!G:V,12,FALSE),"")</f>
        <v>ISLAM</v>
      </c>
      <c r="Q1372" s="104" t="str">
        <f>IFNA(VLOOKUP(L1372:L1508,'🙎‍♂️ Pasien'!G:V,13,FALSE),"")</f>
        <v>PELAJAR</v>
      </c>
      <c r="R1372" s="104" t="str">
        <f t="array" ref="R1372">ifna(xlookup(L1372,'🙎‍♂️ Pasien'!$G$5:$G1508,'🙎‍♂️ Pasien'!$T$5:$T1508),"")</f>
        <v>NYERI ENGKEL KAKI</v>
      </c>
      <c r="S1372" s="104" t="str">
        <f t="array" ref="S1372">ifna(xlookup(L1372,'🙎‍♂️ Pasien'!$G$5:$G1508,'🙎‍♂️ Pasien'!$U$5:$U1508),"")</f>
        <v>SEPAKBOLA DAN FUTSAL</v>
      </c>
      <c r="T1372" s="97" t="s">
        <v>67</v>
      </c>
      <c r="U1372" s="105" t="s">
        <v>60</v>
      </c>
      <c r="V1372" s="101" t="s">
        <v>758</v>
      </c>
      <c r="W1372" s="106" t="b">
        <v>1</v>
      </c>
      <c r="X1372" s="107"/>
      <c r="Y1372" s="108"/>
    </row>
    <row r="1373" ht="22.5" customHeight="1">
      <c r="A1373" s="96"/>
      <c r="B1373" s="97" t="s">
        <v>53</v>
      </c>
      <c r="C1373" s="98" t="str">
        <f t="array" ref="C1373">IFNA(XLOOKUP(J1373,'⚙️ Pengaturan'!$H$5:$H1508,'⚙️ Pengaturan'!$I$5:$I1508),"")</f>
        <v>TIM Y</v>
      </c>
      <c r="D1373" s="97" t="s">
        <v>54</v>
      </c>
      <c r="E1373" s="99">
        <v>46012.0</v>
      </c>
      <c r="F1373" s="100" t="str">
        <f t="shared" si="1"/>
        <v>2025</v>
      </c>
      <c r="G1373" s="100" t="str">
        <f t="shared" si="2"/>
        <v>12Des</v>
      </c>
      <c r="H1373" s="100" t="str">
        <f t="shared" si="3"/>
        <v>Minggu</v>
      </c>
      <c r="I1373" s="97" t="s">
        <v>55</v>
      </c>
      <c r="J1373" s="97" t="s">
        <v>56</v>
      </c>
      <c r="K1373" s="97" t="s">
        <v>57</v>
      </c>
      <c r="L1373" s="101" t="s">
        <v>759</v>
      </c>
      <c r="M1373" s="102" t="str">
        <f>IFNA(VLOOKUP(L1373,'🙎‍♂️ Pasien'!G:V,2,FALSE),"")</f>
        <v>N8425122485</v>
      </c>
      <c r="N1373" s="103">
        <f>IFNA(VLOOKUP(L1373,'🙎‍♂️ Pasien'!G:L,3,FALSE),"")</f>
        <v>42</v>
      </c>
      <c r="O1373" s="104" t="str">
        <f>IFNA(VLOOKUP(L1373,'🙎‍♂️ Pasien'!G:V,6,FALSE),"")</f>
        <v>LAKI-LAKI</v>
      </c>
      <c r="P1373" s="104" t="str">
        <f>IFNA(VLOOKUP(L1373,'🙎‍♂️ Pasien'!G:V,12,FALSE),"")</f>
        <v>ISLAM</v>
      </c>
      <c r="Q1373" s="104" t="str">
        <f>IFNA(VLOOKUP(L1373:L1508,'🙎‍♂️ Pasien'!G:V,13,FALSE),"")</f>
        <v>WIRASAWATA</v>
      </c>
      <c r="R1373" s="104" t="str">
        <f t="array" ref="R1373">ifna(xlookup(L1373,'🙎‍♂️ Pasien'!$G$5:$G1508,'🙎‍♂️ Pasien'!$T$5:$T1508),"")</f>
        <v>TULANG BELAKANG</v>
      </c>
      <c r="S1373" s="104" t="str">
        <f t="array" ref="S1373">ifna(xlookup(L1373,'🙎‍♂️ Pasien'!$G$5:$G1508,'🙎‍♂️ Pasien'!$U$5:$U1508),"")</f>
        <v>-</v>
      </c>
      <c r="T1373" s="97" t="s">
        <v>59</v>
      </c>
      <c r="U1373" s="105" t="s">
        <v>60</v>
      </c>
      <c r="V1373" s="101"/>
      <c r="W1373" s="106" t="b">
        <v>1</v>
      </c>
      <c r="X1373" s="107"/>
      <c r="Y1373" s="108"/>
    </row>
    <row r="1374" ht="22.5" customHeight="1">
      <c r="A1374" s="96"/>
      <c r="B1374" s="97" t="s">
        <v>53</v>
      </c>
      <c r="C1374" s="98" t="str">
        <f t="array" ref="C1374">IFNA(XLOOKUP(J1374,'⚙️ Pengaturan'!$H$5:$H1508,'⚙️ Pengaturan'!$I$5:$I1508),"")</f>
        <v>TIM A</v>
      </c>
      <c r="D1374" s="97" t="s">
        <v>54</v>
      </c>
      <c r="E1374" s="99">
        <v>46012.0</v>
      </c>
      <c r="F1374" s="100" t="str">
        <f t="shared" si="1"/>
        <v>2025</v>
      </c>
      <c r="G1374" s="100" t="str">
        <f t="shared" si="2"/>
        <v>12Des</v>
      </c>
      <c r="H1374" s="100" t="str">
        <f t="shared" si="3"/>
        <v>Minggu</v>
      </c>
      <c r="I1374" s="97" t="s">
        <v>65</v>
      </c>
      <c r="J1374" s="97" t="s">
        <v>79</v>
      </c>
      <c r="K1374" s="97" t="s">
        <v>63</v>
      </c>
      <c r="L1374" s="101" t="s">
        <v>697</v>
      </c>
      <c r="M1374" s="102" t="str">
        <f>IFNA(VLOOKUP(L1374,'🙎‍♂️ Pasien'!G:V,2,FALSE),"")</f>
        <v>L6025128579</v>
      </c>
      <c r="N1374" s="103">
        <f>IFNA(VLOOKUP(L1374,'🙎‍♂️ Pasien'!G:L,3,FALSE),"")</f>
        <v>66</v>
      </c>
      <c r="O1374" s="104" t="str">
        <f>IFNA(VLOOKUP(L1374,'🙎‍♂️ Pasien'!G:V,6,FALSE),"")</f>
        <v>LAKI-LAKI</v>
      </c>
      <c r="P1374" s="104" t="str">
        <f>IFNA(VLOOKUP(L1374,'🙎‍♂️ Pasien'!G:V,12,FALSE),"")</f>
        <v>BUDDHA</v>
      </c>
      <c r="Q1374" s="104" t="str">
        <f>IFNA(VLOOKUP(L1374:L1508,'🙎‍♂️ Pasien'!G:V,13,FALSE),"")</f>
        <v>-</v>
      </c>
      <c r="R1374" s="104" t="str">
        <f t="array" ref="R1374">ifna(xlookup(L1374,'🙎‍♂️ Pasien'!$G$5:$G1508,'🙎‍♂️ Pasien'!$T$5:$T1508),"")</f>
        <v>BANTALAN ANTARA TULANG L5 DENGAN S1 GEPENG SEHINGGA PINGGAN TERASA SAKIT SAMPAI KAKI. TIDAK BISA BERDIRI LAMA DAN DUDUK LAMA. BERDIRI TIDAK BISA TEGAK. SUDAH BERLANGSUNG SELAMA 1 MINGGU. TELAH MELAKUKAN RADIOLOGI DAN KUNJUNGAN DOKTER SPELIASIS SARAF</v>
      </c>
      <c r="S1374" s="104" t="str">
        <f t="array" ref="S1374">ifna(xlookup(L1374,'🙎‍♂️ Pasien'!$G$5:$G1508,'🙎‍♂️ Pasien'!$U$5:$U1508),"")</f>
        <v>SERING MELAKUKAN PEKERJAAN YANG MEMBUTUHKAN POSISI BADAN BUNGKUK</v>
      </c>
      <c r="T1374" s="97" t="s">
        <v>59</v>
      </c>
      <c r="U1374" s="105">
        <v>3.0</v>
      </c>
      <c r="V1374" s="101"/>
      <c r="W1374" s="106" t="b">
        <v>1</v>
      </c>
      <c r="X1374" s="107"/>
      <c r="Y1374" s="108"/>
    </row>
    <row r="1375" ht="22.5" customHeight="1">
      <c r="A1375" s="96"/>
      <c r="B1375" s="97" t="s">
        <v>53</v>
      </c>
      <c r="C1375" s="98" t="str">
        <f t="array" ref="C1375">IFNA(XLOOKUP(J1375,'⚙️ Pengaturan'!$H$5:$H1508,'⚙️ Pengaturan'!$I$5:$I1508),"")</f>
        <v>TIM Y</v>
      </c>
      <c r="D1375" s="97" t="s">
        <v>54</v>
      </c>
      <c r="E1375" s="99">
        <v>46012.0</v>
      </c>
      <c r="F1375" s="100" t="str">
        <f t="shared" si="1"/>
        <v>2025</v>
      </c>
      <c r="G1375" s="100" t="str">
        <f t="shared" si="2"/>
        <v>12Des</v>
      </c>
      <c r="H1375" s="100" t="str">
        <f t="shared" si="3"/>
        <v>Minggu</v>
      </c>
      <c r="I1375" s="97" t="s">
        <v>65</v>
      </c>
      <c r="J1375" s="97" t="s">
        <v>56</v>
      </c>
      <c r="K1375" s="97" t="s">
        <v>57</v>
      </c>
      <c r="L1375" s="101" t="s">
        <v>760</v>
      </c>
      <c r="M1375" s="102" t="str">
        <f>IFNA(VLOOKUP(L1375,'🙎‍♂️ Pasien'!G:V,2,FALSE),"")</f>
        <v>T5125126845</v>
      </c>
      <c r="N1375" s="103">
        <f>IFNA(VLOOKUP(L1375,'🙎‍♂️ Pasien'!G:L,3,FALSE),"")</f>
        <v>74</v>
      </c>
      <c r="O1375" s="104" t="str">
        <f>IFNA(VLOOKUP(L1375,'🙎‍♂️ Pasien'!G:V,6,FALSE),"")</f>
        <v>PEREMPUAN</v>
      </c>
      <c r="P1375" s="104" t="str">
        <f>IFNA(VLOOKUP(L1375,'🙎‍♂️ Pasien'!G:V,12,FALSE),"")</f>
        <v>BUDDHA</v>
      </c>
      <c r="Q1375" s="104" t="str">
        <f>IFNA(VLOOKUP(L1375:L1508,'🙎‍♂️ Pasien'!G:V,13,FALSE),"")</f>
        <v>BURUH HARIAN LEPAS</v>
      </c>
      <c r="R1375" s="104" t="str">
        <f t="array" ref="R1375">ifna(xlookup(L1375,'🙎‍♂️ Pasien'!$G$5:$G1508,'🙎‍♂️ Pasien'!$T$5:$T1508),"")</f>
        <v>NGILU KAKI</v>
      </c>
      <c r="S1375" s="104" t="str">
        <f t="array" ref="S1375">ifna(xlookup(L1375,'🙎‍♂️ Pasien'!$G$5:$G1508,'🙎‍♂️ Pasien'!$U$5:$U1508),"")</f>
        <v>-</v>
      </c>
      <c r="T1375" s="97" t="s">
        <v>59</v>
      </c>
      <c r="U1375" s="105" t="s">
        <v>60</v>
      </c>
      <c r="V1375" s="101"/>
      <c r="W1375" s="106" t="b">
        <v>1</v>
      </c>
      <c r="X1375" s="107"/>
      <c r="Y1375" s="108"/>
    </row>
    <row r="1376" ht="22.5" customHeight="1">
      <c r="A1376" s="96"/>
      <c r="B1376" s="97" t="s">
        <v>53</v>
      </c>
      <c r="C1376" s="98" t="str">
        <f t="array" ref="C1376">IFNA(XLOOKUP(J1376,'⚙️ Pengaturan'!$H$5:$H1508,'⚙️ Pengaturan'!$I$5:$I1508),"")</f>
        <v>MANAJEMEN</v>
      </c>
      <c r="D1376" s="97" t="s">
        <v>54</v>
      </c>
      <c r="E1376" s="99">
        <v>46012.0</v>
      </c>
      <c r="F1376" s="100" t="str">
        <f t="shared" si="1"/>
        <v>2025</v>
      </c>
      <c r="G1376" s="100" t="str">
        <f t="shared" si="2"/>
        <v>12Des</v>
      </c>
      <c r="H1376" s="100" t="str">
        <f t="shared" si="3"/>
        <v>Minggu</v>
      </c>
      <c r="I1376" s="97" t="s">
        <v>74</v>
      </c>
      <c r="J1376" s="97" t="s">
        <v>101</v>
      </c>
      <c r="K1376" s="97" t="s">
        <v>63</v>
      </c>
      <c r="L1376" s="101" t="s">
        <v>234</v>
      </c>
      <c r="M1376" s="102" t="str">
        <f>IFNA(VLOOKUP(L1376,'🙎‍♂️ Pasien'!G:V,2,FALSE),"")</f>
        <v>B8825057611</v>
      </c>
      <c r="N1376" s="103">
        <f>IFNA(VLOOKUP(L1376,'🙎‍♂️ Pasien'!G:L,3,FALSE),"")</f>
        <v>37</v>
      </c>
      <c r="O1376" s="104" t="str">
        <f>IFNA(VLOOKUP(L1376,'🙎‍♂️ Pasien'!G:V,6,FALSE),"")</f>
        <v>LAKI-LAKI</v>
      </c>
      <c r="P1376" s="104" t="str">
        <f>IFNA(VLOOKUP(L1376,'🙎‍♂️ Pasien'!G:V,12,FALSE),"")</f>
        <v>LAINNYA</v>
      </c>
      <c r="Q1376" s="104" t="str">
        <f>IFNA(VLOOKUP(L1376:L1508,'🙎‍♂️ Pasien'!G:V,13,FALSE),"")</f>
        <v>SWASTA</v>
      </c>
      <c r="R1376" s="104" t="str">
        <f t="array" ref="R1376">ifna(xlookup(L1376,'🙎‍♂️ Pasien'!$G$5:$G1508,'🙎‍♂️ Pasien'!$T$5:$T1508),"")</f>
        <v>SAKIT KAKI</v>
      </c>
      <c r="S1376" s="104" t="str">
        <f t="array" ref="S1376">ifna(xlookup(L1376,'🙎‍♂️ Pasien'!$G$5:$G1508,'🙎‍♂️ Pasien'!$U$5:$U1508),"")</f>
        <v>SEPAK BOLA</v>
      </c>
      <c r="T1376" s="97" t="s">
        <v>59</v>
      </c>
      <c r="U1376" s="105">
        <v>4.0</v>
      </c>
      <c r="V1376" s="101" t="s">
        <v>633</v>
      </c>
      <c r="W1376" s="106" t="b">
        <v>1</v>
      </c>
      <c r="X1376" s="107"/>
      <c r="Y1376" s="108"/>
    </row>
    <row r="1377" ht="22.5" customHeight="1">
      <c r="A1377" s="96"/>
      <c r="B1377" s="97" t="s">
        <v>53</v>
      </c>
      <c r="C1377" s="98" t="str">
        <f t="array" ref="C1377">IFNA(XLOOKUP(J1377,'⚙️ Pengaturan'!$H$5:$H1508,'⚙️ Pengaturan'!$I$5:$I1508),"")</f>
        <v>TIM Y</v>
      </c>
      <c r="D1377" s="97" t="s">
        <v>54</v>
      </c>
      <c r="E1377" s="99">
        <v>46012.0</v>
      </c>
      <c r="F1377" s="100" t="str">
        <f t="shared" si="1"/>
        <v>2025</v>
      </c>
      <c r="G1377" s="100" t="str">
        <f t="shared" si="2"/>
        <v>12Des</v>
      </c>
      <c r="H1377" s="100" t="str">
        <f t="shared" si="3"/>
        <v>Minggu</v>
      </c>
      <c r="I1377" s="97" t="s">
        <v>76</v>
      </c>
      <c r="J1377" s="97" t="s">
        <v>56</v>
      </c>
      <c r="K1377" s="97" t="s">
        <v>63</v>
      </c>
      <c r="L1377" s="101" t="s">
        <v>734</v>
      </c>
      <c r="M1377" s="102" t="str">
        <f>IFNA(VLOOKUP(L1377,'🙎‍♂️ Pasien'!G:V,2,FALSE),"")</f>
        <v>A0724125118</v>
      </c>
      <c r="N1377" s="103">
        <f>IFNA(VLOOKUP(L1377,'🙎‍♂️ Pasien'!G:L,3,FALSE),"")</f>
        <v>18</v>
      </c>
      <c r="O1377" s="104" t="str">
        <f>IFNA(VLOOKUP(L1377,'🙎‍♂️ Pasien'!G:V,6,FALSE),"")</f>
        <v>LAKI-LAKI</v>
      </c>
      <c r="P1377" s="104" t="str">
        <f>IFNA(VLOOKUP(L1377,'🙎‍♂️ Pasien'!G:V,12,FALSE),"")</f>
        <v>ISLAM</v>
      </c>
      <c r="Q1377" s="104" t="str">
        <f>IFNA(VLOOKUP(L1377:L1508,'🙎‍♂️ Pasien'!G:V,13,FALSE),"")</f>
        <v>PELAJAR/MAHASISWA</v>
      </c>
      <c r="R1377" s="104" t="str">
        <f t="array" ref="R1377">ifna(xlookup(L1377,'🙎‍♂️ Pasien'!$G$5:$G1508,'🙎‍♂️ Pasien'!$T$5:$T1508),"")</f>
        <v>cedera lutut oprasi</v>
      </c>
      <c r="S1377" s="104" t="str">
        <f t="array" ref="S1377">ifna(xlookup(L1377,'🙎‍♂️ Pasien'!$G$5:$G1508,'🙎‍♂️ Pasien'!$U$5:$U1508),"")</f>
        <v>futsal</v>
      </c>
      <c r="T1377" s="97" t="s">
        <v>59</v>
      </c>
      <c r="U1377" s="105">
        <v>1.0</v>
      </c>
      <c r="V1377" s="101"/>
      <c r="W1377" s="106" t="b">
        <v>1</v>
      </c>
      <c r="X1377" s="107"/>
      <c r="Y1377" s="108"/>
    </row>
    <row r="1378" ht="22.5" customHeight="1">
      <c r="A1378" s="96"/>
      <c r="B1378" s="97" t="s">
        <v>53</v>
      </c>
      <c r="C1378" s="98" t="str">
        <f t="array" ref="C1378">IFNA(XLOOKUP(J1378,'⚙️ Pengaturan'!$H$5:$H1508,'⚙️ Pengaturan'!$I$5:$I1508),"")</f>
        <v>TIM A</v>
      </c>
      <c r="D1378" s="97" t="s">
        <v>54</v>
      </c>
      <c r="E1378" s="99">
        <v>46012.0</v>
      </c>
      <c r="F1378" s="100" t="str">
        <f t="shared" si="1"/>
        <v>2025</v>
      </c>
      <c r="G1378" s="100" t="str">
        <f t="shared" si="2"/>
        <v>12Des</v>
      </c>
      <c r="H1378" s="100" t="str">
        <f t="shared" si="3"/>
        <v>Minggu</v>
      </c>
      <c r="I1378" s="97" t="s">
        <v>83</v>
      </c>
      <c r="J1378" s="97" t="s">
        <v>72</v>
      </c>
      <c r="K1378" s="97" t="s">
        <v>69</v>
      </c>
      <c r="L1378" s="101" t="s">
        <v>585</v>
      </c>
      <c r="M1378" s="102" t="str">
        <f>IFNA(VLOOKUP(L1378,'🙎‍♂️ Pasien'!G:V,2,FALSE),"")</f>
        <v>I0025112738</v>
      </c>
      <c r="N1378" s="103">
        <f>IFNA(VLOOKUP(L1378,'🙎‍♂️ Pasien'!G:L,3,FALSE),"")</f>
        <v>25</v>
      </c>
      <c r="O1378" s="104" t="str">
        <f>IFNA(VLOOKUP(L1378,'🙎‍♂️ Pasien'!G:V,6,FALSE),"")</f>
        <v>PEREMPUAN</v>
      </c>
      <c r="P1378" s="104" t="str">
        <f>IFNA(VLOOKUP(L1378,'🙎‍♂️ Pasien'!G:V,12,FALSE),"")</f>
        <v>ISLAM</v>
      </c>
      <c r="Q1378" s="104" t="str">
        <f>IFNA(VLOOKUP(L1378:L1508,'🙎‍♂️ Pasien'!G:V,13,FALSE),"")</f>
        <v>-</v>
      </c>
      <c r="R1378" s="104" t="str">
        <f t="array" ref="R1378">ifna(xlookup(L1378,'🙎‍♂️ Pasien'!$G$5:$G1508,'🙎‍♂️ Pasien'!$T$5:$T1508),"")</f>
        <v>LUTUT</v>
      </c>
      <c r="S1378" s="104" t="str">
        <f t="array" ref="S1378">ifna(xlookup(L1378,'🙎‍♂️ Pasien'!$G$5:$G1508,'🙎‍♂️ Pasien'!$U$5:$U1508),"")</f>
        <v>-</v>
      </c>
      <c r="T1378" s="97" t="s">
        <v>59</v>
      </c>
      <c r="U1378" s="105" t="s">
        <v>60</v>
      </c>
      <c r="V1378" s="101"/>
      <c r="W1378" s="106" t="b">
        <v>1</v>
      </c>
      <c r="X1378" s="107"/>
      <c r="Y1378" s="108"/>
    </row>
    <row r="1379" ht="22.5" customHeight="1">
      <c r="A1379" s="96"/>
      <c r="B1379" s="97" t="s">
        <v>85</v>
      </c>
      <c r="C1379" s="98" t="str">
        <f t="array" ref="C1379">IFNA(XLOOKUP(J1379,'⚙️ Pengaturan'!$H$5:$H1508,'⚙️ Pengaturan'!$I$5:$I1508),"")</f>
        <v>TIM Y</v>
      </c>
      <c r="D1379" s="97" t="s">
        <v>86</v>
      </c>
      <c r="E1379" s="99">
        <v>46012.0</v>
      </c>
      <c r="F1379" s="100" t="str">
        <f t="shared" si="1"/>
        <v>2025</v>
      </c>
      <c r="G1379" s="100" t="str">
        <f t="shared" si="2"/>
        <v>12Des</v>
      </c>
      <c r="H1379" s="100" t="str">
        <f t="shared" si="3"/>
        <v>Minggu</v>
      </c>
      <c r="I1379" s="97" t="s">
        <v>87</v>
      </c>
      <c r="J1379" s="97" t="s">
        <v>88</v>
      </c>
      <c r="K1379" s="97" t="s">
        <v>69</v>
      </c>
      <c r="L1379" s="101" t="s">
        <v>688</v>
      </c>
      <c r="M1379" s="102" t="str">
        <f>IFNA(VLOOKUP(L1379,'🙎‍♂️ Pasien'!G:V,2,FALSE),"")</f>
        <v>G0225127367</v>
      </c>
      <c r="N1379" s="103">
        <f>IFNA(VLOOKUP(L1379,'🙎‍♂️ Pasien'!G:L,3,FALSE),"")</f>
        <v>24</v>
      </c>
      <c r="O1379" s="104" t="str">
        <f>IFNA(VLOOKUP(L1379,'🙎‍♂️ Pasien'!G:V,6,FALSE),"")</f>
        <v>LAKI-LAKI</v>
      </c>
      <c r="P1379" s="104" t="str">
        <f>IFNA(VLOOKUP(L1379,'🙎‍♂️ Pasien'!G:V,12,FALSE),"")</f>
        <v>KATOLIK</v>
      </c>
      <c r="Q1379" s="104" t="str">
        <f>IFNA(VLOOKUP(L1379:L1508,'🙎‍♂️ Pasien'!G:V,13,FALSE),"")</f>
        <v>MAHASISWA</v>
      </c>
      <c r="R1379" s="104" t="str">
        <f t="array" ref="R1379">ifna(xlookup(L1379,'🙎‍♂️ Pasien'!$G$5:$G1508,'🙎‍♂️ Pasien'!$T$5:$T1508),"")</f>
        <v>CIDERA LUTUT</v>
      </c>
      <c r="S1379" s="104" t="str">
        <f t="array" ref="S1379">ifna(xlookup(L1379,'🙎‍♂️ Pasien'!$G$5:$G1508,'🙎‍♂️ Pasien'!$U$5:$U1508),"")</f>
        <v>SEPAK BOLA</v>
      </c>
      <c r="T1379" s="97" t="s">
        <v>67</v>
      </c>
      <c r="U1379" s="105" t="s">
        <v>60</v>
      </c>
      <c r="V1379" s="101" t="s">
        <v>761</v>
      </c>
      <c r="W1379" s="106" t="b">
        <v>1</v>
      </c>
      <c r="X1379" s="107"/>
      <c r="Y1379" s="108"/>
    </row>
    <row r="1380" ht="22.5" customHeight="1">
      <c r="A1380" s="96"/>
      <c r="B1380" s="97" t="s">
        <v>85</v>
      </c>
      <c r="C1380" s="98" t="str">
        <f t="array" ref="C1380">IFNA(XLOOKUP(J1380,'⚙️ Pengaturan'!$H$5:$H1508,'⚙️ Pengaturan'!$I$5:$I1508),"")</f>
        <v>TIM Y</v>
      </c>
      <c r="D1380" s="97" t="s">
        <v>86</v>
      </c>
      <c r="E1380" s="99">
        <v>46012.0</v>
      </c>
      <c r="F1380" s="100" t="str">
        <f t="shared" si="1"/>
        <v>2025</v>
      </c>
      <c r="G1380" s="100" t="str">
        <f t="shared" si="2"/>
        <v>12Des</v>
      </c>
      <c r="H1380" s="100" t="str">
        <f t="shared" si="3"/>
        <v>Minggu</v>
      </c>
      <c r="I1380" s="97" t="s">
        <v>93</v>
      </c>
      <c r="J1380" s="97" t="s">
        <v>107</v>
      </c>
      <c r="K1380" s="97" t="s">
        <v>63</v>
      </c>
      <c r="L1380" s="101" t="s">
        <v>335</v>
      </c>
      <c r="M1380" s="102" t="str">
        <f>IFNA(VLOOKUP(L1380,'🙎‍♂️ Pasien'!G:V,2,FALSE),"")</f>
        <v>M8925040551</v>
      </c>
      <c r="N1380" s="103">
        <f>IFNA(VLOOKUP(L1380,'🙎‍♂️ Pasien'!G:L,3,FALSE),"")</f>
        <v>37</v>
      </c>
      <c r="O1380" s="104" t="str">
        <f>IFNA(VLOOKUP(L1380,'🙎‍♂️ Pasien'!G:V,6,FALSE),"")</f>
        <v>PEREMPUAN</v>
      </c>
      <c r="P1380" s="104" t="str">
        <f>IFNA(VLOOKUP(L1380,'🙎‍♂️ Pasien'!G:V,12,FALSE),"")</f>
        <v>-</v>
      </c>
      <c r="Q1380" s="104" t="str">
        <f>IFNA(VLOOKUP(L1380:L1508,'🙎‍♂️ Pasien'!G:V,13,FALSE),"")</f>
        <v>PNS</v>
      </c>
      <c r="R1380" s="104" t="str">
        <f t="array" ref="R1380">ifna(xlookup(L1380,'🙎‍♂️ Pasien'!$G$5:$G1508,'🙎‍♂️ Pasien'!$T$5:$T1508),"")</f>
        <v>SAKIT DI TUMIT BAGIAN TENGAH TELAPAK KAKI, KAKI KANAN. KADANG TERASA HANGAT/PANAS</v>
      </c>
      <c r="S1380" s="104" t="str">
        <f t="array" ref="S1380">ifna(xlookup(L1380,'🙎‍♂️ Pasien'!$G$5:$G1508,'🙎‍♂️ Pasien'!$U$5:$U1508),"")</f>
        <v>JALAN PAGI</v>
      </c>
      <c r="T1380" s="97" t="s">
        <v>59</v>
      </c>
      <c r="U1380" s="105">
        <v>2.0</v>
      </c>
      <c r="V1380" s="101"/>
      <c r="W1380" s="106" t="b">
        <v>1</v>
      </c>
      <c r="X1380" s="107"/>
      <c r="Y1380" s="108"/>
    </row>
    <row r="1381" ht="22.5" customHeight="1">
      <c r="A1381" s="96"/>
      <c r="B1381" s="97" t="s">
        <v>85</v>
      </c>
      <c r="C1381" s="98" t="str">
        <f t="array" ref="C1381">IFNA(XLOOKUP(J1381,'⚙️ Pengaturan'!$H$5:$H1508,'⚙️ Pengaturan'!$I$5:$I1508),"")</f>
        <v>TIM Y</v>
      </c>
      <c r="D1381" s="97" t="s">
        <v>86</v>
      </c>
      <c r="E1381" s="99">
        <v>46012.0</v>
      </c>
      <c r="F1381" s="100" t="str">
        <f t="shared" si="1"/>
        <v>2025</v>
      </c>
      <c r="G1381" s="100" t="str">
        <f t="shared" si="2"/>
        <v>12Des</v>
      </c>
      <c r="H1381" s="100" t="str">
        <f t="shared" si="3"/>
        <v>Minggu</v>
      </c>
      <c r="I1381" s="97" t="s">
        <v>95</v>
      </c>
      <c r="J1381" s="97" t="s">
        <v>88</v>
      </c>
      <c r="K1381" s="97" t="s">
        <v>63</v>
      </c>
      <c r="L1381" s="101" t="s">
        <v>744</v>
      </c>
      <c r="M1381" s="102" t="str">
        <f>IFNA(VLOOKUP(L1381,'🙎‍♂️ Pasien'!G:V,2,FALSE),"")</f>
        <v>D9525039860</v>
      </c>
      <c r="N1381" s="103">
        <f>IFNA(VLOOKUP(L1381,'🙎‍♂️ Pasien'!G:L,3,FALSE),"")</f>
        <v>31</v>
      </c>
      <c r="O1381" s="104" t="str">
        <f>IFNA(VLOOKUP(L1381,'🙎‍♂️ Pasien'!G:V,6,FALSE),"")</f>
        <v>LAKI-LAKI</v>
      </c>
      <c r="P1381" s="104" t="str">
        <f>IFNA(VLOOKUP(L1381,'🙎‍♂️ Pasien'!G:V,12,FALSE),"")</f>
        <v>ISLAM</v>
      </c>
      <c r="Q1381" s="104" t="str">
        <f>IFNA(VLOOKUP(L1381:L1508,'🙎‍♂️ Pasien'!G:V,13,FALSE),"")</f>
        <v>SWASTA</v>
      </c>
      <c r="R1381" s="104" t="str">
        <f t="array" ref="R1381">ifna(xlookup(L1381,'🙎‍♂️ Pasien'!$G$5:$G1508,'🙎‍♂️ Pasien'!$T$5:$T1508),"")</f>
        <v>SAKIT DI PUNGGUNG KE BAWAH</v>
      </c>
      <c r="S1381" s="104" t="str">
        <f t="array" ref="S1381">ifna(xlookup(L1381,'🙎‍♂️ Pasien'!$G$5:$G1508,'🙎‍♂️ Pasien'!$U$5:$U1508),"")</f>
        <v>OLAHRAGA</v>
      </c>
      <c r="T1381" s="97" t="s">
        <v>59</v>
      </c>
      <c r="U1381" s="105">
        <v>1.0</v>
      </c>
      <c r="V1381" s="101"/>
      <c r="W1381" s="106" t="b">
        <v>1</v>
      </c>
      <c r="X1381" s="107"/>
      <c r="Y1381" s="108"/>
    </row>
    <row r="1382" ht="22.5" customHeight="1">
      <c r="A1382" s="96"/>
      <c r="B1382" s="97" t="s">
        <v>85</v>
      </c>
      <c r="C1382" s="98" t="str">
        <f t="array" ref="C1382">IFNA(XLOOKUP(J1382,'⚙️ Pengaturan'!$H$5:$H1508,'⚙️ Pengaturan'!$I$5:$I1508),"")</f>
        <v>TIM Y</v>
      </c>
      <c r="D1382" s="97" t="s">
        <v>86</v>
      </c>
      <c r="E1382" s="99">
        <v>46012.0</v>
      </c>
      <c r="F1382" s="100" t="str">
        <f t="shared" si="1"/>
        <v>2025</v>
      </c>
      <c r="G1382" s="100" t="str">
        <f t="shared" si="2"/>
        <v>12Des</v>
      </c>
      <c r="H1382" s="100" t="str">
        <f t="shared" si="3"/>
        <v>Minggu</v>
      </c>
      <c r="I1382" s="97" t="s">
        <v>97</v>
      </c>
      <c r="J1382" s="97" t="s">
        <v>88</v>
      </c>
      <c r="K1382" s="97" t="s">
        <v>63</v>
      </c>
      <c r="L1382" s="101" t="s">
        <v>277</v>
      </c>
      <c r="M1382" s="102" t="str">
        <f>IFNA(VLOOKUP(L1382,'🙎‍♂️ Pasien'!G:V,2,FALSE),"")</f>
        <v>Z8125047588</v>
      </c>
      <c r="N1382" s="103">
        <f>IFNA(VLOOKUP(L1382,'🙎‍♂️ Pasien'!G:L,3,FALSE),"")</f>
        <v>45</v>
      </c>
      <c r="O1382" s="104" t="str">
        <f>IFNA(VLOOKUP(L1382,'🙎‍♂️ Pasien'!G:V,6,FALSE),"")</f>
        <v>LAKI-LAKI</v>
      </c>
      <c r="P1382" s="104" t="str">
        <f>IFNA(VLOOKUP(L1382,'🙎‍♂️ Pasien'!G:V,12,FALSE),"")</f>
        <v>ISLAM</v>
      </c>
      <c r="Q1382" s="104" t="str">
        <f>IFNA(VLOOKUP(L1382:L1508,'🙎‍♂️ Pasien'!G:V,13,FALSE),"")</f>
        <v>WIRASWASYA</v>
      </c>
      <c r="R1382" s="104" t="str">
        <f t="array" ref="R1382">ifna(xlookup(L1382,'🙎‍♂️ Pasien'!$G$5:$G1508,'🙎‍♂️ Pasien'!$T$5:$T1508),"")</f>
        <v>SERING NYERI DIBAGIAN TENGKUK SEBELAH KIRI</v>
      </c>
      <c r="S1382" s="104" t="str">
        <f t="array" ref="S1382">ifna(xlookup(L1382,'🙎‍♂️ Pasien'!$G$5:$G1508,'🙎‍♂️ Pasien'!$U$5:$U1508),"")</f>
        <v>MANCING</v>
      </c>
      <c r="T1382" s="97" t="s">
        <v>59</v>
      </c>
      <c r="U1382" s="105">
        <v>5.0</v>
      </c>
      <c r="V1382" s="101"/>
      <c r="W1382" s="106" t="b">
        <v>1</v>
      </c>
      <c r="X1382" s="107"/>
      <c r="Y1382" s="108"/>
    </row>
    <row r="1383" ht="22.5" customHeight="1">
      <c r="A1383" s="96"/>
      <c r="B1383" s="97" t="s">
        <v>53</v>
      </c>
      <c r="C1383" s="98" t="str">
        <f t="array" ref="C1383">IFNA(XLOOKUP(J1383,'⚙️ Pengaturan'!$H$5:$H1508,'⚙️ Pengaturan'!$I$5:$I1508),"")</f>
        <v>TIM Y</v>
      </c>
      <c r="D1383" s="97" t="s">
        <v>54</v>
      </c>
      <c r="E1383" s="99">
        <v>46013.0</v>
      </c>
      <c r="F1383" s="100" t="str">
        <f t="shared" si="1"/>
        <v>2025</v>
      </c>
      <c r="G1383" s="100" t="str">
        <f t="shared" si="2"/>
        <v>12Des</v>
      </c>
      <c r="H1383" s="100" t="str">
        <f t="shared" si="3"/>
        <v>Senin</v>
      </c>
      <c r="I1383" s="97" t="s">
        <v>55</v>
      </c>
      <c r="J1383" s="97" t="s">
        <v>509</v>
      </c>
      <c r="K1383" s="97" t="s">
        <v>63</v>
      </c>
      <c r="L1383" s="101" t="s">
        <v>692</v>
      </c>
      <c r="M1383" s="102" t="str">
        <f>IFNA(VLOOKUP(L1383,'🙎‍♂️ Pasien'!G:V,2,FALSE),"")</f>
        <v>R9024087560</v>
      </c>
      <c r="N1383" s="103">
        <f>IFNA(VLOOKUP(L1383,'🙎‍♂️ Pasien'!G:L,3,FALSE),"")</f>
        <v>35</v>
      </c>
      <c r="O1383" s="104" t="str">
        <f>IFNA(VLOOKUP(L1383,'🙎‍♂️ Pasien'!G:V,6,FALSE),"")</f>
        <v>PEREMPUAN</v>
      </c>
      <c r="P1383" s="104" t="str">
        <f>IFNA(VLOOKUP(L1383,'🙎‍♂️ Pasien'!G:V,12,FALSE),"")</f>
        <v>KATOLIK</v>
      </c>
      <c r="Q1383" s="104" t="str">
        <f>IFNA(VLOOKUP(L1383:L1508,'🙎‍♂️ Pasien'!G:V,13,FALSE),"")</f>
        <v>SWASTA</v>
      </c>
      <c r="R1383" s="104" t="str">
        <f t="array" ref="R1383">ifna(xlookup(L1383,'🙎‍♂️ Pasien'!$G$5:$G1508,'🙎‍♂️ Pasien'!$T$5:$T1508),"")</f>
        <v>Syaraf kejepit di L4 dan L5</v>
      </c>
      <c r="S1383" s="104" t="str">
        <f t="array" ref="S1383">ifna(xlookup(L1383,'🙎‍♂️ Pasien'!$G$5:$G1508,'🙎‍♂️ Pasien'!$U$5:$U1508),"")</f>
        <v>Nonton</v>
      </c>
      <c r="T1383" s="97" t="s">
        <v>59</v>
      </c>
      <c r="U1383" s="105">
        <v>5.0</v>
      </c>
      <c r="V1383" s="101" t="s">
        <v>125</v>
      </c>
      <c r="W1383" s="106" t="b">
        <v>1</v>
      </c>
      <c r="X1383" s="107"/>
      <c r="Y1383" s="108"/>
    </row>
    <row r="1384" ht="22.5" customHeight="1">
      <c r="A1384" s="96"/>
      <c r="B1384" s="97" t="s">
        <v>53</v>
      </c>
      <c r="C1384" s="98" t="str">
        <f t="array" ref="C1384">IFNA(XLOOKUP(J1384,'⚙️ Pengaturan'!$H$5:$H1508,'⚙️ Pengaturan'!$I$5:$I1508),"")</f>
        <v>TIM Y</v>
      </c>
      <c r="D1384" s="97" t="s">
        <v>54</v>
      </c>
      <c r="E1384" s="99">
        <v>46013.0</v>
      </c>
      <c r="F1384" s="100" t="str">
        <f t="shared" si="1"/>
        <v>2025</v>
      </c>
      <c r="G1384" s="100" t="str">
        <f t="shared" si="2"/>
        <v>12Des</v>
      </c>
      <c r="H1384" s="100" t="str">
        <f t="shared" si="3"/>
        <v>Senin</v>
      </c>
      <c r="I1384" s="97" t="s">
        <v>65</v>
      </c>
      <c r="J1384" s="97" t="s">
        <v>509</v>
      </c>
      <c r="K1384" s="97" t="s">
        <v>69</v>
      </c>
      <c r="L1384" s="101" t="s">
        <v>719</v>
      </c>
      <c r="M1384" s="102" t="str">
        <f>IFNA(VLOOKUP(L1384,'🙎‍♂️ Pasien'!G:V,2,FALSE),"")</f>
        <v>A9625120301</v>
      </c>
      <c r="N1384" s="103">
        <f>IFNA(VLOOKUP(L1384,'🙎‍♂️ Pasien'!G:L,3,FALSE),"")</f>
        <v>29</v>
      </c>
      <c r="O1384" s="104" t="str">
        <f>IFNA(VLOOKUP(L1384,'🙎‍♂️ Pasien'!G:V,6,FALSE),"")</f>
        <v>LAKI-LAKI</v>
      </c>
      <c r="P1384" s="104" t="str">
        <f>IFNA(VLOOKUP(L1384,'🙎‍♂️ Pasien'!G:V,12,FALSE),"")</f>
        <v>KATOLIK</v>
      </c>
      <c r="Q1384" s="104" t="str">
        <f>IFNA(VLOOKUP(L1384:L1508,'🙎‍♂️ Pasien'!G:V,13,FALSE),"")</f>
        <v>SWASTA</v>
      </c>
      <c r="R1384" s="104" t="str">
        <f t="array" ref="R1384">ifna(xlookup(L1384,'🙎‍♂️ Pasien'!$G$5:$G1508,'🙎‍♂️ Pasien'!$T$5:$T1508),"")</f>
        <v>BENGKAK DI AREA ATAS TUMIT KAKI SEBELAH KANAN</v>
      </c>
      <c r="S1384" s="104" t="str">
        <f t="array" ref="S1384">ifna(xlookup(L1384,'🙎‍♂️ Pasien'!$G$5:$G1508,'🙎‍♂️ Pasien'!$U$5:$U1508),"")</f>
        <v>SEPAK BOLA</v>
      </c>
      <c r="T1384" s="97" t="s">
        <v>59</v>
      </c>
      <c r="U1384" s="105" t="s">
        <v>60</v>
      </c>
      <c r="V1384" s="101"/>
      <c r="W1384" s="106" t="b">
        <v>1</v>
      </c>
      <c r="X1384" s="107"/>
      <c r="Y1384" s="108"/>
    </row>
    <row r="1385" ht="22.5" customHeight="1">
      <c r="A1385" s="96"/>
      <c r="B1385" s="97" t="s">
        <v>53</v>
      </c>
      <c r="C1385" s="98" t="str">
        <f t="array" ref="C1385">IFNA(XLOOKUP(J1385,'⚙️ Pengaturan'!$H$5:$H1508,'⚙️ Pengaturan'!$I$5:$I1508),"")</f>
        <v>TIM Y</v>
      </c>
      <c r="D1385" s="97" t="s">
        <v>54</v>
      </c>
      <c r="E1385" s="99">
        <v>46013.0</v>
      </c>
      <c r="F1385" s="100" t="str">
        <f t="shared" si="1"/>
        <v>2025</v>
      </c>
      <c r="G1385" s="100" t="str">
        <f t="shared" si="2"/>
        <v>12Des</v>
      </c>
      <c r="H1385" s="100" t="str">
        <f t="shared" si="3"/>
        <v>Senin</v>
      </c>
      <c r="I1385" s="97" t="s">
        <v>65</v>
      </c>
      <c r="J1385" s="97" t="s">
        <v>91</v>
      </c>
      <c r="K1385" s="97" t="s">
        <v>57</v>
      </c>
      <c r="L1385" s="101" t="s">
        <v>762</v>
      </c>
      <c r="M1385" s="102" t="str">
        <f>IFNA(VLOOKUP(L1385,'🙎‍♂️ Pasien'!G:V,2,FALSE),"")</f>
        <v>A0825125687</v>
      </c>
      <c r="N1385" s="103">
        <f>IFNA(VLOOKUP(L1385,'🙎‍♂️ Pasien'!G:L,3,FALSE),"")</f>
        <v>17</v>
      </c>
      <c r="O1385" s="104" t="str">
        <f>IFNA(VLOOKUP(L1385,'🙎‍♂️ Pasien'!G:V,6,FALSE),"")</f>
        <v>PEREMPUAN</v>
      </c>
      <c r="P1385" s="104" t="str">
        <f>IFNA(VLOOKUP(L1385,'🙎‍♂️ Pasien'!G:V,12,FALSE),"")</f>
        <v>KATOLIK</v>
      </c>
      <c r="Q1385" s="104" t="str">
        <f>IFNA(VLOOKUP(L1385:L1508,'🙎‍♂️ Pasien'!G:V,13,FALSE),"")</f>
        <v>SISWA SMA</v>
      </c>
      <c r="R1385" s="104" t="str">
        <f t="array" ref="R1385">ifna(xlookup(L1385,'🙎‍♂️ Pasien'!$G$5:$G1508,'🙎‍♂️ Pasien'!$T$5:$T1508),"")</f>
        <v>SKOLIOSIS</v>
      </c>
      <c r="S1385" s="104" t="str">
        <f t="array" ref="S1385">ifna(xlookup(L1385,'🙎‍♂️ Pasien'!$G$5:$G1508,'🙎‍♂️ Pasien'!$U$5:$U1508),"")</f>
        <v>GYM</v>
      </c>
      <c r="T1385" s="97" t="s">
        <v>59</v>
      </c>
      <c r="U1385" s="105" t="s">
        <v>60</v>
      </c>
      <c r="V1385" s="101"/>
      <c r="W1385" s="106" t="b">
        <v>1</v>
      </c>
      <c r="X1385" s="107"/>
      <c r="Y1385" s="108"/>
    </row>
    <row r="1386" ht="22.5" customHeight="1">
      <c r="A1386" s="96"/>
      <c r="B1386" s="97" t="s">
        <v>53</v>
      </c>
      <c r="C1386" s="98" t="str">
        <f t="array" ref="C1386">IFNA(XLOOKUP(J1386,'⚙️ Pengaturan'!$H$5:$H1508,'⚙️ Pengaturan'!$I$5:$I1508),"")</f>
        <v>TIM Y</v>
      </c>
      <c r="D1386" s="97" t="s">
        <v>54</v>
      </c>
      <c r="E1386" s="99">
        <v>46013.0</v>
      </c>
      <c r="F1386" s="100" t="str">
        <f t="shared" si="1"/>
        <v>2025</v>
      </c>
      <c r="G1386" s="100" t="str">
        <f t="shared" si="2"/>
        <v>12Des</v>
      </c>
      <c r="H1386" s="100" t="str">
        <f t="shared" si="3"/>
        <v>Senin</v>
      </c>
      <c r="I1386" s="97" t="s">
        <v>65</v>
      </c>
      <c r="J1386" s="97" t="s">
        <v>107</v>
      </c>
      <c r="K1386" s="97" t="s">
        <v>63</v>
      </c>
      <c r="L1386" s="101" t="s">
        <v>720</v>
      </c>
      <c r="M1386" s="102" t="str">
        <f>IFNA(VLOOKUP(L1386,'🙎‍♂️ Pasien'!G:V,2,FALSE),"")</f>
        <v>G8425125725</v>
      </c>
      <c r="N1386" s="103">
        <f>IFNA(VLOOKUP(L1386,'🙎‍♂️ Pasien'!G:L,3,FALSE),"")</f>
        <v>41</v>
      </c>
      <c r="O1386" s="104" t="str">
        <f>IFNA(VLOOKUP(L1386,'🙎‍♂️ Pasien'!G:V,6,FALSE),"")</f>
        <v>PEREMPUAN</v>
      </c>
      <c r="P1386" s="104" t="str">
        <f>IFNA(VLOOKUP(L1386,'🙎‍♂️ Pasien'!G:V,12,FALSE),"")</f>
        <v>ISLAM</v>
      </c>
      <c r="Q1386" s="104" t="str">
        <f>IFNA(VLOOKUP(L1386:L1508,'🙎‍♂️ Pasien'!G:V,13,FALSE),"")</f>
        <v>WIRAUSAHA</v>
      </c>
      <c r="R1386" s="104" t="str">
        <f t="array" ref="R1386">ifna(xlookup(L1386,'🙎‍♂️ Pasien'!$G$5:$G1508,'🙎‍♂️ Pasien'!$T$5:$T1508),"")</f>
        <v>STORKE RINGAN (KAKI KURANG KOKOH)</v>
      </c>
      <c r="S1386" s="104" t="str">
        <f t="array" ref="S1386">ifna(xlookup(L1386,'🙎‍♂️ Pasien'!$G$5:$G1508,'🙎‍♂️ Pasien'!$U$5:$U1508),"")</f>
        <v>AKTIVITAS BEKERJA SEHARI HARI MEETING DGN KLIEN</v>
      </c>
      <c r="T1386" s="97" t="s">
        <v>59</v>
      </c>
      <c r="U1386" s="105">
        <v>3.0</v>
      </c>
      <c r="V1386" s="101"/>
      <c r="W1386" s="106" t="b">
        <v>1</v>
      </c>
      <c r="X1386" s="107"/>
      <c r="Y1386" s="108"/>
    </row>
    <row r="1387" ht="22.5" customHeight="1">
      <c r="A1387" s="96"/>
      <c r="B1387" s="97" t="s">
        <v>53</v>
      </c>
      <c r="C1387" s="98" t="str">
        <f t="array" ref="C1387">IFNA(XLOOKUP(J1387,'⚙️ Pengaturan'!$H$5:$H1508,'⚙️ Pengaturan'!$I$5:$I1508),"")</f>
        <v>MANAJEMEN</v>
      </c>
      <c r="D1387" s="97" t="s">
        <v>54</v>
      </c>
      <c r="E1387" s="99">
        <v>46013.0</v>
      </c>
      <c r="F1387" s="100" t="str">
        <f t="shared" si="1"/>
        <v>2025</v>
      </c>
      <c r="G1387" s="100" t="str">
        <f t="shared" si="2"/>
        <v>12Des</v>
      </c>
      <c r="H1387" s="100" t="str">
        <f t="shared" si="3"/>
        <v>Senin</v>
      </c>
      <c r="I1387" s="97" t="s">
        <v>74</v>
      </c>
      <c r="J1387" s="97" t="s">
        <v>101</v>
      </c>
      <c r="K1387" s="97" t="s">
        <v>63</v>
      </c>
      <c r="L1387" s="101" t="s">
        <v>534</v>
      </c>
      <c r="M1387" s="102" t="str">
        <f>IFNA(VLOOKUP(L1387,'🙎‍♂️ Pasien'!G:V,2,FALSE),"")</f>
        <v>R6925118000</v>
      </c>
      <c r="N1387" s="103">
        <f>IFNA(VLOOKUP(L1387,'🙎‍♂️ Pasien'!G:L,3,FALSE),"")</f>
        <v>57</v>
      </c>
      <c r="O1387" s="104" t="str">
        <f>IFNA(VLOOKUP(L1387,'🙎‍♂️ Pasien'!G:V,6,FALSE),"")</f>
        <v>PEREMPUAN</v>
      </c>
      <c r="P1387" s="104" t="str">
        <f>IFNA(VLOOKUP(L1387,'🙎‍♂️ Pasien'!G:V,12,FALSE),"")</f>
        <v>KATOLIK</v>
      </c>
      <c r="Q1387" s="104" t="str">
        <f>IFNA(VLOOKUP(L1387:L1508,'🙎‍♂️ Pasien'!G:V,13,FALSE),"")</f>
        <v>RUMAH TANGGA</v>
      </c>
      <c r="R1387" s="104" t="str">
        <f t="array" ref="R1387">ifna(xlookup(L1387,'🙎‍♂️ Pasien'!$G$5:$G1508,'🙎‍♂️ Pasien'!$T$5:$T1508),"")</f>
        <v>KAKI SAKIT</v>
      </c>
      <c r="S1387" s="104" t="str">
        <f t="array" ref="S1387">ifna(xlookup(L1387,'🙎‍♂️ Pasien'!$G$5:$G1508,'🙎‍♂️ Pasien'!$U$5:$U1508),"")</f>
        <v>-</v>
      </c>
      <c r="T1387" s="97" t="s">
        <v>59</v>
      </c>
      <c r="U1387" s="105">
        <v>1.0</v>
      </c>
      <c r="V1387" s="101" t="s">
        <v>243</v>
      </c>
      <c r="W1387" s="106" t="b">
        <v>1</v>
      </c>
      <c r="X1387" s="107"/>
      <c r="Y1387" s="108"/>
    </row>
    <row r="1388" ht="22.5" customHeight="1">
      <c r="A1388" s="96"/>
      <c r="B1388" s="97" t="s">
        <v>53</v>
      </c>
      <c r="C1388" s="98" t="str">
        <f t="array" ref="C1388">IFNA(XLOOKUP(J1388,'⚙️ Pengaturan'!$H$5:$H1508,'⚙️ Pengaturan'!$I$5:$I1508),"")</f>
        <v>TIM Y</v>
      </c>
      <c r="D1388" s="97" t="s">
        <v>54</v>
      </c>
      <c r="E1388" s="99">
        <v>46013.0</v>
      </c>
      <c r="F1388" s="100" t="str">
        <f t="shared" si="1"/>
        <v>2025</v>
      </c>
      <c r="G1388" s="100" t="str">
        <f t="shared" si="2"/>
        <v>12Des</v>
      </c>
      <c r="H1388" s="100" t="str">
        <f t="shared" si="3"/>
        <v>Senin</v>
      </c>
      <c r="I1388" s="97" t="s">
        <v>74</v>
      </c>
      <c r="J1388" s="97" t="s">
        <v>88</v>
      </c>
      <c r="K1388" s="97" t="s">
        <v>57</v>
      </c>
      <c r="L1388" s="101" t="s">
        <v>763</v>
      </c>
      <c r="M1388" s="102" t="str">
        <f>IFNA(VLOOKUP(L1388,'🙎‍♂️ Pasien'!G:V,2,FALSE),"")</f>
        <v>V5325123931</v>
      </c>
      <c r="N1388" s="103">
        <f>IFNA(VLOOKUP(L1388,'🙎‍♂️ Pasien'!G:L,3,FALSE),"")</f>
        <v>72</v>
      </c>
      <c r="O1388" s="104" t="str">
        <f>IFNA(VLOOKUP(L1388,'🙎‍♂️ Pasien'!G:V,6,FALSE),"")</f>
        <v>LAKI-LAKI</v>
      </c>
      <c r="P1388" s="104" t="str">
        <f>IFNA(VLOOKUP(L1388,'🙎‍♂️ Pasien'!G:V,12,FALSE),"")</f>
        <v>ISLAM</v>
      </c>
      <c r="Q1388" s="104" t="str">
        <f>IFNA(VLOOKUP(L1388:L1508,'🙎‍♂️ Pasien'!G:V,13,FALSE),"")</f>
        <v>KARYAWAN SWASTA</v>
      </c>
      <c r="R1388" s="104" t="str">
        <f t="array" ref="R1388">ifna(xlookup(L1388,'🙎‍♂️ Pasien'!$G$5:$G1508,'🙎‍♂️ Pasien'!$T$5:$T1508),"")</f>
        <v>PINGGANG</v>
      </c>
      <c r="S1388" s="104" t="str">
        <f t="array" ref="S1388">ifna(xlookup(L1388,'🙎‍♂️ Pasien'!$G$5:$G1508,'🙎‍♂️ Pasien'!$U$5:$U1508),"")</f>
        <v>-</v>
      </c>
      <c r="T1388" s="97" t="s">
        <v>59</v>
      </c>
      <c r="U1388" s="105" t="s">
        <v>60</v>
      </c>
      <c r="V1388" s="101"/>
      <c r="W1388" s="106" t="b">
        <v>1</v>
      </c>
      <c r="X1388" s="107"/>
      <c r="Y1388" s="108"/>
    </row>
    <row r="1389" ht="22.5" customHeight="1">
      <c r="A1389" s="96"/>
      <c r="B1389" s="97" t="s">
        <v>53</v>
      </c>
      <c r="C1389" s="98" t="str">
        <f t="array" ref="C1389">IFNA(XLOOKUP(J1389,'⚙️ Pengaturan'!$H$5:$H1508,'⚙️ Pengaturan'!$I$5:$I1508),"")</f>
        <v>TIM Y</v>
      </c>
      <c r="D1389" s="97" t="s">
        <v>54</v>
      </c>
      <c r="E1389" s="99">
        <v>46013.0</v>
      </c>
      <c r="F1389" s="100" t="str">
        <f t="shared" si="1"/>
        <v>2025</v>
      </c>
      <c r="G1389" s="100" t="str">
        <f t="shared" si="2"/>
        <v>12Des</v>
      </c>
      <c r="H1389" s="100" t="str">
        <f t="shared" si="3"/>
        <v>Senin</v>
      </c>
      <c r="I1389" s="97" t="s">
        <v>76</v>
      </c>
      <c r="J1389" s="97" t="s">
        <v>509</v>
      </c>
      <c r="K1389" s="97" t="s">
        <v>57</v>
      </c>
      <c r="L1389" s="101" t="s">
        <v>764</v>
      </c>
      <c r="M1389" s="102" t="str">
        <f>IFNA(VLOOKUP(L1389,'🙎‍♂️ Pasien'!G:V,2,FALSE),"")</f>
        <v>B5325129871</v>
      </c>
      <c r="N1389" s="103">
        <f>IFNA(VLOOKUP(L1389,'🙎‍♂️ Pasien'!G:L,3,FALSE),"")</f>
        <v>73</v>
      </c>
      <c r="O1389" s="104" t="str">
        <f>IFNA(VLOOKUP(L1389,'🙎‍♂️ Pasien'!G:V,6,FALSE),"")</f>
        <v>LAKI-LAKI</v>
      </c>
      <c r="P1389" s="104" t="str">
        <f>IFNA(VLOOKUP(L1389,'🙎‍♂️ Pasien'!G:V,12,FALSE),"")</f>
        <v>ISLAM</v>
      </c>
      <c r="Q1389" s="104" t="str">
        <f>IFNA(VLOOKUP(L1389:L1508,'🙎‍♂️ Pasien'!G:V,13,FALSE),"")</f>
        <v>POLRI</v>
      </c>
      <c r="R1389" s="104" t="str">
        <f t="array" ref="R1389">ifna(xlookup(L1389,'🙎‍♂️ Pasien'!$G$5:$G1508,'🙎‍♂️ Pasien'!$T$5:$T1508),"")</f>
        <v>LENGAN</v>
      </c>
      <c r="S1389" s="104" t="str">
        <f t="array" ref="S1389">ifna(xlookup(L1389,'🙎‍♂️ Pasien'!$G$5:$G1508,'🙎‍♂️ Pasien'!$U$5:$U1508),"")</f>
        <v>-</v>
      </c>
      <c r="T1389" s="97" t="s">
        <v>59</v>
      </c>
      <c r="U1389" s="105" t="s">
        <v>60</v>
      </c>
      <c r="V1389" s="101"/>
      <c r="W1389" s="106" t="b">
        <v>1</v>
      </c>
      <c r="X1389" s="107"/>
      <c r="Y1389" s="108"/>
    </row>
    <row r="1390" ht="22.5" customHeight="1">
      <c r="A1390" s="96"/>
      <c r="B1390" s="97" t="s">
        <v>53</v>
      </c>
      <c r="C1390" s="98" t="str">
        <f t="array" ref="C1390">IFNA(XLOOKUP(J1390,'⚙️ Pengaturan'!$H$5:$H1508,'⚙️ Pengaturan'!$I$5:$I1508),"")</f>
        <v>MANAJEMEN</v>
      </c>
      <c r="D1390" s="97" t="s">
        <v>54</v>
      </c>
      <c r="E1390" s="99">
        <v>46013.0</v>
      </c>
      <c r="F1390" s="100" t="str">
        <f t="shared" si="1"/>
        <v>2025</v>
      </c>
      <c r="G1390" s="100" t="str">
        <f t="shared" si="2"/>
        <v>12Des</v>
      </c>
      <c r="H1390" s="100" t="str">
        <f t="shared" si="3"/>
        <v>Senin</v>
      </c>
      <c r="I1390" s="97" t="s">
        <v>76</v>
      </c>
      <c r="J1390" s="97" t="s">
        <v>101</v>
      </c>
      <c r="K1390" s="97" t="s">
        <v>63</v>
      </c>
      <c r="L1390" s="101" t="s">
        <v>601</v>
      </c>
      <c r="M1390" s="102" t="str">
        <f>IFNA(VLOOKUP(L1390,'🙎‍♂️ Pasien'!G:V,2,FALSE),"")</f>
        <v>S6724108986</v>
      </c>
      <c r="N1390" s="103">
        <f>IFNA(VLOOKUP(L1390,'🙎‍♂️ Pasien'!G:L,3,FALSE),"")</f>
        <v>59</v>
      </c>
      <c r="O1390" s="104" t="str">
        <f>IFNA(VLOOKUP(L1390,'🙎‍♂️ Pasien'!G:V,6,FALSE),"")</f>
        <v>LAKI-LAKI</v>
      </c>
      <c r="P1390" s="104" t="str">
        <f>IFNA(VLOOKUP(L1390,'🙎‍♂️ Pasien'!G:V,12,FALSE),"")</f>
        <v>ISLAM</v>
      </c>
      <c r="Q1390" s="104" t="str">
        <f>IFNA(VLOOKUP(L1390:L1508,'🙎‍♂️ Pasien'!G:V,13,FALSE),"")</f>
        <v>PENSIUN</v>
      </c>
      <c r="R1390" s="104" t="str">
        <f t="array" ref="R1390">ifna(xlookup(L1390,'🙎‍♂️ Pasien'!$G$5:$G1508,'🙎‍♂️ Pasien'!$T$5:$T1508),"")</f>
        <v>Badan kaku , kaki tidak bisa / tidak ada kekuaran untuk menapaki tangga</v>
      </c>
      <c r="S1390" s="104" t="str">
        <f t="array" ref="S1390">ifna(xlookup(L1390,'🙎‍♂️ Pasien'!$G$5:$G1508,'🙎‍♂️ Pasien'!$U$5:$U1508),"")</f>
        <v>Membaca</v>
      </c>
      <c r="T1390" s="97" t="s">
        <v>59</v>
      </c>
      <c r="U1390" s="105">
        <v>1.0</v>
      </c>
      <c r="V1390" s="101" t="s">
        <v>243</v>
      </c>
      <c r="W1390" s="106" t="b">
        <v>1</v>
      </c>
      <c r="X1390" s="107"/>
      <c r="Y1390" s="108"/>
    </row>
    <row r="1391" ht="22.5" customHeight="1">
      <c r="A1391" s="96"/>
      <c r="B1391" s="97" t="s">
        <v>85</v>
      </c>
      <c r="C1391" s="98" t="str">
        <f t="array" ref="C1391">IFNA(XLOOKUP(J1391,'⚙️ Pengaturan'!$H$5:$H1508,'⚙️ Pengaturan'!$I$5:$I1508),"")</f>
        <v>TIM Y</v>
      </c>
      <c r="D1391" s="97" t="s">
        <v>86</v>
      </c>
      <c r="E1391" s="99">
        <v>46013.0</v>
      </c>
      <c r="F1391" s="100" t="str">
        <f t="shared" si="1"/>
        <v>2025</v>
      </c>
      <c r="G1391" s="100" t="str">
        <f t="shared" si="2"/>
        <v>12Des</v>
      </c>
      <c r="H1391" s="100" t="str">
        <f t="shared" si="3"/>
        <v>Senin</v>
      </c>
      <c r="I1391" s="97" t="s">
        <v>87</v>
      </c>
      <c r="J1391" s="97" t="s">
        <v>56</v>
      </c>
      <c r="K1391" s="97" t="s">
        <v>63</v>
      </c>
      <c r="L1391" s="101" t="s">
        <v>119</v>
      </c>
      <c r="M1391" s="102" t="str">
        <f>IFNA(VLOOKUP(L1391,'🙎‍♂️ Pasien'!G:V,2,FALSE),"")</f>
        <v>H4623015667</v>
      </c>
      <c r="N1391" s="103">
        <f>IFNA(VLOOKUP(L1391,'🙎‍♂️ Pasien'!G:L,3,FALSE),"")</f>
        <v>80</v>
      </c>
      <c r="O1391" s="104" t="str">
        <f>IFNA(VLOOKUP(L1391,'🙎‍♂️ Pasien'!G:V,6,FALSE),"")</f>
        <v>LAKI-LAKI</v>
      </c>
      <c r="P1391" s="104" t="str">
        <f>IFNA(VLOOKUP(L1391,'🙎‍♂️ Pasien'!G:V,12,FALSE),"")</f>
        <v>ISLAM</v>
      </c>
      <c r="Q1391" s="104" t="str">
        <f>IFNA(VLOOKUP(L1391:L1508,'🙎‍♂️ Pasien'!G:V,13,FALSE),"")</f>
        <v>PENSIUN</v>
      </c>
      <c r="R1391" s="104" t="str">
        <f t="array" ref="R1391">ifna(xlookup(L1391,'🙎‍♂️ Pasien'!$G$5:$G1508,'🙎‍♂️ Pasien'!$T$5:$T1508),"")</f>
        <v>STROKE</v>
      </c>
      <c r="S1391" s="104" t="str">
        <f t="array" ref="S1391">ifna(xlookup(L1391,'🙎‍♂️ Pasien'!$G$5:$G1508,'🙎‍♂️ Pasien'!$U$5:$U1508),"")</f>
        <v/>
      </c>
      <c r="T1391" s="97" t="s">
        <v>59</v>
      </c>
      <c r="U1391" s="105">
        <v>9.0</v>
      </c>
      <c r="V1391" s="101"/>
      <c r="W1391" s="106" t="b">
        <v>1</v>
      </c>
      <c r="X1391" s="107"/>
      <c r="Y1391" s="108"/>
    </row>
    <row r="1392" ht="22.5" customHeight="1">
      <c r="A1392" s="96"/>
      <c r="B1392" s="97" t="s">
        <v>85</v>
      </c>
      <c r="C1392" s="98" t="str">
        <f t="array" ref="C1392">IFNA(XLOOKUP(J1392,'⚙️ Pengaturan'!$H$5:$H1508,'⚙️ Pengaturan'!$I$5:$I1508),"")</f>
        <v>TIM Y</v>
      </c>
      <c r="D1392" s="97" t="s">
        <v>86</v>
      </c>
      <c r="E1392" s="99">
        <v>46013.0</v>
      </c>
      <c r="F1392" s="100" t="str">
        <f t="shared" si="1"/>
        <v>2025</v>
      </c>
      <c r="G1392" s="100" t="str">
        <f t="shared" si="2"/>
        <v>12Des</v>
      </c>
      <c r="H1392" s="100" t="str">
        <f t="shared" si="3"/>
        <v>Senin</v>
      </c>
      <c r="I1392" s="97" t="s">
        <v>93</v>
      </c>
      <c r="J1392" s="97" t="s">
        <v>56</v>
      </c>
      <c r="K1392" s="97" t="s">
        <v>63</v>
      </c>
      <c r="L1392" s="101" t="s">
        <v>672</v>
      </c>
      <c r="M1392" s="102" t="str">
        <f>IFNA(VLOOKUP(L1392,'🙎‍♂️ Pasien'!G:V,2,FALSE),"")</f>
        <v>A9825122289</v>
      </c>
      <c r="N1392" s="103">
        <f>IFNA(VLOOKUP(L1392,'🙎‍♂️ Pasien'!G:L,3,FALSE),"")</f>
        <v>28</v>
      </c>
      <c r="O1392" s="104" t="str">
        <f>IFNA(VLOOKUP(L1392,'🙎‍♂️ Pasien'!G:V,6,FALSE),"")</f>
        <v>LAKI-LAKI</v>
      </c>
      <c r="P1392" s="104" t="str">
        <f>IFNA(VLOOKUP(L1392,'🙎‍♂️ Pasien'!G:V,12,FALSE),"")</f>
        <v>ISLAM</v>
      </c>
      <c r="Q1392" s="104" t="str">
        <f>IFNA(VLOOKUP(L1392:L1508,'🙎‍♂️ Pasien'!G:V,13,FALSE),"")</f>
        <v>DI BANDARA</v>
      </c>
      <c r="R1392" s="104" t="str">
        <f t="array" ref="R1392">ifna(xlookup(L1392,'🙎‍♂️ Pasien'!$G$5:$G1508,'🙎‍♂️ Pasien'!$T$5:$T1508),"")</f>
        <v>PINGGANG SAKIT NYERI SETELAH ANGKAT BEBAN, ENKLE KAKI NYERI KIRI KANAN SUDAH LAMA, DI PERGELANGAN TANGAN KIRI KANAN NYERI AKIBAT ANGKAT BEBAN,JEMPO TANGAN KIRI KESELEO</v>
      </c>
      <c r="S1392" s="104" t="str">
        <f t="array" ref="S1392">ifna(xlookup(L1392,'🙎‍♂️ Pasien'!$G$5:$G1508,'🙎‍♂️ Pasien'!$U$5:$U1508),"")</f>
        <v>GYM, JOGGING, SEPAK BOLA</v>
      </c>
      <c r="T1392" s="97" t="s">
        <v>59</v>
      </c>
      <c r="U1392" s="105">
        <v>4.0</v>
      </c>
      <c r="V1392" s="101"/>
      <c r="W1392" s="106" t="b">
        <v>1</v>
      </c>
      <c r="X1392" s="107"/>
      <c r="Y1392" s="108"/>
    </row>
    <row r="1393" ht="22.5" customHeight="1">
      <c r="A1393" s="96"/>
      <c r="B1393" s="97" t="s">
        <v>85</v>
      </c>
      <c r="C1393" s="98" t="str">
        <f t="array" ref="C1393">IFNA(XLOOKUP(J1393,'⚙️ Pengaturan'!$H$5:$H1508,'⚙️ Pengaturan'!$I$5:$I1508),"")</f>
        <v>TIM A</v>
      </c>
      <c r="D1393" s="97" t="s">
        <v>86</v>
      </c>
      <c r="E1393" s="99">
        <v>46013.0</v>
      </c>
      <c r="F1393" s="100" t="str">
        <f t="shared" si="1"/>
        <v>2025</v>
      </c>
      <c r="G1393" s="100" t="str">
        <f t="shared" si="2"/>
        <v>12Des</v>
      </c>
      <c r="H1393" s="100" t="str">
        <f t="shared" si="3"/>
        <v>Senin</v>
      </c>
      <c r="I1393" s="97" t="s">
        <v>93</v>
      </c>
      <c r="J1393" s="97" t="s">
        <v>79</v>
      </c>
      <c r="K1393" s="97" t="s">
        <v>69</v>
      </c>
      <c r="L1393" s="101" t="s">
        <v>741</v>
      </c>
      <c r="M1393" s="102" t="str">
        <f>IFNA(VLOOKUP(L1393,'🙎‍♂️ Pasien'!G:V,2,FALSE),"")</f>
        <v>J0625127652</v>
      </c>
      <c r="N1393" s="103">
        <f>IFNA(VLOOKUP(L1393,'🙎‍♂️ Pasien'!G:L,3,FALSE),"")</f>
        <v>19</v>
      </c>
      <c r="O1393" s="104" t="str">
        <f>IFNA(VLOOKUP(L1393,'🙎‍♂️ Pasien'!G:V,6,FALSE),"")</f>
        <v>PEREMPUAN</v>
      </c>
      <c r="P1393" s="104" t="str">
        <f>IFNA(VLOOKUP(L1393,'🙎‍♂️ Pasien'!G:V,12,FALSE),"")</f>
        <v>ISLAM</v>
      </c>
      <c r="Q1393" s="104" t="str">
        <f>IFNA(VLOOKUP(L1393:L1508,'🙎‍♂️ Pasien'!G:V,13,FALSE),"")</f>
        <v>PELAJAR</v>
      </c>
      <c r="R1393" s="104" t="str">
        <f t="array" ref="R1393">ifna(xlookup(L1393,'🙎‍♂️ Pasien'!$G$5:$G1508,'🙎‍♂️ Pasien'!$T$5:$T1508),"")</f>
        <v>CEDERA KAKI POST OP AMPUTASI JARI KELINGKING</v>
      </c>
      <c r="S1393" s="104" t="str">
        <f t="array" ref="S1393">ifna(xlookup(L1393,'🙎‍♂️ Pasien'!$G$5:$G1508,'🙎‍♂️ Pasien'!$U$5:$U1508),"")</f>
        <v>TIDAK ADA</v>
      </c>
      <c r="T1393" s="97" t="s">
        <v>59</v>
      </c>
      <c r="U1393" s="105" t="s">
        <v>60</v>
      </c>
      <c r="V1393" s="101"/>
      <c r="W1393" s="106" t="b">
        <v>1</v>
      </c>
      <c r="X1393" s="107"/>
      <c r="Y1393" s="108"/>
    </row>
    <row r="1394" ht="22.5" customHeight="1">
      <c r="A1394" s="96"/>
      <c r="B1394" s="97" t="s">
        <v>85</v>
      </c>
      <c r="C1394" s="98" t="str">
        <f t="array" ref="C1394">IFNA(XLOOKUP(J1394,'⚙️ Pengaturan'!$H$5:$H1508,'⚙️ Pengaturan'!$I$5:$I1508),"")</f>
        <v>TIM Y</v>
      </c>
      <c r="D1394" s="97" t="s">
        <v>86</v>
      </c>
      <c r="E1394" s="99">
        <v>46013.0</v>
      </c>
      <c r="F1394" s="100" t="str">
        <f t="shared" si="1"/>
        <v>2025</v>
      </c>
      <c r="G1394" s="100" t="str">
        <f t="shared" si="2"/>
        <v>12Des</v>
      </c>
      <c r="H1394" s="100" t="str">
        <f t="shared" si="3"/>
        <v>Senin</v>
      </c>
      <c r="I1394" s="97" t="s">
        <v>95</v>
      </c>
      <c r="J1394" s="97" t="s">
        <v>56</v>
      </c>
      <c r="K1394" s="97" t="s">
        <v>63</v>
      </c>
      <c r="L1394" s="101" t="s">
        <v>734</v>
      </c>
      <c r="M1394" s="102" t="str">
        <f>IFNA(VLOOKUP(L1394,'🙎‍♂️ Pasien'!G:V,2,FALSE),"")</f>
        <v>A0724125118</v>
      </c>
      <c r="N1394" s="103">
        <f>IFNA(VLOOKUP(L1394,'🙎‍♂️ Pasien'!G:L,3,FALSE),"")</f>
        <v>18</v>
      </c>
      <c r="O1394" s="104" t="str">
        <f>IFNA(VLOOKUP(L1394,'🙎‍♂️ Pasien'!G:V,6,FALSE),"")</f>
        <v>LAKI-LAKI</v>
      </c>
      <c r="P1394" s="104" t="str">
        <f>IFNA(VLOOKUP(L1394,'🙎‍♂️ Pasien'!G:V,12,FALSE),"")</f>
        <v>ISLAM</v>
      </c>
      <c r="Q1394" s="104" t="str">
        <f>IFNA(VLOOKUP(L1394:L1508,'🙎‍♂️ Pasien'!G:V,13,FALSE),"")</f>
        <v>PELAJAR/MAHASISWA</v>
      </c>
      <c r="R1394" s="104" t="str">
        <f t="array" ref="R1394">ifna(xlookup(L1394,'🙎‍♂️ Pasien'!$G$5:$G1508,'🙎‍♂️ Pasien'!$T$5:$T1508),"")</f>
        <v>cedera lutut oprasi</v>
      </c>
      <c r="S1394" s="104" t="str">
        <f t="array" ref="S1394">ifna(xlookup(L1394,'🙎‍♂️ Pasien'!$G$5:$G1508,'🙎‍♂️ Pasien'!$U$5:$U1508),"")</f>
        <v>futsal</v>
      </c>
      <c r="T1394" s="97" t="s">
        <v>59</v>
      </c>
      <c r="U1394" s="105">
        <v>2.0</v>
      </c>
      <c r="V1394" s="101"/>
      <c r="W1394" s="106" t="b">
        <v>1</v>
      </c>
      <c r="X1394" s="107"/>
      <c r="Y1394" s="108"/>
    </row>
    <row r="1395" ht="22.5" customHeight="1">
      <c r="A1395" s="96"/>
      <c r="B1395" s="97" t="s">
        <v>85</v>
      </c>
      <c r="C1395" s="98" t="str">
        <f t="array" ref="C1395">IFNA(XLOOKUP(J1395,'⚙️ Pengaturan'!$H$5:$H1508,'⚙️ Pengaturan'!$I$5:$I1508),"")</f>
        <v>TIM A</v>
      </c>
      <c r="D1395" s="97" t="s">
        <v>86</v>
      </c>
      <c r="E1395" s="99">
        <v>46013.0</v>
      </c>
      <c r="F1395" s="100" t="str">
        <f t="shared" si="1"/>
        <v>2025</v>
      </c>
      <c r="G1395" s="100" t="str">
        <f t="shared" si="2"/>
        <v>12Des</v>
      </c>
      <c r="H1395" s="100" t="str">
        <f t="shared" si="3"/>
        <v>Senin</v>
      </c>
      <c r="I1395" s="97" t="s">
        <v>95</v>
      </c>
      <c r="J1395" s="97" t="s">
        <v>79</v>
      </c>
      <c r="K1395" s="97" t="s">
        <v>69</v>
      </c>
      <c r="L1395" s="101" t="s">
        <v>756</v>
      </c>
      <c r="M1395" s="102" t="str">
        <f>IFNA(VLOOKUP(L1395,'🙎‍♂️ Pasien'!G:V,2,FALSE),"")</f>
        <v>K7425121740</v>
      </c>
      <c r="N1395" s="103">
        <f>IFNA(VLOOKUP(L1395,'🙎‍♂️ Pasien'!G:L,3,FALSE),"")</f>
        <v>52</v>
      </c>
      <c r="O1395" s="104" t="str">
        <f>IFNA(VLOOKUP(L1395,'🙎‍♂️ Pasien'!G:V,6,FALSE),"")</f>
        <v>PEREMPUAN</v>
      </c>
      <c r="P1395" s="104" t="str">
        <f>IFNA(VLOOKUP(L1395,'🙎‍♂️ Pasien'!G:V,12,FALSE),"")</f>
        <v>ISLAM</v>
      </c>
      <c r="Q1395" s="104" t="str">
        <f>IFNA(VLOOKUP(L1395:L1508,'🙎‍♂️ Pasien'!G:V,13,FALSE),"")</f>
        <v>IRT</v>
      </c>
      <c r="R1395" s="104" t="str">
        <f t="array" ref="R1395">ifna(xlookup(L1395,'🙎‍♂️ Pasien'!$G$5:$G1508,'🙎‍♂️ Pasien'!$T$5:$T1508),"")</f>
        <v>BAHU</v>
      </c>
      <c r="S1395" s="104" t="str">
        <f t="array" ref="S1395">ifna(xlookup(L1395,'🙎‍♂️ Pasien'!$G$5:$G1508,'🙎‍♂️ Pasien'!$U$5:$U1508),"")</f>
        <v>-</v>
      </c>
      <c r="T1395" s="97" t="s">
        <v>59</v>
      </c>
      <c r="U1395" s="105" t="s">
        <v>60</v>
      </c>
      <c r="V1395" s="101"/>
      <c r="W1395" s="106" t="b">
        <v>1</v>
      </c>
      <c r="X1395" s="107"/>
      <c r="Y1395" s="108"/>
    </row>
    <row r="1396" ht="22.5" customHeight="1">
      <c r="A1396" s="96"/>
      <c r="B1396" s="97" t="s">
        <v>85</v>
      </c>
      <c r="C1396" s="98" t="str">
        <f t="array" ref="C1396">IFNA(XLOOKUP(J1396,'⚙️ Pengaturan'!$H$5:$H1508,'⚙️ Pengaturan'!$I$5:$I1508),"")</f>
        <v>TIM A</v>
      </c>
      <c r="D1396" s="97" t="s">
        <v>86</v>
      </c>
      <c r="E1396" s="99">
        <v>46013.0</v>
      </c>
      <c r="F1396" s="100" t="str">
        <f t="shared" si="1"/>
        <v>2025</v>
      </c>
      <c r="G1396" s="100" t="str">
        <f t="shared" si="2"/>
        <v>12Des</v>
      </c>
      <c r="H1396" s="100" t="str">
        <f t="shared" si="3"/>
        <v>Senin</v>
      </c>
      <c r="I1396" s="97" t="s">
        <v>97</v>
      </c>
      <c r="J1396" s="97" t="s">
        <v>62</v>
      </c>
      <c r="K1396" s="97" t="s">
        <v>63</v>
      </c>
      <c r="L1396" s="101" t="s">
        <v>709</v>
      </c>
      <c r="M1396" s="102" t="str">
        <f>IFNA(VLOOKUP(L1396,'🙎‍♂️ Pasien'!G:V,2,FALSE),"")</f>
        <v>C0325128008</v>
      </c>
      <c r="N1396" s="103">
        <f>IFNA(VLOOKUP(L1396,'🙎‍♂️ Pasien'!G:L,3,FALSE),"")</f>
        <v>23</v>
      </c>
      <c r="O1396" s="104" t="str">
        <f>IFNA(VLOOKUP(L1396,'🙎‍♂️ Pasien'!G:V,6,FALSE),"")</f>
        <v>PEREMPUAN</v>
      </c>
      <c r="P1396" s="104" t="str">
        <f>IFNA(VLOOKUP(L1396,'🙎‍♂️ Pasien'!G:V,12,FALSE),"")</f>
        <v>BUDDHA</v>
      </c>
      <c r="Q1396" s="104" t="str">
        <f>IFNA(VLOOKUP(L1396:L1508,'🙎‍♂️ Pasien'!G:V,13,FALSE),"")</f>
        <v>ADMIN</v>
      </c>
      <c r="R1396" s="104" t="str">
        <f t="array" ref="R1396">ifna(xlookup(L1396,'🙎‍♂️ Pasien'!$G$5:$G1508,'🙎‍♂️ Pasien'!$T$5:$T1508),"")</f>
        <v>SKOLIOSIS</v>
      </c>
      <c r="S1396" s="104" t="str">
        <f t="array" ref="S1396">ifna(xlookup(L1396,'🙎‍♂️ Pasien'!$G$5:$G1508,'🙎‍♂️ Pasien'!$U$5:$U1508),"")</f>
        <v>KERJA KANTORAN</v>
      </c>
      <c r="T1396" s="97" t="s">
        <v>59</v>
      </c>
      <c r="U1396" s="105">
        <v>3.0</v>
      </c>
      <c r="V1396" s="101"/>
      <c r="W1396" s="106" t="b">
        <v>1</v>
      </c>
      <c r="X1396" s="107"/>
      <c r="Y1396" s="108"/>
    </row>
    <row r="1397" ht="22.5" customHeight="1">
      <c r="A1397" s="96"/>
      <c r="B1397" s="97" t="s">
        <v>85</v>
      </c>
      <c r="C1397" s="98" t="str">
        <f t="array" ref="C1397">IFNA(XLOOKUP(J1397,'⚙️ Pengaturan'!$H$5:$H1508,'⚙️ Pengaturan'!$I$5:$I1508),"")</f>
        <v>TIM A</v>
      </c>
      <c r="D1397" s="97" t="s">
        <v>86</v>
      </c>
      <c r="E1397" s="99">
        <v>46013.0</v>
      </c>
      <c r="F1397" s="100" t="str">
        <f t="shared" si="1"/>
        <v>2025</v>
      </c>
      <c r="G1397" s="100" t="str">
        <f t="shared" si="2"/>
        <v>12Des</v>
      </c>
      <c r="H1397" s="100" t="str">
        <f t="shared" si="3"/>
        <v>Senin</v>
      </c>
      <c r="I1397" s="97" t="s">
        <v>97</v>
      </c>
      <c r="J1397" s="97" t="s">
        <v>72</v>
      </c>
      <c r="K1397" s="97" t="s">
        <v>69</v>
      </c>
      <c r="L1397" s="101" t="s">
        <v>753</v>
      </c>
      <c r="M1397" s="102" t="str">
        <f>IFNA(VLOOKUP(L1397,'🙎‍♂️ Pasien'!G:V,2,FALSE),"")</f>
        <v>S0025121122</v>
      </c>
      <c r="N1397" s="103">
        <f>IFNA(VLOOKUP(L1397,'🙎‍♂️ Pasien'!G:L,3,FALSE),"")</f>
        <v>25</v>
      </c>
      <c r="O1397" s="104" t="str">
        <f>IFNA(VLOOKUP(L1397,'🙎‍♂️ Pasien'!G:V,6,FALSE),"")</f>
        <v>LAKI-LAKI</v>
      </c>
      <c r="P1397" s="104" t="str">
        <f>IFNA(VLOOKUP(L1397,'🙎‍♂️ Pasien'!G:V,12,FALSE),"")</f>
        <v>KATOLIK</v>
      </c>
      <c r="Q1397" s="104" t="str">
        <f>IFNA(VLOOKUP(L1397:L1508,'🙎‍♂️ Pasien'!G:V,13,FALSE),"")</f>
        <v>PEMBISNIS</v>
      </c>
      <c r="R1397" s="104" t="str">
        <f t="array" ref="R1397">ifna(xlookup(L1397,'🙎‍♂️ Pasien'!$G$5:$G1508,'🙎‍♂️ Pasien'!$T$5:$T1508),"")</f>
        <v>ENGSEL MATA KAKI BENGKAK</v>
      </c>
      <c r="S1397" s="104" t="str">
        <f t="array" ref="S1397">ifna(xlookup(L1397,'🙎‍♂️ Pasien'!$G$5:$G1508,'🙎‍♂️ Pasien'!$U$5:$U1508),"")</f>
        <v>MAIN BOLA</v>
      </c>
      <c r="T1397" s="97" t="s">
        <v>59</v>
      </c>
      <c r="U1397" s="105" t="s">
        <v>60</v>
      </c>
      <c r="V1397" s="101"/>
      <c r="W1397" s="106" t="b">
        <v>1</v>
      </c>
      <c r="X1397" s="107"/>
      <c r="Y1397" s="108"/>
    </row>
    <row r="1398" ht="22.5" customHeight="1">
      <c r="A1398" s="96"/>
      <c r="B1398" s="97" t="s">
        <v>85</v>
      </c>
      <c r="C1398" s="98" t="str">
        <f t="array" ref="C1398">IFNA(XLOOKUP(J1398,'⚙️ Pengaturan'!$H$5:$H1508,'⚙️ Pengaturan'!$I$5:$I1508),"")</f>
        <v>TIM Y</v>
      </c>
      <c r="D1398" s="97" t="s">
        <v>86</v>
      </c>
      <c r="E1398" s="99">
        <v>46013.0</v>
      </c>
      <c r="F1398" s="100" t="str">
        <f t="shared" si="1"/>
        <v>2025</v>
      </c>
      <c r="G1398" s="100" t="str">
        <f t="shared" si="2"/>
        <v>12Des</v>
      </c>
      <c r="H1398" s="100" t="str">
        <f t="shared" si="3"/>
        <v>Senin</v>
      </c>
      <c r="I1398" s="97" t="s">
        <v>97</v>
      </c>
      <c r="J1398" s="97" t="s">
        <v>56</v>
      </c>
      <c r="K1398" s="97" t="s">
        <v>57</v>
      </c>
      <c r="L1398" s="101" t="s">
        <v>765</v>
      </c>
      <c r="M1398" s="102" t="str">
        <f>IFNA(VLOOKUP(L1398,'🙎‍♂️ Pasien'!G:V,2,FALSE),"")</f>
        <v>Y9425125852</v>
      </c>
      <c r="N1398" s="103">
        <f>IFNA(VLOOKUP(L1398,'🙎‍♂️ Pasien'!G:L,3,FALSE),"")</f>
        <v>31</v>
      </c>
      <c r="O1398" s="104" t="str">
        <f>IFNA(VLOOKUP(L1398,'🙎‍♂️ Pasien'!G:V,6,FALSE),"")</f>
        <v>LAKI-LAKI</v>
      </c>
      <c r="P1398" s="104" t="str">
        <f>IFNA(VLOOKUP(L1398,'🙎‍♂️ Pasien'!G:V,12,FALSE),"")</f>
        <v>KATOLIK</v>
      </c>
      <c r="Q1398" s="104" t="str">
        <f>IFNA(VLOOKUP(L1398:L1508,'🙎‍♂️ Pasien'!G:V,13,FALSE),"")</f>
        <v>WIRASWASTA</v>
      </c>
      <c r="R1398" s="104" t="str">
        <f t="array" ref="R1398">ifna(xlookup(L1398,'🙎‍♂️ Pasien'!$G$5:$G1508,'🙎‍♂️ Pasien'!$T$5:$T1508),"")</f>
        <v>SAKIT PINGGANG</v>
      </c>
      <c r="S1398" s="104" t="str">
        <f t="array" ref="S1398">ifna(xlookup(L1398,'🙎‍♂️ Pasien'!$G$5:$G1508,'🙎‍♂️ Pasien'!$U$5:$U1508),"")</f>
        <v>BADMINTON</v>
      </c>
      <c r="T1398" s="97" t="s">
        <v>59</v>
      </c>
      <c r="U1398" s="105" t="s">
        <v>60</v>
      </c>
      <c r="V1398" s="101"/>
      <c r="W1398" s="106" t="b">
        <v>1</v>
      </c>
      <c r="X1398" s="107"/>
      <c r="Y1398" s="108"/>
    </row>
    <row r="1399" ht="22.5" customHeight="1">
      <c r="A1399" s="96"/>
      <c r="B1399" s="97" t="s">
        <v>85</v>
      </c>
      <c r="C1399" s="98" t="str">
        <f t="array" ref="C1399">IFNA(XLOOKUP(J1399,'⚙️ Pengaturan'!$H$5:$H1508,'⚙️ Pengaturan'!$I$5:$I1508),"")</f>
        <v>TIM A</v>
      </c>
      <c r="D1399" s="97" t="s">
        <v>86</v>
      </c>
      <c r="E1399" s="99">
        <v>46013.0</v>
      </c>
      <c r="F1399" s="100" t="str">
        <f t="shared" si="1"/>
        <v>2025</v>
      </c>
      <c r="G1399" s="100" t="str">
        <f t="shared" si="2"/>
        <v>12Des</v>
      </c>
      <c r="H1399" s="100" t="str">
        <f t="shared" si="3"/>
        <v>Senin</v>
      </c>
      <c r="I1399" s="97" t="s">
        <v>99</v>
      </c>
      <c r="J1399" s="97" t="s">
        <v>72</v>
      </c>
      <c r="K1399" s="97" t="s">
        <v>69</v>
      </c>
      <c r="L1399" s="101" t="s">
        <v>757</v>
      </c>
      <c r="M1399" s="102" t="str">
        <f>IFNA(VLOOKUP(L1399,'🙎‍♂️ Pasien'!G:V,2,FALSE),"")</f>
        <v>C9225128367</v>
      </c>
      <c r="N1399" s="103">
        <f>IFNA(VLOOKUP(L1399,'🙎‍♂️ Pasien'!G:L,3,FALSE),"")</f>
        <v>34</v>
      </c>
      <c r="O1399" s="104" t="str">
        <f>IFNA(VLOOKUP(L1399,'🙎‍♂️ Pasien'!G:V,6,FALSE),"")</f>
        <v>PEREMPUAN</v>
      </c>
      <c r="P1399" s="104" t="str">
        <f>IFNA(VLOOKUP(L1399,'🙎‍♂️ Pasien'!G:V,12,FALSE),"")</f>
        <v>ISLAM</v>
      </c>
      <c r="Q1399" s="104" t="str">
        <f>IFNA(VLOOKUP(L1399:L1508,'🙎‍♂️ Pasien'!G:V,13,FALSE),"")</f>
        <v>SWASTA</v>
      </c>
      <c r="R1399" s="104" t="str">
        <f t="array" ref="R1399">ifna(xlookup(L1399,'🙎‍♂️ Pasien'!$G$5:$G1508,'🙎‍♂️ Pasien'!$T$5:$T1508),"")</f>
        <v>BELLS PALSY</v>
      </c>
      <c r="S1399" s="104" t="str">
        <f t="array" ref="S1399">ifna(xlookup(L1399,'🙎‍♂️ Pasien'!$G$5:$G1508,'🙎‍♂️ Pasien'!$U$5:$U1508),"")</f>
        <v>BIASA SAJA</v>
      </c>
      <c r="T1399" s="97" t="s">
        <v>67</v>
      </c>
      <c r="U1399" s="105" t="s">
        <v>60</v>
      </c>
      <c r="V1399" s="101" t="s">
        <v>343</v>
      </c>
      <c r="W1399" s="106" t="b">
        <v>1</v>
      </c>
      <c r="X1399" s="107"/>
      <c r="Y1399" s="108"/>
    </row>
    <row r="1400" ht="22.5" customHeight="1">
      <c r="A1400" s="96"/>
      <c r="B1400" s="97" t="s">
        <v>85</v>
      </c>
      <c r="C1400" s="98" t="str">
        <f t="array" ref="C1400">IFNA(XLOOKUP(J1400,'⚙️ Pengaturan'!$H$5:$H1508,'⚙️ Pengaturan'!$I$5:$I1508),"")</f>
        <v>TIM A</v>
      </c>
      <c r="D1400" s="97" t="s">
        <v>86</v>
      </c>
      <c r="E1400" s="99">
        <v>46013.0</v>
      </c>
      <c r="F1400" s="100" t="str">
        <f t="shared" si="1"/>
        <v>2025</v>
      </c>
      <c r="G1400" s="100" t="str">
        <f t="shared" si="2"/>
        <v>12Des</v>
      </c>
      <c r="H1400" s="100" t="str">
        <f t="shared" si="3"/>
        <v>Senin</v>
      </c>
      <c r="I1400" s="97" t="s">
        <v>99</v>
      </c>
      <c r="J1400" s="97" t="s">
        <v>79</v>
      </c>
      <c r="K1400" s="97" t="s">
        <v>63</v>
      </c>
      <c r="L1400" s="101" t="s">
        <v>703</v>
      </c>
      <c r="M1400" s="102" t="str">
        <f>IFNA(VLOOKUP(L1400,'🙎‍♂️ Pasien'!G:V,2,FALSE),"")</f>
        <v>D8825037244</v>
      </c>
      <c r="N1400" s="103">
        <f>IFNA(VLOOKUP(L1400,'🙎‍♂️ Pasien'!G:L,3,FALSE),"")</f>
        <v>37</v>
      </c>
      <c r="O1400" s="104" t="str">
        <f>IFNA(VLOOKUP(L1400,'🙎‍♂️ Pasien'!G:V,6,FALSE),"")</f>
        <v>PEREMPUAN</v>
      </c>
      <c r="P1400" s="104" t="str">
        <f>IFNA(VLOOKUP(L1400,'🙎‍♂️ Pasien'!G:V,12,FALSE),"")</f>
        <v>ISLAM</v>
      </c>
      <c r="Q1400" s="104" t="str">
        <f>IFNA(VLOOKUP(L1400:L1508,'🙎‍♂️ Pasien'!G:V,13,FALSE),"")</f>
        <v>GURU PPPK</v>
      </c>
      <c r="R1400" s="104" t="str">
        <f t="array" ref="R1400">ifna(xlookup(L1400,'🙎‍♂️ Pasien'!$G$5:$G1508,'🙎‍♂️ Pasien'!$T$5:$T1508),"")</f>
        <v>SPUR DI TUMIT, SAKIT HINGGA BOKONG</v>
      </c>
      <c r="S1400" s="104" t="str">
        <f t="array" ref="S1400">ifna(xlookup(L1400,'🙎‍♂️ Pasien'!$G$5:$G1508,'🙎‍♂️ Pasien'!$U$5:$U1508),"")</f>
        <v>BERKENDARA MOTOR, GERAKAN SEHARI HARI</v>
      </c>
      <c r="T1400" s="97" t="s">
        <v>59</v>
      </c>
      <c r="U1400" s="105">
        <v>3.0</v>
      </c>
      <c r="V1400" s="101"/>
      <c r="W1400" s="106" t="b">
        <v>1</v>
      </c>
      <c r="X1400" s="107"/>
      <c r="Y1400" s="108"/>
    </row>
    <row r="1401" ht="22.5" customHeight="1">
      <c r="A1401" s="96"/>
      <c r="B1401" s="97" t="s">
        <v>53</v>
      </c>
      <c r="C1401" s="98" t="str">
        <f t="array" ref="C1401">IFNA(XLOOKUP(J1401,'⚙️ Pengaturan'!$H$5:$H1508,'⚙️ Pengaturan'!$I$5:$I1508),"")</f>
        <v>TIM A</v>
      </c>
      <c r="D1401" s="97" t="s">
        <v>54</v>
      </c>
      <c r="E1401" s="99">
        <v>46014.0</v>
      </c>
      <c r="F1401" s="100" t="str">
        <f t="shared" si="1"/>
        <v>2025</v>
      </c>
      <c r="G1401" s="100" t="str">
        <f t="shared" si="2"/>
        <v>12Des</v>
      </c>
      <c r="H1401" s="100" t="str">
        <f t="shared" si="3"/>
        <v>Selasa</v>
      </c>
      <c r="I1401" s="97" t="s">
        <v>55</v>
      </c>
      <c r="J1401" s="97" t="s">
        <v>72</v>
      </c>
      <c r="K1401" s="97" t="s">
        <v>63</v>
      </c>
      <c r="L1401" s="101" t="s">
        <v>108</v>
      </c>
      <c r="M1401" s="102" t="str">
        <f>IFNA(VLOOKUP(L1401,'🙎‍♂️ Pasien'!G:V,2,FALSE),"")</f>
        <v>A5625092572</v>
      </c>
      <c r="N1401" s="103">
        <f>IFNA(VLOOKUP(L1401,'🙎‍♂️ Pasien'!G:L,3,FALSE),"")</f>
        <v>69</v>
      </c>
      <c r="O1401" s="104" t="str">
        <f>IFNA(VLOOKUP(L1401,'🙎‍♂️ Pasien'!G:V,6,FALSE),"")</f>
        <v>PEREMPUAN</v>
      </c>
      <c r="P1401" s="104" t="str">
        <f>IFNA(VLOOKUP(L1401,'🙎‍♂️ Pasien'!G:V,12,FALSE),"")</f>
        <v>ISLAM</v>
      </c>
      <c r="Q1401" s="104" t="str">
        <f>IFNA(VLOOKUP(L1401:L1508,'🙎‍♂️ Pasien'!G:V,13,FALSE),"")</f>
        <v>IRT</v>
      </c>
      <c r="R1401" s="104" t="str">
        <f t="array" ref="R1401">ifna(xlookup(L1401,'🙎‍♂️ Pasien'!$G$5:$G1508,'🙎‍♂️ Pasien'!$T$5:$T1508),"")</f>
        <v>PINGGANG DAN KAKI</v>
      </c>
      <c r="S1401" s="104" t="str">
        <f t="array" ref="S1401">ifna(xlookup(L1401,'🙎‍♂️ Pasien'!$G$5:$G1508,'🙎‍♂️ Pasien'!$U$5:$U1508),"")</f>
        <v>-</v>
      </c>
      <c r="T1401" s="97" t="s">
        <v>59</v>
      </c>
      <c r="U1401" s="105">
        <v>2.0</v>
      </c>
      <c r="V1401" s="101"/>
      <c r="W1401" s="106" t="b">
        <v>1</v>
      </c>
      <c r="X1401" s="107"/>
      <c r="Y1401" s="108"/>
    </row>
    <row r="1402" ht="22.5" customHeight="1">
      <c r="A1402" s="96"/>
      <c r="B1402" s="97" t="s">
        <v>53</v>
      </c>
      <c r="C1402" s="98" t="str">
        <f t="array" ref="C1402">IFNA(XLOOKUP(J1402,'⚙️ Pengaturan'!$H$5:$H1508,'⚙️ Pengaturan'!$I$5:$I1508),"")</f>
        <v>TIM A</v>
      </c>
      <c r="D1402" s="97" t="s">
        <v>54</v>
      </c>
      <c r="E1402" s="99">
        <v>46014.0</v>
      </c>
      <c r="F1402" s="100" t="str">
        <f t="shared" si="1"/>
        <v>2025</v>
      </c>
      <c r="G1402" s="100" t="str">
        <f t="shared" si="2"/>
        <v>12Des</v>
      </c>
      <c r="H1402" s="100" t="str">
        <f t="shared" si="3"/>
        <v>Selasa</v>
      </c>
      <c r="I1402" s="97" t="s">
        <v>65</v>
      </c>
      <c r="J1402" s="97" t="s">
        <v>72</v>
      </c>
      <c r="K1402" s="97" t="s">
        <v>135</v>
      </c>
      <c r="L1402" s="101" t="s">
        <v>748</v>
      </c>
      <c r="M1402" s="102" t="str">
        <f>IFNA(VLOOKUP(L1402,'🙎‍♂️ Pasien'!G:V,2,FALSE),"")</f>
        <v>A9525120897</v>
      </c>
      <c r="N1402" s="103">
        <f>IFNA(VLOOKUP(L1402,'🙎‍♂️ Pasien'!G:L,3,FALSE),"")</f>
        <v>31</v>
      </c>
      <c r="O1402" s="104" t="str">
        <f>IFNA(VLOOKUP(L1402,'🙎‍♂️ Pasien'!G:V,6,FALSE),"")</f>
        <v>LAKI-LAKI</v>
      </c>
      <c r="P1402" s="104" t="str">
        <f>IFNA(VLOOKUP(L1402,'🙎‍♂️ Pasien'!G:V,12,FALSE),"")</f>
        <v>ISLAM</v>
      </c>
      <c r="Q1402" s="104" t="str">
        <f>IFNA(VLOOKUP(L1402:L1508,'🙎‍♂️ Pasien'!G:V,13,FALSE),"")</f>
        <v>SWASTA</v>
      </c>
      <c r="R1402" s="104" t="str">
        <f t="array" ref="R1402">ifna(xlookup(L1402,'🙎‍♂️ Pasien'!$G$5:$G1508,'🙎‍♂️ Pasien'!$T$5:$T1508),"")</f>
        <v>SAKIT BAHU SUSAH DIANGKAT KE ATAS</v>
      </c>
      <c r="S1402" s="104" t="str">
        <f t="array" ref="S1402">ifna(xlookup(L1402,'🙎‍♂️ Pasien'!$G$5:$G1508,'🙎‍♂️ Pasien'!$U$5:$U1508),"")</f>
        <v>DI DEPAN KOMPUTER BERJAM JAM</v>
      </c>
      <c r="T1402" s="97" t="s">
        <v>67</v>
      </c>
      <c r="U1402" s="105" t="s">
        <v>60</v>
      </c>
      <c r="V1402" s="101" t="s">
        <v>343</v>
      </c>
      <c r="W1402" s="106" t="b">
        <v>1</v>
      </c>
      <c r="X1402" s="107"/>
      <c r="Y1402" s="108"/>
    </row>
    <row r="1403" ht="22.5" customHeight="1">
      <c r="A1403" s="96"/>
      <c r="B1403" s="97" t="s">
        <v>53</v>
      </c>
      <c r="C1403" s="98" t="str">
        <f t="array" ref="C1403">IFNA(XLOOKUP(J1403,'⚙️ Pengaturan'!$H$5:$H1508,'⚙️ Pengaturan'!$I$5:$I1508),"")</f>
        <v>TIM Y</v>
      </c>
      <c r="D1403" s="97" t="s">
        <v>54</v>
      </c>
      <c r="E1403" s="99">
        <v>46014.0</v>
      </c>
      <c r="F1403" s="100" t="str">
        <f t="shared" si="1"/>
        <v>2025</v>
      </c>
      <c r="G1403" s="100" t="str">
        <f t="shared" si="2"/>
        <v>12Des</v>
      </c>
      <c r="H1403" s="100" t="str">
        <f t="shared" si="3"/>
        <v>Selasa</v>
      </c>
      <c r="I1403" s="97" t="s">
        <v>65</v>
      </c>
      <c r="J1403" s="97" t="s">
        <v>56</v>
      </c>
      <c r="K1403" s="97" t="s">
        <v>63</v>
      </c>
      <c r="L1403" s="101" t="s">
        <v>744</v>
      </c>
      <c r="M1403" s="102" t="str">
        <f>IFNA(VLOOKUP(L1403,'🙎‍♂️ Pasien'!G:V,2,FALSE),"")</f>
        <v>D9525039860</v>
      </c>
      <c r="N1403" s="103">
        <f>IFNA(VLOOKUP(L1403,'🙎‍♂️ Pasien'!G:L,3,FALSE),"")</f>
        <v>31</v>
      </c>
      <c r="O1403" s="104" t="str">
        <f>IFNA(VLOOKUP(L1403,'🙎‍♂️ Pasien'!G:V,6,FALSE),"")</f>
        <v>LAKI-LAKI</v>
      </c>
      <c r="P1403" s="104" t="str">
        <f>IFNA(VLOOKUP(L1403,'🙎‍♂️ Pasien'!G:V,12,FALSE),"")</f>
        <v>ISLAM</v>
      </c>
      <c r="Q1403" s="104" t="str">
        <f>IFNA(VLOOKUP(L1403:L1508,'🙎‍♂️ Pasien'!G:V,13,FALSE),"")</f>
        <v>SWASTA</v>
      </c>
      <c r="R1403" s="104" t="str">
        <f t="array" ref="R1403">ifna(xlookup(L1403,'🙎‍♂️ Pasien'!$G$5:$G1508,'🙎‍♂️ Pasien'!$T$5:$T1508),"")</f>
        <v>SAKIT DI PUNGGUNG KE BAWAH</v>
      </c>
      <c r="S1403" s="104" t="str">
        <f t="array" ref="S1403">ifna(xlookup(L1403,'🙎‍♂️ Pasien'!$G$5:$G1508,'🙎‍♂️ Pasien'!$U$5:$U1508),"")</f>
        <v>OLAHRAGA</v>
      </c>
      <c r="T1403" s="97" t="s">
        <v>59</v>
      </c>
      <c r="U1403" s="105">
        <v>2.0</v>
      </c>
      <c r="V1403" s="101"/>
      <c r="W1403" s="106" t="b">
        <v>1</v>
      </c>
      <c r="X1403" s="107"/>
      <c r="Y1403" s="108"/>
    </row>
    <row r="1404" ht="22.5" customHeight="1">
      <c r="A1404" s="96"/>
      <c r="B1404" s="97" t="s">
        <v>53</v>
      </c>
      <c r="C1404" s="98" t="str">
        <f t="array" ref="C1404">IFNA(XLOOKUP(J1404,'⚙️ Pengaturan'!$H$5:$H1508,'⚙️ Pengaturan'!$I$5:$I1508),"")</f>
        <v>TIM Y</v>
      </c>
      <c r="D1404" s="97" t="s">
        <v>54</v>
      </c>
      <c r="E1404" s="99">
        <v>46014.0</v>
      </c>
      <c r="F1404" s="100" t="str">
        <f t="shared" si="1"/>
        <v>2025</v>
      </c>
      <c r="G1404" s="100" t="str">
        <f t="shared" si="2"/>
        <v>12Des</v>
      </c>
      <c r="H1404" s="100" t="str">
        <f t="shared" si="3"/>
        <v>Selasa</v>
      </c>
      <c r="I1404" s="97" t="s">
        <v>74</v>
      </c>
      <c r="J1404" s="97" t="s">
        <v>56</v>
      </c>
      <c r="K1404" s="97" t="s">
        <v>63</v>
      </c>
      <c r="L1404" s="101" t="s">
        <v>734</v>
      </c>
      <c r="M1404" s="102" t="str">
        <f>IFNA(VLOOKUP(L1404,'🙎‍♂️ Pasien'!G:V,2,FALSE),"")</f>
        <v>A0724125118</v>
      </c>
      <c r="N1404" s="103">
        <f>IFNA(VLOOKUP(L1404,'🙎‍♂️ Pasien'!G:L,3,FALSE),"")</f>
        <v>18</v>
      </c>
      <c r="O1404" s="104" t="str">
        <f>IFNA(VLOOKUP(L1404,'🙎‍♂️ Pasien'!G:V,6,FALSE),"")</f>
        <v>LAKI-LAKI</v>
      </c>
      <c r="P1404" s="104" t="str">
        <f>IFNA(VLOOKUP(L1404,'🙎‍♂️ Pasien'!G:V,12,FALSE),"")</f>
        <v>ISLAM</v>
      </c>
      <c r="Q1404" s="104" t="str">
        <f>IFNA(VLOOKUP(L1404:L1508,'🙎‍♂️ Pasien'!G:V,13,FALSE),"")</f>
        <v>PELAJAR/MAHASISWA</v>
      </c>
      <c r="R1404" s="104" t="str">
        <f t="array" ref="R1404">ifna(xlookup(L1404,'🙎‍♂️ Pasien'!$G$5:$G1508,'🙎‍♂️ Pasien'!$T$5:$T1508),"")</f>
        <v>cedera lutut oprasi</v>
      </c>
      <c r="S1404" s="104" t="str">
        <f t="array" ref="S1404">ifna(xlookup(L1404,'🙎‍♂️ Pasien'!$G$5:$G1508,'🙎‍♂️ Pasien'!$U$5:$U1508),"")</f>
        <v>futsal</v>
      </c>
      <c r="T1404" s="97" t="s">
        <v>59</v>
      </c>
      <c r="U1404" s="105">
        <v>3.0</v>
      </c>
      <c r="V1404" s="101"/>
      <c r="W1404" s="106" t="b">
        <v>1</v>
      </c>
      <c r="X1404" s="107"/>
      <c r="Y1404" s="108"/>
    </row>
    <row r="1405" ht="22.5" customHeight="1">
      <c r="A1405" s="96"/>
      <c r="B1405" s="97" t="s">
        <v>53</v>
      </c>
      <c r="C1405" s="98" t="str">
        <f t="array" ref="C1405">IFNA(XLOOKUP(J1405,'⚙️ Pengaturan'!$H$5:$H1508,'⚙️ Pengaturan'!$I$5:$I1508),"")</f>
        <v>TIM Y</v>
      </c>
      <c r="D1405" s="97" t="s">
        <v>54</v>
      </c>
      <c r="E1405" s="99">
        <v>46014.0</v>
      </c>
      <c r="F1405" s="100" t="str">
        <f t="shared" si="1"/>
        <v>2025</v>
      </c>
      <c r="G1405" s="100" t="str">
        <f t="shared" si="2"/>
        <v>12Des</v>
      </c>
      <c r="H1405" s="100" t="str">
        <f t="shared" si="3"/>
        <v>Selasa</v>
      </c>
      <c r="I1405" s="97" t="s">
        <v>76</v>
      </c>
      <c r="J1405" s="97" t="s">
        <v>107</v>
      </c>
      <c r="K1405" s="97" t="s">
        <v>63</v>
      </c>
      <c r="L1405" s="101" t="s">
        <v>193</v>
      </c>
      <c r="M1405" s="102" t="str">
        <f>IFNA(VLOOKUP(L1405,'🙎‍♂️ Pasien'!G:V,2,FALSE),"")</f>
        <v>E8925075615</v>
      </c>
      <c r="N1405" s="103">
        <f>IFNA(VLOOKUP(L1405,'🙎‍♂️ Pasien'!G:L,3,FALSE),"")</f>
        <v>36</v>
      </c>
      <c r="O1405" s="104" t="str">
        <f>IFNA(VLOOKUP(L1405,'🙎‍♂️ Pasien'!G:V,6,FALSE),"")</f>
        <v>PEREMPUAN</v>
      </c>
      <c r="P1405" s="104" t="str">
        <f>IFNA(VLOOKUP(L1405,'🙎‍♂️ Pasien'!G:V,12,FALSE),"")</f>
        <v>KATOLIK</v>
      </c>
      <c r="Q1405" s="104" t="str">
        <f>IFNA(VLOOKUP(L1405:L1508,'🙎‍♂️ Pasien'!G:V,13,FALSE),"")</f>
        <v>WIRASWASTA</v>
      </c>
      <c r="R1405" s="104" t="str">
        <f t="array" ref="R1405">ifna(xlookup(L1405,'🙎‍♂️ Pasien'!$G$5:$G1508,'🙎‍♂️ Pasien'!$T$5:$T1508),"")</f>
        <v>BUNION</v>
      </c>
      <c r="S1405" s="104" t="str">
        <f t="array" ref="S1405">ifna(xlookup(L1405,'🙎‍♂️ Pasien'!$G$5:$G1508,'🙎‍♂️ Pasien'!$U$5:$U1508),"")</f>
        <v>TENNIS</v>
      </c>
      <c r="T1405" s="97" t="s">
        <v>59</v>
      </c>
      <c r="U1405" s="105">
        <v>8.0</v>
      </c>
      <c r="V1405" s="101"/>
      <c r="W1405" s="106" t="b">
        <v>1</v>
      </c>
      <c r="X1405" s="107"/>
      <c r="Y1405" s="108"/>
    </row>
    <row r="1406" ht="22.5" customHeight="1">
      <c r="A1406" s="96"/>
      <c r="B1406" s="97" t="s">
        <v>53</v>
      </c>
      <c r="C1406" s="98" t="str">
        <f t="array" ref="C1406">IFNA(XLOOKUP(J1406,'⚙️ Pengaturan'!$H$5:$H1508,'⚙️ Pengaturan'!$I$5:$I1508),"")</f>
        <v>TIM A</v>
      </c>
      <c r="D1406" s="97" t="s">
        <v>54</v>
      </c>
      <c r="E1406" s="99">
        <v>46014.0</v>
      </c>
      <c r="F1406" s="100" t="str">
        <f t="shared" si="1"/>
        <v>2025</v>
      </c>
      <c r="G1406" s="100" t="str">
        <f t="shared" si="2"/>
        <v>12Des</v>
      </c>
      <c r="H1406" s="100" t="str">
        <f t="shared" si="3"/>
        <v>Selasa</v>
      </c>
      <c r="I1406" s="97" t="s">
        <v>76</v>
      </c>
      <c r="J1406" s="97" t="s">
        <v>72</v>
      </c>
      <c r="K1406" s="97" t="s">
        <v>57</v>
      </c>
      <c r="L1406" s="101" t="s">
        <v>766</v>
      </c>
      <c r="M1406" s="102" t="str">
        <f>IFNA(VLOOKUP(L1406,'🙎‍♂️ Pasien'!G:V,2,FALSE),"")</f>
        <v>E9523075183</v>
      </c>
      <c r="N1406" s="103">
        <f>IFNA(VLOOKUP(L1406,'🙎‍♂️ Pasien'!G:L,3,FALSE),"")</f>
        <v>30</v>
      </c>
      <c r="O1406" s="104" t="str">
        <f>IFNA(VLOOKUP(L1406,'🙎‍♂️ Pasien'!G:V,6,FALSE),"")</f>
        <v>PEREMPUAN</v>
      </c>
      <c r="P1406" s="104" t="str">
        <f>IFNA(VLOOKUP(L1406,'🙎‍♂️ Pasien'!G:V,12,FALSE),"")</f>
        <v>PROTESTAN</v>
      </c>
      <c r="Q1406" s="104" t="str">
        <f>IFNA(VLOOKUP(L1406:L1508,'🙎‍♂️ Pasien'!G:V,13,FALSE),"")</f>
        <v>WIRASWASTA</v>
      </c>
      <c r="R1406" s="104" t="str">
        <f t="array" ref="R1406">ifna(xlookup(L1406,'🙎‍♂️ Pasien'!$G$5:$G1508,'🙎‍♂️ Pasien'!$T$5:$T1508),"")</f>
        <v>PERGELANGAN SAKIT</v>
      </c>
      <c r="S1406" s="104" t="str">
        <f t="array" ref="S1406">ifna(xlookup(L1406,'🙎‍♂️ Pasien'!$G$5:$G1508,'🙎‍♂️ Pasien'!$U$5:$U1508),"")</f>
        <v>TENIS MEJA</v>
      </c>
      <c r="T1406" s="97" t="s">
        <v>59</v>
      </c>
      <c r="U1406" s="105" t="s">
        <v>60</v>
      </c>
      <c r="V1406" s="101"/>
      <c r="W1406" s="106" t="b">
        <v>1</v>
      </c>
      <c r="X1406" s="107"/>
      <c r="Y1406" s="108"/>
    </row>
    <row r="1407" ht="22.5" customHeight="1">
      <c r="A1407" s="96"/>
      <c r="B1407" s="97" t="s">
        <v>53</v>
      </c>
      <c r="C1407" s="98" t="str">
        <f t="array" ref="C1407">IFNA(XLOOKUP(J1407,'⚙️ Pengaturan'!$H$5:$H1508,'⚙️ Pengaturan'!$I$5:$I1508),"")</f>
        <v>TIM Y</v>
      </c>
      <c r="D1407" s="97" t="s">
        <v>54</v>
      </c>
      <c r="E1407" s="99">
        <v>46014.0</v>
      </c>
      <c r="F1407" s="100" t="str">
        <f t="shared" si="1"/>
        <v>2025</v>
      </c>
      <c r="G1407" s="100" t="str">
        <f t="shared" si="2"/>
        <v>12Des</v>
      </c>
      <c r="H1407" s="100" t="str">
        <f t="shared" si="3"/>
        <v>Selasa</v>
      </c>
      <c r="I1407" s="97" t="s">
        <v>83</v>
      </c>
      <c r="J1407" s="97" t="s">
        <v>107</v>
      </c>
      <c r="K1407" s="97" t="s">
        <v>63</v>
      </c>
      <c r="L1407" s="101" t="s">
        <v>153</v>
      </c>
      <c r="M1407" s="102" t="str">
        <f>IFNA(VLOOKUP(L1407,'🙎‍♂️ Pasien'!G:V,2,FALSE),"")</f>
        <v>S6225086797</v>
      </c>
      <c r="N1407" s="103">
        <f>IFNA(VLOOKUP(L1407,'🙎‍♂️ Pasien'!G:L,3,FALSE),"")</f>
        <v>63</v>
      </c>
      <c r="O1407" s="104" t="str">
        <f>IFNA(VLOOKUP(L1407,'🙎‍♂️ Pasien'!G:V,6,FALSE),"")</f>
        <v>PEREMPUAN</v>
      </c>
      <c r="P1407" s="104" t="str">
        <f>IFNA(VLOOKUP(L1407,'🙎‍♂️ Pasien'!G:V,12,FALSE),"")</f>
        <v>ISLAM</v>
      </c>
      <c r="Q1407" s="104" t="str">
        <f>IFNA(VLOOKUP(L1407:L1508,'🙎‍♂️ Pasien'!G:V,13,FALSE),"")</f>
        <v>-</v>
      </c>
      <c r="R1407" s="104" t="str">
        <f t="array" ref="R1407">ifna(xlookup(L1407,'🙎‍♂️ Pasien'!$G$5:$G1508,'🙎‍♂️ Pasien'!$T$5:$T1508),"")</f>
        <v>TANGAN KANAN BAGIAN ATAS, SAKIT SAAT DIGERAKKAN</v>
      </c>
      <c r="S1407" s="104" t="str">
        <f t="array" ref="S1407">ifna(xlookup(L1407,'🙎‍♂️ Pasien'!$G$5:$G1508,'🙎‍♂️ Pasien'!$U$5:$U1508),"")</f>
        <v>PEKERJAAN RUMAH TANGGA</v>
      </c>
      <c r="T1407" s="97" t="s">
        <v>59</v>
      </c>
      <c r="U1407" s="105">
        <v>9.0</v>
      </c>
      <c r="V1407" s="101"/>
      <c r="W1407" s="106" t="b">
        <v>1</v>
      </c>
      <c r="X1407" s="107"/>
      <c r="Y1407" s="108"/>
    </row>
    <row r="1408" ht="22.5" customHeight="1">
      <c r="A1408" s="96"/>
      <c r="B1408" s="97" t="s">
        <v>85</v>
      </c>
      <c r="C1408" s="98" t="str">
        <f t="array" ref="C1408">IFNA(XLOOKUP(J1408,'⚙️ Pengaturan'!$H$5:$H1508,'⚙️ Pengaturan'!$I$5:$I1508),"")</f>
        <v>TIM Y</v>
      </c>
      <c r="D1408" s="97" t="s">
        <v>86</v>
      </c>
      <c r="E1408" s="99">
        <v>46014.0</v>
      </c>
      <c r="F1408" s="100" t="str">
        <f t="shared" si="1"/>
        <v>2025</v>
      </c>
      <c r="G1408" s="100" t="str">
        <f t="shared" si="2"/>
        <v>12Des</v>
      </c>
      <c r="H1408" s="100" t="str">
        <f t="shared" si="3"/>
        <v>Selasa</v>
      </c>
      <c r="I1408" s="97" t="s">
        <v>87</v>
      </c>
      <c r="J1408" s="97" t="s">
        <v>91</v>
      </c>
      <c r="K1408" s="97" t="s">
        <v>63</v>
      </c>
      <c r="L1408" s="101" t="s">
        <v>225</v>
      </c>
      <c r="M1408" s="102" t="str">
        <f>IFNA(VLOOKUP(L1408,'🙎‍♂️ Pasien'!G:V,2,FALSE),"")</f>
        <v>B8025102288</v>
      </c>
      <c r="N1408" s="103">
        <f>IFNA(VLOOKUP(L1408,'🙎‍♂️ Pasien'!G:L,3,FALSE),"")</f>
        <v>45</v>
      </c>
      <c r="O1408" s="104" t="str">
        <f>IFNA(VLOOKUP(L1408,'🙎‍♂️ Pasien'!G:V,6,FALSE),"")</f>
        <v>PEREMPUAN</v>
      </c>
      <c r="P1408" s="104" t="str">
        <f>IFNA(VLOOKUP(L1408,'🙎‍♂️ Pasien'!G:V,12,FALSE),"")</f>
        <v>ISLAM</v>
      </c>
      <c r="Q1408" s="104" t="str">
        <f>IFNA(VLOOKUP(L1408:L1508,'🙎‍♂️ Pasien'!G:V,13,FALSE),"")</f>
        <v>ASN</v>
      </c>
      <c r="R1408" s="104" t="str">
        <f t="array" ref="R1408">ifna(xlookup(L1408,'🙎‍♂️ Pasien'!$G$5:$G1508,'🙎‍♂️ Pasien'!$T$5:$T1508),"")</f>
        <v>KELUHAN SY NYERI DI TUMIT KIRI SM PAHA KANAN UT DIANGKAT SAMBIL DITEKUK KE ARAH SAMPING LUAR RASA NYA NYERI</v>
      </c>
      <c r="S1408" s="104" t="str">
        <f t="array" ref="S1408">ifna(xlookup(L1408,'🙎‍♂️ Pasien'!$G$5:$G1508,'🙎‍♂️ Pasien'!$U$5:$U1508),"")</f>
        <v>JOGING</v>
      </c>
      <c r="T1408" s="97" t="s">
        <v>59</v>
      </c>
      <c r="U1408" s="105">
        <v>3.0</v>
      </c>
      <c r="V1408" s="101"/>
      <c r="W1408" s="106" t="b">
        <v>1</v>
      </c>
      <c r="X1408" s="107"/>
      <c r="Y1408" s="108"/>
    </row>
    <row r="1409" ht="22.5" customHeight="1">
      <c r="A1409" s="96"/>
      <c r="B1409" s="97" t="s">
        <v>85</v>
      </c>
      <c r="C1409" s="98" t="str">
        <f t="array" ref="C1409">IFNA(XLOOKUP(J1409,'⚙️ Pengaturan'!$H$5:$H1508,'⚙️ Pengaturan'!$I$5:$I1508),"")</f>
        <v>TIM Y</v>
      </c>
      <c r="D1409" s="97" t="s">
        <v>86</v>
      </c>
      <c r="E1409" s="99">
        <v>46014.0</v>
      </c>
      <c r="F1409" s="100" t="str">
        <f t="shared" si="1"/>
        <v>2025</v>
      </c>
      <c r="G1409" s="100" t="str">
        <f t="shared" si="2"/>
        <v>12Des</v>
      </c>
      <c r="H1409" s="100" t="str">
        <f t="shared" si="3"/>
        <v>Selasa</v>
      </c>
      <c r="I1409" s="97" t="s">
        <v>93</v>
      </c>
      <c r="J1409" s="97" t="s">
        <v>91</v>
      </c>
      <c r="K1409" s="97" t="s">
        <v>63</v>
      </c>
      <c r="L1409" s="101" t="s">
        <v>762</v>
      </c>
      <c r="M1409" s="102" t="str">
        <f>IFNA(VLOOKUP(L1409,'🙎‍♂️ Pasien'!G:V,2,FALSE),"")</f>
        <v>A0825125687</v>
      </c>
      <c r="N1409" s="103">
        <f>IFNA(VLOOKUP(L1409,'🙎‍♂️ Pasien'!G:L,3,FALSE),"")</f>
        <v>17</v>
      </c>
      <c r="O1409" s="104" t="str">
        <f>IFNA(VLOOKUP(L1409,'🙎‍♂️ Pasien'!G:V,6,FALSE),"")</f>
        <v>PEREMPUAN</v>
      </c>
      <c r="P1409" s="104" t="str">
        <f>IFNA(VLOOKUP(L1409,'🙎‍♂️ Pasien'!G:V,12,FALSE),"")</f>
        <v>KATOLIK</v>
      </c>
      <c r="Q1409" s="104" t="str">
        <f>IFNA(VLOOKUP(L1409:L1508,'🙎‍♂️ Pasien'!G:V,13,FALSE),"")</f>
        <v>SISWA SMA</v>
      </c>
      <c r="R1409" s="104" t="str">
        <f t="array" ref="R1409">ifna(xlookup(L1409,'🙎‍♂️ Pasien'!$G$5:$G1508,'🙎‍♂️ Pasien'!$T$5:$T1508),"")</f>
        <v>SKOLIOSIS</v>
      </c>
      <c r="S1409" s="104" t="str">
        <f t="array" ref="S1409">ifna(xlookup(L1409,'🙎‍♂️ Pasien'!$G$5:$G1508,'🙎‍♂️ Pasien'!$U$5:$U1508),"")</f>
        <v>GYM</v>
      </c>
      <c r="T1409" s="97" t="s">
        <v>59</v>
      </c>
      <c r="U1409" s="105">
        <v>1.0</v>
      </c>
      <c r="V1409" s="101"/>
      <c r="W1409" s="106" t="b">
        <v>1</v>
      </c>
      <c r="X1409" s="107"/>
      <c r="Y1409" s="108"/>
    </row>
    <row r="1410" ht="22.5" customHeight="1">
      <c r="A1410" s="96"/>
      <c r="B1410" s="97" t="s">
        <v>85</v>
      </c>
      <c r="C1410" s="98" t="str">
        <f t="array" ref="C1410">IFNA(XLOOKUP(J1410,'⚙️ Pengaturan'!$H$5:$H1508,'⚙️ Pengaturan'!$I$5:$I1508),"")</f>
        <v>TIM Y</v>
      </c>
      <c r="D1410" s="97" t="s">
        <v>86</v>
      </c>
      <c r="E1410" s="99">
        <v>46014.0</v>
      </c>
      <c r="F1410" s="100" t="str">
        <f t="shared" si="1"/>
        <v>2025</v>
      </c>
      <c r="G1410" s="100" t="str">
        <f t="shared" si="2"/>
        <v>12Des</v>
      </c>
      <c r="H1410" s="100" t="str">
        <f t="shared" si="3"/>
        <v>Selasa</v>
      </c>
      <c r="I1410" s="97" t="s">
        <v>95</v>
      </c>
      <c r="J1410" s="97" t="s">
        <v>88</v>
      </c>
      <c r="K1410" s="97" t="s">
        <v>63</v>
      </c>
      <c r="L1410" s="101" t="s">
        <v>767</v>
      </c>
      <c r="M1410" s="102" t="str">
        <f>IFNA(VLOOKUP(L1410,'🙎‍♂️ Pasien'!G:V,2,FALSE),"")</f>
        <v>H9425120685</v>
      </c>
      <c r="N1410" s="103">
        <f>IFNA(VLOOKUP(L1410,'🙎‍♂️ Pasien'!G:L,3,FALSE),"")</f>
        <v>32</v>
      </c>
      <c r="O1410" s="104" t="str">
        <f>IFNA(VLOOKUP(L1410,'🙎‍♂️ Pasien'!G:V,6,FALSE),"")</f>
        <v>LAKI-LAKI</v>
      </c>
      <c r="P1410" s="104" t="str">
        <f>IFNA(VLOOKUP(L1410,'🙎‍♂️ Pasien'!G:V,12,FALSE),"")</f>
        <v>KATOLIK</v>
      </c>
      <c r="Q1410" s="104" t="str">
        <f>IFNA(VLOOKUP(L1410:L1508,'🙎‍♂️ Pasien'!G:V,13,FALSE),"")</f>
        <v>SWASTA</v>
      </c>
      <c r="R1410" s="104" t="str">
        <f t="array" ref="R1410">ifna(xlookup(L1410,'🙎‍♂️ Pasien'!$G$5:$G1508,'🙎‍♂️ Pasien'!$T$5:$T1508),"")</f>
        <v>PINGGANG MENJALAR KE KELINGKING</v>
      </c>
      <c r="S1410" s="104" t="str">
        <f t="array" ref="S1410">ifna(xlookup(L1410,'🙎‍♂️ Pasien'!$G$5:$G1508,'🙎‍♂️ Pasien'!$U$5:$U1508),"")</f>
        <v>-</v>
      </c>
      <c r="T1410" s="97" t="s">
        <v>59</v>
      </c>
      <c r="U1410" s="105">
        <v>3.0</v>
      </c>
      <c r="V1410" s="101" t="s">
        <v>768</v>
      </c>
      <c r="W1410" s="106" t="b">
        <v>1</v>
      </c>
      <c r="X1410" s="107"/>
      <c r="Y1410" s="108"/>
    </row>
    <row r="1411" ht="22.5" customHeight="1">
      <c r="A1411" s="96"/>
      <c r="B1411" s="97" t="s">
        <v>85</v>
      </c>
      <c r="C1411" s="98" t="str">
        <f t="array" ref="C1411">IFNA(XLOOKUP(J1411,'⚙️ Pengaturan'!$H$5:$H1508,'⚙️ Pengaturan'!$I$5:$I1508),"")</f>
        <v>TIM A</v>
      </c>
      <c r="D1411" s="97" t="s">
        <v>86</v>
      </c>
      <c r="E1411" s="99">
        <v>46014.0</v>
      </c>
      <c r="F1411" s="100" t="str">
        <f t="shared" si="1"/>
        <v>2025</v>
      </c>
      <c r="G1411" s="100" t="str">
        <f t="shared" si="2"/>
        <v>12Des</v>
      </c>
      <c r="H1411" s="100" t="str">
        <f t="shared" si="3"/>
        <v>Selasa</v>
      </c>
      <c r="I1411" s="97" t="s">
        <v>97</v>
      </c>
      <c r="J1411" s="97" t="s">
        <v>79</v>
      </c>
      <c r="K1411" s="97" t="s">
        <v>63</v>
      </c>
      <c r="L1411" s="101" t="s">
        <v>540</v>
      </c>
      <c r="M1411" s="102" t="str">
        <f>IFNA(VLOOKUP(L1411,'🙎‍♂️ Pasien'!G:V,2,FALSE),"")</f>
        <v>A9425110177</v>
      </c>
      <c r="N1411" s="103">
        <f>IFNA(VLOOKUP(L1411,'🙎‍♂️ Pasien'!G:L,3,FALSE),"")</f>
        <v>31</v>
      </c>
      <c r="O1411" s="104" t="str">
        <f>IFNA(VLOOKUP(L1411,'🙎‍♂️ Pasien'!G:V,6,FALSE),"")</f>
        <v>LAKI-LAKI</v>
      </c>
      <c r="P1411" s="104" t="str">
        <f>IFNA(VLOOKUP(L1411,'🙎‍♂️ Pasien'!G:V,12,FALSE),"")</f>
        <v>KATOLIK</v>
      </c>
      <c r="Q1411" s="104" t="str">
        <f>IFNA(VLOOKUP(L1411:L1508,'🙎‍♂️ Pasien'!G:V,13,FALSE),"")</f>
        <v>-</v>
      </c>
      <c r="R1411" s="104" t="str">
        <f t="array" ref="R1411">ifna(xlookup(L1411,'🙎‍♂️ Pasien'!$G$5:$G1508,'🙎‍♂️ Pasien'!$T$5:$T1508),"")</f>
        <v>PASCA OPERASI ACL</v>
      </c>
      <c r="S1411" s="104" t="str">
        <f t="array" ref="S1411">ifna(xlookup(L1411,'🙎‍♂️ Pasien'!$G$5:$G1508,'🙎‍♂️ Pasien'!$U$5:$U1508),"")</f>
        <v>-</v>
      </c>
      <c r="T1411" s="97" t="s">
        <v>59</v>
      </c>
      <c r="U1411" s="105">
        <v>10.0</v>
      </c>
      <c r="V1411" s="101" t="s">
        <v>125</v>
      </c>
      <c r="W1411" s="106" t="b">
        <v>1</v>
      </c>
      <c r="X1411" s="107"/>
      <c r="Y1411" s="108"/>
    </row>
    <row r="1412" ht="22.5" customHeight="1">
      <c r="A1412" s="96"/>
      <c r="B1412" s="97" t="s">
        <v>85</v>
      </c>
      <c r="C1412" s="98" t="str">
        <f t="array" ref="C1412">IFNA(XLOOKUP(J1412,'⚙️ Pengaturan'!$H$5:$H1508,'⚙️ Pengaturan'!$I$5:$I1508),"")</f>
        <v>TIM Y</v>
      </c>
      <c r="D1412" s="97" t="s">
        <v>86</v>
      </c>
      <c r="E1412" s="99">
        <v>46014.0</v>
      </c>
      <c r="F1412" s="100" t="str">
        <f t="shared" si="1"/>
        <v>2025</v>
      </c>
      <c r="G1412" s="100" t="str">
        <f t="shared" si="2"/>
        <v>12Des</v>
      </c>
      <c r="H1412" s="100" t="str">
        <f t="shared" si="3"/>
        <v>Selasa</v>
      </c>
      <c r="I1412" s="97" t="s">
        <v>97</v>
      </c>
      <c r="J1412" s="97" t="s">
        <v>509</v>
      </c>
      <c r="K1412" s="97" t="s">
        <v>63</v>
      </c>
      <c r="L1412" s="101" t="s">
        <v>586</v>
      </c>
      <c r="M1412" s="102" t="str">
        <f>IFNA(VLOOKUP(L1412,'🙎‍♂️ Pasien'!G:V,2,FALSE),"")</f>
        <v>B0924114293</v>
      </c>
      <c r="N1412" s="103">
        <f>IFNA(VLOOKUP(L1412,'🙎‍♂️ Pasien'!G:L,3,FALSE),"")</f>
        <v>16</v>
      </c>
      <c r="O1412" s="104" t="str">
        <f>IFNA(VLOOKUP(L1412,'🙎‍♂️ Pasien'!G:V,6,FALSE),"")</f>
        <v>LAKI-LAKI</v>
      </c>
      <c r="P1412" s="104" t="str">
        <f>IFNA(VLOOKUP(L1412,'🙎‍♂️ Pasien'!G:V,12,FALSE),"")</f>
        <v>ISLAM</v>
      </c>
      <c r="Q1412" s="104" t="str">
        <f>IFNA(VLOOKUP(L1412:L1508,'🙎‍♂️ Pasien'!G:V,13,FALSE),"")</f>
        <v>PELAJAR/MAHASISWA</v>
      </c>
      <c r="R1412" s="104" t="str">
        <f t="array" ref="R1412">ifna(xlookup(L1412,'🙎‍♂️ Pasien'!$G$5:$G1508,'🙎‍♂️ Pasien'!$T$5:$T1508),"")</f>
        <v>SAKIT PADA BAHU</v>
      </c>
      <c r="S1412" s="104" t="str">
        <f t="array" ref="S1412">ifna(xlookup(L1412,'🙎‍♂️ Pasien'!$G$5:$G1508,'🙎‍♂️ Pasien'!$U$5:$U1508),"")</f>
        <v>OLAHARAGA VOLEYY</v>
      </c>
      <c r="T1412" s="97" t="s">
        <v>67</v>
      </c>
      <c r="U1412" s="105">
        <v>1.0</v>
      </c>
      <c r="V1412" s="101" t="s">
        <v>769</v>
      </c>
      <c r="W1412" s="106" t="b">
        <v>1</v>
      </c>
      <c r="X1412" s="107"/>
      <c r="Y1412" s="108"/>
    </row>
    <row r="1413" ht="22.5" customHeight="1">
      <c r="A1413" s="96"/>
      <c r="B1413" s="97" t="s">
        <v>85</v>
      </c>
      <c r="C1413" s="98" t="str">
        <f t="array" ref="C1413">IFNA(XLOOKUP(J1413,'⚙️ Pengaturan'!$H$5:$H1508,'⚙️ Pengaturan'!$I$5:$I1508),"")</f>
        <v>TIM Y</v>
      </c>
      <c r="D1413" s="97" t="s">
        <v>86</v>
      </c>
      <c r="E1413" s="99">
        <v>46014.0</v>
      </c>
      <c r="F1413" s="100" t="str">
        <f t="shared" si="1"/>
        <v>2025</v>
      </c>
      <c r="G1413" s="100" t="str">
        <f t="shared" si="2"/>
        <v>12Des</v>
      </c>
      <c r="H1413" s="100" t="str">
        <f t="shared" si="3"/>
        <v>Selasa</v>
      </c>
      <c r="I1413" s="97" t="s">
        <v>97</v>
      </c>
      <c r="J1413" s="97" t="s">
        <v>88</v>
      </c>
      <c r="K1413" s="97" t="s">
        <v>57</v>
      </c>
      <c r="L1413" s="101" t="s">
        <v>770</v>
      </c>
      <c r="M1413" s="102" t="str">
        <f>IFNA(VLOOKUP(L1413,'🙎‍♂️ Pasien'!G:V,2,FALSE),"")</f>
        <v>R9125127920</v>
      </c>
      <c r="N1413" s="103">
        <f>IFNA(VLOOKUP(L1413,'🙎‍♂️ Pasien'!G:L,3,FALSE),"")</f>
        <v>34</v>
      </c>
      <c r="O1413" s="104" t="str">
        <f>IFNA(VLOOKUP(L1413,'🙎‍♂️ Pasien'!G:V,6,FALSE),"")</f>
        <v>LAKI-LAKI</v>
      </c>
      <c r="P1413" s="104" t="str">
        <f>IFNA(VLOOKUP(L1413,'🙎‍♂️ Pasien'!G:V,12,FALSE),"")</f>
        <v>ISLAM</v>
      </c>
      <c r="Q1413" s="104" t="str">
        <f>IFNA(VLOOKUP(L1413:L1508,'🙎‍♂️ Pasien'!G:V,13,FALSE),"")</f>
        <v>SWASTA</v>
      </c>
      <c r="R1413" s="104" t="str">
        <f t="array" ref="R1413">ifna(xlookup(L1413,'🙎‍♂️ Pasien'!$G$5:$G1508,'🙎‍♂️ Pasien'!$T$5:$T1508),"")</f>
        <v>TUMIT SAKIT</v>
      </c>
      <c r="S1413" s="104" t="str">
        <f t="array" ref="S1413">ifna(xlookup(L1413,'🙎‍♂️ Pasien'!$G$5:$G1508,'🙎‍♂️ Pasien'!$U$5:$U1508),"")</f>
        <v>HOBI SEPAK BOLA, AKTIVITAS BEKERJA BERDIRI</v>
      </c>
      <c r="T1413" s="97" t="s">
        <v>59</v>
      </c>
      <c r="U1413" s="105" t="s">
        <v>60</v>
      </c>
      <c r="V1413" s="101"/>
      <c r="W1413" s="106" t="b">
        <v>1</v>
      </c>
      <c r="X1413" s="107"/>
      <c r="Y1413" s="108"/>
    </row>
    <row r="1414" ht="22.5" customHeight="1">
      <c r="A1414" s="96"/>
      <c r="B1414" s="97" t="s">
        <v>85</v>
      </c>
      <c r="C1414" s="98" t="str">
        <f t="array" ref="C1414">IFNA(XLOOKUP(J1414,'⚙️ Pengaturan'!$H$5:$H1508,'⚙️ Pengaturan'!$I$5:$I1508),"")</f>
        <v>TIM Y</v>
      </c>
      <c r="D1414" s="97" t="s">
        <v>86</v>
      </c>
      <c r="E1414" s="99">
        <v>46014.0</v>
      </c>
      <c r="F1414" s="100" t="str">
        <f t="shared" si="1"/>
        <v>2025</v>
      </c>
      <c r="G1414" s="100" t="str">
        <f t="shared" si="2"/>
        <v>12Des</v>
      </c>
      <c r="H1414" s="100" t="str">
        <f t="shared" si="3"/>
        <v>Selasa</v>
      </c>
      <c r="I1414" s="97" t="s">
        <v>99</v>
      </c>
      <c r="J1414" s="97" t="s">
        <v>509</v>
      </c>
      <c r="K1414" s="97" t="s">
        <v>63</v>
      </c>
      <c r="L1414" s="101" t="s">
        <v>593</v>
      </c>
      <c r="M1414" s="102" t="str">
        <f>IFNA(VLOOKUP(L1414,'🙎‍♂️ Pasien'!G:V,2,FALSE),"")</f>
        <v>A0125119292</v>
      </c>
      <c r="N1414" s="103">
        <f>IFNA(VLOOKUP(L1414,'🙎‍♂️ Pasien'!G:L,3,FALSE),"")</f>
        <v>25</v>
      </c>
      <c r="O1414" s="104" t="str">
        <f>IFNA(VLOOKUP(L1414,'🙎‍♂️ Pasien'!G:V,6,FALSE),"")</f>
        <v>PEREMPUAN</v>
      </c>
      <c r="P1414" s="104" t="str">
        <f>IFNA(VLOOKUP(L1414,'🙎‍♂️ Pasien'!G:V,12,FALSE),"")</f>
        <v>ISLAM</v>
      </c>
      <c r="Q1414" s="104" t="str">
        <f>IFNA(VLOOKUP(L1414:L1508,'🙎‍♂️ Pasien'!G:V,13,FALSE),"")</f>
        <v>ADMIN</v>
      </c>
      <c r="R1414" s="104" t="str">
        <f t="array" ref="R1414">ifna(xlookup(L1414,'🙎‍♂️ Pasien'!$G$5:$G1508,'🙎‍♂️ Pasien'!$T$5:$T1508),"")</f>
        <v>LUTUT SAKIT</v>
      </c>
      <c r="S1414" s="104" t="str">
        <f t="array" ref="S1414">ifna(xlookup(L1414,'🙎‍♂️ Pasien'!$G$5:$G1508,'🙎‍♂️ Pasien'!$U$5:$U1508),"")</f>
        <v>LARI</v>
      </c>
      <c r="T1414" s="97" t="s">
        <v>67</v>
      </c>
      <c r="U1414" s="105">
        <v>5.0</v>
      </c>
      <c r="V1414" s="101" t="s">
        <v>771</v>
      </c>
      <c r="W1414" s="106" t="b">
        <v>1</v>
      </c>
      <c r="X1414" s="107"/>
      <c r="Y1414" s="108"/>
    </row>
    <row r="1415" ht="22.5" customHeight="1">
      <c r="A1415" s="96"/>
      <c r="B1415" s="97" t="s">
        <v>85</v>
      </c>
      <c r="C1415" s="98" t="str">
        <f t="array" ref="C1415">IFNA(XLOOKUP(J1415,'⚙️ Pengaturan'!$H$5:$H1508,'⚙️ Pengaturan'!$I$5:$I1508),"")</f>
        <v>TIM A</v>
      </c>
      <c r="D1415" s="97" t="s">
        <v>86</v>
      </c>
      <c r="E1415" s="99">
        <v>46014.0</v>
      </c>
      <c r="F1415" s="100" t="str">
        <f t="shared" si="1"/>
        <v>2025</v>
      </c>
      <c r="G1415" s="100" t="str">
        <f t="shared" si="2"/>
        <v>12Des</v>
      </c>
      <c r="H1415" s="100" t="str">
        <f t="shared" si="3"/>
        <v>Selasa</v>
      </c>
      <c r="I1415" s="97" t="s">
        <v>99</v>
      </c>
      <c r="J1415" s="97" t="s">
        <v>79</v>
      </c>
      <c r="K1415" s="97" t="s">
        <v>69</v>
      </c>
      <c r="L1415" s="101" t="s">
        <v>757</v>
      </c>
      <c r="M1415" s="102" t="str">
        <f>IFNA(VLOOKUP(L1415,'🙎‍♂️ Pasien'!G:V,2,FALSE),"")</f>
        <v>C9225128367</v>
      </c>
      <c r="N1415" s="103">
        <f>IFNA(VLOOKUP(L1415,'🙎‍♂️ Pasien'!G:L,3,FALSE),"")</f>
        <v>34</v>
      </c>
      <c r="O1415" s="104" t="str">
        <f>IFNA(VLOOKUP(L1415,'🙎‍♂️ Pasien'!G:V,6,FALSE),"")</f>
        <v>PEREMPUAN</v>
      </c>
      <c r="P1415" s="104" t="str">
        <f>IFNA(VLOOKUP(L1415,'🙎‍♂️ Pasien'!G:V,12,FALSE),"")</f>
        <v>ISLAM</v>
      </c>
      <c r="Q1415" s="104" t="str">
        <f>IFNA(VLOOKUP(L1415:L1508,'🙎‍♂️ Pasien'!G:V,13,FALSE),"")</f>
        <v>SWASTA</v>
      </c>
      <c r="R1415" s="104" t="str">
        <f t="array" ref="R1415">ifna(xlookup(L1415,'🙎‍♂️ Pasien'!$G$5:$G1508,'🙎‍♂️ Pasien'!$T$5:$T1508),"")</f>
        <v>BELLS PALSY</v>
      </c>
      <c r="S1415" s="104" t="str">
        <f t="array" ref="S1415">ifna(xlookup(L1415,'🙎‍♂️ Pasien'!$G$5:$G1508,'🙎‍♂️ Pasien'!$U$5:$U1508),"")</f>
        <v>BIASA SAJA</v>
      </c>
      <c r="T1415" s="97" t="s">
        <v>59</v>
      </c>
      <c r="U1415" s="105" t="s">
        <v>60</v>
      </c>
      <c r="V1415" s="101"/>
      <c r="W1415" s="106" t="b">
        <v>1</v>
      </c>
      <c r="X1415" s="107"/>
      <c r="Y1415" s="108"/>
    </row>
    <row r="1416" ht="22.5" customHeight="1">
      <c r="A1416" s="96"/>
      <c r="B1416" s="97" t="s">
        <v>85</v>
      </c>
      <c r="C1416" s="98" t="str">
        <f t="array" ref="C1416">IFNA(XLOOKUP(J1416,'⚙️ Pengaturan'!$H$5:$H1508,'⚙️ Pengaturan'!$I$5:$I1508),"")</f>
        <v>TIM Y</v>
      </c>
      <c r="D1416" s="97" t="s">
        <v>86</v>
      </c>
      <c r="E1416" s="99">
        <v>46014.0</v>
      </c>
      <c r="F1416" s="100" t="str">
        <f t="shared" si="1"/>
        <v>2025</v>
      </c>
      <c r="G1416" s="100" t="str">
        <f t="shared" si="2"/>
        <v>12Des</v>
      </c>
      <c r="H1416" s="100" t="str">
        <f t="shared" si="3"/>
        <v>Selasa</v>
      </c>
      <c r="I1416" s="97" t="s">
        <v>99</v>
      </c>
      <c r="J1416" s="97" t="s">
        <v>88</v>
      </c>
      <c r="K1416" s="97" t="s">
        <v>63</v>
      </c>
      <c r="L1416" s="101" t="s">
        <v>727</v>
      </c>
      <c r="M1416" s="102" t="str">
        <f>IFNA(VLOOKUP(L1416,'🙎‍♂️ Pasien'!G:V,2,FALSE),"")</f>
        <v>R0225129200</v>
      </c>
      <c r="N1416" s="103">
        <f>IFNA(VLOOKUP(L1416,'🙎‍♂️ Pasien'!G:L,3,FALSE),"")</f>
        <v>24</v>
      </c>
      <c r="O1416" s="104" t="str">
        <f>IFNA(VLOOKUP(L1416,'🙎‍♂️ Pasien'!G:V,6,FALSE),"")</f>
        <v>LAKI-LAKI</v>
      </c>
      <c r="P1416" s="104" t="str">
        <f>IFNA(VLOOKUP(L1416,'🙎‍♂️ Pasien'!G:V,12,FALSE),"")</f>
        <v>ISLAM</v>
      </c>
      <c r="Q1416" s="104" t="str">
        <f>IFNA(VLOOKUP(L1416:L1508,'🙎‍♂️ Pasien'!G:V,13,FALSE),"")</f>
        <v>BELUM ADA</v>
      </c>
      <c r="R1416" s="104" t="str">
        <f t="array" ref="R1416">ifna(xlookup(L1416,'🙎‍♂️ Pasien'!$G$5:$G1508,'🙎‍♂️ Pasien'!$T$5:$T1508),"")</f>
        <v>.BAHU TIDAK SIMETRIS</v>
      </c>
      <c r="S1416" s="104" t="str">
        <f t="array" ref="S1416">ifna(xlookup(L1416,'🙎‍♂️ Pasien'!$G$5:$G1508,'🙎‍♂️ Pasien'!$U$5:$U1508),"")</f>
        <v>LARI</v>
      </c>
      <c r="T1416" s="97" t="s">
        <v>59</v>
      </c>
      <c r="U1416" s="105">
        <v>4.0</v>
      </c>
      <c r="V1416" s="101"/>
      <c r="W1416" s="106" t="b">
        <v>1</v>
      </c>
      <c r="X1416" s="107"/>
      <c r="Y1416" s="108"/>
    </row>
    <row r="1417" ht="22.5" customHeight="1">
      <c r="A1417" s="96"/>
      <c r="B1417" s="97" t="s">
        <v>53</v>
      </c>
      <c r="C1417" s="98" t="str">
        <f t="array" ref="C1417">IFNA(XLOOKUP(J1417,'⚙️ Pengaturan'!$H$5:$H1508,'⚙️ Pengaturan'!$I$5:$I1508),"")</f>
        <v>TIM Y</v>
      </c>
      <c r="D1417" s="97" t="s">
        <v>54</v>
      </c>
      <c r="E1417" s="99">
        <v>46015.0</v>
      </c>
      <c r="F1417" s="100" t="str">
        <f t="shared" si="1"/>
        <v>2025</v>
      </c>
      <c r="G1417" s="100" t="str">
        <f t="shared" si="2"/>
        <v>12Des</v>
      </c>
      <c r="H1417" s="100" t="str">
        <f t="shared" si="3"/>
        <v>Rabu</v>
      </c>
      <c r="I1417" s="97" t="s">
        <v>55</v>
      </c>
      <c r="J1417" s="97" t="s">
        <v>91</v>
      </c>
      <c r="K1417" s="97" t="s">
        <v>63</v>
      </c>
      <c r="L1417" s="101" t="s">
        <v>532</v>
      </c>
      <c r="M1417" s="102" t="str">
        <f>IFNA(VLOOKUP(L1417,'🙎‍♂️ Pasien'!G:V,2,FALSE),"")</f>
        <v>H1025113976</v>
      </c>
      <c r="N1417" s="103">
        <f>IFNA(VLOOKUP(L1417,'🙎‍♂️ Pasien'!G:L,3,FALSE),"")</f>
        <v>15</v>
      </c>
      <c r="O1417" s="104" t="str">
        <f>IFNA(VLOOKUP(L1417,'🙎‍♂️ Pasien'!G:V,6,FALSE),"")</f>
        <v>PEREMPUAN</v>
      </c>
      <c r="P1417" s="104" t="str">
        <f>IFNA(VLOOKUP(L1417,'🙎‍♂️ Pasien'!G:V,12,FALSE),"")</f>
        <v>ISLAM</v>
      </c>
      <c r="Q1417" s="104" t="str">
        <f>IFNA(VLOOKUP(L1417:L1508,'🙎‍♂️ Pasien'!G:V,13,FALSE),"")</f>
        <v>PELAJAR</v>
      </c>
      <c r="R1417" s="104" t="str">
        <f t="array" ref="R1417">ifna(xlookup(L1417,'🙎‍♂️ Pasien'!$G$5:$G1508,'🙎‍♂️ Pasien'!$T$5:$T1508),"")</f>
        <v>PERGELANGAN KAKI DAN LUTUS NYERI, KETIKA BANGUN TIDUR SAMPAI PINCANG</v>
      </c>
      <c r="S1417" s="104" t="str">
        <f t="array" ref="S1417">ifna(xlookup(L1417,'🙎‍♂️ Pasien'!$G$5:$G1508,'🙎‍♂️ Pasien'!$U$5:$U1508),"")</f>
        <v>SEKOLAH NAIK TURUN TANGGA</v>
      </c>
      <c r="T1417" s="97" t="s">
        <v>59</v>
      </c>
      <c r="U1417" s="105">
        <v>9.0</v>
      </c>
      <c r="V1417" s="101"/>
      <c r="W1417" s="106" t="b">
        <v>1</v>
      </c>
      <c r="X1417" s="107"/>
      <c r="Y1417" s="108"/>
    </row>
    <row r="1418" ht="22.5" customHeight="1">
      <c r="A1418" s="96"/>
      <c r="B1418" s="97" t="s">
        <v>53</v>
      </c>
      <c r="C1418" s="98" t="str">
        <f t="array" ref="C1418">IFNA(XLOOKUP(J1418,'⚙️ Pengaturan'!$H$5:$H1508,'⚙️ Pengaturan'!$I$5:$I1508),"")</f>
        <v>TIM Y</v>
      </c>
      <c r="D1418" s="97" t="s">
        <v>54</v>
      </c>
      <c r="E1418" s="99">
        <v>46015.0</v>
      </c>
      <c r="F1418" s="100" t="str">
        <f t="shared" si="1"/>
        <v>2025</v>
      </c>
      <c r="G1418" s="100" t="str">
        <f t="shared" si="2"/>
        <v>12Des</v>
      </c>
      <c r="H1418" s="100" t="str">
        <f t="shared" si="3"/>
        <v>Rabu</v>
      </c>
      <c r="I1418" s="97" t="s">
        <v>55</v>
      </c>
      <c r="J1418" s="97" t="s">
        <v>56</v>
      </c>
      <c r="K1418" s="97" t="s">
        <v>63</v>
      </c>
      <c r="L1418" s="101" t="s">
        <v>627</v>
      </c>
      <c r="M1418" s="102" t="str">
        <f>IFNA(VLOOKUP(L1418,'🙎‍♂️ Pasien'!G:V,2,FALSE),"")</f>
        <v>W8825126959</v>
      </c>
      <c r="N1418" s="103">
        <f>IFNA(VLOOKUP(L1418,'🙎‍♂️ Pasien'!G:L,3,FALSE),"")</f>
        <v>37</v>
      </c>
      <c r="O1418" s="104" t="str">
        <f>IFNA(VLOOKUP(L1418,'🙎‍♂️ Pasien'!G:V,6,FALSE),"")</f>
        <v>LAKI-LAKI</v>
      </c>
      <c r="P1418" s="104" t="str">
        <f>IFNA(VLOOKUP(L1418,'🙎‍♂️ Pasien'!G:V,12,FALSE),"")</f>
        <v>ISLAM</v>
      </c>
      <c r="Q1418" s="104" t="str">
        <f>IFNA(VLOOKUP(L1418:L1508,'🙎‍♂️ Pasien'!G:V,13,FALSE),"")</f>
        <v>WIRASWASTA</v>
      </c>
      <c r="R1418" s="104" t="str">
        <f t="array" ref="R1418">ifna(xlookup(L1418,'🙎‍♂️ Pasien'!$G$5:$G1508,'🙎‍♂️ Pasien'!$T$5:$T1508),"")</f>
        <v>PINGGANG</v>
      </c>
      <c r="S1418" s="104" t="str">
        <f t="array" ref="S1418">ifna(xlookup(L1418,'🙎‍♂️ Pasien'!$G$5:$G1508,'🙎‍♂️ Pasien'!$U$5:$U1508),"")</f>
        <v>-</v>
      </c>
      <c r="T1418" s="97" t="s">
        <v>67</v>
      </c>
      <c r="U1418" s="105">
        <v>10.0</v>
      </c>
      <c r="V1418" s="101" t="s">
        <v>772</v>
      </c>
      <c r="W1418" s="106" t="b">
        <v>1</v>
      </c>
      <c r="X1418" s="107"/>
      <c r="Y1418" s="108"/>
    </row>
    <row r="1419" ht="22.5" customHeight="1">
      <c r="A1419" s="96"/>
      <c r="B1419" s="97" t="s">
        <v>53</v>
      </c>
      <c r="C1419" s="98" t="str">
        <f t="array" ref="C1419">IFNA(XLOOKUP(J1419,'⚙️ Pengaturan'!$H$5:$H1508,'⚙️ Pengaturan'!$I$5:$I1508),"")</f>
        <v>TIM A</v>
      </c>
      <c r="D1419" s="97" t="s">
        <v>54</v>
      </c>
      <c r="E1419" s="99">
        <v>46015.0</v>
      </c>
      <c r="F1419" s="100" t="str">
        <f t="shared" si="1"/>
        <v>2025</v>
      </c>
      <c r="G1419" s="100" t="str">
        <f t="shared" si="2"/>
        <v>12Des</v>
      </c>
      <c r="H1419" s="100" t="str">
        <f t="shared" si="3"/>
        <v>Rabu</v>
      </c>
      <c r="I1419" s="97" t="s">
        <v>65</v>
      </c>
      <c r="J1419" s="97" t="s">
        <v>72</v>
      </c>
      <c r="K1419" s="97" t="s">
        <v>63</v>
      </c>
      <c r="L1419" s="101" t="s">
        <v>474</v>
      </c>
      <c r="M1419" s="102" t="str">
        <f>IFNA(VLOOKUP(L1419,'🙎‍♂️ Pasien'!G:V,2,FALSE),"")</f>
        <v>M5325110126</v>
      </c>
      <c r="N1419" s="103">
        <f>IFNA(VLOOKUP(L1419,'🙎‍♂️ Pasien'!G:L,3,FALSE),"")</f>
        <v>73</v>
      </c>
      <c r="O1419" s="104" t="str">
        <f>IFNA(VLOOKUP(L1419,'🙎‍♂️ Pasien'!G:V,6,FALSE),"")</f>
        <v>PEREMPUAN</v>
      </c>
      <c r="P1419" s="104" t="str">
        <f>IFNA(VLOOKUP(L1419,'🙎‍♂️ Pasien'!G:V,12,FALSE),"")</f>
        <v>KATOLIK</v>
      </c>
      <c r="Q1419" s="104" t="str">
        <f>IFNA(VLOOKUP(L1419:L1508,'🙎‍♂️ Pasien'!G:V,13,FALSE),"")</f>
        <v>IBU RUMAH TANGGA</v>
      </c>
      <c r="R1419" s="104" t="str">
        <f t="array" ref="R1419">ifna(xlookup(L1419,'🙎‍♂️ Pasien'!$G$5:$G1508,'🙎‍♂️ Pasien'!$T$5:$T1508),"")</f>
        <v>SAKIT &amp; SUSAH GERAK PAKA LUTUT</v>
      </c>
      <c r="S1419" s="104" t="str">
        <f t="array" ref="S1419">ifna(xlookup(L1419,'🙎‍♂️ Pasien'!$G$5:$G1508,'🙎‍♂️ Pasien'!$U$5:$U1508),"")</f>
        <v>AKTIVITAS RUMAH TANGGA</v>
      </c>
      <c r="T1419" s="97" t="s">
        <v>59</v>
      </c>
      <c r="U1419" s="105">
        <v>5.0</v>
      </c>
      <c r="V1419" s="101" t="s">
        <v>125</v>
      </c>
      <c r="W1419" s="106" t="b">
        <v>1</v>
      </c>
      <c r="X1419" s="107"/>
      <c r="Y1419" s="108"/>
    </row>
    <row r="1420" ht="22.5" customHeight="1">
      <c r="A1420" s="96"/>
      <c r="B1420" s="97" t="s">
        <v>53</v>
      </c>
      <c r="C1420" s="98" t="str">
        <f t="array" ref="C1420">IFNA(XLOOKUP(J1420,'⚙️ Pengaturan'!$H$5:$H1508,'⚙️ Pengaturan'!$I$5:$I1508),"")</f>
        <v>TIM Y</v>
      </c>
      <c r="D1420" s="97" t="s">
        <v>54</v>
      </c>
      <c r="E1420" s="99">
        <v>46015.0</v>
      </c>
      <c r="F1420" s="100" t="str">
        <f t="shared" si="1"/>
        <v>2025</v>
      </c>
      <c r="G1420" s="100" t="str">
        <f t="shared" si="2"/>
        <v>12Des</v>
      </c>
      <c r="H1420" s="100" t="str">
        <f t="shared" si="3"/>
        <v>Rabu</v>
      </c>
      <c r="I1420" s="97" t="s">
        <v>74</v>
      </c>
      <c r="J1420" s="97" t="s">
        <v>56</v>
      </c>
      <c r="K1420" s="97" t="s">
        <v>63</v>
      </c>
      <c r="L1420" s="101" t="s">
        <v>744</v>
      </c>
      <c r="M1420" s="102" t="str">
        <f>IFNA(VLOOKUP(L1420,'🙎‍♂️ Pasien'!G:V,2,FALSE),"")</f>
        <v>D9525039860</v>
      </c>
      <c r="N1420" s="103">
        <f>IFNA(VLOOKUP(L1420,'🙎‍♂️ Pasien'!G:L,3,FALSE),"")</f>
        <v>31</v>
      </c>
      <c r="O1420" s="104" t="str">
        <f>IFNA(VLOOKUP(L1420,'🙎‍♂️ Pasien'!G:V,6,FALSE),"")</f>
        <v>LAKI-LAKI</v>
      </c>
      <c r="P1420" s="104" t="str">
        <f>IFNA(VLOOKUP(L1420,'🙎‍♂️ Pasien'!G:V,12,FALSE),"")</f>
        <v>ISLAM</v>
      </c>
      <c r="Q1420" s="104" t="str">
        <f>IFNA(VLOOKUP(L1420:L1508,'🙎‍♂️ Pasien'!G:V,13,FALSE),"")</f>
        <v>SWASTA</v>
      </c>
      <c r="R1420" s="104" t="str">
        <f t="array" ref="R1420">ifna(xlookup(L1420,'🙎‍♂️ Pasien'!$G$5:$G1508,'🙎‍♂️ Pasien'!$T$5:$T1508),"")</f>
        <v>SAKIT DI PUNGGUNG KE BAWAH</v>
      </c>
      <c r="S1420" s="104" t="str">
        <f t="array" ref="S1420">ifna(xlookup(L1420,'🙎‍♂️ Pasien'!$G$5:$G1508,'🙎‍♂️ Pasien'!$U$5:$U1508),"")</f>
        <v>OLAHRAGA</v>
      </c>
      <c r="T1420" s="97" t="s">
        <v>67</v>
      </c>
      <c r="U1420" s="105">
        <v>3.0</v>
      </c>
      <c r="V1420" s="101" t="s">
        <v>679</v>
      </c>
      <c r="W1420" s="106" t="b">
        <v>1</v>
      </c>
      <c r="X1420" s="107"/>
      <c r="Y1420" s="108"/>
    </row>
    <row r="1421" ht="22.5" customHeight="1">
      <c r="A1421" s="96"/>
      <c r="B1421" s="97" t="s">
        <v>53</v>
      </c>
      <c r="C1421" s="98" t="str">
        <f t="array" ref="C1421">IFNA(XLOOKUP(J1421,'⚙️ Pengaturan'!$H$5:$H1508,'⚙️ Pengaturan'!$I$5:$I1508),"")</f>
        <v>TIM A</v>
      </c>
      <c r="D1421" s="97" t="s">
        <v>54</v>
      </c>
      <c r="E1421" s="99">
        <v>46015.0</v>
      </c>
      <c r="F1421" s="100" t="str">
        <f t="shared" si="1"/>
        <v>2025</v>
      </c>
      <c r="G1421" s="100" t="str">
        <f t="shared" si="2"/>
        <v>12Des</v>
      </c>
      <c r="H1421" s="100" t="str">
        <f t="shared" si="3"/>
        <v>Rabu</v>
      </c>
      <c r="I1421" s="97" t="s">
        <v>74</v>
      </c>
      <c r="J1421" s="97" t="s">
        <v>72</v>
      </c>
      <c r="K1421" s="97" t="s">
        <v>69</v>
      </c>
      <c r="L1421" s="101" t="s">
        <v>753</v>
      </c>
      <c r="M1421" s="102" t="str">
        <f>IFNA(VLOOKUP(L1421,'🙎‍♂️ Pasien'!G:V,2,FALSE),"")</f>
        <v>S0025121122</v>
      </c>
      <c r="N1421" s="103">
        <f>IFNA(VLOOKUP(L1421,'🙎‍♂️ Pasien'!G:L,3,FALSE),"")</f>
        <v>25</v>
      </c>
      <c r="O1421" s="104" t="str">
        <f>IFNA(VLOOKUP(L1421,'🙎‍♂️ Pasien'!G:V,6,FALSE),"")</f>
        <v>LAKI-LAKI</v>
      </c>
      <c r="P1421" s="104" t="str">
        <f>IFNA(VLOOKUP(L1421,'🙎‍♂️ Pasien'!G:V,12,FALSE),"")</f>
        <v>KATOLIK</v>
      </c>
      <c r="Q1421" s="104" t="str">
        <f>IFNA(VLOOKUP(L1421:L1508,'🙎‍♂️ Pasien'!G:V,13,FALSE),"")</f>
        <v>PEMBISNIS</v>
      </c>
      <c r="R1421" s="104" t="str">
        <f t="array" ref="R1421">ifna(xlookup(L1421,'🙎‍♂️ Pasien'!$G$5:$G1508,'🙎‍♂️ Pasien'!$T$5:$T1508),"")</f>
        <v>ENGSEL MATA KAKI BENGKAK</v>
      </c>
      <c r="S1421" s="104" t="str">
        <f t="array" ref="S1421">ifna(xlookup(L1421,'🙎‍♂️ Pasien'!$G$5:$G1508,'🙎‍♂️ Pasien'!$U$5:$U1508),"")</f>
        <v>MAIN BOLA</v>
      </c>
      <c r="T1421" s="97" t="s">
        <v>59</v>
      </c>
      <c r="U1421" s="105" t="s">
        <v>60</v>
      </c>
      <c r="V1421" s="101"/>
      <c r="W1421" s="106" t="b">
        <v>1</v>
      </c>
      <c r="X1421" s="107"/>
      <c r="Y1421" s="108"/>
    </row>
    <row r="1422" ht="22.5" customHeight="1">
      <c r="A1422" s="96"/>
      <c r="B1422" s="97" t="s">
        <v>53</v>
      </c>
      <c r="C1422" s="98" t="str">
        <f t="array" ref="C1422">IFNA(XLOOKUP(J1422,'⚙️ Pengaturan'!$H$5:$H1508,'⚙️ Pengaturan'!$I$5:$I1508),"")</f>
        <v>TIM A</v>
      </c>
      <c r="D1422" s="97" t="s">
        <v>54</v>
      </c>
      <c r="E1422" s="99">
        <v>46015.0</v>
      </c>
      <c r="F1422" s="100" t="str">
        <f t="shared" si="1"/>
        <v>2025</v>
      </c>
      <c r="G1422" s="100" t="str">
        <f t="shared" si="2"/>
        <v>12Des</v>
      </c>
      <c r="H1422" s="100" t="str">
        <f t="shared" si="3"/>
        <v>Rabu</v>
      </c>
      <c r="I1422" s="97" t="s">
        <v>76</v>
      </c>
      <c r="J1422" s="97" t="s">
        <v>72</v>
      </c>
      <c r="K1422" s="97" t="s">
        <v>63</v>
      </c>
      <c r="L1422" s="101" t="s">
        <v>381</v>
      </c>
      <c r="M1422" s="102" t="str">
        <f>IFNA(VLOOKUP(L1422,'🙎‍♂️ Pasien'!G:V,2,FALSE),"")</f>
        <v>A9925105509</v>
      </c>
      <c r="N1422" s="103">
        <f>IFNA(VLOOKUP(L1422,'🙎‍♂️ Pasien'!G:L,3,FALSE),"")</f>
        <v>27</v>
      </c>
      <c r="O1422" s="104" t="str">
        <f>IFNA(VLOOKUP(L1422,'🙎‍♂️ Pasien'!G:V,6,FALSE),"")</f>
        <v>PEREMPUAN</v>
      </c>
      <c r="P1422" s="104" t="str">
        <f>IFNA(VLOOKUP(L1422,'🙎‍♂️ Pasien'!G:V,12,FALSE),"")</f>
        <v>BUDDHA</v>
      </c>
      <c r="Q1422" s="104" t="str">
        <f>IFNA(VLOOKUP(L1422:L1508,'🙎‍♂️ Pasien'!G:V,13,FALSE),"")</f>
        <v>WIRASWASTA</v>
      </c>
      <c r="R1422" s="104" t="str">
        <f t="array" ref="R1422">ifna(xlookup(L1422,'🙎‍♂️ Pasien'!$G$5:$G1508,'🙎‍♂️ Pasien'!$T$5:$T1508),"")</f>
        <v>KAKI BEKAS ANKLE SPRAIN SUDAH DITRE DAN BAHU PEGAL</v>
      </c>
      <c r="S1422" s="104" t="str">
        <f t="array" ref="S1422">ifna(xlookup(L1422,'🙎‍♂️ Pasien'!$G$5:$G1508,'🙎‍♂️ Pasien'!$U$5:$U1508),"")</f>
        <v>2 MINGGU LALU JATUH DARI KETINGGIAN</v>
      </c>
      <c r="T1422" s="97" t="s">
        <v>59</v>
      </c>
      <c r="U1422" s="105">
        <v>3.0</v>
      </c>
      <c r="V1422" s="101" t="s">
        <v>633</v>
      </c>
      <c r="W1422" s="106" t="b">
        <v>1</v>
      </c>
      <c r="X1422" s="107"/>
      <c r="Y1422" s="108"/>
    </row>
    <row r="1423" ht="22.5" customHeight="1">
      <c r="A1423" s="96"/>
      <c r="B1423" s="97" t="s">
        <v>53</v>
      </c>
      <c r="C1423" s="98" t="str">
        <f t="array" ref="C1423">IFNA(XLOOKUP(J1423,'⚙️ Pengaturan'!$H$5:$H1508,'⚙️ Pengaturan'!$I$5:$I1508),"")</f>
        <v>TIM Y</v>
      </c>
      <c r="D1423" s="97" t="s">
        <v>54</v>
      </c>
      <c r="E1423" s="99">
        <v>46015.0</v>
      </c>
      <c r="F1423" s="100" t="str">
        <f t="shared" si="1"/>
        <v>2025</v>
      </c>
      <c r="G1423" s="100" t="str">
        <f t="shared" si="2"/>
        <v>12Des</v>
      </c>
      <c r="H1423" s="100" t="str">
        <f t="shared" si="3"/>
        <v>Rabu</v>
      </c>
      <c r="I1423" s="97" t="s">
        <v>76</v>
      </c>
      <c r="J1423" s="97" t="s">
        <v>91</v>
      </c>
      <c r="K1423" s="97" t="s">
        <v>57</v>
      </c>
      <c r="L1423" s="101" t="s">
        <v>773</v>
      </c>
      <c r="M1423" s="102" t="str">
        <f>IFNA(VLOOKUP(L1423,'🙎‍♂️ Pasien'!G:V,2,FALSE),"")</f>
        <v>P0825121639</v>
      </c>
      <c r="N1423" s="103">
        <f>IFNA(VLOOKUP(L1423,'🙎‍♂️ Pasien'!G:L,3,FALSE),"")</f>
        <v>18</v>
      </c>
      <c r="O1423" s="104" t="str">
        <f>IFNA(VLOOKUP(L1423,'🙎‍♂️ Pasien'!G:V,6,FALSE),"")</f>
        <v>LAKI-LAKI</v>
      </c>
      <c r="P1423" s="104" t="str">
        <f>IFNA(VLOOKUP(L1423,'🙎‍♂️ Pasien'!G:V,12,FALSE),"")</f>
        <v>BUDDHA</v>
      </c>
      <c r="Q1423" s="104" t="str">
        <f>IFNA(VLOOKUP(L1423:L1508,'🙎‍♂️ Pasien'!G:V,13,FALSE),"")</f>
        <v>PEDAGANG</v>
      </c>
      <c r="R1423" s="104" t="str">
        <f t="array" ref="R1423">ifna(xlookup(L1423,'🙎‍♂️ Pasien'!$G$5:$G1508,'🙎‍♂️ Pasien'!$T$5:$T1508),"")</f>
        <v>-</v>
      </c>
      <c r="S1423" s="104" t="str">
        <f t="array" ref="S1423">ifna(xlookup(L1423,'🙎‍♂️ Pasien'!$G$5:$G1508,'🙎‍♂️ Pasien'!$U$5:$U1508),"")</f>
        <v>BERDAGANG</v>
      </c>
      <c r="T1423" s="97" t="s">
        <v>59</v>
      </c>
      <c r="U1423" s="105" t="s">
        <v>60</v>
      </c>
      <c r="V1423" s="101" t="s">
        <v>774</v>
      </c>
      <c r="W1423" s="106" t="b">
        <v>1</v>
      </c>
      <c r="X1423" s="107"/>
      <c r="Y1423" s="108"/>
    </row>
    <row r="1424" ht="22.5" customHeight="1">
      <c r="A1424" s="96"/>
      <c r="B1424" s="97" t="s">
        <v>53</v>
      </c>
      <c r="C1424" s="98" t="str">
        <f t="array" ref="C1424">IFNA(XLOOKUP(J1424,'⚙️ Pengaturan'!$H$5:$H1508,'⚙️ Pengaturan'!$I$5:$I1508),"")</f>
        <v>MANAJEMEN</v>
      </c>
      <c r="D1424" s="97" t="s">
        <v>54</v>
      </c>
      <c r="E1424" s="99">
        <v>46015.0</v>
      </c>
      <c r="F1424" s="100" t="str">
        <f t="shared" si="1"/>
        <v>2025</v>
      </c>
      <c r="G1424" s="100" t="str">
        <f t="shared" si="2"/>
        <v>12Des</v>
      </c>
      <c r="H1424" s="100" t="str">
        <f t="shared" si="3"/>
        <v>Rabu</v>
      </c>
      <c r="I1424" s="97" t="s">
        <v>76</v>
      </c>
      <c r="J1424" s="97" t="s">
        <v>101</v>
      </c>
      <c r="K1424" s="97" t="s">
        <v>63</v>
      </c>
      <c r="L1424" s="101" t="s">
        <v>534</v>
      </c>
      <c r="M1424" s="102" t="str">
        <f>IFNA(VLOOKUP(L1424,'🙎‍♂️ Pasien'!G:V,2,FALSE),"")</f>
        <v>R6925118000</v>
      </c>
      <c r="N1424" s="103">
        <f>IFNA(VLOOKUP(L1424,'🙎‍♂️ Pasien'!G:L,3,FALSE),"")</f>
        <v>57</v>
      </c>
      <c r="O1424" s="104" t="str">
        <f>IFNA(VLOOKUP(L1424,'🙎‍♂️ Pasien'!G:V,6,FALSE),"")</f>
        <v>PEREMPUAN</v>
      </c>
      <c r="P1424" s="104" t="str">
        <f>IFNA(VLOOKUP(L1424,'🙎‍♂️ Pasien'!G:V,12,FALSE),"")</f>
        <v>KATOLIK</v>
      </c>
      <c r="Q1424" s="104" t="str">
        <f>IFNA(VLOOKUP(L1424:L1508,'🙎‍♂️ Pasien'!G:V,13,FALSE),"")</f>
        <v>RUMAH TANGGA</v>
      </c>
      <c r="R1424" s="104" t="str">
        <f t="array" ref="R1424">ifna(xlookup(L1424,'🙎‍♂️ Pasien'!$G$5:$G1508,'🙎‍♂️ Pasien'!$T$5:$T1508),"")</f>
        <v>KAKI SAKIT</v>
      </c>
      <c r="S1424" s="104" t="str">
        <f t="array" ref="S1424">ifna(xlookup(L1424,'🙎‍♂️ Pasien'!$G$5:$G1508,'🙎‍♂️ Pasien'!$U$5:$U1508),"")</f>
        <v>-</v>
      </c>
      <c r="T1424" s="97" t="s">
        <v>67</v>
      </c>
      <c r="U1424" s="105">
        <v>2.0</v>
      </c>
      <c r="V1424" s="101" t="s">
        <v>775</v>
      </c>
      <c r="W1424" s="106" t="b">
        <v>1</v>
      </c>
      <c r="X1424" s="107"/>
      <c r="Y1424" s="108"/>
    </row>
    <row r="1425" ht="22.5" customHeight="1">
      <c r="A1425" s="96"/>
      <c r="B1425" s="97" t="s">
        <v>53</v>
      </c>
      <c r="C1425" s="98" t="str">
        <f t="array" ref="C1425">IFNA(XLOOKUP(J1425,'⚙️ Pengaturan'!$H$5:$H1508,'⚙️ Pengaturan'!$I$5:$I1508),"")</f>
        <v>TIM Y</v>
      </c>
      <c r="D1425" s="97" t="s">
        <v>54</v>
      </c>
      <c r="E1425" s="99">
        <v>46015.0</v>
      </c>
      <c r="F1425" s="100" t="str">
        <f t="shared" si="1"/>
        <v>2025</v>
      </c>
      <c r="G1425" s="100" t="str">
        <f t="shared" si="2"/>
        <v>12Des</v>
      </c>
      <c r="H1425" s="100" t="str">
        <f t="shared" si="3"/>
        <v>Rabu</v>
      </c>
      <c r="I1425" s="97" t="s">
        <v>83</v>
      </c>
      <c r="J1425" s="97" t="s">
        <v>56</v>
      </c>
      <c r="K1425" s="97" t="s">
        <v>63</v>
      </c>
      <c r="L1425" s="101" t="s">
        <v>734</v>
      </c>
      <c r="M1425" s="102" t="str">
        <f>IFNA(VLOOKUP(L1425,'🙎‍♂️ Pasien'!G:V,2,FALSE),"")</f>
        <v>A0724125118</v>
      </c>
      <c r="N1425" s="103">
        <f>IFNA(VLOOKUP(L1425,'🙎‍♂️ Pasien'!G:L,3,FALSE),"")</f>
        <v>18</v>
      </c>
      <c r="O1425" s="104" t="str">
        <f>IFNA(VLOOKUP(L1425,'🙎‍♂️ Pasien'!G:V,6,FALSE),"")</f>
        <v>LAKI-LAKI</v>
      </c>
      <c r="P1425" s="104" t="str">
        <f>IFNA(VLOOKUP(L1425,'🙎‍♂️ Pasien'!G:V,12,FALSE),"")</f>
        <v>ISLAM</v>
      </c>
      <c r="Q1425" s="104" t="str">
        <f>IFNA(VLOOKUP(L1425:L1508,'🙎‍♂️ Pasien'!G:V,13,FALSE),"")</f>
        <v>PELAJAR/MAHASISWA</v>
      </c>
      <c r="R1425" s="104" t="str">
        <f t="array" ref="R1425">ifna(xlookup(L1425,'🙎‍♂️ Pasien'!$G$5:$G1508,'🙎‍♂️ Pasien'!$T$5:$T1508),"")</f>
        <v>cedera lutut oprasi</v>
      </c>
      <c r="S1425" s="104" t="str">
        <f t="array" ref="S1425">ifna(xlookup(L1425,'🙎‍♂️ Pasien'!$G$5:$G1508,'🙎‍♂️ Pasien'!$U$5:$U1508),"")</f>
        <v>futsal</v>
      </c>
      <c r="T1425" s="97" t="s">
        <v>59</v>
      </c>
      <c r="U1425" s="105">
        <v>4.0</v>
      </c>
      <c r="V1425" s="101"/>
      <c r="W1425" s="106" t="b">
        <v>1</v>
      </c>
      <c r="X1425" s="107"/>
      <c r="Y1425" s="108"/>
    </row>
    <row r="1426" ht="22.5" customHeight="1">
      <c r="A1426" s="96"/>
      <c r="B1426" s="97" t="s">
        <v>85</v>
      </c>
      <c r="C1426" s="98" t="str">
        <f t="array" ref="C1426">IFNA(XLOOKUP(J1426,'⚙️ Pengaturan'!$H$5:$H1508,'⚙️ Pengaturan'!$I$5:$I1508),"")</f>
        <v>TIM A</v>
      </c>
      <c r="D1426" s="97" t="s">
        <v>86</v>
      </c>
      <c r="E1426" s="99">
        <v>46015.0</v>
      </c>
      <c r="F1426" s="100" t="str">
        <f t="shared" si="1"/>
        <v>2025</v>
      </c>
      <c r="G1426" s="100" t="str">
        <f t="shared" si="2"/>
        <v>12Des</v>
      </c>
      <c r="H1426" s="100" t="str">
        <f t="shared" si="3"/>
        <v>Rabu</v>
      </c>
      <c r="I1426" s="97" t="s">
        <v>87</v>
      </c>
      <c r="J1426" s="97" t="s">
        <v>79</v>
      </c>
      <c r="K1426" s="97" t="s">
        <v>57</v>
      </c>
      <c r="L1426" s="101" t="s">
        <v>776</v>
      </c>
      <c r="M1426" s="102" t="str">
        <f>IFNA(VLOOKUP(L1426,'🙎‍♂️ Pasien'!G:V,2,FALSE),"")</f>
        <v>L5725128222</v>
      </c>
      <c r="N1426" s="103">
        <f>IFNA(VLOOKUP(L1426,'🙎‍♂️ Pasien'!G:L,3,FALSE),"")</f>
        <v>69</v>
      </c>
      <c r="O1426" s="104" t="str">
        <f>IFNA(VLOOKUP(L1426,'🙎‍♂️ Pasien'!G:V,6,FALSE),"")</f>
        <v>PEREMPUAN</v>
      </c>
      <c r="P1426" s="104" t="str">
        <f>IFNA(VLOOKUP(L1426,'🙎‍♂️ Pasien'!G:V,12,FALSE),"")</f>
        <v>BUDDHA</v>
      </c>
      <c r="Q1426" s="104" t="str">
        <f>IFNA(VLOOKUP(L1426:L1508,'🙎‍♂️ Pasien'!G:V,13,FALSE),"")</f>
        <v>IBU RUMAH TANGGA</v>
      </c>
      <c r="R1426" s="104" t="str">
        <f t="array" ref="R1426">ifna(xlookup(L1426,'🙎‍♂️ Pasien'!$G$5:$G1508,'🙎‍♂️ Pasien'!$T$5:$T1508),"")</f>
        <v>BETIS SAKIT</v>
      </c>
      <c r="S1426" s="104" t="str">
        <f t="array" ref="S1426">ifna(xlookup(L1426,'🙎‍♂️ Pasien'!$G$5:$G1508,'🙎‍♂️ Pasien'!$U$5:$U1508),"")</f>
        <v>TIDAK ADA</v>
      </c>
      <c r="T1426" s="97" t="s">
        <v>59</v>
      </c>
      <c r="U1426" s="105" t="s">
        <v>60</v>
      </c>
      <c r="V1426" s="101"/>
      <c r="W1426" s="106" t="b">
        <v>1</v>
      </c>
      <c r="X1426" s="107"/>
      <c r="Y1426" s="108"/>
    </row>
    <row r="1427" ht="22.5" customHeight="1">
      <c r="A1427" s="96"/>
      <c r="B1427" s="97" t="s">
        <v>85</v>
      </c>
      <c r="C1427" s="98" t="str">
        <f t="array" ref="C1427">IFNA(XLOOKUP(J1427,'⚙️ Pengaturan'!$H$5:$H1508,'⚙️ Pengaturan'!$I$5:$I1508),"")</f>
        <v>TIM Y</v>
      </c>
      <c r="D1427" s="97" t="s">
        <v>86</v>
      </c>
      <c r="E1427" s="99">
        <v>46015.0</v>
      </c>
      <c r="F1427" s="100" t="str">
        <f t="shared" si="1"/>
        <v>2025</v>
      </c>
      <c r="G1427" s="100" t="str">
        <f t="shared" si="2"/>
        <v>12Des</v>
      </c>
      <c r="H1427" s="100" t="str">
        <f t="shared" si="3"/>
        <v>Rabu</v>
      </c>
      <c r="I1427" s="97" t="s">
        <v>87</v>
      </c>
      <c r="J1427" s="97" t="s">
        <v>509</v>
      </c>
      <c r="K1427" s="97" t="s">
        <v>63</v>
      </c>
      <c r="L1427" s="101" t="s">
        <v>692</v>
      </c>
      <c r="M1427" s="102" t="str">
        <f>IFNA(VLOOKUP(L1427,'🙎‍♂️ Pasien'!G:V,2,FALSE),"")</f>
        <v>R9024087560</v>
      </c>
      <c r="N1427" s="103">
        <f>IFNA(VLOOKUP(L1427,'🙎‍♂️ Pasien'!G:L,3,FALSE),"")</f>
        <v>35</v>
      </c>
      <c r="O1427" s="104" t="str">
        <f>IFNA(VLOOKUP(L1427,'🙎‍♂️ Pasien'!G:V,6,FALSE),"")</f>
        <v>PEREMPUAN</v>
      </c>
      <c r="P1427" s="104" t="str">
        <f>IFNA(VLOOKUP(L1427,'🙎‍♂️ Pasien'!G:V,12,FALSE),"")</f>
        <v>KATOLIK</v>
      </c>
      <c r="Q1427" s="104" t="str">
        <f>IFNA(VLOOKUP(L1427:L1508,'🙎‍♂️ Pasien'!G:V,13,FALSE),"")</f>
        <v>SWASTA</v>
      </c>
      <c r="R1427" s="104" t="str">
        <f t="array" ref="R1427">ifna(xlookup(L1427,'🙎‍♂️ Pasien'!$G$5:$G1508,'🙎‍♂️ Pasien'!$T$5:$T1508),"")</f>
        <v>Syaraf kejepit di L4 dan L5</v>
      </c>
      <c r="S1427" s="104" t="str">
        <f t="array" ref="S1427">ifna(xlookup(L1427,'🙎‍♂️ Pasien'!$G$5:$G1508,'🙎‍♂️ Pasien'!$U$5:$U1508),"")</f>
        <v>Nonton</v>
      </c>
      <c r="T1427" s="97" t="s">
        <v>59</v>
      </c>
      <c r="U1427" s="105">
        <v>6.0</v>
      </c>
      <c r="V1427" s="101"/>
      <c r="W1427" s="106" t="b">
        <v>1</v>
      </c>
      <c r="X1427" s="107"/>
      <c r="Y1427" s="108"/>
    </row>
    <row r="1428" ht="22.5" customHeight="1">
      <c r="A1428" s="96"/>
      <c r="B1428" s="97" t="s">
        <v>85</v>
      </c>
      <c r="C1428" s="98" t="str">
        <f t="array" ref="C1428">IFNA(XLOOKUP(J1428,'⚙️ Pengaturan'!$H$5:$H1508,'⚙️ Pengaturan'!$I$5:$I1508),"")</f>
        <v>MANAJEMEN</v>
      </c>
      <c r="D1428" s="97" t="s">
        <v>86</v>
      </c>
      <c r="E1428" s="99">
        <v>46015.0</v>
      </c>
      <c r="F1428" s="100" t="str">
        <f t="shared" si="1"/>
        <v>2025</v>
      </c>
      <c r="G1428" s="100" t="str">
        <f t="shared" si="2"/>
        <v>12Des</v>
      </c>
      <c r="H1428" s="100" t="str">
        <f t="shared" si="3"/>
        <v>Rabu</v>
      </c>
      <c r="I1428" s="97" t="s">
        <v>87</v>
      </c>
      <c r="J1428" s="97" t="s">
        <v>101</v>
      </c>
      <c r="K1428" s="97" t="s">
        <v>63</v>
      </c>
      <c r="L1428" s="101" t="s">
        <v>454</v>
      </c>
      <c r="M1428" s="102" t="str">
        <f>IFNA(VLOOKUP(L1428,'🙎‍♂️ Pasien'!G:V,2,FALSE),"")</f>
        <v>R5625107738</v>
      </c>
      <c r="N1428" s="103">
        <f>IFNA(VLOOKUP(L1428,'🙎‍♂️ Pasien'!G:L,3,FALSE),"")</f>
        <v>70</v>
      </c>
      <c r="O1428" s="104" t="str">
        <f>IFNA(VLOOKUP(L1428,'🙎‍♂️ Pasien'!G:V,6,FALSE),"")</f>
        <v>PEREMPUAN</v>
      </c>
      <c r="P1428" s="104" t="str">
        <f>IFNA(VLOOKUP(L1428,'🙎‍♂️ Pasien'!G:V,12,FALSE),"")</f>
        <v>KATOLIK</v>
      </c>
      <c r="Q1428" s="104" t="str">
        <f>IFNA(VLOOKUP(L1428:L1508,'🙎‍♂️ Pasien'!G:V,13,FALSE),"")</f>
        <v>IBU RUMAH TANGGA</v>
      </c>
      <c r="R1428" s="104" t="str">
        <f t="array" ref="R1428">ifna(xlookup(L1428,'🙎‍♂️ Pasien'!$G$5:$G1508,'🙎‍♂️ Pasien'!$T$5:$T1508),"")</f>
        <v>SAKIT DI BAHU</v>
      </c>
      <c r="S1428" s="104" t="str">
        <f t="array" ref="S1428">ifna(xlookup(L1428,'🙎‍♂️ Pasien'!$G$5:$G1508,'🙎‍♂️ Pasien'!$U$5:$U1508),"")</f>
        <v>PEKERJAAN KANTOR, MENANAM TANAMAN</v>
      </c>
      <c r="T1428" s="97" t="s">
        <v>67</v>
      </c>
      <c r="U1428" s="105">
        <v>3.0</v>
      </c>
      <c r="V1428" s="101" t="s">
        <v>777</v>
      </c>
      <c r="W1428" s="106" t="b">
        <v>1</v>
      </c>
      <c r="X1428" s="107"/>
      <c r="Y1428" s="108"/>
    </row>
    <row r="1429" ht="22.5" customHeight="1">
      <c r="A1429" s="96"/>
      <c r="B1429" s="97" t="s">
        <v>85</v>
      </c>
      <c r="C1429" s="98" t="str">
        <f t="array" ref="C1429">IFNA(XLOOKUP(J1429,'⚙️ Pengaturan'!$H$5:$H1508,'⚙️ Pengaturan'!$I$5:$I1508),"")</f>
        <v>TIM A</v>
      </c>
      <c r="D1429" s="97" t="s">
        <v>86</v>
      </c>
      <c r="E1429" s="99">
        <v>46015.0</v>
      </c>
      <c r="F1429" s="100" t="str">
        <f t="shared" si="1"/>
        <v>2025</v>
      </c>
      <c r="G1429" s="100" t="str">
        <f t="shared" si="2"/>
        <v>12Des</v>
      </c>
      <c r="H1429" s="100" t="str">
        <f t="shared" si="3"/>
        <v>Rabu</v>
      </c>
      <c r="I1429" s="97" t="s">
        <v>93</v>
      </c>
      <c r="J1429" s="97" t="s">
        <v>79</v>
      </c>
      <c r="K1429" s="97" t="s">
        <v>69</v>
      </c>
      <c r="L1429" s="101" t="s">
        <v>182</v>
      </c>
      <c r="M1429" s="102" t="str">
        <f>IFNA(VLOOKUP(L1429,'🙎‍♂️ Pasien'!G:V,2,FALSE),"")</f>
        <v>J8823019998</v>
      </c>
      <c r="N1429" s="103">
        <f>IFNA(VLOOKUP(L1429,'🙎‍♂️ Pasien'!G:L,3,FALSE),"")</f>
        <v>38</v>
      </c>
      <c r="O1429" s="104" t="str">
        <f>IFNA(VLOOKUP(L1429,'🙎‍♂️ Pasien'!G:V,6,FALSE),"")</f>
        <v>LAKI-LAKI</v>
      </c>
      <c r="P1429" s="104" t="str">
        <f>IFNA(VLOOKUP(L1429,'🙎‍♂️ Pasien'!G:V,12,FALSE),"")</f>
        <v>BUDDHA</v>
      </c>
      <c r="Q1429" s="104" t="str">
        <f>IFNA(VLOOKUP(L1429:L1508,'🙎‍♂️ Pasien'!G:V,13,FALSE),"")</f>
        <v>WIRASWASTA</v>
      </c>
      <c r="R1429" s="104" t="str">
        <f t="array" ref="R1429">ifna(xlookup(L1429,'🙎‍♂️ Pasien'!$G$5:$G1508,'🙎‍♂️ Pasien'!$T$5:$T1508),"")</f>
        <v>STROKE</v>
      </c>
      <c r="S1429" s="104" t="str">
        <f t="array" ref="S1429">ifna(xlookup(L1429,'🙎‍♂️ Pasien'!$G$5:$G1508,'🙎‍♂️ Pasien'!$U$5:$U1508),"")</f>
        <v>-</v>
      </c>
      <c r="T1429" s="97" t="s">
        <v>59</v>
      </c>
      <c r="U1429" s="105" t="s">
        <v>60</v>
      </c>
      <c r="V1429" s="101"/>
      <c r="W1429" s="106" t="b">
        <v>1</v>
      </c>
      <c r="X1429" s="107"/>
      <c r="Y1429" s="108"/>
    </row>
    <row r="1430" ht="22.5" customHeight="1">
      <c r="A1430" s="96"/>
      <c r="B1430" s="97" t="s">
        <v>85</v>
      </c>
      <c r="C1430" s="98" t="str">
        <f t="array" ref="C1430">IFNA(XLOOKUP(J1430,'⚙️ Pengaturan'!$H$5:$H1508,'⚙️ Pengaturan'!$I$5:$I1508),"")</f>
        <v>TIM Y</v>
      </c>
      <c r="D1430" s="97" t="s">
        <v>86</v>
      </c>
      <c r="E1430" s="99">
        <v>46015.0</v>
      </c>
      <c r="F1430" s="100" t="str">
        <f t="shared" si="1"/>
        <v>2025</v>
      </c>
      <c r="G1430" s="100" t="str">
        <f t="shared" si="2"/>
        <v>12Des</v>
      </c>
      <c r="H1430" s="100" t="str">
        <f t="shared" si="3"/>
        <v>Rabu</v>
      </c>
      <c r="I1430" s="97" t="s">
        <v>93</v>
      </c>
      <c r="J1430" s="97" t="s">
        <v>88</v>
      </c>
      <c r="K1430" s="97" t="s">
        <v>57</v>
      </c>
      <c r="L1430" s="101" t="s">
        <v>778</v>
      </c>
      <c r="M1430" s="102" t="str">
        <f>IFNA(VLOOKUP(L1430,'🙎‍♂️ Pasien'!G:V,2,FALSE),"")</f>
        <v>R9525121510</v>
      </c>
      <c r="N1430" s="103">
        <f>IFNA(VLOOKUP(L1430,'🙎‍♂️ Pasien'!G:L,3,FALSE),"")</f>
        <v>30</v>
      </c>
      <c r="O1430" s="104" t="str">
        <f>IFNA(VLOOKUP(L1430,'🙎‍♂️ Pasien'!G:V,6,FALSE),"")</f>
        <v>LAKI-LAKI</v>
      </c>
      <c r="P1430" s="104" t="str">
        <f>IFNA(VLOOKUP(L1430,'🙎‍♂️ Pasien'!G:V,12,FALSE),"")</f>
        <v>PROTESTAN</v>
      </c>
      <c r="Q1430" s="104" t="str">
        <f>IFNA(VLOOKUP(L1430:L1508,'🙎‍♂️ Pasien'!G:V,13,FALSE),"")</f>
        <v>PNS</v>
      </c>
      <c r="R1430" s="104" t="str">
        <f t="array" ref="R1430">ifna(xlookup(L1430,'🙎‍♂️ Pasien'!$G$5:$G1508,'🙎‍♂️ Pasien'!$T$5:$T1508),"")</f>
        <v>POST OPERASI ACL</v>
      </c>
      <c r="S1430" s="104" t="str">
        <f t="array" ref="S1430">ifna(xlookup(L1430,'🙎‍♂️ Pasien'!$G$5:$G1508,'🙎‍♂️ Pasien'!$U$5:$U1508),"")</f>
        <v>FUTSAL, NAIK TANGGA</v>
      </c>
      <c r="T1430" s="97" t="s">
        <v>59</v>
      </c>
      <c r="U1430" s="105" t="s">
        <v>60</v>
      </c>
      <c r="V1430" s="101"/>
      <c r="W1430" s="106" t="b">
        <v>1</v>
      </c>
      <c r="X1430" s="107"/>
      <c r="Y1430" s="108"/>
    </row>
    <row r="1431" ht="22.5" customHeight="1">
      <c r="A1431" s="96"/>
      <c r="B1431" s="97" t="s">
        <v>85</v>
      </c>
      <c r="C1431" s="98" t="str">
        <f t="array" ref="C1431">IFNA(XLOOKUP(J1431,'⚙️ Pengaturan'!$H$5:$H1508,'⚙️ Pengaturan'!$I$5:$I1508),"")</f>
        <v>TIM Y</v>
      </c>
      <c r="D1431" s="97" t="s">
        <v>86</v>
      </c>
      <c r="E1431" s="99">
        <v>46015.0</v>
      </c>
      <c r="F1431" s="100" t="str">
        <f t="shared" si="1"/>
        <v>2025</v>
      </c>
      <c r="G1431" s="100" t="str">
        <f t="shared" si="2"/>
        <v>12Des</v>
      </c>
      <c r="H1431" s="100" t="str">
        <f t="shared" si="3"/>
        <v>Rabu</v>
      </c>
      <c r="I1431" s="97" t="s">
        <v>95</v>
      </c>
      <c r="J1431" s="97" t="s">
        <v>509</v>
      </c>
      <c r="K1431" s="97" t="s">
        <v>63</v>
      </c>
      <c r="L1431" s="101" t="s">
        <v>764</v>
      </c>
      <c r="M1431" s="102" t="str">
        <f>IFNA(VLOOKUP(L1431,'🙎‍♂️ Pasien'!G:V,2,FALSE),"")</f>
        <v>B5325129871</v>
      </c>
      <c r="N1431" s="103">
        <f>IFNA(VLOOKUP(L1431,'🙎‍♂️ Pasien'!G:L,3,FALSE),"")</f>
        <v>73</v>
      </c>
      <c r="O1431" s="104" t="str">
        <f>IFNA(VLOOKUP(L1431,'🙎‍♂️ Pasien'!G:V,6,FALSE),"")</f>
        <v>LAKI-LAKI</v>
      </c>
      <c r="P1431" s="104" t="str">
        <f>IFNA(VLOOKUP(L1431,'🙎‍♂️ Pasien'!G:V,12,FALSE),"")</f>
        <v>ISLAM</v>
      </c>
      <c r="Q1431" s="104" t="str">
        <f>IFNA(VLOOKUP(L1431:L1508,'🙎‍♂️ Pasien'!G:V,13,FALSE),"")</f>
        <v>POLRI</v>
      </c>
      <c r="R1431" s="104" t="str">
        <f t="array" ref="R1431">ifna(xlookup(L1431,'🙎‍♂️ Pasien'!$G$5:$G1508,'🙎‍♂️ Pasien'!$T$5:$T1508),"")</f>
        <v>LENGAN</v>
      </c>
      <c r="S1431" s="104" t="str">
        <f t="array" ref="S1431">ifna(xlookup(L1431,'🙎‍♂️ Pasien'!$G$5:$G1508,'🙎‍♂️ Pasien'!$U$5:$U1508),"")</f>
        <v>-</v>
      </c>
      <c r="T1431" s="97" t="s">
        <v>59</v>
      </c>
      <c r="U1431" s="105">
        <v>1.0</v>
      </c>
      <c r="V1431" s="101"/>
      <c r="W1431" s="106" t="b">
        <v>1</v>
      </c>
      <c r="X1431" s="107"/>
      <c r="Y1431" s="108"/>
    </row>
    <row r="1432" ht="22.5" customHeight="1">
      <c r="A1432" s="96"/>
      <c r="B1432" s="97" t="s">
        <v>85</v>
      </c>
      <c r="C1432" s="98" t="str">
        <f t="array" ref="C1432">IFNA(XLOOKUP(J1432,'⚙️ Pengaturan'!$H$5:$H1508,'⚙️ Pengaturan'!$I$5:$I1508),"")</f>
        <v>TIM A</v>
      </c>
      <c r="D1432" s="97" t="s">
        <v>86</v>
      </c>
      <c r="E1432" s="99">
        <v>46015.0</v>
      </c>
      <c r="F1432" s="100" t="str">
        <f t="shared" si="1"/>
        <v>2025</v>
      </c>
      <c r="G1432" s="100" t="str">
        <f t="shared" si="2"/>
        <v>12Des</v>
      </c>
      <c r="H1432" s="100" t="str">
        <f t="shared" si="3"/>
        <v>Rabu</v>
      </c>
      <c r="I1432" s="97" t="s">
        <v>95</v>
      </c>
      <c r="J1432" s="97" t="s">
        <v>79</v>
      </c>
      <c r="K1432" s="97" t="s">
        <v>69</v>
      </c>
      <c r="L1432" s="101" t="s">
        <v>756</v>
      </c>
      <c r="M1432" s="102" t="str">
        <f>IFNA(VLOOKUP(L1432,'🙎‍♂️ Pasien'!G:V,2,FALSE),"")</f>
        <v>K7425121740</v>
      </c>
      <c r="N1432" s="103">
        <f>IFNA(VLOOKUP(L1432,'🙎‍♂️ Pasien'!G:L,3,FALSE),"")</f>
        <v>52</v>
      </c>
      <c r="O1432" s="104" t="str">
        <f>IFNA(VLOOKUP(L1432,'🙎‍♂️ Pasien'!G:V,6,FALSE),"")</f>
        <v>PEREMPUAN</v>
      </c>
      <c r="P1432" s="104" t="str">
        <f>IFNA(VLOOKUP(L1432,'🙎‍♂️ Pasien'!G:V,12,FALSE),"")</f>
        <v>ISLAM</v>
      </c>
      <c r="Q1432" s="104" t="str">
        <f>IFNA(VLOOKUP(L1432:L1508,'🙎‍♂️ Pasien'!G:V,13,FALSE),"")</f>
        <v>IRT</v>
      </c>
      <c r="R1432" s="104" t="str">
        <f t="array" ref="R1432">ifna(xlookup(L1432,'🙎‍♂️ Pasien'!$G$5:$G1508,'🙎‍♂️ Pasien'!$T$5:$T1508),"")</f>
        <v>BAHU</v>
      </c>
      <c r="S1432" s="104" t="str">
        <f t="array" ref="S1432">ifna(xlookup(L1432,'🙎‍♂️ Pasien'!$G$5:$G1508,'🙎‍♂️ Pasien'!$U$5:$U1508),"")</f>
        <v>-</v>
      </c>
      <c r="T1432" s="97" t="s">
        <v>59</v>
      </c>
      <c r="U1432" s="105" t="s">
        <v>60</v>
      </c>
      <c r="V1432" s="101"/>
      <c r="W1432" s="106" t="b">
        <v>1</v>
      </c>
      <c r="X1432" s="107"/>
      <c r="Y1432" s="108"/>
    </row>
    <row r="1433" ht="22.5" customHeight="1">
      <c r="A1433" s="96"/>
      <c r="B1433" s="97" t="s">
        <v>85</v>
      </c>
      <c r="C1433" s="98" t="str">
        <f t="array" ref="C1433">IFNA(XLOOKUP(J1433,'⚙️ Pengaturan'!$H$5:$H1508,'⚙️ Pengaturan'!$I$5:$I1508),"")</f>
        <v>TIM Y</v>
      </c>
      <c r="D1433" s="97" t="s">
        <v>86</v>
      </c>
      <c r="E1433" s="99">
        <v>46015.0</v>
      </c>
      <c r="F1433" s="100" t="str">
        <f t="shared" si="1"/>
        <v>2025</v>
      </c>
      <c r="G1433" s="100" t="str">
        <f t="shared" si="2"/>
        <v>12Des</v>
      </c>
      <c r="H1433" s="100" t="str">
        <f t="shared" si="3"/>
        <v>Rabu</v>
      </c>
      <c r="I1433" s="97" t="s">
        <v>97</v>
      </c>
      <c r="J1433" s="97" t="s">
        <v>509</v>
      </c>
      <c r="K1433" s="97" t="s">
        <v>57</v>
      </c>
      <c r="L1433" s="101" t="s">
        <v>779</v>
      </c>
      <c r="M1433" s="102" t="str">
        <f>IFNA(VLOOKUP(L1433,'🙎‍♂️ Pasien'!G:V,2,FALSE),"")</f>
        <v>N7025034060</v>
      </c>
      <c r="N1433" s="103">
        <f>IFNA(VLOOKUP(L1433,'🙎‍♂️ Pasien'!G:L,3,FALSE),"")</f>
        <v>56</v>
      </c>
      <c r="O1433" s="104" t="str">
        <f>IFNA(VLOOKUP(L1433,'🙎‍♂️ Pasien'!G:V,6,FALSE),"")</f>
        <v>PEREMPUAN</v>
      </c>
      <c r="P1433" s="104" t="str">
        <f>IFNA(VLOOKUP(L1433,'🙎‍♂️ Pasien'!G:V,12,FALSE),"")</f>
        <v>ISLAM</v>
      </c>
      <c r="Q1433" s="104" t="str">
        <f>IFNA(VLOOKUP(L1433:L1508,'🙎‍♂️ Pasien'!G:V,13,FALSE),"")</f>
        <v>PEGAWAI SWASTA</v>
      </c>
      <c r="R1433" s="104" t="str">
        <f t="array" ref="R1433">ifna(xlookup(L1433,'🙎‍♂️ Pasien'!$G$5:$G1508,'🙎‍♂️ Pasien'!$T$5:$T1508),"")</f>
        <v>PERGELANGAN TANGAN</v>
      </c>
      <c r="S1433" s="104" t="str">
        <f t="array" ref="S1433">ifna(xlookup(L1433,'🙎‍♂️ Pasien'!$G$5:$G1508,'🙎‍♂️ Pasien'!$U$5:$U1508),"")</f>
        <v>MAYORITAS DI DEPAN LAPTOP</v>
      </c>
      <c r="T1433" s="97" t="s">
        <v>59</v>
      </c>
      <c r="U1433" s="105" t="s">
        <v>60</v>
      </c>
      <c r="V1433" s="101"/>
      <c r="W1433" s="106" t="b">
        <v>1</v>
      </c>
      <c r="X1433" s="107"/>
      <c r="Y1433" s="108"/>
    </row>
    <row r="1434" ht="22.5" customHeight="1">
      <c r="A1434" s="96"/>
      <c r="B1434" s="97" t="s">
        <v>85</v>
      </c>
      <c r="C1434" s="98" t="str">
        <f t="array" ref="C1434">IFNA(XLOOKUP(J1434,'⚙️ Pengaturan'!$H$5:$H1508,'⚙️ Pengaturan'!$I$5:$I1508),"")</f>
        <v>TIM Y</v>
      </c>
      <c r="D1434" s="97" t="s">
        <v>86</v>
      </c>
      <c r="E1434" s="99">
        <v>46015.0</v>
      </c>
      <c r="F1434" s="100" t="str">
        <f t="shared" si="1"/>
        <v>2025</v>
      </c>
      <c r="G1434" s="100" t="str">
        <f t="shared" si="2"/>
        <v>12Des</v>
      </c>
      <c r="H1434" s="100" t="str">
        <f t="shared" si="3"/>
        <v>Rabu</v>
      </c>
      <c r="I1434" s="97" t="s">
        <v>97</v>
      </c>
      <c r="J1434" s="97" t="s">
        <v>88</v>
      </c>
      <c r="K1434" s="97" t="s">
        <v>63</v>
      </c>
      <c r="L1434" s="101" t="s">
        <v>727</v>
      </c>
      <c r="M1434" s="102" t="str">
        <f>IFNA(VLOOKUP(L1434,'🙎‍♂️ Pasien'!G:V,2,FALSE),"")</f>
        <v>R0225129200</v>
      </c>
      <c r="N1434" s="103">
        <f>IFNA(VLOOKUP(L1434,'🙎‍♂️ Pasien'!G:L,3,FALSE),"")</f>
        <v>24</v>
      </c>
      <c r="O1434" s="104" t="str">
        <f>IFNA(VLOOKUP(L1434,'🙎‍♂️ Pasien'!G:V,6,FALSE),"")</f>
        <v>LAKI-LAKI</v>
      </c>
      <c r="P1434" s="104" t="str">
        <f>IFNA(VLOOKUP(L1434,'🙎‍♂️ Pasien'!G:V,12,FALSE),"")</f>
        <v>ISLAM</v>
      </c>
      <c r="Q1434" s="104" t="str">
        <f>IFNA(VLOOKUP(L1434:L1508,'🙎‍♂️ Pasien'!G:V,13,FALSE),"")</f>
        <v>BELUM ADA</v>
      </c>
      <c r="R1434" s="104" t="str">
        <f t="array" ref="R1434">ifna(xlookup(L1434,'🙎‍♂️ Pasien'!$G$5:$G1508,'🙎‍♂️ Pasien'!$T$5:$T1508),"")</f>
        <v>.BAHU TIDAK SIMETRIS</v>
      </c>
      <c r="S1434" s="104" t="str">
        <f t="array" ref="S1434">ifna(xlookup(L1434,'🙎‍♂️ Pasien'!$G$5:$G1508,'🙎‍♂️ Pasien'!$U$5:$U1508),"")</f>
        <v>LARI</v>
      </c>
      <c r="T1434" s="97" t="s">
        <v>59</v>
      </c>
      <c r="U1434" s="105">
        <v>5.0</v>
      </c>
      <c r="V1434" s="101"/>
      <c r="W1434" s="106" t="b">
        <v>1</v>
      </c>
      <c r="X1434" s="107"/>
      <c r="Y1434" s="108"/>
    </row>
    <row r="1435" ht="22.5" customHeight="1">
      <c r="A1435" s="96"/>
      <c r="B1435" s="97" t="s">
        <v>85</v>
      </c>
      <c r="C1435" s="98" t="str">
        <f t="array" ref="C1435">IFNA(XLOOKUP(J1435,'⚙️ Pengaturan'!$H$5:$H1508,'⚙️ Pengaturan'!$I$5:$I1508),"")</f>
        <v>TIM Y</v>
      </c>
      <c r="D1435" s="97" t="s">
        <v>86</v>
      </c>
      <c r="E1435" s="99">
        <v>46015.0</v>
      </c>
      <c r="F1435" s="100" t="str">
        <f t="shared" si="1"/>
        <v>2025</v>
      </c>
      <c r="G1435" s="100" t="str">
        <f t="shared" si="2"/>
        <v>12Des</v>
      </c>
      <c r="H1435" s="100" t="str">
        <f t="shared" si="3"/>
        <v>Rabu</v>
      </c>
      <c r="I1435" s="97" t="s">
        <v>99</v>
      </c>
      <c r="J1435" s="97" t="s">
        <v>509</v>
      </c>
      <c r="K1435" s="97" t="s">
        <v>57</v>
      </c>
      <c r="L1435" s="101" t="s">
        <v>586</v>
      </c>
      <c r="M1435" s="102" t="str">
        <f>IFNA(VLOOKUP(L1435,'🙎‍♂️ Pasien'!G:V,2,FALSE),"")</f>
        <v>B0924114293</v>
      </c>
      <c r="N1435" s="103">
        <f>IFNA(VLOOKUP(L1435,'🙎‍♂️ Pasien'!G:L,3,FALSE),"")</f>
        <v>16</v>
      </c>
      <c r="O1435" s="104" t="str">
        <f>IFNA(VLOOKUP(L1435,'🙎‍♂️ Pasien'!G:V,6,FALSE),"")</f>
        <v>LAKI-LAKI</v>
      </c>
      <c r="P1435" s="104" t="str">
        <f>IFNA(VLOOKUP(L1435,'🙎‍♂️ Pasien'!G:V,12,FALSE),"")</f>
        <v>ISLAM</v>
      </c>
      <c r="Q1435" s="104" t="str">
        <f>IFNA(VLOOKUP(L1435:L1508,'🙎‍♂️ Pasien'!G:V,13,FALSE),"")</f>
        <v>PELAJAR/MAHASISWA</v>
      </c>
      <c r="R1435" s="104" t="str">
        <f t="array" ref="R1435">ifna(xlookup(L1435,'🙎‍♂️ Pasien'!$G$5:$G1508,'🙎‍♂️ Pasien'!$T$5:$T1508),"")</f>
        <v>SAKIT PADA BAHU</v>
      </c>
      <c r="S1435" s="104" t="str">
        <f t="array" ref="S1435">ifna(xlookup(L1435,'🙎‍♂️ Pasien'!$G$5:$G1508,'🙎‍♂️ Pasien'!$U$5:$U1508),"")</f>
        <v>OLAHARAGA VOLEYY</v>
      </c>
      <c r="T1435" s="97" t="s">
        <v>59</v>
      </c>
      <c r="U1435" s="105" t="s">
        <v>60</v>
      </c>
      <c r="V1435" s="101"/>
      <c r="W1435" s="106" t="b">
        <v>1</v>
      </c>
      <c r="X1435" s="107"/>
      <c r="Y1435" s="108"/>
    </row>
    <row r="1436" ht="22.5" customHeight="1">
      <c r="A1436" s="96"/>
      <c r="B1436" s="97" t="s">
        <v>85</v>
      </c>
      <c r="C1436" s="98" t="str">
        <f t="array" ref="C1436">IFNA(XLOOKUP(J1436,'⚙️ Pengaturan'!$H$5:$H1508,'⚙️ Pengaturan'!$I$5:$I1508),"")</f>
        <v>TIM Y</v>
      </c>
      <c r="D1436" s="97" t="s">
        <v>86</v>
      </c>
      <c r="E1436" s="99">
        <v>46015.0</v>
      </c>
      <c r="F1436" s="100" t="str">
        <f t="shared" si="1"/>
        <v>2025</v>
      </c>
      <c r="G1436" s="100" t="str">
        <f t="shared" si="2"/>
        <v>12Des</v>
      </c>
      <c r="H1436" s="100" t="str">
        <f t="shared" si="3"/>
        <v>Rabu</v>
      </c>
      <c r="I1436" s="97" t="s">
        <v>99</v>
      </c>
      <c r="J1436" s="97" t="s">
        <v>88</v>
      </c>
      <c r="K1436" s="97" t="s">
        <v>63</v>
      </c>
      <c r="L1436" s="101" t="s">
        <v>627</v>
      </c>
      <c r="M1436" s="102" t="str">
        <f>IFNA(VLOOKUP(L1436,'🙎‍♂️ Pasien'!G:V,2,FALSE),"")</f>
        <v>W8825126959</v>
      </c>
      <c r="N1436" s="103">
        <f>IFNA(VLOOKUP(L1436,'🙎‍♂️ Pasien'!G:L,3,FALSE),"")</f>
        <v>37</v>
      </c>
      <c r="O1436" s="104" t="str">
        <f>IFNA(VLOOKUP(L1436,'🙎‍♂️ Pasien'!G:V,6,FALSE),"")</f>
        <v>LAKI-LAKI</v>
      </c>
      <c r="P1436" s="104" t="str">
        <f>IFNA(VLOOKUP(L1436,'🙎‍♂️ Pasien'!G:V,12,FALSE),"")</f>
        <v>ISLAM</v>
      </c>
      <c r="Q1436" s="104" t="str">
        <f>IFNA(VLOOKUP(L1436:L1508,'🙎‍♂️ Pasien'!G:V,13,FALSE),"")</f>
        <v>WIRASWASTA</v>
      </c>
      <c r="R1436" s="104" t="str">
        <f t="array" ref="R1436">ifna(xlookup(L1436,'🙎‍♂️ Pasien'!$G$5:$G1508,'🙎‍♂️ Pasien'!$T$5:$T1508),"")</f>
        <v>PINGGANG</v>
      </c>
      <c r="S1436" s="104" t="str">
        <f t="array" ref="S1436">ifna(xlookup(L1436,'🙎‍♂️ Pasien'!$G$5:$G1508,'🙎‍♂️ Pasien'!$U$5:$U1508),"")</f>
        <v>-</v>
      </c>
      <c r="T1436" s="97" t="s">
        <v>59</v>
      </c>
      <c r="U1436" s="105">
        <v>10.0</v>
      </c>
      <c r="V1436" s="101" t="s">
        <v>125</v>
      </c>
      <c r="W1436" s="106" t="b">
        <v>1</v>
      </c>
      <c r="X1436" s="107"/>
      <c r="Y1436" s="108"/>
    </row>
    <row r="1437" ht="22.5" customHeight="1">
      <c r="A1437" s="96"/>
      <c r="B1437" s="97" t="s">
        <v>85</v>
      </c>
      <c r="C1437" s="98" t="str">
        <f t="array" ref="C1437">IFNA(XLOOKUP(J1437,'⚙️ Pengaturan'!$H$5:$H1508,'⚙️ Pengaturan'!$I$5:$I1508),"")</f>
        <v>TIM Y</v>
      </c>
      <c r="D1437" s="97" t="s">
        <v>134</v>
      </c>
      <c r="E1437" s="99">
        <v>46017.0</v>
      </c>
      <c r="F1437" s="100" t="str">
        <f t="shared" si="1"/>
        <v>2025</v>
      </c>
      <c r="G1437" s="100" t="str">
        <f t="shared" si="2"/>
        <v>12Des</v>
      </c>
      <c r="H1437" s="100" t="str">
        <f t="shared" si="3"/>
        <v>Jumat</v>
      </c>
      <c r="I1437" s="97" t="s">
        <v>87</v>
      </c>
      <c r="J1437" s="97" t="s">
        <v>91</v>
      </c>
      <c r="K1437" s="97" t="s">
        <v>57</v>
      </c>
      <c r="L1437" s="101" t="s">
        <v>780</v>
      </c>
      <c r="M1437" s="102" t="str">
        <f>IFNA(VLOOKUP(L1437,'🙎‍♂️ Pasien'!G:V,2,FALSE),"")</f>
        <v>E8925127564</v>
      </c>
      <c r="N1437" s="103">
        <f>IFNA(VLOOKUP(L1437,'🙎‍♂️ Pasien'!G:L,3,FALSE),"")</f>
        <v>36</v>
      </c>
      <c r="O1437" s="104" t="str">
        <f>IFNA(VLOOKUP(L1437,'🙎‍♂️ Pasien'!G:V,6,FALSE),"")</f>
        <v>PEREMPUAN</v>
      </c>
      <c r="P1437" s="104" t="str">
        <f>IFNA(VLOOKUP(L1437,'🙎‍♂️ Pasien'!G:V,12,FALSE),"")</f>
        <v>ISLAM</v>
      </c>
      <c r="Q1437" s="104" t="str">
        <f>IFNA(VLOOKUP(L1437:L1508,'🙎‍♂️ Pasien'!G:V,13,FALSE),"")</f>
        <v>KARYAWAN</v>
      </c>
      <c r="R1437" s="104" t="str">
        <f t="array" ref="R1437">ifna(xlookup(L1437,'🙎‍♂️ Pasien'!$G$5:$G1508,'🙎‍♂️ Pasien'!$T$5:$T1508),"")</f>
        <v>PERNAH OPERASI FEMUR KIRI 2014 DAN 2017, 2025 INI BERAT BADAN NAIK DAN SETIAP HABIS DUDUK LAMA MAU JALAN SAKIT DAN TERLIHAT SANGAT PINCANG</v>
      </c>
      <c r="S1437" s="104" t="str">
        <f t="array" ref="S1437">ifna(xlookup(L1437,'🙎‍♂️ Pasien'!$G$5:$G1508,'🙎‍♂️ Pasien'!$U$5:$U1508),"")</f>
        <v>KERJA 8 TO 5, BADMINTON SEMINGGU SEKALI, JALAN SEMINGGU SEKALI</v>
      </c>
      <c r="T1437" s="97" t="s">
        <v>59</v>
      </c>
      <c r="U1437" s="105" t="s">
        <v>60</v>
      </c>
      <c r="V1437" s="101" t="s">
        <v>468</v>
      </c>
      <c r="W1437" s="106" t="b">
        <v>1</v>
      </c>
      <c r="X1437" s="109" t="s">
        <v>781</v>
      </c>
      <c r="Y1437" s="108"/>
    </row>
    <row r="1438" ht="22.5" customHeight="1">
      <c r="A1438" s="96"/>
      <c r="B1438" s="97" t="s">
        <v>85</v>
      </c>
      <c r="C1438" s="98" t="str">
        <f t="array" ref="C1438">IFNA(XLOOKUP(J1438,'⚙️ Pengaturan'!$H$5:$H1508,'⚙️ Pengaturan'!$I$5:$I1508),"")</f>
        <v>TIM Y</v>
      </c>
      <c r="D1438" s="97" t="s">
        <v>134</v>
      </c>
      <c r="E1438" s="99">
        <v>46017.0</v>
      </c>
      <c r="F1438" s="100" t="str">
        <f t="shared" si="1"/>
        <v>2025</v>
      </c>
      <c r="G1438" s="100" t="str">
        <f t="shared" si="2"/>
        <v>12Des</v>
      </c>
      <c r="H1438" s="100" t="str">
        <f t="shared" si="3"/>
        <v>Jumat</v>
      </c>
      <c r="I1438" s="97" t="s">
        <v>93</v>
      </c>
      <c r="J1438" s="97" t="s">
        <v>91</v>
      </c>
      <c r="K1438" s="97" t="s">
        <v>63</v>
      </c>
      <c r="L1438" s="101" t="s">
        <v>672</v>
      </c>
      <c r="M1438" s="102" t="str">
        <f>IFNA(VLOOKUP(L1438,'🙎‍♂️ Pasien'!G:V,2,FALSE),"")</f>
        <v>A9825122289</v>
      </c>
      <c r="N1438" s="103">
        <f>IFNA(VLOOKUP(L1438,'🙎‍♂️ Pasien'!G:L,3,FALSE),"")</f>
        <v>28</v>
      </c>
      <c r="O1438" s="104" t="str">
        <f>IFNA(VLOOKUP(L1438,'🙎‍♂️ Pasien'!G:V,6,FALSE),"")</f>
        <v>LAKI-LAKI</v>
      </c>
      <c r="P1438" s="104" t="str">
        <f>IFNA(VLOOKUP(L1438,'🙎‍♂️ Pasien'!G:V,12,FALSE),"")</f>
        <v>ISLAM</v>
      </c>
      <c r="Q1438" s="104" t="str">
        <f>IFNA(VLOOKUP(L1438:L1508,'🙎‍♂️ Pasien'!G:V,13,FALSE),"")</f>
        <v>DI BANDARA</v>
      </c>
      <c r="R1438" s="104" t="str">
        <f t="array" ref="R1438">ifna(xlookup(L1438,'🙎‍♂️ Pasien'!$G$5:$G1508,'🙎‍♂️ Pasien'!$T$5:$T1508),"")</f>
        <v>PINGGANG SAKIT NYERI SETELAH ANGKAT BEBAN, ENKLE KAKI NYERI KIRI KANAN SUDAH LAMA, DI PERGELANGAN TANGAN KIRI KANAN NYERI AKIBAT ANGKAT BEBAN,JEMPO TANGAN KIRI KESELEO</v>
      </c>
      <c r="S1438" s="104" t="str">
        <f t="array" ref="S1438">ifna(xlookup(L1438,'🙎‍♂️ Pasien'!$G$5:$G1508,'🙎‍♂️ Pasien'!$U$5:$U1508),"")</f>
        <v>GYM, JOGGING, SEPAK BOLA</v>
      </c>
      <c r="T1438" s="97" t="s">
        <v>59</v>
      </c>
      <c r="U1438" s="105">
        <v>5.0</v>
      </c>
      <c r="V1438" s="101" t="s">
        <v>125</v>
      </c>
      <c r="W1438" s="106" t="b">
        <v>1</v>
      </c>
      <c r="X1438" s="109" t="s">
        <v>782</v>
      </c>
      <c r="Y1438" s="108"/>
    </row>
    <row r="1439" ht="22.5" customHeight="1">
      <c r="A1439" s="96"/>
      <c r="B1439" s="97" t="s">
        <v>85</v>
      </c>
      <c r="C1439" s="98" t="str">
        <f t="array" ref="C1439">IFNA(XLOOKUP(J1439,'⚙️ Pengaturan'!$H$5:$H1508,'⚙️ Pengaturan'!$I$5:$I1508),"")</f>
        <v>TIM Y</v>
      </c>
      <c r="D1439" s="97" t="s">
        <v>134</v>
      </c>
      <c r="E1439" s="99">
        <v>46017.0</v>
      </c>
      <c r="F1439" s="100" t="str">
        <f t="shared" si="1"/>
        <v>2025</v>
      </c>
      <c r="G1439" s="100" t="str">
        <f t="shared" si="2"/>
        <v>12Des</v>
      </c>
      <c r="H1439" s="100" t="str">
        <f t="shared" si="3"/>
        <v>Jumat</v>
      </c>
      <c r="I1439" s="97" t="s">
        <v>95</v>
      </c>
      <c r="J1439" s="97" t="s">
        <v>91</v>
      </c>
      <c r="K1439" s="97" t="s">
        <v>63</v>
      </c>
      <c r="L1439" s="101" t="s">
        <v>593</v>
      </c>
      <c r="M1439" s="102" t="str">
        <f>IFNA(VLOOKUP(L1439,'🙎‍♂️ Pasien'!G:V,2,FALSE),"")</f>
        <v>A0125119292</v>
      </c>
      <c r="N1439" s="103">
        <f>IFNA(VLOOKUP(L1439,'🙎‍♂️ Pasien'!G:L,3,FALSE),"")</f>
        <v>25</v>
      </c>
      <c r="O1439" s="104" t="str">
        <f>IFNA(VLOOKUP(L1439,'🙎‍♂️ Pasien'!G:V,6,FALSE),"")</f>
        <v>PEREMPUAN</v>
      </c>
      <c r="P1439" s="104" t="str">
        <f>IFNA(VLOOKUP(L1439,'🙎‍♂️ Pasien'!G:V,12,FALSE),"")</f>
        <v>ISLAM</v>
      </c>
      <c r="Q1439" s="104" t="str">
        <f>IFNA(VLOOKUP(L1439:L1508,'🙎‍♂️ Pasien'!G:V,13,FALSE),"")</f>
        <v>ADMIN</v>
      </c>
      <c r="R1439" s="104" t="str">
        <f t="array" ref="R1439">ifna(xlookup(L1439,'🙎‍♂️ Pasien'!$G$5:$G1508,'🙎‍♂️ Pasien'!$T$5:$T1508),"")</f>
        <v>LUTUT SAKIT</v>
      </c>
      <c r="S1439" s="104" t="str">
        <f t="array" ref="S1439">ifna(xlookup(L1439,'🙎‍♂️ Pasien'!$G$5:$G1508,'🙎‍♂️ Pasien'!$U$5:$U1508),"")</f>
        <v>LARI</v>
      </c>
      <c r="T1439" s="97" t="s">
        <v>67</v>
      </c>
      <c r="U1439" s="105">
        <v>5.0</v>
      </c>
      <c r="V1439" s="101" t="s">
        <v>783</v>
      </c>
      <c r="W1439" s="106" t="b">
        <v>1</v>
      </c>
      <c r="X1439" s="107"/>
      <c r="Y1439" s="108"/>
    </row>
    <row r="1440" ht="22.5" customHeight="1">
      <c r="A1440" s="96"/>
      <c r="B1440" s="97" t="s">
        <v>85</v>
      </c>
      <c r="C1440" s="98" t="str">
        <f t="array" ref="C1440">IFNA(XLOOKUP(J1440,'⚙️ Pengaturan'!$H$5:$H1508,'⚙️ Pengaturan'!$I$5:$I1508),"")</f>
        <v>MANAJEMEN</v>
      </c>
      <c r="D1440" s="97" t="s">
        <v>134</v>
      </c>
      <c r="E1440" s="99">
        <v>46017.0</v>
      </c>
      <c r="F1440" s="100" t="str">
        <f t="shared" si="1"/>
        <v>2025</v>
      </c>
      <c r="G1440" s="100" t="str">
        <f t="shared" si="2"/>
        <v>12Des</v>
      </c>
      <c r="H1440" s="100" t="str">
        <f t="shared" si="3"/>
        <v>Jumat</v>
      </c>
      <c r="I1440" s="97" t="s">
        <v>97</v>
      </c>
      <c r="J1440" s="97" t="s">
        <v>101</v>
      </c>
      <c r="K1440" s="97" t="s">
        <v>57</v>
      </c>
      <c r="L1440" s="101" t="s">
        <v>784</v>
      </c>
      <c r="M1440" s="102" t="str">
        <f>IFNA(VLOOKUP(L1440,'🙎‍♂️ Pasien'!G:V,2,FALSE),"")</f>
        <v>D9425126561</v>
      </c>
      <c r="N1440" s="103">
        <f>IFNA(VLOOKUP(L1440,'🙎‍♂️ Pasien'!G:L,3,FALSE),"")</f>
        <v>32</v>
      </c>
      <c r="O1440" s="104" t="str">
        <f>IFNA(VLOOKUP(L1440,'🙎‍♂️ Pasien'!G:V,6,FALSE),"")</f>
        <v>LAKI-LAKI</v>
      </c>
      <c r="P1440" s="104" t="str">
        <f>IFNA(VLOOKUP(L1440,'🙎‍♂️ Pasien'!G:V,12,FALSE),"")</f>
        <v>PROTESTAN</v>
      </c>
      <c r="Q1440" s="104" t="str">
        <f>IFNA(VLOOKUP(L1440:L1508,'🙎‍♂️ Pasien'!G:V,13,FALSE),"")</f>
        <v>WIRASWASTA</v>
      </c>
      <c r="R1440" s="104" t="str">
        <f t="array" ref="R1440">ifna(xlookup(L1440,'🙎‍♂️ Pasien'!$G$5:$G1508,'🙎‍♂️ Pasien'!$T$5:$T1508),"")</f>
        <v>SCIATICA</v>
      </c>
      <c r="S1440" s="104" t="str">
        <f t="array" ref="S1440">ifna(xlookup(L1440,'🙎‍♂️ Pasien'!$G$5:$G1508,'🙎‍♂️ Pasien'!$U$5:$U1508),"")</f>
        <v>GYM MINISOCER</v>
      </c>
      <c r="T1440" s="97" t="s">
        <v>59</v>
      </c>
      <c r="U1440" s="105" t="s">
        <v>60</v>
      </c>
      <c r="V1440" s="101" t="s">
        <v>142</v>
      </c>
      <c r="W1440" s="106" t="b">
        <v>1</v>
      </c>
      <c r="X1440" s="109" t="s">
        <v>294</v>
      </c>
      <c r="Y1440" s="108"/>
    </row>
    <row r="1441" ht="22.5" customHeight="1">
      <c r="A1441" s="96"/>
      <c r="B1441" s="97" t="s">
        <v>85</v>
      </c>
      <c r="C1441" s="98" t="str">
        <f t="array" ref="C1441">IFNA(XLOOKUP(J1441,'⚙️ Pengaturan'!$H$5:$H1508,'⚙️ Pengaturan'!$I$5:$I1508),"")</f>
        <v>TIM Y</v>
      </c>
      <c r="D1441" s="97" t="s">
        <v>134</v>
      </c>
      <c r="E1441" s="99">
        <v>46017.0</v>
      </c>
      <c r="F1441" s="100" t="str">
        <f t="shared" si="1"/>
        <v>2025</v>
      </c>
      <c r="G1441" s="100" t="str">
        <f t="shared" si="2"/>
        <v>12Des</v>
      </c>
      <c r="H1441" s="100" t="str">
        <f t="shared" si="3"/>
        <v>Jumat</v>
      </c>
      <c r="I1441" s="97" t="s">
        <v>97</v>
      </c>
      <c r="J1441" s="97" t="s">
        <v>91</v>
      </c>
      <c r="K1441" s="97" t="s">
        <v>135</v>
      </c>
      <c r="L1441" s="101" t="s">
        <v>177</v>
      </c>
      <c r="M1441" s="102" t="str">
        <f>IFNA(VLOOKUP(L1441,'🙎‍♂️ Pasien'!G:V,2,FALSE),"")</f>
        <v>M9225108407</v>
      </c>
      <c r="N1441" s="103">
        <f>IFNA(VLOOKUP(L1441,'🙎‍♂️ Pasien'!G:L,3,FALSE),"")</f>
        <v>34</v>
      </c>
      <c r="O1441" s="104" t="str">
        <f>IFNA(VLOOKUP(L1441,'🙎‍♂️ Pasien'!G:V,6,FALSE),"")</f>
        <v>PEREMPUAN</v>
      </c>
      <c r="P1441" s="104" t="str">
        <f>IFNA(VLOOKUP(L1441,'🙎‍♂️ Pasien'!G:V,12,FALSE),"")</f>
        <v>ISLAM</v>
      </c>
      <c r="Q1441" s="104" t="str">
        <f>IFNA(VLOOKUP(L1441:L1508,'🙎‍♂️ Pasien'!G:V,13,FALSE),"")</f>
        <v>IRT</v>
      </c>
      <c r="R1441" s="104" t="str">
        <f t="array" ref="R1441">ifna(xlookup(L1441,'🙎‍♂️ Pasien'!$G$5:$G1508,'🙎‍♂️ Pasien'!$T$5:$T1508),"")</f>
        <v>TUMIT KAKI KIRI SAKIT TAK KUNJUNG HILANG</v>
      </c>
      <c r="S1441" s="104" t="str">
        <f t="array" ref="S1441">ifna(xlookup(L1441,'🙎‍♂️ Pasien'!$G$5:$G1508,'🙎‍♂️ Pasien'!$U$5:$U1508),"")</f>
        <v>OLAHRAGA RUTIN</v>
      </c>
      <c r="T1441" s="97" t="s">
        <v>67</v>
      </c>
      <c r="U1441" s="105" t="s">
        <v>60</v>
      </c>
      <c r="V1441" s="101" t="s">
        <v>278</v>
      </c>
      <c r="W1441" s="106" t="b">
        <v>1</v>
      </c>
      <c r="X1441" s="107"/>
      <c r="Y1441" s="108"/>
    </row>
    <row r="1442" ht="22.5" customHeight="1">
      <c r="A1442" s="96"/>
      <c r="B1442" s="97" t="s">
        <v>85</v>
      </c>
      <c r="C1442" s="98" t="str">
        <f t="array" ref="C1442">IFNA(XLOOKUP(J1442,'⚙️ Pengaturan'!$H$5:$H1508,'⚙️ Pengaturan'!$I$5:$I1508),"")</f>
        <v>TIM Y</v>
      </c>
      <c r="D1442" s="97" t="s">
        <v>54</v>
      </c>
      <c r="E1442" s="99">
        <v>46018.0</v>
      </c>
      <c r="F1442" s="100" t="str">
        <f t="shared" si="1"/>
        <v>2025</v>
      </c>
      <c r="G1442" s="100" t="str">
        <f t="shared" si="2"/>
        <v>12Des</v>
      </c>
      <c r="H1442" s="100" t="str">
        <f t="shared" si="3"/>
        <v>Sabtu</v>
      </c>
      <c r="I1442" s="97" t="s">
        <v>55</v>
      </c>
      <c r="J1442" s="97" t="s">
        <v>91</v>
      </c>
      <c r="K1442" s="97" t="s">
        <v>63</v>
      </c>
      <c r="L1442" s="101" t="s">
        <v>780</v>
      </c>
      <c r="M1442" s="102" t="str">
        <f>IFNA(VLOOKUP(L1442,'🙎‍♂️ Pasien'!G:V,2,FALSE),"")</f>
        <v>E8925127564</v>
      </c>
      <c r="N1442" s="103">
        <f>IFNA(VLOOKUP(L1442,'🙎‍♂️ Pasien'!G:L,3,FALSE),"")</f>
        <v>36</v>
      </c>
      <c r="O1442" s="104" t="str">
        <f>IFNA(VLOOKUP(L1442,'🙎‍♂️ Pasien'!G:V,6,FALSE),"")</f>
        <v>PEREMPUAN</v>
      </c>
      <c r="P1442" s="104" t="str">
        <f>IFNA(VLOOKUP(L1442,'🙎‍♂️ Pasien'!G:V,12,FALSE),"")</f>
        <v>ISLAM</v>
      </c>
      <c r="Q1442" s="104" t="str">
        <f>IFNA(VLOOKUP(L1442:L1508,'🙎‍♂️ Pasien'!G:V,13,FALSE),"")</f>
        <v>KARYAWAN</v>
      </c>
      <c r="R1442" s="104" t="str">
        <f t="array" ref="R1442">ifna(xlookup(L1442,'🙎‍♂️ Pasien'!$G$5:$G1508,'🙎‍♂️ Pasien'!$T$5:$T1508),"")</f>
        <v>PERNAH OPERASI FEMUR KIRI 2014 DAN 2017, 2025 INI BERAT BADAN NAIK DAN SETIAP HABIS DUDUK LAMA MAU JALAN SAKIT DAN TERLIHAT SANGAT PINCANG</v>
      </c>
      <c r="S1442" s="104" t="str">
        <f t="array" ref="S1442">ifna(xlookup(L1442,'🙎‍♂️ Pasien'!$G$5:$G1508,'🙎‍♂️ Pasien'!$U$5:$U1508),"")</f>
        <v>KERJA 8 TO 5, BADMINTON SEMINGGU SEKALI, JALAN SEMINGGU SEKALI</v>
      </c>
      <c r="T1442" s="97" t="s">
        <v>59</v>
      </c>
      <c r="U1442" s="105" t="s">
        <v>60</v>
      </c>
      <c r="V1442" s="101"/>
      <c r="W1442" s="106" t="b">
        <v>1</v>
      </c>
      <c r="X1442" s="107"/>
      <c r="Y1442" s="108"/>
    </row>
    <row r="1443" ht="22.5" customHeight="1">
      <c r="A1443" s="96"/>
      <c r="B1443" s="97" t="s">
        <v>53</v>
      </c>
      <c r="C1443" s="98" t="str">
        <f t="array" ref="C1443">IFNA(XLOOKUP(J1443,'⚙️ Pengaturan'!$H$5:$H1508,'⚙️ Pengaturan'!$I$5:$I1508),"")</f>
        <v>TIM Y</v>
      </c>
      <c r="D1443" s="97" t="s">
        <v>54</v>
      </c>
      <c r="E1443" s="99">
        <v>46018.0</v>
      </c>
      <c r="F1443" s="100" t="str">
        <f t="shared" si="1"/>
        <v>2025</v>
      </c>
      <c r="G1443" s="100" t="str">
        <f t="shared" si="2"/>
        <v>12Des</v>
      </c>
      <c r="H1443" s="100" t="str">
        <f t="shared" si="3"/>
        <v>Sabtu</v>
      </c>
      <c r="I1443" s="97" t="s">
        <v>55</v>
      </c>
      <c r="J1443" s="97" t="s">
        <v>88</v>
      </c>
      <c r="K1443" s="97" t="s">
        <v>57</v>
      </c>
      <c r="L1443" s="101" t="s">
        <v>785</v>
      </c>
      <c r="M1443" s="102" t="str">
        <f>IFNA(VLOOKUP(L1443,'🙎‍♂️ Pasien'!G:V,2,FALSE),"")</f>
        <v>S7625058881</v>
      </c>
      <c r="N1443" s="103">
        <f>IFNA(VLOOKUP(L1443,'🙎‍♂️ Pasien'!G:L,3,FALSE),"")</f>
        <v>49</v>
      </c>
      <c r="O1443" s="104" t="str">
        <f>IFNA(VLOOKUP(L1443,'🙎‍♂️ Pasien'!G:V,6,FALSE),"")</f>
        <v>LAKI-LAKI</v>
      </c>
      <c r="P1443" s="104" t="str">
        <f>IFNA(VLOOKUP(L1443,'🙎‍♂️ Pasien'!G:V,12,FALSE),"")</f>
        <v>ISLAM</v>
      </c>
      <c r="Q1443" s="104" t="str">
        <f>IFNA(VLOOKUP(L1443:L1508,'🙎‍♂️ Pasien'!G:V,13,FALSE),"")</f>
        <v>SWASTA</v>
      </c>
      <c r="R1443" s="104" t="str">
        <f t="array" ref="R1443">ifna(xlookup(L1443,'🙎‍♂️ Pasien'!$G$5:$G1508,'🙎‍♂️ Pasien'!$T$5:$T1508),"")</f>
        <v>KEBAS KAKI TANGAN</v>
      </c>
      <c r="S1443" s="104" t="str">
        <f t="array" ref="S1443">ifna(xlookup(L1443,'🙎‍♂️ Pasien'!$G$5:$G1508,'🙎‍♂️ Pasien'!$U$5:$U1508),"")</f>
        <v>DEPAN KOMPUTER</v>
      </c>
      <c r="T1443" s="97" t="s">
        <v>67</v>
      </c>
      <c r="U1443" s="105" t="s">
        <v>60</v>
      </c>
      <c r="V1443" s="101" t="s">
        <v>311</v>
      </c>
      <c r="W1443" s="106" t="b">
        <v>1</v>
      </c>
      <c r="X1443" s="107"/>
      <c r="Y1443" s="108"/>
    </row>
    <row r="1444" ht="22.5" customHeight="1">
      <c r="A1444" s="96"/>
      <c r="B1444" s="97" t="s">
        <v>53</v>
      </c>
      <c r="C1444" s="98" t="str">
        <f t="array" ref="C1444">IFNA(XLOOKUP(J1444,'⚙️ Pengaturan'!$H$5:$H1508,'⚙️ Pengaturan'!$I$5:$I1508),"")</f>
        <v>TIM Y</v>
      </c>
      <c r="D1444" s="97" t="s">
        <v>54</v>
      </c>
      <c r="E1444" s="99">
        <v>46018.0</v>
      </c>
      <c r="F1444" s="100" t="str">
        <f t="shared" si="1"/>
        <v>2025</v>
      </c>
      <c r="G1444" s="100" t="str">
        <f t="shared" si="2"/>
        <v>12Des</v>
      </c>
      <c r="H1444" s="100" t="str">
        <f t="shared" si="3"/>
        <v>Sabtu</v>
      </c>
      <c r="I1444" s="97" t="s">
        <v>65</v>
      </c>
      <c r="J1444" s="97" t="s">
        <v>91</v>
      </c>
      <c r="K1444" s="97" t="s">
        <v>63</v>
      </c>
      <c r="L1444" s="101" t="s">
        <v>149</v>
      </c>
      <c r="M1444" s="102" t="str">
        <f>IFNA(VLOOKUP(L1444,'🙎‍♂️ Pasien'!G:V,2,FALSE),"")</f>
        <v>S9825058991</v>
      </c>
      <c r="N1444" s="103">
        <f>IFNA(VLOOKUP(L1444,'🙎‍♂️ Pasien'!G:L,3,FALSE),"")</f>
        <v>27</v>
      </c>
      <c r="O1444" s="104" t="str">
        <f>IFNA(VLOOKUP(L1444,'🙎‍♂️ Pasien'!G:V,6,FALSE),"")</f>
        <v>PEREMPUAN</v>
      </c>
      <c r="P1444" s="104" t="str">
        <f>IFNA(VLOOKUP(L1444,'🙎‍♂️ Pasien'!G:V,12,FALSE),"")</f>
        <v>ISLAM</v>
      </c>
      <c r="Q1444" s="104" t="str">
        <f>IFNA(VLOOKUP(L1444:L1508,'🙎‍♂️ Pasien'!G:V,13,FALSE),"")</f>
        <v>SWASTA</v>
      </c>
      <c r="R1444" s="104" t="str">
        <f t="array" ref="R1444">ifna(xlookup(L1444,'🙎‍♂️ Pasien'!$G$5:$G1508,'🙎‍♂️ Pasien'!$T$5:$T1508),"")</f>
        <v>HNP LUMBAL/SARAF KEJEPIT</v>
      </c>
      <c r="S1444" s="104" t="str">
        <f t="array" ref="S1444">ifna(xlookup(L1444,'🙎‍♂️ Pasien'!$G$5:$G1508,'🙎‍♂️ Pasien'!$U$5:$U1508),"")</f>
        <v>BEKERJA KANTORAN</v>
      </c>
      <c r="T1444" s="97" t="s">
        <v>67</v>
      </c>
      <c r="U1444" s="105">
        <v>7.0</v>
      </c>
      <c r="V1444" s="101" t="s">
        <v>786</v>
      </c>
      <c r="W1444" s="106" t="b">
        <v>1</v>
      </c>
      <c r="X1444" s="107"/>
      <c r="Y1444" s="108"/>
    </row>
    <row r="1445" ht="22.5" customHeight="1">
      <c r="A1445" s="96"/>
      <c r="B1445" s="97" t="s">
        <v>53</v>
      </c>
      <c r="C1445" s="98" t="str">
        <f t="array" ref="C1445">IFNA(XLOOKUP(J1445,'⚙️ Pengaturan'!$H$5:$H1508,'⚙️ Pengaturan'!$I$5:$I1508),"")</f>
        <v>TIM Y</v>
      </c>
      <c r="D1445" s="97" t="s">
        <v>54</v>
      </c>
      <c r="E1445" s="99">
        <v>46018.0</v>
      </c>
      <c r="F1445" s="100" t="str">
        <f t="shared" si="1"/>
        <v>2025</v>
      </c>
      <c r="G1445" s="100" t="str">
        <f t="shared" si="2"/>
        <v>12Des</v>
      </c>
      <c r="H1445" s="100" t="str">
        <f t="shared" si="3"/>
        <v>Sabtu</v>
      </c>
      <c r="I1445" s="97" t="s">
        <v>65</v>
      </c>
      <c r="J1445" s="97" t="s">
        <v>88</v>
      </c>
      <c r="K1445" s="97" t="s">
        <v>63</v>
      </c>
      <c r="L1445" s="101" t="s">
        <v>787</v>
      </c>
      <c r="M1445" s="102" t="str">
        <f>IFNA(VLOOKUP(L1445,'🙎‍♂️ Pasien'!G:V,2,FALSE),"")</f>
        <v>W5325062288</v>
      </c>
      <c r="N1445" s="103">
        <f>IFNA(VLOOKUP(L1445,'🙎‍♂️ Pasien'!G:L,3,FALSE),"")</f>
        <v>73</v>
      </c>
      <c r="O1445" s="104" t="str">
        <f>IFNA(VLOOKUP(L1445,'🙎‍♂️ Pasien'!G:V,6,FALSE),"")</f>
        <v>LAKI-LAKI</v>
      </c>
      <c r="P1445" s="104" t="str">
        <f>IFNA(VLOOKUP(L1445,'🙎‍♂️ Pasien'!G:V,12,FALSE),"")</f>
        <v>ISLAM</v>
      </c>
      <c r="Q1445" s="104" t="str">
        <f>IFNA(VLOOKUP(L1445:L1508,'🙎‍♂️ Pasien'!G:V,13,FALSE),"")</f>
        <v>PENSIUNAN</v>
      </c>
      <c r="R1445" s="104" t="str">
        <f t="array" ref="R1445">ifna(xlookup(L1445,'🙎‍♂️ Pasien'!$G$5:$G1508,'🙎‍♂️ Pasien'!$T$5:$T1508),"")</f>
        <v>PASKA STROKE KAKI KANAN DAN TANGAN KANAN KURANG BISA DIGERAKKAN</v>
      </c>
      <c r="S1445" s="104" t="str">
        <f t="array" ref="S1445">ifna(xlookup(L1445,'🙎‍♂️ Pasien'!$G$5:$G1508,'🙎‍♂️ Pasien'!$U$5:$U1508),"")</f>
        <v>-</v>
      </c>
      <c r="T1445" s="97" t="s">
        <v>59</v>
      </c>
      <c r="U1445" s="105">
        <v>1.0</v>
      </c>
      <c r="V1445" s="101"/>
      <c r="W1445" s="106" t="b">
        <v>1</v>
      </c>
      <c r="X1445" s="107"/>
      <c r="Y1445" s="108"/>
    </row>
    <row r="1446" ht="22.5" customHeight="1">
      <c r="A1446" s="96"/>
      <c r="B1446" s="97" t="s">
        <v>53</v>
      </c>
      <c r="C1446" s="98" t="str">
        <f t="array" ref="C1446">IFNA(XLOOKUP(J1446,'⚙️ Pengaturan'!$H$5:$H1508,'⚙️ Pengaturan'!$I$5:$I1508),"")</f>
        <v>TIM Y</v>
      </c>
      <c r="D1446" s="97" t="s">
        <v>54</v>
      </c>
      <c r="E1446" s="99">
        <v>46018.0</v>
      </c>
      <c r="F1446" s="100" t="str">
        <f t="shared" si="1"/>
        <v>2025</v>
      </c>
      <c r="G1446" s="100" t="str">
        <f t="shared" si="2"/>
        <v>12Des</v>
      </c>
      <c r="H1446" s="100" t="str">
        <f t="shared" si="3"/>
        <v>Sabtu</v>
      </c>
      <c r="I1446" s="97" t="s">
        <v>74</v>
      </c>
      <c r="J1446" s="97" t="s">
        <v>91</v>
      </c>
      <c r="K1446" s="97" t="s">
        <v>63</v>
      </c>
      <c r="L1446" s="101" t="s">
        <v>762</v>
      </c>
      <c r="M1446" s="102" t="str">
        <f>IFNA(VLOOKUP(L1446,'🙎‍♂️ Pasien'!G:V,2,FALSE),"")</f>
        <v>A0825125687</v>
      </c>
      <c r="N1446" s="103">
        <f>IFNA(VLOOKUP(L1446,'🙎‍♂️ Pasien'!G:L,3,FALSE),"")</f>
        <v>17</v>
      </c>
      <c r="O1446" s="104" t="str">
        <f>IFNA(VLOOKUP(L1446,'🙎‍♂️ Pasien'!G:V,6,FALSE),"")</f>
        <v>PEREMPUAN</v>
      </c>
      <c r="P1446" s="104" t="str">
        <f>IFNA(VLOOKUP(L1446,'🙎‍♂️ Pasien'!G:V,12,FALSE),"")</f>
        <v>KATOLIK</v>
      </c>
      <c r="Q1446" s="104" t="str">
        <f>IFNA(VLOOKUP(L1446:L1508,'🙎‍♂️ Pasien'!G:V,13,FALSE),"")</f>
        <v>SISWA SMA</v>
      </c>
      <c r="R1446" s="104" t="str">
        <f t="array" ref="R1446">ifna(xlookup(L1446,'🙎‍♂️ Pasien'!$G$5:$G1508,'🙎‍♂️ Pasien'!$T$5:$T1508),"")</f>
        <v>SKOLIOSIS</v>
      </c>
      <c r="S1446" s="104" t="str">
        <f t="array" ref="S1446">ifna(xlookup(L1446,'🙎‍♂️ Pasien'!$G$5:$G1508,'🙎‍♂️ Pasien'!$U$5:$U1508),"")</f>
        <v>GYM</v>
      </c>
      <c r="T1446" s="97" t="s">
        <v>59</v>
      </c>
      <c r="U1446" s="105">
        <v>2.0</v>
      </c>
      <c r="V1446" s="101"/>
      <c r="W1446" s="106" t="b">
        <v>1</v>
      </c>
      <c r="X1446" s="107"/>
      <c r="Y1446" s="108"/>
    </row>
    <row r="1447" ht="22.5" customHeight="1">
      <c r="A1447" s="96"/>
      <c r="B1447" s="97" t="s">
        <v>53</v>
      </c>
      <c r="C1447" s="98" t="str">
        <f t="array" ref="C1447">IFNA(XLOOKUP(J1447,'⚙️ Pengaturan'!$H$5:$H1508,'⚙️ Pengaturan'!$I$5:$I1508),"")</f>
        <v>TIM Y</v>
      </c>
      <c r="D1447" s="97" t="s">
        <v>54</v>
      </c>
      <c r="E1447" s="99">
        <v>46018.0</v>
      </c>
      <c r="F1447" s="100" t="str">
        <f t="shared" si="1"/>
        <v>2025</v>
      </c>
      <c r="G1447" s="100" t="str">
        <f t="shared" si="2"/>
        <v>12Des</v>
      </c>
      <c r="H1447" s="100" t="str">
        <f t="shared" si="3"/>
        <v>Sabtu</v>
      </c>
      <c r="I1447" s="97" t="s">
        <v>74</v>
      </c>
      <c r="J1447" s="97" t="s">
        <v>509</v>
      </c>
      <c r="K1447" s="97" t="s">
        <v>63</v>
      </c>
      <c r="L1447" s="101" t="s">
        <v>752</v>
      </c>
      <c r="M1447" s="102" t="str">
        <f>IFNA(VLOOKUP(L1447,'🙎‍♂️ Pasien'!G:V,2,FALSE),"")</f>
        <v>J9824114915</v>
      </c>
      <c r="N1447" s="103">
        <f>IFNA(VLOOKUP(L1447,'🙎‍♂️ Pasien'!G:L,3,FALSE),"")</f>
        <v>27</v>
      </c>
      <c r="O1447" s="104" t="str">
        <f>IFNA(VLOOKUP(L1447,'🙎‍♂️ Pasien'!G:V,6,FALSE),"")</f>
        <v>LAKI-LAKI</v>
      </c>
      <c r="P1447" s="104" t="str">
        <f>IFNA(VLOOKUP(L1447,'🙎‍♂️ Pasien'!G:V,12,FALSE),"")</f>
        <v>KHONGHUCU</v>
      </c>
      <c r="Q1447" s="104" t="str">
        <f>IFNA(VLOOKUP(L1447:L1508,'🙎‍♂️ Pasien'!G:V,13,FALSE),"")</f>
        <v>SALES LUAR KOTA</v>
      </c>
      <c r="R1447" s="104" t="str">
        <f t="array" ref="R1447">ifna(xlookup(L1447,'🙎‍♂️ Pasien'!$G$5:$G1508,'🙎‍♂️ Pasien'!$T$5:$T1508),"")</f>
        <v>LUTUT KAKI</v>
      </c>
      <c r="S1447" s="104" t="str">
        <f t="array" ref="S1447">ifna(xlookup(L1447,'🙎‍♂️ Pasien'!$G$5:$G1508,'🙎‍♂️ Pasien'!$U$5:$U1508),"")</f>
        <v>SEPAK BOLA</v>
      </c>
      <c r="T1447" s="97" t="s">
        <v>67</v>
      </c>
      <c r="U1447" s="105">
        <v>2.0</v>
      </c>
      <c r="V1447" s="101" t="s">
        <v>788</v>
      </c>
      <c r="W1447" s="106" t="b">
        <v>1</v>
      </c>
      <c r="X1447" s="107"/>
      <c r="Y1447" s="108"/>
    </row>
    <row r="1448" ht="22.5" customHeight="1">
      <c r="A1448" s="96"/>
      <c r="B1448" s="97" t="s">
        <v>53</v>
      </c>
      <c r="C1448" s="98" t="str">
        <f t="array" ref="C1448">IFNA(XLOOKUP(J1448,'⚙️ Pengaturan'!$H$5:$H1508,'⚙️ Pengaturan'!$I$5:$I1508),"")</f>
        <v>TIM Y</v>
      </c>
      <c r="D1448" s="97" t="s">
        <v>54</v>
      </c>
      <c r="E1448" s="99">
        <v>46018.0</v>
      </c>
      <c r="F1448" s="100" t="str">
        <f t="shared" si="1"/>
        <v>2025</v>
      </c>
      <c r="G1448" s="100" t="str">
        <f t="shared" si="2"/>
        <v>12Des</v>
      </c>
      <c r="H1448" s="100" t="str">
        <f t="shared" si="3"/>
        <v>Sabtu</v>
      </c>
      <c r="I1448" s="97" t="s">
        <v>76</v>
      </c>
      <c r="J1448" s="97" t="s">
        <v>91</v>
      </c>
      <c r="K1448" s="97" t="s">
        <v>63</v>
      </c>
      <c r="L1448" s="101" t="s">
        <v>98</v>
      </c>
      <c r="M1448" s="102" t="str">
        <f>IFNA(VLOOKUP(L1448,'🙎‍♂️ Pasien'!G:V,2,FALSE),"")</f>
        <v>L9925048099</v>
      </c>
      <c r="N1448" s="103">
        <f>IFNA(VLOOKUP(L1448,'🙎‍♂️ Pasien'!G:L,3,FALSE),"")</f>
        <v>26</v>
      </c>
      <c r="O1448" s="104" t="str">
        <f>IFNA(VLOOKUP(L1448,'🙎‍♂️ Pasien'!G:V,6,FALSE),"")</f>
        <v>PEREMPUAN</v>
      </c>
      <c r="P1448" s="104" t="str">
        <f>IFNA(VLOOKUP(L1448,'🙎‍♂️ Pasien'!G:V,12,FALSE),"")</f>
        <v>KATOLIK</v>
      </c>
      <c r="Q1448" s="104" t="str">
        <f>IFNA(VLOOKUP(L1448:L1508,'🙎‍♂️ Pasien'!G:V,13,FALSE),"")</f>
        <v>ACCOUNTING</v>
      </c>
      <c r="R1448" s="104" t="str">
        <f t="array" ref="R1448">ifna(xlookup(L1448,'🙎‍♂️ Pasien'!$G$5:$G1508,'🙎‍♂️ Pasien'!$T$5:$T1508),"")</f>
        <v>NYERI TULANG BELAKANG SAMPAI KAKI, NYERI DI BAGIAN LUTUT JUGA</v>
      </c>
      <c r="S1448" s="104" t="str">
        <f t="array" ref="S1448">ifna(xlookup(L1448,'🙎‍♂️ Pasien'!$G$5:$G1508,'🙎‍♂️ Pasien'!$U$5:$U1508),"")</f>
        <v>BANYAK DUDUK</v>
      </c>
      <c r="T1448" s="97" t="s">
        <v>59</v>
      </c>
      <c r="U1448" s="105">
        <v>7.0</v>
      </c>
      <c r="V1448" s="101"/>
      <c r="W1448" s="106" t="b">
        <v>1</v>
      </c>
      <c r="X1448" s="107"/>
      <c r="Y1448" s="108"/>
    </row>
    <row r="1449" ht="22.5" customHeight="1">
      <c r="A1449" s="96"/>
      <c r="B1449" s="97" t="s">
        <v>53</v>
      </c>
      <c r="C1449" s="98" t="str">
        <f t="array" ref="C1449">IFNA(XLOOKUP(J1449,'⚙️ Pengaturan'!$H$5:$H1508,'⚙️ Pengaturan'!$I$5:$I1508),"")</f>
        <v>TIM Y</v>
      </c>
      <c r="D1449" s="97" t="s">
        <v>54</v>
      </c>
      <c r="E1449" s="99">
        <v>46018.0</v>
      </c>
      <c r="F1449" s="100" t="str">
        <f t="shared" si="1"/>
        <v>2025</v>
      </c>
      <c r="G1449" s="100" t="str">
        <f t="shared" si="2"/>
        <v>12Des</v>
      </c>
      <c r="H1449" s="100" t="str">
        <f t="shared" si="3"/>
        <v>Sabtu</v>
      </c>
      <c r="I1449" s="97" t="s">
        <v>76</v>
      </c>
      <c r="J1449" s="97" t="s">
        <v>509</v>
      </c>
      <c r="K1449" s="97" t="s">
        <v>69</v>
      </c>
      <c r="L1449" s="101" t="s">
        <v>766</v>
      </c>
      <c r="M1449" s="102" t="str">
        <f>IFNA(VLOOKUP(L1449,'🙎‍♂️ Pasien'!G:V,2,FALSE),"")</f>
        <v>E9523075183</v>
      </c>
      <c r="N1449" s="103">
        <f>IFNA(VLOOKUP(L1449,'🙎‍♂️ Pasien'!G:L,3,FALSE),"")</f>
        <v>30</v>
      </c>
      <c r="O1449" s="104" t="str">
        <f>IFNA(VLOOKUP(L1449,'🙎‍♂️ Pasien'!G:V,6,FALSE),"")</f>
        <v>PEREMPUAN</v>
      </c>
      <c r="P1449" s="104" t="str">
        <f>IFNA(VLOOKUP(L1449,'🙎‍♂️ Pasien'!G:V,12,FALSE),"")</f>
        <v>PROTESTAN</v>
      </c>
      <c r="Q1449" s="104" t="str">
        <f>IFNA(VLOOKUP(L1449:L1508,'🙎‍♂️ Pasien'!G:V,13,FALSE),"")</f>
        <v>WIRASWASTA</v>
      </c>
      <c r="R1449" s="104" t="str">
        <f t="array" ref="R1449">ifna(xlookup(L1449,'🙎‍♂️ Pasien'!$G$5:$G1508,'🙎‍♂️ Pasien'!$T$5:$T1508),"")</f>
        <v>PERGELANGAN SAKIT</v>
      </c>
      <c r="S1449" s="104" t="str">
        <f t="array" ref="S1449">ifna(xlookup(L1449,'🙎‍♂️ Pasien'!$G$5:$G1508,'🙎‍♂️ Pasien'!$U$5:$U1508),"")</f>
        <v>TENIS MEJA</v>
      </c>
      <c r="T1449" s="97" t="s">
        <v>67</v>
      </c>
      <c r="U1449" s="105" t="s">
        <v>60</v>
      </c>
      <c r="V1449" s="101" t="s">
        <v>343</v>
      </c>
      <c r="W1449" s="106" t="b">
        <v>1</v>
      </c>
      <c r="X1449" s="107"/>
      <c r="Y1449" s="108"/>
    </row>
    <row r="1450" ht="22.5" customHeight="1">
      <c r="A1450" s="96"/>
      <c r="B1450" s="97" t="s">
        <v>53</v>
      </c>
      <c r="C1450" s="98" t="str">
        <f t="array" ref="C1450">IFNA(XLOOKUP(J1450,'⚙️ Pengaturan'!$H$5:$H1508,'⚙️ Pengaturan'!$I$5:$I1508),"")</f>
        <v>TIM Y</v>
      </c>
      <c r="D1450" s="97" t="s">
        <v>54</v>
      </c>
      <c r="E1450" s="99">
        <v>46018.0</v>
      </c>
      <c r="F1450" s="100" t="str">
        <f t="shared" si="1"/>
        <v>2025</v>
      </c>
      <c r="G1450" s="100" t="str">
        <f t="shared" si="2"/>
        <v>12Des</v>
      </c>
      <c r="H1450" s="100" t="str">
        <f t="shared" si="3"/>
        <v>Sabtu</v>
      </c>
      <c r="I1450" s="97" t="s">
        <v>76</v>
      </c>
      <c r="J1450" s="97" t="s">
        <v>509</v>
      </c>
      <c r="K1450" s="97" t="s">
        <v>57</v>
      </c>
      <c r="L1450" s="101" t="s">
        <v>789</v>
      </c>
      <c r="M1450" s="102" t="str">
        <f>IFNA(VLOOKUP(L1450,'🙎‍♂️ Pasien'!G:V,2,FALSE),"")</f>
        <v>D5325127738</v>
      </c>
      <c r="N1450" s="103">
        <f>IFNA(VLOOKUP(L1450,'🙎‍♂️ Pasien'!G:L,3,FALSE),"")</f>
        <v>72</v>
      </c>
      <c r="O1450" s="104" t="str">
        <f>IFNA(VLOOKUP(L1450,'🙎‍♂️ Pasien'!G:V,6,FALSE),"")</f>
        <v>LAKI-LAKI</v>
      </c>
      <c r="P1450" s="104" t="str">
        <f>IFNA(VLOOKUP(L1450,'🙎‍♂️ Pasien'!G:V,12,FALSE),"")</f>
        <v>KATOLIK</v>
      </c>
      <c r="Q1450" s="104" t="str">
        <f>IFNA(VLOOKUP(L1450:L1508,'🙎‍♂️ Pasien'!G:V,13,FALSE),"")</f>
        <v>WIRASWASTA</v>
      </c>
      <c r="R1450" s="104" t="str">
        <f t="array" ref="R1450">ifna(xlookup(L1450,'🙎‍♂️ Pasien'!$G$5:$G1508,'🙎‍♂️ Pasien'!$T$5:$T1508),"")</f>
        <v>LEHER</v>
      </c>
      <c r="S1450" s="104" t="str">
        <f t="array" ref="S1450">ifna(xlookup(L1450,'🙎‍♂️ Pasien'!$G$5:$G1508,'🙎‍♂️ Pasien'!$U$5:$U1508),"")</f>
        <v>-</v>
      </c>
      <c r="T1450" s="97" t="s">
        <v>59</v>
      </c>
      <c r="U1450" s="105" t="s">
        <v>60</v>
      </c>
      <c r="V1450" s="101"/>
      <c r="W1450" s="106" t="b">
        <v>1</v>
      </c>
      <c r="X1450" s="107"/>
      <c r="Y1450" s="108"/>
    </row>
    <row r="1451" ht="22.5" customHeight="1">
      <c r="A1451" s="96"/>
      <c r="B1451" s="97" t="s">
        <v>53</v>
      </c>
      <c r="C1451" s="98" t="str">
        <f t="array" ref="C1451">IFNA(XLOOKUP(J1451,'⚙️ Pengaturan'!$H$5:$H1508,'⚙️ Pengaturan'!$I$5:$I1508),"")</f>
        <v>TIM Y</v>
      </c>
      <c r="D1451" s="97" t="s">
        <v>54</v>
      </c>
      <c r="E1451" s="99">
        <v>46018.0</v>
      </c>
      <c r="F1451" s="100" t="str">
        <f t="shared" si="1"/>
        <v>2025</v>
      </c>
      <c r="G1451" s="100" t="str">
        <f t="shared" si="2"/>
        <v>12Des</v>
      </c>
      <c r="H1451" s="100" t="str">
        <f t="shared" si="3"/>
        <v>Sabtu</v>
      </c>
      <c r="I1451" s="97" t="s">
        <v>83</v>
      </c>
      <c r="J1451" s="97" t="s">
        <v>91</v>
      </c>
      <c r="K1451" s="97" t="s">
        <v>63</v>
      </c>
      <c r="L1451" s="101" t="s">
        <v>153</v>
      </c>
      <c r="M1451" s="102" t="str">
        <f>IFNA(VLOOKUP(L1451,'🙎‍♂️ Pasien'!G:V,2,FALSE),"")</f>
        <v>S6225086797</v>
      </c>
      <c r="N1451" s="103">
        <f>IFNA(VLOOKUP(L1451,'🙎‍♂️ Pasien'!G:L,3,FALSE),"")</f>
        <v>63</v>
      </c>
      <c r="O1451" s="104" t="str">
        <f>IFNA(VLOOKUP(L1451,'🙎‍♂️ Pasien'!G:V,6,FALSE),"")</f>
        <v>PEREMPUAN</v>
      </c>
      <c r="P1451" s="104" t="str">
        <f>IFNA(VLOOKUP(L1451,'🙎‍♂️ Pasien'!G:V,12,FALSE),"")</f>
        <v>ISLAM</v>
      </c>
      <c r="Q1451" s="104" t="str">
        <f>IFNA(VLOOKUP(L1451:L1508,'🙎‍♂️ Pasien'!G:V,13,FALSE),"")</f>
        <v>-</v>
      </c>
      <c r="R1451" s="104" t="str">
        <f t="array" ref="R1451">ifna(xlookup(L1451,'🙎‍♂️ Pasien'!$G$5:$G1508,'🙎‍♂️ Pasien'!$T$5:$T1508),"")</f>
        <v>TANGAN KANAN BAGIAN ATAS, SAKIT SAAT DIGERAKKAN</v>
      </c>
      <c r="S1451" s="104" t="str">
        <f t="array" ref="S1451">ifna(xlookup(L1451,'🙎‍♂️ Pasien'!$G$5:$G1508,'🙎‍♂️ Pasien'!$U$5:$U1508),"")</f>
        <v>PEKERJAAN RUMAH TANGGA</v>
      </c>
      <c r="T1451" s="97" t="s">
        <v>59</v>
      </c>
      <c r="U1451" s="105">
        <v>10.0</v>
      </c>
      <c r="V1451" s="101" t="s">
        <v>125</v>
      </c>
      <c r="W1451" s="106" t="b">
        <v>1</v>
      </c>
      <c r="X1451" s="107"/>
      <c r="Y1451" s="108"/>
    </row>
    <row r="1452" ht="22.5" customHeight="1">
      <c r="A1452" s="96"/>
      <c r="B1452" s="97" t="s">
        <v>53</v>
      </c>
      <c r="C1452" s="98" t="str">
        <f t="array" ref="C1452">IFNA(XLOOKUP(J1452,'⚙️ Pengaturan'!$H$5:$H1508,'⚙️ Pengaturan'!$I$5:$I1508),"")</f>
        <v>TIM Y</v>
      </c>
      <c r="D1452" s="97" t="s">
        <v>54</v>
      </c>
      <c r="E1452" s="99">
        <v>46018.0</v>
      </c>
      <c r="F1452" s="100" t="str">
        <f t="shared" si="1"/>
        <v>2025</v>
      </c>
      <c r="G1452" s="100" t="str">
        <f t="shared" si="2"/>
        <v>12Des</v>
      </c>
      <c r="H1452" s="100" t="str">
        <f t="shared" si="3"/>
        <v>Sabtu</v>
      </c>
      <c r="I1452" s="97" t="s">
        <v>83</v>
      </c>
      <c r="J1452" s="97" t="s">
        <v>88</v>
      </c>
      <c r="K1452" s="97" t="s">
        <v>69</v>
      </c>
      <c r="L1452" s="101" t="s">
        <v>155</v>
      </c>
      <c r="M1452" s="102" t="str">
        <f>IFNA(VLOOKUP(L1452,'🙎‍♂️ Pasien'!G:V,2,FALSE),"")</f>
        <v>H5325012017</v>
      </c>
      <c r="N1452" s="103">
        <f>IFNA(VLOOKUP(L1452,'🙎‍♂️ Pasien'!G:L,3,FALSE),"")</f>
        <v>72</v>
      </c>
      <c r="O1452" s="104" t="str">
        <f>IFNA(VLOOKUP(L1452,'🙎‍♂️ Pasien'!G:V,6,FALSE),"")</f>
        <v>LAKI-LAKI</v>
      </c>
      <c r="P1452" s="104" t="str">
        <f>IFNA(VLOOKUP(L1452,'🙎‍♂️ Pasien'!G:V,12,FALSE),"")</f>
        <v>ISLAM</v>
      </c>
      <c r="Q1452" s="104" t="str">
        <f>IFNA(VLOOKUP(L1452:L1508,'🙎‍♂️ Pasien'!G:V,13,FALSE),"")</f>
        <v>PENSIUN</v>
      </c>
      <c r="R1452" s="104" t="str">
        <f t="array" ref="R1452">ifna(xlookup(L1452,'🙎‍♂️ Pasien'!$G$5:$G1508,'🙎‍♂️ Pasien'!$T$5:$T1508),"")</f>
        <v>Kaki terasa nyeri jika dibawa berdiri lama atau berjalan jauh</v>
      </c>
      <c r="S1452" s="104" t="str">
        <f t="array" ref="S1452">ifna(xlookup(L1452,'🙎‍♂️ Pasien'!$G$5:$G1508,'🙎‍♂️ Pasien'!$U$5:$U1508),"")</f>
        <v>Tidak ada</v>
      </c>
      <c r="T1452" s="97" t="s">
        <v>59</v>
      </c>
      <c r="U1452" s="105" t="s">
        <v>60</v>
      </c>
      <c r="V1452" s="101"/>
      <c r="W1452" s="106" t="b">
        <v>1</v>
      </c>
      <c r="X1452" s="107"/>
      <c r="Y1452" s="108"/>
    </row>
    <row r="1453" ht="22.5" customHeight="1">
      <c r="A1453" s="96"/>
      <c r="B1453" s="97" t="s">
        <v>53</v>
      </c>
      <c r="C1453" s="98" t="str">
        <f t="array" ref="C1453">IFNA(XLOOKUP(J1453,'⚙️ Pengaturan'!$H$5:$H1508,'⚙️ Pengaturan'!$I$5:$I1508),"")</f>
        <v>TIM Y</v>
      </c>
      <c r="D1453" s="97" t="s">
        <v>54</v>
      </c>
      <c r="E1453" s="99">
        <v>46018.0</v>
      </c>
      <c r="F1453" s="100" t="str">
        <f t="shared" si="1"/>
        <v>2025</v>
      </c>
      <c r="G1453" s="100" t="str">
        <f t="shared" si="2"/>
        <v>12Des</v>
      </c>
      <c r="H1453" s="100" t="str">
        <f t="shared" si="3"/>
        <v>Sabtu</v>
      </c>
      <c r="I1453" s="97" t="s">
        <v>83</v>
      </c>
      <c r="J1453" s="97" t="s">
        <v>509</v>
      </c>
      <c r="K1453" s="97" t="s">
        <v>57</v>
      </c>
      <c r="L1453" s="101" t="s">
        <v>790</v>
      </c>
      <c r="M1453" s="102" t="str">
        <f>IFNA(VLOOKUP(L1453,'🙎‍♂️ Pasien'!G:V,2,FALSE),"")</f>
        <v>R9125124991</v>
      </c>
      <c r="N1453" s="103">
        <f>IFNA(VLOOKUP(L1453,'🙎‍♂️ Pasien'!G:L,3,FALSE),"")</f>
        <v>35</v>
      </c>
      <c r="O1453" s="104" t="str">
        <f>IFNA(VLOOKUP(L1453,'🙎‍♂️ Pasien'!G:V,6,FALSE),"")</f>
        <v>PEREMPUAN</v>
      </c>
      <c r="P1453" s="104" t="str">
        <f>IFNA(VLOOKUP(L1453,'🙎‍♂️ Pasien'!G:V,12,FALSE),"")</f>
        <v>ISLAM</v>
      </c>
      <c r="Q1453" s="104" t="str">
        <f>IFNA(VLOOKUP(L1453:L1508,'🙎‍♂️ Pasien'!G:V,13,FALSE),"")</f>
        <v>WIRASWASTA</v>
      </c>
      <c r="R1453" s="104" t="str">
        <f t="array" ref="R1453">ifna(xlookup(L1453,'🙎‍♂️ Pasien'!$G$5:$G1508,'🙎‍♂️ Pasien'!$T$5:$T1508),"")</f>
        <v>KAKI</v>
      </c>
      <c r="S1453" s="104" t="str">
        <f t="array" ref="S1453">ifna(xlookup(L1453,'🙎‍♂️ Pasien'!$G$5:$G1508,'🙎‍♂️ Pasien'!$U$5:$U1508),"")</f>
        <v>TENIS</v>
      </c>
      <c r="T1453" s="97" t="s">
        <v>59</v>
      </c>
      <c r="U1453" s="105" t="s">
        <v>60</v>
      </c>
      <c r="V1453" s="101"/>
      <c r="W1453" s="106" t="b">
        <v>1</v>
      </c>
      <c r="X1453" s="107"/>
      <c r="Y1453" s="108"/>
    </row>
    <row r="1454" ht="22.5" customHeight="1">
      <c r="A1454" s="96"/>
      <c r="B1454" s="97" t="s">
        <v>85</v>
      </c>
      <c r="C1454" s="98" t="str">
        <f t="array" ref="C1454">IFNA(XLOOKUP(J1454,'⚙️ Pengaturan'!$H$5:$H1508,'⚙️ Pengaturan'!$I$5:$I1508),"")</f>
        <v>TIM A</v>
      </c>
      <c r="D1454" s="97" t="s">
        <v>86</v>
      </c>
      <c r="E1454" s="99">
        <v>46018.0</v>
      </c>
      <c r="F1454" s="100" t="str">
        <f t="shared" si="1"/>
        <v>2025</v>
      </c>
      <c r="G1454" s="100" t="str">
        <f t="shared" si="2"/>
        <v>12Des</v>
      </c>
      <c r="H1454" s="100" t="str">
        <f t="shared" si="3"/>
        <v>Sabtu</v>
      </c>
      <c r="I1454" s="97" t="s">
        <v>87</v>
      </c>
      <c r="J1454" s="97" t="s">
        <v>72</v>
      </c>
      <c r="K1454" s="97" t="s">
        <v>63</v>
      </c>
      <c r="L1454" s="101" t="s">
        <v>136</v>
      </c>
      <c r="M1454" s="102" t="str">
        <f>IFNA(VLOOKUP(L1454,'🙎‍♂️ Pasien'!G:V,2,FALSE),"")</f>
        <v>H9025092496</v>
      </c>
      <c r="N1454" s="103">
        <f>IFNA(VLOOKUP(L1454,'🙎‍♂️ Pasien'!G:L,3,FALSE),"")</f>
        <v>35</v>
      </c>
      <c r="O1454" s="104" t="str">
        <f>IFNA(VLOOKUP(L1454,'🙎‍♂️ Pasien'!G:V,6,FALSE),"")</f>
        <v>LAKI-LAKI</v>
      </c>
      <c r="P1454" s="104" t="str">
        <f>IFNA(VLOOKUP(L1454,'🙎‍♂️ Pasien'!G:V,12,FALSE),"")</f>
        <v>ISLAM</v>
      </c>
      <c r="Q1454" s="104" t="str">
        <f>IFNA(VLOOKUP(L1454:L1508,'🙎‍♂️ Pasien'!G:V,13,FALSE),"")</f>
        <v>SWASTA</v>
      </c>
      <c r="R1454" s="104" t="str">
        <f t="array" ref="R1454">ifna(xlookup(L1454,'🙎‍♂️ Pasien'!$G$5:$G1508,'🙎‍♂️ Pasien'!$T$5:$T1508),"")</f>
        <v>KAKI KIRI SAKIT</v>
      </c>
      <c r="S1454" s="104" t="str">
        <f t="array" ref="S1454">ifna(xlookup(L1454,'🙎‍♂️ Pasien'!$G$5:$G1508,'🙎‍♂️ Pasien'!$U$5:$U1508),"")</f>
        <v>LATIHAN LATI</v>
      </c>
      <c r="T1454" s="97" t="s">
        <v>59</v>
      </c>
      <c r="U1454" s="105">
        <v>4.0</v>
      </c>
      <c r="V1454" s="101"/>
      <c r="W1454" s="106" t="b">
        <v>1</v>
      </c>
      <c r="X1454" s="107"/>
      <c r="Y1454" s="108"/>
    </row>
    <row r="1455" ht="22.5" customHeight="1">
      <c r="A1455" s="96"/>
      <c r="B1455" s="97" t="s">
        <v>85</v>
      </c>
      <c r="C1455" s="98" t="str">
        <f t="array" ref="C1455">IFNA(XLOOKUP(J1455,'⚙️ Pengaturan'!$H$5:$H1508,'⚙️ Pengaturan'!$I$5:$I1508),"")</f>
        <v>TIM A</v>
      </c>
      <c r="D1455" s="97" t="s">
        <v>86</v>
      </c>
      <c r="E1455" s="99">
        <v>46018.0</v>
      </c>
      <c r="F1455" s="100" t="str">
        <f t="shared" si="1"/>
        <v>2025</v>
      </c>
      <c r="G1455" s="100" t="str">
        <f t="shared" si="2"/>
        <v>12Des</v>
      </c>
      <c r="H1455" s="100" t="str">
        <f t="shared" si="3"/>
        <v>Sabtu</v>
      </c>
      <c r="I1455" s="97" t="s">
        <v>87</v>
      </c>
      <c r="J1455" s="97" t="s">
        <v>79</v>
      </c>
      <c r="K1455" s="97" t="s">
        <v>69</v>
      </c>
      <c r="L1455" s="101" t="s">
        <v>776</v>
      </c>
      <c r="M1455" s="102" t="str">
        <f>IFNA(VLOOKUP(L1455,'🙎‍♂️ Pasien'!G:V,2,FALSE),"")</f>
        <v>L5725128222</v>
      </c>
      <c r="N1455" s="103">
        <f>IFNA(VLOOKUP(L1455,'🙎‍♂️ Pasien'!G:L,3,FALSE),"")</f>
        <v>69</v>
      </c>
      <c r="O1455" s="104" t="str">
        <f>IFNA(VLOOKUP(L1455,'🙎‍♂️ Pasien'!G:V,6,FALSE),"")</f>
        <v>PEREMPUAN</v>
      </c>
      <c r="P1455" s="104" t="str">
        <f>IFNA(VLOOKUP(L1455,'🙎‍♂️ Pasien'!G:V,12,FALSE),"")</f>
        <v>BUDDHA</v>
      </c>
      <c r="Q1455" s="104" t="str">
        <f>IFNA(VLOOKUP(L1455:L1508,'🙎‍♂️ Pasien'!G:V,13,FALSE),"")</f>
        <v>IBU RUMAH TANGGA</v>
      </c>
      <c r="R1455" s="104" t="str">
        <f t="array" ref="R1455">ifna(xlookup(L1455,'🙎‍♂️ Pasien'!$G$5:$G1508,'🙎‍♂️ Pasien'!$T$5:$T1508),"")</f>
        <v>BETIS SAKIT</v>
      </c>
      <c r="S1455" s="104" t="str">
        <f t="array" ref="S1455">ifna(xlookup(L1455,'🙎‍♂️ Pasien'!$G$5:$G1508,'🙎‍♂️ Pasien'!$U$5:$U1508),"")</f>
        <v>TIDAK ADA</v>
      </c>
      <c r="T1455" s="97" t="s">
        <v>59</v>
      </c>
      <c r="U1455" s="105" t="s">
        <v>60</v>
      </c>
      <c r="V1455" s="101"/>
      <c r="W1455" s="106" t="b">
        <v>1</v>
      </c>
      <c r="X1455" s="107"/>
      <c r="Y1455" s="108"/>
    </row>
    <row r="1456" ht="22.5" customHeight="1">
      <c r="A1456" s="96"/>
      <c r="B1456" s="97" t="s">
        <v>85</v>
      </c>
      <c r="C1456" s="98" t="str">
        <f t="array" ref="C1456">IFNA(XLOOKUP(J1456,'⚙️ Pengaturan'!$H$5:$H1508,'⚙️ Pengaturan'!$I$5:$I1508),"")</f>
        <v>TIM A</v>
      </c>
      <c r="D1456" s="97" t="s">
        <v>86</v>
      </c>
      <c r="E1456" s="99">
        <v>46018.0</v>
      </c>
      <c r="F1456" s="100" t="str">
        <f t="shared" si="1"/>
        <v>2025</v>
      </c>
      <c r="G1456" s="100" t="str">
        <f t="shared" si="2"/>
        <v>12Des</v>
      </c>
      <c r="H1456" s="100" t="str">
        <f t="shared" si="3"/>
        <v>Sabtu</v>
      </c>
      <c r="I1456" s="97" t="s">
        <v>93</v>
      </c>
      <c r="J1456" s="97" t="s">
        <v>72</v>
      </c>
      <c r="K1456" s="97" t="s">
        <v>63</v>
      </c>
      <c r="L1456" s="101" t="s">
        <v>754</v>
      </c>
      <c r="M1456" s="102" t="str">
        <f>IFNA(VLOOKUP(L1456,'🙎‍♂️ Pasien'!G:V,2,FALSE),"")</f>
        <v>L5825122264</v>
      </c>
      <c r="N1456" s="103">
        <f>IFNA(VLOOKUP(L1456,'🙎‍♂️ Pasien'!G:L,3,FALSE),"")</f>
        <v>67</v>
      </c>
      <c r="O1456" s="104" t="str">
        <f>IFNA(VLOOKUP(L1456,'🙎‍♂️ Pasien'!G:V,6,FALSE),"")</f>
        <v>PEREMPUAN</v>
      </c>
      <c r="P1456" s="104" t="str">
        <f>IFNA(VLOOKUP(L1456,'🙎‍♂️ Pasien'!G:V,12,FALSE),"")</f>
        <v>BUDDHA</v>
      </c>
      <c r="Q1456" s="104" t="str">
        <f>IFNA(VLOOKUP(L1456:L1508,'🙎‍♂️ Pasien'!G:V,13,FALSE),"")</f>
        <v>IBU RUMAH TANGGA</v>
      </c>
      <c r="R1456" s="104" t="str">
        <f t="array" ref="R1456">ifna(xlookup(L1456,'🙎‍♂️ Pasien'!$G$5:$G1508,'🙎‍♂️ Pasien'!$T$5:$T1508),"")</f>
        <v>LUTUT SAKIT MENJALAR KE KAKI.</v>
      </c>
      <c r="S1456" s="104" t="str">
        <f t="array" ref="S1456">ifna(xlookup(L1456,'🙎‍♂️ Pasien'!$G$5:$G1508,'🙎‍♂️ Pasien'!$U$5:$U1508),"")</f>
        <v>JALAN KAKI KE PASAR, NAIK TANGGA</v>
      </c>
      <c r="T1456" s="97" t="s">
        <v>59</v>
      </c>
      <c r="U1456" s="105">
        <v>3.0</v>
      </c>
      <c r="V1456" s="101"/>
      <c r="W1456" s="106" t="b">
        <v>1</v>
      </c>
      <c r="X1456" s="107"/>
      <c r="Y1456" s="108"/>
    </row>
    <row r="1457" ht="22.5" customHeight="1">
      <c r="A1457" s="96"/>
      <c r="B1457" s="97" t="s">
        <v>85</v>
      </c>
      <c r="C1457" s="98" t="str">
        <f t="array" ref="C1457">IFNA(XLOOKUP(J1457,'⚙️ Pengaturan'!$H$5:$H1508,'⚙️ Pengaturan'!$I$5:$I1508),"")</f>
        <v>TIM A</v>
      </c>
      <c r="D1457" s="97" t="s">
        <v>86</v>
      </c>
      <c r="E1457" s="99">
        <v>46018.0</v>
      </c>
      <c r="F1457" s="100" t="str">
        <f t="shared" si="1"/>
        <v>2025</v>
      </c>
      <c r="G1457" s="100" t="str">
        <f t="shared" si="2"/>
        <v>12Des</v>
      </c>
      <c r="H1457" s="100" t="str">
        <f t="shared" si="3"/>
        <v>Sabtu</v>
      </c>
      <c r="I1457" s="97" t="s">
        <v>95</v>
      </c>
      <c r="J1457" s="97" t="s">
        <v>72</v>
      </c>
      <c r="K1457" s="97" t="s">
        <v>63</v>
      </c>
      <c r="L1457" s="101" t="s">
        <v>238</v>
      </c>
      <c r="M1457" s="102" t="str">
        <f>IFNA(VLOOKUP(L1457,'🙎‍♂️ Pasien'!G:V,2,FALSE),"")</f>
        <v>Y9524111515</v>
      </c>
      <c r="N1457" s="103">
        <f>IFNA(VLOOKUP(L1457,'🙎‍♂️ Pasien'!G:L,3,FALSE),"")</f>
        <v>31</v>
      </c>
      <c r="O1457" s="104" t="str">
        <f>IFNA(VLOOKUP(L1457,'🙎‍♂️ Pasien'!G:V,6,FALSE),"")</f>
        <v>PEREMPUAN</v>
      </c>
      <c r="P1457" s="104" t="str">
        <f>IFNA(VLOOKUP(L1457,'🙎‍♂️ Pasien'!G:V,12,FALSE),"")</f>
        <v>BUDDHA</v>
      </c>
      <c r="Q1457" s="104" t="str">
        <f>IFNA(VLOOKUP(L1457:L1508,'🙎‍♂️ Pasien'!G:V,13,FALSE),"")</f>
        <v>WIRASWASTA</v>
      </c>
      <c r="R1457" s="104" t="str">
        <f t="array" ref="R1457">ifna(xlookup(L1457,'🙎‍♂️ Pasien'!$G$5:$G1508,'🙎‍♂️ Pasien'!$T$5:$T1508),"")</f>
        <v>LOWER BACK PAIN</v>
      </c>
      <c r="S1457" s="104" t="str">
        <f t="array" ref="S1457">ifna(xlookup(L1457,'🙎‍♂️ Pasien'!$G$5:$G1508,'🙎‍♂️ Pasien'!$U$5:$U1508),"")</f>
        <v>PILATES DAN GYM</v>
      </c>
      <c r="T1457" s="97" t="s">
        <v>59</v>
      </c>
      <c r="U1457" s="105">
        <v>5.0</v>
      </c>
      <c r="V1457" s="101" t="s">
        <v>125</v>
      </c>
      <c r="W1457" s="106" t="b">
        <v>1</v>
      </c>
      <c r="X1457" s="107"/>
      <c r="Y1457" s="108"/>
    </row>
    <row r="1458" ht="22.5" customHeight="1">
      <c r="A1458" s="96"/>
      <c r="B1458" s="97" t="s">
        <v>85</v>
      </c>
      <c r="C1458" s="98" t="str">
        <f t="array" ref="C1458">IFNA(XLOOKUP(J1458,'⚙️ Pengaturan'!$H$5:$H1508,'⚙️ Pengaturan'!$I$5:$I1508),"")</f>
        <v>TIM A</v>
      </c>
      <c r="D1458" s="97" t="s">
        <v>86</v>
      </c>
      <c r="E1458" s="99">
        <v>46018.0</v>
      </c>
      <c r="F1458" s="100" t="str">
        <f t="shared" si="1"/>
        <v>2025</v>
      </c>
      <c r="G1458" s="100" t="str">
        <f t="shared" si="2"/>
        <v>12Des</v>
      </c>
      <c r="H1458" s="100" t="str">
        <f t="shared" si="3"/>
        <v>Sabtu</v>
      </c>
      <c r="I1458" s="97" t="s">
        <v>97</v>
      </c>
      <c r="J1458" s="97" t="s">
        <v>72</v>
      </c>
      <c r="K1458" s="97" t="s">
        <v>69</v>
      </c>
      <c r="L1458" s="101" t="s">
        <v>757</v>
      </c>
      <c r="M1458" s="102" t="str">
        <f>IFNA(VLOOKUP(L1458,'🙎‍♂️ Pasien'!G:V,2,FALSE),"")</f>
        <v>C9225128367</v>
      </c>
      <c r="N1458" s="103">
        <f>IFNA(VLOOKUP(L1458,'🙎‍♂️ Pasien'!G:L,3,FALSE),"")</f>
        <v>34</v>
      </c>
      <c r="O1458" s="104" t="str">
        <f>IFNA(VLOOKUP(L1458,'🙎‍♂️ Pasien'!G:V,6,FALSE),"")</f>
        <v>PEREMPUAN</v>
      </c>
      <c r="P1458" s="104" t="str">
        <f>IFNA(VLOOKUP(L1458,'🙎‍♂️ Pasien'!G:V,12,FALSE),"")</f>
        <v>ISLAM</v>
      </c>
      <c r="Q1458" s="104" t="str">
        <f>IFNA(VLOOKUP(L1458:L1508,'🙎‍♂️ Pasien'!G:V,13,FALSE),"")</f>
        <v>SWASTA</v>
      </c>
      <c r="R1458" s="104" t="str">
        <f t="array" ref="R1458">ifna(xlookup(L1458,'🙎‍♂️ Pasien'!$G$5:$G1508,'🙎‍♂️ Pasien'!$T$5:$T1508),"")</f>
        <v>BELLS PALSY</v>
      </c>
      <c r="S1458" s="104" t="str">
        <f t="array" ref="S1458">ifna(xlookup(L1458,'🙎‍♂️ Pasien'!$G$5:$G1508,'🙎‍♂️ Pasien'!$U$5:$U1508),"")</f>
        <v>BIASA SAJA</v>
      </c>
      <c r="T1458" s="97" t="s">
        <v>67</v>
      </c>
      <c r="U1458" s="105" t="s">
        <v>60</v>
      </c>
      <c r="V1458" s="101" t="s">
        <v>343</v>
      </c>
      <c r="W1458" s="106" t="b">
        <v>1</v>
      </c>
      <c r="X1458" s="107"/>
      <c r="Y1458" s="108"/>
    </row>
    <row r="1459" ht="22.5" customHeight="1">
      <c r="A1459" s="96"/>
      <c r="B1459" s="97" t="s">
        <v>85</v>
      </c>
      <c r="C1459" s="98" t="str">
        <f t="array" ref="C1459">IFNA(XLOOKUP(J1459,'⚙️ Pengaturan'!$H$5:$H1508,'⚙️ Pengaturan'!$I$5:$I1508),"")</f>
        <v>TIM A</v>
      </c>
      <c r="D1459" s="97" t="s">
        <v>86</v>
      </c>
      <c r="E1459" s="99">
        <v>46018.0</v>
      </c>
      <c r="F1459" s="100" t="str">
        <f t="shared" si="1"/>
        <v>2025</v>
      </c>
      <c r="G1459" s="100" t="str">
        <f t="shared" si="2"/>
        <v>12Des</v>
      </c>
      <c r="H1459" s="100" t="str">
        <f t="shared" si="3"/>
        <v>Sabtu</v>
      </c>
      <c r="I1459" s="97" t="s">
        <v>97</v>
      </c>
      <c r="J1459" s="97" t="s">
        <v>72</v>
      </c>
      <c r="K1459" s="97" t="s">
        <v>57</v>
      </c>
      <c r="L1459" s="101" t="s">
        <v>791</v>
      </c>
      <c r="M1459" s="102" t="str">
        <f>IFNA(VLOOKUP(L1459,'🙎‍♂️ Pasien'!G:V,2,FALSE),"")</f>
        <v>R9325125636</v>
      </c>
      <c r="N1459" s="103">
        <f>IFNA(VLOOKUP(L1459,'🙎‍♂️ Pasien'!G:L,3,FALSE),"")</f>
        <v>33</v>
      </c>
      <c r="O1459" s="104" t="str">
        <f>IFNA(VLOOKUP(L1459,'🙎‍♂️ Pasien'!G:V,6,FALSE),"")</f>
        <v>LAKI-LAKI</v>
      </c>
      <c r="P1459" s="104" t="str">
        <f>IFNA(VLOOKUP(L1459,'🙎‍♂️ Pasien'!G:V,12,FALSE),"")</f>
        <v>ISLAM</v>
      </c>
      <c r="Q1459" s="104" t="str">
        <f>IFNA(VLOOKUP(L1459:L1508,'🙎‍♂️ Pasien'!G:V,13,FALSE),"")</f>
        <v>BUMD</v>
      </c>
      <c r="R1459" s="104" t="str">
        <f t="array" ref="R1459">ifna(xlookup(L1459,'🙎‍♂️ Pasien'!$G$5:$G1508,'🙎‍♂️ Pasien'!$T$5:$T1508),"")</f>
        <v>NYERI PINGGANG</v>
      </c>
      <c r="S1459" s="104" t="str">
        <f t="array" ref="S1459">ifna(xlookup(L1459,'🙎‍♂️ Pasien'!$G$5:$G1508,'🙎‍♂️ Pasien'!$U$5:$U1508),"")</f>
        <v>OLAH RAGA</v>
      </c>
      <c r="T1459" s="97" t="s">
        <v>59</v>
      </c>
      <c r="U1459" s="105" t="s">
        <v>60</v>
      </c>
      <c r="V1459" s="101"/>
      <c r="W1459" s="106" t="b">
        <v>1</v>
      </c>
      <c r="X1459" s="107"/>
      <c r="Y1459" s="108"/>
    </row>
    <row r="1460" ht="22.5" customHeight="1">
      <c r="A1460" s="96"/>
      <c r="B1460" s="97" t="s">
        <v>85</v>
      </c>
      <c r="C1460" s="98" t="str">
        <f t="array" ref="C1460">IFNA(XLOOKUP(J1460,'⚙️ Pengaturan'!$H$5:$H1508,'⚙️ Pengaturan'!$I$5:$I1508),"")</f>
        <v>TIM Y</v>
      </c>
      <c r="D1460" s="97" t="s">
        <v>86</v>
      </c>
      <c r="E1460" s="99">
        <v>46018.0</v>
      </c>
      <c r="F1460" s="100" t="str">
        <f t="shared" si="1"/>
        <v>2025</v>
      </c>
      <c r="G1460" s="100" t="str">
        <f t="shared" si="2"/>
        <v>12Des</v>
      </c>
      <c r="H1460" s="100" t="str">
        <f t="shared" si="3"/>
        <v>Sabtu</v>
      </c>
      <c r="I1460" s="97" t="s">
        <v>97</v>
      </c>
      <c r="J1460" s="97" t="s">
        <v>56</v>
      </c>
      <c r="K1460" s="97" t="s">
        <v>63</v>
      </c>
      <c r="L1460" s="101" t="s">
        <v>609</v>
      </c>
      <c r="M1460" s="102" t="str">
        <f>IFNA(VLOOKUP(L1460,'🙎‍♂️ Pasien'!G:V,2,FALSE),"")</f>
        <v>A5125112484</v>
      </c>
      <c r="N1460" s="103">
        <f>IFNA(VLOOKUP(L1460,'🙎‍♂️ Pasien'!G:L,3,FALSE),"")</f>
        <v>74</v>
      </c>
      <c r="O1460" s="104" t="str">
        <f>IFNA(VLOOKUP(L1460,'🙎‍♂️ Pasien'!G:V,6,FALSE),"")</f>
        <v>LAKI-LAKI</v>
      </c>
      <c r="P1460" s="104" t="str">
        <f>IFNA(VLOOKUP(L1460,'🙎‍♂️ Pasien'!G:V,12,FALSE),"")</f>
        <v>ISLAM</v>
      </c>
      <c r="Q1460" s="104" t="str">
        <f>IFNA(VLOOKUP(L1460:L1508,'🙎‍♂️ Pasien'!G:V,13,FALSE),"")</f>
        <v>PETANI</v>
      </c>
      <c r="R1460" s="104" t="str">
        <f t="array" ref="R1460">ifna(xlookup(L1460,'🙎‍♂️ Pasien'!$G$5:$G1508,'🙎‍♂️ Pasien'!$T$5:$T1508),"")</f>
        <v>NYERI DARI PAHA SAMPAI TELAPAK KAKI, STOKE SEBELAH KIRI SEJAK DUA BULAN LALU</v>
      </c>
      <c r="S1460" s="104" t="str">
        <f t="array" ref="S1460">ifna(xlookup(L1460,'🙎‍♂️ Pasien'!$G$5:$G1508,'🙎‍♂️ Pasien'!$U$5:$U1508),"")</f>
        <v>PEROKOK, NGOPI, SUKA MINUM MANIS MANIS</v>
      </c>
      <c r="T1460" s="97" t="s">
        <v>59</v>
      </c>
      <c r="U1460" s="105">
        <v>2.0</v>
      </c>
      <c r="V1460" s="101"/>
      <c r="W1460" s="106" t="b">
        <v>1</v>
      </c>
      <c r="X1460" s="107"/>
      <c r="Y1460" s="108"/>
    </row>
    <row r="1461" ht="22.5" customHeight="1">
      <c r="A1461" s="96"/>
      <c r="B1461" s="97" t="s">
        <v>85</v>
      </c>
      <c r="C1461" s="98" t="str">
        <f t="array" ref="C1461">IFNA(XLOOKUP(J1461,'⚙️ Pengaturan'!$H$5:$H1508,'⚙️ Pengaturan'!$I$5:$I1508),"")</f>
        <v>TIM A</v>
      </c>
      <c r="D1461" s="97" t="s">
        <v>86</v>
      </c>
      <c r="E1461" s="99">
        <v>46018.0</v>
      </c>
      <c r="F1461" s="100" t="str">
        <f t="shared" si="1"/>
        <v>2025</v>
      </c>
      <c r="G1461" s="100" t="str">
        <f t="shared" si="2"/>
        <v>12Des</v>
      </c>
      <c r="H1461" s="100" t="str">
        <f t="shared" si="3"/>
        <v>Sabtu</v>
      </c>
      <c r="I1461" s="97" t="s">
        <v>99</v>
      </c>
      <c r="J1461" s="97" t="s">
        <v>72</v>
      </c>
      <c r="K1461" s="97" t="s">
        <v>57</v>
      </c>
      <c r="L1461" s="101" t="s">
        <v>792</v>
      </c>
      <c r="M1461" s="102" t="str">
        <f>IFNA(VLOOKUP(L1461,'🙎‍♂️ Pasien'!G:V,2,FALSE),"")</f>
        <v>S7723054038</v>
      </c>
      <c r="N1461" s="103">
        <f>IFNA(VLOOKUP(L1461,'🙎‍♂️ Pasien'!G:L,3,FALSE),"")</f>
        <v>49</v>
      </c>
      <c r="O1461" s="104" t="str">
        <f>IFNA(VLOOKUP(L1461,'🙎‍♂️ Pasien'!G:V,6,FALSE),"")</f>
        <v>PEREMPUAN</v>
      </c>
      <c r="P1461" s="104" t="str">
        <f>IFNA(VLOOKUP(L1461,'🙎‍♂️ Pasien'!G:V,12,FALSE),"")</f>
        <v>KATOLIK</v>
      </c>
      <c r="Q1461" s="104" t="str">
        <f>IFNA(VLOOKUP(L1461:L1508,'🙎‍♂️ Pasien'!G:V,13,FALSE),"")</f>
        <v>BUMD</v>
      </c>
      <c r="R1461" s="104" t="str">
        <f t="array" ref="R1461">ifna(xlookup(L1461,'🙎‍♂️ Pasien'!$G$5:$G1508,'🙎‍♂️ Pasien'!$T$5:$T1508),"")</f>
        <v>BAHU</v>
      </c>
      <c r="S1461" s="104" t="str">
        <f t="array" ref="S1461">ifna(xlookup(L1461,'🙎‍♂️ Pasien'!$G$5:$G1508,'🙎‍♂️ Pasien'!$U$5:$U1508),"")</f>
        <v/>
      </c>
      <c r="T1461" s="97" t="s">
        <v>59</v>
      </c>
      <c r="U1461" s="105" t="s">
        <v>60</v>
      </c>
      <c r="V1461" s="101"/>
      <c r="W1461" s="106" t="b">
        <v>1</v>
      </c>
      <c r="X1461" s="107"/>
      <c r="Y1461" s="108"/>
    </row>
    <row r="1462" ht="22.5" customHeight="1">
      <c r="A1462" s="96"/>
      <c r="B1462" s="97" t="s">
        <v>85</v>
      </c>
      <c r="C1462" s="98" t="str">
        <f t="array" ref="C1462">IFNA(XLOOKUP(J1462,'⚙️ Pengaturan'!$H$5:$H1508,'⚙️ Pengaturan'!$I$5:$I1508),"")</f>
        <v>TIM Y</v>
      </c>
      <c r="D1462" s="97" t="s">
        <v>86</v>
      </c>
      <c r="E1462" s="99">
        <v>46018.0</v>
      </c>
      <c r="F1462" s="100" t="str">
        <f t="shared" si="1"/>
        <v>2025</v>
      </c>
      <c r="G1462" s="100" t="str">
        <f t="shared" si="2"/>
        <v>12Des</v>
      </c>
      <c r="H1462" s="100" t="str">
        <f t="shared" si="3"/>
        <v>Sabtu</v>
      </c>
      <c r="I1462" s="97" t="s">
        <v>99</v>
      </c>
      <c r="J1462" s="97" t="s">
        <v>56</v>
      </c>
      <c r="K1462" s="97" t="s">
        <v>63</v>
      </c>
      <c r="L1462" s="101" t="s">
        <v>392</v>
      </c>
      <c r="M1462" s="102" t="str">
        <f>IFNA(VLOOKUP(L1462,'🙎‍♂️ Pasien'!G:V,2,FALSE),"")</f>
        <v>D0625102206</v>
      </c>
      <c r="N1462" s="103">
        <f>IFNA(VLOOKUP(L1462,'🙎‍♂️ Pasien'!G:L,3,FALSE),"")</f>
        <v>19</v>
      </c>
      <c r="O1462" s="104" t="str">
        <f>IFNA(VLOOKUP(L1462,'🙎‍♂️ Pasien'!G:V,6,FALSE),"")</f>
        <v>LAKI-LAKI</v>
      </c>
      <c r="P1462" s="104" t="str">
        <f>IFNA(VLOOKUP(L1462,'🙎‍♂️ Pasien'!G:V,12,FALSE),"")</f>
        <v>ISLAM</v>
      </c>
      <c r="Q1462" s="104" t="str">
        <f>IFNA(VLOOKUP(L1462:L1508,'🙎‍♂️ Pasien'!G:V,13,FALSE),"")</f>
        <v>KARYAWAN SWASTA</v>
      </c>
      <c r="R1462" s="104" t="str">
        <f t="array" ref="R1462">ifna(xlookup(L1462,'🙎‍♂️ Pasien'!$G$5:$G1508,'🙎‍♂️ Pasien'!$T$5:$T1508),"")</f>
        <v>CEDERA KAKI</v>
      </c>
      <c r="S1462" s="104" t="str">
        <f t="array" ref="S1462">ifna(xlookup(L1462,'🙎‍♂️ Pasien'!$G$5:$G1508,'🙎‍♂️ Pasien'!$U$5:$U1508),"")</f>
        <v>BERMAIN FUTSAL</v>
      </c>
      <c r="T1462" s="97" t="s">
        <v>59</v>
      </c>
      <c r="U1462" s="105">
        <v>5.0</v>
      </c>
      <c r="V1462" s="101"/>
      <c r="W1462" s="106" t="b">
        <v>1</v>
      </c>
      <c r="X1462" s="107"/>
      <c r="Y1462" s="108"/>
    </row>
    <row r="1463" ht="22.5" customHeight="1">
      <c r="A1463" s="96"/>
      <c r="B1463" s="97" t="s">
        <v>85</v>
      </c>
      <c r="C1463" s="98" t="str">
        <f t="array" ref="C1463">IFNA(XLOOKUP(J1463,'⚙️ Pengaturan'!$H$5:$H1508,'⚙️ Pengaturan'!$I$5:$I1508),"")</f>
        <v>TIM A</v>
      </c>
      <c r="D1463" s="97" t="s">
        <v>86</v>
      </c>
      <c r="E1463" s="99">
        <v>46018.0</v>
      </c>
      <c r="F1463" s="100" t="str">
        <f t="shared" si="1"/>
        <v>2025</v>
      </c>
      <c r="G1463" s="100" t="str">
        <f t="shared" si="2"/>
        <v>12Des</v>
      </c>
      <c r="H1463" s="100" t="str">
        <f t="shared" si="3"/>
        <v>Sabtu</v>
      </c>
      <c r="I1463" s="97" t="s">
        <v>99</v>
      </c>
      <c r="J1463" s="97" t="s">
        <v>79</v>
      </c>
      <c r="K1463" s="97" t="s">
        <v>63</v>
      </c>
      <c r="L1463" s="101" t="s">
        <v>703</v>
      </c>
      <c r="M1463" s="102" t="str">
        <f>IFNA(VLOOKUP(L1463,'🙎‍♂️ Pasien'!G:V,2,FALSE),"")</f>
        <v>D8825037244</v>
      </c>
      <c r="N1463" s="103">
        <f>IFNA(VLOOKUP(L1463,'🙎‍♂️ Pasien'!G:L,3,FALSE),"")</f>
        <v>37</v>
      </c>
      <c r="O1463" s="104" t="str">
        <f>IFNA(VLOOKUP(L1463,'🙎‍♂️ Pasien'!G:V,6,FALSE),"")</f>
        <v>PEREMPUAN</v>
      </c>
      <c r="P1463" s="104" t="str">
        <f>IFNA(VLOOKUP(L1463,'🙎‍♂️ Pasien'!G:V,12,FALSE),"")</f>
        <v>ISLAM</v>
      </c>
      <c r="Q1463" s="104" t="str">
        <f>IFNA(VLOOKUP(L1463:L1508,'🙎‍♂️ Pasien'!G:V,13,FALSE),"")</f>
        <v>GURU PPPK</v>
      </c>
      <c r="R1463" s="104" t="str">
        <f t="array" ref="R1463">ifna(xlookup(L1463,'🙎‍♂️ Pasien'!$G$5:$G1508,'🙎‍♂️ Pasien'!$T$5:$T1508),"")</f>
        <v>SPUR DI TUMIT, SAKIT HINGGA BOKONG</v>
      </c>
      <c r="S1463" s="104" t="str">
        <f t="array" ref="S1463">ifna(xlookup(L1463,'🙎‍♂️ Pasien'!$G$5:$G1508,'🙎‍♂️ Pasien'!$U$5:$U1508),"")</f>
        <v>BERKENDARA MOTOR, GERAKAN SEHARI HARI</v>
      </c>
      <c r="T1463" s="97" t="s">
        <v>67</v>
      </c>
      <c r="U1463" s="105">
        <v>4.0</v>
      </c>
      <c r="V1463" s="101" t="s">
        <v>212</v>
      </c>
      <c r="W1463" s="106" t="b">
        <v>1</v>
      </c>
      <c r="X1463" s="107"/>
      <c r="Y1463" s="108"/>
    </row>
    <row r="1464" ht="22.5" customHeight="1">
      <c r="A1464" s="96"/>
      <c r="B1464" s="97" t="s">
        <v>53</v>
      </c>
      <c r="C1464" s="98" t="str">
        <f t="array" ref="C1464">IFNA(XLOOKUP(J1464,'⚙️ Pengaturan'!$H$5:$H1508,'⚙️ Pengaturan'!$I$5:$I1508),"")</f>
        <v>TIM A</v>
      </c>
      <c r="D1464" s="97" t="s">
        <v>86</v>
      </c>
      <c r="E1464" s="99">
        <v>46019.0</v>
      </c>
      <c r="F1464" s="100" t="str">
        <f t="shared" si="1"/>
        <v>2025</v>
      </c>
      <c r="G1464" s="100" t="str">
        <f t="shared" si="2"/>
        <v>12Des</v>
      </c>
      <c r="H1464" s="100" t="str">
        <f t="shared" si="3"/>
        <v>Minggu</v>
      </c>
      <c r="I1464" s="97" t="s">
        <v>55</v>
      </c>
      <c r="J1464" s="97" t="s">
        <v>72</v>
      </c>
      <c r="K1464" s="97" t="s">
        <v>57</v>
      </c>
      <c r="L1464" s="101" t="s">
        <v>793</v>
      </c>
      <c r="M1464" s="102" t="str">
        <f>IFNA(VLOOKUP(L1464,'🙎‍♂️ Pasien'!G:V,2,FALSE),"")</f>
        <v/>
      </c>
      <c r="N1464" s="103" t="str">
        <f>IFNA(VLOOKUP(L1464,'🙎‍♂️ Pasien'!G:L,3,FALSE),"")</f>
        <v/>
      </c>
      <c r="O1464" s="104" t="str">
        <f>IFNA(VLOOKUP(L1464,'🙎‍♂️ Pasien'!G:V,6,FALSE),"")</f>
        <v/>
      </c>
      <c r="P1464" s="104" t="str">
        <f>IFNA(VLOOKUP(L1464,'🙎‍♂️ Pasien'!G:V,12,FALSE),"")</f>
        <v/>
      </c>
      <c r="Q1464" s="104" t="str">
        <f>IFNA(VLOOKUP(L1464:L1508,'🙎‍♂️ Pasien'!G:V,13,FALSE),"")</f>
        <v/>
      </c>
      <c r="R1464" s="104" t="str">
        <f t="array" ref="R1464">ifna(xlookup(L1464,'🙎‍♂️ Pasien'!$G$5:$G1508,'🙎‍♂️ Pasien'!$T$5:$T1508),"")</f>
        <v/>
      </c>
      <c r="S1464" s="104" t="str">
        <f t="array" ref="S1464">ifna(xlookup(L1464,'🙎‍♂️ Pasien'!$G$5:$G1508,'🙎‍♂️ Pasien'!$U$5:$U1508),"")</f>
        <v/>
      </c>
      <c r="T1464" s="97" t="s">
        <v>59</v>
      </c>
      <c r="U1464" s="105" t="s">
        <v>60</v>
      </c>
      <c r="V1464" s="101"/>
      <c r="W1464" s="106" t="b">
        <v>1</v>
      </c>
      <c r="X1464" s="107"/>
      <c r="Y1464" s="108"/>
    </row>
    <row r="1465" ht="22.5" customHeight="1">
      <c r="A1465" s="96"/>
      <c r="B1465" s="97" t="s">
        <v>53</v>
      </c>
      <c r="C1465" s="98" t="str">
        <f t="array" ref="C1465">IFNA(XLOOKUP(J1465,'⚙️ Pengaturan'!$H$5:$H1508,'⚙️ Pengaturan'!$I$5:$I1508),"")</f>
        <v>TIM Y</v>
      </c>
      <c r="D1465" s="97" t="s">
        <v>86</v>
      </c>
      <c r="E1465" s="99">
        <v>46019.0</v>
      </c>
      <c r="F1465" s="100" t="str">
        <f t="shared" si="1"/>
        <v>2025</v>
      </c>
      <c r="G1465" s="100" t="str">
        <f t="shared" si="2"/>
        <v>12Des</v>
      </c>
      <c r="H1465" s="100" t="str">
        <f t="shared" si="3"/>
        <v>Minggu</v>
      </c>
      <c r="I1465" s="97" t="s">
        <v>55</v>
      </c>
      <c r="J1465" s="97" t="s">
        <v>56</v>
      </c>
      <c r="K1465" s="97" t="s">
        <v>69</v>
      </c>
      <c r="L1465" s="101" t="s">
        <v>794</v>
      </c>
      <c r="M1465" s="102" t="str">
        <f>IFNA(VLOOKUP(L1465,'🙎‍♂️ Pasien'!G:V,2,FALSE),"")</f>
        <v/>
      </c>
      <c r="N1465" s="103" t="str">
        <f>IFNA(VLOOKUP(L1465,'🙎‍♂️ Pasien'!G:L,3,FALSE),"")</f>
        <v/>
      </c>
      <c r="O1465" s="104" t="str">
        <f>IFNA(VLOOKUP(L1465,'🙎‍♂️ Pasien'!G:V,6,FALSE),"")</f>
        <v/>
      </c>
      <c r="P1465" s="104" t="str">
        <f>IFNA(VLOOKUP(L1465,'🙎‍♂️ Pasien'!G:V,12,FALSE),"")</f>
        <v/>
      </c>
      <c r="Q1465" s="104" t="str">
        <f>IFNA(VLOOKUP(L1465:L1508,'🙎‍♂️ Pasien'!G:V,13,FALSE),"")</f>
        <v/>
      </c>
      <c r="R1465" s="104" t="str">
        <f t="array" ref="R1465">ifna(xlookup(L1465,'🙎‍♂️ Pasien'!$G$5:$G1508,'🙎‍♂️ Pasien'!$T$5:$T1508),"")</f>
        <v/>
      </c>
      <c r="S1465" s="104" t="str">
        <f t="array" ref="S1465">ifna(xlookup(L1465,'🙎‍♂️ Pasien'!$G$5:$G1508,'🙎‍♂️ Pasien'!$U$5:$U1508),"")</f>
        <v/>
      </c>
      <c r="T1465" s="97" t="s">
        <v>59</v>
      </c>
      <c r="U1465" s="105" t="s">
        <v>60</v>
      </c>
      <c r="V1465" s="101"/>
      <c r="W1465" s="106" t="b">
        <v>1</v>
      </c>
      <c r="X1465" s="107"/>
      <c r="Y1465" s="108"/>
    </row>
    <row r="1466" ht="22.5" customHeight="1">
      <c r="A1466" s="96"/>
      <c r="B1466" s="97" t="s">
        <v>53</v>
      </c>
      <c r="C1466" s="98" t="str">
        <f t="array" ref="C1466">IFNA(XLOOKUP(J1466,'⚙️ Pengaturan'!$H$5:$H1508,'⚙️ Pengaturan'!$I$5:$I1508),"")</f>
        <v>TIM A</v>
      </c>
      <c r="D1466" s="97" t="s">
        <v>86</v>
      </c>
      <c r="E1466" s="99">
        <v>46019.0</v>
      </c>
      <c r="F1466" s="100" t="str">
        <f t="shared" si="1"/>
        <v>2025</v>
      </c>
      <c r="G1466" s="100" t="str">
        <f t="shared" si="2"/>
        <v>12Des</v>
      </c>
      <c r="H1466" s="100" t="str">
        <f t="shared" si="3"/>
        <v>Minggu</v>
      </c>
      <c r="I1466" s="97" t="s">
        <v>55</v>
      </c>
      <c r="J1466" s="97" t="s">
        <v>79</v>
      </c>
      <c r="K1466" s="97" t="s">
        <v>63</v>
      </c>
      <c r="L1466" s="101" t="s">
        <v>780</v>
      </c>
      <c r="M1466" s="102" t="str">
        <f>IFNA(VLOOKUP(L1466,'🙎‍♂️ Pasien'!G:V,2,FALSE),"")</f>
        <v>E8925127564</v>
      </c>
      <c r="N1466" s="103">
        <f>IFNA(VLOOKUP(L1466,'🙎‍♂️ Pasien'!G:L,3,FALSE),"")</f>
        <v>36</v>
      </c>
      <c r="O1466" s="104" t="str">
        <f>IFNA(VLOOKUP(L1466,'🙎‍♂️ Pasien'!G:V,6,FALSE),"")</f>
        <v>PEREMPUAN</v>
      </c>
      <c r="P1466" s="104" t="str">
        <f>IFNA(VLOOKUP(L1466,'🙎‍♂️ Pasien'!G:V,12,FALSE),"")</f>
        <v>ISLAM</v>
      </c>
      <c r="Q1466" s="104" t="str">
        <f>IFNA(VLOOKUP(L1466:L1508,'🙎‍♂️ Pasien'!G:V,13,FALSE),"")</f>
        <v>KARYAWAN</v>
      </c>
      <c r="R1466" s="104" t="str">
        <f t="array" ref="R1466">ifna(xlookup(L1466,'🙎‍♂️ Pasien'!$G$5:$G1508,'🙎‍♂️ Pasien'!$T$5:$T1508),"")</f>
        <v>PERNAH OPERASI FEMUR KIRI 2014 DAN 2017, 2025 INI BERAT BADAN NAIK DAN SETIAP HABIS DUDUK LAMA MAU JALAN SAKIT DAN TERLIHAT SANGAT PINCANG</v>
      </c>
      <c r="S1466" s="104" t="str">
        <f t="array" ref="S1466">ifna(xlookup(L1466,'🙎‍♂️ Pasien'!$G$5:$G1508,'🙎‍♂️ Pasien'!$U$5:$U1508),"")</f>
        <v>KERJA 8 TO 5, BADMINTON SEMINGGU SEKALI, JALAN SEMINGGU SEKALI</v>
      </c>
      <c r="T1466" s="97" t="s">
        <v>59</v>
      </c>
      <c r="U1466" s="105">
        <v>2.0</v>
      </c>
      <c r="V1466" s="101"/>
      <c r="W1466" s="106" t="b">
        <v>1</v>
      </c>
      <c r="X1466" s="107"/>
      <c r="Y1466" s="108"/>
    </row>
    <row r="1467" ht="22.5" customHeight="1">
      <c r="A1467" s="96"/>
      <c r="B1467" s="97" t="s">
        <v>53</v>
      </c>
      <c r="C1467" s="98" t="str">
        <f t="array" ref="C1467">IFNA(XLOOKUP(J1467,'⚙️ Pengaturan'!$H$5:$H1508,'⚙️ Pengaturan'!$I$5:$I1508),"")</f>
        <v>TIM A</v>
      </c>
      <c r="D1467" s="97" t="s">
        <v>86</v>
      </c>
      <c r="E1467" s="99">
        <v>46019.0</v>
      </c>
      <c r="F1467" s="100" t="str">
        <f t="shared" si="1"/>
        <v>2025</v>
      </c>
      <c r="G1467" s="100" t="str">
        <f t="shared" si="2"/>
        <v>12Des</v>
      </c>
      <c r="H1467" s="100" t="str">
        <f t="shared" si="3"/>
        <v>Minggu</v>
      </c>
      <c r="I1467" s="97" t="s">
        <v>65</v>
      </c>
      <c r="J1467" s="97" t="s">
        <v>72</v>
      </c>
      <c r="K1467" s="97" t="s">
        <v>57</v>
      </c>
      <c r="L1467" s="101" t="s">
        <v>795</v>
      </c>
      <c r="M1467" s="102" t="str">
        <f>IFNA(VLOOKUP(L1467,'🙎‍♂️ Pasien'!G:V,2,FALSE),"")</f>
        <v>R0325122390</v>
      </c>
      <c r="N1467" s="103">
        <f>IFNA(VLOOKUP(L1467,'🙎‍♂️ Pasien'!G:L,3,FALSE),"")</f>
        <v>22</v>
      </c>
      <c r="O1467" s="104" t="str">
        <f>IFNA(VLOOKUP(L1467,'🙎‍♂️ Pasien'!G:V,6,FALSE),"")</f>
        <v>LAKI-LAKI</v>
      </c>
      <c r="P1467" s="104" t="str">
        <f>IFNA(VLOOKUP(L1467,'🙎‍♂️ Pasien'!G:V,12,FALSE),"")</f>
        <v>ISLAM</v>
      </c>
      <c r="Q1467" s="104" t="str">
        <f>IFNA(VLOOKUP(L1467:L1508,'🙎‍♂️ Pasien'!G:V,13,FALSE),"")</f>
        <v>WIRAUSAHA</v>
      </c>
      <c r="R1467" s="104" t="str">
        <f t="array" ref="R1467">ifna(xlookup(L1467,'🙎‍♂️ Pasien'!$G$5:$G1508,'🙎‍♂️ Pasien'!$T$5:$T1508),"")</f>
        <v>SAKIT PINGGANG</v>
      </c>
      <c r="S1467" s="104" t="str">
        <f t="array" ref="S1467">ifna(xlookup(L1467,'🙎‍♂️ Pasien'!$G$5:$G1508,'🙎‍♂️ Pasien'!$U$5:$U1508),"")</f>
        <v>SERING DUDUK</v>
      </c>
      <c r="T1467" s="97" t="s">
        <v>67</v>
      </c>
      <c r="U1467" s="105" t="s">
        <v>60</v>
      </c>
      <c r="V1467" s="101" t="s">
        <v>796</v>
      </c>
      <c r="W1467" s="106" t="b">
        <v>1</v>
      </c>
      <c r="X1467" s="107"/>
      <c r="Y1467" s="108"/>
    </row>
    <row r="1468" ht="22.5" customHeight="1">
      <c r="A1468" s="96"/>
      <c r="B1468" s="97" t="s">
        <v>53</v>
      </c>
      <c r="C1468" s="98" t="str">
        <f t="array" ref="C1468">IFNA(XLOOKUP(J1468,'⚙️ Pengaturan'!$H$5:$H1508,'⚙️ Pengaturan'!$I$5:$I1508),"")</f>
        <v>TIM Y</v>
      </c>
      <c r="D1468" s="97" t="s">
        <v>86</v>
      </c>
      <c r="E1468" s="99">
        <v>46019.0</v>
      </c>
      <c r="F1468" s="100" t="str">
        <f t="shared" si="1"/>
        <v>2025</v>
      </c>
      <c r="G1468" s="100" t="str">
        <f t="shared" si="2"/>
        <v>12Des</v>
      </c>
      <c r="H1468" s="100" t="str">
        <f t="shared" si="3"/>
        <v>Minggu</v>
      </c>
      <c r="I1468" s="97" t="s">
        <v>65</v>
      </c>
      <c r="J1468" s="97" t="s">
        <v>56</v>
      </c>
      <c r="K1468" s="97" t="s">
        <v>63</v>
      </c>
      <c r="L1468" s="101" t="s">
        <v>685</v>
      </c>
      <c r="M1468" s="102" t="str">
        <f>IFNA(VLOOKUP(L1468,'🙎‍♂️ Pasien'!G:V,2,FALSE),"")</f>
        <v>W6425129394</v>
      </c>
      <c r="N1468" s="103">
        <f>IFNA(VLOOKUP(L1468,'🙎‍♂️ Pasien'!G:L,3,FALSE),"")</f>
        <v>61</v>
      </c>
      <c r="O1468" s="104" t="str">
        <f>IFNA(VLOOKUP(L1468,'🙎‍♂️ Pasien'!G:V,6,FALSE),"")</f>
        <v>LAKI-LAKI</v>
      </c>
      <c r="P1468" s="104" t="str">
        <f>IFNA(VLOOKUP(L1468,'🙎‍♂️ Pasien'!G:V,12,FALSE),"")</f>
        <v>ISLAM</v>
      </c>
      <c r="Q1468" s="104" t="str">
        <f>IFNA(VLOOKUP(L1468:L1508,'🙎‍♂️ Pasien'!G:V,13,FALSE),"")</f>
        <v>PENSIUNAN</v>
      </c>
      <c r="R1468" s="104" t="str">
        <f t="array" ref="R1468">ifna(xlookup(L1468,'🙎‍♂️ Pasien'!$G$5:$G1508,'🙎‍♂️ Pasien'!$T$5:$T1508),"")</f>
        <v>STROKE</v>
      </c>
      <c r="S1468" s="104" t="str">
        <f t="array" ref="S1468">ifna(xlookup(L1468,'🙎‍♂️ Pasien'!$G$5:$G1508,'🙎‍♂️ Pasien'!$U$5:$U1508),"")</f>
        <v>BERKEBUN</v>
      </c>
      <c r="T1468" s="97" t="s">
        <v>59</v>
      </c>
      <c r="U1468" s="105">
        <v>5.0</v>
      </c>
      <c r="V1468" s="101" t="s">
        <v>125</v>
      </c>
      <c r="W1468" s="106" t="b">
        <v>1</v>
      </c>
      <c r="X1468" s="107"/>
      <c r="Y1468" s="108"/>
    </row>
    <row r="1469" ht="22.5" customHeight="1">
      <c r="A1469" s="96"/>
      <c r="B1469" s="97" t="s">
        <v>53</v>
      </c>
      <c r="C1469" s="98" t="str">
        <f t="array" ref="C1469">IFNA(XLOOKUP(J1469,'⚙️ Pengaturan'!$H$5:$H1508,'⚙️ Pengaturan'!$I$5:$I1508),"")</f>
        <v>TIM A</v>
      </c>
      <c r="D1469" s="97" t="s">
        <v>86</v>
      </c>
      <c r="E1469" s="99">
        <v>46019.0</v>
      </c>
      <c r="F1469" s="100" t="str">
        <f t="shared" si="1"/>
        <v>2025</v>
      </c>
      <c r="G1469" s="100" t="str">
        <f t="shared" si="2"/>
        <v>12Des</v>
      </c>
      <c r="H1469" s="100" t="str">
        <f t="shared" si="3"/>
        <v>Minggu</v>
      </c>
      <c r="I1469" s="97" t="s">
        <v>74</v>
      </c>
      <c r="J1469" s="97" t="s">
        <v>72</v>
      </c>
      <c r="K1469" s="97" t="s">
        <v>57</v>
      </c>
      <c r="L1469" s="101" t="s">
        <v>797</v>
      </c>
      <c r="M1469" s="102" t="str">
        <f>IFNA(VLOOKUP(L1469,'🙎‍♂️ Pasien'!G:V,2,FALSE),"")</f>
        <v>R6325126355</v>
      </c>
      <c r="N1469" s="103">
        <f>IFNA(VLOOKUP(L1469,'🙎‍♂️ Pasien'!G:L,3,FALSE),"")</f>
        <v>63</v>
      </c>
      <c r="O1469" s="104" t="str">
        <f>IFNA(VLOOKUP(L1469,'🙎‍♂️ Pasien'!G:V,6,FALSE),"")</f>
        <v>PEREMPUAN</v>
      </c>
      <c r="P1469" s="104" t="str">
        <f>IFNA(VLOOKUP(L1469,'🙎‍♂️ Pasien'!G:V,12,FALSE),"")</f>
        <v>ISLAM</v>
      </c>
      <c r="Q1469" s="104" t="str">
        <f>IFNA(VLOOKUP(L1469:L1508,'🙎‍♂️ Pasien'!G:V,13,FALSE),"")</f>
        <v>PENSIUNAN GURU</v>
      </c>
      <c r="R1469" s="104" t="str">
        <f t="array" ref="R1469">ifna(xlookup(L1469,'🙎‍♂️ Pasien'!$G$5:$G1508,'🙎‍♂️ Pasien'!$T$5:$T1508),"")</f>
        <v>RHEUMATOID ARTHRITIS</v>
      </c>
      <c r="S1469" s="104" t="str">
        <f t="array" ref="S1469">ifna(xlookup(L1469,'🙎‍♂️ Pasien'!$G$5:$G1508,'🙎‍♂️ Pasien'!$U$5:$U1508),"")</f>
        <v>MERAWAT TANAMAN</v>
      </c>
      <c r="T1469" s="97" t="s">
        <v>59</v>
      </c>
      <c r="U1469" s="105" t="s">
        <v>60</v>
      </c>
      <c r="V1469" s="101"/>
      <c r="W1469" s="106" t="b">
        <v>1</v>
      </c>
      <c r="X1469" s="107"/>
      <c r="Y1469" s="108"/>
    </row>
    <row r="1470" ht="22.5" customHeight="1">
      <c r="A1470" s="96"/>
      <c r="B1470" s="97" t="s">
        <v>53</v>
      </c>
      <c r="C1470" s="98" t="str">
        <f t="array" ref="C1470">IFNA(XLOOKUP(J1470,'⚙️ Pengaturan'!$H$5:$H1508,'⚙️ Pengaturan'!$I$5:$I1508),"")</f>
        <v>TIM Y</v>
      </c>
      <c r="D1470" s="97" t="s">
        <v>86</v>
      </c>
      <c r="E1470" s="99">
        <v>46019.0</v>
      </c>
      <c r="F1470" s="100" t="str">
        <f t="shared" si="1"/>
        <v>2025</v>
      </c>
      <c r="G1470" s="100" t="str">
        <f t="shared" si="2"/>
        <v>12Des</v>
      </c>
      <c r="H1470" s="100" t="str">
        <f t="shared" si="3"/>
        <v>Minggu</v>
      </c>
      <c r="I1470" s="97" t="s">
        <v>74</v>
      </c>
      <c r="J1470" s="97" t="s">
        <v>56</v>
      </c>
      <c r="K1470" s="97" t="s">
        <v>63</v>
      </c>
      <c r="L1470" s="101" t="s">
        <v>798</v>
      </c>
      <c r="M1470" s="102" t="str">
        <f>IFNA(VLOOKUP(L1470,'🙎‍♂️ Pasien'!G:V,2,FALSE),"")</f>
        <v/>
      </c>
      <c r="N1470" s="103" t="str">
        <f>IFNA(VLOOKUP(L1470,'🙎‍♂️ Pasien'!G:L,3,FALSE),"")</f>
        <v/>
      </c>
      <c r="O1470" s="104" t="str">
        <f>IFNA(VLOOKUP(L1470,'🙎‍♂️ Pasien'!G:V,6,FALSE),"")</f>
        <v/>
      </c>
      <c r="P1470" s="104" t="str">
        <f>IFNA(VLOOKUP(L1470,'🙎‍♂️ Pasien'!G:V,12,FALSE),"")</f>
        <v/>
      </c>
      <c r="Q1470" s="104" t="str">
        <f>IFNA(VLOOKUP(L1470:L1508,'🙎‍♂️ Pasien'!G:V,13,FALSE),"")</f>
        <v/>
      </c>
      <c r="R1470" s="104" t="str">
        <f t="array" ref="R1470">ifna(xlookup(L1470,'🙎‍♂️ Pasien'!$G$5:$G1508,'🙎‍♂️ Pasien'!$T$5:$T1508),"")</f>
        <v/>
      </c>
      <c r="S1470" s="104" t="str">
        <f t="array" ref="S1470">ifna(xlookup(L1470,'🙎‍♂️ Pasien'!$G$5:$G1508,'🙎‍♂️ Pasien'!$U$5:$U1508),"")</f>
        <v/>
      </c>
      <c r="T1470" s="97" t="s">
        <v>59</v>
      </c>
      <c r="U1470" s="105">
        <v>5.0</v>
      </c>
      <c r="V1470" s="101" t="s">
        <v>125</v>
      </c>
      <c r="W1470" s="106" t="b">
        <v>1</v>
      </c>
      <c r="X1470" s="107"/>
      <c r="Y1470" s="108"/>
    </row>
    <row r="1471" ht="22.5" customHeight="1">
      <c r="A1471" s="96"/>
      <c r="B1471" s="97" t="s">
        <v>53</v>
      </c>
      <c r="C1471" s="98" t="str">
        <f t="array" ref="C1471">IFNA(XLOOKUP(J1471,'⚙️ Pengaturan'!$H$5:$H1508,'⚙️ Pengaturan'!$I$5:$I1508),"")</f>
        <v>TIM A</v>
      </c>
      <c r="D1471" s="97" t="s">
        <v>86</v>
      </c>
      <c r="E1471" s="99">
        <v>46019.0</v>
      </c>
      <c r="F1471" s="100" t="str">
        <f t="shared" si="1"/>
        <v>2025</v>
      </c>
      <c r="G1471" s="100" t="str">
        <f t="shared" si="2"/>
        <v>12Des</v>
      </c>
      <c r="H1471" s="100" t="str">
        <f t="shared" si="3"/>
        <v>Minggu</v>
      </c>
      <c r="I1471" s="97" t="s">
        <v>76</v>
      </c>
      <c r="J1471" s="97" t="s">
        <v>72</v>
      </c>
      <c r="K1471" s="97" t="s">
        <v>57</v>
      </c>
      <c r="L1471" s="101" t="s">
        <v>799</v>
      </c>
      <c r="M1471" s="102" t="str">
        <f>IFNA(VLOOKUP(L1471,'🙎‍♂️ Pasien'!G:V,2,FALSE),"")</f>
        <v>A5425122766</v>
      </c>
      <c r="N1471" s="103">
        <f>IFNA(VLOOKUP(L1471,'🙎‍♂️ Pasien'!G:L,3,FALSE),"")</f>
        <v>71</v>
      </c>
      <c r="O1471" s="104" t="str">
        <f>IFNA(VLOOKUP(L1471,'🙎‍♂️ Pasien'!G:V,6,FALSE),"")</f>
        <v>PEREMPUAN</v>
      </c>
      <c r="P1471" s="104" t="str">
        <f>IFNA(VLOOKUP(L1471,'🙎‍♂️ Pasien'!G:V,12,FALSE),"")</f>
        <v>ISLAM</v>
      </c>
      <c r="Q1471" s="104" t="str">
        <f>IFNA(VLOOKUP(L1471:L1508,'🙎‍♂️ Pasien'!G:V,13,FALSE),"")</f>
        <v>IBU RUMAH TANGGA</v>
      </c>
      <c r="R1471" s="104" t="str">
        <f t="array" ref="R1471">ifna(xlookup(L1471,'🙎‍♂️ Pasien'!$G$5:$G1508,'🙎‍♂️ Pasien'!$T$5:$T1508),"")</f>
        <v>KAKI MATI RASA SEKARANG SEMAKIN BERAT JIKA MAU ANGKAT KAKI SAAT BERJALAN</v>
      </c>
      <c r="S1471" s="104" t="str">
        <f t="array" ref="S1471">ifna(xlookup(L1471,'🙎‍♂️ Pasien'!$G$5:$G1508,'🙎‍♂️ Pasien'!$U$5:$U1508),"")</f>
        <v>MINUM SUSU KENTAL MANIS,DUDUK DAN TIDUR</v>
      </c>
      <c r="T1471" s="97" t="s">
        <v>59</v>
      </c>
      <c r="U1471" s="105" t="s">
        <v>60</v>
      </c>
      <c r="V1471" s="101"/>
      <c r="W1471" s="106" t="b">
        <v>1</v>
      </c>
      <c r="X1471" s="107"/>
      <c r="Y1471" s="108"/>
    </row>
    <row r="1472" ht="22.5" customHeight="1">
      <c r="A1472" s="96"/>
      <c r="B1472" s="97" t="s">
        <v>53</v>
      </c>
      <c r="C1472" s="98" t="str">
        <f t="array" ref="C1472">IFNA(XLOOKUP(J1472,'⚙️ Pengaturan'!$H$5:$H1508,'⚙️ Pengaturan'!$I$5:$I1508),"")</f>
        <v>TIM A</v>
      </c>
      <c r="D1472" s="97" t="s">
        <v>86</v>
      </c>
      <c r="E1472" s="99">
        <v>46019.0</v>
      </c>
      <c r="F1472" s="100" t="str">
        <f t="shared" si="1"/>
        <v>2025</v>
      </c>
      <c r="G1472" s="100" t="str">
        <f t="shared" si="2"/>
        <v>12Des</v>
      </c>
      <c r="H1472" s="100" t="str">
        <f t="shared" si="3"/>
        <v>Minggu</v>
      </c>
      <c r="I1472" s="97" t="s">
        <v>76</v>
      </c>
      <c r="J1472" s="97" t="s">
        <v>79</v>
      </c>
      <c r="K1472" s="97" t="s">
        <v>63</v>
      </c>
      <c r="L1472" s="101" t="s">
        <v>177</v>
      </c>
      <c r="M1472" s="102" t="str">
        <f>IFNA(VLOOKUP(L1472,'🙎‍♂️ Pasien'!G:V,2,FALSE),"")</f>
        <v>M9225108407</v>
      </c>
      <c r="N1472" s="103">
        <f>IFNA(VLOOKUP(L1472,'🙎‍♂️ Pasien'!G:L,3,FALSE),"")</f>
        <v>34</v>
      </c>
      <c r="O1472" s="104" t="str">
        <f>IFNA(VLOOKUP(L1472,'🙎‍♂️ Pasien'!G:V,6,FALSE),"")</f>
        <v>PEREMPUAN</v>
      </c>
      <c r="P1472" s="104" t="str">
        <f>IFNA(VLOOKUP(L1472,'🙎‍♂️ Pasien'!G:V,12,FALSE),"")</f>
        <v>ISLAM</v>
      </c>
      <c r="Q1472" s="104" t="str">
        <f>IFNA(VLOOKUP(L1472:L1508,'🙎‍♂️ Pasien'!G:V,13,FALSE),"")</f>
        <v>IRT</v>
      </c>
      <c r="R1472" s="104" t="str">
        <f t="array" ref="R1472">ifna(xlookup(L1472,'🙎‍♂️ Pasien'!$G$5:$G1508,'🙎‍♂️ Pasien'!$T$5:$T1508),"")</f>
        <v>TUMIT KAKI KIRI SAKIT TAK KUNJUNG HILANG</v>
      </c>
      <c r="S1472" s="104" t="str">
        <f t="array" ref="S1472">ifna(xlookup(L1472,'🙎‍♂️ Pasien'!$G$5:$G1508,'🙎‍♂️ Pasien'!$U$5:$U1508),"")</f>
        <v>OLAHRAGA RUTIN</v>
      </c>
      <c r="T1472" s="97" t="s">
        <v>59</v>
      </c>
      <c r="U1472" s="105">
        <v>1.0</v>
      </c>
      <c r="V1472" s="101"/>
      <c r="W1472" s="106" t="b">
        <v>1</v>
      </c>
      <c r="X1472" s="107"/>
      <c r="Y1472" s="108"/>
    </row>
    <row r="1473" ht="22.5" customHeight="1">
      <c r="A1473" s="96"/>
      <c r="B1473" s="97" t="s">
        <v>53</v>
      </c>
      <c r="C1473" s="98" t="str">
        <f t="array" ref="C1473">IFNA(XLOOKUP(J1473,'⚙️ Pengaturan'!$H$5:$H1508,'⚙️ Pengaturan'!$I$5:$I1508),"")</f>
        <v>TIM Y</v>
      </c>
      <c r="D1473" s="97" t="s">
        <v>86</v>
      </c>
      <c r="E1473" s="99">
        <v>46019.0</v>
      </c>
      <c r="F1473" s="100" t="str">
        <f t="shared" si="1"/>
        <v>2025</v>
      </c>
      <c r="G1473" s="100" t="str">
        <f t="shared" si="2"/>
        <v>12Des</v>
      </c>
      <c r="H1473" s="100" t="str">
        <f t="shared" si="3"/>
        <v>Minggu</v>
      </c>
      <c r="I1473" s="97" t="s">
        <v>76</v>
      </c>
      <c r="J1473" s="97" t="s">
        <v>56</v>
      </c>
      <c r="K1473" s="97" t="s">
        <v>63</v>
      </c>
      <c r="L1473" s="101" t="s">
        <v>744</v>
      </c>
      <c r="M1473" s="102" t="str">
        <f>IFNA(VLOOKUP(L1473,'🙎‍♂️ Pasien'!G:V,2,FALSE),"")</f>
        <v>D9525039860</v>
      </c>
      <c r="N1473" s="103">
        <f>IFNA(VLOOKUP(L1473,'🙎‍♂️ Pasien'!G:L,3,FALSE),"")</f>
        <v>31</v>
      </c>
      <c r="O1473" s="104" t="str">
        <f>IFNA(VLOOKUP(L1473,'🙎‍♂️ Pasien'!G:V,6,FALSE),"")</f>
        <v>LAKI-LAKI</v>
      </c>
      <c r="P1473" s="104" t="str">
        <f>IFNA(VLOOKUP(L1473,'🙎‍♂️ Pasien'!G:V,12,FALSE),"")</f>
        <v>ISLAM</v>
      </c>
      <c r="Q1473" s="104" t="str">
        <f>IFNA(VLOOKUP(L1473:L1508,'🙎‍♂️ Pasien'!G:V,13,FALSE),"")</f>
        <v>SWASTA</v>
      </c>
      <c r="R1473" s="104" t="str">
        <f t="array" ref="R1473">ifna(xlookup(L1473,'🙎‍♂️ Pasien'!$G$5:$G1508,'🙎‍♂️ Pasien'!$T$5:$T1508),"")</f>
        <v>SAKIT DI PUNGGUNG KE BAWAH</v>
      </c>
      <c r="S1473" s="104" t="str">
        <f t="array" ref="S1473">ifna(xlookup(L1473,'🙎‍♂️ Pasien'!$G$5:$G1508,'🙎‍♂️ Pasien'!$U$5:$U1508),"")</f>
        <v>OLAHRAGA</v>
      </c>
      <c r="T1473" s="97" t="s">
        <v>67</v>
      </c>
      <c r="U1473" s="105">
        <v>4.0</v>
      </c>
      <c r="V1473" s="101" t="s">
        <v>800</v>
      </c>
      <c r="W1473" s="106" t="b">
        <v>1</v>
      </c>
      <c r="X1473" s="107"/>
      <c r="Y1473" s="108"/>
    </row>
    <row r="1474" ht="22.5" customHeight="1">
      <c r="A1474" s="96"/>
      <c r="B1474" s="97" t="s">
        <v>53</v>
      </c>
      <c r="C1474" s="98" t="str">
        <f t="array" ref="C1474">IFNA(XLOOKUP(J1474,'⚙️ Pengaturan'!$H$5:$H1508,'⚙️ Pengaturan'!$I$5:$I1508),"")</f>
        <v>TIM A</v>
      </c>
      <c r="D1474" s="97" t="s">
        <v>86</v>
      </c>
      <c r="E1474" s="99">
        <v>46019.0</v>
      </c>
      <c r="F1474" s="100" t="str">
        <f t="shared" si="1"/>
        <v>2025</v>
      </c>
      <c r="G1474" s="100" t="str">
        <f t="shared" si="2"/>
        <v>12Des</v>
      </c>
      <c r="H1474" s="100" t="str">
        <f t="shared" si="3"/>
        <v>Minggu</v>
      </c>
      <c r="I1474" s="97" t="s">
        <v>83</v>
      </c>
      <c r="J1474" s="97" t="s">
        <v>72</v>
      </c>
      <c r="K1474" s="97" t="s">
        <v>63</v>
      </c>
      <c r="L1474" s="101" t="s">
        <v>149</v>
      </c>
      <c r="M1474" s="102" t="str">
        <f>IFNA(VLOOKUP(L1474,'🙎‍♂️ Pasien'!G:V,2,FALSE),"")</f>
        <v>S9825058991</v>
      </c>
      <c r="N1474" s="103">
        <f>IFNA(VLOOKUP(L1474,'🙎‍♂️ Pasien'!G:L,3,FALSE),"")</f>
        <v>27</v>
      </c>
      <c r="O1474" s="104" t="str">
        <f>IFNA(VLOOKUP(L1474,'🙎‍♂️ Pasien'!G:V,6,FALSE),"")</f>
        <v>PEREMPUAN</v>
      </c>
      <c r="P1474" s="104" t="str">
        <f>IFNA(VLOOKUP(L1474,'🙎‍♂️ Pasien'!G:V,12,FALSE),"")</f>
        <v>ISLAM</v>
      </c>
      <c r="Q1474" s="104" t="str">
        <f>IFNA(VLOOKUP(L1474:L1508,'🙎‍♂️ Pasien'!G:V,13,FALSE),"")</f>
        <v>SWASTA</v>
      </c>
      <c r="R1474" s="104" t="str">
        <f t="array" ref="R1474">ifna(xlookup(L1474,'🙎‍♂️ Pasien'!$G$5:$G1508,'🙎‍♂️ Pasien'!$T$5:$T1508),"")</f>
        <v>HNP LUMBAL/SARAF KEJEPIT</v>
      </c>
      <c r="S1474" s="104" t="str">
        <f t="array" ref="S1474">ifna(xlookup(L1474,'🙎‍♂️ Pasien'!$G$5:$G1508,'🙎‍♂️ Pasien'!$U$5:$U1508),"")</f>
        <v>BEKERJA KANTORAN</v>
      </c>
      <c r="T1474" s="97" t="s">
        <v>59</v>
      </c>
      <c r="U1474" s="105">
        <v>7.0</v>
      </c>
      <c r="V1474" s="101"/>
      <c r="W1474" s="106" t="b">
        <v>1</v>
      </c>
      <c r="X1474" s="107"/>
      <c r="Y1474" s="108"/>
    </row>
    <row r="1475" ht="22.5" customHeight="1">
      <c r="A1475" s="96"/>
      <c r="B1475" s="97" t="s">
        <v>53</v>
      </c>
      <c r="C1475" s="98" t="str">
        <f t="array" ref="C1475">IFNA(XLOOKUP(J1475,'⚙️ Pengaturan'!$H$5:$H1508,'⚙️ Pengaturan'!$I$5:$I1508),"")</f>
        <v>TIM A</v>
      </c>
      <c r="D1475" s="97" t="s">
        <v>86</v>
      </c>
      <c r="E1475" s="99">
        <v>46019.0</v>
      </c>
      <c r="F1475" s="100" t="str">
        <f t="shared" si="1"/>
        <v>2025</v>
      </c>
      <c r="G1475" s="100" t="str">
        <f t="shared" si="2"/>
        <v>12Des</v>
      </c>
      <c r="H1475" s="100" t="str">
        <f t="shared" si="3"/>
        <v>Minggu</v>
      </c>
      <c r="I1475" s="97" t="s">
        <v>83</v>
      </c>
      <c r="J1475" s="97" t="s">
        <v>79</v>
      </c>
      <c r="K1475" s="97" t="s">
        <v>57</v>
      </c>
      <c r="L1475" s="101" t="s">
        <v>801</v>
      </c>
      <c r="M1475" s="102" t="str">
        <f>IFNA(VLOOKUP(L1475,'🙎‍♂️ Pasien'!G:V,2,FALSE),"")</f>
        <v>P9824042265</v>
      </c>
      <c r="N1475" s="103">
        <f>IFNA(VLOOKUP(L1475,'🙎‍♂️ Pasien'!G:L,3,FALSE),"")</f>
        <v>28</v>
      </c>
      <c r="O1475" s="104" t="str">
        <f>IFNA(VLOOKUP(L1475,'🙎‍♂️ Pasien'!G:V,6,FALSE),"")</f>
        <v>PEREMPUAN</v>
      </c>
      <c r="P1475" s="104" t="str">
        <f>IFNA(VLOOKUP(L1475,'🙎‍♂️ Pasien'!G:V,12,FALSE),"")</f>
        <v>ISLAM</v>
      </c>
      <c r="Q1475" s="104" t="str">
        <f>IFNA(VLOOKUP(L1475:L1508,'🙎‍♂️ Pasien'!G:V,13,FALSE),"")</f>
        <v>SWASTA</v>
      </c>
      <c r="R1475" s="104" t="str">
        <f t="array" ref="R1475">ifna(xlookup(L1475,'🙎‍♂️ Pasien'!$G$5:$G1508,'🙎‍♂️ Pasien'!$T$5:$T1508),"")</f>
        <v>Sakit di bagian belakang tubuh dari punggung hingga ke pinggang</v>
      </c>
      <c r="S1475" s="104" t="str">
        <f t="array" ref="S1475">ifna(xlookup(L1475,'🙎‍♂️ Pasien'!$G$5:$G1508,'🙎‍♂️ Pasien'!$U$5:$U1508),"")</f>
        <v>Bekerja di kitchen sebuah caffe</v>
      </c>
      <c r="T1475" s="97" t="s">
        <v>59</v>
      </c>
      <c r="U1475" s="105" t="s">
        <v>60</v>
      </c>
      <c r="V1475" s="101"/>
      <c r="W1475" s="106" t="b">
        <v>1</v>
      </c>
      <c r="X1475" s="107"/>
      <c r="Y1475" s="108"/>
    </row>
    <row r="1476" ht="22.5" customHeight="1">
      <c r="A1476" s="96"/>
      <c r="B1476" s="97" t="s">
        <v>85</v>
      </c>
      <c r="C1476" s="98" t="str">
        <f t="array" ref="C1476">IFNA(XLOOKUP(J1476,'⚙️ Pengaturan'!$H$5:$H1508,'⚙️ Pengaturan'!$I$5:$I1508),"")</f>
        <v>TIM Y</v>
      </c>
      <c r="D1476" s="97" t="s">
        <v>54</v>
      </c>
      <c r="E1476" s="99">
        <v>46019.0</v>
      </c>
      <c r="F1476" s="100" t="str">
        <f t="shared" si="1"/>
        <v>2025</v>
      </c>
      <c r="G1476" s="100" t="str">
        <f t="shared" si="2"/>
        <v>12Des</v>
      </c>
      <c r="H1476" s="100" t="str">
        <f t="shared" si="3"/>
        <v>Minggu</v>
      </c>
      <c r="I1476" s="97" t="s">
        <v>87</v>
      </c>
      <c r="J1476" s="97" t="s">
        <v>509</v>
      </c>
      <c r="K1476" s="97" t="s">
        <v>135</v>
      </c>
      <c r="L1476" s="101" t="s">
        <v>586</v>
      </c>
      <c r="M1476" s="102" t="str">
        <f>IFNA(VLOOKUP(L1476,'🙎‍♂️ Pasien'!G:V,2,FALSE),"")</f>
        <v>B0924114293</v>
      </c>
      <c r="N1476" s="103">
        <f>IFNA(VLOOKUP(L1476,'🙎‍♂️ Pasien'!G:L,3,FALSE),"")</f>
        <v>16</v>
      </c>
      <c r="O1476" s="104" t="str">
        <f>IFNA(VLOOKUP(L1476,'🙎‍♂️ Pasien'!G:V,6,FALSE),"")</f>
        <v>LAKI-LAKI</v>
      </c>
      <c r="P1476" s="104" t="str">
        <f>IFNA(VLOOKUP(L1476,'🙎‍♂️ Pasien'!G:V,12,FALSE),"")</f>
        <v>ISLAM</v>
      </c>
      <c r="Q1476" s="104" t="str">
        <f>IFNA(VLOOKUP(L1476:L1508,'🙎‍♂️ Pasien'!G:V,13,FALSE),"")</f>
        <v>PELAJAR/MAHASISWA</v>
      </c>
      <c r="R1476" s="104" t="str">
        <f t="array" ref="R1476">ifna(xlookup(L1476,'🙎‍♂️ Pasien'!$G$5:$G1508,'🙎‍♂️ Pasien'!$T$5:$T1508),"")</f>
        <v>SAKIT PADA BAHU</v>
      </c>
      <c r="S1476" s="104" t="str">
        <f t="array" ref="S1476">ifna(xlookup(L1476,'🙎‍♂️ Pasien'!$G$5:$G1508,'🙎‍♂️ Pasien'!$U$5:$U1508),"")</f>
        <v>OLAHARAGA VOLEYY</v>
      </c>
      <c r="T1476" s="97" t="s">
        <v>67</v>
      </c>
      <c r="U1476" s="105" t="s">
        <v>60</v>
      </c>
      <c r="V1476" s="101" t="s">
        <v>802</v>
      </c>
      <c r="W1476" s="106" t="b">
        <v>1</v>
      </c>
      <c r="X1476" s="107"/>
      <c r="Y1476" s="108"/>
    </row>
    <row r="1477" ht="22.5" customHeight="1">
      <c r="A1477" s="96"/>
      <c r="B1477" s="97" t="s">
        <v>85</v>
      </c>
      <c r="C1477" s="98" t="str">
        <f t="array" ref="C1477">IFNA(XLOOKUP(J1477,'⚙️ Pengaturan'!$H$5:$H1508,'⚙️ Pengaturan'!$I$5:$I1508),"")</f>
        <v>TIM Y</v>
      </c>
      <c r="D1477" s="97" t="s">
        <v>54</v>
      </c>
      <c r="E1477" s="99">
        <v>46019.0</v>
      </c>
      <c r="F1477" s="100" t="str">
        <f t="shared" si="1"/>
        <v>2025</v>
      </c>
      <c r="G1477" s="100" t="str">
        <f t="shared" si="2"/>
        <v>12Des</v>
      </c>
      <c r="H1477" s="100" t="str">
        <f t="shared" si="3"/>
        <v>Minggu</v>
      </c>
      <c r="I1477" s="97" t="s">
        <v>87</v>
      </c>
      <c r="J1477" s="97" t="s">
        <v>88</v>
      </c>
      <c r="K1477" s="97" t="s">
        <v>57</v>
      </c>
      <c r="L1477" s="101" t="s">
        <v>803</v>
      </c>
      <c r="M1477" s="102" t="str">
        <f>IFNA(VLOOKUP(L1477,'🙎‍♂️ Pasien'!G:V,2,FALSE),"")</f>
        <v>N6225128383</v>
      </c>
      <c r="N1477" s="103">
        <f>IFNA(VLOOKUP(L1477,'🙎‍♂️ Pasien'!G:L,3,FALSE),"")</f>
        <v>64</v>
      </c>
      <c r="O1477" s="104" t="str">
        <f>IFNA(VLOOKUP(L1477,'🙎‍♂️ Pasien'!G:V,6,FALSE),"")</f>
        <v>PEREMPUAN</v>
      </c>
      <c r="P1477" s="104" t="str">
        <f>IFNA(VLOOKUP(L1477,'🙎‍♂️ Pasien'!G:V,12,FALSE),"")</f>
        <v>ISLAM</v>
      </c>
      <c r="Q1477" s="104" t="str">
        <f>IFNA(VLOOKUP(L1477:L1508,'🙎‍♂️ Pasien'!G:V,13,FALSE),"")</f>
        <v>IRY</v>
      </c>
      <c r="R1477" s="104" t="str">
        <f t="array" ref="R1477">ifna(xlookup(L1477,'🙎‍♂️ Pasien'!$G$5:$G1508,'🙎‍♂️ Pasien'!$T$5:$T1508),"")</f>
        <v>LUTUT</v>
      </c>
      <c r="S1477" s="104" t="str">
        <f t="array" ref="S1477">ifna(xlookup(L1477,'🙎‍♂️ Pasien'!$G$5:$G1508,'🙎‍♂️ Pasien'!$U$5:$U1508),"")</f>
        <v>TIDAK ADA</v>
      </c>
      <c r="T1477" s="97" t="s">
        <v>59</v>
      </c>
      <c r="U1477" s="105" t="s">
        <v>60</v>
      </c>
      <c r="V1477" s="101"/>
      <c r="W1477" s="106" t="b">
        <v>1</v>
      </c>
      <c r="X1477" s="107"/>
      <c r="Y1477" s="108"/>
    </row>
    <row r="1478" ht="22.5" customHeight="1">
      <c r="A1478" s="96"/>
      <c r="B1478" s="97" t="s">
        <v>85</v>
      </c>
      <c r="C1478" s="98" t="str">
        <f t="array" ref="C1478">IFNA(XLOOKUP(J1478,'⚙️ Pengaturan'!$H$5:$H1508,'⚙️ Pengaturan'!$I$5:$I1508),"")</f>
        <v>TIM Y</v>
      </c>
      <c r="D1478" s="97" t="s">
        <v>54</v>
      </c>
      <c r="E1478" s="99">
        <v>46019.0</v>
      </c>
      <c r="F1478" s="100" t="str">
        <f t="shared" si="1"/>
        <v>2025</v>
      </c>
      <c r="G1478" s="100" t="str">
        <f t="shared" si="2"/>
        <v>12Des</v>
      </c>
      <c r="H1478" s="100" t="str">
        <f t="shared" si="3"/>
        <v>Minggu</v>
      </c>
      <c r="I1478" s="97" t="s">
        <v>93</v>
      </c>
      <c r="J1478" s="97" t="s">
        <v>88</v>
      </c>
      <c r="K1478" s="97" t="s">
        <v>63</v>
      </c>
      <c r="L1478" s="101" t="s">
        <v>727</v>
      </c>
      <c r="M1478" s="102" t="str">
        <f>IFNA(VLOOKUP(L1478,'🙎‍♂️ Pasien'!G:V,2,FALSE),"")</f>
        <v>R0225129200</v>
      </c>
      <c r="N1478" s="103">
        <f>IFNA(VLOOKUP(L1478,'🙎‍♂️ Pasien'!G:L,3,FALSE),"")</f>
        <v>24</v>
      </c>
      <c r="O1478" s="104" t="str">
        <f>IFNA(VLOOKUP(L1478,'🙎‍♂️ Pasien'!G:V,6,FALSE),"")</f>
        <v>LAKI-LAKI</v>
      </c>
      <c r="P1478" s="104" t="str">
        <f>IFNA(VLOOKUP(L1478,'🙎‍♂️ Pasien'!G:V,12,FALSE),"")</f>
        <v>ISLAM</v>
      </c>
      <c r="Q1478" s="104" t="str">
        <f>IFNA(VLOOKUP(L1478:L1508,'🙎‍♂️ Pasien'!G:V,13,FALSE),"")</f>
        <v>BELUM ADA</v>
      </c>
      <c r="R1478" s="104" t="str">
        <f t="array" ref="R1478">ifna(xlookup(L1478,'🙎‍♂️ Pasien'!$G$5:$G1508,'🙎‍♂️ Pasien'!$T$5:$T1508),"")</f>
        <v>.BAHU TIDAK SIMETRIS</v>
      </c>
      <c r="S1478" s="104" t="str">
        <f t="array" ref="S1478">ifna(xlookup(L1478,'🙎‍♂️ Pasien'!$G$5:$G1508,'🙎‍♂️ Pasien'!$U$5:$U1508),"")</f>
        <v>LARI</v>
      </c>
      <c r="T1478" s="97" t="s">
        <v>59</v>
      </c>
      <c r="U1478" s="105">
        <v>7.0</v>
      </c>
      <c r="V1478" s="101"/>
      <c r="W1478" s="106" t="b">
        <v>1</v>
      </c>
      <c r="X1478" s="107"/>
      <c r="Y1478" s="108"/>
    </row>
    <row r="1479" ht="22.5" customHeight="1">
      <c r="A1479" s="96"/>
      <c r="B1479" s="97" t="s">
        <v>85</v>
      </c>
      <c r="C1479" s="98" t="str">
        <f t="array" ref="C1479">IFNA(XLOOKUP(J1479,'⚙️ Pengaturan'!$H$5:$H1508,'⚙️ Pengaturan'!$I$5:$I1508),"")</f>
        <v>TIM Y</v>
      </c>
      <c r="D1479" s="97" t="s">
        <v>54</v>
      </c>
      <c r="E1479" s="99">
        <v>46019.0</v>
      </c>
      <c r="F1479" s="100" t="str">
        <f t="shared" si="1"/>
        <v>2025</v>
      </c>
      <c r="G1479" s="100" t="str">
        <f t="shared" si="2"/>
        <v>12Des</v>
      </c>
      <c r="H1479" s="100" t="str">
        <f t="shared" si="3"/>
        <v>Minggu</v>
      </c>
      <c r="I1479" s="97" t="s">
        <v>95</v>
      </c>
      <c r="J1479" s="97" t="s">
        <v>509</v>
      </c>
      <c r="K1479" s="97" t="s">
        <v>69</v>
      </c>
      <c r="L1479" s="101" t="s">
        <v>779</v>
      </c>
      <c r="M1479" s="102" t="str">
        <f>IFNA(VLOOKUP(L1479,'🙎‍♂️ Pasien'!G:V,2,FALSE),"")</f>
        <v>N7025034060</v>
      </c>
      <c r="N1479" s="103">
        <f>IFNA(VLOOKUP(L1479,'🙎‍♂️ Pasien'!G:L,3,FALSE),"")</f>
        <v>56</v>
      </c>
      <c r="O1479" s="104" t="str">
        <f>IFNA(VLOOKUP(L1479,'🙎‍♂️ Pasien'!G:V,6,FALSE),"")</f>
        <v>PEREMPUAN</v>
      </c>
      <c r="P1479" s="104" t="str">
        <f>IFNA(VLOOKUP(L1479,'🙎‍♂️ Pasien'!G:V,12,FALSE),"")</f>
        <v>ISLAM</v>
      </c>
      <c r="Q1479" s="104" t="str">
        <f>IFNA(VLOOKUP(L1479:L1508,'🙎‍♂️ Pasien'!G:V,13,FALSE),"")</f>
        <v>PEGAWAI SWASTA</v>
      </c>
      <c r="R1479" s="104" t="str">
        <f t="array" ref="R1479">ifna(xlookup(L1479,'🙎‍♂️ Pasien'!$G$5:$G1508,'🙎‍♂️ Pasien'!$T$5:$T1508),"")</f>
        <v>PERGELANGAN TANGAN</v>
      </c>
      <c r="S1479" s="104" t="str">
        <f t="array" ref="S1479">ifna(xlookup(L1479,'🙎‍♂️ Pasien'!$G$5:$G1508,'🙎‍♂️ Pasien'!$U$5:$U1508),"")</f>
        <v>MAYORITAS DI DEPAN LAPTOP</v>
      </c>
      <c r="T1479" s="97" t="s">
        <v>59</v>
      </c>
      <c r="U1479" s="105" t="s">
        <v>60</v>
      </c>
      <c r="V1479" s="101"/>
      <c r="W1479" s="106" t="b">
        <v>1</v>
      </c>
      <c r="X1479" s="107"/>
      <c r="Y1479" s="108"/>
    </row>
    <row r="1480" ht="22.5" customHeight="1">
      <c r="A1480" s="96"/>
      <c r="B1480" s="97" t="s">
        <v>85</v>
      </c>
      <c r="C1480" s="98" t="str">
        <f t="array" ref="C1480">IFNA(XLOOKUP(J1480,'⚙️ Pengaturan'!$H$5:$H1508,'⚙️ Pengaturan'!$I$5:$I1508),"")</f>
        <v>TIM Y</v>
      </c>
      <c r="D1480" s="97" t="s">
        <v>54</v>
      </c>
      <c r="E1480" s="99">
        <v>46019.0</v>
      </c>
      <c r="F1480" s="100" t="str">
        <f t="shared" si="1"/>
        <v>2025</v>
      </c>
      <c r="G1480" s="100" t="str">
        <f t="shared" si="2"/>
        <v>12Des</v>
      </c>
      <c r="H1480" s="100" t="str">
        <f t="shared" si="3"/>
        <v>Minggu</v>
      </c>
      <c r="I1480" s="97" t="s">
        <v>95</v>
      </c>
      <c r="J1480" s="97" t="s">
        <v>88</v>
      </c>
      <c r="K1480" s="97" t="s">
        <v>63</v>
      </c>
      <c r="L1480" s="101" t="s">
        <v>770</v>
      </c>
      <c r="M1480" s="102" t="str">
        <f>IFNA(VLOOKUP(L1480,'🙎‍♂️ Pasien'!G:V,2,FALSE),"")</f>
        <v>R9125127920</v>
      </c>
      <c r="N1480" s="103">
        <f>IFNA(VLOOKUP(L1480,'🙎‍♂️ Pasien'!G:L,3,FALSE),"")</f>
        <v>34</v>
      </c>
      <c r="O1480" s="104" t="str">
        <f>IFNA(VLOOKUP(L1480,'🙎‍♂️ Pasien'!G:V,6,FALSE),"")</f>
        <v>LAKI-LAKI</v>
      </c>
      <c r="P1480" s="104" t="str">
        <f>IFNA(VLOOKUP(L1480,'🙎‍♂️ Pasien'!G:V,12,FALSE),"")</f>
        <v>ISLAM</v>
      </c>
      <c r="Q1480" s="104" t="str">
        <f>IFNA(VLOOKUP(L1480:L1508,'🙎‍♂️ Pasien'!G:V,13,FALSE),"")</f>
        <v>SWASTA</v>
      </c>
      <c r="R1480" s="104" t="str">
        <f t="array" ref="R1480">ifna(xlookup(L1480,'🙎‍♂️ Pasien'!$G$5:$G1508,'🙎‍♂️ Pasien'!$T$5:$T1508),"")</f>
        <v>TUMIT SAKIT</v>
      </c>
      <c r="S1480" s="104" t="str">
        <f t="array" ref="S1480">ifna(xlookup(L1480,'🙎‍♂️ Pasien'!$G$5:$G1508,'🙎‍♂️ Pasien'!$U$5:$U1508),"")</f>
        <v>HOBI SEPAK BOLA, AKTIVITAS BEKERJA BERDIRI</v>
      </c>
      <c r="T1480" s="97" t="s">
        <v>59</v>
      </c>
      <c r="U1480" s="105">
        <v>1.0</v>
      </c>
      <c r="V1480" s="101"/>
      <c r="W1480" s="106" t="b">
        <v>1</v>
      </c>
      <c r="X1480" s="107"/>
      <c r="Y1480" s="108"/>
    </row>
    <row r="1481" ht="22.5" customHeight="1">
      <c r="A1481" s="96"/>
      <c r="B1481" s="97" t="s">
        <v>85</v>
      </c>
      <c r="C1481" s="98" t="str">
        <f t="array" ref="C1481">IFNA(XLOOKUP(J1481,'⚙️ Pengaturan'!$H$5:$H1508,'⚙️ Pengaturan'!$I$5:$I1508),"")</f>
        <v>TIM Y</v>
      </c>
      <c r="D1481" s="97" t="s">
        <v>54</v>
      </c>
      <c r="E1481" s="99">
        <v>46019.0</v>
      </c>
      <c r="F1481" s="100" t="str">
        <f t="shared" si="1"/>
        <v>2025</v>
      </c>
      <c r="G1481" s="100" t="str">
        <f t="shared" si="2"/>
        <v>12Des</v>
      </c>
      <c r="H1481" s="100" t="str">
        <f t="shared" si="3"/>
        <v>Minggu</v>
      </c>
      <c r="I1481" s="97" t="s">
        <v>97</v>
      </c>
      <c r="J1481" s="97" t="s">
        <v>88</v>
      </c>
      <c r="K1481" s="97" t="s">
        <v>57</v>
      </c>
      <c r="L1481" s="101" t="s">
        <v>804</v>
      </c>
      <c r="M1481" s="102" t="str">
        <f>IFNA(VLOOKUP(L1481,'🙎‍♂️ Pasien'!G:V,2,FALSE),"")</f>
        <v>E0225030144</v>
      </c>
      <c r="N1481" s="103">
        <f>IFNA(VLOOKUP(L1481,'🙎‍♂️ Pasien'!G:L,3,FALSE),"")</f>
        <v>23</v>
      </c>
      <c r="O1481" s="104" t="str">
        <f>IFNA(VLOOKUP(L1481,'🙎‍♂️ Pasien'!G:V,6,FALSE),"")</f>
        <v>LAKI-LAKI</v>
      </c>
      <c r="P1481" s="104" t="str">
        <f>IFNA(VLOOKUP(L1481,'🙎‍♂️ Pasien'!G:V,12,FALSE),"")</f>
        <v>BUDDHA</v>
      </c>
      <c r="Q1481" s="104" t="str">
        <f>IFNA(VLOOKUP(L1481:L1508,'🙎‍♂️ Pasien'!G:V,13,FALSE),"")</f>
        <v>TUKANG LAS</v>
      </c>
      <c r="R1481" s="104" t="str">
        <f t="array" ref="R1481">ifna(xlookup(L1481,'🙎‍♂️ Pasien'!$G$5:$G1508,'🙎‍♂️ Pasien'!$T$5:$T1508),"")</f>
        <v>NYERI PINGGANG MENJALAR KE KAKI KIRI</v>
      </c>
      <c r="S1481" s="104" t="str">
        <f t="array" ref="S1481">ifna(xlookup(L1481,'🙎‍♂️ Pasien'!$G$5:$G1508,'🙎‍♂️ Pasien'!$U$5:$U1508),"")</f>
        <v>BANYAK ANGKAT BERAT/BESI</v>
      </c>
      <c r="T1481" s="97" t="s">
        <v>59</v>
      </c>
      <c r="U1481" s="105" t="s">
        <v>60</v>
      </c>
      <c r="V1481" s="101"/>
      <c r="W1481" s="106" t="b">
        <v>1</v>
      </c>
      <c r="X1481" s="107"/>
      <c r="Y1481" s="108"/>
    </row>
    <row r="1482" ht="22.5" customHeight="1">
      <c r="A1482" s="96"/>
      <c r="B1482" s="97" t="s">
        <v>85</v>
      </c>
      <c r="C1482" s="98" t="str">
        <f t="array" ref="C1482">IFNA(XLOOKUP(J1482,'⚙️ Pengaturan'!$H$5:$H1508,'⚙️ Pengaturan'!$I$5:$I1508),"")</f>
        <v>TIM Y</v>
      </c>
      <c r="D1482" s="97" t="s">
        <v>54</v>
      </c>
      <c r="E1482" s="99">
        <v>46019.0</v>
      </c>
      <c r="F1482" s="100" t="str">
        <f t="shared" si="1"/>
        <v>2025</v>
      </c>
      <c r="G1482" s="100" t="str">
        <f t="shared" si="2"/>
        <v>12Des</v>
      </c>
      <c r="H1482" s="100" t="str">
        <f t="shared" si="3"/>
        <v>Minggu</v>
      </c>
      <c r="I1482" s="97" t="s">
        <v>97</v>
      </c>
      <c r="J1482" s="97" t="s">
        <v>509</v>
      </c>
      <c r="K1482" s="97" t="s">
        <v>63</v>
      </c>
      <c r="L1482" s="101" t="s">
        <v>692</v>
      </c>
      <c r="M1482" s="102" t="str">
        <f>IFNA(VLOOKUP(L1482,'🙎‍♂️ Pasien'!G:V,2,FALSE),"")</f>
        <v>R9024087560</v>
      </c>
      <c r="N1482" s="103">
        <f>IFNA(VLOOKUP(L1482,'🙎‍♂️ Pasien'!G:L,3,FALSE),"")</f>
        <v>35</v>
      </c>
      <c r="O1482" s="104" t="str">
        <f>IFNA(VLOOKUP(L1482,'🙎‍♂️ Pasien'!G:V,6,FALSE),"")</f>
        <v>PEREMPUAN</v>
      </c>
      <c r="P1482" s="104" t="str">
        <f>IFNA(VLOOKUP(L1482,'🙎‍♂️ Pasien'!G:V,12,FALSE),"")</f>
        <v>KATOLIK</v>
      </c>
      <c r="Q1482" s="104" t="str">
        <f>IFNA(VLOOKUP(L1482:L1508,'🙎‍♂️ Pasien'!G:V,13,FALSE),"")</f>
        <v>SWASTA</v>
      </c>
      <c r="R1482" s="104" t="str">
        <f t="array" ref="R1482">ifna(xlookup(L1482,'🙎‍♂️ Pasien'!$G$5:$G1508,'🙎‍♂️ Pasien'!$T$5:$T1508),"")</f>
        <v>Syaraf kejepit di L4 dan L5</v>
      </c>
      <c r="S1482" s="104" t="str">
        <f t="array" ref="S1482">ifna(xlookup(L1482,'🙎‍♂️ Pasien'!$G$5:$G1508,'🙎‍♂️ Pasien'!$U$5:$U1508),"")</f>
        <v>Nonton</v>
      </c>
      <c r="T1482" s="97" t="s">
        <v>59</v>
      </c>
      <c r="U1482" s="105">
        <v>7.0</v>
      </c>
      <c r="V1482" s="101"/>
      <c r="W1482" s="106" t="b">
        <v>1</v>
      </c>
      <c r="X1482" s="107"/>
      <c r="Y1482" s="108"/>
    </row>
    <row r="1483" ht="22.5" customHeight="1">
      <c r="A1483" s="96"/>
      <c r="B1483" s="97" t="s">
        <v>85</v>
      </c>
      <c r="C1483" s="98" t="str">
        <f t="array" ref="C1483">IFNA(XLOOKUP(J1483,'⚙️ Pengaturan'!$H$5:$H1508,'⚙️ Pengaturan'!$I$5:$I1508),"")</f>
        <v>TIM Y</v>
      </c>
      <c r="D1483" s="97" t="s">
        <v>54</v>
      </c>
      <c r="E1483" s="99">
        <v>46019.0</v>
      </c>
      <c r="F1483" s="100" t="str">
        <f t="shared" si="1"/>
        <v>2025</v>
      </c>
      <c r="G1483" s="100" t="str">
        <f t="shared" si="2"/>
        <v>12Des</v>
      </c>
      <c r="H1483" s="100" t="str">
        <f t="shared" si="3"/>
        <v>Minggu</v>
      </c>
      <c r="I1483" s="97" t="s">
        <v>99</v>
      </c>
      <c r="J1483" s="97" t="s">
        <v>509</v>
      </c>
      <c r="K1483" s="97" t="s">
        <v>63</v>
      </c>
      <c r="L1483" s="101" t="s">
        <v>703</v>
      </c>
      <c r="M1483" s="102" t="str">
        <f>IFNA(VLOOKUP(L1483,'🙎‍♂️ Pasien'!G:V,2,FALSE),"")</f>
        <v>D8825037244</v>
      </c>
      <c r="N1483" s="103">
        <f>IFNA(VLOOKUP(L1483,'🙎‍♂️ Pasien'!G:L,3,FALSE),"")</f>
        <v>37</v>
      </c>
      <c r="O1483" s="104" t="str">
        <f>IFNA(VLOOKUP(L1483,'🙎‍♂️ Pasien'!G:V,6,FALSE),"")</f>
        <v>PEREMPUAN</v>
      </c>
      <c r="P1483" s="104" t="str">
        <f>IFNA(VLOOKUP(L1483,'🙎‍♂️ Pasien'!G:V,12,FALSE),"")</f>
        <v>ISLAM</v>
      </c>
      <c r="Q1483" s="104" t="str">
        <f>IFNA(VLOOKUP(L1483:L1508,'🙎‍♂️ Pasien'!G:V,13,FALSE),"")</f>
        <v>GURU PPPK</v>
      </c>
      <c r="R1483" s="104" t="str">
        <f t="array" ref="R1483">ifna(xlookup(L1483,'🙎‍♂️ Pasien'!$G$5:$G1508,'🙎‍♂️ Pasien'!$T$5:$T1508),"")</f>
        <v>SPUR DI TUMIT, SAKIT HINGGA BOKONG</v>
      </c>
      <c r="S1483" s="104" t="str">
        <f t="array" ref="S1483">ifna(xlookup(L1483,'🙎‍♂️ Pasien'!$G$5:$G1508,'🙎‍♂️ Pasien'!$U$5:$U1508),"")</f>
        <v>BERKENDARA MOTOR, GERAKAN SEHARI HARI</v>
      </c>
      <c r="T1483" s="97" t="s">
        <v>59</v>
      </c>
      <c r="U1483" s="105">
        <v>4.0</v>
      </c>
      <c r="V1483" s="101"/>
      <c r="W1483" s="106" t="b">
        <v>1</v>
      </c>
      <c r="X1483" s="107"/>
      <c r="Y1483" s="108"/>
    </row>
    <row r="1484" ht="22.5" customHeight="1">
      <c r="A1484" s="96"/>
      <c r="B1484" s="97" t="s">
        <v>85</v>
      </c>
      <c r="C1484" s="98" t="str">
        <f t="array" ref="C1484">IFNA(XLOOKUP(J1484,'⚙️ Pengaturan'!$H$5:$H1508,'⚙️ Pengaturan'!$I$5:$I1508),"")</f>
        <v>TIM Y</v>
      </c>
      <c r="D1484" s="97" t="s">
        <v>54</v>
      </c>
      <c r="E1484" s="99">
        <v>46019.0</v>
      </c>
      <c r="F1484" s="100" t="str">
        <f t="shared" si="1"/>
        <v>2025</v>
      </c>
      <c r="G1484" s="100" t="str">
        <f t="shared" si="2"/>
        <v>12Des</v>
      </c>
      <c r="H1484" s="100" t="str">
        <f t="shared" si="3"/>
        <v>Minggu</v>
      </c>
      <c r="I1484" s="97" t="s">
        <v>99</v>
      </c>
      <c r="J1484" s="97" t="s">
        <v>88</v>
      </c>
      <c r="K1484" s="97" t="s">
        <v>57</v>
      </c>
      <c r="L1484" s="101" t="s">
        <v>805</v>
      </c>
      <c r="M1484" s="102" t="str">
        <f>IFNA(VLOOKUP(L1484,'🙎‍♂️ Pasien'!G:V,2,FALSE),"")</f>
        <v>I8325126278</v>
      </c>
      <c r="N1484" s="103">
        <f>IFNA(VLOOKUP(L1484,'🙎‍♂️ Pasien'!G:L,3,FALSE),"")</f>
        <v>43</v>
      </c>
      <c r="O1484" s="104" t="str">
        <f>IFNA(VLOOKUP(L1484,'🙎‍♂️ Pasien'!G:V,6,FALSE),"")</f>
        <v>LAKI-LAKI</v>
      </c>
      <c r="P1484" s="104" t="str">
        <f>IFNA(VLOOKUP(L1484,'🙎‍♂️ Pasien'!G:V,12,FALSE),"")</f>
        <v>BUDDHA</v>
      </c>
      <c r="Q1484" s="104" t="str">
        <f>IFNA(VLOOKUP(L1484:L1508,'🙎‍♂️ Pasien'!G:V,13,FALSE),"")</f>
        <v>KARYAWAN SWASTA</v>
      </c>
      <c r="R1484" s="104" t="str">
        <f t="array" ref="R1484">ifna(xlookup(L1484,'🙎‍♂️ Pasien'!$G$5:$G1508,'🙎‍♂️ Pasien'!$T$5:$T1508),"")</f>
        <v>CIDERA ENGKEL</v>
      </c>
      <c r="S1484" s="104" t="str">
        <f t="array" ref="S1484">ifna(xlookup(L1484,'🙎‍♂️ Pasien'!$G$5:$G1508,'🙎‍♂️ Pasien'!$U$5:$U1508),"")</f>
        <v>JOGGING / LARI</v>
      </c>
      <c r="T1484" s="97" t="s">
        <v>59</v>
      </c>
      <c r="U1484" s="105" t="s">
        <v>60</v>
      </c>
      <c r="V1484" s="101"/>
      <c r="W1484" s="106" t="b">
        <v>1</v>
      </c>
      <c r="X1484" s="107"/>
      <c r="Y1484" s="108"/>
    </row>
    <row r="1485" ht="22.5" customHeight="1">
      <c r="A1485" s="96"/>
      <c r="B1485" s="97" t="s">
        <v>53</v>
      </c>
      <c r="C1485" s="98" t="str">
        <f t="array" ref="C1485">IFNA(XLOOKUP(J1485,'⚙️ Pengaturan'!$H$5:$H1508,'⚙️ Pengaturan'!$I$5:$I1508),"")</f>
        <v>TIM Y</v>
      </c>
      <c r="D1485" s="97" t="s">
        <v>54</v>
      </c>
      <c r="E1485" s="99">
        <v>46020.0</v>
      </c>
      <c r="F1485" s="100" t="str">
        <f t="shared" si="1"/>
        <v>2025</v>
      </c>
      <c r="G1485" s="100" t="str">
        <f t="shared" si="2"/>
        <v>12Des</v>
      </c>
      <c r="H1485" s="100" t="str">
        <f t="shared" si="3"/>
        <v>Senin</v>
      </c>
      <c r="I1485" s="97" t="s">
        <v>55</v>
      </c>
      <c r="J1485" s="97" t="s">
        <v>91</v>
      </c>
      <c r="K1485" s="97" t="s">
        <v>63</v>
      </c>
      <c r="L1485" s="101" t="s">
        <v>532</v>
      </c>
      <c r="M1485" s="102" t="str">
        <f>IFNA(VLOOKUP(L1485,'🙎‍♂️ Pasien'!G:V,2,FALSE),"")</f>
        <v>H1025113976</v>
      </c>
      <c r="N1485" s="103">
        <f>IFNA(VLOOKUP(L1485,'🙎‍♂️ Pasien'!G:L,3,FALSE),"")</f>
        <v>15</v>
      </c>
      <c r="O1485" s="104" t="str">
        <f>IFNA(VLOOKUP(L1485,'🙎‍♂️ Pasien'!G:V,6,FALSE),"")</f>
        <v>PEREMPUAN</v>
      </c>
      <c r="P1485" s="104" t="str">
        <f>IFNA(VLOOKUP(L1485,'🙎‍♂️ Pasien'!G:V,12,FALSE),"")</f>
        <v>ISLAM</v>
      </c>
      <c r="Q1485" s="104" t="str">
        <f>IFNA(VLOOKUP(L1485:L1508,'🙎‍♂️ Pasien'!G:V,13,FALSE),"")</f>
        <v>PELAJAR</v>
      </c>
      <c r="R1485" s="104" t="str">
        <f t="array" ref="R1485">ifna(xlookup(L1485,'🙎‍♂️ Pasien'!$G$5:$G1508,'🙎‍♂️ Pasien'!$T$5:$T1508),"")</f>
        <v>PERGELANGAN KAKI DAN LUTUS NYERI, KETIKA BANGUN TIDUR SAMPAI PINCANG</v>
      </c>
      <c r="S1485" s="104" t="str">
        <f t="array" ref="S1485">ifna(xlookup(L1485,'🙎‍♂️ Pasien'!$G$5:$G1508,'🙎‍♂️ Pasien'!$U$5:$U1508),"")</f>
        <v>SEKOLAH NAIK TURUN TANGGA</v>
      </c>
      <c r="T1485" s="97" t="s">
        <v>59</v>
      </c>
      <c r="U1485" s="105">
        <v>10.0</v>
      </c>
      <c r="V1485" s="101"/>
      <c r="W1485" s="106" t="b">
        <v>1</v>
      </c>
      <c r="X1485" s="107"/>
      <c r="Y1485" s="108"/>
    </row>
    <row r="1486" ht="22.5" customHeight="1">
      <c r="A1486" s="96"/>
      <c r="B1486" s="97" t="s">
        <v>53</v>
      </c>
      <c r="C1486" s="98" t="str">
        <f t="array" ref="C1486">IFNA(XLOOKUP(J1486,'⚙️ Pengaturan'!$H$5:$H1508,'⚙️ Pengaturan'!$I$5:$I1508),"")</f>
        <v>TIM Y</v>
      </c>
      <c r="D1486" s="97" t="s">
        <v>54</v>
      </c>
      <c r="E1486" s="99">
        <v>46020.0</v>
      </c>
      <c r="F1486" s="100" t="str">
        <f t="shared" si="1"/>
        <v>2025</v>
      </c>
      <c r="G1486" s="100" t="str">
        <f t="shared" si="2"/>
        <v>12Des</v>
      </c>
      <c r="H1486" s="100" t="str">
        <f t="shared" si="3"/>
        <v>Senin</v>
      </c>
      <c r="I1486" s="97" t="s">
        <v>55</v>
      </c>
      <c r="J1486" s="97" t="s">
        <v>509</v>
      </c>
      <c r="K1486" s="97" t="s">
        <v>69</v>
      </c>
      <c r="L1486" s="101" t="s">
        <v>803</v>
      </c>
      <c r="M1486" s="102" t="str">
        <f>IFNA(VLOOKUP(L1486,'🙎‍♂️ Pasien'!G:V,2,FALSE),"")</f>
        <v>N6225128383</v>
      </c>
      <c r="N1486" s="103">
        <f>IFNA(VLOOKUP(L1486,'🙎‍♂️ Pasien'!G:L,3,FALSE),"")</f>
        <v>64</v>
      </c>
      <c r="O1486" s="104" t="str">
        <f>IFNA(VLOOKUP(L1486,'🙎‍♂️ Pasien'!G:V,6,FALSE),"")</f>
        <v>PEREMPUAN</v>
      </c>
      <c r="P1486" s="104" t="str">
        <f>IFNA(VLOOKUP(L1486,'🙎‍♂️ Pasien'!G:V,12,FALSE),"")</f>
        <v>ISLAM</v>
      </c>
      <c r="Q1486" s="104" t="str">
        <f>IFNA(VLOOKUP(L1486:L1508,'🙎‍♂️ Pasien'!G:V,13,FALSE),"")</f>
        <v>IRY</v>
      </c>
      <c r="R1486" s="104" t="str">
        <f t="array" ref="R1486">ifna(xlookup(L1486,'🙎‍♂️ Pasien'!$G$5:$G1508,'🙎‍♂️ Pasien'!$T$5:$T1508),"")</f>
        <v>LUTUT</v>
      </c>
      <c r="S1486" s="104" t="str">
        <f t="array" ref="S1486">ifna(xlookup(L1486,'🙎‍♂️ Pasien'!$G$5:$G1508,'🙎‍♂️ Pasien'!$U$5:$U1508),"")</f>
        <v>TIDAK ADA</v>
      </c>
      <c r="T1486" s="97" t="s">
        <v>59</v>
      </c>
      <c r="U1486" s="105" t="s">
        <v>60</v>
      </c>
      <c r="V1486" s="101"/>
      <c r="W1486" s="106" t="b">
        <v>1</v>
      </c>
      <c r="X1486" s="107"/>
      <c r="Y1486" s="108"/>
    </row>
    <row r="1487" ht="22.5" customHeight="1">
      <c r="A1487" s="96"/>
      <c r="B1487" s="97" t="s">
        <v>53</v>
      </c>
      <c r="C1487" s="98" t="str">
        <f t="array" ref="C1487">IFNA(XLOOKUP(J1487,'⚙️ Pengaturan'!$H$5:$H1508,'⚙️ Pengaturan'!$I$5:$I1508),"")</f>
        <v>TIM Y</v>
      </c>
      <c r="D1487" s="97" t="s">
        <v>54</v>
      </c>
      <c r="E1487" s="99">
        <v>46020.0</v>
      </c>
      <c r="F1487" s="100" t="str">
        <f t="shared" si="1"/>
        <v>2025</v>
      </c>
      <c r="G1487" s="100" t="str">
        <f t="shared" si="2"/>
        <v>12Des</v>
      </c>
      <c r="H1487" s="100" t="str">
        <f t="shared" si="3"/>
        <v>Senin</v>
      </c>
      <c r="I1487" s="97" t="s">
        <v>65</v>
      </c>
      <c r="J1487" s="97" t="s">
        <v>88</v>
      </c>
      <c r="K1487" s="97" t="s">
        <v>63</v>
      </c>
      <c r="L1487" s="101" t="s">
        <v>744</v>
      </c>
      <c r="M1487" s="102" t="str">
        <f>IFNA(VLOOKUP(L1487,'🙎‍♂️ Pasien'!G:V,2,FALSE),"")</f>
        <v>D9525039860</v>
      </c>
      <c r="N1487" s="103">
        <f>IFNA(VLOOKUP(L1487,'🙎‍♂️ Pasien'!G:L,3,FALSE),"")</f>
        <v>31</v>
      </c>
      <c r="O1487" s="104" t="str">
        <f>IFNA(VLOOKUP(L1487,'🙎‍♂️ Pasien'!G:V,6,FALSE),"")</f>
        <v>LAKI-LAKI</v>
      </c>
      <c r="P1487" s="104" t="str">
        <f>IFNA(VLOOKUP(L1487,'🙎‍♂️ Pasien'!G:V,12,FALSE),"")</f>
        <v>ISLAM</v>
      </c>
      <c r="Q1487" s="104" t="str">
        <f>IFNA(VLOOKUP(L1487:L1508,'🙎‍♂️ Pasien'!G:V,13,FALSE),"")</f>
        <v>SWASTA</v>
      </c>
      <c r="R1487" s="104" t="str">
        <f t="array" ref="R1487">ifna(xlookup(L1487,'🙎‍♂️ Pasien'!$G$5:$G1508,'🙎‍♂️ Pasien'!$T$5:$T1508),"")</f>
        <v>SAKIT DI PUNGGUNG KE BAWAH</v>
      </c>
      <c r="S1487" s="104" t="str">
        <f t="array" ref="S1487">ifna(xlookup(L1487,'🙎‍♂️ Pasien'!$G$5:$G1508,'🙎‍♂️ Pasien'!$U$5:$U1508),"")</f>
        <v>OLAHRAGA</v>
      </c>
      <c r="T1487" s="97" t="s">
        <v>67</v>
      </c>
      <c r="U1487" s="105">
        <v>4.0</v>
      </c>
      <c r="V1487" s="101" t="s">
        <v>806</v>
      </c>
      <c r="W1487" s="106" t="b">
        <v>1</v>
      </c>
      <c r="X1487" s="107"/>
      <c r="Y1487" s="108"/>
    </row>
    <row r="1488" ht="22.5" customHeight="1">
      <c r="A1488" s="96"/>
      <c r="B1488" s="97" t="s">
        <v>53</v>
      </c>
      <c r="C1488" s="98" t="str">
        <f t="array" ref="C1488">IFNA(XLOOKUP(J1488,'⚙️ Pengaturan'!$H$5:$H1508,'⚙️ Pengaturan'!$I$5:$I1508),"")</f>
        <v>TIM Y</v>
      </c>
      <c r="D1488" s="97" t="s">
        <v>54</v>
      </c>
      <c r="E1488" s="99">
        <v>46020.0</v>
      </c>
      <c r="F1488" s="100" t="str">
        <f t="shared" si="1"/>
        <v>2025</v>
      </c>
      <c r="G1488" s="100" t="str">
        <f t="shared" si="2"/>
        <v>12Des</v>
      </c>
      <c r="H1488" s="100" t="str">
        <f t="shared" si="3"/>
        <v>Senin</v>
      </c>
      <c r="I1488" s="97" t="s">
        <v>65</v>
      </c>
      <c r="J1488" s="97" t="s">
        <v>509</v>
      </c>
      <c r="K1488" s="97" t="s">
        <v>57</v>
      </c>
      <c r="L1488" s="101" t="s">
        <v>807</v>
      </c>
      <c r="M1488" s="102" t="str">
        <f>IFNA(VLOOKUP(L1488,'🙎‍♂️ Pasien'!G:V,2,FALSE),"")</f>
        <v>Y7125120189</v>
      </c>
      <c r="N1488" s="103">
        <f>IFNA(VLOOKUP(L1488,'🙎‍♂️ Pasien'!G:L,3,FALSE),"")</f>
        <v>55</v>
      </c>
      <c r="O1488" s="104" t="str">
        <f>IFNA(VLOOKUP(L1488,'🙎‍♂️ Pasien'!G:V,6,FALSE),"")</f>
        <v>PEREMPUAN</v>
      </c>
      <c r="P1488" s="104" t="str">
        <f>IFNA(VLOOKUP(L1488,'🙎‍♂️ Pasien'!G:V,12,FALSE),"")</f>
        <v>LAINNYA</v>
      </c>
      <c r="Q1488" s="104" t="str">
        <f>IFNA(VLOOKUP(L1488:L1508,'🙎‍♂️ Pasien'!G:V,13,FALSE),"")</f>
        <v>IRT</v>
      </c>
      <c r="R1488" s="104" t="str">
        <f t="array" ref="R1488">ifna(xlookup(L1488,'🙎‍♂️ Pasien'!$G$5:$G1508,'🙎‍♂️ Pasien'!$T$5:$T1508),"")</f>
        <v>-</v>
      </c>
      <c r="S1488" s="104" t="str">
        <f t="array" ref="S1488">ifna(xlookup(L1488,'🙎‍♂️ Pasien'!$G$5:$G1508,'🙎‍♂️ Pasien'!$U$5:$U1508),"")</f>
        <v>-</v>
      </c>
      <c r="T1488" s="97" t="s">
        <v>67</v>
      </c>
      <c r="U1488" s="105" t="s">
        <v>60</v>
      </c>
      <c r="V1488" s="101" t="s">
        <v>379</v>
      </c>
      <c r="W1488" s="106" t="b">
        <v>1</v>
      </c>
      <c r="X1488" s="107"/>
      <c r="Y1488" s="108"/>
    </row>
    <row r="1489" ht="22.5" customHeight="1">
      <c r="A1489" s="96"/>
      <c r="B1489" s="97" t="s">
        <v>53</v>
      </c>
      <c r="C1489" s="98" t="str">
        <f t="array" ref="C1489">IFNA(XLOOKUP(J1489,'⚙️ Pengaturan'!$H$5:$H1508,'⚙️ Pengaturan'!$I$5:$I1508),"")</f>
        <v>TIM Y</v>
      </c>
      <c r="D1489" s="97" t="s">
        <v>54</v>
      </c>
      <c r="E1489" s="99">
        <v>46020.0</v>
      </c>
      <c r="F1489" s="100" t="str">
        <f t="shared" si="1"/>
        <v>2025</v>
      </c>
      <c r="G1489" s="100" t="str">
        <f t="shared" si="2"/>
        <v>12Des</v>
      </c>
      <c r="H1489" s="100" t="str">
        <f t="shared" si="3"/>
        <v>Senin</v>
      </c>
      <c r="I1489" s="97" t="s">
        <v>74</v>
      </c>
      <c r="J1489" s="97" t="s">
        <v>91</v>
      </c>
      <c r="K1489" s="97" t="s">
        <v>63</v>
      </c>
      <c r="L1489" s="101" t="s">
        <v>780</v>
      </c>
      <c r="M1489" s="102" t="str">
        <f>IFNA(VLOOKUP(L1489,'🙎‍♂️ Pasien'!G:V,2,FALSE),"")</f>
        <v>E8925127564</v>
      </c>
      <c r="N1489" s="103">
        <f>IFNA(VLOOKUP(L1489,'🙎‍♂️ Pasien'!G:L,3,FALSE),"")</f>
        <v>36</v>
      </c>
      <c r="O1489" s="104" t="str">
        <f>IFNA(VLOOKUP(L1489,'🙎‍♂️ Pasien'!G:V,6,FALSE),"")</f>
        <v>PEREMPUAN</v>
      </c>
      <c r="P1489" s="104" t="str">
        <f>IFNA(VLOOKUP(L1489,'🙎‍♂️ Pasien'!G:V,12,FALSE),"")</f>
        <v>ISLAM</v>
      </c>
      <c r="Q1489" s="104" t="str">
        <f>IFNA(VLOOKUP(L1489:L1508,'🙎‍♂️ Pasien'!G:V,13,FALSE),"")</f>
        <v>KARYAWAN</v>
      </c>
      <c r="R1489" s="104" t="str">
        <f t="array" ref="R1489">ifna(xlookup(L1489,'🙎‍♂️ Pasien'!$G$5:$G1508,'🙎‍♂️ Pasien'!$T$5:$T1508),"")</f>
        <v>PERNAH OPERASI FEMUR KIRI 2014 DAN 2017, 2025 INI BERAT BADAN NAIK DAN SETIAP HABIS DUDUK LAMA MAU JALAN SAKIT DAN TERLIHAT SANGAT PINCANG</v>
      </c>
      <c r="S1489" s="104" t="str">
        <f t="array" ref="S1489">ifna(xlookup(L1489,'🙎‍♂️ Pasien'!$G$5:$G1508,'🙎‍♂️ Pasien'!$U$5:$U1508),"")</f>
        <v>KERJA 8 TO 5, BADMINTON SEMINGGU SEKALI, JALAN SEMINGGU SEKALI</v>
      </c>
      <c r="T1489" s="97" t="s">
        <v>59</v>
      </c>
      <c r="U1489" s="105">
        <v>5.0</v>
      </c>
      <c r="V1489" s="101"/>
      <c r="W1489" s="106" t="b">
        <v>1</v>
      </c>
      <c r="X1489" s="107"/>
      <c r="Y1489" s="108"/>
    </row>
    <row r="1490" ht="22.5" customHeight="1">
      <c r="A1490" s="96"/>
      <c r="B1490" s="97" t="s">
        <v>53</v>
      </c>
      <c r="C1490" s="98" t="str">
        <f t="array" ref="C1490">IFNA(XLOOKUP(J1490,'⚙️ Pengaturan'!$H$5:$H1508,'⚙️ Pengaturan'!$I$5:$I1508),"")</f>
        <v>TIM Y</v>
      </c>
      <c r="D1490" s="97" t="s">
        <v>54</v>
      </c>
      <c r="E1490" s="99">
        <v>46020.0</v>
      </c>
      <c r="F1490" s="100" t="str">
        <f t="shared" si="1"/>
        <v>2025</v>
      </c>
      <c r="G1490" s="100" t="str">
        <f t="shared" si="2"/>
        <v>12Des</v>
      </c>
      <c r="H1490" s="100" t="str">
        <f t="shared" si="3"/>
        <v>Senin</v>
      </c>
      <c r="I1490" s="97" t="s">
        <v>74</v>
      </c>
      <c r="J1490" s="97" t="s">
        <v>88</v>
      </c>
      <c r="K1490" s="97" t="s">
        <v>57</v>
      </c>
      <c r="L1490" s="101" t="s">
        <v>808</v>
      </c>
      <c r="M1490" s="102" t="str">
        <f>IFNA(VLOOKUP(L1490,'🙎‍♂️ Pasien'!G:V,2,FALSE),"")</f>
        <v>R9725098379</v>
      </c>
      <c r="N1490" s="103">
        <f>IFNA(VLOOKUP(L1490,'🙎‍♂️ Pasien'!G:L,3,FALSE),"")</f>
        <v>28</v>
      </c>
      <c r="O1490" s="104" t="str">
        <f>IFNA(VLOOKUP(L1490,'🙎‍♂️ Pasien'!G:V,6,FALSE),"")</f>
        <v>LAKI-LAKI</v>
      </c>
      <c r="P1490" s="104" t="str">
        <f>IFNA(VLOOKUP(L1490,'🙎‍♂️ Pasien'!G:V,12,FALSE),"")</f>
        <v>BUDDHA</v>
      </c>
      <c r="Q1490" s="104" t="str">
        <f>IFNA(VLOOKUP(L1490:L1508,'🙎‍♂️ Pasien'!G:V,13,FALSE),"")</f>
        <v>PEGAWAI SWASTA</v>
      </c>
      <c r="R1490" s="104" t="str">
        <f t="array" ref="R1490">ifna(xlookup(L1490,'🙎‍♂️ Pasien'!$G$5:$G1508,'🙎‍♂️ Pasien'!$T$5:$T1508),"")</f>
        <v>PUNGGUNG SAKIT DAN POSTUR TUBUH</v>
      </c>
      <c r="S1490" s="104" t="str">
        <f t="array" ref="S1490">ifna(xlookup(L1490,'🙎‍♂️ Pasien'!$G$5:$G1508,'🙎‍♂️ Pasien'!$U$5:$U1508),"")</f>
        <v>DUDUK SEHARIAN</v>
      </c>
      <c r="T1490" s="97" t="s">
        <v>59</v>
      </c>
      <c r="U1490" s="105" t="s">
        <v>60</v>
      </c>
      <c r="V1490" s="101"/>
      <c r="W1490" s="106" t="b">
        <v>1</v>
      </c>
      <c r="X1490" s="107"/>
      <c r="Y1490" s="108"/>
    </row>
    <row r="1491" ht="22.5" customHeight="1">
      <c r="A1491" s="96"/>
      <c r="B1491" s="97" t="s">
        <v>53</v>
      </c>
      <c r="C1491" s="98" t="str">
        <f t="array" ref="C1491">IFNA(XLOOKUP(J1491,'⚙️ Pengaturan'!$H$5:$H1508,'⚙️ Pengaturan'!$I$5:$I1508),"")</f>
        <v>MANAJEMEN</v>
      </c>
      <c r="D1491" s="97" t="s">
        <v>54</v>
      </c>
      <c r="E1491" s="99">
        <v>46020.0</v>
      </c>
      <c r="F1491" s="100" t="str">
        <f t="shared" si="1"/>
        <v>2025</v>
      </c>
      <c r="G1491" s="100" t="str">
        <f t="shared" si="2"/>
        <v>12Des</v>
      </c>
      <c r="H1491" s="100" t="str">
        <f t="shared" si="3"/>
        <v>Senin</v>
      </c>
      <c r="I1491" s="97" t="s">
        <v>76</v>
      </c>
      <c r="J1491" s="97" t="s">
        <v>101</v>
      </c>
      <c r="K1491" s="97" t="s">
        <v>57</v>
      </c>
      <c r="L1491" s="101" t="s">
        <v>809</v>
      </c>
      <c r="M1491" s="102" t="str">
        <f>IFNA(VLOOKUP(L1491,'🙎‍♂️ Pasien'!G:V,2,FALSE),"")</f>
        <v>C9125120366</v>
      </c>
      <c r="N1491" s="103">
        <f>IFNA(VLOOKUP(L1491,'🙎‍♂️ Pasien'!G:L,3,FALSE),"")</f>
        <v>35</v>
      </c>
      <c r="O1491" s="104" t="str">
        <f>IFNA(VLOOKUP(L1491,'🙎‍♂️ Pasien'!G:V,6,FALSE),"")</f>
        <v>PEREMPUAN</v>
      </c>
      <c r="P1491" s="104" t="str">
        <f>IFNA(VLOOKUP(L1491,'🙎‍♂️ Pasien'!G:V,12,FALSE),"")</f>
        <v>KATOLIK</v>
      </c>
      <c r="Q1491" s="104" t="str">
        <f>IFNA(VLOOKUP(L1491:L1508,'🙎‍♂️ Pasien'!G:V,13,FALSE),"")</f>
        <v>WIRASWASTA</v>
      </c>
      <c r="R1491" s="104" t="str">
        <f t="array" ref="R1491">ifna(xlookup(L1491,'🙎‍♂️ Pasien'!$G$5:$G1508,'🙎‍♂️ Pasien'!$T$5:$T1508),"")</f>
        <v>LENGAN</v>
      </c>
      <c r="S1491" s="104" t="str">
        <f t="array" ref="S1491">ifna(xlookup(L1491,'🙎‍♂️ Pasien'!$G$5:$G1508,'🙎‍♂️ Pasien'!$U$5:$U1508),"")</f>
        <v>TENIS</v>
      </c>
      <c r="T1491" s="97" t="s">
        <v>59</v>
      </c>
      <c r="U1491" s="105" t="s">
        <v>60</v>
      </c>
      <c r="V1491" s="101"/>
      <c r="W1491" s="106" t="b">
        <v>1</v>
      </c>
      <c r="X1491" s="107"/>
      <c r="Y1491" s="108"/>
    </row>
    <row r="1492" ht="22.5" customHeight="1">
      <c r="A1492" s="96"/>
      <c r="B1492" s="97" t="s">
        <v>53</v>
      </c>
      <c r="C1492" s="98" t="str">
        <f t="array" ref="C1492">IFNA(XLOOKUP(J1492,'⚙️ Pengaturan'!$H$5:$H1508,'⚙️ Pengaturan'!$I$5:$I1508),"")</f>
        <v>TIM Y</v>
      </c>
      <c r="D1492" s="97" t="s">
        <v>54</v>
      </c>
      <c r="E1492" s="99">
        <v>46020.0</v>
      </c>
      <c r="F1492" s="100" t="str">
        <f t="shared" si="1"/>
        <v>2025</v>
      </c>
      <c r="G1492" s="100" t="str">
        <f t="shared" si="2"/>
        <v>12Des</v>
      </c>
      <c r="H1492" s="100" t="str">
        <f t="shared" si="3"/>
        <v>Senin</v>
      </c>
      <c r="I1492" s="97" t="s">
        <v>76</v>
      </c>
      <c r="J1492" s="97" t="s">
        <v>91</v>
      </c>
      <c r="K1492" s="97" t="s">
        <v>69</v>
      </c>
      <c r="L1492" s="101" t="s">
        <v>810</v>
      </c>
      <c r="M1492" s="102" t="str">
        <f>IFNA(VLOOKUP(L1492,'🙎‍♂️ Pasien'!G:V,2,FALSE),"")</f>
        <v>PANGSUMA FC</v>
      </c>
      <c r="N1492" s="103" t="str">
        <f>IFNA(VLOOKUP(L1492,'🙎‍♂️ Pasien'!G:L,3,FALSE),"")</f>
        <v/>
      </c>
      <c r="O1492" s="104" t="str">
        <f>IFNA(VLOOKUP(L1492,'🙎‍♂️ Pasien'!G:V,6,FALSE),"")</f>
        <v/>
      </c>
      <c r="P1492" s="104" t="str">
        <f>IFNA(VLOOKUP(L1492,'🙎‍♂️ Pasien'!G:V,12,FALSE),"")</f>
        <v/>
      </c>
      <c r="Q1492" s="104" t="str">
        <f>IFNA(VLOOKUP(L1492:L1508,'🙎‍♂️ Pasien'!G:V,13,FALSE),"")</f>
        <v/>
      </c>
      <c r="R1492" s="104" t="str">
        <f t="array" ref="R1492">ifna(xlookup(L1492,'🙎‍♂️ Pasien'!$G$5:$G1508,'🙎‍♂️ Pasien'!$T$5:$T1508),"")</f>
        <v/>
      </c>
      <c r="S1492" s="104" t="str">
        <f t="array" ref="S1492">ifna(xlookup(L1492,'🙎‍♂️ Pasien'!$G$5:$G1508,'🙎‍♂️ Pasien'!$U$5:$U1508),"")</f>
        <v/>
      </c>
      <c r="T1492" s="97" t="s">
        <v>67</v>
      </c>
      <c r="U1492" s="105" t="s">
        <v>60</v>
      </c>
      <c r="V1492" s="101"/>
      <c r="W1492" s="106" t="b">
        <v>1</v>
      </c>
      <c r="X1492" s="107"/>
      <c r="Y1492" s="108"/>
    </row>
    <row r="1493" ht="22.5" customHeight="1">
      <c r="A1493" s="96"/>
      <c r="B1493" s="97" t="s">
        <v>53</v>
      </c>
      <c r="C1493" s="98" t="str">
        <f t="array" ref="C1493">IFNA(XLOOKUP(J1493,'⚙️ Pengaturan'!$H$5:$H1508,'⚙️ Pengaturan'!$I$5:$I1508),"")</f>
        <v>TIM Y</v>
      </c>
      <c r="D1493" s="97" t="s">
        <v>54</v>
      </c>
      <c r="E1493" s="99">
        <v>46020.0</v>
      </c>
      <c r="F1493" s="100" t="str">
        <f t="shared" si="1"/>
        <v>2025</v>
      </c>
      <c r="G1493" s="100" t="str">
        <f t="shared" si="2"/>
        <v>12Des</v>
      </c>
      <c r="H1493" s="100" t="str">
        <f t="shared" si="3"/>
        <v>Senin</v>
      </c>
      <c r="I1493" s="97" t="s">
        <v>76</v>
      </c>
      <c r="J1493" s="97" t="s">
        <v>88</v>
      </c>
      <c r="K1493" s="97" t="s">
        <v>63</v>
      </c>
      <c r="L1493" s="101" t="s">
        <v>811</v>
      </c>
      <c r="M1493" s="102" t="str">
        <f>IFNA(VLOOKUP(L1493,'🙎‍♂️ Pasien'!G:V,2,FALSE),"")</f>
        <v>T4825127000</v>
      </c>
      <c r="N1493" s="103">
        <f>IFNA(VLOOKUP(L1493,'🙎‍♂️ Pasien'!G:L,3,FALSE),"")</f>
        <v>78</v>
      </c>
      <c r="O1493" s="104" t="str">
        <f>IFNA(VLOOKUP(L1493,'🙎‍♂️ Pasien'!G:V,6,FALSE),"")</f>
        <v>LAKI-LAKI</v>
      </c>
      <c r="P1493" s="104" t="str">
        <f>IFNA(VLOOKUP(L1493,'🙎‍♂️ Pasien'!G:V,12,FALSE),"")</f>
        <v>BUDDHA</v>
      </c>
      <c r="Q1493" s="104" t="str">
        <f>IFNA(VLOOKUP(L1493:L1508,'🙎‍♂️ Pasien'!G:V,13,FALSE),"")</f>
        <v>PERDAGANGAN</v>
      </c>
      <c r="R1493" s="104" t="str">
        <f t="array" ref="R1493">ifna(xlookup(L1493,'🙎‍♂️ Pasien'!$G$5:$G1508,'🙎‍♂️ Pasien'!$T$5:$T1508),"")</f>
        <v>KAKI</v>
      </c>
      <c r="S1493" s="104" t="str">
        <f t="array" ref="S1493">ifna(xlookup(L1493,'🙎‍♂️ Pasien'!$G$5:$G1508,'🙎‍♂️ Pasien'!$U$5:$U1508),"")</f>
        <v>-</v>
      </c>
      <c r="T1493" s="97" t="s">
        <v>59</v>
      </c>
      <c r="U1493" s="105">
        <v>4.0</v>
      </c>
      <c r="V1493" s="101"/>
      <c r="W1493" s="106" t="b">
        <v>1</v>
      </c>
      <c r="X1493" s="107"/>
      <c r="Y1493" s="108"/>
    </row>
    <row r="1494" ht="22.5" customHeight="1">
      <c r="A1494" s="96"/>
      <c r="B1494" s="97" t="s">
        <v>53</v>
      </c>
      <c r="C1494" s="98" t="str">
        <f t="array" ref="C1494">IFNA(XLOOKUP(J1494,'⚙️ Pengaturan'!$H$5:$H1508,'⚙️ Pengaturan'!$I$5:$I1508),"")</f>
        <v>TIM Y</v>
      </c>
      <c r="D1494" s="97" t="s">
        <v>54</v>
      </c>
      <c r="E1494" s="99">
        <v>46020.0</v>
      </c>
      <c r="F1494" s="100" t="str">
        <f t="shared" si="1"/>
        <v>2025</v>
      </c>
      <c r="G1494" s="100" t="str">
        <f t="shared" si="2"/>
        <v>12Des</v>
      </c>
      <c r="H1494" s="100" t="str">
        <f t="shared" si="3"/>
        <v>Senin</v>
      </c>
      <c r="I1494" s="97" t="s">
        <v>83</v>
      </c>
      <c r="J1494" s="97" t="s">
        <v>509</v>
      </c>
      <c r="K1494" s="97" t="s">
        <v>63</v>
      </c>
      <c r="L1494" s="101" t="s">
        <v>752</v>
      </c>
      <c r="M1494" s="102" t="str">
        <f>IFNA(VLOOKUP(L1494,'🙎‍♂️ Pasien'!G:V,2,FALSE),"")</f>
        <v>J9824114915</v>
      </c>
      <c r="N1494" s="103">
        <f>IFNA(VLOOKUP(L1494,'🙎‍♂️ Pasien'!G:L,3,FALSE),"")</f>
        <v>27</v>
      </c>
      <c r="O1494" s="104" t="str">
        <f>IFNA(VLOOKUP(L1494,'🙎‍♂️ Pasien'!G:V,6,FALSE),"")</f>
        <v>LAKI-LAKI</v>
      </c>
      <c r="P1494" s="104" t="str">
        <f>IFNA(VLOOKUP(L1494,'🙎‍♂️ Pasien'!G:V,12,FALSE),"")</f>
        <v>KHONGHUCU</v>
      </c>
      <c r="Q1494" s="104" t="str">
        <f>IFNA(VLOOKUP(L1494:L1508,'🙎‍♂️ Pasien'!G:V,13,FALSE),"")</f>
        <v>SALES LUAR KOTA</v>
      </c>
      <c r="R1494" s="104" t="str">
        <f t="array" ref="R1494">ifna(xlookup(L1494,'🙎‍♂️ Pasien'!$G$5:$G1508,'🙎‍♂️ Pasien'!$T$5:$T1508),"")</f>
        <v>LUTUT KAKI</v>
      </c>
      <c r="S1494" s="104" t="str">
        <f t="array" ref="S1494">ifna(xlookup(L1494,'🙎‍♂️ Pasien'!$G$5:$G1508,'🙎‍♂️ Pasien'!$U$5:$U1508),"")</f>
        <v>SEPAK BOLA</v>
      </c>
      <c r="T1494" s="97" t="s">
        <v>59</v>
      </c>
      <c r="U1494" s="105">
        <v>2.0</v>
      </c>
      <c r="V1494" s="101"/>
      <c r="W1494" s="106" t="b">
        <v>1</v>
      </c>
      <c r="X1494" s="107"/>
      <c r="Y1494" s="108"/>
    </row>
    <row r="1495" ht="22.5" customHeight="1">
      <c r="A1495" s="96"/>
      <c r="B1495" s="97" t="s">
        <v>53</v>
      </c>
      <c r="C1495" s="98" t="str">
        <f t="array" ref="C1495">IFNA(XLOOKUP(J1495,'⚙️ Pengaturan'!$H$5:$H1508,'⚙️ Pengaturan'!$I$5:$I1508),"")</f>
        <v>TIM Y</v>
      </c>
      <c r="D1495" s="97" t="s">
        <v>54</v>
      </c>
      <c r="E1495" s="110">
        <v>46020.0</v>
      </c>
      <c r="F1495" s="100" t="str">
        <f t="shared" si="1"/>
        <v>2025</v>
      </c>
      <c r="G1495" s="100" t="str">
        <f t="shared" si="2"/>
        <v>12Des</v>
      </c>
      <c r="H1495" s="100" t="str">
        <f t="shared" si="3"/>
        <v>Senin</v>
      </c>
      <c r="I1495" s="97" t="s">
        <v>83</v>
      </c>
      <c r="J1495" s="97" t="s">
        <v>91</v>
      </c>
      <c r="K1495" s="97" t="s">
        <v>57</v>
      </c>
      <c r="L1495" s="101" t="s">
        <v>812</v>
      </c>
      <c r="M1495" s="102" t="str">
        <f>IFNA(VLOOKUP(L1495,'🙎‍♂️ Pasien'!G:V,2,FALSE),"")</f>
        <v>N0825129205</v>
      </c>
      <c r="N1495" s="103">
        <f>IFNA(VLOOKUP(L1495,'🙎‍♂️ Pasien'!G:L,3,FALSE),"")</f>
        <v>18</v>
      </c>
      <c r="O1495" s="104" t="str">
        <f>IFNA(VLOOKUP(L1495,'🙎‍♂️ Pasien'!G:V,6,FALSE),"")</f>
        <v>PEREMPUAN</v>
      </c>
      <c r="P1495" s="104" t="str">
        <f>IFNA(VLOOKUP(L1495,'🙎‍♂️ Pasien'!G:V,12,FALSE),"")</f>
        <v>PROTESTAN</v>
      </c>
      <c r="Q1495" s="104" t="str">
        <f>IFNA(VLOOKUP(L1495:L1508,'🙎‍♂️ Pasien'!G:V,13,FALSE),"")</f>
        <v>PELAJAR</v>
      </c>
      <c r="R1495" s="104" t="str">
        <f t="array" ref="R1495">ifna(xlookup(L1495,'🙎‍♂️ Pasien'!$G$5:$G1508,'🙎‍♂️ Pasien'!$T$5:$T1508),"")</f>
        <v>PUNGGUNG NYERI SEBELAH KANAN BAGIAN TENGAH KETIKA POSISI PUNGGUNG TEGAK</v>
      </c>
      <c r="S1495" s="104" t="str">
        <f t="array" ref="S1495">ifna(xlookup(L1495,'🙎‍♂️ Pasien'!$G$5:$G1508,'🙎‍♂️ Pasien'!$U$5:$U1508),"")</f>
        <v>MAIN GAME</v>
      </c>
      <c r="T1495" s="97" t="s">
        <v>59</v>
      </c>
      <c r="U1495" s="105" t="s">
        <v>60</v>
      </c>
      <c r="V1495" s="101"/>
      <c r="W1495" s="106" t="b">
        <v>1</v>
      </c>
      <c r="X1495" s="107"/>
      <c r="Y1495" s="108"/>
    </row>
    <row r="1496" ht="22.5" customHeight="1">
      <c r="A1496" s="96"/>
      <c r="B1496" s="97" t="s">
        <v>85</v>
      </c>
      <c r="C1496" s="98" t="str">
        <f t="array" ref="C1496">IFNA(XLOOKUP(J1496,'⚙️ Pengaturan'!$H$5:$H1508,'⚙️ Pengaturan'!$I$5:$I1508),"")</f>
        <v>TIM A</v>
      </c>
      <c r="D1496" s="97" t="s">
        <v>86</v>
      </c>
      <c r="E1496" s="99">
        <v>46020.0</v>
      </c>
      <c r="F1496" s="100" t="str">
        <f t="shared" si="1"/>
        <v>2025</v>
      </c>
      <c r="G1496" s="100" t="str">
        <f t="shared" si="2"/>
        <v>12Des</v>
      </c>
      <c r="H1496" s="100" t="str">
        <f t="shared" si="3"/>
        <v>Senin</v>
      </c>
      <c r="I1496" s="97" t="s">
        <v>87</v>
      </c>
      <c r="J1496" s="97" t="s">
        <v>72</v>
      </c>
      <c r="K1496" s="97" t="s">
        <v>57</v>
      </c>
      <c r="L1496" s="101" t="s">
        <v>813</v>
      </c>
      <c r="M1496" s="102" t="str">
        <f>IFNA(VLOOKUP(L1496,'🙎‍♂️ Pasien'!G:V,2,FALSE),"")</f>
        <v>M7925125522</v>
      </c>
      <c r="N1496" s="103">
        <f>IFNA(VLOOKUP(L1496,'🙎‍♂️ Pasien'!G:L,3,FALSE),"")</f>
        <v>47</v>
      </c>
      <c r="O1496" s="104" t="str">
        <f>IFNA(VLOOKUP(L1496,'🙎‍♂️ Pasien'!G:V,6,FALSE),"")</f>
        <v>LAKI-LAKI</v>
      </c>
      <c r="P1496" s="104" t="str">
        <f>IFNA(VLOOKUP(L1496,'🙎‍♂️ Pasien'!G:V,12,FALSE),"")</f>
        <v>KATOLIK</v>
      </c>
      <c r="Q1496" s="104" t="str">
        <f>IFNA(VLOOKUP(L1496:L1508,'🙎‍♂️ Pasien'!G:V,13,FALSE),"")</f>
        <v>WIRASWASTA</v>
      </c>
      <c r="R1496" s="104" t="str">
        <f t="array" ref="R1496">ifna(xlookup(L1496,'🙎‍♂️ Pasien'!$G$5:$G1508,'🙎‍♂️ Pasien'!$T$5:$T1508),"")</f>
        <v>TENNIS ELBOW</v>
      </c>
      <c r="S1496" s="104" t="str">
        <f t="array" ref="S1496">ifna(xlookup(L1496,'🙎‍♂️ Pasien'!$G$5:$G1508,'🙎‍♂️ Pasien'!$U$5:$U1508),"")</f>
        <v>PADEL</v>
      </c>
      <c r="T1496" s="97" t="s">
        <v>59</v>
      </c>
      <c r="U1496" s="105" t="s">
        <v>60</v>
      </c>
      <c r="V1496" s="101"/>
      <c r="W1496" s="106" t="b">
        <v>1</v>
      </c>
      <c r="X1496" s="107"/>
      <c r="Y1496" s="108"/>
    </row>
    <row r="1497" ht="22.5" customHeight="1">
      <c r="A1497" s="96"/>
      <c r="B1497" s="97" t="s">
        <v>85</v>
      </c>
      <c r="C1497" s="98" t="str">
        <f t="array" ref="C1497">IFNA(XLOOKUP(J1497,'⚙️ Pengaturan'!$H$5:$H1508,'⚙️ Pengaturan'!$I$5:$I1508),"")</f>
        <v>TIM Y</v>
      </c>
      <c r="D1497" s="97" t="s">
        <v>86</v>
      </c>
      <c r="E1497" s="99">
        <v>46020.0</v>
      </c>
      <c r="F1497" s="100" t="str">
        <f t="shared" si="1"/>
        <v>2025</v>
      </c>
      <c r="G1497" s="100" t="str">
        <f t="shared" si="2"/>
        <v>12Des</v>
      </c>
      <c r="H1497" s="100" t="str">
        <f t="shared" si="3"/>
        <v>Senin</v>
      </c>
      <c r="I1497" s="97" t="s">
        <v>87</v>
      </c>
      <c r="J1497" s="97" t="s">
        <v>56</v>
      </c>
      <c r="K1497" s="97" t="s">
        <v>63</v>
      </c>
      <c r="L1497" s="101" t="s">
        <v>119</v>
      </c>
      <c r="M1497" s="102" t="str">
        <f>IFNA(VLOOKUP(L1497,'🙎‍♂️ Pasien'!G:V,2,FALSE),"")</f>
        <v>H4623015667</v>
      </c>
      <c r="N1497" s="103">
        <f>IFNA(VLOOKUP(L1497,'🙎‍♂️ Pasien'!G:L,3,FALSE),"")</f>
        <v>80</v>
      </c>
      <c r="O1497" s="104" t="str">
        <f>IFNA(VLOOKUP(L1497,'🙎‍♂️ Pasien'!G:V,6,FALSE),"")</f>
        <v>LAKI-LAKI</v>
      </c>
      <c r="P1497" s="104" t="str">
        <f>IFNA(VLOOKUP(L1497,'🙎‍♂️ Pasien'!G:V,12,FALSE),"")</f>
        <v>ISLAM</v>
      </c>
      <c r="Q1497" s="104" t="str">
        <f>IFNA(VLOOKUP(L1497:L1508,'🙎‍♂️ Pasien'!G:V,13,FALSE),"")</f>
        <v>PENSIUN</v>
      </c>
      <c r="R1497" s="104" t="str">
        <f t="array" ref="R1497">ifna(xlookup(L1497,'🙎‍♂️ Pasien'!$G$5:$G1508,'🙎‍♂️ Pasien'!$T$5:$T1508),"")</f>
        <v>STROKE</v>
      </c>
      <c r="S1497" s="104" t="str">
        <f t="array" ref="S1497">ifna(xlookup(L1497,'🙎‍♂️ Pasien'!$G$5:$G1508,'🙎‍♂️ Pasien'!$U$5:$U1508),"")</f>
        <v/>
      </c>
      <c r="T1497" s="97" t="s">
        <v>59</v>
      </c>
      <c r="U1497" s="105">
        <v>10.0</v>
      </c>
      <c r="V1497" s="101" t="s">
        <v>125</v>
      </c>
      <c r="W1497" s="106" t="b">
        <v>1</v>
      </c>
      <c r="X1497" s="107"/>
      <c r="Y1497" s="108"/>
    </row>
    <row r="1498" ht="22.5" customHeight="1">
      <c r="A1498" s="96"/>
      <c r="B1498" s="97" t="s">
        <v>85</v>
      </c>
      <c r="C1498" s="98" t="str">
        <f t="array" ref="C1498">IFNA(XLOOKUP(J1498,'⚙️ Pengaturan'!$H$5:$H1508,'⚙️ Pengaturan'!$I$5:$I1508),"")</f>
        <v>TIM A</v>
      </c>
      <c r="D1498" s="97" t="s">
        <v>86</v>
      </c>
      <c r="E1498" s="99">
        <v>46020.0</v>
      </c>
      <c r="F1498" s="100" t="str">
        <f t="shared" si="1"/>
        <v>2025</v>
      </c>
      <c r="G1498" s="100" t="str">
        <f t="shared" si="2"/>
        <v>12Des</v>
      </c>
      <c r="H1498" s="100" t="str">
        <f t="shared" si="3"/>
        <v>Senin</v>
      </c>
      <c r="I1498" s="97" t="s">
        <v>87</v>
      </c>
      <c r="J1498" s="97" t="s">
        <v>79</v>
      </c>
      <c r="K1498" s="97" t="s">
        <v>69</v>
      </c>
      <c r="L1498" s="101" t="s">
        <v>182</v>
      </c>
      <c r="M1498" s="102" t="str">
        <f>IFNA(VLOOKUP(L1498,'🙎‍♂️ Pasien'!G:V,2,FALSE),"")</f>
        <v>J8823019998</v>
      </c>
      <c r="N1498" s="103">
        <f>IFNA(VLOOKUP(L1498,'🙎‍♂️ Pasien'!G:L,3,FALSE),"")</f>
        <v>38</v>
      </c>
      <c r="O1498" s="104" t="str">
        <f>IFNA(VLOOKUP(L1498,'🙎‍♂️ Pasien'!G:V,6,FALSE),"")</f>
        <v>LAKI-LAKI</v>
      </c>
      <c r="P1498" s="104" t="str">
        <f>IFNA(VLOOKUP(L1498,'🙎‍♂️ Pasien'!G:V,12,FALSE),"")</f>
        <v>BUDDHA</v>
      </c>
      <c r="Q1498" s="104" t="str">
        <f>IFNA(VLOOKUP(L1498:L1508,'🙎‍♂️ Pasien'!G:V,13,FALSE),"")</f>
        <v>WIRASWASTA</v>
      </c>
      <c r="R1498" s="104" t="str">
        <f t="array" ref="R1498">ifna(xlookup(L1498,'🙎‍♂️ Pasien'!$G$5:$G1508,'🙎‍♂️ Pasien'!$T$5:$T1508),"")</f>
        <v>STROKE</v>
      </c>
      <c r="S1498" s="104" t="str">
        <f t="array" ref="S1498">ifna(xlookup(L1498,'🙎‍♂️ Pasien'!$G$5:$G1508,'🙎‍♂️ Pasien'!$U$5:$U1508),"")</f>
        <v>-</v>
      </c>
      <c r="T1498" s="97" t="s">
        <v>59</v>
      </c>
      <c r="U1498" s="105" t="s">
        <v>60</v>
      </c>
      <c r="V1498" s="101"/>
      <c r="W1498" s="106" t="b">
        <v>1</v>
      </c>
      <c r="X1498" s="107"/>
      <c r="Y1498" s="108"/>
    </row>
    <row r="1499" ht="22.5" customHeight="1">
      <c r="A1499" s="96"/>
      <c r="B1499" s="97" t="s">
        <v>85</v>
      </c>
      <c r="C1499" s="98" t="str">
        <f t="array" ref="C1499">IFNA(XLOOKUP(J1499,'⚙️ Pengaturan'!$H$5:$H1508,'⚙️ Pengaturan'!$I$5:$I1508),"")</f>
        <v>TIM A</v>
      </c>
      <c r="D1499" s="97" t="s">
        <v>86</v>
      </c>
      <c r="E1499" s="99">
        <v>46020.0</v>
      </c>
      <c r="F1499" s="100" t="str">
        <f t="shared" si="1"/>
        <v>2025</v>
      </c>
      <c r="G1499" s="100" t="str">
        <f t="shared" si="2"/>
        <v>12Des</v>
      </c>
      <c r="H1499" s="100" t="str">
        <f t="shared" si="3"/>
        <v>Senin</v>
      </c>
      <c r="I1499" s="97" t="s">
        <v>93</v>
      </c>
      <c r="J1499" s="97" t="s">
        <v>72</v>
      </c>
      <c r="K1499" s="97" t="s">
        <v>63</v>
      </c>
      <c r="L1499" s="101" t="s">
        <v>754</v>
      </c>
      <c r="M1499" s="102" t="str">
        <f>IFNA(VLOOKUP(L1499,'🙎‍♂️ Pasien'!G:V,2,FALSE),"")</f>
        <v>L5825122264</v>
      </c>
      <c r="N1499" s="103">
        <f>IFNA(VLOOKUP(L1499,'🙎‍♂️ Pasien'!G:L,3,FALSE),"")</f>
        <v>67</v>
      </c>
      <c r="O1499" s="104" t="str">
        <f>IFNA(VLOOKUP(L1499,'🙎‍♂️ Pasien'!G:V,6,FALSE),"")</f>
        <v>PEREMPUAN</v>
      </c>
      <c r="P1499" s="104" t="str">
        <f>IFNA(VLOOKUP(L1499,'🙎‍♂️ Pasien'!G:V,12,FALSE),"")</f>
        <v>BUDDHA</v>
      </c>
      <c r="Q1499" s="104" t="str">
        <f>IFNA(VLOOKUP(L1499:L1508,'🙎‍♂️ Pasien'!G:V,13,FALSE),"")</f>
        <v>IBU RUMAH TANGGA</v>
      </c>
      <c r="R1499" s="104" t="str">
        <f t="array" ref="R1499">ifna(xlookup(L1499,'🙎‍♂️ Pasien'!$G$5:$G1508,'🙎‍♂️ Pasien'!$T$5:$T1508),"")</f>
        <v>LUTUT SAKIT MENJALAR KE KAKI.</v>
      </c>
      <c r="S1499" s="104" t="str">
        <f t="array" ref="S1499">ifna(xlookup(L1499,'🙎‍♂️ Pasien'!$G$5:$G1508,'🙎‍♂️ Pasien'!$U$5:$U1508),"")</f>
        <v>JALAN KAKI KE PASAR, NAIK TANGGA</v>
      </c>
      <c r="T1499" s="97" t="s">
        <v>59</v>
      </c>
      <c r="U1499" s="105">
        <v>4.0</v>
      </c>
      <c r="V1499" s="101"/>
      <c r="W1499" s="106" t="b">
        <v>1</v>
      </c>
      <c r="X1499" s="107"/>
      <c r="Y1499" s="108"/>
    </row>
    <row r="1500" ht="22.5" customHeight="1">
      <c r="A1500" s="96"/>
      <c r="B1500" s="97" t="s">
        <v>85</v>
      </c>
      <c r="C1500" s="98" t="str">
        <f t="array" ref="C1500">IFNA(XLOOKUP(J1500,'⚙️ Pengaturan'!$H$5:$H1508,'⚙️ Pengaturan'!$I$5:$I1508),"")</f>
        <v>TIM Y</v>
      </c>
      <c r="D1500" s="97" t="s">
        <v>86</v>
      </c>
      <c r="E1500" s="99">
        <v>46020.0</v>
      </c>
      <c r="F1500" s="100" t="str">
        <f t="shared" si="1"/>
        <v>2025</v>
      </c>
      <c r="G1500" s="100" t="str">
        <f t="shared" si="2"/>
        <v>12Des</v>
      </c>
      <c r="H1500" s="100" t="str">
        <f t="shared" si="3"/>
        <v>Senin</v>
      </c>
      <c r="I1500" s="97" t="s">
        <v>93</v>
      </c>
      <c r="J1500" s="97" t="s">
        <v>56</v>
      </c>
      <c r="K1500" s="97" t="s">
        <v>69</v>
      </c>
      <c r="L1500" s="101" t="s">
        <v>794</v>
      </c>
      <c r="M1500" s="102" t="str">
        <f>IFNA(VLOOKUP(L1500,'🙎‍♂️ Pasien'!G:V,2,FALSE),"")</f>
        <v/>
      </c>
      <c r="N1500" s="103" t="str">
        <f>IFNA(VLOOKUP(L1500,'🙎‍♂️ Pasien'!G:L,3,FALSE),"")</f>
        <v/>
      </c>
      <c r="O1500" s="104" t="str">
        <f>IFNA(VLOOKUP(L1500,'🙎‍♂️ Pasien'!G:V,6,FALSE),"")</f>
        <v/>
      </c>
      <c r="P1500" s="104" t="str">
        <f>IFNA(VLOOKUP(L1500,'🙎‍♂️ Pasien'!G:V,12,FALSE),"")</f>
        <v/>
      </c>
      <c r="Q1500" s="104" t="str">
        <f>IFNA(VLOOKUP(L1500:L1508,'🙎‍♂️ Pasien'!G:V,13,FALSE),"")</f>
        <v/>
      </c>
      <c r="R1500" s="104" t="str">
        <f t="array" ref="R1500">ifna(xlookup(L1500,'🙎‍♂️ Pasien'!$G$5:$G1508,'🙎‍♂️ Pasien'!$T$5:$T1508),"")</f>
        <v/>
      </c>
      <c r="S1500" s="104" t="str">
        <f t="array" ref="S1500">ifna(xlookup(L1500,'🙎‍♂️ Pasien'!$G$5:$G1508,'🙎‍♂️ Pasien'!$U$5:$U1508),"")</f>
        <v/>
      </c>
      <c r="T1500" s="97" t="s">
        <v>59</v>
      </c>
      <c r="U1500" s="105" t="s">
        <v>60</v>
      </c>
      <c r="V1500" s="101"/>
      <c r="W1500" s="106" t="b">
        <v>1</v>
      </c>
      <c r="X1500" s="107"/>
      <c r="Y1500" s="108"/>
    </row>
    <row r="1501" ht="22.5" customHeight="1">
      <c r="A1501" s="96"/>
      <c r="B1501" s="97" t="s">
        <v>85</v>
      </c>
      <c r="C1501" s="98" t="str">
        <f t="array" ref="C1501">IFNA(XLOOKUP(J1501,'⚙️ Pengaturan'!$H$5:$H1508,'⚙️ Pengaturan'!$I$5:$I1508),"")</f>
        <v>TIM A</v>
      </c>
      <c r="D1501" s="97" t="s">
        <v>86</v>
      </c>
      <c r="E1501" s="99">
        <v>46020.0</v>
      </c>
      <c r="F1501" s="100" t="str">
        <f t="shared" si="1"/>
        <v>2025</v>
      </c>
      <c r="G1501" s="100" t="str">
        <f t="shared" si="2"/>
        <v>12Des</v>
      </c>
      <c r="H1501" s="100" t="str">
        <f t="shared" si="3"/>
        <v>Senin</v>
      </c>
      <c r="I1501" s="97" t="s">
        <v>93</v>
      </c>
      <c r="J1501" s="97" t="s">
        <v>79</v>
      </c>
      <c r="K1501" s="97" t="s">
        <v>69</v>
      </c>
      <c r="L1501" s="101" t="s">
        <v>756</v>
      </c>
      <c r="M1501" s="102" t="str">
        <f>IFNA(VLOOKUP(L1501,'🙎‍♂️ Pasien'!G:V,2,FALSE),"")</f>
        <v>K7425121740</v>
      </c>
      <c r="N1501" s="103">
        <f>IFNA(VLOOKUP(L1501,'🙎‍♂️ Pasien'!G:L,3,FALSE),"")</f>
        <v>52</v>
      </c>
      <c r="O1501" s="104" t="str">
        <f>IFNA(VLOOKUP(L1501,'🙎‍♂️ Pasien'!G:V,6,FALSE),"")</f>
        <v>PEREMPUAN</v>
      </c>
      <c r="P1501" s="104" t="str">
        <f>IFNA(VLOOKUP(L1501,'🙎‍♂️ Pasien'!G:V,12,FALSE),"")</f>
        <v>ISLAM</v>
      </c>
      <c r="Q1501" s="104" t="str">
        <f>IFNA(VLOOKUP(L1501:L1508,'🙎‍♂️ Pasien'!G:V,13,FALSE),"")</f>
        <v>IRT</v>
      </c>
      <c r="R1501" s="104" t="str">
        <f t="array" ref="R1501">ifna(xlookup(L1501,'🙎‍♂️ Pasien'!$G$5:$G1508,'🙎‍♂️ Pasien'!$T$5:$T1508),"")</f>
        <v>BAHU</v>
      </c>
      <c r="S1501" s="104" t="str">
        <f t="array" ref="S1501">ifna(xlookup(L1501,'🙎‍♂️ Pasien'!$G$5:$G1508,'🙎‍♂️ Pasien'!$U$5:$U1508),"")</f>
        <v>-</v>
      </c>
      <c r="T1501" s="97" t="s">
        <v>67</v>
      </c>
      <c r="U1501" s="105" t="s">
        <v>60</v>
      </c>
      <c r="V1501" s="101" t="s">
        <v>814</v>
      </c>
      <c r="W1501" s="106" t="b">
        <v>1</v>
      </c>
      <c r="X1501" s="107"/>
      <c r="Y1501" s="108"/>
    </row>
    <row r="1502" ht="22.5" customHeight="1">
      <c r="A1502" s="96"/>
      <c r="B1502" s="97" t="s">
        <v>85</v>
      </c>
      <c r="C1502" s="98" t="str">
        <f t="array" ref="C1502">IFNA(XLOOKUP(J1502,'⚙️ Pengaturan'!$H$5:$H1508,'⚙️ Pengaturan'!$I$5:$I1508),"")</f>
        <v>TIM A</v>
      </c>
      <c r="D1502" s="97" t="s">
        <v>86</v>
      </c>
      <c r="E1502" s="99">
        <v>46020.0</v>
      </c>
      <c r="F1502" s="100" t="str">
        <f t="shared" si="1"/>
        <v>2025</v>
      </c>
      <c r="G1502" s="100" t="str">
        <f t="shared" si="2"/>
        <v>12Des</v>
      </c>
      <c r="H1502" s="100" t="str">
        <f t="shared" si="3"/>
        <v>Senin</v>
      </c>
      <c r="I1502" s="97" t="s">
        <v>95</v>
      </c>
      <c r="J1502" s="97" t="s">
        <v>72</v>
      </c>
      <c r="K1502" s="97" t="s">
        <v>57</v>
      </c>
      <c r="L1502" s="101" t="s">
        <v>815</v>
      </c>
      <c r="M1502" s="102" t="str">
        <f>IFNA(VLOOKUP(L1502,'🙎‍♂️ Pasien'!G:V,2,FALSE),"")</f>
        <v>J9425122013</v>
      </c>
      <c r="N1502" s="103">
        <f>IFNA(VLOOKUP(L1502,'🙎‍♂️ Pasien'!G:L,3,FALSE),"")</f>
        <v>32</v>
      </c>
      <c r="O1502" s="104" t="str">
        <f>IFNA(VLOOKUP(L1502,'🙎‍♂️ Pasien'!G:V,6,FALSE),"")</f>
        <v>LAKI-LAKI</v>
      </c>
      <c r="P1502" s="104" t="str">
        <f>IFNA(VLOOKUP(L1502,'🙎‍♂️ Pasien'!G:V,12,FALSE),"")</f>
        <v>PROTESTAN</v>
      </c>
      <c r="Q1502" s="104" t="str">
        <f>IFNA(VLOOKUP(L1502:L1508,'🙎‍♂️ Pasien'!G:V,13,FALSE),"")</f>
        <v>FINANCE</v>
      </c>
      <c r="R1502" s="104" t="str">
        <f t="array" ref="R1502">ifna(xlookup(L1502,'🙎‍♂️ Pasien'!$G$5:$G1508,'🙎‍♂️ Pasien'!$T$5:$T1508),"")</f>
        <v>LUTUT KANAN NYERI AFTER PARTY</v>
      </c>
      <c r="S1502" s="104" t="str">
        <f t="array" ref="S1502">ifna(xlookup(L1502,'🙎‍♂️ Pasien'!$G$5:$G1508,'🙎‍♂️ Pasien'!$U$5:$U1508),"")</f>
        <v>SPORT</v>
      </c>
      <c r="T1502" s="97" t="s">
        <v>59</v>
      </c>
      <c r="U1502" s="105" t="s">
        <v>60</v>
      </c>
      <c r="V1502" s="101"/>
      <c r="W1502" s="106" t="b">
        <v>1</v>
      </c>
      <c r="X1502" s="107"/>
      <c r="Y1502" s="108"/>
    </row>
    <row r="1503" ht="22.5" customHeight="1">
      <c r="A1503" s="96"/>
      <c r="B1503" s="97" t="s">
        <v>85</v>
      </c>
      <c r="C1503" s="98" t="str">
        <f t="array" ref="C1503">IFNA(XLOOKUP(J1503,'⚙️ Pengaturan'!$H$5:$H1508,'⚙️ Pengaturan'!$I$5:$I1508),"")</f>
        <v>TIM Y</v>
      </c>
      <c r="D1503" s="97" t="s">
        <v>86</v>
      </c>
      <c r="E1503" s="99">
        <v>46020.0</v>
      </c>
      <c r="F1503" s="100" t="str">
        <f t="shared" si="1"/>
        <v>2025</v>
      </c>
      <c r="G1503" s="100" t="str">
        <f t="shared" si="2"/>
        <v>12Des</v>
      </c>
      <c r="H1503" s="100" t="str">
        <f t="shared" si="3"/>
        <v>Senin</v>
      </c>
      <c r="I1503" s="97" t="s">
        <v>95</v>
      </c>
      <c r="J1503" s="97" t="s">
        <v>56</v>
      </c>
      <c r="K1503" s="97" t="s">
        <v>63</v>
      </c>
      <c r="L1503" s="101" t="s">
        <v>734</v>
      </c>
      <c r="M1503" s="102" t="str">
        <f>IFNA(VLOOKUP(L1503,'🙎‍♂️ Pasien'!G:V,2,FALSE),"")</f>
        <v>A0724125118</v>
      </c>
      <c r="N1503" s="103">
        <f>IFNA(VLOOKUP(L1503,'🙎‍♂️ Pasien'!G:L,3,FALSE),"")</f>
        <v>18</v>
      </c>
      <c r="O1503" s="104" t="str">
        <f>IFNA(VLOOKUP(L1503,'🙎‍♂️ Pasien'!G:V,6,FALSE),"")</f>
        <v>LAKI-LAKI</v>
      </c>
      <c r="P1503" s="104" t="str">
        <f>IFNA(VLOOKUP(L1503,'🙎‍♂️ Pasien'!G:V,12,FALSE),"")</f>
        <v>ISLAM</v>
      </c>
      <c r="Q1503" s="104" t="str">
        <f>IFNA(VLOOKUP(L1503:L1508,'🙎‍♂️ Pasien'!G:V,13,FALSE),"")</f>
        <v>PELAJAR/MAHASISWA</v>
      </c>
      <c r="R1503" s="104" t="str">
        <f t="array" ref="R1503">ifna(xlookup(L1503,'🙎‍♂️ Pasien'!$G$5:$G1508,'🙎‍♂️ Pasien'!$T$5:$T1508),"")</f>
        <v>cedera lutut oprasi</v>
      </c>
      <c r="S1503" s="104" t="str">
        <f t="array" ref="S1503">ifna(xlookup(L1503,'🙎‍♂️ Pasien'!$G$5:$G1508,'🙎‍♂️ Pasien'!$U$5:$U1508),"")</f>
        <v>futsal</v>
      </c>
      <c r="T1503" s="97" t="s">
        <v>59</v>
      </c>
      <c r="U1503" s="105">
        <v>6.0</v>
      </c>
      <c r="V1503" s="101"/>
      <c r="W1503" s="106" t="b">
        <v>1</v>
      </c>
      <c r="X1503" s="107"/>
      <c r="Y1503" s="108"/>
    </row>
    <row r="1504" ht="22.5" customHeight="1">
      <c r="A1504" s="96"/>
      <c r="B1504" s="97" t="s">
        <v>85</v>
      </c>
      <c r="C1504" s="98" t="str">
        <f t="array" ref="C1504">IFNA(XLOOKUP(J1504,'⚙️ Pengaturan'!$H$5:$H1508,'⚙️ Pengaturan'!$I$5:$I1508),"")</f>
        <v>TIM A</v>
      </c>
      <c r="D1504" s="97" t="s">
        <v>86</v>
      </c>
      <c r="E1504" s="99">
        <v>46020.0</v>
      </c>
      <c r="F1504" s="100" t="str">
        <f t="shared" si="1"/>
        <v>2025</v>
      </c>
      <c r="G1504" s="100" t="str">
        <f t="shared" si="2"/>
        <v>12Des</v>
      </c>
      <c r="H1504" s="100" t="str">
        <f t="shared" si="3"/>
        <v>Senin</v>
      </c>
      <c r="I1504" s="97" t="s">
        <v>97</v>
      </c>
      <c r="J1504" s="97" t="s">
        <v>72</v>
      </c>
      <c r="K1504" s="97" t="s">
        <v>63</v>
      </c>
      <c r="L1504" s="101" t="s">
        <v>792</v>
      </c>
      <c r="M1504" s="102" t="str">
        <f>IFNA(VLOOKUP(L1504,'🙎‍♂️ Pasien'!G:V,2,FALSE),"")</f>
        <v>S7723054038</v>
      </c>
      <c r="N1504" s="103">
        <f>IFNA(VLOOKUP(L1504,'🙎‍♂️ Pasien'!G:L,3,FALSE),"")</f>
        <v>49</v>
      </c>
      <c r="O1504" s="104" t="str">
        <f>IFNA(VLOOKUP(L1504,'🙎‍♂️ Pasien'!G:V,6,FALSE),"")</f>
        <v>PEREMPUAN</v>
      </c>
      <c r="P1504" s="104" t="str">
        <f>IFNA(VLOOKUP(L1504,'🙎‍♂️ Pasien'!G:V,12,FALSE),"")</f>
        <v>KATOLIK</v>
      </c>
      <c r="Q1504" s="104" t="str">
        <f>IFNA(VLOOKUP(L1504:L1508,'🙎‍♂️ Pasien'!G:V,13,FALSE),"")</f>
        <v>BUMD</v>
      </c>
      <c r="R1504" s="104" t="str">
        <f t="array" ref="R1504">ifna(xlookup(L1504,'🙎‍♂️ Pasien'!$G$5:$G1508,'🙎‍♂️ Pasien'!$T$5:$T1508),"")</f>
        <v>BAHU</v>
      </c>
      <c r="S1504" s="104" t="str">
        <f t="array" ref="S1504">ifna(xlookup(L1504,'🙎‍♂️ Pasien'!$G$5:$G1508,'🙎‍♂️ Pasien'!$U$5:$U1508),"")</f>
        <v/>
      </c>
      <c r="T1504" s="97" t="s">
        <v>59</v>
      </c>
      <c r="U1504" s="105">
        <v>1.0</v>
      </c>
      <c r="V1504" s="101"/>
      <c r="W1504" s="106" t="b">
        <v>1</v>
      </c>
      <c r="X1504" s="107"/>
      <c r="Y1504" s="108"/>
    </row>
    <row r="1505" ht="22.5" customHeight="1">
      <c r="A1505" s="96"/>
      <c r="B1505" s="97" t="s">
        <v>85</v>
      </c>
      <c r="C1505" s="98" t="str">
        <f t="array" ref="C1505">IFNA(XLOOKUP(J1505,'⚙️ Pengaturan'!$H$5:$H1508,'⚙️ Pengaturan'!$I$5:$I1508),"")</f>
        <v>TIM A</v>
      </c>
      <c r="D1505" s="97" t="s">
        <v>86</v>
      </c>
      <c r="E1505" s="99">
        <v>46020.0</v>
      </c>
      <c r="F1505" s="100" t="str">
        <f t="shared" si="1"/>
        <v>2025</v>
      </c>
      <c r="G1505" s="100" t="str">
        <f t="shared" si="2"/>
        <v>12Des</v>
      </c>
      <c r="H1505" s="100" t="str">
        <f t="shared" si="3"/>
        <v>Senin</v>
      </c>
      <c r="I1505" s="97" t="s">
        <v>97</v>
      </c>
      <c r="J1505" s="97" t="s">
        <v>62</v>
      </c>
      <c r="K1505" s="97" t="s">
        <v>57</v>
      </c>
      <c r="L1505" s="101" t="s">
        <v>816</v>
      </c>
      <c r="M1505" s="102" t="str">
        <f>IFNA(VLOOKUP(L1505,'🙎‍♂️ Pasien'!G:V,2,FALSE),"")</f>
        <v>F9825129501</v>
      </c>
      <c r="N1505" s="103">
        <f>IFNA(VLOOKUP(L1505,'🙎‍♂️ Pasien'!G:L,3,FALSE),"")</f>
        <v>27</v>
      </c>
      <c r="O1505" s="104" t="str">
        <f>IFNA(VLOOKUP(L1505,'🙎‍♂️ Pasien'!G:V,6,FALSE),"")</f>
        <v>PEREMPUAN</v>
      </c>
      <c r="P1505" s="104" t="str">
        <f>IFNA(VLOOKUP(L1505,'🙎‍♂️ Pasien'!G:V,12,FALSE),"")</f>
        <v>ISLAM</v>
      </c>
      <c r="Q1505" s="104" t="str">
        <f>IFNA(VLOOKUP(L1505:L1508,'🙎‍♂️ Pasien'!G:V,13,FALSE),"")</f>
        <v>SWASTA</v>
      </c>
      <c r="R1505" s="104" t="str">
        <f t="array" ref="R1505">ifna(xlookup(L1505,'🙎‍♂️ Pasien'!$G$5:$G1508,'🙎‍♂️ Pasien'!$T$5:$T1508),"")</f>
        <v>LUTUT KANAN NYERI, NGILU HILANG DATANG SETELAH LEG DAY GYM</v>
      </c>
      <c r="S1505" s="104" t="str">
        <f t="array" ref="S1505">ifna(xlookup(L1505,'🙎‍♂️ Pasien'!$G$5:$G1508,'🙎‍♂️ Pasien'!$U$5:$U1508),"")</f>
        <v>GYM</v>
      </c>
      <c r="T1505" s="97" t="s">
        <v>67</v>
      </c>
      <c r="U1505" s="105" t="s">
        <v>60</v>
      </c>
      <c r="V1505" s="101" t="s">
        <v>221</v>
      </c>
      <c r="W1505" s="106" t="b">
        <v>1</v>
      </c>
      <c r="X1505" s="107"/>
      <c r="Y1505" s="108"/>
    </row>
    <row r="1506" ht="22.5" customHeight="1">
      <c r="A1506" s="96"/>
      <c r="B1506" s="97" t="s">
        <v>85</v>
      </c>
      <c r="C1506" s="98" t="str">
        <f t="array" ref="C1506">IFNA(XLOOKUP(J1506,'⚙️ Pengaturan'!$H$5:$H1508,'⚙️ Pengaturan'!$I$5:$I1508),"")</f>
        <v>TIM A</v>
      </c>
      <c r="D1506" s="97" t="s">
        <v>86</v>
      </c>
      <c r="E1506" s="99">
        <v>46020.0</v>
      </c>
      <c r="F1506" s="100" t="str">
        <f t="shared" si="1"/>
        <v>2025</v>
      </c>
      <c r="G1506" s="100" t="str">
        <f t="shared" si="2"/>
        <v>12Des</v>
      </c>
      <c r="H1506" s="100" t="str">
        <f t="shared" si="3"/>
        <v>Senin</v>
      </c>
      <c r="I1506" s="97" t="s">
        <v>97</v>
      </c>
      <c r="J1506" s="97" t="s">
        <v>79</v>
      </c>
      <c r="K1506" s="97" t="s">
        <v>69</v>
      </c>
      <c r="L1506" s="101" t="s">
        <v>757</v>
      </c>
      <c r="M1506" s="102" t="str">
        <f>IFNA(VLOOKUP(L1506,'🙎‍♂️ Pasien'!G:V,2,FALSE),"")</f>
        <v>C9225128367</v>
      </c>
      <c r="N1506" s="103">
        <f>IFNA(VLOOKUP(L1506,'🙎‍♂️ Pasien'!G:L,3,FALSE),"")</f>
        <v>34</v>
      </c>
      <c r="O1506" s="104" t="str">
        <f>IFNA(VLOOKUP(L1506,'🙎‍♂️ Pasien'!G:V,6,FALSE),"")</f>
        <v>PEREMPUAN</v>
      </c>
      <c r="P1506" s="104" t="str">
        <f>IFNA(VLOOKUP(L1506,'🙎‍♂️ Pasien'!G:V,12,FALSE),"")</f>
        <v>ISLAM</v>
      </c>
      <c r="Q1506" s="104" t="str">
        <f>IFNA(VLOOKUP(L1506:L1508,'🙎‍♂️ Pasien'!G:V,13,FALSE),"")</f>
        <v>SWASTA</v>
      </c>
      <c r="R1506" s="104" t="str">
        <f t="array" ref="R1506">ifna(xlookup(L1506,'🙎‍♂️ Pasien'!$G$5:$G1508,'🙎‍♂️ Pasien'!$T$5:$T1508),"")</f>
        <v>BELLS PALSY</v>
      </c>
      <c r="S1506" s="104" t="str">
        <f t="array" ref="S1506">ifna(xlookup(L1506,'🙎‍♂️ Pasien'!$G$5:$G1508,'🙎‍♂️ Pasien'!$U$5:$U1508),"")</f>
        <v>BIASA SAJA</v>
      </c>
      <c r="T1506" s="97" t="s">
        <v>59</v>
      </c>
      <c r="U1506" s="105" t="s">
        <v>60</v>
      </c>
      <c r="V1506" s="101"/>
      <c r="W1506" s="106" t="b">
        <v>1</v>
      </c>
      <c r="X1506" s="107"/>
      <c r="Y1506" s="108"/>
    </row>
    <row r="1507" ht="22.5" customHeight="1">
      <c r="A1507" s="96"/>
      <c r="B1507" s="97" t="s">
        <v>85</v>
      </c>
      <c r="C1507" s="98" t="str">
        <f t="array" ref="C1507">IFNA(XLOOKUP(J1507,'⚙️ Pengaturan'!$H$5:$H1508,'⚙️ Pengaturan'!$I$5:$I1508),"")</f>
        <v>TIM A</v>
      </c>
      <c r="D1507" s="97" t="s">
        <v>86</v>
      </c>
      <c r="E1507" s="99">
        <v>46020.0</v>
      </c>
      <c r="F1507" s="100" t="str">
        <f t="shared" si="1"/>
        <v>2025</v>
      </c>
      <c r="G1507" s="100" t="str">
        <f t="shared" si="2"/>
        <v>12Des</v>
      </c>
      <c r="H1507" s="100" t="str">
        <f t="shared" si="3"/>
        <v>Senin</v>
      </c>
      <c r="I1507" s="97" t="s">
        <v>99</v>
      </c>
      <c r="J1507" s="97" t="s">
        <v>72</v>
      </c>
      <c r="K1507" s="97" t="s">
        <v>63</v>
      </c>
      <c r="L1507" s="101" t="s">
        <v>540</v>
      </c>
      <c r="M1507" s="102" t="str">
        <f>IFNA(VLOOKUP(L1507,'🙎‍♂️ Pasien'!G:V,2,FALSE),"")</f>
        <v>A9425110177</v>
      </c>
      <c r="N1507" s="103">
        <f>IFNA(VLOOKUP(L1507,'🙎‍♂️ Pasien'!G:L,3,FALSE),"")</f>
        <v>31</v>
      </c>
      <c r="O1507" s="104" t="str">
        <f>IFNA(VLOOKUP(L1507,'🙎‍♂️ Pasien'!G:V,6,FALSE),"")</f>
        <v>LAKI-LAKI</v>
      </c>
      <c r="P1507" s="104" t="str">
        <f>IFNA(VLOOKUP(L1507,'🙎‍♂️ Pasien'!G:V,12,FALSE),"")</f>
        <v>KATOLIK</v>
      </c>
      <c r="Q1507" s="104" t="str">
        <f>IFNA(VLOOKUP(L1507:L1508,'🙎‍♂️ Pasien'!G:V,13,FALSE),"")</f>
        <v>-</v>
      </c>
      <c r="R1507" s="104" t="str">
        <f t="array" ref="R1507">ifna(xlookup(L1507,'🙎‍♂️ Pasien'!$G$5:$G1508,'🙎‍♂️ Pasien'!$T$5:$T1508),"")</f>
        <v>PASCA OPERASI ACL</v>
      </c>
      <c r="S1507" s="104" t="str">
        <f t="array" ref="S1507">ifna(xlookup(L1507,'🙎‍♂️ Pasien'!$G$5:$G1508,'🙎‍♂️ Pasien'!$U$5:$U1508),"")</f>
        <v>-</v>
      </c>
      <c r="T1507" s="97" t="s">
        <v>59</v>
      </c>
      <c r="U1507" s="105">
        <v>2.0</v>
      </c>
      <c r="V1507" s="101"/>
      <c r="W1507" s="106" t="b">
        <v>1</v>
      </c>
      <c r="X1507" s="107"/>
      <c r="Y1507" s="108"/>
    </row>
    <row r="1508" ht="22.5" customHeight="1">
      <c r="A1508" s="96"/>
      <c r="B1508" s="97" t="s">
        <v>85</v>
      </c>
      <c r="C1508" s="98" t="str">
        <f t="array" ref="C1508">IFNA(XLOOKUP(J1508,'⚙️ Pengaturan'!$H$5:$H1508,'⚙️ Pengaturan'!$I$5:$I1508),"")</f>
        <v>TIM Y</v>
      </c>
      <c r="D1508" s="97" t="s">
        <v>86</v>
      </c>
      <c r="E1508" s="99">
        <v>46020.0</v>
      </c>
      <c r="F1508" s="100" t="str">
        <f t="shared" si="1"/>
        <v>2025</v>
      </c>
      <c r="G1508" s="100" t="str">
        <f t="shared" si="2"/>
        <v>12Des</v>
      </c>
      <c r="H1508" s="100" t="str">
        <f t="shared" si="3"/>
        <v>Senin</v>
      </c>
      <c r="I1508" s="97" t="s">
        <v>99</v>
      </c>
      <c r="J1508" s="97" t="s">
        <v>56</v>
      </c>
      <c r="K1508" s="97" t="s">
        <v>69</v>
      </c>
      <c r="L1508" s="101" t="s">
        <v>791</v>
      </c>
      <c r="M1508" s="102" t="str">
        <f>IFNA(VLOOKUP(L1508,'🙎‍♂️ Pasien'!G:V,2,FALSE),"")</f>
        <v>R9325125636</v>
      </c>
      <c r="N1508" s="103">
        <f>IFNA(VLOOKUP(L1508,'🙎‍♂️ Pasien'!G:L,3,FALSE),"")</f>
        <v>33</v>
      </c>
      <c r="O1508" s="104" t="str">
        <f>IFNA(VLOOKUP(L1508,'🙎‍♂️ Pasien'!G:V,6,FALSE),"")</f>
        <v>LAKI-LAKI</v>
      </c>
      <c r="P1508" s="104" t="str">
        <f>IFNA(VLOOKUP(L1508,'🙎‍♂️ Pasien'!G:V,12,FALSE),"")</f>
        <v>ISLAM</v>
      </c>
      <c r="Q1508" s="104" t="str">
        <f>IFNA(VLOOKUP(L1508,'🙎‍♂️ Pasien'!G:V,13,FALSE),"")</f>
        <v>BUMD</v>
      </c>
      <c r="R1508" s="104" t="str">
        <f t="array" ref="R1508">ifna(xlookup(L1508,'🙎‍♂️ Pasien'!$G$5:$G1508,'🙎‍♂️ Pasien'!$T$5:$T1508),"")</f>
        <v>NYERI PINGGANG</v>
      </c>
      <c r="S1508" s="104" t="str">
        <f t="array" ref="S1508">ifna(xlookup(L1508,'🙎‍♂️ Pasien'!$G$5:$G1508,'🙎‍♂️ Pasien'!$U$5:$U1508),"")</f>
        <v>OLAH RAGA</v>
      </c>
      <c r="T1508" s="97" t="s">
        <v>59</v>
      </c>
      <c r="U1508" s="105" t="s">
        <v>60</v>
      </c>
      <c r="V1508" s="101"/>
      <c r="W1508" s="106" t="b">
        <v>1</v>
      </c>
      <c r="X1508" s="107"/>
      <c r="Y1508" s="108"/>
    </row>
  </sheetData>
  <customSheetViews>
    <customSheetView guid="{A9138DCC-CC67-4662-9DE4-ED853A017D3F}" filter="1" showAutoFilter="1">
      <autoFilter ref="$B$2:$X$1508"/>
    </customSheetView>
    <customSheetView guid="{FA229FA6-2B6D-47C9-BA20-D559BCEB372B}" filter="1" showAutoFilter="1">
      <autoFilter ref="$B$2:$X$1508">
        <filterColumn colId="8">
          <filters>
            <filter val="HENA"/>
            <filter val="WAHYU"/>
            <filter val="ORY"/>
            <filter val="AULIA"/>
            <filter val="OKTA"/>
          </filters>
        </filterColumn>
        <filterColumn colId="18">
          <filters>
            <filter val="HADIR"/>
          </filters>
        </filterColumn>
      </autoFilter>
    </customSheetView>
  </customSheetViews>
  <conditionalFormatting sqref="B3:U1508">
    <cfRule type="expression" dxfId="7" priority="1">
      <formula>IF(OR($B3:$B1508="",$D3:$D1508="",$B3:$B1508="",$D3:$D1508="",$E3:$E1508="",$I3:$I1508="",$J3:$J1508="",$K3:$K1508="",$L3:$L1508="",$M3:$M1508="",$T3:$T1508="",$U3:$U1508="",$W3:$W1508=FALSE),TRUE,FALSE)</formula>
    </cfRule>
  </conditionalFormatting>
  <conditionalFormatting sqref="B3:U1508">
    <cfRule type="expression" dxfId="7" priority="2">
      <formula>IF(AND($T3:$T1508="TIDAK HADIR",$V3:$V1508=""),TRUE,FALSE)</formula>
    </cfRule>
  </conditionalFormatting>
  <conditionalFormatting sqref="B3:U1508">
    <cfRule type="expression" dxfId="8" priority="3">
      <formula>IF($T3:$T1508="TIDAK HADIR",TRUE,FALSE)</formula>
    </cfRule>
  </conditionalFormatting>
  <dataValidations>
    <dataValidation type="list" allowBlank="1" showDropDown="1" showInputMessage="1" showErrorMessage="1" prompt="Klik dan masukkan nilai dari rentang" sqref="L3:L1508">
      <formula1>'🙎‍♂️ Pasien'!$G$3:$G1508</formula1>
    </dataValidation>
    <dataValidation type="list" allowBlank="1" sqref="B3:B1508">
      <formula1>"PAGI,SORE"</formula1>
    </dataValidation>
    <dataValidation type="list" allowBlank="1" sqref="T3:T1508">
      <formula1>#REF!</formula1>
    </dataValidation>
    <dataValidation type="custom" allowBlank="1" showDropDown="1" sqref="E3:E1508">
      <formula1>OR(NOT(ISERROR(DATEVALUE(E3))), AND(ISNUMBER(E3), LEFT(CELL("format", E3))="D"))</formula1>
    </dataValidation>
    <dataValidation type="list" allowBlank="1" sqref="K3:K1508">
      <formula1>#REF!</formula1>
    </dataValidation>
    <dataValidation type="list" allowBlank="1" sqref="D3:D1508 I3:J1508">
      <formula1>#REF!</formula1>
    </dataValidation>
  </dataValidations>
  <hyperlinks>
    <hyperlink r:id="rId1" ref="X1"/>
  </hyperlinks>
  <printOptions gridLines="1" horizontalCentered="1"/>
  <pageMargins bottom="0.75" footer="0.0" header="0.0" left="0.7" right="0.7" top="0.75"/>
  <pageSetup fitToHeight="0" paperSize="14" orientation="landscape" pageOrder="overThenDown"/>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outlineLevelCol="1"/>
  <cols>
    <col customWidth="1" min="1" max="1" width="2.63"/>
    <col collapsed="1" customWidth="1" min="2" max="2" width="12.63"/>
    <col customWidth="1" hidden="1" min="3" max="5" width="10.13" outlineLevel="1"/>
    <col customWidth="1" min="6" max="6" width="10.13"/>
    <col customWidth="1" min="7" max="7" width="12.63"/>
    <col customWidth="1" min="8" max="8" width="25.13"/>
    <col collapsed="1" customWidth="1" min="9" max="9" width="12.63"/>
    <col customWidth="1" hidden="1" min="10" max="10" width="12.63" outlineLevel="1"/>
    <col customWidth="1" hidden="1" min="11" max="11" width="10.13" outlineLevel="1"/>
    <col customWidth="1" hidden="1" min="12" max="12" width="12.63" outlineLevel="1"/>
    <col customWidth="1" hidden="1" min="13" max="14" width="25.13" outlineLevel="1"/>
    <col customWidth="1" min="15" max="15" width="25.13"/>
    <col customWidth="1" min="16" max="16" width="15.13"/>
    <col customWidth="1" min="17" max="17" width="17.63"/>
    <col customWidth="1" min="18" max="20" width="12.63"/>
    <col customWidth="1" min="21" max="21" width="50.13"/>
    <col customWidth="1" min="22" max="22" width="2.63"/>
    <col collapsed="1" customWidth="1" min="23" max="23" width="50.13"/>
    <col customWidth="1" hidden="1" min="24" max="25" width="17.63" outlineLevel="1"/>
    <col customWidth="1" min="26" max="26" width="2.63"/>
  </cols>
  <sheetData>
    <row r="1">
      <c r="A1" s="111"/>
      <c r="B1" s="112"/>
      <c r="C1" s="113"/>
      <c r="D1" s="113"/>
      <c r="E1" s="113"/>
      <c r="F1" s="113"/>
      <c r="G1" s="113"/>
      <c r="H1" s="114"/>
      <c r="I1" s="113"/>
      <c r="J1" s="113"/>
      <c r="K1" s="113"/>
      <c r="L1" s="113"/>
      <c r="M1" s="113"/>
      <c r="N1" s="113"/>
      <c r="O1" s="113"/>
      <c r="P1" s="113"/>
      <c r="Q1" s="113"/>
      <c r="R1" s="112"/>
      <c r="S1" s="112"/>
      <c r="T1" s="112"/>
      <c r="U1" s="112"/>
      <c r="V1" s="115"/>
      <c r="W1" s="116"/>
      <c r="X1" s="116"/>
      <c r="Y1" s="116"/>
      <c r="Z1" s="116"/>
    </row>
    <row r="2" ht="22.5" customHeight="1">
      <c r="A2" s="117"/>
      <c r="B2" s="94" t="s">
        <v>35</v>
      </c>
      <c r="C2" s="94" t="s">
        <v>4</v>
      </c>
      <c r="D2" s="94" t="s">
        <v>3</v>
      </c>
      <c r="E2" s="94" t="s">
        <v>36</v>
      </c>
      <c r="F2" s="94" t="s">
        <v>32</v>
      </c>
      <c r="G2" s="91" t="s">
        <v>33</v>
      </c>
      <c r="H2" s="94" t="s">
        <v>40</v>
      </c>
      <c r="I2" s="94" t="s">
        <v>41</v>
      </c>
      <c r="J2" s="94" t="s">
        <v>43</v>
      </c>
      <c r="K2" s="118" t="s">
        <v>42</v>
      </c>
      <c r="L2" s="94" t="s">
        <v>817</v>
      </c>
      <c r="M2" s="94" t="s">
        <v>45</v>
      </c>
      <c r="N2" s="91" t="s">
        <v>46</v>
      </c>
      <c r="O2" s="94" t="s">
        <v>818</v>
      </c>
      <c r="P2" s="94" t="s">
        <v>819</v>
      </c>
      <c r="Q2" s="91" t="s">
        <v>22</v>
      </c>
      <c r="R2" s="94" t="s">
        <v>34</v>
      </c>
      <c r="S2" s="94" t="s">
        <v>38</v>
      </c>
      <c r="T2" s="94" t="s">
        <v>820</v>
      </c>
      <c r="U2" s="94" t="s">
        <v>50</v>
      </c>
      <c r="V2" s="119" t="s">
        <v>821</v>
      </c>
      <c r="W2" s="94" t="s">
        <v>52</v>
      </c>
      <c r="X2" s="120" t="s">
        <v>822</v>
      </c>
      <c r="Y2" s="120" t="s">
        <v>823</v>
      </c>
      <c r="Z2" s="121"/>
    </row>
    <row r="3" ht="22.5" customHeight="1">
      <c r="A3" s="122"/>
      <c r="B3" s="123">
        <v>45931.0</v>
      </c>
      <c r="C3" s="124" t="str">
        <f t="shared" ref="C3:C120" si="1">IF(B3="","",text(B3,"yyyy"))</f>
        <v>2025</v>
      </c>
      <c r="D3" s="124" t="str">
        <f t="shared" ref="D3:D120" si="2">IF(B3="","",text(B3,"mm")&amp;" "&amp;text(B3,"mmm"))</f>
        <v>10 Okt</v>
      </c>
      <c r="E3" s="124" t="str">
        <f t="shared" ref="E3:E120" si="3">IF(B3="","",text(B3,"ddd"))</f>
        <v>Rab</v>
      </c>
      <c r="F3" s="16" t="s">
        <v>53</v>
      </c>
      <c r="G3" s="109" t="str">
        <f t="array" ref="G3">IFNA(XLOOKUP(S3,'⚙️ Pengaturan'!$H$5:$H371,'⚙️ Pengaturan'!$I$5:$I371),"")</f>
        <v>TIM A</v>
      </c>
      <c r="H3" s="109" t="s">
        <v>824</v>
      </c>
      <c r="I3" s="125" t="str">
        <f t="array" ref="I3">ifna(xlookup($H3,'🙎‍♂️ Pasien'!$G$7:$G371,'🙎‍♂️ Pasien'!$H$7:$H371),"")</f>
        <v>D9225097701</v>
      </c>
      <c r="J3" s="125" t="str">
        <f t="array" ref="J3">ifna(xlookup($H3,'🙎‍♂️ Pasien'!$G$7:$G371,'🙎‍♂️ Pasien'!$L$7:$L371),"")</f>
        <v>PEREMPUAN</v>
      </c>
      <c r="K3" s="125">
        <f t="array" ref="K3">ifna(xlookup($H3,'🙎‍♂️ Pasien'!$G$7:$G371,'🙎‍♂️ Pasien'!$I$7:$I371),"")</f>
        <v>33</v>
      </c>
      <c r="L3" s="125" t="str">
        <f t="array" ref="L3">IFNA(xlookup(H3,'🙎‍♂️ Pasien'!$G$5:$G371,'🙎‍♂️ Pasien'!$J$5:$J371),"")</f>
        <v>25-34 tahun</v>
      </c>
      <c r="M3" s="125" t="str">
        <f t="array" ref="M3">IFNA(xlookup(H3,'🙎‍♂️ Pasien'!$G$5:$G371,'🙎‍♂️ Pasien'!$S$5:$S371),"")</f>
        <v>PNS</v>
      </c>
      <c r="N3" s="125" t="str">
        <f t="array" ref="N3">IFNA(XLOOKUP($H3,'🙎‍♂️ Pasien'!$G$7:$G371,'🙎‍♂️ Pasien'!$T$7:$T371),"")</f>
        <v>SAKIT PINGGANG</v>
      </c>
      <c r="O3" s="16" t="s">
        <v>825</v>
      </c>
      <c r="P3" s="16" t="s">
        <v>826</v>
      </c>
      <c r="Q3" s="16" t="s">
        <v>29</v>
      </c>
      <c r="R3" s="16" t="s">
        <v>54</v>
      </c>
      <c r="S3" s="16" t="s">
        <v>79</v>
      </c>
      <c r="T3" s="16" t="s">
        <v>827</v>
      </c>
      <c r="U3" s="109"/>
      <c r="V3" s="126"/>
      <c r="W3" s="109"/>
      <c r="X3" s="109" t="str">
        <f t="array" ref="X3">IF(H3="","",XLOOKUP(H3,CATATANPELAYANAN[[#ALL],[NAMA PASIEN]],CATATANPELAYANAN[[#ALL],[LAYANAN]],"TIDAK CLOSING",0,-1))</f>
        <v>TIDAK CLOSING</v>
      </c>
      <c r="Y3" s="109" t="str">
        <f t="shared" ref="Y3:Y371" si="4">IF(X3="PAKET TERAPI","PAKET",IF(X3="SESI TERAPI","SESI","TIDAK CLOSING"))</f>
        <v>TIDAK CLOSING</v>
      </c>
      <c r="Z3" s="127"/>
    </row>
    <row r="4" ht="22.5" customHeight="1">
      <c r="A4" s="122"/>
      <c r="B4" s="123">
        <v>45931.0</v>
      </c>
      <c r="C4" s="124" t="str">
        <f t="shared" si="1"/>
        <v>2025</v>
      </c>
      <c r="D4" s="124" t="str">
        <f t="shared" si="2"/>
        <v>10 Okt</v>
      </c>
      <c r="E4" s="124" t="str">
        <f t="shared" si="3"/>
        <v>Rab</v>
      </c>
      <c r="F4" s="16" t="s">
        <v>53</v>
      </c>
      <c r="G4" s="109" t="str">
        <f t="array" ref="G4">IFNA(XLOOKUP(S4,'⚙️ Pengaturan'!$H$5:$H371,'⚙️ Pengaturan'!$I$5:$I371),"")</f>
        <v>TIM Y</v>
      </c>
      <c r="H4" s="109" t="s">
        <v>58</v>
      </c>
      <c r="I4" s="125" t="str">
        <f t="array" ref="I4">ifna(xlookup($H4,'🙎‍♂️ Pasien'!$G$7:$G371,'🙎‍♂️ Pasien'!$H$7:$H371),"")</f>
        <v>A9025092121</v>
      </c>
      <c r="J4" s="125" t="str">
        <f t="array" ref="J4">ifna(xlookup($H4,'🙎‍♂️ Pasien'!$G$7:$G371,'🙎‍♂️ Pasien'!$L$7:$L371),"")</f>
        <v>LAKI-LAKI</v>
      </c>
      <c r="K4" s="125">
        <f t="array" ref="K4">ifna(xlookup($H4,'🙎‍♂️ Pasien'!$G$7:$G371,'🙎‍♂️ Pasien'!$I$7:$I371),"")</f>
        <v>36</v>
      </c>
      <c r="L4" s="125" t="str">
        <f t="array" ref="L4">IFNA(xlookup(H4,'🙎‍♂️ Pasien'!$G$5:$G371,'🙎‍♂️ Pasien'!$J$5:$J371),"")</f>
        <v>35-44 tahun</v>
      </c>
      <c r="M4" s="125" t="str">
        <f t="array" ref="M4">IFNA(xlookup(H4,'🙎‍♂️ Pasien'!$G$5:$G371,'🙎‍♂️ Pasien'!$S$5:$S371),"")</f>
        <v>WIRASWASTA</v>
      </c>
      <c r="N4" s="125" t="str">
        <f t="array" ref="N4">IFNA(XLOOKUP($H4,'🙎‍♂️ Pasien'!$G$7:$G371,'🙎‍♂️ Pasien'!$T$7:$T371),"")</f>
        <v>PINGGANG KECETIT</v>
      </c>
      <c r="O4" s="16" t="s">
        <v>825</v>
      </c>
      <c r="P4" s="16" t="s">
        <v>826</v>
      </c>
      <c r="Q4" s="16" t="s">
        <v>29</v>
      </c>
      <c r="R4" s="16" t="s">
        <v>54</v>
      </c>
      <c r="S4" s="16" t="s">
        <v>56</v>
      </c>
      <c r="T4" s="16" t="s">
        <v>827</v>
      </c>
      <c r="U4" s="109"/>
      <c r="V4" s="126"/>
      <c r="W4" s="109"/>
      <c r="X4" s="109" t="str">
        <f t="array" ref="X4">IF(H4="","",XLOOKUP(H4,CATATANPELAYANAN[[#ALL],[NAMA PASIEN]],CATATANPELAYANAN[[#ALL],[LAYANAN]],"TIDAK CLOSING",0,-1))</f>
        <v>SESI TERAPI</v>
      </c>
      <c r="Y4" s="109" t="str">
        <f t="shared" si="4"/>
        <v>SESI</v>
      </c>
      <c r="Z4" s="127"/>
    </row>
    <row r="5" ht="22.5" customHeight="1">
      <c r="A5" s="122"/>
      <c r="B5" s="123">
        <v>45931.0</v>
      </c>
      <c r="C5" s="124" t="str">
        <f t="shared" si="1"/>
        <v>2025</v>
      </c>
      <c r="D5" s="124" t="str">
        <f t="shared" si="2"/>
        <v>10 Okt</v>
      </c>
      <c r="E5" s="124" t="str">
        <f t="shared" si="3"/>
        <v>Rab</v>
      </c>
      <c r="F5" s="16" t="s">
        <v>53</v>
      </c>
      <c r="G5" s="109" t="str">
        <f t="array" ref="G5">IFNA(XLOOKUP(S5,'⚙️ Pengaturan'!$H$5:$H371,'⚙️ Pengaturan'!$I$5:$I371),"")</f>
        <v>TIM Y</v>
      </c>
      <c r="H5" s="109" t="s">
        <v>71</v>
      </c>
      <c r="I5" s="125" t="str">
        <f t="array" ref="I5">ifna(xlookup($H5,'🙎‍♂️ Pasien'!$G$7:$G371,'🙎‍♂️ Pasien'!$H$7:$H371),"")</f>
        <v>L5925109995</v>
      </c>
      <c r="J5" s="125" t="str">
        <f t="array" ref="J5">ifna(xlookup($H5,'🙎‍♂️ Pasien'!$G$7:$G371,'🙎‍♂️ Pasien'!$L$7:$L371),"")</f>
        <v>PEREMPUAN</v>
      </c>
      <c r="K5" s="125">
        <f t="array" ref="K5">ifna(xlookup($H5,'🙎‍♂️ Pasien'!$G$7:$G371,'🙎‍♂️ Pasien'!$I$7:$I371),"")</f>
        <v>67</v>
      </c>
      <c r="L5" s="125" t="str">
        <f t="array" ref="L5">IFNA(xlookup(H5,'🙎‍♂️ Pasien'!$G$5:$G371,'🙎‍♂️ Pasien'!$J$5:$J371),"")</f>
        <v>&gt; 44 tahun</v>
      </c>
      <c r="M5" s="125" t="str">
        <f t="array" ref="M5">IFNA(xlookup(H5,'🙎‍♂️ Pasien'!$G$5:$G371,'🙎‍♂️ Pasien'!$S$5:$S371),"")</f>
        <v>WIRASWASTA</v>
      </c>
      <c r="N5" s="125" t="str">
        <f t="array" ref="N5">IFNA(XLOOKUP($H5,'🙎‍♂️ Pasien'!$G$7:$G371,'🙎‍♂️ Pasien'!$T$7:$T371),"")</f>
        <v>LUTUT</v>
      </c>
      <c r="O5" s="16" t="s">
        <v>828</v>
      </c>
      <c r="P5" s="16" t="s">
        <v>829</v>
      </c>
      <c r="Q5" s="16" t="s">
        <v>29</v>
      </c>
      <c r="R5" s="16" t="s">
        <v>54</v>
      </c>
      <c r="S5" s="16" t="s">
        <v>56</v>
      </c>
      <c r="T5" s="16" t="s">
        <v>830</v>
      </c>
      <c r="U5" s="109"/>
      <c r="V5" s="126"/>
      <c r="W5" s="109"/>
      <c r="X5" s="109" t="str">
        <f t="array" ref="X5">IF(H5="","",XLOOKUP(H5,CATATANPELAYANAN[[#ALL],[NAMA PASIEN]],CATATANPELAYANAN[[#ALL],[LAYANAN]],"TIDAK CLOSING",0,-1))</f>
        <v>PAKET TERAPI</v>
      </c>
      <c r="Y5" s="109" t="str">
        <f t="shared" si="4"/>
        <v>PAKET</v>
      </c>
      <c r="Z5" s="127"/>
    </row>
    <row r="6" ht="22.5" customHeight="1">
      <c r="A6" s="122"/>
      <c r="B6" s="123">
        <v>45931.0</v>
      </c>
      <c r="C6" s="124" t="str">
        <f t="shared" si="1"/>
        <v>2025</v>
      </c>
      <c r="D6" s="124" t="str">
        <f t="shared" si="2"/>
        <v>10 Okt</v>
      </c>
      <c r="E6" s="124" t="str">
        <f t="shared" si="3"/>
        <v>Rab</v>
      </c>
      <c r="F6" s="16" t="s">
        <v>53</v>
      </c>
      <c r="G6" s="109" t="str">
        <f t="array" ref="G6">IFNA(XLOOKUP(S6,'⚙️ Pengaturan'!$H$5:$H371,'⚙️ Pengaturan'!$I$5:$I371),"")</f>
        <v>MANAJEMEN</v>
      </c>
      <c r="H6" s="109" t="s">
        <v>82</v>
      </c>
      <c r="I6" s="125" t="str">
        <f t="array" ref="I6">ifna(xlookup($H6,'🙎‍♂️ Pasien'!$G$7:$G371,'🙎‍♂️ Pasien'!$H$7:$H371),"")</f>
        <v>S8025102353</v>
      </c>
      <c r="J6" s="125" t="str">
        <f t="array" ref="J6">ifna(xlookup($H6,'🙎‍♂️ Pasien'!$G$7:$G371,'🙎‍♂️ Pasien'!$L$7:$L371),"")</f>
        <v>LAKI-LAKI</v>
      </c>
      <c r="K6" s="125">
        <f t="array" ref="K6">ifna(xlookup($H6,'🙎‍♂️ Pasien'!$G$7:$G371,'🙎‍♂️ Pasien'!$I$7:$I371),"")</f>
        <v>46</v>
      </c>
      <c r="L6" s="125" t="str">
        <f t="array" ref="L6">IFNA(xlookup(H6,'🙎‍♂️ Pasien'!$G$5:$G371,'🙎‍♂️ Pasien'!$J$5:$J371),"")</f>
        <v>&gt; 44 tahun</v>
      </c>
      <c r="M6" s="125" t="str">
        <f t="array" ref="M6">IFNA(xlookup(H6,'🙎‍♂️ Pasien'!$G$5:$G371,'🙎‍♂️ Pasien'!$S$5:$S371),"")</f>
        <v>KARYAWAN HONORER</v>
      </c>
      <c r="N6" s="125" t="str">
        <f t="array" ref="N6">IFNA(XLOOKUP($H6,'🙎‍♂️ Pasien'!$G$7:$G371,'🙎‍♂️ Pasien'!$T$7:$T371),"")</f>
        <v>PINGGANG SAMPAI KAKI</v>
      </c>
      <c r="O6" s="16"/>
      <c r="P6" s="16"/>
      <c r="Q6" s="16" t="s">
        <v>29</v>
      </c>
      <c r="R6" s="16" t="s">
        <v>54</v>
      </c>
      <c r="S6" s="16" t="s">
        <v>81</v>
      </c>
      <c r="T6" s="16" t="s">
        <v>827</v>
      </c>
      <c r="U6" s="109" t="s">
        <v>831</v>
      </c>
      <c r="V6" s="126"/>
      <c r="W6" s="109"/>
      <c r="X6" s="109" t="str">
        <f t="array" ref="X6">IF(H6="","",XLOOKUP(H6,CATATANPELAYANAN[[#ALL],[NAMA PASIEN]],CATATANPELAYANAN[[#ALL],[LAYANAN]],"TIDAK CLOSING",0,-1))</f>
        <v>SESI TERAPI</v>
      </c>
      <c r="Y6" s="109" t="str">
        <f t="shared" si="4"/>
        <v>SESI</v>
      </c>
      <c r="Z6" s="127"/>
    </row>
    <row r="7" ht="22.5" customHeight="1">
      <c r="A7" s="122"/>
      <c r="B7" s="123">
        <v>45932.0</v>
      </c>
      <c r="C7" s="124" t="str">
        <f t="shared" si="1"/>
        <v>2025</v>
      </c>
      <c r="D7" s="124" t="str">
        <f t="shared" si="2"/>
        <v>10 Okt</v>
      </c>
      <c r="E7" s="124" t="str">
        <f t="shared" si="3"/>
        <v>Kam</v>
      </c>
      <c r="F7" s="16" t="s">
        <v>53</v>
      </c>
      <c r="G7" s="109" t="str">
        <f t="array" ref="G7">IFNA(XLOOKUP(S7,'⚙️ Pengaturan'!$H$5:$H371,'⚙️ Pengaturan'!$I$5:$I371),"")</f>
        <v>TIM Y</v>
      </c>
      <c r="H7" s="109" t="s">
        <v>115</v>
      </c>
      <c r="I7" s="125" t="str">
        <f t="array" ref="I7">ifna(xlookup($H7,'🙎‍♂️ Pasien'!$G$7:$G371,'🙎‍♂️ Pasien'!$H$7:$H371),"")</f>
        <v>S9625108010</v>
      </c>
      <c r="J7" s="125" t="str">
        <f t="array" ref="J7">ifna(xlookup($H7,'🙎‍♂️ Pasien'!$G$7:$G371,'🙎‍♂️ Pasien'!$L$7:$L371),"")</f>
        <v>LAKI-LAKI</v>
      </c>
      <c r="K7" s="125">
        <f t="array" ref="K7">ifna(xlookup($H7,'🙎‍♂️ Pasien'!$G$7:$G371,'🙎‍♂️ Pasien'!$I$7:$I371),"")</f>
        <v>29</v>
      </c>
      <c r="L7" s="125" t="str">
        <f t="array" ref="L7">IFNA(xlookup(H7,'🙎‍♂️ Pasien'!$G$5:$G371,'🙎‍♂️ Pasien'!$J$5:$J371),"")</f>
        <v>25-34 tahun</v>
      </c>
      <c r="M7" s="125" t="str">
        <f t="array" ref="M7">IFNA(xlookup(H7,'🙎‍♂️ Pasien'!$G$5:$G371,'🙎‍♂️ Pasien'!$S$5:$S371),"")</f>
        <v>MARKETING</v>
      </c>
      <c r="N7" s="125" t="str">
        <f t="array" ref="N7">IFNA(XLOOKUP($H7,'🙎‍♂️ Pasien'!$G$7:$G371,'🙎‍♂️ Pasien'!$T$7:$T371),"")</f>
        <v>ANKLE SPRAIN</v>
      </c>
      <c r="O7" s="16" t="s">
        <v>832</v>
      </c>
      <c r="P7" s="16" t="s">
        <v>833</v>
      </c>
      <c r="Q7" s="16" t="s">
        <v>29</v>
      </c>
      <c r="R7" s="16" t="s">
        <v>86</v>
      </c>
      <c r="S7" s="16" t="s">
        <v>88</v>
      </c>
      <c r="T7" s="16" t="s">
        <v>834</v>
      </c>
      <c r="U7" s="109" t="s">
        <v>835</v>
      </c>
      <c r="V7" s="126"/>
      <c r="W7" s="109"/>
      <c r="X7" s="109" t="str">
        <f t="array" ref="X7">IF(H7="","",XLOOKUP(H7,CATATANPELAYANAN[[#ALL],[NAMA PASIEN]],CATATANPELAYANAN[[#ALL],[LAYANAN]],"TIDAK CLOSING",0,-1))</f>
        <v>PAKET/SESI</v>
      </c>
      <c r="Y7" s="109" t="str">
        <f t="shared" si="4"/>
        <v>TIDAK CLOSING</v>
      </c>
      <c r="Z7" s="127"/>
    </row>
    <row r="8" ht="22.5" customHeight="1">
      <c r="A8" s="122"/>
      <c r="B8" s="123">
        <v>45932.0</v>
      </c>
      <c r="C8" s="124" t="str">
        <f t="shared" si="1"/>
        <v>2025</v>
      </c>
      <c r="D8" s="124" t="str">
        <f t="shared" si="2"/>
        <v>10 Okt</v>
      </c>
      <c r="E8" s="124" t="str">
        <f t="shared" si="3"/>
        <v>Kam</v>
      </c>
      <c r="F8" s="16" t="s">
        <v>85</v>
      </c>
      <c r="G8" s="109" t="str">
        <f t="array" ref="G8">IFNA(XLOOKUP(S8,'⚙️ Pengaturan'!$H$5:$H371,'⚙️ Pengaturan'!$I$5:$I371),"")</f>
        <v>TIM A</v>
      </c>
      <c r="H8" s="109" t="s">
        <v>121</v>
      </c>
      <c r="I8" s="125" t="str">
        <f t="array" ref="I8">ifna(xlookup($H8,'🙎‍♂️ Pasien'!$G$7:$G371,'🙎‍♂️ Pasien'!$H$7:$H371),"")</f>
        <v>R9625100137</v>
      </c>
      <c r="J8" s="125" t="str">
        <f t="array" ref="J8">ifna(xlookup($H8,'🙎‍♂️ Pasien'!$G$7:$G371,'🙎‍♂️ Pasien'!$L$7:$L371),"")</f>
        <v>LAKI-LAKI</v>
      </c>
      <c r="K8" s="125">
        <f t="array" ref="K8">ifna(xlookup($H8,'🙎‍♂️ Pasien'!$G$7:$G371,'🙎‍♂️ Pasien'!$I$7:$I371),"")</f>
        <v>29</v>
      </c>
      <c r="L8" s="125" t="str">
        <f t="array" ref="L8">IFNA(xlookup(H8,'🙎‍♂️ Pasien'!$G$5:$G371,'🙎‍♂️ Pasien'!$J$5:$J371),"")</f>
        <v>25-34 tahun</v>
      </c>
      <c r="M8" s="125" t="str">
        <f t="array" ref="M8">IFNA(xlookup(H8,'🙎‍♂️ Pasien'!$G$5:$G371,'🙎‍♂️ Pasien'!$S$5:$S371),"")</f>
        <v>SWASTA</v>
      </c>
      <c r="N8" s="125" t="str">
        <f t="array" ref="N8">IFNA(XLOOKUP($H8,'🙎‍♂️ Pasien'!$G$7:$G371,'🙎‍♂️ Pasien'!$T$7:$T371),"")</f>
        <v>CEDERA DI LUTUT</v>
      </c>
      <c r="O8" s="16" t="s">
        <v>828</v>
      </c>
      <c r="P8" s="16" t="s">
        <v>836</v>
      </c>
      <c r="Q8" s="16" t="s">
        <v>29</v>
      </c>
      <c r="R8" s="16" t="s">
        <v>54</v>
      </c>
      <c r="S8" s="16" t="s">
        <v>72</v>
      </c>
      <c r="T8" s="16" t="s">
        <v>834</v>
      </c>
      <c r="U8" s="109" t="s">
        <v>837</v>
      </c>
      <c r="V8" s="126"/>
      <c r="W8" s="109"/>
      <c r="X8" s="109" t="str">
        <f t="array" ref="X8">IF(H8="","",XLOOKUP(H8,CATATANPELAYANAN[[#ALL],[NAMA PASIEN]],CATATANPELAYANAN[[#ALL],[LAYANAN]],"TIDAK CLOSING",0,-1))</f>
        <v>TERAPI AWAL</v>
      </c>
      <c r="Y8" s="109" t="str">
        <f t="shared" si="4"/>
        <v>TIDAK CLOSING</v>
      </c>
      <c r="Z8" s="127"/>
    </row>
    <row r="9" ht="22.5" customHeight="1">
      <c r="A9" s="122"/>
      <c r="B9" s="123">
        <v>45932.0</v>
      </c>
      <c r="C9" s="124" t="str">
        <f t="shared" si="1"/>
        <v>2025</v>
      </c>
      <c r="D9" s="124" t="str">
        <f t="shared" si="2"/>
        <v>10 Okt</v>
      </c>
      <c r="E9" s="124" t="str">
        <f t="shared" si="3"/>
        <v>Kam</v>
      </c>
      <c r="F9" s="16" t="s">
        <v>85</v>
      </c>
      <c r="G9" s="109" t="str">
        <f t="array" ref="G9">IFNA(XLOOKUP(S9,'⚙️ Pengaturan'!$H$5:$H371,'⚙️ Pengaturan'!$I$5:$I371),"")</f>
        <v>TIM A</v>
      </c>
      <c r="H9" s="109" t="s">
        <v>122</v>
      </c>
      <c r="I9" s="125" t="str">
        <f t="array" ref="I9">ifna(xlookup($H9,'🙎‍♂️ Pasien'!$G$7:$G371,'🙎‍♂️ Pasien'!$H$7:$H371),"")</f>
        <v>A0025068439</v>
      </c>
      <c r="J9" s="125" t="str">
        <f t="array" ref="J9">ifna(xlookup($H9,'🙎‍♂️ Pasien'!$G$7:$G371,'🙎‍♂️ Pasien'!$L$7:$L371),"")</f>
        <v>PEREMPUAN</v>
      </c>
      <c r="K9" s="125">
        <f t="array" ref="K9">ifna(xlookup($H9,'🙎‍♂️ Pasien'!$G$7:$G371,'🙎‍♂️ Pasien'!$I$7:$I371),"")</f>
        <v>25</v>
      </c>
      <c r="L9" s="125" t="str">
        <f t="array" ref="L9">IFNA(xlookup(H9,'🙎‍♂️ Pasien'!$G$5:$G371,'🙎‍♂️ Pasien'!$J$5:$J371),"")</f>
        <v>25-34 tahun</v>
      </c>
      <c r="M9" s="125" t="str">
        <f t="array" ref="M9">IFNA(xlookup(H9,'🙎‍♂️ Pasien'!$G$5:$G371,'🙎‍♂️ Pasien'!$S$5:$S371),"")</f>
        <v>PEKERJA LEPAS/ FREELANCE</v>
      </c>
      <c r="N9" s="125" t="str">
        <f t="array" ref="N9">IFNA(XLOOKUP($H9,'🙎‍♂️ Pasien'!$G$7:$G371,'🙎‍♂️ Pasien'!$T$7:$T371),"")</f>
        <v>LUTUT SAKIT KARENA SALAH SQUAD/ JONGKOK DI OLAHRAGA/ GYM.</v>
      </c>
      <c r="O9" s="16" t="s">
        <v>838</v>
      </c>
      <c r="P9" s="16" t="s">
        <v>839</v>
      </c>
      <c r="Q9" s="16" t="s">
        <v>28</v>
      </c>
      <c r="R9" s="16" t="s">
        <v>54</v>
      </c>
      <c r="S9" s="16" t="s">
        <v>62</v>
      </c>
      <c r="T9" s="16" t="s">
        <v>827</v>
      </c>
      <c r="U9" s="109"/>
      <c r="V9" s="126"/>
      <c r="W9" s="109"/>
      <c r="X9" s="109" t="str">
        <f t="array" ref="X9">IF(H9="","",XLOOKUP(H9,CATATANPELAYANAN[[#ALL],[NAMA PASIEN]],CATATANPELAYANAN[[#ALL],[LAYANAN]],"TIDAK CLOSING",0,-1))</f>
        <v>SESI TERAPI</v>
      </c>
      <c r="Y9" s="109" t="str">
        <f t="shared" si="4"/>
        <v>SESI</v>
      </c>
      <c r="Z9" s="127"/>
    </row>
    <row r="10" ht="22.5" customHeight="1">
      <c r="A10" s="122"/>
      <c r="B10" s="123">
        <v>45932.0</v>
      </c>
      <c r="C10" s="124" t="str">
        <f t="shared" si="1"/>
        <v>2025</v>
      </c>
      <c r="D10" s="124" t="str">
        <f t="shared" si="2"/>
        <v>10 Okt</v>
      </c>
      <c r="E10" s="124" t="str">
        <f t="shared" si="3"/>
        <v>Kam</v>
      </c>
      <c r="F10" s="16" t="s">
        <v>85</v>
      </c>
      <c r="G10" s="109" t="str">
        <f t="array" ref="G10">IFNA(XLOOKUP(S10,'⚙️ Pengaturan'!$H$5:$H371,'⚙️ Pengaturan'!$I$5:$I371),"")</f>
        <v>TIM A</v>
      </c>
      <c r="H10" s="109" t="s">
        <v>105</v>
      </c>
      <c r="I10" s="125" t="str">
        <f t="array" ref="I10">ifna(xlookup($H10,'🙎‍♂️ Pasien'!$G$7:$G371,'🙎‍♂️ Pasien'!$H$7:$H371),"")</f>
        <v>L8625105331</v>
      </c>
      <c r="J10" s="125" t="str">
        <f t="array" ref="J10">ifna(xlookup($H10,'🙎‍♂️ Pasien'!$G$7:$G371,'🙎‍♂️ Pasien'!$L$7:$L371),"")</f>
        <v>PEREMPUAN</v>
      </c>
      <c r="K10" s="125">
        <f t="array" ref="K10">ifna(xlookup($H10,'🙎‍♂️ Pasien'!$G$7:$G371,'🙎‍♂️ Pasien'!$I$7:$I371),"")</f>
        <v>39</v>
      </c>
      <c r="L10" s="125" t="str">
        <f t="array" ref="L10">IFNA(xlookup(H10,'🙎‍♂️ Pasien'!$G$5:$G371,'🙎‍♂️ Pasien'!$J$5:$J371),"")</f>
        <v>35-44 tahun</v>
      </c>
      <c r="M10" s="125" t="str">
        <f t="array" ref="M10">IFNA(xlookup(H10,'🙎‍♂️ Pasien'!$G$5:$G371,'🙎‍♂️ Pasien'!$S$5:$S371),"")</f>
        <v>SWASTA</v>
      </c>
      <c r="N10" s="125" t="str">
        <f t="array" ref="N10">IFNA(XLOOKUP($H10,'🙎‍♂️ Pasien'!$G$7:$G371,'🙎‍♂️ Pasien'!$T$7:$T371),"")</f>
        <v>BENUA MELAYU LAUT</v>
      </c>
      <c r="O10" s="16" t="s">
        <v>832</v>
      </c>
      <c r="P10" s="16" t="s">
        <v>836</v>
      </c>
      <c r="Q10" s="16" t="s">
        <v>29</v>
      </c>
      <c r="R10" s="16" t="s">
        <v>54</v>
      </c>
      <c r="S10" s="16" t="s">
        <v>62</v>
      </c>
      <c r="T10" s="16" t="s">
        <v>834</v>
      </c>
      <c r="U10" s="109" t="s">
        <v>840</v>
      </c>
      <c r="V10" s="126"/>
      <c r="W10" s="109"/>
      <c r="X10" s="109" t="str">
        <f t="array" ref="X10">IF(H10="","",XLOOKUP(H10,CATATANPELAYANAN[[#ALL],[NAMA PASIEN]],CATATANPELAYANAN[[#ALL],[LAYANAN]],"TIDAK CLOSING",0,-1))</f>
        <v>TERAPI AWAL</v>
      </c>
      <c r="Y10" s="109" t="str">
        <f t="shared" si="4"/>
        <v>TIDAK CLOSING</v>
      </c>
      <c r="Z10" s="127"/>
    </row>
    <row r="11" ht="22.5" customHeight="1">
      <c r="A11" s="128"/>
      <c r="B11" s="129">
        <v>45933.0</v>
      </c>
      <c r="C11" s="124" t="str">
        <f t="shared" si="1"/>
        <v>2025</v>
      </c>
      <c r="D11" s="124" t="str">
        <f t="shared" si="2"/>
        <v>10 Okt</v>
      </c>
      <c r="E11" s="124" t="str">
        <f t="shared" si="3"/>
        <v>Jum</v>
      </c>
      <c r="F11" s="130" t="s">
        <v>85</v>
      </c>
      <c r="G11" s="109" t="str">
        <f t="array" ref="G11">IFNA(XLOOKUP(S11,'⚙️ Pengaturan'!$H$5:$H371,'⚙️ Pengaturan'!$I$5:$I371),"")</f>
        <v>TIM Y</v>
      </c>
      <c r="H11" s="131" t="s">
        <v>841</v>
      </c>
      <c r="I11" s="132" t="str">
        <f t="array" ref="I11">ifna(xlookup($H11,'🙎‍♂️ Pasien'!$G$7:$G371,'🙎‍♂️ Pasien'!$H$7:$H371),"")</f>
        <v/>
      </c>
      <c r="J11" s="132" t="str">
        <f t="array" ref="J11">ifna(xlookup($H11,'🙎‍♂️ Pasien'!$G$7:$G371,'🙎‍♂️ Pasien'!$L$7:$L371),"")</f>
        <v/>
      </c>
      <c r="K11" s="132" t="str">
        <f t="array" ref="K11">ifna(xlookup($H11,'🙎‍♂️ Pasien'!$G$7:$G371,'🙎‍♂️ Pasien'!$I$7:$I371),"")</f>
        <v/>
      </c>
      <c r="L11" s="132" t="str">
        <f t="array" ref="L11">IFNA(xlookup(H11,'🙎‍♂️ Pasien'!$G$5:$G371,'🙎‍♂️ Pasien'!$J$5:$J371),"")</f>
        <v/>
      </c>
      <c r="M11" s="132" t="str">
        <f t="array" ref="M11">IFNA(xlookup(H11,'🙎‍♂️ Pasien'!$G$5:$G371,'🙎‍♂️ Pasien'!$S$5:$S371),"")</f>
        <v/>
      </c>
      <c r="N11" s="132" t="str">
        <f t="array" ref="N11">IFNA(XLOOKUP($H11,'🙎‍♂️ Pasien'!$G$7:$G371,'🙎‍♂️ Pasien'!$T$7:$T371),"")</f>
        <v/>
      </c>
      <c r="O11" s="130" t="s">
        <v>842</v>
      </c>
      <c r="P11" s="130" t="s">
        <v>836</v>
      </c>
      <c r="Q11" s="130" t="s">
        <v>29</v>
      </c>
      <c r="R11" s="130" t="s">
        <v>134</v>
      </c>
      <c r="S11" s="130" t="s">
        <v>56</v>
      </c>
      <c r="T11" s="130" t="s">
        <v>827</v>
      </c>
      <c r="U11" s="131" t="s">
        <v>143</v>
      </c>
      <c r="V11" s="133"/>
      <c r="W11" s="131"/>
      <c r="X11" s="109" t="str">
        <f t="array" ref="X11">IF(H11="","",XLOOKUP(H11,CATATANPELAYANAN[[#ALL],[NAMA PASIEN]],CATATANPELAYANAN[[#ALL],[LAYANAN]],"TIDAK CLOSING",0,-1))</f>
        <v>TIDAK CLOSING</v>
      </c>
      <c r="Y11" s="109" t="str">
        <f t="shared" si="4"/>
        <v>TIDAK CLOSING</v>
      </c>
      <c r="Z11" s="134"/>
    </row>
    <row r="12" ht="22.5" customHeight="1">
      <c r="A12" s="128"/>
      <c r="B12" s="129">
        <v>45933.0</v>
      </c>
      <c r="C12" s="124" t="str">
        <f t="shared" si="1"/>
        <v>2025</v>
      </c>
      <c r="D12" s="124" t="str">
        <f t="shared" si="2"/>
        <v>10 Okt</v>
      </c>
      <c r="E12" s="124" t="str">
        <f t="shared" si="3"/>
        <v>Jum</v>
      </c>
      <c r="F12" s="130" t="s">
        <v>85</v>
      </c>
      <c r="G12" s="109" t="str">
        <f t="array" ref="G12">IFNA(XLOOKUP(S12,'⚙️ Pengaturan'!$H$5:$H371,'⚙️ Pengaturan'!$I$5:$I371),"")</f>
        <v>TIM Y</v>
      </c>
      <c r="H12" s="131" t="s">
        <v>144</v>
      </c>
      <c r="I12" s="132" t="str">
        <f t="array" ref="I12">ifna(xlookup($H12,'🙎‍♂️ Pasien'!$G$7:$G371,'🙎‍♂️ Pasien'!$H$7:$H371),"")</f>
        <v>L2525104585</v>
      </c>
      <c r="J12" s="132" t="str">
        <f t="array" ref="J12">ifna(xlookup($H12,'🙎‍♂️ Pasien'!$G$7:$G371,'🙎‍♂️ Pasien'!$L$7:$L371),"")</f>
        <v>PEREMPUAN</v>
      </c>
      <c r="K12" s="132">
        <f t="array" ref="K12">ifna(xlookup($H12,'🙎‍♂️ Pasien'!$G$7:$G371,'🙎‍♂️ Pasien'!$I$7:$I371),"")</f>
        <v>0</v>
      </c>
      <c r="L12" s="132" t="str">
        <f t="array" ref="L12">IFNA(xlookup(H12,'🙎‍♂️ Pasien'!$G$5:$G371,'🙎‍♂️ Pasien'!$J$5:$J371),"")</f>
        <v>&lt; 18 tahun</v>
      </c>
      <c r="M12" s="132" t="str">
        <f t="array" ref="M12">IFNA(xlookup(H12,'🙎‍♂️ Pasien'!$G$5:$G371,'🙎‍♂️ Pasien'!$S$5:$S371),"")</f>
        <v>ANGGOTA DPRD KOTA PONTIANAK</v>
      </c>
      <c r="N12" s="132" t="str">
        <f t="array" ref="N12">IFNA(XLOOKUP($H12,'🙎‍♂️ Pasien'!$G$7:$G371,'🙎‍♂️ Pasien'!$T$7:$T371),"")</f>
        <v>CEDERA BAHU</v>
      </c>
      <c r="O12" s="130" t="s">
        <v>843</v>
      </c>
      <c r="P12" s="130" t="s">
        <v>839</v>
      </c>
      <c r="Q12" s="130" t="s">
        <v>29</v>
      </c>
      <c r="R12" s="130" t="s">
        <v>134</v>
      </c>
      <c r="S12" s="130" t="s">
        <v>56</v>
      </c>
      <c r="T12" s="130" t="s">
        <v>830</v>
      </c>
      <c r="U12" s="131"/>
      <c r="V12" s="133"/>
      <c r="W12" s="131"/>
      <c r="X12" s="109" t="str">
        <f t="array" ref="X12">IF(H12="","",XLOOKUP(H12,CATATANPELAYANAN[[#ALL],[NAMA PASIEN]],CATATANPELAYANAN[[#ALL],[LAYANAN]],"TIDAK CLOSING",0,-1))</f>
        <v>PAKET TERAPI</v>
      </c>
      <c r="Y12" s="109" t="str">
        <f t="shared" si="4"/>
        <v>PAKET</v>
      </c>
      <c r="Z12" s="134"/>
    </row>
    <row r="13" ht="22.5" customHeight="1">
      <c r="A13" s="128"/>
      <c r="B13" s="129">
        <v>45934.0</v>
      </c>
      <c r="C13" s="124" t="str">
        <f t="shared" si="1"/>
        <v>2025</v>
      </c>
      <c r="D13" s="124" t="str">
        <f t="shared" si="2"/>
        <v>10 Okt</v>
      </c>
      <c r="E13" s="124" t="str">
        <f t="shared" si="3"/>
        <v>Sab</v>
      </c>
      <c r="F13" s="130" t="s">
        <v>53</v>
      </c>
      <c r="G13" s="109" t="str">
        <f t="array" ref="G13">IFNA(XLOOKUP(S13,'⚙️ Pengaturan'!$H$5:$H371,'⚙️ Pengaturan'!$I$5:$I371),"")</f>
        <v>TIM Y</v>
      </c>
      <c r="H13" s="131" t="s">
        <v>152</v>
      </c>
      <c r="I13" s="132" t="str">
        <f t="array" ref="I13">ifna(xlookup($H13,'🙎‍♂️ Pasien'!$G$7:$G371,'🙎‍♂️ Pasien'!$H$7:$H371),"")</f>
        <v>O9424013019</v>
      </c>
      <c r="J13" s="132" t="str">
        <f t="array" ref="J13">ifna(xlookup($H13,'🙎‍♂️ Pasien'!$G$7:$G371,'🙎‍♂️ Pasien'!$L$7:$L371),"")</f>
        <v>LAKI-LAKI</v>
      </c>
      <c r="K13" s="132">
        <f t="array" ref="K13">ifna(xlookup($H13,'🙎‍♂️ Pasien'!$G$7:$G371,'🙎‍♂️ Pasien'!$I$7:$I371),"")</f>
        <v>31</v>
      </c>
      <c r="L13" s="132" t="str">
        <f t="array" ref="L13">IFNA(xlookup(H13,'🙎‍♂️ Pasien'!$G$5:$G371,'🙎‍♂️ Pasien'!$J$5:$J371),"")</f>
        <v>25-34 tahun</v>
      </c>
      <c r="M13" s="132" t="str">
        <f t="array" ref="M13">IFNA(xlookup(H13,'🙎‍♂️ Pasien'!$G$5:$G371,'🙎‍♂️ Pasien'!$S$5:$S371),"")</f>
        <v>BUMD</v>
      </c>
      <c r="N13" s="132" t="str">
        <f t="array" ref="N13">IFNA(XLOOKUP($H13,'🙎‍♂️ Pasien'!$G$7:$G371,'🙎‍♂️ Pasien'!$T$7:$T371),"")</f>
        <v>Ketarik sehabis long run</v>
      </c>
      <c r="O13" s="130" t="s">
        <v>844</v>
      </c>
      <c r="P13" s="130" t="s">
        <v>845</v>
      </c>
      <c r="Q13" s="130" t="s">
        <v>28</v>
      </c>
      <c r="R13" s="130" t="s">
        <v>54</v>
      </c>
      <c r="S13" s="130" t="s">
        <v>88</v>
      </c>
      <c r="T13" s="130" t="s">
        <v>834</v>
      </c>
      <c r="U13" s="131" t="s">
        <v>831</v>
      </c>
      <c r="V13" s="135"/>
      <c r="W13" s="131"/>
      <c r="X13" s="109" t="str">
        <f t="array" ref="X13">IF(H13="","",XLOOKUP(H13,CATATANPELAYANAN[[#ALL],[NAMA PASIEN]],CATATANPELAYANAN[[#ALL],[LAYANAN]],"TIDAK CLOSING",0,-1))</f>
        <v>TERAPI AWAL</v>
      </c>
      <c r="Y13" s="109" t="str">
        <f t="shared" si="4"/>
        <v>TIDAK CLOSING</v>
      </c>
      <c r="Z13" s="134"/>
    </row>
    <row r="14" ht="22.5" customHeight="1">
      <c r="A14" s="122"/>
      <c r="B14" s="129">
        <v>45934.0</v>
      </c>
      <c r="C14" s="124" t="str">
        <f t="shared" si="1"/>
        <v>2025</v>
      </c>
      <c r="D14" s="124" t="str">
        <f t="shared" si="2"/>
        <v>10 Okt</v>
      </c>
      <c r="E14" s="124" t="str">
        <f t="shared" si="3"/>
        <v>Sab</v>
      </c>
      <c r="F14" s="16" t="s">
        <v>85</v>
      </c>
      <c r="G14" s="109" t="str">
        <f t="array" ref="G14">IFNA(XLOOKUP(S14,'⚙️ Pengaturan'!$H$5:$H371,'⚙️ Pengaturan'!$I$5:$I371),"")</f>
        <v>TIM A</v>
      </c>
      <c r="H14" s="109" t="s">
        <v>846</v>
      </c>
      <c r="I14" s="125" t="str">
        <f t="array" ref="I14">ifna(xlookup($H14,'🙎‍♂️ Pasien'!$G$7:$G371,'🙎‍♂️ Pasien'!$H$7:$H371),"")</f>
        <v/>
      </c>
      <c r="J14" s="125" t="str">
        <f t="array" ref="J14">ifna(xlookup($H14,'🙎‍♂️ Pasien'!$G$7:$G371,'🙎‍♂️ Pasien'!$L$7:$L371),"")</f>
        <v/>
      </c>
      <c r="K14" s="125" t="str">
        <f t="array" ref="K14">ifna(xlookup($H14,'🙎‍♂️ Pasien'!$G$7:$G371,'🙎‍♂️ Pasien'!$I$7:$I371),"")</f>
        <v/>
      </c>
      <c r="L14" s="125" t="str">
        <f t="array" ref="L14">IFNA(xlookup(H14,'🙎‍♂️ Pasien'!$G$5:$G371,'🙎‍♂️ Pasien'!$J$5:$J371),"")</f>
        <v/>
      </c>
      <c r="M14" s="125" t="str">
        <f t="array" ref="M14">IFNA(xlookup(H14,'🙎‍♂️ Pasien'!$G$5:$G371,'🙎‍♂️ Pasien'!$S$5:$S371),"")</f>
        <v/>
      </c>
      <c r="N14" s="125" t="str">
        <f t="array" ref="N14">IFNA(XLOOKUP($H14,'🙎‍♂️ Pasien'!$G$7:$G371,'🙎‍♂️ Pasien'!$T$7:$T371),"")</f>
        <v/>
      </c>
      <c r="O14" s="16" t="s">
        <v>847</v>
      </c>
      <c r="P14" s="16" t="s">
        <v>848</v>
      </c>
      <c r="Q14" s="16" t="s">
        <v>29</v>
      </c>
      <c r="R14" s="16" t="s">
        <v>86</v>
      </c>
      <c r="S14" s="16" t="s">
        <v>72</v>
      </c>
      <c r="T14" s="16" t="s">
        <v>827</v>
      </c>
      <c r="U14" s="109"/>
      <c r="V14" s="126"/>
      <c r="W14" s="109"/>
      <c r="X14" s="109" t="str">
        <f t="array" ref="X14">IF(H14="","",XLOOKUP(H14,CATATANPELAYANAN[[#ALL],[NAMA PASIEN]],CATATANPELAYANAN[[#ALL],[LAYANAN]],"TIDAK CLOSING",0,-1))</f>
        <v>TIDAK CLOSING</v>
      </c>
      <c r="Y14" s="109" t="str">
        <f t="shared" si="4"/>
        <v>TIDAK CLOSING</v>
      </c>
      <c r="Z14" s="127"/>
    </row>
    <row r="15" ht="22.5" customHeight="1">
      <c r="A15" s="122"/>
      <c r="B15" s="129">
        <v>45934.0</v>
      </c>
      <c r="C15" s="124" t="str">
        <f t="shared" si="1"/>
        <v>2025</v>
      </c>
      <c r="D15" s="124" t="str">
        <f t="shared" si="2"/>
        <v>10 Okt</v>
      </c>
      <c r="E15" s="124" t="str">
        <f t="shared" si="3"/>
        <v>Sab</v>
      </c>
      <c r="F15" s="16" t="s">
        <v>85</v>
      </c>
      <c r="G15" s="109" t="str">
        <f t="array" ref="G15">IFNA(XLOOKUP(S15,'⚙️ Pengaturan'!$H$5:$H371,'⚙️ Pengaturan'!$I$5:$I371),"")</f>
        <v>TIM Y</v>
      </c>
      <c r="H15" s="109" t="s">
        <v>190</v>
      </c>
      <c r="I15" s="125" t="str">
        <f t="array" ref="I15">ifna(xlookup($H15,'🙎‍♂️ Pasien'!$G$7:$G371,'🙎‍♂️ Pasien'!$H$7:$H371),"")</f>
        <v>A9025108786</v>
      </c>
      <c r="J15" s="125" t="str">
        <f t="array" ref="J15">ifna(xlookup($H15,'🙎‍♂️ Pasien'!$G$7:$G371,'🙎‍♂️ Pasien'!$L$7:$L371),"")</f>
        <v>LAKI-LAKI</v>
      </c>
      <c r="K15" s="125">
        <f t="array" ref="K15">ifna(xlookup($H15,'🙎‍♂️ Pasien'!$G$7:$G371,'🙎‍♂️ Pasien'!$I$7:$I371),"")</f>
        <v>35</v>
      </c>
      <c r="L15" s="125" t="str">
        <f t="array" ref="L15">IFNA(xlookup(H15,'🙎‍♂️ Pasien'!$G$5:$G371,'🙎‍♂️ Pasien'!$J$5:$J371),"")</f>
        <v>35-44 tahun</v>
      </c>
      <c r="M15" s="125" t="str">
        <f t="array" ref="M15">IFNA(xlookup(H15,'🙎‍♂️ Pasien'!$G$5:$G371,'🙎‍♂️ Pasien'!$S$5:$S371),"")</f>
        <v>WIRASWASTA</v>
      </c>
      <c r="N15" s="125" t="str">
        <f t="array" ref="N15">IFNA(XLOOKUP($H15,'🙎‍♂️ Pasien'!$G$7:$G371,'🙎‍♂️ Pasien'!$T$7:$T371),"")</f>
        <v>KESELEO PADA BAGIAN LUTUT</v>
      </c>
      <c r="O15" s="16" t="s">
        <v>842</v>
      </c>
      <c r="P15" s="16" t="s">
        <v>836</v>
      </c>
      <c r="Q15" s="16" t="s">
        <v>29</v>
      </c>
      <c r="R15" s="16" t="s">
        <v>86</v>
      </c>
      <c r="S15" s="16" t="s">
        <v>56</v>
      </c>
      <c r="T15" s="16" t="s">
        <v>830</v>
      </c>
      <c r="U15" s="109"/>
      <c r="V15" s="126"/>
      <c r="W15" s="109"/>
      <c r="X15" s="109" t="str">
        <f t="array" ref="X15">IF(H15="","",XLOOKUP(H15,CATATANPELAYANAN[[#ALL],[NAMA PASIEN]],CATATANPELAYANAN[[#ALL],[LAYANAN]],"TIDAK CLOSING",0,-1))</f>
        <v>PAKET TERAPI</v>
      </c>
      <c r="Y15" s="109" t="str">
        <f t="shared" si="4"/>
        <v>PAKET</v>
      </c>
      <c r="Z15" s="127"/>
    </row>
    <row r="16" ht="22.5" customHeight="1">
      <c r="A16" s="122"/>
      <c r="B16" s="129">
        <v>45934.0</v>
      </c>
      <c r="C16" s="124" t="str">
        <f t="shared" si="1"/>
        <v>2025</v>
      </c>
      <c r="D16" s="124" t="str">
        <f t="shared" si="2"/>
        <v>10 Okt</v>
      </c>
      <c r="E16" s="124" t="str">
        <f t="shared" si="3"/>
        <v>Sab</v>
      </c>
      <c r="F16" s="16" t="s">
        <v>85</v>
      </c>
      <c r="G16" s="109" t="str">
        <f t="array" ref="G16">IFNA(XLOOKUP(S16,'⚙️ Pengaturan'!$H$5:$H371,'⚙️ Pengaturan'!$I$5:$I371),"")</f>
        <v>TIM A</v>
      </c>
      <c r="H16" s="109" t="s">
        <v>211</v>
      </c>
      <c r="I16" s="125" t="str">
        <f t="array" ref="I16">ifna(xlookup($H16,'🙎‍♂️ Pasien'!$G$7:$G371,'🙎‍♂️ Pasien'!$H$7:$H371),"")</f>
        <v>R7325101626</v>
      </c>
      <c r="J16" s="125" t="str">
        <f t="array" ref="J16">ifna(xlookup($H16,'🙎‍♂️ Pasien'!$G$7:$G371,'🙎‍♂️ Pasien'!$L$7:$L371),"")</f>
        <v>PEREMPUAN</v>
      </c>
      <c r="K16" s="125">
        <f t="array" ref="K16">ifna(xlookup($H16,'🙎‍♂️ Pasien'!$G$7:$G371,'🙎‍♂️ Pasien'!$I$7:$I371),"")</f>
        <v>52</v>
      </c>
      <c r="L16" s="125" t="str">
        <f t="array" ref="L16">IFNA(xlookup(H16,'🙎‍♂️ Pasien'!$G$5:$G371,'🙎‍♂️ Pasien'!$J$5:$J371),"")</f>
        <v>&gt; 44 tahun</v>
      </c>
      <c r="M16" s="125" t="str">
        <f t="array" ref="M16">IFNA(xlookup(H16,'🙎‍♂️ Pasien'!$G$5:$G371,'🙎‍♂️ Pasien'!$S$5:$S371),"")</f>
        <v>IRT</v>
      </c>
      <c r="N16" s="125" t="str">
        <f t="array" ref="N16">IFNA(XLOOKUP($H16,'🙎‍♂️ Pasien'!$G$7:$G371,'🙎‍♂️ Pasien'!$T$7:$T371),"")</f>
        <v>SAKIT PADA TELAPAK KAKI</v>
      </c>
      <c r="O16" s="16" t="s">
        <v>849</v>
      </c>
      <c r="P16" s="16" t="s">
        <v>833</v>
      </c>
      <c r="Q16" s="16" t="s">
        <v>29</v>
      </c>
      <c r="R16" s="16" t="s">
        <v>86</v>
      </c>
      <c r="S16" s="16" t="s">
        <v>79</v>
      </c>
      <c r="T16" s="16" t="s">
        <v>830</v>
      </c>
      <c r="U16" s="109"/>
      <c r="V16" s="126"/>
      <c r="W16" s="109"/>
      <c r="X16" s="109" t="str">
        <f t="array" ref="X16">IF(H16="","",XLOOKUP(H16,CATATANPELAYANAN[[#ALL],[NAMA PASIEN]],CATATANPELAYANAN[[#ALL],[LAYANAN]],"TIDAK CLOSING",0,-1))</f>
        <v>PAKET TERAPI</v>
      </c>
      <c r="Y16" s="109" t="str">
        <f t="shared" si="4"/>
        <v>PAKET</v>
      </c>
      <c r="Z16" s="127"/>
    </row>
    <row r="17" ht="22.5" customHeight="1">
      <c r="A17" s="122"/>
      <c r="B17" s="129">
        <v>45935.0</v>
      </c>
      <c r="C17" s="124" t="str">
        <f t="shared" si="1"/>
        <v>2025</v>
      </c>
      <c r="D17" s="124" t="str">
        <f t="shared" si="2"/>
        <v>10 Okt</v>
      </c>
      <c r="E17" s="124" t="str">
        <f t="shared" si="3"/>
        <v>Min</v>
      </c>
      <c r="F17" s="16" t="s">
        <v>53</v>
      </c>
      <c r="G17" s="109" t="str">
        <f t="array" ref="G17">IFNA(XLOOKUP(S17,'⚙️ Pengaturan'!$H$5:$H371,'⚙️ Pengaturan'!$I$5:$I371),"")</f>
        <v>TIM A</v>
      </c>
      <c r="H17" s="109" t="s">
        <v>164</v>
      </c>
      <c r="I17" s="125" t="str">
        <f t="array" ref="I17">ifna(xlookup($H17,'🙎‍♂️ Pasien'!$G$7:$G371,'🙎‍♂️ Pasien'!$H$7:$H371),"")</f>
        <v>T6625103145</v>
      </c>
      <c r="J17" s="125" t="str">
        <f t="array" ref="J17">ifna(xlookup($H17,'🙎‍♂️ Pasien'!$G$7:$G371,'🙎‍♂️ Pasien'!$L$7:$L371),"")</f>
        <v>PEREMPUAN</v>
      </c>
      <c r="K17" s="125">
        <f t="array" ref="K17">ifna(xlookup($H17,'🙎‍♂️ Pasien'!$G$7:$G371,'🙎‍♂️ Pasien'!$I$7:$I371),"")</f>
        <v>59</v>
      </c>
      <c r="L17" s="125" t="str">
        <f t="array" ref="L17">IFNA(xlookup(H17,'🙎‍♂️ Pasien'!$G$5:$G371,'🙎‍♂️ Pasien'!$J$5:$J371),"")</f>
        <v>&gt; 44 tahun</v>
      </c>
      <c r="M17" s="125" t="str">
        <f t="array" ref="M17">IFNA(xlookup(H17,'🙎‍♂️ Pasien'!$G$5:$G371,'🙎‍♂️ Pasien'!$S$5:$S371),"")</f>
        <v>PNS</v>
      </c>
      <c r="N17" s="125" t="str">
        <f t="array" ref="N17">IFNA(XLOOKUP($H17,'🙎‍♂️ Pasien'!$G$7:$G371,'🙎‍♂️ Pasien'!$T$7:$T371),"")</f>
        <v>LEHER</v>
      </c>
      <c r="O17" s="16" t="s">
        <v>850</v>
      </c>
      <c r="P17" s="16" t="s">
        <v>851</v>
      </c>
      <c r="Q17" s="16" t="s">
        <v>29</v>
      </c>
      <c r="R17" s="16" t="s">
        <v>86</v>
      </c>
      <c r="S17" s="16" t="s">
        <v>62</v>
      </c>
      <c r="T17" s="16" t="s">
        <v>834</v>
      </c>
      <c r="U17" s="131" t="s">
        <v>831</v>
      </c>
      <c r="V17" s="126"/>
      <c r="W17" s="109"/>
      <c r="X17" s="109" t="str">
        <f t="array" ref="X17">IF(H17="","",XLOOKUP(H17,CATATANPELAYANAN[[#ALL],[NAMA PASIEN]],CATATANPELAYANAN[[#ALL],[LAYANAN]],"TIDAK CLOSING",0,-1))</f>
        <v>TERAPI AWAL</v>
      </c>
      <c r="Y17" s="109" t="str">
        <f t="shared" si="4"/>
        <v>TIDAK CLOSING</v>
      </c>
      <c r="Z17" s="127"/>
    </row>
    <row r="18" ht="22.5" customHeight="1">
      <c r="A18" s="122"/>
      <c r="B18" s="123">
        <v>45936.0</v>
      </c>
      <c r="C18" s="124" t="str">
        <f t="shared" si="1"/>
        <v>2025</v>
      </c>
      <c r="D18" s="124" t="str">
        <f t="shared" si="2"/>
        <v>10 Okt</v>
      </c>
      <c r="E18" s="124" t="str">
        <f t="shared" si="3"/>
        <v>Sen</v>
      </c>
      <c r="F18" s="16" t="s">
        <v>53</v>
      </c>
      <c r="G18" s="109" t="str">
        <f t="array" ref="G18">IFNA(XLOOKUP(S18,'⚙️ Pengaturan'!$H$5:$H371,'⚙️ Pengaturan'!$I$5:$I371),"")</f>
        <v>TIM Y</v>
      </c>
      <c r="H18" s="109" t="s">
        <v>852</v>
      </c>
      <c r="I18" s="125" t="str">
        <f t="array" ref="I18">ifna(xlookup($H18,'🙎‍♂️ Pasien'!$G$7:$G371,'🙎‍♂️ Pasien'!$H$7:$H371),"")</f>
        <v/>
      </c>
      <c r="J18" s="125" t="str">
        <f t="array" ref="J18">ifna(xlookup($H18,'🙎‍♂️ Pasien'!$G$7:$G371,'🙎‍♂️ Pasien'!$L$7:$L371),"")</f>
        <v/>
      </c>
      <c r="K18" s="125" t="str">
        <f t="array" ref="K18">ifna(xlookup($H18,'🙎‍♂️ Pasien'!$G$7:$G371,'🙎‍♂️ Pasien'!$I$7:$I371),"")</f>
        <v/>
      </c>
      <c r="L18" s="125" t="str">
        <f t="array" ref="L18">IFNA(xlookup(H18,'🙎‍♂️ Pasien'!$G$5:$G371,'🙎‍♂️ Pasien'!$J$5:$J371),"")</f>
        <v/>
      </c>
      <c r="M18" s="125" t="str">
        <f t="array" ref="M18">IFNA(xlookup(H18,'🙎‍♂️ Pasien'!$G$5:$G371,'🙎‍♂️ Pasien'!$S$5:$S371),"")</f>
        <v/>
      </c>
      <c r="N18" s="125" t="str">
        <f t="array" ref="N18">IFNA(XLOOKUP($H18,'🙎‍♂️ Pasien'!$G$7:$G371,'🙎‍♂️ Pasien'!$T$7:$T371),"")</f>
        <v/>
      </c>
      <c r="O18" s="16" t="s">
        <v>853</v>
      </c>
      <c r="P18" s="16" t="s">
        <v>826</v>
      </c>
      <c r="Q18" s="16" t="s">
        <v>29</v>
      </c>
      <c r="R18" s="16" t="s">
        <v>54</v>
      </c>
      <c r="S18" s="16" t="s">
        <v>107</v>
      </c>
      <c r="T18" s="16" t="s">
        <v>830</v>
      </c>
      <c r="U18" s="109"/>
      <c r="V18" s="126"/>
      <c r="W18" s="109"/>
      <c r="X18" s="109" t="str">
        <f t="array" ref="X18">IF(H18="","",XLOOKUP(H18,CATATANPELAYANAN[[#ALL],[NAMA PASIEN]],CATATANPELAYANAN[[#ALL],[LAYANAN]],"TIDAK CLOSING",0,-1))</f>
        <v>TIDAK CLOSING</v>
      </c>
      <c r="Y18" s="109" t="str">
        <f t="shared" si="4"/>
        <v>TIDAK CLOSING</v>
      </c>
      <c r="Z18" s="127"/>
    </row>
    <row r="19" ht="22.5" customHeight="1">
      <c r="A19" s="122"/>
      <c r="B19" s="123">
        <v>45936.0</v>
      </c>
      <c r="C19" s="124" t="str">
        <f t="shared" si="1"/>
        <v>2025</v>
      </c>
      <c r="D19" s="124" t="str">
        <f t="shared" si="2"/>
        <v>10 Okt</v>
      </c>
      <c r="E19" s="124" t="str">
        <f t="shared" si="3"/>
        <v>Sen</v>
      </c>
      <c r="F19" s="16" t="s">
        <v>53</v>
      </c>
      <c r="G19" s="109" t="str">
        <f t="array" ref="G19">IFNA(XLOOKUP(S19,'⚙️ Pengaturan'!$H$5:$H371,'⚙️ Pengaturan'!$I$5:$I371),"")</f>
        <v>TIM Y</v>
      </c>
      <c r="H19" s="109" t="s">
        <v>259</v>
      </c>
      <c r="I19" s="125" t="str">
        <f t="array" ref="I19">ifna(xlookup($H19,'🙎‍♂️ Pasien'!$G$7:$G371,'🙎‍♂️ Pasien'!$H$7:$H371),"")</f>
        <v>D8625106969</v>
      </c>
      <c r="J19" s="125" t="str">
        <f t="array" ref="J19">ifna(xlookup($H19,'🙎‍♂️ Pasien'!$G$7:$G371,'🙎‍♂️ Pasien'!$L$7:$L371),"")</f>
        <v>PEREMPUAN</v>
      </c>
      <c r="K19" s="125">
        <f t="array" ref="K19">ifna(xlookup($H19,'🙎‍♂️ Pasien'!$G$7:$G371,'🙎‍♂️ Pasien'!$I$7:$I371),"")</f>
        <v>39</v>
      </c>
      <c r="L19" s="125" t="str">
        <f t="array" ref="L19">IFNA(xlookup(H19,'🙎‍♂️ Pasien'!$G$5:$G371,'🙎‍♂️ Pasien'!$J$5:$J371),"")</f>
        <v>35-44 tahun</v>
      </c>
      <c r="M19" s="125" t="str">
        <f t="array" ref="M19">IFNA(xlookup(H19,'🙎‍♂️ Pasien'!$G$5:$G371,'🙎‍♂️ Pasien'!$S$5:$S371),"")</f>
        <v>PNS</v>
      </c>
      <c r="N19" s="125" t="str">
        <f t="array" ref="N19">IFNA(XLOOKUP($H19,'🙎‍♂️ Pasien'!$G$7:$G371,'🙎‍♂️ Pasien'!$T$7:$T371),"")</f>
        <v>LUTUT DAN LENGAN KAKU</v>
      </c>
      <c r="O19" s="16" t="s">
        <v>854</v>
      </c>
      <c r="P19" s="16" t="s">
        <v>836</v>
      </c>
      <c r="Q19" s="16" t="s">
        <v>29</v>
      </c>
      <c r="R19" s="16" t="s">
        <v>54</v>
      </c>
      <c r="S19" s="16" t="s">
        <v>107</v>
      </c>
      <c r="T19" s="16" t="s">
        <v>830</v>
      </c>
      <c r="U19" s="109"/>
      <c r="V19" s="126"/>
      <c r="W19" s="109"/>
      <c r="X19" s="109" t="str">
        <f t="array" ref="X19">IF(H19="","",XLOOKUP(H19,CATATANPELAYANAN[[#ALL],[NAMA PASIEN]],CATATANPELAYANAN[[#ALL],[LAYANAN]],"TIDAK CLOSING",0,-1))</f>
        <v>PAKET TERAPI</v>
      </c>
      <c r="Y19" s="109" t="str">
        <f t="shared" si="4"/>
        <v>PAKET</v>
      </c>
      <c r="Z19" s="127"/>
    </row>
    <row r="20" ht="22.5" customHeight="1">
      <c r="A20" s="122"/>
      <c r="B20" s="123">
        <v>45936.0</v>
      </c>
      <c r="C20" s="124" t="str">
        <f t="shared" si="1"/>
        <v>2025</v>
      </c>
      <c r="D20" s="124" t="str">
        <f t="shared" si="2"/>
        <v>10 Okt</v>
      </c>
      <c r="E20" s="124" t="str">
        <f t="shared" si="3"/>
        <v>Sen</v>
      </c>
      <c r="F20" s="16" t="s">
        <v>53</v>
      </c>
      <c r="G20" s="109" t="str">
        <f t="array" ref="G20">IFNA(XLOOKUP(S20,'⚙️ Pengaturan'!$H$5:$H371,'⚙️ Pengaturan'!$I$5:$I371),"")</f>
        <v>TIM Y</v>
      </c>
      <c r="H20" s="109" t="s">
        <v>855</v>
      </c>
      <c r="I20" s="125" t="str">
        <f t="array" ref="I20">ifna(xlookup($H20,'🙎‍♂️ Pasien'!$G$7:$G371,'🙎‍♂️ Pasien'!$H$7:$H371),"")</f>
        <v>M1125104945</v>
      </c>
      <c r="J20" s="125" t="str">
        <f t="array" ref="J20">ifna(xlookup($H20,'🙎‍♂️ Pasien'!$G$7:$G371,'🙎‍♂️ Pasien'!$L$7:$L371),"")</f>
        <v>LAKI-LAKI</v>
      </c>
      <c r="K20" s="125">
        <f t="array" ref="K20">ifna(xlookup($H20,'🙎‍♂️ Pasien'!$G$7:$G371,'🙎‍♂️ Pasien'!$I$7:$I371),"")</f>
        <v>15</v>
      </c>
      <c r="L20" s="125" t="str">
        <f t="array" ref="L20">IFNA(xlookup(H20,'🙎‍♂️ Pasien'!$G$5:$G371,'🙎‍♂️ Pasien'!$J$5:$J371),"")</f>
        <v>&lt; 18 tahun</v>
      </c>
      <c r="M20" s="125" t="str">
        <f t="array" ref="M20">IFNA(xlookup(H20,'🙎‍♂️ Pasien'!$G$5:$G371,'🙎‍♂️ Pasien'!$S$5:$S371),"")</f>
        <v>PELAJAR</v>
      </c>
      <c r="N20" s="125" t="str">
        <f t="array" ref="N20">IFNA(XLOOKUP($H20,'🙎‍♂️ Pasien'!$G$7:$G371,'🙎‍♂️ Pasien'!$T$7:$T371),"")</f>
        <v>SAKIT LENGAN KANAN DAN KIRI</v>
      </c>
      <c r="O20" s="16" t="s">
        <v>856</v>
      </c>
      <c r="P20" s="16" t="s">
        <v>857</v>
      </c>
      <c r="Q20" s="16" t="s">
        <v>29</v>
      </c>
      <c r="R20" s="16" t="s">
        <v>54</v>
      </c>
      <c r="S20" s="16" t="s">
        <v>91</v>
      </c>
      <c r="T20" s="16" t="s">
        <v>834</v>
      </c>
      <c r="U20" s="131" t="s">
        <v>831</v>
      </c>
      <c r="V20" s="126"/>
      <c r="W20" s="109"/>
      <c r="X20" s="109" t="str">
        <f t="array" ref="X20">IF(H20="","",XLOOKUP(H20,CATATANPELAYANAN[[#ALL],[NAMA PASIEN]],CATATANPELAYANAN[[#ALL],[LAYANAN]],"TIDAK CLOSING",0,-1))</f>
        <v>TIDAK CLOSING</v>
      </c>
      <c r="Y20" s="109" t="str">
        <f t="shared" si="4"/>
        <v>TIDAK CLOSING</v>
      </c>
      <c r="Z20" s="127"/>
    </row>
    <row r="21" ht="22.5" customHeight="1">
      <c r="A21" s="122"/>
      <c r="B21" s="123">
        <v>45936.0</v>
      </c>
      <c r="C21" s="124" t="str">
        <f t="shared" si="1"/>
        <v>2025</v>
      </c>
      <c r="D21" s="124" t="str">
        <f t="shared" si="2"/>
        <v>10 Okt</v>
      </c>
      <c r="E21" s="124" t="str">
        <f t="shared" si="3"/>
        <v>Sen</v>
      </c>
      <c r="F21" s="16" t="s">
        <v>53</v>
      </c>
      <c r="G21" s="109" t="str">
        <f t="array" ref="G21">IFNA(XLOOKUP(S21,'⚙️ Pengaturan'!$H$5:$H371,'⚙️ Pengaturan'!$I$5:$I371),"")</f>
        <v>TIM Y</v>
      </c>
      <c r="H21" s="109" t="s">
        <v>173</v>
      </c>
      <c r="I21" s="125" t="str">
        <f t="array" ref="I21">ifna(xlookup($H21,'🙎‍♂️ Pasien'!$G$7:$G371,'🙎‍♂️ Pasien'!$H$7:$H371),"")</f>
        <v>E8025071596</v>
      </c>
      <c r="J21" s="125" t="str">
        <f t="array" ref="J21">ifna(xlookup($H21,'🙎‍♂️ Pasien'!$G$7:$G371,'🙎‍♂️ Pasien'!$L$7:$L371),"")</f>
        <v>PEREMPUAN</v>
      </c>
      <c r="K21" s="125">
        <f t="array" ref="K21">ifna(xlookup($H21,'🙎‍♂️ Pasien'!$G$7:$G371,'🙎‍♂️ Pasien'!$I$7:$I371),"")</f>
        <v>45</v>
      </c>
      <c r="L21" s="125" t="str">
        <f t="array" ref="L21">IFNA(xlookup(H21,'🙎‍♂️ Pasien'!$G$5:$G371,'🙎‍♂️ Pasien'!$J$5:$J371),"")</f>
        <v>&gt; 44 tahun</v>
      </c>
      <c r="M21" s="125" t="str">
        <f t="array" ref="M21">IFNA(xlookup(H21,'🙎‍♂️ Pasien'!$G$5:$G371,'🙎‍♂️ Pasien'!$S$5:$S371),"")</f>
        <v>IBU RUMAH TANGGA</v>
      </c>
      <c r="N21" s="125" t="str">
        <f t="array" ref="N21">IFNA(XLOOKUP($H21,'🙎‍♂️ Pasien'!$G$7:$G371,'🙎‍♂️ Pasien'!$T$7:$T371),"")</f>
        <v>TULANG PUNGGU BAGIAN BAWAH SAKIT</v>
      </c>
      <c r="O21" s="16" t="s">
        <v>858</v>
      </c>
      <c r="P21" s="16" t="s">
        <v>839</v>
      </c>
      <c r="Q21" s="16" t="s">
        <v>29</v>
      </c>
      <c r="R21" s="16" t="s">
        <v>54</v>
      </c>
      <c r="S21" s="16" t="s">
        <v>91</v>
      </c>
      <c r="T21" s="16" t="s">
        <v>827</v>
      </c>
      <c r="U21" s="109"/>
      <c r="V21" s="126"/>
      <c r="W21" s="109"/>
      <c r="X21" s="109" t="str">
        <f t="array" ref="X21">IF(H21="","",XLOOKUP(H21,CATATANPELAYANAN[[#ALL],[NAMA PASIEN]],CATATANPELAYANAN[[#ALL],[LAYANAN]],"TIDAK CLOSING",0,-1))</f>
        <v>SESI TERAPI</v>
      </c>
      <c r="Y21" s="109" t="str">
        <f t="shared" si="4"/>
        <v>SESI</v>
      </c>
      <c r="Z21" s="127"/>
    </row>
    <row r="22" ht="22.5" customHeight="1">
      <c r="A22" s="122"/>
      <c r="B22" s="123">
        <v>45936.0</v>
      </c>
      <c r="C22" s="124" t="str">
        <f t="shared" si="1"/>
        <v>2025</v>
      </c>
      <c r="D22" s="124" t="str">
        <f t="shared" si="2"/>
        <v>10 Okt</v>
      </c>
      <c r="E22" s="124" t="str">
        <f t="shared" si="3"/>
        <v>Sen</v>
      </c>
      <c r="F22" s="16" t="s">
        <v>53</v>
      </c>
      <c r="G22" s="109" t="str">
        <f t="array" ref="G22">IFNA(XLOOKUP(S22,'⚙️ Pengaturan'!$H$5:$H371,'⚙️ Pengaturan'!$I$5:$I371),"")</f>
        <v>TIM Y</v>
      </c>
      <c r="H22" s="109" t="s">
        <v>859</v>
      </c>
      <c r="I22" s="125" t="str">
        <f t="array" ref="I22">ifna(xlookup($H22,'🙎‍♂️ Pasien'!$G$7:$G371,'🙎‍♂️ Pasien'!$H$7:$H371),"")</f>
        <v>R2525109524</v>
      </c>
      <c r="J22" s="125" t="str">
        <f t="array" ref="J22">ifna(xlookup($H22,'🙎‍♂️ Pasien'!$G$7:$G371,'🙎‍♂️ Pasien'!$L$7:$L371),"")</f>
        <v>PEREMPUAN</v>
      </c>
      <c r="K22" s="125">
        <f t="array" ref="K22">ifna(xlookup($H22,'🙎‍♂️ Pasien'!$G$7:$G371,'🙎‍♂️ Pasien'!$I$7:$I371),"")</f>
        <v>1</v>
      </c>
      <c r="L22" s="125" t="str">
        <f t="array" ref="L22">IFNA(xlookup(H22,'🙎‍♂️ Pasien'!$G$5:$G371,'🙎‍♂️ Pasien'!$J$5:$J371),"")</f>
        <v>&lt; 18 tahun</v>
      </c>
      <c r="M22" s="125" t="str">
        <f t="array" ref="M22">IFNA(xlookup(H22,'🙎‍♂️ Pasien'!$G$5:$G371,'🙎‍♂️ Pasien'!$S$5:$S371),"")</f>
        <v>SWASTA</v>
      </c>
      <c r="N22" s="125" t="str">
        <f t="array" ref="N22">IFNA(XLOOKUP($H22,'🙎‍♂️ Pasien'!$G$7:$G371,'🙎‍♂️ Pasien'!$T$7:$T371),"")</f>
        <v>SAKIT PINGGANG SAMPAI KE KAKI</v>
      </c>
      <c r="O22" s="16" t="s">
        <v>825</v>
      </c>
      <c r="P22" s="16" t="s">
        <v>826</v>
      </c>
      <c r="Q22" s="16" t="s">
        <v>29</v>
      </c>
      <c r="R22" s="16" t="s">
        <v>54</v>
      </c>
      <c r="S22" s="16" t="s">
        <v>107</v>
      </c>
      <c r="T22" s="16" t="s">
        <v>827</v>
      </c>
      <c r="U22" s="109"/>
      <c r="V22" s="126"/>
      <c r="W22" s="109"/>
      <c r="X22" s="109" t="str">
        <f t="array" ref="X22">IF(H22="","",XLOOKUP(H22,CATATANPELAYANAN[[#ALL],[NAMA PASIEN]],CATATANPELAYANAN[[#ALL],[LAYANAN]],"TIDAK CLOSING",0,-1))</f>
        <v>TIDAK CLOSING</v>
      </c>
      <c r="Y22" s="109" t="str">
        <f t="shared" si="4"/>
        <v>TIDAK CLOSING</v>
      </c>
      <c r="Z22" s="127"/>
    </row>
    <row r="23" ht="22.5" customHeight="1">
      <c r="A23" s="122"/>
      <c r="B23" s="123">
        <v>45936.0</v>
      </c>
      <c r="C23" s="124" t="str">
        <f t="shared" si="1"/>
        <v>2025</v>
      </c>
      <c r="D23" s="124" t="str">
        <f t="shared" si="2"/>
        <v>10 Okt</v>
      </c>
      <c r="E23" s="124" t="str">
        <f t="shared" si="3"/>
        <v>Sen</v>
      </c>
      <c r="F23" s="16" t="s">
        <v>85</v>
      </c>
      <c r="G23" s="109" t="str">
        <f t="array" ref="G23">IFNA(XLOOKUP(S23,'⚙️ Pengaturan'!$H$5:$H371,'⚙️ Pengaturan'!$I$5:$I371),"")</f>
        <v>TIM A</v>
      </c>
      <c r="H23" s="109" t="s">
        <v>860</v>
      </c>
      <c r="I23" s="125" t="str">
        <f t="array" ref="I23">ifna(xlookup($H23,'🙎‍♂️ Pasien'!$G$7:$G371,'🙎‍♂️ Pasien'!$H$7:$H371),"")</f>
        <v>S6523066234</v>
      </c>
      <c r="J23" s="125" t="str">
        <f t="array" ref="J23">ifna(xlookup($H23,'🙎‍♂️ Pasien'!$G$7:$G371,'🙎‍♂️ Pasien'!$L$7:$L371),"")</f>
        <v>LAKI-LAKI</v>
      </c>
      <c r="K23" s="125">
        <f t="array" ref="K23">ifna(xlookup($H23,'🙎‍♂️ Pasien'!$G$7:$G371,'🙎‍♂️ Pasien'!$I$7:$I371),"")</f>
        <v>60</v>
      </c>
      <c r="L23" s="125" t="str">
        <f t="array" ref="L23">IFNA(xlookup(H23,'🙎‍♂️ Pasien'!$G$5:$G371,'🙎‍♂️ Pasien'!$J$5:$J371),"")</f>
        <v>&gt; 44 tahun</v>
      </c>
      <c r="M23" s="125" t="str">
        <f t="array" ref="M23">IFNA(xlookup(H23,'🙎‍♂️ Pasien'!$G$5:$G371,'🙎‍♂️ Pasien'!$S$5:$S371),"")</f>
        <v>ASN</v>
      </c>
      <c r="N23" s="125" t="str">
        <f t="array" ref="N23">IFNA(XLOOKUP($H23,'🙎‍♂️ Pasien'!$G$7:$G371,'🙎‍♂️ Pasien'!$T$7:$T371),"")</f>
        <v>PINGGANG SAKIT NYERI KAKU</v>
      </c>
      <c r="O23" s="16" t="s">
        <v>861</v>
      </c>
      <c r="P23" s="16" t="s">
        <v>851</v>
      </c>
      <c r="Q23" s="16" t="s">
        <v>27</v>
      </c>
      <c r="R23" s="16" t="s">
        <v>86</v>
      </c>
      <c r="S23" s="16" t="s">
        <v>62</v>
      </c>
      <c r="T23" s="16" t="s">
        <v>834</v>
      </c>
      <c r="U23" s="131" t="s">
        <v>831</v>
      </c>
      <c r="V23" s="126"/>
      <c r="W23" s="109"/>
      <c r="X23" s="109" t="str">
        <f t="array" ref="X23">IF(H23="","",XLOOKUP(H23,CATATANPELAYANAN[[#ALL],[NAMA PASIEN]],CATATANPELAYANAN[[#ALL],[LAYANAN]],"TIDAK CLOSING",0,-1))</f>
        <v>TIDAK CLOSING</v>
      </c>
      <c r="Y23" s="109" t="str">
        <f t="shared" si="4"/>
        <v>TIDAK CLOSING</v>
      </c>
      <c r="Z23" s="127"/>
    </row>
    <row r="24" ht="22.5" customHeight="1">
      <c r="A24" s="122"/>
      <c r="B24" s="123">
        <v>45936.0</v>
      </c>
      <c r="C24" s="124" t="str">
        <f t="shared" si="1"/>
        <v>2025</v>
      </c>
      <c r="D24" s="124" t="str">
        <f t="shared" si="2"/>
        <v>10 Okt</v>
      </c>
      <c r="E24" s="124" t="str">
        <f t="shared" si="3"/>
        <v>Sen</v>
      </c>
      <c r="F24" s="16" t="s">
        <v>85</v>
      </c>
      <c r="G24" s="109" t="str">
        <f t="array" ref="G24">IFNA(XLOOKUP(S24,'⚙️ Pengaturan'!$H$5:$H371,'⚙️ Pengaturan'!$I$5:$I371),"")</f>
        <v>TIM Y</v>
      </c>
      <c r="H24" s="109" t="s">
        <v>177</v>
      </c>
      <c r="I24" s="125" t="str">
        <f t="array" ref="I24">ifna(xlookup($H24,'🙎‍♂️ Pasien'!$G$7:$G371,'🙎‍♂️ Pasien'!$H$7:$H371),"")</f>
        <v>M9225108407</v>
      </c>
      <c r="J24" s="125" t="str">
        <f t="array" ref="J24">ifna(xlookup($H24,'🙎‍♂️ Pasien'!$G$7:$G371,'🙎‍♂️ Pasien'!$L$7:$L371),"")</f>
        <v>PEREMPUAN</v>
      </c>
      <c r="K24" s="125">
        <f t="array" ref="K24">ifna(xlookup($H24,'🙎‍♂️ Pasien'!$G$7:$G371,'🙎‍♂️ Pasien'!$I$7:$I371),"")</f>
        <v>34</v>
      </c>
      <c r="L24" s="125" t="str">
        <f t="array" ref="L24">IFNA(xlookup(H24,'🙎‍♂️ Pasien'!$G$5:$G371,'🙎‍♂️ Pasien'!$J$5:$J371),"")</f>
        <v>25-34 tahun</v>
      </c>
      <c r="M24" s="125" t="str">
        <f t="array" ref="M24">IFNA(xlookup(H24,'🙎‍♂️ Pasien'!$G$5:$G371,'🙎‍♂️ Pasien'!$S$5:$S371),"")</f>
        <v>IRT</v>
      </c>
      <c r="N24" s="125" t="str">
        <f t="array" ref="N24">IFNA(XLOOKUP($H24,'🙎‍♂️ Pasien'!$G$7:$G371,'🙎‍♂️ Pasien'!$T$7:$T371),"")</f>
        <v>TUMIT KAKI KIRI SAKIT TAK KUNJUNG HILANG</v>
      </c>
      <c r="O24" s="16" t="s">
        <v>849</v>
      </c>
      <c r="P24" s="16" t="s">
        <v>862</v>
      </c>
      <c r="Q24" s="16" t="s">
        <v>29</v>
      </c>
      <c r="R24" s="16" t="s">
        <v>86</v>
      </c>
      <c r="S24" s="16" t="s">
        <v>56</v>
      </c>
      <c r="T24" s="16" t="s">
        <v>830</v>
      </c>
      <c r="U24" s="131" t="s">
        <v>831</v>
      </c>
      <c r="V24" s="126"/>
      <c r="W24" s="109"/>
      <c r="X24" s="109" t="str">
        <f t="array" ref="X24">IF(H24="","",XLOOKUP(H24,CATATANPELAYANAN[[#ALL],[NAMA PASIEN]],CATATANPELAYANAN[[#ALL],[LAYANAN]],"TIDAK CLOSING",0,-1))</f>
        <v>PAKET TERAPI</v>
      </c>
      <c r="Y24" s="109" t="str">
        <f t="shared" si="4"/>
        <v>PAKET</v>
      </c>
      <c r="Z24" s="127"/>
    </row>
    <row r="25" ht="22.5" customHeight="1">
      <c r="A25" s="122"/>
      <c r="B25" s="123">
        <v>45936.0</v>
      </c>
      <c r="C25" s="124" t="str">
        <f t="shared" si="1"/>
        <v>2025</v>
      </c>
      <c r="D25" s="124" t="str">
        <f t="shared" si="2"/>
        <v>10 Okt</v>
      </c>
      <c r="E25" s="124" t="str">
        <f t="shared" si="3"/>
        <v>Sen</v>
      </c>
      <c r="F25" s="16" t="s">
        <v>85</v>
      </c>
      <c r="G25" s="109" t="str">
        <f t="array" ref="G25">IFNA(XLOOKUP(S25,'⚙️ Pengaturan'!$H$5:$H371,'⚙️ Pengaturan'!$I$5:$I371),"")</f>
        <v>TIM A</v>
      </c>
      <c r="H25" s="109" t="s">
        <v>179</v>
      </c>
      <c r="I25" s="125" t="str">
        <f t="array" ref="I25">ifna(xlookup($H25,'🙎‍♂️ Pasien'!$G$7:$G371,'🙎‍♂️ Pasien'!$H$7:$H371),"")</f>
        <v>C9725104448</v>
      </c>
      <c r="J25" s="125" t="str">
        <f t="array" ref="J25">ifna(xlookup($H25,'🙎‍♂️ Pasien'!$G$7:$G371,'🙎‍♂️ Pasien'!$L$7:$L371),"")</f>
        <v>PEREMPUAN</v>
      </c>
      <c r="K25" s="125">
        <f t="array" ref="K25">ifna(xlookup($H25,'🙎‍♂️ Pasien'!$G$7:$G371,'🙎‍♂️ Pasien'!$I$7:$I371),"")</f>
        <v>29</v>
      </c>
      <c r="L25" s="125" t="str">
        <f t="array" ref="L25">IFNA(xlookup(H25,'🙎‍♂️ Pasien'!$G$5:$G371,'🙎‍♂️ Pasien'!$J$5:$J371),"")</f>
        <v>25-34 tahun</v>
      </c>
      <c r="M25" s="125" t="str">
        <f t="array" ref="M25">IFNA(xlookup(H25,'🙎‍♂️ Pasien'!$G$5:$G371,'🙎‍♂️ Pasien'!$S$5:$S371),"")</f>
        <v>IBU RUMAH TANGGA</v>
      </c>
      <c r="N25" s="125" t="str">
        <f t="array" ref="N25">IFNA(XLOOKUP($H25,'🙎‍♂️ Pasien'!$G$7:$G371,'🙎‍♂️ Pasien'!$T$7:$T371),"")</f>
        <v>SAKIT DIDAERAH BOKONG KARNA JATUH</v>
      </c>
      <c r="O25" s="16" t="s">
        <v>863</v>
      </c>
      <c r="P25" s="16" t="s">
        <v>826</v>
      </c>
      <c r="Q25" s="16" t="s">
        <v>27</v>
      </c>
      <c r="R25" s="16" t="s">
        <v>86</v>
      </c>
      <c r="S25" s="16" t="s">
        <v>62</v>
      </c>
      <c r="T25" s="16" t="s">
        <v>830</v>
      </c>
      <c r="U25" s="109"/>
      <c r="V25" s="126"/>
      <c r="W25" s="109"/>
      <c r="X25" s="109" t="str">
        <f t="array" ref="X25">IF(H25="","",XLOOKUP(H25,CATATANPELAYANAN[[#ALL],[NAMA PASIEN]],CATATANPELAYANAN[[#ALL],[LAYANAN]],"TIDAK CLOSING",0,-1))</f>
        <v>PAKET TERAPI</v>
      </c>
      <c r="Y25" s="109" t="str">
        <f t="shared" si="4"/>
        <v>PAKET</v>
      </c>
      <c r="Z25" s="127"/>
    </row>
    <row r="26" ht="22.5" customHeight="1">
      <c r="A26" s="122"/>
      <c r="B26" s="123">
        <v>45937.0</v>
      </c>
      <c r="C26" s="124" t="str">
        <f t="shared" si="1"/>
        <v>2025</v>
      </c>
      <c r="D26" s="124" t="str">
        <f t="shared" si="2"/>
        <v>10 Okt</v>
      </c>
      <c r="E26" s="124" t="str">
        <f t="shared" si="3"/>
        <v>Sel</v>
      </c>
      <c r="F26" s="16" t="s">
        <v>53</v>
      </c>
      <c r="G26" s="109" t="str">
        <f t="array" ref="G26">IFNA(XLOOKUP(S26,'⚙️ Pengaturan'!$H$5:$H371,'⚙️ Pengaturan'!$I$5:$I371),"")</f>
        <v>TIM Y</v>
      </c>
      <c r="H26" s="109" t="s">
        <v>187</v>
      </c>
      <c r="I26" s="125" t="str">
        <f t="array" ref="I26">ifna(xlookup($H26,'🙎‍♂️ Pasien'!$G$7:$G371,'🙎‍♂️ Pasien'!$H$7:$H371),"")</f>
        <v>A8723049223</v>
      </c>
      <c r="J26" s="125" t="str">
        <f t="array" ref="J26">ifna(xlookup($H26,'🙎‍♂️ Pasien'!$G$7:$G371,'🙎‍♂️ Pasien'!$L$7:$L371),"")</f>
        <v>LAKI-LAKI</v>
      </c>
      <c r="K26" s="125">
        <f t="array" ref="K26">ifna(xlookup($H26,'🙎‍♂️ Pasien'!$G$7:$G371,'🙎‍♂️ Pasien'!$I$7:$I371),"")</f>
        <v>38</v>
      </c>
      <c r="L26" s="125" t="str">
        <f t="array" ref="L26">IFNA(xlookup(H26,'🙎‍♂️ Pasien'!$G$5:$G371,'🙎‍♂️ Pasien'!$J$5:$J371),"")</f>
        <v>35-44 tahun</v>
      </c>
      <c r="M26" s="125" t="str">
        <f t="array" ref="M26">IFNA(xlookup(H26,'🙎‍♂️ Pasien'!$G$5:$G371,'🙎‍♂️ Pasien'!$S$5:$S371),"")</f>
        <v>SWASTA</v>
      </c>
      <c r="N26" s="125" t="str">
        <f t="array" ref="N26">IFNA(XLOOKUP($H26,'🙎‍♂️ Pasien'!$G$7:$G371,'🙎‍♂️ Pasien'!$T$7:$T371),"")</f>
        <v>LEHER, PUNGGUNG TERASA SAKIT</v>
      </c>
      <c r="O26" s="16" t="s">
        <v>825</v>
      </c>
      <c r="P26" s="16" t="s">
        <v>826</v>
      </c>
      <c r="Q26" s="16" t="s">
        <v>28</v>
      </c>
      <c r="R26" s="16" t="s">
        <v>86</v>
      </c>
      <c r="S26" s="16" t="s">
        <v>56</v>
      </c>
      <c r="T26" s="16" t="s">
        <v>834</v>
      </c>
      <c r="U26" s="109" t="s">
        <v>864</v>
      </c>
      <c r="V26" s="126"/>
      <c r="W26" s="109"/>
      <c r="X26" s="109" t="str">
        <f t="array" ref="X26">IF(H26="","",XLOOKUP(H26,CATATANPELAYANAN[[#ALL],[NAMA PASIEN]],CATATANPELAYANAN[[#ALL],[LAYANAN]],"TIDAK CLOSING",0,-1))</f>
        <v>TERAPI AWAL</v>
      </c>
      <c r="Y26" s="109" t="str">
        <f t="shared" si="4"/>
        <v>TIDAK CLOSING</v>
      </c>
      <c r="Z26" s="127"/>
    </row>
    <row r="27" ht="22.5" customHeight="1">
      <c r="A27" s="122"/>
      <c r="B27" s="123">
        <v>45937.0</v>
      </c>
      <c r="C27" s="124" t="str">
        <f t="shared" si="1"/>
        <v>2025</v>
      </c>
      <c r="D27" s="124" t="str">
        <f t="shared" si="2"/>
        <v>10 Okt</v>
      </c>
      <c r="E27" s="124" t="str">
        <f t="shared" si="3"/>
        <v>Sel</v>
      </c>
      <c r="F27" s="16" t="s">
        <v>53</v>
      </c>
      <c r="G27" s="109" t="str">
        <f t="array" ref="G27">IFNA(XLOOKUP(S27,'⚙️ Pengaturan'!$H$5:$H371,'⚙️ Pengaturan'!$I$5:$I371),"")</f>
        <v>TIM A</v>
      </c>
      <c r="H27" s="109" t="s">
        <v>188</v>
      </c>
      <c r="I27" s="125" t="str">
        <f t="array" ref="I27">ifna(xlookup($H27,'🙎‍♂️ Pasien'!$G$7:$G371,'🙎‍♂️ Pasien'!$H$7:$H371),"")</f>
        <v>S0125102986</v>
      </c>
      <c r="J27" s="125" t="str">
        <f t="array" ref="J27">ifna(xlookup($H27,'🙎‍♂️ Pasien'!$G$7:$G371,'🙎‍♂️ Pasien'!$L$7:$L371),"")</f>
        <v>PEREMPUAN</v>
      </c>
      <c r="K27" s="125">
        <f t="array" ref="K27">ifna(xlookup($H27,'🙎‍♂️ Pasien'!$G$7:$G371,'🙎‍♂️ Pasien'!$I$7:$I371),"")</f>
        <v>24</v>
      </c>
      <c r="L27" s="125" t="str">
        <f t="array" ref="L27">IFNA(xlookup(H27,'🙎‍♂️ Pasien'!$G$5:$G371,'🙎‍♂️ Pasien'!$J$5:$J371),"")</f>
        <v>18-24 tahun</v>
      </c>
      <c r="M27" s="125" t="str">
        <f t="array" ref="M27">IFNA(xlookup(H27,'🙎‍♂️ Pasien'!$G$5:$G371,'🙎‍♂️ Pasien'!$S$5:$S371),"")</f>
        <v>PNS</v>
      </c>
      <c r="N27" s="125" t="str">
        <f t="array" ref="N27">IFNA(XLOOKUP($H27,'🙎‍♂️ Pasien'!$G$7:$G371,'🙎‍♂️ Pasien'!$T$7:$T371),"")</f>
        <v>TANGAN BELUM BISA MENGGENGGAM SETELAH PATAH TULANG TELAPAK TANGAN</v>
      </c>
      <c r="O27" s="16" t="s">
        <v>865</v>
      </c>
      <c r="P27" s="16" t="s">
        <v>866</v>
      </c>
      <c r="Q27" s="16" t="s">
        <v>29</v>
      </c>
      <c r="R27" s="16" t="s">
        <v>86</v>
      </c>
      <c r="S27" s="16" t="s">
        <v>72</v>
      </c>
      <c r="T27" s="16" t="s">
        <v>830</v>
      </c>
      <c r="U27" s="109"/>
      <c r="V27" s="126"/>
      <c r="W27" s="109"/>
      <c r="X27" s="109" t="str">
        <f t="array" ref="X27">IF(H27="","",XLOOKUP(H27,CATATANPELAYANAN[[#ALL],[NAMA PASIEN]],CATATANPELAYANAN[[#ALL],[LAYANAN]],"TIDAK CLOSING",0,-1))</f>
        <v>PAKET TERAPI</v>
      </c>
      <c r="Y27" s="109" t="str">
        <f t="shared" si="4"/>
        <v>PAKET</v>
      </c>
      <c r="Z27" s="127"/>
    </row>
    <row r="28" ht="22.5" customHeight="1">
      <c r="A28" s="122"/>
      <c r="B28" s="123">
        <v>45937.0</v>
      </c>
      <c r="C28" s="124" t="str">
        <f t="shared" si="1"/>
        <v>2025</v>
      </c>
      <c r="D28" s="124" t="str">
        <f t="shared" si="2"/>
        <v>10 Okt</v>
      </c>
      <c r="E28" s="124" t="str">
        <f t="shared" si="3"/>
        <v>Sel</v>
      </c>
      <c r="F28" s="16" t="s">
        <v>85</v>
      </c>
      <c r="G28" s="109" t="str">
        <f t="array" ref="G28">IFNA(XLOOKUP(S28,'⚙️ Pengaturan'!$H$5:$H371,'⚙️ Pengaturan'!$I$5:$I371),"")</f>
        <v>TIM Y</v>
      </c>
      <c r="H28" s="109" t="s">
        <v>197</v>
      </c>
      <c r="I28" s="125" t="str">
        <f t="array" ref="I28">ifna(xlookup($H28,'🙎‍♂️ Pasien'!$G$7:$G371,'🙎‍♂️ Pasien'!$H$7:$H371),"")</f>
        <v>S7025063552</v>
      </c>
      <c r="J28" s="125" t="str">
        <f t="array" ref="J28">ifna(xlookup($H28,'🙎‍♂️ Pasien'!$G$7:$G371,'🙎‍♂️ Pasien'!$L$7:$L371),"")</f>
        <v>LAKI-LAKI</v>
      </c>
      <c r="K28" s="125">
        <f t="array" ref="K28">ifna(xlookup($H28,'🙎‍♂️ Pasien'!$G$7:$G371,'🙎‍♂️ Pasien'!$I$7:$I371),"")</f>
        <v>56</v>
      </c>
      <c r="L28" s="125" t="str">
        <f t="array" ref="L28">IFNA(xlookup(H28,'🙎‍♂️ Pasien'!$G$5:$G371,'🙎‍♂️ Pasien'!$J$5:$J371),"")</f>
        <v>&gt; 44 tahun</v>
      </c>
      <c r="M28" s="125" t="str">
        <f t="array" ref="M28">IFNA(xlookup(H28,'🙎‍♂️ Pasien'!$G$5:$G371,'🙎‍♂️ Pasien'!$S$5:$S371),"")</f>
        <v>ASN</v>
      </c>
      <c r="N28" s="125" t="str">
        <f t="array" ref="N28">IFNA(XLOOKUP($H28,'🙎‍♂️ Pasien'!$G$7:$G371,'🙎‍♂️ Pasien'!$T$7:$T371),"")</f>
        <v>SAKIT DI PERGELANGAN TANGAN KANAN</v>
      </c>
      <c r="O28" s="16" t="s">
        <v>825</v>
      </c>
      <c r="P28" s="16" t="s">
        <v>826</v>
      </c>
      <c r="Q28" s="16" t="s">
        <v>28</v>
      </c>
      <c r="R28" s="16" t="s">
        <v>54</v>
      </c>
      <c r="S28" s="16" t="s">
        <v>88</v>
      </c>
      <c r="T28" s="16" t="s">
        <v>827</v>
      </c>
      <c r="U28" s="109"/>
      <c r="V28" s="126"/>
      <c r="W28" s="109"/>
      <c r="X28" s="109" t="str">
        <f t="array" ref="X28">IF(H28="","",XLOOKUP(H28,CATATANPELAYANAN[[#ALL],[NAMA PASIEN]],CATATANPELAYANAN[[#ALL],[LAYANAN]],"TIDAK CLOSING",0,-1))</f>
        <v>SESI TERAPI</v>
      </c>
      <c r="Y28" s="109" t="str">
        <f t="shared" si="4"/>
        <v>SESI</v>
      </c>
      <c r="Z28" s="127"/>
    </row>
    <row r="29" ht="22.5" customHeight="1">
      <c r="A29" s="122"/>
      <c r="B29" s="123">
        <v>45938.0</v>
      </c>
      <c r="C29" s="124" t="str">
        <f t="shared" si="1"/>
        <v>2025</v>
      </c>
      <c r="D29" s="124" t="str">
        <f t="shared" si="2"/>
        <v>10 Okt</v>
      </c>
      <c r="E29" s="124" t="str">
        <f t="shared" si="3"/>
        <v>Rab</v>
      </c>
      <c r="F29" s="16" t="s">
        <v>53</v>
      </c>
      <c r="G29" s="109" t="str">
        <f t="array" ref="G29">IFNA(XLOOKUP(S29,'⚙️ Pengaturan'!$H$5:$H371,'⚙️ Pengaturan'!$I$5:$I371),"")</f>
        <v>TIM A</v>
      </c>
      <c r="H29" s="109" t="s">
        <v>867</v>
      </c>
      <c r="I29" s="125" t="str">
        <f t="array" ref="I29">ifna(xlookup($H29,'🙎‍♂️ Pasien'!$G$7:$G371,'🙎‍♂️ Pasien'!$H$7:$H371),"")</f>
        <v>U7225107075</v>
      </c>
      <c r="J29" s="125" t="str">
        <f t="array" ref="J29">ifna(xlookup($H29,'🙎‍♂️ Pasien'!$G$7:$G371,'🙎‍♂️ Pasien'!$L$7:$L371),"")</f>
        <v>PEREMPUAN</v>
      </c>
      <c r="K29" s="125">
        <f t="array" ref="K29">ifna(xlookup($H29,'🙎‍♂️ Pasien'!$G$7:$G371,'🙎‍♂️ Pasien'!$I$7:$I371),"")</f>
        <v>54</v>
      </c>
      <c r="L29" s="125" t="str">
        <f t="array" ref="L29">IFNA(xlookup(H29,'🙎‍♂️ Pasien'!$G$5:$G371,'🙎‍♂️ Pasien'!$J$5:$J371),"")</f>
        <v>&gt; 44 tahun</v>
      </c>
      <c r="M29" s="125" t="str">
        <f t="array" ref="M29">IFNA(xlookup(H29,'🙎‍♂️ Pasien'!$G$5:$G371,'🙎‍♂️ Pasien'!$S$5:$S371),"")</f>
        <v>IRT</v>
      </c>
      <c r="N29" s="125" t="str">
        <f t="array" ref="N29">IFNA(XLOOKUP($H29,'🙎‍♂️ Pasien'!$G$7:$G371,'🙎‍♂️ Pasien'!$T$7:$T371),"")</f>
        <v>BELIKAT SEBELAH KIRI SEPERTI KETARIK2 OTOTNYA, AGAK NYERI KALAU BERAKRIFITAS</v>
      </c>
      <c r="O29" s="16" t="s">
        <v>868</v>
      </c>
      <c r="P29" s="16" t="s">
        <v>869</v>
      </c>
      <c r="Q29" s="16" t="s">
        <v>29</v>
      </c>
      <c r="R29" s="16" t="s">
        <v>54</v>
      </c>
      <c r="S29" s="16" t="s">
        <v>79</v>
      </c>
      <c r="T29" s="16" t="s">
        <v>834</v>
      </c>
      <c r="U29" s="109" t="s">
        <v>831</v>
      </c>
      <c r="V29" s="126"/>
      <c r="W29" s="109"/>
      <c r="X29" s="109" t="str">
        <f t="array" ref="X29">IF(H29="","",XLOOKUP(H29,CATATANPELAYANAN[[#ALL],[NAMA PASIEN]],CATATANPELAYANAN[[#ALL],[LAYANAN]],"TIDAK CLOSING",0,-1))</f>
        <v>TIDAK CLOSING</v>
      </c>
      <c r="Y29" s="109" t="str">
        <f t="shared" si="4"/>
        <v>TIDAK CLOSING</v>
      </c>
      <c r="Z29" s="127"/>
    </row>
    <row r="30" ht="22.5" customHeight="1">
      <c r="A30" s="122"/>
      <c r="B30" s="123">
        <v>45938.0</v>
      </c>
      <c r="C30" s="124" t="str">
        <f t="shared" si="1"/>
        <v>2025</v>
      </c>
      <c r="D30" s="124" t="str">
        <f t="shared" si="2"/>
        <v>10 Okt</v>
      </c>
      <c r="E30" s="124" t="str">
        <f t="shared" si="3"/>
        <v>Rab</v>
      </c>
      <c r="F30" s="16" t="s">
        <v>53</v>
      </c>
      <c r="G30" s="109" t="str">
        <f t="array" ref="G30">IFNA(XLOOKUP(S30,'⚙️ Pengaturan'!$H$5:$H371,'⚙️ Pengaturan'!$I$5:$I371),"")</f>
        <v>TIM A</v>
      </c>
      <c r="H30" s="109" t="s">
        <v>870</v>
      </c>
      <c r="I30" s="125" t="str">
        <f t="array" ref="I30">ifna(xlookup($H30,'🙎‍♂️ Pasien'!$G$7:$G371,'🙎‍♂️ Pasien'!$H$7:$H371),"")</f>
        <v/>
      </c>
      <c r="J30" s="125" t="str">
        <f t="array" ref="J30">ifna(xlookup($H30,'🙎‍♂️ Pasien'!$G$7:$G371,'🙎‍♂️ Pasien'!$L$7:$L371),"")</f>
        <v/>
      </c>
      <c r="K30" s="125" t="str">
        <f t="array" ref="K30">ifna(xlookup($H30,'🙎‍♂️ Pasien'!$G$7:$G371,'🙎‍♂️ Pasien'!$I$7:$I371),"")</f>
        <v/>
      </c>
      <c r="L30" s="125" t="str">
        <f t="array" ref="L30">IFNA(xlookup(H30,'🙎‍♂️ Pasien'!$G$5:$G371,'🙎‍♂️ Pasien'!$J$5:$J371),"")</f>
        <v/>
      </c>
      <c r="M30" s="125" t="str">
        <f t="array" ref="M30">IFNA(xlookup(H30,'🙎‍♂️ Pasien'!$G$5:$G371,'🙎‍♂️ Pasien'!$S$5:$S371),"")</f>
        <v/>
      </c>
      <c r="N30" s="125" t="str">
        <f t="array" ref="N30">IFNA(XLOOKUP($H30,'🙎‍♂️ Pasien'!$G$7:$G371,'🙎‍♂️ Pasien'!$T$7:$T371),"")</f>
        <v/>
      </c>
      <c r="O30" s="16" t="s">
        <v>871</v>
      </c>
      <c r="P30" s="16" t="s">
        <v>848</v>
      </c>
      <c r="Q30" s="16" t="s">
        <v>29</v>
      </c>
      <c r="R30" s="16" t="s">
        <v>54</v>
      </c>
      <c r="S30" s="16" t="s">
        <v>72</v>
      </c>
      <c r="T30" s="16" t="s">
        <v>830</v>
      </c>
      <c r="U30" s="109"/>
      <c r="V30" s="126"/>
      <c r="W30" s="109"/>
      <c r="X30" s="109" t="str">
        <f t="array" ref="X30">IF(H30="","",XLOOKUP(H30,CATATANPELAYANAN[[#ALL],[NAMA PASIEN]],CATATANPELAYANAN[[#ALL],[LAYANAN]],"TIDAK CLOSING",0,-1))</f>
        <v>TIDAK CLOSING</v>
      </c>
      <c r="Y30" s="109" t="str">
        <f t="shared" si="4"/>
        <v>TIDAK CLOSING</v>
      </c>
      <c r="Z30" s="127"/>
    </row>
    <row r="31" ht="22.5" customHeight="1">
      <c r="A31" s="122"/>
      <c r="B31" s="123">
        <v>45938.0</v>
      </c>
      <c r="C31" s="124" t="str">
        <f t="shared" si="1"/>
        <v>2025</v>
      </c>
      <c r="D31" s="124" t="str">
        <f t="shared" si="2"/>
        <v>10 Okt</v>
      </c>
      <c r="E31" s="124" t="str">
        <f t="shared" si="3"/>
        <v>Rab</v>
      </c>
      <c r="F31" s="16" t="s">
        <v>53</v>
      </c>
      <c r="G31" s="109" t="str">
        <f t="array" ref="G31">IFNA(XLOOKUP(S31,'⚙️ Pengaturan'!$H$5:$H371,'⚙️ Pengaturan'!$I$5:$I371),"")</f>
        <v>TIM A</v>
      </c>
      <c r="H31" s="109" t="s">
        <v>872</v>
      </c>
      <c r="I31" s="125" t="str">
        <f t="array" ref="I31">ifna(xlookup($H31,'🙎‍♂️ Pasien'!$G$7:$G371,'🙎‍♂️ Pasien'!$H$7:$H371),"")</f>
        <v>M0325109801</v>
      </c>
      <c r="J31" s="125" t="str">
        <f t="array" ref="J31">ifna(xlookup($H31,'🙎‍♂️ Pasien'!$G$7:$G371,'🙎‍♂️ Pasien'!$L$7:$L371),"")</f>
        <v>LAKI-LAKI</v>
      </c>
      <c r="K31" s="125">
        <f t="array" ref="K31">ifna(xlookup($H31,'🙎‍♂️ Pasien'!$G$7:$G371,'🙎‍♂️ Pasien'!$I$7:$I371),"")</f>
        <v>22</v>
      </c>
      <c r="L31" s="125" t="str">
        <f t="array" ref="L31">IFNA(xlookup(H31,'🙎‍♂️ Pasien'!$G$5:$G371,'🙎‍♂️ Pasien'!$J$5:$J371),"")</f>
        <v>18-24 tahun</v>
      </c>
      <c r="M31" s="125" t="str">
        <f t="array" ref="M31">IFNA(xlookup(H31,'🙎‍♂️ Pasien'!$G$5:$G371,'🙎‍♂️ Pasien'!$S$5:$S371),"")</f>
        <v>NGOPI</v>
      </c>
      <c r="N31" s="125" t="str">
        <f t="array" ref="N31">IFNA(XLOOKUP($H31,'🙎‍♂️ Pasien'!$G$7:$G371,'🙎‍♂️ Pasien'!$T$7:$T371),"")</f>
        <v>ANKLE</v>
      </c>
      <c r="O31" s="16" t="s">
        <v>832</v>
      </c>
      <c r="P31" s="16" t="s">
        <v>833</v>
      </c>
      <c r="Q31" s="16" t="s">
        <v>29</v>
      </c>
      <c r="R31" s="16" t="s">
        <v>54</v>
      </c>
      <c r="S31" s="16" t="s">
        <v>79</v>
      </c>
      <c r="T31" s="16" t="s">
        <v>834</v>
      </c>
      <c r="U31" s="109" t="s">
        <v>873</v>
      </c>
      <c r="V31" s="126"/>
      <c r="W31" s="109"/>
      <c r="X31" s="109" t="str">
        <f t="array" ref="X31">IF(H31="","",XLOOKUP(H31,CATATANPELAYANAN[[#ALL],[NAMA PASIEN]],CATATANPELAYANAN[[#ALL],[LAYANAN]],"TIDAK CLOSING",0,-1))</f>
        <v>TIDAK CLOSING</v>
      </c>
      <c r="Y31" s="109" t="str">
        <f t="shared" si="4"/>
        <v>TIDAK CLOSING</v>
      </c>
      <c r="Z31" s="127"/>
    </row>
    <row r="32" ht="22.5" customHeight="1">
      <c r="A32" s="122"/>
      <c r="B32" s="123">
        <v>45938.0</v>
      </c>
      <c r="C32" s="124" t="str">
        <f t="shared" si="1"/>
        <v>2025</v>
      </c>
      <c r="D32" s="124" t="str">
        <f t="shared" si="2"/>
        <v>10 Okt</v>
      </c>
      <c r="E32" s="124" t="str">
        <f t="shared" si="3"/>
        <v>Rab</v>
      </c>
      <c r="F32" s="16" t="s">
        <v>53</v>
      </c>
      <c r="G32" s="109" t="str">
        <f t="array" ref="G32">IFNA(XLOOKUP(S32,'⚙️ Pengaturan'!$H$5:$H371,'⚙️ Pengaturan'!$I$5:$I371),"")</f>
        <v>TIM Y</v>
      </c>
      <c r="H32" s="109" t="s">
        <v>202</v>
      </c>
      <c r="I32" s="125" t="str">
        <f t="array" ref="I32">ifna(xlookup($H32,'🙎‍♂️ Pasien'!$G$7:$G371,'🙎‍♂️ Pasien'!$H$7:$H371),"")</f>
        <v>B9925104512</v>
      </c>
      <c r="J32" s="125" t="str">
        <f t="array" ref="J32">ifna(xlookup($H32,'🙎‍♂️ Pasien'!$G$7:$G371,'🙎‍♂️ Pasien'!$L$7:$L371),"")</f>
        <v>LAKI-LAKI</v>
      </c>
      <c r="K32" s="125">
        <f t="array" ref="K32">ifna(xlookup($H32,'🙎‍♂️ Pasien'!$G$7:$G371,'🙎‍♂️ Pasien'!$I$7:$I371),"")</f>
        <v>26</v>
      </c>
      <c r="L32" s="125" t="str">
        <f t="array" ref="L32">IFNA(xlookup(H32,'🙎‍♂️ Pasien'!$G$5:$G371,'🙎‍♂️ Pasien'!$J$5:$J371),"")</f>
        <v>25-34 tahun</v>
      </c>
      <c r="M32" s="125" t="str">
        <f t="array" ref="M32">IFNA(xlookup(H32,'🙎‍♂️ Pasien'!$G$5:$G371,'🙎‍♂️ Pasien'!$S$5:$S371),"")</f>
        <v>SWASTA</v>
      </c>
      <c r="N32" s="125" t="str">
        <f t="array" ref="N32">IFNA(XLOOKUP($H32,'🙎‍♂️ Pasien'!$G$7:$G371,'🙎‍♂️ Pasien'!$T$7:$T371),"")</f>
        <v>CIDERA LUTUT SALAH TUMPUAN PAS MAIN BOLA</v>
      </c>
      <c r="O32" s="16" t="s">
        <v>874</v>
      </c>
      <c r="P32" s="16" t="s">
        <v>836</v>
      </c>
      <c r="Q32" s="16" t="s">
        <v>29</v>
      </c>
      <c r="R32" s="16" t="s">
        <v>54</v>
      </c>
      <c r="S32" s="16" t="s">
        <v>56</v>
      </c>
      <c r="T32" s="16" t="s">
        <v>827</v>
      </c>
      <c r="U32" s="109"/>
      <c r="V32" s="126"/>
      <c r="W32" s="109"/>
      <c r="X32" s="109" t="str">
        <f t="array" ref="X32">IF(H32="","",XLOOKUP(H32,CATATANPELAYANAN[[#ALL],[NAMA PASIEN]],CATATANPELAYANAN[[#ALL],[LAYANAN]],"TIDAK CLOSING",0,-1))</f>
        <v>SESI TERAPI</v>
      </c>
      <c r="Y32" s="109" t="str">
        <f t="shared" si="4"/>
        <v>SESI</v>
      </c>
      <c r="Z32" s="127"/>
    </row>
    <row r="33" ht="22.5" customHeight="1">
      <c r="A33" s="122"/>
      <c r="B33" s="123">
        <v>45939.0</v>
      </c>
      <c r="C33" s="124" t="str">
        <f t="shared" si="1"/>
        <v>2025</v>
      </c>
      <c r="D33" s="124" t="str">
        <f t="shared" si="2"/>
        <v>10 Okt</v>
      </c>
      <c r="E33" s="124" t="str">
        <f t="shared" si="3"/>
        <v>Kam</v>
      </c>
      <c r="F33" s="16" t="s">
        <v>85</v>
      </c>
      <c r="G33" s="109" t="str">
        <f t="array" ref="G33">IFNA(XLOOKUP(S33,'⚙️ Pengaturan'!$H$5:$H371,'⚙️ Pengaturan'!$I$5:$I371),"")</f>
        <v>TIM Y</v>
      </c>
      <c r="H33" s="109" t="s">
        <v>875</v>
      </c>
      <c r="I33" s="125" t="str">
        <f t="array" ref="I33">ifna(xlookup($H33,'🙎‍♂️ Pasien'!$G$7:$G371,'🙎‍♂️ Pasien'!$H$7:$H371),"")</f>
        <v/>
      </c>
      <c r="J33" s="125" t="str">
        <f t="array" ref="J33">ifna(xlookup($H33,'🙎‍♂️ Pasien'!$G$7:$G371,'🙎‍♂️ Pasien'!$L$7:$L371),"")</f>
        <v/>
      </c>
      <c r="K33" s="125" t="str">
        <f t="array" ref="K33">ifna(xlookup($H33,'🙎‍♂️ Pasien'!$G$7:$G371,'🙎‍♂️ Pasien'!$I$7:$I371),"")</f>
        <v/>
      </c>
      <c r="L33" s="125" t="str">
        <f t="array" ref="L33">IFNA(xlookup(H33,'🙎‍♂️ Pasien'!$G$5:$G371,'🙎‍♂️ Pasien'!$J$5:$J371),"")</f>
        <v/>
      </c>
      <c r="M33" s="125" t="str">
        <f t="array" ref="M33">IFNA(xlookup(H33,'🙎‍♂️ Pasien'!$G$5:$G371,'🙎‍♂️ Pasien'!$S$5:$S371),"")</f>
        <v/>
      </c>
      <c r="N33" s="125" t="str">
        <f t="array" ref="N33">IFNA(XLOOKUP($H33,'🙎‍♂️ Pasien'!$G$7:$G371,'🙎‍♂️ Pasien'!$T$7:$T371),"")</f>
        <v/>
      </c>
      <c r="O33" s="16" t="s">
        <v>876</v>
      </c>
      <c r="P33" s="16" t="s">
        <v>829</v>
      </c>
      <c r="Q33" s="16" t="s">
        <v>29</v>
      </c>
      <c r="R33" s="16" t="s">
        <v>54</v>
      </c>
      <c r="S33" s="16" t="s">
        <v>56</v>
      </c>
      <c r="T33" s="16" t="s">
        <v>834</v>
      </c>
      <c r="U33" s="109" t="s">
        <v>877</v>
      </c>
      <c r="V33" s="126"/>
      <c r="W33" s="109"/>
      <c r="X33" s="109" t="str">
        <f t="array" ref="X33">IF(H33="","",XLOOKUP(H33,CATATANPELAYANAN[[#ALL],[NAMA PASIEN]],CATATANPELAYANAN[[#ALL],[LAYANAN]],"TIDAK CLOSING",0,-1))</f>
        <v>TIDAK CLOSING</v>
      </c>
      <c r="Y33" s="109" t="str">
        <f t="shared" si="4"/>
        <v>TIDAK CLOSING</v>
      </c>
      <c r="Z33" s="127"/>
    </row>
    <row r="34" ht="22.5" customHeight="1">
      <c r="A34" s="122"/>
      <c r="B34" s="123">
        <v>45939.0</v>
      </c>
      <c r="C34" s="124" t="str">
        <f t="shared" si="1"/>
        <v>2025</v>
      </c>
      <c r="D34" s="124" t="str">
        <f t="shared" si="2"/>
        <v>10 Okt</v>
      </c>
      <c r="E34" s="124" t="str">
        <f t="shared" si="3"/>
        <v>Kam</v>
      </c>
      <c r="F34" s="16" t="s">
        <v>85</v>
      </c>
      <c r="G34" s="109" t="str">
        <f t="array" ref="G34">IFNA(XLOOKUP(S34,'⚙️ Pengaturan'!$H$5:$H371,'⚙️ Pengaturan'!$I$5:$I371),"")</f>
        <v>TIM A</v>
      </c>
      <c r="H34" s="109" t="s">
        <v>210</v>
      </c>
      <c r="I34" s="125" t="str">
        <f t="array" ref="I34">ifna(xlookup($H34,'🙎‍♂️ Pasien'!$G$7:$G371,'🙎‍♂️ Pasien'!$H$7:$H371),"")</f>
        <v>A9125100553</v>
      </c>
      <c r="J34" s="125" t="str">
        <f t="array" ref="J34">ifna(xlookup($H34,'🙎‍♂️ Pasien'!$G$7:$G371,'🙎‍♂️ Pasien'!$L$7:$L371),"")</f>
        <v>LAKI-LAKI</v>
      </c>
      <c r="K34" s="125">
        <f t="array" ref="K34">ifna(xlookup($H34,'🙎‍♂️ Pasien'!$G$7:$G371,'🙎‍♂️ Pasien'!$I$7:$I371),"")</f>
        <v>34</v>
      </c>
      <c r="L34" s="125" t="str">
        <f t="array" ref="L34">IFNA(xlookup(H34,'🙎‍♂️ Pasien'!$G$5:$G371,'🙎‍♂️ Pasien'!$J$5:$J371),"")</f>
        <v>25-34 tahun</v>
      </c>
      <c r="M34" s="125" t="str">
        <f t="array" ref="M34">IFNA(xlookup(H34,'🙎‍♂️ Pasien'!$G$5:$G371,'🙎‍♂️ Pasien'!$S$5:$S371),"")</f>
        <v>DOSEN</v>
      </c>
      <c r="N34" s="125" t="str">
        <f t="array" ref="N34">IFNA(XLOOKUP($H34,'🙎‍♂️ Pasien'!$G$7:$G371,'🙎‍♂️ Pasien'!$T$7:$T371),"")</f>
        <v>BAHH</v>
      </c>
      <c r="O34" s="16" t="s">
        <v>843</v>
      </c>
      <c r="P34" s="16" t="s">
        <v>839</v>
      </c>
      <c r="Q34" s="16" t="s">
        <v>29</v>
      </c>
      <c r="R34" s="16" t="s">
        <v>54</v>
      </c>
      <c r="S34" s="16" t="s">
        <v>62</v>
      </c>
      <c r="T34" s="16" t="s">
        <v>827</v>
      </c>
      <c r="U34" s="109"/>
      <c r="V34" s="126"/>
      <c r="W34" s="109"/>
      <c r="X34" s="109" t="str">
        <f t="array" ref="X34">IF(H34="","",XLOOKUP(H34,CATATANPELAYANAN[[#ALL],[NAMA PASIEN]],CATATANPELAYANAN[[#ALL],[LAYANAN]],"TIDAK CLOSING",0,-1))</f>
        <v>SESI TERAPI</v>
      </c>
      <c r="Y34" s="109" t="str">
        <f t="shared" si="4"/>
        <v>SESI</v>
      </c>
      <c r="Z34" s="127"/>
    </row>
    <row r="35" ht="22.5" customHeight="1">
      <c r="A35" s="122"/>
      <c r="B35" s="123">
        <v>45940.0</v>
      </c>
      <c r="C35" s="124" t="str">
        <f t="shared" si="1"/>
        <v>2025</v>
      </c>
      <c r="D35" s="124" t="str">
        <f t="shared" si="2"/>
        <v>10 Okt</v>
      </c>
      <c r="E35" s="124" t="str">
        <f t="shared" si="3"/>
        <v>Jum</v>
      </c>
      <c r="F35" s="16" t="s">
        <v>85</v>
      </c>
      <c r="G35" s="109" t="str">
        <f t="array" ref="G35">IFNA(XLOOKUP(S35,'⚙️ Pengaturan'!$H$5:$H371,'⚙️ Pengaturan'!$I$5:$I371),"")</f>
        <v>TIM Y</v>
      </c>
      <c r="H35" s="109" t="s">
        <v>216</v>
      </c>
      <c r="I35" s="125" t="str">
        <f t="array" ref="I35">ifna(xlookup($H35,'🙎‍♂️ Pasien'!$G$7:$G371,'🙎‍♂️ Pasien'!$H$7:$H371),"")</f>
        <v>R7825108100</v>
      </c>
      <c r="J35" s="125" t="str">
        <f t="array" ref="J35">ifna(xlookup($H35,'🙎‍♂️ Pasien'!$G$7:$G371,'🙎‍♂️ Pasien'!$L$7:$L371),"")</f>
        <v>PEREMPUAN</v>
      </c>
      <c r="K35" s="125">
        <f t="array" ref="K35">ifna(xlookup($H35,'🙎‍♂️ Pasien'!$G$7:$G371,'🙎‍♂️ Pasien'!$I$7:$I371),"")</f>
        <v>48</v>
      </c>
      <c r="L35" s="125" t="str">
        <f t="array" ref="L35">IFNA(xlookup(H35,'🙎‍♂️ Pasien'!$G$5:$G371,'🙎‍♂️ Pasien'!$J$5:$J371),"")</f>
        <v>&gt; 44 tahun</v>
      </c>
      <c r="M35" s="125" t="str">
        <f t="array" ref="M35">IFNA(xlookup(H35,'🙎‍♂️ Pasien'!$G$5:$G371,'🙎‍♂️ Pasien'!$S$5:$S371),"")</f>
        <v>PNS</v>
      </c>
      <c r="N35" s="125" t="str">
        <f t="array" ref="N35">IFNA(XLOOKUP($H35,'🙎‍♂️ Pasien'!$G$7:$G371,'🙎‍♂️ Pasien'!$T$7:$T371),"")</f>
        <v>LUTUT KANAN</v>
      </c>
      <c r="O35" s="16" t="s">
        <v>854</v>
      </c>
      <c r="P35" s="16" t="s">
        <v>836</v>
      </c>
      <c r="Q35" s="16" t="s">
        <v>29</v>
      </c>
      <c r="R35" s="16" t="s">
        <v>134</v>
      </c>
      <c r="S35" s="16" t="s">
        <v>88</v>
      </c>
      <c r="T35" s="16" t="s">
        <v>827</v>
      </c>
      <c r="U35" s="109"/>
      <c r="V35" s="126"/>
      <c r="W35" s="109"/>
      <c r="X35" s="109" t="str">
        <f t="array" ref="X35">IF(H35="","",XLOOKUP(H35,CATATANPELAYANAN[[#ALL],[NAMA PASIEN]],CATATANPELAYANAN[[#ALL],[LAYANAN]],"TIDAK CLOSING",0,-1))</f>
        <v>PAKET TERAPI</v>
      </c>
      <c r="Y35" s="109" t="str">
        <f t="shared" si="4"/>
        <v>PAKET</v>
      </c>
      <c r="Z35" s="127"/>
    </row>
    <row r="36" ht="22.5" customHeight="1">
      <c r="A36" s="122"/>
      <c r="B36" s="123">
        <v>45941.0</v>
      </c>
      <c r="C36" s="124" t="str">
        <f t="shared" si="1"/>
        <v>2025</v>
      </c>
      <c r="D36" s="124" t="str">
        <f t="shared" si="2"/>
        <v>10 Okt</v>
      </c>
      <c r="E36" s="124" t="str">
        <f t="shared" si="3"/>
        <v>Sab</v>
      </c>
      <c r="F36" s="16" t="s">
        <v>53</v>
      </c>
      <c r="G36" s="109" t="str">
        <f t="array" ref="G36">IFNA(XLOOKUP(S36,'⚙️ Pengaturan'!$H$5:$H371,'⚙️ Pengaturan'!$I$5:$I371),"")</f>
        <v>TIM Y</v>
      </c>
      <c r="H36" s="109" t="s">
        <v>323</v>
      </c>
      <c r="I36" s="125" t="str">
        <f t="array" ref="I36">ifna(xlookup($H36,'🙎‍♂️ Pasien'!$G$7:$G371,'🙎‍♂️ Pasien'!$H$7:$H371),"")</f>
        <v>E0025103200</v>
      </c>
      <c r="J36" s="125" t="str">
        <f t="array" ref="J36">ifna(xlookup($H36,'🙎‍♂️ Pasien'!$G$7:$G371,'🙎‍♂️ Pasien'!$L$7:$L371),"")</f>
        <v>LAKI-LAKI</v>
      </c>
      <c r="K36" s="125">
        <f t="array" ref="K36">ifna(xlookup($H36,'🙎‍♂️ Pasien'!$G$7:$G371,'🙎‍♂️ Pasien'!$I$7:$I371),"")</f>
        <v>26</v>
      </c>
      <c r="L36" s="125" t="str">
        <f t="array" ref="L36">IFNA(xlookup(H36,'🙎‍♂️ Pasien'!$G$5:$G371,'🙎‍♂️ Pasien'!$J$5:$J371),"")</f>
        <v>25-34 tahun</v>
      </c>
      <c r="M36" s="125" t="str">
        <f t="array" ref="M36">IFNA(xlookup(H36,'🙎‍♂️ Pasien'!$G$5:$G371,'🙎‍♂️ Pasien'!$S$5:$S371),"")</f>
        <v>WIRASWAATA</v>
      </c>
      <c r="N36" s="125" t="str">
        <f t="array" ref="N36">IFNA(XLOOKUP($H36,'🙎‍♂️ Pasien'!$G$7:$G371,'🙎‍♂️ Pasien'!$T$7:$T371),"")</f>
        <v>HEEL PAIN</v>
      </c>
      <c r="O36" s="16" t="s">
        <v>878</v>
      </c>
      <c r="P36" s="16" t="s">
        <v>862</v>
      </c>
      <c r="Q36" s="16" t="s">
        <v>29</v>
      </c>
      <c r="R36" s="16" t="s">
        <v>54</v>
      </c>
      <c r="S36" s="16" t="s">
        <v>56</v>
      </c>
      <c r="T36" s="16" t="s">
        <v>827</v>
      </c>
      <c r="U36" s="109" t="s">
        <v>831</v>
      </c>
      <c r="V36" s="126"/>
      <c r="W36" s="109"/>
      <c r="X36" s="109" t="str">
        <f t="array" ref="X36">IF(H36="","",XLOOKUP(H36,CATATANPELAYANAN[[#ALL],[NAMA PASIEN]],CATATANPELAYANAN[[#ALL],[LAYANAN]],"TIDAK CLOSING",0,-1))</f>
        <v>SESI TERAPI</v>
      </c>
      <c r="Y36" s="109" t="str">
        <f t="shared" si="4"/>
        <v>SESI</v>
      </c>
      <c r="Z36" s="127"/>
    </row>
    <row r="37" ht="22.5" customHeight="1">
      <c r="A37" s="122"/>
      <c r="B37" s="123">
        <v>45941.0</v>
      </c>
      <c r="C37" s="124" t="str">
        <f t="shared" si="1"/>
        <v>2025</v>
      </c>
      <c r="D37" s="124" t="str">
        <f t="shared" si="2"/>
        <v>10 Okt</v>
      </c>
      <c r="E37" s="124" t="str">
        <f t="shared" si="3"/>
        <v>Sab</v>
      </c>
      <c r="F37" s="16" t="s">
        <v>53</v>
      </c>
      <c r="G37" s="109" t="str">
        <f t="array" ref="G37">IFNA(XLOOKUP(S37,'⚙️ Pengaturan'!$H$5:$H371,'⚙️ Pengaturan'!$I$5:$I371),"")</f>
        <v>TIM A</v>
      </c>
      <c r="H37" s="109" t="s">
        <v>227</v>
      </c>
      <c r="I37" s="125" t="str">
        <f t="array" ref="I37">ifna(xlookup($H37,'🙎‍♂️ Pasien'!$G$7:$G371,'🙎‍♂️ Pasien'!$H$7:$H371),"")</f>
        <v>A9323069998</v>
      </c>
      <c r="J37" s="125" t="str">
        <f t="array" ref="J37">ifna(xlookup($H37,'🙎‍♂️ Pasien'!$G$7:$G371,'🙎‍♂️ Pasien'!$L$7:$L371),"")</f>
        <v>LAKI-LAKI</v>
      </c>
      <c r="K37" s="125">
        <f t="array" ref="K37">ifna(xlookup($H37,'🙎‍♂️ Pasien'!$G$7:$G371,'🙎‍♂️ Pasien'!$I$7:$I371),"")</f>
        <v>33</v>
      </c>
      <c r="L37" s="125" t="str">
        <f t="array" ref="L37">IFNA(xlookup(H37,'🙎‍♂️ Pasien'!$G$5:$G371,'🙎‍♂️ Pasien'!$J$5:$J371),"")</f>
        <v>25-34 tahun</v>
      </c>
      <c r="M37" s="125" t="str">
        <f t="array" ref="M37">IFNA(xlookup(H37,'🙎‍♂️ Pasien'!$G$5:$G371,'🙎‍♂️ Pasien'!$S$5:$S371),"")</f>
        <v>WIRASWASTA</v>
      </c>
      <c r="N37" s="125" t="str">
        <f t="array" ref="N37">IFNA(XLOOKUP($H37,'🙎‍♂️ Pasien'!$G$7:$G371,'🙎‍♂️ Pasien'!$T$7:$T371),"")</f>
        <v>ANGKLE PERGELANGAN TANGAN KANAN</v>
      </c>
      <c r="O37" s="16" t="s">
        <v>879</v>
      </c>
      <c r="P37" s="16" t="s">
        <v>866</v>
      </c>
      <c r="Q37" s="16" t="s">
        <v>28</v>
      </c>
      <c r="R37" s="16" t="s">
        <v>54</v>
      </c>
      <c r="S37" s="16" t="s">
        <v>72</v>
      </c>
      <c r="T37" s="16" t="s">
        <v>827</v>
      </c>
      <c r="U37" s="109"/>
      <c r="V37" s="126"/>
      <c r="W37" s="109"/>
      <c r="X37" s="109" t="str">
        <f t="array" ref="X37">IF(H37="","",XLOOKUP(H37,CATATANPELAYANAN[[#ALL],[NAMA PASIEN]],CATATANPELAYANAN[[#ALL],[LAYANAN]],"TIDAK CLOSING",0,-1))</f>
        <v>SESI TERAPI</v>
      </c>
      <c r="Y37" s="109" t="str">
        <f t="shared" si="4"/>
        <v>SESI</v>
      </c>
      <c r="Z37" s="127"/>
    </row>
    <row r="38" ht="22.5" customHeight="1">
      <c r="A38" s="122"/>
      <c r="B38" s="123">
        <v>45941.0</v>
      </c>
      <c r="C38" s="124" t="str">
        <f t="shared" si="1"/>
        <v>2025</v>
      </c>
      <c r="D38" s="124" t="str">
        <f t="shared" si="2"/>
        <v>10 Okt</v>
      </c>
      <c r="E38" s="124" t="str">
        <f t="shared" si="3"/>
        <v>Sab</v>
      </c>
      <c r="F38" s="16" t="s">
        <v>53</v>
      </c>
      <c r="G38" s="109" t="str">
        <f t="array" ref="G38">IFNA(XLOOKUP(S38,'⚙️ Pengaturan'!$H$5:$H371,'⚙️ Pengaturan'!$I$5:$I371),"")</f>
        <v>TIM A</v>
      </c>
      <c r="H38" s="109" t="s">
        <v>225</v>
      </c>
      <c r="I38" s="125" t="str">
        <f t="array" ref="I38">ifna(xlookup($H38,'🙎‍♂️ Pasien'!$G$7:$G371,'🙎‍♂️ Pasien'!$H$7:$H371),"")</f>
        <v>B8025102288</v>
      </c>
      <c r="J38" s="125" t="str">
        <f t="array" ref="J38">ifna(xlookup($H38,'🙎‍♂️ Pasien'!$G$7:$G371,'🙎‍♂️ Pasien'!$L$7:$L371),"")</f>
        <v>PEREMPUAN</v>
      </c>
      <c r="K38" s="125">
        <f t="array" ref="K38">ifna(xlookup($H38,'🙎‍♂️ Pasien'!$G$7:$G371,'🙎‍♂️ Pasien'!$I$7:$I371),"")</f>
        <v>45</v>
      </c>
      <c r="L38" s="125" t="str">
        <f t="array" ref="L38">IFNA(xlookup(H38,'🙎‍♂️ Pasien'!$G$5:$G371,'🙎‍♂️ Pasien'!$J$5:$J371),"")</f>
        <v>&gt; 44 tahun</v>
      </c>
      <c r="M38" s="125" t="str">
        <f t="array" ref="M38">IFNA(xlookup(H38,'🙎‍♂️ Pasien'!$G$5:$G371,'🙎‍♂️ Pasien'!$S$5:$S371),"")</f>
        <v>ASN</v>
      </c>
      <c r="N38" s="125" t="str">
        <f t="array" ref="N38">IFNA(XLOOKUP($H38,'🙎‍♂️ Pasien'!$G$7:$G371,'🙎‍♂️ Pasien'!$T$7:$T371),"")</f>
        <v>KELUHAN SY NYERI DI TUMIT KIRI SM PAHA KANAN UT DIANGKAT SAMBIL DITEKUK KE ARAH SAMPING LUAR RASA NYA NYERI</v>
      </c>
      <c r="O38" s="16" t="s">
        <v>880</v>
      </c>
      <c r="P38" s="16" t="s">
        <v>833</v>
      </c>
      <c r="Q38" s="16" t="s">
        <v>29</v>
      </c>
      <c r="R38" s="16" t="s">
        <v>54</v>
      </c>
      <c r="S38" s="16" t="s">
        <v>72</v>
      </c>
      <c r="T38" s="16" t="s">
        <v>830</v>
      </c>
      <c r="U38" s="109"/>
      <c r="V38" s="126"/>
      <c r="W38" s="109"/>
      <c r="X38" s="109" t="str">
        <f t="array" ref="X38">IF(H38="","",XLOOKUP(H38,CATATANPELAYANAN[[#ALL],[NAMA PASIEN]],CATATANPELAYANAN[[#ALL],[LAYANAN]],"TIDAK CLOSING",0,-1))</f>
        <v>PAKET TERAPI</v>
      </c>
      <c r="Y38" s="109" t="str">
        <f t="shared" si="4"/>
        <v>PAKET</v>
      </c>
      <c r="Z38" s="127"/>
    </row>
    <row r="39" ht="22.5" customHeight="1">
      <c r="A39" s="122"/>
      <c r="B39" s="123">
        <v>45941.0</v>
      </c>
      <c r="C39" s="124" t="str">
        <f t="shared" si="1"/>
        <v>2025</v>
      </c>
      <c r="D39" s="124" t="str">
        <f t="shared" si="2"/>
        <v>10 Okt</v>
      </c>
      <c r="E39" s="124" t="str">
        <f t="shared" si="3"/>
        <v>Sab</v>
      </c>
      <c r="F39" s="16" t="s">
        <v>53</v>
      </c>
      <c r="G39" s="109" t="str">
        <f t="array" ref="G39">IFNA(XLOOKUP(S39,'⚙️ Pengaturan'!$H$5:$H371,'⚙️ Pengaturan'!$I$5:$I371),"")</f>
        <v>TIM A</v>
      </c>
      <c r="H39" s="109" t="s">
        <v>229</v>
      </c>
      <c r="I39" s="125" t="str">
        <f t="array" ref="I39">ifna(xlookup($H39,'🙎‍♂️ Pasien'!$G$7:$G371,'🙎‍♂️ Pasien'!$H$7:$H371),"")</f>
        <v>T7524104338</v>
      </c>
      <c r="J39" s="125" t="str">
        <f t="array" ref="J39">ifna(xlookup($H39,'🙎‍♂️ Pasien'!$G$7:$G371,'🙎‍♂️ Pasien'!$L$7:$L371),"")</f>
        <v>PEREMPUAN</v>
      </c>
      <c r="K39" s="125">
        <f t="array" ref="K39">ifna(xlookup($H39,'🙎‍♂️ Pasien'!$G$7:$G371,'🙎‍♂️ Pasien'!$I$7:$I371),"")</f>
        <v>51</v>
      </c>
      <c r="L39" s="125" t="str">
        <f t="array" ref="L39">IFNA(xlookup(H39,'🙎‍♂️ Pasien'!$G$5:$G371,'🙎‍♂️ Pasien'!$J$5:$J371),"")</f>
        <v>&gt; 44 tahun</v>
      </c>
      <c r="M39" s="125" t="str">
        <f t="array" ref="M39">IFNA(xlookup(H39,'🙎‍♂️ Pasien'!$G$5:$G371,'🙎‍♂️ Pasien'!$S$5:$S371),"")</f>
        <v>RUMAH TANGGA</v>
      </c>
      <c r="N39" s="125" t="str">
        <f t="array" ref="N39">IFNA(XLOOKUP($H39,'🙎‍♂️ Pasien'!$G$7:$G371,'🙎‍♂️ Pasien'!$T$7:$T371),"")</f>
        <v>Sakit kaki</v>
      </c>
      <c r="O39" s="16" t="s">
        <v>881</v>
      </c>
      <c r="P39" s="16" t="s">
        <v>882</v>
      </c>
      <c r="Q39" s="16" t="s">
        <v>28</v>
      </c>
      <c r="R39" s="16" t="s">
        <v>54</v>
      </c>
      <c r="S39" s="16" t="s">
        <v>72</v>
      </c>
      <c r="T39" s="16" t="s">
        <v>830</v>
      </c>
      <c r="U39" s="109"/>
      <c r="V39" s="126"/>
      <c r="W39" s="109"/>
      <c r="X39" s="109" t="str">
        <f t="array" ref="X39">IF(H39="","",XLOOKUP(H39,CATATANPELAYANAN[[#ALL],[NAMA PASIEN]],CATATANPELAYANAN[[#ALL],[LAYANAN]],"TIDAK CLOSING",0,-1))</f>
        <v>SESI TERAPI</v>
      </c>
      <c r="Y39" s="109" t="str">
        <f t="shared" si="4"/>
        <v>SESI</v>
      </c>
      <c r="Z39" s="127"/>
    </row>
    <row r="40" ht="22.5" customHeight="1">
      <c r="A40" s="122"/>
      <c r="B40" s="123">
        <v>45941.0</v>
      </c>
      <c r="C40" s="124" t="str">
        <f t="shared" si="1"/>
        <v>2025</v>
      </c>
      <c r="D40" s="124" t="str">
        <f t="shared" si="2"/>
        <v>10 Okt</v>
      </c>
      <c r="E40" s="124" t="str">
        <f t="shared" si="3"/>
        <v>Sab</v>
      </c>
      <c r="F40" s="16" t="s">
        <v>85</v>
      </c>
      <c r="G40" s="109" t="str">
        <f t="array" ref="G40">IFNA(XLOOKUP(S40,'⚙️ Pengaturan'!$H$5:$H371,'⚙️ Pengaturan'!$I$5:$I371),"")</f>
        <v>TIM Y</v>
      </c>
      <c r="H40" s="109" t="s">
        <v>231</v>
      </c>
      <c r="I40" s="125" t="str">
        <f t="array" ref="I40">ifna(xlookup($H40,'🙎‍♂️ Pasien'!$G$7:$G371,'🙎‍♂️ Pasien'!$H$7:$H371),"")</f>
        <v>A1123072881</v>
      </c>
      <c r="J40" s="125" t="str">
        <f t="array" ref="J40">ifna(xlookup($H40,'🙎‍♂️ Pasien'!$G$7:$G371,'🙎‍♂️ Pasien'!$L$7:$L371),"")</f>
        <v>PEREMPUAN</v>
      </c>
      <c r="K40" s="125">
        <f t="array" ref="K40">ifna(xlookup($H40,'🙎‍♂️ Pasien'!$G$7:$G371,'🙎‍♂️ Pasien'!$I$7:$I371),"")</f>
        <v>14</v>
      </c>
      <c r="L40" s="125" t="str">
        <f t="array" ref="L40">IFNA(xlookup(H40,'🙎‍♂️ Pasien'!$G$5:$G371,'🙎‍♂️ Pasien'!$J$5:$J371),"")</f>
        <v>&lt; 18 tahun</v>
      </c>
      <c r="M40" s="125" t="str">
        <f t="array" ref="M40">IFNA(xlookup(H40,'🙎‍♂️ Pasien'!$G$5:$G371,'🙎‍♂️ Pasien'!$S$5:$S371),"")</f>
        <v>PELAJAR/MAHASISWA</v>
      </c>
      <c r="N40" s="125" t="str">
        <f t="array" ref="N40">IFNA(XLOOKUP($H40,'🙎‍♂️ Pasien'!$G$7:$G371,'🙎‍♂️ Pasien'!$T$7:$T371),"")</f>
        <v>NYERI</v>
      </c>
      <c r="O40" s="16" t="s">
        <v>883</v>
      </c>
      <c r="P40" s="16" t="s">
        <v>866</v>
      </c>
      <c r="Q40" s="16" t="s">
        <v>28</v>
      </c>
      <c r="R40" s="16" t="s">
        <v>86</v>
      </c>
      <c r="S40" s="16" t="s">
        <v>107</v>
      </c>
      <c r="T40" s="16" t="s">
        <v>830</v>
      </c>
      <c r="U40" s="109"/>
      <c r="V40" s="126"/>
      <c r="W40" s="109"/>
      <c r="X40" s="109" t="str">
        <f t="array" ref="X40">IF(H40="","",XLOOKUP(H40,CATATANPELAYANAN[[#ALL],[NAMA PASIEN]],CATATANPELAYANAN[[#ALL],[LAYANAN]],"TIDAK CLOSING",0,-1))</f>
        <v>PAKET TERAPI</v>
      </c>
      <c r="Y40" s="109" t="str">
        <f t="shared" si="4"/>
        <v>PAKET</v>
      </c>
      <c r="Z40" s="127"/>
    </row>
    <row r="41" ht="22.5" customHeight="1">
      <c r="A41" s="122"/>
      <c r="B41" s="123">
        <v>45941.0</v>
      </c>
      <c r="C41" s="124" t="str">
        <f t="shared" si="1"/>
        <v>2025</v>
      </c>
      <c r="D41" s="124" t="str">
        <f t="shared" si="2"/>
        <v>10 Okt</v>
      </c>
      <c r="E41" s="124" t="str">
        <f t="shared" si="3"/>
        <v>Sab</v>
      </c>
      <c r="F41" s="16" t="s">
        <v>85</v>
      </c>
      <c r="G41" s="109" t="str">
        <f t="array" ref="G41">IFNA(XLOOKUP(S41,'⚙️ Pengaturan'!$H$5:$H371,'⚙️ Pengaturan'!$I$5:$I371),"")</f>
        <v>TIM Y</v>
      </c>
      <c r="H41" s="109" t="s">
        <v>884</v>
      </c>
      <c r="I41" s="125" t="str">
        <f t="array" ref="I41">ifna(xlookup($H41,'🙎‍♂️ Pasien'!$G$7:$G371,'🙎‍♂️ Pasien'!$H$7:$H371),"")</f>
        <v/>
      </c>
      <c r="J41" s="125" t="str">
        <f t="array" ref="J41">ifna(xlookup($H41,'🙎‍♂️ Pasien'!$G$7:$G371,'🙎‍♂️ Pasien'!$L$7:$L371),"")</f>
        <v/>
      </c>
      <c r="K41" s="125" t="str">
        <f t="array" ref="K41">ifna(xlookup($H41,'🙎‍♂️ Pasien'!$G$7:$G371,'🙎‍♂️ Pasien'!$I$7:$I371),"")</f>
        <v/>
      </c>
      <c r="L41" s="125" t="str">
        <f t="array" ref="L41">IFNA(xlookup(H41,'🙎‍♂️ Pasien'!$G$5:$G371,'🙎‍♂️ Pasien'!$J$5:$J371),"")</f>
        <v/>
      </c>
      <c r="M41" s="125" t="str">
        <f t="array" ref="M41">IFNA(xlookup(H41,'🙎‍♂️ Pasien'!$G$5:$G371,'🙎‍♂️ Pasien'!$S$5:$S371),"")</f>
        <v/>
      </c>
      <c r="N41" s="125" t="str">
        <f t="array" ref="N41">IFNA(XLOOKUP($H41,'🙎‍♂️ Pasien'!$G$7:$G371,'🙎‍♂️ Pasien'!$T$7:$T371),"")</f>
        <v/>
      </c>
      <c r="O41" s="16" t="s">
        <v>832</v>
      </c>
      <c r="P41" s="16" t="s">
        <v>833</v>
      </c>
      <c r="Q41" s="16" t="s">
        <v>29</v>
      </c>
      <c r="R41" s="16" t="s">
        <v>86</v>
      </c>
      <c r="S41" s="16" t="s">
        <v>91</v>
      </c>
      <c r="T41" s="16" t="s">
        <v>834</v>
      </c>
      <c r="U41" s="109" t="s">
        <v>831</v>
      </c>
      <c r="V41" s="126"/>
      <c r="W41" s="109"/>
      <c r="X41" s="109" t="str">
        <f t="array" ref="X41">IF(H41="","",XLOOKUP(H41,CATATANPELAYANAN[[#ALL],[NAMA PASIEN]],CATATANPELAYANAN[[#ALL],[LAYANAN]],"TIDAK CLOSING",0,-1))</f>
        <v>TIDAK CLOSING</v>
      </c>
      <c r="Y41" s="109" t="str">
        <f t="shared" si="4"/>
        <v>TIDAK CLOSING</v>
      </c>
      <c r="Z41" s="127"/>
    </row>
    <row r="42" ht="22.5" customHeight="1">
      <c r="A42" s="122"/>
      <c r="B42" s="123">
        <v>45942.0</v>
      </c>
      <c r="C42" s="124" t="str">
        <f t="shared" si="1"/>
        <v>2025</v>
      </c>
      <c r="D42" s="124" t="str">
        <f t="shared" si="2"/>
        <v>10 Okt</v>
      </c>
      <c r="E42" s="124" t="str">
        <f t="shared" si="3"/>
        <v>Min</v>
      </c>
      <c r="F42" s="16" t="s">
        <v>53</v>
      </c>
      <c r="G42" s="109" t="str">
        <f t="array" ref="G42">IFNA(XLOOKUP(S42,'⚙️ Pengaturan'!$H$5:$H371,'⚙️ Pengaturan'!$I$5:$I371),"")</f>
        <v>TIM Y</v>
      </c>
      <c r="H42" s="109" t="s">
        <v>237</v>
      </c>
      <c r="I42" s="125" t="str">
        <f t="array" ref="I42">ifna(xlookup($H42,'🙎‍♂️ Pasien'!$G$7:$G371,'🙎‍♂️ Pasien'!$H$7:$H371),"")</f>
        <v>T8625107487</v>
      </c>
      <c r="J42" s="125" t="str">
        <f t="array" ref="J42">ifna(xlookup($H42,'🙎‍♂️ Pasien'!$G$7:$G371,'🙎‍♂️ Pasien'!$L$7:$L371),"")</f>
        <v>LAKI-LAKI</v>
      </c>
      <c r="K42" s="125">
        <f t="array" ref="K42">ifna(xlookup($H42,'🙎‍♂️ Pasien'!$G$7:$G371,'🙎‍♂️ Pasien'!$I$7:$I371),"")</f>
        <v>39</v>
      </c>
      <c r="L42" s="125" t="str">
        <f t="array" ref="L42">IFNA(xlookup(H42,'🙎‍♂️ Pasien'!$G$5:$G371,'🙎‍♂️ Pasien'!$J$5:$J371),"")</f>
        <v>35-44 tahun</v>
      </c>
      <c r="M42" s="125" t="str">
        <f t="array" ref="M42">IFNA(xlookup(H42,'🙎‍♂️ Pasien'!$G$5:$G371,'🙎‍♂️ Pasien'!$S$5:$S371),"")</f>
        <v>PNS</v>
      </c>
      <c r="N42" s="125" t="str">
        <f t="array" ref="N42">IFNA(XLOOKUP($H42,'🙎‍♂️ Pasien'!$G$7:$G371,'🙎‍♂️ Pasien'!$T$7:$T371),"")</f>
        <v>NYERI DI BELIKAT DEPAN BELAKANG</v>
      </c>
      <c r="O42" s="16" t="s">
        <v>885</v>
      </c>
      <c r="P42" s="16" t="s">
        <v>869</v>
      </c>
      <c r="Q42" s="16" t="s">
        <v>29</v>
      </c>
      <c r="R42" s="16" t="s">
        <v>86</v>
      </c>
      <c r="S42" s="16" t="s">
        <v>56</v>
      </c>
      <c r="T42" s="16" t="s">
        <v>834</v>
      </c>
      <c r="U42" s="109" t="s">
        <v>886</v>
      </c>
      <c r="V42" s="126"/>
      <c r="W42" s="109"/>
      <c r="X42" s="109" t="str">
        <f t="array" ref="X42">IF(H42="","",XLOOKUP(H42,CATATANPELAYANAN[[#ALL],[NAMA PASIEN]],CATATANPELAYANAN[[#ALL],[LAYANAN]],"TIDAK CLOSING",0,-1))</f>
        <v>TERAPI AWAL</v>
      </c>
      <c r="Y42" s="109" t="str">
        <f t="shared" si="4"/>
        <v>TIDAK CLOSING</v>
      </c>
      <c r="Z42" s="127"/>
    </row>
    <row r="43" ht="22.5" customHeight="1">
      <c r="A43" s="122"/>
      <c r="B43" s="123">
        <v>45942.0</v>
      </c>
      <c r="C43" s="124" t="str">
        <f t="shared" si="1"/>
        <v>2025</v>
      </c>
      <c r="D43" s="124" t="str">
        <f t="shared" si="2"/>
        <v>10 Okt</v>
      </c>
      <c r="E43" s="124" t="str">
        <f t="shared" si="3"/>
        <v>Min</v>
      </c>
      <c r="F43" s="16" t="s">
        <v>85</v>
      </c>
      <c r="G43" s="109" t="str">
        <f t="array" ref="G43">IFNA(XLOOKUP(S43,'⚙️ Pengaturan'!$H$5:$H371,'⚙️ Pengaturan'!$I$5:$I371),"")</f>
        <v>TIM Y</v>
      </c>
      <c r="H43" s="109" t="s">
        <v>239</v>
      </c>
      <c r="I43" s="125" t="str">
        <f t="array" ref="I43">ifna(xlookup($H43,'🙎‍♂️ Pasien'!$G$7:$G371,'🙎‍♂️ Pasien'!$H$7:$H371),"")</f>
        <v>A0623071437</v>
      </c>
      <c r="J43" s="125" t="str">
        <f t="array" ref="J43">ifna(xlookup($H43,'🙎‍♂️ Pasien'!$G$7:$G371,'🙎‍♂️ Pasien'!$L$7:$L371),"")</f>
        <v>LAKI-LAKI</v>
      </c>
      <c r="K43" s="125">
        <f t="array" ref="K43">ifna(xlookup($H43,'🙎‍♂️ Pasien'!$G$7:$G371,'🙎‍♂️ Pasien'!$I$7:$I371),"")</f>
        <v>20</v>
      </c>
      <c r="L43" s="125" t="str">
        <f t="array" ref="L43">IFNA(xlookup(H43,'🙎‍♂️ Pasien'!$G$5:$G371,'🙎‍♂️ Pasien'!$J$5:$J371),"")</f>
        <v>18-24 tahun</v>
      </c>
      <c r="M43" s="125" t="str">
        <f t="array" ref="M43">IFNA(xlookup(H43,'🙎‍♂️ Pasien'!$G$5:$G371,'🙎‍♂️ Pasien'!$S$5:$S371),"")</f>
        <v>PELAJAR/MAHASISWA</v>
      </c>
      <c r="N43" s="125" t="str">
        <f t="array" ref="N43">IFNA(XLOOKUP($H43,'🙎‍♂️ Pasien'!$G$7:$G371,'🙎‍♂️ Pasien'!$T$7:$T371),"")</f>
        <v>Cedera Engkel Di Kaki</v>
      </c>
      <c r="O43" s="16" t="s">
        <v>842</v>
      </c>
      <c r="P43" s="16" t="s">
        <v>836</v>
      </c>
      <c r="Q43" s="16" t="s">
        <v>28</v>
      </c>
      <c r="R43" s="16" t="s">
        <v>54</v>
      </c>
      <c r="S43" s="16" t="s">
        <v>107</v>
      </c>
      <c r="T43" s="16" t="s">
        <v>830</v>
      </c>
      <c r="U43" s="109"/>
      <c r="V43" s="126"/>
      <c r="W43" s="109"/>
      <c r="X43" s="109" t="str">
        <f t="array" ref="X43">IF(H43="","",XLOOKUP(H43,CATATANPELAYANAN[[#ALL],[NAMA PASIEN]],CATATANPELAYANAN[[#ALL],[LAYANAN]],"TIDAK CLOSING",0,-1))</f>
        <v>PAKET TERAPI</v>
      </c>
      <c r="Y43" s="109" t="str">
        <f t="shared" si="4"/>
        <v>PAKET</v>
      </c>
      <c r="Z43" s="127"/>
    </row>
    <row r="44" ht="22.5" customHeight="1">
      <c r="A44" s="122"/>
      <c r="B44" s="123">
        <v>45942.0</v>
      </c>
      <c r="C44" s="124" t="str">
        <f t="shared" si="1"/>
        <v>2025</v>
      </c>
      <c r="D44" s="124" t="str">
        <f t="shared" si="2"/>
        <v>10 Okt</v>
      </c>
      <c r="E44" s="124" t="str">
        <f t="shared" si="3"/>
        <v>Min</v>
      </c>
      <c r="F44" s="16" t="s">
        <v>85</v>
      </c>
      <c r="G44" s="109" t="str">
        <f t="array" ref="G44">IFNA(XLOOKUP(S44,'⚙️ Pengaturan'!$H$5:$H371,'⚙️ Pengaturan'!$I$5:$I371),"")</f>
        <v>TIM A</v>
      </c>
      <c r="H44" s="109" t="s">
        <v>242</v>
      </c>
      <c r="I44" s="125" t="s">
        <v>887</v>
      </c>
      <c r="J44" s="125" t="s">
        <v>888</v>
      </c>
      <c r="K44" s="125">
        <v>31.0</v>
      </c>
      <c r="L44" s="125" t="s">
        <v>889</v>
      </c>
      <c r="M44" s="125" t="s">
        <v>890</v>
      </c>
      <c r="N44" s="125" t="s">
        <v>891</v>
      </c>
      <c r="O44" s="16" t="s">
        <v>828</v>
      </c>
      <c r="P44" s="16" t="s">
        <v>862</v>
      </c>
      <c r="Q44" s="16" t="s">
        <v>29</v>
      </c>
      <c r="R44" s="16" t="s">
        <v>54</v>
      </c>
      <c r="S44" s="16" t="s">
        <v>62</v>
      </c>
      <c r="T44" s="16" t="s">
        <v>827</v>
      </c>
      <c r="U44" s="109"/>
      <c r="V44" s="126"/>
      <c r="W44" s="109"/>
      <c r="X44" s="109" t="str">
        <f t="array" ref="X44">IF(H44="","",XLOOKUP(H44,CATATANPELAYANAN[[#ALL],[NAMA PASIEN]],CATATANPELAYANAN[[#ALL],[LAYANAN]],"TIDAK CLOSING",0,-1))</f>
        <v>SESI TERAPI</v>
      </c>
      <c r="Y44" s="109" t="str">
        <f t="shared" si="4"/>
        <v>SESI</v>
      </c>
      <c r="Z44" s="127"/>
    </row>
    <row r="45" ht="22.5" customHeight="1">
      <c r="A45" s="122"/>
      <c r="B45" s="123">
        <v>45943.0</v>
      </c>
      <c r="C45" s="124" t="str">
        <f t="shared" si="1"/>
        <v>2025</v>
      </c>
      <c r="D45" s="124" t="str">
        <f t="shared" si="2"/>
        <v>10 Okt</v>
      </c>
      <c r="E45" s="124" t="str">
        <f t="shared" si="3"/>
        <v>Sen</v>
      </c>
      <c r="F45" s="16" t="s">
        <v>53</v>
      </c>
      <c r="G45" s="109" t="str">
        <f t="array" ref="G45">IFNA(XLOOKUP(S45,'⚙️ Pengaturan'!$H$5:$H371,'⚙️ Pengaturan'!$I$5:$I371),"")</f>
        <v>TIM Y</v>
      </c>
      <c r="H45" s="109" t="s">
        <v>892</v>
      </c>
      <c r="I45" s="125" t="str">
        <f t="array" ref="I45">ifna(xlookup($H45,'🙎‍♂️ Pasien'!$G$7:$G371,'🙎‍♂️ Pasien'!$H$7:$H371),"")</f>
        <v/>
      </c>
      <c r="J45" s="125" t="str">
        <f t="array" ref="J45">ifna(xlookup($H45,'🙎‍♂️ Pasien'!$G$7:$G371,'🙎‍♂️ Pasien'!$L$7:$L371),"")</f>
        <v/>
      </c>
      <c r="K45" s="125" t="str">
        <f t="array" ref="K45">ifna(xlookup($H45,'🙎‍♂️ Pasien'!$G$7:$G371,'🙎‍♂️ Pasien'!$I$7:$I371),"")</f>
        <v/>
      </c>
      <c r="L45" s="125" t="str">
        <f t="array" ref="L45">IFNA(xlookup(H45,'🙎‍♂️ Pasien'!$G$5:$G371,'🙎‍♂️ Pasien'!$J$5:$J371),"")</f>
        <v/>
      </c>
      <c r="M45" s="125" t="str">
        <f t="array" ref="M45">IFNA(xlookup(H45,'🙎‍♂️ Pasien'!$G$5:$G371,'🙎‍♂️ Pasien'!$S$5:$S371),"")</f>
        <v/>
      </c>
      <c r="N45" s="125" t="str">
        <f t="array" ref="N45">IFNA(XLOOKUP($H45,'🙎‍♂️ Pasien'!$G$7:$G371,'🙎‍♂️ Pasien'!$T$7:$T371),"")</f>
        <v/>
      </c>
      <c r="O45" s="16" t="s">
        <v>828</v>
      </c>
      <c r="P45" s="16" t="s">
        <v>826</v>
      </c>
      <c r="Q45" s="16" t="s">
        <v>29</v>
      </c>
      <c r="R45" s="16" t="s">
        <v>54</v>
      </c>
      <c r="S45" s="16" t="s">
        <v>107</v>
      </c>
      <c r="T45" s="16" t="s">
        <v>830</v>
      </c>
      <c r="U45" s="109"/>
      <c r="V45" s="126"/>
      <c r="W45" s="109"/>
      <c r="X45" s="109" t="str">
        <f t="array" ref="X45">IF(H45="","",XLOOKUP(H45,CATATANPELAYANAN[[#ALL],[NAMA PASIEN]],CATATANPELAYANAN[[#ALL],[LAYANAN]],"TIDAK CLOSING",0,-1))</f>
        <v>TIDAK CLOSING</v>
      </c>
      <c r="Y45" s="109" t="str">
        <f t="shared" si="4"/>
        <v>TIDAK CLOSING</v>
      </c>
      <c r="Z45" s="127"/>
    </row>
    <row r="46" ht="22.5" customHeight="1">
      <c r="A46" s="122"/>
      <c r="B46" s="123">
        <v>45943.0</v>
      </c>
      <c r="C46" s="124" t="str">
        <f t="shared" si="1"/>
        <v>2025</v>
      </c>
      <c r="D46" s="124" t="str">
        <f t="shared" si="2"/>
        <v>10 Okt</v>
      </c>
      <c r="E46" s="124" t="str">
        <f t="shared" si="3"/>
        <v>Sen</v>
      </c>
      <c r="F46" s="16" t="s">
        <v>85</v>
      </c>
      <c r="G46" s="109" t="str">
        <f t="array" ref="G46">IFNA(XLOOKUP(S46,'⚙️ Pengaturan'!$H$5:$H371,'⚙️ Pengaturan'!$I$5:$I371),"")</f>
        <v>TIM A</v>
      </c>
      <c r="H46" s="109" t="s">
        <v>893</v>
      </c>
      <c r="I46" s="125" t="str">
        <f t="array" ref="I46">ifna(xlookup($H46,'🙎‍♂️ Pasien'!$G$7:$G371,'🙎‍♂️ Pasien'!$H$7:$H371),"")</f>
        <v/>
      </c>
      <c r="J46" s="125" t="str">
        <f t="array" ref="J46">ifna(xlookup($H46,'🙎‍♂️ Pasien'!$G$7:$G371,'🙎‍♂️ Pasien'!$L$7:$L371),"")</f>
        <v/>
      </c>
      <c r="K46" s="125" t="str">
        <f t="array" ref="K46">ifna(xlookup($H46,'🙎‍♂️ Pasien'!$G$7:$G371,'🙎‍♂️ Pasien'!$I$7:$I371),"")</f>
        <v/>
      </c>
      <c r="L46" s="125" t="str">
        <f t="array" ref="L46">IFNA(xlookup(H46,'🙎‍♂️ Pasien'!$G$5:$G371,'🙎‍♂️ Pasien'!$J$5:$J371),"")</f>
        <v/>
      </c>
      <c r="M46" s="125" t="str">
        <f t="array" ref="M46">IFNA(xlookup(H46,'🙎‍♂️ Pasien'!$G$5:$G371,'🙎‍♂️ Pasien'!$S$5:$S371),"")</f>
        <v/>
      </c>
      <c r="N46" s="125" t="str">
        <f t="array" ref="N46">IFNA(XLOOKUP($H46,'🙎‍♂️ Pasien'!$G$7:$G371,'🙎‍♂️ Pasien'!$T$7:$T371),"")</f>
        <v/>
      </c>
      <c r="O46" s="16" t="s">
        <v>894</v>
      </c>
      <c r="P46" s="16" t="s">
        <v>826</v>
      </c>
      <c r="Q46" s="16" t="s">
        <v>29</v>
      </c>
      <c r="R46" s="16" t="s">
        <v>86</v>
      </c>
      <c r="S46" s="16" t="s">
        <v>62</v>
      </c>
      <c r="T46" s="16" t="s">
        <v>827</v>
      </c>
      <c r="U46" s="109"/>
      <c r="V46" s="126"/>
      <c r="W46" s="109"/>
      <c r="X46" s="109" t="str">
        <f t="array" ref="X46">IF(H46="","",XLOOKUP(H46,CATATANPELAYANAN[[#ALL],[NAMA PASIEN]],CATATANPELAYANAN[[#ALL],[LAYANAN]],"TIDAK CLOSING",0,-1))</f>
        <v>TIDAK CLOSING</v>
      </c>
      <c r="Y46" s="109" t="str">
        <f t="shared" si="4"/>
        <v>TIDAK CLOSING</v>
      </c>
      <c r="Z46" s="127"/>
    </row>
    <row r="47" ht="22.5" customHeight="1">
      <c r="A47" s="122"/>
      <c r="B47" s="123">
        <v>45943.0</v>
      </c>
      <c r="C47" s="124" t="str">
        <f t="shared" si="1"/>
        <v>2025</v>
      </c>
      <c r="D47" s="124" t="str">
        <f t="shared" si="2"/>
        <v>10 Okt</v>
      </c>
      <c r="E47" s="124" t="str">
        <f t="shared" si="3"/>
        <v>Sen</v>
      </c>
      <c r="F47" s="16" t="s">
        <v>85</v>
      </c>
      <c r="G47" s="109" t="str">
        <f t="array" ref="G47">IFNA(XLOOKUP(S47,'⚙️ Pengaturan'!$H$5:$H371,'⚙️ Pengaturan'!$I$5:$I371),"")</f>
        <v>TIM A</v>
      </c>
      <c r="H47" s="109" t="s">
        <v>253</v>
      </c>
      <c r="I47" s="125" t="str">
        <f t="array" ref="I47">ifna(xlookup($H47,'🙎‍♂️ Pasien'!$G$7:$G371,'🙎‍♂️ Pasien'!$H$7:$H371),"")</f>
        <v>N5125073362</v>
      </c>
      <c r="J47" s="125" t="str">
        <f t="array" ref="J47">ifna(xlookup($H47,'🙎‍♂️ Pasien'!$G$7:$G371,'🙎‍♂️ Pasien'!$L$7:$L371),"")</f>
        <v>PEREMPUAN</v>
      </c>
      <c r="K47" s="125">
        <f t="array" ref="K47">ifna(xlookup($H47,'🙎‍♂️ Pasien'!$G$7:$G371,'🙎‍♂️ Pasien'!$I$7:$I371),"")</f>
        <v>74</v>
      </c>
      <c r="L47" s="125" t="str">
        <f t="array" ref="L47">IFNA(xlookup(H47,'🙎‍♂️ Pasien'!$G$5:$G371,'🙎‍♂️ Pasien'!$J$5:$J371),"")</f>
        <v>&gt; 44 tahun</v>
      </c>
      <c r="M47" s="125" t="str">
        <f t="array" ref="M47">IFNA(xlookup(H47,'🙎‍♂️ Pasien'!$G$5:$G371,'🙎‍♂️ Pasien'!$S$5:$S371),"")</f>
        <v>PENSIUNAN</v>
      </c>
      <c r="N47" s="125" t="str">
        <f t="array" ref="N47">IFNA(XLOOKUP($H47,'🙎‍♂️ Pasien'!$G$7:$G371,'🙎‍♂️ Pasien'!$T$7:$T371),"")</f>
        <v>SAKIT PADA LUTUT UNTUK JALAN</v>
      </c>
      <c r="O47" s="16" t="s">
        <v>843</v>
      </c>
      <c r="P47" s="16" t="s">
        <v>839</v>
      </c>
      <c r="Q47" s="16" t="s">
        <v>28</v>
      </c>
      <c r="R47" s="16" t="s">
        <v>86</v>
      </c>
      <c r="S47" s="16" t="s">
        <v>62</v>
      </c>
      <c r="T47" s="16" t="s">
        <v>827</v>
      </c>
      <c r="U47" s="109"/>
      <c r="V47" s="126"/>
      <c r="W47" s="109"/>
      <c r="X47" s="109" t="str">
        <f t="array" ref="X47">IF(H47="","",XLOOKUP(H47,CATATANPELAYANAN[[#ALL],[NAMA PASIEN]],CATATANPELAYANAN[[#ALL],[LAYANAN]],"TIDAK CLOSING",0,-1))</f>
        <v>SESI TERAPI</v>
      </c>
      <c r="Y47" s="109" t="str">
        <f t="shared" si="4"/>
        <v>SESI</v>
      </c>
      <c r="Z47" s="127"/>
    </row>
    <row r="48" ht="22.5" customHeight="1">
      <c r="A48" s="122"/>
      <c r="B48" s="123">
        <v>45943.0</v>
      </c>
      <c r="C48" s="124" t="str">
        <f t="shared" si="1"/>
        <v>2025</v>
      </c>
      <c r="D48" s="124" t="str">
        <f t="shared" si="2"/>
        <v>10 Okt</v>
      </c>
      <c r="E48" s="124" t="str">
        <f t="shared" si="3"/>
        <v>Sen</v>
      </c>
      <c r="F48" s="16" t="s">
        <v>85</v>
      </c>
      <c r="G48" s="109" t="str">
        <f t="array" ref="G48">IFNA(XLOOKUP(S48,'⚙️ Pengaturan'!$H$5:$H371,'⚙️ Pengaturan'!$I$5:$I371),"")</f>
        <v>TIM A</v>
      </c>
      <c r="H48" s="109" t="s">
        <v>895</v>
      </c>
      <c r="I48" s="125" t="str">
        <f t="array" ref="I48">ifna(xlookup($H48,'🙎‍♂️ Pasien'!$G$7:$G371,'🙎‍♂️ Pasien'!$H$7:$H371),"")</f>
        <v/>
      </c>
      <c r="J48" s="125" t="str">
        <f t="array" ref="J48">ifna(xlookup($H48,'🙎‍♂️ Pasien'!$G$7:$G371,'🙎‍♂️ Pasien'!$L$7:$L371),"")</f>
        <v/>
      </c>
      <c r="K48" s="125" t="str">
        <f t="array" ref="K48">ifna(xlookup($H48,'🙎‍♂️ Pasien'!$G$7:$G371,'🙎‍♂️ Pasien'!$I$7:$I371),"")</f>
        <v/>
      </c>
      <c r="L48" s="125" t="str">
        <f t="array" ref="L48">IFNA(xlookup(H48,'🙎‍♂️ Pasien'!$G$5:$G371,'🙎‍♂️ Pasien'!$J$5:$J371),"")</f>
        <v/>
      </c>
      <c r="M48" s="125" t="str">
        <f t="array" ref="M48">IFNA(xlookup(H48,'🙎‍♂️ Pasien'!$G$5:$G371,'🙎‍♂️ Pasien'!$S$5:$S371),"")</f>
        <v/>
      </c>
      <c r="N48" s="125" t="str">
        <f t="array" ref="N48">IFNA(XLOOKUP($H48,'🙎‍♂️ Pasien'!$G$7:$G371,'🙎‍♂️ Pasien'!$T$7:$T371),"")</f>
        <v/>
      </c>
      <c r="O48" s="16" t="s">
        <v>854</v>
      </c>
      <c r="P48" s="16" t="s">
        <v>836</v>
      </c>
      <c r="Q48" s="16" t="s">
        <v>29</v>
      </c>
      <c r="R48" s="16" t="s">
        <v>86</v>
      </c>
      <c r="S48" s="16" t="s">
        <v>62</v>
      </c>
      <c r="T48" s="16" t="s">
        <v>827</v>
      </c>
      <c r="U48" s="109"/>
      <c r="V48" s="126"/>
      <c r="W48" s="109"/>
      <c r="X48" s="109" t="str">
        <f t="array" ref="X48">IF(H48="","",XLOOKUP(H48,CATATANPELAYANAN[[#ALL],[NAMA PASIEN]],CATATANPELAYANAN[[#ALL],[LAYANAN]],"TIDAK CLOSING",0,-1))</f>
        <v>TIDAK CLOSING</v>
      </c>
      <c r="Y48" s="109" t="str">
        <f t="shared" si="4"/>
        <v>TIDAK CLOSING</v>
      </c>
      <c r="Z48" s="127"/>
    </row>
    <row r="49" ht="22.5" customHeight="1">
      <c r="A49" s="122"/>
      <c r="B49" s="123">
        <v>45944.0</v>
      </c>
      <c r="C49" s="124" t="str">
        <f t="shared" si="1"/>
        <v>2025</v>
      </c>
      <c r="D49" s="124" t="str">
        <f t="shared" si="2"/>
        <v>10 Okt</v>
      </c>
      <c r="E49" s="124" t="str">
        <f t="shared" si="3"/>
        <v>Sel</v>
      </c>
      <c r="F49" s="16" t="s">
        <v>85</v>
      </c>
      <c r="G49" s="109" t="str">
        <f t="array" ref="G49">IFNA(XLOOKUP(S49,'⚙️ Pengaturan'!$H$5:$H371,'⚙️ Pengaturan'!$I$5:$I371),"")</f>
        <v>TIM Y</v>
      </c>
      <c r="H49" s="109" t="s">
        <v>257</v>
      </c>
      <c r="I49" s="125" t="str">
        <f t="array" ref="I49">ifna(xlookup($H49,'🙎‍♂️ Pasien'!$G$7:$G371,'🙎‍♂️ Pasien'!$H$7:$H371),"")</f>
        <v>A1025102304</v>
      </c>
      <c r="J49" s="125" t="str">
        <f t="array" ref="J49">ifna(xlookup($H49,'🙎‍♂️ Pasien'!$G$7:$G371,'🙎‍♂️ Pasien'!$L$7:$L371),"")</f>
        <v>LAKI-LAKI</v>
      </c>
      <c r="K49" s="125">
        <f t="array" ref="K49">ifna(xlookup($H49,'🙎‍♂️ Pasien'!$G$7:$G371,'🙎‍♂️ Pasien'!$I$7:$I371),"")</f>
        <v>16</v>
      </c>
      <c r="L49" s="125" t="str">
        <f t="array" ref="L49">IFNA(xlookup(H49,'🙎‍♂️ Pasien'!$G$5:$G371,'🙎‍♂️ Pasien'!$J$5:$J371),"")</f>
        <v>&lt; 18 tahun</v>
      </c>
      <c r="M49" s="125" t="str">
        <f t="array" ref="M49">IFNA(xlookup(H49,'🙎‍♂️ Pasien'!$G$5:$G371,'🙎‍♂️ Pasien'!$S$5:$S371),"")</f>
        <v>PELAJAR</v>
      </c>
      <c r="N49" s="125" t="str">
        <f t="array" ref="N49">IFNA(XLOOKUP($H49,'🙎‍♂️ Pasien'!$G$7:$G371,'🙎‍♂️ Pasien'!$T$7:$T371),"")</f>
        <v>NYERI SENDI KAKI</v>
      </c>
      <c r="O49" s="16" t="s">
        <v>896</v>
      </c>
      <c r="P49" s="16" t="s">
        <v>833</v>
      </c>
      <c r="Q49" s="16" t="s">
        <v>29</v>
      </c>
      <c r="R49" s="16" t="s">
        <v>54</v>
      </c>
      <c r="S49" s="16" t="s">
        <v>107</v>
      </c>
      <c r="T49" s="16" t="s">
        <v>830</v>
      </c>
      <c r="U49" s="109"/>
      <c r="V49" s="126"/>
      <c r="W49" s="109"/>
      <c r="X49" s="109" t="str">
        <f t="array" ref="X49">IF(H49="","",XLOOKUP(H49,CATATANPELAYANAN[[#ALL],[NAMA PASIEN]],CATATANPELAYANAN[[#ALL],[LAYANAN]],"TIDAK CLOSING",0,-1))</f>
        <v>PAKET TERAPI</v>
      </c>
      <c r="Y49" s="109" t="str">
        <f t="shared" si="4"/>
        <v>PAKET</v>
      </c>
      <c r="Z49" s="127"/>
    </row>
    <row r="50" ht="22.5" customHeight="1">
      <c r="A50" s="122"/>
      <c r="B50" s="123">
        <v>45944.0</v>
      </c>
      <c r="C50" s="124" t="str">
        <f t="shared" si="1"/>
        <v>2025</v>
      </c>
      <c r="D50" s="124" t="str">
        <f t="shared" si="2"/>
        <v>10 Okt</v>
      </c>
      <c r="E50" s="124" t="str">
        <f t="shared" si="3"/>
        <v>Sel</v>
      </c>
      <c r="F50" s="16" t="s">
        <v>85</v>
      </c>
      <c r="G50" s="109" t="str">
        <f t="array" ref="G50">IFNA(XLOOKUP(S50,'⚙️ Pengaturan'!$H$5:$H371,'⚙️ Pengaturan'!$I$5:$I371),"")</f>
        <v>TIM Y</v>
      </c>
      <c r="H50" s="109" t="s">
        <v>897</v>
      </c>
      <c r="I50" s="125" t="str">
        <f t="array" ref="I50">ifna(xlookup($H50,'🙎‍♂️ Pasien'!$G$7:$G371,'🙎‍♂️ Pasien'!$H$7:$H371),"")</f>
        <v/>
      </c>
      <c r="J50" s="125" t="str">
        <f t="array" ref="J50">ifna(xlookup($H50,'🙎‍♂️ Pasien'!$G$7:$G371,'🙎‍♂️ Pasien'!$L$7:$L371),"")</f>
        <v/>
      </c>
      <c r="K50" s="125" t="str">
        <f t="array" ref="K50">ifna(xlookup($H50,'🙎‍♂️ Pasien'!$G$7:$G371,'🙎‍♂️ Pasien'!$I$7:$I371),"")</f>
        <v/>
      </c>
      <c r="L50" s="125" t="str">
        <f t="array" ref="L50">IFNA(xlookup(H50,'🙎‍♂️ Pasien'!$G$5:$G371,'🙎‍♂️ Pasien'!$J$5:$J371),"")</f>
        <v/>
      </c>
      <c r="M50" s="125" t="str">
        <f t="array" ref="M50">IFNA(xlookup(H50,'🙎‍♂️ Pasien'!$G$5:$G371,'🙎‍♂️ Pasien'!$S$5:$S371),"")</f>
        <v/>
      </c>
      <c r="N50" s="125" t="str">
        <f t="array" ref="N50">IFNA(XLOOKUP($H50,'🙎‍♂️ Pasien'!$G$7:$G371,'🙎‍♂️ Pasien'!$T$7:$T371),"")</f>
        <v/>
      </c>
      <c r="O50" s="16" t="s">
        <v>898</v>
      </c>
      <c r="P50" s="16" t="s">
        <v>836</v>
      </c>
      <c r="Q50" s="16" t="s">
        <v>29</v>
      </c>
      <c r="R50" s="16" t="s">
        <v>54</v>
      </c>
      <c r="S50" s="16" t="s">
        <v>88</v>
      </c>
      <c r="T50" s="16" t="s">
        <v>827</v>
      </c>
      <c r="U50" s="109"/>
      <c r="V50" s="126"/>
      <c r="W50" s="109"/>
      <c r="X50" s="109" t="str">
        <f t="array" ref="X50">IF(H50="","",XLOOKUP(H50,CATATANPELAYANAN[[#ALL],[NAMA PASIEN]],CATATANPELAYANAN[[#ALL],[LAYANAN]],"TIDAK CLOSING",0,-1))</f>
        <v>TIDAK CLOSING</v>
      </c>
      <c r="Y50" s="109" t="str">
        <f t="shared" si="4"/>
        <v>TIDAK CLOSING</v>
      </c>
      <c r="Z50" s="127"/>
    </row>
    <row r="51" ht="22.5" customHeight="1">
      <c r="A51" s="122"/>
      <c r="B51" s="123">
        <v>45945.0</v>
      </c>
      <c r="C51" s="124" t="str">
        <f t="shared" si="1"/>
        <v>2025</v>
      </c>
      <c r="D51" s="124" t="str">
        <f t="shared" si="2"/>
        <v>10 Okt</v>
      </c>
      <c r="E51" s="124" t="str">
        <f t="shared" si="3"/>
        <v>Rab</v>
      </c>
      <c r="F51" s="16" t="s">
        <v>53</v>
      </c>
      <c r="G51" s="109" t="str">
        <f t="array" ref="G51">IFNA(XLOOKUP(S51,'⚙️ Pengaturan'!$H$5:$H371,'⚙️ Pengaturan'!$I$5:$I371),"")</f>
        <v>TIM A</v>
      </c>
      <c r="H51" s="109" t="s">
        <v>262</v>
      </c>
      <c r="I51" s="125" t="str">
        <f t="array" ref="I51">ifna(xlookup($H51,'🙎‍♂️ Pasien'!$G$7:$G371,'🙎‍♂️ Pasien'!$H$7:$H371),"")</f>
        <v>M7825100800</v>
      </c>
      <c r="J51" s="125" t="str">
        <f t="array" ref="J51">ifna(xlookup($H51,'🙎‍♂️ Pasien'!$G$7:$G371,'🙎‍♂️ Pasien'!$L$7:$L371),"")</f>
        <v>PEREMPUAN</v>
      </c>
      <c r="K51" s="125">
        <f t="array" ref="K51">ifna(xlookup($H51,'🙎‍♂️ Pasien'!$G$7:$G371,'🙎‍♂️ Pasien'!$I$7:$I371),"")</f>
        <v>48</v>
      </c>
      <c r="L51" s="125" t="str">
        <f t="array" ref="L51">IFNA(xlookup(H51,'🙎‍♂️ Pasien'!$G$5:$G371,'🙎‍♂️ Pasien'!$J$5:$J371),"")</f>
        <v>&gt; 44 tahun</v>
      </c>
      <c r="M51" s="125" t="str">
        <f t="array" ref="M51">IFNA(xlookup(H51,'🙎‍♂️ Pasien'!$G$5:$G371,'🙎‍♂️ Pasien'!$S$5:$S371),"")</f>
        <v>ASN</v>
      </c>
      <c r="N51" s="125" t="str">
        <f t="array" ref="N51">IFNA(XLOOKUP($H51,'🙎‍♂️ Pasien'!$G$7:$G371,'🙎‍♂️ Pasien'!$T$7:$T371),"")</f>
        <v>NYERI DI LENGAN KANAN</v>
      </c>
      <c r="O51" s="16" t="s">
        <v>899</v>
      </c>
      <c r="P51" s="16" t="s">
        <v>839</v>
      </c>
      <c r="Q51" s="16" t="s">
        <v>29</v>
      </c>
      <c r="R51" s="16" t="s">
        <v>54</v>
      </c>
      <c r="S51" s="16" t="s">
        <v>62</v>
      </c>
      <c r="T51" s="16" t="s">
        <v>830</v>
      </c>
      <c r="U51" s="109"/>
      <c r="V51" s="126"/>
      <c r="W51" s="109"/>
      <c r="X51" s="109" t="str">
        <f t="array" ref="X51">IF(H51="","",XLOOKUP(H51,CATATANPELAYANAN[[#ALL],[NAMA PASIEN]],CATATANPELAYANAN[[#ALL],[LAYANAN]],"TIDAK CLOSING",0,-1))</f>
        <v>TERAPI AWAL</v>
      </c>
      <c r="Y51" s="109" t="str">
        <f t="shared" si="4"/>
        <v>TIDAK CLOSING</v>
      </c>
      <c r="Z51" s="127"/>
    </row>
    <row r="52" ht="22.5" customHeight="1">
      <c r="A52" s="122"/>
      <c r="B52" s="123">
        <v>45945.0</v>
      </c>
      <c r="C52" s="124" t="str">
        <f t="shared" si="1"/>
        <v>2025</v>
      </c>
      <c r="D52" s="124" t="str">
        <f t="shared" si="2"/>
        <v>10 Okt</v>
      </c>
      <c r="E52" s="124" t="str">
        <f t="shared" si="3"/>
        <v>Rab</v>
      </c>
      <c r="F52" s="16" t="s">
        <v>53</v>
      </c>
      <c r="G52" s="109" t="str">
        <f t="array" ref="G52">IFNA(XLOOKUP(S52,'⚙️ Pengaturan'!$H$5:$H371,'⚙️ Pengaturan'!$I$5:$I371),"")</f>
        <v>TIM A</v>
      </c>
      <c r="H52" s="109" t="s">
        <v>266</v>
      </c>
      <c r="I52" s="125" t="str">
        <f t="array" ref="I52">ifna(xlookup($H52,'🙎‍♂️ Pasien'!$G$7:$G371,'🙎‍♂️ Pasien'!$H$7:$H371),"")</f>
        <v>R8125102726</v>
      </c>
      <c r="J52" s="125" t="str">
        <f t="array" ref="J52">ifna(xlookup($H52,'🙎‍♂️ Pasien'!$G$7:$G371,'🙎‍♂️ Pasien'!$L$7:$L371),"")</f>
        <v>PEREMPUAN</v>
      </c>
      <c r="K52" s="125">
        <f t="array" ref="K52">ifna(xlookup($H52,'🙎‍♂️ Pasien'!$G$7:$G371,'🙎‍♂️ Pasien'!$I$7:$I371),"")</f>
        <v>45</v>
      </c>
      <c r="L52" s="125" t="str">
        <f t="array" ref="L52">IFNA(xlookup(H52,'🙎‍♂️ Pasien'!$G$5:$G371,'🙎‍♂️ Pasien'!$J$5:$J371),"")</f>
        <v>&gt; 44 tahun</v>
      </c>
      <c r="M52" s="125" t="str">
        <f t="array" ref="M52">IFNA(xlookup(H52,'🙎‍♂️ Pasien'!$G$5:$G371,'🙎‍♂️ Pasien'!$S$5:$S371),"")</f>
        <v>IBU RUMAH TANGGA</v>
      </c>
      <c r="N52" s="125" t="str">
        <f t="array" ref="N52">IFNA(XLOOKUP($H52,'🙎‍♂️ Pasien'!$G$7:$G371,'🙎‍♂️ Pasien'!$T$7:$T371),"")</f>
        <v>SAKIT KAKI</v>
      </c>
      <c r="O52" s="16" t="s">
        <v>900</v>
      </c>
      <c r="P52" s="16" t="s">
        <v>836</v>
      </c>
      <c r="Q52" s="16" t="s">
        <v>29</v>
      </c>
      <c r="R52" s="16" t="s">
        <v>54</v>
      </c>
      <c r="S52" s="16" t="s">
        <v>72</v>
      </c>
      <c r="T52" s="16" t="s">
        <v>830</v>
      </c>
      <c r="U52" s="109"/>
      <c r="V52" s="126"/>
      <c r="W52" s="109"/>
      <c r="X52" s="109" t="str">
        <f t="array" ref="X52">IF(H52="","",XLOOKUP(H52,CATATANPELAYANAN[[#ALL],[NAMA PASIEN]],CATATANPELAYANAN[[#ALL],[LAYANAN]],"TIDAK CLOSING",0,-1))</f>
        <v>PAKET TERAPI</v>
      </c>
      <c r="Y52" s="109" t="str">
        <f t="shared" si="4"/>
        <v>PAKET</v>
      </c>
      <c r="Z52" s="127"/>
    </row>
    <row r="53" ht="22.5" customHeight="1">
      <c r="A53" s="122"/>
      <c r="B53" s="123">
        <v>45945.0</v>
      </c>
      <c r="C53" s="124" t="str">
        <f t="shared" si="1"/>
        <v>2025</v>
      </c>
      <c r="D53" s="124" t="str">
        <f t="shared" si="2"/>
        <v>10 Okt</v>
      </c>
      <c r="E53" s="124" t="str">
        <f t="shared" si="3"/>
        <v>Rab</v>
      </c>
      <c r="F53" s="16" t="s">
        <v>85</v>
      </c>
      <c r="G53" s="109" t="str">
        <f t="array" ref="G53">IFNA(XLOOKUP(S53,'⚙️ Pengaturan'!$H$5:$H371,'⚙️ Pengaturan'!$I$5:$I371),"")</f>
        <v>TIM Y</v>
      </c>
      <c r="H53" s="109" t="s">
        <v>267</v>
      </c>
      <c r="I53" s="125" t="str">
        <f t="array" ref="I53">ifna(xlookup($H53,'🙎‍♂️ Pasien'!$G$7:$G371,'🙎‍♂️ Pasien'!$H$7:$H371),"")</f>
        <v>R8825109439</v>
      </c>
      <c r="J53" s="125" t="str">
        <f t="array" ref="J53">ifna(xlookup($H53,'🙎‍♂️ Pasien'!$G$7:$G371,'🙎‍♂️ Pasien'!$L$7:$L371),"")</f>
        <v>LAKI-LAKI</v>
      </c>
      <c r="K53" s="125">
        <f t="array" ref="K53">ifna(xlookup($H53,'🙎‍♂️ Pasien'!$G$7:$G371,'🙎‍♂️ Pasien'!$I$7:$I371),"")</f>
        <v>38</v>
      </c>
      <c r="L53" s="125" t="str">
        <f t="array" ref="L53">IFNA(xlookup(H53,'🙎‍♂️ Pasien'!$G$5:$G371,'🙎‍♂️ Pasien'!$J$5:$J371),"")</f>
        <v>35-44 tahun</v>
      </c>
      <c r="M53" s="125" t="str">
        <f t="array" ref="M53">IFNA(xlookup(H53,'🙎‍♂️ Pasien'!$G$5:$G371,'🙎‍♂️ Pasien'!$S$5:$S371),"")</f>
        <v>KARYAWAN SWASTA</v>
      </c>
      <c r="N53" s="125" t="str">
        <f t="array" ref="N53">IFNA(XLOOKUP($H53,'🙎‍♂️ Pasien'!$G$7:$G371,'🙎‍♂️ Pasien'!$T$7:$T371),"")</f>
        <v>ASSESSMENT BADAN UNTUK PERSIAPAN LARI MARATON</v>
      </c>
      <c r="O53" s="16" t="s">
        <v>828</v>
      </c>
      <c r="P53" s="16" t="s">
        <v>826</v>
      </c>
      <c r="Q53" s="16" t="s">
        <v>29</v>
      </c>
      <c r="R53" s="16" t="s">
        <v>86</v>
      </c>
      <c r="S53" s="16" t="s">
        <v>107</v>
      </c>
      <c r="T53" s="16" t="s">
        <v>830</v>
      </c>
      <c r="U53" s="109"/>
      <c r="V53" s="126"/>
      <c r="W53" s="109"/>
      <c r="X53" s="109" t="str">
        <f t="array" ref="X53">IF(H53="","",XLOOKUP(H53,CATATANPELAYANAN[[#ALL],[NAMA PASIEN]],CATATANPELAYANAN[[#ALL],[LAYANAN]],"TIDAK CLOSING",0,-1))</f>
        <v>PAKET TERAPI</v>
      </c>
      <c r="Y53" s="109" t="str">
        <f t="shared" si="4"/>
        <v>PAKET</v>
      </c>
      <c r="Z53" s="127"/>
    </row>
    <row r="54" ht="22.5" customHeight="1">
      <c r="A54" s="122"/>
      <c r="B54" s="123">
        <v>45946.0</v>
      </c>
      <c r="C54" s="124" t="str">
        <f t="shared" si="1"/>
        <v>2025</v>
      </c>
      <c r="D54" s="124" t="str">
        <f t="shared" si="2"/>
        <v>10 Okt</v>
      </c>
      <c r="E54" s="124" t="str">
        <f t="shared" si="3"/>
        <v>Kam</v>
      </c>
      <c r="F54" s="16" t="s">
        <v>53</v>
      </c>
      <c r="G54" s="109" t="str">
        <f t="array" ref="G54">IFNA(XLOOKUP(S54,'⚙️ Pengaturan'!$H$5:$H371,'⚙️ Pengaturan'!$I$5:$I371),"")</f>
        <v>TIM Y</v>
      </c>
      <c r="H54" s="109" t="s">
        <v>901</v>
      </c>
      <c r="I54" s="125" t="str">
        <f t="array" ref="I54">ifna(xlookup($H54,'🙎‍♂️ Pasien'!$G$7:$G371,'🙎‍♂️ Pasien'!$H$7:$H371),"")</f>
        <v/>
      </c>
      <c r="J54" s="125" t="str">
        <f t="array" ref="J54">ifna(xlookup($H54,'🙎‍♂️ Pasien'!$G$7:$G371,'🙎‍♂️ Pasien'!$L$7:$L371),"")</f>
        <v/>
      </c>
      <c r="K54" s="125" t="str">
        <f t="array" ref="K54">ifna(xlookup($H54,'🙎‍♂️ Pasien'!$G$7:$G371,'🙎‍♂️ Pasien'!$I$7:$I371),"")</f>
        <v/>
      </c>
      <c r="L54" s="125" t="str">
        <f t="array" ref="L54">IFNA(xlookup(H54,'🙎‍♂️ Pasien'!$G$5:$G371,'🙎‍♂️ Pasien'!$J$5:$J371),"")</f>
        <v/>
      </c>
      <c r="M54" s="125" t="str">
        <f t="array" ref="M54">IFNA(xlookup(H54,'🙎‍♂️ Pasien'!$G$5:$G371,'🙎‍♂️ Pasien'!$S$5:$S371),"")</f>
        <v/>
      </c>
      <c r="N54" s="125" t="str">
        <f t="array" ref="N54">IFNA(XLOOKUP($H54,'🙎‍♂️ Pasien'!$G$7:$G371,'🙎‍♂️ Pasien'!$T$7:$T371),"")</f>
        <v/>
      </c>
      <c r="O54" s="16" t="s">
        <v>902</v>
      </c>
      <c r="P54" s="16" t="s">
        <v>836</v>
      </c>
      <c r="Q54" s="16" t="s">
        <v>29</v>
      </c>
      <c r="R54" s="16" t="s">
        <v>86</v>
      </c>
      <c r="S54" s="16" t="s">
        <v>91</v>
      </c>
      <c r="T54" s="16" t="s">
        <v>827</v>
      </c>
      <c r="U54" s="109"/>
      <c r="V54" s="126"/>
      <c r="W54" s="109"/>
      <c r="X54" s="109" t="str">
        <f t="array" ref="X54">IF(H54="","",XLOOKUP(H54,CATATANPELAYANAN[[#ALL],[NAMA PASIEN]],CATATANPELAYANAN[[#ALL],[LAYANAN]],"TIDAK CLOSING",0,-1))</f>
        <v>TIDAK CLOSING</v>
      </c>
      <c r="Y54" s="109" t="str">
        <f t="shared" si="4"/>
        <v>TIDAK CLOSING</v>
      </c>
      <c r="Z54" s="127"/>
    </row>
    <row r="55" ht="22.5" customHeight="1">
      <c r="A55" s="122"/>
      <c r="B55" s="123">
        <v>45946.0</v>
      </c>
      <c r="C55" s="124" t="str">
        <f t="shared" si="1"/>
        <v>2025</v>
      </c>
      <c r="D55" s="124" t="str">
        <f t="shared" si="2"/>
        <v>10 Okt</v>
      </c>
      <c r="E55" s="124" t="str">
        <f t="shared" si="3"/>
        <v>Kam</v>
      </c>
      <c r="F55" s="16" t="s">
        <v>53</v>
      </c>
      <c r="G55" s="109" t="str">
        <f t="array" ref="G55">IFNA(XLOOKUP(S55,'⚙️ Pengaturan'!$H$5:$H371,'⚙️ Pengaturan'!$I$5:$I371),"")</f>
        <v>MANAJEMEN</v>
      </c>
      <c r="H55" s="109" t="s">
        <v>903</v>
      </c>
      <c r="I55" s="125" t="str">
        <f t="array" ref="I55">ifna(xlookup($H55,'🙎‍♂️ Pasien'!$G$7:$G371,'🙎‍♂️ Pasien'!$H$7:$H371),"")</f>
        <v>R6625106996</v>
      </c>
      <c r="J55" s="125" t="str">
        <f t="array" ref="J55">ifna(xlookup($H55,'🙎‍♂️ Pasien'!$G$7:$G371,'🙎‍♂️ Pasien'!$L$7:$L371),"")</f>
        <v>LAKI-LAKI</v>
      </c>
      <c r="K55" s="125">
        <f t="array" ref="K55">ifna(xlookup($H55,'🙎‍♂️ Pasien'!$G$7:$G371,'🙎‍♂️ Pasien'!$I$7:$I371),"")</f>
        <v>60</v>
      </c>
      <c r="L55" s="125" t="str">
        <f t="array" ref="L55">IFNA(xlookup(H55,'🙎‍♂️ Pasien'!$G$5:$G371,'🙎‍♂️ Pasien'!$J$5:$J371),"")</f>
        <v>&gt; 44 tahun</v>
      </c>
      <c r="M55" s="125" t="str">
        <f t="array" ref="M55">IFNA(xlookup(H55,'🙎‍♂️ Pasien'!$G$5:$G371,'🙎‍♂️ Pasien'!$S$5:$S371),"")</f>
        <v>KARYAWAN BUMD</v>
      </c>
      <c r="N55" s="125" t="str">
        <f t="array" ref="N55">IFNA(XLOOKUP($H55,'🙎‍♂️ Pasien'!$G$7:$G371,'🙎‍♂️ Pasien'!$T$7:$T371),"")</f>
        <v>-</v>
      </c>
      <c r="O55" s="16"/>
      <c r="P55" s="16"/>
      <c r="Q55" s="16" t="s">
        <v>29</v>
      </c>
      <c r="R55" s="16" t="s">
        <v>86</v>
      </c>
      <c r="S55" s="16" t="s">
        <v>81</v>
      </c>
      <c r="T55" s="16" t="s">
        <v>834</v>
      </c>
      <c r="U55" s="109" t="s">
        <v>904</v>
      </c>
      <c r="V55" s="126"/>
      <c r="W55" s="109"/>
      <c r="X55" s="109" t="str">
        <f t="array" ref="X55">IF(H55="","",XLOOKUP(H55,CATATANPELAYANAN[[#ALL],[NAMA PASIEN]],CATATANPELAYANAN[[#ALL],[LAYANAN]],"TIDAK CLOSING",0,-1))</f>
        <v>TIDAK CLOSING</v>
      </c>
      <c r="Y55" s="109" t="str">
        <f t="shared" si="4"/>
        <v>TIDAK CLOSING</v>
      </c>
      <c r="Z55" s="127"/>
    </row>
    <row r="56" ht="22.5" customHeight="1">
      <c r="A56" s="122"/>
      <c r="B56" s="123">
        <v>45946.0</v>
      </c>
      <c r="C56" s="124" t="str">
        <f t="shared" si="1"/>
        <v>2025</v>
      </c>
      <c r="D56" s="124" t="str">
        <f t="shared" si="2"/>
        <v>10 Okt</v>
      </c>
      <c r="E56" s="124" t="str">
        <f t="shared" si="3"/>
        <v>Kam</v>
      </c>
      <c r="F56" s="16" t="s">
        <v>85</v>
      </c>
      <c r="G56" s="109" t="str">
        <f t="array" ref="G56">IFNA(XLOOKUP(S56,'⚙️ Pengaturan'!$H$5:$H371,'⚙️ Pengaturan'!$I$5:$I371),"")</f>
        <v>TIM A</v>
      </c>
      <c r="H56" s="109" t="s">
        <v>279</v>
      </c>
      <c r="I56" s="125" t="str">
        <f t="array" ref="I56">ifna(xlookup($H56,'🙎‍♂️ Pasien'!$G$7:$G371,'🙎‍♂️ Pasien'!$H$7:$H371),"")</f>
        <v>F8825103616</v>
      </c>
      <c r="J56" s="125" t="str">
        <f t="array" ref="J56">ifna(xlookup($H56,'🙎‍♂️ Pasien'!$G$7:$G371,'🙎‍♂️ Pasien'!$L$7:$L371),"")</f>
        <v>PEREMPUAN</v>
      </c>
      <c r="K56" s="125">
        <f t="array" ref="K56">ifna(xlookup($H56,'🙎‍♂️ Pasien'!$G$7:$G371,'🙎‍♂️ Pasien'!$I$7:$I371),"")</f>
        <v>38</v>
      </c>
      <c r="L56" s="125" t="str">
        <f t="array" ref="L56">IFNA(xlookup(H56,'🙎‍♂️ Pasien'!$G$5:$G371,'🙎‍♂️ Pasien'!$J$5:$J371),"")</f>
        <v>35-44 tahun</v>
      </c>
      <c r="M56" s="125" t="str">
        <f t="array" ref="M56">IFNA(xlookup(H56,'🙎‍♂️ Pasien'!$G$5:$G371,'🙎‍♂️ Pasien'!$S$5:$S371),"")</f>
        <v>PEGAWAI SWASTA</v>
      </c>
      <c r="N56" s="125" t="str">
        <f t="array" ref="N56">IFNA(XLOOKUP($H56,'🙎‍♂️ Pasien'!$G$7:$G371,'🙎‍♂️ Pasien'!$T$7:$T371),"")</f>
        <v>SAKIT PINGGANG</v>
      </c>
      <c r="O56" s="16" t="s">
        <v>825</v>
      </c>
      <c r="P56" s="16" t="s">
        <v>826</v>
      </c>
      <c r="Q56" s="16" t="s">
        <v>29</v>
      </c>
      <c r="R56" s="16" t="s">
        <v>54</v>
      </c>
      <c r="S56" s="16" t="s">
        <v>79</v>
      </c>
      <c r="T56" s="16" t="s">
        <v>834</v>
      </c>
      <c r="U56" s="109" t="s">
        <v>905</v>
      </c>
      <c r="V56" s="126"/>
      <c r="W56" s="109"/>
      <c r="X56" s="109" t="str">
        <f t="array" ref="X56">IF(H56="","",XLOOKUP(H56,CATATANPELAYANAN[[#ALL],[NAMA PASIEN]],CATATANPELAYANAN[[#ALL],[LAYANAN]],"TIDAK CLOSING",0,-1))</f>
        <v>TERAPI AWAL</v>
      </c>
      <c r="Y56" s="109" t="str">
        <f t="shared" si="4"/>
        <v>TIDAK CLOSING</v>
      </c>
      <c r="Z56" s="127"/>
    </row>
    <row r="57" ht="22.5" customHeight="1">
      <c r="A57" s="122"/>
      <c r="B57" s="123">
        <v>45946.0</v>
      </c>
      <c r="C57" s="124" t="str">
        <f t="shared" si="1"/>
        <v>2025</v>
      </c>
      <c r="D57" s="124" t="str">
        <f t="shared" si="2"/>
        <v>10 Okt</v>
      </c>
      <c r="E57" s="124" t="str">
        <f t="shared" si="3"/>
        <v>Kam</v>
      </c>
      <c r="F57" s="16" t="s">
        <v>85</v>
      </c>
      <c r="G57" s="109" t="str">
        <f t="array" ref="G57">IFNA(XLOOKUP(S57,'⚙️ Pengaturan'!$H$5:$H371,'⚙️ Pengaturan'!$I$5:$I371),"")</f>
        <v>TIM A</v>
      </c>
      <c r="H57" s="109" t="s">
        <v>282</v>
      </c>
      <c r="I57" s="125" t="str">
        <f t="array" ref="I57">ifna(xlookup($H57,'🙎‍♂️ Pasien'!$G$7:$G371,'🙎‍♂️ Pasien'!$H$7:$H371),"")</f>
        <v>E9425102074</v>
      </c>
      <c r="J57" s="125" t="str">
        <f t="array" ref="J57">ifna(xlookup($H57,'🙎‍♂️ Pasien'!$G$7:$G371,'🙎‍♂️ Pasien'!$L$7:$L371),"")</f>
        <v>PEREMPUAN</v>
      </c>
      <c r="K57" s="125">
        <f t="array" ref="K57">ifna(xlookup($H57,'🙎‍♂️ Pasien'!$G$7:$G371,'🙎‍♂️ Pasien'!$I$7:$I371),"")</f>
        <v>32</v>
      </c>
      <c r="L57" s="125" t="str">
        <f t="array" ref="L57">IFNA(xlookup(H57,'🙎‍♂️ Pasien'!$G$5:$G371,'🙎‍♂️ Pasien'!$J$5:$J371),"")</f>
        <v>25-34 tahun</v>
      </c>
      <c r="M57" s="125" t="str">
        <f t="array" ref="M57">IFNA(xlookup(H57,'🙎‍♂️ Pasien'!$G$5:$G371,'🙎‍♂️ Pasien'!$S$5:$S371),"")</f>
        <v>PEGAWAI SWASTA</v>
      </c>
      <c r="N57" s="125" t="str">
        <f t="array" ref="N57">IFNA(XLOOKUP($H57,'🙎‍♂️ Pasien'!$G$7:$G371,'🙎‍♂️ Pasien'!$T$7:$T371),"")</f>
        <v>TENNIS ELBOW</v>
      </c>
      <c r="O57" s="16" t="s">
        <v>906</v>
      </c>
      <c r="P57" s="16" t="s">
        <v>907</v>
      </c>
      <c r="Q57" s="16" t="s">
        <v>29</v>
      </c>
      <c r="R57" s="16" t="s">
        <v>54</v>
      </c>
      <c r="S57" s="16" t="s">
        <v>79</v>
      </c>
      <c r="T57" s="16" t="s">
        <v>827</v>
      </c>
      <c r="U57" s="109"/>
      <c r="V57" s="126"/>
      <c r="W57" s="109"/>
      <c r="X57" s="109" t="str">
        <f t="array" ref="X57">IF(H57="","",XLOOKUP(H57,CATATANPELAYANAN[[#ALL],[NAMA PASIEN]],CATATANPELAYANAN[[#ALL],[LAYANAN]],"TIDAK CLOSING",0,-1))</f>
        <v>SESI TERAPI</v>
      </c>
      <c r="Y57" s="109" t="str">
        <f t="shared" si="4"/>
        <v>SESI</v>
      </c>
      <c r="Z57" s="127"/>
    </row>
    <row r="58" ht="22.5" customHeight="1">
      <c r="A58" s="122"/>
      <c r="B58" s="123">
        <v>45947.0</v>
      </c>
      <c r="C58" s="124" t="str">
        <f t="shared" si="1"/>
        <v>2025</v>
      </c>
      <c r="D58" s="124" t="str">
        <f t="shared" si="2"/>
        <v>10 Okt</v>
      </c>
      <c r="E58" s="124" t="str">
        <f t="shared" si="3"/>
        <v>Jum</v>
      </c>
      <c r="F58" s="16" t="s">
        <v>85</v>
      </c>
      <c r="G58" s="109" t="str">
        <f t="array" ref="G58">IFNA(XLOOKUP(S58,'⚙️ Pengaturan'!$H$5:$H371,'⚙️ Pengaturan'!$I$5:$I371),"")</f>
        <v>TIM A</v>
      </c>
      <c r="H58" s="109" t="s">
        <v>288</v>
      </c>
      <c r="I58" s="125" t="str">
        <f t="array" ref="I58">ifna(xlookup($H58,'🙎‍♂️ Pasien'!$G$7:$G371,'🙎‍♂️ Pasien'!$H$7:$H371),"")</f>
        <v>E9925108783</v>
      </c>
      <c r="J58" s="125" t="str">
        <f t="array" ref="J58">ifna(xlookup($H58,'🙎‍♂️ Pasien'!$G$7:$G371,'🙎‍♂️ Pasien'!$L$7:$L371),"")</f>
        <v>LAKI-LAKI</v>
      </c>
      <c r="K58" s="125">
        <f t="array" ref="K58">ifna(xlookup($H58,'🙎‍♂️ Pasien'!$G$7:$G371,'🙎‍♂️ Pasien'!$I$7:$I371),"")</f>
        <v>26</v>
      </c>
      <c r="L58" s="125" t="str">
        <f t="array" ref="L58">IFNA(xlookup(H58,'🙎‍♂️ Pasien'!$G$5:$G371,'🙎‍♂️ Pasien'!$J$5:$J371),"")</f>
        <v>25-34 tahun</v>
      </c>
      <c r="M58" s="125" t="str">
        <f t="array" ref="M58">IFNA(xlookup(H58,'🙎‍♂️ Pasien'!$G$5:$G371,'🙎‍♂️ Pasien'!$S$5:$S371),"")</f>
        <v>WIRASWASTA</v>
      </c>
      <c r="N58" s="125" t="str">
        <f t="array" ref="N58">IFNA(XLOOKUP($H58,'🙎‍♂️ Pasien'!$G$7:$G371,'🙎‍♂️ Pasien'!$T$7:$T371),"")</f>
        <v>TERAPI PASCA LATIHAN</v>
      </c>
      <c r="O58" s="16" t="s">
        <v>853</v>
      </c>
      <c r="P58" s="16" t="s">
        <v>845</v>
      </c>
      <c r="Q58" s="16" t="s">
        <v>29</v>
      </c>
      <c r="R58" s="16" t="s">
        <v>134</v>
      </c>
      <c r="S58" s="16" t="s">
        <v>62</v>
      </c>
      <c r="T58" s="16" t="s">
        <v>830</v>
      </c>
      <c r="U58" s="109" t="s">
        <v>290</v>
      </c>
      <c r="V58" s="126"/>
      <c r="W58" s="109"/>
      <c r="X58" s="109" t="str">
        <f t="array" ref="X58">IF(H58="","",XLOOKUP(H58,CATATANPELAYANAN[[#ALL],[NAMA PASIEN]],CATATANPELAYANAN[[#ALL],[LAYANAN]],"TIDAK CLOSING",0,-1))</f>
        <v>PAKET TERAPI</v>
      </c>
      <c r="Y58" s="109" t="str">
        <f t="shared" si="4"/>
        <v>PAKET</v>
      </c>
      <c r="Z58" s="127"/>
    </row>
    <row r="59" ht="22.5" customHeight="1">
      <c r="A59" s="122"/>
      <c r="B59" s="123">
        <v>45947.0</v>
      </c>
      <c r="C59" s="124" t="str">
        <f t="shared" si="1"/>
        <v>2025</v>
      </c>
      <c r="D59" s="124" t="str">
        <f t="shared" si="2"/>
        <v>10 Okt</v>
      </c>
      <c r="E59" s="124" t="str">
        <f t="shared" si="3"/>
        <v>Jum</v>
      </c>
      <c r="F59" s="16" t="s">
        <v>85</v>
      </c>
      <c r="G59" s="109" t="str">
        <f t="array" ref="G59">IFNA(XLOOKUP(S59,'⚙️ Pengaturan'!$H$5:$H371,'⚙️ Pengaturan'!$I$5:$I371),"")</f>
        <v>MANAJEMEN</v>
      </c>
      <c r="H59" s="109" t="s">
        <v>293</v>
      </c>
      <c r="I59" s="125" t="str">
        <f t="array" ref="I59">ifna(xlookup($H59,'🙎‍♂️ Pasien'!$G$7:$G371,'🙎‍♂️ Pasien'!$H$7:$H371),"")</f>
        <v>D9224015876</v>
      </c>
      <c r="J59" s="125" t="str">
        <f t="array" ref="J59">ifna(xlookup($H59,'🙎‍♂️ Pasien'!$G$7:$G371,'🙎‍♂️ Pasien'!$L$7:$L371),"")</f>
        <v>PEREMPUAN</v>
      </c>
      <c r="K59" s="125">
        <f t="array" ref="K59">ifna(xlookup($H59,'🙎‍♂️ Pasien'!$G$7:$G371,'🙎‍♂️ Pasien'!$I$7:$I371),"")</f>
        <v>33</v>
      </c>
      <c r="L59" s="125" t="str">
        <f t="array" ref="L59">IFNA(xlookup(H59,'🙎‍♂️ Pasien'!$G$5:$G371,'🙎‍♂️ Pasien'!$J$5:$J371),"")</f>
        <v>25-34 tahun</v>
      </c>
      <c r="M59" s="125" t="str">
        <f t="array" ref="M59">IFNA(xlookup(H59,'🙎‍♂️ Pasien'!$G$5:$G371,'🙎‍♂️ Pasien'!$S$5:$S371),"")</f>
        <v>WIRASWASTA</v>
      </c>
      <c r="N59" s="125" t="str">
        <f t="array" ref="N59">IFNA(XLOOKUP($H59,'🙎‍♂️ Pasien'!$G$7:$G371,'🙎‍♂️ Pasien'!$T$7:$T371),"")</f>
        <v>Pundak belakang dan leher sakit krna salah posisi tidur</v>
      </c>
      <c r="O59" s="16" t="s">
        <v>908</v>
      </c>
      <c r="P59" s="16" t="s">
        <v>866</v>
      </c>
      <c r="Q59" s="16" t="s">
        <v>28</v>
      </c>
      <c r="R59" s="16" t="s">
        <v>134</v>
      </c>
      <c r="S59" s="16" t="s">
        <v>101</v>
      </c>
      <c r="T59" s="16" t="s">
        <v>827</v>
      </c>
      <c r="U59" s="109" t="s">
        <v>294</v>
      </c>
      <c r="V59" s="126"/>
      <c r="W59" s="109"/>
      <c r="X59" s="109" t="str">
        <f t="array" ref="X59">IF(H59="","",XLOOKUP(H59,CATATANPELAYANAN[[#ALL],[NAMA PASIEN]],CATATANPELAYANAN[[#ALL],[LAYANAN]],"TIDAK CLOSING",0,-1))</f>
        <v>SESI TERAPI</v>
      </c>
      <c r="Y59" s="109" t="str">
        <f t="shared" si="4"/>
        <v>SESI</v>
      </c>
      <c r="Z59" s="127"/>
    </row>
    <row r="60" ht="22.5" customHeight="1">
      <c r="A60" s="122"/>
      <c r="B60" s="123">
        <v>45947.0</v>
      </c>
      <c r="C60" s="124" t="str">
        <f t="shared" si="1"/>
        <v>2025</v>
      </c>
      <c r="D60" s="124" t="str">
        <f t="shared" si="2"/>
        <v>10 Okt</v>
      </c>
      <c r="E60" s="124" t="str">
        <f t="shared" si="3"/>
        <v>Jum</v>
      </c>
      <c r="F60" s="16" t="s">
        <v>85</v>
      </c>
      <c r="G60" s="109" t="str">
        <f t="array" ref="G60">IFNA(XLOOKUP(S60,'⚙️ Pengaturan'!$H$5:$H371,'⚙️ Pengaturan'!$I$5:$I371),"")</f>
        <v>TIM A</v>
      </c>
      <c r="H60" s="109" t="s">
        <v>297</v>
      </c>
      <c r="I60" s="125" t="str">
        <f t="array" ref="I60">ifna(xlookup($H60,'🙎‍♂️ Pasien'!$G$7:$G371,'🙎‍♂️ Pasien'!$H$7:$H371),"")</f>
        <v>R8125108947</v>
      </c>
      <c r="J60" s="125" t="str">
        <f t="array" ref="J60">ifna(xlookup($H60,'🙎‍♂️ Pasien'!$G$7:$G371,'🙎‍♂️ Pasien'!$L$7:$L371),"")</f>
        <v>LAKI-LAKI</v>
      </c>
      <c r="K60" s="125">
        <f t="array" ref="K60">ifna(xlookup($H60,'🙎‍♂️ Pasien'!$G$7:$G371,'🙎‍♂️ Pasien'!$I$7:$I371),"")</f>
        <v>44</v>
      </c>
      <c r="L60" s="125" t="str">
        <f t="array" ref="L60">IFNA(xlookup(H60,'🙎‍♂️ Pasien'!$G$5:$G371,'🙎‍♂️ Pasien'!$J$5:$J371),"")</f>
        <v>35-44 tahun</v>
      </c>
      <c r="M60" s="125" t="str">
        <f t="array" ref="M60">IFNA(xlookup(H60,'🙎‍♂️ Pasien'!$G$5:$G371,'🙎‍♂️ Pasien'!$S$5:$S371),"")</f>
        <v>WIRASWASTA</v>
      </c>
      <c r="N60" s="125" t="str">
        <f t="array" ref="N60">IFNA(XLOOKUP($H60,'🙎‍♂️ Pasien'!$G$7:$G371,'🙎‍♂️ Pasien'!$T$7:$T371),"")</f>
        <v>LBP</v>
      </c>
      <c r="O60" s="16" t="s">
        <v>909</v>
      </c>
      <c r="P60" s="16" t="s">
        <v>845</v>
      </c>
      <c r="Q60" s="16" t="s">
        <v>26</v>
      </c>
      <c r="R60" s="16" t="s">
        <v>134</v>
      </c>
      <c r="S60" s="16" t="s">
        <v>62</v>
      </c>
      <c r="T60" s="16" t="s">
        <v>827</v>
      </c>
      <c r="U60" s="109" t="s">
        <v>298</v>
      </c>
      <c r="V60" s="126"/>
      <c r="W60" s="109"/>
      <c r="X60" s="109" t="str">
        <f t="array" ref="X60">IF(H60="","",XLOOKUP(H60,CATATANPELAYANAN[[#ALL],[NAMA PASIEN]],CATATANPELAYANAN[[#ALL],[LAYANAN]],"TIDAK CLOSING",0,-1))</f>
        <v>SESI TERAPI</v>
      </c>
      <c r="Y60" s="109" t="str">
        <f t="shared" si="4"/>
        <v>SESI</v>
      </c>
      <c r="Z60" s="127"/>
    </row>
    <row r="61" ht="22.5" customHeight="1">
      <c r="A61" s="122"/>
      <c r="B61" s="123">
        <v>45948.0</v>
      </c>
      <c r="C61" s="124" t="str">
        <f t="shared" si="1"/>
        <v>2025</v>
      </c>
      <c r="D61" s="124" t="str">
        <f t="shared" si="2"/>
        <v>10 Okt</v>
      </c>
      <c r="E61" s="124" t="str">
        <f t="shared" si="3"/>
        <v>Sab</v>
      </c>
      <c r="F61" s="16" t="s">
        <v>53</v>
      </c>
      <c r="G61" s="109" t="str">
        <f t="array" ref="G61">IFNA(XLOOKUP(S61,'⚙️ Pengaturan'!$H$5:$H371,'⚙️ Pengaturan'!$I$5:$I371),"")</f>
        <v>TIM A</v>
      </c>
      <c r="H61" s="109" t="s">
        <v>302</v>
      </c>
      <c r="I61" s="125" t="str">
        <f t="array" ref="I61">ifna(xlookup($H61,'🙎‍♂️ Pasien'!$G$7:$G371,'🙎‍♂️ Pasien'!$H$7:$H371),"")</f>
        <v>A9425105994</v>
      </c>
      <c r="J61" s="125" t="str">
        <f t="array" ref="J61">ifna(xlookup($H61,'🙎‍♂️ Pasien'!$G$7:$G371,'🙎‍♂️ Pasien'!$L$7:$L371),"")</f>
        <v>LAKI-LAKI</v>
      </c>
      <c r="K61" s="125">
        <f t="array" ref="K61">ifna(xlookup($H61,'🙎‍♂️ Pasien'!$G$7:$G371,'🙎‍♂️ Pasien'!$I$7:$I371),"")</f>
        <v>32</v>
      </c>
      <c r="L61" s="125" t="str">
        <f t="array" ref="L61">IFNA(xlookup(H61,'🙎‍♂️ Pasien'!$G$5:$G371,'🙎‍♂️ Pasien'!$J$5:$J371),"")</f>
        <v>25-34 tahun</v>
      </c>
      <c r="M61" s="125" t="str">
        <f t="array" ref="M61">IFNA(xlookup(H61,'🙎‍♂️ Pasien'!$G$5:$G371,'🙎‍♂️ Pasien'!$S$5:$S371),"")</f>
        <v>KARYAWAN SWASTA</v>
      </c>
      <c r="N61" s="125" t="str">
        <f t="array" ref="N61">IFNA(XLOOKUP($H61,'🙎‍♂️ Pasien'!$G$7:$G371,'🙎‍♂️ Pasien'!$T$7:$T371),"")</f>
        <v>LUTUT</v>
      </c>
      <c r="O61" s="16" t="s">
        <v>910</v>
      </c>
      <c r="P61" s="16" t="s">
        <v>836</v>
      </c>
      <c r="Q61" s="16" t="s">
        <v>29</v>
      </c>
      <c r="R61" s="16" t="s">
        <v>86</v>
      </c>
      <c r="S61" s="16" t="s">
        <v>62</v>
      </c>
      <c r="T61" s="16" t="s">
        <v>830</v>
      </c>
      <c r="U61" s="109"/>
      <c r="V61" s="126"/>
      <c r="W61" s="109"/>
      <c r="X61" s="109" t="str">
        <f t="array" ref="X61">IF(H61="","",XLOOKUP(H61,CATATANPELAYANAN[[#ALL],[NAMA PASIEN]],CATATANPELAYANAN[[#ALL],[LAYANAN]],"TIDAK CLOSING",0,-1))</f>
        <v>PAKET TERAPI</v>
      </c>
      <c r="Y61" s="109" t="str">
        <f t="shared" si="4"/>
        <v>PAKET</v>
      </c>
      <c r="Z61" s="127"/>
    </row>
    <row r="62" ht="22.5" customHeight="1">
      <c r="A62" s="122"/>
      <c r="B62" s="123">
        <v>45948.0</v>
      </c>
      <c r="C62" s="124" t="str">
        <f t="shared" si="1"/>
        <v>2025</v>
      </c>
      <c r="D62" s="124" t="str">
        <f t="shared" si="2"/>
        <v>10 Okt</v>
      </c>
      <c r="E62" s="124" t="str">
        <f t="shared" si="3"/>
        <v>Sab</v>
      </c>
      <c r="F62" s="16" t="s">
        <v>85</v>
      </c>
      <c r="G62" s="109" t="str">
        <f t="array" ref="G62">IFNA(XLOOKUP(S62,'⚙️ Pengaturan'!$H$5:$H371,'⚙️ Pengaturan'!$I$5:$I371),"")</f>
        <v>TIM Y</v>
      </c>
      <c r="H62" s="109" t="s">
        <v>306</v>
      </c>
      <c r="I62" s="125" t="str">
        <f t="array" ref="I62">ifna(xlookup($H62,'🙎‍♂️ Pasien'!$G$7:$G371,'🙎‍♂️ Pasien'!$H$7:$H371),"")</f>
        <v>R9625105757</v>
      </c>
      <c r="J62" s="125" t="str">
        <f t="array" ref="J62">ifna(xlookup($H62,'🙎‍♂️ Pasien'!$G$7:$G371,'🙎‍♂️ Pasien'!$L$7:$L371),"")</f>
        <v>LAKI-LAKI</v>
      </c>
      <c r="K62" s="125">
        <f t="array" ref="K62">ifna(xlookup($H62,'🙎‍♂️ Pasien'!$G$7:$G371,'🙎‍♂️ Pasien'!$I$7:$I371),"")</f>
        <v>29</v>
      </c>
      <c r="L62" s="125" t="str">
        <f t="array" ref="L62">IFNA(xlookup(H62,'🙎‍♂️ Pasien'!$G$5:$G371,'🙎‍♂️ Pasien'!$J$5:$J371),"")</f>
        <v>25-34 tahun</v>
      </c>
      <c r="M62" s="125" t="str">
        <f t="array" ref="M62">IFNA(xlookup(H62,'🙎‍♂️ Pasien'!$G$5:$G371,'🙎‍♂️ Pasien'!$S$5:$S371),"")</f>
        <v>BUMD</v>
      </c>
      <c r="N62" s="125" t="str">
        <f t="array" ref="N62">IFNA(XLOOKUP($H62,'🙎‍♂️ Pasien'!$G$7:$G371,'🙎‍♂️ Pasien'!$T$7:$T371),"")</f>
        <v>SAKIT DI BAGIAN PUNGGUNG KAKI SEBELAH KANAN SAAT MENGINJAK</v>
      </c>
      <c r="O62" s="16" t="s">
        <v>911</v>
      </c>
      <c r="P62" s="16" t="s">
        <v>833</v>
      </c>
      <c r="Q62" s="16" t="s">
        <v>29</v>
      </c>
      <c r="R62" s="16" t="s">
        <v>54</v>
      </c>
      <c r="S62" s="16" t="s">
        <v>88</v>
      </c>
      <c r="T62" s="16" t="s">
        <v>827</v>
      </c>
      <c r="U62" s="109"/>
      <c r="V62" s="126"/>
      <c r="W62" s="109"/>
      <c r="X62" s="109" t="str">
        <f t="array" ref="X62">IF(H62="","",XLOOKUP(H62,CATATANPELAYANAN[[#ALL],[NAMA PASIEN]],CATATANPELAYANAN[[#ALL],[LAYANAN]],"TIDAK CLOSING",0,-1))</f>
        <v>SESI TERAPI</v>
      </c>
      <c r="Y62" s="109" t="str">
        <f t="shared" si="4"/>
        <v>SESI</v>
      </c>
      <c r="Z62" s="127"/>
    </row>
    <row r="63" ht="22.5" customHeight="1">
      <c r="A63" s="122"/>
      <c r="B63" s="123">
        <v>45948.0</v>
      </c>
      <c r="C63" s="124" t="str">
        <f t="shared" si="1"/>
        <v>2025</v>
      </c>
      <c r="D63" s="124" t="str">
        <f t="shared" si="2"/>
        <v>10 Okt</v>
      </c>
      <c r="E63" s="124" t="str">
        <f t="shared" si="3"/>
        <v>Sab</v>
      </c>
      <c r="F63" s="16" t="s">
        <v>85</v>
      </c>
      <c r="G63" s="109" t="str">
        <f t="array" ref="G63">IFNA(XLOOKUP(S63,'⚙️ Pengaturan'!$H$5:$H371,'⚙️ Pengaturan'!$I$5:$I371),"")</f>
        <v>TIM Y</v>
      </c>
      <c r="H63" s="109" t="s">
        <v>309</v>
      </c>
      <c r="I63" s="125" t="str">
        <f t="array" ref="I63">ifna(xlookup($H63,'🙎‍♂️ Pasien'!$G$7:$G371,'🙎‍♂️ Pasien'!$H$7:$H371),"")</f>
        <v>R9225072190</v>
      </c>
      <c r="J63" s="125" t="str">
        <f t="array" ref="J63">ifna(xlookup($H63,'🙎‍♂️ Pasien'!$G$7:$G371,'🙎‍♂️ Pasien'!$L$7:$L371),"")</f>
        <v>PEREMPUAN</v>
      </c>
      <c r="K63" s="125">
        <f t="array" ref="K63">ifna(xlookup($H63,'🙎‍♂️ Pasien'!$G$7:$G371,'🙎‍♂️ Pasien'!$I$7:$I371),"")</f>
        <v>34</v>
      </c>
      <c r="L63" s="125" t="str">
        <f t="array" ref="L63">IFNA(xlookup(H63,'🙎‍♂️ Pasien'!$G$5:$G371,'🙎‍♂️ Pasien'!$J$5:$J371),"")</f>
        <v>25-34 tahun</v>
      </c>
      <c r="M63" s="125" t="str">
        <f t="array" ref="M63">IFNA(xlookup(H63,'🙎‍♂️ Pasien'!$G$5:$G371,'🙎‍♂️ Pasien'!$S$5:$S371),"")</f>
        <v>KARYAWAN SWASTA</v>
      </c>
      <c r="N63" s="125" t="str">
        <f t="array" ref="N63">IFNA(XLOOKUP($H63,'🙎‍♂️ Pasien'!$G$7:$G371,'🙎‍♂️ Pasien'!$T$7:$T371),"")</f>
        <v>SAKIT PAS JINJIT</v>
      </c>
      <c r="O63" s="16" t="s">
        <v>906</v>
      </c>
      <c r="P63" s="16" t="s">
        <v>907</v>
      </c>
      <c r="Q63" s="16" t="s">
        <v>29</v>
      </c>
      <c r="R63" s="16" t="s">
        <v>54</v>
      </c>
      <c r="S63" s="16" t="s">
        <v>91</v>
      </c>
      <c r="T63" s="16" t="s">
        <v>827</v>
      </c>
      <c r="U63" s="109" t="s">
        <v>912</v>
      </c>
      <c r="V63" s="126"/>
      <c r="W63" s="109"/>
      <c r="X63" s="109" t="str">
        <f t="array" ref="X63">IF(H63="","",XLOOKUP(H63,CATATANPELAYANAN[[#ALL],[NAMA PASIEN]],CATATANPELAYANAN[[#ALL],[LAYANAN]],"TIDAK CLOSING",0,-1))</f>
        <v>SESI TERAPI</v>
      </c>
      <c r="Y63" s="109" t="str">
        <f t="shared" si="4"/>
        <v>SESI</v>
      </c>
      <c r="Z63" s="127"/>
    </row>
    <row r="64" ht="22.5" customHeight="1">
      <c r="A64" s="122"/>
      <c r="B64" s="123">
        <v>45949.0</v>
      </c>
      <c r="C64" s="124" t="str">
        <f t="shared" si="1"/>
        <v>2025</v>
      </c>
      <c r="D64" s="124" t="str">
        <f t="shared" si="2"/>
        <v>10 Okt</v>
      </c>
      <c r="E64" s="124" t="str">
        <f t="shared" si="3"/>
        <v>Min</v>
      </c>
      <c r="F64" s="16" t="s">
        <v>53</v>
      </c>
      <c r="G64" s="109" t="str">
        <f t="array" ref="G64">IFNA(XLOOKUP(S64,'⚙️ Pengaturan'!$H$5:$H371,'⚙️ Pengaturan'!$I$5:$I371),"")</f>
        <v>TIM A</v>
      </c>
      <c r="H64" s="109" t="s">
        <v>913</v>
      </c>
      <c r="I64" s="125" t="str">
        <f t="array" ref="I64">ifna(xlookup($H64,'🙎‍♂️ Pasien'!$G$7:$G371,'🙎‍♂️ Pasien'!$H$7:$H371),"")</f>
        <v/>
      </c>
      <c r="J64" s="125" t="str">
        <f t="array" ref="J64">ifna(xlookup($H64,'🙎‍♂️ Pasien'!$G$7:$G371,'🙎‍♂️ Pasien'!$L$7:$L371),"")</f>
        <v/>
      </c>
      <c r="K64" s="125" t="str">
        <f t="array" ref="K64">ifna(xlookup($H64,'🙎‍♂️ Pasien'!$G$7:$G371,'🙎‍♂️ Pasien'!$I$7:$I371),"")</f>
        <v/>
      </c>
      <c r="L64" s="125" t="str">
        <f t="array" ref="L64">IFNA(xlookup(H64,'🙎‍♂️ Pasien'!$G$5:$G371,'🙎‍♂️ Pasien'!$J$5:$J371),"")</f>
        <v/>
      </c>
      <c r="M64" s="125" t="str">
        <f t="array" ref="M64">IFNA(xlookup(H64,'🙎‍♂️ Pasien'!$G$5:$G371,'🙎‍♂️ Pasien'!$S$5:$S371),"")</f>
        <v/>
      </c>
      <c r="N64" s="125" t="str">
        <f t="array" ref="N64">IFNA(XLOOKUP($H64,'🙎‍♂️ Pasien'!$G$7:$G371,'🙎‍♂️ Pasien'!$T$7:$T371),"")</f>
        <v/>
      </c>
      <c r="O64" s="16" t="s">
        <v>885</v>
      </c>
      <c r="P64" s="16" t="s">
        <v>869</v>
      </c>
      <c r="Q64" s="16" t="s">
        <v>29</v>
      </c>
      <c r="R64" s="16" t="s">
        <v>54</v>
      </c>
      <c r="S64" s="16" t="s">
        <v>79</v>
      </c>
      <c r="T64" s="16" t="s">
        <v>830</v>
      </c>
      <c r="U64" s="109"/>
      <c r="V64" s="126"/>
      <c r="W64" s="109"/>
      <c r="X64" s="109" t="str">
        <f t="array" ref="X64">IF(H64="","",XLOOKUP(H64,CATATANPELAYANAN[[#ALL],[NAMA PASIEN]],CATATANPELAYANAN[[#ALL],[LAYANAN]],"TIDAK CLOSING",0,-1))</f>
        <v>TIDAK CLOSING</v>
      </c>
      <c r="Y64" s="109" t="str">
        <f t="shared" si="4"/>
        <v>TIDAK CLOSING</v>
      </c>
      <c r="Z64" s="127"/>
    </row>
    <row r="65" ht="22.5" customHeight="1">
      <c r="A65" s="122"/>
      <c r="B65" s="123">
        <v>45949.0</v>
      </c>
      <c r="C65" s="124" t="str">
        <f t="shared" si="1"/>
        <v>2025</v>
      </c>
      <c r="D65" s="124" t="str">
        <f t="shared" si="2"/>
        <v>10 Okt</v>
      </c>
      <c r="E65" s="124" t="str">
        <f t="shared" si="3"/>
        <v>Min</v>
      </c>
      <c r="F65" s="16" t="s">
        <v>85</v>
      </c>
      <c r="G65" s="109" t="str">
        <f t="array" ref="G65">IFNA(XLOOKUP(S65,'⚙️ Pengaturan'!$H$5:$H371,'⚙️ Pengaturan'!$I$5:$I371),"")</f>
        <v>TIM Y</v>
      </c>
      <c r="H65" s="109" t="s">
        <v>314</v>
      </c>
      <c r="I65" s="125" t="str">
        <f t="array" ref="I65">ifna(xlookup($H65,'🙎‍♂️ Pasien'!$G$7:$G371,'🙎‍♂️ Pasien'!$H$7:$H371),"")</f>
        <v>A2424089584</v>
      </c>
      <c r="J65" s="125" t="str">
        <f t="array" ref="J65">ifna(xlookup($H65,'🙎‍♂️ Pasien'!$G$7:$G371,'🙎‍♂️ Pasien'!$L$7:$L371),"")</f>
        <v>LAKI-LAKI</v>
      </c>
      <c r="K65" s="125">
        <f t="array" ref="K65">ifna(xlookup($H65,'🙎‍♂️ Pasien'!$G$7:$G371,'🙎‍♂️ Pasien'!$I$7:$I371),"")</f>
        <v>1</v>
      </c>
      <c r="L65" s="125" t="str">
        <f t="array" ref="L65">IFNA(xlookup(H65,'🙎‍♂️ Pasien'!$G$5:$G371,'🙎‍♂️ Pasien'!$J$5:$J371),"")</f>
        <v>&lt; 18 tahun</v>
      </c>
      <c r="M65" s="125" t="str">
        <f t="array" ref="M65">IFNA(xlookup(H65,'🙎‍♂️ Pasien'!$G$5:$G371,'🙎‍♂️ Pasien'!$S$5:$S371),"")</f>
        <v>PELAJAR/MAHASISWA</v>
      </c>
      <c r="N65" s="125" t="str">
        <f t="array" ref="N65">IFNA(XLOOKUP($H65,'🙎‍♂️ Pasien'!$G$7:$G371,'🙎‍♂️ Pasien'!$T$7:$T371),"")</f>
        <v>Cedera engkel</v>
      </c>
      <c r="O65" s="16" t="s">
        <v>832</v>
      </c>
      <c r="P65" s="16" t="s">
        <v>833</v>
      </c>
      <c r="Q65" s="16" t="s">
        <v>28</v>
      </c>
      <c r="R65" s="16" t="s">
        <v>86</v>
      </c>
      <c r="S65" s="16" t="s">
        <v>91</v>
      </c>
      <c r="T65" s="16" t="s">
        <v>830</v>
      </c>
      <c r="U65" s="109"/>
      <c r="V65" s="126"/>
      <c r="W65" s="109"/>
      <c r="X65" s="109" t="str">
        <f t="array" ref="X65">IF(H65="","",XLOOKUP(H65,CATATANPELAYANAN[[#ALL],[NAMA PASIEN]],CATATANPELAYANAN[[#ALL],[LAYANAN]],"TIDAK CLOSING",0,-1))</f>
        <v>PAKET TERAPI</v>
      </c>
      <c r="Y65" s="109" t="str">
        <f t="shared" si="4"/>
        <v>PAKET</v>
      </c>
      <c r="Z65" s="127"/>
    </row>
    <row r="66" ht="22.5" customHeight="1">
      <c r="A66" s="122"/>
      <c r="B66" s="123">
        <v>45950.0</v>
      </c>
      <c r="C66" s="124" t="str">
        <f t="shared" si="1"/>
        <v>2025</v>
      </c>
      <c r="D66" s="124" t="str">
        <f t="shared" si="2"/>
        <v>10 Okt</v>
      </c>
      <c r="E66" s="124" t="str">
        <f t="shared" si="3"/>
        <v>Sen</v>
      </c>
      <c r="F66" s="16" t="s">
        <v>53</v>
      </c>
      <c r="G66" s="109" t="str">
        <f t="array" ref="G66">IFNA(XLOOKUP(S66,'⚙️ Pengaturan'!$H$5:$H371,'⚙️ Pengaturan'!$I$5:$I371),"")</f>
        <v>TIM Y</v>
      </c>
      <c r="H66" s="109" t="s">
        <v>316</v>
      </c>
      <c r="I66" s="125" t="str">
        <f t="array" ref="I66">ifna(xlookup($H66,'🙎‍♂️ Pasien'!$G$7:$G371,'🙎‍♂️ Pasien'!$H$7:$H371),"")</f>
        <v>P0125047300</v>
      </c>
      <c r="J66" s="125" t="str">
        <f t="array" ref="J66">ifna(xlookup($H66,'🙎‍♂️ Pasien'!$G$7:$G371,'🙎‍♂️ Pasien'!$L$7:$L371),"")</f>
        <v>PEREMPUAN</v>
      </c>
      <c r="K66" s="125">
        <f t="array" ref="K66">ifna(xlookup($H66,'🙎‍♂️ Pasien'!$G$7:$G371,'🙎‍♂️ Pasien'!$I$7:$I371),"")</f>
        <v>25</v>
      </c>
      <c r="L66" s="125" t="str">
        <f t="array" ref="L66">IFNA(xlookup(H66,'🙎‍♂️ Pasien'!$G$5:$G371,'🙎‍♂️ Pasien'!$J$5:$J371),"")</f>
        <v>25-34 tahun</v>
      </c>
      <c r="M66" s="125" t="str">
        <f t="array" ref="M66">IFNA(xlookup(H66,'🙎‍♂️ Pasien'!$G$5:$G371,'🙎‍♂️ Pasien'!$S$5:$S371),"")</f>
        <v>FREELANCE</v>
      </c>
      <c r="N66" s="125" t="str">
        <f t="array" ref="N66">IFNA(XLOOKUP($H66,'🙎‍♂️ Pasien'!$G$7:$G371,'🙎‍♂️ Pasien'!$T$7:$T371),"")</f>
        <v>SAKIT PINGGANG</v>
      </c>
      <c r="O66" s="16" t="s">
        <v>914</v>
      </c>
      <c r="P66" s="16" t="s">
        <v>833</v>
      </c>
      <c r="Q66" s="16" t="s">
        <v>28</v>
      </c>
      <c r="R66" s="16" t="s">
        <v>54</v>
      </c>
      <c r="S66" s="16" t="s">
        <v>91</v>
      </c>
      <c r="T66" s="16" t="s">
        <v>827</v>
      </c>
      <c r="U66" s="109" t="s">
        <v>915</v>
      </c>
      <c r="V66" s="126"/>
      <c r="W66" s="109"/>
      <c r="X66" s="109" t="str">
        <f t="array" ref="X66">IF(H66="","",XLOOKUP(H66,CATATANPELAYANAN[[#ALL],[NAMA PASIEN]],CATATANPELAYANAN[[#ALL],[LAYANAN]],"TIDAK CLOSING",0,-1))</f>
        <v>SESI TERAPI</v>
      </c>
      <c r="Y66" s="109" t="str">
        <f t="shared" si="4"/>
        <v>SESI</v>
      </c>
      <c r="Z66" s="127"/>
    </row>
    <row r="67" ht="22.5" customHeight="1">
      <c r="A67" s="122"/>
      <c r="B67" s="123">
        <v>45950.0</v>
      </c>
      <c r="C67" s="124" t="str">
        <f t="shared" si="1"/>
        <v>2025</v>
      </c>
      <c r="D67" s="124" t="str">
        <f t="shared" si="2"/>
        <v>10 Okt</v>
      </c>
      <c r="E67" s="124" t="str">
        <f t="shared" si="3"/>
        <v>Sen</v>
      </c>
      <c r="F67" s="16" t="s">
        <v>53</v>
      </c>
      <c r="G67" s="109" t="str">
        <f t="array" ref="G67">IFNA(XLOOKUP(S67,'⚙️ Pengaturan'!$H$5:$H371,'⚙️ Pengaturan'!$I$5:$I371),"")</f>
        <v>TIM Y</v>
      </c>
      <c r="H67" s="109" t="s">
        <v>320</v>
      </c>
      <c r="I67" s="125" t="str">
        <f t="array" ref="I67">ifna(xlookup($H67,'🙎‍♂️ Pasien'!$G$7:$G371,'🙎‍♂️ Pasien'!$H$7:$H371),"")</f>
        <v>S6325104795</v>
      </c>
      <c r="J67" s="125" t="str">
        <f t="array" ref="J67">ifna(xlookup($H67,'🙎‍♂️ Pasien'!$G$7:$G371,'🙎‍♂️ Pasien'!$L$7:$L371),"")</f>
        <v>PEREMPUAN</v>
      </c>
      <c r="K67" s="125">
        <f t="array" ref="K67">ifna(xlookup($H67,'🙎‍♂️ Pasien'!$G$7:$G371,'🙎‍♂️ Pasien'!$I$7:$I371),"")</f>
        <v>62</v>
      </c>
      <c r="L67" s="125" t="str">
        <f t="array" ref="L67">IFNA(xlookup(H67,'🙎‍♂️ Pasien'!$G$5:$G371,'🙎‍♂️ Pasien'!$J$5:$J371),"")</f>
        <v>&gt; 44 tahun</v>
      </c>
      <c r="M67" s="125" t="str">
        <f t="array" ref="M67">IFNA(xlookup(H67,'🙎‍♂️ Pasien'!$G$5:$G371,'🙎‍♂️ Pasien'!$S$5:$S371),"")</f>
        <v>PENSIUN</v>
      </c>
      <c r="N67" s="125" t="str">
        <f t="array" ref="N67">IFNA(XLOOKUP($H67,'🙎‍♂️ Pasien'!$G$7:$G371,'🙎‍♂️ Pasien'!$T$7:$T371),"")</f>
        <v>SAKIT AREA PINGGANG DAN PUNGGUNG SETELAH JATUH DARI TANGGA</v>
      </c>
      <c r="O67" s="16" t="s">
        <v>825</v>
      </c>
      <c r="P67" s="16" t="s">
        <v>826</v>
      </c>
      <c r="Q67" s="16" t="s">
        <v>29</v>
      </c>
      <c r="R67" s="16" t="s">
        <v>54</v>
      </c>
      <c r="S67" s="16" t="s">
        <v>91</v>
      </c>
      <c r="T67" s="16" t="s">
        <v>827</v>
      </c>
      <c r="U67" s="109"/>
      <c r="V67" s="126"/>
      <c r="W67" s="109"/>
      <c r="X67" s="109" t="str">
        <f t="array" ref="X67">IF(H67="","",XLOOKUP(H67,CATATANPELAYANAN[[#ALL],[NAMA PASIEN]],CATATANPELAYANAN[[#ALL],[LAYANAN]],"TIDAK CLOSING",0,-1))</f>
        <v>SESI TERAPI</v>
      </c>
      <c r="Y67" s="109" t="str">
        <f t="shared" si="4"/>
        <v>SESI</v>
      </c>
      <c r="Z67" s="127"/>
    </row>
    <row r="68" ht="22.5" customHeight="1">
      <c r="A68" s="122"/>
      <c r="B68" s="123">
        <v>45950.0</v>
      </c>
      <c r="C68" s="124" t="str">
        <f t="shared" si="1"/>
        <v>2025</v>
      </c>
      <c r="D68" s="124" t="str">
        <f t="shared" si="2"/>
        <v>10 Okt</v>
      </c>
      <c r="E68" s="124" t="str">
        <f t="shared" si="3"/>
        <v>Sen</v>
      </c>
      <c r="F68" s="16" t="s">
        <v>85</v>
      </c>
      <c r="G68" s="109" t="str">
        <f t="array" ref="G68">IFNA(XLOOKUP(S68,'⚙️ Pengaturan'!$H$5:$H371,'⚙️ Pengaturan'!$I$5:$I371),"")</f>
        <v>TIM Y</v>
      </c>
      <c r="H68" s="109" t="s">
        <v>325</v>
      </c>
      <c r="I68" s="125" t="str">
        <f t="array" ref="I68">ifna(xlookup($H68,'🙎‍♂️ Pasien'!$G$7:$G371,'🙎‍♂️ Pasien'!$H$7:$H371),"")</f>
        <v>M9825103838</v>
      </c>
      <c r="J68" s="125" t="str">
        <f t="array" ref="J68">ifna(xlookup($H68,'🙎‍♂️ Pasien'!$G$7:$G371,'🙎‍♂️ Pasien'!$L$7:$L371),"")</f>
        <v>LAKI-LAKI</v>
      </c>
      <c r="K68" s="125">
        <f t="array" ref="K68">ifna(xlookup($H68,'🙎‍♂️ Pasien'!$G$7:$G371,'🙎‍♂️ Pasien'!$I$7:$I371),"")</f>
        <v>27</v>
      </c>
      <c r="L68" s="125" t="str">
        <f t="array" ref="L68">IFNA(xlookup(H68,'🙎‍♂️ Pasien'!$G$5:$G371,'🙎‍♂️ Pasien'!$J$5:$J371),"")</f>
        <v>25-34 tahun</v>
      </c>
      <c r="M68" s="125" t="str">
        <f t="array" ref="M68">IFNA(xlookup(H68,'🙎‍♂️ Pasien'!$G$5:$G371,'🙎‍♂️ Pasien'!$S$5:$S371),"")</f>
        <v>MAHASISWA</v>
      </c>
      <c r="N68" s="125" t="str">
        <f t="array" ref="N68">IFNA(XLOOKUP($H68,'🙎‍♂️ Pasien'!$G$7:$G371,'🙎‍♂️ Pasien'!$T$7:$T371),"")</f>
        <v>KAKI</v>
      </c>
      <c r="O68" s="16" t="s">
        <v>842</v>
      </c>
      <c r="P68" s="16" t="s">
        <v>836</v>
      </c>
      <c r="Q68" s="16" t="s">
        <v>27</v>
      </c>
      <c r="R68" s="16" t="s">
        <v>86</v>
      </c>
      <c r="S68" s="16" t="s">
        <v>56</v>
      </c>
      <c r="T68" s="16" t="s">
        <v>830</v>
      </c>
      <c r="U68" s="109" t="s">
        <v>916</v>
      </c>
      <c r="V68" s="126"/>
      <c r="W68" s="109"/>
      <c r="X68" s="109" t="str">
        <f t="array" ref="X68">IF(H68="","",XLOOKUP(H68,CATATANPELAYANAN[[#ALL],[NAMA PASIEN]],CATATANPELAYANAN[[#ALL],[LAYANAN]],"TIDAK CLOSING",0,-1))</f>
        <v>PAKET TERAPI</v>
      </c>
      <c r="Y68" s="109" t="str">
        <f t="shared" si="4"/>
        <v>PAKET</v>
      </c>
      <c r="Z68" s="127"/>
    </row>
    <row r="69" ht="22.5" customHeight="1">
      <c r="A69" s="122"/>
      <c r="B69" s="123">
        <v>45950.0</v>
      </c>
      <c r="C69" s="124" t="str">
        <f t="shared" si="1"/>
        <v>2025</v>
      </c>
      <c r="D69" s="124" t="str">
        <f t="shared" si="2"/>
        <v>10 Okt</v>
      </c>
      <c r="E69" s="124" t="str">
        <f t="shared" si="3"/>
        <v>Sen</v>
      </c>
      <c r="F69" s="16" t="s">
        <v>85</v>
      </c>
      <c r="G69" s="109" t="str">
        <f t="array" ref="G69">IFNA(XLOOKUP(S69,'⚙️ Pengaturan'!$H$5:$H371,'⚙️ Pengaturan'!$I$5:$I371),"")</f>
        <v>TIM Y</v>
      </c>
      <c r="H69" s="109" t="s">
        <v>326</v>
      </c>
      <c r="I69" s="125" t="str">
        <f t="array" ref="I69">ifna(xlookup($H69,'🙎‍♂️ Pasien'!$G$7:$G371,'🙎‍♂️ Pasien'!$H$7:$H371),"")</f>
        <v>A1423086916</v>
      </c>
      <c r="J69" s="125" t="str">
        <f t="array" ref="J69">ifna(xlookup($H69,'🙎‍♂️ Pasien'!$G$7:$G371,'🙎‍♂️ Pasien'!$L$7:$L371),"")</f>
        <v>LAKI-LAKI</v>
      </c>
      <c r="K69" s="125">
        <f t="array" ref="K69">ifna(xlookup($H69,'🙎‍♂️ Pasien'!$G$7:$G371,'🙎‍♂️ Pasien'!$I$7:$I371),"")</f>
        <v>11</v>
      </c>
      <c r="L69" s="125" t="str">
        <f t="array" ref="L69">IFNA(xlookup(H69,'🙎‍♂️ Pasien'!$G$5:$G371,'🙎‍♂️ Pasien'!$J$5:$J371),"")</f>
        <v>&lt; 18 tahun</v>
      </c>
      <c r="M69" s="125" t="str">
        <f t="array" ref="M69">IFNA(xlookup(H69,'🙎‍♂️ Pasien'!$G$5:$G371,'🙎‍♂️ Pasien'!$S$5:$S371),"")</f>
        <v>PELAJAR/MAHASISWA</v>
      </c>
      <c r="N69" s="125" t="str">
        <f t="array" ref="N69">IFNA(XLOOKUP($H69,'🙎‍♂️ Pasien'!$G$7:$G371,'🙎‍♂️ Pasien'!$T$7:$T371),"")</f>
        <v>ANKLE KAKI KANAN</v>
      </c>
      <c r="O69" s="16" t="s">
        <v>917</v>
      </c>
      <c r="P69" s="16" t="s">
        <v>829</v>
      </c>
      <c r="Q69" s="16" t="s">
        <v>28</v>
      </c>
      <c r="R69" s="16" t="s">
        <v>86</v>
      </c>
      <c r="S69" s="16" t="s">
        <v>56</v>
      </c>
      <c r="T69" s="16" t="s">
        <v>830</v>
      </c>
      <c r="U69" s="109"/>
      <c r="V69" s="126"/>
      <c r="W69" s="109"/>
      <c r="X69" s="109" t="str">
        <f t="array" ref="X69">IF(H69="","",XLOOKUP(H69,CATATANPELAYANAN[[#ALL],[NAMA PASIEN]],CATATANPELAYANAN[[#ALL],[LAYANAN]],"TIDAK CLOSING",0,-1))</f>
        <v>PAKET TERAPI</v>
      </c>
      <c r="Y69" s="109" t="str">
        <f t="shared" si="4"/>
        <v>PAKET</v>
      </c>
      <c r="Z69" s="127"/>
    </row>
    <row r="70" ht="22.5" customHeight="1">
      <c r="A70" s="122"/>
      <c r="B70" s="123">
        <v>45950.0</v>
      </c>
      <c r="C70" s="124" t="str">
        <f t="shared" si="1"/>
        <v>2025</v>
      </c>
      <c r="D70" s="124" t="str">
        <f t="shared" si="2"/>
        <v>10 Okt</v>
      </c>
      <c r="E70" s="124" t="str">
        <f t="shared" si="3"/>
        <v>Sen</v>
      </c>
      <c r="F70" s="16" t="s">
        <v>85</v>
      </c>
      <c r="G70" s="109" t="str">
        <f t="array" ref="G70">IFNA(XLOOKUP(S70,'⚙️ Pengaturan'!$H$5:$H371,'⚙️ Pengaturan'!$I$5:$I371),"")</f>
        <v>TIM A</v>
      </c>
      <c r="H70" s="109" t="s">
        <v>918</v>
      </c>
      <c r="I70" s="125" t="str">
        <f t="array" ref="I70">ifna(xlookup($H70,'🙎‍♂️ Pasien'!$G$7:$G371,'🙎‍♂️ Pasien'!$H$7:$H371),"")</f>
        <v>S9725018060</v>
      </c>
      <c r="J70" s="125" t="str">
        <f t="array" ref="J70">ifna(xlookup($H70,'🙎‍♂️ Pasien'!$G$7:$G371,'🙎‍♂️ Pasien'!$L$7:$L371),"")</f>
        <v>PEREMPUAN</v>
      </c>
      <c r="K70" s="125">
        <f t="array" ref="K70">ifna(xlookup($H70,'🙎‍♂️ Pasien'!$G$7:$G371,'🙎‍♂️ Pasien'!$I$7:$I371),"")</f>
        <v>28</v>
      </c>
      <c r="L70" s="125" t="str">
        <f t="array" ref="L70">IFNA(xlookup(H70,'🙎‍♂️ Pasien'!$G$5:$G371,'🙎‍♂️ Pasien'!$J$5:$J371),"")</f>
        <v>25-34 tahun</v>
      </c>
      <c r="M70" s="125" t="str">
        <f t="array" ref="M70">IFNA(xlookup(H70,'🙎‍♂️ Pasien'!$G$5:$G371,'🙎‍♂️ Pasien'!$S$5:$S371),"")</f>
        <v>SWASTA</v>
      </c>
      <c r="N70" s="125" t="str">
        <f t="array" ref="N70">IFNA(XLOOKUP($H70,'🙎‍♂️ Pasien'!$G$7:$G371,'🙎‍♂️ Pasien'!$T$7:$T371),"")</f>
        <v>PATAH TULANG</v>
      </c>
      <c r="O70" s="16" t="s">
        <v>919</v>
      </c>
      <c r="P70" s="16" t="s">
        <v>833</v>
      </c>
      <c r="Q70" s="16" t="s">
        <v>28</v>
      </c>
      <c r="R70" s="16" t="s">
        <v>86</v>
      </c>
      <c r="S70" s="16" t="s">
        <v>72</v>
      </c>
      <c r="T70" s="16" t="s">
        <v>834</v>
      </c>
      <c r="U70" s="109" t="s">
        <v>920</v>
      </c>
      <c r="V70" s="126"/>
      <c r="W70" s="109"/>
      <c r="X70" s="109" t="str">
        <f t="array" ref="X70">IF(H70="","",XLOOKUP(H70,CATATANPELAYANAN[[#ALL],[NAMA PASIEN]],CATATANPELAYANAN[[#ALL],[LAYANAN]],"TIDAK CLOSING",0,-1))</f>
        <v>TIDAK CLOSING</v>
      </c>
      <c r="Y70" s="109" t="str">
        <f t="shared" si="4"/>
        <v>TIDAK CLOSING</v>
      </c>
      <c r="Z70" s="127"/>
    </row>
    <row r="71" ht="22.5" customHeight="1">
      <c r="A71" s="122"/>
      <c r="B71" s="123">
        <v>45950.0</v>
      </c>
      <c r="C71" s="124" t="str">
        <f t="shared" si="1"/>
        <v>2025</v>
      </c>
      <c r="D71" s="124" t="str">
        <f t="shared" si="2"/>
        <v>10 Okt</v>
      </c>
      <c r="E71" s="124" t="str">
        <f t="shared" si="3"/>
        <v>Sen</v>
      </c>
      <c r="F71" s="16" t="s">
        <v>85</v>
      </c>
      <c r="G71" s="109" t="str">
        <f t="array" ref="G71">IFNA(XLOOKUP(S71,'⚙️ Pengaturan'!$H$5:$H371,'⚙️ Pengaturan'!$I$5:$I371),"")</f>
        <v>TIM A</v>
      </c>
      <c r="H71" s="109" t="s">
        <v>921</v>
      </c>
      <c r="I71" s="125" t="str">
        <f t="array" ref="I71">ifna(xlookup($H71,'🙎‍♂️ Pasien'!$G$7:$G371,'🙎‍♂️ Pasien'!$H$7:$H371),"")</f>
        <v/>
      </c>
      <c r="J71" s="125" t="str">
        <f t="array" ref="J71">ifna(xlookup($H71,'🙎‍♂️ Pasien'!$G$7:$G371,'🙎‍♂️ Pasien'!$L$7:$L371),"")</f>
        <v/>
      </c>
      <c r="K71" s="125" t="str">
        <f t="array" ref="K71">ifna(xlookup($H71,'🙎‍♂️ Pasien'!$G$7:$G371,'🙎‍♂️ Pasien'!$I$7:$I371),"")</f>
        <v/>
      </c>
      <c r="L71" s="125" t="str">
        <f t="array" ref="L71">IFNA(xlookup(H71,'🙎‍♂️ Pasien'!$G$5:$G371,'🙎‍♂️ Pasien'!$J$5:$J371),"")</f>
        <v/>
      </c>
      <c r="M71" s="125" t="str">
        <f t="array" ref="M71">IFNA(xlookup(H71,'🙎‍♂️ Pasien'!$G$5:$G371,'🙎‍♂️ Pasien'!$S$5:$S371),"")</f>
        <v/>
      </c>
      <c r="N71" s="125" t="str">
        <f t="array" ref="N71">IFNA(XLOOKUP($H71,'🙎‍♂️ Pasien'!$G$7:$G371,'🙎‍♂️ Pasien'!$T$7:$T371),"")</f>
        <v/>
      </c>
      <c r="O71" s="16" t="s">
        <v>847</v>
      </c>
      <c r="P71" s="16" t="s">
        <v>848</v>
      </c>
      <c r="Q71" s="16" t="s">
        <v>27</v>
      </c>
      <c r="R71" s="16" t="s">
        <v>86</v>
      </c>
      <c r="S71" s="16" t="s">
        <v>62</v>
      </c>
      <c r="T71" s="16" t="s">
        <v>830</v>
      </c>
      <c r="U71" s="109" t="s">
        <v>831</v>
      </c>
      <c r="V71" s="126"/>
      <c r="W71" s="109"/>
      <c r="X71" s="109" t="str">
        <f t="array" ref="X71">IF(H71="","",XLOOKUP(H71,CATATANPELAYANAN[[#ALL],[NAMA PASIEN]],CATATANPELAYANAN[[#ALL],[LAYANAN]],"TIDAK CLOSING",0,-1))</f>
        <v>TIDAK CLOSING</v>
      </c>
      <c r="Y71" s="109" t="str">
        <f t="shared" si="4"/>
        <v>TIDAK CLOSING</v>
      </c>
      <c r="Z71" s="127"/>
    </row>
    <row r="72" ht="22.5" customHeight="1">
      <c r="A72" s="122"/>
      <c r="B72" s="123">
        <v>45951.0</v>
      </c>
      <c r="C72" s="124" t="str">
        <f t="shared" si="1"/>
        <v>2025</v>
      </c>
      <c r="D72" s="124" t="str">
        <f t="shared" si="2"/>
        <v>10 Okt</v>
      </c>
      <c r="E72" s="124" t="str">
        <f t="shared" si="3"/>
        <v>Sel</v>
      </c>
      <c r="F72" s="16" t="s">
        <v>53</v>
      </c>
      <c r="G72" s="109" t="str">
        <f t="array" ref="G72">IFNA(XLOOKUP(S72,'⚙️ Pengaturan'!$H$5:$H371,'⚙️ Pengaturan'!$I$5:$I371),"")</f>
        <v>TIM Y</v>
      </c>
      <c r="H72" s="109" t="s">
        <v>331</v>
      </c>
      <c r="I72" s="125" t="str">
        <f t="array" ref="I72">ifna(xlookup($H72,'🙎‍♂️ Pasien'!$G$7:$G371,'🙎‍♂️ Pasien'!$H$7:$H371),"")</f>
        <v>L0825103838</v>
      </c>
      <c r="J72" s="125" t="str">
        <f t="array" ref="J72">ifna(xlookup($H72,'🙎‍♂️ Pasien'!$G$7:$G371,'🙎‍♂️ Pasien'!$L$7:$L371),"")</f>
        <v>LAKI-LAKI</v>
      </c>
      <c r="K72" s="125">
        <f t="array" ref="K72">ifna(xlookup($H72,'🙎‍♂️ Pasien'!$G$7:$G371,'🙎‍♂️ Pasien'!$I$7:$I371),"")</f>
        <v>18</v>
      </c>
      <c r="L72" s="125" t="str">
        <f t="array" ref="L72">IFNA(xlookup(H72,'🙎‍♂️ Pasien'!$G$5:$G371,'🙎‍♂️ Pasien'!$J$5:$J371),"")</f>
        <v>&lt; 18 tahun</v>
      </c>
      <c r="M72" s="125" t="str">
        <f t="array" ref="M72">IFNA(xlookup(H72,'🙎‍♂️ Pasien'!$G$5:$G371,'🙎‍♂️ Pasien'!$S$5:$S371),"")</f>
        <v>PELAJAR</v>
      </c>
      <c r="N72" s="125" t="str">
        <f t="array" ref="N72">IFNA(XLOOKUP($H72,'🙎‍♂️ Pasien'!$G$7:$G371,'🙎‍♂️ Pasien'!$T$7:$T371),"")</f>
        <v>ANKLE</v>
      </c>
      <c r="O72" s="16" t="s">
        <v>832</v>
      </c>
      <c r="P72" s="16" t="s">
        <v>833</v>
      </c>
      <c r="Q72" s="16" t="s">
        <v>29</v>
      </c>
      <c r="R72" s="16" t="s">
        <v>86</v>
      </c>
      <c r="S72" s="16" t="s">
        <v>56</v>
      </c>
      <c r="T72" s="16" t="s">
        <v>830</v>
      </c>
      <c r="U72" s="109"/>
      <c r="V72" s="126"/>
      <c r="W72" s="109"/>
      <c r="X72" s="109" t="str">
        <f t="array" ref="X72">IF(H72="","",XLOOKUP(H72,CATATANPELAYANAN[[#ALL],[NAMA PASIEN]],CATATANPELAYANAN[[#ALL],[LAYANAN]],"TIDAK CLOSING",0,-1))</f>
        <v>PAKET TERAPI</v>
      </c>
      <c r="Y72" s="109" t="str">
        <f t="shared" si="4"/>
        <v>PAKET</v>
      </c>
      <c r="Z72" s="127"/>
    </row>
    <row r="73" ht="22.5" customHeight="1">
      <c r="A73" s="122"/>
      <c r="B73" s="123">
        <v>45952.0</v>
      </c>
      <c r="C73" s="124" t="str">
        <f t="shared" si="1"/>
        <v>2025</v>
      </c>
      <c r="D73" s="124" t="str">
        <f t="shared" si="2"/>
        <v>10 Okt</v>
      </c>
      <c r="E73" s="124" t="str">
        <f t="shared" si="3"/>
        <v>Rab</v>
      </c>
      <c r="F73" s="16" t="s">
        <v>53</v>
      </c>
      <c r="G73" s="109" t="str">
        <f t="array" ref="G73">IFNA(XLOOKUP(S73,'⚙️ Pengaturan'!$H$5:$H371,'⚙️ Pengaturan'!$I$5:$I371),"")</f>
        <v>TIM Y</v>
      </c>
      <c r="H73" s="109" t="s">
        <v>922</v>
      </c>
      <c r="I73" s="125" t="str">
        <f t="array" ref="I73">ifna(xlookup($H73,'🙎‍♂️ Pasien'!$G$7:$G371,'🙎‍♂️ Pasien'!$H$7:$H371),"")</f>
        <v/>
      </c>
      <c r="J73" s="125" t="str">
        <f t="array" ref="J73">ifna(xlookup($H73,'🙎‍♂️ Pasien'!$G$7:$G371,'🙎‍♂️ Pasien'!$L$7:$L371),"")</f>
        <v/>
      </c>
      <c r="K73" s="125" t="str">
        <f t="array" ref="K73">ifna(xlookup($H73,'🙎‍♂️ Pasien'!$G$7:$G371,'🙎‍♂️ Pasien'!$I$7:$I371),"")</f>
        <v/>
      </c>
      <c r="L73" s="125" t="str">
        <f t="array" ref="L73">IFNA(xlookup(H73,'🙎‍♂️ Pasien'!$G$5:$G371,'🙎‍♂️ Pasien'!$J$5:$J371),"")</f>
        <v/>
      </c>
      <c r="M73" s="125" t="str">
        <f t="array" ref="M73">IFNA(xlookup(H73,'🙎‍♂️ Pasien'!$G$5:$G371,'🙎‍♂️ Pasien'!$S$5:$S371),"")</f>
        <v/>
      </c>
      <c r="N73" s="125" t="str">
        <f t="array" ref="N73">IFNA(XLOOKUP($H73,'🙎‍♂️ Pasien'!$G$7:$G371,'🙎‍♂️ Pasien'!$T$7:$T371),"")</f>
        <v/>
      </c>
      <c r="O73" s="16" t="s">
        <v>923</v>
      </c>
      <c r="P73" s="16" t="s">
        <v>836</v>
      </c>
      <c r="Q73" s="16" t="s">
        <v>29</v>
      </c>
      <c r="R73" s="16" t="s">
        <v>54</v>
      </c>
      <c r="S73" s="16" t="s">
        <v>56</v>
      </c>
      <c r="T73" s="16" t="s">
        <v>834</v>
      </c>
      <c r="U73" s="109" t="s">
        <v>924</v>
      </c>
      <c r="V73" s="126"/>
      <c r="W73" s="109"/>
      <c r="X73" s="109" t="str">
        <f t="array" ref="X73">IF(H73="","",XLOOKUP(H73,CATATANPELAYANAN[[#ALL],[NAMA PASIEN]],CATATANPELAYANAN[[#ALL],[LAYANAN]],"TIDAK CLOSING",0,-1))</f>
        <v>TIDAK CLOSING</v>
      </c>
      <c r="Y73" s="109" t="str">
        <f t="shared" si="4"/>
        <v>TIDAK CLOSING</v>
      </c>
      <c r="Z73" s="127"/>
    </row>
    <row r="74" ht="22.5" customHeight="1">
      <c r="A74" s="122"/>
      <c r="B74" s="123">
        <v>45952.0</v>
      </c>
      <c r="C74" s="124" t="str">
        <f t="shared" si="1"/>
        <v>2025</v>
      </c>
      <c r="D74" s="124" t="str">
        <f t="shared" si="2"/>
        <v>10 Okt</v>
      </c>
      <c r="E74" s="124" t="str">
        <f t="shared" si="3"/>
        <v>Rab</v>
      </c>
      <c r="F74" s="16" t="s">
        <v>53</v>
      </c>
      <c r="G74" s="109" t="str">
        <f t="array" ref="G74">IFNA(XLOOKUP(S74,'⚙️ Pengaturan'!$H$5:$H371,'⚙️ Pengaturan'!$I$5:$I371),"")</f>
        <v>TIM Y</v>
      </c>
      <c r="H74" s="109" t="s">
        <v>339</v>
      </c>
      <c r="I74" s="125" t="str">
        <f t="array" ref="I74">ifna(xlookup($H74,'🙎‍♂️ Pasien'!$G$7:$G371,'🙎‍♂️ Pasien'!$H$7:$H371),"")</f>
        <v>H0125105276</v>
      </c>
      <c r="J74" s="125" t="str">
        <f t="array" ref="J74">ifna(xlookup($H74,'🙎‍♂️ Pasien'!$G$7:$G371,'🙎‍♂️ Pasien'!$L$7:$L371),"")</f>
        <v>LAKI-LAKI</v>
      </c>
      <c r="K74" s="125">
        <f t="array" ref="K74">ifna(xlookup($H74,'🙎‍♂️ Pasien'!$G$7:$G371,'🙎‍♂️ Pasien'!$I$7:$I371),"")</f>
        <v>24</v>
      </c>
      <c r="L74" s="125" t="str">
        <f t="array" ref="L74">IFNA(xlookup(H74,'🙎‍♂️ Pasien'!$G$5:$G371,'🙎‍♂️ Pasien'!$J$5:$J371),"")</f>
        <v>18-24 tahun</v>
      </c>
      <c r="M74" s="125" t="str">
        <f t="array" ref="M74">IFNA(xlookup(H74,'🙎‍♂️ Pasien'!$G$5:$G371,'🙎‍♂️ Pasien'!$S$5:$S371),"")</f>
        <v>COOK</v>
      </c>
      <c r="N74" s="125" t="str">
        <f t="array" ref="N74">IFNA(XLOOKUP($H74,'🙎‍♂️ Pasien'!$G$7:$G371,'🙎‍♂️ Pasien'!$T$7:$T371),"")</f>
        <v>LEHER, PUNGGUNG DAN BAHU</v>
      </c>
      <c r="O74" s="16" t="s">
        <v>828</v>
      </c>
      <c r="P74" s="16" t="s">
        <v>869</v>
      </c>
      <c r="Q74" s="16" t="s">
        <v>29</v>
      </c>
      <c r="R74" s="16" t="s">
        <v>54</v>
      </c>
      <c r="S74" s="16" t="s">
        <v>56</v>
      </c>
      <c r="T74" s="16" t="s">
        <v>827</v>
      </c>
      <c r="U74" s="109" t="s">
        <v>925</v>
      </c>
      <c r="V74" s="126"/>
      <c r="W74" s="109"/>
      <c r="X74" s="109" t="str">
        <f t="array" ref="X74">IF(H74="","",XLOOKUP(H74,CATATANPELAYANAN[[#ALL],[NAMA PASIEN]],CATATANPELAYANAN[[#ALL],[LAYANAN]],"TIDAK CLOSING",0,-1))</f>
        <v>SESI TERAPI</v>
      </c>
      <c r="Y74" s="109" t="str">
        <f t="shared" si="4"/>
        <v>SESI</v>
      </c>
      <c r="Z74" s="127"/>
    </row>
    <row r="75" ht="22.5" customHeight="1">
      <c r="A75" s="122"/>
      <c r="B75" s="123">
        <v>45952.0</v>
      </c>
      <c r="C75" s="124" t="str">
        <f t="shared" si="1"/>
        <v>2025</v>
      </c>
      <c r="D75" s="124" t="str">
        <f t="shared" si="2"/>
        <v>10 Okt</v>
      </c>
      <c r="E75" s="124" t="str">
        <f t="shared" si="3"/>
        <v>Rab</v>
      </c>
      <c r="F75" s="16" t="s">
        <v>53</v>
      </c>
      <c r="G75" s="109" t="str">
        <f t="array" ref="G75">IFNA(XLOOKUP(S75,'⚙️ Pengaturan'!$H$5:$H371,'⚙️ Pengaturan'!$I$5:$I371),"")</f>
        <v>TIM A</v>
      </c>
      <c r="H75" s="109" t="s">
        <v>341</v>
      </c>
      <c r="I75" s="125" t="str">
        <f t="array" ref="I75">ifna(xlookup($H75,'🙎‍♂️ Pasien'!$G$7:$G371,'🙎‍♂️ Pasien'!$H$7:$H371),"")</f>
        <v>T7325100015</v>
      </c>
      <c r="J75" s="125" t="str">
        <f t="array" ref="J75">ifna(xlookup($H75,'🙎‍♂️ Pasien'!$G$7:$G371,'🙎‍♂️ Pasien'!$L$7:$L371),"")</f>
        <v>PEREMPUAN</v>
      </c>
      <c r="K75" s="125">
        <f t="array" ref="K75">ifna(xlookup($H75,'🙎‍♂️ Pasien'!$G$7:$G371,'🙎‍♂️ Pasien'!$I$7:$I371),"")</f>
        <v>53</v>
      </c>
      <c r="L75" s="125" t="str">
        <f t="array" ref="L75">IFNA(xlookup(H75,'🙎‍♂️ Pasien'!$G$5:$G371,'🙎‍♂️ Pasien'!$J$5:$J371),"")</f>
        <v>&gt; 44 tahun</v>
      </c>
      <c r="M75" s="125" t="str">
        <f t="array" ref="M75">IFNA(xlookup(H75,'🙎‍♂️ Pasien'!$G$5:$G371,'🙎‍♂️ Pasien'!$S$5:$S371),"")</f>
        <v>PNS</v>
      </c>
      <c r="N75" s="125" t="str">
        <f t="array" ref="N75">IFNA(XLOOKUP($H75,'🙎‍♂️ Pasien'!$G$7:$G371,'🙎‍♂️ Pasien'!$T$7:$T371),"")</f>
        <v>SAKIT KAKI DAN PINGGANG</v>
      </c>
      <c r="O75" s="16" t="s">
        <v>926</v>
      </c>
      <c r="P75" s="16" t="s">
        <v>826</v>
      </c>
      <c r="Q75" s="16" t="s">
        <v>29</v>
      </c>
      <c r="R75" s="16" t="s">
        <v>54</v>
      </c>
      <c r="S75" s="16" t="s">
        <v>62</v>
      </c>
      <c r="T75" s="16" t="s">
        <v>830</v>
      </c>
      <c r="U75" s="109"/>
      <c r="V75" s="126"/>
      <c r="W75" s="109"/>
      <c r="X75" s="109" t="str">
        <f t="array" ref="X75">IF(H75="","",XLOOKUP(H75,CATATANPELAYANAN[[#ALL],[NAMA PASIEN]],CATATANPELAYANAN[[#ALL],[LAYANAN]],"TIDAK CLOSING",0,-1))</f>
        <v>PAKET TERAPI</v>
      </c>
      <c r="Y75" s="109" t="str">
        <f t="shared" si="4"/>
        <v>PAKET</v>
      </c>
      <c r="Z75" s="127"/>
    </row>
    <row r="76" ht="22.5" customHeight="1">
      <c r="A76" s="122"/>
      <c r="B76" s="123">
        <v>45953.0</v>
      </c>
      <c r="C76" s="124" t="str">
        <f t="shared" si="1"/>
        <v>2025</v>
      </c>
      <c r="D76" s="124" t="str">
        <f t="shared" si="2"/>
        <v>10 Okt</v>
      </c>
      <c r="E76" s="124" t="str">
        <f t="shared" si="3"/>
        <v>Kam</v>
      </c>
      <c r="F76" s="16" t="s">
        <v>85</v>
      </c>
      <c r="G76" s="109" t="str">
        <f t="array" ref="G76">IFNA(XLOOKUP(S76,'⚙️ Pengaturan'!$H$5:$H371,'⚙️ Pengaturan'!$I$5:$I371),"")</f>
        <v>TIM A</v>
      </c>
      <c r="H76" s="109" t="s">
        <v>350</v>
      </c>
      <c r="I76" s="125" t="str">
        <f t="array" ref="I76">ifna(xlookup($H76,'🙎‍♂️ Pasien'!$G$7:$G371,'🙎‍♂️ Pasien'!$H$7:$H371),"")</f>
        <v>I8025109996</v>
      </c>
      <c r="J76" s="125" t="str">
        <f t="array" ref="J76">ifna(xlookup($H76,'🙎‍♂️ Pasien'!$G$7:$G371,'🙎‍♂️ Pasien'!$L$7:$L371),"")</f>
        <v>PEREMPUAN</v>
      </c>
      <c r="K76" s="125">
        <f t="array" ref="K76">ifna(xlookup($H76,'🙎‍♂️ Pasien'!$G$7:$G371,'🙎‍♂️ Pasien'!$I$7:$I371),"")</f>
        <v>45</v>
      </c>
      <c r="L76" s="125" t="str">
        <f t="array" ref="L76">IFNA(xlookup(H76,'🙎‍♂️ Pasien'!$G$5:$G371,'🙎‍♂️ Pasien'!$J$5:$J371),"")</f>
        <v>&gt; 44 tahun</v>
      </c>
      <c r="M76" s="125" t="str">
        <f t="array" ref="M76">IFNA(xlookup(H76,'🙎‍♂️ Pasien'!$G$5:$G371,'🙎‍♂️ Pasien'!$S$5:$S371),"")</f>
        <v>WIRASWASTA</v>
      </c>
      <c r="N76" s="125" t="str">
        <f t="array" ref="N76">IFNA(XLOOKUP($H76,'🙎‍♂️ Pasien'!$G$7:$G371,'🙎‍♂️ Pasien'!$T$7:$T371),"")</f>
        <v>NYERI KEPALA TIPE TEGANG DAN TANGAN SUKA KESEMUTAN</v>
      </c>
      <c r="O76" s="16" t="s">
        <v>927</v>
      </c>
      <c r="P76" s="16" t="s">
        <v>866</v>
      </c>
      <c r="Q76" s="16" t="s">
        <v>28</v>
      </c>
      <c r="R76" s="16" t="s">
        <v>54</v>
      </c>
      <c r="S76" s="16" t="s">
        <v>79</v>
      </c>
      <c r="T76" s="16" t="s">
        <v>830</v>
      </c>
      <c r="U76" s="109"/>
      <c r="V76" s="126"/>
      <c r="W76" s="109"/>
      <c r="X76" s="109" t="str">
        <f t="array" ref="X76">IF(H76="","",XLOOKUP(H76,CATATANPELAYANAN[[#ALL],[NAMA PASIEN]],CATATANPELAYANAN[[#ALL],[LAYANAN]],"TIDAK CLOSING",0,-1))</f>
        <v>PAKET TERAPI</v>
      </c>
      <c r="Y76" s="109" t="str">
        <f t="shared" si="4"/>
        <v>PAKET</v>
      </c>
      <c r="Z76" s="127"/>
    </row>
    <row r="77" ht="22.5" customHeight="1">
      <c r="A77" s="122"/>
      <c r="B77" s="123">
        <v>45953.0</v>
      </c>
      <c r="C77" s="124" t="str">
        <f t="shared" si="1"/>
        <v>2025</v>
      </c>
      <c r="D77" s="124" t="str">
        <f t="shared" si="2"/>
        <v>10 Okt</v>
      </c>
      <c r="E77" s="124" t="str">
        <f t="shared" si="3"/>
        <v>Kam</v>
      </c>
      <c r="F77" s="16" t="s">
        <v>85</v>
      </c>
      <c r="G77" s="109" t="str">
        <f t="array" ref="G77">IFNA(XLOOKUP(S77,'⚙️ Pengaturan'!$H$5:$H371,'⚙️ Pengaturan'!$I$5:$I371),"")</f>
        <v>TIM A</v>
      </c>
      <c r="H77" s="109" t="s">
        <v>345</v>
      </c>
      <c r="I77" s="125" t="str">
        <f t="array" ref="I77">ifna(xlookup($H77,'🙎‍♂️ Pasien'!$G$7:$G371,'🙎‍♂️ Pasien'!$H$7:$H371),"")</f>
        <v>F9225081879</v>
      </c>
      <c r="J77" s="125" t="str">
        <f t="array" ref="J77">ifna(xlookup($H77,'🙎‍♂️ Pasien'!$G$7:$G371,'🙎‍♂️ Pasien'!$L$7:$L371),"")</f>
        <v>PEREMPUAN</v>
      </c>
      <c r="K77" s="125">
        <f t="array" ref="K77">ifna(xlookup($H77,'🙎‍♂️ Pasien'!$G$7:$G371,'🙎‍♂️ Pasien'!$I$7:$I371),"")</f>
        <v>33</v>
      </c>
      <c r="L77" s="125" t="str">
        <f t="array" ref="L77">IFNA(xlookup(H77,'🙎‍♂️ Pasien'!$G$5:$G371,'🙎‍♂️ Pasien'!$J$5:$J371),"")</f>
        <v>25-34 tahun</v>
      </c>
      <c r="M77" s="125" t="str">
        <f t="array" ref="M77">IFNA(xlookup(H77,'🙎‍♂️ Pasien'!$G$5:$G371,'🙎‍♂️ Pasien'!$S$5:$S371),"")</f>
        <v>PRAMUGARI BUMN</v>
      </c>
      <c r="N77" s="125" t="str">
        <f t="array" ref="N77">IFNA(XLOOKUP($H77,'🙎‍♂️ Pasien'!$G$7:$G371,'🙎‍♂️ Pasien'!$T$7:$T371),"")</f>
        <v>NYERI CEDERA ACL</v>
      </c>
      <c r="O77" s="16" t="s">
        <v>928</v>
      </c>
      <c r="P77" s="16" t="s">
        <v>836</v>
      </c>
      <c r="Q77" s="16" t="s">
        <v>28</v>
      </c>
      <c r="R77" s="16" t="s">
        <v>54</v>
      </c>
      <c r="S77" s="16" t="s">
        <v>79</v>
      </c>
      <c r="T77" s="16" t="s">
        <v>830</v>
      </c>
      <c r="U77" s="109"/>
      <c r="V77" s="126"/>
      <c r="W77" s="109"/>
      <c r="X77" s="109" t="str">
        <f t="array" ref="X77">IF(H77="","",XLOOKUP(H77,CATATANPELAYANAN[[#ALL],[NAMA PASIEN]],CATATANPELAYANAN[[#ALL],[LAYANAN]],"TIDAK CLOSING",0,-1))</f>
        <v>TERAPI AWAL</v>
      </c>
      <c r="Y77" s="109" t="str">
        <f t="shared" si="4"/>
        <v>TIDAK CLOSING</v>
      </c>
      <c r="Z77" s="127"/>
    </row>
    <row r="78" ht="22.5" customHeight="1">
      <c r="A78" s="122"/>
      <c r="B78" s="123">
        <v>45954.0</v>
      </c>
      <c r="C78" s="124" t="str">
        <f t="shared" si="1"/>
        <v>2025</v>
      </c>
      <c r="D78" s="124" t="str">
        <f t="shared" si="2"/>
        <v>10 Okt</v>
      </c>
      <c r="E78" s="124" t="str">
        <f t="shared" si="3"/>
        <v>Jum</v>
      </c>
      <c r="F78" s="16" t="s">
        <v>85</v>
      </c>
      <c r="G78" s="109" t="str">
        <f t="array" ref="G78">IFNA(XLOOKUP(S78,'⚙️ Pengaturan'!$H$5:$H371,'⚙️ Pengaturan'!$I$5:$I371),"")</f>
        <v>MANAJEMEN</v>
      </c>
      <c r="H78" s="109" t="s">
        <v>358</v>
      </c>
      <c r="I78" s="125" t="str">
        <f t="array" ref="I78">ifna(xlookup($H78,'🙎‍♂️ Pasien'!$G$7:$G371,'🙎‍♂️ Pasien'!$H$7:$H371),"")</f>
        <v>A9825105032</v>
      </c>
      <c r="J78" s="125" t="str">
        <f t="array" ref="J78">ifna(xlookup($H78,'🙎‍♂️ Pasien'!$G$7:$G371,'🙎‍♂️ Pasien'!$L$7:$L371),"")</f>
        <v>LAKI-LAKI</v>
      </c>
      <c r="K78" s="125">
        <f t="array" ref="K78">ifna(xlookup($H78,'🙎‍♂️ Pasien'!$G$7:$G371,'🙎‍♂️ Pasien'!$I$7:$I371),"")</f>
        <v>27</v>
      </c>
      <c r="L78" s="125" t="str">
        <f t="array" ref="L78">IFNA(xlookup(H78,'🙎‍♂️ Pasien'!$G$5:$G371,'🙎‍♂️ Pasien'!$J$5:$J371),"")</f>
        <v>25-34 tahun</v>
      </c>
      <c r="M78" s="125" t="str">
        <f t="array" ref="M78">IFNA(xlookup(H78,'🙎‍♂️ Pasien'!$G$5:$G371,'🙎‍♂️ Pasien'!$S$5:$S371),"")</f>
        <v>TAROT READER</v>
      </c>
      <c r="N78" s="125" t="str">
        <f t="array" ref="N78">IFNA(XLOOKUP($H78,'🙎‍♂️ Pasien'!$G$7:$G371,'🙎‍♂️ Pasien'!$T$7:$T371),"")</f>
        <v>NYERI DI KESELURUHAN PUNGGUNG (TERUTAMA AREA BELIKAT KIRI YANG TERKADANG BISA MENJALAR KE LENGAN KIRI), JUGA LEHER</v>
      </c>
      <c r="O78" s="16" t="s">
        <v>871</v>
      </c>
      <c r="P78" s="16" t="s">
        <v>869</v>
      </c>
      <c r="Q78" s="16" t="s">
        <v>29</v>
      </c>
      <c r="R78" s="16" t="s">
        <v>134</v>
      </c>
      <c r="S78" s="16" t="s">
        <v>101</v>
      </c>
      <c r="T78" s="16" t="s">
        <v>827</v>
      </c>
      <c r="U78" s="109" t="s">
        <v>359</v>
      </c>
      <c r="V78" s="126"/>
      <c r="W78" s="109"/>
      <c r="X78" s="109" t="str">
        <f t="array" ref="X78">IF(H78="","",XLOOKUP(H78,CATATANPELAYANAN[[#ALL],[NAMA PASIEN]],CATATANPELAYANAN[[#ALL],[LAYANAN]],"TIDAK CLOSING",0,-1))</f>
        <v>SESI TERAPI</v>
      </c>
      <c r="Y78" s="109" t="str">
        <f t="shared" si="4"/>
        <v>SESI</v>
      </c>
      <c r="Z78" s="127"/>
    </row>
    <row r="79" ht="22.5" customHeight="1">
      <c r="A79" s="122"/>
      <c r="B79" s="123">
        <v>45954.0</v>
      </c>
      <c r="C79" s="124" t="str">
        <f t="shared" si="1"/>
        <v>2025</v>
      </c>
      <c r="D79" s="124" t="str">
        <f t="shared" si="2"/>
        <v>10 Okt</v>
      </c>
      <c r="E79" s="124" t="str">
        <f t="shared" si="3"/>
        <v>Jum</v>
      </c>
      <c r="F79" s="16" t="s">
        <v>85</v>
      </c>
      <c r="G79" s="109" t="str">
        <f t="array" ref="G79">IFNA(XLOOKUP(S79,'⚙️ Pengaturan'!$H$5:$H371,'⚙️ Pengaturan'!$I$5:$I371),"")</f>
        <v>MANAJEMEN</v>
      </c>
      <c r="H79" s="109" t="s">
        <v>362</v>
      </c>
      <c r="I79" s="125" t="str">
        <f t="array" ref="I79">ifna(xlookup($H79,'🙎‍♂️ Pasien'!$G$7:$G371,'🙎‍♂️ Pasien'!$H$7:$H371),"")</f>
        <v>K1625104577</v>
      </c>
      <c r="J79" s="125" t="str">
        <f t="array" ref="J79">ifna(xlookup($H79,'🙎‍♂️ Pasien'!$G$7:$G371,'🙎‍♂️ Pasien'!$L$7:$L371),"")</f>
        <v>PEREMPUAN</v>
      </c>
      <c r="K79" s="125">
        <f t="array" ref="K79">ifna(xlookup($H79,'🙎‍♂️ Pasien'!$G$7:$G371,'🙎‍♂️ Pasien'!$I$7:$I371),"")</f>
        <v>9</v>
      </c>
      <c r="L79" s="125" t="str">
        <f t="array" ref="L79">IFNA(xlookup(H79,'🙎‍♂️ Pasien'!$G$5:$G371,'🙎‍♂️ Pasien'!$J$5:$J371),"")</f>
        <v>&lt; 18 tahun</v>
      </c>
      <c r="M79" s="125" t="str">
        <f t="array" ref="M79">IFNA(xlookup(H79,'🙎‍♂️ Pasien'!$G$5:$G371,'🙎‍♂️ Pasien'!$S$5:$S371),"")</f>
        <v>PELAJAR</v>
      </c>
      <c r="N79" s="125" t="str">
        <f t="array" ref="N79">IFNA(XLOOKUP($H79,'🙎‍♂️ Pasien'!$G$7:$G371,'🙎‍♂️ Pasien'!$T$7:$T371),"")</f>
        <v>KAKI KANAN KAKU</v>
      </c>
      <c r="O79" s="16" t="s">
        <v>929</v>
      </c>
      <c r="P79" s="16" t="s">
        <v>862</v>
      </c>
      <c r="Q79" s="16" t="s">
        <v>29</v>
      </c>
      <c r="R79" s="16" t="s">
        <v>134</v>
      </c>
      <c r="S79" s="16" t="s">
        <v>101</v>
      </c>
      <c r="T79" s="16" t="s">
        <v>834</v>
      </c>
      <c r="U79" s="109" t="s">
        <v>363</v>
      </c>
      <c r="V79" s="126"/>
      <c r="W79" s="109"/>
      <c r="X79" s="109" t="str">
        <f t="array" ref="X79">IF(H79="","",XLOOKUP(H79,CATATANPELAYANAN[[#ALL],[NAMA PASIEN]],CATATANPELAYANAN[[#ALL],[LAYANAN]],"TIDAK CLOSING",0,-1))</f>
        <v>TERAPI AWAL</v>
      </c>
      <c r="Y79" s="109" t="str">
        <f t="shared" si="4"/>
        <v>TIDAK CLOSING</v>
      </c>
      <c r="Z79" s="127"/>
    </row>
    <row r="80" ht="22.5" customHeight="1">
      <c r="A80" s="122"/>
      <c r="B80" s="123">
        <v>45954.0</v>
      </c>
      <c r="C80" s="124" t="str">
        <f t="shared" si="1"/>
        <v>2025</v>
      </c>
      <c r="D80" s="124" t="str">
        <f t="shared" si="2"/>
        <v>10 Okt</v>
      </c>
      <c r="E80" s="124" t="str">
        <f t="shared" si="3"/>
        <v>Jum</v>
      </c>
      <c r="F80" s="16" t="s">
        <v>85</v>
      </c>
      <c r="G80" s="109" t="str">
        <f t="array" ref="G80">IFNA(XLOOKUP(S80,'⚙️ Pengaturan'!$H$5:$H371,'⚙️ Pengaturan'!$I$5:$I371),"")</f>
        <v>TIM A</v>
      </c>
      <c r="H80" s="109" t="s">
        <v>366</v>
      </c>
      <c r="I80" s="125" t="str">
        <f t="array" ref="I80">ifna(xlookup($H80,'🙎‍♂️ Pasien'!$G$7:$G371,'🙎‍♂️ Pasien'!$H$7:$H371),"")</f>
        <v>S0825106969</v>
      </c>
      <c r="J80" s="125" t="str">
        <f t="array" ref="J80">ifna(xlookup($H80,'🙎‍♂️ Pasien'!$G$7:$G371,'🙎‍♂️ Pasien'!$L$7:$L371),"")</f>
        <v>PEREMPUAN</v>
      </c>
      <c r="K80" s="125">
        <f t="array" ref="K80">ifna(xlookup($H80,'🙎‍♂️ Pasien'!$G$7:$G371,'🙎‍♂️ Pasien'!$I$7:$I371),"")</f>
        <v>17</v>
      </c>
      <c r="L80" s="125" t="str">
        <f t="array" ref="L80">IFNA(xlookup(H80,'🙎‍♂️ Pasien'!$G$5:$G371,'🙎‍♂️ Pasien'!$J$5:$J371),"")</f>
        <v>&lt; 18 tahun</v>
      </c>
      <c r="M80" s="125" t="str">
        <f t="array" ref="M80">IFNA(xlookup(H80,'🙎‍♂️ Pasien'!$G$5:$G371,'🙎‍♂️ Pasien'!$S$5:$S371),"")</f>
        <v>PELAJAR</v>
      </c>
      <c r="N80" s="125" t="str">
        <f t="array" ref="N80">IFNA(XLOOKUP($H80,'🙎‍♂️ Pasien'!$G$7:$G371,'🙎‍♂️ Pasien'!$T$7:$T371),"")</f>
        <v>KAKI PANJANG PENDEK, SERING SAKIT DI BAGIAN PUNGGUNG BAWAH</v>
      </c>
      <c r="O80" s="16" t="s">
        <v>828</v>
      </c>
      <c r="P80" s="16" t="s">
        <v>845</v>
      </c>
      <c r="Q80" s="16" t="s">
        <v>29</v>
      </c>
      <c r="R80" s="16" t="s">
        <v>134</v>
      </c>
      <c r="S80" s="16" t="s">
        <v>79</v>
      </c>
      <c r="T80" s="16" t="s">
        <v>830</v>
      </c>
      <c r="U80" s="109" t="s">
        <v>471</v>
      </c>
      <c r="V80" s="126"/>
      <c r="W80" s="109"/>
      <c r="X80" s="109" t="str">
        <f t="array" ref="X80">IF(H80="","",XLOOKUP(H80,CATATANPELAYANAN[[#ALL],[NAMA PASIEN]],CATATANPELAYANAN[[#ALL],[LAYANAN]],"TIDAK CLOSING",0,-1))</f>
        <v>PAKET TERAPI</v>
      </c>
      <c r="Y80" s="109" t="str">
        <f t="shared" si="4"/>
        <v>PAKET</v>
      </c>
      <c r="Z80" s="127"/>
    </row>
    <row r="81" ht="22.5" customHeight="1">
      <c r="A81" s="122"/>
      <c r="B81" s="123">
        <v>45955.0</v>
      </c>
      <c r="C81" s="124" t="str">
        <f t="shared" si="1"/>
        <v>2025</v>
      </c>
      <c r="D81" s="124" t="str">
        <f t="shared" si="2"/>
        <v>10 Okt</v>
      </c>
      <c r="E81" s="124" t="str">
        <f t="shared" si="3"/>
        <v>Sab</v>
      </c>
      <c r="F81" s="16" t="s">
        <v>53</v>
      </c>
      <c r="G81" s="109" t="str">
        <f t="array" ref="G81">IFNA(XLOOKUP(S81,'⚙️ Pengaturan'!$H$5:$H371,'⚙️ Pengaturan'!$I$5:$I371),"")</f>
        <v>TIM Y</v>
      </c>
      <c r="H81" s="109" t="s">
        <v>370</v>
      </c>
      <c r="I81" s="125" t="str">
        <f t="array" ref="I81">ifna(xlookup($H81,'🙎‍♂️ Pasien'!$G$7:$G371,'🙎‍♂️ Pasien'!$H$7:$H371),"")</f>
        <v>N0525103483</v>
      </c>
      <c r="J81" s="125" t="str">
        <f t="array" ref="J81">ifna(xlookup($H81,'🙎‍♂️ Pasien'!$G$7:$G371,'🙎‍♂️ Pasien'!$L$7:$L371),"")</f>
        <v>PEREMPUAN</v>
      </c>
      <c r="K81" s="125">
        <f t="array" ref="K81">ifna(xlookup($H81,'🙎‍♂️ Pasien'!$G$7:$G371,'🙎‍♂️ Pasien'!$I$7:$I371),"")</f>
        <v>20</v>
      </c>
      <c r="L81" s="125" t="str">
        <f t="array" ref="L81">IFNA(xlookup(H81,'🙎‍♂️ Pasien'!$G$5:$G371,'🙎‍♂️ Pasien'!$J$5:$J371),"")</f>
        <v>18-24 tahun</v>
      </c>
      <c r="M81" s="125" t="str">
        <f t="array" ref="M81">IFNA(xlookup(H81,'🙎‍♂️ Pasien'!$G$5:$G371,'🙎‍♂️ Pasien'!$S$5:$S371),"")</f>
        <v>PEGAWAI</v>
      </c>
      <c r="N81" s="125" t="str">
        <f t="array" ref="N81">IFNA(XLOOKUP($H81,'🙎‍♂️ Pasien'!$G$7:$G371,'🙎‍♂️ Pasien'!$T$7:$T371),"")</f>
        <v>LEBAM PASCA KECELAKAAN</v>
      </c>
      <c r="O81" s="16" t="s">
        <v>928</v>
      </c>
      <c r="P81" s="16" t="s">
        <v>826</v>
      </c>
      <c r="Q81" s="16" t="s">
        <v>29</v>
      </c>
      <c r="R81" s="16" t="s">
        <v>54</v>
      </c>
      <c r="S81" s="16" t="s">
        <v>91</v>
      </c>
      <c r="T81" s="16" t="s">
        <v>834</v>
      </c>
      <c r="U81" s="109" t="s">
        <v>920</v>
      </c>
      <c r="V81" s="126"/>
      <c r="W81" s="109"/>
      <c r="X81" s="109" t="str">
        <f t="array" ref="X81">IF(H81="","",XLOOKUP(H81,CATATANPELAYANAN[[#ALL],[NAMA PASIEN]],CATATANPELAYANAN[[#ALL],[LAYANAN]],"TIDAK CLOSING",0,-1))</f>
        <v>PAKET/SESI</v>
      </c>
      <c r="Y81" s="109" t="str">
        <f t="shared" si="4"/>
        <v>TIDAK CLOSING</v>
      </c>
      <c r="Z81" s="127"/>
    </row>
    <row r="82" ht="22.5" customHeight="1">
      <c r="A82" s="122"/>
      <c r="B82" s="123">
        <v>45955.0</v>
      </c>
      <c r="C82" s="124" t="str">
        <f t="shared" si="1"/>
        <v>2025</v>
      </c>
      <c r="D82" s="124" t="str">
        <f t="shared" si="2"/>
        <v>10 Okt</v>
      </c>
      <c r="E82" s="124" t="str">
        <f t="shared" si="3"/>
        <v>Sab</v>
      </c>
      <c r="F82" s="16" t="s">
        <v>85</v>
      </c>
      <c r="G82" s="109" t="str">
        <f t="array" ref="G82">IFNA(XLOOKUP(S82,'⚙️ Pengaturan'!$H$5:$H371,'⚙️ Pengaturan'!$I$5:$I371),"")</f>
        <v>TIM A</v>
      </c>
      <c r="H82" s="109" t="s">
        <v>371</v>
      </c>
      <c r="I82" s="125" t="str">
        <f t="array" ref="I82">ifna(xlookup($H82,'🙎‍♂️ Pasien'!$G$7:$G371,'🙎‍♂️ Pasien'!$H$7:$H371),"")</f>
        <v>B9825108681</v>
      </c>
      <c r="J82" s="125" t="str">
        <f t="array" ref="J82">ifna(xlookup($H82,'🙎‍♂️ Pasien'!$G$7:$G371,'🙎‍♂️ Pasien'!$L$7:$L371),"")</f>
        <v>PEREMPUAN</v>
      </c>
      <c r="K82" s="125">
        <f t="array" ref="K82">ifna(xlookup($H82,'🙎‍♂️ Pasien'!$G$7:$G371,'🙎‍♂️ Pasien'!$I$7:$I371),"")</f>
        <v>28</v>
      </c>
      <c r="L82" s="125" t="str">
        <f t="array" ref="L82">IFNA(xlookup(H82,'🙎‍♂️ Pasien'!$G$5:$G371,'🙎‍♂️ Pasien'!$J$5:$J371),"")</f>
        <v>25-34 tahun</v>
      </c>
      <c r="M82" s="125" t="str">
        <f t="array" ref="M82">IFNA(xlookup(H82,'🙎‍♂️ Pasien'!$G$5:$G371,'🙎‍♂️ Pasien'!$S$5:$S371),"")</f>
        <v>-</v>
      </c>
      <c r="N82" s="125" t="str">
        <f t="array" ref="N82">IFNA(XLOOKUP($H82,'🙎‍♂️ Pasien'!$G$7:$G371,'🙎‍♂️ Pasien'!$T$7:$T371),"")</f>
        <v>BAHU TIDAK NYAMAN</v>
      </c>
      <c r="O82" s="16" t="s">
        <v>930</v>
      </c>
      <c r="P82" s="16" t="s">
        <v>931</v>
      </c>
      <c r="Q82" s="16" t="s">
        <v>29</v>
      </c>
      <c r="R82" s="16" t="s">
        <v>86</v>
      </c>
      <c r="S82" s="16" t="s">
        <v>62</v>
      </c>
      <c r="T82" s="16" t="s">
        <v>827</v>
      </c>
      <c r="U82" s="109"/>
      <c r="V82" s="126"/>
      <c r="W82" s="109"/>
      <c r="X82" s="109" t="str">
        <f t="array" ref="X82">IF(H82="","",XLOOKUP(H82,CATATANPELAYANAN[[#ALL],[NAMA PASIEN]],CATATANPELAYANAN[[#ALL],[LAYANAN]],"TIDAK CLOSING",0,-1))</f>
        <v>SESI TERAPI</v>
      </c>
      <c r="Y82" s="109" t="str">
        <f t="shared" si="4"/>
        <v>SESI</v>
      </c>
      <c r="Z82" s="127"/>
    </row>
    <row r="83" ht="22.5" customHeight="1">
      <c r="A83" s="122"/>
      <c r="B83" s="123">
        <v>45955.0</v>
      </c>
      <c r="C83" s="124" t="str">
        <f t="shared" si="1"/>
        <v>2025</v>
      </c>
      <c r="D83" s="124" t="str">
        <f t="shared" si="2"/>
        <v>10 Okt</v>
      </c>
      <c r="E83" s="124" t="str">
        <f t="shared" si="3"/>
        <v>Sab</v>
      </c>
      <c r="F83" s="16" t="s">
        <v>85</v>
      </c>
      <c r="G83" s="109" t="str">
        <f t="array" ref="G83">IFNA(XLOOKUP(S83,'⚙️ Pengaturan'!$H$5:$H371,'⚙️ Pengaturan'!$I$5:$I371),"")</f>
        <v>TIM Y</v>
      </c>
      <c r="H83" s="109" t="s">
        <v>932</v>
      </c>
      <c r="I83" s="125" t="str">
        <f t="array" ref="I83">ifna(xlookup($H83,'🙎‍♂️ Pasien'!$G$7:$G371,'🙎‍♂️ Pasien'!$H$7:$H371),"")</f>
        <v/>
      </c>
      <c r="J83" s="125" t="str">
        <f t="array" ref="J83">ifna(xlookup($H83,'🙎‍♂️ Pasien'!$G$7:$G371,'🙎‍♂️ Pasien'!$L$7:$L371),"")</f>
        <v/>
      </c>
      <c r="K83" s="125" t="str">
        <f t="array" ref="K83">ifna(xlookup($H83,'🙎‍♂️ Pasien'!$G$7:$G371,'🙎‍♂️ Pasien'!$I$7:$I371),"")</f>
        <v/>
      </c>
      <c r="L83" s="125" t="str">
        <f t="array" ref="L83">IFNA(xlookup(H83,'🙎‍♂️ Pasien'!$G$5:$G371,'🙎‍♂️ Pasien'!$J$5:$J371),"")</f>
        <v/>
      </c>
      <c r="M83" s="125" t="str">
        <f t="array" ref="M83">IFNA(xlookup(H83,'🙎‍♂️ Pasien'!$G$5:$G371,'🙎‍♂️ Pasien'!$S$5:$S371),"")</f>
        <v/>
      </c>
      <c r="N83" s="125" t="str">
        <f t="array" ref="N83">IFNA(XLOOKUP($H83,'🙎‍♂️ Pasien'!$G$7:$G371,'🙎‍♂️ Pasien'!$T$7:$T371),"")</f>
        <v/>
      </c>
      <c r="O83" s="16" t="s">
        <v>926</v>
      </c>
      <c r="P83" s="16" t="s">
        <v>826</v>
      </c>
      <c r="Q83" s="16" t="s">
        <v>29</v>
      </c>
      <c r="R83" s="16" t="s">
        <v>86</v>
      </c>
      <c r="S83" s="16" t="s">
        <v>56</v>
      </c>
      <c r="T83" s="16" t="s">
        <v>830</v>
      </c>
      <c r="U83" s="109" t="s">
        <v>933</v>
      </c>
      <c r="V83" s="126"/>
      <c r="W83" s="109"/>
      <c r="X83" s="109" t="str">
        <f t="array" ref="X83">IF(H83="","",XLOOKUP(H83,CATATANPELAYANAN[[#ALL],[NAMA PASIEN]],CATATANPELAYANAN[[#ALL],[LAYANAN]],"TIDAK CLOSING",0,-1))</f>
        <v>TIDAK CLOSING</v>
      </c>
      <c r="Y83" s="109" t="str">
        <f t="shared" si="4"/>
        <v>TIDAK CLOSING</v>
      </c>
      <c r="Z83" s="127"/>
    </row>
    <row r="84" ht="22.5" customHeight="1">
      <c r="A84" s="122"/>
      <c r="B84" s="123">
        <v>45956.0</v>
      </c>
      <c r="C84" s="124" t="str">
        <f t="shared" si="1"/>
        <v>2025</v>
      </c>
      <c r="D84" s="124" t="str">
        <f t="shared" si="2"/>
        <v>10 Okt</v>
      </c>
      <c r="E84" s="124" t="str">
        <f t="shared" si="3"/>
        <v>Min</v>
      </c>
      <c r="F84" s="16" t="s">
        <v>53</v>
      </c>
      <c r="G84" s="109" t="str">
        <f t="array" ref="G84">IFNA(XLOOKUP(S84,'⚙️ Pengaturan'!$H$5:$H371,'⚙️ Pengaturan'!$I$5:$I371),"")</f>
        <v>TIM A</v>
      </c>
      <c r="H84" s="109" t="s">
        <v>374</v>
      </c>
      <c r="I84" s="125" t="str">
        <f t="array" ref="I84">ifna(xlookup($H84,'🙎‍♂️ Pasien'!$G$7:$G371,'🙎‍♂️ Pasien'!$H$7:$H371),"")</f>
        <v>A9125109974</v>
      </c>
      <c r="J84" s="125" t="str">
        <f t="array" ref="J84">ifna(xlookup($H84,'🙎‍♂️ Pasien'!$G$7:$G371,'🙎‍♂️ Pasien'!$L$7:$L371),"")</f>
        <v>LAKI-LAKI</v>
      </c>
      <c r="K84" s="125">
        <f t="array" ref="K84">ifna(xlookup($H84,'🙎‍♂️ Pasien'!$G$7:$G371,'🙎‍♂️ Pasien'!$I$7:$I371),"")</f>
        <v>34</v>
      </c>
      <c r="L84" s="125" t="str">
        <f t="array" ref="L84">IFNA(xlookup(H84,'🙎‍♂️ Pasien'!$G$5:$G371,'🙎‍♂️ Pasien'!$J$5:$J371),"")</f>
        <v>25-34 tahun</v>
      </c>
      <c r="M84" s="125" t="str">
        <f t="array" ref="M84">IFNA(xlookup(H84,'🙎‍♂️ Pasien'!$G$5:$G371,'🙎‍♂️ Pasien'!$S$5:$S371),"")</f>
        <v>KARYAWAN</v>
      </c>
      <c r="N84" s="125" t="str">
        <f t="array" ref="N84">IFNA(XLOOKUP($H84,'🙎‍♂️ Pasien'!$G$7:$G371,'🙎‍♂️ Pasien'!$T$7:$T371),"")</f>
        <v>STRAIGHT LUMBALIS DAN PLANTAR OS CALCANEUS</v>
      </c>
      <c r="O84" s="16" t="s">
        <v>878</v>
      </c>
      <c r="P84" s="16" t="s">
        <v>833</v>
      </c>
      <c r="Q84" s="16" t="s">
        <v>29</v>
      </c>
      <c r="R84" s="16" t="s">
        <v>86</v>
      </c>
      <c r="S84" s="16" t="s">
        <v>72</v>
      </c>
      <c r="T84" s="16" t="s">
        <v>827</v>
      </c>
      <c r="U84" s="109" t="s">
        <v>934</v>
      </c>
      <c r="V84" s="126"/>
      <c r="W84" s="109"/>
      <c r="X84" s="109" t="str">
        <f t="array" ref="X84">IF(H84="","",XLOOKUP(H84,CATATANPELAYANAN[[#ALL],[NAMA PASIEN]],CATATANPELAYANAN[[#ALL],[LAYANAN]],"TIDAK CLOSING",0,-1))</f>
        <v>SESI TERAPI</v>
      </c>
      <c r="Y84" s="109" t="str">
        <f t="shared" si="4"/>
        <v>SESI</v>
      </c>
      <c r="Z84" s="127"/>
    </row>
    <row r="85" ht="22.5" customHeight="1">
      <c r="A85" s="122"/>
      <c r="B85" s="123">
        <v>45956.0</v>
      </c>
      <c r="C85" s="124" t="str">
        <f t="shared" si="1"/>
        <v>2025</v>
      </c>
      <c r="D85" s="124" t="str">
        <f t="shared" si="2"/>
        <v>10 Okt</v>
      </c>
      <c r="E85" s="124" t="str">
        <f t="shared" si="3"/>
        <v>Min</v>
      </c>
      <c r="F85" s="16" t="s">
        <v>53</v>
      </c>
      <c r="G85" s="109" t="str">
        <f t="array" ref="G85">IFNA(XLOOKUP(S85,'⚙️ Pengaturan'!$H$5:$H371,'⚙️ Pengaturan'!$I$5:$I371),"")</f>
        <v>TIM A</v>
      </c>
      <c r="H85" s="109" t="s">
        <v>377</v>
      </c>
      <c r="I85" s="125" t="str">
        <f t="array" ref="I85">ifna(xlookup($H85,'🙎‍♂️ Pasien'!$G$7:$G371,'🙎‍♂️ Pasien'!$H$7:$H371),"")</f>
        <v>W0825106980</v>
      </c>
      <c r="J85" s="125" t="str">
        <f t="array" ref="J85">ifna(xlookup($H85,'🙎‍♂️ Pasien'!$G$7:$G371,'🙎‍♂️ Pasien'!$L$7:$L371),"")</f>
        <v>LAKI-LAKI</v>
      </c>
      <c r="K85" s="125">
        <f t="array" ref="K85">ifna(xlookup($H85,'🙎‍♂️ Pasien'!$G$7:$G371,'🙎‍♂️ Pasien'!$I$7:$I371),"")</f>
        <v>18</v>
      </c>
      <c r="L85" s="125" t="str">
        <f t="array" ref="L85">IFNA(xlookup(H85,'🙎‍♂️ Pasien'!$G$5:$G371,'🙎‍♂️ Pasien'!$J$5:$J371),"")</f>
        <v>&lt; 18 tahun</v>
      </c>
      <c r="M85" s="125" t="str">
        <f t="array" ref="M85">IFNA(xlookup(H85,'🙎‍♂️ Pasien'!$G$5:$G371,'🙎‍♂️ Pasien'!$S$5:$S371),"")</f>
        <v>PELAJAR</v>
      </c>
      <c r="N85" s="125" t="str">
        <f t="array" ref="N85">IFNA(XLOOKUP($H85,'🙎‍♂️ Pasien'!$G$7:$G371,'🙎‍♂️ Pasien'!$T$7:$T371),"")</f>
        <v>SKOLIOSIS</v>
      </c>
      <c r="O85" s="16" t="s">
        <v>847</v>
      </c>
      <c r="P85" s="16" t="s">
        <v>848</v>
      </c>
      <c r="Q85" s="16" t="s">
        <v>29</v>
      </c>
      <c r="R85" s="16" t="s">
        <v>86</v>
      </c>
      <c r="S85" s="16" t="s">
        <v>62</v>
      </c>
      <c r="T85" s="16" t="s">
        <v>834</v>
      </c>
      <c r="U85" s="109" t="s">
        <v>933</v>
      </c>
      <c r="V85" s="126"/>
      <c r="W85" s="109"/>
      <c r="X85" s="109" t="str">
        <f t="array" ref="X85">IF(H85="","",XLOOKUP(H85,CATATANPELAYANAN[[#ALL],[NAMA PASIEN]],CATATANPELAYANAN[[#ALL],[LAYANAN]],"TIDAK CLOSING",0,-1))</f>
        <v>PAKET/SESI</v>
      </c>
      <c r="Y85" s="109" t="str">
        <f t="shared" si="4"/>
        <v>TIDAK CLOSING</v>
      </c>
      <c r="Z85" s="127"/>
    </row>
    <row r="86" ht="22.5" customHeight="1">
      <c r="A86" s="122"/>
      <c r="B86" s="123">
        <v>45956.0</v>
      </c>
      <c r="C86" s="124" t="str">
        <f t="shared" si="1"/>
        <v>2025</v>
      </c>
      <c r="D86" s="124" t="str">
        <f t="shared" si="2"/>
        <v>10 Okt</v>
      </c>
      <c r="E86" s="124" t="str">
        <f t="shared" si="3"/>
        <v>Min</v>
      </c>
      <c r="F86" s="16" t="s">
        <v>85</v>
      </c>
      <c r="G86" s="109" t="str">
        <f t="array" ref="G86">IFNA(XLOOKUP(S86,'⚙️ Pengaturan'!$H$5:$H371,'⚙️ Pengaturan'!$I$5:$I371),"")</f>
        <v>TIM Y</v>
      </c>
      <c r="H86" s="109" t="s">
        <v>381</v>
      </c>
      <c r="I86" s="125" t="str">
        <f t="array" ref="I86">ifna(xlookup($H86,'🙎‍♂️ Pasien'!$G$7:$G371,'🙎‍♂️ Pasien'!$H$7:$H371),"")</f>
        <v>A9925105509</v>
      </c>
      <c r="J86" s="125" t="str">
        <f t="array" ref="J86">ifna(xlookup($H86,'🙎‍♂️ Pasien'!$G$7:$G371,'🙎‍♂️ Pasien'!$L$7:$L371),"")</f>
        <v>PEREMPUAN</v>
      </c>
      <c r="K86" s="125">
        <f t="array" ref="K86">ifna(xlookup($H86,'🙎‍♂️ Pasien'!$G$7:$G371,'🙎‍♂️ Pasien'!$I$7:$I371),"")</f>
        <v>27</v>
      </c>
      <c r="L86" s="125" t="str">
        <f t="array" ref="L86">IFNA(xlookup(H86,'🙎‍♂️ Pasien'!$G$5:$G371,'🙎‍♂️ Pasien'!$J$5:$J371),"")</f>
        <v>25-34 tahun</v>
      </c>
      <c r="M86" s="125" t="str">
        <f t="array" ref="M86">IFNA(xlookup(H86,'🙎‍♂️ Pasien'!$G$5:$G371,'🙎‍♂️ Pasien'!$S$5:$S371),"")</f>
        <v>WIRASWASTA</v>
      </c>
      <c r="N86" s="125" t="str">
        <f t="array" ref="N86">IFNA(XLOOKUP($H86,'🙎‍♂️ Pasien'!$G$7:$G371,'🙎‍♂️ Pasien'!$T$7:$T371),"")</f>
        <v>KAKI BEKAS ANKLE SPRAIN SUDAH DITRE DAN BAHU PEGAL</v>
      </c>
      <c r="O86" s="16" t="s">
        <v>935</v>
      </c>
      <c r="P86" s="16" t="s">
        <v>833</v>
      </c>
      <c r="Q86" s="16" t="s">
        <v>29</v>
      </c>
      <c r="R86" s="16" t="s">
        <v>54</v>
      </c>
      <c r="S86" s="16" t="s">
        <v>91</v>
      </c>
      <c r="T86" s="16" t="s">
        <v>830</v>
      </c>
      <c r="U86" s="109"/>
      <c r="V86" s="126"/>
      <c r="W86" s="109"/>
      <c r="X86" s="109" t="str">
        <f t="array" ref="X86">IF(H86="","",XLOOKUP(H86,CATATANPELAYANAN[[#ALL],[NAMA PASIEN]],CATATANPELAYANAN[[#ALL],[LAYANAN]],"TIDAK CLOSING",0,-1))</f>
        <v>PAKET TERAPI</v>
      </c>
      <c r="Y86" s="109" t="str">
        <f t="shared" si="4"/>
        <v>PAKET</v>
      </c>
      <c r="Z86" s="127"/>
    </row>
    <row r="87" ht="22.5" customHeight="1">
      <c r="A87" s="122"/>
      <c r="B87" s="123">
        <v>45956.0</v>
      </c>
      <c r="C87" s="124" t="str">
        <f t="shared" si="1"/>
        <v>2025</v>
      </c>
      <c r="D87" s="124" t="str">
        <f t="shared" si="2"/>
        <v>10 Okt</v>
      </c>
      <c r="E87" s="124" t="str">
        <f t="shared" si="3"/>
        <v>Min</v>
      </c>
      <c r="F87" s="16" t="s">
        <v>85</v>
      </c>
      <c r="G87" s="109" t="str">
        <f t="array" ref="G87">IFNA(XLOOKUP(S87,'⚙️ Pengaturan'!$H$5:$H371,'⚙️ Pengaturan'!$I$5:$I371),"")</f>
        <v>TIM Y</v>
      </c>
      <c r="H87" s="109" t="s">
        <v>382</v>
      </c>
      <c r="I87" s="125" t="str">
        <f t="array" ref="I87">ifna(xlookup($H87,'🙎‍♂️ Pasien'!$G$7:$G371,'🙎‍♂️ Pasien'!$H$7:$H371),"")</f>
        <v>D6925037525</v>
      </c>
      <c r="J87" s="125" t="str">
        <f t="array" ref="J87">ifna(xlookup($H87,'🙎‍♂️ Pasien'!$G$7:$G371,'🙎‍♂️ Pasien'!$L$7:$L371),"")</f>
        <v>PEREMPUAN</v>
      </c>
      <c r="K87" s="125">
        <f t="array" ref="K87">ifna(xlookup($H87,'🙎‍♂️ Pasien'!$G$7:$G371,'🙎‍♂️ Pasien'!$I$7:$I371),"")</f>
        <v>57</v>
      </c>
      <c r="L87" s="125" t="str">
        <f t="array" ref="L87">IFNA(xlookup(H87,'🙎‍♂️ Pasien'!$G$5:$G371,'🙎‍♂️ Pasien'!$J$5:$J371),"")</f>
        <v>&gt; 44 tahun</v>
      </c>
      <c r="M87" s="125" t="str">
        <f t="array" ref="M87">IFNA(xlookup(H87,'🙎‍♂️ Pasien'!$G$5:$G371,'🙎‍♂️ Pasien'!$S$5:$S371),"")</f>
        <v>RUMAH TANGGA</v>
      </c>
      <c r="N87" s="125" t="str">
        <f t="array" ref="N87">IFNA(XLOOKUP($H87,'🙎‍♂️ Pasien'!$G$7:$G371,'🙎‍♂️ Pasien'!$T$7:$T371),"")</f>
        <v>BAHU DAN KAKI</v>
      </c>
      <c r="O87" s="16" t="s">
        <v>885</v>
      </c>
      <c r="P87" s="16" t="s">
        <v>869</v>
      </c>
      <c r="Q87" s="16" t="s">
        <v>29</v>
      </c>
      <c r="R87" s="16" t="s">
        <v>54</v>
      </c>
      <c r="S87" s="16" t="s">
        <v>107</v>
      </c>
      <c r="T87" s="16" t="s">
        <v>830</v>
      </c>
      <c r="U87" s="109"/>
      <c r="V87" s="126"/>
      <c r="W87" s="109"/>
      <c r="X87" s="109" t="str">
        <f t="array" ref="X87">IF(H87="","",XLOOKUP(H87,CATATANPELAYANAN[[#ALL],[NAMA PASIEN]],CATATANPELAYANAN[[#ALL],[LAYANAN]],"TIDAK CLOSING",0,-1))</f>
        <v>PAKET TERAPI</v>
      </c>
      <c r="Y87" s="109" t="str">
        <f t="shared" si="4"/>
        <v>PAKET</v>
      </c>
      <c r="Z87" s="127"/>
    </row>
    <row r="88" ht="22.5" customHeight="1">
      <c r="A88" s="122"/>
      <c r="B88" s="123">
        <v>45956.0</v>
      </c>
      <c r="C88" s="124" t="str">
        <f t="shared" si="1"/>
        <v>2025</v>
      </c>
      <c r="D88" s="124" t="str">
        <f t="shared" si="2"/>
        <v>10 Okt</v>
      </c>
      <c r="E88" s="124" t="str">
        <f t="shared" si="3"/>
        <v>Min</v>
      </c>
      <c r="F88" s="16" t="s">
        <v>85</v>
      </c>
      <c r="G88" s="109" t="str">
        <f t="array" ref="G88">IFNA(XLOOKUP(S88,'⚙️ Pengaturan'!$H$5:$H371,'⚙️ Pengaturan'!$I$5:$I371),"")</f>
        <v>TIM Y</v>
      </c>
      <c r="H88" s="109" t="s">
        <v>378</v>
      </c>
      <c r="I88" s="125" t="str">
        <f t="array" ref="I88">ifna(xlookup($H88,'🙎‍♂️ Pasien'!$G$7:$G371,'🙎‍♂️ Pasien'!$H$7:$H371),"")</f>
        <v>N0425105874</v>
      </c>
      <c r="J88" s="125" t="str">
        <f t="array" ref="J88">ifna(xlookup($H88,'🙎‍♂️ Pasien'!$G$7:$G371,'🙎‍♂️ Pasien'!$L$7:$L371),"")</f>
        <v>LAKI-LAKI</v>
      </c>
      <c r="K88" s="125">
        <f t="array" ref="K88">ifna(xlookup($H88,'🙎‍♂️ Pasien'!$G$7:$G371,'🙎‍♂️ Pasien'!$I$7:$I371),"")</f>
        <v>22</v>
      </c>
      <c r="L88" s="125" t="str">
        <f t="array" ref="L88">IFNA(xlookup(H88,'🙎‍♂️ Pasien'!$G$5:$G371,'🙎‍♂️ Pasien'!$J$5:$J371),"")</f>
        <v>18-24 tahun</v>
      </c>
      <c r="M88" s="125" t="str">
        <f t="array" ref="M88">IFNA(xlookup(H88,'🙎‍♂️ Pasien'!$G$5:$G371,'🙎‍♂️ Pasien'!$S$5:$S371),"")</f>
        <v>ADMIN GOR</v>
      </c>
      <c r="N88" s="125" t="str">
        <f t="array" ref="N88">IFNA(XLOOKUP($H88,'🙎‍♂️ Pasien'!$G$7:$G371,'🙎‍♂️ Pasien'!$T$7:$T371),"")</f>
        <v>NYERI SIKU</v>
      </c>
      <c r="O88" s="16" t="s">
        <v>936</v>
      </c>
      <c r="P88" s="16" t="s">
        <v>907</v>
      </c>
      <c r="Q88" s="16" t="s">
        <v>28</v>
      </c>
      <c r="R88" s="16" t="s">
        <v>54</v>
      </c>
      <c r="S88" s="16" t="s">
        <v>88</v>
      </c>
      <c r="T88" s="16" t="s">
        <v>834</v>
      </c>
      <c r="U88" s="109" t="s">
        <v>937</v>
      </c>
      <c r="V88" s="126"/>
      <c r="W88" s="109"/>
      <c r="X88" s="109" t="str">
        <f t="array" ref="X88">IF(H88="","",XLOOKUP(H88,CATATANPELAYANAN[[#ALL],[NAMA PASIEN]],CATATANPELAYANAN[[#ALL],[LAYANAN]],"TIDAK CLOSING",0,-1))</f>
        <v>TERAPI AWAL</v>
      </c>
      <c r="Y88" s="109" t="str">
        <f t="shared" si="4"/>
        <v>TIDAK CLOSING</v>
      </c>
      <c r="Z88" s="127"/>
    </row>
    <row r="89" ht="22.5" customHeight="1">
      <c r="A89" s="122"/>
      <c r="B89" s="123">
        <v>45956.0</v>
      </c>
      <c r="C89" s="124" t="str">
        <f t="shared" si="1"/>
        <v>2025</v>
      </c>
      <c r="D89" s="124" t="str">
        <f t="shared" si="2"/>
        <v>10 Okt</v>
      </c>
      <c r="E89" s="124" t="str">
        <f t="shared" si="3"/>
        <v>Min</v>
      </c>
      <c r="F89" s="16" t="s">
        <v>85</v>
      </c>
      <c r="G89" s="109" t="str">
        <f t="array" ref="G89">IFNA(XLOOKUP(S89,'⚙️ Pengaturan'!$H$5:$H371,'⚙️ Pengaturan'!$I$5:$I371),"")</f>
        <v>TIM Y</v>
      </c>
      <c r="H89" s="109" t="s">
        <v>385</v>
      </c>
      <c r="I89" s="125" t="str">
        <f t="array" ref="I89">ifna(xlookup($H89,'🙎‍♂️ Pasien'!$G$7:$G371,'🙎‍♂️ Pasien'!$H$7:$H371),"")</f>
        <v>O7825104730</v>
      </c>
      <c r="J89" s="125" t="str">
        <f t="array" ref="J89">ifna(xlookup($H89,'🙎‍♂️ Pasien'!$G$7:$G371,'🙎‍♂️ Pasien'!$L$7:$L371),"")</f>
        <v>PEREMPUAN</v>
      </c>
      <c r="K89" s="125">
        <f t="array" ref="K89">ifna(xlookup($H89,'🙎‍♂️ Pasien'!$G$7:$G371,'🙎‍♂️ Pasien'!$I$7:$I371),"")</f>
        <v>48</v>
      </c>
      <c r="L89" s="125" t="str">
        <f t="array" ref="L89">IFNA(xlookup(H89,'🙎‍♂️ Pasien'!$G$5:$G371,'🙎‍♂️ Pasien'!$J$5:$J371),"")</f>
        <v>&gt; 44 tahun</v>
      </c>
      <c r="M89" s="125" t="str">
        <f t="array" ref="M89">IFNA(xlookup(H89,'🙎‍♂️ Pasien'!$G$5:$G371,'🙎‍♂️ Pasien'!$S$5:$S371),"")</f>
        <v>IBU RUMAH TANGGA</v>
      </c>
      <c r="N89" s="125" t="str">
        <f t="array" ref="N89">IFNA(XLOOKUP($H89,'🙎‍♂️ Pasien'!$G$7:$G371,'🙎‍♂️ Pasien'!$T$7:$T371),"")</f>
        <v>SARAF KEJEPIT</v>
      </c>
      <c r="O89" s="16" t="s">
        <v>938</v>
      </c>
      <c r="P89" s="16" t="s">
        <v>851</v>
      </c>
      <c r="Q89" s="16" t="s">
        <v>29</v>
      </c>
      <c r="R89" s="16" t="s">
        <v>54</v>
      </c>
      <c r="S89" s="16" t="s">
        <v>107</v>
      </c>
      <c r="T89" s="16" t="s">
        <v>830</v>
      </c>
      <c r="U89" s="109"/>
      <c r="V89" s="126"/>
      <c r="W89" s="109"/>
      <c r="X89" s="109" t="str">
        <f t="array" ref="X89">IF(H89="","",XLOOKUP(H89,CATATANPELAYANAN[[#ALL],[NAMA PASIEN]],CATATANPELAYANAN[[#ALL],[LAYANAN]],"TIDAK CLOSING",0,-1))</f>
        <v>PAKET TERAPI</v>
      </c>
      <c r="Y89" s="109" t="str">
        <f t="shared" si="4"/>
        <v>PAKET</v>
      </c>
      <c r="Z89" s="127"/>
    </row>
    <row r="90" ht="22.5" customHeight="1">
      <c r="A90" s="122"/>
      <c r="B90" s="123">
        <v>45957.0</v>
      </c>
      <c r="C90" s="124" t="str">
        <f t="shared" si="1"/>
        <v>2025</v>
      </c>
      <c r="D90" s="124" t="str">
        <f t="shared" si="2"/>
        <v>10 Okt</v>
      </c>
      <c r="E90" s="124" t="str">
        <f t="shared" si="3"/>
        <v>Sen</v>
      </c>
      <c r="F90" s="16" t="s">
        <v>53</v>
      </c>
      <c r="G90" s="109" t="str">
        <f t="array" ref="G90">IFNA(XLOOKUP(S90,'⚙️ Pengaturan'!$H$5:$H371,'⚙️ Pengaturan'!$I$5:$I371),"")</f>
        <v>TIM Y</v>
      </c>
      <c r="H90" s="109" t="s">
        <v>386</v>
      </c>
      <c r="I90" s="125" t="str">
        <f t="array" ref="I90">ifna(xlookup($H90,'🙎‍♂️ Pasien'!$G$7:$G371,'🙎‍♂️ Pasien'!$H$7:$H371),"")</f>
        <v>B7325109155</v>
      </c>
      <c r="J90" s="125" t="str">
        <f t="array" ref="J90">ifna(xlookup($H90,'🙎‍♂️ Pasien'!$G$7:$G371,'🙎‍♂️ Pasien'!$L$7:$L371),"")</f>
        <v>LAKI-LAKI</v>
      </c>
      <c r="K90" s="125">
        <f t="array" ref="K90">ifna(xlookup($H90,'🙎‍♂️ Pasien'!$G$7:$G371,'🙎‍♂️ Pasien'!$I$7:$I371),"")</f>
        <v>53</v>
      </c>
      <c r="L90" s="125" t="str">
        <f t="array" ref="L90">IFNA(xlookup(H90,'🙎‍♂️ Pasien'!$G$5:$G371,'🙎‍♂️ Pasien'!$J$5:$J371),"")</f>
        <v>&gt; 44 tahun</v>
      </c>
      <c r="M90" s="125" t="str">
        <f t="array" ref="M90">IFNA(xlookup(H90,'🙎‍♂️ Pasien'!$G$5:$G371,'🙎‍♂️ Pasien'!$S$5:$S371),"")</f>
        <v>WIRASUASTA</v>
      </c>
      <c r="N90" s="125" t="str">
        <f t="array" ref="N90">IFNA(XLOOKUP($H90,'🙎‍♂️ Pasien'!$G$7:$G371,'🙎‍♂️ Pasien'!$T$7:$T371),"")</f>
        <v>NYERI LUTUT</v>
      </c>
      <c r="O90" s="16" t="s">
        <v>854</v>
      </c>
      <c r="P90" s="16" t="s">
        <v>836</v>
      </c>
      <c r="Q90" s="16" t="s">
        <v>28</v>
      </c>
      <c r="R90" s="16" t="s">
        <v>54</v>
      </c>
      <c r="S90" s="16" t="s">
        <v>88</v>
      </c>
      <c r="T90" s="16" t="s">
        <v>830</v>
      </c>
      <c r="U90" s="109"/>
      <c r="V90" s="126"/>
      <c r="W90" s="109"/>
      <c r="X90" s="109" t="str">
        <f t="array" ref="X90">IF(H90="","",XLOOKUP(H90,CATATANPELAYANAN[[#ALL],[NAMA PASIEN]],CATATANPELAYANAN[[#ALL],[LAYANAN]],"TIDAK CLOSING",0,-1))</f>
        <v>PAKET TERAPI</v>
      </c>
      <c r="Y90" s="109" t="str">
        <f t="shared" si="4"/>
        <v>PAKET</v>
      </c>
      <c r="Z90" s="127"/>
    </row>
    <row r="91" ht="22.5" customHeight="1">
      <c r="A91" s="122"/>
      <c r="B91" s="123">
        <v>45957.0</v>
      </c>
      <c r="C91" s="124" t="str">
        <f t="shared" si="1"/>
        <v>2025</v>
      </c>
      <c r="D91" s="124" t="str">
        <f t="shared" si="2"/>
        <v>10 Okt</v>
      </c>
      <c r="E91" s="124" t="str">
        <f t="shared" si="3"/>
        <v>Sen</v>
      </c>
      <c r="F91" s="16" t="s">
        <v>53</v>
      </c>
      <c r="G91" s="109" t="str">
        <f t="array" ref="G91">IFNA(XLOOKUP(S91,'⚙️ Pengaturan'!$H$5:$H371,'⚙️ Pengaturan'!$I$5:$I371),"")</f>
        <v>TIM Y</v>
      </c>
      <c r="H91" s="109" t="s">
        <v>939</v>
      </c>
      <c r="I91" s="125" t="str">
        <f t="array" ref="I91">ifna(xlookup($H91,'🙎‍♂️ Pasien'!$G$7:$G371,'🙎‍♂️ Pasien'!$H$7:$H371),"")</f>
        <v>R6425100682</v>
      </c>
      <c r="J91" s="125" t="str">
        <f t="array" ref="J91">ifna(xlookup($H91,'🙎‍♂️ Pasien'!$G$7:$G371,'🙎‍♂️ Pasien'!$L$7:$L371),"")</f>
        <v>PEREMPUAN</v>
      </c>
      <c r="K91" s="125">
        <f t="array" ref="K91">ifna(xlookup($H91,'🙎‍♂️ Pasien'!$G$7:$G371,'🙎‍♂️ Pasien'!$I$7:$I371),"")</f>
        <v>61</v>
      </c>
      <c r="L91" s="125" t="str">
        <f t="array" ref="L91">IFNA(xlookup(H91,'🙎‍♂️ Pasien'!$G$5:$G371,'🙎‍♂️ Pasien'!$J$5:$J371),"")</f>
        <v>&gt; 44 tahun</v>
      </c>
      <c r="M91" s="125" t="str">
        <f t="array" ref="M91">IFNA(xlookup(H91,'🙎‍♂️ Pasien'!$G$5:$G371,'🙎‍♂️ Pasien'!$S$5:$S371),"")</f>
        <v>IRT</v>
      </c>
      <c r="N91" s="125" t="str">
        <f t="array" ref="N91">IFNA(XLOOKUP($H91,'🙎‍♂️ Pasien'!$G$7:$G371,'🙎‍♂️ Pasien'!$T$7:$T371),"")</f>
        <v>SYARAF KEJEPIT</v>
      </c>
      <c r="O91" s="16" t="s">
        <v>853</v>
      </c>
      <c r="P91" s="16" t="s">
        <v>826</v>
      </c>
      <c r="Q91" s="16" t="s">
        <v>29</v>
      </c>
      <c r="R91" s="16" t="s">
        <v>54</v>
      </c>
      <c r="S91" s="16" t="s">
        <v>107</v>
      </c>
      <c r="T91" s="16" t="s">
        <v>834</v>
      </c>
      <c r="U91" s="109" t="s">
        <v>940</v>
      </c>
      <c r="V91" s="126"/>
      <c r="W91" s="109"/>
      <c r="X91" s="109" t="str">
        <f t="array" ref="X91">IF(H91="","",XLOOKUP(H91,CATATANPELAYANAN[[#ALL],[NAMA PASIEN]],CATATANPELAYANAN[[#ALL],[LAYANAN]],"TIDAK CLOSING",0,-1))</f>
        <v>TIDAK CLOSING</v>
      </c>
      <c r="Y91" s="109" t="str">
        <f t="shared" si="4"/>
        <v>TIDAK CLOSING</v>
      </c>
      <c r="Z91" s="127"/>
    </row>
    <row r="92" ht="22.5" customHeight="1">
      <c r="A92" s="122"/>
      <c r="B92" s="123">
        <v>45957.0</v>
      </c>
      <c r="C92" s="124" t="str">
        <f t="shared" si="1"/>
        <v>2025</v>
      </c>
      <c r="D92" s="124" t="str">
        <f t="shared" si="2"/>
        <v>10 Okt</v>
      </c>
      <c r="E92" s="124" t="str">
        <f t="shared" si="3"/>
        <v>Sen</v>
      </c>
      <c r="F92" s="16" t="s">
        <v>53</v>
      </c>
      <c r="G92" s="109" t="str">
        <f t="array" ref="G92">IFNA(XLOOKUP(S92,'⚙️ Pengaturan'!$H$5:$H371,'⚙️ Pengaturan'!$I$5:$I371),"")</f>
        <v>MANAJEMEN</v>
      </c>
      <c r="H92" s="109" t="s">
        <v>454</v>
      </c>
      <c r="I92" s="125" t="str">
        <f t="array" ref="I92">ifna(xlookup($H92,'🙎‍♂️ Pasien'!$G$7:$G371,'🙎‍♂️ Pasien'!$H$7:$H371),"")</f>
        <v>R5625107738</v>
      </c>
      <c r="J92" s="125" t="str">
        <f t="array" ref="J92">ifna(xlookup($H92,'🙎‍♂️ Pasien'!$G$7:$G371,'🙎‍♂️ Pasien'!$L$7:$L371),"")</f>
        <v>PEREMPUAN</v>
      </c>
      <c r="K92" s="125">
        <f t="array" ref="K92">ifna(xlookup($H92,'🙎‍♂️ Pasien'!$G$7:$G371,'🙎‍♂️ Pasien'!$I$7:$I371),"")</f>
        <v>70</v>
      </c>
      <c r="L92" s="125" t="str">
        <f t="array" ref="L92">IFNA(xlookup(H92,'🙎‍♂️ Pasien'!$G$5:$G371,'🙎‍♂️ Pasien'!$J$5:$J371),"")</f>
        <v>&gt; 44 tahun</v>
      </c>
      <c r="M92" s="125" t="str">
        <f t="array" ref="M92">IFNA(xlookup(H92,'🙎‍♂️ Pasien'!$G$5:$G371,'🙎‍♂️ Pasien'!$S$5:$S371),"")</f>
        <v>IBU RUMAH TANGGA</v>
      </c>
      <c r="N92" s="125" t="str">
        <f t="array" ref="N92">IFNA(XLOOKUP($H92,'🙎‍♂️ Pasien'!$G$7:$G371,'🙎‍♂️ Pasien'!$T$7:$T371),"")</f>
        <v>SAKIT DI BAHU</v>
      </c>
      <c r="O92" s="16" t="s">
        <v>871</v>
      </c>
      <c r="P92" s="16" t="s">
        <v>869</v>
      </c>
      <c r="Q92" s="16" t="s">
        <v>29</v>
      </c>
      <c r="R92" s="16" t="s">
        <v>54</v>
      </c>
      <c r="S92" s="16" t="s">
        <v>101</v>
      </c>
      <c r="T92" s="16" t="s">
        <v>830</v>
      </c>
      <c r="U92" s="109"/>
      <c r="V92" s="126"/>
      <c r="W92" s="109"/>
      <c r="X92" s="109" t="str">
        <f t="array" ref="X92">IF(H92="","",XLOOKUP(H92,CATATANPELAYANAN[[#ALL],[NAMA PASIEN]],CATATANPELAYANAN[[#ALL],[LAYANAN]],"TIDAK CLOSING",0,-1))</f>
        <v>PAKET TERAPI</v>
      </c>
      <c r="Y92" s="109" t="str">
        <f t="shared" si="4"/>
        <v>PAKET</v>
      </c>
      <c r="Z92" s="127"/>
    </row>
    <row r="93" ht="22.5" customHeight="1">
      <c r="A93" s="122"/>
      <c r="B93" s="123">
        <v>45957.0</v>
      </c>
      <c r="C93" s="124" t="str">
        <f t="shared" si="1"/>
        <v>2025</v>
      </c>
      <c r="D93" s="124" t="str">
        <f t="shared" si="2"/>
        <v>10 Okt</v>
      </c>
      <c r="E93" s="124" t="str">
        <f t="shared" si="3"/>
        <v>Sen</v>
      </c>
      <c r="F93" s="16" t="s">
        <v>53</v>
      </c>
      <c r="G93" s="109" t="str">
        <f t="array" ref="G93">IFNA(XLOOKUP(S93,'⚙️ Pengaturan'!$H$5:$H371,'⚙️ Pengaturan'!$I$5:$I371),"")</f>
        <v>TIM Y</v>
      </c>
      <c r="H93" s="109" t="s">
        <v>388</v>
      </c>
      <c r="I93" s="125" t="str">
        <f t="array" ref="I93">ifna(xlookup($H93,'🙎‍♂️ Pasien'!$G$7:$G371,'🙎‍♂️ Pasien'!$H$7:$H371),"")</f>
        <v>M7925108167</v>
      </c>
      <c r="J93" s="125" t="str">
        <f t="array" ref="J93">ifna(xlookup($H93,'🙎‍♂️ Pasien'!$G$7:$G371,'🙎‍♂️ Pasien'!$L$7:$L371),"")</f>
        <v>PEREMPUAN</v>
      </c>
      <c r="K93" s="125">
        <f t="array" ref="K93">ifna(xlookup($H93,'🙎‍♂️ Pasien'!$G$7:$G371,'🙎‍♂️ Pasien'!$I$7:$I371),"")</f>
        <v>46</v>
      </c>
      <c r="L93" s="125" t="str">
        <f t="array" ref="L93">IFNA(xlookup(H93,'🙎‍♂️ Pasien'!$G$5:$G371,'🙎‍♂️ Pasien'!$J$5:$J371),"")</f>
        <v>&gt; 44 tahun</v>
      </c>
      <c r="M93" s="125" t="str">
        <f t="array" ref="M93">IFNA(xlookup(H93,'🙎‍♂️ Pasien'!$G$5:$G371,'🙎‍♂️ Pasien'!$S$5:$S371),"")</f>
        <v>IRT</v>
      </c>
      <c r="N93" s="125" t="str">
        <f t="array" ref="N93">IFNA(XLOOKUP($H93,'🙎‍♂️ Pasien'!$G$7:$G371,'🙎‍♂️ Pasien'!$T$7:$T371),"")</f>
        <v>PINGGANG</v>
      </c>
      <c r="O93" s="16" t="s">
        <v>825</v>
      </c>
      <c r="P93" s="16" t="s">
        <v>826</v>
      </c>
      <c r="Q93" s="16" t="s">
        <v>29</v>
      </c>
      <c r="R93" s="16" t="s">
        <v>54</v>
      </c>
      <c r="S93" s="16" t="s">
        <v>91</v>
      </c>
      <c r="T93" s="16" t="s">
        <v>834</v>
      </c>
      <c r="U93" s="109" t="s">
        <v>941</v>
      </c>
      <c r="V93" s="126"/>
      <c r="W93" s="109"/>
      <c r="X93" s="109" t="str">
        <f t="array" ref="X93">IF(H93="","",XLOOKUP(H93,CATATANPELAYANAN[[#ALL],[NAMA PASIEN]],CATATANPELAYANAN[[#ALL],[LAYANAN]],"TIDAK CLOSING",0,-1))</f>
        <v>TERAPI AWAL</v>
      </c>
      <c r="Y93" s="109" t="str">
        <f t="shared" si="4"/>
        <v>TIDAK CLOSING</v>
      </c>
      <c r="Z93" s="127"/>
    </row>
    <row r="94" ht="22.5" customHeight="1">
      <c r="A94" s="122"/>
      <c r="B94" s="123">
        <v>45957.0</v>
      </c>
      <c r="C94" s="124" t="str">
        <f t="shared" si="1"/>
        <v>2025</v>
      </c>
      <c r="D94" s="124" t="str">
        <f t="shared" si="2"/>
        <v>10 Okt</v>
      </c>
      <c r="E94" s="124" t="str">
        <f t="shared" si="3"/>
        <v>Sen</v>
      </c>
      <c r="F94" s="16" t="s">
        <v>85</v>
      </c>
      <c r="G94" s="109" t="str">
        <f t="array" ref="G94">IFNA(XLOOKUP(S94,'⚙️ Pengaturan'!$H$5:$H371,'⚙️ Pengaturan'!$I$5:$I371),"")</f>
        <v>TIM A</v>
      </c>
      <c r="H94" s="109" t="s">
        <v>389</v>
      </c>
      <c r="I94" s="125" t="str">
        <f t="array" ref="I94">ifna(xlookup($H94,'🙎‍♂️ Pasien'!$G$7:$G371,'🙎‍♂️ Pasien'!$H$7:$H371),"")</f>
        <v>A0825042223</v>
      </c>
      <c r="J94" s="125" t="str">
        <f t="array" ref="J94">ifna(xlookup($H94,'🙎‍♂️ Pasien'!$G$7:$G371,'🙎‍♂️ Pasien'!$L$7:$L371),"")</f>
        <v>LAKI-LAKI</v>
      </c>
      <c r="K94" s="125">
        <f t="array" ref="K94">ifna(xlookup($H94,'🙎‍♂️ Pasien'!$G$7:$G371,'🙎‍♂️ Pasien'!$I$7:$I371),"")</f>
        <v>18</v>
      </c>
      <c r="L94" s="125" t="str">
        <f t="array" ref="L94">IFNA(xlookup(H94,'🙎‍♂️ Pasien'!$G$5:$G371,'🙎‍♂️ Pasien'!$J$5:$J371),"")</f>
        <v>&lt; 18 tahun</v>
      </c>
      <c r="M94" s="125" t="str">
        <f t="array" ref="M94">IFNA(xlookup(H94,'🙎‍♂️ Pasien'!$G$5:$G371,'🙎‍♂️ Pasien'!$S$5:$S371),"")</f>
        <v>PELAJAR</v>
      </c>
      <c r="N94" s="125" t="str">
        <f t="array" ref="N94">IFNA(XLOOKUP($H94,'🙎‍♂️ Pasien'!$G$7:$G371,'🙎‍♂️ Pasien'!$T$7:$T371),"")</f>
        <v>NDA BISA MENGANGKAT BEBAN BERAT DI BAGIAN SIKU TANGAN KIRI</v>
      </c>
      <c r="O94" s="16" t="s">
        <v>923</v>
      </c>
      <c r="P94" s="16" t="s">
        <v>836</v>
      </c>
      <c r="Q94" s="16" t="s">
        <v>28</v>
      </c>
      <c r="R94" s="16" t="s">
        <v>86</v>
      </c>
      <c r="S94" s="16" t="s">
        <v>62</v>
      </c>
      <c r="T94" s="16" t="s">
        <v>830</v>
      </c>
      <c r="U94" s="109"/>
      <c r="V94" s="126"/>
      <c r="W94" s="109"/>
      <c r="X94" s="109" t="str">
        <f t="array" ref="X94">IF(H94="","",XLOOKUP(H94,CATATANPELAYANAN[[#ALL],[NAMA PASIEN]],CATATANPELAYANAN[[#ALL],[LAYANAN]],"TIDAK CLOSING",0,-1))</f>
        <v>PAKET TERAPI</v>
      </c>
      <c r="Y94" s="109" t="str">
        <f t="shared" si="4"/>
        <v>PAKET</v>
      </c>
      <c r="Z94" s="127"/>
    </row>
    <row r="95" ht="22.5" customHeight="1">
      <c r="A95" s="122"/>
      <c r="B95" s="123">
        <v>45957.0</v>
      </c>
      <c r="C95" s="124" t="str">
        <f t="shared" si="1"/>
        <v>2025</v>
      </c>
      <c r="D95" s="124" t="str">
        <f t="shared" si="2"/>
        <v>10 Okt</v>
      </c>
      <c r="E95" s="124" t="str">
        <f t="shared" si="3"/>
        <v>Sen</v>
      </c>
      <c r="F95" s="16" t="s">
        <v>85</v>
      </c>
      <c r="G95" s="109" t="str">
        <f t="array" ref="G95">IFNA(XLOOKUP(S95,'⚙️ Pengaturan'!$H$5:$H371,'⚙️ Pengaturan'!$I$5:$I371),"")</f>
        <v>TIM A</v>
      </c>
      <c r="H95" s="109" t="s">
        <v>391</v>
      </c>
      <c r="I95" s="125" t="str">
        <f t="array" ref="I95">ifna(xlookup($H95,'🙎‍♂️ Pasien'!$G$7:$G371,'🙎‍♂️ Pasien'!$H$7:$H371),"")</f>
        <v>R6725103408</v>
      </c>
      <c r="J95" s="125" t="str">
        <f t="array" ref="J95">ifna(xlookup($H95,'🙎‍♂️ Pasien'!$G$7:$G371,'🙎‍♂️ Pasien'!$L$7:$L371),"")</f>
        <v>LAKI-LAKI</v>
      </c>
      <c r="K95" s="125">
        <f t="array" ref="K95">ifna(xlookup($H95,'🙎‍♂️ Pasien'!$G$7:$G371,'🙎‍♂️ Pasien'!$I$7:$I371),"")</f>
        <v>59</v>
      </c>
      <c r="L95" s="125" t="str">
        <f t="array" ref="L95">IFNA(xlookup(H95,'🙎‍♂️ Pasien'!$G$5:$G371,'🙎‍♂️ Pasien'!$J$5:$J371),"")</f>
        <v>&gt; 44 tahun</v>
      </c>
      <c r="M95" s="125" t="str">
        <f t="array" ref="M95">IFNA(xlookup(H95,'🙎‍♂️ Pasien'!$G$5:$G371,'🙎‍♂️ Pasien'!$S$5:$S371),"")</f>
        <v>SWASTA</v>
      </c>
      <c r="N95" s="125" t="str">
        <f t="array" ref="N95">IFNA(XLOOKUP($H95,'🙎‍♂️ Pasien'!$G$7:$G371,'🙎‍♂️ Pasien'!$T$7:$T371),"")</f>
        <v>NYERI BAGIAN PERGELANGAN KAKI SAAT JALAN LEBIH 1 KM</v>
      </c>
      <c r="O95" s="16" t="s">
        <v>828</v>
      </c>
      <c r="P95" s="16" t="s">
        <v>942</v>
      </c>
      <c r="Q95" s="16" t="s">
        <v>26</v>
      </c>
      <c r="R95" s="16" t="s">
        <v>86</v>
      </c>
      <c r="S95" s="16" t="s">
        <v>72</v>
      </c>
      <c r="T95" s="16" t="s">
        <v>830</v>
      </c>
      <c r="U95" s="109"/>
      <c r="V95" s="126"/>
      <c r="W95" s="109"/>
      <c r="X95" s="109" t="str">
        <f t="array" ref="X95">IF(H95="","",XLOOKUP(H95,CATATANPELAYANAN[[#ALL],[NAMA PASIEN]],CATATANPELAYANAN[[#ALL],[LAYANAN]],"TIDAK CLOSING",0,-1))</f>
        <v>PAKET TERAPI</v>
      </c>
      <c r="Y95" s="109" t="str">
        <f t="shared" si="4"/>
        <v>PAKET</v>
      </c>
      <c r="Z95" s="127"/>
    </row>
    <row r="96" ht="22.5" customHeight="1">
      <c r="A96" s="122"/>
      <c r="B96" s="123">
        <v>45957.0</v>
      </c>
      <c r="C96" s="124" t="str">
        <f t="shared" si="1"/>
        <v>2025</v>
      </c>
      <c r="D96" s="124" t="str">
        <f t="shared" si="2"/>
        <v>10 Okt</v>
      </c>
      <c r="E96" s="124" t="str">
        <f t="shared" si="3"/>
        <v>Sen</v>
      </c>
      <c r="F96" s="16" t="s">
        <v>85</v>
      </c>
      <c r="G96" s="109" t="str">
        <f t="array" ref="G96">IFNA(XLOOKUP(S96,'⚙️ Pengaturan'!$H$5:$H371,'⚙️ Pengaturan'!$I$5:$I371),"")</f>
        <v>TIM Y</v>
      </c>
      <c r="H96" s="109" t="s">
        <v>392</v>
      </c>
      <c r="I96" s="125" t="str">
        <f t="array" ref="I96">ifna(xlookup($H96,'🙎‍♂️ Pasien'!$G$7:$G371,'🙎‍♂️ Pasien'!$H$7:$H371),"")</f>
        <v>D0625102206</v>
      </c>
      <c r="J96" s="125" t="str">
        <f t="array" ref="J96">ifna(xlookup($H96,'🙎‍♂️ Pasien'!$G$7:$G371,'🙎‍♂️ Pasien'!$L$7:$L371),"")</f>
        <v>LAKI-LAKI</v>
      </c>
      <c r="K96" s="125">
        <f t="array" ref="K96">ifna(xlookup($H96,'🙎‍♂️ Pasien'!$G$7:$G371,'🙎‍♂️ Pasien'!$I$7:$I371),"")</f>
        <v>19</v>
      </c>
      <c r="L96" s="125" t="str">
        <f t="array" ref="L96">IFNA(xlookup(H96,'🙎‍♂️ Pasien'!$G$5:$G371,'🙎‍♂️ Pasien'!$J$5:$J371),"")</f>
        <v>18-24 tahun</v>
      </c>
      <c r="M96" s="125" t="str">
        <f t="array" ref="M96">IFNA(xlookup(H96,'🙎‍♂️ Pasien'!$G$5:$G371,'🙎‍♂️ Pasien'!$S$5:$S371),"")</f>
        <v>KARYAWAN SWASTA</v>
      </c>
      <c r="N96" s="125" t="str">
        <f t="array" ref="N96">IFNA(XLOOKUP($H96,'🙎‍♂️ Pasien'!$G$7:$G371,'🙎‍♂️ Pasien'!$T$7:$T371),"")</f>
        <v>CEDERA KAKI</v>
      </c>
      <c r="O96" s="16" t="s">
        <v>842</v>
      </c>
      <c r="P96" s="16" t="s">
        <v>836</v>
      </c>
      <c r="Q96" s="16" t="s">
        <v>29</v>
      </c>
      <c r="R96" s="16" t="s">
        <v>86</v>
      </c>
      <c r="S96" s="16" t="s">
        <v>56</v>
      </c>
      <c r="T96" s="16" t="s">
        <v>830</v>
      </c>
      <c r="U96" s="109"/>
      <c r="V96" s="126"/>
      <c r="W96" s="109"/>
      <c r="X96" s="109" t="str">
        <f t="array" ref="X96">IF(H96="","",XLOOKUP(H96,CATATANPELAYANAN[[#ALL],[NAMA PASIEN]],CATATANPELAYANAN[[#ALL],[LAYANAN]],"TIDAK CLOSING",0,-1))</f>
        <v>PAKET TERAPI</v>
      </c>
      <c r="Y96" s="109" t="str">
        <f t="shared" si="4"/>
        <v>PAKET</v>
      </c>
      <c r="Z96" s="127"/>
    </row>
    <row r="97" ht="22.5" customHeight="1">
      <c r="A97" s="122"/>
      <c r="B97" s="123">
        <v>45958.0</v>
      </c>
      <c r="C97" s="124" t="str">
        <f t="shared" si="1"/>
        <v>2025</v>
      </c>
      <c r="D97" s="124" t="str">
        <f t="shared" si="2"/>
        <v>10 Okt</v>
      </c>
      <c r="E97" s="124" t="str">
        <f t="shared" si="3"/>
        <v>Sel</v>
      </c>
      <c r="F97" s="16" t="s">
        <v>53</v>
      </c>
      <c r="G97" s="109" t="str">
        <f t="array" ref="G97">IFNA(XLOOKUP(S97,'⚙️ Pengaturan'!$H$5:$H371,'⚙️ Pengaturan'!$I$5:$I371),"")</f>
        <v>TIM A</v>
      </c>
      <c r="H97" s="109" t="s">
        <v>395</v>
      </c>
      <c r="I97" s="125" t="str">
        <f t="array" ref="I97">ifna(xlookup($H97,'🙎‍♂️ Pasien'!$G$7:$G371,'🙎‍♂️ Pasien'!$H$7:$H371),"")</f>
        <v>T6325109944</v>
      </c>
      <c r="J97" s="125" t="str">
        <f t="array" ref="J97">ifna(xlookup($H97,'🙎‍♂️ Pasien'!$G$7:$G371,'🙎‍♂️ Pasien'!$L$7:$L371),"")</f>
        <v>LAKI-LAKI</v>
      </c>
      <c r="K97" s="125">
        <f t="array" ref="K97">ifna(xlookup($H97,'🙎‍♂️ Pasien'!$G$7:$G371,'🙎‍♂️ Pasien'!$I$7:$I371),"")</f>
        <v>62</v>
      </c>
      <c r="L97" s="125" t="str">
        <f t="array" ref="L97">IFNA(xlookup(H97,'🙎‍♂️ Pasien'!$G$5:$G371,'🙎‍♂️ Pasien'!$J$5:$J371),"")</f>
        <v>&gt; 44 tahun</v>
      </c>
      <c r="M97" s="125" t="str">
        <f t="array" ref="M97">IFNA(xlookup(H97,'🙎‍♂️ Pasien'!$G$5:$G371,'🙎‍♂️ Pasien'!$S$5:$S371),"")</f>
        <v>BURUH</v>
      </c>
      <c r="N97" s="125" t="str">
        <f t="array" ref="N97">IFNA(XLOOKUP($H97,'🙎‍♂️ Pasien'!$G$7:$G371,'🙎‍♂️ Pasien'!$T$7:$T371),"")</f>
        <v>SAKIT DI BAGIAN SAMPING BETIS KANAN MENJALAR SAMPAI KE BOKONG KANAN</v>
      </c>
      <c r="O97" s="16" t="s">
        <v>853</v>
      </c>
      <c r="P97" s="16" t="s">
        <v>845</v>
      </c>
      <c r="Q97" s="16" t="s">
        <v>29</v>
      </c>
      <c r="R97" s="16" t="s">
        <v>86</v>
      </c>
      <c r="S97" s="16" t="s">
        <v>72</v>
      </c>
      <c r="T97" s="16" t="s">
        <v>834</v>
      </c>
      <c r="U97" s="109" t="s">
        <v>943</v>
      </c>
      <c r="V97" s="126"/>
      <c r="W97" s="109"/>
      <c r="X97" s="109" t="str">
        <f t="array" ref="X97">IF(H97="","",XLOOKUP(H97,CATATANPELAYANAN[[#ALL],[NAMA PASIEN]],CATATANPELAYANAN[[#ALL],[LAYANAN]],"TIDAK CLOSING",0,-1))</f>
        <v>TERAPI AWAL</v>
      </c>
      <c r="Y97" s="109" t="str">
        <f t="shared" si="4"/>
        <v>TIDAK CLOSING</v>
      </c>
      <c r="Z97" s="127"/>
    </row>
    <row r="98" ht="22.5" customHeight="1">
      <c r="A98" s="122"/>
      <c r="B98" s="123">
        <v>45958.0</v>
      </c>
      <c r="C98" s="124" t="str">
        <f t="shared" si="1"/>
        <v>2025</v>
      </c>
      <c r="D98" s="124" t="str">
        <f t="shared" si="2"/>
        <v>10 Okt</v>
      </c>
      <c r="E98" s="124" t="str">
        <f t="shared" si="3"/>
        <v>Sel</v>
      </c>
      <c r="F98" s="16" t="s">
        <v>85</v>
      </c>
      <c r="G98" s="109" t="str">
        <f t="array" ref="G98">IFNA(XLOOKUP(S98,'⚙️ Pengaturan'!$H$5:$H371,'⚙️ Pengaturan'!$I$5:$I371),"")</f>
        <v>TIM Y</v>
      </c>
      <c r="H98" s="109" t="s">
        <v>397</v>
      </c>
      <c r="I98" s="125" t="str">
        <f t="array" ref="I98">ifna(xlookup($H98,'🙎‍♂️ Pasien'!$G$7:$G371,'🙎‍♂️ Pasien'!$H$7:$H371),"")</f>
        <v>R1325084646</v>
      </c>
      <c r="J98" s="125" t="str">
        <f t="array" ref="J98">ifna(xlookup($H98,'🙎‍♂️ Pasien'!$G$7:$G371,'🙎‍♂️ Pasien'!$L$7:$L371),"")</f>
        <v>LAKI-LAKI</v>
      </c>
      <c r="K98" s="125">
        <f t="array" ref="K98">ifna(xlookup($H98,'🙎‍♂️ Pasien'!$G$7:$G371,'🙎‍♂️ Pasien'!$I$7:$I371),"")</f>
        <v>13</v>
      </c>
      <c r="L98" s="125" t="str">
        <f t="array" ref="L98">IFNA(xlookup(H98,'🙎‍♂️ Pasien'!$G$5:$G371,'🙎‍♂️ Pasien'!$J$5:$J371),"")</f>
        <v>&lt; 18 tahun</v>
      </c>
      <c r="M98" s="125" t="str">
        <f t="array" ref="M98">IFNA(xlookup(H98,'🙎‍♂️ Pasien'!$G$5:$G371,'🙎‍♂️ Pasien'!$S$5:$S371),"")</f>
        <v>PELAJAR SMPIT AL MUMTAZ</v>
      </c>
      <c r="N98" s="125" t="str">
        <f t="array" ref="N98">IFNA(XLOOKUP($H98,'🙎‍♂️ Pasien'!$G$7:$G371,'🙎‍♂️ Pasien'!$T$7:$T371),"")</f>
        <v>KAKI TERKILIR</v>
      </c>
      <c r="O98" s="16" t="s">
        <v>914</v>
      </c>
      <c r="P98" s="16" t="s">
        <v>862</v>
      </c>
      <c r="Q98" s="16" t="s">
        <v>28</v>
      </c>
      <c r="R98" s="16" t="s">
        <v>54</v>
      </c>
      <c r="S98" s="16" t="s">
        <v>91</v>
      </c>
      <c r="T98" s="16" t="s">
        <v>830</v>
      </c>
      <c r="U98" s="109"/>
      <c r="V98" s="126"/>
      <c r="W98" s="109"/>
      <c r="X98" s="109" t="str">
        <f t="array" ref="X98">IF(H98="","",XLOOKUP(H98,CATATANPELAYANAN[[#ALL],[NAMA PASIEN]],CATATANPELAYANAN[[#ALL],[LAYANAN]],"TIDAK CLOSING",0,-1))</f>
        <v>PAKET TERAPI</v>
      </c>
      <c r="Y98" s="109" t="str">
        <f t="shared" si="4"/>
        <v>PAKET</v>
      </c>
      <c r="Z98" s="127"/>
    </row>
    <row r="99" ht="22.5" customHeight="1">
      <c r="A99" s="122"/>
      <c r="B99" s="123">
        <v>45959.0</v>
      </c>
      <c r="C99" s="124" t="str">
        <f t="shared" si="1"/>
        <v>2025</v>
      </c>
      <c r="D99" s="124" t="str">
        <f t="shared" si="2"/>
        <v>10 Okt</v>
      </c>
      <c r="E99" s="124" t="str">
        <f t="shared" si="3"/>
        <v>Rab</v>
      </c>
      <c r="F99" s="16" t="s">
        <v>53</v>
      </c>
      <c r="G99" s="109" t="str">
        <f t="array" ref="G99">IFNA(XLOOKUP(S99,'⚙️ Pengaturan'!$H$5:$H371,'⚙️ Pengaturan'!$I$5:$I371),"")</f>
        <v>TIM A</v>
      </c>
      <c r="H99" s="109" t="s">
        <v>944</v>
      </c>
      <c r="I99" s="125" t="str">
        <f t="array" ref="I99">ifna(xlookup($H99,'🙎‍♂️ Pasien'!$G$7:$G371,'🙎‍♂️ Pasien'!$H$7:$H371),"")</f>
        <v>T5523016407</v>
      </c>
      <c r="J99" s="125" t="str">
        <f t="array" ref="J99">ifna(xlookup($H99,'🙎‍♂️ Pasien'!$G$7:$G371,'🙎‍♂️ Pasien'!$L$7:$L371),"")</f>
        <v>LAKI-LAKI</v>
      </c>
      <c r="K99" s="125">
        <f t="array" ref="K99">ifna(xlookup($H99,'🙎‍♂️ Pasien'!$G$7:$G371,'🙎‍♂️ Pasien'!$I$7:$I371),"")</f>
        <v>70</v>
      </c>
      <c r="L99" s="125" t="str">
        <f t="array" ref="L99">IFNA(xlookup(H99,'🙎‍♂️ Pasien'!$G$5:$G371,'🙎‍♂️ Pasien'!$J$5:$J371),"")</f>
        <v>&gt; 44 tahun</v>
      </c>
      <c r="M99" s="125" t="str">
        <f t="array" ref="M99">IFNA(xlookup(H99,'🙎‍♂️ Pasien'!$G$5:$G371,'🙎‍♂️ Pasien'!$S$5:$S371),"")</f>
        <v>PENSIUN</v>
      </c>
      <c r="N99" s="125" t="str">
        <f t="array" ref="N99">IFNA(XLOOKUP($H99,'🙎‍♂️ Pasien'!$G$7:$G371,'🙎‍♂️ Pasien'!$T$7:$T371),"")</f>
        <v>BAHU</v>
      </c>
      <c r="O99" s="16" t="s">
        <v>945</v>
      </c>
      <c r="P99" s="16" t="s">
        <v>826</v>
      </c>
      <c r="Q99" s="16" t="s">
        <v>29</v>
      </c>
      <c r="R99" s="16" t="s">
        <v>54</v>
      </c>
      <c r="S99" s="16" t="s">
        <v>79</v>
      </c>
      <c r="T99" s="16" t="s">
        <v>834</v>
      </c>
      <c r="U99" s="109" t="s">
        <v>831</v>
      </c>
      <c r="V99" s="126"/>
      <c r="W99" s="109"/>
      <c r="X99" s="109" t="str">
        <f t="array" ref="X99">IF(H99="","",XLOOKUP(H99,CATATANPELAYANAN[[#ALL],[NAMA PASIEN]],CATATANPELAYANAN[[#ALL],[LAYANAN]],"TIDAK CLOSING",0,-1))</f>
        <v>TIDAK CLOSING</v>
      </c>
      <c r="Y99" s="109" t="str">
        <f t="shared" si="4"/>
        <v>TIDAK CLOSING</v>
      </c>
      <c r="Z99" s="127"/>
    </row>
    <row r="100" ht="22.5" customHeight="1">
      <c r="A100" s="122"/>
      <c r="B100" s="123">
        <v>45959.0</v>
      </c>
      <c r="C100" s="124" t="str">
        <f t="shared" si="1"/>
        <v>2025</v>
      </c>
      <c r="D100" s="124" t="str">
        <f t="shared" si="2"/>
        <v>10 Okt</v>
      </c>
      <c r="E100" s="124" t="str">
        <f t="shared" si="3"/>
        <v>Rab</v>
      </c>
      <c r="F100" s="16" t="s">
        <v>53</v>
      </c>
      <c r="G100" s="109" t="str">
        <f t="array" ref="G100">IFNA(XLOOKUP(S100,'⚙️ Pengaturan'!$H$5:$H371,'⚙️ Pengaturan'!$I$5:$I371),"")</f>
        <v>TIM Y</v>
      </c>
      <c r="H100" s="109" t="s">
        <v>533</v>
      </c>
      <c r="I100" s="125" t="str">
        <f t="array" ref="I100">ifna(xlookup($H100,'🙎‍♂️ Pasien'!$G$7:$G371,'🙎‍♂️ Pasien'!$H$7:$H371),"")</f>
        <v>R9025103337</v>
      </c>
      <c r="J100" s="125" t="str">
        <f t="array" ref="J100">ifna(xlookup($H100,'🙎‍♂️ Pasien'!$G$7:$G371,'🙎‍♂️ Pasien'!$L$7:$L371),"")</f>
        <v>LAKI-LAKI</v>
      </c>
      <c r="K100" s="125">
        <f t="array" ref="K100">ifna(xlookup($H100,'🙎‍♂️ Pasien'!$G$7:$G371,'🙎‍♂️ Pasien'!$I$7:$I371),"")</f>
        <v>35</v>
      </c>
      <c r="L100" s="125" t="str">
        <f t="array" ref="L100">IFNA(xlookup(H100,'🙎‍♂️ Pasien'!$G$5:$G371,'🙎‍♂️ Pasien'!$J$5:$J371),"")</f>
        <v>35-44 tahun</v>
      </c>
      <c r="M100" s="125" t="str">
        <f t="array" ref="M100">IFNA(xlookup(H100,'🙎‍♂️ Pasien'!$G$5:$G371,'🙎‍♂️ Pasien'!$S$5:$S371),"")</f>
        <v>SWASTA</v>
      </c>
      <c r="N100" s="125" t="str">
        <f t="array" ref="N100">IFNA(XLOOKUP($H100,'🙎‍♂️ Pasien'!$G$7:$G371,'🙎‍♂️ Pasien'!$T$7:$T371),"")</f>
        <v>NYERI LEHER</v>
      </c>
      <c r="O100" s="16" t="s">
        <v>899</v>
      </c>
      <c r="P100" s="16" t="s">
        <v>839</v>
      </c>
      <c r="Q100" s="16" t="s">
        <v>28</v>
      </c>
      <c r="R100" s="16" t="s">
        <v>54</v>
      </c>
      <c r="S100" s="16" t="s">
        <v>56</v>
      </c>
      <c r="T100" s="16" t="s">
        <v>827</v>
      </c>
      <c r="U100" s="109" t="s">
        <v>946</v>
      </c>
      <c r="V100" s="126"/>
      <c r="W100" s="109"/>
      <c r="X100" s="109" t="str">
        <f t="array" ref="X100">IF(H100="","",XLOOKUP(H100,CATATANPELAYANAN[[#ALL],[NAMA PASIEN]],CATATANPELAYANAN[[#ALL],[LAYANAN]],"TIDAK CLOSING",0,-1))</f>
        <v>SESI TERAPI</v>
      </c>
      <c r="Y100" s="109" t="str">
        <f t="shared" si="4"/>
        <v>SESI</v>
      </c>
      <c r="Z100" s="127"/>
    </row>
    <row r="101" ht="22.5" customHeight="1">
      <c r="A101" s="122"/>
      <c r="B101" s="123">
        <v>45959.0</v>
      </c>
      <c r="C101" s="124" t="str">
        <f t="shared" si="1"/>
        <v>2025</v>
      </c>
      <c r="D101" s="124" t="str">
        <f t="shared" si="2"/>
        <v>10 Okt</v>
      </c>
      <c r="E101" s="124" t="str">
        <f t="shared" si="3"/>
        <v>Rab</v>
      </c>
      <c r="F101" s="16" t="s">
        <v>53</v>
      </c>
      <c r="G101" s="109" t="str">
        <f t="array" ref="G101">IFNA(XLOOKUP(S101,'⚙️ Pengaturan'!$H$5:$H371,'⚙️ Pengaturan'!$I$5:$I371),"")</f>
        <v>TIM A</v>
      </c>
      <c r="H101" s="109" t="s">
        <v>404</v>
      </c>
      <c r="I101" s="125" t="str">
        <f t="array" ref="I101">ifna(xlookup($H101,'🙎‍♂️ Pasien'!$G$7:$G371,'🙎‍♂️ Pasien'!$H$7:$H371),"")</f>
        <v>O0424074824</v>
      </c>
      <c r="J101" s="125" t="str">
        <f t="array" ref="J101">ifna(xlookup($H101,'🙎‍♂️ Pasien'!$G$7:$G371,'🙎‍♂️ Pasien'!$L$7:$L371),"")</f>
        <v>PEREMPUAN</v>
      </c>
      <c r="K101" s="125">
        <f t="array" ref="K101">ifna(xlookup($H101,'🙎‍♂️ Pasien'!$G$7:$G371,'🙎‍♂️ Pasien'!$I$7:$I371),"")</f>
        <v>21</v>
      </c>
      <c r="L101" s="125" t="str">
        <f t="array" ref="L101">IFNA(xlookup(H101,'🙎‍♂️ Pasien'!$G$5:$G371,'🙎‍♂️ Pasien'!$J$5:$J371),"")</f>
        <v>18-24 tahun</v>
      </c>
      <c r="M101" s="125" t="str">
        <f t="array" ref="M101">IFNA(xlookup(H101,'🙎‍♂️ Pasien'!$G$5:$G371,'🙎‍♂️ Pasien'!$S$5:$S371),"")</f>
        <v>TIDAK ADA</v>
      </c>
      <c r="N101" s="125" t="str">
        <f t="array" ref="N101">IFNA(XLOOKUP($H101,'🙎‍♂️ Pasien'!$G$7:$G371,'🙎‍♂️ Pasien'!$T$7:$T371),"")</f>
        <v>otot paha nyeri</v>
      </c>
      <c r="O101" s="16" t="s">
        <v>947</v>
      </c>
      <c r="P101" s="16" t="s">
        <v>836</v>
      </c>
      <c r="Q101" s="16" t="s">
        <v>28</v>
      </c>
      <c r="R101" s="16" t="s">
        <v>54</v>
      </c>
      <c r="S101" s="16" t="s">
        <v>72</v>
      </c>
      <c r="T101" s="16" t="s">
        <v>834</v>
      </c>
      <c r="U101" s="109" t="s">
        <v>948</v>
      </c>
      <c r="V101" s="126"/>
      <c r="W101" s="109"/>
      <c r="X101" s="109" t="str">
        <f t="array" ref="X101">IF(H101="","",XLOOKUP(H101,CATATANPELAYANAN[[#ALL],[NAMA PASIEN]],CATATANPELAYANAN[[#ALL],[LAYANAN]],"TIDAK CLOSING",0,-1))</f>
        <v>PAKET/SESI</v>
      </c>
      <c r="Y101" s="109" t="str">
        <f t="shared" si="4"/>
        <v>TIDAK CLOSING</v>
      </c>
      <c r="Z101" s="127"/>
    </row>
    <row r="102" ht="22.5" customHeight="1">
      <c r="A102" s="122"/>
      <c r="B102" s="123">
        <v>45959.0</v>
      </c>
      <c r="C102" s="124" t="str">
        <f t="shared" si="1"/>
        <v>2025</v>
      </c>
      <c r="D102" s="124" t="str">
        <f t="shared" si="2"/>
        <v>10 Okt</v>
      </c>
      <c r="E102" s="124" t="str">
        <f t="shared" si="3"/>
        <v>Rab</v>
      </c>
      <c r="F102" s="16" t="s">
        <v>53</v>
      </c>
      <c r="G102" s="109" t="str">
        <f t="array" ref="G102">IFNA(XLOOKUP(S102,'⚙️ Pengaturan'!$H$5:$H371,'⚙️ Pengaturan'!$I$5:$I371),"")</f>
        <v>TIM Y</v>
      </c>
      <c r="H102" s="109" t="s">
        <v>405</v>
      </c>
      <c r="I102" s="125" t="str">
        <f t="array" ref="I102">ifna(xlookup($H102,'🙎‍♂️ Pasien'!$G$7:$G371,'🙎‍♂️ Pasien'!$H$7:$H371),"")</f>
        <v>M0224087001</v>
      </c>
      <c r="J102" s="125" t="str">
        <f t="array" ref="J102">ifna(xlookup($H102,'🙎‍♂️ Pasien'!$G$7:$G371,'🙎‍♂️ Pasien'!$L$7:$L371),"")</f>
        <v>LAKI-LAKI</v>
      </c>
      <c r="K102" s="125">
        <f t="array" ref="K102">ifna(xlookup($H102,'🙎‍♂️ Pasien'!$G$7:$G371,'🙎‍♂️ Pasien'!$I$7:$I371),"")</f>
        <v>24</v>
      </c>
      <c r="L102" s="125" t="str">
        <f t="array" ref="L102">IFNA(xlookup(H102,'🙎‍♂️ Pasien'!$G$5:$G371,'🙎‍♂️ Pasien'!$J$5:$J371),"")</f>
        <v>18-24 tahun</v>
      </c>
      <c r="M102" s="125" t="str">
        <f t="array" ref="M102">IFNA(xlookup(H102,'🙎‍♂️ Pasien'!$G$5:$G371,'🙎‍♂️ Pasien'!$S$5:$S371),"")</f>
        <v>PELAJAR/MAHASISWA</v>
      </c>
      <c r="N102" s="125" t="str">
        <f t="array" ref="N102">IFNA(XLOOKUP($H102,'🙎‍♂️ Pasien'!$G$7:$G371,'🙎‍♂️ Pasien'!$T$7:$T371),"")</f>
        <v>PINGGNG</v>
      </c>
      <c r="O102" s="16" t="s">
        <v>832</v>
      </c>
      <c r="P102" s="16" t="s">
        <v>833</v>
      </c>
      <c r="Q102" s="16" t="s">
        <v>28</v>
      </c>
      <c r="R102" s="16" t="s">
        <v>86</v>
      </c>
      <c r="S102" s="16" t="s">
        <v>88</v>
      </c>
      <c r="T102" s="16" t="s">
        <v>834</v>
      </c>
      <c r="U102" s="109" t="s">
        <v>831</v>
      </c>
      <c r="V102" s="126"/>
      <c r="W102" s="109"/>
      <c r="X102" s="109" t="str">
        <f t="array" ref="X102">IF(H102="","",XLOOKUP(H102,CATATANPELAYANAN[[#ALL],[NAMA PASIEN]],CATATANPELAYANAN[[#ALL],[LAYANAN]],"TIDAK CLOSING",0,-1))</f>
        <v>TERAPI AWAL</v>
      </c>
      <c r="Y102" s="109" t="str">
        <f t="shared" si="4"/>
        <v>TIDAK CLOSING</v>
      </c>
      <c r="Z102" s="127"/>
    </row>
    <row r="103" ht="22.5" customHeight="1">
      <c r="A103" s="122"/>
      <c r="B103" s="123">
        <v>45960.0</v>
      </c>
      <c r="C103" s="124" t="str">
        <f t="shared" si="1"/>
        <v>2025</v>
      </c>
      <c r="D103" s="124" t="str">
        <f t="shared" si="2"/>
        <v>10 Okt</v>
      </c>
      <c r="E103" s="124" t="str">
        <f t="shared" si="3"/>
        <v>Kam</v>
      </c>
      <c r="F103" s="16" t="s">
        <v>53</v>
      </c>
      <c r="G103" s="109" t="str">
        <f t="array" ref="G103">IFNA(XLOOKUP(S103,'⚙️ Pengaturan'!$H$5:$H371,'⚙️ Pengaturan'!$I$5:$I371),"")</f>
        <v>TIM Y</v>
      </c>
      <c r="H103" s="109" t="s">
        <v>407</v>
      </c>
      <c r="I103" s="125" t="str">
        <f t="array" ref="I103">ifna(xlookup($H103,'🙎‍♂️ Pasien'!$G$7:$G371,'🙎‍♂️ Pasien'!$H$7:$H371),"")</f>
        <v>D8225100100</v>
      </c>
      <c r="J103" s="125" t="str">
        <f t="array" ref="J103">ifna(xlookup($H103,'🙎‍♂️ Pasien'!$G$7:$G371,'🙎‍♂️ Pasien'!$L$7:$L371),"")</f>
        <v>PEREMPUAN</v>
      </c>
      <c r="K103" s="125">
        <f t="array" ref="K103">ifna(xlookup($H103,'🙎‍♂️ Pasien'!$G$7:$G371,'🙎‍♂️ Pasien'!$I$7:$I371),"")</f>
        <v>43</v>
      </c>
      <c r="L103" s="125" t="str">
        <f t="array" ref="L103">IFNA(xlookup(H103,'🙎‍♂️ Pasien'!$G$5:$G371,'🙎‍♂️ Pasien'!$J$5:$J371),"")</f>
        <v>35-44 tahun</v>
      </c>
      <c r="M103" s="125" t="str">
        <f t="array" ref="M103">IFNA(xlookup(H103,'🙎‍♂️ Pasien'!$G$5:$G371,'🙎‍♂️ Pasien'!$S$5:$S371),"")</f>
        <v>IBU RUMAH TANGGA</v>
      </c>
      <c r="N103" s="125" t="str">
        <f t="array" ref="N103">IFNA(XLOOKUP($H103,'🙎‍♂️ Pasien'!$G$7:$G371,'🙎‍♂️ Pasien'!$T$7:$T371),"")</f>
        <v>SAKIT DI BAHU DAN LENGAN SEBELAH KIRI</v>
      </c>
      <c r="O103" s="16" t="s">
        <v>858</v>
      </c>
      <c r="P103" s="16" t="s">
        <v>839</v>
      </c>
      <c r="Q103" s="16" t="s">
        <v>29</v>
      </c>
      <c r="R103" s="16" t="s">
        <v>86</v>
      </c>
      <c r="S103" s="16" t="s">
        <v>91</v>
      </c>
      <c r="T103" s="16" t="s">
        <v>830</v>
      </c>
      <c r="U103" s="109" t="s">
        <v>949</v>
      </c>
      <c r="V103" s="126"/>
      <c r="W103" s="109"/>
      <c r="X103" s="109" t="str">
        <f t="array" ref="X103">IF(H103="","",XLOOKUP(H103,CATATANPELAYANAN[[#ALL],[NAMA PASIEN]],CATATANPELAYANAN[[#ALL],[LAYANAN]],"TIDAK CLOSING",0,-1))</f>
        <v>PAKET TERAPI</v>
      </c>
      <c r="Y103" s="109" t="str">
        <f t="shared" si="4"/>
        <v>PAKET</v>
      </c>
      <c r="Z103" s="127"/>
    </row>
    <row r="104" ht="22.5" customHeight="1">
      <c r="A104" s="122"/>
      <c r="B104" s="123">
        <v>45960.0</v>
      </c>
      <c r="C104" s="124" t="str">
        <f t="shared" si="1"/>
        <v>2025</v>
      </c>
      <c r="D104" s="124" t="str">
        <f t="shared" si="2"/>
        <v>10 Okt</v>
      </c>
      <c r="E104" s="124" t="str">
        <f t="shared" si="3"/>
        <v>Kam</v>
      </c>
      <c r="F104" s="16" t="s">
        <v>53</v>
      </c>
      <c r="G104" s="109" t="str">
        <f t="array" ref="G104">IFNA(XLOOKUP(S104,'⚙️ Pengaturan'!$H$5:$H371,'⚙️ Pengaturan'!$I$5:$I371),"")</f>
        <v>TIM Y</v>
      </c>
      <c r="H104" s="109" t="s">
        <v>410</v>
      </c>
      <c r="I104" s="125" t="str">
        <f t="array" ref="I104">ifna(xlookup($H104,'🙎‍♂️ Pasien'!$G$7:$G371,'🙎‍♂️ Pasien'!$H$7:$H371),"")</f>
        <v>W9525106146</v>
      </c>
      <c r="J104" s="125" t="str">
        <f t="array" ref="J104">ifna(xlookup($H104,'🙎‍♂️ Pasien'!$G$7:$G371,'🙎‍♂️ Pasien'!$L$7:$L371),"")</f>
        <v>LAKI-LAKI</v>
      </c>
      <c r="K104" s="125">
        <f t="array" ref="K104">ifna(xlookup($H104,'🙎‍♂️ Pasien'!$G$7:$G371,'🙎‍♂️ Pasien'!$I$7:$I371),"")</f>
        <v>30</v>
      </c>
      <c r="L104" s="125" t="str">
        <f t="array" ref="L104">IFNA(xlookup(H104,'🙎‍♂️ Pasien'!$G$5:$G371,'🙎‍♂️ Pasien'!$J$5:$J371),"")</f>
        <v>25-34 tahun</v>
      </c>
      <c r="M104" s="125" t="str">
        <f t="array" ref="M104">IFNA(xlookup(H104,'🙎‍♂️ Pasien'!$G$5:$G371,'🙎‍♂️ Pasien'!$S$5:$S371),"")</f>
        <v>KARYAWAN</v>
      </c>
      <c r="N104" s="125" t="str">
        <f t="array" ref="N104">IFNA(XLOOKUP($H104,'🙎‍♂️ Pasien'!$G$7:$G371,'🙎‍♂️ Pasien'!$T$7:$T371),"")</f>
        <v>NYERI PADA PANGKAL JEMPOL DAN PERGELANGAN TANGAN</v>
      </c>
      <c r="O104" s="16" t="s">
        <v>950</v>
      </c>
      <c r="P104" s="16" t="s">
        <v>866</v>
      </c>
      <c r="Q104" s="16" t="s">
        <v>27</v>
      </c>
      <c r="R104" s="16" t="s">
        <v>86</v>
      </c>
      <c r="S104" s="16" t="s">
        <v>88</v>
      </c>
      <c r="T104" s="16" t="s">
        <v>834</v>
      </c>
      <c r="U104" s="109" t="s">
        <v>831</v>
      </c>
      <c r="V104" s="126"/>
      <c r="W104" s="109"/>
      <c r="X104" s="109" t="str">
        <f t="array" ref="X104">IF(H104="","",XLOOKUP(H104,CATATANPELAYANAN[[#ALL],[NAMA PASIEN]],CATATANPELAYANAN[[#ALL],[LAYANAN]],"TIDAK CLOSING",0,-1))</f>
        <v>TERAPI AWAL</v>
      </c>
      <c r="Y104" s="109" t="str">
        <f t="shared" si="4"/>
        <v>TIDAK CLOSING</v>
      </c>
      <c r="Z104" s="127"/>
    </row>
    <row r="105" ht="22.5" customHeight="1">
      <c r="A105" s="122"/>
      <c r="B105" s="123">
        <v>45960.0</v>
      </c>
      <c r="C105" s="124" t="str">
        <f t="shared" si="1"/>
        <v>2025</v>
      </c>
      <c r="D105" s="124" t="str">
        <f t="shared" si="2"/>
        <v>10 Okt</v>
      </c>
      <c r="E105" s="124" t="str">
        <f t="shared" si="3"/>
        <v>Kam</v>
      </c>
      <c r="F105" s="16" t="s">
        <v>85</v>
      </c>
      <c r="G105" s="109" t="str">
        <f t="array" ref="G105">IFNA(XLOOKUP(S105,'⚙️ Pengaturan'!$H$5:$H371,'⚙️ Pengaturan'!$I$5:$I371),"")</f>
        <v>TIM A</v>
      </c>
      <c r="H105" s="109" t="s">
        <v>951</v>
      </c>
      <c r="I105" s="125" t="str">
        <f t="array" ref="I105">ifna(xlookup($H105,'🙎‍♂️ Pasien'!$G$7:$G371,'🙎‍♂️ Pasien'!$H$7:$H371),"")</f>
        <v>R7225102104</v>
      </c>
      <c r="J105" s="125" t="str">
        <f t="array" ref="J105">ifna(xlookup($H105,'🙎‍♂️ Pasien'!$G$7:$G371,'🙎‍♂️ Pasien'!$L$7:$L371),"")</f>
        <v>PEREMPUAN</v>
      </c>
      <c r="K105" s="125">
        <f t="array" ref="K105">ifna(xlookup($H105,'🙎‍♂️ Pasien'!$G$7:$G371,'🙎‍♂️ Pasien'!$I$7:$I371),"")</f>
        <v>53</v>
      </c>
      <c r="L105" s="125" t="str">
        <f t="array" ref="L105">IFNA(xlookup(H105,'🙎‍♂️ Pasien'!$G$5:$G371,'🙎‍♂️ Pasien'!$J$5:$J371),"")</f>
        <v>&gt; 44 tahun</v>
      </c>
      <c r="M105" s="125" t="str">
        <f t="array" ref="M105">IFNA(xlookup(H105,'🙎‍♂️ Pasien'!$G$5:$G371,'🙎‍♂️ Pasien'!$S$5:$S371),"")</f>
        <v>KARYAWAN SWASTA</v>
      </c>
      <c r="N105" s="125" t="str">
        <f t="array" ref="N105">IFNA(XLOOKUP($H105,'🙎‍♂️ Pasien'!$G$7:$G371,'🙎‍♂️ Pasien'!$T$7:$T371),"")</f>
        <v>AREA DI SEKITAR BAHU DAN LENGAN SAKIT</v>
      </c>
      <c r="O105" s="16" t="s">
        <v>928</v>
      </c>
      <c r="P105" s="16" t="s">
        <v>839</v>
      </c>
      <c r="Q105" s="16" t="s">
        <v>29</v>
      </c>
      <c r="R105" s="16" t="s">
        <v>54</v>
      </c>
      <c r="S105" s="16" t="s">
        <v>79</v>
      </c>
      <c r="T105" s="16" t="s">
        <v>834</v>
      </c>
      <c r="U105" s="109" t="s">
        <v>831</v>
      </c>
      <c r="V105" s="126"/>
      <c r="W105" s="109"/>
      <c r="X105" s="109" t="str">
        <f t="array" ref="X105">IF(H105="","",XLOOKUP(H105,CATATANPELAYANAN[[#ALL],[NAMA PASIEN]],CATATANPELAYANAN[[#ALL],[LAYANAN]],"TIDAK CLOSING",0,-1))</f>
        <v>TIDAK CLOSING</v>
      </c>
      <c r="Y105" s="109" t="str">
        <f t="shared" si="4"/>
        <v>TIDAK CLOSING</v>
      </c>
      <c r="Z105" s="127"/>
    </row>
    <row r="106" ht="22.5" customHeight="1">
      <c r="A106" s="122"/>
      <c r="B106" s="123">
        <v>45960.0</v>
      </c>
      <c r="C106" s="124" t="str">
        <f t="shared" si="1"/>
        <v>2025</v>
      </c>
      <c r="D106" s="124" t="str">
        <f t="shared" si="2"/>
        <v>10 Okt</v>
      </c>
      <c r="E106" s="124" t="str">
        <f t="shared" si="3"/>
        <v>Kam</v>
      </c>
      <c r="F106" s="16" t="s">
        <v>85</v>
      </c>
      <c r="G106" s="109" t="str">
        <f t="array" ref="G106">IFNA(XLOOKUP(S106,'⚙️ Pengaturan'!$H$5:$H371,'⚙️ Pengaturan'!$I$5:$I371),"")</f>
        <v>TIM A</v>
      </c>
      <c r="H106" s="109" t="s">
        <v>414</v>
      </c>
      <c r="I106" s="125" t="str">
        <f t="array" ref="I106">ifna(xlookup($H106,'🙎‍♂️ Pasien'!$G$7:$G371,'🙎‍♂️ Pasien'!$H$7:$H371),"")</f>
        <v>R8723125757</v>
      </c>
      <c r="J106" s="125" t="str">
        <f t="array" ref="J106">ifna(xlookup($H106,'🙎‍♂️ Pasien'!$G$7:$G371,'🙎‍♂️ Pasien'!$L$7:$L371),"")</f>
        <v>LAKI-LAKI</v>
      </c>
      <c r="K106" s="125">
        <f t="array" ref="K106">ifna(xlookup($H106,'🙎‍♂️ Pasien'!$G$7:$G371,'🙎‍♂️ Pasien'!$I$7:$I371),"")</f>
        <v>39</v>
      </c>
      <c r="L106" s="125" t="str">
        <f t="array" ref="L106">IFNA(xlookup(H106,'🙎‍♂️ Pasien'!$G$5:$G371,'🙎‍♂️ Pasien'!$J$5:$J371),"")</f>
        <v>35-44 tahun</v>
      </c>
      <c r="M106" s="125" t="str">
        <f t="array" ref="M106">IFNA(xlookup(H106,'🙎‍♂️ Pasien'!$G$5:$G371,'🙎‍♂️ Pasien'!$S$5:$S371),"")</f>
        <v>SWASTA</v>
      </c>
      <c r="N106" s="125" t="str">
        <f t="array" ref="N106">IFNA(XLOOKUP($H106,'🙎‍♂️ Pasien'!$G$7:$G371,'🙎‍♂️ Pasien'!$T$7:$T371),"")</f>
        <v>Cidera</v>
      </c>
      <c r="O106" s="16" t="s">
        <v>828</v>
      </c>
      <c r="P106" s="16" t="s">
        <v>836</v>
      </c>
      <c r="Q106" s="16" t="s">
        <v>28</v>
      </c>
      <c r="R106" s="16" t="s">
        <v>54</v>
      </c>
      <c r="S106" s="16" t="s">
        <v>72</v>
      </c>
      <c r="T106" s="16" t="s">
        <v>830</v>
      </c>
      <c r="U106" s="109"/>
      <c r="V106" s="126"/>
      <c r="W106" s="109"/>
      <c r="X106" s="109" t="str">
        <f t="array" ref="X106">IF(H106="","",XLOOKUP(H106,CATATANPELAYANAN[[#ALL],[NAMA PASIEN]],CATATANPELAYANAN[[#ALL],[LAYANAN]],"TIDAK CLOSING",0,-1))</f>
        <v>PAKET TERAPI</v>
      </c>
      <c r="Y106" s="109" t="str">
        <f t="shared" si="4"/>
        <v>PAKET</v>
      </c>
      <c r="Z106" s="127"/>
    </row>
    <row r="107" ht="22.5" customHeight="1">
      <c r="A107" s="122"/>
      <c r="B107" s="123">
        <v>45960.0</v>
      </c>
      <c r="C107" s="124" t="str">
        <f t="shared" si="1"/>
        <v>2025</v>
      </c>
      <c r="D107" s="124" t="str">
        <f t="shared" si="2"/>
        <v>10 Okt</v>
      </c>
      <c r="E107" s="124" t="str">
        <f t="shared" si="3"/>
        <v>Kam</v>
      </c>
      <c r="F107" s="16" t="s">
        <v>85</v>
      </c>
      <c r="G107" s="109" t="str">
        <f t="array" ref="G107">IFNA(XLOOKUP(S107,'⚙️ Pengaturan'!$H$5:$H371,'⚙️ Pengaturan'!$I$5:$I371),"")</f>
        <v>TIM Y</v>
      </c>
      <c r="H107" s="109" t="s">
        <v>447</v>
      </c>
      <c r="I107" s="125" t="str">
        <f t="array" ref="I107">ifna(xlookup($H107,'🙎‍♂️ Pasien'!$G$7:$G371,'🙎‍♂️ Pasien'!$H$7:$H371),"")</f>
        <v>S6425029234</v>
      </c>
      <c r="J107" s="125" t="str">
        <f t="array" ref="J107">ifna(xlookup($H107,'🙎‍♂️ Pasien'!$G$7:$G371,'🙎‍♂️ Pasien'!$L$7:$L371),"")</f>
        <v>LAKI-LAKI</v>
      </c>
      <c r="K107" s="125">
        <f t="array" ref="K107">ifna(xlookup($H107,'🙎‍♂️ Pasien'!$G$7:$G371,'🙎‍♂️ Pasien'!$I$7:$I371),"")</f>
        <v>61</v>
      </c>
      <c r="L107" s="125" t="str">
        <f t="array" ref="L107">IFNA(xlookup(H107,'🙎‍♂️ Pasien'!$G$5:$G371,'🙎‍♂️ Pasien'!$J$5:$J371),"")</f>
        <v>&gt; 44 tahun</v>
      </c>
      <c r="M107" s="125" t="str">
        <f t="array" ref="M107">IFNA(xlookup(H107,'🙎‍♂️ Pasien'!$G$5:$G371,'🙎‍♂️ Pasien'!$S$5:$S371),"")</f>
        <v>PENSIUNAN</v>
      </c>
      <c r="N107" s="125" t="str">
        <f t="array" ref="N107">IFNA(XLOOKUP($H107,'🙎‍♂️ Pasien'!$G$7:$G371,'🙎‍♂️ Pasien'!$T$7:$T371),"")</f>
        <v>SAKIT NYERI PADA TANGAN KANAN</v>
      </c>
      <c r="O107" s="16" t="s">
        <v>902</v>
      </c>
      <c r="P107" s="16" t="s">
        <v>836</v>
      </c>
      <c r="Q107" s="16" t="s">
        <v>28</v>
      </c>
      <c r="R107" s="16" t="s">
        <v>54</v>
      </c>
      <c r="S107" s="16" t="s">
        <v>56</v>
      </c>
      <c r="T107" s="16" t="s">
        <v>830</v>
      </c>
      <c r="U107" s="109"/>
      <c r="V107" s="126"/>
      <c r="W107" s="109"/>
      <c r="X107" s="109" t="str">
        <f t="array" ref="X107">IF(H107="","",XLOOKUP(H107,CATATANPELAYANAN[[#ALL],[NAMA PASIEN]],CATATANPELAYANAN[[#ALL],[LAYANAN]],"TIDAK CLOSING",0,-1))</f>
        <v>PAKET TERAPI</v>
      </c>
      <c r="Y107" s="109" t="str">
        <f t="shared" si="4"/>
        <v>PAKET</v>
      </c>
      <c r="Z107" s="127"/>
    </row>
    <row r="108" ht="22.5" customHeight="1">
      <c r="A108" s="122"/>
      <c r="B108" s="123">
        <v>45960.0</v>
      </c>
      <c r="C108" s="124" t="str">
        <f t="shared" si="1"/>
        <v>2025</v>
      </c>
      <c r="D108" s="124" t="str">
        <f t="shared" si="2"/>
        <v>10 Okt</v>
      </c>
      <c r="E108" s="124" t="str">
        <f t="shared" si="3"/>
        <v>Kam</v>
      </c>
      <c r="F108" s="16" t="s">
        <v>85</v>
      </c>
      <c r="G108" s="109" t="str">
        <f t="array" ref="G108">IFNA(XLOOKUP(S108,'⚙️ Pengaturan'!$H$5:$H371,'⚙️ Pengaturan'!$I$5:$I371),"")</f>
        <v>TIM A</v>
      </c>
      <c r="H108" s="109" t="s">
        <v>430</v>
      </c>
      <c r="I108" s="125" t="str">
        <f t="array" ref="I108">ifna(xlookup($H108,'🙎‍♂️ Pasien'!$G$7:$G371,'🙎‍♂️ Pasien'!$H$7:$H371),"")</f>
        <v>J5525063513</v>
      </c>
      <c r="J108" s="125" t="str">
        <f t="array" ref="J108">ifna(xlookup($H108,'🙎‍♂️ Pasien'!$G$7:$G371,'🙎‍♂️ Pasien'!$L$7:$L371),"")</f>
        <v>PEREMPUAN</v>
      </c>
      <c r="K108" s="125">
        <f t="array" ref="K108">ifna(xlookup($H108,'🙎‍♂️ Pasien'!$G$7:$G371,'🙎‍♂️ Pasien'!$I$7:$I371),"")</f>
        <v>71</v>
      </c>
      <c r="L108" s="125" t="str">
        <f t="array" ref="L108">IFNA(xlookup(H108,'🙎‍♂️ Pasien'!$G$5:$G371,'🙎‍♂️ Pasien'!$J$5:$J371),"")</f>
        <v>&gt; 44 tahun</v>
      </c>
      <c r="M108" s="125" t="str">
        <f t="array" ref="M108">IFNA(xlookup(H108,'🙎‍♂️ Pasien'!$G$5:$G371,'🙎‍♂️ Pasien'!$S$5:$S371),"")</f>
        <v>IBU RUMAH TANGGA</v>
      </c>
      <c r="N108" s="125" t="str">
        <f t="array" ref="N108">IFNA(XLOOKUP($H108,'🙎‍♂️ Pasien'!$G$7:$G371,'🙎‍♂️ Pasien'!$T$7:$T371),"")</f>
        <v>BAGIAN PANTAT SAKIT</v>
      </c>
      <c r="O108" s="16" t="s">
        <v>952</v>
      </c>
      <c r="P108" s="16" t="s">
        <v>833</v>
      </c>
      <c r="Q108" s="16" t="s">
        <v>28</v>
      </c>
      <c r="R108" s="16" t="s">
        <v>54</v>
      </c>
      <c r="S108" s="16" t="s">
        <v>62</v>
      </c>
      <c r="T108" s="16" t="s">
        <v>830</v>
      </c>
      <c r="U108" s="109"/>
      <c r="V108" s="126"/>
      <c r="W108" s="109"/>
      <c r="X108" s="109" t="str">
        <f t="array" ref="X108">IF(H108="","",XLOOKUP(H108,CATATANPELAYANAN[[#ALL],[NAMA PASIEN]],CATATANPELAYANAN[[#ALL],[LAYANAN]],"TIDAK CLOSING",0,-1))</f>
        <v>PAKET/SESI</v>
      </c>
      <c r="Y108" s="109" t="str">
        <f t="shared" si="4"/>
        <v>TIDAK CLOSING</v>
      </c>
      <c r="Z108" s="127"/>
    </row>
    <row r="109" ht="22.5" customHeight="1">
      <c r="A109" s="122"/>
      <c r="B109" s="123">
        <v>45960.0</v>
      </c>
      <c r="C109" s="124" t="str">
        <f t="shared" si="1"/>
        <v>2025</v>
      </c>
      <c r="D109" s="124" t="str">
        <f t="shared" si="2"/>
        <v>10 Okt</v>
      </c>
      <c r="E109" s="124" t="str">
        <f t="shared" si="3"/>
        <v>Kam</v>
      </c>
      <c r="F109" s="16" t="s">
        <v>85</v>
      </c>
      <c r="G109" s="109" t="str">
        <f t="array" ref="G109">IFNA(XLOOKUP(S109,'⚙️ Pengaturan'!$H$5:$H371,'⚙️ Pengaturan'!$I$5:$I371),"")</f>
        <v>TIM A</v>
      </c>
      <c r="H109" s="109" t="s">
        <v>953</v>
      </c>
      <c r="I109" s="125" t="str">
        <f t="array" ref="I109">ifna(xlookup($H109,'🙎‍♂️ Pasien'!$G$7:$G371,'🙎‍♂️ Pasien'!$H$7:$H371),"")</f>
        <v/>
      </c>
      <c r="J109" s="125" t="str">
        <f t="array" ref="J109">ifna(xlookup($H109,'🙎‍♂️ Pasien'!$G$7:$G371,'🙎‍♂️ Pasien'!$L$7:$L371),"")</f>
        <v/>
      </c>
      <c r="K109" s="125" t="str">
        <f t="array" ref="K109">ifna(xlookup($H109,'🙎‍♂️ Pasien'!$G$7:$G371,'🙎‍♂️ Pasien'!$I$7:$I371),"")</f>
        <v/>
      </c>
      <c r="L109" s="125" t="str">
        <f t="array" ref="L109">IFNA(xlookup(H109,'🙎‍♂️ Pasien'!$G$5:$G371,'🙎‍♂️ Pasien'!$J$5:$J371),"")</f>
        <v/>
      </c>
      <c r="M109" s="125" t="str">
        <f t="array" ref="M109">IFNA(xlookup(H109,'🙎‍♂️ Pasien'!$G$5:$G371,'🙎‍♂️ Pasien'!$S$5:$S371),"")</f>
        <v/>
      </c>
      <c r="N109" s="125" t="str">
        <f t="array" ref="N109">IFNA(XLOOKUP($H109,'🙎‍♂️ Pasien'!$G$7:$G371,'🙎‍♂️ Pasien'!$T$7:$T371),"")</f>
        <v/>
      </c>
      <c r="O109" s="16" t="s">
        <v>930</v>
      </c>
      <c r="P109" s="16" t="s">
        <v>931</v>
      </c>
      <c r="Q109" s="16" t="s">
        <v>29</v>
      </c>
      <c r="R109" s="16" t="s">
        <v>54</v>
      </c>
      <c r="S109" s="16" t="s">
        <v>79</v>
      </c>
      <c r="T109" s="16" t="s">
        <v>834</v>
      </c>
      <c r="U109" s="109" t="s">
        <v>831</v>
      </c>
      <c r="V109" s="126"/>
      <c r="W109" s="109"/>
      <c r="X109" s="109" t="str">
        <f t="array" ref="X109">IF(H109="","",XLOOKUP(H109,CATATANPELAYANAN[[#ALL],[NAMA PASIEN]],CATATANPELAYANAN[[#ALL],[LAYANAN]],"TIDAK CLOSING",0,-1))</f>
        <v>TIDAK CLOSING</v>
      </c>
      <c r="Y109" s="109" t="str">
        <f t="shared" si="4"/>
        <v>TIDAK CLOSING</v>
      </c>
      <c r="Z109" s="127"/>
    </row>
    <row r="110" ht="22.5" customHeight="1">
      <c r="A110" s="122"/>
      <c r="B110" s="123">
        <v>45960.0</v>
      </c>
      <c r="C110" s="124" t="str">
        <f t="shared" si="1"/>
        <v>2025</v>
      </c>
      <c r="D110" s="124" t="str">
        <f t="shared" si="2"/>
        <v>10 Okt</v>
      </c>
      <c r="E110" s="124" t="str">
        <f t="shared" si="3"/>
        <v>Kam</v>
      </c>
      <c r="F110" s="16" t="s">
        <v>85</v>
      </c>
      <c r="G110" s="109" t="str">
        <f t="array" ref="G110">IFNA(XLOOKUP(S110,'⚙️ Pengaturan'!$H$5:$H371,'⚙️ Pengaturan'!$I$5:$I371),"")</f>
        <v>TIM A</v>
      </c>
      <c r="H110" s="109" t="s">
        <v>417</v>
      </c>
      <c r="I110" s="125" t="str">
        <f t="array" ref="I110">ifna(xlookup($H110,'🙎‍♂️ Pasien'!$G$7:$G371,'🙎‍♂️ Pasien'!$H$7:$H371),"")</f>
        <v>F0225102200</v>
      </c>
      <c r="J110" s="125" t="str">
        <f t="array" ref="J110">ifna(xlookup($H110,'🙎‍♂️ Pasien'!$G$7:$G371,'🙎‍♂️ Pasien'!$L$7:$L371),"")</f>
        <v>LAKI-LAKI</v>
      </c>
      <c r="K110" s="125">
        <f t="array" ref="K110">ifna(xlookup($H110,'🙎‍♂️ Pasien'!$G$7:$G371,'🙎‍♂️ Pasien'!$I$7:$I371),"")</f>
        <v>23</v>
      </c>
      <c r="L110" s="125" t="str">
        <f t="array" ref="L110">IFNA(xlookup(H110,'🙎‍♂️ Pasien'!$G$5:$G371,'🙎‍♂️ Pasien'!$J$5:$J371),"")</f>
        <v>18-24 tahun</v>
      </c>
      <c r="M110" s="125" t="str">
        <f t="array" ref="M110">IFNA(xlookup(H110,'🙎‍♂️ Pasien'!$G$5:$G371,'🙎‍♂️ Pasien'!$S$5:$S371),"")</f>
        <v>WIRASWASTA</v>
      </c>
      <c r="N110" s="125" t="str">
        <f t="array" ref="N110">IFNA(XLOOKUP($H110,'🙎‍♂️ Pasien'!$G$7:$G371,'🙎‍♂️ Pasien'!$T$7:$T371),"")</f>
        <v>SCOLIOSIS, SAKIT SAAT BERDIRI/DUDUK LAMA</v>
      </c>
      <c r="O110" s="16" t="s">
        <v>847</v>
      </c>
      <c r="P110" s="16" t="s">
        <v>848</v>
      </c>
      <c r="Q110" s="16" t="s">
        <v>29</v>
      </c>
      <c r="R110" s="16" t="s">
        <v>54</v>
      </c>
      <c r="S110" s="16" t="s">
        <v>72</v>
      </c>
      <c r="T110" s="16" t="s">
        <v>830</v>
      </c>
      <c r="U110" s="109"/>
      <c r="V110" s="126"/>
      <c r="W110" s="109"/>
      <c r="X110" s="109" t="str">
        <f t="array" ref="X110">IF(H110="","",XLOOKUP(H110,CATATANPELAYANAN[[#ALL],[NAMA PASIEN]],CATATANPELAYANAN[[#ALL],[LAYANAN]],"TIDAK CLOSING",0,-1))</f>
        <v>PAKET TERAPI</v>
      </c>
      <c r="Y110" s="109" t="str">
        <f t="shared" si="4"/>
        <v>PAKET</v>
      </c>
      <c r="Z110" s="127"/>
    </row>
    <row r="111" ht="22.5" customHeight="1">
      <c r="A111" s="122"/>
      <c r="B111" s="123">
        <v>45962.0</v>
      </c>
      <c r="C111" s="124" t="str">
        <f t="shared" si="1"/>
        <v>2025</v>
      </c>
      <c r="D111" s="124" t="str">
        <f t="shared" si="2"/>
        <v>11 Nov</v>
      </c>
      <c r="E111" s="124" t="str">
        <f t="shared" si="3"/>
        <v>Sab</v>
      </c>
      <c r="F111" s="16" t="s">
        <v>53</v>
      </c>
      <c r="G111" s="109" t="str">
        <f t="array" ref="G111">IFNA(XLOOKUP(S111,'⚙️ Pengaturan'!$H$5:$H371,'⚙️ Pengaturan'!$I$5:$I371),"")</f>
        <v>MANAJEMEN</v>
      </c>
      <c r="H111" s="109" t="s">
        <v>424</v>
      </c>
      <c r="I111" s="125" t="str">
        <f t="array" ref="I111">ifna(xlookup($H111,'🙎‍♂️ Pasien'!$G$7:$G371,'🙎‍♂️ Pasien'!$H$7:$H371),"")</f>
        <v>S4725109888</v>
      </c>
      <c r="J111" s="125" t="str">
        <f t="array" ref="J111">ifna(xlookup($H111,'🙎‍♂️ Pasien'!$G$7:$G371,'🙎‍♂️ Pasien'!$L$7:$L371),"")</f>
        <v>PEREMPUAN</v>
      </c>
      <c r="K111" s="125">
        <f t="array" ref="K111">ifna(xlookup($H111,'🙎‍♂️ Pasien'!$G$7:$G371,'🙎‍♂️ Pasien'!$I$7:$I371),"")</f>
        <v>78</v>
      </c>
      <c r="L111" s="125" t="str">
        <f t="array" ref="L111">IFNA(xlookup(H111,'🙎‍♂️ Pasien'!$G$5:$G371,'🙎‍♂️ Pasien'!$J$5:$J371),"")</f>
        <v>&gt; 44 tahun</v>
      </c>
      <c r="M111" s="125" t="str">
        <f t="array" ref="M111">IFNA(xlookup(H111,'🙎‍♂️ Pasien'!$G$5:$G371,'🙎‍♂️ Pasien'!$S$5:$S371),"")</f>
        <v>IBU RUMAH TANGGA</v>
      </c>
      <c r="N111" s="125" t="str">
        <f t="array" ref="N111">IFNA(XLOOKUP($H111,'🙎‍♂️ Pasien'!$G$7:$G371,'🙎‍♂️ Pasien'!$T$7:$T371),"")</f>
        <v>KRAM PADA KAKI</v>
      </c>
      <c r="O111" s="16" t="s">
        <v>858</v>
      </c>
      <c r="P111" s="16" t="s">
        <v>839</v>
      </c>
      <c r="Q111" s="16" t="s">
        <v>29</v>
      </c>
      <c r="R111" s="16" t="s">
        <v>54</v>
      </c>
      <c r="S111" s="16" t="s">
        <v>81</v>
      </c>
      <c r="T111" s="16" t="s">
        <v>830</v>
      </c>
      <c r="U111" s="109"/>
      <c r="V111" s="126"/>
      <c r="W111" s="109"/>
      <c r="X111" s="109" t="str">
        <f t="array" ref="X111">IF(H111="","",XLOOKUP(H111,CATATANPELAYANAN[[#ALL],[NAMA PASIEN]],CATATANPELAYANAN[[#ALL],[LAYANAN]],"TIDAK CLOSING",0,-1))</f>
        <v>TERAPI AWAL</v>
      </c>
      <c r="Y111" s="109" t="str">
        <f t="shared" si="4"/>
        <v>TIDAK CLOSING</v>
      </c>
      <c r="Z111" s="127"/>
    </row>
    <row r="112" ht="22.5" customHeight="1">
      <c r="A112" s="122"/>
      <c r="B112" s="123">
        <v>45962.0</v>
      </c>
      <c r="C112" s="124" t="str">
        <f t="shared" si="1"/>
        <v>2025</v>
      </c>
      <c r="D112" s="124" t="str">
        <f t="shared" si="2"/>
        <v>11 Nov</v>
      </c>
      <c r="E112" s="124" t="str">
        <f t="shared" si="3"/>
        <v>Sab</v>
      </c>
      <c r="F112" s="16" t="s">
        <v>53</v>
      </c>
      <c r="G112" s="109" t="str">
        <f t="array" ref="G112">IFNA(XLOOKUP(S112,'⚙️ Pengaturan'!$H$5:$H371,'⚙️ Pengaturan'!$I$5:$I371),"")</f>
        <v>TIM A</v>
      </c>
      <c r="H112" s="109" t="s">
        <v>425</v>
      </c>
      <c r="I112" s="125" t="str">
        <f t="array" ref="I112">ifna(xlookup($H112,'🙎‍♂️ Pasien'!$G$7:$G371,'🙎‍♂️ Pasien'!$H$7:$H371),"")</f>
        <v>L7725110799</v>
      </c>
      <c r="J112" s="125" t="str">
        <f t="array" ref="J112">ifna(xlookup($H112,'🙎‍♂️ Pasien'!$G$7:$G371,'🙎‍♂️ Pasien'!$L$7:$L371),"")</f>
        <v>PEREMPUAN</v>
      </c>
      <c r="K112" s="125">
        <f t="array" ref="K112">ifna(xlookup($H112,'🙎‍♂️ Pasien'!$G$7:$G371,'🙎‍♂️ Pasien'!$I$7:$I371),"")</f>
        <v>49</v>
      </c>
      <c r="L112" s="125" t="str">
        <f t="array" ref="L112">IFNA(xlookup(H112,'🙎‍♂️ Pasien'!$G$5:$G371,'🙎‍♂️ Pasien'!$J$5:$J371),"")</f>
        <v>&gt; 44 tahun</v>
      </c>
      <c r="M112" s="125" t="str">
        <f t="array" ref="M112">IFNA(xlookup(H112,'🙎‍♂️ Pasien'!$G$5:$G371,'🙎‍♂️ Pasien'!$S$5:$S371),"")</f>
        <v>PENGANGGURAN</v>
      </c>
      <c r="N112" s="125" t="str">
        <f t="array" ref="N112">IFNA(XLOOKUP($H112,'🙎‍♂️ Pasien'!$G$7:$G371,'🙎‍♂️ Pasien'!$T$7:$T371),"")</f>
        <v>SAKIT LUTUT</v>
      </c>
      <c r="O112" s="16" t="s">
        <v>954</v>
      </c>
      <c r="P112" s="16" t="s">
        <v>836</v>
      </c>
      <c r="Q112" s="16" t="s">
        <v>29</v>
      </c>
      <c r="R112" s="16" t="s">
        <v>54</v>
      </c>
      <c r="S112" s="16" t="s">
        <v>62</v>
      </c>
      <c r="T112" s="16" t="s">
        <v>827</v>
      </c>
      <c r="U112" s="109"/>
      <c r="V112" s="126"/>
      <c r="W112" s="109"/>
      <c r="X112" s="109" t="str">
        <f t="array" ref="X112">IF(H112="","",XLOOKUP(H112,CATATANPELAYANAN[[#ALL],[NAMA PASIEN]],CATATANPELAYANAN[[#ALL],[LAYANAN]],"TIDAK CLOSING",0,-1))</f>
        <v>TERAPI AWAL</v>
      </c>
      <c r="Y112" s="109" t="str">
        <f t="shared" si="4"/>
        <v>TIDAK CLOSING</v>
      </c>
      <c r="Z112" s="127"/>
    </row>
    <row r="113" ht="22.5" customHeight="1">
      <c r="A113" s="122"/>
      <c r="B113" s="123">
        <v>45962.0</v>
      </c>
      <c r="C113" s="124" t="str">
        <f t="shared" si="1"/>
        <v>2025</v>
      </c>
      <c r="D113" s="124" t="str">
        <f t="shared" si="2"/>
        <v>11 Nov</v>
      </c>
      <c r="E113" s="124" t="str">
        <f t="shared" si="3"/>
        <v>Sab</v>
      </c>
      <c r="F113" s="16" t="s">
        <v>53</v>
      </c>
      <c r="G113" s="109" t="str">
        <f t="array" ref="G113">IFNA(XLOOKUP(S113,'⚙️ Pengaturan'!$H$5:$H371,'⚙️ Pengaturan'!$I$5:$I371),"")</f>
        <v>TIM A</v>
      </c>
      <c r="H113" s="109" t="s">
        <v>426</v>
      </c>
      <c r="I113" s="125" t="str">
        <f t="array" ref="I113">ifna(xlookup($H113,'🙎‍♂️ Pasien'!$G$7:$G371,'🙎‍♂️ Pasien'!$H$7:$H371),"")</f>
        <v>S8525111805</v>
      </c>
      <c r="J113" s="125" t="str">
        <f t="array" ref="J113">ifna(xlookup($H113,'🙎‍♂️ Pasien'!$G$7:$G371,'🙎‍♂️ Pasien'!$L$7:$L371),"")</f>
        <v>PEREMPUAN</v>
      </c>
      <c r="K113" s="125">
        <f t="array" ref="K113">ifna(xlookup($H113,'🙎‍♂️ Pasien'!$G$7:$G371,'🙎‍♂️ Pasien'!$I$7:$I371),"")</f>
        <v>41</v>
      </c>
      <c r="L113" s="125" t="str">
        <f t="array" ref="L113">IFNA(xlookup(H113,'🙎‍♂️ Pasien'!$G$5:$G371,'🙎‍♂️ Pasien'!$J$5:$J371),"")</f>
        <v>35-44 tahun</v>
      </c>
      <c r="M113" s="125" t="str">
        <f t="array" ref="M113">IFNA(xlookup(H113,'🙎‍♂️ Pasien'!$G$5:$G371,'🙎‍♂️ Pasien'!$S$5:$S371),"")</f>
        <v>GURU</v>
      </c>
      <c r="N113" s="125" t="str">
        <f t="array" ref="N113">IFNA(XLOOKUP($H113,'🙎‍♂️ Pasien'!$G$7:$G371,'🙎‍♂️ Pasien'!$T$7:$T371),"")</f>
        <v>TIDAK BISA MENGANGKAT TANGAN</v>
      </c>
      <c r="O113" s="16" t="s">
        <v>843</v>
      </c>
      <c r="P113" s="16" t="s">
        <v>839</v>
      </c>
      <c r="Q113" s="16" t="s">
        <v>29</v>
      </c>
      <c r="R113" s="16" t="s">
        <v>86</v>
      </c>
      <c r="S113" s="16" t="s">
        <v>79</v>
      </c>
      <c r="T113" s="16" t="s">
        <v>827</v>
      </c>
      <c r="U113" s="109"/>
      <c r="V113" s="126"/>
      <c r="W113" s="109"/>
      <c r="X113" s="109" t="str">
        <f t="array" ref="X113">IF(H113="","",XLOOKUP(H113,CATATANPELAYANAN[[#ALL],[NAMA PASIEN]],CATATANPELAYANAN[[#ALL],[LAYANAN]],"TIDAK CLOSING",0,-1))</f>
        <v>SESI TERAPI</v>
      </c>
      <c r="Y113" s="109" t="str">
        <f t="shared" si="4"/>
        <v>SESI</v>
      </c>
      <c r="Z113" s="127"/>
    </row>
    <row r="114" ht="22.5" customHeight="1">
      <c r="A114" s="122"/>
      <c r="B114" s="123">
        <v>45963.0</v>
      </c>
      <c r="C114" s="124" t="str">
        <f t="shared" si="1"/>
        <v>2025</v>
      </c>
      <c r="D114" s="124" t="str">
        <f t="shared" si="2"/>
        <v>11 Nov</v>
      </c>
      <c r="E114" s="124" t="str">
        <f t="shared" si="3"/>
        <v>Min</v>
      </c>
      <c r="F114" s="16" t="s">
        <v>53</v>
      </c>
      <c r="G114" s="109" t="str">
        <f t="array" ref="G114">IFNA(XLOOKUP(S114,'⚙️ Pengaturan'!$H$5:$H371,'⚙️ Pengaturan'!$I$5:$I371),"")</f>
        <v>TIM A</v>
      </c>
      <c r="H114" s="109" t="s">
        <v>480</v>
      </c>
      <c r="I114" s="125" t="str">
        <f t="array" ref="I114">ifna(xlookup($H114,'🙎‍♂️ Pasien'!$G$7:$G371,'🙎‍♂️ Pasien'!$H$7:$H371),"")</f>
        <v>E7324031888</v>
      </c>
      <c r="J114" s="125"/>
      <c r="K114" s="125"/>
      <c r="L114" s="125"/>
      <c r="M114" s="125"/>
      <c r="N114" s="125"/>
      <c r="O114" s="16" t="s">
        <v>955</v>
      </c>
      <c r="P114" s="16" t="s">
        <v>839</v>
      </c>
      <c r="Q114" s="16" t="s">
        <v>27</v>
      </c>
      <c r="R114" s="16" t="s">
        <v>86</v>
      </c>
      <c r="S114" s="16" t="s">
        <v>62</v>
      </c>
      <c r="T114" s="16" t="s">
        <v>830</v>
      </c>
      <c r="U114" s="109" t="s">
        <v>956</v>
      </c>
      <c r="V114" s="126"/>
      <c r="W114" s="109"/>
      <c r="X114" s="109" t="str">
        <f t="array" ref="X114">IF(H114="","",XLOOKUP(H114,CATATANPELAYANAN[[#ALL],[NAMA PASIEN]],CATATANPELAYANAN[[#ALL],[LAYANAN]],"TIDAK CLOSING",0,-1))</f>
        <v>PAKET TERAPI</v>
      </c>
      <c r="Y114" s="109" t="str">
        <f t="shared" si="4"/>
        <v>PAKET</v>
      </c>
      <c r="Z114" s="127"/>
    </row>
    <row r="115" ht="22.5" customHeight="1">
      <c r="A115" s="122"/>
      <c r="B115" s="123">
        <v>45963.0</v>
      </c>
      <c r="C115" s="124" t="str">
        <f t="shared" si="1"/>
        <v>2025</v>
      </c>
      <c r="D115" s="124" t="str">
        <f t="shared" si="2"/>
        <v>11 Nov</v>
      </c>
      <c r="E115" s="124" t="str">
        <f t="shared" si="3"/>
        <v>Min</v>
      </c>
      <c r="F115" s="16" t="s">
        <v>53</v>
      </c>
      <c r="G115" s="109" t="str">
        <f t="array" ref="G115">IFNA(XLOOKUP(S115,'⚙️ Pengaturan'!$H$5:$H371,'⚙️ Pengaturan'!$I$5:$I371),"")</f>
        <v>TIM A</v>
      </c>
      <c r="H115" s="109" t="s">
        <v>957</v>
      </c>
      <c r="I115" s="125" t="str">
        <f t="array" ref="I115">ifna(xlookup($H115,'🙎‍♂️ Pasien'!$G$7:$G371,'🙎‍♂️ Pasien'!$H$7:$H371),"")</f>
        <v>V9525116763</v>
      </c>
      <c r="J115" s="125" t="str">
        <f t="array" ref="J115">ifna(xlookup($H115,'🙎‍♂️ Pasien'!$G$7:$G371,'🙎‍♂️ Pasien'!$L$7:$L371),"")</f>
        <v>PEREMPUAN</v>
      </c>
      <c r="K115" s="125">
        <f t="array" ref="K115">ifna(xlookup($H115,'🙎‍♂️ Pasien'!$G$7:$G371,'🙎‍♂️ Pasien'!$I$7:$I371),"")</f>
        <v>31</v>
      </c>
      <c r="L115" s="125" t="str">
        <f t="array" ref="L115">IFNA(xlookup(H115,'🙎‍♂️ Pasien'!$G$5:$G371,'🙎‍♂️ Pasien'!$J$5:$J371),"")</f>
        <v>25-34 tahun</v>
      </c>
      <c r="M115" s="125" t="str">
        <f t="array" ref="M115">IFNA(xlookup(H115,'🙎‍♂️ Pasien'!$G$5:$G371,'🙎‍♂️ Pasien'!$S$5:$S371),"")</f>
        <v>WIRASWASTA</v>
      </c>
      <c r="N115" s="125" t="str">
        <f t="array" ref="N115">IFNA(XLOOKUP($H115,'🙎‍♂️ Pasien'!$G$7:$G371,'🙎‍♂️ Pasien'!$T$7:$T371),"")</f>
        <v>SAKIT TULANG JEMPOL KAKI KANAN</v>
      </c>
      <c r="O115" s="16" t="s">
        <v>958</v>
      </c>
      <c r="P115" s="16" t="s">
        <v>833</v>
      </c>
      <c r="Q115" s="16" t="s">
        <v>29</v>
      </c>
      <c r="R115" s="16" t="s">
        <v>86</v>
      </c>
      <c r="S115" s="16" t="s">
        <v>79</v>
      </c>
      <c r="T115" s="16" t="s">
        <v>834</v>
      </c>
      <c r="U115" s="109" t="s">
        <v>920</v>
      </c>
      <c r="V115" s="126"/>
      <c r="W115" s="109"/>
      <c r="X115" s="109" t="str">
        <f t="array" ref="X115">IF(H115="","",XLOOKUP(H115,CATATANPELAYANAN[[#ALL],[NAMA PASIEN]],CATATANPELAYANAN[[#ALL],[LAYANAN]],"TIDAK CLOSING",0,-1))</f>
        <v>TIDAK CLOSING</v>
      </c>
      <c r="Y115" s="109" t="str">
        <f t="shared" si="4"/>
        <v>TIDAK CLOSING</v>
      </c>
      <c r="Z115" s="127"/>
    </row>
    <row r="116" ht="22.5" customHeight="1">
      <c r="A116" s="122"/>
      <c r="B116" s="123">
        <v>45963.0</v>
      </c>
      <c r="C116" s="124" t="str">
        <f t="shared" si="1"/>
        <v>2025</v>
      </c>
      <c r="D116" s="124" t="str">
        <f t="shared" si="2"/>
        <v>11 Nov</v>
      </c>
      <c r="E116" s="124" t="str">
        <f t="shared" si="3"/>
        <v>Min</v>
      </c>
      <c r="F116" s="16" t="s">
        <v>53</v>
      </c>
      <c r="G116" s="109" t="str">
        <f t="array" ref="G116">IFNA(XLOOKUP(S116,'⚙️ Pengaturan'!$H$5:$H371,'⚙️ Pengaturan'!$I$5:$I371),"")</f>
        <v>TIM Y</v>
      </c>
      <c r="H116" s="109" t="s">
        <v>427</v>
      </c>
      <c r="I116" s="125" t="str">
        <f t="array" ref="I116">ifna(xlookup($H116,'🙎‍♂️ Pasien'!$G$7:$G371,'🙎‍♂️ Pasien'!$H$7:$H371),"")</f>
        <v>A9424099103</v>
      </c>
      <c r="J116" s="125" t="str">
        <f t="array" ref="J116">ifna(xlookup($H116,'🙎‍♂️ Pasien'!$G$7:$G371,'🙎‍♂️ Pasien'!$L$7:$L371),"")</f>
        <v>LAKI-LAKI</v>
      </c>
      <c r="K116" s="125">
        <f t="array" ref="K116">ifna(xlookup($H116,'🙎‍♂️ Pasien'!$G$7:$G371,'🙎‍♂️ Pasien'!$I$7:$I371),"")</f>
        <v>32</v>
      </c>
      <c r="L116" s="125" t="str">
        <f t="array" ref="L116">IFNA(xlookup(H116,'🙎‍♂️ Pasien'!$G$5:$G371,'🙎‍♂️ Pasien'!$J$5:$J371),"")</f>
        <v>25-34 tahun</v>
      </c>
      <c r="M116" s="125" t="str">
        <f t="array" ref="M116">IFNA(xlookup(H116,'🙎‍♂️ Pasien'!$G$5:$G371,'🙎‍♂️ Pasien'!$S$5:$S371),"")</f>
        <v>SWASTA</v>
      </c>
      <c r="N116" s="125" t="str">
        <f t="array" ref="N116">IFNA(XLOOKUP($H116,'🙎‍♂️ Pasien'!$G$7:$G371,'🙎‍♂️ Pasien'!$T$7:$T371),"")</f>
        <v>SAKIT PINGGANG</v>
      </c>
      <c r="O116" s="16" t="s">
        <v>885</v>
      </c>
      <c r="P116" s="16" t="s">
        <v>869</v>
      </c>
      <c r="Q116" s="16" t="s">
        <v>28</v>
      </c>
      <c r="R116" s="16" t="s">
        <v>86</v>
      </c>
      <c r="S116" s="16" t="s">
        <v>56</v>
      </c>
      <c r="T116" s="16" t="s">
        <v>834</v>
      </c>
      <c r="U116" s="109" t="s">
        <v>920</v>
      </c>
      <c r="V116" s="126"/>
      <c r="W116" s="109"/>
      <c r="X116" s="109" t="str">
        <f t="array" ref="X116">IF(H116="","",XLOOKUP(H116,CATATANPELAYANAN[[#ALL],[NAMA PASIEN]],CATATANPELAYANAN[[#ALL],[LAYANAN]],"TIDAK CLOSING",0,-1))</f>
        <v>TERAPI AWAL</v>
      </c>
      <c r="Y116" s="109" t="str">
        <f t="shared" si="4"/>
        <v>TIDAK CLOSING</v>
      </c>
      <c r="Z116" s="127"/>
    </row>
    <row r="117" ht="22.5" customHeight="1">
      <c r="A117" s="122"/>
      <c r="B117" s="123">
        <v>45963.0</v>
      </c>
      <c r="C117" s="124" t="str">
        <f t="shared" si="1"/>
        <v>2025</v>
      </c>
      <c r="D117" s="124" t="str">
        <f t="shared" si="2"/>
        <v>11 Nov</v>
      </c>
      <c r="E117" s="124" t="str">
        <f t="shared" si="3"/>
        <v>Min</v>
      </c>
      <c r="F117" s="16" t="s">
        <v>53</v>
      </c>
      <c r="G117" s="109" t="str">
        <f t="array" ref="G117">IFNA(XLOOKUP(S117,'⚙️ Pengaturan'!$H$5:$H371,'⚙️ Pengaturan'!$I$5:$I371),"")</f>
        <v>TIM A</v>
      </c>
      <c r="H117" s="109" t="s">
        <v>484</v>
      </c>
      <c r="I117" s="125" t="str">
        <f t="array" ref="I117">ifna(xlookup($H117,'🙎‍♂️ Pasien'!$G$7:$G371,'🙎‍♂️ Pasien'!$H$7:$H371),"")</f>
        <v>T9925112700</v>
      </c>
      <c r="J117" s="125" t="str">
        <f t="array" ref="J117">ifna(xlookup($H117,'🙎‍♂️ Pasien'!$G$7:$G371,'🙎‍♂️ Pasien'!$L$7:$L371),"")</f>
        <v>PEREMPUAN</v>
      </c>
      <c r="K117" s="125">
        <f t="array" ref="K117">ifna(xlookup($H117,'🙎‍♂️ Pasien'!$G$7:$G371,'🙎‍♂️ Pasien'!$I$7:$I371),"")</f>
        <v>27</v>
      </c>
      <c r="L117" s="125" t="str">
        <f t="array" ref="L117">IFNA(xlookup(H117,'🙎‍♂️ Pasien'!$G$5:$G371,'🙎‍♂️ Pasien'!$J$5:$J371),"")</f>
        <v>25-34 tahun</v>
      </c>
      <c r="M117" s="125" t="str">
        <f t="array" ref="M117">IFNA(xlookup(H117,'🙎‍♂️ Pasien'!$G$5:$G371,'🙎‍♂️ Pasien'!$S$5:$S371),"")</f>
        <v>PNS</v>
      </c>
      <c r="N117" s="125" t="str">
        <f t="array" ref="N117">IFNA(XLOOKUP($H117,'🙎‍♂️ Pasien'!$G$7:$G371,'🙎‍♂️ Pasien'!$T$7:$T371),"")</f>
        <v>LENGAN DAN TANGAN SEBELAH KIRI TERASA SAKIT GARA2 PERNAH JATUH DARI MOTOR DI TAHUN 2021, SAMPAI SEKARANG SERING KAMBUH2 SAKITNYA</v>
      </c>
      <c r="O117" s="16" t="s">
        <v>843</v>
      </c>
      <c r="P117" s="16" t="s">
        <v>839</v>
      </c>
      <c r="Q117" s="16" t="s">
        <v>29</v>
      </c>
      <c r="R117" s="16" t="s">
        <v>86</v>
      </c>
      <c r="S117" s="16" t="s">
        <v>62</v>
      </c>
      <c r="T117" s="16" t="s">
        <v>827</v>
      </c>
      <c r="U117" s="109" t="s">
        <v>959</v>
      </c>
      <c r="V117" s="126"/>
      <c r="W117" s="109"/>
      <c r="X117" s="109" t="str">
        <f t="array" ref="X117">IF(H117="","",XLOOKUP(H117,CATATANPELAYANAN[[#ALL],[NAMA PASIEN]],CATATANPELAYANAN[[#ALL],[LAYANAN]],"TIDAK CLOSING",0,-1))</f>
        <v>SESI TERAPI</v>
      </c>
      <c r="Y117" s="109" t="str">
        <f t="shared" si="4"/>
        <v>SESI</v>
      </c>
      <c r="Z117" s="127"/>
    </row>
    <row r="118" ht="22.5" customHeight="1">
      <c r="A118" s="122"/>
      <c r="B118" s="123">
        <v>45963.0</v>
      </c>
      <c r="C118" s="124" t="str">
        <f t="shared" si="1"/>
        <v>2025</v>
      </c>
      <c r="D118" s="124" t="str">
        <f t="shared" si="2"/>
        <v>11 Nov</v>
      </c>
      <c r="E118" s="124" t="str">
        <f t="shared" si="3"/>
        <v>Min</v>
      </c>
      <c r="F118" s="16" t="s">
        <v>53</v>
      </c>
      <c r="G118" s="109" t="str">
        <f t="array" ref="G118">IFNA(XLOOKUP(S118,'⚙️ Pengaturan'!$H$5:$H371,'⚙️ Pengaturan'!$I$5:$I371),"")</f>
        <v>MANAJEMEN</v>
      </c>
      <c r="H118" s="109" t="s">
        <v>428</v>
      </c>
      <c r="I118" s="125" t="str">
        <f t="array" ref="I118">ifna(xlookup($H118,'🙎‍♂️ Pasien'!$G$7:$G371,'🙎‍♂️ Pasien'!$H$7:$H371),"")</f>
        <v>N8325117007</v>
      </c>
      <c r="J118" s="125" t="str">
        <f t="array" ref="J118">ifna(xlookup($H118,'🙎‍♂️ Pasien'!$G$7:$G371,'🙎‍♂️ Pasien'!$L$7:$L371),"")</f>
        <v>LAKI-LAKI</v>
      </c>
      <c r="K118" s="125">
        <f t="array" ref="K118">ifna(xlookup($H118,'🙎‍♂️ Pasien'!$G$7:$G371,'🙎‍♂️ Pasien'!$I$7:$I371),"")</f>
        <v>42</v>
      </c>
      <c r="L118" s="125" t="str">
        <f t="array" ref="L118">IFNA(xlookup(H118,'🙎‍♂️ Pasien'!$G$5:$G371,'🙎‍♂️ Pasien'!$J$5:$J371),"")</f>
        <v>35-44 tahun</v>
      </c>
      <c r="M118" s="125" t="str">
        <f t="array" ref="M118">IFNA(xlookup(H118,'🙎‍♂️ Pasien'!$G$5:$G371,'🙎‍♂️ Pasien'!$S$5:$S371),"")</f>
        <v>SWASTA</v>
      </c>
      <c r="N118" s="125" t="str">
        <f t="array" ref="N118">IFNA(XLOOKUP($H118,'🙎‍♂️ Pasien'!$G$7:$G371,'🙎‍♂️ Pasien'!$T$7:$T371),"")</f>
        <v>SAKIT PINGGANG</v>
      </c>
      <c r="O118" s="16" t="s">
        <v>960</v>
      </c>
      <c r="P118" s="16" t="s">
        <v>826</v>
      </c>
      <c r="Q118" s="16" t="s">
        <v>29</v>
      </c>
      <c r="R118" s="16" t="s">
        <v>86</v>
      </c>
      <c r="S118" s="16" t="s">
        <v>101</v>
      </c>
      <c r="T118" s="16" t="s">
        <v>834</v>
      </c>
      <c r="U118" s="109" t="s">
        <v>576</v>
      </c>
      <c r="V118" s="126"/>
      <c r="W118" s="109"/>
      <c r="X118" s="109" t="str">
        <f t="array" ref="X118">IF(H118="","",XLOOKUP(H118,CATATANPELAYANAN[[#ALL],[NAMA PASIEN]],CATATANPELAYANAN[[#ALL],[LAYANAN]],"TIDAK CLOSING",0,-1))</f>
        <v>TERAPI AWAL</v>
      </c>
      <c r="Y118" s="109" t="str">
        <f t="shared" si="4"/>
        <v>TIDAK CLOSING</v>
      </c>
      <c r="Z118" s="127"/>
    </row>
    <row r="119" ht="22.5" customHeight="1">
      <c r="A119" s="122"/>
      <c r="B119" s="123">
        <v>45963.0</v>
      </c>
      <c r="C119" s="124" t="str">
        <f t="shared" si="1"/>
        <v>2025</v>
      </c>
      <c r="D119" s="124" t="str">
        <f t="shared" si="2"/>
        <v>11 Nov</v>
      </c>
      <c r="E119" s="124" t="str">
        <f t="shared" si="3"/>
        <v>Min</v>
      </c>
      <c r="F119" s="16" t="s">
        <v>53</v>
      </c>
      <c r="G119" s="109" t="str">
        <f t="array" ref="G119">IFNA(XLOOKUP(S119,'⚙️ Pengaturan'!$H$5:$H371,'⚙️ Pengaturan'!$I$5:$I371),"")</f>
        <v>TIM Y</v>
      </c>
      <c r="H119" s="109" t="s">
        <v>961</v>
      </c>
      <c r="I119" s="125" t="str">
        <f t="array" ref="I119">ifna(xlookup($H119,'🙎‍♂️ Pasien'!$G$7:$G371,'🙎‍♂️ Pasien'!$H$7:$H371),"")</f>
        <v>T1125116231</v>
      </c>
      <c r="J119" s="125" t="str">
        <f t="array" ref="J119">ifna(xlookup($H119,'🙎‍♂️ Pasien'!$G$7:$G371,'🙎‍♂️ Pasien'!$L$7:$L371),"")</f>
        <v>LAKI-LAKI</v>
      </c>
      <c r="K119" s="125">
        <f t="array" ref="K119">ifna(xlookup($H119,'🙎‍♂️ Pasien'!$G$7:$G371,'🙎‍♂️ Pasien'!$I$7:$I371),"")</f>
        <v>15</v>
      </c>
      <c r="L119" s="125" t="str">
        <f t="array" ref="L119">IFNA(xlookup(H119,'🙎‍♂️ Pasien'!$G$5:$G371,'🙎‍♂️ Pasien'!$J$5:$J371),"")</f>
        <v>&lt; 18 tahun</v>
      </c>
      <c r="M119" s="125" t="str">
        <f t="array" ref="M119">IFNA(xlookup(H119,'🙎‍♂️ Pasien'!$G$5:$G371,'🙎‍♂️ Pasien'!$S$5:$S371),"")</f>
        <v>BELUM ADA</v>
      </c>
      <c r="N119" s="125" t="str">
        <f t="array" ref="N119">IFNA(XLOOKUP($H119,'🙎‍♂️ Pasien'!$G$7:$G371,'🙎‍♂️ Pasien'!$T$7:$T371),"")</f>
        <v>LUTUT SAKIT</v>
      </c>
      <c r="O119" s="16" t="s">
        <v>854</v>
      </c>
      <c r="P119" s="16" t="s">
        <v>836</v>
      </c>
      <c r="Q119" s="16" t="s">
        <v>29</v>
      </c>
      <c r="R119" s="16" t="s">
        <v>86</v>
      </c>
      <c r="S119" s="16" t="s">
        <v>56</v>
      </c>
      <c r="T119" s="16" t="s">
        <v>834</v>
      </c>
      <c r="U119" s="109" t="s">
        <v>962</v>
      </c>
      <c r="V119" s="126"/>
      <c r="W119" s="109"/>
      <c r="X119" s="109" t="str">
        <f t="array" ref="X119">IF(H119="","",XLOOKUP(H119,CATATANPELAYANAN[[#ALL],[NAMA PASIEN]],CATATANPELAYANAN[[#ALL],[LAYANAN]],"TIDAK CLOSING",0,-1))</f>
        <v>TIDAK CLOSING</v>
      </c>
      <c r="Y119" s="109" t="str">
        <f t="shared" si="4"/>
        <v>TIDAK CLOSING</v>
      </c>
      <c r="Z119" s="127"/>
    </row>
    <row r="120" ht="22.5" customHeight="1">
      <c r="A120" s="122"/>
      <c r="B120" s="123">
        <v>45963.0</v>
      </c>
      <c r="C120" s="124" t="str">
        <f t="shared" si="1"/>
        <v>2025</v>
      </c>
      <c r="D120" s="124" t="str">
        <f t="shared" si="2"/>
        <v>11 Nov</v>
      </c>
      <c r="E120" s="124" t="str">
        <f t="shared" si="3"/>
        <v>Min</v>
      </c>
      <c r="F120" s="16" t="s">
        <v>53</v>
      </c>
      <c r="G120" s="109" t="str">
        <f t="array" ref="G120">IFNA(XLOOKUP(S120,'⚙️ Pengaturan'!$H$5:$H371,'⚙️ Pengaturan'!$I$5:$I371),"")</f>
        <v>TIM A</v>
      </c>
      <c r="H120" s="109" t="s">
        <v>429</v>
      </c>
      <c r="I120" s="125" t="str">
        <f t="array" ref="I120">ifna(xlookup($H120,'🙎‍♂️ Pasien'!$G$7:$G371,'🙎‍♂️ Pasien'!$H$7:$H371),"")</f>
        <v>A9925114514</v>
      </c>
      <c r="J120" s="125" t="str">
        <f t="array" ref="J120">ifna(xlookup($H120,'🙎‍♂️ Pasien'!$G$7:$G371,'🙎‍♂️ Pasien'!$L$7:$L371),"")</f>
        <v>PEREMPUAN</v>
      </c>
      <c r="K120" s="125">
        <f t="array" ref="K120">ifna(xlookup($H120,'🙎‍♂️ Pasien'!$G$7:$G371,'🙎‍♂️ Pasien'!$I$7:$I371),"")</f>
        <v>26</v>
      </c>
      <c r="L120" s="125" t="str">
        <f t="array" ref="L120">IFNA(xlookup(H120,'🙎‍♂️ Pasien'!$G$5:$G371,'🙎‍♂️ Pasien'!$J$5:$J371),"")</f>
        <v>25-34 tahun</v>
      </c>
      <c r="M120" s="125" t="str">
        <f t="array" ref="M120">IFNA(xlookup(H120,'🙎‍♂️ Pasien'!$G$5:$G371,'🙎‍♂️ Pasien'!$S$5:$S371),"")</f>
        <v>PNS</v>
      </c>
      <c r="N120" s="125" t="str">
        <f t="array" ref="N120">IFNA(XLOOKUP($H120,'🙎‍♂️ Pasien'!$G$7:$G371,'🙎‍♂️ Pasien'!$T$7:$T371),"")</f>
        <v>JARI MANIS KANAN SAKIT</v>
      </c>
      <c r="O120" s="16" t="s">
        <v>927</v>
      </c>
      <c r="P120" s="16" t="s">
        <v>866</v>
      </c>
      <c r="Q120" s="16" t="s">
        <v>29</v>
      </c>
      <c r="R120" s="16" t="s">
        <v>86</v>
      </c>
      <c r="S120" s="16" t="s">
        <v>79</v>
      </c>
      <c r="T120" s="16" t="s">
        <v>834</v>
      </c>
      <c r="U120" s="109" t="s">
        <v>831</v>
      </c>
      <c r="V120" s="126"/>
      <c r="W120" s="109"/>
      <c r="X120" s="109" t="str">
        <f t="array" ref="X120">IF(H120="","",XLOOKUP(H120,CATATANPELAYANAN[[#ALL],[NAMA PASIEN]],CATATANPELAYANAN[[#ALL],[LAYANAN]],"TIDAK CLOSING",0,-1))</f>
        <v>TERAPI AWAL</v>
      </c>
      <c r="Y120" s="109" t="str">
        <f t="shared" si="4"/>
        <v>TIDAK CLOSING</v>
      </c>
      <c r="Z120" s="127"/>
    </row>
    <row r="121" ht="22.5" customHeight="1">
      <c r="A121" s="122"/>
      <c r="B121" s="123">
        <v>45963.0</v>
      </c>
      <c r="C121" s="124" t="s">
        <v>963</v>
      </c>
      <c r="D121" s="124" t="s">
        <v>24</v>
      </c>
      <c r="E121" s="124" t="s">
        <v>964</v>
      </c>
      <c r="F121" s="16" t="s">
        <v>85</v>
      </c>
      <c r="G121" s="109" t="s">
        <v>965</v>
      </c>
      <c r="H121" s="109" t="s">
        <v>433</v>
      </c>
      <c r="I121" s="125" t="s">
        <v>966</v>
      </c>
      <c r="J121" s="125" t="s">
        <v>967</v>
      </c>
      <c r="K121" s="125">
        <v>27.0</v>
      </c>
      <c r="L121" s="125" t="s">
        <v>889</v>
      </c>
      <c r="M121" s="125" t="s">
        <v>968</v>
      </c>
      <c r="N121" s="125" t="s">
        <v>969</v>
      </c>
      <c r="O121" s="16" t="s">
        <v>928</v>
      </c>
      <c r="P121" s="16" t="s">
        <v>836</v>
      </c>
      <c r="Q121" s="16" t="s">
        <v>27</v>
      </c>
      <c r="R121" s="16" t="s">
        <v>54</v>
      </c>
      <c r="S121" s="16" t="s">
        <v>72</v>
      </c>
      <c r="T121" s="16" t="s">
        <v>827</v>
      </c>
      <c r="U121" s="109"/>
      <c r="V121" s="126"/>
      <c r="W121" s="109"/>
      <c r="X121" s="109" t="str">
        <f t="array" ref="X121">IF(H121="","",XLOOKUP(H121,CATATANPELAYANAN[[#ALL],[NAMA PASIEN]],CATATANPELAYANAN[[#ALL],[LAYANAN]],"TIDAK CLOSING",0,-1))</f>
        <v>SESI TERAPI</v>
      </c>
      <c r="Y121" s="109" t="str">
        <f t="shared" si="4"/>
        <v>SESI</v>
      </c>
      <c r="Z121" s="127"/>
    </row>
    <row r="122" ht="22.5" customHeight="1">
      <c r="A122" s="122"/>
      <c r="B122" s="123">
        <v>45963.0</v>
      </c>
      <c r="C122" s="124" t="s">
        <v>963</v>
      </c>
      <c r="D122" s="124" t="s">
        <v>24</v>
      </c>
      <c r="E122" s="124" t="s">
        <v>964</v>
      </c>
      <c r="F122" s="16" t="s">
        <v>85</v>
      </c>
      <c r="G122" s="109" t="str">
        <f t="array" ref="G122">IFNA(XLOOKUP(S122,'⚙️ Pengaturan'!$H$5:$H371,'⚙️ Pengaturan'!$I$5:$I371),"")</f>
        <v>TIM A</v>
      </c>
      <c r="H122" s="109" t="s">
        <v>970</v>
      </c>
      <c r="I122" s="125" t="str">
        <f t="array" ref="I122">ifna(xlookup($H122,'🙎‍♂️ Pasien'!$G$7:$G371,'🙎‍♂️ Pasien'!$H$7:$H371),"")</f>
        <v>H9025119334</v>
      </c>
      <c r="J122" s="125" t="str">
        <f t="array" ref="J122">ifna(xlookup($H122,'🙎‍♂️ Pasien'!$G$7:$G371,'🙎‍♂️ Pasien'!$L$7:$L371),"")</f>
        <v>LAKI-LAKI</v>
      </c>
      <c r="K122" s="125">
        <f t="array" ref="K122">ifna(xlookup($H122,'🙎‍♂️ Pasien'!$G$7:$G371,'🙎‍♂️ Pasien'!$I$7:$I371),"")</f>
        <v>36</v>
      </c>
      <c r="L122" s="125" t="str">
        <f t="array" ref="L122">IFNA(xlookup(H122,'🙎‍♂️ Pasien'!$G$5:$G371,'🙎‍♂️ Pasien'!$J$5:$J371),"")</f>
        <v>35-44 tahun</v>
      </c>
      <c r="M122" s="125" t="str">
        <f t="array" ref="M122">IFNA(xlookup(H122,'🙎‍♂️ Pasien'!$G$5:$G371,'🙎‍♂️ Pasien'!$S$5:$S371),"")</f>
        <v>DOSEN</v>
      </c>
      <c r="N122" s="125" t="str">
        <f t="array" ref="N122">IFNA(XLOOKUP($H122,'🙎‍♂️ Pasien'!$G$7:$G371,'🙎‍♂️ Pasien'!$T$7:$T371),"")</f>
        <v>NYERI PINGGANG</v>
      </c>
      <c r="O122" s="16" t="s">
        <v>825</v>
      </c>
      <c r="P122" s="16" t="s">
        <v>826</v>
      </c>
      <c r="Q122" s="16" t="s">
        <v>29</v>
      </c>
      <c r="R122" s="16" t="s">
        <v>54</v>
      </c>
      <c r="S122" s="16" t="s">
        <v>72</v>
      </c>
      <c r="T122" s="16" t="s">
        <v>834</v>
      </c>
      <c r="U122" s="109" t="s">
        <v>971</v>
      </c>
      <c r="V122" s="126"/>
      <c r="W122" s="109"/>
      <c r="X122" s="109" t="str">
        <f t="array" ref="X122">IF(H122="","",XLOOKUP(H122,CATATANPELAYANAN[[#ALL],[NAMA PASIEN]],CATATANPELAYANAN[[#ALL],[LAYANAN]],"TIDAK CLOSING",0,-1))</f>
        <v>TIDAK CLOSING</v>
      </c>
      <c r="Y122" s="109" t="str">
        <f t="shared" si="4"/>
        <v>TIDAK CLOSING</v>
      </c>
      <c r="Z122" s="127"/>
    </row>
    <row r="123" ht="22.5" customHeight="1">
      <c r="A123" s="122"/>
      <c r="B123" s="123">
        <v>45963.0</v>
      </c>
      <c r="C123" s="124" t="s">
        <v>963</v>
      </c>
      <c r="D123" s="124" t="s">
        <v>24</v>
      </c>
      <c r="E123" s="124" t="s">
        <v>964</v>
      </c>
      <c r="F123" s="16" t="s">
        <v>85</v>
      </c>
      <c r="G123" s="109" t="str">
        <f t="array" ref="G123">IFNA(XLOOKUP(S123,'⚙️ Pengaturan'!$H$5:$H371,'⚙️ Pengaturan'!$I$5:$I371),"")</f>
        <v>TIM Y</v>
      </c>
      <c r="H123" s="109" t="s">
        <v>434</v>
      </c>
      <c r="I123" s="125" t="str">
        <f t="array" ref="I123">ifna(xlookup($H123,'🙎‍♂️ Pasien'!$G$7:$G371,'🙎‍♂️ Pasien'!$H$7:$H371),"")</f>
        <v>A9326025869</v>
      </c>
      <c r="J123" s="125" t="str">
        <f t="array" ref="J123">ifna(xlookup($H123,'🙎‍♂️ Pasien'!$G$7:$G371,'🙎‍♂️ Pasien'!$L$7:$L371),"")</f>
        <v>LAKI-LAKI</v>
      </c>
      <c r="K123" s="125">
        <f t="array" ref="K123">ifna(xlookup($H123,'🙎‍♂️ Pasien'!$G$7:$G371,'🙎‍♂️ Pasien'!$I$7:$I371),"")</f>
        <v>32</v>
      </c>
      <c r="L123" s="125" t="str">
        <f t="array" ref="L123">IFNA(xlookup(H123,'🙎‍♂️ Pasien'!$G$5:$G371,'🙎‍♂️ Pasien'!$J$5:$J371),"")</f>
        <v>25-34 tahun</v>
      </c>
      <c r="M123" s="125" t="str">
        <f t="array" ref="M123">IFNA(xlookup(H123,'🙎‍♂️ Pasien'!$G$5:$G371,'🙎‍♂️ Pasien'!$S$5:$S371),"")</f>
        <v>SALES</v>
      </c>
      <c r="N123" s="125" t="str">
        <f t="array" ref="N123">IFNA(XLOOKUP($H123,'🙎‍♂️ Pasien'!$G$7:$G371,'🙎‍♂️ Pasien'!$T$7:$T371),"")</f>
        <v>TENDON ACHILES</v>
      </c>
      <c r="O123" s="16" t="s">
        <v>972</v>
      </c>
      <c r="P123" s="16" t="s">
        <v>833</v>
      </c>
      <c r="Q123" s="16" t="s">
        <v>29</v>
      </c>
      <c r="R123" s="16" t="s">
        <v>54</v>
      </c>
      <c r="S123" s="16" t="s">
        <v>107</v>
      </c>
      <c r="T123" s="16" t="s">
        <v>827</v>
      </c>
      <c r="U123" s="109"/>
      <c r="V123" s="126"/>
      <c r="W123" s="109"/>
      <c r="X123" s="109" t="str">
        <f t="array" ref="X123">IF(H123="","",XLOOKUP(H123,CATATANPELAYANAN[[#ALL],[NAMA PASIEN]],CATATANPELAYANAN[[#ALL],[LAYANAN]],"TIDAK CLOSING",0,-1))</f>
        <v>SESI TERAPI</v>
      </c>
      <c r="Y123" s="109" t="str">
        <f t="shared" si="4"/>
        <v>SESI</v>
      </c>
      <c r="Z123" s="127"/>
    </row>
    <row r="124" ht="22.5" customHeight="1">
      <c r="A124" s="122"/>
      <c r="B124" s="123">
        <v>45963.0</v>
      </c>
      <c r="C124" s="124" t="s">
        <v>963</v>
      </c>
      <c r="D124" s="124" t="s">
        <v>24</v>
      </c>
      <c r="E124" s="124" t="s">
        <v>964</v>
      </c>
      <c r="F124" s="16" t="s">
        <v>85</v>
      </c>
      <c r="G124" s="109" t="str">
        <f t="array" ref="G124">IFNA(XLOOKUP(S124,'⚙️ Pengaturan'!$H$5:$H371,'⚙️ Pengaturan'!$I$5:$I371),"")</f>
        <v>TIM Y</v>
      </c>
      <c r="H124" s="109" t="s">
        <v>435</v>
      </c>
      <c r="I124" s="125" t="str">
        <f t="array" ref="I124">ifna(xlookup($H124,'🙎‍♂️ Pasien'!$G$7:$G371,'🙎‍♂️ Pasien'!$H$7:$H371),"")</f>
        <v>L6524043399</v>
      </c>
      <c r="J124" s="125" t="str">
        <f t="array" ref="J124">ifna(xlookup($H124,'🙎‍♂️ Pasien'!$G$7:$G371,'🙎‍♂️ Pasien'!$L$7:$L371),"")</f>
        <v>PEREMPUAN</v>
      </c>
      <c r="K124" s="125">
        <f t="array" ref="K124">ifna(xlookup($H124,'🙎‍♂️ Pasien'!$G$7:$G371,'🙎‍♂️ Pasien'!$I$7:$I371),"")</f>
        <v>60</v>
      </c>
      <c r="L124" s="125" t="str">
        <f t="array" ref="L124">IFNA(xlookup(H124,'🙎‍♂️ Pasien'!$G$5:$G371,'🙎‍♂️ Pasien'!$J$5:$J371),"")</f>
        <v>&gt; 44 tahun</v>
      </c>
      <c r="M124" s="125" t="str">
        <f t="array" ref="M124">IFNA(xlookup(H124,'🙎‍♂️ Pasien'!$G$5:$G371,'🙎‍♂️ Pasien'!$S$5:$S371),"")</f>
        <v>RUMAH TANGGA</v>
      </c>
      <c r="N124" s="125" t="str">
        <f t="array" ref="N124">IFNA(XLOOKUP($H124,'🙎‍♂️ Pasien'!$G$7:$G371,'🙎‍♂️ Pasien'!$T$7:$T371),"")</f>
        <v>Sakit dibagian</v>
      </c>
      <c r="O124" s="16" t="s">
        <v>825</v>
      </c>
      <c r="P124" s="16" t="s">
        <v>826</v>
      </c>
      <c r="Q124" s="16" t="s">
        <v>28</v>
      </c>
      <c r="R124" s="16" t="s">
        <v>54</v>
      </c>
      <c r="S124" s="16" t="s">
        <v>107</v>
      </c>
      <c r="T124" s="16" t="s">
        <v>830</v>
      </c>
      <c r="U124" s="109"/>
      <c r="V124" s="126"/>
      <c r="W124" s="109"/>
      <c r="X124" s="109" t="str">
        <f t="array" ref="X124">IF(H124="","",XLOOKUP(H124,CATATANPELAYANAN[[#ALL],[NAMA PASIEN]],CATATANPELAYANAN[[#ALL],[LAYANAN]],"TIDAK CLOSING",0,-1))</f>
        <v>PAKET TERAPI</v>
      </c>
      <c r="Y124" s="109" t="str">
        <f t="shared" si="4"/>
        <v>PAKET</v>
      </c>
      <c r="Z124" s="127"/>
    </row>
    <row r="125" ht="22.5" customHeight="1">
      <c r="A125" s="122"/>
      <c r="B125" s="123">
        <v>45963.0</v>
      </c>
      <c r="C125" s="124" t="s">
        <v>963</v>
      </c>
      <c r="D125" s="124" t="s">
        <v>24</v>
      </c>
      <c r="E125" s="124" t="s">
        <v>964</v>
      </c>
      <c r="F125" s="16" t="s">
        <v>85</v>
      </c>
      <c r="G125" s="109" t="str">
        <f t="array" ref="G125">IFNA(XLOOKUP(S125,'⚙️ Pengaturan'!$H$5:$H371,'⚙️ Pengaturan'!$I$5:$I371),"")</f>
        <v>TIM Y</v>
      </c>
      <c r="H125" s="109" t="s">
        <v>436</v>
      </c>
      <c r="I125" s="125" t="str">
        <f t="array" ref="I125">ifna(xlookup($H125,'🙎‍♂️ Pasien'!$G$7:$G371,'🙎‍♂️ Pasien'!$H$7:$H371),"")</f>
        <v>A9525119187</v>
      </c>
      <c r="J125" s="125" t="str">
        <f t="array" ref="J125">ifna(xlookup($H125,'🙎‍♂️ Pasien'!$G$7:$G371,'🙎‍♂️ Pasien'!$L$7:$L371),"")</f>
        <v>PEREMPUAN</v>
      </c>
      <c r="K125" s="125">
        <f t="array" ref="K125">ifna(xlookup($H125,'🙎‍♂️ Pasien'!$G$7:$G371,'🙎‍♂️ Pasien'!$I$7:$I371),"")</f>
        <v>31</v>
      </c>
      <c r="L125" s="125" t="str">
        <f t="array" ref="L125">IFNA(xlookup(H125,'🙎‍♂️ Pasien'!$G$5:$G371,'🙎‍♂️ Pasien'!$J$5:$J371),"")</f>
        <v>25-34 tahun</v>
      </c>
      <c r="M125" s="125" t="str">
        <f t="array" ref="M125">IFNA(xlookup(H125,'🙎‍♂️ Pasien'!$G$5:$G371,'🙎‍♂️ Pasien'!$S$5:$S371),"")</f>
        <v>IRT</v>
      </c>
      <c r="N125" s="125" t="str">
        <f t="array" ref="N125">IFNA(XLOOKUP($H125,'🙎‍♂️ Pasien'!$G$7:$G371,'🙎‍♂️ Pasien'!$T$7:$T371),"")</f>
        <v>KEBAS TELAPAK KAKI DN TANGAN</v>
      </c>
      <c r="O125" s="16" t="s">
        <v>853</v>
      </c>
      <c r="P125" s="16" t="s">
        <v>826</v>
      </c>
      <c r="Q125" s="16" t="s">
        <v>27</v>
      </c>
      <c r="R125" s="16" t="s">
        <v>54</v>
      </c>
      <c r="S125" s="16" t="s">
        <v>107</v>
      </c>
      <c r="T125" s="16" t="s">
        <v>827</v>
      </c>
      <c r="U125" s="109"/>
      <c r="V125" s="126"/>
      <c r="W125" s="109"/>
      <c r="X125" s="109" t="str">
        <f t="array" ref="X125">IF(H125="","",XLOOKUP(H125,CATATANPELAYANAN[[#ALL],[NAMA PASIEN]],CATATANPELAYANAN[[#ALL],[LAYANAN]],"TIDAK CLOSING",0,-1))</f>
        <v>SESI TERAPI</v>
      </c>
      <c r="Y125" s="109" t="str">
        <f t="shared" si="4"/>
        <v>SESI</v>
      </c>
      <c r="Z125" s="127"/>
    </row>
    <row r="126" ht="22.5" customHeight="1">
      <c r="A126" s="122"/>
      <c r="B126" s="123">
        <v>45964.0</v>
      </c>
      <c r="C126" s="124" t="str">
        <f>IF(B126="","",text(B126,"yyyy"))</f>
        <v>2025</v>
      </c>
      <c r="D126" s="124" t="str">
        <f>IF(B126="","",text(B126,"mm")&amp;" "&amp;text(B126,"mmm"))</f>
        <v>11 Nov</v>
      </c>
      <c r="E126" s="124" t="str">
        <f>IF(B126="","",text(B126,"ddd"))</f>
        <v>Sen</v>
      </c>
      <c r="F126" s="16" t="s">
        <v>53</v>
      </c>
      <c r="G126" s="109" t="str">
        <f t="array" ref="G126">IFNA(XLOOKUP(S126,'⚙️ Pengaturan'!$H$5:$H371,'⚙️ Pengaturan'!$I$5:$I371),"")</f>
        <v>TIM A</v>
      </c>
      <c r="H126" s="109" t="s">
        <v>437</v>
      </c>
      <c r="I126" s="125" t="str">
        <f t="array" ref="I126">ifna(xlookup($H126,'🙎‍♂️ Pasien'!$G$7:$G371,'🙎‍♂️ Pasien'!$H$7:$H371),"")</f>
        <v>B0025116716</v>
      </c>
      <c r="J126" s="125" t="str">
        <f t="array" ref="J126">ifna(xlookup($H126,'🙎‍♂️ Pasien'!$G$7:$G371,'🙎‍♂️ Pasien'!$L$7:$L371),"")</f>
        <v>LAKI-LAKI</v>
      </c>
      <c r="K126" s="125">
        <f t="array" ref="K126">ifna(xlookup($H126,'🙎‍♂️ Pasien'!$G$7:$G371,'🙎‍♂️ Pasien'!$I$7:$I371),"")</f>
        <v>25</v>
      </c>
      <c r="L126" s="125" t="str">
        <f t="array" ref="L126">IFNA(xlookup(H126,'🙎‍♂️ Pasien'!$G$5:$G371,'🙎‍♂️ Pasien'!$J$5:$J371),"")</f>
        <v>25-34 tahun</v>
      </c>
      <c r="M126" s="125" t="str">
        <f t="array" ref="M126">IFNA(xlookup(H126,'🙎‍♂️ Pasien'!$G$5:$G371,'🙎‍♂️ Pasien'!$S$5:$S371),"")</f>
        <v>PNS</v>
      </c>
      <c r="N126" s="125" t="str">
        <f t="array" ref="N126">IFNA(XLOOKUP($H126,'🙎‍♂️ Pasien'!$G$7:$G371,'🙎‍♂️ Pasien'!$T$7:$T371),"")</f>
        <v>KAKI</v>
      </c>
      <c r="O126" s="16" t="s">
        <v>947</v>
      </c>
      <c r="P126" s="16" t="s">
        <v>942</v>
      </c>
      <c r="Q126" s="16" t="s">
        <v>26</v>
      </c>
      <c r="R126" s="16" t="s">
        <v>86</v>
      </c>
      <c r="S126" s="16" t="s">
        <v>72</v>
      </c>
      <c r="T126" s="16" t="s">
        <v>834</v>
      </c>
      <c r="U126" s="109" t="s">
        <v>831</v>
      </c>
      <c r="V126" s="126"/>
      <c r="W126" s="109"/>
      <c r="X126" s="109" t="str">
        <f t="array" ref="X126">IF(H126="","",XLOOKUP(H126,CATATANPELAYANAN[[#ALL],[NAMA PASIEN]],CATATANPELAYANAN[[#ALL],[LAYANAN]],"TIDAK CLOSING",0,-1))</f>
        <v>TERAPI AWAL</v>
      </c>
      <c r="Y126" s="109" t="str">
        <f t="shared" si="4"/>
        <v>TIDAK CLOSING</v>
      </c>
      <c r="Z126" s="127"/>
    </row>
    <row r="127" ht="22.5" customHeight="1">
      <c r="A127" s="122"/>
      <c r="B127" s="123">
        <v>45964.0</v>
      </c>
      <c r="C127" s="124" t="s">
        <v>963</v>
      </c>
      <c r="D127" s="124" t="s">
        <v>24</v>
      </c>
      <c r="E127" s="124" t="s">
        <v>973</v>
      </c>
      <c r="F127" s="16" t="s">
        <v>85</v>
      </c>
      <c r="G127" s="109" t="str">
        <f t="array" ref="G127">IFNA(XLOOKUP(S127,'⚙️ Pengaturan'!$H$5:$H371,'⚙️ Pengaturan'!$I$5:$I371),"")</f>
        <v>TIM A</v>
      </c>
      <c r="H127" s="109" t="s">
        <v>442</v>
      </c>
      <c r="I127" s="125" t="str">
        <f t="array" ref="I127">ifna(xlookup($H127,'🙎‍♂️ Pasien'!$G$7:$G371,'🙎‍♂️ Pasien'!$H$7:$H371),"")</f>
        <v>M0524020310</v>
      </c>
      <c r="J127" s="125" t="str">
        <f t="array" ref="J127">ifna(xlookup($H127,'🙎‍♂️ Pasien'!$G$7:$G371,'🙎‍♂️ Pasien'!$L$7:$L371),"")</f>
        <v>LAKI-LAKI</v>
      </c>
      <c r="K127" s="125">
        <f t="array" ref="K127">ifna(xlookup($H127,'🙎‍♂️ Pasien'!$G$7:$G371,'🙎‍♂️ Pasien'!$I$7:$I371),"")</f>
        <v>20</v>
      </c>
      <c r="L127" s="125" t="str">
        <f t="array" ref="L127">IFNA(xlookup(H127,'🙎‍♂️ Pasien'!$G$5:$G371,'🙎‍♂️ Pasien'!$J$5:$J371),"")</f>
        <v>18-24 tahun</v>
      </c>
      <c r="M127" s="125" t="str">
        <f t="array" ref="M127">IFNA(xlookup(H127,'🙎‍♂️ Pasien'!$G$5:$G371,'🙎‍♂️ Pasien'!$S$5:$S371),"")</f>
        <v>PELAJAR/MAHASISWA</v>
      </c>
      <c r="N127" s="125" t="str">
        <f t="array" ref="N127">IFNA(XLOOKUP($H127,'🙎‍♂️ Pasien'!$G$7:$G371,'🙎‍♂️ Pasien'!$T$7:$T371),"")</f>
        <v>NYERI/NGILU</v>
      </c>
      <c r="O127" s="16" t="s">
        <v>935</v>
      </c>
      <c r="P127" s="16" t="s">
        <v>833</v>
      </c>
      <c r="Q127" s="16" t="s">
        <v>28</v>
      </c>
      <c r="R127" s="16" t="s">
        <v>54</v>
      </c>
      <c r="S127" s="16" t="s">
        <v>62</v>
      </c>
      <c r="T127" s="16" t="s">
        <v>830</v>
      </c>
      <c r="U127" s="109" t="s">
        <v>974</v>
      </c>
      <c r="V127" s="126"/>
      <c r="W127" s="109"/>
      <c r="X127" s="109" t="str">
        <f t="array" ref="X127">IF(H127="","",XLOOKUP(H127,CATATANPELAYANAN[[#ALL],[NAMA PASIEN]],CATATANPELAYANAN[[#ALL],[LAYANAN]],"TIDAK CLOSING",0,-1))</f>
        <v>PAKET TERAPI</v>
      </c>
      <c r="Y127" s="109" t="str">
        <f t="shared" si="4"/>
        <v>PAKET</v>
      </c>
      <c r="Z127" s="127"/>
    </row>
    <row r="128" ht="22.5" customHeight="1">
      <c r="A128" s="122"/>
      <c r="B128" s="123">
        <v>45964.0</v>
      </c>
      <c r="C128" s="124" t="s">
        <v>963</v>
      </c>
      <c r="D128" s="124" t="s">
        <v>24</v>
      </c>
      <c r="E128" s="124" t="s">
        <v>973</v>
      </c>
      <c r="F128" s="16" t="s">
        <v>85</v>
      </c>
      <c r="G128" s="109" t="str">
        <f t="array" ref="G128">IFNA(XLOOKUP(S128,'⚙️ Pengaturan'!$H$5:$H371,'⚙️ Pengaturan'!$I$5:$I371),"")</f>
        <v>TIM Y</v>
      </c>
      <c r="H128" s="109" t="s">
        <v>443</v>
      </c>
      <c r="I128" s="125" t="str">
        <f t="array" ref="I128">ifna(xlookup($H128,'🙎‍♂️ Pasien'!$G$7:$G371,'🙎‍♂️ Pasien'!$H$7:$H371),"")</f>
        <v>G9825110702</v>
      </c>
      <c r="J128" s="125" t="str">
        <f t="array" ref="J128">ifna(xlookup($H128,'🙎‍♂️ Pasien'!$G$7:$G371,'🙎‍♂️ Pasien'!$L$7:$L371),"")</f>
        <v>LAKI-LAKI</v>
      </c>
      <c r="K128" s="125">
        <f t="array" ref="K128">ifna(xlookup($H128,'🙎‍♂️ Pasien'!$G$7:$G371,'🙎‍♂️ Pasien'!$I$7:$I371),"")</f>
        <v>27</v>
      </c>
      <c r="L128" s="125" t="str">
        <f t="array" ref="L128">IFNA(xlookup(H128,'🙎‍♂️ Pasien'!$G$5:$G371,'🙎‍♂️ Pasien'!$J$5:$J371),"")</f>
        <v>25-34 tahun</v>
      </c>
      <c r="M128" s="125" t="str">
        <f t="array" ref="M128">IFNA(xlookup(H128,'🙎‍♂️ Pasien'!$G$5:$G371,'🙎‍♂️ Pasien'!$S$5:$S371),"")</f>
        <v>KARYAWAN SWASTA</v>
      </c>
      <c r="N128" s="125" t="str">
        <f t="array" ref="N128">IFNA(XLOOKUP($H128,'🙎‍♂️ Pasien'!$G$7:$G371,'🙎‍♂️ Pasien'!$T$7:$T371),"")</f>
        <v>SENGAL DAN NGILU BAGIAN BELIKAT (KIRI)</v>
      </c>
      <c r="O128" s="16" t="s">
        <v>885</v>
      </c>
      <c r="P128" s="16" t="s">
        <v>869</v>
      </c>
      <c r="Q128" s="16" t="s">
        <v>29</v>
      </c>
      <c r="R128" s="16" t="s">
        <v>54</v>
      </c>
      <c r="S128" s="16" t="s">
        <v>88</v>
      </c>
      <c r="T128" s="16" t="s">
        <v>827</v>
      </c>
      <c r="U128" s="109"/>
      <c r="V128" s="126"/>
      <c r="W128" s="109"/>
      <c r="X128" s="109" t="str">
        <f t="array" ref="X128">IF(H128="","",XLOOKUP(H128,CATATANPELAYANAN[[#ALL],[NAMA PASIEN]],CATATANPELAYANAN[[#ALL],[LAYANAN]],"TIDAK CLOSING",0,-1))</f>
        <v>SESI TERAPI</v>
      </c>
      <c r="Y128" s="109" t="str">
        <f t="shared" si="4"/>
        <v>SESI</v>
      </c>
      <c r="Z128" s="127"/>
    </row>
    <row r="129" ht="22.5" customHeight="1">
      <c r="A129" s="122"/>
      <c r="B129" s="123">
        <v>45964.0</v>
      </c>
      <c r="C129" s="124" t="s">
        <v>963</v>
      </c>
      <c r="D129" s="124" t="s">
        <v>24</v>
      </c>
      <c r="E129" s="124" t="s">
        <v>973</v>
      </c>
      <c r="F129" s="16" t="s">
        <v>85</v>
      </c>
      <c r="G129" s="109" t="str">
        <f t="array" ref="G129">IFNA(XLOOKUP(S129,'⚙️ Pengaturan'!$H$5:$H371,'⚙️ Pengaturan'!$I$5:$I371),"")</f>
        <v>TIM A</v>
      </c>
      <c r="H129" s="109" t="s">
        <v>444</v>
      </c>
      <c r="I129" s="125" t="str">
        <f t="array" ref="I129">ifna(xlookup($H129,'🙎‍♂️ Pasien'!$G$7:$G371,'🙎‍♂️ Pasien'!$H$7:$H371),"")</f>
        <v>N8525112090</v>
      </c>
      <c r="J129" s="125" t="str">
        <f t="array" ref="J129">ifna(xlookup($H129,'🙎‍♂️ Pasien'!$G$7:$G371,'🙎‍♂️ Pasien'!$L$7:$L371),"")</f>
        <v>PEREMPUAN</v>
      </c>
      <c r="K129" s="125">
        <f t="array" ref="K129">ifna(xlookup($H129,'🙎‍♂️ Pasien'!$G$7:$G371,'🙎‍♂️ Pasien'!$I$7:$I371),"")</f>
        <v>40</v>
      </c>
      <c r="L129" s="125" t="str">
        <f t="array" ref="L129">IFNA(xlookup(H129,'🙎‍♂️ Pasien'!$G$5:$G371,'🙎‍♂️ Pasien'!$J$5:$J371),"")</f>
        <v>35-44 tahun</v>
      </c>
      <c r="M129" s="125" t="str">
        <f t="array" ref="M129">IFNA(xlookup(H129,'🙎‍♂️ Pasien'!$G$5:$G371,'🙎‍♂️ Pasien'!$S$5:$S371),"")</f>
        <v>PNS</v>
      </c>
      <c r="N129" s="125" t="str">
        <f t="array" ref="N129">IFNA(XLOOKUP($H129,'🙎‍♂️ Pasien'!$G$7:$G371,'🙎‍♂️ Pasien'!$T$7:$T371),"")</f>
        <v>SAKIT DI TULANG EKOR</v>
      </c>
      <c r="O129" s="16" t="s">
        <v>894</v>
      </c>
      <c r="P129" s="16" t="s">
        <v>845</v>
      </c>
      <c r="Q129" s="16" t="s">
        <v>29</v>
      </c>
      <c r="R129" s="16" t="s">
        <v>54</v>
      </c>
      <c r="S129" s="16" t="s">
        <v>62</v>
      </c>
      <c r="T129" s="16" t="s">
        <v>830</v>
      </c>
      <c r="U129" s="109"/>
      <c r="V129" s="126"/>
      <c r="W129" s="109"/>
      <c r="X129" s="109" t="str">
        <f t="array" ref="X129">IF(H129="","",XLOOKUP(H129,CATATANPELAYANAN[[#ALL],[NAMA PASIEN]],CATATANPELAYANAN[[#ALL],[LAYANAN]],"TIDAK CLOSING",0,-1))</f>
        <v>PAKET TERAPI</v>
      </c>
      <c r="Y129" s="109" t="str">
        <f t="shared" si="4"/>
        <v>PAKET</v>
      </c>
      <c r="Z129" s="127"/>
    </row>
    <row r="130" ht="22.5" customHeight="1">
      <c r="A130" s="122"/>
      <c r="B130" s="123">
        <v>45964.0</v>
      </c>
      <c r="C130" s="124" t="s">
        <v>963</v>
      </c>
      <c r="D130" s="124" t="s">
        <v>24</v>
      </c>
      <c r="E130" s="124" t="s">
        <v>973</v>
      </c>
      <c r="F130" s="16" t="s">
        <v>85</v>
      </c>
      <c r="G130" s="109" t="str">
        <f t="array" ref="G130">IFNA(XLOOKUP(S130,'⚙️ Pengaturan'!$H$5:$H371,'⚙️ Pengaturan'!$I$5:$I371),"")</f>
        <v>TIM A</v>
      </c>
      <c r="H130" s="109" t="s">
        <v>445</v>
      </c>
      <c r="I130" s="125" t="str">
        <f t="array" ref="I130">ifna(xlookup($H130,'🙎‍♂️ Pasien'!$G$7:$G371,'🙎‍♂️ Pasien'!$H$7:$H371),"")</f>
        <v>M6925117500</v>
      </c>
      <c r="J130" s="125" t="str">
        <f t="array" ref="J130">ifna(xlookup($H130,'🙎‍♂️ Pasien'!$G$7:$G371,'🙎‍♂️ Pasien'!$L$7:$L371),"")</f>
        <v>PEREMPUAN</v>
      </c>
      <c r="K130" s="125">
        <f t="array" ref="K130">ifna(xlookup($H130,'🙎‍♂️ Pasien'!$G$7:$G371,'🙎‍♂️ Pasien'!$I$7:$I371),"")</f>
        <v>56</v>
      </c>
      <c r="L130" s="125" t="str">
        <f t="array" ref="L130">IFNA(xlookup(H130,'🙎‍♂️ Pasien'!$G$5:$G371,'🙎‍♂️ Pasien'!$J$5:$J371),"")</f>
        <v>&gt; 44 tahun</v>
      </c>
      <c r="M130" s="125" t="str">
        <f t="array" ref="M130">IFNA(xlookup(H130,'🙎‍♂️ Pasien'!$G$5:$G371,'🙎‍♂️ Pasien'!$S$5:$S371),"")</f>
        <v>IRT</v>
      </c>
      <c r="N130" s="125" t="str">
        <f t="array" ref="N130">IFNA(XLOOKUP($H130,'🙎‍♂️ Pasien'!$G$7:$G371,'🙎‍♂️ Pasien'!$T$7:$T371),"")</f>
        <v>JARI</v>
      </c>
      <c r="O130" s="16" t="s">
        <v>975</v>
      </c>
      <c r="P130" s="16" t="s">
        <v>976</v>
      </c>
      <c r="Q130" s="16" t="s">
        <v>29</v>
      </c>
      <c r="R130" s="16" t="s">
        <v>54</v>
      </c>
      <c r="S130" s="16" t="s">
        <v>62</v>
      </c>
      <c r="T130" s="16" t="s">
        <v>830</v>
      </c>
      <c r="U130" s="109"/>
      <c r="V130" s="126"/>
      <c r="W130" s="109"/>
      <c r="X130" s="109" t="str">
        <f t="array" ref="X130">IF(H130="","",XLOOKUP(H130,CATATANPELAYANAN[[#ALL],[NAMA PASIEN]],CATATANPELAYANAN[[#ALL],[LAYANAN]],"TIDAK CLOSING",0,-1))</f>
        <v>PAKET TERAPI</v>
      </c>
      <c r="Y130" s="109" t="str">
        <f t="shared" si="4"/>
        <v>PAKET</v>
      </c>
      <c r="Z130" s="127"/>
    </row>
    <row r="131" ht="22.5" customHeight="1">
      <c r="A131" s="122"/>
      <c r="B131" s="123">
        <v>45964.0</v>
      </c>
      <c r="C131" s="124" t="str">
        <f t="shared" ref="C131:C136" si="5">IF(B131="","",text(B131,"yyyy"))</f>
        <v>2025</v>
      </c>
      <c r="D131" s="124" t="str">
        <f t="shared" ref="D131:D136" si="6">IF(B131="","",text(B131,"mm")&amp;" "&amp;text(B131,"mmm"))</f>
        <v>11 Nov</v>
      </c>
      <c r="E131" s="124" t="str">
        <f t="shared" ref="E131:E136" si="7">IF(B131="","",text(B131,"ddd"))</f>
        <v>Sen</v>
      </c>
      <c r="F131" s="16" t="s">
        <v>53</v>
      </c>
      <c r="G131" s="109" t="str">
        <f t="array" ref="G131">IFNA(XLOOKUP(S131,'⚙️ Pengaturan'!$H$5:$H371,'⚙️ Pengaturan'!$I$5:$I371),"")</f>
        <v>TIM A</v>
      </c>
      <c r="H131" s="109" t="s">
        <v>440</v>
      </c>
      <c r="I131" s="125" t="str">
        <f t="array" ref="I131">ifna(xlookup($H131,'🙎‍♂️ Pasien'!$G$7:$G371,'🙎‍♂️ Pasien'!$H$7:$H371),"")</f>
        <v/>
      </c>
      <c r="J131" s="125" t="str">
        <f t="array" ref="J131">ifna(xlookup($H131,'🙎‍♂️ Pasien'!$G$7:$G371,'🙎‍♂️ Pasien'!$L$7:$L371),"")</f>
        <v/>
      </c>
      <c r="K131" s="125" t="str">
        <f t="array" ref="K131">ifna(xlookup($H131,'🙎‍♂️ Pasien'!$G$7:$G371,'🙎‍♂️ Pasien'!$I$7:$I371),"")</f>
        <v/>
      </c>
      <c r="L131" s="125" t="str">
        <f t="array" ref="L131">IFNA(xlookup(H131,'🙎‍♂️ Pasien'!$G$5:$G371,'🙎‍♂️ Pasien'!$J$5:$J371),"")</f>
        <v/>
      </c>
      <c r="M131" s="125" t="str">
        <f t="array" ref="M131">IFNA(xlookup(H131,'🙎‍♂️ Pasien'!$G$5:$G371,'🙎‍♂️ Pasien'!$S$5:$S371),"")</f>
        <v/>
      </c>
      <c r="N131" s="125" t="str">
        <f t="array" ref="N131">IFNA(XLOOKUP($H131,'🙎‍♂️ Pasien'!$G$7:$G371,'🙎‍♂️ Pasien'!$T$7:$T371),"")</f>
        <v/>
      </c>
      <c r="O131" s="16" t="s">
        <v>900</v>
      </c>
      <c r="P131" s="16" t="s">
        <v>836</v>
      </c>
      <c r="Q131" s="16" t="s">
        <v>29</v>
      </c>
      <c r="R131" s="16" t="s">
        <v>86</v>
      </c>
      <c r="S131" s="16" t="s">
        <v>72</v>
      </c>
      <c r="T131" s="16" t="s">
        <v>834</v>
      </c>
      <c r="U131" s="109" t="s">
        <v>977</v>
      </c>
      <c r="V131" s="126"/>
      <c r="W131" s="109"/>
      <c r="X131" s="109" t="str">
        <f t="array" ref="X131">IF(H131="","",XLOOKUP(H131,CATATANPELAYANAN[[#ALL],[NAMA PASIEN]],CATATANPELAYANAN[[#ALL],[LAYANAN]],"TIDAK CLOSING",0,-1))</f>
        <v>TERAPI AWAL</v>
      </c>
      <c r="Y131" s="109" t="str">
        <f t="shared" si="4"/>
        <v>TIDAK CLOSING</v>
      </c>
      <c r="Z131" s="127"/>
    </row>
    <row r="132" ht="22.5" customHeight="1">
      <c r="A132" s="122"/>
      <c r="B132" s="123">
        <v>45965.0</v>
      </c>
      <c r="C132" s="124" t="str">
        <f t="shared" si="5"/>
        <v>2025</v>
      </c>
      <c r="D132" s="124" t="str">
        <f t="shared" si="6"/>
        <v>11 Nov</v>
      </c>
      <c r="E132" s="124" t="str">
        <f t="shared" si="7"/>
        <v>Sel</v>
      </c>
      <c r="F132" s="16" t="s">
        <v>53</v>
      </c>
      <c r="G132" s="109" t="str">
        <f t="array" ref="G132">IFNA(XLOOKUP(S132,'⚙️ Pengaturan'!$H$5:$H371,'⚙️ Pengaturan'!$I$5:$I371),"")</f>
        <v>TIM A</v>
      </c>
      <c r="H132" s="109" t="s">
        <v>448</v>
      </c>
      <c r="I132" s="125" t="str">
        <f t="array" ref="I132">ifna(xlookup($H132,'🙎‍♂️ Pasien'!$G$7:$G371,'🙎‍♂️ Pasien'!$H$7:$H371),"")</f>
        <v>M8525119888</v>
      </c>
      <c r="J132" s="125" t="str">
        <f t="array" ref="J132">ifna(xlookup($H132,'🙎‍♂️ Pasien'!$G$7:$G371,'🙎‍♂️ Pasien'!$L$7:$L371),"")</f>
        <v>PEREMPUAN</v>
      </c>
      <c r="K132" s="125">
        <f t="array" ref="K132">ifna(xlookup($H132,'🙎‍♂️ Pasien'!$G$7:$G371,'🙎‍♂️ Pasien'!$I$7:$I371),"")</f>
        <v>40</v>
      </c>
      <c r="L132" s="125" t="str">
        <f t="array" ref="L132">IFNA(xlookup(H132,'🙎‍♂️ Pasien'!$G$5:$G371,'🙎‍♂️ Pasien'!$J$5:$J371),"")</f>
        <v>35-44 tahun</v>
      </c>
      <c r="M132" s="125" t="str">
        <f t="array" ref="M132">IFNA(xlookup(H132,'🙎‍♂️ Pasien'!$G$5:$G371,'🙎‍♂️ Pasien'!$S$5:$S371),"")</f>
        <v>IBU RUMAH TANGGA</v>
      </c>
      <c r="N132" s="125" t="str">
        <f t="array" ref="N132">IFNA(XLOOKUP($H132,'🙎‍♂️ Pasien'!$G$7:$G371,'🙎‍♂️ Pasien'!$T$7:$T371),"")</f>
        <v>NYERI PADA SIKU SEBELAH KANAN</v>
      </c>
      <c r="O132" s="16" t="s">
        <v>906</v>
      </c>
      <c r="P132" s="16" t="s">
        <v>907</v>
      </c>
      <c r="Q132" s="16" t="s">
        <v>29</v>
      </c>
      <c r="R132" s="16" t="s">
        <v>54</v>
      </c>
      <c r="S132" s="16" t="s">
        <v>79</v>
      </c>
      <c r="T132" s="16" t="s">
        <v>827</v>
      </c>
      <c r="U132" s="109"/>
      <c r="V132" s="126"/>
      <c r="W132" s="109"/>
      <c r="X132" s="109" t="str">
        <f t="array" ref="X132">IF(H132="","",XLOOKUP(H132,CATATANPELAYANAN[[#ALL],[NAMA PASIEN]],CATATANPELAYANAN[[#ALL],[LAYANAN]],"TIDAK CLOSING",0,-1))</f>
        <v>SESI TERAPI</v>
      </c>
      <c r="Y132" s="109" t="str">
        <f t="shared" si="4"/>
        <v>SESI</v>
      </c>
      <c r="Z132" s="127"/>
    </row>
    <row r="133" ht="22.5" customHeight="1">
      <c r="A133" s="122"/>
      <c r="B133" s="123">
        <v>45965.0</v>
      </c>
      <c r="C133" s="124" t="str">
        <f t="shared" si="5"/>
        <v>2025</v>
      </c>
      <c r="D133" s="124" t="str">
        <f t="shared" si="6"/>
        <v>11 Nov</v>
      </c>
      <c r="E133" s="124" t="str">
        <f t="shared" si="7"/>
        <v>Sel</v>
      </c>
      <c r="F133" s="16" t="s">
        <v>53</v>
      </c>
      <c r="G133" s="109" t="str">
        <f t="array" ref="G133">IFNA(XLOOKUP(S133,'⚙️ Pengaturan'!$H$5:$H371,'⚙️ Pengaturan'!$I$5:$I371),"")</f>
        <v>TIM A</v>
      </c>
      <c r="H133" s="109" t="s">
        <v>449</v>
      </c>
      <c r="I133" s="125" t="str">
        <f t="array" ref="I133">ifna(xlookup($H133,'🙎‍♂️ Pasien'!$G$7:$G371,'🙎‍♂️ Pasien'!$H$7:$H371),"")</f>
        <v>G9924046563</v>
      </c>
      <c r="J133" s="125" t="str">
        <f t="array" ref="J133">ifna(xlookup($H133,'🙎‍♂️ Pasien'!$G$7:$G371,'🙎‍♂️ Pasien'!$L$7:$L371),"")</f>
        <v>PEREMPUAN</v>
      </c>
      <c r="K133" s="125">
        <f t="array" ref="K133">ifna(xlookup($H133,'🙎‍♂️ Pasien'!$G$7:$G371,'🙎‍♂️ Pasien'!$I$7:$I371),"")</f>
        <v>27</v>
      </c>
      <c r="L133" s="125" t="str">
        <f t="array" ref="L133">IFNA(xlookup(H133,'🙎‍♂️ Pasien'!$G$5:$G371,'🙎‍♂️ Pasien'!$J$5:$J371),"")</f>
        <v>25-34 tahun</v>
      </c>
      <c r="M133" s="125" t="str">
        <f t="array" ref="M133">IFNA(xlookup(H133,'🙎‍♂️ Pasien'!$G$5:$G371,'🙎‍♂️ Pasien'!$S$5:$S371),"")</f>
        <v>BUMN</v>
      </c>
      <c r="N133" s="125" t="str">
        <f t="array" ref="N133">IFNA(XLOOKUP($H133,'🙎‍♂️ Pasien'!$G$7:$G371,'🙎‍♂️ Pasien'!$T$7:$T371),"")</f>
        <v>Nyeri bahu , lengan kiri, dan leher</v>
      </c>
      <c r="O133" s="16" t="s">
        <v>935</v>
      </c>
      <c r="P133" s="16" t="s">
        <v>833</v>
      </c>
      <c r="Q133" s="16" t="s">
        <v>28</v>
      </c>
      <c r="R133" s="16" t="s">
        <v>54</v>
      </c>
      <c r="S133" s="16" t="s">
        <v>62</v>
      </c>
      <c r="T133" s="16" t="s">
        <v>830</v>
      </c>
      <c r="U133" s="109"/>
      <c r="V133" s="126"/>
      <c r="W133" s="109"/>
      <c r="X133" s="109" t="str">
        <f t="array" ref="X133">IF(H133="","",XLOOKUP(H133,CATATANPELAYANAN[[#ALL],[NAMA PASIEN]],CATATANPELAYANAN[[#ALL],[LAYANAN]],"TIDAK CLOSING",0,-1))</f>
        <v>PAKET TERAPI</v>
      </c>
      <c r="Y133" s="109" t="str">
        <f t="shared" si="4"/>
        <v>PAKET</v>
      </c>
      <c r="Z133" s="127"/>
    </row>
    <row r="134" ht="22.5" customHeight="1">
      <c r="A134" s="122"/>
      <c r="B134" s="123">
        <v>45965.0</v>
      </c>
      <c r="C134" s="124" t="str">
        <f t="shared" si="5"/>
        <v>2025</v>
      </c>
      <c r="D134" s="124" t="str">
        <f t="shared" si="6"/>
        <v>11 Nov</v>
      </c>
      <c r="E134" s="124" t="str">
        <f t="shared" si="7"/>
        <v>Sel</v>
      </c>
      <c r="F134" s="16" t="s">
        <v>53</v>
      </c>
      <c r="G134" s="109" t="str">
        <f t="array" ref="G134">IFNA(XLOOKUP(S134,'⚙️ Pengaturan'!$H$5:$H371,'⚙️ Pengaturan'!$I$5:$I371),"")</f>
        <v>TIM Y</v>
      </c>
      <c r="H134" s="109" t="s">
        <v>464</v>
      </c>
      <c r="I134" s="125" t="str">
        <f t="array" ref="I134">ifna(xlookup($H134,'🙎‍♂️ Pasien'!$G$7:$G371,'🙎‍♂️ Pasien'!$H$7:$H371),"")</f>
        <v/>
      </c>
      <c r="J134" s="125" t="str">
        <f t="array" ref="J134">ifna(xlookup($H134,'🙎‍♂️ Pasien'!$G$7:$G371,'🙎‍♂️ Pasien'!$L$7:$L371),"")</f>
        <v/>
      </c>
      <c r="K134" s="125" t="str">
        <f t="array" ref="K134">ifna(xlookup($H134,'🙎‍♂️ Pasien'!$G$7:$G371,'🙎‍♂️ Pasien'!$I$7:$I371),"")</f>
        <v/>
      </c>
      <c r="L134" s="125" t="str">
        <f t="array" ref="L134">IFNA(xlookup(H134,'🙎‍♂️ Pasien'!$G$5:$G371,'🙎‍♂️ Pasien'!$J$5:$J371),"")</f>
        <v/>
      </c>
      <c r="M134" s="125" t="str">
        <f t="array" ref="M134">IFNA(xlookup(H134,'🙎‍♂️ Pasien'!$G$5:$G371,'🙎‍♂️ Pasien'!$S$5:$S371),"")</f>
        <v/>
      </c>
      <c r="N134" s="125" t="str">
        <f t="array" ref="N134">IFNA(XLOOKUP($H134,'🙎‍♂️ Pasien'!$G$7:$G371,'🙎‍♂️ Pasien'!$T$7:$T371),"")</f>
        <v/>
      </c>
      <c r="O134" s="16" t="s">
        <v>926</v>
      </c>
      <c r="P134" s="16" t="s">
        <v>826</v>
      </c>
      <c r="Q134" s="16" t="s">
        <v>29</v>
      </c>
      <c r="R134" s="16" t="s">
        <v>54</v>
      </c>
      <c r="S134" s="16" t="s">
        <v>56</v>
      </c>
      <c r="T134" s="16" t="s">
        <v>834</v>
      </c>
      <c r="U134" s="109" t="s">
        <v>948</v>
      </c>
      <c r="V134" s="126"/>
      <c r="W134" s="109"/>
      <c r="X134" s="109" t="str">
        <f t="array" ref="X134">IF(H134="","",XLOOKUP(H134,CATATANPELAYANAN[[#ALL],[NAMA PASIEN]],CATATANPELAYANAN[[#ALL],[LAYANAN]],"TIDAK CLOSING",0,-1))</f>
        <v>PAKET/SESI</v>
      </c>
      <c r="Y134" s="109" t="str">
        <f t="shared" si="4"/>
        <v>TIDAK CLOSING</v>
      </c>
      <c r="Z134" s="127"/>
    </row>
    <row r="135" ht="22.5" customHeight="1">
      <c r="A135" s="122"/>
      <c r="B135" s="123">
        <v>45965.0</v>
      </c>
      <c r="C135" s="124" t="str">
        <f t="shared" si="5"/>
        <v>2025</v>
      </c>
      <c r="D135" s="124" t="str">
        <f t="shared" si="6"/>
        <v>11 Nov</v>
      </c>
      <c r="E135" s="124" t="str">
        <f t="shared" si="7"/>
        <v>Sel</v>
      </c>
      <c r="F135" s="16" t="s">
        <v>53</v>
      </c>
      <c r="G135" s="109" t="str">
        <f t="array" ref="G135">IFNA(XLOOKUP(S135,'⚙️ Pengaturan'!$H$5:$H371,'⚙️ Pengaturan'!$I$5:$I371),"")</f>
        <v>TIM Y</v>
      </c>
      <c r="H135" s="109" t="s">
        <v>451</v>
      </c>
      <c r="I135" s="125" t="str">
        <f t="array" ref="I135">ifna(xlookup($H135,'🙎‍♂️ Pasien'!$G$7:$G371,'🙎‍♂️ Pasien'!$H$7:$H371),"")</f>
        <v>M0825116129</v>
      </c>
      <c r="J135" s="125" t="str">
        <f t="array" ref="J135">ifna(xlookup($H135,'🙎‍♂️ Pasien'!$G$7:$G371,'🙎‍♂️ Pasien'!$L$7:$L371),"")</f>
        <v>LAKI-LAKI</v>
      </c>
      <c r="K135" s="125">
        <f t="array" ref="K135">ifna(xlookup($H135,'🙎‍♂️ Pasien'!$G$7:$G371,'🙎‍♂️ Pasien'!$I$7:$I371),"")</f>
        <v>18</v>
      </c>
      <c r="L135" s="125" t="str">
        <f t="array" ref="L135">IFNA(xlookup(H135,'🙎‍♂️ Pasien'!$G$5:$G371,'🙎‍♂️ Pasien'!$J$5:$J371),"")</f>
        <v>&lt; 18 tahun</v>
      </c>
      <c r="M135" s="125" t="str">
        <f t="array" ref="M135">IFNA(xlookup(H135,'🙎‍♂️ Pasien'!$G$5:$G371,'🙎‍♂️ Pasien'!$S$5:$S371),"")</f>
        <v>PELAJAR</v>
      </c>
      <c r="N135" s="125" t="str">
        <f t="array" ref="N135">IFNA(XLOOKUP($H135,'🙎‍♂️ Pasien'!$G$7:$G371,'🙎‍♂️ Pasien'!$T$7:$T371),"")</f>
        <v>SKOLIOSIS</v>
      </c>
      <c r="O135" s="16" t="s">
        <v>847</v>
      </c>
      <c r="P135" s="16" t="s">
        <v>848</v>
      </c>
      <c r="Q135" s="16" t="s">
        <v>29</v>
      </c>
      <c r="R135" s="16" t="s">
        <v>86</v>
      </c>
      <c r="S135" s="16" t="s">
        <v>88</v>
      </c>
      <c r="T135" s="16" t="s">
        <v>830</v>
      </c>
      <c r="U135" s="109"/>
      <c r="V135" s="126"/>
      <c r="W135" s="109"/>
      <c r="X135" s="109" t="str">
        <f t="array" ref="X135">IF(H135="","",XLOOKUP(H135,CATATANPELAYANAN[[#ALL],[NAMA PASIEN]],CATATANPELAYANAN[[#ALL],[LAYANAN]],"TIDAK CLOSING",0,-1))</f>
        <v>PAKET TERAPI</v>
      </c>
      <c r="Y135" s="109" t="str">
        <f t="shared" si="4"/>
        <v>PAKET</v>
      </c>
      <c r="Z135" s="127"/>
    </row>
    <row r="136" ht="22.5" customHeight="1">
      <c r="A136" s="122"/>
      <c r="B136" s="123">
        <v>45965.0</v>
      </c>
      <c r="C136" s="124" t="str">
        <f t="shared" si="5"/>
        <v>2025</v>
      </c>
      <c r="D136" s="124" t="str">
        <f t="shared" si="6"/>
        <v>11 Nov</v>
      </c>
      <c r="E136" s="124" t="str">
        <f t="shared" si="7"/>
        <v>Sel</v>
      </c>
      <c r="F136" s="16" t="s">
        <v>53</v>
      </c>
      <c r="G136" s="109" t="str">
        <f t="array" ref="G136">IFNA(XLOOKUP(S136,'⚙️ Pengaturan'!$H$5:$H371,'⚙️ Pengaturan'!$I$5:$I371),"")</f>
        <v>TIM Y</v>
      </c>
      <c r="H136" s="109" t="s">
        <v>521</v>
      </c>
      <c r="I136" s="125" t="str">
        <f t="array" ref="I136">ifna(xlookup($H136,'🙎‍♂️ Pasien'!$G$7:$G371,'🙎‍♂️ Pasien'!$H$7:$H371),"")</f>
        <v>O0825111109</v>
      </c>
      <c r="J136" s="125" t="str">
        <f t="array" ref="J136">ifna(xlookup($H136,'🙎‍♂️ Pasien'!$G$7:$G371,'🙎‍♂️ Pasien'!$L$7:$L371),"")</f>
        <v>LAKI-LAKI</v>
      </c>
      <c r="K136" s="125">
        <f t="array" ref="K136">ifna(xlookup($H136,'🙎‍♂️ Pasien'!$G$7:$G371,'🙎‍♂️ Pasien'!$I$7:$I371),"")</f>
        <v>17</v>
      </c>
      <c r="L136" s="125" t="str">
        <f t="array" ref="L136">IFNA(xlookup(H136,'🙎‍♂️ Pasien'!$G$5:$G371,'🙎‍♂️ Pasien'!$J$5:$J371),"")</f>
        <v>&lt; 18 tahun</v>
      </c>
      <c r="M136" s="125" t="str">
        <f t="array" ref="M136">IFNA(xlookup(H136,'🙎‍♂️ Pasien'!$G$5:$G371,'🙎‍♂️ Pasien'!$S$5:$S371),"")</f>
        <v>-</v>
      </c>
      <c r="N136" s="125" t="str">
        <f t="array" ref="N136">IFNA(XLOOKUP($H136,'🙎‍♂️ Pasien'!$G$7:$G371,'🙎‍♂️ Pasien'!$T$7:$T371),"")</f>
        <v>BETIS NYERI</v>
      </c>
      <c r="O136" s="16" t="s">
        <v>978</v>
      </c>
      <c r="P136" s="16" t="s">
        <v>942</v>
      </c>
      <c r="Q136" s="16" t="s">
        <v>29</v>
      </c>
      <c r="R136" s="16" t="s">
        <v>86</v>
      </c>
      <c r="S136" s="16" t="s">
        <v>88</v>
      </c>
      <c r="T136" s="16" t="s">
        <v>827</v>
      </c>
      <c r="U136" s="109" t="s">
        <v>979</v>
      </c>
      <c r="V136" s="126"/>
      <c r="W136" s="109"/>
      <c r="X136" s="109" t="str">
        <f t="array" ref="X136">IF(H136="","",XLOOKUP(H136,CATATANPELAYANAN[[#ALL],[NAMA PASIEN]],CATATANPELAYANAN[[#ALL],[LAYANAN]],"TIDAK CLOSING",0,-1))</f>
        <v>SESI TERAPI</v>
      </c>
      <c r="Y136" s="109" t="str">
        <f t="shared" si="4"/>
        <v>SESI</v>
      </c>
      <c r="Z136" s="127"/>
    </row>
    <row r="137" ht="22.5" customHeight="1">
      <c r="A137" s="122"/>
      <c r="B137" s="123">
        <v>45965.0</v>
      </c>
      <c r="C137" s="124" t="s">
        <v>963</v>
      </c>
      <c r="D137" s="124" t="s">
        <v>24</v>
      </c>
      <c r="E137" s="124" t="s">
        <v>980</v>
      </c>
      <c r="F137" s="16" t="s">
        <v>53</v>
      </c>
      <c r="G137" s="109" t="str">
        <f t="array" ref="G137">IFNA(XLOOKUP(S137,'⚙️ Pengaturan'!$H$5:$H371,'⚙️ Pengaturan'!$I$5:$I371),"")</f>
        <v>TIM Y</v>
      </c>
      <c r="H137" s="109" t="s">
        <v>452</v>
      </c>
      <c r="I137" s="125" t="str">
        <f t="array" ref="I137">ifna(xlookup($H137,'🙎‍♂️ Pasien'!$G$7:$G371,'🙎‍♂️ Pasien'!$H$7:$H371),"")</f>
        <v>E8625112448</v>
      </c>
      <c r="J137" s="125" t="str">
        <f t="array" ref="J137">ifna(xlookup($H137,'🙎‍♂️ Pasien'!$G$7:$G371,'🙎‍♂️ Pasien'!$L$7:$L371),"")</f>
        <v>PEREMPUAN</v>
      </c>
      <c r="K137" s="125">
        <f t="array" ref="K137">ifna(xlookup($H137,'🙎‍♂️ Pasien'!$G$7:$G371,'🙎‍♂️ Pasien'!$I$7:$I371),"")</f>
        <v>40</v>
      </c>
      <c r="L137" s="125" t="str">
        <f t="array" ref="L137">IFNA(xlookup(H137,'🙎‍♂️ Pasien'!$G$5:$G371,'🙎‍♂️ Pasien'!$J$5:$J371),"")</f>
        <v>35-44 tahun</v>
      </c>
      <c r="M137" s="125" t="str">
        <f t="array" ref="M137">IFNA(xlookup(H137,'🙎‍♂️ Pasien'!$G$5:$G371,'🙎‍♂️ Pasien'!$S$5:$S371),"")</f>
        <v>SWASTA</v>
      </c>
      <c r="N137" s="125" t="str">
        <f t="array" ref="N137">IFNA(XLOOKUP($H137,'🙎‍♂️ Pasien'!$G$7:$G371,'🙎‍♂️ Pasien'!$T$7:$T371),"")</f>
        <v>TENNIS ELBOW DAN KESELEO KAKI</v>
      </c>
      <c r="O137" s="16" t="s">
        <v>832</v>
      </c>
      <c r="P137" s="16" t="s">
        <v>833</v>
      </c>
      <c r="Q137" s="16" t="s">
        <v>29</v>
      </c>
      <c r="R137" s="16" t="s">
        <v>86</v>
      </c>
      <c r="S137" s="16" t="s">
        <v>107</v>
      </c>
      <c r="T137" s="16" t="s">
        <v>830</v>
      </c>
      <c r="U137" s="109" t="s">
        <v>937</v>
      </c>
      <c r="V137" s="126"/>
      <c r="W137" s="109"/>
      <c r="X137" s="109" t="str">
        <f t="array" ref="X137">IF(H137="","",XLOOKUP(H137,CATATANPELAYANAN[[#ALL],[NAMA PASIEN]],CATATANPELAYANAN[[#ALL],[LAYANAN]],"TIDAK CLOSING",0,-1))</f>
        <v>PAKET TERAPI</v>
      </c>
      <c r="Y137" s="109" t="str">
        <f t="shared" si="4"/>
        <v>PAKET</v>
      </c>
      <c r="Z137" s="127"/>
    </row>
    <row r="138" ht="22.5" customHeight="1">
      <c r="A138" s="122"/>
      <c r="B138" s="123">
        <v>45966.0</v>
      </c>
      <c r="C138" s="124" t="str">
        <f t="shared" ref="C138:C152" si="8">IF(B138="","",text(B138,"yyyy"))</f>
        <v>2025</v>
      </c>
      <c r="D138" s="124" t="str">
        <f t="shared" ref="D138:D152" si="9">IF(B138="","",text(B138,"mm")&amp;" "&amp;text(B138,"mmm"))</f>
        <v>11 Nov</v>
      </c>
      <c r="E138" s="124" t="str">
        <f t="shared" ref="E138:E152" si="10">IF(B138="","",text(B138,"ddd"))</f>
        <v>Rab</v>
      </c>
      <c r="F138" s="16" t="s">
        <v>53</v>
      </c>
      <c r="G138" s="109" t="str">
        <f t="array" ref="G138">IFNA(XLOOKUP(S138,'⚙️ Pengaturan'!$H$5:$H371,'⚙️ Pengaturan'!$I$5:$I371),"")</f>
        <v>TIM A</v>
      </c>
      <c r="H138" s="109" t="s">
        <v>456</v>
      </c>
      <c r="I138" s="125" t="str">
        <f t="array" ref="I138">ifna(xlookup($H138,'🙎‍♂️ Pasien'!$G$7:$G371,'🙎‍♂️ Pasien'!$H$7:$H371),"")</f>
        <v>D6525119328</v>
      </c>
      <c r="J138" s="125" t="str">
        <f t="array" ref="J138">ifna(xlookup($H138,'🙎‍♂️ Pasien'!$G$7:$G371,'🙎‍♂️ Pasien'!$L$7:$L371),"")</f>
        <v>PEREMPUAN</v>
      </c>
      <c r="K138" s="125">
        <f t="array" ref="K138">ifna(xlookup($H138,'🙎‍♂️ Pasien'!$G$7:$G371,'🙎‍♂️ Pasien'!$I$7:$I371),"")</f>
        <v>60</v>
      </c>
      <c r="L138" s="125" t="str">
        <f t="array" ref="L138">IFNA(xlookup(H138,'🙎‍♂️ Pasien'!$G$5:$G371,'🙎‍♂️ Pasien'!$J$5:$J371),"")</f>
        <v>&gt; 44 tahun</v>
      </c>
      <c r="M138" s="125" t="str">
        <f t="array" ref="M138">IFNA(xlookup(H138,'🙎‍♂️ Pasien'!$G$5:$G371,'🙎‍♂️ Pasien'!$S$5:$S371),"")</f>
        <v>IRT</v>
      </c>
      <c r="N138" s="125" t="str">
        <f t="array" ref="N138">IFNA(XLOOKUP($H138,'🙎‍♂️ Pasien'!$G$7:$G371,'🙎‍♂️ Pasien'!$T$7:$T371),"")</f>
        <v>TUMIT</v>
      </c>
      <c r="O138" s="16" t="s">
        <v>849</v>
      </c>
      <c r="P138" s="16" t="s">
        <v>833</v>
      </c>
      <c r="Q138" s="16" t="s">
        <v>30</v>
      </c>
      <c r="R138" s="16" t="s">
        <v>54</v>
      </c>
      <c r="S138" s="16" t="s">
        <v>79</v>
      </c>
      <c r="T138" s="16" t="s">
        <v>830</v>
      </c>
      <c r="U138" s="109"/>
      <c r="V138" s="126"/>
      <c r="W138" s="109"/>
      <c r="X138" s="109" t="str">
        <f t="array" ref="X138">IF(H138="","",XLOOKUP(H138,CATATANPELAYANAN[[#ALL],[NAMA PASIEN]],CATATANPELAYANAN[[#ALL],[LAYANAN]],"TIDAK CLOSING",0,-1))</f>
        <v>PAKET TERAPI</v>
      </c>
      <c r="Y138" s="109" t="str">
        <f t="shared" si="4"/>
        <v>PAKET</v>
      </c>
      <c r="Z138" s="127"/>
    </row>
    <row r="139" ht="22.5" customHeight="1">
      <c r="A139" s="122"/>
      <c r="B139" s="123">
        <v>45966.0</v>
      </c>
      <c r="C139" s="124" t="str">
        <f t="shared" si="8"/>
        <v>2025</v>
      </c>
      <c r="D139" s="124" t="str">
        <f t="shared" si="9"/>
        <v>11 Nov</v>
      </c>
      <c r="E139" s="124" t="str">
        <f t="shared" si="10"/>
        <v>Rab</v>
      </c>
      <c r="F139" s="16" t="s">
        <v>85</v>
      </c>
      <c r="G139" s="109" t="str">
        <f t="array" ref="G139">IFNA(XLOOKUP(S139,'⚙️ Pengaturan'!$H$5:$H371,'⚙️ Pengaturan'!$I$5:$I371),"")</f>
        <v>TIM Y</v>
      </c>
      <c r="H139" s="109" t="s">
        <v>457</v>
      </c>
      <c r="I139" s="125" t="str">
        <f t="array" ref="I139">ifna(xlookup($H139,'🙎‍♂️ Pasien'!$G$7:$G371,'🙎‍♂️ Pasien'!$H$7:$H371),"")</f>
        <v>B0125112743</v>
      </c>
      <c r="J139" s="125" t="str">
        <f t="array" ref="J139">ifna(xlookup($H139,'🙎‍♂️ Pasien'!$G$7:$G371,'🙎‍♂️ Pasien'!$L$7:$L371),"")</f>
        <v>LAKI-LAKI</v>
      </c>
      <c r="K139" s="125">
        <f t="array" ref="K139">ifna(xlookup($H139,'🙎‍♂️ Pasien'!$G$7:$G371,'🙎‍♂️ Pasien'!$I$7:$I371),"")</f>
        <v>24</v>
      </c>
      <c r="L139" s="125" t="str">
        <f t="array" ref="L139">IFNA(xlookup(H139,'🙎‍♂️ Pasien'!$G$5:$G371,'🙎‍♂️ Pasien'!$J$5:$J371),"")</f>
        <v>18-24 tahun</v>
      </c>
      <c r="M139" s="125" t="str">
        <f t="array" ref="M139">IFNA(xlookup(H139,'🙎‍♂️ Pasien'!$G$5:$G371,'🙎‍♂️ Pasien'!$S$5:$S371),"")</f>
        <v>KARYAWAN SWASTA</v>
      </c>
      <c r="N139" s="125" t="str">
        <f t="array" ref="N139">IFNA(XLOOKUP($H139,'🙎‍♂️ Pasien'!$G$7:$G371,'🙎‍♂️ Pasien'!$T$7:$T371),"")</f>
        <v>NYERI PADA BAGIAN LUTUT</v>
      </c>
      <c r="O139" s="16" t="s">
        <v>854</v>
      </c>
      <c r="P139" s="16" t="s">
        <v>836</v>
      </c>
      <c r="Q139" s="16" t="s">
        <v>27</v>
      </c>
      <c r="R139" s="16" t="s">
        <v>86</v>
      </c>
      <c r="S139" s="16" t="s">
        <v>107</v>
      </c>
      <c r="T139" s="16" t="s">
        <v>827</v>
      </c>
      <c r="U139" s="109"/>
      <c r="V139" s="126"/>
      <c r="W139" s="109"/>
      <c r="X139" s="109" t="str">
        <f t="array" ref="X139">IF(H139="","",XLOOKUP(H139,CATATANPELAYANAN[[#ALL],[NAMA PASIEN]],CATATANPELAYANAN[[#ALL],[LAYANAN]],"TIDAK CLOSING",0,-1))</f>
        <v>SESI TERAPI</v>
      </c>
      <c r="Y139" s="109" t="str">
        <f t="shared" si="4"/>
        <v>SESI</v>
      </c>
      <c r="Z139" s="127"/>
    </row>
    <row r="140" ht="22.5" customHeight="1">
      <c r="A140" s="122"/>
      <c r="B140" s="123">
        <v>45966.0</v>
      </c>
      <c r="C140" s="124" t="str">
        <f t="shared" si="8"/>
        <v>2025</v>
      </c>
      <c r="D140" s="124" t="str">
        <f t="shared" si="9"/>
        <v>11 Nov</v>
      </c>
      <c r="E140" s="124" t="str">
        <f t="shared" si="10"/>
        <v>Rab</v>
      </c>
      <c r="F140" s="16" t="s">
        <v>85</v>
      </c>
      <c r="G140" s="109" t="str">
        <f t="array" ref="G140">IFNA(XLOOKUP(S140,'⚙️ Pengaturan'!$H$5:$H371,'⚙️ Pengaturan'!$I$5:$I371),"")</f>
        <v>TIM A</v>
      </c>
      <c r="H140" s="109" t="s">
        <v>981</v>
      </c>
      <c r="I140" s="125" t="str">
        <f t="array" ref="I140">ifna(xlookup($H140,'🙎‍♂️ Pasien'!$G$7:$G371,'🙎‍♂️ Pasien'!$H$7:$H371),"")</f>
        <v>J8625111997</v>
      </c>
      <c r="J140" s="125" t="str">
        <f t="array" ref="J140">ifna(xlookup($H140,'🙎‍♂️ Pasien'!$G$7:$G371,'🙎‍♂️ Pasien'!$L$7:$L371),"")</f>
        <v>PEREMPUAN</v>
      </c>
      <c r="K140" s="125">
        <f t="array" ref="K140">ifna(xlookup($H140,'🙎‍♂️ Pasien'!$G$7:$G371,'🙎‍♂️ Pasien'!$I$7:$I371),"")</f>
        <v>39</v>
      </c>
      <c r="L140" s="125" t="str">
        <f t="array" ref="L140">IFNA(xlookup(H140,'🙎‍♂️ Pasien'!$G$5:$G371,'🙎‍♂️ Pasien'!$J$5:$J371),"")</f>
        <v>35-44 tahun</v>
      </c>
      <c r="M140" s="125" t="str">
        <f t="array" ref="M140">IFNA(xlookup(H140,'🙎‍♂️ Pasien'!$G$5:$G371,'🙎‍♂️ Pasien'!$S$5:$S371),"")</f>
        <v>SWASTA</v>
      </c>
      <c r="N140" s="125" t="str">
        <f t="array" ref="N140">IFNA(XLOOKUP($H140,'🙎‍♂️ Pasien'!$G$7:$G371,'🙎‍♂️ Pasien'!$T$7:$T371),"")</f>
        <v>PASCA STROKE</v>
      </c>
      <c r="O140" s="16" t="s">
        <v>982</v>
      </c>
      <c r="P140" s="16" t="s">
        <v>882</v>
      </c>
      <c r="Q140" s="16" t="s">
        <v>29</v>
      </c>
      <c r="R140" s="16" t="s">
        <v>86</v>
      </c>
      <c r="S140" s="16" t="s">
        <v>72</v>
      </c>
      <c r="T140" s="16" t="s">
        <v>834</v>
      </c>
      <c r="U140" s="109" t="s">
        <v>831</v>
      </c>
      <c r="V140" s="126"/>
      <c r="W140" s="109"/>
      <c r="X140" s="109" t="str">
        <f t="array" ref="X140">IF(H140="","",XLOOKUP(H140,CATATANPELAYANAN[[#ALL],[NAMA PASIEN]],CATATANPELAYANAN[[#ALL],[LAYANAN]],"TIDAK CLOSING",0,-1))</f>
        <v>TIDAK CLOSING</v>
      </c>
      <c r="Y140" s="109" t="str">
        <f t="shared" si="4"/>
        <v>TIDAK CLOSING</v>
      </c>
      <c r="Z140" s="127"/>
    </row>
    <row r="141" ht="22.5" customHeight="1">
      <c r="A141" s="122"/>
      <c r="B141" s="123">
        <v>45966.0</v>
      </c>
      <c r="C141" s="124" t="str">
        <f t="shared" si="8"/>
        <v>2025</v>
      </c>
      <c r="D141" s="124" t="str">
        <f t="shared" si="9"/>
        <v>11 Nov</v>
      </c>
      <c r="E141" s="124" t="str">
        <f t="shared" si="10"/>
        <v>Rab</v>
      </c>
      <c r="F141" s="16" t="s">
        <v>85</v>
      </c>
      <c r="G141" s="109" t="str">
        <f t="array" ref="G141">IFNA(XLOOKUP(S141,'⚙️ Pengaturan'!$H$5:$H371,'⚙️ Pengaturan'!$I$5:$I371),"")</f>
        <v>TIM Y</v>
      </c>
      <c r="H141" s="109" t="s">
        <v>983</v>
      </c>
      <c r="I141" s="125" t="str">
        <f t="array" ref="I141">ifna(xlookup($H141,'🙎‍♂️ Pasien'!$G$7:$G371,'🙎‍♂️ Pasien'!$H$7:$H371),"")</f>
        <v>R0625117725</v>
      </c>
      <c r="J141" s="125" t="str">
        <f t="array" ref="J141">ifna(xlookup($H141,'🙎‍♂️ Pasien'!$G$7:$G371,'🙎‍♂️ Pasien'!$L$7:$L371),"")</f>
        <v>LAKI-LAKI</v>
      </c>
      <c r="K141" s="125">
        <f t="array" ref="K141">ifna(xlookup($H141,'🙎‍♂️ Pasien'!$G$7:$G371,'🙎‍♂️ Pasien'!$I$7:$I371),"")</f>
        <v>20</v>
      </c>
      <c r="L141" s="125" t="str">
        <f t="array" ref="L141">IFNA(xlookup(H141,'🙎‍♂️ Pasien'!$G$5:$G371,'🙎‍♂️ Pasien'!$J$5:$J371),"")</f>
        <v>18-24 tahun</v>
      </c>
      <c r="M141" s="125" t="str">
        <f t="array" ref="M141">IFNA(xlookup(H141,'🙎‍♂️ Pasien'!$G$5:$G371,'🙎‍♂️ Pasien'!$S$5:$S371),"")</f>
        <v>MAHASISWA</v>
      </c>
      <c r="N141" s="125" t="str">
        <f t="array" ref="N141">IFNA(XLOOKUP($H141,'🙎‍♂️ Pasien'!$G$7:$G371,'🙎‍♂️ Pasien'!$T$7:$T371),"")</f>
        <v>NYERI OTOT NGILU</v>
      </c>
      <c r="O141" s="16" t="s">
        <v>984</v>
      </c>
      <c r="P141" s="16" t="s">
        <v>829</v>
      </c>
      <c r="Q141" s="16" t="s">
        <v>29</v>
      </c>
      <c r="R141" s="16" t="s">
        <v>86</v>
      </c>
      <c r="S141" s="16" t="s">
        <v>88</v>
      </c>
      <c r="T141" s="16" t="s">
        <v>834</v>
      </c>
      <c r="U141" s="109" t="s">
        <v>937</v>
      </c>
      <c r="V141" s="126"/>
      <c r="W141" s="109"/>
      <c r="X141" s="109" t="str">
        <f t="array" ref="X141">IF(H141="","",XLOOKUP(H141,CATATANPELAYANAN[[#ALL],[NAMA PASIEN]],CATATANPELAYANAN[[#ALL],[LAYANAN]],"TIDAK CLOSING",0,-1))</f>
        <v>TIDAK CLOSING</v>
      </c>
      <c r="Y141" s="109" t="str">
        <f t="shared" si="4"/>
        <v>TIDAK CLOSING</v>
      </c>
      <c r="Z141" s="127"/>
    </row>
    <row r="142" ht="22.5" customHeight="1">
      <c r="A142" s="122"/>
      <c r="B142" s="123">
        <v>45967.0</v>
      </c>
      <c r="C142" s="124" t="str">
        <f t="shared" si="8"/>
        <v>2025</v>
      </c>
      <c r="D142" s="124" t="str">
        <f t="shared" si="9"/>
        <v>11 Nov</v>
      </c>
      <c r="E142" s="124" t="str">
        <f t="shared" si="10"/>
        <v>Kam</v>
      </c>
      <c r="F142" s="16" t="s">
        <v>53</v>
      </c>
      <c r="G142" s="109" t="str">
        <f t="array" ref="G142">IFNA(XLOOKUP(S142,'⚙️ Pengaturan'!$H$5:$H371,'⚙️ Pengaturan'!$I$5:$I371),"")</f>
        <v>TIM Y</v>
      </c>
      <c r="H142" s="109" t="s">
        <v>458</v>
      </c>
      <c r="I142" s="125" t="str">
        <f t="array" ref="I142">ifna(xlookup($H142,'🙎‍♂️ Pasien'!$G$7:$G371,'🙎‍♂️ Pasien'!$H$7:$H371),"")</f>
        <v>A0625113812</v>
      </c>
      <c r="J142" s="125" t="str">
        <f t="array" ref="J142">ifna(xlookup($H142,'🙎‍♂️ Pasien'!$G$7:$G371,'🙎‍♂️ Pasien'!$L$7:$L371),"")</f>
        <v>LAKI-LAKI</v>
      </c>
      <c r="K142" s="125">
        <f t="array" ref="K142">ifna(xlookup($H142,'🙎‍♂️ Pasien'!$G$7:$G371,'🙎‍♂️ Pasien'!$I$7:$I371),"")</f>
        <v>19</v>
      </c>
      <c r="L142" s="125" t="str">
        <f t="array" ref="L142">IFNA(xlookup(H142,'🙎‍♂️ Pasien'!$G$5:$G371,'🙎‍♂️ Pasien'!$J$5:$J371),"")</f>
        <v>18-24 tahun</v>
      </c>
      <c r="M142" s="125" t="str">
        <f t="array" ref="M142">IFNA(xlookup(H142,'🙎‍♂️ Pasien'!$G$5:$G371,'🙎‍♂️ Pasien'!$S$5:$S371),"")</f>
        <v>TIDAK ADA</v>
      </c>
      <c r="N142" s="125" t="str">
        <f t="array" ref="N142">IFNA(XLOOKUP($H142,'🙎‍♂️ Pasien'!$G$7:$G371,'🙎‍♂️ Pasien'!$T$7:$T371),"")</f>
        <v>ENGKEL KAKI KIRI SAYA MASIH BLUM SEMBUH" SUDAH MAU 3 BULAN BLUM SEMBUH" MASIH ADA TERSA NYERI"</v>
      </c>
      <c r="O142" s="16" t="s">
        <v>978</v>
      </c>
      <c r="P142" s="16" t="s">
        <v>942</v>
      </c>
      <c r="Q142" s="16" t="s">
        <v>29</v>
      </c>
      <c r="R142" s="16" t="s">
        <v>54</v>
      </c>
      <c r="S142" s="16" t="s">
        <v>88</v>
      </c>
      <c r="T142" s="16" t="s">
        <v>827</v>
      </c>
      <c r="U142" s="109"/>
      <c r="V142" s="126"/>
      <c r="W142" s="109"/>
      <c r="X142" s="109" t="str">
        <f t="array" ref="X142">IF(H142="","",XLOOKUP(H142,CATATANPELAYANAN[[#ALL],[NAMA PASIEN]],CATATANPELAYANAN[[#ALL],[LAYANAN]],"TIDAK CLOSING",0,-1))</f>
        <v>SESI TERAPI</v>
      </c>
      <c r="Y142" s="109" t="str">
        <f t="shared" si="4"/>
        <v>SESI</v>
      </c>
      <c r="Z142" s="127"/>
    </row>
    <row r="143" ht="22.5" customHeight="1">
      <c r="A143" s="122"/>
      <c r="B143" s="123">
        <v>45967.0</v>
      </c>
      <c r="C143" s="124" t="str">
        <f t="shared" si="8"/>
        <v>2025</v>
      </c>
      <c r="D143" s="124" t="str">
        <f t="shared" si="9"/>
        <v>11 Nov</v>
      </c>
      <c r="E143" s="124" t="str">
        <f t="shared" si="10"/>
        <v>Kam</v>
      </c>
      <c r="F143" s="16" t="s">
        <v>53</v>
      </c>
      <c r="G143" s="109" t="str">
        <f t="array" ref="G143">IFNA(XLOOKUP(S143,'⚙️ Pengaturan'!$H$5:$H371,'⚙️ Pengaturan'!$I$5:$I371),"")</f>
        <v>TIM Y</v>
      </c>
      <c r="H143" s="109" t="s">
        <v>461</v>
      </c>
      <c r="I143" s="125" t="str">
        <f t="array" ref="I143">ifna(xlookup($H143,'🙎‍♂️ Pasien'!$G$7:$G371,'🙎‍♂️ Pasien'!$H$7:$H371),"")</f>
        <v>M8425111626</v>
      </c>
      <c r="J143" s="125" t="str">
        <f t="array" ref="J143">ifna(xlookup($H143,'🙎‍♂️ Pasien'!$G$7:$G371,'🙎‍♂️ Pasien'!$L$7:$L371),"")</f>
        <v>LAKI-LAKI</v>
      </c>
      <c r="K143" s="125">
        <f t="array" ref="K143">ifna(xlookup($H143,'🙎‍♂️ Pasien'!$G$7:$G371,'🙎‍♂️ Pasien'!$I$7:$I371),"")</f>
        <v>42</v>
      </c>
      <c r="L143" s="125" t="str">
        <f t="array" ref="L143">IFNA(xlookup(H143,'🙎‍♂️ Pasien'!$G$5:$G371,'🙎‍♂️ Pasien'!$J$5:$J371),"")</f>
        <v>35-44 tahun</v>
      </c>
      <c r="M143" s="125" t="str">
        <f t="array" ref="M143">IFNA(xlookup(H143,'🙎‍♂️ Pasien'!$G$5:$G371,'🙎‍♂️ Pasien'!$S$5:$S371),"")</f>
        <v>WIRAUSAHA</v>
      </c>
      <c r="N143" s="125" t="str">
        <f t="array" ref="N143">IFNA(XLOOKUP($H143,'🙎‍♂️ Pasien'!$G$7:$G371,'🙎‍♂️ Pasien'!$T$7:$T371),"")</f>
        <v>SAKIT PADA LUTUT</v>
      </c>
      <c r="O143" s="16" t="s">
        <v>985</v>
      </c>
      <c r="P143" s="16" t="s">
        <v>829</v>
      </c>
      <c r="Q143" s="16" t="s">
        <v>29</v>
      </c>
      <c r="R143" s="16" t="s">
        <v>54</v>
      </c>
      <c r="S143" s="16" t="s">
        <v>88</v>
      </c>
      <c r="T143" s="16" t="s">
        <v>834</v>
      </c>
      <c r="U143" s="109" t="s">
        <v>920</v>
      </c>
      <c r="V143" s="126"/>
      <c r="W143" s="109"/>
      <c r="X143" s="109" t="str">
        <f t="array" ref="X143">IF(H143="","",XLOOKUP(H143,CATATANPELAYANAN[[#ALL],[NAMA PASIEN]],CATATANPELAYANAN[[#ALL],[LAYANAN]],"TIDAK CLOSING",0,-1))</f>
        <v>TERAPI AWAL</v>
      </c>
      <c r="Y143" s="109" t="str">
        <f t="shared" si="4"/>
        <v>TIDAK CLOSING</v>
      </c>
      <c r="Z143" s="127"/>
    </row>
    <row r="144" ht="22.5" customHeight="1">
      <c r="A144" s="122"/>
      <c r="B144" s="123">
        <v>45967.0</v>
      </c>
      <c r="C144" s="124" t="str">
        <f t="shared" si="8"/>
        <v>2025</v>
      </c>
      <c r="D144" s="124" t="str">
        <f t="shared" si="9"/>
        <v>11 Nov</v>
      </c>
      <c r="E144" s="124" t="str">
        <f t="shared" si="10"/>
        <v>Kam</v>
      </c>
      <c r="F144" s="16" t="s">
        <v>85</v>
      </c>
      <c r="G144" s="109" t="str">
        <f t="array" ref="G144">IFNA(XLOOKUP(S144,'⚙️ Pengaturan'!$H$5:$H371,'⚙️ Pengaturan'!$I$5:$I371),"")</f>
        <v>TIM A</v>
      </c>
      <c r="H144" s="109" t="s">
        <v>986</v>
      </c>
      <c r="I144" s="125" t="str">
        <f t="array" ref="I144">ifna(xlookup($H144,'🙎‍♂️ Pasien'!$G$7:$G371,'🙎‍♂️ Pasien'!$H$7:$H371),"")</f>
        <v/>
      </c>
      <c r="J144" s="125" t="str">
        <f t="array" ref="J144">ifna(xlookup($H144,'🙎‍♂️ Pasien'!$G$7:$G371,'🙎‍♂️ Pasien'!$L$7:$L371),"")</f>
        <v/>
      </c>
      <c r="K144" s="125" t="str">
        <f t="array" ref="K144">ifna(xlookup($H144,'🙎‍♂️ Pasien'!$G$7:$G371,'🙎‍♂️ Pasien'!$I$7:$I371),"")</f>
        <v/>
      </c>
      <c r="L144" s="125" t="str">
        <f t="array" ref="L144">IFNA(xlookup(H144,'🙎‍♂️ Pasien'!$G$5:$G371,'🙎‍♂️ Pasien'!$J$5:$J371),"")</f>
        <v/>
      </c>
      <c r="M144" s="125" t="str">
        <f t="array" ref="M144">IFNA(xlookup(H144,'🙎‍♂️ Pasien'!$G$5:$G371,'🙎‍♂️ Pasien'!$S$5:$S371),"")</f>
        <v/>
      </c>
      <c r="N144" s="125" t="str">
        <f t="array" ref="N144">IFNA(XLOOKUP($H144,'🙎‍♂️ Pasien'!$G$7:$G371,'🙎‍♂️ Pasien'!$T$7:$T371),"")</f>
        <v/>
      </c>
      <c r="O144" s="16" t="s">
        <v>987</v>
      </c>
      <c r="P144" s="16" t="s">
        <v>931</v>
      </c>
      <c r="Q144" s="16" t="s">
        <v>29</v>
      </c>
      <c r="R144" s="16" t="s">
        <v>86</v>
      </c>
      <c r="S144" s="16" t="s">
        <v>79</v>
      </c>
      <c r="T144" s="16" t="s">
        <v>834</v>
      </c>
      <c r="U144" s="109" t="s">
        <v>831</v>
      </c>
      <c r="V144" s="126"/>
      <c r="W144" s="109"/>
      <c r="X144" s="109" t="str">
        <f t="array" ref="X144">IF(H144="","",XLOOKUP(H144,CATATANPELAYANAN[[#ALL],[NAMA PASIEN]],CATATANPELAYANAN[[#ALL],[LAYANAN]],"TIDAK CLOSING",0,-1))</f>
        <v>TIDAK CLOSING</v>
      </c>
      <c r="Y144" s="109" t="str">
        <f t="shared" si="4"/>
        <v>TIDAK CLOSING</v>
      </c>
      <c r="Z144" s="127"/>
    </row>
    <row r="145" ht="22.5" customHeight="1">
      <c r="A145" s="122"/>
      <c r="B145" s="123">
        <v>45969.0</v>
      </c>
      <c r="C145" s="124" t="str">
        <f t="shared" si="8"/>
        <v>2025</v>
      </c>
      <c r="D145" s="124" t="str">
        <f t="shared" si="9"/>
        <v>11 Nov</v>
      </c>
      <c r="E145" s="124" t="str">
        <f t="shared" si="10"/>
        <v>Sab</v>
      </c>
      <c r="F145" s="16" t="s">
        <v>53</v>
      </c>
      <c r="G145" s="109" t="str">
        <f t="array" ref="G145">IFNA(XLOOKUP(S145,'⚙️ Pengaturan'!$H$5:$H371,'⚙️ Pengaturan'!$I$5:$I371),"")</f>
        <v>TIM A</v>
      </c>
      <c r="H145" s="109" t="s">
        <v>474</v>
      </c>
      <c r="I145" s="125" t="str">
        <f t="array" ref="I145">ifna(xlookup($H145,'🙎‍♂️ Pasien'!$G$7:$G371,'🙎‍♂️ Pasien'!$H$7:$H371),"")</f>
        <v>M5325110126</v>
      </c>
      <c r="J145" s="125" t="str">
        <f t="array" ref="J145">ifna(xlookup($H145,'🙎‍♂️ Pasien'!$G$7:$G371,'🙎‍♂️ Pasien'!$L$7:$L371),"")</f>
        <v>PEREMPUAN</v>
      </c>
      <c r="K145" s="125">
        <f t="array" ref="K145">ifna(xlookup($H145,'🙎‍♂️ Pasien'!$G$7:$G371,'🙎‍♂️ Pasien'!$I$7:$I371),"")</f>
        <v>73</v>
      </c>
      <c r="L145" s="125" t="str">
        <f t="array" ref="L145">IFNA(xlookup(H145,'🙎‍♂️ Pasien'!$G$5:$G371,'🙎‍♂️ Pasien'!$J$5:$J371),"")</f>
        <v>&gt; 44 tahun</v>
      </c>
      <c r="M145" s="125" t="str">
        <f t="array" ref="M145">IFNA(xlookup(H145,'🙎‍♂️ Pasien'!$G$5:$G371,'🙎‍♂️ Pasien'!$S$5:$S371),"")</f>
        <v>IBU RUMAH TANGGA</v>
      </c>
      <c r="N145" s="125" t="str">
        <f t="array" ref="N145">IFNA(XLOOKUP($H145,'🙎‍♂️ Pasien'!$G$7:$G371,'🙎‍♂️ Pasien'!$T$7:$T371),"")</f>
        <v>SAKIT &amp; SUSAH GERAK PAKA LUTUT</v>
      </c>
      <c r="O145" s="16" t="s">
        <v>902</v>
      </c>
      <c r="P145" s="16" t="s">
        <v>836</v>
      </c>
      <c r="Q145" s="16" t="s">
        <v>29</v>
      </c>
      <c r="R145" s="16" t="s">
        <v>54</v>
      </c>
      <c r="S145" s="16" t="s">
        <v>72</v>
      </c>
      <c r="T145" s="16" t="s">
        <v>830</v>
      </c>
      <c r="U145" s="109"/>
      <c r="V145" s="126"/>
      <c r="W145" s="109"/>
      <c r="X145" s="109" t="str">
        <f t="array" ref="X145">IF(H145="","",XLOOKUP(H145,CATATANPELAYANAN[[#ALL],[NAMA PASIEN]],CATATANPELAYANAN[[#ALL],[LAYANAN]],"TIDAK CLOSING",0,-1))</f>
        <v>PAKET TERAPI</v>
      </c>
      <c r="Y145" s="109" t="str">
        <f t="shared" si="4"/>
        <v>PAKET</v>
      </c>
      <c r="Z145" s="127"/>
    </row>
    <row r="146" ht="22.5" customHeight="1">
      <c r="A146" s="122"/>
      <c r="B146" s="123">
        <v>45969.0</v>
      </c>
      <c r="C146" s="124" t="str">
        <f t="shared" si="8"/>
        <v>2025</v>
      </c>
      <c r="D146" s="124" t="str">
        <f t="shared" si="9"/>
        <v>11 Nov</v>
      </c>
      <c r="E146" s="124" t="str">
        <f t="shared" si="10"/>
        <v>Sab</v>
      </c>
      <c r="F146" s="16" t="s">
        <v>53</v>
      </c>
      <c r="G146" s="109" t="str">
        <f t="array" ref="G146">IFNA(XLOOKUP(S146,'⚙️ Pengaturan'!$H$5:$H371,'⚙️ Pengaturan'!$I$5:$I371),"")</f>
        <v>TIM A</v>
      </c>
      <c r="H146" s="109" t="s">
        <v>475</v>
      </c>
      <c r="I146" s="125" t="str">
        <f t="array" ref="I146">ifna(xlookup($H146,'🙎‍♂️ Pasien'!$G$7:$G371,'🙎‍♂️ Pasien'!$H$7:$H371),"")</f>
        <v>C0525114334</v>
      </c>
      <c r="J146" s="125" t="str">
        <f t="array" ref="J146">ifna(xlookup($H146,'🙎‍♂️ Pasien'!$G$7:$G371,'🙎‍♂️ Pasien'!$L$7:$L371),"")</f>
        <v>PEREMPUAN</v>
      </c>
      <c r="K146" s="125">
        <f t="array" ref="K146">ifna(xlookup($H146,'🙎‍♂️ Pasien'!$G$7:$G371,'🙎‍♂️ Pasien'!$I$7:$I371),"")</f>
        <v>20</v>
      </c>
      <c r="L146" s="125" t="str">
        <f t="array" ref="L146">IFNA(xlookup(H146,'🙎‍♂️ Pasien'!$G$5:$G371,'🙎‍♂️ Pasien'!$J$5:$J371),"")</f>
        <v>18-24 tahun</v>
      </c>
      <c r="M146" s="125" t="str">
        <f t="array" ref="M146">IFNA(xlookup(H146,'🙎‍♂️ Pasien'!$G$5:$G371,'🙎‍♂️ Pasien'!$S$5:$S371),"")</f>
        <v>PELAJAR</v>
      </c>
      <c r="N146" s="125" t="str">
        <f t="array" ref="N146">IFNA(XLOOKUP($H146,'🙎‍♂️ Pasien'!$G$7:$G371,'🙎‍♂️ Pasien'!$T$7:$T371),"")</f>
        <v>PEGAL DI AREA PUNGGUNG, POSTUR BADAN BUNGKUK, NYERI DI AREA KAKI, TULANG KLAVIKULA TIDAK SEJAJAR, PANJANG KAKI PANJANG SEBELAH</v>
      </c>
      <c r="O146" s="16" t="s">
        <v>847</v>
      </c>
      <c r="P146" s="16" t="s">
        <v>869</v>
      </c>
      <c r="Q146" s="16" t="s">
        <v>27</v>
      </c>
      <c r="R146" s="16" t="s">
        <v>54</v>
      </c>
      <c r="S146" s="16" t="s">
        <v>79</v>
      </c>
      <c r="T146" s="16" t="s">
        <v>827</v>
      </c>
      <c r="U146" s="109"/>
      <c r="V146" s="126"/>
      <c r="W146" s="109"/>
      <c r="X146" s="109" t="str">
        <f t="array" ref="X146">IF(H146="","",XLOOKUP(H146,CATATANPELAYANAN[[#ALL],[NAMA PASIEN]],CATATANPELAYANAN[[#ALL],[LAYANAN]],"TIDAK CLOSING",0,-1))</f>
        <v>SESI TERAPI</v>
      </c>
      <c r="Y146" s="109" t="str">
        <f t="shared" si="4"/>
        <v>SESI</v>
      </c>
      <c r="Z146" s="127"/>
    </row>
    <row r="147" ht="22.5" customHeight="1">
      <c r="A147" s="122"/>
      <c r="B147" s="123">
        <v>45969.0</v>
      </c>
      <c r="C147" s="124" t="str">
        <f t="shared" si="8"/>
        <v>2025</v>
      </c>
      <c r="D147" s="124" t="str">
        <f t="shared" si="9"/>
        <v>11 Nov</v>
      </c>
      <c r="E147" s="124" t="str">
        <f t="shared" si="10"/>
        <v>Sab</v>
      </c>
      <c r="F147" s="16" t="s">
        <v>53</v>
      </c>
      <c r="G147" s="109" t="str">
        <f t="array" ref="G147">IFNA(XLOOKUP(S147,'⚙️ Pengaturan'!$H$5:$H371,'⚙️ Pengaturan'!$I$5:$I371),"")</f>
        <v>TIM Y</v>
      </c>
      <c r="H147" s="109" t="s">
        <v>476</v>
      </c>
      <c r="I147" s="125" t="str">
        <f t="array" ref="I147">ifna(xlookup($H147,'🙎‍♂️ Pasien'!$G$7:$G371,'🙎‍♂️ Pasien'!$H$7:$H371),"")</f>
        <v>D8525114110</v>
      </c>
      <c r="J147" s="125" t="str">
        <f t="array" ref="J147">ifna(xlookup($H147,'🙎‍♂️ Pasien'!$G$7:$G371,'🙎‍♂️ Pasien'!$L$7:$L371),"")</f>
        <v>LAKI-LAKI</v>
      </c>
      <c r="K147" s="125">
        <f t="array" ref="K147">ifna(xlookup($H147,'🙎‍♂️ Pasien'!$G$7:$G371,'🙎‍♂️ Pasien'!$I$7:$I371),"")</f>
        <v>40</v>
      </c>
      <c r="L147" s="125" t="str">
        <f t="array" ref="L147">IFNA(xlookup(H147,'🙎‍♂️ Pasien'!$G$5:$G371,'🙎‍♂️ Pasien'!$J$5:$J371),"")</f>
        <v>35-44 tahun</v>
      </c>
      <c r="M147" s="125" t="str">
        <f t="array" ref="M147">IFNA(xlookup(H147,'🙎‍♂️ Pasien'!$G$5:$G371,'🙎‍♂️ Pasien'!$S$5:$S371),"")</f>
        <v>SUPIR</v>
      </c>
      <c r="N147" s="125" t="str">
        <f t="array" ref="N147">IFNA(XLOOKUP($H147,'🙎‍♂️ Pasien'!$G$7:$G371,'🙎‍♂️ Pasien'!$T$7:$T371),"")</f>
        <v>KAKI BENGKAK DIAGNOSA DOKTER OASTRIRTIS DAN ASAM URAT</v>
      </c>
      <c r="O147" s="16" t="s">
        <v>988</v>
      </c>
      <c r="P147" s="16" t="s">
        <v>989</v>
      </c>
      <c r="Q147" s="16" t="s">
        <v>29</v>
      </c>
      <c r="R147" s="16" t="s">
        <v>54</v>
      </c>
      <c r="S147" s="16" t="s">
        <v>88</v>
      </c>
      <c r="T147" s="16" t="s">
        <v>827</v>
      </c>
      <c r="U147" s="109"/>
      <c r="V147" s="126"/>
      <c r="W147" s="109"/>
      <c r="X147" s="109" t="str">
        <f t="array" ref="X147">IF(H147="","",XLOOKUP(H147,CATATANPELAYANAN[[#ALL],[NAMA PASIEN]],CATATANPELAYANAN[[#ALL],[LAYANAN]],"TIDAK CLOSING",0,-1))</f>
        <v>SESI TERAPI</v>
      </c>
      <c r="Y147" s="109" t="str">
        <f t="shared" si="4"/>
        <v>SESI</v>
      </c>
      <c r="Z147" s="127"/>
    </row>
    <row r="148" ht="22.5" customHeight="1">
      <c r="A148" s="122"/>
      <c r="B148" s="123">
        <v>45969.0</v>
      </c>
      <c r="C148" s="124" t="str">
        <f t="shared" si="8"/>
        <v>2025</v>
      </c>
      <c r="D148" s="124" t="str">
        <f t="shared" si="9"/>
        <v>11 Nov</v>
      </c>
      <c r="E148" s="124" t="str">
        <f t="shared" si="10"/>
        <v>Sab</v>
      </c>
      <c r="F148" s="16" t="s">
        <v>85</v>
      </c>
      <c r="G148" s="109" t="str">
        <f t="array" ref="G148">IFNA(XLOOKUP(S148,'⚙️ Pengaturan'!$H$5:$H371,'⚙️ Pengaturan'!$I$5:$I371),"")</f>
        <v>TIM Y</v>
      </c>
      <c r="H148" s="109" t="s">
        <v>477</v>
      </c>
      <c r="I148" s="125" t="str">
        <f t="array" ref="I148">ifna(xlookup($H148,'🙎‍♂️ Pasien'!$G$7:$G371,'🙎‍♂️ Pasien'!$H$7:$H371),"")</f>
        <v>F2525111598</v>
      </c>
      <c r="J148" s="125" t="str">
        <f t="array" ref="J148">ifna(xlookup($H148,'🙎‍♂️ Pasien'!$G$7:$G371,'🙎‍♂️ Pasien'!$L$7:$L371),"")</f>
        <v>PEREMPUAN</v>
      </c>
      <c r="K148" s="125">
        <f t="array" ref="K148">ifna(xlookup($H148,'🙎‍♂️ Pasien'!$G$7:$G371,'🙎‍♂️ Pasien'!$I$7:$I371),"")</f>
        <v>0</v>
      </c>
      <c r="L148" s="125" t="str">
        <f t="array" ref="L148">IFNA(xlookup(H148,'🙎‍♂️ Pasien'!$G$5:$G371,'🙎‍♂️ Pasien'!$J$5:$J371),"")</f>
        <v>&lt; 18 tahun</v>
      </c>
      <c r="M148" s="125" t="str">
        <f t="array" ref="M148">IFNA(xlookup(H148,'🙎‍♂️ Pasien'!$G$5:$G371,'🙎‍♂️ Pasien'!$S$5:$S371),"")</f>
        <v>SWASTA</v>
      </c>
      <c r="N148" s="125" t="str">
        <f t="array" ref="N148">IFNA(XLOOKUP($H148,'🙎‍♂️ Pasien'!$G$7:$G371,'🙎‍♂️ Pasien'!$T$7:$T371),"")</f>
        <v>TANGAN SAKIT SEBELAH KANAN..</v>
      </c>
      <c r="O148" s="16" t="s">
        <v>871</v>
      </c>
      <c r="P148" s="16" t="s">
        <v>869</v>
      </c>
      <c r="Q148" s="16" t="s">
        <v>29</v>
      </c>
      <c r="R148" s="16" t="s">
        <v>86</v>
      </c>
      <c r="S148" s="16" t="s">
        <v>107</v>
      </c>
      <c r="T148" s="16" t="s">
        <v>830</v>
      </c>
      <c r="U148" s="109"/>
      <c r="V148" s="126"/>
      <c r="W148" s="109"/>
      <c r="X148" s="109" t="str">
        <f t="array" ref="X148">IF(H148="","",XLOOKUP(H148,CATATANPELAYANAN[[#ALL],[NAMA PASIEN]],CATATANPELAYANAN[[#ALL],[LAYANAN]],"TIDAK CLOSING",0,-1))</f>
        <v>PAKET TERAPI</v>
      </c>
      <c r="Y148" s="109" t="str">
        <f t="shared" si="4"/>
        <v>PAKET</v>
      </c>
      <c r="Z148" s="127"/>
    </row>
    <row r="149" ht="22.5" customHeight="1">
      <c r="A149" s="122"/>
      <c r="B149" s="123">
        <v>45969.0</v>
      </c>
      <c r="C149" s="124" t="str">
        <f t="shared" si="8"/>
        <v>2025</v>
      </c>
      <c r="D149" s="124" t="str">
        <f t="shared" si="9"/>
        <v>11 Nov</v>
      </c>
      <c r="E149" s="124" t="str">
        <f t="shared" si="10"/>
        <v>Sab</v>
      </c>
      <c r="F149" s="16" t="s">
        <v>85</v>
      </c>
      <c r="G149" s="109" t="str">
        <f t="array" ref="G149">IFNA(XLOOKUP(S149,'⚙️ Pengaturan'!$H$5:$H371,'⚙️ Pengaturan'!$I$5:$I371),"")</f>
        <v>TIM Y</v>
      </c>
      <c r="H149" s="109" t="s">
        <v>990</v>
      </c>
      <c r="I149" s="125" t="str">
        <f t="array" ref="I149">ifna(xlookup($H149,'🙎‍♂️ Pasien'!$G$7:$G371,'🙎‍♂️ Pasien'!$H$7:$H371),"")</f>
        <v/>
      </c>
      <c r="J149" s="125" t="str">
        <f t="array" ref="J149">ifna(xlookup($H149,'🙎‍♂️ Pasien'!$G$7:$G371,'🙎‍♂️ Pasien'!$L$7:$L371),"")</f>
        <v/>
      </c>
      <c r="K149" s="125" t="str">
        <f t="array" ref="K149">ifna(xlookup($H149,'🙎‍♂️ Pasien'!$G$7:$G371,'🙎‍♂️ Pasien'!$I$7:$I371),"")</f>
        <v/>
      </c>
      <c r="L149" s="125" t="str">
        <f t="array" ref="L149">IFNA(xlookup(H149,'🙎‍♂️ Pasien'!$G$5:$G371,'🙎‍♂️ Pasien'!$J$5:$J371),"")</f>
        <v/>
      </c>
      <c r="M149" s="125" t="str">
        <f t="array" ref="M149">IFNA(xlookup(H149,'🙎‍♂️ Pasien'!$G$5:$G371,'🙎‍♂️ Pasien'!$S$5:$S371),"")</f>
        <v/>
      </c>
      <c r="N149" s="125" t="str">
        <f t="array" ref="N149">IFNA(XLOOKUP($H149,'🙎‍♂️ Pasien'!$G$7:$G371,'🙎‍♂️ Pasien'!$T$7:$T371),"")</f>
        <v/>
      </c>
      <c r="O149" s="16" t="s">
        <v>876</v>
      </c>
      <c r="P149" s="16" t="s">
        <v>942</v>
      </c>
      <c r="Q149" s="16" t="s">
        <v>29</v>
      </c>
      <c r="R149" s="16" t="s">
        <v>86</v>
      </c>
      <c r="S149" s="16" t="s">
        <v>88</v>
      </c>
      <c r="T149" s="16" t="s">
        <v>830</v>
      </c>
      <c r="U149" s="109"/>
      <c r="V149" s="126"/>
      <c r="W149" s="109"/>
      <c r="X149" s="109" t="str">
        <f t="array" ref="X149">IF(H149="","",XLOOKUP(H149,CATATANPELAYANAN[[#ALL],[NAMA PASIEN]],CATATANPELAYANAN[[#ALL],[LAYANAN]],"TIDAK CLOSING",0,-1))</f>
        <v>TIDAK CLOSING</v>
      </c>
      <c r="Y149" s="109" t="str">
        <f t="shared" si="4"/>
        <v>TIDAK CLOSING</v>
      </c>
      <c r="Z149" s="127"/>
    </row>
    <row r="150" ht="22.5" customHeight="1">
      <c r="A150" s="122"/>
      <c r="B150" s="123">
        <v>45969.0</v>
      </c>
      <c r="C150" s="124" t="str">
        <f t="shared" si="8"/>
        <v>2025</v>
      </c>
      <c r="D150" s="124" t="str">
        <f t="shared" si="9"/>
        <v>11 Nov</v>
      </c>
      <c r="E150" s="124" t="str">
        <f t="shared" si="10"/>
        <v>Sab</v>
      </c>
      <c r="F150" s="16" t="s">
        <v>85</v>
      </c>
      <c r="G150" s="109" t="str">
        <f t="array" ref="G150">IFNA(XLOOKUP(S150,'⚙️ Pengaturan'!$H$5:$H371,'⚙️ Pengaturan'!$I$5:$I371),"")</f>
        <v>TIM Y</v>
      </c>
      <c r="H150" s="109" t="s">
        <v>478</v>
      </c>
      <c r="I150" s="125" t="str">
        <f t="array" ref="I150">ifna(xlookup($H150,'🙎‍♂️ Pasien'!$G$7:$G371,'🙎‍♂️ Pasien'!$H$7:$H371),"")</f>
        <v>E1023019575</v>
      </c>
      <c r="J150" s="125" t="str">
        <f t="array" ref="J150">ifna(xlookup($H150,'🙎‍♂️ Pasien'!$G$7:$G371,'🙎‍♂️ Pasien'!$L$7:$L371),"")</f>
        <v>LAKI-LAKI</v>
      </c>
      <c r="K150" s="125">
        <f t="array" ref="K150">ifna(xlookup($H150,'🙎‍♂️ Pasien'!$G$7:$G371,'🙎‍♂️ Pasien'!$I$7:$I371),"")</f>
        <v>15</v>
      </c>
      <c r="L150" s="125" t="str">
        <f t="array" ref="L150">IFNA(xlookup(H150,'🙎‍♂️ Pasien'!$G$5:$G371,'🙎‍♂️ Pasien'!$J$5:$J371),"")</f>
        <v>&lt; 18 tahun</v>
      </c>
      <c r="M150" s="125" t="str">
        <f t="array" ref="M150">IFNA(xlookup(H150,'🙎‍♂️ Pasien'!$G$5:$G371,'🙎‍♂️ Pasien'!$S$5:$S371),"")</f>
        <v>PELAJAR/MAHASISWA</v>
      </c>
      <c r="N150" s="125" t="str">
        <f t="array" ref="N150">IFNA(XLOOKUP($H150,'🙎‍♂️ Pasien'!$G$7:$G371,'🙎‍♂️ Pasien'!$T$7:$T371),"")</f>
        <v>TANGAN KIRI</v>
      </c>
      <c r="O150" s="16" t="s">
        <v>928</v>
      </c>
      <c r="P150" s="16" t="s">
        <v>942</v>
      </c>
      <c r="Q150" s="16" t="s">
        <v>28</v>
      </c>
      <c r="R150" s="16" t="s">
        <v>86</v>
      </c>
      <c r="S150" s="16" t="s">
        <v>88</v>
      </c>
      <c r="T150" s="16" t="s">
        <v>834</v>
      </c>
      <c r="U150" s="109" t="s">
        <v>991</v>
      </c>
      <c r="V150" s="126"/>
      <c r="W150" s="109"/>
      <c r="X150" s="109" t="str">
        <f t="array" ref="X150">IF(H150="","",XLOOKUP(H150,CATATANPELAYANAN[[#ALL],[NAMA PASIEN]],CATATANPELAYANAN[[#ALL],[LAYANAN]],"TIDAK CLOSING",0,-1))</f>
        <v>TERAPI AWAL</v>
      </c>
      <c r="Y150" s="109" t="str">
        <f t="shared" si="4"/>
        <v>TIDAK CLOSING</v>
      </c>
      <c r="Z150" s="127"/>
    </row>
    <row r="151" ht="22.5" customHeight="1">
      <c r="A151" s="122"/>
      <c r="B151" s="123">
        <v>45969.0</v>
      </c>
      <c r="C151" s="124" t="str">
        <f t="shared" si="8"/>
        <v>2025</v>
      </c>
      <c r="D151" s="124" t="str">
        <f t="shared" si="9"/>
        <v>11 Nov</v>
      </c>
      <c r="E151" s="124" t="str">
        <f t="shared" si="10"/>
        <v>Sab</v>
      </c>
      <c r="F151" s="16" t="s">
        <v>85</v>
      </c>
      <c r="G151" s="109" t="str">
        <f t="array" ref="G151">IFNA(XLOOKUP(S151,'⚙️ Pengaturan'!$H$5:$H371,'⚙️ Pengaturan'!$I$5:$I371),"")</f>
        <v>TIM Y</v>
      </c>
      <c r="H151" s="109" t="s">
        <v>487</v>
      </c>
      <c r="I151" s="125" t="str">
        <f t="array" ref="I151">ifna(xlookup($H151,'🙎‍♂️ Pasien'!$G$7:$G371,'🙎‍♂️ Pasien'!$H$7:$H371),"")</f>
        <v>M1223117264</v>
      </c>
      <c r="J151" s="125" t="str">
        <f t="array" ref="J151">ifna(xlookup($H151,'🙎‍♂️ Pasien'!$G$7:$G371,'🙎‍♂️ Pasien'!$L$7:$L371),"")</f>
        <v>LAKI-LAKI</v>
      </c>
      <c r="K151" s="125">
        <f t="array" ref="K151">ifna(xlookup($H151,'🙎‍♂️ Pasien'!$G$7:$G371,'🙎‍♂️ Pasien'!$I$7:$I371),"")</f>
        <v>14</v>
      </c>
      <c r="L151" s="125" t="str">
        <f t="array" ref="L151">IFNA(xlookup(H151,'🙎‍♂️ Pasien'!$G$5:$G371,'🙎‍♂️ Pasien'!$J$5:$J371),"")</f>
        <v>&lt; 18 tahun</v>
      </c>
      <c r="M151" s="125" t="str">
        <f t="array" ref="M151">IFNA(xlookup(H151,'🙎‍♂️ Pasien'!$G$5:$G371,'🙎‍♂️ Pasien'!$S$5:$S371),"")</f>
        <v>PELAJAR/MAHASISWA</v>
      </c>
      <c r="N151" s="125" t="str">
        <f t="array" ref="N151">IFNA(XLOOKUP($H151,'🙎‍♂️ Pasien'!$G$7:$G371,'🙎‍♂️ Pasien'!$T$7:$T371),"")</f>
        <v>Cedera</v>
      </c>
      <c r="O151" s="16" t="s">
        <v>992</v>
      </c>
      <c r="P151" s="16" t="s">
        <v>829</v>
      </c>
      <c r="Q151" s="16" t="s">
        <v>28</v>
      </c>
      <c r="R151" s="16" t="s">
        <v>86</v>
      </c>
      <c r="S151" s="16" t="s">
        <v>91</v>
      </c>
      <c r="T151" s="16" t="s">
        <v>830</v>
      </c>
      <c r="U151" s="109"/>
      <c r="V151" s="126"/>
      <c r="W151" s="109"/>
      <c r="X151" s="109" t="str">
        <f t="array" ref="X151">IF(H151="","",XLOOKUP(H151,CATATANPELAYANAN[[#ALL],[NAMA PASIEN]],CATATANPELAYANAN[[#ALL],[LAYANAN]],"TIDAK CLOSING",0,-1))</f>
        <v>PAKET TERAPI</v>
      </c>
      <c r="Y151" s="109" t="str">
        <f t="shared" si="4"/>
        <v>PAKET</v>
      </c>
      <c r="Z151" s="127"/>
    </row>
    <row r="152" ht="22.5" customHeight="1">
      <c r="A152" s="122"/>
      <c r="B152" s="123">
        <v>45970.0</v>
      </c>
      <c r="C152" s="124" t="str">
        <f t="shared" si="8"/>
        <v>2025</v>
      </c>
      <c r="D152" s="124" t="str">
        <f t="shared" si="9"/>
        <v>11 Nov</v>
      </c>
      <c r="E152" s="124" t="str">
        <f t="shared" si="10"/>
        <v>Min</v>
      </c>
      <c r="F152" s="16" t="s">
        <v>53</v>
      </c>
      <c r="G152" s="109" t="str">
        <f t="array" ref="G152">IFNA(XLOOKUP(S152,'⚙️ Pengaturan'!$H$5:$H371,'⚙️ Pengaturan'!$I$5:$I371),"")</f>
        <v>TIM A</v>
      </c>
      <c r="H152" s="109" t="s">
        <v>481</v>
      </c>
      <c r="I152" s="125" t="str">
        <f t="array" ref="I152">ifna(xlookup($H152,'🙎‍♂️ Pasien'!$G$7:$G371,'🙎‍♂️ Pasien'!$H$7:$H371),"")</f>
        <v>H0123016085</v>
      </c>
      <c r="J152" s="125" t="str">
        <f t="array" ref="J152">ifna(xlookup($H152,'🙎‍♂️ Pasien'!$G$7:$G371,'🙎‍♂️ Pasien'!$L$7:$L371),"")</f>
        <v>PEREMPUAN</v>
      </c>
      <c r="K152" s="125">
        <f t="array" ref="K152">ifna(xlookup($H152,'🙎‍♂️ Pasien'!$G$7:$G371,'🙎‍♂️ Pasien'!$I$7:$I371),"")</f>
        <v>25</v>
      </c>
      <c r="L152" s="125" t="str">
        <f t="array" ref="L152">IFNA(xlookup(H152,'🙎‍♂️ Pasien'!$G$5:$G371,'🙎‍♂️ Pasien'!$J$5:$J371),"")</f>
        <v>25-34 tahun</v>
      </c>
      <c r="M152" s="125" t="str">
        <f t="array" ref="M152">IFNA(xlookup(H152,'🙎‍♂️ Pasien'!$G$5:$G371,'🙎‍♂️ Pasien'!$S$5:$S371),"")</f>
        <v>DOSEN/GURU</v>
      </c>
      <c r="N152" s="125" t="str">
        <f t="array" ref="N152">IFNA(XLOOKUP($H152,'🙎‍♂️ Pasien'!$G$7:$G371,'🙎‍♂️ Pasien'!$T$7:$T371),"")</f>
        <v>PINGGANG</v>
      </c>
      <c r="O152" s="16" t="s">
        <v>928</v>
      </c>
      <c r="P152" s="16" t="s">
        <v>836</v>
      </c>
      <c r="Q152" s="16" t="s">
        <v>28</v>
      </c>
      <c r="R152" s="16" t="s">
        <v>54</v>
      </c>
      <c r="S152" s="16" t="s">
        <v>79</v>
      </c>
      <c r="T152" s="16" t="s">
        <v>834</v>
      </c>
      <c r="U152" s="109" t="s">
        <v>993</v>
      </c>
      <c r="V152" s="126"/>
      <c r="W152" s="109"/>
      <c r="X152" s="109" t="str">
        <f t="array" ref="X152">IF(H152="","",XLOOKUP(H152,CATATANPELAYANAN[[#ALL],[NAMA PASIEN]],CATATANPELAYANAN[[#ALL],[LAYANAN]],"TIDAK CLOSING",0,-1))</f>
        <v>TERAPI AWAL</v>
      </c>
      <c r="Y152" s="109" t="str">
        <f t="shared" si="4"/>
        <v>TIDAK CLOSING</v>
      </c>
      <c r="Z152" s="127"/>
    </row>
    <row r="153" ht="22.5" customHeight="1">
      <c r="A153" s="122"/>
      <c r="B153" s="123">
        <v>45970.0</v>
      </c>
      <c r="C153" s="124" t="s">
        <v>963</v>
      </c>
      <c r="D153" s="124" t="s">
        <v>24</v>
      </c>
      <c r="E153" s="124" t="s">
        <v>964</v>
      </c>
      <c r="F153" s="16" t="s">
        <v>53</v>
      </c>
      <c r="G153" s="109" t="str">
        <f t="array" ref="G153">IFNA(XLOOKUP(S153,'⚙️ Pengaturan'!$H$5:$H371,'⚙️ Pengaturan'!$I$5:$I371),"")</f>
        <v>TIM Y</v>
      </c>
      <c r="H153" s="109" t="s">
        <v>459</v>
      </c>
      <c r="I153" s="125" t="str">
        <f t="array" ref="I153">ifna(xlookup($H153,'🙎‍♂️ Pasien'!$G$7:$G371,'🙎‍♂️ Pasien'!$H$7:$H371),"")</f>
        <v>S9525118899</v>
      </c>
      <c r="J153" s="125" t="str">
        <f t="array" ref="J153">ifna(xlookup($H153,'🙎‍♂️ Pasien'!$G$7:$G371,'🙎‍♂️ Pasien'!$L$7:$L371),"")</f>
        <v>LAKI-LAKI</v>
      </c>
      <c r="K153" s="125">
        <f t="array" ref="K153">ifna(xlookup($H153,'🙎‍♂️ Pasien'!$G$7:$G371,'🙎‍♂️ Pasien'!$I$7:$I371),"")</f>
        <v>30</v>
      </c>
      <c r="L153" s="125" t="str">
        <f t="array" ref="L153">IFNA(xlookup(H153,'🙎‍♂️ Pasien'!$G$5:$G371,'🙎‍♂️ Pasien'!$J$5:$J371),"")</f>
        <v>25-34 tahun</v>
      </c>
      <c r="M153" s="125" t="str">
        <f t="array" ref="M153">IFNA(xlookup(H153,'🙎‍♂️ Pasien'!$G$5:$G371,'🙎‍♂️ Pasien'!$S$5:$S371),"")</f>
        <v>SWASTA</v>
      </c>
      <c r="N153" s="125" t="str">
        <f t="array" ref="N153">IFNA(XLOOKUP($H153,'🙎‍♂️ Pasien'!$G$7:$G371,'🙎‍♂️ Pasien'!$T$7:$T371),"")</f>
        <v>PARIT TOKAYA</v>
      </c>
      <c r="O153" s="16" t="s">
        <v>910</v>
      </c>
      <c r="P153" s="16" t="s">
        <v>836</v>
      </c>
      <c r="Q153" s="16" t="s">
        <v>29</v>
      </c>
      <c r="R153" s="16" t="s">
        <v>54</v>
      </c>
      <c r="S153" s="16" t="s">
        <v>56</v>
      </c>
      <c r="T153" s="16" t="s">
        <v>834</v>
      </c>
      <c r="U153" s="109" t="s">
        <v>994</v>
      </c>
      <c r="V153" s="126"/>
      <c r="W153" s="109"/>
      <c r="X153" s="109" t="str">
        <f t="array" ref="X153">IF(H153="","",XLOOKUP(H153,CATATANPELAYANAN[[#ALL],[NAMA PASIEN]],CATATANPELAYANAN[[#ALL],[LAYANAN]],"TIDAK CLOSING",0,-1))</f>
        <v>TERAPI AWAL</v>
      </c>
      <c r="Y153" s="109" t="str">
        <f t="shared" si="4"/>
        <v>TIDAK CLOSING</v>
      </c>
      <c r="Z153" s="127"/>
    </row>
    <row r="154" ht="22.5" customHeight="1">
      <c r="A154" s="122"/>
      <c r="B154" s="123">
        <v>45970.0</v>
      </c>
      <c r="C154" s="124" t="str">
        <f t="shared" ref="C154:C162" si="11">IF(B154="","",text(B154,"yyyy"))</f>
        <v>2025</v>
      </c>
      <c r="D154" s="124" t="str">
        <f t="shared" ref="D154:D162" si="12">IF(B154="","",text(B154,"mm")&amp;" "&amp;text(B154,"mmm"))</f>
        <v>11 Nov</v>
      </c>
      <c r="E154" s="124" t="str">
        <f t="shared" ref="E154:E162" si="13">IF(B154="","",text(B154,"ddd"))</f>
        <v>Min</v>
      </c>
      <c r="F154" s="16" t="s">
        <v>85</v>
      </c>
      <c r="G154" s="109" t="str">
        <f t="array" ref="G154">IFNA(XLOOKUP(S154,'⚙️ Pengaturan'!$H$5:$H371,'⚙️ Pengaturan'!$I$5:$I371),"")</f>
        <v>TIM Y</v>
      </c>
      <c r="H154" s="109" t="s">
        <v>486</v>
      </c>
      <c r="I154" s="125" t="str">
        <f t="array" ref="I154">ifna(xlookup($H154,'🙎‍♂️ Pasien'!$G$7:$G371,'🙎‍♂️ Pasien'!$H$7:$H371),"")</f>
        <v>S8525116452</v>
      </c>
      <c r="J154" s="125" t="str">
        <f t="array" ref="J154">ifna(xlookup($H154,'🙎‍♂️ Pasien'!$G$7:$G371,'🙎‍♂️ Pasien'!$L$7:$L371),"")</f>
        <v>PEREMPUAN</v>
      </c>
      <c r="K154" s="125">
        <f t="array" ref="K154">ifna(xlookup($H154,'🙎‍♂️ Pasien'!$G$7:$G371,'🙎‍♂️ Pasien'!$I$7:$I371),"")</f>
        <v>41</v>
      </c>
      <c r="L154" s="125" t="str">
        <f t="array" ref="L154">IFNA(xlookup(H154,'🙎‍♂️ Pasien'!$G$5:$G371,'🙎‍♂️ Pasien'!$J$5:$J371),"")</f>
        <v>35-44 tahun</v>
      </c>
      <c r="M154" s="125" t="str">
        <f t="array" ref="M154">IFNA(xlookup(H154,'🙎‍♂️ Pasien'!$G$5:$G371,'🙎‍♂️ Pasien'!$S$5:$S371),"")</f>
        <v>IRT</v>
      </c>
      <c r="N154" s="125" t="str">
        <f t="array" ref="N154">IFNA(XLOOKUP($H154,'🙎‍♂️ Pasien'!$G$7:$G371,'🙎‍♂️ Pasien'!$T$7:$T371),"")</f>
        <v>KAKI</v>
      </c>
      <c r="O154" s="16" t="s">
        <v>995</v>
      </c>
      <c r="P154" s="16" t="s">
        <v>836</v>
      </c>
      <c r="Q154" s="16" t="s">
        <v>29</v>
      </c>
      <c r="R154" s="16" t="s">
        <v>86</v>
      </c>
      <c r="S154" s="16" t="s">
        <v>91</v>
      </c>
      <c r="T154" s="16" t="s">
        <v>834</v>
      </c>
      <c r="U154" s="109" t="s">
        <v>991</v>
      </c>
      <c r="V154" s="126"/>
      <c r="W154" s="109"/>
      <c r="X154" s="109" t="str">
        <f t="array" ref="X154">IF(H154="","",XLOOKUP(H154,CATATANPELAYANAN[[#ALL],[NAMA PASIEN]],CATATANPELAYANAN[[#ALL],[LAYANAN]],"TIDAK CLOSING",0,-1))</f>
        <v>TERAPI AWAL</v>
      </c>
      <c r="Y154" s="109" t="str">
        <f t="shared" si="4"/>
        <v>TIDAK CLOSING</v>
      </c>
      <c r="Z154" s="127"/>
    </row>
    <row r="155" ht="22.5" customHeight="1">
      <c r="A155" s="122"/>
      <c r="B155" s="123">
        <v>45971.0</v>
      </c>
      <c r="C155" s="124" t="str">
        <f t="shared" si="11"/>
        <v>2025</v>
      </c>
      <c r="D155" s="124" t="str">
        <f t="shared" si="12"/>
        <v>11 Nov</v>
      </c>
      <c r="E155" s="124" t="str">
        <f t="shared" si="13"/>
        <v>Sen</v>
      </c>
      <c r="F155" s="16" t="s">
        <v>53</v>
      </c>
      <c r="G155" s="109" t="str">
        <f t="array" ref="G155">IFNA(XLOOKUP(S155,'⚙️ Pengaturan'!$H$5:$H371,'⚙️ Pengaturan'!$I$5:$I371),"")</f>
        <v>TIM Y</v>
      </c>
      <c r="H155" s="109" t="s">
        <v>490</v>
      </c>
      <c r="I155" s="125" t="str">
        <f t="array" ref="I155">ifna(xlookup($H155,'🙎‍♂️ Pasien'!$G$7:$G371,'🙎‍♂️ Pasien'!$H$7:$H371),"")</f>
        <v>R1125017999</v>
      </c>
      <c r="J155" s="125" t="str">
        <f t="array" ref="J155">ifna(xlookup($H155,'🙎‍♂️ Pasien'!$G$7:$G371,'🙎‍♂️ Pasien'!$L$7:$L371),"")</f>
        <v>LAKI-LAKI</v>
      </c>
      <c r="K155" s="125">
        <f t="array" ref="K155">ifna(xlookup($H155,'🙎‍♂️ Pasien'!$G$7:$G371,'🙎‍♂️ Pasien'!$I$7:$I371),"")</f>
        <v>14</v>
      </c>
      <c r="L155" s="125" t="str">
        <f t="array" ref="L155">IFNA(xlookup(H155,'🙎‍♂️ Pasien'!$G$5:$G371,'🙎‍♂️ Pasien'!$J$5:$J371),"")</f>
        <v>&lt; 18 tahun</v>
      </c>
      <c r="M155" s="125" t="str">
        <f t="array" ref="M155">IFNA(xlookup(H155,'🙎‍♂️ Pasien'!$G$5:$G371,'🙎‍♂️ Pasien'!$S$5:$S371),"")</f>
        <v>Siswa</v>
      </c>
      <c r="N155" s="125" t="str">
        <f t="array" ref="N155">IFNA(XLOOKUP($H155,'🙎‍♂️ Pasien'!$G$7:$G371,'🙎‍♂️ Pasien'!$T$7:$T371),"")</f>
        <v>Lutut sakit setelah main basket</v>
      </c>
      <c r="O155" s="16" t="s">
        <v>832</v>
      </c>
      <c r="P155" s="16" t="s">
        <v>833</v>
      </c>
      <c r="Q155" s="16" t="s">
        <v>28</v>
      </c>
      <c r="R155" s="16" t="s">
        <v>54</v>
      </c>
      <c r="S155" s="16" t="s">
        <v>509</v>
      </c>
      <c r="T155" s="16" t="s">
        <v>830</v>
      </c>
      <c r="U155" s="109"/>
      <c r="V155" s="126"/>
      <c r="W155" s="109"/>
      <c r="X155" s="109" t="str">
        <f t="array" ref="X155">IF(H155="","",XLOOKUP(H155,CATATANPELAYANAN[[#ALL],[NAMA PASIEN]],CATATANPELAYANAN[[#ALL],[LAYANAN]],"TIDAK CLOSING",0,-1))</f>
        <v>PAKET TERAPI</v>
      </c>
      <c r="Y155" s="109" t="str">
        <f t="shared" si="4"/>
        <v>PAKET</v>
      </c>
      <c r="Z155" s="127"/>
    </row>
    <row r="156" ht="22.5" customHeight="1">
      <c r="A156" s="122"/>
      <c r="B156" s="123">
        <v>45971.0</v>
      </c>
      <c r="C156" s="124" t="str">
        <f t="shared" si="11"/>
        <v>2025</v>
      </c>
      <c r="D156" s="124" t="str">
        <f t="shared" si="12"/>
        <v>11 Nov</v>
      </c>
      <c r="E156" s="124" t="str">
        <f t="shared" si="13"/>
        <v>Sen</v>
      </c>
      <c r="F156" s="16" t="s">
        <v>85</v>
      </c>
      <c r="G156" s="109" t="str">
        <f t="array" ref="G156">IFNA(XLOOKUP(S156,'⚙️ Pengaturan'!$H$5:$H371,'⚙️ Pengaturan'!$I$5:$I371),"")</f>
        <v>TIM Y</v>
      </c>
      <c r="H156" s="109" t="s">
        <v>493</v>
      </c>
      <c r="I156" s="125" t="str">
        <f t="array" ref="I156">ifna(xlookup($H156,'🙎‍♂️ Pasien'!$G$7:$G371,'🙎‍♂️ Pasien'!$H$7:$H371),"")</f>
        <v>W9725116553</v>
      </c>
      <c r="J156" s="125" t="str">
        <f t="array" ref="J156">ifna(xlookup($H156,'🙎‍♂️ Pasien'!$G$7:$G371,'🙎‍♂️ Pasien'!$L$7:$L371),"")</f>
        <v>LAKI-LAKI</v>
      </c>
      <c r="K156" s="125">
        <f t="array" ref="K156">ifna(xlookup($H156,'🙎‍♂️ Pasien'!$G$7:$G371,'🙎‍♂️ Pasien'!$I$7:$I371),"")</f>
        <v>28</v>
      </c>
      <c r="L156" s="125" t="str">
        <f t="array" ref="L156">IFNA(xlookup(H156,'🙎‍♂️ Pasien'!$G$5:$G371,'🙎‍♂️ Pasien'!$J$5:$J371),"")</f>
        <v>25-34 tahun</v>
      </c>
      <c r="M156" s="125" t="str">
        <f t="array" ref="M156">IFNA(xlookup(H156,'🙎‍♂️ Pasien'!$G$5:$G371,'🙎‍♂️ Pasien'!$S$5:$S371),"")</f>
        <v>WIRASWASTA</v>
      </c>
      <c r="N156" s="125" t="str">
        <f t="array" ref="N156">IFNA(XLOOKUP($H156,'🙎‍♂️ Pasien'!$G$7:$G371,'🙎‍♂️ Pasien'!$T$7:$T371),"")</f>
        <v>LUTUT SAKIT</v>
      </c>
      <c r="O156" s="16" t="s">
        <v>854</v>
      </c>
      <c r="P156" s="16" t="s">
        <v>836</v>
      </c>
      <c r="Q156" s="16" t="s">
        <v>29</v>
      </c>
      <c r="R156" s="16" t="s">
        <v>86</v>
      </c>
      <c r="S156" s="16" t="s">
        <v>56</v>
      </c>
      <c r="T156" s="16" t="s">
        <v>834</v>
      </c>
      <c r="U156" s="109" t="s">
        <v>831</v>
      </c>
      <c r="V156" s="126"/>
      <c r="W156" s="109"/>
      <c r="X156" s="109" t="str">
        <f t="array" ref="X156">IF(H156="","",XLOOKUP(H156,CATATANPELAYANAN[[#ALL],[NAMA PASIEN]],CATATANPELAYANAN[[#ALL],[LAYANAN]],"TIDAK CLOSING",0,-1))</f>
        <v>TERAPI AWAL</v>
      </c>
      <c r="Y156" s="109" t="str">
        <f t="shared" si="4"/>
        <v>TIDAK CLOSING</v>
      </c>
      <c r="Z156" s="127"/>
    </row>
    <row r="157" ht="22.5" customHeight="1">
      <c r="A157" s="122"/>
      <c r="B157" s="123">
        <v>45972.0</v>
      </c>
      <c r="C157" s="124" t="str">
        <f t="shared" si="11"/>
        <v>2025</v>
      </c>
      <c r="D157" s="124" t="str">
        <f t="shared" si="12"/>
        <v>11 Nov</v>
      </c>
      <c r="E157" s="124" t="str">
        <f t="shared" si="13"/>
        <v>Sel</v>
      </c>
      <c r="F157" s="16" t="s">
        <v>53</v>
      </c>
      <c r="G157" s="109" t="str">
        <f t="array" ref="G157">IFNA(XLOOKUP(S157,'⚙️ Pengaturan'!$H$5:$H371,'⚙️ Pengaturan'!$I$5:$I371),"")</f>
        <v>TIM Y</v>
      </c>
      <c r="H157" s="109" t="s">
        <v>496</v>
      </c>
      <c r="I157" s="125" t="str">
        <f t="array" ref="I157">ifna(xlookup($H157,'🙎‍♂️ Pasien'!$G$7:$G371,'🙎‍♂️ Pasien'!$H$7:$H371),"")</f>
        <v>T5625119994</v>
      </c>
      <c r="J157" s="125" t="str">
        <f t="array" ref="J157">ifna(xlookup($H157,'🙎‍♂️ Pasien'!$G$7:$G371,'🙎‍♂️ Pasien'!$L$7:$L371),"")</f>
        <v>LAKI-LAKI</v>
      </c>
      <c r="K157" s="125">
        <f t="array" ref="K157">ifna(xlookup($H157,'🙎‍♂️ Pasien'!$G$7:$G371,'🙎‍♂️ Pasien'!$I$7:$I371),"")</f>
        <v>70</v>
      </c>
      <c r="L157" s="125" t="str">
        <f t="array" ref="L157">IFNA(xlookup(H157,'🙎‍♂️ Pasien'!$G$5:$G371,'🙎‍♂️ Pasien'!$J$5:$J371),"")</f>
        <v>&gt; 44 tahun</v>
      </c>
      <c r="M157" s="125" t="str">
        <f t="array" ref="M157">IFNA(xlookup(H157,'🙎‍♂️ Pasien'!$G$5:$G371,'🙎‍♂️ Pasien'!$S$5:$S371),"")</f>
        <v>WIRASWASTA</v>
      </c>
      <c r="N157" s="125" t="str">
        <f t="array" ref="N157">IFNA(XLOOKUP($H157,'🙎‍♂️ Pasien'!$G$7:$G371,'🙎‍♂️ Pasien'!$T$7:$T371),"")</f>
        <v>TULANG BELAKANG MULAI BUNGKUK, KESEIMBANGAN KURANG BAGUS</v>
      </c>
      <c r="O157" s="16" t="s">
        <v>871</v>
      </c>
      <c r="P157" s="16" t="s">
        <v>848</v>
      </c>
      <c r="Q157" s="16" t="s">
        <v>29</v>
      </c>
      <c r="R157" s="16" t="s">
        <v>86</v>
      </c>
      <c r="S157" s="16" t="s">
        <v>56</v>
      </c>
      <c r="T157" s="16" t="s">
        <v>830</v>
      </c>
      <c r="U157" s="109"/>
      <c r="V157" s="126"/>
      <c r="W157" s="109"/>
      <c r="X157" s="109" t="str">
        <f t="array" ref="X157">IF(H157="","",XLOOKUP(H157,CATATANPELAYANAN[[#ALL],[NAMA PASIEN]],CATATANPELAYANAN[[#ALL],[LAYANAN]],"TIDAK CLOSING",0,-1))</f>
        <v>PAKET TERAPI</v>
      </c>
      <c r="Y157" s="109" t="str">
        <f t="shared" si="4"/>
        <v>PAKET</v>
      </c>
      <c r="Z157" s="127"/>
    </row>
    <row r="158" ht="22.5" customHeight="1">
      <c r="A158" s="122"/>
      <c r="B158" s="123">
        <v>45972.0</v>
      </c>
      <c r="C158" s="124" t="str">
        <f t="shared" si="11"/>
        <v>2025</v>
      </c>
      <c r="D158" s="124" t="str">
        <f t="shared" si="12"/>
        <v>11 Nov</v>
      </c>
      <c r="E158" s="124" t="str">
        <f t="shared" si="13"/>
        <v>Sel</v>
      </c>
      <c r="F158" s="16" t="s">
        <v>53</v>
      </c>
      <c r="G158" s="109" t="str">
        <f t="array" ref="G158">IFNA(XLOOKUP(S158,'⚙️ Pengaturan'!$H$5:$H371,'⚙️ Pengaturan'!$I$5:$I371),"")</f>
        <v>MANAJEMEN</v>
      </c>
      <c r="H158" s="109" t="s">
        <v>495</v>
      </c>
      <c r="I158" s="125" t="str">
        <f t="array" ref="I158">ifna(xlookup($H158,'🙎‍♂️ Pasien'!$G$7:$G371,'🙎‍♂️ Pasien'!$H$7:$H371),"")</f>
        <v>S0125117555</v>
      </c>
      <c r="J158" s="125" t="str">
        <f t="array" ref="J158">ifna(xlookup($H158,'🙎‍♂️ Pasien'!$G$7:$G371,'🙎‍♂️ Pasien'!$L$7:$L371),"")</f>
        <v>LAKI-LAKI</v>
      </c>
      <c r="K158" s="125">
        <f t="array" ref="K158">ifna(xlookup($H158,'🙎‍♂️ Pasien'!$G$7:$G371,'🙎‍♂️ Pasien'!$I$7:$I371),"")</f>
        <v>24</v>
      </c>
      <c r="L158" s="125" t="str">
        <f t="array" ref="L158">IFNA(xlookup(H158,'🙎‍♂️ Pasien'!$G$5:$G371,'🙎‍♂️ Pasien'!$J$5:$J371),"")</f>
        <v>18-24 tahun</v>
      </c>
      <c r="M158" s="125" t="str">
        <f t="array" ref="M158">IFNA(xlookup(H158,'🙎‍♂️ Pasien'!$G$5:$G371,'🙎‍♂️ Pasien'!$S$5:$S371),"")</f>
        <v>SWASTA</v>
      </c>
      <c r="N158" s="125" t="str">
        <f t="array" ref="N158">IFNA(XLOOKUP($H158,'🙎‍♂️ Pasien'!$G$7:$G371,'🙎‍♂️ Pasien'!$T$7:$T371),"")</f>
        <v>ANKLE</v>
      </c>
      <c r="O158" s="16" t="s">
        <v>832</v>
      </c>
      <c r="P158" s="16" t="s">
        <v>833</v>
      </c>
      <c r="Q158" s="16" t="s">
        <v>29</v>
      </c>
      <c r="R158" s="16" t="s">
        <v>86</v>
      </c>
      <c r="S158" s="16" t="s">
        <v>101</v>
      </c>
      <c r="T158" s="16" t="s">
        <v>834</v>
      </c>
      <c r="U158" s="109" t="s">
        <v>996</v>
      </c>
      <c r="V158" s="126"/>
      <c r="W158" s="109"/>
      <c r="X158" s="109" t="str">
        <f t="array" ref="X158">IF(H158="","",XLOOKUP(H158,CATATANPELAYANAN[[#ALL],[NAMA PASIEN]],CATATANPELAYANAN[[#ALL],[LAYANAN]],"TIDAK CLOSING",0,-1))</f>
        <v>TERAPI AWAL</v>
      </c>
      <c r="Y158" s="109" t="str">
        <f t="shared" si="4"/>
        <v>TIDAK CLOSING</v>
      </c>
      <c r="Z158" s="127"/>
    </row>
    <row r="159" ht="22.5" customHeight="1">
      <c r="A159" s="122"/>
      <c r="B159" s="123">
        <v>45972.0</v>
      </c>
      <c r="C159" s="124" t="str">
        <f t="shared" si="11"/>
        <v>2025</v>
      </c>
      <c r="D159" s="124" t="str">
        <f t="shared" si="12"/>
        <v>11 Nov</v>
      </c>
      <c r="E159" s="124" t="str">
        <f t="shared" si="13"/>
        <v>Sel</v>
      </c>
      <c r="F159" s="16" t="s">
        <v>53</v>
      </c>
      <c r="G159" s="109" t="str">
        <f t="array" ref="G159">IFNA(XLOOKUP(S159,'⚙️ Pengaturan'!$H$5:$H371,'⚙️ Pengaturan'!$I$5:$I371),"")</f>
        <v>TIM A</v>
      </c>
      <c r="H159" s="109" t="s">
        <v>499</v>
      </c>
      <c r="I159" s="125" t="str">
        <f t="array" ref="I159">ifna(xlookup($H159,'🙎‍♂️ Pasien'!$G$7:$G371,'🙎‍♂️ Pasien'!$H$7:$H371),"")</f>
        <v>S6025112254</v>
      </c>
      <c r="J159" s="125" t="str">
        <f t="array" ref="J159">ifna(xlookup($H159,'🙎‍♂️ Pasien'!$G$7:$G371,'🙎‍♂️ Pasien'!$L$7:$L371),"")</f>
        <v>PEREMPUAN</v>
      </c>
      <c r="K159" s="125">
        <f t="array" ref="K159">ifna(xlookup($H159,'🙎‍♂️ Pasien'!$G$7:$G371,'🙎‍♂️ Pasien'!$I$7:$I371),"")</f>
        <v>65</v>
      </c>
      <c r="L159" s="125" t="str">
        <f t="array" ref="L159">IFNA(xlookup(H159,'🙎‍♂️ Pasien'!$G$5:$G371,'🙎‍♂️ Pasien'!$J$5:$J371),"")</f>
        <v>&gt; 44 tahun</v>
      </c>
      <c r="M159" s="125" t="str">
        <f t="array" ref="M159">IFNA(xlookup(H159,'🙎‍♂️ Pasien'!$G$5:$G371,'🙎‍♂️ Pasien'!$S$5:$S371),"")</f>
        <v>PENSIUNAN</v>
      </c>
      <c r="N159" s="125" t="str">
        <f t="array" ref="N159">IFNA(XLOOKUP($H159,'🙎‍♂️ Pasien'!$G$7:$G371,'🙎‍♂️ Pasien'!$T$7:$T371),"")</f>
        <v>LUTUS SAKIT SAAT BERDIRI ATAU JALAN</v>
      </c>
      <c r="O159" s="16" t="s">
        <v>902</v>
      </c>
      <c r="P159" s="16" t="s">
        <v>836</v>
      </c>
      <c r="Q159" s="16" t="s">
        <v>29</v>
      </c>
      <c r="R159" s="16" t="s">
        <v>86</v>
      </c>
      <c r="S159" s="16" t="s">
        <v>62</v>
      </c>
      <c r="T159" s="16" t="s">
        <v>827</v>
      </c>
      <c r="U159" s="109"/>
      <c r="V159" s="126"/>
      <c r="W159" s="109"/>
      <c r="X159" s="109" t="str">
        <f t="array" ref="X159">IF(H159="","",XLOOKUP(H159,CATATANPELAYANAN[[#ALL],[NAMA PASIEN]],CATATANPELAYANAN[[#ALL],[LAYANAN]],"TIDAK CLOSING",0,-1))</f>
        <v>SESI TERAPI</v>
      </c>
      <c r="Y159" s="109" t="str">
        <f t="shared" si="4"/>
        <v>SESI</v>
      </c>
      <c r="Z159" s="127"/>
    </row>
    <row r="160" ht="22.5" customHeight="1">
      <c r="A160" s="122"/>
      <c r="B160" s="123">
        <v>45972.0</v>
      </c>
      <c r="C160" s="124" t="str">
        <f t="shared" si="11"/>
        <v>2025</v>
      </c>
      <c r="D160" s="124" t="str">
        <f t="shared" si="12"/>
        <v>11 Nov</v>
      </c>
      <c r="E160" s="124" t="str">
        <f t="shared" si="13"/>
        <v>Sel</v>
      </c>
      <c r="F160" s="16" t="s">
        <v>85</v>
      </c>
      <c r="G160" s="109" t="str">
        <f t="array" ref="G160">IFNA(XLOOKUP(S160,'⚙️ Pengaturan'!$H$5:$H371,'⚙️ Pengaturan'!$I$5:$I371),"")</f>
        <v>TIM Y</v>
      </c>
      <c r="H160" s="109" t="s">
        <v>500</v>
      </c>
      <c r="I160" s="125" t="str">
        <f t="array" ref="I160">ifna(xlookup($H160,'🙎‍♂️ Pasien'!$G$7:$G371,'🙎‍♂️ Pasien'!$H$7:$H371),"")</f>
        <v>M0125099595</v>
      </c>
      <c r="J160" s="125" t="str">
        <f t="array" ref="J160">ifna(xlookup($H160,'🙎‍♂️ Pasien'!$G$7:$G371,'🙎‍♂️ Pasien'!$L$7:$L371),"")</f>
        <v>LAKI-LAKI</v>
      </c>
      <c r="K160" s="125">
        <f t="array" ref="K160">ifna(xlookup($H160,'🙎‍♂️ Pasien'!$G$7:$G371,'🙎‍♂️ Pasien'!$I$7:$I371),"")</f>
        <v>24</v>
      </c>
      <c r="L160" s="125" t="str">
        <f t="array" ref="L160">IFNA(xlookup(H160,'🙎‍♂️ Pasien'!$G$5:$G371,'🙎‍♂️ Pasien'!$J$5:$J371),"")</f>
        <v>18-24 tahun</v>
      </c>
      <c r="M160" s="125" t="str">
        <f t="array" ref="M160">IFNA(xlookup(H160,'🙎‍♂️ Pasien'!$G$5:$G371,'🙎‍♂️ Pasien'!$S$5:$S371),"")</f>
        <v>KARYAWAN</v>
      </c>
      <c r="N160" s="125" t="str">
        <f t="array" ref="N160">IFNA(XLOOKUP($H160,'🙎‍♂️ Pasien'!$G$7:$G371,'🙎‍♂️ Pasien'!$T$7:$T371),"")</f>
        <v>LUTUT</v>
      </c>
      <c r="O160" s="16" t="s">
        <v>854</v>
      </c>
      <c r="P160" s="16" t="s">
        <v>836</v>
      </c>
      <c r="Q160" s="16" t="s">
        <v>28</v>
      </c>
      <c r="R160" s="16" t="s">
        <v>54</v>
      </c>
      <c r="S160" s="16" t="s">
        <v>91</v>
      </c>
      <c r="T160" s="16" t="s">
        <v>827</v>
      </c>
      <c r="U160" s="109" t="s">
        <v>997</v>
      </c>
      <c r="V160" s="126"/>
      <c r="W160" s="109"/>
      <c r="X160" s="109" t="str">
        <f t="array" ref="X160">IF(H160="","",XLOOKUP(H160,CATATANPELAYANAN[[#ALL],[NAMA PASIEN]],CATATANPELAYANAN[[#ALL],[LAYANAN]],"TIDAK CLOSING",0,-1))</f>
        <v>SESI TERAPI</v>
      </c>
      <c r="Y160" s="109" t="str">
        <f t="shared" si="4"/>
        <v>SESI</v>
      </c>
      <c r="Z160" s="127"/>
    </row>
    <row r="161" ht="22.5" customHeight="1">
      <c r="A161" s="122"/>
      <c r="B161" s="123">
        <v>45972.0</v>
      </c>
      <c r="C161" s="124" t="str">
        <f t="shared" si="11"/>
        <v>2025</v>
      </c>
      <c r="D161" s="124" t="str">
        <f t="shared" si="12"/>
        <v>11 Nov</v>
      </c>
      <c r="E161" s="124" t="str">
        <f t="shared" si="13"/>
        <v>Sel</v>
      </c>
      <c r="F161" s="16" t="s">
        <v>85</v>
      </c>
      <c r="G161" s="109" t="str">
        <f t="array" ref="G161">IFNA(XLOOKUP(S161,'⚙️ Pengaturan'!$H$5:$H371,'⚙️ Pengaturan'!$I$5:$I371),"")</f>
        <v>TIM Y</v>
      </c>
      <c r="H161" s="109" t="s">
        <v>501</v>
      </c>
      <c r="I161" s="125" t="str">
        <f t="array" ref="I161">ifna(xlookup($H161,'🙎‍♂️ Pasien'!$G$7:$G371,'🙎‍♂️ Pasien'!$H$7:$H371),"")</f>
        <v>C9025117272</v>
      </c>
      <c r="J161" s="125" t="str">
        <f t="array" ref="J161">ifna(xlookup($H161,'🙎‍♂️ Pasien'!$G$7:$G371,'🙎‍♂️ Pasien'!$L$7:$L371),"")</f>
        <v>PEREMPUAN</v>
      </c>
      <c r="K161" s="125">
        <f t="array" ref="K161">ifna(xlookup($H161,'🙎‍♂️ Pasien'!$G$7:$G371,'🙎‍♂️ Pasien'!$I$7:$I371),"")</f>
        <v>35</v>
      </c>
      <c r="L161" s="125" t="str">
        <f t="array" ref="L161">IFNA(xlookup(H161,'🙎‍♂️ Pasien'!$G$5:$G371,'🙎‍♂️ Pasien'!$J$5:$J371),"")</f>
        <v>35-44 tahun</v>
      </c>
      <c r="M161" s="125" t="str">
        <f t="array" ref="M161">IFNA(xlookup(H161,'🙎‍♂️ Pasien'!$G$5:$G371,'🙎‍♂️ Pasien'!$S$5:$S371),"")</f>
        <v>IBU RUMAH TANGGA</v>
      </c>
      <c r="N161" s="125" t="str">
        <f t="array" ref="N161">IFNA(XLOOKUP($H161,'🙎‍♂️ Pasien'!$G$7:$G371,'🙎‍♂️ Pasien'!$T$7:$T371),"")</f>
        <v>SENDI LUTUT BERGESER</v>
      </c>
      <c r="O161" s="16" t="s">
        <v>910</v>
      </c>
      <c r="P161" s="16" t="s">
        <v>836</v>
      </c>
      <c r="Q161" s="16" t="s">
        <v>29</v>
      </c>
      <c r="R161" s="16" t="s">
        <v>54</v>
      </c>
      <c r="S161" s="16" t="s">
        <v>91</v>
      </c>
      <c r="T161" s="16" t="s">
        <v>830</v>
      </c>
      <c r="U161" s="109"/>
      <c r="V161" s="126"/>
      <c r="W161" s="109"/>
      <c r="X161" s="109" t="str">
        <f t="array" ref="X161">IF(H161="","",XLOOKUP(H161,CATATANPELAYANAN[[#ALL],[NAMA PASIEN]],CATATANPELAYANAN[[#ALL],[LAYANAN]],"TIDAK CLOSING",0,-1))</f>
        <v>PAKET TERAPI</v>
      </c>
      <c r="Y161" s="109" t="str">
        <f t="shared" si="4"/>
        <v>PAKET</v>
      </c>
      <c r="Z161" s="127"/>
    </row>
    <row r="162" ht="22.5" customHeight="1">
      <c r="A162" s="122"/>
      <c r="B162" s="123">
        <v>45973.0</v>
      </c>
      <c r="C162" s="124" t="str">
        <f t="shared" si="11"/>
        <v>2025</v>
      </c>
      <c r="D162" s="124" t="str">
        <f t="shared" si="12"/>
        <v>11 Nov</v>
      </c>
      <c r="E162" s="124" t="str">
        <f t="shared" si="13"/>
        <v>Rab</v>
      </c>
      <c r="F162" s="16" t="s">
        <v>53</v>
      </c>
      <c r="G162" s="109" t="str">
        <f t="array" ref="G162">IFNA(XLOOKUP(S162,'⚙️ Pengaturan'!$H$5:$H371,'⚙️ Pengaturan'!$I$5:$I371),"")</f>
        <v>TIM Y</v>
      </c>
      <c r="H162" s="109" t="s">
        <v>998</v>
      </c>
      <c r="I162" s="125" t="str">
        <f t="array" ref="I162">ifna(xlookup($H162,'🙎‍♂️ Pasien'!$G$7:$G371,'🙎‍♂️ Pasien'!$H$7:$H371),"")</f>
        <v/>
      </c>
      <c r="J162" s="125" t="str">
        <f t="array" ref="J162">ifna(xlookup($H162,'🙎‍♂️ Pasien'!$G$7:$G371,'🙎‍♂️ Pasien'!$L$7:$L371),"")</f>
        <v/>
      </c>
      <c r="K162" s="125" t="str">
        <f t="array" ref="K162">ifna(xlookup($H162,'🙎‍♂️ Pasien'!$G$7:$G371,'🙎‍♂️ Pasien'!$I$7:$I371),"")</f>
        <v/>
      </c>
      <c r="L162" s="125" t="str">
        <f t="array" ref="L162">IFNA(xlookup(H162,'🙎‍♂️ Pasien'!$G$5:$G371,'🙎‍♂️ Pasien'!$J$5:$J371),"")</f>
        <v/>
      </c>
      <c r="M162" s="125" t="str">
        <f t="array" ref="M162">IFNA(xlookup(H162,'🙎‍♂️ Pasien'!$G$5:$G371,'🙎‍♂️ Pasien'!$S$5:$S371),"")</f>
        <v/>
      </c>
      <c r="N162" s="125" t="str">
        <f t="array" ref="N162">IFNA(XLOOKUP($H162,'🙎‍♂️ Pasien'!$G$7:$G371,'🙎‍♂️ Pasien'!$T$7:$T371),"")</f>
        <v/>
      </c>
      <c r="O162" s="16" t="s">
        <v>982</v>
      </c>
      <c r="P162" s="16" t="s">
        <v>882</v>
      </c>
      <c r="Q162" s="16" t="s">
        <v>29</v>
      </c>
      <c r="R162" s="16" t="s">
        <v>54</v>
      </c>
      <c r="S162" s="16" t="s">
        <v>56</v>
      </c>
      <c r="T162" s="16" t="s">
        <v>834</v>
      </c>
      <c r="U162" s="109" t="s">
        <v>831</v>
      </c>
      <c r="V162" s="126"/>
      <c r="W162" s="109"/>
      <c r="X162" s="109" t="str">
        <f t="array" ref="X162">IF(H162="","",XLOOKUP(H162,CATATANPELAYANAN[[#ALL],[NAMA PASIEN]],CATATANPELAYANAN[[#ALL],[LAYANAN]],"TIDAK CLOSING",0,-1))</f>
        <v>TIDAK CLOSING</v>
      </c>
      <c r="Y162" s="109" t="str">
        <f t="shared" si="4"/>
        <v>TIDAK CLOSING</v>
      </c>
      <c r="Z162" s="127"/>
    </row>
    <row r="163" ht="22.5" customHeight="1">
      <c r="A163" s="122"/>
      <c r="B163" s="123">
        <v>45973.0</v>
      </c>
      <c r="C163" s="124" t="s">
        <v>963</v>
      </c>
      <c r="D163" s="124" t="s">
        <v>24</v>
      </c>
      <c r="E163" s="124" t="s">
        <v>999</v>
      </c>
      <c r="F163" s="16" t="s">
        <v>53</v>
      </c>
      <c r="G163" s="109" t="str">
        <f t="array" ref="G163">IFNA(XLOOKUP(S163,'⚙️ Pengaturan'!$H$5:$H371,'⚙️ Pengaturan'!$I$5:$I371),"")</f>
        <v>TIM Y</v>
      </c>
      <c r="H163" s="109" t="s">
        <v>505</v>
      </c>
      <c r="I163" s="125" t="str">
        <f t="array" ref="I163">ifna(xlookup($H163,'🙎‍♂️ Pasien'!$G$7:$G371,'🙎‍♂️ Pasien'!$H$7:$H371),"")</f>
        <v>E7523087500</v>
      </c>
      <c r="J163" s="125" t="str">
        <f t="array" ref="J163">ifna(xlookup($H163,'🙎‍♂️ Pasien'!$G$7:$G371,'🙎‍♂️ Pasien'!$L$7:$L371),"")</f>
        <v>LAKI-LAKI</v>
      </c>
      <c r="K163" s="125">
        <f t="array" ref="K163">ifna(xlookup($H163,'🙎‍♂️ Pasien'!$G$7:$G371,'🙎‍♂️ Pasien'!$I$7:$I371),"")</f>
        <v>50</v>
      </c>
      <c r="L163" s="125" t="str">
        <f t="array" ref="L163">IFNA(xlookup(H163,'🙎‍♂️ Pasien'!$G$5:$G371,'🙎‍♂️ Pasien'!$J$5:$J371),"")</f>
        <v>&gt; 44 tahun</v>
      </c>
      <c r="M163" s="125" t="str">
        <f t="array" ref="M163">IFNA(xlookup(H163,'🙎‍♂️ Pasien'!$G$5:$G371,'🙎‍♂️ Pasien'!$S$5:$S371),"")</f>
        <v>WIRASWASTA</v>
      </c>
      <c r="N163" s="125" t="str">
        <f t="array" ref="N163">IFNA(XLOOKUP($H163,'🙎‍♂️ Pasien'!$G$7:$G371,'🙎‍♂️ Pasien'!$T$7:$T371),"")</f>
        <v>LEHER DAN BAHU</v>
      </c>
      <c r="O163" s="16" t="s">
        <v>928</v>
      </c>
      <c r="P163" s="16" t="s">
        <v>833</v>
      </c>
      <c r="Q163" s="16" t="s">
        <v>28</v>
      </c>
      <c r="R163" s="16" t="s">
        <v>54</v>
      </c>
      <c r="S163" s="16" t="s">
        <v>56</v>
      </c>
      <c r="T163" s="16" t="s">
        <v>834</v>
      </c>
      <c r="U163" s="109" t="s">
        <v>1000</v>
      </c>
      <c r="V163" s="126"/>
      <c r="W163" s="109"/>
      <c r="X163" s="109" t="str">
        <f t="array" ref="X163">IF(H163="","",XLOOKUP(H163,CATATANPELAYANAN[[#ALL],[NAMA PASIEN]],CATATANPELAYANAN[[#ALL],[LAYANAN]],"TIDAK CLOSING",0,-1))</f>
        <v>TERAPI AWAL</v>
      </c>
      <c r="Y163" s="109" t="str">
        <f t="shared" si="4"/>
        <v>TIDAK CLOSING</v>
      </c>
      <c r="Z163" s="127"/>
    </row>
    <row r="164" ht="22.5" customHeight="1">
      <c r="A164" s="122"/>
      <c r="B164" s="123">
        <v>45973.0</v>
      </c>
      <c r="C164" s="124" t="str">
        <f t="shared" ref="C164:C166" si="14">IF(B164="","",text(B164,"yyyy"))</f>
        <v>2025</v>
      </c>
      <c r="D164" s="124" t="str">
        <f t="shared" ref="D164:D166" si="15">IF(B164="","",text(B164,"mm")&amp;" "&amp;text(B164,"mmm"))</f>
        <v>11 Nov</v>
      </c>
      <c r="E164" s="124" t="str">
        <f t="shared" ref="E164:E166" si="16">IF(B164="","",text(B164,"ddd"))</f>
        <v>Rab</v>
      </c>
      <c r="F164" s="16" t="s">
        <v>53</v>
      </c>
      <c r="G164" s="109" t="str">
        <f t="array" ref="G164">IFNA(XLOOKUP(S164,'⚙️ Pengaturan'!$H$5:$H371,'⚙️ Pengaturan'!$I$5:$I371),"")</f>
        <v>TIM Y</v>
      </c>
      <c r="H164" s="109" t="s">
        <v>507</v>
      </c>
      <c r="I164" s="125" t="str">
        <f t="array" ref="I164">ifna(xlookup($H164,'🙎‍♂️ Pasien'!$G$7:$G371,'🙎‍♂️ Pasien'!$H$7:$H371),"")</f>
        <v>S0125112891</v>
      </c>
      <c r="J164" s="125" t="str">
        <f t="array" ref="J164">ifna(xlookup($H164,'🙎‍♂️ Pasien'!$G$7:$G371,'🙎‍♂️ Pasien'!$L$7:$L371),"")</f>
        <v>PEREMPUAN</v>
      </c>
      <c r="K164" s="125">
        <f t="array" ref="K164">ifna(xlookup($H164,'🙎‍♂️ Pasien'!$G$7:$G371,'🙎‍♂️ Pasien'!$I$7:$I371),"")</f>
        <v>25</v>
      </c>
      <c r="L164" s="125" t="str">
        <f t="array" ref="L164">IFNA(xlookup(H164,'🙎‍♂️ Pasien'!$G$5:$G371,'🙎‍♂️ Pasien'!$J$5:$J371),"")</f>
        <v>25-34 tahun</v>
      </c>
      <c r="M164" s="125" t="str">
        <f t="array" ref="M164">IFNA(xlookup(H164,'🙎‍♂️ Pasien'!$G$5:$G371,'🙎‍♂️ Pasien'!$S$5:$S371),"")</f>
        <v>MAHASISWA</v>
      </c>
      <c r="N164" s="125" t="str">
        <f t="array" ref="N164">IFNA(XLOOKUP($H164,'🙎‍♂️ Pasien'!$G$7:$G371,'🙎‍♂️ Pasien'!$T$7:$T371),"")</f>
        <v>OTOT KAKI PERNAH SOBEK, KALAU OLAHRAGA SERING SAKIT DI LUTUT KIRI</v>
      </c>
      <c r="O164" s="16" t="s">
        <v>954</v>
      </c>
      <c r="P164" s="16" t="s">
        <v>836</v>
      </c>
      <c r="Q164" s="16" t="s">
        <v>29</v>
      </c>
      <c r="R164" s="16" t="s">
        <v>86</v>
      </c>
      <c r="S164" s="16" t="s">
        <v>107</v>
      </c>
      <c r="T164" s="16" t="s">
        <v>830</v>
      </c>
      <c r="U164" s="109"/>
      <c r="V164" s="126"/>
      <c r="W164" s="109"/>
      <c r="X164" s="109" t="str">
        <f t="array" ref="X164">IF(H164="","",XLOOKUP(H164,CATATANPELAYANAN[[#ALL],[NAMA PASIEN]],CATATANPELAYANAN[[#ALL],[LAYANAN]],"TIDAK CLOSING",0,-1))</f>
        <v>PAKET TERAPI</v>
      </c>
      <c r="Y164" s="109" t="str">
        <f t="shared" si="4"/>
        <v>PAKET</v>
      </c>
      <c r="Z164" s="127"/>
    </row>
    <row r="165" ht="22.5" customHeight="1">
      <c r="A165" s="122"/>
      <c r="B165" s="123">
        <v>45973.0</v>
      </c>
      <c r="C165" s="124" t="str">
        <f t="shared" si="14"/>
        <v>2025</v>
      </c>
      <c r="D165" s="124" t="str">
        <f t="shared" si="15"/>
        <v>11 Nov</v>
      </c>
      <c r="E165" s="124" t="str">
        <f t="shared" si="16"/>
        <v>Rab</v>
      </c>
      <c r="F165" s="16" t="s">
        <v>53</v>
      </c>
      <c r="G165" s="109" t="str">
        <f t="array" ref="G165">IFNA(XLOOKUP(S165,'⚙️ Pengaturan'!$H$5:$H371,'⚙️ Pengaturan'!$I$5:$I371),"")</f>
        <v>TIM Y</v>
      </c>
      <c r="H165" s="109" t="s">
        <v>1001</v>
      </c>
      <c r="I165" s="125" t="str">
        <f t="array" ref="I165">ifna(xlookup($H165,'🙎‍♂️ Pasien'!$G$7:$G371,'🙎‍♂️ Pasien'!$H$7:$H371),"")</f>
        <v/>
      </c>
      <c r="J165" s="125" t="str">
        <f t="array" ref="J165">ifna(xlookup($H165,'🙎‍♂️ Pasien'!$G$7:$G371,'🙎‍♂️ Pasien'!$L$7:$L371),"")</f>
        <v/>
      </c>
      <c r="K165" s="125" t="str">
        <f t="array" ref="K165">ifna(xlookup($H165,'🙎‍♂️ Pasien'!$G$7:$G371,'🙎‍♂️ Pasien'!$I$7:$I371),"")</f>
        <v/>
      </c>
      <c r="L165" s="125" t="str">
        <f t="array" ref="L165">IFNA(xlookup(H165,'🙎‍♂️ Pasien'!$G$5:$G371,'🙎‍♂️ Pasien'!$J$5:$J371),"")</f>
        <v/>
      </c>
      <c r="M165" s="125" t="str">
        <f t="array" ref="M165">IFNA(xlookup(H165,'🙎‍♂️ Pasien'!$G$5:$G371,'🙎‍♂️ Pasien'!$S$5:$S371),"")</f>
        <v/>
      </c>
      <c r="N165" s="125" t="str">
        <f t="array" ref="N165">IFNA(XLOOKUP($H165,'🙎‍♂️ Pasien'!$G$7:$G371,'🙎‍♂️ Pasien'!$T$7:$T371),"")</f>
        <v/>
      </c>
      <c r="O165" s="16" t="s">
        <v>832</v>
      </c>
      <c r="P165" s="16" t="s">
        <v>833</v>
      </c>
      <c r="Q165" s="16" t="s">
        <v>29</v>
      </c>
      <c r="R165" s="16" t="s">
        <v>86</v>
      </c>
      <c r="S165" s="16" t="s">
        <v>91</v>
      </c>
      <c r="T165" s="16" t="s">
        <v>834</v>
      </c>
      <c r="U165" s="109" t="s">
        <v>1002</v>
      </c>
      <c r="V165" s="126"/>
      <c r="W165" s="109"/>
      <c r="X165" s="109" t="str">
        <f t="array" ref="X165">IF(H165="","",XLOOKUP(H165,CATATANPELAYANAN[[#ALL],[NAMA PASIEN]],CATATANPELAYANAN[[#ALL],[LAYANAN]],"TIDAK CLOSING",0,-1))</f>
        <v>TIDAK CLOSING</v>
      </c>
      <c r="Y165" s="109" t="str">
        <f t="shared" si="4"/>
        <v>TIDAK CLOSING</v>
      </c>
      <c r="Z165" s="127"/>
    </row>
    <row r="166" ht="22.5" customHeight="1">
      <c r="A166" s="122"/>
      <c r="B166" s="123">
        <v>45974.0</v>
      </c>
      <c r="C166" s="124" t="str">
        <f t="shared" si="14"/>
        <v>2025</v>
      </c>
      <c r="D166" s="124" t="str">
        <f t="shared" si="15"/>
        <v>11 Nov</v>
      </c>
      <c r="E166" s="124" t="str">
        <f t="shared" si="16"/>
        <v>Kam</v>
      </c>
      <c r="F166" s="16" t="s">
        <v>53</v>
      </c>
      <c r="G166" s="109" t="str">
        <f t="array" ref="G166">IFNA(XLOOKUP(S166,'⚙️ Pengaturan'!$H$5:$H371,'⚙️ Pengaturan'!$I$5:$I371),"")</f>
        <v>TIM Y</v>
      </c>
      <c r="H166" s="109" t="s">
        <v>511</v>
      </c>
      <c r="I166" s="125" t="str">
        <f t="array" ref="I166">ifna(xlookup($H166,'🙎‍♂️ Pasien'!$G$7:$G371,'🙎‍♂️ Pasien'!$H$7:$H371),"")</f>
        <v>E9325071431</v>
      </c>
      <c r="J166" s="125" t="str">
        <f t="array" ref="J166">ifna(xlookup($H166,'🙎‍♂️ Pasien'!$G$7:$G371,'🙎‍♂️ Pasien'!$L$7:$L371),"")</f>
        <v>PEREMPUAN</v>
      </c>
      <c r="K166" s="125">
        <f t="array" ref="K166">ifna(xlookup($H166,'🙎‍♂️ Pasien'!$G$7:$G371,'🙎‍♂️ Pasien'!$I$7:$I371),"")</f>
        <v>33</v>
      </c>
      <c r="L166" s="125" t="str">
        <f t="array" ref="L166">IFNA(xlookup(H166,'🙎‍♂️ Pasien'!$G$5:$G371,'🙎‍♂️ Pasien'!$J$5:$J371),"")</f>
        <v>25-34 tahun</v>
      </c>
      <c r="M166" s="125" t="str">
        <f t="array" ref="M166">IFNA(xlookup(H166,'🙎‍♂️ Pasien'!$G$5:$G371,'🙎‍♂️ Pasien'!$S$5:$S371),"")</f>
        <v>WIRASWASTA</v>
      </c>
      <c r="N166" s="125" t="str">
        <f t="array" ref="N166">IFNA(XLOOKUP($H166,'🙎‍♂️ Pasien'!$G$7:$G371,'🙎‍♂️ Pasien'!$T$7:$T371),"")</f>
        <v>PUNDAK PEGAL</v>
      </c>
      <c r="O166" s="16" t="s">
        <v>828</v>
      </c>
      <c r="P166" s="16" t="s">
        <v>851</v>
      </c>
      <c r="Q166" s="16" t="s">
        <v>28</v>
      </c>
      <c r="R166" s="16" t="s">
        <v>54</v>
      </c>
      <c r="S166" s="16" t="s">
        <v>91</v>
      </c>
      <c r="T166" s="16" t="s">
        <v>830</v>
      </c>
      <c r="U166" s="109"/>
      <c r="V166" s="126"/>
      <c r="W166" s="109"/>
      <c r="X166" s="109" t="str">
        <f t="array" ref="X166">IF(H166="","",XLOOKUP(H166,CATATANPELAYANAN[[#ALL],[NAMA PASIEN]],CATATANPELAYANAN[[#ALL],[LAYANAN]],"TIDAK CLOSING",0,-1))</f>
        <v>TERAPI AWAL</v>
      </c>
      <c r="Y166" s="109" t="str">
        <f t="shared" si="4"/>
        <v>TIDAK CLOSING</v>
      </c>
      <c r="Z166" s="127"/>
    </row>
    <row r="167" ht="22.5" customHeight="1">
      <c r="A167" s="122"/>
      <c r="B167" s="123">
        <v>45974.0</v>
      </c>
      <c r="C167" s="124" t="s">
        <v>963</v>
      </c>
      <c r="D167" s="124" t="s">
        <v>24</v>
      </c>
      <c r="E167" s="124" t="s">
        <v>1003</v>
      </c>
      <c r="F167" s="16" t="s">
        <v>53</v>
      </c>
      <c r="G167" s="109" t="str">
        <f t="array" ref="G167">IFNA(XLOOKUP(S167,'⚙️ Pengaturan'!$H$5:$H371,'⚙️ Pengaturan'!$I$5:$I371),"")</f>
        <v>MANAJEMEN</v>
      </c>
      <c r="H167" s="109" t="s">
        <v>503</v>
      </c>
      <c r="I167" s="125" t="str">
        <f t="array" ref="I167">ifna(xlookup($H167,'🙎‍♂️ Pasien'!$G$7:$G371,'🙎‍♂️ Pasien'!$H$7:$H371),"")</f>
        <v/>
      </c>
      <c r="J167" s="125" t="str">
        <f t="array" ref="J167">ifna(xlookup($H167,'🙎‍♂️ Pasien'!$G$7:$G371,'🙎‍♂️ Pasien'!$L$7:$L371),"")</f>
        <v/>
      </c>
      <c r="K167" s="125" t="str">
        <f t="array" ref="K167">ifna(xlookup($H167,'🙎‍♂️ Pasien'!$G$7:$G371,'🙎‍♂️ Pasien'!$I$7:$I371),"")</f>
        <v/>
      </c>
      <c r="L167" s="125" t="str">
        <f t="array" ref="L167">IFNA(xlookup(H167,'🙎‍♂️ Pasien'!$G$5:$G371,'🙎‍♂️ Pasien'!$J$5:$J371),"")</f>
        <v/>
      </c>
      <c r="M167" s="125" t="str">
        <f t="array" ref="M167">IFNA(xlookup(H167,'🙎‍♂️ Pasien'!$G$5:$G371,'🙎‍♂️ Pasien'!$S$5:$S371),"")</f>
        <v/>
      </c>
      <c r="N167" s="125" t="str">
        <f t="array" ref="N167">IFNA(XLOOKUP($H167,'🙎‍♂️ Pasien'!$G$7:$G371,'🙎‍♂️ Pasien'!$T$7:$T371),"")</f>
        <v/>
      </c>
      <c r="O167" s="16" t="s">
        <v>1004</v>
      </c>
      <c r="P167" s="16" t="s">
        <v>845</v>
      </c>
      <c r="Q167" s="16" t="s">
        <v>29</v>
      </c>
      <c r="R167" s="16" t="s">
        <v>54</v>
      </c>
      <c r="S167" s="16" t="s">
        <v>101</v>
      </c>
      <c r="T167" s="16" t="s">
        <v>830</v>
      </c>
      <c r="U167" s="109"/>
      <c r="V167" s="126"/>
      <c r="W167" s="109"/>
      <c r="X167" s="109" t="str">
        <f t="array" ref="X167">IF(H167="","",XLOOKUP(H167,CATATANPELAYANAN[[#ALL],[NAMA PASIEN]],CATATANPELAYANAN[[#ALL],[LAYANAN]],"TIDAK CLOSING",0,-1))</f>
        <v>PAKET TERAPI</v>
      </c>
      <c r="Y167" s="109" t="str">
        <f t="shared" si="4"/>
        <v>PAKET</v>
      </c>
      <c r="Z167" s="127"/>
    </row>
    <row r="168" ht="22.5" customHeight="1">
      <c r="A168" s="122"/>
      <c r="B168" s="123">
        <v>45974.0</v>
      </c>
      <c r="C168" s="124" t="str">
        <f t="shared" ref="C168:C179" si="17">IF(B168="","",text(B168,"yyyy"))</f>
        <v>2025</v>
      </c>
      <c r="D168" s="124" t="str">
        <f t="shared" ref="D168:D179" si="18">IF(B168="","",text(B168,"mm")&amp;" "&amp;text(B168,"mmm"))</f>
        <v>11 Nov</v>
      </c>
      <c r="E168" s="124" t="str">
        <f t="shared" ref="E168:E179" si="19">IF(B168="","",text(B168,"ddd"))</f>
        <v>Kam</v>
      </c>
      <c r="F168" s="16" t="s">
        <v>85</v>
      </c>
      <c r="G168" s="109" t="str">
        <f t="array" ref="G168">IFNA(XLOOKUP(S168,'⚙️ Pengaturan'!$H$5:$H371,'⚙️ Pengaturan'!$I$5:$I371),"")</f>
        <v>TIM A</v>
      </c>
      <c r="H168" s="109" t="s">
        <v>516</v>
      </c>
      <c r="I168" s="125" t="str">
        <f t="array" ref="I168">ifna(xlookup($H168,'🙎‍♂️ Pasien'!$G$7:$G371,'🙎‍♂️ Pasien'!$H$7:$H371),"")</f>
        <v>M0425117629</v>
      </c>
      <c r="J168" s="125" t="str">
        <f t="array" ref="J168">ifna(xlookup($H168,'🙎‍♂️ Pasien'!$G$7:$G371,'🙎‍♂️ Pasien'!$L$7:$L371),"")</f>
        <v>PEREMPUAN</v>
      </c>
      <c r="K168" s="125">
        <f t="array" ref="K168">ifna(xlookup($H168,'🙎‍♂️ Pasien'!$G$7:$G371,'🙎‍♂️ Pasien'!$I$7:$I371),"")</f>
        <v>22</v>
      </c>
      <c r="L168" s="125" t="str">
        <f t="array" ref="L168">IFNA(xlookup(H168,'🙎‍♂️ Pasien'!$G$5:$G371,'🙎‍♂️ Pasien'!$J$5:$J371),"")</f>
        <v>18-24 tahun</v>
      </c>
      <c r="M168" s="125" t="str">
        <f t="array" ref="M168">IFNA(xlookup(H168,'🙎‍♂️ Pasien'!$G$5:$G371,'🙎‍♂️ Pasien'!$S$5:$S371),"")</f>
        <v>STAFF TOKO</v>
      </c>
      <c r="N168" s="125" t="str">
        <f t="array" ref="N168">IFNA(XLOOKUP($H168,'🙎‍♂️ Pasien'!$G$7:$G371,'🙎‍♂️ Pasien'!$T$7:$T371),"")</f>
        <v>NYERI LUTUT PASCA GYM</v>
      </c>
      <c r="O168" s="16" t="s">
        <v>910</v>
      </c>
      <c r="P168" s="16" t="s">
        <v>836</v>
      </c>
      <c r="Q168" s="16" t="s">
        <v>27</v>
      </c>
      <c r="R168" s="16" t="s">
        <v>86</v>
      </c>
      <c r="S168" s="16" t="s">
        <v>72</v>
      </c>
      <c r="T168" s="16" t="s">
        <v>830</v>
      </c>
      <c r="U168" s="109"/>
      <c r="V168" s="126"/>
      <c r="W168" s="109"/>
      <c r="X168" s="109" t="str">
        <f t="array" ref="X168">IF(H168="","",XLOOKUP(H168,CATATANPELAYANAN[[#ALL],[NAMA PASIEN]],CATATANPELAYANAN[[#ALL],[LAYANAN]],"TIDAK CLOSING",0,-1))</f>
        <v>PAKET TERAPI</v>
      </c>
      <c r="Y168" s="109" t="str">
        <f t="shared" si="4"/>
        <v>PAKET</v>
      </c>
      <c r="Z168" s="127"/>
    </row>
    <row r="169" ht="22.5" customHeight="1">
      <c r="A169" s="122"/>
      <c r="B169" s="123">
        <v>45974.0</v>
      </c>
      <c r="C169" s="124" t="str">
        <f t="shared" si="17"/>
        <v>2025</v>
      </c>
      <c r="D169" s="124" t="str">
        <f t="shared" si="18"/>
        <v>11 Nov</v>
      </c>
      <c r="E169" s="124" t="str">
        <f t="shared" si="19"/>
        <v>Kam</v>
      </c>
      <c r="F169" s="16" t="s">
        <v>85</v>
      </c>
      <c r="G169" s="109" t="str">
        <f t="array" ref="G169">IFNA(XLOOKUP(S169,'⚙️ Pengaturan'!$H$5:$H371,'⚙️ Pengaturan'!$I$5:$I371),"")</f>
        <v>TIM Y</v>
      </c>
      <c r="H169" s="109" t="s">
        <v>517</v>
      </c>
      <c r="I169" s="125" t="str">
        <f t="array" ref="I169">ifna(xlookup($H169,'🙎‍♂️ Pasien'!$G$7:$G371,'🙎‍♂️ Pasien'!$H$7:$H371),"")</f>
        <v>A8525117983</v>
      </c>
      <c r="J169" s="125" t="str">
        <f t="array" ref="J169">ifna(xlookup($H169,'🙎‍♂️ Pasien'!$G$7:$G371,'🙎‍♂️ Pasien'!$L$7:$L371),"")</f>
        <v>LAKI-LAKI</v>
      </c>
      <c r="K169" s="125">
        <f t="array" ref="K169">ifna(xlookup($H169,'🙎‍♂️ Pasien'!$G$7:$G371,'🙎‍♂️ Pasien'!$I$7:$I371),"")</f>
        <v>40</v>
      </c>
      <c r="L169" s="125" t="str">
        <f t="array" ref="L169">IFNA(xlookup(H169,'🙎‍♂️ Pasien'!$G$5:$G371,'🙎‍♂️ Pasien'!$J$5:$J371),"")</f>
        <v>35-44 tahun</v>
      </c>
      <c r="M169" s="125" t="str">
        <f t="array" ref="M169">IFNA(xlookup(H169,'🙎‍♂️ Pasien'!$G$5:$G371,'🙎‍♂️ Pasien'!$S$5:$S371),"")</f>
        <v>SWASTA</v>
      </c>
      <c r="N169" s="125" t="str">
        <f t="array" ref="N169">IFNA(XLOOKUP($H169,'🙎‍♂️ Pasien'!$G$7:$G371,'🙎‍♂️ Pasien'!$T$7:$T371),"")</f>
        <v>NYERI DI ENGKEL KAKI</v>
      </c>
      <c r="O169" s="16" t="s">
        <v>832</v>
      </c>
      <c r="P169" s="16" t="s">
        <v>833</v>
      </c>
      <c r="Q169" s="16" t="s">
        <v>29</v>
      </c>
      <c r="R169" s="16" t="s">
        <v>86</v>
      </c>
      <c r="S169" s="16" t="s">
        <v>56</v>
      </c>
      <c r="T169" s="16" t="s">
        <v>834</v>
      </c>
      <c r="U169" s="109" t="s">
        <v>1005</v>
      </c>
      <c r="V169" s="126"/>
      <c r="W169" s="109"/>
      <c r="X169" s="109" t="str">
        <f t="array" ref="X169">IF(H169="","",XLOOKUP(H169,CATATANPELAYANAN[[#ALL],[NAMA PASIEN]],CATATANPELAYANAN[[#ALL],[LAYANAN]],"TIDAK CLOSING",0,-1))</f>
        <v>TERAPI AWAL</v>
      </c>
      <c r="Y169" s="109" t="str">
        <f t="shared" si="4"/>
        <v>TIDAK CLOSING</v>
      </c>
      <c r="Z169" s="127"/>
    </row>
    <row r="170" ht="22.5" customHeight="1">
      <c r="A170" s="122"/>
      <c r="B170" s="123">
        <v>45975.0</v>
      </c>
      <c r="C170" s="124" t="str">
        <f t="shared" si="17"/>
        <v>2025</v>
      </c>
      <c r="D170" s="124" t="str">
        <f t="shared" si="18"/>
        <v>11 Nov</v>
      </c>
      <c r="E170" s="124" t="str">
        <f t="shared" si="19"/>
        <v>Jum</v>
      </c>
      <c r="F170" s="16" t="s">
        <v>85</v>
      </c>
      <c r="G170" s="109" t="str">
        <f t="array" ref="G170">IFNA(XLOOKUP(S170,'⚙️ Pengaturan'!$H$5:$H371,'⚙️ Pengaturan'!$I$5:$I371),"")</f>
        <v>MANAJEMEN</v>
      </c>
      <c r="H170" s="109" t="s">
        <v>519</v>
      </c>
      <c r="I170" s="125" t="str">
        <f t="array" ref="I170">ifna(xlookup($H170,'🙎‍♂️ Pasien'!$G$7:$G371,'🙎‍♂️ Pasien'!$H$7:$H371),"")</f>
        <v>M0425114646</v>
      </c>
      <c r="J170" s="125" t="str">
        <f t="array" ref="J170">ifna(xlookup($H170,'🙎‍♂️ Pasien'!$G$7:$G371,'🙎‍♂️ Pasien'!$L$7:$L371),"")</f>
        <v>LAKI-LAKI</v>
      </c>
      <c r="K170" s="125">
        <f t="array" ref="K170">ifna(xlookup($H170,'🙎‍♂️ Pasien'!$G$7:$G371,'🙎‍♂️ Pasien'!$I$7:$I371),"")</f>
        <v>21</v>
      </c>
      <c r="L170" s="125" t="str">
        <f t="array" ref="L170">IFNA(xlookup(H170,'🙎‍♂️ Pasien'!$G$5:$G371,'🙎‍♂️ Pasien'!$J$5:$J371),"")</f>
        <v>18-24 tahun</v>
      </c>
      <c r="M170" s="125" t="str">
        <f t="array" ref="M170">IFNA(xlookup(H170,'🙎‍♂️ Pasien'!$G$5:$G371,'🙎‍♂️ Pasien'!$S$5:$S371),"")</f>
        <v>BELUM BERKERJA</v>
      </c>
      <c r="N170" s="125" t="str">
        <f t="array" ref="N170">IFNA(XLOOKUP($H170,'🙎‍♂️ Pasien'!$G$7:$G371,'🙎‍♂️ Pasien'!$T$7:$T371),"")</f>
        <v>SAKIT DARI BOKONG SAMPAI KE LUTUT</v>
      </c>
      <c r="O170" s="16" t="s">
        <v>1006</v>
      </c>
      <c r="P170" s="16" t="s">
        <v>845</v>
      </c>
      <c r="Q170" s="16" t="s">
        <v>29</v>
      </c>
      <c r="R170" s="16" t="s">
        <v>134</v>
      </c>
      <c r="S170" s="16" t="s">
        <v>101</v>
      </c>
      <c r="T170" s="16" t="s">
        <v>834</v>
      </c>
      <c r="U170" s="109" t="s">
        <v>1007</v>
      </c>
      <c r="V170" s="126"/>
      <c r="W170" s="109"/>
      <c r="X170" s="109" t="str">
        <f t="array" ref="X170">IF(H170="","",XLOOKUP(H170,CATATANPELAYANAN[[#ALL],[NAMA PASIEN]],CATATANPELAYANAN[[#ALL],[LAYANAN]],"TIDAK CLOSING",0,-1))</f>
        <v>TERAPI AWAL</v>
      </c>
      <c r="Y170" s="109" t="str">
        <f t="shared" si="4"/>
        <v>TIDAK CLOSING</v>
      </c>
      <c r="Z170" s="127"/>
    </row>
    <row r="171" ht="22.5" customHeight="1">
      <c r="A171" s="122"/>
      <c r="B171" s="123">
        <v>45976.0</v>
      </c>
      <c r="C171" s="124" t="str">
        <f t="shared" si="17"/>
        <v>2025</v>
      </c>
      <c r="D171" s="124" t="str">
        <f t="shared" si="18"/>
        <v>11 Nov</v>
      </c>
      <c r="E171" s="124" t="str">
        <f t="shared" si="19"/>
        <v>Sab</v>
      </c>
      <c r="F171" s="16" t="s">
        <v>85</v>
      </c>
      <c r="G171" s="109" t="str">
        <f t="array" ref="G171">IFNA(XLOOKUP(S171,'⚙️ Pengaturan'!$H$5:$H371,'⚙️ Pengaturan'!$I$5:$I371),"")</f>
        <v>TIM Y</v>
      </c>
      <c r="H171" s="109" t="s">
        <v>1008</v>
      </c>
      <c r="I171" s="125" t="str">
        <f t="array" ref="I171">ifna(xlookup($H171,'🙎‍♂️ Pasien'!$G$7:$G371,'🙎‍♂️ Pasien'!$H$7:$H371),"")</f>
        <v>V0825111714</v>
      </c>
      <c r="J171" s="125" t="str">
        <f t="array" ref="J171">ifna(xlookup($H171,'🙎‍♂️ Pasien'!$G$7:$G371,'🙎‍♂️ Pasien'!$L$7:$L371),"")</f>
        <v>LAKI-LAKI</v>
      </c>
      <c r="K171" s="125">
        <f t="array" ref="K171">ifna(xlookup($H171,'🙎‍♂️ Pasien'!$G$7:$G371,'🙎‍♂️ Pasien'!$I$7:$I371),"")</f>
        <v>18</v>
      </c>
      <c r="L171" s="125" t="str">
        <f t="array" ref="L171">IFNA(xlookup(H171,'🙎‍♂️ Pasien'!$G$5:$G371,'🙎‍♂️ Pasien'!$J$5:$J371),"")</f>
        <v>&lt; 18 tahun</v>
      </c>
      <c r="M171" s="125" t="str">
        <f t="array" ref="M171">IFNA(xlookup(H171,'🙎‍♂️ Pasien'!$G$5:$G371,'🙎‍♂️ Pasien'!$S$5:$S371),"")</f>
        <v>PELAJAR</v>
      </c>
      <c r="N171" s="125" t="str">
        <f t="array" ref="N171">IFNA(XLOOKUP($H171,'🙎‍♂️ Pasien'!$G$7:$G371,'🙎‍♂️ Pasien'!$T$7:$T371),"")</f>
        <v>LUTUT SAYA CIDERA</v>
      </c>
      <c r="O171" s="16" t="s">
        <v>854</v>
      </c>
      <c r="P171" s="16" t="s">
        <v>836</v>
      </c>
      <c r="Q171" s="16" t="s">
        <v>29</v>
      </c>
      <c r="R171" s="16" t="s">
        <v>86</v>
      </c>
      <c r="S171" s="16" t="s">
        <v>88</v>
      </c>
      <c r="T171" s="16" t="s">
        <v>834</v>
      </c>
      <c r="U171" s="109" t="s">
        <v>831</v>
      </c>
      <c r="V171" s="126"/>
      <c r="W171" s="109"/>
      <c r="X171" s="109" t="str">
        <f t="array" ref="X171">IF(H171="","",XLOOKUP(H171,CATATANPELAYANAN[[#ALL],[NAMA PASIEN]],CATATANPELAYANAN[[#ALL],[LAYANAN]],"TIDAK CLOSING",0,-1))</f>
        <v>TIDAK CLOSING</v>
      </c>
      <c r="Y171" s="109" t="str">
        <f t="shared" si="4"/>
        <v>TIDAK CLOSING</v>
      </c>
      <c r="Z171" s="127"/>
    </row>
    <row r="172" ht="22.5" customHeight="1">
      <c r="A172" s="122"/>
      <c r="B172" s="123">
        <v>45976.0</v>
      </c>
      <c r="C172" s="124" t="str">
        <f t="shared" si="17"/>
        <v>2025</v>
      </c>
      <c r="D172" s="124" t="str">
        <f t="shared" si="18"/>
        <v>11 Nov</v>
      </c>
      <c r="E172" s="124" t="str">
        <f t="shared" si="19"/>
        <v>Sab</v>
      </c>
      <c r="F172" s="16" t="s">
        <v>85</v>
      </c>
      <c r="G172" s="109" t="str">
        <f t="array" ref="G172">IFNA(XLOOKUP(S172,'⚙️ Pengaturan'!$H$5:$H371,'⚙️ Pengaturan'!$I$5:$I371),"")</f>
        <v>TIM Y</v>
      </c>
      <c r="H172" s="109" t="s">
        <v>522</v>
      </c>
      <c r="I172" s="125" t="str">
        <f t="array" ref="I172">ifna(xlookup($H172,'🙎‍♂️ Pasien'!$G$7:$G371,'🙎‍♂️ Pasien'!$H$7:$H371),"")</f>
        <v>N0725118277</v>
      </c>
      <c r="J172" s="125" t="str">
        <f t="array" ref="J172">ifna(xlookup($H172,'🙎‍♂️ Pasien'!$G$7:$G371,'🙎‍♂️ Pasien'!$L$7:$L371),"")</f>
        <v>PEREMPUAN</v>
      </c>
      <c r="K172" s="125">
        <f t="array" ref="K172">ifna(xlookup($H172,'🙎‍♂️ Pasien'!$G$7:$G371,'🙎‍♂️ Pasien'!$I$7:$I371),"")</f>
        <v>18</v>
      </c>
      <c r="L172" s="125" t="str">
        <f t="array" ref="L172">IFNA(xlookup(H172,'🙎‍♂️ Pasien'!$G$5:$G371,'🙎‍♂️ Pasien'!$J$5:$J371),"")</f>
        <v>&lt; 18 tahun</v>
      </c>
      <c r="M172" s="125" t="str">
        <f t="array" ref="M172">IFNA(xlookup(H172,'🙎‍♂️ Pasien'!$G$5:$G371,'🙎‍♂️ Pasien'!$S$5:$S371),"")</f>
        <v>MAHASISWA</v>
      </c>
      <c r="N172" s="125" t="str">
        <f t="array" ref="N172">IFNA(XLOOKUP($H172,'🙎‍♂️ Pasien'!$G$7:$G371,'🙎‍♂️ Pasien'!$T$7:$T371),"")</f>
        <v>SETELAH OPERASI PENGANGKATAN HEMANGIOMA PADA KAKI KANAN, KAKI BELUM BISA LURUS SEMPURNA</v>
      </c>
      <c r="O172" s="16" t="s">
        <v>1009</v>
      </c>
      <c r="P172" s="16" t="s">
        <v>836</v>
      </c>
      <c r="Q172" s="16" t="s">
        <v>29</v>
      </c>
      <c r="R172" s="16" t="s">
        <v>86</v>
      </c>
      <c r="S172" s="16" t="s">
        <v>107</v>
      </c>
      <c r="T172" s="16" t="s">
        <v>830</v>
      </c>
      <c r="U172" s="109"/>
      <c r="V172" s="126"/>
      <c r="W172" s="109"/>
      <c r="X172" s="109" t="str">
        <f t="array" ref="X172">IF(H172="","",XLOOKUP(H172,CATATANPELAYANAN[[#ALL],[NAMA PASIEN]],CATATANPELAYANAN[[#ALL],[LAYANAN]],"TIDAK CLOSING",0,-1))</f>
        <v>PAKET TERAPI</v>
      </c>
      <c r="Y172" s="109" t="str">
        <f t="shared" si="4"/>
        <v>PAKET</v>
      </c>
      <c r="Z172" s="127"/>
    </row>
    <row r="173" ht="22.5" customHeight="1">
      <c r="A173" s="122"/>
      <c r="B173" s="123">
        <v>45976.0</v>
      </c>
      <c r="C173" s="124" t="str">
        <f t="shared" si="17"/>
        <v>2025</v>
      </c>
      <c r="D173" s="124" t="str">
        <f t="shared" si="18"/>
        <v>11 Nov</v>
      </c>
      <c r="E173" s="124" t="str">
        <f t="shared" si="19"/>
        <v>Sab</v>
      </c>
      <c r="F173" s="16" t="s">
        <v>85</v>
      </c>
      <c r="G173" s="109" t="str">
        <f t="array" ref="G173">IFNA(XLOOKUP(S173,'⚙️ Pengaturan'!$H$5:$H371,'⚙️ Pengaturan'!$I$5:$I371),"")</f>
        <v>TIM Y</v>
      </c>
      <c r="H173" s="109" t="s">
        <v>545</v>
      </c>
      <c r="I173" s="125" t="str">
        <f t="array" ref="I173">ifna(xlookup($H173,'🙎‍♂️ Pasien'!$G$7:$G371,'🙎‍♂️ Pasien'!$H$7:$H371),"")</f>
        <v>Y9325112254</v>
      </c>
      <c r="J173" s="125" t="str">
        <f t="array" ref="J173">ifna(xlookup($H173,'🙎‍♂️ Pasien'!$G$7:$G371,'🙎‍♂️ Pasien'!$L$7:$L371),"")</f>
        <v>PEREMPUAN</v>
      </c>
      <c r="K173" s="125">
        <f t="array" ref="K173">ifna(xlookup($H173,'🙎‍♂️ Pasien'!$G$7:$G371,'🙎‍♂️ Pasien'!$I$7:$I371),"")</f>
        <v>33</v>
      </c>
      <c r="L173" s="125" t="str">
        <f t="array" ref="L173">IFNA(xlookup(H173,'🙎‍♂️ Pasien'!$G$5:$G371,'🙎‍♂️ Pasien'!$J$5:$J371),"")</f>
        <v>25-34 tahun</v>
      </c>
      <c r="M173" s="125" t="str">
        <f t="array" ref="M173">IFNA(xlookup(H173,'🙎‍♂️ Pasien'!$G$5:$G371,'🙎‍♂️ Pasien'!$S$5:$S371),"")</f>
        <v>SWASTA</v>
      </c>
      <c r="N173" s="125" t="str">
        <f t="array" ref="N173">IFNA(XLOOKUP($H173,'🙎‍♂️ Pasien'!$G$7:$G371,'🙎‍♂️ Pasien'!$T$7:$T371),"")</f>
        <v>PINGGANG SERING NYERI</v>
      </c>
      <c r="O173" s="16" t="s">
        <v>847</v>
      </c>
      <c r="P173" s="16" t="s">
        <v>826</v>
      </c>
      <c r="Q173" s="16" t="s">
        <v>29</v>
      </c>
      <c r="R173" s="16" t="s">
        <v>86</v>
      </c>
      <c r="S173" s="16" t="s">
        <v>107</v>
      </c>
      <c r="T173" s="16" t="s">
        <v>830</v>
      </c>
      <c r="U173" s="109"/>
      <c r="V173" s="126"/>
      <c r="W173" s="109"/>
      <c r="X173" s="109" t="str">
        <f t="array" ref="X173">IF(H173="","",XLOOKUP(H173,CATATANPELAYANAN[[#ALL],[NAMA PASIEN]],CATATANPELAYANAN[[#ALL],[LAYANAN]],"TIDAK CLOSING",0,-1))</f>
        <v>PAKET TERAPI</v>
      </c>
      <c r="Y173" s="109" t="str">
        <f t="shared" si="4"/>
        <v>PAKET</v>
      </c>
      <c r="Z173" s="127"/>
    </row>
    <row r="174" ht="22.5" customHeight="1">
      <c r="A174" s="122"/>
      <c r="B174" s="123">
        <v>45976.0</v>
      </c>
      <c r="C174" s="124" t="str">
        <f t="shared" si="17"/>
        <v>2025</v>
      </c>
      <c r="D174" s="124" t="str">
        <f t="shared" si="18"/>
        <v>11 Nov</v>
      </c>
      <c r="E174" s="124" t="str">
        <f t="shared" si="19"/>
        <v>Sab</v>
      </c>
      <c r="F174" s="16" t="s">
        <v>85</v>
      </c>
      <c r="G174" s="109" t="str">
        <f t="array" ref="G174">IFNA(XLOOKUP(S174,'⚙️ Pengaturan'!$H$5:$H371,'⚙️ Pengaturan'!$I$5:$I371),"")</f>
        <v>TIM Y</v>
      </c>
      <c r="H174" s="109" t="s">
        <v>524</v>
      </c>
      <c r="I174" s="125" t="str">
        <f t="array" ref="I174">ifna(xlookup($H174,'🙎‍♂️ Pasien'!$G$7:$G371,'🙎‍♂️ Pasien'!$H$7:$H371),"")</f>
        <v>R0325114352</v>
      </c>
      <c r="J174" s="125" t="str">
        <f t="array" ref="J174">ifna(xlookup($H174,'🙎‍♂️ Pasien'!$G$7:$G371,'🙎‍♂️ Pasien'!$L$7:$L371),"")</f>
        <v>LAKI-LAKI</v>
      </c>
      <c r="K174" s="125">
        <f t="array" ref="K174">ifna(xlookup($H174,'🙎‍♂️ Pasien'!$G$7:$G371,'🙎‍♂️ Pasien'!$I$7:$I371),"")</f>
        <v>23</v>
      </c>
      <c r="L174" s="125" t="str">
        <f t="array" ref="L174">IFNA(xlookup(H174,'🙎‍♂️ Pasien'!$G$5:$G371,'🙎‍♂️ Pasien'!$J$5:$J371),"")</f>
        <v>18-24 tahun</v>
      </c>
      <c r="M174" s="125" t="str">
        <f t="array" ref="M174">IFNA(xlookup(H174,'🙎‍♂️ Pasien'!$G$5:$G371,'🙎‍♂️ Pasien'!$S$5:$S371),"")</f>
        <v>SWASTA</v>
      </c>
      <c r="N174" s="125" t="str">
        <f t="array" ref="N174">IFNA(XLOOKUP($H174,'🙎‍♂️ Pasien'!$G$7:$G371,'🙎‍♂️ Pasien'!$T$7:$T371),"")</f>
        <v>CEDERA LUTUT</v>
      </c>
      <c r="O174" s="16" t="s">
        <v>854</v>
      </c>
      <c r="P174" s="16" t="s">
        <v>836</v>
      </c>
      <c r="Q174" s="16" t="s">
        <v>29</v>
      </c>
      <c r="R174" s="16" t="s">
        <v>86</v>
      </c>
      <c r="S174" s="16" t="s">
        <v>88</v>
      </c>
      <c r="T174" s="16" t="s">
        <v>834</v>
      </c>
      <c r="U174" s="109" t="s">
        <v>1010</v>
      </c>
      <c r="V174" s="126"/>
      <c r="W174" s="109"/>
      <c r="X174" s="109" t="str">
        <f t="array" ref="X174">IF(H174="","",XLOOKUP(H174,CATATANPELAYANAN[[#ALL],[NAMA PASIEN]],CATATANPELAYANAN[[#ALL],[LAYANAN]],"TIDAK CLOSING",0,-1))</f>
        <v>TERAPI AWAL</v>
      </c>
      <c r="Y174" s="109" t="str">
        <f t="shared" si="4"/>
        <v>TIDAK CLOSING</v>
      </c>
      <c r="Z174" s="127"/>
    </row>
    <row r="175" ht="22.5" customHeight="1">
      <c r="A175" s="122"/>
      <c r="B175" s="123">
        <v>45976.0</v>
      </c>
      <c r="C175" s="124" t="str">
        <f t="shared" si="17"/>
        <v>2025</v>
      </c>
      <c r="D175" s="124" t="str">
        <f t="shared" si="18"/>
        <v>11 Nov</v>
      </c>
      <c r="E175" s="124" t="str">
        <f t="shared" si="19"/>
        <v>Sab</v>
      </c>
      <c r="F175" s="16" t="s">
        <v>85</v>
      </c>
      <c r="G175" s="109" t="str">
        <f t="array" ref="G175">IFNA(XLOOKUP(S175,'⚙️ Pengaturan'!$H$5:$H371,'⚙️ Pengaturan'!$I$5:$I371),"")</f>
        <v>TIM Y</v>
      </c>
      <c r="H175" s="109" t="s">
        <v>525</v>
      </c>
      <c r="I175" s="125" t="str">
        <f t="array" ref="I175">ifna(xlookup($H175,'🙎‍♂️ Pasien'!$G$7:$G371,'🙎‍♂️ Pasien'!$H$7:$H371),"")</f>
        <v>M7525114704</v>
      </c>
      <c r="J175" s="125" t="str">
        <f t="array" ref="J175">ifna(xlookup($H175,'🙎‍♂️ Pasien'!$G$7:$G371,'🙎‍♂️ Pasien'!$L$7:$L371),"")</f>
        <v>PEREMPUAN</v>
      </c>
      <c r="K175" s="125">
        <f t="array" ref="K175">ifna(xlookup($H175,'🙎‍♂️ Pasien'!$G$7:$G371,'🙎‍♂️ Pasien'!$I$7:$I371),"")</f>
        <v>51</v>
      </c>
      <c r="L175" s="125" t="str">
        <f t="array" ref="L175">IFNA(xlookup(H175,'🙎‍♂️ Pasien'!$G$5:$G371,'🙎‍♂️ Pasien'!$J$5:$J371),"")</f>
        <v>&gt; 44 tahun</v>
      </c>
      <c r="M175" s="125" t="str">
        <f t="array" ref="M175">IFNA(xlookup(H175,'🙎‍♂️ Pasien'!$G$5:$G371,'🙎‍♂️ Pasien'!$S$5:$S371),"")</f>
        <v>PNS</v>
      </c>
      <c r="N175" s="125" t="str">
        <f t="array" ref="N175">IFNA(XLOOKUP($H175,'🙎‍♂️ Pasien'!$G$7:$G371,'🙎‍♂️ Pasien'!$T$7:$T371),"")</f>
        <v>PINGGANG NYERI</v>
      </c>
      <c r="O175" s="16" t="s">
        <v>825</v>
      </c>
      <c r="P175" s="16" t="s">
        <v>826</v>
      </c>
      <c r="Q175" s="16" t="s">
        <v>29</v>
      </c>
      <c r="R175" s="16" t="s">
        <v>86</v>
      </c>
      <c r="S175" s="16" t="s">
        <v>107</v>
      </c>
      <c r="T175" s="16" t="s">
        <v>827</v>
      </c>
      <c r="U175" s="109"/>
      <c r="V175" s="126"/>
      <c r="W175" s="109"/>
      <c r="X175" s="109" t="str">
        <f t="array" ref="X175">IF(H175="","",XLOOKUP(H175,CATATANPELAYANAN[[#ALL],[NAMA PASIEN]],CATATANPELAYANAN[[#ALL],[LAYANAN]],"TIDAK CLOSING",0,-1))</f>
        <v>SESI TERAPI</v>
      </c>
      <c r="Y175" s="109" t="str">
        <f t="shared" si="4"/>
        <v>SESI</v>
      </c>
      <c r="Z175" s="127"/>
    </row>
    <row r="176" ht="22.5" customHeight="1">
      <c r="A176" s="122"/>
      <c r="B176" s="123">
        <v>45976.0</v>
      </c>
      <c r="C176" s="124" t="str">
        <f t="shared" si="17"/>
        <v>2025</v>
      </c>
      <c r="D176" s="124" t="str">
        <f t="shared" si="18"/>
        <v>11 Nov</v>
      </c>
      <c r="E176" s="124" t="str">
        <f t="shared" si="19"/>
        <v>Sab</v>
      </c>
      <c r="F176" s="16" t="s">
        <v>85</v>
      </c>
      <c r="G176" s="109" t="str">
        <f t="array" ref="G176">IFNA(XLOOKUP(S176,'⚙️ Pengaturan'!$H$5:$H371,'⚙️ Pengaturan'!$I$5:$I371),"")</f>
        <v>TIM Y</v>
      </c>
      <c r="H176" s="109" t="s">
        <v>1011</v>
      </c>
      <c r="I176" s="125" t="str">
        <f t="array" ref="I176">ifna(xlookup($H176,'🙎‍♂️ Pasien'!$G$7:$G371,'🙎‍♂️ Pasien'!$H$7:$H371),"")</f>
        <v/>
      </c>
      <c r="J176" s="125" t="str">
        <f t="array" ref="J176">ifna(xlookup($H176,'🙎‍♂️ Pasien'!$G$7:$G371,'🙎‍♂️ Pasien'!$L$7:$L371),"")</f>
        <v/>
      </c>
      <c r="K176" s="125" t="str">
        <f t="array" ref="K176">ifna(xlookup($H176,'🙎‍♂️ Pasien'!$G$7:$G371,'🙎‍♂️ Pasien'!$I$7:$I371),"")</f>
        <v/>
      </c>
      <c r="L176" s="125" t="str">
        <f t="array" ref="L176">IFNA(xlookup(H176,'🙎‍♂️ Pasien'!$G$5:$G371,'🙎‍♂️ Pasien'!$J$5:$J371),"")</f>
        <v/>
      </c>
      <c r="M176" s="125" t="str">
        <f t="array" ref="M176">IFNA(xlookup(H176,'🙎‍♂️ Pasien'!$G$5:$G371,'🙎‍♂️ Pasien'!$S$5:$S371),"")</f>
        <v/>
      </c>
      <c r="N176" s="125" t="str">
        <f t="array" ref="N176">IFNA(XLOOKUP($H176,'🙎‍♂️ Pasien'!$G$7:$G371,'🙎‍♂️ Pasien'!$T$7:$T371),"")</f>
        <v/>
      </c>
      <c r="O176" s="16" t="s">
        <v>838</v>
      </c>
      <c r="P176" s="16" t="s">
        <v>839</v>
      </c>
      <c r="Q176" s="16" t="s">
        <v>29</v>
      </c>
      <c r="R176" s="16" t="s">
        <v>86</v>
      </c>
      <c r="S176" s="16" t="s">
        <v>88</v>
      </c>
      <c r="T176" s="16" t="s">
        <v>827</v>
      </c>
      <c r="U176" s="109"/>
      <c r="V176" s="126"/>
      <c r="W176" s="109"/>
      <c r="X176" s="109" t="str">
        <f t="array" ref="X176">IF(H176="","",XLOOKUP(H176,CATATANPELAYANAN[[#ALL],[NAMA PASIEN]],CATATANPELAYANAN[[#ALL],[LAYANAN]],"TIDAK CLOSING",0,-1))</f>
        <v>TIDAK CLOSING</v>
      </c>
      <c r="Y176" s="109" t="str">
        <f t="shared" si="4"/>
        <v>TIDAK CLOSING</v>
      </c>
      <c r="Z176" s="127"/>
    </row>
    <row r="177" ht="22.5" customHeight="1">
      <c r="A177" s="122"/>
      <c r="B177" s="123">
        <v>45977.0</v>
      </c>
      <c r="C177" s="124" t="str">
        <f t="shared" si="17"/>
        <v>2025</v>
      </c>
      <c r="D177" s="124" t="str">
        <f t="shared" si="18"/>
        <v>11 Nov</v>
      </c>
      <c r="E177" s="124" t="str">
        <f t="shared" si="19"/>
        <v>Min</v>
      </c>
      <c r="F177" s="16" t="s">
        <v>53</v>
      </c>
      <c r="G177" s="109" t="str">
        <f t="array" ref="G177">IFNA(XLOOKUP(S177,'⚙️ Pengaturan'!$H$5:$H371,'⚙️ Pengaturan'!$I$5:$I371),"")</f>
        <v>TIM Y</v>
      </c>
      <c r="H177" s="109" t="s">
        <v>1012</v>
      </c>
      <c r="I177" s="125" t="str">
        <f t="array" ref="I177">ifna(xlookup($H177,'🙎‍♂️ Pasien'!$G$7:$G371,'🙎‍♂️ Pasien'!$H$7:$H371),"")</f>
        <v>M1025044555</v>
      </c>
      <c r="J177" s="125" t="str">
        <f t="array" ref="J177">ifna(xlookup($H177,'🙎‍♂️ Pasien'!$G$7:$G371,'🙎‍♂️ Pasien'!$L$7:$L371),"")</f>
        <v>LAKI-LAKI</v>
      </c>
      <c r="K177" s="125">
        <f t="array" ref="K177">ifna(xlookup($H177,'🙎‍♂️ Pasien'!$G$7:$G371,'🙎‍♂️ Pasien'!$I$7:$I371),"")</f>
        <v>15</v>
      </c>
      <c r="L177" s="125" t="str">
        <f t="array" ref="L177">IFNA(xlookup(H177,'🙎‍♂️ Pasien'!$G$5:$G371,'🙎‍♂️ Pasien'!$J$5:$J371),"")</f>
        <v>&lt; 18 tahun</v>
      </c>
      <c r="M177" s="125" t="str">
        <f t="array" ref="M177">IFNA(xlookup(H177,'🙎‍♂️ Pasien'!$G$5:$G371,'🙎‍♂️ Pasien'!$S$5:$S371),"")</f>
        <v>PELAJAR</v>
      </c>
      <c r="N177" s="125" t="str">
        <f t="array" ref="N177">IFNA(XLOOKUP($H177,'🙎‍♂️ Pasien'!$G$7:$G371,'🙎‍♂️ Pasien'!$T$7:$T371),"")</f>
        <v>ANKLE KESELEO</v>
      </c>
      <c r="O177" s="16" t="s">
        <v>960</v>
      </c>
      <c r="P177" s="16" t="s">
        <v>826</v>
      </c>
      <c r="Q177" s="16" t="s">
        <v>28</v>
      </c>
      <c r="R177" s="16" t="s">
        <v>54</v>
      </c>
      <c r="S177" s="16" t="s">
        <v>56</v>
      </c>
      <c r="T177" s="16" t="s">
        <v>830</v>
      </c>
      <c r="U177" s="109"/>
      <c r="V177" s="126"/>
      <c r="W177" s="109"/>
      <c r="X177" s="109" t="str">
        <f t="array" ref="X177">IF(H177="","",XLOOKUP(H177,CATATANPELAYANAN[[#ALL],[NAMA PASIEN]],CATATANPELAYANAN[[#ALL],[LAYANAN]],"TIDAK CLOSING",0,-1))</f>
        <v>TIDAK CLOSING</v>
      </c>
      <c r="Y177" s="109" t="str">
        <f t="shared" si="4"/>
        <v>TIDAK CLOSING</v>
      </c>
      <c r="Z177" s="127"/>
    </row>
    <row r="178" ht="22.5" customHeight="1">
      <c r="A178" s="122"/>
      <c r="B178" s="123">
        <v>45977.0</v>
      </c>
      <c r="C178" s="124" t="str">
        <f t="shared" si="17"/>
        <v>2025</v>
      </c>
      <c r="D178" s="124" t="str">
        <f t="shared" si="18"/>
        <v>11 Nov</v>
      </c>
      <c r="E178" s="124" t="str">
        <f t="shared" si="19"/>
        <v>Min</v>
      </c>
      <c r="F178" s="16" t="s">
        <v>53</v>
      </c>
      <c r="G178" s="109" t="str">
        <f t="array" ref="G178">IFNA(XLOOKUP(S178,'⚙️ Pengaturan'!$H$5:$H371,'⚙️ Pengaturan'!$I$5:$I371),"")</f>
        <v>MANAJEMEN</v>
      </c>
      <c r="H178" s="109" t="s">
        <v>526</v>
      </c>
      <c r="I178" s="125" t="str">
        <f t="array" ref="I178">ifna(xlookup($H178,'🙎‍♂️ Pasien'!$G$7:$G371,'🙎‍♂️ Pasien'!$H$7:$H371),"")</f>
        <v>A8825114554</v>
      </c>
      <c r="J178" s="125" t="str">
        <f t="array" ref="J178">ifna(xlookup($H178,'🙎‍♂️ Pasien'!$G$7:$G371,'🙎‍♂️ Pasien'!$L$7:$L371),"")</f>
        <v>LAKI-LAKI</v>
      </c>
      <c r="K178" s="125">
        <f t="array" ref="K178">ifna(xlookup($H178,'🙎‍♂️ Pasien'!$G$7:$G371,'🙎‍♂️ Pasien'!$I$7:$I371),"")</f>
        <v>38</v>
      </c>
      <c r="L178" s="125" t="str">
        <f t="array" ref="L178">IFNA(xlookup(H178,'🙎‍♂️ Pasien'!$G$5:$G371,'🙎‍♂️ Pasien'!$J$5:$J371),"")</f>
        <v>35-44 tahun</v>
      </c>
      <c r="M178" s="125" t="str">
        <f t="array" ref="M178">IFNA(xlookup(H178,'🙎‍♂️ Pasien'!$G$5:$G371,'🙎‍♂️ Pasien'!$S$5:$S371),"")</f>
        <v>FOOTBALL AGENT</v>
      </c>
      <c r="N178" s="125" t="str">
        <f t="array" ref="N178">IFNA(XLOOKUP($H178,'🙎‍♂️ Pasien'!$G$7:$G371,'🙎‍♂️ Pasien'!$T$7:$T371),"")</f>
        <v>LUTUT KIRI SAKIT SAAT DI TEKUK</v>
      </c>
      <c r="O178" s="16" t="s">
        <v>954</v>
      </c>
      <c r="P178" s="16" t="s">
        <v>836</v>
      </c>
      <c r="Q178" s="16" t="s">
        <v>29</v>
      </c>
      <c r="R178" s="16" t="s">
        <v>54</v>
      </c>
      <c r="S178" s="16" t="s">
        <v>101</v>
      </c>
      <c r="T178" s="16" t="s">
        <v>830</v>
      </c>
      <c r="U178" s="109"/>
      <c r="V178" s="126"/>
      <c r="W178" s="109"/>
      <c r="X178" s="109" t="str">
        <f t="array" ref="X178">IF(H178="","",XLOOKUP(H178,CATATANPELAYANAN[[#ALL],[NAMA PASIEN]],CATATANPELAYANAN[[#ALL],[LAYANAN]],"TIDAK CLOSING",0,-1))</f>
        <v>PAKET TERAPI</v>
      </c>
      <c r="Y178" s="109" t="str">
        <f t="shared" si="4"/>
        <v>PAKET</v>
      </c>
      <c r="Z178" s="127"/>
    </row>
    <row r="179" ht="22.5" customHeight="1">
      <c r="A179" s="122"/>
      <c r="B179" s="123">
        <v>45977.0</v>
      </c>
      <c r="C179" s="124" t="str">
        <f t="shared" si="17"/>
        <v>2025</v>
      </c>
      <c r="D179" s="124" t="str">
        <f t="shared" si="18"/>
        <v>11 Nov</v>
      </c>
      <c r="E179" s="124" t="str">
        <f t="shared" si="19"/>
        <v>Min</v>
      </c>
      <c r="F179" s="16" t="s">
        <v>53</v>
      </c>
      <c r="G179" s="109" t="str">
        <f t="array" ref="G179">IFNA(XLOOKUP(S179,'⚙️ Pengaturan'!$H$5:$H371,'⚙️ Pengaturan'!$I$5:$I371),"")</f>
        <v>TIM A</v>
      </c>
      <c r="H179" s="109" t="s">
        <v>527</v>
      </c>
      <c r="I179" s="125" t="str">
        <f t="array" ref="I179">ifna(xlookup($H179,'🙎‍♂️ Pasien'!$G$7:$G371,'🙎‍♂️ Pasien'!$H$7:$H371),"")</f>
        <v>S0325118209</v>
      </c>
      <c r="J179" s="125" t="str">
        <f t="array" ref="J179">ifna(xlookup($H179,'🙎‍♂️ Pasien'!$G$7:$G371,'🙎‍♂️ Pasien'!$L$7:$L371),"")</f>
        <v>PEREMPUAN</v>
      </c>
      <c r="K179" s="125">
        <f t="array" ref="K179">ifna(xlookup($H179,'🙎‍♂️ Pasien'!$G$7:$G371,'🙎‍♂️ Pasien'!$I$7:$I371),"")</f>
        <v>23</v>
      </c>
      <c r="L179" s="125" t="str">
        <f t="array" ref="L179">IFNA(xlookup(H179,'🙎‍♂️ Pasien'!$G$5:$G371,'🙎‍♂️ Pasien'!$J$5:$J371),"")</f>
        <v>18-24 tahun</v>
      </c>
      <c r="M179" s="125" t="str">
        <f t="array" ref="M179">IFNA(xlookup(H179,'🙎‍♂️ Pasien'!$G$5:$G371,'🙎‍♂️ Pasien'!$S$5:$S371),"")</f>
        <v>ADMIN</v>
      </c>
      <c r="N179" s="125" t="str">
        <f t="array" ref="N179">IFNA(XLOOKUP($H179,'🙎‍♂️ Pasien'!$G$7:$G371,'🙎‍♂️ Pasien'!$T$7:$T371),"")</f>
        <v>SKOLIOSIS</v>
      </c>
      <c r="O179" s="16" t="s">
        <v>847</v>
      </c>
      <c r="P179" s="16" t="s">
        <v>848</v>
      </c>
      <c r="Q179" s="16" t="s">
        <v>29</v>
      </c>
      <c r="R179" s="16" t="s">
        <v>54</v>
      </c>
      <c r="S179" s="16" t="s">
        <v>79</v>
      </c>
      <c r="T179" s="16" t="s">
        <v>830</v>
      </c>
      <c r="U179" s="109"/>
      <c r="V179" s="126"/>
      <c r="W179" s="109"/>
      <c r="X179" s="109" t="str">
        <f t="array" ref="X179">IF(H179="","",XLOOKUP(H179,CATATANPELAYANAN[[#ALL],[NAMA PASIEN]],CATATANPELAYANAN[[#ALL],[LAYANAN]],"TIDAK CLOSING",0,-1))</f>
        <v>PAKET TERAPI</v>
      </c>
      <c r="Y179" s="109" t="str">
        <f t="shared" si="4"/>
        <v>PAKET</v>
      </c>
      <c r="Z179" s="127"/>
    </row>
    <row r="180" ht="22.5" customHeight="1">
      <c r="A180" s="122"/>
      <c r="B180" s="123">
        <v>45977.0</v>
      </c>
      <c r="C180" s="124" t="s">
        <v>963</v>
      </c>
      <c r="D180" s="124" t="s">
        <v>24</v>
      </c>
      <c r="E180" s="124" t="s">
        <v>964</v>
      </c>
      <c r="F180" s="16" t="s">
        <v>53</v>
      </c>
      <c r="G180" s="109" t="str">
        <f t="array" ref="G180">IFNA(XLOOKUP(S180,'⚙️ Pengaturan'!$H$5:$H371,'⚙️ Pengaturan'!$I$5:$I371),"")</f>
        <v>TIM A</v>
      </c>
      <c r="H180" s="109" t="s">
        <v>1013</v>
      </c>
      <c r="I180" s="125" t="str">
        <f t="array" ref="I180">ifna(xlookup($H180,'🙎‍♂️ Pasien'!$G$7:$G371,'🙎‍♂️ Pasien'!$H$7:$H371),"")</f>
        <v/>
      </c>
      <c r="J180" s="125" t="str">
        <f t="array" ref="J180">ifna(xlookup($H180,'🙎‍♂️ Pasien'!$G$7:$G371,'🙎‍♂️ Pasien'!$L$7:$L371),"")</f>
        <v/>
      </c>
      <c r="K180" s="125" t="str">
        <f t="array" ref="K180">ifna(xlookup($H180,'🙎‍♂️ Pasien'!$G$7:$G371,'🙎‍♂️ Pasien'!$I$7:$I371),"")</f>
        <v/>
      </c>
      <c r="L180" s="125" t="str">
        <f t="array" ref="L180">IFNA(xlookup(H180,'🙎‍♂️ Pasien'!$G$5:$G371,'🙎‍♂️ Pasien'!$J$5:$J371),"")</f>
        <v/>
      </c>
      <c r="M180" s="125" t="str">
        <f t="array" ref="M180">IFNA(xlookup(H180,'🙎‍♂️ Pasien'!$G$5:$G371,'🙎‍♂️ Pasien'!$S$5:$S371),"")</f>
        <v/>
      </c>
      <c r="N180" s="125" t="str">
        <f t="array" ref="N180">IFNA(XLOOKUP($H180,'🙎‍♂️ Pasien'!$G$7:$G371,'🙎‍♂️ Pasien'!$T$7:$T371),"")</f>
        <v/>
      </c>
      <c r="O180" s="16" t="s">
        <v>825</v>
      </c>
      <c r="P180" s="16" t="s">
        <v>826</v>
      </c>
      <c r="Q180" s="16" t="s">
        <v>29</v>
      </c>
      <c r="R180" s="16" t="s">
        <v>54</v>
      </c>
      <c r="S180" s="16" t="s">
        <v>79</v>
      </c>
      <c r="T180" s="16" t="s">
        <v>827</v>
      </c>
      <c r="U180" s="109" t="s">
        <v>831</v>
      </c>
      <c r="V180" s="126"/>
      <c r="W180" s="109"/>
      <c r="X180" s="109" t="str">
        <f t="array" ref="X180">IF(H180="","",XLOOKUP(H180,CATATANPELAYANAN[[#ALL],[NAMA PASIEN]],CATATANPELAYANAN[[#ALL],[LAYANAN]],"TIDAK CLOSING",0,-1))</f>
        <v>TIDAK CLOSING</v>
      </c>
      <c r="Y180" s="109" t="str">
        <f t="shared" si="4"/>
        <v>TIDAK CLOSING</v>
      </c>
      <c r="Z180" s="127"/>
    </row>
    <row r="181" ht="22.5" customHeight="1">
      <c r="A181" s="122"/>
      <c r="B181" s="123">
        <v>45977.0</v>
      </c>
      <c r="C181" s="124" t="str">
        <f t="shared" ref="C181:C193" si="20">IF(B181="","",text(B181,"yyyy"))</f>
        <v>2025</v>
      </c>
      <c r="D181" s="124" t="str">
        <f t="shared" ref="D181:D193" si="21">IF(B181="","",text(B181,"mm")&amp;" "&amp;text(B181,"mmm"))</f>
        <v>11 Nov</v>
      </c>
      <c r="E181" s="124" t="str">
        <f t="shared" ref="E181:E193" si="22">IF(B181="","",text(B181,"ddd"))</f>
        <v>Min</v>
      </c>
      <c r="F181" s="16" t="s">
        <v>53</v>
      </c>
      <c r="G181" s="109" t="str">
        <f t="array" ref="G181">IFNA(XLOOKUP(S181,'⚙️ Pengaturan'!$H$5:$H371,'⚙️ Pengaturan'!$I$5:$I371),"")</f>
        <v>TIM A</v>
      </c>
      <c r="H181" s="109" t="s">
        <v>532</v>
      </c>
      <c r="I181" s="125" t="str">
        <f t="array" ref="I181">ifna(xlookup($H181,'🙎‍♂️ Pasien'!$G$7:$G371,'🙎‍♂️ Pasien'!$H$7:$H371),"")</f>
        <v>H1025113976</v>
      </c>
      <c r="J181" s="125" t="str">
        <f t="array" ref="J181">ifna(xlookup($H181,'🙎‍♂️ Pasien'!$G$7:$G371,'🙎‍♂️ Pasien'!$L$7:$L371),"")</f>
        <v>PEREMPUAN</v>
      </c>
      <c r="K181" s="125">
        <f t="array" ref="K181">ifna(xlookup($H181,'🙎‍♂️ Pasien'!$G$7:$G371,'🙎‍♂️ Pasien'!$I$7:$I371),"")</f>
        <v>15</v>
      </c>
      <c r="L181" s="125" t="str">
        <f t="array" ref="L181">IFNA(xlookup(H181,'🙎‍♂️ Pasien'!$G$5:$G371,'🙎‍♂️ Pasien'!$J$5:$J371),"")</f>
        <v>&lt; 18 tahun</v>
      </c>
      <c r="M181" s="125" t="str">
        <f t="array" ref="M181">IFNA(xlookup(H181,'🙎‍♂️ Pasien'!$G$5:$G371,'🙎‍♂️ Pasien'!$S$5:$S371),"")</f>
        <v>PELAJAR</v>
      </c>
      <c r="N181" s="125" t="str">
        <f t="array" ref="N181">IFNA(XLOOKUP($H181,'🙎‍♂️ Pasien'!$G$7:$G371,'🙎‍♂️ Pasien'!$T$7:$T371),"")</f>
        <v>PERGELANGAN KAKI DAN LUTUS NYERI, KETIKA BANGUN TIDUR SAMPAI PINCANG</v>
      </c>
      <c r="O181" s="16" t="s">
        <v>1014</v>
      </c>
      <c r="P181" s="16" t="s">
        <v>833</v>
      </c>
      <c r="Q181" s="16" t="s">
        <v>29</v>
      </c>
      <c r="R181" s="16" t="s">
        <v>86</v>
      </c>
      <c r="S181" s="16" t="s">
        <v>62</v>
      </c>
      <c r="T181" s="16" t="s">
        <v>830</v>
      </c>
      <c r="U181" s="109"/>
      <c r="V181" s="126"/>
      <c r="W181" s="109"/>
      <c r="X181" s="109" t="str">
        <f t="array" ref="X181">IF(H181="","",XLOOKUP(H181,CATATANPELAYANAN[[#ALL],[NAMA PASIEN]],CATATANPELAYANAN[[#ALL],[LAYANAN]],"TIDAK CLOSING",0,-1))</f>
        <v>PAKET TERAPI</v>
      </c>
      <c r="Y181" s="109" t="str">
        <f t="shared" si="4"/>
        <v>PAKET</v>
      </c>
      <c r="Z181" s="127"/>
    </row>
    <row r="182" ht="22.5" customHeight="1">
      <c r="A182" s="122"/>
      <c r="B182" s="123">
        <v>45978.0</v>
      </c>
      <c r="C182" s="124" t="str">
        <f t="shared" si="20"/>
        <v>2025</v>
      </c>
      <c r="D182" s="124" t="str">
        <f t="shared" si="21"/>
        <v>11 Nov</v>
      </c>
      <c r="E182" s="124" t="str">
        <f t="shared" si="22"/>
        <v>Sen</v>
      </c>
      <c r="F182" s="16" t="s">
        <v>85</v>
      </c>
      <c r="G182" s="109" t="str">
        <f t="array" ref="G182">IFNA(XLOOKUP(S182,'⚙️ Pengaturan'!$H$5:$H371,'⚙️ Pengaturan'!$I$5:$I371),"")</f>
        <v>TIM Y</v>
      </c>
      <c r="H182" s="109" t="s">
        <v>536</v>
      </c>
      <c r="I182" s="125" t="str">
        <f t="array" ref="I182">ifna(xlookup($H182,'🙎‍♂️ Pasien'!$G$7:$G371,'🙎‍♂️ Pasien'!$H$7:$H371),"")</f>
        <v>A7025110923</v>
      </c>
      <c r="J182" s="125" t="str">
        <f t="array" ref="J182">ifna(xlookup($H182,'🙎‍♂️ Pasien'!$G$7:$G371,'🙎‍♂️ Pasien'!$L$7:$L371),"")</f>
        <v>LAKI-LAKI</v>
      </c>
      <c r="K182" s="125">
        <f t="array" ref="K182">ifna(xlookup($H182,'🙎‍♂️ Pasien'!$G$7:$G371,'🙎‍♂️ Pasien'!$I$7:$I371),"")</f>
        <v>55</v>
      </c>
      <c r="L182" s="125" t="str">
        <f t="array" ref="L182">IFNA(xlookup(H182,'🙎‍♂️ Pasien'!$G$5:$G371,'🙎‍♂️ Pasien'!$J$5:$J371),"")</f>
        <v>&gt; 44 tahun</v>
      </c>
      <c r="M182" s="125" t="str">
        <f t="array" ref="M182">IFNA(xlookup(H182,'🙎‍♂️ Pasien'!$G$5:$G371,'🙎‍♂️ Pasien'!$S$5:$S371),"")</f>
        <v>WIRASWASTA</v>
      </c>
      <c r="N182" s="125" t="str">
        <f t="array" ref="N182">IFNA(XLOOKUP($H182,'🙎‍♂️ Pasien'!$G$7:$G371,'🙎‍♂️ Pasien'!$T$7:$T371),"")</f>
        <v>ENGSEL LUTUT SAKIT</v>
      </c>
      <c r="O182" s="16" t="s">
        <v>982</v>
      </c>
      <c r="P182" s="16" t="s">
        <v>862</v>
      </c>
      <c r="Q182" s="16" t="s">
        <v>29</v>
      </c>
      <c r="R182" s="16" t="s">
        <v>86</v>
      </c>
      <c r="S182" s="16" t="s">
        <v>88</v>
      </c>
      <c r="T182" s="16" t="s">
        <v>834</v>
      </c>
      <c r="U182" s="109" t="s">
        <v>1015</v>
      </c>
      <c r="V182" s="126"/>
      <c r="W182" s="109"/>
      <c r="X182" s="109" t="str">
        <f t="array" ref="X182">IF(H182="","",XLOOKUP(H182,CATATANPELAYANAN[[#ALL],[NAMA PASIEN]],CATATANPELAYANAN[[#ALL],[LAYANAN]],"TIDAK CLOSING",0,-1))</f>
        <v>TERAPI AWAL</v>
      </c>
      <c r="Y182" s="109" t="str">
        <f t="shared" si="4"/>
        <v>TIDAK CLOSING</v>
      </c>
      <c r="Z182" s="127"/>
    </row>
    <row r="183" ht="22.5" customHeight="1">
      <c r="A183" s="122"/>
      <c r="B183" s="123">
        <v>45978.0</v>
      </c>
      <c r="C183" s="124" t="str">
        <f t="shared" si="20"/>
        <v>2025</v>
      </c>
      <c r="D183" s="124" t="str">
        <f t="shared" si="21"/>
        <v>11 Nov</v>
      </c>
      <c r="E183" s="124" t="str">
        <f t="shared" si="22"/>
        <v>Sen</v>
      </c>
      <c r="F183" s="16" t="s">
        <v>53</v>
      </c>
      <c r="G183" s="109" t="str">
        <f t="array" ref="G183">IFNA(XLOOKUP(S183,'⚙️ Pengaturan'!$H$5:$H371,'⚙️ Pengaturan'!$I$5:$I371),"")</f>
        <v>MANAJEMEN</v>
      </c>
      <c r="H183" s="109" t="s">
        <v>534</v>
      </c>
      <c r="I183" s="125" t="str">
        <f t="array" ref="I183">ifna(xlookup($H183,'🙎‍♂️ Pasien'!$G$7:$G371,'🙎‍♂️ Pasien'!$H$7:$H371),"")</f>
        <v>R6925118000</v>
      </c>
      <c r="J183" s="125" t="str">
        <f t="array" ref="J183">ifna(xlookup($H183,'🙎‍♂️ Pasien'!$G$7:$G371,'🙎‍♂️ Pasien'!$L$7:$L371),"")</f>
        <v>PEREMPUAN</v>
      </c>
      <c r="K183" s="125">
        <f t="array" ref="K183">ifna(xlookup($H183,'🙎‍♂️ Pasien'!$G$7:$G371,'🙎‍♂️ Pasien'!$I$7:$I371),"")</f>
        <v>57</v>
      </c>
      <c r="L183" s="125" t="str">
        <f t="array" ref="L183">IFNA(xlookup(H183,'🙎‍♂️ Pasien'!$G$5:$G371,'🙎‍♂️ Pasien'!$J$5:$J371),"")</f>
        <v>&gt; 44 tahun</v>
      </c>
      <c r="M183" s="125" t="str">
        <f t="array" ref="M183">IFNA(xlookup(H183,'🙎‍♂️ Pasien'!$G$5:$G371,'🙎‍♂️ Pasien'!$S$5:$S371),"")</f>
        <v>RUMAH TANGGA</v>
      </c>
      <c r="N183" s="125" t="str">
        <f t="array" ref="N183">IFNA(XLOOKUP($H183,'🙎‍♂️ Pasien'!$G$7:$G371,'🙎‍♂️ Pasien'!$T$7:$T371),"")</f>
        <v>KAKI SAKIT</v>
      </c>
      <c r="O183" s="16" t="s">
        <v>902</v>
      </c>
      <c r="P183" s="16" t="s">
        <v>836</v>
      </c>
      <c r="Q183" s="16" t="s">
        <v>29</v>
      </c>
      <c r="R183" s="16" t="s">
        <v>54</v>
      </c>
      <c r="S183" s="16" t="s">
        <v>101</v>
      </c>
      <c r="T183" s="16" t="s">
        <v>830</v>
      </c>
      <c r="U183" s="109"/>
      <c r="V183" s="126"/>
      <c r="W183" s="109"/>
      <c r="X183" s="109" t="str">
        <f t="array" ref="X183">IF(H183="","",XLOOKUP(H183,CATATANPELAYANAN[[#ALL],[NAMA PASIEN]],CATATANPELAYANAN[[#ALL],[LAYANAN]],"TIDAK CLOSING",0,-1))</f>
        <v>PAKET TERAPI</v>
      </c>
      <c r="Y183" s="109" t="str">
        <f t="shared" si="4"/>
        <v>PAKET</v>
      </c>
      <c r="Z183" s="127"/>
    </row>
    <row r="184" ht="22.5" customHeight="1">
      <c r="A184" s="122"/>
      <c r="B184" s="123">
        <v>45978.0</v>
      </c>
      <c r="C184" s="124" t="str">
        <f t="shared" si="20"/>
        <v>2025</v>
      </c>
      <c r="D184" s="124" t="str">
        <f t="shared" si="21"/>
        <v>11 Nov</v>
      </c>
      <c r="E184" s="124" t="str">
        <f t="shared" si="22"/>
        <v>Sen</v>
      </c>
      <c r="F184" s="16" t="s">
        <v>85</v>
      </c>
      <c r="G184" s="109" t="str">
        <f t="array" ref="G184">IFNA(XLOOKUP(S184,'⚙️ Pengaturan'!$H$5:$H371,'⚙️ Pengaturan'!$I$5:$I371),"")</f>
        <v>TIM A</v>
      </c>
      <c r="H184" s="109" t="s">
        <v>535</v>
      </c>
      <c r="I184" s="125" t="str">
        <f t="array" ref="I184">ifna(xlookup($H184,'🙎‍♂️ Pasien'!$G$7:$G371,'🙎‍♂️ Pasien'!$H$7:$H371),"")</f>
        <v>N6225110960</v>
      </c>
      <c r="J184" s="125" t="str">
        <f t="array" ref="J184">ifna(xlookup($H184,'🙎‍♂️ Pasien'!$G$7:$G371,'🙎‍♂️ Pasien'!$L$7:$L371),"")</f>
        <v>PEREMPUAN</v>
      </c>
      <c r="K184" s="125">
        <f t="array" ref="K184">ifna(xlookup($H184,'🙎‍♂️ Pasien'!$G$7:$G371,'🙎‍♂️ Pasien'!$I$7:$I371),"")</f>
        <v>64</v>
      </c>
      <c r="L184" s="125" t="str">
        <f t="array" ref="L184">IFNA(xlookup(H184,'🙎‍♂️ Pasien'!$G$5:$G371,'🙎‍♂️ Pasien'!$J$5:$J371),"")</f>
        <v>&gt; 44 tahun</v>
      </c>
      <c r="M184" s="125" t="str">
        <f t="array" ref="M184">IFNA(xlookup(H184,'🙎‍♂️ Pasien'!$G$5:$G371,'🙎‍♂️ Pasien'!$S$5:$S371),"")</f>
        <v>PENSIUNAN PNS</v>
      </c>
      <c r="N184" s="125" t="str">
        <f t="array" ref="N184">IFNA(XLOOKUP($H184,'🙎‍♂️ Pasien'!$G$7:$G371,'🙎‍♂️ Pasien'!$T$7:$T371),"")</f>
        <v>NYERI PADA BETIS KIRI DAN SUSAH SAAT BERJALAN</v>
      </c>
      <c r="O184" s="16" t="s">
        <v>978</v>
      </c>
      <c r="P184" s="16" t="s">
        <v>942</v>
      </c>
      <c r="Q184" s="16" t="s">
        <v>29</v>
      </c>
      <c r="R184" s="16" t="s">
        <v>86</v>
      </c>
      <c r="S184" s="16" t="s">
        <v>62</v>
      </c>
      <c r="T184" s="16" t="s">
        <v>834</v>
      </c>
      <c r="U184" s="109" t="s">
        <v>920</v>
      </c>
      <c r="V184" s="126"/>
      <c r="W184" s="109"/>
      <c r="X184" s="109" t="str">
        <f t="array" ref="X184">IF(H184="","",XLOOKUP(H184,CATATANPELAYANAN[[#ALL],[NAMA PASIEN]],CATATANPELAYANAN[[#ALL],[LAYANAN]],"TIDAK CLOSING",0,-1))</f>
        <v>TERAPI AWAL</v>
      </c>
      <c r="Y184" s="109" t="str">
        <f t="shared" si="4"/>
        <v>TIDAK CLOSING</v>
      </c>
      <c r="Z184" s="127"/>
    </row>
    <row r="185" ht="22.5" customHeight="1">
      <c r="A185" s="122"/>
      <c r="B185" s="123">
        <v>45978.0</v>
      </c>
      <c r="C185" s="124" t="str">
        <f t="shared" si="20"/>
        <v>2025</v>
      </c>
      <c r="D185" s="124" t="str">
        <f t="shared" si="21"/>
        <v>11 Nov</v>
      </c>
      <c r="E185" s="124" t="str">
        <f t="shared" si="22"/>
        <v>Sen</v>
      </c>
      <c r="F185" s="16" t="s">
        <v>85</v>
      </c>
      <c r="G185" s="109" t="str">
        <f t="array" ref="G185">IFNA(XLOOKUP(S185,'⚙️ Pengaturan'!$H$5:$H371,'⚙️ Pengaturan'!$I$5:$I371),"")</f>
        <v>TIM A</v>
      </c>
      <c r="H185" s="109" t="s">
        <v>1016</v>
      </c>
      <c r="I185" s="125" t="str">
        <f t="array" ref="I185">ifna(xlookup($H185,'🙎‍♂️ Pasien'!$G$7:$G371,'🙎‍♂️ Pasien'!$H$7:$H371),"")</f>
        <v>J9825115575</v>
      </c>
      <c r="J185" s="125" t="str">
        <f t="array" ref="J185">ifna(xlookup($H185,'🙎‍♂️ Pasien'!$G$7:$G371,'🙎‍♂️ Pasien'!$L$7:$L371),"")</f>
        <v>PEREMPUAN</v>
      </c>
      <c r="K185" s="125">
        <f t="array" ref="K185">ifna(xlookup($H185,'🙎‍♂️ Pasien'!$G$7:$G371,'🙎‍♂️ Pasien'!$I$7:$I371),"")</f>
        <v>27</v>
      </c>
      <c r="L185" s="125" t="str">
        <f t="array" ref="L185">IFNA(xlookup(H185,'🙎‍♂️ Pasien'!$G$5:$G371,'🙎‍♂️ Pasien'!$J$5:$J371),"")</f>
        <v>25-34 tahun</v>
      </c>
      <c r="M185" s="125" t="str">
        <f t="array" ref="M185">IFNA(xlookup(H185,'🙎‍♂️ Pasien'!$G$5:$G371,'🙎‍♂️ Pasien'!$S$5:$S371),"")</f>
        <v>KARYAWAN SWASTA</v>
      </c>
      <c r="N185" s="125" t="str">
        <f t="array" ref="N185">IFNA(XLOOKUP($H185,'🙎‍♂️ Pasien'!$G$7:$G371,'🙎‍♂️ Pasien'!$T$7:$T371),"")</f>
        <v>NYERI DIBAGIAN BETIS SAMPING SEBELAH KIRI</v>
      </c>
      <c r="O185" s="16" t="s">
        <v>1004</v>
      </c>
      <c r="P185" s="16" t="s">
        <v>833</v>
      </c>
      <c r="Q185" s="16" t="s">
        <v>29</v>
      </c>
      <c r="R185" s="16" t="s">
        <v>86</v>
      </c>
      <c r="S185" s="16" t="s">
        <v>79</v>
      </c>
      <c r="T185" s="16" t="s">
        <v>834</v>
      </c>
      <c r="U185" s="109" t="s">
        <v>937</v>
      </c>
      <c r="V185" s="126"/>
      <c r="W185" s="109"/>
      <c r="X185" s="109" t="str">
        <f t="array" ref="X185">IF(H185="","",XLOOKUP(H185,CATATANPELAYANAN[[#ALL],[NAMA PASIEN]],CATATANPELAYANAN[[#ALL],[LAYANAN]],"TIDAK CLOSING",0,-1))</f>
        <v>TIDAK CLOSING</v>
      </c>
      <c r="Y185" s="109" t="str">
        <f t="shared" si="4"/>
        <v>TIDAK CLOSING</v>
      </c>
      <c r="Z185" s="127"/>
    </row>
    <row r="186" ht="22.5" customHeight="1">
      <c r="A186" s="122"/>
      <c r="B186" s="123">
        <v>45978.0</v>
      </c>
      <c r="C186" s="124" t="str">
        <f t="shared" si="20"/>
        <v>2025</v>
      </c>
      <c r="D186" s="124" t="str">
        <f t="shared" si="21"/>
        <v>11 Nov</v>
      </c>
      <c r="E186" s="124" t="str">
        <f t="shared" si="22"/>
        <v>Sen</v>
      </c>
      <c r="F186" s="16" t="s">
        <v>85</v>
      </c>
      <c r="G186" s="109" t="str">
        <f t="array" ref="G186">IFNA(XLOOKUP(S186,'⚙️ Pengaturan'!$H$5:$H371,'⚙️ Pengaturan'!$I$5:$I371),"")</f>
        <v>TIM Y</v>
      </c>
      <c r="H186" s="109" t="s">
        <v>556</v>
      </c>
      <c r="I186" s="125" t="str">
        <f t="array" ref="I186">ifna(xlookup($H186,'🙎‍♂️ Pasien'!$G$7:$G371,'🙎‍♂️ Pasien'!$H$7:$H371),"")</f>
        <v>M0025117586</v>
      </c>
      <c r="J186" s="125" t="str">
        <f t="array" ref="J186">ifna(xlookup($H186,'🙎‍♂️ Pasien'!$G$7:$G371,'🙎‍♂️ Pasien'!$L$7:$L371),"")</f>
        <v>LAKI-LAKI</v>
      </c>
      <c r="K186" s="125">
        <f t="array" ref="K186">ifna(xlookup($H186,'🙎‍♂️ Pasien'!$G$7:$G371,'🙎‍♂️ Pasien'!$I$7:$I371),"")</f>
        <v>25</v>
      </c>
      <c r="L186" s="125" t="str">
        <f t="array" ref="L186">IFNA(xlookup(H186,'🙎‍♂️ Pasien'!$G$5:$G371,'🙎‍♂️ Pasien'!$J$5:$J371),"")</f>
        <v>25-34 tahun</v>
      </c>
      <c r="M186" s="125" t="str">
        <f t="array" ref="M186">IFNA(xlookup(H186,'🙎‍♂️ Pasien'!$G$5:$G371,'🙎‍♂️ Pasien'!$S$5:$S371),"")</f>
        <v>WIRASWASTA</v>
      </c>
      <c r="N186" s="125" t="str">
        <f t="array" ref="N186">IFNA(XLOOKUP($H186,'🙎‍♂️ Pasien'!$G$7:$G371,'🙎‍♂️ Pasien'!$T$7:$T371),"")</f>
        <v>KESEMUTAN TANGAN KIRI</v>
      </c>
      <c r="O186" s="16" t="s">
        <v>899</v>
      </c>
      <c r="P186" s="16" t="s">
        <v>1017</v>
      </c>
      <c r="Q186" s="16" t="s">
        <v>26</v>
      </c>
      <c r="R186" s="16" t="s">
        <v>86</v>
      </c>
      <c r="S186" s="16" t="s">
        <v>88</v>
      </c>
      <c r="T186" s="16" t="s">
        <v>827</v>
      </c>
      <c r="U186" s="109"/>
      <c r="V186" s="126"/>
      <c r="W186" s="109"/>
      <c r="X186" s="109" t="str">
        <f t="array" ref="X186">IF(H186="","",XLOOKUP(H186,CATATANPELAYANAN[[#ALL],[NAMA PASIEN]],CATATANPELAYANAN[[#ALL],[LAYANAN]],"TIDAK CLOSING",0,-1))</f>
        <v>SESI TERAPI</v>
      </c>
      <c r="Y186" s="109" t="str">
        <f t="shared" si="4"/>
        <v>SESI</v>
      </c>
      <c r="Z186" s="127"/>
    </row>
    <row r="187" ht="22.5" customHeight="1">
      <c r="A187" s="122"/>
      <c r="B187" s="123">
        <v>45978.0</v>
      </c>
      <c r="C187" s="124" t="str">
        <f t="shared" si="20"/>
        <v>2025</v>
      </c>
      <c r="D187" s="124" t="str">
        <f t="shared" si="21"/>
        <v>11 Nov</v>
      </c>
      <c r="E187" s="124" t="str">
        <f t="shared" si="22"/>
        <v>Sen</v>
      </c>
      <c r="F187" s="16" t="s">
        <v>85</v>
      </c>
      <c r="G187" s="109" t="str">
        <f t="array" ref="G187">IFNA(XLOOKUP(S187,'⚙️ Pengaturan'!$H$5:$H371,'⚙️ Pengaturan'!$I$5:$I371),"")</f>
        <v>TIM A</v>
      </c>
      <c r="H187" s="109" t="s">
        <v>537</v>
      </c>
      <c r="I187" s="125" t="str">
        <f t="array" ref="I187">ifna(xlookup($H187,'🙎‍♂️ Pasien'!$G$7:$G371,'🙎‍♂️ Pasien'!$H$7:$H371),"")</f>
        <v>H7825116588</v>
      </c>
      <c r="J187" s="125" t="str">
        <f t="array" ref="J187">ifna(xlookup($H187,'🙎‍♂️ Pasien'!$G$7:$G371,'🙎‍♂️ Pasien'!$L$7:$L371),"")</f>
        <v>PEREMPUAN</v>
      </c>
      <c r="K187" s="125">
        <f t="array" ref="K187">ifna(xlookup($H187,'🙎‍♂️ Pasien'!$G$7:$G371,'🙎‍♂️ Pasien'!$I$7:$I371),"")</f>
        <v>47</v>
      </c>
      <c r="L187" s="125" t="str">
        <f t="array" ref="L187">IFNA(xlookup(H187,'🙎‍♂️ Pasien'!$G$5:$G371,'🙎‍♂️ Pasien'!$J$5:$J371),"")</f>
        <v>&gt; 44 tahun</v>
      </c>
      <c r="M187" s="125" t="str">
        <f t="array" ref="M187">IFNA(xlookup(H187,'🙎‍♂️ Pasien'!$G$5:$G371,'🙎‍♂️ Pasien'!$S$5:$S371),"")</f>
        <v>KARYAWAN BUMN</v>
      </c>
      <c r="N187" s="125" t="str">
        <f t="array" ref="N187">IFNA(XLOOKUP($H187,'🙎‍♂️ Pasien'!$G$7:$G371,'🙎‍♂️ Pasien'!$T$7:$T371),"")</f>
        <v>KAKI</v>
      </c>
      <c r="O187" s="16" t="s">
        <v>849</v>
      </c>
      <c r="P187" s="16" t="s">
        <v>862</v>
      </c>
      <c r="Q187" s="16" t="s">
        <v>29</v>
      </c>
      <c r="R187" s="16" t="s">
        <v>86</v>
      </c>
      <c r="S187" s="16" t="s">
        <v>62</v>
      </c>
      <c r="T187" s="16" t="s">
        <v>834</v>
      </c>
      <c r="U187" s="109" t="s">
        <v>1018</v>
      </c>
      <c r="V187" s="126"/>
      <c r="W187" s="109"/>
      <c r="X187" s="109" t="str">
        <f t="array" ref="X187">IF(H187="","",XLOOKUP(H187,CATATANPELAYANAN[[#ALL],[NAMA PASIEN]],CATATANPELAYANAN[[#ALL],[LAYANAN]],"TIDAK CLOSING",0,-1))</f>
        <v>TERAPI AWAL</v>
      </c>
      <c r="Y187" s="109" t="str">
        <f t="shared" si="4"/>
        <v>TIDAK CLOSING</v>
      </c>
      <c r="Z187" s="127"/>
    </row>
    <row r="188" ht="22.5" customHeight="1">
      <c r="A188" s="122"/>
      <c r="B188" s="123">
        <v>45978.0</v>
      </c>
      <c r="C188" s="124" t="str">
        <f t="shared" si="20"/>
        <v>2025</v>
      </c>
      <c r="D188" s="124" t="str">
        <f t="shared" si="21"/>
        <v>11 Nov</v>
      </c>
      <c r="E188" s="124" t="str">
        <f t="shared" si="22"/>
        <v>Sen</v>
      </c>
      <c r="F188" s="16" t="s">
        <v>85</v>
      </c>
      <c r="G188" s="109" t="str">
        <f t="array" ref="G188">IFNA(XLOOKUP(S188,'⚙️ Pengaturan'!$H$5:$H371,'⚙️ Pengaturan'!$I$5:$I371),"")</f>
        <v>TIM A</v>
      </c>
      <c r="H188" s="109" t="s">
        <v>539</v>
      </c>
      <c r="I188" s="125" t="str">
        <f t="array" ref="I188">ifna(xlookup($H188,'🙎‍♂️ Pasien'!$G$7:$G371,'🙎‍♂️ Pasien'!$H$7:$H371),"")</f>
        <v>S7325111991</v>
      </c>
      <c r="J188" s="125" t="str">
        <f t="array" ref="J188">ifna(xlookup($H188,'🙎‍♂️ Pasien'!$G$7:$G371,'🙎‍♂️ Pasien'!$L$7:$L371),"")</f>
        <v>LAKI-LAKI</v>
      </c>
      <c r="K188" s="125">
        <f t="array" ref="K188">ifna(xlookup($H188,'🙎‍♂️ Pasien'!$G$7:$G371,'🙎‍♂️ Pasien'!$I$7:$I371),"")</f>
        <v>53</v>
      </c>
      <c r="L188" s="125" t="str">
        <f t="array" ref="L188">IFNA(xlookup(H188,'🙎‍♂️ Pasien'!$G$5:$G371,'🙎‍♂️ Pasien'!$J$5:$J371),"")</f>
        <v>&gt; 44 tahun</v>
      </c>
      <c r="M188" s="125" t="str">
        <f t="array" ref="M188">IFNA(xlookup(H188,'🙎‍♂️ Pasien'!$G$5:$G371,'🙎‍♂️ Pasien'!$S$5:$S371),"")</f>
        <v>ASN</v>
      </c>
      <c r="N188" s="125" t="str">
        <f t="array" ref="N188">IFNA(XLOOKUP($H188,'🙎‍♂️ Pasien'!$G$7:$G371,'🙎‍♂️ Pasien'!$T$7:$T371),"")</f>
        <v>BAHU KANAN NYERI, TANGAN KANAN TIDAK DAPAT DIGERAKKAN KE ATAS. PERGERAKAN SIKU TIDAK MASALAH. PERGERAKKAN JARI2 TIDAK MASALAH</v>
      </c>
      <c r="O188" s="16" t="s">
        <v>1019</v>
      </c>
      <c r="P188" s="16" t="s">
        <v>839</v>
      </c>
      <c r="Q188" s="16" t="s">
        <v>27</v>
      </c>
      <c r="R188" s="16" t="s">
        <v>86</v>
      </c>
      <c r="S188" s="16" t="s">
        <v>62</v>
      </c>
      <c r="T188" s="16" t="s">
        <v>834</v>
      </c>
      <c r="U188" s="109" t="s">
        <v>831</v>
      </c>
      <c r="V188" s="126"/>
      <c r="W188" s="109"/>
      <c r="X188" s="109" t="str">
        <f t="array" ref="X188">IF(H188="","",XLOOKUP(H188,CATATANPELAYANAN[[#ALL],[NAMA PASIEN]],CATATANPELAYANAN[[#ALL],[LAYANAN]],"TIDAK CLOSING",0,-1))</f>
        <v>TERAPI AWAL</v>
      </c>
      <c r="Y188" s="109" t="str">
        <f t="shared" si="4"/>
        <v>TIDAK CLOSING</v>
      </c>
      <c r="Z188" s="127"/>
    </row>
    <row r="189" ht="22.5" customHeight="1">
      <c r="A189" s="122"/>
      <c r="B189" s="123">
        <v>45978.0</v>
      </c>
      <c r="C189" s="124" t="str">
        <f t="shared" si="20"/>
        <v>2025</v>
      </c>
      <c r="D189" s="124" t="str">
        <f t="shared" si="21"/>
        <v>11 Nov</v>
      </c>
      <c r="E189" s="124" t="str">
        <f t="shared" si="22"/>
        <v>Sen</v>
      </c>
      <c r="F189" s="16" t="s">
        <v>85</v>
      </c>
      <c r="G189" s="109" t="str">
        <f t="array" ref="G189">IFNA(XLOOKUP(S189,'⚙️ Pengaturan'!$H$5:$H371,'⚙️ Pengaturan'!$I$5:$I371),"")</f>
        <v>TIM A</v>
      </c>
      <c r="H189" s="109" t="s">
        <v>563</v>
      </c>
      <c r="I189" s="125" t="str">
        <f t="array" ref="I189">ifna(xlookup($H189,'🙎‍♂️ Pasien'!$G$7:$G371,'🙎‍♂️ Pasien'!$H$7:$H371),"")</f>
        <v>W0725110582</v>
      </c>
      <c r="J189" s="125" t="str">
        <f t="array" ref="J189">ifna(xlookup($H189,'🙎‍♂️ Pasien'!$G$7:$G371,'🙎‍♂️ Pasien'!$L$7:$L371),"")</f>
        <v>LAKI-LAKI</v>
      </c>
      <c r="K189" s="125">
        <f t="array" ref="K189">ifna(xlookup($H189,'🙎‍♂️ Pasien'!$G$7:$G371,'🙎‍♂️ Pasien'!$I$7:$I371),"")</f>
        <v>18</v>
      </c>
      <c r="L189" s="125" t="str">
        <f t="array" ref="L189">IFNA(xlookup(H189,'🙎‍♂️ Pasien'!$G$5:$G371,'🙎‍♂️ Pasien'!$J$5:$J371),"")</f>
        <v>&lt; 18 tahun</v>
      </c>
      <c r="M189" s="125" t="str">
        <f t="array" ref="M189">IFNA(xlookup(H189,'🙎‍♂️ Pasien'!$G$5:$G371,'🙎‍♂️ Pasien'!$S$5:$S371),"")</f>
        <v>-</v>
      </c>
      <c r="N189" s="125" t="str">
        <f t="array" ref="N189">IFNA(XLOOKUP($H189,'🙎‍♂️ Pasien'!$G$7:$G371,'🙎‍♂️ Pasien'!$T$7:$T371),"")</f>
        <v>KAKI</v>
      </c>
      <c r="O189" s="16" t="s">
        <v>842</v>
      </c>
      <c r="P189" s="16" t="s">
        <v>836</v>
      </c>
      <c r="Q189" s="16" t="s">
        <v>29</v>
      </c>
      <c r="R189" s="16" t="s">
        <v>86</v>
      </c>
      <c r="S189" s="16" t="s">
        <v>62</v>
      </c>
      <c r="T189" s="16" t="s">
        <v>827</v>
      </c>
      <c r="U189" s="109"/>
      <c r="V189" s="126"/>
      <c r="W189" s="109"/>
      <c r="X189" s="109" t="str">
        <f t="array" ref="X189">IF(H189="","",XLOOKUP(H189,CATATANPELAYANAN[[#ALL],[NAMA PASIEN]],CATATANPELAYANAN[[#ALL],[LAYANAN]],"TIDAK CLOSING",0,-1))</f>
        <v>SESI TERAPI</v>
      </c>
      <c r="Y189" s="109" t="str">
        <f t="shared" si="4"/>
        <v>SESI</v>
      </c>
      <c r="Z189" s="127"/>
    </row>
    <row r="190" ht="22.5" customHeight="1">
      <c r="A190" s="122"/>
      <c r="B190" s="123">
        <v>45979.0</v>
      </c>
      <c r="C190" s="124" t="str">
        <f t="shared" si="20"/>
        <v>2025</v>
      </c>
      <c r="D190" s="124" t="str">
        <f t="shared" si="21"/>
        <v>11 Nov</v>
      </c>
      <c r="E190" s="124" t="str">
        <f t="shared" si="22"/>
        <v>Sel</v>
      </c>
      <c r="F190" s="16" t="s">
        <v>53</v>
      </c>
      <c r="G190" s="109" t="str">
        <f t="array" ref="G190">IFNA(XLOOKUP(S190,'⚙️ Pengaturan'!$H$5:$H371,'⚙️ Pengaturan'!$I$5:$I371),"")</f>
        <v>TIM A</v>
      </c>
      <c r="H190" s="109" t="s">
        <v>641</v>
      </c>
      <c r="I190" s="125" t="str">
        <f t="array" ref="I190">ifna(xlookup($H190,'🙎‍♂️ Pasien'!$G$7:$G371,'🙎‍♂️ Pasien'!$H$7:$H371),"")</f>
        <v>S4425117922</v>
      </c>
      <c r="J190" s="125" t="str">
        <f t="array" ref="J190">ifna(xlookup($H190,'🙎‍♂️ Pasien'!$G$7:$G371,'🙎‍♂️ Pasien'!$L$7:$L371),"")</f>
        <v>PEREMPUAN</v>
      </c>
      <c r="K190" s="125">
        <f t="array" ref="K190">ifna(xlookup($H190,'🙎‍♂️ Pasien'!$G$7:$G371,'🙎‍♂️ Pasien'!$I$7:$I371),"")</f>
        <v>82</v>
      </c>
      <c r="L190" s="125" t="str">
        <f t="array" ref="L190">IFNA(xlookup(H190,'🙎‍♂️ Pasien'!$G$5:$G371,'🙎‍♂️ Pasien'!$J$5:$J371),"")</f>
        <v>&gt; 44 tahun</v>
      </c>
      <c r="M190" s="125" t="str">
        <f t="array" ref="M190">IFNA(xlookup(H190,'🙎‍♂️ Pasien'!$G$5:$G371,'🙎‍♂️ Pasien'!$S$5:$S371),"")</f>
        <v>PENSIUNAN</v>
      </c>
      <c r="N190" s="125" t="str">
        <f t="array" ref="N190">IFNA(XLOOKUP($H190,'🙎‍♂️ Pasien'!$G$7:$G371,'🙎‍♂️ Pasien'!$T$7:$T371),"")</f>
        <v>OTOT LEMAH SETELAH SEMBUH DARI JATUH</v>
      </c>
      <c r="O190" s="16" t="s">
        <v>1020</v>
      </c>
      <c r="P190" s="16" t="s">
        <v>845</v>
      </c>
      <c r="Q190" s="16" t="s">
        <v>29</v>
      </c>
      <c r="R190" s="16" t="s">
        <v>86</v>
      </c>
      <c r="S190" s="16" t="s">
        <v>62</v>
      </c>
      <c r="T190" s="16" t="s">
        <v>830</v>
      </c>
      <c r="U190" s="109"/>
      <c r="V190" s="126"/>
      <c r="W190" s="109"/>
      <c r="X190" s="109" t="str">
        <f t="array" ref="X190">IF(H190="","",XLOOKUP(H190,CATATANPELAYANAN[[#ALL],[NAMA PASIEN]],CATATANPELAYANAN[[#ALL],[LAYANAN]],"TIDAK CLOSING",0,-1))</f>
        <v>PAKET TERAPI</v>
      </c>
      <c r="Y190" s="109" t="str">
        <f t="shared" si="4"/>
        <v>PAKET</v>
      </c>
      <c r="Z190" s="127"/>
    </row>
    <row r="191" ht="22.5" customHeight="1">
      <c r="A191" s="122"/>
      <c r="B191" s="123">
        <v>45979.0</v>
      </c>
      <c r="C191" s="124" t="str">
        <f t="shared" si="20"/>
        <v>2025</v>
      </c>
      <c r="D191" s="124" t="str">
        <f t="shared" si="21"/>
        <v>11 Nov</v>
      </c>
      <c r="E191" s="124" t="str">
        <f t="shared" si="22"/>
        <v>Sel</v>
      </c>
      <c r="F191" s="16" t="s">
        <v>53</v>
      </c>
      <c r="G191" s="109" t="str">
        <f t="array" ref="G191">IFNA(XLOOKUP(S191,'⚙️ Pengaturan'!$H$5:$H371,'⚙️ Pengaturan'!$I$5:$I371),"")</f>
        <v>TIM A</v>
      </c>
      <c r="H191" s="109" t="s">
        <v>540</v>
      </c>
      <c r="I191" s="125" t="str">
        <f t="array" ref="I191">ifna(xlookup($H191,'🙎‍♂️ Pasien'!$G$7:$G371,'🙎‍♂️ Pasien'!$H$7:$H371),"")</f>
        <v>A9425110177</v>
      </c>
      <c r="J191" s="125" t="str">
        <f t="array" ref="J191">ifna(xlookup($H191,'🙎‍♂️ Pasien'!$G$7:$G371,'🙎‍♂️ Pasien'!$L$7:$L371),"")</f>
        <v>LAKI-LAKI</v>
      </c>
      <c r="K191" s="125">
        <f t="array" ref="K191">ifna(xlookup($H191,'🙎‍♂️ Pasien'!$G$7:$G371,'🙎‍♂️ Pasien'!$I$7:$I371),"")</f>
        <v>31</v>
      </c>
      <c r="L191" s="125" t="str">
        <f t="array" ref="L191">IFNA(xlookup(H191,'🙎‍♂️ Pasien'!$G$5:$G371,'🙎‍♂️ Pasien'!$J$5:$J371),"")</f>
        <v>25-34 tahun</v>
      </c>
      <c r="M191" s="125" t="str">
        <f t="array" ref="M191">IFNA(xlookup(H191,'🙎‍♂️ Pasien'!$G$5:$G371,'🙎‍♂️ Pasien'!$S$5:$S371),"")</f>
        <v>-</v>
      </c>
      <c r="N191" s="125" t="str">
        <f t="array" ref="N191">IFNA(XLOOKUP($H191,'🙎‍♂️ Pasien'!$G$7:$G371,'🙎‍♂️ Pasien'!$T$7:$T371),"")</f>
        <v>PASCA OPERASI ACL</v>
      </c>
      <c r="O191" s="16" t="s">
        <v>1021</v>
      </c>
      <c r="P191" s="16" t="s">
        <v>836</v>
      </c>
      <c r="Q191" s="16" t="s">
        <v>26</v>
      </c>
      <c r="R191" s="16" t="s">
        <v>86</v>
      </c>
      <c r="S191" s="16" t="s">
        <v>72</v>
      </c>
      <c r="T191" s="16" t="s">
        <v>830</v>
      </c>
      <c r="U191" s="109" t="s">
        <v>949</v>
      </c>
      <c r="V191" s="126"/>
      <c r="W191" s="109"/>
      <c r="X191" s="109" t="str">
        <f t="array" ref="X191">IF(H191="","",XLOOKUP(H191,CATATANPELAYANAN[[#ALL],[NAMA PASIEN]],CATATANPELAYANAN[[#ALL],[LAYANAN]],"TIDAK CLOSING",0,-1))</f>
        <v>PAKET TERAPI</v>
      </c>
      <c r="Y191" s="109" t="str">
        <f t="shared" si="4"/>
        <v>PAKET</v>
      </c>
      <c r="Z191" s="127"/>
    </row>
    <row r="192" ht="22.5" customHeight="1">
      <c r="A192" s="122"/>
      <c r="B192" s="123">
        <v>45979.0</v>
      </c>
      <c r="C192" s="124" t="str">
        <f t="shared" si="20"/>
        <v>2025</v>
      </c>
      <c r="D192" s="124" t="str">
        <f t="shared" si="21"/>
        <v>11 Nov</v>
      </c>
      <c r="E192" s="124" t="str">
        <f t="shared" si="22"/>
        <v>Sel</v>
      </c>
      <c r="F192" s="16" t="s">
        <v>53</v>
      </c>
      <c r="G192" s="109" t="str">
        <f t="array" ref="G192">IFNA(XLOOKUP(S192,'⚙️ Pengaturan'!$H$5:$H371,'⚙️ Pengaturan'!$I$5:$I371),"")</f>
        <v>TIM A</v>
      </c>
      <c r="H192" s="109" t="s">
        <v>542</v>
      </c>
      <c r="I192" s="125" t="str">
        <f t="array" ref="I192">ifna(xlookup($H192,'🙎‍♂️ Pasien'!$G$7:$G371,'🙎‍♂️ Pasien'!$H$7:$H371),"")</f>
        <v>P0123123241</v>
      </c>
      <c r="J192" s="125" t="str">
        <f t="array" ref="J192">ifna(xlookup($H192,'🙎‍♂️ Pasien'!$G$7:$G371,'🙎‍♂️ Pasien'!$L$7:$L371),"")</f>
        <v>LAKI-LAKI</v>
      </c>
      <c r="K192" s="125">
        <f t="array" ref="K192">ifna(xlookup($H192,'🙎‍♂️ Pasien'!$G$7:$G371,'🙎‍♂️ Pasien'!$I$7:$I371),"")</f>
        <v>24</v>
      </c>
      <c r="L192" s="125" t="str">
        <f t="array" ref="L192">IFNA(xlookup(H192,'🙎‍♂️ Pasien'!$G$5:$G371,'🙎‍♂️ Pasien'!$J$5:$J371),"")</f>
        <v>18-24 tahun</v>
      </c>
      <c r="M192" s="125" t="str">
        <f t="array" ref="M192">IFNA(xlookup(H192,'🙎‍♂️ Pasien'!$G$5:$G371,'🙎‍♂️ Pasien'!$S$5:$S371),"")</f>
        <v>TNI/POLRI</v>
      </c>
      <c r="N192" s="125" t="str">
        <f t="array" ref="N192">IFNA(XLOOKUP($H192,'🙎‍♂️ Pasien'!$G$7:$G371,'🙎‍♂️ Pasien'!$T$7:$T371),"")</f>
        <v>Ankle</v>
      </c>
      <c r="O192" s="16" t="s">
        <v>832</v>
      </c>
      <c r="P192" s="16" t="s">
        <v>833</v>
      </c>
      <c r="Q192" s="16" t="s">
        <v>28</v>
      </c>
      <c r="R192" s="16" t="s">
        <v>86</v>
      </c>
      <c r="S192" s="16" t="s">
        <v>72</v>
      </c>
      <c r="T192" s="16" t="s">
        <v>827</v>
      </c>
      <c r="U192" s="109"/>
      <c r="V192" s="126"/>
      <c r="W192" s="109"/>
      <c r="X192" s="109" t="str">
        <f t="array" ref="X192">IF(H192="","",XLOOKUP(H192,CATATANPELAYANAN[[#ALL],[NAMA PASIEN]],CATATANPELAYANAN[[#ALL],[LAYANAN]],"TIDAK CLOSING",0,-1))</f>
        <v>SESI TERAPI</v>
      </c>
      <c r="Y192" s="109" t="str">
        <f t="shared" si="4"/>
        <v>SESI</v>
      </c>
      <c r="Z192" s="127"/>
    </row>
    <row r="193" ht="22.5" customHeight="1">
      <c r="A193" s="122"/>
      <c r="B193" s="123">
        <v>45979.0</v>
      </c>
      <c r="C193" s="124" t="str">
        <f t="shared" si="20"/>
        <v>2025</v>
      </c>
      <c r="D193" s="124" t="str">
        <f t="shared" si="21"/>
        <v>11 Nov</v>
      </c>
      <c r="E193" s="124" t="str">
        <f t="shared" si="22"/>
        <v>Sel</v>
      </c>
      <c r="F193" s="16" t="s">
        <v>85</v>
      </c>
      <c r="G193" s="109" t="str">
        <f t="array" ref="G193">IFNA(XLOOKUP(S193,'⚙️ Pengaturan'!$H$5:$H371,'⚙️ Pengaturan'!$I$5:$I371),"")</f>
        <v>TIM Y</v>
      </c>
      <c r="H193" s="109" t="s">
        <v>543</v>
      </c>
      <c r="I193" s="125" t="str">
        <f t="array" ref="I193">ifna(xlookup($H193,'🙎‍♂️ Pasien'!$G$7:$G371,'🙎‍♂️ Pasien'!$H$7:$H371),"")</f>
        <v>A8725115557</v>
      </c>
      <c r="J193" s="125" t="str">
        <f t="array" ref="J193">ifna(xlookup($H193,'🙎‍♂️ Pasien'!$G$7:$G371,'🙎‍♂️ Pasien'!$L$7:$L371),"")</f>
        <v>PEREMPUAN</v>
      </c>
      <c r="K193" s="125">
        <f t="array" ref="K193">ifna(xlookup($H193,'🙎‍♂️ Pasien'!$G$7:$G371,'🙎‍♂️ Pasien'!$I$7:$I371),"")</f>
        <v>38</v>
      </c>
      <c r="L193" s="125" t="str">
        <f t="array" ref="L193">IFNA(xlookup(H193,'🙎‍♂️ Pasien'!$G$5:$G371,'🙎‍♂️ Pasien'!$J$5:$J371),"")</f>
        <v>35-44 tahun</v>
      </c>
      <c r="M193" s="125" t="str">
        <f t="array" ref="M193">IFNA(xlookup(H193,'🙎‍♂️ Pasien'!$G$5:$G371,'🙎‍♂️ Pasien'!$S$5:$S371),"")</f>
        <v>KARYAWAN SWASTA</v>
      </c>
      <c r="N193" s="125" t="str">
        <f t="array" ref="N193">IFNA(XLOOKUP($H193,'🙎‍♂️ Pasien'!$G$7:$G371,'🙎‍♂️ Pasien'!$T$7:$T371),"")</f>
        <v>NYERI SAAT NARIK NAFAS DAN BERGERAK AREA RUSUK DEPAN HINGGA BELAKANG SEBELAH KANAN</v>
      </c>
      <c r="O193" s="16" t="s">
        <v>1022</v>
      </c>
      <c r="P193" s="16" t="s">
        <v>866</v>
      </c>
      <c r="Q193" s="16" t="s">
        <v>29</v>
      </c>
      <c r="R193" s="16" t="s">
        <v>54</v>
      </c>
      <c r="S193" s="16" t="s">
        <v>107</v>
      </c>
      <c r="T193" s="16" t="s">
        <v>830</v>
      </c>
      <c r="U193" s="109"/>
      <c r="V193" s="126"/>
      <c r="W193" s="109"/>
      <c r="X193" s="109" t="str">
        <f t="array" ref="X193">IF(H193="","",XLOOKUP(H193,CATATANPELAYANAN[[#ALL],[NAMA PASIEN]],CATATANPELAYANAN[[#ALL],[LAYANAN]],"TIDAK CLOSING",0,-1))</f>
        <v>PAKET TERAPI</v>
      </c>
      <c r="Y193" s="109" t="str">
        <f t="shared" si="4"/>
        <v>PAKET</v>
      </c>
      <c r="Z193" s="127"/>
    </row>
    <row r="194" ht="22.5" customHeight="1">
      <c r="A194" s="122"/>
      <c r="B194" s="123">
        <v>45979.0</v>
      </c>
      <c r="C194" s="124" t="s">
        <v>963</v>
      </c>
      <c r="D194" s="124" t="s">
        <v>24</v>
      </c>
      <c r="E194" s="124" t="s">
        <v>980</v>
      </c>
      <c r="F194" s="16" t="s">
        <v>85</v>
      </c>
      <c r="G194" s="109" t="str">
        <f t="array" ref="G194">IFNA(XLOOKUP(S194,'⚙️ Pengaturan'!$H$5:$H371,'⚙️ Pengaturan'!$I$5:$I371),"")</f>
        <v>TIM Y</v>
      </c>
      <c r="H194" s="109" t="s">
        <v>482</v>
      </c>
      <c r="I194" s="125" t="str">
        <f t="array" ref="I194">ifna(xlookup($H194,'🙎‍♂️ Pasien'!$G$7:$G371,'🙎‍♂️ Pasien'!$H$7:$H371),"")</f>
        <v>E9725118035</v>
      </c>
      <c r="J194" s="125" t="str">
        <f t="array" ref="J194">ifna(xlookup($H194,'🙎‍♂️ Pasien'!$G$7:$G371,'🙎‍♂️ Pasien'!$L$7:$L371),"")</f>
        <v>PEREMPUAN</v>
      </c>
      <c r="K194" s="125">
        <f t="array" ref="K194">ifna(xlookup($H194,'🙎‍♂️ Pasien'!$G$7:$G371,'🙎‍♂️ Pasien'!$I$7:$I371),"")</f>
        <v>29</v>
      </c>
      <c r="L194" s="125" t="str">
        <f t="array" ref="L194">IFNA(xlookup(H194,'🙎‍♂️ Pasien'!$G$5:$G371,'🙎‍♂️ Pasien'!$J$5:$J371),"")</f>
        <v>25-34 tahun</v>
      </c>
      <c r="M194" s="125" t="str">
        <f t="array" ref="M194">IFNA(xlookup(H194,'🙎‍♂️ Pasien'!$G$5:$G371,'🙎‍♂️ Pasien'!$S$5:$S371),"")</f>
        <v>ADMIN</v>
      </c>
      <c r="N194" s="125" t="str">
        <f t="array" ref="N194">IFNA(XLOOKUP($H194,'🙎‍♂️ Pasien'!$G$7:$G371,'🙎‍♂️ Pasien'!$T$7:$T371),"")</f>
        <v>KAKI KANAN TELAPAK KAKI</v>
      </c>
      <c r="O194" s="16" t="s">
        <v>911</v>
      </c>
      <c r="P194" s="16" t="s">
        <v>862</v>
      </c>
      <c r="Q194" s="16" t="s">
        <v>29</v>
      </c>
      <c r="R194" s="16" t="s">
        <v>54</v>
      </c>
      <c r="S194" s="16" t="s">
        <v>91</v>
      </c>
      <c r="T194" s="16" t="s">
        <v>830</v>
      </c>
      <c r="U194" s="109"/>
      <c r="V194" s="126"/>
      <c r="W194" s="109"/>
      <c r="X194" s="109" t="str">
        <f t="array" ref="X194">IF(H194="","",XLOOKUP(H194,CATATANPELAYANAN[[#ALL],[NAMA PASIEN]],CATATANPELAYANAN[[#ALL],[LAYANAN]],"TIDAK CLOSING",0,-1))</f>
        <v>PAKET TERAPI</v>
      </c>
      <c r="Y194" s="109" t="str">
        <f t="shared" si="4"/>
        <v>PAKET</v>
      </c>
      <c r="Z194" s="127"/>
    </row>
    <row r="195" ht="22.5" customHeight="1">
      <c r="A195" s="122"/>
      <c r="B195" s="123">
        <v>45980.0</v>
      </c>
      <c r="C195" s="124" t="str">
        <f t="shared" ref="C195:C202" si="23">IF(B195="","",text(B195,"yyyy"))</f>
        <v>2025</v>
      </c>
      <c r="D195" s="124" t="str">
        <f t="shared" ref="D195:D202" si="24">IF(B195="","",text(B195,"mm")&amp;" "&amp;text(B195,"mmm"))</f>
        <v>11 Nov</v>
      </c>
      <c r="E195" s="124" t="str">
        <f t="shared" ref="E195:E202" si="25">IF(B195="","",text(B195,"ddd"))</f>
        <v>Rab</v>
      </c>
      <c r="F195" s="16" t="s">
        <v>53</v>
      </c>
      <c r="G195" s="109" t="str">
        <f t="array" ref="G195">IFNA(XLOOKUP(S195,'⚙️ Pengaturan'!$H$5:$H371,'⚙️ Pengaturan'!$I$5:$I371),"")</f>
        <v>TIM Y</v>
      </c>
      <c r="H195" s="109" t="s">
        <v>546</v>
      </c>
      <c r="I195" s="125" t="str">
        <f t="array" ref="I195">ifna(xlookup($H195,'🙎‍♂️ Pasien'!$G$7:$G371,'🙎‍♂️ Pasien'!$H$7:$H371),"")</f>
        <v/>
      </c>
      <c r="J195" s="125" t="str">
        <f t="array" ref="J195">ifna(xlookup($H195,'🙎‍♂️ Pasien'!$G$7:$G371,'🙎‍♂️ Pasien'!$L$7:$L371),"")</f>
        <v/>
      </c>
      <c r="K195" s="125" t="str">
        <f t="array" ref="K195">ifna(xlookup($H195,'🙎‍♂️ Pasien'!$G$7:$G371,'🙎‍♂️ Pasien'!$I$7:$I371),"")</f>
        <v/>
      </c>
      <c r="L195" s="125" t="str">
        <f t="array" ref="L195">IFNA(xlookup(H195,'🙎‍♂️ Pasien'!$G$5:$G371,'🙎‍♂️ Pasien'!$J$5:$J371),"")</f>
        <v/>
      </c>
      <c r="M195" s="125" t="str">
        <f t="array" ref="M195">IFNA(xlookup(H195,'🙎‍♂️ Pasien'!$G$5:$G371,'🙎‍♂️ Pasien'!$S$5:$S371),"")</f>
        <v/>
      </c>
      <c r="N195" s="125" t="str">
        <f t="array" ref="N195">IFNA(XLOOKUP($H195,'🙎‍♂️ Pasien'!$G$7:$G371,'🙎‍♂️ Pasien'!$T$7:$T371),"")</f>
        <v/>
      </c>
      <c r="O195" s="16" t="s">
        <v>982</v>
      </c>
      <c r="P195" s="16" t="s">
        <v>882</v>
      </c>
      <c r="Q195" s="16" t="s">
        <v>29</v>
      </c>
      <c r="R195" s="16" t="s">
        <v>54</v>
      </c>
      <c r="S195" s="16" t="s">
        <v>56</v>
      </c>
      <c r="T195" s="16" t="s">
        <v>830</v>
      </c>
      <c r="U195" s="109"/>
      <c r="V195" s="126"/>
      <c r="W195" s="109"/>
      <c r="X195" s="109" t="str">
        <f t="array" ref="X195">IF(H195="","",XLOOKUP(H195,CATATANPELAYANAN[[#ALL],[NAMA PASIEN]],CATATANPELAYANAN[[#ALL],[LAYANAN]],"TIDAK CLOSING",0,-1))</f>
        <v>PAKET TERAPI</v>
      </c>
      <c r="Y195" s="109" t="str">
        <f t="shared" si="4"/>
        <v>PAKET</v>
      </c>
      <c r="Z195" s="127"/>
    </row>
    <row r="196" ht="22.5" customHeight="1">
      <c r="A196" s="122"/>
      <c r="B196" s="123">
        <v>45980.0</v>
      </c>
      <c r="C196" s="124" t="str">
        <f t="shared" si="23"/>
        <v>2025</v>
      </c>
      <c r="D196" s="124" t="str">
        <f t="shared" si="24"/>
        <v>11 Nov</v>
      </c>
      <c r="E196" s="124" t="str">
        <f t="shared" si="25"/>
        <v>Rab</v>
      </c>
      <c r="F196" s="16" t="s">
        <v>53</v>
      </c>
      <c r="G196" s="109" t="str">
        <f t="array" ref="G196">IFNA(XLOOKUP(S196,'⚙️ Pengaturan'!$H$5:$H371,'⚙️ Pengaturan'!$I$5:$I371),"")</f>
        <v>TIM A</v>
      </c>
      <c r="H196" s="109" t="s">
        <v>1023</v>
      </c>
      <c r="I196" s="125" t="str">
        <f t="array" ref="I196">ifna(xlookup($H196,'🙎‍♂️ Pasien'!$G$7:$G371,'🙎‍♂️ Pasien'!$H$7:$H371),"")</f>
        <v>N8524074321</v>
      </c>
      <c r="J196" s="125" t="str">
        <f t="array" ref="J196">ifna(xlookup($H196,'🙎‍♂️ Pasien'!$G$7:$G371,'🙎‍♂️ Pasien'!$L$7:$L371),"")</f>
        <v>PEREMPUAN</v>
      </c>
      <c r="K196" s="125">
        <f t="array" ref="K196">ifna(xlookup($H196,'🙎‍♂️ Pasien'!$G$7:$G371,'🙎‍♂️ Pasien'!$I$7:$I371),"")</f>
        <v>40</v>
      </c>
      <c r="L196" s="125" t="str">
        <f t="array" ref="L196">IFNA(xlookup(H196,'🙎‍♂️ Pasien'!$G$5:$G371,'🙎‍♂️ Pasien'!$J$5:$J371),"")</f>
        <v>35-44 tahun</v>
      </c>
      <c r="M196" s="125" t="str">
        <f t="array" ref="M196">IFNA(xlookup(H196,'🙎‍♂️ Pasien'!$G$5:$G371,'🙎‍♂️ Pasien'!$S$5:$S371),"")</f>
        <v>WIRASWASTA</v>
      </c>
      <c r="N196" s="125" t="str">
        <f t="array" ref="N196">IFNA(XLOOKUP($H196,'🙎‍♂️ Pasien'!$G$7:$G371,'🙎‍♂️ Pasien'!$T$7:$T371),"")</f>
        <v>Sakit pd pinggang</v>
      </c>
      <c r="O196" s="16" t="s">
        <v>960</v>
      </c>
      <c r="P196" s="16" t="s">
        <v>826</v>
      </c>
      <c r="Q196" s="16" t="s">
        <v>28</v>
      </c>
      <c r="R196" s="16" t="s">
        <v>54</v>
      </c>
      <c r="S196" s="16" t="s">
        <v>79</v>
      </c>
      <c r="T196" s="16" t="s">
        <v>834</v>
      </c>
      <c r="U196" s="109" t="s">
        <v>977</v>
      </c>
      <c r="V196" s="126"/>
      <c r="W196" s="109"/>
      <c r="X196" s="109" t="str">
        <f t="array" ref="X196">IF(H196="","",XLOOKUP(H196,CATATANPELAYANAN[[#ALL],[NAMA PASIEN]],CATATANPELAYANAN[[#ALL],[LAYANAN]],"TIDAK CLOSING",0,-1))</f>
        <v>TIDAK CLOSING</v>
      </c>
      <c r="Y196" s="109" t="str">
        <f t="shared" si="4"/>
        <v>TIDAK CLOSING</v>
      </c>
      <c r="Z196" s="127"/>
    </row>
    <row r="197" ht="22.5" customHeight="1">
      <c r="A197" s="122"/>
      <c r="B197" s="123">
        <v>45980.0</v>
      </c>
      <c r="C197" s="124" t="str">
        <f t="shared" si="23"/>
        <v>2025</v>
      </c>
      <c r="D197" s="124" t="str">
        <f t="shared" si="24"/>
        <v>11 Nov</v>
      </c>
      <c r="E197" s="124" t="str">
        <f t="shared" si="25"/>
        <v>Rab</v>
      </c>
      <c r="F197" s="16" t="s">
        <v>53</v>
      </c>
      <c r="G197" s="109" t="str">
        <f t="array" ref="G197">IFNA(XLOOKUP(S197,'⚙️ Pengaturan'!$H$5:$H371,'⚙️ Pengaturan'!$I$5:$I371),"")</f>
        <v>TIM Y</v>
      </c>
      <c r="H197" s="109" t="s">
        <v>1024</v>
      </c>
      <c r="I197" s="125" t="str">
        <f t="array" ref="I197">ifna(xlookup($H197,'🙎‍♂️ Pasien'!$G$7:$G371,'🙎‍♂️ Pasien'!$H$7:$H371),"")</f>
        <v>M9225117800</v>
      </c>
      <c r="J197" s="125" t="str">
        <f t="array" ref="J197">ifna(xlookup($H197,'🙎‍♂️ Pasien'!$G$7:$G371,'🙎‍♂️ Pasien'!$L$7:$L371),"")</f>
        <v>LAKI-LAKI</v>
      </c>
      <c r="K197" s="125">
        <f t="array" ref="K197">ifna(xlookup($H197,'🙎‍♂️ Pasien'!$G$7:$G371,'🙎‍♂️ Pasien'!$I$7:$I371),"")</f>
        <v>33</v>
      </c>
      <c r="L197" s="125" t="str">
        <f t="array" ref="L197">IFNA(xlookup(H197,'🙎‍♂️ Pasien'!$G$5:$G371,'🙎‍♂️ Pasien'!$J$5:$J371),"")</f>
        <v>25-34 tahun</v>
      </c>
      <c r="M197" s="125" t="str">
        <f t="array" ref="M197">IFNA(xlookup(H197,'🙎‍♂️ Pasien'!$G$5:$G371,'🙎‍♂️ Pasien'!$S$5:$S371),"")</f>
        <v>PNS</v>
      </c>
      <c r="N197" s="125" t="str">
        <f t="array" ref="N197">IFNA(XLOOKUP($H197,'🙎‍♂️ Pasien'!$G$7:$G371,'🙎‍♂️ Pasien'!$T$7:$T371),"")</f>
        <v>NYERI DI LUTUT</v>
      </c>
      <c r="O197" s="16" t="s">
        <v>900</v>
      </c>
      <c r="P197" s="16" t="s">
        <v>836</v>
      </c>
      <c r="Q197" s="16" t="s">
        <v>29</v>
      </c>
      <c r="R197" s="16" t="s">
        <v>54</v>
      </c>
      <c r="S197" s="16" t="s">
        <v>56</v>
      </c>
      <c r="T197" s="16" t="s">
        <v>834</v>
      </c>
      <c r="U197" s="109" t="s">
        <v>1025</v>
      </c>
      <c r="V197" s="126"/>
      <c r="W197" s="109"/>
      <c r="X197" s="109" t="str">
        <f t="array" ref="X197">IF(H197="","",XLOOKUP(H197,CATATANPELAYANAN[[#ALL],[NAMA PASIEN]],CATATANPELAYANAN[[#ALL],[LAYANAN]],"TIDAK CLOSING",0,-1))</f>
        <v>TIDAK CLOSING</v>
      </c>
      <c r="Y197" s="109" t="str">
        <f t="shared" si="4"/>
        <v>TIDAK CLOSING</v>
      </c>
      <c r="Z197" s="127"/>
    </row>
    <row r="198" ht="22.5" customHeight="1">
      <c r="A198" s="122"/>
      <c r="B198" s="123">
        <v>45980.0</v>
      </c>
      <c r="C198" s="124" t="str">
        <f t="shared" si="23"/>
        <v>2025</v>
      </c>
      <c r="D198" s="124" t="str">
        <f t="shared" si="24"/>
        <v>11 Nov</v>
      </c>
      <c r="E198" s="124" t="str">
        <f t="shared" si="25"/>
        <v>Rab</v>
      </c>
      <c r="F198" s="16" t="s">
        <v>53</v>
      </c>
      <c r="G198" s="109" t="str">
        <f t="array" ref="G198">IFNA(XLOOKUP(S198,'⚙️ Pengaturan'!$H$5:$H371,'⚙️ Pengaturan'!$I$5:$I371),"")</f>
        <v>TIM A</v>
      </c>
      <c r="H198" s="109" t="s">
        <v>547</v>
      </c>
      <c r="I198" s="125" t="str">
        <f t="array" ref="I198">ifna(xlookup($H198,'🙎‍♂️ Pasien'!$G$7:$G371,'🙎‍♂️ Pasien'!$H$7:$H371),"")</f>
        <v>I5825112202</v>
      </c>
      <c r="J198" s="125" t="str">
        <f t="array" ref="J198">ifna(xlookup($H198,'🙎‍♂️ Pasien'!$G$7:$G371,'🙎‍♂️ Pasien'!$L$7:$L371),"")</f>
        <v>PEREMPUAN</v>
      </c>
      <c r="K198" s="125">
        <f t="array" ref="K198">ifna(xlookup($H198,'🙎‍♂️ Pasien'!$G$7:$G371,'🙎‍♂️ Pasien'!$I$7:$I371),"")</f>
        <v>68</v>
      </c>
      <c r="L198" s="125" t="str">
        <f t="array" ref="L198">IFNA(xlookup(H198,'🙎‍♂️ Pasien'!$G$5:$G371,'🙎‍♂️ Pasien'!$J$5:$J371),"")</f>
        <v>&gt; 44 tahun</v>
      </c>
      <c r="M198" s="125" t="str">
        <f t="array" ref="M198">IFNA(xlookup(H198,'🙎‍♂️ Pasien'!$G$5:$G371,'🙎‍♂️ Pasien'!$S$5:$S371),"")</f>
        <v>PENSIUNAN</v>
      </c>
      <c r="N198" s="125" t="str">
        <f t="array" ref="N198">IFNA(XLOOKUP($H198,'🙎‍♂️ Pasien'!$G$7:$G371,'🙎‍♂️ Pasien'!$T$7:$T371),"")</f>
        <v>SAKIT PUNGGUNG BAWAH</v>
      </c>
      <c r="O198" s="16" t="s">
        <v>825</v>
      </c>
      <c r="P198" s="16" t="s">
        <v>826</v>
      </c>
      <c r="Q198" s="16" t="s">
        <v>29</v>
      </c>
      <c r="R198" s="16" t="s">
        <v>54</v>
      </c>
      <c r="S198" s="16" t="s">
        <v>72</v>
      </c>
      <c r="T198" s="16" t="s">
        <v>830</v>
      </c>
      <c r="U198" s="109"/>
      <c r="V198" s="126"/>
      <c r="W198" s="109"/>
      <c r="X198" s="109" t="str">
        <f t="array" ref="X198">IF(H198="","",XLOOKUP(H198,CATATANPELAYANAN[[#ALL],[NAMA PASIEN]],CATATANPELAYANAN[[#ALL],[LAYANAN]],"TIDAK CLOSING",0,-1))</f>
        <v>PAKET TERAPI</v>
      </c>
      <c r="Y198" s="109" t="str">
        <f t="shared" si="4"/>
        <v>PAKET</v>
      </c>
      <c r="Z198" s="127"/>
    </row>
    <row r="199" ht="22.5" customHeight="1">
      <c r="A199" s="122"/>
      <c r="B199" s="123">
        <v>45980.0</v>
      </c>
      <c r="C199" s="124" t="str">
        <f t="shared" si="23"/>
        <v>2025</v>
      </c>
      <c r="D199" s="124" t="str">
        <f t="shared" si="24"/>
        <v>11 Nov</v>
      </c>
      <c r="E199" s="124" t="str">
        <f t="shared" si="25"/>
        <v>Rab</v>
      </c>
      <c r="F199" s="16" t="s">
        <v>53</v>
      </c>
      <c r="G199" s="109" t="str">
        <f t="array" ref="G199">IFNA(XLOOKUP(S199,'⚙️ Pengaturan'!$H$5:$H371,'⚙️ Pengaturan'!$I$5:$I371),"")</f>
        <v>TIM Y</v>
      </c>
      <c r="H199" s="109" t="s">
        <v>548</v>
      </c>
      <c r="I199" s="125" t="str">
        <f t="array" ref="I199">ifna(xlookup($H199,'🙎‍♂️ Pasien'!$G$7:$G371,'🙎‍♂️ Pasien'!$H$7:$H371),"")</f>
        <v>C0525115291</v>
      </c>
      <c r="J199" s="125" t="str">
        <f t="array" ref="J199">ifna(xlookup($H199,'🙎‍♂️ Pasien'!$G$7:$G371,'🙎‍♂️ Pasien'!$L$7:$L371),"")</f>
        <v>LAKI-LAKI</v>
      </c>
      <c r="K199" s="125">
        <f t="array" ref="K199">ifna(xlookup($H199,'🙎‍♂️ Pasien'!$G$7:$G371,'🙎‍♂️ Pasien'!$I$7:$I371),"")</f>
        <v>20</v>
      </c>
      <c r="L199" s="125" t="str">
        <f t="array" ref="L199">IFNA(xlookup(H199,'🙎‍♂️ Pasien'!$G$5:$G371,'🙎‍♂️ Pasien'!$J$5:$J371),"")</f>
        <v>18-24 tahun</v>
      </c>
      <c r="M199" s="125" t="str">
        <f t="array" ref="M199">IFNA(xlookup(H199,'🙎‍♂️ Pasien'!$G$5:$G371,'🙎‍♂️ Pasien'!$S$5:$S371),"")</f>
        <v>-</v>
      </c>
      <c r="N199" s="125" t="str">
        <f t="array" ref="N199">IFNA(XLOOKUP($H199,'🙎‍♂️ Pasien'!$G$7:$G371,'🙎‍♂️ Pasien'!$T$7:$T371),"")</f>
        <v>LUTUT (TERAKHIR CEK DISINI DI BILANG NYA ADA KEMUNGKINAN ACL 2022)</v>
      </c>
      <c r="O199" s="16" t="s">
        <v>910</v>
      </c>
      <c r="P199" s="16" t="s">
        <v>836</v>
      </c>
      <c r="Q199" s="16" t="s">
        <v>28</v>
      </c>
      <c r="R199" s="16" t="s">
        <v>54</v>
      </c>
      <c r="S199" s="16" t="s">
        <v>56</v>
      </c>
      <c r="T199" s="16" t="s">
        <v>830</v>
      </c>
      <c r="U199" s="109"/>
      <c r="V199" s="126"/>
      <c r="W199" s="109"/>
      <c r="X199" s="109" t="str">
        <f t="array" ref="X199">IF(H199="","",XLOOKUP(H199,CATATANPELAYANAN[[#ALL],[NAMA PASIEN]],CATATANPELAYANAN[[#ALL],[LAYANAN]],"TIDAK CLOSING",0,-1))</f>
        <v>PAKET TERAPI</v>
      </c>
      <c r="Y199" s="109" t="str">
        <f t="shared" si="4"/>
        <v>PAKET</v>
      </c>
      <c r="Z199" s="127"/>
    </row>
    <row r="200" ht="22.5" customHeight="1">
      <c r="A200" s="122"/>
      <c r="B200" s="123">
        <v>45980.0</v>
      </c>
      <c r="C200" s="124" t="str">
        <f t="shared" si="23"/>
        <v>2025</v>
      </c>
      <c r="D200" s="124" t="str">
        <f t="shared" si="24"/>
        <v>11 Nov</v>
      </c>
      <c r="E200" s="124" t="str">
        <f t="shared" si="25"/>
        <v>Rab</v>
      </c>
      <c r="F200" s="16" t="s">
        <v>53</v>
      </c>
      <c r="G200" s="109" t="str">
        <f t="array" ref="G200">IFNA(XLOOKUP(S200,'⚙️ Pengaturan'!$H$5:$H371,'⚙️ Pengaturan'!$I$5:$I371),"")</f>
        <v>TIM A</v>
      </c>
      <c r="H200" s="109" t="s">
        <v>1026</v>
      </c>
      <c r="I200" s="125" t="str">
        <f t="array" ref="I200">ifna(xlookup($H200,'🙎‍♂️ Pasien'!$G$7:$G371,'🙎‍♂️ Pasien'!$H$7:$H371),"")</f>
        <v>H8525115939</v>
      </c>
      <c r="J200" s="125" t="str">
        <f t="array" ref="J200">ifna(xlookup($H200,'🙎‍♂️ Pasien'!$G$7:$G371,'🙎‍♂️ Pasien'!$L$7:$L371),"")</f>
        <v>PEREMPUAN</v>
      </c>
      <c r="K200" s="125">
        <f t="array" ref="K200">ifna(xlookup($H200,'🙎‍♂️ Pasien'!$G$7:$G371,'🙎‍♂️ Pasien'!$I$7:$I371),"")</f>
        <v>40</v>
      </c>
      <c r="L200" s="125" t="str">
        <f t="array" ref="L200">IFNA(xlookup(H200,'🙎‍♂️ Pasien'!$G$5:$G371,'🙎‍♂️ Pasien'!$J$5:$J371),"")</f>
        <v>35-44 tahun</v>
      </c>
      <c r="M200" s="125" t="str">
        <f t="array" ref="M200">IFNA(xlookup(H200,'🙎‍♂️ Pasien'!$G$5:$G371,'🙎‍♂️ Pasien'!$S$5:$S371),"")</f>
        <v>ASN</v>
      </c>
      <c r="N200" s="125" t="str">
        <f t="array" ref="N200">IFNA(XLOOKUP($H200,'🙎‍♂️ Pasien'!$G$7:$G371,'🙎‍♂️ Pasien'!$T$7:$T371),"")</f>
        <v>JARI TENGAH TANGAN SEBELAH KANAN SAKIT DITEKUK SEMALAM TERTINDIH BADAN ANAK</v>
      </c>
      <c r="O200" s="16" t="s">
        <v>1027</v>
      </c>
      <c r="P200" s="16" t="s">
        <v>976</v>
      </c>
      <c r="Q200" s="16" t="s">
        <v>29</v>
      </c>
      <c r="R200" s="16" t="s">
        <v>54</v>
      </c>
      <c r="S200" s="16" t="s">
        <v>79</v>
      </c>
      <c r="T200" s="16" t="s">
        <v>834</v>
      </c>
      <c r="U200" s="109" t="s">
        <v>831</v>
      </c>
      <c r="V200" s="126"/>
      <c r="W200" s="109"/>
      <c r="X200" s="109" t="str">
        <f t="array" ref="X200">IF(H200="","",XLOOKUP(H200,CATATANPELAYANAN[[#ALL],[NAMA PASIEN]],CATATANPELAYANAN[[#ALL],[LAYANAN]],"TIDAK CLOSING",0,-1))</f>
        <v>TIDAK CLOSING</v>
      </c>
      <c r="Y200" s="109" t="str">
        <f t="shared" si="4"/>
        <v>TIDAK CLOSING</v>
      </c>
      <c r="Z200" s="127"/>
    </row>
    <row r="201" ht="22.5" customHeight="1">
      <c r="A201" s="122"/>
      <c r="B201" s="123">
        <v>45980.0</v>
      </c>
      <c r="C201" s="124" t="str">
        <f t="shared" si="23"/>
        <v>2025</v>
      </c>
      <c r="D201" s="124" t="str">
        <f t="shared" si="24"/>
        <v>11 Nov</v>
      </c>
      <c r="E201" s="124" t="str">
        <f t="shared" si="25"/>
        <v>Rab</v>
      </c>
      <c r="F201" s="16" t="s">
        <v>85</v>
      </c>
      <c r="G201" s="109" t="str">
        <f t="array" ref="G201">IFNA(XLOOKUP(S201,'⚙️ Pengaturan'!$H$5:$H371,'⚙️ Pengaturan'!$I$5:$I371),"")</f>
        <v>TIM Y</v>
      </c>
      <c r="H201" s="109" t="s">
        <v>550</v>
      </c>
      <c r="I201" s="125" t="str">
        <f t="array" ref="I201">ifna(xlookup($H201,'🙎‍♂️ Pasien'!$G$7:$G371,'🙎‍♂️ Pasien'!$H$7:$H371),"")</f>
        <v>C9925116192</v>
      </c>
      <c r="J201" s="125" t="str">
        <f t="array" ref="J201">ifna(xlookup($H201,'🙎‍♂️ Pasien'!$G$7:$G371,'🙎‍♂️ Pasien'!$L$7:$L371),"")</f>
        <v>PEREMPUAN</v>
      </c>
      <c r="K201" s="125">
        <f t="array" ref="K201">ifna(xlookup($H201,'🙎‍♂️ Pasien'!$G$7:$G371,'🙎‍♂️ Pasien'!$I$7:$I371),"")</f>
        <v>26</v>
      </c>
      <c r="L201" s="125" t="str">
        <f t="array" ref="L201">IFNA(xlookup(H201,'🙎‍♂️ Pasien'!$G$5:$G371,'🙎‍♂️ Pasien'!$J$5:$J371),"")</f>
        <v>25-34 tahun</v>
      </c>
      <c r="M201" s="125" t="str">
        <f t="array" ref="M201">IFNA(xlookup(H201,'🙎‍♂️ Pasien'!$G$5:$G371,'🙎‍♂️ Pasien'!$S$5:$S371),"")</f>
        <v>RUMAH TANGGA</v>
      </c>
      <c r="N201" s="125" t="str">
        <f t="array" ref="N201">IFNA(XLOOKUP($H201,'🙎‍♂️ Pasien'!$G$7:$G371,'🙎‍♂️ Pasien'!$T$7:$T371),"")</f>
        <v>LUTUT SAKIT</v>
      </c>
      <c r="O201" s="16" t="s">
        <v>910</v>
      </c>
      <c r="P201" s="16" t="s">
        <v>836</v>
      </c>
      <c r="Q201" s="16" t="s">
        <v>27</v>
      </c>
      <c r="R201" s="16" t="s">
        <v>86</v>
      </c>
      <c r="S201" s="16" t="s">
        <v>91</v>
      </c>
      <c r="T201" s="16" t="s">
        <v>834</v>
      </c>
      <c r="U201" s="109" t="s">
        <v>1002</v>
      </c>
      <c r="V201" s="126"/>
      <c r="W201" s="109"/>
      <c r="X201" s="109" t="str">
        <f t="array" ref="X201">IF(H201="","",XLOOKUP(H201,CATATANPELAYANAN[[#ALL],[NAMA PASIEN]],CATATANPELAYANAN[[#ALL],[LAYANAN]],"TIDAK CLOSING",0,-1))</f>
        <v>TERAPI AWAL</v>
      </c>
      <c r="Y201" s="109" t="str">
        <f t="shared" si="4"/>
        <v>TIDAK CLOSING</v>
      </c>
      <c r="Z201" s="127"/>
    </row>
    <row r="202" ht="22.5" customHeight="1">
      <c r="A202" s="122"/>
      <c r="B202" s="123">
        <v>45981.0</v>
      </c>
      <c r="C202" s="124" t="str">
        <f t="shared" si="23"/>
        <v>2025</v>
      </c>
      <c r="D202" s="124" t="str">
        <f t="shared" si="24"/>
        <v>11 Nov</v>
      </c>
      <c r="E202" s="124" t="str">
        <f t="shared" si="25"/>
        <v>Kam</v>
      </c>
      <c r="F202" s="16" t="s">
        <v>53</v>
      </c>
      <c r="G202" s="109" t="str">
        <f t="array" ref="G202">IFNA(XLOOKUP(S202,'⚙️ Pengaturan'!$H$5:$H371,'⚙️ Pengaturan'!$I$5:$I371),"")</f>
        <v>MANAJEMEN</v>
      </c>
      <c r="H202" s="109" t="s">
        <v>552</v>
      </c>
      <c r="I202" s="125" t="str">
        <f t="array" ref="I202">ifna(xlookup($H202,'🙎‍♂️ Pasien'!$G$7:$G371,'🙎‍♂️ Pasien'!$H$7:$H371),"")</f>
        <v>E8825039292</v>
      </c>
      <c r="J202" s="125" t="str">
        <f t="array" ref="J202">ifna(xlookup($H202,'🙎‍♂️ Pasien'!$G$7:$G371,'🙎‍♂️ Pasien'!$L$7:$L371),"")</f>
        <v>LAKI-LAKI</v>
      </c>
      <c r="K202" s="125">
        <f t="array" ref="K202">ifna(xlookup($H202,'🙎‍♂️ Pasien'!$G$7:$G371,'🙎‍♂️ Pasien'!$I$7:$I371),"")</f>
        <v>37</v>
      </c>
      <c r="L202" s="125" t="str">
        <f t="array" ref="L202">IFNA(xlookup(H202,'🙎‍♂️ Pasien'!$G$5:$G371,'🙎‍♂️ Pasien'!$J$5:$J371),"")</f>
        <v>35-44 tahun</v>
      </c>
      <c r="M202" s="125" t="str">
        <f t="array" ref="M202">IFNA(xlookup(H202,'🙎‍♂️ Pasien'!$G$5:$G371,'🙎‍♂️ Pasien'!$S$5:$S371),"")</f>
        <v>KARYAWAN SWASTA</v>
      </c>
      <c r="N202" s="125" t="str">
        <f t="array" ref="N202">IFNA(XLOOKUP($H202,'🙎‍♂️ Pasien'!$G$7:$G371,'🙎‍♂️ Pasien'!$T$7:$T371),"")</f>
        <v>RUPTURE PATTELAR TENDON</v>
      </c>
      <c r="O202" s="16" t="s">
        <v>1028</v>
      </c>
      <c r="P202" s="16" t="s">
        <v>836</v>
      </c>
      <c r="Q202" s="16" t="s">
        <v>28</v>
      </c>
      <c r="R202" s="16" t="s">
        <v>54</v>
      </c>
      <c r="S202" s="16" t="s">
        <v>101</v>
      </c>
      <c r="T202" s="16" t="s">
        <v>830</v>
      </c>
      <c r="U202" s="109"/>
      <c r="V202" s="126"/>
      <c r="W202" s="109"/>
      <c r="X202" s="109" t="str">
        <f t="array" ref="X202">IF(H202="","",XLOOKUP(H202,CATATANPELAYANAN[[#ALL],[NAMA PASIEN]],CATATANPELAYANAN[[#ALL],[LAYANAN]],"TIDAK CLOSING",0,-1))</f>
        <v>PAKET TERAPI</v>
      </c>
      <c r="Y202" s="109" t="str">
        <f t="shared" si="4"/>
        <v>PAKET</v>
      </c>
      <c r="Z202" s="127"/>
    </row>
    <row r="203" ht="22.5" customHeight="1">
      <c r="A203" s="122"/>
      <c r="B203" s="123">
        <v>45981.0</v>
      </c>
      <c r="C203" s="124" t="s">
        <v>963</v>
      </c>
      <c r="D203" s="124" t="s">
        <v>24</v>
      </c>
      <c r="E203" s="124" t="s">
        <v>1003</v>
      </c>
      <c r="F203" s="16" t="s">
        <v>53</v>
      </c>
      <c r="G203" s="109" t="str">
        <f t="array" ref="G203">IFNA(XLOOKUP(S203,'⚙️ Pengaturan'!$H$5:$H371,'⚙️ Pengaturan'!$I$5:$I371),"")</f>
        <v>TIM Y</v>
      </c>
      <c r="H203" s="109" t="s">
        <v>553</v>
      </c>
      <c r="I203" s="125" t="str">
        <f t="array" ref="I203">ifna(xlookup($H203,'🙎‍♂️ Pasien'!$G$7:$G371,'🙎‍♂️ Pasien'!$H$7:$H371),"")</f>
        <v>M9924081266</v>
      </c>
      <c r="J203" s="125" t="str">
        <f t="array" ref="J203">ifna(xlookup($H203,'🙎‍♂️ Pasien'!$G$7:$G371,'🙎‍♂️ Pasien'!$L$7:$L371),"")</f>
        <v>PEREMPUAN</v>
      </c>
      <c r="K203" s="125">
        <f t="array" ref="K203">ifna(xlookup($H203,'🙎‍♂️ Pasien'!$G$7:$G371,'🙎‍♂️ Pasien'!$I$7:$I371),"")</f>
        <v>27</v>
      </c>
      <c r="L203" s="125" t="str">
        <f t="array" ref="L203">IFNA(xlookup(H203,'🙎‍♂️ Pasien'!$G$5:$G371,'🙎‍♂️ Pasien'!$J$5:$J371),"")</f>
        <v>25-34 tahun</v>
      </c>
      <c r="M203" s="125" t="str">
        <f t="array" ref="M203">IFNA(xlookup(H203,'🙎‍♂️ Pasien'!$G$5:$G371,'🙎‍♂️ Pasien'!$S$5:$S371),"")</f>
        <v>SWASTA</v>
      </c>
      <c r="N203" s="125" t="str">
        <f t="array" ref="N203">IFNA(XLOOKUP($H203,'🙎‍♂️ Pasien'!$G$7:$G371,'🙎‍♂️ Pasien'!$T$7:$T371),"")</f>
        <v>Keseleo</v>
      </c>
      <c r="O203" s="16" t="s">
        <v>825</v>
      </c>
      <c r="P203" s="16" t="s">
        <v>826</v>
      </c>
      <c r="Q203" s="16" t="s">
        <v>28</v>
      </c>
      <c r="R203" s="16" t="s">
        <v>54</v>
      </c>
      <c r="S203" s="16" t="s">
        <v>91</v>
      </c>
      <c r="T203" s="16" t="s">
        <v>834</v>
      </c>
      <c r="U203" s="109" t="s">
        <v>920</v>
      </c>
      <c r="V203" s="126"/>
      <c r="W203" s="109"/>
      <c r="X203" s="109" t="str">
        <f t="array" ref="X203">IF(H203="","",XLOOKUP(H203,CATATANPELAYANAN[[#ALL],[NAMA PASIEN]],CATATANPELAYANAN[[#ALL],[LAYANAN]],"TIDAK CLOSING",0,-1))</f>
        <v>TERAPI AWAL</v>
      </c>
      <c r="Y203" s="109" t="str">
        <f t="shared" si="4"/>
        <v>TIDAK CLOSING</v>
      </c>
      <c r="Z203" s="127"/>
    </row>
    <row r="204" ht="22.5" customHeight="1">
      <c r="A204" s="122"/>
      <c r="B204" s="123">
        <v>45981.0</v>
      </c>
      <c r="C204" s="124" t="s">
        <v>963</v>
      </c>
      <c r="D204" s="124" t="s">
        <v>24</v>
      </c>
      <c r="E204" s="124" t="s">
        <v>1003</v>
      </c>
      <c r="F204" s="16" t="s">
        <v>53</v>
      </c>
      <c r="G204" s="109" t="str">
        <f t="array" ref="G204">IFNA(XLOOKUP(S204,'⚙️ Pengaturan'!$H$5:$H371,'⚙️ Pengaturan'!$I$5:$I371),"")</f>
        <v>TIM Y</v>
      </c>
      <c r="H204" s="109" t="s">
        <v>554</v>
      </c>
      <c r="I204" s="125" t="str">
        <f t="array" ref="I204">ifna(xlookup($H204,'🙎‍♂️ Pasien'!$G$7:$G371,'🙎‍♂️ Pasien'!$H$7:$H371),"")</f>
        <v>J0825113594</v>
      </c>
      <c r="J204" s="125" t="str">
        <f t="array" ref="J204">ifna(xlookup($H204,'🙎‍♂️ Pasien'!$G$7:$G371,'🙎‍♂️ Pasien'!$L$7:$L371),"")</f>
        <v>LAKI-LAKI</v>
      </c>
      <c r="K204" s="125">
        <f t="array" ref="K204">ifna(xlookup($H204,'🙎‍♂️ Pasien'!$G$7:$G371,'🙎‍♂️ Pasien'!$I$7:$I371),"")</f>
        <v>18</v>
      </c>
      <c r="L204" s="125" t="str">
        <f t="array" ref="L204">IFNA(xlookup(H204,'🙎‍♂️ Pasien'!$G$5:$G371,'🙎‍♂️ Pasien'!$J$5:$J371),"")</f>
        <v>&lt; 18 tahun</v>
      </c>
      <c r="M204" s="125" t="str">
        <f t="array" ref="M204">IFNA(xlookup(H204,'🙎‍♂️ Pasien'!$G$5:$G371,'🙎‍♂️ Pasien'!$S$5:$S371),"")</f>
        <v>PELAJAR</v>
      </c>
      <c r="N204" s="125" t="str">
        <f t="array" ref="N204">IFNA(XLOOKUP($H204,'🙎‍♂️ Pasien'!$G$7:$G371,'🙎‍♂️ Pasien'!$T$7:$T371),"")</f>
        <v>KESELEO</v>
      </c>
      <c r="O204" s="16" t="s">
        <v>832</v>
      </c>
      <c r="P204" s="16" t="s">
        <v>833</v>
      </c>
      <c r="Q204" s="16" t="s">
        <v>29</v>
      </c>
      <c r="R204" s="16" t="s">
        <v>54</v>
      </c>
      <c r="S204" s="16" t="s">
        <v>88</v>
      </c>
      <c r="T204" s="16" t="s">
        <v>827</v>
      </c>
      <c r="U204" s="109"/>
      <c r="V204" s="126"/>
      <c r="W204" s="109"/>
      <c r="X204" s="109" t="str">
        <f t="array" ref="X204">IF(H204="","",XLOOKUP(H204,CATATANPELAYANAN[[#ALL],[NAMA PASIEN]],CATATANPELAYANAN[[#ALL],[LAYANAN]],"TIDAK CLOSING",0,-1))</f>
        <v>SESI TERAPI</v>
      </c>
      <c r="Y204" s="109" t="str">
        <f t="shared" si="4"/>
        <v>SESI</v>
      </c>
      <c r="Z204" s="127"/>
    </row>
    <row r="205" ht="22.5" customHeight="1">
      <c r="A205" s="122"/>
      <c r="B205" s="123">
        <v>45981.0</v>
      </c>
      <c r="C205" s="124" t="str">
        <f t="shared" ref="C205:C250" si="26">IF(B205="","",text(B205,"yyyy"))</f>
        <v>2025</v>
      </c>
      <c r="D205" s="124" t="str">
        <f t="shared" ref="D205:D371" si="27">IF(B205="","",text(B205,"mm")&amp;" "&amp;text(B205,"mmm"))</f>
        <v>11 Nov</v>
      </c>
      <c r="E205" s="124" t="str">
        <f t="shared" ref="E205:E371" si="28">IF(B205="","",text(B205,"ddd"))</f>
        <v>Kam</v>
      </c>
      <c r="F205" s="16" t="s">
        <v>85</v>
      </c>
      <c r="G205" s="109" t="str">
        <f t="array" ref="G205">IFNA(XLOOKUP(S205,'⚙️ Pengaturan'!$H$5:$H371,'⚙️ Pengaturan'!$I$5:$I371),"")</f>
        <v>TIM A</v>
      </c>
      <c r="H205" s="109" t="s">
        <v>555</v>
      </c>
      <c r="I205" s="125" t="str">
        <f t="array" ref="I205">ifna(xlookup($H205,'🙎‍♂️ Pasien'!$G$7:$G371,'🙎‍♂️ Pasien'!$H$7:$H371),"")</f>
        <v>M7125117366</v>
      </c>
      <c r="J205" s="125" t="str">
        <f t="array" ref="J205">ifna(xlookup($H205,'🙎‍♂️ Pasien'!$G$7:$G371,'🙎‍♂️ Pasien'!$L$7:$L371),"")</f>
        <v>PEREMPUAN</v>
      </c>
      <c r="K205" s="125">
        <f t="array" ref="K205">ifna(xlookup($H205,'🙎‍♂️ Pasien'!$G$7:$G371,'🙎‍♂️ Pasien'!$I$7:$I371),"")</f>
        <v>54</v>
      </c>
      <c r="L205" s="125" t="str">
        <f t="array" ref="L205">IFNA(xlookup(H205,'🙎‍♂️ Pasien'!$G$5:$G371,'🙎‍♂️ Pasien'!$J$5:$J371),"")</f>
        <v>&gt; 44 tahun</v>
      </c>
      <c r="M205" s="125" t="str">
        <f t="array" ref="M205">IFNA(xlookup(H205,'🙎‍♂️ Pasien'!$G$5:$G371,'🙎‍♂️ Pasien'!$S$5:$S371),"")</f>
        <v>PEDAGANG</v>
      </c>
      <c r="N205" s="125" t="str">
        <f t="array" ref="N205">IFNA(XLOOKUP($H205,'🙎‍♂️ Pasien'!$G$7:$G371,'🙎‍♂️ Pasien'!$T$7:$T371),"")</f>
        <v>KRAM/KESEMUTAN BEKERJA</v>
      </c>
      <c r="O205" s="16" t="s">
        <v>927</v>
      </c>
      <c r="P205" s="16" t="s">
        <v>866</v>
      </c>
      <c r="Q205" s="16" t="s">
        <v>29</v>
      </c>
      <c r="R205" s="16" t="s">
        <v>86</v>
      </c>
      <c r="S205" s="16" t="s">
        <v>79</v>
      </c>
      <c r="T205" s="16" t="s">
        <v>827</v>
      </c>
      <c r="U205" s="109"/>
      <c r="V205" s="126"/>
      <c r="W205" s="109"/>
      <c r="X205" s="109" t="str">
        <f t="array" ref="X205">IF(H205="","",XLOOKUP(H205,CATATANPELAYANAN[[#ALL],[NAMA PASIEN]],CATATANPELAYANAN[[#ALL],[LAYANAN]],"TIDAK CLOSING",0,-1))</f>
        <v>SESI TERAPI</v>
      </c>
      <c r="Y205" s="109" t="str">
        <f t="shared" si="4"/>
        <v>SESI</v>
      </c>
      <c r="Z205" s="127"/>
    </row>
    <row r="206" ht="22.5" customHeight="1">
      <c r="A206" s="122"/>
      <c r="B206" s="123">
        <v>45983.0</v>
      </c>
      <c r="C206" s="124" t="str">
        <f t="shared" si="26"/>
        <v>2025</v>
      </c>
      <c r="D206" s="124" t="str">
        <f t="shared" si="27"/>
        <v>11 Nov</v>
      </c>
      <c r="E206" s="124" t="str">
        <f t="shared" si="28"/>
        <v>Sab</v>
      </c>
      <c r="F206" s="16" t="s">
        <v>85</v>
      </c>
      <c r="G206" s="109" t="str">
        <f t="array" ref="G206">IFNA(XLOOKUP(S206,'⚙️ Pengaturan'!$H$5:$H371,'⚙️ Pengaturan'!$I$5:$I371),"")</f>
        <v>TIM A</v>
      </c>
      <c r="H206" s="109" t="s">
        <v>557</v>
      </c>
      <c r="I206" s="125" t="str">
        <f t="array" ref="I206">ifna(xlookup($H206,'🙎‍♂️ Pasien'!$G$7:$G371,'🙎‍♂️ Pasien'!$H$7:$H371),"")</f>
        <v>S1223087980</v>
      </c>
      <c r="J206" s="125" t="str">
        <f t="array" ref="J206">ifna(xlookup($H206,'🙎‍♂️ Pasien'!$G$7:$G371,'🙎‍♂️ Pasien'!$L$7:$L371),"")</f>
        <v>LAKI-LAKI</v>
      </c>
      <c r="K206" s="125">
        <f t="array" ref="K206">ifna(xlookup($H206,'🙎‍♂️ Pasien'!$G$7:$G371,'🙎‍♂️ Pasien'!$I$7:$I371),"")</f>
        <v>14</v>
      </c>
      <c r="L206" s="125" t="str">
        <f t="array" ref="L206">IFNA(xlookup(H206,'🙎‍♂️ Pasien'!$G$5:$G371,'🙎‍♂️ Pasien'!$J$5:$J371),"")</f>
        <v>&lt; 18 tahun</v>
      </c>
      <c r="M206" s="125" t="str">
        <f t="array" ref="M206">IFNA(xlookup(H206,'🙎‍♂️ Pasien'!$G$5:$G371,'🙎‍♂️ Pasien'!$S$5:$S371),"")</f>
        <v>PELAJAR/MAHASISWA</v>
      </c>
      <c r="N206" s="125" t="str">
        <f t="array" ref="N206">IFNA(XLOOKUP($H206,'🙎‍♂️ Pasien'!$G$7:$G371,'🙎‍♂️ Pasien'!$T$7:$T371),"")</f>
        <v>NYERI TUMIT DAN</v>
      </c>
      <c r="O206" s="16" t="s">
        <v>1029</v>
      </c>
      <c r="P206" s="16" t="s">
        <v>836</v>
      </c>
      <c r="Q206" s="16" t="s">
        <v>28</v>
      </c>
      <c r="R206" s="16" t="s">
        <v>54</v>
      </c>
      <c r="S206" s="16" t="s">
        <v>62</v>
      </c>
      <c r="T206" s="16" t="s">
        <v>830</v>
      </c>
      <c r="U206" s="109"/>
      <c r="V206" s="126"/>
      <c r="W206" s="109"/>
      <c r="X206" s="109" t="str">
        <f t="array" ref="X206">IF(H206="","",XLOOKUP(H206,CATATANPELAYANAN[[#ALL],[NAMA PASIEN]],CATATANPELAYANAN[[#ALL],[LAYANAN]],"TIDAK CLOSING",0,-1))</f>
        <v>PAKET TERAPI</v>
      </c>
      <c r="Y206" s="109" t="str">
        <f t="shared" si="4"/>
        <v>PAKET</v>
      </c>
      <c r="Z206" s="127"/>
    </row>
    <row r="207" ht="22.5" customHeight="1">
      <c r="A207" s="122"/>
      <c r="B207" s="123">
        <v>45983.0</v>
      </c>
      <c r="C207" s="124" t="str">
        <f t="shared" si="26"/>
        <v>2025</v>
      </c>
      <c r="D207" s="124" t="str">
        <f t="shared" si="27"/>
        <v>11 Nov</v>
      </c>
      <c r="E207" s="124" t="str">
        <f t="shared" si="28"/>
        <v>Sab</v>
      </c>
      <c r="F207" s="16" t="s">
        <v>85</v>
      </c>
      <c r="G207" s="109" t="str">
        <f t="array" ref="G207">IFNA(XLOOKUP(S207,'⚙️ Pengaturan'!$H$5:$H371,'⚙️ Pengaturan'!$I$5:$I371),"")</f>
        <v>TIM A</v>
      </c>
      <c r="H207" s="109" t="s">
        <v>568</v>
      </c>
      <c r="I207" s="125" t="str">
        <f t="array" ref="I207">ifna(xlookup($H207,'🙎‍♂️ Pasien'!$G$7:$G371,'🙎‍♂️ Pasien'!$H$7:$H371),"")</f>
        <v>T8425110655</v>
      </c>
      <c r="J207" s="125" t="str">
        <f t="array" ref="J207">ifna(xlookup($H207,'🙎‍♂️ Pasien'!$G$7:$G371,'🙎‍♂️ Pasien'!$L$7:$L371),"")</f>
        <v>PEREMPUAN</v>
      </c>
      <c r="K207" s="125">
        <f t="array" ref="K207">ifna(xlookup($H207,'🙎‍♂️ Pasien'!$G$7:$G371,'🙎‍♂️ Pasien'!$I$7:$I371),"")</f>
        <v>41</v>
      </c>
      <c r="L207" s="125" t="str">
        <f t="array" ref="L207">IFNA(xlookup(H207,'🙎‍♂️ Pasien'!$G$5:$G371,'🙎‍♂️ Pasien'!$J$5:$J371),"")</f>
        <v>35-44 tahun</v>
      </c>
      <c r="M207" s="125" t="str">
        <f t="array" ref="M207">IFNA(xlookup(H207,'🙎‍♂️ Pasien'!$G$5:$G371,'🙎‍♂️ Pasien'!$S$5:$S371),"")</f>
        <v>KARYAWAN SWASTA</v>
      </c>
      <c r="N207" s="125" t="str">
        <f t="array" ref="N207">IFNA(XLOOKUP($H207,'🙎‍♂️ Pasien'!$G$7:$G371,'🙎‍♂️ Pasien'!$T$7:$T371),"")</f>
        <v>SAKIT DIPINGGANG</v>
      </c>
      <c r="O207" s="16" t="s">
        <v>876</v>
      </c>
      <c r="P207" s="16" t="s">
        <v>826</v>
      </c>
      <c r="Q207" s="16" t="s">
        <v>29</v>
      </c>
      <c r="R207" s="16" t="s">
        <v>54</v>
      </c>
      <c r="S207" s="16" t="s">
        <v>79</v>
      </c>
      <c r="T207" s="16" t="s">
        <v>834</v>
      </c>
      <c r="U207" s="109" t="s">
        <v>831</v>
      </c>
      <c r="V207" s="126"/>
      <c r="W207" s="109"/>
      <c r="X207" s="109" t="str">
        <f t="array" ref="X207">IF(H207="","",XLOOKUP(H207,CATATANPELAYANAN[[#ALL],[NAMA PASIEN]],CATATANPELAYANAN[[#ALL],[LAYANAN]],"TIDAK CLOSING",0,-1))</f>
        <v>TERAPI AWAL</v>
      </c>
      <c r="Y207" s="109" t="str">
        <f t="shared" si="4"/>
        <v>TIDAK CLOSING</v>
      </c>
      <c r="Z207" s="127"/>
    </row>
    <row r="208" ht="22.5" customHeight="1">
      <c r="A208" s="122"/>
      <c r="B208" s="123">
        <v>45985.0</v>
      </c>
      <c r="C208" s="124" t="str">
        <f t="shared" si="26"/>
        <v>2025</v>
      </c>
      <c r="D208" s="124" t="str">
        <f t="shared" si="27"/>
        <v>11 Nov</v>
      </c>
      <c r="E208" s="124" t="str">
        <f t="shared" si="28"/>
        <v>Sen</v>
      </c>
      <c r="F208" s="16" t="s">
        <v>53</v>
      </c>
      <c r="G208" s="109" t="str">
        <f t="array" ref="G208">IFNA(XLOOKUP(S208,'⚙️ Pengaturan'!$H$5:$H371,'⚙️ Pengaturan'!$I$5:$I371),"")</f>
        <v>TIM Y</v>
      </c>
      <c r="H208" s="109" t="s">
        <v>570</v>
      </c>
      <c r="I208" s="125" t="str">
        <f t="array" ref="I208">ifna(xlookup($H208,'🙎‍♂️ Pasien'!$G$7:$G371,'🙎‍♂️ Pasien'!$H$7:$H371),"")</f>
        <v>F9625115501</v>
      </c>
      <c r="J208" s="125" t="str">
        <f t="array" ref="J208">ifna(xlookup($H208,'🙎‍♂️ Pasien'!$G$7:$G371,'🙎‍♂️ Pasien'!$L$7:$L371),"")</f>
        <v>LAKI-LAKI</v>
      </c>
      <c r="K208" s="125">
        <f t="array" ref="K208">ifna(xlookup($H208,'🙎‍♂️ Pasien'!$G$7:$G371,'🙎‍♂️ Pasien'!$I$7:$I371),"")</f>
        <v>30</v>
      </c>
      <c r="L208" s="125" t="str">
        <f t="array" ref="L208">IFNA(xlookup(H208,'🙎‍♂️ Pasien'!$G$5:$G371,'🙎‍♂️ Pasien'!$J$5:$J371),"")</f>
        <v>25-34 tahun</v>
      </c>
      <c r="M208" s="125" t="str">
        <f t="array" ref="M208">IFNA(xlookup(H208,'🙎‍♂️ Pasien'!$G$5:$G371,'🙎‍♂️ Pasien'!$S$5:$S371),"")</f>
        <v>WIRASWASTA</v>
      </c>
      <c r="N208" s="125" t="str">
        <f t="array" ref="N208">IFNA(XLOOKUP($H208,'🙎‍♂️ Pasien'!$G$7:$G371,'🙎‍♂️ Pasien'!$T$7:$T371),"")</f>
        <v>SAKIT PINGGANG (AGAK INTENS DALAM BEBERAPA BULAN KEBELAKANG) , KADANG SUKE TIBA TIBA KESEMUTAN, PERGELANGAN TANGAN SEBELAH KANAN SERING SAKIT KARNA DULU PERNAH JATUHNSAAT MAIN MOTOR</v>
      </c>
      <c r="O208" s="16" t="s">
        <v>825</v>
      </c>
      <c r="P208" s="16" t="s">
        <v>826</v>
      </c>
      <c r="Q208" s="16" t="s">
        <v>29</v>
      </c>
      <c r="R208" s="16" t="s">
        <v>86</v>
      </c>
      <c r="S208" s="16" t="s">
        <v>88</v>
      </c>
      <c r="T208" s="16" t="s">
        <v>834</v>
      </c>
      <c r="U208" s="109" t="s">
        <v>831</v>
      </c>
      <c r="V208" s="126"/>
      <c r="W208" s="109"/>
      <c r="X208" s="109" t="str">
        <f t="array" ref="X208">IF(H208="","",XLOOKUP(H208,CATATANPELAYANAN[[#ALL],[NAMA PASIEN]],CATATANPELAYANAN[[#ALL],[LAYANAN]],"TIDAK CLOSING",0,-1))</f>
        <v>TERAPI AWAL</v>
      </c>
      <c r="Y208" s="109" t="str">
        <f t="shared" si="4"/>
        <v>TIDAK CLOSING</v>
      </c>
      <c r="Z208" s="127"/>
    </row>
    <row r="209" ht="22.5" customHeight="1">
      <c r="A209" s="122"/>
      <c r="B209" s="123">
        <v>45985.0</v>
      </c>
      <c r="C209" s="124" t="str">
        <f t="shared" si="26"/>
        <v>2025</v>
      </c>
      <c r="D209" s="124" t="str">
        <f t="shared" si="27"/>
        <v>11 Nov</v>
      </c>
      <c r="E209" s="124" t="str">
        <f t="shared" si="28"/>
        <v>Sen</v>
      </c>
      <c r="F209" s="16" t="s">
        <v>53</v>
      </c>
      <c r="G209" s="109" t="str">
        <f t="array" ref="G209">IFNA(XLOOKUP(S209,'⚙️ Pengaturan'!$H$5:$H371,'⚙️ Pengaturan'!$I$5:$I371),"")</f>
        <v>TIM Y</v>
      </c>
      <c r="H209" s="109" t="s">
        <v>1030</v>
      </c>
      <c r="I209" s="125" t="str">
        <f t="array" ref="I209">ifna(xlookup($H209,'🙎‍♂️ Pasien'!$G$7:$G371,'🙎‍♂️ Pasien'!$H$7:$H371),"")</f>
        <v/>
      </c>
      <c r="J209" s="125" t="str">
        <f t="array" ref="J209">ifna(xlookup($H209,'🙎‍♂️ Pasien'!$G$7:$G371,'🙎‍♂️ Pasien'!$L$7:$L371),"")</f>
        <v/>
      </c>
      <c r="K209" s="125" t="str">
        <f t="array" ref="K209">ifna(xlookup($H209,'🙎‍♂️ Pasien'!$G$7:$G371,'🙎‍♂️ Pasien'!$I$7:$I371),"")</f>
        <v/>
      </c>
      <c r="L209" s="125" t="str">
        <f t="array" ref="L209">IFNA(xlookup(H209,'🙎‍♂️ Pasien'!$G$5:$G371,'🙎‍♂️ Pasien'!$J$5:$J371),"")</f>
        <v/>
      </c>
      <c r="M209" s="125" t="str">
        <f t="array" ref="M209">IFNA(xlookup(H209,'🙎‍♂️ Pasien'!$G$5:$G371,'🙎‍♂️ Pasien'!$S$5:$S371),"")</f>
        <v/>
      </c>
      <c r="N209" s="125" t="str">
        <f t="array" ref="N209">IFNA(XLOOKUP($H209,'🙎‍♂️ Pasien'!$G$7:$G371,'🙎‍♂️ Pasien'!$T$7:$T371),"")</f>
        <v/>
      </c>
      <c r="O209" s="16" t="s">
        <v>832</v>
      </c>
      <c r="P209" s="16" t="s">
        <v>833</v>
      </c>
      <c r="Q209" s="16" t="s">
        <v>27</v>
      </c>
      <c r="R209" s="16" t="s">
        <v>86</v>
      </c>
      <c r="S209" s="16" t="s">
        <v>91</v>
      </c>
      <c r="T209" s="16" t="s">
        <v>830</v>
      </c>
      <c r="U209" s="109"/>
      <c r="V209" s="126"/>
      <c r="W209" s="109"/>
      <c r="X209" s="109" t="str">
        <f t="array" ref="X209">IF(H209="","",XLOOKUP(H209,CATATANPELAYANAN[[#ALL],[NAMA PASIEN]],CATATANPELAYANAN[[#ALL],[LAYANAN]],"TIDAK CLOSING",0,-1))</f>
        <v>TIDAK CLOSING</v>
      </c>
      <c r="Y209" s="109" t="str">
        <f t="shared" si="4"/>
        <v>TIDAK CLOSING</v>
      </c>
      <c r="Z209" s="127"/>
    </row>
    <row r="210" ht="22.5" customHeight="1">
      <c r="A210" s="122"/>
      <c r="B210" s="123">
        <v>45985.0</v>
      </c>
      <c r="C210" s="124" t="str">
        <f t="shared" si="26"/>
        <v>2025</v>
      </c>
      <c r="D210" s="124" t="str">
        <f t="shared" si="27"/>
        <v>11 Nov</v>
      </c>
      <c r="E210" s="124" t="str">
        <f t="shared" si="28"/>
        <v>Sen</v>
      </c>
      <c r="F210" s="16" t="s">
        <v>53</v>
      </c>
      <c r="G210" s="109" t="str">
        <f t="array" ref="G210">IFNA(XLOOKUP(S210,'⚙️ Pengaturan'!$H$5:$H371,'⚙️ Pengaturan'!$I$5:$I371),"")</f>
        <v>TIM Y</v>
      </c>
      <c r="H210" s="109" t="s">
        <v>1031</v>
      </c>
      <c r="I210" s="125" t="str">
        <f t="array" ref="I210">ifna(xlookup($H210,'🙎‍♂️ Pasien'!$G$7:$G371,'🙎‍♂️ Pasien'!$H$7:$H371),"")</f>
        <v>W9625110758</v>
      </c>
      <c r="J210" s="125" t="str">
        <f t="array" ref="J210">ifna(xlookup($H210,'🙎‍♂️ Pasien'!$G$7:$G371,'🙎‍♂️ Pasien'!$L$7:$L371),"")</f>
        <v>LAKI-LAKI</v>
      </c>
      <c r="K210" s="125">
        <f t="array" ref="K210">ifna(xlookup($H210,'🙎‍♂️ Pasien'!$G$7:$G371,'🙎‍♂️ Pasien'!$I$7:$I371),"")</f>
        <v>29</v>
      </c>
      <c r="L210" s="125" t="str">
        <f t="array" ref="L210">IFNA(xlookup(H210,'🙎‍♂️ Pasien'!$G$5:$G371,'🙎‍♂️ Pasien'!$J$5:$J371),"")</f>
        <v>25-34 tahun</v>
      </c>
      <c r="M210" s="125" t="str">
        <f t="array" ref="M210">IFNA(xlookup(H210,'🙎‍♂️ Pasien'!$G$5:$G371,'🙎‍♂️ Pasien'!$S$5:$S371),"")</f>
        <v>WIRASWASTA</v>
      </c>
      <c r="N210" s="125" t="str">
        <f t="array" ref="N210">IFNA(XLOOKUP($H210,'🙎‍♂️ Pasien'!$G$7:$G371,'🙎‍♂️ Pasien'!$T$7:$T371),"")</f>
        <v>SAKIT DI LUTUT SAMPING SAAT LARI</v>
      </c>
      <c r="O210" s="16" t="s">
        <v>854</v>
      </c>
      <c r="P210" s="16" t="s">
        <v>836</v>
      </c>
      <c r="Q210" s="16" t="s">
        <v>29</v>
      </c>
      <c r="R210" s="16" t="s">
        <v>86</v>
      </c>
      <c r="S210" s="16" t="s">
        <v>107</v>
      </c>
      <c r="T210" s="16" t="s">
        <v>834</v>
      </c>
      <c r="U210" s="109" t="s">
        <v>837</v>
      </c>
      <c r="V210" s="126"/>
      <c r="W210" s="109"/>
      <c r="X210" s="109" t="str">
        <f t="array" ref="X210">IF(H210="","",XLOOKUP(H210,CATATANPELAYANAN[[#ALL],[NAMA PASIEN]],CATATANPELAYANAN[[#ALL],[LAYANAN]],"TIDAK CLOSING",0,-1))</f>
        <v>TIDAK CLOSING</v>
      </c>
      <c r="Y210" s="109" t="str">
        <f t="shared" si="4"/>
        <v>TIDAK CLOSING</v>
      </c>
      <c r="Z210" s="127"/>
    </row>
    <row r="211" ht="22.5" customHeight="1">
      <c r="A211" s="122"/>
      <c r="B211" s="123">
        <v>45985.0</v>
      </c>
      <c r="C211" s="124" t="str">
        <f t="shared" si="26"/>
        <v>2025</v>
      </c>
      <c r="D211" s="124" t="str">
        <f t="shared" si="27"/>
        <v>11 Nov</v>
      </c>
      <c r="E211" s="124" t="str">
        <f t="shared" si="28"/>
        <v>Sen</v>
      </c>
      <c r="F211" s="16" t="s">
        <v>53</v>
      </c>
      <c r="G211" s="109" t="str">
        <f t="array" ref="G211">IFNA(XLOOKUP(S211,'⚙️ Pengaturan'!$H$5:$H371,'⚙️ Pengaturan'!$I$5:$I371),"")</f>
        <v>TIM Y</v>
      </c>
      <c r="H211" s="109" t="s">
        <v>572</v>
      </c>
      <c r="I211" s="125" t="str">
        <f t="array" ref="I211">ifna(xlookup($H211,'🙎‍♂️ Pasien'!$G$7:$G371,'🙎‍♂️ Pasien'!$H$7:$H371),"")</f>
        <v>J0525113412</v>
      </c>
      <c r="J211" s="125" t="str">
        <f t="array" ref="J211">ifna(xlookup($H211,'🙎‍♂️ Pasien'!$G$7:$G371,'🙎‍♂️ Pasien'!$L$7:$L371),"")</f>
        <v>LAKI-LAKI</v>
      </c>
      <c r="K211" s="125">
        <f t="array" ref="K211">ifna(xlookup($H211,'🙎‍♂️ Pasien'!$G$7:$G371,'🙎‍♂️ Pasien'!$I$7:$I371),"")</f>
        <v>21</v>
      </c>
      <c r="L211" s="125" t="str">
        <f t="array" ref="L211">IFNA(xlookup(H211,'🙎‍♂️ Pasien'!$G$5:$G371,'🙎‍♂️ Pasien'!$J$5:$J371),"")</f>
        <v>18-24 tahun</v>
      </c>
      <c r="M211" s="125" t="str">
        <f t="array" ref="M211">IFNA(xlookup(H211,'🙎‍♂️ Pasien'!$G$5:$G371,'🙎‍♂️ Pasien'!$S$5:$S371),"")</f>
        <v>WIRASWASTA</v>
      </c>
      <c r="N211" s="125" t="str">
        <f t="array" ref="N211">IFNA(XLOOKUP($H211,'🙎‍♂️ Pasien'!$G$7:$G371,'🙎‍♂️ Pasien'!$T$7:$T371),"")</f>
        <v>SAKIT DI PERGELANGAN TANGAN</v>
      </c>
      <c r="O211" s="16" t="s">
        <v>908</v>
      </c>
      <c r="P211" s="16" t="s">
        <v>866</v>
      </c>
      <c r="Q211" s="16" t="s">
        <v>29</v>
      </c>
      <c r="R211" s="16" t="s">
        <v>86</v>
      </c>
      <c r="S211" s="16" t="s">
        <v>91</v>
      </c>
      <c r="T211" s="16" t="s">
        <v>834</v>
      </c>
      <c r="U211" s="109" t="s">
        <v>837</v>
      </c>
      <c r="V211" s="126"/>
      <c r="W211" s="109"/>
      <c r="X211" s="109" t="str">
        <f t="array" ref="X211">IF(H211="","",XLOOKUP(H211,CATATANPELAYANAN[[#ALL],[NAMA PASIEN]],CATATANPELAYANAN[[#ALL],[LAYANAN]],"TIDAK CLOSING",0,-1))</f>
        <v>TERAPI AWAL</v>
      </c>
      <c r="Y211" s="109" t="str">
        <f t="shared" si="4"/>
        <v>TIDAK CLOSING</v>
      </c>
      <c r="Z211" s="127"/>
    </row>
    <row r="212" ht="22.5" customHeight="1">
      <c r="A212" s="122"/>
      <c r="B212" s="123">
        <v>45985.0</v>
      </c>
      <c r="C212" s="124" t="str">
        <f t="shared" si="26"/>
        <v>2025</v>
      </c>
      <c r="D212" s="124" t="str">
        <f t="shared" si="27"/>
        <v>11 Nov</v>
      </c>
      <c r="E212" s="124" t="str">
        <f t="shared" si="28"/>
        <v>Sen</v>
      </c>
      <c r="F212" s="16" t="s">
        <v>53</v>
      </c>
      <c r="G212" s="109" t="str">
        <f t="array" ref="G212">IFNA(XLOOKUP(S212,'⚙️ Pengaturan'!$H$5:$H371,'⚙️ Pengaturan'!$I$5:$I371),"")</f>
        <v>TIM Y</v>
      </c>
      <c r="H212" s="109" t="s">
        <v>1032</v>
      </c>
      <c r="I212" s="125" t="str">
        <f t="array" ref="I212">ifna(xlookup($H212,'🙎‍♂️ Pasien'!$G$7:$G371,'🙎‍♂️ Pasien'!$H$7:$H371),"")</f>
        <v/>
      </c>
      <c r="J212" s="125" t="str">
        <f t="array" ref="J212">ifna(xlookup($H212,'🙎‍♂️ Pasien'!$G$7:$G371,'🙎‍♂️ Pasien'!$L$7:$L371),"")</f>
        <v/>
      </c>
      <c r="K212" s="125" t="str">
        <f t="array" ref="K212">ifna(xlookup($H212,'🙎‍♂️ Pasien'!$G$7:$G371,'🙎‍♂️ Pasien'!$I$7:$I371),"")</f>
        <v/>
      </c>
      <c r="L212" s="125" t="str">
        <f t="array" ref="L212">IFNA(xlookup(H212,'🙎‍♂️ Pasien'!$G$5:$G371,'🙎‍♂️ Pasien'!$J$5:$J371),"")</f>
        <v/>
      </c>
      <c r="M212" s="125" t="str">
        <f t="array" ref="M212">IFNA(xlookup(H212,'🙎‍♂️ Pasien'!$G$5:$G371,'🙎‍♂️ Pasien'!$S$5:$S371),"")</f>
        <v/>
      </c>
      <c r="N212" s="125" t="str">
        <f t="array" ref="N212">IFNA(XLOOKUP($H212,'🙎‍♂️ Pasien'!$G$7:$G371,'🙎‍♂️ Pasien'!$T$7:$T371),"")</f>
        <v/>
      </c>
      <c r="O212" s="16" t="s">
        <v>832</v>
      </c>
      <c r="P212" s="16" t="s">
        <v>833</v>
      </c>
      <c r="Q212" s="16" t="s">
        <v>26</v>
      </c>
      <c r="R212" s="16" t="s">
        <v>86</v>
      </c>
      <c r="S212" s="16" t="s">
        <v>88</v>
      </c>
      <c r="T212" s="16" t="s">
        <v>834</v>
      </c>
      <c r="U212" s="109" t="s">
        <v>831</v>
      </c>
      <c r="V212" s="126"/>
      <c r="W212" s="109"/>
      <c r="X212" s="109" t="str">
        <f t="array" ref="X212">IF(H212="","",XLOOKUP(H212,CATATANPELAYANAN[[#ALL],[NAMA PASIEN]],CATATANPELAYANAN[[#ALL],[LAYANAN]],"TIDAK CLOSING",0,-1))</f>
        <v>TIDAK CLOSING</v>
      </c>
      <c r="Y212" s="109" t="str">
        <f t="shared" si="4"/>
        <v>TIDAK CLOSING</v>
      </c>
      <c r="Z212" s="127"/>
    </row>
    <row r="213" ht="22.5" customHeight="1">
      <c r="A213" s="122"/>
      <c r="B213" s="123">
        <v>45986.0</v>
      </c>
      <c r="C213" s="124" t="str">
        <f t="shared" si="26"/>
        <v>2025</v>
      </c>
      <c r="D213" s="124" t="str">
        <f t="shared" si="27"/>
        <v>11 Nov</v>
      </c>
      <c r="E213" s="124" t="str">
        <f t="shared" si="28"/>
        <v>Sel</v>
      </c>
      <c r="F213" s="16" t="s">
        <v>85</v>
      </c>
      <c r="G213" s="109" t="str">
        <f t="array" ref="G213">IFNA(XLOOKUP(S213,'⚙️ Pengaturan'!$H$5:$H371,'⚙️ Pengaturan'!$I$5:$I371),"")</f>
        <v>TIM Y</v>
      </c>
      <c r="H213" s="109" t="s">
        <v>599</v>
      </c>
      <c r="I213" s="125" t="str">
        <f t="array" ref="I213">ifna(xlookup($H213,'🙎‍♂️ Pasien'!$G$7:$G371,'🙎‍♂️ Pasien'!$H$7:$H371),"")</f>
        <v>V8925118000</v>
      </c>
      <c r="J213" s="125" t="str">
        <f t="array" ref="J213">ifna(xlookup($H213,'🙎‍♂️ Pasien'!$G$7:$G371,'🙎‍♂️ Pasien'!$L$7:$L371),"")</f>
        <v>LAKI-LAKI</v>
      </c>
      <c r="K213" s="125">
        <f t="array" ref="K213">ifna(xlookup($H213,'🙎‍♂️ Pasien'!$G$7:$G371,'🙎‍♂️ Pasien'!$I$7:$I371),"")</f>
        <v>37</v>
      </c>
      <c r="L213" s="125" t="str">
        <f t="array" ref="L213">IFNA(xlookup(H213,'🙎‍♂️ Pasien'!$G$5:$G371,'🙎‍♂️ Pasien'!$J$5:$J371),"")</f>
        <v>35-44 tahun</v>
      </c>
      <c r="M213" s="125" t="str">
        <f t="array" ref="M213">IFNA(xlookup(H213,'🙎‍♂️ Pasien'!$G$5:$G371,'🙎‍♂️ Pasien'!$S$5:$S371),"")</f>
        <v>PNS</v>
      </c>
      <c r="N213" s="125" t="str">
        <f t="array" ref="N213">IFNA(XLOOKUP($H213,'🙎‍♂️ Pasien'!$G$7:$G371,'🙎‍♂️ Pasien'!$T$7:$T371),"")</f>
        <v>SENDI LUTUT KIRI BERMASALAH</v>
      </c>
      <c r="O213" s="16" t="s">
        <v>854</v>
      </c>
      <c r="P213" s="16" t="s">
        <v>836</v>
      </c>
      <c r="Q213" s="16" t="s">
        <v>29</v>
      </c>
      <c r="R213" s="16" t="s">
        <v>86</v>
      </c>
      <c r="S213" s="16" t="s">
        <v>88</v>
      </c>
      <c r="T213" s="16" t="s">
        <v>830</v>
      </c>
      <c r="U213" s="109"/>
      <c r="V213" s="126"/>
      <c r="W213" s="109"/>
      <c r="X213" s="109" t="str">
        <f t="array" ref="X213">IF(H213="","",XLOOKUP(H213,CATATANPELAYANAN[[#ALL],[NAMA PASIEN]],CATATANPELAYANAN[[#ALL],[LAYANAN]],"TIDAK CLOSING",0,-1))</f>
        <v>PAKET TERAPI</v>
      </c>
      <c r="Y213" s="109" t="str">
        <f t="shared" si="4"/>
        <v>PAKET</v>
      </c>
      <c r="Z213" s="127"/>
    </row>
    <row r="214" ht="22.5" customHeight="1">
      <c r="A214" s="122"/>
      <c r="B214" s="123">
        <v>45986.0</v>
      </c>
      <c r="C214" s="124" t="str">
        <f t="shared" si="26"/>
        <v>2025</v>
      </c>
      <c r="D214" s="124" t="str">
        <f t="shared" si="27"/>
        <v>11 Nov</v>
      </c>
      <c r="E214" s="124" t="str">
        <f t="shared" si="28"/>
        <v>Sel</v>
      </c>
      <c r="F214" s="16" t="s">
        <v>85</v>
      </c>
      <c r="G214" s="109" t="str">
        <f t="array" ref="G214">IFNA(XLOOKUP(S214,'⚙️ Pengaturan'!$H$5:$H371,'⚙️ Pengaturan'!$I$5:$I371),"")</f>
        <v>TIM A</v>
      </c>
      <c r="H214" s="109" t="s">
        <v>577</v>
      </c>
      <c r="I214" s="125" t="str">
        <f t="array" ref="I214">ifna(xlookup($H214,'🙎‍♂️ Pasien'!$G$7:$G371,'🙎‍♂️ Pasien'!$H$7:$H371),"")</f>
        <v>D9425115021</v>
      </c>
      <c r="J214" s="125" t="str">
        <f t="array" ref="J214">ifna(xlookup($H214,'🙎‍♂️ Pasien'!$G$7:$G371,'🙎‍♂️ Pasien'!$L$7:$L371),"")</f>
        <v>PEREMPUAN</v>
      </c>
      <c r="K214" s="125">
        <f t="array" ref="K214">ifna(xlookup($H214,'🙎‍♂️ Pasien'!$G$7:$G371,'🙎‍♂️ Pasien'!$I$7:$I371),"")</f>
        <v>31</v>
      </c>
      <c r="L214" s="125" t="str">
        <f t="array" ref="L214">IFNA(xlookup(H214,'🙎‍♂️ Pasien'!$G$5:$G371,'🙎‍♂️ Pasien'!$J$5:$J371),"")</f>
        <v>25-34 tahun</v>
      </c>
      <c r="M214" s="125" t="str">
        <f t="array" ref="M214">IFNA(xlookup(H214,'🙎‍♂️ Pasien'!$G$5:$G371,'🙎‍♂️ Pasien'!$S$5:$S371),"")</f>
        <v>PNS</v>
      </c>
      <c r="N214" s="125" t="str">
        <f t="array" ref="N214">IFNA(XLOOKUP($H214,'🙎‍♂️ Pasien'!$G$7:$G371,'🙎‍♂️ Pasien'!$T$7:$T371),"")</f>
        <v>SAKIT LUTUT</v>
      </c>
      <c r="O214" s="16" t="s">
        <v>954</v>
      </c>
      <c r="P214" s="16" t="s">
        <v>836</v>
      </c>
      <c r="Q214" s="16" t="s">
        <v>29</v>
      </c>
      <c r="R214" s="16" t="s">
        <v>86</v>
      </c>
      <c r="S214" s="16" t="s">
        <v>79</v>
      </c>
      <c r="T214" s="16" t="s">
        <v>834</v>
      </c>
      <c r="U214" s="109" t="s">
        <v>831</v>
      </c>
      <c r="V214" s="126"/>
      <c r="W214" s="109"/>
      <c r="X214" s="109" t="str">
        <f t="array" ref="X214">IF(H214="","",XLOOKUP(H214,CATATANPELAYANAN[[#ALL],[NAMA PASIEN]],CATATANPELAYANAN[[#ALL],[LAYANAN]],"TIDAK CLOSING",0,-1))</f>
        <v>TERAPI AWAL</v>
      </c>
      <c r="Y214" s="109" t="str">
        <f t="shared" si="4"/>
        <v>TIDAK CLOSING</v>
      </c>
      <c r="Z214" s="127"/>
    </row>
    <row r="215" ht="22.5" customHeight="1">
      <c r="A215" s="122"/>
      <c r="B215" s="123">
        <v>45986.0</v>
      </c>
      <c r="C215" s="124" t="str">
        <f t="shared" si="26"/>
        <v>2025</v>
      </c>
      <c r="D215" s="124" t="str">
        <f t="shared" si="27"/>
        <v>11 Nov</v>
      </c>
      <c r="E215" s="124" t="str">
        <f t="shared" si="28"/>
        <v>Sel</v>
      </c>
      <c r="F215" s="16" t="s">
        <v>85</v>
      </c>
      <c r="G215" s="109" t="str">
        <f t="array" ref="G215">IFNA(XLOOKUP(S215,'⚙️ Pengaturan'!$H$5:$H371,'⚙️ Pengaturan'!$I$5:$I371),"")</f>
        <v>TIM Y</v>
      </c>
      <c r="H215" s="109" t="s">
        <v>578</v>
      </c>
      <c r="I215" s="125" t="str">
        <f t="array" ref="I215">ifna(xlookup($H215,'🙎‍♂️ Pasien'!$G$7:$G371,'🙎‍♂️ Pasien'!$H$7:$H371),"")</f>
        <v>V8825112988</v>
      </c>
      <c r="J215" s="125" t="str">
        <f t="array" ref="J215">ifna(xlookup($H215,'🙎‍♂️ Pasien'!$G$7:$G371,'🙎‍♂️ Pasien'!$L$7:$L371),"")</f>
        <v>PEREMPUAN</v>
      </c>
      <c r="K215" s="125">
        <f t="array" ref="K215">ifna(xlookup($H215,'🙎‍♂️ Pasien'!$G$7:$G371,'🙎‍♂️ Pasien'!$I$7:$I371),"")</f>
        <v>38</v>
      </c>
      <c r="L215" s="125" t="str">
        <f t="array" ref="L215">IFNA(xlookup(H215,'🙎‍♂️ Pasien'!$G$5:$G371,'🙎‍♂️ Pasien'!$J$5:$J371),"")</f>
        <v>35-44 tahun</v>
      </c>
      <c r="M215" s="125" t="str">
        <f t="array" ref="M215">IFNA(xlookup(H215,'🙎‍♂️ Pasien'!$G$5:$G371,'🙎‍♂️ Pasien'!$S$5:$S371),"")</f>
        <v>KARYAWATI</v>
      </c>
      <c r="N215" s="125" t="str">
        <f t="array" ref="N215">IFNA(XLOOKUP($H215,'🙎‍♂️ Pasien'!$G$7:$G371,'🙎‍♂️ Pasien'!$T$7:$T371),"")</f>
        <v>JARI TENGAH SEBELAH KIRI TERLAMBAT KALAU DIGENGAM DAN DBUKA DAN TERASA SAKIT</v>
      </c>
      <c r="O215" s="16" t="s">
        <v>975</v>
      </c>
      <c r="P215" s="16" t="s">
        <v>976</v>
      </c>
      <c r="Q215" s="16" t="s">
        <v>29</v>
      </c>
      <c r="R215" s="16" t="s">
        <v>86</v>
      </c>
      <c r="S215" s="16" t="s">
        <v>91</v>
      </c>
      <c r="T215" s="16" t="s">
        <v>830</v>
      </c>
      <c r="U215" s="109"/>
      <c r="V215" s="126"/>
      <c r="W215" s="109"/>
      <c r="X215" s="109" t="str">
        <f t="array" ref="X215">IF(H215="","",XLOOKUP(H215,CATATANPELAYANAN[[#ALL],[NAMA PASIEN]],CATATANPELAYANAN[[#ALL],[LAYANAN]],"TIDAK CLOSING",0,-1))</f>
        <v>TERAPI AWAL</v>
      </c>
      <c r="Y215" s="109" t="str">
        <f t="shared" si="4"/>
        <v>TIDAK CLOSING</v>
      </c>
      <c r="Z215" s="127"/>
    </row>
    <row r="216" ht="22.5" customHeight="1">
      <c r="A216" s="122"/>
      <c r="B216" s="123">
        <v>45986.0</v>
      </c>
      <c r="C216" s="124" t="str">
        <f t="shared" si="26"/>
        <v>2025</v>
      </c>
      <c r="D216" s="124" t="str">
        <f t="shared" si="27"/>
        <v>11 Nov</v>
      </c>
      <c r="E216" s="124" t="str">
        <f t="shared" si="28"/>
        <v>Sel</v>
      </c>
      <c r="F216" s="16" t="s">
        <v>85</v>
      </c>
      <c r="G216" s="109" t="str">
        <f t="array" ref="G216">IFNA(XLOOKUP(S216,'⚙️ Pengaturan'!$H$5:$H371,'⚙️ Pengaturan'!$I$5:$I371),"")</f>
        <v>TIM Y</v>
      </c>
      <c r="H216" s="109" t="s">
        <v>1033</v>
      </c>
      <c r="I216" s="125" t="str">
        <f t="array" ref="I216">ifna(xlookup($H216,'🙎‍♂️ Pasien'!$G$7:$G371,'🙎‍♂️ Pasien'!$H$7:$H371),"")</f>
        <v/>
      </c>
      <c r="J216" s="125" t="str">
        <f t="array" ref="J216">ifna(xlookup($H216,'🙎‍♂️ Pasien'!$G$7:$G371,'🙎‍♂️ Pasien'!$L$7:$L371),"")</f>
        <v/>
      </c>
      <c r="K216" s="125" t="str">
        <f t="array" ref="K216">ifna(xlookup($H216,'🙎‍♂️ Pasien'!$G$7:$G371,'🙎‍♂️ Pasien'!$I$7:$I371),"")</f>
        <v/>
      </c>
      <c r="L216" s="125" t="str">
        <f t="array" ref="L216">IFNA(xlookup(H216,'🙎‍♂️ Pasien'!$G$5:$G371,'🙎‍♂️ Pasien'!$J$5:$J371),"")</f>
        <v/>
      </c>
      <c r="M216" s="125" t="str">
        <f t="array" ref="M216">IFNA(xlookup(H216,'🙎‍♂️ Pasien'!$G$5:$G371,'🙎‍♂️ Pasien'!$S$5:$S371),"")</f>
        <v/>
      </c>
      <c r="N216" s="125" t="str">
        <f t="array" ref="N216">IFNA(XLOOKUP($H216,'🙎‍♂️ Pasien'!$G$7:$G371,'🙎‍♂️ Pasien'!$T$7:$T371),"")</f>
        <v/>
      </c>
      <c r="O216" s="16" t="s">
        <v>982</v>
      </c>
      <c r="P216" s="16" t="s">
        <v>931</v>
      </c>
      <c r="Q216" s="16" t="s">
        <v>29</v>
      </c>
      <c r="R216" s="16" t="s">
        <v>86</v>
      </c>
      <c r="S216" s="16" t="s">
        <v>88</v>
      </c>
      <c r="T216" s="16" t="s">
        <v>834</v>
      </c>
      <c r="U216" s="109" t="s">
        <v>1034</v>
      </c>
      <c r="V216" s="126"/>
      <c r="W216" s="109"/>
      <c r="X216" s="109" t="str">
        <f t="array" ref="X216">IF(H216="","",XLOOKUP(H216,CATATANPELAYANAN[[#ALL],[NAMA PASIEN]],CATATANPELAYANAN[[#ALL],[LAYANAN]],"TIDAK CLOSING",0,-1))</f>
        <v>TIDAK CLOSING</v>
      </c>
      <c r="Y216" s="109" t="str">
        <f t="shared" si="4"/>
        <v>TIDAK CLOSING</v>
      </c>
      <c r="Z216" s="127"/>
    </row>
    <row r="217" ht="22.5" customHeight="1">
      <c r="A217" s="122"/>
      <c r="B217" s="123">
        <v>45986.0</v>
      </c>
      <c r="C217" s="124" t="str">
        <f t="shared" si="26"/>
        <v>2025</v>
      </c>
      <c r="D217" s="124" t="str">
        <f t="shared" si="27"/>
        <v>11 Nov</v>
      </c>
      <c r="E217" s="124" t="str">
        <f t="shared" si="28"/>
        <v>Sel</v>
      </c>
      <c r="F217" s="16" t="s">
        <v>85</v>
      </c>
      <c r="G217" s="109" t="str">
        <f t="array" ref="G217">IFNA(XLOOKUP(S217,'⚙️ Pengaturan'!$H$5:$H371,'⚙️ Pengaturan'!$I$5:$I371),"")</f>
        <v>TIM Y</v>
      </c>
      <c r="H217" s="109" t="s">
        <v>579</v>
      </c>
      <c r="I217" s="125" t="str">
        <f t="array" ref="I217">ifna(xlookup($H217,'🙎‍♂️ Pasien'!$G$7:$G371,'🙎‍♂️ Pasien'!$H$7:$H371),"")</f>
        <v>J8425110309</v>
      </c>
      <c r="J217" s="125" t="str">
        <f t="array" ref="J217">ifna(xlookup($H217,'🙎‍♂️ Pasien'!$G$7:$G371,'🙎‍♂️ Pasien'!$L$7:$L371),"")</f>
        <v>PEREMPUAN</v>
      </c>
      <c r="K217" s="125">
        <f t="array" ref="K217">ifna(xlookup($H217,'🙎‍♂️ Pasien'!$G$7:$G371,'🙎‍♂️ Pasien'!$I$7:$I371),"")</f>
        <v>42</v>
      </c>
      <c r="L217" s="125" t="str">
        <f t="array" ref="L217">IFNA(xlookup(H217,'🙎‍♂️ Pasien'!$G$5:$G371,'🙎‍♂️ Pasien'!$J$5:$J371),"")</f>
        <v>35-44 tahun</v>
      </c>
      <c r="M217" s="125" t="str">
        <f t="array" ref="M217">IFNA(xlookup(H217,'🙎‍♂️ Pasien'!$G$5:$G371,'🙎‍♂️ Pasien'!$S$5:$S371),"")</f>
        <v>IBU RUMAH TANGGA</v>
      </c>
      <c r="N217" s="125" t="str">
        <f t="array" ref="N217">IFNA(XLOOKUP($H217,'🙎‍♂️ Pasien'!$G$7:$G371,'🙎‍♂️ Pasien'!$T$7:$T371),"")</f>
        <v>SALAH SATU JARI TANGAN SAKIT</v>
      </c>
      <c r="O217" s="16" t="s">
        <v>975</v>
      </c>
      <c r="P217" s="16" t="s">
        <v>976</v>
      </c>
      <c r="Q217" s="16" t="s">
        <v>29</v>
      </c>
      <c r="R217" s="16" t="s">
        <v>86</v>
      </c>
      <c r="S217" s="16" t="s">
        <v>91</v>
      </c>
      <c r="T217" s="16" t="s">
        <v>827</v>
      </c>
      <c r="U217" s="109"/>
      <c r="V217" s="126"/>
      <c r="W217" s="109"/>
      <c r="X217" s="109" t="str">
        <f t="array" ref="X217">IF(H217="","",XLOOKUP(H217,CATATANPELAYANAN[[#ALL],[NAMA PASIEN]],CATATANPELAYANAN[[#ALL],[LAYANAN]],"TIDAK CLOSING",0,-1))</f>
        <v>SESI TERAPI</v>
      </c>
      <c r="Y217" s="109" t="str">
        <f t="shared" si="4"/>
        <v>SESI</v>
      </c>
      <c r="Z217" s="127"/>
    </row>
    <row r="218" ht="22.5" customHeight="1">
      <c r="A218" s="122"/>
      <c r="B218" s="123">
        <v>45987.0</v>
      </c>
      <c r="C218" s="124" t="str">
        <f t="shared" si="26"/>
        <v>2025</v>
      </c>
      <c r="D218" s="124" t="str">
        <f t="shared" si="27"/>
        <v>11 Nov</v>
      </c>
      <c r="E218" s="124" t="str">
        <f t="shared" si="28"/>
        <v>Rab</v>
      </c>
      <c r="F218" s="16" t="s">
        <v>53</v>
      </c>
      <c r="G218" s="109" t="str">
        <f t="array" ref="G218">IFNA(XLOOKUP(S218,'⚙️ Pengaturan'!$H$5:$H371,'⚙️ Pengaturan'!$I$5:$I371),"")</f>
        <v>TIM A</v>
      </c>
      <c r="H218" s="109" t="s">
        <v>581</v>
      </c>
      <c r="I218" s="125" t="str">
        <f t="array" ref="I218">ifna(xlookup($H218,'🙎‍♂️ Pasien'!$G$7:$G371,'🙎‍♂️ Pasien'!$H$7:$H371),"")</f>
        <v>Z9524058455</v>
      </c>
      <c r="J218" s="125" t="str">
        <f t="array" ref="J218">ifna(xlookup($H218,'🙎‍♂️ Pasien'!$G$7:$G371,'🙎‍♂️ Pasien'!$L$7:$L371),"")</f>
        <v>LAKI-LAKI</v>
      </c>
      <c r="K218" s="125">
        <f t="array" ref="K218">ifna(xlookup($H218,'🙎‍♂️ Pasien'!$G$7:$G371,'🙎‍♂️ Pasien'!$I$7:$I371),"")</f>
        <v>31</v>
      </c>
      <c r="L218" s="125" t="str">
        <f t="array" ref="L218">IFNA(xlookup(H218,'🙎‍♂️ Pasien'!$G$5:$G371,'🙎‍♂️ Pasien'!$J$5:$J371),"")</f>
        <v>25-34 tahun</v>
      </c>
      <c r="M218" s="125" t="str">
        <f t="array" ref="M218">IFNA(xlookup(H218,'🙎‍♂️ Pasien'!$G$5:$G371,'🙎‍♂️ Pasien'!$S$5:$S371),"")</f>
        <v>WIRASWASTA</v>
      </c>
      <c r="N218" s="125" t="str">
        <f t="array" ref="N218">IFNA(XLOOKUP($H218,'🙎‍♂️ Pasien'!$G$7:$G371,'🙎‍♂️ Pasien'!$T$7:$T371),"")</f>
        <v>Selisih</v>
      </c>
      <c r="O218" s="16" t="s">
        <v>1035</v>
      </c>
      <c r="P218" s="16" t="s">
        <v>836</v>
      </c>
      <c r="Q218" s="16" t="s">
        <v>29</v>
      </c>
      <c r="R218" s="16" t="s">
        <v>86</v>
      </c>
      <c r="S218" s="16" t="s">
        <v>79</v>
      </c>
      <c r="T218" s="16" t="s">
        <v>834</v>
      </c>
      <c r="U218" s="109" t="s">
        <v>920</v>
      </c>
      <c r="V218" s="126"/>
      <c r="W218" s="109"/>
      <c r="X218" s="109" t="str">
        <f t="array" ref="X218">IF(H218="","",XLOOKUP(H218,CATATANPELAYANAN[[#ALL],[NAMA PASIEN]],CATATANPELAYANAN[[#ALL],[LAYANAN]],"TIDAK CLOSING",0,-1))</f>
        <v>TERAPI AWAL</v>
      </c>
      <c r="Y218" s="109" t="str">
        <f t="shared" si="4"/>
        <v>TIDAK CLOSING</v>
      </c>
      <c r="Z218" s="127"/>
    </row>
    <row r="219" ht="22.5" customHeight="1">
      <c r="A219" s="122"/>
      <c r="B219" s="123">
        <v>45987.0</v>
      </c>
      <c r="C219" s="124" t="str">
        <f t="shared" si="26"/>
        <v>2025</v>
      </c>
      <c r="D219" s="124" t="str">
        <f t="shared" si="27"/>
        <v>11 Nov</v>
      </c>
      <c r="E219" s="124" t="str">
        <f t="shared" si="28"/>
        <v>Rab</v>
      </c>
      <c r="F219" s="16" t="s">
        <v>53</v>
      </c>
      <c r="G219" s="109" t="str">
        <f t="array" ref="G219">IFNA(XLOOKUP(S219,'⚙️ Pengaturan'!$H$5:$H371,'⚙️ Pengaturan'!$I$5:$I371),"")</f>
        <v>TIM Y</v>
      </c>
      <c r="H219" s="109" t="s">
        <v>582</v>
      </c>
      <c r="I219" s="125" t="str">
        <f t="array" ref="I219">ifna(xlookup($H219,'🙎‍♂️ Pasien'!$G$7:$G371,'🙎‍♂️ Pasien'!$H$7:$H371),"")</f>
        <v>B8225112104</v>
      </c>
      <c r="J219" s="125" t="str">
        <f t="array" ref="J219">ifna(xlookup($H219,'🙎‍♂️ Pasien'!$G$7:$G371,'🙎‍♂️ Pasien'!$L$7:$L371),"")</f>
        <v>LAKI-LAKI</v>
      </c>
      <c r="K219" s="125">
        <f t="array" ref="K219">ifna(xlookup($H219,'🙎‍♂️ Pasien'!$G$7:$G371,'🙎‍♂️ Pasien'!$I$7:$I371),"")</f>
        <v>43</v>
      </c>
      <c r="L219" s="125" t="str">
        <f t="array" ref="L219">IFNA(xlookup(H219,'🙎‍♂️ Pasien'!$G$5:$G371,'🙎‍♂️ Pasien'!$J$5:$J371),"")</f>
        <v>35-44 tahun</v>
      </c>
      <c r="M219" s="125" t="str">
        <f t="array" ref="M219">IFNA(xlookup(H219,'🙎‍♂️ Pasien'!$G$5:$G371,'🙎‍♂️ Pasien'!$S$5:$S371),"")</f>
        <v>TNI AD</v>
      </c>
      <c r="N219" s="125" t="str">
        <f t="array" ref="N219">IFNA(XLOOKUP($H219,'🙎‍♂️ Pasien'!$G$7:$G371,'🙎‍♂️ Pasien'!$T$7:$T371),"")</f>
        <v>CEDERA DI BAHU SEBELAH KIRI</v>
      </c>
      <c r="O219" s="16" t="s">
        <v>843</v>
      </c>
      <c r="P219" s="16" t="s">
        <v>839</v>
      </c>
      <c r="Q219" s="16" t="s">
        <v>29</v>
      </c>
      <c r="R219" s="16" t="s">
        <v>86</v>
      </c>
      <c r="S219" s="16" t="s">
        <v>56</v>
      </c>
      <c r="T219" s="16" t="s">
        <v>834</v>
      </c>
      <c r="U219" s="109" t="s">
        <v>1036</v>
      </c>
      <c r="V219" s="126"/>
      <c r="W219" s="109"/>
      <c r="X219" s="109" t="str">
        <f t="array" ref="X219">IF(H219="","",XLOOKUP(H219,CATATANPELAYANAN[[#ALL],[NAMA PASIEN]],CATATANPELAYANAN[[#ALL],[LAYANAN]],"TIDAK CLOSING",0,-1))</f>
        <v>TERAPI AWAL</v>
      </c>
      <c r="Y219" s="109" t="str">
        <f t="shared" si="4"/>
        <v>TIDAK CLOSING</v>
      </c>
      <c r="Z219" s="127"/>
    </row>
    <row r="220" ht="22.5" customHeight="1">
      <c r="A220" s="122"/>
      <c r="B220" s="123">
        <v>45987.0</v>
      </c>
      <c r="C220" s="124" t="str">
        <f t="shared" si="26"/>
        <v>2025</v>
      </c>
      <c r="D220" s="124" t="str">
        <f t="shared" si="27"/>
        <v>11 Nov</v>
      </c>
      <c r="E220" s="124" t="str">
        <f t="shared" si="28"/>
        <v>Rab</v>
      </c>
      <c r="F220" s="16" t="s">
        <v>85</v>
      </c>
      <c r="G220" s="109" t="str">
        <f t="array" ref="G220">IFNA(XLOOKUP(S220,'⚙️ Pengaturan'!$H$5:$H371,'⚙️ Pengaturan'!$I$5:$I371),"")</f>
        <v>TIM Y</v>
      </c>
      <c r="H220" s="109" t="s">
        <v>583</v>
      </c>
      <c r="I220" s="125" t="str">
        <f t="array" ref="I220">ifna(xlookup($H220,'🙎‍♂️ Pasien'!$G$7:$G371,'🙎‍♂️ Pasien'!$H$7:$H371),"")</f>
        <v>R0025116078</v>
      </c>
      <c r="J220" s="125" t="str">
        <f t="array" ref="J220">ifna(xlookup($H220,'🙎‍♂️ Pasien'!$G$7:$G371,'🙎‍♂️ Pasien'!$L$7:$L371),"")</f>
        <v>PEREMPUAN</v>
      </c>
      <c r="K220" s="125">
        <f t="array" ref="K220">ifna(xlookup($H220,'🙎‍♂️ Pasien'!$G$7:$G371,'🙎‍♂️ Pasien'!$I$7:$I371),"")</f>
        <v>25</v>
      </c>
      <c r="L220" s="125" t="str">
        <f t="array" ref="L220">IFNA(xlookup(H220,'🙎‍♂️ Pasien'!$G$5:$G371,'🙎‍♂️ Pasien'!$J$5:$J371),"")</f>
        <v>25-34 tahun</v>
      </c>
      <c r="M220" s="125" t="str">
        <f t="array" ref="M220">IFNA(xlookup(H220,'🙎‍♂️ Pasien'!$G$5:$G371,'🙎‍♂️ Pasien'!$S$5:$S371),"")</f>
        <v>WIRASWASTA</v>
      </c>
      <c r="N220" s="125" t="str">
        <f t="array" ref="N220">IFNA(XLOOKUP($H220,'🙎‍♂️ Pasien'!$G$7:$G371,'🙎‍♂️ Pasien'!$T$7:$T371),"")</f>
        <v>CEDERA BAGIAN JARI</v>
      </c>
      <c r="O220" s="16" t="s">
        <v>1037</v>
      </c>
      <c r="P220" s="16" t="s">
        <v>976</v>
      </c>
      <c r="Q220" s="16" t="s">
        <v>29</v>
      </c>
      <c r="R220" s="16" t="s">
        <v>54</v>
      </c>
      <c r="S220" s="16" t="s">
        <v>91</v>
      </c>
      <c r="T220" s="16" t="s">
        <v>830</v>
      </c>
      <c r="U220" s="109" t="s">
        <v>920</v>
      </c>
      <c r="V220" s="126"/>
      <c r="W220" s="109"/>
      <c r="X220" s="109" t="str">
        <f t="array" ref="X220">IF(H220="","",XLOOKUP(H220,CATATANPELAYANAN[[#ALL],[NAMA PASIEN]],CATATANPELAYANAN[[#ALL],[LAYANAN]],"TIDAK CLOSING",0,-1))</f>
        <v>PAKET TERAPI</v>
      </c>
      <c r="Y220" s="109" t="str">
        <f t="shared" si="4"/>
        <v>PAKET</v>
      </c>
      <c r="Z220" s="127"/>
    </row>
    <row r="221" ht="22.5" customHeight="1">
      <c r="A221" s="122"/>
      <c r="B221" s="123">
        <v>45987.0</v>
      </c>
      <c r="C221" s="124" t="str">
        <f t="shared" si="26"/>
        <v>2025</v>
      </c>
      <c r="D221" s="124" t="str">
        <f t="shared" si="27"/>
        <v>11 Nov</v>
      </c>
      <c r="E221" s="124" t="str">
        <f t="shared" si="28"/>
        <v>Rab</v>
      </c>
      <c r="F221" s="16" t="s">
        <v>85</v>
      </c>
      <c r="G221" s="109" t="str">
        <f t="array" ref="G221">IFNA(XLOOKUP(S221,'⚙️ Pengaturan'!$H$5:$H371,'⚙️ Pengaturan'!$I$5:$I371),"")</f>
        <v>TIM Y</v>
      </c>
      <c r="H221" s="109" t="s">
        <v>586</v>
      </c>
      <c r="I221" s="125" t="str">
        <f t="array" ref="I221">ifna(xlookup($H221,'🙎‍♂️ Pasien'!$G$7:$G371,'🙎‍♂️ Pasien'!$H$7:$H371),"")</f>
        <v>B0924114293</v>
      </c>
      <c r="J221" s="125" t="str">
        <f t="array" ref="J221">ifna(xlookup($H221,'🙎‍♂️ Pasien'!$G$7:$G371,'🙎‍♂️ Pasien'!$L$7:$L371),"")</f>
        <v>LAKI-LAKI</v>
      </c>
      <c r="K221" s="125">
        <f t="array" ref="K221">ifna(xlookup($H221,'🙎‍♂️ Pasien'!$G$7:$G371,'🙎‍♂️ Pasien'!$I$7:$I371),"")</f>
        <v>16</v>
      </c>
      <c r="L221" s="125" t="str">
        <f t="array" ref="L221">IFNA(xlookup(H221,'🙎‍♂️ Pasien'!$G$5:$G371,'🙎‍♂️ Pasien'!$J$5:$J371),"")</f>
        <v>&lt; 18 tahun</v>
      </c>
      <c r="M221" s="125" t="str">
        <f t="array" ref="M221">IFNA(xlookup(H221,'🙎‍♂️ Pasien'!$G$5:$G371,'🙎‍♂️ Pasien'!$S$5:$S371),"")</f>
        <v>PELAJAR/MAHASISWA</v>
      </c>
      <c r="N221" s="125" t="str">
        <f t="array" ref="N221">IFNA(XLOOKUP($H221,'🙎‍♂️ Pasien'!$G$7:$G371,'🙎‍♂️ Pasien'!$T$7:$T371),"")</f>
        <v>SAKIT PADA BAHU</v>
      </c>
      <c r="O221" s="16" t="s">
        <v>832</v>
      </c>
      <c r="P221" s="16" t="s">
        <v>1038</v>
      </c>
      <c r="Q221" s="16" t="s">
        <v>28</v>
      </c>
      <c r="R221" s="16" t="s">
        <v>54</v>
      </c>
      <c r="S221" s="16" t="s">
        <v>509</v>
      </c>
      <c r="T221" s="16" t="s">
        <v>830</v>
      </c>
      <c r="U221" s="109"/>
      <c r="V221" s="126"/>
      <c r="W221" s="109"/>
      <c r="X221" s="109" t="str">
        <f t="array" ref="X221">IF(H221="","",XLOOKUP(H221,CATATANPELAYANAN[[#ALL],[NAMA PASIEN]],CATATANPELAYANAN[[#ALL],[LAYANAN]],"TIDAK CLOSING",0,-1))</f>
        <v>PAKET/SESI</v>
      </c>
      <c r="Y221" s="109" t="str">
        <f t="shared" si="4"/>
        <v>TIDAK CLOSING</v>
      </c>
      <c r="Z221" s="127"/>
    </row>
    <row r="222" ht="22.5" customHeight="1">
      <c r="A222" s="122"/>
      <c r="B222" s="123">
        <v>45987.0</v>
      </c>
      <c r="C222" s="124" t="str">
        <f t="shared" si="26"/>
        <v>2025</v>
      </c>
      <c r="D222" s="124" t="str">
        <f t="shared" si="27"/>
        <v>11 Nov</v>
      </c>
      <c r="E222" s="124" t="str">
        <f t="shared" si="28"/>
        <v>Rab</v>
      </c>
      <c r="F222" s="16" t="s">
        <v>85</v>
      </c>
      <c r="G222" s="109" t="str">
        <f t="array" ref="G222">IFNA(XLOOKUP(S222,'⚙️ Pengaturan'!$H$5:$H371,'⚙️ Pengaturan'!$I$5:$I371),"")</f>
        <v>TIM Y</v>
      </c>
      <c r="H222" s="109" t="s">
        <v>587</v>
      </c>
      <c r="I222" s="125" t="str">
        <f t="array" ref="I222">ifna(xlookup($H222,'🙎‍♂️ Pasien'!$G$7:$G371,'🙎‍♂️ Pasien'!$H$7:$H371),"")</f>
        <v>H0625118331</v>
      </c>
      <c r="J222" s="125" t="str">
        <f t="array" ref="J222">ifna(xlookup($H222,'🙎‍♂️ Pasien'!$G$7:$G371,'🙎‍♂️ Pasien'!$L$7:$L371),"")</f>
        <v>LAKI-LAKI</v>
      </c>
      <c r="K222" s="125">
        <f t="array" ref="K222">ifna(xlookup($H222,'🙎‍♂️ Pasien'!$G$7:$G371,'🙎‍♂️ Pasien'!$I$7:$I371),"")</f>
        <v>20</v>
      </c>
      <c r="L222" s="125" t="str">
        <f t="array" ref="L222">IFNA(xlookup(H222,'🙎‍♂️ Pasien'!$G$5:$G371,'🙎‍♂️ Pasien'!$J$5:$J371),"")</f>
        <v>18-24 tahun</v>
      </c>
      <c r="M222" s="125" t="str">
        <f t="array" ref="M222">IFNA(xlookup(H222,'🙎‍♂️ Pasien'!$G$5:$G371,'🙎‍♂️ Pasien'!$S$5:$S371),"")</f>
        <v>-</v>
      </c>
      <c r="N222" s="125" t="str">
        <f t="array" ref="N222">IFNA(XLOOKUP($H222,'🙎‍♂️ Pasien'!$G$7:$G371,'🙎‍♂️ Pasien'!$T$7:$T371),"")</f>
        <v>NYERI LUTUT SAMPING</v>
      </c>
      <c r="O222" s="16" t="s">
        <v>909</v>
      </c>
      <c r="P222" s="16" t="s">
        <v>829</v>
      </c>
      <c r="Q222" s="16" t="s">
        <v>29</v>
      </c>
      <c r="R222" s="16" t="s">
        <v>54</v>
      </c>
      <c r="S222" s="16" t="s">
        <v>91</v>
      </c>
      <c r="T222" s="16" t="s">
        <v>827</v>
      </c>
      <c r="U222" s="109"/>
      <c r="V222" s="126"/>
      <c r="W222" s="109"/>
      <c r="X222" s="109" t="str">
        <f t="array" ref="X222">IF(H222="","",XLOOKUP(H222,CATATANPELAYANAN[[#ALL],[NAMA PASIEN]],CATATANPELAYANAN[[#ALL],[LAYANAN]],"TIDAK CLOSING",0,-1))</f>
        <v>SESI TERAPI</v>
      </c>
      <c r="Y222" s="109" t="str">
        <f t="shared" si="4"/>
        <v>SESI</v>
      </c>
      <c r="Z222" s="127"/>
    </row>
    <row r="223" ht="22.5" customHeight="1">
      <c r="A223" s="122"/>
      <c r="B223" s="136">
        <v>45987.0</v>
      </c>
      <c r="C223" s="124" t="str">
        <f t="shared" si="26"/>
        <v>2025</v>
      </c>
      <c r="D223" s="124" t="str">
        <f t="shared" si="27"/>
        <v>11 Nov</v>
      </c>
      <c r="E223" s="124" t="str">
        <f t="shared" si="28"/>
        <v>Rab</v>
      </c>
      <c r="F223" s="16" t="s">
        <v>85</v>
      </c>
      <c r="G223" s="109" t="str">
        <f t="array" ref="G223">IFNA(XLOOKUP(S223,'⚙️ Pengaturan'!$H$5:$H371,'⚙️ Pengaturan'!$I$5:$I371),"")</f>
        <v>TIM Y</v>
      </c>
      <c r="H223" s="109" t="s">
        <v>585</v>
      </c>
      <c r="I223" s="125" t="str">
        <f t="array" ref="I223">ifna(xlookup($H223,'🙎‍♂️ Pasien'!$G$7:$G371,'🙎‍♂️ Pasien'!$H$7:$H371),"")</f>
        <v>I0025112738</v>
      </c>
      <c r="J223" s="125" t="str">
        <f t="array" ref="J223">ifna(xlookup($H223,'🙎‍♂️ Pasien'!$G$7:$G371,'🙎‍♂️ Pasien'!$L$7:$L371),"")</f>
        <v>PEREMPUAN</v>
      </c>
      <c r="K223" s="125">
        <f t="array" ref="K223">ifna(xlookup($H223,'🙎‍♂️ Pasien'!$G$7:$G371,'🙎‍♂️ Pasien'!$I$7:$I371),"")</f>
        <v>25</v>
      </c>
      <c r="L223" s="125" t="str">
        <f t="array" ref="L223">IFNA(xlookup(H223,'🙎‍♂️ Pasien'!$G$5:$G371,'🙎‍♂️ Pasien'!$J$5:$J371),"")</f>
        <v>25-34 tahun</v>
      </c>
      <c r="M223" s="125" t="str">
        <f t="array" ref="M223">IFNA(xlookup(H223,'🙎‍♂️ Pasien'!$G$5:$G371,'🙎‍♂️ Pasien'!$S$5:$S371),"")</f>
        <v>-</v>
      </c>
      <c r="N223" s="125" t="str">
        <f t="array" ref="N223">IFNA(XLOOKUP($H223,'🙎‍♂️ Pasien'!$G$7:$G371,'🙎‍♂️ Pasien'!$T$7:$T371),"")</f>
        <v>LUTUT</v>
      </c>
      <c r="O223" s="16" t="s">
        <v>832</v>
      </c>
      <c r="P223" s="16" t="s">
        <v>1038</v>
      </c>
      <c r="Q223" s="16" t="s">
        <v>29</v>
      </c>
      <c r="R223" s="16" t="s">
        <v>54</v>
      </c>
      <c r="S223" s="16" t="s">
        <v>509</v>
      </c>
      <c r="T223" s="16" t="s">
        <v>827</v>
      </c>
      <c r="U223" s="109" t="s">
        <v>1039</v>
      </c>
      <c r="V223" s="126"/>
      <c r="W223" s="109"/>
      <c r="X223" s="109" t="str">
        <f t="array" ref="X223">IF(H223="","",XLOOKUP(H223,CATATANPELAYANAN[[#ALL],[NAMA PASIEN]],CATATANPELAYANAN[[#ALL],[LAYANAN]],"TIDAK CLOSING",0,-1))</f>
        <v>SESI TERAPI</v>
      </c>
      <c r="Y223" s="109" t="str">
        <f t="shared" si="4"/>
        <v>SESI</v>
      </c>
      <c r="Z223" s="127"/>
    </row>
    <row r="224" ht="22.5" customHeight="1">
      <c r="A224" s="122"/>
      <c r="B224" s="123">
        <v>45988.0</v>
      </c>
      <c r="C224" s="124" t="str">
        <f t="shared" si="26"/>
        <v>2025</v>
      </c>
      <c r="D224" s="124" t="str">
        <f t="shared" si="27"/>
        <v>11 Nov</v>
      </c>
      <c r="E224" s="124" t="str">
        <f t="shared" si="28"/>
        <v>Kam</v>
      </c>
      <c r="F224" s="16" t="s">
        <v>53</v>
      </c>
      <c r="G224" s="109" t="str">
        <f t="array" ref="G224">IFNA(XLOOKUP(S224,'⚙️ Pengaturan'!$H$5:$H371,'⚙️ Pengaturan'!$I$5:$I371),"")</f>
        <v>TIM Y</v>
      </c>
      <c r="H224" s="109" t="s">
        <v>588</v>
      </c>
      <c r="I224" s="125" t="str">
        <f t="array" ref="I224">ifna(xlookup($H224,'🙎‍♂️ Pasien'!$G$7:$G371,'🙎‍♂️ Pasien'!$H$7:$H371),"")</f>
        <v>A9125115541</v>
      </c>
      <c r="J224" s="125" t="str">
        <f t="array" ref="J224">ifna(xlookup($H224,'🙎‍♂️ Pasien'!$G$7:$G371,'🙎‍♂️ Pasien'!$L$7:$L371),"")</f>
        <v>LAKI-LAKI</v>
      </c>
      <c r="K224" s="125">
        <f t="array" ref="K224">ifna(xlookup($H224,'🙎‍♂️ Pasien'!$G$7:$G371,'🙎‍♂️ Pasien'!$I$7:$I371),"")</f>
        <v>35</v>
      </c>
      <c r="L224" s="125" t="str">
        <f t="array" ref="L224">IFNA(xlookup(H224,'🙎‍♂️ Pasien'!$G$5:$G371,'🙎‍♂️ Pasien'!$J$5:$J371),"")</f>
        <v>35-44 tahun</v>
      </c>
      <c r="M224" s="125" t="str">
        <f t="array" ref="M224">IFNA(xlookup(H224,'🙎‍♂️ Pasien'!$G$5:$G371,'🙎‍♂️ Pasien'!$S$5:$S371),"")</f>
        <v>WIRASWASTA</v>
      </c>
      <c r="N224" s="125" t="str">
        <f t="array" ref="N224">IFNA(XLOOKUP($H224,'🙎‍♂️ Pasien'!$G$7:$G371,'🙎‍♂️ Pasien'!$T$7:$T371),"")</f>
        <v>SAKIT DIBAGIAN LUTUT(SAMPING KANAN)</v>
      </c>
      <c r="O224" s="16" t="s">
        <v>909</v>
      </c>
      <c r="P224" s="16" t="s">
        <v>845</v>
      </c>
      <c r="Q224" s="16" t="s">
        <v>29</v>
      </c>
      <c r="R224" s="16" t="s">
        <v>54</v>
      </c>
      <c r="S224" s="16" t="s">
        <v>88</v>
      </c>
      <c r="T224" s="16" t="s">
        <v>827</v>
      </c>
      <c r="U224" s="109"/>
      <c r="V224" s="126"/>
      <c r="W224" s="109"/>
      <c r="X224" s="109" t="str">
        <f t="array" ref="X224">IF(H224="","",XLOOKUP(H224,CATATANPELAYANAN[[#ALL],[NAMA PASIEN]],CATATANPELAYANAN[[#ALL],[LAYANAN]],"TIDAK CLOSING",0,-1))</f>
        <v>SESI TERAPI</v>
      </c>
      <c r="Y224" s="109" t="str">
        <f t="shared" si="4"/>
        <v>SESI</v>
      </c>
      <c r="Z224" s="127"/>
    </row>
    <row r="225" ht="22.5" customHeight="1">
      <c r="A225" s="122"/>
      <c r="B225" s="123">
        <v>45988.0</v>
      </c>
      <c r="C225" s="124" t="str">
        <f t="shared" si="26"/>
        <v>2025</v>
      </c>
      <c r="D225" s="124" t="str">
        <f t="shared" si="27"/>
        <v>11 Nov</v>
      </c>
      <c r="E225" s="124" t="str">
        <f t="shared" si="28"/>
        <v>Kam</v>
      </c>
      <c r="F225" s="16" t="s">
        <v>85</v>
      </c>
      <c r="G225" s="109" t="str">
        <f t="array" ref="G225">IFNA(XLOOKUP(S225,'⚙️ Pengaturan'!$H$5:$H371,'⚙️ Pengaturan'!$I$5:$I371),"")</f>
        <v>TIM A</v>
      </c>
      <c r="H225" s="109" t="s">
        <v>593</v>
      </c>
      <c r="I225" s="125" t="str">
        <f t="array" ref="I225">ifna(xlookup($H225,'🙎‍♂️ Pasien'!$G$7:$G371,'🙎‍♂️ Pasien'!$H$7:$H371),"")</f>
        <v>A0125119292</v>
      </c>
      <c r="J225" s="125" t="str">
        <f t="array" ref="J225">ifna(xlookup($H225,'🙎‍♂️ Pasien'!$G$7:$G371,'🙎‍♂️ Pasien'!$L$7:$L371),"")</f>
        <v>PEREMPUAN</v>
      </c>
      <c r="K225" s="125">
        <f t="array" ref="K225">ifna(xlookup($H225,'🙎‍♂️ Pasien'!$G$7:$G371,'🙎‍♂️ Pasien'!$I$7:$I371),"")</f>
        <v>25</v>
      </c>
      <c r="L225" s="125" t="str">
        <f t="array" ref="L225">IFNA(xlookup(H225,'🙎‍♂️ Pasien'!$G$5:$G371,'🙎‍♂️ Pasien'!$J$5:$J371),"")</f>
        <v>25-34 tahun</v>
      </c>
      <c r="M225" s="125" t="str">
        <f t="array" ref="M225">IFNA(xlookup(H225,'🙎‍♂️ Pasien'!$G$5:$G371,'🙎‍♂️ Pasien'!$S$5:$S371),"")</f>
        <v>ADMIN</v>
      </c>
      <c r="N225" s="125" t="str">
        <f t="array" ref="N225">IFNA(XLOOKUP($H225,'🙎‍♂️ Pasien'!$G$7:$G371,'🙎‍♂️ Pasien'!$T$7:$T371),"")</f>
        <v>LUTUT SAKIT</v>
      </c>
      <c r="O225" s="16" t="s">
        <v>978</v>
      </c>
      <c r="P225" s="16" t="s">
        <v>836</v>
      </c>
      <c r="Q225" s="16" t="s">
        <v>29</v>
      </c>
      <c r="R225" s="16" t="s">
        <v>86</v>
      </c>
      <c r="S225" s="16" t="s">
        <v>79</v>
      </c>
      <c r="T225" s="16" t="s">
        <v>830</v>
      </c>
      <c r="U225" s="109"/>
      <c r="V225" s="126"/>
      <c r="W225" s="109"/>
      <c r="X225" s="109" t="str">
        <f t="array" ref="X225">IF(H225="","",XLOOKUP(H225,CATATANPELAYANAN[[#ALL],[NAMA PASIEN]],CATATANPELAYANAN[[#ALL],[LAYANAN]],"TIDAK CLOSING",0,-1))</f>
        <v>PAKET TERAPI</v>
      </c>
      <c r="Y225" s="109" t="str">
        <f t="shared" si="4"/>
        <v>PAKET</v>
      </c>
      <c r="Z225" s="127"/>
    </row>
    <row r="226" ht="22.5" customHeight="1">
      <c r="A226" s="122"/>
      <c r="B226" s="123">
        <v>45988.0</v>
      </c>
      <c r="C226" s="124" t="str">
        <f t="shared" si="26"/>
        <v>2025</v>
      </c>
      <c r="D226" s="124" t="str">
        <f t="shared" si="27"/>
        <v>11 Nov</v>
      </c>
      <c r="E226" s="124" t="str">
        <f t="shared" si="28"/>
        <v>Kam</v>
      </c>
      <c r="F226" s="16" t="s">
        <v>85</v>
      </c>
      <c r="G226" s="109" t="str">
        <f t="array" ref="G226">IFNA(XLOOKUP(S226,'⚙️ Pengaturan'!$H$5:$H371,'⚙️ Pengaturan'!$I$5:$I371),"")</f>
        <v>TIM Y</v>
      </c>
      <c r="H226" s="109" t="s">
        <v>612</v>
      </c>
      <c r="I226" s="125" t="str">
        <f t="array" ref="I226">ifna(xlookup($H226,'🙎‍♂️ Pasien'!$G$7:$G371,'🙎‍♂️ Pasien'!$H$7:$H371),"")</f>
        <v>A8525119797</v>
      </c>
      <c r="J226" s="125" t="str">
        <f t="array" ref="J226">ifna(xlookup($H226,'🙎‍♂️ Pasien'!$G$7:$G371,'🙎‍♂️ Pasien'!$L$7:$L371),"")</f>
        <v>LAKI-LAKI</v>
      </c>
      <c r="K226" s="125">
        <f t="array" ref="K226">ifna(xlookup($H226,'🙎‍♂️ Pasien'!$G$7:$G371,'🙎‍♂️ Pasien'!$I$7:$I371),"")</f>
        <v>41</v>
      </c>
      <c r="L226" s="125" t="str">
        <f t="array" ref="L226">IFNA(xlookup(H226,'🙎‍♂️ Pasien'!$G$5:$G371,'🙎‍♂️ Pasien'!$J$5:$J371),"")</f>
        <v>35-44 tahun</v>
      </c>
      <c r="M226" s="125" t="str">
        <f t="array" ref="M226">IFNA(xlookup(H226,'🙎‍♂️ Pasien'!$G$5:$G371,'🙎‍♂️ Pasien'!$S$5:$S371),"")</f>
        <v>WIRASWASTA</v>
      </c>
      <c r="N226" s="125" t="str">
        <f t="array" ref="N226">IFNA(XLOOKUP($H226,'🙎‍♂️ Pasien'!$G$7:$G371,'🙎‍♂️ Pasien'!$T$7:$T371),"")</f>
        <v>SAKIT PUNGGUNG MENAHUN</v>
      </c>
      <c r="O226" s="16" t="s">
        <v>825</v>
      </c>
      <c r="P226" s="16" t="s">
        <v>826</v>
      </c>
      <c r="Q226" s="16" t="s">
        <v>29</v>
      </c>
      <c r="R226" s="16" t="s">
        <v>86</v>
      </c>
      <c r="S226" s="16" t="s">
        <v>56</v>
      </c>
      <c r="T226" s="16" t="s">
        <v>827</v>
      </c>
      <c r="U226" s="109"/>
      <c r="V226" s="126"/>
      <c r="W226" s="109"/>
      <c r="X226" s="109" t="str">
        <f t="array" ref="X226">IF(H226="","",XLOOKUP(H226,CATATANPELAYANAN[[#ALL],[NAMA PASIEN]],CATATANPELAYANAN[[#ALL],[LAYANAN]],"TIDAK CLOSING",0,-1))</f>
        <v>SESI TERAPI</v>
      </c>
      <c r="Y226" s="109" t="str">
        <f t="shared" si="4"/>
        <v>SESI</v>
      </c>
      <c r="Z226" s="127"/>
    </row>
    <row r="227" ht="22.5" customHeight="1">
      <c r="A227" s="122"/>
      <c r="B227" s="123">
        <v>45989.0</v>
      </c>
      <c r="C227" s="124" t="str">
        <f t="shared" si="26"/>
        <v>2025</v>
      </c>
      <c r="D227" s="124" t="str">
        <f t="shared" si="27"/>
        <v>11 Nov</v>
      </c>
      <c r="E227" s="124" t="str">
        <f t="shared" si="28"/>
        <v>Jum</v>
      </c>
      <c r="F227" s="16" t="s">
        <v>85</v>
      </c>
      <c r="G227" s="109" t="str">
        <f t="array" ref="G227">IFNA(XLOOKUP(S227,'⚙️ Pengaturan'!$H$5:$H371,'⚙️ Pengaturan'!$I$5:$I371),"")</f>
        <v>TIM Y</v>
      </c>
      <c r="H227" s="109" t="s">
        <v>594</v>
      </c>
      <c r="I227" s="125" t="str">
        <f t="array" ref="I227">ifna(xlookup($H227,'🙎‍♂️ Pasien'!$G$7:$G371,'🙎‍♂️ Pasien'!$H$7:$H371),"")</f>
        <v>O0925115685</v>
      </c>
      <c r="J227" s="125" t="str">
        <f t="array" ref="J227">ifna(xlookup($H227,'🙎‍♂️ Pasien'!$G$7:$G371,'🙎‍♂️ Pasien'!$L$7:$L371),"")</f>
        <v>LAKI-LAKI</v>
      </c>
      <c r="K227" s="125">
        <f t="array" ref="K227">ifna(xlookup($H227,'🙎‍♂️ Pasien'!$G$7:$G371,'🙎‍♂️ Pasien'!$I$7:$I371),"")</f>
        <v>17</v>
      </c>
      <c r="L227" s="125" t="str">
        <f t="array" ref="L227">IFNA(xlookup(H227,'🙎‍♂️ Pasien'!$G$5:$G371,'🙎‍♂️ Pasien'!$J$5:$J371),"")</f>
        <v>&lt; 18 tahun</v>
      </c>
      <c r="M227" s="125" t="str">
        <f t="array" ref="M227">IFNA(xlookup(H227,'🙎‍♂️ Pasien'!$G$5:$G371,'🙎‍♂️ Pasien'!$S$5:$S371),"")</f>
        <v>PELAJAR</v>
      </c>
      <c r="N227" s="125" t="str">
        <f t="array" ref="N227">IFNA(XLOOKUP($H227,'🙎‍♂️ Pasien'!$G$7:$G371,'🙎‍♂️ Pasien'!$T$7:$T371),"")</f>
        <v>OPERASI PATAH TULANG(AVULSI TUBEROSITAS TIBIA). OTOT KAKI MENGECIL. BELUM LURUS 100%. DAN MASIH TERASA NYERI</v>
      </c>
      <c r="O227" s="16" t="s">
        <v>844</v>
      </c>
      <c r="P227" s="16" t="s">
        <v>942</v>
      </c>
      <c r="Q227" s="16" t="s">
        <v>29</v>
      </c>
      <c r="R227" s="16" t="s">
        <v>134</v>
      </c>
      <c r="S227" s="16" t="s">
        <v>88</v>
      </c>
      <c r="T227" s="16" t="s">
        <v>827</v>
      </c>
      <c r="U227" s="109"/>
      <c r="V227" s="126"/>
      <c r="W227" s="109"/>
      <c r="X227" s="109" t="str">
        <f t="array" ref="X227">IF(H227="","",XLOOKUP(H227,CATATANPELAYANAN[[#ALL],[NAMA PASIEN]],CATATANPELAYANAN[[#ALL],[LAYANAN]],"TIDAK CLOSING",0,-1))</f>
        <v>SESI TERAPI</v>
      </c>
      <c r="Y227" s="109" t="str">
        <f t="shared" si="4"/>
        <v>SESI</v>
      </c>
      <c r="Z227" s="127"/>
    </row>
    <row r="228" ht="22.5" customHeight="1">
      <c r="A228" s="122"/>
      <c r="B228" s="123">
        <v>45990.0</v>
      </c>
      <c r="C228" s="124" t="str">
        <f t="shared" si="26"/>
        <v>2025</v>
      </c>
      <c r="D228" s="124" t="str">
        <f t="shared" si="27"/>
        <v>11 Nov</v>
      </c>
      <c r="E228" s="124" t="str">
        <f t="shared" si="28"/>
        <v>Sab</v>
      </c>
      <c r="F228" s="16" t="s">
        <v>85</v>
      </c>
      <c r="G228" s="109" t="str">
        <f t="array" ref="G228">IFNA(XLOOKUP(S228,'⚙️ Pengaturan'!$H$5:$H371,'⚙️ Pengaturan'!$I$5:$I371),"")</f>
        <v>TIM Y</v>
      </c>
      <c r="H228" s="109" t="s">
        <v>605</v>
      </c>
      <c r="I228" s="125" t="str">
        <f t="array" ref="I228">ifna(xlookup($H228,'🙎‍♂️ Pasien'!$G$7:$G371,'🙎‍♂️ Pasien'!$H$7:$H371),"")</f>
        <v>Y7025113569</v>
      </c>
      <c r="J228" s="125" t="str">
        <f t="array" ref="J228">ifna(xlookup($H228,'🙎‍♂️ Pasien'!$G$7:$G371,'🙎‍♂️ Pasien'!$L$7:$L371),"")</f>
        <v>PEREMPUAN</v>
      </c>
      <c r="K228" s="125">
        <f t="array" ref="K228">ifna(xlookup($H228,'🙎‍♂️ Pasien'!$G$7:$G371,'🙎‍♂️ Pasien'!$I$7:$I371),"")</f>
        <v>55</v>
      </c>
      <c r="L228" s="125" t="str">
        <f t="array" ref="L228">IFNA(xlookup(H228,'🙎‍♂️ Pasien'!$G$5:$G371,'🙎‍♂️ Pasien'!$J$5:$J371),"")</f>
        <v>&gt; 44 tahun</v>
      </c>
      <c r="M228" s="125" t="str">
        <f t="array" ref="M228">IFNA(xlookup(H228,'🙎‍♂️ Pasien'!$G$5:$G371,'🙎‍♂️ Pasien'!$S$5:$S371),"")</f>
        <v>PENSIUNAN</v>
      </c>
      <c r="N228" s="125" t="str">
        <f t="array" ref="N228">IFNA(XLOOKUP($H228,'🙎‍♂️ Pasien'!$G$7:$G371,'🙎‍♂️ Pasien'!$T$7:$T371),"")</f>
        <v>TUMIT SAKIT, DAN MAU MENAMBAH MASSA OTOT KAKI</v>
      </c>
      <c r="O228" s="16" t="s">
        <v>849</v>
      </c>
      <c r="P228" s="16" t="s">
        <v>862</v>
      </c>
      <c r="Q228" s="16" t="s">
        <v>29</v>
      </c>
      <c r="R228" s="16" t="s">
        <v>54</v>
      </c>
      <c r="S228" s="16" t="s">
        <v>107</v>
      </c>
      <c r="T228" s="16" t="s">
        <v>830</v>
      </c>
      <c r="U228" s="109"/>
      <c r="V228" s="126"/>
      <c r="W228" s="109"/>
      <c r="X228" s="109" t="str">
        <f t="array" ref="X228">IF(H228="","",XLOOKUP(H228,CATATANPELAYANAN[[#ALL],[NAMA PASIEN]],CATATANPELAYANAN[[#ALL],[LAYANAN]],"TIDAK CLOSING",0,-1))</f>
        <v>TERAPI AWAL</v>
      </c>
      <c r="Y228" s="109" t="str">
        <f t="shared" si="4"/>
        <v>TIDAK CLOSING</v>
      </c>
      <c r="Z228" s="127"/>
    </row>
    <row r="229" ht="22.5" customHeight="1">
      <c r="A229" s="122"/>
      <c r="B229" s="123">
        <v>45990.0</v>
      </c>
      <c r="C229" s="124" t="str">
        <f t="shared" si="26"/>
        <v>2025</v>
      </c>
      <c r="D229" s="124" t="str">
        <f t="shared" si="27"/>
        <v>11 Nov</v>
      </c>
      <c r="E229" s="124" t="str">
        <f t="shared" si="28"/>
        <v>Sab</v>
      </c>
      <c r="F229" s="16" t="s">
        <v>85</v>
      </c>
      <c r="G229" s="109" t="str">
        <f t="array" ref="G229">IFNA(XLOOKUP(S229,'⚙️ Pengaturan'!$H$5:$H371,'⚙️ Pengaturan'!$I$5:$I371),"")</f>
        <v>TIM Y</v>
      </c>
      <c r="H229" s="109" t="s">
        <v>606</v>
      </c>
      <c r="I229" s="125" t="str">
        <f t="array" ref="I229">ifna(xlookup($H229,'🙎‍♂️ Pasien'!$G$7:$G371,'🙎‍♂️ Pasien'!$H$7:$H371),"")</f>
        <v>D9225112288</v>
      </c>
      <c r="J229" s="125" t="str">
        <f t="array" ref="J229">ifna(xlookup($H229,'🙎‍♂️ Pasien'!$G$7:$G371,'🙎‍♂️ Pasien'!$L$7:$L371),"")</f>
        <v>LAKI-LAKI</v>
      </c>
      <c r="K229" s="125">
        <f t="array" ref="K229">ifna(xlookup($H229,'🙎‍♂️ Pasien'!$G$7:$G371,'🙎‍♂️ Pasien'!$I$7:$I371),"")</f>
        <v>33</v>
      </c>
      <c r="L229" s="125" t="str">
        <f t="array" ref="L229">IFNA(xlookup(H229,'🙎‍♂️ Pasien'!$G$5:$G371,'🙎‍♂️ Pasien'!$J$5:$J371),"")</f>
        <v>25-34 tahun</v>
      </c>
      <c r="M229" s="125" t="str">
        <f t="array" ref="M229">IFNA(xlookup(H229,'🙎‍♂️ Pasien'!$G$5:$G371,'🙎‍♂️ Pasien'!$S$5:$S371),"")</f>
        <v>WIRASWASTA</v>
      </c>
      <c r="N229" s="125" t="str">
        <f t="array" ref="N229">IFNA(XLOOKUP($H229,'🙎‍♂️ Pasien'!$G$7:$G371,'🙎‍♂️ Pasien'!$T$7:$T371),"")</f>
        <v>STROKE SEBELAH KANAN, PEMBENGKAKAN JANTUNG</v>
      </c>
      <c r="O229" s="16" t="s">
        <v>982</v>
      </c>
      <c r="P229" s="16" t="s">
        <v>976</v>
      </c>
      <c r="Q229" s="16" t="s">
        <v>29</v>
      </c>
      <c r="R229" s="16" t="s">
        <v>54</v>
      </c>
      <c r="S229" s="16" t="s">
        <v>88</v>
      </c>
      <c r="T229" s="16" t="s">
        <v>834</v>
      </c>
      <c r="U229" s="109" t="s">
        <v>831</v>
      </c>
      <c r="V229" s="126"/>
      <c r="W229" s="109"/>
      <c r="X229" s="109" t="str">
        <f t="array" ref="X229">IF(H229="","",XLOOKUP(H229,CATATANPELAYANAN[[#ALL],[NAMA PASIEN]],CATATANPELAYANAN[[#ALL],[LAYANAN]],"TIDAK CLOSING",0,-1))</f>
        <v>TERAPI AWAL</v>
      </c>
      <c r="Y229" s="109" t="str">
        <f t="shared" si="4"/>
        <v>TIDAK CLOSING</v>
      </c>
      <c r="Z229" s="127"/>
    </row>
    <row r="230" ht="22.5" customHeight="1">
      <c r="A230" s="122"/>
      <c r="B230" s="123">
        <v>45990.0</v>
      </c>
      <c r="C230" s="124" t="str">
        <f t="shared" si="26"/>
        <v>2025</v>
      </c>
      <c r="D230" s="124" t="str">
        <f t="shared" si="27"/>
        <v>11 Nov</v>
      </c>
      <c r="E230" s="124" t="str">
        <f t="shared" si="28"/>
        <v>Sab</v>
      </c>
      <c r="F230" s="16" t="s">
        <v>85</v>
      </c>
      <c r="G230" s="109" t="str">
        <f t="array" ref="G230">IFNA(XLOOKUP(S230,'⚙️ Pengaturan'!$H$5:$H371,'⚙️ Pengaturan'!$I$5:$I371),"")</f>
        <v>TIM Y</v>
      </c>
      <c r="H230" s="109" t="s">
        <v>607</v>
      </c>
      <c r="I230" s="125" t="str">
        <f t="array" ref="I230">ifna(xlookup($H230,'🙎‍♂️ Pasien'!$G$7:$G371,'🙎‍♂️ Pasien'!$H$7:$H371),"")</f>
        <v>R0325117252</v>
      </c>
      <c r="J230" s="125" t="str">
        <f t="array" ref="J230">ifna(xlookup($H230,'🙎‍♂️ Pasien'!$G$7:$G371,'🙎‍♂️ Pasien'!$L$7:$L371),"")</f>
        <v>LAKI-LAKI</v>
      </c>
      <c r="K230" s="125">
        <f t="array" ref="K230">ifna(xlookup($H230,'🙎‍♂️ Pasien'!$G$7:$G371,'🙎‍♂️ Pasien'!$I$7:$I371),"")</f>
        <v>23</v>
      </c>
      <c r="L230" s="125" t="str">
        <f t="array" ref="L230">IFNA(xlookup(H230,'🙎‍♂️ Pasien'!$G$5:$G371,'🙎‍♂️ Pasien'!$J$5:$J371),"")</f>
        <v>18-24 tahun</v>
      </c>
      <c r="M230" s="125" t="str">
        <f t="array" ref="M230">IFNA(xlookup(H230,'🙎‍♂️ Pasien'!$G$5:$G371,'🙎‍♂️ Pasien'!$S$5:$S371),"")</f>
        <v>BURUH</v>
      </c>
      <c r="N230" s="125" t="str">
        <f t="array" ref="N230">IFNA(XLOOKUP($H230,'🙎‍♂️ Pasien'!$G$7:$G371,'🙎‍♂️ Pasien'!$T$7:$T371),"")</f>
        <v>NYERI PADA LUTUT</v>
      </c>
      <c r="O230" s="16" t="s">
        <v>1040</v>
      </c>
      <c r="P230" s="16" t="s">
        <v>836</v>
      </c>
      <c r="Q230" s="16" t="s">
        <v>29</v>
      </c>
      <c r="R230" s="16" t="s">
        <v>54</v>
      </c>
      <c r="S230" s="16" t="s">
        <v>88</v>
      </c>
      <c r="T230" s="16" t="s">
        <v>834</v>
      </c>
      <c r="U230" s="109" t="s">
        <v>831</v>
      </c>
      <c r="V230" s="126"/>
      <c r="W230" s="109"/>
      <c r="X230" s="109" t="str">
        <f t="array" ref="X230">IF(H230="","",XLOOKUP(H230,CATATANPELAYANAN[[#ALL],[NAMA PASIEN]],CATATANPELAYANAN[[#ALL],[LAYANAN]],"TIDAK CLOSING",0,-1))</f>
        <v>TERAPI AWAL</v>
      </c>
      <c r="Y230" s="109" t="str">
        <f t="shared" si="4"/>
        <v>TIDAK CLOSING</v>
      </c>
      <c r="Z230" s="127"/>
    </row>
    <row r="231" ht="22.5" customHeight="1">
      <c r="A231" s="122"/>
      <c r="B231" s="123">
        <v>45990.0</v>
      </c>
      <c r="C231" s="124" t="str">
        <f t="shared" si="26"/>
        <v>2025</v>
      </c>
      <c r="D231" s="124" t="str">
        <f t="shared" si="27"/>
        <v>11 Nov</v>
      </c>
      <c r="E231" s="124" t="str">
        <f t="shared" si="28"/>
        <v>Sab</v>
      </c>
      <c r="F231" s="16" t="s">
        <v>85</v>
      </c>
      <c r="G231" s="109" t="str">
        <f t="array" ref="G231">IFNA(XLOOKUP(S231,'⚙️ Pengaturan'!$H$5:$H371,'⚙️ Pengaturan'!$I$5:$I371),"")</f>
        <v>TIM A</v>
      </c>
      <c r="H231" s="109" t="s">
        <v>1041</v>
      </c>
      <c r="I231" s="125" t="str">
        <f t="array" ref="I231">ifna(xlookup($H231,'🙎‍♂️ Pasien'!$G$7:$G371,'🙎‍♂️ Pasien'!$H$7:$H371),"")</f>
        <v>D9825113571</v>
      </c>
      <c r="J231" s="125" t="str">
        <f t="array" ref="J231">ifna(xlookup($H231,'🙎‍♂️ Pasien'!$G$7:$G371,'🙎‍♂️ Pasien'!$L$7:$L371),"")</f>
        <v>LAKI-LAKI</v>
      </c>
      <c r="K231" s="125">
        <f t="array" ref="K231">ifna(xlookup($H231,'🙎‍♂️ Pasien'!$G$7:$G371,'🙎‍♂️ Pasien'!$I$7:$I371),"")</f>
        <v>28</v>
      </c>
      <c r="L231" s="125" t="str">
        <f t="array" ref="L231">IFNA(xlookup(H231,'🙎‍♂️ Pasien'!$G$5:$G371,'🙎‍♂️ Pasien'!$J$5:$J371),"")</f>
        <v>25-34 tahun</v>
      </c>
      <c r="M231" s="125" t="str">
        <f t="array" ref="M231">IFNA(xlookup(H231,'🙎‍♂️ Pasien'!$G$5:$G371,'🙎‍♂️ Pasien'!$S$5:$S371),"")</f>
        <v>WIRASWASTA</v>
      </c>
      <c r="N231" s="125" t="str">
        <f t="array" ref="N231">IFNA(XLOOKUP($H231,'🙎‍♂️ Pasien'!$G$7:$G371,'🙎‍♂️ Pasien'!$T$7:$T371),"")</f>
        <v>PINGGUL BELAKANG SERASA KETARIK PADA SAAT BATUK, TIDAK BISA BERDIRI TEGAP. NYERI BELAKANG</v>
      </c>
      <c r="O231" s="16" t="s">
        <v>945</v>
      </c>
      <c r="P231" s="16" t="s">
        <v>826</v>
      </c>
      <c r="Q231" s="16" t="s">
        <v>29</v>
      </c>
      <c r="R231" s="16" t="s">
        <v>86</v>
      </c>
      <c r="S231" s="16" t="s">
        <v>72</v>
      </c>
      <c r="T231" s="16" t="s">
        <v>834</v>
      </c>
      <c r="U231" s="109" t="s">
        <v>831</v>
      </c>
      <c r="V231" s="126"/>
      <c r="W231" s="109"/>
      <c r="X231" s="109" t="str">
        <f t="array" ref="X231">IF(H231="","",XLOOKUP(H231,CATATANPELAYANAN[[#ALL],[NAMA PASIEN]],CATATANPELAYANAN[[#ALL],[LAYANAN]],"TIDAK CLOSING",0,-1))</f>
        <v>TIDAK CLOSING</v>
      </c>
      <c r="Y231" s="109" t="str">
        <f t="shared" si="4"/>
        <v>TIDAK CLOSING</v>
      </c>
      <c r="Z231" s="127"/>
    </row>
    <row r="232" ht="22.5" customHeight="1">
      <c r="A232" s="122"/>
      <c r="B232" s="123">
        <v>45990.0</v>
      </c>
      <c r="C232" s="124" t="str">
        <f t="shared" si="26"/>
        <v>2025</v>
      </c>
      <c r="D232" s="124" t="str">
        <f t="shared" si="27"/>
        <v>11 Nov</v>
      </c>
      <c r="E232" s="124" t="str">
        <f t="shared" si="28"/>
        <v>Sab</v>
      </c>
      <c r="F232" s="16" t="s">
        <v>85</v>
      </c>
      <c r="G232" s="109" t="str">
        <f t="array" ref="G232">IFNA(XLOOKUP(S232,'⚙️ Pengaturan'!$H$5:$H371,'⚙️ Pengaturan'!$I$5:$I371),"")</f>
        <v>TIM Y</v>
      </c>
      <c r="H232" s="109" t="s">
        <v>609</v>
      </c>
      <c r="I232" s="125" t="str">
        <f t="array" ref="I232">ifna(xlookup($H232,'🙎‍♂️ Pasien'!$G$7:$G371,'🙎‍♂️ Pasien'!$H$7:$H371),"")</f>
        <v>A5125112484</v>
      </c>
      <c r="J232" s="125" t="str">
        <f t="array" ref="J232">ifna(xlookup($H232,'🙎‍♂️ Pasien'!$G$7:$G371,'🙎‍♂️ Pasien'!$L$7:$L371),"")</f>
        <v>LAKI-LAKI</v>
      </c>
      <c r="K232" s="125">
        <f t="array" ref="K232">ifna(xlookup($H232,'🙎‍♂️ Pasien'!$G$7:$G371,'🙎‍♂️ Pasien'!$I$7:$I371),"")</f>
        <v>74</v>
      </c>
      <c r="L232" s="125" t="str">
        <f t="array" ref="L232">IFNA(xlookup(H232,'🙎‍♂️ Pasien'!$G$5:$G371,'🙎‍♂️ Pasien'!$J$5:$J371),"")</f>
        <v>&gt; 44 tahun</v>
      </c>
      <c r="M232" s="125" t="str">
        <f t="array" ref="M232">IFNA(xlookup(H232,'🙎‍♂️ Pasien'!$G$5:$G371,'🙎‍♂️ Pasien'!$S$5:$S371),"")</f>
        <v>PETANI</v>
      </c>
      <c r="N232" s="125" t="str">
        <f t="array" ref="N232">IFNA(XLOOKUP($H232,'🙎‍♂️ Pasien'!$G$7:$G371,'🙎‍♂️ Pasien'!$T$7:$T371),"")</f>
        <v>NYERI DARI PAHA SAMPAI TELAPAK KAKI, STOKE SEBELAH KIRI SEJAK DUA BULAN LALU</v>
      </c>
      <c r="O232" s="16" t="s">
        <v>982</v>
      </c>
      <c r="P232" s="16" t="s">
        <v>882</v>
      </c>
      <c r="Q232" s="16" t="s">
        <v>29</v>
      </c>
      <c r="R232" s="16" t="s">
        <v>86</v>
      </c>
      <c r="S232" s="16" t="s">
        <v>56</v>
      </c>
      <c r="T232" s="16" t="s">
        <v>830</v>
      </c>
      <c r="U232" s="109"/>
      <c r="V232" s="126"/>
      <c r="W232" s="109"/>
      <c r="X232" s="109" t="str">
        <f t="array" ref="X232">IF(H232="","",XLOOKUP(H232,CATATANPELAYANAN[[#ALL],[NAMA PASIEN]],CATATANPELAYANAN[[#ALL],[LAYANAN]],"TIDAK CLOSING",0,-1))</f>
        <v>PAKET TERAPI</v>
      </c>
      <c r="Y232" s="109" t="str">
        <f t="shared" si="4"/>
        <v>PAKET</v>
      </c>
      <c r="Z232" s="127"/>
    </row>
    <row r="233" ht="22.5" customHeight="1">
      <c r="A233" s="122"/>
      <c r="B233" s="123">
        <v>45990.0</v>
      </c>
      <c r="C233" s="124" t="str">
        <f t="shared" si="26"/>
        <v>2025</v>
      </c>
      <c r="D233" s="124" t="str">
        <f t="shared" si="27"/>
        <v>11 Nov</v>
      </c>
      <c r="E233" s="124" t="str">
        <f t="shared" si="28"/>
        <v>Sab</v>
      </c>
      <c r="F233" s="16" t="s">
        <v>85</v>
      </c>
      <c r="G233" s="109" t="str">
        <f t="array" ref="G233">IFNA(XLOOKUP(S233,'⚙️ Pengaturan'!$H$5:$H371,'⚙️ Pengaturan'!$I$5:$I371),"")</f>
        <v>TIM A</v>
      </c>
      <c r="H233" s="109" t="s">
        <v>644</v>
      </c>
      <c r="I233" s="125" t="str">
        <f t="array" ref="I233">ifna(xlookup($H233,'🙎‍♂️ Pasien'!$G$7:$G371,'🙎‍♂️ Pasien'!$H$7:$H371),"")</f>
        <v>R5825110969</v>
      </c>
      <c r="J233" s="125" t="str">
        <f t="array" ref="J233">ifna(xlookup($H233,'🙎‍♂️ Pasien'!$G$7:$G371,'🙎‍♂️ Pasien'!$L$7:$L371),"")</f>
        <v>PEREMPUAN</v>
      </c>
      <c r="K233" s="125">
        <f t="array" ref="K233">ifna(xlookup($H233,'🙎‍♂️ Pasien'!$G$7:$G371,'🙎‍♂️ Pasien'!$I$7:$I371),"")</f>
        <v>68</v>
      </c>
      <c r="L233" s="125" t="str">
        <f t="array" ref="L233">IFNA(xlookup(H233,'🙎‍♂️ Pasien'!$G$5:$G371,'🙎‍♂️ Pasien'!$J$5:$J371),"")</f>
        <v>&gt; 44 tahun</v>
      </c>
      <c r="M233" s="125" t="str">
        <f t="array" ref="M233">IFNA(xlookup(H233,'🙎‍♂️ Pasien'!$G$5:$G371,'🙎‍♂️ Pasien'!$S$5:$S371),"")</f>
        <v>RUMAH TANGGA</v>
      </c>
      <c r="N233" s="125" t="str">
        <f t="array" ref="N233">IFNA(XLOOKUP($H233,'🙎‍♂️ Pasien'!$G$7:$G371,'🙎‍♂️ Pasien'!$T$7:$T371),"")</f>
        <v>TANGAN SEBELAH KANAN DARI BAHU SAKIT DAN SAKIT JIKA DIANGKAT HAMPIR 1 BULANAN</v>
      </c>
      <c r="O233" s="16" t="s">
        <v>843</v>
      </c>
      <c r="P233" s="16" t="s">
        <v>839</v>
      </c>
      <c r="Q233" s="16" t="s">
        <v>29</v>
      </c>
      <c r="R233" s="16" t="s">
        <v>86</v>
      </c>
      <c r="S233" s="16" t="s">
        <v>79</v>
      </c>
      <c r="T233" s="16" t="s">
        <v>827</v>
      </c>
      <c r="U233" s="109"/>
      <c r="V233" s="126"/>
      <c r="W233" s="109"/>
      <c r="X233" s="109" t="str">
        <f t="array" ref="X233">IF(H233="","",XLOOKUP(H233,CATATANPELAYANAN[[#ALL],[NAMA PASIEN]],CATATANPELAYANAN[[#ALL],[LAYANAN]],"TIDAK CLOSING",0,-1))</f>
        <v>SESI TERAPI</v>
      </c>
      <c r="Y233" s="109" t="str">
        <f t="shared" si="4"/>
        <v>SESI</v>
      </c>
      <c r="Z233" s="127"/>
    </row>
    <row r="234" ht="22.5" customHeight="1">
      <c r="A234" s="122"/>
      <c r="B234" s="123">
        <v>45991.0</v>
      </c>
      <c r="C234" s="124" t="str">
        <f t="shared" si="26"/>
        <v>2025</v>
      </c>
      <c r="D234" s="124" t="str">
        <f t="shared" si="27"/>
        <v>11 Nov</v>
      </c>
      <c r="E234" s="124" t="str">
        <f t="shared" si="28"/>
        <v>Min</v>
      </c>
      <c r="F234" s="16" t="s">
        <v>53</v>
      </c>
      <c r="G234" s="109" t="str">
        <f t="array" ref="G234">IFNA(XLOOKUP(S234,'⚙️ Pengaturan'!$H$5:$H371,'⚙️ Pengaturan'!$I$5:$I371),"")</f>
        <v>TIM Y</v>
      </c>
      <c r="H234" s="109" t="s">
        <v>613</v>
      </c>
      <c r="I234" s="125" t="str">
        <f t="array" ref="I234">ifna(xlookup($H234,'🙎‍♂️ Pasien'!$G$7:$G371,'🙎‍♂️ Pasien'!$H$7:$H371),"")</f>
        <v>A9625081247</v>
      </c>
      <c r="J234" s="125" t="str">
        <f t="array" ref="J234">ifna(xlookup($H234,'🙎‍♂️ Pasien'!$G$7:$G371,'🙎‍♂️ Pasien'!$L$7:$L371),"")</f>
        <v>LAKI-LAKI</v>
      </c>
      <c r="K234" s="125">
        <f t="array" ref="K234">ifna(xlookup($H234,'🙎‍♂️ Pasien'!$G$7:$G371,'🙎‍♂️ Pasien'!$I$7:$I371),"")</f>
        <v>30</v>
      </c>
      <c r="L234" s="125" t="str">
        <f t="array" ref="L234">IFNA(xlookup(H234,'🙎‍♂️ Pasien'!$G$5:$G371,'🙎‍♂️ Pasien'!$J$5:$J371),"")</f>
        <v>25-34 tahun</v>
      </c>
      <c r="M234" s="125" t="str">
        <f t="array" ref="M234">IFNA(xlookup(H234,'🙎‍♂️ Pasien'!$G$5:$G371,'🙎‍♂️ Pasien'!$S$5:$S371),"")</f>
        <v>PPPK</v>
      </c>
      <c r="N234" s="125" t="str">
        <f t="array" ref="N234">IFNA(XLOOKUP($H234,'🙎‍♂️ Pasien'!$G$7:$G371,'🙎‍♂️ Pasien'!$T$7:$T371),"")</f>
        <v>LUTUT BENGKAK, MENISCUS</v>
      </c>
      <c r="O234" s="16" t="s">
        <v>910</v>
      </c>
      <c r="P234" s="16" t="s">
        <v>836</v>
      </c>
      <c r="Q234" s="16" t="s">
        <v>28</v>
      </c>
      <c r="R234" s="16" t="s">
        <v>86</v>
      </c>
      <c r="S234" s="16" t="s">
        <v>56</v>
      </c>
      <c r="T234" s="16" t="s">
        <v>830</v>
      </c>
      <c r="U234" s="109"/>
      <c r="V234" s="126"/>
      <c r="W234" s="109"/>
      <c r="X234" s="109" t="str">
        <f t="array" ref="X234">IF(H234="","",XLOOKUP(H234,CATATANPELAYANAN[[#ALL],[NAMA PASIEN]],CATATANPELAYANAN[[#ALL],[LAYANAN]],"TIDAK CLOSING",0,-1))</f>
        <v>PAKET TERAPI</v>
      </c>
      <c r="Y234" s="109" t="str">
        <f t="shared" si="4"/>
        <v>PAKET</v>
      </c>
      <c r="Z234" s="127"/>
    </row>
    <row r="235" ht="22.5" customHeight="1">
      <c r="A235" s="122"/>
      <c r="B235" s="123">
        <v>45991.0</v>
      </c>
      <c r="C235" s="124" t="str">
        <f t="shared" si="26"/>
        <v>2025</v>
      </c>
      <c r="D235" s="124" t="str">
        <f t="shared" si="27"/>
        <v>11 Nov</v>
      </c>
      <c r="E235" s="124" t="str">
        <f t="shared" si="28"/>
        <v>Min</v>
      </c>
      <c r="F235" s="16" t="s">
        <v>53</v>
      </c>
      <c r="G235" s="109" t="str">
        <f t="array" ref="G235">IFNA(XLOOKUP(S235,'⚙️ Pengaturan'!$H$5:$H371,'⚙️ Pengaturan'!$I$5:$I371),"")</f>
        <v>TIM A</v>
      </c>
      <c r="H235" s="109" t="s">
        <v>1042</v>
      </c>
      <c r="I235" s="125" t="str">
        <f t="array" ref="I235">ifna(xlookup($H235,'🙎‍♂️ Pasien'!$G$7:$G371,'🙎‍♂️ Pasien'!$H$7:$H371),"")</f>
        <v>S6623051013</v>
      </c>
      <c r="J235" s="125" t="str">
        <f t="array" ref="J235">ifna(xlookup($H235,'🙎‍♂️ Pasien'!$G$7:$G371,'🙎‍♂️ Pasien'!$L$7:$L371),"")</f>
        <v>LAKI-LAKI</v>
      </c>
      <c r="K235" s="125">
        <f t="array" ref="K235">ifna(xlookup($H235,'🙎‍♂️ Pasien'!$G$7:$G371,'🙎‍♂️ Pasien'!$I$7:$I371),"")</f>
        <v>59</v>
      </c>
      <c r="L235" s="125" t="str">
        <f t="array" ref="L235">IFNA(xlookup(H235,'🙎‍♂️ Pasien'!$G$5:$G371,'🙎‍♂️ Pasien'!$J$5:$J371),"")</f>
        <v>&gt; 44 tahun</v>
      </c>
      <c r="M235" s="125" t="str">
        <f t="array" ref="M235">IFNA(xlookup(H235,'🙎‍♂️ Pasien'!$G$5:$G371,'🙎‍♂️ Pasien'!$S$5:$S371),"")</f>
        <v>SWASTA</v>
      </c>
      <c r="N235" s="125" t="str">
        <f t="array" ref="N235">IFNA(XLOOKUP($H235,'🙎‍♂️ Pasien'!$G$7:$G371,'🙎‍♂️ Pasien'!$T$7:$T371),"")</f>
        <v>LETIH, KAKI SEPERTI PINCANG SAAT BERJALAN</v>
      </c>
      <c r="O235" s="16" t="s">
        <v>861</v>
      </c>
      <c r="P235" s="16" t="s">
        <v>851</v>
      </c>
      <c r="Q235" s="16" t="s">
        <v>28</v>
      </c>
      <c r="R235" s="16" t="s">
        <v>86</v>
      </c>
      <c r="S235" s="16" t="s">
        <v>72</v>
      </c>
      <c r="T235" s="16" t="s">
        <v>834</v>
      </c>
      <c r="U235" s="109" t="s">
        <v>920</v>
      </c>
      <c r="V235" s="126"/>
      <c r="W235" s="109"/>
      <c r="X235" s="109" t="str">
        <f t="array" ref="X235">IF(H235="","",XLOOKUP(H235,CATATANPELAYANAN[[#ALL],[NAMA PASIEN]],CATATANPELAYANAN[[#ALL],[LAYANAN]],"TIDAK CLOSING",0,-1))</f>
        <v>TIDAK CLOSING</v>
      </c>
      <c r="Y235" s="109" t="str">
        <f t="shared" si="4"/>
        <v>TIDAK CLOSING</v>
      </c>
      <c r="Z235" s="127"/>
    </row>
    <row r="236" ht="22.5" customHeight="1">
      <c r="A236" s="122"/>
      <c r="B236" s="123">
        <v>45991.0</v>
      </c>
      <c r="C236" s="124" t="str">
        <f t="shared" si="26"/>
        <v>2025</v>
      </c>
      <c r="D236" s="124" t="str">
        <f t="shared" si="27"/>
        <v>11 Nov</v>
      </c>
      <c r="E236" s="124" t="str">
        <f t="shared" si="28"/>
        <v>Min</v>
      </c>
      <c r="F236" s="16" t="s">
        <v>53</v>
      </c>
      <c r="G236" s="109" t="str">
        <f t="array" ref="G236">IFNA(XLOOKUP(S236,'⚙️ Pengaturan'!$H$5:$H371,'⚙️ Pengaturan'!$I$5:$I371),"")</f>
        <v>TIM A</v>
      </c>
      <c r="H236" s="109" t="s">
        <v>615</v>
      </c>
      <c r="I236" s="125" t="str">
        <f t="array" ref="I236">ifna(xlookup($H236,'🙎‍♂️ Pasien'!$G$7:$G371,'🙎‍♂️ Pasien'!$H$7:$H371),"")</f>
        <v>W9625114960</v>
      </c>
      <c r="J236" s="125" t="str">
        <f t="array" ref="J236">ifna(xlookup($H236,'🙎‍♂️ Pasien'!$G$7:$G371,'🙎‍♂️ Pasien'!$L$7:$L371),"")</f>
        <v>LAKI-LAKI</v>
      </c>
      <c r="K236" s="125">
        <f t="array" ref="K236">ifna(xlookup($H236,'🙎‍♂️ Pasien'!$G$7:$G371,'🙎‍♂️ Pasien'!$I$7:$I371),"")</f>
        <v>30</v>
      </c>
      <c r="L236" s="125" t="str">
        <f t="array" ref="L236">IFNA(xlookup(H236,'🙎‍♂️ Pasien'!$G$5:$G371,'🙎‍♂️ Pasien'!$J$5:$J371),"")</f>
        <v>25-34 tahun</v>
      </c>
      <c r="M236" s="125" t="str">
        <f t="array" ref="M236">IFNA(xlookup(H236,'🙎‍♂️ Pasien'!$G$5:$G371,'🙎‍♂️ Pasien'!$S$5:$S371),"")</f>
        <v>ARSITEK</v>
      </c>
      <c r="N236" s="125" t="str">
        <f t="array" ref="N236">IFNA(XLOOKUP($H236,'🙎‍♂️ Pasien'!$G$7:$G371,'🙎‍♂️ Pasien'!$T$7:$T371),"")</f>
        <v>SAKIT TULANG BELAKANG AREA PINGGANG</v>
      </c>
      <c r="O236" s="16" t="s">
        <v>926</v>
      </c>
      <c r="P236" s="16" t="s">
        <v>826</v>
      </c>
      <c r="Q236" s="16" t="s">
        <v>29</v>
      </c>
      <c r="R236" s="16" t="s">
        <v>86</v>
      </c>
      <c r="S236" s="16" t="s">
        <v>62</v>
      </c>
      <c r="T236" s="16" t="s">
        <v>827</v>
      </c>
      <c r="U236" s="109"/>
      <c r="V236" s="126"/>
      <c r="W236" s="109"/>
      <c r="X236" s="109" t="str">
        <f t="array" ref="X236">IF(H236="","",XLOOKUP(H236,CATATANPELAYANAN[[#ALL],[NAMA PASIEN]],CATATANPELAYANAN[[#ALL],[LAYANAN]],"TIDAK CLOSING",0,-1))</f>
        <v>SESI TERAPI</v>
      </c>
      <c r="Y236" s="109" t="str">
        <f t="shared" si="4"/>
        <v>SESI</v>
      </c>
      <c r="Z236" s="127"/>
    </row>
    <row r="237" ht="22.5" customHeight="1">
      <c r="A237" s="122"/>
      <c r="B237" s="123">
        <v>45991.0</v>
      </c>
      <c r="C237" s="124" t="str">
        <f t="shared" si="26"/>
        <v>2025</v>
      </c>
      <c r="D237" s="124" t="str">
        <f t="shared" si="27"/>
        <v>11 Nov</v>
      </c>
      <c r="E237" s="124" t="str">
        <f t="shared" si="28"/>
        <v>Min</v>
      </c>
      <c r="F237" s="16" t="s">
        <v>85</v>
      </c>
      <c r="G237" s="109" t="str">
        <f t="array" ref="G237">IFNA(XLOOKUP(S237,'⚙️ Pengaturan'!$H$5:$H371,'⚙️ Pengaturan'!$I$5:$I371),"")</f>
        <v>TIM Y</v>
      </c>
      <c r="H237" s="109" t="s">
        <v>616</v>
      </c>
      <c r="I237" s="125" t="str">
        <f t="array" ref="I237">ifna(xlookup($H237,'🙎‍♂️ Pasien'!$G$7:$G371,'🙎‍♂️ Pasien'!$H$7:$H371),"")</f>
        <v>R6725050750</v>
      </c>
      <c r="J237" s="125" t="str">
        <f t="array" ref="J237">ifna(xlookup($H237,'🙎‍♂️ Pasien'!$G$7:$G371,'🙎‍♂️ Pasien'!$L$7:$L371),"")</f>
        <v>PEREMPUAN</v>
      </c>
      <c r="K237" s="125">
        <f t="array" ref="K237">ifna(xlookup($H237,'🙎‍♂️ Pasien'!$G$7:$G371,'🙎‍♂️ Pasien'!$I$7:$I371),"")</f>
        <v>58</v>
      </c>
      <c r="L237" s="125" t="str">
        <f t="array" ref="L237">IFNA(xlookup(H237,'🙎‍♂️ Pasien'!$G$5:$G371,'🙎‍♂️ Pasien'!$J$5:$J371),"")</f>
        <v>&gt; 44 tahun</v>
      </c>
      <c r="M237" s="125" t="str">
        <f t="array" ref="M237">IFNA(xlookup(H237,'🙎‍♂️ Pasien'!$G$5:$G371,'🙎‍♂️ Pasien'!$S$5:$S371),"")</f>
        <v>PNS</v>
      </c>
      <c r="N237" s="125" t="str">
        <f t="array" ref="N237">IFNA(XLOOKUP($H237,'🙎‍♂️ Pasien'!$G$7:$G371,'🙎‍♂️ Pasien'!$T$7:$T371),"")</f>
        <v>CTS</v>
      </c>
      <c r="O237" s="16" t="s">
        <v>927</v>
      </c>
      <c r="P237" s="16" t="s">
        <v>866</v>
      </c>
      <c r="Q237" s="16" t="s">
        <v>28</v>
      </c>
      <c r="R237" s="16" t="s">
        <v>86</v>
      </c>
      <c r="S237" s="16" t="s">
        <v>107</v>
      </c>
      <c r="T237" s="16" t="s">
        <v>830</v>
      </c>
      <c r="U237" s="109" t="s">
        <v>949</v>
      </c>
      <c r="V237" s="126"/>
      <c r="W237" s="109"/>
      <c r="X237" s="109" t="str">
        <f t="array" ref="X237">IF(H237="","",XLOOKUP(H237,CATATANPELAYANAN[[#ALL],[NAMA PASIEN]],CATATANPELAYANAN[[#ALL],[LAYANAN]],"TIDAK CLOSING",0,-1))</f>
        <v>PAKET TERAPI</v>
      </c>
      <c r="Y237" s="109" t="str">
        <f t="shared" si="4"/>
        <v>PAKET</v>
      </c>
      <c r="Z237" s="127"/>
    </row>
    <row r="238" ht="22.5" customHeight="1">
      <c r="A238" s="122"/>
      <c r="B238" s="123">
        <v>45991.0</v>
      </c>
      <c r="C238" s="124" t="str">
        <f t="shared" si="26"/>
        <v>2025</v>
      </c>
      <c r="D238" s="124" t="str">
        <f t="shared" si="27"/>
        <v>11 Nov</v>
      </c>
      <c r="E238" s="124" t="str">
        <f t="shared" si="28"/>
        <v>Min</v>
      </c>
      <c r="F238" s="16" t="s">
        <v>85</v>
      </c>
      <c r="G238" s="109" t="str">
        <f t="array" ref="G238">IFNA(XLOOKUP(S238,'⚙️ Pengaturan'!$H$5:$H371,'⚙️ Pengaturan'!$I$5:$I371),"")</f>
        <v>TIM Y</v>
      </c>
      <c r="H238" s="109" t="s">
        <v>618</v>
      </c>
      <c r="I238" s="125" t="str">
        <f t="array" ref="I238">ifna(xlookup($H238,'🙎‍♂️ Pasien'!$G$7:$G371,'🙎‍♂️ Pasien'!$H$7:$H371),"")</f>
        <v>Y8625113524</v>
      </c>
      <c r="J238" s="125" t="str">
        <f t="array" ref="J238">ifna(xlookup($H238,'🙎‍♂️ Pasien'!$G$7:$G371,'🙎‍♂️ Pasien'!$L$7:$L371),"")</f>
        <v>PEREMPUAN</v>
      </c>
      <c r="K238" s="125">
        <f t="array" ref="K238">ifna(xlookup($H238,'🙎‍♂️ Pasien'!$G$7:$G371,'🙎‍♂️ Pasien'!$I$7:$I371),"")</f>
        <v>39</v>
      </c>
      <c r="L238" s="125" t="str">
        <f t="array" ref="L238">IFNA(xlookup(H238,'🙎‍♂️ Pasien'!$G$5:$G371,'🙎‍♂️ Pasien'!$J$5:$J371),"")</f>
        <v>35-44 tahun</v>
      </c>
      <c r="M238" s="125" t="str">
        <f t="array" ref="M238">IFNA(xlookup(H238,'🙎‍♂️ Pasien'!$G$5:$G371,'🙎‍♂️ Pasien'!$S$5:$S371),"")</f>
        <v>KARYAWAN SWASTA</v>
      </c>
      <c r="N238" s="125" t="str">
        <f t="array" ref="N238">IFNA(XLOOKUP($H238,'🙎‍♂️ Pasien'!$G$7:$G371,'🙎‍♂️ Pasien'!$T$7:$T371),"")</f>
        <v>TANGAN KANAN NYERI</v>
      </c>
      <c r="O238" s="16" t="s">
        <v>885</v>
      </c>
      <c r="P238" s="16" t="s">
        <v>869</v>
      </c>
      <c r="Q238" s="16" t="s">
        <v>29</v>
      </c>
      <c r="R238" s="16" t="s">
        <v>86</v>
      </c>
      <c r="S238" s="16" t="s">
        <v>91</v>
      </c>
      <c r="T238" s="16" t="s">
        <v>834</v>
      </c>
      <c r="U238" s="109" t="s">
        <v>948</v>
      </c>
      <c r="V238" s="126"/>
      <c r="W238" s="109"/>
      <c r="X238" s="109" t="str">
        <f t="array" ref="X238">IF(H238="","",XLOOKUP(H238,CATATANPELAYANAN[[#ALL],[NAMA PASIEN]],CATATANPELAYANAN[[#ALL],[LAYANAN]],"TIDAK CLOSING",0,-1))</f>
        <v>TERAPI AWAL</v>
      </c>
      <c r="Y238" s="109" t="str">
        <f t="shared" si="4"/>
        <v>TIDAK CLOSING</v>
      </c>
      <c r="Z238" s="127"/>
    </row>
    <row r="239" ht="22.5" customHeight="1">
      <c r="A239" s="122"/>
      <c r="B239" s="123">
        <v>45992.0</v>
      </c>
      <c r="C239" s="124" t="str">
        <f t="shared" si="26"/>
        <v>2025</v>
      </c>
      <c r="D239" s="124" t="str">
        <f t="shared" si="27"/>
        <v>12 Des</v>
      </c>
      <c r="E239" s="124" t="str">
        <f t="shared" si="28"/>
        <v>Sen</v>
      </c>
      <c r="F239" s="16" t="s">
        <v>53</v>
      </c>
      <c r="G239" s="109" t="str">
        <f t="array" ref="G239">IFNA(XLOOKUP(S239,'⚙️ Pengaturan'!$H$5:$H371,'⚙️ Pengaturan'!$I$5:$I371),"")</f>
        <v>TIM Y</v>
      </c>
      <c r="H239" s="109" t="s">
        <v>619</v>
      </c>
      <c r="I239" s="125" t="str">
        <f t="array" ref="I239">ifna(xlookup($H239,'🙎‍♂️ Pasien'!$G$7:$G371,'🙎‍♂️ Pasien'!$H$7:$H371),"")</f>
        <v>B0525015519</v>
      </c>
      <c r="J239" s="125" t="str">
        <f t="array" ref="J239">ifna(xlookup($H239,'🙎‍♂️ Pasien'!$G$7:$G371,'🙎‍♂️ Pasien'!$L$7:$L371),"")</f>
        <v>LAKI-LAKI</v>
      </c>
      <c r="K239" s="125">
        <f t="array" ref="K239">ifna(xlookup($H239,'🙎‍♂️ Pasien'!$G$7:$G371,'🙎‍♂️ Pasien'!$I$7:$I371),"")</f>
        <v>20</v>
      </c>
      <c r="L239" s="125" t="str">
        <f t="array" ref="L239">IFNA(xlookup(H239,'🙎‍♂️ Pasien'!$G$5:$G371,'🙎‍♂️ Pasien'!$J$5:$J371),"")</f>
        <v>18-24 tahun</v>
      </c>
      <c r="M239" s="125" t="str">
        <f t="array" ref="M239">IFNA(xlookup(H239,'🙎‍♂️ Pasien'!$G$5:$G371,'🙎‍♂️ Pasien'!$S$5:$S371),"")</f>
        <v>PELAJAR/MAHASISWA</v>
      </c>
      <c r="N239" s="125" t="str">
        <f t="array" ref="N239">IFNA(XLOOKUP($H239,'🙎‍♂️ Pasien'!$G$7:$G371,'🙎‍♂️ Pasien'!$T$7:$T371),"")</f>
        <v>SAKIT DI AREA ENGKEL (KAKI BAGIAN KANAN)</v>
      </c>
      <c r="O239" s="16" t="s">
        <v>1004</v>
      </c>
      <c r="P239" s="16" t="s">
        <v>845</v>
      </c>
      <c r="Q239" s="16" t="s">
        <v>28</v>
      </c>
      <c r="R239" s="16" t="s">
        <v>54</v>
      </c>
      <c r="S239" s="16" t="s">
        <v>88</v>
      </c>
      <c r="T239" s="16" t="s">
        <v>830</v>
      </c>
      <c r="U239" s="109"/>
      <c r="V239" s="126"/>
      <c r="W239" s="109"/>
      <c r="X239" s="109" t="str">
        <f t="array" ref="X239">IF(H239="","",XLOOKUP(H239,CATATANPELAYANAN[[#ALL],[NAMA PASIEN]],CATATANPELAYANAN[[#ALL],[LAYANAN]],"TIDAK CLOSING",0,-1))</f>
        <v>PAKET TERAPI</v>
      </c>
      <c r="Y239" s="109" t="str">
        <f t="shared" si="4"/>
        <v>PAKET</v>
      </c>
      <c r="Z239" s="127"/>
    </row>
    <row r="240" ht="22.5" customHeight="1">
      <c r="A240" s="122"/>
      <c r="B240" s="123">
        <v>45992.0</v>
      </c>
      <c r="C240" s="124" t="str">
        <f t="shared" si="26"/>
        <v>2025</v>
      </c>
      <c r="D240" s="124" t="str">
        <f t="shared" si="27"/>
        <v>12 Des</v>
      </c>
      <c r="E240" s="124" t="str">
        <f t="shared" si="28"/>
        <v>Sen</v>
      </c>
      <c r="F240" s="16" t="s">
        <v>53</v>
      </c>
      <c r="G240" s="109" t="str">
        <f t="array" ref="G240">IFNA(XLOOKUP(S240,'⚙️ Pengaturan'!$H$5:$H371,'⚙️ Pengaturan'!$I$5:$I371),"")</f>
        <v>TIM Y</v>
      </c>
      <c r="H240" s="109" t="s">
        <v>621</v>
      </c>
      <c r="I240" s="125" t="str">
        <f t="array" ref="I240">ifna(xlookup($H240,'🙎‍♂️ Pasien'!$G$7:$G371,'🙎‍♂️ Pasien'!$H$7:$H371),"")</f>
        <v>N0725085070</v>
      </c>
      <c r="J240" s="125" t="str">
        <f t="array" ref="J240">ifna(xlookup($H240,'🙎‍♂️ Pasien'!$G$7:$G371,'🙎‍♂️ Pasien'!$L$7:$L371),"")</f>
        <v>PEREMPUAN</v>
      </c>
      <c r="K240" s="125">
        <f t="array" ref="K240">ifna(xlookup($H240,'🙎‍♂️ Pasien'!$G$7:$G371,'🙎‍♂️ Pasien'!$I$7:$I371),"")</f>
        <v>18</v>
      </c>
      <c r="L240" s="125" t="str">
        <f t="array" ref="L240">IFNA(xlookup(H240,'🙎‍♂️ Pasien'!$G$5:$G371,'🙎‍♂️ Pasien'!$J$5:$J371),"")</f>
        <v>&lt; 18 tahun</v>
      </c>
      <c r="M240" s="125" t="str">
        <f t="array" ref="M240">IFNA(xlookup(H240,'🙎‍♂️ Pasien'!$G$5:$G371,'🙎‍♂️ Pasien'!$S$5:$S371),"")</f>
        <v>PELAJAR</v>
      </c>
      <c r="N240" s="125" t="str">
        <f t="array" ref="N240">IFNA(XLOOKUP($H240,'🙎‍♂️ Pasien'!$G$7:$G371,'🙎‍♂️ Pasien'!$T$7:$T371),"")</f>
        <v>SKOLIOSIS</v>
      </c>
      <c r="O240" s="16" t="s">
        <v>847</v>
      </c>
      <c r="P240" s="16" t="s">
        <v>826</v>
      </c>
      <c r="Q240" s="16" t="s">
        <v>28</v>
      </c>
      <c r="R240" s="16" t="s">
        <v>54</v>
      </c>
      <c r="S240" s="16" t="s">
        <v>91</v>
      </c>
      <c r="T240" s="16" t="s">
        <v>827</v>
      </c>
      <c r="U240" s="109"/>
      <c r="V240" s="126"/>
      <c r="W240" s="109"/>
      <c r="X240" s="109" t="str">
        <f t="array" ref="X240">IF(H240="","",XLOOKUP(H240,CATATANPELAYANAN[[#ALL],[NAMA PASIEN]],CATATANPELAYANAN[[#ALL],[LAYANAN]],"TIDAK CLOSING",0,-1))</f>
        <v>SESI TERAPI</v>
      </c>
      <c r="Y240" s="109" t="str">
        <f t="shared" si="4"/>
        <v>SESI</v>
      </c>
      <c r="Z240" s="127"/>
    </row>
    <row r="241" ht="22.5" customHeight="1">
      <c r="A241" s="122"/>
      <c r="B241" s="123">
        <v>45992.0</v>
      </c>
      <c r="C241" s="124" t="str">
        <f t="shared" si="26"/>
        <v>2025</v>
      </c>
      <c r="D241" s="124" t="str">
        <f t="shared" si="27"/>
        <v>12 Des</v>
      </c>
      <c r="E241" s="124" t="str">
        <f t="shared" si="28"/>
        <v>Sen</v>
      </c>
      <c r="F241" s="16" t="s">
        <v>53</v>
      </c>
      <c r="G241" s="109" t="str">
        <f t="array" ref="G241">IFNA(XLOOKUP(S241,'⚙️ Pengaturan'!$H$5:$H371,'⚙️ Pengaturan'!$I$5:$I371),"")</f>
        <v>TIM Y</v>
      </c>
      <c r="H241" s="109" t="s">
        <v>623</v>
      </c>
      <c r="I241" s="125" t="str">
        <f t="array" ref="I241">ifna(xlookup($H241,'🙎‍♂️ Pasien'!$G$7:$G371,'🙎‍♂️ Pasien'!$H$7:$H371),"")</f>
        <v>E9225127347</v>
      </c>
      <c r="J241" s="125" t="str">
        <f t="array" ref="J241">ifna(xlookup($H241,'🙎‍♂️ Pasien'!$G$7:$G371,'🙎‍♂️ Pasien'!$L$7:$L371),"")</f>
        <v>PEREMPUAN</v>
      </c>
      <c r="K241" s="125">
        <f t="array" ref="K241">ifna(xlookup($H241,'🙎‍♂️ Pasien'!$G$7:$G371,'🙎‍♂️ Pasien'!$I$7:$I371),"")</f>
        <v>34</v>
      </c>
      <c r="L241" s="125" t="str">
        <f t="array" ref="L241">IFNA(xlookup(H241,'🙎‍♂️ Pasien'!$G$5:$G371,'🙎‍♂️ Pasien'!$J$5:$J371),"")</f>
        <v>25-34 tahun</v>
      </c>
      <c r="M241" s="125" t="str">
        <f t="array" ref="M241">IFNA(xlookup(H241,'🙎‍♂️ Pasien'!$G$5:$G371,'🙎‍♂️ Pasien'!$S$5:$S371),"")</f>
        <v>P3K</v>
      </c>
      <c r="N241" s="125" t="str">
        <f t="array" ref="N241">IFNA(XLOOKUP($H241,'🙎‍♂️ Pasien'!$G$7:$G371,'🙎‍♂️ Pasien'!$T$7:$T371),"")</f>
        <v>NYERI SENDI KAKI LUTUT TANGAN</v>
      </c>
      <c r="O241" s="16" t="s">
        <v>871</v>
      </c>
      <c r="P241" s="16" t="s">
        <v>862</v>
      </c>
      <c r="Q241" s="16" t="s">
        <v>29</v>
      </c>
      <c r="R241" s="16" t="s">
        <v>54</v>
      </c>
      <c r="S241" s="16" t="s">
        <v>91</v>
      </c>
      <c r="T241" s="16" t="s">
        <v>827</v>
      </c>
      <c r="U241" s="109"/>
      <c r="V241" s="126"/>
      <c r="W241" s="109"/>
      <c r="X241" s="109" t="str">
        <f t="array" ref="X241">IF(H241="","",XLOOKUP(H241,CATATANPELAYANAN[[#ALL],[NAMA PASIEN]],CATATANPELAYANAN[[#ALL],[LAYANAN]],"TIDAK CLOSING",0,-1))</f>
        <v>SESI TERAPI</v>
      </c>
      <c r="Y241" s="109" t="str">
        <f t="shared" si="4"/>
        <v>SESI</v>
      </c>
      <c r="Z241" s="127"/>
    </row>
    <row r="242" ht="22.5" customHeight="1">
      <c r="A242" s="122"/>
      <c r="B242" s="123">
        <v>45992.0</v>
      </c>
      <c r="C242" s="124" t="str">
        <f t="shared" si="26"/>
        <v>2025</v>
      </c>
      <c r="D242" s="124" t="str">
        <f t="shared" si="27"/>
        <v>12 Des</v>
      </c>
      <c r="E242" s="124" t="str">
        <f t="shared" si="28"/>
        <v>Sen</v>
      </c>
      <c r="F242" s="16" t="s">
        <v>53</v>
      </c>
      <c r="G242" s="109" t="str">
        <f t="array" ref="G242">IFNA(XLOOKUP(S242,'⚙️ Pengaturan'!$H$5:$H371,'⚙️ Pengaturan'!$I$5:$I371),"")</f>
        <v>TIM Y</v>
      </c>
      <c r="H242" s="109" t="s">
        <v>622</v>
      </c>
      <c r="I242" s="125" t="str">
        <f t="array" ref="I242">ifna(xlookup($H242,'🙎‍♂️ Pasien'!$G$7:$G371,'🙎‍♂️ Pasien'!$H$7:$H371),"")</f>
        <v>S2525120816</v>
      </c>
      <c r="J242" s="125" t="str">
        <f t="array" ref="J242">ifna(xlookup($H242,'🙎‍♂️ Pasien'!$G$7:$G371,'🙎‍♂️ Pasien'!$L$7:$L371),"")</f>
        <v>PEREMPUAN</v>
      </c>
      <c r="K242" s="125">
        <f t="array" ref="K242">ifna(xlookup($H242,'🙎‍♂️ Pasien'!$G$7:$G371,'🙎‍♂️ Pasien'!$I$7:$I371),"")</f>
        <v>0</v>
      </c>
      <c r="L242" s="125" t="str">
        <f t="array" ref="L242">IFNA(xlookup(H242,'🙎‍♂️ Pasien'!$G$5:$G371,'🙎‍♂️ Pasien'!$J$5:$J371),"")</f>
        <v>&lt; 18 tahun</v>
      </c>
      <c r="M242" s="125" t="str">
        <f t="array" ref="M242">IFNA(xlookup(H242,'🙎‍♂️ Pasien'!$G$5:$G371,'🙎‍♂️ Pasien'!$S$5:$S371),"")</f>
        <v>IRT</v>
      </c>
      <c r="N242" s="125" t="str">
        <f t="array" ref="N242">IFNA(XLOOKUP($H242,'🙎‍♂️ Pasien'!$G$7:$G371,'🙎‍♂️ Pasien'!$T$7:$T371),"")</f>
        <v>PUNDAK,PANGGUL PEGAL</v>
      </c>
      <c r="O242" s="16" t="s">
        <v>828</v>
      </c>
      <c r="P242" s="16" t="s">
        <v>869</v>
      </c>
      <c r="Q242" s="16" t="s">
        <v>29</v>
      </c>
      <c r="R242" s="16" t="s">
        <v>54</v>
      </c>
      <c r="S242" s="16" t="s">
        <v>91</v>
      </c>
      <c r="T242" s="16" t="s">
        <v>834</v>
      </c>
      <c r="U242" s="109" t="s">
        <v>1043</v>
      </c>
      <c r="V242" s="126"/>
      <c r="W242" s="109"/>
      <c r="X242" s="109" t="str">
        <f t="array" ref="X242">IF(H242="","",XLOOKUP(H242,CATATANPELAYANAN[[#ALL],[NAMA PASIEN]],CATATANPELAYANAN[[#ALL],[LAYANAN]],"TIDAK CLOSING",0,-1))</f>
        <v>TERAPI AWAL</v>
      </c>
      <c r="Y242" s="109" t="str">
        <f t="shared" si="4"/>
        <v>TIDAK CLOSING</v>
      </c>
      <c r="Z242" s="127"/>
    </row>
    <row r="243" ht="22.5" customHeight="1">
      <c r="A243" s="122"/>
      <c r="B243" s="123">
        <v>45992.0</v>
      </c>
      <c r="C243" s="124" t="str">
        <f t="shared" si="26"/>
        <v>2025</v>
      </c>
      <c r="D243" s="124" t="str">
        <f t="shared" si="27"/>
        <v>12 Des</v>
      </c>
      <c r="E243" s="124" t="str">
        <f t="shared" si="28"/>
        <v>Sen</v>
      </c>
      <c r="F243" s="16" t="s">
        <v>53</v>
      </c>
      <c r="G243" s="109" t="str">
        <f t="array" ref="G243">IFNA(XLOOKUP(S243,'⚙️ Pengaturan'!$H$5:$H371,'⚙️ Pengaturan'!$I$5:$I371),"")</f>
        <v>TIM A</v>
      </c>
      <c r="H243" s="109" t="s">
        <v>626</v>
      </c>
      <c r="I243" s="125" t="str">
        <f t="array" ref="I243">ifna(xlookup($H243,'🙎‍♂️ Pasien'!$G$7:$G371,'🙎‍♂️ Pasien'!$H$7:$H371),"")</f>
        <v>A8525127477</v>
      </c>
      <c r="J243" s="125" t="str">
        <f t="array" ref="J243">ifna(xlookup($H243,'🙎‍♂️ Pasien'!$G$7:$G371,'🙎‍♂️ Pasien'!$L$7:$L371),"")</f>
        <v>PEREMPUAN</v>
      </c>
      <c r="K243" s="125">
        <f t="array" ref="K243">ifna(xlookup($H243,'🙎‍♂️ Pasien'!$G$7:$G371,'🙎‍♂️ Pasien'!$I$7:$I371),"")</f>
        <v>41</v>
      </c>
      <c r="L243" s="125" t="str">
        <f t="array" ref="L243">IFNA(xlookup(H243,'🙎‍♂️ Pasien'!$G$5:$G371,'🙎‍♂️ Pasien'!$J$5:$J371),"")</f>
        <v>35-44 tahun</v>
      </c>
      <c r="M243" s="125" t="str">
        <f t="array" ref="M243">IFNA(xlookup(H243,'🙎‍♂️ Pasien'!$G$5:$G371,'🙎‍♂️ Pasien'!$S$5:$S371),"")</f>
        <v>IRT</v>
      </c>
      <c r="N243" s="125" t="str">
        <f t="array" ref="N243">IFNA(XLOOKUP($H243,'🙎‍♂️ Pasien'!$G$7:$G371,'🙎‍♂️ Pasien'!$T$7:$T371),"")</f>
        <v>LUTUT</v>
      </c>
      <c r="O243" s="16" t="s">
        <v>876</v>
      </c>
      <c r="P243" s="16" t="s">
        <v>845</v>
      </c>
      <c r="Q243" s="16" t="s">
        <v>29</v>
      </c>
      <c r="R243" s="16" t="s">
        <v>86</v>
      </c>
      <c r="S243" s="16" t="s">
        <v>79</v>
      </c>
      <c r="T243" s="16" t="s">
        <v>834</v>
      </c>
      <c r="U243" s="109" t="s">
        <v>1005</v>
      </c>
      <c r="V243" s="126"/>
      <c r="W243" s="109"/>
      <c r="X243" s="109" t="str">
        <f t="array" ref="X243">IF(H243="","",XLOOKUP(H243,CATATANPELAYANAN[[#ALL],[NAMA PASIEN]],CATATANPELAYANAN[[#ALL],[LAYANAN]],"TIDAK CLOSING",0,-1))</f>
        <v>TERAPI AWAL</v>
      </c>
      <c r="Y243" s="109" t="str">
        <f t="shared" si="4"/>
        <v>TIDAK CLOSING</v>
      </c>
      <c r="Z243" s="127"/>
    </row>
    <row r="244" ht="22.5" customHeight="1">
      <c r="A244" s="122"/>
      <c r="B244" s="123">
        <v>45992.0</v>
      </c>
      <c r="C244" s="124" t="str">
        <f t="shared" si="26"/>
        <v>2025</v>
      </c>
      <c r="D244" s="124" t="str">
        <f t="shared" si="27"/>
        <v>12 Des</v>
      </c>
      <c r="E244" s="124" t="str">
        <f t="shared" si="28"/>
        <v>Sen</v>
      </c>
      <c r="F244" s="16" t="s">
        <v>53</v>
      </c>
      <c r="G244" s="109" t="str">
        <f t="array" ref="G244">IFNA(XLOOKUP(S244,'⚙️ Pengaturan'!$H$5:$H371,'⚙️ Pengaturan'!$I$5:$I371),"")</f>
        <v>TIM Y</v>
      </c>
      <c r="H244" s="109" t="s">
        <v>277</v>
      </c>
      <c r="I244" s="125" t="str">
        <f t="array" ref="I244">ifna(xlookup($H244,'🙎‍♂️ Pasien'!$G$7:$G371,'🙎‍♂️ Pasien'!$H$7:$H371),"")</f>
        <v>Z8125047588</v>
      </c>
      <c r="J244" s="125" t="str">
        <f t="array" ref="J244">ifna(xlookup($H244,'🙎‍♂️ Pasien'!$G$7:$G371,'🙎‍♂️ Pasien'!$L$7:$L371),"")</f>
        <v>LAKI-LAKI</v>
      </c>
      <c r="K244" s="125">
        <f t="array" ref="K244">ifna(xlookup($H244,'🙎‍♂️ Pasien'!$G$7:$G371,'🙎‍♂️ Pasien'!$I$7:$I371),"")</f>
        <v>45</v>
      </c>
      <c r="L244" s="125" t="str">
        <f t="array" ref="L244">IFNA(xlookup(H244,'🙎‍♂️ Pasien'!$G$5:$G371,'🙎‍♂️ Pasien'!$J$5:$J371),"")</f>
        <v>&gt; 44 tahun</v>
      </c>
      <c r="M244" s="125" t="str">
        <f t="array" ref="M244">IFNA(xlookup(H244,'🙎‍♂️ Pasien'!$G$5:$G371,'🙎‍♂️ Pasien'!$S$5:$S371),"")</f>
        <v>WIRASWASYA</v>
      </c>
      <c r="N244" s="125" t="str">
        <f t="array" ref="N244">IFNA(XLOOKUP($H244,'🙎‍♂️ Pasien'!$G$7:$G371,'🙎‍♂️ Pasien'!$T$7:$T371),"")</f>
        <v>SERING NYERI DIBAGIAN TENGKUK SEBELAH KIRI</v>
      </c>
      <c r="O244" s="16" t="s">
        <v>861</v>
      </c>
      <c r="P244" s="16" t="s">
        <v>851</v>
      </c>
      <c r="Q244" s="16" t="s">
        <v>28</v>
      </c>
      <c r="R244" s="16" t="s">
        <v>86</v>
      </c>
      <c r="S244" s="16" t="s">
        <v>56</v>
      </c>
      <c r="T244" s="16" t="s">
        <v>830</v>
      </c>
      <c r="U244" s="109"/>
      <c r="V244" s="126"/>
      <c r="W244" s="109"/>
      <c r="X244" s="109" t="str">
        <f t="array" ref="X244">IF(H244="","",XLOOKUP(H244,CATATANPELAYANAN[[#ALL],[NAMA PASIEN]],CATATANPELAYANAN[[#ALL],[LAYANAN]],"TIDAK CLOSING",0,-1))</f>
        <v>PAKET TERAPI</v>
      </c>
      <c r="Y244" s="109" t="str">
        <f t="shared" si="4"/>
        <v>PAKET</v>
      </c>
      <c r="Z244" s="127"/>
    </row>
    <row r="245" ht="22.5" customHeight="1">
      <c r="A245" s="122"/>
      <c r="B245" s="123">
        <v>45992.0</v>
      </c>
      <c r="C245" s="124" t="str">
        <f t="shared" si="26"/>
        <v>2025</v>
      </c>
      <c r="D245" s="124" t="str">
        <f t="shared" si="27"/>
        <v>12 Des</v>
      </c>
      <c r="E245" s="124" t="str">
        <f t="shared" si="28"/>
        <v>Sen</v>
      </c>
      <c r="F245" s="16" t="s">
        <v>53</v>
      </c>
      <c r="G245" s="109" t="str">
        <f t="array" ref="G245">IFNA(XLOOKUP(S245,'⚙️ Pengaturan'!$H$5:$H371,'⚙️ Pengaturan'!$I$5:$I371),"")</f>
        <v>TIM A</v>
      </c>
      <c r="H245" s="109" t="s">
        <v>1044</v>
      </c>
      <c r="I245" s="125" t="str">
        <f t="array" ref="I245">ifna(xlookup($H245,'🙎‍♂️ Pasien'!$G$7:$G371,'🙎‍♂️ Pasien'!$H$7:$H371),"")</f>
        <v/>
      </c>
      <c r="J245" s="125" t="str">
        <f t="array" ref="J245">ifna(xlookup($H245,'🙎‍♂️ Pasien'!$G$7:$G371,'🙎‍♂️ Pasien'!$L$7:$L371),"")</f>
        <v/>
      </c>
      <c r="K245" s="125" t="str">
        <f t="array" ref="K245">ifna(xlookup($H245,'🙎‍♂️ Pasien'!$G$7:$G371,'🙎‍♂️ Pasien'!$I$7:$I371),"")</f>
        <v/>
      </c>
      <c r="L245" s="125" t="str">
        <f t="array" ref="L245">IFNA(xlookup(H245,'🙎‍♂️ Pasien'!$G$5:$G371,'🙎‍♂️ Pasien'!$J$5:$J371),"")</f>
        <v/>
      </c>
      <c r="M245" s="125" t="str">
        <f t="array" ref="M245">IFNA(xlookup(H245,'🙎‍♂️ Pasien'!$G$5:$G371,'🙎‍♂️ Pasien'!$S$5:$S371),"")</f>
        <v/>
      </c>
      <c r="N245" s="125" t="str">
        <f t="array" ref="N245">IFNA(XLOOKUP($H245,'🙎‍♂️ Pasien'!$G$7:$G371,'🙎‍♂️ Pasien'!$T$7:$T371),"")</f>
        <v/>
      </c>
      <c r="O245" s="16" t="s">
        <v>1045</v>
      </c>
      <c r="P245" s="16" t="s">
        <v>968</v>
      </c>
      <c r="Q245" s="16" t="s">
        <v>29</v>
      </c>
      <c r="R245" s="16" t="s">
        <v>86</v>
      </c>
      <c r="S245" s="16" t="s">
        <v>72</v>
      </c>
      <c r="T245" s="16" t="s">
        <v>834</v>
      </c>
      <c r="U245" s="109" t="s">
        <v>831</v>
      </c>
      <c r="V245" s="126"/>
      <c r="W245" s="109"/>
      <c r="X245" s="109" t="str">
        <f t="array" ref="X245">IF(H245="","",XLOOKUP(H245,CATATANPELAYANAN[[#ALL],[NAMA PASIEN]],CATATANPELAYANAN[[#ALL],[LAYANAN]],"TIDAK CLOSING",0,-1))</f>
        <v>TIDAK CLOSING</v>
      </c>
      <c r="Y245" s="109" t="str">
        <f t="shared" si="4"/>
        <v>TIDAK CLOSING</v>
      </c>
      <c r="Z245" s="127"/>
    </row>
    <row r="246" ht="22.5" customHeight="1">
      <c r="A246" s="122"/>
      <c r="B246" s="123">
        <v>45993.0</v>
      </c>
      <c r="C246" s="124" t="str">
        <f t="shared" si="26"/>
        <v>2025</v>
      </c>
      <c r="D246" s="124" t="str">
        <f t="shared" si="27"/>
        <v>12 Des</v>
      </c>
      <c r="E246" s="124" t="str">
        <f t="shared" si="28"/>
        <v>Sel</v>
      </c>
      <c r="F246" s="16" t="s">
        <v>53</v>
      </c>
      <c r="G246" s="109" t="str">
        <f t="array" ref="G246">IFNA(XLOOKUP(S246,'⚙️ Pengaturan'!$H$5:$H371,'⚙️ Pengaturan'!$I$5:$I371),"")</f>
        <v>TIM Y</v>
      </c>
      <c r="H246" s="109" t="s">
        <v>1046</v>
      </c>
      <c r="I246" s="125" t="str">
        <f t="array" ref="I246">ifna(xlookup($H246,'🙎‍♂️ Pasien'!$G$7:$G371,'🙎‍♂️ Pasien'!$H$7:$H371),"")</f>
        <v/>
      </c>
      <c r="J246" s="125" t="str">
        <f t="array" ref="J246">ifna(xlookup($H246,'🙎‍♂️ Pasien'!$G$7:$G371,'🙎‍♂️ Pasien'!$L$7:$L371),"")</f>
        <v/>
      </c>
      <c r="K246" s="125" t="str">
        <f t="array" ref="K246">ifna(xlookup($H246,'🙎‍♂️ Pasien'!$G$7:$G371,'🙎‍♂️ Pasien'!$I$7:$I371),"")</f>
        <v/>
      </c>
      <c r="L246" s="125" t="str">
        <f t="array" ref="L246">IFNA(xlookup(H246,'🙎‍♂️ Pasien'!$G$5:$G371,'🙎‍♂️ Pasien'!$J$5:$J371),"")</f>
        <v/>
      </c>
      <c r="M246" s="125" t="str">
        <f t="array" ref="M246">IFNA(xlookup(H246,'🙎‍♂️ Pasien'!$G$5:$G371,'🙎‍♂️ Pasien'!$S$5:$S371),"")</f>
        <v/>
      </c>
      <c r="N246" s="125" t="str">
        <f t="array" ref="N246">IFNA(XLOOKUP($H246,'🙎‍♂️ Pasien'!$G$7:$G371,'🙎‍♂️ Pasien'!$T$7:$T371),"")</f>
        <v/>
      </c>
      <c r="O246" s="16" t="s">
        <v>945</v>
      </c>
      <c r="P246" s="16" t="s">
        <v>826</v>
      </c>
      <c r="Q246" s="16" t="s">
        <v>29</v>
      </c>
      <c r="R246" s="16" t="s">
        <v>86</v>
      </c>
      <c r="S246" s="16" t="s">
        <v>56</v>
      </c>
      <c r="T246" s="16" t="s">
        <v>830</v>
      </c>
      <c r="U246" s="109"/>
      <c r="V246" s="126"/>
      <c r="W246" s="109"/>
      <c r="X246" s="109" t="str">
        <f t="array" ref="X246">IF(H246="","",XLOOKUP(H246,CATATANPELAYANAN[[#ALL],[NAMA PASIEN]],CATATANPELAYANAN[[#ALL],[LAYANAN]],"TIDAK CLOSING",0,-1))</f>
        <v>TIDAK CLOSING</v>
      </c>
      <c r="Y246" s="109" t="str">
        <f t="shared" si="4"/>
        <v>TIDAK CLOSING</v>
      </c>
      <c r="Z246" s="127"/>
    </row>
    <row r="247" ht="22.5" customHeight="1">
      <c r="A247" s="122"/>
      <c r="B247" s="123">
        <v>45993.0</v>
      </c>
      <c r="C247" s="124" t="str">
        <f t="shared" si="26"/>
        <v>2025</v>
      </c>
      <c r="D247" s="124" t="str">
        <f t="shared" si="27"/>
        <v>12 Des</v>
      </c>
      <c r="E247" s="124" t="str">
        <f t="shared" si="28"/>
        <v>Sel</v>
      </c>
      <c r="F247" s="16" t="s">
        <v>53</v>
      </c>
      <c r="G247" s="109" t="str">
        <f t="array" ref="G247">IFNA(XLOOKUP(S247,'⚙️ Pengaturan'!$H$5:$H371,'⚙️ Pengaturan'!$I$5:$I371),"")</f>
        <v>TIM Y</v>
      </c>
      <c r="H247" s="109" t="s">
        <v>634</v>
      </c>
      <c r="I247" s="125" t="str">
        <f t="array" ref="I247">ifna(xlookup($H247,'🙎‍♂️ Pasien'!$G$7:$G371,'🙎‍♂️ Pasien'!$H$7:$H371),"")</f>
        <v>F7725120001</v>
      </c>
      <c r="J247" s="125" t="str">
        <f t="array" ref="J247">ifna(xlookup($H247,'🙎‍♂️ Pasien'!$G$7:$G371,'🙎‍♂️ Pasien'!$L$7:$L371),"")</f>
        <v>LAKI-LAKI</v>
      </c>
      <c r="K247" s="125">
        <f t="array" ref="K247">ifna(xlookup($H247,'🙎‍♂️ Pasien'!$G$7:$G371,'🙎‍♂️ Pasien'!$I$7:$I371),"")</f>
        <v>48</v>
      </c>
      <c r="L247" s="125" t="str">
        <f t="array" ref="L247">IFNA(xlookup(H247,'🙎‍♂️ Pasien'!$G$5:$G371,'🙎‍♂️ Pasien'!$J$5:$J371),"")</f>
        <v>&gt; 44 tahun</v>
      </c>
      <c r="M247" s="125" t="str">
        <f t="array" ref="M247">IFNA(xlookup(H247,'🙎‍♂️ Pasien'!$G$5:$G371,'🙎‍♂️ Pasien'!$S$5:$S371),"")</f>
        <v>SWASTA</v>
      </c>
      <c r="N247" s="125" t="str">
        <f t="array" ref="N247">IFNA(XLOOKUP($H247,'🙎‍♂️ Pasien'!$G$7:$G371,'🙎‍♂️ Pasien'!$T$7:$T371),"")</f>
        <v>NYERI SEKITAR PINGGANG</v>
      </c>
      <c r="O247" s="16" t="s">
        <v>926</v>
      </c>
      <c r="P247" s="16" t="s">
        <v>826</v>
      </c>
      <c r="Q247" s="16" t="s">
        <v>29</v>
      </c>
      <c r="R247" s="16" t="s">
        <v>86</v>
      </c>
      <c r="S247" s="16" t="s">
        <v>56</v>
      </c>
      <c r="T247" s="16" t="s">
        <v>834</v>
      </c>
      <c r="U247" s="109"/>
      <c r="V247" s="126"/>
      <c r="W247" s="109"/>
      <c r="X247" s="109" t="str">
        <f t="array" ref="X247">IF(H247="","",XLOOKUP(H247,CATATANPELAYANAN[[#ALL],[NAMA PASIEN]],CATATANPELAYANAN[[#ALL],[LAYANAN]],"TIDAK CLOSING",0,-1))</f>
        <v>TERAPI AWAL</v>
      </c>
      <c r="Y247" s="109" t="str">
        <f t="shared" si="4"/>
        <v>TIDAK CLOSING</v>
      </c>
      <c r="Z247" s="127"/>
    </row>
    <row r="248" ht="22.5" customHeight="1">
      <c r="A248" s="122"/>
      <c r="B248" s="123">
        <v>45993.0</v>
      </c>
      <c r="C248" s="124" t="str">
        <f t="shared" si="26"/>
        <v>2025</v>
      </c>
      <c r="D248" s="124" t="str">
        <f t="shared" si="27"/>
        <v>12 Des</v>
      </c>
      <c r="E248" s="124" t="str">
        <f t="shared" si="28"/>
        <v>Sel</v>
      </c>
      <c r="F248" s="16" t="s">
        <v>53</v>
      </c>
      <c r="G248" s="109" t="str">
        <f t="array" ref="G248">IFNA(XLOOKUP(S248,'⚙️ Pengaturan'!$H$5:$H371,'⚙️ Pengaturan'!$I$5:$I371),"")</f>
        <v>TIM A</v>
      </c>
      <c r="H248" s="109" t="s">
        <v>1047</v>
      </c>
      <c r="I248" s="125" t="str">
        <f t="array" ref="I248">ifna(xlookup($H248,'🙎‍♂️ Pasien'!$G$7:$G371,'🙎‍♂️ Pasien'!$H$7:$H371),"")</f>
        <v/>
      </c>
      <c r="J248" s="125" t="str">
        <f t="array" ref="J248">ifna(xlookup($H248,'🙎‍♂️ Pasien'!$G$7:$G371,'🙎‍♂️ Pasien'!$L$7:$L371),"")</f>
        <v/>
      </c>
      <c r="K248" s="125" t="str">
        <f t="array" ref="K248">ifna(xlookup($H248,'🙎‍♂️ Pasien'!$G$7:$G371,'🙎‍♂️ Pasien'!$I$7:$I371),"")</f>
        <v/>
      </c>
      <c r="L248" s="125" t="str">
        <f t="array" ref="L248">IFNA(xlookup(H248,'🙎‍♂️ Pasien'!$G$5:$G371,'🙎‍♂️ Pasien'!$J$5:$J371),"")</f>
        <v/>
      </c>
      <c r="M248" s="125" t="str">
        <f t="array" ref="M248">IFNA(xlookup(H248,'🙎‍♂️ Pasien'!$G$5:$G371,'🙎‍♂️ Pasien'!$S$5:$S371),"")</f>
        <v/>
      </c>
      <c r="N248" s="125" t="str">
        <f t="array" ref="N248">IFNA(XLOOKUP($H248,'🙎‍♂️ Pasien'!$G$7:$G371,'🙎‍♂️ Pasien'!$T$7:$T371),"")</f>
        <v/>
      </c>
      <c r="O248" s="16" t="s">
        <v>954</v>
      </c>
      <c r="P248" s="16" t="s">
        <v>836</v>
      </c>
      <c r="Q248" s="16" t="s">
        <v>29</v>
      </c>
      <c r="R248" s="16" t="s">
        <v>86</v>
      </c>
      <c r="S248" s="16" t="s">
        <v>79</v>
      </c>
      <c r="T248" s="16" t="s">
        <v>830</v>
      </c>
      <c r="U248" s="109"/>
      <c r="V248" s="126"/>
      <c r="W248" s="109"/>
      <c r="X248" s="109" t="str">
        <f t="array" ref="X248">IF(H248="","",XLOOKUP(H248,CATATANPELAYANAN[[#ALL],[NAMA PASIEN]],CATATANPELAYANAN[[#ALL],[LAYANAN]],"TIDAK CLOSING",0,-1))</f>
        <v>TIDAK CLOSING</v>
      </c>
      <c r="Y248" s="109" t="str">
        <f t="shared" si="4"/>
        <v>TIDAK CLOSING</v>
      </c>
      <c r="Z248" s="127"/>
    </row>
    <row r="249" ht="22.5" customHeight="1">
      <c r="A249" s="122"/>
      <c r="B249" s="123">
        <v>45993.0</v>
      </c>
      <c r="C249" s="124" t="str">
        <f t="shared" si="26"/>
        <v>2025</v>
      </c>
      <c r="D249" s="124" t="str">
        <f t="shared" si="27"/>
        <v>12 Des</v>
      </c>
      <c r="E249" s="124" t="str">
        <f t="shared" si="28"/>
        <v>Sel</v>
      </c>
      <c r="F249" s="16" t="s">
        <v>85</v>
      </c>
      <c r="G249" s="109" t="str">
        <f t="array" ref="G249">IFNA(XLOOKUP(S249,'⚙️ Pengaturan'!$H$5:$H371,'⚙️ Pengaturan'!$I$5:$I371),"")</f>
        <v>TIM A</v>
      </c>
      <c r="H249" s="109" t="s">
        <v>635</v>
      </c>
      <c r="I249" s="125" t="str">
        <f t="array" ref="I249">ifna(xlookup($H249,'🙎‍♂️ Pasien'!$G$7:$G371,'🙎‍♂️ Pasien'!$H$7:$H371),"")</f>
        <v>A8824129408</v>
      </c>
      <c r="J249" s="125" t="str">
        <f t="array" ref="J249">ifna(xlookup($H249,'🙎‍♂️ Pasien'!$G$7:$G371,'🙎‍♂️ Pasien'!$L$7:$L371),"")</f>
        <v>LAKI-LAKI</v>
      </c>
      <c r="K249" s="125">
        <f t="array" ref="K249">ifna(xlookup($H249,'🙎‍♂️ Pasien'!$G$7:$G371,'🙎‍♂️ Pasien'!$I$7:$I371),"")</f>
        <v>37</v>
      </c>
      <c r="L249" s="125" t="str">
        <f t="array" ref="L249">IFNA(xlookup(H249,'🙎‍♂️ Pasien'!$G$5:$G371,'🙎‍♂️ Pasien'!$J$5:$J371),"")</f>
        <v>35-44 tahun</v>
      </c>
      <c r="M249" s="125" t="str">
        <f t="array" ref="M249">IFNA(xlookup(H249,'🙎‍♂️ Pasien'!$G$5:$G371,'🙎‍♂️ Pasien'!$S$5:$S371),"")</f>
        <v>SWASTA</v>
      </c>
      <c r="N249" s="125" t="str">
        <f t="array" ref="N249">IFNA(XLOOKUP($H249,'🙎‍♂️ Pasien'!$G$7:$G371,'🙎‍♂️ Pasien'!$T$7:$T371),"")</f>
        <v>LUTUT</v>
      </c>
      <c r="O249" s="16" t="s">
        <v>854</v>
      </c>
      <c r="P249" s="16" t="s">
        <v>836</v>
      </c>
      <c r="Q249" s="16" t="s">
        <v>28</v>
      </c>
      <c r="R249" s="16" t="s">
        <v>54</v>
      </c>
      <c r="S249" s="16" t="s">
        <v>72</v>
      </c>
      <c r="T249" s="16" t="s">
        <v>834</v>
      </c>
      <c r="U249" s="109" t="s">
        <v>1048</v>
      </c>
      <c r="V249" s="126"/>
      <c r="W249" s="109"/>
      <c r="X249" s="109" t="str">
        <f t="array" ref="X249">IF(H249="","",XLOOKUP(H249,CATATANPELAYANAN[[#ALL],[NAMA PASIEN]],CATATANPELAYANAN[[#ALL],[LAYANAN]],"TIDAK CLOSING",0,-1))</f>
        <v>TERAPI AWAL</v>
      </c>
      <c r="Y249" s="109" t="str">
        <f t="shared" si="4"/>
        <v>TIDAK CLOSING</v>
      </c>
      <c r="Z249" s="127"/>
    </row>
    <row r="250" ht="22.5" customHeight="1">
      <c r="A250" s="122"/>
      <c r="B250" s="123">
        <v>45993.0</v>
      </c>
      <c r="C250" s="124" t="str">
        <f t="shared" si="26"/>
        <v>2025</v>
      </c>
      <c r="D250" s="124" t="str">
        <f t="shared" si="27"/>
        <v>12 Des</v>
      </c>
      <c r="E250" s="124" t="str">
        <f t="shared" si="28"/>
        <v>Sel</v>
      </c>
      <c r="F250" s="16" t="s">
        <v>85</v>
      </c>
      <c r="G250" s="109" t="str">
        <f t="array" ref="G250">IFNA(XLOOKUP(S250,'⚙️ Pengaturan'!$H$5:$H371,'⚙️ Pengaturan'!$I$5:$I371),"")</f>
        <v>TIM Y</v>
      </c>
      <c r="H250" s="109" t="s">
        <v>638</v>
      </c>
      <c r="I250" s="125" t="str">
        <f t="array" ref="I250">ifna(xlookup($H250,'🙎‍♂️ Pasien'!$G$7:$G371,'🙎‍♂️ Pasien'!$H$7:$H371),"")</f>
        <v>R9025120312</v>
      </c>
      <c r="J250" s="125" t="str">
        <f t="array" ref="J250">ifna(xlookup($H250,'🙎‍♂️ Pasien'!$G$7:$G371,'🙎‍♂️ Pasien'!$L$7:$L371),"")</f>
        <v>LAKI-LAKI</v>
      </c>
      <c r="K250" s="125">
        <f t="array" ref="K250">ifna(xlookup($H250,'🙎‍♂️ Pasien'!$G$7:$G371,'🙎‍♂️ Pasien'!$I$7:$I371),"")</f>
        <v>36</v>
      </c>
      <c r="L250" s="125" t="str">
        <f t="array" ref="L250">IFNA(xlookup(H250,'🙎‍♂️ Pasien'!$G$5:$G371,'🙎‍♂️ Pasien'!$J$5:$J371),"")</f>
        <v>35-44 tahun</v>
      </c>
      <c r="M250" s="125" t="str">
        <f t="array" ref="M250">IFNA(xlookup(H250,'🙎‍♂️ Pasien'!$G$5:$G371,'🙎‍♂️ Pasien'!$S$5:$S371),"")</f>
        <v>SWASTA</v>
      </c>
      <c r="N250" s="125" t="str">
        <f t="array" ref="N250">IFNA(XLOOKUP($H250,'🙎‍♂️ Pasien'!$G$7:$G371,'🙎‍♂️ Pasien'!$T$7:$T371),"")</f>
        <v>KAKI KIRI SAKIT</v>
      </c>
      <c r="O250" s="16" t="s">
        <v>1049</v>
      </c>
      <c r="P250" s="16" t="s">
        <v>836</v>
      </c>
      <c r="Q250" s="16" t="s">
        <v>29</v>
      </c>
      <c r="R250" s="16" t="s">
        <v>54</v>
      </c>
      <c r="S250" s="16" t="s">
        <v>88</v>
      </c>
      <c r="T250" s="16" t="s">
        <v>834</v>
      </c>
      <c r="U250" s="109" t="s">
        <v>997</v>
      </c>
      <c r="V250" s="126"/>
      <c r="W250" s="109"/>
      <c r="X250" s="109" t="str">
        <f t="array" ref="X250">IF(H250="","",XLOOKUP(H250,CATATANPELAYANAN[[#ALL],[NAMA PASIEN]],CATATANPELAYANAN[[#ALL],[LAYANAN]],"TIDAK CLOSING",0,-1))</f>
        <v>TERAPI AWAL</v>
      </c>
      <c r="Y250" s="109" t="str">
        <f t="shared" si="4"/>
        <v>TIDAK CLOSING</v>
      </c>
      <c r="Z250" s="127"/>
    </row>
    <row r="251" ht="22.5" customHeight="1">
      <c r="A251" s="122"/>
      <c r="B251" s="123">
        <v>45993.0</v>
      </c>
      <c r="C251" s="124" t="s">
        <v>963</v>
      </c>
      <c r="D251" s="124" t="str">
        <f t="shared" si="27"/>
        <v>12 Des</v>
      </c>
      <c r="E251" s="124" t="str">
        <f t="shared" si="28"/>
        <v>Sel</v>
      </c>
      <c r="F251" s="16" t="s">
        <v>85</v>
      </c>
      <c r="G251" s="109" t="str">
        <f t="array" ref="G251">IFNA(XLOOKUP(S251,'⚙️ Pengaturan'!$H$5:$H371,'⚙️ Pengaturan'!$I$5:$I371),"")</f>
        <v>TIM Y</v>
      </c>
      <c r="H251" s="109" t="s">
        <v>639</v>
      </c>
      <c r="I251" s="125" t="str">
        <f t="array" ref="I251">ifna(xlookup($H251,'🙎‍♂️ Pasien'!$G$7:$G371,'🙎‍♂️ Pasien'!$H$7:$H371),"")</f>
        <v>Y6225125478</v>
      </c>
      <c r="J251" s="125" t="str">
        <f t="array" ref="J251">ifna(xlookup($H251,'🙎‍♂️ Pasien'!$G$7:$G371,'🙎‍♂️ Pasien'!$L$7:$L371),"")</f>
        <v>PEREMPUAN</v>
      </c>
      <c r="K251" s="125">
        <f t="array" ref="K251">ifna(xlookup($H251,'🙎‍♂️ Pasien'!$G$7:$G371,'🙎‍♂️ Pasien'!$I$7:$I371),"")</f>
        <v>64</v>
      </c>
      <c r="L251" s="125" t="str">
        <f t="array" ref="L251">IFNA(xlookup(H251,'🙎‍♂️ Pasien'!$G$5:$G371,'🙎‍♂️ Pasien'!$J$5:$J371),"")</f>
        <v>&gt; 44 tahun</v>
      </c>
      <c r="M251" s="125" t="str">
        <f t="array" ref="M251">IFNA(xlookup(H251,'🙎‍♂️ Pasien'!$G$5:$G371,'🙎‍♂️ Pasien'!$S$5:$S371),"")</f>
        <v>PEDAGANG</v>
      </c>
      <c r="N251" s="125" t="str">
        <f t="array" ref="N251">IFNA(XLOOKUP($H251,'🙎‍♂️ Pasien'!$G$7:$G371,'🙎‍♂️ Pasien'!$T$7:$T371),"")</f>
        <v>DISLOKASI BAHU</v>
      </c>
      <c r="O251" s="16" t="s">
        <v>1050</v>
      </c>
      <c r="P251" s="16" t="s">
        <v>839</v>
      </c>
      <c r="Q251" s="16" t="s">
        <v>29</v>
      </c>
      <c r="R251" s="16" t="s">
        <v>54</v>
      </c>
      <c r="S251" s="16" t="s">
        <v>91</v>
      </c>
      <c r="T251" s="16" t="s">
        <v>834</v>
      </c>
      <c r="U251" s="109" t="s">
        <v>1051</v>
      </c>
      <c r="V251" s="126"/>
      <c r="W251" s="109"/>
      <c r="X251" s="109" t="str">
        <f t="array" ref="X251">IF(H251="","",XLOOKUP(H251,CATATANPELAYANAN[[#ALL],[NAMA PASIEN]],CATATANPELAYANAN[[#ALL],[LAYANAN]],"TIDAK CLOSING",0,-1))</f>
        <v>TERAPI AWAL</v>
      </c>
      <c r="Y251" s="109" t="str">
        <f t="shared" si="4"/>
        <v>TIDAK CLOSING</v>
      </c>
      <c r="Z251" s="127"/>
    </row>
    <row r="252" ht="22.5" customHeight="1">
      <c r="A252" s="122"/>
      <c r="B252" s="123">
        <v>45994.0</v>
      </c>
      <c r="C252" s="124" t="str">
        <f t="shared" ref="C252:C256" si="29">IF(B252="","",text(B252,"yyyy"))</f>
        <v>2025</v>
      </c>
      <c r="D252" s="124" t="str">
        <f t="shared" si="27"/>
        <v>12 Des</v>
      </c>
      <c r="E252" s="124" t="str">
        <f t="shared" si="28"/>
        <v>Rab</v>
      </c>
      <c r="F252" s="16" t="s">
        <v>53</v>
      </c>
      <c r="G252" s="109" t="str">
        <f t="array" ref="G252">IFNA(XLOOKUP(S252,'⚙️ Pengaturan'!$H$5:$H371,'⚙️ Pengaturan'!$I$5:$I371),"")</f>
        <v>INAKTIF</v>
      </c>
      <c r="H252" s="137" t="s">
        <v>685</v>
      </c>
      <c r="I252" s="125" t="str">
        <f t="array" ref="I252">ifna(xlookup($H252,'🙎‍♂️ Pasien'!$G$7:$G371,'🙎‍♂️ Pasien'!$H$7:$H371),"")</f>
        <v>W6425129394</v>
      </c>
      <c r="J252" s="125" t="str">
        <f t="array" ref="J252">ifna(xlookup($H252,'🙎‍♂️ Pasien'!$G$7:$G371,'🙎‍♂️ Pasien'!$L$7:$L371),"")</f>
        <v>LAKI-LAKI</v>
      </c>
      <c r="K252" s="125">
        <f t="array" ref="K252">ifna(xlookup($H252,'🙎‍♂️ Pasien'!$G$7:$G371,'🙎‍♂️ Pasien'!$I$7:$I371),"")</f>
        <v>61</v>
      </c>
      <c r="L252" s="125" t="str">
        <f t="array" ref="L252">IFNA(xlookup(H252,'🙎‍♂️ Pasien'!$G$5:$G371,'🙎‍♂️ Pasien'!$J$5:$J371),"")</f>
        <v>&gt; 44 tahun</v>
      </c>
      <c r="M252" s="125" t="str">
        <f t="array" ref="M252">IFNA(xlookup(H252,'🙎‍♂️ Pasien'!$G$5:$G371,'🙎‍♂️ Pasien'!$S$5:$S371),"")</f>
        <v>PENSIUNAN</v>
      </c>
      <c r="N252" s="125" t="str">
        <f t="array" ref="N252">IFNA(XLOOKUP($H252,'🙎‍♂️ Pasien'!$G$7:$G371,'🙎‍♂️ Pasien'!$T$7:$T371),"")</f>
        <v>STROKE</v>
      </c>
      <c r="O252" s="16"/>
      <c r="P252" s="16"/>
      <c r="Q252" s="16" t="s">
        <v>29</v>
      </c>
      <c r="R252" s="16" t="s">
        <v>54</v>
      </c>
      <c r="S252" s="16" t="s">
        <v>598</v>
      </c>
      <c r="T252" s="16" t="s">
        <v>830</v>
      </c>
      <c r="U252" s="109"/>
      <c r="V252" s="126"/>
      <c r="W252" s="109"/>
      <c r="X252" s="109" t="str">
        <f t="array" ref="X252">IF(H252="","",XLOOKUP(H252,CATATANPELAYANAN[[#ALL],[NAMA PASIEN]],CATATANPELAYANAN[[#ALL],[LAYANAN]],"TIDAK CLOSING",0,-1))</f>
        <v>PAKET TERAPI</v>
      </c>
      <c r="Y252" s="109" t="str">
        <f t="shared" si="4"/>
        <v>PAKET</v>
      </c>
      <c r="Z252" s="127"/>
    </row>
    <row r="253" ht="22.5" customHeight="1">
      <c r="A253" s="122"/>
      <c r="B253" s="123">
        <v>45994.0</v>
      </c>
      <c r="C253" s="124" t="str">
        <f t="shared" si="29"/>
        <v>2025</v>
      </c>
      <c r="D253" s="124" t="str">
        <f t="shared" si="27"/>
        <v>12 Des</v>
      </c>
      <c r="E253" s="124" t="str">
        <f t="shared" si="28"/>
        <v>Rab</v>
      </c>
      <c r="F253" s="16" t="s">
        <v>53</v>
      </c>
      <c r="G253" s="109" t="str">
        <f t="array" ref="G253">IFNA(XLOOKUP(S253,'⚙️ Pengaturan'!$H$5:$H371,'⚙️ Pengaturan'!$I$5:$I371),"")</f>
        <v>TIM A</v>
      </c>
      <c r="H253" s="137" t="s">
        <v>665</v>
      </c>
      <c r="I253" s="125" t="str">
        <f t="array" ref="I253">ifna(xlookup($H253,'🙎‍♂️ Pasien'!$G$7:$G371,'🙎‍♂️ Pasien'!$H$7:$H371),"")</f>
        <v>V9225074870</v>
      </c>
      <c r="J253" s="125" t="str">
        <f t="array" ref="J253">ifna(xlookup($H253,'🙎‍♂️ Pasien'!$G$7:$G371,'🙎‍♂️ Pasien'!$L$7:$L371),"")</f>
        <v>PEREMPUAN</v>
      </c>
      <c r="K253" s="125">
        <f t="array" ref="K253">ifna(xlookup($H253,'🙎‍♂️ Pasien'!$G$7:$G371,'🙎‍♂️ Pasien'!$I$7:$I371),"")</f>
        <v>33</v>
      </c>
      <c r="L253" s="125" t="str">
        <f t="array" ref="L253">IFNA(xlookup(H253,'🙎‍♂️ Pasien'!$G$5:$G371,'🙎‍♂️ Pasien'!$J$5:$J371),"")</f>
        <v>25-34 tahun</v>
      </c>
      <c r="M253" s="125" t="str">
        <f t="array" ref="M253">IFNA(xlookup(H253,'🙎‍♂️ Pasien'!$G$5:$G371,'🙎‍♂️ Pasien'!$S$5:$S371),"")</f>
        <v>IBU RUMAH TANGGA</v>
      </c>
      <c r="N253" s="125" t="str">
        <f t="array" ref="N253">IFNA(XLOOKUP($H253,'🙎‍♂️ Pasien'!$G$7:$G371,'🙎‍♂️ Pasien'!$T$7:$T371),"")</f>
        <v>SAKIT PUNGGUNG DAN TULANG BELAKANG</v>
      </c>
      <c r="O253" s="16" t="s">
        <v>847</v>
      </c>
      <c r="P253" s="16" t="s">
        <v>848</v>
      </c>
      <c r="Q253" s="16" t="s">
        <v>29</v>
      </c>
      <c r="R253" s="16" t="s">
        <v>54</v>
      </c>
      <c r="S253" s="16" t="s">
        <v>62</v>
      </c>
      <c r="T253" s="16" t="s">
        <v>830</v>
      </c>
      <c r="U253" s="109"/>
      <c r="V253" s="126"/>
      <c r="W253" s="109"/>
      <c r="X253" s="109" t="str">
        <f t="array" ref="X253">IF(H253="","",XLOOKUP(H253,CATATANPELAYANAN[[#ALL],[NAMA PASIEN]],CATATANPELAYANAN[[#ALL],[LAYANAN]],"TIDAK CLOSING",0,-1))</f>
        <v>PAKET TERAPI</v>
      </c>
      <c r="Y253" s="109" t="str">
        <f t="shared" si="4"/>
        <v>PAKET</v>
      </c>
      <c r="Z253" s="127"/>
    </row>
    <row r="254" ht="22.5" customHeight="1">
      <c r="A254" s="122"/>
      <c r="B254" s="123">
        <v>45994.0</v>
      </c>
      <c r="C254" s="124" t="str">
        <f t="shared" si="29"/>
        <v>2025</v>
      </c>
      <c r="D254" s="124" t="str">
        <f t="shared" si="27"/>
        <v>12 Des</v>
      </c>
      <c r="E254" s="124" t="str">
        <f t="shared" si="28"/>
        <v>Rab</v>
      </c>
      <c r="F254" s="16" t="s">
        <v>53</v>
      </c>
      <c r="G254" s="109" t="str">
        <f t="array" ref="G254">IFNA(XLOOKUP(S254,'⚙️ Pengaturan'!$H$5:$H371,'⚙️ Pengaturan'!$I$5:$I371),"")</f>
        <v>TIM A</v>
      </c>
      <c r="H254" s="137" t="s">
        <v>706</v>
      </c>
      <c r="I254" s="125" t="str">
        <f t="array" ref="I254">ifna(xlookup($H254,'🙎‍♂️ Pasien'!$G$7:$G371,'🙎‍♂️ Pasien'!$H$7:$H371),"")</f>
        <v>S7325124774</v>
      </c>
      <c r="J254" s="125" t="str">
        <f t="array" ref="J254">ifna(xlookup($H254,'🙎‍♂️ Pasien'!$G$7:$G371,'🙎‍♂️ Pasien'!$L$7:$L371),"")</f>
        <v>PEREMPUAN</v>
      </c>
      <c r="K254" s="125">
        <f t="array" ref="K254">ifna(xlookup($H254,'🙎‍♂️ Pasien'!$G$7:$G371,'🙎‍♂️ Pasien'!$I$7:$I371),"")</f>
        <v>52</v>
      </c>
      <c r="L254" s="125" t="str">
        <f t="array" ref="L254">IFNA(xlookup(H254,'🙎‍♂️ Pasien'!$G$5:$G371,'🙎‍♂️ Pasien'!$J$5:$J371),"")</f>
        <v>&gt; 44 tahun</v>
      </c>
      <c r="M254" s="125" t="str">
        <f t="array" ref="M254">IFNA(xlookup(H254,'🙎‍♂️ Pasien'!$G$5:$G371,'🙎‍♂️ Pasien'!$S$5:$S371),"")</f>
        <v>IBU RUMAH TANGGA</v>
      </c>
      <c r="N254" s="125" t="str">
        <f t="array" ref="N254">IFNA(XLOOKUP($H254,'🙎‍♂️ Pasien'!$G$7:$G371,'🙎‍♂️ Pasien'!$T$7:$T371),"")</f>
        <v>SAKIT DIBAGIAN LUTUT TIDAK BISA NEKUK</v>
      </c>
      <c r="O254" s="16" t="s">
        <v>902</v>
      </c>
      <c r="P254" s="16" t="s">
        <v>836</v>
      </c>
      <c r="Q254" s="16" t="s">
        <v>29</v>
      </c>
      <c r="R254" s="16" t="s">
        <v>54</v>
      </c>
      <c r="S254" s="16" t="s">
        <v>72</v>
      </c>
      <c r="T254" s="16" t="s">
        <v>830</v>
      </c>
      <c r="U254" s="109"/>
      <c r="V254" s="126"/>
      <c r="W254" s="109"/>
      <c r="X254" s="109" t="str">
        <f t="array" ref="X254">IF(H254="","",XLOOKUP(H254,CATATANPELAYANAN[[#ALL],[NAMA PASIEN]],CATATANPELAYANAN[[#ALL],[LAYANAN]],"TIDAK CLOSING",0,-1))</f>
        <v>PAKET TERAPI</v>
      </c>
      <c r="Y254" s="109" t="str">
        <f t="shared" si="4"/>
        <v>PAKET</v>
      </c>
      <c r="Z254" s="127"/>
    </row>
    <row r="255" ht="22.5" customHeight="1">
      <c r="A255" s="122"/>
      <c r="B255" s="123">
        <v>45994.0</v>
      </c>
      <c r="C255" s="124" t="str">
        <f t="shared" si="29"/>
        <v>2025</v>
      </c>
      <c r="D255" s="124" t="str">
        <f t="shared" si="27"/>
        <v>12 Des</v>
      </c>
      <c r="E255" s="124" t="str">
        <f t="shared" si="28"/>
        <v>Rab</v>
      </c>
      <c r="F255" s="16" t="s">
        <v>53</v>
      </c>
      <c r="G255" s="109" t="str">
        <f t="array" ref="G255">IFNA(XLOOKUP(S255,'⚙️ Pengaturan'!$H$5:$H371,'⚙️ Pengaturan'!$I$5:$I371),"")</f>
        <v>TIM Y</v>
      </c>
      <c r="H255" s="137" t="s">
        <v>642</v>
      </c>
      <c r="I255" s="125" t="str">
        <f t="array" ref="I255">ifna(xlookup($H255,'🙎‍♂️ Pasien'!$G$7:$G371,'🙎‍♂️ Pasien'!$H$7:$H371),"")</f>
        <v>D7925125149</v>
      </c>
      <c r="J255" s="125" t="str">
        <f t="array" ref="J255">ifna(xlookup($H255,'🙎‍♂️ Pasien'!$G$7:$G371,'🙎‍♂️ Pasien'!$L$7:$L371),"")</f>
        <v>LAKI-LAKI</v>
      </c>
      <c r="K255" s="125">
        <f t="array" ref="K255">ifna(xlookup($H255,'🙎‍♂️ Pasien'!$G$7:$G371,'🙎‍♂️ Pasien'!$I$7:$I371),"")</f>
        <v>46</v>
      </c>
      <c r="L255" s="125" t="str">
        <f t="array" ref="L255">IFNA(xlookup(H255,'🙎‍♂️ Pasien'!$G$5:$G371,'🙎‍♂️ Pasien'!$J$5:$J371),"")</f>
        <v>&gt; 44 tahun</v>
      </c>
      <c r="M255" s="125" t="str">
        <f t="array" ref="M255">IFNA(xlookup(H255,'🙎‍♂️ Pasien'!$G$5:$G371,'🙎‍♂️ Pasien'!$S$5:$S371),"")</f>
        <v>SWASTA</v>
      </c>
      <c r="N255" s="125" t="str">
        <f t="array" ref="N255">IFNA(XLOOKUP($H255,'🙎‍♂️ Pasien'!$G$7:$G371,'🙎‍♂️ Pasien'!$T$7:$T371),"")</f>
        <v>TENIS ELBOW</v>
      </c>
      <c r="O255" s="16" t="s">
        <v>906</v>
      </c>
      <c r="P255" s="16" t="s">
        <v>907</v>
      </c>
      <c r="Q255" s="16" t="s">
        <v>29</v>
      </c>
      <c r="R255" s="16" t="s">
        <v>54</v>
      </c>
      <c r="S255" s="16" t="s">
        <v>56</v>
      </c>
      <c r="T255" s="16" t="s">
        <v>830</v>
      </c>
      <c r="U255" s="109"/>
      <c r="V255" s="126"/>
      <c r="W255" s="109"/>
      <c r="X255" s="109" t="str">
        <f t="array" ref="X255">IF(H255="","",XLOOKUP(H255,CATATANPELAYANAN[[#ALL],[NAMA PASIEN]],CATATANPELAYANAN[[#ALL],[LAYANAN]],"TIDAK CLOSING",0,-1))</f>
        <v>PAKET TERAPI</v>
      </c>
      <c r="Y255" s="109" t="str">
        <f t="shared" si="4"/>
        <v>PAKET</v>
      </c>
      <c r="Z255" s="127"/>
    </row>
    <row r="256" ht="22.5" customHeight="1">
      <c r="A256" s="122"/>
      <c r="B256" s="123">
        <v>45995.0</v>
      </c>
      <c r="C256" s="124" t="str">
        <f t="shared" si="29"/>
        <v>2025</v>
      </c>
      <c r="D256" s="124" t="str">
        <f t="shared" si="27"/>
        <v>12 Des</v>
      </c>
      <c r="E256" s="124" t="str">
        <f t="shared" si="28"/>
        <v>Kam</v>
      </c>
      <c r="F256" s="16" t="s">
        <v>53</v>
      </c>
      <c r="G256" s="109" t="str">
        <f t="array" ref="G256">IFNA(XLOOKUP(S256,'⚙️ Pengaturan'!$H$5:$H371,'⚙️ Pengaturan'!$I$5:$I371),"")</f>
        <v>TIM Y</v>
      </c>
      <c r="H256" s="109" t="s">
        <v>645</v>
      </c>
      <c r="I256" s="125" t="str">
        <f t="array" ref="I256">ifna(xlookup($H256,'🙎‍♂️ Pasien'!$G$7:$G371,'🙎‍♂️ Pasien'!$H$7:$H371),"")</f>
        <v>T9225125183</v>
      </c>
      <c r="J256" s="125" t="str">
        <f t="array" ref="J256">ifna(xlookup($H256,'🙎‍♂️ Pasien'!$G$7:$G371,'🙎‍♂️ Pasien'!$L$7:$L371),"")</f>
        <v>LAKI-LAKI</v>
      </c>
      <c r="K256" s="125">
        <f t="array" ref="K256">ifna(xlookup($H256,'🙎‍♂️ Pasien'!$G$7:$G371,'🙎‍♂️ Pasien'!$I$7:$I371),"")</f>
        <v>33</v>
      </c>
      <c r="L256" s="125" t="str">
        <f t="array" ref="L256">IFNA(xlookup(H256,'🙎‍♂️ Pasien'!$G$5:$G371,'🙎‍♂️ Pasien'!$J$5:$J371),"")</f>
        <v>25-34 tahun</v>
      </c>
      <c r="M256" s="125" t="str">
        <f t="array" ref="M256">IFNA(xlookup(H256,'🙎‍♂️ Pasien'!$G$5:$G371,'🙎‍♂️ Pasien'!$S$5:$S371),"")</f>
        <v>WIRASWASTA</v>
      </c>
      <c r="N256" s="125" t="str">
        <f t="array" ref="N256">IFNA(XLOOKUP($H256,'🙎‍♂️ Pasien'!$G$7:$G371,'🙎‍♂️ Pasien'!$T$7:$T371),"")</f>
        <v>LOW BACK PAIN</v>
      </c>
      <c r="O256" s="16" t="s">
        <v>825</v>
      </c>
      <c r="P256" s="16" t="s">
        <v>826</v>
      </c>
      <c r="Q256" s="16" t="s">
        <v>29</v>
      </c>
      <c r="R256" s="16" t="s">
        <v>54</v>
      </c>
      <c r="S256" s="16" t="s">
        <v>88</v>
      </c>
      <c r="T256" s="16" t="s">
        <v>834</v>
      </c>
      <c r="U256" s="109" t="s">
        <v>997</v>
      </c>
      <c r="V256" s="126"/>
      <c r="W256" s="109"/>
      <c r="X256" s="109" t="str">
        <f t="array" ref="X256">IF(H256="","",XLOOKUP(H256,CATATANPELAYANAN[[#ALL],[NAMA PASIEN]],CATATANPELAYANAN[[#ALL],[LAYANAN]],"TIDAK CLOSING",0,-1))</f>
        <v>TERAPI AWAL</v>
      </c>
      <c r="Y256" s="109" t="str">
        <f t="shared" si="4"/>
        <v>TIDAK CLOSING</v>
      </c>
      <c r="Z256" s="127"/>
    </row>
    <row r="257" ht="22.5" customHeight="1">
      <c r="A257" s="122"/>
      <c r="B257" s="123">
        <v>45995.0</v>
      </c>
      <c r="C257" s="124" t="s">
        <v>963</v>
      </c>
      <c r="D257" s="124" t="str">
        <f t="shared" si="27"/>
        <v>12 Des</v>
      </c>
      <c r="E257" s="124" t="str">
        <f t="shared" si="28"/>
        <v>Kam</v>
      </c>
      <c r="F257" s="16" t="s">
        <v>53</v>
      </c>
      <c r="G257" s="109" t="str">
        <f t="array" ref="G257">IFNA(XLOOKUP(S257,'⚙️ Pengaturan'!$H$5:$H371,'⚙️ Pengaturan'!$I$5:$I371),"")</f>
        <v>TIM Y</v>
      </c>
      <c r="H257" s="109" t="s">
        <v>646</v>
      </c>
      <c r="I257" s="125" t="str">
        <f t="array" ref="I257">ifna(xlookup($H257,'🙎‍♂️ Pasien'!$G$7:$G371,'🙎‍♂️ Pasien'!$H$7:$H371),"")</f>
        <v>H6725049807</v>
      </c>
      <c r="J257" s="125" t="str">
        <f t="array" ref="J257">ifna(xlookup($H257,'🙎‍♂️ Pasien'!$G$7:$G371,'🙎‍♂️ Pasien'!$L$7:$L371),"")</f>
        <v>LAKI-LAKI</v>
      </c>
      <c r="K257" s="125">
        <f t="array" ref="K257">ifna(xlookup($H257,'🙎‍♂️ Pasien'!$G$7:$G371,'🙎‍♂️ Pasien'!$I$7:$I371),"")</f>
        <v>59</v>
      </c>
      <c r="L257" s="125" t="str">
        <f t="array" ref="L257">IFNA(xlookup(H257,'🙎‍♂️ Pasien'!$G$5:$G371,'🙎‍♂️ Pasien'!$J$5:$J371),"")</f>
        <v>&gt; 44 tahun</v>
      </c>
      <c r="M257" s="125" t="str">
        <f t="array" ref="M257">IFNA(xlookup(H257,'🙎‍♂️ Pasien'!$G$5:$G371,'🙎‍♂️ Pasien'!$S$5:$S371),"")</f>
        <v>PENSIUNAN PNS</v>
      </c>
      <c r="N257" s="125" t="str">
        <f t="array" ref="N257">IFNA(XLOOKUP($H257,'🙎‍♂️ Pasien'!$G$7:$G371,'🙎‍♂️ Pasien'!$T$7:$T371),"")</f>
        <v>SUSAH BERJALAN</v>
      </c>
      <c r="O257" s="16" t="s">
        <v>853</v>
      </c>
      <c r="P257" s="16" t="s">
        <v>845</v>
      </c>
      <c r="Q257" s="16" t="s">
        <v>29</v>
      </c>
      <c r="R257" s="16" t="s">
        <v>54</v>
      </c>
      <c r="S257" s="16" t="s">
        <v>88</v>
      </c>
      <c r="T257" s="16" t="s">
        <v>827</v>
      </c>
      <c r="U257" s="109"/>
      <c r="V257" s="126"/>
      <c r="W257" s="109"/>
      <c r="X257" s="109" t="str">
        <f t="array" ref="X257">IF(H257="","",XLOOKUP(H257,CATATANPELAYANAN[[#ALL],[NAMA PASIEN]],CATATANPELAYANAN[[#ALL],[LAYANAN]],"TIDAK CLOSING",0,-1))</f>
        <v>SESI TERAPI</v>
      </c>
      <c r="Y257" s="109" t="str">
        <f t="shared" si="4"/>
        <v>SESI</v>
      </c>
      <c r="Z257" s="127"/>
    </row>
    <row r="258" ht="22.5" customHeight="1">
      <c r="A258" s="122"/>
      <c r="B258" s="123">
        <v>45995.0</v>
      </c>
      <c r="C258" s="124" t="s">
        <v>963</v>
      </c>
      <c r="D258" s="124" t="str">
        <f t="shared" si="27"/>
        <v>12 Des</v>
      </c>
      <c r="E258" s="124" t="str">
        <f t="shared" si="28"/>
        <v>Kam</v>
      </c>
      <c r="F258" s="16" t="s">
        <v>53</v>
      </c>
      <c r="G258" s="109" t="str">
        <f t="array" ref="G258">IFNA(XLOOKUP(S258,'⚙️ Pengaturan'!$H$5:$H371,'⚙️ Pengaturan'!$I$5:$I371),"")</f>
        <v>TIM Y</v>
      </c>
      <c r="H258" s="109" t="s">
        <v>647</v>
      </c>
      <c r="I258" s="125" t="str">
        <f t="array" ref="I258">ifna(xlookup($H258,'🙎‍♂️ Pasien'!$G$7:$G371,'🙎‍♂️ Pasien'!$H$7:$H371),"")</f>
        <v>M6325122994</v>
      </c>
      <c r="J258" s="125" t="str">
        <f t="array" ref="J258">ifna(xlookup($H258,'🙎‍♂️ Pasien'!$G$7:$G371,'🙎‍♂️ Pasien'!$L$7:$L371),"")</f>
        <v>PEREMPUAN</v>
      </c>
      <c r="K258" s="125">
        <f t="array" ref="K258">ifna(xlookup($H258,'🙎‍♂️ Pasien'!$G$7:$G371,'🙎‍♂️ Pasien'!$I$7:$I371),"")</f>
        <v>63</v>
      </c>
      <c r="L258" s="125" t="str">
        <f t="array" ref="L258">IFNA(xlookup(H258,'🙎‍♂️ Pasien'!$G$5:$G371,'🙎‍♂️ Pasien'!$J$5:$J371),"")</f>
        <v>&gt; 44 tahun</v>
      </c>
      <c r="M258" s="125" t="str">
        <f t="array" ref="M258">IFNA(xlookup(H258,'🙎‍♂️ Pasien'!$G$5:$G371,'🙎‍♂️ Pasien'!$S$5:$S371),"")</f>
        <v>PENSIUNAN</v>
      </c>
      <c r="N258" s="125" t="str">
        <f t="array" ref="N258">IFNA(XLOOKUP($H258,'🙎‍♂️ Pasien'!$G$7:$G371,'🙎‍♂️ Pasien'!$T$7:$T371),"")</f>
        <v>SYARAT KEJEPIT</v>
      </c>
      <c r="O258" s="16" t="s">
        <v>945</v>
      </c>
      <c r="P258" s="16" t="s">
        <v>826</v>
      </c>
      <c r="Q258" s="16" t="s">
        <v>29</v>
      </c>
      <c r="R258" s="16" t="s">
        <v>54</v>
      </c>
      <c r="S258" s="16" t="s">
        <v>509</v>
      </c>
      <c r="T258" s="16" t="s">
        <v>834</v>
      </c>
      <c r="U258" s="109" t="s">
        <v>997</v>
      </c>
      <c r="V258" s="126"/>
      <c r="W258" s="109"/>
      <c r="X258" s="109" t="str">
        <f t="array" ref="X258">IF(H258="","",XLOOKUP(H258,CATATANPELAYANAN[[#ALL],[NAMA PASIEN]],CATATANPELAYANAN[[#ALL],[LAYANAN]],"TIDAK CLOSING",0,-1))</f>
        <v>TERAPI AWAL</v>
      </c>
      <c r="Y258" s="109" t="str">
        <f t="shared" si="4"/>
        <v>TIDAK CLOSING</v>
      </c>
      <c r="Z258" s="127"/>
    </row>
    <row r="259" ht="22.5" customHeight="1">
      <c r="A259" s="122"/>
      <c r="B259" s="123">
        <v>45995.0</v>
      </c>
      <c r="C259" s="124" t="str">
        <f t="shared" ref="C259:C264" si="30">IF(B259="","",text(B259,"yyyy"))</f>
        <v>2025</v>
      </c>
      <c r="D259" s="124" t="str">
        <f t="shared" si="27"/>
        <v>12 Des</v>
      </c>
      <c r="E259" s="124" t="str">
        <f t="shared" si="28"/>
        <v>Kam</v>
      </c>
      <c r="F259" s="16" t="s">
        <v>53</v>
      </c>
      <c r="G259" s="109" t="str">
        <f t="array" ref="G259">IFNA(XLOOKUP(S259,'⚙️ Pengaturan'!$H$5:$H371,'⚙️ Pengaturan'!$I$5:$I371),"")</f>
        <v>TIM Y</v>
      </c>
      <c r="H259" s="109" t="s">
        <v>669</v>
      </c>
      <c r="I259" s="125" t="str">
        <f t="array" ref="I259">ifna(xlookup($H259,'🙎‍♂️ Pasien'!$G$7:$G371,'🙎‍♂️ Pasien'!$H$7:$H371),"")</f>
        <v>L6625122686</v>
      </c>
      <c r="J259" s="125" t="str">
        <f t="array" ref="J259">ifna(xlookup($H259,'🙎‍♂️ Pasien'!$G$7:$G371,'🙎‍♂️ Pasien'!$L$7:$L371),"")</f>
        <v>PEREMPUAN</v>
      </c>
      <c r="K259" s="125">
        <f t="array" ref="K259">ifna(xlookup($H259,'🙎‍♂️ Pasien'!$G$7:$G371,'🙎‍♂️ Pasien'!$I$7:$I371),"")</f>
        <v>60</v>
      </c>
      <c r="L259" s="125" t="str">
        <f t="array" ref="L259">IFNA(xlookup(H259,'🙎‍♂️ Pasien'!$G$5:$G371,'🙎‍♂️ Pasien'!$J$5:$J371),"")</f>
        <v>&gt; 44 tahun</v>
      </c>
      <c r="M259" s="125" t="str">
        <f t="array" ref="M259">IFNA(xlookup(H259,'🙎‍♂️ Pasien'!$G$5:$G371,'🙎‍♂️ Pasien'!$S$5:$S371),"")</f>
        <v>DOKTER GIGI</v>
      </c>
      <c r="N259" s="125" t="str">
        <f t="array" ref="N259">IFNA(XLOOKUP($H259,'🙎‍♂️ Pasien'!$G$7:$G371,'🙎‍♂️ Pasien'!$T$7:$T371),"")</f>
        <v>PINGGANG</v>
      </c>
      <c r="O259" s="16" t="s">
        <v>938</v>
      </c>
      <c r="P259" s="16" t="s">
        <v>851</v>
      </c>
      <c r="Q259" s="16" t="s">
        <v>29</v>
      </c>
      <c r="R259" s="16" t="s">
        <v>54</v>
      </c>
      <c r="S259" s="16" t="s">
        <v>107</v>
      </c>
      <c r="T259" s="16" t="s">
        <v>834</v>
      </c>
      <c r="U259" s="109" t="s">
        <v>1052</v>
      </c>
      <c r="V259" s="126"/>
      <c r="W259" s="109"/>
      <c r="X259" s="109" t="str">
        <f t="array" ref="X259">IF(H259="","",XLOOKUP(H259,CATATANPELAYANAN[[#ALL],[NAMA PASIEN]],CATATANPELAYANAN[[#ALL],[LAYANAN]],"TIDAK CLOSING",0,-1))</f>
        <v>PAKET/SESI</v>
      </c>
      <c r="Y259" s="109" t="str">
        <f t="shared" si="4"/>
        <v>TIDAK CLOSING</v>
      </c>
      <c r="Z259" s="127"/>
    </row>
    <row r="260" ht="22.5" customHeight="1">
      <c r="A260" s="122"/>
      <c r="B260" s="123">
        <v>45995.0</v>
      </c>
      <c r="C260" s="124" t="str">
        <f t="shared" si="30"/>
        <v>2025</v>
      </c>
      <c r="D260" s="124" t="str">
        <f t="shared" si="27"/>
        <v>12 Des</v>
      </c>
      <c r="E260" s="124" t="str">
        <f t="shared" si="28"/>
        <v>Kam</v>
      </c>
      <c r="F260" s="16" t="s">
        <v>53</v>
      </c>
      <c r="G260" s="109" t="str">
        <f t="array" ref="G260">IFNA(XLOOKUP(S260,'⚙️ Pengaturan'!$H$5:$H371,'⚙️ Pengaturan'!$I$5:$I371),"")</f>
        <v>TIM Y</v>
      </c>
      <c r="H260" s="109" t="s">
        <v>667</v>
      </c>
      <c r="I260" s="125" t="str">
        <f t="array" ref="I260">ifna(xlookup($H260,'🙎‍♂️ Pasien'!$G$7:$G371,'🙎‍♂️ Pasien'!$H$7:$H371),"")</f>
        <v>M9425123698</v>
      </c>
      <c r="J260" s="125" t="str">
        <f t="array" ref="J260">ifna(xlookup($H260,'🙎‍♂️ Pasien'!$G$7:$G371,'🙎‍♂️ Pasien'!$L$7:$L371),"")</f>
        <v>LAKI-LAKI</v>
      </c>
      <c r="K260" s="125">
        <f t="array" ref="K260">ifna(xlookup($H260,'🙎‍♂️ Pasien'!$G$7:$G371,'🙎‍♂️ Pasien'!$I$7:$I371),"")</f>
        <v>31</v>
      </c>
      <c r="L260" s="125" t="str">
        <f t="array" ref="L260">IFNA(xlookup(H260,'🙎‍♂️ Pasien'!$G$5:$G371,'🙎‍♂️ Pasien'!$J$5:$J371),"")</f>
        <v>25-34 tahun</v>
      </c>
      <c r="M260" s="125" t="str">
        <f t="array" ref="M260">IFNA(xlookup(H260,'🙎‍♂️ Pasien'!$G$5:$G371,'🙎‍♂️ Pasien'!$S$5:$S371),"")</f>
        <v>SWASTA</v>
      </c>
      <c r="N260" s="125" t="str">
        <f t="array" ref="N260">IFNA(XLOOKUP($H260,'🙎‍♂️ Pasien'!$G$7:$G371,'🙎‍♂️ Pasien'!$T$7:$T371),"")</f>
        <v>NYERI KEPALA</v>
      </c>
      <c r="O260" s="138" t="s">
        <v>1053</v>
      </c>
      <c r="P260" s="16" t="s">
        <v>851</v>
      </c>
      <c r="Q260" s="16" t="s">
        <v>29</v>
      </c>
      <c r="R260" s="16" t="s">
        <v>54</v>
      </c>
      <c r="S260" s="16" t="s">
        <v>509</v>
      </c>
      <c r="T260" s="16" t="s">
        <v>827</v>
      </c>
      <c r="U260" s="109"/>
      <c r="V260" s="126"/>
      <c r="W260" s="109"/>
      <c r="X260" s="109" t="str">
        <f t="array" ref="X260">IF(H260="","",XLOOKUP(H260,CATATANPELAYANAN[[#ALL],[NAMA PASIEN]],CATATANPELAYANAN[[#ALL],[LAYANAN]],"TIDAK CLOSING",0,-1))</f>
        <v>SESI TERAPI</v>
      </c>
      <c r="Y260" s="109" t="str">
        <f t="shared" si="4"/>
        <v>SESI</v>
      </c>
      <c r="Z260" s="127"/>
    </row>
    <row r="261" ht="22.5" customHeight="1">
      <c r="A261" s="122"/>
      <c r="B261" s="123">
        <v>45995.0</v>
      </c>
      <c r="C261" s="124" t="str">
        <f t="shared" si="30"/>
        <v>2025</v>
      </c>
      <c r="D261" s="124" t="str">
        <f t="shared" si="27"/>
        <v>12 Des</v>
      </c>
      <c r="E261" s="124" t="str">
        <f t="shared" si="28"/>
        <v>Kam</v>
      </c>
      <c r="F261" s="16" t="s">
        <v>53</v>
      </c>
      <c r="G261" s="109" t="str">
        <f t="array" ref="G261">IFNA(XLOOKUP(S261,'⚙️ Pengaturan'!$H$5:$H371,'⚙️ Pengaturan'!$I$5:$I371),"")</f>
        <v>TIM Y</v>
      </c>
      <c r="H261" s="109" t="s">
        <v>648</v>
      </c>
      <c r="I261" s="125" t="str">
        <f t="array" ref="I261">ifna(xlookup($H261,'🙎‍♂️ Pasien'!$G$7:$G371,'🙎‍♂️ Pasien'!$H$7:$H371),"")</f>
        <v>L7425128709</v>
      </c>
      <c r="J261" s="125" t="str">
        <f t="array" ref="J261">ifna(xlookup($H261,'🙎‍♂️ Pasien'!$G$7:$G371,'🙎‍♂️ Pasien'!$L$7:$L371),"")</f>
        <v>LAKI-LAKI</v>
      </c>
      <c r="K261" s="125">
        <f t="array" ref="K261">ifna(xlookup($H261,'🙎‍♂️ Pasien'!$G$7:$G371,'🙎‍♂️ Pasien'!$I$7:$I371),"")</f>
        <v>51</v>
      </c>
      <c r="L261" s="125" t="str">
        <f t="array" ref="L261">IFNA(xlookup(H261,'🙎‍♂️ Pasien'!$G$5:$G371,'🙎‍♂️ Pasien'!$J$5:$J371),"")</f>
        <v>&gt; 44 tahun</v>
      </c>
      <c r="M261" s="125" t="str">
        <f t="array" ref="M261">IFNA(xlookup(H261,'🙎‍♂️ Pasien'!$G$5:$G371,'🙎‍♂️ Pasien'!$S$5:$S371),"")</f>
        <v>KARYAWAN SWASTA</v>
      </c>
      <c r="N261" s="125" t="str">
        <f t="array" ref="N261">IFNA(XLOOKUP($H261,'🙎‍♂️ Pasien'!$G$7:$G371,'🙎‍♂️ Pasien'!$T$7:$T371),"")</f>
        <v>FROZEN SHOULDER</v>
      </c>
      <c r="O261" s="16" t="s">
        <v>871</v>
      </c>
      <c r="P261" s="16" t="s">
        <v>869</v>
      </c>
      <c r="Q261" s="16" t="s">
        <v>29</v>
      </c>
      <c r="R261" s="16" t="s">
        <v>54</v>
      </c>
      <c r="S261" s="16" t="s">
        <v>91</v>
      </c>
      <c r="T261" s="16" t="s">
        <v>834</v>
      </c>
      <c r="U261" s="109" t="s">
        <v>1054</v>
      </c>
      <c r="V261" s="126"/>
      <c r="W261" s="109"/>
      <c r="X261" s="109" t="str">
        <f t="array" ref="X261">IF(H261="","",XLOOKUP(H261,CATATANPELAYANAN[[#ALL],[NAMA PASIEN]],CATATANPELAYANAN[[#ALL],[LAYANAN]],"TIDAK CLOSING",0,-1))</f>
        <v>TERAPI AWAL</v>
      </c>
      <c r="Y261" s="109" t="str">
        <f t="shared" si="4"/>
        <v>TIDAK CLOSING</v>
      </c>
      <c r="Z261" s="127"/>
    </row>
    <row r="262" ht="22.5" customHeight="1">
      <c r="A262" s="122"/>
      <c r="B262" s="123">
        <v>45995.0</v>
      </c>
      <c r="C262" s="124" t="str">
        <f t="shared" si="30"/>
        <v>2025</v>
      </c>
      <c r="D262" s="124" t="str">
        <f t="shared" si="27"/>
        <v>12 Des</v>
      </c>
      <c r="E262" s="124" t="str">
        <f t="shared" si="28"/>
        <v>Kam</v>
      </c>
      <c r="F262" s="16" t="s">
        <v>85</v>
      </c>
      <c r="G262" s="109" t="str">
        <f t="array" ref="G262">IFNA(XLOOKUP(S262,'⚙️ Pengaturan'!$H$5:$H371,'⚙️ Pengaturan'!$I$5:$I371),"")</f>
        <v>TIM A</v>
      </c>
      <c r="H262" s="109" t="s">
        <v>651</v>
      </c>
      <c r="I262" s="125" t="str">
        <f t="array" ref="I262">ifna(xlookup($H262,'🙎‍♂️ Pasien'!$G$7:$G371,'🙎‍♂️ Pasien'!$H$7:$H371),"")</f>
        <v>D9125126509</v>
      </c>
      <c r="J262" s="125" t="str">
        <f t="array" ref="J262">ifna(xlookup($H262,'🙎‍♂️ Pasien'!$G$7:$G371,'🙎‍♂️ Pasien'!$L$7:$L371),"")</f>
        <v>PEREMPUAN</v>
      </c>
      <c r="K262" s="125">
        <f t="array" ref="K262">ifna(xlookup($H262,'🙎‍♂️ Pasien'!$G$7:$G371,'🙎‍♂️ Pasien'!$I$7:$I371),"")</f>
        <v>34</v>
      </c>
      <c r="L262" s="125" t="str">
        <f t="array" ref="L262">IFNA(xlookup(H262,'🙎‍♂️ Pasien'!$G$5:$G371,'🙎‍♂️ Pasien'!$J$5:$J371),"")</f>
        <v>25-34 tahun</v>
      </c>
      <c r="M262" s="125" t="str">
        <f t="array" ref="M262">IFNA(xlookup(H262,'🙎‍♂️ Pasien'!$G$5:$G371,'🙎‍♂️ Pasien'!$S$5:$S371),"")</f>
        <v>PNS</v>
      </c>
      <c r="N262" s="125" t="str">
        <f t="array" ref="N262">IFNA(XLOOKUP($H262,'🙎‍♂️ Pasien'!$G$7:$G371,'🙎‍♂️ Pasien'!$T$7:$T371),"")</f>
        <v>CIDERA LUTUT</v>
      </c>
      <c r="O262" s="16" t="s">
        <v>842</v>
      </c>
      <c r="P262" s="16" t="s">
        <v>836</v>
      </c>
      <c r="Q262" s="16" t="s">
        <v>29</v>
      </c>
      <c r="R262" s="16" t="s">
        <v>86</v>
      </c>
      <c r="S262" s="16" t="s">
        <v>62</v>
      </c>
      <c r="T262" s="16" t="s">
        <v>827</v>
      </c>
      <c r="U262" s="109"/>
      <c r="V262" s="126"/>
      <c r="W262" s="109"/>
      <c r="X262" s="109" t="str">
        <f t="array" ref="X262">IF(H262="","",XLOOKUP(H262,CATATANPELAYANAN[[#ALL],[NAMA PASIEN]],CATATANPELAYANAN[[#ALL],[LAYANAN]],"TIDAK CLOSING",0,-1))</f>
        <v>SESI TERAPI</v>
      </c>
      <c r="Y262" s="109" t="str">
        <f t="shared" si="4"/>
        <v>SESI</v>
      </c>
      <c r="Z262" s="127"/>
    </row>
    <row r="263" ht="22.5" customHeight="1">
      <c r="A263" s="122"/>
      <c r="B263" s="123">
        <v>45996.0</v>
      </c>
      <c r="C263" s="124" t="str">
        <f t="shared" si="30"/>
        <v>2025</v>
      </c>
      <c r="D263" s="124" t="str">
        <f t="shared" si="27"/>
        <v>12 Des</v>
      </c>
      <c r="E263" s="124" t="str">
        <f t="shared" si="28"/>
        <v>Jum</v>
      </c>
      <c r="F263" s="16" t="s">
        <v>85</v>
      </c>
      <c r="G263" s="109" t="str">
        <f t="array" ref="G263">IFNA(XLOOKUP(S263,'⚙️ Pengaturan'!$H$5:$H371,'⚙️ Pengaturan'!$I$5:$I371),"")</f>
        <v>MANAJEMEN</v>
      </c>
      <c r="H263" s="109" t="s">
        <v>653</v>
      </c>
      <c r="I263" s="125" t="str">
        <f t="array" ref="I263">ifna(xlookup($H263,'🙎‍♂️ Pasien'!$G$7:$G371,'🙎‍♂️ Pasien'!$H$7:$H371),"")</f>
        <v>T8525127478</v>
      </c>
      <c r="J263" s="125" t="str">
        <f t="array" ref="J263">ifna(xlookup($H263,'🙎‍♂️ Pasien'!$G$7:$G371,'🙎‍♂️ Pasien'!$L$7:$L371),"")</f>
        <v>LAKI-LAKI</v>
      </c>
      <c r="K263" s="125">
        <f t="array" ref="K263">ifna(xlookup($H263,'🙎‍♂️ Pasien'!$G$7:$G371,'🙎‍♂️ Pasien'!$I$7:$I371),"")</f>
        <v>40</v>
      </c>
      <c r="L263" s="125" t="str">
        <f t="array" ref="L263">IFNA(xlookup(H263,'🙎‍♂️ Pasien'!$G$5:$G371,'🙎‍♂️ Pasien'!$J$5:$J371),"")</f>
        <v>35-44 tahun</v>
      </c>
      <c r="M263" s="125" t="str">
        <f t="array" ref="M263">IFNA(xlookup(H263,'🙎‍♂️ Pasien'!$G$5:$G371,'🙎‍♂️ Pasien'!$S$5:$S371),"")</f>
        <v>ASN</v>
      </c>
      <c r="N263" s="125" t="str">
        <f t="array" ref="N263">IFNA(XLOOKUP($H263,'🙎‍♂️ Pasien'!$G$7:$G371,'🙎‍♂️ Pasien'!$T$7:$T371),"")</f>
        <v>LENGAN SAKIT</v>
      </c>
      <c r="O263" s="16" t="s">
        <v>1055</v>
      </c>
      <c r="P263" s="16" t="s">
        <v>839</v>
      </c>
      <c r="Q263" s="16" t="s">
        <v>28</v>
      </c>
      <c r="R263" s="16" t="s">
        <v>134</v>
      </c>
      <c r="S263" s="16" t="s">
        <v>101</v>
      </c>
      <c r="T263" s="16" t="s">
        <v>834</v>
      </c>
      <c r="U263" s="109" t="s">
        <v>1056</v>
      </c>
      <c r="V263" s="126"/>
      <c r="W263" s="109"/>
      <c r="X263" s="109" t="str">
        <f t="array" ref="X263">IF(H263="","",XLOOKUP(H263,CATATANPELAYANAN[[#ALL],[NAMA PASIEN]],CATATANPELAYANAN[[#ALL],[LAYANAN]],"TIDAK CLOSING",0,-1))</f>
        <v>TERAPI AWAL</v>
      </c>
      <c r="Y263" s="109" t="str">
        <f t="shared" si="4"/>
        <v>TIDAK CLOSING</v>
      </c>
      <c r="Z263" s="127"/>
    </row>
    <row r="264" ht="22.5" customHeight="1">
      <c r="A264" s="122"/>
      <c r="B264" s="123">
        <v>45997.0</v>
      </c>
      <c r="C264" s="124" t="str">
        <f t="shared" si="30"/>
        <v>2025</v>
      </c>
      <c r="D264" s="124" t="str">
        <f t="shared" si="27"/>
        <v>12 Des</v>
      </c>
      <c r="E264" s="124" t="str">
        <f t="shared" si="28"/>
        <v>Sab</v>
      </c>
      <c r="F264" s="16" t="s">
        <v>53</v>
      </c>
      <c r="G264" s="109" t="str">
        <f t="array" ref="G264">IFNA(XLOOKUP(S264,'⚙️ Pengaturan'!$H$5:$H371,'⚙️ Pengaturan'!$I$5:$I371),"")</f>
        <v>TIM A</v>
      </c>
      <c r="H264" s="109" t="s">
        <v>642</v>
      </c>
      <c r="I264" s="125" t="str">
        <f t="array" ref="I264">ifna(xlookup($H264,'🙎‍♂️ Pasien'!$G$7:$G371,'🙎‍♂️ Pasien'!$H$7:$H371),"")</f>
        <v>D7925125149</v>
      </c>
      <c r="J264" s="125" t="str">
        <f t="array" ref="J264">ifna(xlookup($H264,'🙎‍♂️ Pasien'!$G$7:$G371,'🙎‍♂️ Pasien'!$L$7:$L371),"")</f>
        <v>LAKI-LAKI</v>
      </c>
      <c r="K264" s="125">
        <f t="array" ref="K264">ifna(xlookup($H264,'🙎‍♂️ Pasien'!$G$7:$G371,'🙎‍♂️ Pasien'!$I$7:$I371),"")</f>
        <v>46</v>
      </c>
      <c r="L264" s="125" t="str">
        <f t="array" ref="L264">IFNA(xlookup(H264,'🙎‍♂️ Pasien'!$G$5:$G371,'🙎‍♂️ Pasien'!$J$5:$J371),"")</f>
        <v>&gt; 44 tahun</v>
      </c>
      <c r="M264" s="125" t="str">
        <f t="array" ref="M264">IFNA(xlookup(H264,'🙎‍♂️ Pasien'!$G$5:$G371,'🙎‍♂️ Pasien'!$S$5:$S371),"")</f>
        <v>SWASTA</v>
      </c>
      <c r="N264" s="125" t="str">
        <f t="array" ref="N264">IFNA(XLOOKUP($H264,'🙎‍♂️ Pasien'!$G$7:$G371,'🙎‍♂️ Pasien'!$T$7:$T371),"")</f>
        <v>TENIS ELBOW</v>
      </c>
      <c r="O264" s="16" t="s">
        <v>1057</v>
      </c>
      <c r="P264" s="16" t="s">
        <v>836</v>
      </c>
      <c r="Q264" s="16" t="s">
        <v>28</v>
      </c>
      <c r="R264" s="16" t="s">
        <v>54</v>
      </c>
      <c r="S264" s="16" t="s">
        <v>79</v>
      </c>
      <c r="T264" s="16" t="s">
        <v>830</v>
      </c>
      <c r="U264" s="109"/>
      <c r="V264" s="126"/>
      <c r="W264" s="109"/>
      <c r="X264" s="109" t="str">
        <f t="array" ref="X264">IF(H264="","",XLOOKUP(H264,CATATANPELAYANAN[[#ALL],[NAMA PASIEN]],CATATANPELAYANAN[[#ALL],[LAYANAN]],"TIDAK CLOSING",0,-1))</f>
        <v>PAKET TERAPI</v>
      </c>
      <c r="Y264" s="109" t="str">
        <f t="shared" si="4"/>
        <v>PAKET</v>
      </c>
      <c r="Z264" s="127"/>
    </row>
    <row r="265" ht="22.5" customHeight="1">
      <c r="A265" s="122"/>
      <c r="B265" s="123">
        <v>45997.0</v>
      </c>
      <c r="C265" s="124" t="s">
        <v>963</v>
      </c>
      <c r="D265" s="124" t="str">
        <f t="shared" si="27"/>
        <v>12 Des</v>
      </c>
      <c r="E265" s="124" t="str">
        <f t="shared" si="28"/>
        <v>Sab</v>
      </c>
      <c r="F265" s="16" t="s">
        <v>53</v>
      </c>
      <c r="G265" s="109" t="str">
        <f t="array" ref="G265">IFNA(XLOOKUP(S265,'⚙️ Pengaturan'!$H$5:$H371,'⚙️ Pengaturan'!$I$5:$I371),"")</f>
        <v>TIM A</v>
      </c>
      <c r="H265" s="109" t="s">
        <v>1058</v>
      </c>
      <c r="I265" s="125" t="str">
        <f t="array" ref="I265">ifna(xlookup($H265,'🙎‍♂️ Pasien'!$G$7:$G371,'🙎‍♂️ Pasien'!$H$7:$H371),"")</f>
        <v>W9225123275</v>
      </c>
      <c r="J265" s="125" t="str">
        <f t="array" ref="J265">ifna(xlookup($H265,'🙎‍♂️ Pasien'!$G$7:$G371,'🙎‍♂️ Pasien'!$L$7:$L371),"")</f>
        <v>PEREMPUAN</v>
      </c>
      <c r="K265" s="125">
        <f t="array" ref="K265">ifna(xlookup($H265,'🙎‍♂️ Pasien'!$G$7:$G371,'🙎‍♂️ Pasien'!$I$7:$I371),"")</f>
        <v>33</v>
      </c>
      <c r="L265" s="125" t="str">
        <f t="array" ref="L265">IFNA(xlookup(H265,'🙎‍♂️ Pasien'!$G$5:$G371,'🙎‍♂️ Pasien'!$J$5:$J371),"")</f>
        <v>25-34 tahun</v>
      </c>
      <c r="M265" s="125" t="str">
        <f t="array" ref="M265">IFNA(xlookup(H265,'🙎‍♂️ Pasien'!$G$5:$G371,'🙎‍♂️ Pasien'!$S$5:$S371),"")</f>
        <v>PEGAWAU SWASTA</v>
      </c>
      <c r="N265" s="125" t="str">
        <f t="array" ref="N265">IFNA(XLOOKUP($H265,'🙎‍♂️ Pasien'!$G$7:$G371,'🙎‍♂️ Pasien'!$T$7:$T371),"")</f>
        <v>TANGAN SAKIT DAN SUSAH MENGANGKAT BARANG</v>
      </c>
      <c r="O265" s="16" t="s">
        <v>908</v>
      </c>
      <c r="P265" s="16" t="s">
        <v>866</v>
      </c>
      <c r="Q265" s="16" t="s">
        <v>29</v>
      </c>
      <c r="R265" s="16" t="s">
        <v>54</v>
      </c>
      <c r="S265" s="16" t="s">
        <v>72</v>
      </c>
      <c r="T265" s="16" t="s">
        <v>827</v>
      </c>
      <c r="U265" s="109"/>
      <c r="V265" s="126"/>
      <c r="W265" s="109"/>
      <c r="X265" s="109" t="str">
        <f t="array" ref="X265">IF(H265="","",XLOOKUP(H265,CATATANPELAYANAN[[#ALL],[NAMA PASIEN]],CATATANPELAYANAN[[#ALL],[LAYANAN]],"TIDAK CLOSING",0,-1))</f>
        <v>TIDAK CLOSING</v>
      </c>
      <c r="Y265" s="109" t="str">
        <f t="shared" si="4"/>
        <v>TIDAK CLOSING</v>
      </c>
      <c r="Z265" s="127"/>
    </row>
    <row r="266" ht="22.5" customHeight="1">
      <c r="A266" s="122"/>
      <c r="B266" s="123">
        <v>45997.0</v>
      </c>
      <c r="C266" s="124" t="str">
        <f t="shared" ref="C266:C267" si="31">IF(B266="","",text(B266,"yyyy"))</f>
        <v>2025</v>
      </c>
      <c r="D266" s="124" t="str">
        <f t="shared" si="27"/>
        <v>12 Des</v>
      </c>
      <c r="E266" s="124" t="str">
        <f t="shared" si="28"/>
        <v>Sab</v>
      </c>
      <c r="F266" s="16" t="s">
        <v>53</v>
      </c>
      <c r="G266" s="109" t="str">
        <f t="array" ref="G266">IFNA(XLOOKUP(S266,'⚙️ Pengaturan'!$H$5:$H371,'⚙️ Pengaturan'!$I$5:$I371),"")</f>
        <v>TIM Y</v>
      </c>
      <c r="H266" s="109" t="s">
        <v>660</v>
      </c>
      <c r="I266" s="125" t="str">
        <f t="array" ref="I266">ifna(xlookup($H266,'🙎‍♂️ Pasien'!$G$7:$G371,'🙎‍♂️ Pasien'!$H$7:$H371),"")</f>
        <v>I7225127895</v>
      </c>
      <c r="J266" s="125" t="str">
        <f t="array" ref="J266">ifna(xlookup($H266,'🙎‍♂️ Pasien'!$G$7:$G371,'🙎‍♂️ Pasien'!$L$7:$L371),"")</f>
        <v>LAKI-LAKI</v>
      </c>
      <c r="K266" s="125">
        <f t="array" ref="K266">ifna(xlookup($H266,'🙎‍♂️ Pasien'!$G$7:$G371,'🙎‍♂️ Pasien'!$I$7:$I371),"")</f>
        <v>54</v>
      </c>
      <c r="L266" s="125" t="str">
        <f t="array" ref="L266">IFNA(xlookup(H266,'🙎‍♂️ Pasien'!$G$5:$G371,'🙎‍♂️ Pasien'!$J$5:$J371),"")</f>
        <v>&gt; 44 tahun</v>
      </c>
      <c r="M266" s="125" t="str">
        <f t="array" ref="M266">IFNA(xlookup(H266,'🙎‍♂️ Pasien'!$G$5:$G371,'🙎‍♂️ Pasien'!$S$5:$S371),"")</f>
        <v>ASN</v>
      </c>
      <c r="N266" s="125" t="str">
        <f t="array" ref="N266">IFNA(XLOOKUP($H266,'🙎‍♂️ Pasien'!$G$7:$G371,'🙎‍♂️ Pasien'!$T$7:$T371),"")</f>
        <v>LUTUT SAKIT MENJALAN SAMPE PINGGANG</v>
      </c>
      <c r="O266" s="16" t="s">
        <v>945</v>
      </c>
      <c r="P266" s="16" t="s">
        <v>826</v>
      </c>
      <c r="Q266" s="16" t="s">
        <v>29</v>
      </c>
      <c r="R266" s="16" t="s">
        <v>86</v>
      </c>
      <c r="S266" s="16" t="s">
        <v>509</v>
      </c>
      <c r="T266" s="16" t="s">
        <v>834</v>
      </c>
      <c r="U266" s="109" t="s">
        <v>831</v>
      </c>
      <c r="V266" s="126"/>
      <c r="W266" s="109"/>
      <c r="X266" s="109" t="str">
        <f t="array" ref="X266">IF(H266="","",XLOOKUP(H266,CATATANPELAYANAN[[#ALL],[NAMA PASIEN]],CATATANPELAYANAN[[#ALL],[LAYANAN]],"TIDAK CLOSING",0,-1))</f>
        <v>TERAPI AWAL</v>
      </c>
      <c r="Y266" s="109" t="str">
        <f t="shared" si="4"/>
        <v>TIDAK CLOSING</v>
      </c>
      <c r="Z266" s="127"/>
    </row>
    <row r="267" ht="22.5" customHeight="1">
      <c r="A267" s="122"/>
      <c r="B267" s="123">
        <v>45997.0</v>
      </c>
      <c r="C267" s="124" t="str">
        <f t="shared" si="31"/>
        <v>2025</v>
      </c>
      <c r="D267" s="124" t="str">
        <f t="shared" si="27"/>
        <v>12 Des</v>
      </c>
      <c r="E267" s="124" t="str">
        <f t="shared" si="28"/>
        <v>Sab</v>
      </c>
      <c r="F267" s="16" t="s">
        <v>53</v>
      </c>
      <c r="G267" s="109" t="str">
        <f t="array" ref="G267">IFNA(XLOOKUP(S267,'⚙️ Pengaturan'!$H$5:$H371,'⚙️ Pengaturan'!$I$5:$I371),"")</f>
        <v>TIM Y</v>
      </c>
      <c r="H267" s="109" t="s">
        <v>1059</v>
      </c>
      <c r="I267" s="125" t="str">
        <f t="array" ref="I267">ifna(xlookup($H267,'🙎‍♂️ Pasien'!$G$7:$G371,'🙎‍♂️ Pasien'!$H$7:$H371),"")</f>
        <v/>
      </c>
      <c r="J267" s="125" t="str">
        <f t="array" ref="J267">ifna(xlookup($H267,'🙎‍♂️ Pasien'!$G$7:$G371,'🙎‍♂️ Pasien'!$L$7:$L371),"")</f>
        <v/>
      </c>
      <c r="K267" s="125" t="str">
        <f t="array" ref="K267">ifna(xlookup($H267,'🙎‍♂️ Pasien'!$G$7:$G371,'🙎‍♂️ Pasien'!$I$7:$I371),"")</f>
        <v/>
      </c>
      <c r="L267" s="125" t="str">
        <f t="array" ref="L267">IFNA(xlookup(H267,'🙎‍♂️ Pasien'!$G$5:$G371,'🙎‍♂️ Pasien'!$J$5:$J371),"")</f>
        <v/>
      </c>
      <c r="M267" s="125" t="str">
        <f t="array" ref="M267">IFNA(xlookup(H267,'🙎‍♂️ Pasien'!$G$5:$G371,'🙎‍♂️ Pasien'!$S$5:$S371),"")</f>
        <v/>
      </c>
      <c r="N267" s="125" t="str">
        <f t="array" ref="N267">IFNA(XLOOKUP($H267,'🙎‍♂️ Pasien'!$G$7:$G371,'🙎‍♂️ Pasien'!$T$7:$T371),"")</f>
        <v/>
      </c>
      <c r="O267" s="16" t="s">
        <v>1029</v>
      </c>
      <c r="P267" s="16" t="s">
        <v>836</v>
      </c>
      <c r="Q267" s="16" t="s">
        <v>29</v>
      </c>
      <c r="R267" s="16" t="s">
        <v>86</v>
      </c>
      <c r="S267" s="16" t="s">
        <v>509</v>
      </c>
      <c r="T267" s="16" t="s">
        <v>834</v>
      </c>
      <c r="U267" s="109" t="s">
        <v>831</v>
      </c>
      <c r="V267" s="126"/>
      <c r="W267" s="109"/>
      <c r="X267" s="109" t="str">
        <f t="array" ref="X267">IF(H267="","",XLOOKUP(H267,CATATANPELAYANAN[[#ALL],[NAMA PASIEN]],CATATANPELAYANAN[[#ALL],[LAYANAN]],"TIDAK CLOSING",0,-1))</f>
        <v>TIDAK CLOSING</v>
      </c>
      <c r="Y267" s="109" t="str">
        <f t="shared" si="4"/>
        <v>TIDAK CLOSING</v>
      </c>
      <c r="Z267" s="127"/>
    </row>
    <row r="268" ht="22.5" customHeight="1">
      <c r="A268" s="122"/>
      <c r="B268" s="123">
        <v>45997.0</v>
      </c>
      <c r="C268" s="124" t="s">
        <v>963</v>
      </c>
      <c r="D268" s="124" t="str">
        <f t="shared" si="27"/>
        <v>12 Des</v>
      </c>
      <c r="E268" s="124" t="str">
        <f t="shared" si="28"/>
        <v>Sab</v>
      </c>
      <c r="F268" s="16" t="s">
        <v>53</v>
      </c>
      <c r="G268" s="109" t="str">
        <f t="array" ref="G268">IFNA(XLOOKUP(S268,'⚙️ Pengaturan'!$H$5:$H371,'⚙️ Pengaturan'!$I$5:$I371),"")</f>
        <v>TIM Y</v>
      </c>
      <c r="H268" s="109" t="s">
        <v>251</v>
      </c>
      <c r="I268" s="125" t="str">
        <f t="array" ref="I268">ifna(xlookup($H268,'🙎‍♂️ Pasien'!$G$7:$G371,'🙎‍♂️ Pasien'!$H$7:$H371),"")</f>
        <v/>
      </c>
      <c r="J268" s="125" t="str">
        <f t="array" ref="J268">ifna(xlookup($H268,'🙎‍♂️ Pasien'!$G$7:$G371,'🙎‍♂️ Pasien'!$L$7:$L371),"")</f>
        <v/>
      </c>
      <c r="K268" s="125" t="str">
        <f t="array" ref="K268">ifna(xlookup($H268,'🙎‍♂️ Pasien'!$G$7:$G371,'🙎‍♂️ Pasien'!$I$7:$I371),"")</f>
        <v/>
      </c>
      <c r="L268" s="125" t="str">
        <f t="array" ref="L268">IFNA(xlookup(H268,'🙎‍♂️ Pasien'!$G$5:$G371,'🙎‍♂️ Pasien'!$J$5:$J371),"")</f>
        <v/>
      </c>
      <c r="M268" s="125" t="str">
        <f t="array" ref="M268">IFNA(xlookup(H268,'🙎‍♂️ Pasien'!$G$5:$G371,'🙎‍♂️ Pasien'!$S$5:$S371),"")</f>
        <v/>
      </c>
      <c r="N268" s="125" t="str">
        <f t="array" ref="N268">IFNA(XLOOKUP($H268,'🙎‍♂️ Pasien'!$G$7:$G371,'🙎‍♂️ Pasien'!$T$7:$T371),"")</f>
        <v/>
      </c>
      <c r="O268" s="16" t="s">
        <v>1050</v>
      </c>
      <c r="P268" s="16" t="s">
        <v>839</v>
      </c>
      <c r="Q268" s="16" t="s">
        <v>29</v>
      </c>
      <c r="R268" s="16" t="s">
        <v>86</v>
      </c>
      <c r="S268" s="16" t="s">
        <v>88</v>
      </c>
      <c r="T268" s="16" t="s">
        <v>834</v>
      </c>
      <c r="U268" s="109" t="s">
        <v>1060</v>
      </c>
      <c r="V268" s="126"/>
      <c r="W268" s="109"/>
      <c r="X268" s="109" t="str">
        <f t="array" ref="X268">IF(H268="","",XLOOKUP(H268,CATATANPELAYANAN[[#ALL],[NAMA PASIEN]],CATATANPELAYANAN[[#ALL],[LAYANAN]],"TIDAK CLOSING",0,-1))</f>
        <v>TERAPI AWAL</v>
      </c>
      <c r="Y268" s="109" t="str">
        <f t="shared" si="4"/>
        <v>TIDAK CLOSING</v>
      </c>
      <c r="Z268" s="127"/>
    </row>
    <row r="269" ht="22.5" customHeight="1">
      <c r="A269" s="122"/>
      <c r="B269" s="123">
        <v>45998.0</v>
      </c>
      <c r="C269" s="124" t="str">
        <f t="shared" ref="C269:C276" si="32">IF(B269="","",text(B269,"yyyy"))</f>
        <v>2025</v>
      </c>
      <c r="D269" s="124" t="str">
        <f t="shared" si="27"/>
        <v>12 Des</v>
      </c>
      <c r="E269" s="124" t="str">
        <f t="shared" si="28"/>
        <v>Min</v>
      </c>
      <c r="F269" s="16" t="s">
        <v>53</v>
      </c>
      <c r="G269" s="109" t="str">
        <f t="array" ref="G269">IFNA(XLOOKUP(S269,'⚙️ Pengaturan'!$H$5:$H371,'⚙️ Pengaturan'!$I$5:$I371),"")</f>
        <v>TIM A</v>
      </c>
      <c r="H269" s="109" t="s">
        <v>663</v>
      </c>
      <c r="I269" s="125" t="str">
        <f t="array" ref="I269">ifna(xlookup($H269,'🙎‍♂️ Pasien'!$G$7:$G371,'🙎‍♂️ Pasien'!$H$7:$H371),"")</f>
        <v>U6125123244</v>
      </c>
      <c r="J269" s="125" t="str">
        <f t="array" ref="J269">ifna(xlookup($H269,'🙎‍♂️ Pasien'!$G$7:$G371,'🙎‍♂️ Pasien'!$L$7:$L371),"")</f>
        <v>LAKI-LAKI</v>
      </c>
      <c r="K269" s="125">
        <f t="array" ref="K269">ifna(xlookup($H269,'🙎‍♂️ Pasien'!$G$7:$G371,'🙎‍♂️ Pasien'!$I$7:$I371),"")</f>
        <v>65</v>
      </c>
      <c r="L269" s="125" t="str">
        <f t="array" ref="L269">IFNA(xlookup(H269,'🙎‍♂️ Pasien'!$G$5:$G371,'🙎‍♂️ Pasien'!$J$5:$J371),"")</f>
        <v>&gt; 44 tahun</v>
      </c>
      <c r="M269" s="125" t="str">
        <f t="array" ref="M269">IFNA(xlookup(H269,'🙎‍♂️ Pasien'!$G$5:$G371,'🙎‍♂️ Pasien'!$S$5:$S371),"")</f>
        <v>PENSIUNAN</v>
      </c>
      <c r="N269" s="125" t="str">
        <f t="array" ref="N269">IFNA(XLOOKUP($H269,'🙎‍♂️ Pasien'!$G$7:$G371,'🙎‍♂️ Pasien'!$T$7:$T371),"")</f>
        <v>PINGGANG</v>
      </c>
      <c r="O269" s="16" t="s">
        <v>926</v>
      </c>
      <c r="P269" s="16" t="s">
        <v>826</v>
      </c>
      <c r="Q269" s="16" t="s">
        <v>27</v>
      </c>
      <c r="R269" s="16" t="s">
        <v>54</v>
      </c>
      <c r="S269" s="16" t="s">
        <v>79</v>
      </c>
      <c r="T269" s="16" t="s">
        <v>834</v>
      </c>
      <c r="U269" s="109" t="s">
        <v>831</v>
      </c>
      <c r="V269" s="126"/>
      <c r="W269" s="109"/>
      <c r="X269" s="109" t="str">
        <f t="array" ref="X269">IF(H269="","",XLOOKUP(H269,CATATANPELAYANAN[[#ALL],[NAMA PASIEN]],CATATANPELAYANAN[[#ALL],[LAYANAN]],"TIDAK CLOSING",0,-1))</f>
        <v>TERAPI AWAL</v>
      </c>
      <c r="Y269" s="109" t="str">
        <f t="shared" si="4"/>
        <v>TIDAK CLOSING</v>
      </c>
      <c r="Z269" s="127"/>
    </row>
    <row r="270" ht="22.5" customHeight="1">
      <c r="A270" s="122"/>
      <c r="B270" s="123">
        <v>45998.0</v>
      </c>
      <c r="C270" s="124" t="str">
        <f t="shared" si="32"/>
        <v>2025</v>
      </c>
      <c r="D270" s="124" t="str">
        <f t="shared" si="27"/>
        <v>12 Des</v>
      </c>
      <c r="E270" s="124" t="str">
        <f t="shared" si="28"/>
        <v>Min</v>
      </c>
      <c r="F270" s="16" t="s">
        <v>53</v>
      </c>
      <c r="G270" s="109" t="str">
        <f t="array" ref="G270">IFNA(XLOOKUP(S270,'⚙️ Pengaturan'!$H$5:$H371,'⚙️ Pengaturan'!$I$5:$I371),"")</f>
        <v>TIM A</v>
      </c>
      <c r="H270" s="109" t="s">
        <v>664</v>
      </c>
      <c r="I270" s="125" t="str">
        <f t="array" ref="I270">ifna(xlookup($H270,'🙎‍♂️ Pasien'!$G$7:$G371,'🙎‍♂️ Pasien'!$H$7:$H371),"")</f>
        <v>R5825122217</v>
      </c>
      <c r="J270" s="125" t="str">
        <f t="array" ref="J270">ifna(xlookup($H270,'🙎‍♂️ Pasien'!$G$7:$G371,'🙎‍♂️ Pasien'!$L$7:$L371),"")</f>
        <v>PEREMPUAN</v>
      </c>
      <c r="K270" s="125">
        <f t="array" ref="K270">ifna(xlookup($H270,'🙎‍♂️ Pasien'!$G$7:$G371,'🙎‍♂️ Pasien'!$I$7:$I371),"")</f>
        <v>67</v>
      </c>
      <c r="L270" s="125" t="str">
        <f t="array" ref="L270">IFNA(xlookup(H270,'🙎‍♂️ Pasien'!$G$5:$G371,'🙎‍♂️ Pasien'!$J$5:$J371),"")</f>
        <v>&gt; 44 tahun</v>
      </c>
      <c r="M270" s="125" t="str">
        <f t="array" ref="M270">IFNA(xlookup(H270,'🙎‍♂️ Pasien'!$G$5:$G371,'🙎‍♂️ Pasien'!$S$5:$S371),"")</f>
        <v>IBU RUMAH TANGGA</v>
      </c>
      <c r="N270" s="125" t="str">
        <f t="array" ref="N270">IFNA(XLOOKUP($H270,'🙎‍♂️ Pasien'!$G$7:$G371,'🙎‍♂️ Pasien'!$T$7:$T371),"")</f>
        <v>KEADAAN SEBELUMNYA JALAN AGAK SUSAH SEMINGGU TERAKHIR MENGALAMI CEDERA (KESELEO) SUDAH PERNAH DI URUT TAPI TIDAK ADA PERUBAHAN</v>
      </c>
      <c r="O270" s="16" t="s">
        <v>1061</v>
      </c>
      <c r="P270" s="16" t="s">
        <v>845</v>
      </c>
      <c r="Q270" s="36" t="s">
        <v>29</v>
      </c>
      <c r="R270" s="36" t="s">
        <v>54</v>
      </c>
      <c r="S270" s="16" t="s">
        <v>72</v>
      </c>
      <c r="T270" s="16" t="s">
        <v>834</v>
      </c>
      <c r="U270" s="109" t="s">
        <v>1062</v>
      </c>
      <c r="V270" s="126"/>
      <c r="W270" s="109"/>
      <c r="X270" s="109" t="str">
        <f t="array" ref="X270">IF(H270="","",XLOOKUP(H270,CATATANPELAYANAN[[#ALL],[NAMA PASIEN]],CATATANPELAYANAN[[#ALL],[LAYANAN]],"TIDAK CLOSING",0,-1))</f>
        <v>TERAPI AWAL</v>
      </c>
      <c r="Y270" s="109" t="str">
        <f t="shared" si="4"/>
        <v>TIDAK CLOSING</v>
      </c>
      <c r="Z270" s="127"/>
    </row>
    <row r="271" ht="22.5" customHeight="1">
      <c r="A271" s="122"/>
      <c r="B271" s="123">
        <v>45998.0</v>
      </c>
      <c r="C271" s="124" t="str">
        <f t="shared" si="32"/>
        <v>2025</v>
      </c>
      <c r="D271" s="124" t="str">
        <f t="shared" si="27"/>
        <v>12 Des</v>
      </c>
      <c r="E271" s="124" t="str">
        <f t="shared" si="28"/>
        <v>Min</v>
      </c>
      <c r="F271" s="16" t="s">
        <v>53</v>
      </c>
      <c r="G271" s="109" t="str">
        <f t="array" ref="G271">IFNA(XLOOKUP(S271,'⚙️ Pengaturan'!$H$5:$H371,'⚙️ Pengaturan'!$I$5:$I371),"")</f>
        <v>TIM A</v>
      </c>
      <c r="H271" s="109" t="s">
        <v>1063</v>
      </c>
      <c r="I271" s="125" t="str">
        <f t="array" ref="I271">ifna(xlookup($H271,'🙎‍♂️ Pasien'!$G$7:$G371,'🙎‍♂️ Pasien'!$H$7:$H371),"")</f>
        <v>N9125121100</v>
      </c>
      <c r="J271" s="125" t="str">
        <f t="array" ref="J271">ifna(xlookup($H271,'🙎‍♂️ Pasien'!$G$7:$G371,'🙎‍♂️ Pasien'!$L$7:$L371),"")</f>
        <v>PEREMPUAN</v>
      </c>
      <c r="K271" s="125">
        <f t="array" ref="K271">ifna(xlookup($H271,'🙎‍♂️ Pasien'!$G$7:$G371,'🙎‍♂️ Pasien'!$I$7:$I371),"")</f>
        <v>35</v>
      </c>
      <c r="L271" s="125" t="str">
        <f t="array" ref="L271">IFNA(xlookup(H271,'🙎‍♂️ Pasien'!$G$5:$G371,'🙎‍♂️ Pasien'!$J$5:$J371),"")</f>
        <v>35-44 tahun</v>
      </c>
      <c r="M271" s="125" t="str">
        <f t="array" ref="M271">IFNA(xlookup(H271,'🙎‍♂️ Pasien'!$G$5:$G371,'🙎‍♂️ Pasien'!$S$5:$S371),"")</f>
        <v>WIRASWASTA</v>
      </c>
      <c r="N271" s="125" t="str">
        <f t="array" ref="N271">IFNA(XLOOKUP($H271,'🙎‍♂️ Pasien'!$G$7:$G371,'🙎‍♂️ Pasien'!$T$7:$T371),"")</f>
        <v>SAKIT PERGELANGAN TANGAN KANAN</v>
      </c>
      <c r="O271" s="16" t="s">
        <v>908</v>
      </c>
      <c r="P271" s="16" t="s">
        <v>866</v>
      </c>
      <c r="Q271" s="36" t="s">
        <v>29</v>
      </c>
      <c r="R271" s="36" t="s">
        <v>54</v>
      </c>
      <c r="S271" s="16" t="s">
        <v>72</v>
      </c>
      <c r="T271" s="16" t="s">
        <v>834</v>
      </c>
      <c r="U271" s="109" t="s">
        <v>920</v>
      </c>
      <c r="V271" s="126"/>
      <c r="W271" s="109"/>
      <c r="X271" s="109" t="str">
        <f t="array" ref="X271">IF(H271="","",XLOOKUP(H271,CATATANPELAYANAN[[#ALL],[NAMA PASIEN]],CATATANPELAYANAN[[#ALL],[LAYANAN]],"TIDAK CLOSING",0,-1))</f>
        <v>TIDAK CLOSING</v>
      </c>
      <c r="Y271" s="109" t="str">
        <f t="shared" si="4"/>
        <v>TIDAK CLOSING</v>
      </c>
      <c r="Z271" s="127"/>
    </row>
    <row r="272" ht="22.5" customHeight="1">
      <c r="A272" s="122"/>
      <c r="B272" s="123">
        <v>45998.0</v>
      </c>
      <c r="C272" s="124" t="str">
        <f t="shared" si="32"/>
        <v>2025</v>
      </c>
      <c r="D272" s="124" t="str">
        <f t="shared" si="27"/>
        <v>12 Des</v>
      </c>
      <c r="E272" s="124" t="str">
        <f t="shared" si="28"/>
        <v>Min</v>
      </c>
      <c r="F272" s="16" t="s">
        <v>53</v>
      </c>
      <c r="G272" s="109" t="str">
        <f t="array" ref="G272">IFNA(XLOOKUP(S272,'⚙️ Pengaturan'!$H$5:$H371,'⚙️ Pengaturan'!$I$5:$I371),"")</f>
        <v>TIM Y</v>
      </c>
      <c r="H272" s="109" t="s">
        <v>666</v>
      </c>
      <c r="I272" s="125" t="str">
        <f t="array" ref="I272">ifna(xlookup($H272,'🙎‍♂️ Pasien'!$G$7:$G371,'🙎‍♂️ Pasien'!$H$7:$H371),"")</f>
        <v>B0025121417</v>
      </c>
      <c r="J272" s="125" t="str">
        <f t="array" ref="J272">ifna(xlookup($H272,'🙎‍♂️ Pasien'!$G$7:$G371,'🙎‍♂️ Pasien'!$L$7:$L371),"")</f>
        <v>LAKI-LAKI</v>
      </c>
      <c r="K272" s="125">
        <f t="array" ref="K272">ifna(xlookup($H272,'🙎‍♂️ Pasien'!$G$7:$G371,'🙎‍♂️ Pasien'!$I$7:$I371),"")</f>
        <v>25</v>
      </c>
      <c r="L272" s="125" t="str">
        <f t="array" ref="L272">IFNA(xlookup(H272,'🙎‍♂️ Pasien'!$G$5:$G371,'🙎‍♂️ Pasien'!$J$5:$J371),"")</f>
        <v>25-34 tahun</v>
      </c>
      <c r="M272" s="125" t="str">
        <f t="array" ref="M272">IFNA(xlookup(H272,'🙎‍♂️ Pasien'!$G$5:$G371,'🙎‍♂️ Pasien'!$S$5:$S371),"")</f>
        <v>PEGAWAI</v>
      </c>
      <c r="N272" s="125" t="str">
        <f t="array" ref="N272">IFNA(XLOOKUP($H272,'🙎‍♂️ Pasien'!$G$7:$G371,'🙎‍♂️ Pasien'!$T$7:$T371),"")</f>
        <v>SAKIT PADA KAKI SEBELAH KIRI SETELAH TENIS</v>
      </c>
      <c r="O272" s="16" t="s">
        <v>985</v>
      </c>
      <c r="P272" s="16" t="s">
        <v>829</v>
      </c>
      <c r="Q272" s="36" t="s">
        <v>29</v>
      </c>
      <c r="R272" s="36" t="s">
        <v>54</v>
      </c>
      <c r="S272" s="16" t="s">
        <v>56</v>
      </c>
      <c r="T272" s="16" t="s">
        <v>834</v>
      </c>
      <c r="U272" s="109" t="s">
        <v>1052</v>
      </c>
      <c r="V272" s="126"/>
      <c r="W272" s="109"/>
      <c r="X272" s="109" t="str">
        <f t="array" ref="X272">IF(H272="","",XLOOKUP(H272,CATATANPELAYANAN[[#ALL],[NAMA PASIEN]],CATATANPELAYANAN[[#ALL],[LAYANAN]],"TIDAK CLOSING",0,-1))</f>
        <v>TERAPI AWAL</v>
      </c>
      <c r="Y272" s="109" t="str">
        <f t="shared" si="4"/>
        <v>TIDAK CLOSING</v>
      </c>
      <c r="Z272" s="127"/>
    </row>
    <row r="273" ht="22.5" customHeight="1">
      <c r="A273" s="122"/>
      <c r="B273" s="123">
        <v>45998.0</v>
      </c>
      <c r="C273" s="124" t="str">
        <f t="shared" si="32"/>
        <v>2025</v>
      </c>
      <c r="D273" s="124" t="str">
        <f t="shared" si="27"/>
        <v>12 Des</v>
      </c>
      <c r="E273" s="124" t="str">
        <f t="shared" si="28"/>
        <v>Min</v>
      </c>
      <c r="F273" s="16" t="s">
        <v>85</v>
      </c>
      <c r="G273" s="109" t="str">
        <f t="array" ref="G273">IFNA(XLOOKUP(S273,'⚙️ Pengaturan'!$H$5:$H371,'⚙️ Pengaturan'!$I$5:$I371),"")</f>
        <v>TIM Y</v>
      </c>
      <c r="H273" s="109" t="s">
        <v>668</v>
      </c>
      <c r="I273" s="125" t="str">
        <f t="array" ref="I273">ifna(xlookup($H273,'🙎‍♂️ Pasien'!$G$7:$G371,'🙎‍♂️ Pasien'!$H$7:$H371),"")</f>
        <v>R9625012853</v>
      </c>
      <c r="J273" s="125" t="str">
        <f t="array" ref="J273">ifna(xlookup($H273,'🙎‍♂️ Pasien'!$G$7:$G371,'🙎‍♂️ Pasien'!$L$7:$L371),"")</f>
        <v>PEREMPUAN</v>
      </c>
      <c r="K273" s="125">
        <f t="array" ref="K273">ifna(xlookup($H273,'🙎‍♂️ Pasien'!$G$7:$G371,'🙎‍♂️ Pasien'!$I$7:$I371),"")</f>
        <v>30</v>
      </c>
      <c r="L273" s="125" t="str">
        <f t="array" ref="L273">IFNA(xlookup(H273,'🙎‍♂️ Pasien'!$G$5:$G371,'🙎‍♂️ Pasien'!$J$5:$J371),"")</f>
        <v>25-34 tahun</v>
      </c>
      <c r="M273" s="125" t="str">
        <f t="array" ref="M273">IFNA(xlookup(H273,'🙎‍♂️ Pasien'!$G$5:$G371,'🙎‍♂️ Pasien'!$S$5:$S371),"")</f>
        <v>ASN</v>
      </c>
      <c r="N273" s="125" t="str">
        <f t="array" ref="N273">IFNA(XLOOKUP($H273,'🙎‍♂️ Pasien'!$G$7:$G371,'🙎‍♂️ Pasien'!$T$7:$T371),"")</f>
        <v>NYERI BAGIAN LUTUT SETIAP SETELAH LARI DIATAS 6KM</v>
      </c>
      <c r="O273" s="16" t="s">
        <v>854</v>
      </c>
      <c r="P273" s="16" t="s">
        <v>836</v>
      </c>
      <c r="Q273" s="16" t="s">
        <v>28</v>
      </c>
      <c r="R273" s="16" t="s">
        <v>86</v>
      </c>
      <c r="S273" s="16" t="s">
        <v>509</v>
      </c>
      <c r="T273" s="16" t="s">
        <v>830</v>
      </c>
      <c r="U273" s="109"/>
      <c r="V273" s="126"/>
      <c r="W273" s="109"/>
      <c r="X273" s="109" t="str">
        <f t="array" ref="X273">IF(H273="","",XLOOKUP(H273,CATATANPELAYANAN[[#ALL],[NAMA PASIEN]],CATATANPELAYANAN[[#ALL],[LAYANAN]],"TIDAK CLOSING",0,-1))</f>
        <v>PAKET TERAPI</v>
      </c>
      <c r="Y273" s="109" t="str">
        <f t="shared" si="4"/>
        <v>PAKET</v>
      </c>
      <c r="Z273" s="127"/>
    </row>
    <row r="274" ht="22.5" customHeight="1">
      <c r="A274" s="122"/>
      <c r="B274" s="123">
        <v>45998.0</v>
      </c>
      <c r="C274" s="124" t="str">
        <f t="shared" si="32"/>
        <v>2025</v>
      </c>
      <c r="D274" s="124" t="str">
        <f t="shared" si="27"/>
        <v>12 Des</v>
      </c>
      <c r="E274" s="124" t="str">
        <f t="shared" si="28"/>
        <v>Min</v>
      </c>
      <c r="F274" s="16" t="s">
        <v>85</v>
      </c>
      <c r="G274" s="109" t="str">
        <f t="array" ref="G274">IFNA(XLOOKUP(S274,'⚙️ Pengaturan'!$H$5:$H371,'⚙️ Pengaturan'!$I$5:$I371),"")</f>
        <v>TIM Y</v>
      </c>
      <c r="H274" s="109" t="s">
        <v>1064</v>
      </c>
      <c r="I274" s="125" t="str">
        <f t="array" ref="I274">ifna(xlookup($H274,'🙎‍♂️ Pasien'!$G$7:$G371,'🙎‍♂️ Pasien'!$H$7:$H371),"")</f>
        <v/>
      </c>
      <c r="J274" s="125" t="str">
        <f t="array" ref="J274">ifna(xlookup($H274,'🙎‍♂️ Pasien'!$G$7:$G371,'🙎‍♂️ Pasien'!$L$7:$L371),"")</f>
        <v/>
      </c>
      <c r="K274" s="125" t="str">
        <f t="array" ref="K274">ifna(xlookup($H274,'🙎‍♂️ Pasien'!$G$7:$G371,'🙎‍♂️ Pasien'!$I$7:$I371),"")</f>
        <v/>
      </c>
      <c r="L274" s="125" t="str">
        <f t="array" ref="L274">IFNA(xlookup(H274,'🙎‍♂️ Pasien'!$G$5:$G371,'🙎‍♂️ Pasien'!$J$5:$J371),"")</f>
        <v/>
      </c>
      <c r="M274" s="125" t="str">
        <f t="array" ref="M274">IFNA(xlookup(H274,'🙎‍♂️ Pasien'!$G$5:$G371,'🙎‍♂️ Pasien'!$S$5:$S371),"")</f>
        <v/>
      </c>
      <c r="N274" s="125" t="str">
        <f t="array" ref="N274">IFNA(XLOOKUP($H274,'🙎‍♂️ Pasien'!$G$7:$G371,'🙎‍♂️ Pasien'!$T$7:$T371),"")</f>
        <v/>
      </c>
      <c r="O274" s="16" t="s">
        <v>825</v>
      </c>
      <c r="P274" s="16" t="s">
        <v>826</v>
      </c>
      <c r="Q274" s="16" t="s">
        <v>29</v>
      </c>
      <c r="R274" s="16" t="s">
        <v>86</v>
      </c>
      <c r="S274" s="16" t="s">
        <v>88</v>
      </c>
      <c r="T274" s="16" t="s">
        <v>830</v>
      </c>
      <c r="U274" s="109"/>
      <c r="V274" s="126"/>
      <c r="W274" s="109"/>
      <c r="X274" s="109" t="str">
        <f t="array" ref="X274">IF(H274="","",XLOOKUP(H274,CATATANPELAYANAN[[#ALL],[NAMA PASIEN]],CATATANPELAYANAN[[#ALL],[LAYANAN]],"TIDAK CLOSING",0,-1))</f>
        <v>TIDAK CLOSING</v>
      </c>
      <c r="Y274" s="109" t="str">
        <f t="shared" si="4"/>
        <v>TIDAK CLOSING</v>
      </c>
      <c r="Z274" s="127"/>
    </row>
    <row r="275" ht="22.5" customHeight="1">
      <c r="A275" s="122"/>
      <c r="B275" s="123">
        <v>45998.0</v>
      </c>
      <c r="C275" s="124" t="str">
        <f t="shared" si="32"/>
        <v>2025</v>
      </c>
      <c r="D275" s="124" t="str">
        <f t="shared" si="27"/>
        <v>12 Des</v>
      </c>
      <c r="E275" s="124" t="str">
        <f t="shared" si="28"/>
        <v>Min</v>
      </c>
      <c r="F275" s="16" t="s">
        <v>85</v>
      </c>
      <c r="G275" s="109" t="str">
        <f t="array" ref="G275">IFNA(XLOOKUP(S275,'⚙️ Pengaturan'!$H$5:$H371,'⚙️ Pengaturan'!$I$5:$I371),"")</f>
        <v>TIM Y</v>
      </c>
      <c r="H275" s="109" t="s">
        <v>1065</v>
      </c>
      <c r="I275" s="125" t="str">
        <f t="array" ref="I275">ifna(xlookup($H275,'🙎‍♂️ Pasien'!$G$7:$G371,'🙎‍♂️ Pasien'!$H$7:$H371),"")</f>
        <v>S7425124817</v>
      </c>
      <c r="J275" s="125" t="str">
        <f t="array" ref="J275">ifna(xlookup($H275,'🙎‍♂️ Pasien'!$G$7:$G371,'🙎‍♂️ Pasien'!$L$7:$L371),"")</f>
        <v>PEREMPUAN</v>
      </c>
      <c r="K275" s="125">
        <f t="array" ref="K275">ifna(xlookup($H275,'🙎‍♂️ Pasien'!$G$7:$G371,'🙎‍♂️ Pasien'!$I$7:$I371),"")</f>
        <v>51</v>
      </c>
      <c r="L275" s="125" t="str">
        <f t="array" ref="L275">IFNA(xlookup(H275,'🙎‍♂️ Pasien'!$G$5:$G371,'🙎‍♂️ Pasien'!$J$5:$J371),"")</f>
        <v>&gt; 44 tahun</v>
      </c>
      <c r="M275" s="125" t="str">
        <f t="array" ref="M275">IFNA(xlookup(H275,'🙎‍♂️ Pasien'!$G$5:$G371,'🙎‍♂️ Pasien'!$S$5:$S371),"")</f>
        <v>IRT</v>
      </c>
      <c r="N275" s="125" t="str">
        <f t="array" ref="N275">IFNA(XLOOKUP($H275,'🙎‍♂️ Pasien'!$G$7:$G371,'🙎‍♂️ Pasien'!$T$7:$T371),"")</f>
        <v>SAKIT KAKI</v>
      </c>
      <c r="O275" s="16" t="s">
        <v>978</v>
      </c>
      <c r="P275" s="16" t="s">
        <v>942</v>
      </c>
      <c r="Q275" s="16" t="s">
        <v>29</v>
      </c>
      <c r="R275" s="16" t="s">
        <v>86</v>
      </c>
      <c r="S275" s="16" t="s">
        <v>107</v>
      </c>
      <c r="T275" s="16" t="s">
        <v>834</v>
      </c>
      <c r="U275" s="109" t="s">
        <v>831</v>
      </c>
      <c r="V275" s="126"/>
      <c r="W275" s="109"/>
      <c r="X275" s="109" t="str">
        <f t="array" ref="X275">IF(H275="","",XLOOKUP(H275,CATATANPELAYANAN[[#ALL],[NAMA PASIEN]],CATATANPELAYANAN[[#ALL],[LAYANAN]],"TIDAK CLOSING",0,-1))</f>
        <v>TIDAK CLOSING</v>
      </c>
      <c r="Y275" s="109" t="str">
        <f t="shared" si="4"/>
        <v>TIDAK CLOSING</v>
      </c>
      <c r="Z275" s="127"/>
    </row>
    <row r="276" ht="22.5" customHeight="1">
      <c r="A276" s="122"/>
      <c r="B276" s="123">
        <v>45999.0</v>
      </c>
      <c r="C276" s="124" t="str">
        <f t="shared" si="32"/>
        <v>2025</v>
      </c>
      <c r="D276" s="124" t="str">
        <f t="shared" si="27"/>
        <v>12 Des</v>
      </c>
      <c r="E276" s="124" t="str">
        <f t="shared" si="28"/>
        <v>Sen</v>
      </c>
      <c r="F276" s="16" t="s">
        <v>53</v>
      </c>
      <c r="G276" s="109" t="str">
        <f t="array" ref="G276">IFNA(XLOOKUP(S276,'⚙️ Pengaturan'!$H$5:$H371,'⚙️ Pengaturan'!$I$5:$I371),"")</f>
        <v>TIM Y</v>
      </c>
      <c r="H276" s="109" t="s">
        <v>673</v>
      </c>
      <c r="I276" s="125" t="str">
        <f t="array" ref="I276">ifna(xlookup($H276,'🙎‍♂️ Pasien'!$G$7:$G371,'🙎‍♂️ Pasien'!$H$7:$H371),"")</f>
        <v>K8825128215</v>
      </c>
      <c r="J276" s="125" t="str">
        <f t="array" ref="J276">ifna(xlookup($H276,'🙎‍♂️ Pasien'!$G$7:$G371,'🙎‍♂️ Pasien'!$L$7:$L371),"")</f>
        <v>LAKI-LAKI</v>
      </c>
      <c r="K276" s="125">
        <f t="array" ref="K276">ifna(xlookup($H276,'🙎‍♂️ Pasien'!$G$7:$G371,'🙎‍♂️ Pasien'!$I$7:$I371),"")</f>
        <v>37</v>
      </c>
      <c r="L276" s="125" t="str">
        <f t="array" ref="L276">IFNA(xlookup(H276,'🙎‍♂️ Pasien'!$G$5:$G371,'🙎‍♂️ Pasien'!$J$5:$J371),"")</f>
        <v>35-44 tahun</v>
      </c>
      <c r="M276" s="125" t="str">
        <f t="array" ref="M276">IFNA(xlookup(H276,'🙎‍♂️ Pasien'!$G$5:$G371,'🙎‍♂️ Pasien'!$S$5:$S371),"")</f>
        <v>PNS</v>
      </c>
      <c r="N276" s="125" t="str">
        <f t="array" ref="N276">IFNA(XLOOKUP($H276,'🙎‍♂️ Pasien'!$G$7:$G371,'🙎‍♂️ Pasien'!$T$7:$T371),"")</f>
        <v>CIDERA OTOT PAHA</v>
      </c>
      <c r="O276" s="16" t="s">
        <v>1066</v>
      </c>
      <c r="P276" s="16" t="s">
        <v>845</v>
      </c>
      <c r="Q276" s="16" t="s">
        <v>29</v>
      </c>
      <c r="R276" s="16" t="s">
        <v>54</v>
      </c>
      <c r="S276" s="16" t="s">
        <v>88</v>
      </c>
      <c r="T276" s="16" t="s">
        <v>830</v>
      </c>
      <c r="U276" s="109"/>
      <c r="V276" s="126"/>
      <c r="W276" s="109"/>
      <c r="X276" s="109" t="str">
        <f t="array" ref="X276">IF(H276="","",XLOOKUP(H276,CATATANPELAYANAN[[#ALL],[NAMA PASIEN]],CATATANPELAYANAN[[#ALL],[LAYANAN]],"TIDAK CLOSING",0,-1))</f>
        <v>PAKET TERAPI</v>
      </c>
      <c r="Y276" s="109" t="str">
        <f t="shared" si="4"/>
        <v>PAKET</v>
      </c>
      <c r="Z276" s="127"/>
    </row>
    <row r="277" ht="22.5" customHeight="1">
      <c r="A277" s="122"/>
      <c r="B277" s="123">
        <v>45999.0</v>
      </c>
      <c r="C277" s="124" t="s">
        <v>963</v>
      </c>
      <c r="D277" s="124" t="str">
        <f t="shared" si="27"/>
        <v>12 Des</v>
      </c>
      <c r="E277" s="124" t="str">
        <f t="shared" si="28"/>
        <v>Sen</v>
      </c>
      <c r="F277" s="16" t="s">
        <v>53</v>
      </c>
      <c r="G277" s="109" t="str">
        <f t="array" ref="G277">IFNA(XLOOKUP(S277,'⚙️ Pengaturan'!$H$5:$H371,'⚙️ Pengaturan'!$I$5:$I371),"")</f>
        <v>TIM Y</v>
      </c>
      <c r="H277" s="109" t="s">
        <v>674</v>
      </c>
      <c r="I277" s="125" t="str">
        <f t="array" ref="I277">ifna(xlookup($H277,'🙎‍♂️ Pasien'!$G$7:$G371,'🙎‍♂️ Pasien'!$H$7:$H371),"")</f>
        <v>G0225127027</v>
      </c>
      <c r="J277" s="125" t="str">
        <f t="array" ref="J277">ifna(xlookup($H277,'🙎‍♂️ Pasien'!$G$7:$G371,'🙎‍♂️ Pasien'!$L$7:$L371),"")</f>
        <v>PEREMPUAN</v>
      </c>
      <c r="K277" s="125">
        <f t="array" ref="K277">ifna(xlookup($H277,'🙎‍♂️ Pasien'!$G$7:$G371,'🙎‍♂️ Pasien'!$I$7:$I371),"")</f>
        <v>23</v>
      </c>
      <c r="L277" s="125" t="str">
        <f t="array" ref="L277">IFNA(xlookup(H277,'🙎‍♂️ Pasien'!$G$5:$G371,'🙎‍♂️ Pasien'!$J$5:$J371),"")</f>
        <v>18-24 tahun</v>
      </c>
      <c r="M277" s="125" t="str">
        <f t="array" ref="M277">IFNA(xlookup(H277,'🙎‍♂️ Pasien'!$G$5:$G371,'🙎‍♂️ Pasien'!$S$5:$S371),"")</f>
        <v>KARYAWAN SWASTA</v>
      </c>
      <c r="N277" s="125" t="str">
        <f t="array" ref="N277">IFNA(XLOOKUP($H277,'🙎‍♂️ Pasien'!$G$7:$G371,'🙎‍♂️ Pasien'!$T$7:$T371),"")</f>
        <v>INGIN CEK SKOLIOSIS</v>
      </c>
      <c r="O277" s="16" t="s">
        <v>828</v>
      </c>
      <c r="P277" s="16" t="s">
        <v>869</v>
      </c>
      <c r="Q277" s="16" t="s">
        <v>29</v>
      </c>
      <c r="R277" s="16" t="s">
        <v>54</v>
      </c>
      <c r="S277" s="16" t="s">
        <v>91</v>
      </c>
      <c r="T277" s="16" t="s">
        <v>834</v>
      </c>
      <c r="U277" s="109" t="s">
        <v>831</v>
      </c>
      <c r="V277" s="126"/>
      <c r="W277" s="109"/>
      <c r="X277" s="109" t="str">
        <f t="array" ref="X277">IF(H277="","",XLOOKUP(H277,CATATANPELAYANAN[[#ALL],[NAMA PASIEN]],CATATANPELAYANAN[[#ALL],[LAYANAN]],"TIDAK CLOSING",0,-1))</f>
        <v>TERAPI AWAL</v>
      </c>
      <c r="Y277" s="109" t="str">
        <f t="shared" si="4"/>
        <v>TIDAK CLOSING</v>
      </c>
      <c r="Z277" s="127"/>
    </row>
    <row r="278" ht="22.5" customHeight="1">
      <c r="A278" s="122"/>
      <c r="B278" s="123">
        <v>45999.0</v>
      </c>
      <c r="C278" s="124" t="s">
        <v>963</v>
      </c>
      <c r="D278" s="124" t="str">
        <f t="shared" si="27"/>
        <v>12 Des</v>
      </c>
      <c r="E278" s="124" t="str">
        <f t="shared" si="28"/>
        <v>Sen</v>
      </c>
      <c r="F278" s="16" t="s">
        <v>53</v>
      </c>
      <c r="G278" s="109" t="str">
        <f t="array" ref="G278">IFNA(XLOOKUP(S278,'⚙️ Pengaturan'!$H$5:$H371,'⚙️ Pengaturan'!$I$5:$I371),"")</f>
        <v>TIM Y</v>
      </c>
      <c r="H278" s="109" t="s">
        <v>675</v>
      </c>
      <c r="I278" s="125" t="str">
        <f t="array" ref="I278">ifna(xlookup($H278,'🙎‍♂️ Pasien'!$G$7:$G371,'🙎‍♂️ Pasien'!$H$7:$H371),"")</f>
        <v>A0325126212</v>
      </c>
      <c r="J278" s="125" t="str">
        <f t="array" ref="J278">ifna(xlookup($H278,'🙎‍♂️ Pasien'!$G$7:$G371,'🙎‍♂️ Pasien'!$L$7:$L371),"")</f>
        <v>PEREMPUAN</v>
      </c>
      <c r="K278" s="125">
        <f t="array" ref="K278">ifna(xlookup($H278,'🙎‍♂️ Pasien'!$G$7:$G371,'🙎‍♂️ Pasien'!$I$7:$I371),"")</f>
        <v>22</v>
      </c>
      <c r="L278" s="125" t="str">
        <f t="array" ref="L278">IFNA(xlookup(H278,'🙎‍♂️ Pasien'!$G$5:$G371,'🙎‍♂️ Pasien'!$J$5:$J371),"")</f>
        <v>18-24 tahun</v>
      </c>
      <c r="M278" s="125" t="str">
        <f t="array" ref="M278">IFNA(xlookup(H278,'🙎‍♂️ Pasien'!$G$5:$G371,'🙎‍♂️ Pasien'!$S$5:$S371),"")</f>
        <v>SWASTA</v>
      </c>
      <c r="N278" s="125" t="str">
        <f t="array" ref="N278">IFNA(XLOOKUP($H278,'🙎‍♂️ Pasien'!$G$7:$G371,'🙎‍♂️ Pasien'!$T$7:$T371),"")</f>
        <v>KEKNYA SKOLIOSIS</v>
      </c>
      <c r="O278" s="16" t="s">
        <v>871</v>
      </c>
      <c r="P278" s="16" t="s">
        <v>869</v>
      </c>
      <c r="Q278" s="16" t="s">
        <v>29</v>
      </c>
      <c r="R278" s="16" t="s">
        <v>54</v>
      </c>
      <c r="S278" s="16" t="s">
        <v>107</v>
      </c>
      <c r="T278" s="16" t="s">
        <v>834</v>
      </c>
      <c r="U278" s="109" t="s">
        <v>831</v>
      </c>
      <c r="V278" s="126"/>
      <c r="W278" s="109"/>
      <c r="X278" s="109" t="str">
        <f t="array" ref="X278">IF(H278="","",XLOOKUP(H278,CATATANPELAYANAN[[#ALL],[NAMA PASIEN]],CATATANPELAYANAN[[#ALL],[LAYANAN]],"TIDAK CLOSING",0,-1))</f>
        <v>TERAPI AWAL</v>
      </c>
      <c r="Y278" s="109" t="str">
        <f t="shared" si="4"/>
        <v>TIDAK CLOSING</v>
      </c>
      <c r="Z278" s="127"/>
    </row>
    <row r="279" ht="22.5" customHeight="1">
      <c r="A279" s="122"/>
      <c r="B279" s="123">
        <v>46000.0</v>
      </c>
      <c r="C279" s="124"/>
      <c r="D279" s="124" t="str">
        <f t="shared" si="27"/>
        <v>12 Des</v>
      </c>
      <c r="E279" s="124" t="str">
        <f t="shared" si="28"/>
        <v>Sel</v>
      </c>
      <c r="F279" s="16" t="s">
        <v>85</v>
      </c>
      <c r="G279" s="109" t="str">
        <f t="array" ref="G279">IFNA(XLOOKUP(S279,'⚙️ Pengaturan'!$H$5:$H371,'⚙️ Pengaturan'!$I$5:$I371),"")</f>
        <v>TIM Y</v>
      </c>
      <c r="H279" s="109" t="s">
        <v>98</v>
      </c>
      <c r="I279" s="125" t="str">
        <f t="array" ref="I279">ifna(xlookup($H279,'🙎‍♂️ Pasien'!$G$7:$G371,'🙎‍♂️ Pasien'!$H$7:$H371),"")</f>
        <v>L9925048099</v>
      </c>
      <c r="J279" s="125" t="str">
        <f t="array" ref="J279">ifna(xlookup($H279,'🙎‍♂️ Pasien'!$G$7:$G371,'🙎‍♂️ Pasien'!$L$7:$L371),"")</f>
        <v>PEREMPUAN</v>
      </c>
      <c r="K279" s="125">
        <f t="array" ref="K279">ifna(xlookup($H279,'🙎‍♂️ Pasien'!$G$7:$G371,'🙎‍♂️ Pasien'!$I$7:$I371),"")</f>
        <v>26</v>
      </c>
      <c r="L279" s="125" t="str">
        <f t="array" ref="L279">IFNA(xlookup(H279,'🙎‍♂️ Pasien'!$G$5:$G371,'🙎‍♂️ Pasien'!$J$5:$J371),"")</f>
        <v>25-34 tahun</v>
      </c>
      <c r="M279" s="125" t="str">
        <f t="array" ref="M279">IFNA(xlookup(H279,'🙎‍♂️ Pasien'!$G$5:$G371,'🙎‍♂️ Pasien'!$S$5:$S371),"")</f>
        <v>ACCOUNTING</v>
      </c>
      <c r="N279" s="125" t="str">
        <f t="array" ref="N279">IFNA(XLOOKUP($H279,'🙎‍♂️ Pasien'!$G$7:$G371,'🙎‍♂️ Pasien'!$T$7:$T371),"")</f>
        <v>NYERI TULANG BELAKANG SAMPAI KAKI, NYERI DI BAGIAN LUTUT JUGA</v>
      </c>
      <c r="O279" s="16" t="s">
        <v>928</v>
      </c>
      <c r="P279" s="16" t="s">
        <v>1067</v>
      </c>
      <c r="Q279" s="16" t="s">
        <v>28</v>
      </c>
      <c r="R279" s="16" t="s">
        <v>54</v>
      </c>
      <c r="S279" s="16" t="s">
        <v>91</v>
      </c>
      <c r="T279" s="16" t="s">
        <v>830</v>
      </c>
      <c r="U279" s="109"/>
      <c r="V279" s="126"/>
      <c r="W279" s="109"/>
      <c r="X279" s="109" t="str">
        <f t="array" ref="X279">IF(H279="","",XLOOKUP(H279,CATATANPELAYANAN[[#ALL],[NAMA PASIEN]],CATATANPELAYANAN[[#ALL],[LAYANAN]],"TIDAK CLOSING",0,-1))</f>
        <v>PAKET TERAPI</v>
      </c>
      <c r="Y279" s="109" t="str">
        <f t="shared" si="4"/>
        <v>PAKET</v>
      </c>
      <c r="Z279" s="127"/>
    </row>
    <row r="280" ht="22.5" customHeight="1">
      <c r="A280" s="122"/>
      <c r="B280" s="123">
        <v>46000.0</v>
      </c>
      <c r="C280" s="124" t="str">
        <f t="shared" ref="C280:C282" si="33">IF(B280="","",text(B280,"yyyy"))</f>
        <v>2025</v>
      </c>
      <c r="D280" s="124" t="str">
        <f t="shared" si="27"/>
        <v>12 Des</v>
      </c>
      <c r="E280" s="124" t="str">
        <f t="shared" si="28"/>
        <v>Sel</v>
      </c>
      <c r="F280" s="16" t="s">
        <v>85</v>
      </c>
      <c r="G280" s="109" t="str">
        <f t="array" ref="G280">IFNA(XLOOKUP(S280,'⚙️ Pengaturan'!$H$5:$H371,'⚙️ Pengaturan'!$I$5:$I371),"")</f>
        <v>TIM Y</v>
      </c>
      <c r="H280" s="109" t="s">
        <v>684</v>
      </c>
      <c r="I280" s="125" t="str">
        <f t="array" ref="I280">ifna(xlookup($H280,'🙎‍♂️ Pasien'!$G$7:$G371,'🙎‍♂️ Pasien'!$H$7:$H371),"")</f>
        <v>K9924034069</v>
      </c>
      <c r="J280" s="125" t="str">
        <f t="array" ref="J280">ifna(xlookup($H280,'🙎‍♂️ Pasien'!$G$7:$G371,'🙎‍♂️ Pasien'!$L$7:$L371),"")</f>
        <v>LAKI-LAKI</v>
      </c>
      <c r="K280" s="125">
        <f t="array" ref="K280">ifna(xlookup($H280,'🙎‍♂️ Pasien'!$G$7:$G371,'🙎‍♂️ Pasien'!$I$7:$I371),"")</f>
        <v>26</v>
      </c>
      <c r="L280" s="125" t="str">
        <f t="array" ref="L280">IFNA(xlookup(H280,'🙎‍♂️ Pasien'!$G$5:$G371,'🙎‍♂️ Pasien'!$J$5:$J371),"")</f>
        <v>25-34 tahun</v>
      </c>
      <c r="M280" s="125" t="str">
        <f t="array" ref="M280">IFNA(xlookup(H280,'🙎‍♂️ Pasien'!$G$5:$G371,'🙎‍♂️ Pasien'!$S$5:$S371),"")</f>
        <v>WIRASWASTA</v>
      </c>
      <c r="N280" s="125" t="str">
        <f t="array" ref="N280">IFNA(XLOOKUP($H280,'🙎‍♂️ Pasien'!$G$7:$G371,'🙎‍♂️ Pasien'!$T$7:$T371),"")</f>
        <v>Dislokasi Bahu</v>
      </c>
      <c r="O280" s="16" t="s">
        <v>828</v>
      </c>
      <c r="P280" s="16" t="s">
        <v>857</v>
      </c>
      <c r="Q280" s="16" t="s">
        <v>28</v>
      </c>
      <c r="R280" s="16" t="s">
        <v>54</v>
      </c>
      <c r="S280" s="16" t="s">
        <v>509</v>
      </c>
      <c r="T280" s="16" t="s">
        <v>830</v>
      </c>
      <c r="U280" s="109" t="s">
        <v>1068</v>
      </c>
      <c r="V280" s="126"/>
      <c r="W280" s="109"/>
      <c r="X280" s="109" t="str">
        <f t="array" ref="X280">IF(H280="","",XLOOKUP(H280,CATATANPELAYANAN[[#ALL],[NAMA PASIEN]],CATATANPELAYANAN[[#ALL],[LAYANAN]],"TIDAK CLOSING",0,-1))</f>
        <v>TERAPI AWAL</v>
      </c>
      <c r="Y280" s="109" t="str">
        <f t="shared" si="4"/>
        <v>TIDAK CLOSING</v>
      </c>
      <c r="Z280" s="127"/>
    </row>
    <row r="281" ht="22.5" customHeight="1">
      <c r="A281" s="122"/>
      <c r="B281" s="123">
        <v>46000.0</v>
      </c>
      <c r="C281" s="124" t="str">
        <f t="shared" si="33"/>
        <v>2025</v>
      </c>
      <c r="D281" s="124" t="str">
        <f t="shared" si="27"/>
        <v>12 Des</v>
      </c>
      <c r="E281" s="124" t="str">
        <f t="shared" si="28"/>
        <v>Sel</v>
      </c>
      <c r="F281" s="16" t="s">
        <v>85</v>
      </c>
      <c r="G281" s="109" t="str">
        <f t="array" ref="G281">IFNA(XLOOKUP(S281,'⚙️ Pengaturan'!$H$5:$H371,'⚙️ Pengaturan'!$I$5:$I371),"")</f>
        <v>TIM Y</v>
      </c>
      <c r="H281" s="109" t="s">
        <v>681</v>
      </c>
      <c r="I281" s="125" t="str">
        <f t="array" ref="I281">ifna(xlookup($H281,'🙎‍♂️ Pasien'!$G$7:$G371,'🙎‍♂️ Pasien'!$H$7:$H371),"")</f>
        <v>H8525124000</v>
      </c>
      <c r="J281" s="125" t="str">
        <f t="array" ref="J281">ifna(xlookup($H281,'🙎‍♂️ Pasien'!$G$7:$G371,'🙎‍♂️ Pasien'!$L$7:$L371),"")</f>
        <v>PEREMPUAN</v>
      </c>
      <c r="K281" s="125">
        <f t="array" ref="K281">ifna(xlookup($H281,'🙎‍♂️ Pasien'!$G$7:$G371,'🙎‍♂️ Pasien'!$I$7:$I371),"")</f>
        <v>41</v>
      </c>
      <c r="L281" s="125" t="str">
        <f t="array" ref="L281">IFNA(xlookup(H281,'🙎‍♂️ Pasien'!$G$5:$G371,'🙎‍♂️ Pasien'!$J$5:$J371),"")</f>
        <v>35-44 tahun</v>
      </c>
      <c r="M281" s="125" t="str">
        <f t="array" ref="M281">IFNA(xlookup(H281,'🙎‍♂️ Pasien'!$G$5:$G371,'🙎‍♂️ Pasien'!$S$5:$S371),"")</f>
        <v>GURU</v>
      </c>
      <c r="N281" s="125" t="str">
        <f t="array" ref="N281">IFNA(XLOOKUP($H281,'🙎‍♂️ Pasien'!$G$7:$G371,'🙎‍♂️ Pasien'!$T$7:$T371),"")</f>
        <v>SAKIT PINGGANG BELAKANG</v>
      </c>
      <c r="O281" s="16" t="s">
        <v>825</v>
      </c>
      <c r="P281" s="16" t="s">
        <v>826</v>
      </c>
      <c r="Q281" s="16" t="s">
        <v>29</v>
      </c>
      <c r="R281" s="16" t="s">
        <v>54</v>
      </c>
      <c r="S281" s="16" t="s">
        <v>107</v>
      </c>
      <c r="T281" s="16" t="s">
        <v>827</v>
      </c>
      <c r="U281" s="109"/>
      <c r="V281" s="126"/>
      <c r="W281" s="109"/>
      <c r="X281" s="109" t="str">
        <f t="array" ref="X281">IF(H281="","",XLOOKUP(H281,CATATANPELAYANAN[[#ALL],[NAMA PASIEN]],CATATANPELAYANAN[[#ALL],[LAYANAN]],"TIDAK CLOSING",0,-1))</f>
        <v>SESI TERAPI</v>
      </c>
      <c r="Y281" s="109" t="str">
        <f t="shared" si="4"/>
        <v>SESI</v>
      </c>
      <c r="Z281" s="127"/>
    </row>
    <row r="282" ht="22.5" customHeight="1">
      <c r="A282" s="122"/>
      <c r="B282" s="123">
        <v>46001.0</v>
      </c>
      <c r="C282" s="124" t="str">
        <f t="shared" si="33"/>
        <v>2025</v>
      </c>
      <c r="D282" s="124" t="str">
        <f t="shared" si="27"/>
        <v>12 Des</v>
      </c>
      <c r="E282" s="124" t="str">
        <f t="shared" si="28"/>
        <v>Rab</v>
      </c>
      <c r="F282" s="16" t="s">
        <v>85</v>
      </c>
      <c r="G282" s="109" t="str">
        <f t="array" ref="G282">IFNA(XLOOKUP(S282,'⚙️ Pengaturan'!$H$5:$H371,'⚙️ Pengaturan'!$I$5:$I371),"")</f>
        <v>TIM Y</v>
      </c>
      <c r="H282" s="109" t="s">
        <v>1069</v>
      </c>
      <c r="I282" s="125" t="str">
        <f t="array" ref="I282">ifna(xlookup($H282,'🙎‍♂️ Pasien'!$G$7:$G371,'🙎‍♂️ Pasien'!$H$7:$H371),"")</f>
        <v/>
      </c>
      <c r="J282" s="125" t="str">
        <f t="array" ref="J282">ifna(xlookup($H282,'🙎‍♂️ Pasien'!$G$7:$G371,'🙎‍♂️ Pasien'!$L$7:$L371),"")</f>
        <v/>
      </c>
      <c r="K282" s="125" t="str">
        <f t="array" ref="K282">ifna(xlookup($H282,'🙎‍♂️ Pasien'!$G$7:$G371,'🙎‍♂️ Pasien'!$I$7:$I371),"")</f>
        <v/>
      </c>
      <c r="L282" s="125" t="str">
        <f t="array" ref="L282">IFNA(xlookup(H282,'🙎‍♂️ Pasien'!$G$5:$G371,'🙎‍♂️ Pasien'!$J$5:$J371),"")</f>
        <v/>
      </c>
      <c r="M282" s="125" t="str">
        <f t="array" ref="M282">IFNA(xlookup(H282,'🙎‍♂️ Pasien'!$G$5:$G371,'🙎‍♂️ Pasien'!$S$5:$S371),"")</f>
        <v/>
      </c>
      <c r="N282" s="125" t="str">
        <f t="array" ref="N282">IFNA(XLOOKUP($H282,'🙎‍♂️ Pasien'!$G$7:$G371,'🙎‍♂️ Pasien'!$T$7:$T371),"")</f>
        <v/>
      </c>
      <c r="O282" s="16"/>
      <c r="P282" s="16"/>
      <c r="Q282" s="16" t="s">
        <v>29</v>
      </c>
      <c r="R282" s="16" t="s">
        <v>86</v>
      </c>
      <c r="S282" s="16" t="s">
        <v>56</v>
      </c>
      <c r="T282" s="16" t="s">
        <v>827</v>
      </c>
      <c r="U282" s="109"/>
      <c r="V282" s="126"/>
      <c r="W282" s="109"/>
      <c r="X282" s="109" t="str">
        <f t="array" ref="X282">IF(H282="","",XLOOKUP(H282,CATATANPELAYANAN[[#ALL],[NAMA PASIEN]],CATATANPELAYANAN[[#ALL],[LAYANAN]],"TIDAK CLOSING",0,-1))</f>
        <v>TIDAK CLOSING</v>
      </c>
      <c r="Y282" s="109" t="str">
        <f t="shared" si="4"/>
        <v>TIDAK CLOSING</v>
      </c>
      <c r="Z282" s="127"/>
    </row>
    <row r="283" ht="22.5" customHeight="1">
      <c r="A283" s="122"/>
      <c r="B283" s="123">
        <v>46001.0</v>
      </c>
      <c r="C283" s="124" t="s">
        <v>963</v>
      </c>
      <c r="D283" s="124" t="str">
        <f t="shared" si="27"/>
        <v>12 Des</v>
      </c>
      <c r="E283" s="124" t="str">
        <f t="shared" si="28"/>
        <v>Rab</v>
      </c>
      <c r="F283" s="16" t="s">
        <v>85</v>
      </c>
      <c r="G283" s="109" t="str">
        <f t="array" ref="G283">IFNA(XLOOKUP(S283,'⚙️ Pengaturan'!$H$5:$H371,'⚙️ Pengaturan'!$I$5:$I371),"")</f>
        <v>TIM Y</v>
      </c>
      <c r="H283" s="137" t="s">
        <v>691</v>
      </c>
      <c r="I283" s="125" t="str">
        <f t="array" ref="I283">ifna(xlookup($H283,'🙎‍♂️ Pasien'!$G$7:$G371,'🙎‍♂️ Pasien'!$H$7:$H371),"")</f>
        <v>A7825121998</v>
      </c>
      <c r="J283" s="125" t="str">
        <f t="array" ref="J283">ifna(xlookup($H283,'🙎‍♂️ Pasien'!$G$7:$G371,'🙎‍♂️ Pasien'!$L$7:$L371),"")</f>
        <v>LAKI-LAKI</v>
      </c>
      <c r="K283" s="125">
        <f t="array" ref="K283">ifna(xlookup($H283,'🙎‍♂️ Pasien'!$G$7:$G371,'🙎‍♂️ Pasien'!$I$7:$I371),"")</f>
        <v>47</v>
      </c>
      <c r="L283" s="125" t="str">
        <f t="array" ref="L283">IFNA(xlookup(H283,'🙎‍♂️ Pasien'!$G$5:$G371,'🙎‍♂️ Pasien'!$J$5:$J371),"")</f>
        <v>&gt; 44 tahun</v>
      </c>
      <c r="M283" s="125" t="str">
        <f t="array" ref="M283">IFNA(xlookup(H283,'🙎‍♂️ Pasien'!$G$5:$G371,'🙎‍♂️ Pasien'!$S$5:$S371),"")</f>
        <v>POLRI</v>
      </c>
      <c r="N283" s="125" t="str">
        <f t="array" ref="N283">IFNA(XLOOKUP($H283,'🙎‍♂️ Pasien'!$G$7:$G371,'🙎‍♂️ Pasien'!$T$7:$T371),"")</f>
        <v>SAKIT KAKI</v>
      </c>
      <c r="O283" s="16" t="s">
        <v>914</v>
      </c>
      <c r="P283" s="16" t="s">
        <v>833</v>
      </c>
      <c r="Q283" s="16" t="s">
        <v>29</v>
      </c>
      <c r="R283" s="16" t="s">
        <v>54</v>
      </c>
      <c r="S283" s="16" t="s">
        <v>88</v>
      </c>
      <c r="T283" s="16" t="s">
        <v>834</v>
      </c>
      <c r="U283" s="109" t="s">
        <v>1070</v>
      </c>
      <c r="V283" s="126"/>
      <c r="W283" s="109"/>
      <c r="X283" s="109" t="str">
        <f t="array" ref="X283">IF(H283="","",XLOOKUP(H283,CATATANPELAYANAN[[#ALL],[NAMA PASIEN]],CATATANPELAYANAN[[#ALL],[LAYANAN]],"TIDAK CLOSING",0,-1))</f>
        <v>TERAPI AWAL</v>
      </c>
      <c r="Y283" s="109" t="str">
        <f t="shared" si="4"/>
        <v>TIDAK CLOSING</v>
      </c>
      <c r="Z283" s="127"/>
    </row>
    <row r="284" ht="22.5" customHeight="1">
      <c r="A284" s="122"/>
      <c r="B284" s="123">
        <v>46001.0</v>
      </c>
      <c r="C284" s="124" t="s">
        <v>963</v>
      </c>
      <c r="D284" s="124" t="str">
        <f t="shared" si="27"/>
        <v>12 Des</v>
      </c>
      <c r="E284" s="124" t="str">
        <f t="shared" si="28"/>
        <v>Rab</v>
      </c>
      <c r="F284" s="16" t="s">
        <v>85</v>
      </c>
      <c r="G284" s="109" t="str">
        <f t="array" ref="G284">IFNA(XLOOKUP(S284,'⚙️ Pengaturan'!$H$5:$H371,'⚙️ Pengaturan'!$I$5:$I371),"")</f>
        <v>TIM Y</v>
      </c>
      <c r="H284" s="137" t="s">
        <v>692</v>
      </c>
      <c r="I284" s="125" t="str">
        <f t="array" ref="I284">ifna(xlookup($H284,'🙎‍♂️ Pasien'!$G$7:$G371,'🙎‍♂️ Pasien'!$H$7:$H371),"")</f>
        <v>R9024087560</v>
      </c>
      <c r="J284" s="125" t="str">
        <f t="array" ref="J284">ifna(xlookup($H284,'🙎‍♂️ Pasien'!$G$7:$G371,'🙎‍♂️ Pasien'!$L$7:$L371),"")</f>
        <v>PEREMPUAN</v>
      </c>
      <c r="K284" s="125">
        <f t="array" ref="K284">ifna(xlookup($H284,'🙎‍♂️ Pasien'!$G$7:$G371,'🙎‍♂️ Pasien'!$I$7:$I371),"")</f>
        <v>35</v>
      </c>
      <c r="L284" s="125" t="str">
        <f t="array" ref="L284">IFNA(xlookup(H284,'🙎‍♂️ Pasien'!$G$5:$G371,'🙎‍♂️ Pasien'!$J$5:$J371),"")</f>
        <v>35-44 tahun</v>
      </c>
      <c r="M284" s="125" t="str">
        <f t="array" ref="M284">IFNA(xlookup(H284,'🙎‍♂️ Pasien'!$G$5:$G371,'🙎‍♂️ Pasien'!$S$5:$S371),"")</f>
        <v>SWASTA</v>
      </c>
      <c r="N284" s="125" t="str">
        <f t="array" ref="N284">IFNA(XLOOKUP($H284,'🙎‍♂️ Pasien'!$G$7:$G371,'🙎‍♂️ Pasien'!$T$7:$T371),"")</f>
        <v>Syaraf kejepit di L4 dan L5</v>
      </c>
      <c r="O284" s="16" t="s">
        <v>945</v>
      </c>
      <c r="P284" s="16" t="s">
        <v>826</v>
      </c>
      <c r="Q284" s="16" t="s">
        <v>28</v>
      </c>
      <c r="R284" s="16" t="s">
        <v>54</v>
      </c>
      <c r="S284" s="16" t="s">
        <v>509</v>
      </c>
      <c r="T284" s="16" t="s">
        <v>830</v>
      </c>
      <c r="U284" s="109"/>
      <c r="V284" s="126"/>
      <c r="W284" s="109"/>
      <c r="X284" s="109" t="str">
        <f t="array" ref="X284">IF(H284="","",XLOOKUP(H284,CATATANPELAYANAN[[#ALL],[NAMA PASIEN]],CATATANPELAYANAN[[#ALL],[LAYANAN]],"TIDAK CLOSING",0,-1))</f>
        <v>PAKET TERAPI</v>
      </c>
      <c r="Y284" s="109" t="str">
        <f t="shared" si="4"/>
        <v>PAKET</v>
      </c>
      <c r="Z284" s="127"/>
    </row>
    <row r="285" ht="22.5" customHeight="1">
      <c r="A285" s="122"/>
      <c r="B285" s="123">
        <v>46002.0</v>
      </c>
      <c r="C285" s="124" t="str">
        <f>IF(B285="","",text(B285,"yyyy"))</f>
        <v>2025</v>
      </c>
      <c r="D285" s="124" t="str">
        <f t="shared" si="27"/>
        <v>12 Des</v>
      </c>
      <c r="E285" s="124" t="str">
        <f t="shared" si="28"/>
        <v>Kam</v>
      </c>
      <c r="F285" s="16" t="s">
        <v>53</v>
      </c>
      <c r="G285" s="109" t="str">
        <f t="array" ref="G285">IFNA(XLOOKUP(S285,'⚙️ Pengaturan'!$H$5:$H371,'⚙️ Pengaturan'!$I$5:$I371),"")</f>
        <v>TIM Y</v>
      </c>
      <c r="H285" s="137" t="s">
        <v>693</v>
      </c>
      <c r="I285" s="125" t="str">
        <f t="array" ref="I285">ifna(xlookup($H285,'🙎‍♂️ Pasien'!$G$7:$G371,'🙎‍♂️ Pasien'!$H$7:$H371),"")</f>
        <v>A6825060057</v>
      </c>
      <c r="J285" s="125" t="str">
        <f t="array" ref="J285">ifna(xlookup($H285,'🙎‍♂️ Pasien'!$G$7:$G371,'🙎‍♂️ Pasien'!$L$7:$L371),"")</f>
        <v>LAKI-LAKI</v>
      </c>
      <c r="K285" s="125">
        <f t="array" ref="K285">ifna(xlookup($H285,'🙎‍♂️ Pasien'!$G$7:$G371,'🙎‍♂️ Pasien'!$I$7:$I371),"")</f>
        <v>58</v>
      </c>
      <c r="L285" s="125" t="str">
        <f t="array" ref="L285">IFNA(xlookup(H285,'🙎‍♂️ Pasien'!$G$5:$G371,'🙎‍♂️ Pasien'!$J$5:$J371),"")</f>
        <v>&gt; 44 tahun</v>
      </c>
      <c r="M285" s="125" t="str">
        <f t="array" ref="M285">IFNA(xlookup(H285,'🙎‍♂️ Pasien'!$G$5:$G371,'🙎‍♂️ Pasien'!$S$5:$S371),"")</f>
        <v>PENSIUNAN</v>
      </c>
      <c r="N285" s="125" t="str">
        <f t="array" ref="N285">IFNA(XLOOKUP($H285,'🙎‍♂️ Pasien'!$G$7:$G371,'🙎‍♂️ Pasien'!$T$7:$T371),"")</f>
        <v>NYERI DITUMIT DAN UJUNG TELAPAK KAKI</v>
      </c>
      <c r="O285" s="16" t="s">
        <v>849</v>
      </c>
      <c r="P285" s="16" t="s">
        <v>833</v>
      </c>
      <c r="Q285" s="16" t="s">
        <v>28</v>
      </c>
      <c r="R285" s="16" t="s">
        <v>54</v>
      </c>
      <c r="S285" s="16" t="s">
        <v>88</v>
      </c>
      <c r="T285" s="16" t="s">
        <v>827</v>
      </c>
      <c r="U285" s="109"/>
      <c r="V285" s="126"/>
      <c r="W285" s="109"/>
      <c r="X285" s="109" t="str">
        <f t="array" ref="X285">IF(H285="","",XLOOKUP(H285,CATATANPELAYANAN[[#ALL],[NAMA PASIEN]],CATATANPELAYANAN[[#ALL],[LAYANAN]],"TIDAK CLOSING",0,-1))</f>
        <v>SESI TERAPI</v>
      </c>
      <c r="Y285" s="109" t="str">
        <f t="shared" si="4"/>
        <v>SESI</v>
      </c>
      <c r="Z285" s="127"/>
    </row>
    <row r="286" ht="22.5" customHeight="1">
      <c r="A286" s="122"/>
      <c r="B286" s="123">
        <v>46002.0</v>
      </c>
      <c r="C286" s="124" t="s">
        <v>963</v>
      </c>
      <c r="D286" s="124" t="str">
        <f t="shared" si="27"/>
        <v>12 Des</v>
      </c>
      <c r="E286" s="124" t="str">
        <f t="shared" si="28"/>
        <v>Kam</v>
      </c>
      <c r="F286" s="16" t="s">
        <v>53</v>
      </c>
      <c r="G286" s="109" t="str">
        <f t="array" ref="G286">IFNA(XLOOKUP(S286,'⚙️ Pengaturan'!$H$5:$H371,'⚙️ Pengaturan'!$I$5:$I371),"")</f>
        <v>TIM Y</v>
      </c>
      <c r="H286" s="137" t="s">
        <v>694</v>
      </c>
      <c r="I286" s="125" t="str">
        <f t="array" ref="I286">ifna(xlookup($H286,'🙎‍♂️ Pasien'!$G$7:$G371,'🙎‍♂️ Pasien'!$H$7:$H371),"")</f>
        <v>D0625121108</v>
      </c>
      <c r="J286" s="125" t="str">
        <f t="array" ref="J286">ifna(xlookup($H286,'🙎‍♂️ Pasien'!$G$7:$G371,'🙎‍♂️ Pasien'!$L$7:$L371),"")</f>
        <v>LAKI-LAKI</v>
      </c>
      <c r="K286" s="125">
        <f t="array" ref="K286">ifna(xlookup($H286,'🙎‍♂️ Pasien'!$G$7:$G371,'🙎‍♂️ Pasien'!$I$7:$I371),"")</f>
        <v>19</v>
      </c>
      <c r="L286" s="125" t="str">
        <f t="array" ref="L286">IFNA(xlookup(H286,'🙎‍♂️ Pasien'!$G$5:$G371,'🙎‍♂️ Pasien'!$J$5:$J371),"")</f>
        <v>18-24 tahun</v>
      </c>
      <c r="M286" s="125" t="str">
        <f t="array" ref="M286">IFNA(xlookup(H286,'🙎‍♂️ Pasien'!$G$5:$G371,'🙎‍♂️ Pasien'!$S$5:$S371),"")</f>
        <v>MAHASISWA</v>
      </c>
      <c r="N286" s="125" t="str">
        <f t="array" ref="N286">IFNA(XLOOKUP($H286,'🙎‍♂️ Pasien'!$G$7:$G371,'🙎‍♂️ Pasien'!$T$7:$T371),"")</f>
        <v>LOWER BACK</v>
      </c>
      <c r="O286" s="16" t="s">
        <v>825</v>
      </c>
      <c r="P286" s="16" t="s">
        <v>826</v>
      </c>
      <c r="Q286" s="16" t="s">
        <v>29</v>
      </c>
      <c r="R286" s="16" t="s">
        <v>54</v>
      </c>
      <c r="S286" s="16" t="s">
        <v>88</v>
      </c>
      <c r="T286" s="16" t="s">
        <v>827</v>
      </c>
      <c r="U286" s="109"/>
      <c r="V286" s="126"/>
      <c r="W286" s="109"/>
      <c r="X286" s="109" t="str">
        <f t="array" ref="X286">IF(H286="","",XLOOKUP(H286,CATATANPELAYANAN[[#ALL],[NAMA PASIEN]],CATATANPELAYANAN[[#ALL],[LAYANAN]],"TIDAK CLOSING",0,-1))</f>
        <v>SESI TERAPI</v>
      </c>
      <c r="Y286" s="109" t="str">
        <f t="shared" si="4"/>
        <v>SESI</v>
      </c>
      <c r="Z286" s="127"/>
    </row>
    <row r="287" ht="22.5" customHeight="1">
      <c r="A287" s="122"/>
      <c r="B287" s="123">
        <v>46002.0</v>
      </c>
      <c r="C287" s="124" t="s">
        <v>963</v>
      </c>
      <c r="D287" s="124" t="str">
        <f t="shared" si="27"/>
        <v>12 Des</v>
      </c>
      <c r="E287" s="124" t="str">
        <f t="shared" si="28"/>
        <v>Kam</v>
      </c>
      <c r="F287" s="16" t="s">
        <v>53</v>
      </c>
      <c r="G287" s="109" t="str">
        <f t="array" ref="G287">IFNA(XLOOKUP(S287,'⚙️ Pengaturan'!$H$5:$H371,'⚙️ Pengaturan'!$I$5:$I371),"")</f>
        <v>MANAJEMEN</v>
      </c>
      <c r="H287" s="137" t="s">
        <v>695</v>
      </c>
      <c r="I287" s="125" t="str">
        <f t="array" ref="I287">ifna(xlookup($H287,'🙎‍♂️ Pasien'!$G$7:$G371,'🙎‍♂️ Pasien'!$H$7:$H371),"")</f>
        <v>L5725121301</v>
      </c>
      <c r="J287" s="125" t="str">
        <f t="array" ref="J287">ifna(xlookup($H287,'🙎‍♂️ Pasien'!$G$7:$G371,'🙎‍♂️ Pasien'!$L$7:$L371),"")</f>
        <v>PEREMPUAN</v>
      </c>
      <c r="K287" s="125">
        <f t="array" ref="K287">ifna(xlookup($H287,'🙎‍♂️ Pasien'!$G$7:$G371,'🙎‍♂️ Pasien'!$I$7:$I371),"")</f>
        <v>68</v>
      </c>
      <c r="L287" s="125" t="str">
        <f t="array" ref="L287">IFNA(xlookup(H287,'🙎‍♂️ Pasien'!$G$5:$G371,'🙎‍♂️ Pasien'!$J$5:$J371),"")</f>
        <v>&gt; 44 tahun</v>
      </c>
      <c r="M287" s="125" t="str">
        <f t="array" ref="M287">IFNA(xlookup(H287,'🙎‍♂️ Pasien'!$G$5:$G371,'🙎‍♂️ Pasien'!$S$5:$S371),"")</f>
        <v>IRT</v>
      </c>
      <c r="N287" s="125" t="str">
        <f t="array" ref="N287">IFNA(XLOOKUP($H287,'🙎‍♂️ Pasien'!$G$7:$G371,'🙎‍♂️ Pasien'!$T$7:$T371),"")</f>
        <v>PINGGANG</v>
      </c>
      <c r="O287" s="16" t="s">
        <v>1071</v>
      </c>
      <c r="P287" s="16" t="s">
        <v>848</v>
      </c>
      <c r="Q287" s="16" t="s">
        <v>29</v>
      </c>
      <c r="R287" s="16" t="s">
        <v>54</v>
      </c>
      <c r="S287" s="16" t="s">
        <v>101</v>
      </c>
      <c r="T287" s="16" t="s">
        <v>834</v>
      </c>
      <c r="U287" s="109" t="s">
        <v>1072</v>
      </c>
      <c r="V287" s="126"/>
      <c r="W287" s="109"/>
      <c r="X287" s="109" t="str">
        <f t="array" ref="X287">IF(H287="","",XLOOKUP(H287,CATATANPELAYANAN[[#ALL],[NAMA PASIEN]],CATATANPELAYANAN[[#ALL],[LAYANAN]],"TIDAK CLOSING",0,-1))</f>
        <v>TERAPI AWAL</v>
      </c>
      <c r="Y287" s="109" t="str">
        <f t="shared" si="4"/>
        <v>TIDAK CLOSING</v>
      </c>
      <c r="Z287" s="127"/>
    </row>
    <row r="288" ht="22.5" customHeight="1">
      <c r="A288" s="122"/>
      <c r="B288" s="123">
        <v>46002.0</v>
      </c>
      <c r="C288" s="124" t="s">
        <v>963</v>
      </c>
      <c r="D288" s="124" t="str">
        <f t="shared" si="27"/>
        <v>12 Des</v>
      </c>
      <c r="E288" s="124" t="str">
        <f t="shared" si="28"/>
        <v>Kam</v>
      </c>
      <c r="F288" s="16" t="s">
        <v>53</v>
      </c>
      <c r="G288" s="109" t="str">
        <f t="array" ref="G288">IFNA(XLOOKUP(S288,'⚙️ Pengaturan'!$H$5:$H371,'⚙️ Pengaturan'!$I$5:$I371),"")</f>
        <v>TIM Y</v>
      </c>
      <c r="H288" s="137" t="s">
        <v>711</v>
      </c>
      <c r="I288" s="125" t="str">
        <f t="array" ref="I288">ifna(xlookup($H288,'🙎‍♂️ Pasien'!$G$7:$G371,'🙎‍♂️ Pasien'!$H$7:$H371),"")</f>
        <v>N0025126327</v>
      </c>
      <c r="J288" s="125" t="str">
        <f t="array" ref="J288">ifna(xlookup($H288,'🙎‍♂️ Pasien'!$G$7:$G371,'🙎‍♂️ Pasien'!$L$7:$L371),"")</f>
        <v>LAKI-LAKI</v>
      </c>
      <c r="K288" s="125">
        <f t="array" ref="K288">ifna(xlookup($H288,'🙎‍♂️ Pasien'!$G$7:$G371,'🙎‍♂️ Pasien'!$I$7:$I371),"")</f>
        <v>26</v>
      </c>
      <c r="L288" s="125" t="str">
        <f t="array" ref="L288">IFNA(xlookup(H288,'🙎‍♂️ Pasien'!$G$5:$G371,'🙎‍♂️ Pasien'!$J$5:$J371),"")</f>
        <v>25-34 tahun</v>
      </c>
      <c r="M288" s="125" t="str">
        <f t="array" ref="M288">IFNA(xlookup(H288,'🙎‍♂️ Pasien'!$G$5:$G371,'🙎‍♂️ Pasien'!$S$5:$S371),"")</f>
        <v>MAHASISWA/PELAJAR</v>
      </c>
      <c r="N288" s="125" t="str">
        <f t="array" ref="N288">IFNA(XLOOKUP($H288,'🙎‍♂️ Pasien'!$G$7:$G371,'🙎‍♂️ Pasien'!$T$7:$T371),"")</f>
        <v>KAKI KIRI</v>
      </c>
      <c r="O288" s="16" t="s">
        <v>985</v>
      </c>
      <c r="P288" s="16" t="s">
        <v>829</v>
      </c>
      <c r="Q288" s="16" t="s">
        <v>29</v>
      </c>
      <c r="R288" s="16" t="s">
        <v>54</v>
      </c>
      <c r="S288" s="16" t="s">
        <v>509</v>
      </c>
      <c r="T288" s="16" t="s">
        <v>834</v>
      </c>
      <c r="U288" s="109" t="s">
        <v>1052</v>
      </c>
      <c r="V288" s="126"/>
      <c r="W288" s="109"/>
      <c r="X288" s="109" t="str">
        <f t="array" ref="X288">IF(H288="","",XLOOKUP(H288,CATATANPELAYANAN[[#ALL],[NAMA PASIEN]],CATATANPELAYANAN[[#ALL],[LAYANAN]],"TIDAK CLOSING",0,-1))</f>
        <v>PAKET/SESI</v>
      </c>
      <c r="Y288" s="109" t="str">
        <f t="shared" si="4"/>
        <v>TIDAK CLOSING</v>
      </c>
      <c r="Z288" s="127"/>
    </row>
    <row r="289" ht="22.5" customHeight="1">
      <c r="A289" s="122"/>
      <c r="B289" s="123">
        <v>46002.0</v>
      </c>
      <c r="C289" s="124" t="str">
        <f t="shared" ref="C289:C294" si="34">IF(B289="","",text(B289,"yyyy"))</f>
        <v>2025</v>
      </c>
      <c r="D289" s="124" t="str">
        <f t="shared" si="27"/>
        <v>12 Des</v>
      </c>
      <c r="E289" s="124" t="str">
        <f t="shared" si="28"/>
        <v>Kam</v>
      </c>
      <c r="F289" s="16" t="s">
        <v>85</v>
      </c>
      <c r="G289" s="109" t="str">
        <f t="array" ref="G289">IFNA(XLOOKUP(S289,'⚙️ Pengaturan'!$H$5:$H371,'⚙️ Pengaturan'!$I$5:$I371),"")</f>
        <v>TIM A</v>
      </c>
      <c r="H289" s="109" t="s">
        <v>696</v>
      </c>
      <c r="I289" s="125" t="str">
        <f t="array" ref="I289">ifna(xlookup($H289,'🙎‍♂️ Pasien'!$G$7:$G371,'🙎‍♂️ Pasien'!$H$7:$H371),"")</f>
        <v>Y6825129986</v>
      </c>
      <c r="J289" s="125" t="str">
        <f t="array" ref="J289">ifna(xlookup($H289,'🙎‍♂️ Pasien'!$G$7:$G371,'🙎‍♂️ Pasien'!$L$7:$L371),"")</f>
        <v>PEREMPUAN</v>
      </c>
      <c r="K289" s="125">
        <f t="array" ref="K289">ifna(xlookup($H289,'🙎‍♂️ Pasien'!$G$7:$G371,'🙎‍♂️ Pasien'!$I$7:$I371),"")</f>
        <v>58</v>
      </c>
      <c r="L289" s="125" t="str">
        <f t="array" ref="L289">IFNA(xlookup(H289,'🙎‍♂️ Pasien'!$G$5:$G371,'🙎‍♂️ Pasien'!$J$5:$J371),"")</f>
        <v>&gt; 44 tahun</v>
      </c>
      <c r="M289" s="125" t="str">
        <f t="array" ref="M289">IFNA(xlookup(H289,'🙎‍♂️ Pasien'!$G$5:$G371,'🙎‍♂️ Pasien'!$S$5:$S371),"")</f>
        <v>PNS</v>
      </c>
      <c r="N289" s="125" t="str">
        <f t="array" ref="N289">IFNA(XLOOKUP($H289,'🙎‍♂️ Pasien'!$G$7:$G371,'🙎‍♂️ Pasien'!$T$7:$T371),"")</f>
        <v>LENGAN KANAN ATAS KAKU</v>
      </c>
      <c r="O289" s="16" t="s">
        <v>858</v>
      </c>
      <c r="P289" s="16" t="s">
        <v>839</v>
      </c>
      <c r="Q289" s="16" t="s">
        <v>29</v>
      </c>
      <c r="R289" s="16" t="s">
        <v>86</v>
      </c>
      <c r="S289" s="16" t="s">
        <v>72</v>
      </c>
      <c r="T289" s="16" t="s">
        <v>827</v>
      </c>
      <c r="U289" s="109"/>
      <c r="V289" s="126"/>
      <c r="W289" s="109"/>
      <c r="X289" s="109" t="str">
        <f t="array" ref="X289">IF(H289="","",XLOOKUP(H289,CATATANPELAYANAN[[#ALL],[NAMA PASIEN]],CATATANPELAYANAN[[#ALL],[LAYANAN]],"TIDAK CLOSING",0,-1))</f>
        <v>SESI TERAPI</v>
      </c>
      <c r="Y289" s="109" t="str">
        <f t="shared" si="4"/>
        <v>SESI</v>
      </c>
      <c r="Z289" s="127"/>
    </row>
    <row r="290" ht="22.5" customHeight="1">
      <c r="A290" s="122"/>
      <c r="B290" s="123">
        <v>46002.0</v>
      </c>
      <c r="C290" s="124" t="str">
        <f t="shared" si="34"/>
        <v>2025</v>
      </c>
      <c r="D290" s="124" t="str">
        <f t="shared" si="27"/>
        <v>12 Des</v>
      </c>
      <c r="E290" s="124" t="str">
        <f t="shared" si="28"/>
        <v>Kam</v>
      </c>
      <c r="F290" s="16" t="s">
        <v>85</v>
      </c>
      <c r="G290" s="109" t="str">
        <f t="array" ref="G290">IFNA(XLOOKUP(S290,'⚙️ Pengaturan'!$H$5:$H371,'⚙️ Pengaturan'!$I$5:$I371),"")</f>
        <v>TIM A</v>
      </c>
      <c r="H290" s="109" t="s">
        <v>689</v>
      </c>
      <c r="I290" s="125" t="str">
        <f t="array" ref="I290">ifna(xlookup($H290,'🙎‍♂️ Pasien'!$G$7:$G371,'🙎‍♂️ Pasien'!$H$7:$H371),"")</f>
        <v>S8825078486</v>
      </c>
      <c r="J290" s="125" t="str">
        <f t="array" ref="J290">ifna(xlookup($H290,'🙎‍♂️ Pasien'!$G$7:$G371,'🙎‍♂️ Pasien'!$L$7:$L371),"")</f>
        <v>LAKI-LAKI</v>
      </c>
      <c r="K290" s="125">
        <f t="array" ref="K290">ifna(xlookup($H290,'🙎‍♂️ Pasien'!$G$7:$G371,'🙎‍♂️ Pasien'!$I$7:$I371),"")</f>
        <v>38</v>
      </c>
      <c r="L290" s="125" t="str">
        <f t="array" ref="L290">IFNA(xlookup(H290,'🙎‍♂️ Pasien'!$G$5:$G371,'🙎‍♂️ Pasien'!$J$5:$J371),"")</f>
        <v>35-44 tahun</v>
      </c>
      <c r="M290" s="125" t="str">
        <f t="array" ref="M290">IFNA(xlookup(H290,'🙎‍♂️ Pasien'!$G$5:$G371,'🙎‍♂️ Pasien'!$S$5:$S371),"")</f>
        <v>WIRASWASTA</v>
      </c>
      <c r="N290" s="125" t="str">
        <f t="array" ref="N290">IFNA(XLOOKUP($H290,'🙎‍♂️ Pasien'!$G$7:$G371,'🙎‍♂️ Pasien'!$T$7:$T371),"")</f>
        <v>SAKIT TULANG EKOR</v>
      </c>
      <c r="O290" s="16" t="s">
        <v>1073</v>
      </c>
      <c r="P290" s="16" t="s">
        <v>826</v>
      </c>
      <c r="Q290" s="16" t="s">
        <v>28</v>
      </c>
      <c r="R290" s="16" t="s">
        <v>86</v>
      </c>
      <c r="S290" s="16" t="s">
        <v>79</v>
      </c>
      <c r="T290" s="16" t="s">
        <v>834</v>
      </c>
      <c r="U290" s="109" t="s">
        <v>1074</v>
      </c>
      <c r="V290" s="126"/>
      <c r="W290" s="109"/>
      <c r="X290" s="109" t="str">
        <f t="array" ref="X290">IF(H290="","",XLOOKUP(H290,CATATANPELAYANAN[[#ALL],[NAMA PASIEN]],CATATANPELAYANAN[[#ALL],[LAYANAN]],"TIDAK CLOSING",0,-1))</f>
        <v>TERAPI AWAL</v>
      </c>
      <c r="Y290" s="109" t="str">
        <f t="shared" si="4"/>
        <v>TIDAK CLOSING</v>
      </c>
      <c r="Z290" s="127"/>
    </row>
    <row r="291" ht="22.5" customHeight="1">
      <c r="A291" s="122"/>
      <c r="B291" s="123">
        <v>46002.0</v>
      </c>
      <c r="C291" s="124" t="str">
        <f t="shared" si="34"/>
        <v>2025</v>
      </c>
      <c r="D291" s="124" t="str">
        <f t="shared" si="27"/>
        <v>12 Des</v>
      </c>
      <c r="E291" s="124" t="str">
        <f t="shared" si="28"/>
        <v>Kam</v>
      </c>
      <c r="F291" s="16" t="s">
        <v>85</v>
      </c>
      <c r="G291" s="109" t="str">
        <f t="array" ref="G291">IFNA(XLOOKUP(S291,'⚙️ Pengaturan'!$H$5:$H371,'⚙️ Pengaturan'!$I$5:$I371),"")</f>
        <v>TIM A</v>
      </c>
      <c r="H291" s="109" t="s">
        <v>697</v>
      </c>
      <c r="I291" s="125" t="str">
        <f t="array" ref="I291">ifna(xlookup($H291,'🙎‍♂️ Pasien'!$G$7:$G371,'🙎‍♂️ Pasien'!$H$7:$H371),"")</f>
        <v>L6025128579</v>
      </c>
      <c r="J291" s="125" t="str">
        <f t="array" ref="J291">ifna(xlookup($H291,'🙎‍♂️ Pasien'!$G$7:$G371,'🙎‍♂️ Pasien'!$L$7:$L371),"")</f>
        <v>LAKI-LAKI</v>
      </c>
      <c r="K291" s="125">
        <f t="array" ref="K291">ifna(xlookup($H291,'🙎‍♂️ Pasien'!$G$7:$G371,'🙎‍♂️ Pasien'!$I$7:$I371),"")</f>
        <v>66</v>
      </c>
      <c r="L291" s="125" t="str">
        <f t="array" ref="L291">IFNA(xlookup(H291,'🙎‍♂️ Pasien'!$G$5:$G371,'🙎‍♂️ Pasien'!$J$5:$J371),"")</f>
        <v>&gt; 44 tahun</v>
      </c>
      <c r="M291" s="125" t="str">
        <f t="array" ref="M291">IFNA(xlookup(H291,'🙎‍♂️ Pasien'!$G$5:$G371,'🙎‍♂️ Pasien'!$S$5:$S371),"")</f>
        <v>-</v>
      </c>
      <c r="N291" s="125" t="str">
        <f t="array" ref="N291">IFNA(XLOOKUP($H291,'🙎‍♂️ Pasien'!$G$7:$G371,'🙎‍♂️ Pasien'!$T$7:$T371),"")</f>
        <v>BANTALAN ANTARA TULANG L5 DENGAN S1 GEPENG SEHINGGA PINGGAN TERASA SAKIT SAMPAI KAKI. TIDAK BISA BERDIRI LAMA DAN DUDUK LAMA. BERDIRI TIDAK BISA TEGAK. SUDAH BERLANGSUNG SELAMA 1 MINGGU. TELAH MELAKUKAN RADIOLOGI DAN KUNJUNGAN DOKTER SPELIASIS SARAF</v>
      </c>
      <c r="O291" s="16" t="s">
        <v>902</v>
      </c>
      <c r="P291" s="16" t="s">
        <v>836</v>
      </c>
      <c r="Q291" s="138" t="s">
        <v>27</v>
      </c>
      <c r="R291" s="16" t="s">
        <v>86</v>
      </c>
      <c r="S291" s="16" t="s">
        <v>79</v>
      </c>
      <c r="T291" s="16" t="s">
        <v>830</v>
      </c>
      <c r="U291" s="109"/>
      <c r="V291" s="126"/>
      <c r="W291" s="109"/>
      <c r="X291" s="109" t="str">
        <f t="array" ref="X291">IF(H291="","",XLOOKUP(H291,CATATANPELAYANAN[[#ALL],[NAMA PASIEN]],CATATANPELAYANAN[[#ALL],[LAYANAN]],"TIDAK CLOSING",0,-1))</f>
        <v>PAKET TERAPI</v>
      </c>
      <c r="Y291" s="109" t="str">
        <f t="shared" si="4"/>
        <v>PAKET</v>
      </c>
      <c r="Z291" s="127"/>
    </row>
    <row r="292" ht="22.5" customHeight="1">
      <c r="A292" s="122"/>
      <c r="B292" s="123">
        <v>46002.0</v>
      </c>
      <c r="C292" s="124" t="str">
        <f t="shared" si="34"/>
        <v>2025</v>
      </c>
      <c r="D292" s="124" t="str">
        <f t="shared" si="27"/>
        <v>12 Des</v>
      </c>
      <c r="E292" s="124" t="str">
        <f t="shared" si="28"/>
        <v>Kam</v>
      </c>
      <c r="F292" s="16" t="s">
        <v>85</v>
      </c>
      <c r="G292" s="109" t="str">
        <f t="array" ref="G292">IFNA(XLOOKUP(S292,'⚙️ Pengaturan'!$H$5:$H371,'⚙️ Pengaturan'!$I$5:$I371),"")</f>
        <v>TIM A</v>
      </c>
      <c r="H292" s="109" t="s">
        <v>698</v>
      </c>
      <c r="I292" s="125" t="str">
        <f t="array" ref="I292">ifna(xlookup($H292,'🙎‍♂️ Pasien'!$G$7:$G371,'🙎‍♂️ Pasien'!$H$7:$H371),"")</f>
        <v>A0025123200</v>
      </c>
      <c r="J292" s="125" t="str">
        <f t="array" ref="J292">ifna(xlookup($H292,'🙎‍♂️ Pasien'!$G$7:$G371,'🙎‍♂️ Pasien'!$L$7:$L371),"")</f>
        <v>PEREMPUAN</v>
      </c>
      <c r="K292" s="125">
        <f t="array" ref="K292">ifna(xlookup($H292,'🙎‍♂️ Pasien'!$G$7:$G371,'🙎‍♂️ Pasien'!$I$7:$I371),"")</f>
        <v>25</v>
      </c>
      <c r="L292" s="125" t="str">
        <f t="array" ref="L292">IFNA(xlookup(H292,'🙎‍♂️ Pasien'!$G$5:$G371,'🙎‍♂️ Pasien'!$J$5:$J371),"")</f>
        <v>25-34 tahun</v>
      </c>
      <c r="M292" s="125" t="str">
        <f t="array" ref="M292">IFNA(xlookup(H292,'🙎‍♂️ Pasien'!$G$5:$G371,'🙎‍♂️ Pasien'!$S$5:$S371),"")</f>
        <v>KARYAWAN SWASTA</v>
      </c>
      <c r="N292" s="125" t="str">
        <f t="array" ref="N292">IFNA(XLOOKUP($H292,'🙎‍♂️ Pasien'!$G$7:$G371,'🙎‍♂️ Pasien'!$T$7:$T371),"")</f>
        <v>SAKIT PADA BAGIAN FOREARM DAN PEGAL DI BELAKANG LUTUT KANAN</v>
      </c>
      <c r="O292" s="16" t="s">
        <v>1075</v>
      </c>
      <c r="P292" s="16" t="s">
        <v>907</v>
      </c>
      <c r="Q292" s="16" t="s">
        <v>29</v>
      </c>
      <c r="R292" s="16" t="s">
        <v>86</v>
      </c>
      <c r="S292" s="16" t="s">
        <v>79</v>
      </c>
      <c r="T292" s="16" t="s">
        <v>834</v>
      </c>
      <c r="U292" s="109" t="s">
        <v>831</v>
      </c>
      <c r="V292" s="126"/>
      <c r="W292" s="109"/>
      <c r="X292" s="109" t="str">
        <f t="array" ref="X292">IF(H292="","",XLOOKUP(H292,CATATANPELAYANAN[[#ALL],[NAMA PASIEN]],CATATANPELAYANAN[[#ALL],[LAYANAN]],"TIDAK CLOSING",0,-1))</f>
        <v>TERAPI AWAL</v>
      </c>
      <c r="Y292" s="109" t="str">
        <f t="shared" si="4"/>
        <v>TIDAK CLOSING</v>
      </c>
      <c r="Z292" s="127"/>
    </row>
    <row r="293" ht="22.5" customHeight="1">
      <c r="A293" s="122"/>
      <c r="B293" s="123">
        <v>46002.0</v>
      </c>
      <c r="C293" s="124" t="str">
        <f t="shared" si="34"/>
        <v>2025</v>
      </c>
      <c r="D293" s="124" t="str">
        <f t="shared" si="27"/>
        <v>12 Des</v>
      </c>
      <c r="E293" s="124" t="str">
        <f t="shared" si="28"/>
        <v>Kam</v>
      </c>
      <c r="F293" s="16" t="s">
        <v>85</v>
      </c>
      <c r="G293" s="109" t="str">
        <f t="array" ref="G293">IFNA(XLOOKUP(S293,'⚙️ Pengaturan'!$H$5:$H371,'⚙️ Pengaturan'!$I$5:$I371),"")</f>
        <v>TIM A</v>
      </c>
      <c r="H293" s="109" t="s">
        <v>699</v>
      </c>
      <c r="I293" s="125" t="str">
        <f t="array" ref="I293">ifna(xlookup($H293,'🙎‍♂️ Pasien'!$G$7:$G371,'🙎‍♂️ Pasien'!$H$7:$H371),"")</f>
        <v>F9325121778</v>
      </c>
      <c r="J293" s="125" t="str">
        <f t="array" ref="J293">ifna(xlookup($H293,'🙎‍♂️ Pasien'!$G$7:$G371,'🙎‍♂️ Pasien'!$L$7:$L371),"")</f>
        <v>LAKI-LAKI</v>
      </c>
      <c r="K293" s="125">
        <f t="array" ref="K293">ifna(xlookup($H293,'🙎‍♂️ Pasien'!$G$7:$G371,'🙎‍♂️ Pasien'!$I$7:$I371),"")</f>
        <v>33</v>
      </c>
      <c r="L293" s="125" t="str">
        <f t="array" ref="L293">IFNA(xlookup(H293,'🙎‍♂️ Pasien'!$G$5:$G371,'🙎‍♂️ Pasien'!$J$5:$J371),"")</f>
        <v>25-34 tahun</v>
      </c>
      <c r="M293" s="125" t="str">
        <f t="array" ref="M293">IFNA(xlookup(H293,'🙎‍♂️ Pasien'!$G$5:$G371,'🙎‍♂️ Pasien'!$S$5:$S371),"")</f>
        <v>WIRASWASTA</v>
      </c>
      <c r="N293" s="125" t="str">
        <f t="array" ref="N293">IFNA(XLOOKUP($H293,'🙎‍♂️ Pasien'!$G$7:$G371,'🙎‍♂️ Pasien'!$T$7:$T371),"")</f>
        <v>CEDERA DI WRIST TANGAN KANAN, PAHA KAKI KANAN DAN PINGGANG BAGIAN BAWAH</v>
      </c>
      <c r="O293" s="16" t="s">
        <v>908</v>
      </c>
      <c r="P293" s="16" t="s">
        <v>866</v>
      </c>
      <c r="Q293" s="16" t="s">
        <v>29</v>
      </c>
      <c r="R293" s="16" t="s">
        <v>86</v>
      </c>
      <c r="S293" s="16" t="s">
        <v>72</v>
      </c>
      <c r="T293" s="16" t="s">
        <v>834</v>
      </c>
      <c r="U293" s="109" t="s">
        <v>348</v>
      </c>
      <c r="V293" s="126"/>
      <c r="W293" s="109"/>
      <c r="X293" s="109" t="str">
        <f t="array" ref="X293">IF(H293="","",XLOOKUP(H293,CATATANPELAYANAN[[#ALL],[NAMA PASIEN]],CATATANPELAYANAN[[#ALL],[LAYANAN]],"TIDAK CLOSING",0,-1))</f>
        <v>TERAPI AWAL</v>
      </c>
      <c r="Y293" s="109" t="str">
        <f t="shared" si="4"/>
        <v>TIDAK CLOSING</v>
      </c>
      <c r="Z293" s="127"/>
    </row>
    <row r="294" ht="22.5" customHeight="1">
      <c r="A294" s="122"/>
      <c r="B294" s="123">
        <v>46003.0</v>
      </c>
      <c r="C294" s="124" t="str">
        <f t="shared" si="34"/>
        <v>2025</v>
      </c>
      <c r="D294" s="124" t="str">
        <f t="shared" si="27"/>
        <v>12 Des</v>
      </c>
      <c r="E294" s="124" t="str">
        <f t="shared" si="28"/>
        <v>Jum</v>
      </c>
      <c r="F294" s="16" t="s">
        <v>85</v>
      </c>
      <c r="G294" s="109" t="str">
        <f t="array" ref="G294">IFNA(XLOOKUP(S294,'⚙️ Pengaturan'!$H$5:$H371,'⚙️ Pengaturan'!$I$5:$I371),"")</f>
        <v>TIM A</v>
      </c>
      <c r="H294" s="109" t="s">
        <v>1076</v>
      </c>
      <c r="I294" s="125" t="str">
        <f t="array" ref="I294">ifna(xlookup($H294,'🙎‍♂️ Pasien'!$G$7:$G371,'🙎‍♂️ Pasien'!$H$7:$H371),"")</f>
        <v/>
      </c>
      <c r="J294" s="125" t="str">
        <f t="array" ref="J294">ifna(xlookup($H294,'🙎‍♂️ Pasien'!$G$7:$G371,'🙎‍♂️ Pasien'!$L$7:$L371),"")</f>
        <v/>
      </c>
      <c r="K294" s="125" t="str">
        <f t="array" ref="K294">ifna(xlookup($H294,'🙎‍♂️ Pasien'!$G$7:$G371,'🙎‍♂️ Pasien'!$I$7:$I371),"")</f>
        <v/>
      </c>
      <c r="L294" s="125" t="str">
        <f t="array" ref="L294">IFNA(xlookup(H294,'🙎‍♂️ Pasien'!$G$5:$G371,'🙎‍♂️ Pasien'!$J$5:$J371),"")</f>
        <v/>
      </c>
      <c r="M294" s="125" t="str">
        <f t="array" ref="M294">IFNA(xlookup(H294,'🙎‍♂️ Pasien'!$G$5:$G371,'🙎‍♂️ Pasien'!$S$5:$S371),"")</f>
        <v/>
      </c>
      <c r="N294" s="125" t="str">
        <f t="array" ref="N294">IFNA(XLOOKUP($H294,'🙎‍♂️ Pasien'!$G$7:$G371,'🙎‍♂️ Pasien'!$T$7:$T371),"")</f>
        <v/>
      </c>
      <c r="O294" s="16" t="s">
        <v>828</v>
      </c>
      <c r="P294" s="16" t="s">
        <v>851</v>
      </c>
      <c r="Q294" s="16" t="s">
        <v>29</v>
      </c>
      <c r="R294" s="16" t="s">
        <v>134</v>
      </c>
      <c r="S294" s="16" t="s">
        <v>79</v>
      </c>
      <c r="T294" s="16" t="s">
        <v>830</v>
      </c>
      <c r="U294" s="109" t="s">
        <v>1077</v>
      </c>
      <c r="V294" s="126"/>
      <c r="W294" s="109"/>
      <c r="X294" s="109" t="str">
        <f t="array" ref="X294">IF(H294="","",XLOOKUP(H294,CATATANPELAYANAN[[#ALL],[NAMA PASIEN]],CATATANPELAYANAN[[#ALL],[LAYANAN]],"TIDAK CLOSING",0,-1))</f>
        <v>TIDAK CLOSING</v>
      </c>
      <c r="Y294" s="109" t="str">
        <f t="shared" si="4"/>
        <v>TIDAK CLOSING</v>
      </c>
      <c r="Z294" s="127"/>
    </row>
    <row r="295" ht="22.5" customHeight="1">
      <c r="A295" s="122"/>
      <c r="B295" s="123">
        <v>46003.0</v>
      </c>
      <c r="C295" s="124" t="s">
        <v>963</v>
      </c>
      <c r="D295" s="124" t="str">
        <f t="shared" si="27"/>
        <v>12 Des</v>
      </c>
      <c r="E295" s="124" t="str">
        <f t="shared" si="28"/>
        <v>Jum</v>
      </c>
      <c r="F295" s="16" t="s">
        <v>85</v>
      </c>
      <c r="G295" s="109" t="str">
        <f t="array" ref="G295">IFNA(XLOOKUP(S295,'⚙️ Pengaturan'!$H$5:$H371,'⚙️ Pengaturan'!$I$5:$I371),"")</f>
        <v>TIM A</v>
      </c>
      <c r="H295" s="109" t="s">
        <v>703</v>
      </c>
      <c r="I295" s="125" t="str">
        <f t="array" ref="I295">ifna(xlookup($H295,'🙎‍♂️ Pasien'!$G$7:$G371,'🙎‍♂️ Pasien'!$H$7:$H371),"")</f>
        <v>D8825037244</v>
      </c>
      <c r="J295" s="125" t="str">
        <f t="array" ref="J295">ifna(xlookup($H295,'🙎‍♂️ Pasien'!$G$7:$G371,'🙎‍♂️ Pasien'!$L$7:$L371),"")</f>
        <v>PEREMPUAN</v>
      </c>
      <c r="K295" s="125">
        <f t="array" ref="K295">ifna(xlookup($H295,'🙎‍♂️ Pasien'!$G$7:$G371,'🙎‍♂️ Pasien'!$I$7:$I371),"")</f>
        <v>37</v>
      </c>
      <c r="L295" s="125" t="str">
        <f t="array" ref="L295">IFNA(xlookup(H295,'🙎‍♂️ Pasien'!$G$5:$G371,'🙎‍♂️ Pasien'!$J$5:$J371),"")</f>
        <v>35-44 tahun</v>
      </c>
      <c r="M295" s="125" t="str">
        <f t="array" ref="M295">IFNA(xlookup(H295,'🙎‍♂️ Pasien'!$G$5:$G371,'🙎‍♂️ Pasien'!$S$5:$S371),"")</f>
        <v>GURU PPPK</v>
      </c>
      <c r="N295" s="125" t="str">
        <f t="array" ref="N295">IFNA(XLOOKUP($H295,'🙎‍♂️ Pasien'!$G$7:$G371,'🙎‍♂️ Pasien'!$T$7:$T371),"")</f>
        <v>SPUR DI TUMIT, SAKIT HINGGA BOKONG</v>
      </c>
      <c r="O295" s="16" t="s">
        <v>880</v>
      </c>
      <c r="P295" s="16" t="s">
        <v>862</v>
      </c>
      <c r="Q295" s="16" t="s">
        <v>28</v>
      </c>
      <c r="R295" s="16" t="s">
        <v>134</v>
      </c>
      <c r="S295" s="16" t="s">
        <v>79</v>
      </c>
      <c r="T295" s="16" t="s">
        <v>830</v>
      </c>
      <c r="U295" s="109"/>
      <c r="V295" s="126"/>
      <c r="W295" s="109"/>
      <c r="X295" s="109" t="str">
        <f t="array" ref="X295">IF(H295="","",XLOOKUP(H295,CATATANPELAYANAN[[#ALL],[NAMA PASIEN]],CATATANPELAYANAN[[#ALL],[LAYANAN]],"TIDAK CLOSING",0,-1))</f>
        <v>PAKET TERAPI</v>
      </c>
      <c r="Y295" s="109" t="str">
        <f t="shared" si="4"/>
        <v>PAKET</v>
      </c>
      <c r="Z295" s="127"/>
    </row>
    <row r="296" ht="22.5" customHeight="1">
      <c r="A296" s="122"/>
      <c r="B296" s="123">
        <v>46004.0</v>
      </c>
      <c r="C296" s="124" t="str">
        <f t="shared" ref="C296:C299" si="35">IF(B296="","",text(B296,"yyyy"))</f>
        <v>2025</v>
      </c>
      <c r="D296" s="124" t="str">
        <f t="shared" si="27"/>
        <v>12 Des</v>
      </c>
      <c r="E296" s="124" t="str">
        <f t="shared" si="28"/>
        <v>Sab</v>
      </c>
      <c r="F296" s="16" t="s">
        <v>53</v>
      </c>
      <c r="G296" s="109" t="str">
        <f t="array" ref="G296">IFNA(XLOOKUP(S296,'⚙️ Pengaturan'!$H$5:$H371,'⚙️ Pengaturan'!$I$5:$I371),"")</f>
        <v>TIM A</v>
      </c>
      <c r="H296" s="109" t="s">
        <v>705</v>
      </c>
      <c r="I296" s="125" t="str">
        <f t="array" ref="I296">ifna(xlookup($H296,'🙎‍♂️ Pasien'!$G$7:$G371,'🙎‍♂️ Pasien'!$H$7:$H371),"")</f>
        <v>R0825114030</v>
      </c>
      <c r="J296" s="125" t="str">
        <f t="array" ref="J296">ifna(xlookup($H296,'🙎‍♂️ Pasien'!$G$7:$G371,'🙎‍♂️ Pasien'!$L$7:$L371),"")</f>
        <v>LAKI-LAKI</v>
      </c>
      <c r="K296" s="125">
        <f t="array" ref="K296">ifna(xlookup($H296,'🙎‍♂️ Pasien'!$G$7:$G371,'🙎‍♂️ Pasien'!$I$7:$I371),"")</f>
        <v>17</v>
      </c>
      <c r="L296" s="125" t="str">
        <f t="array" ref="L296">IFNA(xlookup(H296,'🙎‍♂️ Pasien'!$G$5:$G371,'🙎‍♂️ Pasien'!$J$5:$J371),"")</f>
        <v>&lt; 18 tahun</v>
      </c>
      <c r="M296" s="125" t="str">
        <f t="array" ref="M296">IFNA(xlookup(H296,'🙎‍♂️ Pasien'!$G$5:$G371,'🙎‍♂️ Pasien'!$S$5:$S371),"")</f>
        <v>PELAJAR</v>
      </c>
      <c r="N296" s="125" t="str">
        <f t="array" ref="N296">IFNA(XLOOKUP($H296,'🙎‍♂️ Pasien'!$G$7:$G371,'🙎‍♂️ Pasien'!$T$7:$T371),"")</f>
        <v>CEDERA LUTUT</v>
      </c>
      <c r="O296" s="16" t="s">
        <v>854</v>
      </c>
      <c r="P296" s="16" t="s">
        <v>836</v>
      </c>
      <c r="Q296" s="16" t="s">
        <v>29</v>
      </c>
      <c r="R296" s="16" t="s">
        <v>86</v>
      </c>
      <c r="S296" s="16" t="s">
        <v>79</v>
      </c>
      <c r="T296" s="16" t="s">
        <v>834</v>
      </c>
      <c r="U296" s="109" t="s">
        <v>1078</v>
      </c>
      <c r="V296" s="126"/>
      <c r="W296" s="109"/>
      <c r="X296" s="109" t="str">
        <f t="array" ref="X296">IF(H296="","",XLOOKUP(H296,CATATANPELAYANAN[[#ALL],[NAMA PASIEN]],CATATANPELAYANAN[[#ALL],[LAYANAN]],"TIDAK CLOSING",0,-1))</f>
        <v>TERAPI AWAL</v>
      </c>
      <c r="Y296" s="109" t="str">
        <f t="shared" si="4"/>
        <v>TIDAK CLOSING</v>
      </c>
      <c r="Z296" s="127"/>
    </row>
    <row r="297" ht="22.5" customHeight="1">
      <c r="A297" s="122"/>
      <c r="B297" s="123">
        <v>46004.0</v>
      </c>
      <c r="C297" s="124" t="str">
        <f t="shared" si="35"/>
        <v>2025</v>
      </c>
      <c r="D297" s="124" t="str">
        <f t="shared" si="27"/>
        <v>12 Des</v>
      </c>
      <c r="E297" s="124" t="str">
        <f t="shared" si="28"/>
        <v>Sab</v>
      </c>
      <c r="F297" s="16" t="s">
        <v>53</v>
      </c>
      <c r="G297" s="109" t="str">
        <f t="array" ref="G297">IFNA(XLOOKUP(S297,'⚙️ Pengaturan'!$H$5:$H371,'⚙️ Pengaturan'!$I$5:$I371),"")</f>
        <v>TIM Y</v>
      </c>
      <c r="H297" s="109" t="s">
        <v>676</v>
      </c>
      <c r="I297" s="125" t="str">
        <f t="array" ref="I297">ifna(xlookup($H297,'🙎‍♂️ Pasien'!$G$7:$G371,'🙎‍♂️ Pasien'!$H$7:$H371),"")</f>
        <v>N8325126783</v>
      </c>
      <c r="J297" s="125" t="str">
        <f t="array" ref="J297">ifna(xlookup($H297,'🙎‍♂️ Pasien'!$G$7:$G371,'🙎‍♂️ Pasien'!$L$7:$L371),"")</f>
        <v>LAKI-LAKI</v>
      </c>
      <c r="K297" s="125">
        <f t="array" ref="K297">ifna(xlookup($H297,'🙎‍♂️ Pasien'!$G$7:$G371,'🙎‍♂️ Pasien'!$I$7:$I371),"")</f>
        <v>42</v>
      </c>
      <c r="L297" s="125" t="str">
        <f t="array" ref="L297">IFNA(xlookup(H297,'🙎‍♂️ Pasien'!$G$5:$G371,'🙎‍♂️ Pasien'!$J$5:$J371),"")</f>
        <v>35-44 tahun</v>
      </c>
      <c r="M297" s="125" t="str">
        <f t="array" ref="M297">IFNA(xlookup(H297,'🙎‍♂️ Pasien'!$G$5:$G371,'🙎‍♂️ Pasien'!$S$5:$S371),"")</f>
        <v>PEGAWAI SWASTA</v>
      </c>
      <c r="N297" s="125" t="str">
        <f t="array" ref="N297">IFNA(XLOOKUP($H297,'🙎‍♂️ Pasien'!$G$7:$G371,'🙎‍♂️ Pasien'!$T$7:$T371),"")</f>
        <v>NYERI LUTUT</v>
      </c>
      <c r="O297" s="16" t="s">
        <v>854</v>
      </c>
      <c r="P297" s="16" t="s">
        <v>836</v>
      </c>
      <c r="Q297" s="16" t="s">
        <v>29</v>
      </c>
      <c r="R297" s="16" t="s">
        <v>86</v>
      </c>
      <c r="S297" s="16" t="s">
        <v>56</v>
      </c>
      <c r="T297" s="16" t="s">
        <v>834</v>
      </c>
      <c r="U297" s="109" t="s">
        <v>311</v>
      </c>
      <c r="V297" s="126"/>
      <c r="W297" s="109"/>
      <c r="X297" s="109" t="str">
        <f t="array" ref="X297">IF(H297="","",XLOOKUP(H297,CATATANPELAYANAN[[#ALL],[NAMA PASIEN]],CATATANPELAYANAN[[#ALL],[LAYANAN]],"TIDAK CLOSING",0,-1))</f>
        <v>PAKET/SESI</v>
      </c>
      <c r="Y297" s="109" t="str">
        <f t="shared" si="4"/>
        <v>TIDAK CLOSING</v>
      </c>
      <c r="Z297" s="127"/>
    </row>
    <row r="298" ht="22.5" customHeight="1">
      <c r="A298" s="122"/>
      <c r="B298" s="123">
        <v>46004.0</v>
      </c>
      <c r="C298" s="124" t="str">
        <f t="shared" si="35"/>
        <v>2025</v>
      </c>
      <c r="D298" s="124" t="str">
        <f t="shared" si="27"/>
        <v>12 Des</v>
      </c>
      <c r="E298" s="124" t="str">
        <f t="shared" si="28"/>
        <v>Sab</v>
      </c>
      <c r="F298" s="16" t="s">
        <v>53</v>
      </c>
      <c r="G298" s="109" t="str">
        <f t="array" ref="G298">IFNA(XLOOKUP(S298,'⚙️ Pengaturan'!$H$5:$H371,'⚙️ Pengaturan'!$I$5:$I371),"")</f>
        <v>TIM A</v>
      </c>
      <c r="H298" s="109" t="s">
        <v>709</v>
      </c>
      <c r="I298" s="125" t="str">
        <f t="array" ref="I298">ifna(xlookup($H298,'🙎‍♂️ Pasien'!$G$7:$G371,'🙎‍♂️ Pasien'!$H$7:$H371),"")</f>
        <v>C0325128008</v>
      </c>
      <c r="J298" s="125" t="str">
        <f t="array" ref="J298">ifna(xlookup($H298,'🙎‍♂️ Pasien'!$G$7:$G371,'🙎‍♂️ Pasien'!$L$7:$L371),"")</f>
        <v>PEREMPUAN</v>
      </c>
      <c r="K298" s="125">
        <f t="array" ref="K298">ifna(xlookup($H298,'🙎‍♂️ Pasien'!$G$7:$G371,'🙎‍♂️ Pasien'!$I$7:$I371),"")</f>
        <v>23</v>
      </c>
      <c r="L298" s="125" t="str">
        <f t="array" ref="L298">IFNA(xlookup(H298,'🙎‍♂️ Pasien'!$G$5:$G371,'🙎‍♂️ Pasien'!$J$5:$J371),"")</f>
        <v>18-24 tahun</v>
      </c>
      <c r="M298" s="125" t="str">
        <f t="array" ref="M298">IFNA(xlookup(H298,'🙎‍♂️ Pasien'!$G$5:$G371,'🙎‍♂️ Pasien'!$S$5:$S371),"")</f>
        <v>ADMIN</v>
      </c>
      <c r="N298" s="125" t="str">
        <f t="array" ref="N298">IFNA(XLOOKUP($H298,'🙎‍♂️ Pasien'!$G$7:$G371,'🙎‍♂️ Pasien'!$T$7:$T371),"")</f>
        <v>SKOLIOSIS</v>
      </c>
      <c r="O298" s="16" t="s">
        <v>847</v>
      </c>
      <c r="P298" s="16" t="s">
        <v>848</v>
      </c>
      <c r="Q298" s="16" t="s">
        <v>27</v>
      </c>
      <c r="R298" s="16" t="s">
        <v>86</v>
      </c>
      <c r="S298" s="16" t="s">
        <v>62</v>
      </c>
      <c r="T298" s="16" t="s">
        <v>830</v>
      </c>
      <c r="U298" s="109"/>
      <c r="V298" s="126"/>
      <c r="W298" s="109"/>
      <c r="X298" s="109" t="str">
        <f t="array" ref="X298">IF(H298="","",XLOOKUP(H298,CATATANPELAYANAN[[#ALL],[NAMA PASIEN]],CATATANPELAYANAN[[#ALL],[LAYANAN]],"TIDAK CLOSING",0,-1))</f>
        <v>PAKET TERAPI</v>
      </c>
      <c r="Y298" s="109" t="str">
        <f t="shared" si="4"/>
        <v>PAKET</v>
      </c>
      <c r="Z298" s="127"/>
    </row>
    <row r="299" ht="22.5" customHeight="1">
      <c r="A299" s="122"/>
      <c r="B299" s="123">
        <v>46004.0</v>
      </c>
      <c r="C299" s="124" t="str">
        <f t="shared" si="35"/>
        <v>2025</v>
      </c>
      <c r="D299" s="124" t="str">
        <f t="shared" si="27"/>
        <v>12 Des</v>
      </c>
      <c r="E299" s="124" t="str">
        <f t="shared" si="28"/>
        <v>Sab</v>
      </c>
      <c r="F299" s="16" t="s">
        <v>85</v>
      </c>
      <c r="G299" s="109" t="str">
        <f t="array" ref="G299">IFNA(XLOOKUP(S299,'⚙️ Pengaturan'!$H$5:$H371,'⚙️ Pengaturan'!$I$5:$I371),"")</f>
        <v>TIM A</v>
      </c>
      <c r="H299" s="109" t="s">
        <v>708</v>
      </c>
      <c r="I299" s="125" t="str">
        <f t="array" ref="I299">ifna(xlookup($H299,'🙎‍♂️ Pasien'!$G$7:$G371,'🙎‍♂️ Pasien'!$H$7:$H371),"")</f>
        <v>N5725121100</v>
      </c>
      <c r="J299" s="125" t="str">
        <f t="array" ref="J299">ifna(xlookup($H299,'🙎‍♂️ Pasien'!$G$7:$G371,'🙎‍♂️ Pasien'!$L$7:$L371),"")</f>
        <v>PEREMPUAN</v>
      </c>
      <c r="K299" s="125">
        <f t="array" ref="K299">ifna(xlookup($H299,'🙎‍♂️ Pasien'!$G$7:$G371,'🙎‍♂️ Pasien'!$I$7:$I371),"")</f>
        <v>69</v>
      </c>
      <c r="L299" s="125" t="str">
        <f t="array" ref="L299">IFNA(xlookup(H299,'🙎‍♂️ Pasien'!$G$5:$G371,'🙎‍♂️ Pasien'!$J$5:$J371),"")</f>
        <v>&gt; 44 tahun</v>
      </c>
      <c r="M299" s="125" t="str">
        <f t="array" ref="M299">IFNA(xlookup(H299,'🙎‍♂️ Pasien'!$G$5:$G371,'🙎‍♂️ Pasien'!$S$5:$S371),"")</f>
        <v>PENSIUNAN</v>
      </c>
      <c r="N299" s="125" t="str">
        <f t="array" ref="N299">IFNA(XLOOKUP($H299,'🙎‍♂️ Pasien'!$G$7:$G371,'🙎‍♂️ Pasien'!$T$7:$T371),"")</f>
        <v>SAKIT PINGGANG</v>
      </c>
      <c r="O299" s="16" t="s">
        <v>853</v>
      </c>
      <c r="P299" s="16" t="s">
        <v>845</v>
      </c>
      <c r="Q299" s="16" t="s">
        <v>29</v>
      </c>
      <c r="R299" s="16" t="s">
        <v>54</v>
      </c>
      <c r="S299" s="16" t="s">
        <v>62</v>
      </c>
      <c r="T299" s="16" t="s">
        <v>834</v>
      </c>
      <c r="U299" s="109" t="s">
        <v>997</v>
      </c>
      <c r="V299" s="126"/>
      <c r="W299" s="109"/>
      <c r="X299" s="109" t="str">
        <f t="array" ref="X299">IF(H299="","",XLOOKUP(H299,CATATANPELAYANAN[[#ALL],[NAMA PASIEN]],CATATANPELAYANAN[[#ALL],[LAYANAN]],"TIDAK CLOSING",0,-1))</f>
        <v>TERAPI AWAL</v>
      </c>
      <c r="Y299" s="109" t="str">
        <f t="shared" si="4"/>
        <v>TIDAK CLOSING</v>
      </c>
      <c r="Z299" s="127"/>
    </row>
    <row r="300" ht="22.5" customHeight="1">
      <c r="A300" s="122"/>
      <c r="B300" s="123">
        <v>46004.0</v>
      </c>
      <c r="C300" s="124" t="s">
        <v>963</v>
      </c>
      <c r="D300" s="124" t="str">
        <f t="shared" si="27"/>
        <v>12 Des</v>
      </c>
      <c r="E300" s="124" t="str">
        <f t="shared" si="28"/>
        <v>Sab</v>
      </c>
      <c r="F300" s="16" t="s">
        <v>85</v>
      </c>
      <c r="G300" s="109" t="str">
        <f t="array" ref="G300">IFNA(XLOOKUP(S300,'⚙️ Pengaturan'!$H$5:$H371,'⚙️ Pengaturan'!$I$5:$I371),"")</f>
        <v>TIM Y</v>
      </c>
      <c r="H300" s="109" t="s">
        <v>713</v>
      </c>
      <c r="I300" s="125" t="str">
        <f t="array" ref="I300">ifna(xlookup($H300,'🙎‍♂️ Pasien'!$G$7:$G371,'🙎‍♂️ Pasien'!$H$7:$H371),"")</f>
        <v>M7925122235</v>
      </c>
      <c r="J300" s="125" t="str">
        <f t="array" ref="J300">ifna(xlookup($H300,'🙎‍♂️ Pasien'!$G$7:$G371,'🙎‍♂️ Pasien'!$L$7:$L371),"")</f>
        <v>LAKI-LAKI</v>
      </c>
      <c r="K300" s="125">
        <f t="array" ref="K300">ifna(xlookup($H300,'🙎‍♂️ Pasien'!$G$7:$G371,'🙎‍♂️ Pasien'!$I$7:$I371),"")</f>
        <v>46</v>
      </c>
      <c r="L300" s="125" t="str">
        <f t="array" ref="L300">IFNA(xlookup(H300,'🙎‍♂️ Pasien'!$G$5:$G371,'🙎‍♂️ Pasien'!$J$5:$J371),"")</f>
        <v>&gt; 44 tahun</v>
      </c>
      <c r="M300" s="125" t="str">
        <f t="array" ref="M300">IFNA(xlookup(H300,'🙎‍♂️ Pasien'!$G$5:$G371,'🙎‍♂️ Pasien'!$S$5:$S371),"")</f>
        <v>STAF</v>
      </c>
      <c r="N300" s="125" t="str">
        <f t="array" ref="N300">IFNA(XLOOKUP($H300,'🙎‍♂️ Pasien'!$G$7:$G371,'🙎‍♂️ Pasien'!$T$7:$T371),"")</f>
        <v>NYERI BAHU KIRI DAN PINGGANG</v>
      </c>
      <c r="O300" s="16" t="s">
        <v>843</v>
      </c>
      <c r="P300" s="16" t="s">
        <v>839</v>
      </c>
      <c r="Q300" s="16" t="s">
        <v>29</v>
      </c>
      <c r="R300" s="16" t="s">
        <v>54</v>
      </c>
      <c r="S300" s="16" t="s">
        <v>88</v>
      </c>
      <c r="T300" s="16" t="s">
        <v>834</v>
      </c>
      <c r="U300" s="109" t="s">
        <v>997</v>
      </c>
      <c r="V300" s="126"/>
      <c r="W300" s="109"/>
      <c r="X300" s="109" t="str">
        <f t="array" ref="X300">IF(H300="","",XLOOKUP(H300,CATATANPELAYANAN[[#ALL],[NAMA PASIEN]],CATATANPELAYANAN[[#ALL],[LAYANAN]],"TIDAK CLOSING",0,-1))</f>
        <v>TERAPI AWAL</v>
      </c>
      <c r="Y300" s="109" t="str">
        <f t="shared" si="4"/>
        <v>TIDAK CLOSING</v>
      </c>
      <c r="Z300" s="127"/>
    </row>
    <row r="301" ht="22.5" customHeight="1">
      <c r="A301" s="122"/>
      <c r="B301" s="123">
        <v>46004.0</v>
      </c>
      <c r="C301" s="124" t="str">
        <f t="shared" ref="C301:C315" si="36">IF(B301="","",text(B301,"yyyy"))</f>
        <v>2025</v>
      </c>
      <c r="D301" s="124" t="str">
        <f t="shared" si="27"/>
        <v>12 Des</v>
      </c>
      <c r="E301" s="124" t="str">
        <f t="shared" si="28"/>
        <v>Sab</v>
      </c>
      <c r="F301" s="16" t="s">
        <v>85</v>
      </c>
      <c r="G301" s="109" t="str">
        <f t="array" ref="G301">IFNA(XLOOKUP(S301,'⚙️ Pengaturan'!$H$5:$H371,'⚙️ Pengaturan'!$I$5:$I371),"")</f>
        <v>TIM Y</v>
      </c>
      <c r="H301" s="101" t="s">
        <v>710</v>
      </c>
      <c r="I301" s="125" t="str">
        <f t="array" ref="I301">ifna(xlookup($H301,'🙎‍♂️ Pasien'!$G$7:$G371,'🙎‍♂️ Pasien'!$H$7:$H371),"")</f>
        <v>D8525121185</v>
      </c>
      <c r="J301" s="125" t="str">
        <f t="array" ref="J301">ifna(xlookup($H301,'🙎‍♂️ Pasien'!$G$7:$G371,'🙎‍♂️ Pasien'!$L$7:$L371),"")</f>
        <v>PEREMPUAN</v>
      </c>
      <c r="K301" s="125">
        <f t="array" ref="K301">ifna(xlookup($H301,'🙎‍♂️ Pasien'!$G$7:$G371,'🙎‍♂️ Pasien'!$I$7:$I371),"")</f>
        <v>40</v>
      </c>
      <c r="L301" s="125" t="str">
        <f t="array" ref="L301">IFNA(xlookup(H301,'🙎‍♂️ Pasien'!$G$5:$G371,'🙎‍♂️ Pasien'!$J$5:$J371),"")</f>
        <v>35-44 tahun</v>
      </c>
      <c r="M301" s="125" t="str">
        <f t="array" ref="M301">IFNA(xlookup(H301,'🙎‍♂️ Pasien'!$G$5:$G371,'🙎‍♂️ Pasien'!$S$5:$S371),"")</f>
        <v>IRT</v>
      </c>
      <c r="N301" s="125" t="str">
        <f t="array" ref="N301">IFNA(XLOOKUP($H301,'🙎‍♂️ Pasien'!$G$7:$G371,'🙎‍♂️ Pasien'!$T$7:$T371),"")</f>
        <v>PALNTAR PACITIS</v>
      </c>
      <c r="O301" s="16" t="s">
        <v>849</v>
      </c>
      <c r="P301" s="16" t="s">
        <v>862</v>
      </c>
      <c r="Q301" s="16" t="s">
        <v>29</v>
      </c>
      <c r="R301" s="16" t="s">
        <v>54</v>
      </c>
      <c r="S301" s="16" t="s">
        <v>91</v>
      </c>
      <c r="T301" s="16" t="s">
        <v>827</v>
      </c>
      <c r="U301" s="109"/>
      <c r="V301" s="126"/>
      <c r="W301" s="109"/>
      <c r="X301" s="109" t="str">
        <f t="array" ref="X301">IF(H301="","",XLOOKUP(H301,CATATANPELAYANAN[[#ALL],[NAMA PASIEN]],CATATANPELAYANAN[[#ALL],[LAYANAN]],"TIDAK CLOSING",0,-1))</f>
        <v>SESI TERAPI</v>
      </c>
      <c r="Y301" s="109" t="str">
        <f t="shared" si="4"/>
        <v>SESI</v>
      </c>
      <c r="Z301" s="127"/>
    </row>
    <row r="302" ht="22.5" customHeight="1">
      <c r="A302" s="122"/>
      <c r="B302" s="123">
        <v>46005.0</v>
      </c>
      <c r="C302" s="124" t="str">
        <f t="shared" si="36"/>
        <v>2025</v>
      </c>
      <c r="D302" s="124" t="str">
        <f t="shared" si="27"/>
        <v>12 Des</v>
      </c>
      <c r="E302" s="124" t="str">
        <f t="shared" si="28"/>
        <v>Min</v>
      </c>
      <c r="F302" s="16" t="s">
        <v>53</v>
      </c>
      <c r="G302" s="109" t="str">
        <f t="array" ref="G302">IFNA(XLOOKUP(S302,'⚙️ Pengaturan'!$H$5:$H371,'⚙️ Pengaturan'!$I$5:$I371),"")</f>
        <v>TIM A</v>
      </c>
      <c r="H302" s="109" t="s">
        <v>715</v>
      </c>
      <c r="I302" s="125" t="str">
        <f t="array" ref="I302">ifna(xlookup($H302,'🙎‍♂️ Pasien'!$G$7:$G371,'🙎‍♂️ Pasien'!$H$7:$H371),"")</f>
        <v>J9725124944</v>
      </c>
      <c r="J302" s="125" t="str">
        <f t="array" ref="J302">ifna(xlookup($H302,'🙎‍♂️ Pasien'!$G$7:$G371,'🙎‍♂️ Pasien'!$L$7:$L371),"")</f>
        <v>LAKI-LAKI</v>
      </c>
      <c r="K302" s="125">
        <f t="array" ref="K302">ifna(xlookup($H302,'🙎‍♂️ Pasien'!$G$7:$G371,'🙎‍♂️ Pasien'!$I$7:$I371),"")</f>
        <v>28</v>
      </c>
      <c r="L302" s="125" t="str">
        <f t="array" ref="L302">IFNA(xlookup(H302,'🙎‍♂️ Pasien'!$G$5:$G371,'🙎‍♂️ Pasien'!$J$5:$J371),"")</f>
        <v>25-34 tahun</v>
      </c>
      <c r="M302" s="125" t="str">
        <f t="array" ref="M302">IFNA(xlookup(H302,'🙎‍♂️ Pasien'!$G$5:$G371,'🙎‍♂️ Pasien'!$S$5:$S371),"")</f>
        <v>PERDAGANGAN</v>
      </c>
      <c r="N302" s="125" t="str">
        <f t="array" ref="N302">IFNA(XLOOKUP($H302,'🙎‍♂️ Pasien'!$G$7:$G371,'🙎‍♂️ Pasien'!$T$7:$T371),"")</f>
        <v>CIDERA LUTUT</v>
      </c>
      <c r="O302" s="16" t="s">
        <v>854</v>
      </c>
      <c r="P302" s="16" t="s">
        <v>836</v>
      </c>
      <c r="Q302" s="16" t="s">
        <v>29</v>
      </c>
      <c r="R302" s="16" t="s">
        <v>54</v>
      </c>
      <c r="S302" s="16" t="s">
        <v>72</v>
      </c>
      <c r="T302" s="16" t="s">
        <v>834</v>
      </c>
      <c r="U302" s="109" t="s">
        <v>1079</v>
      </c>
      <c r="V302" s="126"/>
      <c r="W302" s="109"/>
      <c r="X302" s="109" t="str">
        <f t="array" ref="X302">IF(H302="","",XLOOKUP(H302,CATATANPELAYANAN[[#ALL],[NAMA PASIEN]],CATATANPELAYANAN[[#ALL],[LAYANAN]],"TIDAK CLOSING",0,-1))</f>
        <v>TERAPI AWAL</v>
      </c>
      <c r="Y302" s="109" t="str">
        <f t="shared" si="4"/>
        <v>TIDAK CLOSING</v>
      </c>
      <c r="Z302" s="127"/>
    </row>
    <row r="303" ht="22.5" customHeight="1">
      <c r="A303" s="122"/>
      <c r="B303" s="123">
        <v>46005.0</v>
      </c>
      <c r="C303" s="124" t="str">
        <f t="shared" si="36"/>
        <v>2025</v>
      </c>
      <c r="D303" s="124" t="str">
        <f t="shared" si="27"/>
        <v>12 Des</v>
      </c>
      <c r="E303" s="124" t="str">
        <f t="shared" si="28"/>
        <v>Min</v>
      </c>
      <c r="F303" s="16" t="s">
        <v>85</v>
      </c>
      <c r="G303" s="109" t="str">
        <f t="array" ref="G303">IFNA(XLOOKUP(S303,'⚙️ Pengaturan'!$H$5:$H371,'⚙️ Pengaturan'!$I$5:$I371),"")</f>
        <v>TIM Y</v>
      </c>
      <c r="H303" s="109" t="s">
        <v>716</v>
      </c>
      <c r="I303" s="125" t="str">
        <f t="array" ref="I303">ifna(xlookup($H303,'🙎‍♂️ Pasien'!$G$7:$G371,'🙎‍♂️ Pasien'!$H$7:$H371),"")</f>
        <v>J9725129346</v>
      </c>
      <c r="J303" s="125" t="str">
        <f t="array" ref="J303">ifna(xlookup($H303,'🙎‍♂️ Pasien'!$G$7:$G371,'🙎‍♂️ Pasien'!$L$7:$L371),"")</f>
        <v>LAKI-LAKI</v>
      </c>
      <c r="K303" s="125">
        <f t="array" ref="K303">ifna(xlookup($H303,'🙎‍♂️ Pasien'!$G$7:$G371,'🙎‍♂️ Pasien'!$I$7:$I371),"")</f>
        <v>29</v>
      </c>
      <c r="L303" s="125" t="str">
        <f t="array" ref="L303">IFNA(xlookup(H303,'🙎‍♂️ Pasien'!$G$5:$G371,'🙎‍♂️ Pasien'!$J$5:$J371),"")</f>
        <v>25-34 tahun</v>
      </c>
      <c r="M303" s="125" t="str">
        <f t="array" ref="M303">IFNA(xlookup(H303,'🙎‍♂️ Pasien'!$G$5:$G371,'🙎‍♂️ Pasien'!$S$5:$S371),"")</f>
        <v>KARYAWAN SWASTA</v>
      </c>
      <c r="N303" s="125" t="str">
        <f t="array" ref="N303">IFNA(XLOOKUP($H303,'🙎‍♂️ Pasien'!$G$7:$G371,'🙎‍♂️ Pasien'!$T$7:$T371),"")</f>
        <v>LUTUT</v>
      </c>
      <c r="O303" s="16" t="s">
        <v>854</v>
      </c>
      <c r="P303" s="16" t="s">
        <v>836</v>
      </c>
      <c r="Q303" s="16" t="s">
        <v>29</v>
      </c>
      <c r="R303" s="16" t="s">
        <v>86</v>
      </c>
      <c r="S303" s="16" t="s">
        <v>88</v>
      </c>
      <c r="T303" s="16" t="s">
        <v>834</v>
      </c>
      <c r="U303" s="109" t="s">
        <v>1080</v>
      </c>
      <c r="V303" s="126"/>
      <c r="W303" s="109"/>
      <c r="X303" s="109" t="str">
        <f t="array" ref="X303">IF(H303="","",XLOOKUP(H303,CATATANPELAYANAN[[#ALL],[NAMA PASIEN]],CATATANPELAYANAN[[#ALL],[LAYANAN]],"TIDAK CLOSING",0,-1))</f>
        <v>PAKET/SESI</v>
      </c>
      <c r="Y303" s="109" t="str">
        <f t="shared" si="4"/>
        <v>TIDAK CLOSING</v>
      </c>
      <c r="Z303" s="127"/>
    </row>
    <row r="304" ht="22.5" customHeight="1">
      <c r="A304" s="122"/>
      <c r="B304" s="123">
        <v>46005.0</v>
      </c>
      <c r="C304" s="124" t="str">
        <f t="shared" si="36"/>
        <v>2025</v>
      </c>
      <c r="D304" s="124" t="str">
        <f t="shared" si="27"/>
        <v>12 Des</v>
      </c>
      <c r="E304" s="124" t="str">
        <f t="shared" si="28"/>
        <v>Min</v>
      </c>
      <c r="F304" s="16" t="s">
        <v>85</v>
      </c>
      <c r="G304" s="109" t="str">
        <f t="array" ref="G304">IFNA(XLOOKUP(S304,'⚙️ Pengaturan'!$H$5:$H371,'⚙️ Pengaturan'!$I$5:$I371),"")</f>
        <v>TIM Y</v>
      </c>
      <c r="H304" s="109" t="s">
        <v>717</v>
      </c>
      <c r="I304" s="125" t="str">
        <f t="array" ref="I304">ifna(xlookup($H304,'🙎‍♂️ Pasien'!$G$7:$G371,'🙎‍♂️ Pasien'!$H$7:$H371),"")</f>
        <v>A0325125109</v>
      </c>
      <c r="J304" s="125" t="str">
        <f t="array" ref="J304">ifna(xlookup($H304,'🙎‍♂️ Pasien'!$G$7:$G371,'🙎‍♂️ Pasien'!$L$7:$L371),"")</f>
        <v>PEREMPUAN</v>
      </c>
      <c r="K304" s="125">
        <f t="array" ref="K304">ifna(xlookup($H304,'🙎‍♂️ Pasien'!$G$7:$G371,'🙎‍♂️ Pasien'!$I$7:$I371),"")</f>
        <v>22</v>
      </c>
      <c r="L304" s="125" t="str">
        <f t="array" ref="L304">IFNA(xlookup(H304,'🙎‍♂️ Pasien'!$G$5:$G371,'🙎‍♂️ Pasien'!$J$5:$J371),"")</f>
        <v>18-24 tahun</v>
      </c>
      <c r="M304" s="125" t="str">
        <f t="array" ref="M304">IFNA(xlookup(H304,'🙎‍♂️ Pasien'!$G$5:$G371,'🙎‍♂️ Pasien'!$S$5:$S371),"")</f>
        <v>BARISTA</v>
      </c>
      <c r="N304" s="125" t="str">
        <f t="array" ref="N304">IFNA(XLOOKUP($H304,'🙎‍♂️ Pasien'!$G$7:$G371,'🙎‍♂️ Pasien'!$T$7:$T371),"")</f>
        <v>SERING PEGAL</v>
      </c>
      <c r="O304" s="16" t="s">
        <v>847</v>
      </c>
      <c r="P304" s="16" t="s">
        <v>826</v>
      </c>
      <c r="Q304" s="16" t="s">
        <v>29</v>
      </c>
      <c r="R304" s="16" t="s">
        <v>86</v>
      </c>
      <c r="S304" s="16" t="s">
        <v>509</v>
      </c>
      <c r="T304" s="16" t="s">
        <v>834</v>
      </c>
      <c r="U304" s="109" t="s">
        <v>1002</v>
      </c>
      <c r="V304" s="126"/>
      <c r="W304" s="109"/>
      <c r="X304" s="109" t="str">
        <f t="array" ref="X304">IF(H304="","",XLOOKUP(H304,CATATANPELAYANAN[[#ALL],[NAMA PASIEN]],CATATANPELAYANAN[[#ALL],[LAYANAN]],"TIDAK CLOSING",0,-1))</f>
        <v>TERAPI AWAL</v>
      </c>
      <c r="Y304" s="109" t="str">
        <f t="shared" si="4"/>
        <v>TIDAK CLOSING</v>
      </c>
      <c r="Z304" s="127"/>
    </row>
    <row r="305" ht="22.5" customHeight="1">
      <c r="A305" s="122"/>
      <c r="B305" s="123">
        <v>46005.0</v>
      </c>
      <c r="C305" s="124" t="str">
        <f t="shared" si="36"/>
        <v>2025</v>
      </c>
      <c r="D305" s="124" t="str">
        <f t="shared" si="27"/>
        <v>12 Des</v>
      </c>
      <c r="E305" s="124" t="str">
        <f t="shared" si="28"/>
        <v>Min</v>
      </c>
      <c r="F305" s="16" t="s">
        <v>85</v>
      </c>
      <c r="G305" s="109" t="str">
        <f t="array" ref="G305">IFNA(XLOOKUP(S305,'⚙️ Pengaturan'!$H$5:$H371,'⚙️ Pengaturan'!$I$5:$I371),"")</f>
        <v>TIM Y</v>
      </c>
      <c r="H305" s="109" t="s">
        <v>718</v>
      </c>
      <c r="I305" s="125" t="str">
        <f t="array" ref="I305">ifna(xlookup($H305,'🙎‍♂️ Pasien'!$G$7:$G371,'🙎‍♂️ Pasien'!$H$7:$H371),"")</f>
        <v>D6625125696</v>
      </c>
      <c r="J305" s="125" t="str">
        <f t="array" ref="J305">ifna(xlookup($H305,'🙎‍♂️ Pasien'!$G$7:$G371,'🙎‍♂️ Pasien'!$L$7:$L371),"")</f>
        <v>PEREMPUAN</v>
      </c>
      <c r="K305" s="125">
        <f t="array" ref="K305">ifna(xlookup($H305,'🙎‍♂️ Pasien'!$G$7:$G371,'🙎‍♂️ Pasien'!$I$7:$I371),"")</f>
        <v>59</v>
      </c>
      <c r="L305" s="125" t="str">
        <f t="array" ref="L305">IFNA(xlookup(H305,'🙎‍♂️ Pasien'!$G$5:$G371,'🙎‍♂️ Pasien'!$J$5:$J371),"")</f>
        <v>&gt; 44 tahun</v>
      </c>
      <c r="M305" s="125" t="str">
        <f t="array" ref="M305">IFNA(xlookup(H305,'🙎‍♂️ Pasien'!$G$5:$G371,'🙎‍♂️ Pasien'!$S$5:$S371),"")</f>
        <v>PNS</v>
      </c>
      <c r="N305" s="125" t="str">
        <f t="array" ref="N305">IFNA(XLOOKUP($H305,'🙎‍♂️ Pasien'!$G$7:$G371,'🙎‍♂️ Pasien'!$T$7:$T371),"")</f>
        <v>PINGGANG</v>
      </c>
      <c r="O305" s="16" t="s">
        <v>825</v>
      </c>
      <c r="P305" s="16" t="s">
        <v>826</v>
      </c>
      <c r="Q305" s="16" t="s">
        <v>29</v>
      </c>
      <c r="R305" s="16" t="s">
        <v>86</v>
      </c>
      <c r="S305" s="16" t="s">
        <v>107</v>
      </c>
      <c r="T305" s="16" t="s">
        <v>827</v>
      </c>
      <c r="U305" s="109"/>
      <c r="V305" s="126"/>
      <c r="W305" s="109"/>
      <c r="X305" s="109" t="str">
        <f t="array" ref="X305">IF(H305="","",XLOOKUP(H305,CATATANPELAYANAN[[#ALL],[NAMA PASIEN]],CATATANPELAYANAN[[#ALL],[LAYANAN]],"TIDAK CLOSING",0,-1))</f>
        <v>SESI TERAPI</v>
      </c>
      <c r="Y305" s="109" t="str">
        <f t="shared" si="4"/>
        <v>SESI</v>
      </c>
      <c r="Z305" s="127"/>
    </row>
    <row r="306" ht="22.5" customHeight="1">
      <c r="A306" s="122"/>
      <c r="B306" s="123">
        <v>46006.0</v>
      </c>
      <c r="C306" s="124" t="str">
        <f t="shared" si="36"/>
        <v>2025</v>
      </c>
      <c r="D306" s="124" t="str">
        <f t="shared" si="27"/>
        <v>12 Des</v>
      </c>
      <c r="E306" s="124" t="str">
        <f t="shared" si="28"/>
        <v>Sen</v>
      </c>
      <c r="F306" s="16" t="s">
        <v>53</v>
      </c>
      <c r="G306" s="109" t="str">
        <f t="array" ref="G306">IFNA(XLOOKUP(S306,'⚙️ Pengaturan'!$H$5:$H371,'⚙️ Pengaturan'!$I$5:$I371),"")</f>
        <v>TIM Y</v>
      </c>
      <c r="H306" s="109" t="s">
        <v>719</v>
      </c>
      <c r="I306" s="125" t="str">
        <f t="array" ref="I306">ifna(xlookup($H306,'🙎‍♂️ Pasien'!$G$7:$G371,'🙎‍♂️ Pasien'!$H$7:$H371),"")</f>
        <v>A9625120301</v>
      </c>
      <c r="J306" s="125" t="str">
        <f t="array" ref="J306">ifna(xlookup($H306,'🙎‍♂️ Pasien'!$G$7:$G371,'🙎‍♂️ Pasien'!$L$7:$L371),"")</f>
        <v>LAKI-LAKI</v>
      </c>
      <c r="K306" s="125">
        <f t="array" ref="K306">ifna(xlookup($H306,'🙎‍♂️ Pasien'!$G$7:$G371,'🙎‍♂️ Pasien'!$I$7:$I371),"")</f>
        <v>29</v>
      </c>
      <c r="L306" s="125" t="str">
        <f t="array" ref="L306">IFNA(xlookup(H306,'🙎‍♂️ Pasien'!$G$5:$G371,'🙎‍♂️ Pasien'!$J$5:$J371),"")</f>
        <v>25-34 tahun</v>
      </c>
      <c r="M306" s="125" t="str">
        <f t="array" ref="M306">IFNA(xlookup(H306,'🙎‍♂️ Pasien'!$G$5:$G371,'🙎‍♂️ Pasien'!$S$5:$S371),"")</f>
        <v>SWASTA</v>
      </c>
      <c r="N306" s="125" t="str">
        <f t="array" ref="N306">IFNA(XLOOKUP($H306,'🙎‍♂️ Pasien'!$G$7:$G371,'🙎‍♂️ Pasien'!$T$7:$T371),"")</f>
        <v>BENGKAK DI AREA ATAS TUMIT KAKI SEBELAH KANAN</v>
      </c>
      <c r="O306" s="16" t="s">
        <v>1081</v>
      </c>
      <c r="P306" s="16" t="s">
        <v>862</v>
      </c>
      <c r="Q306" s="16" t="s">
        <v>29</v>
      </c>
      <c r="R306" s="16" t="s">
        <v>54</v>
      </c>
      <c r="S306" s="16" t="s">
        <v>509</v>
      </c>
      <c r="T306" s="16" t="s">
        <v>827</v>
      </c>
      <c r="U306" s="109"/>
      <c r="V306" s="126"/>
      <c r="W306" s="109"/>
      <c r="X306" s="109" t="str">
        <f t="array" ref="X306">IF(H306="","",XLOOKUP(H306,CATATANPELAYANAN[[#ALL],[NAMA PASIEN]],CATATANPELAYANAN[[#ALL],[LAYANAN]],"TIDAK CLOSING",0,-1))</f>
        <v>SESI TERAPI</v>
      </c>
      <c r="Y306" s="109" t="str">
        <f t="shared" si="4"/>
        <v>SESI</v>
      </c>
      <c r="Z306" s="127"/>
    </row>
    <row r="307" ht="22.5" customHeight="1">
      <c r="A307" s="122"/>
      <c r="B307" s="123">
        <v>46006.0</v>
      </c>
      <c r="C307" s="124" t="str">
        <f t="shared" si="36"/>
        <v>2025</v>
      </c>
      <c r="D307" s="124" t="str">
        <f t="shared" si="27"/>
        <v>12 Des</v>
      </c>
      <c r="E307" s="124" t="str">
        <f t="shared" si="28"/>
        <v>Sen</v>
      </c>
      <c r="F307" s="16" t="s">
        <v>53</v>
      </c>
      <c r="G307" s="109" t="str">
        <f t="array" ref="G307">IFNA(XLOOKUP(S307,'⚙️ Pengaturan'!$H$5:$H371,'⚙️ Pengaturan'!$I$5:$I371),"")</f>
        <v>TIM Y</v>
      </c>
      <c r="H307" s="109" t="s">
        <v>720</v>
      </c>
      <c r="I307" s="125" t="str">
        <f t="array" ref="I307">ifna(xlookup($H307,'🙎‍♂️ Pasien'!$G$7:$G371,'🙎‍♂️ Pasien'!$H$7:$H371),"")</f>
        <v>G8425125725</v>
      </c>
      <c r="J307" s="125" t="str">
        <f t="array" ref="J307">ifna(xlookup($H307,'🙎‍♂️ Pasien'!$G$7:$G371,'🙎‍♂️ Pasien'!$L$7:$L371),"")</f>
        <v>PEREMPUAN</v>
      </c>
      <c r="K307" s="125">
        <f t="array" ref="K307">ifna(xlookup($H307,'🙎‍♂️ Pasien'!$G$7:$G371,'🙎‍♂️ Pasien'!$I$7:$I371),"")</f>
        <v>41</v>
      </c>
      <c r="L307" s="125" t="str">
        <f t="array" ref="L307">IFNA(xlookup(H307,'🙎‍♂️ Pasien'!$G$5:$G371,'🙎‍♂️ Pasien'!$J$5:$J371),"")</f>
        <v>35-44 tahun</v>
      </c>
      <c r="M307" s="125" t="str">
        <f t="array" ref="M307">IFNA(xlookup(H307,'🙎‍♂️ Pasien'!$G$5:$G371,'🙎‍♂️ Pasien'!$S$5:$S371),"")</f>
        <v>WIRAUSAHA</v>
      </c>
      <c r="N307" s="125" t="str">
        <f t="array" ref="N307">IFNA(XLOOKUP($H307,'🙎‍♂️ Pasien'!$G$7:$G371,'🙎‍♂️ Pasien'!$T$7:$T371),"")</f>
        <v>STORKE RINGAN (KAKI KURANG KOKOH)</v>
      </c>
      <c r="O307" s="16" t="s">
        <v>982</v>
      </c>
      <c r="P307" s="16" t="s">
        <v>829</v>
      </c>
      <c r="Q307" s="16" t="s">
        <v>29</v>
      </c>
      <c r="R307" s="16" t="s">
        <v>54</v>
      </c>
      <c r="S307" s="16" t="s">
        <v>509</v>
      </c>
      <c r="T307" s="16" t="s">
        <v>830</v>
      </c>
      <c r="U307" s="109"/>
      <c r="V307" s="126"/>
      <c r="W307" s="109"/>
      <c r="X307" s="109" t="str">
        <f t="array" ref="X307">IF(H307="","",XLOOKUP(H307,CATATANPELAYANAN[[#ALL],[NAMA PASIEN]],CATATANPELAYANAN[[#ALL],[LAYANAN]],"TIDAK CLOSING",0,-1))</f>
        <v>PAKET TERAPI</v>
      </c>
      <c r="Y307" s="109" t="str">
        <f t="shared" si="4"/>
        <v>PAKET</v>
      </c>
      <c r="Z307" s="127"/>
    </row>
    <row r="308" ht="22.5" customHeight="1">
      <c r="A308" s="122"/>
      <c r="B308" s="123">
        <v>46006.0</v>
      </c>
      <c r="C308" s="124" t="str">
        <f t="shared" si="36"/>
        <v>2025</v>
      </c>
      <c r="D308" s="124" t="str">
        <f t="shared" si="27"/>
        <v>12 Des</v>
      </c>
      <c r="E308" s="124" t="str">
        <f t="shared" si="28"/>
        <v>Sen</v>
      </c>
      <c r="F308" s="16" t="s">
        <v>85</v>
      </c>
      <c r="G308" s="109" t="str">
        <f t="array" ref="G308">IFNA(XLOOKUP(S308,'⚙️ Pengaturan'!$H$5:$H371,'⚙️ Pengaturan'!$I$5:$I371),"")</f>
        <v>TIM A</v>
      </c>
      <c r="H308" s="109" t="s">
        <v>721</v>
      </c>
      <c r="I308" s="125" t="str">
        <f t="array" ref="I308">ifna(xlookup($H308,'🙎‍♂️ Pasien'!$G$7:$G371,'🙎‍♂️ Pasien'!$H$7:$H371),"")</f>
        <v>S1625067980</v>
      </c>
      <c r="J308" s="125" t="str">
        <f t="array" ref="J308">ifna(xlookup($H308,'🙎‍♂️ Pasien'!$G$7:$G371,'🙎‍♂️ Pasien'!$L$7:$L371),"")</f>
        <v>LAKI-LAKI</v>
      </c>
      <c r="K308" s="125">
        <f t="array" ref="K308">ifna(xlookup($H308,'🙎‍♂️ Pasien'!$G$7:$G371,'🙎‍♂️ Pasien'!$I$7:$I371),"")</f>
        <v>9</v>
      </c>
      <c r="L308" s="125" t="str">
        <f t="array" ref="L308">IFNA(xlookup(H308,'🙎‍♂️ Pasien'!$G$5:$G371,'🙎‍♂️ Pasien'!$J$5:$J371),"")</f>
        <v>&lt; 18 tahun</v>
      </c>
      <c r="M308" s="125" t="str">
        <f t="array" ref="M308">IFNA(xlookup(H308,'🙎‍♂️ Pasien'!$G$5:$G371,'🙎‍♂️ Pasien'!$S$5:$S371),"")</f>
        <v>PELAJAR</v>
      </c>
      <c r="N308" s="125" t="str">
        <f t="array" ref="N308">IFNA(XLOOKUP($H308,'🙎‍♂️ Pasien'!$G$7:$G371,'🙎‍♂️ Pasien'!$T$7:$T371),"")</f>
        <v>NYERI ENGKEL KAKI</v>
      </c>
      <c r="O308" s="16" t="s">
        <v>832</v>
      </c>
      <c r="P308" s="16" t="s">
        <v>833</v>
      </c>
      <c r="Q308" s="16" t="s">
        <v>29</v>
      </c>
      <c r="R308" s="16" t="s">
        <v>86</v>
      </c>
      <c r="S308" s="16" t="s">
        <v>62</v>
      </c>
      <c r="T308" s="16" t="s">
        <v>830</v>
      </c>
      <c r="U308" s="109"/>
      <c r="V308" s="126"/>
      <c r="W308" s="109"/>
      <c r="X308" s="109" t="str">
        <f t="array" ref="X308">IF(H308="","",XLOOKUP(H308,CATATANPELAYANAN[[#ALL],[NAMA PASIEN]],CATATANPELAYANAN[[#ALL],[LAYANAN]],"TIDAK CLOSING",0,-1))</f>
        <v>PAKET/SESI</v>
      </c>
      <c r="Y308" s="109" t="str">
        <f t="shared" si="4"/>
        <v>TIDAK CLOSING</v>
      </c>
      <c r="Z308" s="127"/>
    </row>
    <row r="309" ht="22.5" customHeight="1">
      <c r="A309" s="122"/>
      <c r="B309" s="123">
        <v>46006.0</v>
      </c>
      <c r="C309" s="124" t="str">
        <f t="shared" si="36"/>
        <v>2025</v>
      </c>
      <c r="D309" s="124" t="str">
        <f t="shared" si="27"/>
        <v>12 Des</v>
      </c>
      <c r="E309" s="124" t="str">
        <f t="shared" si="28"/>
        <v>Sen</v>
      </c>
      <c r="F309" s="16" t="s">
        <v>85</v>
      </c>
      <c r="G309" s="109" t="str">
        <f t="array" ref="G309">IFNA(XLOOKUP(S309,'⚙️ Pengaturan'!$H$5:$H371,'⚙️ Pengaturan'!$I$5:$I371),"")</f>
        <v>TIM A</v>
      </c>
      <c r="H309" s="109" t="s">
        <v>722</v>
      </c>
      <c r="I309" s="125" t="str">
        <f t="array" ref="I309">ifna(xlookup($H309,'🙎‍♂️ Pasien'!$G$7:$G371,'🙎‍♂️ Pasien'!$H$7:$H371),"")</f>
        <v>F6125128057</v>
      </c>
      <c r="J309" s="125" t="str">
        <f t="array" ref="J309">ifna(xlookup($H309,'🙎‍♂️ Pasien'!$G$7:$G371,'🙎‍♂️ Pasien'!$L$7:$L371),"")</f>
        <v>PEREMPUAN</v>
      </c>
      <c r="K309" s="125">
        <f t="array" ref="K309">ifna(xlookup($H309,'🙎‍♂️ Pasien'!$G$7:$G371,'🙎‍♂️ Pasien'!$I$7:$I371),"")</f>
        <v>64</v>
      </c>
      <c r="L309" s="125" t="str">
        <f t="array" ref="L309">IFNA(xlookup(H309,'🙎‍♂️ Pasien'!$G$5:$G371,'🙎‍♂️ Pasien'!$J$5:$J371),"")</f>
        <v>&gt; 44 tahun</v>
      </c>
      <c r="M309" s="125" t="str">
        <f t="array" ref="M309">IFNA(xlookup(H309,'🙎‍♂️ Pasien'!$G$5:$G371,'🙎‍♂️ Pasien'!$S$5:$S371),"")</f>
        <v>IRT</v>
      </c>
      <c r="N309" s="125" t="str">
        <f t="array" ref="N309">IFNA(XLOOKUP($H309,'🙎‍♂️ Pasien'!$G$7:$G371,'🙎‍♂️ Pasien'!$T$7:$T371),"")</f>
        <v>SAKIT DI BAGIAN KAKI , AWAL KARNA SQUAT . SEMPAT SEMBUH . TRUS KEPELESET JADI KETRIGGER LAGI</v>
      </c>
      <c r="O309" s="16" t="s">
        <v>828</v>
      </c>
      <c r="P309" s="16" t="s">
        <v>836</v>
      </c>
      <c r="Q309" s="16" t="s">
        <v>29</v>
      </c>
      <c r="R309" s="16" t="s">
        <v>86</v>
      </c>
      <c r="S309" s="16" t="s">
        <v>72</v>
      </c>
      <c r="T309" s="16" t="s">
        <v>827</v>
      </c>
      <c r="U309" s="109"/>
      <c r="V309" s="126"/>
      <c r="W309" s="109"/>
      <c r="X309" s="109" t="str">
        <f t="array" ref="X309">IF(H309="","",XLOOKUP(H309,CATATANPELAYANAN[[#ALL],[NAMA PASIEN]],CATATANPELAYANAN[[#ALL],[LAYANAN]],"TIDAK CLOSING",0,-1))</f>
        <v>SESI TERAPI</v>
      </c>
      <c r="Y309" s="109" t="str">
        <f t="shared" si="4"/>
        <v>SESI</v>
      </c>
      <c r="Z309" s="127"/>
    </row>
    <row r="310" ht="22.5" customHeight="1">
      <c r="A310" s="122"/>
      <c r="B310" s="123">
        <v>46006.0</v>
      </c>
      <c r="C310" s="124" t="str">
        <f t="shared" si="36"/>
        <v>2025</v>
      </c>
      <c r="D310" s="124" t="str">
        <f t="shared" si="27"/>
        <v>12 Des</v>
      </c>
      <c r="E310" s="124" t="str">
        <f t="shared" si="28"/>
        <v>Sen</v>
      </c>
      <c r="F310" s="16" t="s">
        <v>85</v>
      </c>
      <c r="G310" s="109" t="str">
        <f t="array" ref="G310">IFNA(XLOOKUP(S310,'⚙️ Pengaturan'!$H$5:$H371,'⚙️ Pengaturan'!$I$5:$I371),"")</f>
        <v>TIM Y</v>
      </c>
      <c r="H310" s="109" t="s">
        <v>1082</v>
      </c>
      <c r="I310" s="125" t="str">
        <f t="array" ref="I310">ifna(xlookup($H310,'🙎‍♂️ Pasien'!$G$7:$G371,'🙎‍♂️ Pasien'!$H$7:$H371),"")</f>
        <v>R9125121442</v>
      </c>
      <c r="J310" s="125" t="str">
        <f t="array" ref="J310">ifna(xlookup($H310,'🙎‍♂️ Pasien'!$G$7:$G371,'🙎‍♂️ Pasien'!$L$7:$L371),"")</f>
        <v>LAKI-LAKI</v>
      </c>
      <c r="K310" s="125">
        <f t="array" ref="K310">ifna(xlookup($H310,'🙎‍♂️ Pasien'!$G$7:$G371,'🙎‍♂️ Pasien'!$I$7:$I371),"")</f>
        <v>34</v>
      </c>
      <c r="L310" s="125" t="str">
        <f t="array" ref="L310">IFNA(xlookup(H310,'🙎‍♂️ Pasien'!$G$5:$G371,'🙎‍♂️ Pasien'!$J$5:$J371),"")</f>
        <v>25-34 tahun</v>
      </c>
      <c r="M310" s="125" t="str">
        <f t="array" ref="M310">IFNA(xlookup(H310,'🙎‍♂️ Pasien'!$G$5:$G371,'🙎‍♂️ Pasien'!$S$5:$S371),"")</f>
        <v>ASN</v>
      </c>
      <c r="N310" s="125" t="str">
        <f t="array" ref="N310">IFNA(XLOOKUP($H310,'🙎‍♂️ Pasien'!$G$7:$G371,'🙎‍♂️ Pasien'!$T$7:$T371),"")</f>
        <v>LUTUT</v>
      </c>
      <c r="O310" s="16" t="s">
        <v>842</v>
      </c>
      <c r="P310" s="16" t="s">
        <v>836</v>
      </c>
      <c r="Q310" s="16" t="s">
        <v>29</v>
      </c>
      <c r="R310" s="16" t="s">
        <v>86</v>
      </c>
      <c r="S310" s="16" t="s">
        <v>56</v>
      </c>
      <c r="T310" s="16" t="s">
        <v>827</v>
      </c>
      <c r="U310" s="109"/>
      <c r="V310" s="126"/>
      <c r="W310" s="109"/>
      <c r="X310" s="109" t="str">
        <f t="array" ref="X310">IF(H310="","",XLOOKUP(H310,CATATANPELAYANAN[[#ALL],[NAMA PASIEN]],CATATANPELAYANAN[[#ALL],[LAYANAN]],"TIDAK CLOSING",0,-1))</f>
        <v>TIDAK CLOSING</v>
      </c>
      <c r="Y310" s="109" t="str">
        <f t="shared" si="4"/>
        <v>TIDAK CLOSING</v>
      </c>
      <c r="Z310" s="127"/>
    </row>
    <row r="311" ht="22.5" customHeight="1">
      <c r="A311" s="122"/>
      <c r="B311" s="123">
        <v>46006.0</v>
      </c>
      <c r="C311" s="124" t="str">
        <f t="shared" si="36"/>
        <v>2025</v>
      </c>
      <c r="D311" s="124" t="str">
        <f t="shared" si="27"/>
        <v>12 Des</v>
      </c>
      <c r="E311" s="124" t="str">
        <f t="shared" si="28"/>
        <v>Sen</v>
      </c>
      <c r="F311" s="16" t="s">
        <v>85</v>
      </c>
      <c r="G311" s="109" t="str">
        <f t="array" ref="G311">IFNA(XLOOKUP(S311,'⚙️ Pengaturan'!$H$5:$H371,'⚙️ Pengaturan'!$I$5:$I371),"")</f>
        <v>TIM A</v>
      </c>
      <c r="H311" s="109" t="s">
        <v>723</v>
      </c>
      <c r="I311" s="125" t="str">
        <f t="array" ref="I311">ifna(xlookup($H311,'🙎‍♂️ Pasien'!$G$7:$G371,'🙎‍♂️ Pasien'!$H$7:$H371),"")</f>
        <v>R1325123120</v>
      </c>
      <c r="J311" s="125" t="str">
        <f t="array" ref="J311">ifna(xlookup($H311,'🙎‍♂️ Pasien'!$G$7:$G371,'🙎‍♂️ Pasien'!$L$7:$L371),"")</f>
        <v>LAKI-LAKI</v>
      </c>
      <c r="K311" s="125">
        <f t="array" ref="K311">ifna(xlookup($H311,'🙎‍♂️ Pasien'!$G$7:$G371,'🙎‍♂️ Pasien'!$I$7:$I371),"")</f>
        <v>12</v>
      </c>
      <c r="L311" s="125" t="str">
        <f t="array" ref="L311">IFNA(xlookup(H311,'🙎‍♂️ Pasien'!$G$5:$G371,'🙎‍♂️ Pasien'!$J$5:$J371),"")</f>
        <v>&lt; 18 tahun</v>
      </c>
      <c r="M311" s="125" t="str">
        <f t="array" ref="M311">IFNA(xlookup(H311,'🙎‍♂️ Pasien'!$G$5:$G371,'🙎‍♂️ Pasien'!$S$5:$S371),"")</f>
        <v>-</v>
      </c>
      <c r="N311" s="125" t="str">
        <f t="array" ref="N311">IFNA(XLOOKUP($H311,'🙎‍♂️ Pasien'!$G$7:$G371,'🙎‍♂️ Pasien'!$T$7:$T371),"")</f>
        <v>KAKI</v>
      </c>
      <c r="O311" s="16" t="s">
        <v>832</v>
      </c>
      <c r="P311" s="16" t="s">
        <v>833</v>
      </c>
      <c r="Q311" s="16" t="s">
        <v>29</v>
      </c>
      <c r="R311" s="16" t="s">
        <v>86</v>
      </c>
      <c r="S311" s="16" t="s">
        <v>79</v>
      </c>
      <c r="T311" s="16" t="s">
        <v>834</v>
      </c>
      <c r="U311" s="109" t="s">
        <v>1083</v>
      </c>
      <c r="V311" s="126"/>
      <c r="W311" s="109"/>
      <c r="X311" s="109" t="str">
        <f t="array" ref="X311">IF(H311="","",XLOOKUP(H311,CATATANPELAYANAN[[#ALL],[NAMA PASIEN]],CATATANPELAYANAN[[#ALL],[LAYANAN]],"TIDAK CLOSING",0,-1))</f>
        <v>TERAPI AWAL</v>
      </c>
      <c r="Y311" s="109" t="str">
        <f t="shared" si="4"/>
        <v>TIDAK CLOSING</v>
      </c>
      <c r="Z311" s="127"/>
    </row>
    <row r="312" ht="22.5" customHeight="1">
      <c r="A312" s="122"/>
      <c r="B312" s="123">
        <v>46007.0</v>
      </c>
      <c r="C312" s="124" t="str">
        <f t="shared" si="36"/>
        <v>2025</v>
      </c>
      <c r="D312" s="124" t="str">
        <f t="shared" si="27"/>
        <v>12 Des</v>
      </c>
      <c r="E312" s="124" t="str">
        <f t="shared" si="28"/>
        <v>Sel</v>
      </c>
      <c r="F312" s="16" t="s">
        <v>53</v>
      </c>
      <c r="G312" s="109" t="str">
        <f t="array" ref="G312">IFNA(XLOOKUP(S312,'⚙️ Pengaturan'!$H$5:$H371,'⚙️ Pengaturan'!$I$5:$I371),"")</f>
        <v>TIM A</v>
      </c>
      <c r="H312" s="109" t="s">
        <v>1084</v>
      </c>
      <c r="I312" s="125" t="str">
        <f t="array" ref="I312">ifna(xlookup($H312,'🙎‍♂️ Pasien'!$G$7:$G371,'🙎‍♂️ Pasien'!$H$7:$H371),"")</f>
        <v>S6825123226</v>
      </c>
      <c r="J312" s="125" t="str">
        <f t="array" ref="J312">ifna(xlookup($H312,'🙎‍♂️ Pasien'!$G$7:$G371,'🙎‍♂️ Pasien'!$L$7:$L371),"")</f>
        <v>PEREMPUAN</v>
      </c>
      <c r="K312" s="125">
        <f t="array" ref="K312">ifna(xlookup($H312,'🙎‍♂️ Pasien'!$G$7:$G371,'🙎‍♂️ Pasien'!$I$7:$I371),"")</f>
        <v>58</v>
      </c>
      <c r="L312" s="125" t="str">
        <f t="array" ref="L312">IFNA(xlookup(H312,'🙎‍♂️ Pasien'!$G$5:$G371,'🙎‍♂️ Pasien'!$J$5:$J371),"")</f>
        <v>&gt; 44 tahun</v>
      </c>
      <c r="M312" s="125" t="str">
        <f t="array" ref="M312">IFNA(xlookup(H312,'🙎‍♂️ Pasien'!$G$5:$G371,'🙎‍♂️ Pasien'!$S$5:$S371),"")</f>
        <v>PNS</v>
      </c>
      <c r="N312" s="125" t="str">
        <f t="array" ref="N312">IFNA(XLOOKUP($H312,'🙎‍♂️ Pasien'!$G$7:$G371,'🙎‍♂️ Pasien'!$T$7:$T371),"")</f>
        <v>NYERI BETIS DAN BELAKANG LUTUT KIRI</v>
      </c>
      <c r="O312" s="16" t="s">
        <v>1004</v>
      </c>
      <c r="P312" s="16" t="s">
        <v>942</v>
      </c>
      <c r="Q312" s="16" t="s">
        <v>29</v>
      </c>
      <c r="R312" s="16" t="s">
        <v>86</v>
      </c>
      <c r="S312" s="16" t="s">
        <v>72</v>
      </c>
      <c r="T312" s="16" t="s">
        <v>834</v>
      </c>
      <c r="U312" s="109" t="s">
        <v>1085</v>
      </c>
      <c r="V312" s="126"/>
      <c r="W312" s="109"/>
      <c r="X312" s="109" t="str">
        <f t="array" ref="X312">IF(H312="","",XLOOKUP(H312,CATATANPELAYANAN[[#ALL],[NAMA PASIEN]],CATATANPELAYANAN[[#ALL],[LAYANAN]],"TIDAK CLOSING",0,-1))</f>
        <v>TIDAK CLOSING</v>
      </c>
      <c r="Y312" s="109" t="str">
        <f t="shared" si="4"/>
        <v>TIDAK CLOSING</v>
      </c>
      <c r="Z312" s="127"/>
    </row>
    <row r="313" ht="22.5" customHeight="1">
      <c r="A313" s="122"/>
      <c r="B313" s="123">
        <v>46007.0</v>
      </c>
      <c r="C313" s="124" t="str">
        <f t="shared" si="36"/>
        <v>2025</v>
      </c>
      <c r="D313" s="124" t="str">
        <f t="shared" si="27"/>
        <v>12 Des</v>
      </c>
      <c r="E313" s="124" t="str">
        <f t="shared" si="28"/>
        <v>Sel</v>
      </c>
      <c r="F313" s="16" t="s">
        <v>53</v>
      </c>
      <c r="G313" s="109" t="str">
        <f t="array" ref="G313">IFNA(XLOOKUP(S313,'⚙️ Pengaturan'!$H$5:$H371,'⚙️ Pengaturan'!$I$5:$I371),"")</f>
        <v>MANAJEMEN</v>
      </c>
      <c r="H313" s="109" t="s">
        <v>724</v>
      </c>
      <c r="I313" s="125" t="str">
        <f t="array" ref="I313">ifna(xlookup($H313,'🙎‍♂️ Pasien'!$G$7:$G371,'🙎‍♂️ Pasien'!$H$7:$H371),"")</f>
        <v>E9725120876</v>
      </c>
      <c r="J313" s="125" t="str">
        <f t="array" ref="J313">ifna(xlookup($H313,'🙎‍♂️ Pasien'!$G$7:$G371,'🙎‍♂️ Pasien'!$L$7:$L371),"")</f>
        <v>PEREMPUAN</v>
      </c>
      <c r="K313" s="125">
        <f t="array" ref="K313">ifna(xlookup($H313,'🙎‍♂️ Pasien'!$G$7:$G371,'🙎‍♂️ Pasien'!$I$7:$I371),"")</f>
        <v>28</v>
      </c>
      <c r="L313" s="125" t="str">
        <f t="array" ref="L313">IFNA(xlookup(H313,'🙎‍♂️ Pasien'!$G$5:$G371,'🙎‍♂️ Pasien'!$J$5:$J371),"")</f>
        <v>25-34 tahun</v>
      </c>
      <c r="M313" s="125" t="str">
        <f t="array" ref="M313">IFNA(xlookup(H313,'🙎‍♂️ Pasien'!$G$5:$G371,'🙎‍♂️ Pasien'!$S$5:$S371),"")</f>
        <v>GURU TODDLER</v>
      </c>
      <c r="N313" s="125" t="str">
        <f t="array" ref="N313">IFNA(XLOOKUP($H313,'🙎‍♂️ Pasien'!$G$7:$G371,'🙎‍♂️ Pasien'!$T$7:$T371),"")</f>
        <v>SALAH TIDOK SM SAKIT PINGGANG</v>
      </c>
      <c r="O313" s="16"/>
      <c r="P313" s="16"/>
      <c r="Q313" s="16" t="s">
        <v>29</v>
      </c>
      <c r="R313" s="16" t="s">
        <v>86</v>
      </c>
      <c r="S313" s="16" t="s">
        <v>81</v>
      </c>
      <c r="T313" s="16" t="s">
        <v>834</v>
      </c>
      <c r="U313" s="109" t="s">
        <v>1086</v>
      </c>
      <c r="V313" s="126"/>
      <c r="W313" s="109"/>
      <c r="X313" s="109" t="str">
        <f t="array" ref="X313">IF(H313="","",XLOOKUP(H313,CATATANPELAYANAN[[#ALL],[NAMA PASIEN]],CATATANPELAYANAN[[#ALL],[LAYANAN]],"TIDAK CLOSING",0,-1))</f>
        <v>TERAPI AWAL</v>
      </c>
      <c r="Y313" s="109" t="str">
        <f t="shared" si="4"/>
        <v>TIDAK CLOSING</v>
      </c>
      <c r="Z313" s="127"/>
    </row>
    <row r="314" ht="22.5" customHeight="1">
      <c r="A314" s="122"/>
      <c r="B314" s="123">
        <v>46007.0</v>
      </c>
      <c r="C314" s="124" t="str">
        <f t="shared" si="36"/>
        <v>2025</v>
      </c>
      <c r="D314" s="124" t="str">
        <f t="shared" si="27"/>
        <v>12 Des</v>
      </c>
      <c r="E314" s="124" t="str">
        <f t="shared" si="28"/>
        <v>Sel</v>
      </c>
      <c r="F314" s="16" t="s">
        <v>53</v>
      </c>
      <c r="G314" s="109" t="str">
        <f t="array" ref="G314">IFNA(XLOOKUP(S314,'⚙️ Pengaturan'!$H$5:$H371,'⚙️ Pengaturan'!$I$5:$I371),"")</f>
        <v>MANAJEMEN</v>
      </c>
      <c r="H314" s="109" t="s">
        <v>725</v>
      </c>
      <c r="I314" s="125" t="str">
        <f t="array" ref="I314">ifna(xlookup($H314,'🙎‍♂️ Pasien'!$G$7:$G371,'🙎‍♂️ Pasien'!$H$7:$H371),"")</f>
        <v>A9226023219</v>
      </c>
      <c r="J314" s="125" t="str">
        <f t="array" ref="J314">ifna(xlookup($H314,'🙎‍♂️ Pasien'!$G$7:$G371,'🙎‍♂️ Pasien'!$L$7:$L371),"")</f>
        <v>LAKI-LAKI</v>
      </c>
      <c r="K314" s="125">
        <f t="array" ref="K314">ifna(xlookup($H314,'🙎‍♂️ Pasien'!$G$7:$G371,'🙎‍♂️ Pasien'!$I$7:$I371),"")</f>
        <v>33</v>
      </c>
      <c r="L314" s="125" t="str">
        <f t="array" ref="L314">IFNA(xlookup(H314,'🙎‍♂️ Pasien'!$G$5:$G371,'🙎‍♂️ Pasien'!$J$5:$J371),"")</f>
        <v>25-34 tahun</v>
      </c>
      <c r="M314" s="125" t="str">
        <f t="array" ref="M314">IFNA(xlookup(H314,'🙎‍♂️ Pasien'!$G$5:$G371,'🙎‍♂️ Pasien'!$S$5:$S371),"")</f>
        <v>WIRASWASTA</v>
      </c>
      <c r="N314" s="125" t="str">
        <f t="array" ref="N314">IFNA(XLOOKUP($H314,'🙎‍♂️ Pasien'!$G$7:$G371,'🙎‍♂️ Pasien'!$T$7:$T371),"")</f>
        <v>SAKIT PUNDAK </v>
      </c>
      <c r="O314" s="16"/>
      <c r="P314" s="16"/>
      <c r="Q314" s="16" t="s">
        <v>29</v>
      </c>
      <c r="R314" s="16" t="s">
        <v>86</v>
      </c>
      <c r="S314" s="16" t="s">
        <v>81</v>
      </c>
      <c r="T314" s="16" t="s">
        <v>834</v>
      </c>
      <c r="U314" s="109" t="s">
        <v>1086</v>
      </c>
      <c r="V314" s="126"/>
      <c r="W314" s="109"/>
      <c r="X314" s="109" t="str">
        <f t="array" ref="X314">IF(H314="","",XLOOKUP(H314,CATATANPELAYANAN[[#ALL],[NAMA PASIEN]],CATATANPELAYANAN[[#ALL],[LAYANAN]],"TIDAK CLOSING",0,-1))</f>
        <v>TERAPI AWAL</v>
      </c>
      <c r="Y314" s="109" t="str">
        <f t="shared" si="4"/>
        <v>TIDAK CLOSING</v>
      </c>
      <c r="Z314" s="127"/>
    </row>
    <row r="315" ht="22.5" customHeight="1">
      <c r="A315" s="122"/>
      <c r="B315" s="123">
        <v>46007.0</v>
      </c>
      <c r="C315" s="124" t="str">
        <f t="shared" si="36"/>
        <v>2025</v>
      </c>
      <c r="D315" s="124" t="str">
        <f t="shared" si="27"/>
        <v>12 Des</v>
      </c>
      <c r="E315" s="124" t="str">
        <f t="shared" si="28"/>
        <v>Sel</v>
      </c>
      <c r="F315" s="16" t="s">
        <v>53</v>
      </c>
      <c r="G315" s="109" t="str">
        <f t="array" ref="G315">IFNA(XLOOKUP(S315,'⚙️ Pengaturan'!$H$5:$H371,'⚙️ Pengaturan'!$I$5:$I371),"")</f>
        <v>TIM A</v>
      </c>
      <c r="H315" s="109" t="s">
        <v>741</v>
      </c>
      <c r="I315" s="125" t="str">
        <f t="array" ref="I315">ifna(xlookup($H315,'🙎‍♂️ Pasien'!$G$7:$G371,'🙎‍♂️ Pasien'!$H$7:$H371),"")</f>
        <v>J0625127652</v>
      </c>
      <c r="J315" s="125" t="str">
        <f t="array" ref="J315">ifna(xlookup($H315,'🙎‍♂️ Pasien'!$G$7:$G371,'🙎‍♂️ Pasien'!$L$7:$L371),"")</f>
        <v>PEREMPUAN</v>
      </c>
      <c r="K315" s="125">
        <f t="array" ref="K315">ifna(xlookup($H315,'🙎‍♂️ Pasien'!$G$7:$G371,'🙎‍♂️ Pasien'!$I$7:$I371),"")</f>
        <v>19</v>
      </c>
      <c r="L315" s="125" t="str">
        <f t="array" ref="L315">IFNA(xlookup(H315,'🙎‍♂️ Pasien'!$G$5:$G371,'🙎‍♂️ Pasien'!$J$5:$J371),"")</f>
        <v>18-24 tahun</v>
      </c>
      <c r="M315" s="125" t="str">
        <f t="array" ref="M315">IFNA(xlookup(H315,'🙎‍♂️ Pasien'!$G$5:$G371,'🙎‍♂️ Pasien'!$S$5:$S371),"")</f>
        <v>PELAJAR</v>
      </c>
      <c r="N315" s="125" t="str">
        <f t="array" ref="N315">IFNA(XLOOKUP($H315,'🙎‍♂️ Pasien'!$G$7:$G371,'🙎‍♂️ Pasien'!$T$7:$T371),"")</f>
        <v>CEDERA KAKI POST OP AMPUTASI JARI KELINGKING</v>
      </c>
      <c r="O315" s="16" t="s">
        <v>1087</v>
      </c>
      <c r="P315" s="16" t="s">
        <v>833</v>
      </c>
      <c r="Q315" s="16" t="s">
        <v>29</v>
      </c>
      <c r="R315" s="16" t="s">
        <v>86</v>
      </c>
      <c r="S315" s="16" t="s">
        <v>79</v>
      </c>
      <c r="T315" s="16" t="s">
        <v>827</v>
      </c>
      <c r="U315" s="109"/>
      <c r="V315" s="126"/>
      <c r="W315" s="109"/>
      <c r="X315" s="109" t="str">
        <f t="array" ref="X315">IF(H315="","",XLOOKUP(H315,CATATANPELAYANAN[[#ALL],[NAMA PASIEN]],CATATANPELAYANAN[[#ALL],[LAYANAN]],"TIDAK CLOSING",0,-1))</f>
        <v>SESI TERAPI</v>
      </c>
      <c r="Y315" s="109" t="str">
        <f t="shared" si="4"/>
        <v>SESI</v>
      </c>
      <c r="Z315" s="127"/>
    </row>
    <row r="316" ht="22.5" customHeight="1">
      <c r="A316" s="122"/>
      <c r="B316" s="123">
        <v>46007.0</v>
      </c>
      <c r="C316" s="124" t="s">
        <v>963</v>
      </c>
      <c r="D316" s="124" t="str">
        <f t="shared" si="27"/>
        <v>12 Des</v>
      </c>
      <c r="E316" s="124" t="str">
        <f t="shared" si="28"/>
        <v>Sel</v>
      </c>
      <c r="F316" s="16" t="s">
        <v>53</v>
      </c>
      <c r="G316" s="109" t="str">
        <f t="array" ref="G316">IFNA(XLOOKUP(S316,'⚙️ Pengaturan'!$H$5:$H371,'⚙️ Pengaturan'!$I$5:$I371),"")</f>
        <v>TIM Y</v>
      </c>
      <c r="H316" s="109" t="s">
        <v>657</v>
      </c>
      <c r="I316" s="125" t="str">
        <f t="array" ref="I316">ifna(xlookup($H316,'🙎‍♂️ Pasien'!$G$7:$G371,'🙎‍♂️ Pasien'!$H$7:$H371),"")</f>
        <v>S9525127945</v>
      </c>
      <c r="J316" s="125" t="str">
        <f t="array" ref="J316">ifna(xlookup($H316,'🙎‍♂️ Pasien'!$G$7:$G371,'🙎‍♂️ Pasien'!$L$7:$L371),"")</f>
        <v>PEREMPUAN</v>
      </c>
      <c r="K316" s="125">
        <f t="array" ref="K316">ifna(xlookup($H316,'🙎‍♂️ Pasien'!$G$7:$G371,'🙎‍♂️ Pasien'!$I$7:$I371),"")</f>
        <v>30</v>
      </c>
      <c r="L316" s="125" t="str">
        <f t="array" ref="L316">IFNA(xlookup(H316,'🙎‍♂️ Pasien'!$G$5:$G371,'🙎‍♂️ Pasien'!$J$5:$J371),"")</f>
        <v>25-34 tahun</v>
      </c>
      <c r="M316" s="125" t="str">
        <f t="array" ref="M316">IFNA(xlookup(H316,'🙎‍♂️ Pasien'!$G$5:$G371,'🙎‍♂️ Pasien'!$S$5:$S371),"")</f>
        <v>SEASTA</v>
      </c>
      <c r="N316" s="125" t="str">
        <f t="array" ref="N316">IFNA(XLOOKUP($H316,'🙎‍♂️ Pasien'!$G$7:$G371,'🙎‍♂️ Pasien'!$T$7:$T371),"")</f>
        <v>SAKIT DI IBU JARI TANGAN</v>
      </c>
      <c r="O316" s="16" t="s">
        <v>950</v>
      </c>
      <c r="P316" s="16" t="s">
        <v>976</v>
      </c>
      <c r="Q316" s="16" t="s">
        <v>29</v>
      </c>
      <c r="R316" s="16" t="s">
        <v>54</v>
      </c>
      <c r="S316" s="16" t="s">
        <v>509</v>
      </c>
      <c r="T316" s="16" t="s">
        <v>834</v>
      </c>
      <c r="U316" s="109" t="s">
        <v>1079</v>
      </c>
      <c r="V316" s="126"/>
      <c r="W316" s="109"/>
      <c r="X316" s="109" t="str">
        <f t="array" ref="X316">IF(H316="","",XLOOKUP(H316,CATATANPELAYANAN[[#ALL],[NAMA PASIEN]],CATATANPELAYANAN[[#ALL],[LAYANAN]],"TIDAK CLOSING",0,-1))</f>
        <v>TERAPI AWAL</v>
      </c>
      <c r="Y316" s="109" t="str">
        <f t="shared" si="4"/>
        <v>TIDAK CLOSING</v>
      </c>
      <c r="Z316" s="127"/>
    </row>
    <row r="317" ht="22.5" customHeight="1">
      <c r="A317" s="122"/>
      <c r="B317" s="123">
        <v>46007.0</v>
      </c>
      <c r="C317" s="124" t="s">
        <v>963</v>
      </c>
      <c r="D317" s="124" t="str">
        <f t="shared" si="27"/>
        <v>12 Des</v>
      </c>
      <c r="E317" s="124" t="str">
        <f t="shared" si="28"/>
        <v>Sel</v>
      </c>
      <c r="F317" s="16" t="s">
        <v>85</v>
      </c>
      <c r="G317" s="109" t="str">
        <f t="array" ref="G317">IFNA(XLOOKUP(S317,'⚙️ Pengaturan'!$H$5:$H371,'⚙️ Pengaturan'!$I$5:$I371),"")</f>
        <v>TIM Y</v>
      </c>
      <c r="H317" s="109" t="s">
        <v>727</v>
      </c>
      <c r="I317" s="125" t="str">
        <f t="array" ref="I317">ifna(xlookup($H317,'🙎‍♂️ Pasien'!$G$7:$G371,'🙎‍♂️ Pasien'!$H$7:$H371),"")</f>
        <v>R0225129200</v>
      </c>
      <c r="J317" s="125" t="str">
        <f t="array" ref="J317">ifna(xlookup($H317,'🙎‍♂️ Pasien'!$G$7:$G371,'🙎‍♂️ Pasien'!$L$7:$L371),"")</f>
        <v>LAKI-LAKI</v>
      </c>
      <c r="K317" s="125">
        <f t="array" ref="K317">ifna(xlookup($H317,'🙎‍♂️ Pasien'!$G$7:$G371,'🙎‍♂️ Pasien'!$I$7:$I371),"")</f>
        <v>24</v>
      </c>
      <c r="L317" s="125" t="str">
        <f t="array" ref="L317">IFNA(xlookup(H317,'🙎‍♂️ Pasien'!$G$5:$G371,'🙎‍♂️ Pasien'!$J$5:$J371),"")</f>
        <v>18-24 tahun</v>
      </c>
      <c r="M317" s="125" t="str">
        <f t="array" ref="M317">IFNA(xlookup(H317,'🙎‍♂️ Pasien'!$G$5:$G371,'🙎‍♂️ Pasien'!$S$5:$S371),"")</f>
        <v>BELUM ADA</v>
      </c>
      <c r="N317" s="125" t="str">
        <f t="array" ref="N317">IFNA(XLOOKUP($H317,'🙎‍♂️ Pasien'!$G$7:$G371,'🙎‍♂️ Pasien'!$T$7:$T371),"")</f>
        <v>.BAHU TIDAK SIMETRIS</v>
      </c>
      <c r="O317" s="16" t="s">
        <v>847</v>
      </c>
      <c r="P317" s="16" t="s">
        <v>869</v>
      </c>
      <c r="Q317" s="16" t="s">
        <v>29</v>
      </c>
      <c r="R317" s="16" t="s">
        <v>54</v>
      </c>
      <c r="S317" s="16" t="s">
        <v>88</v>
      </c>
      <c r="T317" s="16" t="s">
        <v>830</v>
      </c>
      <c r="U317" s="109"/>
      <c r="V317" s="126"/>
      <c r="W317" s="109"/>
      <c r="X317" s="109" t="str">
        <f t="array" ref="X317">IF(H317="","",XLOOKUP(H317,CATATANPELAYANAN[[#ALL],[NAMA PASIEN]],CATATANPELAYANAN[[#ALL],[LAYANAN]],"TIDAK CLOSING",0,-1))</f>
        <v>PAKET TERAPI</v>
      </c>
      <c r="Y317" s="109" t="str">
        <f t="shared" si="4"/>
        <v>PAKET</v>
      </c>
      <c r="Z317" s="127"/>
    </row>
    <row r="318" ht="22.5" customHeight="1">
      <c r="A318" s="122"/>
      <c r="B318" s="123">
        <v>46007.0</v>
      </c>
      <c r="C318" s="124" t="str">
        <f t="shared" ref="C318:C323" si="37">IF(B318="","",text(B318,"yyyy"))</f>
        <v>2025</v>
      </c>
      <c r="D318" s="124" t="str">
        <f t="shared" si="27"/>
        <v>12 Des</v>
      </c>
      <c r="E318" s="124" t="str">
        <f t="shared" si="28"/>
        <v>Sel</v>
      </c>
      <c r="F318" s="16" t="s">
        <v>85</v>
      </c>
      <c r="G318" s="109" t="str">
        <f t="array" ref="G318">IFNA(XLOOKUP(S318,'⚙️ Pengaturan'!$H$5:$H371,'⚙️ Pengaturan'!$I$5:$I371),"")</f>
        <v>TIM Y</v>
      </c>
      <c r="H318" s="109" t="s">
        <v>730</v>
      </c>
      <c r="I318" s="125" t="str">
        <f t="array" ref="I318">ifna(xlookup($H318,'🙎‍♂️ Pasien'!$G$7:$G371,'🙎‍♂️ Pasien'!$H$7:$H371),"")</f>
        <v>J6625120248</v>
      </c>
      <c r="J318" s="125" t="str">
        <f t="array" ref="J318">ifna(xlookup($H318,'🙎‍♂️ Pasien'!$G$7:$G371,'🙎‍♂️ Pasien'!$L$7:$L371),"")</f>
        <v>LAKI-LAKI</v>
      </c>
      <c r="K318" s="125">
        <f t="array" ref="K318">ifna(xlookup($H318,'🙎‍♂️ Pasien'!$G$7:$G371,'🙎‍♂️ Pasien'!$I$7:$I371),"")</f>
        <v>59</v>
      </c>
      <c r="L318" s="125" t="str">
        <f t="array" ref="L318">IFNA(xlookup(H318,'🙎‍♂️ Pasien'!$G$5:$G371,'🙎‍♂️ Pasien'!$J$5:$J371),"")</f>
        <v>&gt; 44 tahun</v>
      </c>
      <c r="M318" s="125" t="str">
        <f t="array" ref="M318">IFNA(xlookup(H318,'🙎‍♂️ Pasien'!$G$5:$G371,'🙎‍♂️ Pasien'!$S$5:$S371),"")</f>
        <v>KARYAWAN SWASTA</v>
      </c>
      <c r="N318" s="125" t="str">
        <f t="array" ref="N318">IFNA(XLOOKUP($H318,'🙎‍♂️ Pasien'!$G$7:$G371,'🙎‍♂️ Pasien'!$T$7:$T371),"")</f>
        <v>LUTUT</v>
      </c>
      <c r="O318" s="16" t="s">
        <v>902</v>
      </c>
      <c r="P318" s="16" t="s">
        <v>836</v>
      </c>
      <c r="Q318" s="16" t="s">
        <v>29</v>
      </c>
      <c r="R318" s="16" t="s">
        <v>54</v>
      </c>
      <c r="S318" s="16" t="s">
        <v>91</v>
      </c>
      <c r="T318" s="16" t="s">
        <v>834</v>
      </c>
      <c r="U318" s="109"/>
      <c r="V318" s="126"/>
      <c r="W318" s="109"/>
      <c r="X318" s="109" t="str">
        <f t="array" ref="X318">IF(H318="","",XLOOKUP(H318,CATATANPELAYANAN[[#ALL],[NAMA PASIEN]],CATATANPELAYANAN[[#ALL],[LAYANAN]],"TIDAK CLOSING",0,-1))</f>
        <v>TERAPI AWAL</v>
      </c>
      <c r="Y318" s="109" t="str">
        <f t="shared" si="4"/>
        <v>TIDAK CLOSING</v>
      </c>
      <c r="Z318" s="127"/>
    </row>
    <row r="319" ht="22.5" customHeight="1">
      <c r="A319" s="122"/>
      <c r="B319" s="123">
        <v>46007.0</v>
      </c>
      <c r="C319" s="124" t="str">
        <f t="shared" si="37"/>
        <v>2025</v>
      </c>
      <c r="D319" s="124" t="str">
        <f t="shared" si="27"/>
        <v>12 Des</v>
      </c>
      <c r="E319" s="124" t="str">
        <f t="shared" si="28"/>
        <v>Sel</v>
      </c>
      <c r="F319" s="16" t="s">
        <v>85</v>
      </c>
      <c r="G319" s="109" t="str">
        <f t="array" ref="G319">IFNA(XLOOKUP(S319,'⚙️ Pengaturan'!$H$5:$H371,'⚙️ Pengaturan'!$I$5:$I371),"")</f>
        <v>TIM Y</v>
      </c>
      <c r="H319" s="109" t="s">
        <v>732</v>
      </c>
      <c r="I319" s="125" t="str">
        <f t="array" ref="I319">ifna(xlookup($H319,'🙎‍♂️ Pasien'!$G$7:$G371,'🙎‍♂️ Pasien'!$H$7:$H371),"")</f>
        <v>D9825126821</v>
      </c>
      <c r="J319" s="125" t="str">
        <f t="array" ref="J319">ifna(xlookup($H319,'🙎‍♂️ Pasien'!$G$7:$G371,'🙎‍♂️ Pasien'!$L$7:$L371),"")</f>
        <v>PEREMPUAN</v>
      </c>
      <c r="K319" s="125">
        <f t="array" ref="K319">ifna(xlookup($H319,'🙎‍♂️ Pasien'!$G$7:$G371,'🙎‍♂️ Pasien'!$I$7:$I371),"")</f>
        <v>27</v>
      </c>
      <c r="L319" s="125" t="str">
        <f t="array" ref="L319">IFNA(xlookup(H319,'🙎‍♂️ Pasien'!$G$5:$G371,'🙎‍♂️ Pasien'!$J$5:$J371),"")</f>
        <v>25-34 tahun</v>
      </c>
      <c r="M319" s="125" t="str">
        <f t="array" ref="M319">IFNA(xlookup(H319,'🙎‍♂️ Pasien'!$G$5:$G371,'🙎‍♂️ Pasien'!$S$5:$S371),"")</f>
        <v>MAHASISWA</v>
      </c>
      <c r="N319" s="125" t="str">
        <f t="array" ref="N319">IFNA(XLOOKUP($H319,'🙎‍♂️ Pasien'!$G$7:$G371,'🙎‍♂️ Pasien'!$T$7:$T371),"")</f>
        <v>BACK PAIN</v>
      </c>
      <c r="O319" s="16" t="s">
        <v>960</v>
      </c>
      <c r="P319" s="16" t="s">
        <v>826</v>
      </c>
      <c r="Q319" s="16" t="s">
        <v>29</v>
      </c>
      <c r="R319" s="16" t="s">
        <v>54</v>
      </c>
      <c r="S319" s="16" t="s">
        <v>509</v>
      </c>
      <c r="T319" s="16" t="s">
        <v>834</v>
      </c>
      <c r="U319" s="109" t="s">
        <v>1079</v>
      </c>
      <c r="V319" s="126"/>
      <c r="W319" s="109"/>
      <c r="X319" s="109" t="str">
        <f t="array" ref="X319">IF(H319="","",XLOOKUP(H319,CATATANPELAYANAN[[#ALL],[NAMA PASIEN]],CATATANPELAYANAN[[#ALL],[LAYANAN]],"TIDAK CLOSING",0,-1))</f>
        <v>TERAPI AWAL</v>
      </c>
      <c r="Y319" s="109" t="str">
        <f t="shared" si="4"/>
        <v>TIDAK CLOSING</v>
      </c>
      <c r="Z319" s="127"/>
    </row>
    <row r="320" ht="22.5" customHeight="1">
      <c r="A320" s="122"/>
      <c r="B320" s="123">
        <v>46008.0</v>
      </c>
      <c r="C320" s="124" t="str">
        <f t="shared" si="37"/>
        <v>2025</v>
      </c>
      <c r="D320" s="124" t="str">
        <f t="shared" si="27"/>
        <v>12 Des</v>
      </c>
      <c r="E320" s="124" t="str">
        <f t="shared" si="28"/>
        <v>Rab</v>
      </c>
      <c r="F320" s="16" t="s">
        <v>53</v>
      </c>
      <c r="G320" s="109" t="str">
        <f t="array" ref="G320">IFNA(XLOOKUP(S320,'⚙️ Pengaturan'!$H$5:$H371,'⚙️ Pengaturan'!$I$5:$I371),"")</f>
        <v>TIM Y</v>
      </c>
      <c r="H320" s="109" t="s">
        <v>734</v>
      </c>
      <c r="I320" s="125" t="str">
        <f t="array" ref="I320">ifna(xlookup($H320,'🙎‍♂️ Pasien'!$G$7:$G371,'🙎‍♂️ Pasien'!$H$7:$H371),"")</f>
        <v>A0724125118</v>
      </c>
      <c r="J320" s="125" t="str">
        <f t="array" ref="J320">ifna(xlookup($H320,'🙎‍♂️ Pasien'!$G$7:$G371,'🙎‍♂️ Pasien'!$L$7:$L371),"")</f>
        <v>LAKI-LAKI</v>
      </c>
      <c r="K320" s="125">
        <f t="array" ref="K320">ifna(xlookup($H320,'🙎‍♂️ Pasien'!$G$7:$G371,'🙎‍♂️ Pasien'!$I$7:$I371),"")</f>
        <v>18</v>
      </c>
      <c r="L320" s="125" t="str">
        <f t="array" ref="L320">IFNA(xlookup(H320,'🙎‍♂️ Pasien'!$G$5:$G371,'🙎‍♂️ Pasien'!$J$5:$J371),"")</f>
        <v>&lt; 18 tahun</v>
      </c>
      <c r="M320" s="125" t="str">
        <f t="array" ref="M320">IFNA(xlookup(H320,'🙎‍♂️ Pasien'!$G$5:$G371,'🙎‍♂️ Pasien'!$S$5:$S371),"")</f>
        <v>PELAJAR/MAHASISWA</v>
      </c>
      <c r="N320" s="125" t="str">
        <f t="array" ref="N320">IFNA(XLOOKUP($H320,'🙎‍♂️ Pasien'!$G$7:$G371,'🙎‍♂️ Pasien'!$T$7:$T371),"")</f>
        <v>cedera lutut oprasi</v>
      </c>
      <c r="O320" s="20"/>
      <c r="P320" s="16" t="s">
        <v>836</v>
      </c>
      <c r="Q320" s="16" t="s">
        <v>29</v>
      </c>
      <c r="R320" s="16" t="s">
        <v>54</v>
      </c>
      <c r="S320" s="16" t="s">
        <v>56</v>
      </c>
      <c r="T320" s="16" t="s">
        <v>830</v>
      </c>
      <c r="U320" s="109"/>
      <c r="V320" s="126"/>
      <c r="W320" s="109"/>
      <c r="X320" s="109" t="str">
        <f t="array" ref="X320">IF(H320="","",XLOOKUP(H320,CATATANPELAYANAN[[#ALL],[NAMA PASIEN]],CATATANPELAYANAN[[#ALL],[LAYANAN]],"TIDAK CLOSING",0,-1))</f>
        <v>PAKET TERAPI</v>
      </c>
      <c r="Y320" s="109" t="str">
        <f t="shared" si="4"/>
        <v>PAKET</v>
      </c>
      <c r="Z320" s="127"/>
    </row>
    <row r="321" ht="22.5" customHeight="1">
      <c r="A321" s="122"/>
      <c r="B321" s="123">
        <v>46008.0</v>
      </c>
      <c r="C321" s="124" t="str">
        <f t="shared" si="37"/>
        <v>2025</v>
      </c>
      <c r="D321" s="124" t="str">
        <f t="shared" si="27"/>
        <v>12 Des</v>
      </c>
      <c r="E321" s="124" t="str">
        <f t="shared" si="28"/>
        <v>Rab</v>
      </c>
      <c r="F321" s="16" t="s">
        <v>85</v>
      </c>
      <c r="G321" s="109" t="str">
        <f t="array" ref="G321">IFNA(XLOOKUP(S321,'⚙️ Pengaturan'!$H$5:$H371,'⚙️ Pengaturan'!$I$5:$I371),"")</f>
        <v>TIM Y</v>
      </c>
      <c r="H321" s="109" t="s">
        <v>737</v>
      </c>
      <c r="I321" s="125" t="str">
        <f t="array" ref="I321">ifna(xlookup($H321,'🙎‍♂️ Pasien'!$G$7:$G371,'🙎‍♂️ Pasien'!$H$7:$H371),"")</f>
        <v>D7725120078</v>
      </c>
      <c r="J321" s="125" t="str">
        <f t="array" ref="J321">ifna(xlookup($H321,'🙎‍♂️ Pasien'!$G$7:$G371,'🙎‍♂️ Pasien'!$L$7:$L371),"")</f>
        <v>LAKI-LAKI</v>
      </c>
      <c r="K321" s="125">
        <f t="array" ref="K321">ifna(xlookup($H321,'🙎‍♂️ Pasien'!$G$7:$G371,'🙎‍♂️ Pasien'!$I$7:$I371),"")</f>
        <v>48</v>
      </c>
      <c r="L321" s="125" t="str">
        <f t="array" ref="L321">IFNA(xlookup(H321,'🙎‍♂️ Pasien'!$G$5:$G371,'🙎‍♂️ Pasien'!$J$5:$J371),"")</f>
        <v>&gt; 44 tahun</v>
      </c>
      <c r="M321" s="125" t="str">
        <f t="array" ref="M321">IFNA(xlookup(H321,'🙎‍♂️ Pasien'!$G$5:$G371,'🙎‍♂️ Pasien'!$S$5:$S371),"")</f>
        <v>TNI</v>
      </c>
      <c r="N321" s="125" t="str">
        <f t="array" ref="N321">IFNA(XLOOKUP($H321,'🙎‍♂️ Pasien'!$G$7:$G371,'🙎‍♂️ Pasien'!$T$7:$T371),"")</f>
        <v>BAHU</v>
      </c>
      <c r="O321" s="16" t="s">
        <v>871</v>
      </c>
      <c r="P321" s="16" t="s">
        <v>869</v>
      </c>
      <c r="Q321" s="16" t="s">
        <v>29</v>
      </c>
      <c r="R321" s="16" t="s">
        <v>86</v>
      </c>
      <c r="S321" s="16" t="s">
        <v>91</v>
      </c>
      <c r="T321" s="16" t="s">
        <v>834</v>
      </c>
      <c r="U321" s="109" t="s">
        <v>831</v>
      </c>
      <c r="V321" s="126"/>
      <c r="W321" s="109"/>
      <c r="X321" s="109" t="str">
        <f t="array" ref="X321">IF(H321="","",XLOOKUP(H321,CATATANPELAYANAN[[#ALL],[NAMA PASIEN]],CATATANPELAYANAN[[#ALL],[LAYANAN]],"TIDAK CLOSING",0,-1))</f>
        <v>TERAPI AWAL</v>
      </c>
      <c r="Y321" s="109" t="str">
        <f t="shared" si="4"/>
        <v>TIDAK CLOSING</v>
      </c>
      <c r="Z321" s="127"/>
    </row>
    <row r="322" ht="22.5" customHeight="1">
      <c r="A322" s="122"/>
      <c r="B322" s="123">
        <v>46009.0</v>
      </c>
      <c r="C322" s="124" t="str">
        <f t="shared" si="37"/>
        <v>2025</v>
      </c>
      <c r="D322" s="124" t="str">
        <f t="shared" si="27"/>
        <v>12 Des</v>
      </c>
      <c r="E322" s="124" t="str">
        <f t="shared" si="28"/>
        <v>Kam</v>
      </c>
      <c r="F322" s="16" t="s">
        <v>53</v>
      </c>
      <c r="G322" s="109" t="str">
        <f t="array" ref="G322">IFNA(XLOOKUP(S322,'⚙️ Pengaturan'!$H$5:$H371,'⚙️ Pengaturan'!$I$5:$I371),"")</f>
        <v>TIM Y</v>
      </c>
      <c r="H322" s="109" t="s">
        <v>738</v>
      </c>
      <c r="I322" s="125" t="str">
        <f t="array" ref="I322">ifna(xlookup($H322,'🙎‍♂️ Pasien'!$G$7:$G371,'🙎‍♂️ Pasien'!$H$7:$H371),"")</f>
        <v>S7125124801</v>
      </c>
      <c r="J322" s="125" t="str">
        <f t="array" ref="J322">ifna(xlookup($H322,'🙎‍♂️ Pasien'!$G$7:$G371,'🙎‍♂️ Pasien'!$L$7:$L371),"")</f>
        <v>LAKI-LAKI</v>
      </c>
      <c r="K322" s="125">
        <f t="array" ref="K322">ifna(xlookup($H322,'🙎‍♂️ Pasien'!$G$7:$G371,'🙎‍♂️ Pasien'!$I$7:$I371),"")</f>
        <v>55</v>
      </c>
      <c r="L322" s="125" t="str">
        <f t="array" ref="L322">IFNA(xlookup(H322,'🙎‍♂️ Pasien'!$G$5:$G371,'🙎‍♂️ Pasien'!$J$5:$J371),"")</f>
        <v>&gt; 44 tahun</v>
      </c>
      <c r="M322" s="125" t="str">
        <f t="array" ref="M322">IFNA(xlookup(H322,'🙎‍♂️ Pasien'!$G$5:$G371,'🙎‍♂️ Pasien'!$S$5:$S371),"")</f>
        <v>SWASTA</v>
      </c>
      <c r="N322" s="125" t="str">
        <f t="array" ref="N322">IFNA(XLOOKUP($H322,'🙎‍♂️ Pasien'!$G$7:$G371,'🙎‍♂️ Pasien'!$T$7:$T371),"")</f>
        <v>KESELEO DIPERGELANGAN KAKI</v>
      </c>
      <c r="O322" s="16" t="s">
        <v>861</v>
      </c>
      <c r="P322" s="16" t="s">
        <v>851</v>
      </c>
      <c r="Q322" s="16" t="s">
        <v>29</v>
      </c>
      <c r="R322" s="16" t="s">
        <v>54</v>
      </c>
      <c r="S322" s="16" t="s">
        <v>509</v>
      </c>
      <c r="T322" s="16" t="s">
        <v>834</v>
      </c>
      <c r="U322" s="109" t="s">
        <v>831</v>
      </c>
      <c r="V322" s="126"/>
      <c r="W322" s="109"/>
      <c r="X322" s="109" t="str">
        <f t="array" ref="X322">IF(H322="","",XLOOKUP(H322,CATATANPELAYANAN[[#ALL],[NAMA PASIEN]],CATATANPELAYANAN[[#ALL],[LAYANAN]],"TIDAK CLOSING",0,-1))</f>
        <v>TERAPI AWAL</v>
      </c>
      <c r="Y322" s="109" t="str">
        <f t="shared" si="4"/>
        <v>TIDAK CLOSING</v>
      </c>
      <c r="Z322" s="127"/>
    </row>
    <row r="323" ht="22.5" customHeight="1">
      <c r="A323" s="122"/>
      <c r="B323" s="123">
        <v>46010.0</v>
      </c>
      <c r="C323" s="124" t="str">
        <f t="shared" si="37"/>
        <v>2025</v>
      </c>
      <c r="D323" s="124" t="str">
        <f t="shared" si="27"/>
        <v>12 Des</v>
      </c>
      <c r="E323" s="124" t="str">
        <f t="shared" si="28"/>
        <v>Jum</v>
      </c>
      <c r="F323" s="16" t="s">
        <v>85</v>
      </c>
      <c r="G323" s="109" t="str">
        <f t="array" ref="G323">IFNA(XLOOKUP(S323,'⚙️ Pengaturan'!$H$5:$H371,'⚙️ Pengaturan'!$I$5:$I371),"")</f>
        <v>MANAJEMEN</v>
      </c>
      <c r="H323" s="109" t="s">
        <v>744</v>
      </c>
      <c r="I323" s="125" t="str">
        <f t="array" ref="I323">ifna(xlookup($H323,'🙎‍♂️ Pasien'!$G$7:$G371,'🙎‍♂️ Pasien'!$H$7:$H371),"")</f>
        <v>D9525039860</v>
      </c>
      <c r="J323" s="125" t="str">
        <f t="array" ref="J323">ifna(xlookup($H323,'🙎‍♂️ Pasien'!$G$7:$G371,'🙎‍♂️ Pasien'!$L$7:$L371),"")</f>
        <v>LAKI-LAKI</v>
      </c>
      <c r="K323" s="125">
        <f t="array" ref="K323">ifna(xlookup($H323,'🙎‍♂️ Pasien'!$G$7:$G371,'🙎‍♂️ Pasien'!$I$7:$I371),"")</f>
        <v>31</v>
      </c>
      <c r="L323" s="125" t="str">
        <f t="array" ref="L323">IFNA(xlookup(H323,'🙎‍♂️ Pasien'!$G$5:$G371,'🙎‍♂️ Pasien'!$J$5:$J371),"")</f>
        <v>25-34 tahun</v>
      </c>
      <c r="M323" s="125" t="str">
        <f t="array" ref="M323">IFNA(xlookup(H323,'🙎‍♂️ Pasien'!$G$5:$G371,'🙎‍♂️ Pasien'!$S$5:$S371),"")</f>
        <v>SWASTA</v>
      </c>
      <c r="N323" s="125" t="str">
        <f t="array" ref="N323">IFNA(XLOOKUP($H323,'🙎‍♂️ Pasien'!$G$7:$G371,'🙎‍♂️ Pasien'!$T$7:$T371),"")</f>
        <v>SAKIT DI PUNGGUNG KE BAWAH</v>
      </c>
      <c r="O323" s="16" t="s">
        <v>954</v>
      </c>
      <c r="P323" s="16" t="s">
        <v>836</v>
      </c>
      <c r="Q323" s="16" t="s">
        <v>28</v>
      </c>
      <c r="R323" s="16" t="s">
        <v>134</v>
      </c>
      <c r="S323" s="16" t="s">
        <v>101</v>
      </c>
      <c r="T323" s="16" t="s">
        <v>830</v>
      </c>
      <c r="U323" s="109" t="s">
        <v>220</v>
      </c>
      <c r="V323" s="126"/>
      <c r="W323" s="109"/>
      <c r="X323" s="109" t="str">
        <f t="array" ref="X323">IF(H323="","",XLOOKUP(H323,CATATANPELAYANAN[[#ALL],[NAMA PASIEN]],CATATANPELAYANAN[[#ALL],[LAYANAN]],"TIDAK CLOSING",0,-1))</f>
        <v>PAKET TERAPI</v>
      </c>
      <c r="Y323" s="109" t="str">
        <f t="shared" si="4"/>
        <v>PAKET</v>
      </c>
      <c r="Z323" s="127"/>
    </row>
    <row r="324" ht="22.5" customHeight="1">
      <c r="A324" s="122"/>
      <c r="B324" s="123">
        <v>46010.0</v>
      </c>
      <c r="C324" s="124" t="s">
        <v>963</v>
      </c>
      <c r="D324" s="124" t="str">
        <f t="shared" si="27"/>
        <v>12 Des</v>
      </c>
      <c r="E324" s="124" t="str">
        <f t="shared" si="28"/>
        <v>Jum</v>
      </c>
      <c r="F324" s="16" t="s">
        <v>85</v>
      </c>
      <c r="G324" s="109" t="str">
        <f t="array" ref="G324">IFNA(XLOOKUP(S324,'⚙️ Pengaturan'!$H$5:$H371,'⚙️ Pengaturan'!$I$5:$I371),"")</f>
        <v>TIM Y</v>
      </c>
      <c r="H324" s="109" t="s">
        <v>177</v>
      </c>
      <c r="I324" s="125" t="str">
        <f t="array" ref="I324">ifna(xlookup($H324,'🙎‍♂️ Pasien'!$G$7:$G371,'🙎‍♂️ Pasien'!$H$7:$H371),"")</f>
        <v>M9225108407</v>
      </c>
      <c r="J324" s="125" t="str">
        <f t="array" ref="J324">ifna(xlookup($H324,'🙎‍♂️ Pasien'!$G$7:$G371,'🙎‍♂️ Pasien'!$L$7:$L371),"")</f>
        <v>PEREMPUAN</v>
      </c>
      <c r="K324" s="125">
        <f t="array" ref="K324">ifna(xlookup($H324,'🙎‍♂️ Pasien'!$G$7:$G371,'🙎‍♂️ Pasien'!$I$7:$I371),"")</f>
        <v>34</v>
      </c>
      <c r="L324" s="125" t="str">
        <f t="array" ref="L324">IFNA(xlookup(H324,'🙎‍♂️ Pasien'!$G$5:$G371,'🙎‍♂️ Pasien'!$J$5:$J371),"")</f>
        <v>25-34 tahun</v>
      </c>
      <c r="M324" s="125" t="str">
        <f t="array" ref="M324">IFNA(xlookup(H324,'🙎‍♂️ Pasien'!$G$5:$G371,'🙎‍♂️ Pasien'!$S$5:$S371),"")</f>
        <v>IRT</v>
      </c>
      <c r="N324" s="125" t="str">
        <f t="array" ref="N324">IFNA(XLOOKUP($H324,'🙎‍♂️ Pasien'!$G$7:$G371,'🙎‍♂️ Pasien'!$T$7:$T371),"")</f>
        <v>TUMIT KAKI KIRI SAKIT TAK KUNJUNG HILANG</v>
      </c>
      <c r="O324" s="16" t="s">
        <v>880</v>
      </c>
      <c r="P324" s="16" t="s">
        <v>862</v>
      </c>
      <c r="Q324" s="16" t="s">
        <v>28</v>
      </c>
      <c r="R324" s="16" t="s">
        <v>134</v>
      </c>
      <c r="S324" s="16" t="s">
        <v>509</v>
      </c>
      <c r="T324" s="16" t="s">
        <v>830</v>
      </c>
      <c r="U324" s="109" t="s">
        <v>746</v>
      </c>
      <c r="V324" s="126"/>
      <c r="W324" s="109"/>
      <c r="X324" s="109" t="str">
        <f t="array" ref="X324">IF(H324="","",XLOOKUP(H324,CATATANPELAYANAN[[#ALL],[NAMA PASIEN]],CATATANPELAYANAN[[#ALL],[LAYANAN]],"TIDAK CLOSING",0,-1))</f>
        <v>PAKET TERAPI</v>
      </c>
      <c r="Y324" s="109" t="str">
        <f t="shared" si="4"/>
        <v>PAKET</v>
      </c>
      <c r="Z324" s="127"/>
    </row>
    <row r="325" ht="22.5" customHeight="1">
      <c r="A325" s="122"/>
      <c r="B325" s="123">
        <v>46011.0</v>
      </c>
      <c r="C325" s="124" t="str">
        <f t="shared" ref="C325:C351" si="38">IF(B325="","",text(B325,"yyyy"))</f>
        <v>2025</v>
      </c>
      <c r="D325" s="124" t="str">
        <f t="shared" si="27"/>
        <v>12 Des</v>
      </c>
      <c r="E325" s="124" t="str">
        <f t="shared" si="28"/>
        <v>Sab</v>
      </c>
      <c r="F325" s="16" t="s">
        <v>53</v>
      </c>
      <c r="G325" s="109" t="str">
        <f t="array" ref="G325">IFNA(XLOOKUP(S325,'⚙️ Pengaturan'!$H$5:$H371,'⚙️ Pengaturan'!$I$5:$I371),"")</f>
        <v>TIM Y</v>
      </c>
      <c r="H325" s="109" t="s">
        <v>748</v>
      </c>
      <c r="I325" s="125" t="str">
        <f t="array" ref="I325">ifna(xlookup($H325,'🙎‍♂️ Pasien'!$G$7:$G371,'🙎‍♂️ Pasien'!$H$7:$H371),"")</f>
        <v>A9525120897</v>
      </c>
      <c r="J325" s="125" t="str">
        <f t="array" ref="J325">ifna(xlookup($H325,'🙎‍♂️ Pasien'!$G$7:$G371,'🙎‍♂️ Pasien'!$L$7:$L371),"")</f>
        <v>LAKI-LAKI</v>
      </c>
      <c r="K325" s="125">
        <f t="array" ref="K325">ifna(xlookup($H325,'🙎‍♂️ Pasien'!$G$7:$G371,'🙎‍♂️ Pasien'!$I$7:$I371),"")</f>
        <v>31</v>
      </c>
      <c r="L325" s="125" t="str">
        <f t="array" ref="L325">IFNA(xlookup(H325,'🙎‍♂️ Pasien'!$G$5:$G371,'🙎‍♂️ Pasien'!$J$5:$J371),"")</f>
        <v>25-34 tahun</v>
      </c>
      <c r="M325" s="125" t="str">
        <f t="array" ref="M325">IFNA(xlookup(H325,'🙎‍♂️ Pasien'!$G$5:$G371,'🙎‍♂️ Pasien'!$S$5:$S371),"")</f>
        <v>SWASTA</v>
      </c>
      <c r="N325" s="125" t="str">
        <f t="array" ref="N325">IFNA(XLOOKUP($H325,'🙎‍♂️ Pasien'!$G$7:$G371,'🙎‍♂️ Pasien'!$T$7:$T371),"")</f>
        <v>SAKIT BAHU SUSAH DIANGKAT KE ATAS</v>
      </c>
      <c r="O325" s="16" t="s">
        <v>856</v>
      </c>
      <c r="P325" s="16" t="s">
        <v>857</v>
      </c>
      <c r="Q325" s="16" t="s">
        <v>29</v>
      </c>
      <c r="R325" s="16" t="s">
        <v>54</v>
      </c>
      <c r="S325" s="16" t="s">
        <v>509</v>
      </c>
      <c r="T325" s="16" t="s">
        <v>834</v>
      </c>
      <c r="U325" s="109" t="s">
        <v>1078</v>
      </c>
      <c r="V325" s="126"/>
      <c r="W325" s="109"/>
      <c r="X325" s="109" t="str">
        <f t="array" ref="X325">IF(H325="","",XLOOKUP(H325,CATATANPELAYANAN[[#ALL],[NAMA PASIEN]],CATATANPELAYANAN[[#ALL],[LAYANAN]],"TIDAK CLOSING",0,-1))</f>
        <v>PAKET/SESI</v>
      </c>
      <c r="Y325" s="109" t="str">
        <f t="shared" si="4"/>
        <v>TIDAK CLOSING</v>
      </c>
      <c r="Z325" s="127"/>
    </row>
    <row r="326" ht="22.5" customHeight="1">
      <c r="A326" s="122"/>
      <c r="B326" s="123">
        <v>46011.0</v>
      </c>
      <c r="C326" s="124" t="str">
        <f t="shared" si="38"/>
        <v>2025</v>
      </c>
      <c r="D326" s="124" t="str">
        <f t="shared" si="27"/>
        <v>12 Des</v>
      </c>
      <c r="E326" s="124" t="str">
        <f t="shared" si="28"/>
        <v>Sab</v>
      </c>
      <c r="F326" s="16" t="s">
        <v>53</v>
      </c>
      <c r="G326" s="109" t="str">
        <f t="array" ref="G326">IFNA(XLOOKUP(S326,'⚙️ Pengaturan'!$H$5:$H371,'⚙️ Pengaturan'!$I$5:$I371),"")</f>
        <v>TIM Y</v>
      </c>
      <c r="H326" s="109" t="s">
        <v>752</v>
      </c>
      <c r="I326" s="125" t="str">
        <f t="array" ref="I326">ifna(xlookup($H326,'🙎‍♂️ Pasien'!$G$7:$G371,'🙎‍♂️ Pasien'!$H$7:$H371),"")</f>
        <v>J9824114915</v>
      </c>
      <c r="J326" s="125" t="str">
        <f t="array" ref="J326">ifna(xlookup($H326,'🙎‍♂️ Pasien'!$G$7:$G371,'🙎‍♂️ Pasien'!$L$7:$L371),"")</f>
        <v>LAKI-LAKI</v>
      </c>
      <c r="K326" s="125">
        <f t="array" ref="K326">ifna(xlookup($H326,'🙎‍♂️ Pasien'!$G$7:$G371,'🙎‍♂️ Pasien'!$I$7:$I371),"")</f>
        <v>27</v>
      </c>
      <c r="L326" s="125" t="str">
        <f t="array" ref="L326">IFNA(xlookup(H326,'🙎‍♂️ Pasien'!$G$5:$G371,'🙎‍♂️ Pasien'!$J$5:$J371),"")</f>
        <v>25-34 tahun</v>
      </c>
      <c r="M326" s="125" t="str">
        <f t="array" ref="M326">IFNA(xlookup(H326,'🙎‍♂️ Pasien'!$G$5:$G371,'🙎‍♂️ Pasien'!$S$5:$S371),"")</f>
        <v>SALES LUAR KOTA</v>
      </c>
      <c r="N326" s="125" t="str">
        <f t="array" ref="N326">IFNA(XLOOKUP($H326,'🙎‍♂️ Pasien'!$G$7:$G371,'🙎‍♂️ Pasien'!$T$7:$T371),"")</f>
        <v>LUTUT KAKI</v>
      </c>
      <c r="O326" s="16" t="s">
        <v>842</v>
      </c>
      <c r="P326" s="16" t="s">
        <v>836</v>
      </c>
      <c r="Q326" s="16" t="s">
        <v>29</v>
      </c>
      <c r="R326" s="16" t="s">
        <v>54</v>
      </c>
      <c r="S326" s="16" t="s">
        <v>509</v>
      </c>
      <c r="T326" s="16" t="s">
        <v>830</v>
      </c>
      <c r="U326" s="109"/>
      <c r="V326" s="126"/>
      <c r="W326" s="109"/>
      <c r="X326" s="109" t="str">
        <f t="array" ref="X326">IF(H326="","",XLOOKUP(H326,CATATANPELAYANAN[[#ALL],[NAMA PASIEN]],CATATANPELAYANAN[[#ALL],[LAYANAN]],"TIDAK CLOSING",0,-1))</f>
        <v>PAKET TERAPI</v>
      </c>
      <c r="Y326" s="109" t="str">
        <f t="shared" si="4"/>
        <v>PAKET</v>
      </c>
      <c r="Z326" s="127"/>
    </row>
    <row r="327" ht="22.5" customHeight="1">
      <c r="A327" s="122"/>
      <c r="B327" s="123">
        <v>46011.0</v>
      </c>
      <c r="C327" s="124" t="str">
        <f t="shared" si="38"/>
        <v>2025</v>
      </c>
      <c r="D327" s="124" t="str">
        <f t="shared" si="27"/>
        <v>12 Des</v>
      </c>
      <c r="E327" s="124" t="str">
        <f t="shared" si="28"/>
        <v>Sab</v>
      </c>
      <c r="F327" s="16" t="s">
        <v>53</v>
      </c>
      <c r="G327" s="109" t="str">
        <f t="array" ref="G327">IFNA(XLOOKUP(S327,'⚙️ Pengaturan'!$H$5:$H371,'⚙️ Pengaturan'!$I$5:$I371),"")</f>
        <v>TIM Y</v>
      </c>
      <c r="H327" s="109" t="s">
        <v>1088</v>
      </c>
      <c r="I327" s="125" t="str">
        <f t="array" ref="I327">ifna(xlookup($H327,'🙎‍♂️ Pasien'!$G$7:$G371,'🙎‍♂️ Pasien'!$H$7:$H371),"")</f>
        <v>M4125129007</v>
      </c>
      <c r="J327" s="125" t="str">
        <f t="array" ref="J327">ifna(xlookup($H327,'🙎‍♂️ Pasien'!$G$7:$G371,'🙎‍♂️ Pasien'!$L$7:$L371),"")</f>
        <v>LAKI-LAKI</v>
      </c>
      <c r="K327" s="125">
        <f t="array" ref="K327">ifna(xlookup($H327,'🙎‍♂️ Pasien'!$G$7:$G371,'🙎‍♂️ Pasien'!$I$7:$I371),"")</f>
        <v>84</v>
      </c>
      <c r="L327" s="125" t="str">
        <f t="array" ref="L327">IFNA(xlookup(H327,'🙎‍♂️ Pasien'!$G$5:$G371,'🙎‍♂️ Pasien'!$J$5:$J371),"")</f>
        <v>&gt; 44 tahun</v>
      </c>
      <c r="M327" s="125" t="str">
        <f t="array" ref="M327">IFNA(xlookup(H327,'🙎‍♂️ Pasien'!$G$5:$G371,'🙎‍♂️ Pasien'!$S$5:$S371),"")</f>
        <v>SWASTA</v>
      </c>
      <c r="N327" s="125" t="str">
        <f t="array" ref="N327">IFNA(XLOOKUP($H327,'🙎‍♂️ Pasien'!$G$7:$G371,'🙎‍♂️ Pasien'!$T$7:$T371),"")</f>
        <v>DARI PINGGANG BELAKANG HINGGA PERUT XEPAN SAKIT</v>
      </c>
      <c r="O327" s="16" t="s">
        <v>828</v>
      </c>
      <c r="P327" s="16" t="s">
        <v>826</v>
      </c>
      <c r="Q327" s="16" t="s">
        <v>29</v>
      </c>
      <c r="R327" s="16" t="s">
        <v>54</v>
      </c>
      <c r="S327" s="16" t="s">
        <v>91</v>
      </c>
      <c r="T327" s="16" t="s">
        <v>834</v>
      </c>
      <c r="U327" s="109" t="s">
        <v>1089</v>
      </c>
      <c r="V327" s="126"/>
      <c r="W327" s="109"/>
      <c r="X327" s="109" t="str">
        <f t="array" ref="X327">IF(H327="","",XLOOKUP(H327,CATATANPELAYANAN[[#ALL],[NAMA PASIEN]],CATATANPELAYANAN[[#ALL],[LAYANAN]],"TIDAK CLOSING",0,-1))</f>
        <v>TIDAK CLOSING</v>
      </c>
      <c r="Y327" s="109" t="str">
        <f t="shared" si="4"/>
        <v>TIDAK CLOSING</v>
      </c>
      <c r="Z327" s="127"/>
    </row>
    <row r="328" ht="22.5" customHeight="1">
      <c r="A328" s="122"/>
      <c r="B328" s="123">
        <v>46011.0</v>
      </c>
      <c r="C328" s="124" t="str">
        <f t="shared" si="38"/>
        <v>2025</v>
      </c>
      <c r="D328" s="124" t="str">
        <f t="shared" si="27"/>
        <v>12 Des</v>
      </c>
      <c r="E328" s="124" t="str">
        <f t="shared" si="28"/>
        <v>Sab</v>
      </c>
      <c r="F328" s="16" t="s">
        <v>53</v>
      </c>
      <c r="G328" s="109" t="str">
        <f t="array" ref="G328">IFNA(XLOOKUP(S328,'⚙️ Pengaturan'!$H$5:$H371,'⚙️ Pengaturan'!$I$5:$I371),"")</f>
        <v>TIM Y</v>
      </c>
      <c r="H328" s="109" t="s">
        <v>750</v>
      </c>
      <c r="I328" s="125" t="str">
        <f t="array" ref="I328">ifna(xlookup($H328,'🙎‍♂️ Pasien'!$G$7:$G371,'🙎‍♂️ Pasien'!$H$7:$H371),"")</f>
        <v>A1325122428</v>
      </c>
      <c r="J328" s="125" t="str">
        <f t="array" ref="J328">ifna(xlookup($H328,'🙎‍♂️ Pasien'!$G$7:$G371,'🙎‍♂️ Pasien'!$L$7:$L371),"")</f>
        <v>PEREMPUAN</v>
      </c>
      <c r="K328" s="125">
        <f t="array" ref="K328">ifna(xlookup($H328,'🙎‍♂️ Pasien'!$G$7:$G371,'🙎‍♂️ Pasien'!$I$7:$I371),"")</f>
        <v>12</v>
      </c>
      <c r="L328" s="125" t="str">
        <f t="array" ref="L328">IFNA(xlookup(H328,'🙎‍♂️ Pasien'!$G$5:$G371,'🙎‍♂️ Pasien'!$J$5:$J371),"")</f>
        <v>&lt; 18 tahun</v>
      </c>
      <c r="M328" s="125" t="str">
        <f t="array" ref="M328">IFNA(xlookup(H328,'🙎‍♂️ Pasien'!$G$5:$G371,'🙎‍♂️ Pasien'!$S$5:$S371),"")</f>
        <v>PELAJAR</v>
      </c>
      <c r="N328" s="125" t="str">
        <f t="array" ref="N328">IFNA(XLOOKUP($H328,'🙎‍♂️ Pasien'!$G$7:$G371,'🙎‍♂️ Pasien'!$T$7:$T371),"")</f>
        <v>PINGGANG</v>
      </c>
      <c r="O328" s="16" t="s">
        <v>828</v>
      </c>
      <c r="P328" s="16" t="s">
        <v>826</v>
      </c>
      <c r="Q328" s="16" t="s">
        <v>29</v>
      </c>
      <c r="R328" s="16" t="s">
        <v>54</v>
      </c>
      <c r="S328" s="16" t="s">
        <v>107</v>
      </c>
      <c r="T328" s="16" t="s">
        <v>834</v>
      </c>
      <c r="U328" s="109" t="s">
        <v>1090</v>
      </c>
      <c r="V328" s="126"/>
      <c r="W328" s="109"/>
      <c r="X328" s="109" t="str">
        <f t="array" ref="X328">IF(H328="","",XLOOKUP(H328,CATATANPELAYANAN[[#ALL],[NAMA PASIEN]],CATATANPELAYANAN[[#ALL],[LAYANAN]],"TIDAK CLOSING",0,-1))</f>
        <v>TERAPI AWAL</v>
      </c>
      <c r="Y328" s="109" t="str">
        <f t="shared" si="4"/>
        <v>TIDAK CLOSING</v>
      </c>
      <c r="Z328" s="127"/>
    </row>
    <row r="329" ht="22.5" customHeight="1">
      <c r="A329" s="122"/>
      <c r="B329" s="123">
        <v>46011.0</v>
      </c>
      <c r="C329" s="124" t="str">
        <f t="shared" si="38"/>
        <v>2025</v>
      </c>
      <c r="D329" s="124" t="str">
        <f t="shared" si="27"/>
        <v>12 Des</v>
      </c>
      <c r="E329" s="124" t="str">
        <f t="shared" si="28"/>
        <v>Sab</v>
      </c>
      <c r="F329" s="16" t="s">
        <v>53</v>
      </c>
      <c r="G329" s="109" t="str">
        <f t="array" ref="G329">IFNA(XLOOKUP(S329,'⚙️ Pengaturan'!$H$5:$H371,'⚙️ Pengaturan'!$I$5:$I371),"")</f>
        <v>TIM Y</v>
      </c>
      <c r="H329" s="109" t="s">
        <v>751</v>
      </c>
      <c r="I329" s="125" t="str">
        <f t="array" ref="I329">ifna(xlookup($H329,'🙎‍♂️ Pasien'!$G$7:$G371,'🙎‍♂️ Pasien'!$H$7:$H371),"")</f>
        <v>S5125127001</v>
      </c>
      <c r="J329" s="125" t="str">
        <f t="array" ref="J329">ifna(xlookup($H329,'🙎‍♂️ Pasien'!$G$7:$G371,'🙎‍♂️ Pasien'!$L$7:$L371),"")</f>
        <v>LAKI-LAKI</v>
      </c>
      <c r="K329" s="125">
        <f t="array" ref="K329">ifna(xlookup($H329,'🙎‍♂️ Pasien'!$G$7:$G371,'🙎‍♂️ Pasien'!$I$7:$I371),"")</f>
        <v>75</v>
      </c>
      <c r="L329" s="125" t="str">
        <f t="array" ref="L329">IFNA(xlookup(H329,'🙎‍♂️ Pasien'!$G$5:$G371,'🙎‍♂️ Pasien'!$J$5:$J371),"")</f>
        <v>&gt; 44 tahun</v>
      </c>
      <c r="M329" s="125" t="str">
        <f t="array" ref="M329">IFNA(xlookup(H329,'🙎‍♂️ Pasien'!$G$5:$G371,'🙎‍♂️ Pasien'!$S$5:$S371),"")</f>
        <v>PERDAGANGAN</v>
      </c>
      <c r="N329" s="125" t="str">
        <f t="array" ref="N329">IFNA(XLOOKUP($H329,'🙎‍♂️ Pasien'!$G$7:$G371,'🙎‍♂️ Pasien'!$T$7:$T371),"")</f>
        <v>TELAPAK KAKI</v>
      </c>
      <c r="O329" s="16" t="s">
        <v>945</v>
      </c>
      <c r="P329" s="16" t="s">
        <v>826</v>
      </c>
      <c r="Q329" s="16" t="s">
        <v>29</v>
      </c>
      <c r="R329" s="16" t="s">
        <v>54</v>
      </c>
      <c r="S329" s="16" t="s">
        <v>509</v>
      </c>
      <c r="T329" s="16" t="s">
        <v>834</v>
      </c>
      <c r="U329" s="109" t="s">
        <v>977</v>
      </c>
      <c r="V329" s="126"/>
      <c r="W329" s="109"/>
      <c r="X329" s="109" t="str">
        <f t="array" ref="X329">IF(H329="","",XLOOKUP(H329,CATATANPELAYANAN[[#ALL],[NAMA PASIEN]],CATATANPELAYANAN[[#ALL],[LAYANAN]],"TIDAK CLOSING",0,-1))</f>
        <v>TERAPI AWAL</v>
      </c>
      <c r="Y329" s="109" t="str">
        <f t="shared" si="4"/>
        <v>TIDAK CLOSING</v>
      </c>
      <c r="Z329" s="127"/>
    </row>
    <row r="330" ht="22.5" customHeight="1">
      <c r="A330" s="122"/>
      <c r="B330" s="123">
        <v>46011.0</v>
      </c>
      <c r="C330" s="124" t="str">
        <f t="shared" si="38"/>
        <v>2025</v>
      </c>
      <c r="D330" s="124" t="str">
        <f t="shared" si="27"/>
        <v>12 Des</v>
      </c>
      <c r="E330" s="124" t="str">
        <f t="shared" si="28"/>
        <v>Sab</v>
      </c>
      <c r="F330" s="16" t="s">
        <v>85</v>
      </c>
      <c r="G330" s="109" t="str">
        <f t="array" ref="G330">IFNA(XLOOKUP(S330,'⚙️ Pengaturan'!$H$5:$H371,'⚙️ Pengaturan'!$I$5:$I371),"")</f>
        <v>TIM A</v>
      </c>
      <c r="H330" s="109" t="s">
        <v>753</v>
      </c>
      <c r="I330" s="125" t="str">
        <f t="array" ref="I330">ifna(xlookup($H330,'🙎‍♂️ Pasien'!$G$7:$G371,'🙎‍♂️ Pasien'!$H$7:$H371),"")</f>
        <v>S0025121122</v>
      </c>
      <c r="J330" s="125" t="str">
        <f t="array" ref="J330">ifna(xlookup($H330,'🙎‍♂️ Pasien'!$G$7:$G371,'🙎‍♂️ Pasien'!$L$7:$L371),"")</f>
        <v>LAKI-LAKI</v>
      </c>
      <c r="K330" s="125">
        <f t="array" ref="K330">ifna(xlookup($H330,'🙎‍♂️ Pasien'!$G$7:$G371,'🙎‍♂️ Pasien'!$I$7:$I371),"")</f>
        <v>25</v>
      </c>
      <c r="L330" s="125" t="str">
        <f t="array" ref="L330">IFNA(xlookup(H330,'🙎‍♂️ Pasien'!$G$5:$G371,'🙎‍♂️ Pasien'!$J$5:$J371),"")</f>
        <v>25-34 tahun</v>
      </c>
      <c r="M330" s="125" t="str">
        <f t="array" ref="M330">IFNA(xlookup(H330,'🙎‍♂️ Pasien'!$G$5:$G371,'🙎‍♂️ Pasien'!$S$5:$S371),"")</f>
        <v>PEMBISNIS</v>
      </c>
      <c r="N330" s="125" t="str">
        <f t="array" ref="N330">IFNA(XLOOKUP($H330,'🙎‍♂️ Pasien'!$G$7:$G371,'🙎‍♂️ Pasien'!$T$7:$T371),"")</f>
        <v>ENGSEL MATA KAKI BENGKAK</v>
      </c>
      <c r="O330" s="16" t="s">
        <v>832</v>
      </c>
      <c r="P330" s="16" t="s">
        <v>833</v>
      </c>
      <c r="Q330" s="16" t="s">
        <v>29</v>
      </c>
      <c r="R330" s="16" t="s">
        <v>86</v>
      </c>
      <c r="S330" s="16" t="s">
        <v>72</v>
      </c>
      <c r="T330" s="16" t="s">
        <v>827</v>
      </c>
      <c r="U330" s="109"/>
      <c r="V330" s="126"/>
      <c r="W330" s="109"/>
      <c r="X330" s="109" t="str">
        <f t="array" ref="X330">IF(H330="","",XLOOKUP(H330,CATATANPELAYANAN[[#ALL],[NAMA PASIEN]],CATATANPELAYANAN[[#ALL],[LAYANAN]],"TIDAK CLOSING",0,-1))</f>
        <v>SESI TERAPI</v>
      </c>
      <c r="Y330" s="109" t="str">
        <f t="shared" si="4"/>
        <v>SESI</v>
      </c>
      <c r="Z330" s="127"/>
    </row>
    <row r="331" ht="22.5" customHeight="1">
      <c r="A331" s="122"/>
      <c r="B331" s="123">
        <v>46011.0</v>
      </c>
      <c r="C331" s="124" t="str">
        <f t="shared" si="38"/>
        <v>2025</v>
      </c>
      <c r="D331" s="124" t="str">
        <f t="shared" si="27"/>
        <v>12 Des</v>
      </c>
      <c r="E331" s="124" t="str">
        <f t="shared" si="28"/>
        <v>Sab</v>
      </c>
      <c r="F331" s="16" t="s">
        <v>85</v>
      </c>
      <c r="G331" s="109" t="str">
        <f t="array" ref="G331">IFNA(XLOOKUP(S331,'⚙️ Pengaturan'!$H$5:$H371,'⚙️ Pengaturan'!$I$5:$I371),"")</f>
        <v>TIM A</v>
      </c>
      <c r="H331" s="109" t="s">
        <v>754</v>
      </c>
      <c r="I331" s="125" t="str">
        <f t="array" ref="I331">ifna(xlookup($H331,'🙎‍♂️ Pasien'!$G$7:$G371,'🙎‍♂️ Pasien'!$H$7:$H371),"")</f>
        <v>L5825122264</v>
      </c>
      <c r="J331" s="125" t="str">
        <f t="array" ref="J331">ifna(xlookup($H331,'🙎‍♂️ Pasien'!$G$7:$G371,'🙎‍♂️ Pasien'!$L$7:$L371),"")</f>
        <v>PEREMPUAN</v>
      </c>
      <c r="K331" s="125">
        <f t="array" ref="K331">ifna(xlookup($H331,'🙎‍♂️ Pasien'!$G$7:$G371,'🙎‍♂️ Pasien'!$I$7:$I371),"")</f>
        <v>67</v>
      </c>
      <c r="L331" s="125" t="str">
        <f t="array" ref="L331">IFNA(xlookup(H331,'🙎‍♂️ Pasien'!$G$5:$G371,'🙎‍♂️ Pasien'!$J$5:$J371),"")</f>
        <v>&gt; 44 tahun</v>
      </c>
      <c r="M331" s="125" t="str">
        <f t="array" ref="M331">IFNA(xlookup(H331,'🙎‍♂️ Pasien'!$G$5:$G371,'🙎‍♂️ Pasien'!$S$5:$S371),"")</f>
        <v>IBU RUMAH TANGGA</v>
      </c>
      <c r="N331" s="125" t="str">
        <f t="array" ref="N331">IFNA(XLOOKUP($H331,'🙎‍♂️ Pasien'!$G$7:$G371,'🙎‍♂️ Pasien'!$T$7:$T371),"")</f>
        <v>LUTUT SAKIT MENJALAR KE KAKI.</v>
      </c>
      <c r="O331" s="16" t="s">
        <v>902</v>
      </c>
      <c r="P331" s="16" t="s">
        <v>836</v>
      </c>
      <c r="Q331" s="16" t="s">
        <v>29</v>
      </c>
      <c r="R331" s="16" t="s">
        <v>86</v>
      </c>
      <c r="S331" s="16" t="s">
        <v>72</v>
      </c>
      <c r="T331" s="16" t="s">
        <v>830</v>
      </c>
      <c r="U331" s="109"/>
      <c r="V331" s="126"/>
      <c r="W331" s="109"/>
      <c r="X331" s="109" t="str">
        <f t="array" ref="X331">IF(H331="","",XLOOKUP(H331,CATATANPELAYANAN[[#ALL],[NAMA PASIEN]],CATATANPELAYANAN[[#ALL],[LAYANAN]],"TIDAK CLOSING",0,-1))</f>
        <v>PAKET TERAPI</v>
      </c>
      <c r="Y331" s="109" t="str">
        <f t="shared" si="4"/>
        <v>PAKET</v>
      </c>
      <c r="Z331" s="127"/>
    </row>
    <row r="332" ht="22.5" customHeight="1">
      <c r="A332" s="122"/>
      <c r="B332" s="123">
        <v>46011.0</v>
      </c>
      <c r="C332" s="124" t="str">
        <f t="shared" si="38"/>
        <v>2025</v>
      </c>
      <c r="D332" s="124" t="str">
        <f t="shared" si="27"/>
        <v>12 Des</v>
      </c>
      <c r="E332" s="124" t="str">
        <f t="shared" si="28"/>
        <v>Sab</v>
      </c>
      <c r="F332" s="16" t="s">
        <v>85</v>
      </c>
      <c r="G332" s="109" t="str">
        <f t="array" ref="G332">IFNA(XLOOKUP(S332,'⚙️ Pengaturan'!$H$5:$H371,'⚙️ Pengaturan'!$I$5:$I371),"")</f>
        <v>TIM A</v>
      </c>
      <c r="H332" s="109" t="s">
        <v>756</v>
      </c>
      <c r="I332" s="125" t="str">
        <f t="array" ref="I332">ifna(xlookup($H332,'🙎‍♂️ Pasien'!$G$7:$G371,'🙎‍♂️ Pasien'!$H$7:$H371),"")</f>
        <v>K7425121740</v>
      </c>
      <c r="J332" s="125" t="str">
        <f t="array" ref="J332">ifna(xlookup($H332,'🙎‍♂️ Pasien'!$G$7:$G371,'🙎‍♂️ Pasien'!$L$7:$L371),"")</f>
        <v>PEREMPUAN</v>
      </c>
      <c r="K332" s="125">
        <f t="array" ref="K332">ifna(xlookup($H332,'🙎‍♂️ Pasien'!$G$7:$G371,'🙎‍♂️ Pasien'!$I$7:$I371),"")</f>
        <v>52</v>
      </c>
      <c r="L332" s="125" t="str">
        <f t="array" ref="L332">IFNA(xlookup(H332,'🙎‍♂️ Pasien'!$G$5:$G371,'🙎‍♂️ Pasien'!$J$5:$J371),"")</f>
        <v>&gt; 44 tahun</v>
      </c>
      <c r="M332" s="125" t="str">
        <f t="array" ref="M332">IFNA(xlookup(H332,'🙎‍♂️ Pasien'!$G$5:$G371,'🙎‍♂️ Pasien'!$S$5:$S371),"")</f>
        <v>IRT</v>
      </c>
      <c r="N332" s="125" t="str">
        <f t="array" ref="N332">IFNA(XLOOKUP($H332,'🙎‍♂️ Pasien'!$G$7:$G371,'🙎‍♂️ Pasien'!$T$7:$T371),"")</f>
        <v>BAHU</v>
      </c>
      <c r="O332" s="16" t="s">
        <v>928</v>
      </c>
      <c r="P332" s="16" t="s">
        <v>839</v>
      </c>
      <c r="Q332" s="16" t="s">
        <v>29</v>
      </c>
      <c r="R332" s="16" t="s">
        <v>86</v>
      </c>
      <c r="S332" s="16" t="s">
        <v>79</v>
      </c>
      <c r="T332" s="16" t="s">
        <v>827</v>
      </c>
      <c r="U332" s="109"/>
      <c r="V332" s="126"/>
      <c r="W332" s="109"/>
      <c r="X332" s="109" t="str">
        <f t="array" ref="X332">IF(H332="","",XLOOKUP(H332,CATATANPELAYANAN[[#ALL],[NAMA PASIEN]],CATATANPELAYANAN[[#ALL],[LAYANAN]],"TIDAK CLOSING",0,-1))</f>
        <v>SESI TERAPI</v>
      </c>
      <c r="Y332" s="109" t="str">
        <f t="shared" si="4"/>
        <v>SESI</v>
      </c>
      <c r="Z332" s="127"/>
    </row>
    <row r="333" ht="22.5" customHeight="1">
      <c r="A333" s="122"/>
      <c r="B333" s="123">
        <v>46011.0</v>
      </c>
      <c r="C333" s="124" t="str">
        <f t="shared" si="38"/>
        <v>2025</v>
      </c>
      <c r="D333" s="124" t="str">
        <f t="shared" si="27"/>
        <v>12 Des</v>
      </c>
      <c r="E333" s="124" t="str">
        <f t="shared" si="28"/>
        <v>Sab</v>
      </c>
      <c r="F333" s="16" t="s">
        <v>85</v>
      </c>
      <c r="G333" s="109" t="str">
        <f t="array" ref="G333">IFNA(XLOOKUP(S333,'⚙️ Pengaturan'!$H$5:$H371,'⚙️ Pengaturan'!$I$5:$I371),"")</f>
        <v>TIM A</v>
      </c>
      <c r="H333" s="109" t="s">
        <v>757</v>
      </c>
      <c r="I333" s="125" t="str">
        <f t="array" ref="I333">ifna(xlookup($H333,'🙎‍♂️ Pasien'!$G$7:$G371,'🙎‍♂️ Pasien'!$H$7:$H371),"")</f>
        <v>C9225128367</v>
      </c>
      <c r="J333" s="125" t="str">
        <f t="array" ref="J333">ifna(xlookup($H333,'🙎‍♂️ Pasien'!$G$7:$G371,'🙎‍♂️ Pasien'!$L$7:$L371),"")</f>
        <v>PEREMPUAN</v>
      </c>
      <c r="K333" s="125">
        <f t="array" ref="K333">ifna(xlookup($H333,'🙎‍♂️ Pasien'!$G$7:$G371,'🙎‍♂️ Pasien'!$I$7:$I371),"")</f>
        <v>34</v>
      </c>
      <c r="L333" s="125" t="str">
        <f t="array" ref="L333">IFNA(xlookup(H333,'🙎‍♂️ Pasien'!$G$5:$G371,'🙎‍♂️ Pasien'!$J$5:$J371),"")</f>
        <v>25-34 tahun</v>
      </c>
      <c r="M333" s="125" t="str">
        <f t="array" ref="M333">IFNA(xlookup(H333,'🙎‍♂️ Pasien'!$G$5:$G371,'🙎‍♂️ Pasien'!$S$5:$S371),"")</f>
        <v>SWASTA</v>
      </c>
      <c r="N333" s="125" t="str">
        <f t="array" ref="N333">IFNA(XLOOKUP($H333,'🙎‍♂️ Pasien'!$G$7:$G371,'🙎‍♂️ Pasien'!$T$7:$T371),"")</f>
        <v>BELLS PALSY</v>
      </c>
      <c r="O333" s="16" t="s">
        <v>987</v>
      </c>
      <c r="P333" s="16" t="s">
        <v>968</v>
      </c>
      <c r="Q333" s="16" t="s">
        <v>29</v>
      </c>
      <c r="R333" s="16" t="s">
        <v>86</v>
      </c>
      <c r="S333" s="16" t="s">
        <v>72</v>
      </c>
      <c r="T333" s="16" t="s">
        <v>827</v>
      </c>
      <c r="U333" s="109"/>
      <c r="V333" s="126"/>
      <c r="W333" s="109"/>
      <c r="X333" s="109" t="str">
        <f t="array" ref="X333">IF(H333="","",XLOOKUP(H333,CATATANPELAYANAN[[#ALL],[NAMA PASIEN]],CATATANPELAYANAN[[#ALL],[LAYANAN]],"TIDAK CLOSING",0,-1))</f>
        <v>SESI TERAPI</v>
      </c>
      <c r="Y333" s="109" t="str">
        <f t="shared" si="4"/>
        <v>SESI</v>
      </c>
      <c r="Z333" s="127"/>
    </row>
    <row r="334" ht="22.5" customHeight="1">
      <c r="A334" s="122"/>
      <c r="B334" s="123">
        <v>46011.0</v>
      </c>
      <c r="C334" s="124" t="str">
        <f t="shared" si="38"/>
        <v>2025</v>
      </c>
      <c r="D334" s="124" t="str">
        <f t="shared" si="27"/>
        <v>12 Des</v>
      </c>
      <c r="E334" s="124" t="str">
        <f t="shared" si="28"/>
        <v>Sab</v>
      </c>
      <c r="F334" s="16" t="s">
        <v>85</v>
      </c>
      <c r="G334" s="109" t="str">
        <f t="array" ref="G334">IFNA(XLOOKUP(S334,'⚙️ Pengaturan'!$H$5:$H371,'⚙️ Pengaturan'!$I$5:$I371),"")</f>
        <v>TIM A</v>
      </c>
      <c r="H334" s="109" t="s">
        <v>1091</v>
      </c>
      <c r="I334" s="125" t="str">
        <f t="array" ref="I334">ifna(xlookup($H334,'🙎‍♂️ Pasien'!$G$7:$G371,'🙎‍♂️ Pasien'!$H$7:$H371),"")</f>
        <v>S0125120326</v>
      </c>
      <c r="J334" s="125" t="str">
        <f t="array" ref="J334">ifna(xlookup($H334,'🙎‍♂️ Pasien'!$G$7:$G371,'🙎‍♂️ Pasien'!$L$7:$L371),"")</f>
        <v>PEREMPUAN</v>
      </c>
      <c r="K334" s="125">
        <f t="array" ref="K334">ifna(xlookup($H334,'🙎‍♂️ Pasien'!$G$7:$G371,'🙎‍♂️ Pasien'!$I$7:$I371),"")</f>
        <v>25</v>
      </c>
      <c r="L334" s="125" t="str">
        <f t="array" ref="L334">IFNA(xlookup(H334,'🙎‍♂️ Pasien'!$G$5:$G371,'🙎‍♂️ Pasien'!$J$5:$J371),"")</f>
        <v>25-34 tahun</v>
      </c>
      <c r="M334" s="125" t="str">
        <f t="array" ref="M334">IFNA(xlookup(H334,'🙎‍♂️ Pasien'!$G$5:$G371,'🙎‍♂️ Pasien'!$S$5:$S371),"")</f>
        <v>SWASTA</v>
      </c>
      <c r="N334" s="125" t="str">
        <f t="array" ref="N334">IFNA(XLOOKUP($H334,'🙎‍♂️ Pasien'!$G$7:$G371,'🙎‍♂️ Pasien'!$T$7:$T371),"")</f>
        <v>KESELEO, SUDAH 1 MINGGU LEBIH TAPI MASIH BENGKAK</v>
      </c>
      <c r="O334" s="16" t="s">
        <v>865</v>
      </c>
      <c r="P334" s="16" t="s">
        <v>862</v>
      </c>
      <c r="Q334" s="16" t="s">
        <v>29</v>
      </c>
      <c r="R334" s="16" t="s">
        <v>86</v>
      </c>
      <c r="S334" s="16" t="s">
        <v>62</v>
      </c>
      <c r="T334" s="16" t="s">
        <v>834</v>
      </c>
      <c r="U334" s="109" t="s">
        <v>1092</v>
      </c>
      <c r="V334" s="126"/>
      <c r="W334" s="109"/>
      <c r="X334" s="109" t="str">
        <f t="array" ref="X334">IF(H334="","",XLOOKUP(H334,CATATANPELAYANAN[[#ALL],[NAMA PASIEN]],CATATANPELAYANAN[[#ALL],[LAYANAN]],"TIDAK CLOSING",0,-1))</f>
        <v>TIDAK CLOSING</v>
      </c>
      <c r="Y334" s="109" t="str">
        <f t="shared" si="4"/>
        <v>TIDAK CLOSING</v>
      </c>
      <c r="Z334" s="127"/>
    </row>
    <row r="335" ht="22.5" customHeight="1">
      <c r="A335" s="122"/>
      <c r="B335" s="123">
        <v>46011.0</v>
      </c>
      <c r="C335" s="124" t="str">
        <f t="shared" si="38"/>
        <v>2025</v>
      </c>
      <c r="D335" s="124" t="str">
        <f t="shared" si="27"/>
        <v>12 Des</v>
      </c>
      <c r="E335" s="124" t="str">
        <f t="shared" si="28"/>
        <v>Sab</v>
      </c>
      <c r="F335" s="16" t="s">
        <v>53</v>
      </c>
      <c r="G335" s="109" t="str">
        <f t="array" ref="G335">IFNA(XLOOKUP(S335,'⚙️ Pengaturan'!$H$5:$H371,'⚙️ Pengaturan'!$I$5:$I371),"")</f>
        <v>TIM Y</v>
      </c>
      <c r="H335" s="109" t="s">
        <v>811</v>
      </c>
      <c r="I335" s="125" t="str">
        <f t="array" ref="I335">ifna(xlookup($H335,'🙎‍♂️ Pasien'!$G$7:$G371,'🙎‍♂️ Pasien'!$H$7:$H371),"")</f>
        <v>T4825127000</v>
      </c>
      <c r="J335" s="125" t="str">
        <f t="array" ref="J335">ifna(xlookup($H335,'🙎‍♂️ Pasien'!$G$7:$G371,'🙎‍♂️ Pasien'!$L$7:$L371),"")</f>
        <v>LAKI-LAKI</v>
      </c>
      <c r="K335" s="125">
        <f t="array" ref="K335">ifna(xlookup($H335,'🙎‍♂️ Pasien'!$G$7:$G371,'🙎‍♂️ Pasien'!$I$7:$I371),"")</f>
        <v>78</v>
      </c>
      <c r="L335" s="125" t="str">
        <f t="array" ref="L335">IFNA(xlookup(H335,'🙎‍♂️ Pasien'!$G$5:$G371,'🙎‍♂️ Pasien'!$J$5:$J371),"")</f>
        <v>&gt; 44 tahun</v>
      </c>
      <c r="M335" s="125" t="str">
        <f t="array" ref="M335">IFNA(xlookup(H335,'🙎‍♂️ Pasien'!$G$5:$G371,'🙎‍♂️ Pasien'!$S$5:$S371),"")</f>
        <v>PERDAGANGAN</v>
      </c>
      <c r="N335" s="125" t="str">
        <f t="array" ref="N335">IFNA(XLOOKUP($H335,'🙎‍♂️ Pasien'!$G$7:$G371,'🙎‍♂️ Pasien'!$T$7:$T371),"")</f>
        <v>KAKI</v>
      </c>
      <c r="O335" s="16" t="s">
        <v>902</v>
      </c>
      <c r="P335" s="16" t="s">
        <v>836</v>
      </c>
      <c r="Q335" s="16" t="s">
        <v>29</v>
      </c>
      <c r="R335" s="16" t="s">
        <v>86</v>
      </c>
      <c r="S335" s="16" t="s">
        <v>88</v>
      </c>
      <c r="T335" s="16" t="s">
        <v>830</v>
      </c>
      <c r="U335" s="109" t="s">
        <v>977</v>
      </c>
      <c r="V335" s="126"/>
      <c r="W335" s="109"/>
      <c r="X335" s="109" t="str">
        <f t="array" ref="X335">IF(H335="","",XLOOKUP(H335,CATATANPELAYANAN[[#ALL],[NAMA PASIEN]],CATATANPELAYANAN[[#ALL],[LAYANAN]],"TIDAK CLOSING",0,-1))</f>
        <v>PAKET TERAPI</v>
      </c>
      <c r="Y335" s="109" t="str">
        <f t="shared" si="4"/>
        <v>PAKET</v>
      </c>
      <c r="Z335" s="127"/>
    </row>
    <row r="336" ht="22.5" customHeight="1">
      <c r="A336" s="122"/>
      <c r="B336" s="123">
        <v>46012.0</v>
      </c>
      <c r="C336" s="124" t="str">
        <f t="shared" si="38"/>
        <v>2025</v>
      </c>
      <c r="D336" s="124" t="str">
        <f t="shared" si="27"/>
        <v>12 Des</v>
      </c>
      <c r="E336" s="124" t="str">
        <f t="shared" si="28"/>
        <v>Min</v>
      </c>
      <c r="F336" s="16" t="s">
        <v>53</v>
      </c>
      <c r="G336" s="109" t="str">
        <f t="array" ref="G336">IFNA(XLOOKUP(S336,'⚙️ Pengaturan'!$H$5:$H371,'⚙️ Pengaturan'!$I$5:$I371),"")</f>
        <v>TIM Y</v>
      </c>
      <c r="H336" s="109" t="s">
        <v>759</v>
      </c>
      <c r="I336" s="125" t="str">
        <f t="array" ref="I336">ifna(xlookup($H336,'🙎‍♂️ Pasien'!$G$7:$G371,'🙎‍♂️ Pasien'!$H$7:$H371),"")</f>
        <v>N8425122485</v>
      </c>
      <c r="J336" s="125" t="str">
        <f t="array" ref="J336">ifna(xlookup($H336,'🙎‍♂️ Pasien'!$G$7:$G371,'🙎‍♂️ Pasien'!$L$7:$L371),"")</f>
        <v>LAKI-LAKI</v>
      </c>
      <c r="K336" s="125">
        <f t="array" ref="K336">ifna(xlookup($H336,'🙎‍♂️ Pasien'!$G$7:$G371,'🙎‍♂️ Pasien'!$I$7:$I371),"")</f>
        <v>42</v>
      </c>
      <c r="L336" s="125" t="str">
        <f t="array" ref="L336">IFNA(xlookup(H336,'🙎‍♂️ Pasien'!$G$5:$G371,'🙎‍♂️ Pasien'!$J$5:$J371),"")</f>
        <v>35-44 tahun</v>
      </c>
      <c r="M336" s="125" t="str">
        <f t="array" ref="M336">IFNA(xlookup(H336,'🙎‍♂️ Pasien'!$G$5:$G371,'🙎‍♂️ Pasien'!$S$5:$S371),"")</f>
        <v>WIRASAWATA</v>
      </c>
      <c r="N336" s="125" t="str">
        <f t="array" ref="N336">IFNA(XLOOKUP($H336,'🙎‍♂️ Pasien'!$G$7:$G371,'🙎‍♂️ Pasien'!$T$7:$T371),"")</f>
        <v>TULANG BELAKANG</v>
      </c>
      <c r="O336" s="16" t="s">
        <v>926</v>
      </c>
      <c r="P336" s="16" t="s">
        <v>826</v>
      </c>
      <c r="Q336" s="16" t="s">
        <v>29</v>
      </c>
      <c r="R336" s="16" t="s">
        <v>54</v>
      </c>
      <c r="S336" s="16" t="s">
        <v>56</v>
      </c>
      <c r="T336" s="16" t="s">
        <v>834</v>
      </c>
      <c r="U336" s="109" t="s">
        <v>997</v>
      </c>
      <c r="V336" s="126"/>
      <c r="W336" s="109"/>
      <c r="X336" s="109" t="str">
        <f t="array" ref="X336">IF(H336="","",XLOOKUP(H336,CATATANPELAYANAN[[#ALL],[NAMA PASIEN]],CATATANPELAYANAN[[#ALL],[LAYANAN]],"TIDAK CLOSING",0,-1))</f>
        <v>TERAPI AWAL</v>
      </c>
      <c r="Y336" s="109" t="str">
        <f t="shared" si="4"/>
        <v>TIDAK CLOSING</v>
      </c>
      <c r="Z336" s="127"/>
    </row>
    <row r="337" ht="22.5" customHeight="1">
      <c r="A337" s="122"/>
      <c r="B337" s="123">
        <v>46012.0</v>
      </c>
      <c r="C337" s="124" t="str">
        <f t="shared" si="38"/>
        <v>2025</v>
      </c>
      <c r="D337" s="124" t="str">
        <f t="shared" si="27"/>
        <v>12 Des</v>
      </c>
      <c r="E337" s="124" t="str">
        <f t="shared" si="28"/>
        <v>Min</v>
      </c>
      <c r="F337" s="16" t="s">
        <v>53</v>
      </c>
      <c r="G337" s="109" t="str">
        <f t="array" ref="G337">IFNA(XLOOKUP(S337,'⚙️ Pengaturan'!$H$5:$H371,'⚙️ Pengaturan'!$I$5:$I371),"")</f>
        <v>TIM Y</v>
      </c>
      <c r="H337" s="109" t="s">
        <v>760</v>
      </c>
      <c r="I337" s="125" t="str">
        <f t="array" ref="I337">ifna(xlookup($H337,'🙎‍♂️ Pasien'!$G$7:$G371,'🙎‍♂️ Pasien'!$H$7:$H371),"")</f>
        <v>T5125126845</v>
      </c>
      <c r="J337" s="125" t="str">
        <f t="array" ref="J337">ifna(xlookup($H337,'🙎‍♂️ Pasien'!$G$7:$G371,'🙎‍♂️ Pasien'!$L$7:$L371),"")</f>
        <v>PEREMPUAN</v>
      </c>
      <c r="K337" s="125">
        <f t="array" ref="K337">ifna(xlookup($H337,'🙎‍♂️ Pasien'!$G$7:$G371,'🙎‍♂️ Pasien'!$I$7:$I371),"")</f>
        <v>74</v>
      </c>
      <c r="L337" s="125" t="str">
        <f t="array" ref="L337">IFNA(xlookup(H337,'🙎‍♂️ Pasien'!$G$5:$G371,'🙎‍♂️ Pasien'!$J$5:$J371),"")</f>
        <v>&gt; 44 tahun</v>
      </c>
      <c r="M337" s="125" t="str">
        <f t="array" ref="M337">IFNA(xlookup(H337,'🙎‍♂️ Pasien'!$G$5:$G371,'🙎‍♂️ Pasien'!$S$5:$S371),"")</f>
        <v>BURUH HARIAN LEPAS</v>
      </c>
      <c r="N337" s="125" t="str">
        <f t="array" ref="N337">IFNA(XLOOKUP($H337,'🙎‍♂️ Pasien'!$G$7:$G371,'🙎‍♂️ Pasien'!$T$7:$T371),"")</f>
        <v>NGILU KAKI</v>
      </c>
      <c r="O337" s="16" t="s">
        <v>902</v>
      </c>
      <c r="P337" s="16" t="s">
        <v>836</v>
      </c>
      <c r="Q337" s="16" t="s">
        <v>29</v>
      </c>
      <c r="R337" s="16" t="s">
        <v>54</v>
      </c>
      <c r="S337" s="16" t="s">
        <v>56</v>
      </c>
      <c r="T337" s="16" t="s">
        <v>834</v>
      </c>
      <c r="U337" s="109" t="s">
        <v>1093</v>
      </c>
      <c r="V337" s="126"/>
      <c r="W337" s="109"/>
      <c r="X337" s="109" t="str">
        <f t="array" ref="X337">IF(H337="","",XLOOKUP(H337,CATATANPELAYANAN[[#ALL],[NAMA PASIEN]],CATATANPELAYANAN[[#ALL],[LAYANAN]],"TIDAK CLOSING",0,-1))</f>
        <v>TERAPI AWAL</v>
      </c>
      <c r="Y337" s="109" t="str">
        <f t="shared" si="4"/>
        <v>TIDAK CLOSING</v>
      </c>
      <c r="Z337" s="127"/>
    </row>
    <row r="338" ht="22.5" customHeight="1">
      <c r="A338" s="122"/>
      <c r="B338" s="123">
        <v>46013.0</v>
      </c>
      <c r="C338" s="124" t="str">
        <f t="shared" si="38"/>
        <v>2025</v>
      </c>
      <c r="D338" s="124" t="str">
        <f t="shared" si="27"/>
        <v>12 Des</v>
      </c>
      <c r="E338" s="124" t="str">
        <f t="shared" si="28"/>
        <v>Sen</v>
      </c>
      <c r="F338" s="16" t="s">
        <v>53</v>
      </c>
      <c r="G338" s="109" t="str">
        <f t="array" ref="G338">IFNA(XLOOKUP(S338,'⚙️ Pengaturan'!$H$5:$H371,'⚙️ Pengaturan'!$I$5:$I371),"")</f>
        <v>TIM Y</v>
      </c>
      <c r="H338" s="109" t="s">
        <v>762</v>
      </c>
      <c r="I338" s="125" t="str">
        <f t="array" ref="I338">ifna(xlookup($H338,'🙎‍♂️ Pasien'!$G$7:$G371,'🙎‍♂️ Pasien'!$H$7:$H371),"")</f>
        <v>A0825125687</v>
      </c>
      <c r="J338" s="125" t="str">
        <f t="array" ref="J338">ifna(xlookup($H338,'🙎‍♂️ Pasien'!$G$7:$G371,'🙎‍♂️ Pasien'!$L$7:$L371),"")</f>
        <v>PEREMPUAN</v>
      </c>
      <c r="K338" s="125">
        <f t="array" ref="K338">ifna(xlookup($H338,'🙎‍♂️ Pasien'!$G$7:$G371,'🙎‍♂️ Pasien'!$I$7:$I371),"")</f>
        <v>17</v>
      </c>
      <c r="L338" s="125" t="str">
        <f t="array" ref="L338">IFNA(xlookup(H338,'🙎‍♂️ Pasien'!$G$5:$G371,'🙎‍♂️ Pasien'!$J$5:$J371),"")</f>
        <v>&lt; 18 tahun</v>
      </c>
      <c r="M338" s="125" t="str">
        <f t="array" ref="M338">IFNA(xlookup(H338,'🙎‍♂️ Pasien'!$G$5:$G371,'🙎‍♂️ Pasien'!$S$5:$S371),"")</f>
        <v>SISWA SMA</v>
      </c>
      <c r="N338" s="125" t="str">
        <f t="array" ref="N338">IFNA(XLOOKUP($H338,'🙎‍♂️ Pasien'!$G$7:$G371,'🙎‍♂️ Pasien'!$T$7:$T371),"")</f>
        <v>SKOLIOSIS</v>
      </c>
      <c r="O338" s="16" t="s">
        <v>847</v>
      </c>
      <c r="P338" s="16" t="s">
        <v>826</v>
      </c>
      <c r="Q338" s="16" t="s">
        <v>29</v>
      </c>
      <c r="R338" s="16" t="s">
        <v>54</v>
      </c>
      <c r="S338" s="16" t="s">
        <v>91</v>
      </c>
      <c r="T338" s="16" t="s">
        <v>830</v>
      </c>
      <c r="U338" s="109"/>
      <c r="V338" s="126"/>
      <c r="W338" s="109"/>
      <c r="X338" s="109" t="str">
        <f t="array" ref="X338">IF(H338="","",XLOOKUP(H338,CATATANPELAYANAN[[#ALL],[NAMA PASIEN]],CATATANPELAYANAN[[#ALL],[LAYANAN]],"TIDAK CLOSING",0,-1))</f>
        <v>PAKET TERAPI</v>
      </c>
      <c r="Y338" s="109" t="str">
        <f t="shared" si="4"/>
        <v>PAKET</v>
      </c>
      <c r="Z338" s="127"/>
    </row>
    <row r="339" ht="22.5" customHeight="1">
      <c r="A339" s="122"/>
      <c r="B339" s="123">
        <v>46013.0</v>
      </c>
      <c r="C339" s="124" t="str">
        <f t="shared" si="38"/>
        <v>2025</v>
      </c>
      <c r="D339" s="124" t="str">
        <f t="shared" si="27"/>
        <v>12 Des</v>
      </c>
      <c r="E339" s="124" t="str">
        <f t="shared" si="28"/>
        <v>Sen</v>
      </c>
      <c r="F339" s="16" t="s">
        <v>53</v>
      </c>
      <c r="G339" s="109" t="str">
        <f t="array" ref="G339">IFNA(XLOOKUP(S339,'⚙️ Pengaturan'!$H$5:$H371,'⚙️ Pengaturan'!$I$5:$I371),"")</f>
        <v>TIM Y</v>
      </c>
      <c r="H339" s="109" t="s">
        <v>763</v>
      </c>
      <c r="I339" s="125" t="str">
        <f t="array" ref="I339">ifna(xlookup($H339,'🙎‍♂️ Pasien'!$G$7:$G371,'🙎‍♂️ Pasien'!$H$7:$H371),"")</f>
        <v>V5325123931</v>
      </c>
      <c r="J339" s="125" t="str">
        <f t="array" ref="J339">ifna(xlookup($H339,'🙎‍♂️ Pasien'!$G$7:$G371,'🙎‍♂️ Pasien'!$L$7:$L371),"")</f>
        <v>LAKI-LAKI</v>
      </c>
      <c r="K339" s="125">
        <f t="array" ref="K339">ifna(xlookup($H339,'🙎‍♂️ Pasien'!$G$7:$G371,'🙎‍♂️ Pasien'!$I$7:$I371),"")</f>
        <v>72</v>
      </c>
      <c r="L339" s="125" t="str">
        <f t="array" ref="L339">IFNA(xlookup(H339,'🙎‍♂️ Pasien'!$G$5:$G371,'🙎‍♂️ Pasien'!$J$5:$J371),"")</f>
        <v>&gt; 44 tahun</v>
      </c>
      <c r="M339" s="125" t="str">
        <f t="array" ref="M339">IFNA(xlookup(H339,'🙎‍♂️ Pasien'!$G$5:$G371,'🙎‍♂️ Pasien'!$S$5:$S371),"")</f>
        <v>KARYAWAN SWASTA</v>
      </c>
      <c r="N339" s="125" t="str">
        <f t="array" ref="N339">IFNA(XLOOKUP($H339,'🙎‍♂️ Pasien'!$G$7:$G371,'🙎‍♂️ Pasien'!$T$7:$T371),"")</f>
        <v>PINGGANG</v>
      </c>
      <c r="O339" s="16" t="s">
        <v>825</v>
      </c>
      <c r="P339" s="16" t="s">
        <v>836</v>
      </c>
      <c r="Q339" s="16" t="s">
        <v>29</v>
      </c>
      <c r="R339" s="16" t="s">
        <v>54</v>
      </c>
      <c r="S339" s="16" t="s">
        <v>88</v>
      </c>
      <c r="T339" s="16" t="s">
        <v>834</v>
      </c>
      <c r="U339" s="109" t="s">
        <v>1094</v>
      </c>
      <c r="V339" s="126"/>
      <c r="W339" s="109"/>
      <c r="X339" s="109" t="str">
        <f t="array" ref="X339">IF(H339="","",XLOOKUP(H339,CATATANPELAYANAN[[#ALL],[NAMA PASIEN]],CATATANPELAYANAN[[#ALL],[LAYANAN]],"TIDAK CLOSING",0,-1))</f>
        <v>TERAPI AWAL</v>
      </c>
      <c r="Y339" s="109" t="str">
        <f t="shared" si="4"/>
        <v>TIDAK CLOSING</v>
      </c>
      <c r="Z339" s="127"/>
    </row>
    <row r="340" ht="22.5" customHeight="1">
      <c r="A340" s="122"/>
      <c r="B340" s="123">
        <v>46013.0</v>
      </c>
      <c r="C340" s="124" t="str">
        <f t="shared" si="38"/>
        <v>2025</v>
      </c>
      <c r="D340" s="124" t="str">
        <f t="shared" si="27"/>
        <v>12 Des</v>
      </c>
      <c r="E340" s="124" t="str">
        <f t="shared" si="28"/>
        <v>Sen</v>
      </c>
      <c r="F340" s="16" t="s">
        <v>53</v>
      </c>
      <c r="G340" s="109" t="str">
        <f t="array" ref="G340">IFNA(XLOOKUP(S340,'⚙️ Pengaturan'!$H$5:$H371,'⚙️ Pengaturan'!$I$5:$I371),"")</f>
        <v>TIM Y</v>
      </c>
      <c r="H340" s="109" t="s">
        <v>764</v>
      </c>
      <c r="I340" s="125" t="str">
        <f t="array" ref="I340">ifna(xlookup($H340,'🙎‍♂️ Pasien'!$G$7:$G371,'🙎‍♂️ Pasien'!$H$7:$H371),"")</f>
        <v>B5325129871</v>
      </c>
      <c r="J340" s="125" t="str">
        <f t="array" ref="J340">ifna(xlookup($H340,'🙎‍♂️ Pasien'!$G$7:$G371,'🙎‍♂️ Pasien'!$L$7:$L371),"")</f>
        <v>LAKI-LAKI</v>
      </c>
      <c r="K340" s="125">
        <f t="array" ref="K340">ifna(xlookup($H340,'🙎‍♂️ Pasien'!$G$7:$G371,'🙎‍♂️ Pasien'!$I$7:$I371),"")</f>
        <v>73</v>
      </c>
      <c r="L340" s="125" t="str">
        <f t="array" ref="L340">IFNA(xlookup(H340,'🙎‍♂️ Pasien'!$G$5:$G371,'🙎‍♂️ Pasien'!$J$5:$J371),"")</f>
        <v>&gt; 44 tahun</v>
      </c>
      <c r="M340" s="125" t="str">
        <f t="array" ref="M340">IFNA(xlookup(H340,'🙎‍♂️ Pasien'!$G$5:$G371,'🙎‍♂️ Pasien'!$S$5:$S371),"")</f>
        <v>POLRI</v>
      </c>
      <c r="N340" s="125" t="str">
        <f t="array" ref="N340">IFNA(XLOOKUP($H340,'🙎‍♂️ Pasien'!$G$7:$G371,'🙎‍♂️ Pasien'!$T$7:$T371),"")</f>
        <v>LENGAN</v>
      </c>
      <c r="O340" s="16" t="s">
        <v>1095</v>
      </c>
      <c r="P340" s="16" t="s">
        <v>1096</v>
      </c>
      <c r="Q340" s="16" t="s">
        <v>29</v>
      </c>
      <c r="R340" s="16" t="s">
        <v>54</v>
      </c>
      <c r="S340" s="16" t="s">
        <v>509</v>
      </c>
      <c r="T340" s="16" t="s">
        <v>830</v>
      </c>
      <c r="U340" s="109"/>
      <c r="V340" s="126"/>
      <c r="W340" s="109"/>
      <c r="X340" s="109" t="str">
        <f t="array" ref="X340">IF(H340="","",XLOOKUP(H340,CATATANPELAYANAN[[#ALL],[NAMA PASIEN]],CATATANPELAYANAN[[#ALL],[LAYANAN]],"TIDAK CLOSING",0,-1))</f>
        <v>PAKET TERAPI</v>
      </c>
      <c r="Y340" s="109" t="str">
        <f t="shared" si="4"/>
        <v>PAKET</v>
      </c>
      <c r="Z340" s="127"/>
    </row>
    <row r="341" ht="22.5" customHeight="1">
      <c r="A341" s="122"/>
      <c r="B341" s="123">
        <v>46013.0</v>
      </c>
      <c r="C341" s="124" t="str">
        <f t="shared" si="38"/>
        <v>2025</v>
      </c>
      <c r="D341" s="124" t="str">
        <f t="shared" si="27"/>
        <v>12 Des</v>
      </c>
      <c r="E341" s="124" t="str">
        <f t="shared" si="28"/>
        <v>Sen</v>
      </c>
      <c r="F341" s="16" t="s">
        <v>85</v>
      </c>
      <c r="G341" s="109" t="str">
        <f t="array" ref="G341">IFNA(XLOOKUP(S341,'⚙️ Pengaturan'!$H$5:$H371,'⚙️ Pengaturan'!$I$5:$I371),"")</f>
        <v>TIM Y</v>
      </c>
      <c r="H341" s="109" t="s">
        <v>765</v>
      </c>
      <c r="I341" s="125" t="str">
        <f t="array" ref="I341">ifna(xlookup($H341,'🙎‍♂️ Pasien'!$G$7:$G371,'🙎‍♂️ Pasien'!$H$7:$H371),"")</f>
        <v>Y9425125852</v>
      </c>
      <c r="J341" s="125" t="str">
        <f t="array" ref="J341">ifna(xlookup($H341,'🙎‍♂️ Pasien'!$G$7:$G371,'🙎‍♂️ Pasien'!$L$7:$L371),"")</f>
        <v>LAKI-LAKI</v>
      </c>
      <c r="K341" s="125">
        <f t="array" ref="K341">ifna(xlookup($H341,'🙎‍♂️ Pasien'!$G$7:$G371,'🙎‍♂️ Pasien'!$I$7:$I371),"")</f>
        <v>31</v>
      </c>
      <c r="L341" s="125" t="str">
        <f t="array" ref="L341">IFNA(xlookup(H341,'🙎‍♂️ Pasien'!$G$5:$G371,'🙎‍♂️ Pasien'!$J$5:$J371),"")</f>
        <v>25-34 tahun</v>
      </c>
      <c r="M341" s="125" t="str">
        <f t="array" ref="M341">IFNA(xlookup(H341,'🙎‍♂️ Pasien'!$G$5:$G371,'🙎‍♂️ Pasien'!$S$5:$S371),"")</f>
        <v>WIRASWASTA</v>
      </c>
      <c r="N341" s="125" t="str">
        <f t="array" ref="N341">IFNA(XLOOKUP($H341,'🙎‍♂️ Pasien'!$G$7:$G371,'🙎‍♂️ Pasien'!$T$7:$T371),"")</f>
        <v>SAKIT PINGGANG</v>
      </c>
      <c r="O341" s="16" t="s">
        <v>825</v>
      </c>
      <c r="P341" s="16" t="s">
        <v>826</v>
      </c>
      <c r="Q341" s="138" t="s">
        <v>29</v>
      </c>
      <c r="R341" s="16" t="s">
        <v>86</v>
      </c>
      <c r="S341" s="16" t="s">
        <v>56</v>
      </c>
      <c r="T341" s="16" t="s">
        <v>830</v>
      </c>
      <c r="U341" s="109"/>
      <c r="V341" s="126"/>
      <c r="W341" s="109"/>
      <c r="X341" s="109" t="str">
        <f t="array" ref="X341">IF(H341="","",XLOOKUP(H341,CATATANPELAYANAN[[#ALL],[NAMA PASIEN]],CATATANPELAYANAN[[#ALL],[LAYANAN]],"TIDAK CLOSING",0,-1))</f>
        <v>TERAPI AWAL</v>
      </c>
      <c r="Y341" s="109" t="str">
        <f t="shared" si="4"/>
        <v>TIDAK CLOSING</v>
      </c>
      <c r="Z341" s="127"/>
    </row>
    <row r="342" ht="22.5" customHeight="1">
      <c r="A342" s="122"/>
      <c r="B342" s="123">
        <v>46014.0</v>
      </c>
      <c r="C342" s="124" t="str">
        <f t="shared" si="38"/>
        <v>2025</v>
      </c>
      <c r="D342" s="124" t="str">
        <f t="shared" si="27"/>
        <v>12 Des</v>
      </c>
      <c r="E342" s="124" t="str">
        <f t="shared" si="28"/>
        <v>Sel</v>
      </c>
      <c r="F342" s="16" t="s">
        <v>53</v>
      </c>
      <c r="G342" s="109" t="str">
        <f t="array" ref="G342">IFNA(XLOOKUP(S342,'⚙️ Pengaturan'!$H$5:$H371,'⚙️ Pengaturan'!$I$5:$I371),"")</f>
        <v>TIM A</v>
      </c>
      <c r="H342" s="109" t="s">
        <v>766</v>
      </c>
      <c r="I342" s="125" t="str">
        <f t="array" ref="I342">ifna(xlookup($H342,'🙎‍♂️ Pasien'!$G$7:$G371,'🙎‍♂️ Pasien'!$H$7:$H371),"")</f>
        <v>E9523075183</v>
      </c>
      <c r="J342" s="125" t="str">
        <f t="array" ref="J342">ifna(xlookup($H342,'🙎‍♂️ Pasien'!$G$7:$G371,'🙎‍♂️ Pasien'!$L$7:$L371),"")</f>
        <v>PEREMPUAN</v>
      </c>
      <c r="K342" s="125">
        <f t="array" ref="K342">ifna(xlookup($H342,'🙎‍♂️ Pasien'!$G$7:$G371,'🙎‍♂️ Pasien'!$I$7:$I371),"")</f>
        <v>30</v>
      </c>
      <c r="L342" s="125" t="str">
        <f t="array" ref="L342">IFNA(xlookup(H342,'🙎‍♂️ Pasien'!$G$5:$G371,'🙎‍♂️ Pasien'!$J$5:$J371),"")</f>
        <v>25-34 tahun</v>
      </c>
      <c r="M342" s="125" t="str">
        <f t="array" ref="M342">IFNA(xlookup(H342,'🙎‍♂️ Pasien'!$G$5:$G371,'🙎‍♂️ Pasien'!$S$5:$S371),"")</f>
        <v>WIRASWASTA</v>
      </c>
      <c r="N342" s="125" t="str">
        <f t="array" ref="N342">IFNA(XLOOKUP($H342,'🙎‍♂️ Pasien'!$G$7:$G371,'🙎‍♂️ Pasien'!$T$7:$T371),"")</f>
        <v>PERGELANGAN SAKIT</v>
      </c>
      <c r="O342" s="16" t="s">
        <v>950</v>
      </c>
      <c r="P342" s="16" t="s">
        <v>866</v>
      </c>
      <c r="Q342" s="16" t="s">
        <v>28</v>
      </c>
      <c r="R342" s="16" t="s">
        <v>86</v>
      </c>
      <c r="S342" s="16" t="s">
        <v>72</v>
      </c>
      <c r="T342" s="16" t="s">
        <v>827</v>
      </c>
      <c r="U342" s="109"/>
      <c r="V342" s="126"/>
      <c r="W342" s="109"/>
      <c r="X342" s="109" t="str">
        <f t="array" ref="X342">IF(H342="","",XLOOKUP(H342,CATATANPELAYANAN[[#ALL],[NAMA PASIEN]],CATATANPELAYANAN[[#ALL],[LAYANAN]],"TIDAK CLOSING",0,-1))</f>
        <v>SESI TERAPI</v>
      </c>
      <c r="Y342" s="109" t="str">
        <f t="shared" si="4"/>
        <v>SESI</v>
      </c>
      <c r="Z342" s="127"/>
    </row>
    <row r="343" ht="22.5" customHeight="1">
      <c r="A343" s="122"/>
      <c r="B343" s="123">
        <v>46014.0</v>
      </c>
      <c r="C343" s="124" t="str">
        <f t="shared" si="38"/>
        <v>2025</v>
      </c>
      <c r="D343" s="124" t="str">
        <f t="shared" si="27"/>
        <v>12 Des</v>
      </c>
      <c r="E343" s="124" t="str">
        <f t="shared" si="28"/>
        <v>Sel</v>
      </c>
      <c r="F343" s="16" t="s">
        <v>85</v>
      </c>
      <c r="G343" s="109" t="str">
        <f t="array" ref="G343">IFNA(XLOOKUP(S343,'⚙️ Pengaturan'!$H$5:$H371,'⚙️ Pengaturan'!$I$5:$I371),"")</f>
        <v>TIM Y</v>
      </c>
      <c r="H343" s="109" t="s">
        <v>1097</v>
      </c>
      <c r="I343" s="125" t="str">
        <f t="array" ref="I343">ifna(xlookup($H343,'🙎‍♂️ Pasien'!$G$7:$G371,'🙎‍♂️ Pasien'!$H$7:$H371),"")</f>
        <v>R9123026668</v>
      </c>
      <c r="J343" s="125" t="str">
        <f t="array" ref="J343">ifna(xlookup($H343,'🙎‍♂️ Pasien'!$G$7:$G371,'🙎‍♂️ Pasien'!$L$7:$L371),"")</f>
        <v>PEREMPUAN</v>
      </c>
      <c r="K343" s="125">
        <f t="array" ref="K343">ifna(xlookup($H343,'🙎‍♂️ Pasien'!$G$7:$G371,'🙎‍♂️ Pasien'!$I$7:$I371),"")</f>
        <v>35</v>
      </c>
      <c r="L343" s="125" t="str">
        <f t="array" ref="L343">IFNA(xlookup(H343,'🙎‍♂️ Pasien'!$G$5:$G371,'🙎‍♂️ Pasien'!$J$5:$J371),"")</f>
        <v>35-44 tahun</v>
      </c>
      <c r="M343" s="125" t="str">
        <f t="array" ref="M343">IFNA(xlookup(H343,'🙎‍♂️ Pasien'!$G$5:$G371,'🙎‍♂️ Pasien'!$S$5:$S371),"")</f>
        <v>BPD</v>
      </c>
      <c r="N343" s="125" t="str">
        <f t="array" ref="N343">IFNA(XLOOKUP($H343,'🙎‍♂️ Pasien'!$G$7:$G371,'🙎‍♂️ Pasien'!$T$7:$T371),"")</f>
        <v>BELIKAT</v>
      </c>
      <c r="O343" s="16" t="s">
        <v>950</v>
      </c>
      <c r="P343" s="16" t="s">
        <v>976</v>
      </c>
      <c r="Q343" s="16" t="s">
        <v>28</v>
      </c>
      <c r="R343" s="16" t="s">
        <v>86</v>
      </c>
      <c r="S343" s="16" t="s">
        <v>91</v>
      </c>
      <c r="T343" s="16" t="s">
        <v>834</v>
      </c>
      <c r="U343" s="109" t="s">
        <v>831</v>
      </c>
      <c r="V343" s="126"/>
      <c r="W343" s="109"/>
      <c r="X343" s="109" t="str">
        <f t="array" ref="X343">IF(H343="","",XLOOKUP(H343,CATATANPELAYANAN[[#ALL],[NAMA PASIEN]],CATATANPELAYANAN[[#ALL],[LAYANAN]],"TIDAK CLOSING",0,-1))</f>
        <v>TIDAK CLOSING</v>
      </c>
      <c r="Y343" s="109" t="str">
        <f t="shared" si="4"/>
        <v>TIDAK CLOSING</v>
      </c>
      <c r="Z343" s="127"/>
    </row>
    <row r="344" ht="22.5" customHeight="1">
      <c r="A344" s="122"/>
      <c r="B344" s="123">
        <v>46014.0</v>
      </c>
      <c r="C344" s="124" t="str">
        <f t="shared" si="38"/>
        <v>2025</v>
      </c>
      <c r="D344" s="124" t="str">
        <f t="shared" si="27"/>
        <v>12 Des</v>
      </c>
      <c r="E344" s="124" t="str">
        <f t="shared" si="28"/>
        <v>Sel</v>
      </c>
      <c r="F344" s="16" t="s">
        <v>85</v>
      </c>
      <c r="G344" s="109" t="str">
        <f t="array" ref="G344">IFNA(XLOOKUP(S344,'⚙️ Pengaturan'!$H$5:$H371,'⚙️ Pengaturan'!$I$5:$I371),"")</f>
        <v>TIM Y</v>
      </c>
      <c r="H344" s="109" t="s">
        <v>770</v>
      </c>
      <c r="I344" s="125" t="str">
        <f t="array" ref="I344">ifna(xlookup($H344,'🙎‍♂️ Pasien'!$G$7:$G371,'🙎‍♂️ Pasien'!$H$7:$H371),"")</f>
        <v>R9125127920</v>
      </c>
      <c r="J344" s="125" t="str">
        <f t="array" ref="J344">ifna(xlookup($H344,'🙎‍♂️ Pasien'!$G$7:$G371,'🙎‍♂️ Pasien'!$L$7:$L371),"")</f>
        <v>LAKI-LAKI</v>
      </c>
      <c r="K344" s="125">
        <f t="array" ref="K344">ifna(xlookup($H344,'🙎‍♂️ Pasien'!$G$7:$G371,'🙎‍♂️ Pasien'!$I$7:$I371),"")</f>
        <v>34</v>
      </c>
      <c r="L344" s="125" t="str">
        <f t="array" ref="L344">IFNA(xlookup(H344,'🙎‍♂️ Pasien'!$G$5:$G371,'🙎‍♂️ Pasien'!$J$5:$J371),"")</f>
        <v>25-34 tahun</v>
      </c>
      <c r="M344" s="125" t="str">
        <f t="array" ref="M344">IFNA(xlookup(H344,'🙎‍♂️ Pasien'!$G$5:$G371,'🙎‍♂️ Pasien'!$S$5:$S371),"")</f>
        <v>SWASTA</v>
      </c>
      <c r="N344" s="125" t="str">
        <f t="array" ref="N344">IFNA(XLOOKUP($H344,'🙎‍♂️ Pasien'!$G$7:$G371,'🙎‍♂️ Pasien'!$T$7:$T371),"")</f>
        <v>TUMIT SAKIT</v>
      </c>
      <c r="O344" s="16" t="s">
        <v>849</v>
      </c>
      <c r="P344" s="16" t="s">
        <v>833</v>
      </c>
      <c r="Q344" s="16" t="s">
        <v>28</v>
      </c>
      <c r="R344" s="16" t="s">
        <v>86</v>
      </c>
      <c r="S344" s="16" t="s">
        <v>88</v>
      </c>
      <c r="T344" s="16" t="s">
        <v>830</v>
      </c>
      <c r="U344" s="109" t="s">
        <v>831</v>
      </c>
      <c r="V344" s="126"/>
      <c r="W344" s="109"/>
      <c r="X344" s="109" t="str">
        <f t="array" ref="X344">IF(H344="","",XLOOKUP(H344,CATATANPELAYANAN[[#ALL],[NAMA PASIEN]],CATATANPELAYANAN[[#ALL],[LAYANAN]],"TIDAK CLOSING",0,-1))</f>
        <v>PAKET TERAPI</v>
      </c>
      <c r="Y344" s="109" t="str">
        <f t="shared" si="4"/>
        <v>PAKET</v>
      </c>
      <c r="Z344" s="127"/>
    </row>
    <row r="345" ht="22.5" customHeight="1">
      <c r="A345" s="122"/>
      <c r="B345" s="123">
        <v>46015.0</v>
      </c>
      <c r="C345" s="124" t="str">
        <f t="shared" si="38"/>
        <v>2025</v>
      </c>
      <c r="D345" s="124" t="str">
        <f t="shared" si="27"/>
        <v>12 Des</v>
      </c>
      <c r="E345" s="124" t="str">
        <f t="shared" si="28"/>
        <v>Rab</v>
      </c>
      <c r="F345" s="16" t="s">
        <v>53</v>
      </c>
      <c r="G345" s="109" t="str">
        <f t="array" ref="G345">IFNA(XLOOKUP(S345,'⚙️ Pengaturan'!$H$5:$H371,'⚙️ Pengaturan'!$I$5:$I371),"")</f>
        <v>TIM Y</v>
      </c>
      <c r="H345" s="109" t="s">
        <v>773</v>
      </c>
      <c r="I345" s="125" t="str">
        <f t="array" ref="I345">ifna(xlookup($H345,'🙎‍♂️ Pasien'!$G$7:$G371,'🙎‍♂️ Pasien'!$H$7:$H371),"")</f>
        <v>P0825121639</v>
      </c>
      <c r="J345" s="125" t="str">
        <f t="array" ref="J345">ifna(xlookup($H345,'🙎‍♂️ Pasien'!$G$7:$G371,'🙎‍♂️ Pasien'!$L$7:$L371),"")</f>
        <v>LAKI-LAKI</v>
      </c>
      <c r="K345" s="125">
        <f t="array" ref="K345">ifna(xlookup($H345,'🙎‍♂️ Pasien'!$G$7:$G371,'🙎‍♂️ Pasien'!$I$7:$I371),"")</f>
        <v>18</v>
      </c>
      <c r="L345" s="125" t="str">
        <f t="array" ref="L345">IFNA(xlookup(H345,'🙎‍♂️ Pasien'!$G$5:$G371,'🙎‍♂️ Pasien'!$J$5:$J371),"")</f>
        <v>&lt; 18 tahun</v>
      </c>
      <c r="M345" s="125" t="str">
        <f t="array" ref="M345">IFNA(xlookup(H345,'🙎‍♂️ Pasien'!$G$5:$G371,'🙎‍♂️ Pasien'!$S$5:$S371),"")</f>
        <v>PEDAGANG</v>
      </c>
      <c r="N345" s="125" t="str">
        <f t="array" ref="N345">IFNA(XLOOKUP($H345,'🙎‍♂️ Pasien'!$G$7:$G371,'🙎‍♂️ Pasien'!$T$7:$T371),"")</f>
        <v>-</v>
      </c>
      <c r="O345" s="16" t="s">
        <v>902</v>
      </c>
      <c r="P345" s="16" t="s">
        <v>836</v>
      </c>
      <c r="Q345" s="16" t="s">
        <v>29</v>
      </c>
      <c r="R345" s="16" t="s">
        <v>54</v>
      </c>
      <c r="S345" s="16" t="s">
        <v>91</v>
      </c>
      <c r="T345" s="16" t="s">
        <v>834</v>
      </c>
      <c r="U345" s="109" t="s">
        <v>1098</v>
      </c>
      <c r="V345" s="126"/>
      <c r="W345" s="109"/>
      <c r="X345" s="109" t="str">
        <f t="array" ref="X345">IF(H345="","",XLOOKUP(H345,CATATANPELAYANAN[[#ALL],[NAMA PASIEN]],CATATANPELAYANAN[[#ALL],[LAYANAN]],"TIDAK CLOSING",0,-1))</f>
        <v>TERAPI AWAL</v>
      </c>
      <c r="Y345" s="109" t="str">
        <f t="shared" si="4"/>
        <v>TIDAK CLOSING</v>
      </c>
      <c r="Z345" s="127"/>
    </row>
    <row r="346" ht="22.5" customHeight="1">
      <c r="A346" s="122"/>
      <c r="B346" s="123">
        <v>46015.0</v>
      </c>
      <c r="C346" s="124" t="str">
        <f t="shared" si="38"/>
        <v>2025</v>
      </c>
      <c r="D346" s="124" t="str">
        <f t="shared" si="27"/>
        <v>12 Des</v>
      </c>
      <c r="E346" s="124" t="str">
        <f t="shared" si="28"/>
        <v>Rab</v>
      </c>
      <c r="F346" s="16" t="s">
        <v>85</v>
      </c>
      <c r="G346" s="109" t="str">
        <f t="array" ref="G346">IFNA(XLOOKUP(S346,'⚙️ Pengaturan'!$H$5:$H371,'⚙️ Pengaturan'!$I$5:$I371),"")</f>
        <v>TIM A</v>
      </c>
      <c r="H346" s="109" t="s">
        <v>776</v>
      </c>
      <c r="I346" s="125" t="str">
        <f t="array" ref="I346">ifna(xlookup($H346,'🙎‍♂️ Pasien'!$G$7:$G371,'🙎‍♂️ Pasien'!$H$7:$H371),"")</f>
        <v>L5725128222</v>
      </c>
      <c r="J346" s="125" t="str">
        <f t="array" ref="J346">ifna(xlookup($H346,'🙎‍♂️ Pasien'!$G$7:$G371,'🙎‍♂️ Pasien'!$L$7:$L371),"")</f>
        <v>PEREMPUAN</v>
      </c>
      <c r="K346" s="125">
        <f t="array" ref="K346">ifna(xlookup($H346,'🙎‍♂️ Pasien'!$G$7:$G371,'🙎‍♂️ Pasien'!$I$7:$I371),"")</f>
        <v>69</v>
      </c>
      <c r="L346" s="125" t="str">
        <f t="array" ref="L346">IFNA(xlookup(H346,'🙎‍♂️ Pasien'!$G$5:$G371,'🙎‍♂️ Pasien'!$J$5:$J371),"")</f>
        <v>&gt; 44 tahun</v>
      </c>
      <c r="M346" s="125" t="str">
        <f t="array" ref="M346">IFNA(xlookup(H346,'🙎‍♂️ Pasien'!$G$5:$G371,'🙎‍♂️ Pasien'!$S$5:$S371),"")</f>
        <v>IBU RUMAH TANGGA</v>
      </c>
      <c r="N346" s="125" t="str">
        <f t="array" ref="N346">IFNA(XLOOKUP($H346,'🙎‍♂️ Pasien'!$G$7:$G371,'🙎‍♂️ Pasien'!$T$7:$T371),"")</f>
        <v>BETIS SAKIT</v>
      </c>
      <c r="O346" s="16" t="s">
        <v>992</v>
      </c>
      <c r="P346" s="16" t="s">
        <v>829</v>
      </c>
      <c r="Q346" s="138" t="s">
        <v>29</v>
      </c>
      <c r="R346" s="16" t="s">
        <v>86</v>
      </c>
      <c r="S346" s="16" t="s">
        <v>79</v>
      </c>
      <c r="T346" s="16" t="s">
        <v>827</v>
      </c>
      <c r="U346" s="109"/>
      <c r="V346" s="126"/>
      <c r="W346" s="109"/>
      <c r="X346" s="109" t="str">
        <f t="array" ref="X346">IF(H346="","",XLOOKUP(H346,CATATANPELAYANAN[[#ALL],[NAMA PASIEN]],CATATANPELAYANAN[[#ALL],[LAYANAN]],"TIDAK CLOSING",0,-1))</f>
        <v>SESI TERAPI</v>
      </c>
      <c r="Y346" s="109" t="str">
        <f t="shared" si="4"/>
        <v>SESI</v>
      </c>
      <c r="Z346" s="127"/>
    </row>
    <row r="347" ht="22.5" customHeight="1">
      <c r="A347" s="122"/>
      <c r="B347" s="123">
        <v>46015.0</v>
      </c>
      <c r="C347" s="124" t="str">
        <f t="shared" si="38"/>
        <v>2025</v>
      </c>
      <c r="D347" s="124" t="str">
        <f t="shared" si="27"/>
        <v>12 Des</v>
      </c>
      <c r="E347" s="124" t="str">
        <f t="shared" si="28"/>
        <v>Rab</v>
      </c>
      <c r="F347" s="16" t="s">
        <v>85</v>
      </c>
      <c r="G347" s="109" t="str">
        <f t="array" ref="G347">IFNA(XLOOKUP(S347,'⚙️ Pengaturan'!$H$5:$H371,'⚙️ Pengaturan'!$I$5:$I371),"")</f>
        <v>TIM Y</v>
      </c>
      <c r="H347" s="109" t="s">
        <v>778</v>
      </c>
      <c r="I347" s="125" t="str">
        <f t="array" ref="I347">ifna(xlookup($H347,'🙎‍♂️ Pasien'!$G$7:$G371,'🙎‍♂️ Pasien'!$H$7:$H371),"")</f>
        <v>R9525121510</v>
      </c>
      <c r="J347" s="125" t="str">
        <f t="array" ref="J347">ifna(xlookup($H347,'🙎‍♂️ Pasien'!$G$7:$G371,'🙎‍♂️ Pasien'!$L$7:$L371),"")</f>
        <v>LAKI-LAKI</v>
      </c>
      <c r="K347" s="125">
        <f t="array" ref="K347">ifna(xlookup($H347,'🙎‍♂️ Pasien'!$G$7:$G371,'🙎‍♂️ Pasien'!$I$7:$I371),"")</f>
        <v>30</v>
      </c>
      <c r="L347" s="125" t="str">
        <f t="array" ref="L347">IFNA(xlookup(H347,'🙎‍♂️ Pasien'!$G$5:$G371,'🙎‍♂️ Pasien'!$J$5:$J371),"")</f>
        <v>25-34 tahun</v>
      </c>
      <c r="M347" s="125" t="str">
        <f t="array" ref="M347">IFNA(xlookup(H347,'🙎‍♂️ Pasien'!$G$5:$G371,'🙎‍♂️ Pasien'!$S$5:$S371),"")</f>
        <v>PNS</v>
      </c>
      <c r="N347" s="125" t="str">
        <f t="array" ref="N347">IFNA(XLOOKUP($H347,'🙎‍♂️ Pasien'!$G$7:$G371,'🙎‍♂️ Pasien'!$T$7:$T371),"")</f>
        <v>POST OPERASI ACL</v>
      </c>
      <c r="O347" s="16" t="s">
        <v>910</v>
      </c>
      <c r="P347" s="16" t="s">
        <v>833</v>
      </c>
      <c r="Q347" s="16" t="s">
        <v>28</v>
      </c>
      <c r="R347" s="16" t="s">
        <v>86</v>
      </c>
      <c r="S347" s="16" t="s">
        <v>88</v>
      </c>
      <c r="T347" s="16" t="s">
        <v>830</v>
      </c>
      <c r="U347" s="109"/>
      <c r="V347" s="126"/>
      <c r="W347" s="109"/>
      <c r="X347" s="109" t="str">
        <f t="array" ref="X347">IF(H347="","",XLOOKUP(H347,CATATANPELAYANAN[[#ALL],[NAMA PASIEN]],CATATANPELAYANAN[[#ALL],[LAYANAN]],"TIDAK CLOSING",0,-1))</f>
        <v>TERAPI AWAL</v>
      </c>
      <c r="Y347" s="109" t="str">
        <f t="shared" si="4"/>
        <v>TIDAK CLOSING</v>
      </c>
      <c r="Z347" s="127"/>
    </row>
    <row r="348" ht="22.5" customHeight="1">
      <c r="A348" s="122"/>
      <c r="B348" s="123">
        <v>46015.0</v>
      </c>
      <c r="C348" s="124" t="str">
        <f t="shared" si="38"/>
        <v>2025</v>
      </c>
      <c r="D348" s="124" t="str">
        <f t="shared" si="27"/>
        <v>12 Des</v>
      </c>
      <c r="E348" s="124" t="str">
        <f t="shared" si="28"/>
        <v>Rab</v>
      </c>
      <c r="F348" s="16" t="s">
        <v>85</v>
      </c>
      <c r="G348" s="109" t="str">
        <f t="array" ref="G348">IFNA(XLOOKUP(S348,'⚙️ Pengaturan'!$H$5:$H371,'⚙️ Pengaturan'!$I$5:$I371),"")</f>
        <v>TIM Y</v>
      </c>
      <c r="H348" s="109" t="s">
        <v>779</v>
      </c>
      <c r="I348" s="125" t="str">
        <f t="array" ref="I348">ifna(xlookup($H348,'🙎‍♂️ Pasien'!$G$7:$G371,'🙎‍♂️ Pasien'!$H$7:$H371),"")</f>
        <v>N7025034060</v>
      </c>
      <c r="J348" s="125" t="str">
        <f t="array" ref="J348">ifna(xlookup($H348,'🙎‍♂️ Pasien'!$G$7:$G371,'🙎‍♂️ Pasien'!$L$7:$L371),"")</f>
        <v>PEREMPUAN</v>
      </c>
      <c r="K348" s="125">
        <f t="array" ref="K348">ifna(xlookup($H348,'🙎‍♂️ Pasien'!$G$7:$G371,'🙎‍♂️ Pasien'!$I$7:$I371),"")</f>
        <v>56</v>
      </c>
      <c r="L348" s="125" t="str">
        <f t="array" ref="L348">IFNA(xlookup(H348,'🙎‍♂️ Pasien'!$G$5:$G371,'🙎‍♂️ Pasien'!$J$5:$J371),"")</f>
        <v>&gt; 44 tahun</v>
      </c>
      <c r="M348" s="125" t="str">
        <f t="array" ref="M348">IFNA(xlookup(H348,'🙎‍♂️ Pasien'!$G$5:$G371,'🙎‍♂️ Pasien'!$S$5:$S371),"")</f>
        <v>PEGAWAI SWASTA</v>
      </c>
      <c r="N348" s="125" t="str">
        <f t="array" ref="N348">IFNA(XLOOKUP($H348,'🙎‍♂️ Pasien'!$G$7:$G371,'🙎‍♂️ Pasien'!$T$7:$T371),"")</f>
        <v>PERGELANGAN TANGAN</v>
      </c>
      <c r="O348" s="16" t="s">
        <v>1022</v>
      </c>
      <c r="P348" s="16" t="s">
        <v>866</v>
      </c>
      <c r="Q348" s="16" t="s">
        <v>29</v>
      </c>
      <c r="R348" s="16" t="s">
        <v>86</v>
      </c>
      <c r="S348" s="16" t="s">
        <v>509</v>
      </c>
      <c r="T348" s="16" t="s">
        <v>827</v>
      </c>
      <c r="U348" s="109"/>
      <c r="V348" s="126"/>
      <c r="W348" s="109"/>
      <c r="X348" s="109" t="str">
        <f t="array" ref="X348">IF(H348="","",XLOOKUP(H348,CATATANPELAYANAN[[#ALL],[NAMA PASIEN]],CATATANPELAYANAN[[#ALL],[LAYANAN]],"TIDAK CLOSING",0,-1))</f>
        <v>SESI TERAPI</v>
      </c>
      <c r="Y348" s="109" t="str">
        <f t="shared" si="4"/>
        <v>SESI</v>
      </c>
      <c r="Z348" s="127"/>
    </row>
    <row r="349" ht="22.5" customHeight="1">
      <c r="A349" s="122"/>
      <c r="B349" s="123">
        <v>46015.0</v>
      </c>
      <c r="C349" s="124" t="str">
        <f t="shared" si="38"/>
        <v>2025</v>
      </c>
      <c r="D349" s="124" t="str">
        <f t="shared" si="27"/>
        <v>12 Des</v>
      </c>
      <c r="E349" s="124" t="str">
        <f t="shared" si="28"/>
        <v>Rab</v>
      </c>
      <c r="F349" s="16" t="s">
        <v>85</v>
      </c>
      <c r="G349" s="109" t="str">
        <f t="array" ref="G349">IFNA(XLOOKUP(S349,'⚙️ Pengaturan'!$H$5:$H371,'⚙️ Pengaturan'!$I$5:$I371),"")</f>
        <v>TIM A</v>
      </c>
      <c r="H349" s="109" t="s">
        <v>1099</v>
      </c>
      <c r="I349" s="125" t="str">
        <f t="array" ref="I349">ifna(xlookup($H349,'🙎‍♂️ Pasien'!$G$7:$G371,'🙎‍♂️ Pasien'!$H$7:$H371),"")</f>
        <v/>
      </c>
      <c r="J349" s="125" t="str">
        <f t="array" ref="J349">ifna(xlookup($H349,'🙎‍♂️ Pasien'!$G$7:$G371,'🙎‍♂️ Pasien'!$L$7:$L371),"")</f>
        <v/>
      </c>
      <c r="K349" s="125" t="str">
        <f t="array" ref="K349">ifna(xlookup($H349,'🙎‍♂️ Pasien'!$G$7:$G371,'🙎‍♂️ Pasien'!$I$7:$I371),"")</f>
        <v/>
      </c>
      <c r="L349" s="125" t="str">
        <f t="array" ref="L349">IFNA(xlookup(H349,'🙎‍♂️ Pasien'!$G$5:$G371,'🙎‍♂️ Pasien'!$J$5:$J371),"")</f>
        <v/>
      </c>
      <c r="M349" s="125" t="str">
        <f t="array" ref="M349">IFNA(xlookup(H349,'🙎‍♂️ Pasien'!$G$5:$G371,'🙎‍♂️ Pasien'!$S$5:$S371),"")</f>
        <v/>
      </c>
      <c r="N349" s="125" t="str">
        <f t="array" ref="N349">IFNA(XLOOKUP($H349,'🙎‍♂️ Pasien'!$G$7:$G371,'🙎‍♂️ Pasien'!$T$7:$T371),"")</f>
        <v/>
      </c>
      <c r="O349" s="16" t="s">
        <v>927</v>
      </c>
      <c r="P349" s="16" t="s">
        <v>866</v>
      </c>
      <c r="Q349" s="16" t="s">
        <v>29</v>
      </c>
      <c r="R349" s="16" t="s">
        <v>86</v>
      </c>
      <c r="S349" s="16" t="s">
        <v>79</v>
      </c>
      <c r="T349" s="16" t="s">
        <v>834</v>
      </c>
      <c r="U349" s="109" t="s">
        <v>831</v>
      </c>
      <c r="V349" s="126"/>
      <c r="W349" s="109"/>
      <c r="X349" s="109" t="str">
        <f t="array" ref="X349">IF(H349="","",XLOOKUP(H349,CATATANPELAYANAN[[#ALL],[NAMA PASIEN]],CATATANPELAYANAN[[#ALL],[LAYANAN]],"TIDAK CLOSING",0,-1))</f>
        <v>TIDAK CLOSING</v>
      </c>
      <c r="Y349" s="109" t="str">
        <f t="shared" si="4"/>
        <v>TIDAK CLOSING</v>
      </c>
      <c r="Z349" s="127"/>
    </row>
    <row r="350" ht="22.5" customHeight="1">
      <c r="A350" s="122"/>
      <c r="B350" s="123">
        <v>46015.0</v>
      </c>
      <c r="C350" s="124" t="str">
        <f t="shared" si="38"/>
        <v>2025</v>
      </c>
      <c r="D350" s="124" t="str">
        <f t="shared" si="27"/>
        <v>12 Des</v>
      </c>
      <c r="E350" s="124" t="str">
        <f t="shared" si="28"/>
        <v>Rab</v>
      </c>
      <c r="F350" s="16" t="s">
        <v>85</v>
      </c>
      <c r="G350" s="109" t="str">
        <f t="array" ref="G350">IFNA(XLOOKUP(S350,'⚙️ Pengaturan'!$H$5:$H371,'⚙️ Pengaturan'!$I$5:$I371),"")</f>
        <v>TIM Y</v>
      </c>
      <c r="H350" s="109" t="s">
        <v>586</v>
      </c>
      <c r="I350" s="125" t="str">
        <f t="array" ref="I350">ifna(xlookup($H350,'🙎‍♂️ Pasien'!$G$7:$G371,'🙎‍♂️ Pasien'!$H$7:$H371),"")</f>
        <v>B0924114293</v>
      </c>
      <c r="J350" s="125" t="str">
        <f t="array" ref="J350">ifna(xlookup($H350,'🙎‍♂️ Pasien'!$G$7:$G371,'🙎‍♂️ Pasien'!$L$7:$L371),"")</f>
        <v>LAKI-LAKI</v>
      </c>
      <c r="K350" s="125">
        <f t="array" ref="K350">ifna(xlookup($H350,'🙎‍♂️ Pasien'!$G$7:$G371,'🙎‍♂️ Pasien'!$I$7:$I371),"")</f>
        <v>16</v>
      </c>
      <c r="L350" s="125" t="str">
        <f t="array" ref="L350">IFNA(xlookup(H350,'🙎‍♂️ Pasien'!$G$5:$G371,'🙎‍♂️ Pasien'!$J$5:$J371),"")</f>
        <v>&lt; 18 tahun</v>
      </c>
      <c r="M350" s="125" t="str">
        <f t="array" ref="M350">IFNA(xlookup(H350,'🙎‍♂️ Pasien'!$G$5:$G371,'🙎‍♂️ Pasien'!$S$5:$S371),"")</f>
        <v>PELAJAR/MAHASISWA</v>
      </c>
      <c r="N350" s="125" t="str">
        <f t="array" ref="N350">IFNA(XLOOKUP($H350,'🙎‍♂️ Pasien'!$G$7:$G371,'🙎‍♂️ Pasien'!$T$7:$T371),"")</f>
        <v>SAKIT PADA BAHU</v>
      </c>
      <c r="O350" s="16" t="s">
        <v>871</v>
      </c>
      <c r="P350" s="16" t="s">
        <v>869</v>
      </c>
      <c r="Q350" s="16" t="s">
        <v>28</v>
      </c>
      <c r="R350" s="16" t="s">
        <v>86</v>
      </c>
      <c r="S350" s="16" t="s">
        <v>509</v>
      </c>
      <c r="T350" s="16" t="s">
        <v>834</v>
      </c>
      <c r="U350" s="109" t="s">
        <v>949</v>
      </c>
      <c r="V350" s="126"/>
      <c r="W350" s="109"/>
      <c r="X350" s="109" t="str">
        <f t="array" ref="X350">IF(H350="","",XLOOKUP(H350,CATATANPELAYANAN[[#ALL],[NAMA PASIEN]],CATATANPELAYANAN[[#ALL],[LAYANAN]],"TIDAK CLOSING",0,-1))</f>
        <v>PAKET/SESI</v>
      </c>
      <c r="Y350" s="109" t="str">
        <f t="shared" si="4"/>
        <v>TIDAK CLOSING</v>
      </c>
      <c r="Z350" s="127"/>
    </row>
    <row r="351" ht="22.5" customHeight="1">
      <c r="A351" s="122"/>
      <c r="B351" s="123">
        <v>46017.0</v>
      </c>
      <c r="C351" s="124" t="str">
        <f t="shared" si="38"/>
        <v>2025</v>
      </c>
      <c r="D351" s="124" t="str">
        <f t="shared" si="27"/>
        <v>12 Des</v>
      </c>
      <c r="E351" s="124" t="str">
        <f t="shared" si="28"/>
        <v>Jum</v>
      </c>
      <c r="F351" s="16" t="s">
        <v>85</v>
      </c>
      <c r="G351" s="109" t="str">
        <f t="array" ref="G351">IFNA(XLOOKUP(S351,'⚙️ Pengaturan'!$H$5:$H371,'⚙️ Pengaturan'!$I$5:$I371),"")</f>
        <v>TIM Y</v>
      </c>
      <c r="H351" s="109" t="s">
        <v>780</v>
      </c>
      <c r="I351" s="125" t="str">
        <f t="array" ref="I351">ifna(xlookup($H351,'🙎‍♂️ Pasien'!$G$7:$G371,'🙎‍♂️ Pasien'!$H$7:$H371),"")</f>
        <v>E8925127564</v>
      </c>
      <c r="J351" s="125" t="str">
        <f t="array" ref="J351">ifna(xlookup($H351,'🙎‍♂️ Pasien'!$G$7:$G371,'🙎‍♂️ Pasien'!$L$7:$L371),"")</f>
        <v>PEREMPUAN</v>
      </c>
      <c r="K351" s="125">
        <f t="array" ref="K351">ifna(xlookup($H351,'🙎‍♂️ Pasien'!$G$7:$G371,'🙎‍♂️ Pasien'!$I$7:$I371),"")</f>
        <v>36</v>
      </c>
      <c r="L351" s="125" t="str">
        <f t="array" ref="L351">IFNA(xlookup(H351,'🙎‍♂️ Pasien'!$G$5:$G371,'🙎‍♂️ Pasien'!$J$5:$J371),"")</f>
        <v>35-44 tahun</v>
      </c>
      <c r="M351" s="125" t="str">
        <f t="array" ref="M351">IFNA(xlookup(H351,'🙎‍♂️ Pasien'!$G$5:$G371,'🙎‍♂️ Pasien'!$S$5:$S371),"")</f>
        <v>KARYAWAN</v>
      </c>
      <c r="N351" s="125" t="str">
        <f t="array" ref="N351">IFNA(XLOOKUP($H351,'🙎‍♂️ Pasien'!$G$7:$G371,'🙎‍♂️ Pasien'!$T$7:$T371),"")</f>
        <v>PERNAH OPERASI FEMUR KIRI 2014 DAN 2017, 2025 INI BERAT BADAN NAIK DAN SETIAP HABIS DUDUK LAMA MAU JALAN SAKIT DAN TERLIHAT SANGAT PINCANG</v>
      </c>
      <c r="O351" s="16" t="s">
        <v>1004</v>
      </c>
      <c r="P351" s="16" t="s">
        <v>845</v>
      </c>
      <c r="Q351" s="16" t="s">
        <v>28</v>
      </c>
      <c r="R351" s="16" t="s">
        <v>134</v>
      </c>
      <c r="S351" s="16" t="s">
        <v>91</v>
      </c>
      <c r="T351" s="16" t="s">
        <v>830</v>
      </c>
      <c r="U351" s="109" t="s">
        <v>1100</v>
      </c>
      <c r="V351" s="126"/>
      <c r="W351" s="109"/>
      <c r="X351" s="109" t="str">
        <f t="array" ref="X351">IF(H351="","",XLOOKUP(H351,CATATANPELAYANAN[[#ALL],[NAMA PASIEN]],CATATANPELAYANAN[[#ALL],[LAYANAN]],"TIDAK CLOSING",0,-1))</f>
        <v>PAKET TERAPI</v>
      </c>
      <c r="Y351" s="109" t="str">
        <f t="shared" si="4"/>
        <v>PAKET</v>
      </c>
      <c r="Z351" s="127"/>
    </row>
    <row r="352" ht="22.5" customHeight="1">
      <c r="A352" s="122"/>
      <c r="B352" s="123">
        <v>46017.0</v>
      </c>
      <c r="C352" s="124" t="s">
        <v>963</v>
      </c>
      <c r="D352" s="124" t="str">
        <f t="shared" si="27"/>
        <v>12 Des</v>
      </c>
      <c r="E352" s="124" t="str">
        <f t="shared" si="28"/>
        <v>Jum</v>
      </c>
      <c r="F352" s="16" t="s">
        <v>85</v>
      </c>
      <c r="G352" s="109" t="str">
        <f t="array" ref="G352">IFNA(XLOOKUP(S352,'⚙️ Pengaturan'!$H$5:$H371,'⚙️ Pengaturan'!$I$5:$I371),"")</f>
        <v>MANAJEMEN</v>
      </c>
      <c r="H352" s="109" t="s">
        <v>784</v>
      </c>
      <c r="I352" s="125" t="str">
        <f t="array" ref="I352">ifna(xlookup($H352,'🙎‍♂️ Pasien'!$G$7:$G371,'🙎‍♂️ Pasien'!$H$7:$H371),"")</f>
        <v>D9425126561</v>
      </c>
      <c r="J352" s="125" t="str">
        <f t="array" ref="J352">ifna(xlookup($H352,'🙎‍♂️ Pasien'!$G$7:$G371,'🙎‍♂️ Pasien'!$L$7:$L371),"")</f>
        <v>LAKI-LAKI</v>
      </c>
      <c r="K352" s="125">
        <f t="array" ref="K352">ifna(xlookup($H352,'🙎‍♂️ Pasien'!$G$7:$G371,'🙎‍♂️ Pasien'!$I$7:$I371),"")</f>
        <v>32</v>
      </c>
      <c r="L352" s="125" t="str">
        <f t="array" ref="L352">IFNA(xlookup(H352,'🙎‍♂️ Pasien'!$G$5:$G371,'🙎‍♂️ Pasien'!$J$5:$J371),"")</f>
        <v>25-34 tahun</v>
      </c>
      <c r="M352" s="125" t="str">
        <f t="array" ref="M352">IFNA(xlookup(H352,'🙎‍♂️ Pasien'!$G$5:$G371,'🙎‍♂️ Pasien'!$S$5:$S371),"")</f>
        <v>WIRASWASTA</v>
      </c>
      <c r="N352" s="125" t="str">
        <f t="array" ref="N352">IFNA(XLOOKUP($H352,'🙎‍♂️ Pasien'!$G$7:$G371,'🙎‍♂️ Pasien'!$T$7:$T371),"")</f>
        <v>SCIATICA</v>
      </c>
      <c r="O352" s="16" t="s">
        <v>853</v>
      </c>
      <c r="P352" s="16" t="s">
        <v>845</v>
      </c>
      <c r="Q352" s="16" t="s">
        <v>29</v>
      </c>
      <c r="R352" s="16" t="s">
        <v>134</v>
      </c>
      <c r="S352" s="16" t="s">
        <v>101</v>
      </c>
      <c r="T352" s="16" t="s">
        <v>830</v>
      </c>
      <c r="U352" s="109" t="s">
        <v>294</v>
      </c>
      <c r="V352" s="126"/>
      <c r="W352" s="109"/>
      <c r="X352" s="109" t="str">
        <f t="array" ref="X352">IF(H352="","",XLOOKUP(H352,CATATANPELAYANAN[[#ALL],[NAMA PASIEN]],CATATANPELAYANAN[[#ALL],[LAYANAN]],"TIDAK CLOSING",0,-1))</f>
        <v>TERAPI AWAL</v>
      </c>
      <c r="Y352" s="109" t="str">
        <f t="shared" si="4"/>
        <v>TIDAK CLOSING</v>
      </c>
      <c r="Z352" s="127"/>
    </row>
    <row r="353" ht="22.5" customHeight="1">
      <c r="A353" s="122"/>
      <c r="B353" s="123">
        <v>46018.0</v>
      </c>
      <c r="C353" s="124" t="str">
        <f t="shared" ref="C353:C371" si="39">IF(B353="","",text(B353,"yyyy"))</f>
        <v>2025</v>
      </c>
      <c r="D353" s="124" t="str">
        <f t="shared" si="27"/>
        <v>12 Des</v>
      </c>
      <c r="E353" s="124" t="str">
        <f t="shared" si="28"/>
        <v>Sab</v>
      </c>
      <c r="F353" s="16" t="s">
        <v>53</v>
      </c>
      <c r="G353" s="109" t="str">
        <f t="array" ref="G353">IFNA(XLOOKUP(S353,'⚙️ Pengaturan'!$H$5:$H371,'⚙️ Pengaturan'!$I$5:$I371),"")</f>
        <v>TIM Y</v>
      </c>
      <c r="H353" s="109" t="s">
        <v>789</v>
      </c>
      <c r="I353" s="125" t="str">
        <f t="array" ref="I353">ifna(xlookup($H353,'🙎‍♂️ Pasien'!$G$7:$G371,'🙎‍♂️ Pasien'!$H$7:$H371),"")</f>
        <v>D5325127738</v>
      </c>
      <c r="J353" s="125" t="str">
        <f t="array" ref="J353">ifna(xlookup($H353,'🙎‍♂️ Pasien'!$G$7:$G371,'🙎‍♂️ Pasien'!$L$7:$L371),"")</f>
        <v>LAKI-LAKI</v>
      </c>
      <c r="K353" s="125">
        <f t="array" ref="K353">ifna(xlookup($H353,'🙎‍♂️ Pasien'!$G$7:$G371,'🙎‍♂️ Pasien'!$I$7:$I371),"")</f>
        <v>72</v>
      </c>
      <c r="L353" s="125" t="str">
        <f t="array" ref="L353">IFNA(xlookup(H353,'🙎‍♂️ Pasien'!$G$5:$G371,'🙎‍♂️ Pasien'!$J$5:$J371),"")</f>
        <v>&gt; 44 tahun</v>
      </c>
      <c r="M353" s="125" t="str">
        <f t="array" ref="M353">IFNA(xlookup(H353,'🙎‍♂️ Pasien'!$G$5:$G371,'🙎‍♂️ Pasien'!$S$5:$S371),"")</f>
        <v>WIRASWASTA</v>
      </c>
      <c r="N353" s="125" t="str">
        <f t="array" ref="N353">IFNA(XLOOKUP($H353,'🙎‍♂️ Pasien'!$G$7:$G371,'🙎‍♂️ Pasien'!$T$7:$T371),"")</f>
        <v>LEHER</v>
      </c>
      <c r="O353" s="16" t="s">
        <v>850</v>
      </c>
      <c r="P353" s="16" t="s">
        <v>869</v>
      </c>
      <c r="Q353" s="16" t="s">
        <v>29</v>
      </c>
      <c r="R353" s="16" t="s">
        <v>54</v>
      </c>
      <c r="S353" s="16" t="s">
        <v>509</v>
      </c>
      <c r="T353" s="16" t="s">
        <v>830</v>
      </c>
      <c r="U353" s="109"/>
      <c r="V353" s="126"/>
      <c r="W353" s="109"/>
      <c r="X353" s="109" t="str">
        <f t="array" ref="X353">IF(H353="","",XLOOKUP(H353,CATATANPELAYANAN[[#ALL],[NAMA PASIEN]],CATATANPELAYANAN[[#ALL],[LAYANAN]],"TIDAK CLOSING",0,-1))</f>
        <v>TERAPI AWAL</v>
      </c>
      <c r="Y353" s="109" t="str">
        <f t="shared" si="4"/>
        <v>TIDAK CLOSING</v>
      </c>
      <c r="Z353" s="127"/>
    </row>
    <row r="354" ht="22.5" customHeight="1">
      <c r="A354" s="122"/>
      <c r="B354" s="123">
        <v>46018.0</v>
      </c>
      <c r="C354" s="124" t="str">
        <f t="shared" si="39"/>
        <v>2025</v>
      </c>
      <c r="D354" s="124" t="str">
        <f t="shared" si="27"/>
        <v>12 Des</v>
      </c>
      <c r="E354" s="124" t="str">
        <f t="shared" si="28"/>
        <v>Sab</v>
      </c>
      <c r="F354" s="16" t="s">
        <v>53</v>
      </c>
      <c r="G354" s="109" t="str">
        <f t="array" ref="G354">IFNA(XLOOKUP(S354,'⚙️ Pengaturan'!$H$5:$H371,'⚙️ Pengaturan'!$I$5:$I371),"")</f>
        <v>TIM Y</v>
      </c>
      <c r="H354" s="109" t="s">
        <v>790</v>
      </c>
      <c r="I354" s="125" t="str">
        <f t="array" ref="I354">ifna(xlookup($H354,'🙎‍♂️ Pasien'!$G$7:$G371,'🙎‍♂️ Pasien'!$H$7:$H371),"")</f>
        <v>R9125124991</v>
      </c>
      <c r="J354" s="125" t="str">
        <f t="array" ref="J354">ifna(xlookup($H354,'🙎‍♂️ Pasien'!$G$7:$G371,'🙎‍♂️ Pasien'!$L$7:$L371),"")</f>
        <v>PEREMPUAN</v>
      </c>
      <c r="K354" s="125">
        <f t="array" ref="K354">ifna(xlookup($H354,'🙎‍♂️ Pasien'!$G$7:$G371,'🙎‍♂️ Pasien'!$I$7:$I371),"")</f>
        <v>35</v>
      </c>
      <c r="L354" s="125" t="str">
        <f t="array" ref="L354">IFNA(xlookup(H354,'🙎‍♂️ Pasien'!$G$5:$G371,'🙎‍♂️ Pasien'!$J$5:$J371),"")</f>
        <v>35-44 tahun</v>
      </c>
      <c r="M354" s="125" t="str">
        <f t="array" ref="M354">IFNA(xlookup(H354,'🙎‍♂️ Pasien'!$G$5:$G371,'🙎‍♂️ Pasien'!$S$5:$S371),"")</f>
        <v>WIRASWASTA</v>
      </c>
      <c r="N354" s="125" t="str">
        <f t="array" ref="N354">IFNA(XLOOKUP($H354,'🙎‍♂️ Pasien'!$G$7:$G371,'🙎‍♂️ Pasien'!$T$7:$T371),"")</f>
        <v>KAKI</v>
      </c>
      <c r="O354" s="16" t="s">
        <v>985</v>
      </c>
      <c r="P354" s="16" t="s">
        <v>829</v>
      </c>
      <c r="Q354" s="16" t="s">
        <v>29</v>
      </c>
      <c r="R354" s="16" t="s">
        <v>54</v>
      </c>
      <c r="S354" s="16" t="s">
        <v>509</v>
      </c>
      <c r="T354" s="16" t="s">
        <v>834</v>
      </c>
      <c r="U354" s="109"/>
      <c r="V354" s="126"/>
      <c r="W354" s="109"/>
      <c r="X354" s="109" t="str">
        <f t="array" ref="X354">IF(H354="","",XLOOKUP(H354,CATATANPELAYANAN[[#ALL],[NAMA PASIEN]],CATATANPELAYANAN[[#ALL],[LAYANAN]],"TIDAK CLOSING",0,-1))</f>
        <v>TERAPI AWAL</v>
      </c>
      <c r="Y354" s="109" t="str">
        <f t="shared" si="4"/>
        <v>TIDAK CLOSING</v>
      </c>
      <c r="Z354" s="127"/>
    </row>
    <row r="355" ht="22.5" customHeight="1">
      <c r="A355" s="122"/>
      <c r="B355" s="123"/>
      <c r="C355" s="124" t="str">
        <f t="shared" si="39"/>
        <v/>
      </c>
      <c r="D355" s="124" t="str">
        <f t="shared" si="27"/>
        <v/>
      </c>
      <c r="E355" s="124" t="str">
        <f t="shared" si="28"/>
        <v/>
      </c>
      <c r="F355" s="20"/>
      <c r="G355" s="109" t="str">
        <f t="array" ref="G355">IFNA(XLOOKUP(S355,'⚙️ Pengaturan'!$H$5:$H371,'⚙️ Pengaturan'!$I$5:$I371),"")</f>
        <v/>
      </c>
      <c r="H355" s="109"/>
      <c r="I355" s="125" t="str">
        <f t="array" ref="I355">ifna(xlookup($H355,'🙎‍♂️ Pasien'!$G$7:$G371,'🙎‍♂️ Pasien'!$H$7:$H371),"")</f>
        <v/>
      </c>
      <c r="J355" s="125" t="str">
        <f t="array" ref="J355">ifna(xlookup($H355,'🙎‍♂️ Pasien'!$G$7:$G371,'🙎‍♂️ Pasien'!$L$7:$L371),"")</f>
        <v/>
      </c>
      <c r="K355" s="125" t="str">
        <f t="array" ref="K355">ifna(xlookup($H355,'🙎‍♂️ Pasien'!$G$7:$G371,'🙎‍♂️ Pasien'!$I$7:$I371),"")</f>
        <v/>
      </c>
      <c r="L355" s="125" t="str">
        <f t="array" ref="L355">IFNA(xlookup(H355,'🙎‍♂️ Pasien'!$G$5:$G371,'🙎‍♂️ Pasien'!$J$5:$J371),"")</f>
        <v/>
      </c>
      <c r="M355" s="125" t="str">
        <f t="array" ref="M355">IFNA(xlookup(H355,'🙎‍♂️ Pasien'!$G$5:$G371,'🙎‍♂️ Pasien'!$S$5:$S371),"")</f>
        <v/>
      </c>
      <c r="N355" s="125" t="str">
        <f t="array" ref="N355">IFNA(XLOOKUP($H355,'🙎‍♂️ Pasien'!$G$7:$G371,'🙎‍♂️ Pasien'!$T$7:$T371),"")</f>
        <v/>
      </c>
      <c r="O355" s="16"/>
      <c r="P355" s="20"/>
      <c r="Q355" s="20"/>
      <c r="R355" s="20"/>
      <c r="S355" s="20"/>
      <c r="T355" s="20"/>
      <c r="U355" s="109"/>
      <c r="V355" s="126"/>
      <c r="W355" s="109"/>
      <c r="X355" s="109" t="str">
        <f t="array" ref="X355">IF(H355="","",XLOOKUP(H355,CATATANPELAYANAN[[#ALL],[NAMA PASIEN]],CATATANPELAYANAN[[#ALL],[LAYANAN]],"TIDAK CLOSING",0,-1))</f>
        <v/>
      </c>
      <c r="Y355" s="109" t="str">
        <f t="shared" si="4"/>
        <v>TIDAK CLOSING</v>
      </c>
      <c r="Z355" s="127"/>
    </row>
    <row r="356" ht="22.5" customHeight="1">
      <c r="A356" s="122"/>
      <c r="B356" s="123">
        <v>46018.0</v>
      </c>
      <c r="C356" s="124" t="str">
        <f t="shared" si="39"/>
        <v>2025</v>
      </c>
      <c r="D356" s="124" t="str">
        <f t="shared" si="27"/>
        <v>12 Des</v>
      </c>
      <c r="E356" s="124" t="str">
        <f t="shared" si="28"/>
        <v>Sab</v>
      </c>
      <c r="F356" s="16" t="s">
        <v>85</v>
      </c>
      <c r="G356" s="109" t="str">
        <f t="array" ref="G356">IFNA(XLOOKUP(S356,'⚙️ Pengaturan'!$H$5:$H371,'⚙️ Pengaturan'!$I$5:$I371),"")</f>
        <v>TIM A</v>
      </c>
      <c r="H356" s="109" t="s">
        <v>791</v>
      </c>
      <c r="I356" s="125" t="str">
        <f t="array" ref="I356">ifna(xlookup($H356,'🙎‍♂️ Pasien'!$G$7:$G371,'🙎‍♂️ Pasien'!$H$7:$H371),"")</f>
        <v>R9325125636</v>
      </c>
      <c r="J356" s="125" t="str">
        <f t="array" ref="J356">ifna(xlookup($H356,'🙎‍♂️ Pasien'!$G$7:$G371,'🙎‍♂️ Pasien'!$L$7:$L371),"")</f>
        <v>LAKI-LAKI</v>
      </c>
      <c r="K356" s="125">
        <f t="array" ref="K356">ifna(xlookup($H356,'🙎‍♂️ Pasien'!$G$7:$G371,'🙎‍♂️ Pasien'!$I$7:$I371),"")</f>
        <v>33</v>
      </c>
      <c r="L356" s="125" t="str">
        <f t="array" ref="L356">IFNA(xlookup(H356,'🙎‍♂️ Pasien'!$G$5:$G371,'🙎‍♂️ Pasien'!$J$5:$J371),"")</f>
        <v>25-34 tahun</v>
      </c>
      <c r="M356" s="125" t="str">
        <f t="array" ref="M356">IFNA(xlookup(H356,'🙎‍♂️ Pasien'!$G$5:$G371,'🙎‍♂️ Pasien'!$S$5:$S371),"")</f>
        <v>BUMD</v>
      </c>
      <c r="N356" s="125" t="str">
        <f t="array" ref="N356">IFNA(XLOOKUP($H356,'🙎‍♂️ Pasien'!$G$7:$G371,'🙎‍♂️ Pasien'!$T$7:$T371),"")</f>
        <v>NYERI PINGGANG</v>
      </c>
      <c r="O356" s="16" t="s">
        <v>825</v>
      </c>
      <c r="P356" s="16" t="s">
        <v>826</v>
      </c>
      <c r="Q356" s="16" t="s">
        <v>29</v>
      </c>
      <c r="R356" s="16" t="s">
        <v>86</v>
      </c>
      <c r="S356" s="16" t="s">
        <v>72</v>
      </c>
      <c r="T356" s="16" t="s">
        <v>827</v>
      </c>
      <c r="U356" s="109"/>
      <c r="V356" s="126"/>
      <c r="W356" s="109"/>
      <c r="X356" s="109" t="str">
        <f t="array" ref="X356">IF(H356="","",XLOOKUP(H356,CATATANPELAYANAN[[#ALL],[NAMA PASIEN]],CATATANPELAYANAN[[#ALL],[LAYANAN]],"TIDAK CLOSING",0,-1))</f>
        <v>SESI TERAPI</v>
      </c>
      <c r="Y356" s="109" t="str">
        <f t="shared" si="4"/>
        <v>SESI</v>
      </c>
      <c r="Z356" s="127"/>
    </row>
    <row r="357" ht="22.5" customHeight="1">
      <c r="A357" s="122"/>
      <c r="B357" s="123">
        <v>46018.0</v>
      </c>
      <c r="C357" s="124" t="str">
        <f t="shared" si="39"/>
        <v>2025</v>
      </c>
      <c r="D357" s="124" t="str">
        <f t="shared" si="27"/>
        <v>12 Des</v>
      </c>
      <c r="E357" s="124" t="str">
        <f t="shared" si="28"/>
        <v>Sab</v>
      </c>
      <c r="F357" s="16" t="s">
        <v>85</v>
      </c>
      <c r="G357" s="109" t="str">
        <f t="array" ref="G357">IFNA(XLOOKUP(S357,'⚙️ Pengaturan'!$H$5:$H371,'⚙️ Pengaturan'!$I$5:$I371),"")</f>
        <v>TIM A</v>
      </c>
      <c r="H357" s="109" t="s">
        <v>1101</v>
      </c>
      <c r="I357" s="125" t="str">
        <f t="array" ref="I357">ifna(xlookup($H357,'🙎‍♂️ Pasien'!$G$7:$G371,'🙎‍♂️ Pasien'!$H$7:$H371),"")</f>
        <v>F8325127729</v>
      </c>
      <c r="J357" s="125" t="str">
        <f t="array" ref="J357">ifna(xlookup($H357,'🙎‍♂️ Pasien'!$G$7:$G371,'🙎‍♂️ Pasien'!$L$7:$L371),"")</f>
        <v>PEREMPUAN</v>
      </c>
      <c r="K357" s="125">
        <f t="array" ref="K357">ifna(xlookup($H357,'🙎‍♂️ Pasien'!$G$7:$G371,'🙎‍♂️ Pasien'!$I$7:$I371),"")</f>
        <v>43</v>
      </c>
      <c r="L357" s="125" t="str">
        <f t="array" ref="L357">IFNA(xlookup(H357,'🙎‍♂️ Pasien'!$G$5:$G371,'🙎‍♂️ Pasien'!$J$5:$J371),"")</f>
        <v>35-44 tahun</v>
      </c>
      <c r="M357" s="125" t="str">
        <f t="array" ref="M357">IFNA(xlookup(H357,'🙎‍♂️ Pasien'!$G$5:$G371,'🙎‍♂️ Pasien'!$S$5:$S371),"")</f>
        <v>IRT</v>
      </c>
      <c r="N357" s="125" t="str">
        <f t="array" ref="N357">IFNA(XLOOKUP($H357,'🙎‍♂️ Pasien'!$G$7:$G371,'🙎‍♂️ Pasien'!$T$7:$T371),"")</f>
        <v>LUTUT</v>
      </c>
      <c r="O357" s="16" t="s">
        <v>876</v>
      </c>
      <c r="P357" s="16" t="s">
        <v>829</v>
      </c>
      <c r="Q357" s="16" t="s">
        <v>29</v>
      </c>
      <c r="R357" s="16" t="s">
        <v>86</v>
      </c>
      <c r="S357" s="16" t="s">
        <v>79</v>
      </c>
      <c r="T357" s="16" t="s">
        <v>830</v>
      </c>
      <c r="U357" s="109"/>
      <c r="V357" s="126"/>
      <c r="W357" s="109"/>
      <c r="X357" s="109" t="str">
        <f t="array" ref="X357">IF(H357="","",XLOOKUP(H357,CATATANPELAYANAN[[#ALL],[NAMA PASIEN]],CATATANPELAYANAN[[#ALL],[LAYANAN]],"TIDAK CLOSING",0,-1))</f>
        <v>TIDAK CLOSING</v>
      </c>
      <c r="Y357" s="109" t="str">
        <f t="shared" si="4"/>
        <v>TIDAK CLOSING</v>
      </c>
      <c r="Z357" s="127"/>
    </row>
    <row r="358" ht="22.5" customHeight="1">
      <c r="A358" s="122"/>
      <c r="B358" s="123">
        <v>46018.0</v>
      </c>
      <c r="C358" s="124" t="str">
        <f t="shared" si="39"/>
        <v>2025</v>
      </c>
      <c r="D358" s="124" t="str">
        <f t="shared" si="27"/>
        <v>12 Des</v>
      </c>
      <c r="E358" s="124" t="str">
        <f t="shared" si="28"/>
        <v>Sab</v>
      </c>
      <c r="F358" s="16" t="s">
        <v>85</v>
      </c>
      <c r="G358" s="109" t="str">
        <f t="array" ref="G358">IFNA(XLOOKUP(S358,'⚙️ Pengaturan'!$H$5:$H371,'⚙️ Pengaturan'!$I$5:$I371),"")</f>
        <v>TIM A</v>
      </c>
      <c r="H358" s="109" t="s">
        <v>792</v>
      </c>
      <c r="I358" s="125" t="str">
        <f t="array" ref="I358">ifna(xlookup($H358,'🙎‍♂️ Pasien'!$G$7:$G371,'🙎‍♂️ Pasien'!$H$7:$H371),"")</f>
        <v>S7723054038</v>
      </c>
      <c r="J358" s="125" t="str">
        <f t="array" ref="J358">ifna(xlookup($H358,'🙎‍♂️ Pasien'!$G$7:$G371,'🙎‍♂️ Pasien'!$L$7:$L371),"")</f>
        <v>PEREMPUAN</v>
      </c>
      <c r="K358" s="125">
        <f t="array" ref="K358">ifna(xlookup($H358,'🙎‍♂️ Pasien'!$G$7:$G371,'🙎‍♂️ Pasien'!$I$7:$I371),"")</f>
        <v>49</v>
      </c>
      <c r="L358" s="125" t="str">
        <f t="array" ref="L358">IFNA(xlookup(H358,'🙎‍♂️ Pasien'!$G$5:$G371,'🙎‍♂️ Pasien'!$J$5:$J371),"")</f>
        <v>&gt; 44 tahun</v>
      </c>
      <c r="M358" s="125" t="str">
        <f t="array" ref="M358">IFNA(xlookup(H358,'🙎‍♂️ Pasien'!$G$5:$G371,'🙎‍♂️ Pasien'!$S$5:$S371),"")</f>
        <v>BUMD</v>
      </c>
      <c r="N358" s="125" t="str">
        <f t="array" ref="N358">IFNA(XLOOKUP($H358,'🙎‍♂️ Pasien'!$G$7:$G371,'🙎‍♂️ Pasien'!$T$7:$T371),"")</f>
        <v>BAHU</v>
      </c>
      <c r="O358" s="16" t="s">
        <v>1006</v>
      </c>
      <c r="P358" s="16" t="s">
        <v>845</v>
      </c>
      <c r="Q358" s="16" t="s">
        <v>28</v>
      </c>
      <c r="R358" s="16" t="s">
        <v>86</v>
      </c>
      <c r="S358" s="16" t="s">
        <v>72</v>
      </c>
      <c r="T358" s="16" t="s">
        <v>830</v>
      </c>
      <c r="U358" s="109"/>
      <c r="V358" s="126"/>
      <c r="W358" s="109"/>
      <c r="X358" s="109" t="str">
        <f t="array" ref="X358">IF(H358="","",XLOOKUP(H358,CATATANPELAYANAN[[#ALL],[NAMA PASIEN]],CATATANPELAYANAN[[#ALL],[LAYANAN]],"TIDAK CLOSING",0,-1))</f>
        <v>PAKET TERAPI</v>
      </c>
      <c r="Y358" s="109" t="str">
        <f t="shared" si="4"/>
        <v>PAKET</v>
      </c>
      <c r="Z358" s="127"/>
    </row>
    <row r="359" ht="22.5" customHeight="1">
      <c r="A359" s="122"/>
      <c r="B359" s="123">
        <v>46019.0</v>
      </c>
      <c r="C359" s="124" t="str">
        <f t="shared" si="39"/>
        <v>2025</v>
      </c>
      <c r="D359" s="124" t="str">
        <f t="shared" si="27"/>
        <v>12 Des</v>
      </c>
      <c r="E359" s="124" t="str">
        <f t="shared" si="28"/>
        <v>Min</v>
      </c>
      <c r="F359" s="16" t="s">
        <v>53</v>
      </c>
      <c r="G359" s="109" t="str">
        <f t="array" ref="G359">IFNA(XLOOKUP(S359,'⚙️ Pengaturan'!$H$5:$H371,'⚙️ Pengaturan'!$I$5:$I371),"")</f>
        <v>TIM A</v>
      </c>
      <c r="H359" s="109" t="s">
        <v>1102</v>
      </c>
      <c r="I359" s="125" t="str">
        <f t="array" ref="I359">ifna(xlookup($H359,'🙎‍♂️ Pasien'!$G$7:$G371,'🙎‍♂️ Pasien'!$H$7:$H371),"")</f>
        <v>I7825120767</v>
      </c>
      <c r="J359" s="125" t="str">
        <f t="array" ref="J359">ifna(xlookup($H359,'🙎‍♂️ Pasien'!$G$7:$G371,'🙎‍♂️ Pasien'!$L$7:$L371),"")</f>
        <v>PEREMPUAN</v>
      </c>
      <c r="K359" s="125">
        <f t="array" ref="K359">ifna(xlookup($H359,'🙎‍♂️ Pasien'!$G$7:$G371,'🙎‍♂️ Pasien'!$I$7:$I371),"")</f>
        <v>47</v>
      </c>
      <c r="L359" s="125" t="str">
        <f t="array" ref="L359">IFNA(xlookup(H359,'🙎‍♂️ Pasien'!$G$5:$G371,'🙎‍♂️ Pasien'!$J$5:$J371),"")</f>
        <v>&gt; 44 tahun</v>
      </c>
      <c r="M359" s="125" t="str">
        <f t="array" ref="M359">IFNA(xlookup(H359,'🙎‍♂️ Pasien'!$G$5:$G371,'🙎‍♂️ Pasien'!$S$5:$S371),"")</f>
        <v>DOSEN</v>
      </c>
      <c r="N359" s="125" t="str">
        <f t="array" ref="N359">IFNA(XLOOKUP($H359,'🙎‍♂️ Pasien'!$G$7:$G371,'🙎‍♂️ Pasien'!$T$7:$T371),"")</f>
        <v>BAGIAN KANAN BADAN KAKI DAN TANGAN LEMAH MENIMBULKAN GETARAN PADA LENGAN KETIKA DIANGKAT KE ATAS DAN SAKIT . KAKI KANAN SUKA PEGEL TERUTAMA BAGIAN PAHA DARI PANGKAL SAMPAI ATAS LUTUT, KALAU JALAN KAKI KANAN SUKA KESANDUNG.TAHUN 2020 PERNAH DITABRAK DARI BELAKANG JATUH BADAN KEKANAN MULAI MERASAKAN MASALAH DITAHUN 2022 PERTENGAHAN</v>
      </c>
      <c r="O359" s="16" t="s">
        <v>1004</v>
      </c>
      <c r="P359" s="16" t="s">
        <v>839</v>
      </c>
      <c r="Q359" s="16" t="s">
        <v>29</v>
      </c>
      <c r="R359" s="16" t="s">
        <v>86</v>
      </c>
      <c r="S359" s="16" t="s">
        <v>72</v>
      </c>
      <c r="T359" s="16" t="s">
        <v>834</v>
      </c>
      <c r="U359" s="109"/>
      <c r="V359" s="126"/>
      <c r="W359" s="109"/>
      <c r="X359" s="109" t="str">
        <f t="array" ref="X359">IF(H359="","",XLOOKUP(H359,CATATANPELAYANAN[[#ALL],[NAMA PASIEN]],CATATANPELAYANAN[[#ALL],[LAYANAN]],"TIDAK CLOSING",0,-1))</f>
        <v>TIDAK CLOSING</v>
      </c>
      <c r="Y359" s="109" t="str">
        <f t="shared" si="4"/>
        <v>TIDAK CLOSING</v>
      </c>
      <c r="Z359" s="127"/>
    </row>
    <row r="360" ht="22.5" customHeight="1">
      <c r="A360" s="122"/>
      <c r="B360" s="123">
        <v>46019.0</v>
      </c>
      <c r="C360" s="124" t="str">
        <f t="shared" si="39"/>
        <v>2025</v>
      </c>
      <c r="D360" s="124" t="str">
        <f t="shared" si="27"/>
        <v>12 Des</v>
      </c>
      <c r="E360" s="124" t="str">
        <f t="shared" si="28"/>
        <v>Min</v>
      </c>
      <c r="F360" s="16" t="s">
        <v>53</v>
      </c>
      <c r="G360" s="109" t="str">
        <f t="array" ref="G360">IFNA(XLOOKUP(S360,'⚙️ Pengaturan'!$H$5:$H371,'⚙️ Pengaturan'!$I$5:$I371),"")</f>
        <v>TIM A</v>
      </c>
      <c r="H360" s="109" t="s">
        <v>797</v>
      </c>
      <c r="I360" s="125" t="str">
        <f t="array" ref="I360">ifna(xlookup($H360,'🙎‍♂️ Pasien'!$G$7:$G371,'🙎‍♂️ Pasien'!$H$7:$H371),"")</f>
        <v>R6325126355</v>
      </c>
      <c r="J360" s="125" t="str">
        <f t="array" ref="J360">ifna(xlookup($H360,'🙎‍♂️ Pasien'!$G$7:$G371,'🙎‍♂️ Pasien'!$L$7:$L371),"")</f>
        <v>PEREMPUAN</v>
      </c>
      <c r="K360" s="125">
        <f t="array" ref="K360">ifna(xlookup($H360,'🙎‍♂️ Pasien'!$G$7:$G371,'🙎‍♂️ Pasien'!$I$7:$I371),"")</f>
        <v>63</v>
      </c>
      <c r="L360" s="125" t="str">
        <f t="array" ref="L360">IFNA(xlookup(H360,'🙎‍♂️ Pasien'!$G$5:$G371,'🙎‍♂️ Pasien'!$J$5:$J371),"")</f>
        <v>&gt; 44 tahun</v>
      </c>
      <c r="M360" s="125" t="str">
        <f t="array" ref="M360">IFNA(xlookup(H360,'🙎‍♂️ Pasien'!$G$5:$G371,'🙎‍♂️ Pasien'!$S$5:$S371),"")</f>
        <v>PENSIUNAN GURU</v>
      </c>
      <c r="N360" s="125" t="str">
        <f t="array" ref="N360">IFNA(XLOOKUP($H360,'🙎‍♂️ Pasien'!$G$7:$G371,'🙎‍♂️ Pasien'!$T$7:$T371),"")</f>
        <v>RHEUMATOID ARTHRITIS</v>
      </c>
      <c r="O360" s="16" t="s">
        <v>1103</v>
      </c>
      <c r="P360" s="16" t="s">
        <v>869</v>
      </c>
      <c r="Q360" s="16" t="s">
        <v>29</v>
      </c>
      <c r="R360" s="16" t="s">
        <v>86</v>
      </c>
      <c r="S360" s="16" t="s">
        <v>72</v>
      </c>
      <c r="T360" s="16" t="s">
        <v>834</v>
      </c>
      <c r="U360" s="109"/>
      <c r="V360" s="126"/>
      <c r="W360" s="109"/>
      <c r="X360" s="109" t="str">
        <f t="array" ref="X360">IF(H360="","",XLOOKUP(H360,CATATANPELAYANAN[[#ALL],[NAMA PASIEN]],CATATANPELAYANAN[[#ALL],[LAYANAN]],"TIDAK CLOSING",0,-1))</f>
        <v>TERAPI AWAL</v>
      </c>
      <c r="Y360" s="109" t="str">
        <f t="shared" si="4"/>
        <v>TIDAK CLOSING</v>
      </c>
      <c r="Z360" s="127"/>
    </row>
    <row r="361" ht="22.5" customHeight="1">
      <c r="A361" s="122"/>
      <c r="B361" s="123">
        <v>46019.0</v>
      </c>
      <c r="C361" s="124" t="str">
        <f t="shared" si="39"/>
        <v>2025</v>
      </c>
      <c r="D361" s="124" t="str">
        <f t="shared" si="27"/>
        <v>12 Des</v>
      </c>
      <c r="E361" s="124" t="str">
        <f t="shared" si="28"/>
        <v>Min</v>
      </c>
      <c r="F361" s="16" t="s">
        <v>53</v>
      </c>
      <c r="G361" s="109" t="str">
        <f t="array" ref="G361">IFNA(XLOOKUP(S361,'⚙️ Pengaturan'!$H$5:$H371,'⚙️ Pengaturan'!$I$5:$I371),"")</f>
        <v>TIM A</v>
      </c>
      <c r="H361" s="109" t="s">
        <v>799</v>
      </c>
      <c r="I361" s="125" t="str">
        <f t="array" ref="I361">ifna(xlookup($H361,'🙎‍♂️ Pasien'!$G$7:$G371,'🙎‍♂️ Pasien'!$H$7:$H371),"")</f>
        <v>A5425122766</v>
      </c>
      <c r="J361" s="125" t="str">
        <f t="array" ref="J361">ifna(xlookup($H361,'🙎‍♂️ Pasien'!$G$7:$G371,'🙎‍♂️ Pasien'!$L$7:$L371),"")</f>
        <v>PEREMPUAN</v>
      </c>
      <c r="K361" s="125">
        <f t="array" ref="K361">ifna(xlookup($H361,'🙎‍♂️ Pasien'!$G$7:$G371,'🙎‍♂️ Pasien'!$I$7:$I371),"")</f>
        <v>71</v>
      </c>
      <c r="L361" s="125" t="str">
        <f t="array" ref="L361">IFNA(xlookup(H361,'🙎‍♂️ Pasien'!$G$5:$G371,'🙎‍♂️ Pasien'!$J$5:$J371),"")</f>
        <v>&gt; 44 tahun</v>
      </c>
      <c r="M361" s="125" t="str">
        <f t="array" ref="M361">IFNA(xlookup(H361,'🙎‍♂️ Pasien'!$G$5:$G371,'🙎‍♂️ Pasien'!$S$5:$S371),"")</f>
        <v>IBU RUMAH TANGGA</v>
      </c>
      <c r="N361" s="125" t="str">
        <f t="array" ref="N361">IFNA(XLOOKUP($H361,'🙎‍♂️ Pasien'!$G$7:$G371,'🙎‍♂️ Pasien'!$T$7:$T371),"")</f>
        <v>KAKI MATI RASA SEKARANG SEMAKIN BERAT JIKA MAU ANGKAT KAKI SAAT BERJALAN</v>
      </c>
      <c r="O361" s="16" t="s">
        <v>902</v>
      </c>
      <c r="P361" s="16" t="s">
        <v>836</v>
      </c>
      <c r="Q361" s="16" t="s">
        <v>28</v>
      </c>
      <c r="R361" s="16" t="s">
        <v>86</v>
      </c>
      <c r="S361" s="16" t="s">
        <v>72</v>
      </c>
      <c r="T361" s="16" t="s">
        <v>834</v>
      </c>
      <c r="U361" s="109" t="s">
        <v>831</v>
      </c>
      <c r="V361" s="126"/>
      <c r="W361" s="109"/>
      <c r="X361" s="109" t="str">
        <f t="array" ref="X361">IF(H361="","",XLOOKUP(H361,CATATANPELAYANAN[[#ALL],[NAMA PASIEN]],CATATANPELAYANAN[[#ALL],[LAYANAN]],"TIDAK CLOSING",0,-1))</f>
        <v>TERAPI AWAL</v>
      </c>
      <c r="Y361" s="109" t="str">
        <f t="shared" si="4"/>
        <v>TIDAK CLOSING</v>
      </c>
      <c r="Z361" s="127"/>
    </row>
    <row r="362" ht="22.5" customHeight="1">
      <c r="A362" s="122"/>
      <c r="B362" s="123">
        <v>46019.0</v>
      </c>
      <c r="C362" s="124" t="str">
        <f t="shared" si="39"/>
        <v>2025</v>
      </c>
      <c r="D362" s="124" t="str">
        <f t="shared" si="27"/>
        <v>12 Des</v>
      </c>
      <c r="E362" s="124" t="str">
        <f t="shared" si="28"/>
        <v>Min</v>
      </c>
      <c r="F362" s="16" t="s">
        <v>53</v>
      </c>
      <c r="G362" s="109" t="str">
        <f t="array" ref="G362">IFNA(XLOOKUP(S362,'⚙️ Pengaturan'!$H$5:$H371,'⚙️ Pengaturan'!$I$5:$I371),"")</f>
        <v>TIM A</v>
      </c>
      <c r="H362" s="109" t="s">
        <v>801</v>
      </c>
      <c r="I362" s="125" t="str">
        <f t="array" ref="I362">ifna(xlookup($H362,'🙎‍♂️ Pasien'!$G$7:$G371,'🙎‍♂️ Pasien'!$H$7:$H371),"")</f>
        <v>P9824042265</v>
      </c>
      <c r="J362" s="125" t="str">
        <f t="array" ref="J362">ifna(xlookup($H362,'🙎‍♂️ Pasien'!$G$7:$G371,'🙎‍♂️ Pasien'!$L$7:$L371),"")</f>
        <v>PEREMPUAN</v>
      </c>
      <c r="K362" s="125">
        <f t="array" ref="K362">ifna(xlookup($H362,'🙎‍♂️ Pasien'!$G$7:$G371,'🙎‍♂️ Pasien'!$I$7:$I371),"")</f>
        <v>28</v>
      </c>
      <c r="L362" s="125" t="str">
        <f t="array" ref="L362">IFNA(xlookup(H362,'🙎‍♂️ Pasien'!$G$5:$G371,'🙎‍♂️ Pasien'!$J$5:$J371),"")</f>
        <v>25-34 tahun</v>
      </c>
      <c r="M362" s="125" t="str">
        <f t="array" ref="M362">IFNA(xlookup(H362,'🙎‍♂️ Pasien'!$G$5:$G371,'🙎‍♂️ Pasien'!$S$5:$S371),"")</f>
        <v>SWASTA</v>
      </c>
      <c r="N362" s="125" t="str">
        <f t="array" ref="N362">IFNA(XLOOKUP($H362,'🙎‍♂️ Pasien'!$G$7:$G371,'🙎‍♂️ Pasien'!$T$7:$T371),"")</f>
        <v>Sakit di bagian belakang tubuh dari punggung hingga ke pinggang</v>
      </c>
      <c r="O362" s="16" t="s">
        <v>928</v>
      </c>
      <c r="P362" s="16" t="s">
        <v>826</v>
      </c>
      <c r="Q362" s="16" t="s">
        <v>28</v>
      </c>
      <c r="R362" s="16" t="s">
        <v>86</v>
      </c>
      <c r="S362" s="16" t="s">
        <v>79</v>
      </c>
      <c r="T362" s="16" t="s">
        <v>834</v>
      </c>
      <c r="U362" s="109" t="s">
        <v>831</v>
      </c>
      <c r="V362" s="126"/>
      <c r="W362" s="109"/>
      <c r="X362" s="109" t="str">
        <f t="array" ref="X362">IF(H362="","",XLOOKUP(H362,CATATANPELAYANAN[[#ALL],[NAMA PASIEN]],CATATANPELAYANAN[[#ALL],[LAYANAN]],"TIDAK CLOSING",0,-1))</f>
        <v>TERAPI AWAL</v>
      </c>
      <c r="Y362" s="109" t="str">
        <f t="shared" si="4"/>
        <v>TIDAK CLOSING</v>
      </c>
      <c r="Z362" s="127"/>
    </row>
    <row r="363" ht="22.5" customHeight="1">
      <c r="A363" s="122"/>
      <c r="B363" s="123">
        <v>46019.0</v>
      </c>
      <c r="C363" s="124" t="str">
        <f t="shared" si="39"/>
        <v>2025</v>
      </c>
      <c r="D363" s="124" t="str">
        <f t="shared" si="27"/>
        <v>12 Des</v>
      </c>
      <c r="E363" s="124" t="str">
        <f t="shared" si="28"/>
        <v>Min</v>
      </c>
      <c r="F363" s="16" t="s">
        <v>85</v>
      </c>
      <c r="G363" s="109" t="str">
        <f t="array" ref="G363">IFNA(XLOOKUP(S363,'⚙️ Pengaturan'!$H$5:$H371,'⚙️ Pengaturan'!$I$5:$I371),"")</f>
        <v>TIM Y</v>
      </c>
      <c r="H363" s="137" t="s">
        <v>803</v>
      </c>
      <c r="I363" s="125" t="str">
        <f t="array" ref="I363">ifna(xlookup($H363,'🙎‍♂️ Pasien'!$G$7:$G371,'🙎‍♂️ Pasien'!$H$7:$H371),"")</f>
        <v>N6225128383</v>
      </c>
      <c r="J363" s="125" t="str">
        <f t="array" ref="J363">ifna(xlookup($H363,'🙎‍♂️ Pasien'!$G$7:$G371,'🙎‍♂️ Pasien'!$L$7:$L371),"")</f>
        <v>PEREMPUAN</v>
      </c>
      <c r="K363" s="125">
        <f t="array" ref="K363">ifna(xlookup($H363,'🙎‍♂️ Pasien'!$G$7:$G371,'🙎‍♂️ Pasien'!$I$7:$I371),"")</f>
        <v>64</v>
      </c>
      <c r="L363" s="125" t="str">
        <f t="array" ref="L363">IFNA(xlookup(H363,'🙎‍♂️ Pasien'!$G$5:$G371,'🙎‍♂️ Pasien'!$J$5:$J371),"")</f>
        <v>&gt; 44 tahun</v>
      </c>
      <c r="M363" s="125" t="str">
        <f t="array" ref="M363">IFNA(xlookup(H363,'🙎‍♂️ Pasien'!$G$5:$G371,'🙎‍♂️ Pasien'!$S$5:$S371),"")</f>
        <v>IRY</v>
      </c>
      <c r="N363" s="125" t="str">
        <f t="array" ref="N363">IFNA(XLOOKUP($H363,'🙎‍♂️ Pasien'!$G$7:$G371,'🙎‍♂️ Pasien'!$T$7:$T371),"")</f>
        <v>LUTUT</v>
      </c>
      <c r="O363" s="16" t="s">
        <v>902</v>
      </c>
      <c r="P363" s="16" t="s">
        <v>836</v>
      </c>
      <c r="Q363" s="16" t="s">
        <v>29</v>
      </c>
      <c r="R363" s="16" t="s">
        <v>54</v>
      </c>
      <c r="S363" s="16" t="s">
        <v>88</v>
      </c>
      <c r="T363" s="16" t="s">
        <v>827</v>
      </c>
      <c r="U363" s="109"/>
      <c r="V363" s="126"/>
      <c r="W363" s="109"/>
      <c r="X363" s="109" t="str">
        <f t="array" ref="X363">IF(H363="","",XLOOKUP(H363,CATATANPELAYANAN[[#ALL],[NAMA PASIEN]],CATATANPELAYANAN[[#ALL],[LAYANAN]],"TIDAK CLOSING",0,-1))</f>
        <v>SESI TERAPI</v>
      </c>
      <c r="Y363" s="109" t="str">
        <f t="shared" si="4"/>
        <v>SESI</v>
      </c>
      <c r="Z363" s="127"/>
    </row>
    <row r="364" ht="22.5" customHeight="1">
      <c r="A364" s="122"/>
      <c r="B364" s="123">
        <v>46019.0</v>
      </c>
      <c r="C364" s="124" t="str">
        <f t="shared" si="39"/>
        <v>2025</v>
      </c>
      <c r="D364" s="124" t="str">
        <f t="shared" si="27"/>
        <v>12 Des</v>
      </c>
      <c r="E364" s="124" t="str">
        <f t="shared" si="28"/>
        <v>Min</v>
      </c>
      <c r="F364" s="16" t="s">
        <v>85</v>
      </c>
      <c r="G364" s="109" t="str">
        <f t="array" ref="G364">IFNA(XLOOKUP(S364,'⚙️ Pengaturan'!$H$5:$H371,'⚙️ Pengaturan'!$I$5:$I371),"")</f>
        <v>TIM Y</v>
      </c>
      <c r="H364" s="137" t="s">
        <v>804</v>
      </c>
      <c r="I364" s="125" t="str">
        <f t="array" ref="I364">ifna(xlookup($H364,'🙎‍♂️ Pasien'!$G$7:$G371,'🙎‍♂️ Pasien'!$H$7:$H371),"")</f>
        <v>E0225030144</v>
      </c>
      <c r="J364" s="125" t="str">
        <f t="array" ref="J364">ifna(xlookup($H364,'🙎‍♂️ Pasien'!$G$7:$G371,'🙎‍♂️ Pasien'!$L$7:$L371),"")</f>
        <v>LAKI-LAKI</v>
      </c>
      <c r="K364" s="125">
        <f t="array" ref="K364">ifna(xlookup($H364,'🙎‍♂️ Pasien'!$G$7:$G371,'🙎‍♂️ Pasien'!$I$7:$I371),"")</f>
        <v>23</v>
      </c>
      <c r="L364" s="125" t="str">
        <f t="array" ref="L364">IFNA(xlookup(H364,'🙎‍♂️ Pasien'!$G$5:$G371,'🙎‍♂️ Pasien'!$J$5:$J371),"")</f>
        <v>18-24 tahun</v>
      </c>
      <c r="M364" s="125" t="str">
        <f t="array" ref="M364">IFNA(xlookup(H364,'🙎‍♂️ Pasien'!$G$5:$G371,'🙎‍♂️ Pasien'!$S$5:$S371),"")</f>
        <v>TUKANG LAS</v>
      </c>
      <c r="N364" s="125" t="str">
        <f t="array" ref="N364">IFNA(XLOOKUP($H364,'🙎‍♂️ Pasien'!$G$7:$G371,'🙎‍♂️ Pasien'!$T$7:$T371),"")</f>
        <v>NYERI PINGGANG MENJALAR KE KAKI KIRI</v>
      </c>
      <c r="O364" s="16" t="s">
        <v>1104</v>
      </c>
      <c r="P364" s="16" t="s">
        <v>826</v>
      </c>
      <c r="Q364" s="16" t="s">
        <v>28</v>
      </c>
      <c r="R364" s="16" t="s">
        <v>54</v>
      </c>
      <c r="S364" s="16" t="s">
        <v>88</v>
      </c>
      <c r="T364" s="16" t="s">
        <v>834</v>
      </c>
      <c r="U364" s="109" t="s">
        <v>977</v>
      </c>
      <c r="V364" s="126"/>
      <c r="W364" s="109"/>
      <c r="X364" s="109" t="str">
        <f t="array" ref="X364">IF(H364="","",XLOOKUP(H364,CATATANPELAYANAN[[#ALL],[NAMA PASIEN]],CATATANPELAYANAN[[#ALL],[LAYANAN]],"TIDAK CLOSING",0,-1))</f>
        <v>TERAPI AWAL</v>
      </c>
      <c r="Y364" s="109" t="str">
        <f t="shared" si="4"/>
        <v>TIDAK CLOSING</v>
      </c>
      <c r="Z364" s="127"/>
    </row>
    <row r="365" ht="22.5" customHeight="1">
      <c r="A365" s="122"/>
      <c r="B365" s="123">
        <v>46019.0</v>
      </c>
      <c r="C365" s="124" t="str">
        <f t="shared" si="39"/>
        <v>2025</v>
      </c>
      <c r="D365" s="124" t="str">
        <f t="shared" si="27"/>
        <v>12 Des</v>
      </c>
      <c r="E365" s="124" t="str">
        <f t="shared" si="28"/>
        <v>Min</v>
      </c>
      <c r="F365" s="16" t="s">
        <v>85</v>
      </c>
      <c r="G365" s="109" t="str">
        <f t="array" ref="G365">IFNA(XLOOKUP(S365,'⚙️ Pengaturan'!$H$5:$H371,'⚙️ Pengaturan'!$I$5:$I371),"")</f>
        <v>TIM Y</v>
      </c>
      <c r="H365" s="137" t="s">
        <v>805</v>
      </c>
      <c r="I365" s="125" t="str">
        <f t="array" ref="I365">ifna(xlookup($H365,'🙎‍♂️ Pasien'!$G$7:$G371,'🙎‍♂️ Pasien'!$H$7:$H371),"")</f>
        <v>I8325126278</v>
      </c>
      <c r="J365" s="125" t="str">
        <f t="array" ref="J365">ifna(xlookup($H365,'🙎‍♂️ Pasien'!$G$7:$G371,'🙎‍♂️ Pasien'!$L$7:$L371),"")</f>
        <v>LAKI-LAKI</v>
      </c>
      <c r="K365" s="125">
        <f t="array" ref="K365">ifna(xlookup($H365,'🙎‍♂️ Pasien'!$G$7:$G371,'🙎‍♂️ Pasien'!$I$7:$I371),"")</f>
        <v>43</v>
      </c>
      <c r="L365" s="125" t="str">
        <f t="array" ref="L365">IFNA(xlookup(H365,'🙎‍♂️ Pasien'!$G$5:$G371,'🙎‍♂️ Pasien'!$J$5:$J371),"")</f>
        <v>35-44 tahun</v>
      </c>
      <c r="M365" s="125" t="str">
        <f t="array" ref="M365">IFNA(xlookup(H365,'🙎‍♂️ Pasien'!$G$5:$G371,'🙎‍♂️ Pasien'!$S$5:$S371),"")</f>
        <v>KARYAWAN SWASTA</v>
      </c>
      <c r="N365" s="125" t="str">
        <f t="array" ref="N365">IFNA(XLOOKUP($H365,'🙎‍♂️ Pasien'!$G$7:$G371,'🙎‍♂️ Pasien'!$T$7:$T371),"")</f>
        <v>CIDERA ENGKEL</v>
      </c>
      <c r="O365" s="16" t="s">
        <v>914</v>
      </c>
      <c r="P365" s="16" t="s">
        <v>833</v>
      </c>
      <c r="Q365" s="16" t="s">
        <v>29</v>
      </c>
      <c r="R365" s="16" t="s">
        <v>54</v>
      </c>
      <c r="S365" s="16" t="s">
        <v>88</v>
      </c>
      <c r="T365" s="16" t="s">
        <v>834</v>
      </c>
      <c r="U365" s="109" t="s">
        <v>1105</v>
      </c>
      <c r="V365" s="126"/>
      <c r="W365" s="109"/>
      <c r="X365" s="109" t="str">
        <f t="array" ref="X365">IF(H365="","",XLOOKUP(H365,CATATANPELAYANAN[[#ALL],[NAMA PASIEN]],CATATANPELAYANAN[[#ALL],[LAYANAN]],"TIDAK CLOSING",0,-1))</f>
        <v>TERAPI AWAL</v>
      </c>
      <c r="Y365" s="109" t="str">
        <f t="shared" si="4"/>
        <v>TIDAK CLOSING</v>
      </c>
      <c r="Z365" s="127"/>
    </row>
    <row r="366" ht="22.5" customHeight="1">
      <c r="A366" s="122"/>
      <c r="B366" s="123">
        <v>46020.0</v>
      </c>
      <c r="C366" s="124" t="str">
        <f t="shared" si="39"/>
        <v>2025</v>
      </c>
      <c r="D366" s="124" t="str">
        <f t="shared" si="27"/>
        <v>12 Des</v>
      </c>
      <c r="E366" s="124" t="str">
        <f t="shared" si="28"/>
        <v>Sen</v>
      </c>
      <c r="F366" s="16" t="s">
        <v>53</v>
      </c>
      <c r="G366" s="109" t="str">
        <f t="array" ref="G366">IFNA(XLOOKUP(S366,'⚙️ Pengaturan'!$H$5:$H371,'⚙️ Pengaturan'!$I$5:$I371),"")</f>
        <v>TIM Y</v>
      </c>
      <c r="H366" s="109" t="s">
        <v>808</v>
      </c>
      <c r="I366" s="125" t="str">
        <f t="array" ref="I366">ifna(xlookup($H366,'🙎‍♂️ Pasien'!$G$7:$G371,'🙎‍♂️ Pasien'!$H$7:$H371),"")</f>
        <v>R9725098379</v>
      </c>
      <c r="J366" s="125" t="str">
        <f t="array" ref="J366">ifna(xlookup($H366,'🙎‍♂️ Pasien'!$G$7:$G371,'🙎‍♂️ Pasien'!$L$7:$L371),"")</f>
        <v>LAKI-LAKI</v>
      </c>
      <c r="K366" s="125">
        <f t="array" ref="K366">ifna(xlookup($H366,'🙎‍♂️ Pasien'!$G$7:$G371,'🙎‍♂️ Pasien'!$I$7:$I371),"")</f>
        <v>28</v>
      </c>
      <c r="L366" s="125" t="str">
        <f t="array" ref="L366">IFNA(xlookup(H366,'🙎‍♂️ Pasien'!$G$5:$G371,'🙎‍♂️ Pasien'!$J$5:$J371),"")</f>
        <v>25-34 tahun</v>
      </c>
      <c r="M366" s="125" t="str">
        <f t="array" ref="M366">IFNA(xlookup(H366,'🙎‍♂️ Pasien'!$G$5:$G371,'🙎‍♂️ Pasien'!$S$5:$S371),"")</f>
        <v>PEGAWAI SWASTA</v>
      </c>
      <c r="N366" s="125" t="str">
        <f t="array" ref="N366">IFNA(XLOOKUP($H366,'🙎‍♂️ Pasien'!$G$7:$G371,'🙎‍♂️ Pasien'!$T$7:$T371),"")</f>
        <v>PUNGGUNG SAKIT DAN POSTUR TUBUH</v>
      </c>
      <c r="O366" s="16" t="s">
        <v>871</v>
      </c>
      <c r="P366" s="16" t="s">
        <v>869</v>
      </c>
      <c r="Q366" s="16" t="s">
        <v>28</v>
      </c>
      <c r="R366" s="16" t="s">
        <v>54</v>
      </c>
      <c r="S366" s="16" t="s">
        <v>88</v>
      </c>
      <c r="T366" s="16" t="s">
        <v>834</v>
      </c>
      <c r="U366" s="109" t="s">
        <v>1106</v>
      </c>
      <c r="V366" s="126"/>
      <c r="W366" s="109"/>
      <c r="X366" s="109" t="str">
        <f t="array" ref="X366">IF(H366="","",XLOOKUP(H366,CATATANPELAYANAN[[#ALL],[NAMA PASIEN]],CATATANPELAYANAN[[#ALL],[LAYANAN]],"TIDAK CLOSING",0,-1))</f>
        <v>TERAPI AWAL</v>
      </c>
      <c r="Y366" s="109" t="str">
        <f t="shared" si="4"/>
        <v>TIDAK CLOSING</v>
      </c>
      <c r="Z366" s="127"/>
    </row>
    <row r="367" ht="22.5" customHeight="1">
      <c r="A367" s="122"/>
      <c r="B367" s="123">
        <v>46020.0</v>
      </c>
      <c r="C367" s="124" t="str">
        <f t="shared" si="39"/>
        <v>2025</v>
      </c>
      <c r="D367" s="124" t="str">
        <f t="shared" si="27"/>
        <v>12 Des</v>
      </c>
      <c r="E367" s="124" t="str">
        <f t="shared" si="28"/>
        <v>Sen</v>
      </c>
      <c r="F367" s="16" t="s">
        <v>53</v>
      </c>
      <c r="G367" s="109" t="str">
        <f t="array" ref="G367">IFNA(XLOOKUP(S367,'⚙️ Pengaturan'!$H$5:$H371,'⚙️ Pengaturan'!$I$5:$I371),"")</f>
        <v>MANAJEMEN</v>
      </c>
      <c r="H367" s="139" t="s">
        <v>809</v>
      </c>
      <c r="I367" s="125" t="str">
        <f t="array" ref="I367">ifna(xlookup($H367,'🙎‍♂️ Pasien'!$G$7:$G371,'🙎‍♂️ Pasien'!$H$7:$H371),"")</f>
        <v>C9125120366</v>
      </c>
      <c r="J367" s="125" t="str">
        <f t="array" ref="J367">ifna(xlookup($H367,'🙎‍♂️ Pasien'!$G$7:$G371,'🙎‍♂️ Pasien'!$L$7:$L371),"")</f>
        <v>PEREMPUAN</v>
      </c>
      <c r="K367" s="125">
        <f t="array" ref="K367">ifna(xlookup($H367,'🙎‍♂️ Pasien'!$G$7:$G371,'🙎‍♂️ Pasien'!$I$7:$I371),"")</f>
        <v>35</v>
      </c>
      <c r="L367" s="125" t="str">
        <f t="array" ref="L367">IFNA(xlookup(H367,'🙎‍♂️ Pasien'!$G$5:$G371,'🙎‍♂️ Pasien'!$J$5:$J371),"")</f>
        <v>35-44 tahun</v>
      </c>
      <c r="M367" s="125" t="str">
        <f t="array" ref="M367">IFNA(xlookup(H367,'🙎‍♂️ Pasien'!$G$5:$G371,'🙎‍♂️ Pasien'!$S$5:$S371),"")</f>
        <v>WIRASWASTA</v>
      </c>
      <c r="N367" s="125" t="str">
        <f t="array" ref="N367">IFNA(XLOOKUP($H367,'🙎‍♂️ Pasien'!$G$7:$G371,'🙎‍♂️ Pasien'!$T$7:$T371),"")</f>
        <v>LENGAN</v>
      </c>
      <c r="O367" s="16" t="s">
        <v>906</v>
      </c>
      <c r="P367" s="16" t="s">
        <v>907</v>
      </c>
      <c r="Q367" s="16" t="s">
        <v>29</v>
      </c>
      <c r="R367" s="16" t="s">
        <v>54</v>
      </c>
      <c r="S367" s="16" t="s">
        <v>101</v>
      </c>
      <c r="T367" s="16" t="s">
        <v>830</v>
      </c>
      <c r="U367" s="109"/>
      <c r="V367" s="126"/>
      <c r="W367" s="109"/>
      <c r="X367" s="109" t="str">
        <f t="array" ref="X367">IF(H367="","",XLOOKUP(H367,CATATANPELAYANAN[[#ALL],[NAMA PASIEN]],CATATANPELAYANAN[[#ALL],[LAYANAN]],"TIDAK CLOSING",0,-1))</f>
        <v>TERAPI AWAL</v>
      </c>
      <c r="Y367" s="109" t="str">
        <f t="shared" si="4"/>
        <v>TIDAK CLOSING</v>
      </c>
      <c r="Z367" s="127"/>
    </row>
    <row r="368" ht="22.5" customHeight="1">
      <c r="A368" s="122"/>
      <c r="B368" s="123">
        <v>46020.0</v>
      </c>
      <c r="C368" s="124" t="str">
        <f t="shared" si="39"/>
        <v>2025</v>
      </c>
      <c r="D368" s="124" t="str">
        <f t="shared" si="27"/>
        <v>12 Des</v>
      </c>
      <c r="E368" s="124" t="str">
        <f t="shared" si="28"/>
        <v>Sen</v>
      </c>
      <c r="F368" s="16" t="s">
        <v>53</v>
      </c>
      <c r="G368" s="109" t="str">
        <f t="array" ref="G368">IFNA(XLOOKUP(S368,'⚙️ Pengaturan'!$H$5:$H371,'⚙️ Pengaturan'!$I$5:$I371),"")</f>
        <v>TIM Y</v>
      </c>
      <c r="H368" s="109" t="s">
        <v>812</v>
      </c>
      <c r="I368" s="125" t="str">
        <f t="array" ref="I368">ifna(xlookup($H368,'🙎‍♂️ Pasien'!$G$7:$G371,'🙎‍♂️ Pasien'!$H$7:$H371),"")</f>
        <v>N0825129205</v>
      </c>
      <c r="J368" s="125" t="str">
        <f t="array" ref="J368">ifna(xlookup($H368,'🙎‍♂️ Pasien'!$G$7:$G371,'🙎‍♂️ Pasien'!$L$7:$L371),"")</f>
        <v>PEREMPUAN</v>
      </c>
      <c r="K368" s="125">
        <f t="array" ref="K368">ifna(xlookup($H368,'🙎‍♂️ Pasien'!$G$7:$G371,'🙎‍♂️ Pasien'!$I$7:$I371),"")</f>
        <v>18</v>
      </c>
      <c r="L368" s="125" t="str">
        <f t="array" ref="L368">IFNA(xlookup(H368,'🙎‍♂️ Pasien'!$G$5:$G371,'🙎‍♂️ Pasien'!$J$5:$J371),"")</f>
        <v>&lt; 18 tahun</v>
      </c>
      <c r="M368" s="125" t="str">
        <f t="array" ref="M368">IFNA(xlookup(H368,'🙎‍♂️ Pasien'!$G$5:$G371,'🙎‍♂️ Pasien'!$S$5:$S371),"")</f>
        <v>PELAJAR</v>
      </c>
      <c r="N368" s="125" t="str">
        <f t="array" ref="N368">IFNA(XLOOKUP($H368,'🙎‍♂️ Pasien'!$G$7:$G371,'🙎‍♂️ Pasien'!$T$7:$T371),"")</f>
        <v>PUNGGUNG NYERI SEBELAH KANAN BAGIAN TENGAH KETIKA POSISI PUNGGUNG TEGAK</v>
      </c>
      <c r="O368" s="16" t="s">
        <v>828</v>
      </c>
      <c r="P368" s="16" t="s">
        <v>826</v>
      </c>
      <c r="Q368" s="16" t="s">
        <v>29</v>
      </c>
      <c r="R368" s="16" t="s">
        <v>54</v>
      </c>
      <c r="S368" s="16" t="s">
        <v>91</v>
      </c>
      <c r="T368" s="16" t="s">
        <v>834</v>
      </c>
      <c r="U368" s="109" t="s">
        <v>1107</v>
      </c>
      <c r="V368" s="126"/>
      <c r="W368" s="109"/>
      <c r="X368" s="109" t="str">
        <f t="array" ref="X368">IF(H368="","",XLOOKUP(H368,CATATANPELAYANAN[[#ALL],[NAMA PASIEN]],CATATANPELAYANAN[[#ALL],[LAYANAN]],"TIDAK CLOSING",0,-1))</f>
        <v>TERAPI AWAL</v>
      </c>
      <c r="Y368" s="109" t="str">
        <f t="shared" si="4"/>
        <v>TIDAK CLOSING</v>
      </c>
      <c r="Z368" s="127"/>
    </row>
    <row r="369" ht="22.5" customHeight="1">
      <c r="A369" s="122"/>
      <c r="B369" s="123">
        <v>46020.0</v>
      </c>
      <c r="C369" s="124" t="str">
        <f t="shared" si="39"/>
        <v>2025</v>
      </c>
      <c r="D369" s="124" t="str">
        <f t="shared" si="27"/>
        <v>12 Des</v>
      </c>
      <c r="E369" s="124" t="str">
        <f t="shared" si="28"/>
        <v>Sen</v>
      </c>
      <c r="F369" s="16" t="s">
        <v>85</v>
      </c>
      <c r="G369" s="109" t="str">
        <f t="array" ref="G369">IFNA(XLOOKUP(S369,'⚙️ Pengaturan'!$H$5:$H371,'⚙️ Pengaturan'!$I$5:$I371),"")</f>
        <v>TIM A</v>
      </c>
      <c r="H369" s="109" t="s">
        <v>813</v>
      </c>
      <c r="I369" s="125" t="str">
        <f t="array" ref="I369">ifna(xlookup($H369,'🙎‍♂️ Pasien'!$G$7:$G371,'🙎‍♂️ Pasien'!$H$7:$H371),"")</f>
        <v>M7925125522</v>
      </c>
      <c r="J369" s="125" t="str">
        <f t="array" ref="J369">ifna(xlookup($H369,'🙎‍♂️ Pasien'!$G$7:$G371,'🙎‍♂️ Pasien'!$L$7:$L371),"")</f>
        <v>LAKI-LAKI</v>
      </c>
      <c r="K369" s="125">
        <f t="array" ref="K369">ifna(xlookup($H369,'🙎‍♂️ Pasien'!$G$7:$G371,'🙎‍♂️ Pasien'!$I$7:$I371),"")</f>
        <v>47</v>
      </c>
      <c r="L369" s="125" t="str">
        <f t="array" ref="L369">IFNA(xlookup(H369,'🙎‍♂️ Pasien'!$G$5:$G371,'🙎‍♂️ Pasien'!$J$5:$J371),"")</f>
        <v>&gt; 44 tahun</v>
      </c>
      <c r="M369" s="125" t="str">
        <f t="array" ref="M369">IFNA(xlookup(H369,'🙎‍♂️ Pasien'!$G$5:$G371,'🙎‍♂️ Pasien'!$S$5:$S371),"")</f>
        <v>WIRASWASTA</v>
      </c>
      <c r="N369" s="125" t="str">
        <f t="array" ref="N369">IFNA(XLOOKUP($H369,'🙎‍♂️ Pasien'!$G$7:$G371,'🙎‍♂️ Pasien'!$T$7:$T371),"")</f>
        <v>TENNIS ELBOW</v>
      </c>
      <c r="O369" s="16" t="s">
        <v>906</v>
      </c>
      <c r="P369" s="16" t="s">
        <v>907</v>
      </c>
      <c r="Q369" s="16" t="s">
        <v>29</v>
      </c>
      <c r="R369" s="16" t="s">
        <v>86</v>
      </c>
      <c r="S369" s="16" t="s">
        <v>72</v>
      </c>
      <c r="T369" s="16" t="s">
        <v>834</v>
      </c>
      <c r="U369" s="109" t="s">
        <v>1108</v>
      </c>
      <c r="V369" s="126"/>
      <c r="W369" s="109"/>
      <c r="X369" s="109" t="str">
        <f t="array" ref="X369">IF(H369="","",XLOOKUP(H369,CATATANPELAYANAN[[#ALL],[NAMA PASIEN]],CATATANPELAYANAN[[#ALL],[LAYANAN]],"TIDAK CLOSING",0,-1))</f>
        <v>TERAPI AWAL</v>
      </c>
      <c r="Y369" s="109" t="str">
        <f t="shared" si="4"/>
        <v>TIDAK CLOSING</v>
      </c>
      <c r="Z369" s="127"/>
    </row>
    <row r="370" ht="22.5" customHeight="1">
      <c r="A370" s="122"/>
      <c r="B370" s="123">
        <v>46020.0</v>
      </c>
      <c r="C370" s="124" t="str">
        <f t="shared" si="39"/>
        <v>2025</v>
      </c>
      <c r="D370" s="124" t="str">
        <f t="shared" si="27"/>
        <v>12 Des</v>
      </c>
      <c r="E370" s="124" t="str">
        <f t="shared" si="28"/>
        <v>Sen</v>
      </c>
      <c r="F370" s="16" t="s">
        <v>85</v>
      </c>
      <c r="G370" s="109" t="str">
        <f t="array" ref="G370">IFNA(XLOOKUP(S370,'⚙️ Pengaturan'!$H$5:$H371,'⚙️ Pengaturan'!$I$5:$I371),"")</f>
        <v>TIM A</v>
      </c>
      <c r="H370" s="109" t="s">
        <v>815</v>
      </c>
      <c r="I370" s="125" t="str">
        <f t="array" ref="I370">ifna(xlookup($H370,'🙎‍♂️ Pasien'!$G$7:$G371,'🙎‍♂️ Pasien'!$H$7:$H371),"")</f>
        <v>J9425122013</v>
      </c>
      <c r="J370" s="125" t="str">
        <f t="array" ref="J370">ifna(xlookup($H370,'🙎‍♂️ Pasien'!$G$7:$G371,'🙎‍♂️ Pasien'!$L$7:$L371),"")</f>
        <v>LAKI-LAKI</v>
      </c>
      <c r="K370" s="125">
        <f t="array" ref="K370">ifna(xlookup($H370,'🙎‍♂️ Pasien'!$G$7:$G371,'🙎‍♂️ Pasien'!$I$7:$I371),"")</f>
        <v>32</v>
      </c>
      <c r="L370" s="125" t="str">
        <f t="array" ref="L370">IFNA(xlookup(H370,'🙎‍♂️ Pasien'!$G$5:$G371,'🙎‍♂️ Pasien'!$J$5:$J371),"")</f>
        <v>25-34 tahun</v>
      </c>
      <c r="M370" s="125" t="str">
        <f t="array" ref="M370">IFNA(xlookup(H370,'🙎‍♂️ Pasien'!$G$5:$G371,'🙎‍♂️ Pasien'!$S$5:$S371),"")</f>
        <v>FINANCE</v>
      </c>
      <c r="N370" s="125" t="str">
        <f t="array" ref="N370">IFNA(XLOOKUP($H370,'🙎‍♂️ Pasien'!$G$7:$G371,'🙎‍♂️ Pasien'!$T$7:$T371),"")</f>
        <v>LUTUT KANAN NYERI AFTER PARTY</v>
      </c>
      <c r="O370" s="16" t="s">
        <v>854</v>
      </c>
      <c r="P370" s="16" t="s">
        <v>836</v>
      </c>
      <c r="Q370" s="16" t="s">
        <v>29</v>
      </c>
      <c r="R370" s="16" t="s">
        <v>86</v>
      </c>
      <c r="S370" s="16" t="s">
        <v>72</v>
      </c>
      <c r="T370" s="16" t="s">
        <v>834</v>
      </c>
      <c r="U370" s="109" t="s">
        <v>837</v>
      </c>
      <c r="V370" s="126"/>
      <c r="W370" s="109"/>
      <c r="X370" s="109" t="str">
        <f t="array" ref="X370">IF(H370="","",XLOOKUP(H370,CATATANPELAYANAN[[#ALL],[NAMA PASIEN]],CATATANPELAYANAN[[#ALL],[LAYANAN]],"TIDAK CLOSING",0,-1))</f>
        <v>TERAPI AWAL</v>
      </c>
      <c r="Y370" s="109" t="str">
        <f t="shared" si="4"/>
        <v>TIDAK CLOSING</v>
      </c>
      <c r="Z370" s="127"/>
    </row>
    <row r="371" ht="22.5" customHeight="1">
      <c r="A371" s="122"/>
      <c r="B371" s="123">
        <v>46020.0</v>
      </c>
      <c r="C371" s="124" t="str">
        <f t="shared" si="39"/>
        <v>2025</v>
      </c>
      <c r="D371" s="124" t="str">
        <f t="shared" si="27"/>
        <v>12 Des</v>
      </c>
      <c r="E371" s="124" t="str">
        <f t="shared" si="28"/>
        <v>Sen</v>
      </c>
      <c r="F371" s="16" t="s">
        <v>85</v>
      </c>
      <c r="G371" s="109" t="str">
        <f t="array" ref="G371">IFNA(XLOOKUP(S371,'⚙️ Pengaturan'!$H$5:$H371,'⚙️ Pengaturan'!$I$5:$I371),"")</f>
        <v>TIM A</v>
      </c>
      <c r="H371" s="109" t="s">
        <v>807</v>
      </c>
      <c r="I371" s="125" t="str">
        <f t="array" ref="I371">ifna(xlookup($H371,'🙎‍♂️ Pasien'!$G$7:$G371,'🙎‍♂️ Pasien'!$H$7:$H371),"")</f>
        <v>Y7125120189</v>
      </c>
      <c r="J371" s="125" t="str">
        <f t="array" ref="J371">ifna(xlookup($H371,'🙎‍♂️ Pasien'!$G$7:$G371,'🙎‍♂️ Pasien'!$L$7:$L371),"")</f>
        <v>PEREMPUAN</v>
      </c>
      <c r="K371" s="125">
        <f t="array" ref="K371">ifna(xlookup($H371,'🙎‍♂️ Pasien'!$G$7:$G371,'🙎‍♂️ Pasien'!$I$7:$I371),"")</f>
        <v>55</v>
      </c>
      <c r="L371" s="125" t="str">
        <f t="array" ref="L371">IFNA(xlookup(H371,'🙎‍♂️ Pasien'!$G$5:$G371,'🙎‍♂️ Pasien'!$J$5:$J371),"")</f>
        <v>&gt; 44 tahun</v>
      </c>
      <c r="M371" s="125" t="str">
        <f t="array" ref="M371">IFNA(xlookup(H371,'🙎‍♂️ Pasien'!$G$5:$G371,'🙎‍♂️ Pasien'!$S$5:$S371),"")</f>
        <v>IRT</v>
      </c>
      <c r="N371" s="125" t="str">
        <f t="array" ref="N371">IFNA(XLOOKUP($H371,'🙎‍♂️ Pasien'!$G$7:$G371,'🙎‍♂️ Pasien'!$T$7:$T371),"")</f>
        <v>-</v>
      </c>
      <c r="O371" s="16" t="s">
        <v>871</v>
      </c>
      <c r="P371" s="16" t="s">
        <v>869</v>
      </c>
      <c r="Q371" s="16" t="s">
        <v>29</v>
      </c>
      <c r="R371" s="16" t="s">
        <v>86</v>
      </c>
      <c r="S371" s="16" t="s">
        <v>62</v>
      </c>
      <c r="T371" s="16" t="s">
        <v>834</v>
      </c>
      <c r="U371" s="109"/>
      <c r="V371" s="126"/>
      <c r="W371" s="109"/>
      <c r="X371" s="109" t="str">
        <f t="array" ref="X371">IF(H371="","",XLOOKUP(H371,CATATANPELAYANAN[[#ALL],[NAMA PASIEN]],CATATANPELAYANAN[[#ALL],[LAYANAN]],"TIDAK CLOSING",0,-1))</f>
        <v>TERAPI AWAL</v>
      </c>
      <c r="Y371" s="109" t="str">
        <f t="shared" si="4"/>
        <v>TIDAK CLOSING</v>
      </c>
      <c r="Z371" s="127"/>
    </row>
  </sheetData>
  <customSheetViews>
    <customSheetView guid="{FA229FA6-2B6D-47C9-BA20-D559BCEB372B}" filter="1" showAutoFilter="1">
      <autoFilter ref="$B$2:$Y$371">
        <filterColumn colId="6">
          <filters blank="1">
            <filter val="SUHERDIYANTO, S.PD"/>
            <filter val="ARIFIN NUR ROCHMAD"/>
            <filter val="DELLY MARINA"/>
            <filter val="MUHAMMAD FIRMAN SAPUTRA"/>
            <filter val="SETYA AJI"/>
            <filter val="DESY RASTIKA SARI"/>
            <filter val="AQILA AFIFAH OCTAFRIYANA"/>
            <filter val="RATNA DEWI"/>
            <filter val="JULIA KARUNIA"/>
            <filter val="LIE KIM FA/KESUMAJADI"/>
            <filter val="ROBINSON NAINGGOLAN"/>
            <filter val="ALPAWI"/>
            <filter val="MUHAMMAD REVANDRA"/>
            <filter val="DECKY TRIONO"/>
            <filter val="RICKY THERISNO"/>
            <filter val="WIEKE VERASTUTI"/>
            <filter val="MISLANA"/>
            <filter val="DICKY KUSUMA SAKTI"/>
            <filter val="MULLY ENDAH PRATIWI"/>
            <filter val="OBIN"/>
            <filter val="CITRA PURNAMA SARI"/>
            <filter val="MIA HARTE"/>
            <filter val="ANGELIA IVANA"/>
            <filter val="GIRY XAVIRA PUTRI"/>
            <filter val="NOLLIE NOVELLA TANAJO"/>
            <filter val="SEBASTIAN"/>
            <filter val="DONNY TRI PUJIANTO"/>
            <filter val="RAHDIAN EDISON"/>
            <filter val="IDRIS"/>
            <filter val="KATELYN ELANOR LIM"/>
            <filter val="SUMIATI"/>
            <filter val="FADLURROHMAN ASSHIDDIQI"/>
            <filter val="MIFTAHUL BAROKY"/>
            <filter val="BELLA BESTIANA TJANDRA"/>
            <filter val="RINI ADIYANTI K"/>
            <filter val="ANDREAN CAHYONO"/>
            <filter val="ANGELICA BUNARDI"/>
            <filter val="ELMON UTOMO"/>
            <filter val="FERA HENDRY"/>
            <filter val="SISKA DAMASTUTI"/>
            <filter val="ELLYSA FERONIKA HALIM"/>
            <filter val="TENGKU PUTRI DEVANTY"/>
            <filter val="ALFA GILBERD"/>
            <filter val="DWI BARI LUTHFIANUR"/>
            <filter val="AYDA RIANI JOHAR"/>
            <filter val="ASTISZA SYAHLA LUDMILLA PARABI"/>
            <filter val="AGATHA ARCADIA"/>
            <filter val="RESTU WAHYUNI"/>
            <filter val="EMYLIA"/>
            <filter val="M IQBAL"/>
            <filter val="ASNAH"/>
            <filter val="IQLIMA ZAHRA"/>
            <filter val="JAINAL"/>
            <filter val="ROSWITA"/>
            <filter val="OKTARIANA TRI SUSANTI"/>
            <filter val="MENTARI RACHMANIAZ RIZKI"/>
            <filter val="AMARA PUTRI NAZARISKA"/>
            <filter val="ROKIDI"/>
            <filter val="DELILA"/>
            <filter val="ANDRI WIJAYA KUSUMA"/>
            <filter val="EVELINE PARAMITHA LORINDA"/>
            <filter val="FARIDA HASTUTI"/>
            <filter val="JOVAN EDUARDO LO"/>
            <filter val="RAMOTI PUTRA MANALU"/>
            <filter val="BAYU AGIL SAMPURNO"/>
            <filter val="RAHMAT REZA FAHLEVI"/>
            <filter val="TUTI TRISNAWATI"/>
            <filter val="HUMAIRA NOVRIYATI"/>
            <filter val="FRITA OLIVIA"/>
            <filter val="FACHRUL APRIAN"/>
            <filter val="ROHANI"/>
            <filter val="ZULKIFLI 8105"/>
            <filter val="FATIH HAWWARI"/>
            <filter val="STEVANI"/>
            <filter val="RIZA SETYAWAN"/>
            <filter val="HERDY"/>
            <filter val="RIKSON ARMAGEDON PURBA"/>
            <filter val="DANY SUWARNO"/>
            <filter val="EDY DARMAWAN"/>
            <filter val="LISNA WARDATI"/>
            <filter val="ANDRI DOS SANTOS"/>
            <filter val="THJANG TAT LIM"/>
            <filter val="RIKA RIYANTI"/>
            <filter val="TA"/>
            <filter val="DIMAS PRATAMA PUTRA"/>
            <filter val="WARI WALINGGA"/>
            <filter val="MAULIDIA AKHIR"/>
            <filter val="ARYA KUSUMA RAMADAN"/>
            <filter val="ANDRE CORIYONGSEN TEDO"/>
            <filter val="TJANG JUN BU"/>
            <filter val="INDRA JAYA AK MSI"/>
            <filter val="RACHMI WULAN"/>
            <filter val="ERIC JORDAN"/>
            <filter val="NOEVAL MUZZAKY"/>
            <filter val="BANU AJI NUGROHO"/>
            <filter val="IRRINA FAUZIARNI"/>
            <filter val="MAHIYE"/>
            <filter val="AKIAN"/>
            <filter val="PUTRI MIRANDA"/>
            <filter val="WIWIN WAHYUNINGSIH"/>
            <filter val="TAN TJHUN TIE ALS ROBERT"/>
            <filter val="HADIJAH"/>
            <filter val="WACHYU WIDAYAT"/>
            <filter val="ANDI DE"/>
            <filter val="ASEP SETIAWAN"/>
            <filter val="SHAOUQI NASHUHA"/>
            <filter val="YOSTRYAN CHENATA"/>
            <filter val="ROY ARFIAN"/>
            <filter val="ANSELMUS RINALDHY, SE.,MM"/>
            <filter val="ROSKIAMY"/>
            <filter val="ELLISA RASIMIN"/>
            <filter val="WARRIN WIJAYA"/>
            <filter val="UMI KHOLIFAH"/>
            <filter val="MUDIONO HARYANTO"/>
            <filter val="RITA MUSTARI"/>
            <filter val="ALDO PUTRA DERMAWAN"/>
            <filter val="ELY"/>
            <filter val="REI KHALFANI"/>
            <filter val="SULAIMAN 6407"/>
            <filter val="ELO SINAGA"/>
            <filter val="AZMI 8804"/>
            <filter val="AZARYA JADAYN ARYO"/>
            <filter val="MUHAMMAD FADLI LUTFIANDO"/>
            <filter val="SUMITO WICAKSONO SIM"/>
            <filter val="FIRMAN HIDAYAT"/>
            <filter val="BINTARI INDAH SAPUTRI"/>
            <filter val="MUHAMMAD AMSYARUL FIKRI"/>
            <filter val="SUKARNI"/>
            <filter val="ROSNIAR"/>
            <filter val="DWI FITRIANINGSIH"/>
            <filter val="WILLY WIJAYA"/>
            <filter val="PHE BAK SONG"/>
            <filter val="JOKEND ZAPOTA PUTRA"/>
            <filter val="ERVINAWATI KUSUMA"/>
            <filter val="RIA IRAWAN"/>
            <filter val="MUHARDI LIMAS"/>
            <filter val="DARMADI"/>
            <filter val="NANI ERNIEYATI"/>
            <filter val="SYARIF SUHERMAN"/>
            <filter val="RANDA ARZA SAPUTRA"/>
            <filter val="SURYANA"/>
            <filter val="ADAM DAMIRI"/>
            <filter val="NURMIATY SALMAH"/>
            <filter val="TIURLAN RANIA SITOMPUL"/>
            <filter val="LICA"/>
            <filter val="ALY AL DASTAN"/>
            <filter val="DHUTA ERLANGGA SUPRAYITNO"/>
            <filter val="MINARWATY"/>
            <filter val="TRI SUTRISNO"/>
            <filter val="SUTRISNO"/>
            <filter val="REZA"/>
            <filter val="ZULKIFLI HASANUDDIN"/>
            <filter val="NURZAINI"/>
            <filter val="SARWATI"/>
            <filter val="DRA. HJ. SRI MULYANI"/>
            <filter val="KRISTIANI"/>
            <filter val="IRIYANI"/>
            <filter val="LUCIA HIDAYAT"/>
            <filter val="AULI FATHIA PUTRIATI S.FARM, APT"/>
            <filter val="SUSANTI 7401"/>
            <filter val="KASTI"/>
            <filter val="NURHASANA"/>
            <filter val="ALKHAWARISMA"/>
            <filter val="NORIZAN"/>
            <filter val="JULIANA DELVINA SARI"/>
            <filter val="SUPARNO"/>
            <filter val="VIONA PRICILA"/>
            <filter val="OSKAR FEBRIANO HASITTO"/>
            <filter val="DARA RANTI PURBASAR"/>
            <filter val="ANGEL OLIVIA"/>
            <filter val="STEVEN HARYANTO"/>
            <filter val="RINI SATMAWATI"/>
            <filter val="RINA TJENDERA"/>
            <filter val="MUHAMMAD ZUHRI"/>
            <filter val="WIWID YULIAN SAPUTRO"/>
            <filter val="RAFIF HANAN"/>
            <filter val="MUHAMMAD DHUHA KUSUMA"/>
            <filter val="LILI MANGKULIONO"/>
            <filter val="NASYWA EDGINA HAPSARI"/>
            <filter val="RENDI"/>
            <filter val="RICKY ISKANDAR"/>
            <filter val="SITI HALIMAH"/>
            <filter val="SYARIF RAIHAN RAFISKI"/>
            <filter val="VANES ALBERT"/>
            <filter val="AGUS HARYONO"/>
            <filter val="RIA UTAMI"/>
            <filter val="DIANA"/>
            <filter val="ZULFAHMI EKI FINALDA"/>
            <filter val="NAOMI APRILIA SIMANULLANG"/>
            <filter val="NIKEN PASKALIA"/>
            <filter val="CINTHYA MEILIZA"/>
            <filter val="MEDIANA SULISTIAWATI"/>
            <filter val="ALGI FAHRI"/>
            <filter val="MUH AGUS MAULANA"/>
            <filter val="MUHAMMAD FARIDH DIYAPRATAMA"/>
            <filter val="PUTRI RESTU AWALIYAH"/>
            <filter val="VERGI ARKADYA"/>
            <filter val="RIZKI RAMADHANI"/>
            <filter val="NURJANAH"/>
            <filter val="DWI CHRISTIANA"/>
            <filter val="RENA"/>
            <filter val="TITIN MARIANTI S.PDI"/>
            <filter val="M. AHZA SYAHMI ARDI"/>
            <filter val="ELLEN ARINDA PRATIWI"/>
            <filter val="TJAN TIONG HONG"/>
            <filter val="SHAFIRA ANNISA"/>
            <filter val="SUKAWATI EFFENDY"/>
            <filter val="MILLAH AULIYA"/>
            <filter val="TUKIJO"/>
            <filter val="FARREL"/>
            <filter val="NOVIANTO"/>
            <filter val="VERDICO ARIEF"/>
            <filter val="DWI SARTIKA SARI"/>
            <filter val="ENDIH SUPANDIH"/>
            <filter val="JUSTIKA MAHAR RANI"/>
            <filter val="NAJWA NUR AZWINA"/>
            <filter val="TRI ALFAIRUS"/>
            <filter val="SOFIA PHUA"/>
            <filter val="CAMELIA DESNIGO"/>
            <filter val="SING SING"/>
            <filter val="ELWIN LAVEDA"/>
            <filter val="RAJIDIN"/>
            <filter val="IVAN TANSARITO"/>
            <filter val="VIVIANTY"/>
            <filter val="FATIMA"/>
            <filter val="JO MIAUW MUI"/>
            <filter val="LENI DIANTAMI"/>
            <filter val="MISSRIWATI"/>
            <filter val="RICO OSCARIO"/>
            <filter val="ALPUTRALAW"/>
            <filter val="AINIYATUL FITRIYAH"/>
            <filter val="SALLY ISKANDAR TAN"/>
            <filter val="RIZKA TRI WARDHANI"/>
            <filter val="CANDY WIBOWO"/>
            <filter val="ALIONG"/>
            <filter val="SUPOMO"/>
            <filter val="FITRIYANI"/>
            <filter val="HJ. NURDESWATI SH"/>
            <filter val="GREGORIUS TACCHINARDI"/>
            <filter val="LIE SOI TJU"/>
            <filter val="MARISA HANDAYANI"/>
            <filter val="JULIANA"/>
            <filter val="SUGIANTO WIJAYA"/>
            <filter val="DARREN LOWIRA"/>
            <filter val="SITI MAYUNI"/>
            <filter val="ANDY SETIAWAN"/>
            <filter val="LIM OI KHIUN ALS RIANA"/>
            <filter val="RATNAWITA"/>
            <filter val="APRILLIA SUSANTI"/>
            <filter val="JULIO ARIE PANANGIAN NAPITUPULU"/>
            <filter val="SHARON LIE"/>
            <filter val="M. ARSYAD"/>
            <filter val="SRI HERYANTI"/>
            <filter val="YULIANA SST"/>
            <filter val="ISNINDAR"/>
            <filter val="RECKI SEPTIANDA"/>
            <filter val="ADIYATH RANDY YUDIMAMASE, SE.M.M"/>
            <filter val="JUN FONG"/>
            <filter val="HANY JULIANI"/>
            <filter val="NADYA MUTMAINAH"/>
            <filter val="HARMI CAHYANI"/>
            <filter val="HUWAIDAH THIFAL NAURAH"/>
            <filter val="MARTIN"/>
            <filter val="PETRUS"/>
            <filter val="FERY"/>
            <filter val="TEGUH ADI PEASETYO"/>
            <filter val="ARISYA AHZA NAURA"/>
            <filter val="SITI NURHAINI"/>
            <filter val="ENDAH SEPTIANINGSIH"/>
            <filter val="ANDI"/>
            <filter val="GIOVANNI NASTASIO PARURERA"/>
            <filter val="YESI VERDIANTI"/>
            <filter val="SUSANTI"/>
            <filter val="BUJANG"/>
            <filter val="VIVIYANTI"/>
            <filter val="SUHARMI"/>
            <filter val="RESYA NOVADITYA"/>
            <filter val="FITRI ANGGRAINI"/>
            <filter val="GRACIA SHERLYTTA VALENSIA"/>
            <filter val="JASON VALENCIUS"/>
            <filter val="HELGA MACHARA NOVIA"/>
            <filter val="DESA AYU NATALIA"/>
            <filter val="OWEN LOWIRA"/>
            <filter val="NIKO BARKAH DAME PUTRA SIREGAR"/>
            <filter val="DRSHENDRA SALIM"/>
            <filter val="WISNU WARDANA"/>
            <filter val="MAWRICE CHUARESMO MARTIN"/>
            <filter val="NURHAYATI 6206"/>
            <filter val="YANTI LIM"/>
            <filter val="OZZY GUARDIOLA FITTIFALDY"/>
            <filter val="AULIA RAHMAH PUTRI ADISHA"/>
            <filter val="SYARIF HANIF RAMADHAN"/>
            <filter val="TEGUH KURNIAWAN"/>
            <filter val="SIGI WIRAPUTRA"/>
            <filter val="RASIANI"/>
            <filter val="HAUNAN FACHRY ROHILIE"/>
            <filter val="ANGELICA"/>
            <filter val="MASKADARNI"/>
            <filter val="ALYSSA SALSABILLA"/>
            <filter val="ARDI ZAJULI"/>
            <filter val="BENI PRAYOGA"/>
            <filter val="URAY SHIEDQIE"/>
            <filter val="RAJEMAH"/>
            <filter val="BRAMA DARUSSALAM JATMIKO"/>
            <filter val="CHIKI AMARA SYAHLITHA"/>
            <filter val="RICKY FARIZA LUBIS"/>
            <filter val="CHRISTINA"/>
            <filter val="RIZKADEA BELIANTO"/>
            <filter val="ANDY"/>
            <filter val="MUHAMMAD TAUFIK"/>
            <filter val="JAMALUDIN MAULANA"/>
            <filter val="KRIS YOGI DWI PUTRA SIBARANI"/>
            <filter val="AKHDAN NAUFAL"/>
            <filter val="SOEPARTO"/>
            <filter val="CINTHYA TANJAYA"/>
            <filter val="DJAUW KHIE TJIN"/>
            <filter val="LILI URIANTO"/>
            <filter val="AFNUR RIKI AMRULLAH"/>
            <filter val="WISNU"/>
            <filter val="KENNETH CARMEN"/>
            <filter val="ANGELINE OLIVIA"/>
            <filter val="LANDON CRYSANDER ALI"/>
            <filter val="SELVINUS ONOT"/>
            <filter val="NUZUL NURWAHYUDDIN"/>
            <filter val="HENGKI AFRIANUS"/>
            <filter val="BARTOLOMEUS LAUDY GALIH ARTO"/>
            <filter val="SITI ALHUSNA NURUL AGUSTIN"/>
            <filter val="WURAN KRISNAWATI"/>
            <filter val="TJONG LIE TJHIUN ALS SUKIMAN"/>
            <filter val="SILVI AULIA"/>
            <filter val="MUHAMMAD ALIWA PASHYA"/>
            <filter val="ANDYKA FILANI"/>
            <filter val="MARIYAMINA RUPINA"/>
            <filter val="ROHAYATI"/>
            <filter val="KALYCA ANDANIA"/>
            <filter val="YULIA WIDIANARTI"/>
            <filter val="NITTA ROLLITA"/>
            <filter val="LIMINA DJUITA LIMAS"/>
            <filter val="WAZIAN ZIRA ANTANYA"/>
            <filter val="YAYA MAULIDIA"/>
            <filter val="BENHUR SITUMORANG"/>
            <filter val="ELLA FITRIA"/>
            <filter val="NIKI TRIYANDI"/>
            <filter val="DEVKY DERMAWANSYAH"/>
            <filter val="RAHMAD PUNGKI WALUYO"/>
            <filter val="ERITA GUNAWAN"/>
            <filter val="JERI SUPRTIADI"/>
            <filter val="ANGGER CHESTA HIDAYAT"/>
            <filter val="CHRISTIAN WIDIYANTO"/>
            <filter val="SAITA"/>
            <filter val="GILANG RIDHO ANANDA"/>
            <filter val="RAFI AHMADY"/>
            <filter val="DEYA NATHASYA RAHMADANY"/>
            <filter val="BIBI NAIZA"/>
            <filter val="MARIO GOTHEDY"/>
            <filter val="YATMI"/>
            <filter val="RD RHAFLI HASSAN BISRI"/>
            <filter val="BAGAS BIMANTORO HARYONO"/>
            <filter val="MUHAMMAD DEVA ERLANGGA"/>
            <filter val="HANAPI"/>
            <filter val="LIAU TJONG POEN ALS YULIANA"/>
            <filter val="GALIH HANDAYANI"/>
            <filter val="BEDJO RAHARDJO"/>
            <filter val="LISA MEGASARI"/>
            <filter val="GUSTI MURI IRFAN"/>
          </filters>
        </filterColumn>
        <filterColumn colId="13">
          <filters blank="1">
            <filter val="WRIST EXTENSOR STRAIN"/>
            <filter val="MUSCLE WEAKNESS"/>
            <filter val="CERVICAL HNP"/>
            <filter val="LCL INJURY"/>
            <filter val="FINGER SPRAIN"/>
            <filter val="POST ORIF ANKLE"/>
            <filter val="PHYSICAL CHECK UP"/>
            <filter val="SUPRASPINATUS SYNDROME"/>
            <filter val="POST OP AMPUTASI"/>
            <filter val="HYPERKYPHOSIS"/>
            <filter val="CHRONIC ANKLE INSTABILITY"/>
            <filter val="HIP FRACTURE"/>
            <filter val="METATARSALGIA"/>
            <filter val="THORACIC OUTLET SYNDROME"/>
            <filter val="DOMS"/>
            <filter val="TRENDELENBURG GAIT"/>
            <filter val="QUADRATUS LUMBORUM STRAIN"/>
            <filter val="SACROILIAC JOINT SYNDROME"/>
            <filter val="METACARPAL FRACTURE"/>
            <filter val="OSGOOD SCHLATTER DISEASE"/>
            <filter val="UPPER TRAPEZIUS SYNDROME"/>
            <filter val="SCAPULAR WINGING"/>
            <filter val="GOLFER'S ELBOW"/>
            <filter val="HIP TRAUMATIC INJURY"/>
            <filter val="HEMIPARESE"/>
            <filter val="KNEE DISLOCATION"/>
            <filter val="PATELLAR TENDON REPAIR"/>
            <filter val="ACL &amp; LCL INJURY"/>
            <filter val="FLAT FOOT"/>
            <filter val="MENISCUS INJURY"/>
            <filter val="SHOULDER DISLOCATION"/>
            <filter val="fraktur humeri"/>
            <filter val="ROUNDED SHOULDER"/>
            <filter val="RETROCALCANEAL BURSITIS"/>
            <filter val="PCL &amp; MENISCUS INJURY"/>
            <filter val="RHEUMATOID ARTHRITIS"/>
            <filter val="BICEPS STRAIN"/>
            <filter val="SHOULDER INSTABILITY"/>
            <filter val="NEUROPATHY"/>
            <filter val="ODEMA"/>
            <filter val="BUNION"/>
            <filter val="POST OP HEMANGIOMA"/>
            <filter val="VERTIGO"/>
            <filter val="FIBULAR FRACTURE"/>
            <filter val="LUMBAR HNP"/>
            <filter val="HAMSTRINGS TIGHTNESS"/>
            <filter val="POPLITEAL STRAIN"/>
            <filter val="AVULSION FRACTURE"/>
            <filter val="VMO STRAIN"/>
            <filter val="COCCALGIA"/>
          </filters>
        </filterColumn>
        <filterColumn colId="17">
          <filters>
            <filter val="DANRU"/>
            <filter val="DESTY"/>
            <filter val="AULIA"/>
            <filter val="OKTA"/>
          </filters>
        </filterColumn>
      </autoFilter>
    </customSheetView>
    <customSheetView guid="{AA3A27C3-C681-434B-92A2-6ADD59BAE61E}" filter="1" showAutoFilter="1">
      <autoFilter ref="$B$2:$Y$371"/>
    </customSheetView>
    <customSheetView guid="{D9C8E696-2233-4451-BB2C-C3F1F3039EB0}" filter="1" showAutoFilter="1">
      <autoFilter ref="$B$2:$Y$371">
        <filterColumn colId="17">
          <filters>
            <filter val="HENA"/>
            <filter val="WAHYU"/>
            <filter val="ORY"/>
            <filter val="AULIA"/>
            <filter val="OKTA"/>
            <filter val="HESTI"/>
          </filters>
        </filterColumn>
      </autoFilter>
    </customSheetView>
    <customSheetView guid="{214099C8-A516-4C98-BECC-55E5D7559755}" filter="1" showAutoFilter="1">
      <autoFilter ref="$B$2:$Y$371"/>
    </customSheetView>
    <customSheetView guid="{93A79559-A0F7-42EA-82B2-EE894540E3EC}" filter="1" showAutoFilter="1">
      <autoFilter ref="$B$2:$Y$371"/>
    </customSheetView>
  </customSheetViews>
  <conditionalFormatting sqref="H301">
    <cfRule type="expression" dxfId="7" priority="1">
      <formula>IF(OR($B301:$B371="",$D301:$D371="",$B301:$B371="",$D301:$D371="",$E301:$E371="",$I301:$I371="",$J301:$J371="",$K301:$K371="",$L301:$L371="",$M301:$M371="",$T301:$T371="",$U301:$U371="",$W301:$W371=FALSE),TRUE,FALSE)</formula>
    </cfRule>
  </conditionalFormatting>
  <conditionalFormatting sqref="H301">
    <cfRule type="expression" dxfId="7" priority="2">
      <formula>IF(AND($T301:$T371="TIDAK HADIR",$V301:$V371=""),TRUE,FALSE)</formula>
    </cfRule>
  </conditionalFormatting>
  <conditionalFormatting sqref="H301">
    <cfRule type="expression" dxfId="8" priority="3">
      <formula>IF($T301:$T371="TIDAK HADIR",TRUE,FALSE)</formula>
    </cfRule>
  </conditionalFormatting>
  <conditionalFormatting sqref="H3:H371">
    <cfRule type="expression" dxfId="10" priority="4">
      <formula>IF($T3:$T371=$Y3:$Y371,0,1)</formula>
    </cfRule>
  </conditionalFormatting>
  <conditionalFormatting sqref="B3:U371">
    <cfRule type="expression" dxfId="7" priority="5">
      <formula>IF(OR($B3:$B371="",$F3:$F371="",$I3:$I371="",$O3:$O371="",$P3:$P371="",$Q3:$Q371="",$R3:$R371="",$S3:$S371="",$T3:$T371=""),TRUE,FALSE)</formula>
    </cfRule>
  </conditionalFormatting>
  <conditionalFormatting sqref="B3:U371">
    <cfRule type="expression" dxfId="7" priority="6">
      <formula>IF(AND($T3:$T371="TIDAK CLOSING",$U3:$U371=""),TRUE,FALSE)</formula>
    </cfRule>
  </conditionalFormatting>
  <conditionalFormatting sqref="B3:U371">
    <cfRule type="expression" dxfId="7" priority="7">
      <formula>IF($T3:$T371="BELUM CLOSING",TRUE,FALSE)</formula>
    </cfRule>
  </conditionalFormatting>
  <dataValidations>
    <dataValidation type="list" allowBlank="1" sqref="T3:T371">
      <formula1>#REF!</formula1>
    </dataValidation>
    <dataValidation type="list" allowBlank="1" showDropDown="1" showInputMessage="1" showErrorMessage="1" prompt="Klik dan masukkan nilai dari rentang" sqref="H301">
      <formula1>'🙎‍♂️ Pasien'!$G$3:$G371</formula1>
    </dataValidation>
    <dataValidation type="list" allowBlank="1" showDropDown="1" showInputMessage="1" showErrorMessage="1" prompt="Klik dan masukkan nilai dari rentang" sqref="H3:H300 H302:H371">
      <formula1>'🙎‍♂️ Pasien'!$G$3:$G371</formula1>
    </dataValidation>
    <dataValidation type="custom" allowBlank="1" showDropDown="1" sqref="B3:B371">
      <formula1>OR(NOT(ISERROR(DATEVALUE(B3))), AND(ISNUMBER(B3), LEFT(CELL("format", B3))="D"))</formula1>
    </dataValidation>
    <dataValidation type="list" allowBlank="1" showInputMessage="1" prompt="Klik dan masukkan nilai dari daftar item" sqref="F3:F371">
      <formula1>"PAGI,SORE"</formula1>
    </dataValidation>
    <dataValidation type="list" allowBlank="1" showDropDown="1" sqref="O3:P371">
      <formula1>#REF!</formula1>
    </dataValidation>
    <dataValidation type="list" allowBlank="1" sqref="Q3:S371">
      <formula1>#REF!</formula1>
    </dataValidation>
  </dataValidations>
  <printOptions horizontalCentered="1"/>
  <pageMargins bottom="0.75" footer="0.0" header="0.0" left="0.7" right="0.7" top="0.75"/>
  <pageSetup fitToHeight="0" paperSize="5" orientation="landscape" pageOrder="overThenDown"/>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outlineLevelCol="1"/>
  <cols>
    <col customWidth="1" min="1" max="1" width="2.63"/>
    <col customWidth="1" min="2" max="2" width="10.13"/>
    <col customWidth="1" min="3" max="3" width="17.25"/>
    <col collapsed="1" customWidth="1" min="4" max="4" width="13.88"/>
    <col customWidth="1" hidden="1" min="5" max="7" width="10.13" outlineLevel="1"/>
    <col customWidth="1" min="8" max="8" width="25.38"/>
    <col collapsed="1" customWidth="1" min="9" max="9" width="12.63"/>
    <col customWidth="1" hidden="1" min="10" max="10" width="12.63" outlineLevel="1"/>
    <col customWidth="1" hidden="1" min="11" max="11" width="8.88" outlineLevel="1"/>
    <col customWidth="1" min="12" max="13" width="12.63"/>
    <col customWidth="1" min="14" max="16" width="10.13"/>
    <col customWidth="1" min="17" max="26" width="10.13" outlineLevel="1"/>
    <col customWidth="1" min="27" max="29" width="12.63"/>
    <col customWidth="1" min="30" max="30" width="50.13"/>
    <col collapsed="1" customWidth="1" min="31" max="31" width="12.63"/>
    <col customWidth="1" hidden="1" min="32" max="34" width="12.63" outlineLevel="1"/>
    <col customWidth="1" min="35" max="35" width="11.38"/>
    <col customWidth="1" min="36" max="36" width="2.63"/>
    <col customWidth="1" min="37" max="37" width="50.13"/>
    <col customWidth="1" min="38" max="38" width="2.63"/>
    <col customWidth="1" min="39" max="39" width="10.13"/>
  </cols>
  <sheetData>
    <row r="1">
      <c r="A1" s="140"/>
      <c r="B1" s="141"/>
      <c r="C1" s="141"/>
      <c r="D1" s="141"/>
      <c r="E1" s="141"/>
      <c r="F1" s="141"/>
      <c r="G1" s="141"/>
      <c r="H1" s="142"/>
      <c r="I1" s="141"/>
      <c r="J1" s="141"/>
      <c r="K1" s="141"/>
      <c r="L1" s="141"/>
      <c r="M1" s="141"/>
      <c r="N1" s="141"/>
      <c r="O1" s="143"/>
      <c r="P1" s="143"/>
      <c r="Q1" s="144"/>
      <c r="R1" s="144"/>
      <c r="S1" s="144"/>
      <c r="T1" s="144"/>
      <c r="U1" s="144"/>
      <c r="V1" s="144"/>
      <c r="W1" s="144"/>
      <c r="X1" s="144"/>
      <c r="Y1" s="144"/>
      <c r="Z1" s="144"/>
      <c r="AA1" s="145"/>
      <c r="AB1" s="141"/>
      <c r="AC1" s="143"/>
      <c r="AD1" s="141"/>
      <c r="AE1" s="146"/>
      <c r="AF1" s="146"/>
      <c r="AG1" s="146"/>
      <c r="AH1" s="146"/>
      <c r="AI1" s="141"/>
      <c r="AJ1" s="140"/>
      <c r="AK1" s="141"/>
      <c r="AL1" s="140"/>
      <c r="AM1" s="140"/>
    </row>
    <row r="2" ht="22.5" customHeight="1">
      <c r="A2" s="147"/>
      <c r="B2" s="94" t="s">
        <v>34</v>
      </c>
      <c r="C2" s="91" t="s">
        <v>1109</v>
      </c>
      <c r="D2" s="148" t="s">
        <v>35</v>
      </c>
      <c r="E2" s="94" t="s">
        <v>4</v>
      </c>
      <c r="F2" s="94" t="s">
        <v>3</v>
      </c>
      <c r="G2" s="94" t="s">
        <v>36</v>
      </c>
      <c r="H2" s="149" t="s">
        <v>40</v>
      </c>
      <c r="I2" s="94" t="s">
        <v>41</v>
      </c>
      <c r="J2" s="94" t="s">
        <v>43</v>
      </c>
      <c r="K2" s="94" t="s">
        <v>42</v>
      </c>
      <c r="L2" s="94" t="s">
        <v>38</v>
      </c>
      <c r="M2" s="91" t="s">
        <v>33</v>
      </c>
      <c r="N2" s="94" t="s">
        <v>1110</v>
      </c>
      <c r="O2" s="94" t="s">
        <v>1111</v>
      </c>
      <c r="P2" s="92" t="s">
        <v>49</v>
      </c>
      <c r="Q2" s="118" t="s">
        <v>1112</v>
      </c>
      <c r="R2" s="118" t="s">
        <v>1113</v>
      </c>
      <c r="S2" s="118" t="s">
        <v>1114</v>
      </c>
      <c r="T2" s="118" t="s">
        <v>1115</v>
      </c>
      <c r="U2" s="118" t="s">
        <v>1116</v>
      </c>
      <c r="V2" s="118" t="s">
        <v>1117</v>
      </c>
      <c r="W2" s="118" t="s">
        <v>1118</v>
      </c>
      <c r="X2" s="118" t="s">
        <v>1119</v>
      </c>
      <c r="Y2" s="118" t="s">
        <v>1120</v>
      </c>
      <c r="Z2" s="118" t="s">
        <v>1121</v>
      </c>
      <c r="AA2" s="150" t="s">
        <v>1122</v>
      </c>
      <c r="AB2" s="94" t="s">
        <v>1123</v>
      </c>
      <c r="AC2" s="94" t="s">
        <v>1124</v>
      </c>
      <c r="AD2" s="94" t="s">
        <v>1125</v>
      </c>
      <c r="AE2" s="94" t="s">
        <v>1126</v>
      </c>
      <c r="AF2" s="91" t="s">
        <v>1127</v>
      </c>
      <c r="AG2" s="91" t="s">
        <v>1128</v>
      </c>
      <c r="AH2" s="91" t="s">
        <v>1129</v>
      </c>
      <c r="AI2" s="94" t="s">
        <v>1130</v>
      </c>
      <c r="AJ2" s="147"/>
      <c r="AK2" s="151" t="s">
        <v>52</v>
      </c>
      <c r="AL2" s="147"/>
      <c r="AM2" s="147"/>
    </row>
    <row r="3" ht="22.5" customHeight="1">
      <c r="A3" s="152"/>
      <c r="B3" s="16" t="s">
        <v>86</v>
      </c>
      <c r="C3" s="16" t="s">
        <v>1131</v>
      </c>
      <c r="D3" s="123">
        <v>45928.0</v>
      </c>
      <c r="E3" s="124" t="str">
        <f t="shared" ref="E3:E658" si="1">if(D3="","",text(D3,"yyyy"))</f>
        <v>2025</v>
      </c>
      <c r="F3" s="124" t="str">
        <f t="shared" ref="F3:F658" si="2">if(D3="","",text(D3,"mm")&amp;" "&amp;text(D3,"mmm"))</f>
        <v>09 Sep</v>
      </c>
      <c r="G3" s="124" t="str">
        <f t="shared" ref="G3:G658" si="3">if(D3="","",text(D3,"DDDD"))</f>
        <v>Minggu</v>
      </c>
      <c r="H3" s="16" t="s">
        <v>100</v>
      </c>
      <c r="I3" s="125" t="str">
        <f t="array" ref="I3">IFNA(XLOOKUP($H3,'🙎‍♂️ Pasien'!$G$7:$G658,'🙎‍♂️ Pasien'!$H$7:$H658),"")</f>
        <v>A6125094370</v>
      </c>
      <c r="J3" s="125" t="str">
        <f t="array" ref="J3">IFNA(XLOOKUP($H3,'🙎‍♂️ Pasien'!$G$7:$G658,'🙎‍♂️ Pasien'!$L$7:$L658),"")</f>
        <v>LAKI-LAKI</v>
      </c>
      <c r="K3" s="125">
        <f t="array" ref="K3">IFNA(XLOOKUP($H3,'🙎‍♂️ Pasien'!$G$7:$G658,'🙎‍♂️ Pasien'!$I$7:$I658),"")</f>
        <v>64</v>
      </c>
      <c r="L3" s="16" t="s">
        <v>88</v>
      </c>
      <c r="M3" s="125" t="str">
        <f t="array" ref="M3">IFNA(XLOOKUP(L3,'⚙️ Pengaturan'!$H$5:$H658,'⚙️ Pengaturan'!$I$5:$I658),"")</f>
        <v>TIM Y</v>
      </c>
      <c r="N3" s="16" t="s">
        <v>1132</v>
      </c>
      <c r="O3" s="16" t="s">
        <v>1133</v>
      </c>
      <c r="P3" s="153">
        <f t="shared" ref="P3:P157" si="4">COUNT(Q3:Z3)</f>
        <v>5</v>
      </c>
      <c r="Q3" s="154">
        <v>45928.0</v>
      </c>
      <c r="R3" s="154">
        <v>45929.0</v>
      </c>
      <c r="S3" s="154">
        <v>45931.0</v>
      </c>
      <c r="T3" s="154">
        <v>45934.0</v>
      </c>
      <c r="U3" s="154">
        <v>45936.0</v>
      </c>
      <c r="V3" s="154"/>
      <c r="W3" s="154"/>
      <c r="X3" s="154"/>
      <c r="Y3" s="154"/>
      <c r="Z3" s="154"/>
      <c r="AA3" s="155">
        <f t="shared" ref="AA3:AA157" si="5">IF(D3="","", MAX(D3:Z3))</f>
        <v>45936</v>
      </c>
      <c r="AB3" s="16" t="s">
        <v>1134</v>
      </c>
      <c r="AC3" s="16" t="s">
        <v>1135</v>
      </c>
      <c r="AD3" s="109" t="s">
        <v>1136</v>
      </c>
      <c r="AE3" s="156">
        <f t="shared" ref="AE3:AE157" si="6">if($N3="P1",$U3,$Z3)</f>
        <v>45936</v>
      </c>
      <c r="AF3" s="107" t="str">
        <f t="shared" ref="AF3:AF157" si="7">IF($AE3="","",TEXT($AE3,"YYYY"))</f>
        <v>2025</v>
      </c>
      <c r="AG3" s="107" t="str">
        <f t="shared" ref="AG3:AG157" si="8">IF($AE3="","",TEXT($AE3,"MM")&amp;" "&amp;TEXT($AE3,"MMM"))</f>
        <v>10 Okt</v>
      </c>
      <c r="AH3" s="107" t="str">
        <f t="shared" ref="AH3:AH157" si="9">IF($AE3="","",TEXT($AE3,"DDD"))</f>
        <v>Sen</v>
      </c>
      <c r="AI3" s="157">
        <f t="shared" ref="AI3:AI157" si="10">if(Q3="","",ROUNDUP(if(AE3="",days(today(),Q3)/7,days(AE3,Q3)/7),0))</f>
        <v>2</v>
      </c>
      <c r="AJ3" s="158"/>
      <c r="AK3" s="159"/>
      <c r="AL3" s="158"/>
      <c r="AM3" s="158">
        <f t="shared" ref="AM3:AM150" si="11">countif(Q3:Z3,"28/12/2025")</f>
        <v>0</v>
      </c>
    </row>
    <row r="4" ht="22.5" customHeight="1">
      <c r="A4" s="10"/>
      <c r="B4" s="160" t="s">
        <v>134</v>
      </c>
      <c r="C4" s="160" t="s">
        <v>1131</v>
      </c>
      <c r="D4" s="161">
        <v>45875.0</v>
      </c>
      <c r="E4" s="124" t="str">
        <f t="shared" si="1"/>
        <v>2025</v>
      </c>
      <c r="F4" s="124" t="str">
        <f t="shared" si="2"/>
        <v>08 Agu</v>
      </c>
      <c r="G4" s="124" t="str">
        <f t="shared" si="3"/>
        <v>Rabu</v>
      </c>
      <c r="H4" s="160" t="s">
        <v>431</v>
      </c>
      <c r="I4" s="125" t="str">
        <f t="array" ref="I4">IFNA(XLOOKUP($H4,'🙎‍♂️ Pasien'!$G$7:$G658,'🙎‍♂️ Pasien'!$H$7:$H658),"")</f>
        <v>A9924088313</v>
      </c>
      <c r="J4" s="125" t="str">
        <f t="array" ref="J4">IFNA(XLOOKUP($H4,'🙎‍♂️ Pasien'!$G$7:$G658,'🙎‍♂️ Pasien'!$L$7:$L658),"")</f>
        <v>LAKI-LAKI</v>
      </c>
      <c r="K4" s="125">
        <f t="array" ref="K4">IFNA(XLOOKUP($H4,'🙎‍♂️ Pasien'!$G$7:$G658,'🙎‍♂️ Pasien'!$I$7:$I658),"")</f>
        <v>26</v>
      </c>
      <c r="L4" s="160" t="s">
        <v>56</v>
      </c>
      <c r="M4" s="162" t="str">
        <f t="array" ref="M4">IFNA(XLOOKUP(L4,'⚙️ Pengaturan'!$H$5:$H658,'⚙️ Pengaturan'!$I$5:$I658),"")</f>
        <v>TIM Y</v>
      </c>
      <c r="N4" s="163" t="s">
        <v>1137</v>
      </c>
      <c r="O4" s="160" t="s">
        <v>1133</v>
      </c>
      <c r="P4" s="153">
        <f t="shared" si="4"/>
        <v>10</v>
      </c>
      <c r="Q4" s="164">
        <v>45879.0</v>
      </c>
      <c r="R4" s="164">
        <v>45881.0</v>
      </c>
      <c r="S4" s="164">
        <v>45883.0</v>
      </c>
      <c r="T4" s="164">
        <v>45888.0</v>
      </c>
      <c r="U4" s="164">
        <v>45889.0</v>
      </c>
      <c r="V4" s="164">
        <v>45892.0</v>
      </c>
      <c r="W4" s="164">
        <v>45894.0</v>
      </c>
      <c r="X4" s="164">
        <v>45896.0</v>
      </c>
      <c r="Y4" s="164">
        <v>45898.0</v>
      </c>
      <c r="Z4" s="164">
        <v>45902.0</v>
      </c>
      <c r="AA4" s="165">
        <f t="shared" si="5"/>
        <v>45902</v>
      </c>
      <c r="AB4" s="160" t="s">
        <v>1134</v>
      </c>
      <c r="AC4" s="160" t="s">
        <v>1138</v>
      </c>
      <c r="AD4" s="166"/>
      <c r="AE4" s="156">
        <f t="shared" si="6"/>
        <v>45902</v>
      </c>
      <c r="AF4" s="107" t="str">
        <f t="shared" si="7"/>
        <v>2025</v>
      </c>
      <c r="AG4" s="107" t="str">
        <f t="shared" si="8"/>
        <v>09 Sep</v>
      </c>
      <c r="AH4" s="107" t="str">
        <f t="shared" si="9"/>
        <v>Sel</v>
      </c>
      <c r="AI4" s="157">
        <f t="shared" si="10"/>
        <v>4</v>
      </c>
      <c r="AJ4" s="158"/>
      <c r="AK4" s="159"/>
      <c r="AL4" s="158"/>
      <c r="AM4" s="158">
        <f t="shared" si="11"/>
        <v>0</v>
      </c>
    </row>
    <row r="5" ht="22.5" customHeight="1">
      <c r="A5" s="167"/>
      <c r="B5" s="160" t="s">
        <v>86</v>
      </c>
      <c r="C5" s="160" t="s">
        <v>1131</v>
      </c>
      <c r="D5" s="161">
        <v>45902.0</v>
      </c>
      <c r="E5" s="124" t="str">
        <f t="shared" si="1"/>
        <v>2025</v>
      </c>
      <c r="F5" s="124" t="str">
        <f t="shared" si="2"/>
        <v>09 Sep</v>
      </c>
      <c r="G5" s="124" t="str">
        <f t="shared" si="3"/>
        <v>Selasa</v>
      </c>
      <c r="H5" s="160" t="s">
        <v>431</v>
      </c>
      <c r="I5" s="125" t="str">
        <f t="array" ref="I5">IFNA(XLOOKUP($H5,'🙎‍♂️ Pasien'!$G$7:$G658,'🙎‍♂️ Pasien'!$H$7:$H658),"")</f>
        <v>A9924088313</v>
      </c>
      <c r="J5" s="125" t="str">
        <f t="array" ref="J5">IFNA(XLOOKUP($H5,'🙎‍♂️ Pasien'!$G$7:$G658,'🙎‍♂️ Pasien'!$L$7:$L658),"")</f>
        <v>LAKI-LAKI</v>
      </c>
      <c r="K5" s="125">
        <f t="array" ref="K5">IFNA(XLOOKUP($H5,'🙎‍♂️ Pasien'!$G$7:$G658,'🙎‍♂️ Pasien'!$I$7:$I658),"")</f>
        <v>26</v>
      </c>
      <c r="L5" s="160" t="s">
        <v>56</v>
      </c>
      <c r="M5" s="162" t="str">
        <f t="array" ref="M5">IFNA(XLOOKUP(L5,'⚙️ Pengaturan'!$H$5:$H658,'⚙️ Pengaturan'!$I$5:$I658),"")</f>
        <v>TIM Y</v>
      </c>
      <c r="N5" s="163" t="s">
        <v>1137</v>
      </c>
      <c r="O5" s="160" t="s">
        <v>1139</v>
      </c>
      <c r="P5" s="153">
        <f t="shared" si="4"/>
        <v>10</v>
      </c>
      <c r="Q5" s="164">
        <v>45903.0</v>
      </c>
      <c r="R5" s="164">
        <v>45907.0</v>
      </c>
      <c r="S5" s="164">
        <v>45909.0</v>
      </c>
      <c r="T5" s="164">
        <v>45911.0</v>
      </c>
      <c r="U5" s="164">
        <v>45914.0</v>
      </c>
      <c r="V5" s="164">
        <v>45917.0</v>
      </c>
      <c r="W5" s="164">
        <v>45920.0</v>
      </c>
      <c r="X5" s="164">
        <v>45922.0</v>
      </c>
      <c r="Y5" s="164">
        <v>45924.0</v>
      </c>
      <c r="Z5" s="164">
        <v>45929.0</v>
      </c>
      <c r="AA5" s="165">
        <f t="shared" si="5"/>
        <v>45929</v>
      </c>
      <c r="AB5" s="160" t="s">
        <v>1134</v>
      </c>
      <c r="AC5" s="160" t="s">
        <v>1135</v>
      </c>
      <c r="AD5" s="168" t="s">
        <v>1140</v>
      </c>
      <c r="AE5" s="156">
        <f t="shared" si="6"/>
        <v>45929</v>
      </c>
      <c r="AF5" s="107" t="str">
        <f t="shared" si="7"/>
        <v>2025</v>
      </c>
      <c r="AG5" s="107" t="str">
        <f t="shared" si="8"/>
        <v>09 Sep</v>
      </c>
      <c r="AH5" s="107" t="str">
        <f t="shared" si="9"/>
        <v>Sen</v>
      </c>
      <c r="AI5" s="157">
        <f t="shared" si="10"/>
        <v>4</v>
      </c>
      <c r="AJ5" s="96"/>
      <c r="AK5" s="169"/>
      <c r="AL5" s="96"/>
      <c r="AM5" s="158">
        <f t="shared" si="11"/>
        <v>0</v>
      </c>
    </row>
    <row r="6" ht="22.5" customHeight="1">
      <c r="A6" s="152"/>
      <c r="B6" s="16" t="s">
        <v>54</v>
      </c>
      <c r="C6" s="16" t="s">
        <v>1131</v>
      </c>
      <c r="D6" s="123">
        <v>45901.0</v>
      </c>
      <c r="E6" s="124" t="str">
        <f t="shared" si="1"/>
        <v>2025</v>
      </c>
      <c r="F6" s="124" t="str">
        <f t="shared" si="2"/>
        <v>09 Sep</v>
      </c>
      <c r="G6" s="124" t="str">
        <f t="shared" si="3"/>
        <v>Senin</v>
      </c>
      <c r="H6" s="16" t="s">
        <v>1141</v>
      </c>
      <c r="I6" s="125" t="str">
        <f t="array" ref="I6">IFNA(XLOOKUP($H6,'🙎‍♂️ Pasien'!$G$7:$G658,'🙎‍♂️ Pasien'!$H$7:$H658),"")</f>
        <v>A0525084273</v>
      </c>
      <c r="J6" s="125" t="str">
        <f t="array" ref="J6">IFNA(XLOOKUP($H6,'🙎‍♂️ Pasien'!$G$7:$G658,'🙎‍♂️ Pasien'!$L$7:$L658),"")</f>
        <v>LAKI-LAKI</v>
      </c>
      <c r="K6" s="125">
        <f t="array" ref="K6">IFNA(XLOOKUP($H6,'🙎‍♂️ Pasien'!$G$7:$G658,'🙎‍♂️ Pasien'!$I$7:$I658),"")</f>
        <v>20</v>
      </c>
      <c r="L6" s="16" t="s">
        <v>598</v>
      </c>
      <c r="M6" s="125" t="str">
        <f t="array" ref="M6">IFNA(XLOOKUP(L6,'⚙️ Pengaturan'!$H$5:$H658,'⚙️ Pengaturan'!$I$5:$I658),"")</f>
        <v>INAKTIF</v>
      </c>
      <c r="N6" s="16" t="s">
        <v>1132</v>
      </c>
      <c r="O6" s="16" t="s">
        <v>1133</v>
      </c>
      <c r="P6" s="153">
        <f t="shared" si="4"/>
        <v>5</v>
      </c>
      <c r="Q6" s="154">
        <v>45901.0</v>
      </c>
      <c r="R6" s="154">
        <v>45902.0</v>
      </c>
      <c r="S6" s="154">
        <v>45904.0</v>
      </c>
      <c r="T6" s="154">
        <v>45907.0</v>
      </c>
      <c r="U6" s="154">
        <v>45908.0</v>
      </c>
      <c r="V6" s="154"/>
      <c r="W6" s="154"/>
      <c r="X6" s="154"/>
      <c r="Y6" s="154"/>
      <c r="Z6" s="154"/>
      <c r="AA6" s="155">
        <f t="shared" si="5"/>
        <v>45908</v>
      </c>
      <c r="AB6" s="16" t="s">
        <v>1134</v>
      </c>
      <c r="AC6" s="16" t="s">
        <v>1142</v>
      </c>
      <c r="AD6" s="170"/>
      <c r="AE6" s="156">
        <f t="shared" si="6"/>
        <v>45908</v>
      </c>
      <c r="AF6" s="107" t="str">
        <f t="shared" si="7"/>
        <v>2025</v>
      </c>
      <c r="AG6" s="107" t="str">
        <f t="shared" si="8"/>
        <v>09 Sep</v>
      </c>
      <c r="AH6" s="107" t="str">
        <f t="shared" si="9"/>
        <v>Sen</v>
      </c>
      <c r="AI6" s="157">
        <f t="shared" si="10"/>
        <v>1</v>
      </c>
      <c r="AJ6" s="158"/>
      <c r="AK6" s="159"/>
      <c r="AL6" s="158"/>
      <c r="AM6" s="158">
        <f t="shared" si="11"/>
        <v>0</v>
      </c>
    </row>
    <row r="7" ht="22.5" customHeight="1">
      <c r="A7" s="152"/>
      <c r="B7" s="16" t="s">
        <v>54</v>
      </c>
      <c r="C7" s="16" t="s">
        <v>1131</v>
      </c>
      <c r="D7" s="123">
        <v>46001.0</v>
      </c>
      <c r="E7" s="124" t="str">
        <f t="shared" si="1"/>
        <v>2025</v>
      </c>
      <c r="F7" s="124" t="str">
        <f t="shared" si="2"/>
        <v>12 Des</v>
      </c>
      <c r="G7" s="124" t="str">
        <f t="shared" si="3"/>
        <v>Rabu</v>
      </c>
      <c r="H7" s="16" t="s">
        <v>1064</v>
      </c>
      <c r="I7" s="125" t="str">
        <f t="array" ref="I7">IFNA(XLOOKUP($H7,'🙎‍♂️ Pasien'!$G$7:$G658,'🙎‍♂️ Pasien'!$H$7:$H658),"")</f>
        <v/>
      </c>
      <c r="J7" s="125" t="str">
        <f t="array" ref="J7">IFNA(XLOOKUP($H7,'🙎‍♂️ Pasien'!$G$7:$G658,'🙎‍♂️ Pasien'!$L$7:$L658),"")</f>
        <v/>
      </c>
      <c r="K7" s="125" t="str">
        <f t="array" ref="K7">IFNA(XLOOKUP($H7,'🙎‍♂️ Pasien'!$G$7:$G658,'🙎‍♂️ Pasien'!$I$7:$I658),"")</f>
        <v/>
      </c>
      <c r="L7" s="16" t="s">
        <v>88</v>
      </c>
      <c r="M7" s="125" t="str">
        <f t="array" ref="M7">IFNA(XLOOKUP(L7,'⚙️ Pengaturan'!$H$5:$H658,'⚙️ Pengaturan'!$I$5:$I658),"")</f>
        <v>TIM Y</v>
      </c>
      <c r="N7" s="16" t="s">
        <v>1132</v>
      </c>
      <c r="O7" s="16" t="s">
        <v>1133</v>
      </c>
      <c r="P7" s="153">
        <f t="shared" si="4"/>
        <v>5</v>
      </c>
      <c r="Q7" s="154">
        <v>46001.0</v>
      </c>
      <c r="R7" s="154">
        <v>46006.0</v>
      </c>
      <c r="S7" s="154">
        <v>46009.0</v>
      </c>
      <c r="T7" s="154">
        <v>46013.0</v>
      </c>
      <c r="U7" s="154">
        <v>46017.0</v>
      </c>
      <c r="V7" s="154"/>
      <c r="W7" s="154"/>
      <c r="X7" s="154"/>
      <c r="Y7" s="154"/>
      <c r="Z7" s="154"/>
      <c r="AA7" s="155">
        <f t="shared" si="5"/>
        <v>46017</v>
      </c>
      <c r="AB7" s="16" t="s">
        <v>1134</v>
      </c>
      <c r="AC7" s="16" t="s">
        <v>1138</v>
      </c>
      <c r="AD7" s="170"/>
      <c r="AE7" s="156">
        <f t="shared" si="6"/>
        <v>46017</v>
      </c>
      <c r="AF7" s="107" t="str">
        <f t="shared" si="7"/>
        <v>2025</v>
      </c>
      <c r="AG7" s="107" t="str">
        <f t="shared" si="8"/>
        <v>12 Des</v>
      </c>
      <c r="AH7" s="107" t="str">
        <f t="shared" si="9"/>
        <v>Jum</v>
      </c>
      <c r="AI7" s="157">
        <f t="shared" si="10"/>
        <v>3</v>
      </c>
      <c r="AJ7" s="158"/>
      <c r="AK7" s="159"/>
      <c r="AL7" s="158"/>
      <c r="AM7" s="158">
        <f t="shared" si="11"/>
        <v>0</v>
      </c>
    </row>
    <row r="8" ht="22.5" customHeight="1">
      <c r="A8" s="152"/>
      <c r="B8" s="171"/>
      <c r="C8" s="171"/>
      <c r="D8" s="161">
        <v>45685.0</v>
      </c>
      <c r="E8" s="124" t="str">
        <f t="shared" si="1"/>
        <v>2025</v>
      </c>
      <c r="F8" s="124" t="str">
        <f t="shared" si="2"/>
        <v>01 Jan</v>
      </c>
      <c r="G8" s="124" t="str">
        <f t="shared" si="3"/>
        <v>Selasa</v>
      </c>
      <c r="H8" s="16" t="s">
        <v>1143</v>
      </c>
      <c r="I8" s="125" t="str">
        <f t="array" ref="I8">IFNA(XLOOKUP($H8,'🙎‍♂️ Pasien'!$G$7:$G658,'🙎‍♂️ Pasien'!$H$7:$H658),"")</f>
        <v>A9825014940</v>
      </c>
      <c r="J8" s="125" t="str">
        <f t="array" ref="J8">IFNA(XLOOKUP($H8,'🙎‍♂️ Pasien'!$G$7:$G658,'🙎‍♂️ Pasien'!$L$7:$L658),"")</f>
        <v>LAKI-LAKI</v>
      </c>
      <c r="K8" s="125">
        <f t="array" ref="K8">IFNA(XLOOKUP($H8,'🙎‍♂️ Pasien'!$G$7:$G658,'🙎‍♂️ Pasien'!$I$7:$I658),"")</f>
        <v>27</v>
      </c>
      <c r="L8" s="16" t="s">
        <v>607</v>
      </c>
      <c r="M8" s="125" t="str">
        <f t="array" ref="M8">IFNA(XLOOKUP(L8,'⚙️ Pengaturan'!$H$5:$H658,'⚙️ Pengaturan'!$I$5:$I658),"")</f>
        <v/>
      </c>
      <c r="N8" s="16" t="s">
        <v>1132</v>
      </c>
      <c r="O8" s="16" t="s">
        <v>1133</v>
      </c>
      <c r="P8" s="153">
        <f t="shared" si="4"/>
        <v>0</v>
      </c>
      <c r="Q8" s="154"/>
      <c r="R8" s="154"/>
      <c r="S8" s="154"/>
      <c r="T8" s="154"/>
      <c r="U8" s="154"/>
      <c r="V8" s="154"/>
      <c r="W8" s="154"/>
      <c r="X8" s="154"/>
      <c r="Y8" s="154"/>
      <c r="Z8" s="154"/>
      <c r="AA8" s="155">
        <f t="shared" si="5"/>
        <v>45685</v>
      </c>
      <c r="AB8" s="16" t="s">
        <v>1144</v>
      </c>
      <c r="AC8" s="20"/>
      <c r="AD8" s="170"/>
      <c r="AE8" s="156" t="str">
        <f t="shared" si="6"/>
        <v/>
      </c>
      <c r="AF8" s="107" t="str">
        <f t="shared" si="7"/>
        <v/>
      </c>
      <c r="AG8" s="107" t="str">
        <f t="shared" si="8"/>
        <v/>
      </c>
      <c r="AH8" s="107" t="str">
        <f t="shared" si="9"/>
        <v/>
      </c>
      <c r="AI8" s="157" t="str">
        <f t="shared" si="10"/>
        <v/>
      </c>
      <c r="AJ8" s="158"/>
      <c r="AK8" s="159"/>
      <c r="AL8" s="158"/>
      <c r="AM8" s="158">
        <f t="shared" si="11"/>
        <v>0</v>
      </c>
    </row>
    <row r="9" ht="22.5" customHeight="1">
      <c r="A9" s="152"/>
      <c r="B9" s="160" t="s">
        <v>54</v>
      </c>
      <c r="C9" s="172"/>
      <c r="D9" s="161">
        <v>45817.0</v>
      </c>
      <c r="E9" s="124" t="str">
        <f t="shared" si="1"/>
        <v>2025</v>
      </c>
      <c r="F9" s="124" t="str">
        <f t="shared" si="2"/>
        <v>06 Jun</v>
      </c>
      <c r="G9" s="124" t="str">
        <f t="shared" si="3"/>
        <v>Senin</v>
      </c>
      <c r="H9" s="160" t="s">
        <v>1145</v>
      </c>
      <c r="I9" s="125" t="str">
        <f t="array" ref="I9">IFNA(XLOOKUP($H9,'🙎‍♂️ Pasien'!$G$7:$G658,'🙎‍♂️ Pasien'!$H$7:$H658),"")</f>
        <v>A9025060759</v>
      </c>
      <c r="J9" s="125" t="str">
        <f t="array" ref="J9">IFNA(XLOOKUP($H9,'🙎‍♂️ Pasien'!$G$7:$G658,'🙎‍♂️ Pasien'!$L$7:$L658),"")</f>
        <v>LAKI-LAKI</v>
      </c>
      <c r="K9" s="125">
        <f t="array" ref="K9">IFNA(XLOOKUP($H9,'🙎‍♂️ Pasien'!$G$7:$G658,'🙎‍♂️ Pasien'!$I$7:$I658),"")</f>
        <v>35</v>
      </c>
      <c r="L9" s="160" t="s">
        <v>88</v>
      </c>
      <c r="M9" s="162" t="str">
        <f t="array" ref="M9">IFNA(XLOOKUP(L9,'⚙️ Pengaturan'!$H$5:$H658,'⚙️ Pengaturan'!$I$5:$I658),"")</f>
        <v>TIM Y</v>
      </c>
      <c r="N9" s="163" t="s">
        <v>1132</v>
      </c>
      <c r="O9" s="160" t="s">
        <v>1133</v>
      </c>
      <c r="P9" s="153">
        <f t="shared" si="4"/>
        <v>5</v>
      </c>
      <c r="Q9" s="164">
        <v>45817.0</v>
      </c>
      <c r="R9" s="164">
        <v>45822.0</v>
      </c>
      <c r="S9" s="164">
        <v>45836.0</v>
      </c>
      <c r="T9" s="164">
        <v>45843.0</v>
      </c>
      <c r="U9" s="164">
        <v>45850.0</v>
      </c>
      <c r="V9" s="164"/>
      <c r="W9" s="164"/>
      <c r="X9" s="164"/>
      <c r="Y9" s="164"/>
      <c r="Z9" s="164"/>
      <c r="AA9" s="165">
        <f t="shared" si="5"/>
        <v>45850</v>
      </c>
      <c r="AB9" s="160" t="s">
        <v>1134</v>
      </c>
      <c r="AC9" s="160" t="s">
        <v>1135</v>
      </c>
      <c r="AD9" s="168" t="s">
        <v>806</v>
      </c>
      <c r="AE9" s="156">
        <f t="shared" si="6"/>
        <v>45850</v>
      </c>
      <c r="AF9" s="107" t="str">
        <f t="shared" si="7"/>
        <v>2025</v>
      </c>
      <c r="AG9" s="107" t="str">
        <f t="shared" si="8"/>
        <v>07 Jul</v>
      </c>
      <c r="AH9" s="107" t="str">
        <f t="shared" si="9"/>
        <v>Sab</v>
      </c>
      <c r="AI9" s="157">
        <f t="shared" si="10"/>
        <v>5</v>
      </c>
      <c r="AJ9" s="158"/>
      <c r="AK9" s="159"/>
      <c r="AL9" s="158"/>
      <c r="AM9" s="158">
        <f t="shared" si="11"/>
        <v>0</v>
      </c>
    </row>
    <row r="10" ht="22.5" customHeight="1">
      <c r="A10" s="152"/>
      <c r="B10" s="160" t="s">
        <v>86</v>
      </c>
      <c r="C10" s="160" t="s">
        <v>1131</v>
      </c>
      <c r="D10" s="161">
        <v>45836.0</v>
      </c>
      <c r="E10" s="124" t="str">
        <f t="shared" si="1"/>
        <v>2025</v>
      </c>
      <c r="F10" s="124" t="str">
        <f t="shared" si="2"/>
        <v>06 Jun</v>
      </c>
      <c r="G10" s="124" t="str">
        <f t="shared" si="3"/>
        <v>Sabtu</v>
      </c>
      <c r="H10" s="160" t="s">
        <v>1146</v>
      </c>
      <c r="I10" s="125" t="str">
        <f t="array" ref="I10">IFNA(XLOOKUP($H10,'🙎‍♂️ Pasien'!$G$7:$G658,'🙎‍♂️ Pasien'!$H$7:$H658),"")</f>
        <v>A7925041303</v>
      </c>
      <c r="J10" s="125" t="str">
        <f t="array" ref="J10">IFNA(XLOOKUP($H10,'🙎‍♂️ Pasien'!$G$7:$G658,'🙎‍♂️ Pasien'!$L$7:$L658),"")</f>
        <v>LAKI-LAKI</v>
      </c>
      <c r="K10" s="125">
        <f t="array" ref="K10">IFNA(XLOOKUP($H10,'🙎‍♂️ Pasien'!$G$7:$G658,'🙎‍♂️ Pasien'!$I$7:$I658),"")</f>
        <v>47</v>
      </c>
      <c r="L10" s="160" t="s">
        <v>72</v>
      </c>
      <c r="M10" s="162" t="str">
        <f t="array" ref="M10">IFNA(XLOOKUP(L10,'⚙️ Pengaturan'!$H$5:$H658,'⚙️ Pengaturan'!$I$5:$I658),"")</f>
        <v>TIM A</v>
      </c>
      <c r="N10" s="163" t="s">
        <v>1132</v>
      </c>
      <c r="O10" s="160" t="s">
        <v>1133</v>
      </c>
      <c r="P10" s="153">
        <f t="shared" si="4"/>
        <v>5</v>
      </c>
      <c r="Q10" s="164">
        <v>45838.0</v>
      </c>
      <c r="R10" s="164">
        <v>45840.0</v>
      </c>
      <c r="S10" s="164">
        <v>45840.0</v>
      </c>
      <c r="T10" s="164">
        <v>45842.0</v>
      </c>
      <c r="U10" s="164">
        <v>45845.0</v>
      </c>
      <c r="V10" s="164"/>
      <c r="W10" s="164"/>
      <c r="X10" s="164"/>
      <c r="Y10" s="164"/>
      <c r="Z10" s="164"/>
      <c r="AA10" s="165">
        <f t="shared" si="5"/>
        <v>45845</v>
      </c>
      <c r="AB10" s="160" t="s">
        <v>1134</v>
      </c>
      <c r="AC10" s="160" t="s">
        <v>1135</v>
      </c>
      <c r="AD10" s="168" t="s">
        <v>1147</v>
      </c>
      <c r="AE10" s="156">
        <f t="shared" si="6"/>
        <v>45845</v>
      </c>
      <c r="AF10" s="107" t="str">
        <f t="shared" si="7"/>
        <v>2025</v>
      </c>
      <c r="AG10" s="107" t="str">
        <f t="shared" si="8"/>
        <v>07 Jul</v>
      </c>
      <c r="AH10" s="107" t="str">
        <f t="shared" si="9"/>
        <v>Sen</v>
      </c>
      <c r="AI10" s="157">
        <f t="shared" si="10"/>
        <v>1</v>
      </c>
      <c r="AJ10" s="158"/>
      <c r="AK10" s="159"/>
      <c r="AL10" s="158"/>
      <c r="AM10" s="158">
        <f t="shared" si="11"/>
        <v>0</v>
      </c>
    </row>
    <row r="11" ht="22.5" customHeight="1">
      <c r="A11" s="152"/>
      <c r="B11" s="20"/>
      <c r="C11" s="20"/>
      <c r="D11" s="123">
        <v>45656.0</v>
      </c>
      <c r="E11" s="124" t="str">
        <f t="shared" si="1"/>
        <v>2024</v>
      </c>
      <c r="F11" s="124" t="str">
        <f t="shared" si="2"/>
        <v>12 Des</v>
      </c>
      <c r="G11" s="124" t="str">
        <f t="shared" si="3"/>
        <v>Senin</v>
      </c>
      <c r="H11" s="16" t="s">
        <v>1148</v>
      </c>
      <c r="I11" s="125" t="str">
        <f t="array" ref="I11">IFNA(XLOOKUP($H11,'🙎‍♂️ Pasien'!$G$7:$G658,'🙎‍♂️ Pasien'!$H$7:$H658),"")</f>
        <v>A8624112720</v>
      </c>
      <c r="J11" s="125" t="str">
        <f t="array" ref="J11">IFNA(XLOOKUP($H11,'🙎‍♂️ Pasien'!$G$7:$G658,'🙎‍♂️ Pasien'!$L$7:$L658),"")</f>
        <v>LAKI-LAKI</v>
      </c>
      <c r="K11" s="125">
        <f t="array" ref="K11">IFNA(XLOOKUP($H11,'🙎‍♂️ Pasien'!$G$7:$G658,'🙎‍♂️ Pasien'!$I$7:$I658),"")</f>
        <v>40</v>
      </c>
      <c r="L11" s="16" t="s">
        <v>1149</v>
      </c>
      <c r="M11" s="125" t="str">
        <f t="array" ref="M11">IFNA(XLOOKUP(L11,'⚙️ Pengaturan'!$H$5:$H658,'⚙️ Pengaturan'!$I$5:$I658),"")</f>
        <v/>
      </c>
      <c r="N11" s="16" t="s">
        <v>1132</v>
      </c>
      <c r="O11" s="16" t="s">
        <v>1133</v>
      </c>
      <c r="P11" s="153">
        <f t="shared" si="4"/>
        <v>3</v>
      </c>
      <c r="Q11" s="154">
        <v>45626.0</v>
      </c>
      <c r="R11" s="154">
        <v>45630.0</v>
      </c>
      <c r="S11" s="154">
        <v>45607.0</v>
      </c>
      <c r="T11" s="154"/>
      <c r="U11" s="154"/>
      <c r="V11" s="154"/>
      <c r="W11" s="154"/>
      <c r="X11" s="154"/>
      <c r="Y11" s="154"/>
      <c r="Z11" s="154"/>
      <c r="AA11" s="155">
        <f t="shared" si="5"/>
        <v>45656</v>
      </c>
      <c r="AB11" s="16" t="s">
        <v>1144</v>
      </c>
      <c r="AC11" s="20"/>
      <c r="AD11" s="170"/>
      <c r="AE11" s="156" t="str">
        <f t="shared" si="6"/>
        <v/>
      </c>
      <c r="AF11" s="107" t="str">
        <f t="shared" si="7"/>
        <v/>
      </c>
      <c r="AG11" s="107" t="str">
        <f t="shared" si="8"/>
        <v/>
      </c>
      <c r="AH11" s="107" t="str">
        <f t="shared" si="9"/>
        <v/>
      </c>
      <c r="AI11" s="157">
        <f t="shared" si="10"/>
        <v>80</v>
      </c>
      <c r="AJ11" s="158"/>
      <c r="AK11" s="159"/>
      <c r="AL11" s="158"/>
      <c r="AM11" s="158">
        <f t="shared" si="11"/>
        <v>0</v>
      </c>
    </row>
    <row r="12" ht="22.5" customHeight="1">
      <c r="A12" s="152"/>
      <c r="B12" s="160" t="s">
        <v>54</v>
      </c>
      <c r="C12" s="160" t="s">
        <v>1131</v>
      </c>
      <c r="D12" s="161">
        <v>45944.0</v>
      </c>
      <c r="E12" s="124" t="str">
        <f t="shared" si="1"/>
        <v>2025</v>
      </c>
      <c r="F12" s="124" t="str">
        <f t="shared" si="2"/>
        <v>10 Okt</v>
      </c>
      <c r="G12" s="124" t="str">
        <f t="shared" si="3"/>
        <v>Selasa</v>
      </c>
      <c r="H12" s="160" t="s">
        <v>239</v>
      </c>
      <c r="I12" s="125" t="str">
        <f t="array" ref="I12">IFNA(XLOOKUP($H12,'🙎‍♂️ Pasien'!$G$7:$G658,'🙎‍♂️ Pasien'!$H$7:$H658),"")</f>
        <v>A0623071437</v>
      </c>
      <c r="J12" s="125" t="str">
        <f t="array" ref="J12">IFNA(XLOOKUP($H12,'🙎‍♂️ Pasien'!$G$7:$G658,'🙎‍♂️ Pasien'!$L$7:$L658),"")</f>
        <v>LAKI-LAKI</v>
      </c>
      <c r="K12" s="125">
        <f t="array" ref="K12">IFNA(XLOOKUP($H12,'🙎‍♂️ Pasien'!$G$7:$G658,'🙎‍♂️ Pasien'!$I$7:$I658),"")</f>
        <v>20</v>
      </c>
      <c r="L12" s="160" t="s">
        <v>88</v>
      </c>
      <c r="M12" s="162" t="str">
        <f t="array" ref="M12">IFNA(XLOOKUP(L12,'⚙️ Pengaturan'!$H$5:$H658,'⚙️ Pengaturan'!$I$5:$I658),"")</f>
        <v>TIM Y</v>
      </c>
      <c r="N12" s="163" t="s">
        <v>1132</v>
      </c>
      <c r="O12" s="160" t="s">
        <v>1133</v>
      </c>
      <c r="P12" s="153">
        <f t="shared" si="4"/>
        <v>5</v>
      </c>
      <c r="Q12" s="164">
        <v>45944.0</v>
      </c>
      <c r="R12" s="164">
        <v>45949.0</v>
      </c>
      <c r="S12" s="164">
        <v>45956.0</v>
      </c>
      <c r="T12" s="164">
        <v>45962.0</v>
      </c>
      <c r="U12" s="164">
        <v>45972.0</v>
      </c>
      <c r="V12" s="164"/>
      <c r="W12" s="164"/>
      <c r="X12" s="164"/>
      <c r="Y12" s="164"/>
      <c r="Z12" s="164"/>
      <c r="AA12" s="165">
        <f t="shared" si="5"/>
        <v>45972</v>
      </c>
      <c r="AB12" s="160" t="s">
        <v>1134</v>
      </c>
      <c r="AC12" s="160" t="s">
        <v>1138</v>
      </c>
      <c r="AD12" s="166"/>
      <c r="AE12" s="156">
        <f t="shared" si="6"/>
        <v>45972</v>
      </c>
      <c r="AF12" s="107" t="str">
        <f t="shared" si="7"/>
        <v>2025</v>
      </c>
      <c r="AG12" s="107" t="str">
        <f t="shared" si="8"/>
        <v>11 Nov</v>
      </c>
      <c r="AH12" s="107" t="str">
        <f t="shared" si="9"/>
        <v>Sel</v>
      </c>
      <c r="AI12" s="157">
        <f t="shared" si="10"/>
        <v>4</v>
      </c>
      <c r="AJ12" s="158"/>
      <c r="AK12" s="159"/>
      <c r="AL12" s="158"/>
      <c r="AM12" s="158">
        <f t="shared" si="11"/>
        <v>0</v>
      </c>
    </row>
    <row r="13" ht="22.5" customHeight="1">
      <c r="A13" s="152"/>
      <c r="B13" s="160" t="s">
        <v>86</v>
      </c>
      <c r="C13" s="160" t="s">
        <v>1131</v>
      </c>
      <c r="D13" s="161">
        <v>45977.0</v>
      </c>
      <c r="E13" s="124" t="str">
        <f t="shared" si="1"/>
        <v>2025</v>
      </c>
      <c r="F13" s="124" t="str">
        <f t="shared" si="2"/>
        <v>11 Nov</v>
      </c>
      <c r="G13" s="124" t="str">
        <f t="shared" si="3"/>
        <v>Minggu</v>
      </c>
      <c r="H13" s="160" t="s">
        <v>239</v>
      </c>
      <c r="I13" s="125" t="str">
        <f t="array" ref="I13">IFNA(XLOOKUP($H13,'🙎‍♂️ Pasien'!$G$7:$G658,'🙎‍♂️ Pasien'!$H$7:$H658),"")</f>
        <v>A0623071437</v>
      </c>
      <c r="J13" s="125" t="str">
        <f t="array" ref="J13">IFNA(XLOOKUP($H13,'🙎‍♂️ Pasien'!$G$7:$G658,'🙎‍♂️ Pasien'!$L$7:$L658),"")</f>
        <v>LAKI-LAKI</v>
      </c>
      <c r="K13" s="125">
        <f t="array" ref="K13">IFNA(XLOOKUP($H13,'🙎‍♂️ Pasien'!$G$7:$G658,'🙎‍♂️ Pasien'!$I$7:$I658),"")</f>
        <v>20</v>
      </c>
      <c r="L13" s="160" t="s">
        <v>88</v>
      </c>
      <c r="M13" s="162" t="str">
        <f t="array" ref="M13">IFNA(XLOOKUP(L13,'⚙️ Pengaturan'!$H$5:$H658,'⚙️ Pengaturan'!$I$5:$I658),"")</f>
        <v>TIM Y</v>
      </c>
      <c r="N13" s="163" t="s">
        <v>1132</v>
      </c>
      <c r="O13" s="160" t="s">
        <v>1139</v>
      </c>
      <c r="P13" s="153">
        <f t="shared" si="4"/>
        <v>5</v>
      </c>
      <c r="Q13" s="164">
        <v>45977.0</v>
      </c>
      <c r="R13" s="164">
        <v>45983.0</v>
      </c>
      <c r="S13" s="164">
        <v>45990.0</v>
      </c>
      <c r="T13" s="164">
        <v>45995.0</v>
      </c>
      <c r="U13" s="164">
        <v>46005.0</v>
      </c>
      <c r="V13" s="164"/>
      <c r="W13" s="164"/>
      <c r="X13" s="164"/>
      <c r="Y13" s="164"/>
      <c r="Z13" s="164"/>
      <c r="AA13" s="165">
        <f t="shared" si="5"/>
        <v>46005</v>
      </c>
      <c r="AB13" s="160" t="s">
        <v>1134</v>
      </c>
      <c r="AC13" s="160" t="s">
        <v>1135</v>
      </c>
      <c r="AD13" s="168" t="s">
        <v>1150</v>
      </c>
      <c r="AE13" s="156">
        <f t="shared" si="6"/>
        <v>46005</v>
      </c>
      <c r="AF13" s="107" t="str">
        <f t="shared" si="7"/>
        <v>2025</v>
      </c>
      <c r="AG13" s="107" t="str">
        <f t="shared" si="8"/>
        <v>12 Des</v>
      </c>
      <c r="AH13" s="107" t="str">
        <f t="shared" si="9"/>
        <v>Min</v>
      </c>
      <c r="AI13" s="157">
        <f t="shared" si="10"/>
        <v>4</v>
      </c>
      <c r="AJ13" s="158"/>
      <c r="AK13" s="159"/>
      <c r="AL13" s="158"/>
      <c r="AM13" s="158">
        <f t="shared" si="11"/>
        <v>0</v>
      </c>
    </row>
    <row r="14" ht="22.5" customHeight="1">
      <c r="A14" s="152"/>
      <c r="B14" s="20"/>
      <c r="C14" s="20"/>
      <c r="D14" s="123">
        <v>45605.0</v>
      </c>
      <c r="E14" s="124" t="str">
        <f t="shared" si="1"/>
        <v>2024</v>
      </c>
      <c r="F14" s="124" t="str">
        <f t="shared" si="2"/>
        <v>11 Nov</v>
      </c>
      <c r="G14" s="124" t="str">
        <f t="shared" si="3"/>
        <v>Sabtu</v>
      </c>
      <c r="H14" s="16" t="s">
        <v>1151</v>
      </c>
      <c r="I14" s="125" t="str">
        <f t="array" ref="I14">IFNA(XLOOKUP($H14,'🙎‍♂️ Pasien'!$G$7:$G658,'🙎‍♂️ Pasien'!$H$7:$H658),"")</f>
        <v>A0724100417</v>
      </c>
      <c r="J14" s="125" t="str">
        <f t="array" ref="J14">IFNA(XLOOKUP($H14,'🙎‍♂️ Pasien'!$G$7:$G658,'🙎‍♂️ Pasien'!$L$7:$L658),"")</f>
        <v>PEREMPUAN</v>
      </c>
      <c r="K14" s="125">
        <f t="array" ref="K14">IFNA(XLOOKUP($H14,'🙎‍♂️ Pasien'!$G$7:$G658,'🙎‍♂️ Pasien'!$I$7:$I658),"")</f>
        <v>19</v>
      </c>
      <c r="L14" s="16" t="s">
        <v>1152</v>
      </c>
      <c r="M14" s="125" t="str">
        <f t="array" ref="M14">IFNA(XLOOKUP(L14,'⚙️ Pengaturan'!$H$5:$H658,'⚙️ Pengaturan'!$I$5:$I658),"")</f>
        <v>INAKTIF</v>
      </c>
      <c r="N14" s="16" t="s">
        <v>1132</v>
      </c>
      <c r="O14" s="16" t="s">
        <v>1139</v>
      </c>
      <c r="P14" s="153">
        <f t="shared" si="4"/>
        <v>4</v>
      </c>
      <c r="Q14" s="154">
        <v>45601.0</v>
      </c>
      <c r="R14" s="154">
        <v>45605.0</v>
      </c>
      <c r="S14" s="154">
        <v>45609.0</v>
      </c>
      <c r="T14" s="154">
        <v>45616.0</v>
      </c>
      <c r="U14" s="154"/>
      <c r="V14" s="154"/>
      <c r="W14" s="154"/>
      <c r="X14" s="154"/>
      <c r="Y14" s="154"/>
      <c r="Z14" s="154"/>
      <c r="AA14" s="155">
        <f t="shared" si="5"/>
        <v>45616</v>
      </c>
      <c r="AB14" s="16" t="s">
        <v>1144</v>
      </c>
      <c r="AC14" s="20"/>
      <c r="AD14" s="170"/>
      <c r="AE14" s="156" t="str">
        <f t="shared" si="6"/>
        <v/>
      </c>
      <c r="AF14" s="107" t="str">
        <f t="shared" si="7"/>
        <v/>
      </c>
      <c r="AG14" s="107" t="str">
        <f t="shared" si="8"/>
        <v/>
      </c>
      <c r="AH14" s="107" t="str">
        <f t="shared" si="9"/>
        <v/>
      </c>
      <c r="AI14" s="157">
        <f t="shared" si="10"/>
        <v>83</v>
      </c>
      <c r="AJ14" s="158"/>
      <c r="AK14" s="159"/>
      <c r="AL14" s="158"/>
      <c r="AM14" s="158">
        <f t="shared" si="11"/>
        <v>0</v>
      </c>
    </row>
    <row r="15" ht="22.5" customHeight="1">
      <c r="A15" s="152"/>
      <c r="B15" s="16" t="s">
        <v>134</v>
      </c>
      <c r="C15" s="16" t="s">
        <v>1131</v>
      </c>
      <c r="D15" s="123">
        <v>45609.0</v>
      </c>
      <c r="E15" s="124" t="str">
        <f t="shared" si="1"/>
        <v>2024</v>
      </c>
      <c r="F15" s="124" t="str">
        <f t="shared" si="2"/>
        <v>11 Nov</v>
      </c>
      <c r="G15" s="124" t="str">
        <f t="shared" si="3"/>
        <v>Rabu</v>
      </c>
      <c r="H15" s="16" t="s">
        <v>161</v>
      </c>
      <c r="I15" s="125" t="str">
        <f t="array" ref="I15">IFNA(XLOOKUP($H15,'🙎‍♂️ Pasien'!$G$7:$G658,'🙎‍♂️ Pasien'!$H$7:$H658),"")</f>
        <v>A9224038209</v>
      </c>
      <c r="J15" s="125" t="str">
        <f t="array" ref="J15">IFNA(XLOOKUP($H15,'🙎‍♂️ Pasien'!$G$7:$G658,'🙎‍♂️ Pasien'!$L$7:$L658),"")</f>
        <v>PEREMPUAN</v>
      </c>
      <c r="K15" s="125">
        <f t="array" ref="K15">IFNA(XLOOKUP($H15,'🙎‍♂️ Pasien'!$G$7:$G658,'🙎‍♂️ Pasien'!$I$7:$I658),"")</f>
        <v>33</v>
      </c>
      <c r="L15" s="16" t="s">
        <v>101</v>
      </c>
      <c r="M15" s="125" t="str">
        <f t="array" ref="M15">IFNA(XLOOKUP(L15,'⚙️ Pengaturan'!$H$5:$H658,'⚙️ Pengaturan'!$I$5:$I658),"")</f>
        <v>MANAJEMEN</v>
      </c>
      <c r="N15" s="16" t="s">
        <v>1137</v>
      </c>
      <c r="O15" s="16" t="s">
        <v>1133</v>
      </c>
      <c r="P15" s="153">
        <f t="shared" si="4"/>
        <v>10</v>
      </c>
      <c r="Q15" s="154">
        <v>45609.0</v>
      </c>
      <c r="R15" s="154">
        <v>45616.0</v>
      </c>
      <c r="S15" s="154">
        <v>45629.0</v>
      </c>
      <c r="T15" s="154">
        <v>45632.0</v>
      </c>
      <c r="U15" s="154">
        <v>45635.0</v>
      </c>
      <c r="V15" s="154">
        <v>45876.0</v>
      </c>
      <c r="W15" s="154">
        <v>45879.0</v>
      </c>
      <c r="X15" s="154">
        <v>45883.0</v>
      </c>
      <c r="Y15" s="154">
        <v>45895.0</v>
      </c>
      <c r="Z15" s="154">
        <v>45906.0</v>
      </c>
      <c r="AA15" s="155">
        <f t="shared" si="5"/>
        <v>45906</v>
      </c>
      <c r="AB15" s="16" t="s">
        <v>1134</v>
      </c>
      <c r="AC15" s="16" t="s">
        <v>1138</v>
      </c>
      <c r="AD15" s="170"/>
      <c r="AE15" s="156">
        <f t="shared" si="6"/>
        <v>45906</v>
      </c>
      <c r="AF15" s="107" t="str">
        <f t="shared" si="7"/>
        <v>2025</v>
      </c>
      <c r="AG15" s="107" t="str">
        <f t="shared" si="8"/>
        <v>09 Sep</v>
      </c>
      <c r="AH15" s="107" t="str">
        <f t="shared" si="9"/>
        <v>Sab</v>
      </c>
      <c r="AI15" s="157">
        <f t="shared" si="10"/>
        <v>43</v>
      </c>
      <c r="AJ15" s="158"/>
      <c r="AK15" s="159"/>
      <c r="AL15" s="158"/>
      <c r="AM15" s="158">
        <f t="shared" si="11"/>
        <v>0</v>
      </c>
    </row>
    <row r="16" ht="22.5" customHeight="1">
      <c r="A16" s="152"/>
      <c r="B16" s="16" t="s">
        <v>54</v>
      </c>
      <c r="C16" s="16" t="s">
        <v>1131</v>
      </c>
      <c r="D16" s="123">
        <v>45985.0</v>
      </c>
      <c r="E16" s="124" t="str">
        <f t="shared" si="1"/>
        <v>2025</v>
      </c>
      <c r="F16" s="124" t="str">
        <f t="shared" si="2"/>
        <v>11 Nov</v>
      </c>
      <c r="G16" s="124" t="str">
        <f t="shared" si="3"/>
        <v>Senin</v>
      </c>
      <c r="H16" s="16" t="s">
        <v>161</v>
      </c>
      <c r="I16" s="125" t="str">
        <f t="array" ref="I16">IFNA(XLOOKUP($H16,'🙎‍♂️ Pasien'!$G$7:$G658,'🙎‍♂️ Pasien'!$H$7:$H658),"")</f>
        <v>A9224038209</v>
      </c>
      <c r="J16" s="125" t="str">
        <f t="array" ref="J16">IFNA(XLOOKUP($H16,'🙎‍♂️ Pasien'!$G$7:$G658,'🙎‍♂️ Pasien'!$L$7:$L658),"")</f>
        <v>PEREMPUAN</v>
      </c>
      <c r="K16" s="125">
        <f t="array" ref="K16">IFNA(XLOOKUP($H16,'🙎‍♂️ Pasien'!$G$7:$G658,'🙎‍♂️ Pasien'!$I$7:$I658),"")</f>
        <v>33</v>
      </c>
      <c r="L16" s="16" t="s">
        <v>101</v>
      </c>
      <c r="M16" s="125" t="str">
        <f t="array" ref="M16">IFNA(XLOOKUP(L16,'⚙️ Pengaturan'!$H$5:$H658,'⚙️ Pengaturan'!$I$5:$I658),"")</f>
        <v>MANAJEMEN</v>
      </c>
      <c r="N16" s="16" t="s">
        <v>1137</v>
      </c>
      <c r="O16" s="16" t="s">
        <v>1133</v>
      </c>
      <c r="P16" s="153">
        <f t="shared" si="4"/>
        <v>3</v>
      </c>
      <c r="Q16" s="154">
        <v>45985.0</v>
      </c>
      <c r="R16" s="154">
        <v>45992.0</v>
      </c>
      <c r="S16" s="154">
        <v>46007.0</v>
      </c>
      <c r="T16" s="154"/>
      <c r="U16" s="154"/>
      <c r="V16" s="154"/>
      <c r="W16" s="154"/>
      <c r="X16" s="154"/>
      <c r="Y16" s="154"/>
      <c r="Z16" s="154"/>
      <c r="AA16" s="155">
        <f t="shared" si="5"/>
        <v>46007</v>
      </c>
      <c r="AB16" s="16" t="s">
        <v>1144</v>
      </c>
      <c r="AC16" s="20"/>
      <c r="AD16" s="170"/>
      <c r="AE16" s="156" t="str">
        <f t="shared" si="6"/>
        <v/>
      </c>
      <c r="AF16" s="107" t="str">
        <f t="shared" si="7"/>
        <v/>
      </c>
      <c r="AG16" s="107" t="str">
        <f t="shared" si="8"/>
        <v/>
      </c>
      <c r="AH16" s="107" t="str">
        <f t="shared" si="9"/>
        <v/>
      </c>
      <c r="AI16" s="157">
        <f t="shared" si="10"/>
        <v>29</v>
      </c>
      <c r="AJ16" s="158"/>
      <c r="AK16" s="159"/>
      <c r="AL16" s="158"/>
      <c r="AM16" s="158">
        <f t="shared" si="11"/>
        <v>0</v>
      </c>
    </row>
    <row r="17" ht="22.5" customHeight="1">
      <c r="A17" s="152"/>
      <c r="B17" s="160" t="s">
        <v>86</v>
      </c>
      <c r="C17" s="160" t="s">
        <v>1131</v>
      </c>
      <c r="D17" s="161">
        <v>45838.0</v>
      </c>
      <c r="E17" s="124" t="str">
        <f t="shared" si="1"/>
        <v>2025</v>
      </c>
      <c r="F17" s="124" t="str">
        <f t="shared" si="2"/>
        <v>06 Jun</v>
      </c>
      <c r="G17" s="124" t="str">
        <f t="shared" si="3"/>
        <v>Senin</v>
      </c>
      <c r="H17" s="160" t="s">
        <v>1153</v>
      </c>
      <c r="I17" s="125" t="str">
        <f t="array" ref="I17">IFNA(XLOOKUP($H17,'🙎‍♂️ Pasien'!$G$7:$G658,'🙎‍♂️ Pasien'!$H$7:$H658),"")</f>
        <v>A8625063000</v>
      </c>
      <c r="J17" s="125" t="str">
        <f t="array" ref="J17">IFNA(XLOOKUP($H17,'🙎‍♂️ Pasien'!$G$7:$G658,'🙎‍♂️ Pasien'!$L$7:$L658),"")</f>
        <v>LAKI-LAKI</v>
      </c>
      <c r="K17" s="125">
        <f t="array" ref="K17">IFNA(XLOOKUP($H17,'🙎‍♂️ Pasien'!$G$7:$G658,'🙎‍♂️ Pasien'!$I$7:$I658),"")</f>
        <v>39</v>
      </c>
      <c r="L17" s="160" t="s">
        <v>1152</v>
      </c>
      <c r="M17" s="162" t="str">
        <f t="array" ref="M17">IFNA(XLOOKUP(L17,'⚙️ Pengaturan'!$H$5:$H658,'⚙️ Pengaturan'!$I$5:$I658),"")</f>
        <v>INAKTIF</v>
      </c>
      <c r="N17" s="163" t="s">
        <v>1132</v>
      </c>
      <c r="O17" s="160" t="s">
        <v>1133</v>
      </c>
      <c r="P17" s="153">
        <f t="shared" si="4"/>
        <v>5</v>
      </c>
      <c r="Q17" s="164">
        <v>45840.0</v>
      </c>
      <c r="R17" s="164">
        <v>45842.0</v>
      </c>
      <c r="S17" s="164">
        <v>45844.0</v>
      </c>
      <c r="T17" s="164">
        <v>45847.0</v>
      </c>
      <c r="U17" s="164">
        <v>45850.0</v>
      </c>
      <c r="V17" s="164"/>
      <c r="W17" s="164"/>
      <c r="X17" s="164"/>
      <c r="Y17" s="164"/>
      <c r="Z17" s="164"/>
      <c r="AA17" s="165">
        <f t="shared" si="5"/>
        <v>45850</v>
      </c>
      <c r="AB17" s="160" t="s">
        <v>1134</v>
      </c>
      <c r="AC17" s="160" t="s">
        <v>1138</v>
      </c>
      <c r="AD17" s="166"/>
      <c r="AE17" s="156">
        <f t="shared" si="6"/>
        <v>45850</v>
      </c>
      <c r="AF17" s="107" t="str">
        <f t="shared" si="7"/>
        <v>2025</v>
      </c>
      <c r="AG17" s="107" t="str">
        <f t="shared" si="8"/>
        <v>07 Jul</v>
      </c>
      <c r="AH17" s="107" t="str">
        <f t="shared" si="9"/>
        <v>Sab</v>
      </c>
      <c r="AI17" s="157">
        <f t="shared" si="10"/>
        <v>2</v>
      </c>
      <c r="AJ17" s="158"/>
      <c r="AK17" s="159"/>
      <c r="AL17" s="158"/>
      <c r="AM17" s="158">
        <f t="shared" si="11"/>
        <v>0</v>
      </c>
    </row>
    <row r="18" ht="22.5" customHeight="1">
      <c r="A18" s="152"/>
      <c r="B18" s="160" t="s">
        <v>86</v>
      </c>
      <c r="C18" s="160" t="s">
        <v>1131</v>
      </c>
      <c r="D18" s="161">
        <v>45850.0</v>
      </c>
      <c r="E18" s="124" t="str">
        <f t="shared" si="1"/>
        <v>2025</v>
      </c>
      <c r="F18" s="124" t="str">
        <f t="shared" si="2"/>
        <v>07 Jul</v>
      </c>
      <c r="G18" s="124" t="str">
        <f t="shared" si="3"/>
        <v>Sabtu</v>
      </c>
      <c r="H18" s="160" t="s">
        <v>1153</v>
      </c>
      <c r="I18" s="125" t="str">
        <f t="array" ref="I18">IFNA(XLOOKUP($H18,'🙎‍♂️ Pasien'!$G$7:$G658,'🙎‍♂️ Pasien'!$H$7:$H658),"")</f>
        <v>A8625063000</v>
      </c>
      <c r="J18" s="125" t="str">
        <f t="array" ref="J18">IFNA(XLOOKUP($H18,'🙎‍♂️ Pasien'!$G$7:$G658,'🙎‍♂️ Pasien'!$L$7:$L658),"")</f>
        <v>LAKI-LAKI</v>
      </c>
      <c r="K18" s="125">
        <f t="array" ref="K18">IFNA(XLOOKUP($H18,'🙎‍♂️ Pasien'!$G$7:$G658,'🙎‍♂️ Pasien'!$I$7:$I658),"")</f>
        <v>39</v>
      </c>
      <c r="L18" s="160" t="s">
        <v>107</v>
      </c>
      <c r="M18" s="162" t="str">
        <f t="array" ref="M18">IFNA(XLOOKUP(L18,'⚙️ Pengaturan'!$H$5:$H658,'⚙️ Pengaturan'!$I$5:$I658),"")</f>
        <v>TIM Y</v>
      </c>
      <c r="N18" s="163" t="s">
        <v>1132</v>
      </c>
      <c r="O18" s="160" t="s">
        <v>1139</v>
      </c>
      <c r="P18" s="153">
        <f t="shared" si="4"/>
        <v>5</v>
      </c>
      <c r="Q18" s="164">
        <v>45853.0</v>
      </c>
      <c r="R18" s="164">
        <v>45856.0</v>
      </c>
      <c r="S18" s="164">
        <v>45859.0</v>
      </c>
      <c r="T18" s="164">
        <v>45863.0</v>
      </c>
      <c r="U18" s="164">
        <v>45875.0</v>
      </c>
      <c r="V18" s="164"/>
      <c r="W18" s="164"/>
      <c r="X18" s="164"/>
      <c r="Y18" s="164"/>
      <c r="Z18" s="164"/>
      <c r="AA18" s="165">
        <f t="shared" si="5"/>
        <v>45875</v>
      </c>
      <c r="AB18" s="160" t="s">
        <v>1144</v>
      </c>
      <c r="AC18" s="160" t="s">
        <v>1154</v>
      </c>
      <c r="AD18" s="166"/>
      <c r="AE18" s="156">
        <f t="shared" si="6"/>
        <v>45875</v>
      </c>
      <c r="AF18" s="107" t="str">
        <f t="shared" si="7"/>
        <v>2025</v>
      </c>
      <c r="AG18" s="107" t="str">
        <f t="shared" si="8"/>
        <v>08 Agu</v>
      </c>
      <c r="AH18" s="107" t="str">
        <f t="shared" si="9"/>
        <v>Rab</v>
      </c>
      <c r="AI18" s="157">
        <f t="shared" si="10"/>
        <v>4</v>
      </c>
      <c r="AJ18" s="158"/>
      <c r="AK18" s="159"/>
      <c r="AL18" s="158"/>
      <c r="AM18" s="158">
        <f t="shared" si="11"/>
        <v>0</v>
      </c>
    </row>
    <row r="19" ht="22.5" customHeight="1">
      <c r="A19" s="152"/>
      <c r="B19" s="160" t="s">
        <v>86</v>
      </c>
      <c r="C19" s="160" t="s">
        <v>1131</v>
      </c>
      <c r="D19" s="161">
        <v>45858.0</v>
      </c>
      <c r="E19" s="124" t="str">
        <f t="shared" si="1"/>
        <v>2025</v>
      </c>
      <c r="F19" s="124" t="str">
        <f t="shared" si="2"/>
        <v>07 Jul</v>
      </c>
      <c r="G19" s="124" t="str">
        <f t="shared" si="3"/>
        <v>Minggu</v>
      </c>
      <c r="H19" s="160" t="s">
        <v>1155</v>
      </c>
      <c r="I19" s="125" t="str">
        <f t="array" ref="I19">IFNA(XLOOKUP($H19,'🙎‍♂️ Pasien'!$G$7:$G658,'🙎‍♂️ Pasien'!$H$7:$H658),"")</f>
        <v>A9324087798</v>
      </c>
      <c r="J19" s="125" t="str">
        <f t="array" ref="J19">IFNA(XLOOKUP($H19,'🙎‍♂️ Pasien'!$G$7:$G658,'🙎‍♂️ Pasien'!$L$7:$L658),"")</f>
        <v>LAKI-LAKI</v>
      </c>
      <c r="K19" s="125">
        <f t="array" ref="K19">IFNA(XLOOKUP($H19,'🙎‍♂️ Pasien'!$G$7:$G658,'🙎‍♂️ Pasien'!$I$7:$I658),"")</f>
        <v>32</v>
      </c>
      <c r="L19" s="160" t="s">
        <v>56</v>
      </c>
      <c r="M19" s="162" t="str">
        <f t="array" ref="M19">IFNA(XLOOKUP(L19,'⚙️ Pengaturan'!$H$5:$H658,'⚙️ Pengaturan'!$I$5:$I658),"")</f>
        <v>TIM Y</v>
      </c>
      <c r="N19" s="163" t="s">
        <v>1132</v>
      </c>
      <c r="O19" s="160" t="s">
        <v>1133</v>
      </c>
      <c r="P19" s="153">
        <f t="shared" si="4"/>
        <v>5</v>
      </c>
      <c r="Q19" s="164">
        <v>45858.0</v>
      </c>
      <c r="R19" s="164">
        <v>45860.0</v>
      </c>
      <c r="S19" s="164">
        <v>45865.0</v>
      </c>
      <c r="T19" s="164">
        <v>45870.0</v>
      </c>
      <c r="U19" s="164">
        <v>45882.0</v>
      </c>
      <c r="V19" s="164"/>
      <c r="W19" s="164"/>
      <c r="X19" s="164"/>
      <c r="Y19" s="164"/>
      <c r="Z19" s="164"/>
      <c r="AA19" s="165">
        <f t="shared" si="5"/>
        <v>45882</v>
      </c>
      <c r="AB19" s="160" t="s">
        <v>1134</v>
      </c>
      <c r="AC19" s="160" t="s">
        <v>1138</v>
      </c>
      <c r="AD19" s="166"/>
      <c r="AE19" s="156">
        <f t="shared" si="6"/>
        <v>45882</v>
      </c>
      <c r="AF19" s="107" t="str">
        <f t="shared" si="7"/>
        <v>2025</v>
      </c>
      <c r="AG19" s="107" t="str">
        <f t="shared" si="8"/>
        <v>08 Agu</v>
      </c>
      <c r="AH19" s="107" t="str">
        <f t="shared" si="9"/>
        <v>Rab</v>
      </c>
      <c r="AI19" s="157">
        <f t="shared" si="10"/>
        <v>4</v>
      </c>
      <c r="AJ19" s="158"/>
      <c r="AK19" s="159"/>
      <c r="AL19" s="158"/>
      <c r="AM19" s="158">
        <f t="shared" si="11"/>
        <v>0</v>
      </c>
    </row>
    <row r="20" ht="22.5" customHeight="1">
      <c r="A20" s="152"/>
      <c r="B20" s="160" t="s">
        <v>1156</v>
      </c>
      <c r="C20" s="160" t="s">
        <v>1131</v>
      </c>
      <c r="D20" s="161">
        <v>45882.0</v>
      </c>
      <c r="E20" s="124" t="str">
        <f t="shared" si="1"/>
        <v>2025</v>
      </c>
      <c r="F20" s="124" t="str">
        <f t="shared" si="2"/>
        <v>08 Agu</v>
      </c>
      <c r="G20" s="124" t="str">
        <f t="shared" si="3"/>
        <v>Rabu</v>
      </c>
      <c r="H20" s="160" t="s">
        <v>1155</v>
      </c>
      <c r="I20" s="125" t="str">
        <f t="array" ref="I20">IFNA(XLOOKUP($H20,'🙎‍♂️ Pasien'!$G$7:$G658,'🙎‍♂️ Pasien'!$H$7:$H658),"")</f>
        <v>A9324087798</v>
      </c>
      <c r="J20" s="125" t="str">
        <f t="array" ref="J20">IFNA(XLOOKUP($H20,'🙎‍♂️ Pasien'!$G$7:$G658,'🙎‍♂️ Pasien'!$L$7:$L658),"")</f>
        <v>LAKI-LAKI</v>
      </c>
      <c r="K20" s="125">
        <f t="array" ref="K20">IFNA(XLOOKUP($H20,'🙎‍♂️ Pasien'!$G$7:$G658,'🙎‍♂️ Pasien'!$I$7:$I658),"")</f>
        <v>32</v>
      </c>
      <c r="L20" s="160" t="s">
        <v>88</v>
      </c>
      <c r="M20" s="162" t="str">
        <f t="array" ref="M20">IFNA(XLOOKUP(L20,'⚙️ Pengaturan'!$H$5:$H658,'⚙️ Pengaturan'!$I$5:$I658),"")</f>
        <v>TIM Y</v>
      </c>
      <c r="N20" s="163" t="s">
        <v>1132</v>
      </c>
      <c r="O20" s="160" t="s">
        <v>1139</v>
      </c>
      <c r="P20" s="153">
        <f t="shared" si="4"/>
        <v>5</v>
      </c>
      <c r="Q20" s="164">
        <v>45888.0</v>
      </c>
      <c r="R20" s="164">
        <v>45893.0</v>
      </c>
      <c r="S20" s="164">
        <v>45895.0</v>
      </c>
      <c r="T20" s="164">
        <v>45902.0</v>
      </c>
      <c r="U20" s="164">
        <v>45909.0</v>
      </c>
      <c r="V20" s="164"/>
      <c r="W20" s="164"/>
      <c r="X20" s="164"/>
      <c r="Y20" s="164"/>
      <c r="Z20" s="164"/>
      <c r="AA20" s="165">
        <f t="shared" si="5"/>
        <v>45909</v>
      </c>
      <c r="AB20" s="160" t="s">
        <v>1134</v>
      </c>
      <c r="AC20" s="160" t="s">
        <v>1138</v>
      </c>
      <c r="AD20" s="166"/>
      <c r="AE20" s="156">
        <f t="shared" si="6"/>
        <v>45909</v>
      </c>
      <c r="AF20" s="107" t="str">
        <f t="shared" si="7"/>
        <v>2025</v>
      </c>
      <c r="AG20" s="107" t="str">
        <f t="shared" si="8"/>
        <v>09 Sep</v>
      </c>
      <c r="AH20" s="107" t="str">
        <f t="shared" si="9"/>
        <v>Sel</v>
      </c>
      <c r="AI20" s="157">
        <f t="shared" si="10"/>
        <v>3</v>
      </c>
      <c r="AJ20" s="158"/>
      <c r="AK20" s="159"/>
      <c r="AL20" s="158"/>
      <c r="AM20" s="158">
        <f t="shared" si="11"/>
        <v>0</v>
      </c>
    </row>
    <row r="21" ht="22.5" customHeight="1">
      <c r="A21" s="152"/>
      <c r="B21" s="160" t="s">
        <v>86</v>
      </c>
      <c r="C21" s="160" t="s">
        <v>1131</v>
      </c>
      <c r="D21" s="161">
        <v>45899.0</v>
      </c>
      <c r="E21" s="124" t="str">
        <f t="shared" si="1"/>
        <v>2025</v>
      </c>
      <c r="F21" s="124" t="str">
        <f t="shared" si="2"/>
        <v>08 Agu</v>
      </c>
      <c r="G21" s="124" t="str">
        <f t="shared" si="3"/>
        <v>Sabtu</v>
      </c>
      <c r="H21" s="160" t="s">
        <v>77</v>
      </c>
      <c r="I21" s="125" t="str">
        <f t="array" ref="I21">IFNA(XLOOKUP($H21,'🙎‍♂️ Pasien'!$G$7:$G658,'🙎‍♂️ Pasien'!$H$7:$H658),"")</f>
        <v>A0625085349</v>
      </c>
      <c r="J21" s="125" t="str">
        <f t="array" ref="J21">IFNA(XLOOKUP($H21,'🙎‍♂️ Pasien'!$G$7:$G658,'🙎‍♂️ Pasien'!$L$7:$L658),"")</f>
        <v>LAKI-LAKI</v>
      </c>
      <c r="K21" s="125">
        <f t="array" ref="K21">IFNA(XLOOKUP($H21,'🙎‍♂️ Pasien'!$G$7:$G658,'🙎‍♂️ Pasien'!$I$7:$I658),"")</f>
        <v>19</v>
      </c>
      <c r="L21" s="160" t="s">
        <v>72</v>
      </c>
      <c r="M21" s="162" t="str">
        <f t="array" ref="M21">IFNA(XLOOKUP(L21,'⚙️ Pengaturan'!$H$5:$H658,'⚙️ Pengaturan'!$I$5:$I658),"")</f>
        <v>TIM A</v>
      </c>
      <c r="N21" s="160" t="s">
        <v>1132</v>
      </c>
      <c r="O21" s="160" t="s">
        <v>1133</v>
      </c>
      <c r="P21" s="153">
        <f t="shared" si="4"/>
        <v>5</v>
      </c>
      <c r="Q21" s="164">
        <v>45899.0</v>
      </c>
      <c r="R21" s="164">
        <v>45903.0</v>
      </c>
      <c r="S21" s="164">
        <v>45910.0</v>
      </c>
      <c r="T21" s="164">
        <v>45917.0</v>
      </c>
      <c r="U21" s="164">
        <v>45934.0</v>
      </c>
      <c r="V21" s="164"/>
      <c r="W21" s="164"/>
      <c r="X21" s="164"/>
      <c r="Y21" s="164"/>
      <c r="Z21" s="164"/>
      <c r="AA21" s="165">
        <f t="shared" si="5"/>
        <v>45934</v>
      </c>
      <c r="AB21" s="160" t="s">
        <v>1144</v>
      </c>
      <c r="AC21" s="160" t="s">
        <v>1142</v>
      </c>
      <c r="AD21" s="166"/>
      <c r="AE21" s="156">
        <f t="shared" si="6"/>
        <v>45934</v>
      </c>
      <c r="AF21" s="107" t="str">
        <f t="shared" si="7"/>
        <v>2025</v>
      </c>
      <c r="AG21" s="107" t="str">
        <f t="shared" si="8"/>
        <v>10 Okt</v>
      </c>
      <c r="AH21" s="107" t="str">
        <f t="shared" si="9"/>
        <v>Sab</v>
      </c>
      <c r="AI21" s="157">
        <f t="shared" si="10"/>
        <v>5</v>
      </c>
      <c r="AJ21" s="158"/>
      <c r="AK21" s="159"/>
      <c r="AL21" s="158"/>
      <c r="AM21" s="158">
        <f t="shared" si="11"/>
        <v>0</v>
      </c>
    </row>
    <row r="22" ht="22.5" customHeight="1">
      <c r="A22" s="167"/>
      <c r="B22" s="160" t="s">
        <v>54</v>
      </c>
      <c r="C22" s="172"/>
      <c r="D22" s="173">
        <v>45759.0</v>
      </c>
      <c r="E22" s="124" t="str">
        <f t="shared" si="1"/>
        <v>2025</v>
      </c>
      <c r="F22" s="124" t="str">
        <f t="shared" si="2"/>
        <v>04 Apr</v>
      </c>
      <c r="G22" s="124" t="str">
        <f t="shared" si="3"/>
        <v>Sabtu</v>
      </c>
      <c r="H22" s="160" t="s">
        <v>1157</v>
      </c>
      <c r="I22" s="125" t="str">
        <f t="array" ref="I22">IFNA(XLOOKUP($H22,'🙎‍♂️ Pasien'!$G$7:$G658,'🙎‍♂️ Pasien'!$H$7:$H658),"")</f>
        <v>A9125043332</v>
      </c>
      <c r="J22" s="125" t="str">
        <f t="array" ref="J22">IFNA(XLOOKUP($H22,'🙎‍♂️ Pasien'!$G$7:$G658,'🙎‍♂️ Pasien'!$L$7:$L658),"")</f>
        <v>LAKI-LAKI</v>
      </c>
      <c r="K22" s="125">
        <f t="array" ref="K22">IFNA(XLOOKUP($H22,'🙎‍♂️ Pasien'!$G$7:$G658,'🙎‍♂️ Pasien'!$I$7:$I658),"")</f>
        <v>34</v>
      </c>
      <c r="L22" s="160" t="s">
        <v>107</v>
      </c>
      <c r="M22" s="162" t="str">
        <f t="array" ref="M22">IFNA(XLOOKUP(L22,'⚙️ Pengaturan'!$H$5:$H658,'⚙️ Pengaturan'!$I$5:$I658),"")</f>
        <v>TIM Y</v>
      </c>
      <c r="N22" s="160" t="s">
        <v>1132</v>
      </c>
      <c r="O22" s="160" t="s">
        <v>1133</v>
      </c>
      <c r="P22" s="153">
        <f t="shared" si="4"/>
        <v>4</v>
      </c>
      <c r="Q22" s="164">
        <v>45759.0</v>
      </c>
      <c r="R22" s="164">
        <v>45772.0</v>
      </c>
      <c r="S22" s="164">
        <v>45773.0</v>
      </c>
      <c r="T22" s="164">
        <v>45780.0</v>
      </c>
      <c r="U22" s="164"/>
      <c r="V22" s="164"/>
      <c r="W22" s="164"/>
      <c r="X22" s="164"/>
      <c r="Y22" s="164"/>
      <c r="Z22" s="164"/>
      <c r="AA22" s="165">
        <f t="shared" si="5"/>
        <v>45780</v>
      </c>
      <c r="AB22" s="160" t="s">
        <v>1144</v>
      </c>
      <c r="AC22" s="174"/>
      <c r="AD22" s="166"/>
      <c r="AE22" s="156" t="str">
        <f t="shared" si="6"/>
        <v/>
      </c>
      <c r="AF22" s="107" t="str">
        <f t="shared" si="7"/>
        <v/>
      </c>
      <c r="AG22" s="107" t="str">
        <f t="shared" si="8"/>
        <v/>
      </c>
      <c r="AH22" s="107" t="str">
        <f t="shared" si="9"/>
        <v/>
      </c>
      <c r="AI22" s="157">
        <f t="shared" si="10"/>
        <v>61</v>
      </c>
      <c r="AJ22" s="96"/>
      <c r="AK22" s="169"/>
      <c r="AL22" s="96"/>
      <c r="AM22" s="158">
        <f t="shared" si="11"/>
        <v>0</v>
      </c>
    </row>
    <row r="23" ht="22.5" customHeight="1">
      <c r="A23" s="152"/>
      <c r="B23" s="171"/>
      <c r="C23" s="171"/>
      <c r="D23" s="161">
        <v>45664.0</v>
      </c>
      <c r="E23" s="124" t="str">
        <f t="shared" si="1"/>
        <v>2025</v>
      </c>
      <c r="F23" s="124" t="str">
        <f t="shared" si="2"/>
        <v>01 Jan</v>
      </c>
      <c r="G23" s="124" t="str">
        <f t="shared" si="3"/>
        <v>Selasa</v>
      </c>
      <c r="H23" s="16" t="s">
        <v>1158</v>
      </c>
      <c r="I23" s="125" t="str">
        <f t="array" ref="I23">IFNA(XLOOKUP($H23,'🙎‍♂️ Pasien'!$G$7:$G658,'🙎‍♂️ Pasien'!$H$7:$H658),"")</f>
        <v>A0724080558</v>
      </c>
      <c r="J23" s="125" t="str">
        <f t="array" ref="J23">IFNA(XLOOKUP($H23,'🙎‍♂️ Pasien'!$G$7:$G658,'🙎‍♂️ Pasien'!$L$7:$L658),"")</f>
        <v>LAKI-LAKI</v>
      </c>
      <c r="K23" s="125">
        <f t="array" ref="K23">IFNA(XLOOKUP($H23,'🙎‍♂️ Pasien'!$G$7:$G658,'🙎‍♂️ Pasien'!$I$7:$I658),"")</f>
        <v>18</v>
      </c>
      <c r="L23" s="16" t="s">
        <v>607</v>
      </c>
      <c r="M23" s="125" t="str">
        <f t="array" ref="M23">IFNA(XLOOKUP(L23,'⚙️ Pengaturan'!$H$5:$H658,'⚙️ Pengaturan'!$I$5:$I658),"")</f>
        <v/>
      </c>
      <c r="N23" s="16" t="s">
        <v>1132</v>
      </c>
      <c r="O23" s="16" t="s">
        <v>1133</v>
      </c>
      <c r="P23" s="153">
        <f t="shared" si="4"/>
        <v>3</v>
      </c>
      <c r="Q23" s="154">
        <v>45664.0</v>
      </c>
      <c r="R23" s="154">
        <v>45671.0</v>
      </c>
      <c r="S23" s="154">
        <v>45692.0</v>
      </c>
      <c r="T23" s="154"/>
      <c r="U23" s="154"/>
      <c r="V23" s="154"/>
      <c r="W23" s="154"/>
      <c r="X23" s="154"/>
      <c r="Y23" s="154"/>
      <c r="Z23" s="154"/>
      <c r="AA23" s="155">
        <f t="shared" si="5"/>
        <v>45692</v>
      </c>
      <c r="AB23" s="16" t="s">
        <v>1144</v>
      </c>
      <c r="AC23" s="20"/>
      <c r="AD23" s="170"/>
      <c r="AE23" s="156" t="str">
        <f t="shared" si="6"/>
        <v/>
      </c>
      <c r="AF23" s="107" t="str">
        <f t="shared" si="7"/>
        <v/>
      </c>
      <c r="AG23" s="107" t="str">
        <f t="shared" si="8"/>
        <v/>
      </c>
      <c r="AH23" s="107" t="str">
        <f t="shared" si="9"/>
        <v/>
      </c>
      <c r="AI23" s="157">
        <f t="shared" si="10"/>
        <v>74</v>
      </c>
      <c r="AJ23" s="158"/>
      <c r="AK23" s="159"/>
      <c r="AL23" s="158"/>
      <c r="AM23" s="158">
        <f t="shared" si="11"/>
        <v>0</v>
      </c>
    </row>
    <row r="24" ht="22.5" customHeight="1">
      <c r="A24" s="152"/>
      <c r="B24" s="16" t="s">
        <v>86</v>
      </c>
      <c r="C24" s="16" t="s">
        <v>1131</v>
      </c>
      <c r="D24" s="123">
        <v>45928.0</v>
      </c>
      <c r="E24" s="124" t="str">
        <f t="shared" si="1"/>
        <v>2025</v>
      </c>
      <c r="F24" s="124" t="str">
        <f t="shared" si="2"/>
        <v>09 Sep</v>
      </c>
      <c r="G24" s="124" t="str">
        <f t="shared" si="3"/>
        <v>Minggu</v>
      </c>
      <c r="H24" s="16" t="s">
        <v>94</v>
      </c>
      <c r="I24" s="125" t="str">
        <f t="array" ref="I24">IFNA(XLOOKUP($H24,'🙎‍♂️ Pasien'!$G$7:$G658,'🙎‍♂️ Pasien'!$H$7:$H658),"")</f>
        <v>A0825098780</v>
      </c>
      <c r="J24" s="125" t="str">
        <f t="array" ref="J24">IFNA(XLOOKUP($H24,'🙎‍♂️ Pasien'!$G$7:$G658,'🙎‍♂️ Pasien'!$L$7:$L658),"")</f>
        <v>PEREMPUAN</v>
      </c>
      <c r="K24" s="125">
        <f t="array" ref="K24">IFNA(XLOOKUP($H24,'🙎‍♂️ Pasien'!$G$7:$G658,'🙎‍♂️ Pasien'!$I$7:$I658),"")</f>
        <v>18</v>
      </c>
      <c r="L24" s="16" t="s">
        <v>91</v>
      </c>
      <c r="M24" s="125" t="str">
        <f t="array" ref="M24">IFNA(XLOOKUP(L24,'⚙️ Pengaturan'!$H$5:$H658,'⚙️ Pengaturan'!$I$5:$I658),"")</f>
        <v>TIM Y</v>
      </c>
      <c r="N24" s="16" t="s">
        <v>1137</v>
      </c>
      <c r="O24" s="16" t="s">
        <v>1133</v>
      </c>
      <c r="P24" s="153">
        <f t="shared" si="4"/>
        <v>9</v>
      </c>
      <c r="Q24" s="154">
        <v>45928.0</v>
      </c>
      <c r="R24" s="154">
        <v>45931.0</v>
      </c>
      <c r="S24" s="154">
        <v>45934.0</v>
      </c>
      <c r="T24" s="154">
        <v>45938.0</v>
      </c>
      <c r="U24" s="154">
        <v>45942.0</v>
      </c>
      <c r="V24" s="154">
        <v>45946.0</v>
      </c>
      <c r="W24" s="154">
        <v>45952.0</v>
      </c>
      <c r="X24" s="154">
        <v>45959.0</v>
      </c>
      <c r="Y24" s="154">
        <v>45967.0</v>
      </c>
      <c r="Z24" s="154"/>
      <c r="AA24" s="155">
        <f t="shared" si="5"/>
        <v>45967</v>
      </c>
      <c r="AB24" s="16" t="s">
        <v>1144</v>
      </c>
      <c r="AC24" s="20"/>
      <c r="AD24" s="170"/>
      <c r="AE24" s="156" t="str">
        <f t="shared" si="6"/>
        <v/>
      </c>
      <c r="AF24" s="107" t="str">
        <f t="shared" si="7"/>
        <v/>
      </c>
      <c r="AG24" s="107" t="str">
        <f t="shared" si="8"/>
        <v/>
      </c>
      <c r="AH24" s="107" t="str">
        <f t="shared" si="9"/>
        <v/>
      </c>
      <c r="AI24" s="157">
        <f t="shared" si="10"/>
        <v>37</v>
      </c>
      <c r="AJ24" s="158"/>
      <c r="AK24" s="159"/>
      <c r="AL24" s="158"/>
      <c r="AM24" s="158">
        <f t="shared" si="11"/>
        <v>0</v>
      </c>
    </row>
    <row r="25" ht="22.5" customHeight="1">
      <c r="A25" s="167"/>
      <c r="B25" s="160" t="s">
        <v>134</v>
      </c>
      <c r="C25" s="160" t="s">
        <v>1131</v>
      </c>
      <c r="D25" s="161">
        <v>45864.0</v>
      </c>
      <c r="E25" s="124" t="str">
        <f t="shared" si="1"/>
        <v>2025</v>
      </c>
      <c r="F25" s="124" t="str">
        <f t="shared" si="2"/>
        <v>07 Jul</v>
      </c>
      <c r="G25" s="124" t="str">
        <f t="shared" si="3"/>
        <v>Sabtu</v>
      </c>
      <c r="H25" s="160" t="s">
        <v>1159</v>
      </c>
      <c r="I25" s="125" t="str">
        <f t="array" ref="I25">IFNA(XLOOKUP($H25,'🙎‍♂️ Pasien'!$G$7:$G658,'🙎‍♂️ Pasien'!$H$7:$H658),"")</f>
        <v>A9625072535</v>
      </c>
      <c r="J25" s="125" t="str">
        <f t="array" ref="J25">IFNA(XLOOKUP($H25,'🙎‍♂️ Pasien'!$G$7:$G658,'🙎‍♂️ Pasien'!$L$7:$L658),"")</f>
        <v>PEREMPUAN</v>
      </c>
      <c r="K25" s="125">
        <f t="array" ref="K25">IFNA(XLOOKUP($H25,'🙎‍♂️ Pasien'!$G$7:$G658,'🙎‍♂️ Pasien'!$I$7:$I658),"")</f>
        <v>29</v>
      </c>
      <c r="L25" s="160" t="s">
        <v>79</v>
      </c>
      <c r="M25" s="162" t="str">
        <f t="array" ref="M25">IFNA(XLOOKUP(L25,'⚙️ Pengaturan'!$H$5:$H658,'⚙️ Pengaturan'!$I$5:$I658),"")</f>
        <v>TIM A</v>
      </c>
      <c r="N25" s="163" t="s">
        <v>1132</v>
      </c>
      <c r="O25" s="160" t="s">
        <v>1133</v>
      </c>
      <c r="P25" s="153">
        <f t="shared" si="4"/>
        <v>2</v>
      </c>
      <c r="Q25" s="164">
        <v>45864.0</v>
      </c>
      <c r="R25" s="164">
        <v>45869.0</v>
      </c>
      <c r="S25" s="164"/>
      <c r="T25" s="164"/>
      <c r="U25" s="164"/>
      <c r="V25" s="164"/>
      <c r="W25" s="164"/>
      <c r="X25" s="164"/>
      <c r="Y25" s="164"/>
      <c r="Z25" s="164"/>
      <c r="AA25" s="165">
        <f t="shared" si="5"/>
        <v>45869</v>
      </c>
      <c r="AB25" s="160" t="s">
        <v>1144</v>
      </c>
      <c r="AC25" s="174"/>
      <c r="AD25" s="166"/>
      <c r="AE25" s="156" t="str">
        <f t="shared" si="6"/>
        <v/>
      </c>
      <c r="AF25" s="107" t="str">
        <f t="shared" si="7"/>
        <v/>
      </c>
      <c r="AG25" s="107" t="str">
        <f t="shared" si="8"/>
        <v/>
      </c>
      <c r="AH25" s="107" t="str">
        <f t="shared" si="9"/>
        <v/>
      </c>
      <c r="AI25" s="157">
        <f t="shared" si="10"/>
        <v>46</v>
      </c>
      <c r="AJ25" s="96"/>
      <c r="AK25" s="169"/>
      <c r="AL25" s="96"/>
      <c r="AM25" s="158">
        <f t="shared" si="11"/>
        <v>0</v>
      </c>
    </row>
    <row r="26" ht="22.5" customHeight="1">
      <c r="A26" s="167"/>
      <c r="B26" s="16" t="s">
        <v>86</v>
      </c>
      <c r="C26" s="16" t="s">
        <v>1131</v>
      </c>
      <c r="D26" s="123">
        <v>45981.0</v>
      </c>
      <c r="E26" s="124" t="str">
        <f t="shared" si="1"/>
        <v>2025</v>
      </c>
      <c r="F26" s="124" t="str">
        <f t="shared" si="2"/>
        <v>11 Nov</v>
      </c>
      <c r="G26" s="124" t="str">
        <f t="shared" si="3"/>
        <v>Kamis</v>
      </c>
      <c r="H26" s="16" t="s">
        <v>540</v>
      </c>
      <c r="I26" s="125" t="str">
        <f t="array" ref="I26">IFNA(XLOOKUP($H26,'🙎‍♂️ Pasien'!$G$7:$G658,'🙎‍♂️ Pasien'!$H$7:$H658),"")</f>
        <v>A9425110177</v>
      </c>
      <c r="J26" s="125" t="str">
        <f t="array" ref="J26">IFNA(XLOOKUP($H26,'🙎‍♂️ Pasien'!$G$7:$G658,'🙎‍♂️ Pasien'!$L$7:$L658),"")</f>
        <v>LAKI-LAKI</v>
      </c>
      <c r="K26" s="125">
        <f t="array" ref="K26">IFNA(XLOOKUP($H26,'🙎‍♂️ Pasien'!$G$7:$G658,'🙎‍♂️ Pasien'!$I$7:$I658),"")</f>
        <v>31</v>
      </c>
      <c r="L26" s="16" t="s">
        <v>72</v>
      </c>
      <c r="M26" s="125" t="str">
        <f t="array" ref="M26">IFNA(XLOOKUP(L26,'⚙️ Pengaturan'!$H$5:$H658,'⚙️ Pengaturan'!$I$5:$I658),"")</f>
        <v>TIM A</v>
      </c>
      <c r="N26" s="16" t="s">
        <v>1132</v>
      </c>
      <c r="O26" s="16" t="s">
        <v>1133</v>
      </c>
      <c r="P26" s="153">
        <f t="shared" si="4"/>
        <v>5</v>
      </c>
      <c r="Q26" s="154">
        <v>45981.0</v>
      </c>
      <c r="R26" s="154">
        <v>45985.0</v>
      </c>
      <c r="S26" s="154">
        <v>45987.0</v>
      </c>
      <c r="T26" s="154">
        <v>45989.0</v>
      </c>
      <c r="U26" s="154">
        <v>45991.0</v>
      </c>
      <c r="V26" s="154"/>
      <c r="W26" s="154"/>
      <c r="X26" s="154"/>
      <c r="Y26" s="154"/>
      <c r="Z26" s="154"/>
      <c r="AA26" s="155">
        <f t="shared" si="5"/>
        <v>45991</v>
      </c>
      <c r="AB26" s="16" t="s">
        <v>1134</v>
      </c>
      <c r="AC26" s="16" t="s">
        <v>1138</v>
      </c>
      <c r="AD26" s="170"/>
      <c r="AE26" s="156">
        <f t="shared" si="6"/>
        <v>45991</v>
      </c>
      <c r="AF26" s="107" t="str">
        <f t="shared" si="7"/>
        <v>2025</v>
      </c>
      <c r="AG26" s="107" t="str">
        <f t="shared" si="8"/>
        <v>11 Nov</v>
      </c>
      <c r="AH26" s="107" t="str">
        <f t="shared" si="9"/>
        <v>Min</v>
      </c>
      <c r="AI26" s="157">
        <f t="shared" si="10"/>
        <v>2</v>
      </c>
      <c r="AJ26" s="96"/>
      <c r="AK26" s="169"/>
      <c r="AL26" s="96"/>
      <c r="AM26" s="158">
        <f t="shared" si="11"/>
        <v>0</v>
      </c>
    </row>
    <row r="27" ht="22.5" customHeight="1">
      <c r="A27" s="152"/>
      <c r="B27" s="16" t="s">
        <v>86</v>
      </c>
      <c r="C27" s="16" t="s">
        <v>1131</v>
      </c>
      <c r="D27" s="123">
        <v>45991.0</v>
      </c>
      <c r="E27" s="124" t="str">
        <f t="shared" si="1"/>
        <v>2025</v>
      </c>
      <c r="F27" s="124" t="str">
        <f t="shared" si="2"/>
        <v>11 Nov</v>
      </c>
      <c r="G27" s="124" t="str">
        <f t="shared" si="3"/>
        <v>Minggu</v>
      </c>
      <c r="H27" s="16" t="s">
        <v>540</v>
      </c>
      <c r="I27" s="125" t="str">
        <f t="array" ref="I27">IFNA(XLOOKUP($H27,'🙎‍♂️ Pasien'!$G$7:$G658,'🙎‍♂️ Pasien'!$H$7:$H658),"")</f>
        <v>A9425110177</v>
      </c>
      <c r="J27" s="125" t="str">
        <f t="array" ref="J27">IFNA(XLOOKUP($H27,'🙎‍♂️ Pasien'!$G$7:$G658,'🙎‍♂️ Pasien'!$L$7:$L658),"")</f>
        <v>LAKI-LAKI</v>
      </c>
      <c r="K27" s="125">
        <f t="array" ref="K27">IFNA(XLOOKUP($H27,'🙎‍♂️ Pasien'!$G$7:$G658,'🙎‍♂️ Pasien'!$I$7:$I658),"")</f>
        <v>31</v>
      </c>
      <c r="L27" s="16" t="s">
        <v>79</v>
      </c>
      <c r="M27" s="125" t="str">
        <f t="array" ref="M27">IFNA(XLOOKUP(L27,'⚙️ Pengaturan'!$H$5:$H658,'⚙️ Pengaturan'!$I$5:$I658),"")</f>
        <v>TIM A</v>
      </c>
      <c r="N27" s="16" t="s">
        <v>1137</v>
      </c>
      <c r="O27" s="16" t="s">
        <v>1139</v>
      </c>
      <c r="P27" s="153">
        <f t="shared" si="4"/>
        <v>10</v>
      </c>
      <c r="Q27" s="154">
        <v>45993.0</v>
      </c>
      <c r="R27" s="154">
        <v>45995.0</v>
      </c>
      <c r="S27" s="154">
        <v>45997.0</v>
      </c>
      <c r="T27" s="154">
        <v>46000.0</v>
      </c>
      <c r="U27" s="154">
        <v>46002.0</v>
      </c>
      <c r="V27" s="154">
        <v>46004.0</v>
      </c>
      <c r="W27" s="154">
        <v>46007.0</v>
      </c>
      <c r="X27" s="154">
        <v>46009.0</v>
      </c>
      <c r="Y27" s="154">
        <v>46011.0</v>
      </c>
      <c r="Z27" s="154">
        <v>46014.0</v>
      </c>
      <c r="AA27" s="155">
        <f t="shared" si="5"/>
        <v>46014</v>
      </c>
      <c r="AB27" s="16" t="s">
        <v>1134</v>
      </c>
      <c r="AC27" s="16" t="s">
        <v>1138</v>
      </c>
      <c r="AD27" s="170"/>
      <c r="AE27" s="156">
        <f t="shared" si="6"/>
        <v>46014</v>
      </c>
      <c r="AF27" s="107" t="str">
        <f t="shared" si="7"/>
        <v>2025</v>
      </c>
      <c r="AG27" s="107" t="str">
        <f t="shared" si="8"/>
        <v>12 Des</v>
      </c>
      <c r="AH27" s="107" t="str">
        <f t="shared" si="9"/>
        <v>Sel</v>
      </c>
      <c r="AI27" s="157">
        <f t="shared" si="10"/>
        <v>3</v>
      </c>
      <c r="AJ27" s="158"/>
      <c r="AK27" s="159"/>
      <c r="AL27" s="158"/>
      <c r="AM27" s="158">
        <f t="shared" si="11"/>
        <v>0</v>
      </c>
    </row>
    <row r="28" ht="22.5" customHeight="1">
      <c r="A28" s="152"/>
      <c r="B28" s="16" t="s">
        <v>86</v>
      </c>
      <c r="C28" s="16" t="s">
        <v>1131</v>
      </c>
      <c r="D28" s="123">
        <v>46014.0</v>
      </c>
      <c r="E28" s="124" t="str">
        <f t="shared" si="1"/>
        <v>2025</v>
      </c>
      <c r="F28" s="124" t="str">
        <f t="shared" si="2"/>
        <v>12 Des</v>
      </c>
      <c r="G28" s="124" t="str">
        <f t="shared" si="3"/>
        <v>Selasa</v>
      </c>
      <c r="H28" s="16" t="s">
        <v>540</v>
      </c>
      <c r="I28" s="125" t="str">
        <f t="array" ref="I28">IFNA(XLOOKUP($H28,'🙎‍♂️ Pasien'!$G$7:$G658,'🙎‍♂️ Pasien'!$H$7:$H658),"")</f>
        <v>A9425110177</v>
      </c>
      <c r="J28" s="125" t="str">
        <f t="array" ref="J28">IFNA(XLOOKUP($H28,'🙎‍♂️ Pasien'!$G$7:$G658,'🙎‍♂️ Pasien'!$L$7:$L658),"")</f>
        <v>LAKI-LAKI</v>
      </c>
      <c r="K28" s="125">
        <f t="array" ref="K28">IFNA(XLOOKUP($H28,'🙎‍♂️ Pasien'!$G$7:$G658,'🙎‍♂️ Pasien'!$I$7:$I658),"")</f>
        <v>31</v>
      </c>
      <c r="L28" s="16" t="s">
        <v>79</v>
      </c>
      <c r="M28" s="125" t="str">
        <f t="array" ref="M28">IFNA(XLOOKUP(L28,'⚙️ Pengaturan'!$H$5:$H658,'⚙️ Pengaturan'!$I$5:$I658),"")</f>
        <v>TIM A</v>
      </c>
      <c r="N28" s="16" t="s">
        <v>1137</v>
      </c>
      <c r="O28" s="16" t="s">
        <v>1139</v>
      </c>
      <c r="P28" s="153">
        <f t="shared" si="4"/>
        <v>2</v>
      </c>
      <c r="Q28" s="154">
        <v>46018.0</v>
      </c>
      <c r="R28" s="154">
        <v>46020.0</v>
      </c>
      <c r="S28" s="154"/>
      <c r="T28" s="154"/>
      <c r="U28" s="154"/>
      <c r="V28" s="154"/>
      <c r="W28" s="154"/>
      <c r="X28" s="154"/>
      <c r="Y28" s="154"/>
      <c r="Z28" s="154"/>
      <c r="AA28" s="155">
        <f t="shared" si="5"/>
        <v>46020</v>
      </c>
      <c r="AB28" s="16" t="s">
        <v>1144</v>
      </c>
      <c r="AC28" s="20"/>
      <c r="AD28" s="170"/>
      <c r="AE28" s="156" t="str">
        <f t="shared" si="6"/>
        <v/>
      </c>
      <c r="AF28" s="107" t="str">
        <f t="shared" si="7"/>
        <v/>
      </c>
      <c r="AG28" s="107" t="str">
        <f t="shared" si="8"/>
        <v/>
      </c>
      <c r="AH28" s="107" t="str">
        <f t="shared" si="9"/>
        <v/>
      </c>
      <c r="AI28" s="157">
        <f t="shared" si="10"/>
        <v>24</v>
      </c>
      <c r="AJ28" s="158"/>
      <c r="AK28" s="159"/>
      <c r="AL28" s="158"/>
      <c r="AM28" s="158">
        <f t="shared" si="11"/>
        <v>0</v>
      </c>
    </row>
    <row r="29" ht="22.5" customHeight="1">
      <c r="A29" s="152"/>
      <c r="B29" s="16" t="s">
        <v>54</v>
      </c>
      <c r="C29" s="16" t="s">
        <v>1131</v>
      </c>
      <c r="D29" s="123">
        <v>45901.0</v>
      </c>
      <c r="E29" s="124" t="str">
        <f t="shared" si="1"/>
        <v>2025</v>
      </c>
      <c r="F29" s="124" t="str">
        <f t="shared" si="2"/>
        <v>09 Sep</v>
      </c>
      <c r="G29" s="124" t="str">
        <f t="shared" si="3"/>
        <v>Senin</v>
      </c>
      <c r="H29" s="16" t="s">
        <v>96</v>
      </c>
      <c r="I29" s="125" t="str">
        <f t="array" ref="I29">IFNA(XLOOKUP($H29,'🙎‍♂️ Pasien'!$G$7:$G658,'🙎‍♂️ Pasien'!$H$7:$H658),"")</f>
        <v>A0925094650</v>
      </c>
      <c r="J29" s="125" t="str">
        <f t="array" ref="J29">IFNA(XLOOKUP($H29,'🙎‍♂️ Pasien'!$G$7:$G658,'🙎‍♂️ Pasien'!$L$7:$L658),"")</f>
        <v>LAKI-LAKI</v>
      </c>
      <c r="K29" s="125">
        <f t="array" ref="K29">IFNA(XLOOKUP($H29,'🙎‍♂️ Pasien'!$G$7:$G658,'🙎‍♂️ Pasien'!$I$7:$I658),"")</f>
        <v>17</v>
      </c>
      <c r="L29" s="16" t="s">
        <v>56</v>
      </c>
      <c r="M29" s="125" t="str">
        <f t="array" ref="M29">IFNA(XLOOKUP(L29,'⚙️ Pengaturan'!$H$5:$H658,'⚙️ Pengaturan'!$I$5:$I658),"")</f>
        <v>TIM Y</v>
      </c>
      <c r="N29" s="16" t="s">
        <v>1132</v>
      </c>
      <c r="O29" s="16" t="s">
        <v>1133</v>
      </c>
      <c r="P29" s="153">
        <f t="shared" si="4"/>
        <v>5</v>
      </c>
      <c r="Q29" s="154">
        <v>45902.0</v>
      </c>
      <c r="R29" s="154">
        <v>45903.0</v>
      </c>
      <c r="S29" s="154">
        <v>45904.0</v>
      </c>
      <c r="T29" s="154">
        <v>45907.0</v>
      </c>
      <c r="U29" s="154">
        <v>45909.0</v>
      </c>
      <c r="V29" s="154"/>
      <c r="W29" s="154"/>
      <c r="X29" s="154"/>
      <c r="Y29" s="154"/>
      <c r="Z29" s="154"/>
      <c r="AA29" s="155">
        <f t="shared" si="5"/>
        <v>45909</v>
      </c>
      <c r="AB29" s="16" t="s">
        <v>1134</v>
      </c>
      <c r="AC29" s="16" t="s">
        <v>1138</v>
      </c>
      <c r="AD29" s="170"/>
      <c r="AE29" s="156">
        <f t="shared" si="6"/>
        <v>45909</v>
      </c>
      <c r="AF29" s="107" t="str">
        <f t="shared" si="7"/>
        <v>2025</v>
      </c>
      <c r="AG29" s="107" t="str">
        <f t="shared" si="8"/>
        <v>09 Sep</v>
      </c>
      <c r="AH29" s="107" t="str">
        <f t="shared" si="9"/>
        <v>Sel</v>
      </c>
      <c r="AI29" s="157">
        <f t="shared" si="10"/>
        <v>1</v>
      </c>
      <c r="AJ29" s="158"/>
      <c r="AK29" s="159"/>
      <c r="AL29" s="158"/>
      <c r="AM29" s="158">
        <f t="shared" si="11"/>
        <v>0</v>
      </c>
    </row>
    <row r="30" ht="22.5" customHeight="1">
      <c r="A30" s="152"/>
      <c r="B30" s="16" t="s">
        <v>134</v>
      </c>
      <c r="C30" s="16" t="s">
        <v>1131</v>
      </c>
      <c r="D30" s="123">
        <v>45912.0</v>
      </c>
      <c r="E30" s="124" t="str">
        <f t="shared" si="1"/>
        <v>2025</v>
      </c>
      <c r="F30" s="124" t="str">
        <f t="shared" si="2"/>
        <v>09 Sep</v>
      </c>
      <c r="G30" s="124" t="str">
        <f t="shared" si="3"/>
        <v>Jumat</v>
      </c>
      <c r="H30" s="16" t="s">
        <v>96</v>
      </c>
      <c r="I30" s="125" t="str">
        <f t="array" ref="I30">IFNA(XLOOKUP($H30,'🙎‍♂️ Pasien'!$G$7:$G658,'🙎‍♂️ Pasien'!$H$7:$H658),"")</f>
        <v>A0925094650</v>
      </c>
      <c r="J30" s="125" t="str">
        <f t="array" ref="J30">IFNA(XLOOKUP($H30,'🙎‍♂️ Pasien'!$G$7:$G658,'🙎‍♂️ Pasien'!$L$7:$L658),"")</f>
        <v>LAKI-LAKI</v>
      </c>
      <c r="K30" s="125">
        <f t="array" ref="K30">IFNA(XLOOKUP($H30,'🙎‍♂️ Pasien'!$G$7:$G658,'🙎‍♂️ Pasien'!$I$7:$I658),"")</f>
        <v>17</v>
      </c>
      <c r="L30" s="16" t="s">
        <v>101</v>
      </c>
      <c r="M30" s="125" t="str">
        <f t="array" ref="M30">IFNA(XLOOKUP(L30,'⚙️ Pengaturan'!$H$5:$H658,'⚙️ Pengaturan'!$I$5:$I658),"")</f>
        <v>MANAJEMEN</v>
      </c>
      <c r="N30" s="16" t="s">
        <v>1137</v>
      </c>
      <c r="O30" s="16" t="s">
        <v>1133</v>
      </c>
      <c r="P30" s="153">
        <f t="shared" si="4"/>
        <v>9</v>
      </c>
      <c r="Q30" s="154">
        <v>45912.0</v>
      </c>
      <c r="R30" s="154">
        <v>45916.0</v>
      </c>
      <c r="S30" s="154">
        <v>45918.0</v>
      </c>
      <c r="T30" s="154">
        <v>45923.0</v>
      </c>
      <c r="U30" s="154">
        <v>45931.0</v>
      </c>
      <c r="V30" s="154">
        <v>45933.0</v>
      </c>
      <c r="W30" s="154">
        <v>45945.0</v>
      </c>
      <c r="X30" s="154">
        <v>45948.0</v>
      </c>
      <c r="Y30" s="154">
        <v>45952.0</v>
      </c>
      <c r="Z30" s="154"/>
      <c r="AA30" s="155">
        <f t="shared" si="5"/>
        <v>45952</v>
      </c>
      <c r="AB30" s="16" t="s">
        <v>1144</v>
      </c>
      <c r="AC30" s="20"/>
      <c r="AD30" s="170"/>
      <c r="AE30" s="156" t="str">
        <f t="shared" si="6"/>
        <v/>
      </c>
      <c r="AF30" s="107" t="str">
        <f t="shared" si="7"/>
        <v/>
      </c>
      <c r="AG30" s="107" t="str">
        <f t="shared" si="8"/>
        <v/>
      </c>
      <c r="AH30" s="107" t="str">
        <f t="shared" si="9"/>
        <v/>
      </c>
      <c r="AI30" s="157">
        <f t="shared" si="10"/>
        <v>39</v>
      </c>
      <c r="AJ30" s="158"/>
      <c r="AK30" s="159"/>
      <c r="AL30" s="158"/>
      <c r="AM30" s="158">
        <f t="shared" si="11"/>
        <v>0</v>
      </c>
    </row>
    <row r="31" ht="22.5" customHeight="1">
      <c r="A31" s="152"/>
      <c r="B31" s="171"/>
      <c r="C31" s="171"/>
      <c r="D31" s="161">
        <v>45685.0</v>
      </c>
      <c r="E31" s="124" t="str">
        <f t="shared" si="1"/>
        <v>2025</v>
      </c>
      <c r="F31" s="124" t="str">
        <f t="shared" si="2"/>
        <v>01 Jan</v>
      </c>
      <c r="G31" s="124" t="str">
        <f t="shared" si="3"/>
        <v>Selasa</v>
      </c>
      <c r="H31" s="16" t="s">
        <v>1160</v>
      </c>
      <c r="I31" s="125" t="str">
        <f t="array" ref="I31">IFNA(XLOOKUP($H31,'🙎‍♂️ Pasien'!$G$7:$G658,'🙎‍♂️ Pasien'!$H$7:$H658),"")</f>
        <v>A9223062020</v>
      </c>
      <c r="J31" s="125" t="str">
        <f t="array" ref="J31">IFNA(XLOOKUP($H31,'🙎‍♂️ Pasien'!$G$7:$G658,'🙎‍♂️ Pasien'!$L$7:$L658),"")</f>
        <v>LAKI-LAKI</v>
      </c>
      <c r="K31" s="125">
        <f t="array" ref="K31">IFNA(XLOOKUP($H31,'🙎‍♂️ Pasien'!$G$7:$G658,'🙎‍♂️ Pasien'!$I$7:$I658),"")</f>
        <v>34</v>
      </c>
      <c r="L31" s="16" t="s">
        <v>607</v>
      </c>
      <c r="M31" s="125" t="str">
        <f t="array" ref="M31">IFNA(XLOOKUP(L31,'⚙️ Pengaturan'!$H$5:$H658,'⚙️ Pengaturan'!$I$5:$I658),"")</f>
        <v/>
      </c>
      <c r="N31" s="16" t="s">
        <v>1132</v>
      </c>
      <c r="O31" s="16" t="s">
        <v>1133</v>
      </c>
      <c r="P31" s="153">
        <f t="shared" si="4"/>
        <v>2</v>
      </c>
      <c r="Q31" s="154">
        <v>45685.0</v>
      </c>
      <c r="R31" s="154">
        <v>45690.0</v>
      </c>
      <c r="S31" s="154"/>
      <c r="T31" s="154"/>
      <c r="U31" s="154"/>
      <c r="V31" s="154"/>
      <c r="W31" s="154"/>
      <c r="X31" s="154"/>
      <c r="Y31" s="154"/>
      <c r="Z31" s="154"/>
      <c r="AA31" s="155">
        <f t="shared" si="5"/>
        <v>45690</v>
      </c>
      <c r="AB31" s="16" t="s">
        <v>1144</v>
      </c>
      <c r="AC31" s="20"/>
      <c r="AD31" s="170"/>
      <c r="AE31" s="156" t="str">
        <f t="shared" si="6"/>
        <v/>
      </c>
      <c r="AF31" s="107" t="str">
        <f t="shared" si="7"/>
        <v/>
      </c>
      <c r="AG31" s="107" t="str">
        <f t="shared" si="8"/>
        <v/>
      </c>
      <c r="AH31" s="107" t="str">
        <f t="shared" si="9"/>
        <v/>
      </c>
      <c r="AI31" s="157">
        <f t="shared" si="10"/>
        <v>71</v>
      </c>
      <c r="AJ31" s="158"/>
      <c r="AK31" s="159"/>
      <c r="AL31" s="158"/>
      <c r="AM31" s="158">
        <f t="shared" si="11"/>
        <v>0</v>
      </c>
    </row>
    <row r="32" ht="22.5" customHeight="1">
      <c r="A32" s="152"/>
      <c r="B32" s="20"/>
      <c r="C32" s="16" t="s">
        <v>1131</v>
      </c>
      <c r="D32" s="123">
        <v>45364.0</v>
      </c>
      <c r="E32" s="124" t="str">
        <f t="shared" si="1"/>
        <v>2024</v>
      </c>
      <c r="F32" s="124" t="str">
        <f t="shared" si="2"/>
        <v>03 Mar</v>
      </c>
      <c r="G32" s="124" t="str">
        <f t="shared" si="3"/>
        <v>Rabu</v>
      </c>
      <c r="H32" s="16" t="s">
        <v>326</v>
      </c>
      <c r="I32" s="125" t="str">
        <f t="array" ref="I32">IFNA(XLOOKUP($H32,'🙎‍♂️ Pasien'!$G$7:$G658,'🙎‍♂️ Pasien'!$H$7:$H658),"")</f>
        <v>A1423086916</v>
      </c>
      <c r="J32" s="125" t="str">
        <f t="array" ref="J32">IFNA(XLOOKUP($H32,'🙎‍♂️ Pasien'!$G$7:$G658,'🙎‍♂️ Pasien'!$L$7:$L658),"")</f>
        <v>LAKI-LAKI</v>
      </c>
      <c r="K32" s="125">
        <f t="array" ref="K32">IFNA(XLOOKUP($H32,'🙎‍♂️ Pasien'!$G$7:$G658,'🙎‍♂️ Pasien'!$I$7:$I658),"")</f>
        <v>11</v>
      </c>
      <c r="L32" s="16" t="s">
        <v>1161</v>
      </c>
      <c r="M32" s="125" t="str">
        <f t="array" ref="M32">IFNA(XLOOKUP(L32,'⚙️ Pengaturan'!$H$5:$H658,'⚙️ Pengaturan'!$I$5:$I658),"")</f>
        <v/>
      </c>
      <c r="N32" s="16" t="s">
        <v>1132</v>
      </c>
      <c r="O32" s="16" t="s">
        <v>1133</v>
      </c>
      <c r="P32" s="153">
        <f t="shared" si="4"/>
        <v>5</v>
      </c>
      <c r="Q32" s="154">
        <v>45364.0</v>
      </c>
      <c r="R32" s="154">
        <v>45369.0</v>
      </c>
      <c r="S32" s="154">
        <v>45375.0</v>
      </c>
      <c r="T32" s="154">
        <v>45980.0</v>
      </c>
      <c r="U32" s="154">
        <v>45990.0</v>
      </c>
      <c r="V32" s="154"/>
      <c r="W32" s="154"/>
      <c r="X32" s="154"/>
      <c r="Y32" s="154"/>
      <c r="Z32" s="154"/>
      <c r="AA32" s="155">
        <f t="shared" si="5"/>
        <v>45990</v>
      </c>
      <c r="AB32" s="16" t="s">
        <v>1144</v>
      </c>
      <c r="AC32" s="20"/>
      <c r="AD32" s="170"/>
      <c r="AE32" s="156">
        <f t="shared" si="6"/>
        <v>45990</v>
      </c>
      <c r="AF32" s="107" t="str">
        <f t="shared" si="7"/>
        <v>2025</v>
      </c>
      <c r="AG32" s="107" t="str">
        <f t="shared" si="8"/>
        <v>11 Nov</v>
      </c>
      <c r="AH32" s="107" t="str">
        <f t="shared" si="9"/>
        <v>Sab</v>
      </c>
      <c r="AI32" s="157">
        <f t="shared" si="10"/>
        <v>90</v>
      </c>
      <c r="AJ32" s="158"/>
      <c r="AK32" s="159"/>
      <c r="AL32" s="158"/>
      <c r="AM32" s="158">
        <f t="shared" si="11"/>
        <v>0</v>
      </c>
    </row>
    <row r="33" ht="22.5" customHeight="1">
      <c r="A33" s="152"/>
      <c r="B33" s="16" t="s">
        <v>86</v>
      </c>
      <c r="C33" s="16" t="s">
        <v>1131</v>
      </c>
      <c r="D33" s="123">
        <v>45950.0</v>
      </c>
      <c r="E33" s="124" t="str">
        <f t="shared" si="1"/>
        <v>2025</v>
      </c>
      <c r="F33" s="124" t="str">
        <f t="shared" si="2"/>
        <v>10 Okt</v>
      </c>
      <c r="G33" s="124" t="str">
        <f t="shared" si="3"/>
        <v>Senin</v>
      </c>
      <c r="H33" s="16" t="s">
        <v>326</v>
      </c>
      <c r="I33" s="125" t="str">
        <f t="array" ref="I33">IFNA(XLOOKUP($H33,'🙎‍♂️ Pasien'!$G$7:$G658,'🙎‍♂️ Pasien'!$H$7:$H658),"")</f>
        <v>A1423086916</v>
      </c>
      <c r="J33" s="125" t="str">
        <f t="array" ref="J33">IFNA(XLOOKUP($H33,'🙎‍♂️ Pasien'!$G$7:$G658,'🙎‍♂️ Pasien'!$L$7:$L658),"")</f>
        <v>LAKI-LAKI</v>
      </c>
      <c r="K33" s="125">
        <f t="array" ref="K33">IFNA(XLOOKUP($H33,'🙎‍♂️ Pasien'!$G$7:$G658,'🙎‍♂️ Pasien'!$I$7:$I658),"")</f>
        <v>11</v>
      </c>
      <c r="L33" s="16" t="s">
        <v>56</v>
      </c>
      <c r="M33" s="125" t="str">
        <f t="array" ref="M33">IFNA(XLOOKUP(L33,'⚙️ Pengaturan'!$H$5:$H658,'⚙️ Pengaturan'!$I$5:$I658),"")</f>
        <v>TIM Y</v>
      </c>
      <c r="N33" s="16" t="s">
        <v>1137</v>
      </c>
      <c r="O33" s="16" t="s">
        <v>1133</v>
      </c>
      <c r="P33" s="153">
        <f t="shared" si="4"/>
        <v>10</v>
      </c>
      <c r="Q33" s="154">
        <v>45952.0</v>
      </c>
      <c r="R33" s="154">
        <v>45955.0</v>
      </c>
      <c r="S33" s="154">
        <v>45957.0</v>
      </c>
      <c r="T33" s="154">
        <v>45959.0</v>
      </c>
      <c r="U33" s="154">
        <v>45962.0</v>
      </c>
      <c r="V33" s="154">
        <v>45964.0</v>
      </c>
      <c r="W33" s="154">
        <v>45971.0</v>
      </c>
      <c r="X33" s="154">
        <v>45973.0</v>
      </c>
      <c r="Y33" s="154">
        <v>45976.0</v>
      </c>
      <c r="Z33" s="154">
        <v>45978.0</v>
      </c>
      <c r="AA33" s="155">
        <f t="shared" si="5"/>
        <v>45978</v>
      </c>
      <c r="AB33" s="16" t="s">
        <v>1134</v>
      </c>
      <c r="AC33" s="16" t="s">
        <v>1138</v>
      </c>
      <c r="AD33" s="170"/>
      <c r="AE33" s="156">
        <f t="shared" si="6"/>
        <v>45978</v>
      </c>
      <c r="AF33" s="107" t="str">
        <f t="shared" si="7"/>
        <v>2025</v>
      </c>
      <c r="AG33" s="107" t="str">
        <f t="shared" si="8"/>
        <v>11 Nov</v>
      </c>
      <c r="AH33" s="107" t="str">
        <f t="shared" si="9"/>
        <v>Sen</v>
      </c>
      <c r="AI33" s="157">
        <f t="shared" si="10"/>
        <v>4</v>
      </c>
      <c r="AJ33" s="158"/>
      <c r="AK33" s="159"/>
      <c r="AL33" s="158"/>
      <c r="AM33" s="158">
        <f t="shared" si="11"/>
        <v>0</v>
      </c>
    </row>
    <row r="34" ht="22.5" customHeight="1">
      <c r="A34" s="152"/>
      <c r="B34" s="160" t="s">
        <v>134</v>
      </c>
      <c r="C34" s="160" t="s">
        <v>1131</v>
      </c>
      <c r="D34" s="161">
        <v>45876.0</v>
      </c>
      <c r="E34" s="124" t="str">
        <f t="shared" si="1"/>
        <v>2025</v>
      </c>
      <c r="F34" s="124" t="str">
        <f t="shared" si="2"/>
        <v>08 Agu</v>
      </c>
      <c r="G34" s="124" t="str">
        <f t="shared" si="3"/>
        <v>Kamis</v>
      </c>
      <c r="H34" s="160" t="s">
        <v>1162</v>
      </c>
      <c r="I34" s="125" t="str">
        <f t="array" ref="I34">IFNA(XLOOKUP($H34,'🙎‍♂️ Pasien'!$G$7:$G658,'🙎‍♂️ Pasien'!$H$7:$H658),"")</f>
        <v>A8925087212</v>
      </c>
      <c r="J34" s="125" t="str">
        <f t="array" ref="J34">IFNA(XLOOKUP($H34,'🙎‍♂️ Pasien'!$G$7:$G658,'🙎‍♂️ Pasien'!$L$7:$L658),"")</f>
        <v>LAKI-LAKI</v>
      </c>
      <c r="K34" s="125">
        <f t="array" ref="K34">IFNA(XLOOKUP($H34,'🙎‍♂️ Pasien'!$G$7:$G658,'🙎‍♂️ Pasien'!$I$7:$I658),"")</f>
        <v>36</v>
      </c>
      <c r="L34" s="160" t="s">
        <v>88</v>
      </c>
      <c r="M34" s="162" t="str">
        <f t="array" ref="M34">IFNA(XLOOKUP(L34,'⚙️ Pengaturan'!$H$5:$H658,'⚙️ Pengaturan'!$I$5:$I658),"")</f>
        <v>TIM Y</v>
      </c>
      <c r="N34" s="163" t="s">
        <v>1132</v>
      </c>
      <c r="O34" s="160" t="s">
        <v>1133</v>
      </c>
      <c r="P34" s="153">
        <f t="shared" si="4"/>
        <v>5</v>
      </c>
      <c r="Q34" s="164">
        <v>45876.0</v>
      </c>
      <c r="R34" s="164">
        <v>45878.0</v>
      </c>
      <c r="S34" s="164">
        <v>45880.0</v>
      </c>
      <c r="T34" s="164">
        <v>45882.0</v>
      </c>
      <c r="U34" s="164">
        <v>45885.0</v>
      </c>
      <c r="V34" s="164"/>
      <c r="W34" s="164"/>
      <c r="X34" s="164"/>
      <c r="Y34" s="164"/>
      <c r="Z34" s="164"/>
      <c r="AA34" s="165">
        <f t="shared" si="5"/>
        <v>45885</v>
      </c>
      <c r="AB34" s="160" t="s">
        <v>1134</v>
      </c>
      <c r="AC34" s="160" t="s">
        <v>1138</v>
      </c>
      <c r="AD34" s="168" t="s">
        <v>1163</v>
      </c>
      <c r="AE34" s="156">
        <f t="shared" si="6"/>
        <v>45885</v>
      </c>
      <c r="AF34" s="107" t="str">
        <f t="shared" si="7"/>
        <v>2025</v>
      </c>
      <c r="AG34" s="107" t="str">
        <f t="shared" si="8"/>
        <v>08 Agu</v>
      </c>
      <c r="AH34" s="107" t="str">
        <f t="shared" si="9"/>
        <v>Sab</v>
      </c>
      <c r="AI34" s="157">
        <f t="shared" si="10"/>
        <v>2</v>
      </c>
      <c r="AJ34" s="158"/>
      <c r="AK34" s="159"/>
      <c r="AL34" s="158"/>
      <c r="AM34" s="158">
        <f t="shared" si="11"/>
        <v>0</v>
      </c>
    </row>
    <row r="35" ht="22.5" customHeight="1">
      <c r="A35" s="16"/>
      <c r="B35" s="20"/>
      <c r="C35" s="20"/>
      <c r="D35" s="123">
        <v>45634.0</v>
      </c>
      <c r="E35" s="124" t="str">
        <f t="shared" si="1"/>
        <v>2024</v>
      </c>
      <c r="F35" s="124" t="str">
        <f t="shared" si="2"/>
        <v>12 Des</v>
      </c>
      <c r="G35" s="124" t="str">
        <f t="shared" si="3"/>
        <v>Minggu</v>
      </c>
      <c r="H35" s="16" t="s">
        <v>1164</v>
      </c>
      <c r="I35" s="125" t="str">
        <f t="array" ref="I35">IFNA(XLOOKUP($H35,'🙎‍♂️ Pasien'!$G$7:$G658,'🙎‍♂️ Pasien'!$H$7:$H658),"")</f>
        <v>A9924128900</v>
      </c>
      <c r="J35" s="125" t="str">
        <f t="array" ref="J35">IFNA(XLOOKUP($H35,'🙎‍♂️ Pasien'!$G$7:$G658,'🙎‍♂️ Pasien'!$L$7:$L658),"")</f>
        <v>LAKI-LAKI</v>
      </c>
      <c r="K35" s="125">
        <f t="array" ref="K35">IFNA(XLOOKUP($H35,'🙎‍♂️ Pasien'!$G$7:$G658,'🙎‍♂️ Pasien'!$I$7:$I658),"")</f>
        <v>26</v>
      </c>
      <c r="L35" s="16" t="s">
        <v>1149</v>
      </c>
      <c r="M35" s="125" t="str">
        <f t="array" ref="M35">IFNA(XLOOKUP(L35,'⚙️ Pengaturan'!$H$5:$H658,'⚙️ Pengaturan'!$I$5:$I658),"")</f>
        <v/>
      </c>
      <c r="N35" s="16" t="s">
        <v>1137</v>
      </c>
      <c r="O35" s="16" t="s">
        <v>1133</v>
      </c>
      <c r="P35" s="153">
        <f t="shared" si="4"/>
        <v>4</v>
      </c>
      <c r="Q35" s="154">
        <v>45636.0</v>
      </c>
      <c r="R35" s="154">
        <v>45638.0</v>
      </c>
      <c r="S35" s="154">
        <v>45640.0</v>
      </c>
      <c r="T35" s="154">
        <v>45643.0</v>
      </c>
      <c r="U35" s="154"/>
      <c r="V35" s="154"/>
      <c r="W35" s="154"/>
      <c r="X35" s="154"/>
      <c r="Y35" s="154"/>
      <c r="Z35" s="154"/>
      <c r="AA35" s="155">
        <f t="shared" si="5"/>
        <v>45643</v>
      </c>
      <c r="AB35" s="16" t="s">
        <v>1144</v>
      </c>
      <c r="AC35" s="20"/>
      <c r="AD35" s="170"/>
      <c r="AE35" s="156" t="str">
        <f t="shared" si="6"/>
        <v/>
      </c>
      <c r="AF35" s="107" t="str">
        <f t="shared" si="7"/>
        <v/>
      </c>
      <c r="AG35" s="107" t="str">
        <f t="shared" si="8"/>
        <v/>
      </c>
      <c r="AH35" s="107" t="str">
        <f t="shared" si="9"/>
        <v/>
      </c>
      <c r="AI35" s="157">
        <f t="shared" si="10"/>
        <v>78</v>
      </c>
      <c r="AJ35" s="158"/>
      <c r="AK35" s="159"/>
      <c r="AL35" s="158"/>
      <c r="AM35" s="158">
        <f t="shared" si="11"/>
        <v>0</v>
      </c>
    </row>
    <row r="36" ht="22.5" customHeight="1">
      <c r="A36" s="16"/>
      <c r="B36" s="16" t="s">
        <v>86</v>
      </c>
      <c r="C36" s="16" t="s">
        <v>1131</v>
      </c>
      <c r="D36" s="123">
        <v>45959.0</v>
      </c>
      <c r="E36" s="124" t="str">
        <f t="shared" si="1"/>
        <v>2025</v>
      </c>
      <c r="F36" s="124" t="str">
        <f t="shared" si="2"/>
        <v>10 Okt</v>
      </c>
      <c r="G36" s="124" t="str">
        <f t="shared" si="3"/>
        <v>Rabu</v>
      </c>
      <c r="H36" s="16" t="s">
        <v>389</v>
      </c>
      <c r="I36" s="125" t="str">
        <f t="array" ref="I36">IFNA(XLOOKUP($H36,'🙎‍♂️ Pasien'!$G$7:$G658,'🙎‍♂️ Pasien'!$H$7:$H658),"")</f>
        <v>A0825042223</v>
      </c>
      <c r="J36" s="125" t="str">
        <f t="array" ref="J36">IFNA(XLOOKUP($H36,'🙎‍♂️ Pasien'!$G$7:$G658,'🙎‍♂️ Pasien'!$L$7:$L658),"")</f>
        <v>LAKI-LAKI</v>
      </c>
      <c r="K36" s="125">
        <f t="array" ref="K36">IFNA(XLOOKUP($H36,'🙎‍♂️ Pasien'!$G$7:$G658,'🙎‍♂️ Pasien'!$I$7:$I658),"")</f>
        <v>18</v>
      </c>
      <c r="L36" s="16" t="s">
        <v>88</v>
      </c>
      <c r="M36" s="125" t="str">
        <f t="array" ref="M36">IFNA(XLOOKUP(L36,'⚙️ Pengaturan'!$H$5:$H658,'⚙️ Pengaturan'!$I$5:$I658),"")</f>
        <v>TIM Y</v>
      </c>
      <c r="N36" s="16" t="s">
        <v>1132</v>
      </c>
      <c r="O36" s="16" t="s">
        <v>1133</v>
      </c>
      <c r="P36" s="153">
        <f t="shared" si="4"/>
        <v>5</v>
      </c>
      <c r="Q36" s="154">
        <v>45959.0</v>
      </c>
      <c r="R36" s="154">
        <v>45962.0</v>
      </c>
      <c r="S36" s="154">
        <v>45963.0</v>
      </c>
      <c r="T36" s="154">
        <v>45967.0</v>
      </c>
      <c r="U36" s="154">
        <v>45969.0</v>
      </c>
      <c r="V36" s="154"/>
      <c r="W36" s="154"/>
      <c r="X36" s="154"/>
      <c r="Y36" s="154"/>
      <c r="Z36" s="154"/>
      <c r="AA36" s="155">
        <f t="shared" si="5"/>
        <v>45969</v>
      </c>
      <c r="AB36" s="16" t="s">
        <v>1134</v>
      </c>
      <c r="AC36" s="16" t="s">
        <v>1135</v>
      </c>
      <c r="AD36" s="109" t="s">
        <v>1165</v>
      </c>
      <c r="AE36" s="156">
        <f t="shared" si="6"/>
        <v>45969</v>
      </c>
      <c r="AF36" s="107" t="str">
        <f t="shared" si="7"/>
        <v>2025</v>
      </c>
      <c r="AG36" s="107" t="str">
        <f t="shared" si="8"/>
        <v>11 Nov</v>
      </c>
      <c r="AH36" s="107" t="str">
        <f t="shared" si="9"/>
        <v>Sab</v>
      </c>
      <c r="AI36" s="157">
        <f t="shared" si="10"/>
        <v>2</v>
      </c>
      <c r="AJ36" s="158"/>
      <c r="AK36" s="159"/>
      <c r="AL36" s="158"/>
      <c r="AM36" s="158">
        <f t="shared" si="11"/>
        <v>0</v>
      </c>
    </row>
    <row r="37" ht="22.5" customHeight="1">
      <c r="A37" s="167"/>
      <c r="B37" s="171"/>
      <c r="C37" s="171"/>
      <c r="D37" s="161">
        <v>45644.0</v>
      </c>
      <c r="E37" s="124" t="str">
        <f t="shared" si="1"/>
        <v>2024</v>
      </c>
      <c r="F37" s="124" t="str">
        <f t="shared" si="2"/>
        <v>12 Des</v>
      </c>
      <c r="G37" s="124" t="str">
        <f t="shared" si="3"/>
        <v>Rabu</v>
      </c>
      <c r="H37" s="16" t="s">
        <v>1166</v>
      </c>
      <c r="I37" s="125" t="str">
        <f t="array" ref="I37">IFNA(XLOOKUP($H37,'🙎‍♂️ Pasien'!$G$7:$G658,'🙎‍♂️ Pasien'!$H$7:$H658),"")</f>
        <v>A8324120778</v>
      </c>
      <c r="J37" s="125" t="str">
        <f t="array" ref="J37">IFNA(XLOOKUP($H37,'🙎‍♂️ Pasien'!$G$7:$G658,'🙎‍♂️ Pasien'!$L$7:$L658),"")</f>
        <v>LAKI-LAKI</v>
      </c>
      <c r="K37" s="125">
        <f t="array" ref="K37">IFNA(XLOOKUP($H37,'🙎‍♂️ Pasien'!$G$7:$G658,'🙎‍♂️ Pasien'!$I$7:$I658),"")</f>
        <v>42</v>
      </c>
      <c r="L37" s="16" t="s">
        <v>607</v>
      </c>
      <c r="M37" s="125" t="str">
        <f t="array" ref="M37">IFNA(XLOOKUP(L37,'⚙️ Pengaturan'!$H$5:$H658,'⚙️ Pengaturan'!$I$5:$I658),"")</f>
        <v/>
      </c>
      <c r="N37" s="16" t="s">
        <v>1132</v>
      </c>
      <c r="O37" s="16" t="s">
        <v>1133</v>
      </c>
      <c r="P37" s="153">
        <f t="shared" si="4"/>
        <v>0</v>
      </c>
      <c r="Q37" s="154"/>
      <c r="R37" s="154"/>
      <c r="S37" s="154"/>
      <c r="T37" s="154"/>
      <c r="U37" s="154"/>
      <c r="V37" s="154"/>
      <c r="W37" s="154"/>
      <c r="X37" s="154"/>
      <c r="Y37" s="154"/>
      <c r="Z37" s="154"/>
      <c r="AA37" s="155">
        <f t="shared" si="5"/>
        <v>45644</v>
      </c>
      <c r="AB37" s="16" t="s">
        <v>1144</v>
      </c>
      <c r="AC37" s="20"/>
      <c r="AD37" s="170"/>
      <c r="AE37" s="156" t="str">
        <f t="shared" si="6"/>
        <v/>
      </c>
      <c r="AF37" s="107" t="str">
        <f t="shared" si="7"/>
        <v/>
      </c>
      <c r="AG37" s="107" t="str">
        <f t="shared" si="8"/>
        <v/>
      </c>
      <c r="AH37" s="107" t="str">
        <f t="shared" si="9"/>
        <v/>
      </c>
      <c r="AI37" s="157" t="str">
        <f t="shared" si="10"/>
        <v/>
      </c>
      <c r="AJ37" s="96"/>
      <c r="AK37" s="169"/>
      <c r="AL37" s="96"/>
      <c r="AM37" s="158">
        <f t="shared" si="11"/>
        <v>0</v>
      </c>
    </row>
    <row r="38" ht="22.5" customHeight="1">
      <c r="A38" s="167"/>
      <c r="B38" s="160" t="s">
        <v>1156</v>
      </c>
      <c r="C38" s="160" t="s">
        <v>1131</v>
      </c>
      <c r="D38" s="161">
        <v>45881.0</v>
      </c>
      <c r="E38" s="124" t="str">
        <f t="shared" si="1"/>
        <v>2025</v>
      </c>
      <c r="F38" s="124" t="str">
        <f t="shared" si="2"/>
        <v>08 Agu</v>
      </c>
      <c r="G38" s="124" t="str">
        <f t="shared" si="3"/>
        <v>Selasa</v>
      </c>
      <c r="H38" s="160" t="s">
        <v>1167</v>
      </c>
      <c r="I38" s="125" t="str">
        <f t="array" ref="I38">IFNA(XLOOKUP($H38,'🙎‍♂️ Pasien'!$G$7:$G658,'🙎‍♂️ Pasien'!$H$7:$H658),"")</f>
        <v>A9925083027</v>
      </c>
      <c r="J38" s="125" t="str">
        <f t="array" ref="J38">IFNA(XLOOKUP($H38,'🙎‍♂️ Pasien'!$G$7:$G658,'🙎‍♂️ Pasien'!$L$7:$L658),"")</f>
        <v>LAKI-LAKI</v>
      </c>
      <c r="K38" s="125">
        <f t="array" ref="K38">IFNA(XLOOKUP($H38,'🙎‍♂️ Pasien'!$G$7:$G658,'🙎‍♂️ Pasien'!$I$7:$I658),"")</f>
        <v>26</v>
      </c>
      <c r="L38" s="160" t="s">
        <v>91</v>
      </c>
      <c r="M38" s="162" t="str">
        <f t="array" ref="M38">IFNA(XLOOKUP(L38,'⚙️ Pengaturan'!$H$5:$H658,'⚙️ Pengaturan'!$I$5:$I658),"")</f>
        <v>TIM Y</v>
      </c>
      <c r="N38" s="163" t="s">
        <v>1132</v>
      </c>
      <c r="O38" s="160" t="s">
        <v>1133</v>
      </c>
      <c r="P38" s="153">
        <f t="shared" si="4"/>
        <v>5</v>
      </c>
      <c r="Q38" s="164">
        <v>45881.0</v>
      </c>
      <c r="R38" s="164">
        <v>45885.0</v>
      </c>
      <c r="S38" s="164">
        <v>45888.0</v>
      </c>
      <c r="T38" s="164">
        <v>45890.0</v>
      </c>
      <c r="U38" s="164">
        <v>45891.0</v>
      </c>
      <c r="V38" s="164"/>
      <c r="W38" s="164"/>
      <c r="X38" s="164"/>
      <c r="Y38" s="164"/>
      <c r="Z38" s="164"/>
      <c r="AA38" s="165">
        <f t="shared" si="5"/>
        <v>45891</v>
      </c>
      <c r="AB38" s="160" t="s">
        <v>1134</v>
      </c>
      <c r="AC38" s="160" t="s">
        <v>1154</v>
      </c>
      <c r="AD38" s="168" t="s">
        <v>1168</v>
      </c>
      <c r="AE38" s="156">
        <f t="shared" si="6"/>
        <v>45891</v>
      </c>
      <c r="AF38" s="107" t="str">
        <f t="shared" si="7"/>
        <v>2025</v>
      </c>
      <c r="AG38" s="107" t="str">
        <f t="shared" si="8"/>
        <v>08 Agu</v>
      </c>
      <c r="AH38" s="107" t="str">
        <f t="shared" si="9"/>
        <v>Jum</v>
      </c>
      <c r="AI38" s="157">
        <f t="shared" si="10"/>
        <v>2</v>
      </c>
      <c r="AJ38" s="96"/>
      <c r="AK38" s="169"/>
      <c r="AL38" s="96"/>
      <c r="AM38" s="158">
        <f t="shared" si="11"/>
        <v>0</v>
      </c>
    </row>
    <row r="39" ht="22.5" customHeight="1">
      <c r="A39" s="167"/>
      <c r="B39" s="16" t="s">
        <v>54</v>
      </c>
      <c r="C39" s="16" t="s">
        <v>1131</v>
      </c>
      <c r="D39" s="123">
        <v>45894.0</v>
      </c>
      <c r="E39" s="124" t="str">
        <f t="shared" si="1"/>
        <v>2025</v>
      </c>
      <c r="F39" s="124" t="str">
        <f t="shared" si="2"/>
        <v>08 Agu</v>
      </c>
      <c r="G39" s="124" t="str">
        <f t="shared" si="3"/>
        <v>Senin</v>
      </c>
      <c r="H39" s="16" t="s">
        <v>613</v>
      </c>
      <c r="I39" s="125" t="str">
        <f t="array" ref="I39">IFNA(XLOOKUP($H39,'🙎‍♂️ Pasien'!$G$7:$G658,'🙎‍♂️ Pasien'!$H$7:$H658),"")</f>
        <v>A9625081247</v>
      </c>
      <c r="J39" s="125" t="str">
        <f t="array" ref="J39">IFNA(XLOOKUP($H39,'🙎‍♂️ Pasien'!$G$7:$G658,'🙎‍♂️ Pasien'!$L$7:$L658),"")</f>
        <v>LAKI-LAKI</v>
      </c>
      <c r="K39" s="125">
        <f t="array" ref="K39">IFNA(XLOOKUP($H39,'🙎‍♂️ Pasien'!$G$7:$G658,'🙎‍♂️ Pasien'!$I$7:$I658),"")</f>
        <v>30</v>
      </c>
      <c r="L39" s="16" t="s">
        <v>91</v>
      </c>
      <c r="M39" s="125" t="str">
        <f t="array" ref="M39">IFNA(XLOOKUP(L39,'⚙️ Pengaturan'!$H$5:$H658,'⚙️ Pengaturan'!$I$5:$I658),"")</f>
        <v>TIM Y</v>
      </c>
      <c r="N39" s="16" t="s">
        <v>1132</v>
      </c>
      <c r="O39" s="16" t="s">
        <v>1133</v>
      </c>
      <c r="P39" s="153">
        <f t="shared" si="4"/>
        <v>5</v>
      </c>
      <c r="Q39" s="154">
        <v>45897.0</v>
      </c>
      <c r="R39" s="154">
        <v>45897.0</v>
      </c>
      <c r="S39" s="154">
        <v>45900.0</v>
      </c>
      <c r="T39" s="154">
        <v>45900.0</v>
      </c>
      <c r="U39" s="154">
        <v>45903.0</v>
      </c>
      <c r="V39" s="154"/>
      <c r="W39" s="154"/>
      <c r="X39" s="154"/>
      <c r="Y39" s="154"/>
      <c r="Z39" s="154"/>
      <c r="AA39" s="155">
        <f t="shared" si="5"/>
        <v>45903</v>
      </c>
      <c r="AB39" s="16" t="s">
        <v>1134</v>
      </c>
      <c r="AC39" s="16" t="s">
        <v>1135</v>
      </c>
      <c r="AD39" s="109" t="s">
        <v>1169</v>
      </c>
      <c r="AE39" s="156">
        <f t="shared" si="6"/>
        <v>45903</v>
      </c>
      <c r="AF39" s="107" t="str">
        <f t="shared" si="7"/>
        <v>2025</v>
      </c>
      <c r="AG39" s="107" t="str">
        <f t="shared" si="8"/>
        <v>09 Sep</v>
      </c>
      <c r="AH39" s="107" t="str">
        <f t="shared" si="9"/>
        <v>Rab</v>
      </c>
      <c r="AI39" s="157">
        <f t="shared" si="10"/>
        <v>1</v>
      </c>
      <c r="AJ39" s="96"/>
      <c r="AK39" s="169"/>
      <c r="AL39" s="96"/>
      <c r="AM39" s="158">
        <f t="shared" si="11"/>
        <v>0</v>
      </c>
    </row>
    <row r="40" ht="22.5" customHeight="1">
      <c r="A40" s="152"/>
      <c r="B40" s="16" t="s">
        <v>86</v>
      </c>
      <c r="C40" s="16" t="s">
        <v>1131</v>
      </c>
      <c r="D40" s="123">
        <v>45991.0</v>
      </c>
      <c r="E40" s="124" t="str">
        <f t="shared" si="1"/>
        <v>2025</v>
      </c>
      <c r="F40" s="124" t="str">
        <f t="shared" si="2"/>
        <v>11 Nov</v>
      </c>
      <c r="G40" s="124" t="str">
        <f t="shared" si="3"/>
        <v>Minggu</v>
      </c>
      <c r="H40" s="16" t="s">
        <v>613</v>
      </c>
      <c r="I40" s="125" t="str">
        <f t="array" ref="I40">IFNA(XLOOKUP($H40,'🙎‍♂️ Pasien'!$G$7:$G658,'🙎‍♂️ Pasien'!$H$7:$H658),"")</f>
        <v>A9625081247</v>
      </c>
      <c r="J40" s="125" t="str">
        <f t="array" ref="J40">IFNA(XLOOKUP($H40,'🙎‍♂️ Pasien'!$G$7:$G658,'🙎‍♂️ Pasien'!$L$7:$L658),"")</f>
        <v>LAKI-LAKI</v>
      </c>
      <c r="K40" s="125">
        <f t="array" ref="K40">IFNA(XLOOKUP($H40,'🙎‍♂️ Pasien'!$G$7:$G658,'🙎‍♂️ Pasien'!$I$7:$I658),"")</f>
        <v>30</v>
      </c>
      <c r="L40" s="16" t="s">
        <v>56</v>
      </c>
      <c r="M40" s="125" t="str">
        <f t="array" ref="M40">IFNA(XLOOKUP(L40,'⚙️ Pengaturan'!$H$5:$H658,'⚙️ Pengaturan'!$I$5:$I658),"")</f>
        <v>TIM Y</v>
      </c>
      <c r="N40" s="16" t="s">
        <v>1137</v>
      </c>
      <c r="O40" s="16" t="s">
        <v>1133</v>
      </c>
      <c r="P40" s="153">
        <f t="shared" si="4"/>
        <v>10</v>
      </c>
      <c r="Q40" s="154">
        <v>45991.0</v>
      </c>
      <c r="R40" s="154">
        <v>45995.0</v>
      </c>
      <c r="S40" s="154">
        <v>45995.0</v>
      </c>
      <c r="T40" s="154">
        <v>46002.0</v>
      </c>
      <c r="U40" s="154">
        <v>46002.0</v>
      </c>
      <c r="V40" s="154">
        <v>46005.0</v>
      </c>
      <c r="W40" s="154">
        <v>46005.0</v>
      </c>
      <c r="X40" s="154">
        <v>46008.0</v>
      </c>
      <c r="Y40" s="154">
        <v>46011.0</v>
      </c>
      <c r="Z40" s="154">
        <v>46011.0</v>
      </c>
      <c r="AA40" s="155">
        <f t="shared" si="5"/>
        <v>46011</v>
      </c>
      <c r="AB40" s="16" t="s">
        <v>1134</v>
      </c>
      <c r="AC40" s="20"/>
      <c r="AD40" s="109"/>
      <c r="AE40" s="156">
        <f t="shared" si="6"/>
        <v>46011</v>
      </c>
      <c r="AF40" s="107" t="str">
        <f t="shared" si="7"/>
        <v>2025</v>
      </c>
      <c r="AG40" s="107" t="str">
        <f t="shared" si="8"/>
        <v>12 Des</v>
      </c>
      <c r="AH40" s="107" t="str">
        <f t="shared" si="9"/>
        <v>Sab</v>
      </c>
      <c r="AI40" s="157">
        <f t="shared" si="10"/>
        <v>3</v>
      </c>
      <c r="AJ40" s="158"/>
      <c r="AK40" s="159"/>
      <c r="AL40" s="158"/>
      <c r="AM40" s="158">
        <f t="shared" si="11"/>
        <v>0</v>
      </c>
    </row>
    <row r="41" ht="22.5" customHeight="1">
      <c r="A41" s="152"/>
      <c r="B41" s="16" t="s">
        <v>54</v>
      </c>
      <c r="C41" s="16" t="s">
        <v>1131</v>
      </c>
      <c r="D41" s="123">
        <v>45993.0</v>
      </c>
      <c r="E41" s="124" t="str">
        <f t="shared" si="1"/>
        <v>2025</v>
      </c>
      <c r="F41" s="124" t="str">
        <f t="shared" si="2"/>
        <v>12 Des</v>
      </c>
      <c r="G41" s="124" t="str">
        <f t="shared" si="3"/>
        <v>Selasa</v>
      </c>
      <c r="H41" s="16" t="s">
        <v>609</v>
      </c>
      <c r="I41" s="125" t="str">
        <f t="array" ref="I41">IFNA(XLOOKUP($H41,'🙎‍♂️ Pasien'!$G$7:$G658,'🙎‍♂️ Pasien'!$H$7:$H658),"")</f>
        <v>A5125112484</v>
      </c>
      <c r="J41" s="125" t="str">
        <f t="array" ref="J41">IFNA(XLOOKUP($H41,'🙎‍♂️ Pasien'!$G$7:$G658,'🙎‍♂️ Pasien'!$L$7:$L658),"")</f>
        <v>LAKI-LAKI</v>
      </c>
      <c r="K41" s="125">
        <f t="array" ref="K41">IFNA(XLOOKUP($H41,'🙎‍♂️ Pasien'!$G$7:$G658,'🙎‍♂️ Pasien'!$I$7:$I658),"")</f>
        <v>74</v>
      </c>
      <c r="L41" s="16" t="s">
        <v>56</v>
      </c>
      <c r="M41" s="125" t="str">
        <f t="array" ref="M41">IFNA(XLOOKUP(L41,'⚙️ Pengaturan'!$H$5:$H658,'⚙️ Pengaturan'!$I$5:$I658),"")</f>
        <v>TIM Y</v>
      </c>
      <c r="N41" s="16" t="s">
        <v>1132</v>
      </c>
      <c r="O41" s="16" t="s">
        <v>1133</v>
      </c>
      <c r="P41" s="153">
        <f t="shared" si="4"/>
        <v>5</v>
      </c>
      <c r="Q41" s="154">
        <v>45993.0</v>
      </c>
      <c r="R41" s="154">
        <v>45998.0</v>
      </c>
      <c r="S41" s="154">
        <v>45999.0</v>
      </c>
      <c r="T41" s="154">
        <v>46001.0</v>
      </c>
      <c r="U41" s="154">
        <v>46006.0</v>
      </c>
      <c r="V41" s="154"/>
      <c r="W41" s="154"/>
      <c r="X41" s="154"/>
      <c r="Y41" s="154"/>
      <c r="Z41" s="154"/>
      <c r="AA41" s="155">
        <f t="shared" si="5"/>
        <v>46006</v>
      </c>
      <c r="AB41" s="16" t="s">
        <v>1134</v>
      </c>
      <c r="AC41" s="16" t="s">
        <v>1138</v>
      </c>
      <c r="AD41" s="170"/>
      <c r="AE41" s="156">
        <f t="shared" si="6"/>
        <v>46006</v>
      </c>
      <c r="AF41" s="107" t="str">
        <f t="shared" si="7"/>
        <v>2025</v>
      </c>
      <c r="AG41" s="107" t="str">
        <f t="shared" si="8"/>
        <v>12 Des</v>
      </c>
      <c r="AH41" s="107" t="str">
        <f t="shared" si="9"/>
        <v>Sen</v>
      </c>
      <c r="AI41" s="157">
        <f t="shared" si="10"/>
        <v>2</v>
      </c>
      <c r="AJ41" s="158"/>
      <c r="AK41" s="159"/>
      <c r="AL41" s="158"/>
      <c r="AM41" s="158">
        <f t="shared" si="11"/>
        <v>0</v>
      </c>
    </row>
    <row r="42" ht="22.5" customHeight="1">
      <c r="A42" s="152"/>
      <c r="B42" s="16" t="s">
        <v>86</v>
      </c>
      <c r="C42" s="16" t="s">
        <v>1170</v>
      </c>
      <c r="D42" s="123">
        <v>46008.0</v>
      </c>
      <c r="E42" s="124" t="str">
        <f t="shared" si="1"/>
        <v>2025</v>
      </c>
      <c r="F42" s="124" t="str">
        <f t="shared" si="2"/>
        <v>12 Des</v>
      </c>
      <c r="G42" s="124" t="str">
        <f t="shared" si="3"/>
        <v>Rabu</v>
      </c>
      <c r="H42" s="16" t="s">
        <v>609</v>
      </c>
      <c r="I42" s="125" t="str">
        <f t="array" ref="I42">IFNA(XLOOKUP($H42,'🙎‍♂️ Pasien'!$G$7:$G658,'🙎‍♂️ Pasien'!$H$7:$H658),"")</f>
        <v>A5125112484</v>
      </c>
      <c r="J42" s="125" t="str">
        <f t="array" ref="J42">IFNA(XLOOKUP($H42,'🙎‍♂️ Pasien'!$G$7:$G658,'🙎‍♂️ Pasien'!$L$7:$L658),"")</f>
        <v>LAKI-LAKI</v>
      </c>
      <c r="K42" s="125">
        <f t="array" ref="K42">IFNA(XLOOKUP($H42,'🙎‍♂️ Pasien'!$G$7:$G658,'🙎‍♂️ Pasien'!$I$7:$I658),"")</f>
        <v>74</v>
      </c>
      <c r="L42" s="16" t="s">
        <v>88</v>
      </c>
      <c r="M42" s="125" t="str">
        <f t="array" ref="M42">IFNA(XLOOKUP(L42,'⚙️ Pengaturan'!$H$5:$H658,'⚙️ Pengaturan'!$I$5:$I658),"")</f>
        <v>TIM Y</v>
      </c>
      <c r="N42" s="16" t="s">
        <v>1137</v>
      </c>
      <c r="O42" s="16" t="s">
        <v>1133</v>
      </c>
      <c r="P42" s="153">
        <f t="shared" si="4"/>
        <v>2</v>
      </c>
      <c r="Q42" s="154">
        <v>46008.0</v>
      </c>
      <c r="R42" s="154">
        <v>46018.0</v>
      </c>
      <c r="S42" s="154"/>
      <c r="T42" s="154"/>
      <c r="U42" s="154"/>
      <c r="V42" s="154"/>
      <c r="W42" s="154"/>
      <c r="X42" s="154"/>
      <c r="Y42" s="154"/>
      <c r="Z42" s="154"/>
      <c r="AA42" s="155">
        <f t="shared" si="5"/>
        <v>46018</v>
      </c>
      <c r="AB42" s="16" t="s">
        <v>1144</v>
      </c>
      <c r="AC42" s="20"/>
      <c r="AD42" s="170"/>
      <c r="AE42" s="156" t="str">
        <f t="shared" si="6"/>
        <v/>
      </c>
      <c r="AF42" s="107" t="str">
        <f t="shared" si="7"/>
        <v/>
      </c>
      <c r="AG42" s="107" t="str">
        <f t="shared" si="8"/>
        <v/>
      </c>
      <c r="AH42" s="107" t="str">
        <f t="shared" si="9"/>
        <v/>
      </c>
      <c r="AI42" s="157">
        <f t="shared" si="10"/>
        <v>25</v>
      </c>
      <c r="AJ42" s="158"/>
      <c r="AK42" s="159"/>
      <c r="AL42" s="158"/>
      <c r="AM42" s="158">
        <f t="shared" si="11"/>
        <v>0</v>
      </c>
    </row>
    <row r="43" ht="22.5" customHeight="1">
      <c r="A43" s="152"/>
      <c r="B43" s="16" t="s">
        <v>86</v>
      </c>
      <c r="C43" s="16" t="s">
        <v>1171</v>
      </c>
      <c r="D43" s="123">
        <v>45952.0</v>
      </c>
      <c r="E43" s="124" t="str">
        <f t="shared" si="1"/>
        <v>2025</v>
      </c>
      <c r="F43" s="124" t="str">
        <f t="shared" si="2"/>
        <v>10 Okt</v>
      </c>
      <c r="G43" s="124" t="str">
        <f t="shared" si="3"/>
        <v>Rabu</v>
      </c>
      <c r="H43" s="16" t="s">
        <v>314</v>
      </c>
      <c r="I43" s="125" t="str">
        <f t="array" ref="I43">IFNA(XLOOKUP($H43,'🙎‍♂️ Pasien'!$G$7:$G658,'🙎‍♂️ Pasien'!$H$7:$H658),"")</f>
        <v>A2424089584</v>
      </c>
      <c r="J43" s="125" t="str">
        <f t="array" ref="J43">IFNA(XLOOKUP($H43,'🙎‍♂️ Pasien'!$G$7:$G658,'🙎‍♂️ Pasien'!$L$7:$L658),"")</f>
        <v>LAKI-LAKI</v>
      </c>
      <c r="K43" s="125">
        <f t="array" ref="K43">IFNA(XLOOKUP($H43,'🙎‍♂️ Pasien'!$G$7:$G658,'🙎‍♂️ Pasien'!$I$7:$I658),"")</f>
        <v>1</v>
      </c>
      <c r="L43" s="16" t="s">
        <v>91</v>
      </c>
      <c r="M43" s="125" t="str">
        <f t="array" ref="M43">IFNA(XLOOKUP(L43,'⚙️ Pengaturan'!$H$5:$H658,'⚙️ Pengaturan'!$I$5:$I658),"")</f>
        <v>TIM Y</v>
      </c>
      <c r="N43" s="16" t="s">
        <v>1132</v>
      </c>
      <c r="O43" s="16" t="s">
        <v>1133</v>
      </c>
      <c r="P43" s="153">
        <f t="shared" si="4"/>
        <v>3</v>
      </c>
      <c r="Q43" s="154">
        <v>45952.0</v>
      </c>
      <c r="R43" s="154">
        <v>45955.0</v>
      </c>
      <c r="S43" s="154">
        <v>45960.0</v>
      </c>
      <c r="T43" s="154"/>
      <c r="U43" s="154"/>
      <c r="V43" s="154"/>
      <c r="W43" s="154"/>
      <c r="X43" s="154"/>
      <c r="Y43" s="154"/>
      <c r="Z43" s="154"/>
      <c r="AA43" s="155">
        <f t="shared" si="5"/>
        <v>45960</v>
      </c>
      <c r="AB43" s="16" t="s">
        <v>1144</v>
      </c>
      <c r="AC43" s="20"/>
      <c r="AD43" s="170"/>
      <c r="AE43" s="156" t="str">
        <f t="shared" si="6"/>
        <v/>
      </c>
      <c r="AF43" s="107" t="str">
        <f t="shared" si="7"/>
        <v/>
      </c>
      <c r="AG43" s="107" t="str">
        <f t="shared" si="8"/>
        <v/>
      </c>
      <c r="AH43" s="107" t="str">
        <f t="shared" si="9"/>
        <v/>
      </c>
      <c r="AI43" s="157">
        <f t="shared" si="10"/>
        <v>33</v>
      </c>
      <c r="AJ43" s="158"/>
      <c r="AK43" s="159"/>
      <c r="AL43" s="158"/>
      <c r="AM43" s="158">
        <f t="shared" si="11"/>
        <v>0</v>
      </c>
    </row>
    <row r="44" ht="22.5" customHeight="1">
      <c r="A44" s="152"/>
      <c r="B44" s="171"/>
      <c r="C44" s="171"/>
      <c r="D44" s="161">
        <v>45720.0</v>
      </c>
      <c r="E44" s="124" t="str">
        <f t="shared" si="1"/>
        <v>2025</v>
      </c>
      <c r="F44" s="124" t="str">
        <f t="shared" si="2"/>
        <v>03 Mar</v>
      </c>
      <c r="G44" s="124" t="str">
        <f t="shared" si="3"/>
        <v>Selasa</v>
      </c>
      <c r="H44" s="16" t="s">
        <v>1172</v>
      </c>
      <c r="I44" s="125" t="str">
        <f t="array" ref="I44">IFNA(XLOOKUP($H44,'🙎‍♂️ Pasien'!$G$7:$G658,'🙎‍♂️ Pasien'!$H$7:$H658),"")</f>
        <v>A1625031346</v>
      </c>
      <c r="J44" s="125" t="str">
        <f t="array" ref="J44">IFNA(XLOOKUP($H44,'🙎‍♂️ Pasien'!$G$7:$G658,'🙎‍♂️ Pasien'!$L$7:$L658),"")</f>
        <v>PEREMPUAN</v>
      </c>
      <c r="K44" s="125">
        <f t="array" ref="K44">IFNA(XLOOKUP($H44,'🙎‍♂️ Pasien'!$G$7:$G658,'🙎‍♂️ Pasien'!$I$7:$I658),"")</f>
        <v>9</v>
      </c>
      <c r="L44" s="16" t="s">
        <v>56</v>
      </c>
      <c r="M44" s="125" t="str">
        <f t="array" ref="M44">IFNA(XLOOKUP(L44,'⚙️ Pengaturan'!$H$5:$H658,'⚙️ Pengaturan'!$I$5:$I658),"")</f>
        <v>TIM Y</v>
      </c>
      <c r="N44" s="16" t="s">
        <v>1132</v>
      </c>
      <c r="O44" s="16" t="s">
        <v>1133</v>
      </c>
      <c r="P44" s="153">
        <f t="shared" si="4"/>
        <v>4</v>
      </c>
      <c r="Q44" s="154">
        <v>45720.0</v>
      </c>
      <c r="R44" s="154">
        <v>45727.0</v>
      </c>
      <c r="S44" s="154">
        <v>45741.0</v>
      </c>
      <c r="T44" s="154">
        <v>45755.0</v>
      </c>
      <c r="U44" s="154"/>
      <c r="V44" s="154"/>
      <c r="W44" s="154"/>
      <c r="X44" s="154"/>
      <c r="Y44" s="154"/>
      <c r="Z44" s="154"/>
      <c r="AA44" s="155">
        <f t="shared" si="5"/>
        <v>45755</v>
      </c>
      <c r="AB44" s="16" t="s">
        <v>1144</v>
      </c>
      <c r="AC44" s="20"/>
      <c r="AD44" s="170"/>
      <c r="AE44" s="156" t="str">
        <f t="shared" si="6"/>
        <v/>
      </c>
      <c r="AF44" s="107" t="str">
        <f t="shared" si="7"/>
        <v/>
      </c>
      <c r="AG44" s="107" t="str">
        <f t="shared" si="8"/>
        <v/>
      </c>
      <c r="AH44" s="107" t="str">
        <f t="shared" si="9"/>
        <v/>
      </c>
      <c r="AI44" s="157">
        <f t="shared" si="10"/>
        <v>66</v>
      </c>
      <c r="AJ44" s="158"/>
      <c r="AK44" s="159"/>
      <c r="AL44" s="158"/>
      <c r="AM44" s="158">
        <f t="shared" si="11"/>
        <v>0</v>
      </c>
    </row>
    <row r="45" ht="22.5" customHeight="1">
      <c r="A45" s="167"/>
      <c r="B45" s="16" t="s">
        <v>86</v>
      </c>
      <c r="C45" s="16" t="s">
        <v>1131</v>
      </c>
      <c r="D45" s="123">
        <v>45994.0</v>
      </c>
      <c r="E45" s="124" t="str">
        <f t="shared" si="1"/>
        <v>2025</v>
      </c>
      <c r="F45" s="124" t="str">
        <f t="shared" si="2"/>
        <v>12 Des</v>
      </c>
      <c r="G45" s="124" t="str">
        <f t="shared" si="3"/>
        <v>Rabu</v>
      </c>
      <c r="H45" s="16" t="s">
        <v>593</v>
      </c>
      <c r="I45" s="125" t="str">
        <f t="array" ref="I45">IFNA(XLOOKUP($H45,'🙎‍♂️ Pasien'!$G$7:$G658,'🙎‍♂️ Pasien'!$H$7:$H658),"")</f>
        <v>A0125119292</v>
      </c>
      <c r="J45" s="125" t="str">
        <f t="array" ref="J45">IFNA(XLOOKUP($H45,'🙎‍♂️ Pasien'!$G$7:$G658,'🙎‍♂️ Pasien'!$L$7:$L658),"")</f>
        <v>PEREMPUAN</v>
      </c>
      <c r="K45" s="125">
        <f t="array" ref="K45">IFNA(XLOOKUP($H45,'🙎‍♂️ Pasien'!$G$7:$G658,'🙎‍♂️ Pasien'!$I$7:$I658),"")</f>
        <v>25</v>
      </c>
      <c r="L45" s="16" t="s">
        <v>91</v>
      </c>
      <c r="M45" s="125" t="str">
        <f t="array" ref="M45">IFNA(XLOOKUP(L45,'⚙️ Pengaturan'!$H$5:$H658,'⚙️ Pengaturan'!$I$5:$I658),"")</f>
        <v>TIM Y</v>
      </c>
      <c r="N45" s="16" t="s">
        <v>1132</v>
      </c>
      <c r="O45" s="16" t="s">
        <v>1133</v>
      </c>
      <c r="P45" s="153">
        <f t="shared" si="4"/>
        <v>5</v>
      </c>
      <c r="Q45" s="154">
        <v>45994.0</v>
      </c>
      <c r="R45" s="154">
        <v>45997.0</v>
      </c>
      <c r="S45" s="154">
        <v>46004.0</v>
      </c>
      <c r="T45" s="154">
        <v>46011.0</v>
      </c>
      <c r="U45" s="154">
        <v>46018.0</v>
      </c>
      <c r="V45" s="154"/>
      <c r="W45" s="154"/>
      <c r="X45" s="154"/>
      <c r="Y45" s="154"/>
      <c r="Z45" s="154"/>
      <c r="AA45" s="155">
        <f t="shared" si="5"/>
        <v>46018</v>
      </c>
      <c r="AB45" s="16" t="s">
        <v>1134</v>
      </c>
      <c r="AC45" s="16" t="s">
        <v>1138</v>
      </c>
      <c r="AD45" s="109" t="s">
        <v>1173</v>
      </c>
      <c r="AE45" s="156">
        <f t="shared" si="6"/>
        <v>46018</v>
      </c>
      <c r="AF45" s="107" t="str">
        <f t="shared" si="7"/>
        <v>2025</v>
      </c>
      <c r="AG45" s="107" t="str">
        <f t="shared" si="8"/>
        <v>12 Des</v>
      </c>
      <c r="AH45" s="107" t="str">
        <f t="shared" si="9"/>
        <v>Sab</v>
      </c>
      <c r="AI45" s="157">
        <f t="shared" si="10"/>
        <v>4</v>
      </c>
      <c r="AJ45" s="96"/>
      <c r="AK45" s="169"/>
      <c r="AL45" s="96"/>
      <c r="AM45" s="158">
        <f t="shared" si="11"/>
        <v>0</v>
      </c>
    </row>
    <row r="46" ht="22.5" customHeight="1">
      <c r="A46" s="152"/>
      <c r="B46" s="20"/>
      <c r="C46" s="20"/>
      <c r="D46" s="123">
        <v>45607.0</v>
      </c>
      <c r="E46" s="124" t="str">
        <f t="shared" si="1"/>
        <v>2024</v>
      </c>
      <c r="F46" s="124" t="str">
        <f t="shared" si="2"/>
        <v>11 Nov</v>
      </c>
      <c r="G46" s="124" t="str">
        <f t="shared" si="3"/>
        <v>Senin</v>
      </c>
      <c r="H46" s="16" t="s">
        <v>1174</v>
      </c>
      <c r="I46" s="125" t="str">
        <f t="array" ref="I46">IFNA(XLOOKUP($H46,'🙎‍♂️ Pasien'!$G$7:$G658,'🙎‍♂️ Pasien'!$H$7:$H658),"")</f>
        <v>A0324110628</v>
      </c>
      <c r="J46" s="125" t="str">
        <f t="array" ref="J46">IFNA(XLOOKUP($H46,'🙎‍♂️ Pasien'!$G$7:$G658,'🙎‍♂️ Pasien'!$L$7:$L658),"")</f>
        <v>PEREMPUAN</v>
      </c>
      <c r="K46" s="125">
        <f t="array" ref="K46">IFNA(XLOOKUP($H46,'🙎‍♂️ Pasien'!$G$7:$G658,'🙎‍♂️ Pasien'!$I$7:$I658),"")</f>
        <v>22</v>
      </c>
      <c r="L46" s="16" t="s">
        <v>72</v>
      </c>
      <c r="M46" s="125" t="str">
        <f t="array" ref="M46">IFNA(XLOOKUP(L46,'⚙️ Pengaturan'!$H$5:$H658,'⚙️ Pengaturan'!$I$5:$I658),"")</f>
        <v>TIM A</v>
      </c>
      <c r="N46" s="16" t="s">
        <v>1132</v>
      </c>
      <c r="O46" s="16" t="s">
        <v>1133</v>
      </c>
      <c r="P46" s="153">
        <f t="shared" si="4"/>
        <v>4</v>
      </c>
      <c r="Q46" s="154">
        <v>45611.0</v>
      </c>
      <c r="R46" s="154">
        <v>45614.0</v>
      </c>
      <c r="S46" s="154">
        <v>45638.0</v>
      </c>
      <c r="T46" s="154">
        <v>45642.0</v>
      </c>
      <c r="U46" s="154"/>
      <c r="V46" s="154"/>
      <c r="W46" s="154"/>
      <c r="X46" s="154"/>
      <c r="Y46" s="154"/>
      <c r="Z46" s="154"/>
      <c r="AA46" s="155">
        <f t="shared" si="5"/>
        <v>45642</v>
      </c>
      <c r="AB46" s="16" t="s">
        <v>1144</v>
      </c>
      <c r="AC46" s="20"/>
      <c r="AD46" s="170"/>
      <c r="AE46" s="156" t="str">
        <f t="shared" si="6"/>
        <v/>
      </c>
      <c r="AF46" s="107" t="str">
        <f t="shared" si="7"/>
        <v/>
      </c>
      <c r="AG46" s="107" t="str">
        <f t="shared" si="8"/>
        <v/>
      </c>
      <c r="AH46" s="107" t="str">
        <f t="shared" si="9"/>
        <v/>
      </c>
      <c r="AI46" s="157">
        <f t="shared" si="10"/>
        <v>82</v>
      </c>
      <c r="AJ46" s="158"/>
      <c r="AK46" s="159"/>
      <c r="AL46" s="158"/>
      <c r="AM46" s="158">
        <f t="shared" si="11"/>
        <v>0</v>
      </c>
    </row>
    <row r="47" ht="22.5" customHeight="1">
      <c r="A47" s="152"/>
      <c r="B47" s="160" t="s">
        <v>54</v>
      </c>
      <c r="C47" s="160" t="s">
        <v>1131</v>
      </c>
      <c r="D47" s="161">
        <v>45829.0</v>
      </c>
      <c r="E47" s="124" t="str">
        <f t="shared" si="1"/>
        <v>2025</v>
      </c>
      <c r="F47" s="124" t="str">
        <f t="shared" si="2"/>
        <v>06 Jun</v>
      </c>
      <c r="G47" s="124" t="str">
        <f t="shared" si="3"/>
        <v>Sabtu</v>
      </c>
      <c r="H47" s="160" t="s">
        <v>1175</v>
      </c>
      <c r="I47" s="125" t="str">
        <f t="array" ref="I47">IFNA(XLOOKUP($H47,'🙎‍♂️ Pasien'!$G$7:$G658,'🙎‍♂️ Pasien'!$H$7:$H658),"")</f>
        <v>A7025060822</v>
      </c>
      <c r="J47" s="125" t="str">
        <f t="array" ref="J47">IFNA(XLOOKUP($H47,'🙎‍♂️ Pasien'!$G$7:$G658,'🙎‍♂️ Pasien'!$L$7:$L658),"")</f>
        <v>PEREMPUAN</v>
      </c>
      <c r="K47" s="125">
        <f t="array" ref="K47">IFNA(XLOOKUP($H47,'🙎‍♂️ Pasien'!$G$7:$G658,'🙎‍♂️ Pasien'!$I$7:$I658),"")</f>
        <v>55</v>
      </c>
      <c r="L47" s="160" t="s">
        <v>107</v>
      </c>
      <c r="M47" s="162" t="str">
        <f t="array" ref="M47">IFNA(XLOOKUP(L47,'⚙️ Pengaturan'!$H$5:$H658,'⚙️ Pengaturan'!$I$5:$I658),"")</f>
        <v>TIM Y</v>
      </c>
      <c r="N47" s="163" t="s">
        <v>1137</v>
      </c>
      <c r="O47" s="160" t="s">
        <v>1133</v>
      </c>
      <c r="P47" s="153">
        <f t="shared" si="4"/>
        <v>10</v>
      </c>
      <c r="Q47" s="164">
        <v>45829.0</v>
      </c>
      <c r="R47" s="164">
        <v>45832.0</v>
      </c>
      <c r="S47" s="164">
        <v>45834.0</v>
      </c>
      <c r="T47" s="164">
        <v>45836.0</v>
      </c>
      <c r="U47" s="164">
        <v>45839.0</v>
      </c>
      <c r="V47" s="164">
        <v>45841.0</v>
      </c>
      <c r="W47" s="164">
        <v>45843.0</v>
      </c>
      <c r="X47" s="164">
        <v>45846.0</v>
      </c>
      <c r="Y47" s="164">
        <v>45848.0</v>
      </c>
      <c r="Z47" s="164">
        <v>45850.0</v>
      </c>
      <c r="AA47" s="165">
        <f t="shared" si="5"/>
        <v>45850</v>
      </c>
      <c r="AB47" s="160" t="s">
        <v>1134</v>
      </c>
      <c r="AC47" s="160" t="s">
        <v>1138</v>
      </c>
      <c r="AD47" s="168" t="s">
        <v>1176</v>
      </c>
      <c r="AE47" s="156">
        <f t="shared" si="6"/>
        <v>45850</v>
      </c>
      <c r="AF47" s="107" t="str">
        <f t="shared" si="7"/>
        <v>2025</v>
      </c>
      <c r="AG47" s="107" t="str">
        <f t="shared" si="8"/>
        <v>07 Jul</v>
      </c>
      <c r="AH47" s="107" t="str">
        <f t="shared" si="9"/>
        <v>Sab</v>
      </c>
      <c r="AI47" s="157">
        <f t="shared" si="10"/>
        <v>3</v>
      </c>
      <c r="AJ47" s="158"/>
      <c r="AK47" s="159"/>
      <c r="AL47" s="158"/>
      <c r="AM47" s="158">
        <f t="shared" si="11"/>
        <v>0</v>
      </c>
    </row>
    <row r="48" ht="22.5" customHeight="1">
      <c r="A48" s="152"/>
      <c r="B48" s="160" t="s">
        <v>86</v>
      </c>
      <c r="C48" s="160" t="s">
        <v>1131</v>
      </c>
      <c r="D48" s="161">
        <v>45853.0</v>
      </c>
      <c r="E48" s="124" t="str">
        <f t="shared" si="1"/>
        <v>2025</v>
      </c>
      <c r="F48" s="124" t="str">
        <f t="shared" si="2"/>
        <v>07 Jul</v>
      </c>
      <c r="G48" s="124" t="str">
        <f t="shared" si="3"/>
        <v>Selasa</v>
      </c>
      <c r="H48" s="160" t="s">
        <v>1175</v>
      </c>
      <c r="I48" s="125" t="str">
        <f t="array" ref="I48">IFNA(XLOOKUP($H48,'🙎‍♂️ Pasien'!$G$7:$G658,'🙎‍♂️ Pasien'!$H$7:$H658),"")</f>
        <v>A7025060822</v>
      </c>
      <c r="J48" s="125" t="str">
        <f t="array" ref="J48">IFNA(XLOOKUP($H48,'🙎‍♂️ Pasien'!$G$7:$G658,'🙎‍♂️ Pasien'!$L$7:$L658),"")</f>
        <v>PEREMPUAN</v>
      </c>
      <c r="K48" s="125">
        <f t="array" ref="K48">IFNA(XLOOKUP($H48,'🙎‍♂️ Pasien'!$G$7:$G658,'🙎‍♂️ Pasien'!$I$7:$I658),"")</f>
        <v>55</v>
      </c>
      <c r="L48" s="160" t="s">
        <v>107</v>
      </c>
      <c r="M48" s="162" t="str">
        <f t="array" ref="M48">IFNA(XLOOKUP(L48,'⚙️ Pengaturan'!$H$5:$H658,'⚙️ Pengaturan'!$I$5:$I658),"")</f>
        <v>TIM Y</v>
      </c>
      <c r="N48" s="163" t="s">
        <v>1137</v>
      </c>
      <c r="O48" s="160" t="s">
        <v>1139</v>
      </c>
      <c r="P48" s="153">
        <f t="shared" si="4"/>
        <v>10</v>
      </c>
      <c r="Q48" s="164">
        <v>45853.0</v>
      </c>
      <c r="R48" s="164">
        <v>45857.0</v>
      </c>
      <c r="S48" s="164">
        <v>45860.0</v>
      </c>
      <c r="T48" s="164">
        <v>45864.0</v>
      </c>
      <c r="U48" s="164">
        <v>45867.0</v>
      </c>
      <c r="V48" s="164">
        <v>45871.0</v>
      </c>
      <c r="W48" s="164">
        <v>45874.0</v>
      </c>
      <c r="X48" s="164">
        <v>45878.0</v>
      </c>
      <c r="Y48" s="164">
        <v>45881.0</v>
      </c>
      <c r="Z48" s="164">
        <v>45888.0</v>
      </c>
      <c r="AA48" s="165">
        <f t="shared" si="5"/>
        <v>45888</v>
      </c>
      <c r="AB48" s="160" t="s">
        <v>1134</v>
      </c>
      <c r="AC48" s="160" t="s">
        <v>1142</v>
      </c>
      <c r="AD48" s="166"/>
      <c r="AE48" s="156">
        <f t="shared" si="6"/>
        <v>45888</v>
      </c>
      <c r="AF48" s="107" t="str">
        <f t="shared" si="7"/>
        <v>2025</v>
      </c>
      <c r="AG48" s="107" t="str">
        <f t="shared" si="8"/>
        <v>08 Agu</v>
      </c>
      <c r="AH48" s="107" t="str">
        <f t="shared" si="9"/>
        <v>Sel</v>
      </c>
      <c r="AI48" s="157">
        <f t="shared" si="10"/>
        <v>5</v>
      </c>
      <c r="AJ48" s="158"/>
      <c r="AK48" s="159"/>
      <c r="AL48" s="158"/>
      <c r="AM48" s="158">
        <f t="shared" si="11"/>
        <v>0</v>
      </c>
    </row>
    <row r="49" ht="22.5" customHeight="1">
      <c r="A49" s="152"/>
      <c r="B49" s="16" t="s">
        <v>86</v>
      </c>
      <c r="C49" s="16" t="s">
        <v>1131</v>
      </c>
      <c r="D49" s="123">
        <v>45948.0</v>
      </c>
      <c r="E49" s="124" t="str">
        <f t="shared" si="1"/>
        <v>2025</v>
      </c>
      <c r="F49" s="124" t="str">
        <f t="shared" si="2"/>
        <v>10 Okt</v>
      </c>
      <c r="G49" s="124" t="str">
        <f t="shared" si="3"/>
        <v>Sabtu</v>
      </c>
      <c r="H49" s="16" t="s">
        <v>302</v>
      </c>
      <c r="I49" s="125" t="str">
        <f t="array" ref="I49">IFNA(XLOOKUP($H49,'🙎‍♂️ Pasien'!$G$7:$G658,'🙎‍♂️ Pasien'!$H$7:$H658),"")</f>
        <v>A9425105994</v>
      </c>
      <c r="J49" s="125" t="str">
        <f t="array" ref="J49">IFNA(XLOOKUP($H49,'🙎‍♂️ Pasien'!$G$7:$G658,'🙎‍♂️ Pasien'!$L$7:$L658),"")</f>
        <v>LAKI-LAKI</v>
      </c>
      <c r="K49" s="125">
        <f t="array" ref="K49">IFNA(XLOOKUP($H49,'🙎‍♂️ Pasien'!$G$7:$G658,'🙎‍♂️ Pasien'!$I$7:$I658),"")</f>
        <v>32</v>
      </c>
      <c r="L49" s="16" t="s">
        <v>62</v>
      </c>
      <c r="M49" s="125" t="str">
        <f t="array" ref="M49">IFNA(XLOOKUP(L49,'⚙️ Pengaturan'!$H$5:$H658,'⚙️ Pengaturan'!$I$5:$I658),"")</f>
        <v>TIM A</v>
      </c>
      <c r="N49" s="16" t="s">
        <v>1137</v>
      </c>
      <c r="O49" s="16" t="s">
        <v>1133</v>
      </c>
      <c r="P49" s="153">
        <f t="shared" si="4"/>
        <v>10</v>
      </c>
      <c r="Q49" s="154">
        <v>45950.0</v>
      </c>
      <c r="R49" s="154">
        <v>45953.0</v>
      </c>
      <c r="S49" s="154">
        <v>45955.0</v>
      </c>
      <c r="T49" s="154">
        <v>45957.0</v>
      </c>
      <c r="U49" s="154">
        <v>45959.0</v>
      </c>
      <c r="V49" s="154">
        <v>45960.0</v>
      </c>
      <c r="W49" s="154">
        <v>45962.0</v>
      </c>
      <c r="X49" s="154">
        <v>45964.0</v>
      </c>
      <c r="Y49" s="154">
        <v>45965.0</v>
      </c>
      <c r="Z49" s="154">
        <v>45966.0</v>
      </c>
      <c r="AA49" s="155">
        <f t="shared" si="5"/>
        <v>45966</v>
      </c>
      <c r="AB49" s="16" t="s">
        <v>1134</v>
      </c>
      <c r="AC49" s="16" t="s">
        <v>1138</v>
      </c>
      <c r="AD49" s="170"/>
      <c r="AE49" s="156">
        <f t="shared" si="6"/>
        <v>45966</v>
      </c>
      <c r="AF49" s="107" t="str">
        <f t="shared" si="7"/>
        <v>2025</v>
      </c>
      <c r="AG49" s="107" t="str">
        <f t="shared" si="8"/>
        <v>11 Nov</v>
      </c>
      <c r="AH49" s="107" t="str">
        <f t="shared" si="9"/>
        <v>Rab</v>
      </c>
      <c r="AI49" s="157">
        <f t="shared" si="10"/>
        <v>3</v>
      </c>
      <c r="AJ49" s="158"/>
      <c r="AK49" s="159"/>
      <c r="AL49" s="158"/>
      <c r="AM49" s="158">
        <f t="shared" si="11"/>
        <v>0</v>
      </c>
    </row>
    <row r="50" ht="22.5" customHeight="1">
      <c r="A50" s="152"/>
      <c r="B50" s="16" t="s">
        <v>54</v>
      </c>
      <c r="C50" s="16" t="s">
        <v>1131</v>
      </c>
      <c r="D50" s="123">
        <v>45966.0</v>
      </c>
      <c r="E50" s="124" t="str">
        <f t="shared" si="1"/>
        <v>2025</v>
      </c>
      <c r="F50" s="124" t="str">
        <f t="shared" si="2"/>
        <v>11 Nov</v>
      </c>
      <c r="G50" s="124" t="str">
        <f t="shared" si="3"/>
        <v>Rabu</v>
      </c>
      <c r="H50" s="16" t="s">
        <v>302</v>
      </c>
      <c r="I50" s="125" t="str">
        <f t="array" ref="I50">IFNA(XLOOKUP($H50,'🙎‍♂️ Pasien'!$G$7:$G658,'🙎‍♂️ Pasien'!$H$7:$H658),"")</f>
        <v>A9425105994</v>
      </c>
      <c r="J50" s="125" t="str">
        <f t="array" ref="J50">IFNA(XLOOKUP($H50,'🙎‍♂️ Pasien'!$G$7:$G658,'🙎‍♂️ Pasien'!$L$7:$L658),"")</f>
        <v>LAKI-LAKI</v>
      </c>
      <c r="K50" s="125">
        <f t="array" ref="K50">IFNA(XLOOKUP($H50,'🙎‍♂️ Pasien'!$G$7:$G658,'🙎‍♂️ Pasien'!$I$7:$I658),"")</f>
        <v>32</v>
      </c>
      <c r="L50" s="16" t="s">
        <v>62</v>
      </c>
      <c r="M50" s="125" t="str">
        <f t="array" ref="M50">IFNA(XLOOKUP(L50,'⚙️ Pengaturan'!$H$5:$H658,'⚙️ Pengaturan'!$I$5:$I658),"")</f>
        <v>TIM A</v>
      </c>
      <c r="N50" s="16" t="s">
        <v>1132</v>
      </c>
      <c r="O50" s="16" t="s">
        <v>1133</v>
      </c>
      <c r="P50" s="153">
        <f t="shared" si="4"/>
        <v>5</v>
      </c>
      <c r="Q50" s="154">
        <v>45967.0</v>
      </c>
      <c r="R50" s="154">
        <v>45968.0</v>
      </c>
      <c r="S50" s="154">
        <v>45969.0</v>
      </c>
      <c r="T50" s="154">
        <v>45971.0</v>
      </c>
      <c r="U50" s="154">
        <v>45972.0</v>
      </c>
      <c r="V50" s="154"/>
      <c r="W50" s="154"/>
      <c r="X50" s="154"/>
      <c r="Y50" s="154"/>
      <c r="Z50" s="154"/>
      <c r="AA50" s="155">
        <f t="shared" si="5"/>
        <v>45972</v>
      </c>
      <c r="AB50" s="16" t="s">
        <v>1134</v>
      </c>
      <c r="AC50" s="16" t="s">
        <v>1138</v>
      </c>
      <c r="AD50" s="170"/>
      <c r="AE50" s="156">
        <f t="shared" si="6"/>
        <v>45972</v>
      </c>
      <c r="AF50" s="107" t="str">
        <f t="shared" si="7"/>
        <v>2025</v>
      </c>
      <c r="AG50" s="107" t="str">
        <f t="shared" si="8"/>
        <v>11 Nov</v>
      </c>
      <c r="AH50" s="107" t="str">
        <f t="shared" si="9"/>
        <v>Sel</v>
      </c>
      <c r="AI50" s="157">
        <f t="shared" si="10"/>
        <v>1</v>
      </c>
      <c r="AJ50" s="158"/>
      <c r="AK50" s="159"/>
      <c r="AL50" s="158"/>
      <c r="AM50" s="158">
        <f t="shared" si="11"/>
        <v>0</v>
      </c>
    </row>
    <row r="51" ht="22.5" customHeight="1">
      <c r="A51" s="152"/>
      <c r="B51" s="16" t="s">
        <v>54</v>
      </c>
      <c r="C51" s="16" t="s">
        <v>1131</v>
      </c>
      <c r="D51" s="123">
        <v>45974.0</v>
      </c>
      <c r="E51" s="124" t="str">
        <f t="shared" si="1"/>
        <v>2025</v>
      </c>
      <c r="F51" s="124" t="str">
        <f t="shared" si="2"/>
        <v>11 Nov</v>
      </c>
      <c r="G51" s="124" t="str">
        <f t="shared" si="3"/>
        <v>Kamis</v>
      </c>
      <c r="H51" s="16" t="s">
        <v>302</v>
      </c>
      <c r="I51" s="125" t="str">
        <f t="array" ref="I51">IFNA(XLOOKUP($H51,'🙎‍♂️ Pasien'!$G$7:$G658,'🙎‍♂️ Pasien'!$H$7:$H658),"")</f>
        <v>A9425105994</v>
      </c>
      <c r="J51" s="125" t="str">
        <f t="array" ref="J51">IFNA(XLOOKUP($H51,'🙎‍♂️ Pasien'!$G$7:$G658,'🙎‍♂️ Pasien'!$L$7:$L658),"")</f>
        <v>LAKI-LAKI</v>
      </c>
      <c r="K51" s="125">
        <f t="array" ref="K51">IFNA(XLOOKUP($H51,'🙎‍♂️ Pasien'!$G$7:$G658,'🙎‍♂️ Pasien'!$I$7:$I658),"")</f>
        <v>32</v>
      </c>
      <c r="L51" s="16" t="s">
        <v>91</v>
      </c>
      <c r="M51" s="125" t="str">
        <f t="array" ref="M51">IFNA(XLOOKUP(L51,'⚙️ Pengaturan'!$H$5:$H658,'⚙️ Pengaturan'!$I$5:$I658),"")</f>
        <v>TIM Y</v>
      </c>
      <c r="N51" s="16" t="s">
        <v>1132</v>
      </c>
      <c r="O51" s="16" t="s">
        <v>1139</v>
      </c>
      <c r="P51" s="153">
        <f t="shared" si="4"/>
        <v>5</v>
      </c>
      <c r="Q51" s="154">
        <v>45974.0</v>
      </c>
      <c r="R51" s="154">
        <v>45976.0</v>
      </c>
      <c r="S51" s="154">
        <v>45978.0</v>
      </c>
      <c r="T51" s="154">
        <v>45979.0</v>
      </c>
      <c r="U51" s="154">
        <v>45979.0</v>
      </c>
      <c r="V51" s="154"/>
      <c r="W51" s="154"/>
      <c r="X51" s="154"/>
      <c r="Y51" s="154"/>
      <c r="Z51" s="154"/>
      <c r="AA51" s="155">
        <f t="shared" si="5"/>
        <v>45979</v>
      </c>
      <c r="AB51" s="16" t="s">
        <v>1134</v>
      </c>
      <c r="AC51" s="20"/>
      <c r="AD51" s="170"/>
      <c r="AE51" s="156">
        <f t="shared" si="6"/>
        <v>45979</v>
      </c>
      <c r="AF51" s="107" t="str">
        <f t="shared" si="7"/>
        <v>2025</v>
      </c>
      <c r="AG51" s="107" t="str">
        <f t="shared" si="8"/>
        <v>11 Nov</v>
      </c>
      <c r="AH51" s="107" t="str">
        <f t="shared" si="9"/>
        <v>Sel</v>
      </c>
      <c r="AI51" s="157">
        <f t="shared" si="10"/>
        <v>1</v>
      </c>
      <c r="AJ51" s="158"/>
      <c r="AK51" s="159"/>
      <c r="AL51" s="158"/>
      <c r="AM51" s="158">
        <f t="shared" si="11"/>
        <v>0</v>
      </c>
    </row>
    <row r="52" ht="22.5" customHeight="1">
      <c r="A52" s="152"/>
      <c r="B52" s="20"/>
      <c r="C52" s="20"/>
      <c r="D52" s="123">
        <v>45625.0</v>
      </c>
      <c r="E52" s="124" t="str">
        <f t="shared" si="1"/>
        <v>2024</v>
      </c>
      <c r="F52" s="124" t="str">
        <f t="shared" si="2"/>
        <v>11 Nov</v>
      </c>
      <c r="G52" s="124" t="str">
        <f t="shared" si="3"/>
        <v>Jumat</v>
      </c>
      <c r="H52" s="16" t="s">
        <v>1177</v>
      </c>
      <c r="I52" s="125" t="str">
        <f t="array" ref="I52">IFNA(XLOOKUP($H52,'🙎‍♂️ Pasien'!$G$7:$G658,'🙎‍♂️ Pasien'!$H$7:$H658),"")</f>
        <v>A8823011011</v>
      </c>
      <c r="J52" s="125" t="str">
        <f t="array" ref="J52">IFNA(XLOOKUP($H52,'🙎‍♂️ Pasien'!$G$7:$G658,'🙎‍♂️ Pasien'!$L$7:$L658),"")</f>
        <v>LAKI-LAKI</v>
      </c>
      <c r="K52" s="125">
        <f t="array" ref="K52">IFNA(XLOOKUP($H52,'🙎‍♂️ Pasien'!$G$7:$G658,'🙎‍♂️ Pasien'!$I$7:$I658),"")</f>
        <v>37</v>
      </c>
      <c r="L52" s="16" t="s">
        <v>1149</v>
      </c>
      <c r="M52" s="125" t="str">
        <f t="array" ref="M52">IFNA(XLOOKUP(L52,'⚙️ Pengaturan'!$H$5:$H658,'⚙️ Pengaturan'!$I$5:$I658),"")</f>
        <v/>
      </c>
      <c r="N52" s="16" t="s">
        <v>1137</v>
      </c>
      <c r="O52" s="16" t="s">
        <v>1139</v>
      </c>
      <c r="P52" s="153">
        <f t="shared" si="4"/>
        <v>2</v>
      </c>
      <c r="Q52" s="154">
        <v>45674.0</v>
      </c>
      <c r="R52" s="154">
        <v>45692.0</v>
      </c>
      <c r="S52" s="154"/>
      <c r="T52" s="154"/>
      <c r="U52" s="154"/>
      <c r="V52" s="154"/>
      <c r="W52" s="154"/>
      <c r="X52" s="154"/>
      <c r="Y52" s="154"/>
      <c r="Z52" s="154"/>
      <c r="AA52" s="155">
        <f t="shared" si="5"/>
        <v>45692</v>
      </c>
      <c r="AB52" s="16" t="s">
        <v>1144</v>
      </c>
      <c r="AC52" s="20"/>
      <c r="AD52" s="170"/>
      <c r="AE52" s="156" t="str">
        <f t="shared" si="6"/>
        <v/>
      </c>
      <c r="AF52" s="107" t="str">
        <f t="shared" si="7"/>
        <v/>
      </c>
      <c r="AG52" s="107" t="str">
        <f t="shared" si="8"/>
        <v/>
      </c>
      <c r="AH52" s="107" t="str">
        <f t="shared" si="9"/>
        <v/>
      </c>
      <c r="AI52" s="157">
        <f t="shared" si="10"/>
        <v>73</v>
      </c>
      <c r="AJ52" s="158"/>
      <c r="AK52" s="159"/>
      <c r="AL52" s="158"/>
      <c r="AM52" s="158">
        <f t="shared" si="11"/>
        <v>0</v>
      </c>
    </row>
    <row r="53" ht="22.5" customHeight="1">
      <c r="A53" s="152"/>
      <c r="B53" s="160" t="s">
        <v>446</v>
      </c>
      <c r="C53" s="172"/>
      <c r="D53" s="161">
        <v>45795.0</v>
      </c>
      <c r="E53" s="124" t="str">
        <f t="shared" si="1"/>
        <v>2025</v>
      </c>
      <c r="F53" s="124" t="str">
        <f t="shared" si="2"/>
        <v>05 Mei</v>
      </c>
      <c r="G53" s="124" t="str">
        <f t="shared" si="3"/>
        <v>Minggu</v>
      </c>
      <c r="H53" s="160" t="s">
        <v>1178</v>
      </c>
      <c r="I53" s="125" t="str">
        <f t="array" ref="I53">IFNA(XLOOKUP($H53,'🙎‍♂️ Pasien'!$G$7:$G658,'🙎‍♂️ Pasien'!$H$7:$H658),"")</f>
        <v>A9325050486</v>
      </c>
      <c r="J53" s="125" t="str">
        <f t="array" ref="J53">IFNA(XLOOKUP($H53,'🙎‍♂️ Pasien'!$G$7:$G658,'🙎‍♂️ Pasien'!$L$7:$L658),"")</f>
        <v>LAKI-LAKI</v>
      </c>
      <c r="K53" s="125">
        <f t="array" ref="K53">IFNA(XLOOKUP($H53,'🙎‍♂️ Pasien'!$G$7:$G658,'🙎‍♂️ Pasien'!$I$7:$I658),"")</f>
        <v>33</v>
      </c>
      <c r="L53" s="160" t="s">
        <v>88</v>
      </c>
      <c r="M53" s="162" t="str">
        <f t="array" ref="M53">IFNA(XLOOKUP(L53,'⚙️ Pengaturan'!$H$5:$H658,'⚙️ Pengaturan'!$I$5:$I658),"")</f>
        <v>TIM Y</v>
      </c>
      <c r="N53" s="160" t="s">
        <v>1132</v>
      </c>
      <c r="O53" s="160" t="s">
        <v>1133</v>
      </c>
      <c r="P53" s="153">
        <f t="shared" si="4"/>
        <v>4</v>
      </c>
      <c r="Q53" s="164">
        <v>45795.0</v>
      </c>
      <c r="R53" s="164">
        <v>45802.0</v>
      </c>
      <c r="S53" s="164">
        <v>45807.0</v>
      </c>
      <c r="T53" s="164">
        <v>45837.0</v>
      </c>
      <c r="U53" s="164"/>
      <c r="V53" s="164"/>
      <c r="W53" s="164"/>
      <c r="X53" s="164"/>
      <c r="Y53" s="164"/>
      <c r="Z53" s="164"/>
      <c r="AA53" s="165">
        <f t="shared" si="5"/>
        <v>45837</v>
      </c>
      <c r="AB53" s="160" t="s">
        <v>1144</v>
      </c>
      <c r="AC53" s="174"/>
      <c r="AD53" s="166"/>
      <c r="AE53" s="156" t="str">
        <f t="shared" si="6"/>
        <v/>
      </c>
      <c r="AF53" s="107" t="str">
        <f t="shared" si="7"/>
        <v/>
      </c>
      <c r="AG53" s="107" t="str">
        <f t="shared" si="8"/>
        <v/>
      </c>
      <c r="AH53" s="107" t="str">
        <f t="shared" si="9"/>
        <v/>
      </c>
      <c r="AI53" s="157">
        <f t="shared" si="10"/>
        <v>56</v>
      </c>
      <c r="AJ53" s="158"/>
      <c r="AK53" s="159"/>
      <c r="AL53" s="158"/>
      <c r="AM53" s="158">
        <f t="shared" si="11"/>
        <v>0</v>
      </c>
    </row>
    <row r="54" ht="22.5" customHeight="1">
      <c r="A54" s="152"/>
      <c r="B54" s="171"/>
      <c r="C54" s="171"/>
      <c r="D54" s="161">
        <v>45643.0</v>
      </c>
      <c r="E54" s="124" t="str">
        <f t="shared" si="1"/>
        <v>2024</v>
      </c>
      <c r="F54" s="124" t="str">
        <f t="shared" si="2"/>
        <v>12 Des</v>
      </c>
      <c r="G54" s="124" t="str">
        <f t="shared" si="3"/>
        <v>Selasa</v>
      </c>
      <c r="H54" s="16" t="s">
        <v>1179</v>
      </c>
      <c r="I54" s="125" t="str">
        <f t="array" ref="I54">IFNA(XLOOKUP($H54,'🙎‍♂️ Pasien'!$G$7:$G658,'🙎‍♂️ Pasien'!$H$7:$H658),"")</f>
        <v>A9124121799</v>
      </c>
      <c r="J54" s="125" t="str">
        <f t="array" ref="J54">IFNA(XLOOKUP($H54,'🙎‍♂️ Pasien'!$G$7:$G658,'🙎‍♂️ Pasien'!$L$7:$L658),"")</f>
        <v>LAKI-LAKI</v>
      </c>
      <c r="K54" s="125">
        <f t="array" ref="K54">IFNA(XLOOKUP($H54,'🙎‍♂️ Pasien'!$G$7:$G658,'🙎‍♂️ Pasien'!$I$7:$I658),"")</f>
        <v>34</v>
      </c>
      <c r="L54" s="16" t="s">
        <v>91</v>
      </c>
      <c r="M54" s="125" t="str">
        <f t="array" ref="M54">IFNA(XLOOKUP(L54,'⚙️ Pengaturan'!$H$5:$H658,'⚙️ Pengaturan'!$I$5:$I658),"")</f>
        <v>TIM Y</v>
      </c>
      <c r="N54" s="16" t="s">
        <v>1137</v>
      </c>
      <c r="O54" s="16" t="s">
        <v>1133</v>
      </c>
      <c r="P54" s="153">
        <f t="shared" si="4"/>
        <v>9</v>
      </c>
      <c r="Q54" s="154">
        <v>45643.0</v>
      </c>
      <c r="R54" s="154">
        <v>45645.0</v>
      </c>
      <c r="S54" s="154">
        <v>45648.0</v>
      </c>
      <c r="T54" s="154">
        <v>45650.0</v>
      </c>
      <c r="U54" s="154">
        <v>45652.0</v>
      </c>
      <c r="V54" s="154">
        <v>45662.0</v>
      </c>
      <c r="W54" s="154">
        <v>45666.0</v>
      </c>
      <c r="X54" s="154">
        <v>45678.0</v>
      </c>
      <c r="Y54" s="154">
        <v>45680.0</v>
      </c>
      <c r="Z54" s="154"/>
      <c r="AA54" s="155">
        <f t="shared" si="5"/>
        <v>45680</v>
      </c>
      <c r="AB54" s="16" t="s">
        <v>1144</v>
      </c>
      <c r="AC54" s="20"/>
      <c r="AD54" s="170"/>
      <c r="AE54" s="156" t="str">
        <f t="shared" si="6"/>
        <v/>
      </c>
      <c r="AF54" s="107" t="str">
        <f t="shared" si="7"/>
        <v/>
      </c>
      <c r="AG54" s="107" t="str">
        <f t="shared" si="8"/>
        <v/>
      </c>
      <c r="AH54" s="107" t="str">
        <f t="shared" si="9"/>
        <v/>
      </c>
      <c r="AI54" s="157">
        <f t="shared" si="10"/>
        <v>77</v>
      </c>
      <c r="AJ54" s="158"/>
      <c r="AK54" s="159"/>
      <c r="AL54" s="158"/>
      <c r="AM54" s="158">
        <f t="shared" si="11"/>
        <v>0</v>
      </c>
    </row>
    <row r="55" ht="22.5" customHeight="1">
      <c r="A55" s="152"/>
      <c r="B55" s="160" t="s">
        <v>134</v>
      </c>
      <c r="C55" s="160" t="s">
        <v>1131</v>
      </c>
      <c r="D55" s="161">
        <v>45867.0</v>
      </c>
      <c r="E55" s="124" t="str">
        <f t="shared" si="1"/>
        <v>2025</v>
      </c>
      <c r="F55" s="124" t="str">
        <f t="shared" si="2"/>
        <v>07 Jul</v>
      </c>
      <c r="G55" s="124" t="str">
        <f t="shared" si="3"/>
        <v>Selasa</v>
      </c>
      <c r="H55" s="160" t="s">
        <v>1180</v>
      </c>
      <c r="I55" s="125" t="str">
        <f t="array" ref="I55">IFNA(XLOOKUP($H55,'🙎‍♂️ Pasien'!$G$7:$G658,'🙎‍♂️ Pasien'!$H$7:$H658),"")</f>
        <v>A0423074795</v>
      </c>
      <c r="J55" s="125" t="str">
        <f t="array" ref="J55">IFNA(XLOOKUP($H55,'🙎‍♂️ Pasien'!$G$7:$G658,'🙎‍♂️ Pasien'!$L$7:$L658),"")</f>
        <v>LAKI-LAKI</v>
      </c>
      <c r="K55" s="125">
        <f t="array" ref="K55">IFNA(XLOOKUP($H55,'🙎‍♂️ Pasien'!$G$7:$G658,'🙎‍♂️ Pasien'!$I$7:$I658),"")</f>
        <v>21</v>
      </c>
      <c r="L55" s="160" t="s">
        <v>56</v>
      </c>
      <c r="M55" s="162" t="str">
        <f t="array" ref="M55">IFNA(XLOOKUP(L55,'⚙️ Pengaturan'!$H$5:$H658,'⚙️ Pengaturan'!$I$5:$I658),"")</f>
        <v>TIM Y</v>
      </c>
      <c r="N55" s="163" t="s">
        <v>1137</v>
      </c>
      <c r="O55" s="160" t="s">
        <v>1133</v>
      </c>
      <c r="P55" s="153">
        <f t="shared" si="4"/>
        <v>10</v>
      </c>
      <c r="Q55" s="164">
        <v>45866.0</v>
      </c>
      <c r="R55" s="164">
        <v>45867.0</v>
      </c>
      <c r="S55" s="164">
        <v>45870.0</v>
      </c>
      <c r="T55" s="164">
        <v>45871.0</v>
      </c>
      <c r="U55" s="164">
        <v>45872.0</v>
      </c>
      <c r="V55" s="164">
        <v>45873.0</v>
      </c>
      <c r="W55" s="164">
        <v>45880.0</v>
      </c>
      <c r="X55" s="164">
        <v>45881.0</v>
      </c>
      <c r="Y55" s="164">
        <v>45883.0</v>
      </c>
      <c r="Z55" s="164">
        <v>45885.0</v>
      </c>
      <c r="AA55" s="165">
        <f t="shared" si="5"/>
        <v>45885</v>
      </c>
      <c r="AB55" s="160" t="s">
        <v>1134</v>
      </c>
      <c r="AC55" s="160" t="s">
        <v>1154</v>
      </c>
      <c r="AD55" s="166"/>
      <c r="AE55" s="156">
        <f t="shared" si="6"/>
        <v>45885</v>
      </c>
      <c r="AF55" s="107" t="str">
        <f t="shared" si="7"/>
        <v>2025</v>
      </c>
      <c r="AG55" s="107" t="str">
        <f t="shared" si="8"/>
        <v>08 Agu</v>
      </c>
      <c r="AH55" s="107" t="str">
        <f t="shared" si="9"/>
        <v>Sab</v>
      </c>
      <c r="AI55" s="157">
        <f t="shared" si="10"/>
        <v>3</v>
      </c>
      <c r="AJ55" s="158"/>
      <c r="AK55" s="159"/>
      <c r="AL55" s="158"/>
      <c r="AM55" s="158">
        <f t="shared" si="11"/>
        <v>0</v>
      </c>
    </row>
    <row r="56" ht="22.5" customHeight="1">
      <c r="A56" s="152"/>
      <c r="B56" s="16" t="s">
        <v>86</v>
      </c>
      <c r="C56" s="16" t="s">
        <v>1131</v>
      </c>
      <c r="D56" s="123">
        <v>45911.0</v>
      </c>
      <c r="E56" s="124" t="str">
        <f t="shared" si="1"/>
        <v>2025</v>
      </c>
      <c r="F56" s="124" t="str">
        <f t="shared" si="2"/>
        <v>09 Sep</v>
      </c>
      <c r="G56" s="124" t="str">
        <f t="shared" si="3"/>
        <v>Kamis</v>
      </c>
      <c r="H56" s="16" t="s">
        <v>108</v>
      </c>
      <c r="I56" s="125" t="str">
        <f t="array" ref="I56">IFNA(XLOOKUP($H56,'🙎‍♂️ Pasien'!$G$7:$G658,'🙎‍♂️ Pasien'!$H$7:$H658),"")</f>
        <v>A5625092572</v>
      </c>
      <c r="J56" s="125" t="str">
        <f t="array" ref="J56">IFNA(XLOOKUP($H56,'🙎‍♂️ Pasien'!$G$7:$G658,'🙎‍♂️ Pasien'!$L$7:$L658),"")</f>
        <v>PEREMPUAN</v>
      </c>
      <c r="K56" s="125">
        <f t="array" ref="K56">IFNA(XLOOKUP($H56,'🙎‍♂️ Pasien'!$G$7:$G658,'🙎‍♂️ Pasien'!$I$7:$I658),"")</f>
        <v>69</v>
      </c>
      <c r="L56" s="16" t="s">
        <v>107</v>
      </c>
      <c r="M56" s="125" t="str">
        <f t="array" ref="M56">IFNA(XLOOKUP(L56,'⚙️ Pengaturan'!$H$5:$H658,'⚙️ Pengaturan'!$I$5:$I658),"")</f>
        <v>TIM Y</v>
      </c>
      <c r="N56" s="16" t="s">
        <v>1132</v>
      </c>
      <c r="O56" s="16" t="s">
        <v>1133</v>
      </c>
      <c r="P56" s="153">
        <f t="shared" si="4"/>
        <v>5</v>
      </c>
      <c r="Q56" s="154">
        <v>45911.0</v>
      </c>
      <c r="R56" s="154">
        <v>45913.0</v>
      </c>
      <c r="S56" s="154">
        <v>45915.0</v>
      </c>
      <c r="T56" s="154">
        <v>45917.0</v>
      </c>
      <c r="U56" s="154">
        <v>45920.0</v>
      </c>
      <c r="V56" s="154"/>
      <c r="W56" s="154"/>
      <c r="X56" s="154"/>
      <c r="Y56" s="154"/>
      <c r="Z56" s="154"/>
      <c r="AA56" s="155">
        <f t="shared" si="5"/>
        <v>45920</v>
      </c>
      <c r="AB56" s="16" t="s">
        <v>1134</v>
      </c>
      <c r="AC56" s="16" t="s">
        <v>1138</v>
      </c>
      <c r="AD56" s="109" t="s">
        <v>1181</v>
      </c>
      <c r="AE56" s="156">
        <f t="shared" si="6"/>
        <v>45920</v>
      </c>
      <c r="AF56" s="107" t="str">
        <f t="shared" si="7"/>
        <v>2025</v>
      </c>
      <c r="AG56" s="107" t="str">
        <f t="shared" si="8"/>
        <v>09 Sep</v>
      </c>
      <c r="AH56" s="107" t="str">
        <f t="shared" si="9"/>
        <v>Sab</v>
      </c>
      <c r="AI56" s="157">
        <f t="shared" si="10"/>
        <v>2</v>
      </c>
      <c r="AJ56" s="158"/>
      <c r="AK56" s="159"/>
      <c r="AL56" s="158"/>
      <c r="AM56" s="158">
        <f t="shared" si="11"/>
        <v>0</v>
      </c>
    </row>
    <row r="57" ht="22.5" customHeight="1">
      <c r="A57" s="152"/>
      <c r="B57" s="16" t="s">
        <v>86</v>
      </c>
      <c r="C57" s="16" t="s">
        <v>1131</v>
      </c>
      <c r="D57" s="123">
        <v>45923.0</v>
      </c>
      <c r="E57" s="124" t="str">
        <f t="shared" si="1"/>
        <v>2025</v>
      </c>
      <c r="F57" s="124" t="str">
        <f t="shared" si="2"/>
        <v>09 Sep</v>
      </c>
      <c r="G57" s="124" t="str">
        <f t="shared" si="3"/>
        <v>Selasa</v>
      </c>
      <c r="H57" s="16" t="s">
        <v>108</v>
      </c>
      <c r="I57" s="125" t="str">
        <f t="array" ref="I57">IFNA(XLOOKUP($H57,'🙎‍♂️ Pasien'!$G$7:$G658,'🙎‍♂️ Pasien'!$H$7:$H658),"")</f>
        <v>A5625092572</v>
      </c>
      <c r="J57" s="125" t="str">
        <f t="array" ref="J57">IFNA(XLOOKUP($H57,'🙎‍♂️ Pasien'!$G$7:$G658,'🙎‍♂️ Pasien'!$L$7:$L658),"")</f>
        <v>PEREMPUAN</v>
      </c>
      <c r="K57" s="125">
        <f t="array" ref="K57">IFNA(XLOOKUP($H57,'🙎‍♂️ Pasien'!$G$7:$G658,'🙎‍♂️ Pasien'!$I$7:$I658),"")</f>
        <v>69</v>
      </c>
      <c r="L57" s="16" t="s">
        <v>79</v>
      </c>
      <c r="M57" s="125" t="str">
        <f t="array" ref="M57">IFNA(XLOOKUP(L57,'⚙️ Pengaturan'!$H$5:$H658,'⚙️ Pengaturan'!$I$5:$I658),"")</f>
        <v>TIM A</v>
      </c>
      <c r="N57" s="16" t="s">
        <v>1132</v>
      </c>
      <c r="O57" s="16" t="s">
        <v>1139</v>
      </c>
      <c r="P57" s="153">
        <f t="shared" si="4"/>
        <v>5</v>
      </c>
      <c r="Q57" s="154">
        <v>45923.0</v>
      </c>
      <c r="R57" s="154">
        <v>45928.0</v>
      </c>
      <c r="S57" s="154">
        <v>45932.0</v>
      </c>
      <c r="T57" s="154">
        <v>45935.0</v>
      </c>
      <c r="U57" s="154">
        <v>45937.0</v>
      </c>
      <c r="V57" s="154"/>
      <c r="W57" s="154"/>
      <c r="X57" s="154"/>
      <c r="Y57" s="154"/>
      <c r="Z57" s="154"/>
      <c r="AA57" s="155">
        <f t="shared" si="5"/>
        <v>45937</v>
      </c>
      <c r="AB57" s="16" t="s">
        <v>1134</v>
      </c>
      <c r="AC57" s="16" t="s">
        <v>1138</v>
      </c>
      <c r="AD57" s="109"/>
      <c r="AE57" s="156">
        <f t="shared" si="6"/>
        <v>45937</v>
      </c>
      <c r="AF57" s="107" t="str">
        <f t="shared" si="7"/>
        <v>2025</v>
      </c>
      <c r="AG57" s="107" t="str">
        <f t="shared" si="8"/>
        <v>10 Okt</v>
      </c>
      <c r="AH57" s="107" t="str">
        <f t="shared" si="9"/>
        <v>Sel</v>
      </c>
      <c r="AI57" s="157">
        <f t="shared" si="10"/>
        <v>2</v>
      </c>
      <c r="AJ57" s="158"/>
      <c r="AK57" s="159"/>
      <c r="AL57" s="158"/>
      <c r="AM57" s="158">
        <f t="shared" si="11"/>
        <v>0</v>
      </c>
    </row>
    <row r="58" ht="22.5" customHeight="1">
      <c r="A58" s="152"/>
      <c r="B58" s="16" t="s">
        <v>54</v>
      </c>
      <c r="C58" s="16" t="s">
        <v>1131</v>
      </c>
      <c r="D58" s="123">
        <v>45943.0</v>
      </c>
      <c r="E58" s="124" t="str">
        <f t="shared" si="1"/>
        <v>2025</v>
      </c>
      <c r="F58" s="124" t="str">
        <f t="shared" si="2"/>
        <v>10 Okt</v>
      </c>
      <c r="G58" s="124" t="str">
        <f t="shared" si="3"/>
        <v>Senin</v>
      </c>
      <c r="H58" s="16" t="s">
        <v>108</v>
      </c>
      <c r="I58" s="125" t="str">
        <f t="array" ref="I58">IFNA(XLOOKUP($H58,'🙎‍♂️ Pasien'!$G$7:$G658,'🙎‍♂️ Pasien'!$H$7:$H658),"")</f>
        <v>A5625092572</v>
      </c>
      <c r="J58" s="125" t="str">
        <f t="array" ref="J58">IFNA(XLOOKUP($H58,'🙎‍♂️ Pasien'!$G$7:$G658,'🙎‍♂️ Pasien'!$L$7:$L658),"")</f>
        <v>PEREMPUAN</v>
      </c>
      <c r="K58" s="125">
        <f t="array" ref="K58">IFNA(XLOOKUP($H58,'🙎‍♂️ Pasien'!$G$7:$G658,'🙎‍♂️ Pasien'!$I$7:$I658),"")</f>
        <v>69</v>
      </c>
      <c r="L58" s="16" t="s">
        <v>91</v>
      </c>
      <c r="M58" s="125" t="str">
        <f t="array" ref="M58">IFNA(XLOOKUP(L58,'⚙️ Pengaturan'!$H$5:$H658,'⚙️ Pengaturan'!$I$5:$I658),"")</f>
        <v>TIM Y</v>
      </c>
      <c r="N58" s="16" t="s">
        <v>1132</v>
      </c>
      <c r="O58" s="16" t="s">
        <v>1139</v>
      </c>
      <c r="P58" s="153">
        <f t="shared" si="4"/>
        <v>5</v>
      </c>
      <c r="Q58" s="154">
        <v>45943.0</v>
      </c>
      <c r="R58" s="154">
        <v>45946.0</v>
      </c>
      <c r="S58" s="154">
        <v>45951.0</v>
      </c>
      <c r="T58" s="154">
        <v>45958.0</v>
      </c>
      <c r="U58" s="154">
        <v>45965.0</v>
      </c>
      <c r="V58" s="154"/>
      <c r="W58" s="154"/>
      <c r="X58" s="154"/>
      <c r="Y58" s="154"/>
      <c r="Z58" s="154"/>
      <c r="AA58" s="155">
        <f t="shared" si="5"/>
        <v>45965</v>
      </c>
      <c r="AB58" s="16" t="s">
        <v>1134</v>
      </c>
      <c r="AC58" s="16" t="s">
        <v>1138</v>
      </c>
      <c r="AD58" s="109"/>
      <c r="AE58" s="156">
        <f t="shared" si="6"/>
        <v>45965</v>
      </c>
      <c r="AF58" s="107" t="str">
        <f t="shared" si="7"/>
        <v>2025</v>
      </c>
      <c r="AG58" s="107" t="str">
        <f t="shared" si="8"/>
        <v>11 Nov</v>
      </c>
      <c r="AH58" s="107" t="str">
        <f t="shared" si="9"/>
        <v>Sel</v>
      </c>
      <c r="AI58" s="157">
        <f t="shared" si="10"/>
        <v>4</v>
      </c>
      <c r="AJ58" s="158"/>
      <c r="AK58" s="159"/>
      <c r="AL58" s="158"/>
      <c r="AM58" s="158">
        <f t="shared" si="11"/>
        <v>0</v>
      </c>
    </row>
    <row r="59" ht="22.5" customHeight="1">
      <c r="A59" s="152"/>
      <c r="B59" s="16" t="s">
        <v>54</v>
      </c>
      <c r="C59" s="16" t="s">
        <v>1131</v>
      </c>
      <c r="D59" s="123">
        <v>45971.0</v>
      </c>
      <c r="E59" s="124" t="str">
        <f t="shared" si="1"/>
        <v>2025</v>
      </c>
      <c r="F59" s="124" t="str">
        <f t="shared" si="2"/>
        <v>11 Nov</v>
      </c>
      <c r="G59" s="124" t="str">
        <f t="shared" si="3"/>
        <v>Senin</v>
      </c>
      <c r="H59" s="16" t="s">
        <v>108</v>
      </c>
      <c r="I59" s="125" t="str">
        <f t="array" ref="I59">IFNA(XLOOKUP($H59,'🙎‍♂️ Pasien'!$G$7:$G658,'🙎‍♂️ Pasien'!$H$7:$H658),"")</f>
        <v>A5625092572</v>
      </c>
      <c r="J59" s="125" t="str">
        <f t="array" ref="J59">IFNA(XLOOKUP($H59,'🙎‍♂️ Pasien'!$G$7:$G658,'🙎‍♂️ Pasien'!$L$7:$L658),"")</f>
        <v>PEREMPUAN</v>
      </c>
      <c r="K59" s="125">
        <f t="array" ref="K59">IFNA(XLOOKUP($H59,'🙎‍♂️ Pasien'!$G$7:$G658,'🙎‍♂️ Pasien'!$I$7:$I658),"")</f>
        <v>69</v>
      </c>
      <c r="L59" s="16" t="s">
        <v>91</v>
      </c>
      <c r="M59" s="125" t="str">
        <f t="array" ref="M59">IFNA(XLOOKUP(L59,'⚙️ Pengaturan'!$H$5:$H658,'⚙️ Pengaturan'!$I$5:$I658),"")</f>
        <v>TIM Y</v>
      </c>
      <c r="N59" s="16" t="s">
        <v>1132</v>
      </c>
      <c r="O59" s="16" t="s">
        <v>1139</v>
      </c>
      <c r="P59" s="153">
        <f t="shared" si="4"/>
        <v>5</v>
      </c>
      <c r="Q59" s="154">
        <v>45971.0</v>
      </c>
      <c r="R59" s="154">
        <v>45979.0</v>
      </c>
      <c r="S59" s="154">
        <v>45988.0</v>
      </c>
      <c r="T59" s="154">
        <v>45994.0</v>
      </c>
      <c r="U59" s="154">
        <v>46001.0</v>
      </c>
      <c r="V59" s="154"/>
      <c r="W59" s="154"/>
      <c r="X59" s="154"/>
      <c r="Y59" s="154"/>
      <c r="Z59" s="154"/>
      <c r="AA59" s="155">
        <f t="shared" si="5"/>
        <v>46001</v>
      </c>
      <c r="AB59" s="16" t="s">
        <v>1134</v>
      </c>
      <c r="AC59" s="16" t="s">
        <v>1138</v>
      </c>
      <c r="AD59" s="109"/>
      <c r="AE59" s="156">
        <f t="shared" si="6"/>
        <v>46001</v>
      </c>
      <c r="AF59" s="107" t="str">
        <f t="shared" si="7"/>
        <v>2025</v>
      </c>
      <c r="AG59" s="107" t="str">
        <f t="shared" si="8"/>
        <v>12 Des</v>
      </c>
      <c r="AH59" s="107" t="str">
        <f t="shared" si="9"/>
        <v>Rab</v>
      </c>
      <c r="AI59" s="157">
        <f t="shared" si="10"/>
        <v>5</v>
      </c>
      <c r="AJ59" s="158"/>
      <c r="AK59" s="159"/>
      <c r="AL59" s="158"/>
      <c r="AM59" s="158">
        <f t="shared" si="11"/>
        <v>0</v>
      </c>
    </row>
    <row r="60" ht="22.5" customHeight="1">
      <c r="A60" s="152"/>
      <c r="B60" s="16" t="s">
        <v>54</v>
      </c>
      <c r="C60" s="16" t="s">
        <v>1170</v>
      </c>
      <c r="D60" s="123">
        <v>46001.0</v>
      </c>
      <c r="E60" s="124" t="str">
        <f t="shared" si="1"/>
        <v>2025</v>
      </c>
      <c r="F60" s="124" t="str">
        <f t="shared" si="2"/>
        <v>12 Des</v>
      </c>
      <c r="G60" s="124" t="str">
        <f t="shared" si="3"/>
        <v>Rabu</v>
      </c>
      <c r="H60" s="16" t="s">
        <v>108</v>
      </c>
      <c r="I60" s="125" t="str">
        <f t="array" ref="I60">IFNA(XLOOKUP($H60,'🙎‍♂️ Pasien'!$G$7:$G658,'🙎‍♂️ Pasien'!$H$7:$H658),"")</f>
        <v>A5625092572</v>
      </c>
      <c r="J60" s="125" t="str">
        <f t="array" ref="J60">IFNA(XLOOKUP($H60,'🙎‍♂️ Pasien'!$G$7:$G658,'🙎‍♂️ Pasien'!$L$7:$L658),"")</f>
        <v>PEREMPUAN</v>
      </c>
      <c r="K60" s="125">
        <f t="array" ref="K60">IFNA(XLOOKUP($H60,'🙎‍♂️ Pasien'!$G$7:$G658,'🙎‍♂️ Pasien'!$I$7:$I658),"")</f>
        <v>69</v>
      </c>
      <c r="L60" s="16" t="s">
        <v>79</v>
      </c>
      <c r="M60" s="125" t="str">
        <f t="array" ref="M60">IFNA(XLOOKUP(L60,'⚙️ Pengaturan'!$H$5:$H658,'⚙️ Pengaturan'!$I$5:$I658),"")</f>
        <v>TIM A</v>
      </c>
      <c r="N60" s="16" t="s">
        <v>1132</v>
      </c>
      <c r="O60" s="16" t="s">
        <v>1139</v>
      </c>
      <c r="P60" s="153">
        <f t="shared" si="4"/>
        <v>2</v>
      </c>
      <c r="Q60" s="154">
        <v>46008.0</v>
      </c>
      <c r="R60" s="154">
        <v>46014.0</v>
      </c>
      <c r="S60" s="154"/>
      <c r="T60" s="154"/>
      <c r="U60" s="154"/>
      <c r="V60" s="154"/>
      <c r="W60" s="154"/>
      <c r="X60" s="154"/>
      <c r="Y60" s="154"/>
      <c r="Z60" s="154"/>
      <c r="AA60" s="155">
        <f t="shared" si="5"/>
        <v>46014</v>
      </c>
      <c r="AB60" s="16" t="s">
        <v>1144</v>
      </c>
      <c r="AC60" s="20"/>
      <c r="AD60" s="109"/>
      <c r="AE60" s="156" t="str">
        <f t="shared" si="6"/>
        <v/>
      </c>
      <c r="AF60" s="107" t="str">
        <f t="shared" si="7"/>
        <v/>
      </c>
      <c r="AG60" s="107" t="str">
        <f t="shared" si="8"/>
        <v/>
      </c>
      <c r="AH60" s="107" t="str">
        <f t="shared" si="9"/>
        <v/>
      </c>
      <c r="AI60" s="157">
        <f t="shared" si="10"/>
        <v>25</v>
      </c>
      <c r="AJ60" s="158"/>
      <c r="AK60" s="159"/>
      <c r="AL60" s="158"/>
      <c r="AM60" s="158">
        <f t="shared" si="11"/>
        <v>0</v>
      </c>
    </row>
    <row r="61" ht="22.5" customHeight="1">
      <c r="A61" s="152"/>
      <c r="B61" s="160" t="s">
        <v>134</v>
      </c>
      <c r="C61" s="160" t="s">
        <v>1131</v>
      </c>
      <c r="D61" s="161">
        <v>45889.0</v>
      </c>
      <c r="E61" s="124" t="str">
        <f t="shared" si="1"/>
        <v>2025</v>
      </c>
      <c r="F61" s="124" t="str">
        <f t="shared" si="2"/>
        <v>08 Agu</v>
      </c>
      <c r="G61" s="124" t="str">
        <f t="shared" si="3"/>
        <v>Rabu</v>
      </c>
      <c r="H61" s="160" t="s">
        <v>1182</v>
      </c>
      <c r="I61" s="125" t="str">
        <f t="array" ref="I61">IFNA(XLOOKUP($H61,'🙎‍♂️ Pasien'!$G$7:$G658,'🙎‍♂️ Pasien'!$H$7:$H658),"")</f>
        <v>A9125086876</v>
      </c>
      <c r="J61" s="125" t="str">
        <f t="array" ref="J61">IFNA(XLOOKUP($H61,'🙎‍♂️ Pasien'!$G$7:$G658,'🙎‍♂️ Pasien'!$L$7:$L658),"")</f>
        <v>LAKI-LAKI</v>
      </c>
      <c r="K61" s="125">
        <f t="array" ref="K61">IFNA(XLOOKUP($H61,'🙎‍♂️ Pasien'!$G$7:$G658,'🙎‍♂️ Pasien'!$I$7:$I658),"")</f>
        <v>35</v>
      </c>
      <c r="L61" s="160" t="s">
        <v>107</v>
      </c>
      <c r="M61" s="162" t="str">
        <f t="array" ref="M61">IFNA(XLOOKUP(L61,'⚙️ Pengaturan'!$H$5:$H658,'⚙️ Pengaturan'!$I$5:$I658),"")</f>
        <v>TIM Y</v>
      </c>
      <c r="N61" s="163" t="s">
        <v>1132</v>
      </c>
      <c r="O61" s="160" t="s">
        <v>1133</v>
      </c>
      <c r="P61" s="153">
        <f t="shared" si="4"/>
        <v>4</v>
      </c>
      <c r="Q61" s="164">
        <v>45889.0</v>
      </c>
      <c r="R61" s="164">
        <v>45893.0</v>
      </c>
      <c r="S61" s="164">
        <v>45898.0</v>
      </c>
      <c r="T61" s="164">
        <v>45903.0</v>
      </c>
      <c r="U61" s="164"/>
      <c r="V61" s="164"/>
      <c r="W61" s="164"/>
      <c r="X61" s="164"/>
      <c r="Y61" s="164"/>
      <c r="Z61" s="164"/>
      <c r="AA61" s="165">
        <f t="shared" si="5"/>
        <v>45903</v>
      </c>
      <c r="AB61" s="160" t="s">
        <v>1144</v>
      </c>
      <c r="AC61" s="172"/>
      <c r="AD61" s="166"/>
      <c r="AE61" s="156" t="str">
        <f t="shared" si="6"/>
        <v/>
      </c>
      <c r="AF61" s="107" t="str">
        <f t="shared" si="7"/>
        <v/>
      </c>
      <c r="AG61" s="107" t="str">
        <f t="shared" si="8"/>
        <v/>
      </c>
      <c r="AH61" s="107" t="str">
        <f t="shared" si="9"/>
        <v/>
      </c>
      <c r="AI61" s="157">
        <f t="shared" si="10"/>
        <v>42</v>
      </c>
      <c r="AJ61" s="158"/>
      <c r="AK61" s="159"/>
      <c r="AL61" s="158"/>
      <c r="AM61" s="158">
        <f t="shared" si="11"/>
        <v>0</v>
      </c>
    </row>
    <row r="62" ht="22.5" customHeight="1">
      <c r="A62" s="152"/>
      <c r="B62" s="160" t="s">
        <v>86</v>
      </c>
      <c r="C62" s="160" t="s">
        <v>1131</v>
      </c>
      <c r="D62" s="173">
        <v>46014.0</v>
      </c>
      <c r="E62" s="124" t="str">
        <f t="shared" si="1"/>
        <v>2025</v>
      </c>
      <c r="F62" s="124" t="str">
        <f t="shared" si="2"/>
        <v>12 Des</v>
      </c>
      <c r="G62" s="124" t="str">
        <f t="shared" si="3"/>
        <v>Selasa</v>
      </c>
      <c r="H62" s="160" t="s">
        <v>762</v>
      </c>
      <c r="I62" s="125" t="str">
        <f t="array" ref="I62">IFNA(XLOOKUP($H62,'🙎‍♂️ Pasien'!$G$7:$G658,'🙎‍♂️ Pasien'!$H$7:$H658),"")</f>
        <v>A0825125687</v>
      </c>
      <c r="J62" s="125" t="str">
        <f t="array" ref="J62">IFNA(XLOOKUP($H62,'🙎‍♂️ Pasien'!$G$7:$G658,'🙎‍♂️ Pasien'!$L$7:$L658),"")</f>
        <v>PEREMPUAN</v>
      </c>
      <c r="K62" s="125">
        <f t="array" ref="K62">IFNA(XLOOKUP($H62,'🙎‍♂️ Pasien'!$G$7:$G658,'🙎‍♂️ Pasien'!$I$7:$I658),"")</f>
        <v>17</v>
      </c>
      <c r="L62" s="160" t="s">
        <v>91</v>
      </c>
      <c r="M62" s="162" t="str">
        <f t="array" ref="M62">IFNA(XLOOKUP(L62,'⚙️ Pengaturan'!$H$5:$H658,'⚙️ Pengaturan'!$I$5:$I658),"")</f>
        <v>TIM Y</v>
      </c>
      <c r="N62" s="163" t="s">
        <v>1132</v>
      </c>
      <c r="O62" s="160" t="s">
        <v>1133</v>
      </c>
      <c r="P62" s="153">
        <f t="shared" si="4"/>
        <v>3</v>
      </c>
      <c r="Q62" s="164">
        <v>46014.0</v>
      </c>
      <c r="R62" s="164">
        <v>46018.0</v>
      </c>
      <c r="S62" s="164">
        <v>46019.0</v>
      </c>
      <c r="T62" s="164"/>
      <c r="U62" s="164"/>
      <c r="V62" s="164"/>
      <c r="W62" s="164"/>
      <c r="X62" s="164"/>
      <c r="Y62" s="164"/>
      <c r="Z62" s="164"/>
      <c r="AA62" s="165">
        <f t="shared" si="5"/>
        <v>46019</v>
      </c>
      <c r="AB62" s="160" t="s">
        <v>1144</v>
      </c>
      <c r="AC62" s="172"/>
      <c r="AD62" s="166"/>
      <c r="AE62" s="156" t="str">
        <f t="shared" si="6"/>
        <v/>
      </c>
      <c r="AF62" s="107" t="str">
        <f t="shared" si="7"/>
        <v/>
      </c>
      <c r="AG62" s="107" t="str">
        <f t="shared" si="8"/>
        <v/>
      </c>
      <c r="AH62" s="107" t="str">
        <f t="shared" si="9"/>
        <v/>
      </c>
      <c r="AI62" s="157">
        <f t="shared" si="10"/>
        <v>24</v>
      </c>
      <c r="AJ62" s="158"/>
      <c r="AK62" s="159"/>
      <c r="AL62" s="158"/>
      <c r="AM62" s="158">
        <f t="shared" si="11"/>
        <v>1</v>
      </c>
    </row>
    <row r="63" ht="22.5" customHeight="1">
      <c r="A63" s="152"/>
      <c r="B63" s="160" t="s">
        <v>54</v>
      </c>
      <c r="C63" s="160" t="s">
        <v>1131</v>
      </c>
      <c r="D63" s="173">
        <v>45956.0</v>
      </c>
      <c r="E63" s="124" t="str">
        <f t="shared" si="1"/>
        <v>2025</v>
      </c>
      <c r="F63" s="124" t="str">
        <f t="shared" si="2"/>
        <v>10 Okt</v>
      </c>
      <c r="G63" s="124" t="str">
        <f t="shared" si="3"/>
        <v>Minggu</v>
      </c>
      <c r="H63" s="160" t="s">
        <v>381</v>
      </c>
      <c r="I63" s="125" t="str">
        <f t="array" ref="I63">IFNA(XLOOKUP($H63,'🙎‍♂️ Pasien'!$G$7:$G658,'🙎‍♂️ Pasien'!$H$7:$H658),"")</f>
        <v>A9925105509</v>
      </c>
      <c r="J63" s="125" t="str">
        <f t="array" ref="J63">IFNA(XLOOKUP($H63,'🙎‍♂️ Pasien'!$G$7:$G658,'🙎‍♂️ Pasien'!$L$7:$L658),"")</f>
        <v>PEREMPUAN</v>
      </c>
      <c r="K63" s="125">
        <f t="array" ref="K63">IFNA(XLOOKUP($H63,'🙎‍♂️ Pasien'!$G$7:$G658,'🙎‍♂️ Pasien'!$I$7:$I658),"")</f>
        <v>27</v>
      </c>
      <c r="L63" s="160" t="s">
        <v>91</v>
      </c>
      <c r="M63" s="162" t="str">
        <f t="array" ref="M63">IFNA(XLOOKUP(L63,'⚙️ Pengaturan'!$H$5:$H658,'⚙️ Pengaturan'!$I$5:$I658),"")</f>
        <v>TIM Y</v>
      </c>
      <c r="N63" s="163" t="s">
        <v>1132</v>
      </c>
      <c r="O63" s="160" t="s">
        <v>1133</v>
      </c>
      <c r="P63" s="153">
        <f t="shared" si="4"/>
        <v>5</v>
      </c>
      <c r="Q63" s="164">
        <v>45959.0</v>
      </c>
      <c r="R63" s="164">
        <v>45961.0</v>
      </c>
      <c r="S63" s="164">
        <v>45966.0</v>
      </c>
      <c r="T63" s="164">
        <v>45968.0</v>
      </c>
      <c r="U63" s="164">
        <v>45976.0</v>
      </c>
      <c r="V63" s="164"/>
      <c r="W63" s="164"/>
      <c r="X63" s="164"/>
      <c r="Y63" s="164"/>
      <c r="Z63" s="164"/>
      <c r="AA63" s="165">
        <f t="shared" si="5"/>
        <v>45976</v>
      </c>
      <c r="AB63" s="160" t="s">
        <v>1134</v>
      </c>
      <c r="AC63" s="160" t="s">
        <v>1138</v>
      </c>
      <c r="AD63" s="166"/>
      <c r="AE63" s="156">
        <f t="shared" si="6"/>
        <v>45976</v>
      </c>
      <c r="AF63" s="107" t="str">
        <f t="shared" si="7"/>
        <v>2025</v>
      </c>
      <c r="AG63" s="107" t="str">
        <f t="shared" si="8"/>
        <v>11 Nov</v>
      </c>
      <c r="AH63" s="107" t="str">
        <f t="shared" si="9"/>
        <v>Sab</v>
      </c>
      <c r="AI63" s="157">
        <f t="shared" si="10"/>
        <v>3</v>
      </c>
      <c r="AJ63" s="158"/>
      <c r="AK63" s="159"/>
      <c r="AL63" s="158"/>
      <c r="AM63" s="158">
        <f t="shared" si="11"/>
        <v>0</v>
      </c>
    </row>
    <row r="64" ht="22.5" customHeight="1">
      <c r="A64" s="152"/>
      <c r="B64" s="160" t="s">
        <v>54</v>
      </c>
      <c r="C64" s="160" t="s">
        <v>1131</v>
      </c>
      <c r="D64" s="173">
        <v>45976.0</v>
      </c>
      <c r="E64" s="124" t="str">
        <f t="shared" si="1"/>
        <v>2025</v>
      </c>
      <c r="F64" s="124" t="str">
        <f t="shared" si="2"/>
        <v>11 Nov</v>
      </c>
      <c r="G64" s="124" t="str">
        <f t="shared" si="3"/>
        <v>Sabtu</v>
      </c>
      <c r="H64" s="160" t="s">
        <v>381</v>
      </c>
      <c r="I64" s="125" t="str">
        <f t="array" ref="I64">IFNA(XLOOKUP($H64,'🙎‍♂️ Pasien'!$G$7:$G658,'🙎‍♂️ Pasien'!$H$7:$H658),"")</f>
        <v>A9925105509</v>
      </c>
      <c r="J64" s="125" t="str">
        <f t="array" ref="J64">IFNA(XLOOKUP($H64,'🙎‍♂️ Pasien'!$G$7:$G658,'🙎‍♂️ Pasien'!$L$7:$L658),"")</f>
        <v>PEREMPUAN</v>
      </c>
      <c r="K64" s="125">
        <f t="array" ref="K64">IFNA(XLOOKUP($H64,'🙎‍♂️ Pasien'!$G$7:$G658,'🙎‍♂️ Pasien'!$I$7:$I658),"")</f>
        <v>27</v>
      </c>
      <c r="L64" s="160" t="s">
        <v>72</v>
      </c>
      <c r="M64" s="162" t="str">
        <f t="array" ref="M64">IFNA(XLOOKUP(L64,'⚙️ Pengaturan'!$H$5:$H658,'⚙️ Pengaturan'!$I$5:$I658),"")</f>
        <v>TIM A</v>
      </c>
      <c r="N64" s="163" t="s">
        <v>1132</v>
      </c>
      <c r="O64" s="160" t="s">
        <v>1139</v>
      </c>
      <c r="P64" s="153">
        <f t="shared" si="4"/>
        <v>5</v>
      </c>
      <c r="Q64" s="164">
        <v>45979.0</v>
      </c>
      <c r="R64" s="164">
        <v>45981.0</v>
      </c>
      <c r="S64" s="164">
        <v>45985.0</v>
      </c>
      <c r="T64" s="164">
        <v>45987.0</v>
      </c>
      <c r="U64" s="164">
        <v>45992.0</v>
      </c>
      <c r="V64" s="164"/>
      <c r="W64" s="164"/>
      <c r="X64" s="164"/>
      <c r="Y64" s="164"/>
      <c r="Z64" s="164"/>
      <c r="AA64" s="165">
        <f t="shared" si="5"/>
        <v>45992</v>
      </c>
      <c r="AB64" s="160" t="s">
        <v>1134</v>
      </c>
      <c r="AC64" s="160" t="s">
        <v>1138</v>
      </c>
      <c r="AD64" s="166"/>
      <c r="AE64" s="156">
        <f t="shared" si="6"/>
        <v>45992</v>
      </c>
      <c r="AF64" s="107" t="str">
        <f t="shared" si="7"/>
        <v>2025</v>
      </c>
      <c r="AG64" s="107" t="str">
        <f t="shared" si="8"/>
        <v>12 Des</v>
      </c>
      <c r="AH64" s="107" t="str">
        <f t="shared" si="9"/>
        <v>Sen</v>
      </c>
      <c r="AI64" s="157">
        <f t="shared" si="10"/>
        <v>2</v>
      </c>
      <c r="AJ64" s="158"/>
      <c r="AK64" s="159"/>
      <c r="AL64" s="158"/>
      <c r="AM64" s="158">
        <f t="shared" si="11"/>
        <v>0</v>
      </c>
    </row>
    <row r="65" ht="22.5" customHeight="1">
      <c r="A65" s="152"/>
      <c r="B65" s="160" t="s">
        <v>86</v>
      </c>
      <c r="C65" s="160" t="s">
        <v>1170</v>
      </c>
      <c r="D65" s="173">
        <v>46004.0</v>
      </c>
      <c r="E65" s="124" t="str">
        <f t="shared" si="1"/>
        <v>2025</v>
      </c>
      <c r="F65" s="124" t="str">
        <f t="shared" si="2"/>
        <v>12 Des</v>
      </c>
      <c r="G65" s="124" t="str">
        <f t="shared" si="3"/>
        <v>Sabtu</v>
      </c>
      <c r="H65" s="160" t="s">
        <v>381</v>
      </c>
      <c r="I65" s="125" t="str">
        <f t="array" ref="I65">IFNA(XLOOKUP($H65,'🙎‍♂️ Pasien'!$G$7:$G658,'🙎‍♂️ Pasien'!$H$7:$H658),"")</f>
        <v>A9925105509</v>
      </c>
      <c r="J65" s="125" t="str">
        <f t="array" ref="J65">IFNA(XLOOKUP($H65,'🙎‍♂️ Pasien'!$G$7:$G658,'🙎‍♂️ Pasien'!$L$7:$L658),"")</f>
        <v>PEREMPUAN</v>
      </c>
      <c r="K65" s="125">
        <f t="array" ref="K65">IFNA(XLOOKUP($H65,'🙎‍♂️ Pasien'!$G$7:$G658,'🙎‍♂️ Pasien'!$I$7:$I658),"")</f>
        <v>27</v>
      </c>
      <c r="L65" s="160" t="s">
        <v>72</v>
      </c>
      <c r="M65" s="162" t="str">
        <f t="array" ref="M65">IFNA(XLOOKUP(L65,'⚙️ Pengaturan'!$H$5:$H658,'⚙️ Pengaturan'!$I$5:$I658),"")</f>
        <v>TIM A</v>
      </c>
      <c r="N65" s="163" t="s">
        <v>1132</v>
      </c>
      <c r="O65" s="160" t="s">
        <v>1139</v>
      </c>
      <c r="P65" s="153">
        <f t="shared" si="4"/>
        <v>3</v>
      </c>
      <c r="Q65" s="164">
        <v>46004.0</v>
      </c>
      <c r="R65" s="164">
        <v>46009.0</v>
      </c>
      <c r="S65" s="164">
        <v>46015.0</v>
      </c>
      <c r="T65" s="164"/>
      <c r="U65" s="164"/>
      <c r="V65" s="164"/>
      <c r="W65" s="164"/>
      <c r="X65" s="164"/>
      <c r="Y65" s="164"/>
      <c r="Z65" s="164"/>
      <c r="AA65" s="165">
        <f t="shared" si="5"/>
        <v>46015</v>
      </c>
      <c r="AB65" s="160" t="s">
        <v>1144</v>
      </c>
      <c r="AC65" s="172"/>
      <c r="AD65" s="166"/>
      <c r="AE65" s="156" t="str">
        <f t="shared" si="6"/>
        <v/>
      </c>
      <c r="AF65" s="107" t="str">
        <f t="shared" si="7"/>
        <v/>
      </c>
      <c r="AG65" s="107" t="str">
        <f t="shared" si="8"/>
        <v/>
      </c>
      <c r="AH65" s="107" t="str">
        <f t="shared" si="9"/>
        <v/>
      </c>
      <c r="AI65" s="157">
        <f t="shared" si="10"/>
        <v>26</v>
      </c>
      <c r="AJ65" s="158"/>
      <c r="AK65" s="159"/>
      <c r="AL65" s="158"/>
      <c r="AM65" s="158">
        <f t="shared" si="11"/>
        <v>0</v>
      </c>
    </row>
    <row r="66" ht="22.5" customHeight="1">
      <c r="A66" s="167"/>
      <c r="B66" s="172"/>
      <c r="C66" s="172"/>
      <c r="D66" s="173">
        <v>45735.0</v>
      </c>
      <c r="E66" s="124" t="str">
        <f t="shared" si="1"/>
        <v>2025</v>
      </c>
      <c r="F66" s="124" t="str">
        <f t="shared" si="2"/>
        <v>03 Mar</v>
      </c>
      <c r="G66" s="124" t="str">
        <f t="shared" si="3"/>
        <v>Rabu</v>
      </c>
      <c r="H66" s="160" t="s">
        <v>1183</v>
      </c>
      <c r="I66" s="125" t="str">
        <f t="array" ref="I66">IFNA(XLOOKUP($H66,'🙎‍♂️ Pasien'!$G$7:$G658,'🙎‍♂️ Pasien'!$H$7:$H658),"")</f>
        <v>A8925021574</v>
      </c>
      <c r="J66" s="125" t="str">
        <f t="array" ref="J66">IFNA(XLOOKUP($H66,'🙎‍♂️ Pasien'!$G$7:$G658,'🙎‍♂️ Pasien'!$L$7:$L658),"")</f>
        <v>LAKI-LAKI</v>
      </c>
      <c r="K66" s="125">
        <f t="array" ref="K66">IFNA(XLOOKUP($H66,'🙎‍♂️ Pasien'!$G$7:$G658,'🙎‍♂️ Pasien'!$I$7:$I658),"")</f>
        <v>36</v>
      </c>
      <c r="L66" s="160" t="s">
        <v>88</v>
      </c>
      <c r="M66" s="162" t="str">
        <f t="array" ref="M66">IFNA(XLOOKUP(L66,'⚙️ Pengaturan'!$H$5:$H658,'⚙️ Pengaturan'!$I$5:$I658),"")</f>
        <v>TIM Y</v>
      </c>
      <c r="N66" s="160" t="s">
        <v>1132</v>
      </c>
      <c r="O66" s="160" t="s">
        <v>1139</v>
      </c>
      <c r="P66" s="153">
        <f t="shared" si="4"/>
        <v>2</v>
      </c>
      <c r="Q66" s="164">
        <v>45735.0</v>
      </c>
      <c r="R66" s="164">
        <v>45738.0</v>
      </c>
      <c r="S66" s="164"/>
      <c r="T66" s="164"/>
      <c r="U66" s="164"/>
      <c r="V66" s="164"/>
      <c r="W66" s="164"/>
      <c r="X66" s="164"/>
      <c r="Y66" s="164"/>
      <c r="Z66" s="164"/>
      <c r="AA66" s="165">
        <f t="shared" si="5"/>
        <v>45738</v>
      </c>
      <c r="AB66" s="160" t="s">
        <v>1144</v>
      </c>
      <c r="AC66" s="174"/>
      <c r="AD66" s="168"/>
      <c r="AE66" s="156" t="str">
        <f t="shared" si="6"/>
        <v/>
      </c>
      <c r="AF66" s="107" t="str">
        <f t="shared" si="7"/>
        <v/>
      </c>
      <c r="AG66" s="107" t="str">
        <f t="shared" si="8"/>
        <v/>
      </c>
      <c r="AH66" s="107" t="str">
        <f t="shared" si="9"/>
        <v/>
      </c>
      <c r="AI66" s="157">
        <f t="shared" si="10"/>
        <v>64</v>
      </c>
      <c r="AJ66" s="96"/>
      <c r="AK66" s="169"/>
      <c r="AL66" s="96"/>
      <c r="AM66" s="158">
        <f t="shared" si="11"/>
        <v>0</v>
      </c>
    </row>
    <row r="67" ht="22.5" customHeight="1">
      <c r="A67" s="167"/>
      <c r="B67" s="20"/>
      <c r="C67" s="16" t="s">
        <v>1131</v>
      </c>
      <c r="D67" s="123">
        <v>45633.0</v>
      </c>
      <c r="E67" s="124" t="str">
        <f t="shared" si="1"/>
        <v>2024</v>
      </c>
      <c r="F67" s="124" t="str">
        <f t="shared" si="2"/>
        <v>12 Des</v>
      </c>
      <c r="G67" s="124" t="str">
        <f t="shared" si="3"/>
        <v>Sabtu</v>
      </c>
      <c r="H67" s="16" t="s">
        <v>734</v>
      </c>
      <c r="I67" s="125" t="str">
        <f t="array" ref="I67">IFNA(XLOOKUP($H67,'🙎‍♂️ Pasien'!$G$7:$G658,'🙎‍♂️ Pasien'!$H$7:$H658),"")</f>
        <v>A0724125118</v>
      </c>
      <c r="J67" s="125" t="str">
        <f t="array" ref="J67">IFNA(XLOOKUP($H67,'🙎‍♂️ Pasien'!$G$7:$G658,'🙎‍♂️ Pasien'!$L$7:$L658),"")</f>
        <v>LAKI-LAKI</v>
      </c>
      <c r="K67" s="125">
        <f t="array" ref="K67">IFNA(XLOOKUP($H67,'🙎‍♂️ Pasien'!$G$7:$G658,'🙎‍♂️ Pasien'!$I$7:$I658),"")</f>
        <v>18</v>
      </c>
      <c r="L67" s="16" t="s">
        <v>1149</v>
      </c>
      <c r="M67" s="125" t="str">
        <f t="array" ref="M67">IFNA(XLOOKUP(L67,'⚙️ Pengaturan'!$H$5:$H658,'⚙️ Pengaturan'!$I$5:$I658),"")</f>
        <v/>
      </c>
      <c r="N67" s="16" t="s">
        <v>1132</v>
      </c>
      <c r="O67" s="16" t="s">
        <v>1133</v>
      </c>
      <c r="P67" s="153">
        <f t="shared" si="4"/>
        <v>5</v>
      </c>
      <c r="Q67" s="154">
        <v>45633.0</v>
      </c>
      <c r="R67" s="154">
        <v>45634.0</v>
      </c>
      <c r="S67" s="154">
        <v>45647.0</v>
      </c>
      <c r="T67" s="154">
        <v>45642.0</v>
      </c>
      <c r="U67" s="154">
        <v>46009.0</v>
      </c>
      <c r="V67" s="154"/>
      <c r="W67" s="154"/>
      <c r="X67" s="154"/>
      <c r="Y67" s="154"/>
      <c r="Z67" s="154"/>
      <c r="AA67" s="155">
        <f t="shared" si="5"/>
        <v>46009</v>
      </c>
      <c r="AB67" s="16" t="s">
        <v>1134</v>
      </c>
      <c r="AC67" s="16" t="s">
        <v>1138</v>
      </c>
      <c r="AD67" s="170"/>
      <c r="AE67" s="156">
        <f t="shared" si="6"/>
        <v>46009</v>
      </c>
      <c r="AF67" s="107" t="str">
        <f t="shared" si="7"/>
        <v>2025</v>
      </c>
      <c r="AG67" s="107" t="str">
        <f t="shared" si="8"/>
        <v>12 Des</v>
      </c>
      <c r="AH67" s="107" t="str">
        <f t="shared" si="9"/>
        <v>Kam</v>
      </c>
      <c r="AI67" s="157">
        <f t="shared" si="10"/>
        <v>54</v>
      </c>
      <c r="AJ67" s="96"/>
      <c r="AK67" s="169"/>
      <c r="AL67" s="96"/>
      <c r="AM67" s="158">
        <f t="shared" si="11"/>
        <v>0</v>
      </c>
    </row>
    <row r="68" ht="22.5" customHeight="1">
      <c r="A68" s="167"/>
      <c r="B68" s="16" t="s">
        <v>54</v>
      </c>
      <c r="C68" s="16" t="s">
        <v>1131</v>
      </c>
      <c r="D68" s="123">
        <v>46008.0</v>
      </c>
      <c r="E68" s="124" t="str">
        <f t="shared" si="1"/>
        <v>2025</v>
      </c>
      <c r="F68" s="124" t="str">
        <f t="shared" si="2"/>
        <v>12 Des</v>
      </c>
      <c r="G68" s="124" t="str">
        <f t="shared" si="3"/>
        <v>Rabu</v>
      </c>
      <c r="H68" s="16" t="s">
        <v>734</v>
      </c>
      <c r="I68" s="125" t="str">
        <f t="array" ref="I68">IFNA(XLOOKUP($H68,'🙎‍♂️ Pasien'!$G$7:$G658,'🙎‍♂️ Pasien'!$H$7:$H658),"")</f>
        <v>A0724125118</v>
      </c>
      <c r="J68" s="125" t="str">
        <f t="array" ref="J68">IFNA(XLOOKUP($H68,'🙎‍♂️ Pasien'!$G$7:$G658,'🙎‍♂️ Pasien'!$L$7:$L658),"")</f>
        <v>LAKI-LAKI</v>
      </c>
      <c r="K68" s="125">
        <f t="array" ref="K68">IFNA(XLOOKUP($H68,'🙎‍♂️ Pasien'!$G$7:$G658,'🙎‍♂️ Pasien'!$I$7:$I658),"")</f>
        <v>18</v>
      </c>
      <c r="L68" s="16" t="s">
        <v>56</v>
      </c>
      <c r="M68" s="125" t="str">
        <f t="array" ref="M68">IFNA(XLOOKUP(L68,'⚙️ Pengaturan'!$H$5:$H658,'⚙️ Pengaturan'!$I$5:$I658),"")</f>
        <v>TIM Y</v>
      </c>
      <c r="N68" s="16" t="s">
        <v>1137</v>
      </c>
      <c r="O68" s="16" t="s">
        <v>1139</v>
      </c>
      <c r="P68" s="153">
        <f t="shared" si="4"/>
        <v>6</v>
      </c>
      <c r="Q68" s="154">
        <v>46012.0</v>
      </c>
      <c r="R68" s="154">
        <v>46013.0</v>
      </c>
      <c r="S68" s="154">
        <v>46014.0</v>
      </c>
      <c r="T68" s="154">
        <v>46015.0</v>
      </c>
      <c r="U68" s="154">
        <v>46019.0</v>
      </c>
      <c r="V68" s="154">
        <v>46020.0</v>
      </c>
      <c r="W68" s="154"/>
      <c r="X68" s="154"/>
      <c r="Y68" s="154"/>
      <c r="Z68" s="154"/>
      <c r="AA68" s="155">
        <f t="shared" si="5"/>
        <v>46020</v>
      </c>
      <c r="AB68" s="16" t="s">
        <v>1144</v>
      </c>
      <c r="AC68" s="20"/>
      <c r="AD68" s="170"/>
      <c r="AE68" s="156" t="str">
        <f t="shared" si="6"/>
        <v/>
      </c>
      <c r="AF68" s="107" t="str">
        <f t="shared" si="7"/>
        <v/>
      </c>
      <c r="AG68" s="107" t="str">
        <f t="shared" si="8"/>
        <v/>
      </c>
      <c r="AH68" s="107" t="str">
        <f t="shared" si="9"/>
        <v/>
      </c>
      <c r="AI68" s="157">
        <f t="shared" si="10"/>
        <v>25</v>
      </c>
      <c r="AJ68" s="96"/>
      <c r="AK68" s="169"/>
      <c r="AL68" s="96"/>
      <c r="AM68" s="158">
        <f t="shared" si="11"/>
        <v>1</v>
      </c>
    </row>
    <row r="69" ht="22.5" customHeight="1">
      <c r="A69" s="167"/>
      <c r="B69" s="160" t="s">
        <v>86</v>
      </c>
      <c r="C69" s="160" t="s">
        <v>1131</v>
      </c>
      <c r="D69" s="161">
        <v>45854.0</v>
      </c>
      <c r="E69" s="124" t="str">
        <f t="shared" si="1"/>
        <v>2025</v>
      </c>
      <c r="F69" s="124" t="str">
        <f t="shared" si="2"/>
        <v>07 Jul</v>
      </c>
      <c r="G69" s="124" t="str">
        <f t="shared" si="3"/>
        <v>Rabu</v>
      </c>
      <c r="H69" s="160" t="s">
        <v>1184</v>
      </c>
      <c r="I69" s="125" t="str">
        <f t="array" ref="I69">IFNA(XLOOKUP($H69,'🙎‍♂️ Pasien'!$G$7:$G658,'🙎‍♂️ Pasien'!$H$7:$H658),"")</f>
        <v>A6625072226</v>
      </c>
      <c r="J69" s="125" t="str">
        <f t="array" ref="J69">IFNA(XLOOKUP($H69,'🙎‍♂️ Pasien'!$G$7:$G658,'🙎‍♂️ Pasien'!$L$7:$L658),"")</f>
        <v>PEREMPUAN</v>
      </c>
      <c r="K69" s="125">
        <f t="array" ref="K69">IFNA(XLOOKUP($H69,'🙎‍♂️ Pasien'!$G$7:$G658,'🙎‍♂️ Pasien'!$I$7:$I658),"")</f>
        <v>60</v>
      </c>
      <c r="L69" s="160" t="s">
        <v>91</v>
      </c>
      <c r="M69" s="162" t="str">
        <f t="array" ref="M69">IFNA(XLOOKUP(L69,'⚙️ Pengaturan'!$H$5:$H658,'⚙️ Pengaturan'!$I$5:$I658),"")</f>
        <v>TIM Y</v>
      </c>
      <c r="N69" s="163" t="s">
        <v>1132</v>
      </c>
      <c r="O69" s="160" t="s">
        <v>1133</v>
      </c>
      <c r="P69" s="153">
        <f t="shared" si="4"/>
        <v>5</v>
      </c>
      <c r="Q69" s="164">
        <v>45854.0</v>
      </c>
      <c r="R69" s="164">
        <v>45857.0</v>
      </c>
      <c r="S69" s="164">
        <v>45860.0</v>
      </c>
      <c r="T69" s="164">
        <v>45865.0</v>
      </c>
      <c r="U69" s="164">
        <v>45867.0</v>
      </c>
      <c r="V69" s="164"/>
      <c r="W69" s="164"/>
      <c r="X69" s="164"/>
      <c r="Y69" s="164"/>
      <c r="Z69" s="164"/>
      <c r="AA69" s="165">
        <f t="shared" si="5"/>
        <v>45867</v>
      </c>
      <c r="AB69" s="160" t="s">
        <v>1134</v>
      </c>
      <c r="AC69" s="160" t="s">
        <v>1138</v>
      </c>
      <c r="AD69" s="166"/>
      <c r="AE69" s="156">
        <f t="shared" si="6"/>
        <v>45867</v>
      </c>
      <c r="AF69" s="107" t="str">
        <f t="shared" si="7"/>
        <v>2025</v>
      </c>
      <c r="AG69" s="107" t="str">
        <f t="shared" si="8"/>
        <v>07 Jul</v>
      </c>
      <c r="AH69" s="107" t="str">
        <f t="shared" si="9"/>
        <v>Sel</v>
      </c>
      <c r="AI69" s="157">
        <f t="shared" si="10"/>
        <v>2</v>
      </c>
      <c r="AJ69" s="96"/>
      <c r="AK69" s="169"/>
      <c r="AL69" s="96"/>
      <c r="AM69" s="158">
        <f t="shared" si="11"/>
        <v>0</v>
      </c>
    </row>
    <row r="70" ht="22.5" customHeight="1">
      <c r="A70" s="167"/>
      <c r="B70" s="160" t="s">
        <v>86</v>
      </c>
      <c r="C70" s="160" t="s">
        <v>1131</v>
      </c>
      <c r="D70" s="161">
        <v>45867.0</v>
      </c>
      <c r="E70" s="124" t="str">
        <f t="shared" si="1"/>
        <v>2025</v>
      </c>
      <c r="F70" s="124" t="str">
        <f t="shared" si="2"/>
        <v>07 Jul</v>
      </c>
      <c r="G70" s="124" t="str">
        <f t="shared" si="3"/>
        <v>Selasa</v>
      </c>
      <c r="H70" s="160" t="s">
        <v>1184</v>
      </c>
      <c r="I70" s="125" t="str">
        <f t="array" ref="I70">IFNA(XLOOKUP($H70,'🙎‍♂️ Pasien'!$G$7:$G658,'🙎‍♂️ Pasien'!$H$7:$H658),"")</f>
        <v>A6625072226</v>
      </c>
      <c r="J70" s="125" t="str">
        <f t="array" ref="J70">IFNA(XLOOKUP($H70,'🙎‍♂️ Pasien'!$G$7:$G658,'🙎‍♂️ Pasien'!$L$7:$L658),"")</f>
        <v>PEREMPUAN</v>
      </c>
      <c r="K70" s="125">
        <f t="array" ref="K70">IFNA(XLOOKUP($H70,'🙎‍♂️ Pasien'!$G$7:$G658,'🙎‍♂️ Pasien'!$I$7:$I658),"")</f>
        <v>60</v>
      </c>
      <c r="L70" s="160" t="s">
        <v>91</v>
      </c>
      <c r="M70" s="162" t="str">
        <f t="array" ref="M70">IFNA(XLOOKUP(L70,'⚙️ Pengaturan'!$H$5:$H658,'⚙️ Pengaturan'!$I$5:$I658),"")</f>
        <v>TIM Y</v>
      </c>
      <c r="N70" s="163" t="s">
        <v>1132</v>
      </c>
      <c r="O70" s="160" t="s">
        <v>1139</v>
      </c>
      <c r="P70" s="153">
        <f t="shared" si="4"/>
        <v>5</v>
      </c>
      <c r="Q70" s="164">
        <v>45869.0</v>
      </c>
      <c r="R70" s="164">
        <v>45873.0</v>
      </c>
      <c r="S70" s="164">
        <v>45880.0</v>
      </c>
      <c r="T70" s="164">
        <v>45883.0</v>
      </c>
      <c r="U70" s="164">
        <v>45888.0</v>
      </c>
      <c r="V70" s="164"/>
      <c r="W70" s="164"/>
      <c r="X70" s="164"/>
      <c r="Y70" s="164"/>
      <c r="Z70" s="164"/>
      <c r="AA70" s="165">
        <f t="shared" si="5"/>
        <v>45888</v>
      </c>
      <c r="AB70" s="160" t="s">
        <v>1134</v>
      </c>
      <c r="AC70" s="160" t="s">
        <v>1142</v>
      </c>
      <c r="AD70" s="166"/>
      <c r="AE70" s="156">
        <f t="shared" si="6"/>
        <v>45888</v>
      </c>
      <c r="AF70" s="107" t="str">
        <f t="shared" si="7"/>
        <v>2025</v>
      </c>
      <c r="AG70" s="107" t="str">
        <f t="shared" si="8"/>
        <v>08 Agu</v>
      </c>
      <c r="AH70" s="107" t="str">
        <f t="shared" si="9"/>
        <v>Sel</v>
      </c>
      <c r="AI70" s="157">
        <f t="shared" si="10"/>
        <v>3</v>
      </c>
      <c r="AJ70" s="96"/>
      <c r="AK70" s="169"/>
      <c r="AL70" s="96"/>
      <c r="AM70" s="158">
        <f t="shared" si="11"/>
        <v>0</v>
      </c>
    </row>
    <row r="71" ht="22.5" customHeight="1">
      <c r="A71" s="10"/>
      <c r="B71" s="172"/>
      <c r="C71" s="172"/>
      <c r="D71" s="173">
        <v>45740.0</v>
      </c>
      <c r="E71" s="124" t="str">
        <f t="shared" si="1"/>
        <v>2025</v>
      </c>
      <c r="F71" s="124" t="str">
        <f t="shared" si="2"/>
        <v>03 Mar</v>
      </c>
      <c r="G71" s="124" t="str">
        <f t="shared" si="3"/>
        <v>Senin</v>
      </c>
      <c r="H71" s="160" t="s">
        <v>1185</v>
      </c>
      <c r="I71" s="125" t="str">
        <f t="array" ref="I71">IFNA(XLOOKUP($H71,'🙎‍♂️ Pasien'!$G$7:$G658,'🙎‍♂️ Pasien'!$H$7:$H658),"")</f>
        <v>A0325033157</v>
      </c>
      <c r="J71" s="125" t="str">
        <f t="array" ref="J71">IFNA(XLOOKUP($H71,'🙎‍♂️ Pasien'!$G$7:$G658,'🙎‍♂️ Pasien'!$L$7:$L658),"")</f>
        <v>LAKI-LAKI</v>
      </c>
      <c r="K71" s="125">
        <f t="array" ref="K71">IFNA(XLOOKUP($H71,'🙎‍♂️ Pasien'!$G$7:$G658,'🙎‍♂️ Pasien'!$I$7:$I658),"")</f>
        <v>23</v>
      </c>
      <c r="L71" s="160" t="s">
        <v>1152</v>
      </c>
      <c r="M71" s="162" t="str">
        <f t="array" ref="M71">IFNA(XLOOKUP(L71,'⚙️ Pengaturan'!$H$5:$H658,'⚙️ Pengaturan'!$I$5:$I658),"")</f>
        <v>INAKTIF</v>
      </c>
      <c r="N71" s="160" t="s">
        <v>1132</v>
      </c>
      <c r="O71" s="160" t="s">
        <v>1133</v>
      </c>
      <c r="P71" s="153">
        <f t="shared" si="4"/>
        <v>4</v>
      </c>
      <c r="Q71" s="164">
        <v>45742.0</v>
      </c>
      <c r="R71" s="164">
        <v>45755.0</v>
      </c>
      <c r="S71" s="164">
        <v>45760.0</v>
      </c>
      <c r="T71" s="164">
        <v>45824.0</v>
      </c>
      <c r="U71" s="164"/>
      <c r="V71" s="164"/>
      <c r="W71" s="164"/>
      <c r="X71" s="164"/>
      <c r="Y71" s="164"/>
      <c r="Z71" s="164"/>
      <c r="AA71" s="165">
        <f t="shared" si="5"/>
        <v>45824</v>
      </c>
      <c r="AB71" s="160" t="s">
        <v>1144</v>
      </c>
      <c r="AC71" s="174"/>
      <c r="AD71" s="168"/>
      <c r="AE71" s="156" t="str">
        <f t="shared" si="6"/>
        <v/>
      </c>
      <c r="AF71" s="107" t="str">
        <f t="shared" si="7"/>
        <v/>
      </c>
      <c r="AG71" s="107" t="str">
        <f t="shared" si="8"/>
        <v/>
      </c>
      <c r="AH71" s="107" t="str">
        <f t="shared" si="9"/>
        <v/>
      </c>
      <c r="AI71" s="157">
        <f t="shared" si="10"/>
        <v>63</v>
      </c>
      <c r="AJ71" s="158"/>
      <c r="AK71" s="159"/>
      <c r="AL71" s="158"/>
      <c r="AM71" s="158">
        <f t="shared" si="11"/>
        <v>0</v>
      </c>
    </row>
    <row r="72" ht="22.5" customHeight="1">
      <c r="A72" s="10"/>
      <c r="B72" s="160" t="s">
        <v>54</v>
      </c>
      <c r="C72" s="160" t="s">
        <v>1131</v>
      </c>
      <c r="D72" s="173">
        <v>45953.0</v>
      </c>
      <c r="E72" s="124" t="str">
        <f t="shared" si="1"/>
        <v>2025</v>
      </c>
      <c r="F72" s="124" t="str">
        <f t="shared" si="2"/>
        <v>10 Okt</v>
      </c>
      <c r="G72" s="124" t="str">
        <f t="shared" si="3"/>
        <v>Kamis</v>
      </c>
      <c r="H72" s="160" t="s">
        <v>921</v>
      </c>
      <c r="I72" s="125" t="str">
        <f t="array" ref="I72">IFNA(XLOOKUP($H72,'🙎‍♂️ Pasien'!$G$7:$G658,'🙎‍♂️ Pasien'!$H$7:$H658),"")</f>
        <v/>
      </c>
      <c r="J72" s="125" t="str">
        <f t="array" ref="J72">IFNA(XLOOKUP($H72,'🙎‍♂️ Pasien'!$G$7:$G658,'🙎‍♂️ Pasien'!$L$7:$L658),"")</f>
        <v/>
      </c>
      <c r="K72" s="125" t="str">
        <f t="array" ref="K72">IFNA(XLOOKUP($H72,'🙎‍♂️ Pasien'!$G$7:$G658,'🙎‍♂️ Pasien'!$I$7:$I658),"")</f>
        <v/>
      </c>
      <c r="L72" s="160" t="s">
        <v>62</v>
      </c>
      <c r="M72" s="162" t="str">
        <f t="array" ref="M72">IFNA(XLOOKUP(L72,'⚙️ Pengaturan'!$H$5:$H658,'⚙️ Pengaturan'!$I$5:$I658),"")</f>
        <v>TIM A</v>
      </c>
      <c r="N72" s="163" t="s">
        <v>1132</v>
      </c>
      <c r="O72" s="160" t="s">
        <v>1133</v>
      </c>
      <c r="P72" s="153">
        <f t="shared" si="4"/>
        <v>5</v>
      </c>
      <c r="Q72" s="164">
        <v>45953.0</v>
      </c>
      <c r="R72" s="164">
        <v>45957.0</v>
      </c>
      <c r="S72" s="164">
        <v>45960.0</v>
      </c>
      <c r="T72" s="164">
        <v>45964.0</v>
      </c>
      <c r="U72" s="164">
        <v>45981.0</v>
      </c>
      <c r="V72" s="164"/>
      <c r="W72" s="164"/>
      <c r="X72" s="164"/>
      <c r="Y72" s="164"/>
      <c r="Z72" s="164"/>
      <c r="AA72" s="165">
        <f t="shared" si="5"/>
        <v>45981</v>
      </c>
      <c r="AB72" s="160" t="s">
        <v>1134</v>
      </c>
      <c r="AC72" s="160" t="s">
        <v>1138</v>
      </c>
      <c r="AD72" s="166"/>
      <c r="AE72" s="156">
        <f t="shared" si="6"/>
        <v>45981</v>
      </c>
      <c r="AF72" s="107" t="str">
        <f t="shared" si="7"/>
        <v>2025</v>
      </c>
      <c r="AG72" s="107" t="str">
        <f t="shared" si="8"/>
        <v>11 Nov</v>
      </c>
      <c r="AH72" s="107" t="str">
        <f t="shared" si="9"/>
        <v>Kam</v>
      </c>
      <c r="AI72" s="157">
        <f t="shared" si="10"/>
        <v>4</v>
      </c>
      <c r="AJ72" s="158"/>
      <c r="AK72" s="159"/>
      <c r="AL72" s="158"/>
      <c r="AM72" s="158">
        <f t="shared" si="11"/>
        <v>0</v>
      </c>
    </row>
    <row r="73" ht="22.5" customHeight="1">
      <c r="A73" s="10"/>
      <c r="B73" s="160" t="s">
        <v>54</v>
      </c>
      <c r="C73" s="160" t="s">
        <v>1131</v>
      </c>
      <c r="D73" s="173">
        <v>45981.0</v>
      </c>
      <c r="E73" s="124" t="str">
        <f t="shared" si="1"/>
        <v>2025</v>
      </c>
      <c r="F73" s="124" t="str">
        <f t="shared" si="2"/>
        <v>11 Nov</v>
      </c>
      <c r="G73" s="124" t="str">
        <f t="shared" si="3"/>
        <v>Kamis</v>
      </c>
      <c r="H73" s="160" t="s">
        <v>921</v>
      </c>
      <c r="I73" s="125" t="str">
        <f t="array" ref="I73">IFNA(XLOOKUP($H73,'🙎‍♂️ Pasien'!$G$7:$G658,'🙎‍♂️ Pasien'!$H$7:$H658),"")</f>
        <v/>
      </c>
      <c r="J73" s="125" t="str">
        <f t="array" ref="J73">IFNA(XLOOKUP($H73,'🙎‍♂️ Pasien'!$G$7:$G658,'🙎‍♂️ Pasien'!$L$7:$L658),"")</f>
        <v/>
      </c>
      <c r="K73" s="125" t="str">
        <f t="array" ref="K73">IFNA(XLOOKUP($H73,'🙎‍♂️ Pasien'!$G$7:$G658,'🙎‍♂️ Pasien'!$I$7:$I658),"")</f>
        <v/>
      </c>
      <c r="L73" s="160" t="s">
        <v>62</v>
      </c>
      <c r="M73" s="162" t="str">
        <f t="array" ref="M73">IFNA(XLOOKUP(L73,'⚙️ Pengaturan'!$H$5:$H658,'⚙️ Pengaturan'!$I$5:$I658),"")</f>
        <v>TIM A</v>
      </c>
      <c r="N73" s="163" t="s">
        <v>1132</v>
      </c>
      <c r="O73" s="160" t="s">
        <v>1139</v>
      </c>
      <c r="P73" s="153">
        <f t="shared" si="4"/>
        <v>4</v>
      </c>
      <c r="Q73" s="164">
        <v>45985.0</v>
      </c>
      <c r="R73" s="164">
        <v>45988.0</v>
      </c>
      <c r="S73" s="164">
        <v>45992.0</v>
      </c>
      <c r="T73" s="164">
        <v>45996.0</v>
      </c>
      <c r="U73" s="164"/>
      <c r="V73" s="164"/>
      <c r="W73" s="164"/>
      <c r="X73" s="164"/>
      <c r="Y73" s="164"/>
      <c r="Z73" s="164"/>
      <c r="AA73" s="165">
        <f t="shared" si="5"/>
        <v>45996</v>
      </c>
      <c r="AB73" s="160" t="s">
        <v>1144</v>
      </c>
      <c r="AC73" s="172"/>
      <c r="AD73" s="166"/>
      <c r="AE73" s="156" t="str">
        <f t="shared" si="6"/>
        <v/>
      </c>
      <c r="AF73" s="107" t="str">
        <f t="shared" si="7"/>
        <v/>
      </c>
      <c r="AG73" s="107" t="str">
        <f t="shared" si="8"/>
        <v/>
      </c>
      <c r="AH73" s="107" t="str">
        <f t="shared" si="9"/>
        <v/>
      </c>
      <c r="AI73" s="157">
        <f t="shared" si="10"/>
        <v>29</v>
      </c>
      <c r="AJ73" s="158"/>
      <c r="AK73" s="159"/>
      <c r="AL73" s="158"/>
      <c r="AM73" s="158">
        <f t="shared" si="11"/>
        <v>0</v>
      </c>
    </row>
    <row r="74" ht="22.5" customHeight="1">
      <c r="A74" s="10"/>
      <c r="B74" s="20"/>
      <c r="C74" s="20"/>
      <c r="D74" s="123">
        <v>45629.0</v>
      </c>
      <c r="E74" s="124" t="str">
        <f t="shared" si="1"/>
        <v>2024</v>
      </c>
      <c r="F74" s="124" t="str">
        <f t="shared" si="2"/>
        <v>12 Des</v>
      </c>
      <c r="G74" s="124" t="str">
        <f t="shared" si="3"/>
        <v>Selasa</v>
      </c>
      <c r="H74" s="16" t="s">
        <v>1186</v>
      </c>
      <c r="I74" s="125" t="str">
        <f t="array" ref="I74">IFNA(XLOOKUP($H74,'🙎‍♂️ Pasien'!$G$7:$G658,'🙎‍♂️ Pasien'!$H$7:$H658),"")</f>
        <v>A9424116266</v>
      </c>
      <c r="J74" s="125" t="str">
        <f t="array" ref="J74">IFNA(XLOOKUP($H74,'🙎‍♂️ Pasien'!$G$7:$G658,'🙎‍♂️ Pasien'!$L$7:$L658),"")</f>
        <v>LAKI-LAKI</v>
      </c>
      <c r="K74" s="125">
        <f t="array" ref="K74">IFNA(XLOOKUP($H74,'🙎‍♂️ Pasien'!$G$7:$G658,'🙎‍♂️ Pasien'!$I$7:$I658),"")</f>
        <v>31</v>
      </c>
      <c r="L74" s="16" t="s">
        <v>72</v>
      </c>
      <c r="M74" s="125" t="str">
        <f t="array" ref="M74">IFNA(XLOOKUP(L74,'⚙️ Pengaturan'!$H$5:$H658,'⚙️ Pengaturan'!$I$5:$I658),"")</f>
        <v>TIM A</v>
      </c>
      <c r="N74" s="16" t="s">
        <v>1132</v>
      </c>
      <c r="O74" s="16" t="s">
        <v>1139</v>
      </c>
      <c r="P74" s="153">
        <f t="shared" si="4"/>
        <v>0</v>
      </c>
      <c r="Q74" s="154"/>
      <c r="R74" s="154"/>
      <c r="S74" s="154"/>
      <c r="T74" s="154"/>
      <c r="U74" s="154"/>
      <c r="V74" s="154"/>
      <c r="W74" s="154"/>
      <c r="X74" s="154"/>
      <c r="Y74" s="154"/>
      <c r="Z74" s="154"/>
      <c r="AA74" s="155">
        <f t="shared" si="5"/>
        <v>45629</v>
      </c>
      <c r="AB74" s="16" t="s">
        <v>1144</v>
      </c>
      <c r="AC74" s="20"/>
      <c r="AD74" s="170"/>
      <c r="AE74" s="156" t="str">
        <f t="shared" si="6"/>
        <v/>
      </c>
      <c r="AF74" s="107" t="str">
        <f t="shared" si="7"/>
        <v/>
      </c>
      <c r="AG74" s="107" t="str">
        <f t="shared" si="8"/>
        <v/>
      </c>
      <c r="AH74" s="107" t="str">
        <f t="shared" si="9"/>
        <v/>
      </c>
      <c r="AI74" s="157" t="str">
        <f t="shared" si="10"/>
        <v/>
      </c>
      <c r="AJ74" s="158"/>
      <c r="AK74" s="159"/>
      <c r="AL74" s="158"/>
      <c r="AM74" s="158">
        <f t="shared" si="11"/>
        <v>0</v>
      </c>
    </row>
    <row r="75" ht="22.5" customHeight="1">
      <c r="A75" s="10"/>
      <c r="B75" s="160" t="s">
        <v>86</v>
      </c>
      <c r="C75" s="160" t="s">
        <v>1131</v>
      </c>
      <c r="D75" s="161">
        <v>45865.0</v>
      </c>
      <c r="E75" s="124" t="str">
        <f t="shared" si="1"/>
        <v>2025</v>
      </c>
      <c r="F75" s="124" t="str">
        <f t="shared" si="2"/>
        <v>07 Jul</v>
      </c>
      <c r="G75" s="124" t="str">
        <f t="shared" si="3"/>
        <v>Minggu</v>
      </c>
      <c r="H75" s="160" t="s">
        <v>1187</v>
      </c>
      <c r="I75" s="125" t="str">
        <f t="array" ref="I75">IFNA(XLOOKUP($H75,'🙎‍♂️ Pasien'!$G$7:$G658,'🙎‍♂️ Pasien'!$H$7:$H658),"")</f>
        <v>A7825078966</v>
      </c>
      <c r="J75" s="125" t="str">
        <f t="array" ref="J75">IFNA(XLOOKUP($H75,'🙎‍♂️ Pasien'!$G$7:$G658,'🙎‍♂️ Pasien'!$L$7:$L658),"")</f>
        <v>LAKI-LAKI</v>
      </c>
      <c r="K75" s="125">
        <f t="array" ref="K75">IFNA(XLOOKUP($H75,'🙎‍♂️ Pasien'!$G$7:$G658,'🙎‍♂️ Pasien'!$I$7:$I658),"")</f>
        <v>47</v>
      </c>
      <c r="L75" s="160" t="s">
        <v>88</v>
      </c>
      <c r="M75" s="162" t="str">
        <f t="array" ref="M75">IFNA(XLOOKUP(L75,'⚙️ Pengaturan'!$H$5:$H658,'⚙️ Pengaturan'!$I$5:$I658),"")</f>
        <v>TIM Y</v>
      </c>
      <c r="N75" s="163" t="s">
        <v>1132</v>
      </c>
      <c r="O75" s="160" t="s">
        <v>1133</v>
      </c>
      <c r="P75" s="153">
        <f t="shared" si="4"/>
        <v>5</v>
      </c>
      <c r="Q75" s="164">
        <v>45865.0</v>
      </c>
      <c r="R75" s="164">
        <v>45869.0</v>
      </c>
      <c r="S75" s="164">
        <v>45870.0</v>
      </c>
      <c r="T75" s="164">
        <v>45873.0</v>
      </c>
      <c r="U75" s="164">
        <v>45876.0</v>
      </c>
      <c r="V75" s="164"/>
      <c r="W75" s="164"/>
      <c r="X75" s="164"/>
      <c r="Y75" s="164"/>
      <c r="Z75" s="164"/>
      <c r="AA75" s="165">
        <f t="shared" si="5"/>
        <v>45876</v>
      </c>
      <c r="AB75" s="160" t="s">
        <v>1134</v>
      </c>
      <c r="AC75" s="160" t="s">
        <v>1142</v>
      </c>
      <c r="AD75" s="166"/>
      <c r="AE75" s="156">
        <f t="shared" si="6"/>
        <v>45876</v>
      </c>
      <c r="AF75" s="107" t="str">
        <f t="shared" si="7"/>
        <v>2025</v>
      </c>
      <c r="AG75" s="107" t="str">
        <f t="shared" si="8"/>
        <v>08 Agu</v>
      </c>
      <c r="AH75" s="107" t="str">
        <f t="shared" si="9"/>
        <v>Kam</v>
      </c>
      <c r="AI75" s="157">
        <f t="shared" si="10"/>
        <v>2</v>
      </c>
      <c r="AJ75" s="158"/>
      <c r="AK75" s="159"/>
      <c r="AL75" s="158"/>
      <c r="AM75" s="158">
        <f t="shared" si="11"/>
        <v>0</v>
      </c>
    </row>
    <row r="76" ht="22.5" customHeight="1">
      <c r="A76" s="10"/>
      <c r="B76" s="160" t="s">
        <v>54</v>
      </c>
      <c r="C76" s="172"/>
      <c r="D76" s="173">
        <v>45777.0</v>
      </c>
      <c r="E76" s="124" t="str">
        <f t="shared" si="1"/>
        <v>2025</v>
      </c>
      <c r="F76" s="124" t="str">
        <f t="shared" si="2"/>
        <v>04 Apr</v>
      </c>
      <c r="G76" s="124" t="str">
        <f t="shared" si="3"/>
        <v>Rabu</v>
      </c>
      <c r="H76" s="160" t="s">
        <v>1188</v>
      </c>
      <c r="I76" s="125" t="str">
        <f t="array" ref="I76">IFNA(XLOOKUP($H76,'🙎‍♂️ Pasien'!$G$7:$G658,'🙎‍♂️ Pasien'!$H$7:$H658),"")</f>
        <v>A6825042168</v>
      </c>
      <c r="J76" s="125" t="str">
        <f t="array" ref="J76">IFNA(XLOOKUP($H76,'🙎‍♂️ Pasien'!$G$7:$G658,'🙎‍♂️ Pasien'!$L$7:$L658),"")</f>
        <v>LAKI-LAKI</v>
      </c>
      <c r="K76" s="125">
        <f t="array" ref="K76">IFNA(XLOOKUP($H76,'🙎‍♂️ Pasien'!$G$7:$G658,'🙎‍♂️ Pasien'!$I$7:$I658),"")</f>
        <v>58</v>
      </c>
      <c r="L76" s="160" t="s">
        <v>607</v>
      </c>
      <c r="M76" s="162" t="str">
        <f t="array" ref="M76">IFNA(XLOOKUP(L76,'⚙️ Pengaturan'!$H$5:$H658,'⚙️ Pengaturan'!$I$5:$I658),"")</f>
        <v/>
      </c>
      <c r="N76" s="160" t="s">
        <v>1132</v>
      </c>
      <c r="O76" s="160" t="s">
        <v>1133</v>
      </c>
      <c r="P76" s="153">
        <f t="shared" si="4"/>
        <v>4</v>
      </c>
      <c r="Q76" s="164">
        <v>45777.0</v>
      </c>
      <c r="R76" s="164">
        <v>45784.0</v>
      </c>
      <c r="S76" s="164">
        <v>45805.0</v>
      </c>
      <c r="T76" s="164">
        <v>45822.0</v>
      </c>
      <c r="U76" s="164"/>
      <c r="V76" s="164"/>
      <c r="W76" s="164"/>
      <c r="X76" s="164"/>
      <c r="Y76" s="164"/>
      <c r="Z76" s="164"/>
      <c r="AA76" s="165">
        <f t="shared" si="5"/>
        <v>45822</v>
      </c>
      <c r="AB76" s="160" t="s">
        <v>1144</v>
      </c>
      <c r="AC76" s="174"/>
      <c r="AD76" s="166"/>
      <c r="AE76" s="156" t="str">
        <f t="shared" si="6"/>
        <v/>
      </c>
      <c r="AF76" s="107" t="str">
        <f t="shared" si="7"/>
        <v/>
      </c>
      <c r="AG76" s="107" t="str">
        <f t="shared" si="8"/>
        <v/>
      </c>
      <c r="AH76" s="107" t="str">
        <f t="shared" si="9"/>
        <v/>
      </c>
      <c r="AI76" s="157">
        <f t="shared" si="10"/>
        <v>58</v>
      </c>
      <c r="AJ76" s="158"/>
      <c r="AK76" s="159"/>
      <c r="AL76" s="158"/>
      <c r="AM76" s="158">
        <f t="shared" si="11"/>
        <v>0</v>
      </c>
    </row>
    <row r="77" ht="22.5" customHeight="1">
      <c r="A77" s="10"/>
      <c r="B77" s="160" t="s">
        <v>86</v>
      </c>
      <c r="C77" s="160" t="s">
        <v>1131</v>
      </c>
      <c r="D77" s="161">
        <v>45795.0</v>
      </c>
      <c r="E77" s="124" t="str">
        <f t="shared" si="1"/>
        <v>2025</v>
      </c>
      <c r="F77" s="124" t="str">
        <f t="shared" si="2"/>
        <v>05 Mei</v>
      </c>
      <c r="G77" s="124" t="str">
        <f t="shared" si="3"/>
        <v>Minggu</v>
      </c>
      <c r="H77" s="160" t="s">
        <v>189</v>
      </c>
      <c r="I77" s="125" t="str">
        <f t="array" ref="I77">IFNA(XLOOKUP($H77,'🙎‍♂️ Pasien'!$G$7:$G658,'🙎‍♂️ Pasien'!$H$7:$H658),"")</f>
        <v>A6025048900</v>
      </c>
      <c r="J77" s="125" t="str">
        <f t="array" ref="J77">IFNA(XLOOKUP($H77,'🙎‍♂️ Pasien'!$G$7:$G658,'🙎‍♂️ Pasien'!$L$7:$L658),"")</f>
        <v>LAKI-LAKI</v>
      </c>
      <c r="K77" s="125">
        <f t="array" ref="K77">IFNA(XLOOKUP($H77,'🙎‍♂️ Pasien'!$G$7:$G658,'🙎‍♂️ Pasien'!$I$7:$I658),"")</f>
        <v>66</v>
      </c>
      <c r="L77" s="160" t="s">
        <v>81</v>
      </c>
      <c r="M77" s="162" t="str">
        <f t="array" ref="M77">IFNA(XLOOKUP(L77,'⚙️ Pengaturan'!$H$5:$H658,'⚙️ Pengaturan'!$I$5:$I658),"")</f>
        <v>MANAJEMEN</v>
      </c>
      <c r="N77" s="160" t="s">
        <v>1137</v>
      </c>
      <c r="O77" s="160" t="s">
        <v>1139</v>
      </c>
      <c r="P77" s="153">
        <f t="shared" si="4"/>
        <v>10</v>
      </c>
      <c r="Q77" s="164">
        <v>45795.0</v>
      </c>
      <c r="R77" s="164">
        <v>45799.0</v>
      </c>
      <c r="S77" s="164">
        <v>45811.0</v>
      </c>
      <c r="T77" s="164">
        <v>45813.0</v>
      </c>
      <c r="U77" s="164">
        <v>45816.0</v>
      </c>
      <c r="V77" s="164">
        <v>45817.0</v>
      </c>
      <c r="W77" s="164">
        <v>45818.0</v>
      </c>
      <c r="X77" s="164">
        <v>45820.0</v>
      </c>
      <c r="Y77" s="164">
        <v>45831.0</v>
      </c>
      <c r="Z77" s="164">
        <v>45853.0</v>
      </c>
      <c r="AA77" s="165">
        <f t="shared" si="5"/>
        <v>45853</v>
      </c>
      <c r="AB77" s="160" t="s">
        <v>1134</v>
      </c>
      <c r="AC77" s="160" t="s">
        <v>1138</v>
      </c>
      <c r="AD77" s="166"/>
      <c r="AE77" s="156">
        <f t="shared" si="6"/>
        <v>45853</v>
      </c>
      <c r="AF77" s="107" t="str">
        <f t="shared" si="7"/>
        <v>2025</v>
      </c>
      <c r="AG77" s="107" t="str">
        <f t="shared" si="8"/>
        <v>07 Jul</v>
      </c>
      <c r="AH77" s="107" t="str">
        <f t="shared" si="9"/>
        <v>Sel</v>
      </c>
      <c r="AI77" s="157">
        <f t="shared" si="10"/>
        <v>9</v>
      </c>
      <c r="AJ77" s="158"/>
      <c r="AK77" s="159"/>
      <c r="AL77" s="158"/>
      <c r="AM77" s="158">
        <f t="shared" si="11"/>
        <v>0</v>
      </c>
    </row>
    <row r="78" ht="22.5" customHeight="1">
      <c r="A78" s="10"/>
      <c r="B78" s="160" t="s">
        <v>86</v>
      </c>
      <c r="C78" s="160" t="s">
        <v>1131</v>
      </c>
      <c r="D78" s="161">
        <v>45859.0</v>
      </c>
      <c r="E78" s="124" t="str">
        <f t="shared" si="1"/>
        <v>2025</v>
      </c>
      <c r="F78" s="124" t="str">
        <f t="shared" si="2"/>
        <v>07 Jul</v>
      </c>
      <c r="G78" s="124" t="str">
        <f t="shared" si="3"/>
        <v>Senin</v>
      </c>
      <c r="H78" s="158" t="s">
        <v>189</v>
      </c>
      <c r="I78" s="125" t="str">
        <f t="array" ref="I78">IFNA(XLOOKUP($H78,'🙎‍♂️ Pasien'!$G$7:$G658,'🙎‍♂️ Pasien'!$H$7:$H658),"")</f>
        <v>A6025048900</v>
      </c>
      <c r="J78" s="125" t="str">
        <f t="array" ref="J78">IFNA(XLOOKUP($H78,'🙎‍♂️ Pasien'!$G$7:$G658,'🙎‍♂️ Pasien'!$L$7:$L658),"")</f>
        <v>LAKI-LAKI</v>
      </c>
      <c r="K78" s="125">
        <f t="array" ref="K78">IFNA(XLOOKUP($H78,'🙎‍♂️ Pasien'!$G$7:$G658,'🙎‍♂️ Pasien'!$I$7:$I658),"")</f>
        <v>66</v>
      </c>
      <c r="L78" s="160" t="s">
        <v>81</v>
      </c>
      <c r="M78" s="162" t="str">
        <f t="array" ref="M78">IFNA(XLOOKUP(L78,'⚙️ Pengaturan'!$H$5:$H658,'⚙️ Pengaturan'!$I$5:$I658),"")</f>
        <v>MANAJEMEN</v>
      </c>
      <c r="N78" s="163" t="s">
        <v>1137</v>
      </c>
      <c r="O78" s="160" t="s">
        <v>1139</v>
      </c>
      <c r="P78" s="153">
        <f t="shared" si="4"/>
        <v>10</v>
      </c>
      <c r="Q78" s="164">
        <v>45859.0</v>
      </c>
      <c r="R78" s="164">
        <v>45861.0</v>
      </c>
      <c r="S78" s="164">
        <v>45888.0</v>
      </c>
      <c r="T78" s="164">
        <v>45893.0</v>
      </c>
      <c r="U78" s="164">
        <v>45899.0</v>
      </c>
      <c r="V78" s="164">
        <v>45921.0</v>
      </c>
      <c r="W78" s="164">
        <v>45927.0</v>
      </c>
      <c r="X78" s="164">
        <v>45937.0</v>
      </c>
      <c r="Y78" s="164">
        <v>45941.0</v>
      </c>
      <c r="Z78" s="164">
        <v>45945.0</v>
      </c>
      <c r="AA78" s="165">
        <f t="shared" si="5"/>
        <v>45945</v>
      </c>
      <c r="AB78" s="160" t="s">
        <v>1134</v>
      </c>
      <c r="AC78" s="160" t="s">
        <v>1138</v>
      </c>
      <c r="AD78" s="166"/>
      <c r="AE78" s="156">
        <f t="shared" si="6"/>
        <v>45945</v>
      </c>
      <c r="AF78" s="107" t="str">
        <f t="shared" si="7"/>
        <v>2025</v>
      </c>
      <c r="AG78" s="107" t="str">
        <f t="shared" si="8"/>
        <v>10 Okt</v>
      </c>
      <c r="AH78" s="107" t="str">
        <f t="shared" si="9"/>
        <v>Rab</v>
      </c>
      <c r="AI78" s="157">
        <f t="shared" si="10"/>
        <v>13</v>
      </c>
      <c r="AJ78" s="158"/>
      <c r="AK78" s="159"/>
      <c r="AL78" s="158"/>
      <c r="AM78" s="158">
        <f t="shared" si="11"/>
        <v>0</v>
      </c>
    </row>
    <row r="79" ht="22.5" customHeight="1">
      <c r="A79" s="10"/>
      <c r="B79" s="160" t="s">
        <v>86</v>
      </c>
      <c r="C79" s="160" t="s">
        <v>1131</v>
      </c>
      <c r="D79" s="161">
        <v>45948.0</v>
      </c>
      <c r="E79" s="124" t="str">
        <f t="shared" si="1"/>
        <v>2025</v>
      </c>
      <c r="F79" s="124" t="str">
        <f t="shared" si="2"/>
        <v>10 Okt</v>
      </c>
      <c r="G79" s="124" t="str">
        <f t="shared" si="3"/>
        <v>Sabtu</v>
      </c>
      <c r="H79" s="158" t="s">
        <v>189</v>
      </c>
      <c r="I79" s="125" t="str">
        <f t="array" ref="I79">IFNA(XLOOKUP($H79,'🙎‍♂️ Pasien'!$G$7:$G658,'🙎‍♂️ Pasien'!$H$7:$H658),"")</f>
        <v>A6025048900</v>
      </c>
      <c r="J79" s="125" t="str">
        <f t="array" ref="J79">IFNA(XLOOKUP($H79,'🙎‍♂️ Pasien'!$G$7:$G658,'🙎‍♂️ Pasien'!$L$7:$L658),"")</f>
        <v>LAKI-LAKI</v>
      </c>
      <c r="K79" s="125">
        <f t="array" ref="K79">IFNA(XLOOKUP($H79,'🙎‍♂️ Pasien'!$G$7:$G658,'🙎‍♂️ Pasien'!$I$7:$I658),"")</f>
        <v>66</v>
      </c>
      <c r="L79" s="160" t="s">
        <v>81</v>
      </c>
      <c r="M79" s="162" t="str">
        <f t="array" ref="M79">IFNA(XLOOKUP(L79,'⚙️ Pengaturan'!$H$5:$H658,'⚙️ Pengaturan'!$I$5:$I658),"")</f>
        <v>MANAJEMEN</v>
      </c>
      <c r="N79" s="163" t="s">
        <v>1137</v>
      </c>
      <c r="O79" s="160" t="s">
        <v>1139</v>
      </c>
      <c r="P79" s="153">
        <f t="shared" si="4"/>
        <v>6</v>
      </c>
      <c r="Q79" s="175">
        <v>45951.0</v>
      </c>
      <c r="R79" s="175">
        <v>45967.0</v>
      </c>
      <c r="S79" s="175">
        <v>45975.0</v>
      </c>
      <c r="T79" s="164">
        <v>45995.0</v>
      </c>
      <c r="U79" s="164">
        <v>45997.0</v>
      </c>
      <c r="V79" s="164">
        <v>46006.0</v>
      </c>
      <c r="W79" s="164"/>
      <c r="X79" s="164"/>
      <c r="Y79" s="164"/>
      <c r="Z79" s="164"/>
      <c r="AA79" s="165">
        <f t="shared" si="5"/>
        <v>46006</v>
      </c>
      <c r="AB79" s="160" t="s">
        <v>1144</v>
      </c>
      <c r="AC79" s="174"/>
      <c r="AD79" s="166"/>
      <c r="AE79" s="156" t="str">
        <f t="shared" si="6"/>
        <v/>
      </c>
      <c r="AF79" s="107" t="str">
        <f t="shared" si="7"/>
        <v/>
      </c>
      <c r="AG79" s="107" t="str">
        <f t="shared" si="8"/>
        <v/>
      </c>
      <c r="AH79" s="107" t="str">
        <f t="shared" si="9"/>
        <v/>
      </c>
      <c r="AI79" s="157">
        <f t="shared" si="10"/>
        <v>33</v>
      </c>
      <c r="AJ79" s="158"/>
      <c r="AK79" s="159"/>
      <c r="AL79" s="158"/>
      <c r="AM79" s="158">
        <f t="shared" si="11"/>
        <v>0</v>
      </c>
    </row>
    <row r="80" ht="22.5" customHeight="1">
      <c r="A80" s="10"/>
      <c r="B80" s="20"/>
      <c r="C80" s="20"/>
      <c r="D80" s="123">
        <v>45609.0</v>
      </c>
      <c r="E80" s="124" t="str">
        <f t="shared" si="1"/>
        <v>2024</v>
      </c>
      <c r="F80" s="124" t="str">
        <f t="shared" si="2"/>
        <v>11 Nov</v>
      </c>
      <c r="G80" s="124" t="str">
        <f t="shared" si="3"/>
        <v>Rabu</v>
      </c>
      <c r="H80" s="16" t="s">
        <v>1189</v>
      </c>
      <c r="I80" s="125" t="str">
        <f t="array" ref="I80">IFNA(XLOOKUP($H80,'🙎‍♂️ Pasien'!$G$7:$G658,'🙎‍♂️ Pasien'!$H$7:$H658),"")</f>
        <v>A9524112021</v>
      </c>
      <c r="J80" s="125" t="str">
        <f t="array" ref="J80">IFNA(XLOOKUP($H80,'🙎‍♂️ Pasien'!$G$7:$G658,'🙎‍♂️ Pasien'!$L$7:$L658),"")</f>
        <v>LAKI-LAKI</v>
      </c>
      <c r="K80" s="125">
        <f t="array" ref="K80">IFNA(XLOOKUP($H80,'🙎‍♂️ Pasien'!$G$7:$G658,'🙎‍♂️ Pasien'!$I$7:$I658),"")</f>
        <v>30</v>
      </c>
      <c r="L80" s="16" t="s">
        <v>607</v>
      </c>
      <c r="M80" s="125" t="str">
        <f t="array" ref="M80">IFNA(XLOOKUP(L80,'⚙️ Pengaturan'!$H$5:$H658,'⚙️ Pengaturan'!$I$5:$I658),"")</f>
        <v/>
      </c>
      <c r="N80" s="16" t="s">
        <v>1132</v>
      </c>
      <c r="O80" s="16" t="s">
        <v>1133</v>
      </c>
      <c r="P80" s="153">
        <f t="shared" si="4"/>
        <v>4</v>
      </c>
      <c r="Q80" s="154">
        <v>45609.0</v>
      </c>
      <c r="R80" s="154">
        <v>45612.0</v>
      </c>
      <c r="S80" s="154">
        <v>45633.0</v>
      </c>
      <c r="T80" s="154">
        <v>45633.0</v>
      </c>
      <c r="U80" s="154"/>
      <c r="V80" s="154"/>
      <c r="W80" s="154"/>
      <c r="X80" s="154"/>
      <c r="Y80" s="154"/>
      <c r="Z80" s="154"/>
      <c r="AA80" s="155">
        <f t="shared" si="5"/>
        <v>45633</v>
      </c>
      <c r="AB80" s="16" t="s">
        <v>1144</v>
      </c>
      <c r="AC80" s="20"/>
      <c r="AD80" s="170"/>
      <c r="AE80" s="156" t="str">
        <f t="shared" si="6"/>
        <v/>
      </c>
      <c r="AF80" s="107" t="str">
        <f t="shared" si="7"/>
        <v/>
      </c>
      <c r="AG80" s="107" t="str">
        <f t="shared" si="8"/>
        <v/>
      </c>
      <c r="AH80" s="107" t="str">
        <f t="shared" si="9"/>
        <v/>
      </c>
      <c r="AI80" s="157">
        <f t="shared" si="10"/>
        <v>82</v>
      </c>
      <c r="AJ80" s="158"/>
      <c r="AK80" s="159"/>
      <c r="AL80" s="158"/>
      <c r="AM80" s="158">
        <f t="shared" si="11"/>
        <v>0</v>
      </c>
    </row>
    <row r="81" ht="22.5" customHeight="1">
      <c r="A81" s="10"/>
      <c r="B81" s="160" t="s">
        <v>446</v>
      </c>
      <c r="C81" s="172"/>
      <c r="D81" s="161">
        <v>45788.0</v>
      </c>
      <c r="E81" s="124" t="str">
        <f t="shared" si="1"/>
        <v>2025</v>
      </c>
      <c r="F81" s="124" t="str">
        <f t="shared" si="2"/>
        <v>05 Mei</v>
      </c>
      <c r="G81" s="124" t="str">
        <f t="shared" si="3"/>
        <v>Minggu</v>
      </c>
      <c r="H81" s="160" t="s">
        <v>1190</v>
      </c>
      <c r="I81" s="125" t="str">
        <f t="array" ref="I81">IFNA(XLOOKUP($H81,'🙎‍♂️ Pasien'!$G$7:$G658,'🙎‍♂️ Pasien'!$H$7:$H658),"")</f>
        <v>A7325053389</v>
      </c>
      <c r="J81" s="125" t="str">
        <f t="array" ref="J81">IFNA(XLOOKUP($H81,'🙎‍♂️ Pasien'!$G$7:$G658,'🙎‍♂️ Pasien'!$L$7:$L658),"")</f>
        <v>LAKI-LAKI</v>
      </c>
      <c r="K81" s="125">
        <f t="array" ref="K81">IFNA(XLOOKUP($H81,'🙎‍♂️ Pasien'!$G$7:$G658,'🙎‍♂️ Pasien'!$I$7:$I658),"")</f>
        <v>53</v>
      </c>
      <c r="L81" s="160" t="s">
        <v>88</v>
      </c>
      <c r="M81" s="162" t="str">
        <f t="array" ref="M81">IFNA(XLOOKUP(L81,'⚙️ Pengaturan'!$H$5:$H658,'⚙️ Pengaturan'!$I$5:$I658),"")</f>
        <v>TIM Y</v>
      </c>
      <c r="N81" s="160" t="s">
        <v>1132</v>
      </c>
      <c r="O81" s="160" t="s">
        <v>1133</v>
      </c>
      <c r="P81" s="153">
        <f t="shared" si="4"/>
        <v>3</v>
      </c>
      <c r="Q81" s="164">
        <v>45788.0</v>
      </c>
      <c r="R81" s="164">
        <v>45790.0</v>
      </c>
      <c r="S81" s="164">
        <v>45793.0</v>
      </c>
      <c r="T81" s="164"/>
      <c r="U81" s="164"/>
      <c r="V81" s="164"/>
      <c r="W81" s="164"/>
      <c r="X81" s="164"/>
      <c r="Y81" s="164"/>
      <c r="Z81" s="164"/>
      <c r="AA81" s="165">
        <f t="shared" si="5"/>
        <v>45793</v>
      </c>
      <c r="AB81" s="160" t="s">
        <v>1144</v>
      </c>
      <c r="AC81" s="174"/>
      <c r="AD81" s="166"/>
      <c r="AE81" s="156" t="str">
        <f t="shared" si="6"/>
        <v/>
      </c>
      <c r="AF81" s="107" t="str">
        <f t="shared" si="7"/>
        <v/>
      </c>
      <c r="AG81" s="107" t="str">
        <f t="shared" si="8"/>
        <v/>
      </c>
      <c r="AH81" s="107" t="str">
        <f t="shared" si="9"/>
        <v/>
      </c>
      <c r="AI81" s="157">
        <f t="shared" si="10"/>
        <v>57</v>
      </c>
      <c r="AJ81" s="158"/>
      <c r="AK81" s="159"/>
      <c r="AL81" s="158"/>
      <c r="AM81" s="158">
        <f t="shared" si="11"/>
        <v>0</v>
      </c>
    </row>
    <row r="82" ht="22.5" customHeight="1">
      <c r="A82" s="10"/>
      <c r="B82" s="16" t="s">
        <v>54</v>
      </c>
      <c r="C82" s="16" t="s">
        <v>1131</v>
      </c>
      <c r="D82" s="123">
        <v>45937.0</v>
      </c>
      <c r="E82" s="124" t="str">
        <f t="shared" si="1"/>
        <v>2025</v>
      </c>
      <c r="F82" s="124" t="str">
        <f t="shared" si="2"/>
        <v>10 Okt</v>
      </c>
      <c r="G82" s="124" t="str">
        <f t="shared" si="3"/>
        <v>Selasa</v>
      </c>
      <c r="H82" s="16" t="s">
        <v>190</v>
      </c>
      <c r="I82" s="125" t="str">
        <f t="array" ref="I82">IFNA(XLOOKUP($H82,'🙎‍♂️ Pasien'!$G$7:$G658,'🙎‍♂️ Pasien'!$H$7:$H658),"")</f>
        <v>A9025108786</v>
      </c>
      <c r="J82" s="125" t="str">
        <f t="array" ref="J82">IFNA(XLOOKUP($H82,'🙎‍♂️ Pasien'!$G$7:$G658,'🙎‍♂️ Pasien'!$L$7:$L658),"")</f>
        <v>LAKI-LAKI</v>
      </c>
      <c r="K82" s="125">
        <f t="array" ref="K82">IFNA(XLOOKUP($H82,'🙎‍♂️ Pasien'!$G$7:$G658,'🙎‍♂️ Pasien'!$I$7:$I658),"")</f>
        <v>35</v>
      </c>
      <c r="L82" s="16" t="s">
        <v>91</v>
      </c>
      <c r="M82" s="125" t="str">
        <f t="array" ref="M82">IFNA(XLOOKUP(L82,'⚙️ Pengaturan'!$H$5:$H658,'⚙️ Pengaturan'!$I$5:$I658),"")</f>
        <v>TIM Y</v>
      </c>
      <c r="N82" s="16" t="s">
        <v>1132</v>
      </c>
      <c r="O82" s="16" t="s">
        <v>1133</v>
      </c>
      <c r="P82" s="153">
        <f t="shared" si="4"/>
        <v>5</v>
      </c>
      <c r="Q82" s="154">
        <v>45937.0</v>
      </c>
      <c r="R82" s="154">
        <v>45944.0</v>
      </c>
      <c r="S82" s="154">
        <v>45946.0</v>
      </c>
      <c r="T82" s="154">
        <v>45951.0</v>
      </c>
      <c r="U82" s="154">
        <v>45967.0</v>
      </c>
      <c r="V82" s="154"/>
      <c r="W82" s="154"/>
      <c r="X82" s="154"/>
      <c r="Y82" s="154"/>
      <c r="Z82" s="154"/>
      <c r="AA82" s="155">
        <f t="shared" si="5"/>
        <v>45967</v>
      </c>
      <c r="AB82" s="16" t="s">
        <v>1134</v>
      </c>
      <c r="AC82" s="16" t="s">
        <v>1138</v>
      </c>
      <c r="AD82" s="170"/>
      <c r="AE82" s="156">
        <f t="shared" si="6"/>
        <v>45967</v>
      </c>
      <c r="AF82" s="107" t="str">
        <f t="shared" si="7"/>
        <v>2025</v>
      </c>
      <c r="AG82" s="107" t="str">
        <f t="shared" si="8"/>
        <v>11 Nov</v>
      </c>
      <c r="AH82" s="107" t="str">
        <f t="shared" si="9"/>
        <v>Kam</v>
      </c>
      <c r="AI82" s="157">
        <f t="shared" si="10"/>
        <v>5</v>
      </c>
      <c r="AJ82" s="158"/>
      <c r="AK82" s="159"/>
      <c r="AL82" s="158"/>
      <c r="AM82" s="158">
        <f t="shared" si="11"/>
        <v>0</v>
      </c>
    </row>
    <row r="83" ht="22.5" customHeight="1">
      <c r="A83" s="10"/>
      <c r="B83" s="16" t="s">
        <v>54</v>
      </c>
      <c r="C83" s="16" t="s">
        <v>1170</v>
      </c>
      <c r="D83" s="123">
        <v>45972.0</v>
      </c>
      <c r="E83" s="124" t="str">
        <f t="shared" si="1"/>
        <v>2025</v>
      </c>
      <c r="F83" s="124" t="str">
        <f t="shared" si="2"/>
        <v>11 Nov</v>
      </c>
      <c r="G83" s="124" t="str">
        <f t="shared" si="3"/>
        <v>Selasa</v>
      </c>
      <c r="H83" s="16" t="s">
        <v>190</v>
      </c>
      <c r="I83" s="125" t="str">
        <f t="array" ref="I83">IFNA(XLOOKUP($H83,'🙎‍♂️ Pasien'!$G$7:$G658,'🙎‍♂️ Pasien'!$H$7:$H658),"")</f>
        <v>A9025108786</v>
      </c>
      <c r="J83" s="125" t="str">
        <f t="array" ref="J83">IFNA(XLOOKUP($H83,'🙎‍♂️ Pasien'!$G$7:$G658,'🙎‍♂️ Pasien'!$L$7:$L658),"")</f>
        <v>LAKI-LAKI</v>
      </c>
      <c r="K83" s="125">
        <f t="array" ref="K83">IFNA(XLOOKUP($H83,'🙎‍♂️ Pasien'!$G$7:$G658,'🙎‍♂️ Pasien'!$I$7:$I658),"")</f>
        <v>35</v>
      </c>
      <c r="L83" s="16" t="s">
        <v>91</v>
      </c>
      <c r="M83" s="125" t="str">
        <f t="array" ref="M83">IFNA(XLOOKUP(L83,'⚙️ Pengaturan'!$H$5:$H658,'⚙️ Pengaturan'!$I$5:$I658),"")</f>
        <v>TIM Y</v>
      </c>
      <c r="N83" s="16" t="s">
        <v>1132</v>
      </c>
      <c r="O83" s="16" t="s">
        <v>1139</v>
      </c>
      <c r="P83" s="153">
        <f t="shared" si="4"/>
        <v>2</v>
      </c>
      <c r="Q83" s="154">
        <v>45972.0</v>
      </c>
      <c r="R83" s="154">
        <v>45980.0</v>
      </c>
      <c r="S83" s="154"/>
      <c r="T83" s="154"/>
      <c r="U83" s="154"/>
      <c r="V83" s="154"/>
      <c r="W83" s="154"/>
      <c r="X83" s="154"/>
      <c r="Y83" s="154"/>
      <c r="Z83" s="154"/>
      <c r="AA83" s="155">
        <f t="shared" si="5"/>
        <v>45980</v>
      </c>
      <c r="AB83" s="16" t="s">
        <v>1144</v>
      </c>
      <c r="AC83" s="20"/>
      <c r="AD83" s="170"/>
      <c r="AE83" s="156" t="str">
        <f t="shared" si="6"/>
        <v/>
      </c>
      <c r="AF83" s="107" t="str">
        <f t="shared" si="7"/>
        <v/>
      </c>
      <c r="AG83" s="107" t="str">
        <f t="shared" si="8"/>
        <v/>
      </c>
      <c r="AH83" s="107" t="str">
        <f t="shared" si="9"/>
        <v/>
      </c>
      <c r="AI83" s="157">
        <f t="shared" si="10"/>
        <v>30</v>
      </c>
      <c r="AJ83" s="158"/>
      <c r="AK83" s="159"/>
      <c r="AL83" s="158"/>
      <c r="AM83" s="158">
        <f t="shared" si="11"/>
        <v>0</v>
      </c>
    </row>
    <row r="84" ht="22.5" customHeight="1">
      <c r="A84" s="10"/>
      <c r="B84" s="20"/>
      <c r="C84" s="20"/>
      <c r="D84" s="123">
        <v>45613.0</v>
      </c>
      <c r="E84" s="124" t="str">
        <f t="shared" si="1"/>
        <v>2024</v>
      </c>
      <c r="F84" s="124" t="str">
        <f t="shared" si="2"/>
        <v>11 Nov</v>
      </c>
      <c r="G84" s="124" t="str">
        <f t="shared" si="3"/>
        <v>Minggu</v>
      </c>
      <c r="H84" s="16" t="s">
        <v>1191</v>
      </c>
      <c r="I84" s="125" t="str">
        <f t="array" ref="I84">IFNA(XLOOKUP($H84,'🙎‍♂️ Pasien'!$G$7:$G658,'🙎‍♂️ Pasien'!$H$7:$H658),"")</f>
        <v>A9524119414</v>
      </c>
      <c r="J84" s="125" t="str">
        <f t="array" ref="J84">IFNA(XLOOKUP($H84,'🙎‍♂️ Pasien'!$G$7:$G658,'🙎‍♂️ Pasien'!$L$7:$L658),"")</f>
        <v>LAKI-LAKI</v>
      </c>
      <c r="K84" s="125">
        <f t="array" ref="K84">IFNA(XLOOKUP($H84,'🙎‍♂️ Pasien'!$G$7:$G658,'🙎‍♂️ Pasien'!$I$7:$I658),"")</f>
        <v>30</v>
      </c>
      <c r="L84" s="16" t="s">
        <v>1149</v>
      </c>
      <c r="M84" s="125" t="str">
        <f t="array" ref="M84">IFNA(XLOOKUP(L84,'⚙️ Pengaturan'!$H$5:$H658,'⚙️ Pengaturan'!$I$5:$I658),"")</f>
        <v/>
      </c>
      <c r="N84" s="16" t="s">
        <v>1132</v>
      </c>
      <c r="O84" s="16" t="s">
        <v>1133</v>
      </c>
      <c r="P84" s="153">
        <f t="shared" si="4"/>
        <v>1</v>
      </c>
      <c r="Q84" s="154">
        <v>45613.0</v>
      </c>
      <c r="R84" s="154"/>
      <c r="S84" s="154"/>
      <c r="T84" s="154"/>
      <c r="U84" s="154"/>
      <c r="V84" s="154"/>
      <c r="W84" s="154"/>
      <c r="X84" s="154"/>
      <c r="Y84" s="154"/>
      <c r="Z84" s="154"/>
      <c r="AA84" s="155">
        <f t="shared" si="5"/>
        <v>45613</v>
      </c>
      <c r="AB84" s="16" t="s">
        <v>1144</v>
      </c>
      <c r="AC84" s="20"/>
      <c r="AD84" s="170"/>
      <c r="AE84" s="156" t="str">
        <f t="shared" si="6"/>
        <v/>
      </c>
      <c r="AF84" s="107" t="str">
        <f t="shared" si="7"/>
        <v/>
      </c>
      <c r="AG84" s="107" t="str">
        <f t="shared" si="8"/>
        <v/>
      </c>
      <c r="AH84" s="107" t="str">
        <f t="shared" si="9"/>
        <v/>
      </c>
      <c r="AI84" s="157">
        <f t="shared" si="10"/>
        <v>82</v>
      </c>
      <c r="AJ84" s="158"/>
      <c r="AK84" s="159"/>
      <c r="AL84" s="158"/>
      <c r="AM84" s="158">
        <f t="shared" si="11"/>
        <v>0</v>
      </c>
    </row>
    <row r="85" ht="22.5" customHeight="1">
      <c r="A85" s="10"/>
      <c r="B85" s="160" t="s">
        <v>54</v>
      </c>
      <c r="C85" s="160" t="s">
        <v>1131</v>
      </c>
      <c r="D85" s="161">
        <v>45823.0</v>
      </c>
      <c r="E85" s="124" t="str">
        <f t="shared" si="1"/>
        <v>2025</v>
      </c>
      <c r="F85" s="124" t="str">
        <f t="shared" si="2"/>
        <v>06 Jun</v>
      </c>
      <c r="G85" s="124" t="str">
        <f t="shared" si="3"/>
        <v>Minggu</v>
      </c>
      <c r="H85" s="160" t="s">
        <v>693</v>
      </c>
      <c r="I85" s="125" t="str">
        <f t="array" ref="I85">IFNA(XLOOKUP($H85,'🙎‍♂️ Pasien'!$G$7:$G658,'🙎‍♂️ Pasien'!$H$7:$H658),"")</f>
        <v>A6825060057</v>
      </c>
      <c r="J85" s="125" t="str">
        <f t="array" ref="J85">IFNA(XLOOKUP($H85,'🙎‍♂️ Pasien'!$G$7:$G658,'🙎‍♂️ Pasien'!$L$7:$L658),"")</f>
        <v>LAKI-LAKI</v>
      </c>
      <c r="K85" s="125">
        <f t="array" ref="K85">IFNA(XLOOKUP($H85,'🙎‍♂️ Pasien'!$G$7:$G658,'🙎‍♂️ Pasien'!$I$7:$I658),"")</f>
        <v>58</v>
      </c>
      <c r="L85" s="160" t="s">
        <v>56</v>
      </c>
      <c r="M85" s="162" t="str">
        <f t="array" ref="M85">IFNA(XLOOKUP(L85,'⚙️ Pengaturan'!$H$5:$H658,'⚙️ Pengaturan'!$I$5:$I658),"")</f>
        <v>TIM Y</v>
      </c>
      <c r="N85" s="163" t="s">
        <v>1132</v>
      </c>
      <c r="O85" s="160" t="s">
        <v>1133</v>
      </c>
      <c r="P85" s="153">
        <f t="shared" si="4"/>
        <v>4</v>
      </c>
      <c r="Q85" s="164">
        <v>45823.0</v>
      </c>
      <c r="R85" s="164">
        <v>45825.0</v>
      </c>
      <c r="S85" s="164">
        <v>45829.0</v>
      </c>
      <c r="T85" s="164">
        <v>45832.0</v>
      </c>
      <c r="U85" s="164"/>
      <c r="V85" s="164"/>
      <c r="W85" s="164"/>
      <c r="X85" s="164"/>
      <c r="Y85" s="164"/>
      <c r="Z85" s="164"/>
      <c r="AA85" s="165">
        <f t="shared" si="5"/>
        <v>45832</v>
      </c>
      <c r="AB85" s="160" t="s">
        <v>1144</v>
      </c>
      <c r="AC85" s="174"/>
      <c r="AD85" s="166"/>
      <c r="AE85" s="156" t="str">
        <f t="shared" si="6"/>
        <v/>
      </c>
      <c r="AF85" s="107" t="str">
        <f t="shared" si="7"/>
        <v/>
      </c>
      <c r="AG85" s="107" t="str">
        <f t="shared" si="8"/>
        <v/>
      </c>
      <c r="AH85" s="107" t="str">
        <f t="shared" si="9"/>
        <v/>
      </c>
      <c r="AI85" s="157">
        <f t="shared" si="10"/>
        <v>52</v>
      </c>
      <c r="AJ85" s="158"/>
      <c r="AK85" s="159"/>
      <c r="AL85" s="158"/>
      <c r="AM85" s="158">
        <f t="shared" si="11"/>
        <v>0</v>
      </c>
    </row>
    <row r="86" ht="22.5" customHeight="1">
      <c r="A86" s="10"/>
      <c r="B86" s="16" t="s">
        <v>86</v>
      </c>
      <c r="C86" s="16" t="s">
        <v>1131</v>
      </c>
      <c r="D86" s="123">
        <v>45894.0</v>
      </c>
      <c r="E86" s="124" t="str">
        <f t="shared" si="1"/>
        <v>2025</v>
      </c>
      <c r="F86" s="124" t="str">
        <f t="shared" si="2"/>
        <v>08 Agu</v>
      </c>
      <c r="G86" s="124" t="str">
        <f t="shared" si="3"/>
        <v>Senin</v>
      </c>
      <c r="H86" s="16" t="s">
        <v>128</v>
      </c>
      <c r="I86" s="125" t="str">
        <f t="array" ref="I86">IFNA(XLOOKUP($H86,'🙎‍♂️ Pasien'!$G$7:$G658,'🙎‍♂️ Pasien'!$H$7:$H658),"")</f>
        <v>A9725086020</v>
      </c>
      <c r="J86" s="125" t="str">
        <f t="array" ref="J86">IFNA(XLOOKUP($H86,'🙎‍♂️ Pasien'!$G$7:$G658,'🙎‍♂️ Pasien'!$L$7:$L658),"")</f>
        <v>PEREMPUAN</v>
      </c>
      <c r="K86" s="125">
        <f t="array" ref="K86">IFNA(XLOOKUP($H86,'🙎‍♂️ Pasien'!$G$7:$G658,'🙎‍♂️ Pasien'!$I$7:$I658),"")</f>
        <v>28</v>
      </c>
      <c r="L86" s="16" t="s">
        <v>79</v>
      </c>
      <c r="M86" s="125" t="str">
        <f t="array" ref="M86">IFNA(XLOOKUP(L86,'⚙️ Pengaturan'!$H$5:$H658,'⚙️ Pengaturan'!$I$5:$I658),"")</f>
        <v>TIM A</v>
      </c>
      <c r="N86" s="16" t="s">
        <v>1132</v>
      </c>
      <c r="O86" s="16" t="s">
        <v>1133</v>
      </c>
      <c r="P86" s="153">
        <f t="shared" si="4"/>
        <v>5</v>
      </c>
      <c r="Q86" s="154">
        <v>45894.0</v>
      </c>
      <c r="R86" s="154">
        <v>45897.0</v>
      </c>
      <c r="S86" s="154">
        <v>45899.0</v>
      </c>
      <c r="T86" s="154">
        <v>45901.0</v>
      </c>
      <c r="U86" s="154">
        <v>45904.0</v>
      </c>
      <c r="V86" s="154"/>
      <c r="W86" s="154"/>
      <c r="X86" s="154"/>
      <c r="Y86" s="154"/>
      <c r="Z86" s="154"/>
      <c r="AA86" s="155">
        <f t="shared" si="5"/>
        <v>45904</v>
      </c>
      <c r="AB86" s="16" t="s">
        <v>1134</v>
      </c>
      <c r="AC86" s="16" t="s">
        <v>1138</v>
      </c>
      <c r="AD86" s="170"/>
      <c r="AE86" s="156">
        <f t="shared" si="6"/>
        <v>45904</v>
      </c>
      <c r="AF86" s="107" t="str">
        <f t="shared" si="7"/>
        <v>2025</v>
      </c>
      <c r="AG86" s="107" t="str">
        <f t="shared" si="8"/>
        <v>09 Sep</v>
      </c>
      <c r="AH86" s="107" t="str">
        <f t="shared" si="9"/>
        <v>Kam</v>
      </c>
      <c r="AI86" s="157">
        <f t="shared" si="10"/>
        <v>2</v>
      </c>
      <c r="AJ86" s="158"/>
      <c r="AK86" s="159"/>
      <c r="AL86" s="158"/>
      <c r="AM86" s="158">
        <f t="shared" si="11"/>
        <v>0</v>
      </c>
    </row>
    <row r="87" ht="22.5" customHeight="1">
      <c r="A87" s="10"/>
      <c r="B87" s="16" t="s">
        <v>86</v>
      </c>
      <c r="C87" s="16" t="s">
        <v>1131</v>
      </c>
      <c r="D87" s="123">
        <v>45906.0</v>
      </c>
      <c r="E87" s="124" t="str">
        <f t="shared" si="1"/>
        <v>2025</v>
      </c>
      <c r="F87" s="124" t="str">
        <f t="shared" si="2"/>
        <v>09 Sep</v>
      </c>
      <c r="G87" s="124" t="str">
        <f t="shared" si="3"/>
        <v>Sabtu</v>
      </c>
      <c r="H87" s="16" t="s">
        <v>128</v>
      </c>
      <c r="I87" s="125" t="str">
        <f t="array" ref="I87">IFNA(XLOOKUP($H87,'🙎‍♂️ Pasien'!$G$7:$G658,'🙎‍♂️ Pasien'!$H$7:$H658),"")</f>
        <v>A9725086020</v>
      </c>
      <c r="J87" s="125" t="str">
        <f t="array" ref="J87">IFNA(XLOOKUP($H87,'🙎‍♂️ Pasien'!$G$7:$G658,'🙎‍♂️ Pasien'!$L$7:$L658),"")</f>
        <v>PEREMPUAN</v>
      </c>
      <c r="K87" s="125">
        <f t="array" ref="K87">IFNA(XLOOKUP($H87,'🙎‍♂️ Pasien'!$G$7:$G658,'🙎‍♂️ Pasien'!$I$7:$I658),"")</f>
        <v>28</v>
      </c>
      <c r="L87" s="16" t="s">
        <v>79</v>
      </c>
      <c r="M87" s="125" t="str">
        <f t="array" ref="M87">IFNA(XLOOKUP(L87,'⚙️ Pengaturan'!$H$5:$H658,'⚙️ Pengaturan'!$I$5:$I658),"")</f>
        <v>TIM A</v>
      </c>
      <c r="N87" s="16" t="s">
        <v>1132</v>
      </c>
      <c r="O87" s="16" t="s">
        <v>1139</v>
      </c>
      <c r="P87" s="153">
        <f t="shared" si="4"/>
        <v>5</v>
      </c>
      <c r="Q87" s="154">
        <v>45906.0</v>
      </c>
      <c r="R87" s="154">
        <v>45908.0</v>
      </c>
      <c r="S87" s="154">
        <v>45913.0</v>
      </c>
      <c r="T87" s="154">
        <v>45915.0</v>
      </c>
      <c r="U87" s="154">
        <v>45918.0</v>
      </c>
      <c r="V87" s="154"/>
      <c r="W87" s="154"/>
      <c r="X87" s="154"/>
      <c r="Y87" s="154"/>
      <c r="Z87" s="154"/>
      <c r="AA87" s="155">
        <f t="shared" si="5"/>
        <v>45918</v>
      </c>
      <c r="AB87" s="16" t="s">
        <v>1134</v>
      </c>
      <c r="AC87" s="16" t="s">
        <v>1138</v>
      </c>
      <c r="AD87" s="109" t="s">
        <v>1192</v>
      </c>
      <c r="AE87" s="156">
        <f t="shared" si="6"/>
        <v>45918</v>
      </c>
      <c r="AF87" s="107" t="str">
        <f t="shared" si="7"/>
        <v>2025</v>
      </c>
      <c r="AG87" s="107" t="str">
        <f t="shared" si="8"/>
        <v>09 Sep</v>
      </c>
      <c r="AH87" s="107" t="str">
        <f t="shared" si="9"/>
        <v>Kam</v>
      </c>
      <c r="AI87" s="157">
        <f t="shared" si="10"/>
        <v>2</v>
      </c>
      <c r="AJ87" s="158"/>
      <c r="AK87" s="159"/>
      <c r="AL87" s="158"/>
      <c r="AM87" s="158">
        <f t="shared" si="11"/>
        <v>0</v>
      </c>
    </row>
    <row r="88" ht="22.5" customHeight="1">
      <c r="A88" s="10"/>
      <c r="B88" s="16" t="s">
        <v>54</v>
      </c>
      <c r="C88" s="16" t="s">
        <v>1131</v>
      </c>
      <c r="D88" s="123">
        <v>45929.0</v>
      </c>
      <c r="E88" s="124" t="str">
        <f t="shared" si="1"/>
        <v>2025</v>
      </c>
      <c r="F88" s="124" t="str">
        <f t="shared" si="2"/>
        <v>09 Sep</v>
      </c>
      <c r="G88" s="124" t="str">
        <f t="shared" si="3"/>
        <v>Senin</v>
      </c>
      <c r="H88" s="16" t="s">
        <v>128</v>
      </c>
      <c r="I88" s="125" t="str">
        <f t="array" ref="I88">IFNA(XLOOKUP($H88,'🙎‍♂️ Pasien'!$G$7:$G658,'🙎‍♂️ Pasien'!$H$7:$H658),"")</f>
        <v>A9725086020</v>
      </c>
      <c r="J88" s="125" t="str">
        <f t="array" ref="J88">IFNA(XLOOKUP($H88,'🙎‍♂️ Pasien'!$G$7:$G658,'🙎‍♂️ Pasien'!$L$7:$L658),"")</f>
        <v>PEREMPUAN</v>
      </c>
      <c r="K88" s="125">
        <f t="array" ref="K88">IFNA(XLOOKUP($H88,'🙎‍♂️ Pasien'!$G$7:$G658,'🙎‍♂️ Pasien'!$I$7:$I658),"")</f>
        <v>28</v>
      </c>
      <c r="L88" s="16" t="s">
        <v>79</v>
      </c>
      <c r="M88" s="125" t="str">
        <f t="array" ref="M88">IFNA(XLOOKUP(L88,'⚙️ Pengaturan'!$H$5:$H658,'⚙️ Pengaturan'!$I$5:$I658),"")</f>
        <v>TIM A</v>
      </c>
      <c r="N88" s="16" t="s">
        <v>1132</v>
      </c>
      <c r="O88" s="16" t="s">
        <v>1139</v>
      </c>
      <c r="P88" s="153">
        <f t="shared" si="4"/>
        <v>5</v>
      </c>
      <c r="Q88" s="154">
        <v>45929.0</v>
      </c>
      <c r="R88" s="154">
        <v>45932.0</v>
      </c>
      <c r="S88" s="154">
        <v>45934.0</v>
      </c>
      <c r="T88" s="154">
        <v>45936.0</v>
      </c>
      <c r="U88" s="154">
        <v>45939.0</v>
      </c>
      <c r="V88" s="154"/>
      <c r="W88" s="154"/>
      <c r="X88" s="154"/>
      <c r="Y88" s="154"/>
      <c r="Z88" s="154"/>
      <c r="AA88" s="155">
        <f t="shared" si="5"/>
        <v>45939</v>
      </c>
      <c r="AB88" s="16" t="s">
        <v>1134</v>
      </c>
      <c r="AC88" s="16" t="s">
        <v>1138</v>
      </c>
      <c r="AD88" s="109"/>
      <c r="AE88" s="156">
        <f t="shared" si="6"/>
        <v>45939</v>
      </c>
      <c r="AF88" s="107" t="str">
        <f t="shared" si="7"/>
        <v>2025</v>
      </c>
      <c r="AG88" s="107" t="str">
        <f t="shared" si="8"/>
        <v>10 Okt</v>
      </c>
      <c r="AH88" s="107" t="str">
        <f t="shared" si="9"/>
        <v>Kam</v>
      </c>
      <c r="AI88" s="157">
        <f t="shared" si="10"/>
        <v>2</v>
      </c>
      <c r="AJ88" s="158"/>
      <c r="AK88" s="159"/>
      <c r="AL88" s="158"/>
      <c r="AM88" s="158">
        <f t="shared" si="11"/>
        <v>0</v>
      </c>
    </row>
    <row r="89" ht="22.5" customHeight="1">
      <c r="A89" s="10"/>
      <c r="B89" s="16" t="s">
        <v>86</v>
      </c>
      <c r="C89" s="16" t="s">
        <v>1131</v>
      </c>
      <c r="D89" s="123">
        <v>45903.0</v>
      </c>
      <c r="E89" s="124" t="str">
        <f t="shared" si="1"/>
        <v>2025</v>
      </c>
      <c r="F89" s="124" t="str">
        <f t="shared" si="2"/>
        <v>09 Sep</v>
      </c>
      <c r="G89" s="124" t="str">
        <f t="shared" si="3"/>
        <v>Rabu</v>
      </c>
      <c r="H89" s="16" t="s">
        <v>1193</v>
      </c>
      <c r="I89" s="125" t="str">
        <f t="array" ref="I89">IFNA(XLOOKUP($H89,'🙎‍♂️ Pasien'!$G$7:$G658,'🙎‍♂️ Pasien'!$H$7:$H658),"")</f>
        <v>A1224069412</v>
      </c>
      <c r="J89" s="125" t="str">
        <f t="array" ref="J89">IFNA(XLOOKUP($H89,'🙎‍♂️ Pasien'!$G$7:$G658,'🙎‍♂️ Pasien'!$L$7:$L658),"")</f>
        <v>PEREMPUAN</v>
      </c>
      <c r="K89" s="125">
        <f t="array" ref="K89">IFNA(XLOOKUP($H89,'🙎‍♂️ Pasien'!$G$7:$G658,'🙎‍♂️ Pasien'!$I$7:$I658),"")</f>
        <v>13</v>
      </c>
      <c r="L89" s="16" t="s">
        <v>107</v>
      </c>
      <c r="M89" s="125" t="str">
        <f t="array" ref="M89">IFNA(XLOOKUP(L89,'⚙️ Pengaturan'!$H$5:$H658,'⚙️ Pengaturan'!$I$5:$I658),"")</f>
        <v>TIM Y</v>
      </c>
      <c r="N89" s="16" t="s">
        <v>1132</v>
      </c>
      <c r="O89" s="16" t="s">
        <v>1133</v>
      </c>
      <c r="P89" s="153">
        <f t="shared" si="4"/>
        <v>5</v>
      </c>
      <c r="Q89" s="154">
        <v>45903.0</v>
      </c>
      <c r="R89" s="154">
        <v>45906.0</v>
      </c>
      <c r="S89" s="154">
        <v>45908.0</v>
      </c>
      <c r="T89" s="154">
        <v>45910.0</v>
      </c>
      <c r="U89" s="154">
        <v>45913.0</v>
      </c>
      <c r="V89" s="154"/>
      <c r="W89" s="154"/>
      <c r="X89" s="154"/>
      <c r="Y89" s="154"/>
      <c r="Z89" s="154"/>
      <c r="AA89" s="155">
        <f t="shared" si="5"/>
        <v>45913</v>
      </c>
      <c r="AB89" s="16" t="s">
        <v>1134</v>
      </c>
      <c r="AC89" s="16" t="s">
        <v>1142</v>
      </c>
      <c r="AD89" s="170"/>
      <c r="AE89" s="156">
        <f t="shared" si="6"/>
        <v>45913</v>
      </c>
      <c r="AF89" s="107" t="str">
        <f t="shared" si="7"/>
        <v>2025</v>
      </c>
      <c r="AG89" s="107" t="str">
        <f t="shared" si="8"/>
        <v>09 Sep</v>
      </c>
      <c r="AH89" s="107" t="str">
        <f t="shared" si="9"/>
        <v>Sab</v>
      </c>
      <c r="AI89" s="157">
        <f t="shared" si="10"/>
        <v>2</v>
      </c>
      <c r="AJ89" s="158"/>
      <c r="AK89" s="159"/>
      <c r="AL89" s="158"/>
      <c r="AM89" s="158">
        <f t="shared" si="11"/>
        <v>0</v>
      </c>
    </row>
    <row r="90" ht="22.5" customHeight="1">
      <c r="A90" s="10"/>
      <c r="B90" s="16" t="s">
        <v>54</v>
      </c>
      <c r="C90" s="16" t="s">
        <v>1131</v>
      </c>
      <c r="D90" s="123">
        <v>45981.0</v>
      </c>
      <c r="E90" s="124" t="str">
        <f t="shared" si="1"/>
        <v>2025</v>
      </c>
      <c r="F90" s="124" t="str">
        <f t="shared" si="2"/>
        <v>11 Nov</v>
      </c>
      <c r="G90" s="124" t="str">
        <f t="shared" si="3"/>
        <v>Kamis</v>
      </c>
      <c r="H90" s="16" t="s">
        <v>543</v>
      </c>
      <c r="I90" s="125" t="str">
        <f t="array" ref="I90">IFNA(XLOOKUP($H90,'🙎‍♂️ Pasien'!$G$7:$G658,'🙎‍♂️ Pasien'!$H$7:$H658),"")</f>
        <v>A8725115557</v>
      </c>
      <c r="J90" s="125" t="str">
        <f t="array" ref="J90">IFNA(XLOOKUP($H90,'🙎‍♂️ Pasien'!$G$7:$G658,'🙎‍♂️ Pasien'!$L$7:$L658),"")</f>
        <v>PEREMPUAN</v>
      </c>
      <c r="K90" s="125">
        <f t="array" ref="K90">IFNA(XLOOKUP($H90,'🙎‍♂️ Pasien'!$G$7:$G658,'🙎‍♂️ Pasien'!$I$7:$I658),"")</f>
        <v>38</v>
      </c>
      <c r="L90" s="16" t="s">
        <v>107</v>
      </c>
      <c r="M90" s="125" t="str">
        <f t="array" ref="M90">IFNA(XLOOKUP(L90,'⚙️ Pengaturan'!$H$5:$H658,'⚙️ Pengaturan'!$I$5:$I658),"")</f>
        <v>TIM Y</v>
      </c>
      <c r="N90" s="16" t="s">
        <v>1132</v>
      </c>
      <c r="O90" s="16" t="s">
        <v>1133</v>
      </c>
      <c r="P90" s="153">
        <f t="shared" si="4"/>
        <v>5</v>
      </c>
      <c r="Q90" s="154">
        <v>45981.0</v>
      </c>
      <c r="R90" s="154">
        <v>45985.0</v>
      </c>
      <c r="S90" s="154">
        <v>45992.0</v>
      </c>
      <c r="T90" s="154">
        <v>45994.0</v>
      </c>
      <c r="U90" s="154">
        <v>45998.0</v>
      </c>
      <c r="V90" s="154"/>
      <c r="W90" s="154"/>
      <c r="X90" s="154"/>
      <c r="Y90" s="154"/>
      <c r="Z90" s="154"/>
      <c r="AA90" s="155">
        <f t="shared" si="5"/>
        <v>45998</v>
      </c>
      <c r="AB90" s="16" t="s">
        <v>1134</v>
      </c>
      <c r="AC90" s="16" t="s">
        <v>1138</v>
      </c>
      <c r="AD90" s="170"/>
      <c r="AE90" s="156">
        <f t="shared" si="6"/>
        <v>45998</v>
      </c>
      <c r="AF90" s="107" t="str">
        <f t="shared" si="7"/>
        <v>2025</v>
      </c>
      <c r="AG90" s="107" t="str">
        <f t="shared" si="8"/>
        <v>12 Des</v>
      </c>
      <c r="AH90" s="107" t="str">
        <f t="shared" si="9"/>
        <v>Min</v>
      </c>
      <c r="AI90" s="157">
        <f t="shared" si="10"/>
        <v>3</v>
      </c>
      <c r="AJ90" s="158"/>
      <c r="AK90" s="159"/>
      <c r="AL90" s="158"/>
      <c r="AM90" s="158">
        <f t="shared" si="11"/>
        <v>0</v>
      </c>
    </row>
    <row r="91" ht="22.5" customHeight="1">
      <c r="A91" s="10"/>
      <c r="B91" s="16" t="s">
        <v>54</v>
      </c>
      <c r="C91" s="16" t="s">
        <v>1131</v>
      </c>
      <c r="D91" s="123">
        <v>46002.0</v>
      </c>
      <c r="E91" s="124" t="str">
        <f t="shared" si="1"/>
        <v>2025</v>
      </c>
      <c r="F91" s="124" t="str">
        <f t="shared" si="2"/>
        <v>12 Des</v>
      </c>
      <c r="G91" s="124" t="str">
        <f t="shared" si="3"/>
        <v>Kamis</v>
      </c>
      <c r="H91" s="16" t="s">
        <v>543</v>
      </c>
      <c r="I91" s="125" t="str">
        <f t="array" ref="I91">IFNA(XLOOKUP($H91,'🙎‍♂️ Pasien'!$G$7:$G658,'🙎‍♂️ Pasien'!$H$7:$H658),"")</f>
        <v>A8725115557</v>
      </c>
      <c r="J91" s="125" t="str">
        <f t="array" ref="J91">IFNA(XLOOKUP($H91,'🙎‍♂️ Pasien'!$G$7:$G658,'🙎‍♂️ Pasien'!$L$7:$L658),"")</f>
        <v>PEREMPUAN</v>
      </c>
      <c r="K91" s="125">
        <f t="array" ref="K91">IFNA(XLOOKUP($H91,'🙎‍♂️ Pasien'!$G$7:$G658,'🙎‍♂️ Pasien'!$I$7:$I658),"")</f>
        <v>38</v>
      </c>
      <c r="L91" s="16" t="s">
        <v>107</v>
      </c>
      <c r="M91" s="125" t="str">
        <f t="array" ref="M91">IFNA(XLOOKUP(L91,'⚙️ Pengaturan'!$H$5:$H658,'⚙️ Pengaturan'!$I$5:$I658),"")</f>
        <v>TIM Y</v>
      </c>
      <c r="N91" s="16" t="s">
        <v>1132</v>
      </c>
      <c r="O91" s="16" t="s">
        <v>1139</v>
      </c>
      <c r="P91" s="153">
        <f t="shared" si="4"/>
        <v>4</v>
      </c>
      <c r="Q91" s="154">
        <v>46002.0</v>
      </c>
      <c r="R91" s="154">
        <v>46006.0</v>
      </c>
      <c r="S91" s="154">
        <v>46009.0</v>
      </c>
      <c r="T91" s="154">
        <v>46014.0</v>
      </c>
      <c r="U91" s="154"/>
      <c r="V91" s="154"/>
      <c r="W91" s="154"/>
      <c r="X91" s="154"/>
      <c r="Y91" s="154"/>
      <c r="Z91" s="154"/>
      <c r="AA91" s="155">
        <f t="shared" si="5"/>
        <v>46014</v>
      </c>
      <c r="AB91" s="16" t="s">
        <v>1144</v>
      </c>
      <c r="AC91" s="20"/>
      <c r="AD91" s="170"/>
      <c r="AE91" s="156" t="str">
        <f t="shared" si="6"/>
        <v/>
      </c>
      <c r="AF91" s="107" t="str">
        <f t="shared" si="7"/>
        <v/>
      </c>
      <c r="AG91" s="107" t="str">
        <f t="shared" si="8"/>
        <v/>
      </c>
      <c r="AH91" s="107" t="str">
        <f t="shared" si="9"/>
        <v/>
      </c>
      <c r="AI91" s="157">
        <f t="shared" si="10"/>
        <v>26</v>
      </c>
      <c r="AJ91" s="158"/>
      <c r="AK91" s="159"/>
      <c r="AL91" s="158"/>
      <c r="AM91" s="158">
        <f t="shared" si="11"/>
        <v>0</v>
      </c>
    </row>
    <row r="92" ht="22.5" customHeight="1">
      <c r="A92" s="10"/>
      <c r="B92" s="160" t="s">
        <v>54</v>
      </c>
      <c r="C92" s="160" t="s">
        <v>1131</v>
      </c>
      <c r="D92" s="161">
        <v>45944.0</v>
      </c>
      <c r="E92" s="124" t="str">
        <f t="shared" si="1"/>
        <v>2025</v>
      </c>
      <c r="F92" s="124" t="str">
        <f t="shared" si="2"/>
        <v>10 Okt</v>
      </c>
      <c r="G92" s="124" t="str">
        <f t="shared" si="3"/>
        <v>Selasa</v>
      </c>
      <c r="H92" s="160" t="s">
        <v>231</v>
      </c>
      <c r="I92" s="125" t="str">
        <f t="array" ref="I92">IFNA(XLOOKUP($H92,'🙎‍♂️ Pasien'!$G$7:$G658,'🙎‍♂️ Pasien'!$H$7:$H658),"")</f>
        <v>A1123072881</v>
      </c>
      <c r="J92" s="125" t="str">
        <f t="array" ref="J92">IFNA(XLOOKUP($H92,'🙎‍♂️ Pasien'!$G$7:$G658,'🙎‍♂️ Pasien'!$L$7:$L658),"")</f>
        <v>PEREMPUAN</v>
      </c>
      <c r="K92" s="125">
        <f t="array" ref="K92">IFNA(XLOOKUP($H92,'🙎‍♂️ Pasien'!$G$7:$G658,'🙎‍♂️ Pasien'!$I$7:$I658),"")</f>
        <v>14</v>
      </c>
      <c r="L92" s="160" t="s">
        <v>107</v>
      </c>
      <c r="M92" s="162" t="str">
        <f t="array" ref="M92">IFNA(XLOOKUP(L92,'⚙️ Pengaturan'!$H$5:$H658,'⚙️ Pengaturan'!$I$5:$I658),"")</f>
        <v>TIM Y</v>
      </c>
      <c r="N92" s="163" t="s">
        <v>1132</v>
      </c>
      <c r="O92" s="160" t="s">
        <v>1133</v>
      </c>
      <c r="P92" s="153">
        <f t="shared" si="4"/>
        <v>5</v>
      </c>
      <c r="Q92" s="164">
        <v>45944.0</v>
      </c>
      <c r="R92" s="164">
        <v>45946.0</v>
      </c>
      <c r="S92" s="164">
        <v>45949.0</v>
      </c>
      <c r="T92" s="164">
        <v>45952.0</v>
      </c>
      <c r="U92" s="164">
        <v>45955.0</v>
      </c>
      <c r="V92" s="164"/>
      <c r="W92" s="164"/>
      <c r="X92" s="164"/>
      <c r="Y92" s="164"/>
      <c r="Z92" s="164"/>
      <c r="AA92" s="165">
        <f t="shared" si="5"/>
        <v>45955</v>
      </c>
      <c r="AB92" s="160" t="s">
        <v>1134</v>
      </c>
      <c r="AC92" s="160" t="s">
        <v>1142</v>
      </c>
      <c r="AD92" s="166"/>
      <c r="AE92" s="156">
        <f t="shared" si="6"/>
        <v>45955</v>
      </c>
      <c r="AF92" s="107" t="str">
        <f t="shared" si="7"/>
        <v>2025</v>
      </c>
      <c r="AG92" s="107" t="str">
        <f t="shared" si="8"/>
        <v>10 Okt</v>
      </c>
      <c r="AH92" s="107" t="str">
        <f t="shared" si="9"/>
        <v>Sab</v>
      </c>
      <c r="AI92" s="157">
        <f t="shared" si="10"/>
        <v>2</v>
      </c>
      <c r="AJ92" s="158"/>
      <c r="AK92" s="159"/>
      <c r="AL92" s="158"/>
      <c r="AM92" s="158">
        <f t="shared" si="11"/>
        <v>0</v>
      </c>
    </row>
    <row r="93" ht="22.5" customHeight="1">
      <c r="A93" s="10"/>
      <c r="B93" s="16" t="s">
        <v>54</v>
      </c>
      <c r="C93" s="16" t="s">
        <v>1131</v>
      </c>
      <c r="D93" s="123">
        <v>45944.0</v>
      </c>
      <c r="E93" s="124" t="str">
        <f t="shared" si="1"/>
        <v>2025</v>
      </c>
      <c r="F93" s="124" t="str">
        <f t="shared" si="2"/>
        <v>10 Okt</v>
      </c>
      <c r="G93" s="124" t="str">
        <f t="shared" si="3"/>
        <v>Selasa</v>
      </c>
      <c r="H93" s="16" t="s">
        <v>257</v>
      </c>
      <c r="I93" s="125" t="str">
        <f t="array" ref="I93">IFNA(XLOOKUP($H93,'🙎‍♂️ Pasien'!$G$7:$G658,'🙎‍♂️ Pasien'!$H$7:$H658),"")</f>
        <v>A1025102304</v>
      </c>
      <c r="J93" s="125" t="str">
        <f t="array" ref="J93">IFNA(XLOOKUP($H93,'🙎‍♂️ Pasien'!$G$7:$G658,'🙎‍♂️ Pasien'!$L$7:$L658),"")</f>
        <v>LAKI-LAKI</v>
      </c>
      <c r="K93" s="125">
        <f t="array" ref="K93">IFNA(XLOOKUP($H93,'🙎‍♂️ Pasien'!$G$7:$G658,'🙎‍♂️ Pasien'!$I$7:$I658),"")</f>
        <v>16</v>
      </c>
      <c r="L93" s="16" t="s">
        <v>107</v>
      </c>
      <c r="M93" s="125" t="str">
        <f t="array" ref="M93">IFNA(XLOOKUP(L93,'⚙️ Pengaturan'!$H$5:$H658,'⚙️ Pengaturan'!$I$5:$I658),"")</f>
        <v>TIM Y</v>
      </c>
      <c r="N93" s="16" t="s">
        <v>1132</v>
      </c>
      <c r="O93" s="16" t="s">
        <v>1133</v>
      </c>
      <c r="P93" s="153">
        <f t="shared" si="4"/>
        <v>5</v>
      </c>
      <c r="Q93" s="154">
        <v>45948.0</v>
      </c>
      <c r="R93" s="154">
        <v>45949.0</v>
      </c>
      <c r="S93" s="154">
        <v>45955.0</v>
      </c>
      <c r="T93" s="154">
        <v>45956.0</v>
      </c>
      <c r="U93" s="154">
        <v>45962.0</v>
      </c>
      <c r="V93" s="154"/>
      <c r="W93" s="154"/>
      <c r="X93" s="154"/>
      <c r="Y93" s="154"/>
      <c r="Z93" s="154"/>
      <c r="AA93" s="155">
        <f t="shared" si="5"/>
        <v>45962</v>
      </c>
      <c r="AB93" s="16" t="s">
        <v>1134</v>
      </c>
      <c r="AC93" s="16" t="s">
        <v>1138</v>
      </c>
      <c r="AD93" s="170"/>
      <c r="AE93" s="156">
        <f t="shared" si="6"/>
        <v>45962</v>
      </c>
      <c r="AF93" s="107" t="str">
        <f t="shared" si="7"/>
        <v>2025</v>
      </c>
      <c r="AG93" s="107" t="str">
        <f t="shared" si="8"/>
        <v>11 Nov</v>
      </c>
      <c r="AH93" s="107" t="str">
        <f t="shared" si="9"/>
        <v>Sab</v>
      </c>
      <c r="AI93" s="157">
        <f t="shared" si="10"/>
        <v>2</v>
      </c>
      <c r="AJ93" s="158"/>
      <c r="AK93" s="159"/>
      <c r="AL93" s="158"/>
      <c r="AM93" s="158">
        <f t="shared" si="11"/>
        <v>0</v>
      </c>
    </row>
    <row r="94" ht="22.5" customHeight="1">
      <c r="A94" s="10"/>
      <c r="B94" s="16" t="s">
        <v>86</v>
      </c>
      <c r="C94" s="16" t="s">
        <v>1131</v>
      </c>
      <c r="D94" s="123">
        <v>45963.0</v>
      </c>
      <c r="E94" s="124" t="str">
        <f t="shared" si="1"/>
        <v>2025</v>
      </c>
      <c r="F94" s="124" t="str">
        <f t="shared" si="2"/>
        <v>11 Nov</v>
      </c>
      <c r="G94" s="124" t="str">
        <f t="shared" si="3"/>
        <v>Minggu</v>
      </c>
      <c r="H94" s="16" t="s">
        <v>257</v>
      </c>
      <c r="I94" s="125" t="str">
        <f t="array" ref="I94">IFNA(XLOOKUP($H94,'🙎‍♂️ Pasien'!$G$7:$G658,'🙎‍♂️ Pasien'!$H$7:$H658),"")</f>
        <v>A1025102304</v>
      </c>
      <c r="J94" s="125" t="str">
        <f t="array" ref="J94">IFNA(XLOOKUP($H94,'🙎‍♂️ Pasien'!$G$7:$G658,'🙎‍♂️ Pasien'!$L$7:$L658),"")</f>
        <v>LAKI-LAKI</v>
      </c>
      <c r="K94" s="125">
        <f t="array" ref="K94">IFNA(XLOOKUP($H94,'🙎‍♂️ Pasien'!$G$7:$G658,'🙎‍♂️ Pasien'!$I$7:$I658),"")</f>
        <v>16</v>
      </c>
      <c r="L94" s="16" t="s">
        <v>107</v>
      </c>
      <c r="M94" s="125" t="str">
        <f t="array" ref="M94">IFNA(XLOOKUP(L94,'⚙️ Pengaturan'!$H$5:$H658,'⚙️ Pengaturan'!$I$5:$I658),"")</f>
        <v>TIM Y</v>
      </c>
      <c r="N94" s="16" t="s">
        <v>1132</v>
      </c>
      <c r="O94" s="16" t="s">
        <v>1139</v>
      </c>
      <c r="P94" s="153">
        <f t="shared" si="4"/>
        <v>5</v>
      </c>
      <c r="Q94" s="154">
        <v>45963.0</v>
      </c>
      <c r="R94" s="154">
        <v>45969.0</v>
      </c>
      <c r="S94" s="154">
        <v>45970.0</v>
      </c>
      <c r="T94" s="154">
        <v>45976.0</v>
      </c>
      <c r="U94" s="154">
        <v>45977.0</v>
      </c>
      <c r="V94" s="154"/>
      <c r="W94" s="154"/>
      <c r="X94" s="154"/>
      <c r="Y94" s="154"/>
      <c r="Z94" s="154"/>
      <c r="AA94" s="155">
        <f t="shared" si="5"/>
        <v>45977</v>
      </c>
      <c r="AB94" s="16" t="s">
        <v>1134</v>
      </c>
      <c r="AC94" s="16" t="s">
        <v>1138</v>
      </c>
      <c r="AD94" s="170"/>
      <c r="AE94" s="156">
        <f t="shared" si="6"/>
        <v>45977</v>
      </c>
      <c r="AF94" s="107" t="str">
        <f t="shared" si="7"/>
        <v>2025</v>
      </c>
      <c r="AG94" s="107" t="str">
        <f t="shared" si="8"/>
        <v>11 Nov</v>
      </c>
      <c r="AH94" s="107" t="str">
        <f t="shared" si="9"/>
        <v>Min</v>
      </c>
      <c r="AI94" s="157">
        <f t="shared" si="10"/>
        <v>2</v>
      </c>
      <c r="AJ94" s="158"/>
      <c r="AK94" s="159"/>
      <c r="AL94" s="158"/>
      <c r="AM94" s="158">
        <f t="shared" si="11"/>
        <v>0</v>
      </c>
    </row>
    <row r="95" ht="22.5" customHeight="1">
      <c r="A95" s="10"/>
      <c r="B95" s="16" t="s">
        <v>86</v>
      </c>
      <c r="C95" s="16" t="s">
        <v>1131</v>
      </c>
      <c r="D95" s="123">
        <v>45977.0</v>
      </c>
      <c r="E95" s="124" t="str">
        <f t="shared" si="1"/>
        <v>2025</v>
      </c>
      <c r="F95" s="124" t="str">
        <f t="shared" si="2"/>
        <v>11 Nov</v>
      </c>
      <c r="G95" s="124" t="str">
        <f t="shared" si="3"/>
        <v>Minggu</v>
      </c>
      <c r="H95" s="16" t="s">
        <v>257</v>
      </c>
      <c r="I95" s="125" t="str">
        <f t="array" ref="I95">IFNA(XLOOKUP($H95,'🙎‍♂️ Pasien'!$G$7:$G658,'🙎‍♂️ Pasien'!$H$7:$H658),"")</f>
        <v>A1025102304</v>
      </c>
      <c r="J95" s="125" t="str">
        <f t="array" ref="J95">IFNA(XLOOKUP($H95,'🙎‍♂️ Pasien'!$G$7:$G658,'🙎‍♂️ Pasien'!$L$7:$L658),"")</f>
        <v>LAKI-LAKI</v>
      </c>
      <c r="K95" s="125">
        <f t="array" ref="K95">IFNA(XLOOKUP($H95,'🙎‍♂️ Pasien'!$G$7:$G658,'🙎‍♂️ Pasien'!$I$7:$I658),"")</f>
        <v>16</v>
      </c>
      <c r="L95" s="16" t="s">
        <v>62</v>
      </c>
      <c r="M95" s="125" t="str">
        <f t="array" ref="M95">IFNA(XLOOKUP(L95,'⚙️ Pengaturan'!$H$5:$H658,'⚙️ Pengaturan'!$I$5:$I658),"")</f>
        <v>TIM A</v>
      </c>
      <c r="N95" s="16" t="s">
        <v>1132</v>
      </c>
      <c r="O95" s="16" t="s">
        <v>1139</v>
      </c>
      <c r="P95" s="153">
        <f t="shared" si="4"/>
        <v>5</v>
      </c>
      <c r="Q95" s="154">
        <v>45983.0</v>
      </c>
      <c r="R95" s="154">
        <v>45990.0</v>
      </c>
      <c r="S95" s="154">
        <v>45991.0</v>
      </c>
      <c r="T95" s="154">
        <v>45997.0</v>
      </c>
      <c r="U95" s="154">
        <v>46000.0</v>
      </c>
      <c r="V95" s="154"/>
      <c r="W95" s="154"/>
      <c r="X95" s="154"/>
      <c r="Y95" s="154"/>
      <c r="Z95" s="154"/>
      <c r="AA95" s="155">
        <f t="shared" si="5"/>
        <v>46000</v>
      </c>
      <c r="AB95" s="16" t="s">
        <v>1134</v>
      </c>
      <c r="AC95" s="16" t="s">
        <v>1135</v>
      </c>
      <c r="AD95" s="109" t="s">
        <v>1194</v>
      </c>
      <c r="AE95" s="156">
        <f t="shared" si="6"/>
        <v>46000</v>
      </c>
      <c r="AF95" s="107" t="str">
        <f t="shared" si="7"/>
        <v>2025</v>
      </c>
      <c r="AG95" s="107" t="str">
        <f t="shared" si="8"/>
        <v>12 Des</v>
      </c>
      <c r="AH95" s="107" t="str">
        <f t="shared" si="9"/>
        <v>Sel</v>
      </c>
      <c r="AI95" s="157">
        <f t="shared" si="10"/>
        <v>3</v>
      </c>
      <c r="AJ95" s="158"/>
      <c r="AK95" s="159"/>
      <c r="AL95" s="158"/>
      <c r="AM95" s="158">
        <f t="shared" si="11"/>
        <v>0</v>
      </c>
    </row>
    <row r="96" ht="22.5" customHeight="1">
      <c r="A96" s="10"/>
      <c r="B96" s="16" t="s">
        <v>86</v>
      </c>
      <c r="C96" s="16" t="s">
        <v>1131</v>
      </c>
      <c r="D96" s="123">
        <v>45979.0</v>
      </c>
      <c r="E96" s="124" t="str">
        <f t="shared" si="1"/>
        <v>2025</v>
      </c>
      <c r="F96" s="124" t="str">
        <f t="shared" si="2"/>
        <v>11 Nov</v>
      </c>
      <c r="G96" s="124" t="str">
        <f t="shared" si="3"/>
        <v>Selasa</v>
      </c>
      <c r="H96" s="16" t="s">
        <v>526</v>
      </c>
      <c r="I96" s="125" t="str">
        <f t="array" ref="I96">IFNA(XLOOKUP($H96,'🙎‍♂️ Pasien'!$G$7:$G658,'🙎‍♂️ Pasien'!$H$7:$H658),"")</f>
        <v>A8825114554</v>
      </c>
      <c r="J96" s="125" t="str">
        <f t="array" ref="J96">IFNA(XLOOKUP($H96,'🙎‍♂️ Pasien'!$G$7:$G658,'🙎‍♂️ Pasien'!$L$7:$L658),"")</f>
        <v>LAKI-LAKI</v>
      </c>
      <c r="K96" s="125">
        <f t="array" ref="K96">IFNA(XLOOKUP($H96,'🙎‍♂️ Pasien'!$G$7:$G658,'🙎‍♂️ Pasien'!$I$7:$I658),"")</f>
        <v>38</v>
      </c>
      <c r="L96" s="16" t="s">
        <v>101</v>
      </c>
      <c r="M96" s="125" t="str">
        <f t="array" ref="M96">IFNA(XLOOKUP(L96,'⚙️ Pengaturan'!$H$5:$H658,'⚙️ Pengaturan'!$I$5:$I658),"")</f>
        <v>MANAJEMEN</v>
      </c>
      <c r="N96" s="16" t="s">
        <v>1132</v>
      </c>
      <c r="O96" s="16" t="s">
        <v>1133</v>
      </c>
      <c r="P96" s="153">
        <f t="shared" si="4"/>
        <v>5</v>
      </c>
      <c r="Q96" s="154">
        <v>45979.0</v>
      </c>
      <c r="R96" s="154">
        <v>45981.0</v>
      </c>
      <c r="S96" s="154">
        <v>45986.0</v>
      </c>
      <c r="T96" s="154">
        <v>45988.0</v>
      </c>
      <c r="U96" s="154">
        <v>45989.0</v>
      </c>
      <c r="V96" s="154"/>
      <c r="W96" s="154"/>
      <c r="X96" s="154"/>
      <c r="Y96" s="154"/>
      <c r="Z96" s="154"/>
      <c r="AA96" s="155">
        <f t="shared" si="5"/>
        <v>45989</v>
      </c>
      <c r="AB96" s="16" t="s">
        <v>1134</v>
      </c>
      <c r="AC96" s="16" t="s">
        <v>1142</v>
      </c>
      <c r="AD96" s="170"/>
      <c r="AE96" s="156">
        <f t="shared" si="6"/>
        <v>45989</v>
      </c>
      <c r="AF96" s="107" t="str">
        <f t="shared" si="7"/>
        <v>2025</v>
      </c>
      <c r="AG96" s="107" t="str">
        <f t="shared" si="8"/>
        <v>11 Nov</v>
      </c>
      <c r="AH96" s="107" t="str">
        <f t="shared" si="9"/>
        <v>Jum</v>
      </c>
      <c r="AI96" s="157">
        <f t="shared" si="10"/>
        <v>2</v>
      </c>
      <c r="AJ96" s="158"/>
      <c r="AK96" s="159"/>
      <c r="AL96" s="158"/>
      <c r="AM96" s="158">
        <f t="shared" si="11"/>
        <v>0</v>
      </c>
    </row>
    <row r="97" ht="22.5" customHeight="1">
      <c r="A97" s="10"/>
      <c r="B97" s="16" t="s">
        <v>86</v>
      </c>
      <c r="C97" s="16" t="s">
        <v>1131</v>
      </c>
      <c r="D97" s="123">
        <v>45990.0</v>
      </c>
      <c r="E97" s="124" t="str">
        <f t="shared" si="1"/>
        <v>2025</v>
      </c>
      <c r="F97" s="124" t="str">
        <f t="shared" si="2"/>
        <v>11 Nov</v>
      </c>
      <c r="G97" s="124" t="str">
        <f t="shared" si="3"/>
        <v>Sabtu</v>
      </c>
      <c r="H97" s="16" t="s">
        <v>586</v>
      </c>
      <c r="I97" s="125" t="str">
        <f t="array" ref="I97">IFNA(XLOOKUP($H97,'🙎‍♂️ Pasien'!$G$7:$G658,'🙎‍♂️ Pasien'!$H$7:$H658),"")</f>
        <v>B0924114293</v>
      </c>
      <c r="J97" s="125" t="str">
        <f t="array" ref="J97">IFNA(XLOOKUP($H97,'🙎‍♂️ Pasien'!$G$7:$G658,'🙎‍♂️ Pasien'!$L$7:$L658),"")</f>
        <v>LAKI-LAKI</v>
      </c>
      <c r="K97" s="125">
        <f t="array" ref="K97">IFNA(XLOOKUP($H97,'🙎‍♂️ Pasien'!$G$7:$G658,'🙎‍♂️ Pasien'!$I$7:$I658),"")</f>
        <v>16</v>
      </c>
      <c r="L97" s="16" t="s">
        <v>509</v>
      </c>
      <c r="M97" s="125" t="str">
        <f t="array" ref="M97">IFNA(XLOOKUP(L97,'⚙️ Pengaturan'!$H$5:$H658,'⚙️ Pengaturan'!$I$5:$I658),"")</f>
        <v>TIM Y</v>
      </c>
      <c r="N97" s="16" t="s">
        <v>1132</v>
      </c>
      <c r="O97" s="16" t="s">
        <v>1133</v>
      </c>
      <c r="P97" s="153">
        <f t="shared" si="4"/>
        <v>5</v>
      </c>
      <c r="Q97" s="154">
        <v>45990.0</v>
      </c>
      <c r="R97" s="154">
        <v>45994.0</v>
      </c>
      <c r="S97" s="154">
        <v>45997.0</v>
      </c>
      <c r="T97" s="154">
        <v>46001.0</v>
      </c>
      <c r="U97" s="154">
        <v>46009.0</v>
      </c>
      <c r="V97" s="154"/>
      <c r="W97" s="154"/>
      <c r="X97" s="154"/>
      <c r="Y97" s="154"/>
      <c r="Z97" s="154"/>
      <c r="AA97" s="155">
        <f t="shared" si="5"/>
        <v>46009</v>
      </c>
      <c r="AB97" s="16" t="s">
        <v>1134</v>
      </c>
      <c r="AC97" s="20"/>
      <c r="AD97" s="170"/>
      <c r="AE97" s="156">
        <f t="shared" si="6"/>
        <v>46009</v>
      </c>
      <c r="AF97" s="107" t="str">
        <f t="shared" si="7"/>
        <v>2025</v>
      </c>
      <c r="AG97" s="107" t="str">
        <f t="shared" si="8"/>
        <v>12 Des</v>
      </c>
      <c r="AH97" s="107" t="str">
        <f t="shared" si="9"/>
        <v>Kam</v>
      </c>
      <c r="AI97" s="157">
        <f t="shared" si="10"/>
        <v>3</v>
      </c>
      <c r="AJ97" s="158"/>
      <c r="AK97" s="159"/>
      <c r="AL97" s="158"/>
      <c r="AM97" s="158">
        <f t="shared" si="11"/>
        <v>0</v>
      </c>
    </row>
    <row r="98" ht="22.5" customHeight="1">
      <c r="A98" s="10"/>
      <c r="B98" s="163" t="s">
        <v>86</v>
      </c>
      <c r="C98" s="163" t="s">
        <v>1131</v>
      </c>
      <c r="D98" s="161">
        <v>45931.0</v>
      </c>
      <c r="E98" s="124" t="str">
        <f t="shared" si="1"/>
        <v>2025</v>
      </c>
      <c r="F98" s="124" t="str">
        <f t="shared" si="2"/>
        <v>10 Okt</v>
      </c>
      <c r="G98" s="124" t="str">
        <f t="shared" si="3"/>
        <v>Rabu</v>
      </c>
      <c r="H98" s="16" t="s">
        <v>196</v>
      </c>
      <c r="I98" s="125" t="str">
        <f t="array" ref="I98">IFNA(XLOOKUP($H98,'🙎‍♂️ Pasien'!$G$7:$G658,'🙎‍♂️ Pasien'!$H$7:$H658),"")</f>
        <v>B7125094370</v>
      </c>
      <c r="J98" s="125" t="str">
        <f t="array" ref="J98">IFNA(XLOOKUP($H98,'🙎‍♂️ Pasien'!$G$7:$G658,'🙎‍♂️ Pasien'!$L$7:$L658),"")</f>
        <v>LAKI-LAKI</v>
      </c>
      <c r="K98" s="125">
        <f t="array" ref="K98">IFNA(XLOOKUP($H98,'🙎‍♂️ Pasien'!$G$7:$G658,'🙎‍♂️ Pasien'!$I$7:$I658),"")</f>
        <v>54</v>
      </c>
      <c r="L98" s="16" t="s">
        <v>91</v>
      </c>
      <c r="M98" s="125" t="str">
        <f t="array" ref="M98">IFNA(XLOOKUP(L98,'⚙️ Pengaturan'!$H$5:$H658,'⚙️ Pengaturan'!$I$5:$I658),"")</f>
        <v>TIM Y</v>
      </c>
      <c r="N98" s="16" t="s">
        <v>1132</v>
      </c>
      <c r="O98" s="16" t="s">
        <v>1133</v>
      </c>
      <c r="P98" s="153">
        <f t="shared" si="4"/>
        <v>5</v>
      </c>
      <c r="Q98" s="154">
        <v>45931.0</v>
      </c>
      <c r="R98" s="154">
        <v>45937.0</v>
      </c>
      <c r="S98" s="154">
        <v>45939.0</v>
      </c>
      <c r="T98" s="154">
        <v>45941.0</v>
      </c>
      <c r="U98" s="154">
        <v>45948.0</v>
      </c>
      <c r="V98" s="154"/>
      <c r="W98" s="154"/>
      <c r="X98" s="154"/>
      <c r="Y98" s="154"/>
      <c r="Z98" s="154"/>
      <c r="AA98" s="155">
        <f t="shared" si="5"/>
        <v>45948</v>
      </c>
      <c r="AB98" s="16" t="s">
        <v>1134</v>
      </c>
      <c r="AC98" s="16" t="s">
        <v>1135</v>
      </c>
      <c r="AD98" s="109" t="s">
        <v>991</v>
      </c>
      <c r="AE98" s="156">
        <f t="shared" si="6"/>
        <v>45948</v>
      </c>
      <c r="AF98" s="107" t="str">
        <f t="shared" si="7"/>
        <v>2025</v>
      </c>
      <c r="AG98" s="107" t="str">
        <f t="shared" si="8"/>
        <v>10 Okt</v>
      </c>
      <c r="AH98" s="107" t="str">
        <f t="shared" si="9"/>
        <v>Sab</v>
      </c>
      <c r="AI98" s="157">
        <f t="shared" si="10"/>
        <v>3</v>
      </c>
      <c r="AJ98" s="158"/>
      <c r="AK98" s="159"/>
      <c r="AL98" s="158"/>
      <c r="AM98" s="158">
        <f t="shared" si="11"/>
        <v>0</v>
      </c>
    </row>
    <row r="99" ht="22.5" customHeight="1">
      <c r="A99" s="10"/>
      <c r="B99" s="163" t="s">
        <v>86</v>
      </c>
      <c r="C99" s="163" t="s">
        <v>1131</v>
      </c>
      <c r="D99" s="161">
        <v>45994.0</v>
      </c>
      <c r="E99" s="124" t="str">
        <f t="shared" si="1"/>
        <v>2025</v>
      </c>
      <c r="F99" s="124" t="str">
        <f t="shared" si="2"/>
        <v>12 Des</v>
      </c>
      <c r="G99" s="124" t="str">
        <f t="shared" si="3"/>
        <v>Rabu</v>
      </c>
      <c r="H99" s="16" t="s">
        <v>619</v>
      </c>
      <c r="I99" s="125" t="str">
        <f t="array" ref="I99">IFNA(XLOOKUP($H99,'🙎‍♂️ Pasien'!$G$7:$G658,'🙎‍♂️ Pasien'!$H$7:$H658),"")</f>
        <v>B0525015519</v>
      </c>
      <c r="J99" s="125" t="str">
        <f t="array" ref="J99">IFNA(XLOOKUP($H99,'🙎‍♂️ Pasien'!$G$7:$G658,'🙎‍♂️ Pasien'!$L$7:$L658),"")</f>
        <v>LAKI-LAKI</v>
      </c>
      <c r="K99" s="125">
        <f t="array" ref="K99">IFNA(XLOOKUP($H99,'🙎‍♂️ Pasien'!$G$7:$G658,'🙎‍♂️ Pasien'!$I$7:$I658),"")</f>
        <v>20</v>
      </c>
      <c r="L99" s="16" t="s">
        <v>88</v>
      </c>
      <c r="M99" s="125" t="str">
        <f t="array" ref="M99">IFNA(XLOOKUP(L99,'⚙️ Pengaturan'!$H$5:$H658,'⚙️ Pengaturan'!$I$5:$I658),"")</f>
        <v>TIM Y</v>
      </c>
      <c r="N99" s="16" t="s">
        <v>1132</v>
      </c>
      <c r="O99" s="16" t="s">
        <v>1133</v>
      </c>
      <c r="P99" s="153">
        <f t="shared" si="4"/>
        <v>5</v>
      </c>
      <c r="Q99" s="154">
        <v>45994.0</v>
      </c>
      <c r="R99" s="154">
        <v>45996.0</v>
      </c>
      <c r="S99" s="154">
        <v>45998.0</v>
      </c>
      <c r="T99" s="154">
        <v>46000.0</v>
      </c>
      <c r="U99" s="154">
        <v>46002.0</v>
      </c>
      <c r="V99" s="154"/>
      <c r="W99" s="154"/>
      <c r="X99" s="154"/>
      <c r="Y99" s="154"/>
      <c r="Z99" s="154"/>
      <c r="AA99" s="155">
        <f t="shared" si="5"/>
        <v>46002</v>
      </c>
      <c r="AB99" s="16" t="s">
        <v>1144</v>
      </c>
      <c r="AC99" s="20"/>
      <c r="AD99" s="170"/>
      <c r="AE99" s="156">
        <f t="shared" si="6"/>
        <v>46002</v>
      </c>
      <c r="AF99" s="107" t="str">
        <f t="shared" si="7"/>
        <v>2025</v>
      </c>
      <c r="AG99" s="107" t="str">
        <f t="shared" si="8"/>
        <v>12 Des</v>
      </c>
      <c r="AH99" s="107" t="str">
        <f t="shared" si="9"/>
        <v>Kam</v>
      </c>
      <c r="AI99" s="157">
        <f t="shared" si="10"/>
        <v>2</v>
      </c>
      <c r="AJ99" s="158"/>
      <c r="AK99" s="159"/>
      <c r="AL99" s="158"/>
      <c r="AM99" s="158">
        <f t="shared" si="11"/>
        <v>0</v>
      </c>
    </row>
    <row r="100" ht="22.5" customHeight="1">
      <c r="A100" s="10"/>
      <c r="B100" s="163" t="s">
        <v>86</v>
      </c>
      <c r="C100" s="163" t="s">
        <v>1170</v>
      </c>
      <c r="D100" s="161">
        <v>46015.0</v>
      </c>
      <c r="E100" s="124" t="str">
        <f t="shared" si="1"/>
        <v>2025</v>
      </c>
      <c r="F100" s="124" t="str">
        <f t="shared" si="2"/>
        <v>12 Des</v>
      </c>
      <c r="G100" s="124" t="str">
        <f t="shared" si="3"/>
        <v>Rabu</v>
      </c>
      <c r="H100" s="16" t="s">
        <v>764</v>
      </c>
      <c r="I100" s="125" t="str">
        <f t="array" ref="I100">IFNA(XLOOKUP($H100,'🙎‍♂️ Pasien'!$G$7:$G658,'🙎‍♂️ Pasien'!$H$7:$H658),"")</f>
        <v>B5325129871</v>
      </c>
      <c r="J100" s="125" t="str">
        <f t="array" ref="J100">IFNA(XLOOKUP($H100,'🙎‍♂️ Pasien'!$G$7:$G658,'🙎‍♂️ Pasien'!$L$7:$L658),"")</f>
        <v>LAKI-LAKI</v>
      </c>
      <c r="K100" s="125">
        <f t="array" ref="K100">IFNA(XLOOKUP($H100,'🙎‍♂️ Pasien'!$G$7:$G658,'🙎‍♂️ Pasien'!$I$7:$I658),"")</f>
        <v>73</v>
      </c>
      <c r="L100" s="16" t="s">
        <v>509</v>
      </c>
      <c r="M100" s="125" t="str">
        <f t="array" ref="M100">IFNA(XLOOKUP(L100,'⚙️ Pengaturan'!$H$5:$H658,'⚙️ Pengaturan'!$I$5:$I658),"")</f>
        <v>TIM Y</v>
      </c>
      <c r="N100" s="16" t="s">
        <v>1137</v>
      </c>
      <c r="O100" s="16" t="s">
        <v>1133</v>
      </c>
      <c r="P100" s="153">
        <f t="shared" si="4"/>
        <v>2</v>
      </c>
      <c r="Q100" s="154">
        <v>46015.0</v>
      </c>
      <c r="R100" s="154">
        <v>46019.0</v>
      </c>
      <c r="S100" s="154"/>
      <c r="T100" s="154"/>
      <c r="U100" s="154"/>
      <c r="V100" s="154"/>
      <c r="W100" s="154"/>
      <c r="X100" s="154"/>
      <c r="Y100" s="154"/>
      <c r="Z100" s="154"/>
      <c r="AA100" s="155">
        <f t="shared" si="5"/>
        <v>46019</v>
      </c>
      <c r="AB100" s="16" t="s">
        <v>1144</v>
      </c>
      <c r="AC100" s="20"/>
      <c r="AD100" s="170"/>
      <c r="AE100" s="156" t="str">
        <f t="shared" si="6"/>
        <v/>
      </c>
      <c r="AF100" s="107" t="str">
        <f t="shared" si="7"/>
        <v/>
      </c>
      <c r="AG100" s="107" t="str">
        <f t="shared" si="8"/>
        <v/>
      </c>
      <c r="AH100" s="107" t="str">
        <f t="shared" si="9"/>
        <v/>
      </c>
      <c r="AI100" s="157">
        <f t="shared" si="10"/>
        <v>24</v>
      </c>
      <c r="AJ100" s="158"/>
      <c r="AK100" s="159"/>
      <c r="AL100" s="158"/>
      <c r="AM100" s="158">
        <f t="shared" si="11"/>
        <v>1</v>
      </c>
    </row>
    <row r="101" ht="22.5" customHeight="1">
      <c r="A101" s="10"/>
      <c r="B101" s="160" t="s">
        <v>86</v>
      </c>
      <c r="C101" s="160" t="s">
        <v>1131</v>
      </c>
      <c r="D101" s="161">
        <v>45850.0</v>
      </c>
      <c r="E101" s="124" t="str">
        <f t="shared" si="1"/>
        <v>2025</v>
      </c>
      <c r="F101" s="124" t="str">
        <f t="shared" si="2"/>
        <v>07 Jul</v>
      </c>
      <c r="G101" s="124" t="str">
        <f t="shared" si="3"/>
        <v>Sabtu</v>
      </c>
      <c r="H101" s="160" t="s">
        <v>234</v>
      </c>
      <c r="I101" s="125" t="str">
        <f t="array" ref="I101">IFNA(XLOOKUP($H101,'🙎‍♂️ Pasien'!$G$7:$G658,'🙎‍♂️ Pasien'!$H$7:$H658),"")</f>
        <v>B8825057611</v>
      </c>
      <c r="J101" s="125" t="str">
        <f t="array" ref="J101">IFNA(XLOOKUP($H101,'🙎‍♂️ Pasien'!$G$7:$G658,'🙎‍♂️ Pasien'!$L$7:$L658),"")</f>
        <v>LAKI-LAKI</v>
      </c>
      <c r="K101" s="125">
        <f t="array" ref="K101">IFNA(XLOOKUP($H101,'🙎‍♂️ Pasien'!$G$7:$G658,'🙎‍♂️ Pasien'!$I$7:$I658),"")</f>
        <v>37</v>
      </c>
      <c r="L101" s="160" t="s">
        <v>101</v>
      </c>
      <c r="M101" s="162" t="str">
        <f t="array" ref="M101">IFNA(XLOOKUP(L101,'⚙️ Pengaturan'!$H$5:$H658,'⚙️ Pengaturan'!$I$5:$I658),"")</f>
        <v>MANAJEMEN</v>
      </c>
      <c r="N101" s="163" t="s">
        <v>1132</v>
      </c>
      <c r="O101" s="160" t="s">
        <v>1139</v>
      </c>
      <c r="P101" s="153">
        <f t="shared" si="4"/>
        <v>5</v>
      </c>
      <c r="Q101" s="164">
        <v>45850.0</v>
      </c>
      <c r="R101" s="164">
        <v>45853.0</v>
      </c>
      <c r="S101" s="164">
        <v>45856.0</v>
      </c>
      <c r="T101" s="164">
        <v>45860.0</v>
      </c>
      <c r="U101" s="164">
        <v>45863.0</v>
      </c>
      <c r="V101" s="164"/>
      <c r="W101" s="164"/>
      <c r="X101" s="164"/>
      <c r="Y101" s="164"/>
      <c r="Z101" s="164"/>
      <c r="AA101" s="165">
        <f t="shared" si="5"/>
        <v>45863</v>
      </c>
      <c r="AB101" s="160" t="s">
        <v>1134</v>
      </c>
      <c r="AC101" s="160" t="s">
        <v>1138</v>
      </c>
      <c r="AD101" s="168" t="s">
        <v>1195</v>
      </c>
      <c r="AE101" s="156">
        <f t="shared" si="6"/>
        <v>45863</v>
      </c>
      <c r="AF101" s="107" t="str">
        <f t="shared" si="7"/>
        <v>2025</v>
      </c>
      <c r="AG101" s="107" t="str">
        <f t="shared" si="8"/>
        <v>07 Jul</v>
      </c>
      <c r="AH101" s="107" t="str">
        <f t="shared" si="9"/>
        <v>Jum</v>
      </c>
      <c r="AI101" s="157">
        <f t="shared" si="10"/>
        <v>2</v>
      </c>
      <c r="AJ101" s="158"/>
      <c r="AK101" s="159"/>
      <c r="AL101" s="158"/>
      <c r="AM101" s="158">
        <f t="shared" si="11"/>
        <v>0</v>
      </c>
    </row>
    <row r="102" ht="22.5" customHeight="1">
      <c r="A102" s="10"/>
      <c r="B102" s="160" t="s">
        <v>134</v>
      </c>
      <c r="C102" s="160" t="s">
        <v>1131</v>
      </c>
      <c r="D102" s="161">
        <v>45872.0</v>
      </c>
      <c r="E102" s="124" t="str">
        <f t="shared" si="1"/>
        <v>2025</v>
      </c>
      <c r="F102" s="124" t="str">
        <f t="shared" si="2"/>
        <v>08 Agu</v>
      </c>
      <c r="G102" s="124" t="str">
        <f t="shared" si="3"/>
        <v>Minggu</v>
      </c>
      <c r="H102" s="160" t="s">
        <v>234</v>
      </c>
      <c r="I102" s="125" t="str">
        <f t="array" ref="I102">IFNA(XLOOKUP($H102,'🙎‍♂️ Pasien'!$G$7:$G658,'🙎‍♂️ Pasien'!$H$7:$H658),"")</f>
        <v>B8825057611</v>
      </c>
      <c r="J102" s="125" t="str">
        <f t="array" ref="J102">IFNA(XLOOKUP($H102,'🙎‍♂️ Pasien'!$G$7:$G658,'🙎‍♂️ Pasien'!$L$7:$L658),"")</f>
        <v>LAKI-LAKI</v>
      </c>
      <c r="K102" s="125">
        <f t="array" ref="K102">IFNA(XLOOKUP($H102,'🙎‍♂️ Pasien'!$G$7:$G658,'🙎‍♂️ Pasien'!$I$7:$I658),"")</f>
        <v>37</v>
      </c>
      <c r="L102" s="160" t="s">
        <v>101</v>
      </c>
      <c r="M102" s="162" t="str">
        <f t="array" ref="M102">IFNA(XLOOKUP(L102,'⚙️ Pengaturan'!$H$5:$H658,'⚙️ Pengaturan'!$I$5:$I658),"")</f>
        <v>MANAJEMEN</v>
      </c>
      <c r="N102" s="163" t="s">
        <v>1132</v>
      </c>
      <c r="O102" s="160" t="s">
        <v>1139</v>
      </c>
      <c r="P102" s="153">
        <f t="shared" si="4"/>
        <v>5</v>
      </c>
      <c r="Q102" s="164">
        <v>45872.0</v>
      </c>
      <c r="R102" s="164">
        <v>45879.0</v>
      </c>
      <c r="S102" s="164">
        <v>45893.0</v>
      </c>
      <c r="T102" s="164">
        <v>45900.0</v>
      </c>
      <c r="U102" s="164">
        <v>45907.0</v>
      </c>
      <c r="V102" s="164"/>
      <c r="W102" s="164"/>
      <c r="X102" s="164"/>
      <c r="Y102" s="164"/>
      <c r="Z102" s="164"/>
      <c r="AA102" s="165">
        <f t="shared" si="5"/>
        <v>45907</v>
      </c>
      <c r="AB102" s="160" t="s">
        <v>1134</v>
      </c>
      <c r="AC102" s="160" t="s">
        <v>1138</v>
      </c>
      <c r="AD102" s="168"/>
      <c r="AE102" s="156">
        <f t="shared" si="6"/>
        <v>45907</v>
      </c>
      <c r="AF102" s="107" t="str">
        <f t="shared" si="7"/>
        <v>2025</v>
      </c>
      <c r="AG102" s="107" t="str">
        <f t="shared" si="8"/>
        <v>09 Sep</v>
      </c>
      <c r="AH102" s="107" t="str">
        <f t="shared" si="9"/>
        <v>Min</v>
      </c>
      <c r="AI102" s="157">
        <f t="shared" si="10"/>
        <v>5</v>
      </c>
      <c r="AJ102" s="158"/>
      <c r="AK102" s="159"/>
      <c r="AL102" s="158"/>
      <c r="AM102" s="158">
        <f t="shared" si="11"/>
        <v>0</v>
      </c>
    </row>
    <row r="103" ht="22.5" customHeight="1">
      <c r="A103" s="10"/>
      <c r="B103" s="160" t="s">
        <v>54</v>
      </c>
      <c r="C103" s="160" t="s">
        <v>1131</v>
      </c>
      <c r="D103" s="161">
        <v>45914.0</v>
      </c>
      <c r="E103" s="124" t="str">
        <f t="shared" si="1"/>
        <v>2025</v>
      </c>
      <c r="F103" s="124" t="str">
        <f t="shared" si="2"/>
        <v>09 Sep</v>
      </c>
      <c r="G103" s="124" t="str">
        <f t="shared" si="3"/>
        <v>Minggu</v>
      </c>
      <c r="H103" s="158" t="s">
        <v>234</v>
      </c>
      <c r="I103" s="125" t="str">
        <f t="array" ref="I103">IFNA(XLOOKUP($H103,'🙎‍♂️ Pasien'!$G$7:$G658,'🙎‍♂️ Pasien'!$H$7:$H658),"")</f>
        <v>B8825057611</v>
      </c>
      <c r="J103" s="125" t="str">
        <f t="array" ref="J103">IFNA(XLOOKUP($H103,'🙎‍♂️ Pasien'!$G$7:$G658,'🙎‍♂️ Pasien'!$L$7:$L658),"")</f>
        <v>LAKI-LAKI</v>
      </c>
      <c r="K103" s="125">
        <f t="array" ref="K103">IFNA(XLOOKUP($H103,'🙎‍♂️ Pasien'!$G$7:$G658,'🙎‍♂️ Pasien'!$I$7:$I658),"")</f>
        <v>37</v>
      </c>
      <c r="L103" s="160" t="s">
        <v>101</v>
      </c>
      <c r="M103" s="162" t="str">
        <f t="array" ref="M103">IFNA(XLOOKUP(L103,'⚙️ Pengaturan'!$H$5:$H658,'⚙️ Pengaturan'!$I$5:$I658),"")</f>
        <v>MANAJEMEN</v>
      </c>
      <c r="N103" s="163" t="s">
        <v>1132</v>
      </c>
      <c r="O103" s="160" t="s">
        <v>1139</v>
      </c>
      <c r="P103" s="153">
        <f t="shared" si="4"/>
        <v>5</v>
      </c>
      <c r="Q103" s="164">
        <v>45914.0</v>
      </c>
      <c r="R103" s="164">
        <v>45921.0</v>
      </c>
      <c r="S103" s="164">
        <v>45928.0</v>
      </c>
      <c r="T103" s="164">
        <v>45935.0</v>
      </c>
      <c r="U103" s="164">
        <v>45942.0</v>
      </c>
      <c r="V103" s="164"/>
      <c r="W103" s="164"/>
      <c r="X103" s="164"/>
      <c r="Y103" s="164"/>
      <c r="Z103" s="164"/>
      <c r="AA103" s="165">
        <f t="shared" si="5"/>
        <v>45942</v>
      </c>
      <c r="AB103" s="160" t="s">
        <v>1134</v>
      </c>
      <c r="AC103" s="160" t="s">
        <v>1138</v>
      </c>
      <c r="AD103" s="168"/>
      <c r="AE103" s="156">
        <f t="shared" si="6"/>
        <v>45942</v>
      </c>
      <c r="AF103" s="107" t="str">
        <f t="shared" si="7"/>
        <v>2025</v>
      </c>
      <c r="AG103" s="107" t="str">
        <f t="shared" si="8"/>
        <v>10 Okt</v>
      </c>
      <c r="AH103" s="107" t="str">
        <f t="shared" si="9"/>
        <v>Min</v>
      </c>
      <c r="AI103" s="157">
        <f t="shared" si="10"/>
        <v>4</v>
      </c>
      <c r="AJ103" s="158"/>
      <c r="AK103" s="159"/>
      <c r="AL103" s="158"/>
      <c r="AM103" s="158">
        <f t="shared" si="11"/>
        <v>0</v>
      </c>
    </row>
    <row r="104" ht="22.5" customHeight="1">
      <c r="A104" s="10"/>
      <c r="B104" s="160" t="s">
        <v>54</v>
      </c>
      <c r="C104" s="160" t="s">
        <v>1131</v>
      </c>
      <c r="D104" s="161">
        <v>45977.0</v>
      </c>
      <c r="E104" s="124" t="str">
        <f t="shared" si="1"/>
        <v>2025</v>
      </c>
      <c r="F104" s="124" t="str">
        <f t="shared" si="2"/>
        <v>11 Nov</v>
      </c>
      <c r="G104" s="124" t="str">
        <f t="shared" si="3"/>
        <v>Minggu</v>
      </c>
      <c r="H104" s="158" t="s">
        <v>234</v>
      </c>
      <c r="I104" s="125" t="str">
        <f t="array" ref="I104">IFNA(XLOOKUP($H104,'🙎‍♂️ Pasien'!$G$7:$G658,'🙎‍♂️ Pasien'!$H$7:$H658),"")</f>
        <v>B8825057611</v>
      </c>
      <c r="J104" s="125" t="str">
        <f t="array" ref="J104">IFNA(XLOOKUP($H104,'🙎‍♂️ Pasien'!$G$7:$G658,'🙎‍♂️ Pasien'!$L$7:$L658),"")</f>
        <v>LAKI-LAKI</v>
      </c>
      <c r="K104" s="125">
        <f t="array" ref="K104">IFNA(XLOOKUP($H104,'🙎‍♂️ Pasien'!$G$7:$G658,'🙎‍♂️ Pasien'!$I$7:$I658),"")</f>
        <v>37</v>
      </c>
      <c r="L104" s="160" t="s">
        <v>101</v>
      </c>
      <c r="M104" s="162" t="str">
        <f t="array" ref="M104">IFNA(XLOOKUP(L104,'⚙️ Pengaturan'!$H$5:$H658,'⚙️ Pengaturan'!$I$5:$I658),"")</f>
        <v>MANAJEMEN</v>
      </c>
      <c r="N104" s="163" t="s">
        <v>1132</v>
      </c>
      <c r="O104" s="160" t="s">
        <v>1139</v>
      </c>
      <c r="P104" s="153">
        <f t="shared" si="4"/>
        <v>5</v>
      </c>
      <c r="Q104" s="164">
        <v>45977.0</v>
      </c>
      <c r="R104" s="164">
        <v>45998.0</v>
      </c>
      <c r="S104" s="164">
        <v>46005.0</v>
      </c>
      <c r="T104" s="164">
        <v>46012.0</v>
      </c>
      <c r="U104" s="164">
        <v>46019.0</v>
      </c>
      <c r="V104" s="164"/>
      <c r="W104" s="164"/>
      <c r="X104" s="164"/>
      <c r="Y104" s="164"/>
      <c r="Z104" s="164"/>
      <c r="AA104" s="165">
        <f t="shared" si="5"/>
        <v>46019</v>
      </c>
      <c r="AB104" s="160" t="s">
        <v>1134</v>
      </c>
      <c r="AC104" s="160" t="s">
        <v>1138</v>
      </c>
      <c r="AD104" s="168"/>
      <c r="AE104" s="156">
        <f t="shared" si="6"/>
        <v>46019</v>
      </c>
      <c r="AF104" s="107" t="str">
        <f t="shared" si="7"/>
        <v>2025</v>
      </c>
      <c r="AG104" s="107" t="str">
        <f t="shared" si="8"/>
        <v>12 Des</v>
      </c>
      <c r="AH104" s="107" t="str">
        <f t="shared" si="9"/>
        <v>Min</v>
      </c>
      <c r="AI104" s="157">
        <f t="shared" si="10"/>
        <v>6</v>
      </c>
      <c r="AJ104" s="158"/>
      <c r="AK104" s="159"/>
      <c r="AL104" s="158"/>
      <c r="AM104" s="158">
        <f t="shared" si="11"/>
        <v>1</v>
      </c>
    </row>
    <row r="105" ht="22.5" customHeight="1">
      <c r="A105" s="10"/>
      <c r="B105" s="160" t="s">
        <v>134</v>
      </c>
      <c r="C105" s="160" t="s">
        <v>1131</v>
      </c>
      <c r="D105" s="173">
        <v>45940.0</v>
      </c>
      <c r="E105" s="124" t="str">
        <f t="shared" si="1"/>
        <v>2025</v>
      </c>
      <c r="F105" s="124" t="str">
        <f t="shared" si="2"/>
        <v>10 Okt</v>
      </c>
      <c r="G105" s="124" t="str">
        <f t="shared" si="3"/>
        <v>Jumat</v>
      </c>
      <c r="H105" s="160" t="s">
        <v>202</v>
      </c>
      <c r="I105" s="125" t="str">
        <f t="array" ref="I105">IFNA(XLOOKUP($H105,'🙎‍♂️ Pasien'!$G$7:$G658,'🙎‍♂️ Pasien'!$H$7:$H658),"")</f>
        <v>B9925104512</v>
      </c>
      <c r="J105" s="125" t="str">
        <f t="array" ref="J105">IFNA(XLOOKUP($H105,'🙎‍♂️ Pasien'!$G$7:$G658,'🙎‍♂️ Pasien'!$L$7:$L658),"")</f>
        <v>LAKI-LAKI</v>
      </c>
      <c r="K105" s="125">
        <f t="array" ref="K105">IFNA(XLOOKUP($H105,'🙎‍♂️ Pasien'!$G$7:$G658,'🙎‍♂️ Pasien'!$I$7:$I658),"")</f>
        <v>26</v>
      </c>
      <c r="L105" s="160" t="s">
        <v>88</v>
      </c>
      <c r="M105" s="162" t="str">
        <f t="array" ref="M105">IFNA(XLOOKUP(L105,'⚙️ Pengaturan'!$H$5:$H658,'⚙️ Pengaturan'!$I$5:$I658),"")</f>
        <v>TIM Y</v>
      </c>
      <c r="N105" s="163" t="s">
        <v>1137</v>
      </c>
      <c r="O105" s="160" t="s">
        <v>1133</v>
      </c>
      <c r="P105" s="153">
        <f t="shared" si="4"/>
        <v>10</v>
      </c>
      <c r="Q105" s="164">
        <v>45940.0</v>
      </c>
      <c r="R105" s="164">
        <v>45940.0</v>
      </c>
      <c r="S105" s="164">
        <v>45943.0</v>
      </c>
      <c r="T105" s="164">
        <v>45943.0</v>
      </c>
      <c r="U105" s="164">
        <v>45945.0</v>
      </c>
      <c r="V105" s="164">
        <v>45945.0</v>
      </c>
      <c r="W105" s="164">
        <v>45949.0</v>
      </c>
      <c r="X105" s="164">
        <v>45949.0</v>
      </c>
      <c r="Y105" s="164">
        <v>45951.0</v>
      </c>
      <c r="Z105" s="164">
        <v>45951.0</v>
      </c>
      <c r="AA105" s="165">
        <f t="shared" si="5"/>
        <v>45951</v>
      </c>
      <c r="AB105" s="160" t="s">
        <v>1134</v>
      </c>
      <c r="AC105" s="160" t="s">
        <v>1138</v>
      </c>
      <c r="AD105" s="166"/>
      <c r="AE105" s="156">
        <f t="shared" si="6"/>
        <v>45951</v>
      </c>
      <c r="AF105" s="107" t="str">
        <f t="shared" si="7"/>
        <v>2025</v>
      </c>
      <c r="AG105" s="107" t="str">
        <f t="shared" si="8"/>
        <v>10 Okt</v>
      </c>
      <c r="AH105" s="107" t="str">
        <f t="shared" si="9"/>
        <v>Sel</v>
      </c>
      <c r="AI105" s="157">
        <f t="shared" si="10"/>
        <v>2</v>
      </c>
      <c r="AJ105" s="158"/>
      <c r="AK105" s="159"/>
      <c r="AL105" s="158"/>
      <c r="AM105" s="158">
        <f t="shared" si="11"/>
        <v>0</v>
      </c>
    </row>
    <row r="106" ht="22.5" customHeight="1">
      <c r="A106" s="10"/>
      <c r="B106" s="163" t="s">
        <v>54</v>
      </c>
      <c r="C106" s="163" t="s">
        <v>1131</v>
      </c>
      <c r="D106" s="161">
        <v>45936.0</v>
      </c>
      <c r="E106" s="124" t="str">
        <f t="shared" si="1"/>
        <v>2025</v>
      </c>
      <c r="F106" s="124" t="str">
        <f t="shared" si="2"/>
        <v>10 Okt</v>
      </c>
      <c r="G106" s="124" t="str">
        <f t="shared" si="3"/>
        <v>Senin</v>
      </c>
      <c r="H106" s="16" t="s">
        <v>852</v>
      </c>
      <c r="I106" s="125" t="str">
        <f t="array" ref="I106">IFNA(XLOOKUP($H106,'🙎‍♂️ Pasien'!$G$7:$G658,'🙎‍♂️ Pasien'!$H$7:$H658),"")</f>
        <v/>
      </c>
      <c r="J106" s="125" t="str">
        <f t="array" ref="J106">IFNA(XLOOKUP($H106,'🙎‍♂️ Pasien'!$G$7:$G658,'🙎‍♂️ Pasien'!$L$7:$L658),"")</f>
        <v/>
      </c>
      <c r="K106" s="125" t="str">
        <f t="array" ref="K106">IFNA(XLOOKUP($H106,'🙎‍♂️ Pasien'!$G$7:$G658,'🙎‍♂️ Pasien'!$I$7:$I658),"")</f>
        <v/>
      </c>
      <c r="L106" s="16" t="s">
        <v>107</v>
      </c>
      <c r="M106" s="125" t="str">
        <f t="array" ref="M106">IFNA(XLOOKUP(L106,'⚙️ Pengaturan'!$H$5:$H658,'⚙️ Pengaturan'!$I$5:$I658),"")</f>
        <v>TIM Y</v>
      </c>
      <c r="N106" s="16" t="s">
        <v>1132</v>
      </c>
      <c r="O106" s="16" t="s">
        <v>1133</v>
      </c>
      <c r="P106" s="153">
        <f t="shared" si="4"/>
        <v>5</v>
      </c>
      <c r="Q106" s="154">
        <v>45937.0</v>
      </c>
      <c r="R106" s="154">
        <v>45937.0</v>
      </c>
      <c r="S106" s="154">
        <v>45938.0</v>
      </c>
      <c r="T106" s="154">
        <v>45938.0</v>
      </c>
      <c r="U106" s="154">
        <v>45939.0</v>
      </c>
      <c r="V106" s="154"/>
      <c r="W106" s="154"/>
      <c r="X106" s="154"/>
      <c r="Y106" s="154"/>
      <c r="Z106" s="154"/>
      <c r="AA106" s="155">
        <f t="shared" si="5"/>
        <v>45939</v>
      </c>
      <c r="AB106" s="16" t="s">
        <v>1134</v>
      </c>
      <c r="AC106" s="16" t="s">
        <v>1135</v>
      </c>
      <c r="AD106" s="109" t="s">
        <v>1196</v>
      </c>
      <c r="AE106" s="156">
        <f t="shared" si="6"/>
        <v>45939</v>
      </c>
      <c r="AF106" s="107" t="str">
        <f t="shared" si="7"/>
        <v>2025</v>
      </c>
      <c r="AG106" s="107" t="str">
        <f t="shared" si="8"/>
        <v>10 Okt</v>
      </c>
      <c r="AH106" s="107" t="str">
        <f t="shared" si="9"/>
        <v>Kam</v>
      </c>
      <c r="AI106" s="157">
        <f t="shared" si="10"/>
        <v>1</v>
      </c>
      <c r="AJ106" s="158"/>
      <c r="AK106" s="159"/>
      <c r="AL106" s="158"/>
      <c r="AM106" s="158">
        <f t="shared" si="11"/>
        <v>0</v>
      </c>
    </row>
    <row r="107" ht="22.5" customHeight="1">
      <c r="A107" s="167"/>
      <c r="B107" s="163" t="s">
        <v>86</v>
      </c>
      <c r="C107" s="163" t="s">
        <v>1131</v>
      </c>
      <c r="D107" s="161">
        <v>45945.0</v>
      </c>
      <c r="E107" s="124" t="str">
        <f t="shared" si="1"/>
        <v>2025</v>
      </c>
      <c r="F107" s="124" t="str">
        <f t="shared" si="2"/>
        <v>10 Okt</v>
      </c>
      <c r="G107" s="124" t="str">
        <f t="shared" si="3"/>
        <v>Rabu</v>
      </c>
      <c r="H107" s="16" t="s">
        <v>225</v>
      </c>
      <c r="I107" s="125" t="str">
        <f t="array" ref="I107">IFNA(XLOOKUP($H107,'🙎‍♂️ Pasien'!$G$7:$G658,'🙎‍♂️ Pasien'!$H$7:$H658),"")</f>
        <v>B8025102288</v>
      </c>
      <c r="J107" s="125" t="str">
        <f t="array" ref="J107">IFNA(XLOOKUP($H107,'🙎‍♂️ Pasien'!$G$7:$G658,'🙎‍♂️ Pasien'!$L$7:$L658),"")</f>
        <v>PEREMPUAN</v>
      </c>
      <c r="K107" s="125">
        <f t="array" ref="K107">IFNA(XLOOKUP($H107,'🙎‍♂️ Pasien'!$G$7:$G658,'🙎‍♂️ Pasien'!$I$7:$I658),"")</f>
        <v>45</v>
      </c>
      <c r="L107" s="16" t="s">
        <v>91</v>
      </c>
      <c r="M107" s="125" t="str">
        <f t="array" ref="M107">IFNA(XLOOKUP(L107,'⚙️ Pengaturan'!$H$5:$H658,'⚙️ Pengaturan'!$I$5:$I658),"")</f>
        <v>TIM Y</v>
      </c>
      <c r="N107" s="16" t="s">
        <v>1132</v>
      </c>
      <c r="O107" s="16" t="s">
        <v>1133</v>
      </c>
      <c r="P107" s="153">
        <f t="shared" si="4"/>
        <v>5</v>
      </c>
      <c r="Q107" s="154">
        <v>45945.0</v>
      </c>
      <c r="R107" s="154">
        <v>45948.0</v>
      </c>
      <c r="S107" s="154">
        <v>45951.0</v>
      </c>
      <c r="T107" s="154">
        <v>45953.0</v>
      </c>
      <c r="U107" s="154">
        <v>45955.0</v>
      </c>
      <c r="V107" s="154"/>
      <c r="W107" s="154"/>
      <c r="X107" s="154"/>
      <c r="Y107" s="154"/>
      <c r="Z107" s="154"/>
      <c r="AA107" s="155">
        <f t="shared" si="5"/>
        <v>45955</v>
      </c>
      <c r="AB107" s="16" t="s">
        <v>1134</v>
      </c>
      <c r="AC107" s="16" t="s">
        <v>1138</v>
      </c>
      <c r="AD107" s="170"/>
      <c r="AE107" s="156">
        <f t="shared" si="6"/>
        <v>45955</v>
      </c>
      <c r="AF107" s="107" t="str">
        <f t="shared" si="7"/>
        <v>2025</v>
      </c>
      <c r="AG107" s="107" t="str">
        <f t="shared" si="8"/>
        <v>10 Okt</v>
      </c>
      <c r="AH107" s="107" t="str">
        <f t="shared" si="9"/>
        <v>Sab</v>
      </c>
      <c r="AI107" s="157">
        <f t="shared" si="10"/>
        <v>2</v>
      </c>
      <c r="AJ107" s="96"/>
      <c r="AK107" s="169"/>
      <c r="AL107" s="96"/>
      <c r="AM107" s="158">
        <f t="shared" si="11"/>
        <v>0</v>
      </c>
    </row>
    <row r="108" ht="22.5" customHeight="1">
      <c r="A108" s="167"/>
      <c r="B108" s="163" t="s">
        <v>54</v>
      </c>
      <c r="C108" s="163" t="s">
        <v>1131</v>
      </c>
      <c r="D108" s="161">
        <v>45955.0</v>
      </c>
      <c r="E108" s="124" t="str">
        <f t="shared" si="1"/>
        <v>2025</v>
      </c>
      <c r="F108" s="124" t="str">
        <f t="shared" si="2"/>
        <v>10 Okt</v>
      </c>
      <c r="G108" s="124" t="str">
        <f t="shared" si="3"/>
        <v>Sabtu</v>
      </c>
      <c r="H108" s="16" t="s">
        <v>225</v>
      </c>
      <c r="I108" s="125" t="str">
        <f t="array" ref="I108">IFNA(XLOOKUP($H108,'🙎‍♂️ Pasien'!$G$7:$G658,'🙎‍♂️ Pasien'!$H$7:$H658),"")</f>
        <v>B8025102288</v>
      </c>
      <c r="J108" s="125" t="str">
        <f t="array" ref="J108">IFNA(XLOOKUP($H108,'🙎‍♂️ Pasien'!$G$7:$G658,'🙎‍♂️ Pasien'!$L$7:$L658),"")</f>
        <v>PEREMPUAN</v>
      </c>
      <c r="K108" s="125">
        <f t="array" ref="K108">IFNA(XLOOKUP($H108,'🙎‍♂️ Pasien'!$G$7:$G658,'🙎‍♂️ Pasien'!$I$7:$I658),"")</f>
        <v>45</v>
      </c>
      <c r="L108" s="16" t="s">
        <v>107</v>
      </c>
      <c r="M108" s="125" t="str">
        <f t="array" ref="M108">IFNA(XLOOKUP(L108,'⚙️ Pengaturan'!$H$5:$H658,'⚙️ Pengaturan'!$I$5:$I658),"")</f>
        <v>TIM Y</v>
      </c>
      <c r="N108" s="16" t="s">
        <v>1132</v>
      </c>
      <c r="O108" s="16" t="s">
        <v>1139</v>
      </c>
      <c r="P108" s="153">
        <f t="shared" si="4"/>
        <v>5</v>
      </c>
      <c r="Q108" s="154">
        <v>45958.0</v>
      </c>
      <c r="R108" s="154">
        <v>45959.0</v>
      </c>
      <c r="S108" s="154">
        <v>45962.0</v>
      </c>
      <c r="T108" s="154">
        <v>45966.0</v>
      </c>
      <c r="U108" s="154">
        <v>45969.0</v>
      </c>
      <c r="V108" s="154"/>
      <c r="W108" s="154"/>
      <c r="X108" s="154"/>
      <c r="Y108" s="154"/>
      <c r="Z108" s="154"/>
      <c r="AA108" s="155">
        <f t="shared" si="5"/>
        <v>45969</v>
      </c>
      <c r="AB108" s="16" t="s">
        <v>1134</v>
      </c>
      <c r="AC108" s="16" t="s">
        <v>1138</v>
      </c>
      <c r="AD108" s="170"/>
      <c r="AE108" s="156">
        <f t="shared" si="6"/>
        <v>45969</v>
      </c>
      <c r="AF108" s="107" t="str">
        <f t="shared" si="7"/>
        <v>2025</v>
      </c>
      <c r="AG108" s="107" t="str">
        <f t="shared" si="8"/>
        <v>11 Nov</v>
      </c>
      <c r="AH108" s="107" t="str">
        <f t="shared" si="9"/>
        <v>Sab</v>
      </c>
      <c r="AI108" s="157">
        <f t="shared" si="10"/>
        <v>2</v>
      </c>
      <c r="AJ108" s="96"/>
      <c r="AK108" s="169"/>
      <c r="AL108" s="96"/>
      <c r="AM108" s="158">
        <f t="shared" si="11"/>
        <v>0</v>
      </c>
    </row>
    <row r="109" ht="22.5" customHeight="1">
      <c r="A109" s="167"/>
      <c r="B109" s="163" t="s">
        <v>54</v>
      </c>
      <c r="C109" s="163" t="s">
        <v>1131</v>
      </c>
      <c r="D109" s="161">
        <v>45969.0</v>
      </c>
      <c r="E109" s="124" t="str">
        <f t="shared" si="1"/>
        <v>2025</v>
      </c>
      <c r="F109" s="124" t="str">
        <f t="shared" si="2"/>
        <v>11 Nov</v>
      </c>
      <c r="G109" s="124" t="str">
        <f t="shared" si="3"/>
        <v>Sabtu</v>
      </c>
      <c r="H109" s="16" t="s">
        <v>225</v>
      </c>
      <c r="I109" s="125" t="str">
        <f t="array" ref="I109">IFNA(XLOOKUP($H109,'🙎‍♂️ Pasien'!$G$7:$G658,'🙎‍♂️ Pasien'!$H$7:$H658),"")</f>
        <v>B8025102288</v>
      </c>
      <c r="J109" s="125" t="str">
        <f t="array" ref="J109">IFNA(XLOOKUP($H109,'🙎‍♂️ Pasien'!$G$7:$G658,'🙎‍♂️ Pasien'!$L$7:$L658),"")</f>
        <v>PEREMPUAN</v>
      </c>
      <c r="K109" s="125">
        <f t="array" ref="K109">IFNA(XLOOKUP($H109,'🙎‍♂️ Pasien'!$G$7:$G658,'🙎‍♂️ Pasien'!$I$7:$I658),"")</f>
        <v>45</v>
      </c>
      <c r="L109" s="16" t="s">
        <v>91</v>
      </c>
      <c r="M109" s="125" t="str">
        <f t="array" ref="M109">IFNA(XLOOKUP(L109,'⚙️ Pengaturan'!$H$5:$H658,'⚙️ Pengaturan'!$I$5:$I658),"")</f>
        <v>TIM Y</v>
      </c>
      <c r="N109" s="16" t="s">
        <v>1132</v>
      </c>
      <c r="O109" s="16" t="s">
        <v>1139</v>
      </c>
      <c r="P109" s="153">
        <f t="shared" si="4"/>
        <v>5</v>
      </c>
      <c r="Q109" s="154">
        <v>45973.0</v>
      </c>
      <c r="R109" s="154">
        <v>45976.0</v>
      </c>
      <c r="S109" s="154">
        <v>45980.0</v>
      </c>
      <c r="T109" s="154">
        <v>45983.0</v>
      </c>
      <c r="U109" s="154">
        <v>45987.0</v>
      </c>
      <c r="V109" s="154"/>
      <c r="W109" s="154"/>
      <c r="X109" s="154"/>
      <c r="Y109" s="154"/>
      <c r="Z109" s="154"/>
      <c r="AA109" s="155">
        <f t="shared" si="5"/>
        <v>45987</v>
      </c>
      <c r="AB109" s="16" t="s">
        <v>1134</v>
      </c>
      <c r="AC109" s="16" t="s">
        <v>1138</v>
      </c>
      <c r="AD109" s="170"/>
      <c r="AE109" s="156">
        <f t="shared" si="6"/>
        <v>45987</v>
      </c>
      <c r="AF109" s="107" t="str">
        <f t="shared" si="7"/>
        <v>2025</v>
      </c>
      <c r="AG109" s="107" t="str">
        <f t="shared" si="8"/>
        <v>11 Nov</v>
      </c>
      <c r="AH109" s="107" t="str">
        <f t="shared" si="9"/>
        <v>Rab</v>
      </c>
      <c r="AI109" s="157">
        <f t="shared" si="10"/>
        <v>2</v>
      </c>
      <c r="AJ109" s="96"/>
      <c r="AK109" s="169"/>
      <c r="AL109" s="96"/>
      <c r="AM109" s="158">
        <f t="shared" si="11"/>
        <v>0</v>
      </c>
    </row>
    <row r="110" ht="22.5" customHeight="1">
      <c r="A110" s="167"/>
      <c r="B110" s="163" t="s">
        <v>54</v>
      </c>
      <c r="C110" s="163" t="s">
        <v>1131</v>
      </c>
      <c r="D110" s="161">
        <v>45990.0</v>
      </c>
      <c r="E110" s="124" t="str">
        <f t="shared" si="1"/>
        <v>2025</v>
      </c>
      <c r="F110" s="124" t="str">
        <f t="shared" si="2"/>
        <v>11 Nov</v>
      </c>
      <c r="G110" s="124" t="str">
        <f t="shared" si="3"/>
        <v>Sabtu</v>
      </c>
      <c r="H110" s="16" t="s">
        <v>225</v>
      </c>
      <c r="I110" s="125" t="str">
        <f t="array" ref="I110">IFNA(XLOOKUP($H110,'🙎‍♂️ Pasien'!$G$7:$G658,'🙎‍♂️ Pasien'!$H$7:$H658),"")</f>
        <v>B8025102288</v>
      </c>
      <c r="J110" s="125" t="str">
        <f t="array" ref="J110">IFNA(XLOOKUP($H110,'🙎‍♂️ Pasien'!$G$7:$G658,'🙎‍♂️ Pasien'!$L$7:$L658),"")</f>
        <v>PEREMPUAN</v>
      </c>
      <c r="K110" s="125">
        <f t="array" ref="K110">IFNA(XLOOKUP($H110,'🙎‍♂️ Pasien'!$G$7:$G658,'🙎‍♂️ Pasien'!$I$7:$I658),"")</f>
        <v>45</v>
      </c>
      <c r="L110" s="16" t="s">
        <v>107</v>
      </c>
      <c r="M110" s="125" t="str">
        <f t="array" ref="M110">IFNA(XLOOKUP(L110,'⚙️ Pengaturan'!$H$5:$H658,'⚙️ Pengaturan'!$I$5:$I658),"")</f>
        <v>TIM Y</v>
      </c>
      <c r="N110" s="16" t="s">
        <v>1132</v>
      </c>
      <c r="O110" s="16" t="s">
        <v>1139</v>
      </c>
      <c r="P110" s="153">
        <f t="shared" si="4"/>
        <v>5</v>
      </c>
      <c r="Q110" s="154">
        <v>45990.0</v>
      </c>
      <c r="R110" s="154">
        <v>45993.0</v>
      </c>
      <c r="S110" s="154">
        <v>45996.0</v>
      </c>
      <c r="T110" s="154">
        <v>46001.0</v>
      </c>
      <c r="U110" s="154">
        <v>46004.0</v>
      </c>
      <c r="V110" s="154"/>
      <c r="W110" s="154"/>
      <c r="X110" s="154"/>
      <c r="Y110" s="154"/>
      <c r="Z110" s="154"/>
      <c r="AA110" s="155">
        <f t="shared" si="5"/>
        <v>46004</v>
      </c>
      <c r="AB110" s="16" t="s">
        <v>1134</v>
      </c>
      <c r="AC110" s="16" t="s">
        <v>1138</v>
      </c>
      <c r="AD110" s="170"/>
      <c r="AE110" s="156">
        <f t="shared" si="6"/>
        <v>46004</v>
      </c>
      <c r="AF110" s="107" t="str">
        <f t="shared" si="7"/>
        <v>2025</v>
      </c>
      <c r="AG110" s="107" t="str">
        <f t="shared" si="8"/>
        <v>12 Des</v>
      </c>
      <c r="AH110" s="107" t="str">
        <f t="shared" si="9"/>
        <v>Sab</v>
      </c>
      <c r="AI110" s="157">
        <f t="shared" si="10"/>
        <v>2</v>
      </c>
      <c r="AJ110" s="96"/>
      <c r="AK110" s="169"/>
      <c r="AL110" s="96"/>
      <c r="AM110" s="158">
        <f t="shared" si="11"/>
        <v>0</v>
      </c>
    </row>
    <row r="111" ht="22.5" customHeight="1">
      <c r="A111" s="167"/>
      <c r="B111" s="163" t="s">
        <v>54</v>
      </c>
      <c r="C111" s="163" t="s">
        <v>1131</v>
      </c>
      <c r="D111" s="161">
        <v>46007.0</v>
      </c>
      <c r="E111" s="124" t="str">
        <f t="shared" si="1"/>
        <v>2025</v>
      </c>
      <c r="F111" s="124" t="str">
        <f t="shared" si="2"/>
        <v>12 Des</v>
      </c>
      <c r="G111" s="124" t="str">
        <f t="shared" si="3"/>
        <v>Selasa</v>
      </c>
      <c r="H111" s="16" t="s">
        <v>225</v>
      </c>
      <c r="I111" s="125" t="str">
        <f t="array" ref="I111">IFNA(XLOOKUP($H111,'🙎‍♂️ Pasien'!$G$7:$G658,'🙎‍♂️ Pasien'!$H$7:$H658),"")</f>
        <v>B8025102288</v>
      </c>
      <c r="J111" s="125" t="str">
        <f t="array" ref="J111">IFNA(XLOOKUP($H111,'🙎‍♂️ Pasien'!$G$7:$G658,'🙎‍♂️ Pasien'!$L$7:$L658),"")</f>
        <v>PEREMPUAN</v>
      </c>
      <c r="K111" s="125">
        <f t="array" ref="K111">IFNA(XLOOKUP($H111,'🙎‍♂️ Pasien'!$G$7:$G658,'🙎‍♂️ Pasien'!$I$7:$I658),"")</f>
        <v>45</v>
      </c>
      <c r="L111" s="16" t="s">
        <v>91</v>
      </c>
      <c r="M111" s="125" t="str">
        <f t="array" ref="M111">IFNA(XLOOKUP(L111,'⚙️ Pengaturan'!$H$5:$H658,'⚙️ Pengaturan'!$I$5:$I658),"")</f>
        <v>TIM Y</v>
      </c>
      <c r="N111" s="16" t="s">
        <v>1132</v>
      </c>
      <c r="O111" s="16" t="s">
        <v>1139</v>
      </c>
      <c r="P111" s="153">
        <f t="shared" si="4"/>
        <v>4</v>
      </c>
      <c r="Q111" s="154">
        <v>46007.0</v>
      </c>
      <c r="R111" s="154">
        <v>46010.0</v>
      </c>
      <c r="S111" s="154">
        <v>46014.0</v>
      </c>
      <c r="T111" s="154">
        <v>46018.0</v>
      </c>
      <c r="U111" s="154"/>
      <c r="V111" s="154"/>
      <c r="W111" s="154"/>
      <c r="X111" s="154"/>
      <c r="Y111" s="154"/>
      <c r="Z111" s="154"/>
      <c r="AA111" s="155">
        <f t="shared" si="5"/>
        <v>46018</v>
      </c>
      <c r="AB111" s="16" t="s">
        <v>1144</v>
      </c>
      <c r="AC111" s="20"/>
      <c r="AD111" s="170"/>
      <c r="AE111" s="156" t="str">
        <f t="shared" si="6"/>
        <v/>
      </c>
      <c r="AF111" s="107" t="str">
        <f t="shared" si="7"/>
        <v/>
      </c>
      <c r="AG111" s="107" t="str">
        <f t="shared" si="8"/>
        <v/>
      </c>
      <c r="AH111" s="107" t="str">
        <f t="shared" si="9"/>
        <v/>
      </c>
      <c r="AI111" s="157">
        <f t="shared" si="10"/>
        <v>25</v>
      </c>
      <c r="AJ111" s="96"/>
      <c r="AK111" s="169"/>
      <c r="AL111" s="96"/>
      <c r="AM111" s="158">
        <f t="shared" si="11"/>
        <v>0</v>
      </c>
    </row>
    <row r="112" ht="22.5" customHeight="1">
      <c r="A112" s="10"/>
      <c r="B112" s="160" t="s">
        <v>446</v>
      </c>
      <c r="C112" s="172"/>
      <c r="D112" s="173">
        <v>45755.0</v>
      </c>
      <c r="E112" s="124" t="str">
        <f t="shared" si="1"/>
        <v>2025</v>
      </c>
      <c r="F112" s="124" t="str">
        <f t="shared" si="2"/>
        <v>04 Apr</v>
      </c>
      <c r="G112" s="124" t="str">
        <f t="shared" si="3"/>
        <v>Selasa</v>
      </c>
      <c r="H112" s="160" t="s">
        <v>1197</v>
      </c>
      <c r="I112" s="125" t="str">
        <f t="array" ref="I112">IFNA(XLOOKUP($H112,'🙎‍♂️ Pasien'!$G$7:$G658,'🙎‍♂️ Pasien'!$H$7:$H658),"")</f>
        <v>B8925045599</v>
      </c>
      <c r="J112" s="125" t="str">
        <f t="array" ref="J112">IFNA(XLOOKUP($H112,'🙎‍♂️ Pasien'!$G$7:$G658,'🙎‍♂️ Pasien'!$L$7:$L658),"")</f>
        <v>LAKI-LAKI</v>
      </c>
      <c r="K112" s="125">
        <f t="array" ref="K112">IFNA(XLOOKUP($H112,'🙎‍♂️ Pasien'!$G$7:$G658,'🙎‍♂️ Pasien'!$I$7:$I658),"")</f>
        <v>37</v>
      </c>
      <c r="L112" s="160" t="s">
        <v>1152</v>
      </c>
      <c r="M112" s="162" t="str">
        <f t="array" ref="M112">IFNA(XLOOKUP(L112,'⚙️ Pengaturan'!$H$5:$H658,'⚙️ Pengaturan'!$I$5:$I658),"")</f>
        <v>INAKTIF</v>
      </c>
      <c r="N112" s="160" t="s">
        <v>1132</v>
      </c>
      <c r="O112" s="160" t="s">
        <v>1133</v>
      </c>
      <c r="P112" s="153">
        <f t="shared" si="4"/>
        <v>1</v>
      </c>
      <c r="Q112" s="164">
        <v>45755.0</v>
      </c>
      <c r="R112" s="164"/>
      <c r="S112" s="164"/>
      <c r="T112" s="164"/>
      <c r="U112" s="164"/>
      <c r="V112" s="164"/>
      <c r="W112" s="164"/>
      <c r="X112" s="164"/>
      <c r="Y112" s="164"/>
      <c r="Z112" s="164"/>
      <c r="AA112" s="165">
        <f t="shared" si="5"/>
        <v>45755</v>
      </c>
      <c r="AB112" s="160" t="s">
        <v>1144</v>
      </c>
      <c r="AC112" s="174"/>
      <c r="AD112" s="166"/>
      <c r="AE112" s="156" t="str">
        <f t="shared" si="6"/>
        <v/>
      </c>
      <c r="AF112" s="107" t="str">
        <f t="shared" si="7"/>
        <v/>
      </c>
      <c r="AG112" s="107" t="str">
        <f t="shared" si="8"/>
        <v/>
      </c>
      <c r="AH112" s="107" t="str">
        <f t="shared" si="9"/>
        <v/>
      </c>
      <c r="AI112" s="157">
        <f t="shared" si="10"/>
        <v>61</v>
      </c>
      <c r="AJ112" s="158"/>
      <c r="AK112" s="159"/>
      <c r="AL112" s="158"/>
      <c r="AM112" s="158">
        <f t="shared" si="11"/>
        <v>0</v>
      </c>
    </row>
    <row r="113" ht="22.5" customHeight="1">
      <c r="A113" s="10"/>
      <c r="B113" s="160" t="s">
        <v>134</v>
      </c>
      <c r="C113" s="160" t="s">
        <v>1131</v>
      </c>
      <c r="D113" s="161">
        <v>45856.0</v>
      </c>
      <c r="E113" s="124" t="str">
        <f t="shared" si="1"/>
        <v>2025</v>
      </c>
      <c r="F113" s="124" t="str">
        <f t="shared" si="2"/>
        <v>07 Jul</v>
      </c>
      <c r="G113" s="124" t="str">
        <f t="shared" si="3"/>
        <v>Jumat</v>
      </c>
      <c r="H113" s="160" t="s">
        <v>102</v>
      </c>
      <c r="I113" s="125" t="str">
        <f t="array" ref="I113">IFNA(XLOOKUP($H113,'🙎‍♂️ Pasien'!$G$7:$G658,'🙎‍♂️ Pasien'!$H$7:$H658),"")</f>
        <v>B8525075344</v>
      </c>
      <c r="J113" s="125" t="str">
        <f t="array" ref="J113">IFNA(XLOOKUP($H113,'🙎‍♂️ Pasien'!$G$7:$G658,'🙎‍♂️ Pasien'!$L$7:$L658),"")</f>
        <v>LAKI-LAKI</v>
      </c>
      <c r="K113" s="125">
        <f t="array" ref="K113">IFNA(XLOOKUP($H113,'🙎‍♂️ Pasien'!$G$7:$G658,'🙎‍♂️ Pasien'!$I$7:$I658),"")</f>
        <v>40</v>
      </c>
      <c r="L113" s="160" t="s">
        <v>101</v>
      </c>
      <c r="M113" s="162" t="str">
        <f t="array" ref="M113">IFNA(XLOOKUP(L113,'⚙️ Pengaturan'!$H$5:$H658,'⚙️ Pengaturan'!$I$5:$I658),"")</f>
        <v>MANAJEMEN</v>
      </c>
      <c r="N113" s="163" t="s">
        <v>1132</v>
      </c>
      <c r="O113" s="160" t="s">
        <v>1133</v>
      </c>
      <c r="P113" s="153">
        <f t="shared" si="4"/>
        <v>5</v>
      </c>
      <c r="Q113" s="164">
        <v>45859.0</v>
      </c>
      <c r="R113" s="164">
        <v>45862.0</v>
      </c>
      <c r="S113" s="164">
        <v>45866.0</v>
      </c>
      <c r="T113" s="164">
        <v>45869.0</v>
      </c>
      <c r="U113" s="164">
        <v>45875.0</v>
      </c>
      <c r="V113" s="164"/>
      <c r="W113" s="164"/>
      <c r="X113" s="164"/>
      <c r="Y113" s="164"/>
      <c r="Z113" s="164"/>
      <c r="AA113" s="165">
        <f t="shared" si="5"/>
        <v>45875</v>
      </c>
      <c r="AB113" s="160" t="s">
        <v>1134</v>
      </c>
      <c r="AC113" s="160" t="s">
        <v>1138</v>
      </c>
      <c r="AD113" s="166"/>
      <c r="AE113" s="156">
        <f t="shared" si="6"/>
        <v>45875</v>
      </c>
      <c r="AF113" s="107" t="str">
        <f t="shared" si="7"/>
        <v>2025</v>
      </c>
      <c r="AG113" s="107" t="str">
        <f t="shared" si="8"/>
        <v>08 Agu</v>
      </c>
      <c r="AH113" s="107" t="str">
        <f t="shared" si="9"/>
        <v>Rab</v>
      </c>
      <c r="AI113" s="157">
        <f t="shared" si="10"/>
        <v>3</v>
      </c>
      <c r="AJ113" s="158"/>
      <c r="AK113" s="159"/>
      <c r="AL113" s="158"/>
      <c r="AM113" s="158">
        <f t="shared" si="11"/>
        <v>0</v>
      </c>
    </row>
    <row r="114" ht="22.5" customHeight="1">
      <c r="A114" s="10"/>
      <c r="B114" s="160" t="s">
        <v>134</v>
      </c>
      <c r="C114" s="160" t="s">
        <v>1131</v>
      </c>
      <c r="D114" s="161">
        <v>45875.0</v>
      </c>
      <c r="E114" s="124" t="str">
        <f t="shared" si="1"/>
        <v>2025</v>
      </c>
      <c r="F114" s="124" t="str">
        <f t="shared" si="2"/>
        <v>08 Agu</v>
      </c>
      <c r="G114" s="124" t="str">
        <f t="shared" si="3"/>
        <v>Rabu</v>
      </c>
      <c r="H114" s="160" t="s">
        <v>102</v>
      </c>
      <c r="I114" s="125" t="str">
        <f t="array" ref="I114">IFNA(XLOOKUP($H114,'🙎‍♂️ Pasien'!$G$7:$G658,'🙎‍♂️ Pasien'!$H$7:$H658),"")</f>
        <v>B8525075344</v>
      </c>
      <c r="J114" s="125" t="str">
        <f t="array" ref="J114">IFNA(XLOOKUP($H114,'🙎‍♂️ Pasien'!$G$7:$G658,'🙎‍♂️ Pasien'!$L$7:$L658),"")</f>
        <v>LAKI-LAKI</v>
      </c>
      <c r="K114" s="125">
        <f t="array" ref="K114">IFNA(XLOOKUP($H114,'🙎‍♂️ Pasien'!$G$7:$G658,'🙎‍♂️ Pasien'!$I$7:$I658),"")</f>
        <v>40</v>
      </c>
      <c r="L114" s="160" t="s">
        <v>101</v>
      </c>
      <c r="M114" s="162" t="str">
        <f t="array" ref="M114">IFNA(XLOOKUP(L114,'⚙️ Pengaturan'!$H$5:$H658,'⚙️ Pengaturan'!$I$5:$I658),"")</f>
        <v>MANAJEMEN</v>
      </c>
      <c r="N114" s="163" t="s">
        <v>1132</v>
      </c>
      <c r="O114" s="160" t="s">
        <v>1139</v>
      </c>
      <c r="P114" s="153">
        <f t="shared" si="4"/>
        <v>5</v>
      </c>
      <c r="Q114" s="164">
        <v>45881.0</v>
      </c>
      <c r="R114" s="164">
        <v>45883.0</v>
      </c>
      <c r="S114" s="164">
        <v>45888.0</v>
      </c>
      <c r="T114" s="164">
        <v>45890.0</v>
      </c>
      <c r="U114" s="164">
        <v>45895.0</v>
      </c>
      <c r="V114" s="164"/>
      <c r="W114" s="164"/>
      <c r="X114" s="164"/>
      <c r="Y114" s="164"/>
      <c r="Z114" s="164"/>
      <c r="AA114" s="165">
        <f t="shared" si="5"/>
        <v>45895</v>
      </c>
      <c r="AB114" s="160" t="s">
        <v>1134</v>
      </c>
      <c r="AC114" s="160" t="s">
        <v>1138</v>
      </c>
      <c r="AD114" s="166"/>
      <c r="AE114" s="156">
        <f t="shared" si="6"/>
        <v>45895</v>
      </c>
      <c r="AF114" s="107" t="str">
        <f t="shared" si="7"/>
        <v>2025</v>
      </c>
      <c r="AG114" s="107" t="str">
        <f t="shared" si="8"/>
        <v>08 Agu</v>
      </c>
      <c r="AH114" s="107" t="str">
        <f t="shared" si="9"/>
        <v>Sel</v>
      </c>
      <c r="AI114" s="157">
        <f t="shared" si="10"/>
        <v>2</v>
      </c>
      <c r="AJ114" s="158"/>
      <c r="AK114" s="159"/>
      <c r="AL114" s="158"/>
      <c r="AM114" s="158">
        <f t="shared" si="11"/>
        <v>0</v>
      </c>
    </row>
    <row r="115" ht="22.5" customHeight="1">
      <c r="A115" s="10"/>
      <c r="B115" s="160" t="s">
        <v>86</v>
      </c>
      <c r="C115" s="160" t="s">
        <v>1131</v>
      </c>
      <c r="D115" s="161">
        <v>45895.0</v>
      </c>
      <c r="E115" s="124" t="str">
        <f t="shared" si="1"/>
        <v>2025</v>
      </c>
      <c r="F115" s="124" t="str">
        <f t="shared" si="2"/>
        <v>08 Agu</v>
      </c>
      <c r="G115" s="124" t="str">
        <f t="shared" si="3"/>
        <v>Selasa</v>
      </c>
      <c r="H115" s="160" t="s">
        <v>102</v>
      </c>
      <c r="I115" s="125" t="str">
        <f t="array" ref="I115">IFNA(XLOOKUP($H115,'🙎‍♂️ Pasien'!$G$7:$G658,'🙎‍♂️ Pasien'!$H$7:$H658),"")</f>
        <v>B8525075344</v>
      </c>
      <c r="J115" s="125" t="str">
        <f t="array" ref="J115">IFNA(XLOOKUP($H115,'🙎‍♂️ Pasien'!$G$7:$G658,'🙎‍♂️ Pasien'!$L$7:$L658),"")</f>
        <v>LAKI-LAKI</v>
      </c>
      <c r="K115" s="125">
        <f t="array" ref="K115">IFNA(XLOOKUP($H115,'🙎‍♂️ Pasien'!$G$7:$G658,'🙎‍♂️ Pasien'!$I$7:$I658),"")</f>
        <v>40</v>
      </c>
      <c r="L115" s="160" t="s">
        <v>101</v>
      </c>
      <c r="M115" s="162" t="str">
        <f t="array" ref="M115">IFNA(XLOOKUP(L115,'⚙️ Pengaturan'!$H$5:$H658,'⚙️ Pengaturan'!$I$5:$I658),"")</f>
        <v>MANAJEMEN</v>
      </c>
      <c r="N115" s="163" t="s">
        <v>1137</v>
      </c>
      <c r="O115" s="160" t="s">
        <v>1139</v>
      </c>
      <c r="P115" s="153">
        <f t="shared" si="4"/>
        <v>10</v>
      </c>
      <c r="Q115" s="164">
        <v>45897.0</v>
      </c>
      <c r="R115" s="164">
        <v>45901.0</v>
      </c>
      <c r="S115" s="164">
        <v>45904.0</v>
      </c>
      <c r="T115" s="164">
        <v>45908.0</v>
      </c>
      <c r="U115" s="164">
        <v>45911.0</v>
      </c>
      <c r="V115" s="164">
        <v>45915.0</v>
      </c>
      <c r="W115" s="164">
        <v>45918.0</v>
      </c>
      <c r="X115" s="164">
        <v>45922.0</v>
      </c>
      <c r="Y115" s="164">
        <v>45929.0</v>
      </c>
      <c r="Z115" s="164">
        <v>45936.0</v>
      </c>
      <c r="AA115" s="165">
        <f t="shared" si="5"/>
        <v>45936</v>
      </c>
      <c r="AB115" s="160" t="s">
        <v>1134</v>
      </c>
      <c r="AC115" s="160" t="s">
        <v>1138</v>
      </c>
      <c r="AD115" s="166"/>
      <c r="AE115" s="156">
        <f t="shared" si="6"/>
        <v>45936</v>
      </c>
      <c r="AF115" s="107" t="str">
        <f t="shared" si="7"/>
        <v>2025</v>
      </c>
      <c r="AG115" s="107" t="str">
        <f t="shared" si="8"/>
        <v>10 Okt</v>
      </c>
      <c r="AH115" s="107" t="str">
        <f t="shared" si="9"/>
        <v>Sen</v>
      </c>
      <c r="AI115" s="157">
        <f t="shared" si="10"/>
        <v>6</v>
      </c>
      <c r="AJ115" s="158"/>
      <c r="AK115" s="159"/>
      <c r="AL115" s="158"/>
      <c r="AM115" s="158">
        <f t="shared" si="11"/>
        <v>0</v>
      </c>
    </row>
    <row r="116" ht="22.5" customHeight="1">
      <c r="A116" s="10"/>
      <c r="B116" s="160" t="s">
        <v>86</v>
      </c>
      <c r="C116" s="160" t="s">
        <v>1131</v>
      </c>
      <c r="D116" s="161">
        <v>45939.0</v>
      </c>
      <c r="E116" s="124" t="str">
        <f t="shared" si="1"/>
        <v>2025</v>
      </c>
      <c r="F116" s="124" t="str">
        <f t="shared" si="2"/>
        <v>10 Okt</v>
      </c>
      <c r="G116" s="124" t="str">
        <f t="shared" si="3"/>
        <v>Kamis</v>
      </c>
      <c r="H116" s="160" t="s">
        <v>102</v>
      </c>
      <c r="I116" s="125" t="str">
        <f t="array" ref="I116">IFNA(XLOOKUP($H116,'🙎‍♂️ Pasien'!$G$7:$G658,'🙎‍♂️ Pasien'!$H$7:$H658),"")</f>
        <v>B8525075344</v>
      </c>
      <c r="J116" s="125" t="str">
        <f t="array" ref="J116">IFNA(XLOOKUP($H116,'🙎‍♂️ Pasien'!$G$7:$G658,'🙎‍♂️ Pasien'!$L$7:$L658),"")</f>
        <v>LAKI-LAKI</v>
      </c>
      <c r="K116" s="125">
        <f t="array" ref="K116">IFNA(XLOOKUP($H116,'🙎‍♂️ Pasien'!$G$7:$G658,'🙎‍♂️ Pasien'!$I$7:$I658),"")</f>
        <v>40</v>
      </c>
      <c r="L116" s="160" t="s">
        <v>101</v>
      </c>
      <c r="M116" s="162" t="str">
        <f t="array" ref="M116">IFNA(XLOOKUP(L116,'⚙️ Pengaturan'!$H$5:$H658,'⚙️ Pengaturan'!$I$5:$I658),"")</f>
        <v>MANAJEMEN</v>
      </c>
      <c r="N116" s="163" t="s">
        <v>1137</v>
      </c>
      <c r="O116" s="160" t="s">
        <v>1139</v>
      </c>
      <c r="P116" s="153">
        <f t="shared" si="4"/>
        <v>10</v>
      </c>
      <c r="Q116" s="164">
        <v>45939.0</v>
      </c>
      <c r="R116" s="164">
        <v>45943.0</v>
      </c>
      <c r="S116" s="164">
        <v>45946.0</v>
      </c>
      <c r="T116" s="164">
        <v>45951.0</v>
      </c>
      <c r="U116" s="164">
        <v>45953.0</v>
      </c>
      <c r="V116" s="164">
        <v>45957.0</v>
      </c>
      <c r="W116" s="164">
        <v>45960.0</v>
      </c>
      <c r="X116" s="164">
        <v>45964.0</v>
      </c>
      <c r="Y116" s="164">
        <v>45967.0</v>
      </c>
      <c r="Z116" s="164">
        <v>45972.0</v>
      </c>
      <c r="AA116" s="165">
        <f t="shared" si="5"/>
        <v>45972</v>
      </c>
      <c r="AB116" s="160" t="s">
        <v>1134</v>
      </c>
      <c r="AC116" s="160" t="s">
        <v>1135</v>
      </c>
      <c r="AD116" s="168" t="s">
        <v>1198</v>
      </c>
      <c r="AE116" s="156">
        <f t="shared" si="6"/>
        <v>45972</v>
      </c>
      <c r="AF116" s="107" t="str">
        <f t="shared" si="7"/>
        <v>2025</v>
      </c>
      <c r="AG116" s="107" t="str">
        <f t="shared" si="8"/>
        <v>11 Nov</v>
      </c>
      <c r="AH116" s="107" t="str">
        <f t="shared" si="9"/>
        <v>Sel</v>
      </c>
      <c r="AI116" s="157">
        <f t="shared" si="10"/>
        <v>5</v>
      </c>
      <c r="AJ116" s="158"/>
      <c r="AK116" s="159"/>
      <c r="AL116" s="158"/>
      <c r="AM116" s="158">
        <f t="shared" si="11"/>
        <v>0</v>
      </c>
    </row>
    <row r="117" ht="22.5" customHeight="1">
      <c r="A117" s="10"/>
      <c r="B117" s="160" t="s">
        <v>86</v>
      </c>
      <c r="C117" s="160" t="s">
        <v>1131</v>
      </c>
      <c r="D117" s="161">
        <v>45805.0</v>
      </c>
      <c r="E117" s="124" t="str">
        <f t="shared" si="1"/>
        <v>2025</v>
      </c>
      <c r="F117" s="124" t="str">
        <f t="shared" si="2"/>
        <v>05 Mei</v>
      </c>
      <c r="G117" s="124" t="str">
        <f t="shared" si="3"/>
        <v>Rabu</v>
      </c>
      <c r="H117" s="160" t="s">
        <v>1199</v>
      </c>
      <c r="I117" s="125" t="str">
        <f t="array" ref="I117">IFNA(XLOOKUP($H117,'🙎‍♂️ Pasien'!$G$7:$G658,'🙎‍♂️ Pasien'!$H$7:$H658),"")</f>
        <v>B4825051059</v>
      </c>
      <c r="J117" s="125" t="str">
        <f t="array" ref="J117">IFNA(XLOOKUP($H117,'🙎‍♂️ Pasien'!$G$7:$G658,'🙎‍♂️ Pasien'!$L$7:$L658),"")</f>
        <v>LAKI-LAKI</v>
      </c>
      <c r="K117" s="125">
        <f t="array" ref="K117">IFNA(XLOOKUP($H117,'🙎‍♂️ Pasien'!$G$7:$G658,'🙎‍♂️ Pasien'!$I$7:$I658),"")</f>
        <v>77</v>
      </c>
      <c r="L117" s="160" t="s">
        <v>56</v>
      </c>
      <c r="M117" s="162" t="str">
        <f t="array" ref="M117">IFNA(XLOOKUP(L117,'⚙️ Pengaturan'!$H$5:$H658,'⚙️ Pengaturan'!$I$5:$I658),"")</f>
        <v>TIM Y</v>
      </c>
      <c r="N117" s="160" t="s">
        <v>1132</v>
      </c>
      <c r="O117" s="160" t="s">
        <v>1133</v>
      </c>
      <c r="P117" s="153">
        <f t="shared" si="4"/>
        <v>4</v>
      </c>
      <c r="Q117" s="164">
        <v>45805.0</v>
      </c>
      <c r="R117" s="164">
        <v>45828.0</v>
      </c>
      <c r="S117" s="164">
        <v>45881.0</v>
      </c>
      <c r="T117" s="164">
        <v>45883.0</v>
      </c>
      <c r="U117" s="164"/>
      <c r="V117" s="164"/>
      <c r="W117" s="164"/>
      <c r="X117" s="164"/>
      <c r="Y117" s="164"/>
      <c r="Z117" s="164"/>
      <c r="AA117" s="165">
        <f t="shared" si="5"/>
        <v>45883</v>
      </c>
      <c r="AB117" s="160" t="s">
        <v>1144</v>
      </c>
      <c r="AC117" s="174"/>
      <c r="AD117" s="166"/>
      <c r="AE117" s="156" t="str">
        <f t="shared" si="6"/>
        <v/>
      </c>
      <c r="AF117" s="107" t="str">
        <f t="shared" si="7"/>
        <v/>
      </c>
      <c r="AG117" s="107" t="str">
        <f t="shared" si="8"/>
        <v/>
      </c>
      <c r="AH117" s="107" t="str">
        <f t="shared" si="9"/>
        <v/>
      </c>
      <c r="AI117" s="157">
        <f t="shared" si="10"/>
        <v>54</v>
      </c>
      <c r="AJ117" s="158"/>
      <c r="AK117" s="159"/>
      <c r="AL117" s="158"/>
      <c r="AM117" s="158">
        <f t="shared" si="11"/>
        <v>0</v>
      </c>
    </row>
    <row r="118" ht="22.5" customHeight="1">
      <c r="A118" s="10"/>
      <c r="B118" s="160" t="s">
        <v>86</v>
      </c>
      <c r="C118" s="160" t="s">
        <v>1131</v>
      </c>
      <c r="D118" s="161">
        <v>45864.0</v>
      </c>
      <c r="E118" s="124" t="str">
        <f t="shared" si="1"/>
        <v>2025</v>
      </c>
      <c r="F118" s="124" t="str">
        <f t="shared" si="2"/>
        <v>07 Jul</v>
      </c>
      <c r="G118" s="124" t="str">
        <f t="shared" si="3"/>
        <v>Sabtu</v>
      </c>
      <c r="H118" s="160" t="s">
        <v>1200</v>
      </c>
      <c r="I118" s="125" t="str">
        <f t="array" ref="I118">IFNA(XLOOKUP($H118,'🙎‍♂️ Pasien'!$G$7:$G658,'🙎‍♂️ Pasien'!$H$7:$H658),"")</f>
        <v>B9125074477</v>
      </c>
      <c r="J118" s="125" t="str">
        <f t="array" ref="J118">IFNA(XLOOKUP($H118,'🙎‍♂️ Pasien'!$G$7:$G658,'🙎‍♂️ Pasien'!$L$7:$L658),"")</f>
        <v>PEREMPUAN</v>
      </c>
      <c r="K118" s="125">
        <f t="array" ref="K118">IFNA(XLOOKUP($H118,'🙎‍♂️ Pasien'!$G$7:$G658,'🙎‍♂️ Pasien'!$I$7:$I658),"")</f>
        <v>35</v>
      </c>
      <c r="L118" s="160" t="s">
        <v>91</v>
      </c>
      <c r="M118" s="162" t="str">
        <f t="array" ref="M118">IFNA(XLOOKUP(L118,'⚙️ Pengaturan'!$H$5:$H658,'⚙️ Pengaturan'!$I$5:$I658),"")</f>
        <v>TIM Y</v>
      </c>
      <c r="N118" s="163" t="s">
        <v>1132</v>
      </c>
      <c r="O118" s="160" t="s">
        <v>1133</v>
      </c>
      <c r="P118" s="153">
        <f t="shared" si="4"/>
        <v>5</v>
      </c>
      <c r="Q118" s="164">
        <v>45864.0</v>
      </c>
      <c r="R118" s="164">
        <v>45866.0</v>
      </c>
      <c r="S118" s="164">
        <v>45869.0</v>
      </c>
      <c r="T118" s="164">
        <v>45871.0</v>
      </c>
      <c r="U118" s="164">
        <v>45878.0</v>
      </c>
      <c r="V118" s="164"/>
      <c r="W118" s="164"/>
      <c r="X118" s="164"/>
      <c r="Y118" s="164"/>
      <c r="Z118" s="164"/>
      <c r="AA118" s="165">
        <f t="shared" si="5"/>
        <v>45878</v>
      </c>
      <c r="AB118" s="160" t="s">
        <v>1134</v>
      </c>
      <c r="AC118" s="160" t="s">
        <v>1135</v>
      </c>
      <c r="AD118" s="168" t="s">
        <v>1201</v>
      </c>
      <c r="AE118" s="156">
        <f t="shared" si="6"/>
        <v>45878</v>
      </c>
      <c r="AF118" s="107" t="str">
        <f t="shared" si="7"/>
        <v>2025</v>
      </c>
      <c r="AG118" s="107" t="str">
        <f t="shared" si="8"/>
        <v>08 Agu</v>
      </c>
      <c r="AH118" s="107" t="str">
        <f t="shared" si="9"/>
        <v>Sab</v>
      </c>
      <c r="AI118" s="157">
        <f t="shared" si="10"/>
        <v>2</v>
      </c>
      <c r="AJ118" s="158"/>
      <c r="AK118" s="159"/>
      <c r="AL118" s="158"/>
      <c r="AM118" s="158">
        <f t="shared" si="11"/>
        <v>0</v>
      </c>
    </row>
    <row r="119" ht="22.5" customHeight="1">
      <c r="A119" s="10"/>
      <c r="B119" s="20"/>
      <c r="C119" s="20"/>
      <c r="D119" s="123">
        <v>45600.0</v>
      </c>
      <c r="E119" s="124" t="str">
        <f t="shared" si="1"/>
        <v>2024</v>
      </c>
      <c r="F119" s="124" t="str">
        <f t="shared" si="2"/>
        <v>11 Nov</v>
      </c>
      <c r="G119" s="124" t="str">
        <f t="shared" si="3"/>
        <v>Senin</v>
      </c>
      <c r="H119" s="16" t="s">
        <v>1202</v>
      </c>
      <c r="I119" s="125" t="str">
        <f t="array" ref="I119">IFNA(XLOOKUP($H119,'🙎‍♂️ Pasien'!$G$7:$G658,'🙎‍♂️ Pasien'!$H$7:$H658),"")</f>
        <v>B9224111126</v>
      </c>
      <c r="J119" s="125" t="str">
        <f t="array" ref="J119">IFNA(XLOOKUP($H119,'🙎‍♂️ Pasien'!$G$7:$G658,'🙎‍♂️ Pasien'!$L$7:$L658),"")</f>
        <v>LAKI-LAKI</v>
      </c>
      <c r="K119" s="125">
        <f t="array" ref="K119">IFNA(XLOOKUP($H119,'🙎‍♂️ Pasien'!$G$7:$G658,'🙎‍♂️ Pasien'!$I$7:$I658),"")</f>
        <v>34</v>
      </c>
      <c r="L119" s="16" t="s">
        <v>607</v>
      </c>
      <c r="M119" s="125" t="str">
        <f t="array" ref="M119">IFNA(XLOOKUP(L119,'⚙️ Pengaturan'!$H$5:$H658,'⚙️ Pengaturan'!$I$5:$I658),"")</f>
        <v/>
      </c>
      <c r="N119" s="16" t="s">
        <v>1132</v>
      </c>
      <c r="O119" s="16" t="s">
        <v>1133</v>
      </c>
      <c r="P119" s="153">
        <f t="shared" si="4"/>
        <v>1</v>
      </c>
      <c r="Q119" s="154">
        <v>45610.0</v>
      </c>
      <c r="R119" s="154"/>
      <c r="S119" s="154"/>
      <c r="T119" s="154"/>
      <c r="U119" s="154"/>
      <c r="V119" s="154"/>
      <c r="W119" s="154"/>
      <c r="X119" s="154"/>
      <c r="Y119" s="154"/>
      <c r="Z119" s="154"/>
      <c r="AA119" s="155">
        <f t="shared" si="5"/>
        <v>45610</v>
      </c>
      <c r="AB119" s="16" t="s">
        <v>1144</v>
      </c>
      <c r="AC119" s="20"/>
      <c r="AD119" s="170"/>
      <c r="AE119" s="156" t="str">
        <f t="shared" si="6"/>
        <v/>
      </c>
      <c r="AF119" s="107" t="str">
        <f t="shared" si="7"/>
        <v/>
      </c>
      <c r="AG119" s="107" t="str">
        <f t="shared" si="8"/>
        <v/>
      </c>
      <c r="AH119" s="107" t="str">
        <f t="shared" si="9"/>
        <v/>
      </c>
      <c r="AI119" s="157">
        <f t="shared" si="10"/>
        <v>82</v>
      </c>
      <c r="AJ119" s="158"/>
      <c r="AK119" s="159"/>
      <c r="AL119" s="158"/>
      <c r="AM119" s="158">
        <f t="shared" si="11"/>
        <v>0</v>
      </c>
    </row>
    <row r="120" ht="22.5" customHeight="1">
      <c r="A120" s="10"/>
      <c r="B120" s="74"/>
      <c r="C120" s="74"/>
      <c r="D120" s="176">
        <v>45631.0</v>
      </c>
      <c r="E120" s="124" t="str">
        <f t="shared" si="1"/>
        <v>2024</v>
      </c>
      <c r="F120" s="124" t="str">
        <f t="shared" si="2"/>
        <v>12 Des</v>
      </c>
      <c r="G120" s="124" t="str">
        <f t="shared" si="3"/>
        <v>Kamis</v>
      </c>
      <c r="H120" s="16" t="s">
        <v>1203</v>
      </c>
      <c r="I120" s="125" t="str">
        <f t="array" ref="I120">IFNA(XLOOKUP($H120,'🙎‍♂️ Pasien'!$G$7:$G658,'🙎‍♂️ Pasien'!$H$7:$H658),"")</f>
        <v>B5924113489</v>
      </c>
      <c r="J120" s="125" t="str">
        <f t="array" ref="J120">IFNA(XLOOKUP($H120,'🙎‍♂️ Pasien'!$G$7:$G658,'🙎‍♂️ Pasien'!$L$7:$L658),"")</f>
        <v>LAKI-LAKI</v>
      </c>
      <c r="K120" s="125">
        <f t="array" ref="K120">IFNA(XLOOKUP($H120,'🙎‍♂️ Pasien'!$G$7:$G658,'🙎‍♂️ Pasien'!$I$7:$I658),"")</f>
        <v>67</v>
      </c>
      <c r="L120" s="16" t="s">
        <v>91</v>
      </c>
      <c r="M120" s="125" t="str">
        <f t="array" ref="M120">IFNA(XLOOKUP(L120,'⚙️ Pengaturan'!$H$5:$H658,'⚙️ Pengaturan'!$I$5:$I658),"")</f>
        <v>TIM Y</v>
      </c>
      <c r="N120" s="74" t="s">
        <v>1137</v>
      </c>
      <c r="O120" s="74" t="s">
        <v>1133</v>
      </c>
      <c r="P120" s="153">
        <f t="shared" si="4"/>
        <v>9</v>
      </c>
      <c r="Q120" s="177">
        <v>45622.0</v>
      </c>
      <c r="R120" s="177">
        <v>45624.0</v>
      </c>
      <c r="S120" s="177">
        <v>45631.0</v>
      </c>
      <c r="T120" s="177">
        <v>45636.0</v>
      </c>
      <c r="U120" s="177">
        <v>45638.0</v>
      </c>
      <c r="V120" s="177">
        <v>45643.0</v>
      </c>
      <c r="W120" s="177">
        <v>45645.0</v>
      </c>
      <c r="X120" s="177">
        <v>45666.0</v>
      </c>
      <c r="Y120" s="177">
        <v>45673.0</v>
      </c>
      <c r="Z120" s="177"/>
      <c r="AA120" s="155">
        <f t="shared" si="5"/>
        <v>45673</v>
      </c>
      <c r="AB120" s="16" t="s">
        <v>1144</v>
      </c>
      <c r="AC120" s="74"/>
      <c r="AD120" s="170"/>
      <c r="AE120" s="156" t="str">
        <f t="shared" si="6"/>
        <v/>
      </c>
      <c r="AF120" s="107" t="str">
        <f t="shared" si="7"/>
        <v/>
      </c>
      <c r="AG120" s="107" t="str">
        <f t="shared" si="8"/>
        <v/>
      </c>
      <c r="AH120" s="107" t="str">
        <f t="shared" si="9"/>
        <v/>
      </c>
      <c r="AI120" s="157">
        <f t="shared" si="10"/>
        <v>80</v>
      </c>
      <c r="AJ120" s="158"/>
      <c r="AK120" s="159"/>
      <c r="AL120" s="158"/>
      <c r="AM120" s="158">
        <f t="shared" si="11"/>
        <v>0</v>
      </c>
    </row>
    <row r="121" ht="22.5" customHeight="1">
      <c r="A121" s="10"/>
      <c r="B121" s="163" t="s">
        <v>86</v>
      </c>
      <c r="C121" s="163" t="s">
        <v>1131</v>
      </c>
      <c r="D121" s="161">
        <v>45960.0</v>
      </c>
      <c r="E121" s="124" t="str">
        <f t="shared" si="1"/>
        <v>2025</v>
      </c>
      <c r="F121" s="124" t="str">
        <f t="shared" si="2"/>
        <v>10 Okt</v>
      </c>
      <c r="G121" s="124" t="str">
        <f t="shared" si="3"/>
        <v>Kamis</v>
      </c>
      <c r="H121" s="16" t="s">
        <v>386</v>
      </c>
      <c r="I121" s="125" t="str">
        <f t="array" ref="I121">IFNA(XLOOKUP($H121,'🙎‍♂️ Pasien'!$G$7:$G658,'🙎‍♂️ Pasien'!$H$7:$H658),"")</f>
        <v>B7325109155</v>
      </c>
      <c r="J121" s="125" t="str">
        <f t="array" ref="J121">IFNA(XLOOKUP($H121,'🙎‍♂️ Pasien'!$G$7:$G658,'🙎‍♂️ Pasien'!$L$7:$L658),"")</f>
        <v>LAKI-LAKI</v>
      </c>
      <c r="K121" s="125">
        <f t="array" ref="K121">IFNA(XLOOKUP($H121,'🙎‍♂️ Pasien'!$G$7:$G658,'🙎‍♂️ Pasien'!$I$7:$I658),"")</f>
        <v>53</v>
      </c>
      <c r="L121" s="16" t="s">
        <v>88</v>
      </c>
      <c r="M121" s="125" t="str">
        <f t="array" ref="M121">IFNA(XLOOKUP(L121,'⚙️ Pengaturan'!$H$5:$H658,'⚙️ Pengaturan'!$I$5:$I658),"")</f>
        <v>TIM Y</v>
      </c>
      <c r="N121" s="16" t="s">
        <v>1132</v>
      </c>
      <c r="O121" s="16" t="s">
        <v>1133</v>
      </c>
      <c r="P121" s="153">
        <f t="shared" si="4"/>
        <v>5</v>
      </c>
      <c r="Q121" s="154">
        <v>45960.0</v>
      </c>
      <c r="R121" s="154">
        <v>45962.0</v>
      </c>
      <c r="S121" s="154">
        <v>45969.0</v>
      </c>
      <c r="T121" s="154">
        <v>45978.0</v>
      </c>
      <c r="U121" s="154">
        <v>45981.0</v>
      </c>
      <c r="V121" s="154"/>
      <c r="W121" s="154"/>
      <c r="X121" s="154"/>
      <c r="Y121" s="154"/>
      <c r="Z121" s="154"/>
      <c r="AA121" s="155">
        <f t="shared" si="5"/>
        <v>45981</v>
      </c>
      <c r="AB121" s="16" t="s">
        <v>1144</v>
      </c>
      <c r="AC121" s="20"/>
      <c r="AD121" s="170"/>
      <c r="AE121" s="156">
        <f t="shared" si="6"/>
        <v>45981</v>
      </c>
      <c r="AF121" s="107" t="str">
        <f t="shared" si="7"/>
        <v>2025</v>
      </c>
      <c r="AG121" s="107" t="str">
        <f t="shared" si="8"/>
        <v>11 Nov</v>
      </c>
      <c r="AH121" s="107" t="str">
        <f t="shared" si="9"/>
        <v>Kam</v>
      </c>
      <c r="AI121" s="157">
        <f t="shared" si="10"/>
        <v>3</v>
      </c>
      <c r="AJ121" s="158"/>
      <c r="AK121" s="159"/>
      <c r="AL121" s="158"/>
      <c r="AM121" s="158">
        <f t="shared" si="11"/>
        <v>0</v>
      </c>
    </row>
    <row r="122" ht="22.5" customHeight="1">
      <c r="A122" s="10"/>
      <c r="B122" s="171"/>
      <c r="C122" s="171"/>
      <c r="D122" s="161">
        <v>45669.0</v>
      </c>
      <c r="E122" s="124" t="str">
        <f t="shared" si="1"/>
        <v>2025</v>
      </c>
      <c r="F122" s="124" t="str">
        <f t="shared" si="2"/>
        <v>01 Jan</v>
      </c>
      <c r="G122" s="124" t="str">
        <f t="shared" si="3"/>
        <v>Minggu</v>
      </c>
      <c r="H122" s="16" t="s">
        <v>1204</v>
      </c>
      <c r="I122" s="125" t="str">
        <f t="array" ref="I122">IFNA(XLOOKUP($H122,'🙎‍♂️ Pasien'!$G$7:$G658,'🙎‍♂️ Pasien'!$H$7:$H658),"")</f>
        <v>B6325013230</v>
      </c>
      <c r="J122" s="125" t="str">
        <f t="array" ref="J122">IFNA(XLOOKUP($H122,'🙎‍♂️ Pasien'!$G$7:$G658,'🙎‍♂️ Pasien'!$L$7:$L658),"")</f>
        <v>LAKI-LAKI</v>
      </c>
      <c r="K122" s="125">
        <f t="array" ref="K122">IFNA(XLOOKUP($H122,'🙎‍♂️ Pasien'!$G$7:$G658,'🙎‍♂️ Pasien'!$I$7:$I658),"")</f>
        <v>62</v>
      </c>
      <c r="L122" s="16" t="s">
        <v>72</v>
      </c>
      <c r="M122" s="125" t="str">
        <f t="array" ref="M122">IFNA(XLOOKUP(L122,'⚙️ Pengaturan'!$H$5:$H658,'⚙️ Pengaturan'!$I$5:$I658),"")</f>
        <v>TIM A</v>
      </c>
      <c r="N122" s="16" t="s">
        <v>1132</v>
      </c>
      <c r="O122" s="16" t="s">
        <v>1133</v>
      </c>
      <c r="P122" s="153">
        <f t="shared" si="4"/>
        <v>3</v>
      </c>
      <c r="Q122" s="154">
        <v>45669.0</v>
      </c>
      <c r="R122" s="154">
        <v>45671.0</v>
      </c>
      <c r="S122" s="154">
        <v>45675.0</v>
      </c>
      <c r="T122" s="154"/>
      <c r="U122" s="154"/>
      <c r="V122" s="154"/>
      <c r="W122" s="154"/>
      <c r="X122" s="154"/>
      <c r="Y122" s="154"/>
      <c r="Z122" s="154"/>
      <c r="AA122" s="155">
        <f t="shared" si="5"/>
        <v>45675</v>
      </c>
      <c r="AB122" s="16" t="s">
        <v>1144</v>
      </c>
      <c r="AC122" s="20"/>
      <c r="AD122" s="170"/>
      <c r="AE122" s="156" t="str">
        <f t="shared" si="6"/>
        <v/>
      </c>
      <c r="AF122" s="107" t="str">
        <f t="shared" si="7"/>
        <v/>
      </c>
      <c r="AG122" s="107" t="str">
        <f t="shared" si="8"/>
        <v/>
      </c>
      <c r="AH122" s="107" t="str">
        <f t="shared" si="9"/>
        <v/>
      </c>
      <c r="AI122" s="157">
        <f t="shared" si="10"/>
        <v>74</v>
      </c>
      <c r="AJ122" s="158"/>
      <c r="AK122" s="159"/>
      <c r="AL122" s="158"/>
      <c r="AM122" s="158">
        <f t="shared" si="11"/>
        <v>0</v>
      </c>
    </row>
    <row r="123" ht="22.5" customHeight="1">
      <c r="A123" s="10"/>
      <c r="B123" s="160" t="s">
        <v>54</v>
      </c>
      <c r="C123" s="160" t="s">
        <v>1131</v>
      </c>
      <c r="D123" s="161">
        <v>45974.0</v>
      </c>
      <c r="E123" s="124" t="str">
        <f t="shared" si="1"/>
        <v>2025</v>
      </c>
      <c r="F123" s="124" t="str">
        <f t="shared" si="2"/>
        <v>11 Nov</v>
      </c>
      <c r="G123" s="124" t="str">
        <f t="shared" si="3"/>
        <v>Kamis</v>
      </c>
      <c r="H123" s="160" t="s">
        <v>501</v>
      </c>
      <c r="I123" s="125" t="str">
        <f t="array" ref="I123">IFNA(XLOOKUP($H123,'🙎‍♂️ Pasien'!$G$7:$G658,'🙎‍♂️ Pasien'!$H$7:$H658),"")</f>
        <v>C9025117272</v>
      </c>
      <c r="J123" s="125" t="str">
        <f t="array" ref="J123">IFNA(XLOOKUP($H123,'🙎‍♂️ Pasien'!$G$7:$G658,'🙎‍♂️ Pasien'!$L$7:$L658),"")</f>
        <v>PEREMPUAN</v>
      </c>
      <c r="K123" s="125">
        <f t="array" ref="K123">IFNA(XLOOKUP($H123,'🙎‍♂️ Pasien'!$G$7:$G658,'🙎‍♂️ Pasien'!$I$7:$I658),"")</f>
        <v>35</v>
      </c>
      <c r="L123" s="160" t="s">
        <v>91</v>
      </c>
      <c r="M123" s="162" t="str">
        <f t="array" ref="M123">IFNA(XLOOKUP(L123,'⚙️ Pengaturan'!$H$5:$H658,'⚙️ Pengaturan'!$I$5:$I658),"")</f>
        <v>TIM Y</v>
      </c>
      <c r="N123" s="163" t="s">
        <v>1137</v>
      </c>
      <c r="O123" s="160" t="s">
        <v>1133</v>
      </c>
      <c r="P123" s="153">
        <f t="shared" si="4"/>
        <v>10</v>
      </c>
      <c r="Q123" s="164">
        <v>45974.0</v>
      </c>
      <c r="R123" s="164">
        <v>45978.0</v>
      </c>
      <c r="S123" s="164">
        <v>45981.0</v>
      </c>
      <c r="T123" s="164">
        <v>45983.0</v>
      </c>
      <c r="U123" s="164">
        <v>45985.0</v>
      </c>
      <c r="V123" s="164">
        <v>45990.0</v>
      </c>
      <c r="W123" s="164">
        <v>45992.0</v>
      </c>
      <c r="X123" s="164">
        <v>45995.0</v>
      </c>
      <c r="Y123" s="164">
        <v>46000.0</v>
      </c>
      <c r="Z123" s="164">
        <v>46002.0</v>
      </c>
      <c r="AA123" s="165">
        <f t="shared" si="5"/>
        <v>46002</v>
      </c>
      <c r="AB123" s="160" t="s">
        <v>1134</v>
      </c>
      <c r="AC123" s="160" t="s">
        <v>1138</v>
      </c>
      <c r="AD123" s="166"/>
      <c r="AE123" s="156">
        <f t="shared" si="6"/>
        <v>46002</v>
      </c>
      <c r="AF123" s="107" t="str">
        <f t="shared" si="7"/>
        <v>2025</v>
      </c>
      <c r="AG123" s="107" t="str">
        <f t="shared" si="8"/>
        <v>12 Des</v>
      </c>
      <c r="AH123" s="107" t="str">
        <f t="shared" si="9"/>
        <v>Kam</v>
      </c>
      <c r="AI123" s="157">
        <f t="shared" si="10"/>
        <v>4</v>
      </c>
      <c r="AJ123" s="158"/>
      <c r="AK123" s="159"/>
      <c r="AL123" s="158"/>
      <c r="AM123" s="158">
        <f t="shared" si="11"/>
        <v>0</v>
      </c>
    </row>
    <row r="124" ht="22.5" customHeight="1">
      <c r="A124" s="10"/>
      <c r="B124" s="160" t="s">
        <v>54</v>
      </c>
      <c r="C124" s="160" t="s">
        <v>1131</v>
      </c>
      <c r="D124" s="161">
        <v>46004.0</v>
      </c>
      <c r="E124" s="124" t="str">
        <f t="shared" si="1"/>
        <v>2025</v>
      </c>
      <c r="F124" s="124" t="str">
        <f t="shared" si="2"/>
        <v>12 Des</v>
      </c>
      <c r="G124" s="124" t="str">
        <f t="shared" si="3"/>
        <v>Sabtu</v>
      </c>
      <c r="H124" s="160" t="s">
        <v>501</v>
      </c>
      <c r="I124" s="125" t="str">
        <f t="array" ref="I124">IFNA(XLOOKUP($H124,'🙎‍♂️ Pasien'!$G$7:$G658,'🙎‍♂️ Pasien'!$H$7:$H658),"")</f>
        <v>C9025117272</v>
      </c>
      <c r="J124" s="125" t="str">
        <f t="array" ref="J124">IFNA(XLOOKUP($H124,'🙎‍♂️ Pasien'!$G$7:$G658,'🙎‍♂️ Pasien'!$L$7:$L658),"")</f>
        <v>PEREMPUAN</v>
      </c>
      <c r="K124" s="125">
        <f t="array" ref="K124">IFNA(XLOOKUP($H124,'🙎‍♂️ Pasien'!$G$7:$G658,'🙎‍♂️ Pasien'!$I$7:$I658),"")</f>
        <v>35</v>
      </c>
      <c r="L124" s="160" t="s">
        <v>91</v>
      </c>
      <c r="M124" s="162" t="str">
        <f t="array" ref="M124">IFNA(XLOOKUP(L124,'⚙️ Pengaturan'!$H$5:$H658,'⚙️ Pengaturan'!$I$5:$I658),"")</f>
        <v>TIM Y</v>
      </c>
      <c r="N124" s="163" t="s">
        <v>1137</v>
      </c>
      <c r="O124" s="160" t="s">
        <v>1139</v>
      </c>
      <c r="P124" s="153">
        <f t="shared" si="4"/>
        <v>4</v>
      </c>
      <c r="Q124" s="164">
        <v>46004.0</v>
      </c>
      <c r="R124" s="164">
        <v>46006.0</v>
      </c>
      <c r="S124" s="164">
        <v>46009.0</v>
      </c>
      <c r="T124" s="164">
        <v>46014.0</v>
      </c>
      <c r="U124" s="164"/>
      <c r="V124" s="164"/>
      <c r="W124" s="164"/>
      <c r="X124" s="164"/>
      <c r="Y124" s="164"/>
      <c r="Z124" s="164"/>
      <c r="AA124" s="165">
        <f t="shared" si="5"/>
        <v>46014</v>
      </c>
      <c r="AB124" s="160" t="s">
        <v>1144</v>
      </c>
      <c r="AC124" s="172"/>
      <c r="AD124" s="166"/>
      <c r="AE124" s="156" t="str">
        <f t="shared" si="6"/>
        <v/>
      </c>
      <c r="AF124" s="107" t="str">
        <f t="shared" si="7"/>
        <v/>
      </c>
      <c r="AG124" s="107" t="str">
        <f t="shared" si="8"/>
        <v/>
      </c>
      <c r="AH124" s="107" t="str">
        <f t="shared" si="9"/>
        <v/>
      </c>
      <c r="AI124" s="157">
        <f t="shared" si="10"/>
        <v>26</v>
      </c>
      <c r="AJ124" s="158"/>
      <c r="AK124" s="159"/>
      <c r="AL124" s="158"/>
      <c r="AM124" s="158">
        <f t="shared" si="11"/>
        <v>0</v>
      </c>
    </row>
    <row r="125" ht="22.5" customHeight="1">
      <c r="A125" s="10"/>
      <c r="B125" s="172"/>
      <c r="C125" s="172"/>
      <c r="D125" s="173">
        <v>45728.0</v>
      </c>
      <c r="E125" s="124" t="str">
        <f t="shared" si="1"/>
        <v>2025</v>
      </c>
      <c r="F125" s="124" t="str">
        <f t="shared" si="2"/>
        <v>03 Mar</v>
      </c>
      <c r="G125" s="124" t="str">
        <f t="shared" si="3"/>
        <v>Rabu</v>
      </c>
      <c r="H125" s="160" t="s">
        <v>1205</v>
      </c>
      <c r="I125" s="125" t="str">
        <f t="array" ref="I125">IFNA(XLOOKUP($H125,'🙎‍♂️ Pasien'!$G$7:$G658,'🙎‍♂️ Pasien'!$H$7:$H658),"")</f>
        <v>C9524123795</v>
      </c>
      <c r="J125" s="125" t="str">
        <f t="array" ref="J125">IFNA(XLOOKUP($H125,'🙎‍♂️ Pasien'!$G$7:$G658,'🙎‍♂️ Pasien'!$L$7:$L658),"")</f>
        <v>LAKI-LAKI</v>
      </c>
      <c r="K125" s="125">
        <f t="array" ref="K125">IFNA(XLOOKUP($H125,'🙎‍♂️ Pasien'!$G$7:$G658,'🙎‍♂️ Pasien'!$I$7:$I658),"")</f>
        <v>30</v>
      </c>
      <c r="L125" s="160" t="s">
        <v>88</v>
      </c>
      <c r="M125" s="162" t="str">
        <f t="array" ref="M125">IFNA(XLOOKUP(L125,'⚙️ Pengaturan'!$H$5:$H658,'⚙️ Pengaturan'!$I$5:$I658),"")</f>
        <v>TIM Y</v>
      </c>
      <c r="N125" s="160" t="s">
        <v>1132</v>
      </c>
      <c r="O125" s="160" t="s">
        <v>1133</v>
      </c>
      <c r="P125" s="153">
        <f t="shared" si="4"/>
        <v>3</v>
      </c>
      <c r="Q125" s="164">
        <v>45731.0</v>
      </c>
      <c r="R125" s="164">
        <v>45734.0</v>
      </c>
      <c r="S125" s="164">
        <v>45741.0</v>
      </c>
      <c r="T125" s="164"/>
      <c r="U125" s="164"/>
      <c r="V125" s="164"/>
      <c r="W125" s="164"/>
      <c r="X125" s="164"/>
      <c r="Y125" s="164"/>
      <c r="Z125" s="164"/>
      <c r="AA125" s="165">
        <f t="shared" si="5"/>
        <v>45741</v>
      </c>
      <c r="AB125" s="160" t="s">
        <v>1144</v>
      </c>
      <c r="AC125" s="174"/>
      <c r="AD125" s="168"/>
      <c r="AE125" s="156" t="str">
        <f t="shared" si="6"/>
        <v/>
      </c>
      <c r="AF125" s="107" t="str">
        <f t="shared" si="7"/>
        <v/>
      </c>
      <c r="AG125" s="107" t="str">
        <f t="shared" si="8"/>
        <v/>
      </c>
      <c r="AH125" s="107" t="str">
        <f t="shared" si="9"/>
        <v/>
      </c>
      <c r="AI125" s="157">
        <f t="shared" si="10"/>
        <v>65</v>
      </c>
      <c r="AJ125" s="158"/>
      <c r="AK125" s="159"/>
      <c r="AL125" s="158"/>
      <c r="AM125" s="158">
        <f t="shared" si="11"/>
        <v>0</v>
      </c>
    </row>
    <row r="126" ht="22.5" customHeight="1">
      <c r="A126" s="10"/>
      <c r="B126" s="20"/>
      <c r="C126" s="20"/>
      <c r="D126" s="123">
        <v>45608.0</v>
      </c>
      <c r="E126" s="124" t="str">
        <f t="shared" si="1"/>
        <v>2024</v>
      </c>
      <c r="F126" s="124" t="str">
        <f t="shared" si="2"/>
        <v>11 Nov</v>
      </c>
      <c r="G126" s="124" t="str">
        <f t="shared" si="3"/>
        <v>Selasa</v>
      </c>
      <c r="H126" s="16" t="s">
        <v>1206</v>
      </c>
      <c r="I126" s="125" t="str">
        <f t="array" ref="I126">IFNA(XLOOKUP($H126,'🙎‍♂️ Pasien'!$G$7:$G658,'🙎‍♂️ Pasien'!$H$7:$H658),"")</f>
        <v>C9424111787</v>
      </c>
      <c r="J126" s="125" t="str">
        <f t="array" ref="J126">IFNA(XLOOKUP($H126,'🙎‍♂️ Pasien'!$G$7:$G658,'🙎‍♂️ Pasien'!$L$7:$L658),"")</f>
        <v>PEREMPUAN</v>
      </c>
      <c r="K126" s="125">
        <f t="array" ref="K126">IFNA(XLOOKUP($H126,'🙎‍♂️ Pasien'!$G$7:$G658,'🙎‍♂️ Pasien'!$I$7:$I658),"")</f>
        <v>31</v>
      </c>
      <c r="L126" s="16" t="s">
        <v>1152</v>
      </c>
      <c r="M126" s="125" t="str">
        <f t="array" ref="M126">IFNA(XLOOKUP(L126,'⚙️ Pengaturan'!$H$5:$H658,'⚙️ Pengaturan'!$I$5:$I658),"")</f>
        <v>INAKTIF</v>
      </c>
      <c r="N126" s="16" t="s">
        <v>1132</v>
      </c>
      <c r="O126" s="16" t="s">
        <v>1133</v>
      </c>
      <c r="P126" s="153">
        <f t="shared" si="4"/>
        <v>3</v>
      </c>
      <c r="Q126" s="154">
        <v>45611.0</v>
      </c>
      <c r="R126" s="154">
        <v>45614.0</v>
      </c>
      <c r="S126" s="154">
        <v>45617.0</v>
      </c>
      <c r="T126" s="154"/>
      <c r="U126" s="154"/>
      <c r="V126" s="154"/>
      <c r="W126" s="154"/>
      <c r="X126" s="154"/>
      <c r="Y126" s="154"/>
      <c r="Z126" s="154"/>
      <c r="AA126" s="155">
        <f t="shared" si="5"/>
        <v>45617</v>
      </c>
      <c r="AB126" s="16" t="s">
        <v>1144</v>
      </c>
      <c r="AC126" s="20"/>
      <c r="AD126" s="170"/>
      <c r="AE126" s="156" t="str">
        <f t="shared" si="6"/>
        <v/>
      </c>
      <c r="AF126" s="107" t="str">
        <f t="shared" si="7"/>
        <v/>
      </c>
      <c r="AG126" s="107" t="str">
        <f t="shared" si="8"/>
        <v/>
      </c>
      <c r="AH126" s="107" t="str">
        <f t="shared" si="9"/>
        <v/>
      </c>
      <c r="AI126" s="157">
        <f t="shared" si="10"/>
        <v>82</v>
      </c>
      <c r="AJ126" s="158"/>
      <c r="AK126" s="159"/>
      <c r="AL126" s="158"/>
      <c r="AM126" s="158">
        <f t="shared" si="11"/>
        <v>0</v>
      </c>
    </row>
    <row r="127" ht="22.5" customHeight="1">
      <c r="A127" s="10"/>
      <c r="B127" s="16" t="s">
        <v>86</v>
      </c>
      <c r="C127" s="16" t="s">
        <v>1131</v>
      </c>
      <c r="D127" s="123">
        <v>45982.0</v>
      </c>
      <c r="E127" s="124" t="str">
        <f t="shared" si="1"/>
        <v>2025</v>
      </c>
      <c r="F127" s="124" t="str">
        <f t="shared" si="2"/>
        <v>11 Nov</v>
      </c>
      <c r="G127" s="124" t="str">
        <f t="shared" si="3"/>
        <v>Jumat</v>
      </c>
      <c r="H127" s="16" t="s">
        <v>548</v>
      </c>
      <c r="I127" s="125" t="str">
        <f t="array" ref="I127">IFNA(XLOOKUP($H127,'🙎‍♂️ Pasien'!$G$7:$G658,'🙎‍♂️ Pasien'!$H$7:$H658),"")</f>
        <v>C0525115291</v>
      </c>
      <c r="J127" s="125" t="str">
        <f t="array" ref="J127">IFNA(XLOOKUP($H127,'🙎‍♂️ Pasien'!$G$7:$G658,'🙎‍♂️ Pasien'!$L$7:$L658),"")</f>
        <v>LAKI-LAKI</v>
      </c>
      <c r="K127" s="125">
        <f t="array" ref="K127">IFNA(XLOOKUP($H127,'🙎‍♂️ Pasien'!$G$7:$G658,'🙎‍♂️ Pasien'!$I$7:$I658),"")</f>
        <v>20</v>
      </c>
      <c r="L127" s="16" t="s">
        <v>56</v>
      </c>
      <c r="M127" s="125" t="str">
        <f t="array" ref="M127">IFNA(XLOOKUP(L127,'⚙️ Pengaturan'!$H$5:$H658,'⚙️ Pengaturan'!$I$5:$I658),"")</f>
        <v>TIM Y</v>
      </c>
      <c r="N127" s="16" t="s">
        <v>1132</v>
      </c>
      <c r="O127" s="16" t="s">
        <v>1133</v>
      </c>
      <c r="P127" s="153">
        <f t="shared" si="4"/>
        <v>5</v>
      </c>
      <c r="Q127" s="154">
        <v>45982.0</v>
      </c>
      <c r="R127" s="154">
        <v>45988.0</v>
      </c>
      <c r="S127" s="154">
        <v>45992.0</v>
      </c>
      <c r="T127" s="154">
        <v>45994.0</v>
      </c>
      <c r="U127" s="154">
        <v>45997.0</v>
      </c>
      <c r="V127" s="154"/>
      <c r="W127" s="154"/>
      <c r="X127" s="154"/>
      <c r="Y127" s="154"/>
      <c r="Z127" s="154"/>
      <c r="AA127" s="155">
        <f t="shared" si="5"/>
        <v>45997</v>
      </c>
      <c r="AB127" s="16" t="s">
        <v>1134</v>
      </c>
      <c r="AC127" s="16" t="s">
        <v>1135</v>
      </c>
      <c r="AD127" s="109" t="s">
        <v>997</v>
      </c>
      <c r="AE127" s="156">
        <f t="shared" si="6"/>
        <v>45997</v>
      </c>
      <c r="AF127" s="107" t="str">
        <f t="shared" si="7"/>
        <v>2025</v>
      </c>
      <c r="AG127" s="107" t="str">
        <f t="shared" si="8"/>
        <v>12 Des</v>
      </c>
      <c r="AH127" s="107" t="str">
        <f t="shared" si="9"/>
        <v>Sab</v>
      </c>
      <c r="AI127" s="157">
        <f t="shared" si="10"/>
        <v>3</v>
      </c>
      <c r="AJ127" s="158"/>
      <c r="AK127" s="159"/>
      <c r="AL127" s="158"/>
      <c r="AM127" s="158">
        <f t="shared" si="11"/>
        <v>0</v>
      </c>
    </row>
    <row r="128" ht="22.5" customHeight="1">
      <c r="A128" s="10"/>
      <c r="B128" s="16" t="s">
        <v>86</v>
      </c>
      <c r="C128" s="16" t="s">
        <v>1131</v>
      </c>
      <c r="D128" s="123">
        <v>46020.0</v>
      </c>
      <c r="E128" s="124" t="str">
        <f t="shared" si="1"/>
        <v>2025</v>
      </c>
      <c r="F128" s="124" t="str">
        <f t="shared" si="2"/>
        <v>12 Des</v>
      </c>
      <c r="G128" s="124" t="str">
        <f t="shared" si="3"/>
        <v>Senin</v>
      </c>
      <c r="H128" s="16" t="s">
        <v>809</v>
      </c>
      <c r="I128" s="125" t="str">
        <f t="array" ref="I128">IFNA(XLOOKUP($H128,'🙎‍♂️ Pasien'!$G$7:$G658,'🙎‍♂️ Pasien'!$H$7:$H658),"")</f>
        <v>C9125120366</v>
      </c>
      <c r="J128" s="125" t="str">
        <f t="array" ref="J128">IFNA(XLOOKUP($H128,'🙎‍♂️ Pasien'!$G$7:$G658,'🙎‍♂️ Pasien'!$L$7:$L658),"")</f>
        <v>PEREMPUAN</v>
      </c>
      <c r="K128" s="125">
        <f t="array" ref="K128">IFNA(XLOOKUP($H128,'🙎‍♂️ Pasien'!$G$7:$G658,'🙎‍♂️ Pasien'!$I$7:$I658),"")</f>
        <v>35</v>
      </c>
      <c r="L128" s="16" t="s">
        <v>101</v>
      </c>
      <c r="M128" s="125" t="str">
        <f t="array" ref="M128">IFNA(XLOOKUP(L128,'⚙️ Pengaturan'!$H$5:$H658,'⚙️ Pengaturan'!$I$5:$I658),"")</f>
        <v>MANAJEMEN</v>
      </c>
      <c r="N128" s="16" t="s">
        <v>1132</v>
      </c>
      <c r="O128" s="16" t="s">
        <v>1133</v>
      </c>
      <c r="P128" s="153">
        <f t="shared" si="4"/>
        <v>0</v>
      </c>
      <c r="Q128" s="154"/>
      <c r="R128" s="154"/>
      <c r="S128" s="154"/>
      <c r="T128" s="154"/>
      <c r="U128" s="154"/>
      <c r="V128" s="154"/>
      <c r="W128" s="154"/>
      <c r="X128" s="154"/>
      <c r="Y128" s="154"/>
      <c r="Z128" s="154"/>
      <c r="AA128" s="155">
        <f t="shared" si="5"/>
        <v>46020</v>
      </c>
      <c r="AB128" s="16" t="s">
        <v>1144</v>
      </c>
      <c r="AC128" s="20"/>
      <c r="AD128" s="170"/>
      <c r="AE128" s="156" t="str">
        <f t="shared" si="6"/>
        <v/>
      </c>
      <c r="AF128" s="107" t="str">
        <f t="shared" si="7"/>
        <v/>
      </c>
      <c r="AG128" s="107" t="str">
        <f t="shared" si="8"/>
        <v/>
      </c>
      <c r="AH128" s="107" t="str">
        <f t="shared" si="9"/>
        <v/>
      </c>
      <c r="AI128" s="157" t="str">
        <f t="shared" si="10"/>
        <v/>
      </c>
      <c r="AJ128" s="158"/>
      <c r="AK128" s="159"/>
      <c r="AL128" s="158"/>
      <c r="AM128" s="158">
        <f t="shared" si="11"/>
        <v>0</v>
      </c>
    </row>
    <row r="129" ht="22.5" customHeight="1">
      <c r="A129" s="10"/>
      <c r="B129" s="16" t="s">
        <v>54</v>
      </c>
      <c r="C129" s="16" t="s">
        <v>1170</v>
      </c>
      <c r="D129" s="123">
        <v>45938.0</v>
      </c>
      <c r="E129" s="124" t="str">
        <f t="shared" si="1"/>
        <v>2025</v>
      </c>
      <c r="F129" s="124" t="str">
        <f t="shared" si="2"/>
        <v>10 Okt</v>
      </c>
      <c r="G129" s="124" t="str">
        <f t="shared" si="3"/>
        <v>Rabu</v>
      </c>
      <c r="H129" s="16" t="s">
        <v>179</v>
      </c>
      <c r="I129" s="125" t="str">
        <f t="array" ref="I129">IFNA(XLOOKUP($H129,'🙎‍♂️ Pasien'!$G$7:$G658,'🙎‍♂️ Pasien'!$H$7:$H658),"")</f>
        <v>C9725104448</v>
      </c>
      <c r="J129" s="125" t="str">
        <f t="array" ref="J129">IFNA(XLOOKUP($H129,'🙎‍♂️ Pasien'!$G$7:$G658,'🙎‍♂️ Pasien'!$L$7:$L658),"")</f>
        <v>PEREMPUAN</v>
      </c>
      <c r="K129" s="125">
        <f t="array" ref="K129">IFNA(XLOOKUP($H129,'🙎‍♂️ Pasien'!$G$7:$G658,'🙎‍♂️ Pasien'!$I$7:$I658),"")</f>
        <v>29</v>
      </c>
      <c r="L129" s="16" t="s">
        <v>62</v>
      </c>
      <c r="M129" s="125" t="str">
        <f t="array" ref="M129">IFNA(XLOOKUP(L129,'⚙️ Pengaturan'!$H$5:$H658,'⚙️ Pengaturan'!$I$5:$I658),"")</f>
        <v>TIM A</v>
      </c>
      <c r="N129" s="16" t="s">
        <v>1132</v>
      </c>
      <c r="O129" s="16" t="s">
        <v>1133</v>
      </c>
      <c r="P129" s="153">
        <f t="shared" si="4"/>
        <v>1</v>
      </c>
      <c r="Q129" s="154">
        <v>45938.0</v>
      </c>
      <c r="R129" s="154"/>
      <c r="S129" s="154"/>
      <c r="T129" s="154"/>
      <c r="U129" s="154"/>
      <c r="V129" s="154"/>
      <c r="W129" s="154"/>
      <c r="X129" s="154"/>
      <c r="Y129" s="154"/>
      <c r="Z129" s="154"/>
      <c r="AA129" s="155">
        <f t="shared" si="5"/>
        <v>45938</v>
      </c>
      <c r="AB129" s="16" t="s">
        <v>1144</v>
      </c>
      <c r="AC129" s="20"/>
      <c r="AD129" s="170"/>
      <c r="AE129" s="156" t="str">
        <f t="shared" si="6"/>
        <v/>
      </c>
      <c r="AF129" s="107" t="str">
        <f t="shared" si="7"/>
        <v/>
      </c>
      <c r="AG129" s="107" t="str">
        <f t="shared" si="8"/>
        <v/>
      </c>
      <c r="AH129" s="107" t="str">
        <f t="shared" si="9"/>
        <v/>
      </c>
      <c r="AI129" s="157">
        <f t="shared" si="10"/>
        <v>35</v>
      </c>
      <c r="AJ129" s="158"/>
      <c r="AK129" s="159"/>
      <c r="AL129" s="158"/>
      <c r="AM129" s="158">
        <f t="shared" si="11"/>
        <v>0</v>
      </c>
    </row>
    <row r="130" ht="22.5" customHeight="1">
      <c r="A130" s="10"/>
      <c r="B130" s="16" t="s">
        <v>86</v>
      </c>
      <c r="C130" s="16" t="s">
        <v>1131</v>
      </c>
      <c r="D130" s="123">
        <v>46006.0</v>
      </c>
      <c r="E130" s="124" t="str">
        <f t="shared" si="1"/>
        <v>2025</v>
      </c>
      <c r="F130" s="124" t="str">
        <f t="shared" si="2"/>
        <v>12 Des</v>
      </c>
      <c r="G130" s="124" t="str">
        <f t="shared" si="3"/>
        <v>Senin</v>
      </c>
      <c r="H130" s="16" t="s">
        <v>709</v>
      </c>
      <c r="I130" s="125" t="str">
        <f t="array" ref="I130">IFNA(XLOOKUP($H130,'🙎‍♂️ Pasien'!$G$7:$G658,'🙎‍♂️ Pasien'!$H$7:$H658),"")</f>
        <v>C0325128008</v>
      </c>
      <c r="J130" s="125" t="str">
        <f t="array" ref="J130">IFNA(XLOOKUP($H130,'🙎‍♂️ Pasien'!$G$7:$G658,'🙎‍♂️ Pasien'!$L$7:$L658),"")</f>
        <v>PEREMPUAN</v>
      </c>
      <c r="K130" s="125">
        <f t="array" ref="K130">IFNA(XLOOKUP($H130,'🙎‍♂️ Pasien'!$G$7:$G658,'🙎‍♂️ Pasien'!$I$7:$I658),"")</f>
        <v>23</v>
      </c>
      <c r="L130" s="16" t="s">
        <v>62</v>
      </c>
      <c r="M130" s="125" t="str">
        <f t="array" ref="M130">IFNA(XLOOKUP(L130,'⚙️ Pengaturan'!$H$5:$H658,'⚙️ Pengaturan'!$I$5:$I658),"")</f>
        <v>TIM A</v>
      </c>
      <c r="N130" s="16" t="s">
        <v>1132</v>
      </c>
      <c r="O130" s="16" t="s">
        <v>1133</v>
      </c>
      <c r="P130" s="153">
        <f t="shared" si="4"/>
        <v>4</v>
      </c>
      <c r="Q130" s="154">
        <v>46006.0</v>
      </c>
      <c r="R130" s="154">
        <v>46011.0</v>
      </c>
      <c r="S130" s="154">
        <v>46013.0</v>
      </c>
      <c r="T130" s="154">
        <v>46018.0</v>
      </c>
      <c r="U130" s="154"/>
      <c r="V130" s="154"/>
      <c r="W130" s="154"/>
      <c r="X130" s="154"/>
      <c r="Y130" s="154"/>
      <c r="Z130" s="154"/>
      <c r="AA130" s="155">
        <f t="shared" si="5"/>
        <v>46018</v>
      </c>
      <c r="AB130" s="16" t="s">
        <v>1144</v>
      </c>
      <c r="AC130" s="20"/>
      <c r="AD130" s="170"/>
      <c r="AE130" s="156" t="str">
        <f t="shared" si="6"/>
        <v/>
      </c>
      <c r="AF130" s="107" t="str">
        <f t="shared" si="7"/>
        <v/>
      </c>
      <c r="AG130" s="107" t="str">
        <f t="shared" si="8"/>
        <v/>
      </c>
      <c r="AH130" s="107" t="str">
        <f t="shared" si="9"/>
        <v/>
      </c>
      <c r="AI130" s="157">
        <f t="shared" si="10"/>
        <v>26</v>
      </c>
      <c r="AJ130" s="158"/>
      <c r="AK130" s="159"/>
      <c r="AL130" s="158"/>
      <c r="AM130" s="158">
        <f t="shared" si="11"/>
        <v>0</v>
      </c>
    </row>
    <row r="131" ht="22.5" customHeight="1">
      <c r="A131" s="10"/>
      <c r="B131" s="160" t="s">
        <v>134</v>
      </c>
      <c r="C131" s="160" t="s">
        <v>1131</v>
      </c>
      <c r="D131" s="161">
        <v>45889.0</v>
      </c>
      <c r="E131" s="124" t="str">
        <f t="shared" si="1"/>
        <v>2025</v>
      </c>
      <c r="F131" s="124" t="str">
        <f t="shared" si="2"/>
        <v>08 Agu</v>
      </c>
      <c r="G131" s="124" t="str">
        <f t="shared" si="3"/>
        <v>Rabu</v>
      </c>
      <c r="H131" s="160" t="s">
        <v>1207</v>
      </c>
      <c r="I131" s="125" t="str">
        <f t="array" ref="I131">IFNA(XLOOKUP($H131,'🙎‍♂️ Pasien'!$G$7:$G658,'🙎‍♂️ Pasien'!$H$7:$H658),"")</f>
        <v>D8725087201</v>
      </c>
      <c r="J131" s="125" t="str">
        <f t="array" ref="J131">IFNA(XLOOKUP($H131,'🙎‍♂️ Pasien'!$G$7:$G658,'🙎‍♂️ Pasien'!$L$7:$L658),"")</f>
        <v>LAKI-LAKI</v>
      </c>
      <c r="K131" s="125">
        <f t="array" ref="K131">IFNA(XLOOKUP($H131,'🙎‍♂️ Pasien'!$G$7:$G658,'🙎‍♂️ Pasien'!$I$7:$I658),"")</f>
        <v>38</v>
      </c>
      <c r="L131" s="160" t="s">
        <v>88</v>
      </c>
      <c r="M131" s="162" t="str">
        <f t="array" ref="M131">IFNA(XLOOKUP(L131,'⚙️ Pengaturan'!$H$5:$H658,'⚙️ Pengaturan'!$I$5:$I658),"")</f>
        <v>TIM Y</v>
      </c>
      <c r="N131" s="160" t="s">
        <v>1132</v>
      </c>
      <c r="O131" s="160" t="s">
        <v>1133</v>
      </c>
      <c r="P131" s="153">
        <f t="shared" si="4"/>
        <v>4</v>
      </c>
      <c r="Q131" s="164">
        <v>45889.0</v>
      </c>
      <c r="R131" s="164">
        <v>45893.0</v>
      </c>
      <c r="S131" s="164">
        <v>45902.0</v>
      </c>
      <c r="T131" s="164">
        <v>45910.0</v>
      </c>
      <c r="U131" s="164"/>
      <c r="V131" s="164"/>
      <c r="W131" s="164"/>
      <c r="X131" s="164"/>
      <c r="Y131" s="164"/>
      <c r="Z131" s="164"/>
      <c r="AA131" s="165">
        <f t="shared" si="5"/>
        <v>45910</v>
      </c>
      <c r="AB131" s="160" t="s">
        <v>1144</v>
      </c>
      <c r="AC131" s="174"/>
      <c r="AD131" s="166"/>
      <c r="AE131" s="156" t="str">
        <f t="shared" si="6"/>
        <v/>
      </c>
      <c r="AF131" s="107" t="str">
        <f t="shared" si="7"/>
        <v/>
      </c>
      <c r="AG131" s="107" t="str">
        <f t="shared" si="8"/>
        <v/>
      </c>
      <c r="AH131" s="107" t="str">
        <f t="shared" si="9"/>
        <v/>
      </c>
      <c r="AI131" s="157">
        <f t="shared" si="10"/>
        <v>42</v>
      </c>
      <c r="AJ131" s="158"/>
      <c r="AK131" s="159"/>
      <c r="AL131" s="158"/>
      <c r="AM131" s="158">
        <f t="shared" si="11"/>
        <v>0</v>
      </c>
    </row>
    <row r="132" ht="22.5" customHeight="1">
      <c r="A132" s="10"/>
      <c r="B132" s="171"/>
      <c r="C132" s="171"/>
      <c r="D132" s="161">
        <v>45679.0</v>
      </c>
      <c r="E132" s="124" t="str">
        <f t="shared" si="1"/>
        <v>2025</v>
      </c>
      <c r="F132" s="124" t="str">
        <f t="shared" si="2"/>
        <v>01 Jan</v>
      </c>
      <c r="G132" s="124" t="str">
        <f t="shared" si="3"/>
        <v>Rabu</v>
      </c>
      <c r="H132" s="16" t="s">
        <v>1208</v>
      </c>
      <c r="I132" s="125" t="str">
        <f t="array" ref="I132">IFNA(XLOOKUP($H132,'🙎‍♂️ Pasien'!$G$7:$G658,'🙎‍♂️ Pasien'!$H$7:$H658),"")</f>
        <v>D6125012817</v>
      </c>
      <c r="J132" s="125" t="str">
        <f t="array" ref="J132">IFNA(XLOOKUP($H132,'🙎‍♂️ Pasien'!$G$7:$G658,'🙎‍♂️ Pasien'!$L$7:$L658),"")</f>
        <v>PEREMPUAN</v>
      </c>
      <c r="K132" s="125">
        <f t="array" ref="K132">IFNA(XLOOKUP($H132,'🙎‍♂️ Pasien'!$G$7:$G658,'🙎‍♂️ Pasien'!$I$7:$I658),"")</f>
        <v>64</v>
      </c>
      <c r="L132" s="16" t="s">
        <v>107</v>
      </c>
      <c r="M132" s="125" t="str">
        <f t="array" ref="M132">IFNA(XLOOKUP(L132,'⚙️ Pengaturan'!$H$5:$H658,'⚙️ Pengaturan'!$I$5:$I658),"")</f>
        <v>TIM Y</v>
      </c>
      <c r="N132" s="16" t="s">
        <v>1132</v>
      </c>
      <c r="O132" s="16" t="s">
        <v>1133</v>
      </c>
      <c r="P132" s="153">
        <f t="shared" si="4"/>
        <v>1</v>
      </c>
      <c r="Q132" s="154">
        <v>45679.0</v>
      </c>
      <c r="R132" s="154"/>
      <c r="S132" s="154"/>
      <c r="T132" s="154"/>
      <c r="U132" s="154"/>
      <c r="V132" s="154"/>
      <c r="W132" s="154"/>
      <c r="X132" s="154"/>
      <c r="Y132" s="154"/>
      <c r="Z132" s="154"/>
      <c r="AA132" s="155">
        <f t="shared" si="5"/>
        <v>45679</v>
      </c>
      <c r="AB132" s="16" t="s">
        <v>1144</v>
      </c>
      <c r="AC132" s="20"/>
      <c r="AD132" s="170"/>
      <c r="AE132" s="156" t="str">
        <f t="shared" si="6"/>
        <v/>
      </c>
      <c r="AF132" s="107" t="str">
        <f t="shared" si="7"/>
        <v/>
      </c>
      <c r="AG132" s="107" t="str">
        <f t="shared" si="8"/>
        <v/>
      </c>
      <c r="AH132" s="107" t="str">
        <f t="shared" si="9"/>
        <v/>
      </c>
      <c r="AI132" s="157">
        <f t="shared" si="10"/>
        <v>72</v>
      </c>
      <c r="AJ132" s="158"/>
      <c r="AK132" s="159"/>
      <c r="AL132" s="158"/>
      <c r="AM132" s="158">
        <f t="shared" si="11"/>
        <v>0</v>
      </c>
    </row>
    <row r="133" ht="22.5" customHeight="1">
      <c r="A133" s="10"/>
      <c r="B133" s="163" t="s">
        <v>134</v>
      </c>
      <c r="C133" s="163" t="s">
        <v>1131</v>
      </c>
      <c r="D133" s="178">
        <v>45996.0</v>
      </c>
      <c r="E133" s="124" t="str">
        <f t="shared" si="1"/>
        <v>2025</v>
      </c>
      <c r="F133" s="124" t="str">
        <f t="shared" si="2"/>
        <v>12 Des</v>
      </c>
      <c r="G133" s="124" t="str">
        <f t="shared" si="3"/>
        <v>Jumat</v>
      </c>
      <c r="H133" s="16" t="s">
        <v>642</v>
      </c>
      <c r="I133" s="125" t="str">
        <f t="array" ref="I133">IFNA(XLOOKUP($H133,'🙎‍♂️ Pasien'!$G$7:$G658,'🙎‍♂️ Pasien'!$H$7:$H658),"")</f>
        <v>D7925125149</v>
      </c>
      <c r="J133" s="125" t="str">
        <f t="array" ref="J133">IFNA(XLOOKUP($H133,'🙎‍♂️ Pasien'!$G$7:$G658,'🙎‍♂️ Pasien'!$L$7:$L658),"")</f>
        <v>LAKI-LAKI</v>
      </c>
      <c r="K133" s="125">
        <f t="array" ref="K133">IFNA(XLOOKUP($H133,'🙎‍♂️ Pasien'!$G$7:$G658,'🙎‍♂️ Pasien'!$I$7:$I658),"")</f>
        <v>46</v>
      </c>
      <c r="L133" s="16" t="s">
        <v>62</v>
      </c>
      <c r="M133" s="125" t="str">
        <f t="array" ref="M133">IFNA(XLOOKUP(L133,'⚙️ Pengaturan'!$H$5:$H658,'⚙️ Pengaturan'!$I$5:$I658),"")</f>
        <v>TIM A</v>
      </c>
      <c r="N133" s="16" t="s">
        <v>1132</v>
      </c>
      <c r="O133" s="16" t="s">
        <v>1133</v>
      </c>
      <c r="P133" s="153">
        <f t="shared" si="4"/>
        <v>3</v>
      </c>
      <c r="Q133" s="154">
        <v>45996.0</v>
      </c>
      <c r="R133" s="154">
        <v>45997.0</v>
      </c>
      <c r="S133" s="154">
        <v>46000.0</v>
      </c>
      <c r="T133" s="154"/>
      <c r="U133" s="154"/>
      <c r="V133" s="154"/>
      <c r="W133" s="154"/>
      <c r="X133" s="154"/>
      <c r="Y133" s="154"/>
      <c r="Z133" s="154"/>
      <c r="AA133" s="155">
        <f t="shared" si="5"/>
        <v>46000</v>
      </c>
      <c r="AB133" s="16" t="s">
        <v>1144</v>
      </c>
      <c r="AC133" s="20"/>
      <c r="AD133" s="170"/>
      <c r="AE133" s="156" t="str">
        <f t="shared" si="6"/>
        <v/>
      </c>
      <c r="AF133" s="107" t="str">
        <f t="shared" si="7"/>
        <v/>
      </c>
      <c r="AG133" s="107" t="str">
        <f t="shared" si="8"/>
        <v/>
      </c>
      <c r="AH133" s="107" t="str">
        <f t="shared" si="9"/>
        <v/>
      </c>
      <c r="AI133" s="157">
        <f t="shared" si="10"/>
        <v>27</v>
      </c>
      <c r="AJ133" s="158"/>
      <c r="AK133" s="159"/>
      <c r="AL133" s="158"/>
      <c r="AM133" s="158">
        <f t="shared" si="11"/>
        <v>0</v>
      </c>
    </row>
    <row r="134" ht="22.5" customHeight="1">
      <c r="A134" s="10"/>
      <c r="B134" s="160" t="s">
        <v>86</v>
      </c>
      <c r="C134" s="172"/>
      <c r="D134" s="123">
        <v>45817.0</v>
      </c>
      <c r="E134" s="124" t="str">
        <f t="shared" si="1"/>
        <v>2025</v>
      </c>
      <c r="F134" s="124" t="str">
        <f t="shared" si="2"/>
        <v>06 Jun</v>
      </c>
      <c r="G134" s="124" t="str">
        <f t="shared" si="3"/>
        <v>Senin</v>
      </c>
      <c r="H134" s="160" t="s">
        <v>1209</v>
      </c>
      <c r="I134" s="125" t="str">
        <f t="array" ref="I134">IFNA(XLOOKUP($H134,'🙎‍♂️ Pasien'!$G$7:$G658,'🙎‍♂️ Pasien'!$H$7:$H658),"")</f>
        <v/>
      </c>
      <c r="J134" s="125" t="str">
        <f t="array" ref="J134">IFNA(XLOOKUP($H134,'🙎‍♂️ Pasien'!$G$7:$G658,'🙎‍♂️ Pasien'!$L$7:$L658),"")</f>
        <v/>
      </c>
      <c r="K134" s="125" t="str">
        <f t="array" ref="K134">IFNA(XLOOKUP($H134,'🙎‍♂️ Pasien'!$G$7:$G658,'🙎‍♂️ Pasien'!$I$7:$I658),"")</f>
        <v/>
      </c>
      <c r="L134" s="160" t="s">
        <v>1152</v>
      </c>
      <c r="M134" s="162" t="str">
        <f t="array" ref="M134">IFNA(XLOOKUP(L134,'⚙️ Pengaturan'!$H$5:$H658,'⚙️ Pengaturan'!$I$5:$I658),"")</f>
        <v>INAKTIF</v>
      </c>
      <c r="N134" s="16" t="s">
        <v>1132</v>
      </c>
      <c r="O134" s="160" t="s">
        <v>1133</v>
      </c>
      <c r="P134" s="153">
        <f t="shared" si="4"/>
        <v>2</v>
      </c>
      <c r="Q134" s="164">
        <v>45817.0</v>
      </c>
      <c r="R134" s="164">
        <v>45819.0</v>
      </c>
      <c r="S134" s="164"/>
      <c r="T134" s="164"/>
      <c r="U134" s="164"/>
      <c r="V134" s="164"/>
      <c r="W134" s="164"/>
      <c r="X134" s="164"/>
      <c r="Y134" s="164"/>
      <c r="Z134" s="164"/>
      <c r="AA134" s="165">
        <f t="shared" si="5"/>
        <v>45819</v>
      </c>
      <c r="AB134" s="160" t="s">
        <v>1144</v>
      </c>
      <c r="AC134" s="174"/>
      <c r="AD134" s="166"/>
      <c r="AE134" s="156" t="str">
        <f t="shared" si="6"/>
        <v/>
      </c>
      <c r="AF134" s="107" t="str">
        <f t="shared" si="7"/>
        <v/>
      </c>
      <c r="AG134" s="107" t="str">
        <f t="shared" si="8"/>
        <v/>
      </c>
      <c r="AH134" s="107" t="str">
        <f t="shared" si="9"/>
        <v/>
      </c>
      <c r="AI134" s="157">
        <f t="shared" si="10"/>
        <v>53</v>
      </c>
      <c r="AJ134" s="158"/>
      <c r="AK134" s="159"/>
      <c r="AL134" s="158"/>
      <c r="AM134" s="158">
        <f t="shared" si="11"/>
        <v>0</v>
      </c>
    </row>
    <row r="135" ht="22.5" customHeight="1">
      <c r="A135" s="10"/>
      <c r="B135" s="172"/>
      <c r="C135" s="172"/>
      <c r="D135" s="173">
        <v>45723.0</v>
      </c>
      <c r="E135" s="124" t="str">
        <f t="shared" si="1"/>
        <v>2025</v>
      </c>
      <c r="F135" s="124" t="str">
        <f t="shared" si="2"/>
        <v>03 Mar</v>
      </c>
      <c r="G135" s="124" t="str">
        <f t="shared" si="3"/>
        <v>Jumat</v>
      </c>
      <c r="H135" s="160" t="s">
        <v>1210</v>
      </c>
      <c r="I135" s="125" t="str">
        <f t="array" ref="I135">IFNA(XLOOKUP($H135,'🙎‍♂️ Pasien'!$G$7:$G658,'🙎‍♂️ Pasien'!$H$7:$H658),"")</f>
        <v>D8923047556</v>
      </c>
      <c r="J135" s="125" t="str">
        <f t="array" ref="J135">IFNA(XLOOKUP($H135,'🙎‍♂️ Pasien'!$G$7:$G658,'🙎‍♂️ Pasien'!$L$7:$L658),"")</f>
        <v>LAKI-LAKI</v>
      </c>
      <c r="K135" s="125">
        <f t="array" ref="K135">IFNA(XLOOKUP($H135,'🙎‍♂️ Pasien'!$G$7:$G658,'🙎‍♂️ Pasien'!$I$7:$I658),"")</f>
        <v>36</v>
      </c>
      <c r="L135" s="160" t="s">
        <v>101</v>
      </c>
      <c r="M135" s="162" t="str">
        <f t="array" ref="M135">IFNA(XLOOKUP(L135,'⚙️ Pengaturan'!$H$5:$H658,'⚙️ Pengaturan'!$I$5:$I658),"")</f>
        <v>MANAJEMEN</v>
      </c>
      <c r="N135" s="160" t="s">
        <v>1132</v>
      </c>
      <c r="O135" s="160" t="s">
        <v>1133</v>
      </c>
      <c r="P135" s="153">
        <f t="shared" si="4"/>
        <v>2</v>
      </c>
      <c r="Q135" s="164">
        <v>45727.0</v>
      </c>
      <c r="R135" s="164">
        <v>45731.0</v>
      </c>
      <c r="S135" s="164"/>
      <c r="T135" s="164"/>
      <c r="U135" s="164"/>
      <c r="V135" s="164"/>
      <c r="W135" s="164"/>
      <c r="X135" s="164"/>
      <c r="Y135" s="164"/>
      <c r="Z135" s="164"/>
      <c r="AA135" s="165">
        <f t="shared" si="5"/>
        <v>45731</v>
      </c>
      <c r="AB135" s="160" t="s">
        <v>1144</v>
      </c>
      <c r="AC135" s="174"/>
      <c r="AD135" s="179"/>
      <c r="AE135" s="156" t="str">
        <f t="shared" si="6"/>
        <v/>
      </c>
      <c r="AF135" s="107" t="str">
        <f t="shared" si="7"/>
        <v/>
      </c>
      <c r="AG135" s="107" t="str">
        <f t="shared" si="8"/>
        <v/>
      </c>
      <c r="AH135" s="107" t="str">
        <f t="shared" si="9"/>
        <v/>
      </c>
      <c r="AI135" s="157">
        <f t="shared" si="10"/>
        <v>65</v>
      </c>
      <c r="AJ135" s="158"/>
      <c r="AK135" s="159"/>
      <c r="AL135" s="158"/>
      <c r="AM135" s="158">
        <f t="shared" si="11"/>
        <v>0</v>
      </c>
    </row>
    <row r="136" ht="22.5" customHeight="1">
      <c r="A136" s="10"/>
      <c r="B136" s="171"/>
      <c r="C136" s="171"/>
      <c r="D136" s="161">
        <v>45645.0</v>
      </c>
      <c r="E136" s="124" t="str">
        <f t="shared" si="1"/>
        <v>2024</v>
      </c>
      <c r="F136" s="124" t="str">
        <f t="shared" si="2"/>
        <v>12 Des</v>
      </c>
      <c r="G136" s="124" t="str">
        <f t="shared" si="3"/>
        <v>Kamis</v>
      </c>
      <c r="H136" s="16" t="s">
        <v>1211</v>
      </c>
      <c r="I136" s="125" t="str">
        <f t="array" ref="I136">IFNA(XLOOKUP($H136,'🙎‍♂️ Pasien'!$G$7:$G658,'🙎‍♂️ Pasien'!$H$7:$H658),"")</f>
        <v>D0424120515</v>
      </c>
      <c r="J136" s="125" t="str">
        <f t="array" ref="J136">IFNA(XLOOKUP($H136,'🙎‍♂️ Pasien'!$G$7:$G658,'🙎‍♂️ Pasien'!$L$7:$L658),"")</f>
        <v>LAKI-LAKI</v>
      </c>
      <c r="K136" s="125">
        <f t="array" ref="K136">IFNA(XLOOKUP($H136,'🙎‍♂️ Pasien'!$G$7:$G658,'🙎‍♂️ Pasien'!$I$7:$I658),"")</f>
        <v>22</v>
      </c>
      <c r="L136" s="16" t="s">
        <v>607</v>
      </c>
      <c r="M136" s="125" t="str">
        <f t="array" ref="M136">IFNA(XLOOKUP(L136,'⚙️ Pengaturan'!$H$5:$H658,'⚙️ Pengaturan'!$I$5:$I658),"")</f>
        <v/>
      </c>
      <c r="N136" s="16" t="s">
        <v>1132</v>
      </c>
      <c r="O136" s="16" t="s">
        <v>1133</v>
      </c>
      <c r="P136" s="153">
        <f t="shared" si="4"/>
        <v>4</v>
      </c>
      <c r="Q136" s="154">
        <v>45646.0</v>
      </c>
      <c r="R136" s="154">
        <v>45649.0</v>
      </c>
      <c r="S136" s="154">
        <v>45654.0</v>
      </c>
      <c r="T136" s="154">
        <v>45664.0</v>
      </c>
      <c r="U136" s="154"/>
      <c r="V136" s="154"/>
      <c r="W136" s="154"/>
      <c r="X136" s="154"/>
      <c r="Y136" s="154"/>
      <c r="Z136" s="154"/>
      <c r="AA136" s="155">
        <f t="shared" si="5"/>
        <v>45664</v>
      </c>
      <c r="AB136" s="16" t="s">
        <v>1144</v>
      </c>
      <c r="AC136" s="20"/>
      <c r="AD136" s="170"/>
      <c r="AE136" s="156" t="str">
        <f t="shared" si="6"/>
        <v/>
      </c>
      <c r="AF136" s="107" t="str">
        <f t="shared" si="7"/>
        <v/>
      </c>
      <c r="AG136" s="107" t="str">
        <f t="shared" si="8"/>
        <v/>
      </c>
      <c r="AH136" s="107" t="str">
        <f t="shared" si="9"/>
        <v/>
      </c>
      <c r="AI136" s="157">
        <f t="shared" si="10"/>
        <v>77</v>
      </c>
      <c r="AJ136" s="158"/>
      <c r="AK136" s="159"/>
      <c r="AL136" s="158"/>
      <c r="AM136" s="158">
        <f t="shared" si="11"/>
        <v>0</v>
      </c>
    </row>
    <row r="137" ht="22.5" customHeight="1">
      <c r="A137" s="10"/>
      <c r="B137" s="160" t="s">
        <v>54</v>
      </c>
      <c r="C137" s="160" t="s">
        <v>1131</v>
      </c>
      <c r="D137" s="161">
        <v>45987.0</v>
      </c>
      <c r="E137" s="124" t="str">
        <f t="shared" si="1"/>
        <v>2025</v>
      </c>
      <c r="F137" s="124" t="str">
        <f t="shared" si="2"/>
        <v>11 Nov</v>
      </c>
      <c r="G137" s="124" t="str">
        <f t="shared" si="3"/>
        <v>Rabu</v>
      </c>
      <c r="H137" s="158" t="s">
        <v>1212</v>
      </c>
      <c r="I137" s="125" t="str">
        <f t="array" ref="I137">IFNA(XLOOKUP($H137,'🙎‍♂️ Pasien'!$G$7:$G658,'🙎‍♂️ Pasien'!$H$7:$H658),"")</f>
        <v/>
      </c>
      <c r="J137" s="125" t="str">
        <f t="array" ref="J137">IFNA(XLOOKUP($H137,'🙎‍♂️ Pasien'!$G$7:$G658,'🙎‍♂️ Pasien'!$L$7:$L658),"")</f>
        <v/>
      </c>
      <c r="K137" s="125" t="str">
        <f t="array" ref="K137">IFNA(XLOOKUP($H137,'🙎‍♂️ Pasien'!$G$7:$G658,'🙎‍♂️ Pasien'!$I$7:$I658),"")</f>
        <v/>
      </c>
      <c r="L137" s="160" t="s">
        <v>107</v>
      </c>
      <c r="M137" s="162" t="str">
        <f t="array" ref="M137">IFNA(XLOOKUP(L137,'⚙️ Pengaturan'!$H$5:$H658,'⚙️ Pengaturan'!$I$5:$I658),"")</f>
        <v>TIM Y</v>
      </c>
      <c r="N137" s="160" t="s">
        <v>1137</v>
      </c>
      <c r="O137" s="160" t="s">
        <v>1133</v>
      </c>
      <c r="P137" s="153">
        <f t="shared" si="4"/>
        <v>9</v>
      </c>
      <c r="Q137" s="164">
        <v>45987.0</v>
      </c>
      <c r="R137" s="164">
        <v>45990.0</v>
      </c>
      <c r="S137" s="164">
        <v>45992.0</v>
      </c>
      <c r="T137" s="164">
        <v>45994.0</v>
      </c>
      <c r="U137" s="164">
        <v>46001.0</v>
      </c>
      <c r="V137" s="164">
        <v>46004.0</v>
      </c>
      <c r="W137" s="164">
        <v>46006.0</v>
      </c>
      <c r="X137" s="164">
        <v>46007.0</v>
      </c>
      <c r="Y137" s="164">
        <v>46008.0</v>
      </c>
      <c r="Z137" s="164"/>
      <c r="AA137" s="165">
        <f t="shared" si="5"/>
        <v>46008</v>
      </c>
      <c r="AB137" s="160" t="s">
        <v>1144</v>
      </c>
      <c r="AC137" s="172"/>
      <c r="AD137" s="166"/>
      <c r="AE137" s="156" t="str">
        <f t="shared" si="6"/>
        <v/>
      </c>
      <c r="AF137" s="107" t="str">
        <f t="shared" si="7"/>
        <v/>
      </c>
      <c r="AG137" s="107" t="str">
        <f t="shared" si="8"/>
        <v/>
      </c>
      <c r="AH137" s="107" t="str">
        <f t="shared" si="9"/>
        <v/>
      </c>
      <c r="AI137" s="157">
        <f t="shared" si="10"/>
        <v>28</v>
      </c>
      <c r="AJ137" s="158"/>
      <c r="AK137" s="159"/>
      <c r="AL137" s="158"/>
      <c r="AM137" s="158">
        <f t="shared" si="11"/>
        <v>0</v>
      </c>
    </row>
    <row r="138" ht="22.5" customHeight="1">
      <c r="A138" s="10"/>
      <c r="B138" s="16" t="s">
        <v>86</v>
      </c>
      <c r="C138" s="16" t="s">
        <v>1131</v>
      </c>
      <c r="D138" s="123">
        <v>45964.0</v>
      </c>
      <c r="E138" s="124" t="str">
        <f t="shared" si="1"/>
        <v>2025</v>
      </c>
      <c r="F138" s="124" t="str">
        <f t="shared" si="2"/>
        <v>11 Nov</v>
      </c>
      <c r="G138" s="124" t="str">
        <f t="shared" si="3"/>
        <v>Senin</v>
      </c>
      <c r="H138" s="16" t="s">
        <v>407</v>
      </c>
      <c r="I138" s="125" t="str">
        <f t="array" ref="I138">IFNA(XLOOKUP($H138,'🙎‍♂️ Pasien'!$G$7:$G658,'🙎‍♂️ Pasien'!$H$7:$H658),"")</f>
        <v>D8225100100</v>
      </c>
      <c r="J138" s="125" t="str">
        <f t="array" ref="J138">IFNA(XLOOKUP($H138,'🙎‍♂️ Pasien'!$G$7:$G658,'🙎‍♂️ Pasien'!$L$7:$L658),"")</f>
        <v>PEREMPUAN</v>
      </c>
      <c r="K138" s="125">
        <f t="array" ref="K138">IFNA(XLOOKUP($H138,'🙎‍♂️ Pasien'!$G$7:$G658,'🙎‍♂️ Pasien'!$I$7:$I658),"")</f>
        <v>43</v>
      </c>
      <c r="L138" s="16" t="s">
        <v>107</v>
      </c>
      <c r="M138" s="125" t="str">
        <f t="array" ref="M138">IFNA(XLOOKUP(L138,'⚙️ Pengaturan'!$H$5:$H658,'⚙️ Pengaturan'!$I$5:$I658),"")</f>
        <v>TIM Y</v>
      </c>
      <c r="N138" s="16" t="s">
        <v>1132</v>
      </c>
      <c r="O138" s="16" t="s">
        <v>1133</v>
      </c>
      <c r="P138" s="153">
        <f t="shared" si="4"/>
        <v>5</v>
      </c>
      <c r="Q138" s="154">
        <v>45964.0</v>
      </c>
      <c r="R138" s="154">
        <v>45971.0</v>
      </c>
      <c r="S138" s="154">
        <v>45973.0</v>
      </c>
      <c r="T138" s="154">
        <v>45981.0</v>
      </c>
      <c r="U138" s="154">
        <v>45986.0</v>
      </c>
      <c r="V138" s="154"/>
      <c r="W138" s="154"/>
      <c r="X138" s="154"/>
      <c r="Y138" s="154"/>
      <c r="Z138" s="154"/>
      <c r="AA138" s="155">
        <f t="shared" si="5"/>
        <v>45986</v>
      </c>
      <c r="AB138" s="16" t="s">
        <v>1134</v>
      </c>
      <c r="AC138" s="16" t="s">
        <v>1138</v>
      </c>
      <c r="AD138" s="170"/>
      <c r="AE138" s="156">
        <f t="shared" si="6"/>
        <v>45986</v>
      </c>
      <c r="AF138" s="107" t="str">
        <f t="shared" si="7"/>
        <v>2025</v>
      </c>
      <c r="AG138" s="107" t="str">
        <f t="shared" si="8"/>
        <v>11 Nov</v>
      </c>
      <c r="AH138" s="107" t="str">
        <f t="shared" si="9"/>
        <v>Sel</v>
      </c>
      <c r="AI138" s="157">
        <f t="shared" si="10"/>
        <v>4</v>
      </c>
      <c r="AJ138" s="158"/>
      <c r="AK138" s="159"/>
      <c r="AL138" s="158"/>
      <c r="AM138" s="158">
        <f t="shared" si="11"/>
        <v>0</v>
      </c>
    </row>
    <row r="139" ht="22.5" customHeight="1">
      <c r="A139" s="10"/>
      <c r="B139" s="20"/>
      <c r="C139" s="20"/>
      <c r="D139" s="123">
        <v>45612.0</v>
      </c>
      <c r="E139" s="124" t="str">
        <f t="shared" si="1"/>
        <v>2024</v>
      </c>
      <c r="F139" s="124" t="str">
        <f t="shared" si="2"/>
        <v>11 Nov</v>
      </c>
      <c r="G139" s="124" t="str">
        <f t="shared" si="3"/>
        <v>Sabtu</v>
      </c>
      <c r="H139" s="16" t="s">
        <v>1213</v>
      </c>
      <c r="I139" s="125" t="str">
        <f t="array" ref="I139">IFNA(XLOOKUP($H139,'🙎‍♂️ Pasien'!$G$7:$G658,'🙎‍♂️ Pasien'!$H$7:$H658),"")</f>
        <v>D0924117420</v>
      </c>
      <c r="J139" s="125" t="str">
        <f t="array" ref="J139">IFNA(XLOOKUP($H139,'🙎‍♂️ Pasien'!$G$7:$G658,'🙎‍♂️ Pasien'!$L$7:$L658),"")</f>
        <v>LAKI-LAKI</v>
      </c>
      <c r="K139" s="125">
        <f t="array" ref="K139">IFNA(XLOOKUP($H139,'🙎‍♂️ Pasien'!$G$7:$G658,'🙎‍♂️ Pasien'!$I$7:$I658),"")</f>
        <v>16</v>
      </c>
      <c r="L139" s="16" t="s">
        <v>72</v>
      </c>
      <c r="M139" s="125" t="str">
        <f t="array" ref="M139">IFNA(XLOOKUP(L139,'⚙️ Pengaturan'!$H$5:$H658,'⚙️ Pengaturan'!$I$5:$I658),"")</f>
        <v>TIM A</v>
      </c>
      <c r="N139" s="16" t="s">
        <v>1137</v>
      </c>
      <c r="O139" s="16" t="s">
        <v>1133</v>
      </c>
      <c r="P139" s="153">
        <f t="shared" si="4"/>
        <v>9</v>
      </c>
      <c r="Q139" s="154">
        <v>45618.0</v>
      </c>
      <c r="R139" s="154">
        <v>45622.0</v>
      </c>
      <c r="S139" s="154">
        <v>45626.0</v>
      </c>
      <c r="T139" s="154">
        <v>45629.0</v>
      </c>
      <c r="U139" s="154">
        <v>45633.0</v>
      </c>
      <c r="V139" s="154">
        <v>45640.0</v>
      </c>
      <c r="W139" s="154">
        <v>45644.0</v>
      </c>
      <c r="X139" s="154">
        <v>45664.0</v>
      </c>
      <c r="Y139" s="154">
        <v>45680.0</v>
      </c>
      <c r="Z139" s="154"/>
      <c r="AA139" s="155">
        <f t="shared" si="5"/>
        <v>45680</v>
      </c>
      <c r="AB139" s="16" t="s">
        <v>1144</v>
      </c>
      <c r="AC139" s="20"/>
      <c r="AD139" s="170"/>
      <c r="AE139" s="156" t="str">
        <f t="shared" si="6"/>
        <v/>
      </c>
      <c r="AF139" s="107" t="str">
        <f t="shared" si="7"/>
        <v/>
      </c>
      <c r="AG139" s="107" t="str">
        <f t="shared" si="8"/>
        <v/>
      </c>
      <c r="AH139" s="107" t="str">
        <f t="shared" si="9"/>
        <v/>
      </c>
      <c r="AI139" s="157">
        <f t="shared" si="10"/>
        <v>81</v>
      </c>
      <c r="AJ139" s="158"/>
      <c r="AK139" s="159"/>
      <c r="AL139" s="158"/>
      <c r="AM139" s="158">
        <f t="shared" si="11"/>
        <v>0</v>
      </c>
    </row>
    <row r="140" ht="22.5" customHeight="1">
      <c r="A140" s="10"/>
      <c r="B140" s="160" t="s">
        <v>1156</v>
      </c>
      <c r="C140" s="160" t="s">
        <v>1131</v>
      </c>
      <c r="D140" s="161">
        <v>45888.0</v>
      </c>
      <c r="E140" s="124" t="str">
        <f t="shared" si="1"/>
        <v>2025</v>
      </c>
      <c r="F140" s="124" t="str">
        <f t="shared" si="2"/>
        <v>08 Agu</v>
      </c>
      <c r="G140" s="124" t="str">
        <f t="shared" si="3"/>
        <v>Selasa</v>
      </c>
      <c r="H140" s="160" t="s">
        <v>1214</v>
      </c>
      <c r="I140" s="125" t="str">
        <f t="array" ref="I140">IFNA(XLOOKUP($H140,'🙎‍♂️ Pasien'!$G$7:$G658,'🙎‍♂️ Pasien'!$H$7:$H658),"")</f>
        <v>D9625081496</v>
      </c>
      <c r="J140" s="125" t="str">
        <f t="array" ref="J140">IFNA(XLOOKUP($H140,'🙎‍♂️ Pasien'!$G$7:$G658,'🙎‍♂️ Pasien'!$L$7:$L658),"")</f>
        <v>PEREMPUAN</v>
      </c>
      <c r="K140" s="125">
        <f t="array" ref="K140">IFNA(XLOOKUP($H140,'🙎‍♂️ Pasien'!$G$7:$G658,'🙎‍♂️ Pasien'!$I$7:$I658),"")</f>
        <v>29</v>
      </c>
      <c r="L140" s="160" t="s">
        <v>91</v>
      </c>
      <c r="M140" s="162" t="str">
        <f t="array" ref="M140">IFNA(XLOOKUP(L140,'⚙️ Pengaturan'!$H$5:$H658,'⚙️ Pengaturan'!$I$5:$I658),"")</f>
        <v>TIM Y</v>
      </c>
      <c r="N140" s="160" t="s">
        <v>1132</v>
      </c>
      <c r="O140" s="160" t="s">
        <v>1133</v>
      </c>
      <c r="P140" s="153">
        <f t="shared" si="4"/>
        <v>5</v>
      </c>
      <c r="Q140" s="164">
        <v>45889.0</v>
      </c>
      <c r="R140" s="164">
        <v>45890.0</v>
      </c>
      <c r="S140" s="164">
        <v>45892.0</v>
      </c>
      <c r="T140" s="164">
        <v>45894.0</v>
      </c>
      <c r="U140" s="164">
        <v>45900.0</v>
      </c>
      <c r="V140" s="164"/>
      <c r="W140" s="164"/>
      <c r="X140" s="164"/>
      <c r="Y140" s="164"/>
      <c r="Z140" s="164"/>
      <c r="AA140" s="165">
        <f t="shared" si="5"/>
        <v>45900</v>
      </c>
      <c r="AB140" s="160" t="s">
        <v>1134</v>
      </c>
      <c r="AC140" s="160" t="s">
        <v>1135</v>
      </c>
      <c r="AD140" s="168" t="s">
        <v>1215</v>
      </c>
      <c r="AE140" s="156">
        <f t="shared" si="6"/>
        <v>45900</v>
      </c>
      <c r="AF140" s="107" t="str">
        <f t="shared" si="7"/>
        <v>2025</v>
      </c>
      <c r="AG140" s="107" t="str">
        <f t="shared" si="8"/>
        <v>08 Agu</v>
      </c>
      <c r="AH140" s="107" t="str">
        <f t="shared" si="9"/>
        <v>Min</v>
      </c>
      <c r="AI140" s="157">
        <f t="shared" si="10"/>
        <v>2</v>
      </c>
      <c r="AJ140" s="158"/>
      <c r="AK140" s="159"/>
      <c r="AL140" s="158"/>
      <c r="AM140" s="158">
        <f t="shared" si="11"/>
        <v>0</v>
      </c>
    </row>
    <row r="141" ht="22.5" customHeight="1">
      <c r="A141" s="167"/>
      <c r="B141" s="16" t="s">
        <v>54</v>
      </c>
      <c r="C141" s="16" t="s">
        <v>1131</v>
      </c>
      <c r="D141" s="123">
        <v>45932.0</v>
      </c>
      <c r="E141" s="124" t="str">
        <f t="shared" si="1"/>
        <v>2025</v>
      </c>
      <c r="F141" s="124" t="str">
        <f t="shared" si="2"/>
        <v>10 Okt</v>
      </c>
      <c r="G141" s="124" t="str">
        <f t="shared" si="3"/>
        <v>Kamis</v>
      </c>
      <c r="H141" s="16" t="s">
        <v>129</v>
      </c>
      <c r="I141" s="125" t="str">
        <f t="array" ref="I141">IFNA(XLOOKUP($H141,'🙎‍♂️ Pasien'!$G$7:$G658,'🙎‍♂️ Pasien'!$H$7:$H658),"")</f>
        <v>D1025091558</v>
      </c>
      <c r="J141" s="125" t="str">
        <f t="array" ref="J141">IFNA(XLOOKUP($H141,'🙎‍♂️ Pasien'!$G$7:$G658,'🙎‍♂️ Pasien'!$L$7:$L658),"")</f>
        <v>LAKI-LAKI</v>
      </c>
      <c r="K141" s="125">
        <f t="array" ref="K141">IFNA(XLOOKUP($H141,'🙎‍♂️ Pasien'!$G$7:$G658,'🙎‍♂️ Pasien'!$I$7:$I658),"")</f>
        <v>16</v>
      </c>
      <c r="L141" s="16" t="s">
        <v>72</v>
      </c>
      <c r="M141" s="125" t="str">
        <f t="array" ref="M141">IFNA(XLOOKUP(L141,'⚙️ Pengaturan'!$H$5:$H658,'⚙️ Pengaturan'!$I$5:$I658),"")</f>
        <v>TIM A</v>
      </c>
      <c r="N141" s="16" t="s">
        <v>1132</v>
      </c>
      <c r="O141" s="16" t="s">
        <v>1133</v>
      </c>
      <c r="P141" s="153">
        <f t="shared" si="4"/>
        <v>5</v>
      </c>
      <c r="Q141" s="154">
        <v>45932.0</v>
      </c>
      <c r="R141" s="154">
        <v>45935.0</v>
      </c>
      <c r="S141" s="154">
        <v>45935.0</v>
      </c>
      <c r="T141" s="154">
        <v>45939.0</v>
      </c>
      <c r="U141" s="154">
        <v>45939.0</v>
      </c>
      <c r="V141" s="154"/>
      <c r="W141" s="154"/>
      <c r="X141" s="154"/>
      <c r="Y141" s="154"/>
      <c r="Z141" s="154"/>
      <c r="AA141" s="155">
        <f t="shared" si="5"/>
        <v>45939</v>
      </c>
      <c r="AB141" s="16" t="s">
        <v>1134</v>
      </c>
      <c r="AC141" s="16" t="s">
        <v>1138</v>
      </c>
      <c r="AD141" s="170"/>
      <c r="AE141" s="156">
        <f t="shared" si="6"/>
        <v>45939</v>
      </c>
      <c r="AF141" s="107" t="str">
        <f t="shared" si="7"/>
        <v>2025</v>
      </c>
      <c r="AG141" s="107" t="str">
        <f t="shared" si="8"/>
        <v>10 Okt</v>
      </c>
      <c r="AH141" s="107" t="str">
        <f t="shared" si="9"/>
        <v>Kam</v>
      </c>
      <c r="AI141" s="157">
        <f t="shared" si="10"/>
        <v>1</v>
      </c>
      <c r="AJ141" s="96"/>
      <c r="AK141" s="169"/>
      <c r="AL141" s="96"/>
      <c r="AM141" s="158">
        <f t="shared" si="11"/>
        <v>0</v>
      </c>
    </row>
    <row r="142" ht="22.5" customHeight="1">
      <c r="A142" s="167"/>
      <c r="B142" s="16" t="s">
        <v>54</v>
      </c>
      <c r="C142" s="16" t="s">
        <v>1131</v>
      </c>
      <c r="D142" s="123">
        <v>45941.0</v>
      </c>
      <c r="E142" s="124" t="str">
        <f t="shared" si="1"/>
        <v>2025</v>
      </c>
      <c r="F142" s="124" t="str">
        <f t="shared" si="2"/>
        <v>10 Okt</v>
      </c>
      <c r="G142" s="124" t="str">
        <f t="shared" si="3"/>
        <v>Sabtu</v>
      </c>
      <c r="H142" s="16" t="s">
        <v>129</v>
      </c>
      <c r="I142" s="125" t="str">
        <f t="array" ref="I142">IFNA(XLOOKUP($H142,'🙎‍♂️ Pasien'!$G$7:$G658,'🙎‍♂️ Pasien'!$H$7:$H658),"")</f>
        <v>D1025091558</v>
      </c>
      <c r="J142" s="125" t="str">
        <f t="array" ref="J142">IFNA(XLOOKUP($H142,'🙎‍♂️ Pasien'!$G$7:$G658,'🙎‍♂️ Pasien'!$L$7:$L658),"")</f>
        <v>LAKI-LAKI</v>
      </c>
      <c r="K142" s="125">
        <f t="array" ref="K142">IFNA(XLOOKUP($H142,'🙎‍♂️ Pasien'!$G$7:$G658,'🙎‍♂️ Pasien'!$I$7:$I658),"")</f>
        <v>16</v>
      </c>
      <c r="L142" s="16" t="s">
        <v>72</v>
      </c>
      <c r="M142" s="125" t="str">
        <f t="array" ref="M142">IFNA(XLOOKUP(L142,'⚙️ Pengaturan'!$H$5:$H658,'⚙️ Pengaturan'!$I$5:$I658),"")</f>
        <v>TIM A</v>
      </c>
      <c r="N142" s="16" t="s">
        <v>1132</v>
      </c>
      <c r="O142" s="16" t="s">
        <v>1139</v>
      </c>
      <c r="P142" s="153">
        <f t="shared" si="4"/>
        <v>5</v>
      </c>
      <c r="Q142" s="154">
        <v>45941.0</v>
      </c>
      <c r="R142" s="154">
        <v>45942.0</v>
      </c>
      <c r="S142" s="154">
        <v>45942.0</v>
      </c>
      <c r="T142" s="154">
        <v>45946.0</v>
      </c>
      <c r="U142" s="154">
        <v>45949.0</v>
      </c>
      <c r="V142" s="154"/>
      <c r="W142" s="154"/>
      <c r="X142" s="154"/>
      <c r="Y142" s="154"/>
      <c r="Z142" s="154"/>
      <c r="AA142" s="155">
        <f t="shared" si="5"/>
        <v>45949</v>
      </c>
      <c r="AB142" s="16" t="s">
        <v>1134</v>
      </c>
      <c r="AC142" s="16" t="s">
        <v>1138</v>
      </c>
      <c r="AD142" s="170"/>
      <c r="AE142" s="156">
        <f t="shared" si="6"/>
        <v>45949</v>
      </c>
      <c r="AF142" s="107" t="str">
        <f t="shared" si="7"/>
        <v>2025</v>
      </c>
      <c r="AG142" s="107" t="str">
        <f t="shared" si="8"/>
        <v>10 Okt</v>
      </c>
      <c r="AH142" s="107" t="str">
        <f t="shared" si="9"/>
        <v>Min</v>
      </c>
      <c r="AI142" s="157">
        <f t="shared" si="10"/>
        <v>2</v>
      </c>
      <c r="AJ142" s="96"/>
      <c r="AK142" s="169"/>
      <c r="AL142" s="96"/>
      <c r="AM142" s="158">
        <f t="shared" si="11"/>
        <v>0</v>
      </c>
    </row>
    <row r="143" ht="22.5" customHeight="1">
      <c r="A143" s="16"/>
      <c r="B143" s="16" t="s">
        <v>54</v>
      </c>
      <c r="C143" s="16" t="s">
        <v>1131</v>
      </c>
      <c r="D143" s="123">
        <v>45949.0</v>
      </c>
      <c r="E143" s="124" t="str">
        <f t="shared" si="1"/>
        <v>2025</v>
      </c>
      <c r="F143" s="124" t="str">
        <f t="shared" si="2"/>
        <v>10 Okt</v>
      </c>
      <c r="G143" s="124" t="str">
        <f t="shared" si="3"/>
        <v>Minggu</v>
      </c>
      <c r="H143" s="16" t="s">
        <v>129</v>
      </c>
      <c r="I143" s="125" t="str">
        <f t="array" ref="I143">IFNA(XLOOKUP($H143,'🙎‍♂️ Pasien'!$G$7:$G658,'🙎‍♂️ Pasien'!$H$7:$H658),"")</f>
        <v>D1025091558</v>
      </c>
      <c r="J143" s="125" t="str">
        <f t="array" ref="J143">IFNA(XLOOKUP($H143,'🙎‍♂️ Pasien'!$G$7:$G658,'🙎‍♂️ Pasien'!$L$7:$L658),"")</f>
        <v>LAKI-LAKI</v>
      </c>
      <c r="K143" s="125">
        <f t="array" ref="K143">IFNA(XLOOKUP($H143,'🙎‍♂️ Pasien'!$G$7:$G658,'🙎‍♂️ Pasien'!$I$7:$I658),"")</f>
        <v>16</v>
      </c>
      <c r="L143" s="16" t="s">
        <v>72</v>
      </c>
      <c r="M143" s="125" t="str">
        <f t="array" ref="M143">IFNA(XLOOKUP(L143,'⚙️ Pengaturan'!$H$5:$H658,'⚙️ Pengaturan'!$I$5:$I658),"")</f>
        <v>TIM A</v>
      </c>
      <c r="N143" s="16" t="s">
        <v>1132</v>
      </c>
      <c r="O143" s="16" t="s">
        <v>1139</v>
      </c>
      <c r="P143" s="153">
        <f t="shared" si="4"/>
        <v>5</v>
      </c>
      <c r="Q143" s="154">
        <v>45949.0</v>
      </c>
      <c r="R143" s="154">
        <v>45950.0</v>
      </c>
      <c r="S143" s="154">
        <v>45953.0</v>
      </c>
      <c r="T143" s="154">
        <v>45953.0</v>
      </c>
      <c r="U143" s="154">
        <v>45955.0</v>
      </c>
      <c r="V143" s="154"/>
      <c r="W143" s="154"/>
      <c r="X143" s="154"/>
      <c r="Y143" s="154"/>
      <c r="Z143" s="154"/>
      <c r="AA143" s="155">
        <f t="shared" si="5"/>
        <v>45955</v>
      </c>
      <c r="AB143" s="16" t="s">
        <v>1134</v>
      </c>
      <c r="AC143" s="16" t="s">
        <v>1138</v>
      </c>
      <c r="AD143" s="170"/>
      <c r="AE143" s="156">
        <f t="shared" si="6"/>
        <v>45955</v>
      </c>
      <c r="AF143" s="107" t="str">
        <f t="shared" si="7"/>
        <v>2025</v>
      </c>
      <c r="AG143" s="107" t="str">
        <f t="shared" si="8"/>
        <v>10 Okt</v>
      </c>
      <c r="AH143" s="107" t="str">
        <f t="shared" si="9"/>
        <v>Sab</v>
      </c>
      <c r="AI143" s="157">
        <f t="shared" si="10"/>
        <v>1</v>
      </c>
      <c r="AJ143" s="158"/>
      <c r="AK143" s="159"/>
      <c r="AL143" s="158"/>
      <c r="AM143" s="158">
        <f t="shared" si="11"/>
        <v>0</v>
      </c>
    </row>
    <row r="144" ht="22.5" customHeight="1">
      <c r="A144" s="16"/>
      <c r="B144" s="16" t="s">
        <v>86</v>
      </c>
      <c r="C144" s="16" t="s">
        <v>1131</v>
      </c>
      <c r="D144" s="123">
        <v>45955.0</v>
      </c>
      <c r="E144" s="124" t="str">
        <f t="shared" si="1"/>
        <v>2025</v>
      </c>
      <c r="F144" s="124" t="str">
        <f t="shared" si="2"/>
        <v>10 Okt</v>
      </c>
      <c r="G144" s="124" t="str">
        <f t="shared" si="3"/>
        <v>Sabtu</v>
      </c>
      <c r="H144" s="16" t="s">
        <v>129</v>
      </c>
      <c r="I144" s="125" t="str">
        <f t="array" ref="I144">IFNA(XLOOKUP($H144,'🙎‍♂️ Pasien'!$G$7:$G658,'🙎‍♂️ Pasien'!$H$7:$H658),"")</f>
        <v>D1025091558</v>
      </c>
      <c r="J144" s="125" t="str">
        <f t="array" ref="J144">IFNA(XLOOKUP($H144,'🙎‍♂️ Pasien'!$G$7:$G658,'🙎‍♂️ Pasien'!$L$7:$L658),"")</f>
        <v>LAKI-LAKI</v>
      </c>
      <c r="K144" s="125">
        <f t="array" ref="K144">IFNA(XLOOKUP($H144,'🙎‍♂️ Pasien'!$G$7:$G658,'🙎‍♂️ Pasien'!$I$7:$I658),"")</f>
        <v>16</v>
      </c>
      <c r="L144" s="16" t="s">
        <v>72</v>
      </c>
      <c r="M144" s="125" t="str">
        <f t="array" ref="M144">IFNA(XLOOKUP(L144,'⚙️ Pengaturan'!$H$5:$H658,'⚙️ Pengaturan'!$I$5:$I658),"")</f>
        <v>TIM A</v>
      </c>
      <c r="N144" s="16" t="s">
        <v>1132</v>
      </c>
      <c r="O144" s="16" t="s">
        <v>1139</v>
      </c>
      <c r="P144" s="153">
        <f t="shared" si="4"/>
        <v>5</v>
      </c>
      <c r="Q144" s="154">
        <v>45955.0</v>
      </c>
      <c r="R144" s="154">
        <v>45956.0</v>
      </c>
      <c r="S144" s="154">
        <v>45956.0</v>
      </c>
      <c r="T144" s="154">
        <v>45957.0</v>
      </c>
      <c r="U144" s="154">
        <v>45963.0</v>
      </c>
      <c r="V144" s="154"/>
      <c r="W144" s="154"/>
      <c r="X144" s="154"/>
      <c r="Y144" s="154"/>
      <c r="Z144" s="154"/>
      <c r="AA144" s="155">
        <f t="shared" si="5"/>
        <v>45963</v>
      </c>
      <c r="AB144" s="16" t="s">
        <v>1134</v>
      </c>
      <c r="AC144" s="16" t="s">
        <v>1138</v>
      </c>
      <c r="AD144" s="170"/>
      <c r="AE144" s="156">
        <f t="shared" si="6"/>
        <v>45963</v>
      </c>
      <c r="AF144" s="107" t="str">
        <f t="shared" si="7"/>
        <v>2025</v>
      </c>
      <c r="AG144" s="107" t="str">
        <f t="shared" si="8"/>
        <v>11 Nov</v>
      </c>
      <c r="AH144" s="107" t="str">
        <f t="shared" si="9"/>
        <v>Min</v>
      </c>
      <c r="AI144" s="157">
        <f t="shared" si="10"/>
        <v>2</v>
      </c>
      <c r="AJ144" s="158"/>
      <c r="AK144" s="159"/>
      <c r="AL144" s="158"/>
      <c r="AM144" s="158">
        <f t="shared" si="11"/>
        <v>0</v>
      </c>
    </row>
    <row r="145" ht="22.5" customHeight="1">
      <c r="A145" s="16"/>
      <c r="B145" s="16" t="s">
        <v>54</v>
      </c>
      <c r="C145" s="16" t="s">
        <v>1131</v>
      </c>
      <c r="D145" s="123">
        <v>45965.0</v>
      </c>
      <c r="E145" s="124" t="str">
        <f t="shared" si="1"/>
        <v>2025</v>
      </c>
      <c r="F145" s="124" t="str">
        <f t="shared" si="2"/>
        <v>11 Nov</v>
      </c>
      <c r="G145" s="124" t="str">
        <f t="shared" si="3"/>
        <v>Selasa</v>
      </c>
      <c r="H145" s="16" t="s">
        <v>129</v>
      </c>
      <c r="I145" s="125" t="str">
        <f t="array" ref="I145">IFNA(XLOOKUP($H145,'🙎‍♂️ Pasien'!$G$7:$G658,'🙎‍♂️ Pasien'!$H$7:$H658),"")</f>
        <v>D1025091558</v>
      </c>
      <c r="J145" s="125" t="str">
        <f t="array" ref="J145">IFNA(XLOOKUP($H145,'🙎‍♂️ Pasien'!$G$7:$G658,'🙎‍♂️ Pasien'!$L$7:$L658),"")</f>
        <v>LAKI-LAKI</v>
      </c>
      <c r="K145" s="125">
        <f t="array" ref="K145">IFNA(XLOOKUP($H145,'🙎‍♂️ Pasien'!$G$7:$G658,'🙎‍♂️ Pasien'!$I$7:$I658),"")</f>
        <v>16</v>
      </c>
      <c r="L145" s="16" t="s">
        <v>72</v>
      </c>
      <c r="M145" s="125" t="str">
        <f t="array" ref="M145">IFNA(XLOOKUP(L145,'⚙️ Pengaturan'!$H$5:$H658,'⚙️ Pengaturan'!$I$5:$I658),"")</f>
        <v>TIM A</v>
      </c>
      <c r="N145" s="16" t="s">
        <v>1132</v>
      </c>
      <c r="O145" s="16" t="s">
        <v>1139</v>
      </c>
      <c r="P145" s="153">
        <f t="shared" si="4"/>
        <v>5</v>
      </c>
      <c r="Q145" s="154">
        <v>45965.0</v>
      </c>
      <c r="R145" s="154">
        <v>45967.0</v>
      </c>
      <c r="S145" s="154">
        <v>45969.0</v>
      </c>
      <c r="T145" s="154">
        <v>45976.0</v>
      </c>
      <c r="U145" s="154">
        <v>45979.0</v>
      </c>
      <c r="V145" s="154"/>
      <c r="W145" s="154"/>
      <c r="X145" s="154"/>
      <c r="Y145" s="154"/>
      <c r="Z145" s="154"/>
      <c r="AA145" s="155">
        <f t="shared" si="5"/>
        <v>45979</v>
      </c>
      <c r="AB145" s="16" t="s">
        <v>1134</v>
      </c>
      <c r="AC145" s="16" t="s">
        <v>1138</v>
      </c>
      <c r="AD145" s="170"/>
      <c r="AE145" s="156">
        <f t="shared" si="6"/>
        <v>45979</v>
      </c>
      <c r="AF145" s="107" t="str">
        <f t="shared" si="7"/>
        <v>2025</v>
      </c>
      <c r="AG145" s="107" t="str">
        <f t="shared" si="8"/>
        <v>11 Nov</v>
      </c>
      <c r="AH145" s="107" t="str">
        <f t="shared" si="9"/>
        <v>Sel</v>
      </c>
      <c r="AI145" s="157">
        <f t="shared" si="10"/>
        <v>2</v>
      </c>
      <c r="AJ145" s="158"/>
      <c r="AK145" s="159"/>
      <c r="AL145" s="158"/>
      <c r="AM145" s="158">
        <f t="shared" si="11"/>
        <v>0</v>
      </c>
    </row>
    <row r="146" ht="22.5" customHeight="1">
      <c r="A146" s="10"/>
      <c r="B146" s="16" t="s">
        <v>86</v>
      </c>
      <c r="C146" s="16" t="s">
        <v>1131</v>
      </c>
      <c r="D146" s="123">
        <v>45981.0</v>
      </c>
      <c r="E146" s="124" t="str">
        <f t="shared" si="1"/>
        <v>2025</v>
      </c>
      <c r="F146" s="124" t="str">
        <f t="shared" si="2"/>
        <v>11 Nov</v>
      </c>
      <c r="G146" s="124" t="str">
        <f t="shared" si="3"/>
        <v>Kamis</v>
      </c>
      <c r="H146" s="16" t="s">
        <v>129</v>
      </c>
      <c r="I146" s="125" t="str">
        <f t="array" ref="I146">IFNA(XLOOKUP($H146,'🙎‍♂️ Pasien'!$G$7:$G658,'🙎‍♂️ Pasien'!$H$7:$H658),"")</f>
        <v>D1025091558</v>
      </c>
      <c r="J146" s="125" t="str">
        <f t="array" ref="J146">IFNA(XLOOKUP($H146,'🙎‍♂️ Pasien'!$G$7:$G658,'🙎‍♂️ Pasien'!$L$7:$L658),"")</f>
        <v>LAKI-LAKI</v>
      </c>
      <c r="K146" s="125">
        <f t="array" ref="K146">IFNA(XLOOKUP($H146,'🙎‍♂️ Pasien'!$G$7:$G658,'🙎‍♂️ Pasien'!$I$7:$I658),"")</f>
        <v>16</v>
      </c>
      <c r="L146" s="16" t="s">
        <v>72</v>
      </c>
      <c r="M146" s="125" t="str">
        <f t="array" ref="M146">IFNA(XLOOKUP(L146,'⚙️ Pengaturan'!$H$5:$H658,'⚙️ Pengaturan'!$I$5:$I658),"")</f>
        <v>TIM A</v>
      </c>
      <c r="N146" s="16" t="s">
        <v>1132</v>
      </c>
      <c r="O146" s="16" t="s">
        <v>1139</v>
      </c>
      <c r="P146" s="153">
        <f t="shared" si="4"/>
        <v>5</v>
      </c>
      <c r="Q146" s="154">
        <v>45981.0</v>
      </c>
      <c r="R146" s="154">
        <v>45985.0</v>
      </c>
      <c r="S146" s="154">
        <v>45986.0</v>
      </c>
      <c r="T146" s="154">
        <v>45988.0</v>
      </c>
      <c r="U146" s="154">
        <v>45992.0</v>
      </c>
      <c r="V146" s="154"/>
      <c r="W146" s="154"/>
      <c r="X146" s="154"/>
      <c r="Y146" s="154"/>
      <c r="Z146" s="154"/>
      <c r="AA146" s="155">
        <f t="shared" si="5"/>
        <v>45992</v>
      </c>
      <c r="AB146" s="16" t="s">
        <v>1134</v>
      </c>
      <c r="AC146" s="16" t="s">
        <v>1138</v>
      </c>
      <c r="AD146" s="170"/>
      <c r="AE146" s="156">
        <f t="shared" si="6"/>
        <v>45992</v>
      </c>
      <c r="AF146" s="107" t="str">
        <f t="shared" si="7"/>
        <v>2025</v>
      </c>
      <c r="AG146" s="107" t="str">
        <f t="shared" si="8"/>
        <v>12 Des</v>
      </c>
      <c r="AH146" s="107" t="str">
        <f t="shared" si="9"/>
        <v>Sen</v>
      </c>
      <c r="AI146" s="157">
        <f t="shared" si="10"/>
        <v>2</v>
      </c>
      <c r="AJ146" s="158"/>
      <c r="AK146" s="159"/>
      <c r="AL146" s="158"/>
      <c r="AM146" s="158">
        <f t="shared" si="11"/>
        <v>0</v>
      </c>
    </row>
    <row r="147" ht="22.5" customHeight="1">
      <c r="A147" s="10"/>
      <c r="B147" s="16" t="s">
        <v>86</v>
      </c>
      <c r="C147" s="16" t="s">
        <v>1131</v>
      </c>
      <c r="D147" s="123">
        <v>45993.0</v>
      </c>
      <c r="E147" s="124" t="str">
        <f t="shared" si="1"/>
        <v>2025</v>
      </c>
      <c r="F147" s="124" t="str">
        <f t="shared" si="2"/>
        <v>12 Des</v>
      </c>
      <c r="G147" s="124" t="str">
        <f t="shared" si="3"/>
        <v>Selasa</v>
      </c>
      <c r="H147" s="16" t="s">
        <v>129</v>
      </c>
      <c r="I147" s="125" t="str">
        <f t="array" ref="I147">IFNA(XLOOKUP($H147,'🙎‍♂️ Pasien'!$G$7:$G658,'🙎‍♂️ Pasien'!$H$7:$H658),"")</f>
        <v>D1025091558</v>
      </c>
      <c r="J147" s="125" t="str">
        <f t="array" ref="J147">IFNA(XLOOKUP($H147,'🙎‍♂️ Pasien'!$G$7:$G658,'🙎‍♂️ Pasien'!$L$7:$L658),"")</f>
        <v>LAKI-LAKI</v>
      </c>
      <c r="K147" s="125">
        <f t="array" ref="K147">IFNA(XLOOKUP($H147,'🙎‍♂️ Pasien'!$G$7:$G658,'🙎‍♂️ Pasien'!$I$7:$I658),"")</f>
        <v>16</v>
      </c>
      <c r="L147" s="16" t="s">
        <v>72</v>
      </c>
      <c r="M147" s="125" t="str">
        <f t="array" ref="M147">IFNA(XLOOKUP(L147,'⚙️ Pengaturan'!$H$5:$H658,'⚙️ Pengaturan'!$I$5:$I658),"")</f>
        <v>TIM A</v>
      </c>
      <c r="N147" s="16" t="s">
        <v>1132</v>
      </c>
      <c r="O147" s="16" t="s">
        <v>1139</v>
      </c>
      <c r="P147" s="153">
        <f t="shared" si="4"/>
        <v>5</v>
      </c>
      <c r="Q147" s="154">
        <v>45993.0</v>
      </c>
      <c r="R147" s="154">
        <v>45999.0</v>
      </c>
      <c r="S147" s="154">
        <v>46001.0</v>
      </c>
      <c r="T147" s="154">
        <v>46006.0</v>
      </c>
      <c r="U147" s="154">
        <v>46013.0</v>
      </c>
      <c r="V147" s="154"/>
      <c r="W147" s="154"/>
      <c r="X147" s="154"/>
      <c r="Y147" s="154"/>
      <c r="Z147" s="154"/>
      <c r="AA147" s="155">
        <f t="shared" si="5"/>
        <v>46013</v>
      </c>
      <c r="AB147" s="16" t="s">
        <v>1134</v>
      </c>
      <c r="AC147" s="16" t="s">
        <v>1142</v>
      </c>
      <c r="AD147" s="170"/>
      <c r="AE147" s="156">
        <f t="shared" si="6"/>
        <v>46013</v>
      </c>
      <c r="AF147" s="107" t="str">
        <f t="shared" si="7"/>
        <v>2025</v>
      </c>
      <c r="AG147" s="107" t="str">
        <f t="shared" si="8"/>
        <v>12 Des</v>
      </c>
      <c r="AH147" s="107" t="str">
        <f t="shared" si="9"/>
        <v>Sen</v>
      </c>
      <c r="AI147" s="157">
        <f t="shared" si="10"/>
        <v>3</v>
      </c>
      <c r="AJ147" s="158"/>
      <c r="AK147" s="159"/>
      <c r="AL147" s="158"/>
      <c r="AM147" s="158">
        <f t="shared" si="11"/>
        <v>0</v>
      </c>
    </row>
    <row r="148" ht="22.5" customHeight="1">
      <c r="A148" s="10"/>
      <c r="B148" s="160" t="s">
        <v>446</v>
      </c>
      <c r="C148" s="172"/>
      <c r="D148" s="173">
        <v>45756.0</v>
      </c>
      <c r="E148" s="124" t="str">
        <f t="shared" si="1"/>
        <v>2025</v>
      </c>
      <c r="F148" s="124" t="str">
        <f t="shared" si="2"/>
        <v>04 Apr</v>
      </c>
      <c r="G148" s="124" t="str">
        <f t="shared" si="3"/>
        <v>Rabu</v>
      </c>
      <c r="H148" s="160" t="s">
        <v>1216</v>
      </c>
      <c r="I148" s="125" t="str">
        <f t="array" ref="I148">IFNA(XLOOKUP($H148,'🙎‍♂️ Pasien'!$G$7:$G658,'🙎‍♂️ Pasien'!$H$7:$H658),"")</f>
        <v>D9125048938</v>
      </c>
      <c r="J148" s="125" t="str">
        <f t="array" ref="J148">IFNA(XLOOKUP($H148,'🙎‍♂️ Pasien'!$G$7:$G658,'🙎‍♂️ Pasien'!$L$7:$L658),"")</f>
        <v>PEREMPUAN</v>
      </c>
      <c r="K148" s="125">
        <f t="array" ref="K148">IFNA(XLOOKUP($H148,'🙎‍♂️ Pasien'!$G$7:$G658,'🙎‍♂️ Pasien'!$I$7:$I658),"")</f>
        <v>35</v>
      </c>
      <c r="L148" s="160" t="s">
        <v>91</v>
      </c>
      <c r="M148" s="162" t="str">
        <f t="array" ref="M148">IFNA(XLOOKUP(L148,'⚙️ Pengaturan'!$H$5:$H658,'⚙️ Pengaturan'!$I$5:$I658),"")</f>
        <v>TIM Y</v>
      </c>
      <c r="N148" s="160" t="s">
        <v>1132</v>
      </c>
      <c r="O148" s="160" t="s">
        <v>1133</v>
      </c>
      <c r="P148" s="153">
        <f t="shared" si="4"/>
        <v>4</v>
      </c>
      <c r="Q148" s="164">
        <v>45756.0</v>
      </c>
      <c r="R148" s="164">
        <v>45759.0</v>
      </c>
      <c r="S148" s="164">
        <v>45763.0</v>
      </c>
      <c r="T148" s="164">
        <v>45766.0</v>
      </c>
      <c r="U148" s="164"/>
      <c r="V148" s="164"/>
      <c r="W148" s="164"/>
      <c r="X148" s="164"/>
      <c r="Y148" s="164"/>
      <c r="Z148" s="164"/>
      <c r="AA148" s="165">
        <f t="shared" si="5"/>
        <v>45766</v>
      </c>
      <c r="AB148" s="160" t="s">
        <v>1144</v>
      </c>
      <c r="AC148" s="174"/>
      <c r="AD148" s="166"/>
      <c r="AE148" s="156" t="str">
        <f t="shared" si="6"/>
        <v/>
      </c>
      <c r="AF148" s="107" t="str">
        <f t="shared" si="7"/>
        <v/>
      </c>
      <c r="AG148" s="107" t="str">
        <f t="shared" si="8"/>
        <v/>
      </c>
      <c r="AH148" s="107" t="str">
        <f t="shared" si="9"/>
        <v/>
      </c>
      <c r="AI148" s="157">
        <f t="shared" si="10"/>
        <v>61</v>
      </c>
      <c r="AJ148" s="158"/>
      <c r="AK148" s="159"/>
      <c r="AL148" s="158"/>
      <c r="AM148" s="158">
        <f t="shared" si="11"/>
        <v>0</v>
      </c>
    </row>
    <row r="149" ht="22.5" customHeight="1">
      <c r="A149" s="10"/>
      <c r="B149" s="160" t="s">
        <v>86</v>
      </c>
      <c r="C149" s="160" t="s">
        <v>1131</v>
      </c>
      <c r="D149" s="161">
        <v>45829.0</v>
      </c>
      <c r="E149" s="124" t="str">
        <f t="shared" si="1"/>
        <v>2025</v>
      </c>
      <c r="F149" s="124" t="str">
        <f t="shared" si="2"/>
        <v>06 Jun</v>
      </c>
      <c r="G149" s="124" t="str">
        <f t="shared" si="3"/>
        <v>Sabtu</v>
      </c>
      <c r="H149" s="160" t="s">
        <v>222</v>
      </c>
      <c r="I149" s="125" t="str">
        <f t="array" ref="I149">IFNA(XLOOKUP($H149,'🙎‍♂️ Pasien'!$G$7:$G658,'🙎‍♂️ Pasien'!$H$7:$H658),"")</f>
        <v>D0924079294</v>
      </c>
      <c r="J149" s="125" t="str">
        <f t="array" ref="J149">IFNA(XLOOKUP($H149,'🙎‍♂️ Pasien'!$G$7:$G658,'🙎‍♂️ Pasien'!$L$7:$L658),"")</f>
        <v>LAKI-LAKI</v>
      </c>
      <c r="K149" s="125">
        <f t="array" ref="K149">IFNA(XLOOKUP($H149,'🙎‍♂️ Pasien'!$G$7:$G658,'🙎‍♂️ Pasien'!$I$7:$I658),"")</f>
        <v>17</v>
      </c>
      <c r="L149" s="160" t="s">
        <v>81</v>
      </c>
      <c r="M149" s="162" t="str">
        <f t="array" ref="M149">IFNA(XLOOKUP(L149,'⚙️ Pengaturan'!$H$5:$H658,'⚙️ Pengaturan'!$I$5:$I658),"")</f>
        <v>MANAJEMEN</v>
      </c>
      <c r="N149" s="163" t="s">
        <v>1137</v>
      </c>
      <c r="O149" s="160" t="s">
        <v>1139</v>
      </c>
      <c r="P149" s="153">
        <f t="shared" si="4"/>
        <v>10</v>
      </c>
      <c r="Q149" s="164">
        <v>45797.0</v>
      </c>
      <c r="R149" s="164">
        <v>45820.0</v>
      </c>
      <c r="S149" s="164">
        <v>45829.0</v>
      </c>
      <c r="T149" s="164">
        <v>45834.0</v>
      </c>
      <c r="U149" s="164">
        <v>45836.0</v>
      </c>
      <c r="V149" s="164">
        <v>45841.0</v>
      </c>
      <c r="W149" s="164">
        <v>45843.0</v>
      </c>
      <c r="X149" s="164">
        <v>45848.0</v>
      </c>
      <c r="Y149" s="164">
        <v>45855.0</v>
      </c>
      <c r="Z149" s="164">
        <v>45857.0</v>
      </c>
      <c r="AA149" s="165">
        <f t="shared" si="5"/>
        <v>45857</v>
      </c>
      <c r="AB149" s="160" t="s">
        <v>1134</v>
      </c>
      <c r="AC149" s="160" t="s">
        <v>1138</v>
      </c>
      <c r="AD149" s="166"/>
      <c r="AE149" s="156">
        <f t="shared" si="6"/>
        <v>45857</v>
      </c>
      <c r="AF149" s="107" t="str">
        <f t="shared" si="7"/>
        <v>2025</v>
      </c>
      <c r="AG149" s="107" t="str">
        <f t="shared" si="8"/>
        <v>07 Jul</v>
      </c>
      <c r="AH149" s="107" t="str">
        <f t="shared" si="9"/>
        <v>Sab</v>
      </c>
      <c r="AI149" s="157">
        <f t="shared" si="10"/>
        <v>9</v>
      </c>
      <c r="AJ149" s="158"/>
      <c r="AK149" s="159"/>
      <c r="AL149" s="158"/>
      <c r="AM149" s="158">
        <f t="shared" si="11"/>
        <v>0</v>
      </c>
    </row>
    <row r="150" ht="22.5" customHeight="1">
      <c r="A150" s="10"/>
      <c r="B150" s="160" t="s">
        <v>86</v>
      </c>
      <c r="C150" s="160" t="s">
        <v>1131</v>
      </c>
      <c r="D150" s="161">
        <v>45869.0</v>
      </c>
      <c r="E150" s="124" t="str">
        <f t="shared" si="1"/>
        <v>2025</v>
      </c>
      <c r="F150" s="124" t="str">
        <f t="shared" si="2"/>
        <v>07 Jul</v>
      </c>
      <c r="G150" s="124" t="str">
        <f t="shared" si="3"/>
        <v>Kamis</v>
      </c>
      <c r="H150" s="158" t="s">
        <v>222</v>
      </c>
      <c r="I150" s="125" t="str">
        <f t="array" ref="I150">IFNA(XLOOKUP($H150,'🙎‍♂️ Pasien'!$G$7:$G658,'🙎‍♂️ Pasien'!$H$7:$H658),"")</f>
        <v>D0924079294</v>
      </c>
      <c r="J150" s="125" t="str">
        <f t="array" ref="J150">IFNA(XLOOKUP($H150,'🙎‍♂️ Pasien'!$G$7:$G658,'🙎‍♂️ Pasien'!$L$7:$L658),"")</f>
        <v>LAKI-LAKI</v>
      </c>
      <c r="K150" s="125">
        <f t="array" ref="K150">IFNA(XLOOKUP($H150,'🙎‍♂️ Pasien'!$G$7:$G658,'🙎‍♂️ Pasien'!$I$7:$I658),"")</f>
        <v>17</v>
      </c>
      <c r="L150" s="160" t="s">
        <v>56</v>
      </c>
      <c r="M150" s="162" t="str">
        <f t="array" ref="M150">IFNA(XLOOKUP(L150,'⚙️ Pengaturan'!$H$5:$H658,'⚙️ Pengaturan'!$I$5:$I658),"")</f>
        <v>TIM Y</v>
      </c>
      <c r="N150" s="163" t="s">
        <v>1137</v>
      </c>
      <c r="O150" s="160" t="s">
        <v>1139</v>
      </c>
      <c r="P150" s="153">
        <f t="shared" si="4"/>
        <v>10</v>
      </c>
      <c r="Q150" s="164">
        <v>45869.0</v>
      </c>
      <c r="R150" s="164">
        <v>45885.0</v>
      </c>
      <c r="S150" s="164">
        <v>45892.0</v>
      </c>
      <c r="T150" s="164">
        <v>45897.0</v>
      </c>
      <c r="U150" s="164">
        <v>45899.0</v>
      </c>
      <c r="V150" s="164">
        <v>45921.0</v>
      </c>
      <c r="W150" s="164">
        <v>45927.0</v>
      </c>
      <c r="X150" s="164">
        <v>45934.0</v>
      </c>
      <c r="Y150" s="164">
        <v>45948.0</v>
      </c>
      <c r="Z150" s="164">
        <v>45955.0</v>
      </c>
      <c r="AA150" s="165">
        <f t="shared" si="5"/>
        <v>45955</v>
      </c>
      <c r="AB150" s="160" t="s">
        <v>1134</v>
      </c>
      <c r="AC150" s="160" t="s">
        <v>1138</v>
      </c>
      <c r="AD150" s="166"/>
      <c r="AE150" s="156">
        <f t="shared" si="6"/>
        <v>45955</v>
      </c>
      <c r="AF150" s="107" t="str">
        <f t="shared" si="7"/>
        <v>2025</v>
      </c>
      <c r="AG150" s="107" t="str">
        <f t="shared" si="8"/>
        <v>10 Okt</v>
      </c>
      <c r="AH150" s="107" t="str">
        <f t="shared" si="9"/>
        <v>Sab</v>
      </c>
      <c r="AI150" s="157">
        <f t="shared" si="10"/>
        <v>13</v>
      </c>
      <c r="AJ150" s="158"/>
      <c r="AK150" s="159"/>
      <c r="AL150" s="158"/>
      <c r="AM150" s="158">
        <f t="shared" si="11"/>
        <v>0</v>
      </c>
    </row>
    <row r="151" ht="22.5" customHeight="1">
      <c r="A151" s="10"/>
      <c r="B151" s="16" t="s">
        <v>86</v>
      </c>
      <c r="C151" s="16" t="s">
        <v>1131</v>
      </c>
      <c r="D151" s="123">
        <v>45959.0</v>
      </c>
      <c r="E151" s="124" t="str">
        <f t="shared" si="1"/>
        <v>2025</v>
      </c>
      <c r="F151" s="124" t="str">
        <f t="shared" si="2"/>
        <v>10 Okt</v>
      </c>
      <c r="G151" s="124" t="str">
        <f t="shared" si="3"/>
        <v>Rabu</v>
      </c>
      <c r="H151" s="16" t="s">
        <v>392</v>
      </c>
      <c r="I151" s="125" t="str">
        <f t="array" ref="I151">IFNA(XLOOKUP($H151,'🙎‍♂️ Pasien'!$G$7:$G658,'🙎‍♂️ Pasien'!$H$7:$H658),"")</f>
        <v>D0625102206</v>
      </c>
      <c r="J151" s="125" t="str">
        <f t="array" ref="J151">IFNA(XLOOKUP($H151,'🙎‍♂️ Pasien'!$G$7:$G658,'🙎‍♂️ Pasien'!$L$7:$L658),"")</f>
        <v>LAKI-LAKI</v>
      </c>
      <c r="K151" s="125">
        <f t="array" ref="K151">IFNA(XLOOKUP($H151,'🙎‍♂️ Pasien'!$G$7:$G658,'🙎‍♂️ Pasien'!$I$7:$I658),"")</f>
        <v>19</v>
      </c>
      <c r="L151" s="16" t="s">
        <v>91</v>
      </c>
      <c r="M151" s="125" t="str">
        <f t="array" ref="M151">IFNA(XLOOKUP(L151,'⚙️ Pengaturan'!$H$5:$H658,'⚙️ Pengaturan'!$I$5:$I658),"")</f>
        <v>TIM Y</v>
      </c>
      <c r="N151" s="16" t="s">
        <v>1132</v>
      </c>
      <c r="O151" s="16" t="s">
        <v>1133</v>
      </c>
      <c r="P151" s="153">
        <f t="shared" si="4"/>
        <v>5</v>
      </c>
      <c r="Q151" s="154">
        <v>45959.0</v>
      </c>
      <c r="R151" s="154">
        <v>45961.0</v>
      </c>
      <c r="S151" s="154">
        <v>45967.0</v>
      </c>
      <c r="T151" s="154">
        <v>45975.0</v>
      </c>
      <c r="U151" s="154">
        <v>45981.0</v>
      </c>
      <c r="V151" s="154"/>
      <c r="W151" s="154"/>
      <c r="X151" s="154"/>
      <c r="Y151" s="154"/>
      <c r="Z151" s="154"/>
      <c r="AA151" s="155">
        <f t="shared" si="5"/>
        <v>45981</v>
      </c>
      <c r="AB151" s="16" t="s">
        <v>1134</v>
      </c>
      <c r="AC151" s="16" t="s">
        <v>1138</v>
      </c>
      <c r="AD151" s="170"/>
      <c r="AE151" s="156">
        <f t="shared" si="6"/>
        <v>45981</v>
      </c>
      <c r="AF151" s="107" t="str">
        <f t="shared" si="7"/>
        <v>2025</v>
      </c>
      <c r="AG151" s="107" t="str">
        <f t="shared" si="8"/>
        <v>11 Nov</v>
      </c>
      <c r="AH151" s="107" t="str">
        <f t="shared" si="9"/>
        <v>Kam</v>
      </c>
      <c r="AI151" s="157">
        <f t="shared" si="10"/>
        <v>4</v>
      </c>
      <c r="AJ151" s="158"/>
      <c r="AK151" s="159"/>
      <c r="AL151" s="158"/>
      <c r="AM151" s="158"/>
    </row>
    <row r="152" ht="22.5" customHeight="1">
      <c r="A152" s="10"/>
      <c r="B152" s="16" t="s">
        <v>86</v>
      </c>
      <c r="C152" s="16" t="s">
        <v>1131</v>
      </c>
      <c r="D152" s="123">
        <v>45988.0</v>
      </c>
      <c r="E152" s="124" t="str">
        <f t="shared" si="1"/>
        <v>2025</v>
      </c>
      <c r="F152" s="124" t="str">
        <f t="shared" si="2"/>
        <v>11 Nov</v>
      </c>
      <c r="G152" s="124" t="str">
        <f t="shared" si="3"/>
        <v>Kamis</v>
      </c>
      <c r="H152" s="16" t="s">
        <v>392</v>
      </c>
      <c r="I152" s="125" t="str">
        <f t="array" ref="I152">IFNA(XLOOKUP($H152,'🙎‍♂️ Pasien'!$G$7:$G658,'🙎‍♂️ Pasien'!$H$7:$H658),"")</f>
        <v>D0625102206</v>
      </c>
      <c r="J152" s="125" t="str">
        <f t="array" ref="J152">IFNA(XLOOKUP($H152,'🙎‍♂️ Pasien'!$G$7:$G658,'🙎‍♂️ Pasien'!$L$7:$L658),"")</f>
        <v>LAKI-LAKI</v>
      </c>
      <c r="K152" s="125">
        <f t="array" ref="K152">IFNA(XLOOKUP($H152,'🙎‍♂️ Pasien'!$G$7:$G658,'🙎‍♂️ Pasien'!$I$7:$I658),"")</f>
        <v>19</v>
      </c>
      <c r="L152" s="16" t="s">
        <v>56</v>
      </c>
      <c r="M152" s="125" t="str">
        <f t="array" ref="M152">IFNA(XLOOKUP(L152,'⚙️ Pengaturan'!$H$5:$H658,'⚙️ Pengaturan'!$I$5:$I658),"")</f>
        <v>TIM Y</v>
      </c>
      <c r="N152" s="16" t="s">
        <v>1132</v>
      </c>
      <c r="O152" s="16" t="s">
        <v>1139</v>
      </c>
      <c r="P152" s="153">
        <f t="shared" si="4"/>
        <v>5</v>
      </c>
      <c r="Q152" s="154">
        <v>45988.0</v>
      </c>
      <c r="R152" s="154">
        <v>45995.0</v>
      </c>
      <c r="S152" s="154">
        <v>46002.0</v>
      </c>
      <c r="T152" s="154">
        <v>46009.0</v>
      </c>
      <c r="U152" s="154">
        <v>46018.0</v>
      </c>
      <c r="V152" s="154"/>
      <c r="W152" s="154"/>
      <c r="X152" s="154"/>
      <c r="Y152" s="154"/>
      <c r="Z152" s="154"/>
      <c r="AA152" s="155">
        <f t="shared" si="5"/>
        <v>46018</v>
      </c>
      <c r="AB152" s="16" t="s">
        <v>1134</v>
      </c>
      <c r="AC152" s="16" t="s">
        <v>1135</v>
      </c>
      <c r="AD152" s="109" t="s">
        <v>1217</v>
      </c>
      <c r="AE152" s="156">
        <f t="shared" si="6"/>
        <v>46018</v>
      </c>
      <c r="AF152" s="107" t="str">
        <f t="shared" si="7"/>
        <v>2025</v>
      </c>
      <c r="AG152" s="107" t="str">
        <f t="shared" si="8"/>
        <v>12 Des</v>
      </c>
      <c r="AH152" s="107" t="str">
        <f t="shared" si="9"/>
        <v>Sab</v>
      </c>
      <c r="AI152" s="157">
        <f t="shared" si="10"/>
        <v>5</v>
      </c>
      <c r="AJ152" s="158"/>
      <c r="AK152" s="159"/>
      <c r="AL152" s="158"/>
      <c r="AM152" s="158">
        <f t="shared" ref="AM152:AM658" si="12">countif(Q152:Z152,"28/12/2025")</f>
        <v>0</v>
      </c>
    </row>
    <row r="153" ht="22.5" customHeight="1">
      <c r="A153" s="10"/>
      <c r="B153" s="20"/>
      <c r="C153" s="20"/>
      <c r="D153" s="123">
        <v>45607.0</v>
      </c>
      <c r="E153" s="124" t="str">
        <f t="shared" si="1"/>
        <v>2024</v>
      </c>
      <c r="F153" s="124" t="str">
        <f t="shared" si="2"/>
        <v>11 Nov</v>
      </c>
      <c r="G153" s="124" t="str">
        <f t="shared" si="3"/>
        <v>Senin</v>
      </c>
      <c r="H153" s="16" t="s">
        <v>1218</v>
      </c>
      <c r="I153" s="125" t="str">
        <f t="array" ref="I153">IFNA(XLOOKUP($H153,'🙎‍♂️ Pasien'!$G$7:$G658,'🙎‍♂️ Pasien'!$H$7:$H658),"")</f>
        <v>D6323060292</v>
      </c>
      <c r="J153" s="125" t="str">
        <f t="array" ref="J153">IFNA(XLOOKUP($H153,'🙎‍♂️ Pasien'!$G$7:$G658,'🙎‍♂️ Pasien'!$L$7:$L658),"")</f>
        <v>PEREMPUAN</v>
      </c>
      <c r="K153" s="125">
        <f t="array" ref="K153">IFNA(XLOOKUP($H153,'🙎‍♂️ Pasien'!$G$7:$G658,'🙎‍♂️ Pasien'!$I$7:$I658),"")</f>
        <v>63</v>
      </c>
      <c r="L153" s="16" t="s">
        <v>1152</v>
      </c>
      <c r="M153" s="125" t="str">
        <f t="array" ref="M153">IFNA(XLOOKUP(L153,'⚙️ Pengaturan'!$H$5:$H658,'⚙️ Pengaturan'!$I$5:$I658),"")</f>
        <v>INAKTIF</v>
      </c>
      <c r="N153" s="16" t="s">
        <v>1132</v>
      </c>
      <c r="O153" s="16" t="s">
        <v>1139</v>
      </c>
      <c r="P153" s="153">
        <f t="shared" si="4"/>
        <v>4</v>
      </c>
      <c r="Q153" s="154">
        <v>45607.0</v>
      </c>
      <c r="R153" s="154">
        <v>45614.0</v>
      </c>
      <c r="S153" s="154">
        <v>45617.0</v>
      </c>
      <c r="T153" s="154">
        <v>45621.0</v>
      </c>
      <c r="U153" s="154"/>
      <c r="V153" s="154"/>
      <c r="W153" s="154"/>
      <c r="X153" s="154"/>
      <c r="Y153" s="154"/>
      <c r="Z153" s="154"/>
      <c r="AA153" s="155">
        <f t="shared" si="5"/>
        <v>45621</v>
      </c>
      <c r="AB153" s="16" t="s">
        <v>1144</v>
      </c>
      <c r="AC153" s="20"/>
      <c r="AD153" s="170"/>
      <c r="AE153" s="156" t="str">
        <f t="shared" si="6"/>
        <v/>
      </c>
      <c r="AF153" s="107" t="str">
        <f t="shared" si="7"/>
        <v/>
      </c>
      <c r="AG153" s="107" t="str">
        <f t="shared" si="8"/>
        <v/>
      </c>
      <c r="AH153" s="107" t="str">
        <f t="shared" si="9"/>
        <v/>
      </c>
      <c r="AI153" s="157">
        <f t="shared" si="10"/>
        <v>83</v>
      </c>
      <c r="AJ153" s="158"/>
      <c r="AK153" s="159"/>
      <c r="AL153" s="158"/>
      <c r="AM153" s="158">
        <f t="shared" si="12"/>
        <v>0</v>
      </c>
    </row>
    <row r="154" ht="22.5" customHeight="1">
      <c r="A154" s="10"/>
      <c r="B154" s="16" t="s">
        <v>54</v>
      </c>
      <c r="C154" s="16" t="s">
        <v>1131</v>
      </c>
      <c r="D154" s="123">
        <v>45892.0</v>
      </c>
      <c r="E154" s="124" t="str">
        <f t="shared" si="1"/>
        <v>2025</v>
      </c>
      <c r="F154" s="124" t="str">
        <f t="shared" si="2"/>
        <v>08 Agu</v>
      </c>
      <c r="G154" s="124" t="str">
        <f t="shared" si="3"/>
        <v>Sabtu</v>
      </c>
      <c r="H154" s="16" t="s">
        <v>1219</v>
      </c>
      <c r="I154" s="125" t="str">
        <f t="array" ref="I154">IFNA(XLOOKUP($H154,'🙎‍♂️ Pasien'!$G$7:$G658,'🙎‍♂️ Pasien'!$H$7:$H658),"")</f>
        <v>D8825084244</v>
      </c>
      <c r="J154" s="125" t="str">
        <f t="array" ref="J154">IFNA(XLOOKUP($H154,'🙎‍♂️ Pasien'!$G$7:$G658,'🙎‍♂️ Pasien'!$L$7:$L658),"")</f>
        <v>PEREMPUAN</v>
      </c>
      <c r="K154" s="125">
        <f t="array" ref="K154">IFNA(XLOOKUP($H154,'🙎‍♂️ Pasien'!$G$7:$G658,'🙎‍♂️ Pasien'!$I$7:$I658),"")</f>
        <v>38</v>
      </c>
      <c r="L154" s="16" t="s">
        <v>62</v>
      </c>
      <c r="M154" s="125" t="str">
        <f t="array" ref="M154">IFNA(XLOOKUP(L154,'⚙️ Pengaturan'!$H$5:$H658,'⚙️ Pengaturan'!$I$5:$I658),"")</f>
        <v>TIM A</v>
      </c>
      <c r="N154" s="16" t="s">
        <v>1132</v>
      </c>
      <c r="O154" s="16" t="s">
        <v>1133</v>
      </c>
      <c r="P154" s="153">
        <f t="shared" si="4"/>
        <v>5</v>
      </c>
      <c r="Q154" s="154">
        <v>45892.0</v>
      </c>
      <c r="R154" s="154">
        <v>45894.0</v>
      </c>
      <c r="S154" s="154">
        <v>45897.0</v>
      </c>
      <c r="T154" s="154">
        <v>45902.0</v>
      </c>
      <c r="U154" s="154">
        <v>45908.0</v>
      </c>
      <c r="V154" s="154"/>
      <c r="W154" s="154"/>
      <c r="X154" s="154"/>
      <c r="Y154" s="154"/>
      <c r="Z154" s="154"/>
      <c r="AA154" s="155">
        <f t="shared" si="5"/>
        <v>45908</v>
      </c>
      <c r="AB154" s="16" t="s">
        <v>1134</v>
      </c>
      <c r="AC154" s="16" t="s">
        <v>1138</v>
      </c>
      <c r="AD154" s="170"/>
      <c r="AE154" s="156">
        <f t="shared" si="6"/>
        <v>45908</v>
      </c>
      <c r="AF154" s="107" t="str">
        <f t="shared" si="7"/>
        <v>2025</v>
      </c>
      <c r="AG154" s="107" t="str">
        <f t="shared" si="8"/>
        <v>09 Sep</v>
      </c>
      <c r="AH154" s="107" t="str">
        <f t="shared" si="9"/>
        <v>Sen</v>
      </c>
      <c r="AI154" s="157">
        <f t="shared" si="10"/>
        <v>3</v>
      </c>
      <c r="AJ154" s="158"/>
      <c r="AK154" s="159"/>
      <c r="AL154" s="158"/>
      <c r="AM154" s="158">
        <f t="shared" si="12"/>
        <v>0</v>
      </c>
    </row>
    <row r="155" ht="22.5" customHeight="1">
      <c r="A155" s="10"/>
      <c r="B155" s="16" t="s">
        <v>86</v>
      </c>
      <c r="C155" s="16" t="s">
        <v>1131</v>
      </c>
      <c r="D155" s="123">
        <v>45960.0</v>
      </c>
      <c r="E155" s="124" t="str">
        <f t="shared" si="1"/>
        <v>2025</v>
      </c>
      <c r="F155" s="124" t="str">
        <f t="shared" si="2"/>
        <v>10 Okt</v>
      </c>
      <c r="G155" s="124" t="str">
        <f t="shared" si="3"/>
        <v>Kamis</v>
      </c>
      <c r="H155" s="16" t="s">
        <v>382</v>
      </c>
      <c r="I155" s="125" t="str">
        <f t="array" ref="I155">IFNA(XLOOKUP($H155,'🙎‍♂️ Pasien'!$G$7:$G658,'🙎‍♂️ Pasien'!$H$7:$H658),"")</f>
        <v>D6925037525</v>
      </c>
      <c r="J155" s="125" t="str">
        <f t="array" ref="J155">IFNA(XLOOKUP($H155,'🙎‍♂️ Pasien'!$G$7:$G658,'🙎‍♂️ Pasien'!$L$7:$L658),"")</f>
        <v>PEREMPUAN</v>
      </c>
      <c r="K155" s="125">
        <f t="array" ref="K155">IFNA(XLOOKUP($H155,'🙎‍♂️ Pasien'!$G$7:$G658,'🙎‍♂️ Pasien'!$I$7:$I658),"")</f>
        <v>57</v>
      </c>
      <c r="L155" s="16" t="s">
        <v>107</v>
      </c>
      <c r="M155" s="125" t="str">
        <f t="array" ref="M155">IFNA(XLOOKUP(L155,'⚙️ Pengaturan'!$H$5:$H658,'⚙️ Pengaturan'!$I$5:$I658),"")</f>
        <v>TIM Y</v>
      </c>
      <c r="N155" s="16" t="s">
        <v>1132</v>
      </c>
      <c r="O155" s="16" t="s">
        <v>1133</v>
      </c>
      <c r="P155" s="153">
        <f t="shared" si="4"/>
        <v>5</v>
      </c>
      <c r="Q155" s="154">
        <v>45960.0</v>
      </c>
      <c r="R155" s="154">
        <v>45964.0</v>
      </c>
      <c r="S155" s="154">
        <v>45967.0</v>
      </c>
      <c r="T155" s="154">
        <v>45971.0</v>
      </c>
      <c r="U155" s="154">
        <v>45979.0</v>
      </c>
      <c r="V155" s="154"/>
      <c r="W155" s="154"/>
      <c r="X155" s="154"/>
      <c r="Y155" s="154"/>
      <c r="Z155" s="154"/>
      <c r="AA155" s="155">
        <f t="shared" si="5"/>
        <v>45979</v>
      </c>
      <c r="AB155" s="16" t="s">
        <v>1134</v>
      </c>
      <c r="AC155" s="16" t="s">
        <v>1135</v>
      </c>
      <c r="AD155" s="109" t="s">
        <v>1220</v>
      </c>
      <c r="AE155" s="156">
        <f t="shared" si="6"/>
        <v>45979</v>
      </c>
      <c r="AF155" s="107" t="str">
        <f t="shared" si="7"/>
        <v>2025</v>
      </c>
      <c r="AG155" s="107" t="str">
        <f t="shared" si="8"/>
        <v>11 Nov</v>
      </c>
      <c r="AH155" s="107" t="str">
        <f t="shared" si="9"/>
        <v>Sel</v>
      </c>
      <c r="AI155" s="157">
        <f t="shared" si="10"/>
        <v>3</v>
      </c>
      <c r="AJ155" s="158"/>
      <c r="AK155" s="159"/>
      <c r="AL155" s="158"/>
      <c r="AM155" s="158">
        <f t="shared" si="12"/>
        <v>0</v>
      </c>
    </row>
    <row r="156" ht="22.5" customHeight="1">
      <c r="A156" s="10"/>
      <c r="B156" s="16" t="s">
        <v>86</v>
      </c>
      <c r="C156" s="16" t="s">
        <v>1131</v>
      </c>
      <c r="D156" s="123">
        <v>46012.0</v>
      </c>
      <c r="E156" s="124" t="str">
        <f t="shared" si="1"/>
        <v>2025</v>
      </c>
      <c r="F156" s="124" t="str">
        <f t="shared" si="2"/>
        <v>12 Des</v>
      </c>
      <c r="G156" s="124" t="str">
        <f t="shared" si="3"/>
        <v>Minggu</v>
      </c>
      <c r="H156" s="16" t="s">
        <v>744</v>
      </c>
      <c r="I156" s="125" t="str">
        <f t="array" ref="I156">IFNA(XLOOKUP($H156,'🙎‍♂️ Pasien'!$G$7:$G658,'🙎‍♂️ Pasien'!$H$7:$H658),"")</f>
        <v>D9525039860</v>
      </c>
      <c r="J156" s="125" t="str">
        <f t="array" ref="J156">IFNA(XLOOKUP($H156,'🙎‍♂️ Pasien'!$G$7:$G658,'🙎‍♂️ Pasien'!$L$7:$L658),"")</f>
        <v>LAKI-LAKI</v>
      </c>
      <c r="K156" s="125">
        <f t="array" ref="K156">IFNA(XLOOKUP($H156,'🙎‍♂️ Pasien'!$G$7:$G658,'🙎‍♂️ Pasien'!$I$7:$I658),"")</f>
        <v>31</v>
      </c>
      <c r="L156" s="16" t="s">
        <v>88</v>
      </c>
      <c r="M156" s="125" t="str">
        <f t="array" ref="M156">IFNA(XLOOKUP(L156,'⚙️ Pengaturan'!$H$5:$H658,'⚙️ Pengaturan'!$I$5:$I658),"")</f>
        <v>TIM Y</v>
      </c>
      <c r="N156" s="16" t="s">
        <v>1132</v>
      </c>
      <c r="O156" s="16" t="s">
        <v>1133</v>
      </c>
      <c r="P156" s="153">
        <f t="shared" si="4"/>
        <v>3</v>
      </c>
      <c r="Q156" s="154">
        <v>46012.0</v>
      </c>
      <c r="R156" s="154">
        <v>46014.0</v>
      </c>
      <c r="S156" s="154">
        <v>46015.0</v>
      </c>
      <c r="T156" s="154"/>
      <c r="U156" s="154"/>
      <c r="V156" s="154"/>
      <c r="W156" s="154"/>
      <c r="X156" s="154"/>
      <c r="Y156" s="154"/>
      <c r="Z156" s="154"/>
      <c r="AA156" s="155">
        <f t="shared" si="5"/>
        <v>46015</v>
      </c>
      <c r="AB156" s="16" t="s">
        <v>1144</v>
      </c>
      <c r="AC156" s="20"/>
      <c r="AD156" s="170"/>
      <c r="AE156" s="156" t="str">
        <f t="shared" si="6"/>
        <v/>
      </c>
      <c r="AF156" s="107" t="str">
        <f t="shared" si="7"/>
        <v/>
      </c>
      <c r="AG156" s="107" t="str">
        <f t="shared" si="8"/>
        <v/>
      </c>
      <c r="AH156" s="107" t="str">
        <f t="shared" si="9"/>
        <v/>
      </c>
      <c r="AI156" s="157">
        <f t="shared" si="10"/>
        <v>25</v>
      </c>
      <c r="AJ156" s="158"/>
      <c r="AK156" s="159"/>
      <c r="AL156" s="158"/>
      <c r="AM156" s="158">
        <f t="shared" si="12"/>
        <v>0</v>
      </c>
    </row>
    <row r="157" ht="22.5" customHeight="1">
      <c r="A157" s="34"/>
      <c r="B157" s="16" t="s">
        <v>86</v>
      </c>
      <c r="C157" s="16" t="s">
        <v>1131</v>
      </c>
      <c r="D157" s="123">
        <v>45934.0</v>
      </c>
      <c r="E157" s="124" t="str">
        <f t="shared" si="1"/>
        <v>2025</v>
      </c>
      <c r="F157" s="124" t="str">
        <f t="shared" si="2"/>
        <v>10 Okt</v>
      </c>
      <c r="G157" s="124" t="str">
        <f t="shared" si="3"/>
        <v>Sabtu</v>
      </c>
      <c r="H157" s="16" t="s">
        <v>181</v>
      </c>
      <c r="I157" s="125" t="str">
        <f t="array" ref="I157">IFNA(XLOOKUP($H157,'🙎‍♂️ Pasien'!$G$7:$G658,'🙎‍♂️ Pasien'!$H$7:$H658),"")</f>
        <v>D0525097586</v>
      </c>
      <c r="J157" s="125" t="str">
        <f t="array" ref="J157">IFNA(XLOOKUP($H157,'🙎‍♂️ Pasien'!$G$7:$G658,'🙎‍♂️ Pasien'!$L$7:$L658),"")</f>
        <v>LAKI-LAKI</v>
      </c>
      <c r="K157" s="125">
        <f t="array" ref="K157">IFNA(XLOOKUP($H157,'🙎‍♂️ Pasien'!$G$7:$G658,'🙎‍♂️ Pasien'!$I$7:$I658),"")</f>
        <v>21</v>
      </c>
      <c r="L157" s="16" t="s">
        <v>56</v>
      </c>
      <c r="M157" s="125" t="str">
        <f t="array" ref="M157">IFNA(XLOOKUP(L157,'⚙️ Pengaturan'!$H$5:$H658,'⚙️ Pengaturan'!$I$5:$I658),"")</f>
        <v>TIM Y</v>
      </c>
      <c r="N157" s="16" t="s">
        <v>1132</v>
      </c>
      <c r="O157" s="16" t="s">
        <v>1133</v>
      </c>
      <c r="P157" s="153">
        <f t="shared" si="4"/>
        <v>5</v>
      </c>
      <c r="Q157" s="154">
        <v>45934.0</v>
      </c>
      <c r="R157" s="154">
        <v>45936.0</v>
      </c>
      <c r="S157" s="154">
        <v>45938.0</v>
      </c>
      <c r="T157" s="154">
        <v>45943.0</v>
      </c>
      <c r="U157" s="154">
        <v>45945.0</v>
      </c>
      <c r="V157" s="154"/>
      <c r="W157" s="154"/>
      <c r="X157" s="154"/>
      <c r="Y157" s="154"/>
      <c r="Z157" s="154"/>
      <c r="AA157" s="155">
        <f t="shared" si="5"/>
        <v>45945</v>
      </c>
      <c r="AB157" s="16" t="s">
        <v>1134</v>
      </c>
      <c r="AC157" s="16" t="s">
        <v>1138</v>
      </c>
      <c r="AD157" s="109"/>
      <c r="AE157" s="156">
        <f t="shared" si="6"/>
        <v>45945</v>
      </c>
      <c r="AF157" s="107" t="str">
        <f t="shared" si="7"/>
        <v>2025</v>
      </c>
      <c r="AG157" s="107" t="str">
        <f t="shared" si="8"/>
        <v>10 Okt</v>
      </c>
      <c r="AH157" s="107" t="str">
        <f t="shared" si="9"/>
        <v>Rab</v>
      </c>
      <c r="AI157" s="157">
        <f t="shared" si="10"/>
        <v>2</v>
      </c>
      <c r="AJ157" s="180"/>
      <c r="AK157" s="159"/>
      <c r="AL157" s="180"/>
      <c r="AM157" s="158">
        <f t="shared" si="12"/>
        <v>0</v>
      </c>
    </row>
    <row r="158" ht="22.5" customHeight="1">
      <c r="A158" s="10"/>
      <c r="B158" s="74" t="s">
        <v>54</v>
      </c>
      <c r="C158" s="16" t="s">
        <v>1131</v>
      </c>
      <c r="D158" s="176">
        <v>45951.0</v>
      </c>
      <c r="E158" s="124" t="str">
        <f t="shared" si="1"/>
        <v>2025</v>
      </c>
      <c r="F158" s="124" t="str">
        <f t="shared" si="2"/>
        <v>10 Okt</v>
      </c>
      <c r="G158" s="124" t="str">
        <f t="shared" si="3"/>
        <v>Selasa</v>
      </c>
      <c r="H158" s="74" t="s">
        <v>181</v>
      </c>
      <c r="I158" s="181" t="s">
        <v>1221</v>
      </c>
      <c r="J158" s="181" t="s">
        <v>888</v>
      </c>
      <c r="K158" s="181">
        <v>20.0</v>
      </c>
      <c r="L158" s="16" t="s">
        <v>88</v>
      </c>
      <c r="M158" s="125" t="str">
        <f t="array" ref="M158">IFNA(XLOOKUP(L158,'⚙️ Pengaturan'!$H$5:$H658,'⚙️ Pengaturan'!$I$5:$I658),"")</f>
        <v>TIM Y</v>
      </c>
      <c r="N158" s="16" t="s">
        <v>1132</v>
      </c>
      <c r="O158" s="16" t="s">
        <v>1139</v>
      </c>
      <c r="P158" s="182">
        <v>0.0</v>
      </c>
      <c r="Q158" s="154">
        <v>45951.0</v>
      </c>
      <c r="R158" s="154">
        <v>45953.0</v>
      </c>
      <c r="S158" s="154">
        <v>45958.0</v>
      </c>
      <c r="T158" s="154">
        <v>45960.0</v>
      </c>
      <c r="U158" s="154">
        <v>45963.0</v>
      </c>
      <c r="V158" s="177"/>
      <c r="W158" s="177"/>
      <c r="X158" s="177"/>
      <c r="Y158" s="177"/>
      <c r="Z158" s="177"/>
      <c r="AA158" s="183">
        <v>45951.0</v>
      </c>
      <c r="AB158" s="16" t="s">
        <v>1134</v>
      </c>
      <c r="AC158" s="16" t="s">
        <v>1138</v>
      </c>
      <c r="AD158" s="137"/>
      <c r="AE158" s="184"/>
      <c r="AF158" s="185" t="s">
        <v>1222</v>
      </c>
      <c r="AG158" s="185" t="s">
        <v>1222</v>
      </c>
      <c r="AH158" s="185" t="s">
        <v>1222</v>
      </c>
      <c r="AI158" s="186" t="s">
        <v>1222</v>
      </c>
      <c r="AJ158" s="158"/>
      <c r="AK158" s="159"/>
      <c r="AL158" s="158"/>
      <c r="AM158" s="158">
        <f t="shared" si="12"/>
        <v>0</v>
      </c>
    </row>
    <row r="159" ht="22.5" customHeight="1">
      <c r="A159" s="10"/>
      <c r="B159" s="20"/>
      <c r="C159" s="20"/>
      <c r="D159" s="123">
        <v>45614.0</v>
      </c>
      <c r="E159" s="124" t="str">
        <f t="shared" si="1"/>
        <v>2024</v>
      </c>
      <c r="F159" s="124" t="str">
        <f t="shared" si="2"/>
        <v>11 Nov</v>
      </c>
      <c r="G159" s="124" t="str">
        <f t="shared" si="3"/>
        <v>Senin</v>
      </c>
      <c r="H159" s="16" t="s">
        <v>1223</v>
      </c>
      <c r="I159" s="125" t="str">
        <f t="array" ref="I159">IFNA(XLOOKUP($H159,'🙎‍♂️ Pasien'!$G$7:$G658,'🙎‍♂️ Pasien'!$H$7:$H658),"")</f>
        <v>D8624112210</v>
      </c>
      <c r="J159" s="125" t="str">
        <f t="array" ref="J159">IFNA(XLOOKUP($H159,'🙎‍♂️ Pasien'!$G$7:$G658,'🙎‍♂️ Pasien'!$L$7:$L658),"")</f>
        <v>LAKI-LAKI</v>
      </c>
      <c r="K159" s="125">
        <f t="array" ref="K159">IFNA(XLOOKUP($H159,'🙎‍♂️ Pasien'!$G$7:$G658,'🙎‍♂️ Pasien'!$I$7:$I658),"")</f>
        <v>39</v>
      </c>
      <c r="L159" s="16" t="s">
        <v>607</v>
      </c>
      <c r="M159" s="125" t="str">
        <f t="array" ref="M159">IFNA(XLOOKUP(L159,'⚙️ Pengaturan'!$H$5:$H658,'⚙️ Pengaturan'!$I$5:$I658),"")</f>
        <v/>
      </c>
      <c r="N159" s="16" t="s">
        <v>1132</v>
      </c>
      <c r="O159" s="16" t="s">
        <v>1133</v>
      </c>
      <c r="P159" s="153">
        <f t="shared" ref="P159:P658" si="13">COUNT(Q159:Z159)</f>
        <v>1</v>
      </c>
      <c r="Q159" s="154">
        <v>45617.0</v>
      </c>
      <c r="R159" s="154"/>
      <c r="S159" s="154"/>
      <c r="T159" s="154"/>
      <c r="U159" s="154"/>
      <c r="V159" s="154"/>
      <c r="W159" s="154"/>
      <c r="X159" s="154"/>
      <c r="Y159" s="154"/>
      <c r="Z159" s="154"/>
      <c r="AA159" s="155">
        <f t="shared" ref="AA159:AA165" si="14">IF(D159="","", MAX(D159:Z159))</f>
        <v>45617</v>
      </c>
      <c r="AB159" s="16" t="s">
        <v>1144</v>
      </c>
      <c r="AC159" s="20"/>
      <c r="AD159" s="170"/>
      <c r="AE159" s="156" t="str">
        <f t="shared" ref="AE159:AE165" si="15">if($N159="P1",$U159,$Z159)</f>
        <v/>
      </c>
      <c r="AF159" s="107" t="str">
        <f t="shared" ref="AF159:AF165" si="16">IF($AE159="","",TEXT($AE159,"YYYY"))</f>
        <v/>
      </c>
      <c r="AG159" s="107" t="str">
        <f t="shared" ref="AG159:AG165" si="17">IF($AE159="","",TEXT($AE159,"MM")&amp;" "&amp;TEXT($AE159,"MMM"))</f>
        <v/>
      </c>
      <c r="AH159" s="107" t="str">
        <f t="shared" ref="AH159:AH165" si="18">IF($AE159="","",TEXT($AE159,"DDD"))</f>
        <v/>
      </c>
      <c r="AI159" s="157">
        <f t="shared" ref="AI159:AI165" si="19">if(Q159="","",ROUNDUP(if(AE159="",days(today(),Q159)/7,days(AE159,Q159)/7),0))</f>
        <v>81</v>
      </c>
      <c r="AJ159" s="158"/>
      <c r="AK159" s="159"/>
      <c r="AL159" s="158"/>
      <c r="AM159" s="158">
        <f t="shared" si="12"/>
        <v>0</v>
      </c>
    </row>
    <row r="160" ht="22.5" customHeight="1">
      <c r="A160" s="10"/>
      <c r="B160" s="160" t="s">
        <v>86</v>
      </c>
      <c r="C160" s="160" t="s">
        <v>1131</v>
      </c>
      <c r="D160" s="161">
        <v>45827.0</v>
      </c>
      <c r="E160" s="124" t="str">
        <f t="shared" si="1"/>
        <v>2025</v>
      </c>
      <c r="F160" s="124" t="str">
        <f t="shared" si="2"/>
        <v>06 Jun</v>
      </c>
      <c r="G160" s="124" t="str">
        <f t="shared" si="3"/>
        <v>Kamis</v>
      </c>
      <c r="H160" s="160" t="s">
        <v>165</v>
      </c>
      <c r="I160" s="125" t="str">
        <f t="array" ref="I160">IFNA(XLOOKUP($H160,'🙎‍♂️ Pasien'!$G$7:$G658,'🙎‍♂️ Pasien'!$H$7:$H658),"")</f>
        <v>D0925034440</v>
      </c>
      <c r="J160" s="125" t="str">
        <f t="array" ref="J160">IFNA(XLOOKUP($H160,'🙎‍♂️ Pasien'!$G$7:$G658,'🙎‍♂️ Pasien'!$L$7:$L658),"")</f>
        <v>LAKI-LAKI</v>
      </c>
      <c r="K160" s="125">
        <f t="array" ref="K160">IFNA(XLOOKUP($H160,'🙎‍♂️ Pasien'!$G$7:$G658,'🙎‍♂️ Pasien'!$I$7:$I658),"")</f>
        <v>17</v>
      </c>
      <c r="L160" s="160" t="s">
        <v>107</v>
      </c>
      <c r="M160" s="162" t="str">
        <f t="array" ref="M160">IFNA(XLOOKUP(L160,'⚙️ Pengaturan'!$H$5:$H658,'⚙️ Pengaturan'!$I$5:$I658),"")</f>
        <v>TIM Y</v>
      </c>
      <c r="N160" s="163" t="s">
        <v>1132</v>
      </c>
      <c r="O160" s="160" t="s">
        <v>1139</v>
      </c>
      <c r="P160" s="153">
        <f t="shared" si="13"/>
        <v>5</v>
      </c>
      <c r="Q160" s="164">
        <v>45827.0</v>
      </c>
      <c r="R160" s="164">
        <v>45834.0</v>
      </c>
      <c r="S160" s="164">
        <v>45847.0</v>
      </c>
      <c r="T160" s="164">
        <v>45860.0</v>
      </c>
      <c r="U160" s="164">
        <v>45864.0</v>
      </c>
      <c r="V160" s="164"/>
      <c r="W160" s="164"/>
      <c r="X160" s="164"/>
      <c r="Y160" s="164"/>
      <c r="Z160" s="164"/>
      <c r="AA160" s="165">
        <f t="shared" si="14"/>
        <v>45864</v>
      </c>
      <c r="AB160" s="160" t="s">
        <v>1134</v>
      </c>
      <c r="AC160" s="160" t="s">
        <v>1138</v>
      </c>
      <c r="AD160" s="166"/>
      <c r="AE160" s="156">
        <f t="shared" si="15"/>
        <v>45864</v>
      </c>
      <c r="AF160" s="107" t="str">
        <f t="shared" si="16"/>
        <v>2025</v>
      </c>
      <c r="AG160" s="107" t="str">
        <f t="shared" si="17"/>
        <v>07 Jul</v>
      </c>
      <c r="AH160" s="107" t="str">
        <f t="shared" si="18"/>
        <v>Sab</v>
      </c>
      <c r="AI160" s="157">
        <f t="shared" si="19"/>
        <v>6</v>
      </c>
      <c r="AJ160" s="158"/>
      <c r="AK160" s="159"/>
      <c r="AL160" s="158"/>
      <c r="AM160" s="158">
        <f t="shared" si="12"/>
        <v>0</v>
      </c>
    </row>
    <row r="161" ht="22.5" customHeight="1">
      <c r="A161" s="10"/>
      <c r="B161" s="160" t="s">
        <v>134</v>
      </c>
      <c r="C161" s="160" t="s">
        <v>1131</v>
      </c>
      <c r="D161" s="161">
        <v>45874.0</v>
      </c>
      <c r="E161" s="124" t="str">
        <f t="shared" si="1"/>
        <v>2025</v>
      </c>
      <c r="F161" s="124" t="str">
        <f t="shared" si="2"/>
        <v>08 Agu</v>
      </c>
      <c r="G161" s="124" t="str">
        <f t="shared" si="3"/>
        <v>Selasa</v>
      </c>
      <c r="H161" s="160" t="s">
        <v>165</v>
      </c>
      <c r="I161" s="125" t="str">
        <f t="array" ref="I161">IFNA(XLOOKUP($H161,'🙎‍♂️ Pasien'!$G$7:$G658,'🙎‍♂️ Pasien'!$H$7:$H658),"")</f>
        <v>D0925034440</v>
      </c>
      <c r="J161" s="125" t="str">
        <f t="array" ref="J161">IFNA(XLOOKUP($H161,'🙎‍♂️ Pasien'!$G$7:$G658,'🙎‍♂️ Pasien'!$L$7:$L658),"")</f>
        <v>LAKI-LAKI</v>
      </c>
      <c r="K161" s="125">
        <f t="array" ref="K161">IFNA(XLOOKUP($H161,'🙎‍♂️ Pasien'!$G$7:$G658,'🙎‍♂️ Pasien'!$I$7:$I658),"")</f>
        <v>17</v>
      </c>
      <c r="L161" s="160" t="s">
        <v>107</v>
      </c>
      <c r="M161" s="162" t="str">
        <f t="array" ref="M161">IFNA(XLOOKUP(L161,'⚙️ Pengaturan'!$H$5:$H658,'⚙️ Pengaturan'!$I$5:$I658),"")</f>
        <v>TIM Y</v>
      </c>
      <c r="N161" s="163" t="s">
        <v>1132</v>
      </c>
      <c r="O161" s="160" t="s">
        <v>1139</v>
      </c>
      <c r="P161" s="153">
        <f t="shared" si="13"/>
        <v>5</v>
      </c>
      <c r="Q161" s="164">
        <v>45874.0</v>
      </c>
      <c r="R161" s="164">
        <v>45889.0</v>
      </c>
      <c r="S161" s="164">
        <v>45896.0</v>
      </c>
      <c r="T161" s="164">
        <v>45902.0</v>
      </c>
      <c r="U161" s="164">
        <v>45909.0</v>
      </c>
      <c r="V161" s="164"/>
      <c r="W161" s="164"/>
      <c r="X161" s="164"/>
      <c r="Y161" s="164"/>
      <c r="Z161" s="164"/>
      <c r="AA161" s="165">
        <f t="shared" si="14"/>
        <v>45909</v>
      </c>
      <c r="AB161" s="160" t="s">
        <v>1134</v>
      </c>
      <c r="AC161" s="160" t="s">
        <v>1138</v>
      </c>
      <c r="AD161" s="166"/>
      <c r="AE161" s="156">
        <f t="shared" si="15"/>
        <v>45909</v>
      </c>
      <c r="AF161" s="107" t="str">
        <f t="shared" si="16"/>
        <v>2025</v>
      </c>
      <c r="AG161" s="107" t="str">
        <f t="shared" si="17"/>
        <v>09 Sep</v>
      </c>
      <c r="AH161" s="107" t="str">
        <f t="shared" si="18"/>
        <v>Sel</v>
      </c>
      <c r="AI161" s="157">
        <f t="shared" si="19"/>
        <v>5</v>
      </c>
      <c r="AJ161" s="158"/>
      <c r="AK161" s="159"/>
      <c r="AL161" s="158"/>
      <c r="AM161" s="158">
        <f t="shared" si="12"/>
        <v>0</v>
      </c>
    </row>
    <row r="162" ht="22.5" customHeight="1">
      <c r="A162" s="10"/>
      <c r="B162" s="160" t="s">
        <v>86</v>
      </c>
      <c r="C162" s="160" t="s">
        <v>1131</v>
      </c>
      <c r="D162" s="161">
        <v>45916.0</v>
      </c>
      <c r="E162" s="124" t="str">
        <f t="shared" si="1"/>
        <v>2025</v>
      </c>
      <c r="F162" s="124" t="str">
        <f t="shared" si="2"/>
        <v>09 Sep</v>
      </c>
      <c r="G162" s="124" t="str">
        <f t="shared" si="3"/>
        <v>Selasa</v>
      </c>
      <c r="H162" s="158" t="s">
        <v>165</v>
      </c>
      <c r="I162" s="125" t="str">
        <f t="array" ref="I162">IFNA(XLOOKUP($H162,'🙎‍♂️ Pasien'!$G$7:$G658,'🙎‍♂️ Pasien'!$H$7:$H658),"")</f>
        <v>D0925034440</v>
      </c>
      <c r="J162" s="125" t="str">
        <f t="array" ref="J162">IFNA(XLOOKUP($H162,'🙎‍♂️ Pasien'!$G$7:$G658,'🙎‍♂️ Pasien'!$L$7:$L658),"")</f>
        <v>LAKI-LAKI</v>
      </c>
      <c r="K162" s="125">
        <f t="array" ref="K162">IFNA(XLOOKUP($H162,'🙎‍♂️ Pasien'!$G$7:$G658,'🙎‍♂️ Pasien'!$I$7:$I658),"")</f>
        <v>17</v>
      </c>
      <c r="L162" s="160" t="s">
        <v>107</v>
      </c>
      <c r="M162" s="162" t="str">
        <f t="array" ref="M162">IFNA(XLOOKUP(L162,'⚙️ Pengaturan'!$H$5:$H658,'⚙️ Pengaturan'!$I$5:$I658),"")</f>
        <v>TIM Y</v>
      </c>
      <c r="N162" s="160" t="s">
        <v>1132</v>
      </c>
      <c r="O162" s="160" t="s">
        <v>1139</v>
      </c>
      <c r="P162" s="153">
        <f t="shared" si="13"/>
        <v>5</v>
      </c>
      <c r="Q162" s="164">
        <v>45916.0</v>
      </c>
      <c r="R162" s="164">
        <v>45935.0</v>
      </c>
      <c r="S162" s="164">
        <v>45941.0</v>
      </c>
      <c r="T162" s="164">
        <v>45952.0</v>
      </c>
      <c r="U162" s="164">
        <v>45966.0</v>
      </c>
      <c r="V162" s="164"/>
      <c r="W162" s="164"/>
      <c r="X162" s="164"/>
      <c r="Y162" s="164"/>
      <c r="Z162" s="164"/>
      <c r="AA162" s="165">
        <f t="shared" si="14"/>
        <v>45966</v>
      </c>
      <c r="AB162" s="160" t="s">
        <v>1134</v>
      </c>
      <c r="AC162" s="160" t="s">
        <v>1138</v>
      </c>
      <c r="AD162" s="166"/>
      <c r="AE162" s="156">
        <f t="shared" si="15"/>
        <v>45966</v>
      </c>
      <c r="AF162" s="107" t="str">
        <f t="shared" si="16"/>
        <v>2025</v>
      </c>
      <c r="AG162" s="107" t="str">
        <f t="shared" si="17"/>
        <v>11 Nov</v>
      </c>
      <c r="AH162" s="107" t="str">
        <f t="shared" si="18"/>
        <v>Rab</v>
      </c>
      <c r="AI162" s="157">
        <f t="shared" si="19"/>
        <v>8</v>
      </c>
      <c r="AJ162" s="158"/>
      <c r="AK162" s="159"/>
      <c r="AL162" s="158"/>
      <c r="AM162" s="158">
        <f t="shared" si="12"/>
        <v>0</v>
      </c>
    </row>
    <row r="163" ht="22.5" customHeight="1">
      <c r="A163" s="10"/>
      <c r="B163" s="160" t="s">
        <v>86</v>
      </c>
      <c r="C163" s="160" t="s">
        <v>1131</v>
      </c>
      <c r="D163" s="161">
        <v>45980.0</v>
      </c>
      <c r="E163" s="124" t="str">
        <f t="shared" si="1"/>
        <v>2025</v>
      </c>
      <c r="F163" s="124" t="str">
        <f t="shared" si="2"/>
        <v>11 Nov</v>
      </c>
      <c r="G163" s="124" t="str">
        <f t="shared" si="3"/>
        <v>Rabu</v>
      </c>
      <c r="H163" s="158" t="s">
        <v>165</v>
      </c>
      <c r="I163" s="125" t="str">
        <f t="array" ref="I163">IFNA(XLOOKUP($H163,'🙎‍♂️ Pasien'!$G$7:$G658,'🙎‍♂️ Pasien'!$H$7:$H658),"")</f>
        <v>D0925034440</v>
      </c>
      <c r="J163" s="125" t="str">
        <f t="array" ref="J163">IFNA(XLOOKUP($H163,'🙎‍♂️ Pasien'!$G$7:$G658,'🙎‍♂️ Pasien'!$L$7:$L658),"")</f>
        <v>LAKI-LAKI</v>
      </c>
      <c r="K163" s="125">
        <f t="array" ref="K163">IFNA(XLOOKUP($H163,'🙎‍♂️ Pasien'!$G$7:$G658,'🙎‍♂️ Pasien'!$I$7:$I658),"")</f>
        <v>17</v>
      </c>
      <c r="L163" s="160" t="s">
        <v>107</v>
      </c>
      <c r="M163" s="162" t="str">
        <f t="array" ref="M163">IFNA(XLOOKUP(L163,'⚙️ Pengaturan'!$H$5:$H658,'⚙️ Pengaturan'!$I$5:$I658),"")</f>
        <v>TIM Y</v>
      </c>
      <c r="N163" s="160" t="s">
        <v>1132</v>
      </c>
      <c r="O163" s="160" t="s">
        <v>1139</v>
      </c>
      <c r="P163" s="153">
        <f t="shared" si="13"/>
        <v>3</v>
      </c>
      <c r="Q163" s="164">
        <v>45980.0</v>
      </c>
      <c r="R163" s="164">
        <v>45987.0</v>
      </c>
      <c r="S163" s="164">
        <v>45994.0</v>
      </c>
      <c r="T163" s="164"/>
      <c r="U163" s="164"/>
      <c r="V163" s="164"/>
      <c r="W163" s="164"/>
      <c r="X163" s="164"/>
      <c r="Y163" s="164"/>
      <c r="Z163" s="164"/>
      <c r="AA163" s="165">
        <f t="shared" si="14"/>
        <v>45994</v>
      </c>
      <c r="AB163" s="160" t="s">
        <v>1144</v>
      </c>
      <c r="AC163" s="172"/>
      <c r="AD163" s="166"/>
      <c r="AE163" s="156" t="str">
        <f t="shared" si="15"/>
        <v/>
      </c>
      <c r="AF163" s="107" t="str">
        <f t="shared" si="16"/>
        <v/>
      </c>
      <c r="AG163" s="107" t="str">
        <f t="shared" si="17"/>
        <v/>
      </c>
      <c r="AH163" s="107" t="str">
        <f t="shared" si="18"/>
        <v/>
      </c>
      <c r="AI163" s="157">
        <f t="shared" si="19"/>
        <v>29</v>
      </c>
      <c r="AJ163" s="158"/>
      <c r="AK163" s="159"/>
      <c r="AL163" s="158"/>
      <c r="AM163" s="158">
        <f t="shared" si="12"/>
        <v>0</v>
      </c>
    </row>
    <row r="164" ht="22.5" customHeight="1">
      <c r="A164" s="10"/>
      <c r="B164" s="160" t="s">
        <v>134</v>
      </c>
      <c r="C164" s="160" t="s">
        <v>1131</v>
      </c>
      <c r="D164" s="161">
        <v>45968.0</v>
      </c>
      <c r="E164" s="124" t="str">
        <f t="shared" si="1"/>
        <v>2025</v>
      </c>
      <c r="F164" s="124" t="str">
        <f t="shared" si="2"/>
        <v>11 Nov</v>
      </c>
      <c r="G164" s="124" t="str">
        <f t="shared" si="3"/>
        <v>Jumat</v>
      </c>
      <c r="H164" s="160" t="s">
        <v>456</v>
      </c>
      <c r="I164" s="125" t="str">
        <f t="array" ref="I164">IFNA(XLOOKUP($H164,'🙎‍♂️ Pasien'!$G$7:$G658,'🙎‍♂️ Pasien'!$H$7:$H658),"")</f>
        <v>D6525119328</v>
      </c>
      <c r="J164" s="125" t="str">
        <f t="array" ref="J164">IFNA(XLOOKUP($H164,'🙎‍♂️ Pasien'!$G$7:$G658,'🙎‍♂️ Pasien'!$L$7:$L658),"")</f>
        <v>PEREMPUAN</v>
      </c>
      <c r="K164" s="125">
        <f t="array" ref="K164">IFNA(XLOOKUP($H164,'🙎‍♂️ Pasien'!$G$7:$G658,'🙎‍♂️ Pasien'!$I$7:$I658),"")</f>
        <v>60</v>
      </c>
      <c r="L164" s="160" t="s">
        <v>72</v>
      </c>
      <c r="M164" s="162" t="str">
        <f t="array" ref="M164">IFNA(XLOOKUP(L164,'⚙️ Pengaturan'!$H$5:$H658,'⚙️ Pengaturan'!$I$5:$I658),"")</f>
        <v>TIM A</v>
      </c>
      <c r="N164" s="163" t="s">
        <v>1132</v>
      </c>
      <c r="O164" s="160" t="s">
        <v>1133</v>
      </c>
      <c r="P164" s="153">
        <f t="shared" si="13"/>
        <v>5</v>
      </c>
      <c r="Q164" s="164">
        <v>45968.0</v>
      </c>
      <c r="R164" s="164">
        <v>45972.0</v>
      </c>
      <c r="S164" s="164">
        <v>45974.0</v>
      </c>
      <c r="T164" s="164">
        <v>45978.0</v>
      </c>
      <c r="U164" s="164">
        <v>45981.0</v>
      </c>
      <c r="V164" s="164"/>
      <c r="W164" s="164"/>
      <c r="X164" s="164"/>
      <c r="Y164" s="164"/>
      <c r="Z164" s="164"/>
      <c r="AA164" s="165">
        <f t="shared" si="14"/>
        <v>45981</v>
      </c>
      <c r="AB164" s="160" t="s">
        <v>1134</v>
      </c>
      <c r="AC164" s="160" t="s">
        <v>1135</v>
      </c>
      <c r="AD164" s="168" t="s">
        <v>1198</v>
      </c>
      <c r="AE164" s="156">
        <f t="shared" si="15"/>
        <v>45981</v>
      </c>
      <c r="AF164" s="107" t="str">
        <f t="shared" si="16"/>
        <v>2025</v>
      </c>
      <c r="AG164" s="107" t="str">
        <f t="shared" si="17"/>
        <v>11 Nov</v>
      </c>
      <c r="AH164" s="107" t="str">
        <f t="shared" si="18"/>
        <v>Kam</v>
      </c>
      <c r="AI164" s="157">
        <f t="shared" si="19"/>
        <v>2</v>
      </c>
      <c r="AJ164" s="158"/>
      <c r="AK164" s="159"/>
      <c r="AL164" s="158"/>
      <c r="AM164" s="158">
        <f t="shared" si="12"/>
        <v>0</v>
      </c>
    </row>
    <row r="165" ht="22.5" customHeight="1">
      <c r="A165" s="10"/>
      <c r="B165" s="20"/>
      <c r="C165" s="20"/>
      <c r="D165" s="123">
        <v>45616.0</v>
      </c>
      <c r="E165" s="124" t="str">
        <f t="shared" si="1"/>
        <v>2024</v>
      </c>
      <c r="F165" s="124" t="str">
        <f t="shared" si="2"/>
        <v>11 Nov</v>
      </c>
      <c r="G165" s="124" t="str">
        <f t="shared" si="3"/>
        <v>Rabu</v>
      </c>
      <c r="H165" s="16" t="s">
        <v>1224</v>
      </c>
      <c r="I165" s="125" t="str">
        <f t="array" ref="I165">IFNA(XLOOKUP($H165,'🙎‍♂️ Pasien'!$G$7:$G658,'🙎‍♂️ Pasien'!$H$7:$H658),"")</f>
        <v>D7324116663</v>
      </c>
      <c r="J165" s="125" t="str">
        <f t="array" ref="J165">IFNA(XLOOKUP($H165,'🙎‍♂️ Pasien'!$G$7:$G658,'🙎‍♂️ Pasien'!$L$7:$L658),"")</f>
        <v>LAKI-LAKI</v>
      </c>
      <c r="K165" s="125">
        <f t="array" ref="K165">IFNA(XLOOKUP($H165,'🙎‍♂️ Pasien'!$G$7:$G658,'🙎‍♂️ Pasien'!$I$7:$I658),"")</f>
        <v>52</v>
      </c>
      <c r="L165" s="16" t="s">
        <v>607</v>
      </c>
      <c r="M165" s="125" t="str">
        <f t="array" ref="M165">IFNA(XLOOKUP(L165,'⚙️ Pengaturan'!$H$5:$H658,'⚙️ Pengaturan'!$I$5:$I658),"")</f>
        <v/>
      </c>
      <c r="N165" s="16" t="s">
        <v>1132</v>
      </c>
      <c r="O165" s="16" t="s">
        <v>1133</v>
      </c>
      <c r="P165" s="153">
        <f t="shared" si="13"/>
        <v>2</v>
      </c>
      <c r="Q165" s="154">
        <v>45631.0</v>
      </c>
      <c r="R165" s="154">
        <v>45644.0</v>
      </c>
      <c r="S165" s="154"/>
      <c r="T165" s="154"/>
      <c r="U165" s="154"/>
      <c r="V165" s="154"/>
      <c r="W165" s="154"/>
      <c r="X165" s="154"/>
      <c r="Y165" s="154"/>
      <c r="Z165" s="154"/>
      <c r="AA165" s="155">
        <f t="shared" si="14"/>
        <v>45644</v>
      </c>
      <c r="AB165" s="16" t="s">
        <v>1144</v>
      </c>
      <c r="AC165" s="20"/>
      <c r="AD165" s="170"/>
      <c r="AE165" s="156" t="str">
        <f t="shared" si="15"/>
        <v/>
      </c>
      <c r="AF165" s="107" t="str">
        <f t="shared" si="16"/>
        <v/>
      </c>
      <c r="AG165" s="107" t="str">
        <f t="shared" si="17"/>
        <v/>
      </c>
      <c r="AH165" s="107" t="str">
        <f t="shared" si="18"/>
        <v/>
      </c>
      <c r="AI165" s="157">
        <f t="shared" si="19"/>
        <v>79</v>
      </c>
      <c r="AJ165" s="158"/>
      <c r="AK165" s="159"/>
      <c r="AL165" s="158"/>
      <c r="AM165" s="158">
        <f t="shared" si="12"/>
        <v>0</v>
      </c>
    </row>
    <row r="166" ht="22.5" customHeight="1">
      <c r="A166" s="10"/>
      <c r="B166" s="160" t="s">
        <v>54</v>
      </c>
      <c r="C166" s="160" t="s">
        <v>1131</v>
      </c>
      <c r="D166" s="161">
        <v>46020.0</v>
      </c>
      <c r="E166" s="124" t="str">
        <f t="shared" si="1"/>
        <v>2025</v>
      </c>
      <c r="F166" s="124" t="str">
        <f t="shared" si="2"/>
        <v>12 Des</v>
      </c>
      <c r="G166" s="124" t="str">
        <f t="shared" si="3"/>
        <v>Senin</v>
      </c>
      <c r="H166" s="158" t="s">
        <v>784</v>
      </c>
      <c r="I166" s="125" t="str">
        <f t="array" ref="I166">IFNA(XLOOKUP($H166,'🙎‍♂️ Pasien'!$G$7:$G658,'🙎‍♂️ Pasien'!$H$7:$H658),"")</f>
        <v>D9425126561</v>
      </c>
      <c r="J166" s="125"/>
      <c r="K166" s="125"/>
      <c r="L166" s="160" t="s">
        <v>88</v>
      </c>
      <c r="M166" s="162" t="str">
        <f t="array" ref="M166">IFNA(XLOOKUP(L166,'⚙️ Pengaturan'!$H$5:$H658,'⚙️ Pengaturan'!$I$5:$I658),"")</f>
        <v>TIM Y</v>
      </c>
      <c r="N166" s="163" t="s">
        <v>1132</v>
      </c>
      <c r="O166" s="160" t="s">
        <v>1133</v>
      </c>
      <c r="P166" s="153">
        <f t="shared" si="13"/>
        <v>1</v>
      </c>
      <c r="Q166" s="164">
        <v>46020.0</v>
      </c>
      <c r="R166" s="164"/>
      <c r="S166" s="164"/>
      <c r="T166" s="164"/>
      <c r="U166" s="164"/>
      <c r="V166" s="164"/>
      <c r="W166" s="164"/>
      <c r="X166" s="164"/>
      <c r="Y166" s="164"/>
      <c r="Z166" s="164"/>
      <c r="AA166" s="165"/>
      <c r="AB166" s="160" t="s">
        <v>1144</v>
      </c>
      <c r="AC166" s="172"/>
      <c r="AD166" s="166"/>
      <c r="AE166" s="156"/>
      <c r="AF166" s="107"/>
      <c r="AG166" s="107"/>
      <c r="AH166" s="107"/>
      <c r="AI166" s="157"/>
      <c r="AJ166" s="158"/>
      <c r="AK166" s="159"/>
      <c r="AL166" s="158"/>
      <c r="AM166" s="158">
        <f t="shared" si="12"/>
        <v>0</v>
      </c>
    </row>
    <row r="167" ht="22.5" customHeight="1">
      <c r="A167" s="10"/>
      <c r="B167" s="16" t="s">
        <v>86</v>
      </c>
      <c r="C167" s="16" t="s">
        <v>1131</v>
      </c>
      <c r="D167" s="123">
        <v>46020.0</v>
      </c>
      <c r="E167" s="124" t="str">
        <f t="shared" si="1"/>
        <v>2025</v>
      </c>
      <c r="F167" s="124" t="str">
        <f t="shared" si="2"/>
        <v>12 Des</v>
      </c>
      <c r="G167" s="124" t="str">
        <f t="shared" si="3"/>
        <v>Senin</v>
      </c>
      <c r="H167" s="16" t="s">
        <v>789</v>
      </c>
      <c r="I167" s="125" t="str">
        <f t="array" ref="I167">IFNA(XLOOKUP($H167,'🙎‍♂️ Pasien'!$G$7:$G658,'🙎‍♂️ Pasien'!$H$7:$H658),"")</f>
        <v>D5325127738</v>
      </c>
      <c r="J167" s="125" t="str">
        <f t="array" ref="J167">IFNA(XLOOKUP($H167,'🙎‍♂️ Pasien'!$G$7:$G658,'🙎‍♂️ Pasien'!$L$7:$L658),"")</f>
        <v>LAKI-LAKI</v>
      </c>
      <c r="K167" s="125">
        <f t="array" ref="K167">IFNA(XLOOKUP($H167,'🙎‍♂️ Pasien'!$G$7:$G658,'🙎‍♂️ Pasien'!$I$7:$I658),"")</f>
        <v>72</v>
      </c>
      <c r="L167" s="16" t="s">
        <v>101</v>
      </c>
      <c r="M167" s="125" t="str">
        <f t="array" ref="M167">IFNA(XLOOKUP(L167,'⚙️ Pengaturan'!$H$5:$H658,'⚙️ Pengaturan'!$I$5:$I658),"")</f>
        <v>MANAJEMEN</v>
      </c>
      <c r="N167" s="16" t="s">
        <v>1132</v>
      </c>
      <c r="O167" s="16" t="s">
        <v>1133</v>
      </c>
      <c r="P167" s="153">
        <f t="shared" si="13"/>
        <v>1</v>
      </c>
      <c r="Q167" s="154">
        <v>46020.0</v>
      </c>
      <c r="R167" s="154"/>
      <c r="S167" s="154"/>
      <c r="T167" s="154"/>
      <c r="U167" s="154"/>
      <c r="V167" s="154"/>
      <c r="W167" s="154"/>
      <c r="X167" s="154"/>
      <c r="Y167" s="154"/>
      <c r="Z167" s="154"/>
      <c r="AA167" s="155">
        <f t="shared" ref="AA167:AA658" si="20">IF(D167="","", MAX(D167:Z167))</f>
        <v>46020</v>
      </c>
      <c r="AB167" s="16" t="s">
        <v>1144</v>
      </c>
      <c r="AC167" s="20"/>
      <c r="AD167" s="170"/>
      <c r="AE167" s="156" t="str">
        <f t="shared" ref="AE167:AE658" si="21">if($N167="P1",$U167,$Z167)</f>
        <v/>
      </c>
      <c r="AF167" s="107" t="str">
        <f t="shared" ref="AF167:AF658" si="22">IF($AE167="","",TEXT($AE167,"YYYY"))</f>
        <v/>
      </c>
      <c r="AG167" s="107" t="str">
        <f t="shared" ref="AG167:AG658" si="23">IF($AE167="","",TEXT($AE167,"MM")&amp;" "&amp;TEXT($AE167,"MMM"))</f>
        <v/>
      </c>
      <c r="AH167" s="107" t="str">
        <f t="shared" ref="AH167:AH658" si="24">IF($AE167="","",TEXT($AE167,"DDD"))</f>
        <v/>
      </c>
      <c r="AI167" s="157">
        <f t="shared" ref="AI167:AI658" si="25">if(Q167="","",ROUNDUP(if(AE167="",days(today(),Q167)/7,days(AE167,Q167)/7),0))</f>
        <v>24</v>
      </c>
      <c r="AJ167" s="158"/>
      <c r="AK167" s="159"/>
      <c r="AL167" s="158"/>
      <c r="AM167" s="158">
        <f t="shared" si="12"/>
        <v>0</v>
      </c>
    </row>
    <row r="168" ht="22.5" customHeight="1">
      <c r="A168" s="10"/>
      <c r="B168" s="16" t="s">
        <v>86</v>
      </c>
      <c r="C168" s="16" t="s">
        <v>1131</v>
      </c>
      <c r="D168" s="123">
        <v>46005.0</v>
      </c>
      <c r="E168" s="124" t="str">
        <f t="shared" si="1"/>
        <v>2025</v>
      </c>
      <c r="F168" s="124" t="str">
        <f t="shared" si="2"/>
        <v>12 Des</v>
      </c>
      <c r="G168" s="124" t="str">
        <f t="shared" si="3"/>
        <v>Minggu</v>
      </c>
      <c r="H168" s="16" t="s">
        <v>703</v>
      </c>
      <c r="I168" s="125" t="str">
        <f t="array" ref="I168">IFNA(XLOOKUP($H168,'🙎‍♂️ Pasien'!$G$7:$G658,'🙎‍♂️ Pasien'!$H$7:$H658),"")</f>
        <v>D8825037244</v>
      </c>
      <c r="J168" s="125" t="str">
        <f t="array" ref="J168">IFNA(XLOOKUP($H168,'🙎‍♂️ Pasien'!$G$7:$G658,'🙎‍♂️ Pasien'!$L$7:$L658),"")</f>
        <v>PEREMPUAN</v>
      </c>
      <c r="K168" s="125">
        <f t="array" ref="K168">IFNA(XLOOKUP($H168,'🙎‍♂️ Pasien'!$G$7:$G658,'🙎‍♂️ Pasien'!$I$7:$I658),"")</f>
        <v>37</v>
      </c>
      <c r="L168" s="16" t="s">
        <v>509</v>
      </c>
      <c r="M168" s="125" t="str">
        <f t="array" ref="M168">IFNA(XLOOKUP(L168,'⚙️ Pengaturan'!$H$5:$H658,'⚙️ Pengaturan'!$I$5:$I658),"")</f>
        <v>TIM Y</v>
      </c>
      <c r="N168" s="16" t="s">
        <v>1132</v>
      </c>
      <c r="O168" s="16" t="s">
        <v>1133</v>
      </c>
      <c r="P168" s="153">
        <f t="shared" si="13"/>
        <v>4</v>
      </c>
      <c r="Q168" s="154">
        <v>46005.0</v>
      </c>
      <c r="R168" s="154">
        <v>46008.0</v>
      </c>
      <c r="S168" s="154">
        <v>46013.0</v>
      </c>
      <c r="T168" s="154">
        <v>46019.0</v>
      </c>
      <c r="U168" s="154"/>
      <c r="V168" s="154"/>
      <c r="W168" s="154"/>
      <c r="X168" s="154"/>
      <c r="Y168" s="154"/>
      <c r="Z168" s="154"/>
      <c r="AA168" s="155">
        <f t="shared" si="20"/>
        <v>46019</v>
      </c>
      <c r="AB168" s="16" t="s">
        <v>1144</v>
      </c>
      <c r="AC168" s="20"/>
      <c r="AD168" s="170"/>
      <c r="AE168" s="156" t="str">
        <f t="shared" si="21"/>
        <v/>
      </c>
      <c r="AF168" s="107" t="str">
        <f t="shared" si="22"/>
        <v/>
      </c>
      <c r="AG168" s="107" t="str">
        <f t="shared" si="23"/>
        <v/>
      </c>
      <c r="AH168" s="107" t="str">
        <f t="shared" si="24"/>
        <v/>
      </c>
      <c r="AI168" s="157">
        <f t="shared" si="25"/>
        <v>26</v>
      </c>
      <c r="AJ168" s="158"/>
      <c r="AK168" s="159"/>
      <c r="AL168" s="158"/>
      <c r="AM168" s="158">
        <f t="shared" si="12"/>
        <v>1</v>
      </c>
    </row>
    <row r="169" ht="22.5" customHeight="1">
      <c r="A169" s="10"/>
      <c r="B169" s="16" t="s">
        <v>86</v>
      </c>
      <c r="C169" s="16" t="s">
        <v>1131</v>
      </c>
      <c r="D169" s="123">
        <v>45939.0</v>
      </c>
      <c r="E169" s="124" t="str">
        <f t="shared" si="1"/>
        <v>2025</v>
      </c>
      <c r="F169" s="124" t="str">
        <f t="shared" si="2"/>
        <v>10 Okt</v>
      </c>
      <c r="G169" s="124" t="str">
        <f t="shared" si="3"/>
        <v>Kamis</v>
      </c>
      <c r="H169" s="16" t="s">
        <v>259</v>
      </c>
      <c r="I169" s="125" t="str">
        <f t="array" ref="I169">IFNA(XLOOKUP($H169,'🙎‍♂️ Pasien'!$G$7:$G658,'🙎‍♂️ Pasien'!$H$7:$H658),"")</f>
        <v>D8625106969</v>
      </c>
      <c r="J169" s="125" t="str">
        <f t="array" ref="J169">IFNA(XLOOKUP($H169,'🙎‍♂️ Pasien'!$G$7:$G658,'🙎‍♂️ Pasien'!$L$7:$L658),"")</f>
        <v>PEREMPUAN</v>
      </c>
      <c r="K169" s="125">
        <f t="array" ref="K169">IFNA(XLOOKUP($H169,'🙎‍♂️ Pasien'!$G$7:$G658,'🙎‍♂️ Pasien'!$I$7:$I658),"")</f>
        <v>39</v>
      </c>
      <c r="L169" s="16" t="s">
        <v>107</v>
      </c>
      <c r="M169" s="125" t="str">
        <f t="array" ref="M169">IFNA(XLOOKUP(L169,'⚙️ Pengaturan'!$H$5:$H658,'⚙️ Pengaturan'!$I$5:$I658),"")</f>
        <v>TIM Y</v>
      </c>
      <c r="N169" s="16" t="s">
        <v>1132</v>
      </c>
      <c r="O169" s="16" t="s">
        <v>1133</v>
      </c>
      <c r="P169" s="153">
        <f t="shared" si="13"/>
        <v>4</v>
      </c>
      <c r="Q169" s="154">
        <v>45939.0</v>
      </c>
      <c r="R169" s="154">
        <v>45942.0</v>
      </c>
      <c r="S169" s="154">
        <v>45944.0</v>
      </c>
      <c r="T169" s="154">
        <v>45946.0</v>
      </c>
      <c r="U169" s="154"/>
      <c r="V169" s="154"/>
      <c r="W169" s="154"/>
      <c r="X169" s="154"/>
      <c r="Y169" s="154"/>
      <c r="Z169" s="154"/>
      <c r="AA169" s="155">
        <f t="shared" si="20"/>
        <v>45946</v>
      </c>
      <c r="AB169" s="16" t="s">
        <v>1144</v>
      </c>
      <c r="AC169" s="20"/>
      <c r="AD169" s="170"/>
      <c r="AE169" s="156" t="str">
        <f t="shared" si="21"/>
        <v/>
      </c>
      <c r="AF169" s="107" t="str">
        <f t="shared" si="22"/>
        <v/>
      </c>
      <c r="AG169" s="107" t="str">
        <f t="shared" si="23"/>
        <v/>
      </c>
      <c r="AH169" s="107" t="str">
        <f t="shared" si="24"/>
        <v/>
      </c>
      <c r="AI169" s="157">
        <f t="shared" si="25"/>
        <v>35</v>
      </c>
      <c r="AJ169" s="158"/>
      <c r="AK169" s="159"/>
      <c r="AL169" s="158"/>
      <c r="AM169" s="158">
        <f t="shared" si="12"/>
        <v>0</v>
      </c>
    </row>
    <row r="170" ht="22.5" customHeight="1">
      <c r="A170" s="10"/>
      <c r="B170" s="160" t="s">
        <v>86</v>
      </c>
      <c r="C170" s="160" t="s">
        <v>1131</v>
      </c>
      <c r="D170" s="161">
        <v>45824.0</v>
      </c>
      <c r="E170" s="124" t="str">
        <f t="shared" si="1"/>
        <v>2025</v>
      </c>
      <c r="F170" s="124" t="str">
        <f t="shared" si="2"/>
        <v>06 Jun</v>
      </c>
      <c r="G170" s="124" t="str">
        <f t="shared" si="3"/>
        <v>Senin</v>
      </c>
      <c r="H170" s="160" t="s">
        <v>1225</v>
      </c>
      <c r="I170" s="125" t="str">
        <f t="array" ref="I170">IFNA(XLOOKUP($H170,'🙎‍♂️ Pasien'!$G$7:$G658,'🙎‍♂️ Pasien'!$H$7:$H658),"")</f>
        <v>E5125059981</v>
      </c>
      <c r="J170" s="125" t="str">
        <f t="array" ref="J170">IFNA(XLOOKUP($H170,'🙎‍♂️ Pasien'!$G$7:$G658,'🙎‍♂️ Pasien'!$L$7:$L658),"")</f>
        <v>PEREMPUAN</v>
      </c>
      <c r="K170" s="125">
        <f t="array" ref="K170">IFNA(XLOOKUP($H170,'🙎‍♂️ Pasien'!$G$7:$G658,'🙎‍♂️ Pasien'!$I$7:$I658),"")</f>
        <v>74</v>
      </c>
      <c r="L170" s="160" t="s">
        <v>72</v>
      </c>
      <c r="M170" s="162" t="str">
        <f t="array" ref="M170">IFNA(XLOOKUP(L170,'⚙️ Pengaturan'!$H$5:$H658,'⚙️ Pengaturan'!$I$5:$I658),"")</f>
        <v>TIM A</v>
      </c>
      <c r="N170" s="163" t="s">
        <v>1132</v>
      </c>
      <c r="O170" s="160" t="s">
        <v>1139</v>
      </c>
      <c r="P170" s="153">
        <f t="shared" si="13"/>
        <v>5</v>
      </c>
      <c r="Q170" s="164">
        <v>45825.0</v>
      </c>
      <c r="R170" s="164">
        <v>45827.0</v>
      </c>
      <c r="S170" s="164">
        <v>45832.0</v>
      </c>
      <c r="T170" s="164">
        <v>45834.0</v>
      </c>
      <c r="U170" s="164">
        <v>45839.0</v>
      </c>
      <c r="V170" s="164"/>
      <c r="W170" s="164"/>
      <c r="X170" s="164"/>
      <c r="Y170" s="164"/>
      <c r="Z170" s="164"/>
      <c r="AA170" s="165">
        <f t="shared" si="20"/>
        <v>45839</v>
      </c>
      <c r="AB170" s="160" t="s">
        <v>1134</v>
      </c>
      <c r="AC170" s="160" t="s">
        <v>1142</v>
      </c>
      <c r="AD170" s="166"/>
      <c r="AE170" s="156">
        <f t="shared" si="21"/>
        <v>45839</v>
      </c>
      <c r="AF170" s="107" t="str">
        <f t="shared" si="22"/>
        <v>2025</v>
      </c>
      <c r="AG170" s="107" t="str">
        <f t="shared" si="23"/>
        <v>07 Jul</v>
      </c>
      <c r="AH170" s="107" t="str">
        <f t="shared" si="24"/>
        <v>Sel</v>
      </c>
      <c r="AI170" s="157">
        <f t="shared" si="25"/>
        <v>2</v>
      </c>
      <c r="AJ170" s="158"/>
      <c r="AK170" s="159"/>
      <c r="AL170" s="158"/>
      <c r="AM170" s="158">
        <f t="shared" si="12"/>
        <v>0</v>
      </c>
    </row>
    <row r="171" ht="22.5" customHeight="1">
      <c r="A171" s="10"/>
      <c r="B171" s="160" t="s">
        <v>86</v>
      </c>
      <c r="C171" s="160" t="s">
        <v>1131</v>
      </c>
      <c r="D171" s="173">
        <v>45918.0</v>
      </c>
      <c r="E171" s="124" t="str">
        <f t="shared" si="1"/>
        <v>2025</v>
      </c>
      <c r="F171" s="124" t="str">
        <f t="shared" si="2"/>
        <v>09 Sep</v>
      </c>
      <c r="G171" s="124" t="str">
        <f t="shared" si="3"/>
        <v>Kamis</v>
      </c>
      <c r="H171" s="160" t="s">
        <v>1226</v>
      </c>
      <c r="I171" s="125" t="str">
        <f t="array" ref="I171">IFNA(XLOOKUP($H171,'🙎‍♂️ Pasien'!$G$7:$G658,'🙎‍♂️ Pasien'!$H$7:$H658),"")</f>
        <v/>
      </c>
      <c r="J171" s="125" t="str">
        <f t="array" ref="J171">IFNA(XLOOKUP($H171,'🙎‍♂️ Pasien'!$G$7:$G658,'🙎‍♂️ Pasien'!$L$7:$L658),"")</f>
        <v/>
      </c>
      <c r="K171" s="125" t="str">
        <f t="array" ref="K171">IFNA(XLOOKUP($H171,'🙎‍♂️ Pasien'!$G$7:$G658,'🙎‍♂️ Pasien'!$I$7:$I658),"")</f>
        <v/>
      </c>
      <c r="L171" s="160" t="s">
        <v>79</v>
      </c>
      <c r="M171" s="162" t="str">
        <f t="array" ref="M171">IFNA(XLOOKUP(L171,'⚙️ Pengaturan'!$H$5:$H658,'⚙️ Pengaturan'!$I$5:$I658),"")</f>
        <v>TIM A</v>
      </c>
      <c r="N171" s="160" t="s">
        <v>1132</v>
      </c>
      <c r="O171" s="160" t="s">
        <v>1133</v>
      </c>
      <c r="P171" s="153">
        <f t="shared" si="13"/>
        <v>5</v>
      </c>
      <c r="Q171" s="164">
        <v>45918.0</v>
      </c>
      <c r="R171" s="164">
        <v>45921.0</v>
      </c>
      <c r="S171" s="164">
        <v>45925.0</v>
      </c>
      <c r="T171" s="164">
        <v>45931.0</v>
      </c>
      <c r="U171" s="164">
        <v>45942.0</v>
      </c>
      <c r="V171" s="164"/>
      <c r="W171" s="164"/>
      <c r="X171" s="164"/>
      <c r="Y171" s="164"/>
      <c r="Z171" s="164"/>
      <c r="AA171" s="165">
        <f t="shared" si="20"/>
        <v>45942</v>
      </c>
      <c r="AB171" s="160" t="s">
        <v>1134</v>
      </c>
      <c r="AC171" s="174"/>
      <c r="AD171" s="166"/>
      <c r="AE171" s="156">
        <f t="shared" si="21"/>
        <v>45942</v>
      </c>
      <c r="AF171" s="107" t="str">
        <f t="shared" si="22"/>
        <v>2025</v>
      </c>
      <c r="AG171" s="107" t="str">
        <f t="shared" si="23"/>
        <v>10 Okt</v>
      </c>
      <c r="AH171" s="107" t="str">
        <f t="shared" si="24"/>
        <v>Min</v>
      </c>
      <c r="AI171" s="157">
        <f t="shared" si="25"/>
        <v>4</v>
      </c>
      <c r="AJ171" s="158"/>
      <c r="AK171" s="159"/>
      <c r="AL171" s="158"/>
      <c r="AM171" s="158">
        <f t="shared" si="12"/>
        <v>0</v>
      </c>
    </row>
    <row r="172" ht="22.5" customHeight="1">
      <c r="A172" s="10"/>
      <c r="B172" s="160" t="s">
        <v>134</v>
      </c>
      <c r="C172" s="160" t="s">
        <v>1131</v>
      </c>
      <c r="D172" s="161">
        <v>45859.0</v>
      </c>
      <c r="E172" s="124" t="str">
        <f t="shared" si="1"/>
        <v>2025</v>
      </c>
      <c r="F172" s="124" t="str">
        <f t="shared" si="2"/>
        <v>07 Jul</v>
      </c>
      <c r="G172" s="124" t="str">
        <f t="shared" si="3"/>
        <v>Senin</v>
      </c>
      <c r="H172" s="160" t="s">
        <v>1227</v>
      </c>
      <c r="I172" s="125" t="str">
        <f t="array" ref="I172">IFNA(XLOOKUP($H172,'🙎‍♂️ Pasien'!$G$7:$G658,'🙎‍♂️ Pasien'!$H$7:$H658),"")</f>
        <v>E8825071979</v>
      </c>
      <c r="J172" s="125" t="str">
        <f t="array" ref="J172">IFNA(XLOOKUP($H172,'🙎‍♂️ Pasien'!$G$7:$G658,'🙎‍♂️ Pasien'!$L$7:$L658),"")</f>
        <v>PEREMPUAN</v>
      </c>
      <c r="K172" s="125">
        <f t="array" ref="K172">IFNA(XLOOKUP($H172,'🙎‍♂️ Pasien'!$G$7:$G658,'🙎‍♂️ Pasien'!$I$7:$I658),"")</f>
        <v>37</v>
      </c>
      <c r="L172" s="160" t="s">
        <v>62</v>
      </c>
      <c r="M172" s="162" t="str">
        <f t="array" ref="M172">IFNA(XLOOKUP(L172,'⚙️ Pengaturan'!$H$5:$H658,'⚙️ Pengaturan'!$I$5:$I658),"")</f>
        <v>TIM A</v>
      </c>
      <c r="N172" s="163" t="s">
        <v>1137</v>
      </c>
      <c r="O172" s="160" t="s">
        <v>1133</v>
      </c>
      <c r="P172" s="153">
        <f t="shared" si="13"/>
        <v>10</v>
      </c>
      <c r="Q172" s="164">
        <v>45859.0</v>
      </c>
      <c r="R172" s="164">
        <v>45860.0</v>
      </c>
      <c r="S172" s="164">
        <v>45861.0</v>
      </c>
      <c r="T172" s="164">
        <v>45862.0</v>
      </c>
      <c r="U172" s="164">
        <v>45864.0</v>
      </c>
      <c r="V172" s="164">
        <v>45865.0</v>
      </c>
      <c r="W172" s="164">
        <v>45866.0</v>
      </c>
      <c r="X172" s="164">
        <v>45867.0</v>
      </c>
      <c r="Y172" s="164">
        <v>45869.0</v>
      </c>
      <c r="Z172" s="164">
        <v>45871.0</v>
      </c>
      <c r="AA172" s="165">
        <f t="shared" si="20"/>
        <v>45871</v>
      </c>
      <c r="AB172" s="160" t="s">
        <v>1134</v>
      </c>
      <c r="AC172" s="160" t="s">
        <v>1138</v>
      </c>
      <c r="AD172" s="166"/>
      <c r="AE172" s="156">
        <f t="shared" si="21"/>
        <v>45871</v>
      </c>
      <c r="AF172" s="107" t="str">
        <f t="shared" si="22"/>
        <v>2025</v>
      </c>
      <c r="AG172" s="107" t="str">
        <f t="shared" si="23"/>
        <v>08 Agu</v>
      </c>
      <c r="AH172" s="107" t="str">
        <f t="shared" si="24"/>
        <v>Sab</v>
      </c>
      <c r="AI172" s="157">
        <f t="shared" si="25"/>
        <v>2</v>
      </c>
      <c r="AJ172" s="158"/>
      <c r="AK172" s="159"/>
      <c r="AL172" s="158"/>
      <c r="AM172" s="158">
        <f t="shared" si="12"/>
        <v>0</v>
      </c>
    </row>
    <row r="173" ht="22.5" customHeight="1">
      <c r="A173" s="10"/>
      <c r="B173" s="160" t="s">
        <v>1156</v>
      </c>
      <c r="C173" s="160" t="s">
        <v>1131</v>
      </c>
      <c r="D173" s="161">
        <v>45873.0</v>
      </c>
      <c r="E173" s="124" t="str">
        <f t="shared" si="1"/>
        <v>2025</v>
      </c>
      <c r="F173" s="124" t="str">
        <f t="shared" si="2"/>
        <v>08 Agu</v>
      </c>
      <c r="G173" s="124" t="str">
        <f t="shared" si="3"/>
        <v>Senin</v>
      </c>
      <c r="H173" s="160" t="s">
        <v>1227</v>
      </c>
      <c r="I173" s="125" t="str">
        <f t="array" ref="I173">IFNA(XLOOKUP($H173,'🙎‍♂️ Pasien'!$G$7:$G658,'🙎‍♂️ Pasien'!$H$7:$H658),"")</f>
        <v>E8825071979</v>
      </c>
      <c r="J173" s="125" t="str">
        <f t="array" ref="J173">IFNA(XLOOKUP($H173,'🙎‍♂️ Pasien'!$G$7:$G658,'🙎‍♂️ Pasien'!$L$7:$L658),"")</f>
        <v>PEREMPUAN</v>
      </c>
      <c r="K173" s="125">
        <f t="array" ref="K173">IFNA(XLOOKUP($H173,'🙎‍♂️ Pasien'!$G$7:$G658,'🙎‍♂️ Pasien'!$I$7:$I658),"")</f>
        <v>37</v>
      </c>
      <c r="L173" s="160" t="s">
        <v>62</v>
      </c>
      <c r="M173" s="162" t="str">
        <f t="array" ref="M173">IFNA(XLOOKUP(L173,'⚙️ Pengaturan'!$H$5:$H658,'⚙️ Pengaturan'!$I$5:$I658),"")</f>
        <v>TIM A</v>
      </c>
      <c r="N173" s="163" t="s">
        <v>1132</v>
      </c>
      <c r="O173" s="160" t="s">
        <v>1139</v>
      </c>
      <c r="P173" s="153">
        <f t="shared" si="13"/>
        <v>5</v>
      </c>
      <c r="Q173" s="164">
        <v>45873.0</v>
      </c>
      <c r="R173" s="164">
        <v>45875.0</v>
      </c>
      <c r="S173" s="164">
        <v>45878.0</v>
      </c>
      <c r="T173" s="164">
        <v>45881.0</v>
      </c>
      <c r="U173" s="164">
        <v>45888.0</v>
      </c>
      <c r="V173" s="164"/>
      <c r="W173" s="164"/>
      <c r="X173" s="164"/>
      <c r="Y173" s="164"/>
      <c r="Z173" s="164"/>
      <c r="AA173" s="165">
        <f t="shared" si="20"/>
        <v>45888</v>
      </c>
      <c r="AB173" s="160" t="s">
        <v>1134</v>
      </c>
      <c r="AC173" s="160" t="s">
        <v>1138</v>
      </c>
      <c r="AD173" s="166"/>
      <c r="AE173" s="156">
        <f t="shared" si="21"/>
        <v>45888</v>
      </c>
      <c r="AF173" s="107" t="str">
        <f t="shared" si="22"/>
        <v>2025</v>
      </c>
      <c r="AG173" s="107" t="str">
        <f t="shared" si="23"/>
        <v>08 Agu</v>
      </c>
      <c r="AH173" s="107" t="str">
        <f t="shared" si="24"/>
        <v>Sel</v>
      </c>
      <c r="AI173" s="157">
        <f t="shared" si="25"/>
        <v>3</v>
      </c>
      <c r="AJ173" s="158"/>
      <c r="AK173" s="159"/>
      <c r="AL173" s="158"/>
      <c r="AM173" s="158">
        <f t="shared" si="12"/>
        <v>0</v>
      </c>
    </row>
    <row r="174" ht="22.5" customHeight="1">
      <c r="A174" s="10"/>
      <c r="B174" s="160" t="s">
        <v>86</v>
      </c>
      <c r="C174" s="160" t="s">
        <v>1131</v>
      </c>
      <c r="D174" s="173">
        <v>45890.0</v>
      </c>
      <c r="E174" s="124" t="str">
        <f t="shared" si="1"/>
        <v>2025</v>
      </c>
      <c r="F174" s="124" t="str">
        <f t="shared" si="2"/>
        <v>08 Agu</v>
      </c>
      <c r="G174" s="124" t="str">
        <f t="shared" si="3"/>
        <v>Kamis</v>
      </c>
      <c r="H174" s="160" t="s">
        <v>1227</v>
      </c>
      <c r="I174" s="125" t="str">
        <f t="array" ref="I174">IFNA(XLOOKUP($H174,'🙎‍♂️ Pasien'!$G$7:$G658,'🙎‍♂️ Pasien'!$H$7:$H658),"")</f>
        <v>E8825071979</v>
      </c>
      <c r="J174" s="125" t="str">
        <f t="array" ref="J174">IFNA(XLOOKUP($H174,'🙎‍♂️ Pasien'!$G$7:$G658,'🙎‍♂️ Pasien'!$L$7:$L658),"")</f>
        <v>PEREMPUAN</v>
      </c>
      <c r="K174" s="125">
        <f t="array" ref="K174">IFNA(XLOOKUP($H174,'🙎‍♂️ Pasien'!$G$7:$G658,'🙎‍♂️ Pasien'!$I$7:$I658),"")</f>
        <v>37</v>
      </c>
      <c r="L174" s="160" t="s">
        <v>62</v>
      </c>
      <c r="M174" s="162" t="str">
        <f t="array" ref="M174">IFNA(XLOOKUP(L174,'⚙️ Pengaturan'!$H$5:$H658,'⚙️ Pengaturan'!$I$5:$I658),"")</f>
        <v>TIM A</v>
      </c>
      <c r="N174" s="160" t="s">
        <v>1132</v>
      </c>
      <c r="O174" s="160" t="s">
        <v>1139</v>
      </c>
      <c r="P174" s="153">
        <f t="shared" si="13"/>
        <v>5</v>
      </c>
      <c r="Q174" s="164">
        <v>45890.0</v>
      </c>
      <c r="R174" s="164">
        <v>45892.0</v>
      </c>
      <c r="S174" s="164">
        <v>45894.0</v>
      </c>
      <c r="T174" s="164">
        <v>45897.0</v>
      </c>
      <c r="U174" s="164">
        <v>45899.0</v>
      </c>
      <c r="V174" s="164"/>
      <c r="W174" s="164"/>
      <c r="X174" s="164"/>
      <c r="Y174" s="164"/>
      <c r="Z174" s="164"/>
      <c r="AA174" s="165">
        <f t="shared" si="20"/>
        <v>45899</v>
      </c>
      <c r="AB174" s="160" t="s">
        <v>1134</v>
      </c>
      <c r="AC174" s="160" t="s">
        <v>1142</v>
      </c>
      <c r="AD174" s="166"/>
      <c r="AE174" s="156">
        <f t="shared" si="21"/>
        <v>45899</v>
      </c>
      <c r="AF174" s="107" t="str">
        <f t="shared" si="22"/>
        <v>2025</v>
      </c>
      <c r="AG174" s="107" t="str">
        <f t="shared" si="23"/>
        <v>08 Agu</v>
      </c>
      <c r="AH174" s="107" t="str">
        <f t="shared" si="24"/>
        <v>Sab</v>
      </c>
      <c r="AI174" s="157">
        <f t="shared" si="25"/>
        <v>2</v>
      </c>
      <c r="AJ174" s="158"/>
      <c r="AK174" s="159"/>
      <c r="AL174" s="158"/>
      <c r="AM174" s="158">
        <f t="shared" si="12"/>
        <v>0</v>
      </c>
    </row>
    <row r="175" ht="22.5" customHeight="1">
      <c r="A175" s="167"/>
      <c r="B175" s="160" t="s">
        <v>134</v>
      </c>
      <c r="C175" s="160" t="s">
        <v>1131</v>
      </c>
      <c r="D175" s="161">
        <v>45890.0</v>
      </c>
      <c r="E175" s="124" t="str">
        <f t="shared" si="1"/>
        <v>2025</v>
      </c>
      <c r="F175" s="124" t="str">
        <f t="shared" si="2"/>
        <v>08 Agu</v>
      </c>
      <c r="G175" s="124" t="str">
        <f t="shared" si="3"/>
        <v>Kamis</v>
      </c>
      <c r="H175" s="160" t="s">
        <v>1228</v>
      </c>
      <c r="I175" s="125" t="str">
        <f t="array" ref="I175">IFNA(XLOOKUP($H175,'🙎‍♂️ Pasien'!$G$7:$G658,'🙎‍♂️ Pasien'!$H$7:$H658),"")</f>
        <v>E9825083788</v>
      </c>
      <c r="J175" s="125" t="str">
        <f t="array" ref="J175">IFNA(XLOOKUP($H175,'🙎‍♂️ Pasien'!$G$7:$G658,'🙎‍♂️ Pasien'!$L$7:$L658),"")</f>
        <v>LAKI-LAKI</v>
      </c>
      <c r="K175" s="125">
        <f t="array" ref="K175">IFNA(XLOOKUP($H175,'🙎‍♂️ Pasien'!$G$7:$G658,'🙎‍♂️ Pasien'!$I$7:$I658),"")</f>
        <v>28</v>
      </c>
      <c r="L175" s="160" t="s">
        <v>598</v>
      </c>
      <c r="M175" s="162" t="str">
        <f t="array" ref="M175">IFNA(XLOOKUP(L175,'⚙️ Pengaturan'!$H$5:$H658,'⚙️ Pengaturan'!$I$5:$I658),"")</f>
        <v>INAKTIF</v>
      </c>
      <c r="N175" s="163" t="s">
        <v>1132</v>
      </c>
      <c r="O175" s="160" t="s">
        <v>1133</v>
      </c>
      <c r="P175" s="153">
        <f t="shared" si="13"/>
        <v>5</v>
      </c>
      <c r="Q175" s="164">
        <v>45890.0</v>
      </c>
      <c r="R175" s="164">
        <v>45894.0</v>
      </c>
      <c r="S175" s="164">
        <v>45897.0</v>
      </c>
      <c r="T175" s="164">
        <v>45901.0</v>
      </c>
      <c r="U175" s="164">
        <v>45904.0</v>
      </c>
      <c r="V175" s="164"/>
      <c r="W175" s="164"/>
      <c r="X175" s="164"/>
      <c r="Y175" s="164"/>
      <c r="Z175" s="164"/>
      <c r="AA175" s="165">
        <f t="shared" si="20"/>
        <v>45904</v>
      </c>
      <c r="AB175" s="160" t="s">
        <v>1134</v>
      </c>
      <c r="AC175" s="160" t="s">
        <v>1135</v>
      </c>
      <c r="AD175" s="168" t="s">
        <v>1229</v>
      </c>
      <c r="AE175" s="156">
        <f t="shared" si="21"/>
        <v>45904</v>
      </c>
      <c r="AF175" s="107" t="str">
        <f t="shared" si="22"/>
        <v>2025</v>
      </c>
      <c r="AG175" s="107" t="str">
        <f t="shared" si="23"/>
        <v>09 Sep</v>
      </c>
      <c r="AH175" s="107" t="str">
        <f t="shared" si="24"/>
        <v>Kam</v>
      </c>
      <c r="AI175" s="157">
        <f t="shared" si="25"/>
        <v>2</v>
      </c>
      <c r="AJ175" s="96"/>
      <c r="AK175" s="169"/>
      <c r="AL175" s="96"/>
      <c r="AM175" s="158">
        <f t="shared" si="12"/>
        <v>0</v>
      </c>
    </row>
    <row r="176" ht="22.5" customHeight="1">
      <c r="A176" s="167"/>
      <c r="B176" s="160" t="s">
        <v>86</v>
      </c>
      <c r="C176" s="160" t="s">
        <v>1131</v>
      </c>
      <c r="D176" s="173">
        <v>45983.0</v>
      </c>
      <c r="E176" s="124" t="str">
        <f t="shared" si="1"/>
        <v>2025</v>
      </c>
      <c r="F176" s="124" t="str">
        <f t="shared" si="2"/>
        <v>11 Nov</v>
      </c>
      <c r="G176" s="124" t="str">
        <f t="shared" si="3"/>
        <v>Sabtu</v>
      </c>
      <c r="H176" s="158" t="s">
        <v>482</v>
      </c>
      <c r="I176" s="125" t="str">
        <f t="array" ref="I176">IFNA(XLOOKUP($H176,'🙎‍♂️ Pasien'!$G$7:$G658,'🙎‍♂️ Pasien'!$H$7:$H658),"")</f>
        <v>E9725118035</v>
      </c>
      <c r="J176" s="125" t="str">
        <f t="array" ref="J176">IFNA(XLOOKUP($H176,'🙎‍♂️ Pasien'!$G$7:$G658,'🙎‍♂️ Pasien'!$L$7:$L658),"")</f>
        <v>PEREMPUAN</v>
      </c>
      <c r="K176" s="125">
        <f t="array" ref="K176">IFNA(XLOOKUP($H176,'🙎‍♂️ Pasien'!$G$7:$G658,'🙎‍♂️ Pasien'!$I$7:$I658),"")</f>
        <v>29</v>
      </c>
      <c r="L176" s="160" t="s">
        <v>91</v>
      </c>
      <c r="M176" s="162" t="str">
        <f t="array" ref="M176">IFNA(XLOOKUP(L176,'⚙️ Pengaturan'!$H$5:$H658,'⚙️ Pengaturan'!$I$5:$I658),"")</f>
        <v>TIM Y</v>
      </c>
      <c r="N176" s="160" t="s">
        <v>1132</v>
      </c>
      <c r="O176" s="160" t="s">
        <v>1133</v>
      </c>
      <c r="P176" s="153">
        <f t="shared" si="13"/>
        <v>1</v>
      </c>
      <c r="Q176" s="164">
        <v>45983.0</v>
      </c>
      <c r="R176" s="187"/>
      <c r="S176" s="164"/>
      <c r="T176" s="164"/>
      <c r="U176" s="164"/>
      <c r="V176" s="164"/>
      <c r="W176" s="164"/>
      <c r="X176" s="164"/>
      <c r="Y176" s="164"/>
      <c r="Z176" s="164"/>
      <c r="AA176" s="165">
        <f t="shared" si="20"/>
        <v>45983</v>
      </c>
      <c r="AB176" s="160" t="s">
        <v>1144</v>
      </c>
      <c r="AC176" s="172"/>
      <c r="AD176" s="166"/>
      <c r="AE176" s="156" t="str">
        <f t="shared" si="21"/>
        <v/>
      </c>
      <c r="AF176" s="107" t="str">
        <f t="shared" si="22"/>
        <v/>
      </c>
      <c r="AG176" s="107" t="str">
        <f t="shared" si="23"/>
        <v/>
      </c>
      <c r="AH176" s="107" t="str">
        <f t="shared" si="24"/>
        <v/>
      </c>
      <c r="AI176" s="157">
        <f t="shared" si="25"/>
        <v>29</v>
      </c>
      <c r="AJ176" s="96"/>
      <c r="AK176" s="169"/>
      <c r="AL176" s="96"/>
      <c r="AM176" s="158">
        <f t="shared" si="12"/>
        <v>0</v>
      </c>
    </row>
    <row r="177" ht="22.5" customHeight="1">
      <c r="A177" s="167"/>
      <c r="B177" s="160" t="s">
        <v>86</v>
      </c>
      <c r="C177" s="160" t="s">
        <v>1131</v>
      </c>
      <c r="D177" s="161">
        <v>45852.0</v>
      </c>
      <c r="E177" s="124" t="str">
        <f t="shared" si="1"/>
        <v>2025</v>
      </c>
      <c r="F177" s="124" t="str">
        <f t="shared" si="2"/>
        <v>07 Jul</v>
      </c>
      <c r="G177" s="124" t="str">
        <f t="shared" si="3"/>
        <v>Senin</v>
      </c>
      <c r="H177" s="160" t="s">
        <v>193</v>
      </c>
      <c r="I177" s="125" t="str">
        <f t="array" ref="I177">IFNA(XLOOKUP($H177,'🙎‍♂️ Pasien'!$G$7:$G658,'🙎‍♂️ Pasien'!$H$7:$H658),"")</f>
        <v>E8925075615</v>
      </c>
      <c r="J177" s="125" t="str">
        <f t="array" ref="J177">IFNA(XLOOKUP($H177,'🙎‍♂️ Pasien'!$G$7:$G658,'🙎‍♂️ Pasien'!$L$7:$L658),"")</f>
        <v>PEREMPUAN</v>
      </c>
      <c r="K177" s="125">
        <f t="array" ref="K177">IFNA(XLOOKUP($H177,'🙎‍♂️ Pasien'!$G$7:$G658,'🙎‍♂️ Pasien'!$I$7:$I658),"")</f>
        <v>36</v>
      </c>
      <c r="L177" s="160" t="s">
        <v>107</v>
      </c>
      <c r="M177" s="162" t="str">
        <f t="array" ref="M177">IFNA(XLOOKUP(L177,'⚙️ Pengaturan'!$H$5:$H658,'⚙️ Pengaturan'!$I$5:$I658),"")</f>
        <v>TIM Y</v>
      </c>
      <c r="N177" s="163" t="s">
        <v>1137</v>
      </c>
      <c r="O177" s="160" t="s">
        <v>1133</v>
      </c>
      <c r="P177" s="153">
        <f t="shared" si="13"/>
        <v>10</v>
      </c>
      <c r="Q177" s="164">
        <v>45854.0</v>
      </c>
      <c r="R177" s="164">
        <v>45856.0</v>
      </c>
      <c r="S177" s="164">
        <v>45859.0</v>
      </c>
      <c r="T177" s="164">
        <v>45862.0</v>
      </c>
      <c r="U177" s="164">
        <v>45864.0</v>
      </c>
      <c r="V177" s="164">
        <v>45866.0</v>
      </c>
      <c r="W177" s="164">
        <v>45869.0</v>
      </c>
      <c r="X177" s="164">
        <v>45873.0</v>
      </c>
      <c r="Y177" s="164">
        <v>45875.0</v>
      </c>
      <c r="Z177" s="164">
        <v>45878.0</v>
      </c>
      <c r="AA177" s="165">
        <f t="shared" si="20"/>
        <v>45878</v>
      </c>
      <c r="AB177" s="160" t="s">
        <v>1134</v>
      </c>
      <c r="AC177" s="160" t="s">
        <v>1138</v>
      </c>
      <c r="AD177" s="166"/>
      <c r="AE177" s="156">
        <f t="shared" si="21"/>
        <v>45878</v>
      </c>
      <c r="AF177" s="107" t="str">
        <f t="shared" si="22"/>
        <v>2025</v>
      </c>
      <c r="AG177" s="107" t="str">
        <f t="shared" si="23"/>
        <v>08 Agu</v>
      </c>
      <c r="AH177" s="107" t="str">
        <f t="shared" si="24"/>
        <v>Sab</v>
      </c>
      <c r="AI177" s="157">
        <f t="shared" si="25"/>
        <v>4</v>
      </c>
      <c r="AJ177" s="96"/>
      <c r="AK177" s="169"/>
      <c r="AL177" s="96"/>
      <c r="AM177" s="158">
        <f t="shared" si="12"/>
        <v>0</v>
      </c>
    </row>
    <row r="178" ht="22.5" customHeight="1">
      <c r="A178" s="188"/>
      <c r="B178" s="160" t="s">
        <v>1156</v>
      </c>
      <c r="C178" s="160" t="s">
        <v>1131</v>
      </c>
      <c r="D178" s="161">
        <v>45881.0</v>
      </c>
      <c r="E178" s="124" t="str">
        <f t="shared" si="1"/>
        <v>2025</v>
      </c>
      <c r="F178" s="124" t="str">
        <f t="shared" si="2"/>
        <v>08 Agu</v>
      </c>
      <c r="G178" s="124" t="str">
        <f t="shared" si="3"/>
        <v>Selasa</v>
      </c>
      <c r="H178" s="160" t="s">
        <v>193</v>
      </c>
      <c r="I178" s="125" t="str">
        <f t="array" ref="I178">IFNA(XLOOKUP($H178,'🙎‍♂️ Pasien'!$G$7:$G658,'🙎‍♂️ Pasien'!$H$7:$H658),"")</f>
        <v>E8925075615</v>
      </c>
      <c r="J178" s="125" t="str">
        <f t="array" ref="J178">IFNA(XLOOKUP($H178,'🙎‍♂️ Pasien'!$G$7:$G658,'🙎‍♂️ Pasien'!$L$7:$L658),"")</f>
        <v>PEREMPUAN</v>
      </c>
      <c r="K178" s="125">
        <f t="array" ref="K178">IFNA(XLOOKUP($H178,'🙎‍♂️ Pasien'!$G$7:$G658,'🙎‍♂️ Pasien'!$I$7:$I658),"")</f>
        <v>36</v>
      </c>
      <c r="L178" s="160" t="s">
        <v>107</v>
      </c>
      <c r="M178" s="162" t="str">
        <f t="array" ref="M178">IFNA(XLOOKUP(L178,'⚙️ Pengaturan'!$H$5:$H658,'⚙️ Pengaturan'!$I$5:$I658),"")</f>
        <v>TIM Y</v>
      </c>
      <c r="N178" s="163" t="s">
        <v>1137</v>
      </c>
      <c r="O178" s="160" t="s">
        <v>1139</v>
      </c>
      <c r="P178" s="153">
        <f t="shared" si="13"/>
        <v>10</v>
      </c>
      <c r="Q178" s="164">
        <v>45881.0</v>
      </c>
      <c r="R178" s="164">
        <v>45885.0</v>
      </c>
      <c r="S178" s="164">
        <v>45888.0</v>
      </c>
      <c r="T178" s="164">
        <v>45892.0</v>
      </c>
      <c r="U178" s="164">
        <v>45895.0</v>
      </c>
      <c r="V178" s="164">
        <v>45897.0</v>
      </c>
      <c r="W178" s="164">
        <v>45899.0</v>
      </c>
      <c r="X178" s="164">
        <v>45901.0</v>
      </c>
      <c r="Y178" s="164">
        <v>45902.0</v>
      </c>
      <c r="Z178" s="164">
        <v>45906.0</v>
      </c>
      <c r="AA178" s="165">
        <f t="shared" si="20"/>
        <v>45906</v>
      </c>
      <c r="AB178" s="160" t="s">
        <v>1134</v>
      </c>
      <c r="AC178" s="160" t="s">
        <v>1138</v>
      </c>
      <c r="AD178" s="166"/>
      <c r="AE178" s="156">
        <f t="shared" si="21"/>
        <v>45906</v>
      </c>
      <c r="AF178" s="107" t="str">
        <f t="shared" si="22"/>
        <v>2025</v>
      </c>
      <c r="AG178" s="107" t="str">
        <f t="shared" si="23"/>
        <v>09 Sep</v>
      </c>
      <c r="AH178" s="107" t="str">
        <f t="shared" si="24"/>
        <v>Sab</v>
      </c>
      <c r="AI178" s="157">
        <f t="shared" si="25"/>
        <v>4</v>
      </c>
      <c r="AJ178" s="96"/>
      <c r="AK178" s="169"/>
      <c r="AL178" s="96"/>
      <c r="AM178" s="158">
        <f t="shared" si="12"/>
        <v>0</v>
      </c>
    </row>
    <row r="179" ht="22.5" customHeight="1">
      <c r="A179" s="167"/>
      <c r="B179" s="160" t="s">
        <v>86</v>
      </c>
      <c r="C179" s="160" t="s">
        <v>1131</v>
      </c>
      <c r="D179" s="161">
        <v>45910.0</v>
      </c>
      <c r="E179" s="124" t="str">
        <f t="shared" si="1"/>
        <v>2025</v>
      </c>
      <c r="F179" s="124" t="str">
        <f t="shared" si="2"/>
        <v>09 Sep</v>
      </c>
      <c r="G179" s="124" t="str">
        <f t="shared" si="3"/>
        <v>Rabu</v>
      </c>
      <c r="H179" s="160" t="s">
        <v>193</v>
      </c>
      <c r="I179" s="125" t="str">
        <f t="array" ref="I179">IFNA(XLOOKUP($H179,'🙎‍♂️ Pasien'!$G$7:$G658,'🙎‍♂️ Pasien'!$H$7:$H658),"")</f>
        <v>E8925075615</v>
      </c>
      <c r="J179" s="125" t="str">
        <f t="array" ref="J179">IFNA(XLOOKUP($H179,'🙎‍♂️ Pasien'!$G$7:$G658,'🙎‍♂️ Pasien'!$L$7:$L658),"")</f>
        <v>PEREMPUAN</v>
      </c>
      <c r="K179" s="125">
        <f t="array" ref="K179">IFNA(XLOOKUP($H179,'🙎‍♂️ Pasien'!$G$7:$G658,'🙎‍♂️ Pasien'!$I$7:$I658),"")</f>
        <v>36</v>
      </c>
      <c r="L179" s="160" t="s">
        <v>107</v>
      </c>
      <c r="M179" s="162" t="str">
        <f t="array" ref="M179">IFNA(XLOOKUP(L179,'⚙️ Pengaturan'!$H$5:$H658,'⚙️ Pengaturan'!$I$5:$I658),"")</f>
        <v>TIM Y</v>
      </c>
      <c r="N179" s="163" t="s">
        <v>1137</v>
      </c>
      <c r="O179" s="160" t="s">
        <v>1139</v>
      </c>
      <c r="P179" s="153">
        <f t="shared" si="13"/>
        <v>10</v>
      </c>
      <c r="Q179" s="164">
        <v>45908.0</v>
      </c>
      <c r="R179" s="164">
        <v>45910.0</v>
      </c>
      <c r="S179" s="164">
        <v>45917.0</v>
      </c>
      <c r="T179" s="164">
        <v>45925.0</v>
      </c>
      <c r="U179" s="164">
        <v>45937.0</v>
      </c>
      <c r="V179" s="164">
        <v>45937.0</v>
      </c>
      <c r="W179" s="164">
        <v>45941.0</v>
      </c>
      <c r="X179" s="164">
        <v>45946.0</v>
      </c>
      <c r="Y179" s="164">
        <v>45951.0</v>
      </c>
      <c r="Z179" s="164">
        <v>45953.0</v>
      </c>
      <c r="AA179" s="165">
        <f t="shared" si="20"/>
        <v>45953</v>
      </c>
      <c r="AB179" s="160" t="s">
        <v>1134</v>
      </c>
      <c r="AC179" s="160" t="s">
        <v>1138</v>
      </c>
      <c r="AD179" s="166"/>
      <c r="AE179" s="156">
        <f t="shared" si="21"/>
        <v>45953</v>
      </c>
      <c r="AF179" s="107" t="str">
        <f t="shared" si="22"/>
        <v>2025</v>
      </c>
      <c r="AG179" s="107" t="str">
        <f t="shared" si="23"/>
        <v>10 Okt</v>
      </c>
      <c r="AH179" s="107" t="str">
        <f t="shared" si="24"/>
        <v>Kam</v>
      </c>
      <c r="AI179" s="157">
        <f t="shared" si="25"/>
        <v>7</v>
      </c>
      <c r="AJ179" s="96"/>
      <c r="AK179" s="169"/>
      <c r="AL179" s="96"/>
      <c r="AM179" s="158">
        <f t="shared" si="12"/>
        <v>0</v>
      </c>
    </row>
    <row r="180" ht="22.5" customHeight="1">
      <c r="A180" s="167"/>
      <c r="B180" s="160" t="s">
        <v>86</v>
      </c>
      <c r="C180" s="160" t="s">
        <v>1131</v>
      </c>
      <c r="D180" s="161">
        <v>45948.0</v>
      </c>
      <c r="E180" s="124" t="str">
        <f t="shared" si="1"/>
        <v>2025</v>
      </c>
      <c r="F180" s="124" t="str">
        <f t="shared" si="2"/>
        <v>10 Okt</v>
      </c>
      <c r="G180" s="124" t="str">
        <f t="shared" si="3"/>
        <v>Sabtu</v>
      </c>
      <c r="H180" s="160" t="s">
        <v>193</v>
      </c>
      <c r="I180" s="125" t="str">
        <f t="array" ref="I180">IFNA(XLOOKUP($H180,'🙎‍♂️ Pasien'!$G$7:$G658,'🙎‍♂️ Pasien'!$H$7:$H658),"")</f>
        <v>E8925075615</v>
      </c>
      <c r="J180" s="125" t="str">
        <f t="array" ref="J180">IFNA(XLOOKUP($H180,'🙎‍♂️ Pasien'!$G$7:$G658,'🙎‍♂️ Pasien'!$L$7:$L658),"")</f>
        <v>PEREMPUAN</v>
      </c>
      <c r="K180" s="125">
        <f t="array" ref="K180">IFNA(XLOOKUP($H180,'🙎‍♂️ Pasien'!$G$7:$G658,'🙎‍♂️ Pasien'!$I$7:$I658),"")</f>
        <v>36</v>
      </c>
      <c r="L180" s="160" t="s">
        <v>107</v>
      </c>
      <c r="M180" s="162" t="str">
        <f t="array" ref="M180">IFNA(XLOOKUP(L180,'⚙️ Pengaturan'!$H$5:$H658,'⚙️ Pengaturan'!$I$5:$I658),"")</f>
        <v>TIM Y</v>
      </c>
      <c r="N180" s="163" t="s">
        <v>1137</v>
      </c>
      <c r="O180" s="160" t="s">
        <v>1139</v>
      </c>
      <c r="P180" s="153">
        <f t="shared" si="13"/>
        <v>10</v>
      </c>
      <c r="Q180" s="164">
        <v>45958.0</v>
      </c>
      <c r="R180" s="164">
        <v>45960.0</v>
      </c>
      <c r="S180" s="164">
        <v>45962.0</v>
      </c>
      <c r="T180" s="164">
        <v>45963.0</v>
      </c>
      <c r="U180" s="164">
        <v>45967.0</v>
      </c>
      <c r="V180" s="164">
        <v>45969.0</v>
      </c>
      <c r="W180" s="164">
        <v>45972.0</v>
      </c>
      <c r="X180" s="164">
        <v>45974.0</v>
      </c>
      <c r="Y180" s="164">
        <v>45976.0</v>
      </c>
      <c r="Z180" s="164">
        <v>45979.0</v>
      </c>
      <c r="AA180" s="165">
        <f t="shared" si="20"/>
        <v>45979</v>
      </c>
      <c r="AB180" s="160" t="s">
        <v>1134</v>
      </c>
      <c r="AC180" s="160" t="s">
        <v>1138</v>
      </c>
      <c r="AD180" s="166"/>
      <c r="AE180" s="156">
        <f t="shared" si="21"/>
        <v>45979</v>
      </c>
      <c r="AF180" s="107" t="str">
        <f t="shared" si="22"/>
        <v>2025</v>
      </c>
      <c r="AG180" s="107" t="str">
        <f t="shared" si="23"/>
        <v>11 Nov</v>
      </c>
      <c r="AH180" s="107" t="str">
        <f t="shared" si="24"/>
        <v>Sel</v>
      </c>
      <c r="AI180" s="157">
        <f t="shared" si="25"/>
        <v>3</v>
      </c>
      <c r="AJ180" s="96"/>
      <c r="AK180" s="169"/>
      <c r="AL180" s="96"/>
      <c r="AM180" s="158">
        <f t="shared" si="12"/>
        <v>0</v>
      </c>
    </row>
    <row r="181" ht="22.5" customHeight="1">
      <c r="A181" s="167"/>
      <c r="B181" s="160" t="s">
        <v>54</v>
      </c>
      <c r="C181" s="160" t="s">
        <v>1131</v>
      </c>
      <c r="D181" s="161">
        <v>45981.0</v>
      </c>
      <c r="E181" s="124" t="str">
        <f t="shared" si="1"/>
        <v>2025</v>
      </c>
      <c r="F181" s="124" t="str">
        <f t="shared" si="2"/>
        <v>11 Nov</v>
      </c>
      <c r="G181" s="124" t="str">
        <f t="shared" si="3"/>
        <v>Kamis</v>
      </c>
      <c r="H181" s="160" t="s">
        <v>193</v>
      </c>
      <c r="I181" s="125" t="str">
        <f t="array" ref="I181">IFNA(XLOOKUP($H181,'🙎‍♂️ Pasien'!$G$7:$G658,'🙎‍♂️ Pasien'!$H$7:$H658),"")</f>
        <v>E8925075615</v>
      </c>
      <c r="J181" s="125" t="str">
        <f t="array" ref="J181">IFNA(XLOOKUP($H181,'🙎‍♂️ Pasien'!$G$7:$G658,'🙎‍♂️ Pasien'!$L$7:$L658),"")</f>
        <v>PEREMPUAN</v>
      </c>
      <c r="K181" s="125">
        <f t="array" ref="K181">IFNA(XLOOKUP($H181,'🙎‍♂️ Pasien'!$G$7:$G658,'🙎‍♂️ Pasien'!$I$7:$I658),"")</f>
        <v>36</v>
      </c>
      <c r="L181" s="160" t="s">
        <v>107</v>
      </c>
      <c r="M181" s="162" t="str">
        <f t="array" ref="M181">IFNA(XLOOKUP(L181,'⚙️ Pengaturan'!$H$5:$H658,'⚙️ Pengaturan'!$I$5:$I658),"")</f>
        <v>TIM Y</v>
      </c>
      <c r="N181" s="163" t="s">
        <v>1137</v>
      </c>
      <c r="O181" s="160" t="s">
        <v>1139</v>
      </c>
      <c r="P181" s="153">
        <f t="shared" si="13"/>
        <v>9</v>
      </c>
      <c r="Q181" s="164">
        <v>45981.0</v>
      </c>
      <c r="R181" s="164">
        <v>45986.0</v>
      </c>
      <c r="S181" s="164">
        <v>45988.0</v>
      </c>
      <c r="T181" s="164">
        <v>45990.0</v>
      </c>
      <c r="U181" s="164">
        <v>45993.0</v>
      </c>
      <c r="V181" s="164">
        <v>45995.0</v>
      </c>
      <c r="W181" s="164">
        <v>45997.0</v>
      </c>
      <c r="X181" s="164">
        <v>46014.0</v>
      </c>
      <c r="Y181" s="164">
        <v>46018.0</v>
      </c>
      <c r="Z181" s="164"/>
      <c r="AA181" s="165">
        <f t="shared" si="20"/>
        <v>46018</v>
      </c>
      <c r="AB181" s="160" t="s">
        <v>1144</v>
      </c>
      <c r="AC181" s="172"/>
      <c r="AD181" s="166"/>
      <c r="AE181" s="156" t="str">
        <f t="shared" si="21"/>
        <v/>
      </c>
      <c r="AF181" s="107" t="str">
        <f t="shared" si="22"/>
        <v/>
      </c>
      <c r="AG181" s="107" t="str">
        <f t="shared" si="23"/>
        <v/>
      </c>
      <c r="AH181" s="107" t="str">
        <f t="shared" si="24"/>
        <v/>
      </c>
      <c r="AI181" s="157">
        <f t="shared" si="25"/>
        <v>29</v>
      </c>
      <c r="AJ181" s="96"/>
      <c r="AK181" s="169"/>
      <c r="AL181" s="96"/>
      <c r="AM181" s="158">
        <f t="shared" si="12"/>
        <v>0</v>
      </c>
    </row>
    <row r="182" ht="22.5" customHeight="1">
      <c r="A182" s="167"/>
      <c r="B182" s="160" t="s">
        <v>86</v>
      </c>
      <c r="C182" s="160" t="s">
        <v>1131</v>
      </c>
      <c r="D182" s="161">
        <v>45845.0</v>
      </c>
      <c r="E182" s="124" t="str">
        <f t="shared" si="1"/>
        <v>2025</v>
      </c>
      <c r="F182" s="124" t="str">
        <f t="shared" si="2"/>
        <v>07 Jul</v>
      </c>
      <c r="G182" s="124" t="str">
        <f t="shared" si="3"/>
        <v>Senin</v>
      </c>
      <c r="H182" s="160" t="s">
        <v>511</v>
      </c>
      <c r="I182" s="125" t="str">
        <f t="array" ref="I182">IFNA(XLOOKUP($H182,'🙎‍♂️ Pasien'!$G$7:$G658,'🙎‍♂️ Pasien'!$H$7:$H658),"")</f>
        <v>E9325071431</v>
      </c>
      <c r="J182" s="125" t="str">
        <f t="array" ref="J182">IFNA(XLOOKUP($H182,'🙎‍♂️ Pasien'!$G$7:$G658,'🙎‍♂️ Pasien'!$L$7:$L658),"")</f>
        <v>PEREMPUAN</v>
      </c>
      <c r="K182" s="125">
        <f t="array" ref="K182">IFNA(XLOOKUP($H182,'🙎‍♂️ Pasien'!$G$7:$G658,'🙎‍♂️ Pasien'!$I$7:$I658),"")</f>
        <v>33</v>
      </c>
      <c r="L182" s="160" t="s">
        <v>107</v>
      </c>
      <c r="M182" s="162" t="str">
        <f t="array" ref="M182">IFNA(XLOOKUP(L182,'⚙️ Pengaturan'!$H$5:$H658,'⚙️ Pengaturan'!$I$5:$I658),"")</f>
        <v>TIM Y</v>
      </c>
      <c r="N182" s="163" t="s">
        <v>1132</v>
      </c>
      <c r="O182" s="160" t="s">
        <v>1133</v>
      </c>
      <c r="P182" s="153">
        <f t="shared" si="13"/>
        <v>2</v>
      </c>
      <c r="Q182" s="164">
        <v>45845.0</v>
      </c>
      <c r="R182" s="164">
        <v>45894.0</v>
      </c>
      <c r="S182" s="164"/>
      <c r="T182" s="164"/>
      <c r="U182" s="164"/>
      <c r="V182" s="164"/>
      <c r="W182" s="164"/>
      <c r="X182" s="164"/>
      <c r="Y182" s="164"/>
      <c r="Z182" s="164"/>
      <c r="AA182" s="165">
        <f t="shared" si="20"/>
        <v>45894</v>
      </c>
      <c r="AB182" s="160" t="s">
        <v>1144</v>
      </c>
      <c r="AC182" s="174"/>
      <c r="AD182" s="166"/>
      <c r="AE182" s="156" t="str">
        <f t="shared" si="21"/>
        <v/>
      </c>
      <c r="AF182" s="107" t="str">
        <f t="shared" si="22"/>
        <v/>
      </c>
      <c r="AG182" s="107" t="str">
        <f t="shared" si="23"/>
        <v/>
      </c>
      <c r="AH182" s="107" t="str">
        <f t="shared" si="24"/>
        <v/>
      </c>
      <c r="AI182" s="157">
        <f t="shared" si="25"/>
        <v>49</v>
      </c>
      <c r="AJ182" s="96"/>
      <c r="AK182" s="169"/>
      <c r="AL182" s="96"/>
      <c r="AM182" s="158">
        <f t="shared" si="12"/>
        <v>0</v>
      </c>
    </row>
    <row r="183" ht="22.5" customHeight="1">
      <c r="A183" s="188"/>
      <c r="B183" s="160" t="s">
        <v>86</v>
      </c>
      <c r="C183" s="160" t="s">
        <v>1131</v>
      </c>
      <c r="D183" s="161">
        <v>45952.0</v>
      </c>
      <c r="E183" s="124" t="str">
        <f t="shared" si="1"/>
        <v>2025</v>
      </c>
      <c r="F183" s="124" t="str">
        <f t="shared" si="2"/>
        <v>10 Okt</v>
      </c>
      <c r="G183" s="124" t="str">
        <f t="shared" si="3"/>
        <v>Rabu</v>
      </c>
      <c r="H183" s="160" t="s">
        <v>282</v>
      </c>
      <c r="I183" s="125" t="str">
        <f t="array" ref="I183">IFNA(XLOOKUP($H183,'🙎‍♂️ Pasien'!$G$7:$G658,'🙎‍♂️ Pasien'!$H$7:$H658),"")</f>
        <v>E9425102074</v>
      </c>
      <c r="J183" s="125" t="str">
        <f t="array" ref="J183">IFNA(XLOOKUP($H183,'🙎‍♂️ Pasien'!$G$7:$G658,'🙎‍♂️ Pasien'!$L$7:$L658),"")</f>
        <v>PEREMPUAN</v>
      </c>
      <c r="K183" s="125">
        <f t="array" ref="K183">IFNA(XLOOKUP($H183,'🙎‍♂️ Pasien'!$G$7:$G658,'🙎‍♂️ Pasien'!$I$7:$I658),"")</f>
        <v>32</v>
      </c>
      <c r="L183" s="160" t="s">
        <v>91</v>
      </c>
      <c r="M183" s="162" t="str">
        <f t="array" ref="M183">IFNA(XLOOKUP(L183,'⚙️ Pengaturan'!$H$5:$H658,'⚙️ Pengaturan'!$I$5:$I658),"")</f>
        <v>TIM Y</v>
      </c>
      <c r="N183" s="163" t="s">
        <v>1132</v>
      </c>
      <c r="O183" s="160" t="s">
        <v>1133</v>
      </c>
      <c r="P183" s="153">
        <f t="shared" si="13"/>
        <v>5</v>
      </c>
      <c r="Q183" s="164">
        <v>45952.0</v>
      </c>
      <c r="R183" s="164">
        <v>45954.0</v>
      </c>
      <c r="S183" s="164">
        <v>45956.0</v>
      </c>
      <c r="T183" s="164">
        <v>45958.0</v>
      </c>
      <c r="U183" s="164">
        <v>45960.0</v>
      </c>
      <c r="V183" s="164"/>
      <c r="W183" s="164"/>
      <c r="X183" s="164"/>
      <c r="Y183" s="164"/>
      <c r="Z183" s="164"/>
      <c r="AA183" s="165">
        <f t="shared" si="20"/>
        <v>45960</v>
      </c>
      <c r="AB183" s="160" t="s">
        <v>1134</v>
      </c>
      <c r="AC183" s="160" t="s">
        <v>1138</v>
      </c>
      <c r="AD183" s="166"/>
      <c r="AE183" s="156">
        <f t="shared" si="21"/>
        <v>45960</v>
      </c>
      <c r="AF183" s="107" t="str">
        <f t="shared" si="22"/>
        <v>2025</v>
      </c>
      <c r="AG183" s="107" t="str">
        <f t="shared" si="23"/>
        <v>10 Okt</v>
      </c>
      <c r="AH183" s="107" t="str">
        <f t="shared" si="24"/>
        <v>Kam</v>
      </c>
      <c r="AI183" s="157">
        <f t="shared" si="25"/>
        <v>2</v>
      </c>
      <c r="AJ183" s="96"/>
      <c r="AK183" s="169"/>
      <c r="AL183" s="96"/>
      <c r="AM183" s="158">
        <f t="shared" si="12"/>
        <v>0</v>
      </c>
    </row>
    <row r="184" ht="22.5" customHeight="1">
      <c r="A184" s="188"/>
      <c r="B184" s="160" t="s">
        <v>86</v>
      </c>
      <c r="C184" s="160" t="s">
        <v>1131</v>
      </c>
      <c r="D184" s="161">
        <v>45850.0</v>
      </c>
      <c r="E184" s="124" t="str">
        <f t="shared" si="1"/>
        <v>2025</v>
      </c>
      <c r="F184" s="124" t="str">
        <f t="shared" si="2"/>
        <v>07 Jul</v>
      </c>
      <c r="G184" s="124" t="str">
        <f t="shared" si="3"/>
        <v>Sabtu</v>
      </c>
      <c r="H184" s="160" t="s">
        <v>552</v>
      </c>
      <c r="I184" s="125" t="str">
        <f t="array" ref="I184">IFNA(XLOOKUP($H184,'🙎‍♂️ Pasien'!$G$7:$G658,'🙎‍♂️ Pasien'!$H$7:$H658),"")</f>
        <v>E8825039292</v>
      </c>
      <c r="J184" s="125" t="str">
        <f t="array" ref="J184">IFNA(XLOOKUP($H184,'🙎‍♂️ Pasien'!$G$7:$G658,'🙎‍♂️ Pasien'!$L$7:$L658),"")</f>
        <v>LAKI-LAKI</v>
      </c>
      <c r="K184" s="125">
        <f t="array" ref="K184">IFNA(XLOOKUP($H184,'🙎‍♂️ Pasien'!$G$7:$G658,'🙎‍♂️ Pasien'!$I$7:$I658),"")</f>
        <v>37</v>
      </c>
      <c r="L184" s="160" t="s">
        <v>101</v>
      </c>
      <c r="M184" s="162" t="str">
        <f t="array" ref="M184">IFNA(XLOOKUP(L184,'⚙️ Pengaturan'!$H$5:$H658,'⚙️ Pengaturan'!$I$5:$I658),"")</f>
        <v>MANAJEMEN</v>
      </c>
      <c r="N184" s="163" t="s">
        <v>1137</v>
      </c>
      <c r="O184" s="160" t="s">
        <v>1139</v>
      </c>
      <c r="P184" s="153">
        <f t="shared" si="13"/>
        <v>8</v>
      </c>
      <c r="Q184" s="164">
        <v>45850.0</v>
      </c>
      <c r="R184" s="164">
        <v>45850.0</v>
      </c>
      <c r="S184" s="164">
        <v>45987.0</v>
      </c>
      <c r="T184" s="164">
        <v>45992.0</v>
      </c>
      <c r="U184" s="164">
        <v>45993.0</v>
      </c>
      <c r="V184" s="164">
        <v>45995.0</v>
      </c>
      <c r="W184" s="164">
        <v>45997.0</v>
      </c>
      <c r="X184" s="164">
        <v>46000.0</v>
      </c>
      <c r="Y184" s="164"/>
      <c r="Z184" s="164"/>
      <c r="AA184" s="165">
        <f t="shared" si="20"/>
        <v>46000</v>
      </c>
      <c r="AB184" s="160" t="s">
        <v>1144</v>
      </c>
      <c r="AC184" s="174"/>
      <c r="AD184" s="166"/>
      <c r="AE184" s="156" t="str">
        <f t="shared" si="21"/>
        <v/>
      </c>
      <c r="AF184" s="107" t="str">
        <f t="shared" si="22"/>
        <v/>
      </c>
      <c r="AG184" s="107" t="str">
        <f t="shared" si="23"/>
        <v/>
      </c>
      <c r="AH184" s="107" t="str">
        <f t="shared" si="24"/>
        <v/>
      </c>
      <c r="AI184" s="157">
        <f t="shared" si="25"/>
        <v>48</v>
      </c>
      <c r="AJ184" s="96"/>
      <c r="AK184" s="169"/>
      <c r="AL184" s="96"/>
      <c r="AM184" s="158">
        <f t="shared" si="12"/>
        <v>0</v>
      </c>
    </row>
    <row r="185" ht="22.5" customHeight="1">
      <c r="A185" s="188"/>
      <c r="B185" s="20"/>
      <c r="C185" s="20"/>
      <c r="D185" s="123">
        <v>45632.0</v>
      </c>
      <c r="E185" s="124" t="str">
        <f t="shared" si="1"/>
        <v>2024</v>
      </c>
      <c r="F185" s="124" t="str">
        <f t="shared" si="2"/>
        <v>12 Des</v>
      </c>
      <c r="G185" s="124" t="str">
        <f t="shared" si="3"/>
        <v>Jumat</v>
      </c>
      <c r="H185" s="16" t="s">
        <v>1230</v>
      </c>
      <c r="I185" s="125" t="str">
        <f t="array" ref="I185">IFNA(XLOOKUP($H185,'🙎‍♂️ Pasien'!$G$7:$G658,'🙎‍♂️ Pasien'!$H$7:$H658),"")</f>
        <v>E9224129831</v>
      </c>
      <c r="J185" s="125" t="str">
        <f t="array" ref="J185">IFNA(XLOOKUP($H185,'🙎‍♂️ Pasien'!$G$7:$G658,'🙎‍♂️ Pasien'!$L$7:$L658),"")</f>
        <v>PEREMPUAN</v>
      </c>
      <c r="K185" s="125">
        <f t="array" ref="K185">IFNA(XLOOKUP($H185,'🙎‍♂️ Pasien'!$G$7:$G658,'🙎‍♂️ Pasien'!$I$7:$I658),"")</f>
        <v>33</v>
      </c>
      <c r="L185" s="16" t="s">
        <v>72</v>
      </c>
      <c r="M185" s="125" t="str">
        <f t="array" ref="M185">IFNA(XLOOKUP(L185,'⚙️ Pengaturan'!$H$5:$H658,'⚙️ Pengaturan'!$I$5:$I658),"")</f>
        <v>TIM A</v>
      </c>
      <c r="N185" s="16" t="s">
        <v>1132</v>
      </c>
      <c r="O185" s="16" t="s">
        <v>1133</v>
      </c>
      <c r="P185" s="153">
        <f t="shared" si="13"/>
        <v>1</v>
      </c>
      <c r="Q185" s="154">
        <v>45633.0</v>
      </c>
      <c r="R185" s="154"/>
      <c r="S185" s="154"/>
      <c r="T185" s="154"/>
      <c r="U185" s="154"/>
      <c r="V185" s="154"/>
      <c r="W185" s="154"/>
      <c r="X185" s="154"/>
      <c r="Y185" s="154"/>
      <c r="Z185" s="154"/>
      <c r="AA185" s="155">
        <f t="shared" si="20"/>
        <v>45633</v>
      </c>
      <c r="AB185" s="16" t="s">
        <v>1144</v>
      </c>
      <c r="AC185" s="20"/>
      <c r="AD185" s="170"/>
      <c r="AE185" s="156" t="str">
        <f t="shared" si="21"/>
        <v/>
      </c>
      <c r="AF185" s="107" t="str">
        <f t="shared" si="22"/>
        <v/>
      </c>
      <c r="AG185" s="107" t="str">
        <f t="shared" si="23"/>
        <v/>
      </c>
      <c r="AH185" s="107" t="str">
        <f t="shared" si="24"/>
        <v/>
      </c>
      <c r="AI185" s="157">
        <f t="shared" si="25"/>
        <v>79</v>
      </c>
      <c r="AJ185" s="96"/>
      <c r="AK185" s="169"/>
      <c r="AL185" s="96"/>
      <c r="AM185" s="158">
        <f t="shared" si="12"/>
        <v>0</v>
      </c>
    </row>
    <row r="186" ht="22.5" customHeight="1">
      <c r="A186" s="188"/>
      <c r="B186" s="171"/>
      <c r="C186" s="171"/>
      <c r="D186" s="161">
        <v>45642.0</v>
      </c>
      <c r="E186" s="124" t="str">
        <f t="shared" si="1"/>
        <v>2024</v>
      </c>
      <c r="F186" s="124" t="str">
        <f t="shared" si="2"/>
        <v>12 Des</v>
      </c>
      <c r="G186" s="124" t="str">
        <f t="shared" si="3"/>
        <v>Senin</v>
      </c>
      <c r="H186" s="16" t="s">
        <v>1231</v>
      </c>
      <c r="I186" s="125" t="str">
        <f t="array" ref="I186">IFNA(XLOOKUP($H186,'🙎‍♂️ Pasien'!$G$7:$G658,'🙎‍♂️ Pasien'!$H$7:$H658),"")</f>
        <v>E9124120075</v>
      </c>
      <c r="J186" s="125" t="str">
        <f t="array" ref="J186">IFNA(XLOOKUP($H186,'🙎‍♂️ Pasien'!$G$7:$G658,'🙎‍♂️ Pasien'!$L$7:$L658),"")</f>
        <v>PEREMPUAN</v>
      </c>
      <c r="K186" s="125">
        <f t="array" ref="K186">IFNA(XLOOKUP($H186,'🙎‍♂️ Pasien'!$G$7:$G658,'🙎‍♂️ Pasien'!$I$7:$I658),"")</f>
        <v>34</v>
      </c>
      <c r="L186" s="16" t="s">
        <v>107</v>
      </c>
      <c r="M186" s="125" t="str">
        <f t="array" ref="M186">IFNA(XLOOKUP(L186,'⚙️ Pengaturan'!$H$5:$H658,'⚙️ Pengaturan'!$I$5:$I658),"")</f>
        <v>TIM Y</v>
      </c>
      <c r="N186" s="16" t="s">
        <v>1132</v>
      </c>
      <c r="O186" s="16" t="s">
        <v>1133</v>
      </c>
      <c r="P186" s="153">
        <f t="shared" si="13"/>
        <v>1</v>
      </c>
      <c r="Q186" s="154">
        <v>45645.0</v>
      </c>
      <c r="R186" s="154"/>
      <c r="S186" s="154"/>
      <c r="T186" s="154"/>
      <c r="U186" s="154"/>
      <c r="V186" s="154"/>
      <c r="W186" s="154"/>
      <c r="X186" s="154"/>
      <c r="Y186" s="154"/>
      <c r="Z186" s="154"/>
      <c r="AA186" s="155">
        <f t="shared" si="20"/>
        <v>45645</v>
      </c>
      <c r="AB186" s="16" t="s">
        <v>1144</v>
      </c>
      <c r="AC186" s="20"/>
      <c r="AD186" s="170"/>
      <c r="AE186" s="156" t="str">
        <f t="shared" si="21"/>
        <v/>
      </c>
      <c r="AF186" s="107" t="str">
        <f t="shared" si="22"/>
        <v/>
      </c>
      <c r="AG186" s="107" t="str">
        <f t="shared" si="23"/>
        <v/>
      </c>
      <c r="AH186" s="107" t="str">
        <f t="shared" si="24"/>
        <v/>
      </c>
      <c r="AI186" s="157">
        <f t="shared" si="25"/>
        <v>77</v>
      </c>
      <c r="AJ186" s="96"/>
      <c r="AK186" s="169"/>
      <c r="AL186" s="96"/>
      <c r="AM186" s="158">
        <f t="shared" si="12"/>
        <v>0</v>
      </c>
    </row>
    <row r="187" ht="22.5" customHeight="1">
      <c r="A187" s="188"/>
      <c r="B187" s="160" t="s">
        <v>86</v>
      </c>
      <c r="C187" s="160" t="s">
        <v>1131</v>
      </c>
      <c r="D187" s="161">
        <v>45858.0</v>
      </c>
      <c r="E187" s="124" t="str">
        <f t="shared" si="1"/>
        <v>2025</v>
      </c>
      <c r="F187" s="124" t="str">
        <f t="shared" si="2"/>
        <v>07 Jul</v>
      </c>
      <c r="G187" s="124" t="str">
        <f t="shared" si="3"/>
        <v>Minggu</v>
      </c>
      <c r="H187" s="160" t="s">
        <v>480</v>
      </c>
      <c r="I187" s="125" t="str">
        <f t="array" ref="I187">IFNA(XLOOKUP($H187,'🙎‍♂️ Pasien'!$G$7:$G658,'🙎‍♂️ Pasien'!$H$7:$H658),"")</f>
        <v>E7324031888</v>
      </c>
      <c r="J187" s="125" t="str">
        <f t="array" ref="J187">IFNA(XLOOKUP($H187,'🙎‍♂️ Pasien'!$G$7:$G658,'🙎‍♂️ Pasien'!$L$7:$L658),"")</f>
        <v>PEREMPUAN</v>
      </c>
      <c r="K187" s="125">
        <f t="array" ref="K187">IFNA(XLOOKUP($H187,'🙎‍♂️ Pasien'!$G$7:$G658,'🙎‍♂️ Pasien'!$I$7:$I658),"")</f>
        <v>52</v>
      </c>
      <c r="L187" s="160" t="s">
        <v>62</v>
      </c>
      <c r="M187" s="162" t="str">
        <f t="array" ref="M187">IFNA(XLOOKUP(L187,'⚙️ Pengaturan'!$H$5:$H658,'⚙️ Pengaturan'!$I$5:$I658),"")</f>
        <v>TIM A</v>
      </c>
      <c r="N187" s="163" t="s">
        <v>1132</v>
      </c>
      <c r="O187" s="160" t="s">
        <v>1139</v>
      </c>
      <c r="P187" s="153">
        <f t="shared" si="13"/>
        <v>5</v>
      </c>
      <c r="Q187" s="164">
        <v>45861.0</v>
      </c>
      <c r="R187" s="164">
        <v>45875.0</v>
      </c>
      <c r="S187" s="164">
        <v>45879.0</v>
      </c>
      <c r="T187" s="164">
        <v>45882.0</v>
      </c>
      <c r="U187" s="164">
        <v>45970.0</v>
      </c>
      <c r="V187" s="164"/>
      <c r="W187" s="164"/>
      <c r="X187" s="164"/>
      <c r="Y187" s="164"/>
      <c r="Z187" s="164"/>
      <c r="AA187" s="165">
        <f t="shared" si="20"/>
        <v>45970</v>
      </c>
      <c r="AB187" s="160" t="s">
        <v>1134</v>
      </c>
      <c r="AC187" s="160" t="s">
        <v>1135</v>
      </c>
      <c r="AD187" s="168" t="s">
        <v>1232</v>
      </c>
      <c r="AE187" s="156">
        <f t="shared" si="21"/>
        <v>45970</v>
      </c>
      <c r="AF187" s="107" t="str">
        <f t="shared" si="22"/>
        <v>2025</v>
      </c>
      <c r="AG187" s="107" t="str">
        <f t="shared" si="23"/>
        <v>11 Nov</v>
      </c>
      <c r="AH187" s="107" t="str">
        <f t="shared" si="24"/>
        <v>Min</v>
      </c>
      <c r="AI187" s="157">
        <f t="shared" si="25"/>
        <v>16</v>
      </c>
      <c r="AJ187" s="96"/>
      <c r="AK187" s="169"/>
      <c r="AL187" s="96"/>
      <c r="AM187" s="158">
        <f t="shared" si="12"/>
        <v>0</v>
      </c>
    </row>
    <row r="188" ht="22.5" customHeight="1">
      <c r="A188" s="188"/>
      <c r="B188" s="160" t="s">
        <v>134</v>
      </c>
      <c r="C188" s="160" t="s">
        <v>1131</v>
      </c>
      <c r="D188" s="173">
        <v>46017.0</v>
      </c>
      <c r="E188" s="124" t="str">
        <f t="shared" si="1"/>
        <v>2025</v>
      </c>
      <c r="F188" s="124" t="str">
        <f t="shared" si="2"/>
        <v>12 Des</v>
      </c>
      <c r="G188" s="124" t="str">
        <f t="shared" si="3"/>
        <v>Jumat</v>
      </c>
      <c r="H188" s="158" t="s">
        <v>780</v>
      </c>
      <c r="I188" s="125" t="str">
        <f t="array" ref="I188">IFNA(XLOOKUP($H188,'🙎‍♂️ Pasien'!$G$7:$G658,'🙎‍♂️ Pasien'!$H$7:$H658),"")</f>
        <v>E8925127564</v>
      </c>
      <c r="J188" s="125" t="str">
        <f t="array" ref="J188">IFNA(XLOOKUP($H188,'🙎‍♂️ Pasien'!$G$7:$G658,'🙎‍♂️ Pasien'!$L$7:$L658),"")</f>
        <v>PEREMPUAN</v>
      </c>
      <c r="K188" s="125">
        <f t="array" ref="K188">IFNA(XLOOKUP($H188,'🙎‍♂️ Pasien'!$G$7:$G658,'🙎‍♂️ Pasien'!$I$7:$I658),"")</f>
        <v>36</v>
      </c>
      <c r="L188" s="160" t="s">
        <v>91</v>
      </c>
      <c r="M188" s="162" t="str">
        <f t="array" ref="M188">IFNA(XLOOKUP(L188,'⚙️ Pengaturan'!$H$5:$H658,'⚙️ Pengaturan'!$I$5:$I658),"")</f>
        <v>TIM Y</v>
      </c>
      <c r="N188" s="160" t="s">
        <v>1132</v>
      </c>
      <c r="O188" s="160" t="s">
        <v>1133</v>
      </c>
      <c r="P188" s="153">
        <f t="shared" si="13"/>
        <v>4</v>
      </c>
      <c r="Q188" s="164">
        <v>46018.0</v>
      </c>
      <c r="R188" s="164">
        <v>46019.0</v>
      </c>
      <c r="S188" s="164">
        <v>46019.0</v>
      </c>
      <c r="T188" s="164">
        <v>46020.0</v>
      </c>
      <c r="U188" s="164"/>
      <c r="V188" s="164"/>
      <c r="W188" s="164"/>
      <c r="X188" s="164"/>
      <c r="Y188" s="164"/>
      <c r="Z188" s="164"/>
      <c r="AA188" s="165">
        <f t="shared" si="20"/>
        <v>46020</v>
      </c>
      <c r="AB188" s="160" t="s">
        <v>1144</v>
      </c>
      <c r="AC188" s="174"/>
      <c r="AD188" s="166"/>
      <c r="AE188" s="156" t="str">
        <f t="shared" si="21"/>
        <v/>
      </c>
      <c r="AF188" s="107" t="str">
        <f t="shared" si="22"/>
        <v/>
      </c>
      <c r="AG188" s="107" t="str">
        <f t="shared" si="23"/>
        <v/>
      </c>
      <c r="AH188" s="107" t="str">
        <f t="shared" si="24"/>
        <v/>
      </c>
      <c r="AI188" s="157">
        <f t="shared" si="25"/>
        <v>24</v>
      </c>
      <c r="AJ188" s="96"/>
      <c r="AK188" s="169"/>
      <c r="AL188" s="96"/>
      <c r="AM188" s="158">
        <f t="shared" si="12"/>
        <v>2</v>
      </c>
    </row>
    <row r="189" ht="22.5" customHeight="1">
      <c r="A189" s="188"/>
      <c r="B189" s="160" t="s">
        <v>86</v>
      </c>
      <c r="C189" s="160" t="s">
        <v>1131</v>
      </c>
      <c r="D189" s="161">
        <v>45951.0</v>
      </c>
      <c r="E189" s="124" t="str">
        <f t="shared" si="1"/>
        <v>2025</v>
      </c>
      <c r="F189" s="124" t="str">
        <f t="shared" si="2"/>
        <v>10 Okt</v>
      </c>
      <c r="G189" s="124" t="str">
        <f t="shared" si="3"/>
        <v>Selasa</v>
      </c>
      <c r="H189" s="160" t="s">
        <v>288</v>
      </c>
      <c r="I189" s="125" t="str">
        <f t="array" ref="I189">IFNA(XLOOKUP($H189,'🙎‍♂️ Pasien'!$G$7:$G658,'🙎‍♂️ Pasien'!$H$7:$H658),"")</f>
        <v>E9925108783</v>
      </c>
      <c r="J189" s="125" t="str">
        <f t="array" ref="J189">IFNA(XLOOKUP($H189,'🙎‍♂️ Pasien'!$G$7:$G658,'🙎‍♂️ Pasien'!$L$7:$L658),"")</f>
        <v>LAKI-LAKI</v>
      </c>
      <c r="K189" s="125">
        <f t="array" ref="K189">IFNA(XLOOKUP($H189,'🙎‍♂️ Pasien'!$G$7:$G658,'🙎‍♂️ Pasien'!$I$7:$I658),"")</f>
        <v>26</v>
      </c>
      <c r="L189" s="160" t="s">
        <v>72</v>
      </c>
      <c r="M189" s="162" t="str">
        <f t="array" ref="M189">IFNA(XLOOKUP(L189,'⚙️ Pengaturan'!$H$5:$H658,'⚙️ Pengaturan'!$I$5:$I658),"")</f>
        <v>TIM A</v>
      </c>
      <c r="N189" s="163" t="s">
        <v>1132</v>
      </c>
      <c r="O189" s="160" t="s">
        <v>1133</v>
      </c>
      <c r="P189" s="153">
        <f t="shared" si="13"/>
        <v>4</v>
      </c>
      <c r="Q189" s="164">
        <v>45951.0</v>
      </c>
      <c r="R189" s="164">
        <v>45953.0</v>
      </c>
      <c r="S189" s="164">
        <v>45957.0</v>
      </c>
      <c r="T189" s="164">
        <v>45960.0</v>
      </c>
      <c r="U189" s="164"/>
      <c r="V189" s="164"/>
      <c r="W189" s="164"/>
      <c r="X189" s="164"/>
      <c r="Y189" s="164"/>
      <c r="Z189" s="164"/>
      <c r="AA189" s="165">
        <f t="shared" si="20"/>
        <v>45960</v>
      </c>
      <c r="AB189" s="160" t="s">
        <v>1144</v>
      </c>
      <c r="AC189" s="174"/>
      <c r="AD189" s="166"/>
      <c r="AE189" s="156" t="str">
        <f t="shared" si="21"/>
        <v/>
      </c>
      <c r="AF189" s="107" t="str">
        <f t="shared" si="22"/>
        <v/>
      </c>
      <c r="AG189" s="107" t="str">
        <f t="shared" si="23"/>
        <v/>
      </c>
      <c r="AH189" s="107" t="str">
        <f t="shared" si="24"/>
        <v/>
      </c>
      <c r="AI189" s="157">
        <f t="shared" si="25"/>
        <v>33</v>
      </c>
      <c r="AJ189" s="96"/>
      <c r="AK189" s="169"/>
      <c r="AL189" s="96"/>
      <c r="AM189" s="158">
        <f t="shared" si="12"/>
        <v>0</v>
      </c>
    </row>
    <row r="190" ht="22.5" customHeight="1">
      <c r="A190" s="188"/>
      <c r="B190" s="160" t="s">
        <v>86</v>
      </c>
      <c r="C190" s="160" t="s">
        <v>1131</v>
      </c>
      <c r="D190" s="173">
        <v>45911.0</v>
      </c>
      <c r="E190" s="124" t="str">
        <f t="shared" si="1"/>
        <v>2025</v>
      </c>
      <c r="F190" s="124" t="str">
        <f t="shared" si="2"/>
        <v>09 Sep</v>
      </c>
      <c r="G190" s="124" t="str">
        <f t="shared" si="3"/>
        <v>Kamis</v>
      </c>
      <c r="H190" s="160" t="s">
        <v>110</v>
      </c>
      <c r="I190" s="125" t="str">
        <f t="array" ref="I190">IFNA(XLOOKUP($H190,'🙎‍♂️ Pasien'!$G$7:$G658,'🙎‍♂️ Pasien'!$H$7:$H658),"")</f>
        <v>E8425098000</v>
      </c>
      <c r="J190" s="125" t="str">
        <f t="array" ref="J190">IFNA(XLOOKUP($H190,'🙎‍♂️ Pasien'!$G$7:$G658,'🙎‍♂️ Pasien'!$L$7:$L658),"")</f>
        <v>PEREMPUAN</v>
      </c>
      <c r="K190" s="125">
        <f t="array" ref="K190">IFNA(XLOOKUP($H190,'🙎‍♂️ Pasien'!$G$7:$G658,'🙎‍♂️ Pasien'!$I$7:$I658),"")</f>
        <v>41</v>
      </c>
      <c r="L190" s="160" t="s">
        <v>91</v>
      </c>
      <c r="M190" s="162" t="str">
        <f t="array" ref="M190">IFNA(XLOOKUP(L190,'⚙️ Pengaturan'!$H$5:$H658,'⚙️ Pengaturan'!$I$5:$I658),"")</f>
        <v>TIM Y</v>
      </c>
      <c r="N190" s="160" t="s">
        <v>1132</v>
      </c>
      <c r="O190" s="160" t="s">
        <v>1133</v>
      </c>
      <c r="P190" s="153">
        <f t="shared" si="13"/>
        <v>5</v>
      </c>
      <c r="Q190" s="164">
        <v>45913.0</v>
      </c>
      <c r="R190" s="164">
        <v>45915.0</v>
      </c>
      <c r="S190" s="164">
        <v>45918.0</v>
      </c>
      <c r="T190" s="164">
        <v>45922.0</v>
      </c>
      <c r="U190" s="164">
        <v>45925.0</v>
      </c>
      <c r="V190" s="164"/>
      <c r="W190" s="164"/>
      <c r="X190" s="164"/>
      <c r="Y190" s="164"/>
      <c r="Z190" s="164"/>
      <c r="AA190" s="165">
        <f t="shared" si="20"/>
        <v>45925</v>
      </c>
      <c r="AB190" s="160" t="s">
        <v>1134</v>
      </c>
      <c r="AC190" s="160" t="s">
        <v>1138</v>
      </c>
      <c r="AD190" s="166"/>
      <c r="AE190" s="156">
        <f t="shared" si="21"/>
        <v>45925</v>
      </c>
      <c r="AF190" s="107" t="str">
        <f t="shared" si="22"/>
        <v>2025</v>
      </c>
      <c r="AG190" s="107" t="str">
        <f t="shared" si="23"/>
        <v>09 Sep</v>
      </c>
      <c r="AH190" s="107" t="str">
        <f t="shared" si="24"/>
        <v>Kam</v>
      </c>
      <c r="AI190" s="157">
        <f t="shared" si="25"/>
        <v>2</v>
      </c>
      <c r="AJ190" s="96"/>
      <c r="AK190" s="169"/>
      <c r="AL190" s="96"/>
      <c r="AM190" s="158">
        <f t="shared" si="12"/>
        <v>0</v>
      </c>
    </row>
    <row r="191" ht="22.5" customHeight="1">
      <c r="A191" s="188"/>
      <c r="B191" s="160" t="s">
        <v>54</v>
      </c>
      <c r="C191" s="160" t="s">
        <v>1131</v>
      </c>
      <c r="D191" s="173">
        <v>45925.0</v>
      </c>
      <c r="E191" s="124" t="str">
        <f t="shared" si="1"/>
        <v>2025</v>
      </c>
      <c r="F191" s="124" t="str">
        <f t="shared" si="2"/>
        <v>09 Sep</v>
      </c>
      <c r="G191" s="124" t="str">
        <f t="shared" si="3"/>
        <v>Kamis</v>
      </c>
      <c r="H191" s="160" t="s">
        <v>110</v>
      </c>
      <c r="I191" s="125" t="str">
        <f t="array" ref="I191">IFNA(XLOOKUP($H191,'🙎‍♂️ Pasien'!$G$7:$G658,'🙎‍♂️ Pasien'!$H$7:$H658),"")</f>
        <v>E8425098000</v>
      </c>
      <c r="J191" s="125" t="str">
        <f t="array" ref="J191">IFNA(XLOOKUP($H191,'🙎‍♂️ Pasien'!$G$7:$G658,'🙎‍♂️ Pasien'!$L$7:$L658),"")</f>
        <v>PEREMPUAN</v>
      </c>
      <c r="K191" s="125">
        <f t="array" ref="K191">IFNA(XLOOKUP($H191,'🙎‍♂️ Pasien'!$G$7:$G658,'🙎‍♂️ Pasien'!$I$7:$I658),"")</f>
        <v>41</v>
      </c>
      <c r="L191" s="160" t="s">
        <v>91</v>
      </c>
      <c r="M191" s="162" t="str">
        <f t="array" ref="M191">IFNA(XLOOKUP(L191,'⚙️ Pengaturan'!$H$5:$H658,'⚙️ Pengaturan'!$I$5:$I658),"")</f>
        <v>TIM Y</v>
      </c>
      <c r="N191" s="160" t="s">
        <v>1132</v>
      </c>
      <c r="O191" s="160" t="s">
        <v>1139</v>
      </c>
      <c r="P191" s="153">
        <f t="shared" si="13"/>
        <v>5</v>
      </c>
      <c r="Q191" s="164">
        <v>45929.0</v>
      </c>
      <c r="R191" s="164">
        <v>45936.0</v>
      </c>
      <c r="S191" s="164">
        <v>45946.0</v>
      </c>
      <c r="T191" s="164">
        <v>45961.0</v>
      </c>
      <c r="U191" s="164">
        <v>45979.0</v>
      </c>
      <c r="V191" s="164"/>
      <c r="W191" s="164"/>
      <c r="X191" s="164"/>
      <c r="Y191" s="164"/>
      <c r="Z191" s="164"/>
      <c r="AA191" s="165">
        <f t="shared" si="20"/>
        <v>45979</v>
      </c>
      <c r="AB191" s="160" t="s">
        <v>1134</v>
      </c>
      <c r="AC191" s="160" t="s">
        <v>1135</v>
      </c>
      <c r="AD191" s="168" t="s">
        <v>1217</v>
      </c>
      <c r="AE191" s="156">
        <f t="shared" si="21"/>
        <v>45979</v>
      </c>
      <c r="AF191" s="107" t="str">
        <f t="shared" si="22"/>
        <v>2025</v>
      </c>
      <c r="AG191" s="107" t="str">
        <f t="shared" si="23"/>
        <v>11 Nov</v>
      </c>
      <c r="AH191" s="107" t="str">
        <f t="shared" si="24"/>
        <v>Sel</v>
      </c>
      <c r="AI191" s="157">
        <f t="shared" si="25"/>
        <v>8</v>
      </c>
      <c r="AJ191" s="96"/>
      <c r="AK191" s="169"/>
      <c r="AL191" s="96"/>
      <c r="AM191" s="158">
        <f t="shared" si="12"/>
        <v>0</v>
      </c>
    </row>
    <row r="192" ht="22.5" customHeight="1">
      <c r="A192" s="188"/>
      <c r="B192" s="160" t="s">
        <v>86</v>
      </c>
      <c r="C192" s="160" t="s">
        <v>1131</v>
      </c>
      <c r="D192" s="173">
        <v>45980.0</v>
      </c>
      <c r="E192" s="124" t="str">
        <f t="shared" si="1"/>
        <v>2025</v>
      </c>
      <c r="F192" s="124" t="str">
        <f t="shared" si="2"/>
        <v>11 Nov</v>
      </c>
      <c r="G192" s="124" t="str">
        <f t="shared" si="3"/>
        <v>Rabu</v>
      </c>
      <c r="H192" s="158" t="s">
        <v>452</v>
      </c>
      <c r="I192" s="125" t="str">
        <f t="array" ref="I192">IFNA(XLOOKUP($H192,'🙎‍♂️ Pasien'!$G$7:$G658,'🙎‍♂️ Pasien'!$H$7:$H658),"")</f>
        <v>E8625112448</v>
      </c>
      <c r="J192" s="125" t="str">
        <f t="array" ref="J192">IFNA(XLOOKUP($H192,'🙎‍♂️ Pasien'!$G$7:$G658,'🙎‍♂️ Pasien'!$L$7:$L658),"")</f>
        <v>PEREMPUAN</v>
      </c>
      <c r="K192" s="125">
        <f t="array" ref="K192">IFNA(XLOOKUP($H192,'🙎‍♂️ Pasien'!$G$7:$G658,'🙎‍♂️ Pasien'!$I$7:$I658),"")</f>
        <v>40</v>
      </c>
      <c r="L192" s="160" t="s">
        <v>107</v>
      </c>
      <c r="M192" s="162" t="str">
        <f t="array" ref="M192">IFNA(XLOOKUP(L192,'⚙️ Pengaturan'!$H$5:$H658,'⚙️ Pengaturan'!$I$5:$I658),"")</f>
        <v>TIM Y</v>
      </c>
      <c r="N192" s="160" t="s">
        <v>1132</v>
      </c>
      <c r="O192" s="160" t="s">
        <v>1133</v>
      </c>
      <c r="P192" s="153">
        <f t="shared" si="13"/>
        <v>2</v>
      </c>
      <c r="Q192" s="164">
        <v>45980.0</v>
      </c>
      <c r="R192" s="187">
        <v>45983.0</v>
      </c>
      <c r="S192" s="164"/>
      <c r="T192" s="164"/>
      <c r="U192" s="164"/>
      <c r="V192" s="164"/>
      <c r="W192" s="164"/>
      <c r="X192" s="164"/>
      <c r="Y192" s="164"/>
      <c r="Z192" s="164"/>
      <c r="AA192" s="165">
        <f t="shared" si="20"/>
        <v>45983</v>
      </c>
      <c r="AB192" s="160" t="s">
        <v>1144</v>
      </c>
      <c r="AC192" s="172"/>
      <c r="AD192" s="166"/>
      <c r="AE192" s="156" t="str">
        <f t="shared" si="21"/>
        <v/>
      </c>
      <c r="AF192" s="107" t="str">
        <f t="shared" si="22"/>
        <v/>
      </c>
      <c r="AG192" s="107" t="str">
        <f t="shared" si="23"/>
        <v/>
      </c>
      <c r="AH192" s="107" t="str">
        <f t="shared" si="24"/>
        <v/>
      </c>
      <c r="AI192" s="157">
        <f t="shared" si="25"/>
        <v>29</v>
      </c>
      <c r="AJ192" s="96"/>
      <c r="AK192" s="169"/>
      <c r="AL192" s="96"/>
      <c r="AM192" s="158">
        <f t="shared" si="12"/>
        <v>0</v>
      </c>
    </row>
    <row r="193" ht="22.5" customHeight="1">
      <c r="A193" s="188"/>
      <c r="B193" s="160" t="s">
        <v>54</v>
      </c>
      <c r="C193" s="172"/>
      <c r="D193" s="189">
        <v>45754.0</v>
      </c>
      <c r="E193" s="124" t="str">
        <f t="shared" si="1"/>
        <v>2025</v>
      </c>
      <c r="F193" s="124" t="str">
        <f t="shared" si="2"/>
        <v>04 Apr</v>
      </c>
      <c r="G193" s="124" t="str">
        <f t="shared" si="3"/>
        <v>Senin</v>
      </c>
      <c r="H193" s="160" t="s">
        <v>1233</v>
      </c>
      <c r="I193" s="125" t="str">
        <f t="array" ref="I193">IFNA(XLOOKUP($H193,'🙎‍♂️ Pasien'!$G$7:$G658,'🙎‍♂️ Pasien'!$H$7:$H658),"")</f>
        <v>E7825046700</v>
      </c>
      <c r="J193" s="125" t="str">
        <f t="array" ref="J193">IFNA(XLOOKUP($H193,'🙎‍♂️ Pasien'!$G$7:$G658,'🙎‍♂️ Pasien'!$L$7:$L658),"")</f>
        <v>LAKI-LAKI</v>
      </c>
      <c r="K193" s="125">
        <f t="array" ref="K193">IFNA(XLOOKUP($H193,'🙎‍♂️ Pasien'!$G$7:$G658,'🙎‍♂️ Pasien'!$I$7:$I658),"")</f>
        <v>47</v>
      </c>
      <c r="L193" s="160" t="s">
        <v>56</v>
      </c>
      <c r="M193" s="162" t="str">
        <f t="array" ref="M193">IFNA(XLOOKUP(L193,'⚙️ Pengaturan'!$H$5:$H658,'⚙️ Pengaturan'!$I$5:$I658),"")</f>
        <v>TIM Y</v>
      </c>
      <c r="N193" s="160" t="s">
        <v>1132</v>
      </c>
      <c r="O193" s="160" t="s">
        <v>1133</v>
      </c>
      <c r="P193" s="153">
        <f t="shared" si="13"/>
        <v>3</v>
      </c>
      <c r="Q193" s="164">
        <v>45754.0</v>
      </c>
      <c r="R193" s="164">
        <v>45756.0</v>
      </c>
      <c r="S193" s="164">
        <v>45758.0</v>
      </c>
      <c r="T193" s="164"/>
      <c r="U193" s="164"/>
      <c r="V193" s="164"/>
      <c r="W193" s="164"/>
      <c r="X193" s="164"/>
      <c r="Y193" s="164"/>
      <c r="Z193" s="164"/>
      <c r="AA193" s="165">
        <f t="shared" si="20"/>
        <v>45758</v>
      </c>
      <c r="AB193" s="160" t="s">
        <v>1144</v>
      </c>
      <c r="AC193" s="174"/>
      <c r="AD193" s="166"/>
      <c r="AE193" s="156" t="str">
        <f t="shared" si="21"/>
        <v/>
      </c>
      <c r="AF193" s="107" t="str">
        <f t="shared" si="22"/>
        <v/>
      </c>
      <c r="AG193" s="107" t="str">
        <f t="shared" si="23"/>
        <v/>
      </c>
      <c r="AH193" s="107" t="str">
        <f t="shared" si="24"/>
        <v/>
      </c>
      <c r="AI193" s="157">
        <f t="shared" si="25"/>
        <v>62</v>
      </c>
      <c r="AJ193" s="96"/>
      <c r="AK193" s="169"/>
      <c r="AL193" s="96"/>
      <c r="AM193" s="158">
        <f t="shared" si="12"/>
        <v>0</v>
      </c>
    </row>
    <row r="194" ht="22.5" customHeight="1">
      <c r="A194" s="188"/>
      <c r="B194" s="171"/>
      <c r="C194" s="171"/>
      <c r="D194" s="161">
        <v>45644.0</v>
      </c>
      <c r="E194" s="124" t="str">
        <f t="shared" si="1"/>
        <v>2024</v>
      </c>
      <c r="F194" s="124" t="str">
        <f t="shared" si="2"/>
        <v>12 Des</v>
      </c>
      <c r="G194" s="124" t="str">
        <f t="shared" si="3"/>
        <v>Rabu</v>
      </c>
      <c r="H194" s="16" t="s">
        <v>1234</v>
      </c>
      <c r="I194" s="125" t="str">
        <f t="array" ref="I194">IFNA(XLOOKUP($H194,'🙎‍♂️ Pasien'!$G$7:$G658,'🙎‍♂️ Pasien'!$H$7:$H658),"")</f>
        <v>E8924128386</v>
      </c>
      <c r="J194" s="125" t="str">
        <f t="array" ref="J194">IFNA(XLOOKUP($H194,'🙎‍♂️ Pasien'!$G$7:$G658,'🙎‍♂️ Pasien'!$L$7:$L658),"")</f>
        <v>LAKI-LAKI</v>
      </c>
      <c r="K194" s="125">
        <f t="array" ref="K194">IFNA(XLOOKUP($H194,'🙎‍♂️ Pasien'!$G$7:$G658,'🙎‍♂️ Pasien'!$I$7:$I658),"")</f>
        <v>37</v>
      </c>
      <c r="L194" s="16" t="s">
        <v>1149</v>
      </c>
      <c r="M194" s="125" t="str">
        <f t="array" ref="M194">IFNA(XLOOKUP(L194,'⚙️ Pengaturan'!$H$5:$H658,'⚙️ Pengaturan'!$I$5:$I658),"")</f>
        <v/>
      </c>
      <c r="N194" s="16" t="s">
        <v>1132</v>
      </c>
      <c r="O194" s="16" t="s">
        <v>1133</v>
      </c>
      <c r="P194" s="153">
        <f t="shared" si="13"/>
        <v>3</v>
      </c>
      <c r="Q194" s="154">
        <v>45646.0</v>
      </c>
      <c r="R194" s="154">
        <v>45649.0</v>
      </c>
      <c r="S194" s="154">
        <v>45654.0</v>
      </c>
      <c r="T194" s="154"/>
      <c r="U194" s="154"/>
      <c r="V194" s="154"/>
      <c r="W194" s="154"/>
      <c r="X194" s="154"/>
      <c r="Y194" s="154"/>
      <c r="Z194" s="154"/>
      <c r="AA194" s="155">
        <f t="shared" si="20"/>
        <v>45654</v>
      </c>
      <c r="AB194" s="16" t="s">
        <v>1144</v>
      </c>
      <c r="AC194" s="20"/>
      <c r="AD194" s="170"/>
      <c r="AE194" s="156" t="str">
        <f t="shared" si="21"/>
        <v/>
      </c>
      <c r="AF194" s="107" t="str">
        <f t="shared" si="22"/>
        <v/>
      </c>
      <c r="AG194" s="107" t="str">
        <f t="shared" si="23"/>
        <v/>
      </c>
      <c r="AH194" s="107" t="str">
        <f t="shared" si="24"/>
        <v/>
      </c>
      <c r="AI194" s="157">
        <f t="shared" si="25"/>
        <v>77</v>
      </c>
      <c r="AJ194" s="96"/>
      <c r="AK194" s="169"/>
      <c r="AL194" s="96"/>
      <c r="AM194" s="158">
        <f t="shared" si="12"/>
        <v>0</v>
      </c>
    </row>
    <row r="195" ht="22.5" customHeight="1">
      <c r="A195" s="188"/>
      <c r="B195" s="160" t="s">
        <v>86</v>
      </c>
      <c r="C195" s="160" t="s">
        <v>1131</v>
      </c>
      <c r="D195" s="173">
        <v>45904.0</v>
      </c>
      <c r="E195" s="124" t="str">
        <f t="shared" si="1"/>
        <v>2025</v>
      </c>
      <c r="F195" s="124" t="str">
        <f t="shared" si="2"/>
        <v>09 Sep</v>
      </c>
      <c r="G195" s="124" t="str">
        <f t="shared" si="3"/>
        <v>Kamis</v>
      </c>
      <c r="H195" s="160" t="s">
        <v>1235</v>
      </c>
      <c r="I195" s="125" t="str">
        <f t="array" ref="I195">IFNA(XLOOKUP($H195,'🙎‍♂️ Pasien'!$G$7:$G658,'🙎‍♂️ Pasien'!$H$7:$H658),"")</f>
        <v/>
      </c>
      <c r="J195" s="125" t="str">
        <f t="array" ref="J195">IFNA(XLOOKUP($H195,'🙎‍♂️ Pasien'!$G$7:$G658,'🙎‍♂️ Pasien'!$L$7:$L658),"")</f>
        <v/>
      </c>
      <c r="K195" s="125" t="str">
        <f t="array" ref="K195">IFNA(XLOOKUP($H195,'🙎‍♂️ Pasien'!$G$7:$G658,'🙎‍♂️ Pasien'!$I$7:$I658),"")</f>
        <v/>
      </c>
      <c r="L195" s="160" t="s">
        <v>598</v>
      </c>
      <c r="M195" s="162" t="str">
        <f t="array" ref="M195">IFNA(XLOOKUP(L195,'⚙️ Pengaturan'!$H$5:$H658,'⚙️ Pengaturan'!$I$5:$I658),"")</f>
        <v>INAKTIF</v>
      </c>
      <c r="N195" s="160" t="s">
        <v>1132</v>
      </c>
      <c r="O195" s="160" t="s">
        <v>1133</v>
      </c>
      <c r="P195" s="153">
        <f t="shared" si="13"/>
        <v>5</v>
      </c>
      <c r="Q195" s="164">
        <v>45904.0</v>
      </c>
      <c r="R195" s="164">
        <v>45907.0</v>
      </c>
      <c r="S195" s="164">
        <v>45909.0</v>
      </c>
      <c r="T195" s="164">
        <v>45913.0</v>
      </c>
      <c r="U195" s="164">
        <v>45915.0</v>
      </c>
      <c r="V195" s="164"/>
      <c r="W195" s="164"/>
      <c r="X195" s="164"/>
      <c r="Y195" s="164"/>
      <c r="Z195" s="164"/>
      <c r="AA195" s="165">
        <f t="shared" si="20"/>
        <v>45915</v>
      </c>
      <c r="AB195" s="160" t="s">
        <v>1134</v>
      </c>
      <c r="AC195" s="160" t="s">
        <v>1135</v>
      </c>
      <c r="AD195" s="168" t="s">
        <v>1236</v>
      </c>
      <c r="AE195" s="156">
        <f t="shared" si="21"/>
        <v>45915</v>
      </c>
      <c r="AF195" s="107" t="str">
        <f t="shared" si="22"/>
        <v>2025</v>
      </c>
      <c r="AG195" s="107" t="str">
        <f t="shared" si="23"/>
        <v>09 Sep</v>
      </c>
      <c r="AH195" s="107" t="str">
        <f t="shared" si="24"/>
        <v>Sen</v>
      </c>
      <c r="AI195" s="157">
        <f t="shared" si="25"/>
        <v>2</v>
      </c>
      <c r="AJ195" s="96"/>
      <c r="AK195" s="169"/>
      <c r="AL195" s="96"/>
      <c r="AM195" s="158">
        <f t="shared" si="12"/>
        <v>0</v>
      </c>
    </row>
    <row r="196" ht="22.5" customHeight="1">
      <c r="A196" s="188"/>
      <c r="B196" s="160" t="s">
        <v>54</v>
      </c>
      <c r="C196" s="172"/>
      <c r="D196" s="173">
        <v>45777.0</v>
      </c>
      <c r="E196" s="124" t="str">
        <f t="shared" si="1"/>
        <v>2025</v>
      </c>
      <c r="F196" s="124" t="str">
        <f t="shared" si="2"/>
        <v>04 Apr</v>
      </c>
      <c r="G196" s="124" t="str">
        <f t="shared" si="3"/>
        <v>Rabu</v>
      </c>
      <c r="H196" s="160" t="s">
        <v>1237</v>
      </c>
      <c r="I196" s="125" t="str">
        <f t="array" ref="I196">IFNA(XLOOKUP($H196,'🙎‍♂️ Pasien'!$G$7:$G658,'🙎‍♂️ Pasien'!$H$7:$H658),"")</f>
        <v>E6723010889</v>
      </c>
      <c r="J196" s="125" t="str">
        <f t="array" ref="J196">IFNA(XLOOKUP($H196,'🙎‍♂️ Pasien'!$G$7:$G658,'🙎‍♂️ Pasien'!$L$7:$L658),"")</f>
        <v>PEREMPUAN</v>
      </c>
      <c r="K196" s="125">
        <f t="array" ref="K196">IFNA(XLOOKUP($H196,'🙎‍♂️ Pasien'!$G$7:$G658,'🙎‍♂️ Pasien'!$I$7:$I658),"")</f>
        <v>58</v>
      </c>
      <c r="L196" s="160" t="s">
        <v>72</v>
      </c>
      <c r="M196" s="162" t="str">
        <f t="array" ref="M196">IFNA(XLOOKUP(L196,'⚙️ Pengaturan'!$H$5:$H658,'⚙️ Pengaturan'!$I$5:$I658),"")</f>
        <v>TIM A</v>
      </c>
      <c r="N196" s="160" t="s">
        <v>1132</v>
      </c>
      <c r="O196" s="160" t="s">
        <v>1133</v>
      </c>
      <c r="P196" s="153">
        <f t="shared" si="13"/>
        <v>4</v>
      </c>
      <c r="Q196" s="164">
        <v>45777.0</v>
      </c>
      <c r="R196" s="164">
        <v>45784.0</v>
      </c>
      <c r="S196" s="164">
        <v>45805.0</v>
      </c>
      <c r="T196" s="164">
        <v>45822.0</v>
      </c>
      <c r="U196" s="164"/>
      <c r="V196" s="164"/>
      <c r="W196" s="164"/>
      <c r="X196" s="164"/>
      <c r="Y196" s="164"/>
      <c r="Z196" s="164"/>
      <c r="AA196" s="165">
        <f t="shared" si="20"/>
        <v>45822</v>
      </c>
      <c r="AB196" s="160" t="s">
        <v>1144</v>
      </c>
      <c r="AC196" s="174"/>
      <c r="AD196" s="166"/>
      <c r="AE196" s="156" t="str">
        <f t="shared" si="21"/>
        <v/>
      </c>
      <c r="AF196" s="107" t="str">
        <f t="shared" si="22"/>
        <v/>
      </c>
      <c r="AG196" s="107" t="str">
        <f t="shared" si="23"/>
        <v/>
      </c>
      <c r="AH196" s="107" t="str">
        <f t="shared" si="24"/>
        <v/>
      </c>
      <c r="AI196" s="157">
        <f t="shared" si="25"/>
        <v>58</v>
      </c>
      <c r="AJ196" s="96"/>
      <c r="AK196" s="169"/>
      <c r="AL196" s="96"/>
      <c r="AM196" s="158">
        <f t="shared" si="12"/>
        <v>0</v>
      </c>
    </row>
    <row r="197" ht="22.5" customHeight="1">
      <c r="A197" s="188"/>
      <c r="B197" s="160" t="s">
        <v>86</v>
      </c>
      <c r="C197" s="160" t="s">
        <v>1131</v>
      </c>
      <c r="D197" s="173">
        <v>45896.0</v>
      </c>
      <c r="E197" s="124" t="str">
        <f t="shared" si="1"/>
        <v>2025</v>
      </c>
      <c r="F197" s="124" t="str">
        <f t="shared" si="2"/>
        <v>08 Agu</v>
      </c>
      <c r="G197" s="124" t="str">
        <f t="shared" si="3"/>
        <v>Rabu</v>
      </c>
      <c r="H197" s="160" t="s">
        <v>680</v>
      </c>
      <c r="I197" s="125" t="str">
        <f t="array" ref="I197">IFNA(XLOOKUP($H197,'🙎‍♂️ Pasien'!$G$7:$G658,'🙎‍♂️ Pasien'!$H$7:$H658),"")</f>
        <v>E9025088822</v>
      </c>
      <c r="J197" s="125" t="str">
        <f t="array" ref="J197">IFNA(XLOOKUP($H197,'🙎‍♂️ Pasien'!$G$7:$G658,'🙎‍♂️ Pasien'!$L$7:$L658),"")</f>
        <v>PEREMPUAN</v>
      </c>
      <c r="K197" s="125">
        <f t="array" ref="K197">IFNA(XLOOKUP($H197,'🙎‍♂️ Pasien'!$G$7:$G658,'🙎‍♂️ Pasien'!$I$7:$I658),"")</f>
        <v>35</v>
      </c>
      <c r="L197" s="160" t="s">
        <v>72</v>
      </c>
      <c r="M197" s="162" t="str">
        <f t="array" ref="M197">IFNA(XLOOKUP(L197,'⚙️ Pengaturan'!$H$5:$H658,'⚙️ Pengaturan'!$I$5:$I658),"")</f>
        <v>TIM A</v>
      </c>
      <c r="N197" s="160" t="s">
        <v>1132</v>
      </c>
      <c r="O197" s="160" t="s">
        <v>1133</v>
      </c>
      <c r="P197" s="153">
        <f t="shared" si="13"/>
        <v>5</v>
      </c>
      <c r="Q197" s="164">
        <v>45896.0</v>
      </c>
      <c r="R197" s="164">
        <v>45899.0</v>
      </c>
      <c r="S197" s="164">
        <v>45902.0</v>
      </c>
      <c r="T197" s="164">
        <v>45906.0</v>
      </c>
      <c r="U197" s="164">
        <v>45908.0</v>
      </c>
      <c r="V197" s="164"/>
      <c r="W197" s="164"/>
      <c r="X197" s="164"/>
      <c r="Y197" s="164"/>
      <c r="Z197" s="164"/>
      <c r="AA197" s="165">
        <f t="shared" si="20"/>
        <v>45908</v>
      </c>
      <c r="AB197" s="160" t="s">
        <v>1134</v>
      </c>
      <c r="AC197" s="160" t="s">
        <v>1138</v>
      </c>
      <c r="AD197" s="166"/>
      <c r="AE197" s="156">
        <f t="shared" si="21"/>
        <v>45908</v>
      </c>
      <c r="AF197" s="107" t="str">
        <f t="shared" si="22"/>
        <v>2025</v>
      </c>
      <c r="AG197" s="107" t="str">
        <f t="shared" si="23"/>
        <v>09 Sep</v>
      </c>
      <c r="AH197" s="107" t="str">
        <f t="shared" si="24"/>
        <v>Sen</v>
      </c>
      <c r="AI197" s="157">
        <f t="shared" si="25"/>
        <v>2</v>
      </c>
      <c r="AJ197" s="96"/>
      <c r="AK197" s="169"/>
      <c r="AL197" s="96"/>
      <c r="AM197" s="158">
        <f t="shared" si="12"/>
        <v>0</v>
      </c>
    </row>
    <row r="198" ht="22.5" customHeight="1">
      <c r="A198" s="188"/>
      <c r="B198" s="160" t="s">
        <v>54</v>
      </c>
      <c r="C198" s="160" t="s">
        <v>1131</v>
      </c>
      <c r="D198" s="173">
        <v>45910.0</v>
      </c>
      <c r="E198" s="124" t="str">
        <f t="shared" si="1"/>
        <v>2025</v>
      </c>
      <c r="F198" s="124" t="str">
        <f t="shared" si="2"/>
        <v>09 Sep</v>
      </c>
      <c r="G198" s="124" t="str">
        <f t="shared" si="3"/>
        <v>Rabu</v>
      </c>
      <c r="H198" s="158" t="s">
        <v>680</v>
      </c>
      <c r="I198" s="125" t="str">
        <f t="array" ref="I198">IFNA(XLOOKUP($H198,'🙎‍♂️ Pasien'!$G$7:$G658,'🙎‍♂️ Pasien'!$H$7:$H658),"")</f>
        <v>E9025088822</v>
      </c>
      <c r="J198" s="125" t="str">
        <f t="array" ref="J198">IFNA(XLOOKUP($H198,'🙎‍♂️ Pasien'!$G$7:$G658,'🙎‍♂️ Pasien'!$L$7:$L658),"")</f>
        <v>PEREMPUAN</v>
      </c>
      <c r="K198" s="125">
        <f t="array" ref="K198">IFNA(XLOOKUP($H198,'🙎‍♂️ Pasien'!$G$7:$G658,'🙎‍♂️ Pasien'!$I$7:$I658),"")</f>
        <v>35</v>
      </c>
      <c r="L198" s="160" t="s">
        <v>72</v>
      </c>
      <c r="M198" s="162" t="str">
        <f t="array" ref="M198">IFNA(XLOOKUP(L198,'⚙️ Pengaturan'!$H$5:$H658,'⚙️ Pengaturan'!$I$5:$I658),"")</f>
        <v>TIM A</v>
      </c>
      <c r="N198" s="160" t="s">
        <v>1132</v>
      </c>
      <c r="O198" s="160" t="s">
        <v>1139</v>
      </c>
      <c r="P198" s="153">
        <f t="shared" si="13"/>
        <v>3</v>
      </c>
      <c r="Q198" s="164">
        <v>45910.0</v>
      </c>
      <c r="R198" s="187">
        <v>45915.0</v>
      </c>
      <c r="S198" s="164">
        <v>45922.0</v>
      </c>
      <c r="T198" s="164"/>
      <c r="U198" s="164"/>
      <c r="V198" s="164"/>
      <c r="W198" s="164"/>
      <c r="X198" s="164"/>
      <c r="Y198" s="164"/>
      <c r="Z198" s="164"/>
      <c r="AA198" s="165">
        <f t="shared" si="20"/>
        <v>45922</v>
      </c>
      <c r="AB198" s="160" t="s">
        <v>1144</v>
      </c>
      <c r="AC198" s="172"/>
      <c r="AD198" s="166"/>
      <c r="AE198" s="156" t="str">
        <f t="shared" si="21"/>
        <v/>
      </c>
      <c r="AF198" s="107" t="str">
        <f t="shared" si="22"/>
        <v/>
      </c>
      <c r="AG198" s="107" t="str">
        <f t="shared" si="23"/>
        <v/>
      </c>
      <c r="AH198" s="107" t="str">
        <f t="shared" si="24"/>
        <v/>
      </c>
      <c r="AI198" s="157">
        <f t="shared" si="25"/>
        <v>39</v>
      </c>
      <c r="AJ198" s="96"/>
      <c r="AK198" s="169"/>
      <c r="AL198" s="96"/>
      <c r="AM198" s="158">
        <f t="shared" si="12"/>
        <v>0</v>
      </c>
    </row>
    <row r="199" ht="22.5" customHeight="1">
      <c r="A199" s="188"/>
      <c r="B199" s="160" t="s">
        <v>134</v>
      </c>
      <c r="C199" s="160" t="s">
        <v>1131</v>
      </c>
      <c r="D199" s="161">
        <v>45843.0</v>
      </c>
      <c r="E199" s="124" t="str">
        <f t="shared" si="1"/>
        <v>2025</v>
      </c>
      <c r="F199" s="124" t="str">
        <f t="shared" si="2"/>
        <v>07 Jul</v>
      </c>
      <c r="G199" s="124" t="str">
        <f t="shared" si="3"/>
        <v>Sabtu</v>
      </c>
      <c r="H199" s="160" t="s">
        <v>1238</v>
      </c>
      <c r="I199" s="125" t="str">
        <f t="array" ref="I199">IFNA(XLOOKUP($H199,'🙎‍♂️ Pasien'!$G$7:$G658,'🙎‍♂️ Pasien'!$H$7:$H658),"")</f>
        <v>F0025072040</v>
      </c>
      <c r="J199" s="125" t="str">
        <f t="array" ref="J199">IFNA(XLOOKUP($H199,'🙎‍♂️ Pasien'!$G$7:$G658,'🙎‍♂️ Pasien'!$L$7:$L658),"")</f>
        <v>PEREMPUAN</v>
      </c>
      <c r="K199" s="125">
        <f t="array" ref="K199">IFNA(XLOOKUP($H199,'🙎‍♂️ Pasien'!$G$7:$G658,'🙎‍♂️ Pasien'!$I$7:$I658),"")</f>
        <v>26</v>
      </c>
      <c r="L199" s="160" t="s">
        <v>91</v>
      </c>
      <c r="M199" s="162" t="str">
        <f t="array" ref="M199">IFNA(XLOOKUP(L199,'⚙️ Pengaturan'!$H$5:$H658,'⚙️ Pengaturan'!$I$5:$I658),"")</f>
        <v>TIM Y</v>
      </c>
      <c r="N199" s="163" t="s">
        <v>1132</v>
      </c>
      <c r="O199" s="160" t="s">
        <v>1133</v>
      </c>
      <c r="P199" s="153">
        <f t="shared" si="13"/>
        <v>5</v>
      </c>
      <c r="Q199" s="164">
        <v>45843.0</v>
      </c>
      <c r="R199" s="164">
        <v>45845.0</v>
      </c>
      <c r="S199" s="164">
        <v>45848.0</v>
      </c>
      <c r="T199" s="164">
        <v>45851.0</v>
      </c>
      <c r="U199" s="164">
        <v>45856.0</v>
      </c>
      <c r="V199" s="164"/>
      <c r="W199" s="164"/>
      <c r="X199" s="164"/>
      <c r="Y199" s="164"/>
      <c r="Z199" s="164"/>
      <c r="AA199" s="165">
        <f t="shared" si="20"/>
        <v>45856</v>
      </c>
      <c r="AB199" s="160" t="s">
        <v>1144</v>
      </c>
      <c r="AC199" s="174"/>
      <c r="AD199" s="166"/>
      <c r="AE199" s="156">
        <f t="shared" si="21"/>
        <v>45856</v>
      </c>
      <c r="AF199" s="107" t="str">
        <f t="shared" si="22"/>
        <v>2025</v>
      </c>
      <c r="AG199" s="107" t="str">
        <f t="shared" si="23"/>
        <v>07 Jul</v>
      </c>
      <c r="AH199" s="107" t="str">
        <f t="shared" si="24"/>
        <v>Jum</v>
      </c>
      <c r="AI199" s="157">
        <f t="shared" si="25"/>
        <v>2</v>
      </c>
      <c r="AJ199" s="96"/>
      <c r="AK199" s="169"/>
      <c r="AL199" s="96"/>
      <c r="AM199" s="158">
        <f t="shared" si="12"/>
        <v>0</v>
      </c>
    </row>
    <row r="200" ht="22.5" customHeight="1">
      <c r="A200" s="188"/>
      <c r="B200" s="16" t="s">
        <v>54</v>
      </c>
      <c r="C200" s="16" t="s">
        <v>1131</v>
      </c>
      <c r="D200" s="123">
        <v>45960.0</v>
      </c>
      <c r="E200" s="124" t="str">
        <f t="shared" si="1"/>
        <v>2025</v>
      </c>
      <c r="F200" s="124" t="str">
        <f t="shared" si="2"/>
        <v>10 Okt</v>
      </c>
      <c r="G200" s="124" t="str">
        <f t="shared" si="3"/>
        <v>Kamis</v>
      </c>
      <c r="H200" s="16" t="s">
        <v>417</v>
      </c>
      <c r="I200" s="125" t="str">
        <f t="array" ref="I200">IFNA(XLOOKUP($H200,'🙎‍♂️ Pasien'!$G$7:$G658,'🙎‍♂️ Pasien'!$H$7:$H658),"")</f>
        <v>F0225102200</v>
      </c>
      <c r="J200" s="125" t="str">
        <f t="array" ref="J200">IFNA(XLOOKUP($H200,'🙎‍♂️ Pasien'!$G$7:$G658,'🙎‍♂️ Pasien'!$L$7:$L658),"")</f>
        <v>LAKI-LAKI</v>
      </c>
      <c r="K200" s="125">
        <f t="array" ref="K200">IFNA(XLOOKUP($H200,'🙎‍♂️ Pasien'!$G$7:$G658,'🙎‍♂️ Pasien'!$I$7:$I658),"")</f>
        <v>23</v>
      </c>
      <c r="L200" s="16" t="s">
        <v>72</v>
      </c>
      <c r="M200" s="125" t="str">
        <f t="array" ref="M200">IFNA(XLOOKUP(L200,'⚙️ Pengaturan'!$H$5:$H658,'⚙️ Pengaturan'!$I$5:$I658),"")</f>
        <v>TIM A</v>
      </c>
      <c r="N200" s="16" t="s">
        <v>1137</v>
      </c>
      <c r="O200" s="16" t="s">
        <v>1133</v>
      </c>
      <c r="P200" s="153">
        <f t="shared" si="13"/>
        <v>2</v>
      </c>
      <c r="Q200" s="154">
        <v>45963.0</v>
      </c>
      <c r="R200" s="154">
        <v>45969.0</v>
      </c>
      <c r="S200" s="154"/>
      <c r="T200" s="154"/>
      <c r="U200" s="154"/>
      <c r="V200" s="154"/>
      <c r="W200" s="154"/>
      <c r="X200" s="154"/>
      <c r="Y200" s="154"/>
      <c r="Z200" s="154"/>
      <c r="AA200" s="155">
        <f t="shared" si="20"/>
        <v>45969</v>
      </c>
      <c r="AB200" s="16" t="s">
        <v>1144</v>
      </c>
      <c r="AC200" s="20"/>
      <c r="AD200" s="170"/>
      <c r="AE200" s="156" t="str">
        <f t="shared" si="21"/>
        <v/>
      </c>
      <c r="AF200" s="107" t="str">
        <f t="shared" si="22"/>
        <v/>
      </c>
      <c r="AG200" s="107" t="str">
        <f t="shared" si="23"/>
        <v/>
      </c>
      <c r="AH200" s="107" t="str">
        <f t="shared" si="24"/>
        <v/>
      </c>
      <c r="AI200" s="157">
        <f t="shared" si="25"/>
        <v>32</v>
      </c>
      <c r="AJ200" s="96"/>
      <c r="AK200" s="169"/>
      <c r="AL200" s="96"/>
      <c r="AM200" s="158">
        <f t="shared" si="12"/>
        <v>0</v>
      </c>
    </row>
    <row r="201" ht="22.5" customHeight="1">
      <c r="A201" s="188"/>
      <c r="B201" s="160" t="s">
        <v>134</v>
      </c>
      <c r="C201" s="160" t="s">
        <v>1131</v>
      </c>
      <c r="D201" s="161">
        <v>45865.0</v>
      </c>
      <c r="E201" s="124" t="str">
        <f t="shared" si="1"/>
        <v>2025</v>
      </c>
      <c r="F201" s="124" t="str">
        <f t="shared" si="2"/>
        <v>07 Jul</v>
      </c>
      <c r="G201" s="124" t="str">
        <f t="shared" si="3"/>
        <v>Minggu</v>
      </c>
      <c r="H201" s="160" t="s">
        <v>1239</v>
      </c>
      <c r="I201" s="125" t="str">
        <f t="array" ref="I201">IFNA(XLOOKUP($H201,'🙎‍♂️ Pasien'!$G$7:$G658,'🙎‍♂️ Pasien'!$H$7:$H658),"")</f>
        <v>F8525077772</v>
      </c>
      <c r="J201" s="125" t="str">
        <f t="array" ref="J201">IFNA(XLOOKUP($H201,'🙎‍♂️ Pasien'!$G$7:$G658,'🙎‍♂️ Pasien'!$L$7:$L658),"")</f>
        <v>PEREMPUAN</v>
      </c>
      <c r="K201" s="125">
        <f t="array" ref="K201">IFNA(XLOOKUP($H201,'🙎‍♂️ Pasien'!$G$7:$G658,'🙎‍♂️ Pasien'!$I$7:$I658),"")</f>
        <v>41</v>
      </c>
      <c r="L201" s="160" t="s">
        <v>1152</v>
      </c>
      <c r="M201" s="162" t="str">
        <f t="array" ref="M201">IFNA(XLOOKUP(L201,'⚙️ Pengaturan'!$H$5:$H658,'⚙️ Pengaturan'!$I$5:$I658),"")</f>
        <v>INAKTIF</v>
      </c>
      <c r="N201" s="163" t="s">
        <v>1132</v>
      </c>
      <c r="O201" s="160" t="s">
        <v>1133</v>
      </c>
      <c r="P201" s="153">
        <f t="shared" si="13"/>
        <v>5</v>
      </c>
      <c r="Q201" s="164">
        <v>45867.0</v>
      </c>
      <c r="R201" s="164">
        <v>45869.0</v>
      </c>
      <c r="S201" s="164">
        <v>45872.0</v>
      </c>
      <c r="T201" s="164">
        <v>45874.0</v>
      </c>
      <c r="U201" s="164">
        <v>45876.0</v>
      </c>
      <c r="V201" s="164"/>
      <c r="W201" s="164"/>
      <c r="X201" s="164"/>
      <c r="Y201" s="164"/>
      <c r="Z201" s="164"/>
      <c r="AA201" s="165">
        <f t="shared" si="20"/>
        <v>45876</v>
      </c>
      <c r="AB201" s="160" t="s">
        <v>1134</v>
      </c>
      <c r="AC201" s="160" t="s">
        <v>1135</v>
      </c>
      <c r="AD201" s="168" t="s">
        <v>1240</v>
      </c>
      <c r="AE201" s="156">
        <f t="shared" si="21"/>
        <v>45876</v>
      </c>
      <c r="AF201" s="107" t="str">
        <f t="shared" si="22"/>
        <v>2025</v>
      </c>
      <c r="AG201" s="107" t="str">
        <f t="shared" si="23"/>
        <v>08 Agu</v>
      </c>
      <c r="AH201" s="107" t="str">
        <f t="shared" si="24"/>
        <v>Kam</v>
      </c>
      <c r="AI201" s="157">
        <f t="shared" si="25"/>
        <v>2</v>
      </c>
      <c r="AJ201" s="96"/>
      <c r="AK201" s="169"/>
      <c r="AL201" s="96"/>
      <c r="AM201" s="158">
        <f t="shared" si="12"/>
        <v>0</v>
      </c>
    </row>
    <row r="202" ht="22.5" customHeight="1">
      <c r="A202" s="188"/>
      <c r="B202" s="16" t="s">
        <v>86</v>
      </c>
      <c r="C202" s="16" t="s">
        <v>1171</v>
      </c>
      <c r="D202" s="123">
        <v>45972.0</v>
      </c>
      <c r="E202" s="124" t="str">
        <f t="shared" si="1"/>
        <v>2025</v>
      </c>
      <c r="F202" s="124" t="str">
        <f t="shared" si="2"/>
        <v>11 Nov</v>
      </c>
      <c r="G202" s="124" t="str">
        <f t="shared" si="3"/>
        <v>Selasa</v>
      </c>
      <c r="H202" s="16" t="s">
        <v>477</v>
      </c>
      <c r="I202" s="125" t="str">
        <f t="array" ref="I202">IFNA(XLOOKUP($H202,'🙎‍♂️ Pasien'!$G$7:$G658,'🙎‍♂️ Pasien'!$H$7:$H658),"")</f>
        <v>F2525111598</v>
      </c>
      <c r="J202" s="125" t="str">
        <f t="array" ref="J202">IFNA(XLOOKUP($H202,'🙎‍♂️ Pasien'!$G$7:$G658,'🙎‍♂️ Pasien'!$L$7:$L658),"")</f>
        <v>PEREMPUAN</v>
      </c>
      <c r="K202" s="125">
        <f t="array" ref="K202">IFNA(XLOOKUP($H202,'🙎‍♂️ Pasien'!$G$7:$G658,'🙎‍♂️ Pasien'!$I$7:$I658),"")</f>
        <v>0</v>
      </c>
      <c r="L202" s="16" t="s">
        <v>72</v>
      </c>
      <c r="M202" s="125" t="str">
        <f t="array" ref="M202">IFNA(XLOOKUP(L202,'⚙️ Pengaturan'!$H$5:$H658,'⚙️ Pengaturan'!$I$5:$I658),"")</f>
        <v>TIM A</v>
      </c>
      <c r="N202" s="16" t="s">
        <v>1132</v>
      </c>
      <c r="O202" s="16" t="s">
        <v>1133</v>
      </c>
      <c r="P202" s="153">
        <f t="shared" si="13"/>
        <v>5</v>
      </c>
      <c r="Q202" s="154">
        <v>45972.0</v>
      </c>
      <c r="R202" s="154">
        <v>45974.0</v>
      </c>
      <c r="S202" s="154">
        <v>45978.0</v>
      </c>
      <c r="T202" s="154">
        <v>45985.0</v>
      </c>
      <c r="U202" s="154">
        <v>45988.0</v>
      </c>
      <c r="V202" s="154"/>
      <c r="W202" s="154"/>
      <c r="X202" s="154"/>
      <c r="Y202" s="154"/>
      <c r="Z202" s="154"/>
      <c r="AA202" s="155">
        <f t="shared" si="20"/>
        <v>45988</v>
      </c>
      <c r="AB202" s="16" t="s">
        <v>1134</v>
      </c>
      <c r="AC202" s="16" t="s">
        <v>1135</v>
      </c>
      <c r="AD202" s="170"/>
      <c r="AE202" s="156">
        <f t="shared" si="21"/>
        <v>45988</v>
      </c>
      <c r="AF202" s="107" t="str">
        <f t="shared" si="22"/>
        <v>2025</v>
      </c>
      <c r="AG202" s="107" t="str">
        <f t="shared" si="23"/>
        <v>11 Nov</v>
      </c>
      <c r="AH202" s="107" t="str">
        <f t="shared" si="24"/>
        <v>Kam</v>
      </c>
      <c r="AI202" s="157">
        <f t="shared" si="25"/>
        <v>3</v>
      </c>
      <c r="AJ202" s="96"/>
      <c r="AK202" s="169"/>
      <c r="AL202" s="96"/>
      <c r="AM202" s="158">
        <f t="shared" si="12"/>
        <v>0</v>
      </c>
    </row>
    <row r="203" ht="22.5" customHeight="1">
      <c r="A203" s="188"/>
      <c r="B203" s="160" t="s">
        <v>134</v>
      </c>
      <c r="C203" s="160" t="s">
        <v>1131</v>
      </c>
      <c r="D203" s="161">
        <v>45884.0</v>
      </c>
      <c r="E203" s="124" t="str">
        <f t="shared" si="1"/>
        <v>2025</v>
      </c>
      <c r="F203" s="124" t="str">
        <f t="shared" si="2"/>
        <v>08 Agu</v>
      </c>
      <c r="G203" s="124" t="str">
        <f t="shared" si="3"/>
        <v>Jumat</v>
      </c>
      <c r="H203" s="160" t="s">
        <v>1241</v>
      </c>
      <c r="I203" s="125" t="str">
        <f t="array" ref="I203">IFNA(XLOOKUP($H203,'🙎‍♂️ Pasien'!$G$7:$G658,'🙎‍♂️ Pasien'!$H$7:$H658),"")</f>
        <v>F5625080460</v>
      </c>
      <c r="J203" s="125" t="str">
        <f t="array" ref="J203">IFNA(XLOOKUP($H203,'🙎‍♂️ Pasien'!$G$7:$G658,'🙎‍♂️ Pasien'!$L$7:$L658),"")</f>
        <v>PEREMPUAN</v>
      </c>
      <c r="K203" s="125">
        <f t="array" ref="K203">IFNA(XLOOKUP($H203,'🙎‍♂️ Pasien'!$G$7:$G658,'🙎‍♂️ Pasien'!$I$7:$I658),"")</f>
        <v>69</v>
      </c>
      <c r="L203" s="160" t="s">
        <v>1152</v>
      </c>
      <c r="M203" s="162" t="str">
        <f t="array" ref="M203">IFNA(XLOOKUP(L203,'⚙️ Pengaturan'!$H$5:$H658,'⚙️ Pengaturan'!$I$5:$I658),"")</f>
        <v>INAKTIF</v>
      </c>
      <c r="N203" s="163" t="s">
        <v>1132</v>
      </c>
      <c r="O203" s="160" t="s">
        <v>1133</v>
      </c>
      <c r="P203" s="153">
        <f t="shared" si="13"/>
        <v>5</v>
      </c>
      <c r="Q203" s="164">
        <v>45888.0</v>
      </c>
      <c r="R203" s="164">
        <v>45890.0</v>
      </c>
      <c r="S203" s="164">
        <v>45892.0</v>
      </c>
      <c r="T203" s="164">
        <v>45894.0</v>
      </c>
      <c r="U203" s="164">
        <v>45896.0</v>
      </c>
      <c r="V203" s="164"/>
      <c r="W203" s="164"/>
      <c r="X203" s="164"/>
      <c r="Y203" s="164"/>
      <c r="Z203" s="164"/>
      <c r="AA203" s="165">
        <f t="shared" si="20"/>
        <v>45896</v>
      </c>
      <c r="AB203" s="160" t="s">
        <v>1134</v>
      </c>
      <c r="AC203" s="160" t="s">
        <v>1135</v>
      </c>
      <c r="AD203" s="168" t="s">
        <v>1242</v>
      </c>
      <c r="AE203" s="156">
        <f t="shared" si="21"/>
        <v>45896</v>
      </c>
      <c r="AF203" s="107" t="str">
        <f t="shared" si="22"/>
        <v>2025</v>
      </c>
      <c r="AG203" s="107" t="str">
        <f t="shared" si="23"/>
        <v>08 Agu</v>
      </c>
      <c r="AH203" s="107" t="str">
        <f t="shared" si="24"/>
        <v>Rab</v>
      </c>
      <c r="AI203" s="157">
        <f t="shared" si="25"/>
        <v>2</v>
      </c>
      <c r="AJ203" s="96"/>
      <c r="AK203" s="169"/>
      <c r="AL203" s="96"/>
      <c r="AM203" s="158">
        <f t="shared" si="12"/>
        <v>0</v>
      </c>
    </row>
    <row r="204" ht="22.5" customHeight="1">
      <c r="A204" s="188"/>
      <c r="B204" s="160" t="s">
        <v>86</v>
      </c>
      <c r="C204" s="160" t="s">
        <v>1131</v>
      </c>
      <c r="D204" s="123">
        <v>45917.0</v>
      </c>
      <c r="E204" s="124" t="str">
        <f t="shared" si="1"/>
        <v>2025</v>
      </c>
      <c r="F204" s="124" t="str">
        <f t="shared" si="2"/>
        <v>09 Sep</v>
      </c>
      <c r="G204" s="124" t="str">
        <f t="shared" si="3"/>
        <v>Rabu</v>
      </c>
      <c r="H204" s="163" t="s">
        <v>174</v>
      </c>
      <c r="I204" s="125" t="str">
        <f t="array" ref="I204">IFNA(XLOOKUP($H204,'🙎‍♂️ Pasien'!$G$7:$G658,'🙎‍♂️ Pasien'!$H$7:$H658),"")</f>
        <v>F6925098775</v>
      </c>
      <c r="J204" s="125" t="str">
        <f t="array" ref="J204">IFNA(XLOOKUP($H204,'🙎‍♂️ Pasien'!$G$7:$G658,'🙎‍♂️ Pasien'!$L$7:$L658),"")</f>
        <v>PEREMPUAN</v>
      </c>
      <c r="K204" s="125">
        <f t="array" ref="K204">IFNA(XLOOKUP($H204,'🙎‍♂️ Pasien'!$G$7:$G658,'🙎‍♂️ Pasien'!$I$7:$I658),"")</f>
        <v>56</v>
      </c>
      <c r="L204" s="160" t="s">
        <v>62</v>
      </c>
      <c r="M204" s="162" t="str">
        <f t="array" ref="M204">IFNA(XLOOKUP(L204,'⚙️ Pengaturan'!$H$5:$H658,'⚙️ Pengaturan'!$I$5:$I658),"")</f>
        <v>TIM A</v>
      </c>
      <c r="N204" s="163" t="s">
        <v>1132</v>
      </c>
      <c r="O204" s="160" t="s">
        <v>1133</v>
      </c>
      <c r="P204" s="153">
        <f t="shared" si="13"/>
        <v>5</v>
      </c>
      <c r="Q204" s="164">
        <v>45920.0</v>
      </c>
      <c r="R204" s="164">
        <v>45923.0</v>
      </c>
      <c r="S204" s="164">
        <v>45929.0</v>
      </c>
      <c r="T204" s="164">
        <v>45932.0</v>
      </c>
      <c r="U204" s="164">
        <v>45937.0</v>
      </c>
      <c r="V204" s="164"/>
      <c r="W204" s="164"/>
      <c r="X204" s="164"/>
      <c r="Y204" s="164"/>
      <c r="Z204" s="164"/>
      <c r="AA204" s="165">
        <f t="shared" si="20"/>
        <v>45937</v>
      </c>
      <c r="AB204" s="160" t="s">
        <v>1134</v>
      </c>
      <c r="AC204" s="160" t="s">
        <v>1138</v>
      </c>
      <c r="AD204" s="168"/>
      <c r="AE204" s="156">
        <f t="shared" si="21"/>
        <v>45937</v>
      </c>
      <c r="AF204" s="107" t="str">
        <f t="shared" si="22"/>
        <v>2025</v>
      </c>
      <c r="AG204" s="107" t="str">
        <f t="shared" si="23"/>
        <v>10 Okt</v>
      </c>
      <c r="AH204" s="107" t="str">
        <f t="shared" si="24"/>
        <v>Sel</v>
      </c>
      <c r="AI204" s="157">
        <f t="shared" si="25"/>
        <v>3</v>
      </c>
      <c r="AJ204" s="96"/>
      <c r="AK204" s="169"/>
      <c r="AL204" s="96"/>
      <c r="AM204" s="158">
        <f t="shared" si="12"/>
        <v>0</v>
      </c>
    </row>
    <row r="205" ht="22.5" customHeight="1">
      <c r="A205" s="188"/>
      <c r="B205" s="160" t="s">
        <v>86</v>
      </c>
      <c r="C205" s="160" t="s">
        <v>1131</v>
      </c>
      <c r="D205" s="123">
        <v>45937.0</v>
      </c>
      <c r="E205" s="124" t="str">
        <f t="shared" si="1"/>
        <v>2025</v>
      </c>
      <c r="F205" s="124" t="str">
        <f t="shared" si="2"/>
        <v>10 Okt</v>
      </c>
      <c r="G205" s="124" t="str">
        <f t="shared" si="3"/>
        <v>Selasa</v>
      </c>
      <c r="H205" s="163" t="s">
        <v>174</v>
      </c>
      <c r="I205" s="125" t="str">
        <f t="array" ref="I205">IFNA(XLOOKUP($H205,'🙎‍♂️ Pasien'!$G$7:$G658,'🙎‍♂️ Pasien'!$H$7:$H658),"")</f>
        <v>F6925098775</v>
      </c>
      <c r="J205" s="125" t="str">
        <f t="array" ref="J205">IFNA(XLOOKUP($H205,'🙎‍♂️ Pasien'!$G$7:$G658,'🙎‍♂️ Pasien'!$L$7:$L658),"")</f>
        <v>PEREMPUAN</v>
      </c>
      <c r="K205" s="125">
        <f t="array" ref="K205">IFNA(XLOOKUP($H205,'🙎‍♂️ Pasien'!$G$7:$G658,'🙎‍♂️ Pasien'!$I$7:$I658),"")</f>
        <v>56</v>
      </c>
      <c r="L205" s="160" t="s">
        <v>62</v>
      </c>
      <c r="M205" s="162" t="str">
        <f t="array" ref="M205">IFNA(XLOOKUP(L205,'⚙️ Pengaturan'!$H$5:$H658,'⚙️ Pengaturan'!$I$5:$I658),"")</f>
        <v>TIM A</v>
      </c>
      <c r="N205" s="163" t="s">
        <v>1132</v>
      </c>
      <c r="O205" s="160" t="s">
        <v>1133</v>
      </c>
      <c r="P205" s="153">
        <f t="shared" si="13"/>
        <v>5</v>
      </c>
      <c r="Q205" s="164">
        <v>45941.0</v>
      </c>
      <c r="R205" s="164">
        <v>45944.0</v>
      </c>
      <c r="S205" s="164">
        <v>45947.0</v>
      </c>
      <c r="T205" s="164">
        <v>45953.0</v>
      </c>
      <c r="U205" s="164">
        <v>45966.0</v>
      </c>
      <c r="V205" s="164"/>
      <c r="W205" s="164"/>
      <c r="X205" s="164"/>
      <c r="Y205" s="164"/>
      <c r="Z205" s="164"/>
      <c r="AA205" s="165">
        <f t="shared" si="20"/>
        <v>45966</v>
      </c>
      <c r="AB205" s="160" t="s">
        <v>1134</v>
      </c>
      <c r="AC205" s="160" t="s">
        <v>1138</v>
      </c>
      <c r="AD205" s="168"/>
      <c r="AE205" s="156">
        <f t="shared" si="21"/>
        <v>45966</v>
      </c>
      <c r="AF205" s="107" t="str">
        <f t="shared" si="22"/>
        <v>2025</v>
      </c>
      <c r="AG205" s="107" t="str">
        <f t="shared" si="23"/>
        <v>11 Nov</v>
      </c>
      <c r="AH205" s="107" t="str">
        <f t="shared" si="24"/>
        <v>Rab</v>
      </c>
      <c r="AI205" s="157">
        <f t="shared" si="25"/>
        <v>4</v>
      </c>
      <c r="AJ205" s="96"/>
      <c r="AK205" s="169"/>
      <c r="AL205" s="96"/>
      <c r="AM205" s="158">
        <f t="shared" si="12"/>
        <v>0</v>
      </c>
    </row>
    <row r="206" ht="22.5" customHeight="1">
      <c r="A206" s="167"/>
      <c r="B206" s="160" t="s">
        <v>54</v>
      </c>
      <c r="C206" s="160" t="s">
        <v>1131</v>
      </c>
      <c r="D206" s="123">
        <v>45966.0</v>
      </c>
      <c r="E206" s="124" t="str">
        <f t="shared" si="1"/>
        <v>2025</v>
      </c>
      <c r="F206" s="124" t="str">
        <f t="shared" si="2"/>
        <v>11 Nov</v>
      </c>
      <c r="G206" s="124" t="str">
        <f t="shared" si="3"/>
        <v>Rabu</v>
      </c>
      <c r="H206" s="163" t="s">
        <v>174</v>
      </c>
      <c r="I206" s="125" t="str">
        <f t="array" ref="I206">IFNA(XLOOKUP($H206,'🙎‍♂️ Pasien'!$G$7:$G658,'🙎‍♂️ Pasien'!$H$7:$H658),"")</f>
        <v>F6925098775</v>
      </c>
      <c r="J206" s="125" t="str">
        <f t="array" ref="J206">IFNA(XLOOKUP($H206,'🙎‍♂️ Pasien'!$G$7:$G658,'🙎‍♂️ Pasien'!$L$7:$L658),"")</f>
        <v>PEREMPUAN</v>
      </c>
      <c r="K206" s="125">
        <f t="array" ref="K206">IFNA(XLOOKUP($H206,'🙎‍♂️ Pasien'!$G$7:$G658,'🙎‍♂️ Pasien'!$I$7:$I658),"")</f>
        <v>56</v>
      </c>
      <c r="L206" s="160" t="s">
        <v>62</v>
      </c>
      <c r="M206" s="162" t="str">
        <f t="array" ref="M206">IFNA(XLOOKUP(L206,'⚙️ Pengaturan'!$H$5:$H658,'⚙️ Pengaturan'!$I$5:$I658),"")</f>
        <v>TIM A</v>
      </c>
      <c r="N206" s="163" t="s">
        <v>1132</v>
      </c>
      <c r="O206" s="160" t="s">
        <v>1139</v>
      </c>
      <c r="P206" s="153">
        <f t="shared" si="13"/>
        <v>3</v>
      </c>
      <c r="Q206" s="164">
        <v>45972.0</v>
      </c>
      <c r="R206" s="164">
        <v>45976.0</v>
      </c>
      <c r="S206" s="164">
        <v>45979.0</v>
      </c>
      <c r="T206" s="164"/>
      <c r="U206" s="164"/>
      <c r="V206" s="164"/>
      <c r="W206" s="164"/>
      <c r="X206" s="164"/>
      <c r="Y206" s="164"/>
      <c r="Z206" s="164"/>
      <c r="AA206" s="165">
        <f t="shared" si="20"/>
        <v>45979</v>
      </c>
      <c r="AB206" s="160" t="s">
        <v>1144</v>
      </c>
      <c r="AC206" s="172"/>
      <c r="AD206" s="168"/>
      <c r="AE206" s="156" t="str">
        <f t="shared" si="21"/>
        <v/>
      </c>
      <c r="AF206" s="107" t="str">
        <f t="shared" si="22"/>
        <v/>
      </c>
      <c r="AG206" s="107" t="str">
        <f t="shared" si="23"/>
        <v/>
      </c>
      <c r="AH206" s="107" t="str">
        <f t="shared" si="24"/>
        <v/>
      </c>
      <c r="AI206" s="157">
        <f t="shared" si="25"/>
        <v>30</v>
      </c>
      <c r="AJ206" s="96"/>
      <c r="AK206" s="169"/>
      <c r="AL206" s="96"/>
      <c r="AM206" s="158">
        <f t="shared" si="12"/>
        <v>0</v>
      </c>
    </row>
    <row r="207" ht="22.5" customHeight="1">
      <c r="A207" s="167"/>
      <c r="B207" s="171"/>
      <c r="C207" s="171"/>
      <c r="D207" s="161">
        <v>45640.0</v>
      </c>
      <c r="E207" s="124" t="str">
        <f t="shared" si="1"/>
        <v>2024</v>
      </c>
      <c r="F207" s="124" t="str">
        <f t="shared" si="2"/>
        <v>12 Des</v>
      </c>
      <c r="G207" s="124" t="str">
        <f t="shared" si="3"/>
        <v>Sabtu</v>
      </c>
      <c r="H207" s="16" t="s">
        <v>1243</v>
      </c>
      <c r="I207" s="125" t="str">
        <f t="array" ref="I207">IFNA(XLOOKUP($H207,'🙎‍♂️ Pasien'!$G$7:$G658,'🙎‍♂️ Pasien'!$H$7:$H658),"")</f>
        <v>F0624125155</v>
      </c>
      <c r="J207" s="125" t="str">
        <f t="array" ref="J207">IFNA(XLOOKUP($H207,'🙎‍♂️ Pasien'!$G$7:$G658,'🙎‍♂️ Pasien'!$L$7:$L658),"")</f>
        <v>LAKI-LAKI</v>
      </c>
      <c r="K207" s="125">
        <f t="array" ref="K207">IFNA(XLOOKUP($H207,'🙎‍♂️ Pasien'!$G$7:$G658,'🙎‍♂️ Pasien'!$I$7:$I658),"")</f>
        <v>20</v>
      </c>
      <c r="L207" s="16" t="s">
        <v>107</v>
      </c>
      <c r="M207" s="125" t="str">
        <f t="array" ref="M207">IFNA(XLOOKUP(L207,'⚙️ Pengaturan'!$H$5:$H658,'⚙️ Pengaturan'!$I$5:$I658),"")</f>
        <v>TIM Y</v>
      </c>
      <c r="N207" s="16" t="s">
        <v>1132</v>
      </c>
      <c r="O207" s="16" t="s">
        <v>1133</v>
      </c>
      <c r="P207" s="153">
        <f t="shared" si="13"/>
        <v>3</v>
      </c>
      <c r="Q207" s="154">
        <v>45639.0</v>
      </c>
      <c r="R207" s="154">
        <v>45640.0</v>
      </c>
      <c r="S207" s="154">
        <v>45645.0</v>
      </c>
      <c r="T207" s="154"/>
      <c r="U207" s="154"/>
      <c r="V207" s="154"/>
      <c r="W207" s="154"/>
      <c r="X207" s="154"/>
      <c r="Y207" s="154"/>
      <c r="Z207" s="154"/>
      <c r="AA207" s="155">
        <f t="shared" si="20"/>
        <v>45645</v>
      </c>
      <c r="AB207" s="16" t="s">
        <v>1144</v>
      </c>
      <c r="AC207" s="20"/>
      <c r="AD207" s="170"/>
      <c r="AE207" s="156" t="str">
        <f t="shared" si="21"/>
        <v/>
      </c>
      <c r="AF207" s="107" t="str">
        <f t="shared" si="22"/>
        <v/>
      </c>
      <c r="AG207" s="107" t="str">
        <f t="shared" si="23"/>
        <v/>
      </c>
      <c r="AH207" s="107" t="str">
        <f t="shared" si="24"/>
        <v/>
      </c>
      <c r="AI207" s="157">
        <f t="shared" si="25"/>
        <v>78</v>
      </c>
      <c r="AJ207" s="96"/>
      <c r="AK207" s="169"/>
      <c r="AL207" s="96"/>
      <c r="AM207" s="158">
        <f t="shared" si="12"/>
        <v>0</v>
      </c>
    </row>
    <row r="208" ht="22.5" customHeight="1">
      <c r="A208" s="188"/>
      <c r="B208" s="16" t="s">
        <v>86</v>
      </c>
      <c r="C208" s="16" t="s">
        <v>1131</v>
      </c>
      <c r="D208" s="123">
        <v>46020.0</v>
      </c>
      <c r="E208" s="124" t="str">
        <f t="shared" si="1"/>
        <v>2025</v>
      </c>
      <c r="F208" s="124" t="str">
        <f t="shared" si="2"/>
        <v>12 Des</v>
      </c>
      <c r="G208" s="124" t="str">
        <f t="shared" si="3"/>
        <v>Senin</v>
      </c>
      <c r="H208" s="16" t="s">
        <v>1101</v>
      </c>
      <c r="I208" s="125" t="str">
        <f t="array" ref="I208">IFNA(XLOOKUP($H208,'🙎‍♂️ Pasien'!$G$7:$G658,'🙎‍♂️ Pasien'!$H$7:$H658),"")</f>
        <v>F8325127729</v>
      </c>
      <c r="J208" s="125" t="str">
        <f t="array" ref="J208">IFNA(XLOOKUP($H208,'🙎‍♂️ Pasien'!$G$7:$G658,'🙎‍♂️ Pasien'!$L$7:$L658),"")</f>
        <v>PEREMPUAN</v>
      </c>
      <c r="K208" s="125">
        <f t="array" ref="K208">IFNA(XLOOKUP($H208,'🙎‍♂️ Pasien'!$G$7:$G658,'🙎‍♂️ Pasien'!$I$7:$I658),"")</f>
        <v>43</v>
      </c>
      <c r="L208" s="16" t="s">
        <v>79</v>
      </c>
      <c r="M208" s="125" t="str">
        <f t="array" ref="M208">IFNA(XLOOKUP(L208,'⚙️ Pengaturan'!$H$5:$H658,'⚙️ Pengaturan'!$I$5:$I658),"")</f>
        <v>TIM A</v>
      </c>
      <c r="N208" s="16" t="s">
        <v>1132</v>
      </c>
      <c r="O208" s="16" t="s">
        <v>1133</v>
      </c>
      <c r="P208" s="153">
        <f t="shared" si="13"/>
        <v>1</v>
      </c>
      <c r="Q208" s="154">
        <v>46020.0</v>
      </c>
      <c r="R208" s="154"/>
      <c r="S208" s="154"/>
      <c r="T208" s="154"/>
      <c r="U208" s="154"/>
      <c r="V208" s="154"/>
      <c r="W208" s="154"/>
      <c r="X208" s="154"/>
      <c r="Y208" s="154"/>
      <c r="Z208" s="154"/>
      <c r="AA208" s="155">
        <f t="shared" si="20"/>
        <v>46020</v>
      </c>
      <c r="AB208" s="16" t="s">
        <v>1144</v>
      </c>
      <c r="AC208" s="20"/>
      <c r="AD208" s="170"/>
      <c r="AE208" s="156" t="str">
        <f t="shared" si="21"/>
        <v/>
      </c>
      <c r="AF208" s="107" t="str">
        <f t="shared" si="22"/>
        <v/>
      </c>
      <c r="AG208" s="107" t="str">
        <f t="shared" si="23"/>
        <v/>
      </c>
      <c r="AH208" s="107" t="str">
        <f t="shared" si="24"/>
        <v/>
      </c>
      <c r="AI208" s="157">
        <f t="shared" si="25"/>
        <v>24</v>
      </c>
      <c r="AJ208" s="96"/>
      <c r="AK208" s="169"/>
      <c r="AL208" s="96"/>
      <c r="AM208" s="158">
        <f t="shared" si="12"/>
        <v>0</v>
      </c>
    </row>
    <row r="209" ht="22.5" customHeight="1">
      <c r="A209" s="188"/>
      <c r="B209" s="160" t="s">
        <v>54</v>
      </c>
      <c r="C209" s="160" t="s">
        <v>1131</v>
      </c>
      <c r="D209" s="161">
        <v>45832.0</v>
      </c>
      <c r="E209" s="124" t="str">
        <f t="shared" si="1"/>
        <v>2025</v>
      </c>
      <c r="F209" s="124" t="str">
        <f t="shared" si="2"/>
        <v>06 Jun</v>
      </c>
      <c r="G209" s="124" t="str">
        <f t="shared" si="3"/>
        <v>Selasa</v>
      </c>
      <c r="H209" s="160" t="s">
        <v>124</v>
      </c>
      <c r="I209" s="125" t="str">
        <f t="array" ref="I209">IFNA(XLOOKUP($H209,'🙎‍♂️ Pasien'!$G$7:$G658,'🙎‍♂️ Pasien'!$H$7:$H658),"")</f>
        <v>F0423083055</v>
      </c>
      <c r="J209" s="125" t="str">
        <f t="array" ref="J209">IFNA(XLOOKUP($H209,'🙎‍♂️ Pasien'!$G$7:$G658,'🙎‍♂️ Pasien'!$L$7:$L658),"")</f>
        <v>LAKI-LAKI</v>
      </c>
      <c r="K209" s="125">
        <f t="array" ref="K209">IFNA(XLOOKUP($H209,'🙎‍♂️ Pasien'!$G$7:$G658,'🙎‍♂️ Pasien'!$I$7:$I658),"")</f>
        <v>21</v>
      </c>
      <c r="L209" s="160" t="s">
        <v>56</v>
      </c>
      <c r="M209" s="162" t="str">
        <f t="array" ref="M209">IFNA(XLOOKUP(L209,'⚙️ Pengaturan'!$H$5:$H658,'⚙️ Pengaturan'!$I$5:$I658),"")</f>
        <v>TIM Y</v>
      </c>
      <c r="N209" s="163" t="s">
        <v>1132</v>
      </c>
      <c r="O209" s="160" t="s">
        <v>1133</v>
      </c>
      <c r="P209" s="153">
        <f t="shared" si="13"/>
        <v>5</v>
      </c>
      <c r="Q209" s="164">
        <v>45832.0</v>
      </c>
      <c r="R209" s="164">
        <v>45834.0</v>
      </c>
      <c r="S209" s="164">
        <v>45836.0</v>
      </c>
      <c r="T209" s="164">
        <v>45838.0</v>
      </c>
      <c r="U209" s="164">
        <v>45840.0</v>
      </c>
      <c r="V209" s="164"/>
      <c r="W209" s="164"/>
      <c r="X209" s="164"/>
      <c r="Y209" s="164"/>
      <c r="Z209" s="164"/>
      <c r="AA209" s="165">
        <f t="shared" si="20"/>
        <v>45840</v>
      </c>
      <c r="AB209" s="160" t="s">
        <v>1134</v>
      </c>
      <c r="AC209" s="160" t="s">
        <v>1138</v>
      </c>
      <c r="AD209" s="166"/>
      <c r="AE209" s="156">
        <f t="shared" si="21"/>
        <v>45840</v>
      </c>
      <c r="AF209" s="107" t="str">
        <f t="shared" si="22"/>
        <v>2025</v>
      </c>
      <c r="AG209" s="107" t="str">
        <f t="shared" si="23"/>
        <v>07 Jul</v>
      </c>
      <c r="AH209" s="107" t="str">
        <f t="shared" si="24"/>
        <v>Rab</v>
      </c>
      <c r="AI209" s="157">
        <f t="shared" si="25"/>
        <v>2</v>
      </c>
      <c r="AJ209" s="96"/>
      <c r="AK209" s="169"/>
      <c r="AL209" s="96"/>
      <c r="AM209" s="158">
        <f t="shared" si="12"/>
        <v>0</v>
      </c>
    </row>
    <row r="210" ht="22.5" customHeight="1">
      <c r="A210" s="188"/>
      <c r="B210" s="160" t="s">
        <v>86</v>
      </c>
      <c r="C210" s="160" t="s">
        <v>1131</v>
      </c>
      <c r="D210" s="161">
        <v>45841.0</v>
      </c>
      <c r="E210" s="124" t="str">
        <f t="shared" si="1"/>
        <v>2025</v>
      </c>
      <c r="F210" s="124" t="str">
        <f t="shared" si="2"/>
        <v>07 Jul</v>
      </c>
      <c r="G210" s="124" t="str">
        <f t="shared" si="3"/>
        <v>Kamis</v>
      </c>
      <c r="H210" s="160" t="s">
        <v>124</v>
      </c>
      <c r="I210" s="125" t="str">
        <f t="array" ref="I210">IFNA(XLOOKUP($H210,'🙎‍♂️ Pasien'!$G$7:$G658,'🙎‍♂️ Pasien'!$H$7:$H658),"")</f>
        <v>F0423083055</v>
      </c>
      <c r="J210" s="125" t="str">
        <f t="array" ref="J210">IFNA(XLOOKUP($H210,'🙎‍♂️ Pasien'!$G$7:$G658,'🙎‍♂️ Pasien'!$L$7:$L658),"")</f>
        <v>LAKI-LAKI</v>
      </c>
      <c r="K210" s="125">
        <f t="array" ref="K210">IFNA(XLOOKUP($H210,'🙎‍♂️ Pasien'!$G$7:$G658,'🙎‍♂️ Pasien'!$I$7:$I658),"")</f>
        <v>21</v>
      </c>
      <c r="L210" s="160" t="s">
        <v>56</v>
      </c>
      <c r="M210" s="162" t="str">
        <f t="array" ref="M210">IFNA(XLOOKUP(L210,'⚙️ Pengaturan'!$H$5:$H658,'⚙️ Pengaturan'!$I$5:$I658),"")</f>
        <v>TIM Y</v>
      </c>
      <c r="N210" s="163" t="s">
        <v>1132</v>
      </c>
      <c r="O210" s="160" t="s">
        <v>1139</v>
      </c>
      <c r="P210" s="153">
        <f t="shared" si="13"/>
        <v>5</v>
      </c>
      <c r="Q210" s="164">
        <v>45841.0</v>
      </c>
      <c r="R210" s="164">
        <v>45846.0</v>
      </c>
      <c r="S210" s="164">
        <v>45848.0</v>
      </c>
      <c r="T210" s="164">
        <v>45850.0</v>
      </c>
      <c r="U210" s="164">
        <v>45852.0</v>
      </c>
      <c r="V210" s="164"/>
      <c r="W210" s="164"/>
      <c r="X210" s="164"/>
      <c r="Y210" s="164"/>
      <c r="Z210" s="164"/>
      <c r="AA210" s="165">
        <f t="shared" si="20"/>
        <v>45852</v>
      </c>
      <c r="AB210" s="160" t="s">
        <v>1134</v>
      </c>
      <c r="AC210" s="160" t="s">
        <v>1138</v>
      </c>
      <c r="AD210" s="166"/>
      <c r="AE210" s="156">
        <f t="shared" si="21"/>
        <v>45852</v>
      </c>
      <c r="AF210" s="107" t="str">
        <f t="shared" si="22"/>
        <v>2025</v>
      </c>
      <c r="AG210" s="107" t="str">
        <f t="shared" si="23"/>
        <v>07 Jul</v>
      </c>
      <c r="AH210" s="107" t="str">
        <f t="shared" si="24"/>
        <v>Sen</v>
      </c>
      <c r="AI210" s="157">
        <f t="shared" si="25"/>
        <v>2</v>
      </c>
      <c r="AJ210" s="96"/>
      <c r="AK210" s="169"/>
      <c r="AL210" s="96"/>
      <c r="AM210" s="158">
        <f t="shared" si="12"/>
        <v>0</v>
      </c>
    </row>
    <row r="211" ht="22.5" customHeight="1">
      <c r="A211" s="188"/>
      <c r="B211" s="160" t="s">
        <v>86</v>
      </c>
      <c r="C211" s="160" t="s">
        <v>1131</v>
      </c>
      <c r="D211" s="161">
        <v>45858.0</v>
      </c>
      <c r="E211" s="124" t="str">
        <f t="shared" si="1"/>
        <v>2025</v>
      </c>
      <c r="F211" s="124" t="str">
        <f t="shared" si="2"/>
        <v>07 Jul</v>
      </c>
      <c r="G211" s="124" t="str">
        <f t="shared" si="3"/>
        <v>Minggu</v>
      </c>
      <c r="H211" s="160" t="s">
        <v>124</v>
      </c>
      <c r="I211" s="125" t="str">
        <f t="array" ref="I211">IFNA(XLOOKUP($H211,'🙎‍♂️ Pasien'!$G$7:$G658,'🙎‍♂️ Pasien'!$H$7:$H658),"")</f>
        <v>F0423083055</v>
      </c>
      <c r="J211" s="125" t="str">
        <f t="array" ref="J211">IFNA(XLOOKUP($H211,'🙎‍♂️ Pasien'!$G$7:$G658,'🙎‍♂️ Pasien'!$L$7:$L658),"")</f>
        <v>LAKI-LAKI</v>
      </c>
      <c r="K211" s="125">
        <f t="array" ref="K211">IFNA(XLOOKUP($H211,'🙎‍♂️ Pasien'!$G$7:$G658,'🙎‍♂️ Pasien'!$I$7:$I658),"")</f>
        <v>21</v>
      </c>
      <c r="L211" s="160" t="s">
        <v>56</v>
      </c>
      <c r="M211" s="162" t="str">
        <f t="array" ref="M211">IFNA(XLOOKUP(L211,'⚙️ Pengaturan'!$H$5:$H658,'⚙️ Pengaturan'!$I$5:$I658),"")</f>
        <v>TIM Y</v>
      </c>
      <c r="N211" s="163" t="s">
        <v>1132</v>
      </c>
      <c r="O211" s="160" t="s">
        <v>1139</v>
      </c>
      <c r="P211" s="153">
        <f t="shared" si="13"/>
        <v>5</v>
      </c>
      <c r="Q211" s="164">
        <v>45858.0</v>
      </c>
      <c r="R211" s="164">
        <v>45859.0</v>
      </c>
      <c r="S211" s="164">
        <v>45866.0</v>
      </c>
      <c r="T211" s="164">
        <v>45879.0</v>
      </c>
      <c r="U211" s="164">
        <v>45883.0</v>
      </c>
      <c r="V211" s="164"/>
      <c r="W211" s="164"/>
      <c r="X211" s="164"/>
      <c r="Y211" s="164"/>
      <c r="Z211" s="164"/>
      <c r="AA211" s="165">
        <f t="shared" si="20"/>
        <v>45883</v>
      </c>
      <c r="AB211" s="160" t="s">
        <v>1134</v>
      </c>
      <c r="AC211" s="160" t="s">
        <v>1138</v>
      </c>
      <c r="AD211" s="168" t="s">
        <v>1244</v>
      </c>
      <c r="AE211" s="156">
        <f t="shared" si="21"/>
        <v>45883</v>
      </c>
      <c r="AF211" s="107" t="str">
        <f t="shared" si="22"/>
        <v>2025</v>
      </c>
      <c r="AG211" s="107" t="str">
        <f t="shared" si="23"/>
        <v>08 Agu</v>
      </c>
      <c r="AH211" s="107" t="str">
        <f t="shared" si="24"/>
        <v>Kam</v>
      </c>
      <c r="AI211" s="157">
        <f t="shared" si="25"/>
        <v>4</v>
      </c>
      <c r="AJ211" s="96"/>
      <c r="AK211" s="169"/>
      <c r="AL211" s="96"/>
      <c r="AM211" s="158">
        <f t="shared" si="12"/>
        <v>0</v>
      </c>
    </row>
    <row r="212" ht="22.5" customHeight="1">
      <c r="A212" s="188"/>
      <c r="B212" s="160" t="s">
        <v>54</v>
      </c>
      <c r="C212" s="160" t="s">
        <v>1131</v>
      </c>
      <c r="D212" s="161">
        <v>45900.0</v>
      </c>
      <c r="E212" s="124" t="str">
        <f t="shared" si="1"/>
        <v>2025</v>
      </c>
      <c r="F212" s="124" t="str">
        <f t="shared" si="2"/>
        <v>08 Agu</v>
      </c>
      <c r="G212" s="124" t="str">
        <f t="shared" si="3"/>
        <v>Minggu</v>
      </c>
      <c r="H212" s="160" t="s">
        <v>124</v>
      </c>
      <c r="I212" s="125" t="str">
        <f t="array" ref="I212">IFNA(XLOOKUP($H212,'🙎‍♂️ Pasien'!$G$7:$G658,'🙎‍♂️ Pasien'!$H$7:$H658),"")</f>
        <v>F0423083055</v>
      </c>
      <c r="J212" s="125" t="str">
        <f t="array" ref="J212">IFNA(XLOOKUP($H212,'🙎‍♂️ Pasien'!$G$7:$G658,'🙎‍♂️ Pasien'!$L$7:$L658),"")</f>
        <v>LAKI-LAKI</v>
      </c>
      <c r="K212" s="125">
        <f t="array" ref="K212">IFNA(XLOOKUP($H212,'🙎‍♂️ Pasien'!$G$7:$G658,'🙎‍♂️ Pasien'!$I$7:$I658),"")</f>
        <v>21</v>
      </c>
      <c r="L212" s="160" t="s">
        <v>56</v>
      </c>
      <c r="M212" s="162" t="str">
        <f t="array" ref="M212">IFNA(XLOOKUP(L212,'⚙️ Pengaturan'!$H$5:$H658,'⚙️ Pengaturan'!$I$5:$I658),"")</f>
        <v>TIM Y</v>
      </c>
      <c r="N212" s="163" t="s">
        <v>1132</v>
      </c>
      <c r="O212" s="160" t="s">
        <v>1139</v>
      </c>
      <c r="P212" s="153">
        <f t="shared" si="13"/>
        <v>5</v>
      </c>
      <c r="Q212" s="164">
        <v>45900.0</v>
      </c>
      <c r="R212" s="164">
        <v>45908.0</v>
      </c>
      <c r="S212" s="164">
        <v>45911.0</v>
      </c>
      <c r="T212" s="164">
        <v>45925.0</v>
      </c>
      <c r="U212" s="164">
        <v>45932.0</v>
      </c>
      <c r="V212" s="164"/>
      <c r="W212" s="164"/>
      <c r="X212" s="164"/>
      <c r="Y212" s="164"/>
      <c r="Z212" s="164"/>
      <c r="AA212" s="165">
        <f t="shared" si="20"/>
        <v>45932</v>
      </c>
      <c r="AB212" s="160" t="s">
        <v>1134</v>
      </c>
      <c r="AC212" s="160" t="s">
        <v>1142</v>
      </c>
      <c r="AD212" s="168"/>
      <c r="AE212" s="156">
        <f t="shared" si="21"/>
        <v>45932</v>
      </c>
      <c r="AF212" s="107" t="str">
        <f t="shared" si="22"/>
        <v>2025</v>
      </c>
      <c r="AG212" s="107" t="str">
        <f t="shared" si="23"/>
        <v>10 Okt</v>
      </c>
      <c r="AH212" s="107" t="str">
        <f t="shared" si="24"/>
        <v>Kam</v>
      </c>
      <c r="AI212" s="157">
        <f t="shared" si="25"/>
        <v>5</v>
      </c>
      <c r="AJ212" s="96"/>
      <c r="AK212" s="169"/>
      <c r="AL212" s="96"/>
      <c r="AM212" s="158">
        <f t="shared" si="12"/>
        <v>0</v>
      </c>
    </row>
    <row r="213" ht="22.5" customHeight="1">
      <c r="A213" s="188"/>
      <c r="B213" s="160" t="s">
        <v>134</v>
      </c>
      <c r="C213" s="160" t="s">
        <v>1131</v>
      </c>
      <c r="D213" s="161">
        <v>45872.0</v>
      </c>
      <c r="E213" s="124" t="str">
        <f t="shared" si="1"/>
        <v>2025</v>
      </c>
      <c r="F213" s="124" t="str">
        <f t="shared" si="2"/>
        <v>08 Agu</v>
      </c>
      <c r="G213" s="124" t="str">
        <f t="shared" si="3"/>
        <v>Minggu</v>
      </c>
      <c r="H213" s="160" t="s">
        <v>1245</v>
      </c>
      <c r="I213" s="125" t="str">
        <f t="array" ref="I213">IFNA(XLOOKUP($H213,'🙎‍♂️ Pasien'!$G$7:$G658,'🙎‍♂️ Pasien'!$H$7:$H658),"")</f>
        <v>F9623104060</v>
      </c>
      <c r="J213" s="125" t="str">
        <f t="array" ref="J213">IFNA(XLOOKUP($H213,'🙎‍♂️ Pasien'!$G$7:$G658,'🙎‍♂️ Pasien'!$L$7:$L658),"")</f>
        <v>PEREMPUAN</v>
      </c>
      <c r="K213" s="125">
        <f t="array" ref="K213">IFNA(XLOOKUP($H213,'🙎‍♂️ Pasien'!$G$7:$G658,'🙎‍♂️ Pasien'!$I$7:$I658),"")</f>
        <v>30</v>
      </c>
      <c r="L213" s="160" t="s">
        <v>101</v>
      </c>
      <c r="M213" s="162" t="str">
        <f t="array" ref="M213">IFNA(XLOOKUP(L213,'⚙️ Pengaturan'!$H$5:$H658,'⚙️ Pengaturan'!$I$5:$I658),"")</f>
        <v>MANAJEMEN</v>
      </c>
      <c r="N213" s="163" t="s">
        <v>1132</v>
      </c>
      <c r="O213" s="160" t="s">
        <v>1133</v>
      </c>
      <c r="P213" s="153">
        <f t="shared" si="13"/>
        <v>5</v>
      </c>
      <c r="Q213" s="164">
        <v>45872.0</v>
      </c>
      <c r="R213" s="164">
        <v>45874.0</v>
      </c>
      <c r="S213" s="164">
        <v>45877.0</v>
      </c>
      <c r="T213" s="164">
        <v>45880.0</v>
      </c>
      <c r="U213" s="164">
        <v>45884.0</v>
      </c>
      <c r="V213" s="164"/>
      <c r="W213" s="164"/>
      <c r="X213" s="164"/>
      <c r="Y213" s="164"/>
      <c r="Z213" s="164"/>
      <c r="AA213" s="165">
        <f t="shared" si="20"/>
        <v>45884</v>
      </c>
      <c r="AB213" s="160" t="s">
        <v>1134</v>
      </c>
      <c r="AC213" s="160" t="s">
        <v>1138</v>
      </c>
      <c r="AD213" s="168" t="s">
        <v>782</v>
      </c>
      <c r="AE213" s="156">
        <f t="shared" si="21"/>
        <v>45884</v>
      </c>
      <c r="AF213" s="107" t="str">
        <f t="shared" si="22"/>
        <v>2025</v>
      </c>
      <c r="AG213" s="107" t="str">
        <f t="shared" si="23"/>
        <v>08 Agu</v>
      </c>
      <c r="AH213" s="107" t="str">
        <f t="shared" si="24"/>
        <v>Jum</v>
      </c>
      <c r="AI213" s="157">
        <f t="shared" si="25"/>
        <v>2</v>
      </c>
      <c r="AJ213" s="96"/>
      <c r="AK213" s="169"/>
      <c r="AL213" s="96"/>
      <c r="AM213" s="158">
        <f t="shared" si="12"/>
        <v>0</v>
      </c>
    </row>
    <row r="214" ht="22.5" customHeight="1">
      <c r="A214" s="188"/>
      <c r="B214" s="160" t="s">
        <v>134</v>
      </c>
      <c r="C214" s="160" t="s">
        <v>1131</v>
      </c>
      <c r="D214" s="161">
        <v>45888.0</v>
      </c>
      <c r="E214" s="124" t="str">
        <f t="shared" si="1"/>
        <v>2025</v>
      </c>
      <c r="F214" s="124" t="str">
        <f t="shared" si="2"/>
        <v>08 Agu</v>
      </c>
      <c r="G214" s="124" t="str">
        <f t="shared" si="3"/>
        <v>Selasa</v>
      </c>
      <c r="H214" s="160" t="s">
        <v>1245</v>
      </c>
      <c r="I214" s="125" t="str">
        <f t="array" ref="I214">IFNA(XLOOKUP($H214,'🙎‍♂️ Pasien'!$G$7:$G658,'🙎‍♂️ Pasien'!$H$7:$H658),"")</f>
        <v>F9623104060</v>
      </c>
      <c r="J214" s="125" t="str">
        <f t="array" ref="J214">IFNA(XLOOKUP($H214,'🙎‍♂️ Pasien'!$G$7:$G658,'🙎‍♂️ Pasien'!$L$7:$L658),"")</f>
        <v>PEREMPUAN</v>
      </c>
      <c r="K214" s="125">
        <f t="array" ref="K214">IFNA(XLOOKUP($H214,'🙎‍♂️ Pasien'!$G$7:$G658,'🙎‍♂️ Pasien'!$I$7:$I658),"")</f>
        <v>30</v>
      </c>
      <c r="L214" s="160" t="s">
        <v>101</v>
      </c>
      <c r="M214" s="162" t="str">
        <f t="array" ref="M214">IFNA(XLOOKUP(L214,'⚙️ Pengaturan'!$H$5:$H658,'⚙️ Pengaturan'!$I$5:$I658),"")</f>
        <v>MANAJEMEN</v>
      </c>
      <c r="N214" s="163" t="s">
        <v>1132</v>
      </c>
      <c r="O214" s="160" t="s">
        <v>1139</v>
      </c>
      <c r="P214" s="153">
        <f t="shared" si="13"/>
        <v>5</v>
      </c>
      <c r="Q214" s="164">
        <v>45888.0</v>
      </c>
      <c r="R214" s="164">
        <v>45893.0</v>
      </c>
      <c r="S214" s="164">
        <v>45900.0</v>
      </c>
      <c r="T214" s="164">
        <v>45903.0</v>
      </c>
      <c r="U214" s="164">
        <v>45907.0</v>
      </c>
      <c r="V214" s="164"/>
      <c r="W214" s="164"/>
      <c r="X214" s="164"/>
      <c r="Y214" s="164"/>
      <c r="Z214" s="164"/>
      <c r="AA214" s="165">
        <f t="shared" si="20"/>
        <v>45907</v>
      </c>
      <c r="AB214" s="160" t="s">
        <v>1144</v>
      </c>
      <c r="AC214" s="172"/>
      <c r="AD214" s="168"/>
      <c r="AE214" s="156">
        <f t="shared" si="21"/>
        <v>45907</v>
      </c>
      <c r="AF214" s="107" t="str">
        <f t="shared" si="22"/>
        <v>2025</v>
      </c>
      <c r="AG214" s="107" t="str">
        <f t="shared" si="23"/>
        <v>09 Sep</v>
      </c>
      <c r="AH214" s="107" t="str">
        <f t="shared" si="24"/>
        <v>Min</v>
      </c>
      <c r="AI214" s="157">
        <f t="shared" si="25"/>
        <v>3</v>
      </c>
      <c r="AJ214" s="96"/>
      <c r="AK214" s="169"/>
      <c r="AL214" s="96"/>
      <c r="AM214" s="158">
        <f t="shared" si="12"/>
        <v>0</v>
      </c>
    </row>
    <row r="215" ht="22.5" customHeight="1">
      <c r="A215" s="188"/>
      <c r="B215" s="160" t="s">
        <v>134</v>
      </c>
      <c r="C215" s="160" t="s">
        <v>1131</v>
      </c>
      <c r="D215" s="161">
        <v>45821.0</v>
      </c>
      <c r="E215" s="124" t="str">
        <f t="shared" si="1"/>
        <v>2025</v>
      </c>
      <c r="F215" s="124" t="str">
        <f t="shared" si="2"/>
        <v>06 Jun</v>
      </c>
      <c r="G215" s="124" t="str">
        <f t="shared" si="3"/>
        <v>Jumat</v>
      </c>
      <c r="H215" s="160" t="s">
        <v>1246</v>
      </c>
      <c r="I215" s="125" t="str">
        <f t="array" ref="I215">IFNA(XLOOKUP($H215,'🙎‍♂️ Pasien'!$G$7:$G658,'🙎‍♂️ Pasien'!$H$7:$H658),"")</f>
        <v>F7825058577</v>
      </c>
      <c r="J215" s="125" t="str">
        <f t="array" ref="J215">IFNA(XLOOKUP($H215,'🙎‍♂️ Pasien'!$G$7:$G658,'🙎‍♂️ Pasien'!$L$7:$L658),"")</f>
        <v>LAKI-LAKI</v>
      </c>
      <c r="K215" s="125">
        <f t="array" ref="K215">IFNA(XLOOKUP($H215,'🙎‍♂️ Pasien'!$G$7:$G658,'🙎‍♂️ Pasien'!$I$7:$I658),"")</f>
        <v>48</v>
      </c>
      <c r="L215" s="160" t="s">
        <v>88</v>
      </c>
      <c r="M215" s="162" t="str">
        <f t="array" ref="M215">IFNA(XLOOKUP(L215,'⚙️ Pengaturan'!$H$5:$H658,'⚙️ Pengaturan'!$I$5:$I658),"")</f>
        <v>TIM Y</v>
      </c>
      <c r="N215" s="163" t="s">
        <v>1132</v>
      </c>
      <c r="O215" s="160" t="s">
        <v>1133</v>
      </c>
      <c r="P215" s="153">
        <f t="shared" si="13"/>
        <v>5</v>
      </c>
      <c r="Q215" s="164">
        <v>45821.0</v>
      </c>
      <c r="R215" s="164">
        <v>45823.0</v>
      </c>
      <c r="S215" s="164">
        <v>45830.0</v>
      </c>
      <c r="T215" s="164">
        <v>45834.0</v>
      </c>
      <c r="U215" s="164">
        <v>45837.0</v>
      </c>
      <c r="V215" s="164"/>
      <c r="W215" s="164"/>
      <c r="X215" s="164"/>
      <c r="Y215" s="164"/>
      <c r="Z215" s="164"/>
      <c r="AA215" s="165">
        <f t="shared" si="20"/>
        <v>45837</v>
      </c>
      <c r="AB215" s="160" t="s">
        <v>1134</v>
      </c>
      <c r="AC215" s="160" t="s">
        <v>1142</v>
      </c>
      <c r="AD215" s="166"/>
      <c r="AE215" s="156">
        <f t="shared" si="21"/>
        <v>45837</v>
      </c>
      <c r="AF215" s="107" t="str">
        <f t="shared" si="22"/>
        <v>2025</v>
      </c>
      <c r="AG215" s="107" t="str">
        <f t="shared" si="23"/>
        <v>06 Jun</v>
      </c>
      <c r="AH215" s="107" t="str">
        <f t="shared" si="24"/>
        <v>Min</v>
      </c>
      <c r="AI215" s="157">
        <f t="shared" si="25"/>
        <v>3</v>
      </c>
      <c r="AJ215" s="96"/>
      <c r="AK215" s="169"/>
      <c r="AL215" s="96"/>
      <c r="AM215" s="158">
        <f t="shared" si="12"/>
        <v>0</v>
      </c>
    </row>
    <row r="216" ht="22.5" customHeight="1">
      <c r="A216" s="167"/>
      <c r="B216" s="160" t="s">
        <v>134</v>
      </c>
      <c r="C216" s="160" t="s">
        <v>1131</v>
      </c>
      <c r="D216" s="161">
        <v>45875.0</v>
      </c>
      <c r="E216" s="124" t="str">
        <f t="shared" si="1"/>
        <v>2025</v>
      </c>
      <c r="F216" s="124" t="str">
        <f t="shared" si="2"/>
        <v>08 Agu</v>
      </c>
      <c r="G216" s="124" t="str">
        <f t="shared" si="3"/>
        <v>Rabu</v>
      </c>
      <c r="H216" s="160" t="s">
        <v>1247</v>
      </c>
      <c r="I216" s="125" t="str">
        <f t="array" ref="I216">IFNA(XLOOKUP($H216,'🙎‍♂️ Pasien'!$G$7:$G658,'🙎‍♂️ Pasien'!$H$7:$H658),"")</f>
        <v>F9125088080</v>
      </c>
      <c r="J216" s="125" t="str">
        <f t="array" ref="J216">IFNA(XLOOKUP($H216,'🙎‍♂️ Pasien'!$G$7:$G658,'🙎‍♂️ Pasien'!$L$7:$L658),"")</f>
        <v>LAKI-LAKI</v>
      </c>
      <c r="K216" s="125">
        <f t="array" ref="K216">IFNA(XLOOKUP($H216,'🙎‍♂️ Pasien'!$G$7:$G658,'🙎‍♂️ Pasien'!$I$7:$I658),"")</f>
        <v>35</v>
      </c>
      <c r="L216" s="160" t="s">
        <v>56</v>
      </c>
      <c r="M216" s="162" t="str">
        <f t="array" ref="M216">IFNA(XLOOKUP(L216,'⚙️ Pengaturan'!$H$5:$H658,'⚙️ Pengaturan'!$I$5:$I658),"")</f>
        <v>TIM Y</v>
      </c>
      <c r="N216" s="163" t="s">
        <v>1132</v>
      </c>
      <c r="O216" s="160" t="s">
        <v>1133</v>
      </c>
      <c r="P216" s="153">
        <f t="shared" si="13"/>
        <v>5</v>
      </c>
      <c r="Q216" s="164">
        <v>45876.0</v>
      </c>
      <c r="R216" s="164">
        <v>45876.0</v>
      </c>
      <c r="S216" s="164">
        <v>45877.0</v>
      </c>
      <c r="T216" s="164">
        <v>45877.0</v>
      </c>
      <c r="U216" s="164">
        <v>45878.0</v>
      </c>
      <c r="V216" s="164"/>
      <c r="W216" s="164"/>
      <c r="X216" s="164"/>
      <c r="Y216" s="164"/>
      <c r="Z216" s="164"/>
      <c r="AA216" s="165">
        <f t="shared" si="20"/>
        <v>45878</v>
      </c>
      <c r="AB216" s="160" t="s">
        <v>1134</v>
      </c>
      <c r="AC216" s="160" t="s">
        <v>1135</v>
      </c>
      <c r="AD216" s="168" t="s">
        <v>1248</v>
      </c>
      <c r="AE216" s="156">
        <f t="shared" si="21"/>
        <v>45878</v>
      </c>
      <c r="AF216" s="107" t="str">
        <f t="shared" si="22"/>
        <v>2025</v>
      </c>
      <c r="AG216" s="107" t="str">
        <f t="shared" si="23"/>
        <v>08 Agu</v>
      </c>
      <c r="AH216" s="107" t="str">
        <f t="shared" si="24"/>
        <v>Sab</v>
      </c>
      <c r="AI216" s="157">
        <f t="shared" si="25"/>
        <v>1</v>
      </c>
      <c r="AJ216" s="96"/>
      <c r="AK216" s="169"/>
      <c r="AL216" s="96"/>
      <c r="AM216" s="158">
        <f t="shared" si="12"/>
        <v>0</v>
      </c>
    </row>
    <row r="217" ht="22.5" customHeight="1">
      <c r="A217" s="167"/>
      <c r="B217" s="16" t="s">
        <v>54</v>
      </c>
      <c r="C217" s="16" t="s">
        <v>1131</v>
      </c>
      <c r="D217" s="123">
        <v>45928.0</v>
      </c>
      <c r="E217" s="124" t="str">
        <f t="shared" si="1"/>
        <v>2025</v>
      </c>
      <c r="F217" s="124" t="str">
        <f t="shared" si="2"/>
        <v>09 Sep</v>
      </c>
      <c r="G217" s="124" t="str">
        <f t="shared" si="3"/>
        <v>Minggu</v>
      </c>
      <c r="H217" s="16" t="s">
        <v>104</v>
      </c>
      <c r="I217" s="125" t="str">
        <f t="array" ref="I217">IFNA(XLOOKUP($H217,'🙎‍♂️ Pasien'!$G$7:$G658,'🙎‍♂️ Pasien'!$H$7:$H658),"")</f>
        <v>F4925091811</v>
      </c>
      <c r="J217" s="125" t="str">
        <f t="array" ref="J217">IFNA(XLOOKUP($H217,'🙎‍♂️ Pasien'!$G$7:$G658,'🙎‍♂️ Pasien'!$L$7:$L658),"")</f>
        <v>LAKI-LAKI</v>
      </c>
      <c r="K217" s="125">
        <f t="array" ref="K217">IFNA(XLOOKUP($H217,'🙎‍♂️ Pasien'!$G$7:$G658,'🙎‍♂️ Pasien'!$I$7:$I658),"")</f>
        <v>76</v>
      </c>
      <c r="L217" s="16" t="s">
        <v>56</v>
      </c>
      <c r="M217" s="125" t="str">
        <f t="array" ref="M217">IFNA(XLOOKUP(L217,'⚙️ Pengaturan'!$H$5:$H658,'⚙️ Pengaturan'!$I$5:$I658),"")</f>
        <v>TIM Y</v>
      </c>
      <c r="N217" s="16" t="s">
        <v>1132</v>
      </c>
      <c r="O217" s="16" t="s">
        <v>1133</v>
      </c>
      <c r="P217" s="153">
        <f t="shared" si="13"/>
        <v>5</v>
      </c>
      <c r="Q217" s="154">
        <v>45931.0</v>
      </c>
      <c r="R217" s="154">
        <v>45932.0</v>
      </c>
      <c r="S217" s="154">
        <v>45935.0</v>
      </c>
      <c r="T217" s="154">
        <v>45937.0</v>
      </c>
      <c r="U217" s="154">
        <v>45939.0</v>
      </c>
      <c r="V217" s="154"/>
      <c r="W217" s="154"/>
      <c r="X217" s="154"/>
      <c r="Y217" s="154"/>
      <c r="Z217" s="154"/>
      <c r="AA217" s="155">
        <f t="shared" si="20"/>
        <v>45939</v>
      </c>
      <c r="AB217" s="16" t="s">
        <v>1134</v>
      </c>
      <c r="AC217" s="16" t="s">
        <v>1138</v>
      </c>
      <c r="AD217" s="170"/>
      <c r="AE217" s="156">
        <f t="shared" si="21"/>
        <v>45939</v>
      </c>
      <c r="AF217" s="107" t="str">
        <f t="shared" si="22"/>
        <v>2025</v>
      </c>
      <c r="AG217" s="107" t="str">
        <f t="shared" si="23"/>
        <v>10 Okt</v>
      </c>
      <c r="AH217" s="107" t="str">
        <f t="shared" si="24"/>
        <v>Kam</v>
      </c>
      <c r="AI217" s="157">
        <f t="shared" si="25"/>
        <v>2</v>
      </c>
      <c r="AJ217" s="96"/>
      <c r="AK217" s="169"/>
      <c r="AL217" s="96"/>
      <c r="AM217" s="158">
        <f t="shared" si="12"/>
        <v>0</v>
      </c>
    </row>
    <row r="218" ht="22.5" customHeight="1">
      <c r="A218" s="167"/>
      <c r="B218" s="16" t="s">
        <v>54</v>
      </c>
      <c r="C218" s="16" t="s">
        <v>1131</v>
      </c>
      <c r="D218" s="123">
        <v>45943.0</v>
      </c>
      <c r="E218" s="124" t="str">
        <f t="shared" si="1"/>
        <v>2025</v>
      </c>
      <c r="F218" s="124" t="str">
        <f t="shared" si="2"/>
        <v>10 Okt</v>
      </c>
      <c r="G218" s="124" t="str">
        <f t="shared" si="3"/>
        <v>Senin</v>
      </c>
      <c r="H218" s="16" t="s">
        <v>104</v>
      </c>
      <c r="I218" s="125" t="str">
        <f t="array" ref="I218">IFNA(XLOOKUP($H218,'🙎‍♂️ Pasien'!$G$7:$G658,'🙎‍♂️ Pasien'!$H$7:$H658),"")</f>
        <v>F4925091811</v>
      </c>
      <c r="J218" s="125" t="str">
        <f t="array" ref="J218">IFNA(XLOOKUP($H218,'🙎‍♂️ Pasien'!$G$7:$G658,'🙎‍♂️ Pasien'!$L$7:$L658),"")</f>
        <v>LAKI-LAKI</v>
      </c>
      <c r="K218" s="125">
        <f t="array" ref="K218">IFNA(XLOOKUP($H218,'🙎‍♂️ Pasien'!$G$7:$G658,'🙎‍♂️ Pasien'!$I$7:$I658),"")</f>
        <v>76</v>
      </c>
      <c r="L218" s="16" t="s">
        <v>88</v>
      </c>
      <c r="M218" s="125" t="str">
        <f t="array" ref="M218">IFNA(XLOOKUP(L218,'⚙️ Pengaturan'!$H$5:$H658,'⚙️ Pengaturan'!$I$5:$I658),"")</f>
        <v>TIM Y</v>
      </c>
      <c r="N218" s="16" t="s">
        <v>1137</v>
      </c>
      <c r="O218" s="16" t="s">
        <v>1139</v>
      </c>
      <c r="P218" s="153">
        <f t="shared" si="13"/>
        <v>7</v>
      </c>
      <c r="Q218" s="154">
        <v>45943.0</v>
      </c>
      <c r="R218" s="154">
        <v>45945.0</v>
      </c>
      <c r="S218" s="154">
        <v>45946.0</v>
      </c>
      <c r="T218" s="154">
        <v>45948.0</v>
      </c>
      <c r="U218" s="154">
        <v>45950.0</v>
      </c>
      <c r="V218" s="154">
        <v>45953.0</v>
      </c>
      <c r="W218" s="154">
        <v>45955.0</v>
      </c>
      <c r="X218" s="154"/>
      <c r="Y218" s="154"/>
      <c r="Z218" s="154"/>
      <c r="AA218" s="155">
        <f t="shared" si="20"/>
        <v>45955</v>
      </c>
      <c r="AB218" s="16" t="s">
        <v>1144</v>
      </c>
      <c r="AC218" s="20"/>
      <c r="AD218" s="170"/>
      <c r="AE218" s="156" t="str">
        <f t="shared" si="21"/>
        <v/>
      </c>
      <c r="AF218" s="107" t="str">
        <f t="shared" si="22"/>
        <v/>
      </c>
      <c r="AG218" s="107" t="str">
        <f t="shared" si="23"/>
        <v/>
      </c>
      <c r="AH218" s="107" t="str">
        <f t="shared" si="24"/>
        <v/>
      </c>
      <c r="AI218" s="157">
        <f t="shared" si="25"/>
        <v>35</v>
      </c>
      <c r="AJ218" s="96"/>
      <c r="AK218" s="169"/>
      <c r="AL218" s="96"/>
      <c r="AM218" s="158">
        <f t="shared" si="12"/>
        <v>0</v>
      </c>
    </row>
    <row r="219" ht="22.5" customHeight="1">
      <c r="A219" s="167"/>
      <c r="B219" s="160" t="s">
        <v>134</v>
      </c>
      <c r="C219" s="160" t="s">
        <v>1131</v>
      </c>
      <c r="D219" s="161">
        <v>45832.0</v>
      </c>
      <c r="E219" s="124" t="str">
        <f t="shared" si="1"/>
        <v>2025</v>
      </c>
      <c r="F219" s="124" t="str">
        <f t="shared" si="2"/>
        <v>06 Jun</v>
      </c>
      <c r="G219" s="124" t="str">
        <f t="shared" si="3"/>
        <v>Selasa</v>
      </c>
      <c r="H219" s="160" t="s">
        <v>1249</v>
      </c>
      <c r="I219" s="125" t="str">
        <f t="array" ref="I219">IFNA(XLOOKUP($H219,'🙎‍♂️ Pasien'!$G$7:$G658,'🙎‍♂️ Pasien'!$H$7:$H658),"")</f>
        <v>F0325067556</v>
      </c>
      <c r="J219" s="125" t="str">
        <f t="array" ref="J219">IFNA(XLOOKUP($H219,'🙎‍♂️ Pasien'!$G$7:$G658,'🙎‍♂️ Pasien'!$L$7:$L658),"")</f>
        <v>LAKI-LAKI</v>
      </c>
      <c r="K219" s="125">
        <f t="array" ref="K219">IFNA(XLOOKUP($H219,'🙎‍♂️ Pasien'!$G$7:$G658,'🙎‍♂️ Pasien'!$I$7:$I658),"")</f>
        <v>22</v>
      </c>
      <c r="L219" s="160" t="s">
        <v>101</v>
      </c>
      <c r="M219" s="162" t="str">
        <f t="array" ref="M219">IFNA(XLOOKUP(L219,'⚙️ Pengaturan'!$H$5:$H658,'⚙️ Pengaturan'!$I$5:$I658),"")</f>
        <v>MANAJEMEN</v>
      </c>
      <c r="N219" s="163" t="s">
        <v>1132</v>
      </c>
      <c r="O219" s="160" t="s">
        <v>1133</v>
      </c>
      <c r="P219" s="153">
        <f t="shared" si="13"/>
        <v>4</v>
      </c>
      <c r="Q219" s="164">
        <v>45833.0</v>
      </c>
      <c r="R219" s="164">
        <v>45834.0</v>
      </c>
      <c r="S219" s="164">
        <v>45845.0</v>
      </c>
      <c r="T219" s="164">
        <v>45848.0</v>
      </c>
      <c r="U219" s="164"/>
      <c r="V219" s="164"/>
      <c r="W219" s="164"/>
      <c r="X219" s="164"/>
      <c r="Y219" s="164"/>
      <c r="Z219" s="164"/>
      <c r="AA219" s="165">
        <f t="shared" si="20"/>
        <v>45848</v>
      </c>
      <c r="AB219" s="160" t="s">
        <v>1144</v>
      </c>
      <c r="AC219" s="174"/>
      <c r="AD219" s="166"/>
      <c r="AE219" s="156" t="str">
        <f t="shared" si="21"/>
        <v/>
      </c>
      <c r="AF219" s="107" t="str">
        <f t="shared" si="22"/>
        <v/>
      </c>
      <c r="AG219" s="107" t="str">
        <f t="shared" si="23"/>
        <v/>
      </c>
      <c r="AH219" s="107" t="str">
        <f t="shared" si="24"/>
        <v/>
      </c>
      <c r="AI219" s="157">
        <f t="shared" si="25"/>
        <v>50</v>
      </c>
      <c r="AJ219" s="96"/>
      <c r="AK219" s="169"/>
      <c r="AL219" s="96"/>
      <c r="AM219" s="158">
        <f t="shared" si="12"/>
        <v>0</v>
      </c>
    </row>
    <row r="220" ht="22.5" customHeight="1">
      <c r="A220" s="167"/>
      <c r="B220" s="160" t="s">
        <v>1156</v>
      </c>
      <c r="C220" s="160" t="s">
        <v>1131</v>
      </c>
      <c r="D220" s="161">
        <v>45882.0</v>
      </c>
      <c r="E220" s="124" t="str">
        <f t="shared" si="1"/>
        <v>2025</v>
      </c>
      <c r="F220" s="124" t="str">
        <f t="shared" si="2"/>
        <v>08 Agu</v>
      </c>
      <c r="G220" s="124" t="str">
        <f t="shared" si="3"/>
        <v>Rabu</v>
      </c>
      <c r="H220" s="160" t="s">
        <v>1250</v>
      </c>
      <c r="I220" s="125" t="str">
        <f t="array" ref="I220">IFNA(XLOOKUP($H220,'🙎‍♂️ Pasien'!$G$7:$G658,'🙎‍♂️ Pasien'!$H$7:$H658),"")</f>
        <v>F0425082598</v>
      </c>
      <c r="J220" s="125" t="str">
        <f t="array" ref="J220">IFNA(XLOOKUP($H220,'🙎‍♂️ Pasien'!$G$7:$G658,'🙎‍♂️ Pasien'!$L$7:$L658),"")</f>
        <v>PEREMPUAN</v>
      </c>
      <c r="K220" s="125">
        <f t="array" ref="K220">IFNA(XLOOKUP($H220,'🙎‍♂️ Pasien'!$G$7:$G658,'🙎‍♂️ Pasien'!$I$7:$I658),"")</f>
        <v>21</v>
      </c>
      <c r="L220" s="160" t="s">
        <v>72</v>
      </c>
      <c r="M220" s="162" t="str">
        <f t="array" ref="M220">IFNA(XLOOKUP(L220,'⚙️ Pengaturan'!$H$5:$H658,'⚙️ Pengaturan'!$I$5:$I658),"")</f>
        <v>TIM A</v>
      </c>
      <c r="N220" s="163" t="s">
        <v>1132</v>
      </c>
      <c r="O220" s="160" t="s">
        <v>1133</v>
      </c>
      <c r="P220" s="153">
        <f t="shared" si="13"/>
        <v>5</v>
      </c>
      <c r="Q220" s="164">
        <v>45882.0</v>
      </c>
      <c r="R220" s="164">
        <v>45885.0</v>
      </c>
      <c r="S220" s="164">
        <v>45890.0</v>
      </c>
      <c r="T220" s="164">
        <v>45894.0</v>
      </c>
      <c r="U220" s="164">
        <v>45897.0</v>
      </c>
      <c r="V220" s="164"/>
      <c r="W220" s="164"/>
      <c r="X220" s="164"/>
      <c r="Y220" s="164"/>
      <c r="Z220" s="164"/>
      <c r="AA220" s="165">
        <f t="shared" si="20"/>
        <v>45897</v>
      </c>
      <c r="AB220" s="160" t="s">
        <v>1134</v>
      </c>
      <c r="AC220" s="160" t="s">
        <v>1135</v>
      </c>
      <c r="AD220" s="168" t="s">
        <v>1251</v>
      </c>
      <c r="AE220" s="156">
        <f t="shared" si="21"/>
        <v>45897</v>
      </c>
      <c r="AF220" s="107" t="str">
        <f t="shared" si="22"/>
        <v>2025</v>
      </c>
      <c r="AG220" s="107" t="str">
        <f t="shared" si="23"/>
        <v>08 Agu</v>
      </c>
      <c r="AH220" s="107" t="str">
        <f t="shared" si="24"/>
        <v>Kam</v>
      </c>
      <c r="AI220" s="157">
        <f t="shared" si="25"/>
        <v>3</v>
      </c>
      <c r="AJ220" s="96"/>
      <c r="AK220" s="169"/>
      <c r="AL220" s="96"/>
      <c r="AM220" s="158">
        <f t="shared" si="12"/>
        <v>0</v>
      </c>
    </row>
    <row r="221" ht="22.5" customHeight="1">
      <c r="A221" s="167"/>
      <c r="B221" s="171"/>
      <c r="C221" s="171"/>
      <c r="D221" s="161">
        <v>45635.0</v>
      </c>
      <c r="E221" s="124" t="str">
        <f t="shared" si="1"/>
        <v>2024</v>
      </c>
      <c r="F221" s="124" t="str">
        <f t="shared" si="2"/>
        <v>12 Des</v>
      </c>
      <c r="G221" s="124" t="str">
        <f t="shared" si="3"/>
        <v>Senin</v>
      </c>
      <c r="H221" s="16" t="s">
        <v>1252</v>
      </c>
      <c r="I221" s="125" t="str">
        <f t="array" ref="I221">IFNA(XLOOKUP($H221,'🙎‍♂️ Pasien'!$G$7:$G658,'🙎‍♂️ Pasien'!$H$7:$H658),"")</f>
        <v>F9624127985</v>
      </c>
      <c r="J221" s="125" t="str">
        <f t="array" ref="J221">IFNA(XLOOKUP($H221,'🙎‍♂️ Pasien'!$G$7:$G658,'🙎‍♂️ Pasien'!$L$7:$L658),"")</f>
        <v>LAKI-LAKI</v>
      </c>
      <c r="K221" s="125">
        <f t="array" ref="K221">IFNA(XLOOKUP($H221,'🙎‍♂️ Pasien'!$G$7:$G658,'🙎‍♂️ Pasien'!$I$7:$I658),"")</f>
        <v>29</v>
      </c>
      <c r="L221" s="16" t="s">
        <v>1149</v>
      </c>
      <c r="M221" s="125" t="str">
        <f t="array" ref="M221">IFNA(XLOOKUP(L221,'⚙️ Pengaturan'!$H$5:$H658,'⚙️ Pengaturan'!$I$5:$I658),"")</f>
        <v/>
      </c>
      <c r="N221" s="16" t="s">
        <v>1132</v>
      </c>
      <c r="O221" s="16" t="s">
        <v>1133</v>
      </c>
      <c r="P221" s="153">
        <f t="shared" si="13"/>
        <v>3</v>
      </c>
      <c r="Q221" s="154">
        <v>45639.0</v>
      </c>
      <c r="R221" s="154">
        <v>45642.0</v>
      </c>
      <c r="S221" s="154">
        <v>45646.0</v>
      </c>
      <c r="T221" s="154"/>
      <c r="U221" s="154"/>
      <c r="V221" s="154"/>
      <c r="W221" s="154"/>
      <c r="X221" s="154"/>
      <c r="Y221" s="154"/>
      <c r="Z221" s="154"/>
      <c r="AA221" s="155">
        <f t="shared" si="20"/>
        <v>45646</v>
      </c>
      <c r="AB221" s="16" t="s">
        <v>1144</v>
      </c>
      <c r="AC221" s="20"/>
      <c r="AD221" s="170"/>
      <c r="AE221" s="156" t="str">
        <f t="shared" si="21"/>
        <v/>
      </c>
      <c r="AF221" s="107" t="str">
        <f t="shared" si="22"/>
        <v/>
      </c>
      <c r="AG221" s="107" t="str">
        <f t="shared" si="23"/>
        <v/>
      </c>
      <c r="AH221" s="107" t="str">
        <f t="shared" si="24"/>
        <v/>
      </c>
      <c r="AI221" s="157">
        <f t="shared" si="25"/>
        <v>78</v>
      </c>
      <c r="AJ221" s="96"/>
      <c r="AK221" s="169"/>
      <c r="AL221" s="96"/>
      <c r="AM221" s="158">
        <f t="shared" si="12"/>
        <v>0</v>
      </c>
    </row>
    <row r="222" ht="22.5" customHeight="1">
      <c r="A222" s="167"/>
      <c r="B222" s="16" t="s">
        <v>86</v>
      </c>
      <c r="C222" s="16" t="s">
        <v>1131</v>
      </c>
      <c r="D222" s="123">
        <v>45896.0</v>
      </c>
      <c r="E222" s="124" t="str">
        <f t="shared" si="1"/>
        <v>2025</v>
      </c>
      <c r="F222" s="124" t="str">
        <f t="shared" si="2"/>
        <v>08 Agu</v>
      </c>
      <c r="G222" s="124" t="str">
        <f t="shared" si="3"/>
        <v>Rabu</v>
      </c>
      <c r="H222" s="16" t="s">
        <v>345</v>
      </c>
      <c r="I222" s="125" t="str">
        <f t="array" ref="I222">IFNA(XLOOKUP($H222,'🙎‍♂️ Pasien'!$G$7:$G658,'🙎‍♂️ Pasien'!$H$7:$H658),"")</f>
        <v>F9225081879</v>
      </c>
      <c r="J222" s="125" t="str">
        <f t="array" ref="J222">IFNA(XLOOKUP($H222,'🙎‍♂️ Pasien'!$G$7:$G658,'🙎‍♂️ Pasien'!$L$7:$L658),"")</f>
        <v>PEREMPUAN</v>
      </c>
      <c r="K222" s="125">
        <f t="array" ref="K222">IFNA(XLOOKUP($H222,'🙎‍♂️ Pasien'!$G$7:$G658,'🙎‍♂️ Pasien'!$I$7:$I658),"")</f>
        <v>33</v>
      </c>
      <c r="L222" s="16" t="s">
        <v>79</v>
      </c>
      <c r="M222" s="125" t="str">
        <f t="array" ref="M222">IFNA(XLOOKUP(L222,'⚙️ Pengaturan'!$H$5:$H658,'⚙️ Pengaturan'!$I$5:$I658),"")</f>
        <v>TIM A</v>
      </c>
      <c r="N222" s="16" t="s">
        <v>1132</v>
      </c>
      <c r="O222" s="16" t="s">
        <v>1133</v>
      </c>
      <c r="P222" s="153">
        <f t="shared" si="13"/>
        <v>5</v>
      </c>
      <c r="Q222" s="154">
        <v>45896.0</v>
      </c>
      <c r="R222" s="154">
        <v>45897.0</v>
      </c>
      <c r="S222" s="154">
        <v>45899.0</v>
      </c>
      <c r="T222" s="154">
        <v>45901.0</v>
      </c>
      <c r="U222" s="154">
        <v>45911.0</v>
      </c>
      <c r="V222" s="154"/>
      <c r="W222" s="154"/>
      <c r="X222" s="154"/>
      <c r="Y222" s="154"/>
      <c r="Z222" s="154"/>
      <c r="AA222" s="155">
        <f t="shared" si="20"/>
        <v>45911</v>
      </c>
      <c r="AB222" s="16" t="s">
        <v>1134</v>
      </c>
      <c r="AC222" s="16" t="s">
        <v>1138</v>
      </c>
      <c r="AD222" s="170"/>
      <c r="AE222" s="156">
        <f t="shared" si="21"/>
        <v>45911</v>
      </c>
      <c r="AF222" s="107" t="str">
        <f t="shared" si="22"/>
        <v>2025</v>
      </c>
      <c r="AG222" s="107" t="str">
        <f t="shared" si="23"/>
        <v>09 Sep</v>
      </c>
      <c r="AH222" s="107" t="str">
        <f t="shared" si="24"/>
        <v>Kam</v>
      </c>
      <c r="AI222" s="157">
        <f t="shared" si="25"/>
        <v>3</v>
      </c>
      <c r="AJ222" s="96"/>
      <c r="AK222" s="169"/>
      <c r="AL222" s="96"/>
      <c r="AM222" s="158">
        <f t="shared" si="12"/>
        <v>0</v>
      </c>
    </row>
    <row r="223" ht="22.5" customHeight="1">
      <c r="A223" s="167"/>
      <c r="B223" s="16" t="s">
        <v>54</v>
      </c>
      <c r="C223" s="16" t="s">
        <v>1131</v>
      </c>
      <c r="D223" s="123">
        <v>45911.0</v>
      </c>
      <c r="E223" s="124" t="str">
        <f t="shared" si="1"/>
        <v>2025</v>
      </c>
      <c r="F223" s="124" t="str">
        <f t="shared" si="2"/>
        <v>09 Sep</v>
      </c>
      <c r="G223" s="124" t="str">
        <f t="shared" si="3"/>
        <v>Kamis</v>
      </c>
      <c r="H223" s="16" t="s">
        <v>345</v>
      </c>
      <c r="I223" s="125" t="str">
        <f t="array" ref="I223">IFNA(XLOOKUP($H223,'🙎‍♂️ Pasien'!$G$7:$G658,'🙎‍♂️ Pasien'!$H$7:$H658),"")</f>
        <v>F9225081879</v>
      </c>
      <c r="J223" s="125" t="str">
        <f t="array" ref="J223">IFNA(XLOOKUP($H223,'🙎‍♂️ Pasien'!$G$7:$G658,'🙎‍♂️ Pasien'!$L$7:$L658),"")</f>
        <v>PEREMPUAN</v>
      </c>
      <c r="K223" s="125">
        <f t="array" ref="K223">IFNA(XLOOKUP($H223,'🙎‍♂️ Pasien'!$G$7:$G658,'🙎‍♂️ Pasien'!$I$7:$I658),"")</f>
        <v>33</v>
      </c>
      <c r="L223" s="16" t="s">
        <v>79</v>
      </c>
      <c r="M223" s="125" t="str">
        <f t="array" ref="M223">IFNA(XLOOKUP(L223,'⚙️ Pengaturan'!$H$5:$H658,'⚙️ Pengaturan'!$I$5:$I658),"")</f>
        <v>TIM A</v>
      </c>
      <c r="N223" s="16" t="s">
        <v>1132</v>
      </c>
      <c r="O223" s="16" t="s">
        <v>1139</v>
      </c>
      <c r="P223" s="153">
        <f t="shared" si="13"/>
        <v>5</v>
      </c>
      <c r="Q223" s="154">
        <v>45913.0</v>
      </c>
      <c r="R223" s="154">
        <v>45915.0</v>
      </c>
      <c r="S223" s="154">
        <v>45918.0</v>
      </c>
      <c r="T223" s="154">
        <v>45920.0</v>
      </c>
      <c r="U223" s="154">
        <v>45920.0</v>
      </c>
      <c r="V223" s="154"/>
      <c r="W223" s="154"/>
      <c r="X223" s="154"/>
      <c r="Y223" s="154"/>
      <c r="Z223" s="154"/>
      <c r="AA223" s="155">
        <f t="shared" si="20"/>
        <v>45920</v>
      </c>
      <c r="AB223" s="16" t="s">
        <v>1134</v>
      </c>
      <c r="AC223" s="16" t="s">
        <v>1138</v>
      </c>
      <c r="AD223" s="109" t="s">
        <v>1253</v>
      </c>
      <c r="AE223" s="156">
        <f t="shared" si="21"/>
        <v>45920</v>
      </c>
      <c r="AF223" s="107" t="str">
        <f t="shared" si="22"/>
        <v>2025</v>
      </c>
      <c r="AG223" s="107" t="str">
        <f t="shared" si="23"/>
        <v>09 Sep</v>
      </c>
      <c r="AH223" s="107" t="str">
        <f t="shared" si="24"/>
        <v>Sab</v>
      </c>
      <c r="AI223" s="157">
        <f t="shared" si="25"/>
        <v>1</v>
      </c>
      <c r="AJ223" s="96"/>
      <c r="AK223" s="169"/>
      <c r="AL223" s="96"/>
      <c r="AM223" s="158">
        <f t="shared" si="12"/>
        <v>0</v>
      </c>
    </row>
    <row r="224" ht="22.5" customHeight="1">
      <c r="A224" s="167"/>
      <c r="B224" s="16" t="s">
        <v>86</v>
      </c>
      <c r="C224" s="16" t="s">
        <v>1131</v>
      </c>
      <c r="D224" s="123">
        <v>45955.0</v>
      </c>
      <c r="E224" s="124" t="str">
        <f t="shared" si="1"/>
        <v>2025</v>
      </c>
      <c r="F224" s="124" t="str">
        <f t="shared" si="2"/>
        <v>10 Okt</v>
      </c>
      <c r="G224" s="124" t="str">
        <f t="shared" si="3"/>
        <v>Sabtu</v>
      </c>
      <c r="H224" s="16" t="s">
        <v>345</v>
      </c>
      <c r="I224" s="125" t="str">
        <f t="array" ref="I224">IFNA(XLOOKUP($H224,'🙎‍♂️ Pasien'!$G$7:$G658,'🙎‍♂️ Pasien'!$H$7:$H658),"")</f>
        <v>F9225081879</v>
      </c>
      <c r="J224" s="125" t="str">
        <f t="array" ref="J224">IFNA(XLOOKUP($H224,'🙎‍♂️ Pasien'!$G$7:$G658,'🙎‍♂️ Pasien'!$L$7:$L658),"")</f>
        <v>PEREMPUAN</v>
      </c>
      <c r="K224" s="125">
        <f t="array" ref="K224">IFNA(XLOOKUP($H224,'🙎‍♂️ Pasien'!$G$7:$G658,'🙎‍♂️ Pasien'!$I$7:$I658),"")</f>
        <v>33</v>
      </c>
      <c r="L224" s="16" t="s">
        <v>79</v>
      </c>
      <c r="M224" s="125" t="str">
        <f t="array" ref="M224">IFNA(XLOOKUP(L224,'⚙️ Pengaturan'!$H$5:$H658,'⚙️ Pengaturan'!$I$5:$I658),"")</f>
        <v>TIM A</v>
      </c>
      <c r="N224" s="16" t="s">
        <v>1132</v>
      </c>
      <c r="O224" s="16" t="s">
        <v>1139</v>
      </c>
      <c r="P224" s="153">
        <f t="shared" si="13"/>
        <v>5</v>
      </c>
      <c r="Q224" s="154">
        <v>45955.0</v>
      </c>
      <c r="R224" s="154">
        <v>45955.0</v>
      </c>
      <c r="S224" s="154">
        <v>45957.0</v>
      </c>
      <c r="T224" s="154">
        <v>45957.0</v>
      </c>
      <c r="U224" s="154">
        <v>45958.0</v>
      </c>
      <c r="V224" s="154"/>
      <c r="W224" s="154"/>
      <c r="X224" s="154"/>
      <c r="Y224" s="154"/>
      <c r="Z224" s="154"/>
      <c r="AA224" s="155">
        <f t="shared" si="20"/>
        <v>45958</v>
      </c>
      <c r="AB224" s="16" t="s">
        <v>1134</v>
      </c>
      <c r="AC224" s="16" t="s">
        <v>1135</v>
      </c>
      <c r="AD224" s="109" t="s">
        <v>1254</v>
      </c>
      <c r="AE224" s="156">
        <f t="shared" si="21"/>
        <v>45958</v>
      </c>
      <c r="AF224" s="107" t="str">
        <f t="shared" si="22"/>
        <v>2025</v>
      </c>
      <c r="AG224" s="107" t="str">
        <f t="shared" si="23"/>
        <v>10 Okt</v>
      </c>
      <c r="AH224" s="107" t="str">
        <f t="shared" si="24"/>
        <v>Sel</v>
      </c>
      <c r="AI224" s="157">
        <f t="shared" si="25"/>
        <v>1</v>
      </c>
      <c r="AJ224" s="96"/>
      <c r="AK224" s="169"/>
      <c r="AL224" s="96"/>
      <c r="AM224" s="158">
        <f t="shared" si="12"/>
        <v>0</v>
      </c>
    </row>
    <row r="225" ht="22.5" customHeight="1">
      <c r="A225" s="167"/>
      <c r="B225" s="20"/>
      <c r="C225" s="20"/>
      <c r="D225" s="123">
        <v>45612.0</v>
      </c>
      <c r="E225" s="124" t="str">
        <f t="shared" si="1"/>
        <v>2024</v>
      </c>
      <c r="F225" s="124" t="str">
        <f t="shared" si="2"/>
        <v>11 Nov</v>
      </c>
      <c r="G225" s="124" t="str">
        <f t="shared" si="3"/>
        <v>Sabtu</v>
      </c>
      <c r="H225" s="16" t="s">
        <v>1255</v>
      </c>
      <c r="I225" s="125" t="str">
        <f t="array" ref="I225">IFNA(XLOOKUP($H225,'🙎‍♂️ Pasien'!$G$7:$G658,'🙎‍♂️ Pasien'!$H$7:$H658),"")</f>
        <v>F0824116507</v>
      </c>
      <c r="J225" s="125" t="str">
        <f t="array" ref="J225">IFNA(XLOOKUP($H225,'🙎‍♂️ Pasien'!$G$7:$G658,'🙎‍♂️ Pasien'!$L$7:$L658),"")</f>
        <v>LAKI-LAKI</v>
      </c>
      <c r="K225" s="125">
        <f t="array" ref="K225">IFNA(XLOOKUP($H225,'🙎‍♂️ Pasien'!$G$7:$G658,'🙎‍♂️ Pasien'!$I$7:$I658),"")</f>
        <v>18</v>
      </c>
      <c r="L225" s="16" t="s">
        <v>72</v>
      </c>
      <c r="M225" s="125" t="str">
        <f t="array" ref="M225">IFNA(XLOOKUP(L225,'⚙️ Pengaturan'!$H$5:$H658,'⚙️ Pengaturan'!$I$5:$I658),"")</f>
        <v>TIM A</v>
      </c>
      <c r="N225" s="16" t="s">
        <v>1132</v>
      </c>
      <c r="O225" s="16" t="s">
        <v>1133</v>
      </c>
      <c r="P225" s="153">
        <f t="shared" si="13"/>
        <v>4</v>
      </c>
      <c r="Q225" s="154">
        <v>45615.0</v>
      </c>
      <c r="R225" s="154">
        <v>45619.0</v>
      </c>
      <c r="S225" s="154">
        <v>45626.0</v>
      </c>
      <c r="T225" s="154">
        <v>45641.0</v>
      </c>
      <c r="U225" s="154"/>
      <c r="V225" s="154"/>
      <c r="W225" s="154"/>
      <c r="X225" s="154"/>
      <c r="Y225" s="154"/>
      <c r="Z225" s="154"/>
      <c r="AA225" s="155">
        <f t="shared" si="20"/>
        <v>45641</v>
      </c>
      <c r="AB225" s="16" t="s">
        <v>1144</v>
      </c>
      <c r="AC225" s="20"/>
      <c r="AD225" s="170"/>
      <c r="AE225" s="156" t="str">
        <f t="shared" si="21"/>
        <v/>
      </c>
      <c r="AF225" s="107" t="str">
        <f t="shared" si="22"/>
        <v/>
      </c>
      <c r="AG225" s="107" t="str">
        <f t="shared" si="23"/>
        <v/>
      </c>
      <c r="AH225" s="107" t="str">
        <f t="shared" si="24"/>
        <v/>
      </c>
      <c r="AI225" s="157">
        <f t="shared" si="25"/>
        <v>81</v>
      </c>
      <c r="AJ225" s="96"/>
      <c r="AK225" s="169"/>
      <c r="AL225" s="96"/>
      <c r="AM225" s="158">
        <f t="shared" si="12"/>
        <v>0</v>
      </c>
    </row>
    <row r="226" ht="22.5" customHeight="1">
      <c r="A226" s="167"/>
      <c r="B226" s="160" t="s">
        <v>54</v>
      </c>
      <c r="C226" s="160" t="s">
        <v>1131</v>
      </c>
      <c r="D226" s="161">
        <v>45827.0</v>
      </c>
      <c r="E226" s="124" t="str">
        <f t="shared" si="1"/>
        <v>2025</v>
      </c>
      <c r="F226" s="124" t="str">
        <f t="shared" si="2"/>
        <v>06 Jun</v>
      </c>
      <c r="G226" s="124" t="str">
        <f t="shared" si="3"/>
        <v>Kamis</v>
      </c>
      <c r="H226" s="160" t="s">
        <v>1256</v>
      </c>
      <c r="I226" s="125" t="str">
        <f t="array" ref="I226">IFNA(XLOOKUP($H226,'🙎‍♂️ Pasien'!$G$7:$G658,'🙎‍♂️ Pasien'!$H$7:$H658),"")</f>
        <v>G1125064924</v>
      </c>
      <c r="J226" s="125" t="str">
        <f t="array" ref="J226">IFNA(XLOOKUP($H226,'🙎‍♂️ Pasien'!$G$7:$G658,'🙎‍♂️ Pasien'!$L$7:$L658),"")</f>
        <v>LAKI-LAKI</v>
      </c>
      <c r="K226" s="125">
        <f t="array" ref="K226">IFNA(XLOOKUP($H226,'🙎‍♂️ Pasien'!$G$7:$G658,'🙎‍♂️ Pasien'!$I$7:$I658),"")</f>
        <v>15</v>
      </c>
      <c r="L226" s="160" t="s">
        <v>88</v>
      </c>
      <c r="M226" s="162" t="str">
        <f t="array" ref="M226">IFNA(XLOOKUP(L226,'⚙️ Pengaturan'!$H$5:$H658,'⚙️ Pengaturan'!$I$5:$I658),"")</f>
        <v>TIM Y</v>
      </c>
      <c r="N226" s="163" t="s">
        <v>1137</v>
      </c>
      <c r="O226" s="160" t="s">
        <v>1133</v>
      </c>
      <c r="P226" s="153">
        <f t="shared" si="13"/>
        <v>4</v>
      </c>
      <c r="Q226" s="164">
        <v>45827.0</v>
      </c>
      <c r="R226" s="164">
        <v>45838.0</v>
      </c>
      <c r="S226" s="164">
        <v>45841.0</v>
      </c>
      <c r="T226" s="164">
        <v>45859.0</v>
      </c>
      <c r="U226" s="164"/>
      <c r="V226" s="164"/>
      <c r="W226" s="164"/>
      <c r="X226" s="164"/>
      <c r="Y226" s="164"/>
      <c r="Z226" s="164"/>
      <c r="AA226" s="165">
        <f t="shared" si="20"/>
        <v>45859</v>
      </c>
      <c r="AB226" s="160" t="s">
        <v>1144</v>
      </c>
      <c r="AC226" s="174"/>
      <c r="AD226" s="166"/>
      <c r="AE226" s="156" t="str">
        <f t="shared" si="21"/>
        <v/>
      </c>
      <c r="AF226" s="107" t="str">
        <f t="shared" si="22"/>
        <v/>
      </c>
      <c r="AG226" s="107" t="str">
        <f t="shared" si="23"/>
        <v/>
      </c>
      <c r="AH226" s="107" t="str">
        <f t="shared" si="24"/>
        <v/>
      </c>
      <c r="AI226" s="157">
        <f t="shared" si="25"/>
        <v>51</v>
      </c>
      <c r="AJ226" s="96"/>
      <c r="AK226" s="169"/>
      <c r="AL226" s="96"/>
      <c r="AM226" s="158">
        <f t="shared" si="12"/>
        <v>0</v>
      </c>
    </row>
    <row r="227" ht="22.5" customHeight="1">
      <c r="A227" s="167"/>
      <c r="B227" s="16" t="s">
        <v>54</v>
      </c>
      <c r="C227" s="16" t="s">
        <v>1131</v>
      </c>
      <c r="D227" s="123">
        <v>46006.0</v>
      </c>
      <c r="E227" s="124" t="str">
        <f t="shared" si="1"/>
        <v>2025</v>
      </c>
      <c r="F227" s="124" t="str">
        <f t="shared" si="2"/>
        <v>12 Des</v>
      </c>
      <c r="G227" s="124" t="str">
        <f t="shared" si="3"/>
        <v>Senin</v>
      </c>
      <c r="H227" s="16" t="s">
        <v>720</v>
      </c>
      <c r="I227" s="125" t="str">
        <f t="array" ref="I227">IFNA(XLOOKUP($H227,'🙎‍♂️ Pasien'!$G$7:$G658,'🙎‍♂️ Pasien'!$H$7:$H658),"")</f>
        <v>G8425125725</v>
      </c>
      <c r="J227" s="125" t="str">
        <f t="array" ref="J227">IFNA(XLOOKUP($H227,'🙎‍♂️ Pasien'!$G$7:$G658,'🙎‍♂️ Pasien'!$L$7:$L658),"")</f>
        <v>PEREMPUAN</v>
      </c>
      <c r="K227" s="125">
        <f t="array" ref="K227">IFNA(XLOOKUP($H227,'🙎‍♂️ Pasien'!$G$7:$G658,'🙎‍♂️ Pasien'!$I$7:$I658),"")</f>
        <v>41</v>
      </c>
      <c r="L227" s="16" t="s">
        <v>107</v>
      </c>
      <c r="M227" s="125" t="str">
        <f t="array" ref="M227">IFNA(XLOOKUP(L227,'⚙️ Pengaturan'!$H$5:$H658,'⚙️ Pengaturan'!$I$5:$I658),"")</f>
        <v>TIM Y</v>
      </c>
      <c r="N227" s="16" t="s">
        <v>1132</v>
      </c>
      <c r="O227" s="16" t="s">
        <v>1133</v>
      </c>
      <c r="P227" s="153">
        <f t="shared" si="13"/>
        <v>4</v>
      </c>
      <c r="Q227" s="154">
        <v>46008.0</v>
      </c>
      <c r="R227" s="154">
        <v>46010.0</v>
      </c>
      <c r="S227" s="154">
        <v>46013.0</v>
      </c>
      <c r="T227" s="154">
        <v>46020.0</v>
      </c>
      <c r="U227" s="154"/>
      <c r="V227" s="154"/>
      <c r="W227" s="154"/>
      <c r="X227" s="154"/>
      <c r="Y227" s="154"/>
      <c r="Z227" s="154"/>
      <c r="AA227" s="155">
        <f t="shared" si="20"/>
        <v>46020</v>
      </c>
      <c r="AB227" s="16" t="s">
        <v>1144</v>
      </c>
      <c r="AC227" s="20"/>
      <c r="AD227" s="170"/>
      <c r="AE227" s="156" t="str">
        <f t="shared" si="21"/>
        <v/>
      </c>
      <c r="AF227" s="107" t="str">
        <f t="shared" si="22"/>
        <v/>
      </c>
      <c r="AG227" s="107" t="str">
        <f t="shared" si="23"/>
        <v/>
      </c>
      <c r="AH227" s="107" t="str">
        <f t="shared" si="24"/>
        <v/>
      </c>
      <c r="AI227" s="157">
        <f t="shared" si="25"/>
        <v>25</v>
      </c>
      <c r="AJ227" s="96"/>
      <c r="AK227" s="169"/>
      <c r="AL227" s="96"/>
      <c r="AM227" s="158">
        <f t="shared" si="12"/>
        <v>0</v>
      </c>
    </row>
    <row r="228" ht="22.5" customHeight="1">
      <c r="A228" s="167"/>
      <c r="B228" s="160" t="s">
        <v>134</v>
      </c>
      <c r="C228" s="160" t="s">
        <v>1131</v>
      </c>
      <c r="D228" s="161">
        <v>45872.0</v>
      </c>
      <c r="E228" s="124" t="str">
        <f t="shared" si="1"/>
        <v>2025</v>
      </c>
      <c r="F228" s="124" t="str">
        <f t="shared" si="2"/>
        <v>08 Agu</v>
      </c>
      <c r="G228" s="124" t="str">
        <f t="shared" si="3"/>
        <v>Minggu</v>
      </c>
      <c r="H228" s="160" t="s">
        <v>1257</v>
      </c>
      <c r="I228" s="125" t="str">
        <f t="array" ref="I228">IFNA(XLOOKUP($H228,'🙎‍♂️ Pasien'!$G$7:$G658,'🙎‍♂️ Pasien'!$H$7:$H658),"")</f>
        <v>G0025085646</v>
      </c>
      <c r="J228" s="125" t="str">
        <f t="array" ref="J228">IFNA(XLOOKUP($H228,'🙎‍♂️ Pasien'!$G$7:$G658,'🙎‍♂️ Pasien'!$L$7:$L658),"")</f>
        <v>LAKI-LAKI</v>
      </c>
      <c r="K228" s="125">
        <f t="array" ref="K228">IFNA(XLOOKUP($H228,'🙎‍♂️ Pasien'!$G$7:$G658,'🙎‍♂️ Pasien'!$I$7:$I658),"")</f>
        <v>26</v>
      </c>
      <c r="L228" s="160" t="s">
        <v>56</v>
      </c>
      <c r="M228" s="162" t="str">
        <f t="array" ref="M228">IFNA(XLOOKUP(L228,'⚙️ Pengaturan'!$H$5:$H658,'⚙️ Pengaturan'!$I$5:$I658),"")</f>
        <v>TIM Y</v>
      </c>
      <c r="N228" s="163" t="s">
        <v>1132</v>
      </c>
      <c r="O228" s="160" t="s">
        <v>1133</v>
      </c>
      <c r="P228" s="153">
        <f t="shared" si="13"/>
        <v>5</v>
      </c>
      <c r="Q228" s="164">
        <v>45873.0</v>
      </c>
      <c r="R228" s="164">
        <v>45876.0</v>
      </c>
      <c r="S228" s="164">
        <v>45878.0</v>
      </c>
      <c r="T228" s="164">
        <v>45880.0</v>
      </c>
      <c r="U228" s="164">
        <v>45881.0</v>
      </c>
      <c r="V228" s="164"/>
      <c r="W228" s="164"/>
      <c r="X228" s="164"/>
      <c r="Y228" s="164"/>
      <c r="Z228" s="164"/>
      <c r="AA228" s="165">
        <f t="shared" si="20"/>
        <v>45881</v>
      </c>
      <c r="AB228" s="160" t="s">
        <v>1144</v>
      </c>
      <c r="AC228" s="174"/>
      <c r="AD228" s="166"/>
      <c r="AE228" s="156">
        <f t="shared" si="21"/>
        <v>45881</v>
      </c>
      <c r="AF228" s="107" t="str">
        <f t="shared" si="22"/>
        <v>2025</v>
      </c>
      <c r="AG228" s="107" t="str">
        <f t="shared" si="23"/>
        <v>08 Agu</v>
      </c>
      <c r="AH228" s="107" t="str">
        <f t="shared" si="24"/>
        <v>Sel</v>
      </c>
      <c r="AI228" s="157">
        <f t="shared" si="25"/>
        <v>2</v>
      </c>
      <c r="AJ228" s="96"/>
      <c r="AK228" s="169"/>
      <c r="AL228" s="96"/>
      <c r="AM228" s="158">
        <f t="shared" si="12"/>
        <v>0</v>
      </c>
    </row>
    <row r="229" ht="22.5" customHeight="1">
      <c r="A229" s="167"/>
      <c r="B229" s="160" t="s">
        <v>86</v>
      </c>
      <c r="C229" s="160" t="s">
        <v>1131</v>
      </c>
      <c r="D229" s="161">
        <v>45908.0</v>
      </c>
      <c r="E229" s="124" t="str">
        <f t="shared" si="1"/>
        <v>2025</v>
      </c>
      <c r="F229" s="124" t="str">
        <f t="shared" si="2"/>
        <v>09 Sep</v>
      </c>
      <c r="G229" s="124" t="str">
        <f t="shared" si="3"/>
        <v>Senin</v>
      </c>
      <c r="H229" s="160" t="s">
        <v>1258</v>
      </c>
      <c r="I229" s="125" t="str">
        <f t="array" ref="I229">IFNA(XLOOKUP($H229,'🙎‍♂️ Pasien'!$G$7:$G658,'🙎‍♂️ Pasien'!$H$7:$H658),"")</f>
        <v>G8325090525</v>
      </c>
      <c r="J229" s="125" t="str">
        <f t="array" ref="J229">IFNA(XLOOKUP($H229,'🙎‍♂️ Pasien'!$G$7:$G658,'🙎‍♂️ Pasien'!$L$7:$L658),"")</f>
        <v>PEREMPUAN</v>
      </c>
      <c r="K229" s="125">
        <f t="array" ref="K229">IFNA(XLOOKUP($H229,'🙎‍♂️ Pasien'!$G$7:$G658,'🙎‍♂️ Pasien'!$I$7:$I658),"")</f>
        <v>42</v>
      </c>
      <c r="L229" s="160" t="s">
        <v>79</v>
      </c>
      <c r="M229" s="162" t="str">
        <f t="array" ref="M229">IFNA(XLOOKUP(L229,'⚙️ Pengaturan'!$H$5:$H658,'⚙️ Pengaturan'!$I$5:$I658),"")</f>
        <v>TIM A</v>
      </c>
      <c r="N229" s="163" t="s">
        <v>1132</v>
      </c>
      <c r="O229" s="160" t="s">
        <v>1133</v>
      </c>
      <c r="P229" s="153">
        <f t="shared" si="13"/>
        <v>2</v>
      </c>
      <c r="Q229" s="164">
        <v>45908.0</v>
      </c>
      <c r="R229" s="164">
        <v>45914.0</v>
      </c>
      <c r="S229" s="164"/>
      <c r="T229" s="164"/>
      <c r="U229" s="164"/>
      <c r="V229" s="164"/>
      <c r="W229" s="164"/>
      <c r="X229" s="164"/>
      <c r="Y229" s="164"/>
      <c r="Z229" s="164"/>
      <c r="AA229" s="165">
        <f t="shared" si="20"/>
        <v>45914</v>
      </c>
      <c r="AB229" s="160" t="s">
        <v>1144</v>
      </c>
      <c r="AC229" s="172"/>
      <c r="AD229" s="168"/>
      <c r="AE229" s="156" t="str">
        <f t="shared" si="21"/>
        <v/>
      </c>
      <c r="AF229" s="107" t="str">
        <f t="shared" si="22"/>
        <v/>
      </c>
      <c r="AG229" s="107" t="str">
        <f t="shared" si="23"/>
        <v/>
      </c>
      <c r="AH229" s="107" t="str">
        <f t="shared" si="24"/>
        <v/>
      </c>
      <c r="AI229" s="157">
        <f t="shared" si="25"/>
        <v>40</v>
      </c>
      <c r="AJ229" s="96"/>
      <c r="AK229" s="169"/>
      <c r="AL229" s="96"/>
      <c r="AM229" s="158">
        <f t="shared" si="12"/>
        <v>0</v>
      </c>
    </row>
    <row r="230" ht="22.5" customHeight="1">
      <c r="A230" s="167"/>
      <c r="B230" s="160" t="s">
        <v>86</v>
      </c>
      <c r="C230" s="160" t="s">
        <v>1131</v>
      </c>
      <c r="D230" s="161">
        <v>45967.0</v>
      </c>
      <c r="E230" s="124" t="str">
        <f t="shared" si="1"/>
        <v>2025</v>
      </c>
      <c r="F230" s="124" t="str">
        <f t="shared" si="2"/>
        <v>11 Nov</v>
      </c>
      <c r="G230" s="124" t="str">
        <f t="shared" si="3"/>
        <v>Kamis</v>
      </c>
      <c r="H230" s="158" t="s">
        <v>449</v>
      </c>
      <c r="I230" s="125" t="str">
        <f t="array" ref="I230">IFNA(XLOOKUP($H230,'🙎‍♂️ Pasien'!$G$7:$G658,'🙎‍♂️ Pasien'!$H$7:$H658),"")</f>
        <v>G9924046563</v>
      </c>
      <c r="J230" s="125" t="str">
        <f t="array" ref="J230">IFNA(XLOOKUP($H230,'🙎‍♂️ Pasien'!$G$7:$G658,'🙎‍♂️ Pasien'!$L$7:$L658),"")</f>
        <v>PEREMPUAN</v>
      </c>
      <c r="K230" s="125">
        <f t="array" ref="K230">IFNA(XLOOKUP($H230,'🙎‍♂️ Pasien'!$G$7:$G658,'🙎‍♂️ Pasien'!$I$7:$I658),"")</f>
        <v>27</v>
      </c>
      <c r="L230" s="160" t="s">
        <v>62</v>
      </c>
      <c r="M230" s="162" t="str">
        <f t="array" ref="M230">IFNA(XLOOKUP(L230,'⚙️ Pengaturan'!$H$5:$H658,'⚙️ Pengaturan'!$I$5:$I658),"")</f>
        <v>TIM A</v>
      </c>
      <c r="N230" s="163" t="s">
        <v>1132</v>
      </c>
      <c r="O230" s="160" t="s">
        <v>1133</v>
      </c>
      <c r="P230" s="153">
        <f t="shared" si="13"/>
        <v>5</v>
      </c>
      <c r="Q230" s="164">
        <v>45967.0</v>
      </c>
      <c r="R230" s="164">
        <v>45968.0</v>
      </c>
      <c r="S230" s="164">
        <v>45969.0</v>
      </c>
      <c r="T230" s="164">
        <v>45969.0</v>
      </c>
      <c r="U230" s="164">
        <v>45969.0</v>
      </c>
      <c r="V230" s="164"/>
      <c r="W230" s="164"/>
      <c r="X230" s="164"/>
      <c r="Y230" s="164"/>
      <c r="Z230" s="164"/>
      <c r="AA230" s="165">
        <f t="shared" si="20"/>
        <v>45969</v>
      </c>
      <c r="AB230" s="160" t="s">
        <v>1134</v>
      </c>
      <c r="AC230" s="160" t="s">
        <v>1135</v>
      </c>
      <c r="AD230" s="168" t="s">
        <v>1259</v>
      </c>
      <c r="AE230" s="156">
        <f t="shared" si="21"/>
        <v>45969</v>
      </c>
      <c r="AF230" s="107" t="str">
        <f t="shared" si="22"/>
        <v>2025</v>
      </c>
      <c r="AG230" s="107" t="str">
        <f t="shared" si="23"/>
        <v>11 Nov</v>
      </c>
      <c r="AH230" s="107" t="str">
        <f t="shared" si="24"/>
        <v>Sab</v>
      </c>
      <c r="AI230" s="157">
        <f t="shared" si="25"/>
        <v>1</v>
      </c>
      <c r="AJ230" s="96"/>
      <c r="AK230" s="169"/>
      <c r="AL230" s="96"/>
      <c r="AM230" s="158">
        <f t="shared" si="12"/>
        <v>0</v>
      </c>
    </row>
    <row r="231" ht="22.5" customHeight="1">
      <c r="A231" s="167"/>
      <c r="B231" s="160" t="s">
        <v>54</v>
      </c>
      <c r="C231" s="160" t="s">
        <v>1131</v>
      </c>
      <c r="D231" s="161">
        <v>45834.0</v>
      </c>
      <c r="E231" s="124" t="str">
        <f t="shared" si="1"/>
        <v>2025</v>
      </c>
      <c r="F231" s="124" t="str">
        <f t="shared" si="2"/>
        <v>06 Jun</v>
      </c>
      <c r="G231" s="124" t="str">
        <f t="shared" si="3"/>
        <v>Kamis</v>
      </c>
      <c r="H231" s="160" t="s">
        <v>1260</v>
      </c>
      <c r="I231" s="125" t="str">
        <f t="array" ref="I231">IFNA(XLOOKUP($H231,'🙎‍♂️ Pasien'!$G$7:$G658,'🙎‍♂️ Pasien'!$H$7:$H658),"")</f>
        <v>G0725065625</v>
      </c>
      <c r="J231" s="125" t="str">
        <f t="array" ref="J231">IFNA(XLOOKUP($H231,'🙎‍♂️ Pasien'!$G$7:$G658,'🙎‍♂️ Pasien'!$L$7:$L658),"")</f>
        <v>PEREMPUAN</v>
      </c>
      <c r="K231" s="125">
        <f t="array" ref="K231">IFNA(XLOOKUP($H231,'🙎‍♂️ Pasien'!$G$7:$G658,'🙎‍♂️ Pasien'!$I$7:$I658),"")</f>
        <v>19</v>
      </c>
      <c r="L231" s="160" t="s">
        <v>72</v>
      </c>
      <c r="M231" s="162" t="str">
        <f t="array" ref="M231">IFNA(XLOOKUP(L231,'⚙️ Pengaturan'!$H$5:$H658,'⚙️ Pengaturan'!$I$5:$I658),"")</f>
        <v>TIM A</v>
      </c>
      <c r="N231" s="163" t="s">
        <v>1132</v>
      </c>
      <c r="O231" s="160" t="s">
        <v>1133</v>
      </c>
      <c r="P231" s="153">
        <f t="shared" si="13"/>
        <v>5</v>
      </c>
      <c r="Q231" s="164">
        <v>45834.0</v>
      </c>
      <c r="R231" s="164">
        <v>45837.0</v>
      </c>
      <c r="S231" s="164">
        <v>45839.0</v>
      </c>
      <c r="T231" s="164">
        <v>45844.0</v>
      </c>
      <c r="U231" s="164">
        <v>45847.0</v>
      </c>
      <c r="V231" s="164"/>
      <c r="W231" s="164"/>
      <c r="X231" s="164"/>
      <c r="Y231" s="164"/>
      <c r="Z231" s="164"/>
      <c r="AA231" s="165">
        <f t="shared" si="20"/>
        <v>45847</v>
      </c>
      <c r="AB231" s="160" t="s">
        <v>1134</v>
      </c>
      <c r="AC231" s="160" t="s">
        <v>1138</v>
      </c>
      <c r="AD231" s="168" t="s">
        <v>1261</v>
      </c>
      <c r="AE231" s="156">
        <f t="shared" si="21"/>
        <v>45847</v>
      </c>
      <c r="AF231" s="107" t="str">
        <f t="shared" si="22"/>
        <v>2025</v>
      </c>
      <c r="AG231" s="107" t="str">
        <f t="shared" si="23"/>
        <v>07 Jul</v>
      </c>
      <c r="AH231" s="107" t="str">
        <f t="shared" si="24"/>
        <v>Rab</v>
      </c>
      <c r="AI231" s="157">
        <f t="shared" si="25"/>
        <v>2</v>
      </c>
      <c r="AJ231" s="96"/>
      <c r="AK231" s="169"/>
      <c r="AL231" s="96"/>
      <c r="AM231" s="158">
        <f t="shared" si="12"/>
        <v>0</v>
      </c>
    </row>
    <row r="232" ht="22.5" customHeight="1">
      <c r="A232" s="167"/>
      <c r="B232" s="160" t="s">
        <v>86</v>
      </c>
      <c r="C232" s="160" t="s">
        <v>1131</v>
      </c>
      <c r="D232" s="161">
        <v>45850.0</v>
      </c>
      <c r="E232" s="124" t="str">
        <f t="shared" si="1"/>
        <v>2025</v>
      </c>
      <c r="F232" s="124" t="str">
        <f t="shared" si="2"/>
        <v>07 Jul</v>
      </c>
      <c r="G232" s="124" t="str">
        <f t="shared" si="3"/>
        <v>Sabtu</v>
      </c>
      <c r="H232" s="160" t="s">
        <v>1260</v>
      </c>
      <c r="I232" s="125" t="str">
        <f t="array" ref="I232">IFNA(XLOOKUP($H232,'🙎‍♂️ Pasien'!$G$7:$G658,'🙎‍♂️ Pasien'!$H$7:$H658),"")</f>
        <v>G0725065625</v>
      </c>
      <c r="J232" s="125" t="str">
        <f t="array" ref="J232">IFNA(XLOOKUP($H232,'🙎‍♂️ Pasien'!$G$7:$G658,'🙎‍♂️ Pasien'!$L$7:$L658),"")</f>
        <v>PEREMPUAN</v>
      </c>
      <c r="K232" s="125">
        <f t="array" ref="K232">IFNA(XLOOKUP($H232,'🙎‍♂️ Pasien'!$G$7:$G658,'🙎‍♂️ Pasien'!$I$7:$I658),"")</f>
        <v>19</v>
      </c>
      <c r="L232" s="160" t="s">
        <v>72</v>
      </c>
      <c r="M232" s="162" t="str">
        <f t="array" ref="M232">IFNA(XLOOKUP(L232,'⚙️ Pengaturan'!$H$5:$H658,'⚙️ Pengaturan'!$I$5:$I658),"")</f>
        <v>TIM A</v>
      </c>
      <c r="N232" s="163" t="s">
        <v>1132</v>
      </c>
      <c r="O232" s="160" t="s">
        <v>1139</v>
      </c>
      <c r="P232" s="153">
        <f t="shared" si="13"/>
        <v>5</v>
      </c>
      <c r="Q232" s="164">
        <v>45850.0</v>
      </c>
      <c r="R232" s="164">
        <v>45853.0</v>
      </c>
      <c r="S232" s="164">
        <v>45857.0</v>
      </c>
      <c r="T232" s="164">
        <v>45860.0</v>
      </c>
      <c r="U232" s="164">
        <v>45862.0</v>
      </c>
      <c r="V232" s="164"/>
      <c r="W232" s="164"/>
      <c r="X232" s="164"/>
      <c r="Y232" s="164"/>
      <c r="Z232" s="164"/>
      <c r="AA232" s="165">
        <f t="shared" si="20"/>
        <v>45862</v>
      </c>
      <c r="AB232" s="160" t="s">
        <v>1134</v>
      </c>
      <c r="AC232" s="160" t="s">
        <v>1138</v>
      </c>
      <c r="AD232" s="168" t="s">
        <v>1262</v>
      </c>
      <c r="AE232" s="156">
        <f t="shared" si="21"/>
        <v>45862</v>
      </c>
      <c r="AF232" s="107" t="str">
        <f t="shared" si="22"/>
        <v>2025</v>
      </c>
      <c r="AG232" s="107" t="str">
        <f t="shared" si="23"/>
        <v>07 Jul</v>
      </c>
      <c r="AH232" s="107" t="str">
        <f t="shared" si="24"/>
        <v>Kam</v>
      </c>
      <c r="AI232" s="157">
        <f t="shared" si="25"/>
        <v>2</v>
      </c>
      <c r="AJ232" s="96"/>
      <c r="AK232" s="169"/>
      <c r="AL232" s="96"/>
      <c r="AM232" s="158">
        <f t="shared" si="12"/>
        <v>0</v>
      </c>
    </row>
    <row r="233" ht="22.5" customHeight="1">
      <c r="A233" s="167"/>
      <c r="B233" s="160" t="s">
        <v>54</v>
      </c>
      <c r="C233" s="160" t="s">
        <v>1131</v>
      </c>
      <c r="D233" s="161">
        <v>45918.0</v>
      </c>
      <c r="E233" s="124" t="str">
        <f t="shared" si="1"/>
        <v>2025</v>
      </c>
      <c r="F233" s="124" t="str">
        <f t="shared" si="2"/>
        <v>09 Sep</v>
      </c>
      <c r="G233" s="124" t="str">
        <f t="shared" si="3"/>
        <v>Kamis</v>
      </c>
      <c r="H233" s="158" t="s">
        <v>66</v>
      </c>
      <c r="I233" s="125" t="str">
        <f t="array" ref="I233">IFNA(XLOOKUP($H233,'🙎‍♂️ Pasien'!$G$7:$G658,'🙎‍♂️ Pasien'!$H$7:$H658),"")</f>
        <v>G0425088990</v>
      </c>
      <c r="J233" s="125" t="str">
        <f t="array" ref="J233">IFNA(XLOOKUP($H233,'🙎‍♂️ Pasien'!$G$7:$G658,'🙎‍♂️ Pasien'!$L$7:$L658),"")</f>
        <v>PEREMPUAN</v>
      </c>
      <c r="K233" s="125">
        <f t="array" ref="K233">IFNA(XLOOKUP($H233,'🙎‍♂️ Pasien'!$G$7:$G658,'🙎‍♂️ Pasien'!$I$7:$I658),"")</f>
        <v>21</v>
      </c>
      <c r="L233" s="160" t="s">
        <v>79</v>
      </c>
      <c r="M233" s="162" t="str">
        <f t="array" ref="M233">IFNA(XLOOKUP(L233,'⚙️ Pengaturan'!$H$5:$H658,'⚙️ Pengaturan'!$I$5:$I658),"")</f>
        <v>TIM A</v>
      </c>
      <c r="N233" s="163" t="s">
        <v>1132</v>
      </c>
      <c r="O233" s="160" t="s">
        <v>1139</v>
      </c>
      <c r="P233" s="153">
        <f t="shared" si="13"/>
        <v>3</v>
      </c>
      <c r="Q233" s="164">
        <v>45921.0</v>
      </c>
      <c r="R233" s="164">
        <v>45922.0</v>
      </c>
      <c r="S233" s="164">
        <v>45941.0</v>
      </c>
      <c r="T233" s="164"/>
      <c r="U233" s="164"/>
      <c r="V233" s="164"/>
      <c r="W233" s="164"/>
      <c r="X233" s="164"/>
      <c r="Y233" s="164"/>
      <c r="Z233" s="164"/>
      <c r="AA233" s="165">
        <f t="shared" si="20"/>
        <v>45941</v>
      </c>
      <c r="AB233" s="160" t="s">
        <v>1144</v>
      </c>
      <c r="AC233" s="172"/>
      <c r="AD233" s="166"/>
      <c r="AE233" s="156" t="str">
        <f t="shared" si="21"/>
        <v/>
      </c>
      <c r="AF233" s="107" t="str">
        <f t="shared" si="22"/>
        <v/>
      </c>
      <c r="AG233" s="107" t="str">
        <f t="shared" si="23"/>
        <v/>
      </c>
      <c r="AH233" s="107" t="str">
        <f t="shared" si="24"/>
        <v/>
      </c>
      <c r="AI233" s="157">
        <f t="shared" si="25"/>
        <v>38</v>
      </c>
      <c r="AJ233" s="96"/>
      <c r="AK233" s="169"/>
      <c r="AL233" s="96"/>
      <c r="AM233" s="158">
        <f t="shared" si="12"/>
        <v>0</v>
      </c>
    </row>
    <row r="234" ht="22.5" customHeight="1">
      <c r="A234" s="167"/>
      <c r="B234" s="20"/>
      <c r="C234" s="20"/>
      <c r="D234" s="123">
        <v>45633.0</v>
      </c>
      <c r="E234" s="124" t="str">
        <f t="shared" si="1"/>
        <v>2024</v>
      </c>
      <c r="F234" s="124" t="str">
        <f t="shared" si="2"/>
        <v>12 Des</v>
      </c>
      <c r="G234" s="124" t="str">
        <f t="shared" si="3"/>
        <v>Sabtu</v>
      </c>
      <c r="H234" s="16" t="s">
        <v>1263</v>
      </c>
      <c r="I234" s="125" t="str">
        <f t="array" ref="I234">IFNA(XLOOKUP($H234,'🙎‍♂️ Pasien'!$G$7:$G658,'🙎‍♂️ Pasien'!$H$7:$H658),"")</f>
        <v>H1123038212</v>
      </c>
      <c r="J234" s="125" t="str">
        <f t="array" ref="J234">IFNA(XLOOKUP($H234,'🙎‍♂️ Pasien'!$G$7:$G658,'🙎‍♂️ Pasien'!$L$7:$L658),"")</f>
        <v>LAKI-LAKI</v>
      </c>
      <c r="K234" s="125">
        <f t="array" ref="K234">IFNA(XLOOKUP($H234,'🙎‍♂️ Pasien'!$G$7:$G658,'🙎‍♂️ Pasien'!$I$7:$I658),"")</f>
        <v>14</v>
      </c>
      <c r="L234" s="16" t="s">
        <v>91</v>
      </c>
      <c r="M234" s="125" t="str">
        <f t="array" ref="M234">IFNA(XLOOKUP(L234,'⚙️ Pengaturan'!$H$5:$H658,'⚙️ Pengaturan'!$I$5:$I658),"")</f>
        <v>TIM Y</v>
      </c>
      <c r="N234" s="16" t="s">
        <v>1132</v>
      </c>
      <c r="O234" s="16" t="s">
        <v>1133</v>
      </c>
      <c r="P234" s="153">
        <f t="shared" si="13"/>
        <v>3</v>
      </c>
      <c r="Q234" s="154">
        <v>45635.0</v>
      </c>
      <c r="R234" s="154">
        <v>45637.0</v>
      </c>
      <c r="S234" s="154">
        <v>45640.0</v>
      </c>
      <c r="T234" s="154"/>
      <c r="U234" s="154"/>
      <c r="V234" s="154"/>
      <c r="W234" s="154"/>
      <c r="X234" s="154"/>
      <c r="Y234" s="154"/>
      <c r="Z234" s="154"/>
      <c r="AA234" s="155">
        <f t="shared" si="20"/>
        <v>45640</v>
      </c>
      <c r="AB234" s="16" t="s">
        <v>1144</v>
      </c>
      <c r="AC234" s="20"/>
      <c r="AD234" s="170"/>
      <c r="AE234" s="156" t="str">
        <f t="shared" si="21"/>
        <v/>
      </c>
      <c r="AF234" s="107" t="str">
        <f t="shared" si="22"/>
        <v/>
      </c>
      <c r="AG234" s="107" t="str">
        <f t="shared" si="23"/>
        <v/>
      </c>
      <c r="AH234" s="107" t="str">
        <f t="shared" si="24"/>
        <v/>
      </c>
      <c r="AI234" s="157">
        <f t="shared" si="25"/>
        <v>79</v>
      </c>
      <c r="AJ234" s="96"/>
      <c r="AK234" s="169"/>
      <c r="AL234" s="96"/>
      <c r="AM234" s="158">
        <f t="shared" si="12"/>
        <v>0</v>
      </c>
    </row>
    <row r="235" ht="22.5" customHeight="1">
      <c r="A235" s="167"/>
      <c r="B235" s="171"/>
      <c r="C235" s="171"/>
      <c r="D235" s="161">
        <v>45649.0</v>
      </c>
      <c r="E235" s="124" t="str">
        <f t="shared" si="1"/>
        <v>2024</v>
      </c>
      <c r="F235" s="124" t="str">
        <f t="shared" si="2"/>
        <v>12 Des</v>
      </c>
      <c r="G235" s="124" t="str">
        <f t="shared" si="3"/>
        <v>Senin</v>
      </c>
      <c r="H235" s="16" t="s">
        <v>1264</v>
      </c>
      <c r="I235" s="125" t="str">
        <f t="array" ref="I235">IFNA(XLOOKUP($H235,'🙎‍♂️ Pasien'!$G$7:$G658,'🙎‍♂️ Pasien'!$H$7:$H658),"")</f>
        <v>H7924127776</v>
      </c>
      <c r="J235" s="125" t="str">
        <f t="array" ref="J235">IFNA(XLOOKUP($H235,'🙎‍♂️ Pasien'!$G$7:$G658,'🙎‍♂️ Pasien'!$L$7:$L658),"")</f>
        <v>PEREMPUAN</v>
      </c>
      <c r="K235" s="125">
        <f t="array" ref="K235">IFNA(XLOOKUP($H235,'🙎‍♂️ Pasien'!$G$7:$G658,'🙎‍♂️ Pasien'!$I$7:$I658),"")</f>
        <v>47</v>
      </c>
      <c r="L235" s="16" t="s">
        <v>1152</v>
      </c>
      <c r="M235" s="125" t="str">
        <f t="array" ref="M235">IFNA(XLOOKUP(L235,'⚙️ Pengaturan'!$H$5:$H658,'⚙️ Pengaturan'!$I$5:$I658),"")</f>
        <v>INAKTIF</v>
      </c>
      <c r="N235" s="16" t="s">
        <v>1137</v>
      </c>
      <c r="O235" s="16" t="s">
        <v>1133</v>
      </c>
      <c r="P235" s="153">
        <f t="shared" si="13"/>
        <v>8</v>
      </c>
      <c r="Q235" s="154">
        <v>45650.0</v>
      </c>
      <c r="R235" s="154">
        <v>45650.0</v>
      </c>
      <c r="S235" s="154">
        <v>45652.0</v>
      </c>
      <c r="T235" s="154">
        <v>45653.0</v>
      </c>
      <c r="U235" s="154">
        <v>45653.0</v>
      </c>
      <c r="V235" s="154">
        <v>45654.0</v>
      </c>
      <c r="W235" s="154">
        <v>45660.0</v>
      </c>
      <c r="X235" s="154">
        <v>45660.0</v>
      </c>
      <c r="Y235" s="154"/>
      <c r="Z235" s="154"/>
      <c r="AA235" s="155">
        <f t="shared" si="20"/>
        <v>45660</v>
      </c>
      <c r="AB235" s="16" t="s">
        <v>1144</v>
      </c>
      <c r="AC235" s="20"/>
      <c r="AD235" s="170"/>
      <c r="AE235" s="156" t="str">
        <f t="shared" si="21"/>
        <v/>
      </c>
      <c r="AF235" s="107" t="str">
        <f t="shared" si="22"/>
        <v/>
      </c>
      <c r="AG235" s="107" t="str">
        <f t="shared" si="23"/>
        <v/>
      </c>
      <c r="AH235" s="107" t="str">
        <f t="shared" si="24"/>
        <v/>
      </c>
      <c r="AI235" s="157">
        <f t="shared" si="25"/>
        <v>76</v>
      </c>
      <c r="AJ235" s="96"/>
      <c r="AK235" s="169"/>
      <c r="AL235" s="96"/>
      <c r="AM235" s="158">
        <f t="shared" si="12"/>
        <v>0</v>
      </c>
    </row>
    <row r="236" ht="22.5" customHeight="1">
      <c r="A236" s="167"/>
      <c r="B236" s="20"/>
      <c r="C236" s="20"/>
      <c r="D236" s="123">
        <v>45607.0</v>
      </c>
      <c r="E236" s="124" t="str">
        <f t="shared" si="1"/>
        <v>2024</v>
      </c>
      <c r="F236" s="124" t="str">
        <f t="shared" si="2"/>
        <v>11 Nov</v>
      </c>
      <c r="G236" s="124" t="str">
        <f t="shared" si="3"/>
        <v>Senin</v>
      </c>
      <c r="H236" s="16" t="s">
        <v>1265</v>
      </c>
      <c r="I236" s="125" t="str">
        <f t="array" ref="I236">IFNA(XLOOKUP($H236,'🙎‍♂️ Pasien'!$G$7:$G658,'🙎‍♂️ Pasien'!$H$7:$H658),"")</f>
        <v>H9224057775</v>
      </c>
      <c r="J236" s="125" t="str">
        <f t="array" ref="J236">IFNA(XLOOKUP($H236,'🙎‍♂️ Pasien'!$G$7:$G658,'🙎‍♂️ Pasien'!$L$7:$L658),"")</f>
        <v>LAKI-LAKI</v>
      </c>
      <c r="K236" s="125">
        <f t="array" ref="K236">IFNA(XLOOKUP($H236,'🙎‍♂️ Pasien'!$G$7:$G658,'🙎‍♂️ Pasien'!$I$7:$I658),"")</f>
        <v>34</v>
      </c>
      <c r="L236" s="16" t="s">
        <v>101</v>
      </c>
      <c r="M236" s="125" t="str">
        <f t="array" ref="M236">IFNA(XLOOKUP(L236,'⚙️ Pengaturan'!$H$5:$H658,'⚙️ Pengaturan'!$I$5:$I658),"")</f>
        <v>MANAJEMEN</v>
      </c>
      <c r="N236" s="16" t="s">
        <v>1137</v>
      </c>
      <c r="O236" s="16" t="s">
        <v>1139</v>
      </c>
      <c r="P236" s="153">
        <f t="shared" si="13"/>
        <v>7</v>
      </c>
      <c r="Q236" s="154">
        <v>45575.0</v>
      </c>
      <c r="R236" s="154">
        <v>45575.0</v>
      </c>
      <c r="S236" s="154">
        <v>45613.0</v>
      </c>
      <c r="T236" s="154">
        <v>45613.0</v>
      </c>
      <c r="U236" s="154">
        <v>45634.0</v>
      </c>
      <c r="V236" s="154">
        <v>45634.0</v>
      </c>
      <c r="W236" s="154">
        <v>46008.0</v>
      </c>
      <c r="X236" s="154"/>
      <c r="Y236" s="154"/>
      <c r="Z236" s="154"/>
      <c r="AA236" s="155">
        <f t="shared" si="20"/>
        <v>46008</v>
      </c>
      <c r="AB236" s="16" t="s">
        <v>1144</v>
      </c>
      <c r="AC236" s="20"/>
      <c r="AD236" s="170"/>
      <c r="AE236" s="156" t="str">
        <f t="shared" si="21"/>
        <v/>
      </c>
      <c r="AF236" s="107" t="str">
        <f t="shared" si="22"/>
        <v/>
      </c>
      <c r="AG236" s="107" t="str">
        <f t="shared" si="23"/>
        <v/>
      </c>
      <c r="AH236" s="107" t="str">
        <f t="shared" si="24"/>
        <v/>
      </c>
      <c r="AI236" s="157">
        <f t="shared" si="25"/>
        <v>87</v>
      </c>
      <c r="AJ236" s="96"/>
      <c r="AK236" s="169"/>
      <c r="AL236" s="96"/>
      <c r="AM236" s="158">
        <f t="shared" si="12"/>
        <v>0</v>
      </c>
    </row>
    <row r="237" ht="22.5" customHeight="1">
      <c r="A237" s="167"/>
      <c r="B237" s="160" t="s">
        <v>86</v>
      </c>
      <c r="C237" s="160" t="s">
        <v>1131</v>
      </c>
      <c r="D237" s="161">
        <v>45977.0</v>
      </c>
      <c r="E237" s="124" t="str">
        <f t="shared" si="1"/>
        <v>2025</v>
      </c>
      <c r="F237" s="124" t="str">
        <f t="shared" si="2"/>
        <v>11 Nov</v>
      </c>
      <c r="G237" s="124" t="str">
        <f t="shared" si="3"/>
        <v>Minggu</v>
      </c>
      <c r="H237" s="160" t="s">
        <v>532</v>
      </c>
      <c r="I237" s="125" t="str">
        <f t="array" ref="I237">IFNA(XLOOKUP($H237,'🙎‍♂️ Pasien'!$G$7:$G658,'🙎‍♂️ Pasien'!$H$7:$H658),"")</f>
        <v>H1025113976</v>
      </c>
      <c r="J237" s="125" t="str">
        <f t="array" ref="J237">IFNA(XLOOKUP($H237,'🙎‍♂️ Pasien'!$G$7:$G658,'🙎‍♂️ Pasien'!$L$7:$L658),"")</f>
        <v>PEREMPUAN</v>
      </c>
      <c r="K237" s="125">
        <f t="array" ref="K237">IFNA(XLOOKUP($H237,'🙎‍♂️ Pasien'!$G$7:$G658,'🙎‍♂️ Pasien'!$I$7:$I658),"")</f>
        <v>15</v>
      </c>
      <c r="L237" s="160" t="s">
        <v>62</v>
      </c>
      <c r="M237" s="162" t="str">
        <f t="array" ref="M237">IFNA(XLOOKUP(L237,'⚙️ Pengaturan'!$H$5:$H658,'⚙️ Pengaturan'!$I$5:$I658),"")</f>
        <v>TIM A</v>
      </c>
      <c r="N237" s="163" t="s">
        <v>1137</v>
      </c>
      <c r="O237" s="160" t="s">
        <v>1133</v>
      </c>
      <c r="P237" s="153">
        <f t="shared" si="13"/>
        <v>10</v>
      </c>
      <c r="Q237" s="164">
        <v>45979.0</v>
      </c>
      <c r="R237" s="164">
        <v>45990.0</v>
      </c>
      <c r="S237" s="164">
        <v>45992.0</v>
      </c>
      <c r="T237" s="164">
        <v>45995.0</v>
      </c>
      <c r="U237" s="164">
        <v>45998.0</v>
      </c>
      <c r="V237" s="164">
        <v>45999.0</v>
      </c>
      <c r="W237" s="164">
        <v>46002.0</v>
      </c>
      <c r="X237" s="164">
        <v>46012.0</v>
      </c>
      <c r="Y237" s="164">
        <v>46015.0</v>
      </c>
      <c r="Z237" s="164">
        <v>46020.0</v>
      </c>
      <c r="AA237" s="165">
        <f t="shared" si="20"/>
        <v>46020</v>
      </c>
      <c r="AB237" s="160" t="s">
        <v>1134</v>
      </c>
      <c r="AC237" s="160" t="s">
        <v>1138</v>
      </c>
      <c r="AD237" s="166"/>
      <c r="AE237" s="156">
        <f t="shared" si="21"/>
        <v>46020</v>
      </c>
      <c r="AF237" s="107" t="str">
        <f t="shared" si="22"/>
        <v>2025</v>
      </c>
      <c r="AG237" s="107" t="str">
        <f t="shared" si="23"/>
        <v>12 Des</v>
      </c>
      <c r="AH237" s="107" t="str">
        <f t="shared" si="24"/>
        <v>Sen</v>
      </c>
      <c r="AI237" s="157">
        <f t="shared" si="25"/>
        <v>6</v>
      </c>
      <c r="AJ237" s="96"/>
      <c r="AK237" s="169"/>
      <c r="AL237" s="96"/>
      <c r="AM237" s="158">
        <f t="shared" si="12"/>
        <v>0</v>
      </c>
    </row>
    <row r="238" ht="22.5" customHeight="1">
      <c r="A238" s="167"/>
      <c r="B238" s="160" t="s">
        <v>86</v>
      </c>
      <c r="C238" s="160" t="s">
        <v>1131</v>
      </c>
      <c r="D238" s="161">
        <v>46016.0</v>
      </c>
      <c r="E238" s="124" t="str">
        <f t="shared" si="1"/>
        <v>2025</v>
      </c>
      <c r="F238" s="124" t="str">
        <f t="shared" si="2"/>
        <v>12 Des</v>
      </c>
      <c r="G238" s="124" t="str">
        <f t="shared" si="3"/>
        <v>Kamis</v>
      </c>
      <c r="H238" s="160" t="s">
        <v>532</v>
      </c>
      <c r="I238" s="125" t="str">
        <f t="array" ref="I238">IFNA(XLOOKUP($H238,'🙎‍♂️ Pasien'!$G$7:$G658,'🙎‍♂️ Pasien'!$H$7:$H658),"")</f>
        <v>H1025113976</v>
      </c>
      <c r="J238" s="125" t="str">
        <f t="array" ref="J238">IFNA(XLOOKUP($H238,'🙎‍♂️ Pasien'!$G$7:$G658,'🙎‍♂️ Pasien'!$L$7:$L658),"")</f>
        <v>PEREMPUAN</v>
      </c>
      <c r="K238" s="125">
        <f t="array" ref="K238">IFNA(XLOOKUP($H238,'🙎‍♂️ Pasien'!$G$7:$G658,'🙎‍♂️ Pasien'!$I$7:$I658),"")</f>
        <v>15</v>
      </c>
      <c r="L238" s="160" t="s">
        <v>91</v>
      </c>
      <c r="M238" s="162" t="str">
        <f t="array" ref="M238">IFNA(XLOOKUP(L238,'⚙️ Pengaturan'!$H$5:$H658,'⚙️ Pengaturan'!$I$5:$I658),"")</f>
        <v>TIM Y</v>
      </c>
      <c r="N238" s="163" t="s">
        <v>1137</v>
      </c>
      <c r="O238" s="160" t="s">
        <v>1139</v>
      </c>
      <c r="P238" s="153">
        <f t="shared" si="13"/>
        <v>0</v>
      </c>
      <c r="Q238" s="164"/>
      <c r="R238" s="164"/>
      <c r="S238" s="164"/>
      <c r="T238" s="164"/>
      <c r="U238" s="164"/>
      <c r="V238" s="164"/>
      <c r="W238" s="164"/>
      <c r="X238" s="164"/>
      <c r="Y238" s="164"/>
      <c r="Z238" s="164"/>
      <c r="AA238" s="165">
        <f t="shared" si="20"/>
        <v>46016</v>
      </c>
      <c r="AB238" s="160" t="s">
        <v>1144</v>
      </c>
      <c r="AC238" s="172"/>
      <c r="AD238" s="166"/>
      <c r="AE238" s="156" t="str">
        <f t="shared" si="21"/>
        <v/>
      </c>
      <c r="AF238" s="107" t="str">
        <f t="shared" si="22"/>
        <v/>
      </c>
      <c r="AG238" s="107" t="str">
        <f t="shared" si="23"/>
        <v/>
      </c>
      <c r="AH238" s="107" t="str">
        <f t="shared" si="24"/>
        <v/>
      </c>
      <c r="AI238" s="157" t="str">
        <f t="shared" si="25"/>
        <v/>
      </c>
      <c r="AJ238" s="96"/>
      <c r="AK238" s="169"/>
      <c r="AL238" s="96"/>
      <c r="AM238" s="158">
        <f t="shared" si="12"/>
        <v>0</v>
      </c>
    </row>
    <row r="239" ht="22.5" customHeight="1">
      <c r="A239" s="167"/>
      <c r="B239" s="160" t="s">
        <v>54</v>
      </c>
      <c r="C239" s="160" t="s">
        <v>1131</v>
      </c>
      <c r="D239" s="161">
        <v>45823.0</v>
      </c>
      <c r="E239" s="124" t="str">
        <f t="shared" si="1"/>
        <v>2025</v>
      </c>
      <c r="F239" s="124" t="str">
        <f t="shared" si="2"/>
        <v>06 Jun</v>
      </c>
      <c r="G239" s="124" t="str">
        <f t="shared" si="3"/>
        <v>Minggu</v>
      </c>
      <c r="H239" s="160" t="s">
        <v>119</v>
      </c>
      <c r="I239" s="125" t="str">
        <f t="array" ref="I239">IFNA(XLOOKUP($H239,'🙎‍♂️ Pasien'!$G$7:$G658,'🙎‍♂️ Pasien'!$H$7:$H658),"")</f>
        <v>H4623015667</v>
      </c>
      <c r="J239" s="125" t="str">
        <f t="array" ref="J239">IFNA(XLOOKUP($H239,'🙎‍♂️ Pasien'!$G$7:$G658,'🙎‍♂️ Pasien'!$L$7:$L658),"")</f>
        <v>LAKI-LAKI</v>
      </c>
      <c r="K239" s="125">
        <f t="array" ref="K239">IFNA(XLOOKUP($H239,'🙎‍♂️ Pasien'!$G$7:$G658,'🙎‍♂️ Pasien'!$I$7:$I658),"")</f>
        <v>80</v>
      </c>
      <c r="L239" s="160" t="s">
        <v>56</v>
      </c>
      <c r="M239" s="162" t="str">
        <f t="array" ref="M239">IFNA(XLOOKUP(L239,'⚙️ Pengaturan'!$H$5:$H658,'⚙️ Pengaturan'!$I$5:$I658),"")</f>
        <v>TIM Y</v>
      </c>
      <c r="N239" s="163" t="s">
        <v>1137</v>
      </c>
      <c r="O239" s="160" t="s">
        <v>1139</v>
      </c>
      <c r="P239" s="153">
        <f t="shared" si="13"/>
        <v>10</v>
      </c>
      <c r="Q239" s="175">
        <v>45827.0</v>
      </c>
      <c r="R239" s="175">
        <v>45838.0</v>
      </c>
      <c r="S239" s="175">
        <v>45841.0</v>
      </c>
      <c r="T239" s="175">
        <v>45845.0</v>
      </c>
      <c r="U239" s="175">
        <v>45848.0</v>
      </c>
      <c r="V239" s="175">
        <v>45852.0</v>
      </c>
      <c r="W239" s="175">
        <v>45855.0</v>
      </c>
      <c r="X239" s="175">
        <v>45859.0</v>
      </c>
      <c r="Y239" s="175">
        <v>45862.0</v>
      </c>
      <c r="Z239" s="175">
        <v>45866.0</v>
      </c>
      <c r="AA239" s="165">
        <f t="shared" si="20"/>
        <v>45866</v>
      </c>
      <c r="AB239" s="160" t="s">
        <v>1134</v>
      </c>
      <c r="AC239" s="160" t="s">
        <v>1138</v>
      </c>
      <c r="AD239" s="166"/>
      <c r="AE239" s="156">
        <f t="shared" si="21"/>
        <v>45866</v>
      </c>
      <c r="AF239" s="107" t="str">
        <f t="shared" si="22"/>
        <v>2025</v>
      </c>
      <c r="AG239" s="107" t="str">
        <f t="shared" si="23"/>
        <v>07 Jul</v>
      </c>
      <c r="AH239" s="107" t="str">
        <f t="shared" si="24"/>
        <v>Sen</v>
      </c>
      <c r="AI239" s="157">
        <f t="shared" si="25"/>
        <v>6</v>
      </c>
      <c r="AJ239" s="96"/>
      <c r="AK239" s="169"/>
      <c r="AL239" s="96"/>
      <c r="AM239" s="158">
        <f t="shared" si="12"/>
        <v>0</v>
      </c>
    </row>
    <row r="240" ht="22.5" customHeight="1">
      <c r="A240" s="167"/>
      <c r="B240" s="160" t="s">
        <v>134</v>
      </c>
      <c r="C240" s="160" t="s">
        <v>1131</v>
      </c>
      <c r="D240" s="161">
        <v>45869.0</v>
      </c>
      <c r="E240" s="124" t="str">
        <f t="shared" si="1"/>
        <v>2025</v>
      </c>
      <c r="F240" s="124" t="str">
        <f t="shared" si="2"/>
        <v>07 Jul</v>
      </c>
      <c r="G240" s="124" t="str">
        <f t="shared" si="3"/>
        <v>Kamis</v>
      </c>
      <c r="H240" s="160" t="s">
        <v>119</v>
      </c>
      <c r="I240" s="125" t="str">
        <f t="array" ref="I240">IFNA(XLOOKUP($H240,'🙎‍♂️ Pasien'!$G$7:$G658,'🙎‍♂️ Pasien'!$H$7:$H658),"")</f>
        <v>H4623015667</v>
      </c>
      <c r="J240" s="125" t="str">
        <f t="array" ref="J240">IFNA(XLOOKUP($H240,'🙎‍♂️ Pasien'!$G$7:$G658,'🙎‍♂️ Pasien'!$L$7:$L658),"")</f>
        <v>LAKI-LAKI</v>
      </c>
      <c r="K240" s="125">
        <f t="array" ref="K240">IFNA(XLOOKUP($H240,'🙎‍♂️ Pasien'!$G$7:$G658,'🙎‍♂️ Pasien'!$I$7:$I658),"")</f>
        <v>80</v>
      </c>
      <c r="L240" s="160" t="s">
        <v>56</v>
      </c>
      <c r="M240" s="162" t="str">
        <f t="array" ref="M240">IFNA(XLOOKUP(L240,'⚙️ Pengaturan'!$H$5:$H658,'⚙️ Pengaturan'!$I$5:$I658),"")</f>
        <v>TIM Y</v>
      </c>
      <c r="N240" s="163" t="s">
        <v>1137</v>
      </c>
      <c r="O240" s="160" t="s">
        <v>1139</v>
      </c>
      <c r="P240" s="153">
        <f t="shared" si="13"/>
        <v>10</v>
      </c>
      <c r="Q240" s="164">
        <v>45869.0</v>
      </c>
      <c r="R240" s="164">
        <v>45873.0</v>
      </c>
      <c r="S240" s="164">
        <v>45876.0</v>
      </c>
      <c r="T240" s="164">
        <v>45880.0</v>
      </c>
      <c r="U240" s="164">
        <v>45883.0</v>
      </c>
      <c r="V240" s="164">
        <v>45888.0</v>
      </c>
      <c r="W240" s="164">
        <v>45894.0</v>
      </c>
      <c r="X240" s="164">
        <v>45895.0</v>
      </c>
      <c r="Y240" s="164">
        <v>45901.0</v>
      </c>
      <c r="Z240" s="164">
        <v>45904.0</v>
      </c>
      <c r="AA240" s="165">
        <f t="shared" si="20"/>
        <v>45904</v>
      </c>
      <c r="AB240" s="160" t="s">
        <v>1134</v>
      </c>
      <c r="AC240" s="160" t="s">
        <v>1138</v>
      </c>
      <c r="AD240" s="166"/>
      <c r="AE240" s="156">
        <f t="shared" si="21"/>
        <v>45904</v>
      </c>
      <c r="AF240" s="107" t="str">
        <f t="shared" si="22"/>
        <v>2025</v>
      </c>
      <c r="AG240" s="107" t="str">
        <f t="shared" si="23"/>
        <v>09 Sep</v>
      </c>
      <c r="AH240" s="107" t="str">
        <f t="shared" si="24"/>
        <v>Kam</v>
      </c>
      <c r="AI240" s="157">
        <f t="shared" si="25"/>
        <v>5</v>
      </c>
      <c r="AJ240" s="96"/>
      <c r="AK240" s="169"/>
      <c r="AL240" s="96"/>
      <c r="AM240" s="158">
        <f t="shared" si="12"/>
        <v>0</v>
      </c>
    </row>
    <row r="241" ht="22.5" customHeight="1">
      <c r="A241" s="167"/>
      <c r="B241" s="160" t="s">
        <v>86</v>
      </c>
      <c r="C241" s="160" t="s">
        <v>1131</v>
      </c>
      <c r="D241" s="161">
        <v>45908.0</v>
      </c>
      <c r="E241" s="124" t="str">
        <f t="shared" si="1"/>
        <v>2025</v>
      </c>
      <c r="F241" s="124" t="str">
        <f t="shared" si="2"/>
        <v>09 Sep</v>
      </c>
      <c r="G241" s="124" t="str">
        <f t="shared" si="3"/>
        <v>Senin</v>
      </c>
      <c r="H241" s="160" t="s">
        <v>119</v>
      </c>
      <c r="I241" s="125" t="str">
        <f t="array" ref="I241">IFNA(XLOOKUP($H241,'🙎‍♂️ Pasien'!$G$7:$G658,'🙎‍♂️ Pasien'!$H$7:$H658),"")</f>
        <v>H4623015667</v>
      </c>
      <c r="J241" s="125" t="str">
        <f t="array" ref="J241">IFNA(XLOOKUP($H241,'🙎‍♂️ Pasien'!$G$7:$G658,'🙎‍♂️ Pasien'!$L$7:$L658),"")</f>
        <v>LAKI-LAKI</v>
      </c>
      <c r="K241" s="125">
        <f t="array" ref="K241">IFNA(XLOOKUP($H241,'🙎‍♂️ Pasien'!$G$7:$G658,'🙎‍♂️ Pasien'!$I$7:$I658),"")</f>
        <v>80</v>
      </c>
      <c r="L241" s="160" t="s">
        <v>56</v>
      </c>
      <c r="M241" s="162" t="str">
        <f t="array" ref="M241">IFNA(XLOOKUP(L241,'⚙️ Pengaturan'!$H$5:$H658,'⚙️ Pengaturan'!$I$5:$I658),"")</f>
        <v>TIM Y</v>
      </c>
      <c r="N241" s="163" t="s">
        <v>1137</v>
      </c>
      <c r="O241" s="160" t="s">
        <v>1139</v>
      </c>
      <c r="P241" s="153">
        <f t="shared" si="13"/>
        <v>10</v>
      </c>
      <c r="Q241" s="164">
        <v>45908.0</v>
      </c>
      <c r="R241" s="164">
        <v>45911.0</v>
      </c>
      <c r="S241" s="164">
        <v>45915.0</v>
      </c>
      <c r="T241" s="164">
        <v>45918.0</v>
      </c>
      <c r="U241" s="164">
        <v>45922.0</v>
      </c>
      <c r="V241" s="164">
        <v>45925.0</v>
      </c>
      <c r="W241" s="164">
        <v>45929.0</v>
      </c>
      <c r="X241" s="164">
        <v>45932.0</v>
      </c>
      <c r="Y241" s="164">
        <v>45964.0</v>
      </c>
      <c r="Z241" s="164">
        <v>45939.0</v>
      </c>
      <c r="AA241" s="165">
        <f t="shared" si="20"/>
        <v>45964</v>
      </c>
      <c r="AB241" s="160" t="s">
        <v>1134</v>
      </c>
      <c r="AC241" s="160" t="s">
        <v>1138</v>
      </c>
      <c r="AD241" s="166"/>
      <c r="AE241" s="156">
        <f t="shared" si="21"/>
        <v>45939</v>
      </c>
      <c r="AF241" s="107" t="str">
        <f t="shared" si="22"/>
        <v>2025</v>
      </c>
      <c r="AG241" s="107" t="str">
        <f t="shared" si="23"/>
        <v>10 Okt</v>
      </c>
      <c r="AH241" s="107" t="str">
        <f t="shared" si="24"/>
        <v>Kam</v>
      </c>
      <c r="AI241" s="157">
        <f t="shared" si="25"/>
        <v>5</v>
      </c>
      <c r="AJ241" s="96"/>
      <c r="AK241" s="169"/>
      <c r="AL241" s="96"/>
      <c r="AM241" s="158">
        <f t="shared" si="12"/>
        <v>0</v>
      </c>
    </row>
    <row r="242" ht="22.5" customHeight="1">
      <c r="A242" s="167"/>
      <c r="B242" s="160" t="s">
        <v>86</v>
      </c>
      <c r="C242" s="160" t="s">
        <v>1131</v>
      </c>
      <c r="D242" s="161">
        <v>45943.0</v>
      </c>
      <c r="E242" s="124" t="str">
        <f t="shared" si="1"/>
        <v>2025</v>
      </c>
      <c r="F242" s="124" t="str">
        <f t="shared" si="2"/>
        <v>10 Okt</v>
      </c>
      <c r="G242" s="124" t="str">
        <f t="shared" si="3"/>
        <v>Senin</v>
      </c>
      <c r="H242" s="160" t="s">
        <v>119</v>
      </c>
      <c r="I242" s="125" t="str">
        <f t="array" ref="I242">IFNA(XLOOKUP($H242,'🙎‍♂️ Pasien'!$G$7:$G658,'🙎‍♂️ Pasien'!$H$7:$H658),"")</f>
        <v>H4623015667</v>
      </c>
      <c r="J242" s="125" t="str">
        <f t="array" ref="J242">IFNA(XLOOKUP($H242,'🙎‍♂️ Pasien'!$G$7:$G658,'🙎‍♂️ Pasien'!$L$7:$L658),"")</f>
        <v>LAKI-LAKI</v>
      </c>
      <c r="K242" s="125">
        <f t="array" ref="K242">IFNA(XLOOKUP($H242,'🙎‍♂️ Pasien'!$G$7:$G658,'🙎‍♂️ Pasien'!$I$7:$I658),"")</f>
        <v>80</v>
      </c>
      <c r="L242" s="160" t="s">
        <v>56</v>
      </c>
      <c r="M242" s="162" t="str">
        <f t="array" ref="M242">IFNA(XLOOKUP(L242,'⚙️ Pengaturan'!$H$5:$H658,'⚙️ Pengaturan'!$I$5:$I658),"")</f>
        <v>TIM Y</v>
      </c>
      <c r="N242" s="163" t="s">
        <v>1137</v>
      </c>
      <c r="O242" s="160" t="s">
        <v>1139</v>
      </c>
      <c r="P242" s="153">
        <f t="shared" si="13"/>
        <v>10</v>
      </c>
      <c r="Q242" s="164">
        <v>45943.0</v>
      </c>
      <c r="R242" s="164">
        <v>45946.0</v>
      </c>
      <c r="S242" s="164">
        <v>45950.0</v>
      </c>
      <c r="T242" s="164">
        <v>45953.0</v>
      </c>
      <c r="U242" s="164">
        <v>45957.0</v>
      </c>
      <c r="V242" s="164">
        <v>45960.0</v>
      </c>
      <c r="W242" s="164">
        <v>45964.0</v>
      </c>
      <c r="X242" s="164">
        <v>45967.0</v>
      </c>
      <c r="Y242" s="164">
        <v>45971.0</v>
      </c>
      <c r="Z242" s="164">
        <v>45979.0</v>
      </c>
      <c r="AA242" s="165">
        <f t="shared" si="20"/>
        <v>45979</v>
      </c>
      <c r="AB242" s="160" t="s">
        <v>1134</v>
      </c>
      <c r="AC242" s="160" t="s">
        <v>1138</v>
      </c>
      <c r="AD242" s="166"/>
      <c r="AE242" s="156">
        <f t="shared" si="21"/>
        <v>45979</v>
      </c>
      <c r="AF242" s="107" t="str">
        <f t="shared" si="22"/>
        <v>2025</v>
      </c>
      <c r="AG242" s="107" t="str">
        <f t="shared" si="23"/>
        <v>11 Nov</v>
      </c>
      <c r="AH242" s="107" t="str">
        <f t="shared" si="24"/>
        <v>Sel</v>
      </c>
      <c r="AI242" s="157">
        <f t="shared" si="25"/>
        <v>6</v>
      </c>
      <c r="AJ242" s="96"/>
      <c r="AK242" s="169"/>
      <c r="AL242" s="96"/>
      <c r="AM242" s="158">
        <f t="shared" si="12"/>
        <v>0</v>
      </c>
    </row>
    <row r="243" ht="22.5" customHeight="1">
      <c r="A243" s="167"/>
      <c r="B243" s="160" t="s">
        <v>86</v>
      </c>
      <c r="C243" s="160" t="s">
        <v>1131</v>
      </c>
      <c r="D243" s="161">
        <v>45981.0</v>
      </c>
      <c r="E243" s="124" t="str">
        <f t="shared" si="1"/>
        <v>2025</v>
      </c>
      <c r="F243" s="124" t="str">
        <f t="shared" si="2"/>
        <v>11 Nov</v>
      </c>
      <c r="G243" s="124" t="str">
        <f t="shared" si="3"/>
        <v>Kamis</v>
      </c>
      <c r="H243" s="160" t="s">
        <v>119</v>
      </c>
      <c r="I243" s="125" t="str">
        <f t="array" ref="I243">IFNA(XLOOKUP($H243,'🙎‍♂️ Pasien'!$G$7:$G658,'🙎‍♂️ Pasien'!$H$7:$H658),"")</f>
        <v>H4623015667</v>
      </c>
      <c r="J243" s="125" t="str">
        <f t="array" ref="J243">IFNA(XLOOKUP($H243,'🙎‍♂️ Pasien'!$G$7:$G658,'🙎‍♂️ Pasien'!$L$7:$L658),"")</f>
        <v>LAKI-LAKI</v>
      </c>
      <c r="K243" s="125">
        <f t="array" ref="K243">IFNA(XLOOKUP($H243,'🙎‍♂️ Pasien'!$G$7:$G658,'🙎‍♂️ Pasien'!$I$7:$I658),"")</f>
        <v>80</v>
      </c>
      <c r="L243" s="160" t="s">
        <v>56</v>
      </c>
      <c r="M243" s="162" t="str">
        <f t="array" ref="M243">IFNA(XLOOKUP(L243,'⚙️ Pengaturan'!$H$5:$H658,'⚙️ Pengaturan'!$I$5:$I658),"")</f>
        <v>TIM Y</v>
      </c>
      <c r="N243" s="163" t="s">
        <v>1137</v>
      </c>
      <c r="O243" s="160" t="s">
        <v>1139</v>
      </c>
      <c r="P243" s="153">
        <f t="shared" si="13"/>
        <v>10</v>
      </c>
      <c r="Q243" s="164">
        <v>45981.0</v>
      </c>
      <c r="R243" s="164">
        <v>45988.0</v>
      </c>
      <c r="S243" s="164">
        <v>45992.0</v>
      </c>
      <c r="T243" s="164">
        <v>45995.0</v>
      </c>
      <c r="U243" s="164">
        <v>45999.0</v>
      </c>
      <c r="V243" s="164">
        <v>46002.0</v>
      </c>
      <c r="W243" s="164">
        <v>46006.0</v>
      </c>
      <c r="X243" s="164">
        <v>46009.0</v>
      </c>
      <c r="Y243" s="164">
        <v>46013.0</v>
      </c>
      <c r="Z243" s="164">
        <v>46020.0</v>
      </c>
      <c r="AA243" s="165">
        <f t="shared" si="20"/>
        <v>46020</v>
      </c>
      <c r="AB243" s="160" t="s">
        <v>1134</v>
      </c>
      <c r="AC243" s="160" t="s">
        <v>1138</v>
      </c>
      <c r="AD243" s="166"/>
      <c r="AE243" s="156">
        <f t="shared" si="21"/>
        <v>46020</v>
      </c>
      <c r="AF243" s="107" t="str">
        <f t="shared" si="22"/>
        <v>2025</v>
      </c>
      <c r="AG243" s="107" t="str">
        <f t="shared" si="23"/>
        <v>12 Des</v>
      </c>
      <c r="AH243" s="107" t="str">
        <f t="shared" si="24"/>
        <v>Sen</v>
      </c>
      <c r="AI243" s="157">
        <f t="shared" si="25"/>
        <v>6</v>
      </c>
      <c r="AJ243" s="96"/>
      <c r="AK243" s="169"/>
      <c r="AL243" s="96"/>
      <c r="AM243" s="158">
        <f t="shared" si="12"/>
        <v>0</v>
      </c>
    </row>
    <row r="244" ht="22.5" customHeight="1">
      <c r="A244" s="167"/>
      <c r="B244" s="160" t="s">
        <v>54</v>
      </c>
      <c r="C244" s="160" t="s">
        <v>1131</v>
      </c>
      <c r="D244" s="173">
        <v>45935.0</v>
      </c>
      <c r="E244" s="124" t="str">
        <f t="shared" si="1"/>
        <v>2025</v>
      </c>
      <c r="F244" s="124" t="str">
        <f t="shared" si="2"/>
        <v>10 Okt</v>
      </c>
      <c r="G244" s="124" t="str">
        <f t="shared" si="3"/>
        <v>Minggu</v>
      </c>
      <c r="H244" s="158" t="s">
        <v>136</v>
      </c>
      <c r="I244" s="125" t="str">
        <f t="array" ref="I244">IFNA(XLOOKUP($H244,'🙎‍♂️ Pasien'!$G$7:$G658,'🙎‍♂️ Pasien'!$H$7:$H658),"")</f>
        <v>H9025092496</v>
      </c>
      <c r="J244" s="125" t="str">
        <f t="array" ref="J244">IFNA(XLOOKUP($H244,'🙎‍♂️ Pasien'!$G$7:$G658,'🙎‍♂️ Pasien'!$L$7:$L658),"")</f>
        <v>LAKI-LAKI</v>
      </c>
      <c r="K244" s="125">
        <f t="array" ref="K244">IFNA(XLOOKUP($H244,'🙎‍♂️ Pasien'!$G$7:$G658,'🙎‍♂️ Pasien'!$I$7:$I658),"")</f>
        <v>35</v>
      </c>
      <c r="L244" s="160" t="s">
        <v>91</v>
      </c>
      <c r="M244" s="162" t="str">
        <f t="array" ref="M244">IFNA(XLOOKUP(L244,'⚙️ Pengaturan'!$H$5:$H658,'⚙️ Pengaturan'!$I$5:$I658),"")</f>
        <v>TIM Y</v>
      </c>
      <c r="N244" s="160" t="s">
        <v>1132</v>
      </c>
      <c r="O244" s="160" t="s">
        <v>1133</v>
      </c>
      <c r="P244" s="153">
        <f t="shared" si="13"/>
        <v>4</v>
      </c>
      <c r="Q244" s="164">
        <v>45935.0</v>
      </c>
      <c r="R244" s="164">
        <v>45946.0</v>
      </c>
      <c r="S244" s="164">
        <v>45956.0</v>
      </c>
      <c r="T244" s="164">
        <v>46018.0</v>
      </c>
      <c r="U244" s="164"/>
      <c r="V244" s="164"/>
      <c r="W244" s="164"/>
      <c r="X244" s="164"/>
      <c r="Y244" s="164"/>
      <c r="Z244" s="164"/>
      <c r="AA244" s="165">
        <f t="shared" si="20"/>
        <v>46018</v>
      </c>
      <c r="AB244" s="160" t="s">
        <v>1144</v>
      </c>
      <c r="AC244" s="174"/>
      <c r="AD244" s="166"/>
      <c r="AE244" s="156" t="str">
        <f t="shared" si="21"/>
        <v/>
      </c>
      <c r="AF244" s="107" t="str">
        <f t="shared" si="22"/>
        <v/>
      </c>
      <c r="AG244" s="107" t="str">
        <f t="shared" si="23"/>
        <v/>
      </c>
      <c r="AH244" s="107" t="str">
        <f t="shared" si="24"/>
        <v/>
      </c>
      <c r="AI244" s="157">
        <f t="shared" si="25"/>
        <v>36</v>
      </c>
      <c r="AJ244" s="96"/>
      <c r="AK244" s="169"/>
      <c r="AL244" s="96"/>
      <c r="AM244" s="158">
        <f t="shared" si="12"/>
        <v>0</v>
      </c>
    </row>
    <row r="245" ht="22.5" customHeight="1">
      <c r="A245" s="167"/>
      <c r="B245" s="20"/>
      <c r="C245" s="20"/>
      <c r="D245" s="123">
        <v>45618.0</v>
      </c>
      <c r="E245" s="124" t="str">
        <f t="shared" si="1"/>
        <v>2024</v>
      </c>
      <c r="F245" s="124" t="str">
        <f t="shared" si="2"/>
        <v>11 Nov</v>
      </c>
      <c r="G245" s="124" t="str">
        <f t="shared" si="3"/>
        <v>Jumat</v>
      </c>
      <c r="H245" s="16" t="s">
        <v>1266</v>
      </c>
      <c r="I245" s="125" t="str">
        <f t="array" ref="I245">IFNA(XLOOKUP($H245,'🙎‍♂️ Pasien'!$G$7:$G658,'🙎‍♂️ Pasien'!$H$7:$H658),"")</f>
        <v>H7724119988</v>
      </c>
      <c r="J245" s="125" t="str">
        <f t="array" ref="J245">IFNA(XLOOKUP($H245,'🙎‍♂️ Pasien'!$G$7:$G658,'🙎‍♂️ Pasien'!$L$7:$L658),"")</f>
        <v>LAKI-LAKI</v>
      </c>
      <c r="K245" s="125">
        <f t="array" ref="K245">IFNA(XLOOKUP($H245,'🙎‍♂️ Pasien'!$G$7:$G658,'🙎‍♂️ Pasien'!$I$7:$I658),"")</f>
        <v>48</v>
      </c>
      <c r="L245" s="16" t="s">
        <v>607</v>
      </c>
      <c r="M245" s="125" t="str">
        <f t="array" ref="M245">IFNA(XLOOKUP(L245,'⚙️ Pengaturan'!$H$5:$H658,'⚙️ Pengaturan'!$I$5:$I658),"")</f>
        <v/>
      </c>
      <c r="N245" s="16" t="s">
        <v>1132</v>
      </c>
      <c r="O245" s="16" t="s">
        <v>1133</v>
      </c>
      <c r="P245" s="153">
        <f t="shared" si="13"/>
        <v>4</v>
      </c>
      <c r="Q245" s="154">
        <v>45621.0</v>
      </c>
      <c r="R245" s="154">
        <v>45655.0</v>
      </c>
      <c r="S245" s="154">
        <v>45630.0</v>
      </c>
      <c r="T245" s="154">
        <v>45637.0</v>
      </c>
      <c r="U245" s="154"/>
      <c r="V245" s="154"/>
      <c r="W245" s="154"/>
      <c r="X245" s="154"/>
      <c r="Y245" s="154"/>
      <c r="Z245" s="154"/>
      <c r="AA245" s="155">
        <f t="shared" si="20"/>
        <v>45655</v>
      </c>
      <c r="AB245" s="16" t="s">
        <v>1144</v>
      </c>
      <c r="AC245" s="20"/>
      <c r="AD245" s="170"/>
      <c r="AE245" s="156" t="str">
        <f t="shared" si="21"/>
        <v/>
      </c>
      <c r="AF245" s="107" t="str">
        <f t="shared" si="22"/>
        <v/>
      </c>
      <c r="AG245" s="107" t="str">
        <f t="shared" si="23"/>
        <v/>
      </c>
      <c r="AH245" s="107" t="str">
        <f t="shared" si="24"/>
        <v/>
      </c>
      <c r="AI245" s="157">
        <f t="shared" si="25"/>
        <v>81</v>
      </c>
      <c r="AJ245" s="96"/>
      <c r="AK245" s="169"/>
      <c r="AL245" s="96"/>
      <c r="AM245" s="158">
        <f t="shared" si="12"/>
        <v>0</v>
      </c>
    </row>
    <row r="246" ht="22.5" customHeight="1">
      <c r="A246" s="167"/>
      <c r="B246" s="160" t="s">
        <v>54</v>
      </c>
      <c r="C246" s="160" t="s">
        <v>1131</v>
      </c>
      <c r="D246" s="173">
        <v>45918.0</v>
      </c>
      <c r="E246" s="124" t="str">
        <f t="shared" si="1"/>
        <v>2025</v>
      </c>
      <c r="F246" s="124" t="str">
        <f t="shared" si="2"/>
        <v>09 Sep</v>
      </c>
      <c r="G246" s="124" t="str">
        <f t="shared" si="3"/>
        <v>Kamis</v>
      </c>
      <c r="H246" s="158" t="s">
        <v>1267</v>
      </c>
      <c r="I246" s="125" t="str">
        <f t="array" ref="I246">IFNA(XLOOKUP($H246,'🙎‍♂️ Pasien'!$G$7:$G658,'🙎‍♂️ Pasien'!$H$7:$H658),"")</f>
        <v>H8825094803</v>
      </c>
      <c r="J246" s="125" t="str">
        <f t="array" ref="J246">IFNA(XLOOKUP($H246,'🙎‍♂️ Pasien'!$G$7:$G658,'🙎‍♂️ Pasien'!$L$7:$L658),"")</f>
        <v>LAKI-LAKI</v>
      </c>
      <c r="K246" s="125">
        <f t="array" ref="K246">IFNA(XLOOKUP($H246,'🙎‍♂️ Pasien'!$G$7:$G658,'🙎‍♂️ Pasien'!$I$7:$I658),"")</f>
        <v>38</v>
      </c>
      <c r="L246" s="160" t="s">
        <v>91</v>
      </c>
      <c r="M246" s="162" t="str">
        <f t="array" ref="M246">IFNA(XLOOKUP(L246,'⚙️ Pengaturan'!$H$5:$H658,'⚙️ Pengaturan'!$I$5:$I658),"")</f>
        <v>TIM Y</v>
      </c>
      <c r="N246" s="163" t="s">
        <v>1132</v>
      </c>
      <c r="O246" s="160" t="s">
        <v>1139</v>
      </c>
      <c r="P246" s="153">
        <f t="shared" si="13"/>
        <v>5</v>
      </c>
      <c r="Q246" s="164">
        <v>45918.0</v>
      </c>
      <c r="R246" s="164">
        <v>45919.0</v>
      </c>
      <c r="S246" s="164">
        <v>45920.0</v>
      </c>
      <c r="T246" s="164">
        <v>45921.0</v>
      </c>
      <c r="U246" s="164">
        <v>45922.0</v>
      </c>
      <c r="V246" s="164"/>
      <c r="W246" s="164"/>
      <c r="X246" s="164"/>
      <c r="Y246" s="164"/>
      <c r="Z246" s="164"/>
      <c r="AA246" s="165">
        <f t="shared" si="20"/>
        <v>45922</v>
      </c>
      <c r="AB246" s="160" t="s">
        <v>1134</v>
      </c>
      <c r="AC246" s="160" t="s">
        <v>1135</v>
      </c>
      <c r="AD246" s="168" t="s">
        <v>1268</v>
      </c>
      <c r="AE246" s="156">
        <f t="shared" si="21"/>
        <v>45922</v>
      </c>
      <c r="AF246" s="107" t="str">
        <f t="shared" si="22"/>
        <v>2025</v>
      </c>
      <c r="AG246" s="107" t="str">
        <f t="shared" si="23"/>
        <v>09 Sep</v>
      </c>
      <c r="AH246" s="107" t="str">
        <f t="shared" si="24"/>
        <v>Sen</v>
      </c>
      <c r="AI246" s="157">
        <f t="shared" si="25"/>
        <v>1</v>
      </c>
      <c r="AJ246" s="96"/>
      <c r="AK246" s="169"/>
      <c r="AL246" s="96"/>
      <c r="AM246" s="158">
        <f t="shared" si="12"/>
        <v>0</v>
      </c>
    </row>
    <row r="247" ht="22.5" customHeight="1">
      <c r="A247" s="167"/>
      <c r="B247" s="160" t="s">
        <v>86</v>
      </c>
      <c r="C247" s="160" t="s">
        <v>1170</v>
      </c>
      <c r="D247" s="161">
        <v>45844.0</v>
      </c>
      <c r="E247" s="124" t="str">
        <f t="shared" si="1"/>
        <v>2025</v>
      </c>
      <c r="F247" s="124" t="str">
        <f t="shared" si="2"/>
        <v>07 Jul</v>
      </c>
      <c r="G247" s="124" t="str">
        <f t="shared" si="3"/>
        <v>Minggu</v>
      </c>
      <c r="H247" s="160" t="s">
        <v>1269</v>
      </c>
      <c r="I247" s="125" t="str">
        <f t="array" ref="I247">IFNA(XLOOKUP($H247,'🙎‍♂️ Pasien'!$G$7:$G658,'🙎‍♂️ Pasien'!$H$7:$H658),"")</f>
        <v>H9225017791</v>
      </c>
      <c r="J247" s="125" t="str">
        <f t="array" ref="J247">IFNA(XLOOKUP($H247,'🙎‍♂️ Pasien'!$G$7:$G658,'🙎‍♂️ Pasien'!$L$7:$L658),"")</f>
        <v>LAKI-LAKI</v>
      </c>
      <c r="K247" s="125">
        <f t="array" ref="K247">IFNA(XLOOKUP($H247,'🙎‍♂️ Pasien'!$G$7:$G658,'🙎‍♂️ Pasien'!$I$7:$I658),"")</f>
        <v>33</v>
      </c>
      <c r="L247" s="160" t="s">
        <v>107</v>
      </c>
      <c r="M247" s="162" t="str">
        <f t="array" ref="M247">IFNA(XLOOKUP(L247,'⚙️ Pengaturan'!$H$5:$H658,'⚙️ Pengaturan'!$I$5:$I658),"")</f>
        <v>TIM Y</v>
      </c>
      <c r="N247" s="163" t="s">
        <v>1132</v>
      </c>
      <c r="O247" s="160" t="s">
        <v>1133</v>
      </c>
      <c r="P247" s="153">
        <f t="shared" si="13"/>
        <v>3</v>
      </c>
      <c r="Q247" s="164">
        <v>45844.0</v>
      </c>
      <c r="R247" s="164">
        <v>45872.0</v>
      </c>
      <c r="S247" s="164">
        <v>45872.0</v>
      </c>
      <c r="T247" s="164"/>
      <c r="U247" s="164"/>
      <c r="V247" s="164"/>
      <c r="W247" s="164"/>
      <c r="X247" s="164"/>
      <c r="Y247" s="164"/>
      <c r="Z247" s="164"/>
      <c r="AA247" s="165">
        <f t="shared" si="20"/>
        <v>45872</v>
      </c>
      <c r="AB247" s="160" t="s">
        <v>1144</v>
      </c>
      <c r="AC247" s="174"/>
      <c r="AD247" s="166"/>
      <c r="AE247" s="156" t="str">
        <f t="shared" si="21"/>
        <v/>
      </c>
      <c r="AF247" s="107" t="str">
        <f t="shared" si="22"/>
        <v/>
      </c>
      <c r="AG247" s="107" t="str">
        <f t="shared" si="23"/>
        <v/>
      </c>
      <c r="AH247" s="107" t="str">
        <f t="shared" si="24"/>
        <v/>
      </c>
      <c r="AI247" s="157">
        <f t="shared" si="25"/>
        <v>49</v>
      </c>
      <c r="AJ247" s="96"/>
      <c r="AK247" s="169"/>
      <c r="AL247" s="96"/>
      <c r="AM247" s="158">
        <f t="shared" si="12"/>
        <v>0</v>
      </c>
    </row>
    <row r="248" ht="22.5" customHeight="1">
      <c r="A248" s="167"/>
      <c r="B248" s="160" t="s">
        <v>86</v>
      </c>
      <c r="C248" s="160" t="s">
        <v>1131</v>
      </c>
      <c r="D248" s="173">
        <v>45908.0</v>
      </c>
      <c r="E248" s="124" t="str">
        <f t="shared" si="1"/>
        <v>2025</v>
      </c>
      <c r="F248" s="124" t="str">
        <f t="shared" si="2"/>
        <v>09 Sep</v>
      </c>
      <c r="G248" s="124" t="str">
        <f t="shared" si="3"/>
        <v>Senin</v>
      </c>
      <c r="H248" s="160" t="s">
        <v>1270</v>
      </c>
      <c r="I248" s="125" t="str">
        <f t="array" ref="I248">IFNA(XLOOKUP($H248,'🙎‍♂️ Pasien'!$G$7:$G658,'🙎‍♂️ Pasien'!$H$7:$H658),"")</f>
        <v>H7525095313</v>
      </c>
      <c r="J248" s="125" t="str">
        <f t="array" ref="J248">IFNA(XLOOKUP($H248,'🙎‍♂️ Pasien'!$G$7:$G658,'🙎‍♂️ Pasien'!$L$7:$L658),"")</f>
        <v>PEREMPUAN</v>
      </c>
      <c r="K248" s="125">
        <f t="array" ref="K248">IFNA(XLOOKUP($H248,'🙎‍♂️ Pasien'!$G$7:$G658,'🙎‍♂️ Pasien'!$I$7:$I658),"")</f>
        <v>51</v>
      </c>
      <c r="L248" s="160" t="s">
        <v>72</v>
      </c>
      <c r="M248" s="162" t="str">
        <f t="array" ref="M248">IFNA(XLOOKUP(L248,'⚙️ Pengaturan'!$H$5:$H658,'⚙️ Pengaturan'!$I$5:$I658),"")</f>
        <v>TIM A</v>
      </c>
      <c r="N248" s="160" t="s">
        <v>1132</v>
      </c>
      <c r="O248" s="160" t="s">
        <v>1133</v>
      </c>
      <c r="P248" s="153">
        <f t="shared" si="13"/>
        <v>5</v>
      </c>
      <c r="Q248" s="164">
        <v>45908.0</v>
      </c>
      <c r="R248" s="164">
        <v>45910.0</v>
      </c>
      <c r="S248" s="164">
        <v>45913.0</v>
      </c>
      <c r="T248" s="164">
        <v>45916.0</v>
      </c>
      <c r="U248" s="164">
        <v>45920.0</v>
      </c>
      <c r="V248" s="164"/>
      <c r="W248" s="164"/>
      <c r="X248" s="164"/>
      <c r="Y248" s="164"/>
      <c r="Z248" s="164"/>
      <c r="AA248" s="165">
        <f t="shared" si="20"/>
        <v>45920</v>
      </c>
      <c r="AB248" s="160" t="s">
        <v>1134</v>
      </c>
      <c r="AC248" s="174"/>
      <c r="AD248" s="166"/>
      <c r="AE248" s="156">
        <f t="shared" si="21"/>
        <v>45920</v>
      </c>
      <c r="AF248" s="107" t="str">
        <f t="shared" si="22"/>
        <v>2025</v>
      </c>
      <c r="AG248" s="107" t="str">
        <f t="shared" si="23"/>
        <v>09 Sep</v>
      </c>
      <c r="AH248" s="107" t="str">
        <f t="shared" si="24"/>
        <v>Sab</v>
      </c>
      <c r="AI248" s="157">
        <f t="shared" si="25"/>
        <v>2</v>
      </c>
      <c r="AJ248" s="96"/>
      <c r="AK248" s="169"/>
      <c r="AL248" s="96"/>
      <c r="AM248" s="158">
        <f t="shared" si="12"/>
        <v>0</v>
      </c>
    </row>
    <row r="249" ht="22.5" customHeight="1">
      <c r="A249" s="167"/>
      <c r="B249" s="20"/>
      <c r="C249" s="20"/>
      <c r="D249" s="123">
        <v>45609.0</v>
      </c>
      <c r="E249" s="124" t="str">
        <f t="shared" si="1"/>
        <v>2024</v>
      </c>
      <c r="F249" s="124" t="str">
        <f t="shared" si="2"/>
        <v>11 Nov</v>
      </c>
      <c r="G249" s="124" t="str">
        <f t="shared" si="3"/>
        <v>Rabu</v>
      </c>
      <c r="H249" s="16" t="s">
        <v>1271</v>
      </c>
      <c r="I249" s="125" t="str">
        <f t="array" ref="I249">IFNA(XLOOKUP($H249,'🙎‍♂️ Pasien'!$G$7:$G658,'🙎‍♂️ Pasien'!$H$7:$H658),"")</f>
        <v>H8124112533</v>
      </c>
      <c r="J249" s="125" t="str">
        <f t="array" ref="J249">IFNA(XLOOKUP($H249,'🙎‍♂️ Pasien'!$G$7:$G658,'🙎‍♂️ Pasien'!$L$7:$L658),"")</f>
        <v>LAKI-LAKI</v>
      </c>
      <c r="K249" s="125">
        <f t="array" ref="K249">IFNA(XLOOKUP($H249,'🙎‍♂️ Pasien'!$G$7:$G658,'🙎‍♂️ Pasien'!$I$7:$I658),"")</f>
        <v>45</v>
      </c>
      <c r="L249" s="16" t="s">
        <v>91</v>
      </c>
      <c r="M249" s="125" t="str">
        <f t="array" ref="M249">IFNA(XLOOKUP(L249,'⚙️ Pengaturan'!$H$5:$H658,'⚙️ Pengaturan'!$I$5:$I658),"")</f>
        <v>TIM Y</v>
      </c>
      <c r="N249" s="16" t="s">
        <v>1132</v>
      </c>
      <c r="O249" s="16" t="s">
        <v>1133</v>
      </c>
      <c r="P249" s="153">
        <f t="shared" si="13"/>
        <v>1</v>
      </c>
      <c r="Q249" s="154">
        <v>45609.0</v>
      </c>
      <c r="R249" s="154"/>
      <c r="S249" s="154"/>
      <c r="T249" s="154"/>
      <c r="U249" s="154"/>
      <c r="V249" s="154"/>
      <c r="W249" s="154"/>
      <c r="X249" s="154"/>
      <c r="Y249" s="154"/>
      <c r="Z249" s="154"/>
      <c r="AA249" s="155">
        <f t="shared" si="20"/>
        <v>45609</v>
      </c>
      <c r="AB249" s="16" t="s">
        <v>1144</v>
      </c>
      <c r="AC249" s="20"/>
      <c r="AD249" s="170"/>
      <c r="AE249" s="156" t="str">
        <f t="shared" si="21"/>
        <v/>
      </c>
      <c r="AF249" s="107" t="str">
        <f t="shared" si="22"/>
        <v/>
      </c>
      <c r="AG249" s="107" t="str">
        <f t="shared" si="23"/>
        <v/>
      </c>
      <c r="AH249" s="107" t="str">
        <f t="shared" si="24"/>
        <v/>
      </c>
      <c r="AI249" s="157">
        <f t="shared" si="25"/>
        <v>82</v>
      </c>
      <c r="AJ249" s="96"/>
      <c r="AK249" s="169"/>
      <c r="AL249" s="96"/>
      <c r="AM249" s="158">
        <f t="shared" si="12"/>
        <v>0</v>
      </c>
    </row>
    <row r="250" ht="22.5" customHeight="1">
      <c r="A250" s="167"/>
      <c r="B250" s="160" t="s">
        <v>134</v>
      </c>
      <c r="C250" s="160" t="s">
        <v>1131</v>
      </c>
      <c r="D250" s="161">
        <v>45926.0</v>
      </c>
      <c r="E250" s="124" t="str">
        <f t="shared" si="1"/>
        <v>2025</v>
      </c>
      <c r="F250" s="124" t="str">
        <f t="shared" si="2"/>
        <v>09 Sep</v>
      </c>
      <c r="G250" s="124" t="str">
        <f t="shared" si="3"/>
        <v>Jumat</v>
      </c>
      <c r="H250" s="160" t="s">
        <v>116</v>
      </c>
      <c r="I250" s="125" t="str">
        <f t="array" ref="I250">IFNA(XLOOKUP($H250,'🙎‍♂️ Pasien'!$G$7:$G658,'🙎‍♂️ Pasien'!$H$7:$H658),"")</f>
        <v>H7825098625</v>
      </c>
      <c r="J250" s="125" t="str">
        <f t="array" ref="J250">IFNA(XLOOKUP($H250,'🙎‍♂️ Pasien'!$G$7:$G658,'🙎‍♂️ Pasien'!$L$7:$L658),"")</f>
        <v>LAKI-LAKI</v>
      </c>
      <c r="K250" s="125">
        <f t="array" ref="K250">IFNA(XLOOKUP($H250,'🙎‍♂️ Pasien'!$G$7:$G658,'🙎‍♂️ Pasien'!$I$7:$I658),"")</f>
        <v>47</v>
      </c>
      <c r="L250" s="160" t="s">
        <v>107</v>
      </c>
      <c r="M250" s="162" t="str">
        <f t="array" ref="M250">IFNA(XLOOKUP(L250,'⚙️ Pengaturan'!$H$5:$H658,'⚙️ Pengaturan'!$I$5:$I658),"")</f>
        <v>TIM Y</v>
      </c>
      <c r="N250" s="160" t="s">
        <v>1132</v>
      </c>
      <c r="O250" s="160" t="s">
        <v>1133</v>
      </c>
      <c r="P250" s="153">
        <f t="shared" si="13"/>
        <v>5</v>
      </c>
      <c r="Q250" s="164">
        <v>45929.0</v>
      </c>
      <c r="R250" s="164">
        <v>45932.0</v>
      </c>
      <c r="S250" s="164">
        <v>45938.0</v>
      </c>
      <c r="T250" s="164">
        <v>45941.0</v>
      </c>
      <c r="U250" s="164">
        <v>45944.0</v>
      </c>
      <c r="V250" s="164"/>
      <c r="W250" s="164"/>
      <c r="X250" s="164"/>
      <c r="Y250" s="164"/>
      <c r="Z250" s="164"/>
      <c r="AA250" s="165">
        <f t="shared" si="20"/>
        <v>45944</v>
      </c>
      <c r="AB250" s="160" t="s">
        <v>1134</v>
      </c>
      <c r="AC250" s="160" t="s">
        <v>1138</v>
      </c>
      <c r="AD250" s="166"/>
      <c r="AE250" s="156">
        <f t="shared" si="21"/>
        <v>45944</v>
      </c>
      <c r="AF250" s="107" t="str">
        <f t="shared" si="22"/>
        <v>2025</v>
      </c>
      <c r="AG250" s="107" t="str">
        <f t="shared" si="23"/>
        <v>10 Okt</v>
      </c>
      <c r="AH250" s="107" t="str">
        <f t="shared" si="24"/>
        <v>Sel</v>
      </c>
      <c r="AI250" s="157">
        <f t="shared" si="25"/>
        <v>3</v>
      </c>
      <c r="AJ250" s="96"/>
      <c r="AK250" s="169"/>
      <c r="AL250" s="96"/>
      <c r="AM250" s="158">
        <f t="shared" si="12"/>
        <v>0</v>
      </c>
    </row>
    <row r="251" ht="22.5" customHeight="1">
      <c r="A251" s="167"/>
      <c r="B251" s="160" t="s">
        <v>54</v>
      </c>
      <c r="C251" s="160" t="s">
        <v>1131</v>
      </c>
      <c r="D251" s="161">
        <v>45951.0</v>
      </c>
      <c r="E251" s="124" t="str">
        <f t="shared" si="1"/>
        <v>2025</v>
      </c>
      <c r="F251" s="124" t="str">
        <f t="shared" si="2"/>
        <v>10 Okt</v>
      </c>
      <c r="G251" s="124" t="str">
        <f t="shared" si="3"/>
        <v>Selasa</v>
      </c>
      <c r="H251" s="160" t="s">
        <v>116</v>
      </c>
      <c r="I251" s="125" t="str">
        <f t="array" ref="I251">IFNA(XLOOKUP($H251,'🙎‍♂️ Pasien'!$G$7:$G658,'🙎‍♂️ Pasien'!$H$7:$H658),"")</f>
        <v>H7825098625</v>
      </c>
      <c r="J251" s="125" t="str">
        <f t="array" ref="J251">IFNA(XLOOKUP($H251,'🙎‍♂️ Pasien'!$G$7:$G658,'🙎‍♂️ Pasien'!$L$7:$L658),"")</f>
        <v>LAKI-LAKI</v>
      </c>
      <c r="K251" s="125">
        <f t="array" ref="K251">IFNA(XLOOKUP($H251,'🙎‍♂️ Pasien'!$G$7:$G658,'🙎‍♂️ Pasien'!$I$7:$I658),"")</f>
        <v>47</v>
      </c>
      <c r="L251" s="160" t="s">
        <v>88</v>
      </c>
      <c r="M251" s="162" t="str">
        <f t="array" ref="M251">IFNA(XLOOKUP(L251,'⚙️ Pengaturan'!$H$5:$H658,'⚙️ Pengaturan'!$I$5:$I658),"")</f>
        <v>TIM Y</v>
      </c>
      <c r="N251" s="160" t="s">
        <v>1132</v>
      </c>
      <c r="O251" s="160" t="s">
        <v>1139</v>
      </c>
      <c r="P251" s="153">
        <f t="shared" si="13"/>
        <v>4</v>
      </c>
      <c r="Q251" s="164">
        <v>45951.0</v>
      </c>
      <c r="R251" s="164">
        <v>45953.0</v>
      </c>
      <c r="S251" s="164">
        <v>45960.0</v>
      </c>
      <c r="T251" s="164">
        <v>45972.0</v>
      </c>
      <c r="U251" s="164"/>
      <c r="V251" s="164"/>
      <c r="W251" s="164"/>
      <c r="X251" s="164"/>
      <c r="Y251" s="164"/>
      <c r="Z251" s="164"/>
      <c r="AA251" s="165">
        <f t="shared" si="20"/>
        <v>45972</v>
      </c>
      <c r="AB251" s="160" t="s">
        <v>1144</v>
      </c>
      <c r="AC251" s="172"/>
      <c r="AD251" s="166"/>
      <c r="AE251" s="156" t="str">
        <f t="shared" si="21"/>
        <v/>
      </c>
      <c r="AF251" s="107" t="str">
        <f t="shared" si="22"/>
        <v/>
      </c>
      <c r="AG251" s="107" t="str">
        <f t="shared" si="23"/>
        <v/>
      </c>
      <c r="AH251" s="107" t="str">
        <f t="shared" si="24"/>
        <v/>
      </c>
      <c r="AI251" s="157">
        <f t="shared" si="25"/>
        <v>33</v>
      </c>
      <c r="AJ251" s="96"/>
      <c r="AK251" s="169"/>
      <c r="AL251" s="96"/>
      <c r="AM251" s="158">
        <f t="shared" si="12"/>
        <v>0</v>
      </c>
    </row>
    <row r="252" ht="22.5" customHeight="1">
      <c r="A252" s="167"/>
      <c r="B252" s="20"/>
      <c r="C252" s="20"/>
      <c r="D252" s="123">
        <v>45631.0</v>
      </c>
      <c r="E252" s="124" t="str">
        <f t="shared" si="1"/>
        <v>2024</v>
      </c>
      <c r="F252" s="124" t="str">
        <f t="shared" si="2"/>
        <v>12 Des</v>
      </c>
      <c r="G252" s="124" t="str">
        <f t="shared" si="3"/>
        <v>Kamis</v>
      </c>
      <c r="H252" s="16" t="s">
        <v>1272</v>
      </c>
      <c r="I252" s="125" t="str">
        <f t="array" ref="I252">IFNA(XLOOKUP($H252,'🙎‍♂️ Pasien'!$G$7:$G658,'🙎‍♂️ Pasien'!$H$7:$H658),"")</f>
        <v>H9524120422</v>
      </c>
      <c r="J252" s="125" t="str">
        <f t="array" ref="J252">IFNA(XLOOKUP($H252,'🙎‍♂️ Pasien'!$G$7:$G658,'🙎‍♂️ Pasien'!$L$7:$L658),"")</f>
        <v>LAKI-LAKI</v>
      </c>
      <c r="K252" s="125">
        <f t="array" ref="K252">IFNA(XLOOKUP($H252,'🙎‍♂️ Pasien'!$G$7:$G658,'🙎‍♂️ Pasien'!$I$7:$I658),"")</f>
        <v>30</v>
      </c>
      <c r="L252" s="20"/>
      <c r="M252" s="125" t="str">
        <f t="array" ref="M252">IFNA(XLOOKUP(L252,'⚙️ Pengaturan'!$H$5:$H658,'⚙️ Pengaturan'!$I$5:$I658),"")</f>
        <v/>
      </c>
      <c r="N252" s="16" t="s">
        <v>1132</v>
      </c>
      <c r="O252" s="16" t="s">
        <v>1133</v>
      </c>
      <c r="P252" s="153">
        <f t="shared" si="13"/>
        <v>3</v>
      </c>
      <c r="Q252" s="154">
        <v>45634.0</v>
      </c>
      <c r="R252" s="154">
        <v>45645.0</v>
      </c>
      <c r="S252" s="154">
        <v>45647.0</v>
      </c>
      <c r="T252" s="154"/>
      <c r="U252" s="154"/>
      <c r="V252" s="154"/>
      <c r="W252" s="154"/>
      <c r="X252" s="154"/>
      <c r="Y252" s="154"/>
      <c r="Z252" s="154"/>
      <c r="AA252" s="155">
        <f t="shared" si="20"/>
        <v>45647</v>
      </c>
      <c r="AB252" s="16" t="s">
        <v>1144</v>
      </c>
      <c r="AC252" s="20"/>
      <c r="AD252" s="170"/>
      <c r="AE252" s="156" t="str">
        <f t="shared" si="21"/>
        <v/>
      </c>
      <c r="AF252" s="107" t="str">
        <f t="shared" si="22"/>
        <v/>
      </c>
      <c r="AG252" s="107" t="str">
        <f t="shared" si="23"/>
        <v/>
      </c>
      <c r="AH252" s="107" t="str">
        <f t="shared" si="24"/>
        <v/>
      </c>
      <c r="AI252" s="157">
        <f t="shared" si="25"/>
        <v>79</v>
      </c>
      <c r="AJ252" s="96"/>
      <c r="AK252" s="169"/>
      <c r="AL252" s="96"/>
      <c r="AM252" s="158">
        <f t="shared" si="12"/>
        <v>0</v>
      </c>
    </row>
    <row r="253" ht="22.5" customHeight="1">
      <c r="A253" s="167"/>
      <c r="B253" s="160" t="s">
        <v>54</v>
      </c>
      <c r="C253" s="160" t="s">
        <v>1131</v>
      </c>
      <c r="D253" s="161">
        <v>45833.0</v>
      </c>
      <c r="E253" s="124" t="str">
        <f t="shared" si="1"/>
        <v>2025</v>
      </c>
      <c r="F253" s="124" t="str">
        <f t="shared" si="2"/>
        <v>06 Jun</v>
      </c>
      <c r="G253" s="124" t="str">
        <f t="shared" si="3"/>
        <v>Rabu</v>
      </c>
      <c r="H253" s="160" t="s">
        <v>273</v>
      </c>
      <c r="I253" s="125" t="str">
        <f t="array" ref="I253">IFNA(XLOOKUP($H253,'🙎‍♂️ Pasien'!$G$7:$G658,'🙎‍♂️ Pasien'!$H$7:$H658),"")</f>
        <v>H6325042095</v>
      </c>
      <c r="J253" s="125" t="str">
        <f t="array" ref="J253">IFNA(XLOOKUP($H253,'🙎‍♂️ Pasien'!$G$7:$G658,'🙎‍♂️ Pasien'!$L$7:$L658),"")</f>
        <v>LAKI-LAKI</v>
      </c>
      <c r="K253" s="125">
        <f t="array" ref="K253">IFNA(XLOOKUP($H253,'🙎‍♂️ Pasien'!$G$7:$G658,'🙎‍♂️ Pasien'!$I$7:$I658),"")</f>
        <v>63</v>
      </c>
      <c r="L253" s="160" t="s">
        <v>56</v>
      </c>
      <c r="M253" s="162" t="str">
        <f t="array" ref="M253">IFNA(XLOOKUP(L253,'⚙️ Pengaturan'!$H$5:$H658,'⚙️ Pengaturan'!$I$5:$I658),"")</f>
        <v>TIM Y</v>
      </c>
      <c r="N253" s="163" t="s">
        <v>1132</v>
      </c>
      <c r="O253" s="160" t="s">
        <v>1139</v>
      </c>
      <c r="P253" s="153">
        <f t="shared" si="13"/>
        <v>3</v>
      </c>
      <c r="Q253" s="164">
        <v>45833.0</v>
      </c>
      <c r="R253" s="164">
        <v>45883.0</v>
      </c>
      <c r="S253" s="164">
        <v>45890.0</v>
      </c>
      <c r="T253" s="164"/>
      <c r="U253" s="164"/>
      <c r="V253" s="164"/>
      <c r="W253" s="164"/>
      <c r="X253" s="164"/>
      <c r="Y253" s="164"/>
      <c r="Z253" s="164"/>
      <c r="AA253" s="165">
        <f t="shared" si="20"/>
        <v>45890</v>
      </c>
      <c r="AB253" s="160" t="s">
        <v>1144</v>
      </c>
      <c r="AC253" s="174"/>
      <c r="AD253" s="166"/>
      <c r="AE253" s="156" t="str">
        <f t="shared" si="21"/>
        <v/>
      </c>
      <c r="AF253" s="107" t="str">
        <f t="shared" si="22"/>
        <v/>
      </c>
      <c r="AG253" s="107" t="str">
        <f t="shared" si="23"/>
        <v/>
      </c>
      <c r="AH253" s="107" t="str">
        <f t="shared" si="24"/>
        <v/>
      </c>
      <c r="AI253" s="157">
        <f t="shared" si="25"/>
        <v>50</v>
      </c>
      <c r="AJ253" s="96"/>
      <c r="AK253" s="169"/>
      <c r="AL253" s="96"/>
      <c r="AM253" s="158">
        <f t="shared" si="12"/>
        <v>0</v>
      </c>
    </row>
    <row r="254" ht="22.5" customHeight="1">
      <c r="A254" s="167"/>
      <c r="B254" s="160" t="s">
        <v>86</v>
      </c>
      <c r="C254" s="160" t="s">
        <v>1131</v>
      </c>
      <c r="D254" s="173"/>
      <c r="E254" s="124" t="str">
        <f t="shared" si="1"/>
        <v/>
      </c>
      <c r="F254" s="124" t="str">
        <f t="shared" si="2"/>
        <v/>
      </c>
      <c r="G254" s="124" t="str">
        <f t="shared" si="3"/>
        <v/>
      </c>
      <c r="H254" s="158" t="s">
        <v>798</v>
      </c>
      <c r="I254" s="125" t="str">
        <f t="array" ref="I254">IFNA(XLOOKUP($H254,'🙎‍♂️ Pasien'!$G$7:$G658,'🙎‍♂️ Pasien'!$H$7:$H658),"")</f>
        <v/>
      </c>
      <c r="J254" s="125" t="str">
        <f t="array" ref="J254">IFNA(XLOOKUP($H254,'🙎‍♂️ Pasien'!$G$7:$G658,'🙎‍♂️ Pasien'!$L$7:$L658),"")</f>
        <v/>
      </c>
      <c r="K254" s="125" t="str">
        <f t="array" ref="K254">IFNA(XLOOKUP($H254,'🙎‍♂️ Pasien'!$G$7:$G658,'🙎‍♂️ Pasien'!$I$7:$I658),"")</f>
        <v/>
      </c>
      <c r="L254" s="160" t="s">
        <v>88</v>
      </c>
      <c r="M254" s="162" t="str">
        <f t="array" ref="M254">IFNA(XLOOKUP(L254,'⚙️ Pengaturan'!$H$5:$H658,'⚙️ Pengaturan'!$I$5:$I658),"")</f>
        <v>TIM Y</v>
      </c>
      <c r="N254" s="160" t="s">
        <v>1132</v>
      </c>
      <c r="O254" s="160" t="s">
        <v>1133</v>
      </c>
      <c r="P254" s="153">
        <f t="shared" si="13"/>
        <v>3</v>
      </c>
      <c r="Q254" s="164"/>
      <c r="R254" s="164"/>
      <c r="S254" s="164">
        <v>46014.0</v>
      </c>
      <c r="T254" s="164">
        <v>46017.0</v>
      </c>
      <c r="U254" s="164">
        <v>46019.0</v>
      </c>
      <c r="V254" s="164"/>
      <c r="W254" s="164"/>
      <c r="X254" s="164"/>
      <c r="Y254" s="164"/>
      <c r="Z254" s="164"/>
      <c r="AA254" s="165" t="str">
        <f t="shared" si="20"/>
        <v/>
      </c>
      <c r="AB254" s="160" t="s">
        <v>1134</v>
      </c>
      <c r="AC254" s="160"/>
      <c r="AD254" s="166"/>
      <c r="AE254" s="156">
        <f t="shared" si="21"/>
        <v>46019</v>
      </c>
      <c r="AF254" s="107" t="str">
        <f t="shared" si="22"/>
        <v>2025</v>
      </c>
      <c r="AG254" s="107" t="str">
        <f t="shared" si="23"/>
        <v>12 Des</v>
      </c>
      <c r="AH254" s="107" t="str">
        <f t="shared" si="24"/>
        <v>Min</v>
      </c>
      <c r="AI254" s="157" t="str">
        <f t="shared" si="25"/>
        <v/>
      </c>
      <c r="AJ254" s="96"/>
      <c r="AK254" s="169"/>
      <c r="AL254" s="96"/>
      <c r="AM254" s="158">
        <f t="shared" si="12"/>
        <v>1</v>
      </c>
    </row>
    <row r="255" ht="22.5" customHeight="1">
      <c r="A255" s="167"/>
      <c r="B255" s="160" t="s">
        <v>86</v>
      </c>
      <c r="C255" s="160" t="s">
        <v>1131</v>
      </c>
      <c r="D255" s="173">
        <v>45929.0</v>
      </c>
      <c r="E255" s="124" t="str">
        <f t="shared" si="1"/>
        <v>2025</v>
      </c>
      <c r="F255" s="124" t="str">
        <f t="shared" si="2"/>
        <v>09 Sep</v>
      </c>
      <c r="G255" s="124" t="str">
        <f t="shared" si="3"/>
        <v>Senin</v>
      </c>
      <c r="H255" s="158" t="s">
        <v>113</v>
      </c>
      <c r="I255" s="125" t="str">
        <f t="array" ref="I255">IFNA(XLOOKUP($H255,'🙎‍♂️ Pasien'!$G$7:$G658,'🙎‍♂️ Pasien'!$H$7:$H658),"")</f>
        <v>H5325098176</v>
      </c>
      <c r="J255" s="125" t="str">
        <f t="array" ref="J255">IFNA(XLOOKUP($H255,'🙎‍♂️ Pasien'!$G$7:$G658,'🙎‍♂️ Pasien'!$L$7:$L658),"")</f>
        <v>LAKI-LAKI</v>
      </c>
      <c r="K255" s="125">
        <f t="array" ref="K255">IFNA(XLOOKUP($H255,'🙎‍♂️ Pasien'!$G$7:$G658,'🙎‍♂️ Pasien'!$I$7:$I658),"")</f>
        <v>73</v>
      </c>
      <c r="L255" s="160" t="s">
        <v>91</v>
      </c>
      <c r="M255" s="162" t="str">
        <f t="array" ref="M255">IFNA(XLOOKUP(L255,'⚙️ Pengaturan'!$H$5:$H658,'⚙️ Pengaturan'!$I$5:$I658),"")</f>
        <v>TIM Y</v>
      </c>
      <c r="N255" s="160" t="s">
        <v>1137</v>
      </c>
      <c r="O255" s="160" t="s">
        <v>1133</v>
      </c>
      <c r="P255" s="153">
        <f t="shared" si="13"/>
        <v>10</v>
      </c>
      <c r="Q255" s="164">
        <v>45929.0</v>
      </c>
      <c r="R255" s="164">
        <v>45934.0</v>
      </c>
      <c r="S255" s="164">
        <v>45937.0</v>
      </c>
      <c r="T255" s="164">
        <v>45939.0</v>
      </c>
      <c r="U255" s="164">
        <v>45943.0</v>
      </c>
      <c r="V255" s="164">
        <v>45946.0</v>
      </c>
      <c r="W255" s="164">
        <v>45950.0</v>
      </c>
      <c r="X255" s="164">
        <v>45952.0</v>
      </c>
      <c r="Y255" s="164">
        <v>45955.0</v>
      </c>
      <c r="Z255" s="164">
        <v>45957.0</v>
      </c>
      <c r="AA255" s="165">
        <f t="shared" si="20"/>
        <v>45957</v>
      </c>
      <c r="AB255" s="160" t="s">
        <v>1144</v>
      </c>
      <c r="AC255" s="174"/>
      <c r="AD255" s="166"/>
      <c r="AE255" s="156">
        <f t="shared" si="21"/>
        <v>45957</v>
      </c>
      <c r="AF255" s="107" t="str">
        <f t="shared" si="22"/>
        <v>2025</v>
      </c>
      <c r="AG255" s="107" t="str">
        <f t="shared" si="23"/>
        <v>10 Okt</v>
      </c>
      <c r="AH255" s="107" t="str">
        <f t="shared" si="24"/>
        <v>Sen</v>
      </c>
      <c r="AI255" s="157">
        <f t="shared" si="25"/>
        <v>4</v>
      </c>
      <c r="AJ255" s="96"/>
      <c r="AK255" s="169"/>
      <c r="AL255" s="96"/>
      <c r="AM255" s="158">
        <f t="shared" si="12"/>
        <v>0</v>
      </c>
    </row>
    <row r="256" ht="22.5" customHeight="1">
      <c r="A256" s="167"/>
      <c r="B256" s="160" t="s">
        <v>134</v>
      </c>
      <c r="C256" s="160" t="s">
        <v>1131</v>
      </c>
      <c r="D256" s="161">
        <v>45868.0</v>
      </c>
      <c r="E256" s="124" t="str">
        <f t="shared" si="1"/>
        <v>2025</v>
      </c>
      <c r="F256" s="124" t="str">
        <f t="shared" si="2"/>
        <v>07 Jul</v>
      </c>
      <c r="G256" s="124" t="str">
        <f t="shared" si="3"/>
        <v>Rabu</v>
      </c>
      <c r="H256" s="160" t="s">
        <v>1273</v>
      </c>
      <c r="I256" s="125" t="str">
        <f t="array" ref="I256">IFNA(XLOOKUP($H256,'🙎‍♂️ Pasien'!$G$7:$G658,'🙎‍♂️ Pasien'!$H$7:$H658),"")</f>
        <v>H6725078818</v>
      </c>
      <c r="J256" s="125" t="str">
        <f t="array" ref="J256">IFNA(XLOOKUP($H256,'🙎‍♂️ Pasien'!$G$7:$G658,'🙎‍♂️ Pasien'!$L$7:$L658),"")</f>
        <v>PEREMPUAN</v>
      </c>
      <c r="K256" s="125">
        <f t="array" ref="K256">IFNA(XLOOKUP($H256,'🙎‍♂️ Pasien'!$G$7:$G658,'🙎‍♂️ Pasien'!$I$7:$I658),"")</f>
        <v>58</v>
      </c>
      <c r="L256" s="160" t="s">
        <v>107</v>
      </c>
      <c r="M256" s="162" t="str">
        <f t="array" ref="M256">IFNA(XLOOKUP(L256,'⚙️ Pengaturan'!$H$5:$H658,'⚙️ Pengaturan'!$I$5:$I658),"")</f>
        <v>TIM Y</v>
      </c>
      <c r="N256" s="163" t="s">
        <v>1132</v>
      </c>
      <c r="O256" s="160" t="s">
        <v>1133</v>
      </c>
      <c r="P256" s="153">
        <f t="shared" si="13"/>
        <v>4</v>
      </c>
      <c r="Q256" s="164">
        <v>45869.0</v>
      </c>
      <c r="R256" s="164">
        <v>45872.0</v>
      </c>
      <c r="S256" s="164">
        <v>45874.0</v>
      </c>
      <c r="T256" s="164">
        <v>45881.0</v>
      </c>
      <c r="U256" s="164"/>
      <c r="V256" s="164"/>
      <c r="W256" s="164"/>
      <c r="X256" s="164"/>
      <c r="Y256" s="164"/>
      <c r="Z256" s="164"/>
      <c r="AA256" s="165">
        <f t="shared" si="20"/>
        <v>45881</v>
      </c>
      <c r="AB256" s="160" t="s">
        <v>1144</v>
      </c>
      <c r="AC256" s="174"/>
      <c r="AD256" s="166"/>
      <c r="AE256" s="156" t="str">
        <f t="shared" si="21"/>
        <v/>
      </c>
      <c r="AF256" s="107" t="str">
        <f t="shared" si="22"/>
        <v/>
      </c>
      <c r="AG256" s="107" t="str">
        <f t="shared" si="23"/>
        <v/>
      </c>
      <c r="AH256" s="107" t="str">
        <f t="shared" si="24"/>
        <v/>
      </c>
      <c r="AI256" s="157">
        <f t="shared" si="25"/>
        <v>45</v>
      </c>
      <c r="AJ256" s="96"/>
      <c r="AK256" s="169"/>
      <c r="AL256" s="96"/>
      <c r="AM256" s="158">
        <f t="shared" si="12"/>
        <v>0</v>
      </c>
    </row>
    <row r="257" ht="22.5" customHeight="1">
      <c r="A257" s="167"/>
      <c r="B257" s="160" t="s">
        <v>86</v>
      </c>
      <c r="C257" s="172"/>
      <c r="D257" s="161">
        <v>45784.0</v>
      </c>
      <c r="E257" s="124" t="str">
        <f t="shared" si="1"/>
        <v>2025</v>
      </c>
      <c r="F257" s="124" t="str">
        <f t="shared" si="2"/>
        <v>05 Mei</v>
      </c>
      <c r="G257" s="124" t="str">
        <f t="shared" si="3"/>
        <v>Rabu</v>
      </c>
      <c r="H257" s="160" t="s">
        <v>1274</v>
      </c>
      <c r="I257" s="125" t="str">
        <f t="array" ref="I257">IFNA(XLOOKUP($H257,'🙎‍♂️ Pasien'!$G$7:$G658,'🙎‍♂️ Pasien'!$H$7:$H658),"")</f>
        <v>H9125059720</v>
      </c>
      <c r="J257" s="125" t="str">
        <f t="array" ref="J257">IFNA(XLOOKUP($H257,'🙎‍♂️ Pasien'!$G$7:$G658,'🙎‍♂️ Pasien'!$L$7:$L658),"")</f>
        <v>LAKI-LAKI</v>
      </c>
      <c r="K257" s="125">
        <f t="array" ref="K257">IFNA(XLOOKUP($H257,'🙎‍♂️ Pasien'!$G$7:$G658,'🙎‍♂️ Pasien'!$I$7:$I658),"")</f>
        <v>35</v>
      </c>
      <c r="L257" s="160" t="s">
        <v>101</v>
      </c>
      <c r="M257" s="162" t="str">
        <f t="array" ref="M257">IFNA(XLOOKUP(L257,'⚙️ Pengaturan'!$H$5:$H658,'⚙️ Pengaturan'!$I$5:$I658),"")</f>
        <v>MANAJEMEN</v>
      </c>
      <c r="N257" s="160" t="s">
        <v>1132</v>
      </c>
      <c r="O257" s="160" t="s">
        <v>1133</v>
      </c>
      <c r="P257" s="153">
        <f t="shared" si="13"/>
        <v>4</v>
      </c>
      <c r="Q257" s="164">
        <v>45786.0</v>
      </c>
      <c r="R257" s="164">
        <v>45790.0</v>
      </c>
      <c r="S257" s="164">
        <v>45800.0</v>
      </c>
      <c r="T257" s="164">
        <v>45807.0</v>
      </c>
      <c r="U257" s="164"/>
      <c r="V257" s="164"/>
      <c r="W257" s="164"/>
      <c r="X257" s="164"/>
      <c r="Y257" s="164"/>
      <c r="Z257" s="164"/>
      <c r="AA257" s="165">
        <f t="shared" si="20"/>
        <v>45807</v>
      </c>
      <c r="AB257" s="160" t="s">
        <v>1144</v>
      </c>
      <c r="AC257" s="174"/>
      <c r="AD257" s="166"/>
      <c r="AE257" s="156" t="str">
        <f t="shared" si="21"/>
        <v/>
      </c>
      <c r="AF257" s="107" t="str">
        <f t="shared" si="22"/>
        <v/>
      </c>
      <c r="AG257" s="107" t="str">
        <f t="shared" si="23"/>
        <v/>
      </c>
      <c r="AH257" s="107" t="str">
        <f t="shared" si="24"/>
        <v/>
      </c>
      <c r="AI257" s="157">
        <f t="shared" si="25"/>
        <v>57</v>
      </c>
      <c r="AJ257" s="96"/>
      <c r="AK257" s="169"/>
      <c r="AL257" s="96"/>
      <c r="AM257" s="158">
        <f t="shared" si="12"/>
        <v>0</v>
      </c>
    </row>
    <row r="258" ht="22.5" customHeight="1">
      <c r="A258" s="167"/>
      <c r="B258" s="160" t="s">
        <v>86</v>
      </c>
      <c r="C258" s="160" t="s">
        <v>1131</v>
      </c>
      <c r="D258" s="161">
        <v>45826.0</v>
      </c>
      <c r="E258" s="124" t="str">
        <f t="shared" si="1"/>
        <v>2025</v>
      </c>
      <c r="F258" s="124" t="str">
        <f t="shared" si="2"/>
        <v>06 Jun</v>
      </c>
      <c r="G258" s="124" t="str">
        <f t="shared" si="3"/>
        <v>Rabu</v>
      </c>
      <c r="H258" s="160" t="s">
        <v>1275</v>
      </c>
      <c r="I258" s="125" t="str">
        <f t="array" ref="I258">IFNA(XLOOKUP($H258,'🙎‍♂️ Pasien'!$G$7:$G658,'🙎‍♂️ Pasien'!$H$7:$H658),"")</f>
        <v>H7825063633</v>
      </c>
      <c r="J258" s="125" t="str">
        <f t="array" ref="J258">IFNA(XLOOKUP($H258,'🙎‍♂️ Pasien'!$G$7:$G658,'🙎‍♂️ Pasien'!$L$7:$L658),"")</f>
        <v>LAKI-LAKI</v>
      </c>
      <c r="K258" s="125">
        <f t="array" ref="K258">IFNA(XLOOKUP($H258,'🙎‍♂️ Pasien'!$G$7:$G658,'🙎‍♂️ Pasien'!$I$7:$I658),"")</f>
        <v>48</v>
      </c>
      <c r="L258" s="160" t="s">
        <v>72</v>
      </c>
      <c r="M258" s="162" t="str">
        <f t="array" ref="M258">IFNA(XLOOKUP(L258,'⚙️ Pengaturan'!$H$5:$H658,'⚙️ Pengaturan'!$I$5:$I658),"")</f>
        <v>TIM A</v>
      </c>
      <c r="N258" s="163" t="s">
        <v>1132</v>
      </c>
      <c r="O258" s="160" t="s">
        <v>1139</v>
      </c>
      <c r="P258" s="153">
        <f t="shared" si="13"/>
        <v>5</v>
      </c>
      <c r="Q258" s="164">
        <v>45826.0</v>
      </c>
      <c r="R258" s="164">
        <v>45832.0</v>
      </c>
      <c r="S258" s="164">
        <v>45836.0</v>
      </c>
      <c r="T258" s="164">
        <v>45838.0</v>
      </c>
      <c r="U258" s="164">
        <v>45900.0</v>
      </c>
      <c r="V258" s="164"/>
      <c r="W258" s="164"/>
      <c r="X258" s="164"/>
      <c r="Y258" s="164"/>
      <c r="Z258" s="164"/>
      <c r="AA258" s="165">
        <f t="shared" si="20"/>
        <v>45900</v>
      </c>
      <c r="AB258" s="160" t="s">
        <v>1134</v>
      </c>
      <c r="AC258" s="160" t="s">
        <v>1138</v>
      </c>
      <c r="AD258" s="166"/>
      <c r="AE258" s="156">
        <f t="shared" si="21"/>
        <v>45900</v>
      </c>
      <c r="AF258" s="107" t="str">
        <f t="shared" si="22"/>
        <v>2025</v>
      </c>
      <c r="AG258" s="107" t="str">
        <f t="shared" si="23"/>
        <v>08 Agu</v>
      </c>
      <c r="AH258" s="107" t="str">
        <f t="shared" si="24"/>
        <v>Min</v>
      </c>
      <c r="AI258" s="157">
        <f t="shared" si="25"/>
        <v>11</v>
      </c>
      <c r="AJ258" s="96"/>
      <c r="AK258" s="169"/>
      <c r="AL258" s="96"/>
      <c r="AM258" s="158">
        <f t="shared" si="12"/>
        <v>0</v>
      </c>
    </row>
    <row r="259" ht="22.5" customHeight="1">
      <c r="A259" s="167"/>
      <c r="B259" s="160" t="s">
        <v>54</v>
      </c>
      <c r="C259" s="160" t="s">
        <v>1131</v>
      </c>
      <c r="D259" s="161">
        <v>45902.0</v>
      </c>
      <c r="E259" s="124" t="str">
        <f t="shared" si="1"/>
        <v>2025</v>
      </c>
      <c r="F259" s="124" t="str">
        <f t="shared" si="2"/>
        <v>09 Sep</v>
      </c>
      <c r="G259" s="124" t="str">
        <f t="shared" si="3"/>
        <v>Selasa</v>
      </c>
      <c r="H259" s="160" t="s">
        <v>1275</v>
      </c>
      <c r="I259" s="125" t="str">
        <f t="array" ref="I259">IFNA(XLOOKUP($H259,'🙎‍♂️ Pasien'!$G$7:$G658,'🙎‍♂️ Pasien'!$H$7:$H658),"")</f>
        <v>H7825063633</v>
      </c>
      <c r="J259" s="125" t="str">
        <f t="array" ref="J259">IFNA(XLOOKUP($H259,'🙎‍♂️ Pasien'!$G$7:$G658,'🙎‍♂️ Pasien'!$L$7:$L658),"")</f>
        <v>LAKI-LAKI</v>
      </c>
      <c r="K259" s="125">
        <f t="array" ref="K259">IFNA(XLOOKUP($H259,'🙎‍♂️ Pasien'!$G$7:$G658,'🙎‍♂️ Pasien'!$I$7:$I658),"")</f>
        <v>48</v>
      </c>
      <c r="L259" s="160" t="s">
        <v>72</v>
      </c>
      <c r="M259" s="162" t="str">
        <f t="array" ref="M259">IFNA(XLOOKUP(L259,'⚙️ Pengaturan'!$H$5:$H658,'⚙️ Pengaturan'!$I$5:$I658),"")</f>
        <v>TIM A</v>
      </c>
      <c r="N259" s="163" t="s">
        <v>1132</v>
      </c>
      <c r="O259" s="160" t="s">
        <v>1139</v>
      </c>
      <c r="P259" s="153">
        <f t="shared" si="13"/>
        <v>5</v>
      </c>
      <c r="Q259" s="164">
        <v>45902.0</v>
      </c>
      <c r="R259" s="164">
        <v>45904.0</v>
      </c>
      <c r="S259" s="164">
        <v>45913.0</v>
      </c>
      <c r="T259" s="164">
        <v>45915.0</v>
      </c>
      <c r="U259" s="164">
        <v>45918.0</v>
      </c>
      <c r="V259" s="164"/>
      <c r="W259" s="164"/>
      <c r="X259" s="164"/>
      <c r="Y259" s="164"/>
      <c r="Z259" s="164"/>
      <c r="AA259" s="165">
        <f t="shared" si="20"/>
        <v>45918</v>
      </c>
      <c r="AB259" s="160" t="s">
        <v>1134</v>
      </c>
      <c r="AC259" s="160" t="s">
        <v>1135</v>
      </c>
      <c r="AD259" s="168" t="s">
        <v>864</v>
      </c>
      <c r="AE259" s="156">
        <f t="shared" si="21"/>
        <v>45918</v>
      </c>
      <c r="AF259" s="107" t="str">
        <f t="shared" si="22"/>
        <v>2025</v>
      </c>
      <c r="AG259" s="107" t="str">
        <f t="shared" si="23"/>
        <v>09 Sep</v>
      </c>
      <c r="AH259" s="107" t="str">
        <f t="shared" si="24"/>
        <v>Kam</v>
      </c>
      <c r="AI259" s="157">
        <f t="shared" si="25"/>
        <v>3</v>
      </c>
      <c r="AJ259" s="96"/>
      <c r="AK259" s="169"/>
      <c r="AL259" s="96"/>
      <c r="AM259" s="158">
        <f t="shared" si="12"/>
        <v>0</v>
      </c>
    </row>
    <row r="260" ht="22.5" customHeight="1">
      <c r="A260" s="167"/>
      <c r="B260" s="172"/>
      <c r="C260" s="172"/>
      <c r="D260" s="173">
        <v>45729.0</v>
      </c>
      <c r="E260" s="124" t="str">
        <f t="shared" si="1"/>
        <v>2025</v>
      </c>
      <c r="F260" s="124" t="str">
        <f t="shared" si="2"/>
        <v>03 Mar</v>
      </c>
      <c r="G260" s="124" t="str">
        <f t="shared" si="3"/>
        <v>Kamis</v>
      </c>
      <c r="H260" s="160" t="s">
        <v>1276</v>
      </c>
      <c r="I260" s="125" t="str">
        <f t="array" ref="I260">IFNA(XLOOKUP($H260,'🙎‍♂️ Pasien'!$G$7:$G658,'🙎‍♂️ Pasien'!$H$7:$H658),"")</f>
        <v>H5725022666</v>
      </c>
      <c r="J260" s="125" t="str">
        <f t="array" ref="J260">IFNA(XLOOKUP($H260,'🙎‍♂️ Pasien'!$G$7:$G658,'🙎‍♂️ Pasien'!$L$7:$L658),"")</f>
        <v>PEREMPUAN</v>
      </c>
      <c r="K260" s="125">
        <f t="array" ref="K260">IFNA(XLOOKUP($H260,'🙎‍♂️ Pasien'!$G$7:$G658,'🙎‍♂️ Pasien'!$I$7:$I658),"")</f>
        <v>69</v>
      </c>
      <c r="L260" s="160" t="s">
        <v>107</v>
      </c>
      <c r="M260" s="162" t="str">
        <f t="array" ref="M260">IFNA(XLOOKUP(L260,'⚙️ Pengaturan'!$H$5:$H658,'⚙️ Pengaturan'!$I$5:$I658),"")</f>
        <v>TIM Y</v>
      </c>
      <c r="N260" s="160" t="s">
        <v>1132</v>
      </c>
      <c r="O260" s="160" t="s">
        <v>1133</v>
      </c>
      <c r="P260" s="153">
        <f t="shared" si="13"/>
        <v>4</v>
      </c>
      <c r="Q260" s="164">
        <v>45729.0</v>
      </c>
      <c r="R260" s="164">
        <v>45736.0</v>
      </c>
      <c r="S260" s="164">
        <v>45757.0</v>
      </c>
      <c r="T260" s="164">
        <v>45764.0</v>
      </c>
      <c r="U260" s="164"/>
      <c r="V260" s="164"/>
      <c r="W260" s="164"/>
      <c r="X260" s="164"/>
      <c r="Y260" s="164"/>
      <c r="Z260" s="164"/>
      <c r="AA260" s="165">
        <f t="shared" si="20"/>
        <v>45764</v>
      </c>
      <c r="AB260" s="160" t="s">
        <v>1144</v>
      </c>
      <c r="AC260" s="174"/>
      <c r="AD260" s="168"/>
      <c r="AE260" s="156" t="str">
        <f t="shared" si="21"/>
        <v/>
      </c>
      <c r="AF260" s="107" t="str">
        <f t="shared" si="22"/>
        <v/>
      </c>
      <c r="AG260" s="107" t="str">
        <f t="shared" si="23"/>
        <v/>
      </c>
      <c r="AH260" s="107" t="str">
        <f t="shared" si="24"/>
        <v/>
      </c>
      <c r="AI260" s="157">
        <f t="shared" si="25"/>
        <v>65</v>
      </c>
      <c r="AJ260" s="96"/>
      <c r="AK260" s="169"/>
      <c r="AL260" s="96"/>
      <c r="AM260" s="158">
        <f t="shared" si="12"/>
        <v>0</v>
      </c>
    </row>
    <row r="261" ht="22.5" customHeight="1">
      <c r="A261" s="167"/>
      <c r="B261" s="160" t="s">
        <v>1156</v>
      </c>
      <c r="C261" s="160" t="s">
        <v>1131</v>
      </c>
      <c r="D261" s="161">
        <v>45879.0</v>
      </c>
      <c r="E261" s="124" t="str">
        <f t="shared" si="1"/>
        <v>2025</v>
      </c>
      <c r="F261" s="124" t="str">
        <f t="shared" si="2"/>
        <v>08 Agu</v>
      </c>
      <c r="G261" s="124" t="str">
        <f t="shared" si="3"/>
        <v>Minggu</v>
      </c>
      <c r="H261" s="160" t="s">
        <v>1277</v>
      </c>
      <c r="I261" s="125" t="str">
        <f t="array" ref="I261">IFNA(XLOOKUP($H261,'🙎‍♂️ Pasien'!$G$7:$G658,'🙎‍♂️ Pasien'!$H$7:$H658),"")</f>
        <v>H4825087125</v>
      </c>
      <c r="J261" s="125" t="str">
        <f t="array" ref="J261">IFNA(XLOOKUP($H261,'🙎‍♂️ Pasien'!$G$7:$G658,'🙎‍♂️ Pasien'!$L$7:$L658),"")</f>
        <v>PEREMPUAN</v>
      </c>
      <c r="K261" s="125">
        <f t="array" ref="K261">IFNA(XLOOKUP($H261,'🙎‍♂️ Pasien'!$G$7:$G658,'🙎‍♂️ Pasien'!$I$7:$I658),"")</f>
        <v>78</v>
      </c>
      <c r="L261" s="160" t="s">
        <v>72</v>
      </c>
      <c r="M261" s="162" t="str">
        <f t="array" ref="M261">IFNA(XLOOKUP(L261,'⚙️ Pengaturan'!$H$5:$H658,'⚙️ Pengaturan'!$I$5:$I658),"")</f>
        <v>TIM A</v>
      </c>
      <c r="N261" s="163" t="s">
        <v>1132</v>
      </c>
      <c r="O261" s="160" t="s">
        <v>1133</v>
      </c>
      <c r="P261" s="153">
        <f t="shared" si="13"/>
        <v>5</v>
      </c>
      <c r="Q261" s="164">
        <v>45879.0</v>
      </c>
      <c r="R261" s="164">
        <v>45883.0</v>
      </c>
      <c r="S261" s="164">
        <v>45888.0</v>
      </c>
      <c r="T261" s="164">
        <v>45893.0</v>
      </c>
      <c r="U261" s="164">
        <v>45895.0</v>
      </c>
      <c r="V261" s="164"/>
      <c r="W261" s="164"/>
      <c r="X261" s="164"/>
      <c r="Y261" s="164"/>
      <c r="Z261" s="164"/>
      <c r="AA261" s="165">
        <f t="shared" si="20"/>
        <v>45895</v>
      </c>
      <c r="AB261" s="160" t="s">
        <v>1134</v>
      </c>
      <c r="AC261" s="160" t="s">
        <v>1278</v>
      </c>
      <c r="AD261" s="168" t="s">
        <v>1279</v>
      </c>
      <c r="AE261" s="156">
        <f t="shared" si="21"/>
        <v>45895</v>
      </c>
      <c r="AF261" s="107" t="str">
        <f t="shared" si="22"/>
        <v>2025</v>
      </c>
      <c r="AG261" s="107" t="str">
        <f t="shared" si="23"/>
        <v>08 Agu</v>
      </c>
      <c r="AH261" s="107" t="str">
        <f t="shared" si="24"/>
        <v>Sel</v>
      </c>
      <c r="AI261" s="157">
        <f t="shared" si="25"/>
        <v>3</v>
      </c>
      <c r="AJ261" s="96"/>
      <c r="AK261" s="169"/>
      <c r="AL261" s="96"/>
      <c r="AM261" s="158">
        <f t="shared" si="12"/>
        <v>0</v>
      </c>
    </row>
    <row r="262" ht="22.5" customHeight="1">
      <c r="A262" s="167"/>
      <c r="B262" s="160" t="s">
        <v>446</v>
      </c>
      <c r="C262" s="172"/>
      <c r="D262" s="173">
        <v>45781.0</v>
      </c>
      <c r="E262" s="124" t="str">
        <f t="shared" si="1"/>
        <v>2025</v>
      </c>
      <c r="F262" s="124" t="str">
        <f t="shared" si="2"/>
        <v>05 Mei</v>
      </c>
      <c r="G262" s="124" t="str">
        <f t="shared" si="3"/>
        <v>Minggu</v>
      </c>
      <c r="H262" s="160" t="s">
        <v>1280</v>
      </c>
      <c r="I262" s="125" t="str">
        <f t="array" ref="I262">IFNA(XLOOKUP($H262,'🙎‍♂️ Pasien'!$G$7:$G658,'🙎‍♂️ Pasien'!$H$7:$H658),"")</f>
        <v>H5625047624</v>
      </c>
      <c r="J262" s="125" t="str">
        <f t="array" ref="J262">IFNA(XLOOKUP($H262,'🙎‍♂️ Pasien'!$G$7:$G658,'🙎‍♂️ Pasien'!$L$7:$L658),"")</f>
        <v>PEREMPUAN</v>
      </c>
      <c r="K262" s="125">
        <f t="array" ref="K262">IFNA(XLOOKUP($H262,'🙎‍♂️ Pasien'!$G$7:$G658,'🙎‍♂️ Pasien'!$I$7:$I658),"")</f>
        <v>69</v>
      </c>
      <c r="L262" s="160" t="s">
        <v>72</v>
      </c>
      <c r="M262" s="162" t="str">
        <f t="array" ref="M262">IFNA(XLOOKUP(L262,'⚙️ Pengaturan'!$H$5:$H658,'⚙️ Pengaturan'!$I$5:$I658),"")</f>
        <v>TIM A</v>
      </c>
      <c r="N262" s="160" t="s">
        <v>1132</v>
      </c>
      <c r="O262" s="160" t="s">
        <v>1133</v>
      </c>
      <c r="P262" s="153">
        <f t="shared" si="13"/>
        <v>3</v>
      </c>
      <c r="Q262" s="164">
        <v>45781.0</v>
      </c>
      <c r="R262" s="164">
        <v>45788.0</v>
      </c>
      <c r="S262" s="164">
        <v>45868.0</v>
      </c>
      <c r="T262" s="164"/>
      <c r="U262" s="164"/>
      <c r="V262" s="164"/>
      <c r="W262" s="164"/>
      <c r="X262" s="164"/>
      <c r="Y262" s="164"/>
      <c r="Z262" s="164"/>
      <c r="AA262" s="165">
        <f t="shared" si="20"/>
        <v>45868</v>
      </c>
      <c r="AB262" s="160" t="s">
        <v>1144</v>
      </c>
      <c r="AC262" s="174"/>
      <c r="AD262" s="166"/>
      <c r="AE262" s="156" t="str">
        <f t="shared" si="21"/>
        <v/>
      </c>
      <c r="AF262" s="107" t="str">
        <f t="shared" si="22"/>
        <v/>
      </c>
      <c r="AG262" s="107" t="str">
        <f t="shared" si="23"/>
        <v/>
      </c>
      <c r="AH262" s="107" t="str">
        <f t="shared" si="24"/>
        <v/>
      </c>
      <c r="AI262" s="157">
        <f t="shared" si="25"/>
        <v>58</v>
      </c>
      <c r="AJ262" s="96"/>
      <c r="AK262" s="169"/>
      <c r="AL262" s="96"/>
      <c r="AM262" s="158">
        <f t="shared" si="12"/>
        <v>0</v>
      </c>
    </row>
    <row r="263" ht="22.5" customHeight="1">
      <c r="A263" s="167"/>
      <c r="B263" s="160" t="s">
        <v>54</v>
      </c>
      <c r="C263" s="160" t="s">
        <v>1131</v>
      </c>
      <c r="D263" s="173">
        <v>45906.0</v>
      </c>
      <c r="E263" s="124" t="str">
        <f t="shared" si="1"/>
        <v>2025</v>
      </c>
      <c r="F263" s="124" t="str">
        <f t="shared" si="2"/>
        <v>09 Sep</v>
      </c>
      <c r="G263" s="124" t="str">
        <f t="shared" si="3"/>
        <v>Sabtu</v>
      </c>
      <c r="H263" s="158" t="s">
        <v>92</v>
      </c>
      <c r="I263" s="125" t="str">
        <f t="array" ref="I263">IFNA(XLOOKUP($H263,'🙎‍♂️ Pasien'!$G$7:$G658,'🙎‍♂️ Pasien'!$H$7:$H658),"")</f>
        <v>H5024091565</v>
      </c>
      <c r="J263" s="125" t="str">
        <f t="array" ref="J263">IFNA(XLOOKUP($H263,'🙎‍♂️ Pasien'!$G$7:$G658,'🙎‍♂️ Pasien'!$L$7:$L658),"")</f>
        <v>PEREMPUAN</v>
      </c>
      <c r="K263" s="125">
        <f t="array" ref="K263">IFNA(XLOOKUP($H263,'🙎‍♂️ Pasien'!$G$7:$G658,'🙎‍♂️ Pasien'!$I$7:$I658),"")</f>
        <v>75</v>
      </c>
      <c r="L263" s="160" t="s">
        <v>91</v>
      </c>
      <c r="M263" s="162" t="str">
        <f t="array" ref="M263">IFNA(XLOOKUP(L263,'⚙️ Pengaturan'!$H$5:$H658,'⚙️ Pengaturan'!$I$5:$I658),"")</f>
        <v>TIM Y</v>
      </c>
      <c r="N263" s="160" t="s">
        <v>1137</v>
      </c>
      <c r="O263" s="160" t="s">
        <v>1133</v>
      </c>
      <c r="P263" s="153">
        <f t="shared" si="13"/>
        <v>10</v>
      </c>
      <c r="Q263" s="164">
        <v>45912.0</v>
      </c>
      <c r="R263" s="164">
        <v>45917.0</v>
      </c>
      <c r="S263" s="164">
        <v>45921.0</v>
      </c>
      <c r="T263" s="164">
        <v>45923.0</v>
      </c>
      <c r="U263" s="164">
        <v>45928.0</v>
      </c>
      <c r="V263" s="164">
        <v>45931.0</v>
      </c>
      <c r="W263" s="164">
        <v>45934.0</v>
      </c>
      <c r="X263" s="164">
        <v>45937.0</v>
      </c>
      <c r="Y263" s="164">
        <v>45941.0</v>
      </c>
      <c r="Z263" s="164">
        <v>45948.0</v>
      </c>
      <c r="AA263" s="165">
        <f t="shared" si="20"/>
        <v>45948</v>
      </c>
      <c r="AB263" s="160" t="s">
        <v>1144</v>
      </c>
      <c r="AC263" s="174"/>
      <c r="AD263" s="166"/>
      <c r="AE263" s="156">
        <f t="shared" si="21"/>
        <v>45948</v>
      </c>
      <c r="AF263" s="107" t="str">
        <f t="shared" si="22"/>
        <v>2025</v>
      </c>
      <c r="AG263" s="107" t="str">
        <f t="shared" si="23"/>
        <v>10 Okt</v>
      </c>
      <c r="AH263" s="107" t="str">
        <f t="shared" si="24"/>
        <v>Sab</v>
      </c>
      <c r="AI263" s="157">
        <f t="shared" si="25"/>
        <v>6</v>
      </c>
      <c r="AJ263" s="96"/>
      <c r="AK263" s="169"/>
      <c r="AL263" s="96"/>
      <c r="AM263" s="158">
        <f t="shared" si="12"/>
        <v>0</v>
      </c>
    </row>
    <row r="264" ht="22.5" customHeight="1">
      <c r="A264" s="167"/>
      <c r="B264" s="160" t="s">
        <v>134</v>
      </c>
      <c r="C264" s="160" t="s">
        <v>1131</v>
      </c>
      <c r="D264" s="161">
        <v>45883.0</v>
      </c>
      <c r="E264" s="124" t="str">
        <f t="shared" si="1"/>
        <v>2025</v>
      </c>
      <c r="F264" s="124" t="str">
        <f t="shared" si="2"/>
        <v>08 Agu</v>
      </c>
      <c r="G264" s="124" t="str">
        <f t="shared" si="3"/>
        <v>Kamis</v>
      </c>
      <c r="H264" s="160" t="s">
        <v>1281</v>
      </c>
      <c r="I264" s="125" t="str">
        <f t="array" ref="I264">IFNA(XLOOKUP($H264,'🙎‍♂️ Pasien'!$G$7:$G658,'🙎‍♂️ Pasien'!$H$7:$H658),"")</f>
        <v>I9825088872</v>
      </c>
      <c r="J264" s="125" t="str">
        <f t="array" ref="J264">IFNA(XLOOKUP($H264,'🙎‍♂️ Pasien'!$G$7:$G658,'🙎‍♂️ Pasien'!$L$7:$L658),"")</f>
        <v>PEREMPUAN</v>
      </c>
      <c r="K264" s="125">
        <f t="array" ref="K264">IFNA(XLOOKUP($H264,'🙎‍♂️ Pasien'!$G$7:$G658,'🙎‍♂️ Pasien'!$I$7:$I658),"")</f>
        <v>27</v>
      </c>
      <c r="L264" s="160" t="s">
        <v>72</v>
      </c>
      <c r="M264" s="162" t="str">
        <f t="array" ref="M264">IFNA(XLOOKUP(L264,'⚙️ Pengaturan'!$H$5:$H658,'⚙️ Pengaturan'!$I$5:$I658),"")</f>
        <v>TIM A</v>
      </c>
      <c r="N264" s="163" t="s">
        <v>1132</v>
      </c>
      <c r="O264" s="160" t="s">
        <v>1133</v>
      </c>
      <c r="P264" s="153">
        <f t="shared" si="13"/>
        <v>5</v>
      </c>
      <c r="Q264" s="164">
        <v>45883.0</v>
      </c>
      <c r="R264" s="164">
        <v>45888.0</v>
      </c>
      <c r="S264" s="164">
        <v>45890.0</v>
      </c>
      <c r="T264" s="164">
        <v>45894.0</v>
      </c>
      <c r="U264" s="164">
        <v>45897.0</v>
      </c>
      <c r="V264" s="164"/>
      <c r="W264" s="164"/>
      <c r="X264" s="164"/>
      <c r="Y264" s="164"/>
      <c r="Z264" s="164"/>
      <c r="AA264" s="165">
        <f t="shared" si="20"/>
        <v>45897</v>
      </c>
      <c r="AB264" s="160" t="s">
        <v>1134</v>
      </c>
      <c r="AC264" s="160" t="s">
        <v>1142</v>
      </c>
      <c r="AD264" s="166"/>
      <c r="AE264" s="156">
        <f t="shared" si="21"/>
        <v>45897</v>
      </c>
      <c r="AF264" s="107" t="str">
        <f t="shared" si="22"/>
        <v>2025</v>
      </c>
      <c r="AG264" s="107" t="str">
        <f t="shared" si="23"/>
        <v>08 Agu</v>
      </c>
      <c r="AH264" s="107" t="str">
        <f t="shared" si="24"/>
        <v>Kam</v>
      </c>
      <c r="AI264" s="157">
        <f t="shared" si="25"/>
        <v>2</v>
      </c>
      <c r="AJ264" s="96"/>
      <c r="AK264" s="169"/>
      <c r="AL264" s="96"/>
      <c r="AM264" s="158">
        <f t="shared" si="12"/>
        <v>0</v>
      </c>
    </row>
    <row r="265" ht="22.5" customHeight="1">
      <c r="A265" s="167"/>
      <c r="B265" s="160" t="s">
        <v>54</v>
      </c>
      <c r="C265" s="160" t="s">
        <v>1131</v>
      </c>
      <c r="D265" s="161">
        <v>45980.0</v>
      </c>
      <c r="E265" s="124" t="str">
        <f t="shared" si="1"/>
        <v>2025</v>
      </c>
      <c r="F265" s="124" t="str">
        <f t="shared" si="2"/>
        <v>11 Nov</v>
      </c>
      <c r="G265" s="124" t="str">
        <f t="shared" si="3"/>
        <v>Rabu</v>
      </c>
      <c r="H265" s="160" t="s">
        <v>546</v>
      </c>
      <c r="I265" s="125" t="str">
        <f t="array" ref="I265">IFNA(XLOOKUP($H265,'🙎‍♂️ Pasien'!$G$7:$G658,'🙎‍♂️ Pasien'!$H$7:$H658),"")</f>
        <v/>
      </c>
      <c r="J265" s="125" t="str">
        <f t="array" ref="J265">IFNA(XLOOKUP($H265,'🙎‍♂️ Pasien'!$G$7:$G658,'🙎‍♂️ Pasien'!$L$7:$L658),"")</f>
        <v/>
      </c>
      <c r="K265" s="125" t="str">
        <f t="array" ref="K265">IFNA(XLOOKUP($H265,'🙎‍♂️ Pasien'!$G$7:$G658,'🙎‍♂️ Pasien'!$I$7:$I658),"")</f>
        <v/>
      </c>
      <c r="L265" s="160" t="s">
        <v>56</v>
      </c>
      <c r="M265" s="162" t="str">
        <f t="array" ref="M265">IFNA(XLOOKUP(L265,'⚙️ Pengaturan'!$H$5:$H658,'⚙️ Pengaturan'!$I$5:$I658),"")</f>
        <v>TIM Y</v>
      </c>
      <c r="N265" s="163" t="s">
        <v>1132</v>
      </c>
      <c r="O265" s="160" t="s">
        <v>1133</v>
      </c>
      <c r="P265" s="153">
        <f t="shared" si="13"/>
        <v>5</v>
      </c>
      <c r="Q265" s="164">
        <v>45982.0</v>
      </c>
      <c r="R265" s="164">
        <v>45983.0</v>
      </c>
      <c r="S265" s="164">
        <v>45985.0</v>
      </c>
      <c r="T265" s="164">
        <v>45986.0</v>
      </c>
      <c r="U265" s="164">
        <v>45987.0</v>
      </c>
      <c r="V265" s="164"/>
      <c r="W265" s="164"/>
      <c r="X265" s="164"/>
      <c r="Y265" s="164"/>
      <c r="Z265" s="164"/>
      <c r="AA265" s="165">
        <f t="shared" si="20"/>
        <v>45987</v>
      </c>
      <c r="AB265" s="160" t="s">
        <v>1144</v>
      </c>
      <c r="AC265" s="174"/>
      <c r="AD265" s="166"/>
      <c r="AE265" s="156">
        <f t="shared" si="21"/>
        <v>45987</v>
      </c>
      <c r="AF265" s="107" t="str">
        <f t="shared" si="22"/>
        <v>2025</v>
      </c>
      <c r="AG265" s="107" t="str">
        <f t="shared" si="23"/>
        <v>11 Nov</v>
      </c>
      <c r="AH265" s="107" t="str">
        <f t="shared" si="24"/>
        <v>Rab</v>
      </c>
      <c r="AI265" s="157">
        <f t="shared" si="25"/>
        <v>1</v>
      </c>
      <c r="AJ265" s="96"/>
      <c r="AK265" s="169"/>
      <c r="AL265" s="96"/>
      <c r="AM265" s="158">
        <f t="shared" si="12"/>
        <v>0</v>
      </c>
    </row>
    <row r="266" ht="22.5" customHeight="1">
      <c r="A266" s="167"/>
      <c r="B266" s="160" t="s">
        <v>86</v>
      </c>
      <c r="C266" s="160" t="s">
        <v>1131</v>
      </c>
      <c r="D266" s="161">
        <v>45825.0</v>
      </c>
      <c r="E266" s="124" t="str">
        <f t="shared" si="1"/>
        <v>2025</v>
      </c>
      <c r="F266" s="124" t="str">
        <f t="shared" si="2"/>
        <v>06 Jun</v>
      </c>
      <c r="G266" s="124" t="str">
        <f t="shared" si="3"/>
        <v>Selasa</v>
      </c>
      <c r="H266" s="160" t="s">
        <v>1282</v>
      </c>
      <c r="I266" s="125" t="str">
        <f t="array" ref="I266">IFNA(XLOOKUP($H266,'🙎‍♂️ Pasien'!$G$7:$G658,'🙎‍♂️ Pasien'!$H$7:$H658),"")</f>
        <v>I8225066978</v>
      </c>
      <c r="J266" s="125" t="str">
        <f t="array" ref="J266">IFNA(XLOOKUP($H266,'🙎‍♂️ Pasien'!$G$7:$G658,'🙎‍♂️ Pasien'!$L$7:$L658),"")</f>
        <v>PEREMPUAN</v>
      </c>
      <c r="K266" s="125">
        <f t="array" ref="K266">IFNA(XLOOKUP($H266,'🙎‍♂️ Pasien'!$G$7:$G658,'🙎‍♂️ Pasien'!$I$7:$I658),"")</f>
        <v>43</v>
      </c>
      <c r="L266" s="160" t="s">
        <v>91</v>
      </c>
      <c r="M266" s="162" t="str">
        <f t="array" ref="M266">IFNA(XLOOKUP(L266,'⚙️ Pengaturan'!$H$5:$H658,'⚙️ Pengaturan'!$I$5:$I658),"")</f>
        <v>TIM Y</v>
      </c>
      <c r="N266" s="163" t="s">
        <v>1132</v>
      </c>
      <c r="O266" s="160" t="s">
        <v>1139</v>
      </c>
      <c r="P266" s="153">
        <f t="shared" si="13"/>
        <v>5</v>
      </c>
      <c r="Q266" s="164">
        <v>45825.0</v>
      </c>
      <c r="R266" s="164">
        <v>45829.0</v>
      </c>
      <c r="S266" s="164">
        <v>45832.0</v>
      </c>
      <c r="T266" s="164">
        <v>45866.0</v>
      </c>
      <c r="U266" s="164">
        <v>45873.0</v>
      </c>
      <c r="V266" s="164"/>
      <c r="W266" s="164"/>
      <c r="X266" s="164"/>
      <c r="Y266" s="164"/>
      <c r="Z266" s="164"/>
      <c r="AA266" s="165">
        <f t="shared" si="20"/>
        <v>45873</v>
      </c>
      <c r="AB266" s="160" t="s">
        <v>1134</v>
      </c>
      <c r="AC266" s="160" t="s">
        <v>1142</v>
      </c>
      <c r="AD266" s="168" t="s">
        <v>1283</v>
      </c>
      <c r="AE266" s="156">
        <f t="shared" si="21"/>
        <v>45873</v>
      </c>
      <c r="AF266" s="107" t="str">
        <f t="shared" si="22"/>
        <v>2025</v>
      </c>
      <c r="AG266" s="107" t="str">
        <f t="shared" si="23"/>
        <v>08 Agu</v>
      </c>
      <c r="AH266" s="107" t="str">
        <f t="shared" si="24"/>
        <v>Sen</v>
      </c>
      <c r="AI266" s="157">
        <f t="shared" si="25"/>
        <v>7</v>
      </c>
      <c r="AJ266" s="96"/>
      <c r="AK266" s="169"/>
      <c r="AL266" s="96"/>
      <c r="AM266" s="158">
        <f t="shared" si="12"/>
        <v>0</v>
      </c>
    </row>
    <row r="267" ht="22.5" customHeight="1">
      <c r="A267" s="167"/>
      <c r="B267" s="20"/>
      <c r="C267" s="20"/>
      <c r="D267" s="123">
        <v>45607.0</v>
      </c>
      <c r="E267" s="124" t="str">
        <f t="shared" si="1"/>
        <v>2024</v>
      </c>
      <c r="F267" s="124" t="str">
        <f t="shared" si="2"/>
        <v>11 Nov</v>
      </c>
      <c r="G267" s="124" t="str">
        <f t="shared" si="3"/>
        <v>Senin</v>
      </c>
      <c r="H267" s="16" t="s">
        <v>1284</v>
      </c>
      <c r="I267" s="125" t="str">
        <f t="array" ref="I267">IFNA(XLOOKUP($H267,'🙎‍♂️ Pasien'!$G$7:$G658,'🙎‍♂️ Pasien'!$H$7:$H658),"")</f>
        <v>I9424119075</v>
      </c>
      <c r="J267" s="125" t="str">
        <f t="array" ref="J267">IFNA(XLOOKUP($H267,'🙎‍♂️ Pasien'!$G$7:$G658,'🙎‍♂️ Pasien'!$L$7:$L658),"")</f>
        <v>PEREMPUAN</v>
      </c>
      <c r="K267" s="125">
        <f t="array" ref="K267">IFNA(XLOOKUP($H267,'🙎‍♂️ Pasien'!$G$7:$G658,'🙎‍♂️ Pasien'!$I$7:$I658),"")</f>
        <v>31</v>
      </c>
      <c r="L267" s="16" t="s">
        <v>91</v>
      </c>
      <c r="M267" s="125" t="str">
        <f t="array" ref="M267">IFNA(XLOOKUP(L267,'⚙️ Pengaturan'!$H$5:$H658,'⚙️ Pengaturan'!$I$5:$I658),"")</f>
        <v>TIM Y</v>
      </c>
      <c r="N267" s="16" t="s">
        <v>1132</v>
      </c>
      <c r="O267" s="16" t="s">
        <v>1133</v>
      </c>
      <c r="P267" s="153">
        <f t="shared" si="13"/>
        <v>4</v>
      </c>
      <c r="Q267" s="154">
        <v>45614.0</v>
      </c>
      <c r="R267" s="154">
        <v>45619.0</v>
      </c>
      <c r="S267" s="154">
        <v>45621.0</v>
      </c>
      <c r="T267" s="154">
        <v>45783.0</v>
      </c>
      <c r="U267" s="154"/>
      <c r="V267" s="154"/>
      <c r="W267" s="154"/>
      <c r="X267" s="154"/>
      <c r="Y267" s="154"/>
      <c r="Z267" s="154"/>
      <c r="AA267" s="155">
        <f t="shared" si="20"/>
        <v>45783</v>
      </c>
      <c r="AB267" s="16" t="s">
        <v>1144</v>
      </c>
      <c r="AC267" s="20"/>
      <c r="AD267" s="170"/>
      <c r="AE267" s="156" t="str">
        <f t="shared" si="21"/>
        <v/>
      </c>
      <c r="AF267" s="107" t="str">
        <f t="shared" si="22"/>
        <v/>
      </c>
      <c r="AG267" s="107" t="str">
        <f t="shared" si="23"/>
        <v/>
      </c>
      <c r="AH267" s="107" t="str">
        <f t="shared" si="24"/>
        <v/>
      </c>
      <c r="AI267" s="157">
        <f t="shared" si="25"/>
        <v>82</v>
      </c>
      <c r="AJ267" s="96"/>
      <c r="AK267" s="169"/>
      <c r="AL267" s="96"/>
      <c r="AM267" s="158">
        <f t="shared" si="12"/>
        <v>0</v>
      </c>
    </row>
    <row r="268" ht="22.5" customHeight="1">
      <c r="A268" s="167"/>
      <c r="B268" s="160" t="s">
        <v>86</v>
      </c>
      <c r="C268" s="160" t="s">
        <v>1131</v>
      </c>
      <c r="D268" s="161">
        <v>45858.0</v>
      </c>
      <c r="E268" s="124" t="str">
        <f t="shared" si="1"/>
        <v>2025</v>
      </c>
      <c r="F268" s="124" t="str">
        <f t="shared" si="2"/>
        <v>07 Jul</v>
      </c>
      <c r="G268" s="124" t="str">
        <f t="shared" si="3"/>
        <v>Minggu</v>
      </c>
      <c r="H268" s="160" t="s">
        <v>1285</v>
      </c>
      <c r="I268" s="125" t="str">
        <f t="array" ref="I268">IFNA(XLOOKUP($H268,'🙎‍♂️ Pasien'!$G$7:$G658,'🙎‍♂️ Pasien'!$H$7:$H658),"")</f>
        <v>I9925074687</v>
      </c>
      <c r="J268" s="125" t="str">
        <f t="array" ref="J268">IFNA(XLOOKUP($H268,'🙎‍♂️ Pasien'!$G$7:$G658,'🙎‍♂️ Pasien'!$L$7:$L658),"")</f>
        <v>LAKI-LAKI</v>
      </c>
      <c r="K268" s="125">
        <f t="array" ref="K268">IFNA(XLOOKUP($H268,'🙎‍♂️ Pasien'!$G$7:$G658,'🙎‍♂️ Pasien'!$I$7:$I658),"")</f>
        <v>26</v>
      </c>
      <c r="L268" s="160" t="s">
        <v>56</v>
      </c>
      <c r="M268" s="162" t="str">
        <f t="array" ref="M268">IFNA(XLOOKUP(L268,'⚙️ Pengaturan'!$H$5:$H658,'⚙️ Pengaturan'!$I$5:$I658),"")</f>
        <v>TIM Y</v>
      </c>
      <c r="N268" s="163" t="s">
        <v>1132</v>
      </c>
      <c r="O268" s="160" t="s">
        <v>1133</v>
      </c>
      <c r="P268" s="153">
        <f t="shared" si="13"/>
        <v>5</v>
      </c>
      <c r="Q268" s="164">
        <v>45858.0</v>
      </c>
      <c r="R268" s="164">
        <v>45860.0</v>
      </c>
      <c r="S268" s="164">
        <v>45864.0</v>
      </c>
      <c r="T268" s="164">
        <v>45866.0</v>
      </c>
      <c r="U268" s="164">
        <v>45871.0</v>
      </c>
      <c r="V268" s="164"/>
      <c r="W268" s="164"/>
      <c r="X268" s="164"/>
      <c r="Y268" s="164"/>
      <c r="Z268" s="164"/>
      <c r="AA268" s="165">
        <f t="shared" si="20"/>
        <v>45871</v>
      </c>
      <c r="AB268" s="160" t="s">
        <v>1134</v>
      </c>
      <c r="AC268" s="160" t="s">
        <v>1135</v>
      </c>
      <c r="AD268" s="168" t="s">
        <v>576</v>
      </c>
      <c r="AE268" s="156">
        <f t="shared" si="21"/>
        <v>45871</v>
      </c>
      <c r="AF268" s="107" t="str">
        <f t="shared" si="22"/>
        <v>2025</v>
      </c>
      <c r="AG268" s="107" t="str">
        <f t="shared" si="23"/>
        <v>08 Agu</v>
      </c>
      <c r="AH268" s="107" t="str">
        <f t="shared" si="24"/>
        <v>Sab</v>
      </c>
      <c r="AI268" s="157">
        <f t="shared" si="25"/>
        <v>2</v>
      </c>
      <c r="AJ268" s="96"/>
      <c r="AK268" s="169"/>
      <c r="AL268" s="96"/>
      <c r="AM268" s="158">
        <f t="shared" si="12"/>
        <v>0</v>
      </c>
    </row>
    <row r="269" ht="22.5" customHeight="1">
      <c r="A269" s="167"/>
      <c r="B269" s="160" t="s">
        <v>86</v>
      </c>
      <c r="C269" s="160" t="s">
        <v>1131</v>
      </c>
      <c r="D269" s="161">
        <v>45839.0</v>
      </c>
      <c r="E269" s="124" t="str">
        <f t="shared" si="1"/>
        <v>2025</v>
      </c>
      <c r="F269" s="124" t="str">
        <f t="shared" si="2"/>
        <v>07 Jul</v>
      </c>
      <c r="G269" s="124" t="str">
        <f t="shared" si="3"/>
        <v>Selasa</v>
      </c>
      <c r="H269" s="160" t="s">
        <v>1286</v>
      </c>
      <c r="I269" s="125" t="str">
        <f t="array" ref="I269">IFNA(XLOOKUP($H269,'🙎‍♂️ Pasien'!$G$7:$G658,'🙎‍♂️ Pasien'!$H$7:$H658),"")</f>
        <v>I0325069949</v>
      </c>
      <c r="J269" s="125" t="str">
        <f t="array" ref="J269">IFNA(XLOOKUP($H269,'🙎‍♂️ Pasien'!$G$7:$G658,'🙎‍♂️ Pasien'!$L$7:$L658),"")</f>
        <v>LAKI-LAKI</v>
      </c>
      <c r="K269" s="125">
        <f t="array" ref="K269">IFNA(XLOOKUP($H269,'🙎‍♂️ Pasien'!$G$7:$G658,'🙎‍♂️ Pasien'!$I$7:$I658),"")</f>
        <v>23</v>
      </c>
      <c r="L269" s="160" t="s">
        <v>81</v>
      </c>
      <c r="M269" s="162" t="str">
        <f t="array" ref="M269">IFNA(XLOOKUP(L269,'⚙️ Pengaturan'!$H$5:$H658,'⚙️ Pengaturan'!$I$5:$I658),"")</f>
        <v>MANAJEMEN</v>
      </c>
      <c r="N269" s="163" t="s">
        <v>1132</v>
      </c>
      <c r="O269" s="160" t="s">
        <v>1133</v>
      </c>
      <c r="P269" s="153">
        <f t="shared" si="13"/>
        <v>5</v>
      </c>
      <c r="Q269" s="164">
        <v>45839.0</v>
      </c>
      <c r="R269" s="164">
        <v>45841.0</v>
      </c>
      <c r="S269" s="164">
        <v>45844.0</v>
      </c>
      <c r="T269" s="164">
        <v>45846.0</v>
      </c>
      <c r="U269" s="164">
        <v>45852.0</v>
      </c>
      <c r="V269" s="164"/>
      <c r="W269" s="164"/>
      <c r="X269" s="164"/>
      <c r="Y269" s="164"/>
      <c r="Z269" s="164"/>
      <c r="AA269" s="165">
        <f t="shared" si="20"/>
        <v>45852</v>
      </c>
      <c r="AB269" s="160" t="s">
        <v>1134</v>
      </c>
      <c r="AC269" s="160" t="s">
        <v>1138</v>
      </c>
      <c r="AD269" s="168" t="s">
        <v>1287</v>
      </c>
      <c r="AE269" s="156">
        <f t="shared" si="21"/>
        <v>45852</v>
      </c>
      <c r="AF269" s="107" t="str">
        <f t="shared" si="22"/>
        <v>2025</v>
      </c>
      <c r="AG269" s="107" t="str">
        <f t="shared" si="23"/>
        <v>07 Jul</v>
      </c>
      <c r="AH269" s="107" t="str">
        <f t="shared" si="24"/>
        <v>Sen</v>
      </c>
      <c r="AI269" s="157">
        <f t="shared" si="25"/>
        <v>2</v>
      </c>
      <c r="AJ269" s="96"/>
      <c r="AK269" s="169"/>
      <c r="AL269" s="96"/>
      <c r="AM269" s="158">
        <f t="shared" si="12"/>
        <v>0</v>
      </c>
    </row>
    <row r="270" ht="22.5" customHeight="1">
      <c r="A270" s="167"/>
      <c r="B270" s="160" t="s">
        <v>134</v>
      </c>
      <c r="C270" s="160" t="s">
        <v>1131</v>
      </c>
      <c r="D270" s="161">
        <v>45858.0</v>
      </c>
      <c r="E270" s="124" t="str">
        <f t="shared" si="1"/>
        <v>2025</v>
      </c>
      <c r="F270" s="124" t="str">
        <f t="shared" si="2"/>
        <v>07 Jul</v>
      </c>
      <c r="G270" s="124" t="str">
        <f t="shared" si="3"/>
        <v>Minggu</v>
      </c>
      <c r="H270" s="160" t="s">
        <v>1288</v>
      </c>
      <c r="I270" s="125" t="str">
        <f t="array" ref="I270">IFNA(XLOOKUP($H270,'🙎‍♂️ Pasien'!$G$7:$G658,'🙎‍♂️ Pasien'!$H$7:$H658),"")</f>
        <v>I0325070012</v>
      </c>
      <c r="J270" s="125" t="str">
        <f t="array" ref="J270">IFNA(XLOOKUP($H270,'🙎‍♂️ Pasien'!$G$7:$G658,'🙎‍♂️ Pasien'!$L$7:$L658),"")</f>
        <v>LAKI-LAKI</v>
      </c>
      <c r="K270" s="125">
        <f t="array" ref="K270">IFNA(XLOOKUP($H270,'🙎‍♂️ Pasien'!$G$7:$G658,'🙎‍♂️ Pasien'!$I$7:$I658),"")</f>
        <v>23</v>
      </c>
      <c r="L270" s="160" t="s">
        <v>88</v>
      </c>
      <c r="M270" s="162" t="str">
        <f t="array" ref="M270">IFNA(XLOOKUP(L270,'⚙️ Pengaturan'!$H$5:$H658,'⚙️ Pengaturan'!$I$5:$I658),"")</f>
        <v>TIM Y</v>
      </c>
      <c r="N270" s="163" t="s">
        <v>1137</v>
      </c>
      <c r="O270" s="160" t="s">
        <v>1133</v>
      </c>
      <c r="P270" s="153">
        <f t="shared" si="13"/>
        <v>10</v>
      </c>
      <c r="Q270" s="164">
        <v>45858.0</v>
      </c>
      <c r="R270" s="164">
        <v>45860.0</v>
      </c>
      <c r="S270" s="164">
        <v>45865.0</v>
      </c>
      <c r="T270" s="164">
        <v>45867.0</v>
      </c>
      <c r="U270" s="164">
        <v>45872.0</v>
      </c>
      <c r="V270" s="164">
        <v>45879.0</v>
      </c>
      <c r="W270" s="164">
        <v>45888.0</v>
      </c>
      <c r="X270" s="164">
        <v>45893.0</v>
      </c>
      <c r="Y270" s="164">
        <v>45900.0</v>
      </c>
      <c r="Z270" s="164">
        <v>45910.0</v>
      </c>
      <c r="AA270" s="165">
        <f t="shared" si="20"/>
        <v>45910</v>
      </c>
      <c r="AB270" s="160" t="s">
        <v>1134</v>
      </c>
      <c r="AC270" s="160" t="s">
        <v>1142</v>
      </c>
      <c r="AD270" s="166"/>
      <c r="AE270" s="156">
        <f t="shared" si="21"/>
        <v>45910</v>
      </c>
      <c r="AF270" s="107" t="str">
        <f t="shared" si="22"/>
        <v>2025</v>
      </c>
      <c r="AG270" s="107" t="str">
        <f t="shared" si="23"/>
        <v>09 Sep</v>
      </c>
      <c r="AH270" s="107" t="str">
        <f t="shared" si="24"/>
        <v>Rab</v>
      </c>
      <c r="AI270" s="157">
        <f t="shared" si="25"/>
        <v>8</v>
      </c>
      <c r="AJ270" s="96"/>
      <c r="AK270" s="169"/>
      <c r="AL270" s="96"/>
      <c r="AM270" s="158">
        <f t="shared" si="12"/>
        <v>0</v>
      </c>
    </row>
    <row r="271" ht="22.5" customHeight="1">
      <c r="A271" s="167"/>
      <c r="B271" s="160" t="s">
        <v>54</v>
      </c>
      <c r="C271" s="160" t="s">
        <v>1131</v>
      </c>
      <c r="D271" s="161">
        <v>45914.0</v>
      </c>
      <c r="E271" s="124" t="str">
        <f t="shared" si="1"/>
        <v>2025</v>
      </c>
      <c r="F271" s="124" t="str">
        <f t="shared" si="2"/>
        <v>09 Sep</v>
      </c>
      <c r="G271" s="124" t="str">
        <f t="shared" si="3"/>
        <v>Minggu</v>
      </c>
      <c r="H271" s="160" t="s">
        <v>1289</v>
      </c>
      <c r="I271" s="125" t="str">
        <f t="array" ref="I271">IFNA(XLOOKUP($H271,'🙎‍♂️ Pasien'!$G$7:$G658,'🙎‍♂️ Pasien'!$H$7:$H658),"")</f>
        <v>I8825095691</v>
      </c>
      <c r="J271" s="125" t="str">
        <f t="array" ref="J271">IFNA(XLOOKUP($H271,'🙎‍♂️ Pasien'!$G$7:$G658,'🙎‍♂️ Pasien'!$L$7:$L658),"")</f>
        <v>PEREMPUAN</v>
      </c>
      <c r="K271" s="125">
        <f t="array" ref="K271">IFNA(XLOOKUP($H271,'🙎‍♂️ Pasien'!$G$7:$G658,'🙎‍♂️ Pasien'!$I$7:$I658),"")</f>
        <v>38</v>
      </c>
      <c r="L271" s="160" t="s">
        <v>72</v>
      </c>
      <c r="M271" s="162" t="str">
        <f t="array" ref="M271">IFNA(XLOOKUP(L271,'⚙️ Pengaturan'!$H$5:$H658,'⚙️ Pengaturan'!$I$5:$I658),"")</f>
        <v>TIM A</v>
      </c>
      <c r="N271" s="160" t="s">
        <v>1132</v>
      </c>
      <c r="O271" s="160" t="s">
        <v>1133</v>
      </c>
      <c r="P271" s="153">
        <f t="shared" si="13"/>
        <v>5</v>
      </c>
      <c r="Q271" s="164">
        <v>45914.0</v>
      </c>
      <c r="R271" s="164">
        <v>45917.0</v>
      </c>
      <c r="S271" s="164">
        <v>45920.0</v>
      </c>
      <c r="T271" s="164">
        <v>45923.0</v>
      </c>
      <c r="U271" s="164">
        <v>45925.0</v>
      </c>
      <c r="V271" s="164"/>
      <c r="W271" s="164"/>
      <c r="X271" s="164"/>
      <c r="Y271" s="164"/>
      <c r="Z271" s="164"/>
      <c r="AA271" s="165">
        <f t="shared" si="20"/>
        <v>45925</v>
      </c>
      <c r="AB271" s="160" t="s">
        <v>1134</v>
      </c>
      <c r="AC271" s="160" t="s">
        <v>1142</v>
      </c>
      <c r="AD271" s="166"/>
      <c r="AE271" s="156">
        <f t="shared" si="21"/>
        <v>45925</v>
      </c>
      <c r="AF271" s="107" t="str">
        <f t="shared" si="22"/>
        <v>2025</v>
      </c>
      <c r="AG271" s="107" t="str">
        <f t="shared" si="23"/>
        <v>09 Sep</v>
      </c>
      <c r="AH271" s="107" t="str">
        <f t="shared" si="24"/>
        <v>Kam</v>
      </c>
      <c r="AI271" s="157">
        <f t="shared" si="25"/>
        <v>2</v>
      </c>
      <c r="AJ271" s="96"/>
      <c r="AK271" s="169"/>
      <c r="AL271" s="96"/>
      <c r="AM271" s="158">
        <f t="shared" si="12"/>
        <v>0</v>
      </c>
    </row>
    <row r="272" ht="22.5" customHeight="1">
      <c r="A272" s="188"/>
      <c r="B272" s="160" t="s">
        <v>86</v>
      </c>
      <c r="C272" s="172"/>
      <c r="D272" s="161">
        <v>45791.0</v>
      </c>
      <c r="E272" s="124" t="str">
        <f t="shared" si="1"/>
        <v>2025</v>
      </c>
      <c r="F272" s="124" t="str">
        <f t="shared" si="2"/>
        <v>05 Mei</v>
      </c>
      <c r="G272" s="124" t="str">
        <f t="shared" si="3"/>
        <v>Rabu</v>
      </c>
      <c r="H272" s="160" t="s">
        <v>1290</v>
      </c>
      <c r="I272" s="125" t="str">
        <f t="array" ref="I272">IFNA(XLOOKUP($H272,'🙎‍♂️ Pasien'!$G$7:$G658,'🙎‍♂️ Pasien'!$H$7:$H658),"")</f>
        <v>I6525058028</v>
      </c>
      <c r="J272" s="125" t="str">
        <f t="array" ref="J272">IFNA(XLOOKUP($H272,'🙎‍♂️ Pasien'!$G$7:$G658,'🙎‍♂️ Pasien'!$L$7:$L658),"")</f>
        <v>LAKI-LAKI</v>
      </c>
      <c r="K272" s="125">
        <f t="array" ref="K272">IFNA(XLOOKUP($H272,'🙎‍♂️ Pasien'!$G$7:$G658,'🙎‍♂️ Pasien'!$I$7:$I658),"")</f>
        <v>61</v>
      </c>
      <c r="L272" s="160" t="s">
        <v>72</v>
      </c>
      <c r="M272" s="162" t="str">
        <f t="array" ref="M272">IFNA(XLOOKUP(L272,'⚙️ Pengaturan'!$H$5:$H658,'⚙️ Pengaturan'!$I$5:$I658),"")</f>
        <v>TIM A</v>
      </c>
      <c r="N272" s="160" t="s">
        <v>1132</v>
      </c>
      <c r="O272" s="160" t="s">
        <v>1133</v>
      </c>
      <c r="P272" s="153">
        <f t="shared" si="13"/>
        <v>4</v>
      </c>
      <c r="Q272" s="164">
        <v>45794.0</v>
      </c>
      <c r="R272" s="164">
        <v>45801.0</v>
      </c>
      <c r="S272" s="164">
        <v>45803.0</v>
      </c>
      <c r="T272" s="164">
        <v>45805.0</v>
      </c>
      <c r="U272" s="164"/>
      <c r="V272" s="164"/>
      <c r="W272" s="164"/>
      <c r="X272" s="164"/>
      <c r="Y272" s="164"/>
      <c r="Z272" s="164"/>
      <c r="AA272" s="165">
        <f t="shared" si="20"/>
        <v>45805</v>
      </c>
      <c r="AB272" s="160" t="s">
        <v>1144</v>
      </c>
      <c r="AC272" s="174"/>
      <c r="AD272" s="166"/>
      <c r="AE272" s="156" t="str">
        <f t="shared" si="21"/>
        <v/>
      </c>
      <c r="AF272" s="107" t="str">
        <f t="shared" si="22"/>
        <v/>
      </c>
      <c r="AG272" s="107" t="str">
        <f t="shared" si="23"/>
        <v/>
      </c>
      <c r="AH272" s="107" t="str">
        <f t="shared" si="24"/>
        <v/>
      </c>
      <c r="AI272" s="157">
        <f t="shared" si="25"/>
        <v>56</v>
      </c>
      <c r="AJ272" s="96"/>
      <c r="AK272" s="169"/>
      <c r="AL272" s="96"/>
      <c r="AM272" s="158">
        <f t="shared" si="12"/>
        <v>0</v>
      </c>
    </row>
    <row r="273" ht="22.5" customHeight="1">
      <c r="A273" s="167"/>
      <c r="B273" s="160" t="s">
        <v>134</v>
      </c>
      <c r="C273" s="160" t="s">
        <v>1131</v>
      </c>
      <c r="D273" s="161">
        <v>45912.0</v>
      </c>
      <c r="E273" s="124" t="str">
        <f t="shared" si="1"/>
        <v>2025</v>
      </c>
      <c r="F273" s="124" t="str">
        <f t="shared" si="2"/>
        <v>09 Sep</v>
      </c>
      <c r="G273" s="124" t="str">
        <f t="shared" si="3"/>
        <v>Jumat</v>
      </c>
      <c r="H273" s="160" t="s">
        <v>1291</v>
      </c>
      <c r="I273" s="125" t="str">
        <f t="array" ref="I273">IFNA(XLOOKUP($H273,'🙎‍♂️ Pasien'!$G$7:$G658,'🙎‍♂️ Pasien'!$H$7:$H658),"")</f>
        <v>I9525094175</v>
      </c>
      <c r="J273" s="125" t="str">
        <f t="array" ref="J273">IFNA(XLOOKUP($H273,'🙎‍♂️ Pasien'!$G$7:$G658,'🙎‍♂️ Pasien'!$L$7:$L658),"")</f>
        <v>PEREMPUAN</v>
      </c>
      <c r="K273" s="125">
        <f t="array" ref="K273">IFNA(XLOOKUP($H273,'🙎‍♂️ Pasien'!$G$7:$G658,'🙎‍♂️ Pasien'!$I$7:$I658),"")</f>
        <v>30</v>
      </c>
      <c r="L273" s="160" t="s">
        <v>91</v>
      </c>
      <c r="M273" s="162" t="str">
        <f t="array" ref="M273">IFNA(XLOOKUP(L273,'⚙️ Pengaturan'!$H$5:$H658,'⚙️ Pengaturan'!$I$5:$I658),"")</f>
        <v>TIM Y</v>
      </c>
      <c r="N273" s="163" t="s">
        <v>1132</v>
      </c>
      <c r="O273" s="160" t="s">
        <v>1133</v>
      </c>
      <c r="P273" s="153">
        <f t="shared" si="13"/>
        <v>1</v>
      </c>
      <c r="Q273" s="164">
        <v>45912.0</v>
      </c>
      <c r="R273" s="164"/>
      <c r="S273" s="164"/>
      <c r="T273" s="164"/>
      <c r="U273" s="164"/>
      <c r="V273" s="164"/>
      <c r="W273" s="164"/>
      <c r="X273" s="164"/>
      <c r="Y273" s="164"/>
      <c r="Z273" s="164"/>
      <c r="AA273" s="165">
        <f t="shared" si="20"/>
        <v>45912</v>
      </c>
      <c r="AB273" s="160" t="s">
        <v>1144</v>
      </c>
      <c r="AC273" s="174"/>
      <c r="AD273" s="166"/>
      <c r="AE273" s="156" t="str">
        <f t="shared" si="21"/>
        <v/>
      </c>
      <c r="AF273" s="107" t="str">
        <f t="shared" si="22"/>
        <v/>
      </c>
      <c r="AG273" s="107" t="str">
        <f t="shared" si="23"/>
        <v/>
      </c>
      <c r="AH273" s="107" t="str">
        <f t="shared" si="24"/>
        <v/>
      </c>
      <c r="AI273" s="157">
        <f t="shared" si="25"/>
        <v>39</v>
      </c>
      <c r="AJ273" s="96"/>
      <c r="AK273" s="169"/>
      <c r="AL273" s="96"/>
      <c r="AM273" s="158">
        <f t="shared" si="12"/>
        <v>0</v>
      </c>
    </row>
    <row r="274" ht="22.5" customHeight="1">
      <c r="A274" s="167"/>
      <c r="B274" s="16" t="s">
        <v>54</v>
      </c>
      <c r="C274" s="16" t="s">
        <v>1131</v>
      </c>
      <c r="D274" s="123">
        <v>45983.0</v>
      </c>
      <c r="E274" s="124" t="str">
        <f t="shared" si="1"/>
        <v>2025</v>
      </c>
      <c r="F274" s="124" t="str">
        <f t="shared" si="2"/>
        <v>11 Nov</v>
      </c>
      <c r="G274" s="124" t="str">
        <f t="shared" si="3"/>
        <v>Sabtu</v>
      </c>
      <c r="H274" s="16" t="s">
        <v>547</v>
      </c>
      <c r="I274" s="125" t="str">
        <f t="array" ref="I274">IFNA(XLOOKUP($H274,'🙎‍♂️ Pasien'!$G$7:$G658,'🙎‍♂️ Pasien'!$H$7:$H658),"")</f>
        <v>I5825112202</v>
      </c>
      <c r="J274" s="125" t="str">
        <f t="array" ref="J274">IFNA(XLOOKUP($H274,'🙎‍♂️ Pasien'!$G$7:$G658,'🙎‍♂️ Pasien'!$L$7:$L658),"")</f>
        <v>PEREMPUAN</v>
      </c>
      <c r="K274" s="125">
        <f t="array" ref="K274">IFNA(XLOOKUP($H274,'🙎‍♂️ Pasien'!$G$7:$G658,'🙎‍♂️ Pasien'!$I$7:$I658),"")</f>
        <v>68</v>
      </c>
      <c r="L274" s="16" t="s">
        <v>72</v>
      </c>
      <c r="M274" s="125" t="str">
        <f t="array" ref="M274">IFNA(XLOOKUP(L274,'⚙️ Pengaturan'!$H$5:$H658,'⚙️ Pengaturan'!$I$5:$I658),"")</f>
        <v>TIM A</v>
      </c>
      <c r="N274" s="16" t="s">
        <v>1132</v>
      </c>
      <c r="O274" s="16" t="s">
        <v>1133</v>
      </c>
      <c r="P274" s="153">
        <f t="shared" si="13"/>
        <v>5</v>
      </c>
      <c r="Q274" s="154">
        <v>45983.0</v>
      </c>
      <c r="R274" s="154">
        <v>45986.0</v>
      </c>
      <c r="S274" s="154">
        <v>45988.0</v>
      </c>
      <c r="T274" s="154">
        <v>45991.0</v>
      </c>
      <c r="U274" s="154">
        <v>45993.0</v>
      </c>
      <c r="V274" s="154"/>
      <c r="W274" s="154"/>
      <c r="X274" s="154"/>
      <c r="Y274" s="154"/>
      <c r="Z274" s="154"/>
      <c r="AA274" s="155">
        <f t="shared" si="20"/>
        <v>45993</v>
      </c>
      <c r="AB274" s="16" t="s">
        <v>1134</v>
      </c>
      <c r="AC274" s="20"/>
      <c r="AD274" s="170"/>
      <c r="AE274" s="156">
        <f t="shared" si="21"/>
        <v>45993</v>
      </c>
      <c r="AF274" s="107" t="str">
        <f t="shared" si="22"/>
        <v>2025</v>
      </c>
      <c r="AG274" s="107" t="str">
        <f t="shared" si="23"/>
        <v>12 Des</v>
      </c>
      <c r="AH274" s="107" t="str">
        <f t="shared" si="24"/>
        <v>Sel</v>
      </c>
      <c r="AI274" s="157">
        <f t="shared" si="25"/>
        <v>2</v>
      </c>
      <c r="AJ274" s="96"/>
      <c r="AK274" s="169"/>
      <c r="AL274" s="96"/>
      <c r="AM274" s="158">
        <f t="shared" si="12"/>
        <v>0</v>
      </c>
    </row>
    <row r="275" ht="22.5" customHeight="1">
      <c r="A275" s="167"/>
      <c r="B275" s="163" t="s">
        <v>86</v>
      </c>
      <c r="C275" s="163" t="s">
        <v>1131</v>
      </c>
      <c r="D275" s="161">
        <v>45959.0</v>
      </c>
      <c r="E275" s="124" t="str">
        <f t="shared" si="1"/>
        <v>2025</v>
      </c>
      <c r="F275" s="124" t="str">
        <f t="shared" si="2"/>
        <v>10 Okt</v>
      </c>
      <c r="G275" s="124" t="str">
        <f t="shared" si="3"/>
        <v>Rabu</v>
      </c>
      <c r="H275" s="16" t="s">
        <v>350</v>
      </c>
      <c r="I275" s="125" t="str">
        <f t="array" ref="I275">IFNA(XLOOKUP($H275,'🙎‍♂️ Pasien'!$G$7:$G658,'🙎‍♂️ Pasien'!$H$7:$H658),"")</f>
        <v>I8025109996</v>
      </c>
      <c r="J275" s="125" t="str">
        <f t="array" ref="J275">IFNA(XLOOKUP($H275,'🙎‍♂️ Pasien'!$G$7:$G658,'🙎‍♂️ Pasien'!$L$7:$L658),"")</f>
        <v>PEREMPUAN</v>
      </c>
      <c r="K275" s="125">
        <f t="array" ref="K275">IFNA(XLOOKUP($H275,'🙎‍♂️ Pasien'!$G$7:$G658,'🙎‍♂️ Pasien'!$I$7:$I658),"")</f>
        <v>45</v>
      </c>
      <c r="L275" s="16" t="s">
        <v>91</v>
      </c>
      <c r="M275" s="125" t="str">
        <f t="array" ref="M275">IFNA(XLOOKUP(L275,'⚙️ Pengaturan'!$H$5:$H658,'⚙️ Pengaturan'!$I$5:$I658),"")</f>
        <v>TIM Y</v>
      </c>
      <c r="N275" s="16" t="s">
        <v>1132</v>
      </c>
      <c r="O275" s="16" t="s">
        <v>1133</v>
      </c>
      <c r="P275" s="153">
        <f t="shared" si="13"/>
        <v>5</v>
      </c>
      <c r="Q275" s="154">
        <v>45959.0</v>
      </c>
      <c r="R275" s="154">
        <v>45962.0</v>
      </c>
      <c r="S275" s="154">
        <v>45964.0</v>
      </c>
      <c r="T275" s="154">
        <v>45966.0</v>
      </c>
      <c r="U275" s="154">
        <v>45969.0</v>
      </c>
      <c r="V275" s="154"/>
      <c r="W275" s="154"/>
      <c r="X275" s="154"/>
      <c r="Y275" s="154"/>
      <c r="Z275" s="154"/>
      <c r="AA275" s="155">
        <f t="shared" si="20"/>
        <v>45969</v>
      </c>
      <c r="AB275" s="16" t="s">
        <v>1134</v>
      </c>
      <c r="AC275" s="16" t="s">
        <v>1138</v>
      </c>
      <c r="AD275" s="170"/>
      <c r="AE275" s="156">
        <f t="shared" si="21"/>
        <v>45969</v>
      </c>
      <c r="AF275" s="107" t="str">
        <f t="shared" si="22"/>
        <v>2025</v>
      </c>
      <c r="AG275" s="107" t="str">
        <f t="shared" si="23"/>
        <v>11 Nov</v>
      </c>
      <c r="AH275" s="107" t="str">
        <f t="shared" si="24"/>
        <v>Sab</v>
      </c>
      <c r="AI275" s="157">
        <f t="shared" si="25"/>
        <v>2</v>
      </c>
      <c r="AJ275" s="96"/>
      <c r="AK275" s="169"/>
      <c r="AL275" s="96"/>
      <c r="AM275" s="158">
        <f t="shared" si="12"/>
        <v>0</v>
      </c>
    </row>
    <row r="276" ht="22.5" customHeight="1">
      <c r="A276" s="167"/>
      <c r="B276" s="163" t="s">
        <v>54</v>
      </c>
      <c r="C276" s="163" t="s">
        <v>1131</v>
      </c>
      <c r="D276" s="161">
        <v>45969.0</v>
      </c>
      <c r="E276" s="124" t="str">
        <f t="shared" si="1"/>
        <v>2025</v>
      </c>
      <c r="F276" s="124" t="str">
        <f t="shared" si="2"/>
        <v>11 Nov</v>
      </c>
      <c r="G276" s="124" t="str">
        <f t="shared" si="3"/>
        <v>Sabtu</v>
      </c>
      <c r="H276" s="16" t="s">
        <v>350</v>
      </c>
      <c r="I276" s="125" t="str">
        <f t="array" ref="I276">IFNA(XLOOKUP($H276,'🙎‍♂️ Pasien'!$G$7:$G658,'🙎‍♂️ Pasien'!$H$7:$H658),"")</f>
        <v>I8025109996</v>
      </c>
      <c r="J276" s="125" t="str">
        <f t="array" ref="J276">IFNA(XLOOKUP($H276,'🙎‍♂️ Pasien'!$G$7:$G658,'🙎‍♂️ Pasien'!$L$7:$L658),"")</f>
        <v>PEREMPUAN</v>
      </c>
      <c r="K276" s="125">
        <f t="array" ref="K276">IFNA(XLOOKUP($H276,'🙎‍♂️ Pasien'!$G$7:$G658,'🙎‍♂️ Pasien'!$I$7:$I658),"")</f>
        <v>45</v>
      </c>
      <c r="L276" s="16" t="s">
        <v>62</v>
      </c>
      <c r="M276" s="125" t="str">
        <f t="array" ref="M276">IFNA(XLOOKUP(L276,'⚙️ Pengaturan'!$H$5:$H658,'⚙️ Pengaturan'!$I$5:$I658),"")</f>
        <v>TIM A</v>
      </c>
      <c r="N276" s="16" t="s">
        <v>1132</v>
      </c>
      <c r="O276" s="16" t="s">
        <v>1139</v>
      </c>
      <c r="P276" s="153">
        <f t="shared" si="13"/>
        <v>3</v>
      </c>
      <c r="Q276" s="154">
        <v>45973.0</v>
      </c>
      <c r="R276" s="154">
        <v>45974.0</v>
      </c>
      <c r="S276" s="154">
        <v>45976.0</v>
      </c>
      <c r="T276" s="154"/>
      <c r="U276" s="154"/>
      <c r="V276" s="154"/>
      <c r="W276" s="154"/>
      <c r="X276" s="154"/>
      <c r="Y276" s="154"/>
      <c r="Z276" s="154"/>
      <c r="AA276" s="155">
        <f t="shared" si="20"/>
        <v>45976</v>
      </c>
      <c r="AB276" s="16" t="s">
        <v>1144</v>
      </c>
      <c r="AC276" s="20"/>
      <c r="AD276" s="170"/>
      <c r="AE276" s="156" t="str">
        <f t="shared" si="21"/>
        <v/>
      </c>
      <c r="AF276" s="107" t="str">
        <f t="shared" si="22"/>
        <v/>
      </c>
      <c r="AG276" s="107" t="str">
        <f t="shared" si="23"/>
        <v/>
      </c>
      <c r="AH276" s="107" t="str">
        <f t="shared" si="24"/>
        <v/>
      </c>
      <c r="AI276" s="157">
        <f t="shared" si="25"/>
        <v>30</v>
      </c>
      <c r="AJ276" s="96"/>
      <c r="AK276" s="169"/>
      <c r="AL276" s="96"/>
      <c r="AM276" s="158">
        <f t="shared" si="12"/>
        <v>0</v>
      </c>
    </row>
    <row r="277" ht="22.5" customHeight="1">
      <c r="A277" s="167"/>
      <c r="B277" s="171"/>
      <c r="C277" s="171"/>
      <c r="D277" s="161">
        <v>45718.0</v>
      </c>
      <c r="E277" s="124" t="str">
        <f t="shared" si="1"/>
        <v>2025</v>
      </c>
      <c r="F277" s="124" t="str">
        <f t="shared" si="2"/>
        <v>03 Mar</v>
      </c>
      <c r="G277" s="124" t="str">
        <f t="shared" si="3"/>
        <v>Minggu</v>
      </c>
      <c r="H277" s="16" t="s">
        <v>1292</v>
      </c>
      <c r="I277" s="125" t="str">
        <f t="array" ref="I277">IFNA(XLOOKUP($H277,'🙎‍♂️ Pasien'!$G$7:$G658,'🙎‍♂️ Pasien'!$H$7:$H658),"")</f>
        <v>I9525021880</v>
      </c>
      <c r="J277" s="125" t="str">
        <f t="array" ref="J277">IFNA(XLOOKUP($H277,'🙎‍♂️ Pasien'!$G$7:$G658,'🙎‍♂️ Pasien'!$L$7:$L658),"")</f>
        <v>LAKI-LAKI</v>
      </c>
      <c r="K277" s="125">
        <f t="array" ref="K277">IFNA(XLOOKUP($H277,'🙎‍♂️ Pasien'!$G$7:$G658,'🙎‍♂️ Pasien'!$I$7:$I658),"")</f>
        <v>30</v>
      </c>
      <c r="L277" s="16" t="s">
        <v>1152</v>
      </c>
      <c r="M277" s="125" t="str">
        <f t="array" ref="M277">IFNA(XLOOKUP(L277,'⚙️ Pengaturan'!$H$5:$H658,'⚙️ Pengaturan'!$I$5:$I658),"")</f>
        <v>INAKTIF</v>
      </c>
      <c r="N277" s="16" t="s">
        <v>1132</v>
      </c>
      <c r="O277" s="16" t="s">
        <v>1133</v>
      </c>
      <c r="P277" s="153">
        <f t="shared" si="13"/>
        <v>3</v>
      </c>
      <c r="Q277" s="154">
        <v>45718.0</v>
      </c>
      <c r="R277" s="154">
        <v>45725.0</v>
      </c>
      <c r="S277" s="154">
        <v>45740.0</v>
      </c>
      <c r="T277" s="154"/>
      <c r="U277" s="154"/>
      <c r="V277" s="154"/>
      <c r="W277" s="154"/>
      <c r="X277" s="154"/>
      <c r="Y277" s="154"/>
      <c r="Z277" s="154"/>
      <c r="AA277" s="155">
        <f t="shared" si="20"/>
        <v>45740</v>
      </c>
      <c r="AB277" s="16" t="s">
        <v>1144</v>
      </c>
      <c r="AC277" s="20"/>
      <c r="AD277" s="170"/>
      <c r="AE277" s="156" t="str">
        <f t="shared" si="21"/>
        <v/>
      </c>
      <c r="AF277" s="107" t="str">
        <f t="shared" si="22"/>
        <v/>
      </c>
      <c r="AG277" s="107" t="str">
        <f t="shared" si="23"/>
        <v/>
      </c>
      <c r="AH277" s="107" t="str">
        <f t="shared" si="24"/>
        <v/>
      </c>
      <c r="AI277" s="157">
        <f t="shared" si="25"/>
        <v>67</v>
      </c>
      <c r="AJ277" s="96"/>
      <c r="AK277" s="169"/>
      <c r="AL277" s="96"/>
      <c r="AM277" s="158">
        <f t="shared" si="12"/>
        <v>0</v>
      </c>
    </row>
    <row r="278" ht="22.5" customHeight="1">
      <c r="A278" s="167"/>
      <c r="B278" s="160" t="s">
        <v>86</v>
      </c>
      <c r="C278" s="172"/>
      <c r="D278" s="161">
        <v>45804.0</v>
      </c>
      <c r="E278" s="124" t="str">
        <f t="shared" si="1"/>
        <v>2025</v>
      </c>
      <c r="F278" s="124" t="str">
        <f t="shared" si="2"/>
        <v>05 Mei</v>
      </c>
      <c r="G278" s="124" t="str">
        <f t="shared" si="3"/>
        <v>Selasa</v>
      </c>
      <c r="H278" s="160" t="s">
        <v>1293</v>
      </c>
      <c r="I278" s="125" t="str">
        <f t="array" ref="I278">IFNA(XLOOKUP($H278,'🙎‍♂️ Pasien'!$G$7:$G658,'🙎‍♂️ Pasien'!$H$7:$H658),"")</f>
        <v>I9825044864</v>
      </c>
      <c r="J278" s="125" t="str">
        <f t="array" ref="J278">IFNA(XLOOKUP($H278,'🙎‍♂️ Pasien'!$G$7:$G658,'🙎‍♂️ Pasien'!$L$7:$L658),"")</f>
        <v>LAKI-LAKI</v>
      </c>
      <c r="K278" s="125">
        <f t="array" ref="K278">IFNA(XLOOKUP($H278,'🙎‍♂️ Pasien'!$G$7:$G658,'🙎‍♂️ Pasien'!$I$7:$I658),"")</f>
        <v>28</v>
      </c>
      <c r="L278" s="160" t="s">
        <v>88</v>
      </c>
      <c r="M278" s="162" t="str">
        <f t="array" ref="M278">IFNA(XLOOKUP(L278,'⚙️ Pengaturan'!$H$5:$H658,'⚙️ Pengaturan'!$I$5:$I658),"")</f>
        <v>TIM Y</v>
      </c>
      <c r="N278" s="160" t="s">
        <v>1132</v>
      </c>
      <c r="O278" s="160" t="s">
        <v>1139</v>
      </c>
      <c r="P278" s="153">
        <f t="shared" si="13"/>
        <v>3</v>
      </c>
      <c r="Q278" s="164">
        <v>45804.0</v>
      </c>
      <c r="R278" s="164">
        <v>45822.0</v>
      </c>
      <c r="S278" s="164">
        <v>45832.0</v>
      </c>
      <c r="T278" s="164"/>
      <c r="U278" s="164"/>
      <c r="V278" s="164"/>
      <c r="W278" s="164"/>
      <c r="X278" s="164"/>
      <c r="Y278" s="164"/>
      <c r="Z278" s="164"/>
      <c r="AA278" s="165">
        <f t="shared" si="20"/>
        <v>45832</v>
      </c>
      <c r="AB278" s="160" t="s">
        <v>1144</v>
      </c>
      <c r="AC278" s="174"/>
      <c r="AD278" s="166"/>
      <c r="AE278" s="156" t="str">
        <f t="shared" si="21"/>
        <v/>
      </c>
      <c r="AF278" s="107" t="str">
        <f t="shared" si="22"/>
        <v/>
      </c>
      <c r="AG278" s="107" t="str">
        <f t="shared" si="23"/>
        <v/>
      </c>
      <c r="AH278" s="107" t="str">
        <f t="shared" si="24"/>
        <v/>
      </c>
      <c r="AI278" s="157">
        <f t="shared" si="25"/>
        <v>54</v>
      </c>
      <c r="AJ278" s="96"/>
      <c r="AK278" s="169"/>
      <c r="AL278" s="96"/>
      <c r="AM278" s="158">
        <f t="shared" si="12"/>
        <v>0</v>
      </c>
    </row>
    <row r="279" ht="22.5" customHeight="1">
      <c r="A279" s="167"/>
      <c r="B279" s="160" t="s">
        <v>86</v>
      </c>
      <c r="C279" s="160" t="s">
        <v>1131</v>
      </c>
      <c r="D279" s="161">
        <v>45864.0</v>
      </c>
      <c r="E279" s="124" t="str">
        <f t="shared" si="1"/>
        <v>2025</v>
      </c>
      <c r="F279" s="124" t="str">
        <f t="shared" si="2"/>
        <v>07 Jul</v>
      </c>
      <c r="G279" s="124" t="str">
        <f t="shared" si="3"/>
        <v>Sabtu</v>
      </c>
      <c r="H279" s="160" t="s">
        <v>1294</v>
      </c>
      <c r="I279" s="125" t="str">
        <f t="array" ref="I279">IFNA(XLOOKUP($H279,'🙎‍♂️ Pasien'!$G$7:$G658,'🙎‍♂️ Pasien'!$H$7:$H658),"")</f>
        <v>J1025075435</v>
      </c>
      <c r="J279" s="125" t="str">
        <f t="array" ref="J279">IFNA(XLOOKUP($H279,'🙎‍♂️ Pasien'!$G$7:$G658,'🙎‍♂️ Pasien'!$L$7:$L658),"")</f>
        <v>LAKI-LAKI</v>
      </c>
      <c r="K279" s="125">
        <f t="array" ref="K279">IFNA(XLOOKUP($H279,'🙎‍♂️ Pasien'!$G$7:$G658,'🙎‍♂️ Pasien'!$I$7:$I658),"")</f>
        <v>15</v>
      </c>
      <c r="L279" s="160" t="s">
        <v>72</v>
      </c>
      <c r="M279" s="162" t="str">
        <f t="array" ref="M279">IFNA(XLOOKUP(L279,'⚙️ Pengaturan'!$H$5:$H658,'⚙️ Pengaturan'!$I$5:$I658),"")</f>
        <v>TIM A</v>
      </c>
      <c r="N279" s="163" t="s">
        <v>1132</v>
      </c>
      <c r="O279" s="160" t="s">
        <v>1133</v>
      </c>
      <c r="P279" s="153">
        <f t="shared" si="13"/>
        <v>5</v>
      </c>
      <c r="Q279" s="164">
        <v>45864.0</v>
      </c>
      <c r="R279" s="164">
        <v>45867.0</v>
      </c>
      <c r="S279" s="164">
        <v>45872.0</v>
      </c>
      <c r="T279" s="164">
        <v>45878.0</v>
      </c>
      <c r="U279" s="164">
        <v>45881.0</v>
      </c>
      <c r="V279" s="164"/>
      <c r="W279" s="164"/>
      <c r="X279" s="164"/>
      <c r="Y279" s="164"/>
      <c r="Z279" s="164"/>
      <c r="AA279" s="165">
        <f t="shared" si="20"/>
        <v>45881</v>
      </c>
      <c r="AB279" s="160" t="s">
        <v>1134</v>
      </c>
      <c r="AC279" s="160" t="s">
        <v>1142</v>
      </c>
      <c r="AD279" s="166"/>
      <c r="AE279" s="156">
        <f t="shared" si="21"/>
        <v>45881</v>
      </c>
      <c r="AF279" s="107" t="str">
        <f t="shared" si="22"/>
        <v>2025</v>
      </c>
      <c r="AG279" s="107" t="str">
        <f t="shared" si="23"/>
        <v>08 Agu</v>
      </c>
      <c r="AH279" s="107" t="str">
        <f t="shared" si="24"/>
        <v>Sel</v>
      </c>
      <c r="AI279" s="157">
        <f t="shared" si="25"/>
        <v>3</v>
      </c>
      <c r="AJ279" s="96"/>
      <c r="AK279" s="169"/>
      <c r="AL279" s="96"/>
      <c r="AM279" s="158">
        <f t="shared" si="12"/>
        <v>0</v>
      </c>
    </row>
    <row r="280" ht="22.5" customHeight="1">
      <c r="A280" s="167"/>
      <c r="B280" s="160" t="s">
        <v>54</v>
      </c>
      <c r="C280" s="160" t="s">
        <v>1131</v>
      </c>
      <c r="D280" s="161">
        <v>45907.0</v>
      </c>
      <c r="E280" s="124" t="str">
        <f t="shared" si="1"/>
        <v>2025</v>
      </c>
      <c r="F280" s="124" t="str">
        <f t="shared" si="2"/>
        <v>09 Sep</v>
      </c>
      <c r="G280" s="124" t="str">
        <f t="shared" si="3"/>
        <v>Minggu</v>
      </c>
      <c r="H280" s="158" t="s">
        <v>1295</v>
      </c>
      <c r="I280" s="125" t="str">
        <f t="array" ref="I280">IFNA(XLOOKUP($H280,'🙎‍♂️ Pasien'!$G$7:$G658,'🙎‍♂️ Pasien'!$H$7:$H658),"")</f>
        <v>J8823016633</v>
      </c>
      <c r="J280" s="125" t="str">
        <f t="array" ref="J280">IFNA(XLOOKUP($H280,'🙎‍♂️ Pasien'!$G$7:$G658,'🙎‍♂️ Pasien'!$L$7:$L658),"")</f>
        <v>LAKI-LAKI</v>
      </c>
      <c r="K280" s="125">
        <f t="array" ref="K280">IFNA(XLOOKUP($H280,'🙎‍♂️ Pasien'!$G$7:$G658,'🙎‍♂️ Pasien'!$I$7:$I658),"")</f>
        <v>38</v>
      </c>
      <c r="L280" s="160" t="s">
        <v>56</v>
      </c>
      <c r="M280" s="162" t="str">
        <f t="array" ref="M280">IFNA(XLOOKUP(L280,'⚙️ Pengaturan'!$H$5:$H658,'⚙️ Pengaturan'!$I$5:$I658),"")</f>
        <v>TIM Y</v>
      </c>
      <c r="N280" s="163" t="s">
        <v>1132</v>
      </c>
      <c r="O280" s="160" t="s">
        <v>1133</v>
      </c>
      <c r="P280" s="153">
        <f t="shared" si="13"/>
        <v>5</v>
      </c>
      <c r="Q280" s="164">
        <v>45907.0</v>
      </c>
      <c r="R280" s="164">
        <v>45911.0</v>
      </c>
      <c r="S280" s="164">
        <v>45915.0</v>
      </c>
      <c r="T280" s="164">
        <v>45918.0</v>
      </c>
      <c r="U280" s="164">
        <v>45921.0</v>
      </c>
      <c r="V280" s="164"/>
      <c r="W280" s="164"/>
      <c r="X280" s="164"/>
      <c r="Y280" s="164"/>
      <c r="Z280" s="164"/>
      <c r="AA280" s="165">
        <f t="shared" si="20"/>
        <v>45921</v>
      </c>
      <c r="AB280" s="160" t="s">
        <v>1134</v>
      </c>
      <c r="AC280" s="160" t="s">
        <v>1135</v>
      </c>
      <c r="AD280" s="168" t="s">
        <v>1296</v>
      </c>
      <c r="AE280" s="156">
        <f t="shared" si="21"/>
        <v>45921</v>
      </c>
      <c r="AF280" s="107" t="str">
        <f t="shared" si="22"/>
        <v>2025</v>
      </c>
      <c r="AG280" s="107" t="str">
        <f t="shared" si="23"/>
        <v>09 Sep</v>
      </c>
      <c r="AH280" s="107" t="str">
        <f t="shared" si="24"/>
        <v>Min</v>
      </c>
      <c r="AI280" s="157">
        <f t="shared" si="25"/>
        <v>2</v>
      </c>
      <c r="AJ280" s="96"/>
      <c r="AK280" s="169"/>
      <c r="AL280" s="96"/>
      <c r="AM280" s="158">
        <f t="shared" si="12"/>
        <v>0</v>
      </c>
    </row>
    <row r="281" ht="22.5" customHeight="1">
      <c r="A281" s="167"/>
      <c r="B281" s="160" t="s">
        <v>86</v>
      </c>
      <c r="C281" s="160" t="s">
        <v>1131</v>
      </c>
      <c r="D281" s="161">
        <v>45829.0</v>
      </c>
      <c r="E281" s="124" t="str">
        <f t="shared" si="1"/>
        <v>2025</v>
      </c>
      <c r="F281" s="124" t="str">
        <f t="shared" si="2"/>
        <v>06 Jun</v>
      </c>
      <c r="G281" s="124" t="str">
        <f t="shared" si="3"/>
        <v>Sabtu</v>
      </c>
      <c r="H281" s="160" t="s">
        <v>1297</v>
      </c>
      <c r="I281" s="125" t="str">
        <f t="array" ref="I281">IFNA(XLOOKUP($H281,'🙎‍♂️ Pasien'!$G$7:$G658,'🙎‍♂️ Pasien'!$H$7:$H658),"")</f>
        <v>J9223078684</v>
      </c>
      <c r="J281" s="125" t="str">
        <f t="array" ref="J281">IFNA(XLOOKUP($H281,'🙎‍♂️ Pasien'!$G$7:$G658,'🙎‍♂️ Pasien'!$L$7:$L658),"")</f>
        <v>PEREMPUAN</v>
      </c>
      <c r="K281" s="125">
        <f t="array" ref="K281">IFNA(XLOOKUP($H281,'🙎‍♂️ Pasien'!$G$7:$G658,'🙎‍♂️ Pasien'!$I$7:$I658),"")</f>
        <v>33</v>
      </c>
      <c r="L281" s="160" t="s">
        <v>1152</v>
      </c>
      <c r="M281" s="162" t="str">
        <f t="array" ref="M281">IFNA(XLOOKUP(L281,'⚙️ Pengaturan'!$H$5:$H658,'⚙️ Pengaturan'!$I$5:$I658),"")</f>
        <v>INAKTIF</v>
      </c>
      <c r="N281" s="163" t="s">
        <v>1132</v>
      </c>
      <c r="O281" s="160" t="s">
        <v>1139</v>
      </c>
      <c r="P281" s="153">
        <f t="shared" si="13"/>
        <v>5</v>
      </c>
      <c r="Q281" s="164">
        <v>45829.0</v>
      </c>
      <c r="R281" s="164">
        <v>45833.0</v>
      </c>
      <c r="S281" s="164">
        <v>45838.0</v>
      </c>
      <c r="T281" s="164">
        <v>45845.0</v>
      </c>
      <c r="U281" s="164">
        <v>45848.0</v>
      </c>
      <c r="V281" s="164"/>
      <c r="W281" s="164"/>
      <c r="X281" s="164"/>
      <c r="Y281" s="164"/>
      <c r="Z281" s="164"/>
      <c r="AA281" s="165">
        <f t="shared" si="20"/>
        <v>45848</v>
      </c>
      <c r="AB281" s="160" t="s">
        <v>1134</v>
      </c>
      <c r="AC281" s="160" t="s">
        <v>1138</v>
      </c>
      <c r="AD281" s="166"/>
      <c r="AE281" s="156">
        <f t="shared" si="21"/>
        <v>45848</v>
      </c>
      <c r="AF281" s="107" t="str">
        <f t="shared" si="22"/>
        <v>2025</v>
      </c>
      <c r="AG281" s="107" t="str">
        <f t="shared" si="23"/>
        <v>07 Jul</v>
      </c>
      <c r="AH281" s="107" t="str">
        <f t="shared" si="24"/>
        <v>Kam</v>
      </c>
      <c r="AI281" s="157">
        <f t="shared" si="25"/>
        <v>3</v>
      </c>
      <c r="AJ281" s="96"/>
      <c r="AK281" s="169"/>
      <c r="AL281" s="96"/>
      <c r="AM281" s="158">
        <f t="shared" si="12"/>
        <v>0</v>
      </c>
    </row>
    <row r="282" ht="22.5" customHeight="1">
      <c r="A282" s="167"/>
      <c r="B282" s="160" t="s">
        <v>86</v>
      </c>
      <c r="C282" s="160" t="s">
        <v>1131</v>
      </c>
      <c r="D282" s="161">
        <v>45848.0</v>
      </c>
      <c r="E282" s="124" t="str">
        <f t="shared" si="1"/>
        <v>2025</v>
      </c>
      <c r="F282" s="124" t="str">
        <f t="shared" si="2"/>
        <v>07 Jul</v>
      </c>
      <c r="G282" s="124" t="str">
        <f t="shared" si="3"/>
        <v>Kamis</v>
      </c>
      <c r="H282" s="160" t="s">
        <v>1297</v>
      </c>
      <c r="I282" s="125" t="str">
        <f t="array" ref="I282">IFNA(XLOOKUP($H282,'🙎‍♂️ Pasien'!$G$7:$G658,'🙎‍♂️ Pasien'!$H$7:$H658),"")</f>
        <v>J9223078684</v>
      </c>
      <c r="J282" s="125" t="str">
        <f t="array" ref="J282">IFNA(XLOOKUP($H282,'🙎‍♂️ Pasien'!$G$7:$G658,'🙎‍♂️ Pasien'!$L$7:$L658),"")</f>
        <v>PEREMPUAN</v>
      </c>
      <c r="K282" s="125">
        <f t="array" ref="K282">IFNA(XLOOKUP($H282,'🙎‍♂️ Pasien'!$G$7:$G658,'🙎‍♂️ Pasien'!$I$7:$I658),"")</f>
        <v>33</v>
      </c>
      <c r="L282" s="160" t="s">
        <v>62</v>
      </c>
      <c r="M282" s="162" t="str">
        <f t="array" ref="M282">IFNA(XLOOKUP(L282,'⚙️ Pengaturan'!$H$5:$H658,'⚙️ Pengaturan'!$I$5:$I658),"")</f>
        <v>TIM A</v>
      </c>
      <c r="N282" s="163" t="s">
        <v>1132</v>
      </c>
      <c r="O282" s="160" t="s">
        <v>1139</v>
      </c>
      <c r="P282" s="153">
        <f t="shared" si="13"/>
        <v>5</v>
      </c>
      <c r="Q282" s="164">
        <v>45865.0</v>
      </c>
      <c r="R282" s="164">
        <v>45867.0</v>
      </c>
      <c r="S282" s="164">
        <v>45874.0</v>
      </c>
      <c r="T282" s="164">
        <v>45880.0</v>
      </c>
      <c r="U282" s="164">
        <v>45882.0</v>
      </c>
      <c r="V282" s="164"/>
      <c r="W282" s="164"/>
      <c r="X282" s="164"/>
      <c r="Y282" s="164"/>
      <c r="Z282" s="164"/>
      <c r="AA282" s="165">
        <f t="shared" si="20"/>
        <v>45882</v>
      </c>
      <c r="AB282" s="160" t="s">
        <v>1134</v>
      </c>
      <c r="AC282" s="160" t="s">
        <v>1138</v>
      </c>
      <c r="AD282" s="168" t="s">
        <v>1298</v>
      </c>
      <c r="AE282" s="156">
        <f t="shared" si="21"/>
        <v>45882</v>
      </c>
      <c r="AF282" s="107" t="str">
        <f t="shared" si="22"/>
        <v>2025</v>
      </c>
      <c r="AG282" s="107" t="str">
        <f t="shared" si="23"/>
        <v>08 Agu</v>
      </c>
      <c r="AH282" s="107" t="str">
        <f t="shared" si="24"/>
        <v>Rab</v>
      </c>
      <c r="AI282" s="157">
        <f t="shared" si="25"/>
        <v>3</v>
      </c>
      <c r="AJ282" s="96"/>
      <c r="AK282" s="169"/>
      <c r="AL282" s="96"/>
      <c r="AM282" s="158">
        <f t="shared" si="12"/>
        <v>0</v>
      </c>
    </row>
    <row r="283" ht="22.5" customHeight="1">
      <c r="A283" s="167"/>
      <c r="B283" s="160" t="s">
        <v>134</v>
      </c>
      <c r="C283" s="160" t="s">
        <v>1131</v>
      </c>
      <c r="D283" s="161">
        <v>45888.0</v>
      </c>
      <c r="E283" s="124" t="str">
        <f t="shared" si="1"/>
        <v>2025</v>
      </c>
      <c r="F283" s="124" t="str">
        <f t="shared" si="2"/>
        <v>08 Agu</v>
      </c>
      <c r="G283" s="124" t="str">
        <f t="shared" si="3"/>
        <v>Selasa</v>
      </c>
      <c r="H283" s="160" t="s">
        <v>1297</v>
      </c>
      <c r="I283" s="125" t="str">
        <f t="array" ref="I283">IFNA(XLOOKUP($H283,'🙎‍♂️ Pasien'!$G$7:$G658,'🙎‍♂️ Pasien'!$H$7:$H658),"")</f>
        <v>J9223078684</v>
      </c>
      <c r="J283" s="125" t="str">
        <f t="array" ref="J283">IFNA(XLOOKUP($H283,'🙎‍♂️ Pasien'!$G$7:$G658,'🙎‍♂️ Pasien'!$L$7:$L658),"")</f>
        <v>PEREMPUAN</v>
      </c>
      <c r="K283" s="125">
        <f t="array" ref="K283">IFNA(XLOOKUP($H283,'🙎‍♂️ Pasien'!$G$7:$G658,'🙎‍♂️ Pasien'!$I$7:$I658),"")</f>
        <v>33</v>
      </c>
      <c r="L283" s="160" t="s">
        <v>1152</v>
      </c>
      <c r="M283" s="162" t="str">
        <f t="array" ref="M283">IFNA(XLOOKUP(L283,'⚙️ Pengaturan'!$H$5:$H658,'⚙️ Pengaturan'!$I$5:$I658),"")</f>
        <v>INAKTIF</v>
      </c>
      <c r="N283" s="163" t="s">
        <v>1132</v>
      </c>
      <c r="O283" s="160" t="s">
        <v>1139</v>
      </c>
      <c r="P283" s="153">
        <f t="shared" si="13"/>
        <v>3</v>
      </c>
      <c r="Q283" s="164">
        <v>45888.0</v>
      </c>
      <c r="R283" s="164">
        <v>45890.0</v>
      </c>
      <c r="S283" s="164">
        <v>45897.0</v>
      </c>
      <c r="T283" s="164"/>
      <c r="U283" s="164"/>
      <c r="V283" s="164"/>
      <c r="W283" s="164"/>
      <c r="X283" s="164"/>
      <c r="Y283" s="164"/>
      <c r="Z283" s="164"/>
      <c r="AA283" s="165">
        <f t="shared" si="20"/>
        <v>45897</v>
      </c>
      <c r="AB283" s="160" t="s">
        <v>1144</v>
      </c>
      <c r="AC283" s="172"/>
      <c r="AD283" s="168"/>
      <c r="AE283" s="156" t="str">
        <f t="shared" si="21"/>
        <v/>
      </c>
      <c r="AF283" s="107" t="str">
        <f t="shared" si="22"/>
        <v/>
      </c>
      <c r="AG283" s="107" t="str">
        <f t="shared" si="23"/>
        <v/>
      </c>
      <c r="AH283" s="107" t="str">
        <f t="shared" si="24"/>
        <v/>
      </c>
      <c r="AI283" s="157">
        <f t="shared" si="25"/>
        <v>42</v>
      </c>
      <c r="AJ283" s="96"/>
      <c r="AK283" s="169"/>
      <c r="AL283" s="96"/>
      <c r="AM283" s="158">
        <f t="shared" si="12"/>
        <v>0</v>
      </c>
    </row>
    <row r="284" ht="22.5" customHeight="1">
      <c r="A284" s="167"/>
      <c r="B284" s="160" t="s">
        <v>86</v>
      </c>
      <c r="C284" s="160" t="s">
        <v>1131</v>
      </c>
      <c r="D284" s="161">
        <v>45845.0</v>
      </c>
      <c r="E284" s="124" t="str">
        <f t="shared" si="1"/>
        <v>2025</v>
      </c>
      <c r="F284" s="124" t="str">
        <f t="shared" si="2"/>
        <v>07 Jul</v>
      </c>
      <c r="G284" s="124" t="str">
        <f t="shared" si="3"/>
        <v>Senin</v>
      </c>
      <c r="H284" s="160" t="s">
        <v>430</v>
      </c>
      <c r="I284" s="125" t="str">
        <f t="array" ref="I284">IFNA(XLOOKUP($H284,'🙎‍♂️ Pasien'!$G$7:$G658,'🙎‍♂️ Pasien'!$H$7:$H658),"")</f>
        <v>J5525063513</v>
      </c>
      <c r="J284" s="125" t="str">
        <f t="array" ref="J284">IFNA(XLOOKUP($H284,'🙎‍♂️ Pasien'!$G$7:$G658,'🙎‍♂️ Pasien'!$L$7:$L658),"")</f>
        <v>PEREMPUAN</v>
      </c>
      <c r="K284" s="125">
        <f t="array" ref="K284">IFNA(XLOOKUP($H284,'🙎‍♂️ Pasien'!$G$7:$G658,'🙎‍♂️ Pasien'!$I$7:$I658),"")</f>
        <v>71</v>
      </c>
      <c r="L284" s="160" t="s">
        <v>91</v>
      </c>
      <c r="M284" s="162" t="str">
        <f t="array" ref="M284">IFNA(XLOOKUP(L284,'⚙️ Pengaturan'!$H$5:$H658,'⚙️ Pengaturan'!$I$5:$I658),"")</f>
        <v>TIM Y</v>
      </c>
      <c r="N284" s="163" t="s">
        <v>1132</v>
      </c>
      <c r="O284" s="160" t="s">
        <v>1139</v>
      </c>
      <c r="P284" s="153">
        <f t="shared" si="13"/>
        <v>5</v>
      </c>
      <c r="Q284" s="164">
        <v>45845.0</v>
      </c>
      <c r="R284" s="164">
        <v>45848.0</v>
      </c>
      <c r="S284" s="164">
        <v>45853.0</v>
      </c>
      <c r="T284" s="164">
        <v>45858.0</v>
      </c>
      <c r="U284" s="164">
        <v>45862.0</v>
      </c>
      <c r="V284" s="164"/>
      <c r="W284" s="164"/>
      <c r="X284" s="164"/>
      <c r="Y284" s="164"/>
      <c r="Z284" s="164"/>
      <c r="AA284" s="165">
        <f t="shared" si="20"/>
        <v>45862</v>
      </c>
      <c r="AB284" s="160" t="s">
        <v>1134</v>
      </c>
      <c r="AC284" s="160" t="s">
        <v>1138</v>
      </c>
      <c r="AD284" s="166"/>
      <c r="AE284" s="156">
        <f t="shared" si="21"/>
        <v>45862</v>
      </c>
      <c r="AF284" s="107" t="str">
        <f t="shared" si="22"/>
        <v>2025</v>
      </c>
      <c r="AG284" s="107" t="str">
        <f t="shared" si="23"/>
        <v>07 Jul</v>
      </c>
      <c r="AH284" s="107" t="str">
        <f t="shared" si="24"/>
        <v>Kam</v>
      </c>
      <c r="AI284" s="157">
        <f t="shared" si="25"/>
        <v>3</v>
      </c>
      <c r="AJ284" s="96"/>
      <c r="AK284" s="169"/>
      <c r="AL284" s="96"/>
      <c r="AM284" s="158">
        <f t="shared" si="12"/>
        <v>0</v>
      </c>
    </row>
    <row r="285" ht="22.5" customHeight="1">
      <c r="A285" s="167"/>
      <c r="B285" s="160" t="s">
        <v>54</v>
      </c>
      <c r="C285" s="160" t="s">
        <v>1131</v>
      </c>
      <c r="D285" s="161">
        <v>45960.0</v>
      </c>
      <c r="E285" s="124" t="str">
        <f t="shared" si="1"/>
        <v>2025</v>
      </c>
      <c r="F285" s="124" t="str">
        <f t="shared" si="2"/>
        <v>10 Okt</v>
      </c>
      <c r="G285" s="124" t="str">
        <f t="shared" si="3"/>
        <v>Kamis</v>
      </c>
      <c r="H285" s="160" t="s">
        <v>430</v>
      </c>
      <c r="I285" s="125" t="str">
        <f t="array" ref="I285">IFNA(XLOOKUP($H285,'🙎‍♂️ Pasien'!$G$7:$G658,'🙎‍♂️ Pasien'!$H$7:$H658),"")</f>
        <v>J5525063513</v>
      </c>
      <c r="J285" s="125" t="str">
        <f t="array" ref="J285">IFNA(XLOOKUP($H285,'🙎‍♂️ Pasien'!$G$7:$G658,'🙎‍♂️ Pasien'!$L$7:$L658),"")</f>
        <v>PEREMPUAN</v>
      </c>
      <c r="K285" s="125">
        <f t="array" ref="K285">IFNA(XLOOKUP($H285,'🙎‍♂️ Pasien'!$G$7:$G658,'🙎‍♂️ Pasien'!$I$7:$I658),"")</f>
        <v>71</v>
      </c>
      <c r="L285" s="160" t="s">
        <v>62</v>
      </c>
      <c r="M285" s="162" t="str">
        <f t="array" ref="M285">IFNA(XLOOKUP(L285,'⚙️ Pengaturan'!$H$5:$H658,'⚙️ Pengaturan'!$I$5:$I658),"")</f>
        <v>TIM A</v>
      </c>
      <c r="N285" s="163" t="s">
        <v>1137</v>
      </c>
      <c r="O285" s="160" t="s">
        <v>1133</v>
      </c>
      <c r="P285" s="153">
        <f t="shared" si="13"/>
        <v>10</v>
      </c>
      <c r="Q285" s="164">
        <v>45963.0</v>
      </c>
      <c r="R285" s="164">
        <v>45965.0</v>
      </c>
      <c r="S285" s="164">
        <v>45970.0</v>
      </c>
      <c r="T285" s="164">
        <v>45973.0</v>
      </c>
      <c r="U285" s="164">
        <v>45976.0</v>
      </c>
      <c r="V285" s="164">
        <v>45980.0</v>
      </c>
      <c r="W285" s="164">
        <v>45991.0</v>
      </c>
      <c r="X285" s="164">
        <v>45994.0</v>
      </c>
      <c r="Y285" s="164">
        <v>45997.0</v>
      </c>
      <c r="Z285" s="164">
        <v>46001.0</v>
      </c>
      <c r="AA285" s="165">
        <f t="shared" si="20"/>
        <v>46001</v>
      </c>
      <c r="AB285" s="160" t="s">
        <v>1134</v>
      </c>
      <c r="AC285" s="160" t="s">
        <v>1138</v>
      </c>
      <c r="AD285" s="168"/>
      <c r="AE285" s="156">
        <f t="shared" si="21"/>
        <v>46001</v>
      </c>
      <c r="AF285" s="107" t="str">
        <f t="shared" si="22"/>
        <v>2025</v>
      </c>
      <c r="AG285" s="107" t="str">
        <f t="shared" si="23"/>
        <v>12 Des</v>
      </c>
      <c r="AH285" s="107" t="str">
        <f t="shared" si="24"/>
        <v>Rab</v>
      </c>
      <c r="AI285" s="157">
        <f t="shared" si="25"/>
        <v>6</v>
      </c>
      <c r="AJ285" s="96"/>
      <c r="AK285" s="169"/>
      <c r="AL285" s="96"/>
      <c r="AM285" s="158">
        <f t="shared" si="12"/>
        <v>0</v>
      </c>
    </row>
    <row r="286" ht="22.5" customHeight="1">
      <c r="A286" s="167"/>
      <c r="B286" s="163" t="s">
        <v>86</v>
      </c>
      <c r="C286" s="163" t="s">
        <v>1131</v>
      </c>
      <c r="D286" s="161">
        <v>45913.0</v>
      </c>
      <c r="E286" s="124" t="str">
        <f t="shared" si="1"/>
        <v>2025</v>
      </c>
      <c r="F286" s="124" t="str">
        <f t="shared" si="2"/>
        <v>09 Sep</v>
      </c>
      <c r="G286" s="124" t="str">
        <f t="shared" si="3"/>
        <v>Sabtu</v>
      </c>
      <c r="H286" s="163" t="s">
        <v>1299</v>
      </c>
      <c r="I286" s="125" t="str">
        <f t="array" ref="I286">IFNA(XLOOKUP($H286,'🙎‍♂️ Pasien'!$G$7:$G658,'🙎‍♂️ Pasien'!$H$7:$H658),"")</f>
        <v>J6025097234</v>
      </c>
      <c r="J286" s="125" t="str">
        <f t="array" ref="J286">IFNA(XLOOKUP($H286,'🙎‍♂️ Pasien'!$G$7:$G658,'🙎‍♂️ Pasien'!$L$7:$L658),"")</f>
        <v>PEREMPUAN</v>
      </c>
      <c r="K286" s="125">
        <f t="array" ref="K286">IFNA(XLOOKUP($H286,'🙎‍♂️ Pasien'!$G$7:$G658,'🙎‍♂️ Pasien'!$I$7:$I658),"")</f>
        <v>66</v>
      </c>
      <c r="L286" s="16" t="s">
        <v>107</v>
      </c>
      <c r="M286" s="125" t="str">
        <f t="array" ref="M286">IFNA(XLOOKUP(L286,'⚙️ Pengaturan'!$H$5:$H658,'⚙️ Pengaturan'!$I$5:$I658),"")</f>
        <v>TIM Y</v>
      </c>
      <c r="N286" s="16" t="s">
        <v>1132</v>
      </c>
      <c r="O286" s="16" t="s">
        <v>1133</v>
      </c>
      <c r="P286" s="153">
        <f t="shared" si="13"/>
        <v>5</v>
      </c>
      <c r="Q286" s="154">
        <v>45913.0</v>
      </c>
      <c r="R286" s="154">
        <v>45916.0</v>
      </c>
      <c r="S286" s="154">
        <v>45918.0</v>
      </c>
      <c r="T286" s="154">
        <v>45921.0</v>
      </c>
      <c r="U286" s="154">
        <v>45924.0</v>
      </c>
      <c r="V286" s="154"/>
      <c r="W286" s="154"/>
      <c r="X286" s="154"/>
      <c r="Y286" s="154"/>
      <c r="Z286" s="154"/>
      <c r="AA286" s="155">
        <f t="shared" si="20"/>
        <v>45924</v>
      </c>
      <c r="AB286" s="16" t="s">
        <v>1134</v>
      </c>
      <c r="AC286" s="16" t="s">
        <v>1142</v>
      </c>
      <c r="AD286" s="170"/>
      <c r="AE286" s="156">
        <f t="shared" si="21"/>
        <v>45924</v>
      </c>
      <c r="AF286" s="107" t="str">
        <f t="shared" si="22"/>
        <v>2025</v>
      </c>
      <c r="AG286" s="107" t="str">
        <f t="shared" si="23"/>
        <v>09 Sep</v>
      </c>
      <c r="AH286" s="107" t="str">
        <f t="shared" si="24"/>
        <v>Rab</v>
      </c>
      <c r="AI286" s="157">
        <f t="shared" si="25"/>
        <v>2</v>
      </c>
      <c r="AJ286" s="96"/>
      <c r="AK286" s="169"/>
      <c r="AL286" s="96"/>
      <c r="AM286" s="158">
        <f t="shared" si="12"/>
        <v>0</v>
      </c>
    </row>
    <row r="287" ht="22.5" customHeight="1">
      <c r="A287" s="167"/>
      <c r="B287" s="171"/>
      <c r="C287" s="171"/>
      <c r="D287" s="161">
        <v>45719.0</v>
      </c>
      <c r="E287" s="124" t="str">
        <f t="shared" si="1"/>
        <v>2025</v>
      </c>
      <c r="F287" s="124" t="str">
        <f t="shared" si="2"/>
        <v>03 Mar</v>
      </c>
      <c r="G287" s="124" t="str">
        <f t="shared" si="3"/>
        <v>Senin</v>
      </c>
      <c r="H287" s="16" t="s">
        <v>1300</v>
      </c>
      <c r="I287" s="125" t="str">
        <f t="array" ref="I287">IFNA(XLOOKUP($H287,'🙎‍♂️ Pasien'!$G$7:$G658,'🙎‍♂️ Pasien'!$H$7:$H658),"")</f>
        <v>J9025070228</v>
      </c>
      <c r="J287" s="125" t="str">
        <f t="array" ref="J287">IFNA(XLOOKUP($H287,'🙎‍♂️ Pasien'!$G$7:$G658,'🙎‍♂️ Pasien'!$L$7:$L658),"")</f>
        <v>LAKI-LAKI</v>
      </c>
      <c r="K287" s="125">
        <f t="array" ref="K287">IFNA(XLOOKUP($H287,'🙎‍♂️ Pasien'!$G$7:$G658,'🙎‍♂️ Pasien'!$I$7:$I658),"")</f>
        <v>35</v>
      </c>
      <c r="L287" s="16" t="s">
        <v>56</v>
      </c>
      <c r="M287" s="125" t="str">
        <f t="array" ref="M287">IFNA(XLOOKUP(L287,'⚙️ Pengaturan'!$H$5:$H658,'⚙️ Pengaturan'!$I$5:$I658),"")</f>
        <v>TIM Y</v>
      </c>
      <c r="N287" s="16" t="s">
        <v>1132</v>
      </c>
      <c r="O287" s="16" t="s">
        <v>1133</v>
      </c>
      <c r="P287" s="153">
        <f t="shared" si="13"/>
        <v>2</v>
      </c>
      <c r="Q287" s="154">
        <v>45719.0</v>
      </c>
      <c r="R287" s="154">
        <v>45725.0</v>
      </c>
      <c r="S287" s="154"/>
      <c r="T287" s="154"/>
      <c r="U287" s="154"/>
      <c r="V287" s="154"/>
      <c r="W287" s="154"/>
      <c r="X287" s="154"/>
      <c r="Y287" s="154"/>
      <c r="Z287" s="154"/>
      <c r="AA287" s="155">
        <f t="shared" si="20"/>
        <v>45725</v>
      </c>
      <c r="AB287" s="16" t="s">
        <v>1144</v>
      </c>
      <c r="AC287" s="20"/>
      <c r="AD287" s="170"/>
      <c r="AE287" s="156" t="str">
        <f t="shared" si="21"/>
        <v/>
      </c>
      <c r="AF287" s="107" t="str">
        <f t="shared" si="22"/>
        <v/>
      </c>
      <c r="AG287" s="107" t="str">
        <f t="shared" si="23"/>
        <v/>
      </c>
      <c r="AH287" s="107" t="str">
        <f t="shared" si="24"/>
        <v/>
      </c>
      <c r="AI287" s="157">
        <f t="shared" si="25"/>
        <v>67</v>
      </c>
      <c r="AJ287" s="96"/>
      <c r="AK287" s="169"/>
      <c r="AL287" s="96"/>
      <c r="AM287" s="158">
        <f t="shared" si="12"/>
        <v>0</v>
      </c>
    </row>
    <row r="288" ht="22.5" customHeight="1">
      <c r="A288" s="167"/>
      <c r="B288" s="160" t="s">
        <v>86</v>
      </c>
      <c r="C288" s="160" t="s">
        <v>1131</v>
      </c>
      <c r="D288" s="161">
        <v>45854.0</v>
      </c>
      <c r="E288" s="124" t="str">
        <f t="shared" si="1"/>
        <v>2025</v>
      </c>
      <c r="F288" s="124" t="str">
        <f t="shared" si="2"/>
        <v>07 Jul</v>
      </c>
      <c r="G288" s="124" t="str">
        <f t="shared" si="3"/>
        <v>Rabu</v>
      </c>
      <c r="H288" s="160" t="s">
        <v>1300</v>
      </c>
      <c r="I288" s="125" t="str">
        <f t="array" ref="I288">IFNA(XLOOKUP($H288,'🙎‍♂️ Pasien'!$G$7:$G658,'🙎‍♂️ Pasien'!$H$7:$H658),"")</f>
        <v>J9025070228</v>
      </c>
      <c r="J288" s="125" t="str">
        <f t="array" ref="J288">IFNA(XLOOKUP($H288,'🙎‍♂️ Pasien'!$G$7:$G658,'🙎‍♂️ Pasien'!$L$7:$L658),"")</f>
        <v>LAKI-LAKI</v>
      </c>
      <c r="K288" s="125">
        <f t="array" ref="K288">IFNA(XLOOKUP($H288,'🙎‍♂️ Pasien'!$G$7:$G658,'🙎‍♂️ Pasien'!$I$7:$I658),"")</f>
        <v>35</v>
      </c>
      <c r="L288" s="160" t="s">
        <v>88</v>
      </c>
      <c r="M288" s="162" t="str">
        <f t="array" ref="M288">IFNA(XLOOKUP(L288,'⚙️ Pengaturan'!$H$5:$H658,'⚙️ Pengaturan'!$I$5:$I658),"")</f>
        <v>TIM Y</v>
      </c>
      <c r="N288" s="163" t="s">
        <v>1132</v>
      </c>
      <c r="O288" s="160" t="s">
        <v>1133</v>
      </c>
      <c r="P288" s="153">
        <f t="shared" si="13"/>
        <v>4</v>
      </c>
      <c r="Q288" s="164">
        <v>45854.0</v>
      </c>
      <c r="R288" s="164">
        <v>45857.0</v>
      </c>
      <c r="S288" s="164">
        <v>45861.0</v>
      </c>
      <c r="T288" s="164">
        <v>45864.0</v>
      </c>
      <c r="U288" s="164"/>
      <c r="V288" s="164"/>
      <c r="W288" s="164"/>
      <c r="X288" s="164"/>
      <c r="Y288" s="164"/>
      <c r="Z288" s="164"/>
      <c r="AA288" s="165">
        <f t="shared" si="20"/>
        <v>45864</v>
      </c>
      <c r="AB288" s="160" t="s">
        <v>1144</v>
      </c>
      <c r="AC288" s="174"/>
      <c r="AD288" s="166"/>
      <c r="AE288" s="156" t="str">
        <f t="shared" si="21"/>
        <v/>
      </c>
      <c r="AF288" s="107" t="str">
        <f t="shared" si="22"/>
        <v/>
      </c>
      <c r="AG288" s="107" t="str">
        <f t="shared" si="23"/>
        <v/>
      </c>
      <c r="AH288" s="107" t="str">
        <f t="shared" si="24"/>
        <v/>
      </c>
      <c r="AI288" s="157">
        <f t="shared" si="25"/>
        <v>47</v>
      </c>
      <c r="AJ288" s="96"/>
      <c r="AK288" s="169"/>
      <c r="AL288" s="96"/>
      <c r="AM288" s="158">
        <f t="shared" si="12"/>
        <v>0</v>
      </c>
    </row>
    <row r="289" ht="22.5" customHeight="1">
      <c r="A289" s="167"/>
      <c r="B289" s="160" t="s">
        <v>86</v>
      </c>
      <c r="C289" s="160" t="s">
        <v>1131</v>
      </c>
      <c r="D289" s="161">
        <v>46011.0</v>
      </c>
      <c r="E289" s="124" t="str">
        <f t="shared" si="1"/>
        <v>2025</v>
      </c>
      <c r="F289" s="124" t="str">
        <f t="shared" si="2"/>
        <v>12 Des</v>
      </c>
      <c r="G289" s="124" t="str">
        <f t="shared" si="3"/>
        <v>Sabtu</v>
      </c>
      <c r="H289" s="160" t="s">
        <v>752</v>
      </c>
      <c r="I289" s="125" t="str">
        <f t="array" ref="I289">IFNA(XLOOKUP($H289,'🙎‍♂️ Pasien'!$G$7:$G658,'🙎‍♂️ Pasien'!$H$7:$H658),"")</f>
        <v>J9824114915</v>
      </c>
      <c r="J289" s="125" t="str">
        <f t="array" ref="J289">IFNA(XLOOKUP($H289,'🙎‍♂️ Pasien'!$G$7:$G658,'🙎‍♂️ Pasien'!$L$7:$L658),"")</f>
        <v>LAKI-LAKI</v>
      </c>
      <c r="K289" s="125">
        <f t="array" ref="K289">IFNA(XLOOKUP($H289,'🙎‍♂️ Pasien'!$G$7:$G658,'🙎‍♂️ Pasien'!$I$7:$I658),"")</f>
        <v>27</v>
      </c>
      <c r="L289" s="160" t="s">
        <v>509</v>
      </c>
      <c r="M289" s="162" t="str">
        <f t="array" ref="M289">IFNA(XLOOKUP(L289,'⚙️ Pengaturan'!$H$5:$H658,'⚙️ Pengaturan'!$I$5:$I658),"")</f>
        <v>TIM Y</v>
      </c>
      <c r="N289" s="163" t="s">
        <v>1132</v>
      </c>
      <c r="O289" s="160" t="s">
        <v>1133</v>
      </c>
      <c r="P289" s="153">
        <f t="shared" si="13"/>
        <v>2</v>
      </c>
      <c r="Q289" s="164">
        <v>46014.0</v>
      </c>
      <c r="R289" s="164">
        <v>46020.0</v>
      </c>
      <c r="S289" s="164"/>
      <c r="T289" s="164"/>
      <c r="U289" s="164"/>
      <c r="V289" s="164"/>
      <c r="W289" s="164"/>
      <c r="X289" s="164"/>
      <c r="Y289" s="164"/>
      <c r="Z289" s="164"/>
      <c r="AA289" s="165">
        <f t="shared" si="20"/>
        <v>46020</v>
      </c>
      <c r="AB289" s="160" t="s">
        <v>1144</v>
      </c>
      <c r="AC289" s="174"/>
      <c r="AD289" s="166"/>
      <c r="AE289" s="156" t="str">
        <f t="shared" si="21"/>
        <v/>
      </c>
      <c r="AF289" s="107" t="str">
        <f t="shared" si="22"/>
        <v/>
      </c>
      <c r="AG289" s="107" t="str">
        <f t="shared" si="23"/>
        <v/>
      </c>
      <c r="AH289" s="107" t="str">
        <f t="shared" si="24"/>
        <v/>
      </c>
      <c r="AI289" s="157">
        <f t="shared" si="25"/>
        <v>24</v>
      </c>
      <c r="AJ289" s="96"/>
      <c r="AK289" s="169"/>
      <c r="AL289" s="96"/>
      <c r="AM289" s="158">
        <f t="shared" si="12"/>
        <v>0</v>
      </c>
    </row>
    <row r="290" ht="22.5" customHeight="1">
      <c r="A290" s="10"/>
      <c r="B290" s="160" t="s">
        <v>86</v>
      </c>
      <c r="C290" s="160" t="s">
        <v>1131</v>
      </c>
      <c r="D290" s="161">
        <v>45829.0</v>
      </c>
      <c r="E290" s="124" t="str">
        <f t="shared" si="1"/>
        <v>2025</v>
      </c>
      <c r="F290" s="124" t="str">
        <f t="shared" si="2"/>
        <v>06 Jun</v>
      </c>
      <c r="G290" s="124" t="str">
        <f t="shared" si="3"/>
        <v>Sabtu</v>
      </c>
      <c r="H290" s="160" t="s">
        <v>1301</v>
      </c>
      <c r="I290" s="125" t="str">
        <f t="array" ref="I290">IFNA(XLOOKUP($H290,'🙎‍♂️ Pasien'!$G$7:$G658,'🙎‍♂️ Pasien'!$H$7:$H658),"")</f>
        <v>K5125069057</v>
      </c>
      <c r="J290" s="125" t="str">
        <f t="array" ref="J290">IFNA(XLOOKUP($H290,'🙎‍♂️ Pasien'!$G$7:$G658,'🙎‍♂️ Pasien'!$L$7:$L658),"")</f>
        <v>LAKI-LAKI</v>
      </c>
      <c r="K290" s="125">
        <f t="array" ref="K290">IFNA(XLOOKUP($H290,'🙎‍♂️ Pasien'!$G$7:$G658,'🙎‍♂️ Pasien'!$I$7:$I658),"")</f>
        <v>74</v>
      </c>
      <c r="L290" s="160" t="s">
        <v>56</v>
      </c>
      <c r="M290" s="162" t="str">
        <f t="array" ref="M290">IFNA(XLOOKUP(L290,'⚙️ Pengaturan'!$H$5:$H658,'⚙️ Pengaturan'!$I$5:$I658),"")</f>
        <v>TIM Y</v>
      </c>
      <c r="N290" s="163" t="s">
        <v>1137</v>
      </c>
      <c r="O290" s="160" t="s">
        <v>1139</v>
      </c>
      <c r="P290" s="153">
        <f t="shared" si="13"/>
        <v>10</v>
      </c>
      <c r="Q290" s="164">
        <v>45829.0</v>
      </c>
      <c r="R290" s="164">
        <v>45832.0</v>
      </c>
      <c r="S290" s="164">
        <v>45836.0</v>
      </c>
      <c r="T290" s="164">
        <v>45839.0</v>
      </c>
      <c r="U290" s="164">
        <v>45846.0</v>
      </c>
      <c r="V290" s="164">
        <v>45850.0</v>
      </c>
      <c r="W290" s="164">
        <v>45853.0</v>
      </c>
      <c r="X290" s="164">
        <v>45857.0</v>
      </c>
      <c r="Y290" s="164">
        <v>45860.0</v>
      </c>
      <c r="Z290" s="164">
        <v>45864.0</v>
      </c>
      <c r="AA290" s="165">
        <f t="shared" si="20"/>
        <v>45864</v>
      </c>
      <c r="AB290" s="160" t="s">
        <v>1134</v>
      </c>
      <c r="AC290" s="160" t="s">
        <v>1135</v>
      </c>
      <c r="AD290" s="168" t="s">
        <v>1302</v>
      </c>
      <c r="AE290" s="156">
        <f t="shared" si="21"/>
        <v>45864</v>
      </c>
      <c r="AF290" s="107" t="str">
        <f t="shared" si="22"/>
        <v>2025</v>
      </c>
      <c r="AG290" s="107" t="str">
        <f t="shared" si="23"/>
        <v>07 Jul</v>
      </c>
      <c r="AH290" s="107" t="str">
        <f t="shared" si="24"/>
        <v>Sab</v>
      </c>
      <c r="AI290" s="157">
        <f t="shared" si="25"/>
        <v>5</v>
      </c>
      <c r="AJ290" s="158"/>
      <c r="AK290" s="159"/>
      <c r="AL290" s="158"/>
      <c r="AM290" s="158">
        <f t="shared" si="12"/>
        <v>0</v>
      </c>
    </row>
    <row r="291" ht="22.5" customHeight="1">
      <c r="A291" s="167"/>
      <c r="B291" s="171"/>
      <c r="C291" s="171"/>
      <c r="D291" s="161">
        <v>45692.0</v>
      </c>
      <c r="E291" s="124" t="str">
        <f t="shared" si="1"/>
        <v>2025</v>
      </c>
      <c r="F291" s="124" t="str">
        <f t="shared" si="2"/>
        <v>02 Feb</v>
      </c>
      <c r="G291" s="124" t="str">
        <f t="shared" si="3"/>
        <v>Selasa</v>
      </c>
      <c r="H291" s="16" t="s">
        <v>1303</v>
      </c>
      <c r="I291" s="125" t="str">
        <f t="array" ref="I291">IFNA(XLOOKUP($H291,'🙎‍♂️ Pasien'!$G$7:$G658,'🙎‍♂️ Pasien'!$H$7:$H658),"")</f>
        <v>K8824050066</v>
      </c>
      <c r="J291" s="125" t="str">
        <f t="array" ref="J291">IFNA(XLOOKUP($H291,'🙎‍♂️ Pasien'!$G$7:$G658,'🙎‍♂️ Pasien'!$L$7:$L658),"")</f>
        <v>PEREMPUAN</v>
      </c>
      <c r="K291" s="125">
        <f t="array" ref="K291">IFNA(XLOOKUP($H291,'🙎‍♂️ Pasien'!$G$7:$G658,'🙎‍♂️ Pasien'!$I$7:$I658),"")</f>
        <v>38</v>
      </c>
      <c r="L291" s="20"/>
      <c r="M291" s="125" t="str">
        <f t="array" ref="M291">IFNA(XLOOKUP(L291,'⚙️ Pengaturan'!$H$5:$H658,'⚙️ Pengaturan'!$I$5:$I658),"")</f>
        <v/>
      </c>
      <c r="N291" s="16" t="s">
        <v>1132</v>
      </c>
      <c r="O291" s="16" t="s">
        <v>1133</v>
      </c>
      <c r="P291" s="153">
        <f t="shared" si="13"/>
        <v>4</v>
      </c>
      <c r="Q291" s="154">
        <v>45692.0</v>
      </c>
      <c r="R291" s="154">
        <v>45697.0</v>
      </c>
      <c r="S291" s="154">
        <v>45698.0</v>
      </c>
      <c r="T291" s="154">
        <v>45712.0</v>
      </c>
      <c r="U291" s="154"/>
      <c r="V291" s="154"/>
      <c r="W291" s="154"/>
      <c r="X291" s="154"/>
      <c r="Y291" s="154"/>
      <c r="Z291" s="154"/>
      <c r="AA291" s="155">
        <f t="shared" si="20"/>
        <v>45712</v>
      </c>
      <c r="AB291" s="16" t="s">
        <v>1144</v>
      </c>
      <c r="AC291" s="20"/>
      <c r="AD291" s="170"/>
      <c r="AE291" s="156" t="str">
        <f t="shared" si="21"/>
        <v/>
      </c>
      <c r="AF291" s="107" t="str">
        <f t="shared" si="22"/>
        <v/>
      </c>
      <c r="AG291" s="107" t="str">
        <f t="shared" si="23"/>
        <v/>
      </c>
      <c r="AH291" s="107" t="str">
        <f t="shared" si="24"/>
        <v/>
      </c>
      <c r="AI291" s="157">
        <f t="shared" si="25"/>
        <v>70</v>
      </c>
      <c r="AJ291" s="96"/>
      <c r="AK291" s="169"/>
      <c r="AL291" s="96"/>
      <c r="AM291" s="158">
        <f t="shared" si="12"/>
        <v>0</v>
      </c>
    </row>
    <row r="292" ht="22.5" customHeight="1">
      <c r="A292" s="167"/>
      <c r="B292" s="160" t="s">
        <v>134</v>
      </c>
      <c r="C292" s="160" t="s">
        <v>1131</v>
      </c>
      <c r="D292" s="173">
        <v>45919.0</v>
      </c>
      <c r="E292" s="124" t="str">
        <f t="shared" si="1"/>
        <v>2025</v>
      </c>
      <c r="F292" s="124" t="str">
        <f t="shared" si="2"/>
        <v>09 Sep</v>
      </c>
      <c r="G292" s="124" t="str">
        <f t="shared" si="3"/>
        <v>Jumat</v>
      </c>
      <c r="H292" s="160" t="s">
        <v>291</v>
      </c>
      <c r="I292" s="125" t="str">
        <f t="array" ref="I292">IFNA(XLOOKUP($H292,'🙎‍♂️ Pasien'!$G$7:$G658,'🙎‍♂️ Pasien'!$H$7:$H658),"")</f>
        <v>K5225090123</v>
      </c>
      <c r="J292" s="125" t="str">
        <f t="array" ref="J292">IFNA(XLOOKUP($H292,'🙎‍♂️ Pasien'!$G$7:$G658,'🙎‍♂️ Pasien'!$L$7:$L658),"")</f>
        <v>LAKI-LAKI</v>
      </c>
      <c r="K292" s="125">
        <f t="array" ref="K292">IFNA(XLOOKUP($H292,'🙎‍♂️ Pasien'!$G$7:$G658,'🙎‍♂️ Pasien'!$I$7:$I658),"")</f>
        <v>74</v>
      </c>
      <c r="L292" s="160" t="s">
        <v>101</v>
      </c>
      <c r="M292" s="162" t="str">
        <f t="array" ref="M292">IFNA(XLOOKUP(L292,'⚙️ Pengaturan'!$H$5:$H658,'⚙️ Pengaturan'!$I$5:$I658),"")</f>
        <v>MANAJEMEN</v>
      </c>
      <c r="N292" s="163" t="s">
        <v>1132</v>
      </c>
      <c r="O292" s="160" t="s">
        <v>1133</v>
      </c>
      <c r="P292" s="153">
        <f t="shared" si="13"/>
        <v>5</v>
      </c>
      <c r="Q292" s="164">
        <v>45928.0</v>
      </c>
      <c r="R292" s="164">
        <v>45933.0</v>
      </c>
      <c r="S292" s="164">
        <v>45937.0</v>
      </c>
      <c r="T292" s="164">
        <v>45940.0</v>
      </c>
      <c r="U292" s="164">
        <v>45944.0</v>
      </c>
      <c r="V292" s="164"/>
      <c r="W292" s="164"/>
      <c r="X292" s="164"/>
      <c r="Y292" s="164"/>
      <c r="Z292" s="164"/>
      <c r="AA292" s="165">
        <f t="shared" si="20"/>
        <v>45944</v>
      </c>
      <c r="AB292" s="160" t="s">
        <v>1134</v>
      </c>
      <c r="AC292" s="160" t="s">
        <v>1138</v>
      </c>
      <c r="AD292" s="166"/>
      <c r="AE292" s="156">
        <f t="shared" si="21"/>
        <v>45944</v>
      </c>
      <c r="AF292" s="107" t="str">
        <f t="shared" si="22"/>
        <v>2025</v>
      </c>
      <c r="AG292" s="107" t="str">
        <f t="shared" si="23"/>
        <v>10 Okt</v>
      </c>
      <c r="AH292" s="107" t="str">
        <f t="shared" si="24"/>
        <v>Sel</v>
      </c>
      <c r="AI292" s="157">
        <f t="shared" si="25"/>
        <v>3</v>
      </c>
      <c r="AJ292" s="96"/>
      <c r="AK292" s="169"/>
      <c r="AL292" s="96"/>
      <c r="AM292" s="158">
        <f t="shared" si="12"/>
        <v>0</v>
      </c>
    </row>
    <row r="293" ht="22.5" customHeight="1">
      <c r="A293" s="167"/>
      <c r="B293" s="160" t="s">
        <v>86</v>
      </c>
      <c r="C293" s="160" t="s">
        <v>1131</v>
      </c>
      <c r="D293" s="173">
        <v>45944.0</v>
      </c>
      <c r="E293" s="124" t="str">
        <f t="shared" si="1"/>
        <v>2025</v>
      </c>
      <c r="F293" s="124" t="str">
        <f t="shared" si="2"/>
        <v>10 Okt</v>
      </c>
      <c r="G293" s="124" t="str">
        <f t="shared" si="3"/>
        <v>Selasa</v>
      </c>
      <c r="H293" s="160" t="s">
        <v>291</v>
      </c>
      <c r="I293" s="125" t="str">
        <f t="array" ref="I293">IFNA(XLOOKUP($H293,'🙎‍♂️ Pasien'!$G$7:$G658,'🙎‍♂️ Pasien'!$H$7:$H658),"")</f>
        <v>K5225090123</v>
      </c>
      <c r="J293" s="125" t="str">
        <f t="array" ref="J293">IFNA(XLOOKUP($H293,'🙎‍♂️ Pasien'!$G$7:$G658,'🙎‍♂️ Pasien'!$L$7:$L658),"")</f>
        <v>LAKI-LAKI</v>
      </c>
      <c r="K293" s="125">
        <f t="array" ref="K293">IFNA(XLOOKUP($H293,'🙎‍♂️ Pasien'!$G$7:$G658,'🙎‍♂️ Pasien'!$I$7:$I658),"")</f>
        <v>74</v>
      </c>
      <c r="L293" s="160" t="s">
        <v>101</v>
      </c>
      <c r="M293" s="162" t="str">
        <f t="array" ref="M293">IFNA(XLOOKUP(L293,'⚙️ Pengaturan'!$H$5:$H658,'⚙️ Pengaturan'!$I$5:$I658),"")</f>
        <v>MANAJEMEN</v>
      </c>
      <c r="N293" s="163" t="s">
        <v>1137</v>
      </c>
      <c r="O293" s="160" t="s">
        <v>1133</v>
      </c>
      <c r="P293" s="153">
        <f t="shared" si="13"/>
        <v>1</v>
      </c>
      <c r="Q293" s="164">
        <v>45947.0</v>
      </c>
      <c r="R293" s="164"/>
      <c r="S293" s="164"/>
      <c r="T293" s="164"/>
      <c r="U293" s="164"/>
      <c r="V293" s="164"/>
      <c r="W293" s="164"/>
      <c r="X293" s="164"/>
      <c r="Y293" s="164"/>
      <c r="Z293" s="164"/>
      <c r="AA293" s="165">
        <f t="shared" si="20"/>
        <v>45947</v>
      </c>
      <c r="AB293" s="160" t="s">
        <v>1144</v>
      </c>
      <c r="AC293" s="172"/>
      <c r="AD293" s="166"/>
      <c r="AE293" s="156" t="str">
        <f t="shared" si="21"/>
        <v/>
      </c>
      <c r="AF293" s="107" t="str">
        <f t="shared" si="22"/>
        <v/>
      </c>
      <c r="AG293" s="107" t="str">
        <f t="shared" si="23"/>
        <v/>
      </c>
      <c r="AH293" s="107" t="str">
        <f t="shared" si="24"/>
        <v/>
      </c>
      <c r="AI293" s="157">
        <f t="shared" si="25"/>
        <v>34</v>
      </c>
      <c r="AJ293" s="96"/>
      <c r="AK293" s="169"/>
      <c r="AL293" s="96"/>
      <c r="AM293" s="158">
        <f t="shared" si="12"/>
        <v>0</v>
      </c>
    </row>
    <row r="294" ht="22.5" customHeight="1">
      <c r="A294" s="167"/>
      <c r="B294" s="160" t="s">
        <v>86</v>
      </c>
      <c r="C294" s="160" t="s">
        <v>1131</v>
      </c>
      <c r="D294" s="161">
        <v>45790.0</v>
      </c>
      <c r="E294" s="124" t="str">
        <f t="shared" si="1"/>
        <v>2025</v>
      </c>
      <c r="F294" s="124" t="str">
        <f t="shared" si="2"/>
        <v>05 Mei</v>
      </c>
      <c r="G294" s="124" t="str">
        <f t="shared" si="3"/>
        <v>Selasa</v>
      </c>
      <c r="H294" s="160" t="s">
        <v>684</v>
      </c>
      <c r="I294" s="125" t="str">
        <f t="array" ref="I294">IFNA(XLOOKUP($H294,'🙎‍♂️ Pasien'!$G$7:$G658,'🙎‍♂️ Pasien'!$H$7:$H658),"")</f>
        <v>K9924034069</v>
      </c>
      <c r="J294" s="125" t="str">
        <f t="array" ref="J294">IFNA(XLOOKUP($H294,'🙎‍♂️ Pasien'!$G$7:$G658,'🙎‍♂️ Pasien'!$L$7:$L658),"")</f>
        <v>LAKI-LAKI</v>
      </c>
      <c r="K294" s="125">
        <f t="array" ref="K294">IFNA(XLOOKUP($H294,'🙎‍♂️ Pasien'!$G$7:$G658,'🙎‍♂️ Pasien'!$I$7:$I658),"")</f>
        <v>26</v>
      </c>
      <c r="L294" s="160" t="s">
        <v>72</v>
      </c>
      <c r="M294" s="162" t="str">
        <f t="array" ref="M294">IFNA(XLOOKUP(L294,'⚙️ Pengaturan'!$H$5:$H658,'⚙️ Pengaturan'!$I$5:$I658),"")</f>
        <v>TIM A</v>
      </c>
      <c r="N294" s="160" t="s">
        <v>1132</v>
      </c>
      <c r="O294" s="160" t="s">
        <v>1139</v>
      </c>
      <c r="P294" s="153">
        <f t="shared" si="13"/>
        <v>5</v>
      </c>
      <c r="Q294" s="164">
        <v>45832.0</v>
      </c>
      <c r="R294" s="164">
        <v>45839.0</v>
      </c>
      <c r="S294" s="164">
        <v>45861.0</v>
      </c>
      <c r="T294" s="164">
        <v>45882.0</v>
      </c>
      <c r="U294" s="164">
        <v>45909.0</v>
      </c>
      <c r="V294" s="164"/>
      <c r="W294" s="164"/>
      <c r="X294" s="164"/>
      <c r="Y294" s="164"/>
      <c r="Z294" s="164"/>
      <c r="AA294" s="165">
        <f t="shared" si="20"/>
        <v>45909</v>
      </c>
      <c r="AB294" s="160" t="s">
        <v>1134</v>
      </c>
      <c r="AC294" s="160" t="s">
        <v>1142</v>
      </c>
      <c r="AD294" s="166"/>
      <c r="AE294" s="156">
        <f t="shared" si="21"/>
        <v>45909</v>
      </c>
      <c r="AF294" s="107" t="str">
        <f t="shared" si="22"/>
        <v>2025</v>
      </c>
      <c r="AG294" s="107" t="str">
        <f t="shared" si="23"/>
        <v>09 Sep</v>
      </c>
      <c r="AH294" s="107" t="str">
        <f t="shared" si="24"/>
        <v>Sel</v>
      </c>
      <c r="AI294" s="157">
        <f t="shared" si="25"/>
        <v>11</v>
      </c>
      <c r="AJ294" s="96"/>
      <c r="AK294" s="169"/>
      <c r="AL294" s="96"/>
      <c r="AM294" s="158">
        <f t="shared" si="12"/>
        <v>0</v>
      </c>
    </row>
    <row r="295" ht="22.5" customHeight="1">
      <c r="A295" s="167"/>
      <c r="B295" s="16" t="s">
        <v>54</v>
      </c>
      <c r="C295" s="16" t="s">
        <v>1131</v>
      </c>
      <c r="D295" s="123">
        <v>46000.0</v>
      </c>
      <c r="E295" s="124" t="str">
        <f t="shared" si="1"/>
        <v>2025</v>
      </c>
      <c r="F295" s="124" t="str">
        <f t="shared" si="2"/>
        <v>12 Des</v>
      </c>
      <c r="G295" s="124" t="str">
        <f t="shared" si="3"/>
        <v>Selasa</v>
      </c>
      <c r="H295" s="16" t="s">
        <v>684</v>
      </c>
      <c r="I295" s="125" t="str">
        <f t="array" ref="I295">IFNA(XLOOKUP($H295,'🙎‍♂️ Pasien'!$G$7:$G658,'🙎‍♂️ Pasien'!$H$7:$H658),"")</f>
        <v>K9924034069</v>
      </c>
      <c r="J295" s="125" t="str">
        <f t="array" ref="J295">IFNA(XLOOKUP($H295,'🙎‍♂️ Pasien'!$G$7:$G658,'🙎‍♂️ Pasien'!$L$7:$L658),"")</f>
        <v>LAKI-LAKI</v>
      </c>
      <c r="K295" s="125">
        <f t="array" ref="K295">IFNA(XLOOKUP($H295,'🙎‍♂️ Pasien'!$G$7:$G658,'🙎‍♂️ Pasien'!$I$7:$I658),"")</f>
        <v>26</v>
      </c>
      <c r="L295" s="16" t="s">
        <v>101</v>
      </c>
      <c r="M295" s="125" t="str">
        <f t="array" ref="M295">IFNA(XLOOKUP(L295,'⚙️ Pengaturan'!$H$5:$H658,'⚙️ Pengaturan'!$I$5:$I658),"")</f>
        <v>MANAJEMEN</v>
      </c>
      <c r="N295" s="16" t="s">
        <v>1132</v>
      </c>
      <c r="O295" s="16" t="s">
        <v>1133</v>
      </c>
      <c r="P295" s="153">
        <f t="shared" si="13"/>
        <v>0</v>
      </c>
      <c r="Q295" s="154"/>
      <c r="R295" s="154"/>
      <c r="S295" s="154"/>
      <c r="T295" s="154"/>
      <c r="U295" s="154"/>
      <c r="V295" s="154"/>
      <c r="W295" s="154"/>
      <c r="X295" s="154"/>
      <c r="Y295" s="154"/>
      <c r="Z295" s="154"/>
      <c r="AA295" s="155">
        <f t="shared" si="20"/>
        <v>46000</v>
      </c>
      <c r="AB295" s="16" t="s">
        <v>1144</v>
      </c>
      <c r="AC295" s="20"/>
      <c r="AD295" s="170"/>
      <c r="AE295" s="156" t="str">
        <f t="shared" si="21"/>
        <v/>
      </c>
      <c r="AF295" s="107" t="str">
        <f t="shared" si="22"/>
        <v/>
      </c>
      <c r="AG295" s="107" t="str">
        <f t="shared" si="23"/>
        <v/>
      </c>
      <c r="AH295" s="107" t="str">
        <f t="shared" si="24"/>
        <v/>
      </c>
      <c r="AI295" s="157" t="str">
        <f t="shared" si="25"/>
        <v/>
      </c>
      <c r="AJ295" s="96"/>
      <c r="AK295" s="169"/>
      <c r="AL295" s="96"/>
      <c r="AM295" s="158">
        <f t="shared" si="12"/>
        <v>0</v>
      </c>
    </row>
    <row r="296" ht="22.5" customHeight="1">
      <c r="A296" s="167"/>
      <c r="B296" s="160" t="s">
        <v>86</v>
      </c>
      <c r="C296" s="172"/>
      <c r="D296" s="161">
        <v>45784.0</v>
      </c>
      <c r="E296" s="124" t="str">
        <f t="shared" si="1"/>
        <v>2025</v>
      </c>
      <c r="F296" s="124" t="str">
        <f t="shared" si="2"/>
        <v>05 Mei</v>
      </c>
      <c r="G296" s="124" t="str">
        <f t="shared" si="3"/>
        <v>Rabu</v>
      </c>
      <c r="H296" s="160" t="s">
        <v>1304</v>
      </c>
      <c r="I296" s="125" t="str">
        <f t="array" ref="I296">IFNA(XLOOKUP($H296,'🙎‍♂️ Pasien'!$G$7:$G658,'🙎‍♂️ Pasien'!$H$7:$H658),"")</f>
        <v>K0025055631</v>
      </c>
      <c r="J296" s="125" t="str">
        <f t="array" ref="J296">IFNA(XLOOKUP($H296,'🙎‍♂️ Pasien'!$G$7:$G658,'🙎‍♂️ Pasien'!$L$7:$L658),"")</f>
        <v>LAKI-LAKI</v>
      </c>
      <c r="K296" s="125">
        <f t="array" ref="K296">IFNA(XLOOKUP($H296,'🙎‍♂️ Pasien'!$G$7:$G658,'🙎‍♂️ Pasien'!$I$7:$I658),"")</f>
        <v>25</v>
      </c>
      <c r="L296" s="160" t="s">
        <v>1152</v>
      </c>
      <c r="M296" s="162" t="str">
        <f t="array" ref="M296">IFNA(XLOOKUP(L296,'⚙️ Pengaturan'!$H$5:$H658,'⚙️ Pengaturan'!$I$5:$I658),"")</f>
        <v>INAKTIF</v>
      </c>
      <c r="N296" s="160" t="s">
        <v>1132</v>
      </c>
      <c r="O296" s="160" t="s">
        <v>1133</v>
      </c>
      <c r="P296" s="153">
        <f t="shared" si="13"/>
        <v>3</v>
      </c>
      <c r="Q296" s="164">
        <v>45787.0</v>
      </c>
      <c r="R296" s="164">
        <v>45791.0</v>
      </c>
      <c r="S296" s="164">
        <v>45794.0</v>
      </c>
      <c r="T296" s="164"/>
      <c r="U296" s="164"/>
      <c r="V296" s="164"/>
      <c r="W296" s="164"/>
      <c r="X296" s="164"/>
      <c r="Y296" s="164"/>
      <c r="Z296" s="164"/>
      <c r="AA296" s="165">
        <f t="shared" si="20"/>
        <v>45794</v>
      </c>
      <c r="AB296" s="160" t="s">
        <v>1144</v>
      </c>
      <c r="AC296" s="174"/>
      <c r="AD296" s="166"/>
      <c r="AE296" s="156" t="str">
        <f t="shared" si="21"/>
        <v/>
      </c>
      <c r="AF296" s="107" t="str">
        <f t="shared" si="22"/>
        <v/>
      </c>
      <c r="AG296" s="107" t="str">
        <f t="shared" si="23"/>
        <v/>
      </c>
      <c r="AH296" s="107" t="str">
        <f t="shared" si="24"/>
        <v/>
      </c>
      <c r="AI296" s="157">
        <f t="shared" si="25"/>
        <v>57</v>
      </c>
      <c r="AJ296" s="96"/>
      <c r="AK296" s="169"/>
      <c r="AL296" s="96"/>
      <c r="AM296" s="158">
        <f t="shared" si="12"/>
        <v>0</v>
      </c>
    </row>
    <row r="297" ht="22.5" customHeight="1">
      <c r="A297" s="167"/>
      <c r="B297" s="160" t="s">
        <v>134</v>
      </c>
      <c r="C297" s="160" t="s">
        <v>1131</v>
      </c>
      <c r="D297" s="161">
        <v>45885.0</v>
      </c>
      <c r="E297" s="124" t="str">
        <f t="shared" si="1"/>
        <v>2025</v>
      </c>
      <c r="F297" s="124" t="str">
        <f t="shared" si="2"/>
        <v>08 Agu</v>
      </c>
      <c r="G297" s="124" t="str">
        <f t="shared" si="3"/>
        <v>Sabtu</v>
      </c>
      <c r="H297" s="160" t="s">
        <v>439</v>
      </c>
      <c r="I297" s="125" t="str">
        <f t="array" ref="I297">IFNA(XLOOKUP($H297,'🙎‍♂️ Pasien'!$G$7:$G658,'🙎‍♂️ Pasien'!$H$7:$H658),"")</f>
        <v>K7525084719</v>
      </c>
      <c r="J297" s="125" t="str">
        <f t="array" ref="J297">IFNA(XLOOKUP($H297,'🙎‍♂️ Pasien'!$G$7:$G658,'🙎‍♂️ Pasien'!$L$7:$L658),"")</f>
        <v>PEREMPUAN</v>
      </c>
      <c r="K297" s="125">
        <f t="array" ref="K297">IFNA(XLOOKUP($H297,'🙎‍♂️ Pasien'!$G$7:$G658,'🙎‍♂️ Pasien'!$I$7:$I658),"")</f>
        <v>50</v>
      </c>
      <c r="L297" s="160" t="s">
        <v>79</v>
      </c>
      <c r="M297" s="162" t="str">
        <f t="array" ref="M297">IFNA(XLOOKUP(L297,'⚙️ Pengaturan'!$H$5:$H658,'⚙️ Pengaturan'!$I$5:$I658),"")</f>
        <v>TIM A</v>
      </c>
      <c r="N297" s="163" t="s">
        <v>1132</v>
      </c>
      <c r="O297" s="160" t="s">
        <v>1133</v>
      </c>
      <c r="P297" s="153">
        <f t="shared" si="13"/>
        <v>5</v>
      </c>
      <c r="Q297" s="164">
        <v>45885.0</v>
      </c>
      <c r="R297" s="164">
        <v>45888.0</v>
      </c>
      <c r="S297" s="164">
        <v>45890.0</v>
      </c>
      <c r="T297" s="164">
        <v>45892.0</v>
      </c>
      <c r="U297" s="164">
        <v>45913.0</v>
      </c>
      <c r="V297" s="164"/>
      <c r="W297" s="164"/>
      <c r="X297" s="164"/>
      <c r="Y297" s="164"/>
      <c r="Z297" s="164"/>
      <c r="AA297" s="165">
        <f t="shared" si="20"/>
        <v>45913</v>
      </c>
      <c r="AB297" s="160" t="s">
        <v>1134</v>
      </c>
      <c r="AC297" s="160" t="s">
        <v>1138</v>
      </c>
      <c r="AD297" s="168"/>
      <c r="AE297" s="156">
        <f t="shared" si="21"/>
        <v>45913</v>
      </c>
      <c r="AF297" s="107" t="str">
        <f t="shared" si="22"/>
        <v>2025</v>
      </c>
      <c r="AG297" s="107" t="str">
        <f t="shared" si="23"/>
        <v>09 Sep</v>
      </c>
      <c r="AH297" s="107" t="str">
        <f t="shared" si="24"/>
        <v>Sab</v>
      </c>
      <c r="AI297" s="157">
        <f t="shared" si="25"/>
        <v>4</v>
      </c>
      <c r="AJ297" s="96"/>
      <c r="AK297" s="169"/>
      <c r="AL297" s="96"/>
      <c r="AM297" s="158">
        <f t="shared" si="12"/>
        <v>0</v>
      </c>
    </row>
    <row r="298" ht="22.5" customHeight="1">
      <c r="A298" s="167"/>
      <c r="B298" s="160" t="s">
        <v>86</v>
      </c>
      <c r="C298" s="160" t="s">
        <v>1131</v>
      </c>
      <c r="D298" s="161">
        <v>45937.0</v>
      </c>
      <c r="E298" s="124" t="str">
        <f t="shared" si="1"/>
        <v>2025</v>
      </c>
      <c r="F298" s="124" t="str">
        <f t="shared" si="2"/>
        <v>10 Okt</v>
      </c>
      <c r="G298" s="124" t="str">
        <f t="shared" si="3"/>
        <v>Selasa</v>
      </c>
      <c r="H298" s="160" t="s">
        <v>439</v>
      </c>
      <c r="I298" s="125" t="str">
        <f t="array" ref="I298">IFNA(XLOOKUP($H298,'🙎‍♂️ Pasien'!$G$7:$G658,'🙎‍♂️ Pasien'!$H$7:$H658),"")</f>
        <v>K7525084719</v>
      </c>
      <c r="J298" s="125" t="str">
        <f t="array" ref="J298">IFNA(XLOOKUP($H298,'🙎‍♂️ Pasien'!$G$7:$G658,'🙎‍♂️ Pasien'!$L$7:$L658),"")</f>
        <v>PEREMPUAN</v>
      </c>
      <c r="K298" s="125">
        <f t="array" ref="K298">IFNA(XLOOKUP($H298,'🙎‍♂️ Pasien'!$G$7:$G658,'🙎‍♂️ Pasien'!$I$7:$I658),"")</f>
        <v>50</v>
      </c>
      <c r="L298" s="160" t="s">
        <v>79</v>
      </c>
      <c r="M298" s="162" t="str">
        <f t="array" ref="M298">IFNA(XLOOKUP(L298,'⚙️ Pengaturan'!$H$5:$H658,'⚙️ Pengaturan'!$I$5:$I658),"")</f>
        <v>TIM A</v>
      </c>
      <c r="N298" s="163" t="s">
        <v>1132</v>
      </c>
      <c r="O298" s="160" t="s">
        <v>1139</v>
      </c>
      <c r="P298" s="153">
        <f t="shared" si="13"/>
        <v>5</v>
      </c>
      <c r="Q298" s="164">
        <v>45937.0</v>
      </c>
      <c r="R298" s="164">
        <v>45939.0</v>
      </c>
      <c r="S298" s="164">
        <v>45943.0</v>
      </c>
      <c r="T298" s="164">
        <v>45945.0</v>
      </c>
      <c r="U298" s="164">
        <v>45946.0</v>
      </c>
      <c r="V298" s="164"/>
      <c r="W298" s="164"/>
      <c r="X298" s="164"/>
      <c r="Y298" s="164"/>
      <c r="Z298" s="164"/>
      <c r="AA298" s="165">
        <f t="shared" si="20"/>
        <v>45946</v>
      </c>
      <c r="AB298" s="160" t="s">
        <v>1134</v>
      </c>
      <c r="AC298" s="160" t="s">
        <v>1138</v>
      </c>
      <c r="AD298" s="168"/>
      <c r="AE298" s="156">
        <f t="shared" si="21"/>
        <v>45946</v>
      </c>
      <c r="AF298" s="107" t="str">
        <f t="shared" si="22"/>
        <v>2025</v>
      </c>
      <c r="AG298" s="107" t="str">
        <f t="shared" si="23"/>
        <v>10 Okt</v>
      </c>
      <c r="AH298" s="107" t="str">
        <f t="shared" si="24"/>
        <v>Kam</v>
      </c>
      <c r="AI298" s="157">
        <f t="shared" si="25"/>
        <v>2</v>
      </c>
      <c r="AJ298" s="96"/>
      <c r="AK298" s="169"/>
      <c r="AL298" s="96"/>
      <c r="AM298" s="158">
        <f t="shared" si="12"/>
        <v>0</v>
      </c>
    </row>
    <row r="299" ht="22.5" customHeight="1">
      <c r="A299" s="167"/>
      <c r="B299" s="160" t="s">
        <v>54</v>
      </c>
      <c r="C299" s="160" t="s">
        <v>1131</v>
      </c>
      <c r="D299" s="161">
        <v>45951.0</v>
      </c>
      <c r="E299" s="124" t="str">
        <f t="shared" si="1"/>
        <v>2025</v>
      </c>
      <c r="F299" s="124" t="str">
        <f t="shared" si="2"/>
        <v>10 Okt</v>
      </c>
      <c r="G299" s="124" t="str">
        <f t="shared" si="3"/>
        <v>Selasa</v>
      </c>
      <c r="H299" s="160" t="s">
        <v>439</v>
      </c>
      <c r="I299" s="125" t="str">
        <f t="array" ref="I299">IFNA(XLOOKUP($H299,'🙎‍♂️ Pasien'!$G$7:$G658,'🙎‍♂️ Pasien'!$H$7:$H658),"")</f>
        <v>K7525084719</v>
      </c>
      <c r="J299" s="125" t="str">
        <f t="array" ref="J299">IFNA(XLOOKUP($H299,'🙎‍♂️ Pasien'!$G$7:$G658,'🙎‍♂️ Pasien'!$L$7:$L658),"")</f>
        <v>PEREMPUAN</v>
      </c>
      <c r="K299" s="125">
        <f t="array" ref="K299">IFNA(XLOOKUP($H299,'🙎‍♂️ Pasien'!$G$7:$G658,'🙎‍♂️ Pasien'!$I$7:$I658),"")</f>
        <v>50</v>
      </c>
      <c r="L299" s="160" t="s">
        <v>107</v>
      </c>
      <c r="M299" s="162" t="str">
        <f t="array" ref="M299">IFNA(XLOOKUP(L299,'⚙️ Pengaturan'!$H$5:$H658,'⚙️ Pengaturan'!$I$5:$I658),"")</f>
        <v>TIM Y</v>
      </c>
      <c r="N299" s="163" t="s">
        <v>1132</v>
      </c>
      <c r="O299" s="160" t="s">
        <v>1139</v>
      </c>
      <c r="P299" s="153">
        <f t="shared" si="13"/>
        <v>5</v>
      </c>
      <c r="Q299" s="164">
        <v>45951.0</v>
      </c>
      <c r="R299" s="164">
        <v>45957.0</v>
      </c>
      <c r="S299" s="164">
        <v>45960.0</v>
      </c>
      <c r="T299" s="164">
        <v>45964.0</v>
      </c>
      <c r="U299" s="164">
        <v>45967.0</v>
      </c>
      <c r="V299" s="164"/>
      <c r="W299" s="164"/>
      <c r="X299" s="164"/>
      <c r="Y299" s="164"/>
      <c r="Z299" s="164"/>
      <c r="AA299" s="165">
        <f t="shared" si="20"/>
        <v>45967</v>
      </c>
      <c r="AB299" s="160" t="s">
        <v>1144</v>
      </c>
      <c r="AC299" s="172"/>
      <c r="AD299" s="168"/>
      <c r="AE299" s="156">
        <f t="shared" si="21"/>
        <v>45967</v>
      </c>
      <c r="AF299" s="107" t="str">
        <f t="shared" si="22"/>
        <v>2025</v>
      </c>
      <c r="AG299" s="107" t="str">
        <f t="shared" si="23"/>
        <v>11 Nov</v>
      </c>
      <c r="AH299" s="107" t="str">
        <f t="shared" si="24"/>
        <v>Kam</v>
      </c>
      <c r="AI299" s="157">
        <f t="shared" si="25"/>
        <v>3</v>
      </c>
      <c r="AJ299" s="96"/>
      <c r="AK299" s="169"/>
      <c r="AL299" s="96"/>
      <c r="AM299" s="158">
        <f t="shared" si="12"/>
        <v>0</v>
      </c>
    </row>
    <row r="300" ht="22.5" customHeight="1">
      <c r="A300" s="167"/>
      <c r="B300" s="160" t="s">
        <v>54</v>
      </c>
      <c r="C300" s="160" t="s">
        <v>1131</v>
      </c>
      <c r="D300" s="161">
        <v>45918.0</v>
      </c>
      <c r="E300" s="124" t="str">
        <f t="shared" si="1"/>
        <v>2025</v>
      </c>
      <c r="F300" s="124" t="str">
        <f t="shared" si="2"/>
        <v>09 Sep</v>
      </c>
      <c r="G300" s="124" t="str">
        <f t="shared" si="3"/>
        <v>Kamis</v>
      </c>
      <c r="H300" s="160" t="s">
        <v>1305</v>
      </c>
      <c r="I300" s="125" t="str">
        <f t="array" ref="I300">IFNA(XLOOKUP($H300,'🙎‍♂️ Pasien'!$G$7:$G658,'🙎‍♂️ Pasien'!$H$7:$H658),"")</f>
        <v>K7925099117</v>
      </c>
      <c r="J300" s="125" t="str">
        <f t="array" ref="J300">IFNA(XLOOKUP($H300,'🙎‍♂️ Pasien'!$G$7:$G658,'🙎‍♂️ Pasien'!$L$7:$L658),"")</f>
        <v>PEREMPUAN</v>
      </c>
      <c r="K300" s="125">
        <f t="array" ref="K300">IFNA(XLOOKUP($H300,'🙎‍♂️ Pasien'!$G$7:$G658,'🙎‍♂️ Pasien'!$I$7:$I658),"")</f>
        <v>46</v>
      </c>
      <c r="L300" s="160" t="s">
        <v>91</v>
      </c>
      <c r="M300" s="162" t="str">
        <f t="array" ref="M300">IFNA(XLOOKUP(L300,'⚙️ Pengaturan'!$H$5:$H658,'⚙️ Pengaturan'!$I$5:$I658),"")</f>
        <v>TIM Y</v>
      </c>
      <c r="N300" s="163" t="s">
        <v>1132</v>
      </c>
      <c r="O300" s="160" t="s">
        <v>1133</v>
      </c>
      <c r="P300" s="153">
        <f t="shared" si="13"/>
        <v>5</v>
      </c>
      <c r="Q300" s="164">
        <v>45915.0</v>
      </c>
      <c r="R300" s="164">
        <v>45918.0</v>
      </c>
      <c r="S300" s="164">
        <v>45925.0</v>
      </c>
      <c r="T300" s="164">
        <v>45931.0</v>
      </c>
      <c r="U300" s="164">
        <v>45942.0</v>
      </c>
      <c r="V300" s="164"/>
      <c r="W300" s="164"/>
      <c r="X300" s="164"/>
      <c r="Y300" s="164"/>
      <c r="Z300" s="164"/>
      <c r="AA300" s="165">
        <f t="shared" si="20"/>
        <v>45942</v>
      </c>
      <c r="AB300" s="160" t="s">
        <v>1134</v>
      </c>
      <c r="AC300" s="160" t="s">
        <v>1138</v>
      </c>
      <c r="AD300" s="166"/>
      <c r="AE300" s="156">
        <f t="shared" si="21"/>
        <v>45942</v>
      </c>
      <c r="AF300" s="107" t="str">
        <f t="shared" si="22"/>
        <v>2025</v>
      </c>
      <c r="AG300" s="107" t="str">
        <f t="shared" si="23"/>
        <v>10 Okt</v>
      </c>
      <c r="AH300" s="107" t="str">
        <f t="shared" si="24"/>
        <v>Min</v>
      </c>
      <c r="AI300" s="157">
        <f t="shared" si="25"/>
        <v>4</v>
      </c>
      <c r="AJ300" s="96"/>
      <c r="AK300" s="169"/>
      <c r="AL300" s="96"/>
      <c r="AM300" s="158">
        <f t="shared" si="12"/>
        <v>0</v>
      </c>
    </row>
    <row r="301" ht="22.5" customHeight="1">
      <c r="A301" s="167"/>
      <c r="B301" s="171"/>
      <c r="C301" s="171"/>
      <c r="D301" s="161">
        <v>45675.0</v>
      </c>
      <c r="E301" s="124" t="str">
        <f t="shared" si="1"/>
        <v>2025</v>
      </c>
      <c r="F301" s="124" t="str">
        <f t="shared" si="2"/>
        <v>01 Jan</v>
      </c>
      <c r="G301" s="124" t="str">
        <f t="shared" si="3"/>
        <v>Sabtu</v>
      </c>
      <c r="H301" s="16" t="s">
        <v>1306</v>
      </c>
      <c r="I301" s="125" t="str">
        <f t="array" ref="I301">IFNA(XLOOKUP($H301,'🙎‍♂️ Pasien'!$G$7:$G658,'🙎‍♂️ Pasien'!$H$7:$H658),"")</f>
        <v>K9525013702</v>
      </c>
      <c r="J301" s="125" t="str">
        <f t="array" ref="J301">IFNA(XLOOKUP($H301,'🙎‍♂️ Pasien'!$G$7:$G658,'🙎‍♂️ Pasien'!$L$7:$L658),"")</f>
        <v>LAKI-LAKI</v>
      </c>
      <c r="K301" s="125">
        <f t="array" ref="K301">IFNA(XLOOKUP($H301,'🙎‍♂️ Pasien'!$G$7:$G658,'🙎‍♂️ Pasien'!$I$7:$I658),"")</f>
        <v>31</v>
      </c>
      <c r="L301" s="16" t="s">
        <v>1152</v>
      </c>
      <c r="M301" s="125" t="str">
        <f t="array" ref="M301">IFNA(XLOOKUP(L301,'⚙️ Pengaturan'!$H$5:$H658,'⚙️ Pengaturan'!$I$5:$I658),"")</f>
        <v>INAKTIF</v>
      </c>
      <c r="N301" s="16" t="s">
        <v>1132</v>
      </c>
      <c r="O301" s="16" t="s">
        <v>1133</v>
      </c>
      <c r="P301" s="153">
        <f t="shared" si="13"/>
        <v>0</v>
      </c>
      <c r="Q301" s="154"/>
      <c r="R301" s="154"/>
      <c r="S301" s="154"/>
      <c r="T301" s="154"/>
      <c r="U301" s="154"/>
      <c r="V301" s="154"/>
      <c r="W301" s="154"/>
      <c r="X301" s="154"/>
      <c r="Y301" s="154"/>
      <c r="Z301" s="154"/>
      <c r="AA301" s="155">
        <f t="shared" si="20"/>
        <v>45675</v>
      </c>
      <c r="AB301" s="16" t="s">
        <v>1144</v>
      </c>
      <c r="AC301" s="20"/>
      <c r="AD301" s="170"/>
      <c r="AE301" s="156" t="str">
        <f t="shared" si="21"/>
        <v/>
      </c>
      <c r="AF301" s="107" t="str">
        <f t="shared" si="22"/>
        <v/>
      </c>
      <c r="AG301" s="107" t="str">
        <f t="shared" si="23"/>
        <v/>
      </c>
      <c r="AH301" s="107" t="str">
        <f t="shared" si="24"/>
        <v/>
      </c>
      <c r="AI301" s="157" t="str">
        <f t="shared" si="25"/>
        <v/>
      </c>
      <c r="AJ301" s="96"/>
      <c r="AK301" s="169"/>
      <c r="AL301" s="96"/>
      <c r="AM301" s="158">
        <f t="shared" si="12"/>
        <v>0</v>
      </c>
    </row>
    <row r="302" ht="22.5" customHeight="1">
      <c r="A302" s="167"/>
      <c r="B302" s="160" t="s">
        <v>54</v>
      </c>
      <c r="C302" s="160" t="s">
        <v>1170</v>
      </c>
      <c r="D302" s="161">
        <v>46001.0</v>
      </c>
      <c r="E302" s="124" t="str">
        <f t="shared" si="1"/>
        <v>2025</v>
      </c>
      <c r="F302" s="124" t="str">
        <f t="shared" si="2"/>
        <v>12 Des</v>
      </c>
      <c r="G302" s="124" t="str">
        <f t="shared" si="3"/>
        <v>Rabu</v>
      </c>
      <c r="H302" s="158" t="s">
        <v>673</v>
      </c>
      <c r="I302" s="125" t="str">
        <f t="array" ref="I302">IFNA(XLOOKUP($H302,'🙎‍♂️ Pasien'!$G$7:$G658,'🙎‍♂️ Pasien'!$H$7:$H658),"")</f>
        <v>K8825128215</v>
      </c>
      <c r="J302" s="125" t="str">
        <f t="array" ref="J302">IFNA(XLOOKUP($H302,'🙎‍♂️ Pasien'!$G$7:$G658,'🙎‍♂️ Pasien'!$L$7:$L658),"")</f>
        <v>LAKI-LAKI</v>
      </c>
      <c r="K302" s="125">
        <f t="array" ref="K302">IFNA(XLOOKUP($H302,'🙎‍♂️ Pasien'!$G$7:$G658,'🙎‍♂️ Pasien'!$I$7:$I658),"")</f>
        <v>37</v>
      </c>
      <c r="L302" s="160" t="s">
        <v>88</v>
      </c>
      <c r="M302" s="162" t="str">
        <f t="array" ref="M302">IFNA(XLOOKUP(L302,'⚙️ Pengaturan'!$H$5:$H658,'⚙️ Pengaturan'!$I$5:$I658),"")</f>
        <v>TIM Y</v>
      </c>
      <c r="N302" s="160" t="s">
        <v>1132</v>
      </c>
      <c r="O302" s="160" t="s">
        <v>1133</v>
      </c>
      <c r="P302" s="153">
        <f t="shared" si="13"/>
        <v>1</v>
      </c>
      <c r="Q302" s="164">
        <v>46001.0</v>
      </c>
      <c r="R302" s="164"/>
      <c r="S302" s="164"/>
      <c r="T302" s="164"/>
      <c r="U302" s="164"/>
      <c r="V302" s="164"/>
      <c r="W302" s="164"/>
      <c r="X302" s="164"/>
      <c r="Y302" s="164"/>
      <c r="Z302" s="164"/>
      <c r="AA302" s="165">
        <f t="shared" si="20"/>
        <v>46001</v>
      </c>
      <c r="AB302" s="160" t="s">
        <v>1144</v>
      </c>
      <c r="AC302" s="172"/>
      <c r="AD302" s="166"/>
      <c r="AE302" s="156" t="str">
        <f t="shared" si="21"/>
        <v/>
      </c>
      <c r="AF302" s="107" t="str">
        <f t="shared" si="22"/>
        <v/>
      </c>
      <c r="AG302" s="107" t="str">
        <f t="shared" si="23"/>
        <v/>
      </c>
      <c r="AH302" s="107" t="str">
        <f t="shared" si="24"/>
        <v/>
      </c>
      <c r="AI302" s="157">
        <f t="shared" si="25"/>
        <v>26</v>
      </c>
      <c r="AJ302" s="96"/>
      <c r="AK302" s="169"/>
      <c r="AL302" s="96"/>
      <c r="AM302" s="158">
        <f t="shared" si="12"/>
        <v>0</v>
      </c>
    </row>
    <row r="303" ht="22.5" customHeight="1">
      <c r="A303" s="167"/>
      <c r="B303" s="160" t="s">
        <v>54</v>
      </c>
      <c r="C303" s="160" t="s">
        <v>1131</v>
      </c>
      <c r="D303" s="173">
        <v>45953.0</v>
      </c>
      <c r="E303" s="124" t="str">
        <f t="shared" si="1"/>
        <v>2025</v>
      </c>
      <c r="F303" s="124" t="str">
        <f t="shared" si="2"/>
        <v>10 Okt</v>
      </c>
      <c r="G303" s="124" t="str">
        <f t="shared" si="3"/>
        <v>Kamis</v>
      </c>
      <c r="H303" s="160" t="s">
        <v>913</v>
      </c>
      <c r="I303" s="125" t="str">
        <f t="array" ref="I303">IFNA(XLOOKUP($H303,'🙎‍♂️ Pasien'!$G$7:$G658,'🙎‍♂️ Pasien'!$H$7:$H658),"")</f>
        <v/>
      </c>
      <c r="J303" s="125" t="str">
        <f t="array" ref="J303">IFNA(XLOOKUP($H303,'🙎‍♂️ Pasien'!$G$7:$G658,'🙎‍♂️ Pasien'!$L$7:$L658),"")</f>
        <v/>
      </c>
      <c r="K303" s="125" t="str">
        <f t="array" ref="K303">IFNA(XLOOKUP($H303,'🙎‍♂️ Pasien'!$G$7:$G658,'🙎‍♂️ Pasien'!$I$7:$I658),"")</f>
        <v/>
      </c>
      <c r="L303" s="160" t="s">
        <v>79</v>
      </c>
      <c r="M303" s="162" t="str">
        <f t="array" ref="M303">IFNA(XLOOKUP(L303,'⚙️ Pengaturan'!$H$5:$H658,'⚙️ Pengaturan'!$I$5:$I658),"")</f>
        <v>TIM A</v>
      </c>
      <c r="N303" s="163" t="s">
        <v>1132</v>
      </c>
      <c r="O303" s="160" t="s">
        <v>1133</v>
      </c>
      <c r="P303" s="153">
        <f t="shared" si="13"/>
        <v>5</v>
      </c>
      <c r="Q303" s="164">
        <v>45953.0</v>
      </c>
      <c r="R303" s="164">
        <v>45956.0</v>
      </c>
      <c r="S303" s="164">
        <v>45960.0</v>
      </c>
      <c r="T303" s="164">
        <v>45964.0</v>
      </c>
      <c r="U303" s="164">
        <v>45966.0</v>
      </c>
      <c r="V303" s="164"/>
      <c r="W303" s="164"/>
      <c r="X303" s="164"/>
      <c r="Y303" s="164"/>
      <c r="Z303" s="164"/>
      <c r="AA303" s="165">
        <f t="shared" si="20"/>
        <v>45966</v>
      </c>
      <c r="AB303" s="160" t="s">
        <v>1134</v>
      </c>
      <c r="AC303" s="172"/>
      <c r="AD303" s="166"/>
      <c r="AE303" s="156">
        <f t="shared" si="21"/>
        <v>45966</v>
      </c>
      <c r="AF303" s="107" t="str">
        <f t="shared" si="22"/>
        <v>2025</v>
      </c>
      <c r="AG303" s="107" t="str">
        <f t="shared" si="23"/>
        <v>11 Nov</v>
      </c>
      <c r="AH303" s="107" t="str">
        <f t="shared" si="24"/>
        <v>Rab</v>
      </c>
      <c r="AI303" s="157">
        <f t="shared" si="25"/>
        <v>2</v>
      </c>
      <c r="AJ303" s="96"/>
      <c r="AK303" s="169"/>
      <c r="AL303" s="96"/>
      <c r="AM303" s="158">
        <f t="shared" si="12"/>
        <v>0</v>
      </c>
    </row>
    <row r="304" ht="22.5" customHeight="1">
      <c r="A304" s="167"/>
      <c r="B304" s="171"/>
      <c r="C304" s="171"/>
      <c r="D304" s="161">
        <v>45672.0</v>
      </c>
      <c r="E304" s="124" t="str">
        <f t="shared" si="1"/>
        <v>2025</v>
      </c>
      <c r="F304" s="124" t="str">
        <f t="shared" si="2"/>
        <v>01 Jan</v>
      </c>
      <c r="G304" s="124" t="str">
        <f t="shared" si="3"/>
        <v>Rabu</v>
      </c>
      <c r="H304" s="16" t="s">
        <v>1307</v>
      </c>
      <c r="I304" s="125" t="str">
        <f t="array" ref="I304">IFNA(XLOOKUP($H304,'🙎‍♂️ Pasien'!$G$7:$G658,'🙎‍♂️ Pasien'!$H$7:$H658),"")</f>
        <v>K6624121896</v>
      </c>
      <c r="J304" s="125" t="str">
        <f t="array" ref="J304">IFNA(XLOOKUP($H304,'🙎‍♂️ Pasien'!$G$7:$G658,'🙎‍♂️ Pasien'!$L$7:$L658),"")</f>
        <v>LAKI-LAKI</v>
      </c>
      <c r="K304" s="125">
        <f t="array" ref="K304">IFNA(XLOOKUP($H304,'🙎‍♂️ Pasien'!$G$7:$G658,'🙎‍♂️ Pasien'!$I$7:$I658),"")</f>
        <v>60</v>
      </c>
      <c r="L304" s="16" t="s">
        <v>1152</v>
      </c>
      <c r="M304" s="125" t="str">
        <f t="array" ref="M304">IFNA(XLOOKUP(L304,'⚙️ Pengaturan'!$H$5:$H658,'⚙️ Pengaturan'!$I$5:$I658),"")</f>
        <v>INAKTIF</v>
      </c>
      <c r="N304" s="16" t="s">
        <v>1132</v>
      </c>
      <c r="O304" s="16" t="s">
        <v>1133</v>
      </c>
      <c r="P304" s="153">
        <f t="shared" si="13"/>
        <v>2</v>
      </c>
      <c r="Q304" s="154">
        <v>45672.0</v>
      </c>
      <c r="R304" s="154">
        <v>45691.0</v>
      </c>
      <c r="S304" s="154"/>
      <c r="T304" s="154"/>
      <c r="U304" s="154"/>
      <c r="V304" s="154"/>
      <c r="W304" s="154"/>
      <c r="X304" s="154"/>
      <c r="Y304" s="154"/>
      <c r="Z304" s="154"/>
      <c r="AA304" s="155">
        <f t="shared" si="20"/>
        <v>45691</v>
      </c>
      <c r="AB304" s="16" t="s">
        <v>1144</v>
      </c>
      <c r="AC304" s="20"/>
      <c r="AD304" s="170"/>
      <c r="AE304" s="156" t="str">
        <f t="shared" si="21"/>
        <v/>
      </c>
      <c r="AF304" s="107" t="str">
        <f t="shared" si="22"/>
        <v/>
      </c>
      <c r="AG304" s="107" t="str">
        <f t="shared" si="23"/>
        <v/>
      </c>
      <c r="AH304" s="107" t="str">
        <f t="shared" si="24"/>
        <v/>
      </c>
      <c r="AI304" s="157">
        <f t="shared" si="25"/>
        <v>73</v>
      </c>
      <c r="AJ304" s="96"/>
      <c r="AK304" s="169"/>
      <c r="AL304" s="96"/>
      <c r="AM304" s="158">
        <f t="shared" si="12"/>
        <v>0</v>
      </c>
    </row>
    <row r="305" ht="22.5" customHeight="1">
      <c r="A305" s="167"/>
      <c r="B305" s="160" t="s">
        <v>86</v>
      </c>
      <c r="C305" s="160" t="s">
        <v>1131</v>
      </c>
      <c r="D305" s="161">
        <v>45853.0</v>
      </c>
      <c r="E305" s="124" t="str">
        <f t="shared" si="1"/>
        <v>2025</v>
      </c>
      <c r="F305" s="124" t="str">
        <f t="shared" si="2"/>
        <v>07 Jul</v>
      </c>
      <c r="G305" s="124" t="str">
        <f t="shared" si="3"/>
        <v>Selasa</v>
      </c>
      <c r="H305" s="160" t="s">
        <v>1308</v>
      </c>
      <c r="I305" s="125" t="str">
        <f t="array" ref="I305">IFNA(XLOOKUP($H305,'🙎‍♂️ Pasien'!$G$7:$G658,'🙎‍♂️ Pasien'!$H$7:$H658),"")</f>
        <v>K0325071771</v>
      </c>
      <c r="J305" s="125" t="str">
        <f t="array" ref="J305">IFNA(XLOOKUP($H305,'🙎‍♂️ Pasien'!$G$7:$G658,'🙎‍♂️ Pasien'!$L$7:$L658),"")</f>
        <v>PEREMPUAN</v>
      </c>
      <c r="K305" s="125">
        <f t="array" ref="K305">IFNA(XLOOKUP($H305,'🙎‍♂️ Pasien'!$G$7:$G658,'🙎‍♂️ Pasien'!$I$7:$I658),"")</f>
        <v>22</v>
      </c>
      <c r="L305" s="160" t="s">
        <v>107</v>
      </c>
      <c r="M305" s="162" t="str">
        <f t="array" ref="M305">IFNA(XLOOKUP(L305,'⚙️ Pengaturan'!$H$5:$H658,'⚙️ Pengaturan'!$I$5:$I658),"")</f>
        <v>TIM Y</v>
      </c>
      <c r="N305" s="163" t="s">
        <v>1132</v>
      </c>
      <c r="O305" s="160" t="s">
        <v>1133</v>
      </c>
      <c r="P305" s="153">
        <f t="shared" si="13"/>
        <v>5</v>
      </c>
      <c r="Q305" s="164">
        <v>45854.0</v>
      </c>
      <c r="R305" s="164">
        <v>45855.0</v>
      </c>
      <c r="S305" s="164">
        <v>45857.0</v>
      </c>
      <c r="T305" s="164">
        <v>45858.0</v>
      </c>
      <c r="U305" s="164">
        <v>45859.0</v>
      </c>
      <c r="V305" s="164"/>
      <c r="W305" s="164"/>
      <c r="X305" s="164"/>
      <c r="Y305" s="164"/>
      <c r="Z305" s="164"/>
      <c r="AA305" s="165">
        <f t="shared" si="20"/>
        <v>45859</v>
      </c>
      <c r="AB305" s="160" t="s">
        <v>1134</v>
      </c>
      <c r="AC305" s="160" t="s">
        <v>1138</v>
      </c>
      <c r="AD305" s="166"/>
      <c r="AE305" s="156">
        <f t="shared" si="21"/>
        <v>45859</v>
      </c>
      <c r="AF305" s="107" t="str">
        <f t="shared" si="22"/>
        <v>2025</v>
      </c>
      <c r="AG305" s="107" t="str">
        <f t="shared" si="23"/>
        <v>07 Jul</v>
      </c>
      <c r="AH305" s="107" t="str">
        <f t="shared" si="24"/>
        <v>Sen</v>
      </c>
      <c r="AI305" s="157">
        <f t="shared" si="25"/>
        <v>1</v>
      </c>
      <c r="AJ305" s="96"/>
      <c r="AK305" s="169"/>
      <c r="AL305" s="96"/>
      <c r="AM305" s="158">
        <f t="shared" si="12"/>
        <v>0</v>
      </c>
    </row>
    <row r="306" ht="22.5" customHeight="1">
      <c r="A306" s="167"/>
      <c r="B306" s="160" t="s">
        <v>86</v>
      </c>
      <c r="C306" s="160" t="s">
        <v>1309</v>
      </c>
      <c r="D306" s="161">
        <v>45861.0</v>
      </c>
      <c r="E306" s="124" t="str">
        <f t="shared" si="1"/>
        <v>2025</v>
      </c>
      <c r="F306" s="124" t="str">
        <f t="shared" si="2"/>
        <v>07 Jul</v>
      </c>
      <c r="G306" s="124" t="str">
        <f t="shared" si="3"/>
        <v>Rabu</v>
      </c>
      <c r="H306" s="160" t="s">
        <v>1308</v>
      </c>
      <c r="I306" s="125" t="str">
        <f t="array" ref="I306">IFNA(XLOOKUP($H306,'🙎‍♂️ Pasien'!$G$7:$G658,'🙎‍♂️ Pasien'!$H$7:$H658),"")</f>
        <v>K0325071771</v>
      </c>
      <c r="J306" s="125" t="str">
        <f t="array" ref="J306">IFNA(XLOOKUP($H306,'🙎‍♂️ Pasien'!$G$7:$G658,'🙎‍♂️ Pasien'!$L$7:$L658),"")</f>
        <v>PEREMPUAN</v>
      </c>
      <c r="K306" s="125">
        <f t="array" ref="K306">IFNA(XLOOKUP($H306,'🙎‍♂️ Pasien'!$G$7:$G658,'🙎‍♂️ Pasien'!$I$7:$I658),"")</f>
        <v>22</v>
      </c>
      <c r="L306" s="160" t="s">
        <v>1152</v>
      </c>
      <c r="M306" s="162" t="str">
        <f t="array" ref="M306">IFNA(XLOOKUP(L306,'⚙️ Pengaturan'!$H$5:$H658,'⚙️ Pengaturan'!$I$5:$I658),"")</f>
        <v>INAKTIF</v>
      </c>
      <c r="N306" s="163" t="s">
        <v>1132</v>
      </c>
      <c r="O306" s="160" t="s">
        <v>1139</v>
      </c>
      <c r="P306" s="153">
        <f t="shared" si="13"/>
        <v>5</v>
      </c>
      <c r="Q306" s="164">
        <v>45860.0</v>
      </c>
      <c r="R306" s="164">
        <v>45861.0</v>
      </c>
      <c r="S306" s="164">
        <v>45862.0</v>
      </c>
      <c r="T306" s="164">
        <v>45863.0</v>
      </c>
      <c r="U306" s="164">
        <v>45864.0</v>
      </c>
      <c r="V306" s="164"/>
      <c r="W306" s="164"/>
      <c r="X306" s="164"/>
      <c r="Y306" s="164"/>
      <c r="Z306" s="164"/>
      <c r="AA306" s="165">
        <f t="shared" si="20"/>
        <v>45864</v>
      </c>
      <c r="AB306" s="160" t="s">
        <v>1134</v>
      </c>
      <c r="AC306" s="160" t="s">
        <v>1138</v>
      </c>
      <c r="AD306" s="166"/>
      <c r="AE306" s="156">
        <f t="shared" si="21"/>
        <v>45864</v>
      </c>
      <c r="AF306" s="107" t="str">
        <f t="shared" si="22"/>
        <v>2025</v>
      </c>
      <c r="AG306" s="107" t="str">
        <f t="shared" si="23"/>
        <v>07 Jul</v>
      </c>
      <c r="AH306" s="107" t="str">
        <f t="shared" si="24"/>
        <v>Sab</v>
      </c>
      <c r="AI306" s="157">
        <f t="shared" si="25"/>
        <v>1</v>
      </c>
      <c r="AJ306" s="96"/>
      <c r="AK306" s="169"/>
      <c r="AL306" s="96"/>
      <c r="AM306" s="158">
        <f t="shared" si="12"/>
        <v>0</v>
      </c>
    </row>
    <row r="307" ht="22.5" customHeight="1">
      <c r="A307" s="167"/>
      <c r="B307" s="160" t="s">
        <v>134</v>
      </c>
      <c r="C307" s="160" t="s">
        <v>1309</v>
      </c>
      <c r="D307" s="161">
        <v>45865.0</v>
      </c>
      <c r="E307" s="124" t="str">
        <f t="shared" si="1"/>
        <v>2025</v>
      </c>
      <c r="F307" s="124" t="str">
        <f t="shared" si="2"/>
        <v>07 Jul</v>
      </c>
      <c r="G307" s="124" t="str">
        <f t="shared" si="3"/>
        <v>Minggu</v>
      </c>
      <c r="H307" s="160" t="s">
        <v>1308</v>
      </c>
      <c r="I307" s="125" t="str">
        <f t="array" ref="I307">IFNA(XLOOKUP($H307,'🙎‍♂️ Pasien'!$G$7:$G658,'🙎‍♂️ Pasien'!$H$7:$H658),"")</f>
        <v>K0325071771</v>
      </c>
      <c r="J307" s="125" t="str">
        <f t="array" ref="J307">IFNA(XLOOKUP($H307,'🙎‍♂️ Pasien'!$G$7:$G658,'🙎‍♂️ Pasien'!$L$7:$L658),"")</f>
        <v>PEREMPUAN</v>
      </c>
      <c r="K307" s="125">
        <f t="array" ref="K307">IFNA(XLOOKUP($H307,'🙎‍♂️ Pasien'!$G$7:$G658,'🙎‍♂️ Pasien'!$I$7:$I658),"")</f>
        <v>22</v>
      </c>
      <c r="L307" s="160" t="s">
        <v>1152</v>
      </c>
      <c r="M307" s="162" t="str">
        <f t="array" ref="M307">IFNA(XLOOKUP(L307,'⚙️ Pengaturan'!$H$5:$H658,'⚙️ Pengaturan'!$I$5:$I658),"")</f>
        <v>INAKTIF</v>
      </c>
      <c r="N307" s="163" t="s">
        <v>1132</v>
      </c>
      <c r="O307" s="160" t="s">
        <v>1133</v>
      </c>
      <c r="P307" s="153">
        <f t="shared" si="13"/>
        <v>4</v>
      </c>
      <c r="Q307" s="164">
        <v>45865.0</v>
      </c>
      <c r="R307" s="164">
        <v>45866.0</v>
      </c>
      <c r="S307" s="164">
        <v>45867.0</v>
      </c>
      <c r="T307" s="164">
        <v>45868.0</v>
      </c>
      <c r="U307" s="164"/>
      <c r="V307" s="164"/>
      <c r="W307" s="164"/>
      <c r="X307" s="164"/>
      <c r="Y307" s="164"/>
      <c r="Z307" s="164"/>
      <c r="AA307" s="165">
        <f t="shared" si="20"/>
        <v>45868</v>
      </c>
      <c r="AB307" s="160" t="s">
        <v>1144</v>
      </c>
      <c r="AC307" s="174"/>
      <c r="AD307" s="166"/>
      <c r="AE307" s="156" t="str">
        <f t="shared" si="21"/>
        <v/>
      </c>
      <c r="AF307" s="107" t="str">
        <f t="shared" si="22"/>
        <v/>
      </c>
      <c r="AG307" s="107" t="str">
        <f t="shared" si="23"/>
        <v/>
      </c>
      <c r="AH307" s="107" t="str">
        <f t="shared" si="24"/>
        <v/>
      </c>
      <c r="AI307" s="157">
        <f t="shared" si="25"/>
        <v>46</v>
      </c>
      <c r="AJ307" s="96"/>
      <c r="AK307" s="169"/>
      <c r="AL307" s="96"/>
      <c r="AM307" s="158">
        <f t="shared" si="12"/>
        <v>0</v>
      </c>
    </row>
    <row r="308" ht="22.5" customHeight="1">
      <c r="A308" s="167"/>
      <c r="B308" s="160" t="s">
        <v>86</v>
      </c>
      <c r="C308" s="160" t="s">
        <v>1131</v>
      </c>
      <c r="D308" s="161">
        <v>45952.0</v>
      </c>
      <c r="E308" s="124" t="str">
        <f t="shared" si="1"/>
        <v>2025</v>
      </c>
      <c r="F308" s="124" t="str">
        <f t="shared" si="2"/>
        <v>10 Okt</v>
      </c>
      <c r="G308" s="124" t="str">
        <f t="shared" si="3"/>
        <v>Rabu</v>
      </c>
      <c r="H308" s="160" t="s">
        <v>331</v>
      </c>
      <c r="I308" s="125" t="str">
        <f t="array" ref="I308">IFNA(XLOOKUP($H308,'🙎‍♂️ Pasien'!$G$7:$G658,'🙎‍♂️ Pasien'!$H$7:$H658),"")</f>
        <v>L0825103838</v>
      </c>
      <c r="J308" s="125" t="str">
        <f t="array" ref="J308">IFNA(XLOOKUP($H308,'🙎‍♂️ Pasien'!$G$7:$G658,'🙎‍♂️ Pasien'!$L$7:$L658),"")</f>
        <v>LAKI-LAKI</v>
      </c>
      <c r="K308" s="125">
        <f t="array" ref="K308">IFNA(XLOOKUP($H308,'🙎‍♂️ Pasien'!$G$7:$G658,'🙎‍♂️ Pasien'!$I$7:$I658),"")</f>
        <v>18</v>
      </c>
      <c r="L308" s="160" t="s">
        <v>107</v>
      </c>
      <c r="M308" s="162" t="str">
        <f t="array" ref="M308">IFNA(XLOOKUP(L308,'⚙️ Pengaturan'!$H$5:$H658,'⚙️ Pengaturan'!$I$5:$I658),"")</f>
        <v>TIM Y</v>
      </c>
      <c r="N308" s="160" t="s">
        <v>1132</v>
      </c>
      <c r="O308" s="160" t="s">
        <v>1133</v>
      </c>
      <c r="P308" s="153">
        <f t="shared" si="13"/>
        <v>5</v>
      </c>
      <c r="Q308" s="164">
        <v>45952.0</v>
      </c>
      <c r="R308" s="164">
        <v>45953.0</v>
      </c>
      <c r="S308" s="164">
        <v>45954.0</v>
      </c>
      <c r="T308" s="164">
        <v>45957.0</v>
      </c>
      <c r="U308" s="164">
        <v>45958.0</v>
      </c>
      <c r="V308" s="164"/>
      <c r="W308" s="164"/>
      <c r="X308" s="164"/>
      <c r="Y308" s="164"/>
      <c r="Z308" s="164"/>
      <c r="AA308" s="165">
        <f t="shared" si="20"/>
        <v>45958</v>
      </c>
      <c r="AB308" s="160" t="s">
        <v>1134</v>
      </c>
      <c r="AC308" s="160" t="s">
        <v>1135</v>
      </c>
      <c r="AD308" s="168" t="s">
        <v>1310</v>
      </c>
      <c r="AE308" s="156">
        <f t="shared" si="21"/>
        <v>45958</v>
      </c>
      <c r="AF308" s="107" t="str">
        <f t="shared" si="22"/>
        <v>2025</v>
      </c>
      <c r="AG308" s="107" t="str">
        <f t="shared" si="23"/>
        <v>10 Okt</v>
      </c>
      <c r="AH308" s="107" t="str">
        <f t="shared" si="24"/>
        <v>Sel</v>
      </c>
      <c r="AI308" s="157">
        <f t="shared" si="25"/>
        <v>1</v>
      </c>
      <c r="AJ308" s="96"/>
      <c r="AK308" s="169"/>
      <c r="AL308" s="96"/>
      <c r="AM308" s="158">
        <f t="shared" si="12"/>
        <v>0</v>
      </c>
    </row>
    <row r="309" ht="22.5" customHeight="1">
      <c r="A309" s="167"/>
      <c r="B309" s="160" t="s">
        <v>86</v>
      </c>
      <c r="C309" s="160" t="s">
        <v>1131</v>
      </c>
      <c r="D309" s="161">
        <v>45935.0</v>
      </c>
      <c r="E309" s="124" t="str">
        <f t="shared" si="1"/>
        <v>2025</v>
      </c>
      <c r="F309" s="124" t="str">
        <f t="shared" si="2"/>
        <v>10 Okt</v>
      </c>
      <c r="G309" s="124" t="str">
        <f t="shared" si="3"/>
        <v>Minggu</v>
      </c>
      <c r="H309" s="160" t="s">
        <v>144</v>
      </c>
      <c r="I309" s="125" t="str">
        <f t="array" ref="I309">IFNA(XLOOKUP($H309,'🙎‍♂️ Pasien'!$G$7:$G658,'🙎‍♂️ Pasien'!$H$7:$H658),"")</f>
        <v>L2525104585</v>
      </c>
      <c r="J309" s="125" t="str">
        <f t="array" ref="J309">IFNA(XLOOKUP($H309,'🙎‍♂️ Pasien'!$G$7:$G658,'🙎‍♂️ Pasien'!$L$7:$L658),"")</f>
        <v>PEREMPUAN</v>
      </c>
      <c r="K309" s="125">
        <f t="array" ref="K309">IFNA(XLOOKUP($H309,'🙎‍♂️ Pasien'!$G$7:$G658,'🙎‍♂️ Pasien'!$I$7:$I658),"")</f>
        <v>0</v>
      </c>
      <c r="L309" s="160" t="s">
        <v>72</v>
      </c>
      <c r="M309" s="162" t="str">
        <f t="array" ref="M309">IFNA(XLOOKUP(L309,'⚙️ Pengaturan'!$H$5:$H658,'⚙️ Pengaturan'!$I$5:$I658),"")</f>
        <v>TIM A</v>
      </c>
      <c r="N309" s="160" t="s">
        <v>1132</v>
      </c>
      <c r="O309" s="160" t="s">
        <v>1133</v>
      </c>
      <c r="P309" s="153">
        <f t="shared" si="13"/>
        <v>5</v>
      </c>
      <c r="Q309" s="164">
        <v>45935.0</v>
      </c>
      <c r="R309" s="164">
        <v>45936.0</v>
      </c>
      <c r="S309" s="164">
        <v>45943.0</v>
      </c>
      <c r="T309" s="164">
        <v>45945.0</v>
      </c>
      <c r="U309" s="164">
        <v>45946.0</v>
      </c>
      <c r="V309" s="164"/>
      <c r="W309" s="164"/>
      <c r="X309" s="164"/>
      <c r="Y309" s="164"/>
      <c r="Z309" s="164"/>
      <c r="AA309" s="165">
        <f t="shared" si="20"/>
        <v>45946</v>
      </c>
      <c r="AB309" s="160" t="s">
        <v>1134</v>
      </c>
      <c r="AC309" s="160" t="s">
        <v>1138</v>
      </c>
      <c r="AD309" s="166"/>
      <c r="AE309" s="156">
        <f t="shared" si="21"/>
        <v>45946</v>
      </c>
      <c r="AF309" s="107" t="str">
        <f t="shared" si="22"/>
        <v>2025</v>
      </c>
      <c r="AG309" s="107" t="str">
        <f t="shared" si="23"/>
        <v>10 Okt</v>
      </c>
      <c r="AH309" s="107" t="str">
        <f t="shared" si="24"/>
        <v>Kam</v>
      </c>
      <c r="AI309" s="157">
        <f t="shared" si="25"/>
        <v>2</v>
      </c>
      <c r="AJ309" s="96"/>
      <c r="AK309" s="169"/>
      <c r="AL309" s="96"/>
      <c r="AM309" s="158">
        <f t="shared" si="12"/>
        <v>0</v>
      </c>
    </row>
    <row r="310" ht="22.5" customHeight="1">
      <c r="A310" s="167"/>
      <c r="B310" s="160" t="s">
        <v>86</v>
      </c>
      <c r="C310" s="160" t="s">
        <v>1131</v>
      </c>
      <c r="D310" s="161">
        <v>45951.0</v>
      </c>
      <c r="E310" s="124" t="str">
        <f t="shared" si="1"/>
        <v>2025</v>
      </c>
      <c r="F310" s="124" t="str">
        <f t="shared" si="2"/>
        <v>10 Okt</v>
      </c>
      <c r="G310" s="124" t="str">
        <f t="shared" si="3"/>
        <v>Selasa</v>
      </c>
      <c r="H310" s="160" t="s">
        <v>144</v>
      </c>
      <c r="I310" s="125" t="str">
        <f t="array" ref="I310">IFNA(XLOOKUP($H310,'🙎‍♂️ Pasien'!$G$7:$G658,'🙎‍♂️ Pasien'!$H$7:$H658),"")</f>
        <v>L2525104585</v>
      </c>
      <c r="J310" s="125" t="str">
        <f t="array" ref="J310">IFNA(XLOOKUP($H310,'🙎‍♂️ Pasien'!$G$7:$G658,'🙎‍♂️ Pasien'!$L$7:$L658),"")</f>
        <v>PEREMPUAN</v>
      </c>
      <c r="K310" s="125">
        <f t="array" ref="K310">IFNA(XLOOKUP($H310,'🙎‍♂️ Pasien'!$G$7:$G658,'🙎‍♂️ Pasien'!$I$7:$I658),"")</f>
        <v>0</v>
      </c>
      <c r="L310" s="160" t="s">
        <v>72</v>
      </c>
      <c r="M310" s="162" t="str">
        <f t="array" ref="M310">IFNA(XLOOKUP(L310,'⚙️ Pengaturan'!$H$5:$H658,'⚙️ Pengaturan'!$I$5:$I658),"")</f>
        <v>TIM A</v>
      </c>
      <c r="N310" s="160" t="s">
        <v>1132</v>
      </c>
      <c r="O310" s="160" t="s">
        <v>1139</v>
      </c>
      <c r="P310" s="153">
        <f t="shared" si="13"/>
        <v>2</v>
      </c>
      <c r="Q310" s="164">
        <v>45951.0</v>
      </c>
      <c r="R310" s="164">
        <v>45952.0</v>
      </c>
      <c r="S310" s="164"/>
      <c r="T310" s="164"/>
      <c r="U310" s="164"/>
      <c r="V310" s="164"/>
      <c r="W310" s="164"/>
      <c r="X310" s="164"/>
      <c r="Y310" s="164"/>
      <c r="Z310" s="164"/>
      <c r="AA310" s="165">
        <f t="shared" si="20"/>
        <v>45952</v>
      </c>
      <c r="AB310" s="160" t="s">
        <v>1144</v>
      </c>
      <c r="AC310" s="172"/>
      <c r="AD310" s="166"/>
      <c r="AE310" s="156" t="str">
        <f t="shared" si="21"/>
        <v/>
      </c>
      <c r="AF310" s="107" t="str">
        <f t="shared" si="22"/>
        <v/>
      </c>
      <c r="AG310" s="107" t="str">
        <f t="shared" si="23"/>
        <v/>
      </c>
      <c r="AH310" s="107" t="str">
        <f t="shared" si="24"/>
        <v/>
      </c>
      <c r="AI310" s="157">
        <f t="shared" si="25"/>
        <v>33</v>
      </c>
      <c r="AJ310" s="96"/>
      <c r="AK310" s="169"/>
      <c r="AL310" s="96"/>
      <c r="AM310" s="158">
        <f t="shared" si="12"/>
        <v>0</v>
      </c>
    </row>
    <row r="311" ht="22.5" customHeight="1">
      <c r="A311" s="152"/>
      <c r="B311" s="160" t="s">
        <v>86</v>
      </c>
      <c r="C311" s="160" t="s">
        <v>1131</v>
      </c>
      <c r="D311" s="161">
        <v>45920.0</v>
      </c>
      <c r="E311" s="124" t="str">
        <f t="shared" si="1"/>
        <v>2025</v>
      </c>
      <c r="F311" s="124" t="str">
        <f t="shared" si="2"/>
        <v>09 Sep</v>
      </c>
      <c r="G311" s="124" t="str">
        <f t="shared" si="3"/>
        <v>Sabtu</v>
      </c>
      <c r="H311" s="160" t="s">
        <v>1311</v>
      </c>
      <c r="I311" s="125" t="str">
        <f t="array" ref="I311">IFNA(XLOOKUP($H311,'🙎‍♂️ Pasien'!$G$7:$G658,'🙎‍♂️ Pasien'!$H$7:$H658),"")</f>
        <v/>
      </c>
      <c r="J311" s="125" t="str">
        <f t="array" ref="J311">IFNA(XLOOKUP($H311,'🙎‍♂️ Pasien'!$G$7:$G658,'🙎‍♂️ Pasien'!$L$7:$L658),"")</f>
        <v/>
      </c>
      <c r="K311" s="125" t="str">
        <f t="array" ref="K311">IFNA(XLOOKUP($H311,'🙎‍♂️ Pasien'!$G$7:$G658,'🙎‍♂️ Pasien'!$I$7:$I658),"")</f>
        <v/>
      </c>
      <c r="L311" s="160" t="s">
        <v>79</v>
      </c>
      <c r="M311" s="162" t="str">
        <f t="array" ref="M311">IFNA(XLOOKUP(L311,'⚙️ Pengaturan'!$H$5:$H658,'⚙️ Pengaturan'!$I$5:$I658),"")</f>
        <v>TIM A</v>
      </c>
      <c r="N311" s="160" t="s">
        <v>1132</v>
      </c>
      <c r="O311" s="160" t="s">
        <v>1133</v>
      </c>
      <c r="P311" s="153">
        <f t="shared" si="13"/>
        <v>5</v>
      </c>
      <c r="Q311" s="164">
        <v>45931.0</v>
      </c>
      <c r="R311" s="164">
        <v>45937.0</v>
      </c>
      <c r="S311" s="164">
        <v>45944.0</v>
      </c>
      <c r="T311" s="164">
        <v>45951.0</v>
      </c>
      <c r="U311" s="164">
        <v>45959.0</v>
      </c>
      <c r="V311" s="164"/>
      <c r="W311" s="164"/>
      <c r="X311" s="164"/>
      <c r="Y311" s="164"/>
      <c r="Z311" s="164"/>
      <c r="AA311" s="165">
        <f t="shared" si="20"/>
        <v>45959</v>
      </c>
      <c r="AB311" s="160" t="s">
        <v>1134</v>
      </c>
      <c r="AC311" s="160" t="s">
        <v>1135</v>
      </c>
      <c r="AD311" s="168" t="s">
        <v>1312</v>
      </c>
      <c r="AE311" s="156">
        <f t="shared" si="21"/>
        <v>45959</v>
      </c>
      <c r="AF311" s="107" t="str">
        <f t="shared" si="22"/>
        <v>2025</v>
      </c>
      <c r="AG311" s="107" t="str">
        <f t="shared" si="23"/>
        <v>10 Okt</v>
      </c>
      <c r="AH311" s="107" t="str">
        <f t="shared" si="24"/>
        <v>Rab</v>
      </c>
      <c r="AI311" s="157">
        <f t="shared" si="25"/>
        <v>4</v>
      </c>
      <c r="AJ311" s="158"/>
      <c r="AK311" s="159"/>
      <c r="AL311" s="158"/>
      <c r="AM311" s="158">
        <f t="shared" si="12"/>
        <v>0</v>
      </c>
    </row>
    <row r="312" ht="22.5" customHeight="1">
      <c r="A312" s="167"/>
      <c r="B312" s="20"/>
      <c r="C312" s="20"/>
      <c r="D312" s="123">
        <v>45615.0</v>
      </c>
      <c r="E312" s="124" t="str">
        <f t="shared" si="1"/>
        <v>2024</v>
      </c>
      <c r="F312" s="124" t="str">
        <f t="shared" si="2"/>
        <v>11 Nov</v>
      </c>
      <c r="G312" s="124" t="str">
        <f t="shared" si="3"/>
        <v>Selasa</v>
      </c>
      <c r="H312" s="16" t="s">
        <v>1313</v>
      </c>
      <c r="I312" s="125" t="str">
        <f t="array" ref="I312">IFNA(XLOOKUP($H312,'🙎‍♂️ Pasien'!$G$7:$G658,'🙎‍♂️ Pasien'!$H$7:$H658),"")</f>
        <v>L9824109191</v>
      </c>
      <c r="J312" s="125" t="str">
        <f t="array" ref="J312">IFNA(XLOOKUP($H312,'🙎‍♂️ Pasien'!$G$7:$G658,'🙎‍♂️ Pasien'!$L$7:$L658),"")</f>
        <v>LAKI-LAKI</v>
      </c>
      <c r="K312" s="125">
        <f t="array" ref="K312">IFNA(XLOOKUP($H312,'🙎‍♂️ Pasien'!$G$7:$G658,'🙎‍♂️ Pasien'!$I$7:$I658),"")</f>
        <v>27</v>
      </c>
      <c r="L312" s="16" t="s">
        <v>1149</v>
      </c>
      <c r="M312" s="125" t="str">
        <f t="array" ref="M312">IFNA(XLOOKUP(L312,'⚙️ Pengaturan'!$H$5:$H658,'⚙️ Pengaturan'!$I$5:$I658),"")</f>
        <v/>
      </c>
      <c r="N312" s="16" t="s">
        <v>1137</v>
      </c>
      <c r="O312" s="16" t="s">
        <v>1133</v>
      </c>
      <c r="P312" s="153">
        <f t="shared" si="13"/>
        <v>1</v>
      </c>
      <c r="Q312" s="154">
        <v>45615.0</v>
      </c>
      <c r="R312" s="154"/>
      <c r="S312" s="154"/>
      <c r="T312" s="154"/>
      <c r="U312" s="154"/>
      <c r="V312" s="154"/>
      <c r="W312" s="154"/>
      <c r="X312" s="154"/>
      <c r="Y312" s="154"/>
      <c r="Z312" s="154"/>
      <c r="AA312" s="155">
        <f t="shared" si="20"/>
        <v>45615</v>
      </c>
      <c r="AB312" s="16" t="s">
        <v>1144</v>
      </c>
      <c r="AC312" s="20"/>
      <c r="AD312" s="170"/>
      <c r="AE312" s="156" t="str">
        <f t="shared" si="21"/>
        <v/>
      </c>
      <c r="AF312" s="107" t="str">
        <f t="shared" si="22"/>
        <v/>
      </c>
      <c r="AG312" s="107" t="str">
        <f t="shared" si="23"/>
        <v/>
      </c>
      <c r="AH312" s="107" t="str">
        <f t="shared" si="24"/>
        <v/>
      </c>
      <c r="AI312" s="157">
        <f t="shared" si="25"/>
        <v>81</v>
      </c>
      <c r="AJ312" s="96"/>
      <c r="AK312" s="169"/>
      <c r="AL312" s="96"/>
      <c r="AM312" s="158">
        <f t="shared" si="12"/>
        <v>0</v>
      </c>
    </row>
    <row r="313" ht="22.5" customHeight="1">
      <c r="A313" s="167"/>
      <c r="B313" s="160" t="s">
        <v>54</v>
      </c>
      <c r="C313" s="160" t="s">
        <v>1131</v>
      </c>
      <c r="D313" s="161">
        <v>45917.0</v>
      </c>
      <c r="E313" s="124" t="str">
        <f t="shared" si="1"/>
        <v>2025</v>
      </c>
      <c r="F313" s="124" t="str">
        <f t="shared" si="2"/>
        <v>09 Sep</v>
      </c>
      <c r="G313" s="124" t="str">
        <f t="shared" si="3"/>
        <v>Rabu</v>
      </c>
      <c r="H313" s="160" t="s">
        <v>176</v>
      </c>
      <c r="I313" s="125" t="str">
        <f t="array" ref="I313">IFNA(XLOOKUP($H313,'🙎‍♂️ Pasien'!$G$7:$G658,'🙎‍♂️ Pasien'!$H$7:$H658),"")</f>
        <v>L8925090200</v>
      </c>
      <c r="J313" s="125" t="str">
        <f t="array" ref="J313">IFNA(XLOOKUP($H313,'🙎‍♂️ Pasien'!$G$7:$G658,'🙎‍♂️ Pasien'!$L$7:$L658),"")</f>
        <v>PEREMPUAN</v>
      </c>
      <c r="K313" s="125">
        <f t="array" ref="K313">IFNA(XLOOKUP($H313,'🙎‍♂️ Pasien'!$G$7:$G658,'🙎‍♂️ Pasien'!$I$7:$I658),"")</f>
        <v>36</v>
      </c>
      <c r="L313" s="160" t="s">
        <v>72</v>
      </c>
      <c r="M313" s="162" t="str">
        <f t="array" ref="M313">IFNA(XLOOKUP(L313,'⚙️ Pengaturan'!$H$5:$H658,'⚙️ Pengaturan'!$I$5:$I658),"")</f>
        <v>TIM A</v>
      </c>
      <c r="N313" s="160" t="s">
        <v>1137</v>
      </c>
      <c r="O313" s="160" t="s">
        <v>1133</v>
      </c>
      <c r="P313" s="153">
        <f t="shared" si="13"/>
        <v>7</v>
      </c>
      <c r="Q313" s="164">
        <v>45920.0</v>
      </c>
      <c r="R313" s="164">
        <v>45923.0</v>
      </c>
      <c r="S313" s="164">
        <v>45925.0</v>
      </c>
      <c r="T313" s="164">
        <v>45927.0</v>
      </c>
      <c r="U313" s="164">
        <v>45936.0</v>
      </c>
      <c r="V313" s="164">
        <v>45943.0</v>
      </c>
      <c r="W313" s="164">
        <v>45993.0</v>
      </c>
      <c r="X313" s="164"/>
      <c r="Y313" s="164"/>
      <c r="Z313" s="164"/>
      <c r="AA313" s="165">
        <f t="shared" si="20"/>
        <v>45993</v>
      </c>
      <c r="AB313" s="160" t="s">
        <v>1144</v>
      </c>
      <c r="AC313" s="174"/>
      <c r="AD313" s="166"/>
      <c r="AE313" s="156" t="str">
        <f t="shared" si="21"/>
        <v/>
      </c>
      <c r="AF313" s="107" t="str">
        <f t="shared" si="22"/>
        <v/>
      </c>
      <c r="AG313" s="107" t="str">
        <f t="shared" si="23"/>
        <v/>
      </c>
      <c r="AH313" s="107" t="str">
        <f t="shared" si="24"/>
        <v/>
      </c>
      <c r="AI313" s="157">
        <f t="shared" si="25"/>
        <v>38</v>
      </c>
      <c r="AJ313" s="96"/>
      <c r="AK313" s="169"/>
      <c r="AL313" s="96"/>
      <c r="AM313" s="158">
        <f t="shared" si="12"/>
        <v>0</v>
      </c>
    </row>
    <row r="314" ht="22.5" customHeight="1">
      <c r="A314" s="190"/>
      <c r="B314" s="160" t="s">
        <v>86</v>
      </c>
      <c r="C314" s="160" t="s">
        <v>1131</v>
      </c>
      <c r="D314" s="161">
        <v>45836.0</v>
      </c>
      <c r="E314" s="124" t="str">
        <f t="shared" si="1"/>
        <v>2025</v>
      </c>
      <c r="F314" s="124" t="str">
        <f t="shared" si="2"/>
        <v>06 Jun</v>
      </c>
      <c r="G314" s="124" t="str">
        <f t="shared" si="3"/>
        <v>Sabtu</v>
      </c>
      <c r="H314" s="160" t="s">
        <v>98</v>
      </c>
      <c r="I314" s="125" t="str">
        <f t="array" ref="I314">IFNA(XLOOKUP($H314,'🙎‍♂️ Pasien'!$G$7:$G658,'🙎‍♂️ Pasien'!$H$7:$H658),"")</f>
        <v>L9925048099</v>
      </c>
      <c r="J314" s="125" t="str">
        <f t="array" ref="J314">IFNA(XLOOKUP($H314,'🙎‍♂️ Pasien'!$G$7:$G658,'🙎‍♂️ Pasien'!$L$7:$L658),"")</f>
        <v>PEREMPUAN</v>
      </c>
      <c r="K314" s="125">
        <f t="array" ref="K314">IFNA(XLOOKUP($H314,'🙎‍♂️ Pasien'!$G$7:$G658,'🙎‍♂️ Pasien'!$I$7:$I658),"")</f>
        <v>26</v>
      </c>
      <c r="L314" s="160" t="s">
        <v>1152</v>
      </c>
      <c r="M314" s="162" t="str">
        <f t="array" ref="M314">IFNA(XLOOKUP(L314,'⚙️ Pengaturan'!$H$5:$H658,'⚙️ Pengaturan'!$I$5:$I658),"")</f>
        <v>INAKTIF</v>
      </c>
      <c r="N314" s="163" t="s">
        <v>1137</v>
      </c>
      <c r="O314" s="160" t="s">
        <v>1139</v>
      </c>
      <c r="P314" s="153">
        <f t="shared" si="13"/>
        <v>10</v>
      </c>
      <c r="Q314" s="164">
        <v>45836.0</v>
      </c>
      <c r="R314" s="164">
        <v>45838.0</v>
      </c>
      <c r="S314" s="164">
        <v>45843.0</v>
      </c>
      <c r="T314" s="164">
        <v>45847.0</v>
      </c>
      <c r="U314" s="164">
        <v>45850.0</v>
      </c>
      <c r="V314" s="164">
        <v>45853.0</v>
      </c>
      <c r="W314" s="164">
        <v>45857.0</v>
      </c>
      <c r="X314" s="164">
        <v>45861.0</v>
      </c>
      <c r="Y314" s="164">
        <v>45864.0</v>
      </c>
      <c r="Z314" s="164">
        <v>45868.0</v>
      </c>
      <c r="AA314" s="165">
        <f t="shared" si="20"/>
        <v>45868</v>
      </c>
      <c r="AB314" s="160" t="s">
        <v>1134</v>
      </c>
      <c r="AC314" s="160" t="s">
        <v>1138</v>
      </c>
      <c r="AD314" s="166"/>
      <c r="AE314" s="156">
        <f t="shared" si="21"/>
        <v>45868</v>
      </c>
      <c r="AF314" s="107" t="str">
        <f t="shared" si="22"/>
        <v>2025</v>
      </c>
      <c r="AG314" s="107" t="str">
        <f t="shared" si="23"/>
        <v>07 Jul</v>
      </c>
      <c r="AH314" s="107" t="str">
        <f t="shared" si="24"/>
        <v>Rab</v>
      </c>
      <c r="AI314" s="157">
        <f t="shared" si="25"/>
        <v>5</v>
      </c>
      <c r="AJ314" s="96"/>
      <c r="AK314" s="169"/>
      <c r="AL314" s="96"/>
      <c r="AM314" s="158">
        <f t="shared" si="12"/>
        <v>0</v>
      </c>
    </row>
    <row r="315" ht="22.5" customHeight="1">
      <c r="A315" s="167"/>
      <c r="B315" s="160" t="s">
        <v>134</v>
      </c>
      <c r="C315" s="160" t="s">
        <v>1131</v>
      </c>
      <c r="D315" s="161">
        <v>45873.0</v>
      </c>
      <c r="E315" s="124" t="str">
        <f t="shared" si="1"/>
        <v>2025</v>
      </c>
      <c r="F315" s="124" t="str">
        <f t="shared" si="2"/>
        <v>08 Agu</v>
      </c>
      <c r="G315" s="124" t="str">
        <f t="shared" si="3"/>
        <v>Senin</v>
      </c>
      <c r="H315" s="160" t="s">
        <v>98</v>
      </c>
      <c r="I315" s="125" t="str">
        <f t="array" ref="I315">IFNA(XLOOKUP($H315,'🙎‍♂️ Pasien'!$G$7:$G658,'🙎‍♂️ Pasien'!$H$7:$H658),"")</f>
        <v>L9925048099</v>
      </c>
      <c r="J315" s="125" t="str">
        <f t="array" ref="J315">IFNA(XLOOKUP($H315,'🙎‍♂️ Pasien'!$G$7:$G658,'🙎‍♂️ Pasien'!$L$7:$L658),"")</f>
        <v>PEREMPUAN</v>
      </c>
      <c r="K315" s="125">
        <f t="array" ref="K315">IFNA(XLOOKUP($H315,'🙎‍♂️ Pasien'!$G$7:$G658,'🙎‍♂️ Pasien'!$I$7:$I658),"")</f>
        <v>26</v>
      </c>
      <c r="L315" s="160" t="s">
        <v>88</v>
      </c>
      <c r="M315" s="162" t="str">
        <f t="array" ref="M315">IFNA(XLOOKUP(L315,'⚙️ Pengaturan'!$H$5:$H658,'⚙️ Pengaturan'!$I$5:$I658),"")</f>
        <v>TIM Y</v>
      </c>
      <c r="N315" s="163" t="s">
        <v>1137</v>
      </c>
      <c r="O315" s="160" t="s">
        <v>1139</v>
      </c>
      <c r="P315" s="153">
        <f t="shared" si="13"/>
        <v>10</v>
      </c>
      <c r="Q315" s="164">
        <v>45873.0</v>
      </c>
      <c r="R315" s="164">
        <v>45875.0</v>
      </c>
      <c r="S315" s="164">
        <v>45880.0</v>
      </c>
      <c r="T315" s="164">
        <v>45882.0</v>
      </c>
      <c r="U315" s="164">
        <v>45889.0</v>
      </c>
      <c r="V315" s="164">
        <v>45897.0</v>
      </c>
      <c r="W315" s="164">
        <v>45899.0</v>
      </c>
      <c r="X315" s="164">
        <v>45903.0</v>
      </c>
      <c r="Y315" s="164">
        <v>45906.0</v>
      </c>
      <c r="Z315" s="164">
        <v>45910.0</v>
      </c>
      <c r="AA315" s="165">
        <f t="shared" si="20"/>
        <v>45910</v>
      </c>
      <c r="AB315" s="160" t="s">
        <v>1134</v>
      </c>
      <c r="AC315" s="160" t="s">
        <v>1138</v>
      </c>
      <c r="AD315" s="166"/>
      <c r="AE315" s="156">
        <f t="shared" si="21"/>
        <v>45910</v>
      </c>
      <c r="AF315" s="107" t="str">
        <f t="shared" si="22"/>
        <v>2025</v>
      </c>
      <c r="AG315" s="107" t="str">
        <f t="shared" si="23"/>
        <v>09 Sep</v>
      </c>
      <c r="AH315" s="107" t="str">
        <f t="shared" si="24"/>
        <v>Rab</v>
      </c>
      <c r="AI315" s="157">
        <f t="shared" si="25"/>
        <v>6</v>
      </c>
      <c r="AJ315" s="96"/>
      <c r="AK315" s="169"/>
      <c r="AL315" s="96"/>
      <c r="AM315" s="158">
        <f t="shared" si="12"/>
        <v>0</v>
      </c>
    </row>
    <row r="316" ht="22.5" customHeight="1">
      <c r="A316" s="167"/>
      <c r="B316" s="160" t="s">
        <v>86</v>
      </c>
      <c r="C316" s="160" t="s">
        <v>1131</v>
      </c>
      <c r="D316" s="161">
        <v>45917.0</v>
      </c>
      <c r="E316" s="124" t="str">
        <f t="shared" si="1"/>
        <v>2025</v>
      </c>
      <c r="F316" s="124" t="str">
        <f t="shared" si="2"/>
        <v>09 Sep</v>
      </c>
      <c r="G316" s="124" t="str">
        <f t="shared" si="3"/>
        <v>Rabu</v>
      </c>
      <c r="H316" s="160" t="s">
        <v>98</v>
      </c>
      <c r="I316" s="125" t="str">
        <f t="array" ref="I316">IFNA(XLOOKUP($H316,'🙎‍♂️ Pasien'!$G$7:$G658,'🙎‍♂️ Pasien'!$H$7:$H658),"")</f>
        <v>L9925048099</v>
      </c>
      <c r="J316" s="125" t="str">
        <f t="array" ref="J316">IFNA(XLOOKUP($H316,'🙎‍♂️ Pasien'!$G$7:$G658,'🙎‍♂️ Pasien'!$L$7:$L658),"")</f>
        <v>PEREMPUAN</v>
      </c>
      <c r="K316" s="125">
        <f t="array" ref="K316">IFNA(XLOOKUP($H316,'🙎‍♂️ Pasien'!$G$7:$G658,'🙎‍♂️ Pasien'!$I$7:$I658),"")</f>
        <v>26</v>
      </c>
      <c r="L316" s="160" t="s">
        <v>88</v>
      </c>
      <c r="M316" s="162" t="str">
        <f t="array" ref="M316">IFNA(XLOOKUP(L316,'⚙️ Pengaturan'!$H$5:$H658,'⚙️ Pengaturan'!$I$5:$I658),"")</f>
        <v>TIM Y</v>
      </c>
      <c r="N316" s="163" t="s">
        <v>1137</v>
      </c>
      <c r="O316" s="160" t="s">
        <v>1139</v>
      </c>
      <c r="P316" s="153">
        <f t="shared" si="13"/>
        <v>10</v>
      </c>
      <c r="Q316" s="164">
        <v>45917.0</v>
      </c>
      <c r="R316" s="164">
        <v>45920.0</v>
      </c>
      <c r="S316" s="164">
        <v>45924.0</v>
      </c>
      <c r="T316" s="164">
        <v>45927.0</v>
      </c>
      <c r="U316" s="164">
        <v>45931.0</v>
      </c>
      <c r="V316" s="164">
        <v>45934.0</v>
      </c>
      <c r="W316" s="164">
        <v>45938.0</v>
      </c>
      <c r="X316" s="164">
        <v>45941.0</v>
      </c>
      <c r="Y316" s="164">
        <v>45945.0</v>
      </c>
      <c r="Z316" s="164">
        <v>45952.0</v>
      </c>
      <c r="AA316" s="165">
        <f t="shared" si="20"/>
        <v>45952</v>
      </c>
      <c r="AB316" s="160" t="s">
        <v>1134</v>
      </c>
      <c r="AC316" s="160" t="s">
        <v>1138</v>
      </c>
      <c r="AD316" s="166"/>
      <c r="AE316" s="156">
        <f t="shared" si="21"/>
        <v>45952</v>
      </c>
      <c r="AF316" s="107" t="str">
        <f t="shared" si="22"/>
        <v>2025</v>
      </c>
      <c r="AG316" s="107" t="str">
        <f t="shared" si="23"/>
        <v>10 Okt</v>
      </c>
      <c r="AH316" s="107" t="str">
        <f t="shared" si="24"/>
        <v>Rab</v>
      </c>
      <c r="AI316" s="157">
        <f t="shared" si="25"/>
        <v>5</v>
      </c>
      <c r="AJ316" s="96"/>
      <c r="AK316" s="169"/>
      <c r="AL316" s="96"/>
      <c r="AM316" s="158">
        <f t="shared" si="12"/>
        <v>0</v>
      </c>
    </row>
    <row r="317" ht="22.5" customHeight="1">
      <c r="A317" s="167"/>
      <c r="B317" s="160" t="s">
        <v>86</v>
      </c>
      <c r="C317" s="160" t="s">
        <v>1131</v>
      </c>
      <c r="D317" s="161">
        <v>45954.0</v>
      </c>
      <c r="E317" s="124" t="str">
        <f t="shared" si="1"/>
        <v>2025</v>
      </c>
      <c r="F317" s="124" t="str">
        <f t="shared" si="2"/>
        <v>10 Okt</v>
      </c>
      <c r="G317" s="124" t="str">
        <f t="shared" si="3"/>
        <v>Jumat</v>
      </c>
      <c r="H317" s="160" t="s">
        <v>98</v>
      </c>
      <c r="I317" s="125" t="str">
        <f t="array" ref="I317">IFNA(XLOOKUP($H317,'🙎‍♂️ Pasien'!$G$7:$G658,'🙎‍♂️ Pasien'!$H$7:$H658),"")</f>
        <v>L9925048099</v>
      </c>
      <c r="J317" s="125" t="str">
        <f t="array" ref="J317">IFNA(XLOOKUP($H317,'🙎‍♂️ Pasien'!$G$7:$G658,'🙎‍♂️ Pasien'!$L$7:$L658),"")</f>
        <v>PEREMPUAN</v>
      </c>
      <c r="K317" s="125">
        <f t="array" ref="K317">IFNA(XLOOKUP($H317,'🙎‍♂️ Pasien'!$G$7:$G658,'🙎‍♂️ Pasien'!$I$7:$I658),"")</f>
        <v>26</v>
      </c>
      <c r="L317" s="160" t="s">
        <v>88</v>
      </c>
      <c r="M317" s="162" t="str">
        <f t="array" ref="M317">IFNA(XLOOKUP(L317,'⚙️ Pengaturan'!$H$5:$H658,'⚙️ Pengaturan'!$I$5:$I658),"")</f>
        <v>TIM Y</v>
      </c>
      <c r="N317" s="163" t="s">
        <v>1137</v>
      </c>
      <c r="O317" s="160" t="s">
        <v>1139</v>
      </c>
      <c r="P317" s="153">
        <f t="shared" si="13"/>
        <v>10</v>
      </c>
      <c r="Q317" s="164">
        <v>45955.0</v>
      </c>
      <c r="R317" s="164">
        <v>45959.0</v>
      </c>
      <c r="S317" s="164">
        <v>45963.0</v>
      </c>
      <c r="T317" s="164">
        <v>45966.0</v>
      </c>
      <c r="U317" s="164">
        <v>45969.0</v>
      </c>
      <c r="V317" s="164">
        <v>45973.0</v>
      </c>
      <c r="W317" s="164">
        <v>45976.0</v>
      </c>
      <c r="X317" s="164">
        <v>45980.0</v>
      </c>
      <c r="Y317" s="164">
        <v>45983.0</v>
      </c>
      <c r="Z317" s="164">
        <v>45987.0</v>
      </c>
      <c r="AA317" s="165">
        <f t="shared" si="20"/>
        <v>45987</v>
      </c>
      <c r="AB317" s="160" t="s">
        <v>1134</v>
      </c>
      <c r="AC317" s="160" t="s">
        <v>1138</v>
      </c>
      <c r="AD317" s="166"/>
      <c r="AE317" s="156">
        <f t="shared" si="21"/>
        <v>45987</v>
      </c>
      <c r="AF317" s="107" t="str">
        <f t="shared" si="22"/>
        <v>2025</v>
      </c>
      <c r="AG317" s="107" t="str">
        <f t="shared" si="23"/>
        <v>11 Nov</v>
      </c>
      <c r="AH317" s="107" t="str">
        <f t="shared" si="24"/>
        <v>Rab</v>
      </c>
      <c r="AI317" s="157">
        <f t="shared" si="25"/>
        <v>5</v>
      </c>
      <c r="AJ317" s="96"/>
      <c r="AK317" s="169"/>
      <c r="AL317" s="96"/>
      <c r="AM317" s="158">
        <f t="shared" si="12"/>
        <v>0</v>
      </c>
    </row>
    <row r="318" ht="22.5" customHeight="1">
      <c r="A318" s="167"/>
      <c r="B318" s="160" t="s">
        <v>54</v>
      </c>
      <c r="C318" s="160" t="s">
        <v>1131</v>
      </c>
      <c r="D318" s="161">
        <v>45987.0</v>
      </c>
      <c r="E318" s="124" t="str">
        <f t="shared" si="1"/>
        <v>2025</v>
      </c>
      <c r="F318" s="124" t="str">
        <f t="shared" si="2"/>
        <v>11 Nov</v>
      </c>
      <c r="G318" s="124" t="str">
        <f t="shared" si="3"/>
        <v>Rabu</v>
      </c>
      <c r="H318" s="160" t="s">
        <v>98</v>
      </c>
      <c r="I318" s="125" t="str">
        <f t="array" ref="I318">IFNA(XLOOKUP($H318,'🙎‍♂️ Pasien'!$G$7:$G658,'🙎‍♂️ Pasien'!$H$7:$H658),"")</f>
        <v>L9925048099</v>
      </c>
      <c r="J318" s="125" t="str">
        <f t="array" ref="J318">IFNA(XLOOKUP($H318,'🙎‍♂️ Pasien'!$G$7:$G658,'🙎‍♂️ Pasien'!$L$7:$L658),"")</f>
        <v>PEREMPUAN</v>
      </c>
      <c r="K318" s="125">
        <f t="array" ref="K318">IFNA(XLOOKUP($H318,'🙎‍♂️ Pasien'!$G$7:$G658,'🙎‍♂️ Pasien'!$I$7:$I658),"")</f>
        <v>26</v>
      </c>
      <c r="L318" s="160" t="s">
        <v>88</v>
      </c>
      <c r="M318" s="162" t="str">
        <f t="array" ref="M318">IFNA(XLOOKUP(L318,'⚙️ Pengaturan'!$H$5:$H658,'⚙️ Pengaturan'!$I$5:$I658),"")</f>
        <v>TIM Y</v>
      </c>
      <c r="N318" s="163" t="s">
        <v>1137</v>
      </c>
      <c r="O318" s="160" t="s">
        <v>1139</v>
      </c>
      <c r="P318" s="153">
        <f t="shared" si="13"/>
        <v>8</v>
      </c>
      <c r="Q318" s="164">
        <v>45990.0</v>
      </c>
      <c r="R318" s="164">
        <v>45997.0</v>
      </c>
      <c r="S318" s="164">
        <v>46001.0</v>
      </c>
      <c r="T318" s="164">
        <v>46002.0</v>
      </c>
      <c r="U318" s="164">
        <v>46008.0</v>
      </c>
      <c r="V318" s="164">
        <v>46011.0</v>
      </c>
      <c r="W318" s="164">
        <v>46018.0</v>
      </c>
      <c r="X318" s="164">
        <v>46020.0</v>
      </c>
      <c r="Y318" s="164"/>
      <c r="Z318" s="164"/>
      <c r="AA318" s="165">
        <f t="shared" si="20"/>
        <v>46020</v>
      </c>
      <c r="AB318" s="160" t="s">
        <v>1144</v>
      </c>
      <c r="AC318" s="172"/>
      <c r="AD318" s="166"/>
      <c r="AE318" s="156" t="str">
        <f t="shared" si="21"/>
        <v/>
      </c>
      <c r="AF318" s="107" t="str">
        <f t="shared" si="22"/>
        <v/>
      </c>
      <c r="AG318" s="107" t="str">
        <f t="shared" si="23"/>
        <v/>
      </c>
      <c r="AH318" s="107" t="str">
        <f t="shared" si="24"/>
        <v/>
      </c>
      <c r="AI318" s="157">
        <f t="shared" si="25"/>
        <v>28</v>
      </c>
      <c r="AJ318" s="96"/>
      <c r="AK318" s="169"/>
      <c r="AL318" s="96"/>
      <c r="AM318" s="158">
        <f t="shared" si="12"/>
        <v>0</v>
      </c>
    </row>
    <row r="319" ht="22.5" customHeight="1">
      <c r="A319" s="167"/>
      <c r="B319" s="160" t="s">
        <v>86</v>
      </c>
      <c r="C319" s="160" t="s">
        <v>1131</v>
      </c>
      <c r="D319" s="161">
        <v>46006.0</v>
      </c>
      <c r="E319" s="124" t="str">
        <f t="shared" si="1"/>
        <v>2025</v>
      </c>
      <c r="F319" s="124" t="str">
        <f t="shared" si="2"/>
        <v>12 Des</v>
      </c>
      <c r="G319" s="124" t="str">
        <f t="shared" si="3"/>
        <v>Senin</v>
      </c>
      <c r="H319" s="160" t="s">
        <v>697</v>
      </c>
      <c r="I319" s="125" t="str">
        <f t="array" ref="I319">IFNA(XLOOKUP($H319,'🙎‍♂️ Pasien'!$G$7:$G658,'🙎‍♂️ Pasien'!$H$7:$H658),"")</f>
        <v>L6025128579</v>
      </c>
      <c r="J319" s="125" t="str">
        <f t="array" ref="J319">IFNA(XLOOKUP($H319,'🙎‍♂️ Pasien'!$G$7:$G658,'🙎‍♂️ Pasien'!$L$7:$L658),"")</f>
        <v>LAKI-LAKI</v>
      </c>
      <c r="K319" s="125">
        <f t="array" ref="K319">IFNA(XLOOKUP($H319,'🙎‍♂️ Pasien'!$G$7:$G658,'🙎‍♂️ Pasien'!$I$7:$I658),"")</f>
        <v>66</v>
      </c>
      <c r="L319" s="160" t="s">
        <v>79</v>
      </c>
      <c r="M319" s="162" t="str">
        <f t="array" ref="M319">IFNA(XLOOKUP(L319,'⚙️ Pengaturan'!$H$5:$H658,'⚙️ Pengaturan'!$I$5:$I658),"")</f>
        <v>TIM A</v>
      </c>
      <c r="N319" s="160" t="s">
        <v>1137</v>
      </c>
      <c r="O319" s="160" t="s">
        <v>1133</v>
      </c>
      <c r="P319" s="153">
        <f t="shared" si="13"/>
        <v>6</v>
      </c>
      <c r="Q319" s="164">
        <v>46006.0</v>
      </c>
      <c r="R319" s="164">
        <v>46009.0</v>
      </c>
      <c r="S319" s="164">
        <v>46012.0</v>
      </c>
      <c r="T319" s="164">
        <v>46014.0</v>
      </c>
      <c r="U319" s="164">
        <v>46018.0</v>
      </c>
      <c r="V319" s="164">
        <v>46020.0</v>
      </c>
      <c r="W319" s="164"/>
      <c r="X319" s="164"/>
      <c r="Y319" s="164"/>
      <c r="Z319" s="164"/>
      <c r="AA319" s="165">
        <f t="shared" si="20"/>
        <v>46020</v>
      </c>
      <c r="AB319" s="160" t="s">
        <v>1144</v>
      </c>
      <c r="AC319" s="174"/>
      <c r="AD319" s="166"/>
      <c r="AE319" s="156" t="str">
        <f t="shared" si="21"/>
        <v/>
      </c>
      <c r="AF319" s="107" t="str">
        <f t="shared" si="22"/>
        <v/>
      </c>
      <c r="AG319" s="107" t="str">
        <f t="shared" si="23"/>
        <v/>
      </c>
      <c r="AH319" s="107" t="str">
        <f t="shared" si="24"/>
        <v/>
      </c>
      <c r="AI319" s="157">
        <f t="shared" si="25"/>
        <v>26</v>
      </c>
      <c r="AJ319" s="96"/>
      <c r="AK319" s="169"/>
      <c r="AL319" s="96"/>
      <c r="AM319" s="158">
        <f t="shared" si="12"/>
        <v>0</v>
      </c>
    </row>
    <row r="320" ht="22.5" customHeight="1">
      <c r="A320" s="167"/>
      <c r="B320" s="160" t="s">
        <v>86</v>
      </c>
      <c r="C320" s="160" t="s">
        <v>1131</v>
      </c>
      <c r="D320" s="161">
        <v>46013.0</v>
      </c>
      <c r="E320" s="124" t="str">
        <f t="shared" si="1"/>
        <v>2025</v>
      </c>
      <c r="F320" s="124" t="str">
        <f t="shared" si="2"/>
        <v>12 Des</v>
      </c>
      <c r="G320" s="124" t="str">
        <f t="shared" si="3"/>
        <v>Senin</v>
      </c>
      <c r="H320" s="160" t="s">
        <v>754</v>
      </c>
      <c r="I320" s="125" t="str">
        <f t="array" ref="I320">IFNA(XLOOKUP($H320,'🙎‍♂️ Pasien'!$G$7:$G658,'🙎‍♂️ Pasien'!$H$7:$H658),"")</f>
        <v>L5825122264</v>
      </c>
      <c r="J320" s="125" t="str">
        <f t="array" ref="J320">IFNA(XLOOKUP($H320,'🙎‍♂️ Pasien'!$G$7:$G658,'🙎‍♂️ Pasien'!$L$7:$L658),"")</f>
        <v>PEREMPUAN</v>
      </c>
      <c r="K320" s="125">
        <f t="array" ref="K320">IFNA(XLOOKUP($H320,'🙎‍♂️ Pasien'!$G$7:$G658,'🙎‍♂️ Pasien'!$I$7:$I658),"")</f>
        <v>67</v>
      </c>
      <c r="L320" s="160" t="s">
        <v>72</v>
      </c>
      <c r="M320" s="162" t="str">
        <f t="array" ref="M320">IFNA(XLOOKUP(L320,'⚙️ Pengaturan'!$H$5:$H658,'⚙️ Pengaturan'!$I$5:$I658),"")</f>
        <v>TIM A</v>
      </c>
      <c r="N320" s="160" t="s">
        <v>1132</v>
      </c>
      <c r="O320" s="160" t="s">
        <v>1133</v>
      </c>
      <c r="P320" s="153">
        <f t="shared" si="13"/>
        <v>4</v>
      </c>
      <c r="Q320" s="164">
        <v>46013.0</v>
      </c>
      <c r="R320" s="164">
        <v>46015.0</v>
      </c>
      <c r="S320" s="164">
        <v>46018.0</v>
      </c>
      <c r="T320" s="164">
        <v>46020.0</v>
      </c>
      <c r="U320" s="164"/>
      <c r="V320" s="164"/>
      <c r="W320" s="164"/>
      <c r="X320" s="164"/>
      <c r="Y320" s="164"/>
      <c r="Z320" s="164"/>
      <c r="AA320" s="165">
        <f t="shared" si="20"/>
        <v>46020</v>
      </c>
      <c r="AB320" s="160" t="s">
        <v>1144</v>
      </c>
      <c r="AC320" s="174"/>
      <c r="AD320" s="166"/>
      <c r="AE320" s="156" t="str">
        <f t="shared" si="21"/>
        <v/>
      </c>
      <c r="AF320" s="107" t="str">
        <f t="shared" si="22"/>
        <v/>
      </c>
      <c r="AG320" s="107" t="str">
        <f t="shared" si="23"/>
        <v/>
      </c>
      <c r="AH320" s="107" t="str">
        <f t="shared" si="24"/>
        <v/>
      </c>
      <c r="AI320" s="157">
        <f t="shared" si="25"/>
        <v>25</v>
      </c>
      <c r="AJ320" s="96"/>
      <c r="AK320" s="169"/>
      <c r="AL320" s="96"/>
      <c r="AM320" s="158">
        <f t="shared" si="12"/>
        <v>0</v>
      </c>
    </row>
    <row r="321" ht="22.5" customHeight="1">
      <c r="A321" s="167"/>
      <c r="B321" s="160" t="s">
        <v>86</v>
      </c>
      <c r="C321" s="160" t="s">
        <v>1131</v>
      </c>
      <c r="D321" s="161">
        <v>45847.0</v>
      </c>
      <c r="E321" s="124" t="str">
        <f t="shared" si="1"/>
        <v>2025</v>
      </c>
      <c r="F321" s="124" t="str">
        <f t="shared" si="2"/>
        <v>07 Jul</v>
      </c>
      <c r="G321" s="124" t="str">
        <f t="shared" si="3"/>
        <v>Rabu</v>
      </c>
      <c r="H321" s="160" t="s">
        <v>206</v>
      </c>
      <c r="I321" s="125" t="str">
        <f t="array" ref="I321">IFNA(XLOOKUP($H321,'🙎‍♂️ Pasien'!$G$7:$G658,'🙎‍♂️ Pasien'!$H$7:$H658),"")</f>
        <v>L7225071788</v>
      </c>
      <c r="J321" s="125" t="str">
        <f t="array" ref="J321">IFNA(XLOOKUP($H321,'🙎‍♂️ Pasien'!$G$7:$G658,'🙎‍♂️ Pasien'!$L$7:$L658),"")</f>
        <v>PEREMPUAN</v>
      </c>
      <c r="K321" s="125">
        <f t="array" ref="K321">IFNA(XLOOKUP($H321,'🙎‍♂️ Pasien'!$G$7:$G658,'🙎‍♂️ Pasien'!$I$7:$I658),"")</f>
        <v>53</v>
      </c>
      <c r="L321" s="160" t="s">
        <v>91</v>
      </c>
      <c r="M321" s="162" t="str">
        <f t="array" ref="M321">IFNA(XLOOKUP(L321,'⚙️ Pengaturan'!$H$5:$H658,'⚙️ Pengaturan'!$I$5:$I658),"")</f>
        <v>TIM Y</v>
      </c>
      <c r="N321" s="163" t="s">
        <v>1132</v>
      </c>
      <c r="O321" s="160" t="s">
        <v>1133</v>
      </c>
      <c r="P321" s="153">
        <f t="shared" si="13"/>
        <v>5</v>
      </c>
      <c r="Q321" s="164">
        <v>45847.0</v>
      </c>
      <c r="R321" s="164">
        <v>45852.0</v>
      </c>
      <c r="S321" s="164">
        <v>45855.0</v>
      </c>
      <c r="T321" s="164">
        <v>45862.0</v>
      </c>
      <c r="U321" s="164">
        <v>45867.0</v>
      </c>
      <c r="V321" s="164"/>
      <c r="W321" s="164"/>
      <c r="X321" s="164"/>
      <c r="Y321" s="164"/>
      <c r="Z321" s="164"/>
      <c r="AA321" s="165">
        <f t="shared" si="20"/>
        <v>45867</v>
      </c>
      <c r="AB321" s="160" t="s">
        <v>1134</v>
      </c>
      <c r="AC321" s="160" t="s">
        <v>1138</v>
      </c>
      <c r="AD321" s="166"/>
      <c r="AE321" s="156">
        <f t="shared" si="21"/>
        <v>45867</v>
      </c>
      <c r="AF321" s="107" t="str">
        <f t="shared" si="22"/>
        <v>2025</v>
      </c>
      <c r="AG321" s="107" t="str">
        <f t="shared" si="23"/>
        <v>07 Jul</v>
      </c>
      <c r="AH321" s="107" t="str">
        <f t="shared" si="24"/>
        <v>Sel</v>
      </c>
      <c r="AI321" s="157">
        <f t="shared" si="25"/>
        <v>3</v>
      </c>
      <c r="AJ321" s="96"/>
      <c r="AK321" s="169"/>
      <c r="AL321" s="96"/>
      <c r="AM321" s="158">
        <f t="shared" si="12"/>
        <v>0</v>
      </c>
    </row>
    <row r="322" ht="22.5" customHeight="1">
      <c r="A322" s="10"/>
      <c r="B322" s="160" t="s">
        <v>86</v>
      </c>
      <c r="C322" s="160" t="s">
        <v>1131</v>
      </c>
      <c r="D322" s="161">
        <v>45867.0</v>
      </c>
      <c r="E322" s="124" t="str">
        <f t="shared" si="1"/>
        <v>2025</v>
      </c>
      <c r="F322" s="124" t="str">
        <f t="shared" si="2"/>
        <v>07 Jul</v>
      </c>
      <c r="G322" s="124" t="str">
        <f t="shared" si="3"/>
        <v>Selasa</v>
      </c>
      <c r="H322" s="160" t="s">
        <v>206</v>
      </c>
      <c r="I322" s="125" t="str">
        <f t="array" ref="I322">IFNA(XLOOKUP($H322,'🙎‍♂️ Pasien'!$G$7:$G658,'🙎‍♂️ Pasien'!$H$7:$H658),"")</f>
        <v>L7225071788</v>
      </c>
      <c r="J322" s="125" t="str">
        <f t="array" ref="J322">IFNA(XLOOKUP($H322,'🙎‍♂️ Pasien'!$G$7:$G658,'🙎‍♂️ Pasien'!$L$7:$L658),"")</f>
        <v>PEREMPUAN</v>
      </c>
      <c r="K322" s="125">
        <f t="array" ref="K322">IFNA(XLOOKUP($H322,'🙎‍♂️ Pasien'!$G$7:$G658,'🙎‍♂️ Pasien'!$I$7:$I658),"")</f>
        <v>53</v>
      </c>
      <c r="L322" s="160" t="s">
        <v>91</v>
      </c>
      <c r="M322" s="162" t="str">
        <f t="array" ref="M322">IFNA(XLOOKUP(L322,'⚙️ Pengaturan'!$H$5:$H658,'⚙️ Pengaturan'!$I$5:$I658),"")</f>
        <v>TIM Y</v>
      </c>
      <c r="N322" s="163" t="s">
        <v>1132</v>
      </c>
      <c r="O322" s="160" t="s">
        <v>1139</v>
      </c>
      <c r="P322" s="153">
        <f t="shared" si="13"/>
        <v>5</v>
      </c>
      <c r="Q322" s="164">
        <v>45876.0</v>
      </c>
      <c r="R322" s="164">
        <v>45937.0</v>
      </c>
      <c r="S322" s="164">
        <v>45939.0</v>
      </c>
      <c r="T322" s="164">
        <v>45941.0</v>
      </c>
      <c r="U322" s="164">
        <v>45943.0</v>
      </c>
      <c r="V322" s="164"/>
      <c r="W322" s="164"/>
      <c r="X322" s="164"/>
      <c r="Y322" s="164"/>
      <c r="Z322" s="164"/>
      <c r="AA322" s="165">
        <f t="shared" si="20"/>
        <v>45943</v>
      </c>
      <c r="AB322" s="160" t="s">
        <v>1134</v>
      </c>
      <c r="AC322" s="160" t="s">
        <v>1138</v>
      </c>
      <c r="AD322" s="166"/>
      <c r="AE322" s="156">
        <f t="shared" si="21"/>
        <v>45943</v>
      </c>
      <c r="AF322" s="107" t="str">
        <f t="shared" si="22"/>
        <v>2025</v>
      </c>
      <c r="AG322" s="107" t="str">
        <f t="shared" si="23"/>
        <v>10 Okt</v>
      </c>
      <c r="AH322" s="107" t="str">
        <f t="shared" si="24"/>
        <v>Sen</v>
      </c>
      <c r="AI322" s="157">
        <f t="shared" si="25"/>
        <v>10</v>
      </c>
      <c r="AJ322" s="158"/>
      <c r="AK322" s="159"/>
      <c r="AL322" s="158"/>
      <c r="AM322" s="158">
        <f t="shared" si="12"/>
        <v>0</v>
      </c>
    </row>
    <row r="323" ht="22.5" customHeight="1">
      <c r="A323" s="10"/>
      <c r="B323" s="160" t="s">
        <v>54</v>
      </c>
      <c r="C323" s="160" t="s">
        <v>1131</v>
      </c>
      <c r="D323" s="161">
        <v>45943.0</v>
      </c>
      <c r="E323" s="124" t="str">
        <f t="shared" si="1"/>
        <v>2025</v>
      </c>
      <c r="F323" s="124" t="str">
        <f t="shared" si="2"/>
        <v>10 Okt</v>
      </c>
      <c r="G323" s="124" t="str">
        <f t="shared" si="3"/>
        <v>Senin</v>
      </c>
      <c r="H323" s="160" t="s">
        <v>206</v>
      </c>
      <c r="I323" s="125" t="str">
        <f t="array" ref="I323">IFNA(XLOOKUP($H323,'🙎‍♂️ Pasien'!$G$7:$G658,'🙎‍♂️ Pasien'!$H$7:$H658),"")</f>
        <v>L7225071788</v>
      </c>
      <c r="J323" s="125" t="str">
        <f t="array" ref="J323">IFNA(XLOOKUP($H323,'🙎‍♂️ Pasien'!$G$7:$G658,'🙎‍♂️ Pasien'!$L$7:$L658),"")</f>
        <v>PEREMPUAN</v>
      </c>
      <c r="K323" s="125">
        <f t="array" ref="K323">IFNA(XLOOKUP($H323,'🙎‍♂️ Pasien'!$G$7:$G658,'🙎‍♂️ Pasien'!$I$7:$I658),"")</f>
        <v>53</v>
      </c>
      <c r="L323" s="160" t="s">
        <v>107</v>
      </c>
      <c r="M323" s="162" t="str">
        <f t="array" ref="M323">IFNA(XLOOKUP(L323,'⚙️ Pengaturan'!$H$5:$H658,'⚙️ Pengaturan'!$I$5:$I658),"")</f>
        <v>TIM Y</v>
      </c>
      <c r="N323" s="163" t="s">
        <v>1137</v>
      </c>
      <c r="O323" s="160" t="s">
        <v>1139</v>
      </c>
      <c r="P323" s="153">
        <f t="shared" si="13"/>
        <v>3</v>
      </c>
      <c r="Q323" s="164">
        <v>45948.0</v>
      </c>
      <c r="R323" s="164">
        <v>45951.0</v>
      </c>
      <c r="S323" s="164">
        <v>45954.0</v>
      </c>
      <c r="T323" s="164"/>
      <c r="U323" s="164"/>
      <c r="V323" s="164"/>
      <c r="W323" s="164"/>
      <c r="X323" s="164"/>
      <c r="Y323" s="164"/>
      <c r="Z323" s="164"/>
      <c r="AA323" s="165">
        <f t="shared" si="20"/>
        <v>45954</v>
      </c>
      <c r="AB323" s="160" t="s">
        <v>1144</v>
      </c>
      <c r="AC323" s="172"/>
      <c r="AD323" s="166"/>
      <c r="AE323" s="156" t="str">
        <f t="shared" si="21"/>
        <v/>
      </c>
      <c r="AF323" s="107" t="str">
        <f t="shared" si="22"/>
        <v/>
      </c>
      <c r="AG323" s="107" t="str">
        <f t="shared" si="23"/>
        <v/>
      </c>
      <c r="AH323" s="107" t="str">
        <f t="shared" si="24"/>
        <v/>
      </c>
      <c r="AI323" s="157">
        <f t="shared" si="25"/>
        <v>34</v>
      </c>
      <c r="AJ323" s="158"/>
      <c r="AK323" s="159"/>
      <c r="AL323" s="158"/>
      <c r="AM323" s="158">
        <f t="shared" si="12"/>
        <v>0</v>
      </c>
    </row>
    <row r="324" ht="22.5" customHeight="1">
      <c r="A324" s="167"/>
      <c r="B324" s="160" t="s">
        <v>54</v>
      </c>
      <c r="C324" s="160" t="s">
        <v>1131</v>
      </c>
      <c r="D324" s="161">
        <v>45902.0</v>
      </c>
      <c r="E324" s="124" t="str">
        <f t="shared" si="1"/>
        <v>2025</v>
      </c>
      <c r="F324" s="124" t="str">
        <f t="shared" si="2"/>
        <v>09 Sep</v>
      </c>
      <c r="G324" s="124" t="str">
        <f t="shared" si="3"/>
        <v>Selasa</v>
      </c>
      <c r="H324" s="160" t="s">
        <v>1314</v>
      </c>
      <c r="I324" s="125" t="str">
        <f t="array" ref="I324">IFNA(XLOOKUP($H324,'🙎‍♂️ Pasien'!$G$7:$G658,'🙎‍♂️ Pasien'!$H$7:$H658),"")</f>
        <v>L7925087010</v>
      </c>
      <c r="J324" s="125" t="str">
        <f t="array" ref="J324">IFNA(XLOOKUP($H324,'🙎‍♂️ Pasien'!$G$7:$G658,'🙎‍♂️ Pasien'!$L$7:$L658),"")</f>
        <v>PEREMPUAN</v>
      </c>
      <c r="K324" s="125">
        <f t="array" ref="K324">IFNA(XLOOKUP($H324,'🙎‍♂️ Pasien'!$G$7:$G658,'🙎‍♂️ Pasien'!$I$7:$I658),"")</f>
        <v>47</v>
      </c>
      <c r="L324" s="160" t="s">
        <v>107</v>
      </c>
      <c r="M324" s="162" t="str">
        <f t="array" ref="M324">IFNA(XLOOKUP(L324,'⚙️ Pengaturan'!$H$5:$H658,'⚙️ Pengaturan'!$I$5:$I658),"")</f>
        <v>TIM Y</v>
      </c>
      <c r="N324" s="163" t="s">
        <v>1132</v>
      </c>
      <c r="O324" s="160" t="s">
        <v>1133</v>
      </c>
      <c r="P324" s="153">
        <f t="shared" si="13"/>
        <v>5</v>
      </c>
      <c r="Q324" s="164">
        <v>45902.0</v>
      </c>
      <c r="R324" s="164">
        <v>45904.0</v>
      </c>
      <c r="S324" s="164">
        <v>45913.0</v>
      </c>
      <c r="T324" s="164">
        <v>45915.0</v>
      </c>
      <c r="U324" s="164">
        <v>45918.0</v>
      </c>
      <c r="V324" s="164"/>
      <c r="W324" s="164"/>
      <c r="X324" s="164"/>
      <c r="Y324" s="164"/>
      <c r="Z324" s="164"/>
      <c r="AA324" s="165">
        <f t="shared" si="20"/>
        <v>45918</v>
      </c>
      <c r="AB324" s="160" t="s">
        <v>1134</v>
      </c>
      <c r="AC324" s="160" t="s">
        <v>1138</v>
      </c>
      <c r="AD324" s="166"/>
      <c r="AE324" s="156">
        <f t="shared" si="21"/>
        <v>45918</v>
      </c>
      <c r="AF324" s="107" t="str">
        <f t="shared" si="22"/>
        <v>2025</v>
      </c>
      <c r="AG324" s="107" t="str">
        <f t="shared" si="23"/>
        <v>09 Sep</v>
      </c>
      <c r="AH324" s="107" t="str">
        <f t="shared" si="24"/>
        <v>Kam</v>
      </c>
      <c r="AI324" s="157">
        <f t="shared" si="25"/>
        <v>3</v>
      </c>
      <c r="AJ324" s="96"/>
      <c r="AK324" s="169"/>
      <c r="AL324" s="96"/>
      <c r="AM324" s="158">
        <f t="shared" si="12"/>
        <v>0</v>
      </c>
    </row>
    <row r="325" ht="22.5" customHeight="1">
      <c r="A325" s="167"/>
      <c r="B325" s="160" t="s">
        <v>54</v>
      </c>
      <c r="C325" s="160" t="s">
        <v>1131</v>
      </c>
      <c r="D325" s="161">
        <v>45918.0</v>
      </c>
      <c r="E325" s="124" t="str">
        <f t="shared" si="1"/>
        <v>2025</v>
      </c>
      <c r="F325" s="124" t="str">
        <f t="shared" si="2"/>
        <v>09 Sep</v>
      </c>
      <c r="G325" s="124" t="str">
        <f t="shared" si="3"/>
        <v>Kamis</v>
      </c>
      <c r="H325" s="160" t="s">
        <v>1314</v>
      </c>
      <c r="I325" s="125" t="str">
        <f t="array" ref="I325">IFNA(XLOOKUP($H325,'🙎‍♂️ Pasien'!$G$7:$G658,'🙎‍♂️ Pasien'!$H$7:$H658),"")</f>
        <v>L7925087010</v>
      </c>
      <c r="J325" s="125" t="str">
        <f t="array" ref="J325">IFNA(XLOOKUP($H325,'🙎‍♂️ Pasien'!$G$7:$G658,'🙎‍♂️ Pasien'!$L$7:$L658),"")</f>
        <v>PEREMPUAN</v>
      </c>
      <c r="K325" s="125">
        <f t="array" ref="K325">IFNA(XLOOKUP($H325,'🙎‍♂️ Pasien'!$G$7:$G658,'🙎‍♂️ Pasien'!$I$7:$I658),"")</f>
        <v>47</v>
      </c>
      <c r="L325" s="160" t="s">
        <v>62</v>
      </c>
      <c r="M325" s="162" t="str">
        <f t="array" ref="M325">IFNA(XLOOKUP(L325,'⚙️ Pengaturan'!$H$5:$H658,'⚙️ Pengaturan'!$I$5:$I658),"")</f>
        <v>TIM A</v>
      </c>
      <c r="N325" s="163" t="s">
        <v>1132</v>
      </c>
      <c r="O325" s="160" t="s">
        <v>1133</v>
      </c>
      <c r="P325" s="153">
        <f t="shared" si="13"/>
        <v>5</v>
      </c>
      <c r="Q325" s="164">
        <v>45922.0</v>
      </c>
      <c r="R325" s="164">
        <v>45924.0</v>
      </c>
      <c r="S325" s="164">
        <v>45927.0</v>
      </c>
      <c r="T325" s="164">
        <v>45932.0</v>
      </c>
      <c r="U325" s="164">
        <v>45932.0</v>
      </c>
      <c r="V325" s="164"/>
      <c r="W325" s="164"/>
      <c r="X325" s="164"/>
      <c r="Y325" s="164"/>
      <c r="Z325" s="164"/>
      <c r="AA325" s="165">
        <f t="shared" si="20"/>
        <v>45932</v>
      </c>
      <c r="AB325" s="160" t="s">
        <v>1134</v>
      </c>
      <c r="AC325" s="160" t="s">
        <v>1135</v>
      </c>
      <c r="AD325" s="168" t="s">
        <v>1315</v>
      </c>
      <c r="AE325" s="156">
        <f t="shared" si="21"/>
        <v>45932</v>
      </c>
      <c r="AF325" s="107" t="str">
        <f t="shared" si="22"/>
        <v>2025</v>
      </c>
      <c r="AG325" s="107" t="str">
        <f t="shared" si="23"/>
        <v>10 Okt</v>
      </c>
      <c r="AH325" s="107" t="str">
        <f t="shared" si="24"/>
        <v>Kam</v>
      </c>
      <c r="AI325" s="157">
        <f t="shared" si="25"/>
        <v>2</v>
      </c>
      <c r="AJ325" s="96"/>
      <c r="AK325" s="169"/>
      <c r="AL325" s="96"/>
      <c r="AM325" s="158">
        <f t="shared" si="12"/>
        <v>0</v>
      </c>
    </row>
    <row r="326" ht="22.5" customHeight="1">
      <c r="A326" s="188"/>
      <c r="B326" s="160" t="s">
        <v>54</v>
      </c>
      <c r="C326" s="160" t="s">
        <v>1131</v>
      </c>
      <c r="D326" s="161">
        <v>45824.0</v>
      </c>
      <c r="E326" s="124" t="str">
        <f t="shared" si="1"/>
        <v>2025</v>
      </c>
      <c r="F326" s="124" t="str">
        <f t="shared" si="2"/>
        <v>06 Jun</v>
      </c>
      <c r="G326" s="124" t="str">
        <f t="shared" si="3"/>
        <v>Senin</v>
      </c>
      <c r="H326" s="160" t="s">
        <v>592</v>
      </c>
      <c r="I326" s="125" t="str">
        <f t="array" ref="I326">IFNA(XLOOKUP($H326,'🙎‍♂️ Pasien'!$G$7:$G658,'🙎‍♂️ Pasien'!$H$7:$H658),"")</f>
        <v>L8123072518</v>
      </c>
      <c r="J326" s="125" t="str">
        <f t="array" ref="J326">IFNA(XLOOKUP($H326,'🙎‍♂️ Pasien'!$G$7:$G658,'🙎‍♂️ Pasien'!$L$7:$L658),"")</f>
        <v>PEREMPUAN</v>
      </c>
      <c r="K326" s="125">
        <f t="array" ref="K326">IFNA(XLOOKUP($H326,'🙎‍♂️ Pasien'!$G$7:$G658,'🙎‍♂️ Pasien'!$I$7:$I658),"")</f>
        <v>45</v>
      </c>
      <c r="L326" s="160" t="s">
        <v>91</v>
      </c>
      <c r="M326" s="162" t="str">
        <f t="array" ref="M326">IFNA(XLOOKUP(L326,'⚙️ Pengaturan'!$H$5:$H658,'⚙️ Pengaturan'!$I$5:$I658),"")</f>
        <v>TIM Y</v>
      </c>
      <c r="N326" s="163" t="s">
        <v>1137</v>
      </c>
      <c r="O326" s="160" t="s">
        <v>1139</v>
      </c>
      <c r="P326" s="153">
        <f t="shared" si="13"/>
        <v>10</v>
      </c>
      <c r="Q326" s="164">
        <v>45817.0</v>
      </c>
      <c r="R326" s="164">
        <v>45817.0</v>
      </c>
      <c r="S326" s="164">
        <v>45820.0</v>
      </c>
      <c r="T326" s="164">
        <v>45820.0</v>
      </c>
      <c r="U326" s="164">
        <v>45824.0</v>
      </c>
      <c r="V326" s="164">
        <v>45827.0</v>
      </c>
      <c r="W326" s="164">
        <v>45838.0</v>
      </c>
      <c r="X326" s="164">
        <v>45841.0</v>
      </c>
      <c r="Y326" s="164">
        <v>45852.0</v>
      </c>
      <c r="Z326" s="164">
        <v>45855.0</v>
      </c>
      <c r="AA326" s="165">
        <f t="shared" si="20"/>
        <v>45855</v>
      </c>
      <c r="AB326" s="160" t="s">
        <v>1134</v>
      </c>
      <c r="AC326" s="160" t="s">
        <v>1138</v>
      </c>
      <c r="AD326" s="166"/>
      <c r="AE326" s="156">
        <f t="shared" si="21"/>
        <v>45855</v>
      </c>
      <c r="AF326" s="107" t="str">
        <f t="shared" si="22"/>
        <v>2025</v>
      </c>
      <c r="AG326" s="107" t="str">
        <f t="shared" si="23"/>
        <v>07 Jul</v>
      </c>
      <c r="AH326" s="107" t="str">
        <f t="shared" si="24"/>
        <v>Kam</v>
      </c>
      <c r="AI326" s="157">
        <f t="shared" si="25"/>
        <v>6</v>
      </c>
      <c r="AJ326" s="96"/>
      <c r="AK326" s="169"/>
      <c r="AL326" s="96"/>
      <c r="AM326" s="158">
        <f t="shared" si="12"/>
        <v>0</v>
      </c>
    </row>
    <row r="327" ht="22.5" customHeight="1">
      <c r="A327" s="167"/>
      <c r="B327" s="160" t="s">
        <v>86</v>
      </c>
      <c r="C327" s="160" t="s">
        <v>1131</v>
      </c>
      <c r="D327" s="161">
        <v>45859.0</v>
      </c>
      <c r="E327" s="124" t="str">
        <f t="shared" si="1"/>
        <v>2025</v>
      </c>
      <c r="F327" s="124" t="str">
        <f t="shared" si="2"/>
        <v>07 Jul</v>
      </c>
      <c r="G327" s="124" t="str">
        <f t="shared" si="3"/>
        <v>Senin</v>
      </c>
      <c r="H327" s="160" t="s">
        <v>592</v>
      </c>
      <c r="I327" s="125" t="str">
        <f t="array" ref="I327">IFNA(XLOOKUP($H327,'🙎‍♂️ Pasien'!$G$7:$G658,'🙎‍♂️ Pasien'!$H$7:$H658),"")</f>
        <v>L8123072518</v>
      </c>
      <c r="J327" s="125" t="str">
        <f t="array" ref="J327">IFNA(XLOOKUP($H327,'🙎‍♂️ Pasien'!$G$7:$G658,'🙎‍♂️ Pasien'!$L$7:$L658),"")</f>
        <v>PEREMPUAN</v>
      </c>
      <c r="K327" s="125">
        <f t="array" ref="K327">IFNA(XLOOKUP($H327,'🙎‍♂️ Pasien'!$G$7:$G658,'🙎‍♂️ Pasien'!$I$7:$I658),"")</f>
        <v>45</v>
      </c>
      <c r="L327" s="160" t="s">
        <v>1152</v>
      </c>
      <c r="M327" s="162" t="str">
        <f t="array" ref="M327">IFNA(XLOOKUP(L327,'⚙️ Pengaturan'!$H$5:$H658,'⚙️ Pengaturan'!$I$5:$I658),"")</f>
        <v>INAKTIF</v>
      </c>
      <c r="N327" s="163" t="s">
        <v>1137</v>
      </c>
      <c r="O327" s="160" t="s">
        <v>1139</v>
      </c>
      <c r="P327" s="153">
        <f t="shared" si="13"/>
        <v>7</v>
      </c>
      <c r="Q327" s="164">
        <v>45859.0</v>
      </c>
      <c r="R327" s="164">
        <v>45862.0</v>
      </c>
      <c r="S327" s="164">
        <v>45866.0</v>
      </c>
      <c r="T327" s="164">
        <v>45869.0</v>
      </c>
      <c r="U327" s="164">
        <v>45873.0</v>
      </c>
      <c r="V327" s="164">
        <v>45880.0</v>
      </c>
      <c r="W327" s="164">
        <v>45988.0</v>
      </c>
      <c r="X327" s="164"/>
      <c r="Y327" s="164"/>
      <c r="Z327" s="164"/>
      <c r="AA327" s="165">
        <f t="shared" si="20"/>
        <v>45988</v>
      </c>
      <c r="AB327" s="160" t="s">
        <v>1144</v>
      </c>
      <c r="AC327" s="174"/>
      <c r="AD327" s="166"/>
      <c r="AE327" s="156" t="str">
        <f t="shared" si="21"/>
        <v/>
      </c>
      <c r="AF327" s="107" t="str">
        <f t="shared" si="22"/>
        <v/>
      </c>
      <c r="AG327" s="107" t="str">
        <f t="shared" si="23"/>
        <v/>
      </c>
      <c r="AH327" s="107" t="str">
        <f t="shared" si="24"/>
        <v/>
      </c>
      <c r="AI327" s="157">
        <f t="shared" si="25"/>
        <v>47</v>
      </c>
      <c r="AJ327" s="96"/>
      <c r="AK327" s="169"/>
      <c r="AL327" s="96"/>
      <c r="AM327" s="158">
        <f t="shared" si="12"/>
        <v>0</v>
      </c>
    </row>
    <row r="328" ht="22.5" customHeight="1">
      <c r="A328" s="167"/>
      <c r="B328" s="171"/>
      <c r="C328" s="171"/>
      <c r="D328" s="161">
        <v>45722.0</v>
      </c>
      <c r="E328" s="124" t="str">
        <f t="shared" si="1"/>
        <v>2025</v>
      </c>
      <c r="F328" s="124" t="str">
        <f t="shared" si="2"/>
        <v>03 Mar</v>
      </c>
      <c r="G328" s="124" t="str">
        <f t="shared" si="3"/>
        <v>Kamis</v>
      </c>
      <c r="H328" s="16" t="s">
        <v>1316</v>
      </c>
      <c r="I328" s="125" t="str">
        <f t="array" ref="I328">IFNA(XLOOKUP($H328,'🙎‍♂️ Pasien'!$G$7:$G658,'🙎‍♂️ Pasien'!$H$7:$H658),"")</f>
        <v>L0025039768</v>
      </c>
      <c r="J328" s="125" t="str">
        <f t="array" ref="J328">IFNA(XLOOKUP($H328,'🙎‍♂️ Pasien'!$G$7:$G658,'🙎‍♂️ Pasien'!$L$7:$L658),"")</f>
        <v>LAKI-LAKI</v>
      </c>
      <c r="K328" s="125">
        <f t="array" ref="K328">IFNA(XLOOKUP($H328,'🙎‍♂️ Pasien'!$G$7:$G658,'🙎‍♂️ Pasien'!$I$7:$I658),"")</f>
        <v>25</v>
      </c>
      <c r="L328" s="16" t="s">
        <v>56</v>
      </c>
      <c r="M328" s="125" t="str">
        <f t="array" ref="M328">IFNA(XLOOKUP(L328,'⚙️ Pengaturan'!$H$5:$H658,'⚙️ Pengaturan'!$I$5:$I658),"")</f>
        <v>TIM Y</v>
      </c>
      <c r="N328" s="16" t="s">
        <v>1132</v>
      </c>
      <c r="O328" s="16" t="s">
        <v>1133</v>
      </c>
      <c r="P328" s="153">
        <f t="shared" si="13"/>
        <v>1</v>
      </c>
      <c r="Q328" s="154">
        <v>45724.0</v>
      </c>
      <c r="R328" s="154"/>
      <c r="S328" s="154"/>
      <c r="T328" s="154"/>
      <c r="U328" s="154"/>
      <c r="V328" s="154"/>
      <c r="W328" s="154"/>
      <c r="X328" s="154"/>
      <c r="Y328" s="154"/>
      <c r="Z328" s="154"/>
      <c r="AA328" s="155">
        <f t="shared" si="20"/>
        <v>45724</v>
      </c>
      <c r="AB328" s="16" t="s">
        <v>1144</v>
      </c>
      <c r="AC328" s="20"/>
      <c r="AD328" s="170"/>
      <c r="AE328" s="156" t="str">
        <f t="shared" si="21"/>
        <v/>
      </c>
      <c r="AF328" s="107" t="str">
        <f t="shared" si="22"/>
        <v/>
      </c>
      <c r="AG328" s="107" t="str">
        <f t="shared" si="23"/>
        <v/>
      </c>
      <c r="AH328" s="107" t="str">
        <f t="shared" si="24"/>
        <v/>
      </c>
      <c r="AI328" s="157">
        <f t="shared" si="25"/>
        <v>66</v>
      </c>
      <c r="AJ328" s="96"/>
      <c r="AK328" s="169"/>
      <c r="AL328" s="96"/>
      <c r="AM328" s="158">
        <f t="shared" si="12"/>
        <v>0</v>
      </c>
    </row>
    <row r="329" ht="22.5" customHeight="1">
      <c r="A329" s="167"/>
      <c r="B329" s="160" t="s">
        <v>54</v>
      </c>
      <c r="C329" s="160" t="s">
        <v>1131</v>
      </c>
      <c r="D329" s="161">
        <v>45931.0</v>
      </c>
      <c r="E329" s="124" t="str">
        <f t="shared" si="1"/>
        <v>2025</v>
      </c>
      <c r="F329" s="124" t="str">
        <f t="shared" si="2"/>
        <v>10 Okt</v>
      </c>
      <c r="G329" s="124" t="str">
        <f t="shared" si="3"/>
        <v>Rabu</v>
      </c>
      <c r="H329" s="160" t="s">
        <v>71</v>
      </c>
      <c r="I329" s="125" t="str">
        <f t="array" ref="I329">IFNA(XLOOKUP($H329,'🙎‍♂️ Pasien'!$G$7:$G658,'🙎‍♂️ Pasien'!$H$7:$H658),"")</f>
        <v>L5925109995</v>
      </c>
      <c r="J329" s="125" t="str">
        <f t="array" ref="J329">IFNA(XLOOKUP($H329,'🙎‍♂️ Pasien'!$G$7:$G658,'🙎‍♂️ Pasien'!$L$7:$L658),"")</f>
        <v>PEREMPUAN</v>
      </c>
      <c r="K329" s="125">
        <f t="array" ref="K329">IFNA(XLOOKUP($H329,'🙎‍♂️ Pasien'!$G$7:$G658,'🙎‍♂️ Pasien'!$I$7:$I658),"")</f>
        <v>67</v>
      </c>
      <c r="L329" s="160" t="s">
        <v>56</v>
      </c>
      <c r="M329" s="162" t="str">
        <f t="array" ref="M329">IFNA(XLOOKUP(L329,'⚙️ Pengaturan'!$H$5:$H658,'⚙️ Pengaturan'!$I$5:$I658),"")</f>
        <v>TIM Y</v>
      </c>
      <c r="N329" s="160" t="s">
        <v>1132</v>
      </c>
      <c r="O329" s="160" t="s">
        <v>1133</v>
      </c>
      <c r="P329" s="153">
        <f t="shared" si="13"/>
        <v>5</v>
      </c>
      <c r="Q329" s="164">
        <v>45935.0</v>
      </c>
      <c r="R329" s="154">
        <v>45938.0</v>
      </c>
      <c r="S329" s="164">
        <v>45945.0</v>
      </c>
      <c r="T329" s="164">
        <v>45949.0</v>
      </c>
      <c r="U329" s="164">
        <v>45952.0</v>
      </c>
      <c r="V329" s="164"/>
      <c r="W329" s="164"/>
      <c r="X329" s="164"/>
      <c r="Y329" s="164"/>
      <c r="Z329" s="164"/>
      <c r="AA329" s="165">
        <f t="shared" si="20"/>
        <v>45952</v>
      </c>
      <c r="AB329" s="160" t="s">
        <v>1134</v>
      </c>
      <c r="AC329" s="160" t="s">
        <v>1138</v>
      </c>
      <c r="AD329" s="166"/>
      <c r="AE329" s="156">
        <f t="shared" si="21"/>
        <v>45952</v>
      </c>
      <c r="AF329" s="107" t="str">
        <f t="shared" si="22"/>
        <v>2025</v>
      </c>
      <c r="AG329" s="107" t="str">
        <f t="shared" si="23"/>
        <v>10 Okt</v>
      </c>
      <c r="AH329" s="107" t="str">
        <f t="shared" si="24"/>
        <v>Rab</v>
      </c>
      <c r="AI329" s="157">
        <f t="shared" si="25"/>
        <v>3</v>
      </c>
      <c r="AJ329" s="96"/>
      <c r="AK329" s="169"/>
      <c r="AL329" s="96"/>
      <c r="AM329" s="158">
        <f t="shared" si="12"/>
        <v>0</v>
      </c>
    </row>
    <row r="330" ht="22.5" customHeight="1">
      <c r="A330" s="167"/>
      <c r="B330" s="160" t="s">
        <v>54</v>
      </c>
      <c r="C330" s="160" t="s">
        <v>1131</v>
      </c>
      <c r="D330" s="161">
        <v>45969.0</v>
      </c>
      <c r="E330" s="124" t="str">
        <f t="shared" si="1"/>
        <v>2025</v>
      </c>
      <c r="F330" s="124" t="str">
        <f t="shared" si="2"/>
        <v>11 Nov</v>
      </c>
      <c r="G330" s="124" t="str">
        <f t="shared" si="3"/>
        <v>Sabtu</v>
      </c>
      <c r="H330" s="160" t="s">
        <v>71</v>
      </c>
      <c r="I330" s="125" t="str">
        <f t="array" ref="I330">IFNA(XLOOKUP($H330,'🙎‍♂️ Pasien'!$G$7:$G658,'🙎‍♂️ Pasien'!$H$7:$H658),"")</f>
        <v>L5925109995</v>
      </c>
      <c r="J330" s="125" t="str">
        <f t="array" ref="J330">IFNA(XLOOKUP($H330,'🙎‍♂️ Pasien'!$G$7:$G658,'🙎‍♂️ Pasien'!$L$7:$L658),"")</f>
        <v>PEREMPUAN</v>
      </c>
      <c r="K330" s="125">
        <f t="array" ref="K330">IFNA(XLOOKUP($H330,'🙎‍♂️ Pasien'!$G$7:$G658,'🙎‍♂️ Pasien'!$I$7:$I658),"")</f>
        <v>67</v>
      </c>
      <c r="L330" s="160" t="s">
        <v>62</v>
      </c>
      <c r="M330" s="162" t="str">
        <f t="array" ref="M330">IFNA(XLOOKUP(L330,'⚙️ Pengaturan'!$H$5:$H658,'⚙️ Pengaturan'!$I$5:$I658),"")</f>
        <v>TIM A</v>
      </c>
      <c r="N330" s="160" t="s">
        <v>1132</v>
      </c>
      <c r="O330" s="160" t="s">
        <v>1139</v>
      </c>
      <c r="P330" s="153">
        <f t="shared" si="13"/>
        <v>5</v>
      </c>
      <c r="Q330" s="164">
        <v>45969.0</v>
      </c>
      <c r="R330" s="154">
        <v>45972.0</v>
      </c>
      <c r="S330" s="164">
        <v>45976.0</v>
      </c>
      <c r="T330" s="164">
        <v>45979.0</v>
      </c>
      <c r="U330" s="164">
        <v>45983.0</v>
      </c>
      <c r="V330" s="164"/>
      <c r="W330" s="164"/>
      <c r="X330" s="164"/>
      <c r="Y330" s="164"/>
      <c r="Z330" s="164"/>
      <c r="AA330" s="165">
        <f t="shared" si="20"/>
        <v>45983</v>
      </c>
      <c r="AB330" s="160" t="s">
        <v>1134</v>
      </c>
      <c r="AC330" s="160" t="s">
        <v>1138</v>
      </c>
      <c r="AD330" s="166"/>
      <c r="AE330" s="156">
        <f t="shared" si="21"/>
        <v>45983</v>
      </c>
      <c r="AF330" s="107" t="str">
        <f t="shared" si="22"/>
        <v>2025</v>
      </c>
      <c r="AG330" s="107" t="str">
        <f t="shared" si="23"/>
        <v>11 Nov</v>
      </c>
      <c r="AH330" s="107" t="str">
        <f t="shared" si="24"/>
        <v>Sab</v>
      </c>
      <c r="AI330" s="157">
        <f t="shared" si="25"/>
        <v>2</v>
      </c>
      <c r="AJ330" s="96"/>
      <c r="AK330" s="169"/>
      <c r="AL330" s="96"/>
      <c r="AM330" s="158">
        <f t="shared" si="12"/>
        <v>0</v>
      </c>
    </row>
    <row r="331" ht="22.5" customHeight="1">
      <c r="A331" s="167"/>
      <c r="B331" s="160" t="s">
        <v>54</v>
      </c>
      <c r="C331" s="160" t="s">
        <v>1131</v>
      </c>
      <c r="D331" s="161">
        <v>45987.0</v>
      </c>
      <c r="E331" s="124" t="str">
        <f t="shared" si="1"/>
        <v>2025</v>
      </c>
      <c r="F331" s="124" t="str">
        <f t="shared" si="2"/>
        <v>11 Nov</v>
      </c>
      <c r="G331" s="124" t="str">
        <f t="shared" si="3"/>
        <v>Rabu</v>
      </c>
      <c r="H331" s="160" t="s">
        <v>71</v>
      </c>
      <c r="I331" s="125" t="str">
        <f t="array" ref="I331">IFNA(XLOOKUP($H331,'🙎‍♂️ Pasien'!$G$7:$G658,'🙎‍♂️ Pasien'!$H$7:$H658),"")</f>
        <v>L5925109995</v>
      </c>
      <c r="J331" s="125" t="str">
        <f t="array" ref="J331">IFNA(XLOOKUP($H331,'🙎‍♂️ Pasien'!$G$7:$G658,'🙎‍♂️ Pasien'!$L$7:$L658),"")</f>
        <v>PEREMPUAN</v>
      </c>
      <c r="K331" s="125">
        <f t="array" ref="K331">IFNA(XLOOKUP($H331,'🙎‍♂️ Pasien'!$G$7:$G658,'🙎‍♂️ Pasien'!$I$7:$I658),"")</f>
        <v>67</v>
      </c>
      <c r="L331" s="160" t="s">
        <v>62</v>
      </c>
      <c r="M331" s="162" t="str">
        <f t="array" ref="M331">IFNA(XLOOKUP(L331,'⚙️ Pengaturan'!$H$5:$H658,'⚙️ Pengaturan'!$I$5:$I658),"")</f>
        <v>TIM A</v>
      </c>
      <c r="N331" s="160" t="s">
        <v>1132</v>
      </c>
      <c r="O331" s="160" t="s">
        <v>1139</v>
      </c>
      <c r="P331" s="153">
        <f t="shared" si="13"/>
        <v>5</v>
      </c>
      <c r="Q331" s="164">
        <v>45987.0</v>
      </c>
      <c r="R331" s="154">
        <v>45991.0</v>
      </c>
      <c r="S331" s="164">
        <v>45993.0</v>
      </c>
      <c r="T331" s="164">
        <v>45997.0</v>
      </c>
      <c r="U331" s="164">
        <v>46000.0</v>
      </c>
      <c r="V331" s="164"/>
      <c r="W331" s="164"/>
      <c r="X331" s="164"/>
      <c r="Y331" s="164"/>
      <c r="Z331" s="164"/>
      <c r="AA331" s="165">
        <f t="shared" si="20"/>
        <v>46000</v>
      </c>
      <c r="AB331" s="160" t="s">
        <v>1134</v>
      </c>
      <c r="AC331" s="160" t="s">
        <v>1142</v>
      </c>
      <c r="AD331" s="168"/>
      <c r="AE331" s="156">
        <f t="shared" si="21"/>
        <v>46000</v>
      </c>
      <c r="AF331" s="107" t="str">
        <f t="shared" si="22"/>
        <v>2025</v>
      </c>
      <c r="AG331" s="107" t="str">
        <f t="shared" si="23"/>
        <v>12 Des</v>
      </c>
      <c r="AH331" s="107" t="str">
        <f t="shared" si="24"/>
        <v>Sel</v>
      </c>
      <c r="AI331" s="157">
        <f t="shared" si="25"/>
        <v>2</v>
      </c>
      <c r="AJ331" s="96"/>
      <c r="AK331" s="169"/>
      <c r="AL331" s="96"/>
      <c r="AM331" s="158">
        <f t="shared" si="12"/>
        <v>0</v>
      </c>
    </row>
    <row r="332" ht="22.5" customHeight="1">
      <c r="A332" s="167"/>
      <c r="B332" s="160" t="s">
        <v>54</v>
      </c>
      <c r="C332" s="160" t="s">
        <v>1131</v>
      </c>
      <c r="D332" s="161">
        <v>45928.0</v>
      </c>
      <c r="E332" s="124" t="str">
        <f t="shared" si="1"/>
        <v>2025</v>
      </c>
      <c r="F332" s="124" t="str">
        <f t="shared" si="2"/>
        <v>09 Sep</v>
      </c>
      <c r="G332" s="124" t="str">
        <f t="shared" si="3"/>
        <v>Minggu</v>
      </c>
      <c r="H332" s="160" t="s">
        <v>73</v>
      </c>
      <c r="I332" s="125" t="str">
        <f t="array" ref="I332">IFNA(XLOOKUP($H332,'🙎‍♂️ Pasien'!$G$7:$G658,'🙎‍♂️ Pasien'!$H$7:$H658),"")</f>
        <v>L5325099995</v>
      </c>
      <c r="J332" s="125" t="str">
        <f t="array" ref="J332">IFNA(XLOOKUP($H332,'🙎‍♂️ Pasien'!$G$7:$G658,'🙎‍♂️ Pasien'!$L$7:$L658),"")</f>
        <v>PEREMPUAN</v>
      </c>
      <c r="K332" s="125">
        <f t="array" ref="K332">IFNA(XLOOKUP($H332,'🙎‍♂️ Pasien'!$G$7:$G658,'🙎‍♂️ Pasien'!$I$7:$I658),"")</f>
        <v>73</v>
      </c>
      <c r="L332" s="160" t="s">
        <v>72</v>
      </c>
      <c r="M332" s="162" t="str">
        <f t="array" ref="M332">IFNA(XLOOKUP(L332,'⚙️ Pengaturan'!$H$5:$H658,'⚙️ Pengaturan'!$I$5:$I658),"")</f>
        <v>TIM A</v>
      </c>
      <c r="N332" s="160" t="s">
        <v>1132</v>
      </c>
      <c r="O332" s="160" t="s">
        <v>1133</v>
      </c>
      <c r="P332" s="153">
        <f t="shared" si="13"/>
        <v>5</v>
      </c>
      <c r="Q332" s="164">
        <v>45931.0</v>
      </c>
      <c r="R332" s="164">
        <v>45935.0</v>
      </c>
      <c r="S332" s="164">
        <v>45938.0</v>
      </c>
      <c r="T332" s="164">
        <v>45945.0</v>
      </c>
      <c r="U332" s="164">
        <v>45949.0</v>
      </c>
      <c r="V332" s="164"/>
      <c r="W332" s="164"/>
      <c r="X332" s="164"/>
      <c r="Y332" s="164"/>
      <c r="Z332" s="164"/>
      <c r="AA332" s="165">
        <f t="shared" si="20"/>
        <v>45949</v>
      </c>
      <c r="AB332" s="160" t="s">
        <v>1134</v>
      </c>
      <c r="AC332" s="160" t="s">
        <v>1138</v>
      </c>
      <c r="AD332" s="166"/>
      <c r="AE332" s="156">
        <f t="shared" si="21"/>
        <v>45949</v>
      </c>
      <c r="AF332" s="107" t="str">
        <f t="shared" si="22"/>
        <v>2025</v>
      </c>
      <c r="AG332" s="107" t="str">
        <f t="shared" si="23"/>
        <v>10 Okt</v>
      </c>
      <c r="AH332" s="107" t="str">
        <f t="shared" si="24"/>
        <v>Min</v>
      </c>
      <c r="AI332" s="157">
        <f t="shared" si="25"/>
        <v>3</v>
      </c>
      <c r="AJ332" s="96"/>
      <c r="AK332" s="169"/>
      <c r="AL332" s="96"/>
      <c r="AM332" s="158">
        <f t="shared" si="12"/>
        <v>0</v>
      </c>
    </row>
    <row r="333" ht="22.5" customHeight="1">
      <c r="A333" s="167"/>
      <c r="B333" s="160" t="s">
        <v>54</v>
      </c>
      <c r="C333" s="160" t="s">
        <v>1131</v>
      </c>
      <c r="D333" s="161">
        <v>45949.0</v>
      </c>
      <c r="E333" s="124" t="str">
        <f t="shared" si="1"/>
        <v>2025</v>
      </c>
      <c r="F333" s="124" t="str">
        <f t="shared" si="2"/>
        <v>10 Okt</v>
      </c>
      <c r="G333" s="124" t="str">
        <f t="shared" si="3"/>
        <v>Minggu</v>
      </c>
      <c r="H333" s="160" t="s">
        <v>73</v>
      </c>
      <c r="I333" s="125" t="str">
        <f t="array" ref="I333">IFNA(XLOOKUP($H333,'🙎‍♂️ Pasien'!$G$7:$G658,'🙎‍♂️ Pasien'!$H$7:$H658),"")</f>
        <v>L5325099995</v>
      </c>
      <c r="J333" s="125" t="str">
        <f t="array" ref="J333">IFNA(XLOOKUP($H333,'🙎‍♂️ Pasien'!$G$7:$G658,'🙎‍♂️ Pasien'!$L$7:$L658),"")</f>
        <v>PEREMPUAN</v>
      </c>
      <c r="K333" s="125">
        <f t="array" ref="K333">IFNA(XLOOKUP($H333,'🙎‍♂️ Pasien'!$G$7:$G658,'🙎‍♂️ Pasien'!$I$7:$I658),"")</f>
        <v>73</v>
      </c>
      <c r="L333" s="160" t="s">
        <v>72</v>
      </c>
      <c r="M333" s="162" t="str">
        <f t="array" ref="M333">IFNA(XLOOKUP(L333,'⚙️ Pengaturan'!$H$5:$H658,'⚙️ Pengaturan'!$I$5:$I658),"")</f>
        <v>TIM A</v>
      </c>
      <c r="N333" s="160" t="s">
        <v>1132</v>
      </c>
      <c r="O333" s="160" t="s">
        <v>1139</v>
      </c>
      <c r="P333" s="153">
        <f t="shared" si="13"/>
        <v>5</v>
      </c>
      <c r="Q333" s="164">
        <v>45952.0</v>
      </c>
      <c r="R333" s="164">
        <v>45969.0</v>
      </c>
      <c r="S333" s="164">
        <v>45972.0</v>
      </c>
      <c r="T333" s="164">
        <v>45976.0</v>
      </c>
      <c r="U333" s="164">
        <v>45979.0</v>
      </c>
      <c r="V333" s="164"/>
      <c r="W333" s="164"/>
      <c r="X333" s="164"/>
      <c r="Y333" s="164"/>
      <c r="Z333" s="164"/>
      <c r="AA333" s="165">
        <f t="shared" si="20"/>
        <v>45979</v>
      </c>
      <c r="AB333" s="160" t="s">
        <v>1134</v>
      </c>
      <c r="AC333" s="160" t="s">
        <v>1138</v>
      </c>
      <c r="AD333" s="166"/>
      <c r="AE333" s="156">
        <f t="shared" si="21"/>
        <v>45979</v>
      </c>
      <c r="AF333" s="107" t="str">
        <f t="shared" si="22"/>
        <v>2025</v>
      </c>
      <c r="AG333" s="107" t="str">
        <f t="shared" si="23"/>
        <v>11 Nov</v>
      </c>
      <c r="AH333" s="107" t="str">
        <f t="shared" si="24"/>
        <v>Sel</v>
      </c>
      <c r="AI333" s="157">
        <f t="shared" si="25"/>
        <v>4</v>
      </c>
      <c r="AJ333" s="96"/>
      <c r="AK333" s="169"/>
      <c r="AL333" s="96"/>
      <c r="AM333" s="158">
        <f t="shared" si="12"/>
        <v>0</v>
      </c>
    </row>
    <row r="334" ht="22.5" customHeight="1">
      <c r="A334" s="167"/>
      <c r="B334" s="160" t="s">
        <v>86</v>
      </c>
      <c r="C334" s="160" t="s">
        <v>1131</v>
      </c>
      <c r="D334" s="161">
        <v>45979.0</v>
      </c>
      <c r="E334" s="124" t="str">
        <f t="shared" si="1"/>
        <v>2025</v>
      </c>
      <c r="F334" s="124" t="str">
        <f t="shared" si="2"/>
        <v>11 Nov</v>
      </c>
      <c r="G334" s="124" t="str">
        <f t="shared" si="3"/>
        <v>Selasa</v>
      </c>
      <c r="H334" s="160" t="s">
        <v>73</v>
      </c>
      <c r="I334" s="125" t="str">
        <f t="array" ref="I334">IFNA(XLOOKUP($H334,'🙎‍♂️ Pasien'!$G$7:$G658,'🙎‍♂️ Pasien'!$H$7:$H658),"")</f>
        <v>L5325099995</v>
      </c>
      <c r="J334" s="125" t="str">
        <f t="array" ref="J334">IFNA(XLOOKUP($H334,'🙎‍♂️ Pasien'!$G$7:$G658,'🙎‍♂️ Pasien'!$L$7:$L658),"")</f>
        <v>PEREMPUAN</v>
      </c>
      <c r="K334" s="125">
        <f t="array" ref="K334">IFNA(XLOOKUP($H334,'🙎‍♂️ Pasien'!$G$7:$G658,'🙎‍♂️ Pasien'!$I$7:$I658),"")</f>
        <v>73</v>
      </c>
      <c r="L334" s="160" t="s">
        <v>72</v>
      </c>
      <c r="M334" s="162" t="str">
        <f t="array" ref="M334">IFNA(XLOOKUP(L334,'⚙️ Pengaturan'!$H$5:$H658,'⚙️ Pengaturan'!$I$5:$I658),"")</f>
        <v>TIM A</v>
      </c>
      <c r="N334" s="160" t="s">
        <v>1132</v>
      </c>
      <c r="O334" s="160" t="s">
        <v>1139</v>
      </c>
      <c r="P334" s="153">
        <f t="shared" si="13"/>
        <v>5</v>
      </c>
      <c r="Q334" s="164">
        <v>45983.0</v>
      </c>
      <c r="R334" s="164">
        <v>45987.0</v>
      </c>
      <c r="S334" s="164">
        <v>45991.0</v>
      </c>
      <c r="T334" s="164">
        <v>45993.0</v>
      </c>
      <c r="U334" s="164">
        <v>45997.0</v>
      </c>
      <c r="V334" s="164"/>
      <c r="W334" s="164"/>
      <c r="X334" s="164"/>
      <c r="Y334" s="164"/>
      <c r="Z334" s="164"/>
      <c r="AA334" s="165">
        <f t="shared" si="20"/>
        <v>45997</v>
      </c>
      <c r="AB334" s="160" t="s">
        <v>1144</v>
      </c>
      <c r="AC334" s="172"/>
      <c r="AD334" s="166"/>
      <c r="AE334" s="156">
        <f t="shared" si="21"/>
        <v>45997</v>
      </c>
      <c r="AF334" s="107" t="str">
        <f t="shared" si="22"/>
        <v>2025</v>
      </c>
      <c r="AG334" s="107" t="str">
        <f t="shared" si="23"/>
        <v>12 Des</v>
      </c>
      <c r="AH334" s="107" t="str">
        <f t="shared" si="24"/>
        <v>Sab</v>
      </c>
      <c r="AI334" s="157">
        <f t="shared" si="25"/>
        <v>2</v>
      </c>
      <c r="AJ334" s="96"/>
      <c r="AK334" s="169"/>
      <c r="AL334" s="96"/>
      <c r="AM334" s="158">
        <f t="shared" si="12"/>
        <v>0</v>
      </c>
    </row>
    <row r="335" ht="22.5" customHeight="1">
      <c r="A335" s="167"/>
      <c r="B335" s="160" t="s">
        <v>54</v>
      </c>
      <c r="C335" s="160" t="s">
        <v>1131</v>
      </c>
      <c r="D335" s="161">
        <v>45918.0</v>
      </c>
      <c r="E335" s="124" t="str">
        <f t="shared" si="1"/>
        <v>2025</v>
      </c>
      <c r="F335" s="124" t="str">
        <f t="shared" si="2"/>
        <v>09 Sep</v>
      </c>
      <c r="G335" s="124" t="str">
        <f t="shared" si="3"/>
        <v>Kamis</v>
      </c>
      <c r="H335" s="160" t="s">
        <v>1317</v>
      </c>
      <c r="I335" s="125" t="str">
        <f t="array" ref="I335">IFNA(XLOOKUP($H335,'🙎‍♂️ Pasien'!$G$7:$G658,'🙎‍♂️ Pasien'!$H$7:$H658),"")</f>
        <v>L8725091989</v>
      </c>
      <c r="J335" s="125" t="str">
        <f t="array" ref="J335">IFNA(XLOOKUP($H335,'🙎‍♂️ Pasien'!$G$7:$G658,'🙎‍♂️ Pasien'!$L$7:$L658),"")</f>
        <v>PEREMPUAN</v>
      </c>
      <c r="K335" s="125">
        <f t="array" ref="K335">IFNA(XLOOKUP($H335,'🙎‍♂️ Pasien'!$G$7:$G658,'🙎‍♂️ Pasien'!$I$7:$I658),"")</f>
        <v>39</v>
      </c>
      <c r="L335" s="160" t="s">
        <v>107</v>
      </c>
      <c r="M335" s="162" t="str">
        <f t="array" ref="M335">IFNA(XLOOKUP(L335,'⚙️ Pengaturan'!$H$5:$H658,'⚙️ Pengaturan'!$I$5:$I658),"")</f>
        <v>TIM Y</v>
      </c>
      <c r="N335" s="160" t="s">
        <v>1132</v>
      </c>
      <c r="O335" s="160" t="s">
        <v>1133</v>
      </c>
      <c r="P335" s="153">
        <f t="shared" si="13"/>
        <v>5</v>
      </c>
      <c r="Q335" s="164">
        <v>45918.0</v>
      </c>
      <c r="R335" s="164">
        <v>45922.0</v>
      </c>
      <c r="S335" s="164">
        <v>45925.0</v>
      </c>
      <c r="T335" s="164">
        <v>45929.0</v>
      </c>
      <c r="U335" s="164">
        <v>45936.0</v>
      </c>
      <c r="V335" s="164"/>
      <c r="W335" s="164"/>
      <c r="X335" s="164"/>
      <c r="Y335" s="164"/>
      <c r="Z335" s="164"/>
      <c r="AA335" s="165">
        <f t="shared" si="20"/>
        <v>45936</v>
      </c>
      <c r="AB335" s="160" t="s">
        <v>1134</v>
      </c>
      <c r="AC335" s="160" t="s">
        <v>1135</v>
      </c>
      <c r="AD335" s="166"/>
      <c r="AE335" s="156">
        <f t="shared" si="21"/>
        <v>45936</v>
      </c>
      <c r="AF335" s="107" t="str">
        <f t="shared" si="22"/>
        <v>2025</v>
      </c>
      <c r="AG335" s="107" t="str">
        <f t="shared" si="23"/>
        <v>10 Okt</v>
      </c>
      <c r="AH335" s="107" t="str">
        <f t="shared" si="24"/>
        <v>Sen</v>
      </c>
      <c r="AI335" s="157">
        <f t="shared" si="25"/>
        <v>3</v>
      </c>
      <c r="AJ335" s="96"/>
      <c r="AK335" s="169"/>
      <c r="AL335" s="96"/>
      <c r="AM335" s="158">
        <f t="shared" si="12"/>
        <v>0</v>
      </c>
    </row>
    <row r="336" ht="22.5" customHeight="1">
      <c r="A336" s="167"/>
      <c r="B336" s="160" t="s">
        <v>86</v>
      </c>
      <c r="C336" s="160" t="s">
        <v>1131</v>
      </c>
      <c r="D336" s="161">
        <v>45966.0</v>
      </c>
      <c r="E336" s="124" t="str">
        <f t="shared" si="1"/>
        <v>2025</v>
      </c>
      <c r="F336" s="124" t="str">
        <f t="shared" si="2"/>
        <v>11 Nov</v>
      </c>
      <c r="G336" s="124" t="str">
        <f t="shared" si="3"/>
        <v>Rabu</v>
      </c>
      <c r="H336" s="160" t="s">
        <v>435</v>
      </c>
      <c r="I336" s="125" t="str">
        <f t="array" ref="I336">IFNA(XLOOKUP($H336,'🙎‍♂️ Pasien'!$G$7:$G658,'🙎‍♂️ Pasien'!$H$7:$H658),"")</f>
        <v>L6524043399</v>
      </c>
      <c r="J336" s="125" t="str">
        <f t="array" ref="J336">IFNA(XLOOKUP($H336,'🙎‍♂️ Pasien'!$G$7:$G658,'🙎‍♂️ Pasien'!$L$7:$L658),"")</f>
        <v>PEREMPUAN</v>
      </c>
      <c r="K336" s="125">
        <f t="array" ref="K336">IFNA(XLOOKUP($H336,'🙎‍♂️ Pasien'!$G$7:$G658,'🙎‍♂️ Pasien'!$I$7:$I658),"")</f>
        <v>60</v>
      </c>
      <c r="L336" s="160" t="s">
        <v>107</v>
      </c>
      <c r="M336" s="162" t="str">
        <f t="array" ref="M336">IFNA(XLOOKUP(L336,'⚙️ Pengaturan'!$H$5:$H658,'⚙️ Pengaturan'!$I$5:$I658),"")</f>
        <v>TIM Y</v>
      </c>
      <c r="N336" s="160" t="s">
        <v>1132</v>
      </c>
      <c r="O336" s="160" t="s">
        <v>1133</v>
      </c>
      <c r="P336" s="153">
        <f t="shared" si="13"/>
        <v>5</v>
      </c>
      <c r="Q336" s="164">
        <v>45966.0</v>
      </c>
      <c r="R336" s="164">
        <v>45971.0</v>
      </c>
      <c r="S336" s="164">
        <v>45974.0</v>
      </c>
      <c r="T336" s="164">
        <v>45978.0</v>
      </c>
      <c r="U336" s="164">
        <v>45981.0</v>
      </c>
      <c r="V336" s="164"/>
      <c r="W336" s="164"/>
      <c r="X336" s="164"/>
      <c r="Y336" s="164"/>
      <c r="Z336" s="164"/>
      <c r="AA336" s="165">
        <f t="shared" si="20"/>
        <v>45981</v>
      </c>
      <c r="AB336" s="160" t="s">
        <v>1144</v>
      </c>
      <c r="AC336" s="174"/>
      <c r="AD336" s="166"/>
      <c r="AE336" s="156">
        <f t="shared" si="21"/>
        <v>45981</v>
      </c>
      <c r="AF336" s="107" t="str">
        <f t="shared" si="22"/>
        <v>2025</v>
      </c>
      <c r="AG336" s="107" t="str">
        <f t="shared" si="23"/>
        <v>11 Nov</v>
      </c>
      <c r="AH336" s="107" t="str">
        <f t="shared" si="24"/>
        <v>Kam</v>
      </c>
      <c r="AI336" s="157">
        <f t="shared" si="25"/>
        <v>3</v>
      </c>
      <c r="AJ336" s="96"/>
      <c r="AK336" s="169"/>
      <c r="AL336" s="96"/>
      <c r="AM336" s="158">
        <f t="shared" si="12"/>
        <v>0</v>
      </c>
    </row>
    <row r="337" ht="22.5" customHeight="1">
      <c r="A337" s="167"/>
      <c r="B337" s="171"/>
      <c r="C337" s="171"/>
      <c r="D337" s="161">
        <v>45679.0</v>
      </c>
      <c r="E337" s="124" t="str">
        <f t="shared" si="1"/>
        <v>2025</v>
      </c>
      <c r="F337" s="124" t="str">
        <f t="shared" si="2"/>
        <v>01 Jan</v>
      </c>
      <c r="G337" s="124" t="str">
        <f t="shared" si="3"/>
        <v>Rabu</v>
      </c>
      <c r="H337" s="16" t="s">
        <v>1318</v>
      </c>
      <c r="I337" s="125" t="str">
        <f t="array" ref="I337">IFNA(XLOOKUP($H337,'🙎‍♂️ Pasien'!$G$7:$G658,'🙎‍♂️ Pasien'!$H$7:$H658),"")</f>
        <v>L0425016507</v>
      </c>
      <c r="J337" s="125" t="str">
        <f t="array" ref="J337">IFNA(XLOOKUP($H337,'🙎‍♂️ Pasien'!$G$7:$G658,'🙎‍♂️ Pasien'!$L$7:$L658),"")</f>
        <v>LAKI-LAKI</v>
      </c>
      <c r="K337" s="125">
        <f t="array" ref="K337">IFNA(XLOOKUP($H337,'🙎‍♂️ Pasien'!$G$7:$G658,'🙎‍♂️ Pasien'!$I$7:$I658),"")</f>
        <v>21</v>
      </c>
      <c r="L337" s="16" t="s">
        <v>607</v>
      </c>
      <c r="M337" s="125" t="str">
        <f t="array" ref="M337">IFNA(XLOOKUP(L337,'⚙️ Pengaturan'!$H$5:$H658,'⚙️ Pengaturan'!$I$5:$I658),"")</f>
        <v/>
      </c>
      <c r="N337" s="16" t="s">
        <v>1132</v>
      </c>
      <c r="O337" s="16" t="s">
        <v>1133</v>
      </c>
      <c r="P337" s="153">
        <f t="shared" si="13"/>
        <v>3</v>
      </c>
      <c r="Q337" s="154">
        <v>45685.0</v>
      </c>
      <c r="R337" s="154">
        <v>45687.0</v>
      </c>
      <c r="S337" s="154">
        <v>45699.0</v>
      </c>
      <c r="T337" s="154"/>
      <c r="U337" s="154"/>
      <c r="V337" s="154"/>
      <c r="W337" s="154"/>
      <c r="X337" s="154"/>
      <c r="Y337" s="154"/>
      <c r="Z337" s="154"/>
      <c r="AA337" s="155">
        <f t="shared" si="20"/>
        <v>45699</v>
      </c>
      <c r="AB337" s="16" t="s">
        <v>1144</v>
      </c>
      <c r="AC337" s="20"/>
      <c r="AD337" s="170"/>
      <c r="AE337" s="156" t="str">
        <f t="shared" si="21"/>
        <v/>
      </c>
      <c r="AF337" s="107" t="str">
        <f t="shared" si="22"/>
        <v/>
      </c>
      <c r="AG337" s="107" t="str">
        <f t="shared" si="23"/>
        <v/>
      </c>
      <c r="AH337" s="107" t="str">
        <f t="shared" si="24"/>
        <v/>
      </c>
      <c r="AI337" s="157">
        <f t="shared" si="25"/>
        <v>71</v>
      </c>
      <c r="AJ337" s="96"/>
      <c r="AK337" s="169"/>
      <c r="AL337" s="96"/>
      <c r="AM337" s="158">
        <f t="shared" si="12"/>
        <v>0</v>
      </c>
    </row>
    <row r="338" ht="22.5" customHeight="1">
      <c r="A338" s="167"/>
      <c r="B338" s="160" t="s">
        <v>446</v>
      </c>
      <c r="C338" s="172"/>
      <c r="D338" s="161">
        <v>45782.0</v>
      </c>
      <c r="E338" s="124" t="str">
        <f t="shared" si="1"/>
        <v>2025</v>
      </c>
      <c r="F338" s="124" t="str">
        <f t="shared" si="2"/>
        <v>05 Mei</v>
      </c>
      <c r="G338" s="124" t="str">
        <f t="shared" si="3"/>
        <v>Senin</v>
      </c>
      <c r="H338" s="160" t="s">
        <v>1319</v>
      </c>
      <c r="I338" s="125" t="str">
        <f t="array" ref="I338">IFNA(XLOOKUP($H338,'🙎‍♂️ Pasien'!$G$7:$G658,'🙎‍♂️ Pasien'!$H$7:$H658),"")</f>
        <v>L5025045140</v>
      </c>
      <c r="J338" s="125" t="str">
        <f t="array" ref="J338">IFNA(XLOOKUP($H338,'🙎‍♂️ Pasien'!$G$7:$G658,'🙎‍♂️ Pasien'!$L$7:$L658),"")</f>
        <v>PEREMPUAN</v>
      </c>
      <c r="K338" s="125">
        <f t="array" ref="K338">IFNA(XLOOKUP($H338,'🙎‍♂️ Pasien'!$G$7:$G658,'🙎‍♂️ Pasien'!$I$7:$I658),"")</f>
        <v>75</v>
      </c>
      <c r="L338" s="160" t="s">
        <v>1152</v>
      </c>
      <c r="M338" s="162" t="str">
        <f t="array" ref="M338">IFNA(XLOOKUP(L338,'⚙️ Pengaturan'!$H$5:$H658,'⚙️ Pengaturan'!$I$5:$I658),"")</f>
        <v>INAKTIF</v>
      </c>
      <c r="N338" s="160" t="s">
        <v>1132</v>
      </c>
      <c r="O338" s="160" t="s">
        <v>1133</v>
      </c>
      <c r="P338" s="153">
        <f t="shared" si="13"/>
        <v>4</v>
      </c>
      <c r="Q338" s="164">
        <v>45782.0</v>
      </c>
      <c r="R338" s="164">
        <v>45787.0</v>
      </c>
      <c r="S338" s="164">
        <v>45812.0</v>
      </c>
      <c r="T338" s="164">
        <v>45817.0</v>
      </c>
      <c r="U338" s="164"/>
      <c r="V338" s="164"/>
      <c r="W338" s="164"/>
      <c r="X338" s="164"/>
      <c r="Y338" s="164"/>
      <c r="Z338" s="164"/>
      <c r="AA338" s="165">
        <f t="shared" si="20"/>
        <v>45817</v>
      </c>
      <c r="AB338" s="160" t="s">
        <v>1144</v>
      </c>
      <c r="AC338" s="174"/>
      <c r="AD338" s="166"/>
      <c r="AE338" s="156" t="str">
        <f t="shared" si="21"/>
        <v/>
      </c>
      <c r="AF338" s="107" t="str">
        <f t="shared" si="22"/>
        <v/>
      </c>
      <c r="AG338" s="107" t="str">
        <f t="shared" si="23"/>
        <v/>
      </c>
      <c r="AH338" s="107" t="str">
        <f t="shared" si="24"/>
        <v/>
      </c>
      <c r="AI338" s="157">
        <f t="shared" si="25"/>
        <v>58</v>
      </c>
      <c r="AJ338" s="96"/>
      <c r="AK338" s="169"/>
      <c r="AL338" s="96"/>
      <c r="AM338" s="158">
        <f t="shared" si="12"/>
        <v>0</v>
      </c>
    </row>
    <row r="339" ht="22.5" customHeight="1">
      <c r="A339" s="167"/>
      <c r="B339" s="160" t="s">
        <v>86</v>
      </c>
      <c r="C339" s="160" t="s">
        <v>1131</v>
      </c>
      <c r="D339" s="161">
        <v>45825.0</v>
      </c>
      <c r="E339" s="124" t="str">
        <f t="shared" si="1"/>
        <v>2025</v>
      </c>
      <c r="F339" s="124" t="str">
        <f t="shared" si="2"/>
        <v>06 Jun</v>
      </c>
      <c r="G339" s="124" t="str">
        <f t="shared" si="3"/>
        <v>Selasa</v>
      </c>
      <c r="H339" s="160" t="s">
        <v>1320</v>
      </c>
      <c r="I339" s="125" t="str">
        <f t="array" ref="I339">IFNA(XLOOKUP($H339,'🙎‍♂️ Pasien'!$G$7:$G658,'🙎‍♂️ Pasien'!$H$7:$H658),"")</f>
        <v>M8725065724</v>
      </c>
      <c r="J339" s="125" t="str">
        <f t="array" ref="J339">IFNA(XLOOKUP($H339,'🙎‍♂️ Pasien'!$G$7:$G658,'🙎‍♂️ Pasien'!$L$7:$L658),"")</f>
        <v>LAKI-LAKI</v>
      </c>
      <c r="K339" s="125">
        <f t="array" ref="K339">IFNA(XLOOKUP($H339,'🙎‍♂️ Pasien'!$G$7:$G658,'🙎‍♂️ Pasien'!$I$7:$I658),"")</f>
        <v>38</v>
      </c>
      <c r="L339" s="160" t="s">
        <v>88</v>
      </c>
      <c r="M339" s="162" t="str">
        <f t="array" ref="M339">IFNA(XLOOKUP(L339,'⚙️ Pengaturan'!$H$5:$H658,'⚙️ Pengaturan'!$I$5:$I658),"")</f>
        <v>TIM Y</v>
      </c>
      <c r="N339" s="163" t="s">
        <v>1132</v>
      </c>
      <c r="O339" s="160" t="s">
        <v>1133</v>
      </c>
      <c r="P339" s="153">
        <f t="shared" si="13"/>
        <v>5</v>
      </c>
      <c r="Q339" s="164">
        <v>45825.0</v>
      </c>
      <c r="R339" s="164">
        <v>45831.0</v>
      </c>
      <c r="S339" s="164">
        <v>45836.0</v>
      </c>
      <c r="T339" s="164">
        <v>45838.0</v>
      </c>
      <c r="U339" s="164">
        <v>45845.0</v>
      </c>
      <c r="V339" s="164"/>
      <c r="W339" s="164"/>
      <c r="X339" s="164"/>
      <c r="Y339" s="164"/>
      <c r="Z339" s="164"/>
      <c r="AA339" s="165">
        <f t="shared" si="20"/>
        <v>45845</v>
      </c>
      <c r="AB339" s="160" t="s">
        <v>1134</v>
      </c>
      <c r="AC339" s="160" t="s">
        <v>1138</v>
      </c>
      <c r="AD339" s="166"/>
      <c r="AE339" s="156">
        <f t="shared" si="21"/>
        <v>45845</v>
      </c>
      <c r="AF339" s="107" t="str">
        <f t="shared" si="22"/>
        <v>2025</v>
      </c>
      <c r="AG339" s="107" t="str">
        <f t="shared" si="23"/>
        <v>07 Jul</v>
      </c>
      <c r="AH339" s="107" t="str">
        <f t="shared" si="24"/>
        <v>Sen</v>
      </c>
      <c r="AI339" s="157">
        <f t="shared" si="25"/>
        <v>3</v>
      </c>
      <c r="AJ339" s="96"/>
      <c r="AK339" s="169"/>
      <c r="AL339" s="96"/>
      <c r="AM339" s="158">
        <f t="shared" si="12"/>
        <v>0</v>
      </c>
    </row>
    <row r="340" ht="22.5" customHeight="1">
      <c r="A340" s="167"/>
      <c r="B340" s="160" t="s">
        <v>134</v>
      </c>
      <c r="C340" s="160" t="s">
        <v>1131</v>
      </c>
      <c r="D340" s="161">
        <v>45848.0</v>
      </c>
      <c r="E340" s="124" t="str">
        <f t="shared" si="1"/>
        <v>2025</v>
      </c>
      <c r="F340" s="124" t="str">
        <f t="shared" si="2"/>
        <v>07 Jul</v>
      </c>
      <c r="G340" s="124" t="str">
        <f t="shared" si="3"/>
        <v>Kamis</v>
      </c>
      <c r="H340" s="160" t="s">
        <v>1320</v>
      </c>
      <c r="I340" s="125" t="str">
        <f t="array" ref="I340">IFNA(XLOOKUP($H340,'🙎‍♂️ Pasien'!$G$7:$G658,'🙎‍♂️ Pasien'!$H$7:$H658),"")</f>
        <v>M8725065724</v>
      </c>
      <c r="J340" s="125" t="str">
        <f t="array" ref="J340">IFNA(XLOOKUP($H340,'🙎‍♂️ Pasien'!$G$7:$G658,'🙎‍♂️ Pasien'!$L$7:$L658),"")</f>
        <v>LAKI-LAKI</v>
      </c>
      <c r="K340" s="125">
        <f t="array" ref="K340">IFNA(XLOOKUP($H340,'🙎‍♂️ Pasien'!$G$7:$G658,'🙎‍♂️ Pasien'!$I$7:$I658),"")</f>
        <v>38</v>
      </c>
      <c r="L340" s="160" t="s">
        <v>88</v>
      </c>
      <c r="M340" s="162" t="str">
        <f t="array" ref="M340">IFNA(XLOOKUP(L340,'⚙️ Pengaturan'!$H$5:$H658,'⚙️ Pengaturan'!$I$5:$I658),"")</f>
        <v>TIM Y</v>
      </c>
      <c r="N340" s="163" t="s">
        <v>1132</v>
      </c>
      <c r="O340" s="160" t="s">
        <v>1139</v>
      </c>
      <c r="P340" s="153">
        <f t="shared" si="13"/>
        <v>5</v>
      </c>
      <c r="Q340" s="164">
        <v>45848.0</v>
      </c>
      <c r="R340" s="164">
        <v>45852.0</v>
      </c>
      <c r="S340" s="164">
        <v>45855.0</v>
      </c>
      <c r="T340" s="164">
        <v>45859.0</v>
      </c>
      <c r="U340" s="164">
        <v>45866.0</v>
      </c>
      <c r="V340" s="164"/>
      <c r="W340" s="164"/>
      <c r="X340" s="164"/>
      <c r="Y340" s="164"/>
      <c r="Z340" s="164"/>
      <c r="AA340" s="165">
        <f t="shared" si="20"/>
        <v>45866</v>
      </c>
      <c r="AB340" s="160" t="s">
        <v>1134</v>
      </c>
      <c r="AC340" s="160" t="s">
        <v>1138</v>
      </c>
      <c r="AD340" s="168" t="s">
        <v>1321</v>
      </c>
      <c r="AE340" s="156">
        <f t="shared" si="21"/>
        <v>45866</v>
      </c>
      <c r="AF340" s="107" t="str">
        <f t="shared" si="22"/>
        <v>2025</v>
      </c>
      <c r="AG340" s="107" t="str">
        <f t="shared" si="23"/>
        <v>07 Jul</v>
      </c>
      <c r="AH340" s="107" t="str">
        <f t="shared" si="24"/>
        <v>Sen</v>
      </c>
      <c r="AI340" s="157">
        <f t="shared" si="25"/>
        <v>3</v>
      </c>
      <c r="AJ340" s="96"/>
      <c r="AK340" s="169"/>
      <c r="AL340" s="96"/>
      <c r="AM340" s="158">
        <f t="shared" si="12"/>
        <v>0</v>
      </c>
    </row>
    <row r="341" ht="22.5" customHeight="1">
      <c r="A341" s="167"/>
      <c r="B341" s="160" t="s">
        <v>446</v>
      </c>
      <c r="C341" s="172"/>
      <c r="D341" s="173">
        <v>45758.0</v>
      </c>
      <c r="E341" s="124" t="str">
        <f t="shared" si="1"/>
        <v>2025</v>
      </c>
      <c r="F341" s="124" t="str">
        <f t="shared" si="2"/>
        <v>04 Apr</v>
      </c>
      <c r="G341" s="124" t="str">
        <f t="shared" si="3"/>
        <v>Jumat</v>
      </c>
      <c r="H341" s="160" t="s">
        <v>1012</v>
      </c>
      <c r="I341" s="125" t="str">
        <f t="array" ref="I341">IFNA(XLOOKUP($H341,'🙎‍♂️ Pasien'!$G$7:$G658,'🙎‍♂️ Pasien'!$H$7:$H658),"")</f>
        <v>M1025044555</v>
      </c>
      <c r="J341" s="125" t="str">
        <f t="array" ref="J341">IFNA(XLOOKUP($H341,'🙎‍♂️ Pasien'!$G$7:$G658,'🙎‍♂️ Pasien'!$L$7:$L658),"")</f>
        <v>LAKI-LAKI</v>
      </c>
      <c r="K341" s="125">
        <f t="array" ref="K341">IFNA(XLOOKUP($H341,'🙎‍♂️ Pasien'!$G$7:$G658,'🙎‍♂️ Pasien'!$I$7:$I658),"")</f>
        <v>15</v>
      </c>
      <c r="L341" s="160" t="s">
        <v>56</v>
      </c>
      <c r="M341" s="162" t="str">
        <f t="array" ref="M341">IFNA(XLOOKUP(L341,'⚙️ Pengaturan'!$H$5:$H658,'⚙️ Pengaturan'!$I$5:$I658),"")</f>
        <v>TIM Y</v>
      </c>
      <c r="N341" s="160" t="s">
        <v>1132</v>
      </c>
      <c r="O341" s="160" t="s">
        <v>1133</v>
      </c>
      <c r="P341" s="153">
        <f t="shared" si="13"/>
        <v>3</v>
      </c>
      <c r="Q341" s="164">
        <v>45758.0</v>
      </c>
      <c r="R341" s="164"/>
      <c r="S341" s="164">
        <v>45759.0</v>
      </c>
      <c r="T341" s="164">
        <v>45761.0</v>
      </c>
      <c r="U341" s="164"/>
      <c r="V341" s="164"/>
      <c r="W341" s="164"/>
      <c r="X341" s="164"/>
      <c r="Y341" s="164"/>
      <c r="Z341" s="164"/>
      <c r="AA341" s="165">
        <f t="shared" si="20"/>
        <v>45761</v>
      </c>
      <c r="AB341" s="160" t="s">
        <v>1144</v>
      </c>
      <c r="AC341" s="174"/>
      <c r="AD341" s="166"/>
      <c r="AE341" s="156" t="str">
        <f t="shared" si="21"/>
        <v/>
      </c>
      <c r="AF341" s="107" t="str">
        <f t="shared" si="22"/>
        <v/>
      </c>
      <c r="AG341" s="107" t="str">
        <f t="shared" si="23"/>
        <v/>
      </c>
      <c r="AH341" s="107" t="str">
        <f t="shared" si="24"/>
        <v/>
      </c>
      <c r="AI341" s="157">
        <f t="shared" si="25"/>
        <v>61</v>
      </c>
      <c r="AJ341" s="96"/>
      <c r="AK341" s="169"/>
      <c r="AL341" s="96"/>
      <c r="AM341" s="158">
        <f t="shared" si="12"/>
        <v>0</v>
      </c>
    </row>
    <row r="342" ht="22.5" customHeight="1">
      <c r="A342" s="167"/>
      <c r="B342" s="160" t="s">
        <v>54</v>
      </c>
      <c r="C342" s="160" t="s">
        <v>1131</v>
      </c>
      <c r="D342" s="161">
        <v>45977.0</v>
      </c>
      <c r="E342" s="124" t="str">
        <f t="shared" si="1"/>
        <v>2025</v>
      </c>
      <c r="F342" s="124" t="str">
        <f t="shared" si="2"/>
        <v>11 Nov</v>
      </c>
      <c r="G342" s="124" t="str">
        <f t="shared" si="3"/>
        <v>Minggu</v>
      </c>
      <c r="H342" s="160" t="s">
        <v>1012</v>
      </c>
      <c r="I342" s="125" t="str">
        <f t="array" ref="I342">IFNA(XLOOKUP($H342,'🙎‍♂️ Pasien'!$G$7:$G658,'🙎‍♂️ Pasien'!$H$7:$H658),"")</f>
        <v>M1025044555</v>
      </c>
      <c r="J342" s="125" t="str">
        <f t="array" ref="J342">IFNA(XLOOKUP($H342,'🙎‍♂️ Pasien'!$G$7:$G658,'🙎‍♂️ Pasien'!$L$7:$L658),"")</f>
        <v>LAKI-LAKI</v>
      </c>
      <c r="K342" s="125">
        <f t="array" ref="K342">IFNA(XLOOKUP($H342,'🙎‍♂️ Pasien'!$G$7:$G658,'🙎‍♂️ Pasien'!$I$7:$I658),"")</f>
        <v>15</v>
      </c>
      <c r="L342" s="160" t="s">
        <v>56</v>
      </c>
      <c r="M342" s="162" t="str">
        <f t="array" ref="M342">IFNA(XLOOKUP(L342,'⚙️ Pengaturan'!$H$5:$H658,'⚙️ Pengaturan'!$I$5:$I658),"")</f>
        <v>TIM Y</v>
      </c>
      <c r="N342" s="163" t="s">
        <v>1132</v>
      </c>
      <c r="O342" s="160" t="s">
        <v>1133</v>
      </c>
      <c r="P342" s="153">
        <f t="shared" si="13"/>
        <v>5</v>
      </c>
      <c r="Q342" s="164">
        <v>45978.0</v>
      </c>
      <c r="R342" s="164">
        <v>45978.0</v>
      </c>
      <c r="S342" s="164">
        <v>45979.0</v>
      </c>
      <c r="T342" s="164">
        <v>45979.0</v>
      </c>
      <c r="U342" s="164">
        <v>45983.0</v>
      </c>
      <c r="V342" s="164"/>
      <c r="W342" s="164"/>
      <c r="X342" s="164"/>
      <c r="Y342" s="164"/>
      <c r="Z342" s="164"/>
      <c r="AA342" s="165">
        <f t="shared" si="20"/>
        <v>45983</v>
      </c>
      <c r="AB342" s="160" t="s">
        <v>1134</v>
      </c>
      <c r="AC342" s="172"/>
      <c r="AD342" s="166"/>
      <c r="AE342" s="156">
        <f t="shared" si="21"/>
        <v>45983</v>
      </c>
      <c r="AF342" s="107" t="str">
        <f t="shared" si="22"/>
        <v>2025</v>
      </c>
      <c r="AG342" s="107" t="str">
        <f t="shared" si="23"/>
        <v>11 Nov</v>
      </c>
      <c r="AH342" s="107" t="str">
        <f t="shared" si="24"/>
        <v>Sab</v>
      </c>
      <c r="AI342" s="157">
        <f t="shared" si="25"/>
        <v>1</v>
      </c>
      <c r="AJ342" s="96"/>
      <c r="AK342" s="169"/>
      <c r="AL342" s="96"/>
      <c r="AM342" s="158">
        <f t="shared" si="12"/>
        <v>0</v>
      </c>
    </row>
    <row r="343" ht="22.5" customHeight="1">
      <c r="A343" s="167"/>
      <c r="B343" s="160" t="s">
        <v>86</v>
      </c>
      <c r="C343" s="160" t="s">
        <v>1131</v>
      </c>
      <c r="D343" s="161">
        <v>45955.0</v>
      </c>
      <c r="E343" s="124" t="str">
        <f t="shared" si="1"/>
        <v>2025</v>
      </c>
      <c r="F343" s="124" t="str">
        <f t="shared" si="2"/>
        <v>10 Okt</v>
      </c>
      <c r="G343" s="124" t="str">
        <f t="shared" si="3"/>
        <v>Sabtu</v>
      </c>
      <c r="H343" s="160" t="s">
        <v>932</v>
      </c>
      <c r="I343" s="125" t="str">
        <f t="array" ref="I343">IFNA(XLOOKUP($H343,'🙎‍♂️ Pasien'!$G$7:$G658,'🙎‍♂️ Pasien'!$H$7:$H658),"")</f>
        <v/>
      </c>
      <c r="J343" s="125" t="str">
        <f t="array" ref="J343">IFNA(XLOOKUP($H343,'🙎‍♂️ Pasien'!$G$7:$G658,'🙎‍♂️ Pasien'!$L$7:$L658),"")</f>
        <v/>
      </c>
      <c r="K343" s="125" t="str">
        <f t="array" ref="K343">IFNA(XLOOKUP($H343,'🙎‍♂️ Pasien'!$G$7:$G658,'🙎‍♂️ Pasien'!$I$7:$I658),"")</f>
        <v/>
      </c>
      <c r="L343" s="160" t="s">
        <v>56</v>
      </c>
      <c r="M343" s="162" t="str">
        <f t="array" ref="M343">IFNA(XLOOKUP(L343,'⚙️ Pengaturan'!$H$5:$H658,'⚙️ Pengaturan'!$I$5:$I658),"")</f>
        <v>TIM Y</v>
      </c>
      <c r="N343" s="163" t="s">
        <v>1132</v>
      </c>
      <c r="O343" s="160" t="s">
        <v>1133</v>
      </c>
      <c r="P343" s="153">
        <f t="shared" si="13"/>
        <v>1</v>
      </c>
      <c r="Q343" s="164">
        <v>45957.0</v>
      </c>
      <c r="R343" s="164"/>
      <c r="S343" s="164"/>
      <c r="T343" s="164"/>
      <c r="U343" s="164"/>
      <c r="V343" s="164"/>
      <c r="W343" s="164"/>
      <c r="X343" s="164"/>
      <c r="Y343" s="164"/>
      <c r="Z343" s="164"/>
      <c r="AA343" s="165">
        <f t="shared" si="20"/>
        <v>45957</v>
      </c>
      <c r="AB343" s="160" t="s">
        <v>1144</v>
      </c>
      <c r="AC343" s="172"/>
      <c r="AD343" s="168"/>
      <c r="AE343" s="156" t="str">
        <f t="shared" si="21"/>
        <v/>
      </c>
      <c r="AF343" s="107" t="str">
        <f t="shared" si="22"/>
        <v/>
      </c>
      <c r="AG343" s="107" t="str">
        <f t="shared" si="23"/>
        <v/>
      </c>
      <c r="AH343" s="107" t="str">
        <f t="shared" si="24"/>
        <v/>
      </c>
      <c r="AI343" s="157">
        <f t="shared" si="25"/>
        <v>33</v>
      </c>
      <c r="AJ343" s="96"/>
      <c r="AK343" s="169"/>
      <c r="AL343" s="96"/>
      <c r="AM343" s="158">
        <f t="shared" si="12"/>
        <v>0</v>
      </c>
    </row>
    <row r="344" ht="22.5" customHeight="1">
      <c r="A344" s="167"/>
      <c r="B344" s="16" t="s">
        <v>54</v>
      </c>
      <c r="C344" s="16" t="s">
        <v>1131</v>
      </c>
      <c r="D344" s="123">
        <v>45927.0</v>
      </c>
      <c r="E344" s="124" t="str">
        <f t="shared" si="1"/>
        <v>2025</v>
      </c>
      <c r="F344" s="124" t="str">
        <f t="shared" si="2"/>
        <v>09 Sep</v>
      </c>
      <c r="G344" s="124" t="str">
        <f t="shared" si="3"/>
        <v>Sabtu</v>
      </c>
      <c r="H344" s="16" t="s">
        <v>1322</v>
      </c>
      <c r="I344" s="125" t="str">
        <f t="array" ref="I344">IFNA(XLOOKUP($H344,'🙎‍♂️ Pasien'!$G$7:$G658,'🙎‍♂️ Pasien'!$H$7:$H658),"")</f>
        <v>M0925093175</v>
      </c>
      <c r="J344" s="125" t="str">
        <f t="array" ref="J344">IFNA(XLOOKUP($H344,'🙎‍♂️ Pasien'!$G$7:$G658,'🙎‍♂️ Pasien'!$L$7:$L658),"")</f>
        <v>LAKI-LAKI</v>
      </c>
      <c r="K344" s="125">
        <f t="array" ref="K344">IFNA(XLOOKUP($H344,'🙎‍♂️ Pasien'!$G$7:$G658,'🙎‍♂️ Pasien'!$I$7:$I658),"")</f>
        <v>16</v>
      </c>
      <c r="L344" s="16" t="s">
        <v>91</v>
      </c>
      <c r="M344" s="125" t="str">
        <f t="array" ref="M344">IFNA(XLOOKUP(L344,'⚙️ Pengaturan'!$H$5:$H658,'⚙️ Pengaturan'!$I$5:$I658),"")</f>
        <v>TIM Y</v>
      </c>
      <c r="N344" s="16" t="s">
        <v>1137</v>
      </c>
      <c r="O344" s="16" t="s">
        <v>1133</v>
      </c>
      <c r="P344" s="153">
        <f t="shared" si="13"/>
        <v>10</v>
      </c>
      <c r="Q344" s="154">
        <v>45927.0</v>
      </c>
      <c r="R344" s="154">
        <v>45929.0</v>
      </c>
      <c r="S344" s="154">
        <v>45931.0</v>
      </c>
      <c r="T344" s="154">
        <v>45934.0</v>
      </c>
      <c r="U344" s="154">
        <v>45936.0</v>
      </c>
      <c r="V344" s="154">
        <v>45938.0</v>
      </c>
      <c r="W344" s="154">
        <v>45943.0</v>
      </c>
      <c r="X344" s="154">
        <v>45945.0</v>
      </c>
      <c r="Y344" s="154">
        <v>45948.0</v>
      </c>
      <c r="Z344" s="154">
        <v>45950.0</v>
      </c>
      <c r="AA344" s="155">
        <f t="shared" si="20"/>
        <v>45950</v>
      </c>
      <c r="AB344" s="16" t="s">
        <v>1134</v>
      </c>
      <c r="AC344" s="16" t="s">
        <v>1135</v>
      </c>
      <c r="AD344" s="109" t="s">
        <v>1150</v>
      </c>
      <c r="AE344" s="156">
        <f t="shared" si="21"/>
        <v>45950</v>
      </c>
      <c r="AF344" s="107" t="str">
        <f t="shared" si="22"/>
        <v>2025</v>
      </c>
      <c r="AG344" s="107" t="str">
        <f t="shared" si="23"/>
        <v>10 Okt</v>
      </c>
      <c r="AH344" s="107" t="str">
        <f t="shared" si="24"/>
        <v>Sen</v>
      </c>
      <c r="AI344" s="157">
        <f t="shared" si="25"/>
        <v>4</v>
      </c>
      <c r="AJ344" s="96"/>
      <c r="AK344" s="169"/>
      <c r="AL344" s="96"/>
      <c r="AM344" s="158">
        <f t="shared" si="12"/>
        <v>0</v>
      </c>
    </row>
    <row r="345" ht="22.5" customHeight="1">
      <c r="A345" s="167"/>
      <c r="B345" s="160" t="s">
        <v>134</v>
      </c>
      <c r="C345" s="160" t="s">
        <v>1131</v>
      </c>
      <c r="D345" s="161">
        <v>45853.0</v>
      </c>
      <c r="E345" s="124" t="str">
        <f t="shared" si="1"/>
        <v>2025</v>
      </c>
      <c r="F345" s="124" t="str">
        <f t="shared" si="2"/>
        <v>07 Jul</v>
      </c>
      <c r="G345" s="124" t="str">
        <f t="shared" si="3"/>
        <v>Selasa</v>
      </c>
      <c r="H345" s="160" t="s">
        <v>1323</v>
      </c>
      <c r="I345" s="125" t="str">
        <f t="array" ref="I345">IFNA(XLOOKUP($H345,'🙎‍♂️ Pasien'!$G$7:$G658,'🙎‍♂️ Pasien'!$H$7:$H658),"")</f>
        <v>M6524090093</v>
      </c>
      <c r="J345" s="125" t="str">
        <f t="array" ref="J345">IFNA(XLOOKUP($H345,'🙎‍♂️ Pasien'!$G$7:$G658,'🙎‍♂️ Pasien'!$L$7:$L658),"")</f>
        <v>LAKI-LAKI</v>
      </c>
      <c r="K345" s="125">
        <f t="array" ref="K345">IFNA(XLOOKUP($H345,'🙎‍♂️ Pasien'!$G$7:$G658,'🙎‍♂️ Pasien'!$I$7:$I658),"")</f>
        <v>60</v>
      </c>
      <c r="L345" s="160" t="s">
        <v>81</v>
      </c>
      <c r="M345" s="162" t="str">
        <f t="array" ref="M345">IFNA(XLOOKUP(L345,'⚙️ Pengaturan'!$H$5:$H658,'⚙️ Pengaturan'!$I$5:$I658),"")</f>
        <v>MANAJEMEN</v>
      </c>
      <c r="N345" s="163" t="s">
        <v>1137</v>
      </c>
      <c r="O345" s="160" t="s">
        <v>1133</v>
      </c>
      <c r="P345" s="153">
        <f t="shared" si="13"/>
        <v>10</v>
      </c>
      <c r="Q345" s="164">
        <v>45853.0</v>
      </c>
      <c r="R345" s="164">
        <v>45859.0</v>
      </c>
      <c r="S345" s="164">
        <v>45862.0</v>
      </c>
      <c r="T345" s="164">
        <v>45866.0</v>
      </c>
      <c r="U345" s="164">
        <v>45869.0</v>
      </c>
      <c r="V345" s="164">
        <v>45880.0</v>
      </c>
      <c r="W345" s="164">
        <v>45883.0</v>
      </c>
      <c r="X345" s="164">
        <v>45890.0</v>
      </c>
      <c r="Y345" s="164">
        <v>45894.0</v>
      </c>
      <c r="Z345" s="164">
        <v>45885.0</v>
      </c>
      <c r="AA345" s="165">
        <f t="shared" si="20"/>
        <v>45894</v>
      </c>
      <c r="AB345" s="160" t="s">
        <v>1134</v>
      </c>
      <c r="AC345" s="160" t="s">
        <v>1138</v>
      </c>
      <c r="AD345" s="166"/>
      <c r="AE345" s="156">
        <f t="shared" si="21"/>
        <v>45885</v>
      </c>
      <c r="AF345" s="107" t="str">
        <f t="shared" si="22"/>
        <v>2025</v>
      </c>
      <c r="AG345" s="107" t="str">
        <f t="shared" si="23"/>
        <v>08 Agu</v>
      </c>
      <c r="AH345" s="107" t="str">
        <f t="shared" si="24"/>
        <v>Sab</v>
      </c>
      <c r="AI345" s="157">
        <f t="shared" si="25"/>
        <v>5</v>
      </c>
      <c r="AJ345" s="96"/>
      <c r="AK345" s="169"/>
      <c r="AL345" s="96"/>
      <c r="AM345" s="158">
        <f t="shared" si="12"/>
        <v>0</v>
      </c>
    </row>
    <row r="346" ht="22.5" customHeight="1">
      <c r="A346" s="167"/>
      <c r="B346" s="160" t="s">
        <v>86</v>
      </c>
      <c r="C346" s="160" t="s">
        <v>1131</v>
      </c>
      <c r="D346" s="161">
        <v>45859.0</v>
      </c>
      <c r="E346" s="124" t="str">
        <f t="shared" si="1"/>
        <v>2025</v>
      </c>
      <c r="F346" s="124" t="str">
        <f t="shared" si="2"/>
        <v>07 Jul</v>
      </c>
      <c r="G346" s="124" t="str">
        <f t="shared" si="3"/>
        <v>Senin</v>
      </c>
      <c r="H346" s="160" t="s">
        <v>1324</v>
      </c>
      <c r="I346" s="125" t="str">
        <f t="array" ref="I346">IFNA(XLOOKUP($H346,'🙎‍♂️ Pasien'!$G$7:$G658,'🙎‍♂️ Pasien'!$H$7:$H658),"")</f>
        <v>M6925074405</v>
      </c>
      <c r="J346" s="125" t="str">
        <f t="array" ref="J346">IFNA(XLOOKUP($H346,'🙎‍♂️ Pasien'!$G$7:$G658,'🙎‍♂️ Pasien'!$L$7:$L658),"")</f>
        <v>PEREMPUAN</v>
      </c>
      <c r="K346" s="125">
        <f t="array" ref="K346">IFNA(XLOOKUP($H346,'🙎‍♂️ Pasien'!$G$7:$G658,'🙎‍♂️ Pasien'!$I$7:$I658),"")</f>
        <v>56</v>
      </c>
      <c r="L346" s="160" t="s">
        <v>62</v>
      </c>
      <c r="M346" s="162" t="str">
        <f t="array" ref="M346">IFNA(XLOOKUP(L346,'⚙️ Pengaturan'!$H$5:$H658,'⚙️ Pengaturan'!$I$5:$I658),"")</f>
        <v>TIM A</v>
      </c>
      <c r="N346" s="163" t="s">
        <v>1132</v>
      </c>
      <c r="O346" s="160" t="s">
        <v>1133</v>
      </c>
      <c r="P346" s="153">
        <f t="shared" si="13"/>
        <v>4</v>
      </c>
      <c r="Q346" s="164">
        <v>45859.0</v>
      </c>
      <c r="R346" s="164">
        <v>45861.0</v>
      </c>
      <c r="S346" s="164">
        <v>45865.0</v>
      </c>
      <c r="T346" s="164">
        <v>45869.0</v>
      </c>
      <c r="U346" s="164"/>
      <c r="V346" s="164"/>
      <c r="W346" s="164"/>
      <c r="X346" s="164"/>
      <c r="Y346" s="164"/>
      <c r="Z346" s="164"/>
      <c r="AA346" s="165">
        <f t="shared" si="20"/>
        <v>45869</v>
      </c>
      <c r="AB346" s="160" t="s">
        <v>1144</v>
      </c>
      <c r="AC346" s="174"/>
      <c r="AD346" s="166"/>
      <c r="AE346" s="156" t="str">
        <f t="shared" si="21"/>
        <v/>
      </c>
      <c r="AF346" s="107" t="str">
        <f t="shared" si="22"/>
        <v/>
      </c>
      <c r="AG346" s="107" t="str">
        <f t="shared" si="23"/>
        <v/>
      </c>
      <c r="AH346" s="107" t="str">
        <f t="shared" si="24"/>
        <v/>
      </c>
      <c r="AI346" s="157">
        <f t="shared" si="25"/>
        <v>47</v>
      </c>
      <c r="AJ346" s="96"/>
      <c r="AK346" s="169"/>
      <c r="AL346" s="96"/>
      <c r="AM346" s="158">
        <f t="shared" si="12"/>
        <v>0</v>
      </c>
    </row>
    <row r="347" ht="22.5" customHeight="1">
      <c r="A347" s="167"/>
      <c r="B347" s="160" t="s">
        <v>54</v>
      </c>
      <c r="C347" s="160" t="s">
        <v>1131</v>
      </c>
      <c r="D347" s="161">
        <v>45910.0</v>
      </c>
      <c r="E347" s="124" t="str">
        <f t="shared" si="1"/>
        <v>2025</v>
      </c>
      <c r="F347" s="124" t="str">
        <f t="shared" si="2"/>
        <v>09 Sep</v>
      </c>
      <c r="G347" s="124" t="str">
        <f t="shared" si="3"/>
        <v>Rabu</v>
      </c>
      <c r="H347" s="160" t="s">
        <v>1325</v>
      </c>
      <c r="I347" s="125" t="str">
        <f t="array" ref="I347">IFNA(XLOOKUP($H347,'🙎‍♂️ Pasien'!$G$7:$G658,'🙎‍♂️ Pasien'!$H$7:$H658),"")</f>
        <v/>
      </c>
      <c r="J347" s="125" t="str">
        <f t="array" ref="J347">IFNA(XLOOKUP($H347,'🙎‍♂️ Pasien'!$G$7:$G658,'🙎‍♂️ Pasien'!$L$7:$L658),"")</f>
        <v/>
      </c>
      <c r="K347" s="125" t="str">
        <f t="array" ref="K347">IFNA(XLOOKUP($H347,'🙎‍♂️ Pasien'!$G$7:$G658,'🙎‍♂️ Pasien'!$I$7:$I658),"")</f>
        <v/>
      </c>
      <c r="L347" s="160" t="s">
        <v>79</v>
      </c>
      <c r="M347" s="162" t="str">
        <f t="array" ref="M347">IFNA(XLOOKUP(L347,'⚙️ Pengaturan'!$H$5:$H658,'⚙️ Pengaturan'!$I$5:$I658),"")</f>
        <v>TIM A</v>
      </c>
      <c r="N347" s="163" t="s">
        <v>1132</v>
      </c>
      <c r="O347" s="160" t="s">
        <v>1133</v>
      </c>
      <c r="P347" s="153">
        <f t="shared" si="13"/>
        <v>5</v>
      </c>
      <c r="Q347" s="164">
        <v>45913.0</v>
      </c>
      <c r="R347" s="164">
        <v>45916.0</v>
      </c>
      <c r="S347" s="164">
        <v>45920.0</v>
      </c>
      <c r="T347" s="164">
        <v>45922.0</v>
      </c>
      <c r="U347" s="164">
        <v>45923.0</v>
      </c>
      <c r="V347" s="164"/>
      <c r="W347" s="164"/>
      <c r="X347" s="164"/>
      <c r="Y347" s="164"/>
      <c r="Z347" s="164"/>
      <c r="AA347" s="165">
        <f t="shared" si="20"/>
        <v>45923</v>
      </c>
      <c r="AB347" s="160" t="s">
        <v>1134</v>
      </c>
      <c r="AC347" s="160" t="s">
        <v>1138</v>
      </c>
      <c r="AD347" s="168" t="s">
        <v>1326</v>
      </c>
      <c r="AE347" s="156">
        <f t="shared" si="21"/>
        <v>45923</v>
      </c>
      <c r="AF347" s="107" t="str">
        <f t="shared" si="22"/>
        <v>2025</v>
      </c>
      <c r="AG347" s="107" t="str">
        <f t="shared" si="23"/>
        <v>09 Sep</v>
      </c>
      <c r="AH347" s="107" t="str">
        <f t="shared" si="24"/>
        <v>Sel</v>
      </c>
      <c r="AI347" s="157">
        <f t="shared" si="25"/>
        <v>2</v>
      </c>
      <c r="AJ347" s="96"/>
      <c r="AK347" s="169"/>
      <c r="AL347" s="96"/>
      <c r="AM347" s="158">
        <f t="shared" si="12"/>
        <v>0</v>
      </c>
    </row>
    <row r="348" ht="22.5" customHeight="1">
      <c r="A348" s="167"/>
      <c r="B348" s="160" t="s">
        <v>54</v>
      </c>
      <c r="C348" s="160" t="s">
        <v>1131</v>
      </c>
      <c r="D348" s="161">
        <v>45943.0</v>
      </c>
      <c r="E348" s="124" t="str">
        <f t="shared" si="1"/>
        <v>2025</v>
      </c>
      <c r="F348" s="124" t="str">
        <f t="shared" si="2"/>
        <v>10 Okt</v>
      </c>
      <c r="G348" s="124" t="str">
        <f t="shared" si="3"/>
        <v>Senin</v>
      </c>
      <c r="H348" s="160" t="s">
        <v>1325</v>
      </c>
      <c r="I348" s="125" t="str">
        <f t="array" ref="I348">IFNA(XLOOKUP($H348,'🙎‍♂️ Pasien'!$G$7:$G658,'🙎‍♂️ Pasien'!$H$7:$H658),"")</f>
        <v/>
      </c>
      <c r="J348" s="125" t="str">
        <f t="array" ref="J348">IFNA(XLOOKUP($H348,'🙎‍♂️ Pasien'!$G$7:$G658,'🙎‍♂️ Pasien'!$L$7:$L658),"")</f>
        <v/>
      </c>
      <c r="K348" s="125" t="str">
        <f t="array" ref="K348">IFNA(XLOOKUP($H348,'🙎‍♂️ Pasien'!$G$7:$G658,'🙎‍♂️ Pasien'!$I$7:$I658),"")</f>
        <v/>
      </c>
      <c r="L348" s="160" t="s">
        <v>79</v>
      </c>
      <c r="M348" s="162" t="str">
        <f t="array" ref="M348">IFNA(XLOOKUP(L348,'⚙️ Pengaturan'!$H$5:$H658,'⚙️ Pengaturan'!$I$5:$I658),"")</f>
        <v>TIM A</v>
      </c>
      <c r="N348" s="163" t="s">
        <v>1132</v>
      </c>
      <c r="O348" s="160" t="s">
        <v>1139</v>
      </c>
      <c r="P348" s="153">
        <f t="shared" si="13"/>
        <v>5</v>
      </c>
      <c r="Q348" s="164">
        <v>45944.0</v>
      </c>
      <c r="R348" s="164">
        <v>45945.0</v>
      </c>
      <c r="S348" s="164">
        <v>45948.0</v>
      </c>
      <c r="T348" s="164">
        <v>45951.0</v>
      </c>
      <c r="U348" s="164">
        <v>45952.0</v>
      </c>
      <c r="V348" s="164"/>
      <c r="W348" s="164"/>
      <c r="X348" s="164"/>
      <c r="Y348" s="164"/>
      <c r="Z348" s="164"/>
      <c r="AA348" s="165">
        <f t="shared" si="20"/>
        <v>45952</v>
      </c>
      <c r="AB348" s="160" t="s">
        <v>1134</v>
      </c>
      <c r="AC348" s="160" t="s">
        <v>1135</v>
      </c>
      <c r="AD348" s="168" t="s">
        <v>1150</v>
      </c>
      <c r="AE348" s="156">
        <f t="shared" si="21"/>
        <v>45952</v>
      </c>
      <c r="AF348" s="107" t="str">
        <f t="shared" si="22"/>
        <v>2025</v>
      </c>
      <c r="AG348" s="107" t="str">
        <f t="shared" si="23"/>
        <v>10 Okt</v>
      </c>
      <c r="AH348" s="107" t="str">
        <f t="shared" si="24"/>
        <v>Rab</v>
      </c>
      <c r="AI348" s="157">
        <f t="shared" si="25"/>
        <v>2</v>
      </c>
      <c r="AJ348" s="96"/>
      <c r="AK348" s="169"/>
      <c r="AL348" s="96"/>
      <c r="AM348" s="158">
        <f t="shared" si="12"/>
        <v>0</v>
      </c>
    </row>
    <row r="349" ht="22.5" customHeight="1">
      <c r="A349" s="167"/>
      <c r="B349" s="160" t="s">
        <v>86</v>
      </c>
      <c r="C349" s="160" t="s">
        <v>1131</v>
      </c>
      <c r="D349" s="161">
        <v>46019.0</v>
      </c>
      <c r="E349" s="124" t="str">
        <f t="shared" si="1"/>
        <v>2025</v>
      </c>
      <c r="F349" s="124" t="str">
        <f t="shared" si="2"/>
        <v>12 Des</v>
      </c>
      <c r="G349" s="124" t="str">
        <f t="shared" si="3"/>
        <v>Minggu</v>
      </c>
      <c r="H349" s="160" t="s">
        <v>177</v>
      </c>
      <c r="I349" s="125" t="str">
        <f t="array" ref="I349">IFNA(XLOOKUP($H349,'🙎‍♂️ Pasien'!$G$7:$G658,'🙎‍♂️ Pasien'!$H$7:$H658),"")</f>
        <v>M9225108407</v>
      </c>
      <c r="J349" s="125" t="str">
        <f t="array" ref="J349">IFNA(XLOOKUP($H349,'🙎‍♂️ Pasien'!$G$7:$G658,'🙎‍♂️ Pasien'!$L$7:$L658),"")</f>
        <v>PEREMPUAN</v>
      </c>
      <c r="K349" s="125">
        <f t="array" ref="K349">IFNA(XLOOKUP($H349,'🙎‍♂️ Pasien'!$G$7:$G658,'🙎‍♂️ Pasien'!$I$7:$I658),"")</f>
        <v>34</v>
      </c>
      <c r="L349" s="160" t="s">
        <v>79</v>
      </c>
      <c r="M349" s="162" t="str">
        <f t="array" ref="M349">IFNA(XLOOKUP(L349,'⚙️ Pengaturan'!$H$5:$H658,'⚙️ Pengaturan'!$I$5:$I658),"")</f>
        <v>TIM A</v>
      </c>
      <c r="N349" s="163" t="s">
        <v>1132</v>
      </c>
      <c r="O349" s="160" t="s">
        <v>1133</v>
      </c>
      <c r="P349" s="153">
        <f t="shared" si="13"/>
        <v>2</v>
      </c>
      <c r="Q349" s="164">
        <v>46019.0</v>
      </c>
      <c r="R349" s="164">
        <v>46020.0</v>
      </c>
      <c r="S349" s="164"/>
      <c r="T349" s="164"/>
      <c r="U349" s="164"/>
      <c r="V349" s="164"/>
      <c r="W349" s="164"/>
      <c r="X349" s="164"/>
      <c r="Y349" s="164"/>
      <c r="Z349" s="164"/>
      <c r="AA349" s="165">
        <f t="shared" si="20"/>
        <v>46020</v>
      </c>
      <c r="AB349" s="160" t="s">
        <v>1144</v>
      </c>
      <c r="AC349" s="172"/>
      <c r="AD349" s="168"/>
      <c r="AE349" s="156" t="str">
        <f t="shared" si="21"/>
        <v/>
      </c>
      <c r="AF349" s="107" t="str">
        <f t="shared" si="22"/>
        <v/>
      </c>
      <c r="AG349" s="107" t="str">
        <f t="shared" si="23"/>
        <v/>
      </c>
      <c r="AH349" s="107" t="str">
        <f t="shared" si="24"/>
        <v/>
      </c>
      <c r="AI349" s="157">
        <f t="shared" si="25"/>
        <v>24</v>
      </c>
      <c r="AJ349" s="96"/>
      <c r="AK349" s="169"/>
      <c r="AL349" s="96"/>
      <c r="AM349" s="158">
        <f t="shared" si="12"/>
        <v>1</v>
      </c>
    </row>
    <row r="350" ht="22.5" customHeight="1">
      <c r="A350" s="167"/>
      <c r="B350" s="160" t="s">
        <v>54</v>
      </c>
      <c r="C350" s="160" t="s">
        <v>1131</v>
      </c>
      <c r="D350" s="161">
        <v>45921.0</v>
      </c>
      <c r="E350" s="124" t="str">
        <f t="shared" si="1"/>
        <v>2025</v>
      </c>
      <c r="F350" s="124" t="str">
        <f t="shared" si="2"/>
        <v>09 Sep</v>
      </c>
      <c r="G350" s="124" t="str">
        <f t="shared" si="3"/>
        <v>Minggu</v>
      </c>
      <c r="H350" s="158" t="s">
        <v>84</v>
      </c>
      <c r="I350" s="125" t="str">
        <f t="array" ref="I350">IFNA(XLOOKUP($H350,'🙎‍♂️ Pasien'!$G$7:$G658,'🙎‍♂️ Pasien'!$H$7:$H658),"")</f>
        <v>M6825093469</v>
      </c>
      <c r="J350" s="125" t="str">
        <f t="array" ref="J350">IFNA(XLOOKUP($H350,'🙎‍♂️ Pasien'!$G$7:$G658,'🙎‍♂️ Pasien'!$L$7:$L658),"")</f>
        <v>PEREMPUAN</v>
      </c>
      <c r="K350" s="125">
        <f t="array" ref="K350">IFNA(XLOOKUP($H350,'🙎‍♂️ Pasien'!$G$7:$G658,'🙎‍♂️ Pasien'!$I$7:$I658),"")</f>
        <v>58</v>
      </c>
      <c r="L350" s="160" t="s">
        <v>62</v>
      </c>
      <c r="M350" s="162" t="str">
        <f t="array" ref="M350">IFNA(XLOOKUP(L350,'⚙️ Pengaturan'!$H$5:$H658,'⚙️ Pengaturan'!$I$5:$I658),"")</f>
        <v>TIM A</v>
      </c>
      <c r="N350" s="163" t="s">
        <v>1137</v>
      </c>
      <c r="O350" s="160" t="s">
        <v>1133</v>
      </c>
      <c r="P350" s="153">
        <f t="shared" si="13"/>
        <v>10</v>
      </c>
      <c r="Q350" s="164">
        <v>45924.0</v>
      </c>
      <c r="R350" s="164">
        <v>45927.0</v>
      </c>
      <c r="S350" s="164">
        <v>45931.0</v>
      </c>
      <c r="T350" s="164">
        <v>45934.0</v>
      </c>
      <c r="U350" s="164">
        <v>45937.0</v>
      </c>
      <c r="V350" s="164">
        <v>45941.0</v>
      </c>
      <c r="W350" s="164">
        <v>45947.0</v>
      </c>
      <c r="X350" s="164">
        <v>45956.0</v>
      </c>
      <c r="Y350" s="164">
        <v>46002.0</v>
      </c>
      <c r="Z350" s="164">
        <v>46005.0</v>
      </c>
      <c r="AA350" s="165">
        <f t="shared" si="20"/>
        <v>46005</v>
      </c>
      <c r="AB350" s="160" t="s">
        <v>1134</v>
      </c>
      <c r="AC350" s="160" t="s">
        <v>1135</v>
      </c>
      <c r="AD350" s="168" t="s">
        <v>1150</v>
      </c>
      <c r="AE350" s="156">
        <f t="shared" si="21"/>
        <v>46005</v>
      </c>
      <c r="AF350" s="107" t="str">
        <f t="shared" si="22"/>
        <v>2025</v>
      </c>
      <c r="AG350" s="107" t="str">
        <f t="shared" si="23"/>
        <v>12 Des</v>
      </c>
      <c r="AH350" s="107" t="str">
        <f t="shared" si="24"/>
        <v>Min</v>
      </c>
      <c r="AI350" s="157">
        <f t="shared" si="25"/>
        <v>12</v>
      </c>
      <c r="AJ350" s="96"/>
      <c r="AK350" s="169"/>
      <c r="AL350" s="96"/>
      <c r="AM350" s="158">
        <f t="shared" si="12"/>
        <v>0</v>
      </c>
    </row>
    <row r="351" ht="22.5" customHeight="1">
      <c r="A351" s="167"/>
      <c r="B351" s="160" t="s">
        <v>86</v>
      </c>
      <c r="C351" s="160" t="s">
        <v>1131</v>
      </c>
      <c r="D351" s="161">
        <v>45971.0</v>
      </c>
      <c r="E351" s="124" t="str">
        <f t="shared" si="1"/>
        <v>2025</v>
      </c>
      <c r="F351" s="124" t="str">
        <f t="shared" si="2"/>
        <v>11 Nov</v>
      </c>
      <c r="G351" s="124" t="str">
        <f t="shared" si="3"/>
        <v>Senin</v>
      </c>
      <c r="H351" s="160" t="s">
        <v>474</v>
      </c>
      <c r="I351" s="125" t="str">
        <f t="array" ref="I351">IFNA(XLOOKUP($H351,'🙎‍♂️ Pasien'!$G$7:$G658,'🙎‍♂️ Pasien'!$H$7:$H658),"")</f>
        <v>M5325110126</v>
      </c>
      <c r="J351" s="125" t="str">
        <f t="array" ref="J351">IFNA(XLOOKUP($H351,'🙎‍♂️ Pasien'!$G$7:$G658,'🙎‍♂️ Pasien'!$L$7:$L658),"")</f>
        <v>PEREMPUAN</v>
      </c>
      <c r="K351" s="125">
        <f t="array" ref="K351">IFNA(XLOOKUP($H351,'🙎‍♂️ Pasien'!$G$7:$G658,'🙎‍♂️ Pasien'!$I$7:$I658),"")</f>
        <v>73</v>
      </c>
      <c r="L351" s="160" t="s">
        <v>72</v>
      </c>
      <c r="M351" s="162" t="str">
        <f t="array" ref="M351">IFNA(XLOOKUP(L351,'⚙️ Pengaturan'!$H$5:$H658,'⚙️ Pengaturan'!$I$5:$I658),"")</f>
        <v>TIM A</v>
      </c>
      <c r="N351" s="163" t="s">
        <v>1132</v>
      </c>
      <c r="O351" s="160" t="s">
        <v>1133</v>
      </c>
      <c r="P351" s="153">
        <f t="shared" si="13"/>
        <v>5</v>
      </c>
      <c r="Q351" s="164">
        <v>45971.0</v>
      </c>
      <c r="R351" s="164">
        <v>45974.0</v>
      </c>
      <c r="S351" s="164">
        <v>45976.0</v>
      </c>
      <c r="T351" s="164">
        <v>45978.0</v>
      </c>
      <c r="U351" s="164">
        <v>45981.0</v>
      </c>
      <c r="V351" s="164"/>
      <c r="W351" s="164"/>
      <c r="X351" s="164"/>
      <c r="Y351" s="164"/>
      <c r="Z351" s="164"/>
      <c r="AA351" s="165">
        <f t="shared" si="20"/>
        <v>45981</v>
      </c>
      <c r="AB351" s="160" t="s">
        <v>1134</v>
      </c>
      <c r="AC351" s="160" t="s">
        <v>1138</v>
      </c>
      <c r="AD351" s="168"/>
      <c r="AE351" s="156">
        <f t="shared" si="21"/>
        <v>45981</v>
      </c>
      <c r="AF351" s="107" t="str">
        <f t="shared" si="22"/>
        <v>2025</v>
      </c>
      <c r="AG351" s="107" t="str">
        <f t="shared" si="23"/>
        <v>11 Nov</v>
      </c>
      <c r="AH351" s="107" t="str">
        <f t="shared" si="24"/>
        <v>Kam</v>
      </c>
      <c r="AI351" s="157">
        <f t="shared" si="25"/>
        <v>2</v>
      </c>
      <c r="AJ351" s="96"/>
      <c r="AK351" s="169"/>
      <c r="AL351" s="96"/>
      <c r="AM351" s="158">
        <f t="shared" si="12"/>
        <v>0</v>
      </c>
    </row>
    <row r="352" ht="22.5" customHeight="1">
      <c r="A352" s="167"/>
      <c r="B352" s="160" t="s">
        <v>54</v>
      </c>
      <c r="C352" s="160" t="s">
        <v>1131</v>
      </c>
      <c r="D352" s="161">
        <v>45983.0</v>
      </c>
      <c r="E352" s="124" t="str">
        <f t="shared" si="1"/>
        <v>2025</v>
      </c>
      <c r="F352" s="124" t="str">
        <f t="shared" si="2"/>
        <v>11 Nov</v>
      </c>
      <c r="G352" s="124" t="str">
        <f t="shared" si="3"/>
        <v>Sabtu</v>
      </c>
      <c r="H352" s="160" t="s">
        <v>474</v>
      </c>
      <c r="I352" s="125" t="str">
        <f t="array" ref="I352">IFNA(XLOOKUP($H352,'🙎‍♂️ Pasien'!$G$7:$G658,'🙎‍♂️ Pasien'!$H$7:$H658),"")</f>
        <v>M5325110126</v>
      </c>
      <c r="J352" s="125" t="str">
        <f t="array" ref="J352">IFNA(XLOOKUP($H352,'🙎‍♂️ Pasien'!$G$7:$G658,'🙎‍♂️ Pasien'!$L$7:$L658),"")</f>
        <v>PEREMPUAN</v>
      </c>
      <c r="K352" s="125">
        <f t="array" ref="K352">IFNA(XLOOKUP($H352,'🙎‍♂️ Pasien'!$G$7:$G658,'🙎‍♂️ Pasien'!$I$7:$I658),"")</f>
        <v>73</v>
      </c>
      <c r="L352" s="160" t="s">
        <v>72</v>
      </c>
      <c r="M352" s="162" t="str">
        <f t="array" ref="M352">IFNA(XLOOKUP(L352,'⚙️ Pengaturan'!$H$5:$H658,'⚙️ Pengaturan'!$I$5:$I658),"")</f>
        <v>TIM A</v>
      </c>
      <c r="N352" s="163" t="s">
        <v>1132</v>
      </c>
      <c r="O352" s="160" t="s">
        <v>1139</v>
      </c>
      <c r="P352" s="153">
        <f t="shared" si="13"/>
        <v>5</v>
      </c>
      <c r="Q352" s="164">
        <v>45983.0</v>
      </c>
      <c r="R352" s="164">
        <v>45985.0</v>
      </c>
      <c r="S352" s="164">
        <v>45988.0</v>
      </c>
      <c r="T352" s="164">
        <v>45990.0</v>
      </c>
      <c r="U352" s="164">
        <v>45992.0</v>
      </c>
      <c r="V352" s="164"/>
      <c r="W352" s="164"/>
      <c r="X352" s="164"/>
      <c r="Y352" s="164"/>
      <c r="Z352" s="164"/>
      <c r="AA352" s="165">
        <f t="shared" si="20"/>
        <v>45992</v>
      </c>
      <c r="AB352" s="160" t="s">
        <v>1134</v>
      </c>
      <c r="AC352" s="160" t="s">
        <v>1138</v>
      </c>
      <c r="AD352" s="168"/>
      <c r="AE352" s="156">
        <f t="shared" si="21"/>
        <v>45992</v>
      </c>
      <c r="AF352" s="107" t="str">
        <f t="shared" si="22"/>
        <v>2025</v>
      </c>
      <c r="AG352" s="107" t="str">
        <f t="shared" si="23"/>
        <v>12 Des</v>
      </c>
      <c r="AH352" s="107" t="str">
        <f t="shared" si="24"/>
        <v>Sen</v>
      </c>
      <c r="AI352" s="157">
        <f t="shared" si="25"/>
        <v>2</v>
      </c>
      <c r="AJ352" s="96"/>
      <c r="AK352" s="169"/>
      <c r="AL352" s="96"/>
      <c r="AM352" s="158">
        <f t="shared" si="12"/>
        <v>0</v>
      </c>
    </row>
    <row r="353" ht="22.5" customHeight="1">
      <c r="A353" s="167"/>
      <c r="B353" s="160" t="s">
        <v>54</v>
      </c>
      <c r="C353" s="160" t="s">
        <v>1131</v>
      </c>
      <c r="D353" s="161">
        <v>45997.0</v>
      </c>
      <c r="E353" s="124" t="str">
        <f t="shared" si="1"/>
        <v>2025</v>
      </c>
      <c r="F353" s="124" t="str">
        <f t="shared" si="2"/>
        <v>12 Des</v>
      </c>
      <c r="G353" s="124" t="str">
        <f t="shared" si="3"/>
        <v>Sabtu</v>
      </c>
      <c r="H353" s="160" t="s">
        <v>474</v>
      </c>
      <c r="I353" s="125" t="str">
        <f t="array" ref="I353">IFNA(XLOOKUP($H353,'🙎‍♂️ Pasien'!$G$7:$G658,'🙎‍♂️ Pasien'!$H$7:$H658),"")</f>
        <v>M5325110126</v>
      </c>
      <c r="J353" s="125" t="str">
        <f t="array" ref="J353">IFNA(XLOOKUP($H353,'🙎‍♂️ Pasien'!$G$7:$G658,'🙎‍♂️ Pasien'!$L$7:$L658),"")</f>
        <v>PEREMPUAN</v>
      </c>
      <c r="K353" s="125">
        <f t="array" ref="K353">IFNA(XLOOKUP($H353,'🙎‍♂️ Pasien'!$G$7:$G658,'🙎‍♂️ Pasien'!$I$7:$I658),"")</f>
        <v>73</v>
      </c>
      <c r="L353" s="160" t="s">
        <v>72</v>
      </c>
      <c r="M353" s="162" t="str">
        <f t="array" ref="M353">IFNA(XLOOKUP(L353,'⚙️ Pengaturan'!$H$5:$H658,'⚙️ Pengaturan'!$I$5:$I658),"")</f>
        <v>TIM A</v>
      </c>
      <c r="N353" s="163" t="s">
        <v>1132</v>
      </c>
      <c r="O353" s="160" t="s">
        <v>1139</v>
      </c>
      <c r="P353" s="153">
        <f t="shared" si="13"/>
        <v>5</v>
      </c>
      <c r="Q353" s="164">
        <v>45997.0</v>
      </c>
      <c r="R353" s="164">
        <v>46002.0</v>
      </c>
      <c r="S353" s="164">
        <v>46004.0</v>
      </c>
      <c r="T353" s="164">
        <v>46012.0</v>
      </c>
      <c r="U353" s="164">
        <v>46015.0</v>
      </c>
      <c r="V353" s="164"/>
      <c r="W353" s="164"/>
      <c r="X353" s="164"/>
      <c r="Y353" s="164"/>
      <c r="Z353" s="164"/>
      <c r="AA353" s="165">
        <f t="shared" si="20"/>
        <v>46015</v>
      </c>
      <c r="AB353" s="160" t="s">
        <v>1134</v>
      </c>
      <c r="AC353" s="160" t="s">
        <v>1135</v>
      </c>
      <c r="AD353" s="168" t="s">
        <v>1327</v>
      </c>
      <c r="AE353" s="156">
        <f t="shared" si="21"/>
        <v>46015</v>
      </c>
      <c r="AF353" s="107" t="str">
        <f t="shared" si="22"/>
        <v>2025</v>
      </c>
      <c r="AG353" s="107" t="str">
        <f t="shared" si="23"/>
        <v>12 Des</v>
      </c>
      <c r="AH353" s="107" t="str">
        <f t="shared" si="24"/>
        <v>Rab</v>
      </c>
      <c r="AI353" s="157">
        <f t="shared" si="25"/>
        <v>3</v>
      </c>
      <c r="AJ353" s="96"/>
      <c r="AK353" s="169"/>
      <c r="AL353" s="96"/>
      <c r="AM353" s="158">
        <f t="shared" si="12"/>
        <v>0</v>
      </c>
    </row>
    <row r="354" ht="22.5" customHeight="1">
      <c r="A354" s="167"/>
      <c r="B354" s="160" t="s">
        <v>134</v>
      </c>
      <c r="C354" s="160" t="s">
        <v>1131</v>
      </c>
      <c r="D354" s="161">
        <v>45867.0</v>
      </c>
      <c r="E354" s="124" t="str">
        <f t="shared" si="1"/>
        <v>2025</v>
      </c>
      <c r="F354" s="124" t="str">
        <f t="shared" si="2"/>
        <v>07 Jul</v>
      </c>
      <c r="G354" s="124" t="str">
        <f t="shared" si="3"/>
        <v>Selasa</v>
      </c>
      <c r="H354" s="160" t="s">
        <v>1328</v>
      </c>
      <c r="I354" s="125" t="str">
        <f t="array" ref="I354">IFNA(XLOOKUP($H354,'🙎‍♂️ Pasien'!$G$7:$G658,'🙎‍♂️ Pasien'!$H$7:$H658),"")</f>
        <v>M0025078448</v>
      </c>
      <c r="J354" s="125" t="str">
        <f t="array" ref="J354">IFNA(XLOOKUP($H354,'🙎‍♂️ Pasien'!$G$7:$G658,'🙎‍♂️ Pasien'!$L$7:$L658),"")</f>
        <v>PEREMPUAN</v>
      </c>
      <c r="K354" s="125">
        <f t="array" ref="K354">IFNA(XLOOKUP($H354,'🙎‍♂️ Pasien'!$G$7:$G658,'🙎‍♂️ Pasien'!$I$7:$I658),"")</f>
        <v>26</v>
      </c>
      <c r="L354" s="160" t="s">
        <v>62</v>
      </c>
      <c r="M354" s="162" t="str">
        <f t="array" ref="M354">IFNA(XLOOKUP(L354,'⚙️ Pengaturan'!$H$5:$H658,'⚙️ Pengaturan'!$I$5:$I658),"")</f>
        <v>TIM A</v>
      </c>
      <c r="N354" s="163" t="s">
        <v>1132</v>
      </c>
      <c r="O354" s="160" t="s">
        <v>1133</v>
      </c>
      <c r="P354" s="153">
        <f t="shared" si="13"/>
        <v>5</v>
      </c>
      <c r="Q354" s="164">
        <v>45869.0</v>
      </c>
      <c r="R354" s="164">
        <v>45873.0</v>
      </c>
      <c r="S354" s="164">
        <v>45876.0</v>
      </c>
      <c r="T354" s="164">
        <v>45883.0</v>
      </c>
      <c r="U354" s="164">
        <v>45888.0</v>
      </c>
      <c r="V354" s="164"/>
      <c r="W354" s="164"/>
      <c r="X354" s="164"/>
      <c r="Y354" s="164"/>
      <c r="Z354" s="164"/>
      <c r="AA354" s="165">
        <f t="shared" si="20"/>
        <v>45888</v>
      </c>
      <c r="AB354" s="160" t="s">
        <v>1134</v>
      </c>
      <c r="AC354" s="160" t="s">
        <v>1138</v>
      </c>
      <c r="AD354" s="168" t="s">
        <v>1329</v>
      </c>
      <c r="AE354" s="156">
        <f t="shared" si="21"/>
        <v>45888</v>
      </c>
      <c r="AF354" s="107" t="str">
        <f t="shared" si="22"/>
        <v>2025</v>
      </c>
      <c r="AG354" s="107" t="str">
        <f t="shared" si="23"/>
        <v>08 Agu</v>
      </c>
      <c r="AH354" s="107" t="str">
        <f t="shared" si="24"/>
        <v>Sel</v>
      </c>
      <c r="AI354" s="157">
        <f t="shared" si="25"/>
        <v>3</v>
      </c>
      <c r="AJ354" s="96"/>
      <c r="AK354" s="169"/>
      <c r="AL354" s="96"/>
      <c r="AM354" s="158">
        <f t="shared" si="12"/>
        <v>0</v>
      </c>
    </row>
    <row r="355" ht="22.5" customHeight="1">
      <c r="A355" s="167"/>
      <c r="B355" s="160" t="s">
        <v>86</v>
      </c>
      <c r="C355" s="160" t="s">
        <v>1131</v>
      </c>
      <c r="D355" s="161">
        <v>45890.0</v>
      </c>
      <c r="E355" s="124" t="str">
        <f t="shared" si="1"/>
        <v>2025</v>
      </c>
      <c r="F355" s="124" t="str">
        <f t="shared" si="2"/>
        <v>08 Agu</v>
      </c>
      <c r="G355" s="124" t="str">
        <f t="shared" si="3"/>
        <v>Kamis</v>
      </c>
      <c r="H355" s="160" t="s">
        <v>1328</v>
      </c>
      <c r="I355" s="125" t="str">
        <f t="array" ref="I355">IFNA(XLOOKUP($H355,'🙎‍♂️ Pasien'!$G$7:$G658,'🙎‍♂️ Pasien'!$H$7:$H658),"")</f>
        <v>M0025078448</v>
      </c>
      <c r="J355" s="125" t="str">
        <f t="array" ref="J355">IFNA(XLOOKUP($H355,'🙎‍♂️ Pasien'!$G$7:$G658,'🙎‍♂️ Pasien'!$L$7:$L658),"")</f>
        <v>PEREMPUAN</v>
      </c>
      <c r="K355" s="125">
        <f t="array" ref="K355">IFNA(XLOOKUP($H355,'🙎‍♂️ Pasien'!$G$7:$G658,'🙎‍♂️ Pasien'!$I$7:$I658),"")</f>
        <v>26</v>
      </c>
      <c r="L355" s="160" t="s">
        <v>62</v>
      </c>
      <c r="M355" s="162" t="str">
        <f t="array" ref="M355">IFNA(XLOOKUP(L355,'⚙️ Pengaturan'!$H$5:$H658,'⚙️ Pengaturan'!$I$5:$I658),"")</f>
        <v>TIM A</v>
      </c>
      <c r="N355" s="163" t="s">
        <v>1132</v>
      </c>
      <c r="O355" s="160" t="s">
        <v>1139</v>
      </c>
      <c r="P355" s="153">
        <f t="shared" si="13"/>
        <v>1</v>
      </c>
      <c r="Q355" s="164">
        <v>45903.0</v>
      </c>
      <c r="R355" s="164"/>
      <c r="S355" s="164"/>
      <c r="T355" s="164"/>
      <c r="U355" s="164"/>
      <c r="V355" s="164"/>
      <c r="W355" s="164"/>
      <c r="X355" s="164"/>
      <c r="Y355" s="164"/>
      <c r="Z355" s="164"/>
      <c r="AA355" s="165">
        <f t="shared" si="20"/>
        <v>45903</v>
      </c>
      <c r="AB355" s="160" t="s">
        <v>1144</v>
      </c>
      <c r="AC355" s="172"/>
      <c r="AD355" s="168"/>
      <c r="AE355" s="156" t="str">
        <f t="shared" si="21"/>
        <v/>
      </c>
      <c r="AF355" s="107" t="str">
        <f t="shared" si="22"/>
        <v/>
      </c>
      <c r="AG355" s="107" t="str">
        <f t="shared" si="23"/>
        <v/>
      </c>
      <c r="AH355" s="107" t="str">
        <f t="shared" si="24"/>
        <v/>
      </c>
      <c r="AI355" s="157">
        <f t="shared" si="25"/>
        <v>40</v>
      </c>
      <c r="AJ355" s="96"/>
      <c r="AK355" s="169"/>
      <c r="AL355" s="96"/>
      <c r="AM355" s="158">
        <f t="shared" si="12"/>
        <v>0</v>
      </c>
    </row>
    <row r="356" ht="22.5" customHeight="1">
      <c r="A356" s="167"/>
      <c r="B356" s="160" t="s">
        <v>134</v>
      </c>
      <c r="C356" s="160" t="s">
        <v>1131</v>
      </c>
      <c r="D356" s="161">
        <v>45867.0</v>
      </c>
      <c r="E356" s="124" t="str">
        <f t="shared" si="1"/>
        <v>2025</v>
      </c>
      <c r="F356" s="124" t="str">
        <f t="shared" si="2"/>
        <v>07 Jul</v>
      </c>
      <c r="G356" s="124" t="str">
        <f t="shared" si="3"/>
        <v>Selasa</v>
      </c>
      <c r="H356" s="160" t="s">
        <v>1330</v>
      </c>
      <c r="I356" s="125" t="str">
        <f t="array" ref="I356">IFNA(XLOOKUP($H356,'🙎‍♂️ Pasien'!$G$7:$G658,'🙎‍♂️ Pasien'!$H$7:$H658),"")</f>
        <v>M0025078448</v>
      </c>
      <c r="J356" s="125" t="str">
        <f t="array" ref="J356">IFNA(XLOOKUP($H356,'🙎‍♂️ Pasien'!$G$7:$G658,'🙎‍♂️ Pasien'!$L$7:$L658),"")</f>
        <v>PEREMPUAN</v>
      </c>
      <c r="K356" s="125">
        <f t="array" ref="K356">IFNA(XLOOKUP($H356,'🙎‍♂️ Pasien'!$G$7:$G658,'🙎‍♂️ Pasien'!$I$7:$I658),"")</f>
        <v>26</v>
      </c>
      <c r="L356" s="160" t="s">
        <v>79</v>
      </c>
      <c r="M356" s="162" t="str">
        <f t="array" ref="M356">IFNA(XLOOKUP(L356,'⚙️ Pengaturan'!$H$5:$H658,'⚙️ Pengaturan'!$I$5:$I658),"")</f>
        <v>TIM A</v>
      </c>
      <c r="N356" s="163" t="s">
        <v>1132</v>
      </c>
      <c r="O356" s="160" t="s">
        <v>1133</v>
      </c>
      <c r="P356" s="153">
        <f t="shared" si="13"/>
        <v>5</v>
      </c>
      <c r="Q356" s="164">
        <v>45869.0</v>
      </c>
      <c r="R356" s="164">
        <v>45873.0</v>
      </c>
      <c r="S356" s="164">
        <v>45876.0</v>
      </c>
      <c r="T356" s="164">
        <v>45883.0</v>
      </c>
      <c r="U356" s="164">
        <v>45888.0</v>
      </c>
      <c r="V356" s="164"/>
      <c r="W356" s="164"/>
      <c r="X356" s="164"/>
      <c r="Y356" s="164"/>
      <c r="Z356" s="164"/>
      <c r="AA356" s="165">
        <f t="shared" si="20"/>
        <v>45888</v>
      </c>
      <c r="AB356" s="160" t="s">
        <v>1134</v>
      </c>
      <c r="AC356" s="160" t="s">
        <v>1138</v>
      </c>
      <c r="AD356" s="168" t="s">
        <v>1329</v>
      </c>
      <c r="AE356" s="156">
        <f t="shared" si="21"/>
        <v>45888</v>
      </c>
      <c r="AF356" s="107" t="str">
        <f t="shared" si="22"/>
        <v>2025</v>
      </c>
      <c r="AG356" s="107" t="str">
        <f t="shared" si="23"/>
        <v>08 Agu</v>
      </c>
      <c r="AH356" s="107" t="str">
        <f t="shared" si="24"/>
        <v>Sel</v>
      </c>
      <c r="AI356" s="157">
        <f t="shared" si="25"/>
        <v>3</v>
      </c>
      <c r="AJ356" s="96"/>
      <c r="AK356" s="169"/>
      <c r="AL356" s="96"/>
      <c r="AM356" s="158">
        <f t="shared" si="12"/>
        <v>0</v>
      </c>
    </row>
    <row r="357" ht="22.5" customHeight="1">
      <c r="A357" s="167"/>
      <c r="B357" s="160" t="s">
        <v>86</v>
      </c>
      <c r="C357" s="160" t="s">
        <v>1131</v>
      </c>
      <c r="D357" s="161">
        <v>45890.0</v>
      </c>
      <c r="E357" s="124" t="str">
        <f t="shared" si="1"/>
        <v>2025</v>
      </c>
      <c r="F357" s="124" t="str">
        <f t="shared" si="2"/>
        <v>08 Agu</v>
      </c>
      <c r="G357" s="124" t="str">
        <f t="shared" si="3"/>
        <v>Kamis</v>
      </c>
      <c r="H357" s="160" t="s">
        <v>1330</v>
      </c>
      <c r="I357" s="125" t="str">
        <f t="array" ref="I357">IFNA(XLOOKUP($H357,'🙎‍♂️ Pasien'!$G$7:$G658,'🙎‍♂️ Pasien'!$H$7:$H658),"")</f>
        <v>M0025078448</v>
      </c>
      <c r="J357" s="125" t="str">
        <f t="array" ref="J357">IFNA(XLOOKUP($H357,'🙎‍♂️ Pasien'!$G$7:$G658,'🙎‍♂️ Pasien'!$L$7:$L658),"")</f>
        <v>PEREMPUAN</v>
      </c>
      <c r="K357" s="125">
        <f t="array" ref="K357">IFNA(XLOOKUP($H357,'🙎‍♂️ Pasien'!$G$7:$G658,'🙎‍♂️ Pasien'!$I$7:$I658),"")</f>
        <v>26</v>
      </c>
      <c r="L357" s="160" t="s">
        <v>79</v>
      </c>
      <c r="M357" s="162" t="str">
        <f t="array" ref="M357">IFNA(XLOOKUP(L357,'⚙️ Pengaturan'!$H$5:$H658,'⚙️ Pengaturan'!$I$5:$I658),"")</f>
        <v>TIM A</v>
      </c>
      <c r="N357" s="163" t="s">
        <v>1132</v>
      </c>
      <c r="O357" s="160" t="s">
        <v>1139</v>
      </c>
      <c r="P357" s="153">
        <f t="shared" si="13"/>
        <v>1</v>
      </c>
      <c r="Q357" s="164">
        <v>45903.0</v>
      </c>
      <c r="R357" s="164"/>
      <c r="S357" s="164"/>
      <c r="T357" s="164"/>
      <c r="U357" s="164"/>
      <c r="V357" s="164"/>
      <c r="W357" s="164"/>
      <c r="X357" s="164"/>
      <c r="Y357" s="164"/>
      <c r="Z357" s="164"/>
      <c r="AA357" s="165">
        <f t="shared" si="20"/>
        <v>45903</v>
      </c>
      <c r="AB357" s="160" t="s">
        <v>1144</v>
      </c>
      <c r="AC357" s="172"/>
      <c r="AD357" s="168"/>
      <c r="AE357" s="156" t="str">
        <f t="shared" si="21"/>
        <v/>
      </c>
      <c r="AF357" s="107" t="str">
        <f t="shared" si="22"/>
        <v/>
      </c>
      <c r="AG357" s="107" t="str">
        <f t="shared" si="23"/>
        <v/>
      </c>
      <c r="AH357" s="107" t="str">
        <f t="shared" si="24"/>
        <v/>
      </c>
      <c r="AI357" s="157">
        <f t="shared" si="25"/>
        <v>40</v>
      </c>
      <c r="AJ357" s="96"/>
      <c r="AK357" s="169"/>
      <c r="AL357" s="96"/>
      <c r="AM357" s="158">
        <f t="shared" si="12"/>
        <v>0</v>
      </c>
    </row>
    <row r="358" ht="22.5" customHeight="1">
      <c r="A358" s="167"/>
      <c r="B358" s="160" t="s">
        <v>54</v>
      </c>
      <c r="C358" s="160" t="s">
        <v>1131</v>
      </c>
      <c r="D358" s="161">
        <v>45906.0</v>
      </c>
      <c r="E358" s="124" t="str">
        <f t="shared" si="1"/>
        <v>2025</v>
      </c>
      <c r="F358" s="124" t="str">
        <f t="shared" si="2"/>
        <v>09 Sep</v>
      </c>
      <c r="G358" s="124" t="str">
        <f t="shared" si="3"/>
        <v>Sabtu</v>
      </c>
      <c r="H358" s="160" t="s">
        <v>1331</v>
      </c>
      <c r="I358" s="125" t="str">
        <f t="array" ref="I358">IFNA(XLOOKUP($H358,'🙎‍♂️ Pasien'!$G$7:$G658,'🙎‍♂️ Pasien'!$H$7:$H658),"")</f>
        <v/>
      </c>
      <c r="J358" s="125" t="str">
        <f t="array" ref="J358">IFNA(XLOOKUP($H358,'🙎‍♂️ Pasien'!$G$7:$G658,'🙎‍♂️ Pasien'!$L$7:$L658),"")</f>
        <v/>
      </c>
      <c r="K358" s="125" t="str">
        <f t="array" ref="K358">IFNA(XLOOKUP($H358,'🙎‍♂️ Pasien'!$G$7:$G658,'🙎‍♂️ Pasien'!$I$7:$I658),"")</f>
        <v/>
      </c>
      <c r="L358" s="160" t="s">
        <v>107</v>
      </c>
      <c r="M358" s="162" t="str">
        <f t="array" ref="M358">IFNA(XLOOKUP(L358,'⚙️ Pengaturan'!$H$5:$H658,'⚙️ Pengaturan'!$I$5:$I658),"")</f>
        <v>TIM Y</v>
      </c>
      <c r="N358" s="163" t="s">
        <v>1132</v>
      </c>
      <c r="O358" s="160" t="s">
        <v>1133</v>
      </c>
      <c r="P358" s="153">
        <f t="shared" si="13"/>
        <v>5</v>
      </c>
      <c r="Q358" s="164">
        <v>45906.0</v>
      </c>
      <c r="R358" s="164">
        <v>45909.0</v>
      </c>
      <c r="S358" s="164">
        <v>45911.0</v>
      </c>
      <c r="T358" s="164">
        <v>45914.0</v>
      </c>
      <c r="U358" s="164">
        <v>45917.0</v>
      </c>
      <c r="V358" s="164"/>
      <c r="W358" s="164"/>
      <c r="X358" s="164"/>
      <c r="Y358" s="164"/>
      <c r="Z358" s="164"/>
      <c r="AA358" s="165">
        <f t="shared" si="20"/>
        <v>45917</v>
      </c>
      <c r="AB358" s="160" t="s">
        <v>1134</v>
      </c>
      <c r="AC358" s="160" t="s">
        <v>1138</v>
      </c>
      <c r="AD358" s="166"/>
      <c r="AE358" s="156">
        <f t="shared" si="21"/>
        <v>45917</v>
      </c>
      <c r="AF358" s="107" t="str">
        <f t="shared" si="22"/>
        <v>2025</v>
      </c>
      <c r="AG358" s="107" t="str">
        <f t="shared" si="23"/>
        <v>09 Sep</v>
      </c>
      <c r="AH358" s="107" t="str">
        <f t="shared" si="24"/>
        <v>Rab</v>
      </c>
      <c r="AI358" s="157">
        <f t="shared" si="25"/>
        <v>2</v>
      </c>
      <c r="AJ358" s="96"/>
      <c r="AK358" s="169"/>
      <c r="AL358" s="96"/>
      <c r="AM358" s="158">
        <f t="shared" si="12"/>
        <v>0</v>
      </c>
    </row>
    <row r="359" ht="22.5" customHeight="1">
      <c r="A359" s="167"/>
      <c r="B359" s="160" t="s">
        <v>54</v>
      </c>
      <c r="C359" s="160" t="s">
        <v>1131</v>
      </c>
      <c r="D359" s="161">
        <v>45921.0</v>
      </c>
      <c r="E359" s="124" t="str">
        <f t="shared" si="1"/>
        <v>2025</v>
      </c>
      <c r="F359" s="124" t="str">
        <f t="shared" si="2"/>
        <v>09 Sep</v>
      </c>
      <c r="G359" s="124" t="str">
        <f t="shared" si="3"/>
        <v>Minggu</v>
      </c>
      <c r="H359" s="158" t="s">
        <v>1331</v>
      </c>
      <c r="I359" s="125" t="str">
        <f t="array" ref="I359">IFNA(XLOOKUP($H359,'🙎‍♂️ Pasien'!$G$7:$G658,'🙎‍♂️ Pasien'!$H$7:$H658),"")</f>
        <v/>
      </c>
      <c r="J359" s="125" t="str">
        <f t="array" ref="J359">IFNA(XLOOKUP($H359,'🙎‍♂️ Pasien'!$G$7:$G658,'🙎‍♂️ Pasien'!$L$7:$L658),"")</f>
        <v/>
      </c>
      <c r="K359" s="125" t="str">
        <f t="array" ref="K359">IFNA(XLOOKUP($H359,'🙎‍♂️ Pasien'!$G$7:$G658,'🙎‍♂️ Pasien'!$I$7:$I658),"")</f>
        <v/>
      </c>
      <c r="L359" s="160" t="s">
        <v>101</v>
      </c>
      <c r="M359" s="162" t="str">
        <f t="array" ref="M359">IFNA(XLOOKUP(L359,'⚙️ Pengaturan'!$H$5:$H658,'⚙️ Pengaturan'!$I$5:$I658),"")</f>
        <v>MANAJEMEN</v>
      </c>
      <c r="N359" s="163" t="s">
        <v>1132</v>
      </c>
      <c r="O359" s="160" t="s">
        <v>1139</v>
      </c>
      <c r="P359" s="153">
        <f t="shared" si="13"/>
        <v>5</v>
      </c>
      <c r="Q359" s="164">
        <v>45921.0</v>
      </c>
      <c r="R359" s="164">
        <v>45924.0</v>
      </c>
      <c r="S359" s="164">
        <v>45927.0</v>
      </c>
      <c r="T359" s="164">
        <v>45931.0</v>
      </c>
      <c r="U359" s="164">
        <v>45937.0</v>
      </c>
      <c r="V359" s="164"/>
      <c r="W359" s="164"/>
      <c r="X359" s="164"/>
      <c r="Y359" s="164"/>
      <c r="Z359" s="164"/>
      <c r="AA359" s="165">
        <f t="shared" si="20"/>
        <v>45937</v>
      </c>
      <c r="AB359" s="160" t="s">
        <v>1134</v>
      </c>
      <c r="AC359" s="160" t="s">
        <v>1135</v>
      </c>
      <c r="AD359" s="168" t="s">
        <v>1332</v>
      </c>
      <c r="AE359" s="156">
        <f t="shared" si="21"/>
        <v>45937</v>
      </c>
      <c r="AF359" s="107" t="str">
        <f t="shared" si="22"/>
        <v>2025</v>
      </c>
      <c r="AG359" s="107" t="str">
        <f t="shared" si="23"/>
        <v>10 Okt</v>
      </c>
      <c r="AH359" s="107" t="str">
        <f t="shared" si="24"/>
        <v>Sel</v>
      </c>
      <c r="AI359" s="157">
        <f t="shared" si="25"/>
        <v>3</v>
      </c>
      <c r="AJ359" s="96"/>
      <c r="AK359" s="169"/>
      <c r="AL359" s="96"/>
      <c r="AM359" s="158">
        <f t="shared" si="12"/>
        <v>0</v>
      </c>
    </row>
    <row r="360" ht="22.5" customHeight="1">
      <c r="A360" s="167"/>
      <c r="B360" s="160" t="s">
        <v>86</v>
      </c>
      <c r="C360" s="172"/>
      <c r="D360" s="161">
        <v>45824.0</v>
      </c>
      <c r="E360" s="124" t="str">
        <f t="shared" si="1"/>
        <v>2025</v>
      </c>
      <c r="F360" s="124" t="str">
        <f t="shared" si="2"/>
        <v>06 Jun</v>
      </c>
      <c r="G360" s="124" t="str">
        <f t="shared" si="3"/>
        <v>Senin</v>
      </c>
      <c r="H360" s="160" t="s">
        <v>1333</v>
      </c>
      <c r="I360" s="125" t="str">
        <f t="array" ref="I360">IFNA(XLOOKUP($H360,'🙎‍♂️ Pasien'!$G$7:$G658,'🙎‍♂️ Pasien'!$H$7:$H658),"")</f>
        <v>M4624118157</v>
      </c>
      <c r="J360" s="125" t="str">
        <f t="array" ref="J360">IFNA(XLOOKUP($H360,'🙎‍♂️ Pasien'!$G$7:$G658,'🙎‍♂️ Pasien'!$L$7:$L658),"")</f>
        <v>LAKI-LAKI</v>
      </c>
      <c r="K360" s="125">
        <f t="array" ref="K360">IFNA(XLOOKUP($H360,'🙎‍♂️ Pasien'!$G$7:$G658,'🙎‍♂️ Pasien'!$I$7:$I658),"")</f>
        <v>79</v>
      </c>
      <c r="L360" s="160" t="s">
        <v>88</v>
      </c>
      <c r="M360" s="162" t="str">
        <f t="array" ref="M360">IFNA(XLOOKUP(L360,'⚙️ Pengaturan'!$H$5:$H658,'⚙️ Pengaturan'!$I$5:$I658),"")</f>
        <v>TIM Y</v>
      </c>
      <c r="N360" s="163" t="s">
        <v>1132</v>
      </c>
      <c r="O360" s="160" t="s">
        <v>1139</v>
      </c>
      <c r="P360" s="153">
        <f t="shared" si="13"/>
        <v>2</v>
      </c>
      <c r="Q360" s="164">
        <v>45824.0</v>
      </c>
      <c r="R360" s="164">
        <v>45827.0</v>
      </c>
      <c r="S360" s="164"/>
      <c r="T360" s="164"/>
      <c r="U360" s="164"/>
      <c r="V360" s="164"/>
      <c r="W360" s="164"/>
      <c r="X360" s="164"/>
      <c r="Y360" s="164"/>
      <c r="Z360" s="164"/>
      <c r="AA360" s="165">
        <f t="shared" si="20"/>
        <v>45827</v>
      </c>
      <c r="AB360" s="160" t="s">
        <v>1144</v>
      </c>
      <c r="AC360" s="174"/>
      <c r="AD360" s="166"/>
      <c r="AE360" s="156" t="str">
        <f t="shared" si="21"/>
        <v/>
      </c>
      <c r="AF360" s="107" t="str">
        <f t="shared" si="22"/>
        <v/>
      </c>
      <c r="AG360" s="107" t="str">
        <f t="shared" si="23"/>
        <v/>
      </c>
      <c r="AH360" s="107" t="str">
        <f t="shared" si="24"/>
        <v/>
      </c>
      <c r="AI360" s="157">
        <f t="shared" si="25"/>
        <v>52</v>
      </c>
      <c r="AJ360" s="96"/>
      <c r="AK360" s="169"/>
      <c r="AL360" s="96"/>
      <c r="AM360" s="158">
        <f t="shared" si="12"/>
        <v>0</v>
      </c>
    </row>
    <row r="361" ht="22.5" customHeight="1">
      <c r="A361" s="167"/>
      <c r="B361" s="16" t="s">
        <v>54</v>
      </c>
      <c r="C361" s="16" t="s">
        <v>1131</v>
      </c>
      <c r="D361" s="161">
        <v>45916.0</v>
      </c>
      <c r="E361" s="124" t="str">
        <f t="shared" si="1"/>
        <v>2025</v>
      </c>
      <c r="F361" s="124" t="str">
        <f t="shared" si="2"/>
        <v>09 Sep</v>
      </c>
      <c r="G361" s="124" t="str">
        <f t="shared" si="3"/>
        <v>Selasa</v>
      </c>
      <c r="H361" s="160" t="s">
        <v>117</v>
      </c>
      <c r="I361" s="125" t="str">
        <f t="array" ref="I361">IFNA(XLOOKUP($H361,'🙎‍♂️ Pasien'!$G$7:$G658,'🙎‍♂️ Pasien'!$H$7:$H658),"")</f>
        <v>M7525052841</v>
      </c>
      <c r="J361" s="125" t="str">
        <f t="array" ref="J361">IFNA(XLOOKUP($H361,'🙎‍♂️ Pasien'!$G$7:$G658,'🙎‍♂️ Pasien'!$L$7:$L658),"")</f>
        <v>PEREMPUAN</v>
      </c>
      <c r="K361" s="125">
        <f t="array" ref="K361">IFNA(XLOOKUP($H361,'🙎‍♂️ Pasien'!$G$7:$G658,'🙎‍♂️ Pasien'!$I$7:$I658),"")</f>
        <v>50</v>
      </c>
      <c r="L361" s="16" t="s">
        <v>62</v>
      </c>
      <c r="M361" s="125" t="str">
        <f t="array" ref="M361">IFNA(XLOOKUP(L361,'⚙️ Pengaturan'!$H$5:$H658,'⚙️ Pengaturan'!$I$5:$I658),"")</f>
        <v>TIM A</v>
      </c>
      <c r="N361" s="16" t="s">
        <v>1132</v>
      </c>
      <c r="O361" s="16" t="s">
        <v>1133</v>
      </c>
      <c r="P361" s="153">
        <f t="shared" si="13"/>
        <v>5</v>
      </c>
      <c r="Q361" s="154">
        <v>45916.0</v>
      </c>
      <c r="R361" s="154">
        <v>45921.0</v>
      </c>
      <c r="S361" s="154">
        <v>45924.0</v>
      </c>
      <c r="T361" s="154">
        <v>45928.0</v>
      </c>
      <c r="U361" s="154">
        <v>45932.0</v>
      </c>
      <c r="V361" s="154"/>
      <c r="W361" s="154"/>
      <c r="X361" s="154"/>
      <c r="Y361" s="154"/>
      <c r="Z361" s="154"/>
      <c r="AA361" s="155">
        <f t="shared" si="20"/>
        <v>45932</v>
      </c>
      <c r="AB361" s="16" t="s">
        <v>1134</v>
      </c>
      <c r="AC361" s="16" t="s">
        <v>1135</v>
      </c>
      <c r="AD361" s="109" t="s">
        <v>943</v>
      </c>
      <c r="AE361" s="156">
        <f t="shared" si="21"/>
        <v>45932</v>
      </c>
      <c r="AF361" s="107" t="str">
        <f t="shared" si="22"/>
        <v>2025</v>
      </c>
      <c r="AG361" s="107" t="str">
        <f t="shared" si="23"/>
        <v>10 Okt</v>
      </c>
      <c r="AH361" s="107" t="str">
        <f t="shared" si="24"/>
        <v>Kam</v>
      </c>
      <c r="AI361" s="157">
        <f t="shared" si="25"/>
        <v>3</v>
      </c>
      <c r="AJ361" s="96"/>
      <c r="AK361" s="169"/>
      <c r="AL361" s="96"/>
      <c r="AM361" s="158">
        <f t="shared" si="12"/>
        <v>0</v>
      </c>
    </row>
    <row r="362" ht="22.5" customHeight="1">
      <c r="A362" s="167"/>
      <c r="B362" s="160" t="s">
        <v>54</v>
      </c>
      <c r="C362" s="160" t="s">
        <v>1131</v>
      </c>
      <c r="D362" s="161">
        <v>45824.0</v>
      </c>
      <c r="E362" s="124" t="str">
        <f t="shared" si="1"/>
        <v>2025</v>
      </c>
      <c r="F362" s="124" t="str">
        <f t="shared" si="2"/>
        <v>06 Jun</v>
      </c>
      <c r="G362" s="124" t="str">
        <f t="shared" si="3"/>
        <v>Senin</v>
      </c>
      <c r="H362" s="160" t="s">
        <v>1334</v>
      </c>
      <c r="I362" s="125" t="str">
        <f t="array" ref="I362">IFNA(XLOOKUP($H362,'🙎‍♂️ Pasien'!$G$7:$G658,'🙎‍♂️ Pasien'!$H$7:$H658),"")</f>
        <v/>
      </c>
      <c r="J362" s="125" t="str">
        <f t="array" ref="J362">IFNA(XLOOKUP($H362,'🙎‍♂️ Pasien'!$G$7:$G658,'🙎‍♂️ Pasien'!$L$7:$L658),"")</f>
        <v/>
      </c>
      <c r="K362" s="125" t="str">
        <f t="array" ref="K362">IFNA(XLOOKUP($H362,'🙎‍♂️ Pasien'!$G$7:$G658,'🙎‍♂️ Pasien'!$I$7:$I658),"")</f>
        <v/>
      </c>
      <c r="L362" s="160" t="s">
        <v>91</v>
      </c>
      <c r="M362" s="162" t="str">
        <f t="array" ref="M362">IFNA(XLOOKUP(L362,'⚙️ Pengaturan'!$H$5:$H658,'⚙️ Pengaturan'!$I$5:$I658),"")</f>
        <v>TIM Y</v>
      </c>
      <c r="N362" s="163" t="s">
        <v>1132</v>
      </c>
      <c r="O362" s="160" t="s">
        <v>1139</v>
      </c>
      <c r="P362" s="153">
        <f t="shared" si="13"/>
        <v>5</v>
      </c>
      <c r="Q362" s="164">
        <v>45824.0</v>
      </c>
      <c r="R362" s="164">
        <v>45829.0</v>
      </c>
      <c r="S362" s="164">
        <v>45833.0</v>
      </c>
      <c r="T362" s="164">
        <v>45836.0</v>
      </c>
      <c r="U362" s="164">
        <v>45841.0</v>
      </c>
      <c r="V362" s="164"/>
      <c r="W362" s="164"/>
      <c r="X362" s="164"/>
      <c r="Y362" s="164"/>
      <c r="Z362" s="164"/>
      <c r="AA362" s="165">
        <f t="shared" si="20"/>
        <v>45841</v>
      </c>
      <c r="AB362" s="160" t="s">
        <v>1134</v>
      </c>
      <c r="AC362" s="160" t="s">
        <v>1278</v>
      </c>
      <c r="AD362" s="168" t="s">
        <v>1335</v>
      </c>
      <c r="AE362" s="156">
        <f t="shared" si="21"/>
        <v>45841</v>
      </c>
      <c r="AF362" s="107" t="str">
        <f t="shared" si="22"/>
        <v>2025</v>
      </c>
      <c r="AG362" s="107" t="str">
        <f t="shared" si="23"/>
        <v>07 Jul</v>
      </c>
      <c r="AH362" s="107" t="str">
        <f t="shared" si="24"/>
        <v>Kam</v>
      </c>
      <c r="AI362" s="157">
        <f t="shared" si="25"/>
        <v>3</v>
      </c>
      <c r="AJ362" s="96"/>
      <c r="AK362" s="169"/>
      <c r="AL362" s="96"/>
      <c r="AM362" s="158">
        <f t="shared" si="12"/>
        <v>0</v>
      </c>
    </row>
    <row r="363" ht="22.5" customHeight="1">
      <c r="A363" s="167"/>
      <c r="B363" s="20"/>
      <c r="C363" s="20"/>
      <c r="D363" s="123">
        <v>45589.0</v>
      </c>
      <c r="E363" s="124" t="str">
        <f t="shared" si="1"/>
        <v>2024</v>
      </c>
      <c r="F363" s="124" t="str">
        <f t="shared" si="2"/>
        <v>10 Okt</v>
      </c>
      <c r="G363" s="124" t="str">
        <f t="shared" si="3"/>
        <v>Kamis</v>
      </c>
      <c r="H363" s="16" t="s">
        <v>1336</v>
      </c>
      <c r="I363" s="125" t="str">
        <f t="array" ref="I363">IFNA(XLOOKUP($H363,'🙎‍♂️ Pasien'!$G$7:$G658,'🙎‍♂️ Pasien'!$H$7:$H658),"")</f>
        <v>M5024101477</v>
      </c>
      <c r="J363" s="125" t="str">
        <f t="array" ref="J363">IFNA(XLOOKUP($H363,'🙎‍♂️ Pasien'!$G$7:$G658,'🙎‍♂️ Pasien'!$L$7:$L658),"")</f>
        <v>PEREMPUAN</v>
      </c>
      <c r="K363" s="125">
        <f t="array" ref="K363">IFNA(XLOOKUP($H363,'🙎‍♂️ Pasien'!$G$7:$G658,'🙎‍♂️ Pasien'!$I$7:$I658),"")</f>
        <v>76</v>
      </c>
      <c r="L363" s="16" t="s">
        <v>72</v>
      </c>
      <c r="M363" s="125" t="str">
        <f t="array" ref="M363">IFNA(XLOOKUP(L363,'⚙️ Pengaturan'!$H$5:$H658,'⚙️ Pengaturan'!$I$5:$I658),"")</f>
        <v>TIM A</v>
      </c>
      <c r="N363" s="16" t="s">
        <v>1132</v>
      </c>
      <c r="O363" s="16" t="s">
        <v>1133</v>
      </c>
      <c r="P363" s="153">
        <f t="shared" si="13"/>
        <v>1</v>
      </c>
      <c r="Q363" s="154">
        <v>45589.0</v>
      </c>
      <c r="R363" s="154"/>
      <c r="S363" s="154"/>
      <c r="T363" s="154"/>
      <c r="U363" s="154"/>
      <c r="V363" s="154"/>
      <c r="W363" s="154"/>
      <c r="X363" s="154"/>
      <c r="Y363" s="154"/>
      <c r="Z363" s="154"/>
      <c r="AA363" s="155">
        <f t="shared" si="20"/>
        <v>45589</v>
      </c>
      <c r="AB363" s="16" t="s">
        <v>1144</v>
      </c>
      <c r="AC363" s="20"/>
      <c r="AD363" s="170"/>
      <c r="AE363" s="156" t="str">
        <f t="shared" si="21"/>
        <v/>
      </c>
      <c r="AF363" s="107" t="str">
        <f t="shared" si="22"/>
        <v/>
      </c>
      <c r="AG363" s="107" t="str">
        <f t="shared" si="23"/>
        <v/>
      </c>
      <c r="AH363" s="107" t="str">
        <f t="shared" si="24"/>
        <v/>
      </c>
      <c r="AI363" s="157">
        <f t="shared" si="25"/>
        <v>85</v>
      </c>
      <c r="AJ363" s="96"/>
      <c r="AK363" s="169"/>
      <c r="AL363" s="96"/>
      <c r="AM363" s="158">
        <f t="shared" si="12"/>
        <v>0</v>
      </c>
    </row>
    <row r="364" ht="22.5" customHeight="1">
      <c r="A364" s="167"/>
      <c r="B364" s="160" t="s">
        <v>54</v>
      </c>
      <c r="C364" s="160" t="s">
        <v>1131</v>
      </c>
      <c r="D364" s="161">
        <v>45969.0</v>
      </c>
      <c r="E364" s="124" t="str">
        <f t="shared" si="1"/>
        <v>2025</v>
      </c>
      <c r="F364" s="124" t="str">
        <f t="shared" si="2"/>
        <v>11 Nov</v>
      </c>
      <c r="G364" s="124" t="str">
        <f t="shared" si="3"/>
        <v>Sabtu</v>
      </c>
      <c r="H364" s="160" t="s">
        <v>451</v>
      </c>
      <c r="I364" s="125" t="str">
        <f t="array" ref="I364">IFNA(XLOOKUP($H364,'🙎‍♂️ Pasien'!$G$7:$G658,'🙎‍♂️ Pasien'!$H$7:$H658),"")</f>
        <v>M0825116129</v>
      </c>
      <c r="J364" s="125" t="str">
        <f t="array" ref="J364">IFNA(XLOOKUP($H364,'🙎‍♂️ Pasien'!$G$7:$G658,'🙎‍♂️ Pasien'!$L$7:$L658),"")</f>
        <v>LAKI-LAKI</v>
      </c>
      <c r="K364" s="125">
        <f t="array" ref="K364">IFNA(XLOOKUP($H364,'🙎‍♂️ Pasien'!$G$7:$G658,'🙎‍♂️ Pasien'!$I$7:$I658),"")</f>
        <v>18</v>
      </c>
      <c r="L364" s="160" t="s">
        <v>56</v>
      </c>
      <c r="M364" s="162" t="str">
        <f t="array" ref="M364">IFNA(XLOOKUP(L364,'⚙️ Pengaturan'!$H$5:$H658,'⚙️ Pengaturan'!$I$5:$I658),"")</f>
        <v>TIM Y</v>
      </c>
      <c r="N364" s="163" t="s">
        <v>1132</v>
      </c>
      <c r="O364" s="160" t="s">
        <v>1133</v>
      </c>
      <c r="P364" s="153">
        <f t="shared" si="13"/>
        <v>5</v>
      </c>
      <c r="Q364" s="164">
        <v>45969.0</v>
      </c>
      <c r="R364" s="164">
        <v>45976.0</v>
      </c>
      <c r="S364" s="164">
        <v>45979.0</v>
      </c>
      <c r="T364" s="164">
        <v>45983.0</v>
      </c>
      <c r="U364" s="164">
        <v>45991.0</v>
      </c>
      <c r="V364" s="164"/>
      <c r="W364" s="164"/>
      <c r="X364" s="164"/>
      <c r="Y364" s="164"/>
      <c r="Z364" s="164"/>
      <c r="AA364" s="165">
        <f t="shared" si="20"/>
        <v>45991</v>
      </c>
      <c r="AB364" s="160" t="s">
        <v>1134</v>
      </c>
      <c r="AC364" s="160" t="s">
        <v>1135</v>
      </c>
      <c r="AD364" s="168" t="s">
        <v>1337</v>
      </c>
      <c r="AE364" s="156">
        <f t="shared" si="21"/>
        <v>45991</v>
      </c>
      <c r="AF364" s="107" t="str">
        <f t="shared" si="22"/>
        <v>2025</v>
      </c>
      <c r="AG364" s="107" t="str">
        <f t="shared" si="23"/>
        <v>11 Nov</v>
      </c>
      <c r="AH364" s="107" t="str">
        <f t="shared" si="24"/>
        <v>Min</v>
      </c>
      <c r="AI364" s="157">
        <f t="shared" si="25"/>
        <v>4</v>
      </c>
      <c r="AJ364" s="96"/>
      <c r="AK364" s="169"/>
      <c r="AL364" s="96"/>
      <c r="AM364" s="158">
        <f t="shared" si="12"/>
        <v>0</v>
      </c>
    </row>
    <row r="365" ht="22.5" customHeight="1">
      <c r="A365" s="167"/>
      <c r="B365" s="160" t="s">
        <v>86</v>
      </c>
      <c r="C365" s="160" t="s">
        <v>1131</v>
      </c>
      <c r="D365" s="161">
        <v>45995.0</v>
      </c>
      <c r="E365" s="124" t="str">
        <f t="shared" si="1"/>
        <v>2025</v>
      </c>
      <c r="F365" s="124" t="str">
        <f t="shared" si="2"/>
        <v>12 Des</v>
      </c>
      <c r="G365" s="124" t="str">
        <f t="shared" si="3"/>
        <v>Kamis</v>
      </c>
      <c r="H365" s="160" t="s">
        <v>516</v>
      </c>
      <c r="I365" s="125" t="str">
        <f t="array" ref="I365">IFNA(XLOOKUP($H365,'🙎‍♂️ Pasien'!$G$7:$G658,'🙎‍♂️ Pasien'!$H$7:$H658),"")</f>
        <v>M0425117629</v>
      </c>
      <c r="J365" s="125" t="str">
        <f t="array" ref="J365">IFNA(XLOOKUP($H365,'🙎‍♂️ Pasien'!$G$7:$G658,'🙎‍♂️ Pasien'!$L$7:$L658),"")</f>
        <v>PEREMPUAN</v>
      </c>
      <c r="K365" s="125">
        <f t="array" ref="K365">IFNA(XLOOKUP($H365,'🙎‍♂️ Pasien'!$G$7:$G658,'🙎‍♂️ Pasien'!$I$7:$I658),"")</f>
        <v>22</v>
      </c>
      <c r="L365" s="160" t="s">
        <v>62</v>
      </c>
      <c r="M365" s="162" t="str">
        <f t="array" ref="M365">IFNA(XLOOKUP(L365,'⚙️ Pengaturan'!$H$5:$H658,'⚙️ Pengaturan'!$I$5:$I658),"")</f>
        <v>TIM A</v>
      </c>
      <c r="N365" s="163" t="s">
        <v>1132</v>
      </c>
      <c r="O365" s="160" t="s">
        <v>1133</v>
      </c>
      <c r="P365" s="153">
        <f t="shared" si="13"/>
        <v>5</v>
      </c>
      <c r="Q365" s="164">
        <v>45995.0</v>
      </c>
      <c r="R365" s="164">
        <v>45999.0</v>
      </c>
      <c r="S365" s="164">
        <v>46002.0</v>
      </c>
      <c r="T365" s="164">
        <v>46006.0</v>
      </c>
      <c r="U365" s="164">
        <v>46009.0</v>
      </c>
      <c r="V365" s="164"/>
      <c r="W365" s="164"/>
      <c r="X365" s="164"/>
      <c r="Y365" s="164"/>
      <c r="Z365" s="164"/>
      <c r="AA365" s="165">
        <f t="shared" si="20"/>
        <v>46009</v>
      </c>
      <c r="AB365" s="160" t="s">
        <v>1134</v>
      </c>
      <c r="AC365" s="160" t="s">
        <v>1135</v>
      </c>
      <c r="AD365" s="168" t="s">
        <v>1338</v>
      </c>
      <c r="AE365" s="156">
        <f t="shared" si="21"/>
        <v>46009</v>
      </c>
      <c r="AF365" s="107" t="str">
        <f t="shared" si="22"/>
        <v>2025</v>
      </c>
      <c r="AG365" s="107" t="str">
        <f t="shared" si="23"/>
        <v>12 Des</v>
      </c>
      <c r="AH365" s="107" t="str">
        <f t="shared" si="24"/>
        <v>Kam</v>
      </c>
      <c r="AI365" s="157">
        <f t="shared" si="25"/>
        <v>2</v>
      </c>
      <c r="AJ365" s="96"/>
      <c r="AK365" s="169"/>
      <c r="AL365" s="96"/>
      <c r="AM365" s="158">
        <f t="shared" si="12"/>
        <v>0</v>
      </c>
    </row>
    <row r="366" ht="22.5" customHeight="1">
      <c r="A366" s="167"/>
      <c r="B366" s="160" t="s">
        <v>86</v>
      </c>
      <c r="C366" s="160" t="s">
        <v>1131</v>
      </c>
      <c r="D366" s="161">
        <v>45839.0</v>
      </c>
      <c r="E366" s="124" t="str">
        <f t="shared" si="1"/>
        <v>2025</v>
      </c>
      <c r="F366" s="124" t="str">
        <f t="shared" si="2"/>
        <v>07 Jul</v>
      </c>
      <c r="G366" s="124" t="str">
        <f t="shared" si="3"/>
        <v>Selasa</v>
      </c>
      <c r="H366" s="160" t="s">
        <v>335</v>
      </c>
      <c r="I366" s="125" t="str">
        <f t="array" ref="I366">IFNA(XLOOKUP($H366,'🙎‍♂️ Pasien'!$G$7:$G658,'🙎‍♂️ Pasien'!$H$7:$H658),"")</f>
        <v>M8925040551</v>
      </c>
      <c r="J366" s="125" t="str">
        <f t="array" ref="J366">IFNA(XLOOKUP($H366,'🙎‍♂️ Pasien'!$G$7:$G658,'🙎‍♂️ Pasien'!$L$7:$L658),"")</f>
        <v>PEREMPUAN</v>
      </c>
      <c r="K366" s="125">
        <f t="array" ref="K366">IFNA(XLOOKUP($H366,'🙎‍♂️ Pasien'!$G$7:$G658,'🙎‍♂️ Pasien'!$I$7:$I658),"")</f>
        <v>37</v>
      </c>
      <c r="L366" s="160" t="s">
        <v>107</v>
      </c>
      <c r="M366" s="162" t="str">
        <f t="array" ref="M366">IFNA(XLOOKUP(L366,'⚙️ Pengaturan'!$H$5:$H658,'⚙️ Pengaturan'!$I$5:$I658),"")</f>
        <v>TIM Y</v>
      </c>
      <c r="N366" s="163" t="s">
        <v>1132</v>
      </c>
      <c r="O366" s="160" t="s">
        <v>1139</v>
      </c>
      <c r="P366" s="153">
        <f t="shared" si="13"/>
        <v>5</v>
      </c>
      <c r="Q366" s="164">
        <v>45839.0</v>
      </c>
      <c r="R366" s="164">
        <v>45846.0</v>
      </c>
      <c r="S366" s="164">
        <v>45853.0</v>
      </c>
      <c r="T366" s="164">
        <v>45860.0</v>
      </c>
      <c r="U366" s="164">
        <v>45867.0</v>
      </c>
      <c r="V366" s="164"/>
      <c r="W366" s="164"/>
      <c r="X366" s="164"/>
      <c r="Y366" s="164"/>
      <c r="Z366" s="164"/>
      <c r="AA366" s="165">
        <f t="shared" si="20"/>
        <v>45867</v>
      </c>
      <c r="AB366" s="160" t="s">
        <v>1134</v>
      </c>
      <c r="AC366" s="160" t="s">
        <v>1138</v>
      </c>
      <c r="AD366" s="166"/>
      <c r="AE366" s="156">
        <f t="shared" si="21"/>
        <v>45867</v>
      </c>
      <c r="AF366" s="107" t="str">
        <f t="shared" si="22"/>
        <v>2025</v>
      </c>
      <c r="AG366" s="107" t="str">
        <f t="shared" si="23"/>
        <v>07 Jul</v>
      </c>
      <c r="AH366" s="107" t="str">
        <f t="shared" si="24"/>
        <v>Sel</v>
      </c>
      <c r="AI366" s="157">
        <f t="shared" si="25"/>
        <v>4</v>
      </c>
      <c r="AJ366" s="96"/>
      <c r="AK366" s="169"/>
      <c r="AL366" s="96"/>
      <c r="AM366" s="158">
        <f t="shared" si="12"/>
        <v>0</v>
      </c>
    </row>
    <row r="367" ht="22.5" customHeight="1">
      <c r="A367" s="167"/>
      <c r="B367" s="160" t="s">
        <v>134</v>
      </c>
      <c r="C367" s="160" t="s">
        <v>1131</v>
      </c>
      <c r="D367" s="161">
        <v>45874.0</v>
      </c>
      <c r="E367" s="124" t="str">
        <f t="shared" si="1"/>
        <v>2025</v>
      </c>
      <c r="F367" s="124" t="str">
        <f t="shared" si="2"/>
        <v>08 Agu</v>
      </c>
      <c r="G367" s="124" t="str">
        <f t="shared" si="3"/>
        <v>Selasa</v>
      </c>
      <c r="H367" s="160" t="s">
        <v>335</v>
      </c>
      <c r="I367" s="125" t="str">
        <f t="array" ref="I367">IFNA(XLOOKUP($H367,'🙎‍♂️ Pasien'!$G$7:$G658,'🙎‍♂️ Pasien'!$H$7:$H658),"")</f>
        <v>M8925040551</v>
      </c>
      <c r="J367" s="125" t="str">
        <f t="array" ref="J367">IFNA(XLOOKUP($H367,'🙎‍♂️ Pasien'!$G$7:$G658,'🙎‍♂️ Pasien'!$L$7:$L658),"")</f>
        <v>PEREMPUAN</v>
      </c>
      <c r="K367" s="125">
        <f t="array" ref="K367">IFNA(XLOOKUP($H367,'🙎‍♂️ Pasien'!$G$7:$G658,'🙎‍♂️ Pasien'!$I$7:$I658),"")</f>
        <v>37</v>
      </c>
      <c r="L367" s="160" t="s">
        <v>107</v>
      </c>
      <c r="M367" s="162" t="str">
        <f t="array" ref="M367">IFNA(XLOOKUP(L367,'⚙️ Pengaturan'!$H$5:$H658,'⚙️ Pengaturan'!$I$5:$I658),"")</f>
        <v>TIM Y</v>
      </c>
      <c r="N367" s="163" t="s">
        <v>1132</v>
      </c>
      <c r="O367" s="160" t="s">
        <v>1139</v>
      </c>
      <c r="P367" s="153">
        <f t="shared" si="13"/>
        <v>5</v>
      </c>
      <c r="Q367" s="164">
        <v>45874.0</v>
      </c>
      <c r="R367" s="164">
        <v>45878.0</v>
      </c>
      <c r="S367" s="164">
        <v>45881.0</v>
      </c>
      <c r="T367" s="164">
        <v>45885.0</v>
      </c>
      <c r="U367" s="164">
        <v>45888.0</v>
      </c>
      <c r="V367" s="164"/>
      <c r="W367" s="164"/>
      <c r="X367" s="164"/>
      <c r="Y367" s="164"/>
      <c r="Z367" s="164"/>
      <c r="AA367" s="165">
        <f t="shared" si="20"/>
        <v>45888</v>
      </c>
      <c r="AB367" s="160" t="s">
        <v>1134</v>
      </c>
      <c r="AC367" s="160" t="s">
        <v>1138</v>
      </c>
      <c r="AD367" s="168" t="s">
        <v>1339</v>
      </c>
      <c r="AE367" s="156">
        <f t="shared" si="21"/>
        <v>45888</v>
      </c>
      <c r="AF367" s="107" t="str">
        <f t="shared" si="22"/>
        <v>2025</v>
      </c>
      <c r="AG367" s="107" t="str">
        <f t="shared" si="23"/>
        <v>08 Agu</v>
      </c>
      <c r="AH367" s="107" t="str">
        <f t="shared" si="24"/>
        <v>Sel</v>
      </c>
      <c r="AI367" s="157">
        <f t="shared" si="25"/>
        <v>2</v>
      </c>
      <c r="AJ367" s="96"/>
      <c r="AK367" s="169"/>
      <c r="AL367" s="96"/>
      <c r="AM367" s="158">
        <f t="shared" si="12"/>
        <v>0</v>
      </c>
    </row>
    <row r="368" ht="22.5" customHeight="1">
      <c r="A368" s="167"/>
      <c r="B368" s="160" t="s">
        <v>86</v>
      </c>
      <c r="C368" s="160" t="s">
        <v>1131</v>
      </c>
      <c r="D368" s="161">
        <v>45892.0</v>
      </c>
      <c r="E368" s="124" t="str">
        <f t="shared" si="1"/>
        <v>2025</v>
      </c>
      <c r="F368" s="124" t="str">
        <f t="shared" si="2"/>
        <v>08 Agu</v>
      </c>
      <c r="G368" s="124" t="str">
        <f t="shared" si="3"/>
        <v>Sabtu</v>
      </c>
      <c r="H368" s="160" t="s">
        <v>335</v>
      </c>
      <c r="I368" s="125" t="str">
        <f t="array" ref="I368">IFNA(XLOOKUP($H368,'🙎‍♂️ Pasien'!$G$7:$G658,'🙎‍♂️ Pasien'!$H$7:$H658),"")</f>
        <v>M8925040551</v>
      </c>
      <c r="J368" s="125" t="str">
        <f t="array" ref="J368">IFNA(XLOOKUP($H368,'🙎‍♂️ Pasien'!$G$7:$G658,'🙎‍♂️ Pasien'!$L$7:$L658),"")</f>
        <v>PEREMPUAN</v>
      </c>
      <c r="K368" s="125">
        <f t="array" ref="K368">IFNA(XLOOKUP($H368,'🙎‍♂️ Pasien'!$G$7:$G658,'🙎‍♂️ Pasien'!$I$7:$I658),"")</f>
        <v>37</v>
      </c>
      <c r="L368" s="160" t="s">
        <v>107</v>
      </c>
      <c r="M368" s="162" t="str">
        <f t="array" ref="M368">IFNA(XLOOKUP(L368,'⚙️ Pengaturan'!$H$5:$H658,'⚙️ Pengaturan'!$I$5:$I658),"")</f>
        <v>TIM Y</v>
      </c>
      <c r="N368" s="163" t="s">
        <v>1132</v>
      </c>
      <c r="O368" s="160" t="s">
        <v>1139</v>
      </c>
      <c r="P368" s="153">
        <f t="shared" si="13"/>
        <v>5</v>
      </c>
      <c r="Q368" s="164">
        <v>45892.0</v>
      </c>
      <c r="R368" s="164">
        <v>45895.0</v>
      </c>
      <c r="S368" s="164">
        <v>45902.0</v>
      </c>
      <c r="T368" s="164">
        <v>45906.0</v>
      </c>
      <c r="U368" s="164">
        <v>45909.0</v>
      </c>
      <c r="V368" s="164"/>
      <c r="W368" s="164"/>
      <c r="X368" s="164"/>
      <c r="Y368" s="164"/>
      <c r="Z368" s="164"/>
      <c r="AA368" s="165">
        <f t="shared" si="20"/>
        <v>45909</v>
      </c>
      <c r="AB368" s="160" t="s">
        <v>1134</v>
      </c>
      <c r="AC368" s="160" t="s">
        <v>1138</v>
      </c>
      <c r="AD368" s="168"/>
      <c r="AE368" s="156">
        <f t="shared" si="21"/>
        <v>45909</v>
      </c>
      <c r="AF368" s="107" t="str">
        <f t="shared" si="22"/>
        <v>2025</v>
      </c>
      <c r="AG368" s="107" t="str">
        <f t="shared" si="23"/>
        <v>09 Sep</v>
      </c>
      <c r="AH368" s="107" t="str">
        <f t="shared" si="24"/>
        <v>Sel</v>
      </c>
      <c r="AI368" s="157">
        <f t="shared" si="25"/>
        <v>3</v>
      </c>
      <c r="AJ368" s="96"/>
      <c r="AK368" s="169"/>
      <c r="AL368" s="96"/>
      <c r="AM368" s="158">
        <f t="shared" si="12"/>
        <v>0</v>
      </c>
    </row>
    <row r="369" ht="22.5" customHeight="1">
      <c r="A369" s="167"/>
      <c r="B369" s="160" t="s">
        <v>86</v>
      </c>
      <c r="C369" s="160" t="s">
        <v>1131</v>
      </c>
      <c r="D369" s="161">
        <v>45913.0</v>
      </c>
      <c r="E369" s="124" t="str">
        <f t="shared" si="1"/>
        <v>2025</v>
      </c>
      <c r="F369" s="124" t="str">
        <f t="shared" si="2"/>
        <v>09 Sep</v>
      </c>
      <c r="G369" s="124" t="str">
        <f t="shared" si="3"/>
        <v>Sabtu</v>
      </c>
      <c r="H369" s="160" t="s">
        <v>335</v>
      </c>
      <c r="I369" s="125" t="str">
        <f t="array" ref="I369">IFNA(XLOOKUP($H369,'🙎‍♂️ Pasien'!$G$7:$G658,'🙎‍♂️ Pasien'!$H$7:$H658),"")</f>
        <v>M8925040551</v>
      </c>
      <c r="J369" s="125" t="str">
        <f t="array" ref="J369">IFNA(XLOOKUP($H369,'🙎‍♂️ Pasien'!$G$7:$G658,'🙎‍♂️ Pasien'!$L$7:$L658),"")</f>
        <v>PEREMPUAN</v>
      </c>
      <c r="K369" s="125">
        <f t="array" ref="K369">IFNA(XLOOKUP($H369,'🙎‍♂️ Pasien'!$G$7:$G658,'🙎‍♂️ Pasien'!$I$7:$I658),"")</f>
        <v>37</v>
      </c>
      <c r="L369" s="160" t="s">
        <v>107</v>
      </c>
      <c r="M369" s="162" t="str">
        <f t="array" ref="M369">IFNA(XLOOKUP(L369,'⚙️ Pengaturan'!$H$5:$H658,'⚙️ Pengaturan'!$I$5:$I658),"")</f>
        <v>TIM Y</v>
      </c>
      <c r="N369" s="163" t="s">
        <v>1132</v>
      </c>
      <c r="O369" s="160" t="s">
        <v>1139</v>
      </c>
      <c r="P369" s="153">
        <f t="shared" si="13"/>
        <v>5</v>
      </c>
      <c r="Q369" s="164">
        <v>45913.0</v>
      </c>
      <c r="R369" s="164">
        <v>45916.0</v>
      </c>
      <c r="S369" s="164">
        <v>45920.0</v>
      </c>
      <c r="T369" s="164">
        <v>45923.0</v>
      </c>
      <c r="U369" s="164">
        <v>45927.0</v>
      </c>
      <c r="V369" s="164"/>
      <c r="W369" s="164"/>
      <c r="X369" s="164"/>
      <c r="Y369" s="164"/>
      <c r="Z369" s="164"/>
      <c r="AA369" s="165">
        <f t="shared" si="20"/>
        <v>45927</v>
      </c>
      <c r="AB369" s="160" t="s">
        <v>1134</v>
      </c>
      <c r="AC369" s="160" t="s">
        <v>1138</v>
      </c>
      <c r="AD369" s="168"/>
      <c r="AE369" s="156">
        <f t="shared" si="21"/>
        <v>45927</v>
      </c>
      <c r="AF369" s="107" t="str">
        <f t="shared" si="22"/>
        <v>2025</v>
      </c>
      <c r="AG369" s="107" t="str">
        <f t="shared" si="23"/>
        <v>09 Sep</v>
      </c>
      <c r="AH369" s="107" t="str">
        <f t="shared" si="24"/>
        <v>Sab</v>
      </c>
      <c r="AI369" s="157">
        <f t="shared" si="25"/>
        <v>2</v>
      </c>
      <c r="AJ369" s="96"/>
      <c r="AK369" s="169"/>
      <c r="AL369" s="96"/>
      <c r="AM369" s="158">
        <f t="shared" si="12"/>
        <v>0</v>
      </c>
    </row>
    <row r="370" ht="22.5" customHeight="1">
      <c r="A370" s="167"/>
      <c r="B370" s="160" t="s">
        <v>86</v>
      </c>
      <c r="C370" s="160" t="s">
        <v>1131</v>
      </c>
      <c r="D370" s="161">
        <v>45931.0</v>
      </c>
      <c r="E370" s="124" t="str">
        <f t="shared" si="1"/>
        <v>2025</v>
      </c>
      <c r="F370" s="124" t="str">
        <f t="shared" si="2"/>
        <v>10 Okt</v>
      </c>
      <c r="G370" s="124" t="str">
        <f t="shared" si="3"/>
        <v>Rabu</v>
      </c>
      <c r="H370" s="160" t="s">
        <v>335</v>
      </c>
      <c r="I370" s="125" t="str">
        <f t="array" ref="I370">IFNA(XLOOKUP($H370,'🙎‍♂️ Pasien'!$G$7:$G658,'🙎‍♂️ Pasien'!$H$7:$H658),"")</f>
        <v>M8925040551</v>
      </c>
      <c r="J370" s="125" t="str">
        <f t="array" ref="J370">IFNA(XLOOKUP($H370,'🙎‍♂️ Pasien'!$G$7:$G658,'🙎‍♂️ Pasien'!$L$7:$L658),"")</f>
        <v>PEREMPUAN</v>
      </c>
      <c r="K370" s="125">
        <f t="array" ref="K370">IFNA(XLOOKUP($H370,'🙎‍♂️ Pasien'!$G$7:$G658,'🙎‍♂️ Pasien'!$I$7:$I658),"")</f>
        <v>37</v>
      </c>
      <c r="L370" s="160" t="s">
        <v>107</v>
      </c>
      <c r="M370" s="162" t="str">
        <f t="array" ref="M370">IFNA(XLOOKUP(L370,'⚙️ Pengaturan'!$H$5:$H658,'⚙️ Pengaturan'!$I$5:$I658),"")</f>
        <v>TIM Y</v>
      </c>
      <c r="N370" s="163" t="s">
        <v>1132</v>
      </c>
      <c r="O370" s="160" t="s">
        <v>1139</v>
      </c>
      <c r="P370" s="153">
        <f t="shared" si="13"/>
        <v>5</v>
      </c>
      <c r="Q370" s="164">
        <v>45931.0</v>
      </c>
      <c r="R370" s="164">
        <v>45937.0</v>
      </c>
      <c r="S370" s="164">
        <v>45941.0</v>
      </c>
      <c r="T370" s="164">
        <v>45944.0</v>
      </c>
      <c r="U370" s="164">
        <v>45951.0</v>
      </c>
      <c r="V370" s="164"/>
      <c r="W370" s="164"/>
      <c r="X370" s="164"/>
      <c r="Y370" s="164"/>
      <c r="Z370" s="164"/>
      <c r="AA370" s="165">
        <f t="shared" si="20"/>
        <v>45951</v>
      </c>
      <c r="AB370" s="160" t="s">
        <v>1134</v>
      </c>
      <c r="AC370" s="160" t="s">
        <v>1138</v>
      </c>
      <c r="AD370" s="168"/>
      <c r="AE370" s="156">
        <f t="shared" si="21"/>
        <v>45951</v>
      </c>
      <c r="AF370" s="107" t="str">
        <f t="shared" si="22"/>
        <v>2025</v>
      </c>
      <c r="AG370" s="107" t="str">
        <f t="shared" si="23"/>
        <v>10 Okt</v>
      </c>
      <c r="AH370" s="107" t="str">
        <f t="shared" si="24"/>
        <v>Sel</v>
      </c>
      <c r="AI370" s="157">
        <f t="shared" si="25"/>
        <v>3</v>
      </c>
      <c r="AJ370" s="96"/>
      <c r="AK370" s="169"/>
      <c r="AL370" s="96"/>
      <c r="AM370" s="158">
        <f t="shared" si="12"/>
        <v>0</v>
      </c>
    </row>
    <row r="371" ht="22.5" customHeight="1">
      <c r="A371" s="167"/>
      <c r="B371" s="160" t="s">
        <v>54</v>
      </c>
      <c r="C371" s="160" t="s">
        <v>1131</v>
      </c>
      <c r="D371" s="161">
        <v>45955.0</v>
      </c>
      <c r="E371" s="124" t="str">
        <f t="shared" si="1"/>
        <v>2025</v>
      </c>
      <c r="F371" s="124" t="str">
        <f t="shared" si="2"/>
        <v>10 Okt</v>
      </c>
      <c r="G371" s="124" t="str">
        <f t="shared" si="3"/>
        <v>Sabtu</v>
      </c>
      <c r="H371" s="160" t="s">
        <v>335</v>
      </c>
      <c r="I371" s="125" t="str">
        <f t="array" ref="I371">IFNA(XLOOKUP($H371,'🙎‍♂️ Pasien'!$G$7:$G658,'🙎‍♂️ Pasien'!$H$7:$H658),"")</f>
        <v>M8925040551</v>
      </c>
      <c r="J371" s="125" t="str">
        <f t="array" ref="J371">IFNA(XLOOKUP($H371,'🙎‍♂️ Pasien'!$G$7:$G658,'🙎‍♂️ Pasien'!$L$7:$L658),"")</f>
        <v>PEREMPUAN</v>
      </c>
      <c r="K371" s="125">
        <f t="array" ref="K371">IFNA(XLOOKUP($H371,'🙎‍♂️ Pasien'!$G$7:$G658,'🙎‍♂️ Pasien'!$I$7:$I658),"")</f>
        <v>37</v>
      </c>
      <c r="L371" s="160" t="s">
        <v>107</v>
      </c>
      <c r="M371" s="162" t="str">
        <f t="array" ref="M371">IFNA(XLOOKUP(L371,'⚙️ Pengaturan'!$H$5:$H658,'⚙️ Pengaturan'!$I$5:$I658),"")</f>
        <v>TIM Y</v>
      </c>
      <c r="N371" s="163" t="s">
        <v>1132</v>
      </c>
      <c r="O371" s="160" t="s">
        <v>1139</v>
      </c>
      <c r="P371" s="153">
        <f t="shared" si="13"/>
        <v>5</v>
      </c>
      <c r="Q371" s="164">
        <v>45955.0</v>
      </c>
      <c r="R371" s="164">
        <v>45962.0</v>
      </c>
      <c r="S371" s="164">
        <v>45970.0</v>
      </c>
      <c r="T371" s="164">
        <v>45972.0</v>
      </c>
      <c r="U371" s="164">
        <v>45976.0</v>
      </c>
      <c r="V371" s="164"/>
      <c r="W371" s="164"/>
      <c r="X371" s="164"/>
      <c r="Y371" s="164"/>
      <c r="Z371" s="164"/>
      <c r="AA371" s="165">
        <f t="shared" si="20"/>
        <v>45976</v>
      </c>
      <c r="AB371" s="160" t="s">
        <v>1134</v>
      </c>
      <c r="AC371" s="160" t="s">
        <v>1138</v>
      </c>
      <c r="AD371" s="168"/>
      <c r="AE371" s="156">
        <f t="shared" si="21"/>
        <v>45976</v>
      </c>
      <c r="AF371" s="107" t="str">
        <f t="shared" si="22"/>
        <v>2025</v>
      </c>
      <c r="AG371" s="107" t="str">
        <f t="shared" si="23"/>
        <v>11 Nov</v>
      </c>
      <c r="AH371" s="107" t="str">
        <f t="shared" si="24"/>
        <v>Sab</v>
      </c>
      <c r="AI371" s="157">
        <f t="shared" si="25"/>
        <v>3</v>
      </c>
      <c r="AJ371" s="96"/>
      <c r="AK371" s="169"/>
      <c r="AL371" s="96"/>
      <c r="AM371" s="158">
        <f t="shared" si="12"/>
        <v>0</v>
      </c>
    </row>
    <row r="372" ht="22.5" customHeight="1">
      <c r="A372" s="167"/>
      <c r="B372" s="160" t="s">
        <v>54</v>
      </c>
      <c r="C372" s="160" t="s">
        <v>1131</v>
      </c>
      <c r="D372" s="161">
        <v>45979.0</v>
      </c>
      <c r="E372" s="124" t="str">
        <f t="shared" si="1"/>
        <v>2025</v>
      </c>
      <c r="F372" s="124" t="str">
        <f t="shared" si="2"/>
        <v>11 Nov</v>
      </c>
      <c r="G372" s="124" t="str">
        <f t="shared" si="3"/>
        <v>Selasa</v>
      </c>
      <c r="H372" s="160" t="s">
        <v>335</v>
      </c>
      <c r="I372" s="125" t="str">
        <f t="array" ref="I372">IFNA(XLOOKUP($H372,'🙎‍♂️ Pasien'!$G$7:$G658,'🙎‍♂️ Pasien'!$H$7:$H658),"")</f>
        <v>M8925040551</v>
      </c>
      <c r="J372" s="125" t="str">
        <f t="array" ref="J372">IFNA(XLOOKUP($H372,'🙎‍♂️ Pasien'!$G$7:$G658,'🙎‍♂️ Pasien'!$L$7:$L658),"")</f>
        <v>PEREMPUAN</v>
      </c>
      <c r="K372" s="125">
        <f t="array" ref="K372">IFNA(XLOOKUP($H372,'🙎‍♂️ Pasien'!$G$7:$G658,'🙎‍♂️ Pasien'!$I$7:$I658),"")</f>
        <v>37</v>
      </c>
      <c r="L372" s="160" t="s">
        <v>107</v>
      </c>
      <c r="M372" s="162" t="str">
        <f t="array" ref="M372">IFNA(XLOOKUP(L372,'⚙️ Pengaturan'!$H$5:$H658,'⚙️ Pengaturan'!$I$5:$I658),"")</f>
        <v>TIM Y</v>
      </c>
      <c r="N372" s="163" t="s">
        <v>1132</v>
      </c>
      <c r="O372" s="160" t="s">
        <v>1139</v>
      </c>
      <c r="P372" s="153">
        <f t="shared" si="13"/>
        <v>5</v>
      </c>
      <c r="Q372" s="164">
        <v>45979.0</v>
      </c>
      <c r="R372" s="164">
        <v>45983.0</v>
      </c>
      <c r="S372" s="164">
        <v>45990.0</v>
      </c>
      <c r="T372" s="164">
        <v>45993.0</v>
      </c>
      <c r="U372" s="164">
        <v>46000.0</v>
      </c>
      <c r="V372" s="164"/>
      <c r="W372" s="164"/>
      <c r="X372" s="164"/>
      <c r="Y372" s="164"/>
      <c r="Z372" s="164"/>
      <c r="AA372" s="165">
        <f t="shared" si="20"/>
        <v>46000</v>
      </c>
      <c r="AB372" s="160" t="s">
        <v>1134</v>
      </c>
      <c r="AC372" s="160" t="s">
        <v>1138</v>
      </c>
      <c r="AD372" s="168"/>
      <c r="AE372" s="156">
        <f t="shared" si="21"/>
        <v>46000</v>
      </c>
      <c r="AF372" s="107" t="str">
        <f t="shared" si="22"/>
        <v>2025</v>
      </c>
      <c r="AG372" s="107" t="str">
        <f t="shared" si="23"/>
        <v>12 Des</v>
      </c>
      <c r="AH372" s="107" t="str">
        <f t="shared" si="24"/>
        <v>Sel</v>
      </c>
      <c r="AI372" s="157">
        <f t="shared" si="25"/>
        <v>3</v>
      </c>
      <c r="AJ372" s="96"/>
      <c r="AK372" s="169"/>
      <c r="AL372" s="96"/>
      <c r="AM372" s="158">
        <f t="shared" si="12"/>
        <v>0</v>
      </c>
    </row>
    <row r="373" ht="22.5" customHeight="1">
      <c r="A373" s="167"/>
      <c r="B373" s="160" t="s">
        <v>54</v>
      </c>
      <c r="C373" s="160" t="s">
        <v>1131</v>
      </c>
      <c r="D373" s="161">
        <v>46007.0</v>
      </c>
      <c r="E373" s="124" t="str">
        <f t="shared" si="1"/>
        <v>2025</v>
      </c>
      <c r="F373" s="124" t="str">
        <f t="shared" si="2"/>
        <v>12 Des</v>
      </c>
      <c r="G373" s="124" t="str">
        <f t="shared" si="3"/>
        <v>Selasa</v>
      </c>
      <c r="H373" s="160" t="s">
        <v>335</v>
      </c>
      <c r="I373" s="125" t="str">
        <f t="array" ref="I373">IFNA(XLOOKUP($H373,'🙎‍♂️ Pasien'!$G$7:$G658,'🙎‍♂️ Pasien'!$H$7:$H658),"")</f>
        <v>M8925040551</v>
      </c>
      <c r="J373" s="125" t="str">
        <f t="array" ref="J373">IFNA(XLOOKUP($H373,'🙎‍♂️ Pasien'!$G$7:$G658,'🙎‍♂️ Pasien'!$L$7:$L658),"")</f>
        <v>PEREMPUAN</v>
      </c>
      <c r="K373" s="125">
        <f t="array" ref="K373">IFNA(XLOOKUP($H373,'🙎‍♂️ Pasien'!$G$7:$G658,'🙎‍♂️ Pasien'!$I$7:$I658),"")</f>
        <v>37</v>
      </c>
      <c r="L373" s="160" t="s">
        <v>107</v>
      </c>
      <c r="M373" s="162" t="str">
        <f t="array" ref="M373">IFNA(XLOOKUP(L373,'⚙️ Pengaturan'!$H$5:$H658,'⚙️ Pengaturan'!$I$5:$I658),"")</f>
        <v>TIM Y</v>
      </c>
      <c r="N373" s="163" t="s">
        <v>1132</v>
      </c>
      <c r="O373" s="160" t="s">
        <v>1139</v>
      </c>
      <c r="P373" s="153">
        <f t="shared" si="13"/>
        <v>2</v>
      </c>
      <c r="Q373" s="164">
        <v>46007.0</v>
      </c>
      <c r="R373" s="164">
        <v>46012.0</v>
      </c>
      <c r="S373" s="164"/>
      <c r="T373" s="164"/>
      <c r="U373" s="164"/>
      <c r="V373" s="164"/>
      <c r="W373" s="164"/>
      <c r="X373" s="164"/>
      <c r="Y373" s="164"/>
      <c r="Z373" s="164"/>
      <c r="AA373" s="165">
        <f t="shared" si="20"/>
        <v>46012</v>
      </c>
      <c r="AB373" s="160" t="s">
        <v>1144</v>
      </c>
      <c r="AC373" s="172"/>
      <c r="AD373" s="168"/>
      <c r="AE373" s="156" t="str">
        <f t="shared" si="21"/>
        <v/>
      </c>
      <c r="AF373" s="107" t="str">
        <f t="shared" si="22"/>
        <v/>
      </c>
      <c r="AG373" s="107" t="str">
        <f t="shared" si="23"/>
        <v/>
      </c>
      <c r="AH373" s="107" t="str">
        <f t="shared" si="24"/>
        <v/>
      </c>
      <c r="AI373" s="157">
        <f t="shared" si="25"/>
        <v>25</v>
      </c>
      <c r="AJ373" s="96"/>
      <c r="AK373" s="169"/>
      <c r="AL373" s="96"/>
      <c r="AM373" s="158">
        <f t="shared" si="12"/>
        <v>0</v>
      </c>
    </row>
    <row r="374" ht="22.5" customHeight="1">
      <c r="A374" s="167"/>
      <c r="B374" s="163" t="s">
        <v>54</v>
      </c>
      <c r="C374" s="163" t="s">
        <v>1131</v>
      </c>
      <c r="D374" s="161">
        <v>45915.0</v>
      </c>
      <c r="E374" s="124" t="str">
        <f t="shared" si="1"/>
        <v>2025</v>
      </c>
      <c r="F374" s="124" t="str">
        <f t="shared" si="2"/>
        <v>09 Sep</v>
      </c>
      <c r="G374" s="124" t="str">
        <f t="shared" si="3"/>
        <v>Senin</v>
      </c>
      <c r="H374" s="160" t="s">
        <v>307</v>
      </c>
      <c r="I374" s="125" t="str">
        <f t="array" ref="I374">IFNA(XLOOKUP($H374,'🙎‍♂️ Pasien'!$G$7:$G658,'🙎‍♂️ Pasien'!$H$7:$H658),"")</f>
        <v>M9825086178</v>
      </c>
      <c r="J374" s="125" t="str">
        <f t="array" ref="J374">IFNA(XLOOKUP($H374,'🙎‍♂️ Pasien'!$G$7:$G658,'🙎‍♂️ Pasien'!$L$7:$L658),"")</f>
        <v>PEREMPUAN</v>
      </c>
      <c r="K374" s="125">
        <f t="array" ref="K374">IFNA(XLOOKUP($H374,'🙎‍♂️ Pasien'!$G$7:$G658,'🙎‍♂️ Pasien'!$I$7:$I658),"")</f>
        <v>28</v>
      </c>
      <c r="L374" s="16" t="s">
        <v>62</v>
      </c>
      <c r="M374" s="125" t="str">
        <f t="array" ref="M374">IFNA(XLOOKUP(L374,'⚙️ Pengaturan'!$H$5:$H658,'⚙️ Pengaturan'!$I$5:$I658),"")</f>
        <v>TIM A</v>
      </c>
      <c r="N374" s="16" t="s">
        <v>1132</v>
      </c>
      <c r="O374" s="16" t="s">
        <v>1133</v>
      </c>
      <c r="P374" s="153">
        <f t="shared" si="13"/>
        <v>5</v>
      </c>
      <c r="Q374" s="154">
        <v>45915.0</v>
      </c>
      <c r="R374" s="154">
        <v>45918.0</v>
      </c>
      <c r="S374" s="154">
        <v>45922.0</v>
      </c>
      <c r="T374" s="154">
        <v>45931.0</v>
      </c>
      <c r="U374" s="154">
        <v>45939.0</v>
      </c>
      <c r="V374" s="154"/>
      <c r="W374" s="154"/>
      <c r="X374" s="154"/>
      <c r="Y374" s="154"/>
      <c r="Z374" s="154"/>
      <c r="AA374" s="155">
        <f t="shared" si="20"/>
        <v>45939</v>
      </c>
      <c r="AB374" s="16" t="s">
        <v>1134</v>
      </c>
      <c r="AC374" s="16" t="s">
        <v>1138</v>
      </c>
      <c r="AD374" s="170"/>
      <c r="AE374" s="156">
        <f t="shared" si="21"/>
        <v>45939</v>
      </c>
      <c r="AF374" s="107" t="str">
        <f t="shared" si="22"/>
        <v>2025</v>
      </c>
      <c r="AG374" s="107" t="str">
        <f t="shared" si="23"/>
        <v>10 Okt</v>
      </c>
      <c r="AH374" s="107" t="str">
        <f t="shared" si="24"/>
        <v>Kam</v>
      </c>
      <c r="AI374" s="157">
        <f t="shared" si="25"/>
        <v>4</v>
      </c>
      <c r="AJ374" s="96"/>
      <c r="AK374" s="169"/>
      <c r="AL374" s="96"/>
      <c r="AM374" s="158">
        <f t="shared" si="12"/>
        <v>0</v>
      </c>
    </row>
    <row r="375" ht="22.5" customHeight="1">
      <c r="A375" s="167"/>
      <c r="B375" s="163" t="s">
        <v>86</v>
      </c>
      <c r="C375" s="163" t="s">
        <v>1131</v>
      </c>
      <c r="D375" s="161">
        <v>45943.0</v>
      </c>
      <c r="E375" s="124" t="str">
        <f t="shared" si="1"/>
        <v>2025</v>
      </c>
      <c r="F375" s="124" t="str">
        <f t="shared" si="2"/>
        <v>10 Okt</v>
      </c>
      <c r="G375" s="124" t="str">
        <f t="shared" si="3"/>
        <v>Senin</v>
      </c>
      <c r="H375" s="160" t="s">
        <v>307</v>
      </c>
      <c r="I375" s="125" t="str">
        <f t="array" ref="I375">IFNA(XLOOKUP($H375,'🙎‍♂️ Pasien'!$G$7:$G658,'🙎‍♂️ Pasien'!$H$7:$H658),"")</f>
        <v>M9825086178</v>
      </c>
      <c r="J375" s="125" t="str">
        <f t="array" ref="J375">IFNA(XLOOKUP($H375,'🙎‍♂️ Pasien'!$G$7:$G658,'🙎‍♂️ Pasien'!$L$7:$L658),"")</f>
        <v>PEREMPUAN</v>
      </c>
      <c r="K375" s="125">
        <f t="array" ref="K375">IFNA(XLOOKUP($H375,'🙎‍♂️ Pasien'!$G$7:$G658,'🙎‍♂️ Pasien'!$I$7:$I658),"")</f>
        <v>28</v>
      </c>
      <c r="L375" s="16" t="s">
        <v>79</v>
      </c>
      <c r="M375" s="125" t="str">
        <f t="array" ref="M375">IFNA(XLOOKUP(L375,'⚙️ Pengaturan'!$H$5:$H658,'⚙️ Pengaturan'!$I$5:$I658),"")</f>
        <v>TIM A</v>
      </c>
      <c r="N375" s="16" t="s">
        <v>1132</v>
      </c>
      <c r="O375" s="16" t="s">
        <v>1133</v>
      </c>
      <c r="P375" s="153">
        <f t="shared" si="13"/>
        <v>5</v>
      </c>
      <c r="Q375" s="154">
        <v>45943.0</v>
      </c>
      <c r="R375" s="154">
        <v>45945.0</v>
      </c>
      <c r="S375" s="154">
        <v>45951.0</v>
      </c>
      <c r="T375" s="154">
        <v>45958.0</v>
      </c>
      <c r="U375" s="154">
        <v>45965.0</v>
      </c>
      <c r="V375" s="154"/>
      <c r="W375" s="154"/>
      <c r="X375" s="154"/>
      <c r="Y375" s="154"/>
      <c r="Z375" s="154"/>
      <c r="AA375" s="155">
        <f t="shared" si="20"/>
        <v>45965</v>
      </c>
      <c r="AB375" s="16" t="s">
        <v>1134</v>
      </c>
      <c r="AC375" s="16" t="s">
        <v>1135</v>
      </c>
      <c r="AD375" s="109" t="s">
        <v>1340</v>
      </c>
      <c r="AE375" s="156">
        <f t="shared" si="21"/>
        <v>45965</v>
      </c>
      <c r="AF375" s="107" t="str">
        <f t="shared" si="22"/>
        <v>2025</v>
      </c>
      <c r="AG375" s="107" t="str">
        <f t="shared" si="23"/>
        <v>11 Nov</v>
      </c>
      <c r="AH375" s="107" t="str">
        <f t="shared" si="24"/>
        <v>Sel</v>
      </c>
      <c r="AI375" s="157">
        <f t="shared" si="25"/>
        <v>4</v>
      </c>
      <c r="AJ375" s="96"/>
      <c r="AK375" s="169"/>
      <c r="AL375" s="96"/>
      <c r="AM375" s="158">
        <f t="shared" si="12"/>
        <v>0</v>
      </c>
    </row>
    <row r="376" ht="22.5" customHeight="1">
      <c r="A376" s="167"/>
      <c r="B376" s="160" t="s">
        <v>86</v>
      </c>
      <c r="C376" s="160" t="s">
        <v>1131</v>
      </c>
      <c r="D376" s="161">
        <v>45836.0</v>
      </c>
      <c r="E376" s="124" t="str">
        <f t="shared" si="1"/>
        <v>2025</v>
      </c>
      <c r="F376" s="124" t="str">
        <f t="shared" si="2"/>
        <v>06 Jun</v>
      </c>
      <c r="G376" s="124" t="str">
        <f t="shared" si="3"/>
        <v>Sabtu</v>
      </c>
      <c r="H376" s="160" t="s">
        <v>1341</v>
      </c>
      <c r="I376" s="125" t="str">
        <f t="array" ref="I376">IFNA(XLOOKUP($H376,'🙎‍♂️ Pasien'!$G$7:$G658,'🙎‍♂️ Pasien'!$H$7:$H658),"")</f>
        <v>M7925042960</v>
      </c>
      <c r="J376" s="125" t="str">
        <f t="array" ref="J376">IFNA(XLOOKUP($H376,'🙎‍♂️ Pasien'!$G$7:$G658,'🙎‍♂️ Pasien'!$L$7:$L658),"")</f>
        <v>PEREMPUAN</v>
      </c>
      <c r="K376" s="125">
        <f t="array" ref="K376">IFNA(XLOOKUP($H376,'🙎‍♂️ Pasien'!$G$7:$G658,'🙎‍♂️ Pasien'!$I$7:$I658),"")</f>
        <v>47</v>
      </c>
      <c r="L376" s="160" t="s">
        <v>91</v>
      </c>
      <c r="M376" s="162" t="str">
        <f t="array" ref="M376">IFNA(XLOOKUP(L376,'⚙️ Pengaturan'!$H$5:$H658,'⚙️ Pengaturan'!$I$5:$I658),"")</f>
        <v>TIM Y</v>
      </c>
      <c r="N376" s="163" t="s">
        <v>1132</v>
      </c>
      <c r="O376" s="160" t="s">
        <v>1133</v>
      </c>
      <c r="P376" s="153">
        <f t="shared" si="13"/>
        <v>5</v>
      </c>
      <c r="Q376" s="164">
        <v>45838.0</v>
      </c>
      <c r="R376" s="164">
        <v>45840.0</v>
      </c>
      <c r="S376" s="164">
        <v>45842.0</v>
      </c>
      <c r="T376" s="164">
        <v>45842.0</v>
      </c>
      <c r="U376" s="164">
        <v>45845.0</v>
      </c>
      <c r="V376" s="164"/>
      <c r="W376" s="164"/>
      <c r="X376" s="164"/>
      <c r="Y376" s="164"/>
      <c r="Z376" s="164"/>
      <c r="AA376" s="165">
        <f t="shared" si="20"/>
        <v>45845</v>
      </c>
      <c r="AB376" s="160" t="s">
        <v>1134</v>
      </c>
      <c r="AC376" s="160" t="s">
        <v>1135</v>
      </c>
      <c r="AD376" s="168" t="s">
        <v>1147</v>
      </c>
      <c r="AE376" s="156">
        <f t="shared" si="21"/>
        <v>45845</v>
      </c>
      <c r="AF376" s="107" t="str">
        <f t="shared" si="22"/>
        <v>2025</v>
      </c>
      <c r="AG376" s="107" t="str">
        <f t="shared" si="23"/>
        <v>07 Jul</v>
      </c>
      <c r="AH376" s="107" t="str">
        <f t="shared" si="24"/>
        <v>Sen</v>
      </c>
      <c r="AI376" s="157">
        <f t="shared" si="25"/>
        <v>1</v>
      </c>
      <c r="AJ376" s="96"/>
      <c r="AK376" s="169"/>
      <c r="AL376" s="96"/>
      <c r="AM376" s="158">
        <f t="shared" si="12"/>
        <v>0</v>
      </c>
    </row>
    <row r="377" ht="22.5" customHeight="1">
      <c r="A377" s="167"/>
      <c r="B377" s="171"/>
      <c r="C377" s="171"/>
      <c r="D377" s="161">
        <v>45720.0</v>
      </c>
      <c r="E377" s="124" t="str">
        <f t="shared" si="1"/>
        <v>2025</v>
      </c>
      <c r="F377" s="124" t="str">
        <f t="shared" si="2"/>
        <v>03 Mar</v>
      </c>
      <c r="G377" s="124" t="str">
        <f t="shared" si="3"/>
        <v>Selasa</v>
      </c>
      <c r="H377" s="16" t="s">
        <v>1342</v>
      </c>
      <c r="I377" s="125" t="str">
        <f t="array" ref="I377">IFNA(XLOOKUP($H377,'🙎‍♂️ Pasien'!$G$7:$G658,'🙎‍♂️ Pasien'!$H$7:$H658),"")</f>
        <v/>
      </c>
      <c r="J377" s="125" t="str">
        <f t="array" ref="J377">IFNA(XLOOKUP($H377,'🙎‍♂️ Pasien'!$G$7:$G658,'🙎‍♂️ Pasien'!$L$7:$L658),"")</f>
        <v/>
      </c>
      <c r="K377" s="125" t="str">
        <f t="array" ref="K377">IFNA(XLOOKUP($H377,'🙎‍♂️ Pasien'!$G$7:$G658,'🙎‍♂️ Pasien'!$I$7:$I658),"")</f>
        <v/>
      </c>
      <c r="L377" s="16" t="s">
        <v>607</v>
      </c>
      <c r="M377" s="125" t="str">
        <f t="array" ref="M377">IFNA(XLOOKUP(L377,'⚙️ Pengaturan'!$H$5:$H658,'⚙️ Pengaturan'!$I$5:$I658),"")</f>
        <v/>
      </c>
      <c r="N377" s="16" t="s">
        <v>1132</v>
      </c>
      <c r="O377" s="16" t="s">
        <v>1133</v>
      </c>
      <c r="P377" s="153">
        <f t="shared" si="13"/>
        <v>4</v>
      </c>
      <c r="Q377" s="154">
        <v>45720.0</v>
      </c>
      <c r="R377" s="154">
        <v>45726.0</v>
      </c>
      <c r="S377" s="154">
        <v>45734.0</v>
      </c>
      <c r="T377" s="154">
        <v>45741.0</v>
      </c>
      <c r="U377" s="154"/>
      <c r="V377" s="154"/>
      <c r="W377" s="154"/>
      <c r="X377" s="154"/>
      <c r="Y377" s="154"/>
      <c r="Z377" s="154"/>
      <c r="AA377" s="155">
        <f t="shared" si="20"/>
        <v>45741</v>
      </c>
      <c r="AB377" s="16" t="s">
        <v>1144</v>
      </c>
      <c r="AC377" s="20"/>
      <c r="AD377" s="170"/>
      <c r="AE377" s="156" t="str">
        <f t="shared" si="21"/>
        <v/>
      </c>
      <c r="AF377" s="107" t="str">
        <f t="shared" si="22"/>
        <v/>
      </c>
      <c r="AG377" s="107" t="str">
        <f t="shared" si="23"/>
        <v/>
      </c>
      <c r="AH377" s="107" t="str">
        <f t="shared" si="24"/>
        <v/>
      </c>
      <c r="AI377" s="157">
        <f t="shared" si="25"/>
        <v>66</v>
      </c>
      <c r="AJ377" s="96"/>
      <c r="AK377" s="169"/>
      <c r="AL377" s="96"/>
      <c r="AM377" s="158">
        <f t="shared" si="12"/>
        <v>0</v>
      </c>
    </row>
    <row r="378" ht="22.5" customHeight="1">
      <c r="A378" s="167"/>
      <c r="B378" s="160" t="s">
        <v>54</v>
      </c>
      <c r="C378" s="160" t="s">
        <v>1131</v>
      </c>
      <c r="D378" s="161">
        <v>45913.0</v>
      </c>
      <c r="E378" s="124" t="str">
        <f t="shared" si="1"/>
        <v>2025</v>
      </c>
      <c r="F378" s="124" t="str">
        <f t="shared" si="2"/>
        <v>09 Sep</v>
      </c>
      <c r="G378" s="124" t="str">
        <f t="shared" si="3"/>
        <v>Sabtu</v>
      </c>
      <c r="H378" s="160" t="s">
        <v>209</v>
      </c>
      <c r="I378" s="125" t="str">
        <f t="array" ref="I378">IFNA(XLOOKUP($H378,'🙎‍♂️ Pasien'!$G$7:$G658,'🙎‍♂️ Pasien'!$H$7:$H658),"")</f>
        <v>M6825090</v>
      </c>
      <c r="J378" s="125" t="str">
        <f t="array" ref="J378">IFNA(XLOOKUP($H378,'🙎‍♂️ Pasien'!$G$7:$G658,'🙎‍♂️ Pasien'!$L$7:$L658),"")</f>
        <v>LAKI-LAKI</v>
      </c>
      <c r="K378" s="125">
        <f t="array" ref="K378">IFNA(XLOOKUP($H378,'🙎‍♂️ Pasien'!$G$7:$G658,'🙎‍♂️ Pasien'!$I$7:$I658),"")</f>
        <v>57</v>
      </c>
      <c r="L378" s="160" t="s">
        <v>56</v>
      </c>
      <c r="M378" s="162" t="str">
        <f t="array" ref="M378">IFNA(XLOOKUP(L378,'⚙️ Pengaturan'!$H$5:$H658,'⚙️ Pengaturan'!$I$5:$I658),"")</f>
        <v>TIM Y</v>
      </c>
      <c r="N378" s="163" t="s">
        <v>1132</v>
      </c>
      <c r="O378" s="160" t="s">
        <v>1133</v>
      </c>
      <c r="P378" s="153">
        <f t="shared" si="13"/>
        <v>5</v>
      </c>
      <c r="Q378" s="164">
        <v>45915.0</v>
      </c>
      <c r="R378" s="164">
        <v>45918.0</v>
      </c>
      <c r="S378" s="164">
        <v>45922.0</v>
      </c>
      <c r="T378" s="164">
        <v>45924.0</v>
      </c>
      <c r="U378" s="164">
        <v>45927.0</v>
      </c>
      <c r="V378" s="164"/>
      <c r="W378" s="164"/>
      <c r="X378" s="164"/>
      <c r="Y378" s="164"/>
      <c r="Z378" s="164"/>
      <c r="AA378" s="165">
        <f t="shared" si="20"/>
        <v>45927</v>
      </c>
      <c r="AB378" s="160" t="s">
        <v>1134</v>
      </c>
      <c r="AC378" s="160" t="s">
        <v>1138</v>
      </c>
      <c r="AD378" s="166"/>
      <c r="AE378" s="156">
        <f t="shared" si="21"/>
        <v>45927</v>
      </c>
      <c r="AF378" s="107" t="str">
        <f t="shared" si="22"/>
        <v>2025</v>
      </c>
      <c r="AG378" s="107" t="str">
        <f t="shared" si="23"/>
        <v>09 Sep</v>
      </c>
      <c r="AH378" s="107" t="str">
        <f t="shared" si="24"/>
        <v>Sab</v>
      </c>
      <c r="AI378" s="157">
        <f t="shared" si="25"/>
        <v>2</v>
      </c>
      <c r="AJ378" s="96"/>
      <c r="AK378" s="169"/>
      <c r="AL378" s="96"/>
      <c r="AM378" s="158">
        <f t="shared" si="12"/>
        <v>0</v>
      </c>
    </row>
    <row r="379" ht="22.5" customHeight="1">
      <c r="A379" s="167"/>
      <c r="B379" s="160" t="s">
        <v>54</v>
      </c>
      <c r="C379" s="160" t="s">
        <v>1131</v>
      </c>
      <c r="D379" s="161">
        <v>45932.0</v>
      </c>
      <c r="E379" s="124" t="str">
        <f t="shared" si="1"/>
        <v>2025</v>
      </c>
      <c r="F379" s="124" t="str">
        <f t="shared" si="2"/>
        <v>10 Okt</v>
      </c>
      <c r="G379" s="124" t="str">
        <f t="shared" si="3"/>
        <v>Kamis</v>
      </c>
      <c r="H379" s="160" t="s">
        <v>209</v>
      </c>
      <c r="I379" s="125" t="str">
        <f t="array" ref="I379">IFNA(XLOOKUP($H379,'🙎‍♂️ Pasien'!$G$7:$G658,'🙎‍♂️ Pasien'!$H$7:$H658),"")</f>
        <v>M6825090</v>
      </c>
      <c r="J379" s="125" t="str">
        <f t="array" ref="J379">IFNA(XLOOKUP($H379,'🙎‍♂️ Pasien'!$G$7:$G658,'🙎‍♂️ Pasien'!$L$7:$L658),"")</f>
        <v>LAKI-LAKI</v>
      </c>
      <c r="K379" s="125">
        <f t="array" ref="K379">IFNA(XLOOKUP($H379,'🙎‍♂️ Pasien'!$G$7:$G658,'🙎‍♂️ Pasien'!$I$7:$I658),"")</f>
        <v>57</v>
      </c>
      <c r="L379" s="160" t="s">
        <v>62</v>
      </c>
      <c r="M379" s="162" t="str">
        <f t="array" ref="M379">IFNA(XLOOKUP(L379,'⚙️ Pengaturan'!$H$5:$H658,'⚙️ Pengaturan'!$I$5:$I658),"")</f>
        <v>TIM A</v>
      </c>
      <c r="N379" s="163" t="s">
        <v>1132</v>
      </c>
      <c r="O379" s="160" t="s">
        <v>1139</v>
      </c>
      <c r="P379" s="153">
        <f t="shared" si="13"/>
        <v>5</v>
      </c>
      <c r="Q379" s="164">
        <v>45932.0</v>
      </c>
      <c r="R379" s="164">
        <v>45934.0</v>
      </c>
      <c r="S379" s="164">
        <v>45937.0</v>
      </c>
      <c r="T379" s="164">
        <v>45939.0</v>
      </c>
      <c r="U379" s="164">
        <v>45941.0</v>
      </c>
      <c r="V379" s="164"/>
      <c r="W379" s="164"/>
      <c r="X379" s="164"/>
      <c r="Y379" s="164"/>
      <c r="Z379" s="164"/>
      <c r="AA379" s="165">
        <f t="shared" si="20"/>
        <v>45941</v>
      </c>
      <c r="AB379" s="160" t="s">
        <v>1134</v>
      </c>
      <c r="AC379" s="160" t="s">
        <v>1138</v>
      </c>
      <c r="AD379" s="166"/>
      <c r="AE379" s="156">
        <f t="shared" si="21"/>
        <v>45941</v>
      </c>
      <c r="AF379" s="107" t="str">
        <f t="shared" si="22"/>
        <v>2025</v>
      </c>
      <c r="AG379" s="107" t="str">
        <f t="shared" si="23"/>
        <v>10 Okt</v>
      </c>
      <c r="AH379" s="107" t="str">
        <f t="shared" si="24"/>
        <v>Sab</v>
      </c>
      <c r="AI379" s="157">
        <f t="shared" si="25"/>
        <v>2</v>
      </c>
      <c r="AJ379" s="96"/>
      <c r="AK379" s="169"/>
      <c r="AL379" s="96"/>
      <c r="AM379" s="158">
        <f t="shared" si="12"/>
        <v>0</v>
      </c>
    </row>
    <row r="380" ht="22.5" customHeight="1">
      <c r="A380" s="167"/>
      <c r="B380" s="160" t="s">
        <v>54</v>
      </c>
      <c r="C380" s="160" t="s">
        <v>1131</v>
      </c>
      <c r="D380" s="161">
        <v>45944.0</v>
      </c>
      <c r="E380" s="124" t="str">
        <f t="shared" si="1"/>
        <v>2025</v>
      </c>
      <c r="F380" s="124" t="str">
        <f t="shared" si="2"/>
        <v>10 Okt</v>
      </c>
      <c r="G380" s="124" t="str">
        <f t="shared" si="3"/>
        <v>Selasa</v>
      </c>
      <c r="H380" s="160" t="s">
        <v>209</v>
      </c>
      <c r="I380" s="125" t="str">
        <f t="array" ref="I380">IFNA(XLOOKUP($H380,'🙎‍♂️ Pasien'!$G$7:$G658,'🙎‍♂️ Pasien'!$H$7:$H658),"")</f>
        <v>M6825090</v>
      </c>
      <c r="J380" s="125" t="str">
        <f t="array" ref="J380">IFNA(XLOOKUP($H380,'🙎‍♂️ Pasien'!$G$7:$G658,'🙎‍♂️ Pasien'!$L$7:$L658),"")</f>
        <v>LAKI-LAKI</v>
      </c>
      <c r="K380" s="125">
        <f t="array" ref="K380">IFNA(XLOOKUP($H380,'🙎‍♂️ Pasien'!$G$7:$G658,'🙎‍♂️ Pasien'!$I$7:$I658),"")</f>
        <v>57</v>
      </c>
      <c r="L380" s="160" t="s">
        <v>91</v>
      </c>
      <c r="M380" s="162" t="str">
        <f t="array" ref="M380">IFNA(XLOOKUP(L380,'⚙️ Pengaturan'!$H$5:$H658,'⚙️ Pengaturan'!$I$5:$I658),"")</f>
        <v>TIM Y</v>
      </c>
      <c r="N380" s="163" t="s">
        <v>1132</v>
      </c>
      <c r="O380" s="160" t="s">
        <v>1139</v>
      </c>
      <c r="P380" s="153">
        <f t="shared" si="13"/>
        <v>5</v>
      </c>
      <c r="Q380" s="164">
        <v>45944.0</v>
      </c>
      <c r="R380" s="164">
        <v>45946.0</v>
      </c>
      <c r="S380" s="164">
        <v>45949.0</v>
      </c>
      <c r="T380" s="164">
        <v>45955.0</v>
      </c>
      <c r="U380" s="164">
        <v>45958.0</v>
      </c>
      <c r="V380" s="164"/>
      <c r="W380" s="164"/>
      <c r="X380" s="164"/>
      <c r="Y380" s="164"/>
      <c r="Z380" s="164"/>
      <c r="AA380" s="165">
        <f t="shared" si="20"/>
        <v>45958</v>
      </c>
      <c r="AB380" s="160" t="s">
        <v>1134</v>
      </c>
      <c r="AC380" s="160" t="s">
        <v>1138</v>
      </c>
      <c r="AD380" s="166"/>
      <c r="AE380" s="156">
        <f t="shared" si="21"/>
        <v>45958</v>
      </c>
      <c r="AF380" s="107" t="str">
        <f t="shared" si="22"/>
        <v>2025</v>
      </c>
      <c r="AG380" s="107" t="str">
        <f t="shared" si="23"/>
        <v>10 Okt</v>
      </c>
      <c r="AH380" s="107" t="str">
        <f t="shared" si="24"/>
        <v>Sel</v>
      </c>
      <c r="AI380" s="157">
        <f t="shared" si="25"/>
        <v>2</v>
      </c>
      <c r="AJ380" s="96"/>
      <c r="AK380" s="169"/>
      <c r="AL380" s="96"/>
      <c r="AM380" s="158">
        <f t="shared" si="12"/>
        <v>0</v>
      </c>
    </row>
    <row r="381" ht="22.5" customHeight="1">
      <c r="A381" s="152"/>
      <c r="B381" s="160" t="s">
        <v>86</v>
      </c>
      <c r="C381" s="160" t="s">
        <v>1131</v>
      </c>
      <c r="D381" s="161">
        <v>45849.0</v>
      </c>
      <c r="E381" s="124" t="str">
        <f t="shared" si="1"/>
        <v>2025</v>
      </c>
      <c r="F381" s="124" t="str">
        <f t="shared" si="2"/>
        <v>07 Jul</v>
      </c>
      <c r="G381" s="124" t="str">
        <f t="shared" si="3"/>
        <v>Jumat</v>
      </c>
      <c r="H381" s="160" t="s">
        <v>249</v>
      </c>
      <c r="I381" s="125" t="str">
        <f t="array" ref="I381">IFNA(XLOOKUP($H381,'🙎‍♂️ Pasien'!$G$7:$G658,'🙎‍♂️ Pasien'!$H$7:$H658),"")</f>
        <v>M7625071479</v>
      </c>
      <c r="J381" s="125" t="str">
        <f t="array" ref="J381">IFNA(XLOOKUP($H381,'🙎‍♂️ Pasien'!$G$7:$G658,'🙎‍♂️ Pasien'!$L$7:$L658),"")</f>
        <v>PEREMPUAN</v>
      </c>
      <c r="K381" s="125">
        <f t="array" ref="K381">IFNA(XLOOKUP($H381,'🙎‍♂️ Pasien'!$G$7:$G658,'🙎‍♂️ Pasien'!$I$7:$I658),"")</f>
        <v>50</v>
      </c>
      <c r="L381" s="160" t="s">
        <v>72</v>
      </c>
      <c r="M381" s="162" t="str">
        <f t="array" ref="M381">IFNA(XLOOKUP(L381,'⚙️ Pengaturan'!$H$5:$H658,'⚙️ Pengaturan'!$I$5:$I658),"")</f>
        <v>TIM A</v>
      </c>
      <c r="N381" s="163" t="s">
        <v>1137</v>
      </c>
      <c r="O381" s="160" t="s">
        <v>1133</v>
      </c>
      <c r="P381" s="153">
        <f t="shared" si="13"/>
        <v>10</v>
      </c>
      <c r="Q381" s="164">
        <v>45849.0</v>
      </c>
      <c r="R381" s="164">
        <v>45852.0</v>
      </c>
      <c r="S381" s="164">
        <v>45854.0</v>
      </c>
      <c r="T381" s="164">
        <v>45854.0</v>
      </c>
      <c r="U381" s="164">
        <v>45857.0</v>
      </c>
      <c r="V381" s="164">
        <v>45860.0</v>
      </c>
      <c r="W381" s="164">
        <v>45860.0</v>
      </c>
      <c r="X381" s="164">
        <v>45862.0</v>
      </c>
      <c r="Y381" s="164">
        <v>45864.0</v>
      </c>
      <c r="Z381" s="164">
        <v>45849.0</v>
      </c>
      <c r="AA381" s="165">
        <f t="shared" si="20"/>
        <v>45864</v>
      </c>
      <c r="AB381" s="160" t="s">
        <v>1134</v>
      </c>
      <c r="AC381" s="160" t="s">
        <v>1138</v>
      </c>
      <c r="AD381" s="166"/>
      <c r="AE381" s="156">
        <f t="shared" si="21"/>
        <v>45849</v>
      </c>
      <c r="AF381" s="107" t="str">
        <f t="shared" si="22"/>
        <v>2025</v>
      </c>
      <c r="AG381" s="107" t="str">
        <f t="shared" si="23"/>
        <v>07 Jul</v>
      </c>
      <c r="AH381" s="107" t="str">
        <f t="shared" si="24"/>
        <v>Jum</v>
      </c>
      <c r="AI381" s="157">
        <f t="shared" si="25"/>
        <v>0</v>
      </c>
      <c r="AJ381" s="158"/>
      <c r="AK381" s="159"/>
      <c r="AL381" s="158"/>
      <c r="AM381" s="158">
        <f t="shared" si="12"/>
        <v>0</v>
      </c>
    </row>
    <row r="382" ht="22.5" customHeight="1">
      <c r="A382" s="167"/>
      <c r="B382" s="160" t="s">
        <v>86</v>
      </c>
      <c r="C382" s="160" t="s">
        <v>1131</v>
      </c>
      <c r="D382" s="161">
        <v>45867.0</v>
      </c>
      <c r="E382" s="124" t="str">
        <f t="shared" si="1"/>
        <v>2025</v>
      </c>
      <c r="F382" s="124" t="str">
        <f t="shared" si="2"/>
        <v>07 Jul</v>
      </c>
      <c r="G382" s="124" t="str">
        <f t="shared" si="3"/>
        <v>Selasa</v>
      </c>
      <c r="H382" s="160" t="s">
        <v>249</v>
      </c>
      <c r="I382" s="125" t="str">
        <f t="array" ref="I382">IFNA(XLOOKUP($H382,'🙎‍♂️ Pasien'!$G$7:$G658,'🙎‍♂️ Pasien'!$H$7:$H658),"")</f>
        <v>M7625071479</v>
      </c>
      <c r="J382" s="125" t="str">
        <f t="array" ref="J382">IFNA(XLOOKUP($H382,'🙎‍♂️ Pasien'!$G$7:$G658,'🙎‍♂️ Pasien'!$L$7:$L658),"")</f>
        <v>PEREMPUAN</v>
      </c>
      <c r="K382" s="125">
        <f t="array" ref="K382">IFNA(XLOOKUP($H382,'🙎‍♂️ Pasien'!$G$7:$G658,'🙎‍♂️ Pasien'!$I$7:$I658),"")</f>
        <v>50</v>
      </c>
      <c r="L382" s="160" t="s">
        <v>72</v>
      </c>
      <c r="M382" s="162" t="str">
        <f t="array" ref="M382">IFNA(XLOOKUP(L382,'⚙️ Pengaturan'!$H$5:$H658,'⚙️ Pengaturan'!$I$5:$I658),"")</f>
        <v>TIM A</v>
      </c>
      <c r="N382" s="163" t="s">
        <v>1137</v>
      </c>
      <c r="O382" s="160" t="s">
        <v>1139</v>
      </c>
      <c r="P382" s="153">
        <f t="shared" si="13"/>
        <v>10</v>
      </c>
      <c r="Q382" s="164">
        <v>45869.0</v>
      </c>
      <c r="R382" s="164">
        <v>45871.0</v>
      </c>
      <c r="S382" s="164">
        <v>45875.0</v>
      </c>
      <c r="T382" s="164">
        <v>45879.0</v>
      </c>
      <c r="U382" s="164">
        <v>45881.0</v>
      </c>
      <c r="V382" s="164">
        <v>45885.0</v>
      </c>
      <c r="W382" s="164">
        <v>45888.0</v>
      </c>
      <c r="X382" s="164">
        <v>45893.0</v>
      </c>
      <c r="Y382" s="164">
        <v>45895.0</v>
      </c>
      <c r="Z382" s="164">
        <v>45906.0</v>
      </c>
      <c r="AA382" s="165">
        <f t="shared" si="20"/>
        <v>45906</v>
      </c>
      <c r="AB382" s="160" t="s">
        <v>1134</v>
      </c>
      <c r="AC382" s="160" t="s">
        <v>1138</v>
      </c>
      <c r="AD382" s="168"/>
      <c r="AE382" s="156">
        <f t="shared" si="21"/>
        <v>45906</v>
      </c>
      <c r="AF382" s="107" t="str">
        <f t="shared" si="22"/>
        <v>2025</v>
      </c>
      <c r="AG382" s="107" t="str">
        <f t="shared" si="23"/>
        <v>09 Sep</v>
      </c>
      <c r="AH382" s="107" t="str">
        <f t="shared" si="24"/>
        <v>Sab</v>
      </c>
      <c r="AI382" s="157">
        <f t="shared" si="25"/>
        <v>6</v>
      </c>
      <c r="AJ382" s="96"/>
      <c r="AK382" s="169"/>
      <c r="AL382" s="96"/>
      <c r="AM382" s="158">
        <f t="shared" si="12"/>
        <v>0</v>
      </c>
    </row>
    <row r="383" ht="22.5" customHeight="1">
      <c r="A383" s="167"/>
      <c r="B383" s="160" t="s">
        <v>54</v>
      </c>
      <c r="C383" s="160" t="s">
        <v>1131</v>
      </c>
      <c r="D383" s="161">
        <v>45897.0</v>
      </c>
      <c r="E383" s="124" t="str">
        <f t="shared" si="1"/>
        <v>2025</v>
      </c>
      <c r="F383" s="124" t="str">
        <f t="shared" si="2"/>
        <v>08 Agu</v>
      </c>
      <c r="G383" s="124" t="str">
        <f t="shared" si="3"/>
        <v>Kamis</v>
      </c>
      <c r="H383" s="160" t="s">
        <v>249</v>
      </c>
      <c r="I383" s="125" t="str">
        <f t="array" ref="I383">IFNA(XLOOKUP($H383,'🙎‍♂️ Pasien'!$G$7:$G658,'🙎‍♂️ Pasien'!$H$7:$H658),"")</f>
        <v>M7625071479</v>
      </c>
      <c r="J383" s="125" t="str">
        <f t="array" ref="J383">IFNA(XLOOKUP($H383,'🙎‍♂️ Pasien'!$G$7:$G658,'🙎‍♂️ Pasien'!$L$7:$L658),"")</f>
        <v>PEREMPUAN</v>
      </c>
      <c r="K383" s="125">
        <f t="array" ref="K383">IFNA(XLOOKUP($H383,'🙎‍♂️ Pasien'!$G$7:$G658,'🙎‍♂️ Pasien'!$I$7:$I658),"")</f>
        <v>50</v>
      </c>
      <c r="L383" s="160" t="s">
        <v>72</v>
      </c>
      <c r="M383" s="162" t="str">
        <f t="array" ref="M383">IFNA(XLOOKUP(L383,'⚙️ Pengaturan'!$H$5:$H658,'⚙️ Pengaturan'!$I$5:$I658),"")</f>
        <v>TIM A</v>
      </c>
      <c r="N383" s="163" t="s">
        <v>1137</v>
      </c>
      <c r="O383" s="160" t="s">
        <v>1139</v>
      </c>
      <c r="P383" s="153">
        <f t="shared" si="13"/>
        <v>10</v>
      </c>
      <c r="Q383" s="164">
        <v>45900.0</v>
      </c>
      <c r="R383" s="164">
        <v>45904.0</v>
      </c>
      <c r="S383" s="164">
        <v>45907.0</v>
      </c>
      <c r="T383" s="164">
        <v>45910.0</v>
      </c>
      <c r="U383" s="164">
        <v>45915.0</v>
      </c>
      <c r="V383" s="164">
        <v>45918.0</v>
      </c>
      <c r="W383" s="164">
        <v>45923.0</v>
      </c>
      <c r="X383" s="164">
        <v>45929.0</v>
      </c>
      <c r="Y383" s="164">
        <v>45932.0</v>
      </c>
      <c r="Z383" s="164">
        <v>45870.0</v>
      </c>
      <c r="AA383" s="165">
        <f t="shared" si="20"/>
        <v>45932</v>
      </c>
      <c r="AB383" s="160" t="s">
        <v>1134</v>
      </c>
      <c r="AC383" s="160" t="s">
        <v>1138</v>
      </c>
      <c r="AD383" s="168" t="s">
        <v>1343</v>
      </c>
      <c r="AE383" s="156">
        <f t="shared" si="21"/>
        <v>45870</v>
      </c>
      <c r="AF383" s="107" t="str">
        <f t="shared" si="22"/>
        <v>2025</v>
      </c>
      <c r="AG383" s="107" t="str">
        <f t="shared" si="23"/>
        <v>08 Agu</v>
      </c>
      <c r="AH383" s="107" t="str">
        <f t="shared" si="24"/>
        <v>Jum</v>
      </c>
      <c r="AI383" s="157">
        <f t="shared" si="25"/>
        <v>-5</v>
      </c>
      <c r="AJ383" s="96"/>
      <c r="AK383" s="169"/>
      <c r="AL383" s="96"/>
      <c r="AM383" s="158">
        <f t="shared" si="12"/>
        <v>0</v>
      </c>
    </row>
    <row r="384" ht="22.5" customHeight="1">
      <c r="A384" s="167"/>
      <c r="B384" s="160" t="s">
        <v>86</v>
      </c>
      <c r="C384" s="160" t="s">
        <v>1131</v>
      </c>
      <c r="D384" s="161">
        <v>45936.0</v>
      </c>
      <c r="E384" s="124" t="str">
        <f t="shared" si="1"/>
        <v>2025</v>
      </c>
      <c r="F384" s="124" t="str">
        <f t="shared" si="2"/>
        <v>10 Okt</v>
      </c>
      <c r="G384" s="124" t="str">
        <f t="shared" si="3"/>
        <v>Senin</v>
      </c>
      <c r="H384" s="160" t="s">
        <v>249</v>
      </c>
      <c r="I384" s="125" t="str">
        <f t="array" ref="I384">IFNA(XLOOKUP($H384,'🙎‍♂️ Pasien'!$G$7:$G658,'🙎‍♂️ Pasien'!$H$7:$H658),"")</f>
        <v>M7625071479</v>
      </c>
      <c r="J384" s="125" t="str">
        <f t="array" ref="J384">IFNA(XLOOKUP($H384,'🙎‍♂️ Pasien'!$G$7:$G658,'🙎‍♂️ Pasien'!$L$7:$L658),"")</f>
        <v>PEREMPUAN</v>
      </c>
      <c r="K384" s="125">
        <f t="array" ref="K384">IFNA(XLOOKUP($H384,'🙎‍♂️ Pasien'!$G$7:$G658,'🙎‍♂️ Pasien'!$I$7:$I658),"")</f>
        <v>50</v>
      </c>
      <c r="L384" s="160" t="s">
        <v>72</v>
      </c>
      <c r="M384" s="162" t="str">
        <f t="array" ref="M384">IFNA(XLOOKUP(L384,'⚙️ Pengaturan'!$H$5:$H658,'⚙️ Pengaturan'!$I$5:$I658),"")</f>
        <v>TIM A</v>
      </c>
      <c r="N384" s="163" t="s">
        <v>1137</v>
      </c>
      <c r="O384" s="160" t="s">
        <v>1139</v>
      </c>
      <c r="P384" s="153">
        <f t="shared" si="13"/>
        <v>8</v>
      </c>
      <c r="Q384" s="164">
        <v>45939.0</v>
      </c>
      <c r="R384" s="164">
        <v>45946.0</v>
      </c>
      <c r="S384" s="164">
        <v>45950.0</v>
      </c>
      <c r="T384" s="164">
        <v>45957.0</v>
      </c>
      <c r="U384" s="164">
        <v>45960.0</v>
      </c>
      <c r="V384" s="164">
        <v>45981.0</v>
      </c>
      <c r="W384" s="164">
        <v>45988.0</v>
      </c>
      <c r="X384" s="164">
        <v>45995.0</v>
      </c>
      <c r="Y384" s="164"/>
      <c r="Z384" s="164"/>
      <c r="AA384" s="165">
        <f t="shared" si="20"/>
        <v>45995</v>
      </c>
      <c r="AB384" s="160" t="s">
        <v>1144</v>
      </c>
      <c r="AC384" s="174"/>
      <c r="AD384" s="166"/>
      <c r="AE384" s="156" t="str">
        <f t="shared" si="21"/>
        <v/>
      </c>
      <c r="AF384" s="107" t="str">
        <f t="shared" si="22"/>
        <v/>
      </c>
      <c r="AG384" s="107" t="str">
        <f t="shared" si="23"/>
        <v/>
      </c>
      <c r="AH384" s="107" t="str">
        <f t="shared" si="24"/>
        <v/>
      </c>
      <c r="AI384" s="157">
        <f t="shared" si="25"/>
        <v>35</v>
      </c>
      <c r="AJ384" s="96"/>
      <c r="AK384" s="169"/>
      <c r="AL384" s="96"/>
      <c r="AM384" s="158">
        <f t="shared" si="12"/>
        <v>0</v>
      </c>
    </row>
    <row r="385" ht="22.5" customHeight="1">
      <c r="A385" s="167"/>
      <c r="B385" s="160" t="s">
        <v>54</v>
      </c>
      <c r="C385" s="160" t="s">
        <v>1131</v>
      </c>
      <c r="D385" s="161">
        <v>45966.0</v>
      </c>
      <c r="E385" s="124" t="str">
        <f t="shared" si="1"/>
        <v>2025</v>
      </c>
      <c r="F385" s="124" t="str">
        <f t="shared" si="2"/>
        <v>11 Nov</v>
      </c>
      <c r="G385" s="124" t="str">
        <f t="shared" si="3"/>
        <v>Rabu</v>
      </c>
      <c r="H385" s="160" t="s">
        <v>445</v>
      </c>
      <c r="I385" s="125" t="str">
        <f t="array" ref="I385">IFNA(XLOOKUP($H385,'🙎‍♂️ Pasien'!$G$7:$G658,'🙎‍♂️ Pasien'!$H$7:$H658),"")</f>
        <v>M6925117500</v>
      </c>
      <c r="J385" s="125" t="str">
        <f t="array" ref="J385">IFNA(XLOOKUP($H385,'🙎‍♂️ Pasien'!$G$7:$G658,'🙎‍♂️ Pasien'!$L$7:$L658),"")</f>
        <v>PEREMPUAN</v>
      </c>
      <c r="K385" s="125">
        <f t="array" ref="K385">IFNA(XLOOKUP($H385,'🙎‍♂️ Pasien'!$G$7:$G658,'🙎‍♂️ Pasien'!$I$7:$I658),"")</f>
        <v>56</v>
      </c>
      <c r="L385" s="160" t="s">
        <v>62</v>
      </c>
      <c r="M385" s="162" t="str">
        <f t="array" ref="M385">IFNA(XLOOKUP(L385,'⚙️ Pengaturan'!$H$5:$H658,'⚙️ Pengaturan'!$I$5:$I658),"")</f>
        <v>TIM A</v>
      </c>
      <c r="N385" s="163" t="s">
        <v>1132</v>
      </c>
      <c r="O385" s="160" t="s">
        <v>1133</v>
      </c>
      <c r="P385" s="153">
        <f t="shared" si="13"/>
        <v>5</v>
      </c>
      <c r="Q385" s="164">
        <v>45966.0</v>
      </c>
      <c r="R385" s="164">
        <v>45969.0</v>
      </c>
      <c r="S385" s="164">
        <v>45972.0</v>
      </c>
      <c r="T385" s="191">
        <v>45976.0</v>
      </c>
      <c r="U385" s="164">
        <v>45980.0</v>
      </c>
      <c r="V385" s="164"/>
      <c r="W385" s="164"/>
      <c r="X385" s="164"/>
      <c r="Y385" s="164"/>
      <c r="Z385" s="164"/>
      <c r="AA385" s="165">
        <f t="shared" si="20"/>
        <v>45980</v>
      </c>
      <c r="AB385" s="160" t="s">
        <v>1134</v>
      </c>
      <c r="AC385" s="160" t="s">
        <v>1138</v>
      </c>
      <c r="AD385" s="166"/>
      <c r="AE385" s="156">
        <f t="shared" si="21"/>
        <v>45980</v>
      </c>
      <c r="AF385" s="107" t="str">
        <f t="shared" si="22"/>
        <v>2025</v>
      </c>
      <c r="AG385" s="107" t="str">
        <f t="shared" si="23"/>
        <v>11 Nov</v>
      </c>
      <c r="AH385" s="107" t="str">
        <f t="shared" si="24"/>
        <v>Rab</v>
      </c>
      <c r="AI385" s="157">
        <f t="shared" si="25"/>
        <v>2</v>
      </c>
      <c r="AJ385" s="96"/>
      <c r="AK385" s="169"/>
      <c r="AL385" s="96"/>
      <c r="AM385" s="158">
        <f t="shared" si="12"/>
        <v>0</v>
      </c>
    </row>
    <row r="386" ht="22.5" customHeight="1">
      <c r="A386" s="167"/>
      <c r="B386" s="160" t="s">
        <v>54</v>
      </c>
      <c r="C386" s="160" t="s">
        <v>1131</v>
      </c>
      <c r="D386" s="161">
        <v>45983.0</v>
      </c>
      <c r="E386" s="124" t="str">
        <f t="shared" si="1"/>
        <v>2025</v>
      </c>
      <c r="F386" s="124" t="str">
        <f t="shared" si="2"/>
        <v>11 Nov</v>
      </c>
      <c r="G386" s="124" t="str">
        <f t="shared" si="3"/>
        <v>Sabtu</v>
      </c>
      <c r="H386" s="160" t="s">
        <v>445</v>
      </c>
      <c r="I386" s="125" t="str">
        <f t="array" ref="I386">IFNA(XLOOKUP($H386,'🙎‍♂️ Pasien'!$G$7:$G658,'🙎‍♂️ Pasien'!$H$7:$H658),"")</f>
        <v>M6925117500</v>
      </c>
      <c r="J386" s="125" t="str">
        <f t="array" ref="J386">IFNA(XLOOKUP($H386,'🙎‍♂️ Pasien'!$G$7:$G658,'🙎‍♂️ Pasien'!$L$7:$L658),"")</f>
        <v>PEREMPUAN</v>
      </c>
      <c r="K386" s="125">
        <f t="array" ref="K386">IFNA(XLOOKUP($H386,'🙎‍♂️ Pasien'!$G$7:$G658,'🙎‍♂️ Pasien'!$I$7:$I658),"")</f>
        <v>56</v>
      </c>
      <c r="L386" s="160" t="s">
        <v>62</v>
      </c>
      <c r="M386" s="162" t="str">
        <f t="array" ref="M386">IFNA(XLOOKUP(L386,'⚙️ Pengaturan'!$H$5:$H658,'⚙️ Pengaturan'!$I$5:$I658),"")</f>
        <v>TIM A</v>
      </c>
      <c r="N386" s="163" t="s">
        <v>1132</v>
      </c>
      <c r="O386" s="160" t="s">
        <v>1139</v>
      </c>
      <c r="P386" s="153">
        <f t="shared" si="13"/>
        <v>4</v>
      </c>
      <c r="Q386" s="164">
        <v>45983.0</v>
      </c>
      <c r="R386" s="164">
        <v>45986.0</v>
      </c>
      <c r="S386" s="164">
        <v>45990.0</v>
      </c>
      <c r="T386" s="191">
        <v>45998.0</v>
      </c>
      <c r="U386" s="164"/>
      <c r="V386" s="164"/>
      <c r="W386" s="164"/>
      <c r="X386" s="164"/>
      <c r="Y386" s="164"/>
      <c r="Z386" s="164"/>
      <c r="AA386" s="165">
        <f t="shared" si="20"/>
        <v>45998</v>
      </c>
      <c r="AB386" s="160" t="s">
        <v>1144</v>
      </c>
      <c r="AC386" s="172"/>
      <c r="AD386" s="166"/>
      <c r="AE386" s="156" t="str">
        <f t="shared" si="21"/>
        <v/>
      </c>
      <c r="AF386" s="107" t="str">
        <f t="shared" si="22"/>
        <v/>
      </c>
      <c r="AG386" s="107" t="str">
        <f t="shared" si="23"/>
        <v/>
      </c>
      <c r="AH386" s="107" t="str">
        <f t="shared" si="24"/>
        <v/>
      </c>
      <c r="AI386" s="157">
        <f t="shared" si="25"/>
        <v>29</v>
      </c>
      <c r="AJ386" s="96"/>
      <c r="AK386" s="169"/>
      <c r="AL386" s="96"/>
      <c r="AM386" s="158">
        <f t="shared" si="12"/>
        <v>0</v>
      </c>
    </row>
    <row r="387" ht="22.5" customHeight="1">
      <c r="A387" s="167"/>
      <c r="B387" s="171"/>
      <c r="C387" s="163" t="s">
        <v>1131</v>
      </c>
      <c r="D387" s="161">
        <v>45642.0</v>
      </c>
      <c r="E387" s="124" t="str">
        <f t="shared" si="1"/>
        <v>2024</v>
      </c>
      <c r="F387" s="124" t="str">
        <f t="shared" si="2"/>
        <v>12 Des</v>
      </c>
      <c r="G387" s="124" t="str">
        <f t="shared" si="3"/>
        <v>Senin</v>
      </c>
      <c r="H387" s="16" t="s">
        <v>1344</v>
      </c>
      <c r="I387" s="125" t="str">
        <f t="array" ref="I387">IFNA(XLOOKUP($H387,'🙎‍♂️ Pasien'!$G$7:$G658,'🙎‍♂️ Pasien'!$H$7:$H658),"")</f>
        <v>M9724111997</v>
      </c>
      <c r="J387" s="125" t="str">
        <f t="array" ref="J387">IFNA(XLOOKUP($H387,'🙎‍♂️ Pasien'!$G$7:$G658,'🙎‍♂️ Pasien'!$L$7:$L658),"")</f>
        <v>LAKI-LAKI</v>
      </c>
      <c r="K387" s="125">
        <f t="array" ref="K387">IFNA(XLOOKUP($H387,'🙎‍♂️ Pasien'!$G$7:$G658,'🙎‍♂️ Pasien'!$I$7:$I658),"")</f>
        <v>28</v>
      </c>
      <c r="L387" s="16" t="s">
        <v>72</v>
      </c>
      <c r="M387" s="125" t="str">
        <f t="array" ref="M387">IFNA(XLOOKUP(L387,'⚙️ Pengaturan'!$H$5:$H658,'⚙️ Pengaturan'!$I$5:$I658),"")</f>
        <v>TIM A</v>
      </c>
      <c r="N387" s="16" t="s">
        <v>1132</v>
      </c>
      <c r="O387" s="16" t="s">
        <v>1133</v>
      </c>
      <c r="P387" s="153">
        <f t="shared" si="13"/>
        <v>5</v>
      </c>
      <c r="Q387" s="154">
        <v>45642.0</v>
      </c>
      <c r="R387" s="154">
        <v>45644.0</v>
      </c>
      <c r="S387" s="154">
        <v>45904.0</v>
      </c>
      <c r="T387" s="154">
        <v>45906.0</v>
      </c>
      <c r="U387" s="154">
        <v>45910.0</v>
      </c>
      <c r="V387" s="154"/>
      <c r="W387" s="154"/>
      <c r="X387" s="154"/>
      <c r="Y387" s="154"/>
      <c r="Z387" s="154"/>
      <c r="AA387" s="155">
        <f t="shared" si="20"/>
        <v>45910</v>
      </c>
      <c r="AB387" s="16" t="s">
        <v>1134</v>
      </c>
      <c r="AC387" s="20"/>
      <c r="AD387" s="170"/>
      <c r="AE387" s="156">
        <f t="shared" si="21"/>
        <v>45910</v>
      </c>
      <c r="AF387" s="107" t="str">
        <f t="shared" si="22"/>
        <v>2025</v>
      </c>
      <c r="AG387" s="107" t="str">
        <f t="shared" si="23"/>
        <v>09 Sep</v>
      </c>
      <c r="AH387" s="107" t="str">
        <f t="shared" si="24"/>
        <v>Rab</v>
      </c>
      <c r="AI387" s="157">
        <f t="shared" si="25"/>
        <v>39</v>
      </c>
      <c r="AJ387" s="96"/>
      <c r="AK387" s="169"/>
      <c r="AL387" s="96"/>
      <c r="AM387" s="158">
        <f t="shared" si="12"/>
        <v>0</v>
      </c>
    </row>
    <row r="388" ht="22.5" customHeight="1">
      <c r="A388" s="167"/>
      <c r="B388" s="160" t="s">
        <v>134</v>
      </c>
      <c r="C388" s="160" t="s">
        <v>1131</v>
      </c>
      <c r="D388" s="161">
        <v>45845.0</v>
      </c>
      <c r="E388" s="124" t="str">
        <f t="shared" si="1"/>
        <v>2025</v>
      </c>
      <c r="F388" s="124" t="str">
        <f t="shared" si="2"/>
        <v>07 Jul</v>
      </c>
      <c r="G388" s="124" t="str">
        <f t="shared" si="3"/>
        <v>Senin</v>
      </c>
      <c r="H388" s="160" t="s">
        <v>1345</v>
      </c>
      <c r="I388" s="125" t="str">
        <f t="array" ref="I388">IFNA(XLOOKUP($H388,'🙎‍♂️ Pasien'!$G$7:$G658,'🙎‍♂️ Pasien'!$H$7:$H658),"")</f>
        <v>M1225072448</v>
      </c>
      <c r="J388" s="125" t="str">
        <f t="array" ref="J388">IFNA(XLOOKUP($H388,'🙎‍♂️ Pasien'!$G$7:$G658,'🙎‍♂️ Pasien'!$L$7:$L658),"")</f>
        <v>LAKI-LAKI</v>
      </c>
      <c r="K388" s="125">
        <f t="array" ref="K388">IFNA(XLOOKUP($H388,'🙎‍♂️ Pasien'!$G$7:$G658,'🙎‍♂️ Pasien'!$I$7:$I658),"")</f>
        <v>14</v>
      </c>
      <c r="L388" s="160" t="s">
        <v>88</v>
      </c>
      <c r="M388" s="162" t="str">
        <f t="array" ref="M388">IFNA(XLOOKUP(L388,'⚙️ Pengaturan'!$H$5:$H658,'⚙️ Pengaturan'!$I$5:$I658),"")</f>
        <v>TIM Y</v>
      </c>
      <c r="N388" s="163" t="s">
        <v>1132</v>
      </c>
      <c r="O388" s="160" t="s">
        <v>1133</v>
      </c>
      <c r="P388" s="153">
        <f t="shared" si="13"/>
        <v>1</v>
      </c>
      <c r="Q388" s="164">
        <v>45858.0</v>
      </c>
      <c r="R388" s="164"/>
      <c r="S388" s="164"/>
      <c r="T388" s="164"/>
      <c r="U388" s="164"/>
      <c r="V388" s="164"/>
      <c r="W388" s="164"/>
      <c r="X388" s="164"/>
      <c r="Y388" s="164"/>
      <c r="Z388" s="164"/>
      <c r="AA388" s="165">
        <f t="shared" si="20"/>
        <v>45858</v>
      </c>
      <c r="AB388" s="160" t="s">
        <v>1144</v>
      </c>
      <c r="AC388" s="174"/>
      <c r="AD388" s="166"/>
      <c r="AE388" s="156" t="str">
        <f t="shared" si="21"/>
        <v/>
      </c>
      <c r="AF388" s="107" t="str">
        <f t="shared" si="22"/>
        <v/>
      </c>
      <c r="AG388" s="107" t="str">
        <f t="shared" si="23"/>
        <v/>
      </c>
      <c r="AH388" s="107" t="str">
        <f t="shared" si="24"/>
        <v/>
      </c>
      <c r="AI388" s="157">
        <f t="shared" si="25"/>
        <v>47</v>
      </c>
      <c r="AJ388" s="96"/>
      <c r="AK388" s="169"/>
      <c r="AL388" s="96"/>
      <c r="AM388" s="158">
        <f t="shared" si="12"/>
        <v>0</v>
      </c>
    </row>
    <row r="389" ht="22.5" customHeight="1">
      <c r="A389" s="10"/>
      <c r="B389" s="160" t="s">
        <v>86</v>
      </c>
      <c r="C389" s="160" t="s">
        <v>1170</v>
      </c>
      <c r="D389" s="161">
        <v>45843.0</v>
      </c>
      <c r="E389" s="124" t="str">
        <f t="shared" si="1"/>
        <v>2025</v>
      </c>
      <c r="F389" s="124" t="str">
        <f t="shared" si="2"/>
        <v>07 Jul</v>
      </c>
      <c r="G389" s="124" t="str">
        <f t="shared" si="3"/>
        <v>Sabtu</v>
      </c>
      <c r="H389" s="160" t="s">
        <v>1346</v>
      </c>
      <c r="I389" s="125" t="str">
        <f t="array" ref="I389">IFNA(XLOOKUP($H389,'🙎‍♂️ Pasien'!$G$7:$G658,'🙎‍♂️ Pasien'!$H$7:$H658),"")</f>
        <v>M9525071318</v>
      </c>
      <c r="J389" s="125" t="str">
        <f t="array" ref="J389">IFNA(XLOOKUP($H389,'🙎‍♂️ Pasien'!$G$7:$G658,'🙎‍♂️ Pasien'!$L$7:$L658),"")</f>
        <v>LAKI-LAKI</v>
      </c>
      <c r="K389" s="125">
        <f t="array" ref="K389">IFNA(XLOOKUP($H389,'🙎‍♂️ Pasien'!$G$7:$G658,'🙎‍♂️ Pasien'!$I$7:$I658),"")</f>
        <v>31</v>
      </c>
      <c r="L389" s="160" t="s">
        <v>56</v>
      </c>
      <c r="M389" s="162" t="str">
        <f t="array" ref="M389">IFNA(XLOOKUP(L389,'⚙️ Pengaturan'!$H$5:$H658,'⚙️ Pengaturan'!$I$5:$I658),"")</f>
        <v>TIM Y</v>
      </c>
      <c r="N389" s="163" t="s">
        <v>1132</v>
      </c>
      <c r="O389" s="160" t="s">
        <v>1133</v>
      </c>
      <c r="P389" s="153">
        <f t="shared" si="13"/>
        <v>1</v>
      </c>
      <c r="Q389" s="164">
        <v>45843.0</v>
      </c>
      <c r="R389" s="164"/>
      <c r="S389" s="164"/>
      <c r="T389" s="164"/>
      <c r="U389" s="164"/>
      <c r="V389" s="164"/>
      <c r="W389" s="164"/>
      <c r="X389" s="164"/>
      <c r="Y389" s="164"/>
      <c r="Z389" s="164"/>
      <c r="AA389" s="165">
        <f t="shared" si="20"/>
        <v>45843</v>
      </c>
      <c r="AB389" s="160" t="s">
        <v>1144</v>
      </c>
      <c r="AC389" s="174"/>
      <c r="AD389" s="166"/>
      <c r="AE389" s="156" t="str">
        <f t="shared" si="21"/>
        <v/>
      </c>
      <c r="AF389" s="107" t="str">
        <f t="shared" si="22"/>
        <v/>
      </c>
      <c r="AG389" s="107" t="str">
        <f t="shared" si="23"/>
        <v/>
      </c>
      <c r="AH389" s="107" t="str">
        <f t="shared" si="24"/>
        <v/>
      </c>
      <c r="AI389" s="157">
        <f t="shared" si="25"/>
        <v>49</v>
      </c>
      <c r="AJ389" s="158"/>
      <c r="AK389" s="159"/>
      <c r="AL389" s="158"/>
      <c r="AM389" s="158">
        <f t="shared" si="12"/>
        <v>0</v>
      </c>
    </row>
    <row r="390" ht="22.5" customHeight="1">
      <c r="A390" s="167"/>
      <c r="B390" s="160" t="s">
        <v>134</v>
      </c>
      <c r="C390" s="160" t="s">
        <v>1131</v>
      </c>
      <c r="D390" s="161">
        <v>45853.0</v>
      </c>
      <c r="E390" s="124" t="str">
        <f t="shared" si="1"/>
        <v>2025</v>
      </c>
      <c r="F390" s="124" t="str">
        <f t="shared" si="2"/>
        <v>07 Jul</v>
      </c>
      <c r="G390" s="124" t="str">
        <f t="shared" si="3"/>
        <v>Selasa</v>
      </c>
      <c r="H390" s="160" t="s">
        <v>1347</v>
      </c>
      <c r="I390" s="125" t="str">
        <f t="array" ref="I390">IFNA(XLOOKUP($H390,'🙎‍♂️ Pasien'!$G$7:$G658,'🙎‍♂️ Pasien'!$H$7:$H658),"")</f>
        <v>M9525072439</v>
      </c>
      <c r="J390" s="125" t="str">
        <f t="array" ref="J390">IFNA(XLOOKUP($H390,'🙎‍♂️ Pasien'!$G$7:$G658,'🙎‍♂️ Pasien'!$L$7:$L658),"")</f>
        <v>PEREMPUAN</v>
      </c>
      <c r="K390" s="125">
        <f t="array" ref="K390">IFNA(XLOOKUP($H390,'🙎‍♂️ Pasien'!$G$7:$G658,'🙎‍♂️ Pasien'!$I$7:$I658),"")</f>
        <v>31</v>
      </c>
      <c r="L390" s="160" t="s">
        <v>72</v>
      </c>
      <c r="M390" s="162" t="str">
        <f t="array" ref="M390">IFNA(XLOOKUP(L390,'⚙️ Pengaturan'!$H$5:$H658,'⚙️ Pengaturan'!$I$5:$I658),"")</f>
        <v>TIM A</v>
      </c>
      <c r="N390" s="163" t="s">
        <v>1137</v>
      </c>
      <c r="O390" s="160" t="s">
        <v>1133</v>
      </c>
      <c r="P390" s="153">
        <f t="shared" si="13"/>
        <v>8</v>
      </c>
      <c r="Q390" s="164">
        <v>45855.0</v>
      </c>
      <c r="R390" s="164">
        <v>45860.0</v>
      </c>
      <c r="S390" s="164">
        <v>45862.0</v>
      </c>
      <c r="T390" s="164">
        <v>45866.0</v>
      </c>
      <c r="U390" s="164">
        <v>45867.0</v>
      </c>
      <c r="V390" s="164">
        <v>45873.0</v>
      </c>
      <c r="W390" s="164">
        <v>45908.0</v>
      </c>
      <c r="X390" s="164">
        <v>45916.0</v>
      </c>
      <c r="Y390" s="164"/>
      <c r="Z390" s="164"/>
      <c r="AA390" s="165">
        <f t="shared" si="20"/>
        <v>45916</v>
      </c>
      <c r="AB390" s="160" t="s">
        <v>1144</v>
      </c>
      <c r="AC390" s="172"/>
      <c r="AD390" s="166"/>
      <c r="AE390" s="156" t="str">
        <f t="shared" si="21"/>
        <v/>
      </c>
      <c r="AF390" s="107" t="str">
        <f t="shared" si="22"/>
        <v/>
      </c>
      <c r="AG390" s="107" t="str">
        <f t="shared" si="23"/>
        <v/>
      </c>
      <c r="AH390" s="107" t="str">
        <f t="shared" si="24"/>
        <v/>
      </c>
      <c r="AI390" s="157">
        <f t="shared" si="25"/>
        <v>47</v>
      </c>
      <c r="AJ390" s="96"/>
      <c r="AK390" s="169"/>
      <c r="AL390" s="96"/>
      <c r="AM390" s="158">
        <f t="shared" si="12"/>
        <v>0</v>
      </c>
    </row>
    <row r="391" ht="22.5" customHeight="1">
      <c r="A391" s="167"/>
      <c r="B391" s="160" t="s">
        <v>86</v>
      </c>
      <c r="C391" s="160" t="s">
        <v>1131</v>
      </c>
      <c r="D391" s="161">
        <v>45993.0</v>
      </c>
      <c r="E391" s="124" t="str">
        <f t="shared" si="1"/>
        <v>2025</v>
      </c>
      <c r="F391" s="124" t="str">
        <f t="shared" si="2"/>
        <v>12 Des</v>
      </c>
      <c r="G391" s="124" t="str">
        <f t="shared" si="3"/>
        <v>Selasa</v>
      </c>
      <c r="H391" s="160" t="s">
        <v>1047</v>
      </c>
      <c r="I391" s="125" t="str">
        <f t="array" ref="I391">IFNA(XLOOKUP($H391,'🙎‍♂️ Pasien'!$G$7:$G658,'🙎‍♂️ Pasien'!$H$7:$H658),"")</f>
        <v/>
      </c>
      <c r="J391" s="125" t="str">
        <f t="array" ref="J391">IFNA(XLOOKUP($H391,'🙎‍♂️ Pasien'!$G$7:$G658,'🙎‍♂️ Pasien'!$L$7:$L658),"")</f>
        <v/>
      </c>
      <c r="K391" s="125" t="str">
        <f t="array" ref="K391">IFNA(XLOOKUP($H391,'🙎‍♂️ Pasien'!$G$7:$G658,'🙎‍♂️ Pasien'!$I$7:$I658),"")</f>
        <v/>
      </c>
      <c r="L391" s="160" t="s">
        <v>79</v>
      </c>
      <c r="M391" s="162" t="str">
        <f t="array" ref="M391">IFNA(XLOOKUP(L391,'⚙️ Pengaturan'!$H$5:$H658,'⚙️ Pengaturan'!$I$5:$I658),"")</f>
        <v>TIM A</v>
      </c>
      <c r="N391" s="163" t="s">
        <v>1132</v>
      </c>
      <c r="O391" s="160" t="s">
        <v>1133</v>
      </c>
      <c r="P391" s="153">
        <f t="shared" si="13"/>
        <v>4</v>
      </c>
      <c r="Q391" s="164">
        <v>45996.0</v>
      </c>
      <c r="R391" s="164">
        <v>45998.0</v>
      </c>
      <c r="S391" s="164">
        <v>46005.0</v>
      </c>
      <c r="T391" s="164">
        <v>46007.0</v>
      </c>
      <c r="U391" s="164"/>
      <c r="V391" s="164"/>
      <c r="W391" s="164"/>
      <c r="X391" s="164"/>
      <c r="Y391" s="164"/>
      <c r="Z391" s="164"/>
      <c r="AA391" s="165">
        <f t="shared" si="20"/>
        <v>46007</v>
      </c>
      <c r="AB391" s="160" t="s">
        <v>1144</v>
      </c>
      <c r="AC391" s="172"/>
      <c r="AD391" s="168"/>
      <c r="AE391" s="156" t="str">
        <f t="shared" si="21"/>
        <v/>
      </c>
      <c r="AF391" s="107" t="str">
        <f t="shared" si="22"/>
        <v/>
      </c>
      <c r="AG391" s="107" t="str">
        <f t="shared" si="23"/>
        <v/>
      </c>
      <c r="AH391" s="107" t="str">
        <f t="shared" si="24"/>
        <v/>
      </c>
      <c r="AI391" s="157">
        <f t="shared" si="25"/>
        <v>27</v>
      </c>
      <c r="AJ391" s="96"/>
      <c r="AK391" s="169"/>
      <c r="AL391" s="96"/>
      <c r="AM391" s="158">
        <f t="shared" si="12"/>
        <v>0</v>
      </c>
    </row>
    <row r="392" ht="22.5" customHeight="1">
      <c r="A392" s="167"/>
      <c r="B392" s="160" t="s">
        <v>86</v>
      </c>
      <c r="C392" s="160" t="s">
        <v>1131</v>
      </c>
      <c r="D392" s="161">
        <v>45862.0</v>
      </c>
      <c r="E392" s="124" t="str">
        <f t="shared" si="1"/>
        <v>2025</v>
      </c>
      <c r="F392" s="124" t="str">
        <f t="shared" si="2"/>
        <v>07 Jul</v>
      </c>
      <c r="G392" s="124" t="str">
        <f t="shared" si="3"/>
        <v>Kamis</v>
      </c>
      <c r="H392" s="160" t="s">
        <v>1348</v>
      </c>
      <c r="I392" s="125" t="str">
        <f t="array" ref="I392">IFNA(XLOOKUP($H392,'🙎‍♂️ Pasien'!$G$7:$G658,'🙎‍♂️ Pasien'!$H$7:$H658),"")</f>
        <v>M7525070460</v>
      </c>
      <c r="J392" s="125" t="str">
        <f t="array" ref="J392">IFNA(XLOOKUP($H392,'🙎‍♂️ Pasien'!$G$7:$G658,'🙎‍♂️ Pasien'!$L$7:$L658),"")</f>
        <v>PEREMPUAN</v>
      </c>
      <c r="K392" s="125">
        <f t="array" ref="K392">IFNA(XLOOKUP($H392,'🙎‍♂️ Pasien'!$G$7:$G658,'🙎‍♂️ Pasien'!$I$7:$I658),"")</f>
        <v>51</v>
      </c>
      <c r="L392" s="160" t="s">
        <v>79</v>
      </c>
      <c r="M392" s="162" t="str">
        <f t="array" ref="M392">IFNA(XLOOKUP(L392,'⚙️ Pengaturan'!$H$5:$H658,'⚙️ Pengaturan'!$I$5:$I658),"")</f>
        <v>TIM A</v>
      </c>
      <c r="N392" s="163" t="s">
        <v>1132</v>
      </c>
      <c r="O392" s="160" t="s">
        <v>1133</v>
      </c>
      <c r="P392" s="153">
        <f t="shared" si="13"/>
        <v>5</v>
      </c>
      <c r="Q392" s="164">
        <v>45864.0</v>
      </c>
      <c r="R392" s="164">
        <v>45866.0</v>
      </c>
      <c r="S392" s="164">
        <v>45868.0</v>
      </c>
      <c r="T392" s="164">
        <v>45871.0</v>
      </c>
      <c r="U392" s="164">
        <v>45873.0</v>
      </c>
      <c r="V392" s="164"/>
      <c r="W392" s="164"/>
      <c r="X392" s="164"/>
      <c r="Y392" s="164"/>
      <c r="Z392" s="164"/>
      <c r="AA392" s="165">
        <f t="shared" si="20"/>
        <v>45873</v>
      </c>
      <c r="AB392" s="160" t="s">
        <v>1134</v>
      </c>
      <c r="AC392" s="160" t="s">
        <v>1135</v>
      </c>
      <c r="AD392" s="168" t="s">
        <v>1198</v>
      </c>
      <c r="AE392" s="156">
        <f t="shared" si="21"/>
        <v>45873</v>
      </c>
      <c r="AF392" s="107" t="str">
        <f t="shared" si="22"/>
        <v>2025</v>
      </c>
      <c r="AG392" s="107" t="str">
        <f t="shared" si="23"/>
        <v>08 Agu</v>
      </c>
      <c r="AH392" s="107" t="str">
        <f t="shared" si="24"/>
        <v>Sen</v>
      </c>
      <c r="AI392" s="157">
        <f t="shared" si="25"/>
        <v>2</v>
      </c>
      <c r="AJ392" s="96"/>
      <c r="AK392" s="169"/>
      <c r="AL392" s="96"/>
      <c r="AM392" s="158">
        <f t="shared" si="12"/>
        <v>0</v>
      </c>
    </row>
    <row r="393" ht="22.5" customHeight="1">
      <c r="A393" s="167"/>
      <c r="B393" s="160" t="s">
        <v>86</v>
      </c>
      <c r="C393" s="160" t="s">
        <v>1131</v>
      </c>
      <c r="D393" s="161">
        <v>45858.0</v>
      </c>
      <c r="E393" s="124" t="str">
        <f t="shared" si="1"/>
        <v>2025</v>
      </c>
      <c r="F393" s="124" t="str">
        <f t="shared" si="2"/>
        <v>07 Jul</v>
      </c>
      <c r="G393" s="124" t="str">
        <f t="shared" si="3"/>
        <v>Minggu</v>
      </c>
      <c r="H393" s="160" t="s">
        <v>1349</v>
      </c>
      <c r="I393" s="125" t="str">
        <f t="array" ref="I393">IFNA(XLOOKUP($H393,'🙎‍♂️ Pasien'!$G$7:$G658,'🙎‍♂️ Pasien'!$H$7:$H658),"")</f>
        <v>M8525072053</v>
      </c>
      <c r="J393" s="125" t="str">
        <f t="array" ref="J393">IFNA(XLOOKUP($H393,'🙎‍♂️ Pasien'!$G$7:$G658,'🙎‍♂️ Pasien'!$L$7:$L658),"")</f>
        <v>PEREMPUAN</v>
      </c>
      <c r="K393" s="125">
        <f t="array" ref="K393">IFNA(XLOOKUP($H393,'🙎‍♂️ Pasien'!$G$7:$G658,'🙎‍♂️ Pasien'!$I$7:$I658),"")</f>
        <v>41</v>
      </c>
      <c r="L393" s="160" t="s">
        <v>1152</v>
      </c>
      <c r="M393" s="162" t="str">
        <f t="array" ref="M393">IFNA(XLOOKUP(L393,'⚙️ Pengaturan'!$H$5:$H658,'⚙️ Pengaturan'!$I$5:$I658),"")</f>
        <v>INAKTIF</v>
      </c>
      <c r="N393" s="163" t="s">
        <v>1132</v>
      </c>
      <c r="O393" s="160" t="s">
        <v>1133</v>
      </c>
      <c r="P393" s="153">
        <f t="shared" si="13"/>
        <v>5</v>
      </c>
      <c r="Q393" s="164">
        <v>45858.0</v>
      </c>
      <c r="R393" s="164">
        <v>45859.0</v>
      </c>
      <c r="S393" s="164">
        <v>45860.0</v>
      </c>
      <c r="T393" s="164">
        <v>45861.0</v>
      </c>
      <c r="U393" s="164">
        <v>45862.0</v>
      </c>
      <c r="V393" s="164"/>
      <c r="W393" s="164"/>
      <c r="X393" s="164"/>
      <c r="Y393" s="164"/>
      <c r="Z393" s="164"/>
      <c r="AA393" s="165">
        <f t="shared" si="20"/>
        <v>45862</v>
      </c>
      <c r="AB393" s="160" t="s">
        <v>1134</v>
      </c>
      <c r="AC393" s="160" t="s">
        <v>1135</v>
      </c>
      <c r="AD393" s="168" t="s">
        <v>1350</v>
      </c>
      <c r="AE393" s="156">
        <f t="shared" si="21"/>
        <v>45862</v>
      </c>
      <c r="AF393" s="107" t="str">
        <f t="shared" si="22"/>
        <v>2025</v>
      </c>
      <c r="AG393" s="107" t="str">
        <f t="shared" si="23"/>
        <v>07 Jul</v>
      </c>
      <c r="AH393" s="107" t="str">
        <f t="shared" si="24"/>
        <v>Kam</v>
      </c>
      <c r="AI393" s="157">
        <f t="shared" si="25"/>
        <v>1</v>
      </c>
      <c r="AJ393" s="96"/>
      <c r="AK393" s="169"/>
      <c r="AL393" s="96"/>
      <c r="AM393" s="158">
        <f t="shared" si="12"/>
        <v>0</v>
      </c>
    </row>
    <row r="394" ht="22.5" customHeight="1">
      <c r="A394" s="152"/>
      <c r="B394" s="160" t="s">
        <v>54</v>
      </c>
      <c r="C394" s="160" t="s">
        <v>1131</v>
      </c>
      <c r="D394" s="161">
        <v>45830.0</v>
      </c>
      <c r="E394" s="124" t="str">
        <f t="shared" si="1"/>
        <v>2025</v>
      </c>
      <c r="F394" s="124" t="str">
        <f t="shared" si="2"/>
        <v>06 Jun</v>
      </c>
      <c r="G394" s="124" t="str">
        <f t="shared" si="3"/>
        <v>Minggu</v>
      </c>
      <c r="H394" s="160" t="s">
        <v>1351</v>
      </c>
      <c r="I394" s="125" t="str">
        <f t="array" ref="I394">IFNA(XLOOKUP($H394,'🙎‍♂️ Pasien'!$G$7:$G658,'🙎‍♂️ Pasien'!$H$7:$H658),"")</f>
        <v>M5825061742</v>
      </c>
      <c r="J394" s="125" t="str">
        <f t="array" ref="J394">IFNA(XLOOKUP($H394,'🙎‍♂️ Pasien'!$G$7:$G658,'🙎‍♂️ Pasien'!$L$7:$L658),"")</f>
        <v>LAKI-LAKI</v>
      </c>
      <c r="K394" s="125">
        <f t="array" ref="K394">IFNA(XLOOKUP($H394,'🙎‍♂️ Pasien'!$G$7:$G658,'🙎‍♂️ Pasien'!$I$7:$I658),"")</f>
        <v>68</v>
      </c>
      <c r="L394" s="160" t="s">
        <v>56</v>
      </c>
      <c r="M394" s="162" t="str">
        <f t="array" ref="M394">IFNA(XLOOKUP(L394,'⚙️ Pengaturan'!$H$5:$H658,'⚙️ Pengaturan'!$I$5:$I658),"")</f>
        <v>TIM Y</v>
      </c>
      <c r="N394" s="163" t="s">
        <v>1132</v>
      </c>
      <c r="O394" s="160" t="s">
        <v>1133</v>
      </c>
      <c r="P394" s="153">
        <f t="shared" si="13"/>
        <v>5</v>
      </c>
      <c r="Q394" s="164">
        <v>45830.0</v>
      </c>
      <c r="R394" s="164">
        <v>45834.0</v>
      </c>
      <c r="S394" s="164">
        <v>45839.0</v>
      </c>
      <c r="T394" s="164">
        <v>45844.0</v>
      </c>
      <c r="U394" s="164">
        <v>45847.0</v>
      </c>
      <c r="V394" s="164"/>
      <c r="W394" s="164"/>
      <c r="X394" s="164"/>
      <c r="Y394" s="164"/>
      <c r="Z394" s="164"/>
      <c r="AA394" s="165">
        <f t="shared" si="20"/>
        <v>45847</v>
      </c>
      <c r="AB394" s="160" t="s">
        <v>1144</v>
      </c>
      <c r="AC394" s="160" t="s">
        <v>1135</v>
      </c>
      <c r="AD394" s="168" t="s">
        <v>1352</v>
      </c>
      <c r="AE394" s="156">
        <f t="shared" si="21"/>
        <v>45847</v>
      </c>
      <c r="AF394" s="107" t="str">
        <f t="shared" si="22"/>
        <v>2025</v>
      </c>
      <c r="AG394" s="107" t="str">
        <f t="shared" si="23"/>
        <v>07 Jul</v>
      </c>
      <c r="AH394" s="107" t="str">
        <f t="shared" si="24"/>
        <v>Rab</v>
      </c>
      <c r="AI394" s="157">
        <f t="shared" si="25"/>
        <v>3</v>
      </c>
      <c r="AJ394" s="158"/>
      <c r="AK394" s="159"/>
      <c r="AL394" s="158"/>
      <c r="AM394" s="158">
        <f t="shared" si="12"/>
        <v>0</v>
      </c>
    </row>
    <row r="395" ht="22.5" customHeight="1">
      <c r="A395" s="167"/>
      <c r="B395" s="20"/>
      <c r="C395" s="20"/>
      <c r="D395" s="123">
        <v>45603.0</v>
      </c>
      <c r="E395" s="124" t="str">
        <f t="shared" si="1"/>
        <v>2024</v>
      </c>
      <c r="F395" s="124" t="str">
        <f t="shared" si="2"/>
        <v>11 Nov</v>
      </c>
      <c r="G395" s="124" t="str">
        <f t="shared" si="3"/>
        <v>Kamis</v>
      </c>
      <c r="H395" s="16" t="s">
        <v>1353</v>
      </c>
      <c r="I395" s="125" t="str">
        <f t="array" ref="I395">IFNA(XLOOKUP($H395,'🙎‍♂️ Pasien'!$G$7:$G658,'🙎‍♂️ Pasien'!$H$7:$H658),"")</f>
        <v>M9424116640</v>
      </c>
      <c r="J395" s="125" t="str">
        <f t="array" ref="J395">IFNA(XLOOKUP($H395,'🙎‍♂️ Pasien'!$G$7:$G658,'🙎‍♂️ Pasien'!$L$7:$L658),"")</f>
        <v>LAKI-LAKI</v>
      </c>
      <c r="K395" s="125">
        <f t="array" ref="K395">IFNA(XLOOKUP($H395,'🙎‍♂️ Pasien'!$G$7:$G658,'🙎‍♂️ Pasien'!$I$7:$I658),"")</f>
        <v>31</v>
      </c>
      <c r="L395" s="16" t="s">
        <v>1149</v>
      </c>
      <c r="M395" s="125" t="str">
        <f t="array" ref="M395">IFNA(XLOOKUP(L395,'⚙️ Pengaturan'!$H$5:$H658,'⚙️ Pengaturan'!$I$5:$I658),"")</f>
        <v/>
      </c>
      <c r="N395" s="16" t="s">
        <v>1132</v>
      </c>
      <c r="O395" s="16" t="s">
        <v>1133</v>
      </c>
      <c r="P395" s="153">
        <f t="shared" si="13"/>
        <v>4</v>
      </c>
      <c r="Q395" s="154">
        <v>45603.0</v>
      </c>
      <c r="R395" s="154">
        <v>45609.0</v>
      </c>
      <c r="S395" s="154">
        <v>45614.0</v>
      </c>
      <c r="T395" s="154">
        <v>45621.0</v>
      </c>
      <c r="U395" s="154"/>
      <c r="V395" s="154"/>
      <c r="W395" s="154"/>
      <c r="X395" s="154"/>
      <c r="Y395" s="154"/>
      <c r="Z395" s="154"/>
      <c r="AA395" s="155">
        <f t="shared" si="20"/>
        <v>45621</v>
      </c>
      <c r="AB395" s="16" t="s">
        <v>1144</v>
      </c>
      <c r="AC395" s="20"/>
      <c r="AD395" s="170"/>
      <c r="AE395" s="156" t="str">
        <f t="shared" si="21"/>
        <v/>
      </c>
      <c r="AF395" s="107" t="str">
        <f t="shared" si="22"/>
        <v/>
      </c>
      <c r="AG395" s="107" t="str">
        <f t="shared" si="23"/>
        <v/>
      </c>
      <c r="AH395" s="107" t="str">
        <f t="shared" si="24"/>
        <v/>
      </c>
      <c r="AI395" s="157">
        <f t="shared" si="25"/>
        <v>83</v>
      </c>
      <c r="AJ395" s="96"/>
      <c r="AK395" s="169"/>
      <c r="AL395" s="96"/>
      <c r="AM395" s="158">
        <f t="shared" si="12"/>
        <v>0</v>
      </c>
    </row>
    <row r="396" ht="22.5" customHeight="1">
      <c r="A396" s="167"/>
      <c r="B396" s="160" t="s">
        <v>86</v>
      </c>
      <c r="C396" s="160" t="s">
        <v>1131</v>
      </c>
      <c r="D396" s="161">
        <v>45925.0</v>
      </c>
      <c r="E396" s="124" t="str">
        <f t="shared" si="1"/>
        <v>2025</v>
      </c>
      <c r="F396" s="124" t="str">
        <f t="shared" si="2"/>
        <v>09 Sep</v>
      </c>
      <c r="G396" s="124" t="str">
        <f t="shared" si="3"/>
        <v>Kamis</v>
      </c>
      <c r="H396" s="160" t="s">
        <v>303</v>
      </c>
      <c r="I396" s="125" t="str">
        <f t="array" ref="I396">IFNA(XLOOKUP($H396,'🙎‍♂️ Pasien'!$G$7:$G658,'🙎‍♂️ Pasien'!$H$7:$H658),"")</f>
        <v>M7825098720</v>
      </c>
      <c r="J396" s="125" t="str">
        <f t="array" ref="J396">IFNA(XLOOKUP($H396,'🙎‍♂️ Pasien'!$G$7:$G658,'🙎‍♂️ Pasien'!$L$7:$L658),"")</f>
        <v>LAKI-LAKI</v>
      </c>
      <c r="K396" s="125">
        <f t="array" ref="K396">IFNA(XLOOKUP($H396,'🙎‍♂️ Pasien'!$G$7:$G658,'🙎‍♂️ Pasien'!$I$7:$I658),"")</f>
        <v>47</v>
      </c>
      <c r="L396" s="160" t="s">
        <v>56</v>
      </c>
      <c r="M396" s="162" t="str">
        <f t="array" ref="M396">IFNA(XLOOKUP(L396,'⚙️ Pengaturan'!$H$5:$H658,'⚙️ Pengaturan'!$I$5:$I658),"")</f>
        <v>TIM Y</v>
      </c>
      <c r="N396" s="163" t="s">
        <v>1132</v>
      </c>
      <c r="O396" s="160" t="s">
        <v>1133</v>
      </c>
      <c r="P396" s="153">
        <f t="shared" si="13"/>
        <v>5</v>
      </c>
      <c r="Q396" s="164">
        <v>45925.0</v>
      </c>
      <c r="R396" s="164">
        <v>45948.0</v>
      </c>
      <c r="S396" s="164">
        <v>45950.0</v>
      </c>
      <c r="T396" s="164">
        <v>45952.0</v>
      </c>
      <c r="U396" s="164">
        <v>45965.0</v>
      </c>
      <c r="V396" s="164"/>
      <c r="W396" s="164"/>
      <c r="X396" s="164"/>
      <c r="Y396" s="164"/>
      <c r="Z396" s="164"/>
      <c r="AA396" s="165">
        <f t="shared" si="20"/>
        <v>45965</v>
      </c>
      <c r="AB396" s="160" t="s">
        <v>1134</v>
      </c>
      <c r="AC396" s="160" t="s">
        <v>1135</v>
      </c>
      <c r="AD396" s="168" t="s">
        <v>1354</v>
      </c>
      <c r="AE396" s="156">
        <f t="shared" si="21"/>
        <v>45965</v>
      </c>
      <c r="AF396" s="107" t="str">
        <f t="shared" si="22"/>
        <v>2025</v>
      </c>
      <c r="AG396" s="107" t="str">
        <f t="shared" si="23"/>
        <v>11 Nov</v>
      </c>
      <c r="AH396" s="107" t="str">
        <f t="shared" si="24"/>
        <v>Sel</v>
      </c>
      <c r="AI396" s="157">
        <f t="shared" si="25"/>
        <v>6</v>
      </c>
      <c r="AJ396" s="96"/>
      <c r="AK396" s="169"/>
      <c r="AL396" s="96"/>
      <c r="AM396" s="158">
        <f t="shared" si="12"/>
        <v>0</v>
      </c>
    </row>
    <row r="397" ht="22.5" customHeight="1">
      <c r="A397" s="167"/>
      <c r="B397" s="174" t="s">
        <v>54</v>
      </c>
      <c r="C397" s="160" t="s">
        <v>1131</v>
      </c>
      <c r="D397" s="192">
        <v>45951.0</v>
      </c>
      <c r="E397" s="124" t="str">
        <f t="shared" si="1"/>
        <v>2025</v>
      </c>
      <c r="F397" s="124" t="str">
        <f t="shared" si="2"/>
        <v>10 Okt</v>
      </c>
      <c r="G397" s="124" t="str">
        <f t="shared" si="3"/>
        <v>Selasa</v>
      </c>
      <c r="H397" s="160" t="s">
        <v>325</v>
      </c>
      <c r="I397" s="125" t="str">
        <f t="array" ref="I397">IFNA(XLOOKUP($H397,'🙎‍♂️ Pasien'!$G$7:$G658,'🙎‍♂️ Pasien'!$H$7:$H658),"")</f>
        <v>M9825103838</v>
      </c>
      <c r="J397" s="125" t="str">
        <f t="array" ref="J397">IFNA(XLOOKUP($H397,'🙎‍♂️ Pasien'!$G$7:$G658,'🙎‍♂️ Pasien'!$L$7:$L658),"")</f>
        <v>LAKI-LAKI</v>
      </c>
      <c r="K397" s="125">
        <f t="array" ref="K397">IFNA(XLOOKUP($H397,'🙎‍♂️ Pasien'!$G$7:$G658,'🙎‍♂️ Pasien'!$I$7:$I658),"")</f>
        <v>27</v>
      </c>
      <c r="L397" s="160" t="s">
        <v>88</v>
      </c>
      <c r="M397" s="162" t="str">
        <f t="array" ref="M397">IFNA(XLOOKUP(L397,'⚙️ Pengaturan'!$H$5:$H658,'⚙️ Pengaturan'!$I$5:$I658),"")</f>
        <v>TIM Y</v>
      </c>
      <c r="N397" s="163" t="s">
        <v>1132</v>
      </c>
      <c r="O397" s="160" t="s">
        <v>1133</v>
      </c>
      <c r="P397" s="153">
        <f t="shared" si="13"/>
        <v>5</v>
      </c>
      <c r="Q397" s="164">
        <v>45951.0</v>
      </c>
      <c r="R397" s="164">
        <v>45955.0</v>
      </c>
      <c r="S397" s="164">
        <v>45958.0</v>
      </c>
      <c r="T397" s="164">
        <v>45960.0</v>
      </c>
      <c r="U397" s="164">
        <v>45965.0</v>
      </c>
      <c r="V397" s="164"/>
      <c r="W397" s="164"/>
      <c r="X397" s="164"/>
      <c r="Y397" s="164"/>
      <c r="Z397" s="164"/>
      <c r="AA397" s="165">
        <f t="shared" si="20"/>
        <v>45965</v>
      </c>
      <c r="AB397" s="160" t="s">
        <v>1134</v>
      </c>
      <c r="AC397" s="160" t="s">
        <v>1135</v>
      </c>
      <c r="AD397" s="168" t="s">
        <v>1355</v>
      </c>
      <c r="AE397" s="156">
        <f t="shared" si="21"/>
        <v>45965</v>
      </c>
      <c r="AF397" s="107" t="str">
        <f t="shared" si="22"/>
        <v>2025</v>
      </c>
      <c r="AG397" s="107" t="str">
        <f t="shared" si="23"/>
        <v>11 Nov</v>
      </c>
      <c r="AH397" s="107" t="str">
        <f t="shared" si="24"/>
        <v>Sel</v>
      </c>
      <c r="AI397" s="157">
        <f t="shared" si="25"/>
        <v>2</v>
      </c>
      <c r="AJ397" s="96"/>
      <c r="AK397" s="169"/>
      <c r="AL397" s="96"/>
      <c r="AM397" s="158">
        <f t="shared" si="12"/>
        <v>0</v>
      </c>
    </row>
    <row r="398" ht="22.5" customHeight="1">
      <c r="A398" s="167"/>
      <c r="B398" s="160" t="s">
        <v>54</v>
      </c>
      <c r="C398" s="160" t="s">
        <v>1131</v>
      </c>
      <c r="D398" s="161">
        <v>45907.0</v>
      </c>
      <c r="E398" s="124" t="str">
        <f t="shared" si="1"/>
        <v>2025</v>
      </c>
      <c r="F398" s="124" t="str">
        <f t="shared" si="2"/>
        <v>09 Sep</v>
      </c>
      <c r="G398" s="124" t="str">
        <f t="shared" si="3"/>
        <v>Minggu</v>
      </c>
      <c r="H398" s="160" t="s">
        <v>442</v>
      </c>
      <c r="I398" s="125" t="str">
        <f t="array" ref="I398">IFNA(XLOOKUP($H398,'🙎‍♂️ Pasien'!$G$7:$G658,'🙎‍♂️ Pasien'!$H$7:$H658),"")</f>
        <v>M0524020310</v>
      </c>
      <c r="J398" s="125" t="str">
        <f t="array" ref="J398">IFNA(XLOOKUP($H398,'🙎‍♂️ Pasien'!$G$7:$G658,'🙎‍♂️ Pasien'!$L$7:$L658),"")</f>
        <v>LAKI-LAKI</v>
      </c>
      <c r="K398" s="125">
        <f t="array" ref="K398">IFNA(XLOOKUP($H398,'🙎‍♂️ Pasien'!$G$7:$G658,'🙎‍♂️ Pasien'!$I$7:$I658),"")</f>
        <v>20</v>
      </c>
      <c r="L398" s="160" t="s">
        <v>56</v>
      </c>
      <c r="M398" s="162" t="str">
        <f t="array" ref="M398">IFNA(XLOOKUP(L398,'⚙️ Pengaturan'!$H$5:$H658,'⚙️ Pengaturan'!$I$5:$I658),"")</f>
        <v>TIM Y</v>
      </c>
      <c r="N398" s="163" t="s">
        <v>1132</v>
      </c>
      <c r="O398" s="160" t="s">
        <v>1133</v>
      </c>
      <c r="P398" s="153">
        <f t="shared" si="13"/>
        <v>5</v>
      </c>
      <c r="Q398" s="164">
        <v>45907.0</v>
      </c>
      <c r="R398" s="164">
        <v>45908.0</v>
      </c>
      <c r="S398" s="164">
        <v>45909.0</v>
      </c>
      <c r="T398" s="164">
        <v>45911.0</v>
      </c>
      <c r="U398" s="164">
        <v>45965.0</v>
      </c>
      <c r="V398" s="164"/>
      <c r="W398" s="164"/>
      <c r="X398" s="164"/>
      <c r="Y398" s="164"/>
      <c r="Z398" s="164"/>
      <c r="AA398" s="165">
        <f t="shared" si="20"/>
        <v>45965</v>
      </c>
      <c r="AB398" s="160" t="s">
        <v>1134</v>
      </c>
      <c r="AC398" s="160" t="s">
        <v>1138</v>
      </c>
      <c r="AD398" s="166"/>
      <c r="AE398" s="156">
        <f t="shared" si="21"/>
        <v>45965</v>
      </c>
      <c r="AF398" s="107" t="str">
        <f t="shared" si="22"/>
        <v>2025</v>
      </c>
      <c r="AG398" s="107" t="str">
        <f t="shared" si="23"/>
        <v>11 Nov</v>
      </c>
      <c r="AH398" s="107" t="str">
        <f t="shared" si="24"/>
        <v>Sel</v>
      </c>
      <c r="AI398" s="157">
        <f t="shared" si="25"/>
        <v>9</v>
      </c>
      <c r="AJ398" s="96"/>
      <c r="AK398" s="169"/>
      <c r="AL398" s="96"/>
      <c r="AM398" s="158">
        <f t="shared" si="12"/>
        <v>0</v>
      </c>
    </row>
    <row r="399" ht="22.5" customHeight="1">
      <c r="A399" s="167"/>
      <c r="B399" s="160" t="s">
        <v>54</v>
      </c>
      <c r="C399" s="160" t="s">
        <v>1131</v>
      </c>
      <c r="D399" s="161">
        <v>45966.0</v>
      </c>
      <c r="E399" s="124" t="str">
        <f t="shared" si="1"/>
        <v>2025</v>
      </c>
      <c r="F399" s="124" t="str">
        <f t="shared" si="2"/>
        <v>11 Nov</v>
      </c>
      <c r="G399" s="124" t="str">
        <f t="shared" si="3"/>
        <v>Rabu</v>
      </c>
      <c r="H399" s="160" t="s">
        <v>442</v>
      </c>
      <c r="I399" s="125" t="str">
        <f t="array" ref="I399">IFNA(XLOOKUP($H399,'🙎‍♂️ Pasien'!$G$7:$G658,'🙎‍♂️ Pasien'!$H$7:$H658),"")</f>
        <v>M0524020310</v>
      </c>
      <c r="J399" s="125" t="str">
        <f t="array" ref="J399">IFNA(XLOOKUP($H399,'🙎‍♂️ Pasien'!$G$7:$G658,'🙎‍♂️ Pasien'!$L$7:$L658),"")</f>
        <v>LAKI-LAKI</v>
      </c>
      <c r="K399" s="125">
        <f t="array" ref="K399">IFNA(XLOOKUP($H399,'🙎‍♂️ Pasien'!$G$7:$G658,'🙎‍♂️ Pasien'!$I$7:$I658),"")</f>
        <v>20</v>
      </c>
      <c r="L399" s="160" t="s">
        <v>56</v>
      </c>
      <c r="M399" s="162" t="str">
        <f t="array" ref="M399">IFNA(XLOOKUP(L399,'⚙️ Pengaturan'!$H$5:$H658,'⚙️ Pengaturan'!$I$5:$I658),"")</f>
        <v>TIM Y</v>
      </c>
      <c r="N399" s="163" t="s">
        <v>1132</v>
      </c>
      <c r="O399" s="160" t="s">
        <v>1139</v>
      </c>
      <c r="P399" s="153">
        <f t="shared" si="13"/>
        <v>5</v>
      </c>
      <c r="Q399" s="164">
        <v>45966.0</v>
      </c>
      <c r="R399" s="164">
        <v>45967.0</v>
      </c>
      <c r="S399" s="164">
        <v>45969.0</v>
      </c>
      <c r="T399" s="164">
        <v>45971.0</v>
      </c>
      <c r="U399" s="164">
        <v>45972.0</v>
      </c>
      <c r="V399" s="164"/>
      <c r="W399" s="164"/>
      <c r="X399" s="164"/>
      <c r="Y399" s="164"/>
      <c r="Z399" s="164"/>
      <c r="AA399" s="165">
        <f t="shared" si="20"/>
        <v>45972</v>
      </c>
      <c r="AB399" s="160" t="s">
        <v>1134</v>
      </c>
      <c r="AC399" s="160" t="s">
        <v>1138</v>
      </c>
      <c r="AD399" s="166"/>
      <c r="AE399" s="156">
        <f t="shared" si="21"/>
        <v>45972</v>
      </c>
      <c r="AF399" s="107" t="str">
        <f t="shared" si="22"/>
        <v>2025</v>
      </c>
      <c r="AG399" s="107" t="str">
        <f t="shared" si="23"/>
        <v>11 Nov</v>
      </c>
      <c r="AH399" s="107" t="str">
        <f t="shared" si="24"/>
        <v>Sel</v>
      </c>
      <c r="AI399" s="157">
        <f t="shared" si="25"/>
        <v>1</v>
      </c>
      <c r="AJ399" s="96"/>
      <c r="AK399" s="169"/>
      <c r="AL399" s="96"/>
      <c r="AM399" s="158">
        <f t="shared" si="12"/>
        <v>0</v>
      </c>
    </row>
    <row r="400" ht="22.5" customHeight="1">
      <c r="A400" s="167"/>
      <c r="B400" s="171"/>
      <c r="C400" s="171"/>
      <c r="D400" s="161">
        <v>45691.0</v>
      </c>
      <c r="E400" s="124" t="str">
        <f t="shared" si="1"/>
        <v>2025</v>
      </c>
      <c r="F400" s="124" t="str">
        <f t="shared" si="2"/>
        <v>02 Feb</v>
      </c>
      <c r="G400" s="124" t="str">
        <f t="shared" si="3"/>
        <v>Senin</v>
      </c>
      <c r="H400" s="16" t="s">
        <v>1356</v>
      </c>
      <c r="I400" s="125" t="str">
        <f t="array" ref="I400">IFNA(XLOOKUP($H400,'🙎‍♂️ Pasien'!$G$7:$G658,'🙎‍♂️ Pasien'!$H$7:$H658),"")</f>
        <v>M8825015705</v>
      </c>
      <c r="J400" s="125" t="str">
        <f t="array" ref="J400">IFNA(XLOOKUP($H400,'🙎‍♂️ Pasien'!$G$7:$G658,'🙎‍♂️ Pasien'!$L$7:$L658),"")</f>
        <v>LAKI-LAKI</v>
      </c>
      <c r="K400" s="125">
        <f t="array" ref="K400">IFNA(XLOOKUP($H400,'🙎‍♂️ Pasien'!$G$7:$G658,'🙎‍♂️ Pasien'!$I$7:$I658),"")</f>
        <v>38</v>
      </c>
      <c r="L400" s="16" t="s">
        <v>107</v>
      </c>
      <c r="M400" s="125" t="str">
        <f t="array" ref="M400">IFNA(XLOOKUP(L400,'⚙️ Pengaturan'!$H$5:$H658,'⚙️ Pengaturan'!$I$5:$I658),"")</f>
        <v>TIM Y</v>
      </c>
      <c r="N400" s="16" t="s">
        <v>1132</v>
      </c>
      <c r="O400" s="16" t="s">
        <v>1133</v>
      </c>
      <c r="P400" s="153">
        <f t="shared" si="13"/>
        <v>3</v>
      </c>
      <c r="Q400" s="154">
        <v>45695.0</v>
      </c>
      <c r="R400" s="154">
        <v>45699.0</v>
      </c>
      <c r="S400" s="154">
        <v>45713.0</v>
      </c>
      <c r="T400" s="154"/>
      <c r="U400" s="154"/>
      <c r="V400" s="154"/>
      <c r="W400" s="154"/>
      <c r="X400" s="154"/>
      <c r="Y400" s="154"/>
      <c r="Z400" s="154"/>
      <c r="AA400" s="155">
        <f t="shared" si="20"/>
        <v>45713</v>
      </c>
      <c r="AB400" s="16" t="s">
        <v>1144</v>
      </c>
      <c r="AC400" s="20"/>
      <c r="AD400" s="170"/>
      <c r="AE400" s="156" t="str">
        <f t="shared" si="21"/>
        <v/>
      </c>
      <c r="AF400" s="107" t="str">
        <f t="shared" si="22"/>
        <v/>
      </c>
      <c r="AG400" s="107" t="str">
        <f t="shared" si="23"/>
        <v/>
      </c>
      <c r="AH400" s="107" t="str">
        <f t="shared" si="24"/>
        <v/>
      </c>
      <c r="AI400" s="157">
        <f t="shared" si="25"/>
        <v>70</v>
      </c>
      <c r="AJ400" s="96"/>
      <c r="AK400" s="169"/>
      <c r="AL400" s="96"/>
      <c r="AM400" s="158">
        <f t="shared" si="12"/>
        <v>0</v>
      </c>
    </row>
    <row r="401" ht="22.5" customHeight="1">
      <c r="A401" s="167"/>
      <c r="B401" s="160" t="s">
        <v>54</v>
      </c>
      <c r="C401" s="160" t="s">
        <v>1131</v>
      </c>
      <c r="D401" s="161">
        <v>45815.0</v>
      </c>
      <c r="E401" s="124" t="str">
        <f t="shared" si="1"/>
        <v>2025</v>
      </c>
      <c r="F401" s="124" t="str">
        <f t="shared" si="2"/>
        <v>06 Jun</v>
      </c>
      <c r="G401" s="124" t="str">
        <f t="shared" si="3"/>
        <v>Sabtu</v>
      </c>
      <c r="H401" s="160" t="s">
        <v>1357</v>
      </c>
      <c r="I401" s="125" t="str">
        <f t="array" ref="I401">IFNA(XLOOKUP($H401,'🙎‍♂️ Pasien'!$G$7:$G658,'🙎‍♂️ Pasien'!$H$7:$H658),"")</f>
        <v>M9023017121</v>
      </c>
      <c r="J401" s="125" t="str">
        <f t="array" ref="J401">IFNA(XLOOKUP($H401,'🙎‍♂️ Pasien'!$G$7:$G658,'🙎‍♂️ Pasien'!$L$7:$L658),"")</f>
        <v>LAKI-LAKI</v>
      </c>
      <c r="K401" s="125">
        <f t="array" ref="K401">IFNA(XLOOKUP($H401,'🙎‍♂️ Pasien'!$G$7:$G658,'🙎‍♂️ Pasien'!$I$7:$I658),"")</f>
        <v>36</v>
      </c>
      <c r="L401" s="160" t="s">
        <v>88</v>
      </c>
      <c r="M401" s="162" t="str">
        <f t="array" ref="M401">IFNA(XLOOKUP(L401,'⚙️ Pengaturan'!$H$5:$H658,'⚙️ Pengaturan'!$I$5:$I658),"")</f>
        <v>TIM Y</v>
      </c>
      <c r="N401" s="160" t="s">
        <v>1137</v>
      </c>
      <c r="O401" s="160" t="s">
        <v>1133</v>
      </c>
      <c r="P401" s="153">
        <f t="shared" si="13"/>
        <v>10</v>
      </c>
      <c r="Q401" s="164">
        <v>45815.0</v>
      </c>
      <c r="R401" s="164">
        <v>45819.0</v>
      </c>
      <c r="S401" s="164">
        <v>45826.0</v>
      </c>
      <c r="T401" s="164">
        <v>45829.0</v>
      </c>
      <c r="U401" s="164">
        <v>45833.0</v>
      </c>
      <c r="V401" s="164">
        <v>45847.0</v>
      </c>
      <c r="W401" s="164">
        <v>45862.0</v>
      </c>
      <c r="X401" s="164">
        <v>45873.0</v>
      </c>
      <c r="Y401" s="164">
        <v>45881.0</v>
      </c>
      <c r="Z401" s="164">
        <v>45867.0</v>
      </c>
      <c r="AA401" s="165">
        <f t="shared" si="20"/>
        <v>45881</v>
      </c>
      <c r="AB401" s="160" t="s">
        <v>1134</v>
      </c>
      <c r="AC401" s="160" t="s">
        <v>1138</v>
      </c>
      <c r="AD401" s="166"/>
      <c r="AE401" s="156">
        <f t="shared" si="21"/>
        <v>45867</v>
      </c>
      <c r="AF401" s="107" t="str">
        <f t="shared" si="22"/>
        <v>2025</v>
      </c>
      <c r="AG401" s="107" t="str">
        <f t="shared" si="23"/>
        <v>07 Jul</v>
      </c>
      <c r="AH401" s="107" t="str">
        <f t="shared" si="24"/>
        <v>Sel</v>
      </c>
      <c r="AI401" s="157">
        <f t="shared" si="25"/>
        <v>8</v>
      </c>
      <c r="AJ401" s="96"/>
      <c r="AK401" s="169"/>
      <c r="AL401" s="96"/>
      <c r="AM401" s="158">
        <f t="shared" si="12"/>
        <v>0</v>
      </c>
    </row>
    <row r="402" ht="22.5" customHeight="1">
      <c r="A402" s="167"/>
      <c r="B402" s="160" t="s">
        <v>86</v>
      </c>
      <c r="C402" s="160" t="s">
        <v>1131</v>
      </c>
      <c r="D402" s="161">
        <v>45857.0</v>
      </c>
      <c r="E402" s="124" t="str">
        <f t="shared" si="1"/>
        <v>2025</v>
      </c>
      <c r="F402" s="124" t="str">
        <f t="shared" si="2"/>
        <v>07 Jul</v>
      </c>
      <c r="G402" s="124" t="str">
        <f t="shared" si="3"/>
        <v>Sabtu</v>
      </c>
      <c r="H402" s="160" t="s">
        <v>1358</v>
      </c>
      <c r="I402" s="125" t="str">
        <f t="array" ref="I402">IFNA(XLOOKUP($H402,'🙎‍♂️ Pasien'!$G$7:$G658,'🙎‍♂️ Pasien'!$H$7:$H658),"")</f>
        <v>M0825073380</v>
      </c>
      <c r="J402" s="125" t="str">
        <f t="array" ref="J402">IFNA(XLOOKUP($H402,'🙎‍♂️ Pasien'!$G$7:$G658,'🙎‍♂️ Pasien'!$L$7:$L658),"")</f>
        <v>LAKI-LAKI</v>
      </c>
      <c r="K402" s="125">
        <f t="array" ref="K402">IFNA(XLOOKUP($H402,'🙎‍♂️ Pasien'!$G$7:$G658,'🙎‍♂️ Pasien'!$I$7:$I658),"")</f>
        <v>17</v>
      </c>
      <c r="L402" s="160" t="s">
        <v>79</v>
      </c>
      <c r="M402" s="162" t="str">
        <f t="array" ref="M402">IFNA(XLOOKUP(L402,'⚙️ Pengaturan'!$H$5:$H658,'⚙️ Pengaturan'!$I$5:$I658),"")</f>
        <v>TIM A</v>
      </c>
      <c r="N402" s="163" t="s">
        <v>1132</v>
      </c>
      <c r="O402" s="160" t="s">
        <v>1133</v>
      </c>
      <c r="P402" s="153">
        <f t="shared" si="13"/>
        <v>5</v>
      </c>
      <c r="Q402" s="164">
        <v>45857.0</v>
      </c>
      <c r="R402" s="164">
        <v>45859.0</v>
      </c>
      <c r="S402" s="164">
        <v>45862.0</v>
      </c>
      <c r="T402" s="164">
        <v>45864.0</v>
      </c>
      <c r="U402" s="164">
        <v>45865.0</v>
      </c>
      <c r="V402" s="164"/>
      <c r="W402" s="164"/>
      <c r="X402" s="164"/>
      <c r="Y402" s="164"/>
      <c r="Z402" s="164"/>
      <c r="AA402" s="165">
        <f t="shared" si="20"/>
        <v>45865</v>
      </c>
      <c r="AB402" s="160" t="s">
        <v>1134</v>
      </c>
      <c r="AC402" s="160" t="s">
        <v>1138</v>
      </c>
      <c r="AD402" s="168" t="s">
        <v>1359</v>
      </c>
      <c r="AE402" s="156">
        <f t="shared" si="21"/>
        <v>45865</v>
      </c>
      <c r="AF402" s="107" t="str">
        <f t="shared" si="22"/>
        <v>2025</v>
      </c>
      <c r="AG402" s="107" t="str">
        <f t="shared" si="23"/>
        <v>07 Jul</v>
      </c>
      <c r="AH402" s="107" t="str">
        <f t="shared" si="24"/>
        <v>Min</v>
      </c>
      <c r="AI402" s="157">
        <f t="shared" si="25"/>
        <v>2</v>
      </c>
      <c r="AJ402" s="96"/>
      <c r="AK402" s="169"/>
      <c r="AL402" s="96"/>
      <c r="AM402" s="158">
        <f t="shared" si="12"/>
        <v>0</v>
      </c>
    </row>
    <row r="403" ht="22.5" customHeight="1">
      <c r="A403" s="167"/>
      <c r="B403" s="160" t="s">
        <v>134</v>
      </c>
      <c r="C403" s="160" t="s">
        <v>1131</v>
      </c>
      <c r="D403" s="161">
        <v>45867.0</v>
      </c>
      <c r="E403" s="124" t="str">
        <f t="shared" si="1"/>
        <v>2025</v>
      </c>
      <c r="F403" s="124" t="str">
        <f t="shared" si="2"/>
        <v>07 Jul</v>
      </c>
      <c r="G403" s="124" t="str">
        <f t="shared" si="3"/>
        <v>Selasa</v>
      </c>
      <c r="H403" s="160" t="s">
        <v>1358</v>
      </c>
      <c r="I403" s="125" t="str">
        <f t="array" ref="I403">IFNA(XLOOKUP($H403,'🙎‍♂️ Pasien'!$G$7:$G658,'🙎‍♂️ Pasien'!$H$7:$H658),"")</f>
        <v>M0825073380</v>
      </c>
      <c r="J403" s="125" t="str">
        <f t="array" ref="J403">IFNA(XLOOKUP($H403,'🙎‍♂️ Pasien'!$G$7:$G658,'🙎‍♂️ Pasien'!$L$7:$L658),"")</f>
        <v>LAKI-LAKI</v>
      </c>
      <c r="K403" s="125">
        <f t="array" ref="K403">IFNA(XLOOKUP($H403,'🙎‍♂️ Pasien'!$G$7:$G658,'🙎‍♂️ Pasien'!$I$7:$I658),"")</f>
        <v>17</v>
      </c>
      <c r="L403" s="160" t="s">
        <v>79</v>
      </c>
      <c r="M403" s="162" t="str">
        <f t="array" ref="M403">IFNA(XLOOKUP(L403,'⚙️ Pengaturan'!$H$5:$H658,'⚙️ Pengaturan'!$I$5:$I658),"")</f>
        <v>TIM A</v>
      </c>
      <c r="N403" s="163" t="s">
        <v>1132</v>
      </c>
      <c r="O403" s="160" t="s">
        <v>1139</v>
      </c>
      <c r="P403" s="153">
        <f t="shared" si="13"/>
        <v>2</v>
      </c>
      <c r="Q403" s="164">
        <v>45867.0</v>
      </c>
      <c r="R403" s="164">
        <v>45868.0</v>
      </c>
      <c r="S403" s="164"/>
      <c r="T403" s="164"/>
      <c r="U403" s="164"/>
      <c r="V403" s="164"/>
      <c r="W403" s="164"/>
      <c r="X403" s="164"/>
      <c r="Y403" s="164"/>
      <c r="Z403" s="164"/>
      <c r="AA403" s="165">
        <f t="shared" si="20"/>
        <v>45868</v>
      </c>
      <c r="AB403" s="160" t="s">
        <v>1144</v>
      </c>
      <c r="AC403" s="174"/>
      <c r="AD403" s="166"/>
      <c r="AE403" s="156" t="str">
        <f t="shared" si="21"/>
        <v/>
      </c>
      <c r="AF403" s="107" t="str">
        <f t="shared" si="22"/>
        <v/>
      </c>
      <c r="AG403" s="107" t="str">
        <f t="shared" si="23"/>
        <v/>
      </c>
      <c r="AH403" s="107" t="str">
        <f t="shared" si="24"/>
        <v/>
      </c>
      <c r="AI403" s="157">
        <f t="shared" si="25"/>
        <v>45</v>
      </c>
      <c r="AJ403" s="96"/>
      <c r="AK403" s="169"/>
      <c r="AL403" s="96"/>
      <c r="AM403" s="158">
        <f t="shared" si="12"/>
        <v>0</v>
      </c>
    </row>
    <row r="404" ht="22.5" customHeight="1">
      <c r="A404" s="167"/>
      <c r="B404" s="160" t="s">
        <v>134</v>
      </c>
      <c r="C404" s="172"/>
      <c r="D404" s="161">
        <v>45800.0</v>
      </c>
      <c r="E404" s="124" t="str">
        <f t="shared" si="1"/>
        <v>2025</v>
      </c>
      <c r="F404" s="124" t="str">
        <f t="shared" si="2"/>
        <v>05 Mei</v>
      </c>
      <c r="G404" s="124" t="str">
        <f t="shared" si="3"/>
        <v>Jumat</v>
      </c>
      <c r="H404" s="160" t="s">
        <v>1360</v>
      </c>
      <c r="I404" s="125" t="str">
        <f t="array" ref="I404">IFNA(XLOOKUP($H404,'🙎‍♂️ Pasien'!$G$7:$G658,'🙎‍♂️ Pasien'!$H$7:$H658),"")</f>
        <v>M0725054401</v>
      </c>
      <c r="J404" s="125" t="str">
        <f t="array" ref="J404">IFNA(XLOOKUP($H404,'🙎‍♂️ Pasien'!$G$7:$G658,'🙎‍♂️ Pasien'!$L$7:$L658),"")</f>
        <v>LAKI-LAKI</v>
      </c>
      <c r="K404" s="125">
        <f t="array" ref="K404">IFNA(XLOOKUP($H404,'🙎‍♂️ Pasien'!$G$7:$G658,'🙎‍♂️ Pasien'!$I$7:$I658),"")</f>
        <v>18</v>
      </c>
      <c r="L404" s="160" t="s">
        <v>56</v>
      </c>
      <c r="M404" s="162" t="str">
        <f t="array" ref="M404">IFNA(XLOOKUP(L404,'⚙️ Pengaturan'!$H$5:$H658,'⚙️ Pengaturan'!$I$5:$I658),"")</f>
        <v>TIM Y</v>
      </c>
      <c r="N404" s="160" t="s">
        <v>1132</v>
      </c>
      <c r="O404" s="160" t="s">
        <v>1133</v>
      </c>
      <c r="P404" s="153">
        <f t="shared" si="13"/>
        <v>1</v>
      </c>
      <c r="Q404" s="164">
        <v>45800.0</v>
      </c>
      <c r="R404" s="164"/>
      <c r="S404" s="164"/>
      <c r="T404" s="164"/>
      <c r="U404" s="164"/>
      <c r="V404" s="164"/>
      <c r="W404" s="164"/>
      <c r="X404" s="164"/>
      <c r="Y404" s="164"/>
      <c r="Z404" s="164"/>
      <c r="AA404" s="165">
        <f t="shared" si="20"/>
        <v>45800</v>
      </c>
      <c r="AB404" s="160" t="s">
        <v>1144</v>
      </c>
      <c r="AC404" s="174"/>
      <c r="AD404" s="166"/>
      <c r="AE404" s="156" t="str">
        <f t="shared" si="21"/>
        <v/>
      </c>
      <c r="AF404" s="107" t="str">
        <f t="shared" si="22"/>
        <v/>
      </c>
      <c r="AG404" s="107" t="str">
        <f t="shared" si="23"/>
        <v/>
      </c>
      <c r="AH404" s="107" t="str">
        <f t="shared" si="24"/>
        <v/>
      </c>
      <c r="AI404" s="157">
        <f t="shared" si="25"/>
        <v>55</v>
      </c>
      <c r="AJ404" s="96"/>
      <c r="AK404" s="169"/>
      <c r="AL404" s="96"/>
      <c r="AM404" s="158">
        <f t="shared" si="12"/>
        <v>0</v>
      </c>
    </row>
    <row r="405" ht="22.5" customHeight="1">
      <c r="A405" s="167"/>
      <c r="B405" s="160" t="s">
        <v>86</v>
      </c>
      <c r="C405" s="160" t="s">
        <v>1131</v>
      </c>
      <c r="D405" s="161">
        <v>45970.0</v>
      </c>
      <c r="E405" s="124" t="str">
        <f t="shared" si="1"/>
        <v>2025</v>
      </c>
      <c r="F405" s="124" t="str">
        <f t="shared" si="2"/>
        <v>11 Nov</v>
      </c>
      <c r="G405" s="124" t="str">
        <f t="shared" si="3"/>
        <v>Minggu</v>
      </c>
      <c r="H405" s="160" t="s">
        <v>487</v>
      </c>
      <c r="I405" s="125" t="str">
        <f t="array" ref="I405">IFNA(XLOOKUP($H405,'🙎‍♂️ Pasien'!$G$7:$G658,'🙎‍♂️ Pasien'!$H$7:$H658),"")</f>
        <v>M1223117264</v>
      </c>
      <c r="J405" s="125" t="str">
        <f t="array" ref="J405">IFNA(XLOOKUP($H405,'🙎‍♂️ Pasien'!$G$7:$G658,'🙎‍♂️ Pasien'!$L$7:$L658),"")</f>
        <v>LAKI-LAKI</v>
      </c>
      <c r="K405" s="125">
        <f t="array" ref="K405">IFNA(XLOOKUP($H405,'🙎‍♂️ Pasien'!$G$7:$G658,'🙎‍♂️ Pasien'!$I$7:$I658),"")</f>
        <v>14</v>
      </c>
      <c r="L405" s="160" t="s">
        <v>91</v>
      </c>
      <c r="M405" s="162" t="str">
        <f t="array" ref="M405">IFNA(XLOOKUP(L405,'⚙️ Pengaturan'!$H$5:$H658,'⚙️ Pengaturan'!$I$5:$I658),"")</f>
        <v>TIM Y</v>
      </c>
      <c r="N405" s="163" t="s">
        <v>1132</v>
      </c>
      <c r="O405" s="160" t="s">
        <v>1133</v>
      </c>
      <c r="P405" s="153">
        <f t="shared" si="13"/>
        <v>1</v>
      </c>
      <c r="Q405" s="164">
        <v>45970.0</v>
      </c>
      <c r="R405" s="164"/>
      <c r="S405" s="164"/>
      <c r="T405" s="164"/>
      <c r="U405" s="164"/>
      <c r="V405" s="164"/>
      <c r="W405" s="164"/>
      <c r="X405" s="164"/>
      <c r="Y405" s="164"/>
      <c r="Z405" s="164"/>
      <c r="AA405" s="165">
        <f t="shared" si="20"/>
        <v>45970</v>
      </c>
      <c r="AB405" s="160" t="s">
        <v>1144</v>
      </c>
      <c r="AC405" s="172"/>
      <c r="AD405" s="168"/>
      <c r="AE405" s="156" t="str">
        <f t="shared" si="21"/>
        <v/>
      </c>
      <c r="AF405" s="107" t="str">
        <f t="shared" si="22"/>
        <v/>
      </c>
      <c r="AG405" s="107" t="str">
        <f t="shared" si="23"/>
        <v/>
      </c>
      <c r="AH405" s="107" t="str">
        <f t="shared" si="24"/>
        <v/>
      </c>
      <c r="AI405" s="157">
        <f t="shared" si="25"/>
        <v>31</v>
      </c>
      <c r="AJ405" s="96"/>
      <c r="AK405" s="169"/>
      <c r="AL405" s="96"/>
      <c r="AM405" s="158">
        <f t="shared" si="12"/>
        <v>0</v>
      </c>
    </row>
    <row r="406" ht="22.5" customHeight="1">
      <c r="A406" s="167"/>
      <c r="B406" s="160" t="s">
        <v>86</v>
      </c>
      <c r="C406" s="160" t="s">
        <v>1131</v>
      </c>
      <c r="D406" s="161">
        <v>45857.0</v>
      </c>
      <c r="E406" s="124" t="str">
        <f t="shared" si="1"/>
        <v>2025</v>
      </c>
      <c r="F406" s="124" t="str">
        <f t="shared" si="2"/>
        <v>07 Jul</v>
      </c>
      <c r="G406" s="124" t="str">
        <f t="shared" si="3"/>
        <v>Sabtu</v>
      </c>
      <c r="H406" s="160" t="s">
        <v>1361</v>
      </c>
      <c r="I406" s="125" t="str">
        <f t="array" ref="I406">IFNA(XLOOKUP($H406,'🙎‍♂️ Pasien'!$G$7:$G658,'🙎‍♂️ Pasien'!$H$7:$H658),"")</f>
        <v>M0425076023</v>
      </c>
      <c r="J406" s="125" t="str">
        <f t="array" ref="J406">IFNA(XLOOKUP($H406,'🙎‍♂️ Pasien'!$G$7:$G658,'🙎‍♂️ Pasien'!$L$7:$L658),"")</f>
        <v>LAKI-LAKI</v>
      </c>
      <c r="K406" s="125">
        <f t="array" ref="K406">IFNA(XLOOKUP($H406,'🙎‍♂️ Pasien'!$G$7:$G658,'🙎‍♂️ Pasien'!$I$7:$I658),"")</f>
        <v>21</v>
      </c>
      <c r="L406" s="160" t="s">
        <v>79</v>
      </c>
      <c r="M406" s="162" t="str">
        <f t="array" ref="M406">IFNA(XLOOKUP(L406,'⚙️ Pengaturan'!$H$5:$H658,'⚙️ Pengaturan'!$I$5:$I658),"")</f>
        <v>TIM A</v>
      </c>
      <c r="N406" s="163" t="s">
        <v>1132</v>
      </c>
      <c r="O406" s="160" t="s">
        <v>1133</v>
      </c>
      <c r="P406" s="153">
        <f t="shared" si="13"/>
        <v>5</v>
      </c>
      <c r="Q406" s="164">
        <v>45857.0</v>
      </c>
      <c r="R406" s="164">
        <v>45859.0</v>
      </c>
      <c r="S406" s="164">
        <v>45860.0</v>
      </c>
      <c r="T406" s="164">
        <v>45862.0</v>
      </c>
      <c r="U406" s="164">
        <v>45864.0</v>
      </c>
      <c r="V406" s="164"/>
      <c r="W406" s="164"/>
      <c r="X406" s="164"/>
      <c r="Y406" s="164"/>
      <c r="Z406" s="164"/>
      <c r="AA406" s="165">
        <f t="shared" si="20"/>
        <v>45864</v>
      </c>
      <c r="AB406" s="160" t="s">
        <v>1134</v>
      </c>
      <c r="AC406" s="160" t="s">
        <v>1138</v>
      </c>
      <c r="AD406" s="166"/>
      <c r="AE406" s="156">
        <f t="shared" si="21"/>
        <v>45864</v>
      </c>
      <c r="AF406" s="107" t="str">
        <f t="shared" si="22"/>
        <v>2025</v>
      </c>
      <c r="AG406" s="107" t="str">
        <f t="shared" si="23"/>
        <v>07 Jul</v>
      </c>
      <c r="AH406" s="107" t="str">
        <f t="shared" si="24"/>
        <v>Sab</v>
      </c>
      <c r="AI406" s="157">
        <f t="shared" si="25"/>
        <v>1</v>
      </c>
      <c r="AJ406" s="96"/>
      <c r="AK406" s="169"/>
      <c r="AL406" s="96"/>
      <c r="AM406" s="158">
        <f t="shared" si="12"/>
        <v>0</v>
      </c>
    </row>
    <row r="407" ht="22.5" customHeight="1">
      <c r="A407" s="167"/>
      <c r="B407" s="160" t="s">
        <v>86</v>
      </c>
      <c r="C407" s="160" t="s">
        <v>1131</v>
      </c>
      <c r="D407" s="161">
        <v>45865.0</v>
      </c>
      <c r="E407" s="124" t="str">
        <f t="shared" si="1"/>
        <v>2025</v>
      </c>
      <c r="F407" s="124" t="str">
        <f t="shared" si="2"/>
        <v>07 Jul</v>
      </c>
      <c r="G407" s="124" t="str">
        <f t="shared" si="3"/>
        <v>Minggu</v>
      </c>
      <c r="H407" s="160" t="s">
        <v>1361</v>
      </c>
      <c r="I407" s="125" t="str">
        <f t="array" ref="I407">IFNA(XLOOKUP($H407,'🙎‍♂️ Pasien'!$G$7:$G658,'🙎‍♂️ Pasien'!$H$7:$H658),"")</f>
        <v>M0425076023</v>
      </c>
      <c r="J407" s="125" t="str">
        <f t="array" ref="J407">IFNA(XLOOKUP($H407,'🙎‍♂️ Pasien'!$G$7:$G658,'🙎‍♂️ Pasien'!$L$7:$L658),"")</f>
        <v>LAKI-LAKI</v>
      </c>
      <c r="K407" s="125">
        <f t="array" ref="K407">IFNA(XLOOKUP($H407,'🙎‍♂️ Pasien'!$G$7:$G658,'🙎‍♂️ Pasien'!$I$7:$I658),"")</f>
        <v>21</v>
      </c>
      <c r="L407" s="160" t="s">
        <v>79</v>
      </c>
      <c r="M407" s="162" t="str">
        <f t="array" ref="M407">IFNA(XLOOKUP(L407,'⚙️ Pengaturan'!$H$5:$H658,'⚙️ Pengaturan'!$I$5:$I658),"")</f>
        <v>TIM A</v>
      </c>
      <c r="N407" s="163" t="s">
        <v>1132</v>
      </c>
      <c r="O407" s="160" t="s">
        <v>1139</v>
      </c>
      <c r="P407" s="153">
        <f t="shared" si="13"/>
        <v>3</v>
      </c>
      <c r="Q407" s="164">
        <v>45865.0</v>
      </c>
      <c r="R407" s="164">
        <v>45867.0</v>
      </c>
      <c r="S407" s="164">
        <v>45869.0</v>
      </c>
      <c r="T407" s="164"/>
      <c r="U407" s="164"/>
      <c r="V407" s="164"/>
      <c r="W407" s="164"/>
      <c r="X407" s="164"/>
      <c r="Y407" s="164"/>
      <c r="Z407" s="164"/>
      <c r="AA407" s="165">
        <f t="shared" si="20"/>
        <v>45869</v>
      </c>
      <c r="AB407" s="160" t="s">
        <v>1134</v>
      </c>
      <c r="AC407" s="160" t="s">
        <v>1138</v>
      </c>
      <c r="AD407" s="166"/>
      <c r="AE407" s="156" t="str">
        <f t="shared" si="21"/>
        <v/>
      </c>
      <c r="AF407" s="107" t="str">
        <f t="shared" si="22"/>
        <v/>
      </c>
      <c r="AG407" s="107" t="str">
        <f t="shared" si="23"/>
        <v/>
      </c>
      <c r="AH407" s="107" t="str">
        <f t="shared" si="24"/>
        <v/>
      </c>
      <c r="AI407" s="157">
        <f t="shared" si="25"/>
        <v>46</v>
      </c>
      <c r="AJ407" s="96"/>
      <c r="AK407" s="169"/>
      <c r="AL407" s="96"/>
      <c r="AM407" s="158">
        <f t="shared" si="12"/>
        <v>0</v>
      </c>
    </row>
    <row r="408" ht="22.5" customHeight="1">
      <c r="A408" s="167"/>
      <c r="B408" s="160" t="s">
        <v>134</v>
      </c>
      <c r="C408" s="160" t="s">
        <v>1131</v>
      </c>
      <c r="D408" s="161">
        <v>45847.0</v>
      </c>
      <c r="E408" s="124" t="str">
        <f t="shared" si="1"/>
        <v>2025</v>
      </c>
      <c r="F408" s="124" t="str">
        <f t="shared" si="2"/>
        <v>07 Jul</v>
      </c>
      <c r="G408" s="124" t="str">
        <f t="shared" si="3"/>
        <v>Rabu</v>
      </c>
      <c r="H408" s="160" t="s">
        <v>1362</v>
      </c>
      <c r="I408" s="125" t="str">
        <f t="array" ref="I408">IFNA(XLOOKUP($H408,'🙎‍♂️ Pasien'!$G$7:$G658,'🙎‍♂️ Pasien'!$H$7:$H658),"")</f>
        <v>M8925070454</v>
      </c>
      <c r="J408" s="125" t="str">
        <f t="array" ref="J408">IFNA(XLOOKUP($H408,'🙎‍♂️ Pasien'!$G$7:$G658,'🙎‍♂️ Pasien'!$L$7:$L658),"")</f>
        <v>LAKI-LAKI</v>
      </c>
      <c r="K408" s="125">
        <f t="array" ref="K408">IFNA(XLOOKUP($H408,'🙎‍♂️ Pasien'!$G$7:$G658,'🙎‍♂️ Pasien'!$I$7:$I658),"")</f>
        <v>37</v>
      </c>
      <c r="L408" s="160" t="s">
        <v>56</v>
      </c>
      <c r="M408" s="162" t="str">
        <f t="array" ref="M408">IFNA(XLOOKUP(L408,'⚙️ Pengaturan'!$H$5:$H658,'⚙️ Pengaturan'!$I$5:$I658),"")</f>
        <v>TIM Y</v>
      </c>
      <c r="N408" s="163" t="s">
        <v>1132</v>
      </c>
      <c r="O408" s="160" t="s">
        <v>1133</v>
      </c>
      <c r="P408" s="153">
        <f t="shared" si="13"/>
        <v>5</v>
      </c>
      <c r="Q408" s="164">
        <v>45847.0</v>
      </c>
      <c r="R408" s="164">
        <v>45850.0</v>
      </c>
      <c r="S408" s="164">
        <v>45852.0</v>
      </c>
      <c r="T408" s="164">
        <v>45854.0</v>
      </c>
      <c r="U408" s="164">
        <v>45857.0</v>
      </c>
      <c r="V408" s="164"/>
      <c r="W408" s="164"/>
      <c r="X408" s="164"/>
      <c r="Y408" s="164"/>
      <c r="Z408" s="164"/>
      <c r="AA408" s="165">
        <f t="shared" si="20"/>
        <v>45857</v>
      </c>
      <c r="AB408" s="160" t="s">
        <v>1134</v>
      </c>
      <c r="AC408" s="160" t="s">
        <v>1138</v>
      </c>
      <c r="AD408" s="166"/>
      <c r="AE408" s="156">
        <f t="shared" si="21"/>
        <v>45857</v>
      </c>
      <c r="AF408" s="107" t="str">
        <f t="shared" si="22"/>
        <v>2025</v>
      </c>
      <c r="AG408" s="107" t="str">
        <f t="shared" si="23"/>
        <v>07 Jul</v>
      </c>
      <c r="AH408" s="107" t="str">
        <f t="shared" si="24"/>
        <v>Sab</v>
      </c>
      <c r="AI408" s="157">
        <f t="shared" si="25"/>
        <v>2</v>
      </c>
      <c r="AJ408" s="96"/>
      <c r="AK408" s="169"/>
      <c r="AL408" s="96"/>
      <c r="AM408" s="158">
        <f t="shared" si="12"/>
        <v>0</v>
      </c>
    </row>
    <row r="409" ht="22.5" customHeight="1">
      <c r="A409" s="167"/>
      <c r="B409" s="160" t="s">
        <v>86</v>
      </c>
      <c r="C409" s="160" t="s">
        <v>1131</v>
      </c>
      <c r="D409" s="161">
        <v>45859.0</v>
      </c>
      <c r="E409" s="124" t="str">
        <f t="shared" si="1"/>
        <v>2025</v>
      </c>
      <c r="F409" s="124" t="str">
        <f t="shared" si="2"/>
        <v>07 Jul</v>
      </c>
      <c r="G409" s="124" t="str">
        <f t="shared" si="3"/>
        <v>Senin</v>
      </c>
      <c r="H409" s="160" t="s">
        <v>1362</v>
      </c>
      <c r="I409" s="125" t="str">
        <f t="array" ref="I409">IFNA(XLOOKUP($H409,'🙎‍♂️ Pasien'!$G$7:$G658,'🙎‍♂️ Pasien'!$H$7:$H658),"")</f>
        <v>M8925070454</v>
      </c>
      <c r="J409" s="125" t="str">
        <f t="array" ref="J409">IFNA(XLOOKUP($H409,'🙎‍♂️ Pasien'!$G$7:$G658,'🙎‍♂️ Pasien'!$L$7:$L658),"")</f>
        <v>LAKI-LAKI</v>
      </c>
      <c r="K409" s="125">
        <f t="array" ref="K409">IFNA(XLOOKUP($H409,'🙎‍♂️ Pasien'!$G$7:$G658,'🙎‍♂️ Pasien'!$I$7:$I658),"")</f>
        <v>37</v>
      </c>
      <c r="L409" s="160" t="s">
        <v>56</v>
      </c>
      <c r="M409" s="162" t="str">
        <f t="array" ref="M409">IFNA(XLOOKUP(L409,'⚙️ Pengaturan'!$H$5:$H658,'⚙️ Pengaturan'!$I$5:$I658),"")</f>
        <v>TIM Y</v>
      </c>
      <c r="N409" s="163" t="s">
        <v>1132</v>
      </c>
      <c r="O409" s="160" t="s">
        <v>1139</v>
      </c>
      <c r="P409" s="153">
        <f t="shared" si="13"/>
        <v>4</v>
      </c>
      <c r="Q409" s="164">
        <v>45859.0</v>
      </c>
      <c r="R409" s="164">
        <v>45861.0</v>
      </c>
      <c r="S409" s="164">
        <v>45863.0</v>
      </c>
      <c r="T409" s="164">
        <v>45867.0</v>
      </c>
      <c r="U409" s="164"/>
      <c r="V409" s="164"/>
      <c r="W409" s="164"/>
      <c r="X409" s="164"/>
      <c r="Y409" s="164"/>
      <c r="Z409" s="164"/>
      <c r="AA409" s="165">
        <f t="shared" si="20"/>
        <v>45867</v>
      </c>
      <c r="AB409" s="160" t="s">
        <v>1144</v>
      </c>
      <c r="AC409" s="174"/>
      <c r="AD409" s="166"/>
      <c r="AE409" s="156" t="str">
        <f t="shared" si="21"/>
        <v/>
      </c>
      <c r="AF409" s="107" t="str">
        <f t="shared" si="22"/>
        <v/>
      </c>
      <c r="AG409" s="107" t="str">
        <f t="shared" si="23"/>
        <v/>
      </c>
      <c r="AH409" s="107" t="str">
        <f t="shared" si="24"/>
        <v/>
      </c>
      <c r="AI409" s="157">
        <f t="shared" si="25"/>
        <v>47</v>
      </c>
      <c r="AJ409" s="96"/>
      <c r="AK409" s="169"/>
      <c r="AL409" s="96"/>
      <c r="AM409" s="158">
        <f t="shared" si="12"/>
        <v>0</v>
      </c>
    </row>
    <row r="410" ht="22.5" customHeight="1">
      <c r="A410" s="167"/>
      <c r="B410" s="160" t="s">
        <v>86</v>
      </c>
      <c r="C410" s="160" t="s">
        <v>1131</v>
      </c>
      <c r="D410" s="161">
        <v>45948.0</v>
      </c>
      <c r="E410" s="124" t="str">
        <f t="shared" si="1"/>
        <v>2025</v>
      </c>
      <c r="F410" s="124" t="str">
        <f t="shared" si="2"/>
        <v>10 Okt</v>
      </c>
      <c r="G410" s="124" t="str">
        <f t="shared" si="3"/>
        <v>Sabtu</v>
      </c>
      <c r="H410" s="160" t="s">
        <v>262</v>
      </c>
      <c r="I410" s="125" t="str">
        <f t="array" ref="I410">IFNA(XLOOKUP($H410,'🙎‍♂️ Pasien'!$G$7:$G658,'🙎‍♂️ Pasien'!$H$7:$H658),"")</f>
        <v>M7825100800</v>
      </c>
      <c r="J410" s="125" t="str">
        <f t="array" ref="J410">IFNA(XLOOKUP($H410,'🙎‍♂️ Pasien'!$G$7:$G658,'🙎‍♂️ Pasien'!$L$7:$L658),"")</f>
        <v>PEREMPUAN</v>
      </c>
      <c r="K410" s="125">
        <f t="array" ref="K410">IFNA(XLOOKUP($H410,'🙎‍♂️ Pasien'!$G$7:$G658,'🙎‍♂️ Pasien'!$I$7:$I658),"")</f>
        <v>48</v>
      </c>
      <c r="L410" s="160" t="s">
        <v>62</v>
      </c>
      <c r="M410" s="162" t="str">
        <f t="array" ref="M410">IFNA(XLOOKUP(L410,'⚙️ Pengaturan'!$H$5:$H658,'⚙️ Pengaturan'!$I$5:$I658),"")</f>
        <v>TIM A</v>
      </c>
      <c r="N410" s="163" t="s">
        <v>1132</v>
      </c>
      <c r="O410" s="160" t="s">
        <v>1133</v>
      </c>
      <c r="P410" s="153">
        <f t="shared" si="13"/>
        <v>2</v>
      </c>
      <c r="Q410" s="164">
        <v>45948.0</v>
      </c>
      <c r="R410" s="164">
        <v>45951.0</v>
      </c>
      <c r="S410" s="164"/>
      <c r="T410" s="164"/>
      <c r="U410" s="164"/>
      <c r="V410" s="164"/>
      <c r="W410" s="164"/>
      <c r="X410" s="164"/>
      <c r="Y410" s="164"/>
      <c r="Z410" s="164"/>
      <c r="AA410" s="165">
        <f t="shared" si="20"/>
        <v>45951</v>
      </c>
      <c r="AB410" s="160" t="s">
        <v>1144</v>
      </c>
      <c r="AC410" s="172"/>
      <c r="AD410" s="168"/>
      <c r="AE410" s="156" t="str">
        <f t="shared" si="21"/>
        <v/>
      </c>
      <c r="AF410" s="107" t="str">
        <f t="shared" si="22"/>
        <v/>
      </c>
      <c r="AG410" s="107" t="str">
        <f t="shared" si="23"/>
        <v/>
      </c>
      <c r="AH410" s="107" t="str">
        <f t="shared" si="24"/>
        <v/>
      </c>
      <c r="AI410" s="157">
        <f t="shared" si="25"/>
        <v>34</v>
      </c>
      <c r="AJ410" s="96"/>
      <c r="AK410" s="169"/>
      <c r="AL410" s="96"/>
      <c r="AM410" s="158">
        <f t="shared" si="12"/>
        <v>0</v>
      </c>
    </row>
    <row r="411" ht="22.5" customHeight="1">
      <c r="A411" s="167"/>
      <c r="B411" s="160" t="s">
        <v>86</v>
      </c>
      <c r="C411" s="160" t="s">
        <v>1170</v>
      </c>
      <c r="D411" s="161">
        <v>45897.0</v>
      </c>
      <c r="E411" s="124" t="str">
        <f t="shared" si="1"/>
        <v>2025</v>
      </c>
      <c r="F411" s="124" t="str">
        <f t="shared" si="2"/>
        <v>08 Agu</v>
      </c>
      <c r="G411" s="124" t="str">
        <f t="shared" si="3"/>
        <v>Kamis</v>
      </c>
      <c r="H411" s="160" t="s">
        <v>1363</v>
      </c>
      <c r="I411" s="125" t="str">
        <f t="array" ref="I411">IFNA(XLOOKUP($H411,'🙎‍♂️ Pasien'!$G$7:$G658,'🙎‍♂️ Pasien'!$H$7:$H658),"")</f>
        <v>M6925081515</v>
      </c>
      <c r="J411" s="125" t="str">
        <f t="array" ref="J411">IFNA(XLOOKUP($H411,'🙎‍♂️ Pasien'!$G$7:$G658,'🙎‍♂️ Pasien'!$L$7:$L658),"")</f>
        <v>LAKI-LAKI</v>
      </c>
      <c r="K411" s="125">
        <f t="array" ref="K411">IFNA(XLOOKUP($H411,'🙎‍♂️ Pasien'!$G$7:$G658,'🙎‍♂️ Pasien'!$I$7:$I658),"")</f>
        <v>57</v>
      </c>
      <c r="L411" s="160" t="s">
        <v>598</v>
      </c>
      <c r="M411" s="162" t="str">
        <f t="array" ref="M411">IFNA(XLOOKUP(L411,'⚙️ Pengaturan'!$H$5:$H658,'⚙️ Pengaturan'!$I$5:$I658),"")</f>
        <v>INAKTIF</v>
      </c>
      <c r="N411" s="163" t="s">
        <v>1132</v>
      </c>
      <c r="O411" s="160" t="s">
        <v>1133</v>
      </c>
      <c r="P411" s="153">
        <f t="shared" si="13"/>
        <v>2</v>
      </c>
      <c r="Q411" s="164">
        <v>45897.0</v>
      </c>
      <c r="R411" s="164">
        <v>45901.0</v>
      </c>
      <c r="S411" s="164"/>
      <c r="T411" s="164"/>
      <c r="U411" s="164"/>
      <c r="V411" s="164"/>
      <c r="W411" s="164"/>
      <c r="X411" s="164"/>
      <c r="Y411" s="164"/>
      <c r="Z411" s="164"/>
      <c r="AA411" s="165">
        <f t="shared" si="20"/>
        <v>45901</v>
      </c>
      <c r="AB411" s="160" t="s">
        <v>1144</v>
      </c>
      <c r="AC411" s="174"/>
      <c r="AD411" s="166"/>
      <c r="AE411" s="156" t="str">
        <f t="shared" si="21"/>
        <v/>
      </c>
      <c r="AF411" s="107" t="str">
        <f t="shared" si="22"/>
        <v/>
      </c>
      <c r="AG411" s="107" t="str">
        <f t="shared" si="23"/>
        <v/>
      </c>
      <c r="AH411" s="107" t="str">
        <f t="shared" si="24"/>
        <v/>
      </c>
      <c r="AI411" s="157">
        <f t="shared" si="25"/>
        <v>41</v>
      </c>
      <c r="AJ411" s="96"/>
      <c r="AK411" s="169"/>
      <c r="AL411" s="96"/>
      <c r="AM411" s="158">
        <f t="shared" si="12"/>
        <v>0</v>
      </c>
    </row>
    <row r="412" ht="22.5" customHeight="1">
      <c r="A412" s="167"/>
      <c r="B412" s="160" t="s">
        <v>134</v>
      </c>
      <c r="C412" s="160" t="s">
        <v>1170</v>
      </c>
      <c r="D412" s="161">
        <v>45858.0</v>
      </c>
      <c r="E412" s="124" t="str">
        <f t="shared" si="1"/>
        <v>2025</v>
      </c>
      <c r="F412" s="124" t="str">
        <f t="shared" si="2"/>
        <v>07 Jul</v>
      </c>
      <c r="G412" s="124" t="str">
        <f t="shared" si="3"/>
        <v>Minggu</v>
      </c>
      <c r="H412" s="160" t="s">
        <v>1364</v>
      </c>
      <c r="I412" s="125" t="str">
        <f t="array" ref="I412">IFNA(XLOOKUP($H412,'🙎‍♂️ Pasien'!$G$7:$G658,'🙎‍♂️ Pasien'!$H$7:$H658),"")</f>
        <v>M9025021870</v>
      </c>
      <c r="J412" s="125" t="str">
        <f t="array" ref="J412">IFNA(XLOOKUP($H412,'🙎‍♂️ Pasien'!$G$7:$G658,'🙎‍♂️ Pasien'!$L$7:$L658),"")</f>
        <v>PEREMPUAN</v>
      </c>
      <c r="K412" s="125">
        <f t="array" ref="K412">IFNA(XLOOKUP($H412,'🙎‍♂️ Pasien'!$G$7:$G658,'🙎‍♂️ Pasien'!$I$7:$I658),"")</f>
        <v>35</v>
      </c>
      <c r="L412" s="160" t="s">
        <v>72</v>
      </c>
      <c r="M412" s="162" t="str">
        <f t="array" ref="M412">IFNA(XLOOKUP(L412,'⚙️ Pengaturan'!$H$5:$H658,'⚙️ Pengaturan'!$I$5:$I658),"")</f>
        <v>TIM A</v>
      </c>
      <c r="N412" s="163" t="s">
        <v>1132</v>
      </c>
      <c r="O412" s="160" t="s">
        <v>1139</v>
      </c>
      <c r="P412" s="153">
        <f t="shared" si="13"/>
        <v>2</v>
      </c>
      <c r="Q412" s="164">
        <v>45858.0</v>
      </c>
      <c r="R412" s="164">
        <v>45864.0</v>
      </c>
      <c r="S412" s="164"/>
      <c r="T412" s="164"/>
      <c r="U412" s="164"/>
      <c r="V412" s="164"/>
      <c r="W412" s="164"/>
      <c r="X412" s="164"/>
      <c r="Y412" s="164"/>
      <c r="Z412" s="164"/>
      <c r="AA412" s="165">
        <f t="shared" si="20"/>
        <v>45864</v>
      </c>
      <c r="AB412" s="160" t="s">
        <v>1144</v>
      </c>
      <c r="AC412" s="174"/>
      <c r="AD412" s="166"/>
      <c r="AE412" s="156" t="str">
        <f t="shared" si="21"/>
        <v/>
      </c>
      <c r="AF412" s="107" t="str">
        <f t="shared" si="22"/>
        <v/>
      </c>
      <c r="AG412" s="107" t="str">
        <f t="shared" si="23"/>
        <v/>
      </c>
      <c r="AH412" s="107" t="str">
        <f t="shared" si="24"/>
        <v/>
      </c>
      <c r="AI412" s="157">
        <f t="shared" si="25"/>
        <v>47</v>
      </c>
      <c r="AJ412" s="96"/>
      <c r="AK412" s="169"/>
      <c r="AL412" s="96"/>
      <c r="AM412" s="158">
        <f t="shared" si="12"/>
        <v>0</v>
      </c>
    </row>
    <row r="413" ht="22.5" customHeight="1">
      <c r="A413" s="167"/>
      <c r="B413" s="160" t="s">
        <v>54</v>
      </c>
      <c r="C413" s="160" t="s">
        <v>1131</v>
      </c>
      <c r="D413" s="161">
        <v>45895.0</v>
      </c>
      <c r="E413" s="124" t="str">
        <f t="shared" si="1"/>
        <v>2025</v>
      </c>
      <c r="F413" s="124" t="str">
        <f t="shared" si="2"/>
        <v>08 Agu</v>
      </c>
      <c r="G413" s="124" t="str">
        <f t="shared" si="3"/>
        <v>Selasa</v>
      </c>
      <c r="H413" s="160" t="s">
        <v>241</v>
      </c>
      <c r="I413" s="125" t="str">
        <f t="array" ref="I413">IFNA(XLOOKUP($H413,'🙎‍♂️ Pasien'!$G$7:$G658,'🙎‍♂️ Pasien'!$H$7:$H658),"")</f>
        <v>M0025084349</v>
      </c>
      <c r="J413" s="125" t="str">
        <f t="array" ref="J413">IFNA(XLOOKUP($H413,'🙎‍♂️ Pasien'!$G$7:$G658,'🙎‍♂️ Pasien'!$L$7:$L658),"")</f>
        <v>PEREMPUAN</v>
      </c>
      <c r="K413" s="125">
        <f t="array" ref="K413">IFNA(XLOOKUP($H413,'🙎‍♂️ Pasien'!$G$7:$G658,'🙎‍♂️ Pasien'!$I$7:$I658),"")</f>
        <v>26</v>
      </c>
      <c r="L413" s="160" t="s">
        <v>79</v>
      </c>
      <c r="M413" s="162" t="str">
        <f t="array" ref="M413">IFNA(XLOOKUP(L413,'⚙️ Pengaturan'!$H$5:$H658,'⚙️ Pengaturan'!$I$5:$I658),"")</f>
        <v>TIM A</v>
      </c>
      <c r="N413" s="163" t="s">
        <v>1132</v>
      </c>
      <c r="O413" s="160" t="s">
        <v>1133</v>
      </c>
      <c r="P413" s="153">
        <f t="shared" si="13"/>
        <v>5</v>
      </c>
      <c r="Q413" s="164">
        <v>45898.0</v>
      </c>
      <c r="R413" s="164">
        <v>45901.0</v>
      </c>
      <c r="S413" s="164">
        <v>45906.0</v>
      </c>
      <c r="T413" s="164">
        <v>45912.0</v>
      </c>
      <c r="U413" s="164">
        <v>45914.0</v>
      </c>
      <c r="V413" s="164"/>
      <c r="W413" s="164"/>
      <c r="X413" s="164"/>
      <c r="Y413" s="164"/>
      <c r="Z413" s="164"/>
      <c r="AA413" s="165">
        <f t="shared" si="20"/>
        <v>45914</v>
      </c>
      <c r="AB413" s="160" t="s">
        <v>1134</v>
      </c>
      <c r="AC413" s="160" t="s">
        <v>1138</v>
      </c>
      <c r="AD413" s="168"/>
      <c r="AE413" s="156">
        <f t="shared" si="21"/>
        <v>45914</v>
      </c>
      <c r="AF413" s="107" t="str">
        <f t="shared" si="22"/>
        <v>2025</v>
      </c>
      <c r="AG413" s="107" t="str">
        <f t="shared" si="23"/>
        <v>09 Sep</v>
      </c>
      <c r="AH413" s="107" t="str">
        <f t="shared" si="24"/>
        <v>Min</v>
      </c>
      <c r="AI413" s="157">
        <f t="shared" si="25"/>
        <v>3</v>
      </c>
      <c r="AJ413" s="96"/>
      <c r="AK413" s="169"/>
      <c r="AL413" s="96"/>
      <c r="AM413" s="158">
        <f t="shared" si="12"/>
        <v>0</v>
      </c>
    </row>
    <row r="414" ht="22.5" customHeight="1">
      <c r="A414" s="167"/>
      <c r="B414" s="160" t="s">
        <v>86</v>
      </c>
      <c r="C414" s="160" t="s">
        <v>1131</v>
      </c>
      <c r="D414" s="161">
        <v>45929.0</v>
      </c>
      <c r="E414" s="124" t="str">
        <f t="shared" si="1"/>
        <v>2025</v>
      </c>
      <c r="F414" s="124" t="str">
        <f t="shared" si="2"/>
        <v>09 Sep</v>
      </c>
      <c r="G414" s="124" t="str">
        <f t="shared" si="3"/>
        <v>Senin</v>
      </c>
      <c r="H414" s="160" t="s">
        <v>241</v>
      </c>
      <c r="I414" s="125" t="str">
        <f t="array" ref="I414">IFNA(XLOOKUP($H414,'🙎‍♂️ Pasien'!$G$7:$G658,'🙎‍♂️ Pasien'!$H$7:$H658),"")</f>
        <v>M0025084349</v>
      </c>
      <c r="J414" s="125" t="str">
        <f t="array" ref="J414">IFNA(XLOOKUP($H414,'🙎‍♂️ Pasien'!$G$7:$G658,'🙎‍♂️ Pasien'!$L$7:$L658),"")</f>
        <v>PEREMPUAN</v>
      </c>
      <c r="K414" s="125">
        <f t="array" ref="K414">IFNA(XLOOKUP($H414,'🙎‍♂️ Pasien'!$G$7:$G658,'🙎‍♂️ Pasien'!$I$7:$I658),"")</f>
        <v>26</v>
      </c>
      <c r="L414" s="160" t="s">
        <v>107</v>
      </c>
      <c r="M414" s="162" t="str">
        <f t="array" ref="M414">IFNA(XLOOKUP(L414,'⚙️ Pengaturan'!$H$5:$H658,'⚙️ Pengaturan'!$I$5:$I658),"")</f>
        <v>TIM Y</v>
      </c>
      <c r="N414" s="163" t="s">
        <v>1132</v>
      </c>
      <c r="O414" s="160" t="s">
        <v>1139</v>
      </c>
      <c r="P414" s="153">
        <f t="shared" si="13"/>
        <v>5</v>
      </c>
      <c r="Q414" s="164">
        <v>45937.0</v>
      </c>
      <c r="R414" s="164">
        <v>45942.0</v>
      </c>
      <c r="S414" s="164">
        <v>45949.0</v>
      </c>
      <c r="T414" s="164">
        <v>45985.0</v>
      </c>
      <c r="U414" s="164">
        <v>46015.0</v>
      </c>
      <c r="V414" s="164"/>
      <c r="W414" s="164"/>
      <c r="X414" s="164"/>
      <c r="Y414" s="164"/>
      <c r="Z414" s="164"/>
      <c r="AA414" s="165">
        <f t="shared" si="20"/>
        <v>46015</v>
      </c>
      <c r="AB414" s="160" t="s">
        <v>1134</v>
      </c>
      <c r="AC414" s="160" t="s">
        <v>1142</v>
      </c>
      <c r="AD414" s="168"/>
      <c r="AE414" s="156">
        <f t="shared" si="21"/>
        <v>46015</v>
      </c>
      <c r="AF414" s="107" t="str">
        <f t="shared" si="22"/>
        <v>2025</v>
      </c>
      <c r="AG414" s="107" t="str">
        <f t="shared" si="23"/>
        <v>12 Des</v>
      </c>
      <c r="AH414" s="107" t="str">
        <f t="shared" si="24"/>
        <v>Rab</v>
      </c>
      <c r="AI414" s="157">
        <f t="shared" si="25"/>
        <v>12</v>
      </c>
      <c r="AJ414" s="96"/>
      <c r="AK414" s="169"/>
      <c r="AL414" s="96"/>
      <c r="AM414" s="158">
        <f t="shared" si="12"/>
        <v>0</v>
      </c>
    </row>
    <row r="415" ht="22.5" customHeight="1">
      <c r="A415" s="167"/>
      <c r="B415" s="160" t="s">
        <v>134</v>
      </c>
      <c r="C415" s="160" t="s">
        <v>1131</v>
      </c>
      <c r="D415" s="161">
        <v>45864.0</v>
      </c>
      <c r="E415" s="124" t="str">
        <f t="shared" si="1"/>
        <v>2025</v>
      </c>
      <c r="F415" s="124" t="str">
        <f t="shared" si="2"/>
        <v>07 Jul</v>
      </c>
      <c r="G415" s="124" t="str">
        <f t="shared" si="3"/>
        <v>Sabtu</v>
      </c>
      <c r="H415" s="160" t="s">
        <v>1365</v>
      </c>
      <c r="I415" s="125" t="str">
        <f t="array" ref="I415">IFNA(XLOOKUP($H415,'🙎‍♂️ Pasien'!$G$7:$G658,'🙎‍♂️ Pasien'!$H$7:$H658),"")</f>
        <v>N0125076145</v>
      </c>
      <c r="J415" s="125" t="str">
        <f t="array" ref="J415">IFNA(XLOOKUP($H415,'🙎‍♂️ Pasien'!$G$7:$G658,'🙎‍♂️ Pasien'!$L$7:$L658),"")</f>
        <v>PEREMPUAN</v>
      </c>
      <c r="K415" s="125">
        <f t="array" ref="K415">IFNA(XLOOKUP($H415,'🙎‍♂️ Pasien'!$G$7:$G658,'🙎‍♂️ Pasien'!$I$7:$I658),"")</f>
        <v>25</v>
      </c>
      <c r="L415" s="160" t="s">
        <v>62</v>
      </c>
      <c r="M415" s="162" t="str">
        <f t="array" ref="M415">IFNA(XLOOKUP(L415,'⚙️ Pengaturan'!$H$5:$H658,'⚙️ Pengaturan'!$I$5:$I658),"")</f>
        <v>TIM A</v>
      </c>
      <c r="N415" s="163" t="s">
        <v>1132</v>
      </c>
      <c r="O415" s="160" t="s">
        <v>1133</v>
      </c>
      <c r="P415" s="153">
        <f t="shared" si="13"/>
        <v>5</v>
      </c>
      <c r="Q415" s="164">
        <v>45864.0</v>
      </c>
      <c r="R415" s="164">
        <v>45868.0</v>
      </c>
      <c r="S415" s="164">
        <v>45900.0</v>
      </c>
      <c r="T415" s="164">
        <v>45958.0</v>
      </c>
      <c r="U415" s="164">
        <v>45962.0</v>
      </c>
      <c r="V415" s="164"/>
      <c r="W415" s="164"/>
      <c r="X415" s="164"/>
      <c r="Y415" s="164"/>
      <c r="Z415" s="164"/>
      <c r="AA415" s="165">
        <f t="shared" si="20"/>
        <v>45962</v>
      </c>
      <c r="AB415" s="160" t="s">
        <v>1144</v>
      </c>
      <c r="AC415" s="174"/>
      <c r="AD415" s="166"/>
      <c r="AE415" s="156">
        <f t="shared" si="21"/>
        <v>45962</v>
      </c>
      <c r="AF415" s="107" t="str">
        <f t="shared" si="22"/>
        <v>2025</v>
      </c>
      <c r="AG415" s="107" t="str">
        <f t="shared" si="23"/>
        <v>11 Nov</v>
      </c>
      <c r="AH415" s="107" t="str">
        <f t="shared" si="24"/>
        <v>Sab</v>
      </c>
      <c r="AI415" s="157">
        <f t="shared" si="25"/>
        <v>14</v>
      </c>
      <c r="AJ415" s="96"/>
      <c r="AK415" s="169"/>
      <c r="AL415" s="96"/>
      <c r="AM415" s="158">
        <f t="shared" si="12"/>
        <v>0</v>
      </c>
    </row>
    <row r="416" ht="22.5" customHeight="1">
      <c r="A416" s="167"/>
      <c r="B416" s="160" t="s">
        <v>86</v>
      </c>
      <c r="C416" s="160" t="s">
        <v>1131</v>
      </c>
      <c r="D416" s="161">
        <v>45893.0</v>
      </c>
      <c r="E416" s="124" t="str">
        <f t="shared" si="1"/>
        <v>2025</v>
      </c>
      <c r="F416" s="124" t="str">
        <f t="shared" si="2"/>
        <v>08 Agu</v>
      </c>
      <c r="G416" s="124" t="str">
        <f t="shared" si="3"/>
        <v>Minggu</v>
      </c>
      <c r="H416" s="160" t="s">
        <v>1366</v>
      </c>
      <c r="I416" s="125" t="str">
        <f t="array" ref="I416">IFNA(XLOOKUP($H416,'🙎‍♂️ Pasien'!$G$7:$G658,'🙎‍♂️ Pasien'!$H$7:$H658),"")</f>
        <v>N9223062600</v>
      </c>
      <c r="J416" s="125" t="str">
        <f t="array" ref="J416">IFNA(XLOOKUP($H416,'🙎‍♂️ Pasien'!$G$7:$G658,'🙎‍♂️ Pasien'!$L$7:$L658),"")</f>
        <v>PEREMPUAN</v>
      </c>
      <c r="K416" s="125">
        <f t="array" ref="K416">IFNA(XLOOKUP($H416,'🙎‍♂️ Pasien'!$G$7:$G658,'🙎‍♂️ Pasien'!$I$7:$I658),"")</f>
        <v>34</v>
      </c>
      <c r="L416" s="160" t="s">
        <v>72</v>
      </c>
      <c r="M416" s="162" t="str">
        <f t="array" ref="M416">IFNA(XLOOKUP(L416,'⚙️ Pengaturan'!$H$5:$H658,'⚙️ Pengaturan'!$I$5:$I658),"")</f>
        <v>TIM A</v>
      </c>
      <c r="N416" s="160" t="s">
        <v>1132</v>
      </c>
      <c r="O416" s="160" t="s">
        <v>1133</v>
      </c>
      <c r="P416" s="153">
        <f t="shared" si="13"/>
        <v>5</v>
      </c>
      <c r="Q416" s="164">
        <v>45893.0</v>
      </c>
      <c r="R416" s="164">
        <v>45895.0</v>
      </c>
      <c r="S416" s="164">
        <v>45897.0</v>
      </c>
      <c r="T416" s="164">
        <v>45899.0</v>
      </c>
      <c r="U416" s="164">
        <v>45902.0</v>
      </c>
      <c r="V416" s="164"/>
      <c r="W416" s="164"/>
      <c r="X416" s="164"/>
      <c r="Y416" s="164"/>
      <c r="Z416" s="164"/>
      <c r="AA416" s="165">
        <f t="shared" si="20"/>
        <v>45902</v>
      </c>
      <c r="AB416" s="160" t="s">
        <v>1134</v>
      </c>
      <c r="AC416" s="160" t="s">
        <v>1142</v>
      </c>
      <c r="AD416" s="166"/>
      <c r="AE416" s="156">
        <f t="shared" si="21"/>
        <v>45902</v>
      </c>
      <c r="AF416" s="107" t="str">
        <f t="shared" si="22"/>
        <v>2025</v>
      </c>
      <c r="AG416" s="107" t="str">
        <f t="shared" si="23"/>
        <v>09 Sep</v>
      </c>
      <c r="AH416" s="107" t="str">
        <f t="shared" si="24"/>
        <v>Sel</v>
      </c>
      <c r="AI416" s="157">
        <f t="shared" si="25"/>
        <v>2</v>
      </c>
      <c r="AJ416" s="96"/>
      <c r="AK416" s="169"/>
      <c r="AL416" s="96"/>
      <c r="AM416" s="158">
        <f t="shared" si="12"/>
        <v>0</v>
      </c>
    </row>
    <row r="417" ht="22.5" customHeight="1">
      <c r="A417" s="167"/>
      <c r="B417" s="160" t="s">
        <v>54</v>
      </c>
      <c r="C417" s="160" t="s">
        <v>1131</v>
      </c>
      <c r="D417" s="161">
        <v>45916.0</v>
      </c>
      <c r="E417" s="124" t="str">
        <f t="shared" si="1"/>
        <v>2025</v>
      </c>
      <c r="F417" s="124" t="str">
        <f t="shared" si="2"/>
        <v>09 Sep</v>
      </c>
      <c r="G417" s="124" t="str">
        <f t="shared" si="3"/>
        <v>Selasa</v>
      </c>
      <c r="H417" s="158" t="s">
        <v>1367</v>
      </c>
      <c r="I417" s="125" t="str">
        <f t="array" ref="I417">IFNA(XLOOKUP($H417,'🙎‍♂️ Pasien'!$G$7:$G658,'🙎‍♂️ Pasien'!$H$7:$H658),"")</f>
        <v>N2525095500</v>
      </c>
      <c r="J417" s="125" t="str">
        <f t="array" ref="J417">IFNA(XLOOKUP($H417,'🙎‍♂️ Pasien'!$G$7:$G658,'🙎‍♂️ Pasien'!$L$7:$L658),"")</f>
        <v>PEREMPUAN</v>
      </c>
      <c r="K417" s="125">
        <f t="array" ref="K417">IFNA(XLOOKUP($H417,'🙎‍♂️ Pasien'!$G$7:$G658,'🙎‍♂️ Pasien'!$I$7:$I658),"")</f>
        <v>0</v>
      </c>
      <c r="L417" s="160" t="s">
        <v>107</v>
      </c>
      <c r="M417" s="162" t="str">
        <f t="array" ref="M417">IFNA(XLOOKUP(L417,'⚙️ Pengaturan'!$H$5:$H658,'⚙️ Pengaturan'!$I$5:$I658),"")</f>
        <v>TIM Y</v>
      </c>
      <c r="N417" s="163" t="s">
        <v>1132</v>
      </c>
      <c r="O417" s="160" t="s">
        <v>1133</v>
      </c>
      <c r="P417" s="153">
        <f t="shared" si="13"/>
        <v>5</v>
      </c>
      <c r="Q417" s="164">
        <v>45916.0</v>
      </c>
      <c r="R417" s="164">
        <v>45918.0</v>
      </c>
      <c r="S417" s="164">
        <v>45920.0</v>
      </c>
      <c r="T417" s="164">
        <v>45922.0</v>
      </c>
      <c r="U417" s="164">
        <v>45924.0</v>
      </c>
      <c r="V417" s="164"/>
      <c r="W417" s="164"/>
      <c r="X417" s="164"/>
      <c r="Y417" s="164"/>
      <c r="Z417" s="164"/>
      <c r="AA417" s="165">
        <f t="shared" si="20"/>
        <v>45924</v>
      </c>
      <c r="AB417" s="160" t="s">
        <v>1134</v>
      </c>
      <c r="AC417" s="160" t="s">
        <v>1142</v>
      </c>
      <c r="AD417" s="168"/>
      <c r="AE417" s="156">
        <f t="shared" si="21"/>
        <v>45924</v>
      </c>
      <c r="AF417" s="107" t="str">
        <f t="shared" si="22"/>
        <v>2025</v>
      </c>
      <c r="AG417" s="107" t="str">
        <f t="shared" si="23"/>
        <v>09 Sep</v>
      </c>
      <c r="AH417" s="107" t="str">
        <f t="shared" si="24"/>
        <v>Rab</v>
      </c>
      <c r="AI417" s="157">
        <f t="shared" si="25"/>
        <v>2</v>
      </c>
      <c r="AJ417" s="96"/>
      <c r="AK417" s="169"/>
      <c r="AL417" s="96"/>
      <c r="AM417" s="158">
        <f t="shared" si="12"/>
        <v>0</v>
      </c>
    </row>
    <row r="418" ht="22.5" customHeight="1">
      <c r="A418" s="167"/>
      <c r="B418" s="160" t="s">
        <v>1156</v>
      </c>
      <c r="C418" s="160" t="s">
        <v>1131</v>
      </c>
      <c r="D418" s="161">
        <v>45882.0</v>
      </c>
      <c r="E418" s="124" t="str">
        <f t="shared" si="1"/>
        <v>2025</v>
      </c>
      <c r="F418" s="124" t="str">
        <f t="shared" si="2"/>
        <v>08 Agu</v>
      </c>
      <c r="G418" s="124" t="str">
        <f t="shared" si="3"/>
        <v>Rabu</v>
      </c>
      <c r="H418" s="160" t="s">
        <v>1368</v>
      </c>
      <c r="I418" s="125" t="str">
        <f t="array" ref="I418">IFNA(XLOOKUP($H418,'🙎‍♂️ Pasien'!$G$7:$G658,'🙎‍♂️ Pasien'!$H$7:$H658),"")</f>
        <v>N0925081359</v>
      </c>
      <c r="J418" s="125" t="str">
        <f t="array" ref="J418">IFNA(XLOOKUP($H418,'🙎‍♂️ Pasien'!$G$7:$G658,'🙎‍♂️ Pasien'!$L$7:$L658),"")</f>
        <v>PEREMPUAN</v>
      </c>
      <c r="K418" s="125">
        <f t="array" ref="K418">IFNA(XLOOKUP($H418,'🙎‍♂️ Pasien'!$G$7:$G658,'🙎‍♂️ Pasien'!$I$7:$I658),"")</f>
        <v>17</v>
      </c>
      <c r="L418" s="160" t="s">
        <v>91</v>
      </c>
      <c r="M418" s="162" t="str">
        <f t="array" ref="M418">IFNA(XLOOKUP(L418,'⚙️ Pengaturan'!$H$5:$H658,'⚙️ Pengaturan'!$I$5:$I658),"")</f>
        <v>TIM Y</v>
      </c>
      <c r="N418" s="163" t="s">
        <v>1132</v>
      </c>
      <c r="O418" s="160" t="s">
        <v>1133</v>
      </c>
      <c r="P418" s="153">
        <f t="shared" si="13"/>
        <v>5</v>
      </c>
      <c r="Q418" s="164">
        <v>45885.0</v>
      </c>
      <c r="R418" s="164">
        <v>45888.0</v>
      </c>
      <c r="S418" s="164">
        <v>45892.0</v>
      </c>
      <c r="T418" s="164">
        <v>45899.0</v>
      </c>
      <c r="U418" s="164">
        <v>45899.0</v>
      </c>
      <c r="V418" s="164"/>
      <c r="W418" s="164"/>
      <c r="X418" s="164"/>
      <c r="Y418" s="164"/>
      <c r="Z418" s="164"/>
      <c r="AA418" s="165">
        <f t="shared" si="20"/>
        <v>45899</v>
      </c>
      <c r="AB418" s="160" t="s">
        <v>1134</v>
      </c>
      <c r="AC418" s="174"/>
      <c r="AD418" s="166"/>
      <c r="AE418" s="156">
        <f t="shared" si="21"/>
        <v>45899</v>
      </c>
      <c r="AF418" s="107" t="str">
        <f t="shared" si="22"/>
        <v>2025</v>
      </c>
      <c r="AG418" s="107" t="str">
        <f t="shared" si="23"/>
        <v>08 Agu</v>
      </c>
      <c r="AH418" s="107" t="str">
        <f t="shared" si="24"/>
        <v>Sab</v>
      </c>
      <c r="AI418" s="157">
        <f t="shared" si="25"/>
        <v>2</v>
      </c>
      <c r="AJ418" s="96"/>
      <c r="AK418" s="169"/>
      <c r="AL418" s="96"/>
      <c r="AM418" s="158">
        <f t="shared" si="12"/>
        <v>0</v>
      </c>
    </row>
    <row r="419" ht="22.5" customHeight="1">
      <c r="A419" s="167"/>
      <c r="B419" s="160" t="s">
        <v>86</v>
      </c>
      <c r="C419" s="160" t="s">
        <v>1131</v>
      </c>
      <c r="D419" s="161">
        <v>45839.0</v>
      </c>
      <c r="E419" s="124" t="str">
        <f t="shared" si="1"/>
        <v>2025</v>
      </c>
      <c r="F419" s="124" t="str">
        <f t="shared" si="2"/>
        <v>07 Jul</v>
      </c>
      <c r="G419" s="124" t="str">
        <f t="shared" si="3"/>
        <v>Selasa</v>
      </c>
      <c r="H419" s="160" t="s">
        <v>1369</v>
      </c>
      <c r="I419" s="125" t="str">
        <f t="array" ref="I419">IFNA(XLOOKUP($H419,'🙎‍♂️ Pasien'!$G$7:$G658,'🙎‍♂️ Pasien'!$H$7:$H658),"")</f>
        <v>N0125048970</v>
      </c>
      <c r="J419" s="125" t="str">
        <f t="array" ref="J419">IFNA(XLOOKUP($H419,'🙎‍♂️ Pasien'!$G$7:$G658,'🙎‍♂️ Pasien'!$L$7:$L658),"")</f>
        <v>LAKI-LAKI</v>
      </c>
      <c r="K419" s="125">
        <f t="array" ref="K419">IFNA(XLOOKUP($H419,'🙎‍♂️ Pasien'!$G$7:$G658,'🙎‍♂️ Pasien'!$I$7:$I658),"")</f>
        <v>25</v>
      </c>
      <c r="L419" s="160" t="s">
        <v>81</v>
      </c>
      <c r="M419" s="162" t="str">
        <f t="array" ref="M419">IFNA(XLOOKUP(L419,'⚙️ Pengaturan'!$H$5:$H658,'⚙️ Pengaturan'!$I$5:$I658),"")</f>
        <v>MANAJEMEN</v>
      </c>
      <c r="N419" s="163" t="s">
        <v>1132</v>
      </c>
      <c r="O419" s="160" t="s">
        <v>1133</v>
      </c>
      <c r="P419" s="153">
        <f t="shared" si="13"/>
        <v>5</v>
      </c>
      <c r="Q419" s="164">
        <v>45839.0</v>
      </c>
      <c r="R419" s="164">
        <v>45841.0</v>
      </c>
      <c r="S419" s="164">
        <v>45844.0</v>
      </c>
      <c r="T419" s="164">
        <v>45846.0</v>
      </c>
      <c r="U419" s="164">
        <v>45848.0</v>
      </c>
      <c r="V419" s="164"/>
      <c r="W419" s="164"/>
      <c r="X419" s="164"/>
      <c r="Y419" s="164"/>
      <c r="Z419" s="164"/>
      <c r="AA419" s="165">
        <f t="shared" si="20"/>
        <v>45848</v>
      </c>
      <c r="AB419" s="160" t="s">
        <v>1134</v>
      </c>
      <c r="AC419" s="160" t="s">
        <v>1135</v>
      </c>
      <c r="AD419" s="168" t="s">
        <v>1142</v>
      </c>
      <c r="AE419" s="156">
        <f t="shared" si="21"/>
        <v>45848</v>
      </c>
      <c r="AF419" s="107" t="str">
        <f t="shared" si="22"/>
        <v>2025</v>
      </c>
      <c r="AG419" s="107" t="str">
        <f t="shared" si="23"/>
        <v>07 Jul</v>
      </c>
      <c r="AH419" s="107" t="str">
        <f t="shared" si="24"/>
        <v>Kam</v>
      </c>
      <c r="AI419" s="157">
        <f t="shared" si="25"/>
        <v>2</v>
      </c>
      <c r="AJ419" s="96"/>
      <c r="AK419" s="169"/>
      <c r="AL419" s="96"/>
      <c r="AM419" s="158">
        <f t="shared" si="12"/>
        <v>0</v>
      </c>
    </row>
    <row r="420" ht="22.5" customHeight="1">
      <c r="A420" s="167"/>
      <c r="B420" s="160" t="s">
        <v>54</v>
      </c>
      <c r="C420" s="160" t="s">
        <v>1131</v>
      </c>
      <c r="D420" s="161">
        <v>45979.0</v>
      </c>
      <c r="E420" s="124" t="str">
        <f t="shared" si="1"/>
        <v>2025</v>
      </c>
      <c r="F420" s="124" t="str">
        <f t="shared" si="2"/>
        <v>11 Nov</v>
      </c>
      <c r="G420" s="124" t="str">
        <f t="shared" si="3"/>
        <v>Selasa</v>
      </c>
      <c r="H420" s="160" t="s">
        <v>522</v>
      </c>
      <c r="I420" s="125" t="str">
        <f t="array" ref="I420">IFNA(XLOOKUP($H420,'🙎‍♂️ Pasien'!$G$7:$G658,'🙎‍♂️ Pasien'!$H$7:$H658),"")</f>
        <v>N0725118277</v>
      </c>
      <c r="J420" s="125" t="str">
        <f t="array" ref="J420">IFNA(XLOOKUP($H420,'🙎‍♂️ Pasien'!$G$7:$G658,'🙎‍♂️ Pasien'!$L$7:$L658),"")</f>
        <v>PEREMPUAN</v>
      </c>
      <c r="K420" s="125">
        <f t="array" ref="K420">IFNA(XLOOKUP($H420,'🙎‍♂️ Pasien'!$G$7:$G658,'🙎‍♂️ Pasien'!$I$7:$I658),"")</f>
        <v>18</v>
      </c>
      <c r="L420" s="160" t="s">
        <v>509</v>
      </c>
      <c r="M420" s="162" t="str">
        <f t="array" ref="M420">IFNA(XLOOKUP(L420,'⚙️ Pengaturan'!$H$5:$H658,'⚙️ Pengaturan'!$I$5:$I658),"")</f>
        <v>TIM Y</v>
      </c>
      <c r="N420" s="163" t="s">
        <v>1137</v>
      </c>
      <c r="O420" s="160" t="s">
        <v>1133</v>
      </c>
      <c r="P420" s="153">
        <f t="shared" si="13"/>
        <v>9</v>
      </c>
      <c r="Q420" s="164">
        <v>45979.0</v>
      </c>
      <c r="R420" s="164">
        <v>45981.0</v>
      </c>
      <c r="S420" s="164">
        <v>45983.0</v>
      </c>
      <c r="T420" s="164">
        <v>45987.0</v>
      </c>
      <c r="U420" s="164">
        <v>45990.0</v>
      </c>
      <c r="V420" s="164">
        <v>45994.0</v>
      </c>
      <c r="W420" s="164">
        <v>46001.0</v>
      </c>
      <c r="X420" s="164">
        <v>46008.0</v>
      </c>
      <c r="Y420" s="164">
        <v>46010.0</v>
      </c>
      <c r="Z420" s="164"/>
      <c r="AA420" s="165">
        <f t="shared" si="20"/>
        <v>46010</v>
      </c>
      <c r="AB420" s="160" t="s">
        <v>1144</v>
      </c>
      <c r="AC420" s="172"/>
      <c r="AD420" s="166"/>
      <c r="AE420" s="156" t="str">
        <f t="shared" si="21"/>
        <v/>
      </c>
      <c r="AF420" s="107" t="str">
        <f t="shared" si="22"/>
        <v/>
      </c>
      <c r="AG420" s="107" t="str">
        <f t="shared" si="23"/>
        <v/>
      </c>
      <c r="AH420" s="107" t="str">
        <f t="shared" si="24"/>
        <v/>
      </c>
      <c r="AI420" s="157">
        <f t="shared" si="25"/>
        <v>29</v>
      </c>
      <c r="AJ420" s="96"/>
      <c r="AK420" s="169"/>
      <c r="AL420" s="96"/>
      <c r="AM420" s="158">
        <f t="shared" si="12"/>
        <v>0</v>
      </c>
    </row>
    <row r="421" ht="22.5" customHeight="1">
      <c r="A421" s="167"/>
      <c r="B421" s="171"/>
      <c r="C421" s="171"/>
      <c r="D421" s="161">
        <v>45682.0</v>
      </c>
      <c r="E421" s="124" t="str">
        <f t="shared" si="1"/>
        <v>2025</v>
      </c>
      <c r="F421" s="124" t="str">
        <f t="shared" si="2"/>
        <v>01 Jan</v>
      </c>
      <c r="G421" s="124" t="str">
        <f t="shared" si="3"/>
        <v>Sabtu</v>
      </c>
      <c r="H421" s="16" t="s">
        <v>1370</v>
      </c>
      <c r="I421" s="125" t="str">
        <f t="array" ref="I421">IFNA(XLOOKUP($H421,'🙎‍♂️ Pasien'!$G$7:$G658,'🙎‍♂️ Pasien'!$H$7:$H658),"")</f>
        <v>N9323021358</v>
      </c>
      <c r="J421" s="125" t="str">
        <f t="array" ref="J421">IFNA(XLOOKUP($H421,'🙎‍♂️ Pasien'!$G$7:$G658,'🙎‍♂️ Pasien'!$L$7:$L658),"")</f>
        <v>LAKI-LAKI</v>
      </c>
      <c r="K421" s="125">
        <f t="array" ref="K421">IFNA(XLOOKUP($H421,'🙎‍♂️ Pasien'!$G$7:$G658,'🙎‍♂️ Pasien'!$I$7:$I658),"")</f>
        <v>33</v>
      </c>
      <c r="L421" s="20"/>
      <c r="M421" s="125" t="str">
        <f t="array" ref="M421">IFNA(XLOOKUP(L421,'⚙️ Pengaturan'!$H$5:$H658,'⚙️ Pengaturan'!$I$5:$I658),"")</f>
        <v/>
      </c>
      <c r="N421" s="16" t="s">
        <v>1132</v>
      </c>
      <c r="O421" s="16" t="s">
        <v>1139</v>
      </c>
      <c r="P421" s="153">
        <f t="shared" si="13"/>
        <v>0</v>
      </c>
      <c r="Q421" s="154"/>
      <c r="R421" s="154"/>
      <c r="S421" s="154"/>
      <c r="T421" s="154"/>
      <c r="U421" s="154"/>
      <c r="V421" s="154"/>
      <c r="W421" s="154"/>
      <c r="X421" s="154"/>
      <c r="Y421" s="154"/>
      <c r="Z421" s="154"/>
      <c r="AA421" s="155">
        <f t="shared" si="20"/>
        <v>45682</v>
      </c>
      <c r="AB421" s="16" t="s">
        <v>1144</v>
      </c>
      <c r="AC421" s="20"/>
      <c r="AD421" s="170"/>
      <c r="AE421" s="156" t="str">
        <f t="shared" si="21"/>
        <v/>
      </c>
      <c r="AF421" s="107" t="str">
        <f t="shared" si="22"/>
        <v/>
      </c>
      <c r="AG421" s="107" t="str">
        <f t="shared" si="23"/>
        <v/>
      </c>
      <c r="AH421" s="107" t="str">
        <f t="shared" si="24"/>
        <v/>
      </c>
      <c r="AI421" s="157" t="str">
        <f t="shared" si="25"/>
        <v/>
      </c>
      <c r="AJ421" s="96"/>
      <c r="AK421" s="169"/>
      <c r="AL421" s="96"/>
      <c r="AM421" s="158">
        <f t="shared" si="12"/>
        <v>0</v>
      </c>
    </row>
    <row r="422" ht="22.5" customHeight="1">
      <c r="A422" s="167"/>
      <c r="B422" s="16" t="s">
        <v>54</v>
      </c>
      <c r="C422" s="16" t="s">
        <v>1131</v>
      </c>
      <c r="D422" s="123">
        <v>45943.0</v>
      </c>
      <c r="E422" s="124" t="str">
        <f t="shared" si="1"/>
        <v>2025</v>
      </c>
      <c r="F422" s="124" t="str">
        <f t="shared" si="2"/>
        <v>10 Okt</v>
      </c>
      <c r="G422" s="124" t="str">
        <f t="shared" si="3"/>
        <v>Senin</v>
      </c>
      <c r="H422" s="16" t="s">
        <v>892</v>
      </c>
      <c r="I422" s="125" t="str">
        <f t="array" ref="I422">IFNA(XLOOKUP($H422,'🙎‍♂️ Pasien'!$G$7:$G658,'🙎‍♂️ Pasien'!$H$7:$H658),"")</f>
        <v/>
      </c>
      <c r="J422" s="125" t="str">
        <f t="array" ref="J422">IFNA(XLOOKUP($H422,'🙎‍♂️ Pasien'!$G$7:$G658,'🙎‍♂️ Pasien'!$L$7:$L658),"")</f>
        <v/>
      </c>
      <c r="K422" s="125" t="str">
        <f t="array" ref="K422">IFNA(XLOOKUP($H422,'🙎‍♂️ Pasien'!$G$7:$G658,'🙎‍♂️ Pasien'!$I$7:$I658),"")</f>
        <v/>
      </c>
      <c r="L422" s="16" t="s">
        <v>107</v>
      </c>
      <c r="M422" s="125" t="str">
        <f t="array" ref="M422">IFNA(XLOOKUP(L422,'⚙️ Pengaturan'!$H$5:$H658,'⚙️ Pengaturan'!$I$5:$I658),"")</f>
        <v>TIM Y</v>
      </c>
      <c r="N422" s="16" t="s">
        <v>1132</v>
      </c>
      <c r="O422" s="16" t="s">
        <v>1133</v>
      </c>
      <c r="P422" s="153">
        <f t="shared" si="13"/>
        <v>5</v>
      </c>
      <c r="Q422" s="154">
        <v>45945.0</v>
      </c>
      <c r="R422" s="154">
        <v>45948.0</v>
      </c>
      <c r="S422" s="154">
        <v>45950.0</v>
      </c>
      <c r="T422" s="154">
        <v>45952.0</v>
      </c>
      <c r="U422" s="154">
        <v>45957.0</v>
      </c>
      <c r="V422" s="154"/>
      <c r="W422" s="154"/>
      <c r="X422" s="154"/>
      <c r="Y422" s="154"/>
      <c r="Z422" s="154"/>
      <c r="AA422" s="155">
        <f t="shared" si="20"/>
        <v>45957</v>
      </c>
      <c r="AB422" s="16" t="s">
        <v>1134</v>
      </c>
      <c r="AC422" s="16" t="s">
        <v>1135</v>
      </c>
      <c r="AD422" s="109" t="s">
        <v>1371</v>
      </c>
      <c r="AE422" s="156">
        <f t="shared" si="21"/>
        <v>45957</v>
      </c>
      <c r="AF422" s="107" t="str">
        <f t="shared" si="22"/>
        <v>2025</v>
      </c>
      <c r="AG422" s="107" t="str">
        <f t="shared" si="23"/>
        <v>10 Okt</v>
      </c>
      <c r="AH422" s="107" t="str">
        <f t="shared" si="24"/>
        <v>Sen</v>
      </c>
      <c r="AI422" s="157">
        <f t="shared" si="25"/>
        <v>2</v>
      </c>
      <c r="AJ422" s="96"/>
      <c r="AK422" s="169"/>
      <c r="AL422" s="96"/>
      <c r="AM422" s="158">
        <f t="shared" si="12"/>
        <v>0</v>
      </c>
    </row>
    <row r="423" ht="22.5" customHeight="1">
      <c r="A423" s="167"/>
      <c r="B423" s="160" t="s">
        <v>134</v>
      </c>
      <c r="C423" s="160" t="s">
        <v>1131</v>
      </c>
      <c r="D423" s="161">
        <v>45867.0</v>
      </c>
      <c r="E423" s="124" t="str">
        <f t="shared" si="1"/>
        <v>2025</v>
      </c>
      <c r="F423" s="124" t="str">
        <f t="shared" si="2"/>
        <v>07 Jul</v>
      </c>
      <c r="G423" s="124" t="str">
        <f t="shared" si="3"/>
        <v>Selasa</v>
      </c>
      <c r="H423" s="160" t="s">
        <v>1372</v>
      </c>
      <c r="I423" s="125" t="str">
        <f t="array" ref="I423">IFNA(XLOOKUP($H423,'🙎‍♂️ Pasien'!$G$7:$G658,'🙎‍♂️ Pasien'!$H$7:$H658),"")</f>
        <v>N6225074612</v>
      </c>
      <c r="J423" s="125" t="str">
        <f t="array" ref="J423">IFNA(XLOOKUP($H423,'🙎‍♂️ Pasien'!$G$7:$G658,'🙎‍♂️ Pasien'!$L$7:$L658),"")</f>
        <v>PEREMPUAN</v>
      </c>
      <c r="K423" s="125">
        <f t="array" ref="K423">IFNA(XLOOKUP($H423,'🙎‍♂️ Pasien'!$G$7:$G658,'🙎‍♂️ Pasien'!$I$7:$I658),"")</f>
        <v>64</v>
      </c>
      <c r="L423" s="160" t="s">
        <v>101</v>
      </c>
      <c r="M423" s="162" t="str">
        <f t="array" ref="M423">IFNA(XLOOKUP(L423,'⚙️ Pengaturan'!$H$5:$H658,'⚙️ Pengaturan'!$I$5:$I658),"")</f>
        <v>MANAJEMEN</v>
      </c>
      <c r="N423" s="163" t="s">
        <v>1132</v>
      </c>
      <c r="O423" s="160" t="s">
        <v>1133</v>
      </c>
      <c r="P423" s="153">
        <f t="shared" si="13"/>
        <v>5</v>
      </c>
      <c r="Q423" s="164">
        <v>45876.0</v>
      </c>
      <c r="R423" s="164">
        <v>45880.0</v>
      </c>
      <c r="S423" s="164">
        <v>45883.0</v>
      </c>
      <c r="T423" s="164">
        <v>45889.0</v>
      </c>
      <c r="U423" s="164">
        <v>45897.0</v>
      </c>
      <c r="V423" s="164"/>
      <c r="W423" s="164"/>
      <c r="X423" s="164"/>
      <c r="Y423" s="164"/>
      <c r="Z423" s="164"/>
      <c r="AA423" s="165">
        <f t="shared" si="20"/>
        <v>45897</v>
      </c>
      <c r="AB423" s="160" t="s">
        <v>1134</v>
      </c>
      <c r="AC423" s="160" t="s">
        <v>1142</v>
      </c>
      <c r="AD423" s="168"/>
      <c r="AE423" s="156">
        <f t="shared" si="21"/>
        <v>45897</v>
      </c>
      <c r="AF423" s="107" t="str">
        <f t="shared" si="22"/>
        <v>2025</v>
      </c>
      <c r="AG423" s="107" t="str">
        <f t="shared" si="23"/>
        <v>08 Agu</v>
      </c>
      <c r="AH423" s="107" t="str">
        <f t="shared" si="24"/>
        <v>Kam</v>
      </c>
      <c r="AI423" s="157">
        <f t="shared" si="25"/>
        <v>3</v>
      </c>
      <c r="AJ423" s="96"/>
      <c r="AK423" s="169"/>
      <c r="AL423" s="96"/>
      <c r="AM423" s="158">
        <f t="shared" si="12"/>
        <v>0</v>
      </c>
    </row>
    <row r="424" ht="22.5" customHeight="1">
      <c r="A424" s="167"/>
      <c r="B424" s="160" t="s">
        <v>86</v>
      </c>
      <c r="C424" s="160" t="s">
        <v>1131</v>
      </c>
      <c r="D424" s="161">
        <v>45922.0</v>
      </c>
      <c r="E424" s="124" t="str">
        <f t="shared" si="1"/>
        <v>2025</v>
      </c>
      <c r="F424" s="124" t="str">
        <f t="shared" si="2"/>
        <v>09 Sep</v>
      </c>
      <c r="G424" s="124" t="str">
        <f t="shared" si="3"/>
        <v>Senin</v>
      </c>
      <c r="H424" s="160" t="s">
        <v>184</v>
      </c>
      <c r="I424" s="125" t="str">
        <f t="array" ref="I424">IFNA(XLOOKUP($H424,'🙎‍♂️ Pasien'!$G$7:$G658,'🙎‍♂️ Pasien'!$H$7:$H658),"")</f>
        <v>N5825097333</v>
      </c>
      <c r="J424" s="125" t="str">
        <f t="array" ref="J424">IFNA(XLOOKUP($H424,'🙎‍♂️ Pasien'!$G$7:$G658,'🙎‍♂️ Pasien'!$L$7:$L658),"")</f>
        <v>PEREMPUAN</v>
      </c>
      <c r="K424" s="125">
        <f t="array" ref="K424">IFNA(XLOOKUP($H424,'🙎‍♂️ Pasien'!$G$7:$G658,'🙎‍♂️ Pasien'!$I$7:$I658),"")</f>
        <v>67</v>
      </c>
      <c r="L424" s="160" t="s">
        <v>62</v>
      </c>
      <c r="M424" s="162" t="str">
        <f t="array" ref="M424">IFNA(XLOOKUP(L424,'⚙️ Pengaturan'!$H$5:$H658,'⚙️ Pengaturan'!$I$5:$I658),"")</f>
        <v>TIM A</v>
      </c>
      <c r="N424" s="160" t="s">
        <v>1132</v>
      </c>
      <c r="O424" s="160" t="s">
        <v>1133</v>
      </c>
      <c r="P424" s="153">
        <f t="shared" si="13"/>
        <v>5</v>
      </c>
      <c r="Q424" s="164">
        <v>45922.0</v>
      </c>
      <c r="R424" s="164">
        <v>45925.0</v>
      </c>
      <c r="S424" s="164">
        <v>45929.0</v>
      </c>
      <c r="T424" s="164">
        <v>45932.0</v>
      </c>
      <c r="U424" s="164">
        <v>45939.0</v>
      </c>
      <c r="V424" s="164"/>
      <c r="W424" s="164"/>
      <c r="X424" s="164"/>
      <c r="Y424" s="164"/>
      <c r="Z424" s="164"/>
      <c r="AA424" s="165">
        <f t="shared" si="20"/>
        <v>45939</v>
      </c>
      <c r="AB424" s="160" t="s">
        <v>1134</v>
      </c>
      <c r="AC424" s="160" t="s">
        <v>1135</v>
      </c>
      <c r="AD424" s="168" t="s">
        <v>1332</v>
      </c>
      <c r="AE424" s="156">
        <f t="shared" si="21"/>
        <v>45939</v>
      </c>
      <c r="AF424" s="107" t="str">
        <f t="shared" si="22"/>
        <v>2025</v>
      </c>
      <c r="AG424" s="107" t="str">
        <f t="shared" si="23"/>
        <v>10 Okt</v>
      </c>
      <c r="AH424" s="107" t="str">
        <f t="shared" si="24"/>
        <v>Kam</v>
      </c>
      <c r="AI424" s="157">
        <f t="shared" si="25"/>
        <v>3</v>
      </c>
      <c r="AJ424" s="96"/>
      <c r="AK424" s="169"/>
      <c r="AL424" s="96"/>
      <c r="AM424" s="158">
        <f t="shared" si="12"/>
        <v>0</v>
      </c>
    </row>
    <row r="425" ht="22.5" customHeight="1">
      <c r="A425" s="167"/>
      <c r="B425" s="160" t="s">
        <v>134</v>
      </c>
      <c r="C425" s="160" t="s">
        <v>1131</v>
      </c>
      <c r="D425" s="161">
        <v>45874.0</v>
      </c>
      <c r="E425" s="124" t="str">
        <f t="shared" si="1"/>
        <v>2025</v>
      </c>
      <c r="F425" s="124" t="str">
        <f t="shared" si="2"/>
        <v>08 Agu</v>
      </c>
      <c r="G425" s="124" t="str">
        <f t="shared" si="3"/>
        <v>Selasa</v>
      </c>
      <c r="H425" s="160" t="s">
        <v>353</v>
      </c>
      <c r="I425" s="125" t="str">
        <f t="array" ref="I425">IFNA(XLOOKUP($H425,'🙎‍♂️ Pasien'!$G$7:$G658,'🙎‍♂️ Pasien'!$H$7:$H658),"")</f>
        <v>N0324108818</v>
      </c>
      <c r="J425" s="125" t="str">
        <f t="array" ref="J425">IFNA(XLOOKUP($H425,'🙎‍♂️ Pasien'!$G$7:$G658,'🙎‍♂️ Pasien'!$L$7:$L658),"")</f>
        <v>LAKI-LAKI</v>
      </c>
      <c r="K425" s="125">
        <f t="array" ref="K425">IFNA(XLOOKUP($H425,'🙎‍♂️ Pasien'!$G$7:$G658,'🙎‍♂️ Pasien'!$I$7:$I658),"")</f>
        <v>23</v>
      </c>
      <c r="L425" s="160" t="s">
        <v>56</v>
      </c>
      <c r="M425" s="162" t="str">
        <f t="array" ref="M425">IFNA(XLOOKUP(L425,'⚙️ Pengaturan'!$H$5:$H658,'⚙️ Pengaturan'!$I$5:$I658),"")</f>
        <v>TIM Y</v>
      </c>
      <c r="N425" s="163" t="s">
        <v>1137</v>
      </c>
      <c r="O425" s="160" t="s">
        <v>1133</v>
      </c>
      <c r="P425" s="153">
        <f t="shared" si="13"/>
        <v>10</v>
      </c>
      <c r="Q425" s="164">
        <v>45874.0</v>
      </c>
      <c r="R425" s="164">
        <v>45876.0</v>
      </c>
      <c r="S425" s="164">
        <v>45883.0</v>
      </c>
      <c r="T425" s="164">
        <v>45885.0</v>
      </c>
      <c r="U425" s="164">
        <v>45892.0</v>
      </c>
      <c r="V425" s="164">
        <v>45894.0</v>
      </c>
      <c r="W425" s="164">
        <v>45897.0</v>
      </c>
      <c r="X425" s="164">
        <v>45899.0</v>
      </c>
      <c r="Y425" s="164">
        <v>45901.0</v>
      </c>
      <c r="Z425" s="164">
        <v>45866.0</v>
      </c>
      <c r="AA425" s="165">
        <f t="shared" si="20"/>
        <v>45901</v>
      </c>
      <c r="AB425" s="160" t="s">
        <v>1134</v>
      </c>
      <c r="AC425" s="160" t="s">
        <v>1138</v>
      </c>
      <c r="AD425" s="166"/>
      <c r="AE425" s="156">
        <f t="shared" si="21"/>
        <v>45866</v>
      </c>
      <c r="AF425" s="107" t="str">
        <f t="shared" si="22"/>
        <v>2025</v>
      </c>
      <c r="AG425" s="107" t="str">
        <f t="shared" si="23"/>
        <v>07 Jul</v>
      </c>
      <c r="AH425" s="107" t="str">
        <f t="shared" si="24"/>
        <v>Sen</v>
      </c>
      <c r="AI425" s="157">
        <f t="shared" si="25"/>
        <v>-2</v>
      </c>
      <c r="AJ425" s="96"/>
      <c r="AK425" s="169"/>
      <c r="AL425" s="96"/>
      <c r="AM425" s="158">
        <f t="shared" si="12"/>
        <v>0</v>
      </c>
    </row>
    <row r="426" ht="22.5" customHeight="1">
      <c r="A426" s="167"/>
      <c r="B426" s="160" t="s">
        <v>86</v>
      </c>
      <c r="C426" s="160" t="s">
        <v>1131</v>
      </c>
      <c r="D426" s="161">
        <v>45908.0</v>
      </c>
      <c r="E426" s="124" t="str">
        <f t="shared" si="1"/>
        <v>2025</v>
      </c>
      <c r="F426" s="124" t="str">
        <f t="shared" si="2"/>
        <v>09 Sep</v>
      </c>
      <c r="G426" s="124" t="str">
        <f t="shared" si="3"/>
        <v>Senin</v>
      </c>
      <c r="H426" s="160" t="s">
        <v>353</v>
      </c>
      <c r="I426" s="125" t="str">
        <f t="array" ref="I426">IFNA(XLOOKUP($H426,'🙎‍♂️ Pasien'!$G$7:$G658,'🙎‍♂️ Pasien'!$H$7:$H658),"")</f>
        <v>N0324108818</v>
      </c>
      <c r="J426" s="125" t="str">
        <f t="array" ref="J426">IFNA(XLOOKUP($H426,'🙎‍♂️ Pasien'!$G$7:$G658,'🙎‍♂️ Pasien'!$L$7:$L658),"")</f>
        <v>LAKI-LAKI</v>
      </c>
      <c r="K426" s="125">
        <f t="array" ref="K426">IFNA(XLOOKUP($H426,'🙎‍♂️ Pasien'!$G$7:$G658,'🙎‍♂️ Pasien'!$I$7:$I658),"")</f>
        <v>23</v>
      </c>
      <c r="L426" s="160" t="s">
        <v>56</v>
      </c>
      <c r="M426" s="162" t="str">
        <f t="array" ref="M426">IFNA(XLOOKUP(L426,'⚙️ Pengaturan'!$H$5:$H658,'⚙️ Pengaturan'!$I$5:$I658),"")</f>
        <v>TIM Y</v>
      </c>
      <c r="N426" s="163" t="s">
        <v>1137</v>
      </c>
      <c r="O426" s="160" t="s">
        <v>1139</v>
      </c>
      <c r="P426" s="153">
        <f t="shared" si="13"/>
        <v>10</v>
      </c>
      <c r="Q426" s="164">
        <v>45908.0</v>
      </c>
      <c r="R426" s="164">
        <v>45911.0</v>
      </c>
      <c r="S426" s="164">
        <v>45914.0</v>
      </c>
      <c r="T426" s="164">
        <v>45918.0</v>
      </c>
      <c r="U426" s="164">
        <v>45920.0</v>
      </c>
      <c r="V426" s="164">
        <v>45925.0</v>
      </c>
      <c r="W426" s="164">
        <v>45932.0</v>
      </c>
      <c r="X426" s="164">
        <v>45934.0</v>
      </c>
      <c r="Y426" s="164">
        <v>45939.0</v>
      </c>
      <c r="Z426" s="164">
        <v>45941.0</v>
      </c>
      <c r="AA426" s="165">
        <f t="shared" si="20"/>
        <v>45941</v>
      </c>
      <c r="AB426" s="160" t="s">
        <v>1134</v>
      </c>
      <c r="AC426" s="160" t="s">
        <v>1138</v>
      </c>
      <c r="AD426" s="166"/>
      <c r="AE426" s="156">
        <f t="shared" si="21"/>
        <v>45941</v>
      </c>
      <c r="AF426" s="107" t="str">
        <f t="shared" si="22"/>
        <v>2025</v>
      </c>
      <c r="AG426" s="107" t="str">
        <f t="shared" si="23"/>
        <v>10 Okt</v>
      </c>
      <c r="AH426" s="107" t="str">
        <f t="shared" si="24"/>
        <v>Sab</v>
      </c>
      <c r="AI426" s="157">
        <f t="shared" si="25"/>
        <v>5</v>
      </c>
      <c r="AJ426" s="96"/>
      <c r="AK426" s="169"/>
      <c r="AL426" s="96"/>
      <c r="AM426" s="158">
        <f t="shared" si="12"/>
        <v>0</v>
      </c>
    </row>
    <row r="427" ht="22.5" customHeight="1">
      <c r="A427" s="167"/>
      <c r="B427" s="160" t="s">
        <v>86</v>
      </c>
      <c r="C427" s="160" t="s">
        <v>1131</v>
      </c>
      <c r="D427" s="161">
        <v>45946.0</v>
      </c>
      <c r="E427" s="124" t="str">
        <f t="shared" si="1"/>
        <v>2025</v>
      </c>
      <c r="F427" s="124" t="str">
        <f t="shared" si="2"/>
        <v>10 Okt</v>
      </c>
      <c r="G427" s="124" t="str">
        <f t="shared" si="3"/>
        <v>Kamis</v>
      </c>
      <c r="H427" s="160" t="s">
        <v>353</v>
      </c>
      <c r="I427" s="125" t="str">
        <f t="array" ref="I427">IFNA(XLOOKUP($H427,'🙎‍♂️ Pasien'!$G$7:$G658,'🙎‍♂️ Pasien'!$H$7:$H658),"")</f>
        <v>N0324108818</v>
      </c>
      <c r="J427" s="125" t="str">
        <f t="array" ref="J427">IFNA(XLOOKUP($H427,'🙎‍♂️ Pasien'!$G$7:$G658,'🙎‍♂️ Pasien'!$L$7:$L658),"")</f>
        <v>LAKI-LAKI</v>
      </c>
      <c r="K427" s="125">
        <f t="array" ref="K427">IFNA(XLOOKUP($H427,'🙎‍♂️ Pasien'!$G$7:$G658,'🙎‍♂️ Pasien'!$I$7:$I658),"")</f>
        <v>23</v>
      </c>
      <c r="L427" s="160" t="s">
        <v>56</v>
      </c>
      <c r="M427" s="162" t="str">
        <f t="array" ref="M427">IFNA(XLOOKUP(L427,'⚙️ Pengaturan'!$H$5:$H658,'⚙️ Pengaturan'!$I$5:$I658),"")</f>
        <v>TIM Y</v>
      </c>
      <c r="N427" s="163" t="s">
        <v>1137</v>
      </c>
      <c r="O427" s="160" t="s">
        <v>1139</v>
      </c>
      <c r="P427" s="153">
        <f t="shared" si="13"/>
        <v>10</v>
      </c>
      <c r="Q427" s="164">
        <v>45946.0</v>
      </c>
      <c r="R427" s="164">
        <v>45948.0</v>
      </c>
      <c r="S427" s="164">
        <v>45953.0</v>
      </c>
      <c r="T427" s="164">
        <v>45960.0</v>
      </c>
      <c r="U427" s="164">
        <v>45962.0</v>
      </c>
      <c r="V427" s="164">
        <v>45967.0</v>
      </c>
      <c r="W427" s="164">
        <v>45969.0</v>
      </c>
      <c r="X427" s="164">
        <v>45974.0</v>
      </c>
      <c r="Y427" s="164">
        <v>45981.0</v>
      </c>
      <c r="Z427" s="164">
        <v>45994.0</v>
      </c>
      <c r="AA427" s="165">
        <f t="shared" si="20"/>
        <v>45994</v>
      </c>
      <c r="AB427" s="160" t="s">
        <v>1144</v>
      </c>
      <c r="AC427" s="172"/>
      <c r="AD427" s="166"/>
      <c r="AE427" s="156">
        <f t="shared" si="21"/>
        <v>45994</v>
      </c>
      <c r="AF427" s="107" t="str">
        <f t="shared" si="22"/>
        <v>2025</v>
      </c>
      <c r="AG427" s="107" t="str">
        <f t="shared" si="23"/>
        <v>12 Des</v>
      </c>
      <c r="AH427" s="107" t="str">
        <f t="shared" si="24"/>
        <v>Rab</v>
      </c>
      <c r="AI427" s="157">
        <f t="shared" si="25"/>
        <v>7</v>
      </c>
      <c r="AJ427" s="96"/>
      <c r="AK427" s="169"/>
      <c r="AL427" s="96"/>
      <c r="AM427" s="158">
        <f t="shared" si="12"/>
        <v>0</v>
      </c>
    </row>
    <row r="428" ht="22.5" customHeight="1">
      <c r="A428" s="167"/>
      <c r="B428" s="160" t="s">
        <v>86</v>
      </c>
      <c r="C428" s="160" t="s">
        <v>1131</v>
      </c>
      <c r="D428" s="161">
        <v>45897.0</v>
      </c>
      <c r="E428" s="124" t="str">
        <f t="shared" si="1"/>
        <v>2025</v>
      </c>
      <c r="F428" s="124" t="str">
        <f t="shared" si="2"/>
        <v>08 Agu</v>
      </c>
      <c r="G428" s="124" t="str">
        <f t="shared" si="3"/>
        <v>Kamis</v>
      </c>
      <c r="H428" s="160" t="s">
        <v>1373</v>
      </c>
      <c r="I428" s="125" t="str">
        <f t="array" ref="I428">IFNA(XLOOKUP($H428,'🙎‍♂️ Pasien'!$G$7:$G658,'🙎‍♂️ Pasien'!$H$7:$H658),"")</f>
        <v>N0024011081</v>
      </c>
      <c r="J428" s="125" t="str">
        <f t="array" ref="J428">IFNA(XLOOKUP($H428,'🙎‍♂️ Pasien'!$G$7:$G658,'🙎‍♂️ Pasien'!$L$7:$L658),"")</f>
        <v>LAKI-LAKI</v>
      </c>
      <c r="K428" s="125">
        <f t="array" ref="K428">IFNA(XLOOKUP($H428,'🙎‍♂️ Pasien'!$G$7:$G658,'🙎‍♂️ Pasien'!$I$7:$I658),"")</f>
        <v>26</v>
      </c>
      <c r="L428" s="160" t="s">
        <v>79</v>
      </c>
      <c r="M428" s="162" t="str">
        <f t="array" ref="M428">IFNA(XLOOKUP(L428,'⚙️ Pengaturan'!$H$5:$H658,'⚙️ Pengaturan'!$I$5:$I658),"")</f>
        <v>TIM A</v>
      </c>
      <c r="N428" s="160" t="s">
        <v>1132</v>
      </c>
      <c r="O428" s="160" t="s">
        <v>1139</v>
      </c>
      <c r="P428" s="153">
        <f t="shared" si="13"/>
        <v>5</v>
      </c>
      <c r="Q428" s="164">
        <v>45895.0</v>
      </c>
      <c r="R428" s="164">
        <v>45897.0</v>
      </c>
      <c r="S428" s="164">
        <v>45901.0</v>
      </c>
      <c r="T428" s="164">
        <v>45904.0</v>
      </c>
      <c r="U428" s="164">
        <v>45908.0</v>
      </c>
      <c r="V428" s="164"/>
      <c r="W428" s="164"/>
      <c r="X428" s="164"/>
      <c r="Y428" s="164"/>
      <c r="Z428" s="164"/>
      <c r="AA428" s="165">
        <f t="shared" si="20"/>
        <v>45908</v>
      </c>
      <c r="AB428" s="160" t="s">
        <v>1134</v>
      </c>
      <c r="AC428" s="160" t="s">
        <v>1135</v>
      </c>
      <c r="AD428" s="168" t="s">
        <v>1374</v>
      </c>
      <c r="AE428" s="156">
        <f t="shared" si="21"/>
        <v>45908</v>
      </c>
      <c r="AF428" s="107" t="str">
        <f t="shared" si="22"/>
        <v>2025</v>
      </c>
      <c r="AG428" s="107" t="str">
        <f t="shared" si="23"/>
        <v>09 Sep</v>
      </c>
      <c r="AH428" s="107" t="str">
        <f t="shared" si="24"/>
        <v>Sen</v>
      </c>
      <c r="AI428" s="157">
        <f t="shared" si="25"/>
        <v>2</v>
      </c>
      <c r="AJ428" s="96"/>
      <c r="AK428" s="169"/>
      <c r="AL428" s="96"/>
      <c r="AM428" s="158">
        <f t="shared" si="12"/>
        <v>0</v>
      </c>
    </row>
    <row r="429" ht="22.5" customHeight="1">
      <c r="A429" s="167"/>
      <c r="B429" s="160" t="s">
        <v>86</v>
      </c>
      <c r="C429" s="160" t="s">
        <v>1131</v>
      </c>
      <c r="D429" s="123">
        <v>45819.0</v>
      </c>
      <c r="E429" s="124" t="str">
        <f t="shared" si="1"/>
        <v>2025</v>
      </c>
      <c r="F429" s="124" t="str">
        <f t="shared" si="2"/>
        <v>06 Jun</v>
      </c>
      <c r="G429" s="124" t="str">
        <f t="shared" si="3"/>
        <v>Rabu</v>
      </c>
      <c r="H429" s="160" t="s">
        <v>1375</v>
      </c>
      <c r="I429" s="125" t="str">
        <f t="array" ref="I429">IFNA(XLOOKUP($H429,'🙎‍♂️ Pasien'!$G$7:$G658,'🙎‍♂️ Pasien'!$H$7:$H658),"")</f>
        <v>N0125061553</v>
      </c>
      <c r="J429" s="125" t="str">
        <f t="array" ref="J429">IFNA(XLOOKUP($H429,'🙎‍♂️ Pasien'!$G$7:$G658,'🙎‍♂️ Pasien'!$L$7:$L658),"")</f>
        <v>PEREMPUAN</v>
      </c>
      <c r="K429" s="125">
        <f t="array" ref="K429">IFNA(XLOOKUP($H429,'🙎‍♂️ Pasien'!$G$7:$G658,'🙎‍♂️ Pasien'!$I$7:$I658),"")</f>
        <v>25</v>
      </c>
      <c r="L429" s="160" t="s">
        <v>91</v>
      </c>
      <c r="M429" s="162" t="str">
        <f t="array" ref="M429">IFNA(XLOOKUP(L429,'⚙️ Pengaturan'!$H$5:$H658,'⚙️ Pengaturan'!$I$5:$I658),"")</f>
        <v>TIM Y</v>
      </c>
      <c r="N429" s="16" t="s">
        <v>1132</v>
      </c>
      <c r="O429" s="160" t="s">
        <v>1133</v>
      </c>
      <c r="P429" s="153">
        <f t="shared" si="13"/>
        <v>4</v>
      </c>
      <c r="Q429" s="164">
        <v>45819.0</v>
      </c>
      <c r="R429" s="164">
        <v>45822.0</v>
      </c>
      <c r="S429" s="164">
        <v>45825.0</v>
      </c>
      <c r="T429" s="164">
        <v>45829.0</v>
      </c>
      <c r="U429" s="164"/>
      <c r="V429" s="164"/>
      <c r="W429" s="164"/>
      <c r="X429" s="164"/>
      <c r="Y429" s="164"/>
      <c r="Z429" s="164"/>
      <c r="AA429" s="165">
        <f t="shared" si="20"/>
        <v>45829</v>
      </c>
      <c r="AB429" s="160" t="s">
        <v>1144</v>
      </c>
      <c r="AC429" s="174"/>
      <c r="AD429" s="166"/>
      <c r="AE429" s="156" t="str">
        <f t="shared" si="21"/>
        <v/>
      </c>
      <c r="AF429" s="107" t="str">
        <f t="shared" si="22"/>
        <v/>
      </c>
      <c r="AG429" s="107" t="str">
        <f t="shared" si="23"/>
        <v/>
      </c>
      <c r="AH429" s="107" t="str">
        <f t="shared" si="24"/>
        <v/>
      </c>
      <c r="AI429" s="157">
        <f t="shared" si="25"/>
        <v>52</v>
      </c>
      <c r="AJ429" s="96"/>
      <c r="AK429" s="169"/>
      <c r="AL429" s="96"/>
      <c r="AM429" s="158">
        <f t="shared" si="12"/>
        <v>0</v>
      </c>
    </row>
    <row r="430" ht="22.5" customHeight="1">
      <c r="A430" s="167"/>
      <c r="B430" s="171"/>
      <c r="C430" s="171"/>
      <c r="D430" s="161">
        <v>45685.0</v>
      </c>
      <c r="E430" s="124" t="str">
        <f t="shared" si="1"/>
        <v>2025</v>
      </c>
      <c r="F430" s="124" t="str">
        <f t="shared" si="2"/>
        <v>01 Jan</v>
      </c>
      <c r="G430" s="124" t="str">
        <f t="shared" si="3"/>
        <v>Selasa</v>
      </c>
      <c r="H430" s="16" t="s">
        <v>1376</v>
      </c>
      <c r="I430" s="125" t="str">
        <f t="array" ref="I430">IFNA(XLOOKUP($H430,'🙎‍♂️ Pasien'!$G$7:$G658,'🙎‍♂️ Pasien'!$H$7:$H658),"")</f>
        <v>N9025011999</v>
      </c>
      <c r="J430" s="125" t="str">
        <f t="array" ref="J430">IFNA(XLOOKUP($H430,'🙎‍♂️ Pasien'!$G$7:$G658,'🙎‍♂️ Pasien'!$L$7:$L658),"")</f>
        <v>LAKI-LAKI</v>
      </c>
      <c r="K430" s="125">
        <f t="array" ref="K430">IFNA(XLOOKUP($H430,'🙎‍♂️ Pasien'!$G$7:$G658,'🙎‍♂️ Pasien'!$I$7:$I658),"")</f>
        <v>35</v>
      </c>
      <c r="L430" s="16" t="s">
        <v>72</v>
      </c>
      <c r="M430" s="125" t="str">
        <f t="array" ref="M430">IFNA(XLOOKUP(L430,'⚙️ Pengaturan'!$H$5:$H658,'⚙️ Pengaturan'!$I$5:$I658),"")</f>
        <v>TIM A</v>
      </c>
      <c r="N430" s="16" t="s">
        <v>1132</v>
      </c>
      <c r="O430" s="16" t="s">
        <v>1133</v>
      </c>
      <c r="P430" s="153">
        <f t="shared" si="13"/>
        <v>0</v>
      </c>
      <c r="Q430" s="154"/>
      <c r="R430" s="154"/>
      <c r="S430" s="154"/>
      <c r="T430" s="154"/>
      <c r="U430" s="154"/>
      <c r="V430" s="154"/>
      <c r="W430" s="154"/>
      <c r="X430" s="154"/>
      <c r="Y430" s="154"/>
      <c r="Z430" s="154"/>
      <c r="AA430" s="155">
        <f t="shared" si="20"/>
        <v>45685</v>
      </c>
      <c r="AB430" s="16" t="s">
        <v>1144</v>
      </c>
      <c r="AC430" s="20"/>
      <c r="AD430" s="170"/>
      <c r="AE430" s="156" t="str">
        <f t="shared" si="21"/>
        <v/>
      </c>
      <c r="AF430" s="107" t="str">
        <f t="shared" si="22"/>
        <v/>
      </c>
      <c r="AG430" s="107" t="str">
        <f t="shared" si="23"/>
        <v/>
      </c>
      <c r="AH430" s="107" t="str">
        <f t="shared" si="24"/>
        <v/>
      </c>
      <c r="AI430" s="157" t="str">
        <f t="shared" si="25"/>
        <v/>
      </c>
      <c r="AJ430" s="96"/>
      <c r="AK430" s="169"/>
      <c r="AL430" s="96"/>
      <c r="AM430" s="158">
        <f t="shared" si="12"/>
        <v>0</v>
      </c>
    </row>
    <row r="431" ht="22.5" customHeight="1">
      <c r="A431" s="167"/>
      <c r="B431" s="160" t="s">
        <v>54</v>
      </c>
      <c r="C431" s="172"/>
      <c r="D431" s="161">
        <v>45805.0</v>
      </c>
      <c r="E431" s="124" t="str">
        <f t="shared" si="1"/>
        <v>2025</v>
      </c>
      <c r="F431" s="124" t="str">
        <f t="shared" si="2"/>
        <v>05 Mei</v>
      </c>
      <c r="G431" s="124" t="str">
        <f t="shared" si="3"/>
        <v>Rabu</v>
      </c>
      <c r="H431" s="160" t="s">
        <v>1377</v>
      </c>
      <c r="I431" s="125" t="str">
        <f t="array" ref="I431">IFNA(XLOOKUP($H431,'🙎‍♂️ Pasien'!$G$7:$G658,'🙎‍♂️ Pasien'!$H$7:$H658),"")</f>
        <v>N9625054742</v>
      </c>
      <c r="J431" s="125" t="str">
        <f t="array" ref="J431">IFNA(XLOOKUP($H431,'🙎‍♂️ Pasien'!$G$7:$G658,'🙎‍♂️ Pasien'!$L$7:$L658),"")</f>
        <v>PEREMPUAN</v>
      </c>
      <c r="K431" s="125">
        <f t="array" ref="K431">IFNA(XLOOKUP($H431,'🙎‍♂️ Pasien'!$G$7:$G658,'🙎‍♂️ Pasien'!$I$7:$I658),"")</f>
        <v>29</v>
      </c>
      <c r="L431" s="160" t="s">
        <v>107</v>
      </c>
      <c r="M431" s="162" t="str">
        <f t="array" ref="M431">IFNA(XLOOKUP(L431,'⚙️ Pengaturan'!$H$5:$H658,'⚙️ Pengaturan'!$I$5:$I658),"")</f>
        <v>TIM Y</v>
      </c>
      <c r="N431" s="160" t="s">
        <v>1132</v>
      </c>
      <c r="O431" s="160" t="s">
        <v>1133</v>
      </c>
      <c r="P431" s="153">
        <f t="shared" si="13"/>
        <v>3</v>
      </c>
      <c r="Q431" s="164">
        <v>45805.0</v>
      </c>
      <c r="R431" s="164">
        <v>45812.0</v>
      </c>
      <c r="S431" s="164">
        <v>45817.0</v>
      </c>
      <c r="T431" s="164"/>
      <c r="U431" s="164"/>
      <c r="V431" s="164"/>
      <c r="W431" s="164"/>
      <c r="X431" s="164"/>
      <c r="Y431" s="164"/>
      <c r="Z431" s="164"/>
      <c r="AA431" s="165">
        <f t="shared" si="20"/>
        <v>45817</v>
      </c>
      <c r="AB431" s="160" t="s">
        <v>1144</v>
      </c>
      <c r="AC431" s="174"/>
      <c r="AD431" s="166"/>
      <c r="AE431" s="156" t="str">
        <f t="shared" si="21"/>
        <v/>
      </c>
      <c r="AF431" s="107" t="str">
        <f t="shared" si="22"/>
        <v/>
      </c>
      <c r="AG431" s="107" t="str">
        <f t="shared" si="23"/>
        <v/>
      </c>
      <c r="AH431" s="107" t="str">
        <f t="shared" si="24"/>
        <v/>
      </c>
      <c r="AI431" s="157">
        <f t="shared" si="25"/>
        <v>54</v>
      </c>
      <c r="AJ431" s="96"/>
      <c r="AK431" s="169"/>
      <c r="AL431" s="96"/>
      <c r="AM431" s="158">
        <f t="shared" si="12"/>
        <v>0</v>
      </c>
    </row>
    <row r="432" ht="22.5" customHeight="1">
      <c r="A432" s="167"/>
      <c r="B432" s="160" t="s">
        <v>86</v>
      </c>
      <c r="C432" s="160" t="s">
        <v>1131</v>
      </c>
      <c r="D432" s="161">
        <v>45822.0</v>
      </c>
      <c r="E432" s="124" t="str">
        <f t="shared" si="1"/>
        <v>2025</v>
      </c>
      <c r="F432" s="124" t="str">
        <f t="shared" si="2"/>
        <v>06 Jun</v>
      </c>
      <c r="G432" s="124" t="str">
        <f t="shared" si="3"/>
        <v>Sabtu</v>
      </c>
      <c r="H432" s="160" t="s">
        <v>1378</v>
      </c>
      <c r="I432" s="125" t="str">
        <f t="array" ref="I432">IFNA(XLOOKUP($H432,'🙎‍♂️ Pasien'!$G$7:$G658,'🙎‍♂️ Pasien'!$H$7:$H658),"")</f>
        <v>N9424049331</v>
      </c>
      <c r="J432" s="125" t="str">
        <f t="array" ref="J432">IFNA(XLOOKUP($H432,'🙎‍♂️ Pasien'!$G$7:$G658,'🙎‍♂️ Pasien'!$L$7:$L658),"")</f>
        <v>PEREMPUAN</v>
      </c>
      <c r="K432" s="125">
        <f t="array" ref="K432">IFNA(XLOOKUP($H432,'🙎‍♂️ Pasien'!$G$7:$G658,'🙎‍♂️ Pasien'!$I$7:$I658),"")</f>
        <v>32</v>
      </c>
      <c r="L432" s="160" t="s">
        <v>1152</v>
      </c>
      <c r="M432" s="162" t="str">
        <f t="array" ref="M432">IFNA(XLOOKUP(L432,'⚙️ Pengaturan'!$H$5:$H658,'⚙️ Pengaturan'!$I$5:$I658),"")</f>
        <v>INAKTIF</v>
      </c>
      <c r="N432" s="163" t="s">
        <v>1137</v>
      </c>
      <c r="O432" s="160" t="s">
        <v>1139</v>
      </c>
      <c r="P432" s="153">
        <f t="shared" si="13"/>
        <v>3</v>
      </c>
      <c r="Q432" s="164">
        <v>45857.0</v>
      </c>
      <c r="R432" s="164">
        <v>45864.0</v>
      </c>
      <c r="S432" s="164"/>
      <c r="T432" s="164"/>
      <c r="U432" s="164"/>
      <c r="V432" s="164"/>
      <c r="W432" s="164"/>
      <c r="X432" s="164"/>
      <c r="Y432" s="164"/>
      <c r="Z432" s="164">
        <v>45897.0</v>
      </c>
      <c r="AA432" s="165">
        <f t="shared" si="20"/>
        <v>45897</v>
      </c>
      <c r="AB432" s="160" t="s">
        <v>1134</v>
      </c>
      <c r="AC432" s="160" t="s">
        <v>1138</v>
      </c>
      <c r="AD432" s="166"/>
      <c r="AE432" s="156">
        <f t="shared" si="21"/>
        <v>45897</v>
      </c>
      <c r="AF432" s="107" t="str">
        <f t="shared" si="22"/>
        <v>2025</v>
      </c>
      <c r="AG432" s="107" t="str">
        <f t="shared" si="23"/>
        <v>08 Agu</v>
      </c>
      <c r="AH432" s="107" t="str">
        <f t="shared" si="24"/>
        <v>Kam</v>
      </c>
      <c r="AI432" s="157">
        <f t="shared" si="25"/>
        <v>6</v>
      </c>
      <c r="AJ432" s="96"/>
      <c r="AK432" s="169"/>
      <c r="AL432" s="96"/>
      <c r="AM432" s="158">
        <f t="shared" si="12"/>
        <v>0</v>
      </c>
    </row>
    <row r="433" ht="22.5" customHeight="1">
      <c r="A433" s="167"/>
      <c r="B433" s="160" t="s">
        <v>86</v>
      </c>
      <c r="C433" s="160" t="s">
        <v>1131</v>
      </c>
      <c r="D433" s="161">
        <v>45907.0</v>
      </c>
      <c r="E433" s="124" t="str">
        <f t="shared" si="1"/>
        <v>2025</v>
      </c>
      <c r="F433" s="124" t="str">
        <f t="shared" si="2"/>
        <v>09 Sep</v>
      </c>
      <c r="G433" s="124" t="str">
        <f t="shared" si="3"/>
        <v>Minggu</v>
      </c>
      <c r="H433" s="160" t="s">
        <v>169</v>
      </c>
      <c r="I433" s="125" t="str">
        <f t="array" ref="I433">IFNA(XLOOKUP($H433,'🙎‍♂️ Pasien'!$G$7:$G658,'🙎‍♂️ Pasien'!$H$7:$H658),"")</f>
        <v>N9025080662</v>
      </c>
      <c r="J433" s="125" t="str">
        <f t="array" ref="J433">IFNA(XLOOKUP($H433,'🙎‍♂️ Pasien'!$G$7:$G658,'🙎‍♂️ Pasien'!$L$7:$L658),"")</f>
        <v>PEREMPUAN</v>
      </c>
      <c r="K433" s="125">
        <f t="array" ref="K433">IFNA(XLOOKUP($H433,'🙎‍♂️ Pasien'!$G$7:$G658,'🙎‍♂️ Pasien'!$I$7:$I658),"")</f>
        <v>35</v>
      </c>
      <c r="L433" s="160" t="s">
        <v>79</v>
      </c>
      <c r="M433" s="162" t="str">
        <f t="array" ref="M433">IFNA(XLOOKUP(L433,'⚙️ Pengaturan'!$H$5:$H658,'⚙️ Pengaturan'!$I$5:$I658),"")</f>
        <v>TIM A</v>
      </c>
      <c r="N433" s="160" t="s">
        <v>1132</v>
      </c>
      <c r="O433" s="160" t="s">
        <v>1133</v>
      </c>
      <c r="P433" s="153">
        <f t="shared" si="13"/>
        <v>5</v>
      </c>
      <c r="Q433" s="164">
        <v>45907.0</v>
      </c>
      <c r="R433" s="164">
        <v>45910.0</v>
      </c>
      <c r="S433" s="164">
        <v>45916.0</v>
      </c>
      <c r="T433" s="164">
        <v>45919.0</v>
      </c>
      <c r="U433" s="164">
        <v>45922.0</v>
      </c>
      <c r="V433" s="164"/>
      <c r="W433" s="164"/>
      <c r="X433" s="164"/>
      <c r="Y433" s="164"/>
      <c r="Z433" s="164"/>
      <c r="AA433" s="165">
        <f t="shared" si="20"/>
        <v>45922</v>
      </c>
      <c r="AB433" s="160" t="s">
        <v>1134</v>
      </c>
      <c r="AC433" s="160" t="s">
        <v>1138</v>
      </c>
      <c r="AD433" s="168" t="s">
        <v>1379</v>
      </c>
      <c r="AE433" s="156">
        <f t="shared" si="21"/>
        <v>45922</v>
      </c>
      <c r="AF433" s="107" t="str">
        <f t="shared" si="22"/>
        <v>2025</v>
      </c>
      <c r="AG433" s="107" t="str">
        <f t="shared" si="23"/>
        <v>09 Sep</v>
      </c>
      <c r="AH433" s="107" t="str">
        <f t="shared" si="24"/>
        <v>Sen</v>
      </c>
      <c r="AI433" s="157">
        <f t="shared" si="25"/>
        <v>3</v>
      </c>
      <c r="AJ433" s="96"/>
      <c r="AK433" s="169"/>
      <c r="AL433" s="96"/>
      <c r="AM433" s="158">
        <f t="shared" si="12"/>
        <v>0</v>
      </c>
    </row>
    <row r="434" ht="22.5" customHeight="1">
      <c r="A434" s="167"/>
      <c r="B434" s="160" t="s">
        <v>86</v>
      </c>
      <c r="C434" s="160" t="s">
        <v>1131</v>
      </c>
      <c r="D434" s="161">
        <v>45928.0</v>
      </c>
      <c r="E434" s="124" t="str">
        <f t="shared" si="1"/>
        <v>2025</v>
      </c>
      <c r="F434" s="124" t="str">
        <f t="shared" si="2"/>
        <v>09 Sep</v>
      </c>
      <c r="G434" s="124" t="str">
        <f t="shared" si="3"/>
        <v>Minggu</v>
      </c>
      <c r="H434" s="160" t="s">
        <v>169</v>
      </c>
      <c r="I434" s="125" t="str">
        <f t="array" ref="I434">IFNA(XLOOKUP($H434,'🙎‍♂️ Pasien'!$G$7:$G658,'🙎‍♂️ Pasien'!$H$7:$H658),"")</f>
        <v>N9025080662</v>
      </c>
      <c r="J434" s="125" t="str">
        <f t="array" ref="J434">IFNA(XLOOKUP($H434,'🙎‍♂️ Pasien'!$G$7:$G658,'🙎‍♂️ Pasien'!$L$7:$L658),"")</f>
        <v>PEREMPUAN</v>
      </c>
      <c r="K434" s="125">
        <f t="array" ref="K434">IFNA(XLOOKUP($H434,'🙎‍♂️ Pasien'!$G$7:$G658,'🙎‍♂️ Pasien'!$I$7:$I658),"")</f>
        <v>35</v>
      </c>
      <c r="L434" s="160" t="s">
        <v>91</v>
      </c>
      <c r="M434" s="162" t="str">
        <f t="array" ref="M434">IFNA(XLOOKUP(L434,'⚙️ Pengaturan'!$H$5:$H658,'⚙️ Pengaturan'!$I$5:$I658),"")</f>
        <v>TIM Y</v>
      </c>
      <c r="N434" s="160" t="s">
        <v>1132</v>
      </c>
      <c r="O434" s="160" t="s">
        <v>1139</v>
      </c>
      <c r="P434" s="153">
        <f t="shared" si="13"/>
        <v>5</v>
      </c>
      <c r="Q434" s="164">
        <v>45928.0</v>
      </c>
      <c r="R434" s="164">
        <v>45931.0</v>
      </c>
      <c r="S434" s="164">
        <v>45935.0</v>
      </c>
      <c r="T434" s="164">
        <v>45944.0</v>
      </c>
      <c r="U434" s="164">
        <v>45969.0</v>
      </c>
      <c r="V434" s="164"/>
      <c r="W434" s="164"/>
      <c r="X434" s="164"/>
      <c r="Y434" s="164"/>
      <c r="Z434" s="164"/>
      <c r="AA434" s="165">
        <f t="shared" si="20"/>
        <v>45969</v>
      </c>
      <c r="AB434" s="160" t="s">
        <v>1134</v>
      </c>
      <c r="AC434" s="172"/>
      <c r="AD434" s="168"/>
      <c r="AE434" s="156">
        <f t="shared" si="21"/>
        <v>45969</v>
      </c>
      <c r="AF434" s="107" t="str">
        <f t="shared" si="22"/>
        <v>2025</v>
      </c>
      <c r="AG434" s="107" t="str">
        <f t="shared" si="23"/>
        <v>11 Nov</v>
      </c>
      <c r="AH434" s="107" t="str">
        <f t="shared" si="24"/>
        <v>Sab</v>
      </c>
      <c r="AI434" s="157">
        <f t="shared" si="25"/>
        <v>6</v>
      </c>
      <c r="AJ434" s="96"/>
      <c r="AK434" s="169"/>
      <c r="AL434" s="96"/>
      <c r="AM434" s="158">
        <f t="shared" si="12"/>
        <v>0</v>
      </c>
    </row>
    <row r="435" ht="22.5" customHeight="1">
      <c r="A435" s="167"/>
      <c r="B435" s="160" t="s">
        <v>86</v>
      </c>
      <c r="C435" s="160" t="s">
        <v>1131</v>
      </c>
      <c r="D435" s="161">
        <v>45967.0</v>
      </c>
      <c r="E435" s="124" t="str">
        <f t="shared" si="1"/>
        <v>2025</v>
      </c>
      <c r="F435" s="124" t="str">
        <f t="shared" si="2"/>
        <v>11 Nov</v>
      </c>
      <c r="G435" s="124" t="str">
        <f t="shared" si="3"/>
        <v>Kamis</v>
      </c>
      <c r="H435" s="160" t="s">
        <v>444</v>
      </c>
      <c r="I435" s="125" t="str">
        <f t="array" ref="I435">IFNA(XLOOKUP($H435,'🙎‍♂️ Pasien'!$G$7:$G658,'🙎‍♂️ Pasien'!$H$7:$H658),"")</f>
        <v>N8525112090</v>
      </c>
      <c r="J435" s="125" t="str">
        <f t="array" ref="J435">IFNA(XLOOKUP($H435,'🙎‍♂️ Pasien'!$G$7:$G658,'🙎‍♂️ Pasien'!$L$7:$L658),"")</f>
        <v>PEREMPUAN</v>
      </c>
      <c r="K435" s="125">
        <f t="array" ref="K435">IFNA(XLOOKUP($H435,'🙎‍♂️ Pasien'!$G$7:$G658,'🙎‍♂️ Pasien'!$I$7:$I658),"")</f>
        <v>40</v>
      </c>
      <c r="L435" s="160" t="s">
        <v>62</v>
      </c>
      <c r="M435" s="162" t="str">
        <f t="array" ref="M435">IFNA(XLOOKUP(L435,'⚙️ Pengaturan'!$H$5:$H658,'⚙️ Pengaturan'!$I$5:$I658),"")</f>
        <v>TIM A</v>
      </c>
      <c r="N435" s="160" t="s">
        <v>1132</v>
      </c>
      <c r="O435" s="160" t="s">
        <v>1133</v>
      </c>
      <c r="P435" s="153">
        <f t="shared" si="13"/>
        <v>4</v>
      </c>
      <c r="Q435" s="164">
        <v>45967.0</v>
      </c>
      <c r="R435" s="164">
        <v>45970.0</v>
      </c>
      <c r="S435" s="164">
        <v>45973.0</v>
      </c>
      <c r="T435" s="164">
        <v>45978.0</v>
      </c>
      <c r="U435" s="164"/>
      <c r="V435" s="164"/>
      <c r="W435" s="164"/>
      <c r="X435" s="164"/>
      <c r="Y435" s="164"/>
      <c r="Z435" s="164"/>
      <c r="AA435" s="165">
        <f t="shared" si="20"/>
        <v>45978</v>
      </c>
      <c r="AB435" s="160" t="s">
        <v>1144</v>
      </c>
      <c r="AC435" s="174"/>
      <c r="AD435" s="166"/>
      <c r="AE435" s="156" t="str">
        <f t="shared" si="21"/>
        <v/>
      </c>
      <c r="AF435" s="107" t="str">
        <f t="shared" si="22"/>
        <v/>
      </c>
      <c r="AG435" s="107" t="str">
        <f t="shared" si="23"/>
        <v/>
      </c>
      <c r="AH435" s="107" t="str">
        <f t="shared" si="24"/>
        <v/>
      </c>
      <c r="AI435" s="157">
        <f t="shared" si="25"/>
        <v>31</v>
      </c>
      <c r="AJ435" s="96"/>
      <c r="AK435" s="169"/>
      <c r="AL435" s="96"/>
      <c r="AM435" s="158">
        <f t="shared" si="12"/>
        <v>0</v>
      </c>
    </row>
    <row r="436" ht="22.5" customHeight="1">
      <c r="A436" s="167"/>
      <c r="B436" s="160" t="s">
        <v>54</v>
      </c>
      <c r="C436" s="160" t="s">
        <v>1131</v>
      </c>
      <c r="D436" s="161">
        <v>45923.0</v>
      </c>
      <c r="E436" s="124" t="str">
        <f t="shared" si="1"/>
        <v>2025</v>
      </c>
      <c r="F436" s="124" t="str">
        <f t="shared" si="2"/>
        <v>09 Sep</v>
      </c>
      <c r="G436" s="124" t="str">
        <f t="shared" si="3"/>
        <v>Selasa</v>
      </c>
      <c r="H436" s="160" t="s">
        <v>178</v>
      </c>
      <c r="I436" s="125" t="str">
        <f t="array" ref="I436">IFNA(XLOOKUP($H436,'🙎‍♂️ Pasien'!$G$7:$G658,'🙎‍♂️ Pasien'!$H$7:$H658),"")</f>
        <v>N9825094835</v>
      </c>
      <c r="J436" s="125" t="str">
        <f t="array" ref="J436">IFNA(XLOOKUP($H436,'🙎‍♂️ Pasien'!$G$7:$G658,'🙎‍♂️ Pasien'!$L$7:$L658),"")</f>
        <v>LAKI-LAKI</v>
      </c>
      <c r="K436" s="125">
        <f t="array" ref="K436">IFNA(XLOOKUP($H436,'🙎‍♂️ Pasien'!$G$7:$G658,'🙎‍♂️ Pasien'!$I$7:$I658),"")</f>
        <v>27</v>
      </c>
      <c r="L436" s="160" t="s">
        <v>88</v>
      </c>
      <c r="M436" s="162" t="str">
        <f t="array" ref="M436">IFNA(XLOOKUP(L436,'⚙️ Pengaturan'!$H$5:$H658,'⚙️ Pengaturan'!$I$5:$I658),"")</f>
        <v>TIM Y</v>
      </c>
      <c r="N436" s="160" t="s">
        <v>1132</v>
      </c>
      <c r="O436" s="160" t="s">
        <v>1133</v>
      </c>
      <c r="P436" s="153">
        <f t="shared" si="13"/>
        <v>5</v>
      </c>
      <c r="Q436" s="164">
        <v>45923.0</v>
      </c>
      <c r="R436" s="164">
        <v>45925.0</v>
      </c>
      <c r="S436" s="164">
        <v>45927.0</v>
      </c>
      <c r="T436" s="164">
        <v>45929.0</v>
      </c>
      <c r="U436" s="164">
        <v>45932.0</v>
      </c>
      <c r="V436" s="164"/>
      <c r="W436" s="164"/>
      <c r="X436" s="164"/>
      <c r="Y436" s="164"/>
      <c r="Z436" s="164"/>
      <c r="AA436" s="165">
        <f t="shared" si="20"/>
        <v>45932</v>
      </c>
      <c r="AB436" s="160" t="s">
        <v>1134</v>
      </c>
      <c r="AC436" s="160" t="s">
        <v>1138</v>
      </c>
      <c r="AD436" s="168" t="s">
        <v>1380</v>
      </c>
      <c r="AE436" s="156">
        <f t="shared" si="21"/>
        <v>45932</v>
      </c>
      <c r="AF436" s="107" t="str">
        <f t="shared" si="22"/>
        <v>2025</v>
      </c>
      <c r="AG436" s="107" t="str">
        <f t="shared" si="23"/>
        <v>10 Okt</v>
      </c>
      <c r="AH436" s="107" t="str">
        <f t="shared" si="24"/>
        <v>Kam</v>
      </c>
      <c r="AI436" s="157">
        <f t="shared" si="25"/>
        <v>2</v>
      </c>
      <c r="AJ436" s="96"/>
      <c r="AK436" s="169"/>
      <c r="AL436" s="96"/>
      <c r="AM436" s="158">
        <f t="shared" si="12"/>
        <v>0</v>
      </c>
    </row>
    <row r="437" ht="22.5" customHeight="1">
      <c r="A437" s="152"/>
      <c r="B437" s="160" t="s">
        <v>54</v>
      </c>
      <c r="C437" s="172"/>
      <c r="D437" s="161">
        <v>45812.0</v>
      </c>
      <c r="E437" s="124" t="str">
        <f t="shared" si="1"/>
        <v>2025</v>
      </c>
      <c r="F437" s="124" t="str">
        <f t="shared" si="2"/>
        <v>06 Jun</v>
      </c>
      <c r="G437" s="124" t="str">
        <f t="shared" si="3"/>
        <v>Rabu</v>
      </c>
      <c r="H437" s="160" t="s">
        <v>1381</v>
      </c>
      <c r="I437" s="125" t="str">
        <f t="array" ref="I437">IFNA(XLOOKUP($H437,'🙎‍♂️ Pasien'!$G$7:$G658,'🙎‍♂️ Pasien'!$H$7:$H658),"")</f>
        <v>N9625061460</v>
      </c>
      <c r="J437" s="125" t="str">
        <f t="array" ref="J437">IFNA(XLOOKUP($H437,'🙎‍♂️ Pasien'!$G$7:$G658,'🙎‍♂️ Pasien'!$L$7:$L658),"")</f>
        <v>PEREMPUAN</v>
      </c>
      <c r="K437" s="125">
        <f t="array" ref="K437">IFNA(XLOOKUP($H437,'🙎‍♂️ Pasien'!$G$7:$G658,'🙎‍♂️ Pasien'!$I$7:$I658),"")</f>
        <v>30</v>
      </c>
      <c r="L437" s="160" t="s">
        <v>107</v>
      </c>
      <c r="M437" s="162" t="str">
        <f t="array" ref="M437">IFNA(XLOOKUP(L437,'⚙️ Pengaturan'!$H$5:$H658,'⚙️ Pengaturan'!$I$5:$I658),"")</f>
        <v>TIM Y</v>
      </c>
      <c r="N437" s="160" t="s">
        <v>1132</v>
      </c>
      <c r="O437" s="160" t="s">
        <v>1133</v>
      </c>
      <c r="P437" s="153">
        <f t="shared" si="13"/>
        <v>3</v>
      </c>
      <c r="Q437" s="164">
        <v>45815.0</v>
      </c>
      <c r="R437" s="164">
        <v>45819.0</v>
      </c>
      <c r="S437" s="164">
        <v>45822.0</v>
      </c>
      <c r="T437" s="164"/>
      <c r="U437" s="164"/>
      <c r="V437" s="164"/>
      <c r="W437" s="164"/>
      <c r="X437" s="164"/>
      <c r="Y437" s="164"/>
      <c r="Z437" s="164"/>
      <c r="AA437" s="165">
        <f t="shared" si="20"/>
        <v>45822</v>
      </c>
      <c r="AB437" s="160" t="s">
        <v>1144</v>
      </c>
      <c r="AC437" s="174"/>
      <c r="AD437" s="166"/>
      <c r="AE437" s="156" t="str">
        <f t="shared" si="21"/>
        <v/>
      </c>
      <c r="AF437" s="107" t="str">
        <f t="shared" si="22"/>
        <v/>
      </c>
      <c r="AG437" s="107" t="str">
        <f t="shared" si="23"/>
        <v/>
      </c>
      <c r="AH437" s="107" t="str">
        <f t="shared" si="24"/>
        <v/>
      </c>
      <c r="AI437" s="157">
        <f t="shared" si="25"/>
        <v>53</v>
      </c>
      <c r="AJ437" s="158"/>
      <c r="AK437" s="159"/>
      <c r="AL437" s="158"/>
      <c r="AM437" s="158">
        <f t="shared" si="12"/>
        <v>0</v>
      </c>
    </row>
    <row r="438" ht="22.5" customHeight="1">
      <c r="A438" s="167"/>
      <c r="B438" s="160" t="s">
        <v>54</v>
      </c>
      <c r="C438" s="160" t="s">
        <v>1131</v>
      </c>
      <c r="D438" s="173">
        <v>45956.0</v>
      </c>
      <c r="E438" s="124" t="str">
        <f t="shared" si="1"/>
        <v>2025</v>
      </c>
      <c r="F438" s="124" t="str">
        <f t="shared" si="2"/>
        <v>10 Okt</v>
      </c>
      <c r="G438" s="124" t="str">
        <f t="shared" si="3"/>
        <v>Minggu</v>
      </c>
      <c r="H438" s="160" t="s">
        <v>385</v>
      </c>
      <c r="I438" s="125" t="str">
        <f t="array" ref="I438">IFNA(XLOOKUP($H438,'🙎‍♂️ Pasien'!$G$7:$G658,'🙎‍♂️ Pasien'!$H$7:$H658),"")</f>
        <v>O7825104730</v>
      </c>
      <c r="J438" s="125" t="str">
        <f t="array" ref="J438">IFNA(XLOOKUP($H438,'🙎‍♂️ Pasien'!$G$7:$G658,'🙎‍♂️ Pasien'!$L$7:$L658),"")</f>
        <v>PEREMPUAN</v>
      </c>
      <c r="K438" s="125">
        <f t="array" ref="K438">IFNA(XLOOKUP($H438,'🙎‍♂️ Pasien'!$G$7:$G658,'🙎‍♂️ Pasien'!$I$7:$I658),"")</f>
        <v>48</v>
      </c>
      <c r="L438" s="160" t="s">
        <v>107</v>
      </c>
      <c r="M438" s="162" t="str">
        <f t="array" ref="M438">IFNA(XLOOKUP(L438,'⚙️ Pengaturan'!$H$5:$H658,'⚙️ Pengaturan'!$I$5:$I658),"")</f>
        <v>TIM Y</v>
      </c>
      <c r="N438" s="163" t="s">
        <v>1132</v>
      </c>
      <c r="O438" s="160" t="s">
        <v>1133</v>
      </c>
      <c r="P438" s="153">
        <f t="shared" si="13"/>
        <v>5</v>
      </c>
      <c r="Q438" s="164">
        <v>45957.0</v>
      </c>
      <c r="R438" s="164">
        <v>45957.0</v>
      </c>
      <c r="S438" s="164">
        <v>45958.0</v>
      </c>
      <c r="T438" s="164">
        <v>45958.0</v>
      </c>
      <c r="U438" s="164">
        <v>45958.0</v>
      </c>
      <c r="V438" s="164"/>
      <c r="W438" s="164"/>
      <c r="X438" s="164"/>
      <c r="Y438" s="164"/>
      <c r="Z438" s="164"/>
      <c r="AA438" s="165">
        <f t="shared" si="20"/>
        <v>45958</v>
      </c>
      <c r="AB438" s="160" t="s">
        <v>1134</v>
      </c>
      <c r="AC438" s="160" t="s">
        <v>1138</v>
      </c>
      <c r="AD438" s="168" t="s">
        <v>1382</v>
      </c>
      <c r="AE438" s="156">
        <f t="shared" si="21"/>
        <v>45958</v>
      </c>
      <c r="AF438" s="107" t="str">
        <f t="shared" si="22"/>
        <v>2025</v>
      </c>
      <c r="AG438" s="107" t="str">
        <f t="shared" si="23"/>
        <v>10 Okt</v>
      </c>
      <c r="AH438" s="107" t="str">
        <f t="shared" si="24"/>
        <v>Sel</v>
      </c>
      <c r="AI438" s="157">
        <f t="shared" si="25"/>
        <v>1</v>
      </c>
      <c r="AJ438" s="96"/>
      <c r="AK438" s="169"/>
      <c r="AL438" s="96"/>
      <c r="AM438" s="158">
        <f t="shared" si="12"/>
        <v>0</v>
      </c>
    </row>
    <row r="439" ht="22.5" customHeight="1">
      <c r="A439" s="167"/>
      <c r="B439" s="160" t="s">
        <v>86</v>
      </c>
      <c r="C439" s="160" t="s">
        <v>1131</v>
      </c>
      <c r="D439" s="161">
        <v>45840.0</v>
      </c>
      <c r="E439" s="124" t="str">
        <f t="shared" si="1"/>
        <v>2025</v>
      </c>
      <c r="F439" s="124" t="str">
        <f t="shared" si="2"/>
        <v>07 Jul</v>
      </c>
      <c r="G439" s="124" t="str">
        <f t="shared" si="3"/>
        <v>Rabu</v>
      </c>
      <c r="H439" s="160" t="s">
        <v>194</v>
      </c>
      <c r="I439" s="125" t="str">
        <f t="array" ref="I439">IFNA(XLOOKUP($H439,'🙎‍♂️ Pasien'!$G$7:$G658,'🙎‍♂️ Pasien'!$H$7:$H658),"")</f>
        <v>O0925070649</v>
      </c>
      <c r="J439" s="125" t="str">
        <f t="array" ref="J439">IFNA(XLOOKUP($H439,'🙎‍♂️ Pasien'!$G$7:$G658,'🙎‍♂️ Pasien'!$L$7:$L658),"")</f>
        <v>PEREMPUAN</v>
      </c>
      <c r="K439" s="125">
        <f t="array" ref="K439">IFNA(XLOOKUP($H439,'🙎‍♂️ Pasien'!$G$7:$G658,'🙎‍♂️ Pasien'!$I$7:$I658),"")</f>
        <v>16</v>
      </c>
      <c r="L439" s="160" t="s">
        <v>91</v>
      </c>
      <c r="M439" s="162" t="str">
        <f t="array" ref="M439">IFNA(XLOOKUP(L439,'⚙️ Pengaturan'!$H$5:$H658,'⚙️ Pengaturan'!$I$5:$I658),"")</f>
        <v>TIM Y</v>
      </c>
      <c r="N439" s="163" t="s">
        <v>1137</v>
      </c>
      <c r="O439" s="160" t="s">
        <v>1133</v>
      </c>
      <c r="P439" s="153">
        <f t="shared" si="13"/>
        <v>9</v>
      </c>
      <c r="Q439" s="164">
        <v>45843.0</v>
      </c>
      <c r="R439" s="164">
        <v>45843.0</v>
      </c>
      <c r="S439" s="164">
        <v>45846.0</v>
      </c>
      <c r="T439" s="164">
        <v>45850.0</v>
      </c>
      <c r="U439" s="164">
        <v>45850.0</v>
      </c>
      <c r="V439" s="164">
        <v>45853.0</v>
      </c>
      <c r="W439" s="164">
        <v>45857.0</v>
      </c>
      <c r="X439" s="164">
        <v>45857.0</v>
      </c>
      <c r="Y439" s="164">
        <v>45860.0</v>
      </c>
      <c r="Z439" s="164"/>
      <c r="AA439" s="165">
        <f t="shared" si="20"/>
        <v>45860</v>
      </c>
      <c r="AB439" s="160" t="s">
        <v>1134</v>
      </c>
      <c r="AC439" s="160" t="s">
        <v>1138</v>
      </c>
      <c r="AD439" s="166"/>
      <c r="AE439" s="156" t="str">
        <f t="shared" si="21"/>
        <v/>
      </c>
      <c r="AF439" s="107" t="str">
        <f t="shared" si="22"/>
        <v/>
      </c>
      <c r="AG439" s="107" t="str">
        <f t="shared" si="23"/>
        <v/>
      </c>
      <c r="AH439" s="107" t="str">
        <f t="shared" si="24"/>
        <v/>
      </c>
      <c r="AI439" s="157">
        <f t="shared" si="25"/>
        <v>49</v>
      </c>
      <c r="AJ439" s="96"/>
      <c r="AK439" s="169"/>
      <c r="AL439" s="96"/>
      <c r="AM439" s="158">
        <f t="shared" si="12"/>
        <v>0</v>
      </c>
    </row>
    <row r="440" ht="22.5" customHeight="1">
      <c r="A440" s="167"/>
      <c r="B440" s="160" t="s">
        <v>86</v>
      </c>
      <c r="C440" s="160" t="s">
        <v>1131</v>
      </c>
      <c r="D440" s="161">
        <v>45867.0</v>
      </c>
      <c r="E440" s="124" t="str">
        <f t="shared" si="1"/>
        <v>2025</v>
      </c>
      <c r="F440" s="124" t="str">
        <f t="shared" si="2"/>
        <v>07 Jul</v>
      </c>
      <c r="G440" s="124" t="str">
        <f t="shared" si="3"/>
        <v>Selasa</v>
      </c>
      <c r="H440" s="160" t="s">
        <v>194</v>
      </c>
      <c r="I440" s="125" t="str">
        <f t="array" ref="I440">IFNA(XLOOKUP($H440,'🙎‍♂️ Pasien'!$G$7:$G658,'🙎‍♂️ Pasien'!$H$7:$H658),"")</f>
        <v>O0925070649</v>
      </c>
      <c r="J440" s="125" t="str">
        <f t="array" ref="J440">IFNA(XLOOKUP($H440,'🙎‍♂️ Pasien'!$G$7:$G658,'🙎‍♂️ Pasien'!$L$7:$L658),"")</f>
        <v>PEREMPUAN</v>
      </c>
      <c r="K440" s="125">
        <f t="array" ref="K440">IFNA(XLOOKUP($H440,'🙎‍♂️ Pasien'!$G$7:$G658,'🙎‍♂️ Pasien'!$I$7:$I658),"")</f>
        <v>16</v>
      </c>
      <c r="L440" s="160" t="s">
        <v>91</v>
      </c>
      <c r="M440" s="162" t="str">
        <f t="array" ref="M440">IFNA(XLOOKUP(L440,'⚙️ Pengaturan'!$H$5:$H658,'⚙️ Pengaturan'!$I$5:$I658),"")</f>
        <v>TIM Y</v>
      </c>
      <c r="N440" s="163" t="s">
        <v>1137</v>
      </c>
      <c r="O440" s="160" t="s">
        <v>1139</v>
      </c>
      <c r="P440" s="153">
        <f t="shared" si="13"/>
        <v>10</v>
      </c>
      <c r="Q440" s="164">
        <v>45864.0</v>
      </c>
      <c r="R440" s="164">
        <v>45867.0</v>
      </c>
      <c r="S440" s="164">
        <v>45874.0</v>
      </c>
      <c r="T440" s="164">
        <v>45878.0</v>
      </c>
      <c r="U440" s="164">
        <v>45881.0</v>
      </c>
      <c r="V440" s="164">
        <v>45885.0</v>
      </c>
      <c r="W440" s="164">
        <v>45895.0</v>
      </c>
      <c r="X440" s="164">
        <v>45902.0</v>
      </c>
      <c r="Y440" s="164">
        <v>45909.0</v>
      </c>
      <c r="Z440" s="164">
        <v>45916.0</v>
      </c>
      <c r="AA440" s="165">
        <f t="shared" si="20"/>
        <v>45916</v>
      </c>
      <c r="AB440" s="160" t="s">
        <v>1134</v>
      </c>
      <c r="AC440" s="160" t="s">
        <v>1138</v>
      </c>
      <c r="AD440" s="168"/>
      <c r="AE440" s="156">
        <f t="shared" si="21"/>
        <v>45916</v>
      </c>
      <c r="AF440" s="107" t="str">
        <f t="shared" si="22"/>
        <v>2025</v>
      </c>
      <c r="AG440" s="107" t="str">
        <f t="shared" si="23"/>
        <v>09 Sep</v>
      </c>
      <c r="AH440" s="107" t="str">
        <f t="shared" si="24"/>
        <v>Sel</v>
      </c>
      <c r="AI440" s="157">
        <f t="shared" si="25"/>
        <v>8</v>
      </c>
      <c r="AJ440" s="96"/>
      <c r="AK440" s="169"/>
      <c r="AL440" s="96"/>
      <c r="AM440" s="158">
        <f t="shared" si="12"/>
        <v>0</v>
      </c>
    </row>
    <row r="441" ht="22.5" customHeight="1">
      <c r="A441" s="167"/>
      <c r="B441" s="160" t="s">
        <v>134</v>
      </c>
      <c r="C441" s="160" t="s">
        <v>1131</v>
      </c>
      <c r="D441" s="161">
        <v>45916.0</v>
      </c>
      <c r="E441" s="124" t="str">
        <f t="shared" si="1"/>
        <v>2025</v>
      </c>
      <c r="F441" s="124" t="str">
        <f t="shared" si="2"/>
        <v>09 Sep</v>
      </c>
      <c r="G441" s="124" t="str">
        <f t="shared" si="3"/>
        <v>Selasa</v>
      </c>
      <c r="H441" s="160" t="s">
        <v>194</v>
      </c>
      <c r="I441" s="125" t="str">
        <f t="array" ref="I441">IFNA(XLOOKUP($H441,'🙎‍♂️ Pasien'!$G$7:$G658,'🙎‍♂️ Pasien'!$H$7:$H658),"")</f>
        <v>O0925070649</v>
      </c>
      <c r="J441" s="125" t="str">
        <f t="array" ref="J441">IFNA(XLOOKUP($H441,'🙎‍♂️ Pasien'!$G$7:$G658,'🙎‍♂️ Pasien'!$L$7:$L658),"")</f>
        <v>PEREMPUAN</v>
      </c>
      <c r="K441" s="125">
        <f t="array" ref="K441">IFNA(XLOOKUP($H441,'🙎‍♂️ Pasien'!$G$7:$G658,'🙎‍♂️ Pasien'!$I$7:$I658),"")</f>
        <v>16</v>
      </c>
      <c r="L441" s="160" t="s">
        <v>101</v>
      </c>
      <c r="M441" s="162" t="str">
        <f t="array" ref="M441">IFNA(XLOOKUP(L441,'⚙️ Pengaturan'!$H$5:$H658,'⚙️ Pengaturan'!$I$5:$I658),"")</f>
        <v>MANAJEMEN</v>
      </c>
      <c r="N441" s="160" t="s">
        <v>1137</v>
      </c>
      <c r="O441" s="160" t="s">
        <v>1133</v>
      </c>
      <c r="P441" s="153">
        <f t="shared" si="13"/>
        <v>10</v>
      </c>
      <c r="Q441" s="164">
        <v>45920.0</v>
      </c>
      <c r="R441" s="164">
        <v>45923.0</v>
      </c>
      <c r="S441" s="164">
        <v>45944.0</v>
      </c>
      <c r="T441" s="164">
        <v>45948.0</v>
      </c>
      <c r="U441" s="164">
        <v>45951.0</v>
      </c>
      <c r="V441" s="164">
        <v>45958.0</v>
      </c>
      <c r="W441" s="164">
        <v>45979.0</v>
      </c>
      <c r="X441" s="164">
        <v>45986.0</v>
      </c>
      <c r="Y441" s="164">
        <v>46000.0</v>
      </c>
      <c r="Z441" s="164">
        <v>46007.0</v>
      </c>
      <c r="AA441" s="165">
        <f t="shared" si="20"/>
        <v>46007</v>
      </c>
      <c r="AB441" s="160" t="s">
        <v>1134</v>
      </c>
      <c r="AC441" s="160" t="s">
        <v>1135</v>
      </c>
      <c r="AD441" s="168" t="s">
        <v>1383</v>
      </c>
      <c r="AE441" s="156">
        <f t="shared" si="21"/>
        <v>46007</v>
      </c>
      <c r="AF441" s="107" t="str">
        <f t="shared" si="22"/>
        <v>2025</v>
      </c>
      <c r="AG441" s="107" t="str">
        <f t="shared" si="23"/>
        <v>12 Des</v>
      </c>
      <c r="AH441" s="107" t="str">
        <f t="shared" si="24"/>
        <v>Sel</v>
      </c>
      <c r="AI441" s="157">
        <f t="shared" si="25"/>
        <v>13</v>
      </c>
      <c r="AJ441" s="96"/>
      <c r="AK441" s="169"/>
      <c r="AL441" s="96"/>
      <c r="AM441" s="158">
        <f t="shared" si="12"/>
        <v>0</v>
      </c>
    </row>
    <row r="442" ht="22.5" customHeight="1">
      <c r="A442" s="167"/>
      <c r="B442" s="160" t="s">
        <v>86</v>
      </c>
      <c r="C442" s="160" t="s">
        <v>1131</v>
      </c>
      <c r="D442" s="161">
        <v>45848.0</v>
      </c>
      <c r="E442" s="124" t="str">
        <f t="shared" si="1"/>
        <v>2025</v>
      </c>
      <c r="F442" s="124" t="str">
        <f t="shared" si="2"/>
        <v>07 Jul</v>
      </c>
      <c r="G442" s="124" t="str">
        <f t="shared" si="3"/>
        <v>Kamis</v>
      </c>
      <c r="H442" s="160" t="s">
        <v>1384</v>
      </c>
      <c r="I442" s="125" t="str">
        <f t="array" ref="I442">IFNA(XLOOKUP($H442,'🙎‍♂️ Pasien'!$G$7:$G658,'🙎‍♂️ Pasien'!$H$7:$H658),"")</f>
        <v>O9625078188</v>
      </c>
      <c r="J442" s="125" t="str">
        <f t="array" ref="J442">IFNA(XLOOKUP($H442,'🙎‍♂️ Pasien'!$G$7:$G658,'🙎‍♂️ Pasien'!$L$7:$L658),"")</f>
        <v>PEREMPUAN</v>
      </c>
      <c r="K442" s="125">
        <f t="array" ref="K442">IFNA(XLOOKUP($H442,'🙎‍♂️ Pasien'!$G$7:$G658,'🙎‍♂️ Pasien'!$I$7:$I658),"")</f>
        <v>29</v>
      </c>
      <c r="L442" s="160" t="s">
        <v>62</v>
      </c>
      <c r="M442" s="162" t="str">
        <f t="array" ref="M442">IFNA(XLOOKUP(L442,'⚙️ Pengaturan'!$H$5:$H658,'⚙️ Pengaturan'!$I$5:$I658),"")</f>
        <v>TIM A</v>
      </c>
      <c r="N442" s="163" t="s">
        <v>1132</v>
      </c>
      <c r="O442" s="160" t="s">
        <v>1133</v>
      </c>
      <c r="P442" s="153">
        <f t="shared" si="13"/>
        <v>5</v>
      </c>
      <c r="Q442" s="164">
        <v>45848.0</v>
      </c>
      <c r="R442" s="164">
        <v>45855.0</v>
      </c>
      <c r="S442" s="164">
        <v>45859.0</v>
      </c>
      <c r="T442" s="164">
        <v>45865.0</v>
      </c>
      <c r="U442" s="164">
        <v>45869.0</v>
      </c>
      <c r="V442" s="164"/>
      <c r="W442" s="164"/>
      <c r="X442" s="164"/>
      <c r="Y442" s="164"/>
      <c r="Z442" s="164"/>
      <c r="AA442" s="165">
        <f t="shared" si="20"/>
        <v>45869</v>
      </c>
      <c r="AB442" s="160" t="s">
        <v>1134</v>
      </c>
      <c r="AC442" s="160" t="s">
        <v>1138</v>
      </c>
      <c r="AD442" s="168" t="s">
        <v>1380</v>
      </c>
      <c r="AE442" s="156">
        <f t="shared" si="21"/>
        <v>45869</v>
      </c>
      <c r="AF442" s="107" t="str">
        <f t="shared" si="22"/>
        <v>2025</v>
      </c>
      <c r="AG442" s="107" t="str">
        <f t="shared" si="23"/>
        <v>07 Jul</v>
      </c>
      <c r="AH442" s="107" t="str">
        <f t="shared" si="24"/>
        <v>Kam</v>
      </c>
      <c r="AI442" s="157">
        <f t="shared" si="25"/>
        <v>3</v>
      </c>
      <c r="AJ442" s="96"/>
      <c r="AK442" s="169"/>
      <c r="AL442" s="96"/>
      <c r="AM442" s="158">
        <f t="shared" si="12"/>
        <v>0</v>
      </c>
    </row>
    <row r="443" ht="22.5" customHeight="1">
      <c r="A443" s="10"/>
      <c r="B443" s="160" t="s">
        <v>54</v>
      </c>
      <c r="C443" s="160" t="s">
        <v>1131</v>
      </c>
      <c r="D443" s="161">
        <v>45901.0</v>
      </c>
      <c r="E443" s="124" t="str">
        <f t="shared" si="1"/>
        <v>2025</v>
      </c>
      <c r="F443" s="124" t="str">
        <f t="shared" si="2"/>
        <v>09 Sep</v>
      </c>
      <c r="G443" s="124" t="str">
        <f t="shared" si="3"/>
        <v>Senin</v>
      </c>
      <c r="H443" s="160" t="s">
        <v>1384</v>
      </c>
      <c r="I443" s="125" t="str">
        <f t="array" ref="I443">IFNA(XLOOKUP($H443,'🙎‍♂️ Pasien'!$G$7:$G658,'🙎‍♂️ Pasien'!$H$7:$H658),"")</f>
        <v>O9625078188</v>
      </c>
      <c r="J443" s="125" t="str">
        <f t="array" ref="J443">IFNA(XLOOKUP($H443,'🙎‍♂️ Pasien'!$G$7:$G658,'🙎‍♂️ Pasien'!$L$7:$L658),"")</f>
        <v>PEREMPUAN</v>
      </c>
      <c r="K443" s="125">
        <f t="array" ref="K443">IFNA(XLOOKUP($H443,'🙎‍♂️ Pasien'!$G$7:$G658,'🙎‍♂️ Pasien'!$I$7:$I658),"")</f>
        <v>29</v>
      </c>
      <c r="L443" s="160" t="s">
        <v>62</v>
      </c>
      <c r="M443" s="162" t="str">
        <f t="array" ref="M443">IFNA(XLOOKUP(L443,'⚙️ Pengaturan'!$H$5:$H658,'⚙️ Pengaturan'!$I$5:$I658),"")</f>
        <v>TIM A</v>
      </c>
      <c r="N443" s="163" t="s">
        <v>1132</v>
      </c>
      <c r="O443" s="160" t="s">
        <v>1139</v>
      </c>
      <c r="P443" s="153">
        <f t="shared" si="13"/>
        <v>1</v>
      </c>
      <c r="Q443" s="164">
        <v>45901.0</v>
      </c>
      <c r="R443" s="164"/>
      <c r="S443" s="164"/>
      <c r="T443" s="164"/>
      <c r="U443" s="164"/>
      <c r="V443" s="164"/>
      <c r="W443" s="164"/>
      <c r="X443" s="164"/>
      <c r="Y443" s="164"/>
      <c r="Z443" s="164"/>
      <c r="AA443" s="165">
        <f t="shared" si="20"/>
        <v>45901</v>
      </c>
      <c r="AB443" s="160" t="s">
        <v>1144</v>
      </c>
      <c r="AC443" s="172"/>
      <c r="AD443" s="168"/>
      <c r="AE443" s="156" t="str">
        <f t="shared" si="21"/>
        <v/>
      </c>
      <c r="AF443" s="107" t="str">
        <f t="shared" si="22"/>
        <v/>
      </c>
      <c r="AG443" s="107" t="str">
        <f t="shared" si="23"/>
        <v/>
      </c>
      <c r="AH443" s="107" t="str">
        <f t="shared" si="24"/>
        <v/>
      </c>
      <c r="AI443" s="157">
        <f t="shared" si="25"/>
        <v>41</v>
      </c>
      <c r="AJ443" s="158"/>
      <c r="AK443" s="159"/>
      <c r="AL443" s="158"/>
      <c r="AM443" s="158">
        <f t="shared" si="12"/>
        <v>0</v>
      </c>
    </row>
    <row r="444" ht="22.5" customHeight="1">
      <c r="A444" s="167"/>
      <c r="B444" s="160" t="s">
        <v>134</v>
      </c>
      <c r="C444" s="160" t="s">
        <v>1131</v>
      </c>
      <c r="D444" s="161">
        <v>45839.0</v>
      </c>
      <c r="E444" s="124" t="str">
        <f t="shared" si="1"/>
        <v>2025</v>
      </c>
      <c r="F444" s="124" t="str">
        <f t="shared" si="2"/>
        <v>07 Jul</v>
      </c>
      <c r="G444" s="124" t="str">
        <f t="shared" si="3"/>
        <v>Selasa</v>
      </c>
      <c r="H444" s="160" t="s">
        <v>1385</v>
      </c>
      <c r="I444" s="125" t="str">
        <f t="array" ref="I444">IFNA(XLOOKUP($H444,'🙎‍♂️ Pasien'!$G$7:$G658,'🙎‍♂️ Pasien'!$H$7:$H658),"")</f>
        <v>P5925063080</v>
      </c>
      <c r="J444" s="125" t="str">
        <f t="array" ref="J444">IFNA(XLOOKUP($H444,'🙎‍♂️ Pasien'!$G$7:$G658,'🙎‍♂️ Pasien'!$L$7:$L658),"")</f>
        <v>LAKI-LAKI</v>
      </c>
      <c r="K444" s="125">
        <f t="array" ref="K444">IFNA(XLOOKUP($H444,'🙎‍♂️ Pasien'!$G$7:$G658,'🙎‍♂️ Pasien'!$I$7:$I658),"")</f>
        <v>67</v>
      </c>
      <c r="L444" s="160" t="s">
        <v>62</v>
      </c>
      <c r="M444" s="162" t="str">
        <f t="array" ref="M444">IFNA(XLOOKUP(L444,'⚙️ Pengaturan'!$H$5:$H658,'⚙️ Pengaturan'!$I$5:$I658),"")</f>
        <v>TIM A</v>
      </c>
      <c r="N444" s="163" t="s">
        <v>1137</v>
      </c>
      <c r="O444" s="160" t="s">
        <v>1133</v>
      </c>
      <c r="P444" s="153">
        <f t="shared" si="13"/>
        <v>10</v>
      </c>
      <c r="Q444" s="164">
        <v>45839.0</v>
      </c>
      <c r="R444" s="164">
        <v>45839.0</v>
      </c>
      <c r="S444" s="164">
        <v>45840.0</v>
      </c>
      <c r="T444" s="164">
        <v>45840.0</v>
      </c>
      <c r="U444" s="164">
        <v>45841.0</v>
      </c>
      <c r="V444" s="164">
        <v>45841.0</v>
      </c>
      <c r="W444" s="164">
        <v>45843.0</v>
      </c>
      <c r="X444" s="164">
        <v>45845.0</v>
      </c>
      <c r="Y444" s="164">
        <v>45847.0</v>
      </c>
      <c r="Z444" s="164">
        <v>45904.0</v>
      </c>
      <c r="AA444" s="165">
        <f t="shared" si="20"/>
        <v>45904</v>
      </c>
      <c r="AB444" s="160" t="s">
        <v>1134</v>
      </c>
      <c r="AC444" s="160" t="s">
        <v>1138</v>
      </c>
      <c r="AD444" s="166"/>
      <c r="AE444" s="156">
        <f t="shared" si="21"/>
        <v>45904</v>
      </c>
      <c r="AF444" s="107" t="str">
        <f t="shared" si="22"/>
        <v>2025</v>
      </c>
      <c r="AG444" s="107" t="str">
        <f t="shared" si="23"/>
        <v>09 Sep</v>
      </c>
      <c r="AH444" s="107" t="str">
        <f t="shared" si="24"/>
        <v>Kam</v>
      </c>
      <c r="AI444" s="157">
        <f t="shared" si="25"/>
        <v>10</v>
      </c>
      <c r="AJ444" s="96"/>
      <c r="AK444" s="169"/>
      <c r="AL444" s="96"/>
      <c r="AM444" s="158">
        <f t="shared" si="12"/>
        <v>0</v>
      </c>
    </row>
    <row r="445" ht="22.5" customHeight="1">
      <c r="A445" s="167"/>
      <c r="B445" s="160" t="s">
        <v>134</v>
      </c>
      <c r="C445" s="160" t="s">
        <v>1131</v>
      </c>
      <c r="D445" s="161">
        <v>45851.0</v>
      </c>
      <c r="E445" s="124" t="str">
        <f t="shared" si="1"/>
        <v>2025</v>
      </c>
      <c r="F445" s="124" t="str">
        <f t="shared" si="2"/>
        <v>07 Jul</v>
      </c>
      <c r="G445" s="124" t="str">
        <f t="shared" si="3"/>
        <v>Minggu</v>
      </c>
      <c r="H445" s="160" t="s">
        <v>1385</v>
      </c>
      <c r="I445" s="125" t="str">
        <f t="array" ref="I445">IFNA(XLOOKUP($H445,'🙎‍♂️ Pasien'!$G$7:$G658,'🙎‍♂️ Pasien'!$H$7:$H658),"")</f>
        <v>P5925063080</v>
      </c>
      <c r="J445" s="125" t="str">
        <f t="array" ref="J445">IFNA(XLOOKUP($H445,'🙎‍♂️ Pasien'!$G$7:$G658,'🙎‍♂️ Pasien'!$L$7:$L658),"")</f>
        <v>LAKI-LAKI</v>
      </c>
      <c r="K445" s="125">
        <f t="array" ref="K445">IFNA(XLOOKUP($H445,'🙎‍♂️ Pasien'!$G$7:$G658,'🙎‍♂️ Pasien'!$I$7:$I658),"")</f>
        <v>67</v>
      </c>
      <c r="L445" s="160" t="s">
        <v>62</v>
      </c>
      <c r="M445" s="162" t="str">
        <f t="array" ref="M445">IFNA(XLOOKUP(L445,'⚙️ Pengaturan'!$H$5:$H658,'⚙️ Pengaturan'!$I$5:$I658),"")</f>
        <v>TIM A</v>
      </c>
      <c r="N445" s="163" t="s">
        <v>1132</v>
      </c>
      <c r="O445" s="160" t="s">
        <v>1139</v>
      </c>
      <c r="P445" s="153">
        <f t="shared" si="13"/>
        <v>5</v>
      </c>
      <c r="Q445" s="164">
        <v>45851.0</v>
      </c>
      <c r="R445" s="164">
        <v>45852.0</v>
      </c>
      <c r="S445" s="164">
        <v>45853.0</v>
      </c>
      <c r="T445" s="164">
        <v>45854.0</v>
      </c>
      <c r="U445" s="164">
        <v>45855.0</v>
      </c>
      <c r="V445" s="164"/>
      <c r="W445" s="164"/>
      <c r="X445" s="164"/>
      <c r="Y445" s="164"/>
      <c r="Z445" s="164"/>
      <c r="AA445" s="165">
        <f t="shared" si="20"/>
        <v>45855</v>
      </c>
      <c r="AB445" s="160" t="s">
        <v>1134</v>
      </c>
      <c r="AC445" s="160" t="s">
        <v>1135</v>
      </c>
      <c r="AD445" s="168" t="s">
        <v>1386</v>
      </c>
      <c r="AE445" s="156">
        <f t="shared" si="21"/>
        <v>45855</v>
      </c>
      <c r="AF445" s="107" t="str">
        <f t="shared" si="22"/>
        <v>2025</v>
      </c>
      <c r="AG445" s="107" t="str">
        <f t="shared" si="23"/>
        <v>07 Jul</v>
      </c>
      <c r="AH445" s="107" t="str">
        <f t="shared" si="24"/>
        <v>Kam</v>
      </c>
      <c r="AI445" s="157">
        <f t="shared" si="25"/>
        <v>1</v>
      </c>
      <c r="AJ445" s="96"/>
      <c r="AK445" s="169"/>
      <c r="AL445" s="96"/>
      <c r="AM445" s="158">
        <f t="shared" si="12"/>
        <v>0</v>
      </c>
    </row>
    <row r="446" ht="22.5" customHeight="1">
      <c r="A446" s="167"/>
      <c r="B446" s="160" t="s">
        <v>86</v>
      </c>
      <c r="C446" s="160" t="s">
        <v>1131</v>
      </c>
      <c r="D446" s="161">
        <v>45865.0</v>
      </c>
      <c r="E446" s="124" t="str">
        <f t="shared" si="1"/>
        <v>2025</v>
      </c>
      <c r="F446" s="124" t="str">
        <f t="shared" si="2"/>
        <v>07 Jul</v>
      </c>
      <c r="G446" s="124" t="str">
        <f t="shared" si="3"/>
        <v>Minggu</v>
      </c>
      <c r="H446" s="160" t="s">
        <v>1387</v>
      </c>
      <c r="I446" s="125" t="str">
        <f t="array" ref="I446">IFNA(XLOOKUP($H446,'🙎‍♂️ Pasien'!$G$7:$G658,'🙎‍♂️ Pasien'!$H$7:$H658),"")</f>
        <v>P9623063588</v>
      </c>
      <c r="J446" s="125" t="str">
        <f t="array" ref="J446">IFNA(XLOOKUP($H446,'🙎‍♂️ Pasien'!$G$7:$G658,'🙎‍♂️ Pasien'!$L$7:$L658),"")</f>
        <v>LAKI-LAKI</v>
      </c>
      <c r="K446" s="125">
        <f t="array" ref="K446">IFNA(XLOOKUP($H446,'🙎‍♂️ Pasien'!$G$7:$G658,'🙎‍♂️ Pasien'!$I$7:$I658),"")</f>
        <v>30</v>
      </c>
      <c r="L446" s="160" t="s">
        <v>107</v>
      </c>
      <c r="M446" s="162" t="str">
        <f t="array" ref="M446">IFNA(XLOOKUP(L446,'⚙️ Pengaturan'!$H$5:$H658,'⚙️ Pengaturan'!$I$5:$I658),"")</f>
        <v>TIM Y</v>
      </c>
      <c r="N446" s="163" t="s">
        <v>1137</v>
      </c>
      <c r="O446" s="160" t="s">
        <v>1133</v>
      </c>
      <c r="P446" s="153">
        <f t="shared" si="13"/>
        <v>10</v>
      </c>
      <c r="Q446" s="164">
        <v>45865.0</v>
      </c>
      <c r="R446" s="164">
        <v>45867.0</v>
      </c>
      <c r="S446" s="164">
        <v>45869.0</v>
      </c>
      <c r="T446" s="164">
        <v>45871.0</v>
      </c>
      <c r="U446" s="164">
        <v>45873.0</v>
      </c>
      <c r="V446" s="164">
        <v>45875.0</v>
      </c>
      <c r="W446" s="164">
        <v>45878.0</v>
      </c>
      <c r="X446" s="164">
        <v>45880.0</v>
      </c>
      <c r="Y446" s="164">
        <v>45882.0</v>
      </c>
      <c r="Z446" s="164">
        <v>45846.0</v>
      </c>
      <c r="AA446" s="165">
        <f t="shared" si="20"/>
        <v>45882</v>
      </c>
      <c r="AB446" s="160" t="s">
        <v>1134</v>
      </c>
      <c r="AC446" s="160" t="s">
        <v>1138</v>
      </c>
      <c r="AD446" s="166"/>
      <c r="AE446" s="156">
        <f t="shared" si="21"/>
        <v>45846</v>
      </c>
      <c r="AF446" s="107" t="str">
        <f t="shared" si="22"/>
        <v>2025</v>
      </c>
      <c r="AG446" s="107" t="str">
        <f t="shared" si="23"/>
        <v>07 Jul</v>
      </c>
      <c r="AH446" s="107" t="str">
        <f t="shared" si="24"/>
        <v>Sel</v>
      </c>
      <c r="AI446" s="157">
        <f t="shared" si="25"/>
        <v>-3</v>
      </c>
      <c r="AJ446" s="96"/>
      <c r="AK446" s="169"/>
      <c r="AL446" s="96"/>
      <c r="AM446" s="158">
        <f t="shared" si="12"/>
        <v>0</v>
      </c>
    </row>
    <row r="447" ht="22.5" customHeight="1">
      <c r="A447" s="167"/>
      <c r="B447" s="160" t="s">
        <v>134</v>
      </c>
      <c r="C447" s="160" t="s">
        <v>1131</v>
      </c>
      <c r="D447" s="161">
        <v>45888.0</v>
      </c>
      <c r="E447" s="124" t="str">
        <f t="shared" si="1"/>
        <v>2025</v>
      </c>
      <c r="F447" s="124" t="str">
        <f t="shared" si="2"/>
        <v>08 Agu</v>
      </c>
      <c r="G447" s="124" t="str">
        <f t="shared" si="3"/>
        <v>Selasa</v>
      </c>
      <c r="H447" s="160" t="s">
        <v>1387</v>
      </c>
      <c r="I447" s="125" t="str">
        <f t="array" ref="I447">IFNA(XLOOKUP($H447,'🙎‍♂️ Pasien'!$G$7:$G658,'🙎‍♂️ Pasien'!$H$7:$H658),"")</f>
        <v>P9623063588</v>
      </c>
      <c r="J447" s="125" t="str">
        <f t="array" ref="J447">IFNA(XLOOKUP($H447,'🙎‍♂️ Pasien'!$G$7:$G658,'🙎‍♂️ Pasien'!$L$7:$L658),"")</f>
        <v>LAKI-LAKI</v>
      </c>
      <c r="K447" s="125">
        <f t="array" ref="K447">IFNA(XLOOKUP($H447,'🙎‍♂️ Pasien'!$G$7:$G658,'🙎‍♂️ Pasien'!$I$7:$I658),"")</f>
        <v>30</v>
      </c>
      <c r="L447" s="160" t="s">
        <v>56</v>
      </c>
      <c r="M447" s="162" t="str">
        <f t="array" ref="M447">IFNA(XLOOKUP(L447,'⚙️ Pengaturan'!$H$5:$H658,'⚙️ Pengaturan'!$I$5:$I658),"")</f>
        <v>TIM Y</v>
      </c>
      <c r="N447" s="163" t="s">
        <v>1132</v>
      </c>
      <c r="O447" s="160" t="s">
        <v>1139</v>
      </c>
      <c r="P447" s="153">
        <f t="shared" si="13"/>
        <v>5</v>
      </c>
      <c r="Q447" s="164">
        <v>45888.0</v>
      </c>
      <c r="R447" s="164">
        <v>45892.0</v>
      </c>
      <c r="S447" s="164">
        <v>45894.0</v>
      </c>
      <c r="T447" s="164">
        <v>45896.0</v>
      </c>
      <c r="U447" s="164">
        <v>45901.0</v>
      </c>
      <c r="V447" s="164"/>
      <c r="W447" s="164"/>
      <c r="X447" s="164"/>
      <c r="Y447" s="164"/>
      <c r="Z447" s="164"/>
      <c r="AA447" s="165">
        <f t="shared" si="20"/>
        <v>45901</v>
      </c>
      <c r="AB447" s="160" t="s">
        <v>1134</v>
      </c>
      <c r="AC447" s="160" t="s">
        <v>1142</v>
      </c>
      <c r="AD447" s="166"/>
      <c r="AE447" s="156">
        <f t="shared" si="21"/>
        <v>45901</v>
      </c>
      <c r="AF447" s="107" t="str">
        <f t="shared" si="22"/>
        <v>2025</v>
      </c>
      <c r="AG447" s="107" t="str">
        <f t="shared" si="23"/>
        <v>09 Sep</v>
      </c>
      <c r="AH447" s="107" t="str">
        <f t="shared" si="24"/>
        <v>Sen</v>
      </c>
      <c r="AI447" s="157">
        <f t="shared" si="25"/>
        <v>2</v>
      </c>
      <c r="AJ447" s="96"/>
      <c r="AK447" s="169"/>
      <c r="AL447" s="96"/>
      <c r="AM447" s="158">
        <f t="shared" si="12"/>
        <v>0</v>
      </c>
    </row>
    <row r="448" ht="22.5" customHeight="1">
      <c r="A448" s="167"/>
      <c r="B448" s="160" t="s">
        <v>54</v>
      </c>
      <c r="C448" s="160" t="s">
        <v>1131</v>
      </c>
      <c r="D448" s="161">
        <v>45920.0</v>
      </c>
      <c r="E448" s="124" t="str">
        <f t="shared" si="1"/>
        <v>2025</v>
      </c>
      <c r="F448" s="124" t="str">
        <f t="shared" si="2"/>
        <v>09 Sep</v>
      </c>
      <c r="G448" s="124" t="str">
        <f t="shared" si="3"/>
        <v>Sabtu</v>
      </c>
      <c r="H448" s="160" t="s">
        <v>147</v>
      </c>
      <c r="I448" s="125" t="str">
        <f t="array" ref="I448">IFNA(XLOOKUP($H448,'🙎‍♂️ Pasien'!$G$7:$G658,'🙎‍♂️ Pasien'!$H$7:$H658),"")</f>
        <v>P7525096189</v>
      </c>
      <c r="J448" s="125" t="str">
        <f t="array" ref="J448">IFNA(XLOOKUP($H448,'🙎‍♂️ Pasien'!$G$7:$G658,'🙎‍♂️ Pasien'!$L$7:$L658),"")</f>
        <v>PEREMPUAN</v>
      </c>
      <c r="K448" s="125">
        <f t="array" ref="K448">IFNA(XLOOKUP($H448,'🙎‍♂️ Pasien'!$G$7:$G658,'🙎‍♂️ Pasien'!$I$7:$I658),"")</f>
        <v>51</v>
      </c>
      <c r="L448" s="160" t="s">
        <v>107</v>
      </c>
      <c r="M448" s="162" t="str">
        <f t="array" ref="M448">IFNA(XLOOKUP(L448,'⚙️ Pengaturan'!$H$5:$H658,'⚙️ Pengaturan'!$I$5:$I658),"")</f>
        <v>TIM Y</v>
      </c>
      <c r="N448" s="160" t="s">
        <v>1132</v>
      </c>
      <c r="O448" s="160" t="s">
        <v>1139</v>
      </c>
      <c r="P448" s="153">
        <f t="shared" si="13"/>
        <v>5</v>
      </c>
      <c r="Q448" s="164">
        <v>45920.0</v>
      </c>
      <c r="R448" s="164">
        <v>45923.0</v>
      </c>
      <c r="S448" s="164">
        <v>45926.0</v>
      </c>
      <c r="T448" s="164">
        <v>45931.0</v>
      </c>
      <c r="U448" s="164">
        <v>45935.0</v>
      </c>
      <c r="V448" s="164"/>
      <c r="W448" s="164"/>
      <c r="X448" s="164"/>
      <c r="Y448" s="164"/>
      <c r="Z448" s="164"/>
      <c r="AA448" s="165">
        <f t="shared" si="20"/>
        <v>45935</v>
      </c>
      <c r="AB448" s="160" t="s">
        <v>1134</v>
      </c>
      <c r="AC448" s="160" t="s">
        <v>1135</v>
      </c>
      <c r="AD448" s="168" t="s">
        <v>997</v>
      </c>
      <c r="AE448" s="156">
        <f t="shared" si="21"/>
        <v>45935</v>
      </c>
      <c r="AF448" s="107" t="str">
        <f t="shared" si="22"/>
        <v>2025</v>
      </c>
      <c r="AG448" s="107" t="str">
        <f t="shared" si="23"/>
        <v>10 Okt</v>
      </c>
      <c r="AH448" s="107" t="str">
        <f t="shared" si="24"/>
        <v>Min</v>
      </c>
      <c r="AI448" s="157">
        <f t="shared" si="25"/>
        <v>3</v>
      </c>
      <c r="AJ448" s="96"/>
      <c r="AK448" s="169"/>
      <c r="AL448" s="96"/>
      <c r="AM448" s="158">
        <f t="shared" si="12"/>
        <v>0</v>
      </c>
    </row>
    <row r="449" ht="22.5" customHeight="1">
      <c r="A449" s="167"/>
      <c r="B449" s="16" t="s">
        <v>54</v>
      </c>
      <c r="C449" s="16" t="s">
        <v>1131</v>
      </c>
      <c r="D449" s="123">
        <v>46005.0</v>
      </c>
      <c r="E449" s="124" t="str">
        <f t="shared" si="1"/>
        <v>2025</v>
      </c>
      <c r="F449" s="124" t="str">
        <f t="shared" si="2"/>
        <v>12 Des</v>
      </c>
      <c r="G449" s="124" t="str">
        <f t="shared" si="3"/>
        <v>Minggu</v>
      </c>
      <c r="H449" s="16" t="s">
        <v>668</v>
      </c>
      <c r="I449" s="125" t="str">
        <f t="array" ref="I449">IFNA(XLOOKUP($H449,'🙎‍♂️ Pasien'!$G$7:$G658,'🙎‍♂️ Pasien'!$H$7:$H658),"")</f>
        <v>R9625012853</v>
      </c>
      <c r="J449" s="125" t="str">
        <f t="array" ref="J449">IFNA(XLOOKUP($H449,'🙎‍♂️ Pasien'!$G$7:$G658,'🙎‍♂️ Pasien'!$L$7:$L658),"")</f>
        <v>PEREMPUAN</v>
      </c>
      <c r="K449" s="125">
        <f t="array" ref="K449">IFNA(XLOOKUP($H449,'🙎‍♂️ Pasien'!$G$7:$G658,'🙎‍♂️ Pasien'!$I$7:$I658),"")</f>
        <v>30</v>
      </c>
      <c r="L449" s="16" t="s">
        <v>62</v>
      </c>
      <c r="M449" s="125" t="str">
        <f t="array" ref="M449">IFNA(XLOOKUP(L449,'⚙️ Pengaturan'!$H$5:$H658,'⚙️ Pengaturan'!$I$5:$I658),"")</f>
        <v>TIM A</v>
      </c>
      <c r="N449" s="16" t="s">
        <v>1132</v>
      </c>
      <c r="O449" s="16" t="s">
        <v>1133</v>
      </c>
      <c r="P449" s="153">
        <f t="shared" si="13"/>
        <v>3</v>
      </c>
      <c r="Q449" s="154">
        <v>46005.0</v>
      </c>
      <c r="R449" s="154">
        <v>46008.0</v>
      </c>
      <c r="S449" s="154">
        <v>46011.0</v>
      </c>
      <c r="T449" s="154"/>
      <c r="U449" s="154"/>
      <c r="V449" s="154"/>
      <c r="W449" s="154"/>
      <c r="X449" s="154"/>
      <c r="Y449" s="154"/>
      <c r="Z449" s="154"/>
      <c r="AA449" s="155">
        <f t="shared" si="20"/>
        <v>46011</v>
      </c>
      <c r="AB449" s="16" t="s">
        <v>1144</v>
      </c>
      <c r="AC449" s="20"/>
      <c r="AD449" s="170"/>
      <c r="AE449" s="156" t="str">
        <f t="shared" si="21"/>
        <v/>
      </c>
      <c r="AF449" s="107" t="str">
        <f t="shared" si="22"/>
        <v/>
      </c>
      <c r="AG449" s="107" t="str">
        <f t="shared" si="23"/>
        <v/>
      </c>
      <c r="AH449" s="107" t="str">
        <f t="shared" si="24"/>
        <v/>
      </c>
      <c r="AI449" s="157">
        <f t="shared" si="25"/>
        <v>26</v>
      </c>
      <c r="AJ449" s="96"/>
      <c r="AK449" s="169"/>
      <c r="AL449" s="96"/>
      <c r="AM449" s="158">
        <f t="shared" si="12"/>
        <v>0</v>
      </c>
    </row>
    <row r="450" ht="22.5" customHeight="1">
      <c r="A450" s="167"/>
      <c r="B450" s="160" t="s">
        <v>86</v>
      </c>
      <c r="C450" s="172"/>
      <c r="D450" s="161">
        <v>45811.0</v>
      </c>
      <c r="E450" s="124" t="str">
        <f t="shared" si="1"/>
        <v>2025</v>
      </c>
      <c r="F450" s="124" t="str">
        <f t="shared" si="2"/>
        <v>06 Jun</v>
      </c>
      <c r="G450" s="124" t="str">
        <f t="shared" si="3"/>
        <v>Selasa</v>
      </c>
      <c r="H450" s="160" t="s">
        <v>204</v>
      </c>
      <c r="I450" s="125" t="str">
        <f t="array" ref="I450">IFNA(XLOOKUP($H450,'🙎‍♂️ Pasien'!$G$7:$G658,'🙎‍♂️ Pasien'!$H$7:$H658),"")</f>
        <v>R0125045992</v>
      </c>
      <c r="J450" s="125" t="str">
        <f t="array" ref="J450">IFNA(XLOOKUP($H450,'🙎‍♂️ Pasien'!$G$7:$G658,'🙎‍♂️ Pasien'!$L$7:$L658),"")</f>
        <v>PEREMPUAN</v>
      </c>
      <c r="K450" s="125">
        <f t="array" ref="K450">IFNA(XLOOKUP($H450,'🙎‍♂️ Pasien'!$G$7:$G658,'🙎‍♂️ Pasien'!$I$7:$I658),"")</f>
        <v>25</v>
      </c>
      <c r="L450" s="160" t="s">
        <v>91</v>
      </c>
      <c r="M450" s="162" t="str">
        <f t="array" ref="M450">IFNA(XLOOKUP(L450,'⚙️ Pengaturan'!$H$5:$H658,'⚙️ Pengaturan'!$I$5:$I658),"")</f>
        <v>TIM Y</v>
      </c>
      <c r="N450" s="160" t="s">
        <v>1132</v>
      </c>
      <c r="O450" s="160" t="s">
        <v>1139</v>
      </c>
      <c r="P450" s="153">
        <f t="shared" si="13"/>
        <v>5</v>
      </c>
      <c r="Q450" s="164">
        <v>45811.0</v>
      </c>
      <c r="R450" s="164">
        <v>45818.0</v>
      </c>
      <c r="S450" s="164">
        <v>45825.0</v>
      </c>
      <c r="T450" s="164">
        <v>45832.0</v>
      </c>
      <c r="U450" s="164">
        <v>45850.0</v>
      </c>
      <c r="V450" s="164"/>
      <c r="W450" s="164"/>
      <c r="X450" s="164"/>
      <c r="Y450" s="164"/>
      <c r="Z450" s="164"/>
      <c r="AA450" s="165">
        <f t="shared" si="20"/>
        <v>45850</v>
      </c>
      <c r="AB450" s="160" t="s">
        <v>1134</v>
      </c>
      <c r="AC450" s="160" t="s">
        <v>1135</v>
      </c>
      <c r="AD450" s="168" t="s">
        <v>806</v>
      </c>
      <c r="AE450" s="156">
        <f t="shared" si="21"/>
        <v>45850</v>
      </c>
      <c r="AF450" s="107" t="str">
        <f t="shared" si="22"/>
        <v>2025</v>
      </c>
      <c r="AG450" s="107" t="str">
        <f t="shared" si="23"/>
        <v>07 Jul</v>
      </c>
      <c r="AH450" s="107" t="str">
        <f t="shared" si="24"/>
        <v>Sab</v>
      </c>
      <c r="AI450" s="157">
        <f t="shared" si="25"/>
        <v>6</v>
      </c>
      <c r="AJ450" s="96"/>
      <c r="AK450" s="169"/>
      <c r="AL450" s="96"/>
      <c r="AM450" s="158">
        <f t="shared" si="12"/>
        <v>0</v>
      </c>
    </row>
    <row r="451" ht="22.5" customHeight="1">
      <c r="A451" s="167"/>
      <c r="B451" s="160" t="s">
        <v>134</v>
      </c>
      <c r="C451" s="160" t="s">
        <v>1131</v>
      </c>
      <c r="D451" s="161">
        <v>45866.0</v>
      </c>
      <c r="E451" s="124" t="str">
        <f t="shared" si="1"/>
        <v>2025</v>
      </c>
      <c r="F451" s="124" t="str">
        <f t="shared" si="2"/>
        <v>07 Jul</v>
      </c>
      <c r="G451" s="124" t="str">
        <f t="shared" si="3"/>
        <v>Senin</v>
      </c>
      <c r="H451" s="160" t="s">
        <v>204</v>
      </c>
      <c r="I451" s="125" t="str">
        <f t="array" ref="I451">IFNA(XLOOKUP($H451,'🙎‍♂️ Pasien'!$G$7:$G658,'🙎‍♂️ Pasien'!$H$7:$H658),"")</f>
        <v>R0125045992</v>
      </c>
      <c r="J451" s="125" t="str">
        <f t="array" ref="J451">IFNA(XLOOKUP($H451,'🙎‍♂️ Pasien'!$G$7:$G658,'🙎‍♂️ Pasien'!$L$7:$L658),"")</f>
        <v>PEREMPUAN</v>
      </c>
      <c r="K451" s="125">
        <f t="array" ref="K451">IFNA(XLOOKUP($H451,'🙎‍♂️ Pasien'!$G$7:$G658,'🙎‍♂️ Pasien'!$I$7:$I658),"")</f>
        <v>25</v>
      </c>
      <c r="L451" s="160" t="s">
        <v>91</v>
      </c>
      <c r="M451" s="162" t="str">
        <f t="array" ref="M451">IFNA(XLOOKUP(L451,'⚙️ Pengaturan'!$H$5:$H658,'⚙️ Pengaturan'!$I$5:$I658),"")</f>
        <v>TIM Y</v>
      </c>
      <c r="N451" s="163" t="s">
        <v>1132</v>
      </c>
      <c r="O451" s="160" t="s">
        <v>1139</v>
      </c>
      <c r="P451" s="153">
        <f t="shared" si="13"/>
        <v>5</v>
      </c>
      <c r="Q451" s="164">
        <v>45866.0</v>
      </c>
      <c r="R451" s="164">
        <v>45883.0</v>
      </c>
      <c r="S451" s="164">
        <v>45889.0</v>
      </c>
      <c r="T451" s="164">
        <v>45901.0</v>
      </c>
      <c r="U451" s="164">
        <v>45945.0</v>
      </c>
      <c r="V451" s="164"/>
      <c r="W451" s="164"/>
      <c r="X451" s="164"/>
      <c r="Y451" s="164"/>
      <c r="Z451" s="164"/>
      <c r="AA451" s="165">
        <f t="shared" si="20"/>
        <v>45945</v>
      </c>
      <c r="AB451" s="160" t="s">
        <v>1134</v>
      </c>
      <c r="AC451" s="160" t="s">
        <v>1135</v>
      </c>
      <c r="AD451" s="168" t="s">
        <v>997</v>
      </c>
      <c r="AE451" s="156">
        <f t="shared" si="21"/>
        <v>45945</v>
      </c>
      <c r="AF451" s="107" t="str">
        <f t="shared" si="22"/>
        <v>2025</v>
      </c>
      <c r="AG451" s="107" t="str">
        <f t="shared" si="23"/>
        <v>10 Okt</v>
      </c>
      <c r="AH451" s="107" t="str">
        <f t="shared" si="24"/>
        <v>Rab</v>
      </c>
      <c r="AI451" s="157">
        <f t="shared" si="25"/>
        <v>12</v>
      </c>
      <c r="AJ451" s="96"/>
      <c r="AK451" s="169"/>
      <c r="AL451" s="96"/>
      <c r="AM451" s="158">
        <f t="shared" si="12"/>
        <v>0</v>
      </c>
    </row>
    <row r="452" ht="22.5" customHeight="1">
      <c r="A452" s="167"/>
      <c r="B452" s="160" t="s">
        <v>54</v>
      </c>
      <c r="C452" s="160" t="s">
        <v>1131</v>
      </c>
      <c r="D452" s="173">
        <v>45902.0</v>
      </c>
      <c r="E452" s="124" t="str">
        <f t="shared" si="1"/>
        <v>2025</v>
      </c>
      <c r="F452" s="124" t="str">
        <f t="shared" si="2"/>
        <v>09 Sep</v>
      </c>
      <c r="G452" s="124" t="str">
        <f t="shared" si="3"/>
        <v>Selasa</v>
      </c>
      <c r="H452" s="160" t="s">
        <v>1388</v>
      </c>
      <c r="I452" s="125" t="str">
        <f t="array" ref="I452">IFNA(XLOOKUP($H452,'🙎‍♂️ Pasien'!$G$7:$G658,'🙎‍♂️ Pasien'!$H$7:$H658),"")</f>
        <v>R0525089466</v>
      </c>
      <c r="J452" s="125" t="str">
        <f t="array" ref="J452">IFNA(XLOOKUP($H452,'🙎‍♂️ Pasien'!$G$7:$G658,'🙎‍♂️ Pasien'!$L$7:$L658),"")</f>
        <v>LAKI-LAKI</v>
      </c>
      <c r="K452" s="125">
        <f t="array" ref="K452">IFNA(XLOOKUP($H452,'🙎‍♂️ Pasien'!$G$7:$G658,'🙎‍♂️ Pasien'!$I$7:$I658),"")</f>
        <v>21</v>
      </c>
      <c r="L452" s="160" t="s">
        <v>88</v>
      </c>
      <c r="M452" s="162" t="str">
        <f t="array" ref="M452">IFNA(XLOOKUP(L452,'⚙️ Pengaturan'!$H$5:$H658,'⚙️ Pengaturan'!$I$5:$I658),"")</f>
        <v>TIM Y</v>
      </c>
      <c r="N452" s="160" t="s">
        <v>1132</v>
      </c>
      <c r="O452" s="160" t="s">
        <v>1133</v>
      </c>
      <c r="P452" s="153">
        <f t="shared" si="13"/>
        <v>5</v>
      </c>
      <c r="Q452" s="164">
        <v>45902.0</v>
      </c>
      <c r="R452" s="164">
        <v>45904.0</v>
      </c>
      <c r="S452" s="164">
        <v>45907.0</v>
      </c>
      <c r="T452" s="164">
        <v>45909.0</v>
      </c>
      <c r="U452" s="164">
        <v>45911.0</v>
      </c>
      <c r="V452" s="164"/>
      <c r="W452" s="164"/>
      <c r="X452" s="164"/>
      <c r="Y452" s="164"/>
      <c r="Z452" s="164"/>
      <c r="AA452" s="165">
        <f t="shared" si="20"/>
        <v>45911</v>
      </c>
      <c r="AB452" s="160" t="s">
        <v>1134</v>
      </c>
      <c r="AC452" s="160" t="s">
        <v>1138</v>
      </c>
      <c r="AD452" s="166"/>
      <c r="AE452" s="156">
        <f t="shared" si="21"/>
        <v>45911</v>
      </c>
      <c r="AF452" s="107" t="str">
        <f t="shared" si="22"/>
        <v>2025</v>
      </c>
      <c r="AG452" s="107" t="str">
        <f t="shared" si="23"/>
        <v>09 Sep</v>
      </c>
      <c r="AH452" s="107" t="str">
        <f t="shared" si="24"/>
        <v>Kam</v>
      </c>
      <c r="AI452" s="157">
        <f t="shared" si="25"/>
        <v>2</v>
      </c>
      <c r="AJ452" s="96"/>
      <c r="AK452" s="169"/>
      <c r="AL452" s="96"/>
      <c r="AM452" s="158">
        <f t="shared" si="12"/>
        <v>0</v>
      </c>
    </row>
    <row r="453" ht="22.5" customHeight="1">
      <c r="A453" s="167"/>
      <c r="B453" s="160" t="s">
        <v>54</v>
      </c>
      <c r="C453" s="160" t="s">
        <v>1131</v>
      </c>
      <c r="D453" s="161">
        <v>45959.0</v>
      </c>
      <c r="E453" s="124" t="str">
        <f t="shared" si="1"/>
        <v>2025</v>
      </c>
      <c r="F453" s="124" t="str">
        <f t="shared" si="2"/>
        <v>10 Okt</v>
      </c>
      <c r="G453" s="124" t="str">
        <f t="shared" si="3"/>
        <v>Rabu</v>
      </c>
      <c r="H453" s="160" t="s">
        <v>397</v>
      </c>
      <c r="I453" s="125" t="str">
        <f t="array" ref="I453">IFNA(XLOOKUP($H453,'🙎‍♂️ Pasien'!$G$7:$G658,'🙎‍♂️ Pasien'!$H$7:$H658),"")</f>
        <v>R1325084646</v>
      </c>
      <c r="J453" s="125" t="str">
        <f t="array" ref="J453">IFNA(XLOOKUP($H453,'🙎‍♂️ Pasien'!$G$7:$G658,'🙎‍♂️ Pasien'!$L$7:$L658),"")</f>
        <v>LAKI-LAKI</v>
      </c>
      <c r="K453" s="125">
        <f t="array" ref="K453">IFNA(XLOOKUP($H453,'🙎‍♂️ Pasien'!$G$7:$G658,'🙎‍♂️ Pasien'!$I$7:$I658),"")</f>
        <v>13</v>
      </c>
      <c r="L453" s="160" t="s">
        <v>91</v>
      </c>
      <c r="M453" s="162" t="str">
        <f t="array" ref="M453">IFNA(XLOOKUP(L453,'⚙️ Pengaturan'!$H$5:$H658,'⚙️ Pengaturan'!$I$5:$I658),"")</f>
        <v>TIM Y</v>
      </c>
      <c r="N453" s="163" t="s">
        <v>1132</v>
      </c>
      <c r="O453" s="160" t="s">
        <v>1133</v>
      </c>
      <c r="P453" s="153">
        <f t="shared" si="13"/>
        <v>5</v>
      </c>
      <c r="Q453" s="164">
        <v>45959.0</v>
      </c>
      <c r="R453" s="164">
        <v>45961.0</v>
      </c>
      <c r="S453" s="164">
        <v>45964.0</v>
      </c>
      <c r="T453" s="164">
        <v>45967.0</v>
      </c>
      <c r="U453" s="164">
        <v>45970.0</v>
      </c>
      <c r="V453" s="164"/>
      <c r="W453" s="164"/>
      <c r="X453" s="164"/>
      <c r="Y453" s="164"/>
      <c r="Z453" s="164"/>
      <c r="AA453" s="165">
        <f t="shared" si="20"/>
        <v>45970</v>
      </c>
      <c r="AB453" s="160" t="s">
        <v>1134</v>
      </c>
      <c r="AC453" s="172"/>
      <c r="AD453" s="166"/>
      <c r="AE453" s="156">
        <f t="shared" si="21"/>
        <v>45970</v>
      </c>
      <c r="AF453" s="107" t="str">
        <f t="shared" si="22"/>
        <v>2025</v>
      </c>
      <c r="AG453" s="107" t="str">
        <f t="shared" si="23"/>
        <v>11 Nov</v>
      </c>
      <c r="AH453" s="107" t="str">
        <f t="shared" si="24"/>
        <v>Min</v>
      </c>
      <c r="AI453" s="157">
        <f t="shared" si="25"/>
        <v>2</v>
      </c>
      <c r="AJ453" s="96"/>
      <c r="AK453" s="169"/>
      <c r="AL453" s="96"/>
      <c r="AM453" s="158">
        <f t="shared" si="12"/>
        <v>0</v>
      </c>
    </row>
    <row r="454" ht="22.5" customHeight="1">
      <c r="A454" s="167"/>
      <c r="B454" s="171"/>
      <c r="C454" s="171"/>
      <c r="D454" s="161">
        <v>45650.0</v>
      </c>
      <c r="E454" s="124" t="str">
        <f t="shared" si="1"/>
        <v>2024</v>
      </c>
      <c r="F454" s="124" t="str">
        <f t="shared" si="2"/>
        <v>12 Des</v>
      </c>
      <c r="G454" s="124" t="str">
        <f t="shared" si="3"/>
        <v>Selasa</v>
      </c>
      <c r="H454" s="16" t="s">
        <v>1389</v>
      </c>
      <c r="I454" s="125" t="str">
        <f t="array" ref="I454">IFNA(XLOOKUP($H454,'🙎‍♂️ Pasien'!$G$7:$G658,'🙎‍♂️ Pasien'!$H$7:$H658),"")</f>
        <v>R0124040528</v>
      </c>
      <c r="J454" s="125" t="str">
        <f t="array" ref="J454">IFNA(XLOOKUP($H454,'🙎‍♂️ Pasien'!$G$7:$G658,'🙎‍♂️ Pasien'!$L$7:$L658),"")</f>
        <v>LAKI-LAKI</v>
      </c>
      <c r="K454" s="125">
        <f t="array" ref="K454">IFNA(XLOOKUP($H454,'🙎‍♂️ Pasien'!$G$7:$G658,'🙎‍♂️ Pasien'!$I$7:$I658),"")</f>
        <v>25</v>
      </c>
      <c r="L454" s="16" t="s">
        <v>1149</v>
      </c>
      <c r="M454" s="125" t="str">
        <f t="array" ref="M454">IFNA(XLOOKUP(L454,'⚙️ Pengaturan'!$H$5:$H658,'⚙️ Pengaturan'!$I$5:$I658),"")</f>
        <v/>
      </c>
      <c r="N454" s="16" t="s">
        <v>1132</v>
      </c>
      <c r="O454" s="16" t="s">
        <v>1139</v>
      </c>
      <c r="P454" s="153">
        <f t="shared" si="13"/>
        <v>4</v>
      </c>
      <c r="Q454" s="154">
        <v>45653.0</v>
      </c>
      <c r="R454" s="154">
        <v>45661.0</v>
      </c>
      <c r="S454" s="154">
        <v>45662.0</v>
      </c>
      <c r="T454" s="154">
        <v>45687.0</v>
      </c>
      <c r="U454" s="154"/>
      <c r="V454" s="154"/>
      <c r="W454" s="154"/>
      <c r="X454" s="154"/>
      <c r="Y454" s="154"/>
      <c r="Z454" s="154"/>
      <c r="AA454" s="155">
        <f t="shared" si="20"/>
        <v>45687</v>
      </c>
      <c r="AB454" s="16" t="s">
        <v>1144</v>
      </c>
      <c r="AC454" s="20"/>
      <c r="AD454" s="170"/>
      <c r="AE454" s="156" t="str">
        <f t="shared" si="21"/>
        <v/>
      </c>
      <c r="AF454" s="107" t="str">
        <f t="shared" si="22"/>
        <v/>
      </c>
      <c r="AG454" s="107" t="str">
        <f t="shared" si="23"/>
        <v/>
      </c>
      <c r="AH454" s="107" t="str">
        <f t="shared" si="24"/>
        <v/>
      </c>
      <c r="AI454" s="157">
        <f t="shared" si="25"/>
        <v>76</v>
      </c>
      <c r="AJ454" s="96"/>
      <c r="AK454" s="169"/>
      <c r="AL454" s="96"/>
      <c r="AM454" s="158">
        <f t="shared" si="12"/>
        <v>0</v>
      </c>
    </row>
    <row r="455" ht="22.5" customHeight="1">
      <c r="A455" s="167"/>
      <c r="B455" s="160" t="s">
        <v>54</v>
      </c>
      <c r="C455" s="172"/>
      <c r="D455" s="161">
        <v>45812.0</v>
      </c>
      <c r="E455" s="124" t="str">
        <f t="shared" si="1"/>
        <v>2025</v>
      </c>
      <c r="F455" s="124" t="str">
        <f t="shared" si="2"/>
        <v>06 Jun</v>
      </c>
      <c r="G455" s="124" t="str">
        <f t="shared" si="3"/>
        <v>Rabu</v>
      </c>
      <c r="H455" s="160" t="s">
        <v>1390</v>
      </c>
      <c r="I455" s="125" t="str">
        <f t="array" ref="I455">IFNA(XLOOKUP($H455,'🙎‍♂️ Pasien'!$G$7:$G658,'🙎‍♂️ Pasien'!$H$7:$H658),"")</f>
        <v>R9425066090</v>
      </c>
      <c r="J455" s="125" t="str">
        <f t="array" ref="J455">IFNA(XLOOKUP($H455,'🙎‍♂️ Pasien'!$G$7:$G658,'🙎‍♂️ Pasien'!$L$7:$L658),"")</f>
        <v>LAKI-LAKI</v>
      </c>
      <c r="K455" s="125">
        <f t="array" ref="K455">IFNA(XLOOKUP($H455,'🙎‍♂️ Pasien'!$G$7:$G658,'🙎‍♂️ Pasien'!$I$7:$I658),"")</f>
        <v>31</v>
      </c>
      <c r="L455" s="160" t="s">
        <v>56</v>
      </c>
      <c r="M455" s="162" t="str">
        <f t="array" ref="M455">IFNA(XLOOKUP(L455,'⚙️ Pengaturan'!$H$5:$H658,'⚙️ Pengaturan'!$I$5:$I658),"")</f>
        <v>TIM Y</v>
      </c>
      <c r="N455" s="160" t="s">
        <v>1132</v>
      </c>
      <c r="O455" s="160" t="s">
        <v>1133</v>
      </c>
      <c r="P455" s="153">
        <f t="shared" si="13"/>
        <v>3</v>
      </c>
      <c r="Q455" s="164">
        <v>45815.0</v>
      </c>
      <c r="R455" s="164">
        <v>45819.0</v>
      </c>
      <c r="S455" s="164">
        <v>45823.0</v>
      </c>
      <c r="T455" s="164"/>
      <c r="U455" s="164"/>
      <c r="V455" s="164"/>
      <c r="W455" s="164"/>
      <c r="X455" s="164"/>
      <c r="Y455" s="164"/>
      <c r="Z455" s="164"/>
      <c r="AA455" s="165">
        <f t="shared" si="20"/>
        <v>45823</v>
      </c>
      <c r="AB455" s="160" t="s">
        <v>1144</v>
      </c>
      <c r="AC455" s="174"/>
      <c r="AD455" s="166"/>
      <c r="AE455" s="156" t="str">
        <f t="shared" si="21"/>
        <v/>
      </c>
      <c r="AF455" s="107" t="str">
        <f t="shared" si="22"/>
        <v/>
      </c>
      <c r="AG455" s="107" t="str">
        <f t="shared" si="23"/>
        <v/>
      </c>
      <c r="AH455" s="107" t="str">
        <f t="shared" si="24"/>
        <v/>
      </c>
      <c r="AI455" s="157">
        <f t="shared" si="25"/>
        <v>53</v>
      </c>
      <c r="AJ455" s="96"/>
      <c r="AK455" s="169"/>
      <c r="AL455" s="96"/>
      <c r="AM455" s="158">
        <f t="shared" si="12"/>
        <v>0</v>
      </c>
    </row>
    <row r="456" ht="22.5" customHeight="1">
      <c r="A456" s="167"/>
      <c r="B456" s="16" t="s">
        <v>54</v>
      </c>
      <c r="C456" s="16" t="s">
        <v>1131</v>
      </c>
      <c r="D456" s="123">
        <v>45963.0</v>
      </c>
      <c r="E456" s="124" t="str">
        <f t="shared" si="1"/>
        <v>2025</v>
      </c>
      <c r="F456" s="124" t="str">
        <f t="shared" si="2"/>
        <v>11 Nov</v>
      </c>
      <c r="G456" s="124" t="str">
        <f t="shared" si="3"/>
        <v>Minggu</v>
      </c>
      <c r="H456" s="16" t="s">
        <v>414</v>
      </c>
      <c r="I456" s="125" t="str">
        <f t="array" ref="I456">IFNA(XLOOKUP($H456,'🙎‍♂️ Pasien'!$G$7:$G658,'🙎‍♂️ Pasien'!$H$7:$H658),"")</f>
        <v>R8723125757</v>
      </c>
      <c r="J456" s="125" t="str">
        <f t="array" ref="J456">IFNA(XLOOKUP($H456,'🙎‍♂️ Pasien'!$G$7:$G658,'🙎‍♂️ Pasien'!$L$7:$L658),"")</f>
        <v>LAKI-LAKI</v>
      </c>
      <c r="K456" s="125">
        <f t="array" ref="K456">IFNA(XLOOKUP($H456,'🙎‍♂️ Pasien'!$G$7:$G658,'🙎‍♂️ Pasien'!$I$7:$I658),"")</f>
        <v>39</v>
      </c>
      <c r="L456" s="16" t="s">
        <v>72</v>
      </c>
      <c r="M456" s="125" t="str">
        <f t="array" ref="M456">IFNA(XLOOKUP(L456,'⚙️ Pengaturan'!$H$5:$H658,'⚙️ Pengaturan'!$I$5:$I658),"")</f>
        <v>TIM A</v>
      </c>
      <c r="N456" s="16" t="s">
        <v>1132</v>
      </c>
      <c r="O456" s="16" t="s">
        <v>1133</v>
      </c>
      <c r="P456" s="153">
        <f t="shared" si="13"/>
        <v>5</v>
      </c>
      <c r="Q456" s="154">
        <v>45963.0</v>
      </c>
      <c r="R456" s="154">
        <v>45965.0</v>
      </c>
      <c r="S456" s="154">
        <v>45987.0</v>
      </c>
      <c r="T456" s="154">
        <v>45992.0</v>
      </c>
      <c r="U456" s="154">
        <v>45994.0</v>
      </c>
      <c r="V456" s="154"/>
      <c r="W456" s="154"/>
      <c r="X456" s="154"/>
      <c r="Y456" s="154"/>
      <c r="Z456" s="154"/>
      <c r="AA456" s="155">
        <f t="shared" si="20"/>
        <v>45994</v>
      </c>
      <c r="AB456" s="16" t="s">
        <v>1134</v>
      </c>
      <c r="AC456" s="20"/>
      <c r="AD456" s="170"/>
      <c r="AE456" s="156">
        <f t="shared" si="21"/>
        <v>45994</v>
      </c>
      <c r="AF456" s="107" t="str">
        <f t="shared" si="22"/>
        <v>2025</v>
      </c>
      <c r="AG456" s="107" t="str">
        <f t="shared" si="23"/>
        <v>12 Des</v>
      </c>
      <c r="AH456" s="107" t="str">
        <f t="shared" si="24"/>
        <v>Rab</v>
      </c>
      <c r="AI456" s="157">
        <f t="shared" si="25"/>
        <v>5</v>
      </c>
      <c r="AJ456" s="96"/>
      <c r="AK456" s="169"/>
      <c r="AL456" s="96"/>
      <c r="AM456" s="158">
        <f t="shared" si="12"/>
        <v>0</v>
      </c>
    </row>
    <row r="457" ht="22.5" customHeight="1">
      <c r="A457" s="167"/>
      <c r="B457" s="160" t="s">
        <v>86</v>
      </c>
      <c r="C457" s="160" t="s">
        <v>1131</v>
      </c>
      <c r="D457" s="161">
        <v>45855.0</v>
      </c>
      <c r="E457" s="124" t="str">
        <f t="shared" si="1"/>
        <v>2025</v>
      </c>
      <c r="F457" s="124" t="str">
        <f t="shared" si="2"/>
        <v>07 Jul</v>
      </c>
      <c r="G457" s="124" t="str">
        <f t="shared" si="3"/>
        <v>Kamis</v>
      </c>
      <c r="H457" s="160" t="s">
        <v>1391</v>
      </c>
      <c r="I457" s="125" t="str">
        <f t="array" ref="I457">IFNA(XLOOKUP($H457,'🙎‍♂️ Pasien'!$G$7:$G658,'🙎‍♂️ Pasien'!$H$7:$H658),"")</f>
        <v>R0225070099</v>
      </c>
      <c r="J457" s="125" t="str">
        <f t="array" ref="J457">IFNA(XLOOKUP($H457,'🙎‍♂️ Pasien'!$G$7:$G658,'🙎‍♂️ Pasien'!$L$7:$L658),"")</f>
        <v>LAKI-LAKI</v>
      </c>
      <c r="K457" s="125">
        <f t="array" ref="K457">IFNA(XLOOKUP($H457,'🙎‍♂️ Pasien'!$G$7:$G658,'🙎‍♂️ Pasien'!$I$7:$I658),"")</f>
        <v>24</v>
      </c>
      <c r="L457" s="160" t="s">
        <v>56</v>
      </c>
      <c r="M457" s="162" t="str">
        <f t="array" ref="M457">IFNA(XLOOKUP(L457,'⚙️ Pengaturan'!$H$5:$H658,'⚙️ Pengaturan'!$I$5:$I658),"")</f>
        <v>TIM Y</v>
      </c>
      <c r="N457" s="163" t="s">
        <v>1132</v>
      </c>
      <c r="O457" s="160" t="s">
        <v>1133</v>
      </c>
      <c r="P457" s="153">
        <f t="shared" si="13"/>
        <v>5</v>
      </c>
      <c r="Q457" s="164">
        <v>45855.0</v>
      </c>
      <c r="R457" s="164">
        <v>45857.0</v>
      </c>
      <c r="S457" s="164">
        <v>45859.0</v>
      </c>
      <c r="T457" s="164">
        <v>45861.0</v>
      </c>
      <c r="U457" s="164">
        <v>45867.0</v>
      </c>
      <c r="V457" s="164"/>
      <c r="W457" s="164"/>
      <c r="X457" s="164"/>
      <c r="Y457" s="164"/>
      <c r="Z457" s="164"/>
      <c r="AA457" s="165">
        <f t="shared" si="20"/>
        <v>45867</v>
      </c>
      <c r="AB457" s="160" t="s">
        <v>1144</v>
      </c>
      <c r="AC457" s="174"/>
      <c r="AD457" s="168" t="s">
        <v>1392</v>
      </c>
      <c r="AE457" s="156">
        <f t="shared" si="21"/>
        <v>45867</v>
      </c>
      <c r="AF457" s="107" t="str">
        <f t="shared" si="22"/>
        <v>2025</v>
      </c>
      <c r="AG457" s="107" t="str">
        <f t="shared" si="23"/>
        <v>07 Jul</v>
      </c>
      <c r="AH457" s="107" t="str">
        <f t="shared" si="24"/>
        <v>Sel</v>
      </c>
      <c r="AI457" s="157">
        <f t="shared" si="25"/>
        <v>2</v>
      </c>
      <c r="AJ457" s="96"/>
      <c r="AK457" s="169"/>
      <c r="AL457" s="96"/>
      <c r="AM457" s="158">
        <f t="shared" si="12"/>
        <v>0</v>
      </c>
    </row>
    <row r="458" ht="22.5" customHeight="1">
      <c r="A458" s="167"/>
      <c r="B458" s="160" t="s">
        <v>86</v>
      </c>
      <c r="C458" s="160" t="s">
        <v>1131</v>
      </c>
      <c r="D458" s="161">
        <v>45857.0</v>
      </c>
      <c r="E458" s="124" t="str">
        <f t="shared" si="1"/>
        <v>2025</v>
      </c>
      <c r="F458" s="124" t="str">
        <f t="shared" si="2"/>
        <v>07 Jul</v>
      </c>
      <c r="G458" s="124" t="str">
        <f t="shared" si="3"/>
        <v>Sabtu</v>
      </c>
      <c r="H458" s="160" t="s">
        <v>1393</v>
      </c>
      <c r="I458" s="125" t="str">
        <f t="array" ref="I458">IFNA(XLOOKUP($H458,'🙎‍♂️ Pasien'!$G$7:$G658,'🙎‍♂️ Pasien'!$H$7:$H658),"")</f>
        <v/>
      </c>
      <c r="J458" s="125" t="str">
        <f t="array" ref="J458">IFNA(XLOOKUP($H458,'🙎‍♂️ Pasien'!$G$7:$G658,'🙎‍♂️ Pasien'!$L$7:$L658),"")</f>
        <v/>
      </c>
      <c r="K458" s="125" t="str">
        <f t="array" ref="K458">IFNA(XLOOKUP($H458,'🙎‍♂️ Pasien'!$G$7:$G658,'🙎‍♂️ Pasien'!$I$7:$I658),"")</f>
        <v/>
      </c>
      <c r="L458" s="160" t="s">
        <v>79</v>
      </c>
      <c r="M458" s="162" t="str">
        <f t="array" ref="M458">IFNA(XLOOKUP(L458,'⚙️ Pengaturan'!$H$5:$H658,'⚙️ Pengaturan'!$I$5:$I658),"")</f>
        <v>TIM A</v>
      </c>
      <c r="N458" s="163" t="s">
        <v>1132</v>
      </c>
      <c r="O458" s="160" t="s">
        <v>1133</v>
      </c>
      <c r="P458" s="153">
        <f t="shared" si="13"/>
        <v>5</v>
      </c>
      <c r="Q458" s="164">
        <v>45857.0</v>
      </c>
      <c r="R458" s="164">
        <v>45858.0</v>
      </c>
      <c r="S458" s="164">
        <v>45865.0</v>
      </c>
      <c r="T458" s="164">
        <v>45867.0</v>
      </c>
      <c r="U458" s="164">
        <v>45869.0</v>
      </c>
      <c r="V458" s="164"/>
      <c r="W458" s="164"/>
      <c r="X458" s="164"/>
      <c r="Y458" s="164"/>
      <c r="Z458" s="164"/>
      <c r="AA458" s="165">
        <f t="shared" si="20"/>
        <v>45869</v>
      </c>
      <c r="AB458" s="160" t="s">
        <v>1134</v>
      </c>
      <c r="AC458" s="160" t="s">
        <v>1138</v>
      </c>
      <c r="AD458" s="166"/>
      <c r="AE458" s="156">
        <f t="shared" si="21"/>
        <v>45869</v>
      </c>
      <c r="AF458" s="107" t="str">
        <f t="shared" si="22"/>
        <v>2025</v>
      </c>
      <c r="AG458" s="107" t="str">
        <f t="shared" si="23"/>
        <v>07 Jul</v>
      </c>
      <c r="AH458" s="107" t="str">
        <f t="shared" si="24"/>
        <v>Kam</v>
      </c>
      <c r="AI458" s="157">
        <f t="shared" si="25"/>
        <v>2</v>
      </c>
      <c r="AJ458" s="96"/>
      <c r="AK458" s="169"/>
      <c r="AL458" s="96"/>
      <c r="AM458" s="158">
        <f t="shared" si="12"/>
        <v>0</v>
      </c>
    </row>
    <row r="459" ht="22.5" customHeight="1">
      <c r="A459" s="167"/>
      <c r="B459" s="160" t="s">
        <v>134</v>
      </c>
      <c r="C459" s="160" t="s">
        <v>1131</v>
      </c>
      <c r="D459" s="161">
        <v>45872.0</v>
      </c>
      <c r="E459" s="124" t="str">
        <f t="shared" si="1"/>
        <v>2025</v>
      </c>
      <c r="F459" s="124" t="str">
        <f t="shared" si="2"/>
        <v>08 Agu</v>
      </c>
      <c r="G459" s="124" t="str">
        <f t="shared" si="3"/>
        <v>Minggu</v>
      </c>
      <c r="H459" s="160" t="s">
        <v>1393</v>
      </c>
      <c r="I459" s="125" t="str">
        <f t="array" ref="I459">IFNA(XLOOKUP($H459,'🙎‍♂️ Pasien'!$G$7:$G658,'🙎‍♂️ Pasien'!$H$7:$H658),"")</f>
        <v/>
      </c>
      <c r="J459" s="125" t="str">
        <f t="array" ref="J459">IFNA(XLOOKUP($H459,'🙎‍♂️ Pasien'!$G$7:$G658,'🙎‍♂️ Pasien'!$L$7:$L658),"")</f>
        <v/>
      </c>
      <c r="K459" s="125" t="str">
        <f t="array" ref="K459">IFNA(XLOOKUP($H459,'🙎‍♂️ Pasien'!$G$7:$G658,'🙎‍♂️ Pasien'!$I$7:$I658),"")</f>
        <v/>
      </c>
      <c r="L459" s="160" t="s">
        <v>79</v>
      </c>
      <c r="M459" s="162" t="str">
        <f t="array" ref="M459">IFNA(XLOOKUP(L459,'⚙️ Pengaturan'!$H$5:$H658,'⚙️ Pengaturan'!$I$5:$I658),"")</f>
        <v>TIM A</v>
      </c>
      <c r="N459" s="163" t="s">
        <v>1132</v>
      </c>
      <c r="O459" s="160" t="s">
        <v>1133</v>
      </c>
      <c r="P459" s="153">
        <f t="shared" si="13"/>
        <v>2</v>
      </c>
      <c r="Q459" s="164">
        <v>45872.0</v>
      </c>
      <c r="R459" s="164">
        <v>45874.0</v>
      </c>
      <c r="S459" s="164"/>
      <c r="T459" s="164"/>
      <c r="U459" s="164"/>
      <c r="V459" s="164"/>
      <c r="W459" s="164"/>
      <c r="X459" s="164"/>
      <c r="Y459" s="164"/>
      <c r="Z459" s="164"/>
      <c r="AA459" s="165">
        <f t="shared" si="20"/>
        <v>45874</v>
      </c>
      <c r="AB459" s="160" t="s">
        <v>1144</v>
      </c>
      <c r="AC459" s="174"/>
      <c r="AD459" s="166"/>
      <c r="AE459" s="156" t="str">
        <f t="shared" si="21"/>
        <v/>
      </c>
      <c r="AF459" s="107" t="str">
        <f t="shared" si="22"/>
        <v/>
      </c>
      <c r="AG459" s="107" t="str">
        <f t="shared" si="23"/>
        <v/>
      </c>
      <c r="AH459" s="107" t="str">
        <f t="shared" si="24"/>
        <v/>
      </c>
      <c r="AI459" s="157">
        <f t="shared" si="25"/>
        <v>45</v>
      </c>
      <c r="AJ459" s="96"/>
      <c r="AK459" s="169"/>
      <c r="AL459" s="96"/>
      <c r="AM459" s="158">
        <f t="shared" si="12"/>
        <v>0</v>
      </c>
    </row>
    <row r="460" ht="22.5" customHeight="1">
      <c r="A460" s="167"/>
      <c r="B460" s="160" t="s">
        <v>54</v>
      </c>
      <c r="C460" s="160" t="s">
        <v>1131</v>
      </c>
      <c r="D460" s="161">
        <v>45917.0</v>
      </c>
      <c r="E460" s="124" t="str">
        <f t="shared" si="1"/>
        <v>2025</v>
      </c>
      <c r="F460" s="124" t="str">
        <f t="shared" si="2"/>
        <v>09 Sep</v>
      </c>
      <c r="G460" s="124" t="str">
        <f t="shared" si="3"/>
        <v>Rabu</v>
      </c>
      <c r="H460" s="160" t="s">
        <v>1394</v>
      </c>
      <c r="I460" s="125" t="str">
        <f t="array" ref="I460">IFNA(XLOOKUP($H460,'🙎‍♂️ Pasien'!$G$7:$G658,'🙎‍♂️ Pasien'!$H$7:$H658),"")</f>
        <v>R9425021905</v>
      </c>
      <c r="J460" s="125" t="str">
        <f t="array" ref="J460">IFNA(XLOOKUP($H460,'🙎‍♂️ Pasien'!$G$7:$G658,'🙎‍♂️ Pasien'!$L$7:$L658),"")</f>
        <v>LAKI-LAKI</v>
      </c>
      <c r="K460" s="125">
        <f t="array" ref="K460">IFNA(XLOOKUP($H460,'🙎‍♂️ Pasien'!$G$7:$G658,'🙎‍♂️ Pasien'!$I$7:$I658),"")</f>
        <v>32</v>
      </c>
      <c r="L460" s="160" t="s">
        <v>79</v>
      </c>
      <c r="M460" s="162" t="str">
        <f t="array" ref="M460">IFNA(XLOOKUP(L460,'⚙️ Pengaturan'!$H$5:$H658,'⚙️ Pengaturan'!$I$5:$I658),"")</f>
        <v>TIM A</v>
      </c>
      <c r="N460" s="163" t="s">
        <v>1132</v>
      </c>
      <c r="O460" s="160" t="s">
        <v>1139</v>
      </c>
      <c r="P460" s="153">
        <f t="shared" si="13"/>
        <v>5</v>
      </c>
      <c r="Q460" s="164">
        <v>45917.0</v>
      </c>
      <c r="R460" s="164">
        <v>45923.0</v>
      </c>
      <c r="S460" s="164">
        <v>45924.0</v>
      </c>
      <c r="T460" s="164">
        <v>45927.0</v>
      </c>
      <c r="U460" s="164">
        <v>45929.0</v>
      </c>
      <c r="V460" s="164"/>
      <c r="W460" s="164"/>
      <c r="X460" s="164"/>
      <c r="Y460" s="164"/>
      <c r="Z460" s="164"/>
      <c r="AA460" s="165">
        <f t="shared" si="20"/>
        <v>45929</v>
      </c>
      <c r="AB460" s="160" t="s">
        <v>1144</v>
      </c>
      <c r="AC460" s="172"/>
      <c r="AD460" s="166"/>
      <c r="AE460" s="156">
        <f t="shared" si="21"/>
        <v>45929</v>
      </c>
      <c r="AF460" s="107" t="str">
        <f t="shared" si="22"/>
        <v>2025</v>
      </c>
      <c r="AG460" s="107" t="str">
        <f t="shared" si="23"/>
        <v>09 Sep</v>
      </c>
      <c r="AH460" s="107" t="str">
        <f t="shared" si="24"/>
        <v>Sen</v>
      </c>
      <c r="AI460" s="157">
        <f t="shared" si="25"/>
        <v>2</v>
      </c>
      <c r="AJ460" s="96"/>
      <c r="AK460" s="169"/>
      <c r="AL460" s="96"/>
      <c r="AM460" s="158">
        <f t="shared" si="12"/>
        <v>0</v>
      </c>
    </row>
    <row r="461" ht="22.5" customHeight="1">
      <c r="A461" s="167"/>
      <c r="B461" s="160" t="s">
        <v>86</v>
      </c>
      <c r="C461" s="160" t="s">
        <v>1131</v>
      </c>
      <c r="D461" s="173">
        <v>46015.0</v>
      </c>
      <c r="E461" s="124" t="str">
        <f t="shared" si="1"/>
        <v>2025</v>
      </c>
      <c r="F461" s="124" t="str">
        <f t="shared" si="2"/>
        <v>12 Des</v>
      </c>
      <c r="G461" s="124" t="str">
        <f t="shared" si="3"/>
        <v>Rabu</v>
      </c>
      <c r="H461" s="160" t="s">
        <v>778</v>
      </c>
      <c r="I461" s="125" t="str">
        <f t="array" ref="I461">IFNA(XLOOKUP($H461,'🙎‍♂️ Pasien'!$G$7:$G658,'🙎‍♂️ Pasien'!$H$7:$H658),"")</f>
        <v>R9525121510</v>
      </c>
      <c r="J461" s="125" t="str">
        <f t="array" ref="J461">IFNA(XLOOKUP($H461,'🙎‍♂️ Pasien'!$G$7:$G658,'🙎‍♂️ Pasien'!$L$7:$L658),"")</f>
        <v>LAKI-LAKI</v>
      </c>
      <c r="K461" s="125">
        <f t="array" ref="K461">IFNA(XLOOKUP($H461,'🙎‍♂️ Pasien'!$G$7:$G658,'🙎‍♂️ Pasien'!$I$7:$I658),"")</f>
        <v>30</v>
      </c>
      <c r="L461" s="160" t="s">
        <v>88</v>
      </c>
      <c r="M461" s="162" t="str">
        <f t="array" ref="M461">IFNA(XLOOKUP(L461,'⚙️ Pengaturan'!$H$5:$H658,'⚙️ Pengaturan'!$I$5:$I658),"")</f>
        <v>TIM Y</v>
      </c>
      <c r="N461" s="160" t="s">
        <v>1137</v>
      </c>
      <c r="O461" s="160" t="s">
        <v>1133</v>
      </c>
      <c r="P461" s="153">
        <f t="shared" si="13"/>
        <v>2</v>
      </c>
      <c r="Q461" s="164">
        <v>46018.0</v>
      </c>
      <c r="R461" s="164">
        <v>46019.0</v>
      </c>
      <c r="S461" s="164"/>
      <c r="T461" s="164"/>
      <c r="U461" s="164"/>
      <c r="V461" s="164"/>
      <c r="W461" s="164"/>
      <c r="X461" s="164"/>
      <c r="Y461" s="164"/>
      <c r="Z461" s="164"/>
      <c r="AA461" s="165">
        <f t="shared" si="20"/>
        <v>46019</v>
      </c>
      <c r="AB461" s="160" t="s">
        <v>1144</v>
      </c>
      <c r="AC461" s="174"/>
      <c r="AD461" s="166"/>
      <c r="AE461" s="156" t="str">
        <f t="shared" si="21"/>
        <v/>
      </c>
      <c r="AF461" s="107" t="str">
        <f t="shared" si="22"/>
        <v/>
      </c>
      <c r="AG461" s="107" t="str">
        <f t="shared" si="23"/>
        <v/>
      </c>
      <c r="AH461" s="107" t="str">
        <f t="shared" si="24"/>
        <v/>
      </c>
      <c r="AI461" s="157">
        <f t="shared" si="25"/>
        <v>24</v>
      </c>
      <c r="AJ461" s="96"/>
      <c r="AK461" s="169"/>
      <c r="AL461" s="96"/>
      <c r="AM461" s="158">
        <f t="shared" si="12"/>
        <v>1</v>
      </c>
    </row>
    <row r="462" ht="22.5" customHeight="1">
      <c r="A462" s="167"/>
      <c r="B462" s="160" t="s">
        <v>54</v>
      </c>
      <c r="C462" s="160" t="s">
        <v>1170</v>
      </c>
      <c r="D462" s="173">
        <v>46019.0</v>
      </c>
      <c r="E462" s="124" t="str">
        <f t="shared" si="1"/>
        <v>2025</v>
      </c>
      <c r="F462" s="124" t="str">
        <f t="shared" si="2"/>
        <v>12 Des</v>
      </c>
      <c r="G462" s="124" t="str">
        <f t="shared" si="3"/>
        <v>Minggu</v>
      </c>
      <c r="H462" s="160" t="s">
        <v>770</v>
      </c>
      <c r="I462" s="125" t="str">
        <f t="array" ref="I462">IFNA(XLOOKUP($H462,'🙎‍♂️ Pasien'!$G$7:$G658,'🙎‍♂️ Pasien'!$H$7:$H658),"")</f>
        <v>R9125127920</v>
      </c>
      <c r="J462" s="125" t="str">
        <f t="array" ref="J462">IFNA(XLOOKUP($H462,'🙎‍♂️ Pasien'!$G$7:$G658,'🙎‍♂️ Pasien'!$L$7:$L658),"")</f>
        <v>LAKI-LAKI</v>
      </c>
      <c r="K462" s="125">
        <f t="array" ref="K462">IFNA(XLOOKUP($H462,'🙎‍♂️ Pasien'!$G$7:$G658,'🙎‍♂️ Pasien'!$I$7:$I658),"")</f>
        <v>34</v>
      </c>
      <c r="L462" s="160" t="s">
        <v>88</v>
      </c>
      <c r="M462" s="162" t="str">
        <f t="array" ref="M462">IFNA(XLOOKUP(L462,'⚙️ Pengaturan'!$H$5:$H658,'⚙️ Pengaturan'!$I$5:$I658),"")</f>
        <v>TIM Y</v>
      </c>
      <c r="N462" s="160" t="s">
        <v>1132</v>
      </c>
      <c r="O462" s="160" t="s">
        <v>1133</v>
      </c>
      <c r="P462" s="153">
        <f t="shared" si="13"/>
        <v>2</v>
      </c>
      <c r="Q462" s="164">
        <v>46019.0</v>
      </c>
      <c r="R462" s="164">
        <v>46020.0</v>
      </c>
      <c r="S462" s="164"/>
      <c r="T462" s="164"/>
      <c r="U462" s="164"/>
      <c r="V462" s="164"/>
      <c r="W462" s="164"/>
      <c r="X462" s="164"/>
      <c r="Y462" s="164"/>
      <c r="Z462" s="164"/>
      <c r="AA462" s="165">
        <f t="shared" si="20"/>
        <v>46020</v>
      </c>
      <c r="AB462" s="160" t="s">
        <v>1144</v>
      </c>
      <c r="AC462" s="174"/>
      <c r="AD462" s="166"/>
      <c r="AE462" s="156" t="str">
        <f t="shared" si="21"/>
        <v/>
      </c>
      <c r="AF462" s="107" t="str">
        <f t="shared" si="22"/>
        <v/>
      </c>
      <c r="AG462" s="107" t="str">
        <f t="shared" si="23"/>
        <v/>
      </c>
      <c r="AH462" s="107" t="str">
        <f t="shared" si="24"/>
        <v/>
      </c>
      <c r="AI462" s="157">
        <f t="shared" si="25"/>
        <v>24</v>
      </c>
      <c r="AJ462" s="96"/>
      <c r="AK462" s="169"/>
      <c r="AL462" s="96"/>
      <c r="AM462" s="158">
        <f t="shared" si="12"/>
        <v>1</v>
      </c>
    </row>
    <row r="463" ht="22.5" customHeight="1">
      <c r="A463" s="167"/>
      <c r="B463" s="160" t="s">
        <v>54</v>
      </c>
      <c r="C463" s="160" t="s">
        <v>1131</v>
      </c>
      <c r="D463" s="161">
        <v>45948.0</v>
      </c>
      <c r="E463" s="124" t="str">
        <f t="shared" si="1"/>
        <v>2025</v>
      </c>
      <c r="F463" s="124" t="str">
        <f t="shared" si="2"/>
        <v>10 Okt</v>
      </c>
      <c r="G463" s="124" t="str">
        <f t="shared" si="3"/>
        <v>Sabtu</v>
      </c>
      <c r="H463" s="160" t="s">
        <v>266</v>
      </c>
      <c r="I463" s="125" t="str">
        <f t="array" ref="I463">IFNA(XLOOKUP($H463,'🙎‍♂️ Pasien'!$G$7:$G658,'🙎‍♂️ Pasien'!$H$7:$H658),"")</f>
        <v>R8125102726</v>
      </c>
      <c r="J463" s="125" t="str">
        <f t="array" ref="J463">IFNA(XLOOKUP($H463,'🙎‍♂️ Pasien'!$G$7:$G658,'🙎‍♂️ Pasien'!$L$7:$L658),"")</f>
        <v>PEREMPUAN</v>
      </c>
      <c r="K463" s="125">
        <f t="array" ref="K463">IFNA(XLOOKUP($H463,'🙎‍♂️ Pasien'!$G$7:$G658,'🙎‍♂️ Pasien'!$I$7:$I658),"")</f>
        <v>45</v>
      </c>
      <c r="L463" s="160" t="s">
        <v>79</v>
      </c>
      <c r="M463" s="162" t="str">
        <f t="array" ref="M463">IFNA(XLOOKUP(L463,'⚙️ Pengaturan'!$H$5:$H658,'⚙️ Pengaturan'!$I$5:$I658),"")</f>
        <v>TIM A</v>
      </c>
      <c r="N463" s="160" t="s">
        <v>1132</v>
      </c>
      <c r="O463" s="160" t="s">
        <v>1133</v>
      </c>
      <c r="P463" s="153">
        <f t="shared" si="13"/>
        <v>5</v>
      </c>
      <c r="Q463" s="164">
        <v>45948.0</v>
      </c>
      <c r="R463" s="164">
        <v>45950.0</v>
      </c>
      <c r="S463" s="164">
        <v>45952.0</v>
      </c>
      <c r="T463" s="164">
        <v>45957.0</v>
      </c>
      <c r="U463" s="164">
        <v>45960.0</v>
      </c>
      <c r="V463" s="164"/>
      <c r="W463" s="164"/>
      <c r="X463" s="164"/>
      <c r="Y463" s="164"/>
      <c r="Z463" s="164"/>
      <c r="AA463" s="165">
        <f t="shared" si="20"/>
        <v>45960</v>
      </c>
      <c r="AB463" s="160" t="s">
        <v>1134</v>
      </c>
      <c r="AC463" s="172"/>
      <c r="AD463" s="166"/>
      <c r="AE463" s="156">
        <f t="shared" si="21"/>
        <v>45960</v>
      </c>
      <c r="AF463" s="107" t="str">
        <f t="shared" si="22"/>
        <v>2025</v>
      </c>
      <c r="AG463" s="107" t="str">
        <f t="shared" si="23"/>
        <v>10 Okt</v>
      </c>
      <c r="AH463" s="107" t="str">
        <f t="shared" si="24"/>
        <v>Kam</v>
      </c>
      <c r="AI463" s="157">
        <f t="shared" si="25"/>
        <v>2</v>
      </c>
      <c r="AJ463" s="96"/>
      <c r="AK463" s="169"/>
      <c r="AL463" s="96"/>
      <c r="AM463" s="158">
        <f t="shared" si="12"/>
        <v>0</v>
      </c>
    </row>
    <row r="464" ht="22.5" customHeight="1">
      <c r="A464" s="167"/>
      <c r="B464" s="160" t="s">
        <v>54</v>
      </c>
      <c r="C464" s="160" t="s">
        <v>1131</v>
      </c>
      <c r="D464" s="173">
        <v>46001.0</v>
      </c>
      <c r="E464" s="124" t="str">
        <f t="shared" si="1"/>
        <v>2025</v>
      </c>
      <c r="F464" s="124" t="str">
        <f t="shared" si="2"/>
        <v>12 Des</v>
      </c>
      <c r="G464" s="124" t="str">
        <f t="shared" si="3"/>
        <v>Rabu</v>
      </c>
      <c r="H464" s="160" t="s">
        <v>692</v>
      </c>
      <c r="I464" s="125" t="str">
        <f t="array" ref="I464">IFNA(XLOOKUP($H464,'🙎‍♂️ Pasien'!$G$7:$G658,'🙎‍♂️ Pasien'!$H$7:$H658),"")</f>
        <v>R9024087560</v>
      </c>
      <c r="J464" s="125" t="str">
        <f t="array" ref="J464">IFNA(XLOOKUP($H464,'🙎‍♂️ Pasien'!$G$7:$G658,'🙎‍♂️ Pasien'!$L$7:$L658),"")</f>
        <v>PEREMPUAN</v>
      </c>
      <c r="K464" s="125">
        <f t="array" ref="K464">IFNA(XLOOKUP($H464,'🙎‍♂️ Pasien'!$G$7:$G658,'🙎‍♂️ Pasien'!$I$7:$I658),"")</f>
        <v>35</v>
      </c>
      <c r="L464" s="160" t="s">
        <v>509</v>
      </c>
      <c r="M464" s="162" t="str">
        <f t="array" ref="M464">IFNA(XLOOKUP(L464,'⚙️ Pengaturan'!$H$5:$H658,'⚙️ Pengaturan'!$I$5:$I658),"")</f>
        <v>TIM Y</v>
      </c>
      <c r="N464" s="160" t="s">
        <v>1137</v>
      </c>
      <c r="O464" s="160" t="s">
        <v>1133</v>
      </c>
      <c r="P464" s="153">
        <f t="shared" si="13"/>
        <v>8</v>
      </c>
      <c r="Q464" s="164">
        <v>46002.0</v>
      </c>
      <c r="R464" s="164">
        <v>46004.0</v>
      </c>
      <c r="S464" s="164">
        <v>46006.0</v>
      </c>
      <c r="T464" s="164">
        <v>46008.0</v>
      </c>
      <c r="U464" s="164">
        <v>46013.0</v>
      </c>
      <c r="V464" s="164">
        <v>46015.0</v>
      </c>
      <c r="W464" s="164">
        <v>46019.0</v>
      </c>
      <c r="X464" s="164">
        <v>46020.0</v>
      </c>
      <c r="Y464" s="164"/>
      <c r="Z464" s="164"/>
      <c r="AA464" s="165">
        <f t="shared" si="20"/>
        <v>46020</v>
      </c>
      <c r="AB464" s="160" t="s">
        <v>1144</v>
      </c>
      <c r="AC464" s="174"/>
      <c r="AD464" s="166"/>
      <c r="AE464" s="156" t="str">
        <f t="shared" si="21"/>
        <v/>
      </c>
      <c r="AF464" s="107" t="str">
        <f t="shared" si="22"/>
        <v/>
      </c>
      <c r="AG464" s="107" t="str">
        <f t="shared" si="23"/>
        <v/>
      </c>
      <c r="AH464" s="107" t="str">
        <f t="shared" si="24"/>
        <v/>
      </c>
      <c r="AI464" s="157">
        <f t="shared" si="25"/>
        <v>26</v>
      </c>
      <c r="AJ464" s="96"/>
      <c r="AK464" s="169"/>
      <c r="AL464" s="96"/>
      <c r="AM464" s="158">
        <f t="shared" si="12"/>
        <v>1</v>
      </c>
    </row>
    <row r="465" ht="22.5" customHeight="1">
      <c r="A465" s="167"/>
      <c r="B465" s="160" t="s">
        <v>54</v>
      </c>
      <c r="C465" s="160" t="s">
        <v>1131</v>
      </c>
      <c r="D465" s="173">
        <v>45980.0</v>
      </c>
      <c r="E465" s="124" t="str">
        <f t="shared" si="1"/>
        <v>2025</v>
      </c>
      <c r="F465" s="124" t="str">
        <f t="shared" si="2"/>
        <v>11 Nov</v>
      </c>
      <c r="G465" s="124" t="str">
        <f t="shared" si="3"/>
        <v>Rabu</v>
      </c>
      <c r="H465" s="160" t="s">
        <v>534</v>
      </c>
      <c r="I465" s="125" t="str">
        <f t="array" ref="I465">IFNA(XLOOKUP($H465,'🙎‍♂️ Pasien'!$G$7:$G658,'🙎‍♂️ Pasien'!$H$7:$H658),"")</f>
        <v>R6925118000</v>
      </c>
      <c r="J465" s="125" t="str">
        <f t="array" ref="J465">IFNA(XLOOKUP($H465,'🙎‍♂️ Pasien'!$G$7:$G658,'🙎‍♂️ Pasien'!$L$7:$L658),"")</f>
        <v>PEREMPUAN</v>
      </c>
      <c r="K465" s="125">
        <f t="array" ref="K465">IFNA(XLOOKUP($H465,'🙎‍♂️ Pasien'!$G$7:$G658,'🙎‍♂️ Pasien'!$I$7:$I658),"")</f>
        <v>57</v>
      </c>
      <c r="L465" s="160" t="s">
        <v>101</v>
      </c>
      <c r="M465" s="162" t="str">
        <f t="array" ref="M465">IFNA(XLOOKUP(L465,'⚙️ Pengaturan'!$H$5:$H658,'⚙️ Pengaturan'!$I$5:$I658),"")</f>
        <v>MANAJEMEN</v>
      </c>
      <c r="N465" s="160" t="s">
        <v>1137</v>
      </c>
      <c r="O465" s="160" t="s">
        <v>1133</v>
      </c>
      <c r="P465" s="153">
        <f t="shared" si="13"/>
        <v>10</v>
      </c>
      <c r="Q465" s="164">
        <v>45980.0</v>
      </c>
      <c r="R465" s="164">
        <v>45985.0</v>
      </c>
      <c r="S465" s="164">
        <v>45987.0</v>
      </c>
      <c r="T465" s="164">
        <v>45989.0</v>
      </c>
      <c r="U465" s="164">
        <v>45999.0</v>
      </c>
      <c r="V465" s="164">
        <v>46002.0</v>
      </c>
      <c r="W465" s="164">
        <v>46003.0</v>
      </c>
      <c r="X465" s="164">
        <v>46005.0</v>
      </c>
      <c r="Y465" s="164">
        <v>46008.0</v>
      </c>
      <c r="Z465" s="164">
        <v>46010.0</v>
      </c>
      <c r="AA465" s="165">
        <f t="shared" si="20"/>
        <v>46010</v>
      </c>
      <c r="AB465" s="160" t="s">
        <v>1134</v>
      </c>
      <c r="AC465" s="160" t="s">
        <v>1138</v>
      </c>
      <c r="AD465" s="168"/>
      <c r="AE465" s="156">
        <f t="shared" si="21"/>
        <v>46010</v>
      </c>
      <c r="AF465" s="107" t="str">
        <f t="shared" si="22"/>
        <v>2025</v>
      </c>
      <c r="AG465" s="107" t="str">
        <f t="shared" si="23"/>
        <v>12 Des</v>
      </c>
      <c r="AH465" s="107" t="str">
        <f t="shared" si="24"/>
        <v>Jum</v>
      </c>
      <c r="AI465" s="157">
        <f t="shared" si="25"/>
        <v>5</v>
      </c>
      <c r="AJ465" s="96"/>
      <c r="AK465" s="169"/>
      <c r="AL465" s="96"/>
      <c r="AM465" s="158">
        <f t="shared" si="12"/>
        <v>0</v>
      </c>
    </row>
    <row r="466" ht="22.5" customHeight="1">
      <c r="A466" s="167"/>
      <c r="B466" s="160" t="s">
        <v>86</v>
      </c>
      <c r="C466" s="160" t="s">
        <v>1131</v>
      </c>
      <c r="D466" s="173">
        <v>46013.0</v>
      </c>
      <c r="E466" s="124" t="str">
        <f t="shared" si="1"/>
        <v>2025</v>
      </c>
      <c r="F466" s="124" t="str">
        <f t="shared" si="2"/>
        <v>12 Des</v>
      </c>
      <c r="G466" s="124" t="str">
        <f t="shared" si="3"/>
        <v>Senin</v>
      </c>
      <c r="H466" s="160" t="s">
        <v>534</v>
      </c>
      <c r="I466" s="125" t="str">
        <f t="array" ref="I466">IFNA(XLOOKUP($H466,'🙎‍♂️ Pasien'!$G$7:$G658,'🙎‍♂️ Pasien'!$H$7:$H658),"")</f>
        <v>R6925118000</v>
      </c>
      <c r="J466" s="125" t="str">
        <f t="array" ref="J466">IFNA(XLOOKUP($H466,'🙎‍♂️ Pasien'!$G$7:$G658,'🙎‍♂️ Pasien'!$L$7:$L658),"")</f>
        <v>PEREMPUAN</v>
      </c>
      <c r="K466" s="125">
        <f t="array" ref="K466">IFNA(XLOOKUP($H466,'🙎‍♂️ Pasien'!$G$7:$G658,'🙎‍♂️ Pasien'!$I$7:$I658),"")</f>
        <v>57</v>
      </c>
      <c r="L466" s="160" t="s">
        <v>101</v>
      </c>
      <c r="M466" s="162" t="str">
        <f t="array" ref="M466">IFNA(XLOOKUP(L466,'⚙️ Pengaturan'!$H$5:$H658,'⚙️ Pengaturan'!$I$5:$I658),"")</f>
        <v>MANAJEMEN</v>
      </c>
      <c r="N466" s="160" t="s">
        <v>1137</v>
      </c>
      <c r="O466" s="160" t="s">
        <v>1139</v>
      </c>
      <c r="P466" s="153">
        <f t="shared" si="13"/>
        <v>1</v>
      </c>
      <c r="Q466" s="164">
        <v>46013.0</v>
      </c>
      <c r="R466" s="164"/>
      <c r="S466" s="164"/>
      <c r="T466" s="164"/>
      <c r="U466" s="164"/>
      <c r="V466" s="164"/>
      <c r="W466" s="164"/>
      <c r="X466" s="164"/>
      <c r="Y466" s="164"/>
      <c r="Z466" s="164"/>
      <c r="AA466" s="165">
        <f t="shared" si="20"/>
        <v>46013</v>
      </c>
      <c r="AB466" s="160" t="s">
        <v>1144</v>
      </c>
      <c r="AC466" s="172"/>
      <c r="AD466" s="168"/>
      <c r="AE466" s="156" t="str">
        <f t="shared" si="21"/>
        <v/>
      </c>
      <c r="AF466" s="107" t="str">
        <f t="shared" si="22"/>
        <v/>
      </c>
      <c r="AG466" s="107" t="str">
        <f t="shared" si="23"/>
        <v/>
      </c>
      <c r="AH466" s="107" t="str">
        <f t="shared" si="24"/>
        <v/>
      </c>
      <c r="AI466" s="157">
        <f t="shared" si="25"/>
        <v>25</v>
      </c>
      <c r="AJ466" s="96"/>
      <c r="AK466" s="169"/>
      <c r="AL466" s="96"/>
      <c r="AM466" s="158">
        <f t="shared" si="12"/>
        <v>0</v>
      </c>
    </row>
    <row r="467" ht="22.5" customHeight="1">
      <c r="A467" s="167"/>
      <c r="B467" s="160" t="s">
        <v>54</v>
      </c>
      <c r="C467" s="160" t="s">
        <v>1131</v>
      </c>
      <c r="D467" s="161">
        <v>45971.0</v>
      </c>
      <c r="E467" s="124" t="str">
        <f t="shared" si="1"/>
        <v>2025</v>
      </c>
      <c r="F467" s="124" t="str">
        <f t="shared" si="2"/>
        <v>11 Nov</v>
      </c>
      <c r="G467" s="124" t="str">
        <f t="shared" si="3"/>
        <v>Senin</v>
      </c>
      <c r="H467" s="160" t="s">
        <v>490</v>
      </c>
      <c r="I467" s="125" t="str">
        <f t="array" ref="I467">IFNA(XLOOKUP($H467,'🙎‍♂️ Pasien'!$G$7:$G658,'🙎‍♂️ Pasien'!$H$7:$H658),"")</f>
        <v>R1125017999</v>
      </c>
      <c r="J467" s="125" t="str">
        <f t="array" ref="J467">IFNA(XLOOKUP($H467,'🙎‍♂️ Pasien'!$G$7:$G658,'🙎‍♂️ Pasien'!$L$7:$L658),"")</f>
        <v>LAKI-LAKI</v>
      </c>
      <c r="K467" s="125">
        <f t="array" ref="K467">IFNA(XLOOKUP($H467,'🙎‍♂️ Pasien'!$G$7:$G658,'🙎‍♂️ Pasien'!$I$7:$I658),"")</f>
        <v>14</v>
      </c>
      <c r="L467" s="160" t="s">
        <v>509</v>
      </c>
      <c r="M467" s="162" t="str">
        <f t="array" ref="M467">IFNA(XLOOKUP(L467,'⚙️ Pengaturan'!$H$5:$H658,'⚙️ Pengaturan'!$I$5:$I658),"")</f>
        <v>TIM Y</v>
      </c>
      <c r="N467" s="163" t="s">
        <v>1132</v>
      </c>
      <c r="O467" s="160" t="s">
        <v>1133</v>
      </c>
      <c r="P467" s="153">
        <f t="shared" si="13"/>
        <v>5</v>
      </c>
      <c r="Q467" s="164">
        <v>45972.0</v>
      </c>
      <c r="R467" s="164">
        <v>45973.0</v>
      </c>
      <c r="S467" s="164">
        <v>45974.0</v>
      </c>
      <c r="T467" s="164">
        <v>45975.0</v>
      </c>
      <c r="U467" s="164">
        <v>45977.0</v>
      </c>
      <c r="V467" s="164"/>
      <c r="W467" s="164"/>
      <c r="X467" s="164"/>
      <c r="Y467" s="164"/>
      <c r="Z467" s="164"/>
      <c r="AA467" s="165">
        <f t="shared" si="20"/>
        <v>45977</v>
      </c>
      <c r="AB467" s="160" t="s">
        <v>1134</v>
      </c>
      <c r="AC467" s="172"/>
      <c r="AD467" s="166"/>
      <c r="AE467" s="156">
        <f t="shared" si="21"/>
        <v>45977</v>
      </c>
      <c r="AF467" s="107" t="str">
        <f t="shared" si="22"/>
        <v>2025</v>
      </c>
      <c r="AG467" s="107" t="str">
        <f t="shared" si="23"/>
        <v>11 Nov</v>
      </c>
      <c r="AH467" s="107" t="str">
        <f t="shared" si="24"/>
        <v>Min</v>
      </c>
      <c r="AI467" s="157">
        <f t="shared" si="25"/>
        <v>1</v>
      </c>
      <c r="AJ467" s="96"/>
      <c r="AK467" s="169"/>
      <c r="AL467" s="96"/>
      <c r="AM467" s="158">
        <f t="shared" si="12"/>
        <v>0</v>
      </c>
    </row>
    <row r="468" ht="22.5" customHeight="1">
      <c r="A468" s="167"/>
      <c r="B468" s="160" t="s">
        <v>86</v>
      </c>
      <c r="C468" s="160" t="s">
        <v>1131</v>
      </c>
      <c r="D468" s="173">
        <v>46000.0</v>
      </c>
      <c r="E468" s="124" t="str">
        <f t="shared" si="1"/>
        <v>2025</v>
      </c>
      <c r="F468" s="124" t="str">
        <f t="shared" si="2"/>
        <v>12 Des</v>
      </c>
      <c r="G468" s="124" t="str">
        <f t="shared" si="3"/>
        <v>Selasa</v>
      </c>
      <c r="H468" s="160" t="s">
        <v>583</v>
      </c>
      <c r="I468" s="125" t="str">
        <f t="array" ref="I468">IFNA(XLOOKUP($H468,'🙎‍♂️ Pasien'!$G$7:$G658,'🙎‍♂️ Pasien'!$H$7:$H658),"")</f>
        <v>R0025116078</v>
      </c>
      <c r="J468" s="125" t="str">
        <f t="array" ref="J468">IFNA(XLOOKUP($H468,'🙎‍♂️ Pasien'!$G$7:$G658,'🙎‍♂️ Pasien'!$L$7:$L658),"")</f>
        <v>PEREMPUAN</v>
      </c>
      <c r="K468" s="125">
        <f t="array" ref="K468">IFNA(XLOOKUP($H468,'🙎‍♂️ Pasien'!$G$7:$G658,'🙎‍♂️ Pasien'!$I$7:$I658),"")</f>
        <v>25</v>
      </c>
      <c r="L468" s="160" t="s">
        <v>79</v>
      </c>
      <c r="M468" s="162" t="str">
        <f t="array" ref="M468">IFNA(XLOOKUP(L468,'⚙️ Pengaturan'!$H$5:$H658,'⚙️ Pengaturan'!$I$5:$I658),"")</f>
        <v>TIM A</v>
      </c>
      <c r="N468" s="160" t="s">
        <v>1132</v>
      </c>
      <c r="O468" s="160" t="s">
        <v>1133</v>
      </c>
      <c r="P468" s="153">
        <f t="shared" si="13"/>
        <v>5</v>
      </c>
      <c r="Q468" s="164">
        <v>46000.0</v>
      </c>
      <c r="R468" s="164">
        <v>46002.0</v>
      </c>
      <c r="S468" s="164">
        <v>46004.0</v>
      </c>
      <c r="T468" s="164">
        <v>46009.0</v>
      </c>
      <c r="U468" s="164">
        <v>46011.0</v>
      </c>
      <c r="V468" s="164"/>
      <c r="W468" s="164"/>
      <c r="X468" s="164"/>
      <c r="Y468" s="164"/>
      <c r="Z468" s="164"/>
      <c r="AA468" s="165">
        <f t="shared" si="20"/>
        <v>46011</v>
      </c>
      <c r="AB468" s="160" t="s">
        <v>1134</v>
      </c>
      <c r="AC468" s="174"/>
      <c r="AD468" s="166"/>
      <c r="AE468" s="156">
        <f t="shared" si="21"/>
        <v>46011</v>
      </c>
      <c r="AF468" s="107" t="str">
        <f t="shared" si="22"/>
        <v>2025</v>
      </c>
      <c r="AG468" s="107" t="str">
        <f t="shared" si="23"/>
        <v>12 Des</v>
      </c>
      <c r="AH468" s="107" t="str">
        <f t="shared" si="24"/>
        <v>Sab</v>
      </c>
      <c r="AI468" s="157">
        <f t="shared" si="25"/>
        <v>2</v>
      </c>
      <c r="AJ468" s="96"/>
      <c r="AK468" s="169"/>
      <c r="AL468" s="96"/>
      <c r="AM468" s="158">
        <f t="shared" si="12"/>
        <v>0</v>
      </c>
    </row>
    <row r="469" ht="22.5" customHeight="1">
      <c r="A469" s="167"/>
      <c r="B469" s="160" t="s">
        <v>86</v>
      </c>
      <c r="C469" s="160" t="s">
        <v>1131</v>
      </c>
      <c r="D469" s="173">
        <v>46008.0</v>
      </c>
      <c r="E469" s="124" t="str">
        <f t="shared" si="1"/>
        <v>2025</v>
      </c>
      <c r="F469" s="124" t="str">
        <f t="shared" si="2"/>
        <v>12 Des</v>
      </c>
      <c r="G469" s="124" t="str">
        <f t="shared" si="3"/>
        <v>Rabu</v>
      </c>
      <c r="H469" s="160" t="s">
        <v>727</v>
      </c>
      <c r="I469" s="125" t="str">
        <f t="array" ref="I469">IFNA(XLOOKUP($H469,'🙎‍♂️ Pasien'!$G$7:$G658,'🙎‍♂️ Pasien'!$H$7:$H658),"")</f>
        <v>R0225129200</v>
      </c>
      <c r="J469" s="125" t="str">
        <f t="array" ref="J469">IFNA(XLOOKUP($H469,'🙎‍♂️ Pasien'!$G$7:$G658,'🙎‍♂️ Pasien'!$L$7:$L658),"")</f>
        <v>LAKI-LAKI</v>
      </c>
      <c r="K469" s="125">
        <f t="array" ref="K469">IFNA(XLOOKUP($H469,'🙎‍♂️ Pasien'!$G$7:$G658,'🙎‍♂️ Pasien'!$I$7:$I658),"")</f>
        <v>24</v>
      </c>
      <c r="L469" s="160" t="s">
        <v>88</v>
      </c>
      <c r="M469" s="162" t="str">
        <f t="array" ref="M469">IFNA(XLOOKUP(L469,'⚙️ Pengaturan'!$H$5:$H658,'⚙️ Pengaturan'!$I$5:$I658),"")</f>
        <v>TIM Y</v>
      </c>
      <c r="N469" s="160" t="s">
        <v>1137</v>
      </c>
      <c r="O469" s="160" t="s">
        <v>1133</v>
      </c>
      <c r="P469" s="153">
        <f t="shared" si="13"/>
        <v>7</v>
      </c>
      <c r="Q469" s="164">
        <v>46008.0</v>
      </c>
      <c r="R469" s="164">
        <v>46011.0</v>
      </c>
      <c r="S469" s="164">
        <v>46012.0</v>
      </c>
      <c r="T469" s="164">
        <v>46014.0</v>
      </c>
      <c r="U469" s="164">
        <v>46015.0</v>
      </c>
      <c r="V469" s="164">
        <v>46018.0</v>
      </c>
      <c r="W469" s="164">
        <v>46019.0</v>
      </c>
      <c r="X469" s="164"/>
      <c r="Y469" s="164"/>
      <c r="Z469" s="164"/>
      <c r="AA469" s="165">
        <f t="shared" si="20"/>
        <v>46019</v>
      </c>
      <c r="AB469" s="160" t="s">
        <v>1144</v>
      </c>
      <c r="AC469" s="174"/>
      <c r="AD469" s="166"/>
      <c r="AE469" s="156" t="str">
        <f t="shared" si="21"/>
        <v/>
      </c>
      <c r="AF469" s="107" t="str">
        <f t="shared" si="22"/>
        <v/>
      </c>
      <c r="AG469" s="107" t="str">
        <f t="shared" si="23"/>
        <v/>
      </c>
      <c r="AH469" s="107" t="str">
        <f t="shared" si="24"/>
        <v/>
      </c>
      <c r="AI469" s="157">
        <f t="shared" si="25"/>
        <v>25</v>
      </c>
      <c r="AJ469" s="96"/>
      <c r="AK469" s="169"/>
      <c r="AL469" s="96"/>
      <c r="AM469" s="158">
        <f t="shared" si="12"/>
        <v>1</v>
      </c>
    </row>
    <row r="470" ht="22.5" customHeight="1">
      <c r="A470" s="167"/>
      <c r="B470" s="171"/>
      <c r="C470" s="171"/>
      <c r="D470" s="161">
        <v>45644.0</v>
      </c>
      <c r="E470" s="124" t="str">
        <f t="shared" si="1"/>
        <v>2024</v>
      </c>
      <c r="F470" s="124" t="str">
        <f t="shared" si="2"/>
        <v>12 Des</v>
      </c>
      <c r="G470" s="124" t="str">
        <f t="shared" si="3"/>
        <v>Rabu</v>
      </c>
      <c r="H470" s="16" t="s">
        <v>1395</v>
      </c>
      <c r="I470" s="125" t="str">
        <f t="array" ref="I470">IFNA(XLOOKUP($H470,'🙎‍♂️ Pasien'!$G$7:$G658,'🙎‍♂️ Pasien'!$H$7:$H658),"")</f>
        <v>R9524125629</v>
      </c>
      <c r="J470" s="125" t="str">
        <f t="array" ref="J470">IFNA(XLOOKUP($H470,'🙎‍♂️ Pasien'!$G$7:$G658,'🙎‍♂️ Pasien'!$L$7:$L658),"")</f>
        <v>PEREMPUAN</v>
      </c>
      <c r="K470" s="125">
        <f t="array" ref="K470">IFNA(XLOOKUP($H470,'🙎‍♂️ Pasien'!$G$7:$G658,'🙎‍♂️ Pasien'!$I$7:$I658),"")</f>
        <v>30</v>
      </c>
      <c r="L470" s="16" t="s">
        <v>107</v>
      </c>
      <c r="M470" s="125" t="str">
        <f t="array" ref="M470">IFNA(XLOOKUP(L470,'⚙️ Pengaturan'!$H$5:$H658,'⚙️ Pengaturan'!$I$5:$I658),"")</f>
        <v>TIM Y</v>
      </c>
      <c r="N470" s="16" t="s">
        <v>1132</v>
      </c>
      <c r="O470" s="16" t="s">
        <v>1139</v>
      </c>
      <c r="P470" s="153">
        <f t="shared" si="13"/>
        <v>3</v>
      </c>
      <c r="Q470" s="154">
        <v>45644.0</v>
      </c>
      <c r="R470" s="154">
        <v>45647.0</v>
      </c>
      <c r="S470" s="154">
        <v>45649.0</v>
      </c>
      <c r="T470" s="154"/>
      <c r="U470" s="154"/>
      <c r="V470" s="154"/>
      <c r="W470" s="154"/>
      <c r="X470" s="154"/>
      <c r="Y470" s="154"/>
      <c r="Z470" s="154"/>
      <c r="AA470" s="155">
        <f t="shared" si="20"/>
        <v>45649</v>
      </c>
      <c r="AB470" s="16" t="s">
        <v>1144</v>
      </c>
      <c r="AC470" s="20"/>
      <c r="AD470" s="170"/>
      <c r="AE470" s="156" t="str">
        <f t="shared" si="21"/>
        <v/>
      </c>
      <c r="AF470" s="107" t="str">
        <f t="shared" si="22"/>
        <v/>
      </c>
      <c r="AG470" s="107" t="str">
        <f t="shared" si="23"/>
        <v/>
      </c>
      <c r="AH470" s="107" t="str">
        <f t="shared" si="24"/>
        <v/>
      </c>
      <c r="AI470" s="157">
        <f t="shared" si="25"/>
        <v>77</v>
      </c>
      <c r="AJ470" s="96"/>
      <c r="AK470" s="169"/>
      <c r="AL470" s="96"/>
      <c r="AM470" s="158">
        <f t="shared" si="12"/>
        <v>0</v>
      </c>
    </row>
    <row r="471" ht="22.5" customHeight="1">
      <c r="A471" s="167"/>
      <c r="B471" s="160" t="s">
        <v>86</v>
      </c>
      <c r="C471" s="160" t="s">
        <v>1131</v>
      </c>
      <c r="D471" s="161">
        <v>45838.0</v>
      </c>
      <c r="E471" s="124" t="str">
        <f t="shared" si="1"/>
        <v>2025</v>
      </c>
      <c r="F471" s="124" t="str">
        <f t="shared" si="2"/>
        <v>06 Jun</v>
      </c>
      <c r="G471" s="124" t="str">
        <f t="shared" si="3"/>
        <v>Senin</v>
      </c>
      <c r="H471" s="160" t="s">
        <v>1396</v>
      </c>
      <c r="I471" s="125" t="str">
        <f t="array" ref="I471">IFNA(XLOOKUP($H471,'🙎‍♂️ Pasien'!$G$7:$G658,'🙎‍♂️ Pasien'!$H$7:$H658),"")</f>
        <v>R0625062913</v>
      </c>
      <c r="J471" s="125" t="str">
        <f t="array" ref="J471">IFNA(XLOOKUP($H471,'🙎‍♂️ Pasien'!$G$7:$G658,'🙎‍♂️ Pasien'!$L$7:$L658),"")</f>
        <v>LAKI-LAKI</v>
      </c>
      <c r="K471" s="125">
        <f t="array" ref="K471">IFNA(XLOOKUP($H471,'🙎‍♂️ Pasien'!$G$7:$G658,'🙎‍♂️ Pasien'!$I$7:$I658),"")</f>
        <v>19</v>
      </c>
      <c r="L471" s="160" t="s">
        <v>56</v>
      </c>
      <c r="M471" s="162" t="str">
        <f t="array" ref="M471">IFNA(XLOOKUP(L471,'⚙️ Pengaturan'!$H$5:$H658,'⚙️ Pengaturan'!$I$5:$I658),"")</f>
        <v>TIM Y</v>
      </c>
      <c r="N471" s="163" t="s">
        <v>1132</v>
      </c>
      <c r="O471" s="160" t="s">
        <v>1133</v>
      </c>
      <c r="P471" s="153">
        <f t="shared" si="13"/>
        <v>5</v>
      </c>
      <c r="Q471" s="164">
        <v>45843.0</v>
      </c>
      <c r="R471" s="164">
        <v>45850.0</v>
      </c>
      <c r="S471" s="164">
        <v>45857.0</v>
      </c>
      <c r="T471" s="164">
        <v>45864.0</v>
      </c>
      <c r="U471" s="164">
        <v>45872.0</v>
      </c>
      <c r="V471" s="164"/>
      <c r="W471" s="164"/>
      <c r="X471" s="164"/>
      <c r="Y471" s="164"/>
      <c r="Z471" s="164"/>
      <c r="AA471" s="165">
        <f t="shared" si="20"/>
        <v>45872</v>
      </c>
      <c r="AB471" s="160" t="s">
        <v>1134</v>
      </c>
      <c r="AC471" s="160" t="s">
        <v>1138</v>
      </c>
      <c r="AD471" s="168"/>
      <c r="AE471" s="156">
        <f t="shared" si="21"/>
        <v>45872</v>
      </c>
      <c r="AF471" s="107" t="str">
        <f t="shared" si="22"/>
        <v>2025</v>
      </c>
      <c r="AG471" s="107" t="str">
        <f t="shared" si="23"/>
        <v>08 Agu</v>
      </c>
      <c r="AH471" s="107" t="str">
        <f t="shared" si="24"/>
        <v>Min</v>
      </c>
      <c r="AI471" s="157">
        <f t="shared" si="25"/>
        <v>5</v>
      </c>
      <c r="AJ471" s="96"/>
      <c r="AK471" s="169"/>
      <c r="AL471" s="96"/>
      <c r="AM471" s="158">
        <f t="shared" si="12"/>
        <v>0</v>
      </c>
    </row>
    <row r="472" ht="22.5" customHeight="1">
      <c r="A472" s="167"/>
      <c r="B472" s="160" t="s">
        <v>134</v>
      </c>
      <c r="C472" s="160" t="s">
        <v>1131</v>
      </c>
      <c r="D472" s="161">
        <v>45872.0</v>
      </c>
      <c r="E472" s="124" t="str">
        <f t="shared" si="1"/>
        <v>2025</v>
      </c>
      <c r="F472" s="124" t="str">
        <f t="shared" si="2"/>
        <v>08 Agu</v>
      </c>
      <c r="G472" s="124" t="str">
        <f t="shared" si="3"/>
        <v>Minggu</v>
      </c>
      <c r="H472" s="160" t="s">
        <v>1396</v>
      </c>
      <c r="I472" s="125" t="str">
        <f t="array" ref="I472">IFNA(XLOOKUP($H472,'🙎‍♂️ Pasien'!$G$7:$G658,'🙎‍♂️ Pasien'!$H$7:$H658),"")</f>
        <v>R0625062913</v>
      </c>
      <c r="J472" s="125" t="str">
        <f t="array" ref="J472">IFNA(XLOOKUP($H472,'🙎‍♂️ Pasien'!$G$7:$G658,'🙎‍♂️ Pasien'!$L$7:$L658),"")</f>
        <v>LAKI-LAKI</v>
      </c>
      <c r="K472" s="125">
        <f t="array" ref="K472">IFNA(XLOOKUP($H472,'🙎‍♂️ Pasien'!$G$7:$G658,'🙎‍♂️ Pasien'!$I$7:$I658),"")</f>
        <v>19</v>
      </c>
      <c r="L472" s="160" t="s">
        <v>56</v>
      </c>
      <c r="M472" s="162" t="str">
        <f t="array" ref="M472">IFNA(XLOOKUP(L472,'⚙️ Pengaturan'!$H$5:$H658,'⚙️ Pengaturan'!$I$5:$I658),"")</f>
        <v>TIM Y</v>
      </c>
      <c r="N472" s="163" t="s">
        <v>1132</v>
      </c>
      <c r="O472" s="160" t="s">
        <v>1139</v>
      </c>
      <c r="P472" s="153">
        <f t="shared" si="13"/>
        <v>5</v>
      </c>
      <c r="Q472" s="164">
        <v>45874.0</v>
      </c>
      <c r="R472" s="164">
        <v>45878.0</v>
      </c>
      <c r="S472" s="164">
        <v>45881.0</v>
      </c>
      <c r="T472" s="164">
        <v>45888.0</v>
      </c>
      <c r="U472" s="164">
        <v>45895.0</v>
      </c>
      <c r="V472" s="164"/>
      <c r="W472" s="164"/>
      <c r="X472" s="164"/>
      <c r="Y472" s="164"/>
      <c r="Z472" s="164"/>
      <c r="AA472" s="165">
        <f t="shared" si="20"/>
        <v>45895</v>
      </c>
      <c r="AB472" s="160" t="s">
        <v>1134</v>
      </c>
      <c r="AC472" s="172"/>
      <c r="AD472" s="168"/>
      <c r="AE472" s="156">
        <f t="shared" si="21"/>
        <v>45895</v>
      </c>
      <c r="AF472" s="107" t="str">
        <f t="shared" si="22"/>
        <v>2025</v>
      </c>
      <c r="AG472" s="107" t="str">
        <f t="shared" si="23"/>
        <v>08 Agu</v>
      </c>
      <c r="AH472" s="107" t="str">
        <f t="shared" si="24"/>
        <v>Sel</v>
      </c>
      <c r="AI472" s="157">
        <f t="shared" si="25"/>
        <v>3</v>
      </c>
      <c r="AJ472" s="96"/>
      <c r="AK472" s="169"/>
      <c r="AL472" s="96"/>
      <c r="AM472" s="158">
        <f t="shared" si="12"/>
        <v>0</v>
      </c>
    </row>
    <row r="473" ht="22.5" customHeight="1">
      <c r="A473" s="167"/>
      <c r="B473" s="171"/>
      <c r="C473" s="171"/>
      <c r="D473" s="161">
        <v>45704.0</v>
      </c>
      <c r="E473" s="124" t="str">
        <f t="shared" si="1"/>
        <v>2025</v>
      </c>
      <c r="F473" s="124" t="str">
        <f t="shared" si="2"/>
        <v>02 Feb</v>
      </c>
      <c r="G473" s="124" t="str">
        <f t="shared" si="3"/>
        <v>Minggu</v>
      </c>
      <c r="H473" s="16" t="s">
        <v>1397</v>
      </c>
      <c r="I473" s="125" t="str">
        <f t="array" ref="I473">IFNA(XLOOKUP($H473,'🙎‍♂️ Pasien'!$G$7:$G658,'🙎‍♂️ Pasien'!$H$7:$H658),"")</f>
        <v>R8924023579</v>
      </c>
      <c r="J473" s="125" t="str">
        <f t="array" ref="J473">IFNA(XLOOKUP($H473,'🙎‍♂️ Pasien'!$G$7:$G658,'🙎‍♂️ Pasien'!$L$7:$L658),"")</f>
        <v>LAKI-LAKI</v>
      </c>
      <c r="K473" s="125">
        <f t="array" ref="K473">IFNA(XLOOKUP($H473,'🙎‍♂️ Pasien'!$G$7:$G658,'🙎‍♂️ Pasien'!$I$7:$I658),"")</f>
        <v>36</v>
      </c>
      <c r="L473" s="16" t="s">
        <v>107</v>
      </c>
      <c r="M473" s="125" t="str">
        <f t="array" ref="M473">IFNA(XLOOKUP(L473,'⚙️ Pengaturan'!$H$5:$H658,'⚙️ Pengaturan'!$I$5:$I658),"")</f>
        <v>TIM Y</v>
      </c>
      <c r="N473" s="16" t="s">
        <v>1132</v>
      </c>
      <c r="O473" s="16" t="s">
        <v>1133</v>
      </c>
      <c r="P473" s="153">
        <f t="shared" si="13"/>
        <v>2</v>
      </c>
      <c r="Q473" s="154">
        <v>45704.0</v>
      </c>
      <c r="R473" s="154">
        <v>45715.0</v>
      </c>
      <c r="S473" s="154"/>
      <c r="T473" s="154"/>
      <c r="U473" s="154"/>
      <c r="V473" s="154"/>
      <c r="W473" s="154"/>
      <c r="X473" s="154"/>
      <c r="Y473" s="154"/>
      <c r="Z473" s="154"/>
      <c r="AA473" s="155">
        <f t="shared" si="20"/>
        <v>45715</v>
      </c>
      <c r="AB473" s="16" t="s">
        <v>1144</v>
      </c>
      <c r="AC473" s="20"/>
      <c r="AD473" s="170"/>
      <c r="AE473" s="156" t="str">
        <f t="shared" si="21"/>
        <v/>
      </c>
      <c r="AF473" s="107" t="str">
        <f t="shared" si="22"/>
        <v/>
      </c>
      <c r="AG473" s="107" t="str">
        <f t="shared" si="23"/>
        <v/>
      </c>
      <c r="AH473" s="107" t="str">
        <f t="shared" si="24"/>
        <v/>
      </c>
      <c r="AI473" s="157">
        <f t="shared" si="25"/>
        <v>69</v>
      </c>
      <c r="AJ473" s="96"/>
      <c r="AK473" s="169"/>
      <c r="AL473" s="96"/>
      <c r="AM473" s="158">
        <f t="shared" si="12"/>
        <v>0</v>
      </c>
    </row>
    <row r="474" ht="22.5" customHeight="1">
      <c r="A474" s="167"/>
      <c r="B474" s="160" t="s">
        <v>86</v>
      </c>
      <c r="C474" s="160" t="s">
        <v>1131</v>
      </c>
      <c r="D474" s="173">
        <v>45942.0</v>
      </c>
      <c r="E474" s="124" t="str">
        <f t="shared" si="1"/>
        <v>2025</v>
      </c>
      <c r="F474" s="124" t="str">
        <f t="shared" si="2"/>
        <v>10 Okt</v>
      </c>
      <c r="G474" s="124" t="str">
        <f t="shared" si="3"/>
        <v>Minggu</v>
      </c>
      <c r="H474" s="160" t="s">
        <v>216</v>
      </c>
      <c r="I474" s="125" t="str">
        <f t="array" ref="I474">IFNA(XLOOKUP($H474,'🙎‍♂️ Pasien'!$G$7:$G658,'🙎‍♂️ Pasien'!$H$7:$H658),"")</f>
        <v>R7825108100</v>
      </c>
      <c r="J474" s="125" t="str">
        <f t="array" ref="J474">IFNA(XLOOKUP($H474,'🙎‍♂️ Pasien'!$G$7:$G658,'🙎‍♂️ Pasien'!$L$7:$L658),"")</f>
        <v>PEREMPUAN</v>
      </c>
      <c r="K474" s="125">
        <f t="array" ref="K474">IFNA(XLOOKUP($H474,'🙎‍♂️ Pasien'!$G$7:$G658,'🙎‍♂️ Pasien'!$I$7:$I658),"")</f>
        <v>48</v>
      </c>
      <c r="L474" s="160" t="s">
        <v>79</v>
      </c>
      <c r="M474" s="162" t="str">
        <f t="array" ref="M474">IFNA(XLOOKUP(L474,'⚙️ Pengaturan'!$H$5:$H658,'⚙️ Pengaturan'!$I$5:$I658),"")</f>
        <v>TIM A</v>
      </c>
      <c r="N474" s="160" t="s">
        <v>1132</v>
      </c>
      <c r="O474" s="160" t="s">
        <v>1133</v>
      </c>
      <c r="P474" s="153">
        <f t="shared" si="13"/>
        <v>5</v>
      </c>
      <c r="Q474" s="164">
        <v>45942.0</v>
      </c>
      <c r="R474" s="164">
        <v>45944.0</v>
      </c>
      <c r="S474" s="164">
        <v>45945.0</v>
      </c>
      <c r="T474" s="164">
        <v>45949.0</v>
      </c>
      <c r="U474" s="164">
        <v>45953.0</v>
      </c>
      <c r="V474" s="164"/>
      <c r="W474" s="164"/>
      <c r="X474" s="164"/>
      <c r="Y474" s="164"/>
      <c r="Z474" s="164"/>
      <c r="AA474" s="165">
        <f t="shared" si="20"/>
        <v>45953</v>
      </c>
      <c r="AB474" s="160" t="s">
        <v>1134</v>
      </c>
      <c r="AC474" s="160" t="s">
        <v>1138</v>
      </c>
      <c r="AD474" s="166"/>
      <c r="AE474" s="156">
        <f t="shared" si="21"/>
        <v>45953</v>
      </c>
      <c r="AF474" s="107" t="str">
        <f t="shared" si="22"/>
        <v>2025</v>
      </c>
      <c r="AG474" s="107" t="str">
        <f t="shared" si="23"/>
        <v>10 Okt</v>
      </c>
      <c r="AH474" s="107" t="str">
        <f t="shared" si="24"/>
        <v>Kam</v>
      </c>
      <c r="AI474" s="157">
        <f t="shared" si="25"/>
        <v>2</v>
      </c>
      <c r="AJ474" s="96"/>
      <c r="AK474" s="169"/>
      <c r="AL474" s="96"/>
      <c r="AM474" s="158">
        <f t="shared" si="12"/>
        <v>0</v>
      </c>
    </row>
    <row r="475" ht="22.5" customHeight="1">
      <c r="A475" s="167"/>
      <c r="B475" s="160" t="s">
        <v>86</v>
      </c>
      <c r="C475" s="160" t="s">
        <v>1131</v>
      </c>
      <c r="D475" s="173">
        <v>45955.0</v>
      </c>
      <c r="E475" s="124" t="str">
        <f t="shared" si="1"/>
        <v>2025</v>
      </c>
      <c r="F475" s="124" t="str">
        <f t="shared" si="2"/>
        <v>10 Okt</v>
      </c>
      <c r="G475" s="124" t="str">
        <f t="shared" si="3"/>
        <v>Sabtu</v>
      </c>
      <c r="H475" s="160" t="s">
        <v>216</v>
      </c>
      <c r="I475" s="125" t="str">
        <f t="array" ref="I475">IFNA(XLOOKUP($H475,'🙎‍♂️ Pasien'!$G$7:$G658,'🙎‍♂️ Pasien'!$H$7:$H658),"")</f>
        <v>R7825108100</v>
      </c>
      <c r="J475" s="125" t="str">
        <f t="array" ref="J475">IFNA(XLOOKUP($H475,'🙎‍♂️ Pasien'!$G$7:$G658,'🙎‍♂️ Pasien'!$L$7:$L658),"")</f>
        <v>PEREMPUAN</v>
      </c>
      <c r="K475" s="125">
        <f t="array" ref="K475">IFNA(XLOOKUP($H475,'🙎‍♂️ Pasien'!$G$7:$G658,'🙎‍♂️ Pasien'!$I$7:$I658),"")</f>
        <v>48</v>
      </c>
      <c r="L475" s="160" t="s">
        <v>79</v>
      </c>
      <c r="M475" s="162" t="str">
        <f t="array" ref="M475">IFNA(XLOOKUP(L475,'⚙️ Pengaturan'!$H$5:$H658,'⚙️ Pengaturan'!$I$5:$I658),"")</f>
        <v>TIM A</v>
      </c>
      <c r="N475" s="160" t="s">
        <v>1132</v>
      </c>
      <c r="O475" s="160" t="s">
        <v>1139</v>
      </c>
      <c r="P475" s="153">
        <f t="shared" si="13"/>
        <v>5</v>
      </c>
      <c r="Q475" s="164">
        <v>45955.0</v>
      </c>
      <c r="R475" s="164">
        <v>45957.0</v>
      </c>
      <c r="S475" s="164">
        <v>45962.0</v>
      </c>
      <c r="T475" s="164">
        <v>45964.0</v>
      </c>
      <c r="U475" s="164">
        <v>45966.0</v>
      </c>
      <c r="V475" s="164"/>
      <c r="W475" s="164"/>
      <c r="X475" s="164"/>
      <c r="Y475" s="164"/>
      <c r="Z475" s="164"/>
      <c r="AA475" s="165">
        <f t="shared" si="20"/>
        <v>45966</v>
      </c>
      <c r="AB475" s="160" t="s">
        <v>1134</v>
      </c>
      <c r="AC475" s="160" t="s">
        <v>1138</v>
      </c>
      <c r="AD475" s="166"/>
      <c r="AE475" s="156">
        <f t="shared" si="21"/>
        <v>45966</v>
      </c>
      <c r="AF475" s="107" t="str">
        <f t="shared" si="22"/>
        <v>2025</v>
      </c>
      <c r="AG475" s="107" t="str">
        <f t="shared" si="23"/>
        <v>11 Nov</v>
      </c>
      <c r="AH475" s="107" t="str">
        <f t="shared" si="24"/>
        <v>Rab</v>
      </c>
      <c r="AI475" s="157">
        <f t="shared" si="25"/>
        <v>2</v>
      </c>
      <c r="AJ475" s="96"/>
      <c r="AK475" s="169"/>
      <c r="AL475" s="96"/>
      <c r="AM475" s="158">
        <f t="shared" si="12"/>
        <v>0</v>
      </c>
    </row>
    <row r="476" ht="22.5" customHeight="1">
      <c r="A476" s="167"/>
      <c r="B476" s="160" t="s">
        <v>54</v>
      </c>
      <c r="C476" s="160" t="s">
        <v>1131</v>
      </c>
      <c r="D476" s="161">
        <v>45825.0</v>
      </c>
      <c r="E476" s="124" t="str">
        <f t="shared" si="1"/>
        <v>2025</v>
      </c>
      <c r="F476" s="124" t="str">
        <f t="shared" si="2"/>
        <v>06 Jun</v>
      </c>
      <c r="G476" s="124" t="str">
        <f t="shared" si="3"/>
        <v>Selasa</v>
      </c>
      <c r="H476" s="160" t="s">
        <v>203</v>
      </c>
      <c r="I476" s="125" t="str">
        <f t="array" ref="I476">IFNA(XLOOKUP($H476,'🙎‍♂️ Pasien'!$G$7:$G658,'🙎‍♂️ Pasien'!$H$7:$H658),"")</f>
        <v>R7723022907</v>
      </c>
      <c r="J476" s="125" t="str">
        <f t="array" ref="J476">IFNA(XLOOKUP($H476,'🙎‍♂️ Pasien'!$G$7:$G658,'🙎‍♂️ Pasien'!$L$7:$L658),"")</f>
        <v>PEREMPUAN</v>
      </c>
      <c r="K476" s="125">
        <f t="array" ref="K476">IFNA(XLOOKUP($H476,'🙎‍♂️ Pasien'!$G$7:$G658,'🙎‍♂️ Pasien'!$I$7:$I658),"")</f>
        <v>48</v>
      </c>
      <c r="L476" s="160" t="s">
        <v>101</v>
      </c>
      <c r="M476" s="162" t="str">
        <f t="array" ref="M476">IFNA(XLOOKUP(L476,'⚙️ Pengaturan'!$H$5:$H658,'⚙️ Pengaturan'!$I$5:$I658),"")</f>
        <v>MANAJEMEN</v>
      </c>
      <c r="N476" s="163" t="s">
        <v>1132</v>
      </c>
      <c r="O476" s="160" t="s">
        <v>1133</v>
      </c>
      <c r="P476" s="153">
        <f t="shared" si="13"/>
        <v>5</v>
      </c>
      <c r="Q476" s="164">
        <v>45825.0</v>
      </c>
      <c r="R476" s="164">
        <v>45830.0</v>
      </c>
      <c r="S476" s="164">
        <v>45836.0</v>
      </c>
      <c r="T476" s="164">
        <v>45841.0</v>
      </c>
      <c r="U476" s="164">
        <v>45846.0</v>
      </c>
      <c r="V476" s="164"/>
      <c r="W476" s="164"/>
      <c r="X476" s="164"/>
      <c r="Y476" s="164"/>
      <c r="Z476" s="164"/>
      <c r="AA476" s="165">
        <f t="shared" si="20"/>
        <v>45846</v>
      </c>
      <c r="AB476" s="160" t="s">
        <v>1134</v>
      </c>
      <c r="AC476" s="160" t="s">
        <v>1138</v>
      </c>
      <c r="AD476" s="166"/>
      <c r="AE476" s="156">
        <f t="shared" si="21"/>
        <v>45846</v>
      </c>
      <c r="AF476" s="107" t="str">
        <f t="shared" si="22"/>
        <v>2025</v>
      </c>
      <c r="AG476" s="107" t="str">
        <f t="shared" si="23"/>
        <v>07 Jul</v>
      </c>
      <c r="AH476" s="107" t="str">
        <f t="shared" si="24"/>
        <v>Sel</v>
      </c>
      <c r="AI476" s="157">
        <f t="shared" si="25"/>
        <v>3</v>
      </c>
      <c r="AJ476" s="96"/>
      <c r="AK476" s="169"/>
      <c r="AL476" s="96"/>
      <c r="AM476" s="158">
        <f t="shared" si="12"/>
        <v>0</v>
      </c>
    </row>
    <row r="477" ht="22.5" customHeight="1">
      <c r="A477" s="167"/>
      <c r="B477" s="160" t="s">
        <v>86</v>
      </c>
      <c r="C477" s="160" t="s">
        <v>1131</v>
      </c>
      <c r="D477" s="161">
        <v>45850.0</v>
      </c>
      <c r="E477" s="124" t="str">
        <f t="shared" si="1"/>
        <v>2025</v>
      </c>
      <c r="F477" s="124" t="str">
        <f t="shared" si="2"/>
        <v>07 Jul</v>
      </c>
      <c r="G477" s="124" t="str">
        <f t="shared" si="3"/>
        <v>Sabtu</v>
      </c>
      <c r="H477" s="160" t="s">
        <v>203</v>
      </c>
      <c r="I477" s="125" t="str">
        <f t="array" ref="I477">IFNA(XLOOKUP($H477,'🙎‍♂️ Pasien'!$G$7:$G658,'🙎‍♂️ Pasien'!$H$7:$H658),"")</f>
        <v>R7723022907</v>
      </c>
      <c r="J477" s="125" t="str">
        <f t="array" ref="J477">IFNA(XLOOKUP($H477,'🙎‍♂️ Pasien'!$G$7:$G658,'🙎‍♂️ Pasien'!$L$7:$L658),"")</f>
        <v>PEREMPUAN</v>
      </c>
      <c r="K477" s="125">
        <f t="array" ref="K477">IFNA(XLOOKUP($H477,'🙎‍♂️ Pasien'!$G$7:$G658,'🙎‍♂️ Pasien'!$I$7:$I658),"")</f>
        <v>48</v>
      </c>
      <c r="L477" s="160" t="s">
        <v>101</v>
      </c>
      <c r="M477" s="162" t="str">
        <f t="array" ref="M477">IFNA(XLOOKUP(L477,'⚙️ Pengaturan'!$H$5:$H658,'⚙️ Pengaturan'!$I$5:$I658),"")</f>
        <v>MANAJEMEN</v>
      </c>
      <c r="N477" s="163" t="s">
        <v>1132</v>
      </c>
      <c r="O477" s="160" t="s">
        <v>1139</v>
      </c>
      <c r="P477" s="153">
        <f t="shared" si="13"/>
        <v>5</v>
      </c>
      <c r="Q477" s="164">
        <v>45850.0</v>
      </c>
      <c r="R477" s="164">
        <v>45858.0</v>
      </c>
      <c r="S477" s="164">
        <v>45861.0</v>
      </c>
      <c r="T477" s="164">
        <v>45875.0</v>
      </c>
      <c r="U477" s="164">
        <v>45882.0</v>
      </c>
      <c r="V477" s="164"/>
      <c r="W477" s="164"/>
      <c r="X477" s="164"/>
      <c r="Y477" s="164"/>
      <c r="Z477" s="164"/>
      <c r="AA477" s="165">
        <f t="shared" si="20"/>
        <v>45882</v>
      </c>
      <c r="AB477" s="160" t="s">
        <v>1134</v>
      </c>
      <c r="AC477" s="160" t="s">
        <v>1138</v>
      </c>
      <c r="AD477" s="166"/>
      <c r="AE477" s="156">
        <f t="shared" si="21"/>
        <v>45882</v>
      </c>
      <c r="AF477" s="107" t="str">
        <f t="shared" si="22"/>
        <v>2025</v>
      </c>
      <c r="AG477" s="107" t="str">
        <f t="shared" si="23"/>
        <v>08 Agu</v>
      </c>
      <c r="AH477" s="107" t="str">
        <f t="shared" si="24"/>
        <v>Rab</v>
      </c>
      <c r="AI477" s="157">
        <f t="shared" si="25"/>
        <v>5</v>
      </c>
      <c r="AJ477" s="96"/>
      <c r="AK477" s="169"/>
      <c r="AL477" s="96"/>
      <c r="AM477" s="158">
        <f t="shared" si="12"/>
        <v>0</v>
      </c>
    </row>
    <row r="478" ht="22.5" customHeight="1">
      <c r="A478" s="167"/>
      <c r="B478" s="160" t="s">
        <v>1156</v>
      </c>
      <c r="C478" s="160" t="s">
        <v>1131</v>
      </c>
      <c r="D478" s="161">
        <v>45889.0</v>
      </c>
      <c r="E478" s="124" t="str">
        <f t="shared" si="1"/>
        <v>2025</v>
      </c>
      <c r="F478" s="124" t="str">
        <f t="shared" si="2"/>
        <v>08 Agu</v>
      </c>
      <c r="G478" s="124" t="str">
        <f t="shared" si="3"/>
        <v>Rabu</v>
      </c>
      <c r="H478" s="160" t="s">
        <v>203</v>
      </c>
      <c r="I478" s="125" t="str">
        <f t="array" ref="I478">IFNA(XLOOKUP($H478,'🙎‍♂️ Pasien'!$G$7:$G658,'🙎‍♂️ Pasien'!$H$7:$H658),"")</f>
        <v>R7723022907</v>
      </c>
      <c r="J478" s="125" t="str">
        <f t="array" ref="J478">IFNA(XLOOKUP($H478,'🙎‍♂️ Pasien'!$G$7:$G658,'🙎‍♂️ Pasien'!$L$7:$L658),"")</f>
        <v>PEREMPUAN</v>
      </c>
      <c r="K478" s="125">
        <f t="array" ref="K478">IFNA(XLOOKUP($H478,'🙎‍♂️ Pasien'!$G$7:$G658,'🙎‍♂️ Pasien'!$I$7:$I658),"")</f>
        <v>48</v>
      </c>
      <c r="L478" s="160" t="s">
        <v>101</v>
      </c>
      <c r="M478" s="162" t="str">
        <f t="array" ref="M478">IFNA(XLOOKUP(L478,'⚙️ Pengaturan'!$H$5:$H658,'⚙️ Pengaturan'!$I$5:$I658),"")</f>
        <v>MANAJEMEN</v>
      </c>
      <c r="N478" s="163" t="s">
        <v>1132</v>
      </c>
      <c r="O478" s="160" t="s">
        <v>1139</v>
      </c>
      <c r="P478" s="153">
        <f t="shared" si="13"/>
        <v>5</v>
      </c>
      <c r="Q478" s="164">
        <v>45889.0</v>
      </c>
      <c r="R478" s="164">
        <v>45931.0</v>
      </c>
      <c r="S478" s="164">
        <v>45938.0</v>
      </c>
      <c r="T478" s="164">
        <v>45945.0</v>
      </c>
      <c r="U478" s="164">
        <v>45950.0</v>
      </c>
      <c r="V478" s="164"/>
      <c r="W478" s="164"/>
      <c r="X478" s="164"/>
      <c r="Y478" s="164"/>
      <c r="Z478" s="164"/>
      <c r="AA478" s="165">
        <f t="shared" si="20"/>
        <v>45950</v>
      </c>
      <c r="AB478" s="160" t="s">
        <v>1134</v>
      </c>
      <c r="AC478" s="160" t="s">
        <v>1138</v>
      </c>
      <c r="AD478" s="166"/>
      <c r="AE478" s="156">
        <f t="shared" si="21"/>
        <v>45950</v>
      </c>
      <c r="AF478" s="107" t="str">
        <f t="shared" si="22"/>
        <v>2025</v>
      </c>
      <c r="AG478" s="107" t="str">
        <f t="shared" si="23"/>
        <v>10 Okt</v>
      </c>
      <c r="AH478" s="107" t="str">
        <f t="shared" si="24"/>
        <v>Sen</v>
      </c>
      <c r="AI478" s="157">
        <f t="shared" si="25"/>
        <v>9</v>
      </c>
      <c r="AJ478" s="96"/>
      <c r="AK478" s="169"/>
      <c r="AL478" s="96"/>
      <c r="AM478" s="158">
        <f t="shared" si="12"/>
        <v>0</v>
      </c>
    </row>
    <row r="479" ht="22.5" customHeight="1">
      <c r="A479" s="167"/>
      <c r="B479" s="160" t="s">
        <v>86</v>
      </c>
      <c r="C479" s="160" t="s">
        <v>1131</v>
      </c>
      <c r="D479" s="161">
        <v>45950.0</v>
      </c>
      <c r="E479" s="124" t="str">
        <f t="shared" si="1"/>
        <v>2025</v>
      </c>
      <c r="F479" s="124" t="str">
        <f t="shared" si="2"/>
        <v>10 Okt</v>
      </c>
      <c r="G479" s="124" t="str">
        <f t="shared" si="3"/>
        <v>Senin</v>
      </c>
      <c r="H479" s="160" t="s">
        <v>203</v>
      </c>
      <c r="I479" s="125" t="str">
        <f t="array" ref="I479">IFNA(XLOOKUP($H479,'🙎‍♂️ Pasien'!$G$7:$G658,'🙎‍♂️ Pasien'!$H$7:$H658),"")</f>
        <v>R7723022907</v>
      </c>
      <c r="J479" s="125" t="str">
        <f t="array" ref="J479">IFNA(XLOOKUP($H479,'🙎‍♂️ Pasien'!$G$7:$G658,'🙎‍♂️ Pasien'!$L$7:$L658),"")</f>
        <v>PEREMPUAN</v>
      </c>
      <c r="K479" s="125">
        <f t="array" ref="K479">IFNA(XLOOKUP($H479,'🙎‍♂️ Pasien'!$G$7:$G658,'🙎‍♂️ Pasien'!$I$7:$I658),"")</f>
        <v>48</v>
      </c>
      <c r="L479" s="160" t="s">
        <v>101</v>
      </c>
      <c r="M479" s="162" t="str">
        <f t="array" ref="M479">IFNA(XLOOKUP(L479,'⚙️ Pengaturan'!$H$5:$H658,'⚙️ Pengaturan'!$I$5:$I658),"")</f>
        <v>MANAJEMEN</v>
      </c>
      <c r="N479" s="163" t="s">
        <v>1132</v>
      </c>
      <c r="O479" s="160" t="s">
        <v>1139</v>
      </c>
      <c r="P479" s="153">
        <f t="shared" si="13"/>
        <v>5</v>
      </c>
      <c r="Q479" s="164">
        <v>45953.0</v>
      </c>
      <c r="R479" s="164">
        <v>45957.0</v>
      </c>
      <c r="S479" s="164">
        <v>45963.0</v>
      </c>
      <c r="T479" s="164">
        <v>45967.0</v>
      </c>
      <c r="U479" s="164">
        <v>45978.0</v>
      </c>
      <c r="V479" s="164"/>
      <c r="W479" s="164"/>
      <c r="X479" s="164"/>
      <c r="Y479" s="164"/>
      <c r="Z479" s="164"/>
      <c r="AA479" s="165">
        <f t="shared" si="20"/>
        <v>45978</v>
      </c>
      <c r="AB479" s="160" t="s">
        <v>1134</v>
      </c>
      <c r="AC479" s="160" t="s">
        <v>1138</v>
      </c>
      <c r="AD479" s="166"/>
      <c r="AE479" s="156">
        <f t="shared" si="21"/>
        <v>45978</v>
      </c>
      <c r="AF479" s="107" t="str">
        <f t="shared" si="22"/>
        <v>2025</v>
      </c>
      <c r="AG479" s="107" t="str">
        <f t="shared" si="23"/>
        <v>11 Nov</v>
      </c>
      <c r="AH479" s="107" t="str">
        <f t="shared" si="24"/>
        <v>Sen</v>
      </c>
      <c r="AI479" s="157">
        <f t="shared" si="25"/>
        <v>4</v>
      </c>
      <c r="AJ479" s="96"/>
      <c r="AK479" s="169"/>
      <c r="AL479" s="96"/>
      <c r="AM479" s="158">
        <f t="shared" si="12"/>
        <v>0</v>
      </c>
    </row>
    <row r="480" ht="22.5" customHeight="1">
      <c r="A480" s="167"/>
      <c r="B480" s="160" t="s">
        <v>54</v>
      </c>
      <c r="C480" s="160" t="s">
        <v>1131</v>
      </c>
      <c r="D480" s="161">
        <v>45985.0</v>
      </c>
      <c r="E480" s="124" t="str">
        <f t="shared" si="1"/>
        <v>2025</v>
      </c>
      <c r="F480" s="124" t="str">
        <f t="shared" si="2"/>
        <v>11 Nov</v>
      </c>
      <c r="G480" s="124" t="str">
        <f t="shared" si="3"/>
        <v>Senin</v>
      </c>
      <c r="H480" s="160" t="s">
        <v>203</v>
      </c>
      <c r="I480" s="125" t="str">
        <f t="array" ref="I480">IFNA(XLOOKUP($H480,'🙎‍♂️ Pasien'!$G$7:$G658,'🙎‍♂️ Pasien'!$H$7:$H658),"")</f>
        <v>R7723022907</v>
      </c>
      <c r="J480" s="125" t="str">
        <f t="array" ref="J480">IFNA(XLOOKUP($H480,'🙎‍♂️ Pasien'!$G$7:$G658,'🙎‍♂️ Pasien'!$L$7:$L658),"")</f>
        <v>PEREMPUAN</v>
      </c>
      <c r="K480" s="125">
        <f t="array" ref="K480">IFNA(XLOOKUP($H480,'🙎‍♂️ Pasien'!$G$7:$G658,'🙎‍♂️ Pasien'!$I$7:$I658),"")</f>
        <v>48</v>
      </c>
      <c r="L480" s="160" t="s">
        <v>101</v>
      </c>
      <c r="M480" s="162" t="str">
        <f t="array" ref="M480">IFNA(XLOOKUP(L480,'⚙️ Pengaturan'!$H$5:$H658,'⚙️ Pengaturan'!$I$5:$I658),"")</f>
        <v>MANAJEMEN</v>
      </c>
      <c r="N480" s="163" t="s">
        <v>1132</v>
      </c>
      <c r="O480" s="160" t="s">
        <v>1139</v>
      </c>
      <c r="P480" s="153">
        <f t="shared" si="13"/>
        <v>5</v>
      </c>
      <c r="Q480" s="164">
        <v>45985.0</v>
      </c>
      <c r="R480" s="164">
        <v>45988.0</v>
      </c>
      <c r="S480" s="164">
        <v>45992.0</v>
      </c>
      <c r="T480" s="164">
        <v>46007.0</v>
      </c>
      <c r="U480" s="164">
        <v>46013.0</v>
      </c>
      <c r="V480" s="164"/>
      <c r="W480" s="164"/>
      <c r="X480" s="164"/>
      <c r="Y480" s="164"/>
      <c r="Z480" s="164"/>
      <c r="AA480" s="165">
        <f t="shared" si="20"/>
        <v>46013</v>
      </c>
      <c r="AB480" s="160" t="s">
        <v>1134</v>
      </c>
      <c r="AC480" s="160" t="s">
        <v>1135</v>
      </c>
      <c r="AD480" s="168" t="s">
        <v>1198</v>
      </c>
      <c r="AE480" s="156">
        <f t="shared" si="21"/>
        <v>46013</v>
      </c>
      <c r="AF480" s="107" t="str">
        <f t="shared" si="22"/>
        <v>2025</v>
      </c>
      <c r="AG480" s="107" t="str">
        <f t="shared" si="23"/>
        <v>12 Des</v>
      </c>
      <c r="AH480" s="107" t="str">
        <f t="shared" si="24"/>
        <v>Sen</v>
      </c>
      <c r="AI480" s="157">
        <f t="shared" si="25"/>
        <v>4</v>
      </c>
      <c r="AJ480" s="96"/>
      <c r="AK480" s="169"/>
      <c r="AL480" s="96"/>
      <c r="AM480" s="158">
        <f t="shared" si="12"/>
        <v>0</v>
      </c>
    </row>
    <row r="481" ht="22.5" customHeight="1">
      <c r="A481" s="167"/>
      <c r="B481" s="160" t="s">
        <v>86</v>
      </c>
      <c r="C481" s="160" t="s">
        <v>1131</v>
      </c>
      <c r="D481" s="173">
        <v>45952.0</v>
      </c>
      <c r="E481" s="124" t="str">
        <f t="shared" si="1"/>
        <v>2025</v>
      </c>
      <c r="F481" s="124" t="str">
        <f t="shared" si="2"/>
        <v>10 Okt</v>
      </c>
      <c r="G481" s="124" t="str">
        <f t="shared" si="3"/>
        <v>Rabu</v>
      </c>
      <c r="H481" s="160" t="s">
        <v>267</v>
      </c>
      <c r="I481" s="125" t="str">
        <f t="array" ref="I481">IFNA(XLOOKUP($H481,'🙎‍♂️ Pasien'!$G$7:$G658,'🙎‍♂️ Pasien'!$H$7:$H658),"")</f>
        <v>R8825109439</v>
      </c>
      <c r="J481" s="125" t="str">
        <f t="array" ref="J481">IFNA(XLOOKUP($H481,'🙎‍♂️ Pasien'!$G$7:$G658,'🙎‍♂️ Pasien'!$L$7:$L658),"")</f>
        <v>LAKI-LAKI</v>
      </c>
      <c r="K481" s="125">
        <f t="array" ref="K481">IFNA(XLOOKUP($H481,'🙎‍♂️ Pasien'!$G$7:$G658,'🙎‍♂️ Pasien'!$I$7:$I658),"")</f>
        <v>38</v>
      </c>
      <c r="L481" s="160" t="s">
        <v>107</v>
      </c>
      <c r="M481" s="162" t="str">
        <f t="array" ref="M481">IFNA(XLOOKUP(L481,'⚙️ Pengaturan'!$H$5:$H658,'⚙️ Pengaturan'!$I$5:$I658),"")</f>
        <v>TIM Y</v>
      </c>
      <c r="N481" s="160" t="s">
        <v>1132</v>
      </c>
      <c r="O481" s="160" t="s">
        <v>1133</v>
      </c>
      <c r="P481" s="153">
        <f t="shared" si="13"/>
        <v>5</v>
      </c>
      <c r="Q481" s="164">
        <v>45952.0</v>
      </c>
      <c r="R481" s="164">
        <v>45959.0</v>
      </c>
      <c r="S481" s="164">
        <v>45966.0</v>
      </c>
      <c r="T481" s="164">
        <v>45973.0</v>
      </c>
      <c r="U481" s="164">
        <v>45980.0</v>
      </c>
      <c r="V481" s="164"/>
      <c r="W481" s="164"/>
      <c r="X481" s="164"/>
      <c r="Y481" s="164"/>
      <c r="Z481" s="164"/>
      <c r="AA481" s="165">
        <f t="shared" si="20"/>
        <v>45980</v>
      </c>
      <c r="AB481" s="160" t="s">
        <v>1134</v>
      </c>
      <c r="AC481" s="160" t="s">
        <v>1138</v>
      </c>
      <c r="AD481" s="166"/>
      <c r="AE481" s="156">
        <f t="shared" si="21"/>
        <v>45980</v>
      </c>
      <c r="AF481" s="107" t="str">
        <f t="shared" si="22"/>
        <v>2025</v>
      </c>
      <c r="AG481" s="107" t="str">
        <f t="shared" si="23"/>
        <v>11 Nov</v>
      </c>
      <c r="AH481" s="107" t="str">
        <f t="shared" si="24"/>
        <v>Rab</v>
      </c>
      <c r="AI481" s="157">
        <f t="shared" si="25"/>
        <v>4</v>
      </c>
      <c r="AJ481" s="96"/>
      <c r="AK481" s="169"/>
      <c r="AL481" s="96"/>
      <c r="AM481" s="158">
        <f t="shared" si="12"/>
        <v>0</v>
      </c>
    </row>
    <row r="482" ht="22.5" customHeight="1">
      <c r="A482" s="167"/>
      <c r="B482" s="160" t="s">
        <v>54</v>
      </c>
      <c r="C482" s="160" t="s">
        <v>1131</v>
      </c>
      <c r="D482" s="173">
        <v>45987.0</v>
      </c>
      <c r="E482" s="124" t="str">
        <f t="shared" si="1"/>
        <v>2025</v>
      </c>
      <c r="F482" s="124" t="str">
        <f t="shared" si="2"/>
        <v>11 Nov</v>
      </c>
      <c r="G482" s="124" t="str">
        <f t="shared" si="3"/>
        <v>Rabu</v>
      </c>
      <c r="H482" s="160" t="s">
        <v>267</v>
      </c>
      <c r="I482" s="125" t="str">
        <f t="array" ref="I482">IFNA(XLOOKUP($H482,'🙎‍♂️ Pasien'!$G$7:$G658,'🙎‍♂️ Pasien'!$H$7:$H658),"")</f>
        <v>R8825109439</v>
      </c>
      <c r="J482" s="125" t="str">
        <f t="array" ref="J482">IFNA(XLOOKUP($H482,'🙎‍♂️ Pasien'!$G$7:$G658,'🙎‍♂️ Pasien'!$L$7:$L658),"")</f>
        <v>LAKI-LAKI</v>
      </c>
      <c r="K482" s="125">
        <f t="array" ref="K482">IFNA(XLOOKUP($H482,'🙎‍♂️ Pasien'!$G$7:$G658,'🙎‍♂️ Pasien'!$I$7:$I658),"")</f>
        <v>38</v>
      </c>
      <c r="L482" s="160" t="s">
        <v>107</v>
      </c>
      <c r="M482" s="162" t="str">
        <f t="array" ref="M482">IFNA(XLOOKUP(L482,'⚙️ Pengaturan'!$H$5:$H658,'⚙️ Pengaturan'!$I$5:$I658),"")</f>
        <v>TIM Y</v>
      </c>
      <c r="N482" s="160" t="s">
        <v>1132</v>
      </c>
      <c r="O482" s="160" t="s">
        <v>1139</v>
      </c>
      <c r="P482" s="153">
        <f t="shared" si="13"/>
        <v>5</v>
      </c>
      <c r="Q482" s="164">
        <v>45987.0</v>
      </c>
      <c r="R482" s="164">
        <v>45994.0</v>
      </c>
      <c r="S482" s="164">
        <v>46001.0</v>
      </c>
      <c r="T482" s="164">
        <v>46008.0</v>
      </c>
      <c r="U482" s="164">
        <v>46015.0</v>
      </c>
      <c r="V482" s="164"/>
      <c r="W482" s="164"/>
      <c r="X482" s="164"/>
      <c r="Y482" s="164"/>
      <c r="Z482" s="164"/>
      <c r="AA482" s="165">
        <f t="shared" si="20"/>
        <v>46015</v>
      </c>
      <c r="AB482" s="160" t="s">
        <v>1134</v>
      </c>
      <c r="AC482" s="160" t="s">
        <v>1138</v>
      </c>
      <c r="AD482" s="168" t="s">
        <v>1398</v>
      </c>
      <c r="AE482" s="156">
        <f t="shared" si="21"/>
        <v>46015</v>
      </c>
      <c r="AF482" s="107" t="str">
        <f t="shared" si="22"/>
        <v>2025</v>
      </c>
      <c r="AG482" s="107" t="str">
        <f t="shared" si="23"/>
        <v>12 Des</v>
      </c>
      <c r="AH482" s="107" t="str">
        <f t="shared" si="24"/>
        <v>Rab</v>
      </c>
      <c r="AI482" s="157">
        <f t="shared" si="25"/>
        <v>4</v>
      </c>
      <c r="AJ482" s="96"/>
      <c r="AK482" s="169"/>
      <c r="AL482" s="96"/>
      <c r="AM482" s="158">
        <f t="shared" si="12"/>
        <v>0</v>
      </c>
    </row>
    <row r="483" ht="22.5" customHeight="1">
      <c r="A483" s="167"/>
      <c r="B483" s="20"/>
      <c r="C483" s="20"/>
      <c r="D483" s="123">
        <v>45630.0</v>
      </c>
      <c r="E483" s="124" t="str">
        <f t="shared" si="1"/>
        <v>2024</v>
      </c>
      <c r="F483" s="124" t="str">
        <f t="shared" si="2"/>
        <v>12 Des</v>
      </c>
      <c r="G483" s="124" t="str">
        <f t="shared" si="3"/>
        <v>Rabu</v>
      </c>
      <c r="H483" s="16" t="s">
        <v>1399</v>
      </c>
      <c r="I483" s="125" t="str">
        <f t="array" ref="I483">IFNA(XLOOKUP($H483,'🙎‍♂️ Pasien'!$G$7:$G658,'🙎‍♂️ Pasien'!$H$7:$H658),"")</f>
        <v>R0123085464</v>
      </c>
      <c r="J483" s="125" t="str">
        <f t="array" ref="J483">IFNA(XLOOKUP($H483,'🙎‍♂️ Pasien'!$G$7:$G658,'🙎‍♂️ Pasien'!$L$7:$L658),"")</f>
        <v>LAKI-LAKI</v>
      </c>
      <c r="K483" s="125">
        <f t="array" ref="K483">IFNA(XLOOKUP($H483,'🙎‍♂️ Pasien'!$G$7:$G658,'🙎‍♂️ Pasien'!$I$7:$I658),"")</f>
        <v>25</v>
      </c>
      <c r="L483" s="20"/>
      <c r="M483" s="125" t="str">
        <f t="array" ref="M483">IFNA(XLOOKUP(L483,'⚙️ Pengaturan'!$H$5:$H658,'⚙️ Pengaturan'!$I$5:$I658),"")</f>
        <v/>
      </c>
      <c r="N483" s="16" t="s">
        <v>1132</v>
      </c>
      <c r="O483" s="16" t="s">
        <v>1133</v>
      </c>
      <c r="P483" s="153">
        <f t="shared" si="13"/>
        <v>3</v>
      </c>
      <c r="Q483" s="154">
        <v>45630.0</v>
      </c>
      <c r="R483" s="154">
        <v>45603.0</v>
      </c>
      <c r="S483" s="154">
        <v>45637.0</v>
      </c>
      <c r="T483" s="154"/>
      <c r="U483" s="154"/>
      <c r="V483" s="154"/>
      <c r="W483" s="154"/>
      <c r="X483" s="154"/>
      <c r="Y483" s="154"/>
      <c r="Z483" s="154"/>
      <c r="AA483" s="155">
        <f t="shared" si="20"/>
        <v>45637</v>
      </c>
      <c r="AB483" s="16" t="s">
        <v>1144</v>
      </c>
      <c r="AC483" s="20"/>
      <c r="AD483" s="170"/>
      <c r="AE483" s="156" t="str">
        <f t="shared" si="21"/>
        <v/>
      </c>
      <c r="AF483" s="107" t="str">
        <f t="shared" si="22"/>
        <v/>
      </c>
      <c r="AG483" s="107" t="str">
        <f t="shared" si="23"/>
        <v/>
      </c>
      <c r="AH483" s="107" t="str">
        <f t="shared" si="24"/>
        <v/>
      </c>
      <c r="AI483" s="157">
        <f t="shared" si="25"/>
        <v>79</v>
      </c>
      <c r="AJ483" s="96"/>
      <c r="AK483" s="169"/>
      <c r="AL483" s="96"/>
      <c r="AM483" s="158">
        <f t="shared" si="12"/>
        <v>0</v>
      </c>
    </row>
    <row r="484" ht="22.5" customHeight="1">
      <c r="A484" s="167"/>
      <c r="B484" s="172"/>
      <c r="C484" s="172"/>
      <c r="D484" s="173">
        <v>45730.0</v>
      </c>
      <c r="E484" s="124" t="str">
        <f t="shared" si="1"/>
        <v>2025</v>
      </c>
      <c r="F484" s="124" t="str">
        <f t="shared" si="2"/>
        <v>03 Mar</v>
      </c>
      <c r="G484" s="124" t="str">
        <f t="shared" si="3"/>
        <v>Jumat</v>
      </c>
      <c r="H484" s="160" t="s">
        <v>1400</v>
      </c>
      <c r="I484" s="125" t="str">
        <f t="array" ref="I484">IFNA(XLOOKUP($H484,'🙎‍♂️ Pasien'!$G$7:$G658,'🙎‍♂️ Pasien'!$H$7:$H658),"")</f>
        <v>R0025032344</v>
      </c>
      <c r="J484" s="125" t="str">
        <f t="array" ref="J484">IFNA(XLOOKUP($H484,'🙎‍♂️ Pasien'!$G$7:$G658,'🙎‍♂️ Pasien'!$L$7:$L658),"")</f>
        <v>LAKI-LAKI</v>
      </c>
      <c r="K484" s="125">
        <f t="array" ref="K484">IFNA(XLOOKUP($H484,'🙎‍♂️ Pasien'!$G$7:$G658,'🙎‍♂️ Pasien'!$I$7:$I658),"")</f>
        <v>25</v>
      </c>
      <c r="L484" s="160" t="s">
        <v>101</v>
      </c>
      <c r="M484" s="162" t="str">
        <f t="array" ref="M484">IFNA(XLOOKUP(L484,'⚙️ Pengaturan'!$H$5:$H658,'⚙️ Pengaturan'!$I$5:$I658),"")</f>
        <v>MANAJEMEN</v>
      </c>
      <c r="N484" s="160" t="s">
        <v>1132</v>
      </c>
      <c r="O484" s="160" t="s">
        <v>1133</v>
      </c>
      <c r="P484" s="153">
        <f t="shared" si="13"/>
        <v>1</v>
      </c>
      <c r="Q484" s="164">
        <v>45735.0</v>
      </c>
      <c r="R484" s="164"/>
      <c r="S484" s="164"/>
      <c r="T484" s="164"/>
      <c r="U484" s="164"/>
      <c r="V484" s="164"/>
      <c r="W484" s="164"/>
      <c r="X484" s="164"/>
      <c r="Y484" s="164"/>
      <c r="Z484" s="164"/>
      <c r="AA484" s="165">
        <f t="shared" si="20"/>
        <v>45735</v>
      </c>
      <c r="AB484" s="160" t="s">
        <v>1144</v>
      </c>
      <c r="AC484" s="174"/>
      <c r="AD484" s="168"/>
      <c r="AE484" s="156" t="str">
        <f t="shared" si="21"/>
        <v/>
      </c>
      <c r="AF484" s="107" t="str">
        <f t="shared" si="22"/>
        <v/>
      </c>
      <c r="AG484" s="107" t="str">
        <f t="shared" si="23"/>
        <v/>
      </c>
      <c r="AH484" s="107" t="str">
        <f t="shared" si="24"/>
        <v/>
      </c>
      <c r="AI484" s="157">
        <f t="shared" si="25"/>
        <v>64</v>
      </c>
      <c r="AJ484" s="96"/>
      <c r="AK484" s="169"/>
      <c r="AL484" s="96"/>
      <c r="AM484" s="158">
        <f t="shared" si="12"/>
        <v>0</v>
      </c>
    </row>
    <row r="485" ht="22.5" customHeight="1">
      <c r="A485" s="167"/>
      <c r="B485" s="20"/>
      <c r="C485" s="20"/>
      <c r="D485" s="123">
        <v>45616.0</v>
      </c>
      <c r="E485" s="124" t="str">
        <f t="shared" si="1"/>
        <v>2024</v>
      </c>
      <c r="F485" s="124" t="str">
        <f t="shared" si="2"/>
        <v>11 Nov</v>
      </c>
      <c r="G485" s="124" t="str">
        <f t="shared" si="3"/>
        <v>Rabu</v>
      </c>
      <c r="H485" s="16" t="s">
        <v>1401</v>
      </c>
      <c r="I485" s="125" t="str">
        <f t="array" ref="I485">IFNA(XLOOKUP($H485,'🙎‍♂️ Pasien'!$G$7:$G658,'🙎‍♂️ Pasien'!$H$7:$H658),"")</f>
        <v>R9824118810</v>
      </c>
      <c r="J485" s="125" t="str">
        <f t="array" ref="J485">IFNA(XLOOKUP($H485,'🙎‍♂️ Pasien'!$G$7:$G658,'🙎‍♂️ Pasien'!$L$7:$L658),"")</f>
        <v>LAKI-LAKI</v>
      </c>
      <c r="K485" s="125">
        <f t="array" ref="K485">IFNA(XLOOKUP($H485,'🙎‍♂️ Pasien'!$G$7:$G658,'🙎‍♂️ Pasien'!$I$7:$I658),"")</f>
        <v>27</v>
      </c>
      <c r="L485" s="16" t="s">
        <v>91</v>
      </c>
      <c r="M485" s="125" t="str">
        <f t="array" ref="M485">IFNA(XLOOKUP(L485,'⚙️ Pengaturan'!$H$5:$H658,'⚙️ Pengaturan'!$I$5:$I658),"")</f>
        <v>TIM Y</v>
      </c>
      <c r="N485" s="16" t="s">
        <v>1132</v>
      </c>
      <c r="O485" s="16" t="s">
        <v>1133</v>
      </c>
      <c r="P485" s="153">
        <f t="shared" si="13"/>
        <v>3</v>
      </c>
      <c r="Q485" s="154">
        <v>45641.0</v>
      </c>
      <c r="R485" s="154">
        <v>45652.0</v>
      </c>
      <c r="S485" s="154">
        <v>45665.0</v>
      </c>
      <c r="T485" s="154"/>
      <c r="U485" s="154"/>
      <c r="V485" s="154"/>
      <c r="W485" s="154"/>
      <c r="X485" s="154"/>
      <c r="Y485" s="154"/>
      <c r="Z485" s="154"/>
      <c r="AA485" s="155">
        <f t="shared" si="20"/>
        <v>45665</v>
      </c>
      <c r="AB485" s="16" t="s">
        <v>1144</v>
      </c>
      <c r="AC485" s="20"/>
      <c r="AD485" s="170"/>
      <c r="AE485" s="156" t="str">
        <f t="shared" si="21"/>
        <v/>
      </c>
      <c r="AF485" s="107" t="str">
        <f t="shared" si="22"/>
        <v/>
      </c>
      <c r="AG485" s="107" t="str">
        <f t="shared" si="23"/>
        <v/>
      </c>
      <c r="AH485" s="107" t="str">
        <f t="shared" si="24"/>
        <v/>
      </c>
      <c r="AI485" s="157">
        <f t="shared" si="25"/>
        <v>78</v>
      </c>
      <c r="AJ485" s="96"/>
      <c r="AK485" s="169"/>
      <c r="AL485" s="96"/>
      <c r="AM485" s="158">
        <f t="shared" si="12"/>
        <v>0</v>
      </c>
    </row>
    <row r="486" ht="22.5" customHeight="1">
      <c r="A486" s="167"/>
      <c r="B486" s="160" t="s">
        <v>54</v>
      </c>
      <c r="C486" s="160" t="s">
        <v>1131</v>
      </c>
      <c r="D486" s="161">
        <v>45960.0</v>
      </c>
      <c r="E486" s="124" t="str">
        <f t="shared" si="1"/>
        <v>2025</v>
      </c>
      <c r="F486" s="124" t="str">
        <f t="shared" si="2"/>
        <v>10 Okt</v>
      </c>
      <c r="G486" s="124" t="str">
        <f t="shared" si="3"/>
        <v>Kamis</v>
      </c>
      <c r="H486" s="160" t="s">
        <v>391</v>
      </c>
      <c r="I486" s="125" t="str">
        <f t="array" ref="I486">IFNA(XLOOKUP($H486,'🙎‍♂️ Pasien'!$G$7:$G658,'🙎‍♂️ Pasien'!$H$7:$H658),"")</f>
        <v>R6725103408</v>
      </c>
      <c r="J486" s="125" t="str">
        <f t="array" ref="J486">IFNA(XLOOKUP($H486,'🙎‍♂️ Pasien'!$G$7:$G658,'🙎‍♂️ Pasien'!$L$7:$L658),"")</f>
        <v>LAKI-LAKI</v>
      </c>
      <c r="K486" s="125">
        <f t="array" ref="K486">IFNA(XLOOKUP($H486,'🙎‍♂️ Pasien'!$G$7:$G658,'🙎‍♂️ Pasien'!$I$7:$I658),"")</f>
        <v>59</v>
      </c>
      <c r="L486" s="160" t="s">
        <v>72</v>
      </c>
      <c r="M486" s="162" t="str">
        <f t="array" ref="M486">IFNA(XLOOKUP(L486,'⚙️ Pengaturan'!$H$5:$H658,'⚙️ Pengaturan'!$I$5:$I658),"")</f>
        <v>TIM A</v>
      </c>
      <c r="N486" s="163" t="s">
        <v>1132</v>
      </c>
      <c r="O486" s="160" t="s">
        <v>1133</v>
      </c>
      <c r="P486" s="153">
        <f t="shared" si="13"/>
        <v>2</v>
      </c>
      <c r="Q486" s="164">
        <v>45960.0</v>
      </c>
      <c r="R486" s="164">
        <v>45965.0</v>
      </c>
      <c r="S486" s="164"/>
      <c r="T486" s="164"/>
      <c r="U486" s="164"/>
      <c r="V486" s="164"/>
      <c r="W486" s="164"/>
      <c r="X486" s="164"/>
      <c r="Y486" s="164"/>
      <c r="Z486" s="164"/>
      <c r="AA486" s="165">
        <f t="shared" si="20"/>
        <v>45965</v>
      </c>
      <c r="AB486" s="160" t="s">
        <v>1144</v>
      </c>
      <c r="AC486" s="174"/>
      <c r="AD486" s="166"/>
      <c r="AE486" s="156" t="str">
        <f t="shared" si="21"/>
        <v/>
      </c>
      <c r="AF486" s="107" t="str">
        <f t="shared" si="22"/>
        <v/>
      </c>
      <c r="AG486" s="107" t="str">
        <f t="shared" si="23"/>
        <v/>
      </c>
      <c r="AH486" s="107" t="str">
        <f t="shared" si="24"/>
        <v/>
      </c>
      <c r="AI486" s="157">
        <f t="shared" si="25"/>
        <v>32</v>
      </c>
      <c r="AJ486" s="96"/>
      <c r="AK486" s="169"/>
      <c r="AL486" s="96"/>
      <c r="AM486" s="158">
        <f t="shared" si="12"/>
        <v>0</v>
      </c>
    </row>
    <row r="487" ht="22.5" customHeight="1">
      <c r="A487" s="167"/>
      <c r="B487" s="163" t="s">
        <v>54</v>
      </c>
      <c r="C487" s="163" t="s">
        <v>1131</v>
      </c>
      <c r="D487" s="161">
        <v>45904.0</v>
      </c>
      <c r="E487" s="124" t="str">
        <f t="shared" si="1"/>
        <v>2025</v>
      </c>
      <c r="F487" s="124" t="str">
        <f t="shared" si="2"/>
        <v>09 Sep</v>
      </c>
      <c r="G487" s="124" t="str">
        <f t="shared" si="3"/>
        <v>Kamis</v>
      </c>
      <c r="H487" s="16" t="s">
        <v>1402</v>
      </c>
      <c r="I487" s="125" t="str">
        <f t="array" ref="I487">IFNA(XLOOKUP($H487,'🙎‍♂️ Pasien'!$G$7:$G658,'🙎‍♂️ Pasien'!$H$7:$H658),"")</f>
        <v>R7525093436</v>
      </c>
      <c r="J487" s="125" t="str">
        <f t="array" ref="J487">IFNA(XLOOKUP($H487,'🙎‍♂️ Pasien'!$G$7:$G658,'🙎‍♂️ Pasien'!$L$7:$L658),"")</f>
        <v>PEREMPUAN</v>
      </c>
      <c r="K487" s="125">
        <f t="array" ref="K487">IFNA(XLOOKUP($H487,'🙎‍♂️ Pasien'!$G$7:$G658,'🙎‍♂️ Pasien'!$I$7:$I658),"")</f>
        <v>50</v>
      </c>
      <c r="L487" s="16" t="s">
        <v>91</v>
      </c>
      <c r="M487" s="125" t="str">
        <f t="array" ref="M487">IFNA(XLOOKUP(L487,'⚙️ Pengaturan'!$H$5:$H658,'⚙️ Pengaturan'!$I$5:$I658),"")</f>
        <v>TIM Y</v>
      </c>
      <c r="N487" s="16" t="s">
        <v>1132</v>
      </c>
      <c r="O487" s="16" t="s">
        <v>1133</v>
      </c>
      <c r="P487" s="153">
        <f t="shared" si="13"/>
        <v>5</v>
      </c>
      <c r="Q487" s="154">
        <v>45904.0</v>
      </c>
      <c r="R487" s="154">
        <v>45906.0</v>
      </c>
      <c r="S487" s="154">
        <v>45907.0</v>
      </c>
      <c r="T487" s="154">
        <v>45908.0</v>
      </c>
      <c r="U487" s="154">
        <v>45908.0</v>
      </c>
      <c r="V487" s="154"/>
      <c r="W487" s="154"/>
      <c r="X487" s="154"/>
      <c r="Y487" s="154"/>
      <c r="Z487" s="154"/>
      <c r="AA487" s="155">
        <f t="shared" si="20"/>
        <v>45908</v>
      </c>
      <c r="AB487" s="16" t="s">
        <v>1144</v>
      </c>
      <c r="AC487" s="20"/>
      <c r="AD487" s="170"/>
      <c r="AE487" s="156">
        <f t="shared" si="21"/>
        <v>45908</v>
      </c>
      <c r="AF487" s="107" t="str">
        <f t="shared" si="22"/>
        <v>2025</v>
      </c>
      <c r="AG487" s="107" t="str">
        <f t="shared" si="23"/>
        <v>09 Sep</v>
      </c>
      <c r="AH487" s="107" t="str">
        <f t="shared" si="24"/>
        <v>Sen</v>
      </c>
      <c r="AI487" s="157">
        <f t="shared" si="25"/>
        <v>1</v>
      </c>
      <c r="AJ487" s="96"/>
      <c r="AK487" s="169"/>
      <c r="AL487" s="96"/>
      <c r="AM487" s="158">
        <f t="shared" si="12"/>
        <v>0</v>
      </c>
    </row>
    <row r="488" ht="22.5" customHeight="1">
      <c r="A488" s="167"/>
      <c r="B488" s="160" t="s">
        <v>54</v>
      </c>
      <c r="C488" s="160" t="s">
        <v>1131</v>
      </c>
      <c r="D488" s="161">
        <v>45959.0</v>
      </c>
      <c r="E488" s="124" t="str">
        <f t="shared" si="1"/>
        <v>2025</v>
      </c>
      <c r="F488" s="124" t="str">
        <f t="shared" si="2"/>
        <v>10 Okt</v>
      </c>
      <c r="G488" s="124" t="str">
        <f t="shared" si="3"/>
        <v>Rabu</v>
      </c>
      <c r="H488" s="160" t="s">
        <v>454</v>
      </c>
      <c r="I488" s="125" t="str">
        <f t="array" ref="I488">IFNA(XLOOKUP($H488,'🙎‍♂️ Pasien'!$G$7:$G658,'🙎‍♂️ Pasien'!$H$7:$H658),"")</f>
        <v>R5625107738</v>
      </c>
      <c r="J488" s="125" t="str">
        <f t="array" ref="J488">IFNA(XLOOKUP($H488,'🙎‍♂️ Pasien'!$G$7:$G658,'🙎‍♂️ Pasien'!$L$7:$L658),"")</f>
        <v>PEREMPUAN</v>
      </c>
      <c r="K488" s="125">
        <f t="array" ref="K488">IFNA(XLOOKUP($H488,'🙎‍♂️ Pasien'!$G$7:$G658,'🙎‍♂️ Pasien'!$I$7:$I658),"")</f>
        <v>70</v>
      </c>
      <c r="L488" s="160" t="s">
        <v>101</v>
      </c>
      <c r="M488" s="162" t="str">
        <f t="array" ref="M488">IFNA(XLOOKUP(L488,'⚙️ Pengaturan'!$H$5:$H658,'⚙️ Pengaturan'!$I$5:$I658),"")</f>
        <v>MANAJEMEN</v>
      </c>
      <c r="N488" s="163" t="s">
        <v>1132</v>
      </c>
      <c r="O488" s="160" t="s">
        <v>1133</v>
      </c>
      <c r="P488" s="153">
        <f t="shared" si="13"/>
        <v>2</v>
      </c>
      <c r="Q488" s="164">
        <v>45959.0</v>
      </c>
      <c r="R488" s="164">
        <v>45968.0</v>
      </c>
      <c r="S488" s="164"/>
      <c r="T488" s="164"/>
      <c r="U488" s="164"/>
      <c r="V488" s="164"/>
      <c r="W488" s="164"/>
      <c r="X488" s="164"/>
      <c r="Y488" s="164"/>
      <c r="Z488" s="164"/>
      <c r="AA488" s="165">
        <f t="shared" si="20"/>
        <v>45968</v>
      </c>
      <c r="AB488" s="160" t="s">
        <v>1144</v>
      </c>
      <c r="AC488" s="172"/>
      <c r="AD488" s="166"/>
      <c r="AE488" s="156" t="str">
        <f t="shared" si="21"/>
        <v/>
      </c>
      <c r="AF488" s="107" t="str">
        <f t="shared" si="22"/>
        <v/>
      </c>
      <c r="AG488" s="107" t="str">
        <f t="shared" si="23"/>
        <v/>
      </c>
      <c r="AH488" s="107" t="str">
        <f t="shared" si="24"/>
        <v/>
      </c>
      <c r="AI488" s="157">
        <f t="shared" si="25"/>
        <v>32</v>
      </c>
      <c r="AJ488" s="96"/>
      <c r="AK488" s="169"/>
      <c r="AL488" s="96"/>
      <c r="AM488" s="158">
        <f t="shared" si="12"/>
        <v>0</v>
      </c>
    </row>
    <row r="489" ht="22.5" customHeight="1">
      <c r="A489" s="167"/>
      <c r="B489" s="160" t="s">
        <v>86</v>
      </c>
      <c r="C489" s="160" t="s">
        <v>1131</v>
      </c>
      <c r="D489" s="173">
        <v>45981.0</v>
      </c>
      <c r="E489" s="124" t="str">
        <f t="shared" si="1"/>
        <v>2025</v>
      </c>
      <c r="F489" s="124" t="str">
        <f t="shared" si="2"/>
        <v>11 Nov</v>
      </c>
      <c r="G489" s="124" t="str">
        <f t="shared" si="3"/>
        <v>Kamis</v>
      </c>
      <c r="H489" s="160" t="s">
        <v>1013</v>
      </c>
      <c r="I489" s="125" t="str">
        <f t="array" ref="I489">IFNA(XLOOKUP($H489,'🙎‍♂️ Pasien'!$G$7:$G658,'🙎‍♂️ Pasien'!$H$7:$H658),"")</f>
        <v/>
      </c>
      <c r="J489" s="125" t="str">
        <f t="array" ref="J489">IFNA(XLOOKUP($H489,'🙎‍♂️ Pasien'!$G$7:$G658,'🙎‍♂️ Pasien'!$L$7:$L658),"")</f>
        <v/>
      </c>
      <c r="K489" s="125" t="str">
        <f t="array" ref="K489">IFNA(XLOOKUP($H489,'🙎‍♂️ Pasien'!$G$7:$G658,'🙎‍♂️ Pasien'!$I$7:$I658),"")</f>
        <v/>
      </c>
      <c r="L489" s="160" t="s">
        <v>79</v>
      </c>
      <c r="M489" s="162" t="str">
        <f t="array" ref="M489">IFNA(XLOOKUP(L489,'⚙️ Pengaturan'!$H$5:$H658,'⚙️ Pengaturan'!$I$5:$I658),"")</f>
        <v>TIM A</v>
      </c>
      <c r="N489" s="160" t="s">
        <v>1132</v>
      </c>
      <c r="O489" s="160" t="s">
        <v>1133</v>
      </c>
      <c r="P489" s="153">
        <f t="shared" si="13"/>
        <v>5</v>
      </c>
      <c r="Q489" s="164">
        <v>45981.0</v>
      </c>
      <c r="R489" s="164">
        <v>45983.0</v>
      </c>
      <c r="S489" s="164">
        <v>45986.0</v>
      </c>
      <c r="T489" s="164">
        <v>45990.0</v>
      </c>
      <c r="U489" s="164">
        <v>45992.0</v>
      </c>
      <c r="V489" s="164"/>
      <c r="W489" s="164"/>
      <c r="X489" s="164"/>
      <c r="Y489" s="164"/>
      <c r="Z489" s="164"/>
      <c r="AA489" s="165">
        <f t="shared" si="20"/>
        <v>45992</v>
      </c>
      <c r="AB489" s="160" t="s">
        <v>1134</v>
      </c>
      <c r="AC489" s="160" t="s">
        <v>1138</v>
      </c>
      <c r="AD489" s="166"/>
      <c r="AE489" s="156">
        <f t="shared" si="21"/>
        <v>45992</v>
      </c>
      <c r="AF489" s="107" t="str">
        <f t="shared" si="22"/>
        <v>2025</v>
      </c>
      <c r="AG489" s="107" t="str">
        <f t="shared" si="23"/>
        <v>12 Des</v>
      </c>
      <c r="AH489" s="107" t="str">
        <f t="shared" si="24"/>
        <v>Sen</v>
      </c>
      <c r="AI489" s="157">
        <f t="shared" si="25"/>
        <v>2</v>
      </c>
      <c r="AJ489" s="96"/>
      <c r="AK489" s="169"/>
      <c r="AL489" s="96"/>
      <c r="AM489" s="158">
        <f t="shared" si="12"/>
        <v>0</v>
      </c>
    </row>
    <row r="490" ht="22.5" customHeight="1">
      <c r="A490" s="167"/>
      <c r="B490" s="160" t="s">
        <v>86</v>
      </c>
      <c r="C490" s="160" t="s">
        <v>1131</v>
      </c>
      <c r="D490" s="161">
        <v>45841.0</v>
      </c>
      <c r="E490" s="124" t="str">
        <f t="shared" si="1"/>
        <v>2025</v>
      </c>
      <c r="F490" s="124" t="str">
        <f t="shared" si="2"/>
        <v>07 Jul</v>
      </c>
      <c r="G490" s="124" t="str">
        <f t="shared" si="3"/>
        <v>Kamis</v>
      </c>
      <c r="H490" s="160" t="s">
        <v>1403</v>
      </c>
      <c r="I490" s="125" t="str">
        <f t="array" ref="I490">IFNA(XLOOKUP($H490,'🙎‍♂️ Pasien'!$G$7:$G658,'🙎‍♂️ Pasien'!$H$7:$H658),"")</f>
        <v>R0025077421</v>
      </c>
      <c r="J490" s="125" t="str">
        <f t="array" ref="J490">IFNA(XLOOKUP($H490,'🙎‍♂️ Pasien'!$G$7:$G658,'🙎‍♂️ Pasien'!$L$7:$L658),"")</f>
        <v>PEREMPUAN</v>
      </c>
      <c r="K490" s="125">
        <f t="array" ref="K490">IFNA(XLOOKUP($H490,'🙎‍♂️ Pasien'!$G$7:$G658,'🙎‍♂️ Pasien'!$I$7:$I658),"")</f>
        <v>25</v>
      </c>
      <c r="L490" s="160" t="s">
        <v>62</v>
      </c>
      <c r="M490" s="162" t="str">
        <f t="array" ref="M490">IFNA(XLOOKUP(L490,'⚙️ Pengaturan'!$H$5:$H658,'⚙️ Pengaturan'!$I$5:$I658),"")</f>
        <v>TIM A</v>
      </c>
      <c r="N490" s="163" t="s">
        <v>1132</v>
      </c>
      <c r="O490" s="160" t="s">
        <v>1133</v>
      </c>
      <c r="P490" s="153">
        <f t="shared" si="13"/>
        <v>5</v>
      </c>
      <c r="Q490" s="164">
        <v>45841.0</v>
      </c>
      <c r="R490" s="164">
        <v>45844.0</v>
      </c>
      <c r="S490" s="164">
        <v>45846.0</v>
      </c>
      <c r="T490" s="164">
        <v>45850.0</v>
      </c>
      <c r="U490" s="164">
        <v>45852.0</v>
      </c>
      <c r="V490" s="164"/>
      <c r="W490" s="164"/>
      <c r="X490" s="164"/>
      <c r="Y490" s="164"/>
      <c r="Z490" s="164"/>
      <c r="AA490" s="165">
        <f t="shared" si="20"/>
        <v>45852</v>
      </c>
      <c r="AB490" s="160" t="s">
        <v>1134</v>
      </c>
      <c r="AC490" s="160" t="s">
        <v>1138</v>
      </c>
      <c r="AD490" s="166"/>
      <c r="AE490" s="156">
        <f t="shared" si="21"/>
        <v>45852</v>
      </c>
      <c r="AF490" s="107" t="str">
        <f t="shared" si="22"/>
        <v>2025</v>
      </c>
      <c r="AG490" s="107" t="str">
        <f t="shared" si="23"/>
        <v>07 Jul</v>
      </c>
      <c r="AH490" s="107" t="str">
        <f t="shared" si="24"/>
        <v>Sen</v>
      </c>
      <c r="AI490" s="157">
        <f t="shared" si="25"/>
        <v>2</v>
      </c>
      <c r="AJ490" s="96"/>
      <c r="AK490" s="169"/>
      <c r="AL490" s="96"/>
      <c r="AM490" s="158">
        <f t="shared" si="12"/>
        <v>0</v>
      </c>
    </row>
    <row r="491" ht="22.5" customHeight="1">
      <c r="A491" s="167"/>
      <c r="B491" s="160" t="s">
        <v>134</v>
      </c>
      <c r="C491" s="160" t="s">
        <v>1131</v>
      </c>
      <c r="D491" s="161">
        <v>45854.0</v>
      </c>
      <c r="E491" s="124" t="str">
        <f t="shared" si="1"/>
        <v>2025</v>
      </c>
      <c r="F491" s="124" t="str">
        <f t="shared" si="2"/>
        <v>07 Jul</v>
      </c>
      <c r="G491" s="124" t="str">
        <f t="shared" si="3"/>
        <v>Rabu</v>
      </c>
      <c r="H491" s="160" t="s">
        <v>1403</v>
      </c>
      <c r="I491" s="125" t="str">
        <f t="array" ref="I491">IFNA(XLOOKUP($H491,'🙎‍♂️ Pasien'!$G$7:$G658,'🙎‍♂️ Pasien'!$H$7:$H658),"")</f>
        <v>R0025077421</v>
      </c>
      <c r="J491" s="125" t="str">
        <f t="array" ref="J491">IFNA(XLOOKUP($H491,'🙎‍♂️ Pasien'!$G$7:$G658,'🙎‍♂️ Pasien'!$L$7:$L658),"")</f>
        <v>PEREMPUAN</v>
      </c>
      <c r="K491" s="125">
        <f t="array" ref="K491">IFNA(XLOOKUP($H491,'🙎‍♂️ Pasien'!$G$7:$G658,'🙎‍♂️ Pasien'!$I$7:$I658),"")</f>
        <v>25</v>
      </c>
      <c r="L491" s="160" t="s">
        <v>62</v>
      </c>
      <c r="M491" s="162" t="str">
        <f t="array" ref="M491">IFNA(XLOOKUP(L491,'⚙️ Pengaturan'!$H$5:$H658,'⚙️ Pengaturan'!$I$5:$I658),"")</f>
        <v>TIM A</v>
      </c>
      <c r="N491" s="163" t="s">
        <v>1132</v>
      </c>
      <c r="O491" s="160" t="s">
        <v>1139</v>
      </c>
      <c r="P491" s="153">
        <f t="shared" si="13"/>
        <v>5</v>
      </c>
      <c r="Q491" s="164">
        <v>45854.0</v>
      </c>
      <c r="R491" s="164">
        <v>45857.0</v>
      </c>
      <c r="S491" s="164">
        <v>45860.0</v>
      </c>
      <c r="T491" s="164">
        <v>45864.0</v>
      </c>
      <c r="U491" s="164">
        <v>45871.0</v>
      </c>
      <c r="V491" s="164"/>
      <c r="W491" s="164"/>
      <c r="X491" s="164"/>
      <c r="Y491" s="164"/>
      <c r="Z491" s="164"/>
      <c r="AA491" s="165">
        <f t="shared" si="20"/>
        <v>45871</v>
      </c>
      <c r="AB491" s="160" t="s">
        <v>1134</v>
      </c>
      <c r="AC491" s="160" t="s">
        <v>1142</v>
      </c>
      <c r="AD491" s="166"/>
      <c r="AE491" s="156">
        <f t="shared" si="21"/>
        <v>45871</v>
      </c>
      <c r="AF491" s="107" t="str">
        <f t="shared" si="22"/>
        <v>2025</v>
      </c>
      <c r="AG491" s="107" t="str">
        <f t="shared" si="23"/>
        <v>08 Agu</v>
      </c>
      <c r="AH491" s="107" t="str">
        <f t="shared" si="24"/>
        <v>Sab</v>
      </c>
      <c r="AI491" s="157">
        <f t="shared" si="25"/>
        <v>3</v>
      </c>
      <c r="AJ491" s="96"/>
      <c r="AK491" s="169"/>
      <c r="AL491" s="96"/>
      <c r="AM491" s="158">
        <f t="shared" si="12"/>
        <v>0</v>
      </c>
    </row>
    <row r="492" ht="22.5" customHeight="1">
      <c r="A492" s="167"/>
      <c r="B492" s="160" t="s">
        <v>134</v>
      </c>
      <c r="C492" s="160" t="s">
        <v>1131</v>
      </c>
      <c r="D492" s="161">
        <v>45891.0</v>
      </c>
      <c r="E492" s="124" t="str">
        <f t="shared" si="1"/>
        <v>2025</v>
      </c>
      <c r="F492" s="124" t="str">
        <f t="shared" si="2"/>
        <v>08 Agu</v>
      </c>
      <c r="G492" s="124" t="str">
        <f t="shared" si="3"/>
        <v>Jumat</v>
      </c>
      <c r="H492" s="160" t="s">
        <v>1404</v>
      </c>
      <c r="I492" s="125" t="str">
        <f t="array" ref="I492">IFNA(XLOOKUP($H492,'🙎‍♂️ Pasien'!$G$7:$G658,'🙎‍♂️ Pasien'!$H$7:$H658),"")</f>
        <v>R8025084828</v>
      </c>
      <c r="J492" s="125" t="str">
        <f t="array" ref="J492">IFNA(XLOOKUP($H492,'🙎‍♂️ Pasien'!$G$7:$G658,'🙎‍♂️ Pasien'!$L$7:$L658),"")</f>
        <v>PEREMPUAN</v>
      </c>
      <c r="K492" s="125">
        <f t="array" ref="K492">IFNA(XLOOKUP($H492,'🙎‍♂️ Pasien'!$G$7:$G658,'🙎‍♂️ Pasien'!$I$7:$I658),"")</f>
        <v>45</v>
      </c>
      <c r="L492" s="160" t="s">
        <v>62</v>
      </c>
      <c r="M492" s="162" t="str">
        <f t="array" ref="M492">IFNA(XLOOKUP(L492,'⚙️ Pengaturan'!$H$5:$H658,'⚙️ Pengaturan'!$I$5:$I658),"")</f>
        <v>TIM A</v>
      </c>
      <c r="N492" s="163" t="s">
        <v>1132</v>
      </c>
      <c r="O492" s="160" t="s">
        <v>1133</v>
      </c>
      <c r="P492" s="153">
        <f t="shared" si="13"/>
        <v>4</v>
      </c>
      <c r="Q492" s="164">
        <v>45895.0</v>
      </c>
      <c r="R492" s="164">
        <v>45898.0</v>
      </c>
      <c r="S492" s="164">
        <v>45900.0</v>
      </c>
      <c r="T492" s="164">
        <v>45902.0</v>
      </c>
      <c r="U492" s="164"/>
      <c r="V492" s="164"/>
      <c r="W492" s="164"/>
      <c r="X492" s="164"/>
      <c r="Y492" s="164"/>
      <c r="Z492" s="164"/>
      <c r="AA492" s="165">
        <f t="shared" si="20"/>
        <v>45902</v>
      </c>
      <c r="AB492" s="160" t="s">
        <v>1144</v>
      </c>
      <c r="AC492" s="172"/>
      <c r="AD492" s="168"/>
      <c r="AE492" s="156" t="str">
        <f t="shared" si="21"/>
        <v/>
      </c>
      <c r="AF492" s="107" t="str">
        <f t="shared" si="22"/>
        <v/>
      </c>
      <c r="AG492" s="107" t="str">
        <f t="shared" si="23"/>
        <v/>
      </c>
      <c r="AH492" s="107" t="str">
        <f t="shared" si="24"/>
        <v/>
      </c>
      <c r="AI492" s="157">
        <f t="shared" si="25"/>
        <v>41</v>
      </c>
      <c r="AJ492" s="96"/>
      <c r="AK492" s="169"/>
      <c r="AL492" s="96"/>
      <c r="AM492" s="158">
        <f t="shared" si="12"/>
        <v>0</v>
      </c>
    </row>
    <row r="493" ht="22.5" customHeight="1">
      <c r="A493" s="167"/>
      <c r="B493" s="160" t="s">
        <v>54</v>
      </c>
      <c r="C493" s="160" t="s">
        <v>1309</v>
      </c>
      <c r="D493" s="173">
        <v>45994.0</v>
      </c>
      <c r="E493" s="124" t="str">
        <f t="shared" si="1"/>
        <v>2025</v>
      </c>
      <c r="F493" s="124" t="str">
        <f t="shared" si="2"/>
        <v>12 Des</v>
      </c>
      <c r="G493" s="124" t="str">
        <f t="shared" si="3"/>
        <v>Rabu</v>
      </c>
      <c r="H493" s="160" t="s">
        <v>616</v>
      </c>
      <c r="I493" s="125" t="str">
        <f t="array" ref="I493">IFNA(XLOOKUP($H493,'🙎‍♂️ Pasien'!$G$7:$G658,'🙎‍♂️ Pasien'!$H$7:$H658),"")</f>
        <v>R6725050750</v>
      </c>
      <c r="J493" s="125" t="str">
        <f t="array" ref="J493">IFNA(XLOOKUP($H493,'🙎‍♂️ Pasien'!$G$7:$G658,'🙎‍♂️ Pasien'!$L$7:$L658),"")</f>
        <v>PEREMPUAN</v>
      </c>
      <c r="K493" s="125">
        <f t="array" ref="K493">IFNA(XLOOKUP($H493,'🙎‍♂️ Pasien'!$G$7:$G658,'🙎‍♂️ Pasien'!$I$7:$I658),"")</f>
        <v>58</v>
      </c>
      <c r="L493" s="160" t="s">
        <v>79</v>
      </c>
      <c r="M493" s="162" t="str">
        <f t="array" ref="M493">IFNA(XLOOKUP(L493,'⚙️ Pengaturan'!$H$5:$H658,'⚙️ Pengaturan'!$I$5:$I658),"")</f>
        <v>TIM A</v>
      </c>
      <c r="N493" s="160" t="s">
        <v>1132</v>
      </c>
      <c r="O493" s="160" t="s">
        <v>1133</v>
      </c>
      <c r="P493" s="153">
        <f t="shared" si="13"/>
        <v>5</v>
      </c>
      <c r="Q493" s="164">
        <v>45994.0</v>
      </c>
      <c r="R493" s="164">
        <v>45995.0</v>
      </c>
      <c r="S493" s="164">
        <v>45999.0</v>
      </c>
      <c r="T493" s="164">
        <v>46002.0</v>
      </c>
      <c r="U493" s="164">
        <v>46004.0</v>
      </c>
      <c r="V493" s="164"/>
      <c r="W493" s="164"/>
      <c r="X493" s="164"/>
      <c r="Y493" s="164"/>
      <c r="Z493" s="164"/>
      <c r="AA493" s="165">
        <f t="shared" si="20"/>
        <v>46004</v>
      </c>
      <c r="AB493" s="160" t="s">
        <v>1134</v>
      </c>
      <c r="AC493" s="160" t="s">
        <v>1142</v>
      </c>
      <c r="AD493" s="166"/>
      <c r="AE493" s="156">
        <f t="shared" si="21"/>
        <v>46004</v>
      </c>
      <c r="AF493" s="107" t="str">
        <f t="shared" si="22"/>
        <v>2025</v>
      </c>
      <c r="AG493" s="107" t="str">
        <f t="shared" si="23"/>
        <v>12 Des</v>
      </c>
      <c r="AH493" s="107" t="str">
        <f t="shared" si="24"/>
        <v>Sab</v>
      </c>
      <c r="AI493" s="157">
        <f t="shared" si="25"/>
        <v>2</v>
      </c>
      <c r="AJ493" s="96"/>
      <c r="AK493" s="169"/>
      <c r="AL493" s="96"/>
      <c r="AM493" s="158">
        <f t="shared" si="12"/>
        <v>0</v>
      </c>
    </row>
    <row r="494" ht="22.5" customHeight="1">
      <c r="A494" s="167"/>
      <c r="B494" s="160" t="s">
        <v>86</v>
      </c>
      <c r="C494" s="160" t="s">
        <v>1131</v>
      </c>
      <c r="D494" s="161">
        <v>45837.0</v>
      </c>
      <c r="E494" s="124" t="str">
        <f t="shared" si="1"/>
        <v>2025</v>
      </c>
      <c r="F494" s="124" t="str">
        <f t="shared" si="2"/>
        <v>06 Jun</v>
      </c>
      <c r="G494" s="124" t="str">
        <f t="shared" si="3"/>
        <v>Minggu</v>
      </c>
      <c r="H494" s="160" t="s">
        <v>1405</v>
      </c>
      <c r="I494" s="125" t="str">
        <f t="array" ref="I494">IFNA(XLOOKUP($H494,'🙎‍♂️ Pasien'!$G$7:$G658,'🙎‍♂️ Pasien'!$H$7:$H658),"")</f>
        <v>R0023064561</v>
      </c>
      <c r="J494" s="125" t="str">
        <f t="array" ref="J494">IFNA(XLOOKUP($H494,'🙎‍♂️ Pasien'!$G$7:$G658,'🙎‍♂️ Pasien'!$L$7:$L658),"")</f>
        <v>PEREMPUAN</v>
      </c>
      <c r="K494" s="125">
        <f t="array" ref="K494">IFNA(XLOOKUP($H494,'🙎‍♂️ Pasien'!$G$7:$G658,'🙎‍♂️ Pasien'!$I$7:$I658),"")</f>
        <v>26</v>
      </c>
      <c r="L494" s="160" t="s">
        <v>62</v>
      </c>
      <c r="M494" s="162" t="str">
        <f t="array" ref="M494">IFNA(XLOOKUP(L494,'⚙️ Pengaturan'!$H$5:$H658,'⚙️ Pengaturan'!$I$5:$I658),"")</f>
        <v>TIM A</v>
      </c>
      <c r="N494" s="163" t="s">
        <v>1132</v>
      </c>
      <c r="O494" s="160" t="s">
        <v>1133</v>
      </c>
      <c r="P494" s="153">
        <f t="shared" si="13"/>
        <v>5</v>
      </c>
      <c r="Q494" s="164">
        <v>45837.0</v>
      </c>
      <c r="R494" s="164">
        <v>45839.0</v>
      </c>
      <c r="S494" s="164">
        <v>45841.0</v>
      </c>
      <c r="T494" s="164">
        <v>45853.0</v>
      </c>
      <c r="U494" s="164">
        <v>45855.0</v>
      </c>
      <c r="V494" s="164"/>
      <c r="W494" s="164"/>
      <c r="X494" s="164"/>
      <c r="Y494" s="164"/>
      <c r="Z494" s="164"/>
      <c r="AA494" s="165">
        <f t="shared" si="20"/>
        <v>45855</v>
      </c>
      <c r="AB494" s="160" t="s">
        <v>1134</v>
      </c>
      <c r="AC494" s="160" t="s">
        <v>1138</v>
      </c>
      <c r="AD494" s="166"/>
      <c r="AE494" s="156">
        <f t="shared" si="21"/>
        <v>45855</v>
      </c>
      <c r="AF494" s="107" t="str">
        <f t="shared" si="22"/>
        <v>2025</v>
      </c>
      <c r="AG494" s="107" t="str">
        <f t="shared" si="23"/>
        <v>07 Jul</v>
      </c>
      <c r="AH494" s="107" t="str">
        <f t="shared" si="24"/>
        <v>Kam</v>
      </c>
      <c r="AI494" s="157">
        <f t="shared" si="25"/>
        <v>3</v>
      </c>
      <c r="AJ494" s="96"/>
      <c r="AK494" s="169"/>
      <c r="AL494" s="96"/>
      <c r="AM494" s="158">
        <f t="shared" si="12"/>
        <v>0</v>
      </c>
    </row>
    <row r="495" ht="22.5" customHeight="1">
      <c r="A495" s="167"/>
      <c r="B495" s="160" t="s">
        <v>86</v>
      </c>
      <c r="C495" s="160" t="s">
        <v>1309</v>
      </c>
      <c r="D495" s="161">
        <v>45857.0</v>
      </c>
      <c r="E495" s="124" t="str">
        <f t="shared" si="1"/>
        <v>2025</v>
      </c>
      <c r="F495" s="124" t="str">
        <f t="shared" si="2"/>
        <v>07 Jul</v>
      </c>
      <c r="G495" s="124" t="str">
        <f t="shared" si="3"/>
        <v>Sabtu</v>
      </c>
      <c r="H495" s="160" t="s">
        <v>1405</v>
      </c>
      <c r="I495" s="125" t="str">
        <f t="array" ref="I495">IFNA(XLOOKUP($H495,'🙎‍♂️ Pasien'!$G$7:$G658,'🙎‍♂️ Pasien'!$H$7:$H658),"")</f>
        <v>R0023064561</v>
      </c>
      <c r="J495" s="125" t="str">
        <f t="array" ref="J495">IFNA(XLOOKUP($H495,'🙎‍♂️ Pasien'!$G$7:$G658,'🙎‍♂️ Pasien'!$L$7:$L658),"")</f>
        <v>PEREMPUAN</v>
      </c>
      <c r="K495" s="125">
        <f t="array" ref="K495">IFNA(XLOOKUP($H495,'🙎‍♂️ Pasien'!$G$7:$G658,'🙎‍♂️ Pasien'!$I$7:$I658),"")</f>
        <v>26</v>
      </c>
      <c r="L495" s="160" t="s">
        <v>598</v>
      </c>
      <c r="M495" s="162" t="str">
        <f t="array" ref="M495">IFNA(XLOOKUP(L495,'⚙️ Pengaturan'!$H$5:$H658,'⚙️ Pengaturan'!$I$5:$I658),"")</f>
        <v>INAKTIF</v>
      </c>
      <c r="N495" s="163" t="s">
        <v>1132</v>
      </c>
      <c r="O495" s="160" t="s">
        <v>1139</v>
      </c>
      <c r="P495" s="153">
        <f t="shared" si="13"/>
        <v>5</v>
      </c>
      <c r="Q495" s="164">
        <v>45857.0</v>
      </c>
      <c r="R495" s="164">
        <v>45858.0</v>
      </c>
      <c r="S495" s="164">
        <v>45859.0</v>
      </c>
      <c r="T495" s="164">
        <v>45860.0</v>
      </c>
      <c r="U495" s="164">
        <v>45861.0</v>
      </c>
      <c r="V495" s="164"/>
      <c r="W495" s="164"/>
      <c r="X495" s="164"/>
      <c r="Y495" s="164"/>
      <c r="Z495" s="164"/>
      <c r="AA495" s="165">
        <f t="shared" si="20"/>
        <v>45861</v>
      </c>
      <c r="AB495" s="160" t="s">
        <v>1134</v>
      </c>
      <c r="AC495" s="174"/>
      <c r="AD495" s="166"/>
      <c r="AE495" s="156">
        <f t="shared" si="21"/>
        <v>45861</v>
      </c>
      <c r="AF495" s="107" t="str">
        <f t="shared" si="22"/>
        <v>2025</v>
      </c>
      <c r="AG495" s="107" t="str">
        <f t="shared" si="23"/>
        <v>07 Jul</v>
      </c>
      <c r="AH495" s="107" t="str">
        <f t="shared" si="24"/>
        <v>Rab</v>
      </c>
      <c r="AI495" s="157">
        <f t="shared" si="25"/>
        <v>1</v>
      </c>
      <c r="AJ495" s="96"/>
      <c r="AK495" s="169"/>
      <c r="AL495" s="96"/>
      <c r="AM495" s="158">
        <f t="shared" si="12"/>
        <v>0</v>
      </c>
    </row>
    <row r="496" ht="22.5" customHeight="1">
      <c r="A496" s="167"/>
      <c r="B496" s="160" t="s">
        <v>86</v>
      </c>
      <c r="C496" s="160" t="s">
        <v>1131</v>
      </c>
      <c r="D496" s="161">
        <v>45840.0</v>
      </c>
      <c r="E496" s="124" t="str">
        <f t="shared" si="1"/>
        <v>2025</v>
      </c>
      <c r="F496" s="124" t="str">
        <f t="shared" si="2"/>
        <v>07 Jul</v>
      </c>
      <c r="G496" s="124" t="str">
        <f t="shared" si="3"/>
        <v>Rabu</v>
      </c>
      <c r="H496" s="160" t="s">
        <v>1406</v>
      </c>
      <c r="I496" s="125" t="str">
        <f t="array" ref="I496">IFNA(XLOOKUP($H496,'🙎‍♂️ Pasien'!$G$7:$G658,'🙎‍♂️ Pasien'!$H$7:$H658),"")</f>
        <v>R9625054528</v>
      </c>
      <c r="J496" s="125" t="str">
        <f t="array" ref="J496">IFNA(XLOOKUP($H496,'🙎‍♂️ Pasien'!$G$7:$G658,'🙎‍♂️ Pasien'!$L$7:$L658),"")</f>
        <v>LAKI-LAKI</v>
      </c>
      <c r="K496" s="125">
        <f t="array" ref="K496">IFNA(XLOOKUP($H496,'🙎‍♂️ Pasien'!$G$7:$G658,'🙎‍♂️ Pasien'!$I$7:$I658),"")</f>
        <v>29</v>
      </c>
      <c r="L496" s="160" t="s">
        <v>107</v>
      </c>
      <c r="M496" s="162" t="str">
        <f t="array" ref="M496">IFNA(XLOOKUP(L496,'⚙️ Pengaturan'!$H$5:$H658,'⚙️ Pengaturan'!$I$5:$I658),"")</f>
        <v>TIM Y</v>
      </c>
      <c r="N496" s="163" t="s">
        <v>1132</v>
      </c>
      <c r="O496" s="160" t="s">
        <v>1139</v>
      </c>
      <c r="P496" s="153">
        <f t="shared" si="13"/>
        <v>5</v>
      </c>
      <c r="Q496" s="164">
        <v>45840.0</v>
      </c>
      <c r="R496" s="164">
        <v>45843.0</v>
      </c>
      <c r="S496" s="164">
        <v>45845.0</v>
      </c>
      <c r="T496" s="164">
        <v>45847.0</v>
      </c>
      <c r="U496" s="164">
        <v>45850.0</v>
      </c>
      <c r="V496" s="164"/>
      <c r="W496" s="164"/>
      <c r="X496" s="164"/>
      <c r="Y496" s="164"/>
      <c r="Z496" s="164"/>
      <c r="AA496" s="165">
        <f t="shared" si="20"/>
        <v>45850</v>
      </c>
      <c r="AB496" s="160" t="s">
        <v>1134</v>
      </c>
      <c r="AC496" s="160" t="s">
        <v>1138</v>
      </c>
      <c r="AD496" s="166"/>
      <c r="AE496" s="156">
        <f t="shared" si="21"/>
        <v>45850</v>
      </c>
      <c r="AF496" s="107" t="str">
        <f t="shared" si="22"/>
        <v>2025</v>
      </c>
      <c r="AG496" s="107" t="str">
        <f t="shared" si="23"/>
        <v>07 Jul</v>
      </c>
      <c r="AH496" s="107" t="str">
        <f t="shared" si="24"/>
        <v>Sab</v>
      </c>
      <c r="AI496" s="157">
        <f t="shared" si="25"/>
        <v>2</v>
      </c>
      <c r="AJ496" s="96"/>
      <c r="AK496" s="169"/>
      <c r="AL496" s="96"/>
      <c r="AM496" s="158">
        <f t="shared" si="12"/>
        <v>0</v>
      </c>
    </row>
    <row r="497" ht="22.5" customHeight="1">
      <c r="A497" s="167"/>
      <c r="B497" s="160" t="s">
        <v>134</v>
      </c>
      <c r="C497" s="160" t="s">
        <v>1131</v>
      </c>
      <c r="D497" s="161">
        <v>45852.0</v>
      </c>
      <c r="E497" s="124" t="str">
        <f t="shared" si="1"/>
        <v>2025</v>
      </c>
      <c r="F497" s="124" t="str">
        <f t="shared" si="2"/>
        <v>07 Jul</v>
      </c>
      <c r="G497" s="124" t="str">
        <f t="shared" si="3"/>
        <v>Senin</v>
      </c>
      <c r="H497" s="160" t="s">
        <v>1406</v>
      </c>
      <c r="I497" s="125" t="str">
        <f t="array" ref="I497">IFNA(XLOOKUP($H497,'🙎‍♂️ Pasien'!$G$7:$G658,'🙎‍♂️ Pasien'!$H$7:$H658),"")</f>
        <v>R9625054528</v>
      </c>
      <c r="J497" s="125" t="str">
        <f t="array" ref="J497">IFNA(XLOOKUP($H497,'🙎‍♂️ Pasien'!$G$7:$G658,'🙎‍♂️ Pasien'!$L$7:$L658),"")</f>
        <v>LAKI-LAKI</v>
      </c>
      <c r="K497" s="125">
        <f t="array" ref="K497">IFNA(XLOOKUP($H497,'🙎‍♂️ Pasien'!$G$7:$G658,'🙎‍♂️ Pasien'!$I$7:$I658),"")</f>
        <v>29</v>
      </c>
      <c r="L497" s="160" t="s">
        <v>107</v>
      </c>
      <c r="M497" s="162" t="str">
        <f t="array" ref="M497">IFNA(XLOOKUP(L497,'⚙️ Pengaturan'!$H$5:$H658,'⚙️ Pengaturan'!$I$5:$I658),"")</f>
        <v>TIM Y</v>
      </c>
      <c r="N497" s="163" t="s">
        <v>1132</v>
      </c>
      <c r="O497" s="160" t="s">
        <v>1139</v>
      </c>
      <c r="P497" s="153">
        <f t="shared" si="13"/>
        <v>5</v>
      </c>
      <c r="Q497" s="164">
        <v>45852.0</v>
      </c>
      <c r="R497" s="164">
        <v>45859.0</v>
      </c>
      <c r="S497" s="164">
        <v>45861.0</v>
      </c>
      <c r="T497" s="164">
        <v>45864.0</v>
      </c>
      <c r="U497" s="164">
        <v>45866.0</v>
      </c>
      <c r="V497" s="164"/>
      <c r="W497" s="164"/>
      <c r="X497" s="164"/>
      <c r="Y497" s="164"/>
      <c r="Z497" s="164"/>
      <c r="AA497" s="165">
        <f t="shared" si="20"/>
        <v>45866</v>
      </c>
      <c r="AB497" s="160" t="s">
        <v>1134</v>
      </c>
      <c r="AC497" s="160" t="s">
        <v>1142</v>
      </c>
      <c r="AD497" s="166"/>
      <c r="AE497" s="156">
        <f t="shared" si="21"/>
        <v>45866</v>
      </c>
      <c r="AF497" s="107" t="str">
        <f t="shared" si="22"/>
        <v>2025</v>
      </c>
      <c r="AG497" s="107" t="str">
        <f t="shared" si="23"/>
        <v>07 Jul</v>
      </c>
      <c r="AH497" s="107" t="str">
        <f t="shared" si="24"/>
        <v>Sen</v>
      </c>
      <c r="AI497" s="157">
        <f t="shared" si="25"/>
        <v>2</v>
      </c>
      <c r="AJ497" s="96"/>
      <c r="AK497" s="169"/>
      <c r="AL497" s="96"/>
      <c r="AM497" s="158">
        <f t="shared" si="12"/>
        <v>0</v>
      </c>
    </row>
    <row r="498" ht="22.5" customHeight="1">
      <c r="A498" s="167"/>
      <c r="B498" s="160" t="s">
        <v>54</v>
      </c>
      <c r="C498" s="160" t="s">
        <v>1131</v>
      </c>
      <c r="D498" s="173">
        <v>45938.0</v>
      </c>
      <c r="E498" s="124" t="str">
        <f t="shared" si="1"/>
        <v>2025</v>
      </c>
      <c r="F498" s="124" t="str">
        <f t="shared" si="2"/>
        <v>10 Okt</v>
      </c>
      <c r="G498" s="124" t="str">
        <f t="shared" si="3"/>
        <v>Rabu</v>
      </c>
      <c r="H498" s="160" t="s">
        <v>870</v>
      </c>
      <c r="I498" s="125" t="str">
        <f t="array" ref="I498">IFNA(XLOOKUP($H498,'🙎‍♂️ Pasien'!$G$7:$G658,'🙎‍♂️ Pasien'!$H$7:$H658),"")</f>
        <v/>
      </c>
      <c r="J498" s="125" t="str">
        <f t="array" ref="J498">IFNA(XLOOKUP($H498,'🙎‍♂️ Pasien'!$G$7:$G658,'🙎‍♂️ Pasien'!$L$7:$L658),"")</f>
        <v/>
      </c>
      <c r="K498" s="125" t="str">
        <f t="array" ref="K498">IFNA(XLOOKUP($H498,'🙎‍♂️ Pasien'!$G$7:$G658,'🙎‍♂️ Pasien'!$I$7:$I658),"")</f>
        <v/>
      </c>
      <c r="L498" s="160" t="s">
        <v>72</v>
      </c>
      <c r="M498" s="162" t="str">
        <f t="array" ref="M498">IFNA(XLOOKUP(L498,'⚙️ Pengaturan'!$H$5:$H658,'⚙️ Pengaturan'!$I$5:$I658),"")</f>
        <v>TIM A</v>
      </c>
      <c r="N498" s="160" t="s">
        <v>1132</v>
      </c>
      <c r="O498" s="160" t="s">
        <v>1133</v>
      </c>
      <c r="P498" s="153">
        <f t="shared" si="13"/>
        <v>5</v>
      </c>
      <c r="Q498" s="164">
        <v>45943.0</v>
      </c>
      <c r="R498" s="164">
        <v>45945.0</v>
      </c>
      <c r="S498" s="164">
        <v>45952.0</v>
      </c>
      <c r="T498" s="164">
        <v>45959.0</v>
      </c>
      <c r="U498" s="164">
        <v>45966.0</v>
      </c>
      <c r="V498" s="164"/>
      <c r="W498" s="164"/>
      <c r="X498" s="164"/>
      <c r="Y498" s="164"/>
      <c r="Z498" s="164"/>
      <c r="AA498" s="165">
        <f t="shared" si="20"/>
        <v>45966</v>
      </c>
      <c r="AB498" s="160" t="s">
        <v>1134</v>
      </c>
      <c r="AC498" s="160" t="s">
        <v>1138</v>
      </c>
      <c r="AD498" s="168"/>
      <c r="AE498" s="156">
        <f t="shared" si="21"/>
        <v>45966</v>
      </c>
      <c r="AF498" s="107" t="str">
        <f t="shared" si="22"/>
        <v>2025</v>
      </c>
      <c r="AG498" s="107" t="str">
        <f t="shared" si="23"/>
        <v>11 Nov</v>
      </c>
      <c r="AH498" s="107" t="str">
        <f t="shared" si="24"/>
        <v>Rab</v>
      </c>
      <c r="AI498" s="157">
        <f t="shared" si="25"/>
        <v>4</v>
      </c>
      <c r="AJ498" s="96"/>
      <c r="AK498" s="169"/>
      <c r="AL498" s="96"/>
      <c r="AM498" s="158">
        <f t="shared" si="12"/>
        <v>0</v>
      </c>
    </row>
    <row r="499" ht="22.5" customHeight="1">
      <c r="A499" s="167"/>
      <c r="B499" s="160" t="s">
        <v>54</v>
      </c>
      <c r="C499" s="160" t="s">
        <v>1131</v>
      </c>
      <c r="D499" s="173">
        <v>45973.0</v>
      </c>
      <c r="E499" s="124" t="str">
        <f t="shared" si="1"/>
        <v>2025</v>
      </c>
      <c r="F499" s="124" t="str">
        <f t="shared" si="2"/>
        <v>11 Nov</v>
      </c>
      <c r="G499" s="124" t="str">
        <f t="shared" si="3"/>
        <v>Rabu</v>
      </c>
      <c r="H499" s="160" t="s">
        <v>870</v>
      </c>
      <c r="I499" s="125" t="str">
        <f t="array" ref="I499">IFNA(XLOOKUP($H499,'🙎‍♂️ Pasien'!$G$7:$G658,'🙎‍♂️ Pasien'!$H$7:$H658),"")</f>
        <v/>
      </c>
      <c r="J499" s="125" t="str">
        <f t="array" ref="J499">IFNA(XLOOKUP($H499,'🙎‍♂️ Pasien'!$G$7:$G658,'🙎‍♂️ Pasien'!$L$7:$L658),"")</f>
        <v/>
      </c>
      <c r="K499" s="125" t="str">
        <f t="array" ref="K499">IFNA(XLOOKUP($H499,'🙎‍♂️ Pasien'!$G$7:$G658,'🙎‍♂️ Pasien'!$I$7:$I658),"")</f>
        <v/>
      </c>
      <c r="L499" s="160" t="s">
        <v>79</v>
      </c>
      <c r="M499" s="162" t="str">
        <f t="array" ref="M499">IFNA(XLOOKUP(L499,'⚙️ Pengaturan'!$H$5:$H658,'⚙️ Pengaturan'!$I$5:$I658),"")</f>
        <v>TIM A</v>
      </c>
      <c r="N499" s="160" t="s">
        <v>1132</v>
      </c>
      <c r="O499" s="160" t="s">
        <v>1139</v>
      </c>
      <c r="P499" s="153">
        <f t="shared" si="13"/>
        <v>3</v>
      </c>
      <c r="Q499" s="164">
        <v>45973.0</v>
      </c>
      <c r="R499" s="164">
        <v>45980.0</v>
      </c>
      <c r="S499" s="164">
        <v>45994.0</v>
      </c>
      <c r="T499" s="164"/>
      <c r="U499" s="164"/>
      <c r="V499" s="164"/>
      <c r="W499" s="164"/>
      <c r="X499" s="164"/>
      <c r="Y499" s="164"/>
      <c r="Z499" s="164"/>
      <c r="AA499" s="165">
        <f t="shared" si="20"/>
        <v>45994</v>
      </c>
      <c r="AB499" s="160" t="s">
        <v>1144</v>
      </c>
      <c r="AC499" s="172"/>
      <c r="AD499" s="168"/>
      <c r="AE499" s="156" t="str">
        <f t="shared" si="21"/>
        <v/>
      </c>
      <c r="AF499" s="107" t="str">
        <f t="shared" si="22"/>
        <v/>
      </c>
      <c r="AG499" s="107" t="str">
        <f t="shared" si="23"/>
        <v/>
      </c>
      <c r="AH499" s="107" t="str">
        <f t="shared" si="24"/>
        <v/>
      </c>
      <c r="AI499" s="157">
        <f t="shared" si="25"/>
        <v>30</v>
      </c>
      <c r="AJ499" s="96"/>
      <c r="AK499" s="169"/>
      <c r="AL499" s="96"/>
      <c r="AM499" s="158">
        <f t="shared" si="12"/>
        <v>0</v>
      </c>
    </row>
    <row r="500" ht="22.5" customHeight="1">
      <c r="A500" s="167"/>
      <c r="B500" s="171"/>
      <c r="C500" s="171"/>
      <c r="D500" s="161">
        <v>45690.0</v>
      </c>
      <c r="E500" s="124" t="str">
        <f t="shared" si="1"/>
        <v>2025</v>
      </c>
      <c r="F500" s="124" t="str">
        <f t="shared" si="2"/>
        <v>02 Feb</v>
      </c>
      <c r="G500" s="124" t="str">
        <f t="shared" si="3"/>
        <v>Minggu</v>
      </c>
      <c r="H500" s="16" t="s">
        <v>1407</v>
      </c>
      <c r="I500" s="125" t="str">
        <f t="array" ref="I500">IFNA(XLOOKUP($H500,'🙎‍♂️ Pasien'!$G$7:$G658,'🙎‍♂️ Pasien'!$H$7:$H658),"")</f>
        <v>R9325015150</v>
      </c>
      <c r="J500" s="125" t="str">
        <f t="array" ref="J500">IFNA(XLOOKUP($H500,'🙎‍♂️ Pasien'!$G$7:$G658,'🙎‍♂️ Pasien'!$L$7:$L658),"")</f>
        <v>PEREMPUAN</v>
      </c>
      <c r="K500" s="125">
        <f t="array" ref="K500">IFNA(XLOOKUP($H500,'🙎‍♂️ Pasien'!$G$7:$G658,'🙎‍♂️ Pasien'!$I$7:$I658),"")</f>
        <v>33</v>
      </c>
      <c r="L500" s="16" t="s">
        <v>91</v>
      </c>
      <c r="M500" s="125" t="str">
        <f t="array" ref="M500">IFNA(XLOOKUP(L500,'⚙️ Pengaturan'!$H$5:$H658,'⚙️ Pengaturan'!$I$5:$I658),"")</f>
        <v>TIM Y</v>
      </c>
      <c r="N500" s="16" t="s">
        <v>1132</v>
      </c>
      <c r="O500" s="16" t="s">
        <v>1133</v>
      </c>
      <c r="P500" s="153">
        <f t="shared" si="13"/>
        <v>3</v>
      </c>
      <c r="Q500" s="154">
        <v>45690.0</v>
      </c>
      <c r="R500" s="154">
        <v>45693.0</v>
      </c>
      <c r="S500" s="154">
        <v>45696.0</v>
      </c>
      <c r="T500" s="154"/>
      <c r="U500" s="154"/>
      <c r="V500" s="154"/>
      <c r="W500" s="154"/>
      <c r="X500" s="154"/>
      <c r="Y500" s="154"/>
      <c r="Z500" s="154"/>
      <c r="AA500" s="155">
        <f t="shared" si="20"/>
        <v>45696</v>
      </c>
      <c r="AB500" s="16" t="s">
        <v>1144</v>
      </c>
      <c r="AC500" s="20"/>
      <c r="AD500" s="170"/>
      <c r="AE500" s="156" t="str">
        <f t="shared" si="21"/>
        <v/>
      </c>
      <c r="AF500" s="107" t="str">
        <f t="shared" si="22"/>
        <v/>
      </c>
      <c r="AG500" s="107" t="str">
        <f t="shared" si="23"/>
        <v/>
      </c>
      <c r="AH500" s="107" t="str">
        <f t="shared" si="24"/>
        <v/>
      </c>
      <c r="AI500" s="157">
        <f t="shared" si="25"/>
        <v>71</v>
      </c>
      <c r="AJ500" s="96"/>
      <c r="AK500" s="169"/>
      <c r="AL500" s="96"/>
      <c r="AM500" s="158">
        <f t="shared" si="12"/>
        <v>0</v>
      </c>
    </row>
    <row r="501" ht="22.5" customHeight="1">
      <c r="A501" s="167"/>
      <c r="B501" s="160" t="s">
        <v>86</v>
      </c>
      <c r="C501" s="160" t="s">
        <v>1131</v>
      </c>
      <c r="D501" s="173">
        <v>45936.0</v>
      </c>
      <c r="E501" s="124" t="str">
        <f t="shared" si="1"/>
        <v>2025</v>
      </c>
      <c r="F501" s="124" t="str">
        <f t="shared" si="2"/>
        <v>10 Okt</v>
      </c>
      <c r="G501" s="124" t="str">
        <f t="shared" si="3"/>
        <v>Senin</v>
      </c>
      <c r="H501" s="160" t="s">
        <v>211</v>
      </c>
      <c r="I501" s="125" t="str">
        <f t="array" ref="I501">IFNA(XLOOKUP($H501,'🙎‍♂️ Pasien'!$G$7:$G658,'🙎‍♂️ Pasien'!$H$7:$H658),"")</f>
        <v>R7325101626</v>
      </c>
      <c r="J501" s="125" t="str">
        <f t="array" ref="J501">IFNA(XLOOKUP($H501,'🙎‍♂️ Pasien'!$G$7:$G658,'🙎‍♂️ Pasien'!$L$7:$L658),"")</f>
        <v>PEREMPUAN</v>
      </c>
      <c r="K501" s="125">
        <f t="array" ref="K501">IFNA(XLOOKUP($H501,'🙎‍♂️ Pasien'!$G$7:$G658,'🙎‍♂️ Pasien'!$I$7:$I658),"")</f>
        <v>52</v>
      </c>
      <c r="L501" s="160" t="s">
        <v>79</v>
      </c>
      <c r="M501" s="162" t="str">
        <f t="array" ref="M501">IFNA(XLOOKUP(L501,'⚙️ Pengaturan'!$H$5:$H658,'⚙️ Pengaturan'!$I$5:$I658),"")</f>
        <v>TIM A</v>
      </c>
      <c r="N501" s="160" t="s">
        <v>1132</v>
      </c>
      <c r="O501" s="160" t="s">
        <v>1133</v>
      </c>
      <c r="P501" s="153">
        <f t="shared" si="13"/>
        <v>5</v>
      </c>
      <c r="Q501" s="164">
        <v>45936.0</v>
      </c>
      <c r="R501" s="164">
        <v>45939.0</v>
      </c>
      <c r="S501" s="164">
        <v>45943.0</v>
      </c>
      <c r="T501" s="164">
        <v>45946.0</v>
      </c>
      <c r="U501" s="164">
        <v>45950.0</v>
      </c>
      <c r="V501" s="164"/>
      <c r="W501" s="164"/>
      <c r="X501" s="164"/>
      <c r="Y501" s="164"/>
      <c r="Z501" s="164"/>
      <c r="AA501" s="165">
        <f t="shared" si="20"/>
        <v>45950</v>
      </c>
      <c r="AB501" s="160" t="s">
        <v>1134</v>
      </c>
      <c r="AC501" s="160" t="s">
        <v>1138</v>
      </c>
      <c r="AD501" s="166"/>
      <c r="AE501" s="156">
        <f t="shared" si="21"/>
        <v>45950</v>
      </c>
      <c r="AF501" s="107" t="str">
        <f t="shared" si="22"/>
        <v>2025</v>
      </c>
      <c r="AG501" s="107" t="str">
        <f t="shared" si="23"/>
        <v>10 Okt</v>
      </c>
      <c r="AH501" s="107" t="str">
        <f t="shared" si="24"/>
        <v>Sen</v>
      </c>
      <c r="AI501" s="157">
        <f t="shared" si="25"/>
        <v>2</v>
      </c>
      <c r="AJ501" s="96"/>
      <c r="AK501" s="169"/>
      <c r="AL501" s="96"/>
      <c r="AM501" s="158">
        <f t="shared" si="12"/>
        <v>0</v>
      </c>
    </row>
    <row r="502" ht="22.5" customHeight="1">
      <c r="A502" s="167"/>
      <c r="B502" s="160" t="s">
        <v>134</v>
      </c>
      <c r="C502" s="160" t="s">
        <v>1131</v>
      </c>
      <c r="D502" s="161">
        <v>45847.0</v>
      </c>
      <c r="E502" s="124" t="str">
        <f t="shared" si="1"/>
        <v>2025</v>
      </c>
      <c r="F502" s="124" t="str">
        <f t="shared" si="2"/>
        <v>07 Jul</v>
      </c>
      <c r="G502" s="124" t="str">
        <f t="shared" si="3"/>
        <v>Rabu</v>
      </c>
      <c r="H502" s="160" t="s">
        <v>1408</v>
      </c>
      <c r="I502" s="125" t="str">
        <f t="array" ref="I502">IFNA(XLOOKUP($H502,'🙎‍♂️ Pasien'!$G$7:$G658,'🙎‍♂️ Pasien'!$H$7:$H658),"")</f>
        <v>R7925075957</v>
      </c>
      <c r="J502" s="125" t="str">
        <f t="array" ref="J502">IFNA(XLOOKUP($H502,'🙎‍♂️ Pasien'!$G$7:$G658,'🙎‍♂️ Pasien'!$L$7:$L658),"")</f>
        <v>LAKI-LAKI</v>
      </c>
      <c r="K502" s="125">
        <f t="array" ref="K502">IFNA(XLOOKUP($H502,'🙎‍♂️ Pasien'!$G$7:$G658,'🙎‍♂️ Pasien'!$I$7:$I658),"")</f>
        <v>47</v>
      </c>
      <c r="L502" s="160" t="s">
        <v>56</v>
      </c>
      <c r="M502" s="162" t="str">
        <f t="array" ref="M502">IFNA(XLOOKUP(L502,'⚙️ Pengaturan'!$H$5:$H658,'⚙️ Pengaturan'!$I$5:$I658),"")</f>
        <v>TIM Y</v>
      </c>
      <c r="N502" s="163" t="s">
        <v>1132</v>
      </c>
      <c r="O502" s="160" t="s">
        <v>1133</v>
      </c>
      <c r="P502" s="153">
        <f t="shared" si="13"/>
        <v>5</v>
      </c>
      <c r="Q502" s="164">
        <v>45847.0</v>
      </c>
      <c r="R502" s="164">
        <v>45851.0</v>
      </c>
      <c r="S502" s="164">
        <v>45853.0</v>
      </c>
      <c r="T502" s="164">
        <v>45857.0</v>
      </c>
      <c r="U502" s="164">
        <v>45864.0</v>
      </c>
      <c r="V502" s="164"/>
      <c r="W502" s="164"/>
      <c r="X502" s="164"/>
      <c r="Y502" s="164"/>
      <c r="Z502" s="164"/>
      <c r="AA502" s="165">
        <f t="shared" si="20"/>
        <v>45864</v>
      </c>
      <c r="AB502" s="160" t="s">
        <v>1134</v>
      </c>
      <c r="AC502" s="160" t="s">
        <v>1138</v>
      </c>
      <c r="AD502" s="168" t="s">
        <v>1409</v>
      </c>
      <c r="AE502" s="156">
        <f t="shared" si="21"/>
        <v>45864</v>
      </c>
      <c r="AF502" s="107" t="str">
        <f t="shared" si="22"/>
        <v>2025</v>
      </c>
      <c r="AG502" s="107" t="str">
        <f t="shared" si="23"/>
        <v>07 Jul</v>
      </c>
      <c r="AH502" s="107" t="str">
        <f t="shared" si="24"/>
        <v>Sab</v>
      </c>
      <c r="AI502" s="157">
        <f t="shared" si="25"/>
        <v>3</v>
      </c>
      <c r="AJ502" s="96"/>
      <c r="AK502" s="169"/>
      <c r="AL502" s="96"/>
      <c r="AM502" s="158">
        <f t="shared" si="12"/>
        <v>0</v>
      </c>
    </row>
    <row r="503" ht="22.5" customHeight="1">
      <c r="A503" s="167"/>
      <c r="B503" s="160" t="s">
        <v>86</v>
      </c>
      <c r="C503" s="160" t="s">
        <v>1131</v>
      </c>
      <c r="D503" s="161">
        <v>45869.0</v>
      </c>
      <c r="E503" s="124" t="str">
        <f t="shared" si="1"/>
        <v>2025</v>
      </c>
      <c r="F503" s="124" t="str">
        <f t="shared" si="2"/>
        <v>07 Jul</v>
      </c>
      <c r="G503" s="124" t="str">
        <f t="shared" si="3"/>
        <v>Kamis</v>
      </c>
      <c r="H503" s="160" t="s">
        <v>1408</v>
      </c>
      <c r="I503" s="125" t="str">
        <f t="array" ref="I503">IFNA(XLOOKUP($H503,'🙎‍♂️ Pasien'!$G$7:$G658,'🙎‍♂️ Pasien'!$H$7:$H658),"")</f>
        <v>R7925075957</v>
      </c>
      <c r="J503" s="125" t="str">
        <f t="array" ref="J503">IFNA(XLOOKUP($H503,'🙎‍♂️ Pasien'!$G$7:$G658,'🙎‍♂️ Pasien'!$L$7:$L658),"")</f>
        <v>LAKI-LAKI</v>
      </c>
      <c r="K503" s="125">
        <f t="array" ref="K503">IFNA(XLOOKUP($H503,'🙎‍♂️ Pasien'!$G$7:$G658,'🙎‍♂️ Pasien'!$I$7:$I658),"")</f>
        <v>47</v>
      </c>
      <c r="L503" s="160" t="s">
        <v>56</v>
      </c>
      <c r="M503" s="162" t="str">
        <f t="array" ref="M503">IFNA(XLOOKUP(L503,'⚙️ Pengaturan'!$H$5:$H658,'⚙️ Pengaturan'!$I$5:$I658),"")</f>
        <v>TIM Y</v>
      </c>
      <c r="N503" s="163" t="s">
        <v>1132</v>
      </c>
      <c r="O503" s="160" t="s">
        <v>1139</v>
      </c>
      <c r="P503" s="153">
        <f t="shared" si="13"/>
        <v>5</v>
      </c>
      <c r="Q503" s="164">
        <v>45869.0</v>
      </c>
      <c r="R503" s="164">
        <v>45878.0</v>
      </c>
      <c r="S503" s="164">
        <v>45885.0</v>
      </c>
      <c r="T503" s="164">
        <v>45892.0</v>
      </c>
      <c r="U503" s="164">
        <v>45902.0</v>
      </c>
      <c r="V503" s="164"/>
      <c r="W503" s="164"/>
      <c r="X503" s="164"/>
      <c r="Y503" s="164"/>
      <c r="Z503" s="164"/>
      <c r="AA503" s="165">
        <f t="shared" si="20"/>
        <v>45902</v>
      </c>
      <c r="AB503" s="160" t="s">
        <v>1134</v>
      </c>
      <c r="AC503" s="160" t="s">
        <v>1135</v>
      </c>
      <c r="AD503" s="168" t="s">
        <v>1410</v>
      </c>
      <c r="AE503" s="156">
        <f t="shared" si="21"/>
        <v>45902</v>
      </c>
      <c r="AF503" s="107" t="str">
        <f t="shared" si="22"/>
        <v>2025</v>
      </c>
      <c r="AG503" s="107" t="str">
        <f t="shared" si="23"/>
        <v>09 Sep</v>
      </c>
      <c r="AH503" s="107" t="str">
        <f t="shared" si="24"/>
        <v>Sel</v>
      </c>
      <c r="AI503" s="157">
        <f t="shared" si="25"/>
        <v>5</v>
      </c>
      <c r="AJ503" s="96"/>
      <c r="AK503" s="169"/>
      <c r="AL503" s="96"/>
      <c r="AM503" s="158">
        <f t="shared" si="12"/>
        <v>0</v>
      </c>
    </row>
    <row r="504" ht="22.5" customHeight="1">
      <c r="A504" s="167"/>
      <c r="B504" s="160" t="s">
        <v>54</v>
      </c>
      <c r="C504" s="160" t="s">
        <v>1131</v>
      </c>
      <c r="D504" s="173">
        <v>45916.0</v>
      </c>
      <c r="E504" s="124" t="str">
        <f t="shared" si="1"/>
        <v>2025</v>
      </c>
      <c r="F504" s="124" t="str">
        <f t="shared" si="2"/>
        <v>09 Sep</v>
      </c>
      <c r="G504" s="124" t="str">
        <f t="shared" si="3"/>
        <v>Selasa</v>
      </c>
      <c r="H504" s="158" t="s">
        <v>64</v>
      </c>
      <c r="I504" s="125" t="str">
        <f t="array" ref="I504">IFNA(XLOOKUP($H504,'🙎‍♂️ Pasien'!$G$7:$G658,'🙎‍♂️ Pasien'!$H$7:$H658),"")</f>
        <v>R2525091389</v>
      </c>
      <c r="J504" s="125" t="str">
        <f t="array" ref="J504">IFNA(XLOOKUP($H504,'🙎‍♂️ Pasien'!$G$7:$G658,'🙎‍♂️ Pasien'!$L$7:$L658),"")</f>
        <v>LAKI-LAKI</v>
      </c>
      <c r="K504" s="125">
        <f t="array" ref="K504">IFNA(XLOOKUP($H504,'🙎‍♂️ Pasien'!$G$7:$G658,'🙎‍♂️ Pasien'!$I$7:$I658),"")</f>
        <v>1</v>
      </c>
      <c r="L504" s="160" t="s">
        <v>56</v>
      </c>
      <c r="M504" s="162" t="str">
        <f t="array" ref="M504">IFNA(XLOOKUP(L504,'⚙️ Pengaturan'!$H$5:$H658,'⚙️ Pengaturan'!$I$5:$I658),"")</f>
        <v>TIM Y</v>
      </c>
      <c r="N504" s="160" t="s">
        <v>1132</v>
      </c>
      <c r="O504" s="160" t="s">
        <v>1133</v>
      </c>
      <c r="P504" s="153">
        <f t="shared" si="13"/>
        <v>5</v>
      </c>
      <c r="Q504" s="164">
        <v>45916.0</v>
      </c>
      <c r="R504" s="164">
        <v>45918.0</v>
      </c>
      <c r="S504" s="164">
        <v>45920.0</v>
      </c>
      <c r="T504" s="164">
        <v>45924.0</v>
      </c>
      <c r="U504" s="164">
        <v>45927.0</v>
      </c>
      <c r="V504" s="164"/>
      <c r="W504" s="164"/>
      <c r="X504" s="164"/>
      <c r="Y504" s="164"/>
      <c r="Z504" s="164"/>
      <c r="AA504" s="165">
        <f t="shared" si="20"/>
        <v>45927</v>
      </c>
      <c r="AB504" s="160" t="s">
        <v>1134</v>
      </c>
      <c r="AC504" s="160" t="s">
        <v>1138</v>
      </c>
      <c r="AD504" s="166"/>
      <c r="AE504" s="156">
        <f t="shared" si="21"/>
        <v>45927</v>
      </c>
      <c r="AF504" s="107" t="str">
        <f t="shared" si="22"/>
        <v>2025</v>
      </c>
      <c r="AG504" s="107" t="str">
        <f t="shared" si="23"/>
        <v>09 Sep</v>
      </c>
      <c r="AH504" s="107" t="str">
        <f t="shared" si="24"/>
        <v>Sab</v>
      </c>
      <c r="AI504" s="157">
        <f t="shared" si="25"/>
        <v>2</v>
      </c>
      <c r="AJ504" s="96"/>
      <c r="AK504" s="169"/>
      <c r="AL504" s="96"/>
      <c r="AM504" s="158">
        <f t="shared" si="12"/>
        <v>0</v>
      </c>
    </row>
    <row r="505" ht="22.5" customHeight="1">
      <c r="A505" s="167"/>
      <c r="B505" s="160" t="s">
        <v>54</v>
      </c>
      <c r="C505" s="160" t="s">
        <v>1131</v>
      </c>
      <c r="D505" s="173">
        <v>45931.0</v>
      </c>
      <c r="E505" s="124" t="str">
        <f t="shared" si="1"/>
        <v>2025</v>
      </c>
      <c r="F505" s="124" t="str">
        <f t="shared" si="2"/>
        <v>10 Okt</v>
      </c>
      <c r="G505" s="124" t="str">
        <f t="shared" si="3"/>
        <v>Rabu</v>
      </c>
      <c r="H505" s="158" t="s">
        <v>64</v>
      </c>
      <c r="I505" s="125" t="str">
        <f t="array" ref="I505">IFNA(XLOOKUP($H505,'🙎‍♂️ Pasien'!$G$7:$G658,'🙎‍♂️ Pasien'!$H$7:$H658),"")</f>
        <v>R2525091389</v>
      </c>
      <c r="J505" s="125" t="str">
        <f t="array" ref="J505">IFNA(XLOOKUP($H505,'🙎‍♂️ Pasien'!$G$7:$G658,'🙎‍♂️ Pasien'!$L$7:$L658),"")</f>
        <v>LAKI-LAKI</v>
      </c>
      <c r="K505" s="125">
        <f t="array" ref="K505">IFNA(XLOOKUP($H505,'🙎‍♂️ Pasien'!$G$7:$G658,'🙎‍♂️ Pasien'!$I$7:$I658),"")</f>
        <v>1</v>
      </c>
      <c r="L505" s="160" t="s">
        <v>62</v>
      </c>
      <c r="M505" s="162" t="str">
        <f t="array" ref="M505">IFNA(XLOOKUP(L505,'⚙️ Pengaturan'!$H$5:$H658,'⚙️ Pengaturan'!$I$5:$I658),"")</f>
        <v>TIM A</v>
      </c>
      <c r="N505" s="160" t="s">
        <v>1137</v>
      </c>
      <c r="O505" s="160" t="s">
        <v>1139</v>
      </c>
      <c r="P505" s="153">
        <f t="shared" si="13"/>
        <v>10</v>
      </c>
      <c r="Q505" s="164">
        <v>45931.0</v>
      </c>
      <c r="R505" s="164">
        <v>45934.0</v>
      </c>
      <c r="S505" s="164">
        <v>45938.0</v>
      </c>
      <c r="T505" s="164">
        <v>45944.0</v>
      </c>
      <c r="U505" s="164">
        <v>45951.0</v>
      </c>
      <c r="V505" s="164">
        <v>45958.0</v>
      </c>
      <c r="W505" s="164">
        <v>45962.0</v>
      </c>
      <c r="X505" s="164">
        <v>45965.0</v>
      </c>
      <c r="Y505" s="164">
        <v>45972.0</v>
      </c>
      <c r="Z505" s="164">
        <v>45979.0</v>
      </c>
      <c r="AA505" s="165">
        <f t="shared" si="20"/>
        <v>45979</v>
      </c>
      <c r="AB505" s="160" t="s">
        <v>1134</v>
      </c>
      <c r="AC505" s="160" t="s">
        <v>1138</v>
      </c>
      <c r="AD505" s="168"/>
      <c r="AE505" s="156">
        <f t="shared" si="21"/>
        <v>45979</v>
      </c>
      <c r="AF505" s="107" t="str">
        <f t="shared" si="22"/>
        <v>2025</v>
      </c>
      <c r="AG505" s="107" t="str">
        <f t="shared" si="23"/>
        <v>11 Nov</v>
      </c>
      <c r="AH505" s="107" t="str">
        <f t="shared" si="24"/>
        <v>Sel</v>
      </c>
      <c r="AI505" s="157">
        <f t="shared" si="25"/>
        <v>7</v>
      </c>
      <c r="AJ505" s="96"/>
      <c r="AK505" s="169"/>
      <c r="AL505" s="96"/>
      <c r="AM505" s="158">
        <f t="shared" si="12"/>
        <v>0</v>
      </c>
    </row>
    <row r="506" ht="22.5" customHeight="1">
      <c r="A506" s="10"/>
      <c r="B506" s="160" t="s">
        <v>86</v>
      </c>
      <c r="C506" s="160" t="s">
        <v>1170</v>
      </c>
      <c r="D506" s="173">
        <v>45979.0</v>
      </c>
      <c r="E506" s="124" t="str">
        <f t="shared" si="1"/>
        <v>2025</v>
      </c>
      <c r="F506" s="124" t="str">
        <f t="shared" si="2"/>
        <v>11 Nov</v>
      </c>
      <c r="G506" s="124" t="str">
        <f t="shared" si="3"/>
        <v>Selasa</v>
      </c>
      <c r="H506" s="158" t="s">
        <v>64</v>
      </c>
      <c r="I506" s="125" t="str">
        <f t="array" ref="I506">IFNA(XLOOKUP($H506,'🙎‍♂️ Pasien'!$G$7:$G658,'🙎‍♂️ Pasien'!$H$7:$H658),"")</f>
        <v>R2525091389</v>
      </c>
      <c r="J506" s="125" t="str">
        <f t="array" ref="J506">IFNA(XLOOKUP($H506,'🙎‍♂️ Pasien'!$G$7:$G658,'🙎‍♂️ Pasien'!$L$7:$L658),"")</f>
        <v>LAKI-LAKI</v>
      </c>
      <c r="K506" s="125">
        <f t="array" ref="K506">IFNA(XLOOKUP($H506,'🙎‍♂️ Pasien'!$G$7:$G658,'🙎‍♂️ Pasien'!$I$7:$I658),"")</f>
        <v>1</v>
      </c>
      <c r="L506" s="160" t="s">
        <v>72</v>
      </c>
      <c r="M506" s="162" t="str">
        <f t="array" ref="M506">IFNA(XLOOKUP(L506,'⚙️ Pengaturan'!$H$5:$H658,'⚙️ Pengaturan'!$I$5:$I658),"")</f>
        <v>TIM A</v>
      </c>
      <c r="N506" s="160" t="s">
        <v>1137</v>
      </c>
      <c r="O506" s="160" t="s">
        <v>1139</v>
      </c>
      <c r="P506" s="153">
        <f t="shared" si="13"/>
        <v>0</v>
      </c>
      <c r="Q506" s="164"/>
      <c r="R506" s="164"/>
      <c r="S506" s="164"/>
      <c r="T506" s="164"/>
      <c r="U506" s="164"/>
      <c r="V506" s="164"/>
      <c r="W506" s="164"/>
      <c r="X506" s="164"/>
      <c r="Y506" s="164"/>
      <c r="Z506" s="164"/>
      <c r="AA506" s="165">
        <f t="shared" si="20"/>
        <v>45979</v>
      </c>
      <c r="AB506" s="160" t="s">
        <v>1144</v>
      </c>
      <c r="AC506" s="172"/>
      <c r="AD506" s="168"/>
      <c r="AE506" s="156" t="str">
        <f t="shared" si="21"/>
        <v/>
      </c>
      <c r="AF506" s="107" t="str">
        <f t="shared" si="22"/>
        <v/>
      </c>
      <c r="AG506" s="107" t="str">
        <f t="shared" si="23"/>
        <v/>
      </c>
      <c r="AH506" s="107" t="str">
        <f t="shared" si="24"/>
        <v/>
      </c>
      <c r="AI506" s="157" t="str">
        <f t="shared" si="25"/>
        <v/>
      </c>
      <c r="AJ506" s="158"/>
      <c r="AK506" s="159"/>
      <c r="AL506" s="158"/>
      <c r="AM506" s="158">
        <f t="shared" si="12"/>
        <v>0</v>
      </c>
    </row>
    <row r="507" ht="22.5" customHeight="1">
      <c r="A507" s="10"/>
      <c r="B507" s="160" t="s">
        <v>54</v>
      </c>
      <c r="C507" s="172"/>
      <c r="D507" s="189">
        <v>45754.0</v>
      </c>
      <c r="E507" s="124" t="str">
        <f t="shared" si="1"/>
        <v>2025</v>
      </c>
      <c r="F507" s="124" t="str">
        <f t="shared" si="2"/>
        <v>04 Apr</v>
      </c>
      <c r="G507" s="124" t="str">
        <f t="shared" si="3"/>
        <v>Senin</v>
      </c>
      <c r="H507" s="174" t="s">
        <v>1411</v>
      </c>
      <c r="I507" s="125" t="str">
        <f t="array" ref="I507">IFNA(XLOOKUP($H507,'🙎‍♂️ Pasien'!$G$7:$G658,'🙎‍♂️ Pasien'!$H$7:$H658),"")</f>
        <v>R0225042129</v>
      </c>
      <c r="J507" s="125" t="str">
        <f t="array" ref="J507">IFNA(XLOOKUP($H507,'🙎‍♂️ Pasien'!$G$7:$G658,'🙎‍♂️ Pasien'!$L$7:$L658),"")</f>
        <v>LAKI-LAKI</v>
      </c>
      <c r="K507" s="125">
        <f t="array" ref="K507">IFNA(XLOOKUP($H507,'🙎‍♂️ Pasien'!$G$7:$G658,'🙎‍♂️ Pasien'!$I$7:$I658),"")</f>
        <v>23</v>
      </c>
      <c r="L507" s="160" t="s">
        <v>56</v>
      </c>
      <c r="M507" s="162" t="str">
        <f t="array" ref="M507">IFNA(XLOOKUP(L507,'⚙️ Pengaturan'!$H$5:$H658,'⚙️ Pengaturan'!$I$5:$I658),"")</f>
        <v>TIM Y</v>
      </c>
      <c r="N507" s="160" t="s">
        <v>1132</v>
      </c>
      <c r="O507" s="160" t="s">
        <v>1133</v>
      </c>
      <c r="P507" s="153">
        <f t="shared" si="13"/>
        <v>3</v>
      </c>
      <c r="Q507" s="164">
        <v>45754.0</v>
      </c>
      <c r="R507" s="164">
        <v>45755.0</v>
      </c>
      <c r="S507" s="164">
        <v>45759.0</v>
      </c>
      <c r="T507" s="164"/>
      <c r="U507" s="164"/>
      <c r="V507" s="164"/>
      <c r="W507" s="164"/>
      <c r="X507" s="164"/>
      <c r="Y507" s="164"/>
      <c r="Z507" s="164"/>
      <c r="AA507" s="165">
        <f t="shared" si="20"/>
        <v>45759</v>
      </c>
      <c r="AB507" s="160" t="s">
        <v>1144</v>
      </c>
      <c r="AC507" s="174"/>
      <c r="AD507" s="166"/>
      <c r="AE507" s="156" t="str">
        <f t="shared" si="21"/>
        <v/>
      </c>
      <c r="AF507" s="107" t="str">
        <f t="shared" si="22"/>
        <v/>
      </c>
      <c r="AG507" s="107" t="str">
        <f t="shared" si="23"/>
        <v/>
      </c>
      <c r="AH507" s="107" t="str">
        <f t="shared" si="24"/>
        <v/>
      </c>
      <c r="AI507" s="157">
        <f t="shared" si="25"/>
        <v>62</v>
      </c>
      <c r="AJ507" s="158"/>
      <c r="AK507" s="159"/>
      <c r="AL507" s="158"/>
      <c r="AM507" s="158">
        <f t="shared" si="12"/>
        <v>0</v>
      </c>
    </row>
    <row r="508" ht="22.5" customHeight="1">
      <c r="A508" s="10"/>
      <c r="B508" s="160" t="s">
        <v>54</v>
      </c>
      <c r="C508" s="160" t="s">
        <v>1131</v>
      </c>
      <c r="D508" s="173">
        <v>45928.0</v>
      </c>
      <c r="E508" s="124" t="str">
        <f t="shared" si="1"/>
        <v>2025</v>
      </c>
      <c r="F508" s="124" t="str">
        <f t="shared" si="2"/>
        <v>09 Sep</v>
      </c>
      <c r="G508" s="124" t="str">
        <f t="shared" si="3"/>
        <v>Minggu</v>
      </c>
      <c r="H508" s="160" t="s">
        <v>132</v>
      </c>
      <c r="I508" s="125" t="str">
        <f t="array" ref="I508">IFNA(XLOOKUP($H508,'🙎‍♂️ Pasien'!$G$7:$G658,'🙎‍♂️ Pasien'!$H$7:$H658),"")</f>
        <v>R1225091811</v>
      </c>
      <c r="J508" s="125" t="str">
        <f t="array" ref="J508">IFNA(XLOOKUP($H508,'🙎‍♂️ Pasien'!$G$7:$G658,'🙎‍♂️ Pasien'!$L$7:$L658),"")</f>
        <v>LAKI-LAKI</v>
      </c>
      <c r="K508" s="125">
        <f t="array" ref="K508">IFNA(XLOOKUP($H508,'🙎‍♂️ Pasien'!$G$7:$G658,'🙎‍♂️ Pasien'!$I$7:$I658),"")</f>
        <v>13</v>
      </c>
      <c r="L508" s="160" t="s">
        <v>62</v>
      </c>
      <c r="M508" s="162" t="str">
        <f t="array" ref="M508">IFNA(XLOOKUP(L508,'⚙️ Pengaturan'!$H$5:$H658,'⚙️ Pengaturan'!$I$5:$I658),"")</f>
        <v>TIM A</v>
      </c>
      <c r="N508" s="160" t="s">
        <v>1132</v>
      </c>
      <c r="O508" s="160" t="s">
        <v>1133</v>
      </c>
      <c r="P508" s="153">
        <f t="shared" si="13"/>
        <v>5</v>
      </c>
      <c r="Q508" s="164">
        <v>45932.0</v>
      </c>
      <c r="R508" s="164">
        <v>45936.0</v>
      </c>
      <c r="S508" s="164">
        <v>45943.0</v>
      </c>
      <c r="T508" s="164">
        <v>45945.0</v>
      </c>
      <c r="U508" s="164">
        <v>45952.0</v>
      </c>
      <c r="V508" s="164"/>
      <c r="W508" s="164"/>
      <c r="X508" s="164"/>
      <c r="Y508" s="164"/>
      <c r="Z508" s="164"/>
      <c r="AA508" s="165">
        <f t="shared" si="20"/>
        <v>45952</v>
      </c>
      <c r="AB508" s="160" t="s">
        <v>1144</v>
      </c>
      <c r="AC508" s="174"/>
      <c r="AD508" s="166"/>
      <c r="AE508" s="156">
        <f t="shared" si="21"/>
        <v>45952</v>
      </c>
      <c r="AF508" s="107" t="str">
        <f t="shared" si="22"/>
        <v>2025</v>
      </c>
      <c r="AG508" s="107" t="str">
        <f t="shared" si="23"/>
        <v>10 Okt</v>
      </c>
      <c r="AH508" s="107" t="str">
        <f t="shared" si="24"/>
        <v>Rab</v>
      </c>
      <c r="AI508" s="157">
        <f t="shared" si="25"/>
        <v>3</v>
      </c>
      <c r="AJ508" s="158"/>
      <c r="AK508" s="159"/>
      <c r="AL508" s="158"/>
      <c r="AM508" s="158">
        <f t="shared" si="12"/>
        <v>0</v>
      </c>
    </row>
    <row r="509" ht="22.5" customHeight="1">
      <c r="A509" s="10"/>
      <c r="B509" s="16" t="s">
        <v>54</v>
      </c>
      <c r="C509" s="16" t="s">
        <v>1131</v>
      </c>
      <c r="D509" s="123">
        <v>45987.0</v>
      </c>
      <c r="E509" s="124" t="str">
        <f t="shared" si="1"/>
        <v>2025</v>
      </c>
      <c r="F509" s="124" t="str">
        <f t="shared" si="2"/>
        <v>11 Nov</v>
      </c>
      <c r="G509" s="124" t="str">
        <f t="shared" si="3"/>
        <v>Rabu</v>
      </c>
      <c r="H509" s="16" t="s">
        <v>507</v>
      </c>
      <c r="I509" s="125" t="str">
        <f t="array" ref="I509">IFNA(XLOOKUP($H509,'🙎‍♂️ Pasien'!$G$7:$G658,'🙎‍♂️ Pasien'!$H$7:$H658),"")</f>
        <v>S0125112891</v>
      </c>
      <c r="J509" s="125" t="str">
        <f t="array" ref="J509">IFNA(XLOOKUP($H509,'🙎‍♂️ Pasien'!$G$7:$G658,'🙎‍♂️ Pasien'!$L$7:$L658),"")</f>
        <v>PEREMPUAN</v>
      </c>
      <c r="K509" s="125">
        <f t="array" ref="K509">IFNA(XLOOKUP($H509,'🙎‍♂️ Pasien'!$G$7:$G658,'🙎‍♂️ Pasien'!$I$7:$I658),"")</f>
        <v>25</v>
      </c>
      <c r="L509" s="16" t="s">
        <v>107</v>
      </c>
      <c r="M509" s="125" t="str">
        <f t="array" ref="M509">IFNA(XLOOKUP(L509,'⚙️ Pengaturan'!$H$5:$H658,'⚙️ Pengaturan'!$I$5:$I658),"")</f>
        <v>TIM Y</v>
      </c>
      <c r="N509" s="16" t="s">
        <v>1132</v>
      </c>
      <c r="O509" s="16" t="s">
        <v>1133</v>
      </c>
      <c r="P509" s="153">
        <f t="shared" si="13"/>
        <v>5</v>
      </c>
      <c r="Q509" s="154">
        <v>45987.0</v>
      </c>
      <c r="R509" s="154">
        <v>45994.0</v>
      </c>
      <c r="S509" s="154">
        <v>46001.0</v>
      </c>
      <c r="T509" s="154">
        <v>46008.0</v>
      </c>
      <c r="U509" s="154">
        <v>46015.0</v>
      </c>
      <c r="V509" s="154"/>
      <c r="W509" s="154"/>
      <c r="X509" s="154"/>
      <c r="Y509" s="154"/>
      <c r="Z509" s="154"/>
      <c r="AA509" s="155">
        <f t="shared" si="20"/>
        <v>46015</v>
      </c>
      <c r="AB509" s="16" t="s">
        <v>1134</v>
      </c>
      <c r="AC509" s="16" t="s">
        <v>1138</v>
      </c>
      <c r="AD509" s="109" t="s">
        <v>1412</v>
      </c>
      <c r="AE509" s="156">
        <f t="shared" si="21"/>
        <v>46015</v>
      </c>
      <c r="AF509" s="107" t="str">
        <f t="shared" si="22"/>
        <v>2025</v>
      </c>
      <c r="AG509" s="107" t="str">
        <f t="shared" si="23"/>
        <v>12 Des</v>
      </c>
      <c r="AH509" s="107" t="str">
        <f t="shared" si="24"/>
        <v>Rab</v>
      </c>
      <c r="AI509" s="157">
        <f t="shared" si="25"/>
        <v>4</v>
      </c>
      <c r="AJ509" s="158"/>
      <c r="AK509" s="159"/>
      <c r="AL509" s="158"/>
      <c r="AM509" s="158">
        <f t="shared" si="12"/>
        <v>0</v>
      </c>
    </row>
    <row r="510" ht="22.5" customHeight="1">
      <c r="A510" s="167"/>
      <c r="B510" s="16" t="s">
        <v>86</v>
      </c>
      <c r="C510" s="16" t="s">
        <v>1131</v>
      </c>
      <c r="D510" s="123">
        <v>45929.0</v>
      </c>
      <c r="E510" s="124" t="str">
        <f t="shared" si="1"/>
        <v>2025</v>
      </c>
      <c r="F510" s="124" t="str">
        <f t="shared" si="2"/>
        <v>09 Sep</v>
      </c>
      <c r="G510" s="124" t="str">
        <f t="shared" si="3"/>
        <v>Senin</v>
      </c>
      <c r="H510" s="16" t="s">
        <v>432</v>
      </c>
      <c r="I510" s="125" t="str">
        <f t="array" ref="I510">IFNA(XLOOKUP($H510,'🙎‍♂️ Pasien'!$G$7:$G658,'🙎‍♂️ Pasien'!$H$7:$H658),"")</f>
        <v>S5925098785</v>
      </c>
      <c r="J510" s="125" t="str">
        <f t="array" ref="J510">IFNA(XLOOKUP($H510,'🙎‍♂️ Pasien'!$G$7:$G658,'🙎‍♂️ Pasien'!$L$7:$L658),"")</f>
        <v>PEREMPUAN</v>
      </c>
      <c r="K510" s="125">
        <f t="array" ref="K510">IFNA(XLOOKUP($H510,'🙎‍♂️ Pasien'!$G$7:$G658,'🙎‍♂️ Pasien'!$I$7:$I658),"")</f>
        <v>66</v>
      </c>
      <c r="L510" s="16" t="s">
        <v>91</v>
      </c>
      <c r="M510" s="125" t="str">
        <f t="array" ref="M510">IFNA(XLOOKUP(L510,'⚙️ Pengaturan'!$H$5:$H658,'⚙️ Pengaturan'!$I$5:$I658),"")</f>
        <v>TIM Y</v>
      </c>
      <c r="N510" s="16" t="s">
        <v>1132</v>
      </c>
      <c r="O510" s="16" t="s">
        <v>1133</v>
      </c>
      <c r="P510" s="153">
        <f t="shared" si="13"/>
        <v>4</v>
      </c>
      <c r="Q510" s="154">
        <v>45929.0</v>
      </c>
      <c r="R510" s="154">
        <v>45963.0</v>
      </c>
      <c r="S510" s="154">
        <v>45970.0</v>
      </c>
      <c r="T510" s="154">
        <v>45983.0</v>
      </c>
      <c r="U510" s="154"/>
      <c r="V510" s="154"/>
      <c r="W510" s="154"/>
      <c r="X510" s="154"/>
      <c r="Y510" s="154"/>
      <c r="Z510" s="154"/>
      <c r="AA510" s="155">
        <f t="shared" si="20"/>
        <v>45983</v>
      </c>
      <c r="AB510" s="16" t="s">
        <v>1144</v>
      </c>
      <c r="AC510" s="20"/>
      <c r="AD510" s="170"/>
      <c r="AE510" s="156" t="str">
        <f t="shared" si="21"/>
        <v/>
      </c>
      <c r="AF510" s="107" t="str">
        <f t="shared" si="22"/>
        <v/>
      </c>
      <c r="AG510" s="107" t="str">
        <f t="shared" si="23"/>
        <v/>
      </c>
      <c r="AH510" s="107" t="str">
        <f t="shared" si="24"/>
        <v/>
      </c>
      <c r="AI510" s="157">
        <f t="shared" si="25"/>
        <v>37</v>
      </c>
      <c r="AJ510" s="96"/>
      <c r="AK510" s="169"/>
      <c r="AL510" s="96"/>
      <c r="AM510" s="158">
        <f t="shared" si="12"/>
        <v>0</v>
      </c>
    </row>
    <row r="511" ht="22.5" customHeight="1">
      <c r="A511" s="167"/>
      <c r="B511" s="16" t="s">
        <v>54</v>
      </c>
      <c r="C511" s="16" t="s">
        <v>1131</v>
      </c>
      <c r="D511" s="123">
        <v>45997.0</v>
      </c>
      <c r="E511" s="124" t="str">
        <f t="shared" si="1"/>
        <v>2025</v>
      </c>
      <c r="F511" s="124" t="str">
        <f t="shared" si="2"/>
        <v>12 Des</v>
      </c>
      <c r="G511" s="124" t="str">
        <f t="shared" si="3"/>
        <v>Sabtu</v>
      </c>
      <c r="H511" s="16" t="s">
        <v>706</v>
      </c>
      <c r="I511" s="125" t="str">
        <f t="array" ref="I511">IFNA(XLOOKUP($H511,'🙎‍♂️ Pasien'!$G$7:$G658,'🙎‍♂️ Pasien'!$H$7:$H658),"")</f>
        <v>S7325124774</v>
      </c>
      <c r="J511" s="125" t="str">
        <f t="array" ref="J511">IFNA(XLOOKUP($H511,'🙎‍♂️ Pasien'!$G$7:$G658,'🙎‍♂️ Pasien'!$L$7:$L658),"")</f>
        <v>PEREMPUAN</v>
      </c>
      <c r="K511" s="125">
        <f t="array" ref="K511">IFNA(XLOOKUP($H511,'🙎‍♂️ Pasien'!$G$7:$G658,'🙎‍♂️ Pasien'!$I$7:$I658),"")</f>
        <v>52</v>
      </c>
      <c r="L511" s="16" t="s">
        <v>72</v>
      </c>
      <c r="M511" s="125" t="str">
        <f t="array" ref="M511">IFNA(XLOOKUP(L511,'⚙️ Pengaturan'!$H$5:$H658,'⚙️ Pengaturan'!$I$5:$I658),"")</f>
        <v>TIM A</v>
      </c>
      <c r="N511" s="16" t="s">
        <v>1132</v>
      </c>
      <c r="O511" s="16" t="s">
        <v>1133</v>
      </c>
      <c r="P511" s="153">
        <f t="shared" si="13"/>
        <v>3</v>
      </c>
      <c r="Q511" s="154">
        <v>45997.0</v>
      </c>
      <c r="R511" s="154">
        <v>46004.0</v>
      </c>
      <c r="S511" s="154">
        <v>46005.0</v>
      </c>
      <c r="T511" s="154"/>
      <c r="U511" s="154"/>
      <c r="V511" s="154"/>
      <c r="W511" s="154"/>
      <c r="X511" s="154"/>
      <c r="Y511" s="154"/>
      <c r="Z511" s="154"/>
      <c r="AA511" s="155">
        <f t="shared" si="20"/>
        <v>46005</v>
      </c>
      <c r="AB511" s="16" t="s">
        <v>1144</v>
      </c>
      <c r="AC511" s="20"/>
      <c r="AD511" s="170"/>
      <c r="AE511" s="156" t="str">
        <f t="shared" si="21"/>
        <v/>
      </c>
      <c r="AF511" s="107" t="str">
        <f t="shared" si="22"/>
        <v/>
      </c>
      <c r="AG511" s="107" t="str">
        <f t="shared" si="23"/>
        <v/>
      </c>
      <c r="AH511" s="107" t="str">
        <f t="shared" si="24"/>
        <v/>
      </c>
      <c r="AI511" s="157">
        <f t="shared" si="25"/>
        <v>27</v>
      </c>
      <c r="AJ511" s="96"/>
      <c r="AK511" s="169"/>
      <c r="AL511" s="96"/>
      <c r="AM511" s="158">
        <f t="shared" si="12"/>
        <v>0</v>
      </c>
    </row>
    <row r="512" ht="22.5" customHeight="1">
      <c r="A512" s="167"/>
      <c r="B512" s="160" t="s">
        <v>54</v>
      </c>
      <c r="C512" s="160" t="s">
        <v>1131</v>
      </c>
      <c r="D512" s="161">
        <v>45832.0</v>
      </c>
      <c r="E512" s="124" t="str">
        <f t="shared" si="1"/>
        <v>2025</v>
      </c>
      <c r="F512" s="124" t="str">
        <f t="shared" si="2"/>
        <v>06 Jun</v>
      </c>
      <c r="G512" s="124" t="str">
        <f t="shared" si="3"/>
        <v>Selasa</v>
      </c>
      <c r="H512" s="160" t="s">
        <v>1413</v>
      </c>
      <c r="I512" s="125" t="str">
        <f t="array" ref="I512">IFNA(XLOOKUP($H512,'🙎‍♂️ Pasien'!$G$7:$G658,'🙎‍♂️ Pasien'!$H$7:$H658),"")</f>
        <v>S6425068991</v>
      </c>
      <c r="J512" s="125" t="str">
        <f t="array" ref="J512">IFNA(XLOOKUP($H512,'🙎‍♂️ Pasien'!$G$7:$G658,'🙎‍♂️ Pasien'!$L$7:$L658),"")</f>
        <v>PEREMPUAN</v>
      </c>
      <c r="K512" s="125">
        <f t="array" ref="K512">IFNA(XLOOKUP($H512,'🙎‍♂️ Pasien'!$G$7:$G658,'🙎‍♂️ Pasien'!$I$7:$I658),"")</f>
        <v>61</v>
      </c>
      <c r="L512" s="160" t="s">
        <v>62</v>
      </c>
      <c r="M512" s="162" t="str">
        <f t="array" ref="M512">IFNA(XLOOKUP(L512,'⚙️ Pengaturan'!$H$5:$H658,'⚙️ Pengaturan'!$I$5:$I658),"")</f>
        <v>TIM A</v>
      </c>
      <c r="N512" s="163" t="s">
        <v>1132</v>
      </c>
      <c r="O512" s="160" t="s">
        <v>1133</v>
      </c>
      <c r="P512" s="153">
        <f t="shared" si="13"/>
        <v>5</v>
      </c>
      <c r="Q512" s="164">
        <v>45832.0</v>
      </c>
      <c r="R512" s="164">
        <v>45834.0</v>
      </c>
      <c r="S512" s="164">
        <v>45839.0</v>
      </c>
      <c r="T512" s="164">
        <v>45841.0</v>
      </c>
      <c r="U512" s="164">
        <v>45843.0</v>
      </c>
      <c r="V512" s="164"/>
      <c r="W512" s="164"/>
      <c r="X512" s="164"/>
      <c r="Y512" s="164"/>
      <c r="Z512" s="164"/>
      <c r="AA512" s="165">
        <f t="shared" si="20"/>
        <v>45843</v>
      </c>
      <c r="AB512" s="160" t="s">
        <v>1134</v>
      </c>
      <c r="AC512" s="160" t="s">
        <v>1138</v>
      </c>
      <c r="AD512" s="166"/>
      <c r="AE512" s="156">
        <f t="shared" si="21"/>
        <v>45843</v>
      </c>
      <c r="AF512" s="107" t="str">
        <f t="shared" si="22"/>
        <v>2025</v>
      </c>
      <c r="AG512" s="107" t="str">
        <f t="shared" si="23"/>
        <v>07 Jul</v>
      </c>
      <c r="AH512" s="107" t="str">
        <f t="shared" si="24"/>
        <v>Sab</v>
      </c>
      <c r="AI512" s="157">
        <f t="shared" si="25"/>
        <v>2</v>
      </c>
      <c r="AJ512" s="96"/>
      <c r="AK512" s="169"/>
      <c r="AL512" s="96"/>
      <c r="AM512" s="158">
        <f t="shared" si="12"/>
        <v>0</v>
      </c>
    </row>
    <row r="513" ht="22.5" customHeight="1">
      <c r="A513" s="152"/>
      <c r="B513" s="160" t="s">
        <v>86</v>
      </c>
      <c r="C513" s="160" t="s">
        <v>1131</v>
      </c>
      <c r="D513" s="161">
        <v>45846.0</v>
      </c>
      <c r="E513" s="124" t="str">
        <f t="shared" si="1"/>
        <v>2025</v>
      </c>
      <c r="F513" s="124" t="str">
        <f t="shared" si="2"/>
        <v>07 Jul</v>
      </c>
      <c r="G513" s="124" t="str">
        <f t="shared" si="3"/>
        <v>Selasa</v>
      </c>
      <c r="H513" s="160" t="s">
        <v>1413</v>
      </c>
      <c r="I513" s="125" t="str">
        <f t="array" ref="I513">IFNA(XLOOKUP($H513,'🙎‍♂️ Pasien'!$G$7:$G658,'🙎‍♂️ Pasien'!$H$7:$H658),"")</f>
        <v>S6425068991</v>
      </c>
      <c r="J513" s="125" t="str">
        <f t="array" ref="J513">IFNA(XLOOKUP($H513,'🙎‍♂️ Pasien'!$G$7:$G658,'🙎‍♂️ Pasien'!$L$7:$L658),"")</f>
        <v>PEREMPUAN</v>
      </c>
      <c r="K513" s="125">
        <f t="array" ref="K513">IFNA(XLOOKUP($H513,'🙎‍♂️ Pasien'!$G$7:$G658,'🙎‍♂️ Pasien'!$I$7:$I658),"")</f>
        <v>61</v>
      </c>
      <c r="L513" s="160" t="s">
        <v>62</v>
      </c>
      <c r="M513" s="162" t="str">
        <f t="array" ref="M513">IFNA(XLOOKUP(L513,'⚙️ Pengaturan'!$H$5:$H658,'⚙️ Pengaturan'!$I$5:$I658),"")</f>
        <v>TIM A</v>
      </c>
      <c r="N513" s="163" t="s">
        <v>1132</v>
      </c>
      <c r="O513" s="160" t="s">
        <v>1139</v>
      </c>
      <c r="P513" s="153">
        <f t="shared" si="13"/>
        <v>5</v>
      </c>
      <c r="Q513" s="164">
        <v>45848.0</v>
      </c>
      <c r="R513" s="164">
        <v>45850.0</v>
      </c>
      <c r="S513" s="164">
        <v>45853.0</v>
      </c>
      <c r="T513" s="164">
        <v>45855.0</v>
      </c>
      <c r="U513" s="164">
        <v>45857.0</v>
      </c>
      <c r="V513" s="164"/>
      <c r="W513" s="164"/>
      <c r="X513" s="164"/>
      <c r="Y513" s="164"/>
      <c r="Z513" s="164"/>
      <c r="AA513" s="165">
        <f t="shared" si="20"/>
        <v>45857</v>
      </c>
      <c r="AB513" s="160" t="s">
        <v>1144</v>
      </c>
      <c r="AC513" s="160" t="s">
        <v>1135</v>
      </c>
      <c r="AD513" s="168" t="s">
        <v>1414</v>
      </c>
      <c r="AE513" s="156">
        <f t="shared" si="21"/>
        <v>45857</v>
      </c>
      <c r="AF513" s="107" t="str">
        <f t="shared" si="22"/>
        <v>2025</v>
      </c>
      <c r="AG513" s="107" t="str">
        <f t="shared" si="23"/>
        <v>07 Jul</v>
      </c>
      <c r="AH513" s="107" t="str">
        <f t="shared" si="24"/>
        <v>Sab</v>
      </c>
      <c r="AI513" s="157">
        <f t="shared" si="25"/>
        <v>2</v>
      </c>
      <c r="AJ513" s="158"/>
      <c r="AK513" s="159"/>
      <c r="AL513" s="158"/>
      <c r="AM513" s="158">
        <f t="shared" si="12"/>
        <v>0</v>
      </c>
    </row>
    <row r="514" ht="22.5" customHeight="1">
      <c r="A514" s="167"/>
      <c r="B514" s="160" t="s">
        <v>54</v>
      </c>
      <c r="C514" s="160" t="s">
        <v>1131</v>
      </c>
      <c r="D514" s="161">
        <v>45825.0</v>
      </c>
      <c r="E514" s="124" t="str">
        <f t="shared" si="1"/>
        <v>2025</v>
      </c>
      <c r="F514" s="124" t="str">
        <f t="shared" si="2"/>
        <v>06 Jun</v>
      </c>
      <c r="G514" s="124" t="str">
        <f t="shared" si="3"/>
        <v>Selasa</v>
      </c>
      <c r="H514" s="160" t="s">
        <v>149</v>
      </c>
      <c r="I514" s="125" t="str">
        <f t="array" ref="I514">IFNA(XLOOKUP($H514,'🙎‍♂️ Pasien'!$G$7:$G658,'🙎‍♂️ Pasien'!$H$7:$H658),"")</f>
        <v>S9825058991</v>
      </c>
      <c r="J514" s="125" t="str">
        <f t="array" ref="J514">IFNA(XLOOKUP($H514,'🙎‍♂️ Pasien'!$G$7:$G658,'🙎‍♂️ Pasien'!$L$7:$L658),"")</f>
        <v>PEREMPUAN</v>
      </c>
      <c r="K514" s="125">
        <f t="array" ref="K514">IFNA(XLOOKUP($H514,'🙎‍♂️ Pasien'!$G$7:$G658,'🙎‍♂️ Pasien'!$I$7:$I658),"")</f>
        <v>27</v>
      </c>
      <c r="L514" s="160" t="s">
        <v>1152</v>
      </c>
      <c r="M514" s="162" t="str">
        <f t="array" ref="M514">IFNA(XLOOKUP(L514,'⚙️ Pengaturan'!$H$5:$H658,'⚙️ Pengaturan'!$I$5:$I658),"")</f>
        <v>INAKTIF</v>
      </c>
      <c r="N514" s="163" t="s">
        <v>1137</v>
      </c>
      <c r="O514" s="160" t="s">
        <v>1139</v>
      </c>
      <c r="P514" s="153">
        <f t="shared" si="13"/>
        <v>9</v>
      </c>
      <c r="Q514" s="164">
        <v>45825.0</v>
      </c>
      <c r="R514" s="164">
        <v>45827.0</v>
      </c>
      <c r="S514" s="164">
        <v>45829.0</v>
      </c>
      <c r="T514" s="164">
        <v>45832.0</v>
      </c>
      <c r="U514" s="164">
        <v>45834.0</v>
      </c>
      <c r="V514" s="164">
        <v>45836.0</v>
      </c>
      <c r="W514" s="164">
        <v>45839.0</v>
      </c>
      <c r="X514" s="164">
        <v>45841.0</v>
      </c>
      <c r="Y514" s="164">
        <v>45843.0</v>
      </c>
      <c r="Z514" s="164"/>
      <c r="AA514" s="165">
        <f t="shared" si="20"/>
        <v>45843</v>
      </c>
      <c r="AB514" s="160" t="s">
        <v>1134</v>
      </c>
      <c r="AC514" s="160" t="s">
        <v>1138</v>
      </c>
      <c r="AD514" s="166"/>
      <c r="AE514" s="156" t="str">
        <f t="shared" si="21"/>
        <v/>
      </c>
      <c r="AF514" s="107" t="str">
        <f t="shared" si="22"/>
        <v/>
      </c>
      <c r="AG514" s="107" t="str">
        <f t="shared" si="23"/>
        <v/>
      </c>
      <c r="AH514" s="107" t="str">
        <f t="shared" si="24"/>
        <v/>
      </c>
      <c r="AI514" s="157">
        <f t="shared" si="25"/>
        <v>51</v>
      </c>
      <c r="AJ514" s="96"/>
      <c r="AK514" s="169"/>
      <c r="AL514" s="96"/>
      <c r="AM514" s="158">
        <f t="shared" si="12"/>
        <v>0</v>
      </c>
    </row>
    <row r="515" ht="22.5" customHeight="1">
      <c r="A515" s="167"/>
      <c r="B515" s="160" t="s">
        <v>86</v>
      </c>
      <c r="C515" s="160" t="s">
        <v>1131</v>
      </c>
      <c r="D515" s="161">
        <v>45846.0</v>
      </c>
      <c r="E515" s="124" t="str">
        <f t="shared" si="1"/>
        <v>2025</v>
      </c>
      <c r="F515" s="124" t="str">
        <f t="shared" si="2"/>
        <v>07 Jul</v>
      </c>
      <c r="G515" s="124" t="str">
        <f t="shared" si="3"/>
        <v>Selasa</v>
      </c>
      <c r="H515" s="160" t="s">
        <v>149</v>
      </c>
      <c r="I515" s="125" t="str">
        <f t="array" ref="I515">IFNA(XLOOKUP($H515,'🙎‍♂️ Pasien'!$G$7:$G658,'🙎‍♂️ Pasien'!$H$7:$H658),"")</f>
        <v>S9825058991</v>
      </c>
      <c r="J515" s="125" t="str">
        <f t="array" ref="J515">IFNA(XLOOKUP($H515,'🙎‍♂️ Pasien'!$G$7:$G658,'🙎‍♂️ Pasien'!$L$7:$L658),"")</f>
        <v>PEREMPUAN</v>
      </c>
      <c r="K515" s="125">
        <f t="array" ref="K515">IFNA(XLOOKUP($H515,'🙎‍♂️ Pasien'!$G$7:$G658,'🙎‍♂️ Pasien'!$I$7:$I658),"")</f>
        <v>27</v>
      </c>
      <c r="L515" s="160" t="s">
        <v>72</v>
      </c>
      <c r="M515" s="162" t="str">
        <f t="array" ref="M515">IFNA(XLOOKUP(L515,'⚙️ Pengaturan'!$H$5:$H658,'⚙️ Pengaturan'!$I$5:$I658),"")</f>
        <v>TIM A</v>
      </c>
      <c r="N515" s="163" t="s">
        <v>1137</v>
      </c>
      <c r="O515" s="160" t="s">
        <v>1139</v>
      </c>
      <c r="P515" s="153">
        <f t="shared" si="13"/>
        <v>10</v>
      </c>
      <c r="Q515" s="164">
        <v>45848.0</v>
      </c>
      <c r="R515" s="164">
        <v>45850.0</v>
      </c>
      <c r="S515" s="164">
        <v>45853.0</v>
      </c>
      <c r="T515" s="164">
        <v>45855.0</v>
      </c>
      <c r="U515" s="164">
        <v>45857.0</v>
      </c>
      <c r="V515" s="164">
        <v>45860.0</v>
      </c>
      <c r="W515" s="164">
        <v>45864.0</v>
      </c>
      <c r="X515" s="164">
        <v>45867.0</v>
      </c>
      <c r="Y515" s="164">
        <v>45874.0</v>
      </c>
      <c r="Z515" s="164">
        <v>45864.0</v>
      </c>
      <c r="AA515" s="165">
        <f t="shared" si="20"/>
        <v>45874</v>
      </c>
      <c r="AB515" s="160" t="s">
        <v>1134</v>
      </c>
      <c r="AC515" s="160" t="s">
        <v>1138</v>
      </c>
      <c r="AD515" s="166"/>
      <c r="AE515" s="156">
        <f t="shared" si="21"/>
        <v>45864</v>
      </c>
      <c r="AF515" s="107" t="str">
        <f t="shared" si="22"/>
        <v>2025</v>
      </c>
      <c r="AG515" s="107" t="str">
        <f t="shared" si="23"/>
        <v>07 Jul</v>
      </c>
      <c r="AH515" s="107" t="str">
        <f t="shared" si="24"/>
        <v>Sab</v>
      </c>
      <c r="AI515" s="157">
        <f t="shared" si="25"/>
        <v>3</v>
      </c>
      <c r="AJ515" s="96"/>
      <c r="AK515" s="169"/>
      <c r="AL515" s="96"/>
      <c r="AM515" s="158">
        <f t="shared" si="12"/>
        <v>0</v>
      </c>
    </row>
    <row r="516" ht="22.5" customHeight="1">
      <c r="A516" s="167"/>
      <c r="B516" s="160" t="s">
        <v>134</v>
      </c>
      <c r="C516" s="160" t="s">
        <v>1131</v>
      </c>
      <c r="D516" s="161">
        <v>45882.0</v>
      </c>
      <c r="E516" s="124" t="str">
        <f t="shared" si="1"/>
        <v>2025</v>
      </c>
      <c r="F516" s="124" t="str">
        <f t="shared" si="2"/>
        <v>08 Agu</v>
      </c>
      <c r="G516" s="124" t="str">
        <f t="shared" si="3"/>
        <v>Rabu</v>
      </c>
      <c r="H516" s="160" t="s">
        <v>149</v>
      </c>
      <c r="I516" s="125" t="str">
        <f t="array" ref="I516">IFNA(XLOOKUP($H516,'🙎‍♂️ Pasien'!$G$7:$G658,'🙎‍♂️ Pasien'!$H$7:$H658),"")</f>
        <v>S9825058991</v>
      </c>
      <c r="J516" s="125" t="str">
        <f t="array" ref="J516">IFNA(XLOOKUP($H516,'🙎‍♂️ Pasien'!$G$7:$G658,'🙎‍♂️ Pasien'!$L$7:$L658),"")</f>
        <v>PEREMPUAN</v>
      </c>
      <c r="K516" s="125">
        <f t="array" ref="K516">IFNA(XLOOKUP($H516,'🙎‍♂️ Pasien'!$G$7:$G658,'🙎‍♂️ Pasien'!$I$7:$I658),"")</f>
        <v>27</v>
      </c>
      <c r="L516" s="160" t="s">
        <v>1152</v>
      </c>
      <c r="M516" s="162" t="str">
        <f t="array" ref="M516">IFNA(XLOOKUP(L516,'⚙️ Pengaturan'!$H$5:$H658,'⚙️ Pengaturan'!$I$5:$I658),"")</f>
        <v>INAKTIF</v>
      </c>
      <c r="N516" s="163" t="s">
        <v>1137</v>
      </c>
      <c r="O516" s="160" t="s">
        <v>1139</v>
      </c>
      <c r="P516" s="153">
        <f t="shared" si="13"/>
        <v>10</v>
      </c>
      <c r="Q516" s="164">
        <v>45885.0</v>
      </c>
      <c r="R516" s="164">
        <v>45888.0</v>
      </c>
      <c r="S516" s="164">
        <v>45890.0</v>
      </c>
      <c r="T516" s="164">
        <v>45892.0</v>
      </c>
      <c r="U516" s="164">
        <v>45895.0</v>
      </c>
      <c r="V516" s="164">
        <v>45897.0</v>
      </c>
      <c r="W516" s="164">
        <v>45899.0</v>
      </c>
      <c r="X516" s="164">
        <v>45902.0</v>
      </c>
      <c r="Y516" s="164">
        <v>45904.0</v>
      </c>
      <c r="Z516" s="164">
        <v>45936.0</v>
      </c>
      <c r="AA516" s="165">
        <f t="shared" si="20"/>
        <v>45936</v>
      </c>
      <c r="AB516" s="160" t="s">
        <v>1134</v>
      </c>
      <c r="AC516" s="160" t="s">
        <v>1138</v>
      </c>
      <c r="AD516" s="166"/>
      <c r="AE516" s="156">
        <f t="shared" si="21"/>
        <v>45936</v>
      </c>
      <c r="AF516" s="107" t="str">
        <f t="shared" si="22"/>
        <v>2025</v>
      </c>
      <c r="AG516" s="107" t="str">
        <f t="shared" si="23"/>
        <v>10 Okt</v>
      </c>
      <c r="AH516" s="107" t="str">
        <f t="shared" si="24"/>
        <v>Sen</v>
      </c>
      <c r="AI516" s="157">
        <f t="shared" si="25"/>
        <v>8</v>
      </c>
      <c r="AJ516" s="96"/>
      <c r="AK516" s="169"/>
      <c r="AL516" s="96"/>
      <c r="AM516" s="158">
        <f t="shared" si="12"/>
        <v>0</v>
      </c>
    </row>
    <row r="517" ht="22.5" customHeight="1">
      <c r="A517" s="167"/>
      <c r="B517" s="160" t="s">
        <v>86</v>
      </c>
      <c r="C517" s="160" t="s">
        <v>1131</v>
      </c>
      <c r="D517" s="161">
        <v>45909.0</v>
      </c>
      <c r="E517" s="124" t="str">
        <f t="shared" si="1"/>
        <v>2025</v>
      </c>
      <c r="F517" s="124" t="str">
        <f t="shared" si="2"/>
        <v>09 Sep</v>
      </c>
      <c r="G517" s="124" t="str">
        <f t="shared" si="3"/>
        <v>Selasa</v>
      </c>
      <c r="H517" s="160" t="s">
        <v>149</v>
      </c>
      <c r="I517" s="125" t="str">
        <f t="array" ref="I517">IFNA(XLOOKUP($H517,'🙎‍♂️ Pasien'!$G$7:$G658,'🙎‍♂️ Pasien'!$H$7:$H658),"")</f>
        <v>S9825058991</v>
      </c>
      <c r="J517" s="125" t="str">
        <f t="array" ref="J517">IFNA(XLOOKUP($H517,'🙎‍♂️ Pasien'!$G$7:$G658,'🙎‍♂️ Pasien'!$L$7:$L658),"")</f>
        <v>PEREMPUAN</v>
      </c>
      <c r="K517" s="125">
        <f t="array" ref="K517">IFNA(XLOOKUP($H517,'🙎‍♂️ Pasien'!$G$7:$G658,'🙎‍♂️ Pasien'!$I$7:$I658),"")</f>
        <v>27</v>
      </c>
      <c r="L517" s="160" t="s">
        <v>62</v>
      </c>
      <c r="M517" s="162" t="str">
        <f t="array" ref="M517">IFNA(XLOOKUP(L517,'⚙️ Pengaturan'!$H$5:$H658,'⚙️ Pengaturan'!$I$5:$I658),"")</f>
        <v>TIM A</v>
      </c>
      <c r="N517" s="163" t="s">
        <v>1137</v>
      </c>
      <c r="O517" s="160" t="s">
        <v>1139</v>
      </c>
      <c r="P517" s="153">
        <f t="shared" si="13"/>
        <v>10</v>
      </c>
      <c r="Q517" s="164">
        <v>45909.0</v>
      </c>
      <c r="R517" s="164">
        <v>45911.0</v>
      </c>
      <c r="S517" s="164">
        <v>45916.0</v>
      </c>
      <c r="T517" s="164">
        <v>45918.0</v>
      </c>
      <c r="U517" s="164">
        <v>45920.0</v>
      </c>
      <c r="V517" s="164">
        <v>45923.0</v>
      </c>
      <c r="W517" s="164">
        <v>45925.0</v>
      </c>
      <c r="X517" s="164">
        <v>45927.0</v>
      </c>
      <c r="Y517" s="164">
        <v>45932.0</v>
      </c>
      <c r="Z517" s="164">
        <v>45934.0</v>
      </c>
      <c r="AA517" s="165">
        <f t="shared" si="20"/>
        <v>45934</v>
      </c>
      <c r="AB517" s="160" t="s">
        <v>1134</v>
      </c>
      <c r="AC517" s="160" t="s">
        <v>1138</v>
      </c>
      <c r="AD517" s="166"/>
      <c r="AE517" s="156">
        <f t="shared" si="21"/>
        <v>45934</v>
      </c>
      <c r="AF517" s="107" t="str">
        <f t="shared" si="22"/>
        <v>2025</v>
      </c>
      <c r="AG517" s="107" t="str">
        <f t="shared" si="23"/>
        <v>10 Okt</v>
      </c>
      <c r="AH517" s="107" t="str">
        <f t="shared" si="24"/>
        <v>Sab</v>
      </c>
      <c r="AI517" s="157">
        <f t="shared" si="25"/>
        <v>4</v>
      </c>
      <c r="AJ517" s="96"/>
      <c r="AK517" s="169"/>
      <c r="AL517" s="96"/>
      <c r="AM517" s="158">
        <f t="shared" si="12"/>
        <v>0</v>
      </c>
    </row>
    <row r="518" ht="22.5" customHeight="1">
      <c r="A518" s="167"/>
      <c r="B518" s="160" t="s">
        <v>86</v>
      </c>
      <c r="C518" s="160" t="s">
        <v>1131</v>
      </c>
      <c r="D518" s="161">
        <v>45939.0</v>
      </c>
      <c r="E518" s="124" t="str">
        <f t="shared" si="1"/>
        <v>2025</v>
      </c>
      <c r="F518" s="124" t="str">
        <f t="shared" si="2"/>
        <v>10 Okt</v>
      </c>
      <c r="G518" s="124" t="str">
        <f t="shared" si="3"/>
        <v>Kamis</v>
      </c>
      <c r="H518" s="160" t="s">
        <v>149</v>
      </c>
      <c r="I518" s="125" t="str">
        <f t="array" ref="I518">IFNA(XLOOKUP($H518,'🙎‍♂️ Pasien'!$G$7:$G658,'🙎‍♂️ Pasien'!$H$7:$H658),"")</f>
        <v>S9825058991</v>
      </c>
      <c r="J518" s="125" t="str">
        <f t="array" ref="J518">IFNA(XLOOKUP($H518,'🙎‍♂️ Pasien'!$G$7:$G658,'🙎‍♂️ Pasien'!$L$7:$L658),"")</f>
        <v>PEREMPUAN</v>
      </c>
      <c r="K518" s="125">
        <f t="array" ref="K518">IFNA(XLOOKUP($H518,'🙎‍♂️ Pasien'!$G$7:$G658,'🙎‍♂️ Pasien'!$I$7:$I658),"")</f>
        <v>27</v>
      </c>
      <c r="L518" s="160" t="s">
        <v>62</v>
      </c>
      <c r="M518" s="162" t="str">
        <f t="array" ref="M518">IFNA(XLOOKUP(L518,'⚙️ Pengaturan'!$H$5:$H658,'⚙️ Pengaturan'!$I$5:$I658),"")</f>
        <v>TIM A</v>
      </c>
      <c r="N518" s="163" t="s">
        <v>1137</v>
      </c>
      <c r="O518" s="160" t="s">
        <v>1139</v>
      </c>
      <c r="P518" s="153">
        <f t="shared" si="13"/>
        <v>10</v>
      </c>
      <c r="Q518" s="164">
        <v>45939.0</v>
      </c>
      <c r="R518" s="164">
        <v>45941.0</v>
      </c>
      <c r="S518" s="164">
        <v>45944.0</v>
      </c>
      <c r="T518" s="164">
        <v>45946.0</v>
      </c>
      <c r="U518" s="164">
        <v>45951.0</v>
      </c>
      <c r="V518" s="164">
        <v>45953.0</v>
      </c>
      <c r="W518" s="164">
        <v>45955.0</v>
      </c>
      <c r="X518" s="164">
        <v>45958.0</v>
      </c>
      <c r="Y518" s="164">
        <v>45960.0</v>
      </c>
      <c r="Z518" s="164">
        <v>45962.0</v>
      </c>
      <c r="AA518" s="165">
        <f t="shared" si="20"/>
        <v>45962</v>
      </c>
      <c r="AB518" s="160" t="s">
        <v>1134</v>
      </c>
      <c r="AC518" s="160" t="s">
        <v>1138</v>
      </c>
      <c r="AD518" s="166"/>
      <c r="AE518" s="156">
        <f t="shared" si="21"/>
        <v>45962</v>
      </c>
      <c r="AF518" s="107" t="str">
        <f t="shared" si="22"/>
        <v>2025</v>
      </c>
      <c r="AG518" s="107" t="str">
        <f t="shared" si="23"/>
        <v>11 Nov</v>
      </c>
      <c r="AH518" s="107" t="str">
        <f t="shared" si="24"/>
        <v>Sab</v>
      </c>
      <c r="AI518" s="157">
        <f t="shared" si="25"/>
        <v>4</v>
      </c>
      <c r="AJ518" s="96"/>
      <c r="AK518" s="169"/>
      <c r="AL518" s="96"/>
      <c r="AM518" s="158">
        <f t="shared" si="12"/>
        <v>0</v>
      </c>
    </row>
    <row r="519" ht="22.5" customHeight="1">
      <c r="A519" s="167"/>
      <c r="B519" s="160" t="s">
        <v>86</v>
      </c>
      <c r="C519" s="160" t="s">
        <v>1131</v>
      </c>
      <c r="D519" s="161">
        <v>45965.0</v>
      </c>
      <c r="E519" s="124" t="str">
        <f t="shared" si="1"/>
        <v>2025</v>
      </c>
      <c r="F519" s="124" t="str">
        <f t="shared" si="2"/>
        <v>11 Nov</v>
      </c>
      <c r="G519" s="124" t="str">
        <f t="shared" si="3"/>
        <v>Selasa</v>
      </c>
      <c r="H519" s="160" t="s">
        <v>149</v>
      </c>
      <c r="I519" s="125" t="str">
        <f t="array" ref="I519">IFNA(XLOOKUP($H519,'🙎‍♂️ Pasien'!$G$7:$G658,'🙎‍♂️ Pasien'!$H$7:$H658),"")</f>
        <v>S9825058991</v>
      </c>
      <c r="J519" s="125" t="str">
        <f t="array" ref="J519">IFNA(XLOOKUP($H519,'🙎‍♂️ Pasien'!$G$7:$G658,'🙎‍♂️ Pasien'!$L$7:$L658),"")</f>
        <v>PEREMPUAN</v>
      </c>
      <c r="K519" s="125">
        <f t="array" ref="K519">IFNA(XLOOKUP($H519,'🙎‍♂️ Pasien'!$G$7:$G658,'🙎‍♂️ Pasien'!$I$7:$I658),"")</f>
        <v>27</v>
      </c>
      <c r="L519" s="160" t="s">
        <v>62</v>
      </c>
      <c r="M519" s="162" t="str">
        <f t="array" ref="M519">IFNA(XLOOKUP(L519,'⚙️ Pengaturan'!$H$5:$H658,'⚙️ Pengaturan'!$I$5:$I658),"")</f>
        <v>TIM A</v>
      </c>
      <c r="N519" s="163" t="s">
        <v>1137</v>
      </c>
      <c r="O519" s="160" t="s">
        <v>1139</v>
      </c>
      <c r="P519" s="153">
        <f t="shared" si="13"/>
        <v>10</v>
      </c>
      <c r="Q519" s="164">
        <v>45965.0</v>
      </c>
      <c r="R519" s="164">
        <v>45969.0</v>
      </c>
      <c r="S519" s="164">
        <v>45972.0</v>
      </c>
      <c r="T519" s="164">
        <v>45974.0</v>
      </c>
      <c r="U519" s="164">
        <v>45976.0</v>
      </c>
      <c r="V519" s="164">
        <v>45983.0</v>
      </c>
      <c r="W519" s="164">
        <v>45988.0</v>
      </c>
      <c r="X519" s="164">
        <v>45990.0</v>
      </c>
      <c r="Y519" s="164">
        <v>45995.0</v>
      </c>
      <c r="Z519" s="164">
        <v>46000.0</v>
      </c>
      <c r="AA519" s="165">
        <f t="shared" si="20"/>
        <v>46000</v>
      </c>
      <c r="AB519" s="160" t="s">
        <v>1134</v>
      </c>
      <c r="AC519" s="160" t="s">
        <v>1138</v>
      </c>
      <c r="AD519" s="166"/>
      <c r="AE519" s="156">
        <f t="shared" si="21"/>
        <v>46000</v>
      </c>
      <c r="AF519" s="107" t="str">
        <f t="shared" si="22"/>
        <v>2025</v>
      </c>
      <c r="AG519" s="107" t="str">
        <f t="shared" si="23"/>
        <v>12 Des</v>
      </c>
      <c r="AH519" s="107" t="str">
        <f t="shared" si="24"/>
        <v>Sel</v>
      </c>
      <c r="AI519" s="157">
        <f t="shared" si="25"/>
        <v>5</v>
      </c>
      <c r="AJ519" s="96"/>
      <c r="AK519" s="169"/>
      <c r="AL519" s="96"/>
      <c r="AM519" s="158">
        <f t="shared" si="12"/>
        <v>0</v>
      </c>
    </row>
    <row r="520" ht="22.5" customHeight="1">
      <c r="A520" s="167"/>
      <c r="B520" s="160" t="s">
        <v>86</v>
      </c>
      <c r="C520" s="160" t="s">
        <v>1131</v>
      </c>
      <c r="D520" s="161">
        <v>46002.0</v>
      </c>
      <c r="E520" s="124" t="str">
        <f t="shared" si="1"/>
        <v>2025</v>
      </c>
      <c r="F520" s="124" t="str">
        <f t="shared" si="2"/>
        <v>12 Des</v>
      </c>
      <c r="G520" s="124" t="str">
        <f t="shared" si="3"/>
        <v>Kamis</v>
      </c>
      <c r="H520" s="160" t="s">
        <v>149</v>
      </c>
      <c r="I520" s="125" t="str">
        <f t="array" ref="I520">IFNA(XLOOKUP($H520,'🙎‍♂️ Pasien'!$G$7:$G658,'🙎‍♂️ Pasien'!$H$7:$H658),"")</f>
        <v>S9825058991</v>
      </c>
      <c r="J520" s="125" t="str">
        <f t="array" ref="J520">IFNA(XLOOKUP($H520,'🙎‍♂️ Pasien'!$G$7:$G658,'🙎‍♂️ Pasien'!$L$7:$L658),"")</f>
        <v>PEREMPUAN</v>
      </c>
      <c r="K520" s="125">
        <f t="array" ref="K520">IFNA(XLOOKUP($H520,'🙎‍♂️ Pasien'!$G$7:$G658,'🙎‍♂️ Pasien'!$I$7:$I658),"")</f>
        <v>27</v>
      </c>
      <c r="L520" s="160" t="s">
        <v>62</v>
      </c>
      <c r="M520" s="162" t="str">
        <f t="array" ref="M520">IFNA(XLOOKUP(L520,'⚙️ Pengaturan'!$H$5:$H658,'⚙️ Pengaturan'!$I$5:$I658),"")</f>
        <v>TIM A</v>
      </c>
      <c r="N520" s="163" t="s">
        <v>1137</v>
      </c>
      <c r="O520" s="160" t="s">
        <v>1139</v>
      </c>
      <c r="P520" s="153">
        <f t="shared" si="13"/>
        <v>7</v>
      </c>
      <c r="Q520" s="164">
        <v>46002.0</v>
      </c>
      <c r="R520" s="164">
        <v>46004.0</v>
      </c>
      <c r="S520" s="164">
        <v>46007.0</v>
      </c>
      <c r="T520" s="164">
        <v>46009.0</v>
      </c>
      <c r="U520" s="164">
        <v>46011.0</v>
      </c>
      <c r="V520" s="164">
        <v>46014.0</v>
      </c>
      <c r="W520" s="164">
        <v>46019.0</v>
      </c>
      <c r="X520" s="164"/>
      <c r="Y520" s="164"/>
      <c r="Z520" s="164"/>
      <c r="AA520" s="165">
        <f t="shared" si="20"/>
        <v>46019</v>
      </c>
      <c r="AB520" s="160" t="s">
        <v>1144</v>
      </c>
      <c r="AC520" s="172"/>
      <c r="AD520" s="166"/>
      <c r="AE520" s="156" t="str">
        <f t="shared" si="21"/>
        <v/>
      </c>
      <c r="AF520" s="107" t="str">
        <f t="shared" si="22"/>
        <v/>
      </c>
      <c r="AG520" s="107" t="str">
        <f t="shared" si="23"/>
        <v/>
      </c>
      <c r="AH520" s="107" t="str">
        <f t="shared" si="24"/>
        <v/>
      </c>
      <c r="AI520" s="157">
        <f t="shared" si="25"/>
        <v>26</v>
      </c>
      <c r="AJ520" s="96"/>
      <c r="AK520" s="169"/>
      <c r="AL520" s="96"/>
      <c r="AM520" s="158">
        <f t="shared" si="12"/>
        <v>1</v>
      </c>
    </row>
    <row r="521" ht="22.5" customHeight="1">
      <c r="A521" s="167"/>
      <c r="B521" s="160" t="s">
        <v>86</v>
      </c>
      <c r="C521" s="160" t="s">
        <v>1131</v>
      </c>
      <c r="D521" s="161">
        <v>45824.0</v>
      </c>
      <c r="E521" s="124" t="str">
        <f t="shared" si="1"/>
        <v>2025</v>
      </c>
      <c r="F521" s="124" t="str">
        <f t="shared" si="2"/>
        <v>06 Jun</v>
      </c>
      <c r="G521" s="124" t="str">
        <f t="shared" si="3"/>
        <v>Senin</v>
      </c>
      <c r="H521" s="160" t="s">
        <v>1415</v>
      </c>
      <c r="I521" s="125" t="str">
        <f t="array" ref="I521">IFNA(XLOOKUP($H521,'🙎‍♂️ Pasien'!$G$7:$G658,'🙎‍♂️ Pasien'!$H$7:$H658),"")</f>
        <v>S1225046229</v>
      </c>
      <c r="J521" s="125" t="str">
        <f t="array" ref="J521">IFNA(XLOOKUP($H521,'🙎‍♂️ Pasien'!$G$7:$G658,'🙎‍♂️ Pasien'!$L$7:$L658),"")</f>
        <v>PEREMPUAN</v>
      </c>
      <c r="K521" s="125">
        <f t="array" ref="K521">IFNA(XLOOKUP($H521,'🙎‍♂️ Pasien'!$G$7:$G658,'🙎‍♂️ Pasien'!$I$7:$I658),"")</f>
        <v>14</v>
      </c>
      <c r="L521" s="160" t="s">
        <v>1152</v>
      </c>
      <c r="M521" s="162" t="str">
        <f t="array" ref="M521">IFNA(XLOOKUP(L521,'⚙️ Pengaturan'!$H$5:$H658,'⚙️ Pengaturan'!$I$5:$I658),"")</f>
        <v>INAKTIF</v>
      </c>
      <c r="N521" s="163" t="s">
        <v>1137</v>
      </c>
      <c r="O521" s="160" t="s">
        <v>1139</v>
      </c>
      <c r="P521" s="153">
        <f t="shared" si="13"/>
        <v>10</v>
      </c>
      <c r="Q521" s="164">
        <v>45823.0</v>
      </c>
      <c r="R521" s="164">
        <v>45824.0</v>
      </c>
      <c r="S521" s="164">
        <v>45826.0</v>
      </c>
      <c r="T521" s="164">
        <v>45828.0</v>
      </c>
      <c r="U521" s="164">
        <v>45830.0</v>
      </c>
      <c r="V521" s="164">
        <v>45833.0</v>
      </c>
      <c r="W521" s="164">
        <v>45837.0</v>
      </c>
      <c r="X521" s="164">
        <v>45838.0</v>
      </c>
      <c r="Y521" s="164">
        <v>45840.0</v>
      </c>
      <c r="Z521" s="164">
        <v>45936.0</v>
      </c>
      <c r="AA521" s="165">
        <f t="shared" si="20"/>
        <v>45936</v>
      </c>
      <c r="AB521" s="160" t="s">
        <v>1134</v>
      </c>
      <c r="AC521" s="160" t="s">
        <v>1138</v>
      </c>
      <c r="AD521" s="166"/>
      <c r="AE521" s="156">
        <f t="shared" si="21"/>
        <v>45936</v>
      </c>
      <c r="AF521" s="107" t="str">
        <f t="shared" si="22"/>
        <v>2025</v>
      </c>
      <c r="AG521" s="107" t="str">
        <f t="shared" si="23"/>
        <v>10 Okt</v>
      </c>
      <c r="AH521" s="107" t="str">
        <f t="shared" si="24"/>
        <v>Sen</v>
      </c>
      <c r="AI521" s="157">
        <f t="shared" si="25"/>
        <v>17</v>
      </c>
      <c r="AJ521" s="96"/>
      <c r="AK521" s="169"/>
      <c r="AL521" s="96"/>
      <c r="AM521" s="158">
        <f t="shared" si="12"/>
        <v>0</v>
      </c>
    </row>
    <row r="522" ht="22.5" customHeight="1">
      <c r="A522" s="167"/>
      <c r="B522" s="160" t="s">
        <v>86</v>
      </c>
      <c r="C522" s="160" t="s">
        <v>1131</v>
      </c>
      <c r="D522" s="161">
        <v>45846.0</v>
      </c>
      <c r="E522" s="124" t="str">
        <f t="shared" si="1"/>
        <v>2025</v>
      </c>
      <c r="F522" s="124" t="str">
        <f t="shared" si="2"/>
        <v>07 Jul</v>
      </c>
      <c r="G522" s="124" t="str">
        <f t="shared" si="3"/>
        <v>Selasa</v>
      </c>
      <c r="H522" s="160" t="s">
        <v>1415</v>
      </c>
      <c r="I522" s="125" t="str">
        <f t="array" ref="I522">IFNA(XLOOKUP($H522,'🙎‍♂️ Pasien'!$G$7:$G658,'🙎‍♂️ Pasien'!$H$7:$H658),"")</f>
        <v>S1225046229</v>
      </c>
      <c r="J522" s="125" t="str">
        <f t="array" ref="J522">IFNA(XLOOKUP($H522,'🙎‍♂️ Pasien'!$G$7:$G658,'🙎‍♂️ Pasien'!$L$7:$L658),"")</f>
        <v>PEREMPUAN</v>
      </c>
      <c r="K522" s="125">
        <f t="array" ref="K522">IFNA(XLOOKUP($H522,'🙎‍♂️ Pasien'!$G$7:$G658,'🙎‍♂️ Pasien'!$I$7:$I658),"")</f>
        <v>14</v>
      </c>
      <c r="L522" s="160" t="s">
        <v>91</v>
      </c>
      <c r="M522" s="162" t="str">
        <f t="array" ref="M522">IFNA(XLOOKUP(L522,'⚙️ Pengaturan'!$H$5:$H658,'⚙️ Pengaturan'!$I$5:$I658),"")</f>
        <v>TIM Y</v>
      </c>
      <c r="N522" s="163" t="s">
        <v>1137</v>
      </c>
      <c r="O522" s="160" t="s">
        <v>1133</v>
      </c>
      <c r="P522" s="153">
        <f t="shared" si="13"/>
        <v>10</v>
      </c>
      <c r="Q522" s="164">
        <v>45846.0</v>
      </c>
      <c r="R522" s="164">
        <v>45847.0</v>
      </c>
      <c r="S522" s="164">
        <v>45849.0</v>
      </c>
      <c r="T522" s="164">
        <v>45851.0</v>
      </c>
      <c r="U522" s="164">
        <v>45854.0</v>
      </c>
      <c r="V522" s="164">
        <v>45858.0</v>
      </c>
      <c r="W522" s="164">
        <v>45859.0</v>
      </c>
      <c r="X522" s="164">
        <v>45861.0</v>
      </c>
      <c r="Y522" s="164">
        <v>45865.0</v>
      </c>
      <c r="Z522" s="164">
        <v>45916.0</v>
      </c>
      <c r="AA522" s="165">
        <f t="shared" si="20"/>
        <v>45916</v>
      </c>
      <c r="AB522" s="160" t="s">
        <v>1134</v>
      </c>
      <c r="AC522" s="160" t="s">
        <v>1138</v>
      </c>
      <c r="AD522" s="166"/>
      <c r="AE522" s="156">
        <f t="shared" si="21"/>
        <v>45916</v>
      </c>
      <c r="AF522" s="107" t="str">
        <f t="shared" si="22"/>
        <v>2025</v>
      </c>
      <c r="AG522" s="107" t="str">
        <f t="shared" si="23"/>
        <v>09 Sep</v>
      </c>
      <c r="AH522" s="107" t="str">
        <f t="shared" si="24"/>
        <v>Sel</v>
      </c>
      <c r="AI522" s="157">
        <f t="shared" si="25"/>
        <v>10</v>
      </c>
      <c r="AJ522" s="96"/>
      <c r="AK522" s="169"/>
      <c r="AL522" s="96"/>
      <c r="AM522" s="158">
        <f t="shared" si="12"/>
        <v>0</v>
      </c>
    </row>
    <row r="523" ht="22.5" customHeight="1">
      <c r="A523" s="167"/>
      <c r="B523" s="160" t="s">
        <v>134</v>
      </c>
      <c r="C523" s="160" t="s">
        <v>1131</v>
      </c>
      <c r="D523" s="161">
        <v>45867.0</v>
      </c>
      <c r="E523" s="124" t="str">
        <f t="shared" si="1"/>
        <v>2025</v>
      </c>
      <c r="F523" s="124" t="str">
        <f t="shared" si="2"/>
        <v>07 Jul</v>
      </c>
      <c r="G523" s="124" t="str">
        <f t="shared" si="3"/>
        <v>Selasa</v>
      </c>
      <c r="H523" s="160" t="s">
        <v>1415</v>
      </c>
      <c r="I523" s="125" t="str">
        <f t="array" ref="I523">IFNA(XLOOKUP($H523,'🙎‍♂️ Pasien'!$G$7:$G658,'🙎‍♂️ Pasien'!$H$7:$H658),"")</f>
        <v>S1225046229</v>
      </c>
      <c r="J523" s="125" t="str">
        <f t="array" ref="J523">IFNA(XLOOKUP($H523,'🙎‍♂️ Pasien'!$G$7:$G658,'🙎‍♂️ Pasien'!$L$7:$L658),"")</f>
        <v>PEREMPUAN</v>
      </c>
      <c r="K523" s="125">
        <f t="array" ref="K523">IFNA(XLOOKUP($H523,'🙎‍♂️ Pasien'!$G$7:$G658,'🙎‍♂️ Pasien'!$I$7:$I658),"")</f>
        <v>14</v>
      </c>
      <c r="L523" s="160" t="s">
        <v>91</v>
      </c>
      <c r="M523" s="162" t="str">
        <f t="array" ref="M523">IFNA(XLOOKUP(L523,'⚙️ Pengaturan'!$H$5:$H658,'⚙️ Pengaturan'!$I$5:$I658),"")</f>
        <v>TIM Y</v>
      </c>
      <c r="N523" s="163" t="s">
        <v>1137</v>
      </c>
      <c r="O523" s="160" t="s">
        <v>1139</v>
      </c>
      <c r="P523" s="153">
        <f t="shared" si="13"/>
        <v>8</v>
      </c>
      <c r="Q523" s="164">
        <v>45868.0</v>
      </c>
      <c r="R523" s="164">
        <v>45873.0</v>
      </c>
      <c r="S523" s="164">
        <v>45875.0</v>
      </c>
      <c r="T523" s="164">
        <v>45879.0</v>
      </c>
      <c r="U523" s="164">
        <v>45880.0</v>
      </c>
      <c r="V523" s="164">
        <v>45882.0</v>
      </c>
      <c r="W523" s="164">
        <v>45884.0</v>
      </c>
      <c r="X523" s="164"/>
      <c r="Y523" s="164"/>
      <c r="Z523" s="164">
        <v>45842.0</v>
      </c>
      <c r="AA523" s="165">
        <f t="shared" si="20"/>
        <v>45884</v>
      </c>
      <c r="AB523" s="160" t="s">
        <v>1134</v>
      </c>
      <c r="AC523" s="160" t="s">
        <v>1138</v>
      </c>
      <c r="AD523" s="166"/>
      <c r="AE523" s="156">
        <f t="shared" si="21"/>
        <v>45842</v>
      </c>
      <c r="AF523" s="107" t="str">
        <f t="shared" si="22"/>
        <v>2025</v>
      </c>
      <c r="AG523" s="107" t="str">
        <f t="shared" si="23"/>
        <v>07 Jul</v>
      </c>
      <c r="AH523" s="107" t="str">
        <f t="shared" si="24"/>
        <v>Jum</v>
      </c>
      <c r="AI523" s="157">
        <f t="shared" si="25"/>
        <v>-4</v>
      </c>
      <c r="AJ523" s="96"/>
      <c r="AK523" s="169"/>
      <c r="AL523" s="96"/>
      <c r="AM523" s="158">
        <f t="shared" si="12"/>
        <v>0</v>
      </c>
    </row>
    <row r="524" ht="22.5" customHeight="1">
      <c r="A524" s="167"/>
      <c r="B524" s="160" t="s">
        <v>86</v>
      </c>
      <c r="C524" s="160" t="s">
        <v>1131</v>
      </c>
      <c r="D524" s="161">
        <v>45853.0</v>
      </c>
      <c r="E524" s="124" t="str">
        <f t="shared" si="1"/>
        <v>2025</v>
      </c>
      <c r="F524" s="124" t="str">
        <f t="shared" si="2"/>
        <v>07 Jul</v>
      </c>
      <c r="G524" s="124" t="str">
        <f t="shared" si="3"/>
        <v>Selasa</v>
      </c>
      <c r="H524" s="160" t="s">
        <v>1416</v>
      </c>
      <c r="I524" s="125" t="str">
        <f t="array" ref="I524">IFNA(XLOOKUP($H524,'🙎‍♂️ Pasien'!$G$7:$G658,'🙎‍♂️ Pasien'!$H$7:$H658),"")</f>
        <v>S4525075406</v>
      </c>
      <c r="J524" s="125" t="str">
        <f t="array" ref="J524">IFNA(XLOOKUP($H524,'🙎‍♂️ Pasien'!$G$7:$G658,'🙎‍♂️ Pasien'!$L$7:$L658),"")</f>
        <v>PEREMPUAN</v>
      </c>
      <c r="K524" s="125">
        <f t="array" ref="K524">IFNA(XLOOKUP($H524,'🙎‍♂️ Pasien'!$G$7:$G658,'🙎‍♂️ Pasien'!$I$7:$I658),"")</f>
        <v>80</v>
      </c>
      <c r="L524" s="160" t="s">
        <v>107</v>
      </c>
      <c r="M524" s="162" t="str">
        <f t="array" ref="M524">IFNA(XLOOKUP(L524,'⚙️ Pengaturan'!$H$5:$H658,'⚙️ Pengaturan'!$I$5:$I658),"")</f>
        <v>TIM Y</v>
      </c>
      <c r="N524" s="163" t="s">
        <v>1132</v>
      </c>
      <c r="O524" s="160" t="s">
        <v>1133</v>
      </c>
      <c r="P524" s="153">
        <f t="shared" si="13"/>
        <v>5</v>
      </c>
      <c r="Q524" s="164">
        <v>45853.0</v>
      </c>
      <c r="R524" s="164">
        <v>45855.0</v>
      </c>
      <c r="S524" s="164">
        <v>45860.0</v>
      </c>
      <c r="T524" s="164">
        <v>45861.0</v>
      </c>
      <c r="U524" s="164">
        <v>45866.0</v>
      </c>
      <c r="V524" s="164"/>
      <c r="W524" s="164"/>
      <c r="X524" s="164"/>
      <c r="Y524" s="164"/>
      <c r="Z524" s="164"/>
      <c r="AA524" s="165">
        <f t="shared" si="20"/>
        <v>45866</v>
      </c>
      <c r="AB524" s="160" t="s">
        <v>1134</v>
      </c>
      <c r="AC524" s="160" t="s">
        <v>1138</v>
      </c>
      <c r="AD524" s="166"/>
      <c r="AE524" s="156">
        <f t="shared" si="21"/>
        <v>45866</v>
      </c>
      <c r="AF524" s="107" t="str">
        <f t="shared" si="22"/>
        <v>2025</v>
      </c>
      <c r="AG524" s="107" t="str">
        <f t="shared" si="23"/>
        <v>07 Jul</v>
      </c>
      <c r="AH524" s="107" t="str">
        <f t="shared" si="24"/>
        <v>Sen</v>
      </c>
      <c r="AI524" s="157">
        <f t="shared" si="25"/>
        <v>2</v>
      </c>
      <c r="AJ524" s="96"/>
      <c r="AK524" s="169"/>
      <c r="AL524" s="96"/>
      <c r="AM524" s="158">
        <f t="shared" si="12"/>
        <v>0</v>
      </c>
    </row>
    <row r="525" ht="22.5" customHeight="1">
      <c r="A525" s="167"/>
      <c r="B525" s="160" t="s">
        <v>86</v>
      </c>
      <c r="C525" s="160" t="s">
        <v>1131</v>
      </c>
      <c r="D525" s="161">
        <v>45866.0</v>
      </c>
      <c r="E525" s="124" t="str">
        <f t="shared" si="1"/>
        <v>2025</v>
      </c>
      <c r="F525" s="124" t="str">
        <f t="shared" si="2"/>
        <v>07 Jul</v>
      </c>
      <c r="G525" s="124" t="str">
        <f t="shared" si="3"/>
        <v>Senin</v>
      </c>
      <c r="H525" s="160" t="s">
        <v>1416</v>
      </c>
      <c r="I525" s="125" t="str">
        <f t="array" ref="I525">IFNA(XLOOKUP($H525,'🙎‍♂️ Pasien'!$G$7:$G658,'🙎‍♂️ Pasien'!$H$7:$H658),"")</f>
        <v>S4525075406</v>
      </c>
      <c r="J525" s="125" t="str">
        <f t="array" ref="J525">IFNA(XLOOKUP($H525,'🙎‍♂️ Pasien'!$G$7:$G658,'🙎‍♂️ Pasien'!$L$7:$L658),"")</f>
        <v>PEREMPUAN</v>
      </c>
      <c r="K525" s="125">
        <f t="array" ref="K525">IFNA(XLOOKUP($H525,'🙎‍♂️ Pasien'!$G$7:$G658,'🙎‍♂️ Pasien'!$I$7:$I658),"")</f>
        <v>80</v>
      </c>
      <c r="L525" s="160" t="s">
        <v>62</v>
      </c>
      <c r="M525" s="162" t="str">
        <f t="array" ref="M525">IFNA(XLOOKUP(L525,'⚙️ Pengaturan'!$H$5:$H658,'⚙️ Pengaturan'!$I$5:$I658),"")</f>
        <v>TIM A</v>
      </c>
      <c r="N525" s="163" t="s">
        <v>1132</v>
      </c>
      <c r="O525" s="160" t="s">
        <v>1139</v>
      </c>
      <c r="P525" s="153">
        <f t="shared" si="13"/>
        <v>5</v>
      </c>
      <c r="Q525" s="164">
        <v>45874.0</v>
      </c>
      <c r="R525" s="164">
        <v>45889.0</v>
      </c>
      <c r="S525" s="164">
        <v>45897.0</v>
      </c>
      <c r="T525" s="164">
        <v>45901.0</v>
      </c>
      <c r="U525" s="164">
        <v>45914.0</v>
      </c>
      <c r="V525" s="164"/>
      <c r="W525" s="164"/>
      <c r="X525" s="164"/>
      <c r="Y525" s="164"/>
      <c r="Z525" s="164"/>
      <c r="AA525" s="165">
        <f t="shared" si="20"/>
        <v>45914</v>
      </c>
      <c r="AB525" s="160" t="s">
        <v>1134</v>
      </c>
      <c r="AC525" s="160" t="s">
        <v>1138</v>
      </c>
      <c r="AD525" s="166"/>
      <c r="AE525" s="156">
        <f t="shared" si="21"/>
        <v>45914</v>
      </c>
      <c r="AF525" s="107" t="str">
        <f t="shared" si="22"/>
        <v>2025</v>
      </c>
      <c r="AG525" s="107" t="str">
        <f t="shared" si="23"/>
        <v>09 Sep</v>
      </c>
      <c r="AH525" s="107" t="str">
        <f t="shared" si="24"/>
        <v>Min</v>
      </c>
      <c r="AI525" s="157">
        <f t="shared" si="25"/>
        <v>6</v>
      </c>
      <c r="AJ525" s="96"/>
      <c r="AK525" s="169"/>
      <c r="AL525" s="96"/>
      <c r="AM525" s="158">
        <f t="shared" si="12"/>
        <v>0</v>
      </c>
    </row>
    <row r="526" ht="22.5" customHeight="1">
      <c r="A526" s="167"/>
      <c r="B526" s="160" t="s">
        <v>86</v>
      </c>
      <c r="C526" s="160" t="s">
        <v>1131</v>
      </c>
      <c r="D526" s="161">
        <v>45833.0</v>
      </c>
      <c r="E526" s="124" t="str">
        <f t="shared" si="1"/>
        <v>2025</v>
      </c>
      <c r="F526" s="124" t="str">
        <f t="shared" si="2"/>
        <v>06 Jun</v>
      </c>
      <c r="G526" s="124" t="str">
        <f t="shared" si="3"/>
        <v>Rabu</v>
      </c>
      <c r="H526" s="160" t="s">
        <v>1417</v>
      </c>
      <c r="I526" s="125" t="str">
        <f t="array" ref="I526">IFNA(XLOOKUP($H526,'🙎‍♂️ Pasien'!$G$7:$G658,'🙎‍♂️ Pasien'!$H$7:$H658),"")</f>
        <v>S9325063633</v>
      </c>
      <c r="J526" s="125" t="str">
        <f t="array" ref="J526">IFNA(XLOOKUP($H526,'🙎‍♂️ Pasien'!$G$7:$G658,'🙎‍♂️ Pasien'!$L$7:$L658),"")</f>
        <v>PEREMPUAN</v>
      </c>
      <c r="K526" s="125">
        <f t="array" ref="K526">IFNA(XLOOKUP($H526,'🙎‍♂️ Pasien'!$G$7:$G658,'🙎‍♂️ Pasien'!$I$7:$I658),"")</f>
        <v>32</v>
      </c>
      <c r="L526" s="160" t="s">
        <v>72</v>
      </c>
      <c r="M526" s="162" t="str">
        <f t="array" ref="M526">IFNA(XLOOKUP(L526,'⚙️ Pengaturan'!$H$5:$H658,'⚙️ Pengaturan'!$I$5:$I658),"")</f>
        <v>TIM A</v>
      </c>
      <c r="N526" s="163" t="s">
        <v>1132</v>
      </c>
      <c r="O526" s="160" t="s">
        <v>1133</v>
      </c>
      <c r="P526" s="153">
        <f t="shared" si="13"/>
        <v>3</v>
      </c>
      <c r="Q526" s="164">
        <v>45836.0</v>
      </c>
      <c r="R526" s="164">
        <v>45839.0</v>
      </c>
      <c r="S526" s="164">
        <v>45853.0</v>
      </c>
      <c r="T526" s="164"/>
      <c r="U526" s="164"/>
      <c r="V526" s="164"/>
      <c r="W526" s="164"/>
      <c r="X526" s="164"/>
      <c r="Y526" s="164"/>
      <c r="Z526" s="164"/>
      <c r="AA526" s="165">
        <f t="shared" si="20"/>
        <v>45853</v>
      </c>
      <c r="AB526" s="160" t="s">
        <v>1144</v>
      </c>
      <c r="AC526" s="174"/>
      <c r="AD526" s="166"/>
      <c r="AE526" s="156" t="str">
        <f t="shared" si="21"/>
        <v/>
      </c>
      <c r="AF526" s="107" t="str">
        <f t="shared" si="22"/>
        <v/>
      </c>
      <c r="AG526" s="107" t="str">
        <f t="shared" si="23"/>
        <v/>
      </c>
      <c r="AH526" s="107" t="str">
        <f t="shared" si="24"/>
        <v/>
      </c>
      <c r="AI526" s="157">
        <f t="shared" si="25"/>
        <v>50</v>
      </c>
      <c r="AJ526" s="96"/>
      <c r="AK526" s="169"/>
      <c r="AL526" s="96"/>
      <c r="AM526" s="158">
        <f t="shared" si="12"/>
        <v>0</v>
      </c>
    </row>
    <row r="527" ht="22.5" customHeight="1">
      <c r="A527" s="167"/>
      <c r="B527" s="16" t="s">
        <v>86</v>
      </c>
      <c r="C527" s="16" t="s">
        <v>1131</v>
      </c>
      <c r="D527" s="123">
        <v>45982.0</v>
      </c>
      <c r="E527" s="124" t="str">
        <f t="shared" si="1"/>
        <v>2025</v>
      </c>
      <c r="F527" s="124" t="str">
        <f t="shared" si="2"/>
        <v>11 Nov</v>
      </c>
      <c r="G527" s="124" t="str">
        <f t="shared" si="3"/>
        <v>Jumat</v>
      </c>
      <c r="H527" s="16" t="s">
        <v>561</v>
      </c>
      <c r="I527" s="125" t="str">
        <f t="array" ref="I527">IFNA(XLOOKUP($H527,'🙎‍♂️ Pasien'!$G$7:$G658,'🙎‍♂️ Pasien'!$H$7:$H658),"")</f>
        <v>S7325119020</v>
      </c>
      <c r="J527" s="125" t="str">
        <f t="array" ref="J527">IFNA(XLOOKUP($H527,'🙎‍♂️ Pasien'!$G$7:$G658,'🙎‍♂️ Pasien'!$L$7:$L658),"")</f>
        <v>LAKI-LAKI</v>
      </c>
      <c r="K527" s="125">
        <f t="array" ref="K527">IFNA(XLOOKUP($H527,'🙎‍♂️ Pasien'!$G$7:$G658,'🙎‍♂️ Pasien'!$I$7:$I658),"")</f>
        <v>52</v>
      </c>
      <c r="L527" s="16" t="s">
        <v>56</v>
      </c>
      <c r="M527" s="125" t="str">
        <f t="array" ref="M527">IFNA(XLOOKUP(L527,'⚙️ Pengaturan'!$H$5:$H658,'⚙️ Pengaturan'!$I$5:$I658),"")</f>
        <v>TIM Y</v>
      </c>
      <c r="N527" s="16" t="s">
        <v>1132</v>
      </c>
      <c r="O527" s="16" t="s">
        <v>1133</v>
      </c>
      <c r="P527" s="153">
        <f t="shared" si="13"/>
        <v>5</v>
      </c>
      <c r="Q527" s="154">
        <v>45982.0</v>
      </c>
      <c r="R527" s="154">
        <v>45985.0</v>
      </c>
      <c r="S527" s="154">
        <v>45987.0</v>
      </c>
      <c r="T527" s="154">
        <v>45990.0</v>
      </c>
      <c r="U527" s="154">
        <v>45993.0</v>
      </c>
      <c r="V527" s="154"/>
      <c r="W527" s="154"/>
      <c r="X527" s="154"/>
      <c r="Y527" s="154"/>
      <c r="Z527" s="154"/>
      <c r="AA527" s="155">
        <f t="shared" si="20"/>
        <v>45993</v>
      </c>
      <c r="AB527" s="16" t="s">
        <v>1134</v>
      </c>
      <c r="AC527" s="16" t="s">
        <v>1138</v>
      </c>
      <c r="AD527" s="170"/>
      <c r="AE527" s="156">
        <f t="shared" si="21"/>
        <v>45993</v>
      </c>
      <c r="AF527" s="107" t="str">
        <f t="shared" si="22"/>
        <v>2025</v>
      </c>
      <c r="AG527" s="107" t="str">
        <f t="shared" si="23"/>
        <v>12 Des</v>
      </c>
      <c r="AH527" s="107" t="str">
        <f t="shared" si="24"/>
        <v>Sel</v>
      </c>
      <c r="AI527" s="157">
        <f t="shared" si="25"/>
        <v>2</v>
      </c>
      <c r="AJ527" s="96"/>
      <c r="AK527" s="169"/>
      <c r="AL527" s="96"/>
      <c r="AM527" s="158">
        <f t="shared" si="12"/>
        <v>0</v>
      </c>
    </row>
    <row r="528" ht="22.5" customHeight="1">
      <c r="A528" s="167"/>
      <c r="B528" s="16" t="s">
        <v>86</v>
      </c>
      <c r="C528" s="16" t="s">
        <v>1131</v>
      </c>
      <c r="D528" s="123">
        <v>45956.0</v>
      </c>
      <c r="E528" s="124" t="str">
        <f t="shared" si="1"/>
        <v>2025</v>
      </c>
      <c r="F528" s="124" t="str">
        <f t="shared" si="2"/>
        <v>10 Okt</v>
      </c>
      <c r="G528" s="124" t="str">
        <f t="shared" si="3"/>
        <v>Minggu</v>
      </c>
      <c r="H528" s="16" t="s">
        <v>366</v>
      </c>
      <c r="I528" s="125" t="str">
        <f t="array" ref="I528">IFNA(XLOOKUP($H528,'🙎‍♂️ Pasien'!$G$7:$G658,'🙎‍♂️ Pasien'!$H$7:$H658),"")</f>
        <v>S0825106969</v>
      </c>
      <c r="J528" s="125" t="str">
        <f t="array" ref="J528">IFNA(XLOOKUP($H528,'🙎‍♂️ Pasien'!$G$7:$G658,'🙎‍♂️ Pasien'!$L$7:$L658),"")</f>
        <v>PEREMPUAN</v>
      </c>
      <c r="K528" s="125">
        <f t="array" ref="K528">IFNA(XLOOKUP($H528,'🙎‍♂️ Pasien'!$G$7:$G658,'🙎‍♂️ Pasien'!$I$7:$I658),"")</f>
        <v>17</v>
      </c>
      <c r="L528" s="16" t="s">
        <v>72</v>
      </c>
      <c r="M528" s="125" t="str">
        <f t="array" ref="M528">IFNA(XLOOKUP(L528,'⚙️ Pengaturan'!$H$5:$H658,'⚙️ Pengaturan'!$I$5:$I658),"")</f>
        <v>TIM A</v>
      </c>
      <c r="N528" s="16" t="s">
        <v>1132</v>
      </c>
      <c r="O528" s="16" t="s">
        <v>1133</v>
      </c>
      <c r="P528" s="153">
        <f t="shared" si="13"/>
        <v>5</v>
      </c>
      <c r="Q528" s="154">
        <v>45956.0</v>
      </c>
      <c r="R528" s="154">
        <v>45957.0</v>
      </c>
      <c r="S528" s="154">
        <v>45974.0</v>
      </c>
      <c r="T528" s="154">
        <v>45975.0</v>
      </c>
      <c r="U528" s="154">
        <v>45978.0</v>
      </c>
      <c r="V528" s="154"/>
      <c r="W528" s="154"/>
      <c r="X528" s="154"/>
      <c r="Y528" s="154"/>
      <c r="Z528" s="154"/>
      <c r="AA528" s="155">
        <f t="shared" si="20"/>
        <v>45978</v>
      </c>
      <c r="AB528" s="16" t="s">
        <v>1134</v>
      </c>
      <c r="AC528" s="16" t="s">
        <v>1138</v>
      </c>
      <c r="AD528" s="170"/>
      <c r="AE528" s="156">
        <f t="shared" si="21"/>
        <v>45978</v>
      </c>
      <c r="AF528" s="107" t="str">
        <f t="shared" si="22"/>
        <v>2025</v>
      </c>
      <c r="AG528" s="107" t="str">
        <f t="shared" si="23"/>
        <v>11 Nov</v>
      </c>
      <c r="AH528" s="107" t="str">
        <f t="shared" si="24"/>
        <v>Sen</v>
      </c>
      <c r="AI528" s="157">
        <f t="shared" si="25"/>
        <v>4</v>
      </c>
      <c r="AJ528" s="96"/>
      <c r="AK528" s="169"/>
      <c r="AL528" s="96"/>
      <c r="AM528" s="158">
        <f t="shared" si="12"/>
        <v>0</v>
      </c>
    </row>
    <row r="529" ht="22.5" customHeight="1">
      <c r="A529" s="167"/>
      <c r="B529" s="16" t="s">
        <v>86</v>
      </c>
      <c r="C529" s="16" t="s">
        <v>1131</v>
      </c>
      <c r="D529" s="123">
        <v>45988.0</v>
      </c>
      <c r="E529" s="124" t="str">
        <f t="shared" si="1"/>
        <v>2025</v>
      </c>
      <c r="F529" s="124" t="str">
        <f t="shared" si="2"/>
        <v>11 Nov</v>
      </c>
      <c r="G529" s="124" t="str">
        <f t="shared" si="3"/>
        <v>Kamis</v>
      </c>
      <c r="H529" s="16" t="s">
        <v>366</v>
      </c>
      <c r="I529" s="125" t="str">
        <f t="array" ref="I529">IFNA(XLOOKUP($H529,'🙎‍♂️ Pasien'!$G$7:$G658,'🙎‍♂️ Pasien'!$H$7:$H658),"")</f>
        <v>S0825106969</v>
      </c>
      <c r="J529" s="125" t="str">
        <f t="array" ref="J529">IFNA(XLOOKUP($H529,'🙎‍♂️ Pasien'!$G$7:$G658,'🙎‍♂️ Pasien'!$L$7:$L658),"")</f>
        <v>PEREMPUAN</v>
      </c>
      <c r="K529" s="125">
        <f t="array" ref="K529">IFNA(XLOOKUP($H529,'🙎‍♂️ Pasien'!$G$7:$G658,'🙎‍♂️ Pasien'!$I$7:$I658),"")</f>
        <v>17</v>
      </c>
      <c r="L529" s="16" t="s">
        <v>62</v>
      </c>
      <c r="M529" s="125" t="str">
        <f t="array" ref="M529">IFNA(XLOOKUP(L529,'⚙️ Pengaturan'!$H$5:$H658,'⚙️ Pengaturan'!$I$5:$I658),"")</f>
        <v>TIM A</v>
      </c>
      <c r="N529" s="16" t="s">
        <v>1132</v>
      </c>
      <c r="O529" s="16" t="s">
        <v>1133</v>
      </c>
      <c r="P529" s="153">
        <f t="shared" si="13"/>
        <v>5</v>
      </c>
      <c r="Q529" s="154">
        <v>45988.0</v>
      </c>
      <c r="R529" s="154">
        <v>45990.0</v>
      </c>
      <c r="S529" s="154">
        <v>45997.0</v>
      </c>
      <c r="T529" s="154">
        <v>45999.0</v>
      </c>
      <c r="U529" s="154">
        <v>46007.0</v>
      </c>
      <c r="V529" s="154"/>
      <c r="W529" s="154"/>
      <c r="X529" s="154"/>
      <c r="Y529" s="154"/>
      <c r="Z529" s="154"/>
      <c r="AA529" s="155">
        <f t="shared" si="20"/>
        <v>46007</v>
      </c>
      <c r="AB529" s="16" t="s">
        <v>1134</v>
      </c>
      <c r="AC529" s="20"/>
      <c r="AD529" s="170"/>
      <c r="AE529" s="156">
        <f t="shared" si="21"/>
        <v>46007</v>
      </c>
      <c r="AF529" s="107" t="str">
        <f t="shared" si="22"/>
        <v>2025</v>
      </c>
      <c r="AG529" s="107" t="str">
        <f t="shared" si="23"/>
        <v>12 Des</v>
      </c>
      <c r="AH529" s="107" t="str">
        <f t="shared" si="24"/>
        <v>Sel</v>
      </c>
      <c r="AI529" s="157">
        <f t="shared" si="25"/>
        <v>3</v>
      </c>
      <c r="AJ529" s="96"/>
      <c r="AK529" s="169"/>
      <c r="AL529" s="96"/>
      <c r="AM529" s="158">
        <f t="shared" si="12"/>
        <v>0</v>
      </c>
    </row>
    <row r="530" ht="22.5" customHeight="1">
      <c r="A530" s="167"/>
      <c r="B530" s="20"/>
      <c r="C530" s="20"/>
      <c r="D530" s="123">
        <v>45615.0</v>
      </c>
      <c r="E530" s="124" t="str">
        <f t="shared" si="1"/>
        <v>2024</v>
      </c>
      <c r="F530" s="124" t="str">
        <f t="shared" si="2"/>
        <v>11 Nov</v>
      </c>
      <c r="G530" s="124" t="str">
        <f t="shared" si="3"/>
        <v>Selasa</v>
      </c>
      <c r="H530" s="16" t="s">
        <v>1418</v>
      </c>
      <c r="I530" s="125" t="str">
        <f t="array" ref="I530">IFNA(XLOOKUP($H530,'🙎‍♂️ Pasien'!$G$7:$G658,'🙎‍♂️ Pasien'!$H$7:$H658),"")</f>
        <v>S9524110570</v>
      </c>
      <c r="J530" s="125" t="str">
        <f t="array" ref="J530">IFNA(XLOOKUP($H530,'🙎‍♂️ Pasien'!$G$7:$G658,'🙎‍♂️ Pasien'!$L$7:$L658),"")</f>
        <v>PEREMPUAN</v>
      </c>
      <c r="K530" s="125">
        <f t="array" ref="K530">IFNA(XLOOKUP($H530,'🙎‍♂️ Pasien'!$G$7:$G658,'🙎‍♂️ Pasien'!$I$7:$I658),"")</f>
        <v>31</v>
      </c>
      <c r="L530" s="16" t="s">
        <v>72</v>
      </c>
      <c r="M530" s="125" t="str">
        <f t="array" ref="M530">IFNA(XLOOKUP(L530,'⚙️ Pengaturan'!$H$5:$H658,'⚙️ Pengaturan'!$I$5:$I658),"")</f>
        <v>TIM A</v>
      </c>
      <c r="N530" s="16" t="s">
        <v>1132</v>
      </c>
      <c r="O530" s="16" t="s">
        <v>1133</v>
      </c>
      <c r="P530" s="153">
        <f t="shared" si="13"/>
        <v>0</v>
      </c>
      <c r="Q530" s="154"/>
      <c r="R530" s="154"/>
      <c r="S530" s="154"/>
      <c r="T530" s="154"/>
      <c r="U530" s="154"/>
      <c r="V530" s="154"/>
      <c r="W530" s="154"/>
      <c r="X530" s="154"/>
      <c r="Y530" s="154"/>
      <c r="Z530" s="154"/>
      <c r="AA530" s="155">
        <f t="shared" si="20"/>
        <v>45615</v>
      </c>
      <c r="AB530" s="16" t="s">
        <v>1144</v>
      </c>
      <c r="AC530" s="20"/>
      <c r="AD530" s="170"/>
      <c r="AE530" s="156" t="str">
        <f t="shared" si="21"/>
        <v/>
      </c>
      <c r="AF530" s="107" t="str">
        <f t="shared" si="22"/>
        <v/>
      </c>
      <c r="AG530" s="107" t="str">
        <f t="shared" si="23"/>
        <v/>
      </c>
      <c r="AH530" s="107" t="str">
        <f t="shared" si="24"/>
        <v/>
      </c>
      <c r="AI530" s="157" t="str">
        <f t="shared" si="25"/>
        <v/>
      </c>
      <c r="AJ530" s="96"/>
      <c r="AK530" s="169"/>
      <c r="AL530" s="96"/>
      <c r="AM530" s="158">
        <f t="shared" si="12"/>
        <v>0</v>
      </c>
    </row>
    <row r="531" ht="22.5" customHeight="1">
      <c r="A531" s="167"/>
      <c r="B531" s="160" t="s">
        <v>54</v>
      </c>
      <c r="C531" s="160" t="s">
        <v>1131</v>
      </c>
      <c r="D531" s="161">
        <v>45939.0</v>
      </c>
      <c r="E531" s="124" t="str">
        <f t="shared" si="1"/>
        <v>2025</v>
      </c>
      <c r="F531" s="124" t="str">
        <f t="shared" si="2"/>
        <v>10 Okt</v>
      </c>
      <c r="G531" s="124" t="str">
        <f t="shared" si="3"/>
        <v>Kamis</v>
      </c>
      <c r="H531" s="160" t="s">
        <v>188</v>
      </c>
      <c r="I531" s="125" t="str">
        <f t="array" ref="I531">IFNA(XLOOKUP($H531,'🙎‍♂️ Pasien'!$G$7:$G658,'🙎‍♂️ Pasien'!$H$7:$H658),"")</f>
        <v>S0125102986</v>
      </c>
      <c r="J531" s="125" t="str">
        <f t="array" ref="J531">IFNA(XLOOKUP($H531,'🙎‍♂️ Pasien'!$G$7:$G658,'🙎‍♂️ Pasien'!$L$7:$L658),"")</f>
        <v>PEREMPUAN</v>
      </c>
      <c r="K531" s="125">
        <f t="array" ref="K531">IFNA(XLOOKUP($H531,'🙎‍♂️ Pasien'!$G$7:$G658,'🙎‍♂️ Pasien'!$I$7:$I658),"")</f>
        <v>24</v>
      </c>
      <c r="L531" s="160" t="s">
        <v>72</v>
      </c>
      <c r="M531" s="162" t="str">
        <f t="array" ref="M531">IFNA(XLOOKUP(L531,'⚙️ Pengaturan'!$H$5:$H658,'⚙️ Pengaturan'!$I$5:$I658),"")</f>
        <v>TIM A</v>
      </c>
      <c r="N531" s="163" t="s">
        <v>1132</v>
      </c>
      <c r="O531" s="160" t="s">
        <v>1133</v>
      </c>
      <c r="P531" s="153">
        <f t="shared" si="13"/>
        <v>5</v>
      </c>
      <c r="Q531" s="164">
        <v>45939.0</v>
      </c>
      <c r="R531" s="164">
        <v>45952.0</v>
      </c>
      <c r="S531" s="164">
        <v>45959.0</v>
      </c>
      <c r="T531" s="164">
        <v>45970.0</v>
      </c>
      <c r="U531" s="164">
        <v>45977.0</v>
      </c>
      <c r="V531" s="164"/>
      <c r="W531" s="164"/>
      <c r="X531" s="164"/>
      <c r="Y531" s="164"/>
      <c r="Z531" s="164"/>
      <c r="AA531" s="165">
        <f t="shared" si="20"/>
        <v>45977</v>
      </c>
      <c r="AB531" s="160" t="s">
        <v>1134</v>
      </c>
      <c r="AC531" s="160" t="s">
        <v>1142</v>
      </c>
      <c r="AD531" s="166"/>
      <c r="AE531" s="156">
        <f t="shared" si="21"/>
        <v>45977</v>
      </c>
      <c r="AF531" s="107" t="str">
        <f t="shared" si="22"/>
        <v>2025</v>
      </c>
      <c r="AG531" s="107" t="str">
        <f t="shared" si="23"/>
        <v>11 Nov</v>
      </c>
      <c r="AH531" s="107" t="str">
        <f t="shared" si="24"/>
        <v>Min</v>
      </c>
      <c r="AI531" s="157">
        <f t="shared" si="25"/>
        <v>6</v>
      </c>
      <c r="AJ531" s="96"/>
      <c r="AK531" s="169"/>
      <c r="AL531" s="96"/>
      <c r="AM531" s="158">
        <f t="shared" si="12"/>
        <v>0</v>
      </c>
    </row>
    <row r="532" ht="22.5" customHeight="1">
      <c r="A532" s="167"/>
      <c r="B532" s="16" t="s">
        <v>86</v>
      </c>
      <c r="C532" s="16" t="s">
        <v>1131</v>
      </c>
      <c r="D532" s="123">
        <v>45932.0</v>
      </c>
      <c r="E532" s="124" t="str">
        <f t="shared" si="1"/>
        <v>2025</v>
      </c>
      <c r="F532" s="124" t="str">
        <f t="shared" si="2"/>
        <v>10 Okt</v>
      </c>
      <c r="G532" s="124" t="str">
        <f t="shared" si="3"/>
        <v>Kamis</v>
      </c>
      <c r="H532" s="16" t="s">
        <v>207</v>
      </c>
      <c r="I532" s="125" t="str">
        <f t="array" ref="I532">IFNA(XLOOKUP($H532,'🙎‍♂️ Pasien'!$G$7:$G658,'🙎‍♂️ Pasien'!$H$7:$H658),"")</f>
        <v>S8625097998</v>
      </c>
      <c r="J532" s="125" t="str">
        <f t="array" ref="J532">IFNA(XLOOKUP($H532,'🙎‍♂️ Pasien'!$G$7:$G658,'🙎‍♂️ Pasien'!$L$7:$L658),"")</f>
        <v>PEREMPUAN</v>
      </c>
      <c r="K532" s="125">
        <f t="array" ref="K532">IFNA(XLOOKUP($H532,'🙎‍♂️ Pasien'!$G$7:$G658,'🙎‍♂️ Pasien'!$I$7:$I658),"")</f>
        <v>39</v>
      </c>
      <c r="L532" s="16" t="s">
        <v>101</v>
      </c>
      <c r="M532" s="125" t="str">
        <f t="array" ref="M532">IFNA(XLOOKUP(L532,'⚙️ Pengaturan'!$H$5:$H658,'⚙️ Pengaturan'!$I$5:$I658),"")</f>
        <v>MANAJEMEN</v>
      </c>
      <c r="N532" s="16" t="s">
        <v>1132</v>
      </c>
      <c r="O532" s="16" t="s">
        <v>1133</v>
      </c>
      <c r="P532" s="153">
        <f t="shared" si="13"/>
        <v>5</v>
      </c>
      <c r="Q532" s="154">
        <v>45932.0</v>
      </c>
      <c r="R532" s="154">
        <v>45936.0</v>
      </c>
      <c r="S532" s="154">
        <v>45943.0</v>
      </c>
      <c r="T532" s="154">
        <v>45964.0</v>
      </c>
      <c r="U532" s="154">
        <v>45971.0</v>
      </c>
      <c r="V532" s="154"/>
      <c r="W532" s="154"/>
      <c r="X532" s="154"/>
      <c r="Y532" s="154"/>
      <c r="Z532" s="154"/>
      <c r="AA532" s="155">
        <f t="shared" si="20"/>
        <v>45971</v>
      </c>
      <c r="AB532" s="16" t="s">
        <v>1134</v>
      </c>
      <c r="AC532" s="16" t="s">
        <v>1142</v>
      </c>
      <c r="AD532" s="109"/>
      <c r="AE532" s="156">
        <f t="shared" si="21"/>
        <v>45971</v>
      </c>
      <c r="AF532" s="107" t="str">
        <f t="shared" si="22"/>
        <v>2025</v>
      </c>
      <c r="AG532" s="107" t="str">
        <f t="shared" si="23"/>
        <v>11 Nov</v>
      </c>
      <c r="AH532" s="107" t="str">
        <f t="shared" si="24"/>
        <v>Sen</v>
      </c>
      <c r="AI532" s="157">
        <f t="shared" si="25"/>
        <v>6</v>
      </c>
      <c r="AJ532" s="96"/>
      <c r="AK532" s="169"/>
      <c r="AL532" s="96"/>
      <c r="AM532" s="158">
        <f t="shared" si="12"/>
        <v>0</v>
      </c>
    </row>
    <row r="533" ht="22.5" customHeight="1">
      <c r="A533" s="167"/>
      <c r="B533" s="16" t="s">
        <v>54</v>
      </c>
      <c r="C533" s="16" t="s">
        <v>1131</v>
      </c>
      <c r="D533" s="123">
        <v>45987.0</v>
      </c>
      <c r="E533" s="124" t="str">
        <f t="shared" si="1"/>
        <v>2025</v>
      </c>
      <c r="F533" s="124" t="str">
        <f t="shared" si="2"/>
        <v>11 Nov</v>
      </c>
      <c r="G533" s="124" t="str">
        <f t="shared" si="3"/>
        <v>Rabu</v>
      </c>
      <c r="H533" s="16" t="s">
        <v>1030</v>
      </c>
      <c r="I533" s="125" t="str">
        <f t="array" ref="I533">IFNA(XLOOKUP($H533,'🙎‍♂️ Pasien'!$G$7:$G658,'🙎‍♂️ Pasien'!$H$7:$H658),"")</f>
        <v/>
      </c>
      <c r="J533" s="125" t="str">
        <f t="array" ref="J533">IFNA(XLOOKUP($H533,'🙎‍♂️ Pasien'!$G$7:$G658,'🙎‍♂️ Pasien'!$L$7:$L658),"")</f>
        <v/>
      </c>
      <c r="K533" s="125" t="str">
        <f t="array" ref="K533">IFNA(XLOOKUP($H533,'🙎‍♂️ Pasien'!$G$7:$G658,'🙎‍♂️ Pasien'!$I$7:$I658),"")</f>
        <v/>
      </c>
      <c r="L533" s="16" t="s">
        <v>91</v>
      </c>
      <c r="M533" s="125" t="str">
        <f t="array" ref="M533">IFNA(XLOOKUP(L533,'⚙️ Pengaturan'!$H$5:$H658,'⚙️ Pengaturan'!$I$5:$I658),"")</f>
        <v>TIM Y</v>
      </c>
      <c r="N533" s="16" t="s">
        <v>1132</v>
      </c>
      <c r="O533" s="16" t="s">
        <v>1133</v>
      </c>
      <c r="P533" s="153">
        <f t="shared" si="13"/>
        <v>5</v>
      </c>
      <c r="Q533" s="154">
        <v>45987.0</v>
      </c>
      <c r="R533" s="154">
        <v>45990.0</v>
      </c>
      <c r="S533" s="154">
        <v>45993.0</v>
      </c>
      <c r="T533" s="154">
        <v>45997.0</v>
      </c>
      <c r="U533" s="154">
        <v>46002.0</v>
      </c>
      <c r="V533" s="154"/>
      <c r="W533" s="154"/>
      <c r="X533" s="154"/>
      <c r="Y533" s="154"/>
      <c r="Z533" s="154"/>
      <c r="AA533" s="155">
        <f t="shared" si="20"/>
        <v>46002</v>
      </c>
      <c r="AB533" s="16" t="s">
        <v>1134</v>
      </c>
      <c r="AC533" s="20"/>
      <c r="AD533" s="170"/>
      <c r="AE533" s="156">
        <f t="shared" si="21"/>
        <v>46002</v>
      </c>
      <c r="AF533" s="107" t="str">
        <f t="shared" si="22"/>
        <v>2025</v>
      </c>
      <c r="AG533" s="107" t="str">
        <f t="shared" si="23"/>
        <v>12 Des</v>
      </c>
      <c r="AH533" s="107" t="str">
        <f t="shared" si="24"/>
        <v>Kam</v>
      </c>
      <c r="AI533" s="157">
        <f t="shared" si="25"/>
        <v>3</v>
      </c>
      <c r="AJ533" s="96"/>
      <c r="AK533" s="169"/>
      <c r="AL533" s="96"/>
      <c r="AM533" s="158">
        <f t="shared" si="12"/>
        <v>0</v>
      </c>
    </row>
    <row r="534" ht="22.5" customHeight="1">
      <c r="A534" s="167"/>
      <c r="B534" s="160" t="s">
        <v>134</v>
      </c>
      <c r="C534" s="160" t="s">
        <v>1131</v>
      </c>
      <c r="D534" s="161">
        <v>45880.0</v>
      </c>
      <c r="E534" s="124" t="str">
        <f t="shared" si="1"/>
        <v>2025</v>
      </c>
      <c r="F534" s="124" t="str">
        <f t="shared" si="2"/>
        <v>08 Agu</v>
      </c>
      <c r="G534" s="124" t="str">
        <f t="shared" si="3"/>
        <v>Senin</v>
      </c>
      <c r="H534" s="160" t="s">
        <v>156</v>
      </c>
      <c r="I534" s="125" t="str">
        <f t="array" ref="I534">IFNA(XLOOKUP($H534,'🙎‍♂️ Pasien'!$G$7:$G658,'🙎‍♂️ Pasien'!$H$7:$H658),"")</f>
        <v>S9025083777</v>
      </c>
      <c r="J534" s="125" t="str">
        <f t="array" ref="J534">IFNA(XLOOKUP($H534,'🙎‍♂️ Pasien'!$G$7:$G658,'🙎‍♂️ Pasien'!$L$7:$L658),"")</f>
        <v>PEREMPUAN</v>
      </c>
      <c r="K534" s="125">
        <f t="array" ref="K534">IFNA(XLOOKUP($H534,'🙎‍♂️ Pasien'!$G$7:$G658,'🙎‍♂️ Pasien'!$I$7:$I658),"")</f>
        <v>35</v>
      </c>
      <c r="L534" s="160" t="s">
        <v>107</v>
      </c>
      <c r="M534" s="162" t="str">
        <f t="array" ref="M534">IFNA(XLOOKUP(L534,'⚙️ Pengaturan'!$H$5:$H658,'⚙️ Pengaturan'!$I$5:$I658),"")</f>
        <v>TIM Y</v>
      </c>
      <c r="N534" s="163" t="s">
        <v>1132</v>
      </c>
      <c r="O534" s="160" t="s">
        <v>1133</v>
      </c>
      <c r="P534" s="153">
        <f t="shared" si="13"/>
        <v>5</v>
      </c>
      <c r="Q534" s="164">
        <v>45880.0</v>
      </c>
      <c r="R534" s="164">
        <v>45882.0</v>
      </c>
      <c r="S534" s="164">
        <v>45882.0</v>
      </c>
      <c r="T534" s="164">
        <v>45888.0</v>
      </c>
      <c r="U534" s="164">
        <v>45890.0</v>
      </c>
      <c r="V534" s="164"/>
      <c r="W534" s="164"/>
      <c r="X534" s="164"/>
      <c r="Y534" s="164"/>
      <c r="Z534" s="164"/>
      <c r="AA534" s="165">
        <f t="shared" si="20"/>
        <v>45890</v>
      </c>
      <c r="AB534" s="160" t="s">
        <v>1134</v>
      </c>
      <c r="AC534" s="160" t="s">
        <v>1138</v>
      </c>
      <c r="AD534" s="168" t="s">
        <v>1419</v>
      </c>
      <c r="AE534" s="156">
        <f t="shared" si="21"/>
        <v>45890</v>
      </c>
      <c r="AF534" s="107" t="str">
        <f t="shared" si="22"/>
        <v>2025</v>
      </c>
      <c r="AG534" s="107" t="str">
        <f t="shared" si="23"/>
        <v>08 Agu</v>
      </c>
      <c r="AH534" s="107" t="str">
        <f t="shared" si="24"/>
        <v>Kam</v>
      </c>
      <c r="AI534" s="157">
        <f t="shared" si="25"/>
        <v>2</v>
      </c>
      <c r="AJ534" s="96"/>
      <c r="AK534" s="169"/>
      <c r="AL534" s="96"/>
      <c r="AM534" s="158">
        <f t="shared" si="12"/>
        <v>0</v>
      </c>
    </row>
    <row r="535" ht="22.5" customHeight="1">
      <c r="A535" s="167"/>
      <c r="B535" s="160" t="s">
        <v>134</v>
      </c>
      <c r="C535" s="160" t="s">
        <v>1131</v>
      </c>
      <c r="D535" s="161">
        <v>45890.0</v>
      </c>
      <c r="E535" s="124" t="str">
        <f t="shared" si="1"/>
        <v>2025</v>
      </c>
      <c r="F535" s="124" t="str">
        <f t="shared" si="2"/>
        <v>08 Agu</v>
      </c>
      <c r="G535" s="124" t="str">
        <f t="shared" si="3"/>
        <v>Kamis</v>
      </c>
      <c r="H535" s="160" t="s">
        <v>156</v>
      </c>
      <c r="I535" s="125" t="str">
        <f t="array" ref="I535">IFNA(XLOOKUP($H535,'🙎‍♂️ Pasien'!$G$7:$G658,'🙎‍♂️ Pasien'!$H$7:$H658),"")</f>
        <v>S9025083777</v>
      </c>
      <c r="J535" s="125" t="str">
        <f t="array" ref="J535">IFNA(XLOOKUP($H535,'🙎‍♂️ Pasien'!$G$7:$G658,'🙎‍♂️ Pasien'!$L$7:$L658),"")</f>
        <v>PEREMPUAN</v>
      </c>
      <c r="K535" s="125">
        <f t="array" ref="K535">IFNA(XLOOKUP($H535,'🙎‍♂️ Pasien'!$G$7:$G658,'🙎‍♂️ Pasien'!$I$7:$I658),"")</f>
        <v>35</v>
      </c>
      <c r="L535" s="160" t="s">
        <v>107</v>
      </c>
      <c r="M535" s="162" t="str">
        <f t="array" ref="M535">IFNA(XLOOKUP(L535,'⚙️ Pengaturan'!$H$5:$H658,'⚙️ Pengaturan'!$I$5:$I658),"")</f>
        <v>TIM Y</v>
      </c>
      <c r="N535" s="163" t="s">
        <v>1132</v>
      </c>
      <c r="O535" s="160" t="s">
        <v>1139</v>
      </c>
      <c r="P535" s="153">
        <f t="shared" si="13"/>
        <v>5</v>
      </c>
      <c r="Q535" s="164">
        <v>45892.0</v>
      </c>
      <c r="R535" s="164">
        <v>45896.0</v>
      </c>
      <c r="S535" s="164">
        <v>45900.0</v>
      </c>
      <c r="T535" s="164">
        <v>45906.0</v>
      </c>
      <c r="U535" s="164">
        <v>45911.0</v>
      </c>
      <c r="V535" s="164"/>
      <c r="W535" s="164"/>
      <c r="X535" s="164"/>
      <c r="Y535" s="164"/>
      <c r="Z535" s="164"/>
      <c r="AA535" s="165">
        <f t="shared" si="20"/>
        <v>45911</v>
      </c>
      <c r="AB535" s="160" t="s">
        <v>1134</v>
      </c>
      <c r="AC535" s="160" t="s">
        <v>1138</v>
      </c>
      <c r="AD535" s="168"/>
      <c r="AE535" s="156">
        <f t="shared" si="21"/>
        <v>45911</v>
      </c>
      <c r="AF535" s="107" t="str">
        <f t="shared" si="22"/>
        <v>2025</v>
      </c>
      <c r="AG535" s="107" t="str">
        <f t="shared" si="23"/>
        <v>09 Sep</v>
      </c>
      <c r="AH535" s="107" t="str">
        <f t="shared" si="24"/>
        <v>Kam</v>
      </c>
      <c r="AI535" s="157">
        <f t="shared" si="25"/>
        <v>3</v>
      </c>
      <c r="AJ535" s="96"/>
      <c r="AK535" s="169"/>
      <c r="AL535" s="96"/>
      <c r="AM535" s="158">
        <f t="shared" si="12"/>
        <v>0</v>
      </c>
    </row>
    <row r="536" ht="22.5" customHeight="1">
      <c r="A536" s="167"/>
      <c r="B536" s="160" t="s">
        <v>86</v>
      </c>
      <c r="C536" s="160" t="s">
        <v>1131</v>
      </c>
      <c r="D536" s="161">
        <v>45914.0</v>
      </c>
      <c r="E536" s="124" t="str">
        <f t="shared" si="1"/>
        <v>2025</v>
      </c>
      <c r="F536" s="124" t="str">
        <f t="shared" si="2"/>
        <v>09 Sep</v>
      </c>
      <c r="G536" s="124" t="str">
        <f t="shared" si="3"/>
        <v>Minggu</v>
      </c>
      <c r="H536" s="160" t="s">
        <v>156</v>
      </c>
      <c r="I536" s="125" t="str">
        <f t="array" ref="I536">IFNA(XLOOKUP($H536,'🙎‍♂️ Pasien'!$G$7:$G658,'🙎‍♂️ Pasien'!$H$7:$H658),"")</f>
        <v>S9025083777</v>
      </c>
      <c r="J536" s="125" t="str">
        <f t="array" ref="J536">IFNA(XLOOKUP($H536,'🙎‍♂️ Pasien'!$G$7:$G658,'🙎‍♂️ Pasien'!$L$7:$L658),"")</f>
        <v>PEREMPUAN</v>
      </c>
      <c r="K536" s="125">
        <f t="array" ref="K536">IFNA(XLOOKUP($H536,'🙎‍♂️ Pasien'!$G$7:$G658,'🙎‍♂️ Pasien'!$I$7:$I658),"")</f>
        <v>35</v>
      </c>
      <c r="L536" s="160" t="s">
        <v>107</v>
      </c>
      <c r="M536" s="162" t="str">
        <f t="array" ref="M536">IFNA(XLOOKUP(L536,'⚙️ Pengaturan'!$H$5:$H658,'⚙️ Pengaturan'!$I$5:$I658),"")</f>
        <v>TIM Y</v>
      </c>
      <c r="N536" s="163" t="s">
        <v>1132</v>
      </c>
      <c r="O536" s="160" t="s">
        <v>1133</v>
      </c>
      <c r="P536" s="153">
        <f t="shared" si="13"/>
        <v>4</v>
      </c>
      <c r="Q536" s="164">
        <v>45914.0</v>
      </c>
      <c r="R536" s="164">
        <v>45918.0</v>
      </c>
      <c r="S536" s="164">
        <v>45922.0</v>
      </c>
      <c r="T536" s="164">
        <v>45929.0</v>
      </c>
      <c r="U536" s="164"/>
      <c r="V536" s="164"/>
      <c r="W536" s="164"/>
      <c r="X536" s="164"/>
      <c r="Y536" s="164"/>
      <c r="Z536" s="164"/>
      <c r="AA536" s="165">
        <f t="shared" si="20"/>
        <v>45929</v>
      </c>
      <c r="AB536" s="160" t="s">
        <v>1144</v>
      </c>
      <c r="AC536" s="172"/>
      <c r="AD536" s="168"/>
      <c r="AE536" s="156" t="str">
        <f t="shared" si="21"/>
        <v/>
      </c>
      <c r="AF536" s="107" t="str">
        <f t="shared" si="22"/>
        <v/>
      </c>
      <c r="AG536" s="107" t="str">
        <f t="shared" si="23"/>
        <v/>
      </c>
      <c r="AH536" s="107" t="str">
        <f t="shared" si="24"/>
        <v/>
      </c>
      <c r="AI536" s="157">
        <f t="shared" si="25"/>
        <v>39</v>
      </c>
      <c r="AJ536" s="96"/>
      <c r="AK536" s="169"/>
      <c r="AL536" s="96"/>
      <c r="AM536" s="158">
        <f t="shared" si="12"/>
        <v>0</v>
      </c>
    </row>
    <row r="537" ht="22.5" customHeight="1">
      <c r="A537" s="167"/>
      <c r="B537" s="160" t="s">
        <v>86</v>
      </c>
      <c r="C537" s="172"/>
      <c r="D537" s="161">
        <v>45794.0</v>
      </c>
      <c r="E537" s="124" t="str">
        <f t="shared" si="1"/>
        <v>2025</v>
      </c>
      <c r="F537" s="124" t="str">
        <f t="shared" si="2"/>
        <v>05 Mei</v>
      </c>
      <c r="G537" s="124" t="str">
        <f t="shared" si="3"/>
        <v>Sabtu</v>
      </c>
      <c r="H537" s="160" t="s">
        <v>1420</v>
      </c>
      <c r="I537" s="125" t="str">
        <f t="array" ref="I537">IFNA(XLOOKUP($H537,'🙎‍♂️ Pasien'!$G$7:$G658,'🙎‍♂️ Pasien'!$H$7:$H658),"")</f>
        <v>S4425059065</v>
      </c>
      <c r="J537" s="125" t="str">
        <f t="array" ref="J537">IFNA(XLOOKUP($H537,'🙎‍♂️ Pasien'!$G$7:$G658,'🙎‍♂️ Pasien'!$L$7:$L658),"")</f>
        <v>PEREMPUAN</v>
      </c>
      <c r="K537" s="125">
        <f t="array" ref="K537">IFNA(XLOOKUP($H537,'🙎‍♂️ Pasien'!$G$7:$G658,'🙎‍♂️ Pasien'!$I$7:$I658),"")</f>
        <v>82</v>
      </c>
      <c r="L537" s="160" t="s">
        <v>91</v>
      </c>
      <c r="M537" s="162" t="str">
        <f t="array" ref="M537">IFNA(XLOOKUP(L537,'⚙️ Pengaturan'!$H$5:$H658,'⚙️ Pengaturan'!$I$5:$I658),"")</f>
        <v>TIM Y</v>
      </c>
      <c r="N537" s="160" t="s">
        <v>1132</v>
      </c>
      <c r="O537" s="160" t="s">
        <v>1133</v>
      </c>
      <c r="P537" s="153">
        <f t="shared" si="13"/>
        <v>2</v>
      </c>
      <c r="Q537" s="164">
        <v>45797.0</v>
      </c>
      <c r="R537" s="164">
        <v>45801.0</v>
      </c>
      <c r="S537" s="164"/>
      <c r="T537" s="164"/>
      <c r="U537" s="164"/>
      <c r="V537" s="164"/>
      <c r="W537" s="164"/>
      <c r="X537" s="164"/>
      <c r="Y537" s="164"/>
      <c r="Z537" s="164"/>
      <c r="AA537" s="165">
        <f t="shared" si="20"/>
        <v>45801</v>
      </c>
      <c r="AB537" s="160" t="s">
        <v>1144</v>
      </c>
      <c r="AC537" s="174"/>
      <c r="AD537" s="166"/>
      <c r="AE537" s="156" t="str">
        <f t="shared" si="21"/>
        <v/>
      </c>
      <c r="AF537" s="107" t="str">
        <f t="shared" si="22"/>
        <v/>
      </c>
      <c r="AG537" s="107" t="str">
        <f t="shared" si="23"/>
        <v/>
      </c>
      <c r="AH537" s="107" t="str">
        <f t="shared" si="24"/>
        <v/>
      </c>
      <c r="AI537" s="157">
        <f t="shared" si="25"/>
        <v>55</v>
      </c>
      <c r="AJ537" s="96"/>
      <c r="AK537" s="169"/>
      <c r="AL537" s="96"/>
      <c r="AM537" s="158">
        <f t="shared" si="12"/>
        <v>0</v>
      </c>
    </row>
    <row r="538" ht="22.5" customHeight="1">
      <c r="A538" s="167"/>
      <c r="B538" s="160" t="s">
        <v>86</v>
      </c>
      <c r="C538" s="160" t="s">
        <v>1170</v>
      </c>
      <c r="D538" s="161">
        <v>45843.0</v>
      </c>
      <c r="E538" s="124" t="str">
        <f t="shared" si="1"/>
        <v>2025</v>
      </c>
      <c r="F538" s="124" t="str">
        <f t="shared" si="2"/>
        <v>07 Jul</v>
      </c>
      <c r="G538" s="124" t="str">
        <f t="shared" si="3"/>
        <v>Sabtu</v>
      </c>
      <c r="H538" s="160" t="s">
        <v>1421</v>
      </c>
      <c r="I538" s="125" t="str">
        <f t="array" ref="I538">IFNA(XLOOKUP($H538,'🙎‍♂️ Pasien'!$G$7:$G658,'🙎‍♂️ Pasien'!$H$7:$H658),"")</f>
        <v>S9525071318</v>
      </c>
      <c r="J538" s="125" t="str">
        <f t="array" ref="J538">IFNA(XLOOKUP($H538,'🙎‍♂️ Pasien'!$G$7:$G658,'🙎‍♂️ Pasien'!$L$7:$L658),"")</f>
        <v>PEREMPUAN</v>
      </c>
      <c r="K538" s="125">
        <f t="array" ref="K538">IFNA(XLOOKUP($H538,'🙎‍♂️ Pasien'!$G$7:$G658,'🙎‍♂️ Pasien'!$I$7:$I658),"")</f>
        <v>31</v>
      </c>
      <c r="L538" s="160" t="s">
        <v>62</v>
      </c>
      <c r="M538" s="162" t="str">
        <f t="array" ref="M538">IFNA(XLOOKUP(L538,'⚙️ Pengaturan'!$H$5:$H658,'⚙️ Pengaturan'!$I$5:$I658),"")</f>
        <v>TIM A</v>
      </c>
      <c r="N538" s="163" t="s">
        <v>1132</v>
      </c>
      <c r="O538" s="160" t="s">
        <v>1133</v>
      </c>
      <c r="P538" s="153">
        <f t="shared" si="13"/>
        <v>1</v>
      </c>
      <c r="Q538" s="164">
        <v>45843.0</v>
      </c>
      <c r="R538" s="164"/>
      <c r="S538" s="164"/>
      <c r="T538" s="164"/>
      <c r="U538" s="164"/>
      <c r="V538" s="164"/>
      <c r="W538" s="164"/>
      <c r="X538" s="164"/>
      <c r="Y538" s="164"/>
      <c r="Z538" s="164"/>
      <c r="AA538" s="165">
        <f t="shared" si="20"/>
        <v>45843</v>
      </c>
      <c r="AB538" s="160" t="s">
        <v>1144</v>
      </c>
      <c r="AC538" s="174"/>
      <c r="AD538" s="166"/>
      <c r="AE538" s="156" t="str">
        <f t="shared" si="21"/>
        <v/>
      </c>
      <c r="AF538" s="107" t="str">
        <f t="shared" si="22"/>
        <v/>
      </c>
      <c r="AG538" s="107" t="str">
        <f t="shared" si="23"/>
        <v/>
      </c>
      <c r="AH538" s="107" t="str">
        <f t="shared" si="24"/>
        <v/>
      </c>
      <c r="AI538" s="157">
        <f t="shared" si="25"/>
        <v>49</v>
      </c>
      <c r="AJ538" s="96"/>
      <c r="AK538" s="169"/>
      <c r="AL538" s="96"/>
      <c r="AM538" s="158">
        <f t="shared" si="12"/>
        <v>0</v>
      </c>
    </row>
    <row r="539" ht="22.5" customHeight="1">
      <c r="A539" s="167"/>
      <c r="B539" s="16" t="s">
        <v>86</v>
      </c>
      <c r="C539" s="16" t="s">
        <v>1131</v>
      </c>
      <c r="D539" s="123">
        <v>45981.0</v>
      </c>
      <c r="E539" s="124" t="str">
        <f t="shared" si="1"/>
        <v>2025</v>
      </c>
      <c r="F539" s="124" t="str">
        <f t="shared" si="2"/>
        <v>11 Nov</v>
      </c>
      <c r="G539" s="124" t="str">
        <f t="shared" si="3"/>
        <v>Kamis</v>
      </c>
      <c r="H539" s="16" t="s">
        <v>641</v>
      </c>
      <c r="I539" s="125" t="str">
        <f t="array" ref="I539">IFNA(XLOOKUP($H539,'🙎‍♂️ Pasien'!$G$7:$G658,'🙎‍♂️ Pasien'!$H$7:$H658),"")</f>
        <v>S4425117922</v>
      </c>
      <c r="J539" s="125" t="str">
        <f t="array" ref="J539">IFNA(XLOOKUP($H539,'🙎‍♂️ Pasien'!$G$7:$G658,'🙎‍♂️ Pasien'!$L$7:$L658),"")</f>
        <v>PEREMPUAN</v>
      </c>
      <c r="K539" s="125">
        <f t="array" ref="K539">IFNA(XLOOKUP($H539,'🙎‍♂️ Pasien'!$G$7:$G658,'🙎‍♂️ Pasien'!$I$7:$I658),"")</f>
        <v>82</v>
      </c>
      <c r="L539" s="16" t="s">
        <v>62</v>
      </c>
      <c r="M539" s="125" t="str">
        <f t="array" ref="M539">IFNA(XLOOKUP(L539,'⚙️ Pengaturan'!$H$5:$H658,'⚙️ Pengaturan'!$I$5:$I658),"")</f>
        <v>TIM A</v>
      </c>
      <c r="N539" s="16" t="s">
        <v>1132</v>
      </c>
      <c r="O539" s="16" t="s">
        <v>1133</v>
      </c>
      <c r="P539" s="153">
        <f t="shared" si="13"/>
        <v>5</v>
      </c>
      <c r="Q539" s="154">
        <v>45981.0</v>
      </c>
      <c r="R539" s="154">
        <v>45983.0</v>
      </c>
      <c r="S539" s="154">
        <v>45985.0</v>
      </c>
      <c r="T539" s="154">
        <v>45987.0</v>
      </c>
      <c r="U539" s="154">
        <v>45990.0</v>
      </c>
      <c r="V539" s="154"/>
      <c r="W539" s="154"/>
      <c r="X539" s="154"/>
      <c r="Y539" s="154"/>
      <c r="Z539" s="154"/>
      <c r="AA539" s="155">
        <f t="shared" si="20"/>
        <v>45990</v>
      </c>
      <c r="AB539" s="16" t="s">
        <v>1134</v>
      </c>
      <c r="AC539" s="16" t="s">
        <v>1138</v>
      </c>
      <c r="AD539" s="170"/>
      <c r="AE539" s="156">
        <f t="shared" si="21"/>
        <v>45990</v>
      </c>
      <c r="AF539" s="107" t="str">
        <f t="shared" si="22"/>
        <v>2025</v>
      </c>
      <c r="AG539" s="107" t="str">
        <f t="shared" si="23"/>
        <v>11 Nov</v>
      </c>
      <c r="AH539" s="107" t="str">
        <f t="shared" si="24"/>
        <v>Sab</v>
      </c>
      <c r="AI539" s="157">
        <f t="shared" si="25"/>
        <v>2</v>
      </c>
      <c r="AJ539" s="96"/>
      <c r="AK539" s="169"/>
      <c r="AL539" s="96"/>
      <c r="AM539" s="158">
        <f t="shared" si="12"/>
        <v>0</v>
      </c>
    </row>
    <row r="540" ht="22.5" customHeight="1">
      <c r="A540" s="167"/>
      <c r="B540" s="16" t="s">
        <v>86</v>
      </c>
      <c r="C540" s="16" t="s">
        <v>1131</v>
      </c>
      <c r="D540" s="123">
        <v>45992.0</v>
      </c>
      <c r="E540" s="124" t="str">
        <f t="shared" si="1"/>
        <v>2025</v>
      </c>
      <c r="F540" s="124" t="str">
        <f t="shared" si="2"/>
        <v>12 Des</v>
      </c>
      <c r="G540" s="124" t="str">
        <f t="shared" si="3"/>
        <v>Senin</v>
      </c>
      <c r="H540" s="16" t="s">
        <v>641</v>
      </c>
      <c r="I540" s="125" t="str">
        <f t="array" ref="I540">IFNA(XLOOKUP($H540,'🙎‍♂️ Pasien'!$G$7:$G658,'🙎‍♂️ Pasien'!$H$7:$H658),"")</f>
        <v>S4425117922</v>
      </c>
      <c r="J540" s="125" t="str">
        <f t="array" ref="J540">IFNA(XLOOKUP($H540,'🙎‍♂️ Pasien'!$G$7:$G658,'🙎‍♂️ Pasien'!$L$7:$L658),"")</f>
        <v>PEREMPUAN</v>
      </c>
      <c r="K540" s="125">
        <f t="array" ref="K540">IFNA(XLOOKUP($H540,'🙎‍♂️ Pasien'!$G$7:$G658,'🙎‍♂️ Pasien'!$I$7:$I658),"")</f>
        <v>82</v>
      </c>
      <c r="L540" s="16" t="s">
        <v>62</v>
      </c>
      <c r="M540" s="125" t="str">
        <f t="array" ref="M540">IFNA(XLOOKUP(L540,'⚙️ Pengaturan'!$H$5:$H658,'⚙️ Pengaturan'!$I$5:$I658),"")</f>
        <v>TIM A</v>
      </c>
      <c r="N540" s="16" t="s">
        <v>1137</v>
      </c>
      <c r="O540" s="16" t="s">
        <v>1139</v>
      </c>
      <c r="P540" s="153">
        <f t="shared" si="13"/>
        <v>4</v>
      </c>
      <c r="Q540" s="154">
        <v>45992.0</v>
      </c>
      <c r="R540" s="154">
        <v>45994.0</v>
      </c>
      <c r="S540" s="154">
        <v>45997.0</v>
      </c>
      <c r="T540" s="154">
        <v>46001.0</v>
      </c>
      <c r="U540" s="154"/>
      <c r="V540" s="154"/>
      <c r="W540" s="154"/>
      <c r="X540" s="154"/>
      <c r="Y540" s="154"/>
      <c r="Z540" s="154"/>
      <c r="AA540" s="155">
        <f t="shared" si="20"/>
        <v>46001</v>
      </c>
      <c r="AB540" s="16" t="s">
        <v>1144</v>
      </c>
      <c r="AC540" s="20"/>
      <c r="AD540" s="170"/>
      <c r="AE540" s="156" t="str">
        <f t="shared" si="21"/>
        <v/>
      </c>
      <c r="AF540" s="107" t="str">
        <f t="shared" si="22"/>
        <v/>
      </c>
      <c r="AG540" s="107" t="str">
        <f t="shared" si="23"/>
        <v/>
      </c>
      <c r="AH540" s="107" t="str">
        <f t="shared" si="24"/>
        <v/>
      </c>
      <c r="AI540" s="157">
        <f t="shared" si="25"/>
        <v>28</v>
      </c>
      <c r="AJ540" s="96"/>
      <c r="AK540" s="169"/>
      <c r="AL540" s="96"/>
      <c r="AM540" s="158">
        <f t="shared" si="12"/>
        <v>0</v>
      </c>
    </row>
    <row r="541" ht="22.5" customHeight="1">
      <c r="A541" s="167"/>
      <c r="B541" s="160" t="s">
        <v>86</v>
      </c>
      <c r="C541" s="160" t="s">
        <v>1131</v>
      </c>
      <c r="D541" s="161">
        <v>45820.0</v>
      </c>
      <c r="E541" s="124" t="str">
        <f t="shared" si="1"/>
        <v>2025</v>
      </c>
      <c r="F541" s="124" t="str">
        <f t="shared" si="2"/>
        <v>06 Jun</v>
      </c>
      <c r="G541" s="124" t="str">
        <f t="shared" si="3"/>
        <v>Kamis</v>
      </c>
      <c r="H541" s="160" t="s">
        <v>601</v>
      </c>
      <c r="I541" s="125" t="str">
        <f t="array" ref="I541">IFNA(XLOOKUP($H541,'🙎‍♂️ Pasien'!$G$7:$G658,'🙎‍♂️ Pasien'!$H$7:$H658),"")</f>
        <v>S6724108986</v>
      </c>
      <c r="J541" s="125" t="str">
        <f t="array" ref="J541">IFNA(XLOOKUP($H541,'🙎‍♂️ Pasien'!$G$7:$G658,'🙎‍♂️ Pasien'!$L$7:$L658),"")</f>
        <v>LAKI-LAKI</v>
      </c>
      <c r="K541" s="125">
        <f t="array" ref="K541">IFNA(XLOOKUP($H541,'🙎‍♂️ Pasien'!$G$7:$G658,'🙎‍♂️ Pasien'!$I$7:$I658),"")</f>
        <v>59</v>
      </c>
      <c r="L541" s="160" t="s">
        <v>101</v>
      </c>
      <c r="M541" s="162" t="str">
        <f t="array" ref="M541">IFNA(XLOOKUP(L541,'⚙️ Pengaturan'!$H$5:$H658,'⚙️ Pengaturan'!$I$5:$I658),"")</f>
        <v>MANAJEMEN</v>
      </c>
      <c r="N541" s="163" t="s">
        <v>1132</v>
      </c>
      <c r="O541" s="160" t="s">
        <v>1139</v>
      </c>
      <c r="P541" s="153">
        <f t="shared" si="13"/>
        <v>5</v>
      </c>
      <c r="Q541" s="164">
        <v>45807.0</v>
      </c>
      <c r="R541" s="164">
        <v>45810.0</v>
      </c>
      <c r="S541" s="164">
        <v>45818.0</v>
      </c>
      <c r="T541" s="164">
        <v>45820.0</v>
      </c>
      <c r="U541" s="164">
        <v>45825.0</v>
      </c>
      <c r="V541" s="164"/>
      <c r="W541" s="164"/>
      <c r="X541" s="164"/>
      <c r="Y541" s="164"/>
      <c r="Z541" s="164"/>
      <c r="AA541" s="165">
        <f t="shared" si="20"/>
        <v>45825</v>
      </c>
      <c r="AB541" s="160" t="s">
        <v>1134</v>
      </c>
      <c r="AC541" s="160" t="s">
        <v>1138</v>
      </c>
      <c r="AD541" s="166"/>
      <c r="AE541" s="156">
        <f t="shared" si="21"/>
        <v>45825</v>
      </c>
      <c r="AF541" s="107" t="str">
        <f t="shared" si="22"/>
        <v>2025</v>
      </c>
      <c r="AG541" s="107" t="str">
        <f t="shared" si="23"/>
        <v>06 Jun</v>
      </c>
      <c r="AH541" s="107" t="str">
        <f t="shared" si="24"/>
        <v>Sel</v>
      </c>
      <c r="AI541" s="157">
        <f t="shared" si="25"/>
        <v>3</v>
      </c>
      <c r="AJ541" s="96"/>
      <c r="AK541" s="169"/>
      <c r="AL541" s="96"/>
      <c r="AM541" s="158">
        <f t="shared" si="12"/>
        <v>0</v>
      </c>
    </row>
    <row r="542" ht="22.5" customHeight="1">
      <c r="A542" s="167"/>
      <c r="B542" s="160" t="s">
        <v>134</v>
      </c>
      <c r="C542" s="160" t="s">
        <v>1131</v>
      </c>
      <c r="D542" s="161">
        <v>45832.0</v>
      </c>
      <c r="E542" s="124" t="str">
        <f t="shared" si="1"/>
        <v>2025</v>
      </c>
      <c r="F542" s="124" t="str">
        <f t="shared" si="2"/>
        <v>06 Jun</v>
      </c>
      <c r="G542" s="124" t="str">
        <f t="shared" si="3"/>
        <v>Selasa</v>
      </c>
      <c r="H542" s="160" t="s">
        <v>601</v>
      </c>
      <c r="I542" s="125" t="str">
        <f t="array" ref="I542">IFNA(XLOOKUP($H542,'🙎‍♂️ Pasien'!$G$7:$G658,'🙎‍♂️ Pasien'!$H$7:$H658),"")</f>
        <v>S6724108986</v>
      </c>
      <c r="J542" s="125" t="str">
        <f t="array" ref="J542">IFNA(XLOOKUP($H542,'🙎‍♂️ Pasien'!$G$7:$G658,'🙎‍♂️ Pasien'!$L$7:$L658),"")</f>
        <v>LAKI-LAKI</v>
      </c>
      <c r="K542" s="125">
        <f t="array" ref="K542">IFNA(XLOOKUP($H542,'🙎‍♂️ Pasien'!$G$7:$G658,'🙎‍♂️ Pasien'!$I$7:$I658),"")</f>
        <v>59</v>
      </c>
      <c r="L542" s="160" t="s">
        <v>101</v>
      </c>
      <c r="M542" s="162" t="str">
        <f t="array" ref="M542">IFNA(XLOOKUP(L542,'⚙️ Pengaturan'!$H$5:$H658,'⚙️ Pengaturan'!$I$5:$I658),"")</f>
        <v>MANAJEMEN</v>
      </c>
      <c r="N542" s="163" t="s">
        <v>1132</v>
      </c>
      <c r="O542" s="160" t="s">
        <v>1139</v>
      </c>
      <c r="P542" s="153">
        <f t="shared" si="13"/>
        <v>5</v>
      </c>
      <c r="Q542" s="164">
        <v>45832.0</v>
      </c>
      <c r="R542" s="164">
        <v>45845.0</v>
      </c>
      <c r="S542" s="164">
        <v>45874.0</v>
      </c>
      <c r="T542" s="164">
        <v>45922.0</v>
      </c>
      <c r="U542" s="164">
        <v>45931.0</v>
      </c>
      <c r="V542" s="164"/>
      <c r="W542" s="164"/>
      <c r="X542" s="164"/>
      <c r="Y542" s="164"/>
      <c r="Z542" s="164"/>
      <c r="AA542" s="165">
        <f t="shared" si="20"/>
        <v>45931</v>
      </c>
      <c r="AB542" s="160" t="s">
        <v>1134</v>
      </c>
      <c r="AC542" s="160" t="s">
        <v>1138</v>
      </c>
      <c r="AD542" s="166"/>
      <c r="AE542" s="156">
        <f t="shared" si="21"/>
        <v>45931</v>
      </c>
      <c r="AF542" s="107" t="str">
        <f t="shared" si="22"/>
        <v>2025</v>
      </c>
      <c r="AG542" s="107" t="str">
        <f t="shared" si="23"/>
        <v>10 Okt</v>
      </c>
      <c r="AH542" s="107" t="str">
        <f t="shared" si="24"/>
        <v>Rab</v>
      </c>
      <c r="AI542" s="157">
        <f t="shared" si="25"/>
        <v>15</v>
      </c>
      <c r="AJ542" s="96"/>
      <c r="AK542" s="169"/>
      <c r="AL542" s="96"/>
      <c r="AM542" s="158">
        <f t="shared" si="12"/>
        <v>0</v>
      </c>
    </row>
    <row r="543" ht="22.5" customHeight="1">
      <c r="A543" s="167"/>
      <c r="B543" s="160" t="s">
        <v>86</v>
      </c>
      <c r="C543" s="160" t="s">
        <v>1131</v>
      </c>
      <c r="D543" s="161">
        <v>45937.0</v>
      </c>
      <c r="E543" s="124" t="str">
        <f t="shared" si="1"/>
        <v>2025</v>
      </c>
      <c r="F543" s="124" t="str">
        <f t="shared" si="2"/>
        <v>10 Okt</v>
      </c>
      <c r="G543" s="124" t="str">
        <f t="shared" si="3"/>
        <v>Selasa</v>
      </c>
      <c r="H543" s="160" t="s">
        <v>601</v>
      </c>
      <c r="I543" s="125" t="str">
        <f t="array" ref="I543">IFNA(XLOOKUP($H543,'🙎‍♂️ Pasien'!$G$7:$G658,'🙎‍♂️ Pasien'!$H$7:$H658),"")</f>
        <v>S6724108986</v>
      </c>
      <c r="J543" s="125" t="str">
        <f t="array" ref="J543">IFNA(XLOOKUP($H543,'🙎‍♂️ Pasien'!$G$7:$G658,'🙎‍♂️ Pasien'!$L$7:$L658),"")</f>
        <v>LAKI-LAKI</v>
      </c>
      <c r="K543" s="125">
        <f t="array" ref="K543">IFNA(XLOOKUP($H543,'🙎‍♂️ Pasien'!$G$7:$G658,'🙎‍♂️ Pasien'!$I$7:$I658),"")</f>
        <v>59</v>
      </c>
      <c r="L543" s="160" t="s">
        <v>101</v>
      </c>
      <c r="M543" s="162" t="str">
        <f t="array" ref="M543">IFNA(XLOOKUP(L543,'⚙️ Pengaturan'!$H$5:$H658,'⚙️ Pengaturan'!$I$5:$I658),"")</f>
        <v>MANAJEMEN</v>
      </c>
      <c r="N543" s="163" t="s">
        <v>1132</v>
      </c>
      <c r="O543" s="160" t="s">
        <v>1139</v>
      </c>
      <c r="P543" s="153">
        <f t="shared" si="13"/>
        <v>5</v>
      </c>
      <c r="Q543" s="164">
        <v>45937.0</v>
      </c>
      <c r="R543" s="164">
        <v>45958.0</v>
      </c>
      <c r="S543" s="164">
        <v>45961.0</v>
      </c>
      <c r="T543" s="164">
        <v>45965.0</v>
      </c>
      <c r="U543" s="164">
        <v>45979.0</v>
      </c>
      <c r="V543" s="164"/>
      <c r="W543" s="164"/>
      <c r="X543" s="164"/>
      <c r="Y543" s="164"/>
      <c r="Z543" s="164"/>
      <c r="AA543" s="165">
        <f t="shared" si="20"/>
        <v>45979</v>
      </c>
      <c r="AB543" s="160" t="s">
        <v>1134</v>
      </c>
      <c r="AC543" s="160" t="s">
        <v>1138</v>
      </c>
      <c r="AD543" s="166"/>
      <c r="AE543" s="156">
        <f t="shared" si="21"/>
        <v>45979</v>
      </c>
      <c r="AF543" s="107" t="str">
        <f t="shared" si="22"/>
        <v>2025</v>
      </c>
      <c r="AG543" s="107" t="str">
        <f t="shared" si="23"/>
        <v>11 Nov</v>
      </c>
      <c r="AH543" s="107" t="str">
        <f t="shared" si="24"/>
        <v>Sel</v>
      </c>
      <c r="AI543" s="157">
        <f t="shared" si="25"/>
        <v>6</v>
      </c>
      <c r="AJ543" s="96"/>
      <c r="AK543" s="169"/>
      <c r="AL543" s="96"/>
      <c r="AM543" s="158">
        <f t="shared" si="12"/>
        <v>0</v>
      </c>
    </row>
    <row r="544" ht="22.5" customHeight="1">
      <c r="A544" s="167"/>
      <c r="B544" s="160" t="s">
        <v>86</v>
      </c>
      <c r="C544" s="160" t="s">
        <v>1131</v>
      </c>
      <c r="D544" s="161">
        <v>45986.0</v>
      </c>
      <c r="E544" s="124" t="str">
        <f t="shared" si="1"/>
        <v>2025</v>
      </c>
      <c r="F544" s="124" t="str">
        <f t="shared" si="2"/>
        <v>11 Nov</v>
      </c>
      <c r="G544" s="124" t="str">
        <f t="shared" si="3"/>
        <v>Selasa</v>
      </c>
      <c r="H544" s="160" t="s">
        <v>601</v>
      </c>
      <c r="I544" s="125" t="str">
        <f t="array" ref="I544">IFNA(XLOOKUP($H544,'🙎‍♂️ Pasien'!$G$7:$G658,'🙎‍♂️ Pasien'!$H$7:$H658),"")</f>
        <v>S6724108986</v>
      </c>
      <c r="J544" s="125" t="str">
        <f t="array" ref="J544">IFNA(XLOOKUP($H544,'🙎‍♂️ Pasien'!$G$7:$G658,'🙎‍♂️ Pasien'!$L$7:$L658),"")</f>
        <v>LAKI-LAKI</v>
      </c>
      <c r="K544" s="125">
        <f t="array" ref="K544">IFNA(XLOOKUP($H544,'🙎‍♂️ Pasien'!$G$7:$G658,'🙎‍♂️ Pasien'!$I$7:$I658),"")</f>
        <v>59</v>
      </c>
      <c r="L544" s="160" t="s">
        <v>101</v>
      </c>
      <c r="M544" s="162" t="str">
        <f t="array" ref="M544">IFNA(XLOOKUP(L544,'⚙️ Pengaturan'!$H$5:$H658,'⚙️ Pengaturan'!$I$5:$I658),"")</f>
        <v>MANAJEMEN</v>
      </c>
      <c r="N544" s="163" t="s">
        <v>1132</v>
      </c>
      <c r="O544" s="160" t="s">
        <v>1139</v>
      </c>
      <c r="P544" s="153">
        <f t="shared" si="13"/>
        <v>5</v>
      </c>
      <c r="Q544" s="164">
        <v>45986.0</v>
      </c>
      <c r="R544" s="164">
        <v>45989.0</v>
      </c>
      <c r="S544" s="164">
        <v>45993.0</v>
      </c>
      <c r="T544" s="164">
        <v>45996.0</v>
      </c>
      <c r="U544" s="164">
        <v>46003.0</v>
      </c>
      <c r="V544" s="164"/>
      <c r="W544" s="164"/>
      <c r="X544" s="164"/>
      <c r="Y544" s="164"/>
      <c r="Z544" s="164"/>
      <c r="AA544" s="165">
        <f t="shared" si="20"/>
        <v>46003</v>
      </c>
      <c r="AB544" s="160" t="s">
        <v>1134</v>
      </c>
      <c r="AC544" s="160" t="s">
        <v>1138</v>
      </c>
      <c r="AD544" s="166"/>
      <c r="AE544" s="156">
        <f t="shared" si="21"/>
        <v>46003</v>
      </c>
      <c r="AF544" s="107" t="str">
        <f t="shared" si="22"/>
        <v>2025</v>
      </c>
      <c r="AG544" s="107" t="str">
        <f t="shared" si="23"/>
        <v>12 Des</v>
      </c>
      <c r="AH544" s="107" t="str">
        <f t="shared" si="24"/>
        <v>Jum</v>
      </c>
      <c r="AI544" s="157">
        <f t="shared" si="25"/>
        <v>3</v>
      </c>
      <c r="AJ544" s="96"/>
      <c r="AK544" s="169"/>
      <c r="AL544" s="96"/>
      <c r="AM544" s="158">
        <f t="shared" si="12"/>
        <v>0</v>
      </c>
    </row>
    <row r="545" ht="22.5" customHeight="1">
      <c r="A545" s="167"/>
      <c r="B545" s="160" t="s">
        <v>86</v>
      </c>
      <c r="C545" s="160" t="s">
        <v>1131</v>
      </c>
      <c r="D545" s="161">
        <v>46013.0</v>
      </c>
      <c r="E545" s="124" t="str">
        <f t="shared" si="1"/>
        <v>2025</v>
      </c>
      <c r="F545" s="124" t="str">
        <f t="shared" si="2"/>
        <v>12 Des</v>
      </c>
      <c r="G545" s="124" t="str">
        <f t="shared" si="3"/>
        <v>Senin</v>
      </c>
      <c r="H545" s="160" t="s">
        <v>601</v>
      </c>
      <c r="I545" s="125" t="str">
        <f t="array" ref="I545">IFNA(XLOOKUP($H545,'🙎‍♂️ Pasien'!$G$7:$G658,'🙎‍♂️ Pasien'!$H$7:$H658),"")</f>
        <v>S6724108986</v>
      </c>
      <c r="J545" s="125" t="str">
        <f t="array" ref="J545">IFNA(XLOOKUP($H545,'🙎‍♂️ Pasien'!$G$7:$G658,'🙎‍♂️ Pasien'!$L$7:$L658),"")</f>
        <v>LAKI-LAKI</v>
      </c>
      <c r="K545" s="125">
        <f t="array" ref="K545">IFNA(XLOOKUP($H545,'🙎‍♂️ Pasien'!$G$7:$G658,'🙎‍♂️ Pasien'!$I$7:$I658),"")</f>
        <v>59</v>
      </c>
      <c r="L545" s="160" t="s">
        <v>101</v>
      </c>
      <c r="M545" s="162" t="str">
        <f t="array" ref="M545">IFNA(XLOOKUP(L545,'⚙️ Pengaturan'!$H$5:$H658,'⚙️ Pengaturan'!$I$5:$I658),"")</f>
        <v>MANAJEMEN</v>
      </c>
      <c r="N545" s="163" t="s">
        <v>1132</v>
      </c>
      <c r="O545" s="160" t="s">
        <v>1139</v>
      </c>
      <c r="P545" s="153">
        <f t="shared" si="13"/>
        <v>1</v>
      </c>
      <c r="Q545" s="164">
        <v>46013.0</v>
      </c>
      <c r="R545" s="164"/>
      <c r="S545" s="164"/>
      <c r="T545" s="164"/>
      <c r="U545" s="164"/>
      <c r="V545" s="164"/>
      <c r="W545" s="164"/>
      <c r="X545" s="164"/>
      <c r="Y545" s="164"/>
      <c r="Z545" s="164"/>
      <c r="AA545" s="165">
        <f t="shared" si="20"/>
        <v>46013</v>
      </c>
      <c r="AB545" s="160" t="s">
        <v>1144</v>
      </c>
      <c r="AC545" s="172"/>
      <c r="AD545" s="166"/>
      <c r="AE545" s="156" t="str">
        <f t="shared" si="21"/>
        <v/>
      </c>
      <c r="AF545" s="107" t="str">
        <f t="shared" si="22"/>
        <v/>
      </c>
      <c r="AG545" s="107" t="str">
        <f t="shared" si="23"/>
        <v/>
      </c>
      <c r="AH545" s="107" t="str">
        <f t="shared" si="24"/>
        <v/>
      </c>
      <c r="AI545" s="157">
        <f t="shared" si="25"/>
        <v>25</v>
      </c>
      <c r="AJ545" s="96"/>
      <c r="AK545" s="169"/>
      <c r="AL545" s="96"/>
      <c r="AM545" s="158">
        <f t="shared" si="12"/>
        <v>0</v>
      </c>
    </row>
    <row r="546" ht="22.5" customHeight="1">
      <c r="A546" s="167"/>
      <c r="B546" s="160" t="s">
        <v>86</v>
      </c>
      <c r="C546" s="160" t="s">
        <v>1131</v>
      </c>
      <c r="D546" s="173">
        <v>45897.0</v>
      </c>
      <c r="E546" s="124" t="str">
        <f t="shared" si="1"/>
        <v>2025</v>
      </c>
      <c r="F546" s="124" t="str">
        <f t="shared" si="2"/>
        <v>08 Agu</v>
      </c>
      <c r="G546" s="124" t="str">
        <f t="shared" si="3"/>
        <v>Kamis</v>
      </c>
      <c r="H546" s="160" t="s">
        <v>153</v>
      </c>
      <c r="I546" s="125" t="str">
        <f t="array" ref="I546">IFNA(XLOOKUP($H546,'🙎‍♂️ Pasien'!$G$7:$G658,'🙎‍♂️ Pasien'!$H$7:$H658),"")</f>
        <v>S6225086797</v>
      </c>
      <c r="J546" s="125" t="str">
        <f t="array" ref="J546">IFNA(XLOOKUP($H546,'🙎‍♂️ Pasien'!$G$7:$G658,'🙎‍♂️ Pasien'!$L$7:$L658),"")</f>
        <v>PEREMPUAN</v>
      </c>
      <c r="K546" s="125">
        <f t="array" ref="K546">IFNA(XLOOKUP($H546,'🙎‍♂️ Pasien'!$G$7:$G658,'🙎‍♂️ Pasien'!$I$7:$I658),"")</f>
        <v>63</v>
      </c>
      <c r="L546" s="160" t="s">
        <v>107</v>
      </c>
      <c r="M546" s="162" t="str">
        <f t="array" ref="M546">IFNA(XLOOKUP(L546,'⚙️ Pengaturan'!$H$5:$H658,'⚙️ Pengaturan'!$I$5:$I658),"")</f>
        <v>TIM Y</v>
      </c>
      <c r="N546" s="160" t="s">
        <v>1132</v>
      </c>
      <c r="O546" s="160" t="s">
        <v>1133</v>
      </c>
      <c r="P546" s="153">
        <f t="shared" si="13"/>
        <v>5</v>
      </c>
      <c r="Q546" s="164">
        <v>45897.0</v>
      </c>
      <c r="R546" s="164">
        <v>45899.0</v>
      </c>
      <c r="S546" s="164">
        <v>45901.0</v>
      </c>
      <c r="T546" s="164">
        <v>45903.0</v>
      </c>
      <c r="U546" s="164">
        <v>45906.0</v>
      </c>
      <c r="V546" s="164"/>
      <c r="W546" s="164"/>
      <c r="X546" s="164"/>
      <c r="Y546" s="164"/>
      <c r="Z546" s="164"/>
      <c r="AA546" s="165">
        <f t="shared" si="20"/>
        <v>45906</v>
      </c>
      <c r="AB546" s="160" t="s">
        <v>1134</v>
      </c>
      <c r="AC546" s="160" t="s">
        <v>1138</v>
      </c>
      <c r="AD546" s="166"/>
      <c r="AE546" s="156">
        <f t="shared" si="21"/>
        <v>45906</v>
      </c>
      <c r="AF546" s="107" t="str">
        <f t="shared" si="22"/>
        <v>2025</v>
      </c>
      <c r="AG546" s="107" t="str">
        <f t="shared" si="23"/>
        <v>09 Sep</v>
      </c>
      <c r="AH546" s="107" t="str">
        <f t="shared" si="24"/>
        <v>Sab</v>
      </c>
      <c r="AI546" s="157">
        <f t="shared" si="25"/>
        <v>2</v>
      </c>
      <c r="AJ546" s="96"/>
      <c r="AK546" s="169"/>
      <c r="AL546" s="96"/>
      <c r="AM546" s="158">
        <f t="shared" si="12"/>
        <v>0</v>
      </c>
    </row>
    <row r="547" ht="22.5" customHeight="1">
      <c r="A547" s="167"/>
      <c r="B547" s="160" t="s">
        <v>54</v>
      </c>
      <c r="C547" s="160" t="s">
        <v>1131</v>
      </c>
      <c r="D547" s="173">
        <v>45909.0</v>
      </c>
      <c r="E547" s="124" t="str">
        <f t="shared" si="1"/>
        <v>2025</v>
      </c>
      <c r="F547" s="124" t="str">
        <f t="shared" si="2"/>
        <v>09 Sep</v>
      </c>
      <c r="G547" s="124" t="str">
        <f t="shared" si="3"/>
        <v>Selasa</v>
      </c>
      <c r="H547" s="160" t="s">
        <v>153</v>
      </c>
      <c r="I547" s="125" t="str">
        <f t="array" ref="I547">IFNA(XLOOKUP($H547,'🙎‍♂️ Pasien'!$G$7:$G658,'🙎‍♂️ Pasien'!$H$7:$H658),"")</f>
        <v>S6225086797</v>
      </c>
      <c r="J547" s="125" t="str">
        <f t="array" ref="J547">IFNA(XLOOKUP($H547,'🙎‍♂️ Pasien'!$G$7:$G658,'🙎‍♂️ Pasien'!$L$7:$L658),"")</f>
        <v>PEREMPUAN</v>
      </c>
      <c r="K547" s="125">
        <f t="array" ref="K547">IFNA(XLOOKUP($H547,'🙎‍♂️ Pasien'!$G$7:$G658,'🙎‍♂️ Pasien'!$I$7:$I658),"")</f>
        <v>63</v>
      </c>
      <c r="L547" s="160" t="s">
        <v>107</v>
      </c>
      <c r="M547" s="162" t="str">
        <f t="array" ref="M547">IFNA(XLOOKUP(L547,'⚙️ Pengaturan'!$H$5:$H658,'⚙️ Pengaturan'!$I$5:$I658),"")</f>
        <v>TIM Y</v>
      </c>
      <c r="N547" s="160" t="s">
        <v>1132</v>
      </c>
      <c r="O547" s="160" t="s">
        <v>1139</v>
      </c>
      <c r="P547" s="153">
        <f t="shared" si="13"/>
        <v>5</v>
      </c>
      <c r="Q547" s="164">
        <v>45909.0</v>
      </c>
      <c r="R547" s="164">
        <v>45911.0</v>
      </c>
      <c r="S547" s="164">
        <v>45913.0</v>
      </c>
      <c r="T547" s="164">
        <v>45916.0</v>
      </c>
      <c r="U547" s="164">
        <v>45918.0</v>
      </c>
      <c r="V547" s="164"/>
      <c r="W547" s="164"/>
      <c r="X547" s="164"/>
      <c r="Y547" s="164"/>
      <c r="Z547" s="164"/>
      <c r="AA547" s="165">
        <f t="shared" si="20"/>
        <v>45918</v>
      </c>
      <c r="AB547" s="160" t="s">
        <v>1134</v>
      </c>
      <c r="AC547" s="160" t="s">
        <v>1138</v>
      </c>
      <c r="AD547" s="166"/>
      <c r="AE547" s="156">
        <f t="shared" si="21"/>
        <v>45918</v>
      </c>
      <c r="AF547" s="107" t="str">
        <f t="shared" si="22"/>
        <v>2025</v>
      </c>
      <c r="AG547" s="107" t="str">
        <f t="shared" si="23"/>
        <v>09 Sep</v>
      </c>
      <c r="AH547" s="107" t="str">
        <f t="shared" si="24"/>
        <v>Kam</v>
      </c>
      <c r="AI547" s="157">
        <f t="shared" si="25"/>
        <v>2</v>
      </c>
      <c r="AJ547" s="96"/>
      <c r="AK547" s="169"/>
      <c r="AL547" s="96"/>
      <c r="AM547" s="158">
        <f t="shared" si="12"/>
        <v>0</v>
      </c>
    </row>
    <row r="548" ht="22.5" customHeight="1">
      <c r="A548" s="167"/>
      <c r="B548" s="160" t="s">
        <v>54</v>
      </c>
      <c r="C548" s="160" t="s">
        <v>1131</v>
      </c>
      <c r="D548" s="173">
        <v>45918.0</v>
      </c>
      <c r="E548" s="124" t="str">
        <f t="shared" si="1"/>
        <v>2025</v>
      </c>
      <c r="F548" s="124" t="str">
        <f t="shared" si="2"/>
        <v>09 Sep</v>
      </c>
      <c r="G548" s="124" t="str">
        <f t="shared" si="3"/>
        <v>Kamis</v>
      </c>
      <c r="H548" s="160" t="s">
        <v>153</v>
      </c>
      <c r="I548" s="125" t="str">
        <f t="array" ref="I548">IFNA(XLOOKUP($H548,'🙎‍♂️ Pasien'!$G$7:$G658,'🙎‍♂️ Pasien'!$H$7:$H658),"")</f>
        <v>S6225086797</v>
      </c>
      <c r="J548" s="125" t="str">
        <f t="array" ref="J548">IFNA(XLOOKUP($H548,'🙎‍♂️ Pasien'!$G$7:$G658,'🙎‍♂️ Pasien'!$L$7:$L658),"")</f>
        <v>PEREMPUAN</v>
      </c>
      <c r="K548" s="125">
        <f t="array" ref="K548">IFNA(XLOOKUP($H548,'🙎‍♂️ Pasien'!$G$7:$G658,'🙎‍♂️ Pasien'!$I$7:$I658),"")</f>
        <v>63</v>
      </c>
      <c r="L548" s="160" t="s">
        <v>107</v>
      </c>
      <c r="M548" s="162" t="str">
        <f t="array" ref="M548">IFNA(XLOOKUP(L548,'⚙️ Pengaturan'!$H$5:$H658,'⚙️ Pengaturan'!$I$5:$I658),"")</f>
        <v>TIM Y</v>
      </c>
      <c r="N548" s="163" t="s">
        <v>1132</v>
      </c>
      <c r="O548" s="160" t="s">
        <v>1139</v>
      </c>
      <c r="P548" s="153">
        <f t="shared" si="13"/>
        <v>5</v>
      </c>
      <c r="Q548" s="164">
        <v>45923.0</v>
      </c>
      <c r="R548" s="164">
        <v>45925.0</v>
      </c>
      <c r="S548" s="164">
        <v>45927.0</v>
      </c>
      <c r="T548" s="164">
        <v>45931.0</v>
      </c>
      <c r="U548" s="164">
        <v>45938.0</v>
      </c>
      <c r="V548" s="164"/>
      <c r="W548" s="164"/>
      <c r="X548" s="164"/>
      <c r="Y548" s="164"/>
      <c r="Z548" s="164"/>
      <c r="AA548" s="165">
        <f t="shared" si="20"/>
        <v>45938</v>
      </c>
      <c r="AB548" s="160" t="s">
        <v>1134</v>
      </c>
      <c r="AC548" s="160" t="s">
        <v>1138</v>
      </c>
      <c r="AD548" s="166"/>
      <c r="AE548" s="156">
        <f t="shared" si="21"/>
        <v>45938</v>
      </c>
      <c r="AF548" s="107" t="str">
        <f t="shared" si="22"/>
        <v>2025</v>
      </c>
      <c r="AG548" s="107" t="str">
        <f t="shared" si="23"/>
        <v>10 Okt</v>
      </c>
      <c r="AH548" s="107" t="str">
        <f t="shared" si="24"/>
        <v>Rab</v>
      </c>
      <c r="AI548" s="157">
        <f t="shared" si="25"/>
        <v>3</v>
      </c>
      <c r="AJ548" s="96"/>
      <c r="AK548" s="169"/>
      <c r="AL548" s="96"/>
      <c r="AM548" s="158">
        <f t="shared" si="12"/>
        <v>0</v>
      </c>
    </row>
    <row r="549" ht="22.5" customHeight="1">
      <c r="A549" s="167"/>
      <c r="B549" s="160" t="s">
        <v>54</v>
      </c>
      <c r="C549" s="160" t="s">
        <v>1131</v>
      </c>
      <c r="D549" s="173">
        <v>45942.0</v>
      </c>
      <c r="E549" s="124" t="str">
        <f t="shared" si="1"/>
        <v>2025</v>
      </c>
      <c r="F549" s="124" t="str">
        <f t="shared" si="2"/>
        <v>10 Okt</v>
      </c>
      <c r="G549" s="124" t="str">
        <f t="shared" si="3"/>
        <v>Minggu</v>
      </c>
      <c r="H549" s="160" t="s">
        <v>153</v>
      </c>
      <c r="I549" s="125" t="str">
        <f t="array" ref="I549">IFNA(XLOOKUP($H549,'🙎‍♂️ Pasien'!$G$7:$G658,'🙎‍♂️ Pasien'!$H$7:$H658),"")</f>
        <v>S6225086797</v>
      </c>
      <c r="J549" s="125" t="str">
        <f t="array" ref="J549">IFNA(XLOOKUP($H549,'🙎‍♂️ Pasien'!$G$7:$G658,'🙎‍♂️ Pasien'!$L$7:$L658),"")</f>
        <v>PEREMPUAN</v>
      </c>
      <c r="K549" s="125">
        <f t="array" ref="K549">IFNA(XLOOKUP($H549,'🙎‍♂️ Pasien'!$G$7:$G658,'🙎‍♂️ Pasien'!$I$7:$I658),"")</f>
        <v>63</v>
      </c>
      <c r="L549" s="160" t="s">
        <v>107</v>
      </c>
      <c r="M549" s="162" t="str">
        <f t="array" ref="M549">IFNA(XLOOKUP(L549,'⚙️ Pengaturan'!$H$5:$H658,'⚙️ Pengaturan'!$I$5:$I658),"")</f>
        <v>TIM Y</v>
      </c>
      <c r="N549" s="163" t="s">
        <v>1137</v>
      </c>
      <c r="O549" s="160" t="s">
        <v>1139</v>
      </c>
      <c r="P549" s="153">
        <f t="shared" si="13"/>
        <v>10</v>
      </c>
      <c r="Q549" s="164">
        <v>45942.0</v>
      </c>
      <c r="R549" s="164">
        <v>45944.0</v>
      </c>
      <c r="S549" s="164">
        <v>45946.0</v>
      </c>
      <c r="T549" s="164">
        <v>45948.0</v>
      </c>
      <c r="U549" s="164">
        <v>45951.0</v>
      </c>
      <c r="V549" s="164">
        <v>45955.0</v>
      </c>
      <c r="W549" s="164">
        <v>45957.0</v>
      </c>
      <c r="X549" s="164">
        <v>45962.0</v>
      </c>
      <c r="Y549" s="164">
        <v>45965.0</v>
      </c>
      <c r="Z549" s="164">
        <v>45967.0</v>
      </c>
      <c r="AA549" s="165">
        <f t="shared" si="20"/>
        <v>45967</v>
      </c>
      <c r="AB549" s="160" t="s">
        <v>1134</v>
      </c>
      <c r="AC549" s="160" t="s">
        <v>1138</v>
      </c>
      <c r="AD549" s="166"/>
      <c r="AE549" s="156">
        <f t="shared" si="21"/>
        <v>45967</v>
      </c>
      <c r="AF549" s="107" t="str">
        <f t="shared" si="22"/>
        <v>2025</v>
      </c>
      <c r="AG549" s="107" t="str">
        <f t="shared" si="23"/>
        <v>11 Nov</v>
      </c>
      <c r="AH549" s="107" t="str">
        <f t="shared" si="24"/>
        <v>Kam</v>
      </c>
      <c r="AI549" s="157">
        <f t="shared" si="25"/>
        <v>4</v>
      </c>
      <c r="AJ549" s="96"/>
      <c r="AK549" s="169"/>
      <c r="AL549" s="96"/>
      <c r="AM549" s="158">
        <f t="shared" si="12"/>
        <v>0</v>
      </c>
    </row>
    <row r="550" ht="22.5" customHeight="1">
      <c r="A550" s="167"/>
      <c r="B550" s="160" t="s">
        <v>86</v>
      </c>
      <c r="C550" s="160" t="s">
        <v>1131</v>
      </c>
      <c r="D550" s="173">
        <v>45970.0</v>
      </c>
      <c r="E550" s="124" t="str">
        <f t="shared" si="1"/>
        <v>2025</v>
      </c>
      <c r="F550" s="124" t="str">
        <f t="shared" si="2"/>
        <v>11 Nov</v>
      </c>
      <c r="G550" s="124" t="str">
        <f t="shared" si="3"/>
        <v>Minggu</v>
      </c>
      <c r="H550" s="160" t="s">
        <v>153</v>
      </c>
      <c r="I550" s="125" t="str">
        <f t="array" ref="I550">IFNA(XLOOKUP($H550,'🙎‍♂️ Pasien'!$G$7:$G658,'🙎‍♂️ Pasien'!$H$7:$H658),"")</f>
        <v>S6225086797</v>
      </c>
      <c r="J550" s="125" t="str">
        <f t="array" ref="J550">IFNA(XLOOKUP($H550,'🙎‍♂️ Pasien'!$G$7:$G658,'🙎‍♂️ Pasien'!$L$7:$L658),"")</f>
        <v>PEREMPUAN</v>
      </c>
      <c r="K550" s="125">
        <f t="array" ref="K550">IFNA(XLOOKUP($H550,'🙎‍♂️ Pasien'!$G$7:$G658,'🙎‍♂️ Pasien'!$I$7:$I658),"")</f>
        <v>63</v>
      </c>
      <c r="L550" s="160" t="s">
        <v>107</v>
      </c>
      <c r="M550" s="162" t="str">
        <f t="array" ref="M550">IFNA(XLOOKUP(L550,'⚙️ Pengaturan'!$H$5:$H658,'⚙️ Pengaturan'!$I$5:$I658),"")</f>
        <v>TIM Y</v>
      </c>
      <c r="N550" s="163" t="s">
        <v>1132</v>
      </c>
      <c r="O550" s="160" t="s">
        <v>1139</v>
      </c>
      <c r="P550" s="153">
        <f t="shared" si="13"/>
        <v>5</v>
      </c>
      <c r="Q550" s="164">
        <v>45970.0</v>
      </c>
      <c r="R550" s="164">
        <v>45973.0</v>
      </c>
      <c r="S550" s="164">
        <v>45975.0</v>
      </c>
      <c r="T550" s="164">
        <v>45983.0</v>
      </c>
      <c r="U550" s="164">
        <v>45986.0</v>
      </c>
      <c r="V550" s="164"/>
      <c r="W550" s="164"/>
      <c r="X550" s="164"/>
      <c r="Y550" s="164"/>
      <c r="Z550" s="164"/>
      <c r="AA550" s="165">
        <f t="shared" si="20"/>
        <v>45986</v>
      </c>
      <c r="AB550" s="160" t="s">
        <v>1134</v>
      </c>
      <c r="AC550" s="160" t="s">
        <v>1138</v>
      </c>
      <c r="AD550" s="166"/>
      <c r="AE550" s="156">
        <f t="shared" si="21"/>
        <v>45986</v>
      </c>
      <c r="AF550" s="107" t="str">
        <f t="shared" si="22"/>
        <v>2025</v>
      </c>
      <c r="AG550" s="107" t="str">
        <f t="shared" si="23"/>
        <v>11 Nov</v>
      </c>
      <c r="AH550" s="107" t="str">
        <f t="shared" si="24"/>
        <v>Sel</v>
      </c>
      <c r="AI550" s="157">
        <f t="shared" si="25"/>
        <v>3</v>
      </c>
      <c r="AJ550" s="96"/>
      <c r="AK550" s="169"/>
      <c r="AL550" s="96"/>
      <c r="AM550" s="158">
        <f t="shared" si="12"/>
        <v>0</v>
      </c>
    </row>
    <row r="551" ht="22.5" customHeight="1">
      <c r="A551" s="167"/>
      <c r="B551" s="160" t="s">
        <v>54</v>
      </c>
      <c r="C551" s="160" t="s">
        <v>1131</v>
      </c>
      <c r="D551" s="173">
        <v>45990.0</v>
      </c>
      <c r="E551" s="124" t="str">
        <f t="shared" si="1"/>
        <v>2025</v>
      </c>
      <c r="F551" s="124" t="str">
        <f t="shared" si="2"/>
        <v>11 Nov</v>
      </c>
      <c r="G551" s="124" t="str">
        <f t="shared" si="3"/>
        <v>Sabtu</v>
      </c>
      <c r="H551" s="160" t="s">
        <v>153</v>
      </c>
      <c r="I551" s="125" t="str">
        <f t="array" ref="I551">IFNA(XLOOKUP($H551,'🙎‍♂️ Pasien'!$G$7:$G658,'🙎‍♂️ Pasien'!$H$7:$H658),"")</f>
        <v>S6225086797</v>
      </c>
      <c r="J551" s="125" t="str">
        <f t="array" ref="J551">IFNA(XLOOKUP($H551,'🙎‍♂️ Pasien'!$G$7:$G658,'🙎‍♂️ Pasien'!$L$7:$L658),"")</f>
        <v>PEREMPUAN</v>
      </c>
      <c r="K551" s="125">
        <f t="array" ref="K551">IFNA(XLOOKUP($H551,'🙎‍♂️ Pasien'!$G$7:$G658,'🙎‍♂️ Pasien'!$I$7:$I658),"")</f>
        <v>63</v>
      </c>
      <c r="L551" s="160" t="s">
        <v>107</v>
      </c>
      <c r="M551" s="162" t="str">
        <f t="array" ref="M551">IFNA(XLOOKUP(L551,'⚙️ Pengaturan'!$H$5:$H658,'⚙️ Pengaturan'!$I$5:$I658),"")</f>
        <v>TIM Y</v>
      </c>
      <c r="N551" s="163" t="s">
        <v>1137</v>
      </c>
      <c r="O551" s="160" t="s">
        <v>1139</v>
      </c>
      <c r="P551" s="153">
        <f t="shared" si="13"/>
        <v>10</v>
      </c>
      <c r="Q551" s="164">
        <v>45990.0</v>
      </c>
      <c r="R551" s="164">
        <v>45993.0</v>
      </c>
      <c r="S551" s="164">
        <v>45998.0</v>
      </c>
      <c r="T551" s="164">
        <v>46000.0</v>
      </c>
      <c r="U551" s="164">
        <v>46004.0</v>
      </c>
      <c r="V551" s="164">
        <v>46007.0</v>
      </c>
      <c r="W551" s="164">
        <v>46009.0</v>
      </c>
      <c r="X551" s="164">
        <v>46011.0</v>
      </c>
      <c r="Y551" s="164">
        <v>46014.0</v>
      </c>
      <c r="Z551" s="164">
        <v>46018.0</v>
      </c>
      <c r="AA551" s="165">
        <f t="shared" si="20"/>
        <v>46018</v>
      </c>
      <c r="AB551" s="160" t="s">
        <v>1134</v>
      </c>
      <c r="AC551" s="172"/>
      <c r="AD551" s="166"/>
      <c r="AE551" s="156">
        <f t="shared" si="21"/>
        <v>46018</v>
      </c>
      <c r="AF551" s="107" t="str">
        <f t="shared" si="22"/>
        <v>2025</v>
      </c>
      <c r="AG551" s="107" t="str">
        <f t="shared" si="23"/>
        <v>12 Des</v>
      </c>
      <c r="AH551" s="107" t="str">
        <f t="shared" si="24"/>
        <v>Sab</v>
      </c>
      <c r="AI551" s="157">
        <f t="shared" si="25"/>
        <v>4</v>
      </c>
      <c r="AJ551" s="96"/>
      <c r="AK551" s="169"/>
      <c r="AL551" s="96"/>
      <c r="AM551" s="158">
        <f t="shared" si="12"/>
        <v>0</v>
      </c>
    </row>
    <row r="552" ht="22.5" customHeight="1">
      <c r="A552" s="167"/>
      <c r="B552" s="160" t="s">
        <v>86</v>
      </c>
      <c r="C552" s="160" t="s">
        <v>1131</v>
      </c>
      <c r="D552" s="161">
        <v>45847.0</v>
      </c>
      <c r="E552" s="124" t="str">
        <f t="shared" si="1"/>
        <v>2025</v>
      </c>
      <c r="F552" s="124" t="str">
        <f t="shared" si="2"/>
        <v>07 Jul</v>
      </c>
      <c r="G552" s="124" t="str">
        <f t="shared" si="3"/>
        <v>Rabu</v>
      </c>
      <c r="H552" s="160" t="s">
        <v>1422</v>
      </c>
      <c r="I552" s="125" t="str">
        <f t="array" ref="I552">IFNA(XLOOKUP($H552,'🙎‍♂️ Pasien'!$G$7:$G658,'🙎‍♂️ Pasien'!$H$7:$H658),"")</f>
        <v>S2525063599</v>
      </c>
      <c r="J552" s="125" t="str">
        <f t="array" ref="J552">IFNA(XLOOKUP($H552,'🙎‍♂️ Pasien'!$G$7:$G658,'🙎‍♂️ Pasien'!$L$7:$L658),"")</f>
        <v>PEREMPUAN</v>
      </c>
      <c r="K552" s="125">
        <f t="array" ref="K552">IFNA(XLOOKUP($H552,'🙎‍♂️ Pasien'!$G$7:$G658,'🙎‍♂️ Pasien'!$I$7:$I658),"")</f>
        <v>1</v>
      </c>
      <c r="L552" s="160" t="s">
        <v>91</v>
      </c>
      <c r="M552" s="162" t="str">
        <f t="array" ref="M552">IFNA(XLOOKUP(L552,'⚙️ Pengaturan'!$H$5:$H658,'⚙️ Pengaturan'!$I$5:$I658),"")</f>
        <v>TIM Y</v>
      </c>
      <c r="N552" s="163" t="s">
        <v>1132</v>
      </c>
      <c r="O552" s="160" t="s">
        <v>1133</v>
      </c>
      <c r="P552" s="153">
        <f t="shared" si="13"/>
        <v>1</v>
      </c>
      <c r="Q552" s="164">
        <v>45847.0</v>
      </c>
      <c r="R552" s="164"/>
      <c r="S552" s="164"/>
      <c r="T552" s="164"/>
      <c r="U552" s="164"/>
      <c r="V552" s="164"/>
      <c r="W552" s="164"/>
      <c r="X552" s="164"/>
      <c r="Y552" s="164"/>
      <c r="Z552" s="164"/>
      <c r="AA552" s="165">
        <f t="shared" si="20"/>
        <v>45847</v>
      </c>
      <c r="AB552" s="160" t="s">
        <v>1144</v>
      </c>
      <c r="AC552" s="174"/>
      <c r="AD552" s="166"/>
      <c r="AE552" s="156" t="str">
        <f t="shared" si="21"/>
        <v/>
      </c>
      <c r="AF552" s="107" t="str">
        <f t="shared" si="22"/>
        <v/>
      </c>
      <c r="AG552" s="107" t="str">
        <f t="shared" si="23"/>
        <v/>
      </c>
      <c r="AH552" s="107" t="str">
        <f t="shared" si="24"/>
        <v/>
      </c>
      <c r="AI552" s="157">
        <f t="shared" si="25"/>
        <v>48</v>
      </c>
      <c r="AJ552" s="96"/>
      <c r="AK552" s="169"/>
      <c r="AL552" s="96"/>
      <c r="AM552" s="158">
        <f t="shared" si="12"/>
        <v>0</v>
      </c>
    </row>
    <row r="553" ht="22.5" customHeight="1">
      <c r="A553" s="167"/>
      <c r="B553" s="171"/>
      <c r="C553" s="171"/>
      <c r="D553" s="161">
        <v>45639.0</v>
      </c>
      <c r="E553" s="124" t="str">
        <f t="shared" si="1"/>
        <v>2024</v>
      </c>
      <c r="F553" s="124" t="str">
        <f t="shared" si="2"/>
        <v>12 Des</v>
      </c>
      <c r="G553" s="124" t="str">
        <f t="shared" si="3"/>
        <v>Jumat</v>
      </c>
      <c r="H553" s="16" t="s">
        <v>1423</v>
      </c>
      <c r="I553" s="125" t="str">
        <f t="array" ref="I553">IFNA(XLOOKUP($H553,'🙎‍♂️ Pasien'!$G$7:$G658,'🙎‍♂️ Pasien'!$H$7:$H658),"")</f>
        <v>S8624103421</v>
      </c>
      <c r="J553" s="125" t="str">
        <f t="array" ref="J553">IFNA(XLOOKUP($H553,'🙎‍♂️ Pasien'!$G$7:$G658,'🙎‍♂️ Pasien'!$L$7:$L658),"")</f>
        <v>LAKI-LAKI</v>
      </c>
      <c r="K553" s="125">
        <f t="array" ref="K553">IFNA(XLOOKUP($H553,'🙎‍♂️ Pasien'!$G$7:$G658,'🙎‍♂️ Pasien'!$I$7:$I658),"")</f>
        <v>40</v>
      </c>
      <c r="L553" s="16" t="s">
        <v>101</v>
      </c>
      <c r="M553" s="125" t="str">
        <f t="array" ref="M553">IFNA(XLOOKUP(L553,'⚙️ Pengaturan'!$H$5:$H658,'⚙️ Pengaturan'!$I$5:$I658),"")</f>
        <v>MANAJEMEN</v>
      </c>
      <c r="N553" s="16" t="s">
        <v>1132</v>
      </c>
      <c r="O553" s="16" t="s">
        <v>1133</v>
      </c>
      <c r="P553" s="153">
        <f t="shared" si="13"/>
        <v>2</v>
      </c>
      <c r="Q553" s="154">
        <v>45644.0</v>
      </c>
      <c r="R553" s="154">
        <v>45646.0</v>
      </c>
      <c r="S553" s="154"/>
      <c r="T553" s="154"/>
      <c r="U553" s="154"/>
      <c r="V553" s="154"/>
      <c r="W553" s="154"/>
      <c r="X553" s="154"/>
      <c r="Y553" s="154"/>
      <c r="Z553" s="154"/>
      <c r="AA553" s="155">
        <f t="shared" si="20"/>
        <v>45646</v>
      </c>
      <c r="AB553" s="16" t="s">
        <v>1144</v>
      </c>
      <c r="AC553" s="20"/>
      <c r="AD553" s="170"/>
      <c r="AE553" s="156" t="str">
        <f t="shared" si="21"/>
        <v/>
      </c>
      <c r="AF553" s="107" t="str">
        <f t="shared" si="22"/>
        <v/>
      </c>
      <c r="AG553" s="107" t="str">
        <f t="shared" si="23"/>
        <v/>
      </c>
      <c r="AH553" s="107" t="str">
        <f t="shared" si="24"/>
        <v/>
      </c>
      <c r="AI553" s="157">
        <f t="shared" si="25"/>
        <v>77</v>
      </c>
      <c r="AJ553" s="96"/>
      <c r="AK553" s="169"/>
      <c r="AL553" s="96"/>
      <c r="AM553" s="158">
        <f t="shared" si="12"/>
        <v>0</v>
      </c>
    </row>
    <row r="554" ht="22.5" customHeight="1">
      <c r="A554" s="167"/>
      <c r="B554" s="20"/>
      <c r="C554" s="20"/>
      <c r="D554" s="123">
        <v>45629.0</v>
      </c>
      <c r="E554" s="124" t="str">
        <f t="shared" si="1"/>
        <v>2024</v>
      </c>
      <c r="F554" s="124" t="str">
        <f t="shared" si="2"/>
        <v>12 Des</v>
      </c>
      <c r="G554" s="124" t="str">
        <f t="shared" si="3"/>
        <v>Selasa</v>
      </c>
      <c r="H554" s="16" t="s">
        <v>1424</v>
      </c>
      <c r="I554" s="125" t="str">
        <f t="array" ref="I554">IFNA(XLOOKUP($H554,'🙎‍♂️ Pasien'!$G$7:$G658,'🙎‍♂️ Pasien'!$H$7:$H658),"")</f>
        <v>S8424116922</v>
      </c>
      <c r="J554" s="125" t="str">
        <f t="array" ref="J554">IFNA(XLOOKUP($H554,'🙎‍♂️ Pasien'!$G$7:$G658,'🙎‍♂️ Pasien'!$L$7:$L658),"")</f>
        <v>LAKI-LAKI</v>
      </c>
      <c r="K554" s="125">
        <f t="array" ref="K554">IFNA(XLOOKUP($H554,'🙎‍♂️ Pasien'!$G$7:$G658,'🙎‍♂️ Pasien'!$I$7:$I658),"")</f>
        <v>42</v>
      </c>
      <c r="L554" s="16" t="s">
        <v>91</v>
      </c>
      <c r="M554" s="125" t="str">
        <f t="array" ref="M554">IFNA(XLOOKUP(L554,'⚙️ Pengaturan'!$H$5:$H658,'⚙️ Pengaturan'!$I$5:$I658),"")</f>
        <v>TIM Y</v>
      </c>
      <c r="N554" s="16" t="s">
        <v>1132</v>
      </c>
      <c r="O554" s="16" t="s">
        <v>1133</v>
      </c>
      <c r="P554" s="153">
        <f t="shared" si="13"/>
        <v>4</v>
      </c>
      <c r="Q554" s="154">
        <v>45629.0</v>
      </c>
      <c r="R554" s="154">
        <v>45631.0</v>
      </c>
      <c r="S554" s="154">
        <v>45633.0</v>
      </c>
      <c r="T554" s="154">
        <v>45640.0</v>
      </c>
      <c r="U554" s="154"/>
      <c r="V554" s="154"/>
      <c r="W554" s="154"/>
      <c r="X554" s="154"/>
      <c r="Y554" s="154"/>
      <c r="Z554" s="154"/>
      <c r="AA554" s="155">
        <f t="shared" si="20"/>
        <v>45640</v>
      </c>
      <c r="AB554" s="16" t="s">
        <v>1144</v>
      </c>
      <c r="AC554" s="20"/>
      <c r="AD554" s="170"/>
      <c r="AE554" s="156" t="str">
        <f t="shared" si="21"/>
        <v/>
      </c>
      <c r="AF554" s="107" t="str">
        <f t="shared" si="22"/>
        <v/>
      </c>
      <c r="AG554" s="107" t="str">
        <f t="shared" si="23"/>
        <v/>
      </c>
      <c r="AH554" s="107" t="str">
        <f t="shared" si="24"/>
        <v/>
      </c>
      <c r="AI554" s="157">
        <f t="shared" si="25"/>
        <v>79</v>
      </c>
      <c r="AJ554" s="96"/>
      <c r="AK554" s="169"/>
      <c r="AL554" s="96"/>
      <c r="AM554" s="158">
        <f t="shared" si="12"/>
        <v>0</v>
      </c>
    </row>
    <row r="555" ht="22.5" customHeight="1">
      <c r="A555" s="167"/>
      <c r="B555" s="160" t="s">
        <v>446</v>
      </c>
      <c r="C555" s="172"/>
      <c r="D555" s="161">
        <v>45798.0</v>
      </c>
      <c r="E555" s="124" t="str">
        <f t="shared" si="1"/>
        <v>2025</v>
      </c>
      <c r="F555" s="124" t="str">
        <f t="shared" si="2"/>
        <v>05 Mei</v>
      </c>
      <c r="G555" s="124" t="str">
        <f t="shared" si="3"/>
        <v>Rabu</v>
      </c>
      <c r="H555" s="160" t="s">
        <v>1425</v>
      </c>
      <c r="I555" s="125" t="str">
        <f t="array" ref="I555">IFNA(XLOOKUP($H555,'🙎‍♂️ Pasien'!$G$7:$G658,'🙎‍♂️ Pasien'!$H$7:$H658),"")</f>
        <v>S9425055188</v>
      </c>
      <c r="J555" s="125" t="str">
        <f t="array" ref="J555">IFNA(XLOOKUP($H555,'🙎‍♂️ Pasien'!$G$7:$G658,'🙎‍♂️ Pasien'!$L$7:$L658),"")</f>
        <v>PEREMPUAN</v>
      </c>
      <c r="K555" s="125">
        <f t="array" ref="K555">IFNA(XLOOKUP($H555,'🙎‍♂️ Pasien'!$G$7:$G658,'🙎‍♂️ Pasien'!$I$7:$I658),"")</f>
        <v>32</v>
      </c>
      <c r="L555" s="160" t="s">
        <v>72</v>
      </c>
      <c r="M555" s="162" t="str">
        <f t="array" ref="M555">IFNA(XLOOKUP(L555,'⚙️ Pengaturan'!$H$5:$H658,'⚙️ Pengaturan'!$I$5:$I658),"")</f>
        <v>TIM A</v>
      </c>
      <c r="N555" s="160" t="s">
        <v>1132</v>
      </c>
      <c r="O555" s="160" t="s">
        <v>1133</v>
      </c>
      <c r="P555" s="153">
        <f t="shared" si="13"/>
        <v>4</v>
      </c>
      <c r="Q555" s="164">
        <v>45796.0</v>
      </c>
      <c r="R555" s="164">
        <v>45798.0</v>
      </c>
      <c r="S555" s="164">
        <v>45800.0</v>
      </c>
      <c r="T555" s="164">
        <v>45803.0</v>
      </c>
      <c r="U555" s="164"/>
      <c r="V555" s="164"/>
      <c r="W555" s="164"/>
      <c r="X555" s="164"/>
      <c r="Y555" s="164"/>
      <c r="Z555" s="164"/>
      <c r="AA555" s="165">
        <f t="shared" si="20"/>
        <v>45803</v>
      </c>
      <c r="AB555" s="160" t="s">
        <v>1144</v>
      </c>
      <c r="AC555" s="174"/>
      <c r="AD555" s="166"/>
      <c r="AE555" s="156" t="str">
        <f t="shared" si="21"/>
        <v/>
      </c>
      <c r="AF555" s="107" t="str">
        <f t="shared" si="22"/>
        <v/>
      </c>
      <c r="AG555" s="107" t="str">
        <f t="shared" si="23"/>
        <v/>
      </c>
      <c r="AH555" s="107" t="str">
        <f t="shared" si="24"/>
        <v/>
      </c>
      <c r="AI555" s="157">
        <f t="shared" si="25"/>
        <v>56</v>
      </c>
      <c r="AJ555" s="96"/>
      <c r="AK555" s="169"/>
      <c r="AL555" s="96"/>
      <c r="AM555" s="158">
        <f t="shared" si="12"/>
        <v>0</v>
      </c>
    </row>
    <row r="556" ht="22.5" customHeight="1">
      <c r="A556" s="167"/>
      <c r="B556" s="160" t="s">
        <v>54</v>
      </c>
      <c r="C556" s="160" t="s">
        <v>1131</v>
      </c>
      <c r="D556" s="161">
        <v>45977.0</v>
      </c>
      <c r="E556" s="124" t="str">
        <f t="shared" si="1"/>
        <v>2025</v>
      </c>
      <c r="F556" s="124" t="str">
        <f t="shared" si="2"/>
        <v>11 Nov</v>
      </c>
      <c r="G556" s="124" t="str">
        <f t="shared" si="3"/>
        <v>Minggu</v>
      </c>
      <c r="H556" s="160" t="s">
        <v>527</v>
      </c>
      <c r="I556" s="125" t="str">
        <f t="array" ref="I556">IFNA(XLOOKUP($H556,'🙎‍♂️ Pasien'!$G$7:$G658,'🙎‍♂️ Pasien'!$H$7:$H658),"")</f>
        <v>S0325118209</v>
      </c>
      <c r="J556" s="125" t="str">
        <f t="array" ref="J556">IFNA(XLOOKUP($H556,'🙎‍♂️ Pasien'!$G$7:$G658,'🙎‍♂️ Pasien'!$L$7:$L658),"")</f>
        <v>PEREMPUAN</v>
      </c>
      <c r="K556" s="125">
        <f t="array" ref="K556">IFNA(XLOOKUP($H556,'🙎‍♂️ Pasien'!$G$7:$G658,'🙎‍♂️ Pasien'!$I$7:$I658),"")</f>
        <v>23</v>
      </c>
      <c r="L556" s="160" t="s">
        <v>79</v>
      </c>
      <c r="M556" s="162" t="str">
        <f t="array" ref="M556">IFNA(XLOOKUP(L556,'⚙️ Pengaturan'!$H$5:$H658,'⚙️ Pengaturan'!$I$5:$I658),"")</f>
        <v>TIM A</v>
      </c>
      <c r="N556" s="163" t="s">
        <v>1132</v>
      </c>
      <c r="O556" s="160" t="s">
        <v>1133</v>
      </c>
      <c r="P556" s="153">
        <f t="shared" si="13"/>
        <v>5</v>
      </c>
      <c r="Q556" s="164">
        <v>45978.0</v>
      </c>
      <c r="R556" s="164">
        <v>45981.0</v>
      </c>
      <c r="S556" s="164">
        <v>45983.0</v>
      </c>
      <c r="T556" s="164">
        <v>45988.0</v>
      </c>
      <c r="U556" s="164">
        <v>45991.0</v>
      </c>
      <c r="V556" s="164"/>
      <c r="W556" s="164"/>
      <c r="X556" s="164"/>
      <c r="Y556" s="164"/>
      <c r="Z556" s="164"/>
      <c r="AA556" s="165">
        <f t="shared" si="20"/>
        <v>45991</v>
      </c>
      <c r="AB556" s="160" t="s">
        <v>1134</v>
      </c>
      <c r="AC556" s="160" t="s">
        <v>1135</v>
      </c>
      <c r="AD556" s="168" t="s">
        <v>1426</v>
      </c>
      <c r="AE556" s="156">
        <f t="shared" si="21"/>
        <v>45991</v>
      </c>
      <c r="AF556" s="107" t="str">
        <f t="shared" si="22"/>
        <v>2025</v>
      </c>
      <c r="AG556" s="107" t="str">
        <f t="shared" si="23"/>
        <v>11 Nov</v>
      </c>
      <c r="AH556" s="107" t="str">
        <f t="shared" si="24"/>
        <v>Min</v>
      </c>
      <c r="AI556" s="157">
        <f t="shared" si="25"/>
        <v>2</v>
      </c>
      <c r="AJ556" s="96"/>
      <c r="AK556" s="169"/>
      <c r="AL556" s="96"/>
      <c r="AM556" s="158">
        <f t="shared" si="12"/>
        <v>0</v>
      </c>
    </row>
    <row r="557" ht="22.5" customHeight="1">
      <c r="A557" s="167"/>
      <c r="B557" s="160" t="s">
        <v>54</v>
      </c>
      <c r="C557" s="172"/>
      <c r="D557" s="161">
        <v>45794.0</v>
      </c>
      <c r="E557" s="124" t="str">
        <f t="shared" si="1"/>
        <v>2025</v>
      </c>
      <c r="F557" s="124" t="str">
        <f t="shared" si="2"/>
        <v>05 Mei</v>
      </c>
      <c r="G557" s="124" t="str">
        <f t="shared" si="3"/>
        <v>Sabtu</v>
      </c>
      <c r="H557" s="160" t="s">
        <v>1427</v>
      </c>
      <c r="I557" s="125" t="str">
        <f t="array" ref="I557">IFNA(XLOOKUP($H557,'🙎‍♂️ Pasien'!$G$7:$G658,'🙎‍♂️ Pasien'!$H$7:$H658),"")</f>
        <v>S5725052657</v>
      </c>
      <c r="J557" s="125" t="str">
        <f t="array" ref="J557">IFNA(XLOOKUP($H557,'🙎‍♂️ Pasien'!$G$7:$G658,'🙎‍♂️ Pasien'!$L$7:$L658),"")</f>
        <v>PEREMPUAN</v>
      </c>
      <c r="K557" s="125">
        <f t="array" ref="K557">IFNA(XLOOKUP($H557,'🙎‍♂️ Pasien'!$G$7:$G658,'🙎‍♂️ Pasien'!$I$7:$I658),"")</f>
        <v>69</v>
      </c>
      <c r="L557" s="160" t="s">
        <v>107</v>
      </c>
      <c r="M557" s="162" t="str">
        <f t="array" ref="M557">IFNA(XLOOKUP(L557,'⚙️ Pengaturan'!$H$5:$H658,'⚙️ Pengaturan'!$I$5:$I658),"")</f>
        <v>TIM Y</v>
      </c>
      <c r="N557" s="160" t="s">
        <v>1132</v>
      </c>
      <c r="O557" s="160" t="s">
        <v>1133</v>
      </c>
      <c r="P557" s="153">
        <f t="shared" si="13"/>
        <v>4</v>
      </c>
      <c r="Q557" s="164">
        <v>45794.0</v>
      </c>
      <c r="R557" s="164">
        <v>45798.0</v>
      </c>
      <c r="S557" s="164">
        <v>45801.0</v>
      </c>
      <c r="T557" s="164">
        <v>45804.0</v>
      </c>
      <c r="U557" s="164"/>
      <c r="V557" s="164"/>
      <c r="W557" s="164"/>
      <c r="X557" s="164"/>
      <c r="Y557" s="164"/>
      <c r="Z557" s="164"/>
      <c r="AA557" s="165">
        <f t="shared" si="20"/>
        <v>45804</v>
      </c>
      <c r="AB557" s="160" t="s">
        <v>1144</v>
      </c>
      <c r="AC557" s="174"/>
      <c r="AD557" s="166"/>
      <c r="AE557" s="156" t="str">
        <f t="shared" si="21"/>
        <v/>
      </c>
      <c r="AF557" s="107" t="str">
        <f t="shared" si="22"/>
        <v/>
      </c>
      <c r="AG557" s="107" t="str">
        <f t="shared" si="23"/>
        <v/>
      </c>
      <c r="AH557" s="107" t="str">
        <f t="shared" si="24"/>
        <v/>
      </c>
      <c r="AI557" s="157">
        <f t="shared" si="25"/>
        <v>56</v>
      </c>
      <c r="AJ557" s="96"/>
      <c r="AK557" s="169"/>
      <c r="AL557" s="96"/>
      <c r="AM557" s="158">
        <f t="shared" si="12"/>
        <v>0</v>
      </c>
    </row>
    <row r="558" ht="22.5" customHeight="1">
      <c r="A558" s="167"/>
      <c r="B558" s="160" t="s">
        <v>54</v>
      </c>
      <c r="C558" s="160" t="s">
        <v>1131</v>
      </c>
      <c r="D558" s="161">
        <v>45831.0</v>
      </c>
      <c r="E558" s="124" t="str">
        <f t="shared" si="1"/>
        <v>2025</v>
      </c>
      <c r="F558" s="124" t="str">
        <f t="shared" si="2"/>
        <v>06 Jun</v>
      </c>
      <c r="G558" s="124" t="str">
        <f t="shared" si="3"/>
        <v>Senin</v>
      </c>
      <c r="H558" s="160" t="s">
        <v>1428</v>
      </c>
      <c r="I558" s="125" t="str">
        <f t="array" ref="I558">IFNA(XLOOKUP($H558,'🙎‍♂️ Pasien'!$G$7:$G658,'🙎‍♂️ Pasien'!$H$7:$H658),"")</f>
        <v>S5325064712</v>
      </c>
      <c r="J558" s="125" t="str">
        <f t="array" ref="J558">IFNA(XLOOKUP($H558,'🙎‍♂️ Pasien'!$G$7:$G658,'🙎‍♂️ Pasien'!$L$7:$L658),"")</f>
        <v>PEREMPUAN</v>
      </c>
      <c r="K558" s="125">
        <f t="array" ref="K558">IFNA(XLOOKUP($H558,'🙎‍♂️ Pasien'!$G$7:$G658,'🙎‍♂️ Pasien'!$I$7:$I658),"")</f>
        <v>72</v>
      </c>
      <c r="L558" s="160" t="s">
        <v>1152</v>
      </c>
      <c r="M558" s="162" t="str">
        <f t="array" ref="M558">IFNA(XLOOKUP(L558,'⚙️ Pengaturan'!$H$5:$H658,'⚙️ Pengaturan'!$I$5:$I658),"")</f>
        <v>INAKTIF</v>
      </c>
      <c r="N558" s="163" t="s">
        <v>1132</v>
      </c>
      <c r="O558" s="160" t="s">
        <v>1133</v>
      </c>
      <c r="P558" s="153">
        <f t="shared" si="13"/>
        <v>5</v>
      </c>
      <c r="Q558" s="164">
        <v>45833.0</v>
      </c>
      <c r="R558" s="164">
        <v>45836.0</v>
      </c>
      <c r="S558" s="164">
        <v>45839.0</v>
      </c>
      <c r="T558" s="164">
        <v>45841.0</v>
      </c>
      <c r="U558" s="164">
        <v>45843.0</v>
      </c>
      <c r="V558" s="164"/>
      <c r="W558" s="164"/>
      <c r="X558" s="164"/>
      <c r="Y558" s="164"/>
      <c r="Z558" s="164"/>
      <c r="AA558" s="165">
        <f t="shared" si="20"/>
        <v>45843</v>
      </c>
      <c r="AB558" s="160" t="s">
        <v>1134</v>
      </c>
      <c r="AC558" s="160" t="s">
        <v>1138</v>
      </c>
      <c r="AD558" s="168" t="s">
        <v>348</v>
      </c>
      <c r="AE558" s="156">
        <f t="shared" si="21"/>
        <v>45843</v>
      </c>
      <c r="AF558" s="107" t="str">
        <f t="shared" si="22"/>
        <v>2025</v>
      </c>
      <c r="AG558" s="107" t="str">
        <f t="shared" si="23"/>
        <v>07 Jul</v>
      </c>
      <c r="AH558" s="107" t="str">
        <f t="shared" si="24"/>
        <v>Sab</v>
      </c>
      <c r="AI558" s="157">
        <f t="shared" si="25"/>
        <v>2</v>
      </c>
      <c r="AJ558" s="96"/>
      <c r="AK558" s="169"/>
      <c r="AL558" s="96"/>
      <c r="AM558" s="158">
        <f t="shared" si="12"/>
        <v>0</v>
      </c>
    </row>
    <row r="559" ht="22.5" customHeight="1">
      <c r="A559" s="188"/>
      <c r="B559" s="160" t="s">
        <v>86</v>
      </c>
      <c r="C559" s="160" t="s">
        <v>1131</v>
      </c>
      <c r="D559" s="161">
        <v>45847.0</v>
      </c>
      <c r="E559" s="124" t="str">
        <f t="shared" si="1"/>
        <v>2025</v>
      </c>
      <c r="F559" s="124" t="str">
        <f t="shared" si="2"/>
        <v>07 Jul</v>
      </c>
      <c r="G559" s="124" t="str">
        <f t="shared" si="3"/>
        <v>Rabu</v>
      </c>
      <c r="H559" s="160" t="s">
        <v>1428</v>
      </c>
      <c r="I559" s="125" t="str">
        <f t="array" ref="I559">IFNA(XLOOKUP($H559,'🙎‍♂️ Pasien'!$G$7:$G658,'🙎‍♂️ Pasien'!$H$7:$H658),"")</f>
        <v>S5325064712</v>
      </c>
      <c r="J559" s="125" t="str">
        <f t="array" ref="J559">IFNA(XLOOKUP($H559,'🙎‍♂️ Pasien'!$G$7:$G658,'🙎‍♂️ Pasien'!$L$7:$L658),"")</f>
        <v>PEREMPUAN</v>
      </c>
      <c r="K559" s="125">
        <f t="array" ref="K559">IFNA(XLOOKUP($H559,'🙎‍♂️ Pasien'!$G$7:$G658,'🙎‍♂️ Pasien'!$I$7:$I658),"")</f>
        <v>72</v>
      </c>
      <c r="L559" s="160" t="s">
        <v>91</v>
      </c>
      <c r="M559" s="162" t="str">
        <f t="array" ref="M559">IFNA(XLOOKUP(L559,'⚙️ Pengaturan'!$H$5:$H658,'⚙️ Pengaturan'!$I$5:$I658),"")</f>
        <v>TIM Y</v>
      </c>
      <c r="N559" s="163" t="s">
        <v>1132</v>
      </c>
      <c r="O559" s="160" t="s">
        <v>1139</v>
      </c>
      <c r="P559" s="153">
        <f t="shared" si="13"/>
        <v>5</v>
      </c>
      <c r="Q559" s="164">
        <v>45847.0</v>
      </c>
      <c r="R559" s="164">
        <v>45855.0</v>
      </c>
      <c r="S559" s="164">
        <v>45858.0</v>
      </c>
      <c r="T559" s="164">
        <v>45862.0</v>
      </c>
      <c r="U559" s="164">
        <v>45865.0</v>
      </c>
      <c r="V559" s="164"/>
      <c r="W559" s="164"/>
      <c r="X559" s="164"/>
      <c r="Y559" s="164"/>
      <c r="Z559" s="164"/>
      <c r="AA559" s="165">
        <f t="shared" si="20"/>
        <v>45865</v>
      </c>
      <c r="AB559" s="160" t="s">
        <v>1134</v>
      </c>
      <c r="AC559" s="160" t="s">
        <v>1138</v>
      </c>
      <c r="AD559" s="166"/>
      <c r="AE559" s="156">
        <f t="shared" si="21"/>
        <v>45865</v>
      </c>
      <c r="AF559" s="107" t="str">
        <f t="shared" si="22"/>
        <v>2025</v>
      </c>
      <c r="AG559" s="107" t="str">
        <f t="shared" si="23"/>
        <v>07 Jul</v>
      </c>
      <c r="AH559" s="107" t="str">
        <f t="shared" si="24"/>
        <v>Min</v>
      </c>
      <c r="AI559" s="157">
        <f t="shared" si="25"/>
        <v>3</v>
      </c>
      <c r="AJ559" s="96"/>
      <c r="AK559" s="169"/>
      <c r="AL559" s="96"/>
      <c r="AM559" s="158">
        <f t="shared" si="12"/>
        <v>0</v>
      </c>
    </row>
    <row r="560" ht="22.5" customHeight="1">
      <c r="A560" s="167"/>
      <c r="B560" s="160" t="s">
        <v>134</v>
      </c>
      <c r="C560" s="160" t="s">
        <v>1131</v>
      </c>
      <c r="D560" s="161">
        <v>45874.0</v>
      </c>
      <c r="E560" s="124" t="str">
        <f t="shared" si="1"/>
        <v>2025</v>
      </c>
      <c r="F560" s="124" t="str">
        <f t="shared" si="2"/>
        <v>08 Agu</v>
      </c>
      <c r="G560" s="124" t="str">
        <f t="shared" si="3"/>
        <v>Selasa</v>
      </c>
      <c r="H560" s="160" t="s">
        <v>1428</v>
      </c>
      <c r="I560" s="125" t="str">
        <f t="array" ref="I560">IFNA(XLOOKUP($H560,'🙎‍♂️ Pasien'!$G$7:$G658,'🙎‍♂️ Pasien'!$H$7:$H658),"")</f>
        <v>S5325064712</v>
      </c>
      <c r="J560" s="125" t="str">
        <f t="array" ref="J560">IFNA(XLOOKUP($H560,'🙎‍♂️ Pasien'!$G$7:$G658,'🙎‍♂️ Pasien'!$L$7:$L658),"")</f>
        <v>PEREMPUAN</v>
      </c>
      <c r="K560" s="125">
        <f t="array" ref="K560">IFNA(XLOOKUP($H560,'🙎‍♂️ Pasien'!$G$7:$G658,'🙎‍♂️ Pasien'!$I$7:$I658),"")</f>
        <v>72</v>
      </c>
      <c r="L560" s="160" t="s">
        <v>88</v>
      </c>
      <c r="M560" s="162" t="str">
        <f t="array" ref="M560">IFNA(XLOOKUP(L560,'⚙️ Pengaturan'!$H$5:$H658,'⚙️ Pengaturan'!$I$5:$I658),"")</f>
        <v>TIM Y</v>
      </c>
      <c r="N560" s="163" t="s">
        <v>1137</v>
      </c>
      <c r="O560" s="160" t="s">
        <v>1139</v>
      </c>
      <c r="P560" s="153">
        <f t="shared" si="13"/>
        <v>9</v>
      </c>
      <c r="Q560" s="164">
        <v>45874.0</v>
      </c>
      <c r="R560" s="164">
        <v>45888.0</v>
      </c>
      <c r="S560" s="164">
        <v>45890.0</v>
      </c>
      <c r="T560" s="164">
        <v>45890.0</v>
      </c>
      <c r="U560" s="164">
        <v>45892.0</v>
      </c>
      <c r="V560" s="164">
        <v>45895.0</v>
      </c>
      <c r="W560" s="164">
        <v>45899.0</v>
      </c>
      <c r="X560" s="164">
        <v>45908.0</v>
      </c>
      <c r="Y560" s="164">
        <v>45911.0</v>
      </c>
      <c r="Z560" s="164"/>
      <c r="AA560" s="165">
        <f t="shared" si="20"/>
        <v>45911</v>
      </c>
      <c r="AB560" s="160" t="s">
        <v>1144</v>
      </c>
      <c r="AC560" s="160"/>
      <c r="AD560" s="166"/>
      <c r="AE560" s="156" t="str">
        <f t="shared" si="21"/>
        <v/>
      </c>
      <c r="AF560" s="107" t="str">
        <f t="shared" si="22"/>
        <v/>
      </c>
      <c r="AG560" s="107" t="str">
        <f t="shared" si="23"/>
        <v/>
      </c>
      <c r="AH560" s="107" t="str">
        <f t="shared" si="24"/>
        <v/>
      </c>
      <c r="AI560" s="157">
        <f t="shared" si="25"/>
        <v>44</v>
      </c>
      <c r="AJ560" s="96"/>
      <c r="AK560" s="169"/>
      <c r="AL560" s="96"/>
      <c r="AM560" s="158">
        <f t="shared" si="12"/>
        <v>0</v>
      </c>
    </row>
    <row r="561" ht="22.5" customHeight="1">
      <c r="A561" s="167"/>
      <c r="B561" s="16" t="s">
        <v>134</v>
      </c>
      <c r="C561" s="16" t="s">
        <v>1131</v>
      </c>
      <c r="D561" s="123">
        <v>45894.0</v>
      </c>
      <c r="E561" s="124" t="str">
        <f t="shared" si="1"/>
        <v>2025</v>
      </c>
      <c r="F561" s="124" t="str">
        <f t="shared" si="2"/>
        <v>08 Agu</v>
      </c>
      <c r="G561" s="124" t="str">
        <f t="shared" si="3"/>
        <v>Senin</v>
      </c>
      <c r="H561" s="16" t="s">
        <v>1429</v>
      </c>
      <c r="I561" s="125" t="str">
        <f t="array" ref="I561">IFNA(XLOOKUP($H561,'🙎‍♂️ Pasien'!$G$7:$G658,'🙎‍♂️ Pasien'!$H$7:$H658),"")</f>
        <v>S8425084764</v>
      </c>
      <c r="J561" s="125" t="str">
        <f t="array" ref="J561">IFNA(XLOOKUP($H561,'🙎‍♂️ Pasien'!$G$7:$G658,'🙎‍♂️ Pasien'!$L$7:$L658),"")</f>
        <v>LAKI-LAKI</v>
      </c>
      <c r="K561" s="125">
        <f t="array" ref="K561">IFNA(XLOOKUP($H561,'🙎‍♂️ Pasien'!$G$7:$G658,'🙎‍♂️ Pasien'!$I$7:$I658),"")</f>
        <v>42</v>
      </c>
      <c r="L561" s="16" t="s">
        <v>56</v>
      </c>
      <c r="M561" s="125" t="str">
        <f t="array" ref="M561">IFNA(XLOOKUP(L561,'⚙️ Pengaturan'!$H$5:$H658,'⚙️ Pengaturan'!$I$5:$I658),"")</f>
        <v>TIM Y</v>
      </c>
      <c r="N561" s="16" t="s">
        <v>1137</v>
      </c>
      <c r="O561" s="16" t="s">
        <v>1133</v>
      </c>
      <c r="P561" s="153">
        <f t="shared" si="13"/>
        <v>9</v>
      </c>
      <c r="Q561" s="154">
        <v>45896.0</v>
      </c>
      <c r="R561" s="154">
        <v>45897.0</v>
      </c>
      <c r="S561" s="154">
        <v>45901.0</v>
      </c>
      <c r="T561" s="154">
        <v>45903.0</v>
      </c>
      <c r="U561" s="154">
        <v>45908.0</v>
      </c>
      <c r="V561" s="154">
        <v>45910.0</v>
      </c>
      <c r="W561" s="154">
        <v>45912.0</v>
      </c>
      <c r="X561" s="154">
        <v>45960.0</v>
      </c>
      <c r="Y561" s="154">
        <v>45962.0</v>
      </c>
      <c r="Z561" s="164"/>
      <c r="AA561" s="165">
        <f t="shared" si="20"/>
        <v>45962</v>
      </c>
      <c r="AB561" s="160" t="s">
        <v>1144</v>
      </c>
      <c r="AC561" s="160" t="s">
        <v>1138</v>
      </c>
      <c r="AD561" s="166"/>
      <c r="AE561" s="156" t="str">
        <f t="shared" si="21"/>
        <v/>
      </c>
      <c r="AF561" s="107" t="str">
        <f t="shared" si="22"/>
        <v/>
      </c>
      <c r="AG561" s="107" t="str">
        <f t="shared" si="23"/>
        <v/>
      </c>
      <c r="AH561" s="107" t="str">
        <f t="shared" si="24"/>
        <v/>
      </c>
      <c r="AI561" s="157">
        <f t="shared" si="25"/>
        <v>41</v>
      </c>
      <c r="AJ561" s="96"/>
      <c r="AK561" s="169"/>
      <c r="AL561" s="96"/>
      <c r="AM561" s="158">
        <f t="shared" si="12"/>
        <v>0</v>
      </c>
    </row>
    <row r="562" ht="22.5" customHeight="1">
      <c r="A562" s="167"/>
      <c r="B562" s="16" t="s">
        <v>54</v>
      </c>
      <c r="C562" s="16" t="s">
        <v>1131</v>
      </c>
      <c r="D562" s="123">
        <v>45929.0</v>
      </c>
      <c r="E562" s="124" t="str">
        <f t="shared" si="1"/>
        <v>2025</v>
      </c>
      <c r="F562" s="124" t="str">
        <f t="shared" si="2"/>
        <v>09 Sep</v>
      </c>
      <c r="G562" s="124" t="str">
        <f t="shared" si="3"/>
        <v>Senin</v>
      </c>
      <c r="H562" s="16" t="s">
        <v>794</v>
      </c>
      <c r="I562" s="125" t="str">
        <f t="array" ref="I562">IFNA(XLOOKUP($H562,'🙎‍♂️ Pasien'!$G$7:$G658,'🙎‍♂️ Pasien'!$H$7:$H658),"")</f>
        <v/>
      </c>
      <c r="J562" s="125" t="str">
        <f t="array" ref="J562">IFNA(XLOOKUP($H562,'🙎‍♂️ Pasien'!$G$7:$G658,'🙎‍♂️ Pasien'!$L$7:$L658),"")</f>
        <v/>
      </c>
      <c r="K562" s="125" t="str">
        <f t="array" ref="K562">IFNA(XLOOKUP($H562,'🙎‍♂️ Pasien'!$G$7:$G658,'🙎‍♂️ Pasien'!$I$7:$I658),"")</f>
        <v/>
      </c>
      <c r="L562" s="16" t="s">
        <v>56</v>
      </c>
      <c r="M562" s="125" t="str">
        <f t="array" ref="M562">IFNA(XLOOKUP(L562,'⚙️ Pengaturan'!$H$5:$H658,'⚙️ Pengaturan'!$I$5:$I658),"")</f>
        <v>TIM Y</v>
      </c>
      <c r="N562" s="16" t="s">
        <v>1132</v>
      </c>
      <c r="O562" s="16" t="s">
        <v>1133</v>
      </c>
      <c r="P562" s="153">
        <f t="shared" si="13"/>
        <v>5</v>
      </c>
      <c r="Q562" s="154">
        <v>45929.0</v>
      </c>
      <c r="R562" s="154">
        <v>45932.0</v>
      </c>
      <c r="S562" s="154">
        <v>45934.0</v>
      </c>
      <c r="T562" s="154">
        <v>45937.0</v>
      </c>
      <c r="U562" s="154">
        <v>45941.0</v>
      </c>
      <c r="V562" s="154"/>
      <c r="W562" s="154"/>
      <c r="X562" s="154"/>
      <c r="Y562" s="154"/>
      <c r="Z562" s="154"/>
      <c r="AA562" s="155">
        <f t="shared" si="20"/>
        <v>45941</v>
      </c>
      <c r="AB562" s="16" t="s">
        <v>1134</v>
      </c>
      <c r="AC562" s="16" t="s">
        <v>1138</v>
      </c>
      <c r="AD562" s="109"/>
      <c r="AE562" s="156">
        <f t="shared" si="21"/>
        <v>45941</v>
      </c>
      <c r="AF562" s="107" t="str">
        <f t="shared" si="22"/>
        <v>2025</v>
      </c>
      <c r="AG562" s="107" t="str">
        <f t="shared" si="23"/>
        <v>10 Okt</v>
      </c>
      <c r="AH562" s="107" t="str">
        <f t="shared" si="24"/>
        <v>Sab</v>
      </c>
      <c r="AI562" s="157">
        <f t="shared" si="25"/>
        <v>2</v>
      </c>
      <c r="AJ562" s="96"/>
      <c r="AK562" s="169"/>
      <c r="AL562" s="96"/>
      <c r="AM562" s="158">
        <f t="shared" si="12"/>
        <v>0</v>
      </c>
    </row>
    <row r="563" ht="22.5" customHeight="1">
      <c r="A563" s="167"/>
      <c r="B563" s="16" t="s">
        <v>86</v>
      </c>
      <c r="C563" s="16" t="s">
        <v>1131</v>
      </c>
      <c r="D563" s="123">
        <v>45959.0</v>
      </c>
      <c r="E563" s="124" t="str">
        <f t="shared" si="1"/>
        <v>2025</v>
      </c>
      <c r="F563" s="124" t="str">
        <f t="shared" si="2"/>
        <v>10 Okt</v>
      </c>
      <c r="G563" s="124" t="str">
        <f t="shared" si="3"/>
        <v>Rabu</v>
      </c>
      <c r="H563" s="16" t="s">
        <v>794</v>
      </c>
      <c r="I563" s="125" t="str">
        <f t="array" ref="I563">IFNA(XLOOKUP($H563,'🙎‍♂️ Pasien'!$G$7:$G658,'🙎‍♂️ Pasien'!$H$7:$H658),"")</f>
        <v/>
      </c>
      <c r="J563" s="125" t="str">
        <f t="array" ref="J563">IFNA(XLOOKUP($H563,'🙎‍♂️ Pasien'!$G$7:$G658,'🙎‍♂️ Pasien'!$L$7:$L658),"")</f>
        <v/>
      </c>
      <c r="K563" s="125" t="str">
        <f t="array" ref="K563">IFNA(XLOOKUP($H563,'🙎‍♂️ Pasien'!$G$7:$G658,'🙎‍♂️ Pasien'!$I$7:$I658),"")</f>
        <v/>
      </c>
      <c r="L563" s="16" t="s">
        <v>88</v>
      </c>
      <c r="M563" s="125" t="str">
        <f t="array" ref="M563">IFNA(XLOOKUP(L563,'⚙️ Pengaturan'!$H$5:$H658,'⚙️ Pengaturan'!$I$5:$I658),"")</f>
        <v>TIM Y</v>
      </c>
      <c r="N563" s="16" t="s">
        <v>1132</v>
      </c>
      <c r="O563" s="16" t="s">
        <v>1133</v>
      </c>
      <c r="P563" s="153">
        <f t="shared" si="13"/>
        <v>5</v>
      </c>
      <c r="Q563" s="154">
        <v>45959.0</v>
      </c>
      <c r="R563" s="154">
        <v>45963.0</v>
      </c>
      <c r="S563" s="154">
        <v>45969.0</v>
      </c>
      <c r="T563" s="154">
        <v>45976.0</v>
      </c>
      <c r="U563" s="154">
        <v>45988.0</v>
      </c>
      <c r="V563" s="154"/>
      <c r="W563" s="154"/>
      <c r="X563" s="154"/>
      <c r="Y563" s="154"/>
      <c r="Z563" s="154"/>
      <c r="AA563" s="155">
        <f t="shared" si="20"/>
        <v>45988</v>
      </c>
      <c r="AB563" s="16" t="s">
        <v>1134</v>
      </c>
      <c r="AC563" s="20"/>
      <c r="AD563" s="109"/>
      <c r="AE563" s="156">
        <f t="shared" si="21"/>
        <v>45988</v>
      </c>
      <c r="AF563" s="107" t="str">
        <f t="shared" si="22"/>
        <v>2025</v>
      </c>
      <c r="AG563" s="107" t="str">
        <f t="shared" si="23"/>
        <v>11 Nov</v>
      </c>
      <c r="AH563" s="107" t="str">
        <f t="shared" si="24"/>
        <v>Kam</v>
      </c>
      <c r="AI563" s="157">
        <f t="shared" si="25"/>
        <v>5</v>
      </c>
      <c r="AJ563" s="96"/>
      <c r="AK563" s="169"/>
      <c r="AL563" s="96"/>
      <c r="AM563" s="158">
        <f t="shared" si="12"/>
        <v>0</v>
      </c>
    </row>
    <row r="564" ht="22.5" customHeight="1">
      <c r="A564" s="167"/>
      <c r="B564" s="160" t="s">
        <v>134</v>
      </c>
      <c r="C564" s="160" t="s">
        <v>1170</v>
      </c>
      <c r="D564" s="161">
        <v>45846.0</v>
      </c>
      <c r="E564" s="124" t="str">
        <f t="shared" si="1"/>
        <v>2025</v>
      </c>
      <c r="F564" s="124" t="str">
        <f t="shared" si="2"/>
        <v>07 Jul</v>
      </c>
      <c r="G564" s="124" t="str">
        <f t="shared" si="3"/>
        <v>Selasa</v>
      </c>
      <c r="H564" s="160" t="s">
        <v>1430</v>
      </c>
      <c r="I564" s="125" t="str">
        <f t="array" ref="I564">IFNA(XLOOKUP($H564,'🙎‍♂️ Pasien'!$G$7:$G658,'🙎‍♂️ Pasien'!$H$7:$H658),"")</f>
        <v>S732507</v>
      </c>
      <c r="J564" s="125" t="str">
        <f t="array" ref="J564">IFNA(XLOOKUP($H564,'🙎‍♂️ Pasien'!$G$7:$G658,'🙎‍♂️ Pasien'!$L$7:$L658),"")</f>
        <v>LAKI-LAKI</v>
      </c>
      <c r="K564" s="125">
        <f t="array" ref="K564">IFNA(XLOOKUP($H564,'🙎‍♂️ Pasien'!$G$7:$G658,'🙎‍♂️ Pasien'!$I$7:$I658),"")</f>
        <v>52</v>
      </c>
      <c r="L564" s="160" t="s">
        <v>56</v>
      </c>
      <c r="M564" s="162" t="str">
        <f t="array" ref="M564">IFNA(XLOOKUP(L564,'⚙️ Pengaturan'!$H$5:$H658,'⚙️ Pengaturan'!$I$5:$I658),"")</f>
        <v>TIM Y</v>
      </c>
      <c r="N564" s="163" t="s">
        <v>1132</v>
      </c>
      <c r="O564" s="160" t="s">
        <v>1133</v>
      </c>
      <c r="P564" s="153">
        <f t="shared" si="13"/>
        <v>2</v>
      </c>
      <c r="Q564" s="164">
        <v>45846.0</v>
      </c>
      <c r="R564" s="164">
        <v>45848.0</v>
      </c>
      <c r="S564" s="164"/>
      <c r="T564" s="164"/>
      <c r="U564" s="164"/>
      <c r="V564" s="164"/>
      <c r="W564" s="164"/>
      <c r="X564" s="164"/>
      <c r="Y564" s="164"/>
      <c r="Z564" s="164"/>
      <c r="AA564" s="165">
        <f t="shared" si="20"/>
        <v>45848</v>
      </c>
      <c r="AB564" s="160" t="s">
        <v>1144</v>
      </c>
      <c r="AC564" s="174"/>
      <c r="AD564" s="166"/>
      <c r="AE564" s="156" t="str">
        <f t="shared" si="21"/>
        <v/>
      </c>
      <c r="AF564" s="107" t="str">
        <f t="shared" si="22"/>
        <v/>
      </c>
      <c r="AG564" s="107" t="str">
        <f t="shared" si="23"/>
        <v/>
      </c>
      <c r="AH564" s="107" t="str">
        <f t="shared" si="24"/>
        <v/>
      </c>
      <c r="AI564" s="157">
        <f t="shared" si="25"/>
        <v>48</v>
      </c>
      <c r="AJ564" s="96"/>
      <c r="AK564" s="169"/>
      <c r="AL564" s="96"/>
      <c r="AM564" s="158">
        <f t="shared" si="12"/>
        <v>0</v>
      </c>
    </row>
    <row r="565" ht="22.5" customHeight="1">
      <c r="A565" s="167"/>
      <c r="B565" s="16" t="s">
        <v>86</v>
      </c>
      <c r="C565" s="16" t="s">
        <v>1131</v>
      </c>
      <c r="D565" s="123">
        <v>45965.0</v>
      </c>
      <c r="E565" s="124" t="str">
        <f t="shared" si="1"/>
        <v>2025</v>
      </c>
      <c r="F565" s="124" t="str">
        <f t="shared" si="2"/>
        <v>11 Nov</v>
      </c>
      <c r="G565" s="124" t="str">
        <f t="shared" si="3"/>
        <v>Selasa</v>
      </c>
      <c r="H565" s="16" t="s">
        <v>424</v>
      </c>
      <c r="I565" s="125" t="str">
        <f t="array" ref="I565">IFNA(XLOOKUP($H565,'🙎‍♂️ Pasien'!$G$7:$G658,'🙎‍♂️ Pasien'!$H$7:$H658),"")</f>
        <v>S4725109888</v>
      </c>
      <c r="J565" s="125" t="str">
        <f t="array" ref="J565">IFNA(XLOOKUP($H565,'🙎‍♂️ Pasien'!$G$7:$G658,'🙎‍♂️ Pasien'!$L$7:$L658),"")</f>
        <v>PEREMPUAN</v>
      </c>
      <c r="K565" s="125">
        <f t="array" ref="K565">IFNA(XLOOKUP($H565,'🙎‍♂️ Pasien'!$G$7:$G658,'🙎‍♂️ Pasien'!$I$7:$I658),"")</f>
        <v>78</v>
      </c>
      <c r="L565" s="16" t="s">
        <v>62</v>
      </c>
      <c r="M565" s="125" t="str">
        <f t="array" ref="M565">IFNA(XLOOKUP(L565,'⚙️ Pengaturan'!$H$5:$H658,'⚙️ Pengaturan'!$I$5:$I658),"")</f>
        <v>TIM A</v>
      </c>
      <c r="N565" s="16" t="s">
        <v>1132</v>
      </c>
      <c r="O565" s="16" t="s">
        <v>1133</v>
      </c>
      <c r="P565" s="153">
        <f t="shared" si="13"/>
        <v>5</v>
      </c>
      <c r="Q565" s="154">
        <v>45965.0</v>
      </c>
      <c r="R565" s="154">
        <v>45969.0</v>
      </c>
      <c r="S565" s="154">
        <v>45972.0</v>
      </c>
      <c r="T565" s="154">
        <v>45974.0</v>
      </c>
      <c r="U565" s="154">
        <v>45976.0</v>
      </c>
      <c r="V565" s="154"/>
      <c r="W565" s="154"/>
      <c r="X565" s="154"/>
      <c r="Y565" s="154"/>
      <c r="Z565" s="154"/>
      <c r="AA565" s="155">
        <f t="shared" si="20"/>
        <v>45976</v>
      </c>
      <c r="AB565" s="16" t="s">
        <v>1134</v>
      </c>
      <c r="AC565" s="16" t="s">
        <v>1135</v>
      </c>
      <c r="AD565" s="109" t="s">
        <v>1315</v>
      </c>
      <c r="AE565" s="156">
        <f t="shared" si="21"/>
        <v>45976</v>
      </c>
      <c r="AF565" s="107" t="str">
        <f t="shared" si="22"/>
        <v>2025</v>
      </c>
      <c r="AG565" s="107" t="str">
        <f t="shared" si="23"/>
        <v>11 Nov</v>
      </c>
      <c r="AH565" s="107" t="str">
        <f t="shared" si="24"/>
        <v>Sab</v>
      </c>
      <c r="AI565" s="157">
        <f t="shared" si="25"/>
        <v>2</v>
      </c>
      <c r="AJ565" s="96"/>
      <c r="AK565" s="169"/>
      <c r="AL565" s="96"/>
      <c r="AM565" s="158">
        <f t="shared" si="12"/>
        <v>0</v>
      </c>
    </row>
    <row r="566" ht="22.5" customHeight="1">
      <c r="A566" s="167"/>
      <c r="B566" s="160" t="s">
        <v>134</v>
      </c>
      <c r="C566" s="160" t="s">
        <v>1131</v>
      </c>
      <c r="D566" s="161">
        <v>45838.0</v>
      </c>
      <c r="E566" s="124" t="str">
        <f t="shared" si="1"/>
        <v>2025</v>
      </c>
      <c r="F566" s="124" t="str">
        <f t="shared" si="2"/>
        <v>06 Jun</v>
      </c>
      <c r="G566" s="124" t="str">
        <f t="shared" si="3"/>
        <v>Senin</v>
      </c>
      <c r="H566" s="160" t="s">
        <v>172</v>
      </c>
      <c r="I566" s="125" t="str">
        <f t="array" ref="I566">IFNA(XLOOKUP($H566,'🙎‍♂️ Pasien'!$G$7:$G658,'🙎‍♂️ Pasien'!$H$7:$H658),"")</f>
        <v>S9624106365</v>
      </c>
      <c r="J566" s="125" t="str">
        <f t="array" ref="J566">IFNA(XLOOKUP($H566,'🙎‍♂️ Pasien'!$G$7:$G658,'🙎‍♂️ Pasien'!$L$7:$L658),"")</f>
        <v>LAKI-LAKI</v>
      </c>
      <c r="K566" s="125">
        <f t="array" ref="K566">IFNA(XLOOKUP($H566,'🙎‍♂️ Pasien'!$G$7:$G658,'🙎‍♂️ Pasien'!$I$7:$I658),"")</f>
        <v>30</v>
      </c>
      <c r="L566" s="160" t="s">
        <v>88</v>
      </c>
      <c r="M566" s="162" t="str">
        <f t="array" ref="M566">IFNA(XLOOKUP(L566,'⚙️ Pengaturan'!$H$5:$H658,'⚙️ Pengaturan'!$I$5:$I658),"")</f>
        <v>TIM Y</v>
      </c>
      <c r="N566" s="163" t="s">
        <v>1137</v>
      </c>
      <c r="O566" s="160" t="s">
        <v>1139</v>
      </c>
      <c r="P566" s="153">
        <f t="shared" si="13"/>
        <v>10</v>
      </c>
      <c r="Q566" s="164">
        <v>45838.0</v>
      </c>
      <c r="R566" s="164">
        <v>45843.0</v>
      </c>
      <c r="S566" s="164">
        <v>45867.0</v>
      </c>
      <c r="T566" s="164">
        <v>45870.0</v>
      </c>
      <c r="U566" s="164">
        <v>45874.0</v>
      </c>
      <c r="V566" s="164">
        <v>45885.0</v>
      </c>
      <c r="W566" s="164">
        <v>45888.0</v>
      </c>
      <c r="X566" s="164">
        <v>45893.0</v>
      </c>
      <c r="Y566" s="164">
        <v>45897.0</v>
      </c>
      <c r="Z566" s="164">
        <v>45889.0</v>
      </c>
      <c r="AA566" s="165">
        <f t="shared" si="20"/>
        <v>45897</v>
      </c>
      <c r="AB566" s="160" t="s">
        <v>1134</v>
      </c>
      <c r="AC566" s="160" t="s">
        <v>1138</v>
      </c>
      <c r="AD566" s="166"/>
      <c r="AE566" s="156">
        <f t="shared" si="21"/>
        <v>45889</v>
      </c>
      <c r="AF566" s="107" t="str">
        <f t="shared" si="22"/>
        <v>2025</v>
      </c>
      <c r="AG566" s="107" t="str">
        <f t="shared" si="23"/>
        <v>08 Agu</v>
      </c>
      <c r="AH566" s="107" t="str">
        <f t="shared" si="24"/>
        <v>Rab</v>
      </c>
      <c r="AI566" s="157">
        <f t="shared" si="25"/>
        <v>8</v>
      </c>
      <c r="AJ566" s="96"/>
      <c r="AK566" s="169"/>
      <c r="AL566" s="96"/>
      <c r="AM566" s="158">
        <f t="shared" si="12"/>
        <v>0</v>
      </c>
    </row>
    <row r="567" ht="22.5" customHeight="1">
      <c r="A567" s="167"/>
      <c r="B567" s="160" t="s">
        <v>86</v>
      </c>
      <c r="C567" s="160" t="s">
        <v>1170</v>
      </c>
      <c r="D567" s="161">
        <v>45939.0</v>
      </c>
      <c r="E567" s="124" t="str">
        <f t="shared" si="1"/>
        <v>2025</v>
      </c>
      <c r="F567" s="124" t="str">
        <f t="shared" si="2"/>
        <v>10 Okt</v>
      </c>
      <c r="G567" s="124" t="str">
        <f t="shared" si="3"/>
        <v>Kamis</v>
      </c>
      <c r="H567" s="160" t="s">
        <v>172</v>
      </c>
      <c r="I567" s="125" t="str">
        <f t="array" ref="I567">IFNA(XLOOKUP($H567,'🙎‍♂️ Pasien'!$G$7:$G658,'🙎‍♂️ Pasien'!$H$7:$H658),"")</f>
        <v>S9624106365</v>
      </c>
      <c r="J567" s="125" t="str">
        <f t="array" ref="J567">IFNA(XLOOKUP($H567,'🙎‍♂️ Pasien'!$G$7:$G658,'🙎‍♂️ Pasien'!$L$7:$L658),"")</f>
        <v>LAKI-LAKI</v>
      </c>
      <c r="K567" s="125">
        <f t="array" ref="K567">IFNA(XLOOKUP($H567,'🙎‍♂️ Pasien'!$G$7:$G658,'🙎‍♂️ Pasien'!$I$7:$I658),"")</f>
        <v>30</v>
      </c>
      <c r="L567" s="160" t="s">
        <v>88</v>
      </c>
      <c r="M567" s="162" t="str">
        <f t="array" ref="M567">IFNA(XLOOKUP(L567,'⚙️ Pengaturan'!$H$5:$H658,'⚙️ Pengaturan'!$I$5:$I658),"")</f>
        <v>TIM Y</v>
      </c>
      <c r="N567" s="163" t="s">
        <v>1137</v>
      </c>
      <c r="O567" s="160" t="s">
        <v>1139</v>
      </c>
      <c r="P567" s="153">
        <f t="shared" si="13"/>
        <v>4</v>
      </c>
      <c r="Q567" s="164">
        <v>45939.0</v>
      </c>
      <c r="R567" s="164">
        <v>45944.0</v>
      </c>
      <c r="S567" s="164">
        <v>45953.0</v>
      </c>
      <c r="T567" s="164">
        <v>45957.0</v>
      </c>
      <c r="U567" s="164"/>
      <c r="V567" s="164"/>
      <c r="W567" s="164"/>
      <c r="X567" s="164"/>
      <c r="Y567" s="164"/>
      <c r="Z567" s="164"/>
      <c r="AA567" s="165">
        <f t="shared" si="20"/>
        <v>45957</v>
      </c>
      <c r="AB567" s="160" t="s">
        <v>1144</v>
      </c>
      <c r="AC567" s="172"/>
      <c r="AD567" s="166"/>
      <c r="AE567" s="156" t="str">
        <f t="shared" si="21"/>
        <v/>
      </c>
      <c r="AF567" s="107" t="str">
        <f t="shared" si="22"/>
        <v/>
      </c>
      <c r="AG567" s="107" t="str">
        <f t="shared" si="23"/>
        <v/>
      </c>
      <c r="AH567" s="107" t="str">
        <f t="shared" si="24"/>
        <v/>
      </c>
      <c r="AI567" s="157">
        <f t="shared" si="25"/>
        <v>35</v>
      </c>
      <c r="AJ567" s="96"/>
      <c r="AK567" s="169"/>
      <c r="AL567" s="96"/>
      <c r="AM567" s="158">
        <f t="shared" si="12"/>
        <v>0</v>
      </c>
    </row>
    <row r="568" ht="22.5" customHeight="1">
      <c r="A568" s="167"/>
      <c r="B568" s="160" t="s">
        <v>54</v>
      </c>
      <c r="C568" s="160" t="s">
        <v>1131</v>
      </c>
      <c r="D568" s="161">
        <v>45833.0</v>
      </c>
      <c r="E568" s="124" t="str">
        <f t="shared" si="1"/>
        <v>2025</v>
      </c>
      <c r="F568" s="124" t="str">
        <f t="shared" si="2"/>
        <v>06 Jun</v>
      </c>
      <c r="G568" s="124" t="str">
        <f t="shared" si="3"/>
        <v>Rabu</v>
      </c>
      <c r="H568" s="160" t="s">
        <v>1431</v>
      </c>
      <c r="I568" s="125" t="str">
        <f t="array" ref="I568">IFNA(XLOOKUP($H568,'🙎‍♂️ Pasien'!$G$7:$G658,'🙎‍♂️ Pasien'!$H$7:$H658),"")</f>
        <v>S7523014141</v>
      </c>
      <c r="J568" s="125" t="str">
        <f t="array" ref="J568">IFNA(XLOOKUP($H568,'🙎‍♂️ Pasien'!$G$7:$G658,'🙎‍♂️ Pasien'!$L$7:$L658),"")</f>
        <v>PEREMPUAN</v>
      </c>
      <c r="K568" s="125">
        <f t="array" ref="K568">IFNA(XLOOKUP($H568,'🙎‍♂️ Pasien'!$G$7:$G658,'🙎‍♂️ Pasien'!$I$7:$I658),"")</f>
        <v>51</v>
      </c>
      <c r="L568" s="160" t="s">
        <v>1152</v>
      </c>
      <c r="M568" s="162" t="str">
        <f t="array" ref="M568">IFNA(XLOOKUP(L568,'⚙️ Pengaturan'!$H$5:$H658,'⚙️ Pengaturan'!$I$5:$I658),"")</f>
        <v>INAKTIF</v>
      </c>
      <c r="N568" s="163" t="s">
        <v>1132</v>
      </c>
      <c r="O568" s="160" t="s">
        <v>1133</v>
      </c>
      <c r="P568" s="153">
        <f t="shared" si="13"/>
        <v>5</v>
      </c>
      <c r="Q568" s="164">
        <v>45836.0</v>
      </c>
      <c r="R568" s="164">
        <v>45839.0</v>
      </c>
      <c r="S568" s="164">
        <v>45844.0</v>
      </c>
      <c r="T568" s="164">
        <v>45847.0</v>
      </c>
      <c r="U568" s="164">
        <v>45851.0</v>
      </c>
      <c r="V568" s="164"/>
      <c r="W568" s="164"/>
      <c r="X568" s="164"/>
      <c r="Y568" s="164"/>
      <c r="Z568" s="164"/>
      <c r="AA568" s="165">
        <f t="shared" si="20"/>
        <v>45851</v>
      </c>
      <c r="AB568" s="160" t="s">
        <v>1134</v>
      </c>
      <c r="AC568" s="160" t="s">
        <v>1138</v>
      </c>
      <c r="AD568" s="168" t="s">
        <v>1432</v>
      </c>
      <c r="AE568" s="156">
        <f t="shared" si="21"/>
        <v>45851</v>
      </c>
      <c r="AF568" s="107" t="str">
        <f t="shared" si="22"/>
        <v>2025</v>
      </c>
      <c r="AG568" s="107" t="str">
        <f t="shared" si="23"/>
        <v>07 Jul</v>
      </c>
      <c r="AH568" s="107" t="str">
        <f t="shared" si="24"/>
        <v>Min</v>
      </c>
      <c r="AI568" s="157">
        <f t="shared" si="25"/>
        <v>3</v>
      </c>
      <c r="AJ568" s="96"/>
      <c r="AK568" s="169"/>
      <c r="AL568" s="96"/>
      <c r="AM568" s="158">
        <f t="shared" si="12"/>
        <v>0</v>
      </c>
    </row>
    <row r="569" ht="22.5" customHeight="1">
      <c r="A569" s="167"/>
      <c r="B569" s="20"/>
      <c r="C569" s="20"/>
      <c r="D569" s="123">
        <v>45608.0</v>
      </c>
      <c r="E569" s="124" t="str">
        <f t="shared" si="1"/>
        <v>2024</v>
      </c>
      <c r="F569" s="124" t="str">
        <f t="shared" si="2"/>
        <v>11 Nov</v>
      </c>
      <c r="G569" s="124" t="str">
        <f t="shared" si="3"/>
        <v>Selasa</v>
      </c>
      <c r="H569" s="16" t="s">
        <v>1433</v>
      </c>
      <c r="I569" s="125" t="str">
        <f t="array" ref="I569">IFNA(XLOOKUP($H569,'🙎‍♂️ Pasien'!$G$7:$G658,'🙎‍♂️ Pasien'!$H$7:$H658),"")</f>
        <v>S9824025681</v>
      </c>
      <c r="J569" s="125" t="str">
        <f t="array" ref="J569">IFNA(XLOOKUP($H569,'🙎‍♂️ Pasien'!$G$7:$G658,'🙎‍♂️ Pasien'!$L$7:$L658),"")</f>
        <v>LAKI-LAKI</v>
      </c>
      <c r="K569" s="125">
        <f t="array" ref="K569">IFNA(XLOOKUP($H569,'🙎‍♂️ Pasien'!$G$7:$G658,'🙎‍♂️ Pasien'!$I$7:$I658),"")</f>
        <v>28</v>
      </c>
      <c r="L569" s="16" t="s">
        <v>1152</v>
      </c>
      <c r="M569" s="125" t="str">
        <f t="array" ref="M569">IFNA(XLOOKUP(L569,'⚙️ Pengaturan'!$H$5:$H658,'⚙️ Pengaturan'!$I$5:$I658),"")</f>
        <v>INAKTIF</v>
      </c>
      <c r="N569" s="16" t="s">
        <v>1132</v>
      </c>
      <c r="O569" s="16" t="s">
        <v>1133</v>
      </c>
      <c r="P569" s="153">
        <f t="shared" si="13"/>
        <v>2</v>
      </c>
      <c r="Q569" s="154">
        <v>45612.0</v>
      </c>
      <c r="R569" s="154">
        <v>45615.0</v>
      </c>
      <c r="S569" s="154"/>
      <c r="T569" s="154"/>
      <c r="U569" s="154"/>
      <c r="V569" s="154"/>
      <c r="W569" s="154"/>
      <c r="X569" s="154"/>
      <c r="Y569" s="154"/>
      <c r="Z569" s="154"/>
      <c r="AA569" s="155">
        <f t="shared" si="20"/>
        <v>45615</v>
      </c>
      <c r="AB569" s="16" t="s">
        <v>1144</v>
      </c>
      <c r="AC569" s="20"/>
      <c r="AD569" s="170"/>
      <c r="AE569" s="156" t="str">
        <f t="shared" si="21"/>
        <v/>
      </c>
      <c r="AF569" s="107" t="str">
        <f t="shared" si="22"/>
        <v/>
      </c>
      <c r="AG569" s="107" t="str">
        <f t="shared" si="23"/>
        <v/>
      </c>
      <c r="AH569" s="107" t="str">
        <f t="shared" si="24"/>
        <v/>
      </c>
      <c r="AI569" s="157">
        <f t="shared" si="25"/>
        <v>82</v>
      </c>
      <c r="AJ569" s="96"/>
      <c r="AK569" s="169"/>
      <c r="AL569" s="96"/>
      <c r="AM569" s="158">
        <f t="shared" si="12"/>
        <v>0</v>
      </c>
    </row>
    <row r="570" ht="22.5" customHeight="1">
      <c r="A570" s="167"/>
      <c r="B570" s="160" t="s">
        <v>54</v>
      </c>
      <c r="C570" s="160" t="s">
        <v>1131</v>
      </c>
      <c r="D570" s="123">
        <v>45915.0</v>
      </c>
      <c r="E570" s="124" t="str">
        <f t="shared" si="1"/>
        <v>2025</v>
      </c>
      <c r="F570" s="124" t="str">
        <f t="shared" si="2"/>
        <v>09 Sep</v>
      </c>
      <c r="G570" s="124" t="str">
        <f t="shared" si="3"/>
        <v>Senin</v>
      </c>
      <c r="H570" s="16" t="s">
        <v>1434</v>
      </c>
      <c r="I570" s="125" t="str">
        <f t="array" ref="I570">IFNA(XLOOKUP($H570,'🙎‍♂️ Pasien'!$G$7:$G658,'🙎‍♂️ Pasien'!$H$7:$H658),"")</f>
        <v>S8125033417</v>
      </c>
      <c r="J570" s="125" t="str">
        <f t="array" ref="J570">IFNA(XLOOKUP($H570,'🙎‍♂️ Pasien'!$G$7:$G658,'🙎‍♂️ Pasien'!$L$7:$L658),"")</f>
        <v>PEREMPUAN</v>
      </c>
      <c r="K570" s="125">
        <f t="array" ref="K570">IFNA(XLOOKUP($H570,'🙎‍♂️ Pasien'!$G$7:$G658,'🙎‍♂️ Pasien'!$I$7:$I658),"")</f>
        <v>44</v>
      </c>
      <c r="L570" s="160" t="s">
        <v>107</v>
      </c>
      <c r="M570" s="162" t="str">
        <f t="array" ref="M570">IFNA(XLOOKUP(L570,'⚙️ Pengaturan'!$H$5:$H658,'⚙️ Pengaturan'!$I$5:$I658),"")</f>
        <v>TIM Y</v>
      </c>
      <c r="N570" s="163" t="s">
        <v>1132</v>
      </c>
      <c r="O570" s="160" t="s">
        <v>1139</v>
      </c>
      <c r="P570" s="153">
        <f t="shared" si="13"/>
        <v>5</v>
      </c>
      <c r="Q570" s="164">
        <v>45915.0</v>
      </c>
      <c r="R570" s="164">
        <v>45916.0</v>
      </c>
      <c r="S570" s="164">
        <v>45917.0</v>
      </c>
      <c r="T570" s="164">
        <v>45918.0</v>
      </c>
      <c r="U570" s="164">
        <v>45919.0</v>
      </c>
      <c r="V570" s="164"/>
      <c r="W570" s="164"/>
      <c r="X570" s="164"/>
      <c r="Y570" s="164"/>
      <c r="Z570" s="164"/>
      <c r="AA570" s="165">
        <f t="shared" si="20"/>
        <v>45919</v>
      </c>
      <c r="AB570" s="160" t="s">
        <v>1134</v>
      </c>
      <c r="AC570" s="160" t="s">
        <v>1135</v>
      </c>
      <c r="AD570" s="168" t="s">
        <v>1386</v>
      </c>
      <c r="AE570" s="156">
        <f t="shared" si="21"/>
        <v>45919</v>
      </c>
      <c r="AF570" s="107" t="str">
        <f t="shared" si="22"/>
        <v>2025</v>
      </c>
      <c r="AG570" s="107" t="str">
        <f t="shared" si="23"/>
        <v>09 Sep</v>
      </c>
      <c r="AH570" s="107" t="str">
        <f t="shared" si="24"/>
        <v>Jum</v>
      </c>
      <c r="AI570" s="157">
        <f t="shared" si="25"/>
        <v>1</v>
      </c>
      <c r="AJ570" s="96"/>
      <c r="AK570" s="169"/>
      <c r="AL570" s="96"/>
      <c r="AM570" s="158">
        <f t="shared" si="12"/>
        <v>0</v>
      </c>
    </row>
    <row r="571" ht="22.5" customHeight="1">
      <c r="A571" s="167"/>
      <c r="B571" s="20"/>
      <c r="C571" s="20"/>
      <c r="D571" s="123">
        <v>45617.0</v>
      </c>
      <c r="E571" s="124" t="str">
        <f t="shared" si="1"/>
        <v>2024</v>
      </c>
      <c r="F571" s="124" t="str">
        <f t="shared" si="2"/>
        <v>11 Nov</v>
      </c>
      <c r="G571" s="124" t="str">
        <f t="shared" si="3"/>
        <v>Kamis</v>
      </c>
      <c r="H571" s="16" t="s">
        <v>1435</v>
      </c>
      <c r="I571" s="125" t="str">
        <f t="array" ref="I571">IFNA(XLOOKUP($H571,'🙎‍♂️ Pasien'!$G$7:$G658,'🙎‍♂️ Pasien'!$H$7:$H658),"")</f>
        <v>S8624110878</v>
      </c>
      <c r="J571" s="125" t="str">
        <f t="array" ref="J571">IFNA(XLOOKUP($H571,'🙎‍♂️ Pasien'!$G$7:$G658,'🙎‍♂️ Pasien'!$L$7:$L658),"")</f>
        <v>LAKI-LAKI</v>
      </c>
      <c r="K571" s="125">
        <f t="array" ref="K571">IFNA(XLOOKUP($H571,'🙎‍♂️ Pasien'!$G$7:$G658,'🙎‍♂️ Pasien'!$I$7:$I658),"")</f>
        <v>40</v>
      </c>
      <c r="L571" s="16" t="s">
        <v>1149</v>
      </c>
      <c r="M571" s="125" t="str">
        <f t="array" ref="M571">IFNA(XLOOKUP(L571,'⚙️ Pengaturan'!$H$5:$H658,'⚙️ Pengaturan'!$I$5:$I658),"")</f>
        <v/>
      </c>
      <c r="N571" s="16" t="s">
        <v>1132</v>
      </c>
      <c r="O571" s="16" t="s">
        <v>1133</v>
      </c>
      <c r="P571" s="153">
        <f t="shared" si="13"/>
        <v>0</v>
      </c>
      <c r="Q571" s="154"/>
      <c r="R571" s="154"/>
      <c r="S571" s="154"/>
      <c r="T571" s="154"/>
      <c r="U571" s="154"/>
      <c r="V571" s="154"/>
      <c r="W571" s="154"/>
      <c r="X571" s="154"/>
      <c r="Y571" s="154"/>
      <c r="Z571" s="154"/>
      <c r="AA571" s="155">
        <f t="shared" si="20"/>
        <v>45617</v>
      </c>
      <c r="AB571" s="16" t="s">
        <v>1144</v>
      </c>
      <c r="AC571" s="20"/>
      <c r="AD571" s="170"/>
      <c r="AE571" s="156" t="str">
        <f t="shared" si="21"/>
        <v/>
      </c>
      <c r="AF571" s="107" t="str">
        <f t="shared" si="22"/>
        <v/>
      </c>
      <c r="AG571" s="107" t="str">
        <f t="shared" si="23"/>
        <v/>
      </c>
      <c r="AH571" s="107" t="str">
        <f t="shared" si="24"/>
        <v/>
      </c>
      <c r="AI571" s="157" t="str">
        <f t="shared" si="25"/>
        <v/>
      </c>
      <c r="AJ571" s="96"/>
      <c r="AK571" s="169"/>
      <c r="AL571" s="96"/>
      <c r="AM571" s="158">
        <f t="shared" si="12"/>
        <v>0</v>
      </c>
    </row>
    <row r="572" ht="22.5" customHeight="1">
      <c r="A572" s="167"/>
      <c r="B572" s="16" t="s">
        <v>86</v>
      </c>
      <c r="C572" s="16" t="s">
        <v>1131</v>
      </c>
      <c r="D572" s="123">
        <v>46020.0</v>
      </c>
      <c r="E572" s="124" t="str">
        <f t="shared" si="1"/>
        <v>2025</v>
      </c>
      <c r="F572" s="124" t="str">
        <f t="shared" si="2"/>
        <v>12 Des</v>
      </c>
      <c r="G572" s="124" t="str">
        <f t="shared" si="3"/>
        <v>Senin</v>
      </c>
      <c r="H572" s="16" t="s">
        <v>792</v>
      </c>
      <c r="I572" s="125" t="str">
        <f t="array" ref="I572">IFNA(XLOOKUP($H572,'🙎‍♂️ Pasien'!$G$7:$G658,'🙎‍♂️ Pasien'!$H$7:$H658),"")</f>
        <v>S7723054038</v>
      </c>
      <c r="J572" s="125" t="str">
        <f t="array" ref="J572">IFNA(XLOOKUP($H572,'🙎‍♂️ Pasien'!$G$7:$G658,'🙎‍♂️ Pasien'!$L$7:$L658),"")</f>
        <v>PEREMPUAN</v>
      </c>
      <c r="K572" s="125">
        <f t="array" ref="K572">IFNA(XLOOKUP($H572,'🙎‍♂️ Pasien'!$G$7:$G658,'🙎‍♂️ Pasien'!$I$7:$I658),"")</f>
        <v>49</v>
      </c>
      <c r="L572" s="16" t="s">
        <v>72</v>
      </c>
      <c r="M572" s="125" t="str">
        <f t="array" ref="M572">IFNA(XLOOKUP(L572,'⚙️ Pengaturan'!$H$5:$H658,'⚙️ Pengaturan'!$I$5:$I658),"")</f>
        <v>TIM A</v>
      </c>
      <c r="N572" s="16" t="s">
        <v>1132</v>
      </c>
      <c r="O572" s="16" t="s">
        <v>1133</v>
      </c>
      <c r="P572" s="153">
        <f t="shared" si="13"/>
        <v>1</v>
      </c>
      <c r="Q572" s="154">
        <v>46020.0</v>
      </c>
      <c r="R572" s="154"/>
      <c r="S572" s="154"/>
      <c r="T572" s="154"/>
      <c r="U572" s="154"/>
      <c r="V572" s="154"/>
      <c r="W572" s="154"/>
      <c r="X572" s="154"/>
      <c r="Y572" s="154"/>
      <c r="Z572" s="154"/>
      <c r="AA572" s="155">
        <f t="shared" si="20"/>
        <v>46020</v>
      </c>
      <c r="AB572" s="16" t="s">
        <v>1144</v>
      </c>
      <c r="AC572" s="20"/>
      <c r="AD572" s="170"/>
      <c r="AE572" s="156" t="str">
        <f t="shared" si="21"/>
        <v/>
      </c>
      <c r="AF572" s="107" t="str">
        <f t="shared" si="22"/>
        <v/>
      </c>
      <c r="AG572" s="107" t="str">
        <f t="shared" si="23"/>
        <v/>
      </c>
      <c r="AH572" s="107" t="str">
        <f t="shared" si="24"/>
        <v/>
      </c>
      <c r="AI572" s="157">
        <f t="shared" si="25"/>
        <v>24</v>
      </c>
      <c r="AJ572" s="96"/>
      <c r="AK572" s="169"/>
      <c r="AL572" s="96"/>
      <c r="AM572" s="158">
        <f t="shared" si="12"/>
        <v>0</v>
      </c>
    </row>
    <row r="573" ht="22.5" customHeight="1">
      <c r="A573" s="167"/>
      <c r="B573" s="160" t="s">
        <v>54</v>
      </c>
      <c r="C573" s="160" t="s">
        <v>1170</v>
      </c>
      <c r="D573" s="161">
        <v>45978.0</v>
      </c>
      <c r="E573" s="124" t="str">
        <f t="shared" si="1"/>
        <v>2025</v>
      </c>
      <c r="F573" s="124" t="str">
        <f t="shared" si="2"/>
        <v>11 Nov</v>
      </c>
      <c r="G573" s="124" t="str">
        <f t="shared" si="3"/>
        <v>Senin</v>
      </c>
      <c r="H573" s="160" t="s">
        <v>503</v>
      </c>
      <c r="I573" s="125" t="str">
        <f t="array" ref="I573">IFNA(XLOOKUP($H573,'🙎‍♂️ Pasien'!$G$7:$G658,'🙎‍♂️ Pasien'!$H$7:$H658),"")</f>
        <v/>
      </c>
      <c r="J573" s="125" t="str">
        <f t="array" ref="J573">IFNA(XLOOKUP($H573,'🙎‍♂️ Pasien'!$G$7:$G658,'🙎‍♂️ Pasien'!$L$7:$L658),"")</f>
        <v/>
      </c>
      <c r="K573" s="125" t="str">
        <f t="array" ref="K573">IFNA(XLOOKUP($H573,'🙎‍♂️ Pasien'!$G$7:$G658,'🙎‍♂️ Pasien'!$I$7:$I658),"")</f>
        <v/>
      </c>
      <c r="L573" s="160" t="s">
        <v>101</v>
      </c>
      <c r="M573" s="162" t="str">
        <f t="array" ref="M573">IFNA(XLOOKUP(L573,'⚙️ Pengaturan'!$H$5:$H658,'⚙️ Pengaturan'!$I$5:$I658),"")</f>
        <v>MANAJEMEN</v>
      </c>
      <c r="N573" s="160" t="s">
        <v>1132</v>
      </c>
      <c r="O573" s="160" t="s">
        <v>1133</v>
      </c>
      <c r="P573" s="153">
        <f t="shared" si="13"/>
        <v>5</v>
      </c>
      <c r="Q573" s="164">
        <v>45978.0</v>
      </c>
      <c r="R573" s="164">
        <v>45988.0</v>
      </c>
      <c r="S573" s="164">
        <v>45992.0</v>
      </c>
      <c r="T573" s="164">
        <v>45999.0</v>
      </c>
      <c r="U573" s="164">
        <v>46007.0</v>
      </c>
      <c r="V573" s="164"/>
      <c r="W573" s="164"/>
      <c r="X573" s="164"/>
      <c r="Y573" s="164"/>
      <c r="Z573" s="164"/>
      <c r="AA573" s="165">
        <f t="shared" si="20"/>
        <v>46007</v>
      </c>
      <c r="AB573" s="160" t="s">
        <v>1134</v>
      </c>
      <c r="AC573" s="160" t="s">
        <v>1135</v>
      </c>
      <c r="AD573" s="168" t="s">
        <v>1436</v>
      </c>
      <c r="AE573" s="156">
        <f t="shared" si="21"/>
        <v>46007</v>
      </c>
      <c r="AF573" s="107" t="str">
        <f t="shared" si="22"/>
        <v>2025</v>
      </c>
      <c r="AG573" s="107" t="str">
        <f t="shared" si="23"/>
        <v>12 Des</v>
      </c>
      <c r="AH573" s="107" t="str">
        <f t="shared" si="24"/>
        <v>Sel</v>
      </c>
      <c r="AI573" s="157">
        <f t="shared" si="25"/>
        <v>5</v>
      </c>
      <c r="AJ573" s="96"/>
      <c r="AK573" s="169"/>
      <c r="AL573" s="96"/>
      <c r="AM573" s="158">
        <f t="shared" si="12"/>
        <v>0</v>
      </c>
    </row>
    <row r="574" ht="22.5" customHeight="1">
      <c r="A574" s="167"/>
      <c r="B574" s="16" t="s">
        <v>86</v>
      </c>
      <c r="C574" s="16" t="s">
        <v>1131</v>
      </c>
      <c r="D574" s="123">
        <v>45929.0</v>
      </c>
      <c r="E574" s="124" t="str">
        <f t="shared" si="1"/>
        <v>2025</v>
      </c>
      <c r="F574" s="124" t="str">
        <f t="shared" si="2"/>
        <v>09 Sep</v>
      </c>
      <c r="G574" s="124" t="str">
        <f t="shared" si="3"/>
        <v>Senin</v>
      </c>
      <c r="H574" s="16" t="s">
        <v>112</v>
      </c>
      <c r="I574" s="125" t="str">
        <f t="array" ref="I574">IFNA(XLOOKUP($H574,'🙎‍♂️ Pasien'!$G$7:$G658,'🙎‍♂️ Pasien'!$H$7:$H658),"")</f>
        <v>S7125096750</v>
      </c>
      <c r="J574" s="125" t="str">
        <f t="array" ref="J574">IFNA(XLOOKUP($H574,'🙎‍♂️ Pasien'!$G$7:$G658,'🙎‍♂️ Pasien'!$L$7:$L658),"")</f>
        <v>LAKI-LAKI</v>
      </c>
      <c r="K574" s="125">
        <f t="array" ref="K574">IFNA(XLOOKUP($H574,'🙎‍♂️ Pasien'!$G$7:$G658,'🙎‍♂️ Pasien'!$I$7:$I658),"")</f>
        <v>55</v>
      </c>
      <c r="L574" s="16" t="s">
        <v>88</v>
      </c>
      <c r="M574" s="125" t="str">
        <f t="array" ref="M574">IFNA(XLOOKUP(L574,'⚙️ Pengaturan'!$H$5:$H658,'⚙️ Pengaturan'!$I$5:$I658),"")</f>
        <v>TIM Y</v>
      </c>
      <c r="N574" s="16" t="s">
        <v>1132</v>
      </c>
      <c r="O574" s="16" t="s">
        <v>1133</v>
      </c>
      <c r="P574" s="153">
        <f t="shared" si="13"/>
        <v>3</v>
      </c>
      <c r="Q574" s="154">
        <v>45929.0</v>
      </c>
      <c r="R574" s="154">
        <v>45931.0</v>
      </c>
      <c r="S574" s="154">
        <v>45932.0</v>
      </c>
      <c r="T574" s="154"/>
      <c r="U574" s="154"/>
      <c r="V574" s="154"/>
      <c r="W574" s="154"/>
      <c r="X574" s="154"/>
      <c r="Y574" s="154"/>
      <c r="Z574" s="154"/>
      <c r="AA574" s="155">
        <f t="shared" si="20"/>
        <v>45932</v>
      </c>
      <c r="AB574" s="16" t="s">
        <v>1144</v>
      </c>
      <c r="AC574" s="20"/>
      <c r="AD574" s="170"/>
      <c r="AE574" s="156" t="str">
        <f t="shared" si="21"/>
        <v/>
      </c>
      <c r="AF574" s="107" t="str">
        <f t="shared" si="22"/>
        <v/>
      </c>
      <c r="AG574" s="107" t="str">
        <f t="shared" si="23"/>
        <v/>
      </c>
      <c r="AH574" s="107" t="str">
        <f t="shared" si="24"/>
        <v/>
      </c>
      <c r="AI574" s="157">
        <f t="shared" si="25"/>
        <v>37</v>
      </c>
      <c r="AJ574" s="96"/>
      <c r="AK574" s="169"/>
      <c r="AL574" s="96"/>
      <c r="AM574" s="158">
        <f t="shared" si="12"/>
        <v>0</v>
      </c>
    </row>
    <row r="575" ht="22.5" customHeight="1">
      <c r="A575" s="167"/>
      <c r="B575" s="16" t="s">
        <v>86</v>
      </c>
      <c r="C575" s="16" t="s">
        <v>1170</v>
      </c>
      <c r="D575" s="123">
        <v>45925.0</v>
      </c>
      <c r="E575" s="124" t="str">
        <f t="shared" si="1"/>
        <v>2025</v>
      </c>
      <c r="F575" s="124" t="str">
        <f t="shared" si="2"/>
        <v>09 Sep</v>
      </c>
      <c r="G575" s="124" t="str">
        <f t="shared" si="3"/>
        <v>Kamis</v>
      </c>
      <c r="H575" s="16" t="s">
        <v>1437</v>
      </c>
      <c r="I575" s="125" t="str">
        <f t="array" ref="I575">IFNA(XLOOKUP($H575,'🙎‍♂️ Pasien'!$G$7:$G658,'🙎‍♂️ Pasien'!$H$7:$H658),"")</f>
        <v>S9725092033</v>
      </c>
      <c r="J575" s="125" t="str">
        <f t="array" ref="J575">IFNA(XLOOKUP($H575,'🙎‍♂️ Pasien'!$G$7:$G658,'🙎‍♂️ Pasien'!$L$7:$L658),"")</f>
        <v>LAKI-LAKI</v>
      </c>
      <c r="K575" s="125">
        <f t="array" ref="K575">IFNA(XLOOKUP($H575,'🙎‍♂️ Pasien'!$G$7:$G658,'🙎‍♂️ Pasien'!$I$7:$I658),"")</f>
        <v>29</v>
      </c>
      <c r="L575" s="16" t="s">
        <v>91</v>
      </c>
      <c r="M575" s="125" t="str">
        <f t="array" ref="M575">IFNA(XLOOKUP(L575,'⚙️ Pengaturan'!$H$5:$H658,'⚙️ Pengaturan'!$I$5:$I658),"")</f>
        <v>TIM Y</v>
      </c>
      <c r="N575" s="16" t="s">
        <v>1132</v>
      </c>
      <c r="O575" s="16" t="s">
        <v>1133</v>
      </c>
      <c r="P575" s="153">
        <f t="shared" si="13"/>
        <v>1</v>
      </c>
      <c r="Q575" s="154">
        <v>45925.0</v>
      </c>
      <c r="R575" s="154"/>
      <c r="S575" s="154"/>
      <c r="T575" s="154"/>
      <c r="U575" s="154"/>
      <c r="V575" s="154"/>
      <c r="W575" s="154"/>
      <c r="X575" s="154"/>
      <c r="Y575" s="154"/>
      <c r="Z575" s="154"/>
      <c r="AA575" s="155">
        <f t="shared" si="20"/>
        <v>45925</v>
      </c>
      <c r="AB575" s="16" t="s">
        <v>1144</v>
      </c>
      <c r="AC575" s="20"/>
      <c r="AD575" s="170"/>
      <c r="AE575" s="156" t="str">
        <f t="shared" si="21"/>
        <v/>
      </c>
      <c r="AF575" s="107" t="str">
        <f t="shared" si="22"/>
        <v/>
      </c>
      <c r="AG575" s="107" t="str">
        <f t="shared" si="23"/>
        <v/>
      </c>
      <c r="AH575" s="107" t="str">
        <f t="shared" si="24"/>
        <v/>
      </c>
      <c r="AI575" s="157">
        <f t="shared" si="25"/>
        <v>37</v>
      </c>
      <c r="AJ575" s="96"/>
      <c r="AK575" s="169"/>
      <c r="AL575" s="96"/>
      <c r="AM575" s="158">
        <f t="shared" si="12"/>
        <v>0</v>
      </c>
    </row>
    <row r="576" ht="22.5" customHeight="1">
      <c r="A576" s="167"/>
      <c r="B576" s="160" t="s">
        <v>86</v>
      </c>
      <c r="C576" s="160" t="s">
        <v>1131</v>
      </c>
      <c r="D576" s="161">
        <v>45820.0</v>
      </c>
      <c r="E576" s="124" t="str">
        <f t="shared" si="1"/>
        <v>2025</v>
      </c>
      <c r="F576" s="124" t="str">
        <f t="shared" si="2"/>
        <v>06 Jun</v>
      </c>
      <c r="G576" s="124" t="str">
        <f t="shared" si="3"/>
        <v>Kamis</v>
      </c>
      <c r="H576" s="160" t="s">
        <v>557</v>
      </c>
      <c r="I576" s="125" t="str">
        <f t="array" ref="I576">IFNA(XLOOKUP($H576,'🙎‍♂️ Pasien'!$G$7:$G658,'🙎‍♂️ Pasien'!$H$7:$H658),"")</f>
        <v>S1223087980</v>
      </c>
      <c r="J576" s="125" t="str">
        <f t="array" ref="J576">IFNA(XLOOKUP($H576,'🙎‍♂️ Pasien'!$G$7:$G658,'🙎‍♂️ Pasien'!$L$7:$L658),"")</f>
        <v>LAKI-LAKI</v>
      </c>
      <c r="K576" s="125">
        <f t="array" ref="K576">IFNA(XLOOKUP($H576,'🙎‍♂️ Pasien'!$G$7:$G658,'🙎‍♂️ Pasien'!$I$7:$I658),"")</f>
        <v>14</v>
      </c>
      <c r="L576" s="160" t="s">
        <v>1152</v>
      </c>
      <c r="M576" s="162" t="str">
        <f t="array" ref="M576">IFNA(XLOOKUP(L576,'⚙️ Pengaturan'!$H$5:$H658,'⚙️ Pengaturan'!$I$5:$I658),"")</f>
        <v>INAKTIF</v>
      </c>
      <c r="N576" s="163" t="s">
        <v>1132</v>
      </c>
      <c r="O576" s="160" t="s">
        <v>1139</v>
      </c>
      <c r="P576" s="153">
        <f t="shared" si="13"/>
        <v>5</v>
      </c>
      <c r="Q576" s="164">
        <v>45820.0</v>
      </c>
      <c r="R576" s="164">
        <v>45825.0</v>
      </c>
      <c r="S576" s="164">
        <v>45832.0</v>
      </c>
      <c r="T576" s="164">
        <v>45834.0</v>
      </c>
      <c r="U576" s="164">
        <v>45839.0</v>
      </c>
      <c r="V576" s="164"/>
      <c r="W576" s="164"/>
      <c r="X576" s="164"/>
      <c r="Y576" s="164"/>
      <c r="Z576" s="164"/>
      <c r="AA576" s="165">
        <f t="shared" si="20"/>
        <v>45839</v>
      </c>
      <c r="AB576" s="160" t="s">
        <v>1134</v>
      </c>
      <c r="AC576" s="160" t="s">
        <v>1138</v>
      </c>
      <c r="AD576" s="166"/>
      <c r="AE576" s="156">
        <f t="shared" si="21"/>
        <v>45839</v>
      </c>
      <c r="AF576" s="107" t="str">
        <f t="shared" si="22"/>
        <v>2025</v>
      </c>
      <c r="AG576" s="107" t="str">
        <f t="shared" si="23"/>
        <v>07 Jul</v>
      </c>
      <c r="AH576" s="107" t="str">
        <f t="shared" si="24"/>
        <v>Sel</v>
      </c>
      <c r="AI576" s="157">
        <f t="shared" si="25"/>
        <v>3</v>
      </c>
      <c r="AJ576" s="96"/>
      <c r="AK576" s="169"/>
      <c r="AL576" s="96"/>
      <c r="AM576" s="158">
        <f t="shared" si="12"/>
        <v>0</v>
      </c>
    </row>
    <row r="577" ht="22.5" customHeight="1">
      <c r="A577" s="167"/>
      <c r="B577" s="160" t="s">
        <v>86</v>
      </c>
      <c r="C577" s="160" t="s">
        <v>1131</v>
      </c>
      <c r="D577" s="161">
        <v>45843.0</v>
      </c>
      <c r="E577" s="124" t="str">
        <f t="shared" si="1"/>
        <v>2025</v>
      </c>
      <c r="F577" s="124" t="str">
        <f t="shared" si="2"/>
        <v>07 Jul</v>
      </c>
      <c r="G577" s="124" t="str">
        <f t="shared" si="3"/>
        <v>Sabtu</v>
      </c>
      <c r="H577" s="160" t="s">
        <v>557</v>
      </c>
      <c r="I577" s="125" t="str">
        <f t="array" ref="I577">IFNA(XLOOKUP($H577,'🙎‍♂️ Pasien'!$G$7:$G658,'🙎‍♂️ Pasien'!$H$7:$H658),"")</f>
        <v>S1223087980</v>
      </c>
      <c r="J577" s="125" t="str">
        <f t="array" ref="J577">IFNA(XLOOKUP($H577,'🙎‍♂️ Pasien'!$G$7:$G658,'🙎‍♂️ Pasien'!$L$7:$L658),"")</f>
        <v>LAKI-LAKI</v>
      </c>
      <c r="K577" s="125">
        <f t="array" ref="K577">IFNA(XLOOKUP($H577,'🙎‍♂️ Pasien'!$G$7:$G658,'🙎‍♂️ Pasien'!$I$7:$I658),"")</f>
        <v>14</v>
      </c>
      <c r="L577" s="160" t="s">
        <v>62</v>
      </c>
      <c r="M577" s="162" t="str">
        <f t="array" ref="M577">IFNA(XLOOKUP(L577,'⚙️ Pengaturan'!$H$5:$H658,'⚙️ Pengaturan'!$I$5:$I658),"")</f>
        <v>TIM A</v>
      </c>
      <c r="N577" s="163" t="s">
        <v>1132</v>
      </c>
      <c r="O577" s="160" t="s">
        <v>1139</v>
      </c>
      <c r="P577" s="153">
        <f t="shared" si="13"/>
        <v>5</v>
      </c>
      <c r="Q577" s="164">
        <v>45839.0</v>
      </c>
      <c r="R577" s="164">
        <v>45843.0</v>
      </c>
      <c r="S577" s="164">
        <v>45846.0</v>
      </c>
      <c r="T577" s="164">
        <v>45848.0</v>
      </c>
      <c r="U577" s="164">
        <v>45852.0</v>
      </c>
      <c r="V577" s="164"/>
      <c r="W577" s="164"/>
      <c r="X577" s="164"/>
      <c r="Y577" s="164"/>
      <c r="Z577" s="164"/>
      <c r="AA577" s="165">
        <f t="shared" si="20"/>
        <v>45852</v>
      </c>
      <c r="AB577" s="160" t="s">
        <v>1134</v>
      </c>
      <c r="AC577" s="160" t="s">
        <v>1138</v>
      </c>
      <c r="AD577" s="166"/>
      <c r="AE577" s="156">
        <f t="shared" si="21"/>
        <v>45852</v>
      </c>
      <c r="AF577" s="107" t="str">
        <f t="shared" si="22"/>
        <v>2025</v>
      </c>
      <c r="AG577" s="107" t="str">
        <f t="shared" si="23"/>
        <v>07 Jul</v>
      </c>
      <c r="AH577" s="107" t="str">
        <f t="shared" si="24"/>
        <v>Sen</v>
      </c>
      <c r="AI577" s="157">
        <f t="shared" si="25"/>
        <v>2</v>
      </c>
      <c r="AJ577" s="96"/>
      <c r="AK577" s="169"/>
      <c r="AL577" s="96"/>
      <c r="AM577" s="158">
        <f t="shared" si="12"/>
        <v>0</v>
      </c>
    </row>
    <row r="578" ht="22.5" customHeight="1">
      <c r="A578" s="152"/>
      <c r="B578" s="160" t="s">
        <v>86</v>
      </c>
      <c r="C578" s="160" t="s">
        <v>1131</v>
      </c>
      <c r="D578" s="161">
        <v>45859.0</v>
      </c>
      <c r="E578" s="124" t="str">
        <f t="shared" si="1"/>
        <v>2025</v>
      </c>
      <c r="F578" s="124" t="str">
        <f t="shared" si="2"/>
        <v>07 Jul</v>
      </c>
      <c r="G578" s="124" t="str">
        <f t="shared" si="3"/>
        <v>Senin</v>
      </c>
      <c r="H578" s="160" t="s">
        <v>557</v>
      </c>
      <c r="I578" s="125" t="str">
        <f t="array" ref="I578">IFNA(XLOOKUP($H578,'🙎‍♂️ Pasien'!$G$7:$G658,'🙎‍♂️ Pasien'!$H$7:$H658),"")</f>
        <v>S1223087980</v>
      </c>
      <c r="J578" s="125" t="str">
        <f t="array" ref="J578">IFNA(XLOOKUP($H578,'🙎‍♂️ Pasien'!$G$7:$G658,'🙎‍♂️ Pasien'!$L$7:$L658),"")</f>
        <v>LAKI-LAKI</v>
      </c>
      <c r="K578" s="125">
        <f t="array" ref="K578">IFNA(XLOOKUP($H578,'🙎‍♂️ Pasien'!$G$7:$G658,'🙎‍♂️ Pasien'!$I$7:$I658),"")</f>
        <v>14</v>
      </c>
      <c r="L578" s="160" t="s">
        <v>1152</v>
      </c>
      <c r="M578" s="162" t="str">
        <f t="array" ref="M578">IFNA(XLOOKUP(L578,'⚙️ Pengaturan'!$H$5:$H658,'⚙️ Pengaturan'!$I$5:$I658),"")</f>
        <v>INAKTIF</v>
      </c>
      <c r="N578" s="163" t="s">
        <v>1132</v>
      </c>
      <c r="O578" s="160" t="s">
        <v>1139</v>
      </c>
      <c r="P578" s="153">
        <f t="shared" si="13"/>
        <v>5</v>
      </c>
      <c r="Q578" s="164">
        <v>45859.0</v>
      </c>
      <c r="R578" s="164">
        <v>45862.0</v>
      </c>
      <c r="S578" s="164">
        <v>45872.0</v>
      </c>
      <c r="T578" s="164">
        <v>45876.0</v>
      </c>
      <c r="U578" s="164">
        <v>45879.0</v>
      </c>
      <c r="V578" s="164"/>
      <c r="W578" s="164"/>
      <c r="X578" s="164"/>
      <c r="Y578" s="164"/>
      <c r="Z578" s="164"/>
      <c r="AA578" s="165">
        <f t="shared" si="20"/>
        <v>45879</v>
      </c>
      <c r="AB578" s="160" t="s">
        <v>1134</v>
      </c>
      <c r="AC578" s="160" t="s">
        <v>1138</v>
      </c>
      <c r="AD578" s="166"/>
      <c r="AE578" s="156">
        <f t="shared" si="21"/>
        <v>45879</v>
      </c>
      <c r="AF578" s="107" t="str">
        <f t="shared" si="22"/>
        <v>2025</v>
      </c>
      <c r="AG578" s="107" t="str">
        <f t="shared" si="23"/>
        <v>08 Agu</v>
      </c>
      <c r="AH578" s="107" t="str">
        <f t="shared" si="24"/>
        <v>Min</v>
      </c>
      <c r="AI578" s="157">
        <f t="shared" si="25"/>
        <v>3</v>
      </c>
      <c r="AJ578" s="158"/>
      <c r="AK578" s="159"/>
      <c r="AL578" s="158"/>
      <c r="AM578" s="158">
        <f t="shared" si="12"/>
        <v>0</v>
      </c>
    </row>
    <row r="579" ht="22.5" customHeight="1">
      <c r="A579" s="152"/>
      <c r="B579" s="160" t="s">
        <v>86</v>
      </c>
      <c r="C579" s="160" t="s">
        <v>1131</v>
      </c>
      <c r="D579" s="161">
        <v>45879.0</v>
      </c>
      <c r="E579" s="124" t="str">
        <f t="shared" si="1"/>
        <v>2025</v>
      </c>
      <c r="F579" s="124" t="str">
        <f t="shared" si="2"/>
        <v>08 Agu</v>
      </c>
      <c r="G579" s="124" t="str">
        <f t="shared" si="3"/>
        <v>Minggu</v>
      </c>
      <c r="H579" s="160" t="s">
        <v>557</v>
      </c>
      <c r="I579" s="125" t="str">
        <f t="array" ref="I579">IFNA(XLOOKUP($H579,'🙎‍♂️ Pasien'!$G$7:$G658,'🙎‍♂️ Pasien'!$H$7:$H658),"")</f>
        <v>S1223087980</v>
      </c>
      <c r="J579" s="125" t="str">
        <f t="array" ref="J579">IFNA(XLOOKUP($H579,'🙎‍♂️ Pasien'!$G$7:$G658,'🙎‍♂️ Pasien'!$L$7:$L658),"")</f>
        <v>LAKI-LAKI</v>
      </c>
      <c r="K579" s="125">
        <f t="array" ref="K579">IFNA(XLOOKUP($H579,'🙎‍♂️ Pasien'!$G$7:$G658,'🙎‍♂️ Pasien'!$I$7:$I658),"")</f>
        <v>14</v>
      </c>
      <c r="L579" s="160" t="s">
        <v>1152</v>
      </c>
      <c r="M579" s="162" t="str">
        <f t="array" ref="M579">IFNA(XLOOKUP(L579,'⚙️ Pengaturan'!$H$5:$H658,'⚙️ Pengaturan'!$I$5:$I658),"")</f>
        <v>INAKTIF</v>
      </c>
      <c r="N579" s="163" t="s">
        <v>1132</v>
      </c>
      <c r="O579" s="160" t="s">
        <v>1139</v>
      </c>
      <c r="P579" s="153">
        <f t="shared" si="13"/>
        <v>5</v>
      </c>
      <c r="Q579" s="164">
        <v>45888.0</v>
      </c>
      <c r="R579" s="164">
        <v>45896.0</v>
      </c>
      <c r="S579" s="164">
        <v>45899.0</v>
      </c>
      <c r="T579" s="164">
        <v>45911.0</v>
      </c>
      <c r="U579" s="164">
        <v>45914.0</v>
      </c>
      <c r="V579" s="164"/>
      <c r="W579" s="164"/>
      <c r="X579" s="164"/>
      <c r="Y579" s="164"/>
      <c r="Z579" s="164"/>
      <c r="AA579" s="165">
        <f t="shared" si="20"/>
        <v>45914</v>
      </c>
      <c r="AB579" s="160" t="s">
        <v>1134</v>
      </c>
      <c r="AC579" s="160" t="s">
        <v>1138</v>
      </c>
      <c r="AD579" s="166"/>
      <c r="AE579" s="156">
        <f t="shared" si="21"/>
        <v>45914</v>
      </c>
      <c r="AF579" s="107" t="str">
        <f t="shared" si="22"/>
        <v>2025</v>
      </c>
      <c r="AG579" s="107" t="str">
        <f t="shared" si="23"/>
        <v>09 Sep</v>
      </c>
      <c r="AH579" s="107" t="str">
        <f t="shared" si="24"/>
        <v>Min</v>
      </c>
      <c r="AI579" s="157">
        <f t="shared" si="25"/>
        <v>4</v>
      </c>
      <c r="AJ579" s="158"/>
      <c r="AK579" s="159"/>
      <c r="AL579" s="158"/>
      <c r="AM579" s="158">
        <f t="shared" si="12"/>
        <v>0</v>
      </c>
    </row>
    <row r="580" ht="22.5" customHeight="1">
      <c r="A580" s="152"/>
      <c r="B580" s="160" t="s">
        <v>86</v>
      </c>
      <c r="C580" s="160" t="s">
        <v>1131</v>
      </c>
      <c r="D580" s="161">
        <v>45986.0</v>
      </c>
      <c r="E580" s="124" t="str">
        <f t="shared" si="1"/>
        <v>2025</v>
      </c>
      <c r="F580" s="124" t="str">
        <f t="shared" si="2"/>
        <v>11 Nov</v>
      </c>
      <c r="G580" s="124" t="str">
        <f t="shared" si="3"/>
        <v>Selasa</v>
      </c>
      <c r="H580" s="160" t="s">
        <v>557</v>
      </c>
      <c r="I580" s="125" t="str">
        <f t="array" ref="I580">IFNA(XLOOKUP($H580,'🙎‍♂️ Pasien'!$G$7:$G658,'🙎‍♂️ Pasien'!$H$7:$H658),"")</f>
        <v>S1223087980</v>
      </c>
      <c r="J580" s="125" t="str">
        <f t="array" ref="J580">IFNA(XLOOKUP($H580,'🙎‍♂️ Pasien'!$G$7:$G658,'🙎‍♂️ Pasien'!$L$7:$L658),"")</f>
        <v>LAKI-LAKI</v>
      </c>
      <c r="K580" s="125">
        <f t="array" ref="K580">IFNA(XLOOKUP($H580,'🙎‍♂️ Pasien'!$G$7:$G658,'🙎‍♂️ Pasien'!$I$7:$I658),"")</f>
        <v>14</v>
      </c>
      <c r="L580" s="160" t="s">
        <v>62</v>
      </c>
      <c r="M580" s="162" t="str">
        <f t="array" ref="M580">IFNA(XLOOKUP(L580,'⚙️ Pengaturan'!$H$5:$H658,'⚙️ Pengaturan'!$I$5:$I658),"")</f>
        <v>TIM A</v>
      </c>
      <c r="N580" s="163" t="s">
        <v>1132</v>
      </c>
      <c r="O580" s="160" t="s">
        <v>1139</v>
      </c>
      <c r="P580" s="153">
        <f t="shared" si="13"/>
        <v>2</v>
      </c>
      <c r="Q580" s="164">
        <v>45986.0</v>
      </c>
      <c r="R580" s="164">
        <v>45990.0</v>
      </c>
      <c r="S580" s="164"/>
      <c r="T580" s="164"/>
      <c r="U580" s="164"/>
      <c r="V580" s="164"/>
      <c r="W580" s="164"/>
      <c r="X580" s="164"/>
      <c r="Y580" s="164"/>
      <c r="Z580" s="164"/>
      <c r="AA580" s="165">
        <f t="shared" si="20"/>
        <v>45990</v>
      </c>
      <c r="AB580" s="160" t="s">
        <v>1144</v>
      </c>
      <c r="AC580" s="172"/>
      <c r="AD580" s="166"/>
      <c r="AE580" s="156" t="str">
        <f t="shared" si="21"/>
        <v/>
      </c>
      <c r="AF580" s="107" t="str">
        <f t="shared" si="22"/>
        <v/>
      </c>
      <c r="AG580" s="107" t="str">
        <f t="shared" si="23"/>
        <v/>
      </c>
      <c r="AH580" s="107" t="str">
        <f t="shared" si="24"/>
        <v/>
      </c>
      <c r="AI580" s="157">
        <f t="shared" si="25"/>
        <v>28</v>
      </c>
      <c r="AJ580" s="158"/>
      <c r="AK580" s="159"/>
      <c r="AL580" s="158"/>
      <c r="AM580" s="158">
        <f t="shared" si="12"/>
        <v>0</v>
      </c>
    </row>
    <row r="581" ht="22.5" customHeight="1">
      <c r="A581" s="152"/>
      <c r="B581" s="160" t="s">
        <v>134</v>
      </c>
      <c r="C581" s="160" t="s">
        <v>1131</v>
      </c>
      <c r="D581" s="161">
        <v>45837.0</v>
      </c>
      <c r="E581" s="124" t="str">
        <f t="shared" si="1"/>
        <v>2025</v>
      </c>
      <c r="F581" s="124" t="str">
        <f t="shared" si="2"/>
        <v>06 Jun</v>
      </c>
      <c r="G581" s="124" t="str">
        <f t="shared" si="3"/>
        <v>Minggu</v>
      </c>
      <c r="H581" s="160" t="s">
        <v>1438</v>
      </c>
      <c r="I581" s="125" t="str">
        <f t="array" ref="I581">IFNA(XLOOKUP($H581,'🙎‍♂️ Pasien'!$G$7:$G658,'🙎‍♂️ Pasien'!$H$7:$H658),"")</f>
        <v>S9425063337</v>
      </c>
      <c r="J581" s="125" t="str">
        <f t="array" ref="J581">IFNA(XLOOKUP($H581,'🙎‍♂️ Pasien'!$G$7:$G658,'🙎‍♂️ Pasien'!$L$7:$L658),"")</f>
        <v>PEREMPUAN</v>
      </c>
      <c r="K581" s="125">
        <f t="array" ref="K581">IFNA(XLOOKUP($H581,'🙎‍♂️ Pasien'!$G$7:$G658,'🙎‍♂️ Pasien'!$I$7:$I658),"")</f>
        <v>32</v>
      </c>
      <c r="L581" s="160" t="s">
        <v>62</v>
      </c>
      <c r="M581" s="162" t="str">
        <f t="array" ref="M581">IFNA(XLOOKUP(L581,'⚙️ Pengaturan'!$H$5:$H658,'⚙️ Pengaturan'!$I$5:$I658),"")</f>
        <v>TIM A</v>
      </c>
      <c r="N581" s="163" t="s">
        <v>1132</v>
      </c>
      <c r="O581" s="160" t="s">
        <v>1133</v>
      </c>
      <c r="P581" s="153">
        <f t="shared" si="13"/>
        <v>5</v>
      </c>
      <c r="Q581" s="164">
        <v>45837.0</v>
      </c>
      <c r="R581" s="164">
        <v>45839.0</v>
      </c>
      <c r="S581" s="164">
        <v>45841.0</v>
      </c>
      <c r="T581" s="164">
        <v>45851.0</v>
      </c>
      <c r="U581" s="164">
        <v>45855.0</v>
      </c>
      <c r="V581" s="164"/>
      <c r="W581" s="164"/>
      <c r="X581" s="164"/>
      <c r="Y581" s="164"/>
      <c r="Z581" s="164"/>
      <c r="AA581" s="165">
        <f t="shared" si="20"/>
        <v>45855</v>
      </c>
      <c r="AB581" s="160" t="s">
        <v>1134</v>
      </c>
      <c r="AC581" s="160" t="s">
        <v>1138</v>
      </c>
      <c r="AD581" s="166"/>
      <c r="AE581" s="156">
        <f t="shared" si="21"/>
        <v>45855</v>
      </c>
      <c r="AF581" s="107" t="str">
        <f t="shared" si="22"/>
        <v>2025</v>
      </c>
      <c r="AG581" s="107" t="str">
        <f t="shared" si="23"/>
        <v>07 Jul</v>
      </c>
      <c r="AH581" s="107" t="str">
        <f t="shared" si="24"/>
        <v>Kam</v>
      </c>
      <c r="AI581" s="157">
        <f t="shared" si="25"/>
        <v>3</v>
      </c>
      <c r="AJ581" s="158"/>
      <c r="AK581" s="159"/>
      <c r="AL581" s="158"/>
      <c r="AM581" s="158">
        <f t="shared" si="12"/>
        <v>0</v>
      </c>
    </row>
    <row r="582" ht="22.5" customHeight="1">
      <c r="A582" s="152"/>
      <c r="B582" s="160" t="s">
        <v>54</v>
      </c>
      <c r="C582" s="160" t="s">
        <v>1131</v>
      </c>
      <c r="D582" s="161">
        <v>45834.0</v>
      </c>
      <c r="E582" s="124" t="str">
        <f t="shared" si="1"/>
        <v>2025</v>
      </c>
      <c r="F582" s="124" t="str">
        <f t="shared" si="2"/>
        <v>06 Jun</v>
      </c>
      <c r="G582" s="124" t="str">
        <f t="shared" si="3"/>
        <v>Kamis</v>
      </c>
      <c r="H582" s="160" t="s">
        <v>1439</v>
      </c>
      <c r="I582" s="125" t="str">
        <f t="array" ref="I582">IFNA(XLOOKUP($H582,'🙎‍♂️ Pasien'!$G$7:$G658,'🙎‍♂️ Pasien'!$H$7:$H658),"")</f>
        <v>S8325065820</v>
      </c>
      <c r="J582" s="125" t="str">
        <f t="array" ref="J582">IFNA(XLOOKUP($H582,'🙎‍♂️ Pasien'!$G$7:$G658,'🙎‍♂️ Pasien'!$L$7:$L658),"")</f>
        <v>PEREMPUAN</v>
      </c>
      <c r="K582" s="125">
        <f t="array" ref="K582">IFNA(XLOOKUP($H582,'🙎‍♂️ Pasien'!$G$7:$G658,'🙎‍♂️ Pasien'!$I$7:$I658),"")</f>
        <v>42</v>
      </c>
      <c r="L582" s="160" t="s">
        <v>91</v>
      </c>
      <c r="M582" s="162" t="str">
        <f t="array" ref="M582">IFNA(XLOOKUP(L582,'⚙️ Pengaturan'!$H$5:$H658,'⚙️ Pengaturan'!$I$5:$I658),"")</f>
        <v>TIM Y</v>
      </c>
      <c r="N582" s="163" t="s">
        <v>1132</v>
      </c>
      <c r="O582" s="160" t="s">
        <v>1133</v>
      </c>
      <c r="P582" s="153">
        <f t="shared" si="13"/>
        <v>5</v>
      </c>
      <c r="Q582" s="164">
        <v>45834.0</v>
      </c>
      <c r="R582" s="164">
        <v>45837.0</v>
      </c>
      <c r="S582" s="164">
        <v>45839.0</v>
      </c>
      <c r="T582" s="164">
        <v>45841.0</v>
      </c>
      <c r="U582" s="164">
        <v>45845.0</v>
      </c>
      <c r="V582" s="164"/>
      <c r="W582" s="164"/>
      <c r="X582" s="164"/>
      <c r="Y582" s="164"/>
      <c r="Z582" s="164"/>
      <c r="AA582" s="165">
        <f t="shared" si="20"/>
        <v>45845</v>
      </c>
      <c r="AB582" s="160" t="s">
        <v>1134</v>
      </c>
      <c r="AC582" s="160" t="s">
        <v>1142</v>
      </c>
      <c r="AD582" s="166"/>
      <c r="AE582" s="156">
        <f t="shared" si="21"/>
        <v>45845</v>
      </c>
      <c r="AF582" s="107" t="str">
        <f t="shared" si="22"/>
        <v>2025</v>
      </c>
      <c r="AG582" s="107" t="str">
        <f t="shared" si="23"/>
        <v>07 Jul</v>
      </c>
      <c r="AH582" s="107" t="str">
        <f t="shared" si="24"/>
        <v>Sen</v>
      </c>
      <c r="AI582" s="157">
        <f t="shared" si="25"/>
        <v>2</v>
      </c>
      <c r="AJ582" s="158"/>
      <c r="AK582" s="159"/>
      <c r="AL582" s="158"/>
      <c r="AM582" s="158">
        <f t="shared" si="12"/>
        <v>0</v>
      </c>
    </row>
    <row r="583" ht="22.5" customHeight="1">
      <c r="A583" s="167"/>
      <c r="B583" s="160" t="s">
        <v>446</v>
      </c>
      <c r="C583" s="172"/>
      <c r="D583" s="161">
        <v>45788.0</v>
      </c>
      <c r="E583" s="124" t="str">
        <f t="shared" si="1"/>
        <v>2025</v>
      </c>
      <c r="F583" s="124" t="str">
        <f t="shared" si="2"/>
        <v>05 Mei</v>
      </c>
      <c r="G583" s="124" t="str">
        <f t="shared" si="3"/>
        <v>Minggu</v>
      </c>
      <c r="H583" s="160" t="s">
        <v>1440</v>
      </c>
      <c r="I583" s="125" t="str">
        <f t="array" ref="I583">IFNA(XLOOKUP($H583,'🙎‍♂️ Pasien'!$G$7:$G658,'🙎‍♂️ Pasien'!$H$7:$H658),"")</f>
        <v>S6025038415</v>
      </c>
      <c r="J583" s="125" t="str">
        <f t="array" ref="J583">IFNA(XLOOKUP($H583,'🙎‍♂️ Pasien'!$G$7:$G658,'🙎‍♂️ Pasien'!$L$7:$L658),"")</f>
        <v>PEREMPUAN</v>
      </c>
      <c r="K583" s="125">
        <f t="array" ref="K583">IFNA(XLOOKUP($H583,'🙎‍♂️ Pasien'!$G$7:$G658,'🙎‍♂️ Pasien'!$I$7:$I658),"")</f>
        <v>66</v>
      </c>
      <c r="L583" s="160" t="s">
        <v>91</v>
      </c>
      <c r="M583" s="162" t="str">
        <f t="array" ref="M583">IFNA(XLOOKUP(L583,'⚙️ Pengaturan'!$H$5:$H658,'⚙️ Pengaturan'!$I$5:$I658),"")</f>
        <v>TIM Y</v>
      </c>
      <c r="N583" s="160" t="s">
        <v>1132</v>
      </c>
      <c r="O583" s="160" t="s">
        <v>1139</v>
      </c>
      <c r="P583" s="153">
        <f t="shared" si="13"/>
        <v>2</v>
      </c>
      <c r="Q583" s="164">
        <v>45788.0</v>
      </c>
      <c r="R583" s="164">
        <v>45804.0</v>
      </c>
      <c r="S583" s="164"/>
      <c r="T583" s="164"/>
      <c r="U583" s="164"/>
      <c r="V583" s="164"/>
      <c r="W583" s="164"/>
      <c r="X583" s="164"/>
      <c r="Y583" s="164"/>
      <c r="Z583" s="164"/>
      <c r="AA583" s="165">
        <f t="shared" si="20"/>
        <v>45804</v>
      </c>
      <c r="AB583" s="160" t="s">
        <v>1144</v>
      </c>
      <c r="AC583" s="174"/>
      <c r="AD583" s="166"/>
      <c r="AE583" s="156" t="str">
        <f t="shared" si="21"/>
        <v/>
      </c>
      <c r="AF583" s="107" t="str">
        <f t="shared" si="22"/>
        <v/>
      </c>
      <c r="AG583" s="107" t="str">
        <f t="shared" si="23"/>
        <v/>
      </c>
      <c r="AH583" s="107" t="str">
        <f t="shared" si="24"/>
        <v/>
      </c>
      <c r="AI583" s="157">
        <f t="shared" si="25"/>
        <v>57</v>
      </c>
      <c r="AJ583" s="96"/>
      <c r="AK583" s="169"/>
      <c r="AL583" s="96"/>
      <c r="AM583" s="158">
        <f t="shared" si="12"/>
        <v>0</v>
      </c>
    </row>
    <row r="584" ht="22.5" customHeight="1">
      <c r="A584" s="167"/>
      <c r="B584" s="20"/>
      <c r="C584" s="20"/>
      <c r="D584" s="123">
        <v>45608.0</v>
      </c>
      <c r="E584" s="124" t="str">
        <f t="shared" si="1"/>
        <v>2024</v>
      </c>
      <c r="F584" s="124" t="str">
        <f t="shared" si="2"/>
        <v>11 Nov</v>
      </c>
      <c r="G584" s="124" t="str">
        <f t="shared" si="3"/>
        <v>Selasa</v>
      </c>
      <c r="H584" s="16" t="s">
        <v>1441</v>
      </c>
      <c r="I584" s="125" t="str">
        <f t="array" ref="I584">IFNA(XLOOKUP($H584,'🙎‍♂️ Pasien'!$G$7:$G658,'🙎‍♂️ Pasien'!$H$7:$H658),"")</f>
        <v>S6324111358</v>
      </c>
      <c r="J584" s="125" t="str">
        <f t="array" ref="J584">IFNA(XLOOKUP($H584,'🙎‍♂️ Pasien'!$G$7:$G658,'🙎‍♂️ Pasien'!$L$7:$L658),"")</f>
        <v>PEREMPUAN</v>
      </c>
      <c r="K584" s="125">
        <f t="array" ref="K584">IFNA(XLOOKUP($H584,'🙎‍♂️ Pasien'!$G$7:$G658,'🙎‍♂️ Pasien'!$I$7:$I658),"")</f>
        <v>62</v>
      </c>
      <c r="L584" s="16" t="s">
        <v>91</v>
      </c>
      <c r="M584" s="125" t="str">
        <f t="array" ref="M584">IFNA(XLOOKUP(L584,'⚙️ Pengaturan'!$H$5:$H658,'⚙️ Pengaturan'!$I$5:$I658),"")</f>
        <v>TIM Y</v>
      </c>
      <c r="N584" s="16" t="s">
        <v>1132</v>
      </c>
      <c r="O584" s="16" t="s">
        <v>1133</v>
      </c>
      <c r="P584" s="153">
        <f t="shared" si="13"/>
        <v>3</v>
      </c>
      <c r="Q584" s="154">
        <v>45608.0</v>
      </c>
      <c r="R584" s="154">
        <v>45612.0</v>
      </c>
      <c r="S584" s="154">
        <v>45616.0</v>
      </c>
      <c r="T584" s="154"/>
      <c r="U584" s="154"/>
      <c r="V584" s="154"/>
      <c r="W584" s="154"/>
      <c r="X584" s="154"/>
      <c r="Y584" s="154"/>
      <c r="Z584" s="154"/>
      <c r="AA584" s="155">
        <f t="shared" si="20"/>
        <v>45616</v>
      </c>
      <c r="AB584" s="16" t="s">
        <v>1144</v>
      </c>
      <c r="AC584" s="20"/>
      <c r="AD584" s="170"/>
      <c r="AE584" s="156" t="str">
        <f t="shared" si="21"/>
        <v/>
      </c>
      <c r="AF584" s="107" t="str">
        <f t="shared" si="22"/>
        <v/>
      </c>
      <c r="AG584" s="107" t="str">
        <f t="shared" si="23"/>
        <v/>
      </c>
      <c r="AH584" s="107" t="str">
        <f t="shared" si="24"/>
        <v/>
      </c>
      <c r="AI584" s="157">
        <f t="shared" si="25"/>
        <v>82</v>
      </c>
      <c r="AJ584" s="96"/>
      <c r="AK584" s="169"/>
      <c r="AL584" s="96"/>
      <c r="AM584" s="158">
        <f t="shared" si="12"/>
        <v>0</v>
      </c>
    </row>
    <row r="585" ht="22.5" customHeight="1">
      <c r="A585" s="167"/>
      <c r="B585" s="160" t="s">
        <v>54</v>
      </c>
      <c r="C585" s="172"/>
      <c r="D585" s="161">
        <v>45811.0</v>
      </c>
      <c r="E585" s="124" t="str">
        <f t="shared" si="1"/>
        <v>2025</v>
      </c>
      <c r="F585" s="124" t="str">
        <f t="shared" si="2"/>
        <v>06 Jun</v>
      </c>
      <c r="G585" s="124" t="str">
        <f t="shared" si="3"/>
        <v>Selasa</v>
      </c>
      <c r="H585" s="160" t="s">
        <v>1442</v>
      </c>
      <c r="I585" s="125" t="str">
        <f t="array" ref="I585">IFNA(XLOOKUP($H585,'🙎‍♂️ Pasien'!$G$7:$G658,'🙎‍♂️ Pasien'!$H$7:$H658),"")</f>
        <v>T0925064832</v>
      </c>
      <c r="J585" s="125" t="str">
        <f t="array" ref="J585">IFNA(XLOOKUP($H585,'🙎‍♂️ Pasien'!$G$7:$G658,'🙎‍♂️ Pasien'!$L$7:$L658),"")</f>
        <v>LAKI-LAKI</v>
      </c>
      <c r="K585" s="125">
        <f t="array" ref="K585">IFNA(XLOOKUP($H585,'🙎‍♂️ Pasien'!$G$7:$G658,'🙎‍♂️ Pasien'!$I$7:$I658),"")</f>
        <v>17</v>
      </c>
      <c r="L585" s="160" t="s">
        <v>56</v>
      </c>
      <c r="M585" s="162" t="str">
        <f t="array" ref="M585">IFNA(XLOOKUP(L585,'⚙️ Pengaturan'!$H$5:$H658,'⚙️ Pengaturan'!$I$5:$I658),"")</f>
        <v>TIM Y</v>
      </c>
      <c r="N585" s="160" t="s">
        <v>1132</v>
      </c>
      <c r="O585" s="160" t="s">
        <v>1133</v>
      </c>
      <c r="P585" s="153">
        <f t="shared" si="13"/>
        <v>3</v>
      </c>
      <c r="Q585" s="164">
        <v>45817.0</v>
      </c>
      <c r="R585" s="164">
        <v>45821.0</v>
      </c>
      <c r="S585" s="164">
        <v>45825.0</v>
      </c>
      <c r="T585" s="164"/>
      <c r="U585" s="164"/>
      <c r="V585" s="164"/>
      <c r="W585" s="164"/>
      <c r="X585" s="164"/>
      <c r="Y585" s="164"/>
      <c r="Z585" s="164"/>
      <c r="AA585" s="165">
        <f t="shared" si="20"/>
        <v>45825</v>
      </c>
      <c r="AB585" s="160" t="s">
        <v>1144</v>
      </c>
      <c r="AC585" s="174"/>
      <c r="AD585" s="166"/>
      <c r="AE585" s="156" t="str">
        <f t="shared" si="21"/>
        <v/>
      </c>
      <c r="AF585" s="107" t="str">
        <f t="shared" si="22"/>
        <v/>
      </c>
      <c r="AG585" s="107" t="str">
        <f t="shared" si="23"/>
        <v/>
      </c>
      <c r="AH585" s="107" t="str">
        <f t="shared" si="24"/>
        <v/>
      </c>
      <c r="AI585" s="157">
        <f t="shared" si="25"/>
        <v>53</v>
      </c>
      <c r="AJ585" s="96"/>
      <c r="AK585" s="169"/>
      <c r="AL585" s="96"/>
      <c r="AM585" s="158">
        <f t="shared" si="12"/>
        <v>0</v>
      </c>
    </row>
    <row r="586" ht="22.5" customHeight="1">
      <c r="A586" s="167"/>
      <c r="B586" s="160" t="s">
        <v>86</v>
      </c>
      <c r="C586" s="160" t="s">
        <v>1131</v>
      </c>
      <c r="D586" s="161">
        <v>45972.0</v>
      </c>
      <c r="E586" s="124" t="str">
        <f t="shared" si="1"/>
        <v>2025</v>
      </c>
      <c r="F586" s="124" t="str">
        <f t="shared" si="2"/>
        <v>11 Nov</v>
      </c>
      <c r="G586" s="124" t="str">
        <f t="shared" si="3"/>
        <v>Selasa</v>
      </c>
      <c r="H586" s="160" t="s">
        <v>496</v>
      </c>
      <c r="I586" s="125" t="str">
        <f t="array" ref="I586">IFNA(XLOOKUP($H586,'🙎‍♂️ Pasien'!$G$7:$G658,'🙎‍♂️ Pasien'!$H$7:$H658),"")</f>
        <v>T5625119994</v>
      </c>
      <c r="J586" s="125" t="str">
        <f t="array" ref="J586">IFNA(XLOOKUP($H586,'🙎‍♂️ Pasien'!$G$7:$G658,'🙎‍♂️ Pasien'!$L$7:$L658),"")</f>
        <v>LAKI-LAKI</v>
      </c>
      <c r="K586" s="125">
        <f t="array" ref="K586">IFNA(XLOOKUP($H586,'🙎‍♂️ Pasien'!$G$7:$G658,'🙎‍♂️ Pasien'!$I$7:$I658),"")</f>
        <v>70</v>
      </c>
      <c r="L586" s="160" t="s">
        <v>56</v>
      </c>
      <c r="M586" s="162" t="str">
        <f t="array" ref="M586">IFNA(XLOOKUP(L586,'⚙️ Pengaturan'!$H$5:$H658,'⚙️ Pengaturan'!$I$5:$I658),"")</f>
        <v>TIM Y</v>
      </c>
      <c r="N586" s="163" t="s">
        <v>1137</v>
      </c>
      <c r="O586" s="160" t="s">
        <v>1133</v>
      </c>
      <c r="P586" s="153">
        <f t="shared" si="13"/>
        <v>9</v>
      </c>
      <c r="Q586" s="164">
        <v>45976.0</v>
      </c>
      <c r="R586" s="164">
        <v>45979.0</v>
      </c>
      <c r="S586" s="164">
        <v>45983.0</v>
      </c>
      <c r="T586" s="164">
        <v>45991.0</v>
      </c>
      <c r="U586" s="164">
        <v>45993.0</v>
      </c>
      <c r="V586" s="164">
        <v>45997.0</v>
      </c>
      <c r="W586" s="164">
        <v>46000.0</v>
      </c>
      <c r="X586" s="164">
        <v>46005.0</v>
      </c>
      <c r="Y586" s="164">
        <v>46008.0</v>
      </c>
      <c r="Z586" s="164"/>
      <c r="AA586" s="165">
        <f t="shared" si="20"/>
        <v>46008</v>
      </c>
      <c r="AB586" s="160" t="s">
        <v>1144</v>
      </c>
      <c r="AC586" s="174"/>
      <c r="AD586" s="166"/>
      <c r="AE586" s="156" t="str">
        <f t="shared" si="21"/>
        <v/>
      </c>
      <c r="AF586" s="107" t="str">
        <f t="shared" si="22"/>
        <v/>
      </c>
      <c r="AG586" s="107" t="str">
        <f t="shared" si="23"/>
        <v/>
      </c>
      <c r="AH586" s="107" t="str">
        <f t="shared" si="24"/>
        <v/>
      </c>
      <c r="AI586" s="157">
        <f t="shared" si="25"/>
        <v>30</v>
      </c>
      <c r="AJ586" s="96"/>
      <c r="AK586" s="169"/>
      <c r="AL586" s="96"/>
      <c r="AM586" s="158">
        <f t="shared" si="12"/>
        <v>0</v>
      </c>
    </row>
    <row r="587" ht="22.5" customHeight="1">
      <c r="A587" s="167"/>
      <c r="B587" s="160" t="s">
        <v>86</v>
      </c>
      <c r="C587" s="160" t="s">
        <v>1131</v>
      </c>
      <c r="D587" s="161">
        <v>45868.0</v>
      </c>
      <c r="E587" s="124" t="str">
        <f t="shared" si="1"/>
        <v>2025</v>
      </c>
      <c r="F587" s="124" t="str">
        <f t="shared" si="2"/>
        <v>07 Jul</v>
      </c>
      <c r="G587" s="124" t="str">
        <f t="shared" si="3"/>
        <v>Rabu</v>
      </c>
      <c r="H587" s="160" t="s">
        <v>1443</v>
      </c>
      <c r="I587" s="125" t="str">
        <f t="array" ref="I587">IFNA(XLOOKUP($H587,'🙎‍♂️ Pasien'!$G$7:$G658,'🙎‍♂️ Pasien'!$H$7:$H658),"")</f>
        <v>T0025078451</v>
      </c>
      <c r="J587" s="125" t="str">
        <f t="array" ref="J587">IFNA(XLOOKUP($H587,'🙎‍♂️ Pasien'!$G$7:$G658,'🙎‍♂️ Pasien'!$L$7:$L658),"")</f>
        <v>PEREMPUAN</v>
      </c>
      <c r="K587" s="125">
        <f t="array" ref="K587">IFNA(XLOOKUP($H587,'🙎‍♂️ Pasien'!$G$7:$G658,'🙎‍♂️ Pasien'!$I$7:$I658),"")</f>
        <v>26</v>
      </c>
      <c r="L587" s="160" t="s">
        <v>107</v>
      </c>
      <c r="M587" s="162" t="str">
        <f t="array" ref="M587">IFNA(XLOOKUP(L587,'⚙️ Pengaturan'!$H$5:$H658,'⚙️ Pengaturan'!$I$5:$I658),"")</f>
        <v>TIM Y</v>
      </c>
      <c r="N587" s="163" t="s">
        <v>1132</v>
      </c>
      <c r="O587" s="160" t="s">
        <v>1133</v>
      </c>
      <c r="P587" s="153">
        <f t="shared" si="13"/>
        <v>5</v>
      </c>
      <c r="Q587" s="164">
        <v>45868.0</v>
      </c>
      <c r="R587" s="164">
        <v>45873.0</v>
      </c>
      <c r="S587" s="164">
        <v>45875.0</v>
      </c>
      <c r="T587" s="164">
        <v>45878.0</v>
      </c>
      <c r="U587" s="164">
        <v>45881.0</v>
      </c>
      <c r="V587" s="164"/>
      <c r="W587" s="164"/>
      <c r="X587" s="164"/>
      <c r="Y587" s="164"/>
      <c r="Z587" s="164"/>
      <c r="AA587" s="165">
        <f t="shared" si="20"/>
        <v>45881</v>
      </c>
      <c r="AB587" s="160" t="s">
        <v>1144</v>
      </c>
      <c r="AC587" s="160" t="s">
        <v>1138</v>
      </c>
      <c r="AD587" s="166"/>
      <c r="AE587" s="156">
        <f t="shared" si="21"/>
        <v>45881</v>
      </c>
      <c r="AF587" s="107" t="str">
        <f t="shared" si="22"/>
        <v>2025</v>
      </c>
      <c r="AG587" s="107" t="str">
        <f t="shared" si="23"/>
        <v>08 Agu</v>
      </c>
      <c r="AH587" s="107" t="str">
        <f t="shared" si="24"/>
        <v>Sel</v>
      </c>
      <c r="AI587" s="157">
        <f t="shared" si="25"/>
        <v>2</v>
      </c>
      <c r="AJ587" s="96"/>
      <c r="AK587" s="169"/>
      <c r="AL587" s="96"/>
      <c r="AM587" s="158">
        <f t="shared" si="12"/>
        <v>0</v>
      </c>
    </row>
    <row r="588" ht="22.5" customHeight="1">
      <c r="A588" s="167"/>
      <c r="B588" s="160" t="s">
        <v>86</v>
      </c>
      <c r="C588" s="160" t="s">
        <v>1131</v>
      </c>
      <c r="D588" s="161">
        <v>45825.0</v>
      </c>
      <c r="E588" s="124" t="str">
        <f t="shared" si="1"/>
        <v>2025</v>
      </c>
      <c r="F588" s="124" t="str">
        <f t="shared" si="2"/>
        <v>06 Jun</v>
      </c>
      <c r="G588" s="124" t="str">
        <f t="shared" si="3"/>
        <v>Selasa</v>
      </c>
      <c r="H588" s="160" t="s">
        <v>232</v>
      </c>
      <c r="I588" s="125" t="str">
        <f t="array" ref="I588">IFNA(XLOOKUP($H588,'🙎‍♂️ Pasien'!$G$7:$G658,'🙎‍♂️ Pasien'!$H$7:$H658),"")</f>
        <v>T8825037433</v>
      </c>
      <c r="J588" s="125" t="str">
        <f t="array" ref="J588">IFNA(XLOOKUP($H588,'🙎‍♂️ Pasien'!$G$7:$G658,'🙎‍♂️ Pasien'!$L$7:$L658),"")</f>
        <v>PEREMPUAN</v>
      </c>
      <c r="K588" s="125">
        <f t="array" ref="K588">IFNA(XLOOKUP($H588,'🙎‍♂️ Pasien'!$G$7:$G658,'🙎‍♂️ Pasien'!$I$7:$I658),"")</f>
        <v>37</v>
      </c>
      <c r="L588" s="160" t="s">
        <v>88</v>
      </c>
      <c r="M588" s="162" t="str">
        <f t="array" ref="M588">IFNA(XLOOKUP(L588,'⚙️ Pengaturan'!$H$5:$H658,'⚙️ Pengaturan'!$I$5:$I658),"")</f>
        <v>TIM Y</v>
      </c>
      <c r="N588" s="163" t="s">
        <v>1137</v>
      </c>
      <c r="O588" s="160" t="s">
        <v>1139</v>
      </c>
      <c r="P588" s="153">
        <f t="shared" si="13"/>
        <v>9</v>
      </c>
      <c r="Q588" s="164">
        <v>45821.0</v>
      </c>
      <c r="R588" s="164">
        <v>45821.0</v>
      </c>
      <c r="S588" s="164">
        <v>45825.0</v>
      </c>
      <c r="T588" s="164">
        <v>45825.0</v>
      </c>
      <c r="U588" s="164">
        <v>45832.0</v>
      </c>
      <c r="V588" s="164">
        <v>45833.0</v>
      </c>
      <c r="W588" s="164">
        <v>45836.0</v>
      </c>
      <c r="X588" s="164">
        <v>45844.0</v>
      </c>
      <c r="Y588" s="164">
        <v>45839.0</v>
      </c>
      <c r="Z588" s="164"/>
      <c r="AA588" s="165">
        <f t="shared" si="20"/>
        <v>45844</v>
      </c>
      <c r="AB588" s="160" t="s">
        <v>1144</v>
      </c>
      <c r="AC588" s="174"/>
      <c r="AD588" s="166"/>
      <c r="AE588" s="156" t="str">
        <f t="shared" si="21"/>
        <v/>
      </c>
      <c r="AF588" s="107" t="str">
        <f t="shared" si="22"/>
        <v/>
      </c>
      <c r="AG588" s="107" t="str">
        <f t="shared" si="23"/>
        <v/>
      </c>
      <c r="AH588" s="107" t="str">
        <f t="shared" si="24"/>
        <v/>
      </c>
      <c r="AI588" s="157">
        <f t="shared" si="25"/>
        <v>52</v>
      </c>
      <c r="AJ588" s="96"/>
      <c r="AK588" s="169"/>
      <c r="AL588" s="96"/>
      <c r="AM588" s="158">
        <f t="shared" si="12"/>
        <v>0</v>
      </c>
    </row>
    <row r="589" ht="22.5" customHeight="1">
      <c r="A589" s="167"/>
      <c r="B589" s="160" t="s">
        <v>86</v>
      </c>
      <c r="C589" s="160" t="s">
        <v>1131</v>
      </c>
      <c r="D589" s="161">
        <v>45844.0</v>
      </c>
      <c r="E589" s="124" t="str">
        <f t="shared" si="1"/>
        <v>2025</v>
      </c>
      <c r="F589" s="124" t="str">
        <f t="shared" si="2"/>
        <v>07 Jul</v>
      </c>
      <c r="G589" s="124" t="str">
        <f t="shared" si="3"/>
        <v>Minggu</v>
      </c>
      <c r="H589" s="160" t="s">
        <v>232</v>
      </c>
      <c r="I589" s="125" t="str">
        <f t="array" ref="I589">IFNA(XLOOKUP($H589,'🙎‍♂️ Pasien'!$G$7:$G658,'🙎‍♂️ Pasien'!$H$7:$H658),"")</f>
        <v>T8825037433</v>
      </c>
      <c r="J589" s="125" t="str">
        <f t="array" ref="J589">IFNA(XLOOKUP($H589,'🙎‍♂️ Pasien'!$G$7:$G658,'🙎‍♂️ Pasien'!$L$7:$L658),"")</f>
        <v>PEREMPUAN</v>
      </c>
      <c r="K589" s="125">
        <f t="array" ref="K589">IFNA(XLOOKUP($H589,'🙎‍♂️ Pasien'!$G$7:$G658,'🙎‍♂️ Pasien'!$I$7:$I658),"")</f>
        <v>37</v>
      </c>
      <c r="L589" s="160" t="s">
        <v>88</v>
      </c>
      <c r="M589" s="162" t="str">
        <f t="array" ref="M589">IFNA(XLOOKUP(L589,'⚙️ Pengaturan'!$H$5:$H658,'⚙️ Pengaturan'!$I$5:$I658),"")</f>
        <v>TIM Y</v>
      </c>
      <c r="N589" s="163" t="s">
        <v>1137</v>
      </c>
      <c r="O589" s="160" t="s">
        <v>1139</v>
      </c>
      <c r="P589" s="153">
        <f t="shared" si="13"/>
        <v>9</v>
      </c>
      <c r="Q589" s="164">
        <v>45844.0</v>
      </c>
      <c r="R589" s="164">
        <v>45844.0</v>
      </c>
      <c r="S589" s="164">
        <v>45851.0</v>
      </c>
      <c r="T589" s="164">
        <v>45851.0</v>
      </c>
      <c r="U589" s="164">
        <v>45857.0</v>
      </c>
      <c r="V589" s="164">
        <v>45857.0</v>
      </c>
      <c r="W589" s="164">
        <v>45864.0</v>
      </c>
      <c r="X589" s="164">
        <v>45864.0</v>
      </c>
      <c r="Y589" s="164">
        <v>45870.0</v>
      </c>
      <c r="Z589" s="164"/>
      <c r="AA589" s="165">
        <f t="shared" si="20"/>
        <v>45870</v>
      </c>
      <c r="AB589" s="160" t="s">
        <v>1144</v>
      </c>
      <c r="AC589" s="174"/>
      <c r="AD589" s="166"/>
      <c r="AE589" s="156" t="str">
        <f t="shared" si="21"/>
        <v/>
      </c>
      <c r="AF589" s="107" t="str">
        <f t="shared" si="22"/>
        <v/>
      </c>
      <c r="AG589" s="107" t="str">
        <f t="shared" si="23"/>
        <v/>
      </c>
      <c r="AH589" s="107" t="str">
        <f t="shared" si="24"/>
        <v/>
      </c>
      <c r="AI589" s="157">
        <f t="shared" si="25"/>
        <v>49</v>
      </c>
      <c r="AJ589" s="96"/>
      <c r="AK589" s="169"/>
      <c r="AL589" s="96"/>
      <c r="AM589" s="158">
        <f t="shared" si="12"/>
        <v>0</v>
      </c>
    </row>
    <row r="590" ht="22.5" customHeight="1">
      <c r="A590" s="167"/>
      <c r="B590" s="160" t="s">
        <v>1156</v>
      </c>
      <c r="C590" s="160" t="s">
        <v>1131</v>
      </c>
      <c r="D590" s="161">
        <v>45879.0</v>
      </c>
      <c r="E590" s="124" t="str">
        <f t="shared" si="1"/>
        <v>2025</v>
      </c>
      <c r="F590" s="124" t="str">
        <f t="shared" si="2"/>
        <v>08 Agu</v>
      </c>
      <c r="G590" s="124" t="str">
        <f t="shared" si="3"/>
        <v>Minggu</v>
      </c>
      <c r="H590" s="160" t="s">
        <v>232</v>
      </c>
      <c r="I590" s="125" t="str">
        <f t="array" ref="I590">IFNA(XLOOKUP($H590,'🙎‍♂️ Pasien'!$G$7:$G658,'🙎‍♂️ Pasien'!$H$7:$H658),"")</f>
        <v>T8825037433</v>
      </c>
      <c r="J590" s="125" t="str">
        <f t="array" ref="J590">IFNA(XLOOKUP($H590,'🙎‍♂️ Pasien'!$G$7:$G658,'🙎‍♂️ Pasien'!$L$7:$L658),"")</f>
        <v>PEREMPUAN</v>
      </c>
      <c r="K590" s="125">
        <f t="array" ref="K590">IFNA(XLOOKUP($H590,'🙎‍♂️ Pasien'!$G$7:$G658,'🙎‍♂️ Pasien'!$I$7:$I658),"")</f>
        <v>37</v>
      </c>
      <c r="L590" s="160" t="s">
        <v>88</v>
      </c>
      <c r="M590" s="162" t="str">
        <f t="array" ref="M590">IFNA(XLOOKUP(L590,'⚙️ Pengaturan'!$H$5:$H658,'⚙️ Pengaturan'!$I$5:$I658),"")</f>
        <v>TIM Y</v>
      </c>
      <c r="N590" s="163" t="s">
        <v>1137</v>
      </c>
      <c r="O590" s="160" t="s">
        <v>1139</v>
      </c>
      <c r="P590" s="153">
        <f t="shared" si="13"/>
        <v>10</v>
      </c>
      <c r="Q590" s="164">
        <v>45879.0</v>
      </c>
      <c r="R590" s="164">
        <v>45879.0</v>
      </c>
      <c r="S590" s="164">
        <v>45885.0</v>
      </c>
      <c r="T590" s="164">
        <v>45885.0</v>
      </c>
      <c r="U590" s="164">
        <v>45892.0</v>
      </c>
      <c r="V590" s="164">
        <v>45892.0</v>
      </c>
      <c r="W590" s="164">
        <v>45900.0</v>
      </c>
      <c r="X590" s="164">
        <v>45900.0</v>
      </c>
      <c r="Y590" s="164">
        <v>45907.0</v>
      </c>
      <c r="Z590" s="164">
        <v>45918.0</v>
      </c>
      <c r="AA590" s="165">
        <f t="shared" si="20"/>
        <v>45918</v>
      </c>
      <c r="AB590" s="160" t="s">
        <v>1134</v>
      </c>
      <c r="AC590" s="160" t="s">
        <v>1135</v>
      </c>
      <c r="AD590" s="168" t="s">
        <v>1444</v>
      </c>
      <c r="AE590" s="156">
        <f t="shared" si="21"/>
        <v>45918</v>
      </c>
      <c r="AF590" s="107" t="str">
        <f t="shared" si="22"/>
        <v>2025</v>
      </c>
      <c r="AG590" s="107" t="str">
        <f t="shared" si="23"/>
        <v>09 Sep</v>
      </c>
      <c r="AH590" s="107" t="str">
        <f t="shared" si="24"/>
        <v>Kam</v>
      </c>
      <c r="AI590" s="157">
        <f t="shared" si="25"/>
        <v>6</v>
      </c>
      <c r="AJ590" s="96"/>
      <c r="AK590" s="169"/>
      <c r="AL590" s="96"/>
      <c r="AM590" s="158">
        <f t="shared" si="12"/>
        <v>0</v>
      </c>
    </row>
    <row r="591" ht="22.5" customHeight="1">
      <c r="A591" s="167"/>
      <c r="B591" s="160" t="s">
        <v>54</v>
      </c>
      <c r="C591" s="160" t="s">
        <v>1131</v>
      </c>
      <c r="D591" s="161">
        <v>45908.0</v>
      </c>
      <c r="E591" s="124" t="str">
        <f t="shared" si="1"/>
        <v>2025</v>
      </c>
      <c r="F591" s="124" t="str">
        <f t="shared" si="2"/>
        <v>09 Sep</v>
      </c>
      <c r="G591" s="124" t="str">
        <f t="shared" si="3"/>
        <v>Senin</v>
      </c>
      <c r="H591" s="160" t="s">
        <v>232</v>
      </c>
      <c r="I591" s="125" t="str">
        <f t="array" ref="I591">IFNA(XLOOKUP($H591,'🙎‍♂️ Pasien'!$G$7:$G658,'🙎‍♂️ Pasien'!$H$7:$H658),"")</f>
        <v>T8825037433</v>
      </c>
      <c r="J591" s="125" t="str">
        <f t="array" ref="J591">IFNA(XLOOKUP($H591,'🙎‍♂️ Pasien'!$G$7:$G658,'🙎‍♂️ Pasien'!$L$7:$L658),"")</f>
        <v>PEREMPUAN</v>
      </c>
      <c r="K591" s="125">
        <f t="array" ref="K591">IFNA(XLOOKUP($H591,'🙎‍♂️ Pasien'!$G$7:$G658,'🙎‍♂️ Pasien'!$I$7:$I658),"")</f>
        <v>37</v>
      </c>
      <c r="L591" s="160" t="s">
        <v>91</v>
      </c>
      <c r="M591" s="162" t="str">
        <f t="array" ref="M591">IFNA(XLOOKUP(L591,'⚙️ Pengaturan'!$H$5:$H658,'⚙️ Pengaturan'!$I$5:$I658),"")</f>
        <v>TIM Y</v>
      </c>
      <c r="N591" s="163" t="s">
        <v>1137</v>
      </c>
      <c r="O591" s="160" t="s">
        <v>1139</v>
      </c>
      <c r="P591" s="153">
        <f t="shared" si="13"/>
        <v>9</v>
      </c>
      <c r="Q591" s="164">
        <v>45908.0</v>
      </c>
      <c r="R591" s="164">
        <v>45920.0</v>
      </c>
      <c r="S591" s="164">
        <v>45920.0</v>
      </c>
      <c r="T591" s="164">
        <v>45928.0</v>
      </c>
      <c r="U591" s="164">
        <v>45928.0</v>
      </c>
      <c r="V591" s="164">
        <v>45941.0</v>
      </c>
      <c r="W591" s="164">
        <v>45941.0</v>
      </c>
      <c r="X591" s="164">
        <v>45976.0</v>
      </c>
      <c r="Y591" s="164">
        <v>45991.0</v>
      </c>
      <c r="Z591" s="164"/>
      <c r="AA591" s="165">
        <f t="shared" si="20"/>
        <v>45991</v>
      </c>
      <c r="AB591" s="160" t="s">
        <v>1144</v>
      </c>
      <c r="AC591" s="174"/>
      <c r="AD591" s="166"/>
      <c r="AE591" s="156" t="str">
        <f t="shared" si="21"/>
        <v/>
      </c>
      <c r="AF591" s="107" t="str">
        <f t="shared" si="22"/>
        <v/>
      </c>
      <c r="AG591" s="107" t="str">
        <f t="shared" si="23"/>
        <v/>
      </c>
      <c r="AH591" s="107" t="str">
        <f t="shared" si="24"/>
        <v/>
      </c>
      <c r="AI591" s="157">
        <f t="shared" si="25"/>
        <v>40</v>
      </c>
      <c r="AJ591" s="96"/>
      <c r="AK591" s="169"/>
      <c r="AL591" s="96"/>
      <c r="AM591" s="158">
        <f t="shared" si="12"/>
        <v>0</v>
      </c>
    </row>
    <row r="592" ht="22.5" customHeight="1">
      <c r="A592" s="167"/>
      <c r="B592" s="160" t="s">
        <v>134</v>
      </c>
      <c r="C592" s="160" t="s">
        <v>1131</v>
      </c>
      <c r="D592" s="161">
        <v>45828.0</v>
      </c>
      <c r="E592" s="124" t="str">
        <f t="shared" si="1"/>
        <v>2025</v>
      </c>
      <c r="F592" s="124" t="str">
        <f t="shared" si="2"/>
        <v>06 Jun</v>
      </c>
      <c r="G592" s="124" t="str">
        <f t="shared" si="3"/>
        <v>Jumat</v>
      </c>
      <c r="H592" s="160" t="s">
        <v>1445</v>
      </c>
      <c r="I592" s="125" t="str">
        <f t="array" ref="I592">IFNA(XLOOKUP($H592,'🙎‍♂️ Pasien'!$G$7:$G658,'🙎‍♂️ Pasien'!$H$7:$H658),"")</f>
        <v>T9325067779</v>
      </c>
      <c r="J592" s="125" t="str">
        <f t="array" ref="J592">IFNA(XLOOKUP($H592,'🙎‍♂️ Pasien'!$G$7:$G658,'🙎‍♂️ Pasien'!$L$7:$L658),"")</f>
        <v>LAKI-LAKI</v>
      </c>
      <c r="K592" s="125">
        <f t="array" ref="K592">IFNA(XLOOKUP($H592,'🙎‍♂️ Pasien'!$G$7:$G658,'🙎‍♂️ Pasien'!$I$7:$I658),"")</f>
        <v>33</v>
      </c>
      <c r="L592" s="160" t="s">
        <v>1152</v>
      </c>
      <c r="M592" s="162" t="str">
        <f t="array" ref="M592">IFNA(XLOOKUP(L592,'⚙️ Pengaturan'!$H$5:$H658,'⚙️ Pengaturan'!$I$5:$I658),"")</f>
        <v>INAKTIF</v>
      </c>
      <c r="N592" s="163" t="s">
        <v>1132</v>
      </c>
      <c r="O592" s="160" t="s">
        <v>1133</v>
      </c>
      <c r="P592" s="153">
        <f t="shared" si="13"/>
        <v>5</v>
      </c>
      <c r="Q592" s="164">
        <v>45828.0</v>
      </c>
      <c r="R592" s="164">
        <v>45830.0</v>
      </c>
      <c r="S592" s="164">
        <v>45840.0</v>
      </c>
      <c r="T592" s="164">
        <v>45848.0</v>
      </c>
      <c r="U592" s="164">
        <v>45851.0</v>
      </c>
      <c r="V592" s="164"/>
      <c r="W592" s="164"/>
      <c r="X592" s="164"/>
      <c r="Y592" s="164"/>
      <c r="Z592" s="164"/>
      <c r="AA592" s="165">
        <f t="shared" si="20"/>
        <v>45851</v>
      </c>
      <c r="AB592" s="160" t="s">
        <v>1134</v>
      </c>
      <c r="AC592" s="174"/>
      <c r="AD592" s="166"/>
      <c r="AE592" s="156">
        <f t="shared" si="21"/>
        <v>45851</v>
      </c>
      <c r="AF592" s="107" t="str">
        <f t="shared" si="22"/>
        <v>2025</v>
      </c>
      <c r="AG592" s="107" t="str">
        <f t="shared" si="23"/>
        <v>07 Jul</v>
      </c>
      <c r="AH592" s="107" t="str">
        <f t="shared" si="24"/>
        <v>Min</v>
      </c>
      <c r="AI592" s="157">
        <f t="shared" si="25"/>
        <v>4</v>
      </c>
      <c r="AJ592" s="96"/>
      <c r="AK592" s="169"/>
      <c r="AL592" s="96"/>
      <c r="AM592" s="158">
        <f t="shared" si="12"/>
        <v>0</v>
      </c>
    </row>
    <row r="593" ht="22.5" customHeight="1">
      <c r="A593" s="167"/>
      <c r="B593" s="20"/>
      <c r="C593" s="20"/>
      <c r="D593" s="123">
        <v>45630.0</v>
      </c>
      <c r="E593" s="124" t="str">
        <f t="shared" si="1"/>
        <v>2024</v>
      </c>
      <c r="F593" s="124" t="str">
        <f t="shared" si="2"/>
        <v>12 Des</v>
      </c>
      <c r="G593" s="124" t="str">
        <f t="shared" si="3"/>
        <v>Rabu</v>
      </c>
      <c r="H593" s="16" t="s">
        <v>1446</v>
      </c>
      <c r="I593" s="125" t="str">
        <f t="array" ref="I593">IFNA(XLOOKUP($H593,'🙎‍♂️ Pasien'!$G$7:$G658,'🙎‍♂️ Pasien'!$H$7:$H658),"")</f>
        <v>T9824114560</v>
      </c>
      <c r="J593" s="125" t="str">
        <f t="array" ref="J593">IFNA(XLOOKUP($H593,'🙎‍♂️ Pasien'!$G$7:$G658,'🙎‍♂️ Pasien'!$L$7:$L658),"")</f>
        <v>LAKI-LAKI</v>
      </c>
      <c r="K593" s="125">
        <f t="array" ref="K593">IFNA(XLOOKUP($H593,'🙎‍♂️ Pasien'!$G$7:$G658,'🙎‍♂️ Pasien'!$I$7:$I658),"")</f>
        <v>27</v>
      </c>
      <c r="L593" s="16" t="s">
        <v>607</v>
      </c>
      <c r="M593" s="125" t="str">
        <f t="array" ref="M593">IFNA(XLOOKUP(L593,'⚙️ Pengaturan'!$H$5:$H658,'⚙️ Pengaturan'!$I$5:$I658),"")</f>
        <v/>
      </c>
      <c r="N593" s="16" t="s">
        <v>1132</v>
      </c>
      <c r="O593" s="16" t="s">
        <v>1133</v>
      </c>
      <c r="P593" s="153">
        <f t="shared" si="13"/>
        <v>3</v>
      </c>
      <c r="Q593" s="154">
        <v>45630.0</v>
      </c>
      <c r="R593" s="154">
        <v>45633.0</v>
      </c>
      <c r="S593" s="154">
        <v>45635.0</v>
      </c>
      <c r="T593" s="154"/>
      <c r="U593" s="154"/>
      <c r="V593" s="154"/>
      <c r="W593" s="154"/>
      <c r="X593" s="154"/>
      <c r="Y593" s="154"/>
      <c r="Z593" s="154"/>
      <c r="AA593" s="155">
        <f t="shared" si="20"/>
        <v>45635</v>
      </c>
      <c r="AB593" s="16" t="s">
        <v>1144</v>
      </c>
      <c r="AC593" s="20"/>
      <c r="AD593" s="170"/>
      <c r="AE593" s="156" t="str">
        <f t="shared" si="21"/>
        <v/>
      </c>
      <c r="AF593" s="107" t="str">
        <f t="shared" si="22"/>
        <v/>
      </c>
      <c r="AG593" s="107" t="str">
        <f t="shared" si="23"/>
        <v/>
      </c>
      <c r="AH593" s="107" t="str">
        <f t="shared" si="24"/>
        <v/>
      </c>
      <c r="AI593" s="157">
        <f t="shared" si="25"/>
        <v>79</v>
      </c>
      <c r="AJ593" s="96"/>
      <c r="AK593" s="169"/>
      <c r="AL593" s="96"/>
      <c r="AM593" s="158">
        <f t="shared" si="12"/>
        <v>0</v>
      </c>
    </row>
    <row r="594" ht="22.5" customHeight="1">
      <c r="A594" s="167"/>
      <c r="B594" s="160" t="s">
        <v>134</v>
      </c>
      <c r="C594" s="172"/>
      <c r="D594" s="161">
        <v>45800.0</v>
      </c>
      <c r="E594" s="124" t="str">
        <f t="shared" si="1"/>
        <v>2025</v>
      </c>
      <c r="F594" s="124" t="str">
        <f t="shared" si="2"/>
        <v>05 Mei</v>
      </c>
      <c r="G594" s="124" t="str">
        <f t="shared" si="3"/>
        <v>Jumat</v>
      </c>
      <c r="H594" s="160" t="s">
        <v>1447</v>
      </c>
      <c r="I594" s="125" t="str">
        <f t="array" ref="I594">IFNA(XLOOKUP($H594,'🙎‍♂️ Pasien'!$G$7:$G658,'🙎‍♂️ Pasien'!$H$7:$H658),"")</f>
        <v/>
      </c>
      <c r="J594" s="125" t="str">
        <f t="array" ref="J594">IFNA(XLOOKUP($H594,'🙎‍♂️ Pasien'!$G$7:$G658,'🙎‍♂️ Pasien'!$L$7:$L658),"")</f>
        <v/>
      </c>
      <c r="K594" s="125" t="str">
        <f t="array" ref="K594">IFNA(XLOOKUP($H594,'🙎‍♂️ Pasien'!$G$7:$G658,'🙎‍♂️ Pasien'!$I$7:$I658),"")</f>
        <v/>
      </c>
      <c r="L594" s="160" t="s">
        <v>1152</v>
      </c>
      <c r="M594" s="162" t="str">
        <f t="array" ref="M594">IFNA(XLOOKUP(L594,'⚙️ Pengaturan'!$H$5:$H658,'⚙️ Pengaturan'!$I$5:$I658),"")</f>
        <v>INAKTIF</v>
      </c>
      <c r="N594" s="160" t="s">
        <v>1137</v>
      </c>
      <c r="O594" s="160" t="s">
        <v>1133</v>
      </c>
      <c r="P594" s="153">
        <f t="shared" si="13"/>
        <v>9</v>
      </c>
      <c r="Q594" s="164">
        <v>45800.0</v>
      </c>
      <c r="R594" s="164">
        <v>45801.0</v>
      </c>
      <c r="S594" s="164">
        <v>45801.0</v>
      </c>
      <c r="T594" s="164">
        <v>45802.0</v>
      </c>
      <c r="U594" s="164">
        <v>45802.0</v>
      </c>
      <c r="V594" s="164">
        <v>45804.0</v>
      </c>
      <c r="W594" s="164">
        <v>45804.0</v>
      </c>
      <c r="X594" s="164">
        <v>45805.0</v>
      </c>
      <c r="Y594" s="164">
        <v>45805.0</v>
      </c>
      <c r="Z594" s="164"/>
      <c r="AA594" s="165">
        <f t="shared" si="20"/>
        <v>45805</v>
      </c>
      <c r="AB594" s="160" t="s">
        <v>1144</v>
      </c>
      <c r="AC594" s="172"/>
      <c r="AD594" s="166"/>
      <c r="AE594" s="156" t="str">
        <f t="shared" si="21"/>
        <v/>
      </c>
      <c r="AF594" s="107" t="str">
        <f t="shared" si="22"/>
        <v/>
      </c>
      <c r="AG594" s="107" t="str">
        <f t="shared" si="23"/>
        <v/>
      </c>
      <c r="AH594" s="107" t="str">
        <f t="shared" si="24"/>
        <v/>
      </c>
      <c r="AI594" s="157">
        <f t="shared" si="25"/>
        <v>55</v>
      </c>
      <c r="AJ594" s="96"/>
      <c r="AK594" s="169"/>
      <c r="AL594" s="96"/>
      <c r="AM594" s="158">
        <f t="shared" si="12"/>
        <v>0</v>
      </c>
    </row>
    <row r="595" ht="22.5" customHeight="1">
      <c r="A595" s="167"/>
      <c r="B595" s="160" t="s">
        <v>86</v>
      </c>
      <c r="C595" s="160" t="s">
        <v>1131</v>
      </c>
      <c r="D595" s="161">
        <v>45943.0</v>
      </c>
      <c r="E595" s="124" t="str">
        <f t="shared" si="1"/>
        <v>2025</v>
      </c>
      <c r="F595" s="124" t="str">
        <f t="shared" si="2"/>
        <v>10 Okt</v>
      </c>
      <c r="G595" s="124" t="str">
        <f t="shared" si="3"/>
        <v>Senin</v>
      </c>
      <c r="H595" s="160" t="s">
        <v>229</v>
      </c>
      <c r="I595" s="125" t="str">
        <f t="array" ref="I595">IFNA(XLOOKUP($H595,'🙎‍♂️ Pasien'!$G$7:$G658,'🙎‍♂️ Pasien'!$H$7:$H658),"")</f>
        <v>T7524104338</v>
      </c>
      <c r="J595" s="125" t="str">
        <f t="array" ref="J595">IFNA(XLOOKUP($H595,'🙎‍♂️ Pasien'!$G$7:$G658,'🙎‍♂️ Pasien'!$L$7:$L658),"")</f>
        <v>PEREMPUAN</v>
      </c>
      <c r="K595" s="125">
        <f t="array" ref="K595">IFNA(XLOOKUP($H595,'🙎‍♂️ Pasien'!$G$7:$G658,'🙎‍♂️ Pasien'!$I$7:$I658),"")</f>
        <v>51</v>
      </c>
      <c r="L595" s="160" t="s">
        <v>79</v>
      </c>
      <c r="M595" s="162" t="str">
        <f t="array" ref="M595">IFNA(XLOOKUP(L595,'⚙️ Pengaturan'!$H$5:$H658,'⚙️ Pengaturan'!$I$5:$I658),"")</f>
        <v>TIM A</v>
      </c>
      <c r="N595" s="163" t="s">
        <v>1132</v>
      </c>
      <c r="O595" s="160" t="s">
        <v>1133</v>
      </c>
      <c r="P595" s="153">
        <f t="shared" si="13"/>
        <v>4</v>
      </c>
      <c r="Q595" s="164">
        <v>45943.0</v>
      </c>
      <c r="R595" s="164">
        <v>45945.0</v>
      </c>
      <c r="S595" s="164">
        <v>45951.0</v>
      </c>
      <c r="T595" s="164">
        <v>45958.0</v>
      </c>
      <c r="U595" s="164"/>
      <c r="V595" s="164"/>
      <c r="W595" s="164"/>
      <c r="X595" s="164"/>
      <c r="Y595" s="164"/>
      <c r="Z595" s="164"/>
      <c r="AA595" s="165">
        <f t="shared" si="20"/>
        <v>45958</v>
      </c>
      <c r="AB595" s="160" t="s">
        <v>1144</v>
      </c>
      <c r="AC595" s="172"/>
      <c r="AD595" s="166"/>
      <c r="AE595" s="156" t="str">
        <f t="shared" si="21"/>
        <v/>
      </c>
      <c r="AF595" s="107" t="str">
        <f t="shared" si="22"/>
        <v/>
      </c>
      <c r="AG595" s="107" t="str">
        <f t="shared" si="23"/>
        <v/>
      </c>
      <c r="AH595" s="107" t="str">
        <f t="shared" si="24"/>
        <v/>
      </c>
      <c r="AI595" s="157">
        <f t="shared" si="25"/>
        <v>35</v>
      </c>
      <c r="AJ595" s="96"/>
      <c r="AK595" s="169"/>
      <c r="AL595" s="96"/>
      <c r="AM595" s="158">
        <f t="shared" si="12"/>
        <v>0</v>
      </c>
    </row>
    <row r="596" ht="22.5" customHeight="1">
      <c r="A596" s="167"/>
      <c r="B596" s="16" t="s">
        <v>86</v>
      </c>
      <c r="C596" s="16" t="s">
        <v>1170</v>
      </c>
      <c r="D596" s="123">
        <v>46013.0</v>
      </c>
      <c r="E596" s="124" t="str">
        <f t="shared" si="1"/>
        <v>2025</v>
      </c>
      <c r="F596" s="124" t="str">
        <f t="shared" si="2"/>
        <v>12 Des</v>
      </c>
      <c r="G596" s="124" t="str">
        <f t="shared" si="3"/>
        <v>Senin</v>
      </c>
      <c r="H596" s="16" t="s">
        <v>811</v>
      </c>
      <c r="I596" s="125" t="str">
        <f t="array" ref="I596">IFNA(XLOOKUP($H596,'🙎‍♂️ Pasien'!$G$7:$G658,'🙎‍♂️ Pasien'!$H$7:$H658),"")</f>
        <v>T4825127000</v>
      </c>
      <c r="J596" s="125" t="str">
        <f t="array" ref="J596">IFNA(XLOOKUP($H596,'🙎‍♂️ Pasien'!$G$7:$G658,'🙎‍♂️ Pasien'!$L$7:$L658),"")</f>
        <v>LAKI-LAKI</v>
      </c>
      <c r="K596" s="125">
        <f t="array" ref="K596">IFNA(XLOOKUP($H596,'🙎‍♂️ Pasien'!$G$7:$G658,'🙎‍♂️ Pasien'!$I$7:$I658),"")</f>
        <v>78</v>
      </c>
      <c r="L596" s="16" t="s">
        <v>88</v>
      </c>
      <c r="M596" s="125" t="str">
        <f t="array" ref="M596">IFNA(XLOOKUP(L596,'⚙️ Pengaturan'!$H$5:$H658,'⚙️ Pengaturan'!$I$5:$I658),"")</f>
        <v>TIM Y</v>
      </c>
      <c r="N596" s="16" t="s">
        <v>1132</v>
      </c>
      <c r="O596" s="16" t="s">
        <v>1133</v>
      </c>
      <c r="P596" s="153">
        <f t="shared" si="13"/>
        <v>4</v>
      </c>
      <c r="Q596" s="154">
        <v>46013.0</v>
      </c>
      <c r="R596" s="154">
        <v>46015.0</v>
      </c>
      <c r="S596" s="154">
        <v>46018.0</v>
      </c>
      <c r="T596" s="154">
        <v>46020.0</v>
      </c>
      <c r="U596" s="154"/>
      <c r="V596" s="154"/>
      <c r="W596" s="154"/>
      <c r="X596" s="154"/>
      <c r="Y596" s="154"/>
      <c r="Z596" s="154"/>
      <c r="AA596" s="155">
        <f t="shared" si="20"/>
        <v>46020</v>
      </c>
      <c r="AB596" s="16" t="s">
        <v>1144</v>
      </c>
      <c r="AC596" s="20"/>
      <c r="AD596" s="170"/>
      <c r="AE596" s="156" t="str">
        <f t="shared" si="21"/>
        <v/>
      </c>
      <c r="AF596" s="107" t="str">
        <f t="shared" si="22"/>
        <v/>
      </c>
      <c r="AG596" s="107" t="str">
        <f t="shared" si="23"/>
        <v/>
      </c>
      <c r="AH596" s="107" t="str">
        <f t="shared" si="24"/>
        <v/>
      </c>
      <c r="AI596" s="157">
        <f t="shared" si="25"/>
        <v>25</v>
      </c>
      <c r="AJ596" s="96"/>
      <c r="AK596" s="169"/>
      <c r="AL596" s="96"/>
      <c r="AM596" s="158">
        <f t="shared" si="12"/>
        <v>0</v>
      </c>
    </row>
    <row r="597" ht="22.5" customHeight="1">
      <c r="A597" s="167"/>
      <c r="B597" s="160" t="s">
        <v>54</v>
      </c>
      <c r="C597" s="160" t="s">
        <v>1170</v>
      </c>
      <c r="D597" s="161">
        <v>45829.0</v>
      </c>
      <c r="E597" s="124" t="str">
        <f t="shared" si="1"/>
        <v>2025</v>
      </c>
      <c r="F597" s="124" t="str">
        <f t="shared" si="2"/>
        <v>06 Jun</v>
      </c>
      <c r="G597" s="124" t="str">
        <f t="shared" si="3"/>
        <v>Sabtu</v>
      </c>
      <c r="H597" s="160" t="s">
        <v>1448</v>
      </c>
      <c r="I597" s="125" t="str">
        <f t="array" ref="I597">IFNA(XLOOKUP($H597,'🙎‍♂️ Pasien'!$G$7:$G658,'🙎‍♂️ Pasien'!$H$7:$H658),"")</f>
        <v>T1725066978</v>
      </c>
      <c r="J597" s="125" t="str">
        <f t="array" ref="J597">IFNA(XLOOKUP($H597,'🙎‍♂️ Pasien'!$G$7:$G658,'🙎‍♂️ Pasien'!$L$7:$L658),"")</f>
        <v>LAKI-LAKI</v>
      </c>
      <c r="K597" s="125">
        <f t="array" ref="K597">IFNA(XLOOKUP($H597,'🙎‍♂️ Pasien'!$G$7:$G658,'🙎‍♂️ Pasien'!$I$7:$I658),"")</f>
        <v>9</v>
      </c>
      <c r="L597" s="160" t="s">
        <v>91</v>
      </c>
      <c r="M597" s="162" t="str">
        <f t="array" ref="M597">IFNA(XLOOKUP(L597,'⚙️ Pengaturan'!$H$5:$H658,'⚙️ Pengaturan'!$I$5:$I658),"")</f>
        <v>TIM Y</v>
      </c>
      <c r="N597" s="163" t="s">
        <v>1132</v>
      </c>
      <c r="O597" s="160" t="s">
        <v>1133</v>
      </c>
      <c r="P597" s="153">
        <f t="shared" si="13"/>
        <v>2</v>
      </c>
      <c r="Q597" s="164">
        <v>45829.0</v>
      </c>
      <c r="R597" s="164">
        <v>45832.0</v>
      </c>
      <c r="S597" s="164"/>
      <c r="T597" s="164"/>
      <c r="U597" s="164"/>
      <c r="V597" s="164"/>
      <c r="W597" s="164"/>
      <c r="X597" s="164"/>
      <c r="Y597" s="164"/>
      <c r="Z597" s="164"/>
      <c r="AA597" s="165">
        <f t="shared" si="20"/>
        <v>45832</v>
      </c>
      <c r="AB597" s="160" t="s">
        <v>1144</v>
      </c>
      <c r="AC597" s="174"/>
      <c r="AD597" s="166"/>
      <c r="AE597" s="156" t="str">
        <f t="shared" si="21"/>
        <v/>
      </c>
      <c r="AF597" s="107" t="str">
        <f t="shared" si="22"/>
        <v/>
      </c>
      <c r="AG597" s="107" t="str">
        <f t="shared" si="23"/>
        <v/>
      </c>
      <c r="AH597" s="107" t="str">
        <f t="shared" si="24"/>
        <v/>
      </c>
      <c r="AI597" s="157">
        <f t="shared" si="25"/>
        <v>51</v>
      </c>
      <c r="AJ597" s="96"/>
      <c r="AK597" s="169"/>
      <c r="AL597" s="96"/>
      <c r="AM597" s="158">
        <f t="shared" si="12"/>
        <v>0</v>
      </c>
    </row>
    <row r="598" ht="22.5" customHeight="1">
      <c r="A598" s="167"/>
      <c r="B598" s="160" t="s">
        <v>86</v>
      </c>
      <c r="C598" s="160" t="s">
        <v>1131</v>
      </c>
      <c r="D598" s="161">
        <v>45846.0</v>
      </c>
      <c r="E598" s="124" t="str">
        <f t="shared" si="1"/>
        <v>2025</v>
      </c>
      <c r="F598" s="124" t="str">
        <f t="shared" si="2"/>
        <v>07 Jul</v>
      </c>
      <c r="G598" s="124" t="str">
        <f t="shared" si="3"/>
        <v>Selasa</v>
      </c>
      <c r="H598" s="160" t="s">
        <v>1449</v>
      </c>
      <c r="I598" s="125" t="str">
        <f t="array" ref="I598">IFNA(XLOOKUP($H598,'🙎‍♂️ Pasien'!$G$7:$G658,'🙎‍♂️ Pasien'!$H$7:$H658),"")</f>
        <v>T9725072362</v>
      </c>
      <c r="J598" s="125" t="str">
        <f t="array" ref="J598">IFNA(XLOOKUP($H598,'🙎‍♂️ Pasien'!$G$7:$G658,'🙎‍♂️ Pasien'!$L$7:$L658),"")</f>
        <v>LAKI-LAKI</v>
      </c>
      <c r="K598" s="125">
        <f t="array" ref="K598">IFNA(XLOOKUP($H598,'🙎‍♂️ Pasien'!$G$7:$G658,'🙎‍♂️ Pasien'!$I$7:$I658),"")</f>
        <v>28</v>
      </c>
      <c r="L598" s="160" t="s">
        <v>88</v>
      </c>
      <c r="M598" s="162" t="str">
        <f t="array" ref="M598">IFNA(XLOOKUP(L598,'⚙️ Pengaturan'!$H$5:$H658,'⚙️ Pengaturan'!$I$5:$I658),"")</f>
        <v>TIM Y</v>
      </c>
      <c r="N598" s="163" t="s">
        <v>1132</v>
      </c>
      <c r="O598" s="160" t="s">
        <v>1133</v>
      </c>
      <c r="P598" s="153">
        <f t="shared" si="13"/>
        <v>5</v>
      </c>
      <c r="Q598" s="164">
        <v>45846.0</v>
      </c>
      <c r="R598" s="164">
        <v>45850.0</v>
      </c>
      <c r="S598" s="164">
        <v>45851.0</v>
      </c>
      <c r="T598" s="164">
        <v>45853.0</v>
      </c>
      <c r="U598" s="164">
        <v>45855.0</v>
      </c>
      <c r="V598" s="164"/>
      <c r="W598" s="164"/>
      <c r="X598" s="164"/>
      <c r="Y598" s="164"/>
      <c r="Z598" s="164"/>
      <c r="AA598" s="165">
        <f t="shared" si="20"/>
        <v>45855</v>
      </c>
      <c r="AB598" s="160" t="s">
        <v>1134</v>
      </c>
      <c r="AC598" s="160" t="s">
        <v>1138</v>
      </c>
      <c r="AD598" s="166"/>
      <c r="AE598" s="156">
        <f t="shared" si="21"/>
        <v>45855</v>
      </c>
      <c r="AF598" s="107" t="str">
        <f t="shared" si="22"/>
        <v>2025</v>
      </c>
      <c r="AG598" s="107" t="str">
        <f t="shared" si="23"/>
        <v>07 Jul</v>
      </c>
      <c r="AH598" s="107" t="str">
        <f t="shared" si="24"/>
        <v>Kam</v>
      </c>
      <c r="AI598" s="157">
        <f t="shared" si="25"/>
        <v>2</v>
      </c>
      <c r="AJ598" s="96"/>
      <c r="AK598" s="169"/>
      <c r="AL598" s="96"/>
      <c r="AM598" s="158">
        <f t="shared" si="12"/>
        <v>0</v>
      </c>
    </row>
    <row r="599" ht="22.5" customHeight="1">
      <c r="A599" s="167"/>
      <c r="B599" s="160" t="s">
        <v>86</v>
      </c>
      <c r="C599" s="160" t="s">
        <v>1131</v>
      </c>
      <c r="D599" s="161">
        <v>45837.0</v>
      </c>
      <c r="E599" s="124" t="str">
        <f t="shared" si="1"/>
        <v>2025</v>
      </c>
      <c r="F599" s="124" t="str">
        <f t="shared" si="2"/>
        <v>06 Jun</v>
      </c>
      <c r="G599" s="124" t="str">
        <f t="shared" si="3"/>
        <v>Minggu</v>
      </c>
      <c r="H599" s="160" t="s">
        <v>1450</v>
      </c>
      <c r="I599" s="125" t="str">
        <f t="array" ref="I599">IFNA(XLOOKUP($H599,'🙎‍♂️ Pasien'!$G$7:$G658,'🙎‍♂️ Pasien'!$H$7:$H658),"")</f>
        <v>T5525065588</v>
      </c>
      <c r="J599" s="125" t="str">
        <f t="array" ref="J599">IFNA(XLOOKUP($H599,'🙎‍♂️ Pasien'!$G$7:$G658,'🙎‍♂️ Pasien'!$L$7:$L658),"")</f>
        <v>LAKI-LAKI</v>
      </c>
      <c r="K599" s="125">
        <f t="array" ref="K599">IFNA(XLOOKUP($H599,'🙎‍♂️ Pasien'!$G$7:$G658,'🙎‍♂️ Pasien'!$I$7:$I658),"")</f>
        <v>70</v>
      </c>
      <c r="L599" s="160" t="s">
        <v>56</v>
      </c>
      <c r="M599" s="162" t="str">
        <f t="array" ref="M599">IFNA(XLOOKUP(L599,'⚙️ Pengaturan'!$H$5:$H658,'⚙️ Pengaturan'!$I$5:$I658),"")</f>
        <v>TIM Y</v>
      </c>
      <c r="N599" s="163" t="s">
        <v>1132</v>
      </c>
      <c r="O599" s="160" t="s">
        <v>1133</v>
      </c>
      <c r="P599" s="153">
        <f t="shared" si="13"/>
        <v>5</v>
      </c>
      <c r="Q599" s="164">
        <v>45840.0</v>
      </c>
      <c r="R599" s="164">
        <v>45842.0</v>
      </c>
      <c r="S599" s="164">
        <v>45847.0</v>
      </c>
      <c r="T599" s="164">
        <v>45851.0</v>
      </c>
      <c r="U599" s="164">
        <v>45854.0</v>
      </c>
      <c r="V599" s="164"/>
      <c r="W599" s="164"/>
      <c r="X599" s="164"/>
      <c r="Y599" s="164"/>
      <c r="Z599" s="164"/>
      <c r="AA599" s="165">
        <f t="shared" si="20"/>
        <v>45854</v>
      </c>
      <c r="AB599" s="160" t="s">
        <v>1134</v>
      </c>
      <c r="AC599" s="160" t="s">
        <v>1138</v>
      </c>
      <c r="AD599" s="166"/>
      <c r="AE599" s="156">
        <f t="shared" si="21"/>
        <v>45854</v>
      </c>
      <c r="AF599" s="107" t="str">
        <f t="shared" si="22"/>
        <v>2025</v>
      </c>
      <c r="AG599" s="107" t="str">
        <f t="shared" si="23"/>
        <v>07 Jul</v>
      </c>
      <c r="AH599" s="107" t="str">
        <f t="shared" si="24"/>
        <v>Rab</v>
      </c>
      <c r="AI599" s="157">
        <f t="shared" si="25"/>
        <v>2</v>
      </c>
      <c r="AJ599" s="96"/>
      <c r="AK599" s="169"/>
      <c r="AL599" s="96"/>
      <c r="AM599" s="158">
        <f t="shared" si="12"/>
        <v>0</v>
      </c>
    </row>
    <row r="600" ht="22.5" customHeight="1">
      <c r="A600" s="167"/>
      <c r="B600" s="160" t="s">
        <v>86</v>
      </c>
      <c r="C600" s="160" t="s">
        <v>1131</v>
      </c>
      <c r="D600" s="161">
        <v>45854.0</v>
      </c>
      <c r="E600" s="124" t="str">
        <f t="shared" si="1"/>
        <v>2025</v>
      </c>
      <c r="F600" s="124" t="str">
        <f t="shared" si="2"/>
        <v>07 Jul</v>
      </c>
      <c r="G600" s="124" t="str">
        <f t="shared" si="3"/>
        <v>Rabu</v>
      </c>
      <c r="H600" s="160" t="s">
        <v>1450</v>
      </c>
      <c r="I600" s="125" t="str">
        <f t="array" ref="I600">IFNA(XLOOKUP($H600,'🙎‍♂️ Pasien'!$G$7:$G658,'🙎‍♂️ Pasien'!$H$7:$H658),"")</f>
        <v>T5525065588</v>
      </c>
      <c r="J600" s="125" t="str">
        <f t="array" ref="J600">IFNA(XLOOKUP($H600,'🙎‍♂️ Pasien'!$G$7:$G658,'🙎‍♂️ Pasien'!$L$7:$L658),"")</f>
        <v>LAKI-LAKI</v>
      </c>
      <c r="K600" s="125">
        <f t="array" ref="K600">IFNA(XLOOKUP($H600,'🙎‍♂️ Pasien'!$G$7:$G658,'🙎‍♂️ Pasien'!$I$7:$I658),"")</f>
        <v>70</v>
      </c>
      <c r="L600" s="160" t="s">
        <v>101</v>
      </c>
      <c r="M600" s="162" t="str">
        <f t="array" ref="M600">IFNA(XLOOKUP(L600,'⚙️ Pengaturan'!$H$5:$H658,'⚙️ Pengaturan'!$I$5:$I658),"")</f>
        <v>MANAJEMEN</v>
      </c>
      <c r="N600" s="163" t="s">
        <v>1132</v>
      </c>
      <c r="O600" s="160" t="s">
        <v>1139</v>
      </c>
      <c r="P600" s="153">
        <f t="shared" si="13"/>
        <v>5</v>
      </c>
      <c r="Q600" s="164">
        <v>45861.0</v>
      </c>
      <c r="R600" s="164">
        <v>45865.0</v>
      </c>
      <c r="S600" s="164">
        <v>45869.0</v>
      </c>
      <c r="T600" s="164">
        <v>45875.0</v>
      </c>
      <c r="U600" s="164">
        <v>45882.0</v>
      </c>
      <c r="V600" s="164"/>
      <c r="W600" s="164"/>
      <c r="X600" s="164"/>
      <c r="Y600" s="164"/>
      <c r="Z600" s="164"/>
      <c r="AA600" s="165">
        <f t="shared" si="20"/>
        <v>45882</v>
      </c>
      <c r="AB600" s="160" t="s">
        <v>1134</v>
      </c>
      <c r="AC600" s="160" t="s">
        <v>1138</v>
      </c>
      <c r="AD600" s="166"/>
      <c r="AE600" s="156">
        <f t="shared" si="21"/>
        <v>45882</v>
      </c>
      <c r="AF600" s="107" t="str">
        <f t="shared" si="22"/>
        <v>2025</v>
      </c>
      <c r="AG600" s="107" t="str">
        <f t="shared" si="23"/>
        <v>08 Agu</v>
      </c>
      <c r="AH600" s="107" t="str">
        <f t="shared" si="24"/>
        <v>Rab</v>
      </c>
      <c r="AI600" s="157">
        <f t="shared" si="25"/>
        <v>3</v>
      </c>
      <c r="AJ600" s="96"/>
      <c r="AK600" s="169"/>
      <c r="AL600" s="96"/>
      <c r="AM600" s="158">
        <f t="shared" si="12"/>
        <v>0</v>
      </c>
    </row>
    <row r="601" ht="22.5" customHeight="1">
      <c r="A601" s="167"/>
      <c r="B601" s="160" t="s">
        <v>134</v>
      </c>
      <c r="C601" s="160" t="s">
        <v>1131</v>
      </c>
      <c r="D601" s="161">
        <v>45882.0</v>
      </c>
      <c r="E601" s="124" t="str">
        <f t="shared" si="1"/>
        <v>2025</v>
      </c>
      <c r="F601" s="124" t="str">
        <f t="shared" si="2"/>
        <v>08 Agu</v>
      </c>
      <c r="G601" s="124" t="str">
        <f t="shared" si="3"/>
        <v>Rabu</v>
      </c>
      <c r="H601" s="160" t="s">
        <v>1450</v>
      </c>
      <c r="I601" s="125" t="str">
        <f t="array" ref="I601">IFNA(XLOOKUP($H601,'🙎‍♂️ Pasien'!$G$7:$G658,'🙎‍♂️ Pasien'!$H$7:$H658),"")</f>
        <v>T5525065588</v>
      </c>
      <c r="J601" s="125" t="str">
        <f t="array" ref="J601">IFNA(XLOOKUP($H601,'🙎‍♂️ Pasien'!$G$7:$G658,'🙎‍♂️ Pasien'!$L$7:$L658),"")</f>
        <v>LAKI-LAKI</v>
      </c>
      <c r="K601" s="125">
        <f t="array" ref="K601">IFNA(XLOOKUP($H601,'🙎‍♂️ Pasien'!$G$7:$G658,'🙎‍♂️ Pasien'!$I$7:$I658),"")</f>
        <v>70</v>
      </c>
      <c r="L601" s="160" t="s">
        <v>101</v>
      </c>
      <c r="M601" s="162" t="str">
        <f t="array" ref="M601">IFNA(XLOOKUP(L601,'⚙️ Pengaturan'!$H$5:$H658,'⚙️ Pengaturan'!$I$5:$I658),"")</f>
        <v>MANAJEMEN</v>
      </c>
      <c r="N601" s="163" t="s">
        <v>1132</v>
      </c>
      <c r="O601" s="160" t="s">
        <v>1139</v>
      </c>
      <c r="P601" s="153">
        <f t="shared" si="13"/>
        <v>5</v>
      </c>
      <c r="Q601" s="164">
        <v>45889.0</v>
      </c>
      <c r="R601" s="164">
        <v>45896.0</v>
      </c>
      <c r="S601" s="164">
        <v>45903.0</v>
      </c>
      <c r="T601" s="164">
        <v>45910.0</v>
      </c>
      <c r="U601" s="164">
        <v>45917.0</v>
      </c>
      <c r="V601" s="164"/>
      <c r="W601" s="164"/>
      <c r="X601" s="164"/>
      <c r="Y601" s="164"/>
      <c r="Z601" s="164"/>
      <c r="AA601" s="165">
        <f t="shared" si="20"/>
        <v>45917</v>
      </c>
      <c r="AB601" s="160" t="s">
        <v>1134</v>
      </c>
      <c r="AC601" s="160" t="s">
        <v>1138</v>
      </c>
      <c r="AD601" s="166"/>
      <c r="AE601" s="156">
        <f t="shared" si="21"/>
        <v>45917</v>
      </c>
      <c r="AF601" s="107" t="str">
        <f t="shared" si="22"/>
        <v>2025</v>
      </c>
      <c r="AG601" s="107" t="str">
        <f t="shared" si="23"/>
        <v>09 Sep</v>
      </c>
      <c r="AH601" s="107" t="str">
        <f t="shared" si="24"/>
        <v>Rab</v>
      </c>
      <c r="AI601" s="157">
        <f t="shared" si="25"/>
        <v>4</v>
      </c>
      <c r="AJ601" s="96"/>
      <c r="AK601" s="169"/>
      <c r="AL601" s="96"/>
      <c r="AM601" s="158">
        <f t="shared" si="12"/>
        <v>0</v>
      </c>
    </row>
    <row r="602" ht="22.5" customHeight="1">
      <c r="A602" s="167"/>
      <c r="B602" s="160" t="s">
        <v>86</v>
      </c>
      <c r="C602" s="160" t="s">
        <v>1131</v>
      </c>
      <c r="D602" s="161">
        <v>45917.0</v>
      </c>
      <c r="E602" s="124" t="str">
        <f t="shared" si="1"/>
        <v>2025</v>
      </c>
      <c r="F602" s="124" t="str">
        <f t="shared" si="2"/>
        <v>09 Sep</v>
      </c>
      <c r="G602" s="124" t="str">
        <f t="shared" si="3"/>
        <v>Rabu</v>
      </c>
      <c r="H602" s="160" t="s">
        <v>1450</v>
      </c>
      <c r="I602" s="125" t="str">
        <f t="array" ref="I602">IFNA(XLOOKUP($H602,'🙎‍♂️ Pasien'!$G$7:$G658,'🙎‍♂️ Pasien'!$H$7:$H658),"")</f>
        <v>T5525065588</v>
      </c>
      <c r="J602" s="125" t="str">
        <f t="array" ref="J602">IFNA(XLOOKUP($H602,'🙎‍♂️ Pasien'!$G$7:$G658,'🙎‍♂️ Pasien'!$L$7:$L658),"")</f>
        <v>LAKI-LAKI</v>
      </c>
      <c r="K602" s="125">
        <f t="array" ref="K602">IFNA(XLOOKUP($H602,'🙎‍♂️ Pasien'!$G$7:$G658,'🙎‍♂️ Pasien'!$I$7:$I658),"")</f>
        <v>70</v>
      </c>
      <c r="L602" s="160" t="s">
        <v>107</v>
      </c>
      <c r="M602" s="162" t="str">
        <f t="array" ref="M602">IFNA(XLOOKUP(L602,'⚙️ Pengaturan'!$H$5:$H658,'⚙️ Pengaturan'!$I$5:$I658),"")</f>
        <v>TIM Y</v>
      </c>
      <c r="N602" s="163" t="s">
        <v>1132</v>
      </c>
      <c r="O602" s="160" t="s">
        <v>1133</v>
      </c>
      <c r="P602" s="153">
        <f t="shared" si="13"/>
        <v>5</v>
      </c>
      <c r="Q602" s="164">
        <v>45918.0</v>
      </c>
      <c r="R602" s="164">
        <v>45931.0</v>
      </c>
      <c r="S602" s="164">
        <v>45938.0</v>
      </c>
      <c r="T602" s="164">
        <v>45945.0</v>
      </c>
      <c r="U602" s="164">
        <v>45952.0</v>
      </c>
      <c r="V602" s="164"/>
      <c r="W602" s="164"/>
      <c r="X602" s="164"/>
      <c r="Y602" s="164"/>
      <c r="Z602" s="164"/>
      <c r="AA602" s="165">
        <f t="shared" si="20"/>
        <v>45952</v>
      </c>
      <c r="AB602" s="160" t="s">
        <v>1134</v>
      </c>
      <c r="AC602" s="160" t="s">
        <v>1138</v>
      </c>
      <c r="AD602" s="166"/>
      <c r="AE602" s="156">
        <f t="shared" si="21"/>
        <v>45952</v>
      </c>
      <c r="AF602" s="107" t="str">
        <f t="shared" si="22"/>
        <v>2025</v>
      </c>
      <c r="AG602" s="107" t="str">
        <f t="shared" si="23"/>
        <v>10 Okt</v>
      </c>
      <c r="AH602" s="107" t="str">
        <f t="shared" si="24"/>
        <v>Rab</v>
      </c>
      <c r="AI602" s="157">
        <f t="shared" si="25"/>
        <v>5</v>
      </c>
      <c r="AJ602" s="96"/>
      <c r="AK602" s="169"/>
      <c r="AL602" s="96"/>
      <c r="AM602" s="158">
        <f t="shared" si="12"/>
        <v>0</v>
      </c>
    </row>
    <row r="603" ht="22.5" customHeight="1">
      <c r="A603" s="167"/>
      <c r="B603" s="160" t="s">
        <v>54</v>
      </c>
      <c r="C603" s="160" t="s">
        <v>1131</v>
      </c>
      <c r="D603" s="161">
        <v>45959.0</v>
      </c>
      <c r="E603" s="124" t="str">
        <f t="shared" si="1"/>
        <v>2025</v>
      </c>
      <c r="F603" s="124" t="str">
        <f t="shared" si="2"/>
        <v>10 Okt</v>
      </c>
      <c r="G603" s="124" t="str">
        <f t="shared" si="3"/>
        <v>Rabu</v>
      </c>
      <c r="H603" s="160" t="s">
        <v>1450</v>
      </c>
      <c r="I603" s="125" t="str">
        <f t="array" ref="I603">IFNA(XLOOKUP($H603,'🙎‍♂️ Pasien'!$G$7:$G658,'🙎‍♂️ Pasien'!$H$7:$H658),"")</f>
        <v>T5525065588</v>
      </c>
      <c r="J603" s="125" t="str">
        <f t="array" ref="J603">IFNA(XLOOKUP($H603,'🙎‍♂️ Pasien'!$G$7:$G658,'🙎‍♂️ Pasien'!$L$7:$L658),"")</f>
        <v>LAKI-LAKI</v>
      </c>
      <c r="K603" s="125">
        <f t="array" ref="K603">IFNA(XLOOKUP($H603,'🙎‍♂️ Pasien'!$G$7:$G658,'🙎‍♂️ Pasien'!$I$7:$I658),"")</f>
        <v>70</v>
      </c>
      <c r="L603" s="160" t="s">
        <v>101</v>
      </c>
      <c r="M603" s="162" t="str">
        <f t="array" ref="M603">IFNA(XLOOKUP(L603,'⚙️ Pengaturan'!$H$5:$H658,'⚙️ Pengaturan'!$I$5:$I658),"")</f>
        <v>MANAJEMEN</v>
      </c>
      <c r="N603" s="163" t="s">
        <v>1132</v>
      </c>
      <c r="O603" s="160" t="s">
        <v>1133</v>
      </c>
      <c r="P603" s="153">
        <f t="shared" si="13"/>
        <v>5</v>
      </c>
      <c r="Q603" s="164">
        <v>45959.0</v>
      </c>
      <c r="R603" s="164">
        <v>45966.0</v>
      </c>
      <c r="S603" s="164">
        <v>45973.0</v>
      </c>
      <c r="T603" s="164">
        <v>45980.0</v>
      </c>
      <c r="U603" s="164">
        <v>45994.0</v>
      </c>
      <c r="V603" s="164"/>
      <c r="W603" s="164"/>
      <c r="X603" s="164"/>
      <c r="Y603" s="164"/>
      <c r="Z603" s="164"/>
      <c r="AA603" s="165">
        <f t="shared" si="20"/>
        <v>45994</v>
      </c>
      <c r="AB603" s="160" t="s">
        <v>1144</v>
      </c>
      <c r="AC603" s="172"/>
      <c r="AD603" s="166"/>
      <c r="AE603" s="156">
        <f t="shared" si="21"/>
        <v>45994</v>
      </c>
      <c r="AF603" s="107" t="str">
        <f t="shared" si="22"/>
        <v>2025</v>
      </c>
      <c r="AG603" s="107" t="str">
        <f t="shared" si="23"/>
        <v>12 Des</v>
      </c>
      <c r="AH603" s="107" t="str">
        <f t="shared" si="24"/>
        <v>Rab</v>
      </c>
      <c r="AI603" s="157">
        <f t="shared" si="25"/>
        <v>5</v>
      </c>
      <c r="AJ603" s="96"/>
      <c r="AK603" s="169"/>
      <c r="AL603" s="96"/>
      <c r="AM603" s="158">
        <f t="shared" si="12"/>
        <v>0</v>
      </c>
    </row>
    <row r="604" ht="22.5" customHeight="1">
      <c r="A604" s="167"/>
      <c r="B604" s="160" t="s">
        <v>86</v>
      </c>
      <c r="C604" s="160" t="s">
        <v>1131</v>
      </c>
      <c r="D604" s="161">
        <v>45894.0</v>
      </c>
      <c r="E604" s="124" t="str">
        <f t="shared" si="1"/>
        <v>2025</v>
      </c>
      <c r="F604" s="124" t="str">
        <f t="shared" si="2"/>
        <v>08 Agu</v>
      </c>
      <c r="G604" s="124" t="str">
        <f t="shared" si="3"/>
        <v>Senin</v>
      </c>
      <c r="H604" s="160" t="s">
        <v>1451</v>
      </c>
      <c r="I604" s="125" t="str">
        <f t="array" ref="I604">IFNA(XLOOKUP($H604,'🙎‍♂️ Pasien'!$G$7:$G658,'🙎‍♂️ Pasien'!$H$7:$H658),"")</f>
        <v>T6825081630</v>
      </c>
      <c r="J604" s="125" t="str">
        <f t="array" ref="J604">IFNA(XLOOKUP($H604,'🙎‍♂️ Pasien'!$G$7:$G658,'🙎‍♂️ Pasien'!$L$7:$L658),"")</f>
        <v>PEREMPUAN</v>
      </c>
      <c r="K604" s="125">
        <f t="array" ref="K604">IFNA(XLOOKUP($H604,'🙎‍♂️ Pasien'!$G$7:$G658,'🙎‍♂️ Pasien'!$I$7:$I658),"")</f>
        <v>57</v>
      </c>
      <c r="L604" s="160" t="s">
        <v>62</v>
      </c>
      <c r="M604" s="162" t="str">
        <f t="array" ref="M604">IFNA(XLOOKUP(L604,'⚙️ Pengaturan'!$H$5:$H658,'⚙️ Pengaturan'!$I$5:$I658),"")</f>
        <v>TIM A</v>
      </c>
      <c r="N604" s="163" t="s">
        <v>1132</v>
      </c>
      <c r="O604" s="160" t="s">
        <v>1133</v>
      </c>
      <c r="P604" s="153">
        <f t="shared" si="13"/>
        <v>5</v>
      </c>
      <c r="Q604" s="164">
        <v>45897.0</v>
      </c>
      <c r="R604" s="164">
        <v>45899.0</v>
      </c>
      <c r="S604" s="164">
        <v>45901.0</v>
      </c>
      <c r="T604" s="164">
        <v>45911.0</v>
      </c>
      <c r="U604" s="164">
        <v>45922.0</v>
      </c>
      <c r="V604" s="164"/>
      <c r="W604" s="164"/>
      <c r="X604" s="164"/>
      <c r="Y604" s="164"/>
      <c r="Z604" s="164"/>
      <c r="AA604" s="165">
        <f t="shared" si="20"/>
        <v>45922</v>
      </c>
      <c r="AB604" s="160" t="s">
        <v>1134</v>
      </c>
      <c r="AC604" s="174"/>
      <c r="AD604" s="166"/>
      <c r="AE604" s="156">
        <f t="shared" si="21"/>
        <v>45922</v>
      </c>
      <c r="AF604" s="107" t="str">
        <f t="shared" si="22"/>
        <v>2025</v>
      </c>
      <c r="AG604" s="107" t="str">
        <f t="shared" si="23"/>
        <v>09 Sep</v>
      </c>
      <c r="AH604" s="107" t="str">
        <f t="shared" si="24"/>
        <v>Sen</v>
      </c>
      <c r="AI604" s="157">
        <f t="shared" si="25"/>
        <v>4</v>
      </c>
      <c r="AJ604" s="96"/>
      <c r="AK604" s="169"/>
      <c r="AL604" s="96"/>
      <c r="AM604" s="158">
        <f t="shared" si="12"/>
        <v>0</v>
      </c>
    </row>
    <row r="605" ht="22.5" customHeight="1">
      <c r="A605" s="167"/>
      <c r="B605" s="160" t="s">
        <v>86</v>
      </c>
      <c r="C605" s="160" t="s">
        <v>1131</v>
      </c>
      <c r="D605" s="161">
        <v>45955.0</v>
      </c>
      <c r="E605" s="124" t="str">
        <f t="shared" si="1"/>
        <v>2025</v>
      </c>
      <c r="F605" s="124" t="str">
        <f t="shared" si="2"/>
        <v>10 Okt</v>
      </c>
      <c r="G605" s="124" t="str">
        <f t="shared" si="3"/>
        <v>Sabtu</v>
      </c>
      <c r="H605" s="160" t="s">
        <v>341</v>
      </c>
      <c r="I605" s="125" t="str">
        <f t="array" ref="I605">IFNA(XLOOKUP($H605,'🙎‍♂️ Pasien'!$G$7:$G658,'🙎‍♂️ Pasien'!$H$7:$H658),"")</f>
        <v>T7325100015</v>
      </c>
      <c r="J605" s="125" t="str">
        <f t="array" ref="J605">IFNA(XLOOKUP($H605,'🙎‍♂️ Pasien'!$G$7:$G658,'🙎‍♂️ Pasien'!$L$7:$L658),"")</f>
        <v>PEREMPUAN</v>
      </c>
      <c r="K605" s="125">
        <f t="array" ref="K605">IFNA(XLOOKUP($H605,'🙎‍♂️ Pasien'!$G$7:$G658,'🙎‍♂️ Pasien'!$I$7:$I658),"")</f>
        <v>53</v>
      </c>
      <c r="L605" s="160" t="s">
        <v>62</v>
      </c>
      <c r="M605" s="162" t="str">
        <f t="array" ref="M605">IFNA(XLOOKUP(L605,'⚙️ Pengaturan'!$H$5:$H658,'⚙️ Pengaturan'!$I$5:$I658),"")</f>
        <v>TIM A</v>
      </c>
      <c r="N605" s="163" t="s">
        <v>1132</v>
      </c>
      <c r="O605" s="160" t="s">
        <v>1133</v>
      </c>
      <c r="P605" s="153">
        <f t="shared" si="13"/>
        <v>5</v>
      </c>
      <c r="Q605" s="164">
        <v>45955.0</v>
      </c>
      <c r="R605" s="164">
        <v>45960.0</v>
      </c>
      <c r="S605" s="164">
        <v>45964.0</v>
      </c>
      <c r="T605" s="164">
        <v>45967.0</v>
      </c>
      <c r="U605" s="164">
        <v>45980.0</v>
      </c>
      <c r="V605" s="164"/>
      <c r="W605" s="164"/>
      <c r="X605" s="164"/>
      <c r="Y605" s="164"/>
      <c r="Z605" s="164"/>
      <c r="AA605" s="165">
        <f t="shared" si="20"/>
        <v>45980</v>
      </c>
      <c r="AB605" s="160" t="s">
        <v>1134</v>
      </c>
      <c r="AC605" s="160" t="s">
        <v>1138</v>
      </c>
      <c r="AD605" s="166"/>
      <c r="AE605" s="156">
        <f t="shared" si="21"/>
        <v>45980</v>
      </c>
      <c r="AF605" s="107" t="str">
        <f t="shared" si="22"/>
        <v>2025</v>
      </c>
      <c r="AG605" s="107" t="str">
        <f t="shared" si="23"/>
        <v>11 Nov</v>
      </c>
      <c r="AH605" s="107" t="str">
        <f t="shared" si="24"/>
        <v>Rab</v>
      </c>
      <c r="AI605" s="157">
        <f t="shared" si="25"/>
        <v>4</v>
      </c>
      <c r="AJ605" s="96"/>
      <c r="AK605" s="169"/>
      <c r="AL605" s="96"/>
      <c r="AM605" s="158">
        <f t="shared" si="12"/>
        <v>0</v>
      </c>
    </row>
    <row r="606" ht="22.5" customHeight="1">
      <c r="A606" s="167"/>
      <c r="B606" s="160" t="s">
        <v>86</v>
      </c>
      <c r="C606" s="160" t="s">
        <v>1170</v>
      </c>
      <c r="D606" s="161">
        <v>45990.0</v>
      </c>
      <c r="E606" s="124" t="str">
        <f t="shared" si="1"/>
        <v>2025</v>
      </c>
      <c r="F606" s="124" t="str">
        <f t="shared" si="2"/>
        <v>11 Nov</v>
      </c>
      <c r="G606" s="124" t="str">
        <f t="shared" si="3"/>
        <v>Sabtu</v>
      </c>
      <c r="H606" s="160" t="s">
        <v>341</v>
      </c>
      <c r="I606" s="125" t="str">
        <f t="array" ref="I606">IFNA(XLOOKUP($H606,'🙎‍♂️ Pasien'!$G$7:$G658,'🙎‍♂️ Pasien'!$H$7:$H658),"")</f>
        <v>T7325100015</v>
      </c>
      <c r="J606" s="125" t="str">
        <f t="array" ref="J606">IFNA(XLOOKUP($H606,'🙎‍♂️ Pasien'!$G$7:$G658,'🙎‍♂️ Pasien'!$L$7:$L658),"")</f>
        <v>PEREMPUAN</v>
      </c>
      <c r="K606" s="125">
        <f t="array" ref="K606">IFNA(XLOOKUP($H606,'🙎‍♂️ Pasien'!$G$7:$G658,'🙎‍♂️ Pasien'!$I$7:$I658),"")</f>
        <v>53</v>
      </c>
      <c r="L606" s="160" t="s">
        <v>62</v>
      </c>
      <c r="M606" s="162" t="str">
        <f t="array" ref="M606">IFNA(XLOOKUP(L606,'⚙️ Pengaturan'!$H$5:$H658,'⚙️ Pengaturan'!$I$5:$I658),"")</f>
        <v>TIM A</v>
      </c>
      <c r="N606" s="163" t="s">
        <v>1132</v>
      </c>
      <c r="O606" s="160" t="s">
        <v>1133</v>
      </c>
      <c r="P606" s="153">
        <f t="shared" si="13"/>
        <v>1</v>
      </c>
      <c r="Q606" s="164">
        <v>45990.0</v>
      </c>
      <c r="R606" s="164"/>
      <c r="S606" s="164"/>
      <c r="T606" s="164"/>
      <c r="U606" s="164"/>
      <c r="V606" s="164"/>
      <c r="W606" s="164"/>
      <c r="X606" s="164"/>
      <c r="Y606" s="164"/>
      <c r="Z606" s="164"/>
      <c r="AA606" s="165">
        <f t="shared" si="20"/>
        <v>45990</v>
      </c>
      <c r="AB606" s="160" t="s">
        <v>1144</v>
      </c>
      <c r="AC606" s="172"/>
      <c r="AD606" s="166"/>
      <c r="AE606" s="156" t="str">
        <f t="shared" si="21"/>
        <v/>
      </c>
      <c r="AF606" s="107" t="str">
        <f t="shared" si="22"/>
        <v/>
      </c>
      <c r="AG606" s="107" t="str">
        <f t="shared" si="23"/>
        <v/>
      </c>
      <c r="AH606" s="107" t="str">
        <f t="shared" si="24"/>
        <v/>
      </c>
      <c r="AI606" s="157">
        <f t="shared" si="25"/>
        <v>28</v>
      </c>
      <c r="AJ606" s="96"/>
      <c r="AK606" s="169"/>
      <c r="AL606" s="96"/>
      <c r="AM606" s="158">
        <f t="shared" si="12"/>
        <v>0</v>
      </c>
    </row>
    <row r="607" ht="22.5" customHeight="1">
      <c r="A607" s="167"/>
      <c r="B607" s="160" t="s">
        <v>54</v>
      </c>
      <c r="C607" s="172"/>
      <c r="D607" s="161">
        <v>45801.0</v>
      </c>
      <c r="E607" s="124" t="str">
        <f t="shared" si="1"/>
        <v>2025</v>
      </c>
      <c r="F607" s="124" t="str">
        <f t="shared" si="2"/>
        <v>05 Mei</v>
      </c>
      <c r="G607" s="124" t="str">
        <f t="shared" si="3"/>
        <v>Sabtu</v>
      </c>
      <c r="H607" s="160" t="s">
        <v>1452</v>
      </c>
      <c r="I607" s="125" t="str">
        <f t="array" ref="I607">IFNA(XLOOKUP($H607,'🙎‍♂️ Pasien'!$G$7:$G658,'🙎‍♂️ Pasien'!$H$7:$H658),"")</f>
        <v>U9625058921</v>
      </c>
      <c r="J607" s="125" t="str">
        <f t="array" ref="J607">IFNA(XLOOKUP($H607,'🙎‍♂️ Pasien'!$G$7:$G658,'🙎‍♂️ Pasien'!$L$7:$L658),"")</f>
        <v>PEREMPUAN</v>
      </c>
      <c r="K607" s="125">
        <f t="array" ref="K607">IFNA(XLOOKUP($H607,'🙎‍♂️ Pasien'!$G$7:$G658,'🙎‍♂️ Pasien'!$I$7:$I658),"")</f>
        <v>29</v>
      </c>
      <c r="L607" s="160" t="s">
        <v>72</v>
      </c>
      <c r="M607" s="162" t="str">
        <f t="array" ref="M607">IFNA(XLOOKUP(L607,'⚙️ Pengaturan'!$H$5:$H658,'⚙️ Pengaturan'!$I$5:$I658),"")</f>
        <v>TIM A</v>
      </c>
      <c r="N607" s="160" t="s">
        <v>1132</v>
      </c>
      <c r="O607" s="160" t="s">
        <v>1133</v>
      </c>
      <c r="P607" s="153">
        <f t="shared" si="13"/>
        <v>3</v>
      </c>
      <c r="Q607" s="164">
        <v>45802.0</v>
      </c>
      <c r="R607" s="164">
        <v>45803.0</v>
      </c>
      <c r="S607" s="164">
        <v>45804.0</v>
      </c>
      <c r="T607" s="164"/>
      <c r="U607" s="164"/>
      <c r="V607" s="164"/>
      <c r="W607" s="164"/>
      <c r="X607" s="164"/>
      <c r="Y607" s="164"/>
      <c r="Z607" s="164"/>
      <c r="AA607" s="165">
        <f t="shared" si="20"/>
        <v>45804</v>
      </c>
      <c r="AB607" s="160" t="s">
        <v>1144</v>
      </c>
      <c r="AC607" s="174"/>
      <c r="AD607" s="166"/>
      <c r="AE607" s="156" t="str">
        <f t="shared" si="21"/>
        <v/>
      </c>
      <c r="AF607" s="107" t="str">
        <f t="shared" si="22"/>
        <v/>
      </c>
      <c r="AG607" s="107" t="str">
        <f t="shared" si="23"/>
        <v/>
      </c>
      <c r="AH607" s="107" t="str">
        <f t="shared" si="24"/>
        <v/>
      </c>
      <c r="AI607" s="157">
        <f t="shared" si="25"/>
        <v>55</v>
      </c>
      <c r="AJ607" s="96"/>
      <c r="AK607" s="169"/>
      <c r="AL607" s="96"/>
      <c r="AM607" s="158">
        <f t="shared" si="12"/>
        <v>0</v>
      </c>
    </row>
    <row r="608" ht="22.5" customHeight="1">
      <c r="A608" s="167"/>
      <c r="B608" s="171"/>
      <c r="C608" s="171"/>
      <c r="D608" s="161">
        <v>45636.0</v>
      </c>
      <c r="E608" s="124" t="str">
        <f t="shared" si="1"/>
        <v>2024</v>
      </c>
      <c r="F608" s="124" t="str">
        <f t="shared" si="2"/>
        <v>12 Des</v>
      </c>
      <c r="G608" s="124" t="str">
        <f t="shared" si="3"/>
        <v>Selasa</v>
      </c>
      <c r="H608" s="16" t="s">
        <v>1453</v>
      </c>
      <c r="I608" s="125" t="str">
        <f t="array" ref="I608">IFNA(XLOOKUP($H608,'🙎‍♂️ Pasien'!$G$7:$G658,'🙎‍♂️ Pasien'!$H$7:$H658),"")</f>
        <v>U6824034194</v>
      </c>
      <c r="J608" s="125" t="str">
        <f t="array" ref="J608">IFNA(XLOOKUP($H608,'🙎‍♂️ Pasien'!$G$7:$G658,'🙎‍♂️ Pasien'!$L$7:$L658),"")</f>
        <v>PEREMPUAN</v>
      </c>
      <c r="K608" s="125">
        <f t="array" ref="K608">IFNA(XLOOKUP($H608,'🙎‍♂️ Pasien'!$G$7:$G658,'🙎‍♂️ Pasien'!$I$7:$I658),"")</f>
        <v>58</v>
      </c>
      <c r="L608" s="16" t="s">
        <v>91</v>
      </c>
      <c r="M608" s="125" t="str">
        <f t="array" ref="M608">IFNA(XLOOKUP(L608,'⚙️ Pengaturan'!$H$5:$H658,'⚙️ Pengaturan'!$I$5:$I658),"")</f>
        <v>TIM Y</v>
      </c>
      <c r="N608" s="16" t="s">
        <v>1137</v>
      </c>
      <c r="O608" s="16" t="s">
        <v>1133</v>
      </c>
      <c r="P608" s="153">
        <f t="shared" si="13"/>
        <v>8</v>
      </c>
      <c r="Q608" s="154">
        <v>45636.0</v>
      </c>
      <c r="R608" s="154">
        <v>45643.0</v>
      </c>
      <c r="S608" s="154">
        <v>45650.0</v>
      </c>
      <c r="T608" s="154">
        <v>45666.0</v>
      </c>
      <c r="U608" s="154">
        <v>45671.0</v>
      </c>
      <c r="V608" s="154">
        <v>45678.0</v>
      </c>
      <c r="W608" s="154">
        <v>45685.0</v>
      </c>
      <c r="X608" s="154">
        <v>45693.0</v>
      </c>
      <c r="Y608" s="154"/>
      <c r="Z608" s="154"/>
      <c r="AA608" s="155">
        <f t="shared" si="20"/>
        <v>45693</v>
      </c>
      <c r="AB608" s="16" t="s">
        <v>1144</v>
      </c>
      <c r="AC608" s="20"/>
      <c r="AD608" s="170"/>
      <c r="AE608" s="156" t="str">
        <f t="shared" si="21"/>
        <v/>
      </c>
      <c r="AF608" s="107" t="str">
        <f t="shared" si="22"/>
        <v/>
      </c>
      <c r="AG608" s="107" t="str">
        <f t="shared" si="23"/>
        <v/>
      </c>
      <c r="AH608" s="107" t="str">
        <f t="shared" si="24"/>
        <v/>
      </c>
      <c r="AI608" s="157">
        <f t="shared" si="25"/>
        <v>78</v>
      </c>
      <c r="AJ608" s="96"/>
      <c r="AK608" s="169"/>
      <c r="AL608" s="96"/>
      <c r="AM608" s="158">
        <f t="shared" si="12"/>
        <v>0</v>
      </c>
    </row>
    <row r="609" ht="22.5" customHeight="1">
      <c r="A609" s="167"/>
      <c r="B609" s="160" t="s">
        <v>134</v>
      </c>
      <c r="C609" s="160" t="s">
        <v>1131</v>
      </c>
      <c r="D609" s="161">
        <v>45854.0</v>
      </c>
      <c r="E609" s="124" t="str">
        <f t="shared" si="1"/>
        <v>2025</v>
      </c>
      <c r="F609" s="124" t="str">
        <f t="shared" si="2"/>
        <v>07 Jul</v>
      </c>
      <c r="G609" s="124" t="str">
        <f t="shared" si="3"/>
        <v>Rabu</v>
      </c>
      <c r="H609" s="160" t="s">
        <v>1454</v>
      </c>
      <c r="I609" s="125" t="str">
        <f t="array" ref="I609">IFNA(XLOOKUP($H609,'🙎‍♂️ Pasien'!$G$7:$G658,'🙎‍♂️ Pasien'!$H$7:$H658),"")</f>
        <v>U6025070873</v>
      </c>
      <c r="J609" s="125" t="str">
        <f t="array" ref="J609">IFNA(XLOOKUP($H609,'🙎‍♂️ Pasien'!$G$7:$G658,'🙎‍♂️ Pasien'!$L$7:$L658),"")</f>
        <v>PEREMPUAN</v>
      </c>
      <c r="K609" s="125">
        <f t="array" ref="K609">IFNA(XLOOKUP($H609,'🙎‍♂️ Pasien'!$G$7:$G658,'🙎‍♂️ Pasien'!$I$7:$I658),"")</f>
        <v>66</v>
      </c>
      <c r="L609" s="160" t="s">
        <v>79</v>
      </c>
      <c r="M609" s="162" t="str">
        <f t="array" ref="M609">IFNA(XLOOKUP(L609,'⚙️ Pengaturan'!$H$5:$H658,'⚙️ Pengaturan'!$I$5:$I658),"")</f>
        <v>TIM A</v>
      </c>
      <c r="N609" s="163" t="s">
        <v>1132</v>
      </c>
      <c r="O609" s="160" t="s">
        <v>1133</v>
      </c>
      <c r="P609" s="153">
        <f t="shared" si="13"/>
        <v>5</v>
      </c>
      <c r="Q609" s="164">
        <v>45854.0</v>
      </c>
      <c r="R609" s="164">
        <v>45858.0</v>
      </c>
      <c r="S609" s="164">
        <v>45861.0</v>
      </c>
      <c r="T609" s="164">
        <v>45865.0</v>
      </c>
      <c r="U609" s="164">
        <v>45868.0</v>
      </c>
      <c r="V609" s="164"/>
      <c r="W609" s="164"/>
      <c r="X609" s="164"/>
      <c r="Y609" s="164"/>
      <c r="Z609" s="164"/>
      <c r="AA609" s="165">
        <f t="shared" si="20"/>
        <v>45868</v>
      </c>
      <c r="AB609" s="160" t="s">
        <v>1134</v>
      </c>
      <c r="AC609" s="160" t="s">
        <v>1135</v>
      </c>
      <c r="AD609" s="168" t="s">
        <v>1455</v>
      </c>
      <c r="AE609" s="156">
        <f t="shared" si="21"/>
        <v>45868</v>
      </c>
      <c r="AF609" s="107" t="str">
        <f t="shared" si="22"/>
        <v>2025</v>
      </c>
      <c r="AG609" s="107" t="str">
        <f t="shared" si="23"/>
        <v>07 Jul</v>
      </c>
      <c r="AH609" s="107" t="str">
        <f t="shared" si="24"/>
        <v>Rab</v>
      </c>
      <c r="AI609" s="157">
        <f t="shared" si="25"/>
        <v>2</v>
      </c>
      <c r="AJ609" s="96"/>
      <c r="AK609" s="169"/>
      <c r="AL609" s="96"/>
      <c r="AM609" s="158">
        <f t="shared" si="12"/>
        <v>0</v>
      </c>
    </row>
    <row r="610" ht="22.5" customHeight="1">
      <c r="A610" s="167"/>
      <c r="B610" s="160" t="s">
        <v>54</v>
      </c>
      <c r="C610" s="172"/>
      <c r="D610" s="173">
        <v>45752.0</v>
      </c>
      <c r="E610" s="124" t="str">
        <f t="shared" si="1"/>
        <v>2025</v>
      </c>
      <c r="F610" s="124" t="str">
        <f t="shared" si="2"/>
        <v>04 Apr</v>
      </c>
      <c r="G610" s="124" t="str">
        <f t="shared" si="3"/>
        <v>Sabtu</v>
      </c>
      <c r="H610" s="160" t="s">
        <v>1456</v>
      </c>
      <c r="I610" s="125" t="str">
        <f t="array" ref="I610">IFNA(XLOOKUP($H610,'🙎‍♂️ Pasien'!$G$7:$G658,'🙎‍♂️ Pasien'!$H$7:$H658),"")</f>
        <v>V6223056198</v>
      </c>
      <c r="J610" s="125" t="str">
        <f t="array" ref="J610">IFNA(XLOOKUP($H610,'🙎‍♂️ Pasien'!$G$7:$G658,'🙎‍♂️ Pasien'!$L$7:$L658),"")</f>
        <v>PEREMPUAN</v>
      </c>
      <c r="K610" s="125">
        <f t="array" ref="K610">IFNA(XLOOKUP($H610,'🙎‍♂️ Pasien'!$G$7:$G658,'🙎‍♂️ Pasien'!$I$7:$I658),"")</f>
        <v>64</v>
      </c>
      <c r="L610" s="160" t="s">
        <v>1152</v>
      </c>
      <c r="M610" s="162" t="str">
        <f t="array" ref="M610">IFNA(XLOOKUP(L610,'⚙️ Pengaturan'!$H$5:$H658,'⚙️ Pengaturan'!$I$5:$I658),"")</f>
        <v>INAKTIF</v>
      </c>
      <c r="N610" s="160" t="s">
        <v>1132</v>
      </c>
      <c r="O610" s="160" t="s">
        <v>1133</v>
      </c>
      <c r="P610" s="153">
        <f t="shared" si="13"/>
        <v>1</v>
      </c>
      <c r="Q610" s="164">
        <v>45752.0</v>
      </c>
      <c r="R610" s="164"/>
      <c r="S610" s="164"/>
      <c r="T610" s="164"/>
      <c r="U610" s="164"/>
      <c r="V610" s="164"/>
      <c r="W610" s="164"/>
      <c r="X610" s="164"/>
      <c r="Y610" s="164"/>
      <c r="Z610" s="164"/>
      <c r="AA610" s="165">
        <f t="shared" si="20"/>
        <v>45752</v>
      </c>
      <c r="AB610" s="160" t="s">
        <v>1144</v>
      </c>
      <c r="AC610" s="174"/>
      <c r="AD610" s="168"/>
      <c r="AE610" s="156" t="str">
        <f t="shared" si="21"/>
        <v/>
      </c>
      <c r="AF610" s="107" t="str">
        <f t="shared" si="22"/>
        <v/>
      </c>
      <c r="AG610" s="107" t="str">
        <f t="shared" si="23"/>
        <v/>
      </c>
      <c r="AH610" s="107" t="str">
        <f t="shared" si="24"/>
        <v/>
      </c>
      <c r="AI610" s="157">
        <f t="shared" si="25"/>
        <v>62</v>
      </c>
      <c r="AJ610" s="96"/>
      <c r="AK610" s="169"/>
      <c r="AL610" s="96"/>
      <c r="AM610" s="158">
        <f t="shared" si="12"/>
        <v>0</v>
      </c>
    </row>
    <row r="611" ht="22.5" customHeight="1">
      <c r="A611" s="167"/>
      <c r="B611" s="160" t="s">
        <v>86</v>
      </c>
      <c r="C611" s="160" t="s">
        <v>1131</v>
      </c>
      <c r="D611" s="161">
        <v>45989.0</v>
      </c>
      <c r="E611" s="124" t="str">
        <f t="shared" si="1"/>
        <v>2025</v>
      </c>
      <c r="F611" s="124" t="str">
        <f t="shared" si="2"/>
        <v>11 Nov</v>
      </c>
      <c r="G611" s="124" t="str">
        <f t="shared" si="3"/>
        <v>Jumat</v>
      </c>
      <c r="H611" s="160" t="s">
        <v>599</v>
      </c>
      <c r="I611" s="125" t="str">
        <f t="array" ref="I611">IFNA(XLOOKUP($H611,'🙎‍♂️ Pasien'!$G$7:$G658,'🙎‍♂️ Pasien'!$H$7:$H658),"")</f>
        <v>V8925118000</v>
      </c>
      <c r="J611" s="125" t="str">
        <f t="array" ref="J611">IFNA(XLOOKUP($H611,'🙎‍♂️ Pasien'!$G$7:$G658,'🙎‍♂️ Pasien'!$L$7:$L658),"")</f>
        <v>LAKI-LAKI</v>
      </c>
      <c r="K611" s="125">
        <f t="array" ref="K611">IFNA(XLOOKUP($H611,'🙎‍♂️ Pasien'!$G$7:$G658,'🙎‍♂️ Pasien'!$I$7:$I658),"")</f>
        <v>37</v>
      </c>
      <c r="L611" s="160" t="s">
        <v>88</v>
      </c>
      <c r="M611" s="162" t="str">
        <f t="array" ref="M611">IFNA(XLOOKUP(L611,'⚙️ Pengaturan'!$H$5:$H658,'⚙️ Pengaturan'!$I$5:$I658),"")</f>
        <v>TIM Y</v>
      </c>
      <c r="N611" s="163" t="s">
        <v>1132</v>
      </c>
      <c r="O611" s="160" t="s">
        <v>1133</v>
      </c>
      <c r="P611" s="153">
        <f t="shared" si="13"/>
        <v>2</v>
      </c>
      <c r="Q611" s="164">
        <v>45989.0</v>
      </c>
      <c r="R611" s="164">
        <v>45998.0</v>
      </c>
      <c r="S611" s="164"/>
      <c r="T611" s="164"/>
      <c r="U611" s="164"/>
      <c r="V611" s="164"/>
      <c r="W611" s="164"/>
      <c r="X611" s="164"/>
      <c r="Y611" s="164"/>
      <c r="Z611" s="164"/>
      <c r="AA611" s="165">
        <f t="shared" si="20"/>
        <v>45998</v>
      </c>
      <c r="AB611" s="160" t="s">
        <v>1144</v>
      </c>
      <c r="AC611" s="174"/>
      <c r="AD611" s="166"/>
      <c r="AE611" s="156" t="str">
        <f t="shared" si="21"/>
        <v/>
      </c>
      <c r="AF611" s="107" t="str">
        <f t="shared" si="22"/>
        <v/>
      </c>
      <c r="AG611" s="107" t="str">
        <f t="shared" si="23"/>
        <v/>
      </c>
      <c r="AH611" s="107" t="str">
        <f t="shared" si="24"/>
        <v/>
      </c>
      <c r="AI611" s="157">
        <f t="shared" si="25"/>
        <v>28</v>
      </c>
      <c r="AJ611" s="96"/>
      <c r="AK611" s="169"/>
      <c r="AL611" s="96"/>
      <c r="AM611" s="158">
        <f t="shared" si="12"/>
        <v>0</v>
      </c>
    </row>
    <row r="612" ht="22.5" customHeight="1">
      <c r="A612" s="167"/>
      <c r="B612" s="20"/>
      <c r="C612" s="20"/>
      <c r="D612" s="123">
        <v>45626.0</v>
      </c>
      <c r="E612" s="124" t="str">
        <f t="shared" si="1"/>
        <v>2024</v>
      </c>
      <c r="F612" s="124" t="str">
        <f t="shared" si="2"/>
        <v>11 Nov</v>
      </c>
      <c r="G612" s="124" t="str">
        <f t="shared" si="3"/>
        <v>Sabtu</v>
      </c>
      <c r="H612" s="16" t="s">
        <v>1457</v>
      </c>
      <c r="I612" s="125" t="str">
        <f t="array" ref="I612">IFNA(XLOOKUP($H612,'🙎‍♂️ Pasien'!$G$7:$G658,'🙎‍♂️ Pasien'!$H$7:$H658),"")</f>
        <v>V8924117131</v>
      </c>
      <c r="J612" s="125" t="str">
        <f t="array" ref="J612">IFNA(XLOOKUP($H612,'🙎‍♂️ Pasien'!$G$7:$G658,'🙎‍♂️ Pasien'!$L$7:$L658),"")</f>
        <v>PEREMPUAN</v>
      </c>
      <c r="K612" s="125">
        <f t="array" ref="K612">IFNA(XLOOKUP($H612,'🙎‍♂️ Pasien'!$G$7:$G658,'🙎‍♂️ Pasien'!$I$7:$I658),"")</f>
        <v>36</v>
      </c>
      <c r="L612" s="16" t="s">
        <v>91</v>
      </c>
      <c r="M612" s="125" t="str">
        <f t="array" ref="M612">IFNA(XLOOKUP(L612,'⚙️ Pengaturan'!$H$5:$H658,'⚙️ Pengaturan'!$I$5:$I658),"")</f>
        <v>TIM Y</v>
      </c>
      <c r="N612" s="16" t="s">
        <v>1132</v>
      </c>
      <c r="O612" s="16" t="s">
        <v>1133</v>
      </c>
      <c r="P612" s="153">
        <f t="shared" si="13"/>
        <v>0</v>
      </c>
      <c r="Q612" s="154"/>
      <c r="R612" s="154"/>
      <c r="S612" s="154"/>
      <c r="T612" s="154"/>
      <c r="U612" s="154"/>
      <c r="V612" s="154"/>
      <c r="W612" s="154"/>
      <c r="X612" s="154"/>
      <c r="Y612" s="154"/>
      <c r="Z612" s="154"/>
      <c r="AA612" s="155">
        <f t="shared" si="20"/>
        <v>45626</v>
      </c>
      <c r="AB612" s="16" t="s">
        <v>1144</v>
      </c>
      <c r="AC612" s="20"/>
      <c r="AD612" s="170"/>
      <c r="AE612" s="156" t="str">
        <f t="shared" si="21"/>
        <v/>
      </c>
      <c r="AF612" s="107" t="str">
        <f t="shared" si="22"/>
        <v/>
      </c>
      <c r="AG612" s="107" t="str">
        <f t="shared" si="23"/>
        <v/>
      </c>
      <c r="AH612" s="107" t="str">
        <f t="shared" si="24"/>
        <v/>
      </c>
      <c r="AI612" s="157" t="str">
        <f t="shared" si="25"/>
        <v/>
      </c>
      <c r="AJ612" s="96"/>
      <c r="AK612" s="169"/>
      <c r="AL612" s="96"/>
      <c r="AM612" s="158">
        <f t="shared" si="12"/>
        <v>0</v>
      </c>
    </row>
    <row r="613" ht="22.5" customHeight="1">
      <c r="A613" s="167"/>
      <c r="B613" s="160" t="s">
        <v>86</v>
      </c>
      <c r="C613" s="160" t="s">
        <v>1131</v>
      </c>
      <c r="D613" s="161">
        <v>45848.0</v>
      </c>
      <c r="E613" s="124" t="str">
        <f t="shared" si="1"/>
        <v>2025</v>
      </c>
      <c r="F613" s="124" t="str">
        <f t="shared" si="2"/>
        <v>07 Jul</v>
      </c>
      <c r="G613" s="124" t="str">
        <f t="shared" si="3"/>
        <v>Kamis</v>
      </c>
      <c r="H613" s="160" t="s">
        <v>665</v>
      </c>
      <c r="I613" s="125" t="str">
        <f t="array" ref="I613">IFNA(XLOOKUP($H613,'🙎‍♂️ Pasien'!$G$7:$G658,'🙎‍♂️ Pasien'!$H$7:$H658),"")</f>
        <v>V9225074870</v>
      </c>
      <c r="J613" s="125" t="str">
        <f t="array" ref="J613">IFNA(XLOOKUP($H613,'🙎‍♂️ Pasien'!$G$7:$G658,'🙎‍♂️ Pasien'!$L$7:$L658),"")</f>
        <v>PEREMPUAN</v>
      </c>
      <c r="K613" s="125">
        <f t="array" ref="K613">IFNA(XLOOKUP($H613,'🙎‍♂️ Pasien'!$G$7:$G658,'🙎‍♂️ Pasien'!$I$7:$I658),"")</f>
        <v>33</v>
      </c>
      <c r="L613" s="160" t="s">
        <v>62</v>
      </c>
      <c r="M613" s="162" t="str">
        <f t="array" ref="M613">IFNA(XLOOKUP(L613,'⚙️ Pengaturan'!$H$5:$H658,'⚙️ Pengaturan'!$I$5:$I658),"")</f>
        <v>TIM A</v>
      </c>
      <c r="N613" s="163" t="s">
        <v>1137</v>
      </c>
      <c r="O613" s="160" t="s">
        <v>1133</v>
      </c>
      <c r="P613" s="153">
        <f t="shared" si="13"/>
        <v>9</v>
      </c>
      <c r="Q613" s="164">
        <v>45848.0</v>
      </c>
      <c r="R613" s="164">
        <v>45854.0</v>
      </c>
      <c r="S613" s="164">
        <v>45857.0</v>
      </c>
      <c r="T613" s="164">
        <v>45861.0</v>
      </c>
      <c r="U613" s="164">
        <v>45864.0</v>
      </c>
      <c r="V613" s="164">
        <v>45873.0</v>
      </c>
      <c r="W613" s="164">
        <v>45876.0</v>
      </c>
      <c r="X613" s="164">
        <v>45880.0</v>
      </c>
      <c r="Y613" s="164">
        <v>46002.0</v>
      </c>
      <c r="Z613" s="164"/>
      <c r="AA613" s="165">
        <f t="shared" si="20"/>
        <v>46002</v>
      </c>
      <c r="AB613" s="160" t="s">
        <v>1144</v>
      </c>
      <c r="AC613" s="174"/>
      <c r="AD613" s="166"/>
      <c r="AE613" s="156" t="str">
        <f t="shared" si="21"/>
        <v/>
      </c>
      <c r="AF613" s="107" t="str">
        <f t="shared" si="22"/>
        <v/>
      </c>
      <c r="AG613" s="107" t="str">
        <f t="shared" si="23"/>
        <v/>
      </c>
      <c r="AH613" s="107" t="str">
        <f t="shared" si="24"/>
        <v/>
      </c>
      <c r="AI613" s="157">
        <f t="shared" si="25"/>
        <v>48</v>
      </c>
      <c r="AJ613" s="96"/>
      <c r="AK613" s="169"/>
      <c r="AL613" s="96"/>
      <c r="AM613" s="158">
        <f t="shared" si="12"/>
        <v>0</v>
      </c>
    </row>
    <row r="614" ht="22.5" customHeight="1">
      <c r="A614" s="167"/>
      <c r="B614" s="160" t="s">
        <v>86</v>
      </c>
      <c r="C614" s="160" t="s">
        <v>1131</v>
      </c>
      <c r="D614" s="161">
        <v>45990.0</v>
      </c>
      <c r="E614" s="124" t="str">
        <f t="shared" si="1"/>
        <v>2025</v>
      </c>
      <c r="F614" s="124" t="str">
        <f t="shared" si="2"/>
        <v>11 Nov</v>
      </c>
      <c r="G614" s="124" t="str">
        <f t="shared" si="3"/>
        <v>Sabtu</v>
      </c>
      <c r="H614" s="160" t="s">
        <v>578</v>
      </c>
      <c r="I614" s="125" t="str">
        <f t="array" ref="I614">IFNA(XLOOKUP($H614,'🙎‍♂️ Pasien'!$G$7:$G658,'🙎‍♂️ Pasien'!$H$7:$H658),"")</f>
        <v>V8825112988</v>
      </c>
      <c r="J614" s="125" t="str">
        <f t="array" ref="J614">IFNA(XLOOKUP($H614,'🙎‍♂️ Pasien'!$G$7:$G658,'🙎‍♂️ Pasien'!$L$7:$L658),"")</f>
        <v>PEREMPUAN</v>
      </c>
      <c r="K614" s="125">
        <f t="array" ref="K614">IFNA(XLOOKUP($H614,'🙎‍♂️ Pasien'!$G$7:$G658,'🙎‍♂️ Pasien'!$I$7:$I658),"")</f>
        <v>38</v>
      </c>
      <c r="L614" s="160" t="s">
        <v>91</v>
      </c>
      <c r="M614" s="162" t="str">
        <f t="array" ref="M614">IFNA(XLOOKUP(L614,'⚙️ Pengaturan'!$H$5:$H658,'⚙️ Pengaturan'!$I$5:$I658),"")</f>
        <v>TIM Y</v>
      </c>
      <c r="N614" s="163" t="s">
        <v>1132</v>
      </c>
      <c r="O614" s="160" t="s">
        <v>1133</v>
      </c>
      <c r="P614" s="153">
        <f t="shared" si="13"/>
        <v>5</v>
      </c>
      <c r="Q614" s="164">
        <v>45990.0</v>
      </c>
      <c r="R614" s="164">
        <v>45994.0</v>
      </c>
      <c r="S614" s="164">
        <v>45997.0</v>
      </c>
      <c r="T614" s="164">
        <v>46000.0</v>
      </c>
      <c r="U614" s="164">
        <v>46004.0</v>
      </c>
      <c r="V614" s="164"/>
      <c r="W614" s="164"/>
      <c r="X614" s="164"/>
      <c r="Y614" s="164"/>
      <c r="Z614" s="164"/>
      <c r="AA614" s="165">
        <f t="shared" si="20"/>
        <v>46004</v>
      </c>
      <c r="AB614" s="160" t="s">
        <v>1134</v>
      </c>
      <c r="AC614" s="160" t="s">
        <v>1135</v>
      </c>
      <c r="AD614" s="168" t="s">
        <v>1458</v>
      </c>
      <c r="AE614" s="156">
        <f t="shared" si="21"/>
        <v>46004</v>
      </c>
      <c r="AF614" s="107" t="str">
        <f t="shared" si="22"/>
        <v>2025</v>
      </c>
      <c r="AG614" s="107" t="str">
        <f t="shared" si="23"/>
        <v>12 Des</v>
      </c>
      <c r="AH614" s="107" t="str">
        <f t="shared" si="24"/>
        <v>Sab</v>
      </c>
      <c r="AI614" s="157">
        <f t="shared" si="25"/>
        <v>2</v>
      </c>
      <c r="AJ614" s="96"/>
      <c r="AK614" s="169"/>
      <c r="AL614" s="96"/>
      <c r="AM614" s="158">
        <f t="shared" si="12"/>
        <v>0</v>
      </c>
    </row>
    <row r="615" ht="22.5" customHeight="1">
      <c r="A615" s="167"/>
      <c r="B615" s="160" t="s">
        <v>86</v>
      </c>
      <c r="C615" s="160" t="s">
        <v>1131</v>
      </c>
      <c r="D615" s="161">
        <v>46000.0</v>
      </c>
      <c r="E615" s="124" t="str">
        <f t="shared" si="1"/>
        <v>2025</v>
      </c>
      <c r="F615" s="124" t="str">
        <f t="shared" si="2"/>
        <v>12 Des</v>
      </c>
      <c r="G615" s="124" t="str">
        <f t="shared" si="3"/>
        <v>Selasa</v>
      </c>
      <c r="H615" s="160" t="s">
        <v>685</v>
      </c>
      <c r="I615" s="125" t="str">
        <f t="array" ref="I615">IFNA(XLOOKUP($H615,'🙎‍♂️ Pasien'!$G$7:$G658,'🙎‍♂️ Pasien'!$H$7:$H658),"")</f>
        <v>W6425129394</v>
      </c>
      <c r="J615" s="125" t="str">
        <f t="array" ref="J615">IFNA(XLOOKUP($H615,'🙎‍♂️ Pasien'!$G$7:$G658,'🙎‍♂️ Pasien'!$L$7:$L658),"")</f>
        <v>LAKI-LAKI</v>
      </c>
      <c r="K615" s="125">
        <f t="array" ref="K615">IFNA(XLOOKUP($H615,'🙎‍♂️ Pasien'!$G$7:$G658,'🙎‍♂️ Pasien'!$I$7:$I658),"")</f>
        <v>61</v>
      </c>
      <c r="L615" s="160" t="s">
        <v>56</v>
      </c>
      <c r="M615" s="162" t="str">
        <f t="array" ref="M615">IFNA(XLOOKUP(L615,'⚙️ Pengaturan'!$H$5:$H658,'⚙️ Pengaturan'!$I$5:$I658),"")</f>
        <v>TIM Y</v>
      </c>
      <c r="N615" s="163" t="s">
        <v>1132</v>
      </c>
      <c r="O615" s="160" t="s">
        <v>1133</v>
      </c>
      <c r="P615" s="153">
        <f t="shared" si="13"/>
        <v>5</v>
      </c>
      <c r="Q615" s="164">
        <v>46001.0</v>
      </c>
      <c r="R615" s="164">
        <v>46005.0</v>
      </c>
      <c r="S615" s="164">
        <v>46009.0</v>
      </c>
      <c r="T615" s="164">
        <v>46015.0</v>
      </c>
      <c r="U615" s="164">
        <v>46019.0</v>
      </c>
      <c r="V615" s="164"/>
      <c r="W615" s="164"/>
      <c r="X615" s="164"/>
      <c r="Y615" s="164"/>
      <c r="Z615" s="164"/>
      <c r="AA615" s="165">
        <f t="shared" si="20"/>
        <v>46019</v>
      </c>
      <c r="AB615" s="160" t="s">
        <v>1134</v>
      </c>
      <c r="AC615" s="160" t="s">
        <v>1138</v>
      </c>
      <c r="AD615" s="166"/>
      <c r="AE615" s="156">
        <f t="shared" si="21"/>
        <v>46019</v>
      </c>
      <c r="AF615" s="107" t="str">
        <f t="shared" si="22"/>
        <v>2025</v>
      </c>
      <c r="AG615" s="107" t="str">
        <f t="shared" si="23"/>
        <v>12 Des</v>
      </c>
      <c r="AH615" s="107" t="str">
        <f t="shared" si="24"/>
        <v>Min</v>
      </c>
      <c r="AI615" s="157">
        <f t="shared" si="25"/>
        <v>3</v>
      </c>
      <c r="AJ615" s="96"/>
      <c r="AK615" s="169"/>
      <c r="AL615" s="96"/>
      <c r="AM615" s="158">
        <f t="shared" si="12"/>
        <v>1</v>
      </c>
    </row>
    <row r="616" ht="22.5" customHeight="1">
      <c r="A616" s="167"/>
      <c r="B616" s="160" t="s">
        <v>86</v>
      </c>
      <c r="C616" s="160" t="s">
        <v>1131</v>
      </c>
      <c r="D616" s="161">
        <v>45799.0</v>
      </c>
      <c r="E616" s="124" t="str">
        <f t="shared" si="1"/>
        <v>2025</v>
      </c>
      <c r="F616" s="124" t="str">
        <f t="shared" si="2"/>
        <v>05 Mei</v>
      </c>
      <c r="G616" s="124" t="str">
        <f t="shared" si="3"/>
        <v>Kamis</v>
      </c>
      <c r="H616" s="160" t="s">
        <v>245</v>
      </c>
      <c r="I616" s="125" t="str">
        <f t="array" ref="I616">IFNA(XLOOKUP($H616,'🙎‍♂️ Pasien'!$G$7:$G658,'🙎‍♂️ Pasien'!$H$7:$H658),"")</f>
        <v>W6524066023</v>
      </c>
      <c r="J616" s="125" t="str">
        <f t="array" ref="J616">IFNA(XLOOKUP($H616,'🙎‍♂️ Pasien'!$G$7:$G658,'🙎‍♂️ Pasien'!$L$7:$L658),"")</f>
        <v>LAKI-LAKI</v>
      </c>
      <c r="K616" s="125">
        <f t="array" ref="K616">IFNA(XLOOKUP($H616,'🙎‍♂️ Pasien'!$G$7:$G658,'🙎‍♂️ Pasien'!$I$7:$I658),"")</f>
        <v>60</v>
      </c>
      <c r="L616" s="160" t="s">
        <v>88</v>
      </c>
      <c r="M616" s="162" t="str">
        <f t="array" ref="M616">IFNA(XLOOKUP(L616,'⚙️ Pengaturan'!$H$5:$H658,'⚙️ Pengaturan'!$I$5:$I658),"")</f>
        <v>TIM Y</v>
      </c>
      <c r="N616" s="160" t="s">
        <v>1137</v>
      </c>
      <c r="O616" s="160" t="s">
        <v>1139</v>
      </c>
      <c r="P616" s="153">
        <f t="shared" si="13"/>
        <v>10</v>
      </c>
      <c r="Q616" s="164">
        <v>45820.0</v>
      </c>
      <c r="R616" s="164">
        <v>45825.0</v>
      </c>
      <c r="S616" s="164">
        <v>45827.0</v>
      </c>
      <c r="T616" s="164">
        <v>45831.0</v>
      </c>
      <c r="U616" s="164">
        <v>45834.0</v>
      </c>
      <c r="V616" s="164">
        <v>45838.0</v>
      </c>
      <c r="W616" s="164">
        <v>45841.0</v>
      </c>
      <c r="X616" s="164">
        <v>45894.0</v>
      </c>
      <c r="Y616" s="164">
        <v>45901.0</v>
      </c>
      <c r="Z616" s="164">
        <v>45908.0</v>
      </c>
      <c r="AA616" s="165">
        <f t="shared" si="20"/>
        <v>45908</v>
      </c>
      <c r="AB616" s="160" t="s">
        <v>1134</v>
      </c>
      <c r="AC616" s="160" t="s">
        <v>1138</v>
      </c>
      <c r="AD616" s="166"/>
      <c r="AE616" s="156">
        <f t="shared" si="21"/>
        <v>45908</v>
      </c>
      <c r="AF616" s="107" t="str">
        <f t="shared" si="22"/>
        <v>2025</v>
      </c>
      <c r="AG616" s="107" t="str">
        <f t="shared" si="23"/>
        <v>09 Sep</v>
      </c>
      <c r="AH616" s="107" t="str">
        <f t="shared" si="24"/>
        <v>Sen</v>
      </c>
      <c r="AI616" s="157">
        <f t="shared" si="25"/>
        <v>13</v>
      </c>
      <c r="AJ616" s="96"/>
      <c r="AK616" s="169"/>
      <c r="AL616" s="96"/>
      <c r="AM616" s="158">
        <f t="shared" si="12"/>
        <v>0</v>
      </c>
    </row>
    <row r="617" ht="22.5" customHeight="1">
      <c r="A617" s="167"/>
      <c r="B617" s="160" t="s">
        <v>86</v>
      </c>
      <c r="C617" s="160" t="s">
        <v>1131</v>
      </c>
      <c r="D617" s="161">
        <v>45911.0</v>
      </c>
      <c r="E617" s="124" t="str">
        <f t="shared" si="1"/>
        <v>2025</v>
      </c>
      <c r="F617" s="124" t="str">
        <f t="shared" si="2"/>
        <v>09 Sep</v>
      </c>
      <c r="G617" s="124" t="str">
        <f t="shared" si="3"/>
        <v>Kamis</v>
      </c>
      <c r="H617" s="160" t="s">
        <v>245</v>
      </c>
      <c r="I617" s="125" t="str">
        <f t="array" ref="I617">IFNA(XLOOKUP($H617,'🙎‍♂️ Pasien'!$G$7:$G658,'🙎‍♂️ Pasien'!$H$7:$H658),"")</f>
        <v>W6524066023</v>
      </c>
      <c r="J617" s="125" t="str">
        <f t="array" ref="J617">IFNA(XLOOKUP($H617,'🙎‍♂️ Pasien'!$G$7:$G658,'🙎‍♂️ Pasien'!$L$7:$L658),"")</f>
        <v>LAKI-LAKI</v>
      </c>
      <c r="K617" s="125">
        <f t="array" ref="K617">IFNA(XLOOKUP($H617,'🙎‍♂️ Pasien'!$G$7:$G658,'🙎‍♂️ Pasien'!$I$7:$I658),"")</f>
        <v>60</v>
      </c>
      <c r="L617" s="160" t="s">
        <v>88</v>
      </c>
      <c r="M617" s="162" t="str">
        <f t="array" ref="M617">IFNA(XLOOKUP(L617,'⚙️ Pengaturan'!$H$5:$H658,'⚙️ Pengaturan'!$I$5:$I658),"")</f>
        <v>TIM Y</v>
      </c>
      <c r="N617" s="160" t="s">
        <v>1137</v>
      </c>
      <c r="O617" s="160" t="s">
        <v>1139</v>
      </c>
      <c r="P617" s="153">
        <f t="shared" si="13"/>
        <v>10</v>
      </c>
      <c r="Q617" s="164">
        <v>45911.0</v>
      </c>
      <c r="R617" s="164">
        <v>45915.0</v>
      </c>
      <c r="S617" s="164">
        <v>45918.0</v>
      </c>
      <c r="T617" s="164">
        <v>45927.0</v>
      </c>
      <c r="U617" s="164">
        <v>45929.0</v>
      </c>
      <c r="V617" s="164">
        <v>45932.0</v>
      </c>
      <c r="W617" s="164">
        <v>45936.0</v>
      </c>
      <c r="X617" s="164">
        <v>45939.0</v>
      </c>
      <c r="Y617" s="164">
        <v>45946.0</v>
      </c>
      <c r="Z617" s="164">
        <v>45950.0</v>
      </c>
      <c r="AA617" s="165">
        <f t="shared" si="20"/>
        <v>45950</v>
      </c>
      <c r="AB617" s="160" t="s">
        <v>1134</v>
      </c>
      <c r="AC617" s="160" t="s">
        <v>1135</v>
      </c>
      <c r="AD617" s="168" t="s">
        <v>1198</v>
      </c>
      <c r="AE617" s="156">
        <f t="shared" si="21"/>
        <v>45950</v>
      </c>
      <c r="AF617" s="107" t="str">
        <f t="shared" si="22"/>
        <v>2025</v>
      </c>
      <c r="AG617" s="107" t="str">
        <f t="shared" si="23"/>
        <v>10 Okt</v>
      </c>
      <c r="AH617" s="107" t="str">
        <f t="shared" si="24"/>
        <v>Sen</v>
      </c>
      <c r="AI617" s="157">
        <f t="shared" si="25"/>
        <v>6</v>
      </c>
      <c r="AJ617" s="96"/>
      <c r="AK617" s="169"/>
      <c r="AL617" s="96"/>
      <c r="AM617" s="158">
        <f t="shared" si="12"/>
        <v>0</v>
      </c>
    </row>
    <row r="618" ht="22.5" customHeight="1">
      <c r="A618" s="167"/>
      <c r="B618" s="160" t="s">
        <v>54</v>
      </c>
      <c r="C618" s="160" t="s">
        <v>1131</v>
      </c>
      <c r="D618" s="161">
        <v>45836.0</v>
      </c>
      <c r="E618" s="124" t="str">
        <f t="shared" si="1"/>
        <v>2025</v>
      </c>
      <c r="F618" s="124" t="str">
        <f t="shared" si="2"/>
        <v>06 Jun</v>
      </c>
      <c r="G618" s="124" t="str">
        <f t="shared" si="3"/>
        <v>Sabtu</v>
      </c>
      <c r="H618" s="160" t="s">
        <v>787</v>
      </c>
      <c r="I618" s="125" t="str">
        <f t="array" ref="I618">IFNA(XLOOKUP($H618,'🙎‍♂️ Pasien'!$G$7:$G658,'🙎‍♂️ Pasien'!$H$7:$H658),"")</f>
        <v>W5325062288</v>
      </c>
      <c r="J618" s="125" t="str">
        <f t="array" ref="J618">IFNA(XLOOKUP($H618,'🙎‍♂️ Pasien'!$G$7:$G658,'🙎‍♂️ Pasien'!$L$7:$L658),"")</f>
        <v>LAKI-LAKI</v>
      </c>
      <c r="K618" s="125">
        <f t="array" ref="K618">IFNA(XLOOKUP($H618,'🙎‍♂️ Pasien'!$G$7:$G658,'🙎‍♂️ Pasien'!$I$7:$I658),"")</f>
        <v>73</v>
      </c>
      <c r="L618" s="160" t="s">
        <v>56</v>
      </c>
      <c r="M618" s="162" t="str">
        <f t="array" ref="M618">IFNA(XLOOKUP(L618,'⚙️ Pengaturan'!$H$5:$H658,'⚙️ Pengaturan'!$I$5:$I658),"")</f>
        <v>TIM Y</v>
      </c>
      <c r="N618" s="163" t="s">
        <v>1132</v>
      </c>
      <c r="O618" s="160" t="s">
        <v>1133</v>
      </c>
      <c r="P618" s="153">
        <f t="shared" si="13"/>
        <v>5</v>
      </c>
      <c r="Q618" s="164">
        <v>45836.0</v>
      </c>
      <c r="R618" s="164">
        <v>45843.0</v>
      </c>
      <c r="S618" s="164">
        <v>45850.0</v>
      </c>
      <c r="T618" s="164">
        <v>45857.0</v>
      </c>
      <c r="U618" s="164">
        <v>45864.0</v>
      </c>
      <c r="V618" s="164"/>
      <c r="W618" s="164"/>
      <c r="X618" s="164"/>
      <c r="Y618" s="164"/>
      <c r="Z618" s="164"/>
      <c r="AA618" s="165">
        <f t="shared" si="20"/>
        <v>45864</v>
      </c>
      <c r="AB618" s="160" t="s">
        <v>1134</v>
      </c>
      <c r="AC618" s="160" t="s">
        <v>1138</v>
      </c>
      <c r="AD618" s="166"/>
      <c r="AE618" s="156">
        <f t="shared" si="21"/>
        <v>45864</v>
      </c>
      <c r="AF618" s="107" t="str">
        <f t="shared" si="22"/>
        <v>2025</v>
      </c>
      <c r="AG618" s="107" t="str">
        <f t="shared" si="23"/>
        <v>07 Jul</v>
      </c>
      <c r="AH618" s="107" t="str">
        <f t="shared" si="24"/>
        <v>Sab</v>
      </c>
      <c r="AI618" s="157">
        <f t="shared" si="25"/>
        <v>4</v>
      </c>
      <c r="AJ618" s="96"/>
      <c r="AK618" s="169"/>
      <c r="AL618" s="96"/>
      <c r="AM618" s="158">
        <f t="shared" si="12"/>
        <v>0</v>
      </c>
    </row>
    <row r="619" ht="22.5" customHeight="1">
      <c r="A619" s="152"/>
      <c r="B619" s="160" t="s">
        <v>134</v>
      </c>
      <c r="C619" s="160" t="s">
        <v>1131</v>
      </c>
      <c r="D619" s="161">
        <v>45864.0</v>
      </c>
      <c r="E619" s="124" t="str">
        <f t="shared" si="1"/>
        <v>2025</v>
      </c>
      <c r="F619" s="124" t="str">
        <f t="shared" si="2"/>
        <v>07 Jul</v>
      </c>
      <c r="G619" s="124" t="str">
        <f t="shared" si="3"/>
        <v>Sabtu</v>
      </c>
      <c r="H619" s="160" t="s">
        <v>787</v>
      </c>
      <c r="I619" s="125" t="str">
        <f t="array" ref="I619">IFNA(XLOOKUP($H619,'🙎‍♂️ Pasien'!$G$7:$G658,'🙎‍♂️ Pasien'!$H$7:$H658),"")</f>
        <v>W5325062288</v>
      </c>
      <c r="J619" s="125" t="str">
        <f t="array" ref="J619">IFNA(XLOOKUP($H619,'🙎‍♂️ Pasien'!$G$7:$G658,'🙎‍♂️ Pasien'!$L$7:$L658),"")</f>
        <v>LAKI-LAKI</v>
      </c>
      <c r="K619" s="125">
        <f t="array" ref="K619">IFNA(XLOOKUP($H619,'🙎‍♂️ Pasien'!$G$7:$G658,'🙎‍♂️ Pasien'!$I$7:$I658),"")</f>
        <v>73</v>
      </c>
      <c r="L619" s="160" t="s">
        <v>56</v>
      </c>
      <c r="M619" s="162" t="str">
        <f t="array" ref="M619">IFNA(XLOOKUP(L619,'⚙️ Pengaturan'!$H$5:$H658,'⚙️ Pengaturan'!$I$5:$I658),"")</f>
        <v>TIM Y</v>
      </c>
      <c r="N619" s="163" t="s">
        <v>1132</v>
      </c>
      <c r="O619" s="160" t="s">
        <v>1139</v>
      </c>
      <c r="P619" s="153">
        <f t="shared" si="13"/>
        <v>5</v>
      </c>
      <c r="Q619" s="164">
        <v>45871.0</v>
      </c>
      <c r="R619" s="164">
        <v>45878.0</v>
      </c>
      <c r="S619" s="164">
        <v>45885.0</v>
      </c>
      <c r="T619" s="164">
        <v>45892.0</v>
      </c>
      <c r="U619" s="164">
        <v>45906.0</v>
      </c>
      <c r="V619" s="164"/>
      <c r="W619" s="164"/>
      <c r="X619" s="164"/>
      <c r="Y619" s="164"/>
      <c r="Z619" s="164"/>
      <c r="AA619" s="165">
        <f t="shared" si="20"/>
        <v>45906</v>
      </c>
      <c r="AB619" s="160" t="s">
        <v>1134</v>
      </c>
      <c r="AC619" s="160" t="s">
        <v>1138</v>
      </c>
      <c r="AD619" s="168" t="s">
        <v>827</v>
      </c>
      <c r="AE619" s="156">
        <f t="shared" si="21"/>
        <v>45906</v>
      </c>
      <c r="AF619" s="107" t="str">
        <f t="shared" si="22"/>
        <v>2025</v>
      </c>
      <c r="AG619" s="107" t="str">
        <f t="shared" si="23"/>
        <v>09 Sep</v>
      </c>
      <c r="AH619" s="107" t="str">
        <f t="shared" si="24"/>
        <v>Sab</v>
      </c>
      <c r="AI619" s="157">
        <f t="shared" si="25"/>
        <v>5</v>
      </c>
      <c r="AJ619" s="158"/>
      <c r="AK619" s="159"/>
      <c r="AL619" s="158"/>
      <c r="AM619" s="158">
        <f t="shared" si="12"/>
        <v>0</v>
      </c>
    </row>
    <row r="620" ht="22.5" customHeight="1">
      <c r="A620" s="167"/>
      <c r="B620" s="160" t="s">
        <v>54</v>
      </c>
      <c r="C620" s="160" t="s">
        <v>1131</v>
      </c>
      <c r="D620" s="161">
        <v>45914.0</v>
      </c>
      <c r="E620" s="124" t="str">
        <f t="shared" si="1"/>
        <v>2025</v>
      </c>
      <c r="F620" s="124" t="str">
        <f t="shared" si="2"/>
        <v>09 Sep</v>
      </c>
      <c r="G620" s="124" t="str">
        <f t="shared" si="3"/>
        <v>Minggu</v>
      </c>
      <c r="H620" s="160" t="s">
        <v>787</v>
      </c>
      <c r="I620" s="125" t="str">
        <f t="array" ref="I620">IFNA(XLOOKUP($H620,'🙎‍♂️ Pasien'!$G$7:$G658,'🙎‍♂️ Pasien'!$H$7:$H658),"")</f>
        <v>W5325062288</v>
      </c>
      <c r="J620" s="125" t="str">
        <f t="array" ref="J620">IFNA(XLOOKUP($H620,'🙎‍♂️ Pasien'!$G$7:$G658,'🙎‍♂️ Pasien'!$L$7:$L658),"")</f>
        <v>LAKI-LAKI</v>
      </c>
      <c r="K620" s="125">
        <f t="array" ref="K620">IFNA(XLOOKUP($H620,'🙎‍♂️ Pasien'!$G$7:$G658,'🙎‍♂️ Pasien'!$I$7:$I658),"")</f>
        <v>73</v>
      </c>
      <c r="L620" s="160" t="s">
        <v>56</v>
      </c>
      <c r="M620" s="162" t="str">
        <f t="array" ref="M620">IFNA(XLOOKUP(L620,'⚙️ Pengaturan'!$H$5:$H658,'⚙️ Pengaturan'!$I$5:$I658),"")</f>
        <v>TIM Y</v>
      </c>
      <c r="N620" s="163" t="s">
        <v>1132</v>
      </c>
      <c r="O620" s="160" t="s">
        <v>1139</v>
      </c>
      <c r="P620" s="153">
        <f t="shared" si="13"/>
        <v>5</v>
      </c>
      <c r="Q620" s="164">
        <v>45914.0</v>
      </c>
      <c r="R620" s="164">
        <v>45920.0</v>
      </c>
      <c r="S620" s="164">
        <v>45927.0</v>
      </c>
      <c r="T620" s="164">
        <v>45934.0</v>
      </c>
      <c r="U620" s="164">
        <v>45941.0</v>
      </c>
      <c r="V620" s="164"/>
      <c r="W620" s="164"/>
      <c r="X620" s="164"/>
      <c r="Y620" s="164"/>
      <c r="Z620" s="164"/>
      <c r="AA620" s="165">
        <f t="shared" si="20"/>
        <v>45941</v>
      </c>
      <c r="AB620" s="160" t="s">
        <v>1134</v>
      </c>
      <c r="AC620" s="160" t="s">
        <v>1138</v>
      </c>
      <c r="AD620" s="168"/>
      <c r="AE620" s="156">
        <f t="shared" si="21"/>
        <v>45941</v>
      </c>
      <c r="AF620" s="107" t="str">
        <f t="shared" si="22"/>
        <v>2025</v>
      </c>
      <c r="AG620" s="107" t="str">
        <f t="shared" si="23"/>
        <v>10 Okt</v>
      </c>
      <c r="AH620" s="107" t="str">
        <f t="shared" si="24"/>
        <v>Sab</v>
      </c>
      <c r="AI620" s="157">
        <f t="shared" si="25"/>
        <v>4</v>
      </c>
      <c r="AJ620" s="96"/>
      <c r="AK620" s="169"/>
      <c r="AL620" s="96"/>
      <c r="AM620" s="158">
        <f t="shared" si="12"/>
        <v>0</v>
      </c>
    </row>
    <row r="621" ht="22.5" customHeight="1">
      <c r="A621" s="167"/>
      <c r="B621" s="160" t="s">
        <v>86</v>
      </c>
      <c r="C621" s="160" t="s">
        <v>1131</v>
      </c>
      <c r="D621" s="161">
        <v>45948.0</v>
      </c>
      <c r="E621" s="124" t="str">
        <f t="shared" si="1"/>
        <v>2025</v>
      </c>
      <c r="F621" s="124" t="str">
        <f t="shared" si="2"/>
        <v>10 Okt</v>
      </c>
      <c r="G621" s="124" t="str">
        <f t="shared" si="3"/>
        <v>Sabtu</v>
      </c>
      <c r="H621" s="160" t="s">
        <v>787</v>
      </c>
      <c r="I621" s="125" t="str">
        <f t="array" ref="I621">IFNA(XLOOKUP($H621,'🙎‍♂️ Pasien'!$G$7:$G658,'🙎‍♂️ Pasien'!$H$7:$H658),"")</f>
        <v>W5325062288</v>
      </c>
      <c r="J621" s="125" t="str">
        <f t="array" ref="J621">IFNA(XLOOKUP($H621,'🙎‍♂️ Pasien'!$G$7:$G658,'🙎‍♂️ Pasien'!$L$7:$L658),"")</f>
        <v>LAKI-LAKI</v>
      </c>
      <c r="K621" s="125">
        <f t="array" ref="K621">IFNA(XLOOKUP($H621,'🙎‍♂️ Pasien'!$G$7:$G658,'🙎‍♂️ Pasien'!$I$7:$I658),"")</f>
        <v>73</v>
      </c>
      <c r="L621" s="160" t="s">
        <v>56</v>
      </c>
      <c r="M621" s="162" t="str">
        <f t="array" ref="M621">IFNA(XLOOKUP(L621,'⚙️ Pengaturan'!$H$5:$H658,'⚙️ Pengaturan'!$I$5:$I658),"")</f>
        <v>TIM Y</v>
      </c>
      <c r="N621" s="163" t="s">
        <v>1132</v>
      </c>
      <c r="O621" s="160" t="s">
        <v>1139</v>
      </c>
      <c r="P621" s="153">
        <f t="shared" si="13"/>
        <v>5</v>
      </c>
      <c r="Q621" s="164">
        <v>45948.0</v>
      </c>
      <c r="R621" s="164">
        <v>45955.0</v>
      </c>
      <c r="S621" s="164">
        <v>45962.0</v>
      </c>
      <c r="T621" s="164">
        <v>45969.0</v>
      </c>
      <c r="U621" s="164">
        <v>45976.0</v>
      </c>
      <c r="V621" s="164"/>
      <c r="W621" s="164"/>
      <c r="X621" s="164"/>
      <c r="Y621" s="164"/>
      <c r="Z621" s="164"/>
      <c r="AA621" s="165">
        <f t="shared" si="20"/>
        <v>45976</v>
      </c>
      <c r="AB621" s="160" t="s">
        <v>1134</v>
      </c>
      <c r="AC621" s="160" t="s">
        <v>1138</v>
      </c>
      <c r="AD621" s="168"/>
      <c r="AE621" s="156">
        <f t="shared" si="21"/>
        <v>45976</v>
      </c>
      <c r="AF621" s="107" t="str">
        <f t="shared" si="22"/>
        <v>2025</v>
      </c>
      <c r="AG621" s="107" t="str">
        <f t="shared" si="23"/>
        <v>11 Nov</v>
      </c>
      <c r="AH621" s="107" t="str">
        <f t="shared" si="24"/>
        <v>Sab</v>
      </c>
      <c r="AI621" s="157">
        <f t="shared" si="25"/>
        <v>4</v>
      </c>
      <c r="AJ621" s="96"/>
      <c r="AK621" s="169"/>
      <c r="AL621" s="96"/>
      <c r="AM621" s="158">
        <f t="shared" si="12"/>
        <v>0</v>
      </c>
    </row>
    <row r="622" ht="22.5" customHeight="1">
      <c r="A622" s="167"/>
      <c r="B622" s="160" t="s">
        <v>86</v>
      </c>
      <c r="C622" s="160" t="s">
        <v>1131</v>
      </c>
      <c r="D622" s="161">
        <v>45983.0</v>
      </c>
      <c r="E622" s="124" t="str">
        <f t="shared" si="1"/>
        <v>2025</v>
      </c>
      <c r="F622" s="124" t="str">
        <f t="shared" si="2"/>
        <v>11 Nov</v>
      </c>
      <c r="G622" s="124" t="str">
        <f t="shared" si="3"/>
        <v>Sabtu</v>
      </c>
      <c r="H622" s="160" t="s">
        <v>787</v>
      </c>
      <c r="I622" s="125" t="str">
        <f t="array" ref="I622">IFNA(XLOOKUP($H622,'🙎‍♂️ Pasien'!$G$7:$G658,'🙎‍♂️ Pasien'!$H$7:$H658),"")</f>
        <v>W5325062288</v>
      </c>
      <c r="J622" s="125" t="str">
        <f t="array" ref="J622">IFNA(XLOOKUP($H622,'🙎‍♂️ Pasien'!$G$7:$G658,'🙎‍♂️ Pasien'!$L$7:$L658),"")</f>
        <v>LAKI-LAKI</v>
      </c>
      <c r="K622" s="125">
        <f t="array" ref="K622">IFNA(XLOOKUP($H622,'🙎‍♂️ Pasien'!$G$7:$G658,'🙎‍♂️ Pasien'!$I$7:$I658),"")</f>
        <v>73</v>
      </c>
      <c r="L622" s="160" t="s">
        <v>88</v>
      </c>
      <c r="M622" s="162" t="str">
        <f t="array" ref="M622">IFNA(XLOOKUP(L622,'⚙️ Pengaturan'!$H$5:$H658,'⚙️ Pengaturan'!$I$5:$I658),"")</f>
        <v>TIM Y</v>
      </c>
      <c r="N622" s="163" t="s">
        <v>1132</v>
      </c>
      <c r="O622" s="160" t="s">
        <v>1139</v>
      </c>
      <c r="P622" s="153">
        <f t="shared" si="13"/>
        <v>5</v>
      </c>
      <c r="Q622" s="164">
        <v>45983.0</v>
      </c>
      <c r="R622" s="164">
        <v>45990.0</v>
      </c>
      <c r="S622" s="164">
        <v>45997.0</v>
      </c>
      <c r="T622" s="164">
        <v>46004.0</v>
      </c>
      <c r="U622" s="164">
        <v>46011.0</v>
      </c>
      <c r="V622" s="164"/>
      <c r="W622" s="164"/>
      <c r="X622" s="164"/>
      <c r="Y622" s="164"/>
      <c r="Z622" s="164"/>
      <c r="AA622" s="165">
        <f t="shared" si="20"/>
        <v>46011</v>
      </c>
      <c r="AB622" s="160" t="s">
        <v>1134</v>
      </c>
      <c r="AC622" s="160" t="s">
        <v>1138</v>
      </c>
      <c r="AD622" s="168"/>
      <c r="AE622" s="156">
        <f t="shared" si="21"/>
        <v>46011</v>
      </c>
      <c r="AF622" s="107" t="str">
        <f t="shared" si="22"/>
        <v>2025</v>
      </c>
      <c r="AG622" s="107" t="str">
        <f t="shared" si="23"/>
        <v>12 Des</v>
      </c>
      <c r="AH622" s="107" t="str">
        <f t="shared" si="24"/>
        <v>Sab</v>
      </c>
      <c r="AI622" s="157">
        <f t="shared" si="25"/>
        <v>4</v>
      </c>
      <c r="AJ622" s="96"/>
      <c r="AK622" s="169"/>
      <c r="AL622" s="96"/>
      <c r="AM622" s="158">
        <f t="shared" si="12"/>
        <v>0</v>
      </c>
    </row>
    <row r="623" ht="22.5" customHeight="1">
      <c r="A623" s="167"/>
      <c r="B623" s="160" t="s">
        <v>86</v>
      </c>
      <c r="C623" s="160" t="s">
        <v>1131</v>
      </c>
      <c r="D623" s="161">
        <v>46018.0</v>
      </c>
      <c r="E623" s="124" t="str">
        <f t="shared" si="1"/>
        <v>2025</v>
      </c>
      <c r="F623" s="124" t="str">
        <f t="shared" si="2"/>
        <v>12 Des</v>
      </c>
      <c r="G623" s="124" t="str">
        <f t="shared" si="3"/>
        <v>Sabtu</v>
      </c>
      <c r="H623" s="160" t="s">
        <v>787</v>
      </c>
      <c r="I623" s="125" t="str">
        <f t="array" ref="I623">IFNA(XLOOKUP($H623,'🙎‍♂️ Pasien'!$G$7:$G658,'🙎‍♂️ Pasien'!$H$7:$H658),"")</f>
        <v>W5325062288</v>
      </c>
      <c r="J623" s="125" t="str">
        <f t="array" ref="J623">IFNA(XLOOKUP($H623,'🙎‍♂️ Pasien'!$G$7:$G658,'🙎‍♂️ Pasien'!$L$7:$L658),"")</f>
        <v>LAKI-LAKI</v>
      </c>
      <c r="K623" s="125">
        <f t="array" ref="K623">IFNA(XLOOKUP($H623,'🙎‍♂️ Pasien'!$G$7:$G658,'🙎‍♂️ Pasien'!$I$7:$I658),"")</f>
        <v>73</v>
      </c>
      <c r="L623" s="160" t="s">
        <v>88</v>
      </c>
      <c r="M623" s="162" t="str">
        <f t="array" ref="M623">IFNA(XLOOKUP(L623,'⚙️ Pengaturan'!$H$5:$H658,'⚙️ Pengaturan'!$I$5:$I658),"")</f>
        <v>TIM Y</v>
      </c>
      <c r="N623" s="163" t="s">
        <v>1132</v>
      </c>
      <c r="O623" s="160" t="s">
        <v>1139</v>
      </c>
      <c r="P623" s="153">
        <f t="shared" si="13"/>
        <v>1</v>
      </c>
      <c r="Q623" s="164">
        <v>46018.0</v>
      </c>
      <c r="R623" s="164"/>
      <c r="S623" s="164"/>
      <c r="T623" s="164"/>
      <c r="U623" s="164"/>
      <c r="V623" s="164"/>
      <c r="W623" s="164"/>
      <c r="X623" s="164"/>
      <c r="Y623" s="164"/>
      <c r="Z623" s="164"/>
      <c r="AA623" s="165">
        <f t="shared" si="20"/>
        <v>46018</v>
      </c>
      <c r="AB623" s="160" t="s">
        <v>1144</v>
      </c>
      <c r="AC623" s="172"/>
      <c r="AD623" s="168"/>
      <c r="AE623" s="156" t="str">
        <f t="shared" si="21"/>
        <v/>
      </c>
      <c r="AF623" s="107" t="str">
        <f t="shared" si="22"/>
        <v/>
      </c>
      <c r="AG623" s="107" t="str">
        <f t="shared" si="23"/>
        <v/>
      </c>
      <c r="AH623" s="107" t="str">
        <f t="shared" si="24"/>
        <v/>
      </c>
      <c r="AI623" s="157">
        <f t="shared" si="25"/>
        <v>24</v>
      </c>
      <c r="AJ623" s="96"/>
      <c r="AK623" s="169"/>
      <c r="AL623" s="96"/>
      <c r="AM623" s="158">
        <f t="shared" si="12"/>
        <v>0</v>
      </c>
    </row>
    <row r="624" ht="22.5" customHeight="1">
      <c r="A624" s="167"/>
      <c r="B624" s="160" t="s">
        <v>134</v>
      </c>
      <c r="C624" s="160" t="s">
        <v>1131</v>
      </c>
      <c r="D624" s="161">
        <v>45864.0</v>
      </c>
      <c r="E624" s="124" t="str">
        <f t="shared" si="1"/>
        <v>2025</v>
      </c>
      <c r="F624" s="124" t="str">
        <f t="shared" si="2"/>
        <v>07 Jul</v>
      </c>
      <c r="G624" s="124" t="str">
        <f t="shared" si="3"/>
        <v>Sabtu</v>
      </c>
      <c r="H624" s="160" t="s">
        <v>1459</v>
      </c>
      <c r="I624" s="125" t="str">
        <f t="array" ref="I624">IFNA(XLOOKUP($H624,'🙎‍♂️ Pasien'!$G$7:$G658,'🙎‍♂️ Pasien'!$H$7:$H658),"")</f>
        <v>W9625074211</v>
      </c>
      <c r="J624" s="125" t="str">
        <f t="array" ref="J624">IFNA(XLOOKUP($H624,'🙎‍♂️ Pasien'!$G$7:$G658,'🙎‍♂️ Pasien'!$L$7:$L658),"")</f>
        <v>LAKI-LAKI</v>
      </c>
      <c r="K624" s="125">
        <f t="array" ref="K624">IFNA(XLOOKUP($H624,'🙎‍♂️ Pasien'!$G$7:$G658,'🙎‍♂️ Pasien'!$I$7:$I658),"")</f>
        <v>30</v>
      </c>
      <c r="L624" s="160" t="s">
        <v>79</v>
      </c>
      <c r="M624" s="162" t="str">
        <f t="array" ref="M624">IFNA(XLOOKUP(L624,'⚙️ Pengaturan'!$H$5:$H658,'⚙️ Pengaturan'!$I$5:$I658),"")</f>
        <v>TIM A</v>
      </c>
      <c r="N624" s="163" t="s">
        <v>1132</v>
      </c>
      <c r="O624" s="160" t="s">
        <v>1133</v>
      </c>
      <c r="P624" s="153">
        <f t="shared" si="13"/>
        <v>5</v>
      </c>
      <c r="Q624" s="164">
        <v>45864.0</v>
      </c>
      <c r="R624" s="164">
        <v>45866.0</v>
      </c>
      <c r="S624" s="164">
        <v>45868.0</v>
      </c>
      <c r="T624" s="164">
        <v>45870.0</v>
      </c>
      <c r="U624" s="164">
        <v>45873.0</v>
      </c>
      <c r="V624" s="164"/>
      <c r="W624" s="164"/>
      <c r="X624" s="164"/>
      <c r="Y624" s="164"/>
      <c r="Z624" s="164"/>
      <c r="AA624" s="165">
        <f t="shared" si="20"/>
        <v>45873</v>
      </c>
      <c r="AB624" s="160" t="s">
        <v>1134</v>
      </c>
      <c r="AC624" s="160" t="s">
        <v>1138</v>
      </c>
      <c r="AD624" s="168" t="s">
        <v>1460</v>
      </c>
      <c r="AE624" s="156">
        <f t="shared" si="21"/>
        <v>45873</v>
      </c>
      <c r="AF624" s="107" t="str">
        <f t="shared" si="22"/>
        <v>2025</v>
      </c>
      <c r="AG624" s="107" t="str">
        <f t="shared" si="23"/>
        <v>08 Agu</v>
      </c>
      <c r="AH624" s="107" t="str">
        <f t="shared" si="24"/>
        <v>Sen</v>
      </c>
      <c r="AI624" s="157">
        <f t="shared" si="25"/>
        <v>2</v>
      </c>
      <c r="AJ624" s="96"/>
      <c r="AK624" s="169"/>
      <c r="AL624" s="96"/>
      <c r="AM624" s="158">
        <f t="shared" si="12"/>
        <v>0</v>
      </c>
    </row>
    <row r="625" ht="22.5" customHeight="1">
      <c r="A625" s="167"/>
      <c r="B625" s="160" t="s">
        <v>134</v>
      </c>
      <c r="C625" s="160" t="s">
        <v>1131</v>
      </c>
      <c r="D625" s="161">
        <v>45875.0</v>
      </c>
      <c r="E625" s="124" t="str">
        <f t="shared" si="1"/>
        <v>2025</v>
      </c>
      <c r="F625" s="124" t="str">
        <f t="shared" si="2"/>
        <v>08 Agu</v>
      </c>
      <c r="G625" s="124" t="str">
        <f t="shared" si="3"/>
        <v>Rabu</v>
      </c>
      <c r="H625" s="160" t="s">
        <v>1459</v>
      </c>
      <c r="I625" s="125" t="str">
        <f t="array" ref="I625">IFNA(XLOOKUP($H625,'🙎‍♂️ Pasien'!$G$7:$G658,'🙎‍♂️ Pasien'!$H$7:$H658),"")</f>
        <v>W9625074211</v>
      </c>
      <c r="J625" s="125" t="str">
        <f t="array" ref="J625">IFNA(XLOOKUP($H625,'🙎‍♂️ Pasien'!$G$7:$G658,'🙎‍♂️ Pasien'!$L$7:$L658),"")</f>
        <v>LAKI-LAKI</v>
      </c>
      <c r="K625" s="125">
        <f t="array" ref="K625">IFNA(XLOOKUP($H625,'🙎‍♂️ Pasien'!$G$7:$G658,'🙎‍♂️ Pasien'!$I$7:$I658),"")</f>
        <v>30</v>
      </c>
      <c r="L625" s="160" t="s">
        <v>101</v>
      </c>
      <c r="M625" s="162" t="str">
        <f t="array" ref="M625">IFNA(XLOOKUP(L625,'⚙️ Pengaturan'!$H$5:$H658,'⚙️ Pengaturan'!$I$5:$I658),"")</f>
        <v>MANAJEMEN</v>
      </c>
      <c r="N625" s="163" t="s">
        <v>1132</v>
      </c>
      <c r="O625" s="160" t="s">
        <v>1139</v>
      </c>
      <c r="P625" s="153">
        <f t="shared" si="13"/>
        <v>5</v>
      </c>
      <c r="Q625" s="164">
        <v>45875.0</v>
      </c>
      <c r="R625" s="164">
        <v>45877.0</v>
      </c>
      <c r="S625" s="164">
        <v>45880.0</v>
      </c>
      <c r="T625" s="164">
        <v>45882.0</v>
      </c>
      <c r="U625" s="164">
        <v>45884.0</v>
      </c>
      <c r="V625" s="164"/>
      <c r="W625" s="164"/>
      <c r="X625" s="164"/>
      <c r="Y625" s="164"/>
      <c r="Z625" s="164"/>
      <c r="AA625" s="165">
        <f t="shared" si="20"/>
        <v>45884</v>
      </c>
      <c r="AB625" s="160" t="s">
        <v>1134</v>
      </c>
      <c r="AC625" s="160" t="s">
        <v>1142</v>
      </c>
      <c r="AD625" s="168"/>
      <c r="AE625" s="156">
        <f t="shared" si="21"/>
        <v>45884</v>
      </c>
      <c r="AF625" s="107" t="str">
        <f t="shared" si="22"/>
        <v>2025</v>
      </c>
      <c r="AG625" s="107" t="str">
        <f t="shared" si="23"/>
        <v>08 Agu</v>
      </c>
      <c r="AH625" s="107" t="str">
        <f t="shared" si="24"/>
        <v>Jum</v>
      </c>
      <c r="AI625" s="157">
        <f t="shared" si="25"/>
        <v>2</v>
      </c>
      <c r="AJ625" s="96"/>
      <c r="AK625" s="169"/>
      <c r="AL625" s="96"/>
      <c r="AM625" s="158">
        <f t="shared" si="12"/>
        <v>0</v>
      </c>
    </row>
    <row r="626" ht="22.5" customHeight="1">
      <c r="A626" s="167"/>
      <c r="B626" s="160" t="s">
        <v>86</v>
      </c>
      <c r="C626" s="160" t="s">
        <v>1131</v>
      </c>
      <c r="D626" s="161">
        <v>45859.0</v>
      </c>
      <c r="E626" s="124" t="str">
        <f t="shared" si="1"/>
        <v>2025</v>
      </c>
      <c r="F626" s="124" t="str">
        <f t="shared" si="2"/>
        <v>07 Jul</v>
      </c>
      <c r="G626" s="124" t="str">
        <f t="shared" si="3"/>
        <v>Senin</v>
      </c>
      <c r="H626" s="160" t="s">
        <v>1461</v>
      </c>
      <c r="I626" s="125" t="str">
        <f t="array" ref="I626">IFNA(XLOOKUP($H626,'🙎‍♂️ Pasien'!$G$7:$G658,'🙎‍♂️ Pasien'!$H$7:$H658),"")</f>
        <v>W8025078200</v>
      </c>
      <c r="J626" s="125" t="str">
        <f t="array" ref="J626">IFNA(XLOOKUP($H626,'🙎‍♂️ Pasien'!$G$7:$G658,'🙎‍♂️ Pasien'!$L$7:$L658),"")</f>
        <v>LAKI-LAKI</v>
      </c>
      <c r="K626" s="125">
        <f t="array" ref="K626">IFNA(XLOOKUP($H626,'🙎‍♂️ Pasien'!$G$7:$G658,'🙎‍♂️ Pasien'!$I$7:$I658),"")</f>
        <v>45</v>
      </c>
      <c r="L626" s="160" t="s">
        <v>79</v>
      </c>
      <c r="M626" s="162" t="str">
        <f t="array" ref="M626">IFNA(XLOOKUP(L626,'⚙️ Pengaturan'!$H$5:$H658,'⚙️ Pengaturan'!$I$5:$I658),"")</f>
        <v>TIM A</v>
      </c>
      <c r="N626" s="163" t="s">
        <v>1132</v>
      </c>
      <c r="O626" s="160" t="s">
        <v>1133</v>
      </c>
      <c r="P626" s="153">
        <f t="shared" si="13"/>
        <v>5</v>
      </c>
      <c r="Q626" s="164">
        <v>45859.0</v>
      </c>
      <c r="R626" s="164">
        <v>45861.0</v>
      </c>
      <c r="S626" s="164">
        <v>45863.0</v>
      </c>
      <c r="T626" s="164">
        <v>45865.0</v>
      </c>
      <c r="U626" s="164">
        <v>45867.0</v>
      </c>
      <c r="V626" s="164"/>
      <c r="W626" s="164"/>
      <c r="X626" s="164"/>
      <c r="Y626" s="164"/>
      <c r="Z626" s="164"/>
      <c r="AA626" s="165">
        <f t="shared" si="20"/>
        <v>45867</v>
      </c>
      <c r="AB626" s="160" t="s">
        <v>1134</v>
      </c>
      <c r="AC626" s="160" t="s">
        <v>1138</v>
      </c>
      <c r="AD626" s="166"/>
      <c r="AE626" s="156">
        <f t="shared" si="21"/>
        <v>45867</v>
      </c>
      <c r="AF626" s="107" t="str">
        <f t="shared" si="22"/>
        <v>2025</v>
      </c>
      <c r="AG626" s="107" t="str">
        <f t="shared" si="23"/>
        <v>07 Jul</v>
      </c>
      <c r="AH626" s="107" t="str">
        <f t="shared" si="24"/>
        <v>Sel</v>
      </c>
      <c r="AI626" s="157">
        <f t="shared" si="25"/>
        <v>2</v>
      </c>
      <c r="AJ626" s="96"/>
      <c r="AK626" s="169"/>
      <c r="AL626" s="96"/>
      <c r="AM626" s="158">
        <f t="shared" si="12"/>
        <v>0</v>
      </c>
    </row>
    <row r="627" ht="22.5" customHeight="1">
      <c r="A627" s="167"/>
      <c r="B627" s="160" t="s">
        <v>86</v>
      </c>
      <c r="C627" s="160" t="s">
        <v>1131</v>
      </c>
      <c r="D627" s="161">
        <v>45871.0</v>
      </c>
      <c r="E627" s="124" t="str">
        <f t="shared" si="1"/>
        <v>2025</v>
      </c>
      <c r="F627" s="124" t="str">
        <f t="shared" si="2"/>
        <v>08 Agu</v>
      </c>
      <c r="G627" s="124" t="str">
        <f t="shared" si="3"/>
        <v>Sabtu</v>
      </c>
      <c r="H627" s="160" t="s">
        <v>1461</v>
      </c>
      <c r="I627" s="125" t="str">
        <f t="array" ref="I627">IFNA(XLOOKUP($H627,'🙎‍♂️ Pasien'!$G$7:$G658,'🙎‍♂️ Pasien'!$H$7:$H658),"")</f>
        <v>W8025078200</v>
      </c>
      <c r="J627" s="125" t="str">
        <f t="array" ref="J627">IFNA(XLOOKUP($H627,'🙎‍♂️ Pasien'!$G$7:$G658,'🙎‍♂️ Pasien'!$L$7:$L658),"")</f>
        <v>LAKI-LAKI</v>
      </c>
      <c r="K627" s="125">
        <f t="array" ref="K627">IFNA(XLOOKUP($H627,'🙎‍♂️ Pasien'!$G$7:$G658,'🙎‍♂️ Pasien'!$I$7:$I658),"")</f>
        <v>45</v>
      </c>
      <c r="L627" s="160" t="s">
        <v>56</v>
      </c>
      <c r="M627" s="162" t="str">
        <f t="array" ref="M627">IFNA(XLOOKUP(L627,'⚙️ Pengaturan'!$H$5:$H658,'⚙️ Pengaturan'!$I$5:$I658),"")</f>
        <v>TIM Y</v>
      </c>
      <c r="N627" s="163" t="s">
        <v>1132</v>
      </c>
      <c r="O627" s="160" t="s">
        <v>1139</v>
      </c>
      <c r="P627" s="153">
        <f t="shared" si="13"/>
        <v>5</v>
      </c>
      <c r="Q627" s="164">
        <v>45871.0</v>
      </c>
      <c r="R627" s="164">
        <v>45874.0</v>
      </c>
      <c r="S627" s="164">
        <v>45878.0</v>
      </c>
      <c r="T627" s="164">
        <v>45885.0</v>
      </c>
      <c r="U627" s="164">
        <v>45890.0</v>
      </c>
      <c r="V627" s="164"/>
      <c r="W627" s="164"/>
      <c r="X627" s="164"/>
      <c r="Y627" s="164"/>
      <c r="Z627" s="164"/>
      <c r="AA627" s="165">
        <f t="shared" si="20"/>
        <v>45890</v>
      </c>
      <c r="AB627" s="160" t="s">
        <v>1134</v>
      </c>
      <c r="AC627" s="160" t="s">
        <v>1142</v>
      </c>
      <c r="AD627" s="166"/>
      <c r="AE627" s="156">
        <f t="shared" si="21"/>
        <v>45890</v>
      </c>
      <c r="AF627" s="107" t="str">
        <f t="shared" si="22"/>
        <v>2025</v>
      </c>
      <c r="AG627" s="107" t="str">
        <f t="shared" si="23"/>
        <v>08 Agu</v>
      </c>
      <c r="AH627" s="107" t="str">
        <f t="shared" si="24"/>
        <v>Kam</v>
      </c>
      <c r="AI627" s="157">
        <f t="shared" si="25"/>
        <v>3</v>
      </c>
      <c r="AJ627" s="96"/>
      <c r="AK627" s="169"/>
      <c r="AL627" s="96"/>
      <c r="AM627" s="158">
        <f t="shared" si="12"/>
        <v>0</v>
      </c>
    </row>
    <row r="628" ht="22.5" customHeight="1">
      <c r="A628" s="167"/>
      <c r="B628" s="160" t="s">
        <v>1156</v>
      </c>
      <c r="C628" s="160" t="s">
        <v>1131</v>
      </c>
      <c r="D628" s="161">
        <v>45888.0</v>
      </c>
      <c r="E628" s="124" t="str">
        <f t="shared" si="1"/>
        <v>2025</v>
      </c>
      <c r="F628" s="124" t="str">
        <f t="shared" si="2"/>
        <v>08 Agu</v>
      </c>
      <c r="G628" s="124" t="str">
        <f t="shared" si="3"/>
        <v>Selasa</v>
      </c>
      <c r="H628" s="160" t="s">
        <v>1462</v>
      </c>
      <c r="I628" s="125" t="str">
        <f t="array" ref="I628">IFNA(XLOOKUP($H628,'🙎‍♂️ Pasien'!$G$7:$G658,'🙎‍♂️ Pasien'!$H$7:$H658),"")</f>
        <v>W9125089669</v>
      </c>
      <c r="J628" s="125" t="str">
        <f t="array" ref="J628">IFNA(XLOOKUP($H628,'🙎‍♂️ Pasien'!$G$7:$G658,'🙎‍♂️ Pasien'!$L$7:$L658),"")</f>
        <v>PEREMPUAN</v>
      </c>
      <c r="K628" s="125">
        <f t="array" ref="K628">IFNA(XLOOKUP($H628,'🙎‍♂️ Pasien'!$G$7:$G658,'🙎‍♂️ Pasien'!$I$7:$I658),"")</f>
        <v>35</v>
      </c>
      <c r="L628" s="160" t="s">
        <v>91</v>
      </c>
      <c r="M628" s="162" t="str">
        <f t="array" ref="M628">IFNA(XLOOKUP(L628,'⚙️ Pengaturan'!$H$5:$H658,'⚙️ Pengaturan'!$I$5:$I658),"")</f>
        <v>TIM Y</v>
      </c>
      <c r="N628" s="163" t="s">
        <v>1132</v>
      </c>
      <c r="O628" s="160" t="s">
        <v>1133</v>
      </c>
      <c r="P628" s="153">
        <f t="shared" si="13"/>
        <v>5</v>
      </c>
      <c r="Q628" s="164">
        <v>45888.0</v>
      </c>
      <c r="R628" s="164">
        <v>45892.0</v>
      </c>
      <c r="S628" s="164">
        <v>45897.0</v>
      </c>
      <c r="T628" s="164">
        <v>45904.0</v>
      </c>
      <c r="U628" s="164">
        <v>45911.0</v>
      </c>
      <c r="V628" s="164"/>
      <c r="W628" s="164"/>
      <c r="X628" s="164"/>
      <c r="Y628" s="164"/>
      <c r="Z628" s="164"/>
      <c r="AA628" s="165">
        <f t="shared" si="20"/>
        <v>45911</v>
      </c>
      <c r="AB628" s="160" t="s">
        <v>1134</v>
      </c>
      <c r="AC628" s="160" t="s">
        <v>1135</v>
      </c>
      <c r="AD628" s="168" t="s">
        <v>1463</v>
      </c>
      <c r="AE628" s="156">
        <f t="shared" si="21"/>
        <v>45911</v>
      </c>
      <c r="AF628" s="107" t="str">
        <f t="shared" si="22"/>
        <v>2025</v>
      </c>
      <c r="AG628" s="107" t="str">
        <f t="shared" si="23"/>
        <v>09 Sep</v>
      </c>
      <c r="AH628" s="107" t="str">
        <f t="shared" si="24"/>
        <v>Kam</v>
      </c>
      <c r="AI628" s="157">
        <f t="shared" si="25"/>
        <v>4</v>
      </c>
      <c r="AJ628" s="96"/>
      <c r="AK628" s="169"/>
      <c r="AL628" s="96"/>
      <c r="AM628" s="158">
        <f t="shared" si="12"/>
        <v>0</v>
      </c>
    </row>
    <row r="629" ht="22.5" customHeight="1">
      <c r="A629" s="167"/>
      <c r="B629" s="160" t="s">
        <v>86</v>
      </c>
      <c r="C629" s="160" t="s">
        <v>1131</v>
      </c>
      <c r="D629" s="161">
        <v>45896.0</v>
      </c>
      <c r="E629" s="124" t="str">
        <f t="shared" si="1"/>
        <v>2025</v>
      </c>
      <c r="F629" s="124" t="str">
        <f t="shared" si="2"/>
        <v>08 Agu</v>
      </c>
      <c r="G629" s="124" t="str">
        <f t="shared" si="3"/>
        <v>Rabu</v>
      </c>
      <c r="H629" s="160" t="s">
        <v>1464</v>
      </c>
      <c r="I629" s="125" t="str">
        <f t="array" ref="I629">IFNA(XLOOKUP($H629,'🙎‍♂️ Pasien'!$G$7:$G658,'🙎‍♂️ Pasien'!$H$7:$H658),"")</f>
        <v>W6425084700</v>
      </c>
      <c r="J629" s="125" t="str">
        <f t="array" ref="J629">IFNA(XLOOKUP($H629,'🙎‍♂️ Pasien'!$G$7:$G658,'🙎‍♂️ Pasien'!$L$7:$L658),"")</f>
        <v>PEREMPUAN</v>
      </c>
      <c r="K629" s="125">
        <f t="array" ref="K629">IFNA(XLOOKUP($H629,'🙎‍♂️ Pasien'!$G$7:$G658,'🙎‍♂️ Pasien'!$I$7:$I658),"")</f>
        <v>62</v>
      </c>
      <c r="L629" s="160" t="s">
        <v>107</v>
      </c>
      <c r="M629" s="162" t="str">
        <f t="array" ref="M629">IFNA(XLOOKUP(L629,'⚙️ Pengaturan'!$H$5:$H658,'⚙️ Pengaturan'!$I$5:$I658),"")</f>
        <v>TIM Y</v>
      </c>
      <c r="N629" s="163" t="s">
        <v>1132</v>
      </c>
      <c r="O629" s="160" t="s">
        <v>1133</v>
      </c>
      <c r="P629" s="153">
        <f t="shared" si="13"/>
        <v>5</v>
      </c>
      <c r="Q629" s="164">
        <v>45896.0</v>
      </c>
      <c r="R629" s="164">
        <v>45899.0</v>
      </c>
      <c r="S629" s="164">
        <v>45901.0</v>
      </c>
      <c r="T629" s="164">
        <v>45904.0</v>
      </c>
      <c r="U629" s="164">
        <v>45907.0</v>
      </c>
      <c r="V629" s="164"/>
      <c r="W629" s="164"/>
      <c r="X629" s="164"/>
      <c r="Y629" s="164"/>
      <c r="Z629" s="164"/>
      <c r="AA629" s="165">
        <f t="shared" si="20"/>
        <v>45907</v>
      </c>
      <c r="AB629" s="160" t="s">
        <v>1134</v>
      </c>
      <c r="AC629" s="160" t="s">
        <v>1138</v>
      </c>
      <c r="AD629" s="168"/>
      <c r="AE629" s="156">
        <f t="shared" si="21"/>
        <v>45907</v>
      </c>
      <c r="AF629" s="107" t="str">
        <f t="shared" si="22"/>
        <v>2025</v>
      </c>
      <c r="AG629" s="107" t="str">
        <f t="shared" si="23"/>
        <v>09 Sep</v>
      </c>
      <c r="AH629" s="107" t="str">
        <f t="shared" si="24"/>
        <v>Min</v>
      </c>
      <c r="AI629" s="157">
        <f t="shared" si="25"/>
        <v>2</v>
      </c>
      <c r="AJ629" s="96"/>
      <c r="AK629" s="169"/>
      <c r="AL629" s="96"/>
      <c r="AM629" s="158">
        <f t="shared" si="12"/>
        <v>0</v>
      </c>
    </row>
    <row r="630" ht="22.5" customHeight="1">
      <c r="A630" s="167"/>
      <c r="B630" s="160" t="s">
        <v>54</v>
      </c>
      <c r="C630" s="160" t="s">
        <v>1131</v>
      </c>
      <c r="D630" s="161">
        <v>45907.0</v>
      </c>
      <c r="E630" s="124" t="str">
        <f t="shared" si="1"/>
        <v>2025</v>
      </c>
      <c r="F630" s="124" t="str">
        <f t="shared" si="2"/>
        <v>09 Sep</v>
      </c>
      <c r="G630" s="124" t="str">
        <f t="shared" si="3"/>
        <v>Minggu</v>
      </c>
      <c r="H630" s="160" t="s">
        <v>1464</v>
      </c>
      <c r="I630" s="125" t="str">
        <f t="array" ref="I630">IFNA(XLOOKUP($H630,'🙎‍♂️ Pasien'!$G$7:$G658,'🙎‍♂️ Pasien'!$H$7:$H658),"")</f>
        <v>W6425084700</v>
      </c>
      <c r="J630" s="125" t="str">
        <f t="array" ref="J630">IFNA(XLOOKUP($H630,'🙎‍♂️ Pasien'!$G$7:$G658,'🙎‍♂️ Pasien'!$L$7:$L658),"")</f>
        <v>PEREMPUAN</v>
      </c>
      <c r="K630" s="125">
        <f t="array" ref="K630">IFNA(XLOOKUP($H630,'🙎‍♂️ Pasien'!$G$7:$G658,'🙎‍♂️ Pasien'!$I$7:$I658),"")</f>
        <v>62</v>
      </c>
      <c r="L630" s="160" t="s">
        <v>62</v>
      </c>
      <c r="M630" s="162" t="str">
        <f t="array" ref="M630">IFNA(XLOOKUP(L630,'⚙️ Pengaturan'!$H$5:$H658,'⚙️ Pengaturan'!$I$5:$I658),"")</f>
        <v>TIM A</v>
      </c>
      <c r="N630" s="163" t="s">
        <v>1132</v>
      </c>
      <c r="O630" s="160" t="s">
        <v>1139</v>
      </c>
      <c r="P630" s="153">
        <f t="shared" si="13"/>
        <v>3</v>
      </c>
      <c r="Q630" s="164">
        <v>45909.0</v>
      </c>
      <c r="R630" s="164">
        <v>45913.0</v>
      </c>
      <c r="S630" s="164">
        <v>45917.0</v>
      </c>
      <c r="T630" s="164"/>
      <c r="U630" s="164"/>
      <c r="V630" s="164"/>
      <c r="W630" s="164"/>
      <c r="X630" s="164"/>
      <c r="Y630" s="164"/>
      <c r="Z630" s="164"/>
      <c r="AA630" s="165">
        <f t="shared" si="20"/>
        <v>45917</v>
      </c>
      <c r="AB630" s="160" t="s">
        <v>1144</v>
      </c>
      <c r="AC630" s="172"/>
      <c r="AD630" s="168"/>
      <c r="AE630" s="156" t="str">
        <f t="shared" si="21"/>
        <v/>
      </c>
      <c r="AF630" s="107" t="str">
        <f t="shared" si="22"/>
        <v/>
      </c>
      <c r="AG630" s="107" t="str">
        <f t="shared" si="23"/>
        <v/>
      </c>
      <c r="AH630" s="107" t="str">
        <f t="shared" si="24"/>
        <v/>
      </c>
      <c r="AI630" s="157">
        <f t="shared" si="25"/>
        <v>39</v>
      </c>
      <c r="AJ630" s="96"/>
      <c r="AK630" s="169"/>
      <c r="AL630" s="96"/>
      <c r="AM630" s="158">
        <f t="shared" si="12"/>
        <v>0</v>
      </c>
    </row>
    <row r="631" ht="22.5" customHeight="1">
      <c r="A631" s="167"/>
      <c r="B631" s="160" t="s">
        <v>54</v>
      </c>
      <c r="C631" s="160" t="s">
        <v>1131</v>
      </c>
      <c r="D631" s="173">
        <v>46008.0</v>
      </c>
      <c r="E631" s="124" t="str">
        <f t="shared" si="1"/>
        <v>2025</v>
      </c>
      <c r="F631" s="124" t="str">
        <f t="shared" si="2"/>
        <v>12 Des</v>
      </c>
      <c r="G631" s="124" t="str">
        <f t="shared" si="3"/>
        <v>Rabu</v>
      </c>
      <c r="H631" s="160" t="s">
        <v>1076</v>
      </c>
      <c r="I631" s="125" t="str">
        <f t="array" ref="I631">IFNA(XLOOKUP($H631,'🙎‍♂️ Pasien'!$G$7:$G658,'🙎‍♂️ Pasien'!$H$7:$H658),"")</f>
        <v/>
      </c>
      <c r="J631" s="125" t="str">
        <f t="array" ref="J631">IFNA(XLOOKUP($H631,'🙎‍♂️ Pasien'!$G$7:$G658,'🙎‍♂️ Pasien'!$L$7:$L658),"")</f>
        <v/>
      </c>
      <c r="K631" s="125" t="str">
        <f t="array" ref="K631">IFNA(XLOOKUP($H631,'🙎‍♂️ Pasien'!$G$7:$G658,'🙎‍♂️ Pasien'!$I$7:$I658),"")</f>
        <v/>
      </c>
      <c r="L631" s="160" t="s">
        <v>107</v>
      </c>
      <c r="M631" s="162" t="str">
        <f t="array" ref="M631">IFNA(XLOOKUP(L631,'⚙️ Pengaturan'!$H$5:$H658,'⚙️ Pengaturan'!$I$5:$I658),"")</f>
        <v>TIM Y</v>
      </c>
      <c r="N631" s="160" t="s">
        <v>1132</v>
      </c>
      <c r="O631" s="160" t="s">
        <v>1133</v>
      </c>
      <c r="P631" s="153">
        <f t="shared" si="13"/>
        <v>2</v>
      </c>
      <c r="Q631" s="164">
        <v>46011.0</v>
      </c>
      <c r="R631" s="164">
        <v>46014.0</v>
      </c>
      <c r="S631" s="164"/>
      <c r="T631" s="164"/>
      <c r="U631" s="164"/>
      <c r="V631" s="164"/>
      <c r="W631" s="164"/>
      <c r="X631" s="164"/>
      <c r="Y631" s="164"/>
      <c r="Z631" s="164"/>
      <c r="AA631" s="165">
        <f t="shared" si="20"/>
        <v>46014</v>
      </c>
      <c r="AB631" s="160" t="s">
        <v>1144</v>
      </c>
      <c r="AC631" s="172"/>
      <c r="AD631" s="168"/>
      <c r="AE631" s="156" t="str">
        <f t="shared" si="21"/>
        <v/>
      </c>
      <c r="AF631" s="107" t="str">
        <f t="shared" si="22"/>
        <v/>
      </c>
      <c r="AG631" s="107" t="str">
        <f t="shared" si="23"/>
        <v/>
      </c>
      <c r="AH631" s="107" t="str">
        <f t="shared" si="24"/>
        <v/>
      </c>
      <c r="AI631" s="157">
        <f t="shared" si="25"/>
        <v>25</v>
      </c>
      <c r="AJ631" s="96"/>
      <c r="AK631" s="169"/>
      <c r="AL631" s="96"/>
      <c r="AM631" s="158">
        <f t="shared" si="12"/>
        <v>0</v>
      </c>
    </row>
    <row r="632" ht="22.5" customHeight="1">
      <c r="A632" s="167"/>
      <c r="B632" s="160" t="s">
        <v>54</v>
      </c>
      <c r="C632" s="160" t="s">
        <v>1131</v>
      </c>
      <c r="D632" s="161">
        <v>45995.0</v>
      </c>
      <c r="E632" s="124" t="str">
        <f t="shared" si="1"/>
        <v>2025</v>
      </c>
      <c r="F632" s="124" t="str">
        <f t="shared" si="2"/>
        <v>12 Des</v>
      </c>
      <c r="G632" s="124" t="str">
        <f t="shared" si="3"/>
        <v>Kamis</v>
      </c>
      <c r="H632" s="160" t="s">
        <v>1046</v>
      </c>
      <c r="I632" s="125" t="str">
        <f t="array" ref="I632">IFNA(XLOOKUP($H632,'🙎‍♂️ Pasien'!$G$7:$G658,'🙎‍♂️ Pasien'!$H$7:$H658),"")</f>
        <v/>
      </c>
      <c r="J632" s="125" t="str">
        <f t="array" ref="J632">IFNA(XLOOKUP($H632,'🙎‍♂️ Pasien'!$G$7:$G658,'🙎‍♂️ Pasien'!$L$7:$L658),"")</f>
        <v/>
      </c>
      <c r="K632" s="125" t="str">
        <f t="array" ref="K632">IFNA(XLOOKUP($H632,'🙎‍♂️ Pasien'!$G$7:$G658,'🙎‍♂️ Pasien'!$I$7:$I658),"")</f>
        <v/>
      </c>
      <c r="L632" s="160" t="s">
        <v>88</v>
      </c>
      <c r="M632" s="162" t="str">
        <f t="array" ref="M632">IFNA(XLOOKUP(L632,'⚙️ Pengaturan'!$H$5:$H658,'⚙️ Pengaturan'!$I$5:$I658),"")</f>
        <v>TIM Y</v>
      </c>
      <c r="N632" s="163" t="s">
        <v>1137</v>
      </c>
      <c r="O632" s="160" t="s">
        <v>1133</v>
      </c>
      <c r="P632" s="153">
        <f t="shared" si="13"/>
        <v>10</v>
      </c>
      <c r="Q632" s="164">
        <v>45995.0</v>
      </c>
      <c r="R632" s="164">
        <v>45999.0</v>
      </c>
      <c r="S632" s="164">
        <v>46001.0</v>
      </c>
      <c r="T632" s="164">
        <v>46002.0</v>
      </c>
      <c r="U632" s="164">
        <v>46005.0</v>
      </c>
      <c r="V632" s="164">
        <v>46007.0</v>
      </c>
      <c r="W632" s="164">
        <v>46009.0</v>
      </c>
      <c r="X632" s="164">
        <v>46011.0</v>
      </c>
      <c r="Y632" s="164">
        <v>46013.0</v>
      </c>
      <c r="Z632" s="164">
        <v>46015.0</v>
      </c>
      <c r="AA632" s="165">
        <f t="shared" si="20"/>
        <v>46015</v>
      </c>
      <c r="AB632" s="160" t="s">
        <v>1134</v>
      </c>
      <c r="AC632" s="172"/>
      <c r="AD632" s="166"/>
      <c r="AE632" s="156">
        <f t="shared" si="21"/>
        <v>46015</v>
      </c>
      <c r="AF632" s="107" t="str">
        <f t="shared" si="22"/>
        <v>2025</v>
      </c>
      <c r="AG632" s="107" t="str">
        <f t="shared" si="23"/>
        <v>12 Des</v>
      </c>
      <c r="AH632" s="107" t="str">
        <f t="shared" si="24"/>
        <v>Rab</v>
      </c>
      <c r="AI632" s="157">
        <f t="shared" si="25"/>
        <v>3</v>
      </c>
      <c r="AJ632" s="96"/>
      <c r="AK632" s="169"/>
      <c r="AL632" s="96"/>
      <c r="AM632" s="158">
        <f t="shared" si="12"/>
        <v>0</v>
      </c>
    </row>
    <row r="633" ht="22.5" customHeight="1">
      <c r="A633" s="167"/>
      <c r="B633" s="160" t="s">
        <v>86</v>
      </c>
      <c r="C633" s="160" t="s">
        <v>1131</v>
      </c>
      <c r="D633" s="161">
        <v>45865.0</v>
      </c>
      <c r="E633" s="124" t="str">
        <f t="shared" si="1"/>
        <v>2025</v>
      </c>
      <c r="F633" s="124" t="str">
        <f t="shared" si="2"/>
        <v>07 Jul</v>
      </c>
      <c r="G633" s="124" t="str">
        <f t="shared" si="3"/>
        <v>Minggu</v>
      </c>
      <c r="H633" s="160" t="s">
        <v>1465</v>
      </c>
      <c r="I633" s="125" t="str">
        <f t="array" ref="I633">IFNA(XLOOKUP($H633,'🙎‍♂️ Pasien'!$G$7:$G658,'🙎‍♂️ Pasien'!$H$7:$H658),"")</f>
        <v>Y8225078319</v>
      </c>
      <c r="J633" s="125" t="str">
        <f t="array" ref="J633">IFNA(XLOOKUP($H633,'🙎‍♂️ Pasien'!$G$7:$G658,'🙎‍♂️ Pasien'!$L$7:$L658),"")</f>
        <v>PEREMPUAN</v>
      </c>
      <c r="K633" s="125">
        <f t="array" ref="K633">IFNA(XLOOKUP($H633,'🙎‍♂️ Pasien'!$G$7:$G658,'🙎‍♂️ Pasien'!$I$7:$I658),"")</f>
        <v>43</v>
      </c>
      <c r="L633" s="160" t="s">
        <v>107</v>
      </c>
      <c r="M633" s="162" t="str">
        <f t="array" ref="M633">IFNA(XLOOKUP(L633,'⚙️ Pengaturan'!$H$5:$H658,'⚙️ Pengaturan'!$I$5:$I658),"")</f>
        <v>TIM Y</v>
      </c>
      <c r="N633" s="163" t="s">
        <v>1137</v>
      </c>
      <c r="O633" s="160" t="s">
        <v>1133</v>
      </c>
      <c r="P633" s="153">
        <f t="shared" si="13"/>
        <v>10</v>
      </c>
      <c r="Q633" s="164">
        <v>45865.0</v>
      </c>
      <c r="R633" s="164">
        <v>45867.0</v>
      </c>
      <c r="S633" s="164">
        <v>45869.0</v>
      </c>
      <c r="T633" s="164">
        <v>45872.0</v>
      </c>
      <c r="U633" s="164">
        <v>45874.0</v>
      </c>
      <c r="V633" s="164">
        <v>45878.0</v>
      </c>
      <c r="W633" s="164">
        <v>45881.0</v>
      </c>
      <c r="X633" s="164">
        <v>45883.0</v>
      </c>
      <c r="Y633" s="164">
        <v>45888.0</v>
      </c>
      <c r="Z633" s="164">
        <v>45876.0</v>
      </c>
      <c r="AA633" s="165">
        <f t="shared" si="20"/>
        <v>45888</v>
      </c>
      <c r="AB633" s="160" t="s">
        <v>1134</v>
      </c>
      <c r="AC633" s="160" t="s">
        <v>1138</v>
      </c>
      <c r="AD633" s="168" t="s">
        <v>1466</v>
      </c>
      <c r="AE633" s="156">
        <f t="shared" si="21"/>
        <v>45876</v>
      </c>
      <c r="AF633" s="107" t="str">
        <f t="shared" si="22"/>
        <v>2025</v>
      </c>
      <c r="AG633" s="107" t="str">
        <f t="shared" si="23"/>
        <v>08 Agu</v>
      </c>
      <c r="AH633" s="107" t="str">
        <f t="shared" si="24"/>
        <v>Kam</v>
      </c>
      <c r="AI633" s="157">
        <f t="shared" si="25"/>
        <v>2</v>
      </c>
      <c r="AJ633" s="96"/>
      <c r="AK633" s="169"/>
      <c r="AL633" s="96"/>
      <c r="AM633" s="158">
        <f t="shared" si="12"/>
        <v>0</v>
      </c>
    </row>
    <row r="634" ht="22.5" customHeight="1">
      <c r="A634" s="167"/>
      <c r="B634" s="160" t="s">
        <v>1156</v>
      </c>
      <c r="C634" s="160" t="s">
        <v>1131</v>
      </c>
      <c r="D634" s="161">
        <v>45875.0</v>
      </c>
      <c r="E634" s="124" t="str">
        <f t="shared" si="1"/>
        <v>2025</v>
      </c>
      <c r="F634" s="124" t="str">
        <f t="shared" si="2"/>
        <v>08 Agu</v>
      </c>
      <c r="G634" s="124" t="str">
        <f t="shared" si="3"/>
        <v>Rabu</v>
      </c>
      <c r="H634" s="160" t="s">
        <v>1467</v>
      </c>
      <c r="I634" s="125" t="str">
        <f t="array" ref="I634">IFNA(XLOOKUP($H634,'🙎‍♂️ Pasien'!$G$7:$G658,'🙎‍♂️ Pasien'!$H$7:$H658),"")</f>
        <v>Y7525084160</v>
      </c>
      <c r="J634" s="125" t="str">
        <f t="array" ref="J634">IFNA(XLOOKUP($H634,'🙎‍♂️ Pasien'!$G$7:$G658,'🙎‍♂️ Pasien'!$L$7:$L658),"")</f>
        <v>PEREMPUAN</v>
      </c>
      <c r="K634" s="125">
        <f t="array" ref="K634">IFNA(XLOOKUP($H634,'🙎‍♂️ Pasien'!$G$7:$G658,'🙎‍♂️ Pasien'!$I$7:$I658),"")</f>
        <v>50</v>
      </c>
      <c r="L634" s="160" t="s">
        <v>72</v>
      </c>
      <c r="M634" s="162" t="str">
        <f t="array" ref="M634">IFNA(XLOOKUP(L634,'⚙️ Pengaturan'!$H$5:$H658,'⚙️ Pengaturan'!$I$5:$I658),"")</f>
        <v>TIM A</v>
      </c>
      <c r="N634" s="163" t="s">
        <v>1132</v>
      </c>
      <c r="O634" s="160" t="s">
        <v>1133</v>
      </c>
      <c r="P634" s="153">
        <f t="shared" si="13"/>
        <v>2</v>
      </c>
      <c r="Q634" s="164">
        <v>45879.0</v>
      </c>
      <c r="R634" s="164">
        <v>45882.0</v>
      </c>
      <c r="S634" s="164"/>
      <c r="T634" s="164"/>
      <c r="U634" s="164"/>
      <c r="V634" s="164"/>
      <c r="W634" s="164"/>
      <c r="X634" s="164"/>
      <c r="Y634" s="164"/>
      <c r="Z634" s="164"/>
      <c r="AA634" s="165">
        <f t="shared" si="20"/>
        <v>45882</v>
      </c>
      <c r="AB634" s="160" t="s">
        <v>1144</v>
      </c>
      <c r="AC634" s="172"/>
      <c r="AD634" s="168" t="s">
        <v>90</v>
      </c>
      <c r="AE634" s="156" t="str">
        <f t="shared" si="21"/>
        <v/>
      </c>
      <c r="AF634" s="107" t="str">
        <f t="shared" si="22"/>
        <v/>
      </c>
      <c r="AG634" s="107" t="str">
        <f t="shared" si="23"/>
        <v/>
      </c>
      <c r="AH634" s="107" t="str">
        <f t="shared" si="24"/>
        <v/>
      </c>
      <c r="AI634" s="157">
        <f t="shared" si="25"/>
        <v>44</v>
      </c>
      <c r="AJ634" s="96"/>
      <c r="AK634" s="169"/>
      <c r="AL634" s="96"/>
      <c r="AM634" s="158">
        <f t="shared" si="12"/>
        <v>0</v>
      </c>
    </row>
    <row r="635" ht="22.5" customHeight="1">
      <c r="A635" s="167"/>
      <c r="B635" s="160" t="s">
        <v>54</v>
      </c>
      <c r="C635" s="160" t="s">
        <v>1131</v>
      </c>
      <c r="D635" s="161">
        <v>45976.0</v>
      </c>
      <c r="E635" s="124" t="str">
        <f t="shared" si="1"/>
        <v>2025</v>
      </c>
      <c r="F635" s="124" t="str">
        <f t="shared" si="2"/>
        <v>11 Nov</v>
      </c>
      <c r="G635" s="124" t="str">
        <f t="shared" si="3"/>
        <v>Sabtu</v>
      </c>
      <c r="H635" s="160" t="s">
        <v>545</v>
      </c>
      <c r="I635" s="125" t="str">
        <f t="array" ref="I635">IFNA(XLOOKUP($H635,'🙎‍♂️ Pasien'!$G$7:$G658,'🙎‍♂️ Pasien'!$H$7:$H658),"")</f>
        <v>Y9325112254</v>
      </c>
      <c r="J635" s="125" t="str">
        <f t="array" ref="J635">IFNA(XLOOKUP($H635,'🙎‍♂️ Pasien'!$G$7:$G658,'🙎‍♂️ Pasien'!$L$7:$L658),"")</f>
        <v>PEREMPUAN</v>
      </c>
      <c r="K635" s="125">
        <f t="array" ref="K635">IFNA(XLOOKUP($H635,'🙎‍♂️ Pasien'!$G$7:$G658,'🙎‍♂️ Pasien'!$I$7:$I658),"")</f>
        <v>33</v>
      </c>
      <c r="L635" s="160" t="s">
        <v>107</v>
      </c>
      <c r="M635" s="162" t="str">
        <f t="array" ref="M635">IFNA(XLOOKUP(L635,'⚙️ Pengaturan'!$H$5:$H658,'⚙️ Pengaturan'!$I$5:$I658),"")</f>
        <v>TIM Y</v>
      </c>
      <c r="N635" s="163" t="s">
        <v>1132</v>
      </c>
      <c r="O635" s="160" t="s">
        <v>1133</v>
      </c>
      <c r="P635" s="153">
        <f t="shared" si="13"/>
        <v>2</v>
      </c>
      <c r="Q635" s="164">
        <v>45979.0</v>
      </c>
      <c r="R635" s="164">
        <v>45991.0</v>
      </c>
      <c r="S635" s="164"/>
      <c r="T635" s="164"/>
      <c r="U635" s="164"/>
      <c r="V635" s="164"/>
      <c r="W635" s="164"/>
      <c r="X635" s="164"/>
      <c r="Y635" s="164"/>
      <c r="Z635" s="164"/>
      <c r="AA635" s="165">
        <f t="shared" si="20"/>
        <v>45991</v>
      </c>
      <c r="AB635" s="160" t="s">
        <v>1144</v>
      </c>
      <c r="AC635" s="172"/>
      <c r="AD635" s="168"/>
      <c r="AE635" s="156" t="str">
        <f t="shared" si="21"/>
        <v/>
      </c>
      <c r="AF635" s="107" t="str">
        <f t="shared" si="22"/>
        <v/>
      </c>
      <c r="AG635" s="107" t="str">
        <f t="shared" si="23"/>
        <v/>
      </c>
      <c r="AH635" s="107" t="str">
        <f t="shared" si="24"/>
        <v/>
      </c>
      <c r="AI635" s="157">
        <f t="shared" si="25"/>
        <v>29</v>
      </c>
      <c r="AJ635" s="96"/>
      <c r="AK635" s="169"/>
      <c r="AL635" s="96"/>
      <c r="AM635" s="158">
        <f t="shared" si="12"/>
        <v>0</v>
      </c>
    </row>
    <row r="636" ht="22.5" customHeight="1">
      <c r="A636" s="167"/>
      <c r="B636" s="160" t="s">
        <v>54</v>
      </c>
      <c r="C636" s="160" t="s">
        <v>1131</v>
      </c>
      <c r="D636" s="161">
        <v>45892.0</v>
      </c>
      <c r="E636" s="124" t="str">
        <f t="shared" si="1"/>
        <v>2025</v>
      </c>
      <c r="F636" s="124" t="str">
        <f t="shared" si="2"/>
        <v>08 Agu</v>
      </c>
      <c r="G636" s="124" t="str">
        <f t="shared" si="3"/>
        <v>Sabtu</v>
      </c>
      <c r="H636" s="160" t="s">
        <v>126</v>
      </c>
      <c r="I636" s="125" t="str">
        <f t="array" ref="I636">IFNA(XLOOKUP($H636,'🙎‍♂️ Pasien'!$G$7:$G658,'🙎‍♂️ Pasien'!$H$7:$H658),"")</f>
        <v>Y0825082296</v>
      </c>
      <c r="J636" s="125" t="str">
        <f t="array" ref="J636">IFNA(XLOOKUP($H636,'🙎‍♂️ Pasien'!$G$7:$G658,'🙎‍♂️ Pasien'!$L$7:$L658),"")</f>
        <v>LAKI-LAKI</v>
      </c>
      <c r="K636" s="125">
        <f t="array" ref="K636">IFNA(XLOOKUP($H636,'🙎‍♂️ Pasien'!$G$7:$G658,'🙎‍♂️ Pasien'!$I$7:$I658),"")</f>
        <v>17</v>
      </c>
      <c r="L636" s="160" t="s">
        <v>1152</v>
      </c>
      <c r="M636" s="162" t="str">
        <f t="array" ref="M636">IFNA(XLOOKUP(L636,'⚙️ Pengaturan'!$H$5:$H658,'⚙️ Pengaturan'!$I$5:$I658),"")</f>
        <v>INAKTIF</v>
      </c>
      <c r="N636" s="163" t="s">
        <v>1132</v>
      </c>
      <c r="O636" s="160" t="s">
        <v>1133</v>
      </c>
      <c r="P636" s="153">
        <f t="shared" si="13"/>
        <v>5</v>
      </c>
      <c r="Q636" s="164">
        <v>45892.0</v>
      </c>
      <c r="R636" s="164">
        <v>45894.0</v>
      </c>
      <c r="S636" s="164">
        <v>45897.0</v>
      </c>
      <c r="T636" s="164">
        <v>45899.0</v>
      </c>
      <c r="U636" s="164">
        <v>45902.0</v>
      </c>
      <c r="V636" s="164"/>
      <c r="W636" s="164"/>
      <c r="X636" s="164"/>
      <c r="Y636" s="164"/>
      <c r="Z636" s="164"/>
      <c r="AA636" s="165">
        <f t="shared" si="20"/>
        <v>45902</v>
      </c>
      <c r="AB636" s="160" t="s">
        <v>1134</v>
      </c>
      <c r="AC636" s="160" t="s">
        <v>1138</v>
      </c>
      <c r="AD636" s="166"/>
      <c r="AE636" s="156">
        <f t="shared" si="21"/>
        <v>45902</v>
      </c>
      <c r="AF636" s="107" t="str">
        <f t="shared" si="22"/>
        <v>2025</v>
      </c>
      <c r="AG636" s="107" t="str">
        <f t="shared" si="23"/>
        <v>09 Sep</v>
      </c>
      <c r="AH636" s="107" t="str">
        <f t="shared" si="24"/>
        <v>Sel</v>
      </c>
      <c r="AI636" s="157">
        <f t="shared" si="25"/>
        <v>2</v>
      </c>
      <c r="AJ636" s="96"/>
      <c r="AK636" s="169"/>
      <c r="AL636" s="96"/>
      <c r="AM636" s="158">
        <f t="shared" si="12"/>
        <v>0</v>
      </c>
    </row>
    <row r="637" ht="22.5" customHeight="1">
      <c r="A637" s="167"/>
      <c r="B637" s="160" t="s">
        <v>86</v>
      </c>
      <c r="C637" s="160" t="s">
        <v>1131</v>
      </c>
      <c r="D637" s="161">
        <v>45904.0</v>
      </c>
      <c r="E637" s="124" t="str">
        <f t="shared" si="1"/>
        <v>2025</v>
      </c>
      <c r="F637" s="124" t="str">
        <f t="shared" si="2"/>
        <v>09 Sep</v>
      </c>
      <c r="G637" s="124" t="str">
        <f t="shared" si="3"/>
        <v>Kamis</v>
      </c>
      <c r="H637" s="160" t="s">
        <v>126</v>
      </c>
      <c r="I637" s="125" t="str">
        <f t="array" ref="I637">IFNA(XLOOKUP($H637,'🙎‍♂️ Pasien'!$G$7:$G658,'🙎‍♂️ Pasien'!$H$7:$H658),"")</f>
        <v>Y0825082296</v>
      </c>
      <c r="J637" s="125" t="str">
        <f t="array" ref="J637">IFNA(XLOOKUP($H637,'🙎‍♂️ Pasien'!$G$7:$G658,'🙎‍♂️ Pasien'!$L$7:$L658),"")</f>
        <v>LAKI-LAKI</v>
      </c>
      <c r="K637" s="125">
        <f t="array" ref="K637">IFNA(XLOOKUP($H637,'🙎‍♂️ Pasien'!$G$7:$G658,'🙎‍♂️ Pasien'!$I$7:$I658),"")</f>
        <v>17</v>
      </c>
      <c r="L637" s="160" t="s">
        <v>56</v>
      </c>
      <c r="M637" s="162" t="str">
        <f t="array" ref="M637">IFNA(XLOOKUP(L637,'⚙️ Pengaturan'!$H$5:$H658,'⚙️ Pengaturan'!$I$5:$I658),"")</f>
        <v>TIM Y</v>
      </c>
      <c r="N637" s="163" t="s">
        <v>1132</v>
      </c>
      <c r="O637" s="160" t="s">
        <v>1139</v>
      </c>
      <c r="P637" s="153">
        <f t="shared" si="13"/>
        <v>5</v>
      </c>
      <c r="Q637" s="164">
        <v>45904.0</v>
      </c>
      <c r="R637" s="164">
        <v>45907.0</v>
      </c>
      <c r="S637" s="164">
        <v>45909.0</v>
      </c>
      <c r="T637" s="164">
        <v>45912.0</v>
      </c>
      <c r="U637" s="164">
        <v>45915.0</v>
      </c>
      <c r="V637" s="164"/>
      <c r="W637" s="164"/>
      <c r="X637" s="164"/>
      <c r="Y637" s="164"/>
      <c r="Z637" s="164"/>
      <c r="AA637" s="165">
        <f t="shared" si="20"/>
        <v>45915</v>
      </c>
      <c r="AB637" s="160" t="s">
        <v>1134</v>
      </c>
      <c r="AC637" s="160" t="s">
        <v>1138</v>
      </c>
      <c r="AD637" s="166"/>
      <c r="AE637" s="156">
        <f t="shared" si="21"/>
        <v>45915</v>
      </c>
      <c r="AF637" s="107" t="str">
        <f t="shared" si="22"/>
        <v>2025</v>
      </c>
      <c r="AG637" s="107" t="str">
        <f t="shared" si="23"/>
        <v>09 Sep</v>
      </c>
      <c r="AH637" s="107" t="str">
        <f t="shared" si="24"/>
        <v>Sen</v>
      </c>
      <c r="AI637" s="157">
        <f t="shared" si="25"/>
        <v>2</v>
      </c>
      <c r="AJ637" s="96"/>
      <c r="AK637" s="169"/>
      <c r="AL637" s="96"/>
      <c r="AM637" s="158">
        <f t="shared" si="12"/>
        <v>0</v>
      </c>
    </row>
    <row r="638" ht="22.5" customHeight="1">
      <c r="A638" s="167"/>
      <c r="B638" s="160" t="s">
        <v>134</v>
      </c>
      <c r="C638" s="160" t="s">
        <v>1131</v>
      </c>
      <c r="D638" s="161">
        <v>45919.0</v>
      </c>
      <c r="E638" s="124" t="str">
        <f t="shared" si="1"/>
        <v>2025</v>
      </c>
      <c r="F638" s="124" t="str">
        <f t="shared" si="2"/>
        <v>09 Sep</v>
      </c>
      <c r="G638" s="124" t="str">
        <f t="shared" si="3"/>
        <v>Jumat</v>
      </c>
      <c r="H638" s="158" t="s">
        <v>126</v>
      </c>
      <c r="I638" s="125" t="str">
        <f t="array" ref="I638">IFNA(XLOOKUP($H638,'🙎‍♂️ Pasien'!$G$7:$G658,'🙎‍♂️ Pasien'!$H$7:$H658),"")</f>
        <v>Y0825082296</v>
      </c>
      <c r="J638" s="125" t="str">
        <f t="array" ref="J638">IFNA(XLOOKUP($H638,'🙎‍♂️ Pasien'!$G$7:$G658,'🙎‍♂️ Pasien'!$L$7:$L658),"")</f>
        <v>LAKI-LAKI</v>
      </c>
      <c r="K638" s="125">
        <f t="array" ref="K638">IFNA(XLOOKUP($H638,'🙎‍♂️ Pasien'!$G$7:$G658,'🙎‍♂️ Pasien'!$I$7:$I658),"")</f>
        <v>17</v>
      </c>
      <c r="L638" s="160" t="s">
        <v>56</v>
      </c>
      <c r="M638" s="162" t="str">
        <f t="array" ref="M638">IFNA(XLOOKUP(L638,'⚙️ Pengaturan'!$H$5:$H658,'⚙️ Pengaturan'!$I$5:$I658),"")</f>
        <v>TIM Y</v>
      </c>
      <c r="N638" s="163" t="s">
        <v>1132</v>
      </c>
      <c r="O638" s="160" t="s">
        <v>1139</v>
      </c>
      <c r="P638" s="153">
        <f t="shared" si="13"/>
        <v>5</v>
      </c>
      <c r="Q638" s="164">
        <v>45919.0</v>
      </c>
      <c r="R638" s="164">
        <v>45922.0</v>
      </c>
      <c r="S638" s="164">
        <v>45925.0</v>
      </c>
      <c r="T638" s="164">
        <v>45928.0</v>
      </c>
      <c r="U638" s="164">
        <v>45932.0</v>
      </c>
      <c r="V638" s="164"/>
      <c r="W638" s="164"/>
      <c r="X638" s="164"/>
      <c r="Y638" s="164"/>
      <c r="Z638" s="164"/>
      <c r="AA638" s="165">
        <f t="shared" si="20"/>
        <v>45932</v>
      </c>
      <c r="AB638" s="160" t="s">
        <v>1134</v>
      </c>
      <c r="AC638" s="160" t="s">
        <v>1135</v>
      </c>
      <c r="AD638" s="168" t="s">
        <v>1468</v>
      </c>
      <c r="AE638" s="156">
        <f t="shared" si="21"/>
        <v>45932</v>
      </c>
      <c r="AF638" s="107" t="str">
        <f t="shared" si="22"/>
        <v>2025</v>
      </c>
      <c r="AG638" s="107" t="str">
        <f t="shared" si="23"/>
        <v>10 Okt</v>
      </c>
      <c r="AH638" s="107" t="str">
        <f t="shared" si="24"/>
        <v>Kam</v>
      </c>
      <c r="AI638" s="157">
        <f t="shared" si="25"/>
        <v>2</v>
      </c>
      <c r="AJ638" s="96"/>
      <c r="AK638" s="169"/>
      <c r="AL638" s="96"/>
      <c r="AM638" s="158">
        <f t="shared" si="12"/>
        <v>0</v>
      </c>
    </row>
    <row r="639" ht="22.5" customHeight="1">
      <c r="A639" s="167"/>
      <c r="B639" s="160" t="s">
        <v>86</v>
      </c>
      <c r="C639" s="160" t="s">
        <v>1131</v>
      </c>
      <c r="D639" s="161">
        <v>46018.0</v>
      </c>
      <c r="E639" s="124" t="str">
        <f t="shared" si="1"/>
        <v>2025</v>
      </c>
      <c r="F639" s="124" t="str">
        <f t="shared" si="2"/>
        <v>12 Des</v>
      </c>
      <c r="G639" s="124" t="str">
        <f t="shared" si="3"/>
        <v>Sabtu</v>
      </c>
      <c r="H639" s="160" t="s">
        <v>765</v>
      </c>
      <c r="I639" s="125" t="str">
        <f t="array" ref="I639">IFNA(XLOOKUP($H639,'🙎‍♂️ Pasien'!$G$7:$G658,'🙎‍♂️ Pasien'!$H$7:$H658),"")</f>
        <v>Y9425125852</v>
      </c>
      <c r="J639" s="125" t="str">
        <f t="array" ref="J639">IFNA(XLOOKUP($H639,'🙎‍♂️ Pasien'!$G$7:$G658,'🙎‍♂️ Pasien'!$L$7:$L658),"")</f>
        <v>LAKI-LAKI</v>
      </c>
      <c r="K639" s="125">
        <f t="array" ref="K639">IFNA(XLOOKUP($H639,'🙎‍♂️ Pasien'!$G$7:$G658,'🙎‍♂️ Pasien'!$I$7:$I658),"")</f>
        <v>31</v>
      </c>
      <c r="L639" s="160" t="s">
        <v>56</v>
      </c>
      <c r="M639" s="162" t="str">
        <f t="array" ref="M639">IFNA(XLOOKUP(L639,'⚙️ Pengaturan'!$H$5:$H658,'⚙️ Pengaturan'!$I$5:$I658),"")</f>
        <v>TIM Y</v>
      </c>
      <c r="N639" s="163" t="s">
        <v>1132</v>
      </c>
      <c r="O639" s="160" t="s">
        <v>1133</v>
      </c>
      <c r="P639" s="153">
        <f t="shared" si="13"/>
        <v>2</v>
      </c>
      <c r="Q639" s="164">
        <v>46018.0</v>
      </c>
      <c r="R639" s="164">
        <v>46020.0</v>
      </c>
      <c r="S639" s="164"/>
      <c r="T639" s="164"/>
      <c r="U639" s="164"/>
      <c r="V639" s="164"/>
      <c r="W639" s="164"/>
      <c r="X639" s="164"/>
      <c r="Y639" s="164"/>
      <c r="Z639" s="164"/>
      <c r="AA639" s="165">
        <f t="shared" si="20"/>
        <v>46020</v>
      </c>
      <c r="AB639" s="160" t="s">
        <v>1144</v>
      </c>
      <c r="AC639" s="172"/>
      <c r="AD639" s="168"/>
      <c r="AE639" s="156" t="str">
        <f t="shared" si="21"/>
        <v/>
      </c>
      <c r="AF639" s="107" t="str">
        <f t="shared" si="22"/>
        <v/>
      </c>
      <c r="AG639" s="107" t="str">
        <f t="shared" si="23"/>
        <v/>
      </c>
      <c r="AH639" s="107" t="str">
        <f t="shared" si="24"/>
        <v/>
      </c>
      <c r="AI639" s="157">
        <f t="shared" si="25"/>
        <v>24</v>
      </c>
      <c r="AJ639" s="96"/>
      <c r="AK639" s="169"/>
      <c r="AL639" s="96"/>
      <c r="AM639" s="158">
        <f t="shared" si="12"/>
        <v>0</v>
      </c>
    </row>
    <row r="640" ht="22.5" customHeight="1">
      <c r="A640" s="167"/>
      <c r="B640" s="160" t="s">
        <v>86</v>
      </c>
      <c r="C640" s="160" t="s">
        <v>1131</v>
      </c>
      <c r="D640" s="161">
        <v>45858.0</v>
      </c>
      <c r="E640" s="124" t="str">
        <f t="shared" si="1"/>
        <v>2025</v>
      </c>
      <c r="F640" s="124" t="str">
        <f t="shared" si="2"/>
        <v>07 Jul</v>
      </c>
      <c r="G640" s="124" t="str">
        <f t="shared" si="3"/>
        <v>Minggu</v>
      </c>
      <c r="H640" s="160" t="s">
        <v>1469</v>
      </c>
      <c r="I640" s="125" t="str">
        <f t="array" ref="I640">IFNA(XLOOKUP($H640,'🙎‍♂️ Pasien'!$G$7:$G658,'🙎‍♂️ Pasien'!$H$7:$H658),"")</f>
        <v>Y0623078833</v>
      </c>
      <c r="J640" s="125" t="str">
        <f t="array" ref="J640">IFNA(XLOOKUP($H640,'🙎‍♂️ Pasien'!$G$7:$G658,'🙎‍♂️ Pasien'!$L$7:$L658),"")</f>
        <v>LAKI-LAKI</v>
      </c>
      <c r="K640" s="125">
        <f t="array" ref="K640">IFNA(XLOOKUP($H640,'🙎‍♂️ Pasien'!$G$7:$G658,'🙎‍♂️ Pasien'!$I$7:$I658),"")</f>
        <v>19</v>
      </c>
      <c r="L640" s="160" t="s">
        <v>598</v>
      </c>
      <c r="M640" s="162" t="str">
        <f t="array" ref="M640">IFNA(XLOOKUP(L640,'⚙️ Pengaturan'!$H$5:$H658,'⚙️ Pengaturan'!$I$5:$I658),"")</f>
        <v>INAKTIF</v>
      </c>
      <c r="N640" s="163" t="s">
        <v>1132</v>
      </c>
      <c r="O640" s="160" t="s">
        <v>1133</v>
      </c>
      <c r="P640" s="153">
        <f t="shared" si="13"/>
        <v>3</v>
      </c>
      <c r="Q640" s="164">
        <v>45859.0</v>
      </c>
      <c r="R640" s="164">
        <v>45861.0</v>
      </c>
      <c r="S640" s="164">
        <v>45871.0</v>
      </c>
      <c r="T640" s="164"/>
      <c r="U640" s="164"/>
      <c r="V640" s="164"/>
      <c r="W640" s="164"/>
      <c r="X640" s="164"/>
      <c r="Y640" s="164"/>
      <c r="Z640" s="164"/>
      <c r="AA640" s="165">
        <f t="shared" si="20"/>
        <v>45871</v>
      </c>
      <c r="AB640" s="160" t="s">
        <v>1144</v>
      </c>
      <c r="AC640" s="174"/>
      <c r="AD640" s="166"/>
      <c r="AE640" s="156" t="str">
        <f t="shared" si="21"/>
        <v/>
      </c>
      <c r="AF640" s="107" t="str">
        <f t="shared" si="22"/>
        <v/>
      </c>
      <c r="AG640" s="107" t="str">
        <f t="shared" si="23"/>
        <v/>
      </c>
      <c r="AH640" s="107" t="str">
        <f t="shared" si="24"/>
        <v/>
      </c>
      <c r="AI640" s="157">
        <f t="shared" si="25"/>
        <v>47</v>
      </c>
      <c r="AJ640" s="96"/>
      <c r="AK640" s="169"/>
      <c r="AL640" s="96"/>
      <c r="AM640" s="158">
        <f t="shared" si="12"/>
        <v>0</v>
      </c>
    </row>
    <row r="641" ht="22.5" customHeight="1">
      <c r="A641" s="167"/>
      <c r="B641" s="160" t="s">
        <v>134</v>
      </c>
      <c r="C641" s="160" t="s">
        <v>1131</v>
      </c>
      <c r="D641" s="161">
        <v>45879.0</v>
      </c>
      <c r="E641" s="124" t="str">
        <f t="shared" si="1"/>
        <v>2025</v>
      </c>
      <c r="F641" s="124" t="str">
        <f t="shared" si="2"/>
        <v>08 Agu</v>
      </c>
      <c r="G641" s="124" t="str">
        <f t="shared" si="3"/>
        <v>Minggu</v>
      </c>
      <c r="H641" s="158" t="s">
        <v>138</v>
      </c>
      <c r="I641" s="125" t="str">
        <f t="array" ref="I641">IFNA(XLOOKUP($H641,'🙎‍♂️ Pasien'!$G$7:$G658,'🙎‍♂️ Pasien'!$H$7:$H658),"")</f>
        <v>Y5125088477</v>
      </c>
      <c r="J641" s="125" t="str">
        <f t="array" ref="J641">IFNA(XLOOKUP($H641,'🙎‍♂️ Pasien'!$G$7:$G658,'🙎‍♂️ Pasien'!$L$7:$L658),"")</f>
        <v>LAKI-LAKI</v>
      </c>
      <c r="K641" s="125">
        <f t="array" ref="K641">IFNA(XLOOKUP($H641,'🙎‍♂️ Pasien'!$G$7:$G658,'🙎‍♂️ Pasien'!$I$7:$I658),"")</f>
        <v>75</v>
      </c>
      <c r="L641" s="160" t="s">
        <v>56</v>
      </c>
      <c r="M641" s="162" t="str">
        <f t="array" ref="M641">IFNA(XLOOKUP(L641,'⚙️ Pengaturan'!$H$5:$H658,'⚙️ Pengaturan'!$I$5:$I658),"")</f>
        <v>TIM Y</v>
      </c>
      <c r="N641" s="163" t="s">
        <v>1137</v>
      </c>
      <c r="O641" s="160" t="s">
        <v>1133</v>
      </c>
      <c r="P641" s="153">
        <f t="shared" si="13"/>
        <v>10</v>
      </c>
      <c r="Q641" s="164">
        <v>45879.0</v>
      </c>
      <c r="R641" s="164">
        <v>45882.0</v>
      </c>
      <c r="S641" s="164">
        <v>45896.0</v>
      </c>
      <c r="T641" s="164">
        <v>45921.0</v>
      </c>
      <c r="U641" s="164">
        <v>45931.0</v>
      </c>
      <c r="V641" s="164">
        <v>45933.0</v>
      </c>
      <c r="W641" s="164">
        <v>45937.0</v>
      </c>
      <c r="X641" s="164">
        <v>45941.0</v>
      </c>
      <c r="Y641" s="164">
        <v>45949.0</v>
      </c>
      <c r="Z641" s="154">
        <v>45956.0</v>
      </c>
      <c r="AA641" s="155">
        <f t="shared" si="20"/>
        <v>45956</v>
      </c>
      <c r="AB641" s="16" t="s">
        <v>1134</v>
      </c>
      <c r="AC641" s="16" t="s">
        <v>1138</v>
      </c>
      <c r="AD641" s="170"/>
      <c r="AE641" s="156">
        <f t="shared" si="21"/>
        <v>45956</v>
      </c>
      <c r="AF641" s="107" t="str">
        <f t="shared" si="22"/>
        <v>2025</v>
      </c>
      <c r="AG641" s="107" t="str">
        <f t="shared" si="23"/>
        <v>10 Okt</v>
      </c>
      <c r="AH641" s="107" t="str">
        <f t="shared" si="24"/>
        <v>Min</v>
      </c>
      <c r="AI641" s="157">
        <f t="shared" si="25"/>
        <v>11</v>
      </c>
      <c r="AJ641" s="96"/>
      <c r="AK641" s="169"/>
      <c r="AL641" s="96"/>
      <c r="AM641" s="158">
        <f t="shared" si="12"/>
        <v>0</v>
      </c>
    </row>
    <row r="642" ht="22.5" customHeight="1">
      <c r="A642" s="167"/>
      <c r="B642" s="160" t="s">
        <v>86</v>
      </c>
      <c r="C642" s="160" t="s">
        <v>1131</v>
      </c>
      <c r="D642" s="161">
        <v>45956.0</v>
      </c>
      <c r="E642" s="124" t="str">
        <f t="shared" si="1"/>
        <v>2025</v>
      </c>
      <c r="F642" s="124" t="str">
        <f t="shared" si="2"/>
        <v>10 Okt</v>
      </c>
      <c r="G642" s="124" t="str">
        <f t="shared" si="3"/>
        <v>Minggu</v>
      </c>
      <c r="H642" s="158" t="s">
        <v>138</v>
      </c>
      <c r="I642" s="125" t="str">
        <f t="array" ref="I642">IFNA(XLOOKUP($H642,'🙎‍♂️ Pasien'!$G$7:$G658,'🙎‍♂️ Pasien'!$H$7:$H658),"")</f>
        <v>Y5125088477</v>
      </c>
      <c r="J642" s="125" t="str">
        <f t="array" ref="J642">IFNA(XLOOKUP($H642,'🙎‍♂️ Pasien'!$G$7:$G658,'🙎‍♂️ Pasien'!$L$7:$L658),"")</f>
        <v>LAKI-LAKI</v>
      </c>
      <c r="K642" s="125">
        <f t="array" ref="K642">IFNA(XLOOKUP($H642,'🙎‍♂️ Pasien'!$G$7:$G658,'🙎‍♂️ Pasien'!$I$7:$I658),"")</f>
        <v>75</v>
      </c>
      <c r="L642" s="160" t="s">
        <v>56</v>
      </c>
      <c r="M642" s="162" t="str">
        <f t="array" ref="M642">IFNA(XLOOKUP(L642,'⚙️ Pengaturan'!$H$5:$H658,'⚙️ Pengaturan'!$I$5:$I658),"")</f>
        <v>TIM Y</v>
      </c>
      <c r="N642" s="163" t="s">
        <v>1132</v>
      </c>
      <c r="O642" s="160" t="s">
        <v>1139</v>
      </c>
      <c r="P642" s="153">
        <f t="shared" si="13"/>
        <v>5</v>
      </c>
      <c r="Q642" s="164">
        <v>45962.0</v>
      </c>
      <c r="R642" s="164">
        <v>45969.0</v>
      </c>
      <c r="S642" s="164">
        <v>45976.0</v>
      </c>
      <c r="T642" s="164">
        <v>45983.0</v>
      </c>
      <c r="U642" s="164">
        <v>45990.0</v>
      </c>
      <c r="V642" s="164"/>
      <c r="W642" s="164"/>
      <c r="X642" s="164"/>
      <c r="Y642" s="164"/>
      <c r="Z642" s="154"/>
      <c r="AA642" s="155">
        <f t="shared" si="20"/>
        <v>45990</v>
      </c>
      <c r="AB642" s="16" t="s">
        <v>1134</v>
      </c>
      <c r="AC642" s="16" t="s">
        <v>1138</v>
      </c>
      <c r="AD642" s="170"/>
      <c r="AE642" s="156">
        <f t="shared" si="21"/>
        <v>45990</v>
      </c>
      <c r="AF642" s="107" t="str">
        <f t="shared" si="22"/>
        <v>2025</v>
      </c>
      <c r="AG642" s="107" t="str">
        <f t="shared" si="23"/>
        <v>11 Nov</v>
      </c>
      <c r="AH642" s="107" t="str">
        <f t="shared" si="24"/>
        <v>Sab</v>
      </c>
      <c r="AI642" s="157">
        <f t="shared" si="25"/>
        <v>4</v>
      </c>
      <c r="AJ642" s="96"/>
      <c r="AK642" s="169"/>
      <c r="AL642" s="96"/>
      <c r="AM642" s="158">
        <f t="shared" si="12"/>
        <v>0</v>
      </c>
    </row>
    <row r="643" ht="22.5" customHeight="1">
      <c r="A643" s="167"/>
      <c r="B643" s="160" t="s">
        <v>86</v>
      </c>
      <c r="C643" s="160" t="s">
        <v>1131</v>
      </c>
      <c r="D643" s="161">
        <v>45990.0</v>
      </c>
      <c r="E643" s="124" t="str">
        <f t="shared" si="1"/>
        <v>2025</v>
      </c>
      <c r="F643" s="124" t="str">
        <f t="shared" si="2"/>
        <v>11 Nov</v>
      </c>
      <c r="G643" s="124" t="str">
        <f t="shared" si="3"/>
        <v>Sabtu</v>
      </c>
      <c r="H643" s="158" t="s">
        <v>1470</v>
      </c>
      <c r="I643" s="125" t="str">
        <f t="array" ref="I643">IFNA(XLOOKUP($H643,'🙎‍♂️ Pasien'!$G$7:$G658,'🙎‍♂️ Pasien'!$H$7:$H658),"")</f>
        <v>A9123011070</v>
      </c>
      <c r="J643" s="125" t="str">
        <f t="array" ref="J643">IFNA(XLOOKUP($H643,'🙎‍♂️ Pasien'!$G$7:$G658,'🙎‍♂️ Pasien'!$L$7:$L658),"")</f>
        <v>PEREMPUAN</v>
      </c>
      <c r="K643" s="125">
        <f t="array" ref="K643">IFNA(XLOOKUP($H643,'🙎‍♂️ Pasien'!$G$7:$G658,'🙎‍♂️ Pasien'!$I$7:$I658),"")</f>
        <v>34</v>
      </c>
      <c r="L643" s="160" t="s">
        <v>56</v>
      </c>
      <c r="M643" s="162" t="str">
        <f t="array" ref="M643">IFNA(XLOOKUP(L643,'⚙️ Pengaturan'!$H$5:$H658,'⚙️ Pengaturan'!$I$5:$I658),"")</f>
        <v>TIM Y</v>
      </c>
      <c r="N643" s="163" t="s">
        <v>1132</v>
      </c>
      <c r="O643" s="160" t="s">
        <v>1133</v>
      </c>
      <c r="P643" s="153">
        <f t="shared" si="13"/>
        <v>4</v>
      </c>
      <c r="Q643" s="164">
        <v>45997.0</v>
      </c>
      <c r="R643" s="164">
        <v>46004.0</v>
      </c>
      <c r="S643" s="164">
        <v>46011.0</v>
      </c>
      <c r="T643" s="164">
        <v>46018.0</v>
      </c>
      <c r="U643" s="164"/>
      <c r="V643" s="164"/>
      <c r="W643" s="164"/>
      <c r="X643" s="164"/>
      <c r="Y643" s="164"/>
      <c r="Z643" s="154"/>
      <c r="AA643" s="155">
        <f t="shared" si="20"/>
        <v>46018</v>
      </c>
      <c r="AB643" s="16" t="s">
        <v>1144</v>
      </c>
      <c r="AC643" s="20"/>
      <c r="AD643" s="170"/>
      <c r="AE643" s="156" t="str">
        <f t="shared" si="21"/>
        <v/>
      </c>
      <c r="AF643" s="107" t="str">
        <f t="shared" si="22"/>
        <v/>
      </c>
      <c r="AG643" s="107" t="str">
        <f t="shared" si="23"/>
        <v/>
      </c>
      <c r="AH643" s="107" t="str">
        <f t="shared" si="24"/>
        <v/>
      </c>
      <c r="AI643" s="157">
        <f t="shared" si="25"/>
        <v>27</v>
      </c>
      <c r="AJ643" s="96"/>
      <c r="AK643" s="169"/>
      <c r="AL643" s="96"/>
      <c r="AM643" s="158">
        <f t="shared" si="12"/>
        <v>0</v>
      </c>
    </row>
    <row r="644" ht="22.5" customHeight="1">
      <c r="A644" s="167"/>
      <c r="B644" s="20"/>
      <c r="C644" s="20"/>
      <c r="D644" s="123">
        <v>45632.0</v>
      </c>
      <c r="E644" s="124" t="str">
        <f t="shared" si="1"/>
        <v>2024</v>
      </c>
      <c r="F644" s="124" t="str">
        <f t="shared" si="2"/>
        <v>12 Des</v>
      </c>
      <c r="G644" s="124" t="str">
        <f t="shared" si="3"/>
        <v>Jumat</v>
      </c>
      <c r="H644" s="16" t="s">
        <v>1471</v>
      </c>
      <c r="I644" s="125" t="str">
        <f t="array" ref="I644">IFNA(XLOOKUP($H644,'🙎‍♂️ Pasien'!$G$7:$G658,'🙎‍♂️ Pasien'!$H$7:$H658),"")</f>
        <v>Y752412</v>
      </c>
      <c r="J644" s="125" t="str">
        <f t="array" ref="J644">IFNA(XLOOKUP($H644,'🙎‍♂️ Pasien'!$G$7:$G658,'🙎‍♂️ Pasien'!$L$7:$L658),"")</f>
        <v>LAKI-LAKI</v>
      </c>
      <c r="K644" s="125">
        <f t="array" ref="K644">IFNA(XLOOKUP($H644,'🙎‍♂️ Pasien'!$G$7:$G658,'🙎‍♂️ Pasien'!$I$7:$I658),"")</f>
        <v>50</v>
      </c>
      <c r="L644" s="16" t="s">
        <v>101</v>
      </c>
      <c r="M644" s="125" t="str">
        <f t="array" ref="M644">IFNA(XLOOKUP(L644,'⚙️ Pengaturan'!$H$5:$H658,'⚙️ Pengaturan'!$I$5:$I658),"")</f>
        <v>MANAJEMEN</v>
      </c>
      <c r="N644" s="16" t="s">
        <v>1132</v>
      </c>
      <c r="O644" s="16" t="s">
        <v>1133</v>
      </c>
      <c r="P644" s="153">
        <f t="shared" si="13"/>
        <v>4</v>
      </c>
      <c r="Q644" s="154">
        <v>45634.0</v>
      </c>
      <c r="R644" s="154">
        <v>45636.0</v>
      </c>
      <c r="S644" s="154">
        <v>45638.0</v>
      </c>
      <c r="T644" s="154">
        <v>45640.0</v>
      </c>
      <c r="U644" s="154"/>
      <c r="V644" s="154"/>
      <c r="W644" s="154"/>
      <c r="X644" s="154"/>
      <c r="Y644" s="154"/>
      <c r="Z644" s="154"/>
      <c r="AA644" s="155">
        <f t="shared" si="20"/>
        <v>45640</v>
      </c>
      <c r="AB644" s="16" t="s">
        <v>1144</v>
      </c>
      <c r="AC644" s="20"/>
      <c r="AD644" s="170"/>
      <c r="AE644" s="156" t="str">
        <f t="shared" si="21"/>
        <v/>
      </c>
      <c r="AF644" s="107" t="str">
        <f t="shared" si="22"/>
        <v/>
      </c>
      <c r="AG644" s="107" t="str">
        <f t="shared" si="23"/>
        <v/>
      </c>
      <c r="AH644" s="107" t="str">
        <f t="shared" si="24"/>
        <v/>
      </c>
      <c r="AI644" s="157">
        <f t="shared" si="25"/>
        <v>79</v>
      </c>
      <c r="AJ644" s="96"/>
      <c r="AK644" s="169"/>
      <c r="AL644" s="96"/>
      <c r="AM644" s="158">
        <f t="shared" si="12"/>
        <v>0</v>
      </c>
    </row>
    <row r="645" ht="22.5" customHeight="1">
      <c r="A645" s="167"/>
      <c r="B645" s="160" t="s">
        <v>54</v>
      </c>
      <c r="C645" s="160" t="s">
        <v>1131</v>
      </c>
      <c r="D645" s="161">
        <v>45893.0</v>
      </c>
      <c r="E645" s="124" t="str">
        <f t="shared" si="1"/>
        <v>2025</v>
      </c>
      <c r="F645" s="124" t="str">
        <f t="shared" si="2"/>
        <v>08 Agu</v>
      </c>
      <c r="G645" s="124" t="str">
        <f t="shared" si="3"/>
        <v>Minggu</v>
      </c>
      <c r="H645" s="160" t="s">
        <v>1472</v>
      </c>
      <c r="I645" s="125" t="str">
        <f t="array" ref="I645">IFNA(XLOOKUP($H645,'🙎‍♂️ Pasien'!$G$7:$G658,'🙎‍♂️ Pasien'!$H$7:$H658),"")</f>
        <v>Y9425081430</v>
      </c>
      <c r="J645" s="125" t="str">
        <f t="array" ref="J645">IFNA(XLOOKUP($H645,'🙎‍♂️ Pasien'!$G$7:$G658,'🙎‍♂️ Pasien'!$L$7:$L658),"")</f>
        <v>LAKI-LAKI</v>
      </c>
      <c r="K645" s="125">
        <f t="array" ref="K645">IFNA(XLOOKUP($H645,'🙎‍♂️ Pasien'!$G$7:$G658,'🙎‍♂️ Pasien'!$I$7:$I658),"")</f>
        <v>31</v>
      </c>
      <c r="L645" s="160" t="s">
        <v>598</v>
      </c>
      <c r="M645" s="162" t="str">
        <f t="array" ref="M645">IFNA(XLOOKUP(L645,'⚙️ Pengaturan'!$H$5:$H658,'⚙️ Pengaturan'!$I$5:$I658),"")</f>
        <v>INAKTIF</v>
      </c>
      <c r="N645" s="163" t="s">
        <v>1132</v>
      </c>
      <c r="O645" s="160" t="s">
        <v>1133</v>
      </c>
      <c r="P645" s="153">
        <f t="shared" si="13"/>
        <v>2</v>
      </c>
      <c r="Q645" s="164">
        <v>45893.0</v>
      </c>
      <c r="R645" s="164">
        <v>45894.0</v>
      </c>
      <c r="S645" s="164"/>
      <c r="T645" s="164"/>
      <c r="U645" s="164"/>
      <c r="V645" s="164"/>
      <c r="W645" s="164"/>
      <c r="X645" s="164"/>
      <c r="Y645" s="164"/>
      <c r="Z645" s="164"/>
      <c r="AA645" s="165">
        <f t="shared" si="20"/>
        <v>45894</v>
      </c>
      <c r="AB645" s="160" t="s">
        <v>1144</v>
      </c>
      <c r="AC645" s="174"/>
      <c r="AD645" s="166"/>
      <c r="AE645" s="156" t="str">
        <f t="shared" si="21"/>
        <v/>
      </c>
      <c r="AF645" s="107" t="str">
        <f t="shared" si="22"/>
        <v/>
      </c>
      <c r="AG645" s="107" t="str">
        <f t="shared" si="23"/>
        <v/>
      </c>
      <c r="AH645" s="107" t="str">
        <f t="shared" si="24"/>
        <v/>
      </c>
      <c r="AI645" s="157">
        <f t="shared" si="25"/>
        <v>42</v>
      </c>
      <c r="AJ645" s="96"/>
      <c r="AK645" s="169"/>
      <c r="AL645" s="96"/>
      <c r="AM645" s="158">
        <f t="shared" si="12"/>
        <v>0</v>
      </c>
    </row>
    <row r="646" ht="22.5" customHeight="1">
      <c r="A646" s="167"/>
      <c r="B646" s="160" t="s">
        <v>86</v>
      </c>
      <c r="C646" s="160" t="s">
        <v>1131</v>
      </c>
      <c r="D646" s="161">
        <v>45990.0</v>
      </c>
      <c r="E646" s="124" t="str">
        <f t="shared" si="1"/>
        <v>2025</v>
      </c>
      <c r="F646" s="124" t="str">
        <f t="shared" si="2"/>
        <v>11 Nov</v>
      </c>
      <c r="G646" s="124" t="str">
        <f t="shared" si="3"/>
        <v>Sabtu</v>
      </c>
      <c r="H646" s="160" t="s">
        <v>605</v>
      </c>
      <c r="I646" s="125" t="str">
        <f t="array" ref="I646">IFNA(XLOOKUP($H646,'🙎‍♂️ Pasien'!$G$7:$G658,'🙎‍♂️ Pasien'!$H$7:$H658),"")</f>
        <v>Y7025113569</v>
      </c>
      <c r="J646" s="125" t="str">
        <f t="array" ref="J646">IFNA(XLOOKUP($H646,'🙎‍♂️ Pasien'!$G$7:$G658,'🙎‍♂️ Pasien'!$L$7:$L658),"")</f>
        <v>PEREMPUAN</v>
      </c>
      <c r="K646" s="125">
        <f t="array" ref="K646">IFNA(XLOOKUP($H646,'🙎‍♂️ Pasien'!$G$7:$G658,'🙎‍♂️ Pasien'!$I$7:$I658),"")</f>
        <v>55</v>
      </c>
      <c r="L646" s="160" t="s">
        <v>107</v>
      </c>
      <c r="M646" s="162" t="str">
        <f t="array" ref="M646">IFNA(XLOOKUP(L646,'⚙️ Pengaturan'!$H$5:$H658,'⚙️ Pengaturan'!$I$5:$I658),"")</f>
        <v>TIM Y</v>
      </c>
      <c r="N646" s="163" t="s">
        <v>1132</v>
      </c>
      <c r="O646" s="160" t="s">
        <v>1133</v>
      </c>
      <c r="P646" s="153">
        <f t="shared" si="13"/>
        <v>5</v>
      </c>
      <c r="Q646" s="164">
        <v>45992.0</v>
      </c>
      <c r="R646" s="164">
        <v>45995.0</v>
      </c>
      <c r="S646" s="164">
        <v>45999.0</v>
      </c>
      <c r="T646" s="164">
        <v>46002.0</v>
      </c>
      <c r="U646" s="164">
        <v>46004.0</v>
      </c>
      <c r="V646" s="164"/>
      <c r="W646" s="164"/>
      <c r="X646" s="164"/>
      <c r="Y646" s="164"/>
      <c r="Z646" s="164"/>
      <c r="AA646" s="165">
        <f t="shared" si="20"/>
        <v>46004</v>
      </c>
      <c r="AB646" s="160" t="s">
        <v>1144</v>
      </c>
      <c r="AC646" s="172"/>
      <c r="AD646" s="168"/>
      <c r="AE646" s="156">
        <f t="shared" si="21"/>
        <v>46004</v>
      </c>
      <c r="AF646" s="107" t="str">
        <f t="shared" si="22"/>
        <v>2025</v>
      </c>
      <c r="AG646" s="107" t="str">
        <f t="shared" si="23"/>
        <v>12 Des</v>
      </c>
      <c r="AH646" s="107" t="str">
        <f t="shared" si="24"/>
        <v>Sab</v>
      </c>
      <c r="AI646" s="157">
        <f t="shared" si="25"/>
        <v>2</v>
      </c>
      <c r="AJ646" s="96"/>
      <c r="AK646" s="169"/>
      <c r="AL646" s="96"/>
      <c r="AM646" s="158">
        <f t="shared" si="12"/>
        <v>0</v>
      </c>
    </row>
    <row r="647" ht="22.5" customHeight="1">
      <c r="A647" s="167"/>
      <c r="B647" s="171"/>
      <c r="C647" s="171"/>
      <c r="D647" s="161">
        <v>45644.0</v>
      </c>
      <c r="E647" s="124" t="str">
        <f t="shared" si="1"/>
        <v>2024</v>
      </c>
      <c r="F647" s="124" t="str">
        <f t="shared" si="2"/>
        <v>12 Des</v>
      </c>
      <c r="G647" s="124" t="str">
        <f t="shared" si="3"/>
        <v>Rabu</v>
      </c>
      <c r="H647" s="16" t="s">
        <v>1473</v>
      </c>
      <c r="I647" s="125" t="str">
        <f t="array" ref="I647">IFNA(XLOOKUP($H647,'🙎‍♂️ Pasien'!$G$7:$G658,'🙎‍♂️ Pasien'!$H$7:$H658),"")</f>
        <v/>
      </c>
      <c r="J647" s="125" t="str">
        <f t="array" ref="J647">IFNA(XLOOKUP($H647,'🙎‍♂️ Pasien'!$G$7:$G658,'🙎‍♂️ Pasien'!$L$7:$L658),"")</f>
        <v/>
      </c>
      <c r="K647" s="125" t="str">
        <f t="array" ref="K647">IFNA(XLOOKUP($H647,'🙎‍♂️ Pasien'!$G$7:$G658,'🙎‍♂️ Pasien'!$I$7:$I658),"")</f>
        <v/>
      </c>
      <c r="L647" s="16" t="s">
        <v>72</v>
      </c>
      <c r="M647" s="125" t="str">
        <f t="array" ref="M647">IFNA(XLOOKUP(L647,'⚙️ Pengaturan'!$H$5:$H658,'⚙️ Pengaturan'!$I$5:$I658),"")</f>
        <v>TIM A</v>
      </c>
      <c r="N647" s="16" t="s">
        <v>1132</v>
      </c>
      <c r="O647" s="16" t="s">
        <v>1139</v>
      </c>
      <c r="P647" s="153">
        <f t="shared" si="13"/>
        <v>4</v>
      </c>
      <c r="Q647" s="154">
        <v>45644.0</v>
      </c>
      <c r="R647" s="154">
        <v>45670.0</v>
      </c>
      <c r="S647" s="154">
        <v>45683.0</v>
      </c>
      <c r="T647" s="154">
        <v>45689.0</v>
      </c>
      <c r="U647" s="154"/>
      <c r="V647" s="154"/>
      <c r="W647" s="154"/>
      <c r="X647" s="154"/>
      <c r="Y647" s="154"/>
      <c r="Z647" s="154"/>
      <c r="AA647" s="155">
        <f t="shared" si="20"/>
        <v>45689</v>
      </c>
      <c r="AB647" s="16" t="s">
        <v>1144</v>
      </c>
      <c r="AC647" s="20"/>
      <c r="AD647" s="170"/>
      <c r="AE647" s="156" t="str">
        <f t="shared" si="21"/>
        <v/>
      </c>
      <c r="AF647" s="107" t="str">
        <f t="shared" si="22"/>
        <v/>
      </c>
      <c r="AG647" s="107" t="str">
        <f t="shared" si="23"/>
        <v/>
      </c>
      <c r="AH647" s="107" t="str">
        <f t="shared" si="24"/>
        <v/>
      </c>
      <c r="AI647" s="157">
        <f t="shared" si="25"/>
        <v>77</v>
      </c>
      <c r="AJ647" s="96"/>
      <c r="AK647" s="169"/>
      <c r="AL647" s="96"/>
      <c r="AM647" s="158">
        <f t="shared" si="12"/>
        <v>0</v>
      </c>
    </row>
    <row r="648" ht="22.5" customHeight="1">
      <c r="A648" s="167"/>
      <c r="B648" s="160" t="s">
        <v>134</v>
      </c>
      <c r="C648" s="160" t="s">
        <v>1131</v>
      </c>
      <c r="D648" s="161">
        <v>45881.0</v>
      </c>
      <c r="E648" s="124" t="str">
        <f t="shared" si="1"/>
        <v>2025</v>
      </c>
      <c r="F648" s="124" t="str">
        <f t="shared" si="2"/>
        <v>08 Agu</v>
      </c>
      <c r="G648" s="124" t="str">
        <f t="shared" si="3"/>
        <v>Selasa</v>
      </c>
      <c r="H648" s="160" t="s">
        <v>1474</v>
      </c>
      <c r="I648" s="125" t="str">
        <f t="array" ref="I648">IFNA(XLOOKUP($H648,'🙎‍♂️ Pasien'!$G$7:$G658,'🙎‍♂️ Pasien'!$H$7:$H658),"")</f>
        <v>Y9625087682</v>
      </c>
      <c r="J648" s="125" t="str">
        <f t="array" ref="J648">IFNA(XLOOKUP($H648,'🙎‍♂️ Pasien'!$G$7:$G658,'🙎‍♂️ Pasien'!$L$7:$L658),"")</f>
        <v>PEREMPUAN</v>
      </c>
      <c r="K648" s="125">
        <f t="array" ref="K648">IFNA(XLOOKUP($H648,'🙎‍♂️ Pasien'!$G$7:$G658,'🙎‍♂️ Pasien'!$I$7:$I658),"")</f>
        <v>30</v>
      </c>
      <c r="L648" s="160" t="s">
        <v>1152</v>
      </c>
      <c r="M648" s="162" t="str">
        <f t="array" ref="M648">IFNA(XLOOKUP(L648,'⚙️ Pengaturan'!$H$5:$H658,'⚙️ Pengaturan'!$I$5:$I658),"")</f>
        <v>INAKTIF</v>
      </c>
      <c r="N648" s="163" t="s">
        <v>1132</v>
      </c>
      <c r="O648" s="160" t="s">
        <v>1133</v>
      </c>
      <c r="P648" s="153">
        <f t="shared" si="13"/>
        <v>5</v>
      </c>
      <c r="Q648" s="164">
        <v>45885.0</v>
      </c>
      <c r="R648" s="164">
        <v>45892.0</v>
      </c>
      <c r="S648" s="164">
        <v>45892.0</v>
      </c>
      <c r="T648" s="164">
        <v>45903.0</v>
      </c>
      <c r="U648" s="164">
        <v>45903.0</v>
      </c>
      <c r="V648" s="164"/>
      <c r="W648" s="164"/>
      <c r="X648" s="164"/>
      <c r="Y648" s="164"/>
      <c r="Z648" s="164"/>
      <c r="AA648" s="165">
        <f t="shared" si="20"/>
        <v>45903</v>
      </c>
      <c r="AB648" s="160" t="s">
        <v>1134</v>
      </c>
      <c r="AC648" s="160" t="s">
        <v>1138</v>
      </c>
      <c r="AD648" s="166"/>
      <c r="AE648" s="156">
        <f t="shared" si="21"/>
        <v>45903</v>
      </c>
      <c r="AF648" s="107" t="str">
        <f t="shared" si="22"/>
        <v>2025</v>
      </c>
      <c r="AG648" s="107" t="str">
        <f t="shared" si="23"/>
        <v>09 Sep</v>
      </c>
      <c r="AH648" s="107" t="str">
        <f t="shared" si="24"/>
        <v>Rab</v>
      </c>
      <c r="AI648" s="157">
        <f t="shared" si="25"/>
        <v>3</v>
      </c>
      <c r="AJ648" s="96"/>
      <c r="AK648" s="169"/>
      <c r="AL648" s="96"/>
      <c r="AM648" s="158">
        <f t="shared" si="12"/>
        <v>0</v>
      </c>
    </row>
    <row r="649" ht="22.5" customHeight="1">
      <c r="A649" s="167"/>
      <c r="B649" s="160" t="s">
        <v>54</v>
      </c>
      <c r="C649" s="160" t="s">
        <v>1131</v>
      </c>
      <c r="D649" s="161">
        <v>45931.0</v>
      </c>
      <c r="E649" s="124" t="str">
        <f t="shared" si="1"/>
        <v>2025</v>
      </c>
      <c r="F649" s="124" t="str">
        <f t="shared" si="2"/>
        <v>10 Okt</v>
      </c>
      <c r="G649" s="124" t="str">
        <f t="shared" si="3"/>
        <v>Rabu</v>
      </c>
      <c r="H649" s="158" t="s">
        <v>150</v>
      </c>
      <c r="I649" s="125" t="str">
        <f t="array" ref="I649">IFNA(XLOOKUP($H649,'🙎‍♂️ Pasien'!$G$7:$G658,'🙎‍♂️ Pasien'!$H$7:$H658),"")</f>
        <v>Y6625092191</v>
      </c>
      <c r="J649" s="125" t="str">
        <f t="array" ref="J649">IFNA(XLOOKUP($H649,'🙎‍♂️ Pasien'!$G$7:$G658,'🙎‍♂️ Pasien'!$L$7:$L658),"")</f>
        <v>PEREMPUAN</v>
      </c>
      <c r="K649" s="125">
        <f t="array" ref="K649">IFNA(XLOOKUP($H649,'🙎‍♂️ Pasien'!$G$7:$G658,'🙎‍♂️ Pasien'!$I$7:$I658),"")</f>
        <v>59</v>
      </c>
      <c r="L649" s="160" t="s">
        <v>62</v>
      </c>
      <c r="M649" s="162" t="str">
        <f t="array" ref="M649">IFNA(XLOOKUP(L649,'⚙️ Pengaturan'!$H$5:$H658,'⚙️ Pengaturan'!$I$5:$I658),"")</f>
        <v>TIM A</v>
      </c>
      <c r="N649" s="163" t="s">
        <v>1132</v>
      </c>
      <c r="O649" s="160" t="s">
        <v>1133</v>
      </c>
      <c r="P649" s="153">
        <f t="shared" si="13"/>
        <v>5</v>
      </c>
      <c r="Q649" s="164">
        <v>45931.0</v>
      </c>
      <c r="R649" s="164">
        <v>45934.0</v>
      </c>
      <c r="S649" s="164">
        <v>45937.0</v>
      </c>
      <c r="T649" s="164">
        <v>45941.0</v>
      </c>
      <c r="U649" s="164">
        <v>45944.0</v>
      </c>
      <c r="V649" s="164"/>
      <c r="W649" s="164"/>
      <c r="X649" s="164"/>
      <c r="Y649" s="164"/>
      <c r="Z649" s="164"/>
      <c r="AA649" s="165">
        <f t="shared" si="20"/>
        <v>45944</v>
      </c>
      <c r="AB649" s="160" t="s">
        <v>1134</v>
      </c>
      <c r="AC649" s="160" t="s">
        <v>1135</v>
      </c>
      <c r="AD649" s="168" t="s">
        <v>1475</v>
      </c>
      <c r="AE649" s="156">
        <f t="shared" si="21"/>
        <v>45944</v>
      </c>
      <c r="AF649" s="107" t="str">
        <f t="shared" si="22"/>
        <v>2025</v>
      </c>
      <c r="AG649" s="107" t="str">
        <f t="shared" si="23"/>
        <v>10 Okt</v>
      </c>
      <c r="AH649" s="107" t="str">
        <f t="shared" si="24"/>
        <v>Sel</v>
      </c>
      <c r="AI649" s="157">
        <f t="shared" si="25"/>
        <v>2</v>
      </c>
      <c r="AJ649" s="96"/>
      <c r="AK649" s="169"/>
      <c r="AL649" s="96"/>
      <c r="AM649" s="158">
        <f t="shared" si="12"/>
        <v>0</v>
      </c>
    </row>
    <row r="650" ht="22.5" customHeight="1">
      <c r="A650" s="167"/>
      <c r="B650" s="160" t="s">
        <v>1156</v>
      </c>
      <c r="C650" s="160" t="s">
        <v>1131</v>
      </c>
      <c r="D650" s="161">
        <v>45880.0</v>
      </c>
      <c r="E650" s="124" t="str">
        <f t="shared" si="1"/>
        <v>2025</v>
      </c>
      <c r="F650" s="124" t="str">
        <f t="shared" si="2"/>
        <v>08 Agu</v>
      </c>
      <c r="G650" s="124" t="str">
        <f t="shared" si="3"/>
        <v>Senin</v>
      </c>
      <c r="H650" s="160" t="s">
        <v>238</v>
      </c>
      <c r="I650" s="125" t="str">
        <f t="array" ref="I650">IFNA(XLOOKUP($H650,'🙎‍♂️ Pasien'!$G$7:$G658,'🙎‍♂️ Pasien'!$H$7:$H658),"")</f>
        <v>Y9524111515</v>
      </c>
      <c r="J650" s="125" t="str">
        <f t="array" ref="J650">IFNA(XLOOKUP($H650,'🙎‍♂️ Pasien'!$G$7:$G658,'🙎‍♂️ Pasien'!$L$7:$L658),"")</f>
        <v>PEREMPUAN</v>
      </c>
      <c r="K650" s="125">
        <f t="array" ref="K650">IFNA(XLOOKUP($H650,'🙎‍♂️ Pasien'!$G$7:$G658,'🙎‍♂️ Pasien'!$I$7:$I658),"")</f>
        <v>31</v>
      </c>
      <c r="L650" s="160" t="s">
        <v>79</v>
      </c>
      <c r="M650" s="162" t="str">
        <f t="array" ref="M650">IFNA(XLOOKUP(L650,'⚙️ Pengaturan'!$H$5:$H658,'⚙️ Pengaturan'!$I$5:$I658),"")</f>
        <v>TIM A</v>
      </c>
      <c r="N650" s="163" t="s">
        <v>1132</v>
      </c>
      <c r="O650" s="160" t="s">
        <v>1133</v>
      </c>
      <c r="P650" s="153">
        <f t="shared" si="13"/>
        <v>5</v>
      </c>
      <c r="Q650" s="164">
        <v>45883.0</v>
      </c>
      <c r="R650" s="164">
        <v>45885.0</v>
      </c>
      <c r="S650" s="164">
        <v>45890.0</v>
      </c>
      <c r="T650" s="164">
        <v>45892.0</v>
      </c>
      <c r="U650" s="164">
        <v>45893.0</v>
      </c>
      <c r="V650" s="164"/>
      <c r="W650" s="164"/>
      <c r="X650" s="164"/>
      <c r="Y650" s="164"/>
      <c r="Z650" s="164"/>
      <c r="AA650" s="165">
        <f t="shared" si="20"/>
        <v>45893</v>
      </c>
      <c r="AB650" s="160" t="s">
        <v>1134</v>
      </c>
      <c r="AC650" s="160" t="s">
        <v>1138</v>
      </c>
      <c r="AD650" s="166"/>
      <c r="AE650" s="156">
        <f t="shared" si="21"/>
        <v>45893</v>
      </c>
      <c r="AF650" s="107" t="str">
        <f t="shared" si="22"/>
        <v>2025</v>
      </c>
      <c r="AG650" s="107" t="str">
        <f t="shared" si="23"/>
        <v>08 Agu</v>
      </c>
      <c r="AH650" s="107" t="str">
        <f t="shared" si="24"/>
        <v>Min</v>
      </c>
      <c r="AI650" s="157">
        <f t="shared" si="25"/>
        <v>2</v>
      </c>
      <c r="AJ650" s="96"/>
      <c r="AK650" s="169"/>
      <c r="AL650" s="96"/>
      <c r="AM650" s="158">
        <f t="shared" si="12"/>
        <v>0</v>
      </c>
    </row>
    <row r="651" ht="22.5" customHeight="1">
      <c r="A651" s="167"/>
      <c r="B651" s="160" t="s">
        <v>86</v>
      </c>
      <c r="C651" s="160" t="s">
        <v>1131</v>
      </c>
      <c r="D651" s="161">
        <v>45893.0</v>
      </c>
      <c r="E651" s="124" t="str">
        <f t="shared" si="1"/>
        <v>2025</v>
      </c>
      <c r="F651" s="124" t="str">
        <f t="shared" si="2"/>
        <v>08 Agu</v>
      </c>
      <c r="G651" s="124" t="str">
        <f t="shared" si="3"/>
        <v>Minggu</v>
      </c>
      <c r="H651" s="158" t="s">
        <v>238</v>
      </c>
      <c r="I651" s="125" t="str">
        <f t="array" ref="I651">IFNA(XLOOKUP($H651,'🙎‍♂️ Pasien'!$G$7:$G658,'🙎‍♂️ Pasien'!$H$7:$H658),"")</f>
        <v>Y9524111515</v>
      </c>
      <c r="J651" s="125" t="str">
        <f t="array" ref="J651">IFNA(XLOOKUP($H651,'🙎‍♂️ Pasien'!$G$7:$G658,'🙎‍♂️ Pasien'!$L$7:$L658),"")</f>
        <v>PEREMPUAN</v>
      </c>
      <c r="K651" s="125">
        <f t="array" ref="K651">IFNA(XLOOKUP($H651,'🙎‍♂️ Pasien'!$G$7:$G658,'🙎‍♂️ Pasien'!$I$7:$I658),"")</f>
        <v>31</v>
      </c>
      <c r="L651" s="160" t="s">
        <v>72</v>
      </c>
      <c r="M651" s="162" t="str">
        <f t="array" ref="M651">IFNA(XLOOKUP(L651,'⚙️ Pengaturan'!$H$5:$H658,'⚙️ Pengaturan'!$I$5:$I658),"")</f>
        <v>TIM A</v>
      </c>
      <c r="N651" s="163" t="s">
        <v>1132</v>
      </c>
      <c r="O651" s="160" t="s">
        <v>1139</v>
      </c>
      <c r="P651" s="153">
        <f t="shared" si="13"/>
        <v>5</v>
      </c>
      <c r="Q651" s="164">
        <v>45898.0</v>
      </c>
      <c r="R651" s="164">
        <v>45903.0</v>
      </c>
      <c r="S651" s="164">
        <v>45907.0</v>
      </c>
      <c r="T651" s="164">
        <v>45910.0</v>
      </c>
      <c r="U651" s="164">
        <v>45921.0</v>
      </c>
      <c r="V651" s="164"/>
      <c r="W651" s="164"/>
      <c r="X651" s="164"/>
      <c r="Y651" s="164"/>
      <c r="Z651" s="164"/>
      <c r="AA651" s="165">
        <f t="shared" si="20"/>
        <v>45921</v>
      </c>
      <c r="AB651" s="160" t="s">
        <v>1134</v>
      </c>
      <c r="AC651" s="160" t="s">
        <v>1138</v>
      </c>
      <c r="AD651" s="166"/>
      <c r="AE651" s="156">
        <f t="shared" si="21"/>
        <v>45921</v>
      </c>
      <c r="AF651" s="107" t="str">
        <f t="shared" si="22"/>
        <v>2025</v>
      </c>
      <c r="AG651" s="107" t="str">
        <f t="shared" si="23"/>
        <v>09 Sep</v>
      </c>
      <c r="AH651" s="107" t="str">
        <f t="shared" si="24"/>
        <v>Min</v>
      </c>
      <c r="AI651" s="157">
        <f t="shared" si="25"/>
        <v>4</v>
      </c>
      <c r="AJ651" s="96"/>
      <c r="AK651" s="169"/>
      <c r="AL651" s="96"/>
      <c r="AM651" s="158">
        <f t="shared" si="12"/>
        <v>0</v>
      </c>
    </row>
    <row r="652" ht="22.5" customHeight="1">
      <c r="A652" s="167"/>
      <c r="B652" s="160" t="s">
        <v>54</v>
      </c>
      <c r="C652" s="160" t="s">
        <v>1131</v>
      </c>
      <c r="D652" s="161">
        <v>45921.0</v>
      </c>
      <c r="E652" s="124" t="str">
        <f t="shared" si="1"/>
        <v>2025</v>
      </c>
      <c r="F652" s="124" t="str">
        <f t="shared" si="2"/>
        <v>09 Sep</v>
      </c>
      <c r="G652" s="124" t="str">
        <f t="shared" si="3"/>
        <v>Minggu</v>
      </c>
      <c r="H652" s="158" t="s">
        <v>238</v>
      </c>
      <c r="I652" s="125" t="str">
        <f t="array" ref="I652">IFNA(XLOOKUP($H652,'🙎‍♂️ Pasien'!$G$7:$G658,'🙎‍♂️ Pasien'!$H$7:$H658),"")</f>
        <v>Y9524111515</v>
      </c>
      <c r="J652" s="125" t="str">
        <f t="array" ref="J652">IFNA(XLOOKUP($H652,'🙎‍♂️ Pasien'!$G$7:$G658,'🙎‍♂️ Pasien'!$L$7:$L658),"")</f>
        <v>PEREMPUAN</v>
      </c>
      <c r="K652" s="125">
        <f t="array" ref="K652">IFNA(XLOOKUP($H652,'🙎‍♂️ Pasien'!$G$7:$G658,'🙎‍♂️ Pasien'!$I$7:$I658),"")</f>
        <v>31</v>
      </c>
      <c r="L652" s="160" t="s">
        <v>79</v>
      </c>
      <c r="M652" s="162" t="str">
        <f t="array" ref="M652">IFNA(XLOOKUP(L652,'⚙️ Pengaturan'!$H$5:$H658,'⚙️ Pengaturan'!$I$5:$I658),"")</f>
        <v>TIM A</v>
      </c>
      <c r="N652" s="163" t="s">
        <v>1132</v>
      </c>
      <c r="O652" s="160" t="s">
        <v>1139</v>
      </c>
      <c r="P652" s="153">
        <f t="shared" si="13"/>
        <v>5</v>
      </c>
      <c r="Q652" s="164">
        <v>45928.0</v>
      </c>
      <c r="R652" s="164">
        <v>45934.0</v>
      </c>
      <c r="S652" s="164">
        <v>45942.0</v>
      </c>
      <c r="T652" s="164">
        <v>45949.0</v>
      </c>
      <c r="U652" s="164">
        <v>45956.0</v>
      </c>
      <c r="V652" s="164"/>
      <c r="W652" s="164"/>
      <c r="X652" s="164"/>
      <c r="Y652" s="164"/>
      <c r="Z652" s="164"/>
      <c r="AA652" s="165">
        <f t="shared" si="20"/>
        <v>45956</v>
      </c>
      <c r="AB652" s="160" t="s">
        <v>1134</v>
      </c>
      <c r="AC652" s="160" t="s">
        <v>1138</v>
      </c>
      <c r="AD652" s="166"/>
      <c r="AE652" s="156">
        <f t="shared" si="21"/>
        <v>45956</v>
      </c>
      <c r="AF652" s="107" t="str">
        <f t="shared" si="22"/>
        <v>2025</v>
      </c>
      <c r="AG652" s="107" t="str">
        <f t="shared" si="23"/>
        <v>10 Okt</v>
      </c>
      <c r="AH652" s="107" t="str">
        <f t="shared" si="24"/>
        <v>Min</v>
      </c>
      <c r="AI652" s="157">
        <f t="shared" si="25"/>
        <v>4</v>
      </c>
      <c r="AJ652" s="96"/>
      <c r="AK652" s="169"/>
      <c r="AL652" s="96"/>
      <c r="AM652" s="158">
        <f t="shared" si="12"/>
        <v>0</v>
      </c>
    </row>
    <row r="653" ht="22.5" customHeight="1">
      <c r="A653" s="167"/>
      <c r="B653" s="160" t="s">
        <v>86</v>
      </c>
      <c r="C653" s="160" t="s">
        <v>1131</v>
      </c>
      <c r="D653" s="161">
        <v>45956.0</v>
      </c>
      <c r="E653" s="124" t="str">
        <f t="shared" si="1"/>
        <v>2025</v>
      </c>
      <c r="F653" s="124" t="str">
        <f t="shared" si="2"/>
        <v>10 Okt</v>
      </c>
      <c r="G653" s="124" t="str">
        <f t="shared" si="3"/>
        <v>Minggu</v>
      </c>
      <c r="H653" s="158" t="s">
        <v>238</v>
      </c>
      <c r="I653" s="125" t="str">
        <f t="array" ref="I653">IFNA(XLOOKUP($H653,'🙎‍♂️ Pasien'!$G$7:$G658,'🙎‍♂️ Pasien'!$H$7:$H658),"")</f>
        <v>Y9524111515</v>
      </c>
      <c r="J653" s="125" t="str">
        <f t="array" ref="J653">IFNA(XLOOKUP($H653,'🙎‍♂️ Pasien'!$G$7:$G658,'🙎‍♂️ Pasien'!$L$7:$L658),"")</f>
        <v>PEREMPUAN</v>
      </c>
      <c r="K653" s="125">
        <f t="array" ref="K653">IFNA(XLOOKUP($H653,'🙎‍♂️ Pasien'!$G$7:$G658,'🙎‍♂️ Pasien'!$I$7:$I658),"")</f>
        <v>31</v>
      </c>
      <c r="L653" s="160" t="s">
        <v>72</v>
      </c>
      <c r="M653" s="162" t="str">
        <f t="array" ref="M653">IFNA(XLOOKUP(L653,'⚙️ Pengaturan'!$H$5:$H658,'⚙️ Pengaturan'!$I$5:$I658),"")</f>
        <v>TIM A</v>
      </c>
      <c r="N653" s="163" t="s">
        <v>1132</v>
      </c>
      <c r="O653" s="160" t="s">
        <v>1139</v>
      </c>
      <c r="P653" s="153">
        <f t="shared" si="13"/>
        <v>5</v>
      </c>
      <c r="Q653" s="164">
        <v>45966.0</v>
      </c>
      <c r="R653" s="164">
        <v>45983.0</v>
      </c>
      <c r="S653" s="164">
        <v>45990.0</v>
      </c>
      <c r="T653" s="164">
        <v>45999.0</v>
      </c>
      <c r="U653" s="164">
        <v>46018.0</v>
      </c>
      <c r="V653" s="164"/>
      <c r="W653" s="164"/>
      <c r="X653" s="164"/>
      <c r="Y653" s="164"/>
      <c r="Z653" s="164"/>
      <c r="AA653" s="165">
        <f t="shared" si="20"/>
        <v>46018</v>
      </c>
      <c r="AB653" s="160" t="s">
        <v>1134</v>
      </c>
      <c r="AC653" s="160" t="s">
        <v>1138</v>
      </c>
      <c r="AD653" s="166"/>
      <c r="AE653" s="156">
        <f t="shared" si="21"/>
        <v>46018</v>
      </c>
      <c r="AF653" s="107" t="str">
        <f t="shared" si="22"/>
        <v>2025</v>
      </c>
      <c r="AG653" s="107" t="str">
        <f t="shared" si="23"/>
        <v>12 Des</v>
      </c>
      <c r="AH653" s="107" t="str">
        <f t="shared" si="24"/>
        <v>Sab</v>
      </c>
      <c r="AI653" s="157">
        <f t="shared" si="25"/>
        <v>8</v>
      </c>
      <c r="AJ653" s="96"/>
      <c r="AK653" s="169"/>
      <c r="AL653" s="96"/>
      <c r="AM653" s="158">
        <f t="shared" si="12"/>
        <v>0</v>
      </c>
    </row>
    <row r="654" ht="22.5" customHeight="1">
      <c r="A654" s="167"/>
      <c r="B654" s="160" t="s">
        <v>86</v>
      </c>
      <c r="C654" s="160" t="s">
        <v>1131</v>
      </c>
      <c r="D654" s="161">
        <v>46018.0</v>
      </c>
      <c r="E654" s="124" t="str">
        <f t="shared" si="1"/>
        <v>2025</v>
      </c>
      <c r="F654" s="124" t="str">
        <f t="shared" si="2"/>
        <v>12 Des</v>
      </c>
      <c r="G654" s="124" t="str">
        <f t="shared" si="3"/>
        <v>Sabtu</v>
      </c>
      <c r="H654" s="158" t="s">
        <v>238</v>
      </c>
      <c r="I654" s="125" t="str">
        <f t="array" ref="I654">IFNA(XLOOKUP($H654,'🙎‍♂️ Pasien'!$G$7:$G658,'🙎‍♂️ Pasien'!$H$7:$H658),"")</f>
        <v>Y9524111515</v>
      </c>
      <c r="J654" s="125" t="str">
        <f t="array" ref="J654">IFNA(XLOOKUP($H654,'🙎‍♂️ Pasien'!$G$7:$G658,'🙎‍♂️ Pasien'!$L$7:$L658),"")</f>
        <v>PEREMPUAN</v>
      </c>
      <c r="K654" s="125">
        <f t="array" ref="K654">IFNA(XLOOKUP($H654,'🙎‍♂️ Pasien'!$G$7:$G658,'🙎‍♂️ Pasien'!$I$7:$I658),"")</f>
        <v>31</v>
      </c>
      <c r="L654" s="160" t="s">
        <v>72</v>
      </c>
      <c r="M654" s="162" t="str">
        <f t="array" ref="M654">IFNA(XLOOKUP(L654,'⚙️ Pengaturan'!$H$5:$H658,'⚙️ Pengaturan'!$I$5:$I658),"")</f>
        <v>TIM A</v>
      </c>
      <c r="N654" s="163" t="s">
        <v>1132</v>
      </c>
      <c r="O654" s="160" t="s">
        <v>1139</v>
      </c>
      <c r="P654" s="153">
        <f t="shared" si="13"/>
        <v>0</v>
      </c>
      <c r="Q654" s="164"/>
      <c r="R654" s="164"/>
      <c r="S654" s="164"/>
      <c r="T654" s="164"/>
      <c r="U654" s="164"/>
      <c r="V654" s="164"/>
      <c r="W654" s="164"/>
      <c r="X654" s="164"/>
      <c r="Y654" s="164"/>
      <c r="Z654" s="164"/>
      <c r="AA654" s="165">
        <f t="shared" si="20"/>
        <v>46018</v>
      </c>
      <c r="AB654" s="160" t="s">
        <v>1144</v>
      </c>
      <c r="AC654" s="172"/>
      <c r="AD654" s="166"/>
      <c r="AE654" s="156" t="str">
        <f t="shared" si="21"/>
        <v/>
      </c>
      <c r="AF654" s="107" t="str">
        <f t="shared" si="22"/>
        <v/>
      </c>
      <c r="AG654" s="107" t="str">
        <f t="shared" si="23"/>
        <v/>
      </c>
      <c r="AH654" s="107" t="str">
        <f t="shared" si="24"/>
        <v/>
      </c>
      <c r="AI654" s="157" t="str">
        <f t="shared" si="25"/>
        <v/>
      </c>
      <c r="AJ654" s="96"/>
      <c r="AK654" s="169"/>
      <c r="AL654" s="96"/>
      <c r="AM654" s="158">
        <f t="shared" si="12"/>
        <v>0</v>
      </c>
    </row>
    <row r="655" ht="22.5" customHeight="1">
      <c r="A655" s="167"/>
      <c r="B655" s="160" t="s">
        <v>86</v>
      </c>
      <c r="C655" s="160" t="s">
        <v>1131</v>
      </c>
      <c r="D655" s="161">
        <v>45901.0</v>
      </c>
      <c r="E655" s="124" t="str">
        <f t="shared" si="1"/>
        <v>2025</v>
      </c>
      <c r="F655" s="124" t="str">
        <f t="shared" si="2"/>
        <v>09 Sep</v>
      </c>
      <c r="G655" s="124" t="str">
        <f t="shared" si="3"/>
        <v>Senin</v>
      </c>
      <c r="H655" s="160" t="s">
        <v>408</v>
      </c>
      <c r="I655" s="125" t="str">
        <f t="array" ref="I655">IFNA(XLOOKUP($H655,'🙎‍♂️ Pasien'!$G$7:$G658,'🙎‍♂️ Pasien'!$H$7:$H658),"")</f>
        <v>Y6225086451</v>
      </c>
      <c r="J655" s="125" t="str">
        <f t="array" ref="J655">IFNA(XLOOKUP($H655,'🙎‍♂️ Pasien'!$G$7:$G658,'🙎‍♂️ Pasien'!$L$7:$L658),"")</f>
        <v>PEREMPUAN</v>
      </c>
      <c r="K655" s="125">
        <f t="array" ref="K655">IFNA(XLOOKUP($H655,'🙎‍♂️ Pasien'!$G$7:$G658,'🙎‍♂️ Pasien'!$I$7:$I658),"")</f>
        <v>64</v>
      </c>
      <c r="L655" s="160" t="s">
        <v>72</v>
      </c>
      <c r="M655" s="162" t="str">
        <f t="array" ref="M655">IFNA(XLOOKUP(L655,'⚙️ Pengaturan'!$H$5:$H658,'⚙️ Pengaturan'!$I$5:$I658),"")</f>
        <v>TIM A</v>
      </c>
      <c r="N655" s="163" t="s">
        <v>1137</v>
      </c>
      <c r="O655" s="160" t="s">
        <v>1133</v>
      </c>
      <c r="P655" s="153">
        <f t="shared" si="13"/>
        <v>10</v>
      </c>
      <c r="Q655" s="164">
        <v>45904.0</v>
      </c>
      <c r="R655" s="164">
        <v>45908.0</v>
      </c>
      <c r="S655" s="164">
        <v>45911.0</v>
      </c>
      <c r="T655" s="164">
        <v>45915.0</v>
      </c>
      <c r="U655" s="164">
        <v>45922.0</v>
      </c>
      <c r="V655" s="164">
        <v>45925.0</v>
      </c>
      <c r="W655" s="164">
        <v>45929.0</v>
      </c>
      <c r="X655" s="164">
        <v>45936.0</v>
      </c>
      <c r="Y655" s="164">
        <v>45943.0</v>
      </c>
      <c r="Z655" s="164">
        <v>45946.0</v>
      </c>
      <c r="AA655" s="165">
        <f t="shared" si="20"/>
        <v>45946</v>
      </c>
      <c r="AB655" s="160" t="s">
        <v>1134</v>
      </c>
      <c r="AC655" s="160" t="s">
        <v>1138</v>
      </c>
      <c r="AD655" s="168"/>
      <c r="AE655" s="156">
        <f t="shared" si="21"/>
        <v>45946</v>
      </c>
      <c r="AF655" s="107" t="str">
        <f t="shared" si="22"/>
        <v>2025</v>
      </c>
      <c r="AG655" s="107" t="str">
        <f t="shared" si="23"/>
        <v>10 Okt</v>
      </c>
      <c r="AH655" s="107" t="str">
        <f t="shared" si="24"/>
        <v>Kam</v>
      </c>
      <c r="AI655" s="157">
        <f t="shared" si="25"/>
        <v>6</v>
      </c>
      <c r="AJ655" s="96"/>
      <c r="AK655" s="169"/>
      <c r="AL655" s="96"/>
      <c r="AM655" s="158">
        <f t="shared" si="12"/>
        <v>0</v>
      </c>
    </row>
    <row r="656" ht="22.5" customHeight="1">
      <c r="A656" s="167"/>
      <c r="B656" s="160" t="s">
        <v>54</v>
      </c>
      <c r="C656" s="160" t="s">
        <v>1131</v>
      </c>
      <c r="D656" s="161">
        <v>45950.0</v>
      </c>
      <c r="E656" s="124" t="str">
        <f t="shared" si="1"/>
        <v>2025</v>
      </c>
      <c r="F656" s="124" t="str">
        <f t="shared" si="2"/>
        <v>10 Okt</v>
      </c>
      <c r="G656" s="124" t="str">
        <f t="shared" si="3"/>
        <v>Senin</v>
      </c>
      <c r="H656" s="160" t="s">
        <v>408</v>
      </c>
      <c r="I656" s="125" t="str">
        <f t="array" ref="I656">IFNA(XLOOKUP($H656,'🙎‍♂️ Pasien'!$G$7:$G658,'🙎‍♂️ Pasien'!$H$7:$H658),"")</f>
        <v>Y6225086451</v>
      </c>
      <c r="J656" s="125" t="str">
        <f t="array" ref="J656">IFNA(XLOOKUP($H656,'🙎‍♂️ Pasien'!$G$7:$G658,'🙎‍♂️ Pasien'!$L$7:$L658),"")</f>
        <v>PEREMPUAN</v>
      </c>
      <c r="K656" s="125">
        <f t="array" ref="K656">IFNA(XLOOKUP($H656,'🙎‍♂️ Pasien'!$G$7:$G658,'🙎‍♂️ Pasien'!$I$7:$I658),"")</f>
        <v>64</v>
      </c>
      <c r="L656" s="160" t="s">
        <v>91</v>
      </c>
      <c r="M656" s="162" t="str">
        <f t="array" ref="M656">IFNA(XLOOKUP(L656,'⚙️ Pengaturan'!$H$5:$H658,'⚙️ Pengaturan'!$I$5:$I658),"")</f>
        <v>TIM Y</v>
      </c>
      <c r="N656" s="163" t="s">
        <v>1137</v>
      </c>
      <c r="O656" s="160" t="s">
        <v>1139</v>
      </c>
      <c r="P656" s="153">
        <f t="shared" si="13"/>
        <v>10</v>
      </c>
      <c r="Q656" s="164">
        <v>45950.0</v>
      </c>
      <c r="R656" s="164">
        <v>45957.0</v>
      </c>
      <c r="S656" s="164">
        <v>45960.0</v>
      </c>
      <c r="T656" s="164">
        <v>45964.0</v>
      </c>
      <c r="U656" s="164">
        <v>45967.0</v>
      </c>
      <c r="V656" s="164">
        <v>45974.0</v>
      </c>
      <c r="W656" s="164">
        <v>45978.0</v>
      </c>
      <c r="X656" s="164">
        <v>45985.0</v>
      </c>
      <c r="Y656" s="164">
        <v>45988.0</v>
      </c>
      <c r="Z656" s="164">
        <v>45992.0</v>
      </c>
      <c r="AA656" s="165">
        <f t="shared" si="20"/>
        <v>45992</v>
      </c>
      <c r="AB656" s="160" t="s">
        <v>1134</v>
      </c>
      <c r="AC656" s="160" t="s">
        <v>1135</v>
      </c>
      <c r="AD656" s="168" t="s">
        <v>1426</v>
      </c>
      <c r="AE656" s="156">
        <f t="shared" si="21"/>
        <v>45992</v>
      </c>
      <c r="AF656" s="107" t="str">
        <f t="shared" si="22"/>
        <v>2025</v>
      </c>
      <c r="AG656" s="107" t="str">
        <f t="shared" si="23"/>
        <v>12 Des</v>
      </c>
      <c r="AH656" s="107" t="str">
        <f t="shared" si="24"/>
        <v>Sen</v>
      </c>
      <c r="AI656" s="157">
        <f t="shared" si="25"/>
        <v>6</v>
      </c>
      <c r="AJ656" s="96"/>
      <c r="AK656" s="169"/>
      <c r="AL656" s="96"/>
      <c r="AM656" s="158">
        <f t="shared" si="12"/>
        <v>0</v>
      </c>
    </row>
    <row r="657" ht="22.5" customHeight="1">
      <c r="A657" s="167"/>
      <c r="B657" s="160" t="s">
        <v>86</v>
      </c>
      <c r="C657" s="160" t="s">
        <v>1131</v>
      </c>
      <c r="D657" s="161">
        <v>45992.0</v>
      </c>
      <c r="E657" s="124" t="str">
        <f t="shared" si="1"/>
        <v>2025</v>
      </c>
      <c r="F657" s="124" t="str">
        <f t="shared" si="2"/>
        <v>12 Des</v>
      </c>
      <c r="G657" s="124" t="str">
        <f t="shared" si="3"/>
        <v>Senin</v>
      </c>
      <c r="H657" s="160" t="s">
        <v>277</v>
      </c>
      <c r="I657" s="125" t="str">
        <f t="array" ref="I657">IFNA(XLOOKUP($H657,'🙎‍♂️ Pasien'!$G$7:$G658,'🙎‍♂️ Pasien'!$H$7:$H658),"")</f>
        <v>Z8125047588</v>
      </c>
      <c r="J657" s="125" t="str">
        <f t="array" ref="J657">IFNA(XLOOKUP($H657,'🙎‍♂️ Pasien'!$G$7:$G658,'🙎‍♂️ Pasien'!$L$7:$L658),"")</f>
        <v>LAKI-LAKI</v>
      </c>
      <c r="K657" s="125">
        <f t="array" ref="K657">IFNA(XLOOKUP($H657,'🙎‍♂️ Pasien'!$G$7:$G658,'🙎‍♂️ Pasien'!$I$7:$I658),"")</f>
        <v>45</v>
      </c>
      <c r="L657" s="160" t="s">
        <v>56</v>
      </c>
      <c r="M657" s="162" t="str">
        <f t="array" ref="M657">IFNA(XLOOKUP(L657,'⚙️ Pengaturan'!$H$5:$H658,'⚙️ Pengaturan'!$I$5:$I658),"")</f>
        <v>TIM Y</v>
      </c>
      <c r="N657" s="163" t="s">
        <v>1132</v>
      </c>
      <c r="O657" s="160" t="s">
        <v>1133</v>
      </c>
      <c r="P657" s="153">
        <f t="shared" si="13"/>
        <v>5</v>
      </c>
      <c r="Q657" s="164">
        <v>45995.0</v>
      </c>
      <c r="R657" s="164">
        <v>45998.0</v>
      </c>
      <c r="S657" s="164">
        <v>46001.0</v>
      </c>
      <c r="T657" s="164">
        <v>46007.0</v>
      </c>
      <c r="U657" s="164">
        <v>46012.0</v>
      </c>
      <c r="V657" s="164"/>
      <c r="W657" s="164"/>
      <c r="X657" s="164"/>
      <c r="Y657" s="164"/>
      <c r="Z657" s="164"/>
      <c r="AA657" s="165">
        <f t="shared" si="20"/>
        <v>46012</v>
      </c>
      <c r="AB657" s="160" t="s">
        <v>1134</v>
      </c>
      <c r="AC657" s="174"/>
      <c r="AD657" s="166"/>
      <c r="AE657" s="156">
        <f t="shared" si="21"/>
        <v>46012</v>
      </c>
      <c r="AF657" s="107" t="str">
        <f t="shared" si="22"/>
        <v>2025</v>
      </c>
      <c r="AG657" s="107" t="str">
        <f t="shared" si="23"/>
        <v>12 Des</v>
      </c>
      <c r="AH657" s="107" t="str">
        <f t="shared" si="24"/>
        <v>Min</v>
      </c>
      <c r="AI657" s="157">
        <f t="shared" si="25"/>
        <v>3</v>
      </c>
      <c r="AJ657" s="96"/>
      <c r="AK657" s="169"/>
      <c r="AL657" s="96"/>
      <c r="AM657" s="158">
        <f t="shared" si="12"/>
        <v>0</v>
      </c>
    </row>
    <row r="658" ht="22.5" customHeight="1">
      <c r="A658" s="167"/>
      <c r="B658" s="160" t="s">
        <v>86</v>
      </c>
      <c r="C658" s="160" t="s">
        <v>1170</v>
      </c>
      <c r="D658" s="161">
        <v>45973.0</v>
      </c>
      <c r="E658" s="124" t="str">
        <f t="shared" si="1"/>
        <v>2025</v>
      </c>
      <c r="F658" s="124" t="str">
        <f t="shared" si="2"/>
        <v>11 Nov</v>
      </c>
      <c r="G658" s="124" t="str">
        <f t="shared" si="3"/>
        <v>Rabu</v>
      </c>
      <c r="H658" s="160" t="s">
        <v>990</v>
      </c>
      <c r="I658" s="125" t="str">
        <f t="array" ref="I658">IFNA(XLOOKUP($H658,'🙎‍♂️ Pasien'!$G$7:$G658,'🙎‍♂️ Pasien'!$H$7:$H658),"")</f>
        <v/>
      </c>
      <c r="J658" s="125" t="str">
        <f t="array" ref="J658">IFNA(XLOOKUP($H658,'🙎‍♂️ Pasien'!$G$7:$G658,'🙎‍♂️ Pasien'!$L$7:$L658),"")</f>
        <v/>
      </c>
      <c r="K658" s="125" t="str">
        <f t="array" ref="K658">IFNA(XLOOKUP($H658,'🙎‍♂️ Pasien'!$G$7:$G658,'🙎‍♂️ Pasien'!$I$7:$I658),"")</f>
        <v/>
      </c>
      <c r="L658" s="160" t="s">
        <v>509</v>
      </c>
      <c r="M658" s="162" t="str">
        <f t="array" ref="M658">IFNA(XLOOKUP(L658,'⚙️ Pengaturan'!$H$5:$H658,'⚙️ Pengaturan'!$I$5:$I658),"")</f>
        <v>TIM Y</v>
      </c>
      <c r="N658" s="163" t="s">
        <v>1132</v>
      </c>
      <c r="O658" s="160" t="s">
        <v>1133</v>
      </c>
      <c r="P658" s="153">
        <f t="shared" si="13"/>
        <v>2</v>
      </c>
      <c r="Q658" s="164">
        <v>45973.0</v>
      </c>
      <c r="R658" s="164">
        <v>45975.0</v>
      </c>
      <c r="S658" s="164"/>
      <c r="T658" s="164"/>
      <c r="U658" s="164"/>
      <c r="V658" s="164"/>
      <c r="W658" s="164"/>
      <c r="X658" s="164"/>
      <c r="Y658" s="164"/>
      <c r="Z658" s="164"/>
      <c r="AA658" s="165">
        <f t="shared" si="20"/>
        <v>45975</v>
      </c>
      <c r="AB658" s="160" t="s">
        <v>1144</v>
      </c>
      <c r="AC658" s="172"/>
      <c r="AD658" s="166"/>
      <c r="AE658" s="156" t="str">
        <f t="shared" si="21"/>
        <v/>
      </c>
      <c r="AF658" s="107" t="str">
        <f t="shared" si="22"/>
        <v/>
      </c>
      <c r="AG658" s="107" t="str">
        <f t="shared" si="23"/>
        <v/>
      </c>
      <c r="AH658" s="107" t="str">
        <f t="shared" si="24"/>
        <v/>
      </c>
      <c r="AI658" s="157">
        <f t="shared" si="25"/>
        <v>30</v>
      </c>
      <c r="AJ658" s="96"/>
      <c r="AK658" s="169"/>
      <c r="AL658" s="96"/>
      <c r="AM658" s="158">
        <f t="shared" si="12"/>
        <v>0</v>
      </c>
    </row>
  </sheetData>
  <customSheetViews>
    <customSheetView guid="{25EFA04F-F6ED-4209-8CD9-7E0175E904D4}" filter="1" showAutoFilter="1">
      <autoFilter ref="$D$2:$AK$2">
        <filterColumn colId="24">
          <filters/>
        </filterColumn>
      </autoFilter>
    </customSheetView>
    <customSheetView guid="{FA229FA6-2B6D-47C9-BA20-D559BCEB372B}" filter="1" showAutoFilter="1">
      <autoFilter ref="$B$2:$AI$658">
        <filterColumn colId="10">
          <filters>
            <filter val="PRITY"/>
            <filter val="AULIA"/>
            <filter val="OKTA"/>
            <filter val="HENA"/>
            <filter val="WAHYU"/>
            <filter val="ORY"/>
            <filter val="REZA"/>
          </filters>
        </filterColumn>
      </autoFilter>
    </customSheetView>
    <customSheetView guid="{75A7DD84-657D-490D-8152-30E7061AE6B8}" filter="1" showAutoFilter="1">
      <autoFilter ref="$B$2:$AI$658">
        <filterColumn colId="26">
          <filters>
            <filter val="ON"/>
          </filters>
        </filterColumn>
      </autoFilter>
    </customSheetView>
    <customSheetView guid="{A9138DCC-CC67-4662-9DE4-ED853A017D3F}" filter="1" showAutoFilter="1">
      <autoFilter ref="$B$2:$AI$658">
        <filterColumn colId="6">
          <filters>
            <filter val="DELLY MARINA"/>
            <filter val="AQILA AFIFAH OCTAFRIYANA"/>
            <filter val="RATNA DEWI"/>
            <filter val="LIE KIM FA/KESUMAJADI"/>
            <filter val="ALPAWI"/>
            <filter val="MUHAMMAD REVANDRA"/>
            <filter val="NG SIA CIN"/>
            <filter val="ABDURROHMAN AL FIKRI"/>
            <filter val="NG IE BUI"/>
            <filter val="MIA HARTE"/>
            <filter val="GIRY XAVIRA PUTRI"/>
            <filter val="DONNY TRI PUJIANTO"/>
            <filter val="FADLURROHMAN ASSHIDDIQI"/>
            <filter val="ELMON UTOMO"/>
            <filter val="SISKA DAMASTUTI"/>
            <filter val="DWI BARI LUTHFIANUR"/>
            <filter val="MUTIARA DEWI A.Q"/>
            <filter val="IMMANUEL STEVE HASIHOLAN LUMBANTORUAN"/>
            <filter val="RUDI ABDI"/>
            <filter val="GRACIA IVANA GOUWYN"/>
            <filter val="FRANSISKA MARIA NUR"/>
            <filter val="KHOU AI NA"/>
            <filter val="RAMOTI PUTRA MANALU"/>
            <filter val="BAYU AGIL SAMPURNO"/>
            <filter val="YANTI TANTRA"/>
            <filter val="YUNI ISHAFIZA"/>
            <filter val="FRITA OLIVIA"/>
            <filter val="RAKA MALDINI B"/>
            <filter val="NICHOLAS ARINDA PRASETYO"/>
            <filter val="ZULKIFLI 8105"/>
            <filter val="STEVANI"/>
            <filter val="HELIE"/>
            <filter val="BOBY ANTA MAULANA"/>
            <filter val="RIKSON ARMAGEDON PURBA"/>
            <filter val="LISNA WARDATI"/>
            <filter val="BELLY"/>
            <filter val="YULIANA 9606"/>
            <filter val="ERIC JORDAN"/>
            <filter val="YURWARTINI"/>
            <filter val="IRRINA FAUZIARNI"/>
            <filter val="HJ. MARIA ULFAH"/>
            <filter val="SYAHRIL AKBARI"/>
            <filter val="MUHAMMAD ZAMZAM QOMARUZZAMAN"/>
            <filter val="YOSTRYAN CHENATA"/>
            <filter val="ALIANSYAH"/>
            <filter val="MENG NIAN ALIAS RUDI"/>
            <filter val="ANDREW WILLARD HWANGSU"/>
            <filter val="ROSKIAMY"/>
            <filter val="ALDO PUTRA DERMAWAN"/>
            <filter val="ELY"/>
            <filter val="AGUS SAPUTRA"/>
            <filter val="AZMI 8804"/>
            <filter val="WAN REVALDO RIZKI NATAKUSUMA"/>
            <filter val="BINTARI INDAH SAPUTRI"/>
            <filter val="WENNY YOSTIA"/>
            <filter val="EVANIA"/>
            <filter val="MISNAWATI"/>
            <filter val="PUJI MULYANI"/>
            <filter val="RANDA ARZA SAPUTRA"/>
            <filter val="SURYANA"/>
            <filter val="RAMADHAN 9402"/>
            <filter val="ALY AL DASTAN"/>
            <filter val="DHUTA ERLANGGA SUPRAYITNO"/>
            <filter val="FAJRINA HASNI"/>
            <filter val="SETIO BONO SAPUTRO"/>
            <filter val="ZULKIFLI HASANUDDIN"/>
            <filter val="M. FAIZ AZRIELRIANDRA"/>
            <filter val="SUKARDI. SH MM"/>
            <filter val="LINAWARTI"/>
            <filter val="ALKHAWARISMA"/>
            <filter val="ILHAM MUTTAKIN"/>
            <filter val="MUHAMMAD CHAIRUDDIN, S.A.P"/>
            <filter val="YOSIA GALANG PUTRA BORNEO"/>
            <filter val="HENI YULIKARWATI"/>
            <filter val="ELBERT"/>
            <filter val="RICKY ISKANDAR"/>
            <filter val="EKA LESTARI"/>
            <filter val="SELVIA RATNA SARIWEDI"/>
            <filter val="RIA UTAMI"/>
            <filter val="DIANA"/>
            <filter val="WELY"/>
            <filter val="ALGI FAHRI"/>
            <filter val="ALBYAN RAFIF MAHESWARA"/>
            <filter val="ANNA ROSIYANTI"/>
            <filter val="MARSHERLA LOVESENZIA"/>
            <filter val="TJAN TIONG HONG"/>
            <filter val="MILLAH AULIYA"/>
            <filter val="SINTA CLARENCIA"/>
            <filter val="NAJWA NUR AZWINA"/>
            <filter val="SOFIA PHUA"/>
            <filter val="OLYVIA NUR AFIANI"/>
            <filter val="FILYSIA FEBRIANTINE"/>
            <filter val="MICHAEL EVANDER"/>
            <filter val="RAJIDIN"/>
            <filter val="WIDI ASTUTI"/>
            <filter val="FATIMA"/>
            <filter val="SUHAIMI"/>
            <filter val="LENI DIANTAMI"/>
            <filter val="CANDY WIBOWO"/>
            <filter val="HO HIAN KI"/>
            <filter val="LIE SOI TJU"/>
            <filter val="KHOU AI KHENG"/>
            <filter val="NAILAH QEIZHA ALMAQHVIRA"/>
            <filter val="SHARON LIE"/>
            <filter val="MUHAMMAD NADLY ALNOV"/>
            <filter val="ANDI"/>
            <filter val="YAYUK SUKESI"/>
            <filter val="GILANG MAULANA"/>
            <filter val="SUSANTI"/>
            <filter val="BUJANG"/>
            <filter val="I DEWA AYU SARIPUTRI"/>
            <filter val="DRSHENDRA SALIM"/>
            <filter val="EDY HARTONO"/>
            <filter val="MAWRICE CHUARESMO MARTIN"/>
            <filter val="AULIA RAHMAH PUTRI ADISHA"/>
            <filter val="ANGELICA"/>
            <filter val="NURIL HUDA ATHARIQ UKASAH"/>
            <filter val="MUHAMMAD RISKY FIRMANSYAH"/>
            <filter val="AISHA NAJWA AQILA"/>
            <filter val="LENY SUMANTRI"/>
            <filter val="CHRISTINA"/>
            <filter val="DAFID"/>
            <filter val="RAMADHAN"/>
            <filter val="KRIS YOGI DWI PUTRA SIBARANI"/>
            <filter val="URAY DJAHARANI"/>
            <filter val="LANDON CRYSANDER ALI"/>
            <filter val="ANDRY LODIYANTO"/>
            <filter val="SILVI AULIA"/>
            <filter val="TRI ASTUTI"/>
            <filter val="YOUNG BRILLIAN THEHAWIJAYA"/>
            <filter val="BAI FURKON HILMI, SE"/>
            <filter val="SRI ESRI"/>
            <filter val="FRANKY WILLIAM"/>
            <filter val="FLORENSIUS EFRENDI"/>
            <filter val="MERRY"/>
            <filter val="BIBI NAIZA"/>
            <filter val="SOFHIA LEKA"/>
            <filter val="TANIA 0004"/>
            <filter val="AJENG DWI SINTIYA DEWI"/>
            <filter val="GALIH HANDAYANI"/>
            <filter val="MICHAEL 9706"/>
            <filter val="MARTINI"/>
            <filter val="ARIFIN NUR ROCHMAD"/>
            <filter val="ERLIN NURLIAWATY"/>
            <filter val="MUHAMMAD FIRMAN SAPUTRA"/>
            <filter val="WIEKE VERASTUTI"/>
            <filter val="ATIKA MUFLIHA"/>
            <filter val="DICKY KUSUMA SAKTI"/>
            <filter val="NADYNE ARSYFA NUR AS’ADIYAH"/>
            <filter val="MULLY ENDAH PRATIWI"/>
            <filter val="OBIN"/>
            <filter val="SRI HARYANTY"/>
            <filter val="IDRIS"/>
            <filter val="ERWIN FIRMANSYAH"/>
            <filter val="ANGELICA BUNARDI"/>
            <filter val="FERA HENDRY"/>
            <filter val="ELLYSA FERONIKA HALIM"/>
            <filter val="AGATHA ARCADIA"/>
            <filter val="YUNITA"/>
            <filter val="ATIQAH ZAHRA FITRIA"/>
            <filter val="ROSWITA"/>
            <filter val="ARDILES SANTOS JR"/>
            <filter val="SEKAR KINANTI HERPRADANTI"/>
            <filter val="YUBANADI"/>
            <filter val="SUHERMAN"/>
            <filter val="KURNIYAWATI"/>
            <filter val="RITA HARJANTI"/>
            <filter val="HARRY FURQAN"/>
            <filter val="TUTI TRISNAWATI"/>
            <filter val="LIA"/>
            <filter val="RACHMI WULAN"/>
            <filter val="FATIMAH 5612"/>
            <filter val="SULAIMAN 9601"/>
            <filter val="AKIAN"/>
            <filter val="TAN TJHUN TIE ALS ROBERT"/>
            <filter val="LIM OI SIP ALS ERNY"/>
            <filter val="LILI MARTINA"/>
            <filter val="WACHYU WIDAYAT"/>
            <filter val="MURTI JULIANDARI"/>
            <filter val="SUNARTI"/>
            <filter val="NADIA AYUNI PUTRI"/>
            <filter val="RITA MUSTARI"/>
            <filter val="REI KHALFANI"/>
            <filter val="INDINA SHINTA DEWI"/>
            <filter val="AZARYA JADAYN ARYO"/>
            <filter val="MUHAMMAD FADLI LUTFIANDO"/>
            <filter val="JAHFAL"/>
            <filter val="MARIA ELLISA"/>
            <filter val="ERVINAWATI KUSUMA"/>
            <filter val="DARMADI"/>
            <filter val="NANI ERNIEYATI"/>
            <filter val="ADAM DAMIRI"/>
            <filter val="NICHOLAS BILI SAPUTRA"/>
            <filter val="ACHMAD RIKO JULIANSYA"/>
            <filter val="SARWATI"/>
            <filter val="SUYONO"/>
            <filter val="IRIYANI"/>
            <filter val="KRISTIANI"/>
            <filter val="AULI FATHIA PUTRIATI S.FARM, APT"/>
            <filter val="NURHASANA"/>
            <filter val="HASANAH"/>
            <filter val="MIMI RESTUTI"/>
            <filter val="ELLEN ARIFIN"/>
            <filter val="RINI SATMAWATI"/>
            <filter val="RINA TJENDERA"/>
            <filter val="MARDIANA 6909"/>
            <filter val="RAFIF HANAN"/>
            <filter val="RENDI"/>
            <filter val="RYUDINATA WILLIAM"/>
            <filter val="SYARIF RAIHAN RAFISKI"/>
            <filter val="DELA MASTIKA"/>
            <filter val="JULIANTO 9007"/>
            <filter val="CINTHYA MEILIZA"/>
            <filter val="MEDIANA SULISTIAWATI"/>
            <filter val="SAWITRI HERSUSANTI"/>
            <filter val="KASBI"/>
            <filter val="NABEELA ARVYANI"/>
            <filter val="RENA"/>
            <filter val="FATMAWATI"/>
            <filter val="RUDI HARTONO"/>
            <filter val="MAKPUL SOFWAN"/>
            <filter val="RAFAEL GIOFANI"/>
            <filter val="SUKAWATI EFFENDY"/>
            <filter val="VERDICO ARIEF"/>
            <filter val="DWI SARTIKA SARI"/>
            <filter val="RINA FAUZIAH"/>
            <filter val="HARTONO"/>
            <filter val="VIVIANTY"/>
            <filter val="MEIVIAN GOUWYN"/>
            <filter val="SALLY ISKANDAR TAN"/>
            <filter val="DIKIFIRNANDA"/>
            <filter val="TOGARDO AMANTA"/>
            <filter val="AHMAD DANY NOVALDI"/>
            <filter val="HENDRI WIJAYA"/>
            <filter val="MARISA HANDAYANI"/>
            <filter val="MARIYAM"/>
            <filter val="MUNAGI"/>
            <filter val="LIM OI KHIUN ALS RIANA"/>
            <filter val="RATNAWITA"/>
            <filter val="M. ARSYAD"/>
            <filter val="ANANTA UTAMI"/>
            <filter val="SANTUN TOGATOROP"/>
            <filter val="JUN FONG"/>
            <filter val="HANY JULIANI"/>
            <filter val="JONG NYUK KIM ALS FATIMAH"/>
            <filter val="ENDAH SEPTIANINGSIH"/>
            <filter val="YESI VERDIANTI"/>
            <filter val="VIVIYANTI"/>
            <filter val="BONITA DWI ANGGREINI"/>
            <filter val="WISNU WARDANA"/>
            <filter val="RASIANI"/>
            <filter val="ALYSSA SALSABILLA"/>
            <filter val="BENI PRAYOGA"/>
            <filter val="DEVIN PANGESTU"/>
            <filter val="CINTHYA TANJAYA"/>
            <filter val="DJAUW KHIE TJIN"/>
            <filter val="SELENA"/>
            <filter val="HENG KENG SENG"/>
            <filter val="TJONG LIE TJHIUN ALS SUKIMAN"/>
            <filter val="MARIYAMINA RUPINA"/>
            <filter val="YUDI RIZALDI"/>
            <filter val="TERA VICIANI"/>
            <filter val="PASKALIS NIKO SAPUTRA"/>
            <filter val="MIKTAMI CHRISTOFEN TANG"/>
            <filter val="YULIA WIDIANARTI"/>
            <filter val="ELLA FITRIA"/>
            <filter val="LIENA TJANDRA"/>
            <filter val="ANDRIANI"/>
            <filter val="FIKRI AKIFA PERMANA"/>
            <filter val="DESTY AYU WULANSARI"/>
            <filter val="FRANS IMMANUEL SIAHAAN"/>
            <filter val="CHRISTIAN WIDIYANTO"/>
            <filter val="A. SYUKUR H. JAFRI"/>
            <filter val="GINA INDRI"/>
            <filter val="JAKA SEPTIADI"/>
            <filter val="NURDILA YULIANTI"/>
            <filter val="DIAN GITA SAVITRI"/>
            <filter val="ALFIAN BONE PUTRA"/>
            <filter val="INKA RUSADY"/>
            <filter val="BEDJO RAHARDJO"/>
            <filter val="MARSHERLY LOVESENZIA"/>
          </filters>
        </filterColumn>
      </autoFilter>
    </customSheetView>
    <customSheetView guid="{0974EC85-6B59-40F5-AC44-3B0FEAAE4802}" filter="1" showAutoFilter="1">
      <autoFilter ref="$D$2:$AK$2">
        <filterColumn colId="17">
          <customFilters and="1">
            <customFilter operator="greaterThanOrEqual" val="1/9/2023"/>
            <customFilter operator="lessThanOrEqual" val="8/9/2023"/>
          </customFilters>
        </filterColumn>
        <filterColumn colId="24">
          <filters/>
        </filterColumn>
      </autoFilter>
    </customSheetView>
    <customSheetView guid="{AA3A27C3-C681-434B-92A2-6ADD59BAE61E}" filter="1" showAutoFilter="1">
      <autoFilter ref="$B$2:$AI$658"/>
    </customSheetView>
    <customSheetView guid="{214099C8-A516-4C98-BECC-55E5D7559755}" filter="1" showAutoFilter="1">
      <autoFilter ref="$B$2:$AI$658">
        <filterColumn colId="26">
          <filters>
            <filter val="ON"/>
          </filters>
        </filterColumn>
        <sortState ref="B2:AI658">
          <sortCondition ref="D2:D658"/>
        </sortState>
      </autoFilter>
    </customSheetView>
    <customSheetView guid="{D9C8E696-2233-4451-BB2C-C3F1F3039EB0}" filter="1" showAutoFilter="1">
      <autoFilter ref="$B$2:$AI$658"/>
    </customSheetView>
  </customSheetViews>
  <conditionalFormatting sqref="T24">
    <cfRule type="expression" dxfId="11" priority="1">
      <formula>$N:N="C1"</formula>
    </cfRule>
  </conditionalFormatting>
  <conditionalFormatting sqref="T24">
    <cfRule type="expression" dxfId="11" priority="2">
      <formula>$N:N="P1"</formula>
    </cfRule>
  </conditionalFormatting>
  <conditionalFormatting sqref="U24:W24">
    <cfRule type="expression" dxfId="11" priority="3">
      <formula>$N:N="C2"</formula>
    </cfRule>
  </conditionalFormatting>
  <conditionalFormatting sqref="U1:U23 U25:U658">
    <cfRule type="expression" dxfId="11" priority="4">
      <formula>$N:N="P1"</formula>
    </cfRule>
  </conditionalFormatting>
  <conditionalFormatting sqref="U1:U23 U25:U658">
    <cfRule type="expression" dxfId="11" priority="5">
      <formula>$N:N="C1"</formula>
    </cfRule>
  </conditionalFormatting>
  <conditionalFormatting sqref="V1:V23 V25:V658">
    <cfRule type="expression" dxfId="11" priority="6">
      <formula>$N:N="C2"</formula>
    </cfRule>
  </conditionalFormatting>
  <conditionalFormatting sqref="Z1:Z658">
    <cfRule type="expression" dxfId="11" priority="7">
      <formula>$N:N="P2"</formula>
    </cfRule>
  </conditionalFormatting>
  <conditionalFormatting sqref="Z1:Z658">
    <cfRule type="expression" dxfId="11" priority="8">
      <formula>$N:N="PV"</formula>
    </cfRule>
  </conditionalFormatting>
  <conditionalFormatting sqref="W1:W658">
    <cfRule type="expression" dxfId="11" priority="9">
      <formula>$N:N="C3"</formula>
    </cfRule>
  </conditionalFormatting>
  <conditionalFormatting sqref="Q1:Z658 A3:A34 B3:G658 AE3:AI658 A38:A658">
    <cfRule type="containsText" dxfId="11" priority="10" operator="containsText" text="STOP">
      <formula>NOT(ISERROR(SEARCH(("STOP"),(Q1))))</formula>
    </cfRule>
  </conditionalFormatting>
  <conditionalFormatting sqref="B3:C658 H3:H658">
    <cfRule type="expression" dxfId="7" priority="11">
      <formula>IF(AND($AB3:$AB658="OFF",$AC3:$AC658=""),TRUE,FALSE)</formula>
    </cfRule>
  </conditionalFormatting>
  <conditionalFormatting sqref="B3:C658 H3:H658">
    <cfRule type="expression" dxfId="7" priority="12">
      <formula>IF(AND($AB3:$AB658="OFF",$AC3:$AC658="STOP",$AD3:$AD658=""),TRUE,FALSE)</formula>
    </cfRule>
  </conditionalFormatting>
  <conditionalFormatting sqref="B3:C658 H3:H658">
    <cfRule type="expression" dxfId="7" priority="13">
      <formula>IF(AND($AB3:$AB658="OFF",$AC3:$AC658="TIDAK LANJUT",$AD3:$AD658=""),TRUE,FALSE)</formula>
    </cfRule>
  </conditionalFormatting>
  <conditionalFormatting sqref="B3:C658 H3:H658">
    <cfRule type="expression" dxfId="7" priority="14">
      <formula>IF(AND($AB3:$AB658="OFF",$AC3:$AC658="BELUM KONFIRMASI",$AD3:$AD658=""),TRUE,FALSE)</formula>
    </cfRule>
  </conditionalFormatting>
  <conditionalFormatting sqref="B3:C658 H3:H658">
    <cfRule type="expression" dxfId="8" priority="15">
      <formula>IF($AB3:$AB658="OFF",TRUE,FALSE)</formula>
    </cfRule>
  </conditionalFormatting>
  <conditionalFormatting sqref="B3:P658">
    <cfRule type="expression" dxfId="7" priority="16">
      <formula>IF(OR($B3:$B658="",$C3:$C658="DP",$C3:$C658="BELUM BAYAR",$C3:$C658="CICIL",$D3:$D658="",$L3:$L658="",$N3:$N658="",$O3:$O658="",$AB3:$AB658=""),TRUE,FALSE)</formula>
    </cfRule>
  </conditionalFormatting>
  <conditionalFormatting sqref="B3:P658">
    <cfRule type="expression" dxfId="7" priority="17">
      <formula>IF(AND($AE3:$AE658&lt;&gt;"",$AB3:$AB658="ON"),TRUE,FALSE)</formula>
    </cfRule>
  </conditionalFormatting>
  <dataValidations>
    <dataValidation type="custom" allowBlank="1" showDropDown="1" showErrorMessage="1" sqref="Q3:Z658">
      <formula1>OR(NOT(ISERROR(DATEVALUE(Q3))), AND(ISNUMBER(Q3), LEFT(CELL("format", Q3))="D"))</formula1>
    </dataValidation>
    <dataValidation type="list" allowBlank="1" sqref="AC3:AC658">
      <formula1>#REF!</formula1>
    </dataValidation>
    <dataValidation type="custom" allowBlank="1" showDropDown="1" sqref="D3:D658">
      <formula1>OR(NOT(ISERROR(DATEVALUE(D3))), AND(ISNUMBER(D3), LEFT(CELL("format", D3))="D"))</formula1>
    </dataValidation>
    <dataValidation type="list" allowBlank="1" sqref="AB3:AB658">
      <formula1>#REF!</formula1>
    </dataValidation>
    <dataValidation type="list" allowBlank="1" sqref="C3:C658">
      <formula1>"LUNAS,DP,CICIL,BELUM BAYAR"</formula1>
    </dataValidation>
    <dataValidation type="list" allowBlank="1" sqref="B3:B658 L3:L658 N3:O658">
      <formula1>#REF!</formula1>
    </dataValidation>
    <dataValidation type="list" allowBlank="1" showDropDown="1" sqref="H3:H658">
      <formula1>#REF!</formula1>
    </dataValidation>
  </dataValidations>
  <printOptions gridLines="1" horizontalCentered="1"/>
  <pageMargins bottom="0.75" footer="0.0" header="0.0" left="0.7" right="0.7" top="0.75"/>
  <pageSetup fitToHeight="0" paperSize="14" orientation="landscape" pageOrder="overThenDown"/>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2.63"/>
    <col customWidth="1" min="2" max="2" width="11.38"/>
    <col customWidth="1" min="3" max="6" width="7.63"/>
    <col customWidth="1" min="7" max="37" width="3.88"/>
    <col customWidth="1" min="38" max="38" width="2.63"/>
  </cols>
  <sheetData>
    <row r="1">
      <c r="A1" s="193"/>
      <c r="B1" s="194" t="s">
        <v>1476</v>
      </c>
      <c r="C1" s="195"/>
      <c r="D1" s="195"/>
      <c r="E1" s="196"/>
      <c r="F1" s="196"/>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7"/>
      <c r="AL1" s="195"/>
    </row>
    <row r="2">
      <c r="A2" s="198"/>
      <c r="B2" s="199">
        <f>today()</f>
        <v>46182</v>
      </c>
      <c r="D2" s="195"/>
      <c r="E2" s="196"/>
      <c r="F2" s="196"/>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7"/>
      <c r="AL2" s="195"/>
    </row>
    <row r="3">
      <c r="A3" s="200"/>
      <c r="B3" s="201"/>
      <c r="C3" s="202"/>
      <c r="D3" s="203"/>
      <c r="E3" s="204"/>
      <c r="F3" s="204"/>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5"/>
      <c r="AL3" s="202"/>
    </row>
    <row r="4">
      <c r="A4" s="200"/>
      <c r="B4" s="201"/>
      <c r="C4" s="202"/>
      <c r="D4" s="203"/>
      <c r="E4" s="204"/>
      <c r="F4" s="204"/>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5"/>
      <c r="AL4" s="202"/>
    </row>
    <row r="5">
      <c r="A5" s="200"/>
      <c r="B5" s="206" t="s">
        <v>1477</v>
      </c>
      <c r="C5" s="202"/>
      <c r="D5" s="203"/>
      <c r="E5" s="204"/>
      <c r="F5" s="204"/>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5"/>
      <c r="AL5" s="202"/>
    </row>
    <row r="6" ht="22.5" customHeight="1" outlineLevel="1">
      <c r="A6" s="207"/>
      <c r="B6" s="208" t="str">
        <f>upper(left(B2,3))</f>
        <v>JUN</v>
      </c>
      <c r="C6" s="209" t="s">
        <v>1478</v>
      </c>
      <c r="D6" s="209" t="s">
        <v>1479</v>
      </c>
      <c r="E6" s="210" t="s">
        <v>1480</v>
      </c>
      <c r="F6" s="210" t="s">
        <v>1481</v>
      </c>
      <c r="G6" s="209">
        <v>1.0</v>
      </c>
      <c r="H6" s="209">
        <v>2.0</v>
      </c>
      <c r="I6" s="209">
        <v>3.0</v>
      </c>
      <c r="J6" s="209">
        <v>4.0</v>
      </c>
      <c r="K6" s="211">
        <v>5.0</v>
      </c>
      <c r="L6" s="211">
        <v>6.0</v>
      </c>
      <c r="M6" s="209">
        <v>7.0</v>
      </c>
      <c r="N6" s="209">
        <v>8.0</v>
      </c>
      <c r="O6" s="209">
        <v>9.0</v>
      </c>
      <c r="P6" s="209">
        <v>10.0</v>
      </c>
      <c r="Q6" s="209">
        <v>11.0</v>
      </c>
      <c r="R6" s="209">
        <v>12.0</v>
      </c>
      <c r="S6" s="209">
        <v>13.0</v>
      </c>
      <c r="T6" s="209">
        <v>14.0</v>
      </c>
      <c r="U6" s="209">
        <v>15.0</v>
      </c>
      <c r="V6" s="209">
        <v>16.0</v>
      </c>
      <c r="W6" s="211">
        <v>17.0</v>
      </c>
      <c r="X6" s="211">
        <v>18.0</v>
      </c>
      <c r="Y6" s="209">
        <v>19.0</v>
      </c>
      <c r="Z6" s="209">
        <v>20.0</v>
      </c>
      <c r="AA6" s="209">
        <v>21.0</v>
      </c>
      <c r="AB6" s="209">
        <v>22.0</v>
      </c>
      <c r="AC6" s="211">
        <v>23.0</v>
      </c>
      <c r="AD6" s="209">
        <v>24.0</v>
      </c>
      <c r="AE6" s="212">
        <v>25.0</v>
      </c>
      <c r="AF6" s="209">
        <v>26.0</v>
      </c>
      <c r="AG6" s="211">
        <v>27.0</v>
      </c>
      <c r="AH6" s="209">
        <v>28.0</v>
      </c>
      <c r="AI6" s="211">
        <v>29.0</v>
      </c>
      <c r="AJ6" s="212">
        <v>30.0</v>
      </c>
      <c r="AK6" s="212">
        <v>31.0</v>
      </c>
      <c r="AL6" s="207"/>
    </row>
    <row r="7" ht="22.5" customHeight="1" outlineLevel="1">
      <c r="A7" s="213"/>
      <c r="B7" s="214" t="s">
        <v>251</v>
      </c>
      <c r="C7" s="215">
        <v>102.0</v>
      </c>
      <c r="D7" s="216">
        <f t="shared" ref="D7:D10" si="1">SUM(G7:AK7)</f>
        <v>132</v>
      </c>
      <c r="E7" s="217">
        <f t="shared" ref="E7:E10" si="2">D7-C7</f>
        <v>30</v>
      </c>
      <c r="F7" s="218">
        <f t="shared" ref="F7:F10" si="3">D7/C7</f>
        <v>1.294117647</v>
      </c>
      <c r="G7" s="219">
        <v>7.0</v>
      </c>
      <c r="H7" s="219">
        <v>6.0</v>
      </c>
      <c r="I7" s="219">
        <v>4.0</v>
      </c>
      <c r="J7" s="219">
        <v>7.0</v>
      </c>
      <c r="K7" s="219">
        <v>1.0</v>
      </c>
      <c r="L7" s="219">
        <v>5.0</v>
      </c>
      <c r="M7" s="215">
        <v>7.0</v>
      </c>
      <c r="N7" s="219">
        <v>3.0</v>
      </c>
      <c r="O7" s="219">
        <v>3.0</v>
      </c>
      <c r="P7" s="219">
        <v>3.0</v>
      </c>
      <c r="Q7" s="220">
        <v>9.0</v>
      </c>
      <c r="R7" s="219">
        <v>2.0</v>
      </c>
      <c r="S7" s="219">
        <v>6.0</v>
      </c>
      <c r="T7" s="219">
        <v>4.0</v>
      </c>
      <c r="U7" s="219">
        <v>6.0</v>
      </c>
      <c r="V7" s="219">
        <v>8.0</v>
      </c>
      <c r="W7" s="219">
        <v>2.0</v>
      </c>
      <c r="X7" s="219">
        <v>1.0</v>
      </c>
      <c r="Y7" s="219">
        <v>2.0</v>
      </c>
      <c r="Z7" s="219">
        <v>11.0</v>
      </c>
      <c r="AA7" s="219">
        <v>2.0</v>
      </c>
      <c r="AB7" s="219">
        <v>4.0</v>
      </c>
      <c r="AC7" s="219">
        <v>3.0</v>
      </c>
      <c r="AD7" s="219">
        <v>6.0</v>
      </c>
      <c r="AE7" s="219" t="s">
        <v>60</v>
      </c>
      <c r="AF7" s="219">
        <v>2.0</v>
      </c>
      <c r="AG7" s="219">
        <v>5.0</v>
      </c>
      <c r="AH7" s="219">
        <v>7.0</v>
      </c>
      <c r="AI7" s="219">
        <v>6.0</v>
      </c>
      <c r="AJ7" s="219"/>
      <c r="AK7" s="221"/>
      <c r="AL7" s="222"/>
    </row>
    <row r="8" ht="22.5" customHeight="1" outlineLevel="1">
      <c r="A8" s="213"/>
      <c r="B8" s="214" t="s">
        <v>1482</v>
      </c>
      <c r="C8" s="215">
        <v>80.0</v>
      </c>
      <c r="D8" s="216">
        <f t="shared" si="1"/>
        <v>55</v>
      </c>
      <c r="E8" s="223">
        <f t="shared" si="2"/>
        <v>-25</v>
      </c>
      <c r="F8" s="218">
        <f t="shared" si="3"/>
        <v>0.6875</v>
      </c>
      <c r="G8" s="219">
        <v>2.0</v>
      </c>
      <c r="H8" s="219">
        <v>4.0</v>
      </c>
      <c r="I8" s="219">
        <v>2.0</v>
      </c>
      <c r="J8" s="219">
        <v>2.0</v>
      </c>
      <c r="K8" s="219">
        <v>1.0</v>
      </c>
      <c r="L8" s="219">
        <v>2.0</v>
      </c>
      <c r="M8" s="219">
        <v>0.0</v>
      </c>
      <c r="N8" s="219">
        <v>0.0</v>
      </c>
      <c r="O8" s="224">
        <v>3.0</v>
      </c>
      <c r="P8" s="224">
        <v>4.0</v>
      </c>
      <c r="Q8" s="224">
        <v>2.0</v>
      </c>
      <c r="R8" s="219">
        <v>0.0</v>
      </c>
      <c r="S8" s="224">
        <v>2.0</v>
      </c>
      <c r="T8" s="224">
        <v>2.0</v>
      </c>
      <c r="U8" s="224">
        <v>3.0</v>
      </c>
      <c r="V8" s="220">
        <v>2.0</v>
      </c>
      <c r="W8" s="219">
        <v>4.0</v>
      </c>
      <c r="X8" s="219">
        <v>0.0</v>
      </c>
      <c r="Y8" s="219">
        <v>0.0</v>
      </c>
      <c r="Z8" s="219">
        <v>1.0</v>
      </c>
      <c r="AA8" s="219">
        <v>1.0</v>
      </c>
      <c r="AB8" s="221">
        <v>4.0</v>
      </c>
      <c r="AC8" s="219">
        <v>2.0</v>
      </c>
      <c r="AD8" s="219">
        <v>2.0</v>
      </c>
      <c r="AE8" s="219" t="s">
        <v>60</v>
      </c>
      <c r="AF8" s="219">
        <v>1.0</v>
      </c>
      <c r="AG8" s="219">
        <v>3.0</v>
      </c>
      <c r="AH8" s="219">
        <v>2.0</v>
      </c>
      <c r="AI8" s="219">
        <v>4.0</v>
      </c>
      <c r="AJ8" s="219"/>
      <c r="AK8" s="221"/>
      <c r="AL8" s="222"/>
    </row>
    <row r="9" ht="22.5" customHeight="1" outlineLevel="1">
      <c r="A9" s="213"/>
      <c r="B9" s="214" t="s">
        <v>1483</v>
      </c>
      <c r="C9" s="215">
        <v>704.0</v>
      </c>
      <c r="D9" s="216">
        <f t="shared" si="1"/>
        <v>609</v>
      </c>
      <c r="E9" s="217">
        <f t="shared" si="2"/>
        <v>-95</v>
      </c>
      <c r="F9" s="218">
        <f t="shared" si="3"/>
        <v>0.8650568182</v>
      </c>
      <c r="G9" s="224">
        <v>28.0</v>
      </c>
      <c r="H9" s="224">
        <v>30.0</v>
      </c>
      <c r="I9" s="224">
        <v>27.0</v>
      </c>
      <c r="J9" s="224">
        <v>29.0</v>
      </c>
      <c r="K9" s="224">
        <v>7.0</v>
      </c>
      <c r="L9" s="224">
        <v>31.0</v>
      </c>
      <c r="M9" s="224">
        <v>21.0</v>
      </c>
      <c r="N9" s="224">
        <v>16.0</v>
      </c>
      <c r="O9" s="219">
        <v>22.0</v>
      </c>
      <c r="P9" s="219">
        <v>20.0</v>
      </c>
      <c r="Q9" s="220">
        <v>33.0</v>
      </c>
      <c r="R9" s="219">
        <v>6.0</v>
      </c>
      <c r="S9" s="219">
        <v>28.0</v>
      </c>
      <c r="T9" s="219">
        <v>20.0</v>
      </c>
      <c r="U9" s="219">
        <v>20.0</v>
      </c>
      <c r="V9" s="219">
        <v>26.0</v>
      </c>
      <c r="W9" s="219">
        <v>21.0</v>
      </c>
      <c r="X9" s="219">
        <v>22.0</v>
      </c>
      <c r="Y9" s="219">
        <v>6.0</v>
      </c>
      <c r="Z9" s="219">
        <v>30.0</v>
      </c>
      <c r="AA9" s="219">
        <v>12.0</v>
      </c>
      <c r="AB9" s="219">
        <v>22.0</v>
      </c>
      <c r="AC9" s="219">
        <v>20.0</v>
      </c>
      <c r="AD9" s="219">
        <v>25.0</v>
      </c>
      <c r="AE9" s="225" t="s">
        <v>60</v>
      </c>
      <c r="AF9" s="225">
        <v>4.0</v>
      </c>
      <c r="AG9" s="225">
        <v>28.0</v>
      </c>
      <c r="AH9" s="225">
        <v>24.0</v>
      </c>
      <c r="AI9" s="225">
        <v>31.0</v>
      </c>
      <c r="AJ9" s="225"/>
      <c r="AK9" s="226"/>
      <c r="AL9" s="222"/>
    </row>
    <row r="10" ht="22.5" customHeight="1" outlineLevel="1">
      <c r="A10" s="213"/>
      <c r="B10" s="214" t="s">
        <v>1484</v>
      </c>
      <c r="C10" s="215">
        <v>4.0</v>
      </c>
      <c r="D10" s="227">
        <f t="shared" si="1"/>
        <v>5</v>
      </c>
      <c r="E10" s="217">
        <f t="shared" si="2"/>
        <v>1</v>
      </c>
      <c r="F10" s="218">
        <f t="shared" si="3"/>
        <v>1.25</v>
      </c>
      <c r="G10" s="225" t="s">
        <v>60</v>
      </c>
      <c r="H10" s="225" t="s">
        <v>60</v>
      </c>
      <c r="I10" s="225" t="s">
        <v>60</v>
      </c>
      <c r="J10" s="225" t="s">
        <v>60</v>
      </c>
      <c r="K10" s="225" t="s">
        <v>60</v>
      </c>
      <c r="L10" s="225">
        <v>1.0</v>
      </c>
      <c r="M10" s="225" t="s">
        <v>60</v>
      </c>
      <c r="N10" s="225" t="s">
        <v>60</v>
      </c>
      <c r="O10" s="225" t="s">
        <v>60</v>
      </c>
      <c r="P10" s="225" t="s">
        <v>60</v>
      </c>
      <c r="Q10" s="228" t="s">
        <v>60</v>
      </c>
      <c r="R10" s="225" t="s">
        <v>60</v>
      </c>
      <c r="S10" s="225" t="s">
        <v>60</v>
      </c>
      <c r="T10" s="225" t="s">
        <v>60</v>
      </c>
      <c r="U10" s="225" t="s">
        <v>60</v>
      </c>
      <c r="V10" s="225">
        <v>2.0</v>
      </c>
      <c r="W10" s="225" t="s">
        <v>60</v>
      </c>
      <c r="X10" s="225" t="s">
        <v>60</v>
      </c>
      <c r="Y10" s="225" t="s">
        <v>60</v>
      </c>
      <c r="Z10" s="225" t="s">
        <v>60</v>
      </c>
      <c r="AA10" s="225" t="s">
        <v>60</v>
      </c>
      <c r="AB10" s="225" t="s">
        <v>60</v>
      </c>
      <c r="AC10" s="225" t="s">
        <v>60</v>
      </c>
      <c r="AD10" s="225" t="s">
        <v>60</v>
      </c>
      <c r="AE10" s="225" t="s">
        <v>60</v>
      </c>
      <c r="AF10" s="225" t="s">
        <v>60</v>
      </c>
      <c r="AG10" s="225" t="s">
        <v>60</v>
      </c>
      <c r="AH10" s="225">
        <v>1.0</v>
      </c>
      <c r="AI10" s="225">
        <v>1.0</v>
      </c>
      <c r="AJ10" s="225"/>
      <c r="AK10" s="226"/>
      <c r="AL10" s="222"/>
    </row>
    <row r="11" ht="22.5" customHeight="1" outlineLevel="1">
      <c r="A11" s="229"/>
      <c r="B11" s="230"/>
      <c r="C11" s="231"/>
      <c r="D11" s="232"/>
      <c r="E11" s="233" t="s">
        <v>1485</v>
      </c>
      <c r="F11" s="234">
        <f>AVERAGE(F7:F10)</f>
        <v>1.024168616</v>
      </c>
      <c r="G11" s="235"/>
      <c r="H11" s="235"/>
      <c r="I11" s="235"/>
      <c r="J11" s="235"/>
      <c r="K11" s="235"/>
      <c r="L11" s="235"/>
      <c r="M11" s="235"/>
      <c r="N11" s="235"/>
      <c r="O11" s="235"/>
      <c r="P11" s="235"/>
      <c r="Q11" s="235"/>
      <c r="R11" s="235"/>
      <c r="S11" s="235"/>
      <c r="T11" s="235"/>
      <c r="U11" s="235"/>
      <c r="V11" s="235"/>
      <c r="W11" s="235"/>
      <c r="X11" s="235"/>
      <c r="Y11" s="235"/>
      <c r="Z11" s="235"/>
      <c r="AA11" s="235"/>
      <c r="AB11" s="235"/>
      <c r="AC11" s="235"/>
      <c r="AD11" s="235"/>
      <c r="AE11" s="235"/>
      <c r="AF11" s="235"/>
      <c r="AG11" s="235"/>
      <c r="AH11" s="235"/>
      <c r="AI11" s="235"/>
      <c r="AJ11" s="235"/>
      <c r="AK11" s="235"/>
      <c r="AL11" s="236"/>
    </row>
    <row r="12">
      <c r="A12" s="200"/>
      <c r="B12" s="201"/>
      <c r="C12" s="202"/>
      <c r="D12" s="203"/>
      <c r="E12" s="204"/>
      <c r="F12" s="204"/>
      <c r="G12" s="202"/>
      <c r="H12" s="202"/>
      <c r="I12" s="202"/>
      <c r="J12" s="202"/>
      <c r="K12" s="202"/>
      <c r="L12" s="202"/>
      <c r="M12" s="202"/>
      <c r="N12" s="202"/>
      <c r="O12" s="202"/>
      <c r="P12" s="202"/>
      <c r="Q12" s="202"/>
      <c r="R12" s="202"/>
      <c r="S12" s="202"/>
      <c r="T12" s="202"/>
      <c r="U12" s="202"/>
      <c r="V12" s="202"/>
      <c r="W12" s="202"/>
      <c r="X12" s="202"/>
      <c r="Y12" s="202"/>
      <c r="Z12" s="202"/>
      <c r="AA12" s="202"/>
      <c r="AB12" s="202"/>
      <c r="AC12" s="202"/>
      <c r="AD12" s="202"/>
      <c r="AE12" s="202"/>
      <c r="AF12" s="202"/>
      <c r="AG12" s="202"/>
      <c r="AH12" s="202"/>
      <c r="AI12" s="202"/>
      <c r="AJ12" s="202"/>
      <c r="AK12" s="205"/>
      <c r="AL12" s="202"/>
    </row>
    <row r="13">
      <c r="A13" s="200"/>
      <c r="B13" s="201"/>
      <c r="C13" s="202"/>
      <c r="D13" s="203"/>
      <c r="E13" s="204"/>
      <c r="F13" s="204"/>
      <c r="G13" s="202"/>
      <c r="H13" s="202"/>
      <c r="I13" s="202"/>
      <c r="J13" s="202"/>
      <c r="K13" s="202"/>
      <c r="L13" s="202"/>
      <c r="M13" s="202"/>
      <c r="N13" s="202"/>
      <c r="O13" s="202"/>
      <c r="P13" s="202"/>
      <c r="Q13" s="202"/>
      <c r="R13" s="202"/>
      <c r="S13" s="202"/>
      <c r="T13" s="202"/>
      <c r="U13" s="202"/>
      <c r="V13" s="202"/>
      <c r="W13" s="202"/>
      <c r="X13" s="202"/>
      <c r="Y13" s="202"/>
      <c r="Z13" s="202"/>
      <c r="AA13" s="202"/>
      <c r="AB13" s="202"/>
      <c r="AC13" s="202"/>
      <c r="AD13" s="202"/>
      <c r="AE13" s="202"/>
      <c r="AF13" s="202"/>
      <c r="AG13" s="202"/>
      <c r="AH13" s="202"/>
      <c r="AI13" s="202"/>
      <c r="AJ13" s="202"/>
      <c r="AK13" s="205"/>
      <c r="AL13" s="202"/>
    </row>
    <row r="14">
      <c r="A14" s="200"/>
      <c r="B14" s="206" t="s">
        <v>1486</v>
      </c>
      <c r="C14" s="202"/>
      <c r="D14" s="203"/>
      <c r="E14" s="204"/>
      <c r="F14" s="204"/>
      <c r="G14" s="202"/>
      <c r="H14" s="202"/>
      <c r="I14" s="202"/>
      <c r="J14" s="202"/>
      <c r="K14" s="202"/>
      <c r="L14" s="202"/>
      <c r="M14" s="202"/>
      <c r="N14" s="202"/>
      <c r="O14" s="202"/>
      <c r="P14" s="202"/>
      <c r="Q14" s="202"/>
      <c r="R14" s="202"/>
      <c r="S14" s="202"/>
      <c r="T14" s="202"/>
      <c r="U14" s="202"/>
      <c r="V14" s="202"/>
      <c r="W14" s="202"/>
      <c r="X14" s="202"/>
      <c r="Y14" s="202"/>
      <c r="Z14" s="202"/>
      <c r="AA14" s="202"/>
      <c r="AB14" s="202"/>
      <c r="AC14" s="202"/>
      <c r="AD14" s="202"/>
      <c r="AE14" s="202"/>
      <c r="AF14" s="202"/>
      <c r="AG14" s="202"/>
      <c r="AH14" s="202"/>
      <c r="AI14" s="202"/>
      <c r="AJ14" s="202"/>
      <c r="AK14" s="205"/>
      <c r="AL14" s="202"/>
    </row>
    <row r="15" ht="22.5" customHeight="1">
      <c r="A15" s="237"/>
      <c r="B15" s="238" t="s">
        <v>1487</v>
      </c>
      <c r="C15" s="209" t="s">
        <v>1478</v>
      </c>
      <c r="D15" s="209" t="s">
        <v>1479</v>
      </c>
      <c r="E15" s="210" t="s">
        <v>1480</v>
      </c>
      <c r="F15" s="210" t="s">
        <v>1481</v>
      </c>
      <c r="G15" s="209">
        <v>1.0</v>
      </c>
      <c r="H15" s="209">
        <v>2.0</v>
      </c>
      <c r="I15" s="209">
        <v>3.0</v>
      </c>
      <c r="J15" s="209">
        <v>4.0</v>
      </c>
      <c r="K15" s="211">
        <v>5.0</v>
      </c>
      <c r="L15" s="211">
        <v>6.0</v>
      </c>
      <c r="M15" s="209">
        <v>7.0</v>
      </c>
      <c r="N15" s="209">
        <v>8.0</v>
      </c>
      <c r="O15" s="207"/>
      <c r="P15" s="207"/>
      <c r="Q15" s="207"/>
      <c r="R15" s="207"/>
      <c r="S15" s="239"/>
      <c r="T15" s="207"/>
      <c r="U15" s="239"/>
      <c r="V15" s="240"/>
      <c r="W15" s="240"/>
      <c r="X15" s="240"/>
      <c r="Y15" s="240"/>
      <c r="Z15" s="232"/>
      <c r="AA15" s="232"/>
      <c r="AB15" s="207"/>
      <c r="AC15" s="207"/>
      <c r="AD15" s="207"/>
      <c r="AE15" s="207"/>
      <c r="AF15" s="207"/>
      <c r="AG15" s="207"/>
      <c r="AH15" s="207"/>
      <c r="AI15" s="207"/>
      <c r="AJ15" s="207"/>
      <c r="AK15" s="207"/>
      <c r="AL15" s="241"/>
    </row>
    <row r="16" ht="22.5" customHeight="1">
      <c r="A16" s="213"/>
      <c r="B16" s="214" t="s">
        <v>251</v>
      </c>
      <c r="C16" s="215">
        <f t="shared" ref="C16:C19" si="4">roundup(C7/4,0)</f>
        <v>26</v>
      </c>
      <c r="D16" s="216">
        <f t="shared" ref="D16:D19" si="5">SUM(G16:N16)</f>
        <v>40</v>
      </c>
      <c r="E16" s="217">
        <f t="shared" ref="E16:E19" si="6">D16-C16</f>
        <v>14</v>
      </c>
      <c r="F16" s="218">
        <f t="shared" ref="F16:F19" si="7">D16/C16</f>
        <v>1.538461538</v>
      </c>
      <c r="G16" s="219">
        <v>7.0</v>
      </c>
      <c r="H16" s="219">
        <v>6.0</v>
      </c>
      <c r="I16" s="219">
        <v>4.0</v>
      </c>
      <c r="J16" s="219">
        <v>7.0</v>
      </c>
      <c r="K16" s="219">
        <v>1.0</v>
      </c>
      <c r="L16" s="219">
        <v>5.0</v>
      </c>
      <c r="M16" s="219">
        <v>7.0</v>
      </c>
      <c r="N16" s="219">
        <v>3.0</v>
      </c>
      <c r="O16" s="242"/>
      <c r="P16" s="242"/>
      <c r="Q16" s="240"/>
      <c r="R16" s="240"/>
      <c r="S16" s="240"/>
      <c r="T16" s="240"/>
      <c r="U16" s="240"/>
      <c r="V16" s="240"/>
      <c r="W16" s="240"/>
      <c r="X16" s="240"/>
      <c r="Y16" s="240"/>
      <c r="Z16" s="232"/>
      <c r="AA16" s="205"/>
      <c r="AB16" s="241"/>
      <c r="AC16" s="240"/>
      <c r="AD16" s="240"/>
      <c r="AE16" s="240"/>
      <c r="AF16" s="240"/>
      <c r="AG16" s="240"/>
      <c r="AH16" s="240"/>
      <c r="AI16" s="240"/>
      <c r="AJ16" s="240"/>
      <c r="AK16" s="240"/>
      <c r="AL16" s="240"/>
    </row>
    <row r="17" ht="22.5" customHeight="1">
      <c r="A17" s="213"/>
      <c r="B17" s="214" t="s">
        <v>1482</v>
      </c>
      <c r="C17" s="215">
        <f t="shared" si="4"/>
        <v>20</v>
      </c>
      <c r="D17" s="216">
        <f t="shared" si="5"/>
        <v>13</v>
      </c>
      <c r="E17" s="217">
        <f t="shared" si="6"/>
        <v>-7</v>
      </c>
      <c r="F17" s="218">
        <f t="shared" si="7"/>
        <v>0.65</v>
      </c>
      <c r="G17" s="219">
        <v>2.0</v>
      </c>
      <c r="H17" s="219">
        <v>4.0</v>
      </c>
      <c r="I17" s="219">
        <v>2.0</v>
      </c>
      <c r="J17" s="219">
        <v>2.0</v>
      </c>
      <c r="K17" s="219">
        <v>1.0</v>
      </c>
      <c r="L17" s="219">
        <v>2.0</v>
      </c>
      <c r="M17" s="219">
        <v>0.0</v>
      </c>
      <c r="N17" s="219">
        <v>0.0</v>
      </c>
      <c r="O17" s="242"/>
      <c r="P17" s="242"/>
      <c r="Q17" s="240"/>
      <c r="R17" s="240"/>
      <c r="S17" s="240"/>
      <c r="T17" s="240"/>
      <c r="U17" s="240"/>
      <c r="V17" s="240"/>
      <c r="W17" s="240"/>
      <c r="X17" s="240"/>
      <c r="Y17" s="240"/>
      <c r="Z17" s="240"/>
      <c r="AA17" s="240"/>
      <c r="AB17" s="240"/>
      <c r="AC17" s="240"/>
      <c r="AD17" s="240"/>
      <c r="AE17" s="240"/>
      <c r="AF17" s="240"/>
      <c r="AG17" s="240"/>
      <c r="AH17" s="240"/>
      <c r="AI17" s="240"/>
      <c r="AJ17" s="240"/>
      <c r="AK17" s="240"/>
      <c r="AL17" s="240"/>
    </row>
    <row r="18" ht="22.5" customHeight="1">
      <c r="A18" s="213"/>
      <c r="B18" s="214" t="s">
        <v>1483</v>
      </c>
      <c r="C18" s="215">
        <f t="shared" si="4"/>
        <v>176</v>
      </c>
      <c r="D18" s="216">
        <f t="shared" si="5"/>
        <v>189</v>
      </c>
      <c r="E18" s="217">
        <f t="shared" si="6"/>
        <v>13</v>
      </c>
      <c r="F18" s="218">
        <f t="shared" si="7"/>
        <v>1.073863636</v>
      </c>
      <c r="G18" s="224">
        <v>28.0</v>
      </c>
      <c r="H18" s="224">
        <v>30.0</v>
      </c>
      <c r="I18" s="224">
        <v>27.0</v>
      </c>
      <c r="J18" s="224">
        <v>29.0</v>
      </c>
      <c r="K18" s="224">
        <v>7.0</v>
      </c>
      <c r="L18" s="224">
        <v>31.0</v>
      </c>
      <c r="M18" s="224">
        <v>21.0</v>
      </c>
      <c r="N18" s="224">
        <v>16.0</v>
      </c>
      <c r="O18" s="242"/>
      <c r="P18" s="242"/>
      <c r="Q18" s="240"/>
      <c r="R18" s="240"/>
      <c r="S18" s="240"/>
      <c r="T18" s="240"/>
      <c r="U18" s="240"/>
      <c r="V18" s="240"/>
      <c r="W18" s="240"/>
      <c r="X18" s="240"/>
      <c r="Y18" s="240"/>
      <c r="Z18" s="240"/>
      <c r="AA18" s="240"/>
      <c r="AB18" s="240"/>
      <c r="AC18" s="240"/>
      <c r="AD18" s="240"/>
      <c r="AE18" s="240"/>
      <c r="AF18" s="240"/>
      <c r="AG18" s="240"/>
      <c r="AH18" s="240"/>
      <c r="AI18" s="240"/>
      <c r="AJ18" s="240"/>
      <c r="AK18" s="240"/>
      <c r="AL18" s="240"/>
    </row>
    <row r="19" ht="22.5" customHeight="1">
      <c r="A19" s="213"/>
      <c r="B19" s="214" t="s">
        <v>1484</v>
      </c>
      <c r="C19" s="215">
        <f t="shared" si="4"/>
        <v>1</v>
      </c>
      <c r="D19" s="227">
        <f t="shared" si="5"/>
        <v>1</v>
      </c>
      <c r="E19" s="217">
        <f t="shared" si="6"/>
        <v>0</v>
      </c>
      <c r="F19" s="218">
        <f t="shared" si="7"/>
        <v>1</v>
      </c>
      <c r="G19" s="225" t="s">
        <v>60</v>
      </c>
      <c r="H19" s="225" t="s">
        <v>60</v>
      </c>
      <c r="I19" s="225" t="s">
        <v>60</v>
      </c>
      <c r="J19" s="225" t="s">
        <v>60</v>
      </c>
      <c r="K19" s="225" t="s">
        <v>60</v>
      </c>
      <c r="L19" s="225">
        <v>1.0</v>
      </c>
      <c r="M19" s="226" t="s">
        <v>60</v>
      </c>
      <c r="N19" s="225" t="s">
        <v>60</v>
      </c>
      <c r="O19" s="242"/>
      <c r="P19" s="242"/>
      <c r="Q19" s="243"/>
      <c r="R19" s="240"/>
      <c r="S19" s="240"/>
      <c r="T19" s="240"/>
      <c r="U19" s="240"/>
      <c r="V19" s="240"/>
      <c r="W19" s="240"/>
      <c r="X19" s="240"/>
      <c r="Y19" s="240"/>
      <c r="Z19" s="240"/>
      <c r="AA19" s="240"/>
      <c r="AB19" s="240"/>
      <c r="AC19" s="240"/>
      <c r="AD19" s="240"/>
      <c r="AE19" s="240"/>
      <c r="AF19" s="240"/>
      <c r="AG19" s="240"/>
      <c r="AH19" s="240"/>
      <c r="AI19" s="240"/>
      <c r="AJ19" s="240"/>
      <c r="AK19" s="240"/>
      <c r="AL19" s="240"/>
    </row>
    <row r="20" ht="22.5" customHeight="1">
      <c r="A20" s="229"/>
      <c r="B20" s="230"/>
      <c r="C20" s="231"/>
      <c r="D20" s="232"/>
      <c r="E20" s="233" t="s">
        <v>1485</v>
      </c>
      <c r="F20" s="234">
        <f>AVERAGE(F16:F19)</f>
        <v>1.065581294</v>
      </c>
      <c r="G20" s="235"/>
      <c r="H20" s="235"/>
      <c r="I20" s="235"/>
      <c r="J20" s="235"/>
      <c r="K20" s="235"/>
      <c r="L20" s="235"/>
      <c r="M20" s="235"/>
      <c r="N20" s="235"/>
      <c r="O20" s="232"/>
      <c r="P20" s="232"/>
      <c r="Q20" s="244"/>
      <c r="R20" s="232"/>
      <c r="S20" s="232"/>
      <c r="T20" s="232"/>
      <c r="U20" s="232"/>
      <c r="V20" s="232"/>
      <c r="W20" s="232"/>
      <c r="X20" s="232"/>
      <c r="Y20" s="232"/>
      <c r="Z20" s="232"/>
      <c r="AA20" s="232"/>
      <c r="AB20" s="232"/>
      <c r="AC20" s="232"/>
      <c r="AD20" s="232"/>
      <c r="AE20" s="232"/>
      <c r="AF20" s="232"/>
      <c r="AG20" s="232"/>
      <c r="AH20" s="232"/>
      <c r="AI20" s="232"/>
      <c r="AJ20" s="232"/>
      <c r="AK20" s="232"/>
      <c r="AL20" s="232"/>
    </row>
    <row r="21">
      <c r="A21" s="229"/>
      <c r="B21" s="245"/>
      <c r="C21" s="246"/>
      <c r="D21" s="232"/>
      <c r="E21" s="233"/>
      <c r="F21" s="247"/>
      <c r="G21" s="248"/>
      <c r="H21" s="248"/>
      <c r="I21" s="248"/>
      <c r="J21" s="248"/>
      <c r="K21" s="248"/>
      <c r="L21" s="248"/>
      <c r="M21" s="248"/>
      <c r="N21" s="248"/>
      <c r="O21" s="232"/>
      <c r="P21" s="232"/>
      <c r="Q21" s="248"/>
      <c r="R21" s="232"/>
      <c r="S21" s="232"/>
      <c r="T21" s="232"/>
      <c r="U21" s="232"/>
      <c r="V21" s="232"/>
      <c r="W21" s="232"/>
      <c r="X21" s="232"/>
      <c r="Y21" s="232"/>
      <c r="Z21" s="232"/>
      <c r="AA21" s="232"/>
      <c r="AB21" s="249"/>
      <c r="AC21" s="232"/>
      <c r="AD21" s="232"/>
      <c r="AE21" s="232"/>
      <c r="AF21" s="232"/>
      <c r="AG21" s="232"/>
      <c r="AH21" s="232"/>
      <c r="AI21" s="232"/>
      <c r="AJ21" s="232"/>
      <c r="AK21" s="232"/>
      <c r="AL21" s="232"/>
    </row>
    <row r="22" ht="22.5" customHeight="1">
      <c r="A22" s="237"/>
      <c r="B22" s="238" t="s">
        <v>1488</v>
      </c>
      <c r="C22" s="209" t="s">
        <v>1478</v>
      </c>
      <c r="D22" s="209" t="s">
        <v>1479</v>
      </c>
      <c r="E22" s="210" t="s">
        <v>1480</v>
      </c>
      <c r="F22" s="210" t="s">
        <v>1481</v>
      </c>
      <c r="G22" s="209">
        <v>9.0</v>
      </c>
      <c r="H22" s="209">
        <v>10.0</v>
      </c>
      <c r="I22" s="209">
        <v>11.0</v>
      </c>
      <c r="J22" s="209">
        <v>12.0</v>
      </c>
      <c r="K22" s="209">
        <v>13.0</v>
      </c>
      <c r="L22" s="209">
        <v>14.0</v>
      </c>
      <c r="M22" s="211">
        <v>15.0</v>
      </c>
      <c r="N22" s="211">
        <v>16.0</v>
      </c>
      <c r="O22" s="241"/>
      <c r="P22" s="241"/>
      <c r="Q22" s="241"/>
      <c r="R22" s="241"/>
      <c r="S22" s="241"/>
      <c r="T22" s="241"/>
      <c r="U22" s="241"/>
      <c r="V22" s="241"/>
      <c r="W22" s="240"/>
      <c r="X22" s="240"/>
      <c r="Y22" s="240"/>
      <c r="Z22" s="240"/>
      <c r="AA22" s="232"/>
      <c r="AB22" s="205"/>
      <c r="AC22" s="239"/>
      <c r="AD22" s="207"/>
      <c r="AE22" s="207"/>
      <c r="AF22" s="207"/>
      <c r="AG22" s="207"/>
      <c r="AH22" s="207"/>
      <c r="AI22" s="207"/>
      <c r="AJ22" s="207"/>
      <c r="AK22" s="207"/>
      <c r="AL22" s="241"/>
    </row>
    <row r="23" ht="22.5" customHeight="1">
      <c r="A23" s="213"/>
      <c r="B23" s="214" t="s">
        <v>251</v>
      </c>
      <c r="C23" s="215">
        <f t="shared" ref="C23:C26" si="8">roundup(C7/4,0)</f>
        <v>26</v>
      </c>
      <c r="D23" s="216">
        <f t="shared" ref="D23:D26" si="9">SUM(G23:N23)</f>
        <v>41</v>
      </c>
      <c r="E23" s="217">
        <f t="shared" ref="E23:E26" si="10">D23-C23</f>
        <v>15</v>
      </c>
      <c r="F23" s="218">
        <f t="shared" ref="F23:F26" si="11">D23/C23</f>
        <v>1.576923077</v>
      </c>
      <c r="G23" s="219">
        <v>3.0</v>
      </c>
      <c r="H23" s="219">
        <v>3.0</v>
      </c>
      <c r="I23" s="220">
        <v>9.0</v>
      </c>
      <c r="J23" s="219">
        <v>2.0</v>
      </c>
      <c r="K23" s="219">
        <v>6.0</v>
      </c>
      <c r="L23" s="219">
        <v>4.0</v>
      </c>
      <c r="M23" s="221">
        <v>6.0</v>
      </c>
      <c r="N23" s="221">
        <v>8.0</v>
      </c>
      <c r="O23" s="240"/>
      <c r="P23" s="240"/>
      <c r="Q23" s="240"/>
      <c r="R23" s="240"/>
      <c r="S23" s="240"/>
      <c r="T23" s="240"/>
      <c r="U23" s="240"/>
      <c r="V23" s="240"/>
      <c r="W23" s="240"/>
      <c r="X23" s="240"/>
      <c r="Y23" s="240"/>
      <c r="Z23" s="240"/>
      <c r="AA23" s="240"/>
      <c r="AB23" s="240"/>
      <c r="AC23" s="240"/>
      <c r="AD23" s="240"/>
      <c r="AE23" s="240"/>
      <c r="AF23" s="240"/>
      <c r="AG23" s="240"/>
      <c r="AH23" s="240"/>
      <c r="AI23" s="240"/>
      <c r="AJ23" s="240"/>
      <c r="AK23" s="240"/>
      <c r="AL23" s="240"/>
    </row>
    <row r="24" ht="22.5" customHeight="1">
      <c r="A24" s="213"/>
      <c r="B24" s="214" t="s">
        <v>1482</v>
      </c>
      <c r="C24" s="215">
        <f t="shared" si="8"/>
        <v>20</v>
      </c>
      <c r="D24" s="216">
        <f t="shared" si="9"/>
        <v>18</v>
      </c>
      <c r="E24" s="217">
        <f t="shared" si="10"/>
        <v>-2</v>
      </c>
      <c r="F24" s="218">
        <f t="shared" si="11"/>
        <v>0.9</v>
      </c>
      <c r="G24" s="224">
        <v>3.0</v>
      </c>
      <c r="H24" s="224">
        <v>4.0</v>
      </c>
      <c r="I24" s="224">
        <v>2.0</v>
      </c>
      <c r="J24" s="219">
        <v>0.0</v>
      </c>
      <c r="K24" s="224">
        <v>2.0</v>
      </c>
      <c r="L24" s="224">
        <v>2.0</v>
      </c>
      <c r="M24" s="224">
        <v>3.0</v>
      </c>
      <c r="N24" s="220">
        <v>2.0</v>
      </c>
      <c r="O24" s="240"/>
      <c r="P24" s="240"/>
      <c r="Q24" s="240"/>
      <c r="R24" s="240"/>
      <c r="S24" s="240"/>
      <c r="T24" s="240"/>
      <c r="U24" s="240"/>
      <c r="V24" s="240"/>
      <c r="W24" s="240"/>
      <c r="X24" s="240"/>
      <c r="Y24" s="240"/>
      <c r="Z24" s="240"/>
      <c r="AA24" s="240"/>
      <c r="AB24" s="240"/>
      <c r="AC24" s="240"/>
      <c r="AD24" s="240"/>
      <c r="AE24" s="240"/>
      <c r="AF24" s="240"/>
      <c r="AG24" s="240"/>
      <c r="AH24" s="240"/>
      <c r="AI24" s="240"/>
      <c r="AJ24" s="240"/>
      <c r="AK24" s="240"/>
      <c r="AL24" s="240"/>
    </row>
    <row r="25" ht="22.5" customHeight="1">
      <c r="A25" s="213"/>
      <c r="B25" s="214" t="s">
        <v>1483</v>
      </c>
      <c r="C25" s="215">
        <f t="shared" si="8"/>
        <v>176</v>
      </c>
      <c r="D25" s="216">
        <f t="shared" si="9"/>
        <v>175</v>
      </c>
      <c r="E25" s="217">
        <f t="shared" si="10"/>
        <v>-1</v>
      </c>
      <c r="F25" s="218">
        <f t="shared" si="11"/>
        <v>0.9943181818</v>
      </c>
      <c r="G25" s="219">
        <v>22.0</v>
      </c>
      <c r="H25" s="219">
        <v>20.0</v>
      </c>
      <c r="I25" s="220">
        <v>33.0</v>
      </c>
      <c r="J25" s="219">
        <v>6.0</v>
      </c>
      <c r="K25" s="219">
        <v>28.0</v>
      </c>
      <c r="L25" s="219">
        <v>20.0</v>
      </c>
      <c r="M25" s="221">
        <v>20.0</v>
      </c>
      <c r="N25" s="221">
        <v>26.0</v>
      </c>
      <c r="O25" s="240"/>
      <c r="P25" s="240"/>
      <c r="Q25" s="240"/>
      <c r="R25" s="240"/>
      <c r="S25" s="240"/>
      <c r="T25" s="240"/>
      <c r="U25" s="240"/>
      <c r="V25" s="240"/>
      <c r="W25" s="240"/>
      <c r="X25" s="240"/>
      <c r="Y25" s="240"/>
      <c r="Z25" s="240"/>
      <c r="AA25" s="240"/>
      <c r="AB25" s="240"/>
      <c r="AC25" s="240"/>
      <c r="AD25" s="240"/>
      <c r="AE25" s="240"/>
      <c r="AF25" s="240"/>
      <c r="AG25" s="240"/>
      <c r="AH25" s="240"/>
      <c r="AI25" s="240"/>
      <c r="AJ25" s="240"/>
      <c r="AK25" s="240"/>
      <c r="AL25" s="240"/>
    </row>
    <row r="26" ht="22.5" customHeight="1">
      <c r="A26" s="213"/>
      <c r="B26" s="214" t="s">
        <v>1484</v>
      </c>
      <c r="C26" s="215">
        <f t="shared" si="8"/>
        <v>1</v>
      </c>
      <c r="D26" s="227">
        <f t="shared" si="9"/>
        <v>2</v>
      </c>
      <c r="E26" s="217">
        <f t="shared" si="10"/>
        <v>1</v>
      </c>
      <c r="F26" s="218">
        <f t="shared" si="11"/>
        <v>2</v>
      </c>
      <c r="G26" s="225" t="s">
        <v>60</v>
      </c>
      <c r="H26" s="225" t="s">
        <v>60</v>
      </c>
      <c r="I26" s="228" t="s">
        <v>60</v>
      </c>
      <c r="J26" s="225" t="s">
        <v>60</v>
      </c>
      <c r="K26" s="225" t="s">
        <v>60</v>
      </c>
      <c r="L26" s="225" t="s">
        <v>60</v>
      </c>
      <c r="M26" s="226" t="s">
        <v>60</v>
      </c>
      <c r="N26" s="226">
        <v>2.0</v>
      </c>
      <c r="O26" s="240"/>
      <c r="P26" s="240"/>
      <c r="Q26" s="240"/>
      <c r="R26" s="240"/>
      <c r="S26" s="240"/>
      <c r="T26" s="240"/>
      <c r="U26" s="240"/>
      <c r="V26" s="240"/>
      <c r="W26" s="240"/>
      <c r="X26" s="240"/>
      <c r="Y26" s="240"/>
      <c r="Z26" s="240"/>
      <c r="AA26" s="240"/>
      <c r="AB26" s="240"/>
      <c r="AC26" s="240"/>
      <c r="AD26" s="240"/>
      <c r="AE26" s="240"/>
      <c r="AF26" s="240"/>
      <c r="AG26" s="240"/>
      <c r="AH26" s="240"/>
      <c r="AI26" s="240"/>
      <c r="AJ26" s="240"/>
      <c r="AK26" s="240"/>
      <c r="AL26" s="240"/>
    </row>
    <row r="27" ht="22.5" customHeight="1">
      <c r="A27" s="229"/>
      <c r="B27" s="230"/>
      <c r="C27" s="231"/>
      <c r="D27" s="232"/>
      <c r="E27" s="233" t="s">
        <v>1485</v>
      </c>
      <c r="F27" s="234">
        <f>AVERAGE(F23:F26)</f>
        <v>1.367810315</v>
      </c>
      <c r="G27" s="235"/>
      <c r="H27" s="235"/>
      <c r="I27" s="235"/>
      <c r="J27" s="235"/>
      <c r="K27" s="235"/>
      <c r="L27" s="235"/>
      <c r="M27" s="235"/>
      <c r="N27" s="236"/>
      <c r="O27" s="232"/>
      <c r="P27" s="232"/>
      <c r="Q27" s="232"/>
      <c r="R27" s="232"/>
      <c r="S27" s="232"/>
      <c r="T27" s="232"/>
      <c r="U27" s="232"/>
      <c r="V27" s="232"/>
      <c r="W27" s="232"/>
      <c r="X27" s="232"/>
      <c r="Y27" s="232"/>
      <c r="Z27" s="232"/>
      <c r="AA27" s="232"/>
      <c r="AB27" s="232"/>
      <c r="AC27" s="232"/>
      <c r="AD27" s="232"/>
      <c r="AE27" s="232"/>
      <c r="AF27" s="232"/>
      <c r="AG27" s="232"/>
      <c r="AH27" s="232"/>
      <c r="AI27" s="232"/>
      <c r="AJ27" s="232"/>
      <c r="AK27" s="232"/>
      <c r="AL27" s="232"/>
    </row>
    <row r="28">
      <c r="A28" s="200"/>
      <c r="B28" s="201"/>
      <c r="C28" s="202"/>
      <c r="D28" s="203"/>
      <c r="E28" s="204"/>
      <c r="F28" s="204"/>
      <c r="G28" s="202"/>
      <c r="H28" s="202"/>
      <c r="I28" s="202"/>
      <c r="J28" s="202"/>
      <c r="K28" s="202"/>
      <c r="L28" s="202"/>
      <c r="M28" s="202"/>
      <c r="N28" s="202"/>
      <c r="O28" s="202"/>
      <c r="P28" s="202"/>
      <c r="Q28" s="202"/>
      <c r="R28" s="202"/>
      <c r="S28" s="202"/>
      <c r="T28" s="205"/>
      <c r="U28" s="205"/>
      <c r="V28" s="205"/>
      <c r="W28" s="205"/>
      <c r="X28" s="205"/>
      <c r="Y28" s="205"/>
      <c r="Z28" s="205"/>
      <c r="AA28" s="205"/>
      <c r="AB28" s="205"/>
      <c r="AC28" s="205"/>
      <c r="AD28" s="205"/>
      <c r="AE28" s="202"/>
      <c r="AF28" s="202"/>
      <c r="AG28" s="202"/>
      <c r="AH28" s="202"/>
      <c r="AI28" s="202"/>
      <c r="AJ28" s="202"/>
      <c r="AK28" s="205"/>
      <c r="AL28" s="202"/>
    </row>
    <row r="29" ht="22.5" customHeight="1">
      <c r="A29" s="237"/>
      <c r="B29" s="238" t="s">
        <v>1489</v>
      </c>
      <c r="C29" s="209" t="s">
        <v>1478</v>
      </c>
      <c r="D29" s="209" t="s">
        <v>1479</v>
      </c>
      <c r="E29" s="210" t="s">
        <v>1480</v>
      </c>
      <c r="F29" s="210" t="s">
        <v>1481</v>
      </c>
      <c r="G29" s="211">
        <v>17.0</v>
      </c>
      <c r="H29" s="211">
        <v>18.0</v>
      </c>
      <c r="I29" s="209">
        <v>19.0</v>
      </c>
      <c r="J29" s="209">
        <v>20.0</v>
      </c>
      <c r="K29" s="209">
        <v>21.0</v>
      </c>
      <c r="L29" s="209">
        <v>22.0</v>
      </c>
      <c r="M29" s="211">
        <v>23.0</v>
      </c>
      <c r="N29" s="211">
        <v>24.0</v>
      </c>
      <c r="O29" s="207"/>
      <c r="P29" s="207"/>
      <c r="Q29" s="207"/>
      <c r="R29" s="207"/>
      <c r="S29" s="239"/>
      <c r="T29" s="239"/>
      <c r="U29" s="239"/>
      <c r="V29" s="240"/>
      <c r="W29" s="240"/>
      <c r="X29" s="240"/>
      <c r="Y29" s="240"/>
      <c r="Z29" s="240"/>
      <c r="AA29" s="240"/>
      <c r="AB29" s="240"/>
      <c r="AC29" s="232"/>
      <c r="AD29" s="232"/>
      <c r="AE29" s="207"/>
      <c r="AF29" s="207"/>
      <c r="AG29" s="207"/>
      <c r="AH29" s="207"/>
      <c r="AI29" s="207"/>
      <c r="AJ29" s="207"/>
      <c r="AK29" s="207"/>
      <c r="AL29" s="241"/>
    </row>
    <row r="30" ht="22.5" customHeight="1">
      <c r="A30" s="213"/>
      <c r="B30" s="214" t="s">
        <v>251</v>
      </c>
      <c r="C30" s="215">
        <f t="shared" ref="C30:C33" si="12">roundup(C7/4,0)</f>
        <v>26</v>
      </c>
      <c r="D30" s="216">
        <f t="shared" ref="D30:D33" si="13">SUM(G30:N30)</f>
        <v>31</v>
      </c>
      <c r="E30" s="217">
        <f t="shared" ref="E30:E33" si="14">D30-C30</f>
        <v>5</v>
      </c>
      <c r="F30" s="218">
        <f t="shared" ref="F30:F33" si="15">D30/C30</f>
        <v>1.192307692</v>
      </c>
      <c r="G30" s="219">
        <v>2.0</v>
      </c>
      <c r="H30" s="219">
        <v>1.0</v>
      </c>
      <c r="I30" s="219">
        <v>2.0</v>
      </c>
      <c r="J30" s="219">
        <v>11.0</v>
      </c>
      <c r="K30" s="219">
        <v>2.0</v>
      </c>
      <c r="L30" s="219">
        <v>4.0</v>
      </c>
      <c r="M30" s="219">
        <v>3.0</v>
      </c>
      <c r="N30" s="221">
        <v>6.0</v>
      </c>
      <c r="O30" s="240"/>
      <c r="P30" s="240"/>
      <c r="Q30" s="240"/>
      <c r="R30" s="240"/>
      <c r="S30" s="240"/>
      <c r="T30" s="240"/>
      <c r="U30" s="240"/>
      <c r="V30" s="240"/>
      <c r="W30" s="240"/>
      <c r="X30" s="240"/>
      <c r="Y30" s="240"/>
      <c r="Z30" s="240"/>
      <c r="AA30" s="240"/>
      <c r="AB30" s="240"/>
      <c r="AC30" s="240"/>
      <c r="AD30" s="240"/>
      <c r="AE30" s="240"/>
      <c r="AF30" s="240"/>
      <c r="AG30" s="240"/>
      <c r="AH30" s="240"/>
      <c r="AI30" s="240"/>
      <c r="AJ30" s="240"/>
      <c r="AK30" s="240"/>
      <c r="AL30" s="240"/>
    </row>
    <row r="31" ht="22.5" customHeight="1">
      <c r="A31" s="213"/>
      <c r="B31" s="214" t="s">
        <v>1482</v>
      </c>
      <c r="C31" s="215">
        <f t="shared" si="12"/>
        <v>20</v>
      </c>
      <c r="D31" s="216">
        <f t="shared" si="13"/>
        <v>14</v>
      </c>
      <c r="E31" s="217">
        <f t="shared" si="14"/>
        <v>-6</v>
      </c>
      <c r="F31" s="218">
        <f t="shared" si="15"/>
        <v>0.7</v>
      </c>
      <c r="G31" s="219">
        <v>4.0</v>
      </c>
      <c r="H31" s="219">
        <v>0.0</v>
      </c>
      <c r="I31" s="219">
        <v>0.0</v>
      </c>
      <c r="J31" s="219">
        <v>1.0</v>
      </c>
      <c r="K31" s="219">
        <v>1.0</v>
      </c>
      <c r="L31" s="219">
        <v>4.0</v>
      </c>
      <c r="M31" s="219">
        <v>2.0</v>
      </c>
      <c r="N31" s="221">
        <v>2.0</v>
      </c>
      <c r="O31" s="240"/>
      <c r="P31" s="240"/>
      <c r="Q31" s="240"/>
      <c r="R31" s="240"/>
      <c r="S31" s="240"/>
      <c r="T31" s="240"/>
      <c r="U31" s="240"/>
      <c r="V31" s="240"/>
      <c r="W31" s="240"/>
      <c r="X31" s="240"/>
      <c r="Y31" s="240"/>
      <c r="Z31" s="240"/>
      <c r="AA31" s="240"/>
      <c r="AB31" s="240"/>
      <c r="AC31" s="240"/>
      <c r="AD31" s="240"/>
      <c r="AE31" s="240"/>
      <c r="AF31" s="240"/>
      <c r="AG31" s="240"/>
      <c r="AH31" s="240"/>
      <c r="AI31" s="240"/>
      <c r="AJ31" s="240"/>
      <c r="AK31" s="240"/>
      <c r="AL31" s="240"/>
    </row>
    <row r="32" ht="22.5" customHeight="1">
      <c r="A32" s="213"/>
      <c r="B32" s="214" t="s">
        <v>1483</v>
      </c>
      <c r="C32" s="215">
        <f t="shared" si="12"/>
        <v>176</v>
      </c>
      <c r="D32" s="216">
        <f t="shared" si="13"/>
        <v>158</v>
      </c>
      <c r="E32" s="217">
        <f t="shared" si="14"/>
        <v>-18</v>
      </c>
      <c r="F32" s="218">
        <f t="shared" si="15"/>
        <v>0.8977272727</v>
      </c>
      <c r="G32" s="219">
        <v>21.0</v>
      </c>
      <c r="H32" s="219">
        <v>22.0</v>
      </c>
      <c r="I32" s="219">
        <v>6.0</v>
      </c>
      <c r="J32" s="219">
        <v>30.0</v>
      </c>
      <c r="K32" s="219">
        <v>12.0</v>
      </c>
      <c r="L32" s="219">
        <v>22.0</v>
      </c>
      <c r="M32" s="219">
        <v>20.0</v>
      </c>
      <c r="N32" s="221">
        <v>25.0</v>
      </c>
      <c r="O32" s="240"/>
      <c r="P32" s="240"/>
      <c r="Q32" s="240"/>
      <c r="R32" s="240"/>
      <c r="S32" s="240"/>
      <c r="T32" s="240"/>
      <c r="U32" s="240"/>
      <c r="V32" s="240"/>
      <c r="W32" s="240"/>
      <c r="X32" s="240"/>
      <c r="Y32" s="240"/>
      <c r="Z32" s="240"/>
      <c r="AA32" s="240"/>
      <c r="AB32" s="240"/>
      <c r="AC32" s="240"/>
      <c r="AD32" s="240"/>
      <c r="AE32" s="240"/>
      <c r="AF32" s="240"/>
      <c r="AG32" s="240"/>
      <c r="AH32" s="240"/>
      <c r="AI32" s="240"/>
      <c r="AJ32" s="240"/>
      <c r="AK32" s="240"/>
      <c r="AL32" s="240"/>
    </row>
    <row r="33" ht="22.5" customHeight="1">
      <c r="A33" s="213"/>
      <c r="B33" s="214" t="s">
        <v>1484</v>
      </c>
      <c r="C33" s="215">
        <f t="shared" si="12"/>
        <v>1</v>
      </c>
      <c r="D33" s="227">
        <f t="shared" si="13"/>
        <v>0</v>
      </c>
      <c r="E33" s="217">
        <f t="shared" si="14"/>
        <v>-1</v>
      </c>
      <c r="F33" s="218">
        <f t="shared" si="15"/>
        <v>0</v>
      </c>
      <c r="G33" s="225" t="s">
        <v>60</v>
      </c>
      <c r="H33" s="225" t="s">
        <v>60</v>
      </c>
      <c r="I33" s="225" t="s">
        <v>60</v>
      </c>
      <c r="J33" s="225" t="s">
        <v>60</v>
      </c>
      <c r="K33" s="225" t="s">
        <v>60</v>
      </c>
      <c r="L33" s="225" t="s">
        <v>60</v>
      </c>
      <c r="M33" s="225" t="s">
        <v>60</v>
      </c>
      <c r="N33" s="226" t="s">
        <v>60</v>
      </c>
      <c r="O33" s="240"/>
      <c r="P33" s="240"/>
      <c r="Q33" s="240"/>
      <c r="R33" s="240"/>
      <c r="S33" s="240"/>
      <c r="T33" s="240"/>
      <c r="U33" s="240"/>
      <c r="V33" s="240"/>
      <c r="W33" s="240"/>
      <c r="X33" s="240"/>
      <c r="Y33" s="240"/>
      <c r="Z33" s="240"/>
      <c r="AA33" s="240"/>
      <c r="AB33" s="240"/>
      <c r="AC33" s="240"/>
      <c r="AD33" s="240"/>
      <c r="AE33" s="240"/>
      <c r="AF33" s="240"/>
      <c r="AG33" s="240"/>
      <c r="AH33" s="240"/>
      <c r="AI33" s="240"/>
      <c r="AJ33" s="240"/>
      <c r="AK33" s="240"/>
      <c r="AL33" s="240"/>
    </row>
    <row r="34" ht="22.5" customHeight="1">
      <c r="A34" s="229"/>
      <c r="B34" s="230"/>
      <c r="C34" s="231"/>
      <c r="D34" s="232"/>
      <c r="E34" s="233" t="s">
        <v>1485</v>
      </c>
      <c r="F34" s="234">
        <f>AVERAGE(F30:F33)</f>
        <v>0.6975087413</v>
      </c>
      <c r="G34" s="235"/>
      <c r="H34" s="235"/>
      <c r="I34" s="235"/>
      <c r="J34" s="235"/>
      <c r="K34" s="235"/>
      <c r="L34" s="235"/>
      <c r="M34" s="235"/>
      <c r="N34" s="236"/>
      <c r="O34" s="232"/>
      <c r="P34" s="232"/>
      <c r="Q34" s="232"/>
      <c r="R34" s="232"/>
      <c r="S34" s="232"/>
      <c r="T34" s="232"/>
      <c r="U34" s="232"/>
      <c r="V34" s="232"/>
      <c r="W34" s="232"/>
      <c r="X34" s="232"/>
      <c r="Y34" s="232"/>
      <c r="Z34" s="232"/>
      <c r="AA34" s="232"/>
      <c r="AB34" s="232"/>
      <c r="AC34" s="232"/>
      <c r="AD34" s="232"/>
      <c r="AE34" s="232"/>
      <c r="AF34" s="232"/>
      <c r="AG34" s="232"/>
      <c r="AH34" s="232"/>
      <c r="AI34" s="232"/>
      <c r="AJ34" s="232"/>
      <c r="AK34" s="232"/>
      <c r="AL34" s="232"/>
    </row>
    <row r="35">
      <c r="A35" s="229"/>
      <c r="B35" s="245"/>
      <c r="C35" s="246"/>
      <c r="D35" s="232"/>
      <c r="E35" s="233"/>
      <c r="F35" s="247"/>
      <c r="G35" s="248"/>
      <c r="H35" s="248"/>
      <c r="I35" s="248"/>
      <c r="J35" s="248"/>
      <c r="K35" s="248"/>
      <c r="L35" s="248"/>
      <c r="M35" s="248"/>
      <c r="N35" s="232"/>
      <c r="O35" s="232"/>
      <c r="P35" s="232"/>
      <c r="Q35" s="232"/>
      <c r="R35" s="232"/>
      <c r="S35" s="232"/>
      <c r="T35" s="232"/>
      <c r="U35" s="232"/>
      <c r="V35" s="232"/>
      <c r="W35" s="232"/>
      <c r="X35" s="232"/>
      <c r="Y35" s="232"/>
      <c r="Z35" s="232"/>
      <c r="AA35" s="232"/>
      <c r="AB35" s="232"/>
      <c r="AC35" s="232"/>
      <c r="AD35" s="232"/>
      <c r="AE35" s="232"/>
      <c r="AF35" s="232"/>
      <c r="AG35" s="232"/>
      <c r="AH35" s="232"/>
      <c r="AI35" s="232"/>
      <c r="AJ35" s="232"/>
      <c r="AK35" s="232"/>
      <c r="AL35" s="232"/>
    </row>
    <row r="36" ht="22.5" customHeight="1">
      <c r="A36" s="237"/>
      <c r="B36" s="238" t="s">
        <v>1490</v>
      </c>
      <c r="C36" s="209" t="s">
        <v>1478</v>
      </c>
      <c r="D36" s="209" t="s">
        <v>1479</v>
      </c>
      <c r="E36" s="210" t="s">
        <v>1480</v>
      </c>
      <c r="F36" s="210" t="s">
        <v>1481</v>
      </c>
      <c r="G36" s="212">
        <v>25.0</v>
      </c>
      <c r="H36" s="250">
        <v>26.0</v>
      </c>
      <c r="I36" s="250">
        <v>27.0</v>
      </c>
      <c r="J36" s="250">
        <v>28.0</v>
      </c>
      <c r="K36" s="250">
        <v>29.0</v>
      </c>
      <c r="L36" s="251">
        <v>30.0</v>
      </c>
      <c r="M36" s="212">
        <v>31.0</v>
      </c>
      <c r="N36" s="207"/>
      <c r="O36" s="207"/>
      <c r="P36" s="207"/>
      <c r="Q36" s="207"/>
      <c r="R36" s="207"/>
      <c r="S36" s="239"/>
      <c r="T36" s="207"/>
      <c r="U36" s="207"/>
      <c r="V36" s="207"/>
      <c r="W36" s="207"/>
      <c r="X36" s="207"/>
      <c r="Y36" s="207"/>
      <c r="Z36" s="207"/>
      <c r="AA36" s="207"/>
      <c r="AB36" s="241"/>
      <c r="AC36" s="241"/>
      <c r="AD36" s="241"/>
      <c r="AE36" s="241"/>
      <c r="AF36" s="241"/>
      <c r="AG36" s="241"/>
      <c r="AH36" s="241"/>
      <c r="AI36" s="241"/>
      <c r="AJ36" s="241"/>
      <c r="AK36" s="207"/>
      <c r="AL36" s="241"/>
    </row>
    <row r="37" ht="22.5" customHeight="1">
      <c r="A37" s="213"/>
      <c r="B37" s="214" t="s">
        <v>251</v>
      </c>
      <c r="C37" s="215">
        <f t="shared" ref="C37:C40" si="16">roundup(C7/4,0)</f>
        <v>26</v>
      </c>
      <c r="D37" s="216">
        <f t="shared" ref="D37:D40" si="17">SUM(G37:M37)</f>
        <v>20</v>
      </c>
      <c r="E37" s="217">
        <f t="shared" ref="E37:E40" si="18">D37-C37</f>
        <v>-6</v>
      </c>
      <c r="F37" s="218">
        <f t="shared" ref="F37:F40" si="19">D37/C37</f>
        <v>0.7692307692</v>
      </c>
      <c r="G37" s="219" t="s">
        <v>60</v>
      </c>
      <c r="H37" s="219">
        <v>2.0</v>
      </c>
      <c r="I37" s="219">
        <v>5.0</v>
      </c>
      <c r="J37" s="219">
        <v>7.0</v>
      </c>
      <c r="K37" s="219">
        <v>6.0</v>
      </c>
      <c r="L37" s="219"/>
      <c r="M37" s="221"/>
      <c r="N37" s="242"/>
      <c r="O37" s="242"/>
      <c r="P37" s="242"/>
      <c r="Q37" s="242"/>
      <c r="R37" s="242"/>
      <c r="S37" s="242"/>
      <c r="T37" s="240"/>
      <c r="U37" s="240"/>
      <c r="V37" s="240"/>
      <c r="W37" s="240"/>
      <c r="X37" s="240"/>
      <c r="Y37" s="240"/>
      <c r="Z37" s="240"/>
      <c r="AA37" s="240"/>
      <c r="AB37" s="240"/>
      <c r="AC37" s="240"/>
      <c r="AD37" s="240"/>
      <c r="AE37" s="240"/>
      <c r="AF37" s="240"/>
      <c r="AG37" s="240"/>
      <c r="AH37" s="240"/>
      <c r="AI37" s="240"/>
      <c r="AJ37" s="240"/>
      <c r="AK37" s="240"/>
      <c r="AL37" s="240"/>
    </row>
    <row r="38" ht="22.5" customHeight="1">
      <c r="A38" s="213"/>
      <c r="B38" s="214" t="s">
        <v>1482</v>
      </c>
      <c r="C38" s="215">
        <f t="shared" si="16"/>
        <v>20</v>
      </c>
      <c r="D38" s="216">
        <f t="shared" si="17"/>
        <v>12</v>
      </c>
      <c r="E38" s="217">
        <f t="shared" si="18"/>
        <v>-8</v>
      </c>
      <c r="F38" s="218">
        <f t="shared" si="19"/>
        <v>0.6</v>
      </c>
      <c r="G38" s="219">
        <v>1.0</v>
      </c>
      <c r="H38" s="219">
        <v>1.0</v>
      </c>
      <c r="I38" s="219">
        <v>3.0</v>
      </c>
      <c r="J38" s="219">
        <v>2.0</v>
      </c>
      <c r="K38" s="219">
        <v>5.0</v>
      </c>
      <c r="L38" s="219"/>
      <c r="M38" s="221"/>
      <c r="N38" s="242"/>
      <c r="O38" s="242"/>
      <c r="P38" s="242"/>
      <c r="Q38" s="242"/>
      <c r="R38" s="242"/>
      <c r="S38" s="242"/>
      <c r="T38" s="240"/>
      <c r="U38" s="240"/>
      <c r="V38" s="240"/>
      <c r="W38" s="240"/>
      <c r="X38" s="240"/>
      <c r="Y38" s="240"/>
      <c r="Z38" s="240"/>
      <c r="AA38" s="240"/>
      <c r="AB38" s="240"/>
      <c r="AC38" s="240"/>
      <c r="AD38" s="240"/>
      <c r="AE38" s="240"/>
      <c r="AF38" s="240"/>
      <c r="AG38" s="240"/>
      <c r="AH38" s="240"/>
      <c r="AI38" s="240"/>
      <c r="AJ38" s="240"/>
      <c r="AK38" s="240"/>
      <c r="AL38" s="240"/>
    </row>
    <row r="39" ht="22.5" customHeight="1">
      <c r="A39" s="213"/>
      <c r="B39" s="214" t="s">
        <v>1483</v>
      </c>
      <c r="C39" s="215">
        <f t="shared" si="16"/>
        <v>176</v>
      </c>
      <c r="D39" s="227">
        <f t="shared" si="17"/>
        <v>86</v>
      </c>
      <c r="E39" s="217">
        <f t="shared" si="18"/>
        <v>-90</v>
      </c>
      <c r="F39" s="218">
        <f t="shared" si="19"/>
        <v>0.4886363636</v>
      </c>
      <c r="G39" s="225" t="s">
        <v>60</v>
      </c>
      <c r="H39" s="225">
        <v>4.0</v>
      </c>
      <c r="I39" s="225">
        <v>28.0</v>
      </c>
      <c r="J39" s="225">
        <v>24.0</v>
      </c>
      <c r="K39" s="225">
        <v>30.0</v>
      </c>
      <c r="L39" s="225"/>
      <c r="M39" s="226"/>
      <c r="N39" s="242"/>
      <c r="O39" s="242"/>
      <c r="P39" s="242"/>
      <c r="Q39" s="242"/>
      <c r="R39" s="242"/>
      <c r="S39" s="242"/>
      <c r="T39" s="240"/>
      <c r="U39" s="240"/>
      <c r="V39" s="240"/>
      <c r="W39" s="240"/>
      <c r="X39" s="240"/>
      <c r="Y39" s="240"/>
      <c r="Z39" s="240"/>
      <c r="AA39" s="240"/>
      <c r="AB39" s="240"/>
      <c r="AC39" s="240"/>
      <c r="AD39" s="240"/>
      <c r="AE39" s="240"/>
      <c r="AF39" s="240"/>
      <c r="AG39" s="240"/>
      <c r="AH39" s="240"/>
      <c r="AI39" s="240"/>
      <c r="AJ39" s="240"/>
      <c r="AK39" s="240"/>
      <c r="AL39" s="240"/>
    </row>
    <row r="40" ht="22.5" customHeight="1">
      <c r="A40" s="213"/>
      <c r="B40" s="214" t="s">
        <v>1484</v>
      </c>
      <c r="C40" s="215">
        <f t="shared" si="16"/>
        <v>1</v>
      </c>
      <c r="D40" s="227">
        <f t="shared" si="17"/>
        <v>2</v>
      </c>
      <c r="E40" s="217">
        <f t="shared" si="18"/>
        <v>1</v>
      </c>
      <c r="F40" s="218">
        <f t="shared" si="19"/>
        <v>2</v>
      </c>
      <c r="G40" s="225" t="s">
        <v>60</v>
      </c>
      <c r="H40" s="225" t="s">
        <v>60</v>
      </c>
      <c r="I40" s="225" t="s">
        <v>60</v>
      </c>
      <c r="J40" s="225">
        <v>1.0</v>
      </c>
      <c r="K40" s="225">
        <v>1.0</v>
      </c>
      <c r="L40" s="225"/>
      <c r="M40" s="226"/>
      <c r="N40" s="242"/>
      <c r="O40" s="242"/>
      <c r="P40" s="242"/>
      <c r="Q40" s="242"/>
      <c r="R40" s="242"/>
      <c r="S40" s="242"/>
      <c r="T40" s="240"/>
      <c r="U40" s="240"/>
      <c r="V40" s="240"/>
      <c r="W40" s="240"/>
      <c r="X40" s="240"/>
      <c r="Y40" s="240"/>
      <c r="Z40" s="240"/>
      <c r="AA40" s="240"/>
      <c r="AB40" s="240"/>
      <c r="AC40" s="240"/>
      <c r="AD40" s="240"/>
      <c r="AE40" s="240"/>
      <c r="AF40" s="240"/>
      <c r="AG40" s="240"/>
      <c r="AH40" s="240"/>
      <c r="AI40" s="240"/>
      <c r="AJ40" s="240"/>
      <c r="AK40" s="240"/>
      <c r="AL40" s="240"/>
    </row>
    <row r="41" ht="22.5" customHeight="1">
      <c r="A41" s="229"/>
      <c r="B41" s="230"/>
      <c r="C41" s="231"/>
      <c r="D41" s="232"/>
      <c r="E41" s="233" t="s">
        <v>1485</v>
      </c>
      <c r="F41" s="234">
        <f>AVERAGE(F37:F40)</f>
        <v>0.9644667832</v>
      </c>
      <c r="G41" s="235"/>
      <c r="H41" s="235"/>
      <c r="I41" s="235"/>
      <c r="J41" s="235"/>
      <c r="K41" s="235"/>
      <c r="L41" s="235"/>
      <c r="M41" s="235"/>
      <c r="N41" s="235"/>
      <c r="O41" s="235"/>
      <c r="P41" s="235"/>
      <c r="Q41" s="235"/>
      <c r="R41" s="235"/>
      <c r="S41" s="235"/>
      <c r="T41" s="232"/>
      <c r="U41" s="232"/>
      <c r="V41" s="232"/>
      <c r="W41" s="232"/>
      <c r="X41" s="232"/>
      <c r="Y41" s="232"/>
      <c r="Z41" s="232"/>
      <c r="AA41" s="232"/>
      <c r="AB41" s="232"/>
      <c r="AC41" s="232"/>
      <c r="AD41" s="232"/>
      <c r="AE41" s="232"/>
      <c r="AF41" s="232"/>
      <c r="AG41" s="232"/>
      <c r="AH41" s="232"/>
      <c r="AI41" s="232"/>
      <c r="AJ41" s="232"/>
      <c r="AK41" s="232"/>
      <c r="AL41" s="232"/>
    </row>
    <row r="42">
      <c r="A42" s="200"/>
      <c r="B42" s="201"/>
      <c r="C42" s="202"/>
      <c r="D42" s="203"/>
      <c r="E42" s="204"/>
      <c r="F42" s="204"/>
      <c r="G42" s="202"/>
      <c r="H42" s="202"/>
      <c r="I42" s="202"/>
      <c r="J42" s="202"/>
      <c r="K42" s="202"/>
      <c r="L42" s="202"/>
      <c r="M42" s="202"/>
      <c r="N42" s="202"/>
      <c r="O42" s="202"/>
      <c r="P42" s="202"/>
      <c r="Q42" s="202"/>
      <c r="R42" s="202"/>
      <c r="S42" s="202"/>
      <c r="T42" s="202"/>
      <c r="U42" s="202"/>
      <c r="V42" s="202"/>
      <c r="W42" s="202"/>
      <c r="X42" s="202"/>
      <c r="Y42" s="202"/>
      <c r="Z42" s="202"/>
      <c r="AA42" s="202"/>
      <c r="AB42" s="202"/>
      <c r="AC42" s="202"/>
      <c r="AD42" s="202"/>
      <c r="AE42" s="202"/>
      <c r="AF42" s="202"/>
      <c r="AG42" s="202"/>
      <c r="AH42" s="202"/>
      <c r="AI42" s="202"/>
      <c r="AJ42" s="202"/>
      <c r="AK42" s="205"/>
      <c r="AL42" s="202"/>
    </row>
  </sheetData>
  <mergeCells count="1">
    <mergeCell ref="B2:C2"/>
  </mergeCells>
  <conditionalFormatting sqref="E7:E10 F7:F11 E16:E19 F16:F20 E23:E26 F23:F27 E30:E33 F30:F34 E37:E40 F37:F41">
    <cfRule type="containsText" dxfId="7" priority="1" operator="containsText" text="-">
      <formula>NOT(ISERROR(SEARCH(("-"),(E7))))</formula>
    </cfRule>
  </conditionalFormatting>
  <conditionalFormatting sqref="E7:E10 E16:E20 E23:E27 E30:E34 E37:E41 F37">
    <cfRule type="containsText" dxfId="14" priority="2" operator="containsText" text="+">
      <formula>NOT(ISERROR(SEARCH(("+"),(E7))))</formula>
    </cfRule>
  </conditionalFormatting>
  <conditionalFormatting sqref="F7:F11 F16:F20 F23:F27 F30:F34 F37:F41">
    <cfRule type="cellIs" dxfId="15" priority="3" operator="greaterThanOrEqual">
      <formula>0.9</formula>
    </cfRule>
  </conditionalFormatting>
  <conditionalFormatting sqref="F7:F11 F16:F20 F23:F27 F30:F34 F37:F41">
    <cfRule type="cellIs" dxfId="16" priority="4" operator="greaterThanOrEqual">
      <formula>0.7</formula>
    </cfRule>
  </conditionalFormatting>
  <conditionalFormatting sqref="F7:F11 F16:F20 F23:F27 F30:F34 F37:F41">
    <cfRule type="cellIs" dxfId="17" priority="5" operator="greaterThanOrEqual">
      <formula>0.5</formula>
    </cfRule>
  </conditionalFormatting>
  <conditionalFormatting sqref="F7:F11 F16:F20 F23:F27 F30:F34 F37:F41">
    <cfRule type="cellIs" dxfId="18" priority="6" operator="greaterThanOrEqual">
      <formula>0</formula>
    </cfRule>
  </conditionalFormatting>
  <conditionalFormatting sqref="E7:E10 E16:E20 E23:E27 E30:E34 E37:E41 F37">
    <cfRule type="cellIs" dxfId="14" priority="7" operator="equal">
      <formula>0</formula>
    </cfRule>
  </conditionalFormatting>
  <printOptions gridLines="1"/>
  <pageMargins bottom="0.75" footer="0.0" header="0.0" left="0.25" right="0.25" top="0.75"/>
  <pageSetup paperSize="14" cellComments="atEnd" orientation="landscape" pageOrder="overThenDown"/>
  <drawing r:id="rId1"/>
  <tableParts count="5">
    <tablePart r:id="rId7"/>
    <tablePart r:id="rId8"/>
    <tablePart r:id="rId9"/>
    <tablePart r:id="rId10"/>
    <tablePart r:id="rId1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1.0" topLeftCell="A12" activePane="bottomLeft" state="frozen"/>
      <selection activeCell="B13" sqref="B13" pane="bottomLeft"/>
    </sheetView>
  </sheetViews>
  <sheetFormatPr customHeight="1" defaultColWidth="12.63" defaultRowHeight="15.75" outlineLevelCol="1" outlineLevelRow="1"/>
  <cols>
    <col customWidth="1" min="1" max="1" width="3.25"/>
    <col customWidth="1" min="3" max="6" width="10.13"/>
    <col customWidth="1" min="7" max="7" width="10.13" outlineLevel="1"/>
    <col customWidth="1" min="8" max="8" width="2.63"/>
    <col customWidth="1" min="9" max="9" width="5.13"/>
    <col customWidth="1" min="11" max="15" width="10.13"/>
    <col customWidth="1" min="16" max="16" width="2.88"/>
    <col customWidth="1" min="17" max="17" width="5.13"/>
    <col customWidth="1" min="19" max="22" width="10.13"/>
    <col customWidth="1" min="23" max="23" width="2.63"/>
  </cols>
  <sheetData>
    <row r="1">
      <c r="B1" s="252" t="s">
        <v>1491</v>
      </c>
      <c r="C1" s="253"/>
      <c r="D1" s="253"/>
      <c r="E1" s="253"/>
      <c r="F1" s="253"/>
      <c r="G1" s="203"/>
      <c r="H1" s="253"/>
      <c r="I1" s="203"/>
      <c r="J1" s="254"/>
      <c r="K1" s="253"/>
      <c r="L1" s="253"/>
      <c r="M1" s="253"/>
      <c r="N1" s="253"/>
      <c r="O1" s="253"/>
      <c r="P1" s="253"/>
      <c r="Q1" s="203"/>
      <c r="R1" s="254"/>
      <c r="S1" s="253"/>
      <c r="T1" s="253"/>
      <c r="U1" s="253"/>
      <c r="V1" s="253"/>
      <c r="W1" s="253"/>
    </row>
    <row r="2" collapsed="1">
      <c r="B2" s="255" t="s">
        <v>1492</v>
      </c>
      <c r="C2" s="253"/>
      <c r="D2" s="253"/>
      <c r="E2" s="253"/>
      <c r="F2" s="253"/>
      <c r="G2" s="203"/>
      <c r="H2" s="253"/>
      <c r="I2" s="203"/>
      <c r="J2" s="254"/>
      <c r="K2" s="253"/>
      <c r="L2" s="253"/>
      <c r="M2" s="253"/>
      <c r="N2" s="253"/>
      <c r="O2" s="253"/>
      <c r="P2" s="253"/>
      <c r="Q2" s="203"/>
      <c r="R2" s="254"/>
      <c r="S2" s="253"/>
      <c r="T2" s="253"/>
      <c r="U2" s="253"/>
      <c r="V2" s="253"/>
      <c r="W2" s="253"/>
    </row>
    <row r="3" hidden="1" outlineLevel="1">
      <c r="A3" s="256"/>
      <c r="B3" s="257"/>
      <c r="C3" s="258"/>
      <c r="D3" s="258"/>
      <c r="E3" s="258"/>
      <c r="F3" s="258"/>
      <c r="G3" s="259"/>
      <c r="H3" s="258"/>
      <c r="I3" s="259"/>
      <c r="J3" s="260"/>
      <c r="K3" s="258"/>
      <c r="L3" s="258"/>
      <c r="M3" s="258"/>
      <c r="N3" s="258"/>
      <c r="O3" s="258"/>
      <c r="P3" s="258"/>
      <c r="Q3" s="259"/>
      <c r="R3" s="260"/>
      <c r="S3" s="258"/>
      <c r="T3" s="258"/>
      <c r="U3" s="258"/>
      <c r="V3" s="258"/>
      <c r="W3" s="258"/>
    </row>
    <row r="4" hidden="1" outlineLevel="1">
      <c r="A4" s="256"/>
      <c r="B4" s="257" t="s">
        <v>1493</v>
      </c>
      <c r="C4" s="258"/>
      <c r="D4" s="258"/>
      <c r="E4" s="258"/>
      <c r="F4" s="258"/>
      <c r="G4" s="259"/>
      <c r="H4" s="258"/>
      <c r="I4" s="259"/>
      <c r="J4" s="260"/>
      <c r="K4" s="258"/>
      <c r="L4" s="258"/>
      <c r="M4" s="258"/>
      <c r="N4" s="258"/>
      <c r="O4" s="258"/>
      <c r="P4" s="258"/>
      <c r="Q4" s="259"/>
      <c r="R4" s="260"/>
      <c r="S4" s="258"/>
      <c r="T4" s="258"/>
      <c r="U4" s="258"/>
      <c r="V4" s="258"/>
      <c r="W4" s="258"/>
    </row>
    <row r="5" hidden="1" outlineLevel="1">
      <c r="A5" s="261"/>
      <c r="B5" s="260" t="s">
        <v>1494</v>
      </c>
      <c r="C5" s="262">
        <v>46016.0</v>
      </c>
      <c r="D5" s="263"/>
      <c r="E5" s="258"/>
      <c r="F5" s="258"/>
      <c r="G5" s="259"/>
      <c r="H5" s="258"/>
      <c r="I5" s="259"/>
      <c r="J5" s="260"/>
      <c r="K5" s="258"/>
      <c r="L5" s="258"/>
      <c r="M5" s="258"/>
      <c r="N5" s="258"/>
      <c r="O5" s="258"/>
      <c r="P5" s="258"/>
      <c r="Q5" s="259"/>
      <c r="R5" s="260"/>
      <c r="S5" s="258"/>
      <c r="T5" s="258"/>
      <c r="U5" s="258"/>
      <c r="V5" s="258"/>
      <c r="W5" s="258"/>
    </row>
    <row r="6" hidden="1" outlineLevel="1">
      <c r="A6" s="261"/>
      <c r="B6" s="260" t="s">
        <v>1495</v>
      </c>
      <c r="C6" s="262">
        <v>46022.0</v>
      </c>
      <c r="D6" s="263"/>
      <c r="E6" s="258"/>
      <c r="F6" s="258"/>
      <c r="G6" s="259"/>
      <c r="H6" s="258"/>
      <c r="I6" s="259"/>
      <c r="J6" s="260"/>
      <c r="K6" s="258"/>
      <c r="L6" s="258"/>
      <c r="M6" s="258"/>
      <c r="N6" s="258"/>
      <c r="O6" s="258"/>
      <c r="P6" s="258"/>
      <c r="Q6" s="259"/>
      <c r="R6" s="260"/>
      <c r="S6" s="258"/>
      <c r="T6" s="258"/>
      <c r="U6" s="258"/>
      <c r="V6" s="258"/>
      <c r="W6" s="258"/>
    </row>
    <row r="7" hidden="1" outlineLevel="1">
      <c r="A7" s="261"/>
      <c r="B7" s="260"/>
      <c r="C7" s="258"/>
      <c r="D7" s="264"/>
      <c r="E7" s="258"/>
      <c r="F7" s="258"/>
      <c r="G7" s="259"/>
      <c r="H7" s="258"/>
      <c r="I7" s="259"/>
      <c r="J7" s="260"/>
      <c r="K7" s="258"/>
      <c r="L7" s="258"/>
      <c r="M7" s="258"/>
      <c r="N7" s="258"/>
      <c r="O7" s="258"/>
      <c r="P7" s="258"/>
      <c r="Q7" s="259"/>
      <c r="R7" s="260"/>
      <c r="S7" s="258"/>
      <c r="T7" s="258"/>
      <c r="U7" s="258"/>
      <c r="V7" s="258"/>
      <c r="W7" s="258"/>
    </row>
    <row r="8">
      <c r="A8" s="265"/>
      <c r="B8" s="254"/>
      <c r="C8" s="253"/>
      <c r="D8" s="253"/>
      <c r="E8" s="253"/>
      <c r="F8" s="253"/>
      <c r="G8" s="203"/>
      <c r="H8" s="253"/>
      <c r="I8" s="203"/>
      <c r="J8" s="254"/>
      <c r="K8" s="253"/>
      <c r="L8" s="253"/>
      <c r="M8" s="253"/>
      <c r="N8" s="253"/>
      <c r="O8" s="253"/>
      <c r="P8" s="253"/>
      <c r="Q8" s="203"/>
      <c r="R8" s="254"/>
      <c r="S8" s="253"/>
      <c r="T8" s="253"/>
      <c r="U8" s="253"/>
      <c r="V8" s="253"/>
      <c r="W8" s="253"/>
    </row>
    <row r="9">
      <c r="A9" s="265"/>
      <c r="B9" s="254" t="s">
        <v>1496</v>
      </c>
      <c r="C9" s="253"/>
      <c r="D9" s="253"/>
      <c r="E9" s="253"/>
      <c r="F9" s="253"/>
      <c r="G9" s="203"/>
      <c r="H9" s="253"/>
      <c r="I9" s="203"/>
      <c r="J9" s="254" t="s">
        <v>57</v>
      </c>
      <c r="K9" s="253"/>
      <c r="L9" s="253"/>
      <c r="M9" s="253"/>
      <c r="N9" s="253"/>
      <c r="O9" s="253"/>
      <c r="P9" s="253"/>
      <c r="Q9" s="203"/>
      <c r="R9" s="254" t="s">
        <v>1497</v>
      </c>
      <c r="S9" s="253"/>
      <c r="T9" s="253"/>
      <c r="U9" s="253"/>
      <c r="V9" s="253"/>
      <c r="W9" s="253"/>
    </row>
    <row r="10">
      <c r="A10" s="202"/>
      <c r="D10" s="201"/>
      <c r="E10" s="201"/>
      <c r="F10" s="201"/>
      <c r="G10" s="203"/>
      <c r="H10" s="201"/>
      <c r="I10" s="202"/>
      <c r="O10" s="201"/>
      <c r="P10" s="201"/>
      <c r="Q10" s="202"/>
      <c r="V10" s="201"/>
      <c r="W10" s="201"/>
    </row>
    <row r="11">
      <c r="A11" s="267"/>
      <c r="D11" s="267"/>
      <c r="E11" s="267"/>
      <c r="F11" s="267"/>
      <c r="G11" s="269" t="s">
        <v>1501</v>
      </c>
      <c r="H11" s="270"/>
      <c r="I11" s="267"/>
      <c r="O11" s="267"/>
      <c r="P11" s="270"/>
      <c r="Q11" s="267"/>
      <c r="V11" s="270"/>
      <c r="W11" s="270"/>
    </row>
    <row r="12">
      <c r="A12" s="272"/>
      <c r="D12" s="202"/>
      <c r="E12" s="202"/>
      <c r="F12" s="202"/>
      <c r="G12" s="203" t="str">
        <f>IFERROR(__xludf.DUMMYFUNCTION("IF(ISDATE(B12)=TRUE,COUNTIF(DATAPAKET[[#ALL],[T1]:[T10]],B12),"""")"),"")</f>
        <v/>
      </c>
      <c r="H12" s="201"/>
      <c r="I12" s="272"/>
      <c r="O12" s="202"/>
      <c r="P12" s="201"/>
      <c r="Q12" s="272"/>
      <c r="V12" s="201"/>
      <c r="W12" s="201"/>
    </row>
    <row r="13">
      <c r="A13" s="272"/>
      <c r="B13" s="273"/>
      <c r="C13" s="202"/>
      <c r="D13" s="202"/>
      <c r="E13" s="202"/>
      <c r="F13" s="202"/>
      <c r="G13" s="203" t="str">
        <f>IFERROR(__xludf.DUMMYFUNCTION("IF(ISDATE(B13)=TRUE,COUNTIF(DATAPAKET[[#ALL],[T1]:[T10]],B13),"""")"),"")</f>
        <v/>
      </c>
      <c r="H13" s="201"/>
      <c r="I13" s="272"/>
      <c r="O13" s="202"/>
      <c r="P13" s="201"/>
      <c r="Q13" s="272"/>
      <c r="V13" s="201"/>
      <c r="W13" s="201"/>
    </row>
    <row r="14">
      <c r="A14" s="272"/>
      <c r="B14" s="273"/>
      <c r="C14" s="202"/>
      <c r="D14" s="202"/>
      <c r="E14" s="202"/>
      <c r="F14" s="202"/>
      <c r="G14" s="203" t="str">
        <f>IFERROR(__xludf.DUMMYFUNCTION("IF(ISDATE(B14)=TRUE,COUNTIF(DATAPAKET[[#ALL],[T1]:[T10]],B14),"""")"),"")</f>
        <v/>
      </c>
      <c r="H14" s="201"/>
      <c r="I14" s="272"/>
      <c r="O14" s="202"/>
      <c r="P14" s="201"/>
      <c r="Q14" s="272"/>
      <c r="V14" s="201"/>
      <c r="W14" s="201"/>
    </row>
    <row r="15">
      <c r="A15" s="272"/>
      <c r="B15" s="273"/>
      <c r="C15" s="202"/>
      <c r="D15" s="202"/>
      <c r="E15" s="202"/>
      <c r="F15" s="202"/>
      <c r="G15" s="203" t="str">
        <f>IFERROR(__xludf.DUMMYFUNCTION("IF(ISDATE(B15)=TRUE,COUNTIF(DATAPAKET[[#ALL],[T1]:[T10]],B15),"""")"),"")</f>
        <v/>
      </c>
      <c r="H15" s="201"/>
      <c r="I15" s="272"/>
      <c r="O15" s="202"/>
      <c r="P15" s="201"/>
      <c r="Q15" s="272"/>
      <c r="V15" s="201"/>
      <c r="W15" s="201"/>
    </row>
    <row r="16">
      <c r="A16" s="272"/>
      <c r="B16" s="273"/>
      <c r="C16" s="202"/>
      <c r="D16" s="202"/>
      <c r="E16" s="202"/>
      <c r="F16" s="202"/>
      <c r="G16" s="203" t="str">
        <f>IFERROR(__xludf.DUMMYFUNCTION("IF(ISDATE(B16)=TRUE,COUNTIF(DATAPAKET[[#ALL],[T1]:[T10]],B16),"""")"),"")</f>
        <v/>
      </c>
      <c r="H16" s="201"/>
      <c r="I16" s="272"/>
      <c r="O16" s="202"/>
      <c r="P16" s="201"/>
      <c r="Q16" s="272"/>
      <c r="V16" s="201"/>
      <c r="W16" s="201"/>
    </row>
    <row r="17">
      <c r="A17" s="272"/>
      <c r="B17" s="273"/>
      <c r="C17" s="202"/>
      <c r="D17" s="202"/>
      <c r="E17" s="202"/>
      <c r="F17" s="202"/>
      <c r="G17" s="203" t="str">
        <f>IFERROR(__xludf.DUMMYFUNCTION("IF(ISDATE(B17)=TRUE,COUNTIF(DATAPAKET[[#ALL],[T1]:[T10]],B17),"""")"),"")</f>
        <v/>
      </c>
      <c r="H17" s="201"/>
      <c r="I17" s="272"/>
      <c r="J17" s="273"/>
      <c r="K17" s="202"/>
      <c r="L17" s="202"/>
      <c r="M17" s="202"/>
      <c r="N17" s="202"/>
      <c r="O17" s="202"/>
      <c r="P17" s="201"/>
      <c r="Q17" s="272"/>
      <c r="V17" s="201"/>
      <c r="W17" s="201"/>
    </row>
    <row r="18" ht="15.75" customHeight="1">
      <c r="A18" s="272"/>
      <c r="B18" s="273"/>
      <c r="C18" s="202"/>
      <c r="D18" s="202"/>
      <c r="E18" s="202"/>
      <c r="F18" s="202"/>
      <c r="G18" s="203" t="str">
        <f>IFERROR(__xludf.DUMMYFUNCTION("IF(ISDATE(B18)=TRUE,COUNTIF(DATAPAKET[[#ALL],[T1]:[T10]],B18),"""")"),"")</f>
        <v/>
      </c>
      <c r="H18" s="201"/>
      <c r="I18" s="272"/>
      <c r="J18" s="273"/>
      <c r="K18" s="202"/>
      <c r="L18" s="202"/>
      <c r="M18" s="202"/>
      <c r="N18" s="202"/>
      <c r="O18" s="202"/>
      <c r="P18" s="201"/>
      <c r="Q18" s="272"/>
      <c r="R18" s="273"/>
      <c r="S18" s="202"/>
      <c r="T18" s="202"/>
      <c r="U18" s="202"/>
      <c r="V18" s="201"/>
      <c r="W18" s="201"/>
    </row>
    <row r="19">
      <c r="A19" s="272"/>
      <c r="B19" s="273"/>
      <c r="C19" s="202"/>
      <c r="D19" s="202"/>
      <c r="E19" s="202"/>
      <c r="F19" s="202"/>
      <c r="G19" s="203" t="str">
        <f>IFERROR(__xludf.DUMMYFUNCTION("IF(ISDATE(B19)=TRUE,COUNTIF(DATAPAKET[[#ALL],[T1]:[T10]],B19),"""")"),"")</f>
        <v/>
      </c>
      <c r="H19" s="201"/>
      <c r="I19" s="272"/>
      <c r="J19" s="273"/>
      <c r="K19" s="202"/>
      <c r="L19" s="202"/>
      <c r="M19" s="202"/>
      <c r="N19" s="202"/>
      <c r="O19" s="202"/>
      <c r="P19" s="201"/>
      <c r="Q19" s="272"/>
      <c r="R19" s="273"/>
      <c r="S19" s="202"/>
      <c r="T19" s="202"/>
      <c r="U19" s="202"/>
      <c r="V19" s="201"/>
      <c r="W19" s="201"/>
    </row>
    <row r="20">
      <c r="A20" s="272"/>
      <c r="B20" s="273"/>
      <c r="C20" s="202"/>
      <c r="D20" s="202"/>
      <c r="E20" s="202"/>
      <c r="F20" s="202"/>
      <c r="G20" s="203" t="str">
        <f>IFERROR(__xludf.DUMMYFUNCTION("IF(ISDATE(B20)=TRUE,COUNTIF(DATAPAKET[[#ALL],[T1]:[T10]],B20),"""")"),"")</f>
        <v/>
      </c>
      <c r="H20" s="201"/>
      <c r="I20" s="272"/>
      <c r="J20" s="273"/>
      <c r="K20" s="202"/>
      <c r="L20" s="202"/>
      <c r="M20" s="202"/>
      <c r="N20" s="202"/>
      <c r="O20" s="202"/>
      <c r="P20" s="201"/>
      <c r="Q20" s="272"/>
      <c r="R20" s="273"/>
      <c r="S20" s="202"/>
      <c r="T20" s="202"/>
      <c r="U20" s="202"/>
      <c r="V20" s="201"/>
      <c r="W20" s="201"/>
    </row>
    <row r="21">
      <c r="A21" s="272"/>
      <c r="B21" s="274"/>
      <c r="C21" s="202"/>
      <c r="D21" s="202"/>
      <c r="E21" s="202"/>
      <c r="F21" s="202"/>
      <c r="G21" s="203"/>
      <c r="H21" s="201"/>
      <c r="I21" s="272"/>
      <c r="J21" s="274"/>
      <c r="K21" s="202"/>
      <c r="L21" s="202"/>
      <c r="M21" s="202"/>
      <c r="N21" s="202"/>
      <c r="O21" s="202"/>
      <c r="P21" s="201"/>
      <c r="Q21" s="272"/>
      <c r="R21" s="275"/>
      <c r="S21" s="202"/>
      <c r="T21" s="202"/>
      <c r="U21" s="202"/>
      <c r="V21" s="201"/>
      <c r="W21" s="201"/>
    </row>
    <row r="22">
      <c r="A22" s="272"/>
      <c r="B22" s="273"/>
      <c r="C22" s="202"/>
      <c r="D22" s="202"/>
      <c r="E22" s="202"/>
      <c r="F22" s="202"/>
      <c r="G22" s="203" t="str">
        <f>IFERROR(__xludf.DUMMYFUNCTION("IF(ISDATE(B22)=TRUE,COUNTIF(DATAPAKET[[#ALL],[T1]:[T10]],B22),"""")"),"")</f>
        <v/>
      </c>
      <c r="H22" s="201"/>
      <c r="I22" s="272"/>
      <c r="J22" s="273"/>
      <c r="K22" s="202"/>
      <c r="L22" s="202"/>
      <c r="M22" s="202"/>
      <c r="N22" s="202"/>
      <c r="O22" s="202"/>
      <c r="P22" s="201"/>
      <c r="Q22" s="272"/>
      <c r="R22" s="273"/>
      <c r="S22" s="202"/>
      <c r="T22" s="202"/>
      <c r="U22" s="202"/>
      <c r="V22" s="201"/>
      <c r="W22" s="201"/>
    </row>
    <row r="23">
      <c r="A23" s="272"/>
      <c r="B23" s="273"/>
      <c r="C23" s="202"/>
      <c r="D23" s="202"/>
      <c r="E23" s="202"/>
      <c r="F23" s="202"/>
      <c r="G23" s="203" t="str">
        <f>IFERROR(__xludf.DUMMYFUNCTION("IF(ISDATE(B23)=TRUE,COUNTIF(DATAPAKET[[#ALL],[T1]:[T10]],B23),"""")"),"")</f>
        <v/>
      </c>
      <c r="H23" s="201"/>
      <c r="I23" s="272"/>
      <c r="J23" s="273"/>
      <c r="K23" s="202"/>
      <c r="L23" s="202"/>
      <c r="M23" s="202"/>
      <c r="N23" s="202"/>
      <c r="O23" s="202"/>
      <c r="P23" s="201"/>
      <c r="Q23" s="202"/>
      <c r="R23" s="273"/>
      <c r="S23" s="202"/>
      <c r="T23" s="202"/>
      <c r="U23" s="202"/>
      <c r="V23" s="201"/>
      <c r="W23" s="201"/>
    </row>
    <row r="24">
      <c r="A24" s="272"/>
      <c r="B24" s="273"/>
      <c r="C24" s="202"/>
      <c r="D24" s="202"/>
      <c r="E24" s="202"/>
      <c r="F24" s="202"/>
      <c r="G24" s="203" t="str">
        <f>IFERROR(__xludf.DUMMYFUNCTION("IF(ISDATE(B24)=TRUE,COUNTIF(DATAPAKET[[#ALL],[T1]:[T10]],B24),"""")"),"")</f>
        <v/>
      </c>
      <c r="H24" s="201"/>
      <c r="I24" s="272"/>
      <c r="J24" s="273"/>
      <c r="K24" s="202"/>
      <c r="L24" s="202"/>
      <c r="M24" s="202"/>
      <c r="N24" s="202"/>
      <c r="O24" s="202"/>
      <c r="P24" s="201"/>
      <c r="Q24" s="202"/>
      <c r="R24" s="273"/>
      <c r="S24" s="202"/>
      <c r="T24" s="202"/>
      <c r="U24" s="202"/>
      <c r="V24" s="201"/>
      <c r="W24" s="201"/>
    </row>
    <row r="25">
      <c r="A25" s="272"/>
      <c r="B25" s="273"/>
      <c r="C25" s="202"/>
      <c r="D25" s="202"/>
      <c r="E25" s="202"/>
      <c r="F25" s="202"/>
      <c r="G25" s="203" t="str">
        <f>IFERROR(__xludf.DUMMYFUNCTION("IF(ISDATE(B25)=TRUE,COUNTIF(DATAPAKET[[#ALL],[T1]:[T10]],B25),"""")"),"")</f>
        <v/>
      </c>
      <c r="H25" s="201"/>
      <c r="I25" s="202"/>
      <c r="J25" s="273"/>
      <c r="K25" s="202"/>
      <c r="L25" s="202"/>
      <c r="M25" s="202"/>
      <c r="N25" s="202"/>
      <c r="O25" s="202"/>
      <c r="P25" s="201"/>
      <c r="Q25" s="202"/>
      <c r="R25" s="273"/>
      <c r="S25" s="202"/>
      <c r="T25" s="202"/>
      <c r="U25" s="202"/>
      <c r="V25" s="201"/>
      <c r="W25" s="201"/>
    </row>
    <row r="26">
      <c r="A26" s="276"/>
      <c r="B26" s="273"/>
      <c r="C26" s="202"/>
      <c r="D26" s="202"/>
      <c r="E26" s="202"/>
      <c r="F26" s="202"/>
      <c r="G26" s="203" t="str">
        <f>IFERROR(__xludf.DUMMYFUNCTION("IF(ISDATE(B26)=TRUE,COUNTIF(DATAPAKET[[#ALL],[T1]:[T10]],B26),"""")"),"")</f>
        <v/>
      </c>
      <c r="H26" s="201"/>
      <c r="I26" s="202"/>
      <c r="J26" s="273"/>
      <c r="K26" s="202"/>
      <c r="L26" s="202"/>
      <c r="M26" s="202"/>
      <c r="N26" s="202"/>
      <c r="O26" s="202"/>
      <c r="P26" s="201"/>
      <c r="Q26" s="202"/>
      <c r="R26" s="273"/>
      <c r="S26" s="202"/>
      <c r="T26" s="202"/>
      <c r="U26" s="202"/>
      <c r="V26" s="201"/>
      <c r="W26" s="201"/>
    </row>
    <row r="27">
      <c r="A27" s="276"/>
      <c r="B27" s="273"/>
      <c r="C27" s="202"/>
      <c r="D27" s="202"/>
      <c r="E27" s="202"/>
      <c r="F27" s="202"/>
      <c r="G27" s="203" t="str">
        <f>IFERROR(__xludf.DUMMYFUNCTION("IF(ISDATE(B27)=TRUE,COUNTIF(DATAPAKET[[#ALL],[T1]:[T10]],B27),"""")"),"")</f>
        <v/>
      </c>
      <c r="H27" s="201"/>
      <c r="I27" s="202"/>
      <c r="J27" s="273"/>
      <c r="K27" s="202"/>
      <c r="L27" s="202"/>
      <c r="M27" s="202"/>
      <c r="N27" s="202"/>
      <c r="O27" s="202"/>
      <c r="P27" s="201"/>
      <c r="Q27" s="202"/>
      <c r="R27" s="273"/>
      <c r="S27" s="202"/>
      <c r="T27" s="202"/>
      <c r="U27" s="202"/>
      <c r="V27" s="201"/>
      <c r="W27" s="201"/>
    </row>
    <row r="28">
      <c r="A28" s="276"/>
      <c r="B28" s="273"/>
      <c r="C28" s="202"/>
      <c r="D28" s="202"/>
      <c r="E28" s="202"/>
      <c r="F28" s="202"/>
      <c r="G28" s="203" t="str">
        <f>IFERROR(__xludf.DUMMYFUNCTION("IF(ISDATE(B28)=TRUE,COUNTIF(DATAPAKET[[#ALL],[T1]:[T10]],B28),"""")"),"")</f>
        <v/>
      </c>
      <c r="H28" s="201"/>
      <c r="I28" s="202"/>
      <c r="J28" s="273"/>
      <c r="K28" s="202"/>
      <c r="L28" s="202"/>
      <c r="M28" s="202"/>
      <c r="N28" s="202"/>
      <c r="O28" s="202"/>
      <c r="P28" s="201"/>
      <c r="Q28" s="202"/>
      <c r="R28" s="273"/>
      <c r="S28" s="202"/>
      <c r="T28" s="202"/>
      <c r="U28" s="202"/>
      <c r="V28" s="201"/>
      <c r="W28" s="201"/>
    </row>
    <row r="29">
      <c r="A29" s="276"/>
      <c r="B29" s="273"/>
      <c r="C29" s="202"/>
      <c r="D29" s="202"/>
      <c r="E29" s="202"/>
      <c r="F29" s="202"/>
      <c r="G29" s="203" t="str">
        <f>IFERROR(__xludf.DUMMYFUNCTION("IF(ISDATE(B29)=TRUE,COUNTIF(DATAPAKET[[#ALL],[T1]:[T10]],B29),"""")"),"")</f>
        <v/>
      </c>
      <c r="H29" s="201"/>
      <c r="I29" s="202"/>
      <c r="J29" s="273"/>
      <c r="K29" s="202"/>
      <c r="L29" s="202"/>
      <c r="M29" s="202"/>
      <c r="N29" s="202"/>
      <c r="O29" s="202"/>
      <c r="P29" s="201"/>
      <c r="Q29" s="202"/>
      <c r="R29" s="273"/>
      <c r="S29" s="202"/>
      <c r="T29" s="202"/>
      <c r="U29" s="202"/>
      <c r="V29" s="201"/>
      <c r="W29" s="201"/>
    </row>
    <row r="30">
      <c r="A30" s="276"/>
      <c r="B30" s="273"/>
      <c r="C30" s="202"/>
      <c r="D30" s="202"/>
      <c r="E30" s="202"/>
      <c r="F30" s="202"/>
      <c r="G30" s="203" t="str">
        <f>IFERROR(__xludf.DUMMYFUNCTION("IF(ISDATE(B30)=TRUE,COUNTIF(DATAPAKET[[#ALL],[T1]:[T10]],B30),"""")"),"")</f>
        <v/>
      </c>
      <c r="H30" s="201"/>
      <c r="I30" s="202"/>
      <c r="J30" s="273"/>
      <c r="K30" s="202"/>
      <c r="L30" s="202"/>
      <c r="M30" s="202"/>
      <c r="N30" s="202"/>
      <c r="O30" s="202"/>
      <c r="P30" s="201"/>
      <c r="Q30" s="202"/>
      <c r="R30" s="273"/>
      <c r="S30" s="202"/>
      <c r="T30" s="202"/>
      <c r="U30" s="202"/>
      <c r="V30" s="201"/>
      <c r="W30" s="201"/>
    </row>
    <row r="31">
      <c r="A31" s="276"/>
      <c r="B31" s="273"/>
      <c r="C31" s="202"/>
      <c r="D31" s="202"/>
      <c r="E31" s="202"/>
      <c r="F31" s="202"/>
      <c r="G31" s="203" t="str">
        <f>IFERROR(__xludf.DUMMYFUNCTION("IF(ISDATE(B31)=TRUE,COUNTIF(DATAPAKET[[#ALL],[T1]:[T10]],B31),"""")"),"")</f>
        <v/>
      </c>
      <c r="H31" s="201"/>
      <c r="I31" s="202"/>
      <c r="J31" s="273"/>
      <c r="K31" s="202"/>
      <c r="L31" s="202"/>
      <c r="M31" s="202"/>
      <c r="N31" s="202"/>
      <c r="O31" s="202"/>
      <c r="P31" s="201"/>
      <c r="Q31" s="202"/>
      <c r="R31" s="273"/>
      <c r="S31" s="202"/>
      <c r="T31" s="202"/>
      <c r="U31" s="202"/>
      <c r="V31" s="201"/>
      <c r="W31" s="201"/>
    </row>
    <row r="32">
      <c r="A32" s="276"/>
      <c r="B32" s="273"/>
      <c r="C32" s="202"/>
      <c r="D32" s="202"/>
      <c r="E32" s="202"/>
      <c r="F32" s="202"/>
      <c r="G32" s="203" t="str">
        <f>IFERROR(__xludf.DUMMYFUNCTION("IF(ISDATE(B32)=TRUE,COUNTIF(DATAPAKET[[#ALL],[T1]:[T10]],B32),"""")"),"")</f>
        <v/>
      </c>
      <c r="H32" s="201"/>
      <c r="I32" s="202"/>
      <c r="J32" s="273"/>
      <c r="K32" s="202"/>
      <c r="L32" s="202"/>
      <c r="M32" s="202"/>
      <c r="N32" s="202"/>
      <c r="O32" s="202"/>
      <c r="P32" s="201"/>
      <c r="Q32" s="202"/>
      <c r="R32" s="273"/>
      <c r="S32" s="202"/>
      <c r="T32" s="202"/>
      <c r="U32" s="202"/>
      <c r="V32" s="201"/>
      <c r="W32" s="201"/>
    </row>
    <row r="33">
      <c r="A33" s="276"/>
      <c r="B33" s="273"/>
      <c r="C33" s="202"/>
      <c r="D33" s="202"/>
      <c r="E33" s="202"/>
      <c r="F33" s="202"/>
      <c r="G33" s="203" t="str">
        <f>IFERROR(__xludf.DUMMYFUNCTION("IF(ISDATE(B33)=TRUE,COUNTIF(DATAPAKET[[#ALL],[T1]:[T10]],B33),"""")"),"")</f>
        <v/>
      </c>
      <c r="H33" s="201"/>
      <c r="I33" s="202"/>
      <c r="J33" s="273"/>
      <c r="K33" s="202"/>
      <c r="L33" s="202"/>
      <c r="M33" s="202"/>
      <c r="N33" s="202"/>
      <c r="O33" s="202"/>
      <c r="P33" s="201"/>
      <c r="Q33" s="202"/>
      <c r="R33" s="273"/>
      <c r="S33" s="202"/>
      <c r="T33" s="202"/>
      <c r="U33" s="202"/>
      <c r="V33" s="201"/>
      <c r="W33" s="201"/>
    </row>
    <row r="34">
      <c r="A34" s="276"/>
      <c r="B34" s="273"/>
      <c r="C34" s="202"/>
      <c r="D34" s="202"/>
      <c r="E34" s="202"/>
      <c r="F34" s="202"/>
      <c r="G34" s="203" t="str">
        <f>IFERROR(__xludf.DUMMYFUNCTION("IF(ISDATE(B34)=TRUE,COUNTIF(DATAPAKET[[#ALL],[T1]:[T10]],B34),"""")"),"")</f>
        <v/>
      </c>
      <c r="H34" s="201"/>
      <c r="I34" s="202"/>
      <c r="J34" s="273"/>
      <c r="K34" s="202"/>
      <c r="L34" s="202"/>
      <c r="M34" s="202"/>
      <c r="N34" s="202"/>
      <c r="O34" s="202"/>
      <c r="P34" s="201"/>
      <c r="Q34" s="202"/>
      <c r="R34" s="273"/>
      <c r="S34" s="202"/>
      <c r="T34" s="202"/>
      <c r="U34" s="202"/>
      <c r="V34" s="201"/>
      <c r="W34" s="201"/>
    </row>
    <row r="35">
      <c r="A35" s="276"/>
      <c r="B35" s="273"/>
      <c r="C35" s="202"/>
      <c r="D35" s="202"/>
      <c r="E35" s="202"/>
      <c r="F35" s="202"/>
      <c r="G35" s="203" t="str">
        <f>IFERROR(__xludf.DUMMYFUNCTION("IF(ISDATE(B35)=TRUE,COUNTIF(DATAPAKET[[#ALL],[T1]:[T10]],B35),"""")"),"")</f>
        <v/>
      </c>
      <c r="H35" s="201"/>
      <c r="I35" s="202"/>
      <c r="J35" s="273"/>
      <c r="K35" s="202"/>
      <c r="L35" s="202"/>
      <c r="M35" s="202"/>
      <c r="N35" s="202"/>
      <c r="O35" s="202"/>
      <c r="P35" s="201"/>
      <c r="Q35" s="202"/>
      <c r="R35" s="273"/>
      <c r="S35" s="202"/>
      <c r="T35" s="202"/>
      <c r="U35" s="202"/>
      <c r="V35" s="201"/>
      <c r="W35" s="201"/>
    </row>
    <row r="36">
      <c r="A36" s="276"/>
      <c r="B36" s="273"/>
      <c r="C36" s="202"/>
      <c r="D36" s="272"/>
      <c r="E36" s="202"/>
      <c r="F36" s="202"/>
      <c r="G36" s="203" t="str">
        <f>IFERROR(__xludf.DUMMYFUNCTION("IF(ISDATE(B36)=TRUE,COUNTIF(DATAPAKET[[#ALL],[T1]:[T10]],B36),"""")"),"")</f>
        <v/>
      </c>
      <c r="H36" s="201"/>
      <c r="I36" s="202"/>
      <c r="J36" s="273"/>
      <c r="K36" s="202"/>
      <c r="L36" s="202"/>
      <c r="M36" s="202"/>
      <c r="N36" s="202"/>
      <c r="O36" s="202"/>
      <c r="P36" s="201"/>
      <c r="Q36" s="202"/>
      <c r="R36" s="273"/>
      <c r="S36" s="202"/>
      <c r="T36" s="202"/>
      <c r="U36" s="202"/>
      <c r="V36" s="201"/>
      <c r="W36" s="201"/>
    </row>
    <row r="37">
      <c r="A37" s="276"/>
      <c r="B37" s="273"/>
      <c r="C37" s="202"/>
      <c r="D37" s="202"/>
      <c r="E37" s="202"/>
      <c r="F37" s="202"/>
      <c r="G37" s="203" t="str">
        <f>IFERROR(__xludf.DUMMYFUNCTION("IF(ISDATE(B37)=TRUE,COUNTIF(DATAPAKET[[#ALL],[T1]:[T10]],B37),"""")"),"")</f>
        <v/>
      </c>
      <c r="H37" s="201"/>
      <c r="I37" s="202"/>
      <c r="J37" s="273"/>
      <c r="K37" s="202"/>
      <c r="L37" s="202"/>
      <c r="M37" s="202"/>
      <c r="N37" s="202"/>
      <c r="O37" s="202"/>
      <c r="P37" s="201"/>
      <c r="Q37" s="202"/>
      <c r="R37" s="273"/>
      <c r="S37" s="202"/>
      <c r="T37" s="202"/>
      <c r="U37" s="202"/>
      <c r="V37" s="201"/>
      <c r="W37" s="201"/>
    </row>
    <row r="38">
      <c r="A38" s="276"/>
      <c r="B38" s="273"/>
      <c r="C38" s="202"/>
      <c r="D38" s="202"/>
      <c r="E38" s="202"/>
      <c r="F38" s="202"/>
      <c r="G38" s="203" t="str">
        <f>IFERROR(__xludf.DUMMYFUNCTION("IF(ISDATE(B38)=TRUE,COUNTIF(DATAPAKET[[#ALL],[T1]:[T10]],B38),"""")"),"")</f>
        <v/>
      </c>
      <c r="H38" s="201"/>
      <c r="I38" s="202"/>
      <c r="J38" s="273"/>
      <c r="K38" s="202"/>
      <c r="L38" s="202"/>
      <c r="M38" s="202"/>
      <c r="N38" s="202"/>
      <c r="O38" s="202"/>
      <c r="P38" s="201"/>
      <c r="Q38" s="202"/>
      <c r="R38" s="273"/>
      <c r="S38" s="202"/>
      <c r="T38" s="202"/>
      <c r="U38" s="202"/>
      <c r="V38" s="201"/>
      <c r="W38" s="201"/>
    </row>
    <row r="39">
      <c r="A39" s="276"/>
      <c r="B39" s="273"/>
      <c r="C39" s="202"/>
      <c r="D39" s="202"/>
      <c r="E39" s="202"/>
      <c r="F39" s="202"/>
      <c r="G39" s="203" t="str">
        <f>IFERROR(__xludf.DUMMYFUNCTION("IF(ISDATE(B39)=TRUE,COUNTIF(DATAPAKET[[#ALL],[T1]:[T10]],B39),"""")"),"")</f>
        <v/>
      </c>
      <c r="H39" s="201"/>
      <c r="I39" s="202"/>
      <c r="J39" s="273"/>
      <c r="K39" s="202"/>
      <c r="L39" s="202"/>
      <c r="M39" s="202"/>
      <c r="N39" s="202"/>
      <c r="O39" s="202"/>
      <c r="P39" s="201"/>
      <c r="Q39" s="202"/>
      <c r="R39" s="273"/>
      <c r="S39" s="202"/>
      <c r="T39" s="202"/>
      <c r="U39" s="202"/>
      <c r="V39" s="201"/>
      <c r="W39" s="201"/>
    </row>
    <row r="40">
      <c r="A40" s="276"/>
      <c r="B40" s="273"/>
      <c r="C40" s="202"/>
      <c r="D40" s="202"/>
      <c r="E40" s="202"/>
      <c r="F40" s="202"/>
      <c r="G40" s="203" t="str">
        <f>IFERROR(__xludf.DUMMYFUNCTION("IF(ISDATE(B40)=TRUE,COUNTIF(DATAPAKET[[#ALL],[T1]:[T10]],B40),"""")"),"")</f>
        <v/>
      </c>
      <c r="H40" s="201"/>
      <c r="I40" s="202"/>
      <c r="J40" s="273"/>
      <c r="K40" s="202"/>
      <c r="L40" s="202"/>
      <c r="M40" s="202"/>
      <c r="N40" s="202"/>
      <c r="O40" s="202"/>
      <c r="P40" s="201"/>
      <c r="Q40" s="202"/>
      <c r="R40" s="273"/>
      <c r="S40" s="202"/>
      <c r="T40" s="202"/>
      <c r="U40" s="202"/>
      <c r="V40" s="201"/>
      <c r="W40" s="201"/>
    </row>
    <row r="41">
      <c r="A41" s="276"/>
      <c r="B41" s="273"/>
      <c r="C41" s="202"/>
      <c r="D41" s="202"/>
      <c r="E41" s="202"/>
      <c r="F41" s="202"/>
      <c r="G41" s="203" t="str">
        <f>IFERROR(__xludf.DUMMYFUNCTION("IF(ISDATE(B41)=TRUE,COUNTIF(DATAPAKET[[#ALL],[T1]:[T10]],B41),"""")"),"")</f>
        <v/>
      </c>
      <c r="H41" s="201"/>
      <c r="I41" s="202"/>
      <c r="J41" s="273"/>
      <c r="K41" s="202"/>
      <c r="L41" s="202"/>
      <c r="M41" s="202"/>
      <c r="N41" s="202"/>
      <c r="O41" s="202"/>
      <c r="P41" s="201"/>
      <c r="Q41" s="202"/>
      <c r="R41" s="273"/>
      <c r="S41" s="202"/>
      <c r="T41" s="202"/>
      <c r="U41" s="202"/>
      <c r="V41" s="201"/>
      <c r="W41" s="201"/>
    </row>
    <row r="42">
      <c r="A42" s="276"/>
      <c r="B42" s="273"/>
      <c r="C42" s="202"/>
      <c r="D42" s="202"/>
      <c r="E42" s="202"/>
      <c r="F42" s="202"/>
      <c r="G42" s="203" t="str">
        <f>IFERROR(__xludf.DUMMYFUNCTION("IF(ISDATE(B42)=TRUE,COUNTIF(DATAPAKET[[#ALL],[T1]:[T10]],B42),"""")"),"")</f>
        <v/>
      </c>
      <c r="H42" s="201"/>
      <c r="I42" s="202"/>
      <c r="J42" s="273"/>
      <c r="K42" s="202"/>
      <c r="L42" s="202"/>
      <c r="M42" s="202"/>
      <c r="N42" s="202"/>
      <c r="O42" s="202"/>
      <c r="P42" s="201"/>
      <c r="Q42" s="202"/>
      <c r="R42" s="273"/>
      <c r="S42" s="202"/>
      <c r="T42" s="202"/>
      <c r="U42" s="202"/>
      <c r="V42" s="201"/>
      <c r="W42" s="201"/>
    </row>
    <row r="43">
      <c r="A43" s="276"/>
      <c r="B43" s="273"/>
      <c r="C43" s="202"/>
      <c r="D43" s="202"/>
      <c r="E43" s="202"/>
      <c r="F43" s="202"/>
      <c r="G43" s="203" t="str">
        <f>IFERROR(__xludf.DUMMYFUNCTION("IF(ISDATE(B43)=TRUE,COUNTIF(DATAPAKET[[#ALL],[T1]:[T10]],B43),"""")"),"")</f>
        <v/>
      </c>
      <c r="H43" s="201"/>
      <c r="I43" s="202"/>
      <c r="J43" s="273"/>
      <c r="K43" s="202"/>
      <c r="L43" s="202"/>
      <c r="M43" s="202"/>
      <c r="N43" s="202"/>
      <c r="O43" s="202"/>
      <c r="P43" s="201"/>
      <c r="Q43" s="202"/>
      <c r="R43" s="273"/>
      <c r="S43" s="202"/>
      <c r="T43" s="202"/>
      <c r="U43" s="202"/>
      <c r="V43" s="201"/>
      <c r="W43" s="201"/>
    </row>
  </sheetData>
  <mergeCells count="2">
    <mergeCell ref="C5:D5"/>
    <mergeCell ref="C6:D6"/>
  </mergeCells>
  <dataValidations>
    <dataValidation type="custom" allowBlank="1" showDropDown="1" sqref="C5:C6">
      <formula1>OR(NOT(ISERROR(DATEVALUE(C5))), AND(ISNUMBER(C5), LEFT(CELL("format", C5))="D"))</formula1>
    </dataValidation>
  </dataValidations>
  <printOptions gridLines="1" horizontalCentered="1"/>
  <pageMargins bottom="0.75" footer="0.0" header="0.0" left="0.7" right="0.7" top="0.75"/>
  <pageSetup fitToHeight="0" paperSize="14" cellComments="atEnd" orientation="landscape" pageOrder="overThenDown"/>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showGridLines="0" workbookViewId="0"/>
  </sheetViews>
  <sheetFormatPr customHeight="1" defaultColWidth="12.63" defaultRowHeight="15.75" outlineLevelCol="1" outlineLevelRow="1"/>
  <cols>
    <col customWidth="1" min="1" max="1" width="2.63"/>
    <col customWidth="1" min="2" max="2" width="17.63" outlineLevel="1"/>
    <col customWidth="1" min="3" max="6" width="10.13" outlineLevel="1"/>
    <col customWidth="1" min="7" max="7" width="2.63"/>
    <col customWidth="1" min="8" max="8" width="17.63" outlineLevel="1"/>
    <col customWidth="1" min="9" max="12" width="10.13" outlineLevel="1"/>
    <col customWidth="1" min="13" max="13" width="2.63"/>
    <col customWidth="1" min="14" max="14" width="17.63" outlineLevel="1"/>
    <col customWidth="1" min="15" max="18" width="10.13" outlineLevel="1"/>
    <col customWidth="1" min="19" max="19" width="2.63"/>
    <col customWidth="1" min="20" max="20" width="17.63" outlineLevel="1"/>
    <col customWidth="1" min="21" max="24" width="10.13" outlineLevel="1"/>
    <col collapsed="1" customWidth="1" min="25" max="25" width="2.63"/>
    <col customWidth="1" hidden="1" min="26" max="26" width="17.63" outlineLevel="1"/>
    <col customWidth="1" hidden="1" min="27" max="30" width="10.13" outlineLevel="1"/>
    <col collapsed="1" customWidth="1" min="31" max="31" width="2.63"/>
    <col customWidth="1" hidden="1" min="32" max="32" width="17.63" outlineLevel="1"/>
    <col customWidth="1" hidden="1" min="33" max="36" width="10.13" outlineLevel="1"/>
  </cols>
  <sheetData>
    <row r="1" ht="7.5" customHeight="1" outlineLevel="1">
      <c r="A1" s="277"/>
      <c r="B1" s="278"/>
      <c r="C1" s="277"/>
      <c r="D1" s="277"/>
      <c r="E1" s="277"/>
      <c r="F1" s="277"/>
      <c r="G1" s="277"/>
      <c r="H1" s="278"/>
      <c r="I1" s="277"/>
      <c r="J1" s="277"/>
      <c r="K1" s="277"/>
      <c r="L1" s="277"/>
      <c r="M1" s="277"/>
      <c r="N1" s="278"/>
      <c r="O1" s="277"/>
      <c r="P1" s="277"/>
      <c r="Q1" s="277"/>
      <c r="R1" s="277"/>
      <c r="S1" s="277"/>
      <c r="T1" s="278"/>
      <c r="U1" s="277"/>
      <c r="V1" s="277"/>
      <c r="W1" s="277"/>
      <c r="X1" s="277"/>
      <c r="Y1" s="277"/>
      <c r="Z1" s="278"/>
      <c r="AA1" s="277"/>
      <c r="AB1" s="277"/>
      <c r="AC1" s="277"/>
      <c r="AD1" s="277"/>
      <c r="AE1" s="277"/>
      <c r="AF1" s="278"/>
      <c r="AG1" s="277"/>
      <c r="AH1" s="277"/>
      <c r="AI1" s="277"/>
      <c r="AJ1" s="277"/>
    </row>
    <row r="2" outlineLevel="1">
      <c r="A2" s="279"/>
      <c r="B2" s="280">
        <v>45962.0</v>
      </c>
      <c r="C2" s="279"/>
      <c r="D2" s="279"/>
      <c r="E2" s="279"/>
      <c r="F2" s="279"/>
      <c r="G2" s="279"/>
      <c r="H2" s="280">
        <v>45992.0</v>
      </c>
      <c r="I2" s="279"/>
      <c r="J2" s="279"/>
      <c r="K2" s="279"/>
      <c r="L2" s="279"/>
      <c r="M2" s="279"/>
      <c r="N2" s="280">
        <v>46000.0</v>
      </c>
      <c r="O2" s="279"/>
      <c r="P2" s="279"/>
      <c r="Q2" s="279"/>
      <c r="R2" s="279"/>
      <c r="S2" s="279"/>
      <c r="T2" s="280">
        <v>46008.0</v>
      </c>
      <c r="U2" s="279"/>
      <c r="V2" s="279"/>
      <c r="W2" s="279"/>
      <c r="X2" s="279"/>
      <c r="Y2" s="279"/>
      <c r="Z2" s="280">
        <v>46016.0</v>
      </c>
      <c r="AA2" s="279"/>
      <c r="AB2" s="279"/>
      <c r="AC2" s="279"/>
      <c r="AD2" s="279"/>
      <c r="AE2" s="279"/>
      <c r="AF2" s="280">
        <v>45962.0</v>
      </c>
      <c r="AG2" s="279"/>
      <c r="AH2" s="279"/>
      <c r="AI2" s="279"/>
      <c r="AJ2" s="279"/>
    </row>
    <row r="3" outlineLevel="1">
      <c r="A3" s="279"/>
      <c r="B3" s="281" t="s">
        <v>1502</v>
      </c>
      <c r="C3" s="279"/>
      <c r="D3" s="279"/>
      <c r="E3" s="279"/>
      <c r="F3" s="279"/>
      <c r="G3" s="279"/>
      <c r="H3" s="281" t="s">
        <v>1502</v>
      </c>
      <c r="I3" s="279"/>
      <c r="J3" s="279"/>
      <c r="K3" s="279"/>
      <c r="L3" s="279"/>
      <c r="M3" s="279"/>
      <c r="N3" s="281" t="s">
        <v>1502</v>
      </c>
      <c r="O3" s="279"/>
      <c r="P3" s="279"/>
      <c r="Q3" s="279"/>
      <c r="R3" s="279"/>
      <c r="S3" s="279"/>
      <c r="T3" s="281" t="s">
        <v>1502</v>
      </c>
      <c r="U3" s="279"/>
      <c r="V3" s="279"/>
      <c r="W3" s="279"/>
      <c r="X3" s="279"/>
      <c r="Y3" s="279"/>
      <c r="Z3" s="281" t="s">
        <v>1502</v>
      </c>
      <c r="AA3" s="279"/>
      <c r="AB3" s="279"/>
      <c r="AC3" s="279"/>
      <c r="AD3" s="279"/>
      <c r="AE3" s="279"/>
      <c r="AF3" s="281" t="s">
        <v>1502</v>
      </c>
      <c r="AG3" s="279"/>
      <c r="AH3" s="279"/>
      <c r="AI3" s="279"/>
      <c r="AJ3" s="279"/>
    </row>
    <row r="4" outlineLevel="1">
      <c r="A4" s="279"/>
      <c r="B4" s="280">
        <v>45991.0</v>
      </c>
      <c r="C4" s="279"/>
      <c r="D4" s="279"/>
      <c r="E4" s="279"/>
      <c r="F4" s="279"/>
      <c r="G4" s="279"/>
      <c r="H4" s="280">
        <v>45999.0</v>
      </c>
      <c r="I4" s="279"/>
      <c r="J4" s="279"/>
      <c r="K4" s="279"/>
      <c r="L4" s="279"/>
      <c r="M4" s="279"/>
      <c r="N4" s="280">
        <v>46007.0</v>
      </c>
      <c r="O4" s="279"/>
      <c r="P4" s="279"/>
      <c r="Q4" s="279"/>
      <c r="R4" s="279"/>
      <c r="S4" s="279"/>
      <c r="T4" s="280">
        <v>46015.0</v>
      </c>
      <c r="U4" s="279"/>
      <c r="V4" s="279"/>
      <c r="W4" s="279"/>
      <c r="X4" s="279"/>
      <c r="Y4" s="279"/>
      <c r="Z4" s="282">
        <v>46022.0</v>
      </c>
      <c r="AA4" s="279"/>
      <c r="AB4" s="279"/>
      <c r="AC4" s="279"/>
      <c r="AD4" s="279"/>
      <c r="AE4" s="279"/>
      <c r="AF4" s="280">
        <v>45991.0</v>
      </c>
      <c r="AG4" s="279"/>
      <c r="AH4" s="279"/>
      <c r="AI4" s="279"/>
      <c r="AJ4" s="279"/>
    </row>
    <row r="5" ht="7.5" customHeight="1" outlineLevel="1">
      <c r="A5" s="277"/>
      <c r="B5" s="278"/>
      <c r="C5" s="277"/>
      <c r="D5" s="277"/>
      <c r="E5" s="277"/>
      <c r="F5" s="277"/>
      <c r="G5" s="277"/>
      <c r="H5" s="278"/>
      <c r="I5" s="277"/>
      <c r="J5" s="277"/>
      <c r="K5" s="277"/>
      <c r="L5" s="277"/>
      <c r="M5" s="277"/>
      <c r="N5" s="278"/>
      <c r="O5" s="277"/>
      <c r="P5" s="277"/>
      <c r="Q5" s="277"/>
      <c r="R5" s="277"/>
      <c r="S5" s="277"/>
      <c r="T5" s="278"/>
      <c r="U5" s="277"/>
      <c r="V5" s="277"/>
      <c r="W5" s="277"/>
      <c r="X5" s="277"/>
      <c r="Y5" s="277"/>
      <c r="Z5" s="278"/>
      <c r="AA5" s="277"/>
      <c r="AB5" s="277"/>
      <c r="AC5" s="277"/>
      <c r="AD5" s="277"/>
      <c r="AE5" s="277"/>
      <c r="AF5" s="278"/>
      <c r="AG5" s="277"/>
      <c r="AH5" s="277"/>
      <c r="AI5" s="277"/>
      <c r="AJ5" s="277"/>
    </row>
    <row r="6">
      <c r="A6" s="283"/>
      <c r="B6" s="284" t="s">
        <v>1503</v>
      </c>
      <c r="C6" s="283"/>
      <c r="D6" s="283"/>
      <c r="E6" s="283"/>
      <c r="F6" s="283"/>
      <c r="G6" s="283"/>
      <c r="H6" s="284" t="s">
        <v>1504</v>
      </c>
      <c r="I6" s="283"/>
      <c r="J6" s="283"/>
      <c r="K6" s="283"/>
      <c r="L6" s="283"/>
      <c r="M6" s="283"/>
      <c r="N6" s="284" t="s">
        <v>1505</v>
      </c>
      <c r="O6" s="283"/>
      <c r="P6" s="283"/>
      <c r="Q6" s="283"/>
      <c r="R6" s="283"/>
      <c r="S6" s="283"/>
      <c r="T6" s="284" t="s">
        <v>1506</v>
      </c>
      <c r="U6" s="283"/>
      <c r="V6" s="283"/>
      <c r="W6" s="283"/>
      <c r="X6" s="283"/>
      <c r="Y6" s="283"/>
      <c r="Z6" s="284" t="s">
        <v>1507</v>
      </c>
      <c r="AA6" s="283"/>
      <c r="AB6" s="283"/>
      <c r="AC6" s="283"/>
      <c r="AD6" s="283"/>
      <c r="AE6" s="283"/>
      <c r="AF6" s="284" t="s">
        <v>1508</v>
      </c>
      <c r="AG6" s="283"/>
      <c r="AH6" s="283"/>
      <c r="AI6" s="283"/>
      <c r="AJ6" s="283"/>
    </row>
    <row r="7" ht="7.5" customHeight="1">
      <c r="A7" s="285"/>
      <c r="B7" s="286"/>
      <c r="C7" s="285"/>
      <c r="D7" s="285"/>
      <c r="E7" s="285"/>
      <c r="F7" s="285"/>
      <c r="G7" s="285"/>
      <c r="H7" s="286"/>
      <c r="I7" s="285"/>
      <c r="J7" s="285"/>
      <c r="K7" s="285"/>
      <c r="L7" s="285"/>
      <c r="M7" s="285"/>
      <c r="N7" s="286"/>
      <c r="O7" s="285"/>
      <c r="P7" s="285"/>
      <c r="Q7" s="285"/>
      <c r="R7" s="285"/>
      <c r="S7" s="285"/>
      <c r="T7" s="286"/>
      <c r="U7" s="285"/>
      <c r="V7" s="285"/>
      <c r="W7" s="285"/>
      <c r="X7" s="285"/>
      <c r="Y7" s="285"/>
      <c r="Z7" s="286"/>
      <c r="AA7" s="285"/>
      <c r="AB7" s="285"/>
      <c r="AC7" s="285"/>
      <c r="AD7" s="285"/>
      <c r="AE7" s="285"/>
      <c r="AF7" s="286"/>
      <c r="AG7" s="285"/>
      <c r="AH7" s="285"/>
      <c r="AI7" s="285"/>
      <c r="AJ7" s="285"/>
    </row>
    <row r="8">
      <c r="A8" s="287"/>
      <c r="B8" s="288" t="s">
        <v>1509</v>
      </c>
      <c r="C8" s="288" t="s">
        <v>820</v>
      </c>
      <c r="D8" s="288"/>
      <c r="E8" s="288"/>
      <c r="F8" s="288"/>
      <c r="G8" s="287"/>
      <c r="H8" s="288" t="s">
        <v>1510</v>
      </c>
      <c r="I8" s="288" t="s">
        <v>820</v>
      </c>
      <c r="J8" s="288"/>
      <c r="K8" s="288"/>
      <c r="L8" s="288"/>
      <c r="M8" s="287"/>
      <c r="N8" s="288" t="s">
        <v>1511</v>
      </c>
      <c r="O8" s="288" t="s">
        <v>820</v>
      </c>
      <c r="P8" s="288"/>
      <c r="Q8" s="288"/>
      <c r="R8" s="288"/>
      <c r="S8" s="287"/>
      <c r="T8" s="288" t="s">
        <v>1512</v>
      </c>
      <c r="U8" s="288" t="s">
        <v>820</v>
      </c>
      <c r="V8" s="288"/>
      <c r="W8" s="288"/>
      <c r="X8" s="288"/>
      <c r="Y8" s="287"/>
      <c r="AB8" s="288"/>
      <c r="AC8" s="288"/>
      <c r="AD8" s="288"/>
      <c r="AE8" s="287"/>
      <c r="AH8" s="288"/>
      <c r="AI8" s="288"/>
      <c r="AJ8" s="288"/>
    </row>
    <row r="9">
      <c r="A9" s="287"/>
      <c r="B9" s="288" t="s">
        <v>38</v>
      </c>
      <c r="C9" s="289" t="s">
        <v>830</v>
      </c>
      <c r="D9" s="289" t="s">
        <v>827</v>
      </c>
      <c r="E9" s="289" t="s">
        <v>834</v>
      </c>
      <c r="F9" s="289" t="s">
        <v>25</v>
      </c>
      <c r="G9" s="287"/>
      <c r="H9" s="288" t="s">
        <v>38</v>
      </c>
      <c r="I9" s="289" t="s">
        <v>830</v>
      </c>
      <c r="J9" s="289" t="s">
        <v>827</v>
      </c>
      <c r="K9" s="289" t="s">
        <v>834</v>
      </c>
      <c r="L9" s="289" t="s">
        <v>25</v>
      </c>
      <c r="M9" s="287"/>
      <c r="N9" s="288" t="s">
        <v>38</v>
      </c>
      <c r="O9" s="289" t="s">
        <v>830</v>
      </c>
      <c r="P9" s="289" t="s">
        <v>827</v>
      </c>
      <c r="Q9" s="289" t="s">
        <v>834</v>
      </c>
      <c r="R9" s="289" t="s">
        <v>25</v>
      </c>
      <c r="S9" s="287"/>
      <c r="T9" s="288" t="s">
        <v>38</v>
      </c>
      <c r="U9" s="289" t="s">
        <v>830</v>
      </c>
      <c r="V9" s="289" t="s">
        <v>827</v>
      </c>
      <c r="W9" s="289" t="s">
        <v>834</v>
      </c>
      <c r="X9" s="289" t="s">
        <v>25</v>
      </c>
      <c r="Y9" s="287"/>
      <c r="AB9" s="289"/>
      <c r="AC9" s="289"/>
      <c r="AD9" s="289"/>
      <c r="AE9" s="287"/>
      <c r="AH9" s="289"/>
      <c r="AI9" s="289"/>
      <c r="AJ9" s="289"/>
    </row>
    <row r="10">
      <c r="A10" s="287"/>
      <c r="B10" s="288" t="s">
        <v>91</v>
      </c>
      <c r="C10" s="288">
        <v>0.5</v>
      </c>
      <c r="D10" s="288">
        <v>0.16666666666666666</v>
      </c>
      <c r="E10" s="288">
        <v>0.3333333333333333</v>
      </c>
      <c r="F10" s="288">
        <v>1.0</v>
      </c>
      <c r="G10" s="287"/>
      <c r="H10" s="288" t="s">
        <v>91</v>
      </c>
      <c r="I10" s="288"/>
      <c r="J10" s="288">
        <v>0.3333333333333333</v>
      </c>
      <c r="K10" s="288">
        <v>0.6666666666666666</v>
      </c>
      <c r="L10" s="288">
        <v>1.0</v>
      </c>
      <c r="M10" s="287"/>
      <c r="N10" s="288" t="s">
        <v>91</v>
      </c>
      <c r="O10" s="288">
        <v>0.3333333333333333</v>
      </c>
      <c r="P10" s="288">
        <v>0.3333333333333333</v>
      </c>
      <c r="Q10" s="288">
        <v>0.3333333333333333</v>
      </c>
      <c r="R10" s="288">
        <v>1.0</v>
      </c>
      <c r="S10" s="287"/>
      <c r="T10" s="288" t="s">
        <v>91</v>
      </c>
      <c r="U10" s="288">
        <v>0.2</v>
      </c>
      <c r="V10" s="288"/>
      <c r="W10" s="288">
        <v>0.8</v>
      </c>
      <c r="X10" s="288">
        <v>1.0</v>
      </c>
      <c r="Y10" s="287"/>
      <c r="AB10" s="288"/>
      <c r="AC10" s="288"/>
      <c r="AD10" s="288"/>
      <c r="AE10" s="287"/>
      <c r="AH10" s="288"/>
      <c r="AI10" s="288"/>
      <c r="AJ10" s="288"/>
    </row>
    <row r="11">
      <c r="A11" s="287"/>
      <c r="B11" s="288" t="s">
        <v>62</v>
      </c>
      <c r="C11" s="288">
        <v>0.625</v>
      </c>
      <c r="D11" s="288">
        <v>0.375</v>
      </c>
      <c r="E11" s="288"/>
      <c r="F11" s="288">
        <v>1.0</v>
      </c>
      <c r="G11" s="287"/>
      <c r="H11" s="288" t="s">
        <v>62</v>
      </c>
      <c r="I11" s="288">
        <v>0.5</v>
      </c>
      <c r="J11" s="288">
        <v>0.5</v>
      </c>
      <c r="K11" s="288"/>
      <c r="L11" s="288">
        <v>1.0</v>
      </c>
      <c r="M11" s="287"/>
      <c r="N11" s="288" t="s">
        <v>62</v>
      </c>
      <c r="O11" s="288">
        <v>0.6666666666666666</v>
      </c>
      <c r="P11" s="288"/>
      <c r="Q11" s="288">
        <v>0.3333333333333333</v>
      </c>
      <c r="R11" s="288">
        <v>1.0</v>
      </c>
      <c r="S11" s="287"/>
      <c r="T11" s="288" t="s">
        <v>62</v>
      </c>
      <c r="U11" s="288"/>
      <c r="V11" s="288"/>
      <c r="W11" s="288">
        <v>1.0</v>
      </c>
      <c r="X11" s="288">
        <v>1.0</v>
      </c>
      <c r="Y11" s="287"/>
      <c r="Z11" s="288"/>
      <c r="AA11" s="288"/>
      <c r="AB11" s="288"/>
      <c r="AC11" s="288"/>
      <c r="AD11" s="288"/>
      <c r="AE11" s="287"/>
      <c r="AF11" s="288"/>
      <c r="AG11" s="288"/>
      <c r="AH11" s="288"/>
      <c r="AI11" s="288"/>
      <c r="AJ11" s="288"/>
    </row>
    <row r="12">
      <c r="A12" s="287"/>
      <c r="B12" s="288" t="s">
        <v>72</v>
      </c>
      <c r="C12" s="288">
        <v>0.2857142857142857</v>
      </c>
      <c r="D12" s="288">
        <v>0.14285714285714285</v>
      </c>
      <c r="E12" s="288">
        <v>0.5714285714285714</v>
      </c>
      <c r="F12" s="288">
        <v>1.0</v>
      </c>
      <c r="G12" s="287"/>
      <c r="H12" s="288" t="s">
        <v>72</v>
      </c>
      <c r="I12" s="288">
        <v>0.16666666666666666</v>
      </c>
      <c r="J12" s="288">
        <v>0.16666666666666666</v>
      </c>
      <c r="K12" s="288">
        <v>0.6666666666666666</v>
      </c>
      <c r="L12" s="288">
        <v>1.0</v>
      </c>
      <c r="M12" s="287"/>
      <c r="N12" s="288" t="s">
        <v>72</v>
      </c>
      <c r="O12" s="288"/>
      <c r="P12" s="288">
        <v>0.4</v>
      </c>
      <c r="Q12" s="288">
        <v>0.6</v>
      </c>
      <c r="R12" s="288">
        <v>1.0</v>
      </c>
      <c r="S12" s="287"/>
      <c r="T12" s="288" t="s">
        <v>72</v>
      </c>
      <c r="U12" s="288">
        <v>0.25</v>
      </c>
      <c r="V12" s="288">
        <v>0.75</v>
      </c>
      <c r="W12" s="288"/>
      <c r="X12" s="288">
        <v>1.0</v>
      </c>
      <c r="Y12" s="287"/>
      <c r="Z12" s="288"/>
      <c r="AA12" s="288"/>
      <c r="AB12" s="288"/>
      <c r="AC12" s="288"/>
      <c r="AD12" s="288"/>
      <c r="AE12" s="287"/>
      <c r="AF12" s="288"/>
      <c r="AG12" s="288"/>
      <c r="AH12" s="288"/>
      <c r="AI12" s="288"/>
      <c r="AJ12" s="288"/>
    </row>
    <row r="13">
      <c r="A13" s="287"/>
      <c r="B13" s="288" t="s">
        <v>79</v>
      </c>
      <c r="C13" s="288">
        <v>0.125</v>
      </c>
      <c r="D13" s="288">
        <v>0.375</v>
      </c>
      <c r="E13" s="288">
        <v>0.5</v>
      </c>
      <c r="F13" s="288">
        <v>1.0</v>
      </c>
      <c r="G13" s="287"/>
      <c r="H13" s="288" t="s">
        <v>79</v>
      </c>
      <c r="I13" s="288">
        <v>0.5</v>
      </c>
      <c r="J13" s="288"/>
      <c r="K13" s="288">
        <v>0.5</v>
      </c>
      <c r="L13" s="288">
        <v>1.0</v>
      </c>
      <c r="M13" s="287"/>
      <c r="N13" s="288" t="s">
        <v>79</v>
      </c>
      <c r="O13" s="288">
        <v>0.375</v>
      </c>
      <c r="P13" s="288">
        <v>0.125</v>
      </c>
      <c r="Q13" s="288">
        <v>0.5</v>
      </c>
      <c r="R13" s="288">
        <v>1.0</v>
      </c>
      <c r="S13" s="287"/>
      <c r="T13" s="288" t="s">
        <v>79</v>
      </c>
      <c r="U13" s="288"/>
      <c r="V13" s="288">
        <v>1.0</v>
      </c>
      <c r="W13" s="288"/>
      <c r="X13" s="288">
        <v>1.0</v>
      </c>
      <c r="Y13" s="287"/>
      <c r="Z13" s="288"/>
      <c r="AA13" s="288"/>
      <c r="AB13" s="288"/>
      <c r="AC13" s="288"/>
      <c r="AD13" s="288"/>
      <c r="AE13" s="287"/>
      <c r="AF13" s="288"/>
      <c r="AG13" s="288"/>
      <c r="AH13" s="288"/>
      <c r="AI13" s="288"/>
      <c r="AJ13" s="288"/>
    </row>
    <row r="14">
      <c r="A14" s="287"/>
      <c r="B14" s="288" t="s">
        <v>88</v>
      </c>
      <c r="C14" s="288">
        <v>0.2</v>
      </c>
      <c r="D14" s="288">
        <v>0.4</v>
      </c>
      <c r="E14" s="288">
        <v>0.4</v>
      </c>
      <c r="F14" s="288">
        <v>1.0</v>
      </c>
      <c r="G14" s="287"/>
      <c r="H14" s="288" t="s">
        <v>88</v>
      </c>
      <c r="I14" s="288">
        <v>0.42857142857142855</v>
      </c>
      <c r="J14" s="288">
        <v>0.14285714285714285</v>
      </c>
      <c r="K14" s="288">
        <v>0.42857142857142855</v>
      </c>
      <c r="L14" s="288">
        <v>1.0</v>
      </c>
      <c r="M14" s="287"/>
      <c r="N14" s="288" t="s">
        <v>88</v>
      </c>
      <c r="O14" s="288">
        <v>0.16666666666666666</v>
      </c>
      <c r="P14" s="288">
        <v>0.3333333333333333</v>
      </c>
      <c r="Q14" s="288">
        <v>0.5</v>
      </c>
      <c r="R14" s="288">
        <v>1.0</v>
      </c>
      <c r="S14" s="287"/>
      <c r="T14" s="288" t="s">
        <v>88</v>
      </c>
      <c r="U14" s="288">
        <v>0.75</v>
      </c>
      <c r="V14" s="288"/>
      <c r="W14" s="288">
        <v>0.25</v>
      </c>
      <c r="X14" s="288">
        <v>1.0</v>
      </c>
      <c r="Y14" s="287"/>
      <c r="Z14" s="288"/>
      <c r="AA14" s="288"/>
      <c r="AB14" s="288"/>
      <c r="AC14" s="288"/>
      <c r="AD14" s="288"/>
      <c r="AE14" s="287"/>
      <c r="AF14" s="288"/>
      <c r="AG14" s="288"/>
      <c r="AH14" s="288"/>
      <c r="AI14" s="288"/>
      <c r="AJ14" s="288"/>
    </row>
    <row r="15">
      <c r="A15" s="287"/>
      <c r="B15" s="288" t="s">
        <v>107</v>
      </c>
      <c r="C15" s="288">
        <v>0.625</v>
      </c>
      <c r="D15" s="288">
        <v>0.375</v>
      </c>
      <c r="E15" s="288"/>
      <c r="F15" s="288">
        <v>1.0</v>
      </c>
      <c r="G15" s="287"/>
      <c r="H15" s="288" t="s">
        <v>107</v>
      </c>
      <c r="I15" s="288"/>
      <c r="J15" s="288"/>
      <c r="K15" s="288">
        <v>1.0</v>
      </c>
      <c r="L15" s="288">
        <v>1.0</v>
      </c>
      <c r="M15" s="287"/>
      <c r="N15" s="288" t="s">
        <v>107</v>
      </c>
      <c r="O15" s="288"/>
      <c r="P15" s="288">
        <v>1.0</v>
      </c>
      <c r="Q15" s="288"/>
      <c r="R15" s="288">
        <v>1.0</v>
      </c>
      <c r="S15" s="287"/>
      <c r="T15" s="288" t="s">
        <v>107</v>
      </c>
      <c r="U15" s="288"/>
      <c r="V15" s="288"/>
      <c r="W15" s="288">
        <v>1.0</v>
      </c>
      <c r="X15" s="288">
        <v>1.0</v>
      </c>
      <c r="Y15" s="287"/>
      <c r="Z15" s="288"/>
      <c r="AA15" s="288"/>
      <c r="AB15" s="288"/>
      <c r="AC15" s="288"/>
      <c r="AD15" s="288"/>
      <c r="AE15" s="287"/>
      <c r="AF15" s="288"/>
      <c r="AG15" s="288"/>
      <c r="AH15" s="288"/>
      <c r="AI15" s="288"/>
      <c r="AJ15" s="288"/>
    </row>
    <row r="16">
      <c r="A16" s="287"/>
      <c r="B16" s="288" t="s">
        <v>56</v>
      </c>
      <c r="C16" s="288">
        <v>0.1111111111111111</v>
      </c>
      <c r="D16" s="288"/>
      <c r="E16" s="288">
        <v>0.8888888888888888</v>
      </c>
      <c r="F16" s="288">
        <v>1.0</v>
      </c>
      <c r="G16" s="287"/>
      <c r="H16" s="288" t="s">
        <v>56</v>
      </c>
      <c r="I16" s="288">
        <v>0.6</v>
      </c>
      <c r="J16" s="288"/>
      <c r="K16" s="288">
        <v>0.4</v>
      </c>
      <c r="L16" s="288">
        <v>1.0</v>
      </c>
      <c r="M16" s="287"/>
      <c r="N16" s="288" t="s">
        <v>56</v>
      </c>
      <c r="O16" s="288"/>
      <c r="P16" s="288">
        <v>0.6666666666666666</v>
      </c>
      <c r="Q16" s="288">
        <v>0.3333333333333333</v>
      </c>
      <c r="R16" s="288">
        <v>1.0</v>
      </c>
      <c r="S16" s="287"/>
      <c r="T16" s="288" t="s">
        <v>56</v>
      </c>
      <c r="U16" s="288">
        <v>0.5</v>
      </c>
      <c r="V16" s="288"/>
      <c r="W16" s="288">
        <v>0.5</v>
      </c>
      <c r="X16" s="288">
        <v>1.0</v>
      </c>
      <c r="Y16" s="287"/>
      <c r="Z16" s="288"/>
      <c r="AA16" s="288"/>
      <c r="AB16" s="288"/>
      <c r="AC16" s="288"/>
      <c r="AD16" s="288"/>
      <c r="AE16" s="287"/>
      <c r="AF16" s="288"/>
      <c r="AG16" s="288"/>
      <c r="AH16" s="288"/>
      <c r="AI16" s="288"/>
      <c r="AJ16" s="288"/>
    </row>
    <row r="17">
      <c r="A17" s="287"/>
      <c r="B17" s="288" t="s">
        <v>25</v>
      </c>
      <c r="C17" s="288">
        <v>0.3392857142857143</v>
      </c>
      <c r="D17" s="288">
        <v>0.26785714285714285</v>
      </c>
      <c r="E17" s="288">
        <v>0.39285714285714285</v>
      </c>
      <c r="F17" s="288">
        <v>1.0</v>
      </c>
      <c r="G17" s="287"/>
      <c r="H17" s="288" t="s">
        <v>25</v>
      </c>
      <c r="I17" s="288">
        <v>0.30303030303030304</v>
      </c>
      <c r="J17" s="288">
        <v>0.15151515151515152</v>
      </c>
      <c r="K17" s="288">
        <v>0.5454545454545454</v>
      </c>
      <c r="L17" s="288">
        <v>1.0</v>
      </c>
      <c r="M17" s="287"/>
      <c r="N17" s="288" t="s">
        <v>25</v>
      </c>
      <c r="O17" s="288">
        <v>0.23333333333333334</v>
      </c>
      <c r="P17" s="288">
        <v>0.3333333333333333</v>
      </c>
      <c r="Q17" s="288">
        <v>0.43333333333333335</v>
      </c>
      <c r="R17" s="288">
        <v>1.0</v>
      </c>
      <c r="S17" s="287"/>
      <c r="T17" s="288" t="s">
        <v>25</v>
      </c>
      <c r="U17" s="288">
        <v>0.3333333333333333</v>
      </c>
      <c r="V17" s="288">
        <v>0.23809523809523808</v>
      </c>
      <c r="W17" s="288">
        <v>0.42857142857142855</v>
      </c>
      <c r="X17" s="288">
        <v>1.0</v>
      </c>
      <c r="Y17" s="287"/>
      <c r="Z17" s="288"/>
      <c r="AA17" s="288"/>
      <c r="AB17" s="288"/>
      <c r="AC17" s="288"/>
      <c r="AD17" s="288"/>
      <c r="AE17" s="287"/>
      <c r="AF17" s="288"/>
      <c r="AG17" s="288"/>
      <c r="AH17" s="288"/>
      <c r="AI17" s="288"/>
      <c r="AJ17" s="288"/>
    </row>
    <row r="18">
      <c r="A18" s="287"/>
      <c r="B18" s="288"/>
      <c r="C18" s="288"/>
      <c r="D18" s="288"/>
      <c r="E18" s="288"/>
      <c r="F18" s="288"/>
      <c r="G18" s="287"/>
      <c r="H18" s="288"/>
      <c r="I18" s="288"/>
      <c r="J18" s="288"/>
      <c r="K18" s="288"/>
      <c r="L18" s="288"/>
      <c r="M18" s="287"/>
      <c r="N18" s="288"/>
      <c r="O18" s="288"/>
      <c r="P18" s="288"/>
      <c r="Q18" s="288"/>
      <c r="R18" s="288"/>
      <c r="S18" s="287"/>
      <c r="T18" s="288"/>
      <c r="U18" s="288"/>
      <c r="V18" s="288"/>
      <c r="W18" s="288"/>
      <c r="X18" s="288"/>
      <c r="Y18" s="287"/>
      <c r="Z18" s="288"/>
      <c r="AA18" s="288"/>
      <c r="AB18" s="288"/>
      <c r="AC18" s="288"/>
      <c r="AD18" s="288"/>
      <c r="AE18" s="287"/>
      <c r="AF18" s="288"/>
      <c r="AG18" s="288"/>
      <c r="AH18" s="288"/>
      <c r="AI18" s="288"/>
      <c r="AJ18" s="288"/>
    </row>
    <row r="19">
      <c r="A19" s="287"/>
      <c r="B19" s="288" t="s">
        <v>1509</v>
      </c>
      <c r="C19" s="288" t="s">
        <v>820</v>
      </c>
      <c r="D19" s="288"/>
      <c r="E19" s="288"/>
      <c r="F19" s="288"/>
      <c r="G19" s="287"/>
      <c r="H19" s="288" t="s">
        <v>1510</v>
      </c>
      <c r="I19" s="288" t="s">
        <v>820</v>
      </c>
      <c r="J19" s="288"/>
      <c r="K19" s="288"/>
      <c r="L19" s="288"/>
      <c r="M19" s="287"/>
      <c r="N19" s="288" t="s">
        <v>1511</v>
      </c>
      <c r="O19" s="288" t="s">
        <v>820</v>
      </c>
      <c r="P19" s="288"/>
      <c r="Q19" s="288"/>
      <c r="R19" s="288"/>
      <c r="S19" s="287"/>
      <c r="T19" s="288" t="s">
        <v>1512</v>
      </c>
      <c r="U19" s="288" t="s">
        <v>820</v>
      </c>
      <c r="V19" s="288"/>
      <c r="W19" s="288"/>
      <c r="X19" s="288"/>
      <c r="Y19" s="287"/>
      <c r="AB19" s="288"/>
      <c r="AC19" s="288"/>
      <c r="AD19" s="288"/>
      <c r="AE19" s="287"/>
      <c r="AH19" s="288"/>
      <c r="AI19" s="288"/>
      <c r="AJ19" s="288"/>
    </row>
    <row r="20">
      <c r="A20" s="287"/>
      <c r="B20" s="288" t="s">
        <v>32</v>
      </c>
      <c r="C20" s="289" t="s">
        <v>830</v>
      </c>
      <c r="D20" s="289" t="s">
        <v>827</v>
      </c>
      <c r="E20" s="289" t="s">
        <v>834</v>
      </c>
      <c r="F20" s="289" t="s">
        <v>25</v>
      </c>
      <c r="G20" s="287"/>
      <c r="H20" s="288" t="s">
        <v>32</v>
      </c>
      <c r="I20" s="289" t="s">
        <v>830</v>
      </c>
      <c r="J20" s="289" t="s">
        <v>827</v>
      </c>
      <c r="K20" s="289" t="s">
        <v>834</v>
      </c>
      <c r="L20" s="289" t="s">
        <v>25</v>
      </c>
      <c r="M20" s="287"/>
      <c r="N20" s="288" t="s">
        <v>32</v>
      </c>
      <c r="O20" s="289" t="s">
        <v>830</v>
      </c>
      <c r="P20" s="289" t="s">
        <v>827</v>
      </c>
      <c r="Q20" s="289" t="s">
        <v>834</v>
      </c>
      <c r="R20" s="289" t="s">
        <v>25</v>
      </c>
      <c r="S20" s="287"/>
      <c r="T20" s="288" t="s">
        <v>32</v>
      </c>
      <c r="U20" s="289" t="s">
        <v>830</v>
      </c>
      <c r="V20" s="289" t="s">
        <v>827</v>
      </c>
      <c r="W20" s="289" t="s">
        <v>834</v>
      </c>
      <c r="X20" s="289" t="s">
        <v>25</v>
      </c>
      <c r="Y20" s="287"/>
      <c r="AB20" s="289"/>
      <c r="AC20" s="289"/>
      <c r="AD20" s="289"/>
      <c r="AE20" s="287"/>
      <c r="AH20" s="289"/>
      <c r="AI20" s="289"/>
      <c r="AJ20" s="289"/>
    </row>
    <row r="21">
      <c r="A21" s="287"/>
      <c r="B21" s="288" t="s">
        <v>53</v>
      </c>
      <c r="C21" s="288">
        <v>0.2903225806451613</v>
      </c>
      <c r="D21" s="288">
        <v>0.2903225806451613</v>
      </c>
      <c r="E21" s="288">
        <v>0.41935483870967744</v>
      </c>
      <c r="F21" s="288">
        <v>1.0</v>
      </c>
      <c r="G21" s="287"/>
      <c r="H21" s="288" t="s">
        <v>53</v>
      </c>
      <c r="I21" s="288">
        <v>0.3333333333333333</v>
      </c>
      <c r="J21" s="288">
        <v>0.14814814814814814</v>
      </c>
      <c r="K21" s="288">
        <v>0.5185185185185185</v>
      </c>
      <c r="L21" s="288">
        <v>1.0</v>
      </c>
      <c r="M21" s="287"/>
      <c r="N21" s="288" t="s">
        <v>53</v>
      </c>
      <c r="O21" s="288">
        <v>0.125</v>
      </c>
      <c r="P21" s="288">
        <v>0.375</v>
      </c>
      <c r="Q21" s="288">
        <v>0.5</v>
      </c>
      <c r="R21" s="288">
        <v>1.0</v>
      </c>
      <c r="S21" s="287"/>
      <c r="T21" s="288" t="s">
        <v>53</v>
      </c>
      <c r="U21" s="288">
        <v>0.3</v>
      </c>
      <c r="V21" s="288">
        <v>0.1</v>
      </c>
      <c r="W21" s="288">
        <v>0.6</v>
      </c>
      <c r="X21" s="288">
        <v>1.0</v>
      </c>
      <c r="Y21" s="287"/>
      <c r="AB21" s="288"/>
      <c r="AC21" s="288"/>
      <c r="AD21" s="288"/>
      <c r="AE21" s="287"/>
      <c r="AH21" s="288"/>
      <c r="AI21" s="288"/>
      <c r="AJ21" s="288"/>
    </row>
    <row r="22">
      <c r="A22" s="287"/>
      <c r="B22" s="288" t="s">
        <v>85</v>
      </c>
      <c r="C22" s="288">
        <v>0.4</v>
      </c>
      <c r="D22" s="288">
        <v>0.24</v>
      </c>
      <c r="E22" s="288">
        <v>0.36</v>
      </c>
      <c r="F22" s="288">
        <v>1.0</v>
      </c>
      <c r="G22" s="287"/>
      <c r="H22" s="288" t="s">
        <v>85</v>
      </c>
      <c r="I22" s="288">
        <v>0.16666666666666666</v>
      </c>
      <c r="J22" s="288">
        <v>0.16666666666666666</v>
      </c>
      <c r="K22" s="288">
        <v>0.6666666666666666</v>
      </c>
      <c r="L22" s="288">
        <v>1.0</v>
      </c>
      <c r="M22" s="287"/>
      <c r="N22" s="288" t="s">
        <v>85</v>
      </c>
      <c r="O22" s="288">
        <v>0.2727272727272727</v>
      </c>
      <c r="P22" s="288">
        <v>0.3181818181818182</v>
      </c>
      <c r="Q22" s="288">
        <v>0.4090909090909091</v>
      </c>
      <c r="R22" s="288">
        <v>1.0</v>
      </c>
      <c r="S22" s="287"/>
      <c r="T22" s="288" t="s">
        <v>85</v>
      </c>
      <c r="U22" s="288">
        <v>0.36363636363636365</v>
      </c>
      <c r="V22" s="288">
        <v>0.36363636363636365</v>
      </c>
      <c r="W22" s="288">
        <v>0.2727272727272727</v>
      </c>
      <c r="X22" s="288">
        <v>1.0</v>
      </c>
      <c r="Y22" s="287"/>
      <c r="Z22" s="288"/>
      <c r="AA22" s="288"/>
      <c r="AB22" s="288"/>
      <c r="AC22" s="288"/>
      <c r="AD22" s="288"/>
      <c r="AE22" s="287"/>
      <c r="AF22" s="288"/>
      <c r="AG22" s="288"/>
      <c r="AH22" s="288"/>
      <c r="AI22" s="288"/>
      <c r="AJ22" s="288"/>
    </row>
    <row r="23">
      <c r="A23" s="287"/>
      <c r="B23" s="288" t="s">
        <v>25</v>
      </c>
      <c r="C23" s="288">
        <v>0.3392857142857143</v>
      </c>
      <c r="D23" s="288">
        <v>0.26785714285714285</v>
      </c>
      <c r="E23" s="288">
        <v>0.39285714285714285</v>
      </c>
      <c r="F23" s="288">
        <v>1.0</v>
      </c>
      <c r="G23" s="287"/>
      <c r="H23" s="288" t="s">
        <v>25</v>
      </c>
      <c r="I23" s="288">
        <v>0.30303030303030304</v>
      </c>
      <c r="J23" s="288">
        <v>0.15151515151515152</v>
      </c>
      <c r="K23" s="288">
        <v>0.5454545454545454</v>
      </c>
      <c r="L23" s="288">
        <v>1.0</v>
      </c>
      <c r="M23" s="287"/>
      <c r="N23" s="288" t="s">
        <v>25</v>
      </c>
      <c r="O23" s="288">
        <v>0.23333333333333334</v>
      </c>
      <c r="P23" s="288">
        <v>0.3333333333333333</v>
      </c>
      <c r="Q23" s="288">
        <v>0.43333333333333335</v>
      </c>
      <c r="R23" s="288">
        <v>1.0</v>
      </c>
      <c r="S23" s="287"/>
      <c r="T23" s="288" t="s">
        <v>25</v>
      </c>
      <c r="U23" s="288">
        <v>0.3333333333333333</v>
      </c>
      <c r="V23" s="288">
        <v>0.23809523809523808</v>
      </c>
      <c r="W23" s="288">
        <v>0.42857142857142855</v>
      </c>
      <c r="X23" s="288">
        <v>1.0</v>
      </c>
      <c r="Y23" s="287"/>
      <c r="Z23" s="288"/>
      <c r="AA23" s="288"/>
      <c r="AB23" s="288"/>
      <c r="AC23" s="288"/>
      <c r="AD23" s="288"/>
      <c r="AE23" s="287"/>
      <c r="AF23" s="288"/>
      <c r="AG23" s="288"/>
      <c r="AH23" s="288"/>
      <c r="AI23" s="288"/>
      <c r="AJ23" s="288"/>
    </row>
    <row r="24">
      <c r="A24" s="287"/>
      <c r="B24" s="288"/>
      <c r="C24" s="288"/>
      <c r="D24" s="288"/>
      <c r="E24" s="288"/>
      <c r="F24" s="288"/>
      <c r="G24" s="287"/>
      <c r="H24" s="288"/>
      <c r="I24" s="288"/>
      <c r="J24" s="288"/>
      <c r="K24" s="288"/>
      <c r="L24" s="288"/>
      <c r="M24" s="287"/>
      <c r="N24" s="288"/>
      <c r="O24" s="288"/>
      <c r="P24" s="288"/>
      <c r="Q24" s="288"/>
      <c r="R24" s="288"/>
      <c r="S24" s="287"/>
      <c r="T24" s="288"/>
      <c r="U24" s="288"/>
      <c r="V24" s="288"/>
      <c r="W24" s="288"/>
      <c r="X24" s="288"/>
      <c r="Y24" s="287"/>
      <c r="Z24" s="288"/>
      <c r="AA24" s="288"/>
      <c r="AB24" s="288"/>
      <c r="AC24" s="288"/>
      <c r="AD24" s="288"/>
      <c r="AE24" s="287"/>
      <c r="AF24" s="288"/>
      <c r="AG24" s="288"/>
      <c r="AH24" s="288"/>
      <c r="AI24" s="288"/>
      <c r="AJ24" s="288"/>
    </row>
    <row r="25">
      <c r="A25" s="287"/>
      <c r="B25" s="288" t="s">
        <v>1509</v>
      </c>
      <c r="C25" s="288" t="s">
        <v>820</v>
      </c>
      <c r="D25" s="288"/>
      <c r="E25" s="288"/>
      <c r="F25" s="288"/>
      <c r="G25" s="287"/>
      <c r="H25" s="288" t="s">
        <v>1510</v>
      </c>
      <c r="I25" s="288" t="s">
        <v>820</v>
      </c>
      <c r="J25" s="288"/>
      <c r="K25" s="288"/>
      <c r="L25" s="288"/>
      <c r="M25" s="287"/>
      <c r="N25" s="288" t="s">
        <v>1511</v>
      </c>
      <c r="O25" s="288" t="s">
        <v>820</v>
      </c>
      <c r="P25" s="288"/>
      <c r="Q25" s="288"/>
      <c r="R25" s="288"/>
      <c r="S25" s="287"/>
      <c r="T25" s="288" t="s">
        <v>1512</v>
      </c>
      <c r="U25" s="288" t="s">
        <v>820</v>
      </c>
      <c r="V25" s="288"/>
      <c r="W25" s="288"/>
      <c r="X25" s="288"/>
      <c r="Y25" s="287"/>
      <c r="AB25" s="288"/>
      <c r="AC25" s="288"/>
      <c r="AD25" s="288"/>
      <c r="AE25" s="287"/>
      <c r="AH25" s="288"/>
      <c r="AI25" s="288"/>
      <c r="AJ25" s="288"/>
    </row>
    <row r="26">
      <c r="A26" s="287"/>
      <c r="B26" s="288" t="s">
        <v>33</v>
      </c>
      <c r="C26" s="289" t="s">
        <v>830</v>
      </c>
      <c r="D26" s="289" t="s">
        <v>827</v>
      </c>
      <c r="E26" s="289" t="s">
        <v>834</v>
      </c>
      <c r="F26" s="289" t="s">
        <v>25</v>
      </c>
      <c r="G26" s="287"/>
      <c r="H26" s="288" t="s">
        <v>33</v>
      </c>
      <c r="I26" s="289" t="s">
        <v>830</v>
      </c>
      <c r="J26" s="289" t="s">
        <v>827</v>
      </c>
      <c r="K26" s="289" t="s">
        <v>834</v>
      </c>
      <c r="L26" s="289" t="s">
        <v>25</v>
      </c>
      <c r="M26" s="287"/>
      <c r="N26" s="288" t="s">
        <v>33</v>
      </c>
      <c r="O26" s="289" t="s">
        <v>830</v>
      </c>
      <c r="P26" s="289" t="s">
        <v>827</v>
      </c>
      <c r="Q26" s="289" t="s">
        <v>834</v>
      </c>
      <c r="R26" s="289" t="s">
        <v>25</v>
      </c>
      <c r="S26" s="287"/>
      <c r="T26" s="288" t="s">
        <v>33</v>
      </c>
      <c r="U26" s="289" t="s">
        <v>830</v>
      </c>
      <c r="V26" s="289" t="s">
        <v>827</v>
      </c>
      <c r="W26" s="289" t="s">
        <v>834</v>
      </c>
      <c r="X26" s="289" t="s">
        <v>25</v>
      </c>
      <c r="Y26" s="287"/>
      <c r="AB26" s="289"/>
      <c r="AC26" s="289"/>
      <c r="AD26" s="289"/>
      <c r="AE26" s="287"/>
      <c r="AH26" s="289"/>
      <c r="AI26" s="289"/>
      <c r="AJ26" s="289"/>
    </row>
    <row r="27">
      <c r="A27" s="287"/>
      <c r="B27" s="288" t="s">
        <v>965</v>
      </c>
      <c r="C27" s="288">
        <v>0.34782608695652173</v>
      </c>
      <c r="D27" s="288">
        <v>0.30434782608695654</v>
      </c>
      <c r="E27" s="288">
        <v>0.34782608695652173</v>
      </c>
      <c r="F27" s="288">
        <v>1.0</v>
      </c>
      <c r="G27" s="287"/>
      <c r="H27" s="288" t="s">
        <v>965</v>
      </c>
      <c r="I27" s="288">
        <v>0.3333333333333333</v>
      </c>
      <c r="J27" s="288">
        <v>0.16666666666666666</v>
      </c>
      <c r="K27" s="288">
        <v>0.5</v>
      </c>
      <c r="L27" s="288">
        <v>1.0</v>
      </c>
      <c r="M27" s="287"/>
      <c r="N27" s="288" t="s">
        <v>965</v>
      </c>
      <c r="O27" s="288">
        <v>0.3125</v>
      </c>
      <c r="P27" s="288">
        <v>0.1875</v>
      </c>
      <c r="Q27" s="288">
        <v>0.5</v>
      </c>
      <c r="R27" s="288">
        <v>1.0</v>
      </c>
      <c r="S27" s="287"/>
      <c r="T27" s="288" t="s">
        <v>965</v>
      </c>
      <c r="U27" s="288">
        <v>0.14285714285714285</v>
      </c>
      <c r="V27" s="288">
        <v>0.7142857142857143</v>
      </c>
      <c r="W27" s="288">
        <v>0.14285714285714285</v>
      </c>
      <c r="X27" s="288">
        <v>1.0</v>
      </c>
      <c r="Y27" s="287"/>
      <c r="AB27" s="288"/>
      <c r="AC27" s="288"/>
      <c r="AD27" s="288"/>
      <c r="AE27" s="287"/>
      <c r="AH27" s="288"/>
      <c r="AI27" s="288"/>
      <c r="AJ27" s="288"/>
    </row>
    <row r="28">
      <c r="A28" s="287"/>
      <c r="B28" s="288" t="s">
        <v>1514</v>
      </c>
      <c r="C28" s="288">
        <v>0.3333333333333333</v>
      </c>
      <c r="D28" s="288">
        <v>0.24242424242424243</v>
      </c>
      <c r="E28" s="288">
        <v>0.42424242424242425</v>
      </c>
      <c r="F28" s="288">
        <v>1.0</v>
      </c>
      <c r="G28" s="287"/>
      <c r="H28" s="288" t="s">
        <v>1514</v>
      </c>
      <c r="I28" s="288">
        <v>0.2857142857142857</v>
      </c>
      <c r="J28" s="288">
        <v>0.14285714285714285</v>
      </c>
      <c r="K28" s="288">
        <v>0.5714285714285714</v>
      </c>
      <c r="L28" s="288">
        <v>1.0</v>
      </c>
      <c r="M28" s="287"/>
      <c r="N28" s="288" t="s">
        <v>1514</v>
      </c>
      <c r="O28" s="288">
        <v>0.14285714285714285</v>
      </c>
      <c r="P28" s="288">
        <v>0.5</v>
      </c>
      <c r="Q28" s="288">
        <v>0.35714285714285715</v>
      </c>
      <c r="R28" s="288">
        <v>1.0</v>
      </c>
      <c r="S28" s="287"/>
      <c r="T28" s="288" t="s">
        <v>1514</v>
      </c>
      <c r="U28" s="288">
        <v>0.42857142857142855</v>
      </c>
      <c r="V28" s="288"/>
      <c r="W28" s="288">
        <v>0.5714285714285714</v>
      </c>
      <c r="X28" s="288">
        <v>1.0</v>
      </c>
      <c r="Y28" s="287"/>
      <c r="Z28" s="288"/>
      <c r="AA28" s="288"/>
      <c r="AB28" s="288"/>
      <c r="AC28" s="288"/>
      <c r="AD28" s="288"/>
      <c r="AE28" s="287"/>
      <c r="AF28" s="288"/>
      <c r="AG28" s="288"/>
      <c r="AH28" s="288"/>
      <c r="AI28" s="288"/>
      <c r="AJ28" s="288"/>
    </row>
    <row r="29">
      <c r="A29" s="287"/>
      <c r="B29" s="288" t="s">
        <v>25</v>
      </c>
      <c r="C29" s="288">
        <v>0.3392857142857143</v>
      </c>
      <c r="D29" s="288">
        <v>0.26785714285714285</v>
      </c>
      <c r="E29" s="288">
        <v>0.39285714285714285</v>
      </c>
      <c r="F29" s="288">
        <v>1.0</v>
      </c>
      <c r="G29" s="287"/>
      <c r="H29" s="288" t="s">
        <v>25</v>
      </c>
      <c r="I29" s="288">
        <v>0.30303030303030304</v>
      </c>
      <c r="J29" s="288">
        <v>0.15151515151515152</v>
      </c>
      <c r="K29" s="288">
        <v>0.5454545454545454</v>
      </c>
      <c r="L29" s="288">
        <v>1.0</v>
      </c>
      <c r="M29" s="287"/>
      <c r="N29" s="288" t="s">
        <v>25</v>
      </c>
      <c r="O29" s="288">
        <v>0.23333333333333334</v>
      </c>
      <c r="P29" s="288">
        <v>0.3333333333333333</v>
      </c>
      <c r="Q29" s="288">
        <v>0.43333333333333335</v>
      </c>
      <c r="R29" s="288">
        <v>1.0</v>
      </c>
      <c r="S29" s="287"/>
      <c r="T29" s="288" t="s">
        <v>25</v>
      </c>
      <c r="U29" s="288">
        <v>0.3333333333333333</v>
      </c>
      <c r="V29" s="288">
        <v>0.23809523809523808</v>
      </c>
      <c r="W29" s="288">
        <v>0.42857142857142855</v>
      </c>
      <c r="X29" s="288">
        <v>1.0</v>
      </c>
      <c r="Y29" s="287"/>
      <c r="Z29" s="288"/>
      <c r="AA29" s="288"/>
      <c r="AB29" s="288"/>
      <c r="AC29" s="288"/>
      <c r="AD29" s="288"/>
      <c r="AE29" s="287"/>
      <c r="AF29" s="288"/>
      <c r="AG29" s="288"/>
      <c r="AH29" s="288"/>
      <c r="AI29" s="288"/>
      <c r="AJ29" s="288"/>
    </row>
    <row r="30">
      <c r="A30" s="287"/>
      <c r="B30" s="288"/>
      <c r="C30" s="288"/>
      <c r="D30" s="288"/>
      <c r="E30" s="288"/>
      <c r="F30" s="288"/>
      <c r="G30" s="287"/>
      <c r="H30" s="288"/>
      <c r="I30" s="288"/>
      <c r="J30" s="288"/>
      <c r="K30" s="288"/>
      <c r="L30" s="288"/>
      <c r="M30" s="287"/>
      <c r="N30" s="288"/>
      <c r="O30" s="288"/>
      <c r="P30" s="288"/>
      <c r="Q30" s="288"/>
      <c r="R30" s="288"/>
      <c r="S30" s="287"/>
      <c r="T30" s="288"/>
      <c r="U30" s="288"/>
      <c r="V30" s="288"/>
      <c r="W30" s="288"/>
      <c r="X30" s="288"/>
      <c r="Y30" s="287"/>
      <c r="Z30" s="288"/>
      <c r="AA30" s="288"/>
      <c r="AB30" s="288"/>
      <c r="AC30" s="288"/>
      <c r="AD30" s="288"/>
      <c r="AE30" s="287"/>
      <c r="AF30" s="288"/>
      <c r="AG30" s="288"/>
      <c r="AH30" s="288"/>
      <c r="AI30" s="288"/>
      <c r="AJ30" s="288"/>
    </row>
    <row r="31">
      <c r="A31" s="287"/>
      <c r="B31" s="288"/>
      <c r="C31" s="288"/>
      <c r="D31" s="288"/>
      <c r="E31" s="288"/>
      <c r="F31" s="288"/>
      <c r="G31" s="287"/>
      <c r="H31" s="288"/>
      <c r="I31" s="288"/>
      <c r="J31" s="288"/>
      <c r="K31" s="288"/>
      <c r="L31" s="288"/>
      <c r="M31" s="287"/>
      <c r="N31" s="288"/>
      <c r="O31" s="288"/>
      <c r="P31" s="288"/>
      <c r="Q31" s="288"/>
      <c r="R31" s="288"/>
      <c r="S31" s="287"/>
      <c r="T31" s="288"/>
      <c r="U31" s="288"/>
      <c r="V31" s="288"/>
      <c r="W31" s="288"/>
      <c r="X31" s="288"/>
      <c r="Y31" s="287"/>
      <c r="Z31" s="288"/>
      <c r="AA31" s="288"/>
      <c r="AB31" s="288"/>
      <c r="AC31" s="288"/>
      <c r="AD31" s="288"/>
      <c r="AE31" s="287"/>
      <c r="AF31" s="288"/>
      <c r="AG31" s="288"/>
      <c r="AH31" s="288"/>
      <c r="AI31" s="288"/>
      <c r="AJ31" s="288"/>
    </row>
    <row r="32">
      <c r="A32" s="287"/>
      <c r="D32" s="288"/>
      <c r="E32" s="288"/>
      <c r="F32" s="288"/>
      <c r="G32" s="287"/>
      <c r="J32" s="288"/>
      <c r="K32" s="288"/>
      <c r="L32" s="288"/>
      <c r="M32" s="287"/>
      <c r="P32" s="288"/>
      <c r="Q32" s="288"/>
      <c r="R32" s="288"/>
      <c r="S32" s="287"/>
      <c r="V32" s="288"/>
      <c r="W32" s="288"/>
      <c r="X32" s="288"/>
      <c r="Y32" s="287"/>
      <c r="AB32" s="288"/>
      <c r="AC32" s="288"/>
      <c r="AD32" s="288"/>
      <c r="AE32" s="287"/>
      <c r="AH32" s="288"/>
      <c r="AI32" s="288"/>
      <c r="AJ32" s="288"/>
    </row>
    <row r="33">
      <c r="A33" s="287"/>
      <c r="D33" s="288"/>
      <c r="E33" s="288"/>
      <c r="F33" s="288"/>
      <c r="G33" s="287"/>
      <c r="J33" s="288"/>
      <c r="K33" s="288"/>
      <c r="L33" s="288"/>
      <c r="M33" s="287"/>
      <c r="P33" s="288"/>
      <c r="Q33" s="288"/>
      <c r="R33" s="288"/>
      <c r="S33" s="287"/>
      <c r="V33" s="288"/>
      <c r="W33" s="288"/>
      <c r="X33" s="288"/>
      <c r="Y33" s="287"/>
      <c r="AB33" s="288"/>
      <c r="AC33" s="288"/>
      <c r="AD33" s="288"/>
      <c r="AE33" s="287"/>
      <c r="AH33" s="288"/>
      <c r="AI33" s="288"/>
      <c r="AJ33" s="288"/>
    </row>
    <row r="34">
      <c r="A34" s="287"/>
      <c r="D34" s="288"/>
      <c r="E34" s="288"/>
      <c r="F34" s="288"/>
      <c r="G34" s="287"/>
      <c r="J34" s="288"/>
      <c r="K34" s="288"/>
      <c r="L34" s="288"/>
      <c r="M34" s="287"/>
      <c r="P34" s="288"/>
      <c r="Q34" s="288"/>
      <c r="R34" s="288"/>
      <c r="S34" s="287"/>
      <c r="V34" s="288"/>
      <c r="W34" s="288"/>
      <c r="X34" s="288"/>
      <c r="Y34" s="287"/>
      <c r="Z34" s="290"/>
      <c r="AA34" s="290"/>
      <c r="AB34" s="288"/>
      <c r="AC34" s="288"/>
      <c r="AD34" s="288"/>
      <c r="AE34" s="287"/>
      <c r="AF34" s="290"/>
      <c r="AG34" s="290"/>
      <c r="AH34" s="288"/>
      <c r="AI34" s="288"/>
      <c r="AJ34" s="288"/>
    </row>
    <row r="35">
      <c r="A35" s="287"/>
      <c r="D35" s="288"/>
      <c r="E35" s="288"/>
      <c r="F35" s="288"/>
      <c r="G35" s="287"/>
      <c r="J35" s="288"/>
      <c r="K35" s="288"/>
      <c r="L35" s="288"/>
      <c r="M35" s="287"/>
      <c r="P35" s="288"/>
      <c r="Q35" s="288"/>
      <c r="R35" s="288"/>
      <c r="S35" s="287"/>
      <c r="V35" s="288"/>
      <c r="W35" s="288"/>
      <c r="X35" s="288"/>
      <c r="Y35" s="287"/>
      <c r="Z35" s="290"/>
      <c r="AA35" s="290"/>
      <c r="AB35" s="288"/>
      <c r="AC35" s="288"/>
      <c r="AD35" s="288"/>
      <c r="AE35" s="287"/>
      <c r="AF35" s="290"/>
      <c r="AG35" s="290"/>
      <c r="AH35" s="288"/>
      <c r="AI35" s="288"/>
      <c r="AJ35" s="288"/>
    </row>
    <row r="36">
      <c r="A36" s="287"/>
      <c r="D36" s="288"/>
      <c r="E36" s="288"/>
      <c r="F36" s="288"/>
      <c r="G36" s="287"/>
      <c r="J36" s="288"/>
      <c r="K36" s="288"/>
      <c r="L36" s="288"/>
      <c r="M36" s="287"/>
      <c r="P36" s="288"/>
      <c r="Q36" s="288"/>
      <c r="R36" s="288"/>
      <c r="S36" s="287"/>
      <c r="V36" s="288"/>
      <c r="W36" s="288"/>
      <c r="X36" s="288"/>
      <c r="Y36" s="287"/>
      <c r="Z36" s="290"/>
      <c r="AA36" s="290"/>
      <c r="AB36" s="288"/>
      <c r="AC36" s="288"/>
      <c r="AD36" s="288"/>
      <c r="AE36" s="287"/>
      <c r="AF36" s="290"/>
      <c r="AG36" s="290"/>
      <c r="AH36" s="288"/>
      <c r="AI36" s="288"/>
      <c r="AJ36" s="288"/>
    </row>
    <row r="37">
      <c r="A37" s="287"/>
      <c r="D37" s="287"/>
      <c r="E37" s="287"/>
      <c r="F37" s="287"/>
      <c r="G37" s="287"/>
      <c r="J37" s="287"/>
      <c r="K37" s="287"/>
      <c r="L37" s="287"/>
      <c r="M37" s="287"/>
      <c r="P37" s="287"/>
      <c r="Q37" s="287"/>
      <c r="R37" s="287"/>
      <c r="S37" s="287"/>
      <c r="V37" s="287"/>
      <c r="W37" s="287"/>
      <c r="X37" s="287"/>
      <c r="Y37" s="287"/>
      <c r="Z37" s="290"/>
      <c r="AA37" s="290"/>
      <c r="AB37" s="287"/>
      <c r="AC37" s="287"/>
      <c r="AD37" s="287"/>
      <c r="AE37" s="287"/>
      <c r="AF37" s="290"/>
      <c r="AG37" s="290"/>
      <c r="AH37" s="287"/>
      <c r="AI37" s="287"/>
      <c r="AJ37" s="287"/>
    </row>
    <row r="38">
      <c r="A38" s="287"/>
      <c r="D38" s="287"/>
      <c r="E38" s="287"/>
      <c r="F38" s="287"/>
      <c r="G38" s="287"/>
      <c r="J38" s="287"/>
      <c r="K38" s="287"/>
      <c r="L38" s="287"/>
      <c r="M38" s="287"/>
      <c r="P38" s="287"/>
      <c r="Q38" s="287"/>
      <c r="R38" s="287"/>
      <c r="S38" s="287"/>
      <c r="V38" s="287"/>
      <c r="W38" s="287"/>
      <c r="X38" s="287"/>
      <c r="Y38" s="287"/>
      <c r="Z38" s="290"/>
      <c r="AA38" s="290"/>
      <c r="AB38" s="287"/>
      <c r="AC38" s="287"/>
      <c r="AD38" s="287"/>
      <c r="AE38" s="287"/>
      <c r="AF38" s="290"/>
      <c r="AG38" s="290"/>
      <c r="AH38" s="287"/>
      <c r="AI38" s="287"/>
      <c r="AJ38" s="287"/>
    </row>
    <row r="39">
      <c r="A39" s="287"/>
      <c r="D39" s="287"/>
      <c r="E39" s="287"/>
      <c r="F39" s="287"/>
      <c r="G39" s="287"/>
      <c r="J39" s="287"/>
      <c r="K39" s="287"/>
      <c r="L39" s="287"/>
      <c r="M39" s="287"/>
      <c r="P39" s="287"/>
      <c r="Q39" s="287"/>
      <c r="R39" s="287"/>
      <c r="S39" s="287"/>
      <c r="V39" s="287"/>
      <c r="W39" s="287"/>
      <c r="X39" s="287"/>
      <c r="Y39" s="287"/>
      <c r="Z39" s="290"/>
      <c r="AA39" s="290"/>
      <c r="AB39" s="287"/>
      <c r="AC39" s="287"/>
      <c r="AD39" s="287"/>
      <c r="AE39" s="287"/>
      <c r="AF39" s="290"/>
      <c r="AG39" s="290"/>
      <c r="AH39" s="287"/>
      <c r="AI39" s="287"/>
      <c r="AJ39" s="287"/>
    </row>
    <row r="40">
      <c r="A40" s="287"/>
      <c r="D40" s="287"/>
      <c r="E40" s="287"/>
      <c r="F40" s="287"/>
      <c r="G40" s="287"/>
      <c r="J40" s="287"/>
      <c r="K40" s="287"/>
      <c r="L40" s="287"/>
      <c r="M40" s="287"/>
      <c r="P40" s="287"/>
      <c r="Q40" s="287"/>
      <c r="R40" s="287"/>
      <c r="S40" s="287"/>
      <c r="V40" s="287"/>
      <c r="W40" s="287"/>
      <c r="X40" s="287"/>
      <c r="Y40" s="287"/>
      <c r="Z40" s="290"/>
      <c r="AA40" s="290"/>
      <c r="AB40" s="287"/>
      <c r="AC40" s="287"/>
      <c r="AD40" s="287"/>
      <c r="AE40" s="287"/>
      <c r="AF40" s="290"/>
      <c r="AG40" s="290"/>
      <c r="AH40" s="287"/>
      <c r="AI40" s="287"/>
      <c r="AJ40" s="287"/>
    </row>
    <row r="41">
      <c r="A41" s="287"/>
      <c r="D41" s="287"/>
      <c r="E41" s="287"/>
      <c r="F41" s="287"/>
      <c r="G41" s="287"/>
      <c r="J41" s="287"/>
      <c r="K41" s="287"/>
      <c r="L41" s="287"/>
      <c r="M41" s="287"/>
      <c r="P41" s="287"/>
      <c r="Q41" s="287"/>
      <c r="R41" s="287"/>
      <c r="S41" s="287"/>
      <c r="V41" s="287"/>
      <c r="W41" s="287"/>
      <c r="X41" s="287"/>
      <c r="Y41" s="287"/>
      <c r="Z41" s="290"/>
      <c r="AA41" s="290"/>
      <c r="AB41" s="287"/>
      <c r="AC41" s="287"/>
      <c r="AD41" s="287"/>
      <c r="AE41" s="287"/>
      <c r="AF41" s="290"/>
      <c r="AG41" s="290"/>
      <c r="AH41" s="287"/>
      <c r="AI41" s="287"/>
      <c r="AJ41" s="287"/>
    </row>
    <row r="42">
      <c r="A42" s="287"/>
      <c r="D42" s="287"/>
      <c r="E42" s="287"/>
      <c r="F42" s="287"/>
      <c r="G42" s="287"/>
      <c r="J42" s="287"/>
      <c r="K42" s="287"/>
      <c r="L42" s="287"/>
      <c r="M42" s="287"/>
      <c r="P42" s="287"/>
      <c r="Q42" s="287"/>
      <c r="R42" s="287"/>
      <c r="S42" s="287"/>
      <c r="T42" s="290"/>
      <c r="U42" s="290"/>
      <c r="V42" s="287"/>
      <c r="W42" s="287"/>
      <c r="X42" s="287"/>
      <c r="Y42" s="287"/>
      <c r="Z42" s="290"/>
      <c r="AA42" s="290"/>
      <c r="AB42" s="287"/>
      <c r="AC42" s="287"/>
      <c r="AD42" s="287"/>
      <c r="AE42" s="287"/>
      <c r="AF42" s="290"/>
      <c r="AG42" s="290"/>
      <c r="AH42" s="287"/>
      <c r="AI42" s="287"/>
      <c r="AJ42" s="287"/>
    </row>
    <row r="43">
      <c r="A43" s="287"/>
      <c r="D43" s="287"/>
      <c r="E43" s="287"/>
      <c r="F43" s="287"/>
      <c r="G43" s="287"/>
      <c r="J43" s="287"/>
      <c r="K43" s="287"/>
      <c r="L43" s="287"/>
      <c r="M43" s="287"/>
      <c r="P43" s="287"/>
      <c r="Q43" s="287"/>
      <c r="R43" s="287"/>
      <c r="S43" s="287"/>
      <c r="T43" s="287"/>
      <c r="U43" s="287"/>
      <c r="V43" s="287"/>
      <c r="W43" s="287"/>
      <c r="X43" s="287"/>
      <c r="Y43" s="287"/>
      <c r="Z43" s="287"/>
      <c r="AA43" s="287"/>
      <c r="AB43" s="287"/>
      <c r="AC43" s="287"/>
      <c r="AD43" s="287"/>
      <c r="AE43" s="287"/>
      <c r="AF43" s="290"/>
      <c r="AG43" s="290"/>
      <c r="AH43" s="287"/>
      <c r="AI43" s="287"/>
      <c r="AJ43" s="287"/>
    </row>
    <row r="44">
      <c r="A44" s="287"/>
      <c r="D44" s="287"/>
      <c r="E44" s="287"/>
      <c r="F44" s="287"/>
      <c r="G44" s="287"/>
      <c r="J44" s="287"/>
      <c r="K44" s="287"/>
      <c r="L44" s="287"/>
      <c r="M44" s="287"/>
      <c r="P44" s="287"/>
      <c r="Q44" s="287"/>
      <c r="R44" s="287"/>
      <c r="S44" s="287"/>
      <c r="T44" s="287"/>
      <c r="U44" s="287"/>
      <c r="V44" s="287"/>
      <c r="W44" s="287"/>
      <c r="X44" s="287"/>
      <c r="Y44" s="287"/>
      <c r="Z44" s="287"/>
      <c r="AA44" s="287"/>
      <c r="AB44" s="287"/>
      <c r="AC44" s="287"/>
      <c r="AD44" s="287"/>
      <c r="AE44" s="287"/>
      <c r="AF44" s="290"/>
      <c r="AG44" s="290"/>
      <c r="AH44" s="287"/>
      <c r="AI44" s="287"/>
      <c r="AJ44" s="287"/>
    </row>
    <row r="45">
      <c r="A45" s="287"/>
      <c r="D45" s="287"/>
      <c r="E45" s="287"/>
      <c r="F45" s="287"/>
      <c r="G45" s="287"/>
      <c r="J45" s="287"/>
      <c r="K45" s="287"/>
      <c r="L45" s="287"/>
      <c r="M45" s="287"/>
      <c r="P45" s="287"/>
      <c r="Q45" s="287"/>
      <c r="R45" s="287"/>
      <c r="S45" s="287"/>
      <c r="T45" s="287"/>
      <c r="U45" s="287"/>
      <c r="V45" s="287"/>
      <c r="W45" s="287"/>
      <c r="X45" s="287"/>
      <c r="Y45" s="287"/>
      <c r="Z45" s="287"/>
      <c r="AA45" s="287"/>
      <c r="AB45" s="287"/>
      <c r="AC45" s="287"/>
      <c r="AD45" s="287"/>
      <c r="AE45" s="287"/>
      <c r="AF45" s="290"/>
      <c r="AG45" s="290"/>
      <c r="AH45" s="287"/>
      <c r="AI45" s="287"/>
      <c r="AJ45" s="287"/>
    </row>
    <row r="46">
      <c r="A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c r="AF46" s="290"/>
      <c r="AG46" s="290"/>
      <c r="AH46" s="287"/>
      <c r="AI46" s="287"/>
      <c r="AJ46" s="287"/>
    </row>
    <row r="47">
      <c r="A47" s="287"/>
      <c r="B47" s="290"/>
      <c r="C47" s="290"/>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c r="AF47" s="290"/>
      <c r="AG47" s="290"/>
      <c r="AH47" s="287"/>
      <c r="AI47" s="287"/>
      <c r="AJ47" s="287"/>
    </row>
    <row r="48">
      <c r="A48" s="287"/>
      <c r="B48" s="290"/>
      <c r="C48" s="290"/>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c r="AF48" s="290"/>
      <c r="AG48" s="290"/>
      <c r="AH48" s="287"/>
      <c r="AI48" s="287"/>
      <c r="AJ48" s="287"/>
    </row>
    <row r="49">
      <c r="A49" s="287"/>
      <c r="B49" s="290"/>
      <c r="C49" s="290"/>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c r="AF49" s="290"/>
      <c r="AG49" s="290"/>
      <c r="AH49" s="287"/>
      <c r="AI49" s="287"/>
      <c r="AJ49" s="287"/>
    </row>
    <row r="50">
      <c r="A50" s="287"/>
      <c r="B50" s="290"/>
      <c r="C50" s="290"/>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c r="AF50" s="290"/>
      <c r="AG50" s="290"/>
      <c r="AH50" s="287"/>
      <c r="AI50" s="287"/>
      <c r="AJ50" s="287"/>
    </row>
    <row r="51">
      <c r="A51" s="287"/>
      <c r="B51" s="290"/>
      <c r="C51" s="290"/>
      <c r="D51" s="287"/>
      <c r="E51" s="287"/>
      <c r="F51" s="287"/>
      <c r="G51" s="287"/>
      <c r="H51" s="287"/>
      <c r="I51" s="287"/>
      <c r="J51" s="287"/>
      <c r="K51" s="287"/>
      <c r="L51" s="287"/>
      <c r="M51" s="287"/>
      <c r="N51" s="287"/>
      <c r="O51" s="287"/>
      <c r="P51" s="287"/>
      <c r="Q51" s="287"/>
      <c r="R51" s="287"/>
      <c r="S51" s="287"/>
      <c r="T51" s="287"/>
      <c r="U51" s="287"/>
      <c r="V51" s="287"/>
      <c r="W51" s="287"/>
      <c r="X51" s="287"/>
      <c r="Y51" s="287"/>
      <c r="Z51" s="287"/>
      <c r="AA51" s="287"/>
      <c r="AB51" s="287"/>
      <c r="AC51" s="287"/>
      <c r="AD51" s="287"/>
      <c r="AE51" s="287"/>
      <c r="AF51" s="290"/>
      <c r="AG51" s="290"/>
      <c r="AH51" s="287"/>
      <c r="AI51" s="287"/>
      <c r="AJ51" s="287"/>
    </row>
    <row r="52">
      <c r="A52" s="287"/>
      <c r="B52" s="290"/>
      <c r="C52" s="290"/>
      <c r="D52" s="287"/>
      <c r="E52" s="287"/>
      <c r="F52" s="287"/>
      <c r="G52" s="287"/>
      <c r="H52" s="287"/>
      <c r="I52" s="287"/>
      <c r="J52" s="287"/>
      <c r="K52" s="287"/>
      <c r="L52" s="287"/>
      <c r="M52" s="287"/>
      <c r="N52" s="287"/>
      <c r="O52" s="287"/>
      <c r="P52" s="287"/>
      <c r="Q52" s="287"/>
      <c r="R52" s="287"/>
      <c r="S52" s="287"/>
      <c r="T52" s="287"/>
      <c r="U52" s="287"/>
      <c r="V52" s="287"/>
      <c r="W52" s="287"/>
      <c r="X52" s="287"/>
      <c r="Y52" s="287"/>
      <c r="Z52" s="287"/>
      <c r="AA52" s="287"/>
      <c r="AB52" s="287"/>
      <c r="AC52" s="287"/>
      <c r="AD52" s="287"/>
      <c r="AE52" s="287"/>
      <c r="AF52" s="290"/>
      <c r="AG52" s="290"/>
      <c r="AH52" s="287"/>
      <c r="AI52" s="287"/>
      <c r="AJ52" s="287"/>
    </row>
    <row r="53">
      <c r="A53" s="287"/>
      <c r="B53" s="290"/>
      <c r="C53" s="290"/>
      <c r="D53" s="287"/>
      <c r="E53" s="287"/>
      <c r="F53" s="287"/>
      <c r="G53" s="287"/>
      <c r="H53" s="287"/>
      <c r="I53" s="287"/>
      <c r="J53" s="287"/>
      <c r="K53" s="287"/>
      <c r="L53" s="287"/>
      <c r="M53" s="287"/>
      <c r="N53" s="287"/>
      <c r="O53" s="287"/>
      <c r="P53" s="287"/>
      <c r="Q53" s="287"/>
      <c r="R53" s="287"/>
      <c r="S53" s="287"/>
      <c r="T53" s="287"/>
      <c r="U53" s="287"/>
      <c r="V53" s="287"/>
      <c r="W53" s="287"/>
      <c r="X53" s="287"/>
      <c r="Y53" s="287"/>
      <c r="Z53" s="287"/>
      <c r="AA53" s="287"/>
      <c r="AB53" s="287"/>
      <c r="AC53" s="287"/>
      <c r="AD53" s="287"/>
      <c r="AE53" s="287"/>
      <c r="AF53" s="290"/>
      <c r="AG53" s="290"/>
      <c r="AH53" s="287"/>
      <c r="AI53" s="287"/>
      <c r="AJ53" s="287"/>
    </row>
    <row r="54">
      <c r="A54" s="287"/>
      <c r="B54" s="290"/>
      <c r="C54" s="290"/>
      <c r="D54" s="287"/>
      <c r="E54" s="287"/>
      <c r="F54" s="287"/>
      <c r="G54" s="287"/>
      <c r="H54" s="287"/>
      <c r="I54" s="287"/>
      <c r="J54" s="287"/>
      <c r="K54" s="287"/>
      <c r="L54" s="287"/>
      <c r="M54" s="287"/>
      <c r="N54" s="287"/>
      <c r="O54" s="287"/>
      <c r="P54" s="287"/>
      <c r="Q54" s="287"/>
      <c r="R54" s="287"/>
      <c r="S54" s="287"/>
      <c r="T54" s="287"/>
      <c r="U54" s="287"/>
      <c r="V54" s="287"/>
      <c r="W54" s="287"/>
      <c r="X54" s="287"/>
      <c r="Y54" s="287"/>
      <c r="Z54" s="287"/>
      <c r="AA54" s="287"/>
      <c r="AB54" s="287"/>
      <c r="AC54" s="287"/>
      <c r="AD54" s="287"/>
      <c r="AE54" s="287"/>
      <c r="AF54" s="290"/>
      <c r="AG54" s="290"/>
      <c r="AH54" s="287"/>
      <c r="AI54" s="287"/>
      <c r="AJ54" s="287"/>
    </row>
    <row r="55">
      <c r="A55" s="287"/>
      <c r="B55" s="290"/>
      <c r="C55" s="290"/>
      <c r="D55" s="287"/>
      <c r="E55" s="287"/>
      <c r="F55" s="287"/>
      <c r="G55" s="287"/>
      <c r="H55" s="287"/>
      <c r="I55" s="287"/>
      <c r="J55" s="287"/>
      <c r="K55" s="287"/>
      <c r="L55" s="287"/>
      <c r="M55" s="287"/>
      <c r="N55" s="287"/>
      <c r="O55" s="287"/>
      <c r="P55" s="287"/>
      <c r="Q55" s="287"/>
      <c r="R55" s="287"/>
      <c r="S55" s="287"/>
      <c r="T55" s="287"/>
      <c r="U55" s="287"/>
      <c r="V55" s="287"/>
      <c r="W55" s="287"/>
      <c r="X55" s="287"/>
      <c r="Y55" s="287"/>
      <c r="Z55" s="287"/>
      <c r="AA55" s="287"/>
      <c r="AB55" s="287"/>
      <c r="AC55" s="287"/>
      <c r="AD55" s="287"/>
      <c r="AE55" s="287"/>
      <c r="AF55" s="290"/>
      <c r="AG55" s="290"/>
      <c r="AH55" s="287"/>
      <c r="AI55" s="287"/>
      <c r="AJ55" s="287"/>
    </row>
    <row r="56">
      <c r="A56" s="287"/>
      <c r="B56" s="290"/>
      <c r="C56" s="290"/>
      <c r="D56" s="287"/>
      <c r="E56" s="287"/>
      <c r="F56" s="287"/>
      <c r="G56" s="287"/>
      <c r="H56" s="287"/>
      <c r="I56" s="287"/>
      <c r="J56" s="287"/>
      <c r="K56" s="287"/>
      <c r="L56" s="287"/>
      <c r="M56" s="287"/>
      <c r="N56" s="287"/>
      <c r="O56" s="287"/>
      <c r="P56" s="287"/>
      <c r="Q56" s="287"/>
      <c r="R56" s="287"/>
      <c r="S56" s="287"/>
      <c r="T56" s="287"/>
      <c r="U56" s="287"/>
      <c r="V56" s="287"/>
      <c r="W56" s="287"/>
      <c r="X56" s="287"/>
      <c r="Y56" s="287"/>
      <c r="Z56" s="287"/>
      <c r="AA56" s="287"/>
      <c r="AB56" s="287"/>
      <c r="AC56" s="287"/>
      <c r="AD56" s="287"/>
      <c r="AE56" s="287"/>
      <c r="AF56" s="290"/>
      <c r="AG56" s="290"/>
      <c r="AH56" s="287"/>
      <c r="AI56" s="287"/>
      <c r="AJ56" s="287"/>
    </row>
    <row r="57">
      <c r="A57" s="287"/>
      <c r="B57" s="290"/>
      <c r="C57" s="290"/>
      <c r="D57" s="287"/>
      <c r="E57" s="287"/>
      <c r="F57" s="287"/>
      <c r="G57" s="287"/>
      <c r="H57" s="287"/>
      <c r="I57" s="287"/>
      <c r="J57" s="287"/>
      <c r="K57" s="287"/>
      <c r="L57" s="287"/>
      <c r="M57" s="287"/>
      <c r="N57" s="287"/>
      <c r="O57" s="287"/>
      <c r="P57" s="287"/>
      <c r="Q57" s="287"/>
      <c r="R57" s="287"/>
      <c r="S57" s="287"/>
      <c r="T57" s="287"/>
      <c r="U57" s="287"/>
      <c r="V57" s="287"/>
      <c r="W57" s="287"/>
      <c r="X57" s="287"/>
      <c r="Y57" s="287"/>
      <c r="Z57" s="287"/>
      <c r="AA57" s="287"/>
      <c r="AB57" s="287"/>
      <c r="AC57" s="287"/>
      <c r="AD57" s="287"/>
      <c r="AE57" s="287"/>
      <c r="AF57" s="290"/>
      <c r="AG57" s="290"/>
      <c r="AH57" s="287"/>
      <c r="AI57" s="287"/>
      <c r="AJ57" s="287"/>
    </row>
    <row r="58">
      <c r="A58" s="287"/>
      <c r="B58" s="290"/>
      <c r="C58" s="290"/>
      <c r="D58" s="287"/>
      <c r="E58" s="287"/>
      <c r="F58" s="287"/>
      <c r="G58" s="287"/>
      <c r="H58" s="287"/>
      <c r="I58" s="287"/>
      <c r="J58" s="287"/>
      <c r="K58" s="287"/>
      <c r="L58" s="287"/>
      <c r="M58" s="287"/>
      <c r="N58" s="287"/>
      <c r="O58" s="287"/>
      <c r="P58" s="287"/>
      <c r="Q58" s="287"/>
      <c r="R58" s="287"/>
      <c r="S58" s="287"/>
      <c r="T58" s="287"/>
      <c r="U58" s="287"/>
      <c r="V58" s="287"/>
      <c r="W58" s="287"/>
      <c r="X58" s="287"/>
      <c r="Y58" s="287"/>
      <c r="Z58" s="287"/>
      <c r="AA58" s="287"/>
      <c r="AB58" s="287"/>
      <c r="AC58" s="287"/>
      <c r="AD58" s="287"/>
      <c r="AE58" s="287"/>
      <c r="AF58" s="290"/>
      <c r="AG58" s="290"/>
      <c r="AH58" s="287"/>
      <c r="AI58" s="287"/>
      <c r="AJ58" s="287"/>
    </row>
    <row r="59">
      <c r="A59" s="287"/>
      <c r="B59" s="287"/>
      <c r="C59" s="287"/>
      <c r="D59" s="287"/>
      <c r="E59" s="287"/>
      <c r="F59" s="287"/>
      <c r="G59" s="287"/>
      <c r="H59" s="287"/>
      <c r="I59" s="287"/>
      <c r="J59" s="287"/>
      <c r="K59" s="287"/>
      <c r="L59" s="287"/>
      <c r="M59" s="287"/>
      <c r="N59" s="287"/>
      <c r="O59" s="287"/>
      <c r="P59" s="287"/>
      <c r="Q59" s="287"/>
      <c r="R59" s="287"/>
      <c r="S59" s="287"/>
      <c r="T59" s="287"/>
      <c r="U59" s="287"/>
      <c r="V59" s="287"/>
      <c r="W59" s="287"/>
      <c r="X59" s="287"/>
      <c r="Y59" s="287"/>
      <c r="Z59" s="287"/>
      <c r="AA59" s="287"/>
      <c r="AB59" s="287"/>
      <c r="AC59" s="287"/>
      <c r="AD59" s="287"/>
      <c r="AE59" s="287"/>
      <c r="AF59" s="287"/>
      <c r="AG59" s="287"/>
      <c r="AH59" s="287"/>
      <c r="AI59" s="287"/>
      <c r="AJ59" s="287"/>
    </row>
    <row r="60">
      <c r="A60" s="287"/>
      <c r="B60" s="287"/>
      <c r="C60" s="287"/>
      <c r="D60" s="287"/>
      <c r="E60" s="287"/>
      <c r="F60" s="287"/>
      <c r="G60" s="287"/>
      <c r="H60" s="287"/>
      <c r="I60" s="287"/>
      <c r="J60" s="287"/>
      <c r="K60" s="287"/>
      <c r="L60" s="287"/>
      <c r="M60" s="287"/>
      <c r="N60" s="287"/>
      <c r="O60" s="287"/>
      <c r="P60" s="287"/>
      <c r="Q60" s="287"/>
      <c r="R60" s="287"/>
      <c r="S60" s="287"/>
      <c r="T60" s="287"/>
      <c r="U60" s="287"/>
      <c r="V60" s="287"/>
      <c r="W60" s="287"/>
      <c r="X60" s="287"/>
      <c r="Y60" s="287"/>
      <c r="Z60" s="287"/>
      <c r="AA60" s="287"/>
      <c r="AB60" s="287"/>
      <c r="AC60" s="287"/>
      <c r="AD60" s="287"/>
      <c r="AE60" s="287"/>
      <c r="AF60" s="287"/>
      <c r="AG60" s="287"/>
      <c r="AH60" s="287"/>
      <c r="AI60" s="287"/>
      <c r="AJ60" s="287"/>
    </row>
    <row r="61">
      <c r="A61" s="287"/>
      <c r="B61" s="287"/>
      <c r="C61" s="287"/>
      <c r="D61" s="287"/>
      <c r="E61" s="287"/>
      <c r="F61" s="287"/>
      <c r="G61" s="287"/>
      <c r="H61" s="287"/>
      <c r="I61" s="287"/>
      <c r="J61" s="287"/>
      <c r="K61" s="287"/>
      <c r="L61" s="287"/>
      <c r="M61" s="287"/>
      <c r="N61" s="287"/>
      <c r="O61" s="287"/>
      <c r="P61" s="287"/>
      <c r="Q61" s="287"/>
      <c r="R61" s="287"/>
      <c r="S61" s="287"/>
      <c r="T61" s="287"/>
      <c r="U61" s="287"/>
      <c r="V61" s="287"/>
      <c r="W61" s="287"/>
      <c r="X61" s="287"/>
      <c r="Y61" s="287"/>
      <c r="Z61" s="287"/>
      <c r="AA61" s="287"/>
      <c r="AB61" s="287"/>
      <c r="AC61" s="287"/>
      <c r="AD61" s="287"/>
      <c r="AE61" s="287"/>
      <c r="AF61" s="287"/>
      <c r="AG61" s="287"/>
      <c r="AH61" s="287"/>
      <c r="AI61" s="287"/>
      <c r="AJ61" s="287"/>
    </row>
    <row r="62">
      <c r="A62" s="287"/>
      <c r="B62" s="287"/>
      <c r="C62" s="287"/>
      <c r="D62" s="287"/>
      <c r="E62" s="287"/>
      <c r="F62" s="287"/>
      <c r="G62" s="287"/>
      <c r="H62" s="287"/>
      <c r="I62" s="287"/>
      <c r="J62" s="287"/>
      <c r="K62" s="287"/>
      <c r="L62" s="287"/>
      <c r="M62" s="287"/>
      <c r="N62" s="287"/>
      <c r="O62" s="287"/>
      <c r="P62" s="287"/>
      <c r="Q62" s="287"/>
      <c r="R62" s="287"/>
      <c r="S62" s="287"/>
      <c r="T62" s="287"/>
      <c r="U62" s="287"/>
      <c r="V62" s="287"/>
      <c r="W62" s="287"/>
      <c r="X62" s="287"/>
      <c r="Y62" s="287"/>
      <c r="Z62" s="287"/>
      <c r="AA62" s="287"/>
      <c r="AB62" s="287"/>
      <c r="AC62" s="287"/>
      <c r="AD62" s="287"/>
      <c r="AE62" s="287"/>
      <c r="AF62" s="287"/>
      <c r="AG62" s="287"/>
      <c r="AH62" s="287"/>
      <c r="AI62" s="287"/>
      <c r="AJ62" s="287"/>
    </row>
    <row r="63">
      <c r="A63" s="287"/>
      <c r="B63" s="287"/>
      <c r="C63" s="287"/>
      <c r="D63" s="287"/>
      <c r="E63" s="287"/>
      <c r="F63" s="287"/>
      <c r="G63" s="287"/>
      <c r="H63" s="287"/>
      <c r="I63" s="287"/>
      <c r="J63" s="287"/>
      <c r="K63" s="287"/>
      <c r="L63" s="287"/>
      <c r="M63" s="287"/>
      <c r="N63" s="287"/>
      <c r="O63" s="287"/>
      <c r="P63" s="287"/>
      <c r="Q63" s="287"/>
      <c r="R63" s="287"/>
      <c r="S63" s="287"/>
      <c r="T63" s="287"/>
      <c r="U63" s="287"/>
      <c r="V63" s="287"/>
      <c r="W63" s="287"/>
      <c r="X63" s="287"/>
      <c r="Y63" s="287"/>
      <c r="Z63" s="287"/>
      <c r="AA63" s="287"/>
      <c r="AB63" s="287"/>
      <c r="AC63" s="287"/>
      <c r="AD63" s="287"/>
      <c r="AE63" s="287"/>
      <c r="AF63" s="287"/>
      <c r="AG63" s="287"/>
      <c r="AH63" s="287"/>
      <c r="AI63" s="287"/>
      <c r="AJ63" s="287"/>
    </row>
    <row r="64">
      <c r="A64" s="287"/>
      <c r="B64" s="287"/>
      <c r="C64" s="287"/>
      <c r="D64" s="287"/>
      <c r="E64" s="287"/>
      <c r="F64" s="287"/>
      <c r="G64" s="287"/>
      <c r="H64" s="287"/>
      <c r="I64" s="287"/>
      <c r="J64" s="287"/>
      <c r="K64" s="287"/>
      <c r="L64" s="287"/>
      <c r="M64" s="287"/>
      <c r="N64" s="287"/>
      <c r="O64" s="287"/>
      <c r="P64" s="287"/>
      <c r="Q64" s="287"/>
      <c r="R64" s="287"/>
      <c r="S64" s="287"/>
      <c r="T64" s="287"/>
      <c r="U64" s="287"/>
      <c r="V64" s="287"/>
      <c r="W64" s="287"/>
      <c r="X64" s="287"/>
      <c r="Y64" s="287"/>
      <c r="Z64" s="287"/>
      <c r="AA64" s="287"/>
      <c r="AB64" s="287"/>
      <c r="AC64" s="287"/>
      <c r="AD64" s="287"/>
      <c r="AE64" s="287"/>
      <c r="AF64" s="287"/>
      <c r="AG64" s="287"/>
      <c r="AH64" s="287"/>
      <c r="AI64" s="287"/>
      <c r="AJ64" s="287"/>
    </row>
    <row r="65">
      <c r="A65" s="287"/>
      <c r="B65" s="287"/>
      <c r="C65" s="287"/>
      <c r="D65" s="287"/>
      <c r="E65" s="287"/>
      <c r="F65" s="287"/>
      <c r="G65" s="287"/>
      <c r="H65" s="287"/>
      <c r="I65" s="287"/>
      <c r="J65" s="287"/>
      <c r="K65" s="287"/>
      <c r="L65" s="287"/>
      <c r="M65" s="287"/>
      <c r="N65" s="287"/>
      <c r="O65" s="287"/>
      <c r="P65" s="287"/>
      <c r="Q65" s="287"/>
      <c r="R65" s="287"/>
      <c r="S65" s="287"/>
      <c r="T65" s="287"/>
      <c r="U65" s="287"/>
      <c r="V65" s="287"/>
      <c r="W65" s="287"/>
      <c r="X65" s="287"/>
      <c r="Y65" s="287"/>
      <c r="Z65" s="287"/>
      <c r="AA65" s="287"/>
      <c r="AB65" s="287"/>
      <c r="AC65" s="287"/>
      <c r="AD65" s="287"/>
      <c r="AE65" s="287"/>
      <c r="AF65" s="287"/>
      <c r="AG65" s="287"/>
      <c r="AH65" s="287"/>
      <c r="AI65" s="287"/>
      <c r="AJ65" s="287"/>
    </row>
    <row r="66">
      <c r="A66" s="287"/>
      <c r="B66" s="287"/>
      <c r="C66" s="287"/>
      <c r="D66" s="287"/>
      <c r="E66" s="287"/>
      <c r="F66" s="287"/>
      <c r="G66" s="287"/>
      <c r="H66" s="287"/>
      <c r="I66" s="287"/>
      <c r="J66" s="287"/>
      <c r="K66" s="287"/>
      <c r="L66" s="287"/>
      <c r="M66" s="287"/>
      <c r="N66" s="287"/>
      <c r="O66" s="287"/>
      <c r="P66" s="287"/>
      <c r="Q66" s="287"/>
      <c r="R66" s="287"/>
      <c r="S66" s="287"/>
      <c r="T66" s="287"/>
      <c r="U66" s="287"/>
      <c r="V66" s="287"/>
      <c r="W66" s="287"/>
      <c r="X66" s="287"/>
      <c r="Y66" s="287"/>
      <c r="Z66" s="287"/>
      <c r="AA66" s="287"/>
      <c r="AB66" s="287"/>
      <c r="AC66" s="287"/>
      <c r="AD66" s="287"/>
      <c r="AE66" s="287"/>
      <c r="AF66" s="287"/>
      <c r="AG66" s="287"/>
      <c r="AH66" s="287"/>
      <c r="AI66" s="287"/>
      <c r="AJ66" s="287"/>
    </row>
    <row r="67">
      <c r="A67" s="287"/>
      <c r="B67" s="287"/>
      <c r="C67" s="287"/>
      <c r="D67" s="287"/>
      <c r="E67" s="287"/>
      <c r="F67" s="287"/>
      <c r="G67" s="287"/>
      <c r="H67" s="287"/>
      <c r="I67" s="287"/>
      <c r="J67" s="287"/>
      <c r="K67" s="287"/>
      <c r="L67" s="287"/>
      <c r="M67" s="287"/>
      <c r="N67" s="287"/>
      <c r="O67" s="287"/>
      <c r="P67" s="287"/>
      <c r="Q67" s="287"/>
      <c r="R67" s="287"/>
      <c r="S67" s="287"/>
      <c r="T67" s="287"/>
      <c r="U67" s="287"/>
      <c r="V67" s="287"/>
      <c r="W67" s="287"/>
      <c r="X67" s="287"/>
      <c r="Y67" s="287"/>
      <c r="Z67" s="287"/>
      <c r="AA67" s="287"/>
      <c r="AB67" s="287"/>
      <c r="AC67" s="287"/>
      <c r="AD67" s="287"/>
      <c r="AE67" s="287"/>
      <c r="AF67" s="287"/>
      <c r="AG67" s="287"/>
      <c r="AH67" s="287"/>
      <c r="AI67" s="287"/>
      <c r="AJ67" s="287"/>
    </row>
    <row r="68">
      <c r="A68" s="287"/>
      <c r="B68" s="287"/>
      <c r="C68" s="287"/>
      <c r="D68" s="287"/>
      <c r="E68" s="287"/>
      <c r="F68" s="287"/>
      <c r="G68" s="287"/>
      <c r="H68" s="287"/>
      <c r="I68" s="287"/>
      <c r="J68" s="287"/>
      <c r="K68" s="287"/>
      <c r="L68" s="287"/>
      <c r="M68" s="287"/>
      <c r="N68" s="287"/>
      <c r="O68" s="287"/>
      <c r="P68" s="287"/>
      <c r="Q68" s="287"/>
      <c r="R68" s="287"/>
      <c r="S68" s="287"/>
      <c r="T68" s="287"/>
      <c r="U68" s="287"/>
      <c r="V68" s="287"/>
      <c r="W68" s="287"/>
      <c r="X68" s="287"/>
      <c r="Y68" s="287"/>
      <c r="Z68" s="287"/>
      <c r="AA68" s="287"/>
      <c r="AB68" s="287"/>
      <c r="AC68" s="287"/>
      <c r="AD68" s="287"/>
      <c r="AE68" s="287"/>
      <c r="AF68" s="287"/>
      <c r="AG68" s="287"/>
      <c r="AH68" s="287"/>
      <c r="AI68" s="287"/>
      <c r="AJ68" s="287"/>
    </row>
    <row r="69">
      <c r="A69" s="287"/>
      <c r="B69" s="287"/>
      <c r="C69" s="287"/>
      <c r="D69" s="287"/>
      <c r="E69" s="287"/>
      <c r="F69" s="287"/>
      <c r="G69" s="287"/>
      <c r="H69" s="287"/>
      <c r="I69" s="287"/>
      <c r="J69" s="287"/>
      <c r="K69" s="287"/>
      <c r="L69" s="287"/>
      <c r="M69" s="287"/>
      <c r="N69" s="287"/>
      <c r="O69" s="287"/>
      <c r="P69" s="287"/>
      <c r="Q69" s="287"/>
      <c r="R69" s="287"/>
      <c r="S69" s="287"/>
      <c r="T69" s="287"/>
      <c r="U69" s="287"/>
      <c r="V69" s="287"/>
      <c r="W69" s="287"/>
      <c r="X69" s="287"/>
      <c r="Y69" s="287"/>
      <c r="Z69" s="287"/>
      <c r="AA69" s="287"/>
      <c r="AB69" s="287"/>
      <c r="AC69" s="287"/>
      <c r="AD69" s="287"/>
      <c r="AE69" s="287"/>
      <c r="AF69" s="287"/>
      <c r="AG69" s="287"/>
      <c r="AH69" s="287"/>
      <c r="AI69" s="287"/>
      <c r="AJ69" s="287"/>
    </row>
    <row r="70">
      <c r="A70" s="287"/>
      <c r="B70" s="287"/>
      <c r="C70" s="287"/>
      <c r="D70" s="287"/>
      <c r="E70" s="287"/>
      <c r="F70" s="287"/>
      <c r="G70" s="287"/>
      <c r="H70" s="287"/>
      <c r="I70" s="287"/>
      <c r="J70" s="287"/>
      <c r="K70" s="287"/>
      <c r="L70" s="287"/>
      <c r="M70" s="287"/>
      <c r="N70" s="287"/>
      <c r="O70" s="287"/>
      <c r="P70" s="287"/>
      <c r="Q70" s="287"/>
      <c r="R70" s="287"/>
      <c r="S70" s="287"/>
      <c r="T70" s="287"/>
      <c r="U70" s="287"/>
      <c r="V70" s="287"/>
      <c r="W70" s="287"/>
      <c r="X70" s="287"/>
      <c r="Y70" s="287"/>
      <c r="Z70" s="287"/>
      <c r="AA70" s="287"/>
      <c r="AB70" s="287"/>
      <c r="AC70" s="287"/>
      <c r="AD70" s="287"/>
      <c r="AE70" s="287"/>
      <c r="AF70" s="287"/>
      <c r="AG70" s="287"/>
      <c r="AH70" s="287"/>
      <c r="AI70" s="287"/>
      <c r="AJ70" s="287"/>
    </row>
    <row r="71">
      <c r="A71" s="287"/>
      <c r="B71" s="287"/>
      <c r="C71" s="287"/>
      <c r="D71" s="287"/>
      <c r="E71" s="287"/>
      <c r="F71" s="287"/>
      <c r="G71" s="287"/>
      <c r="H71" s="287"/>
      <c r="I71" s="287"/>
      <c r="J71" s="287"/>
      <c r="K71" s="287"/>
      <c r="L71" s="287"/>
      <c r="M71" s="287"/>
      <c r="N71" s="287"/>
      <c r="O71" s="287"/>
      <c r="P71" s="287"/>
      <c r="Q71" s="287"/>
      <c r="R71" s="287"/>
      <c r="S71" s="287"/>
      <c r="T71" s="287"/>
      <c r="U71" s="287"/>
      <c r="V71" s="287"/>
      <c r="W71" s="287"/>
      <c r="X71" s="287"/>
      <c r="Y71" s="287"/>
      <c r="Z71" s="287"/>
      <c r="AA71" s="287"/>
      <c r="AB71" s="287"/>
      <c r="AC71" s="287"/>
      <c r="AD71" s="287"/>
      <c r="AE71" s="287"/>
      <c r="AF71" s="287"/>
      <c r="AG71" s="287"/>
      <c r="AH71" s="287"/>
      <c r="AI71" s="287"/>
      <c r="AJ71" s="287"/>
    </row>
    <row r="72">
      <c r="A72" s="287"/>
      <c r="B72" s="287"/>
      <c r="C72" s="287"/>
      <c r="D72" s="287"/>
      <c r="E72" s="287"/>
      <c r="F72" s="287"/>
      <c r="G72" s="287"/>
      <c r="H72" s="287"/>
      <c r="I72" s="287"/>
      <c r="J72" s="287"/>
      <c r="K72" s="287"/>
      <c r="L72" s="287"/>
      <c r="M72" s="287"/>
      <c r="N72" s="287"/>
      <c r="O72" s="287"/>
      <c r="P72" s="287"/>
      <c r="Q72" s="287"/>
      <c r="R72" s="287"/>
      <c r="S72" s="287"/>
      <c r="T72" s="287"/>
      <c r="U72" s="287"/>
      <c r="V72" s="287"/>
      <c r="W72" s="287"/>
      <c r="X72" s="287"/>
      <c r="Y72" s="287"/>
      <c r="Z72" s="287"/>
      <c r="AA72" s="287"/>
      <c r="AB72" s="287"/>
      <c r="AC72" s="287"/>
      <c r="AD72" s="287"/>
      <c r="AE72" s="287"/>
      <c r="AF72" s="287"/>
      <c r="AG72" s="287"/>
      <c r="AH72" s="287"/>
      <c r="AI72" s="287"/>
      <c r="AJ72" s="287"/>
    </row>
    <row r="73">
      <c r="A73" s="287"/>
      <c r="B73" s="287"/>
      <c r="C73" s="287"/>
      <c r="D73" s="287"/>
      <c r="E73" s="287"/>
      <c r="F73" s="287"/>
      <c r="G73" s="287"/>
      <c r="H73" s="287"/>
      <c r="I73" s="287"/>
      <c r="J73" s="287"/>
      <c r="K73" s="287"/>
      <c r="L73" s="287"/>
      <c r="M73" s="287"/>
      <c r="N73" s="287"/>
      <c r="O73" s="287"/>
      <c r="P73" s="287"/>
      <c r="Q73" s="287"/>
      <c r="R73" s="287"/>
      <c r="S73" s="287"/>
      <c r="T73" s="287"/>
      <c r="U73" s="287"/>
      <c r="V73" s="287"/>
      <c r="W73" s="287"/>
      <c r="X73" s="287"/>
      <c r="Y73" s="287"/>
      <c r="Z73" s="287"/>
      <c r="AA73" s="287"/>
      <c r="AB73" s="287"/>
      <c r="AC73" s="287"/>
      <c r="AD73" s="287"/>
      <c r="AE73" s="287"/>
      <c r="AF73" s="287"/>
      <c r="AG73" s="287"/>
      <c r="AH73" s="287"/>
      <c r="AI73" s="287"/>
      <c r="AJ73" s="287"/>
    </row>
    <row r="74">
      <c r="A74" s="287"/>
      <c r="B74" s="287"/>
      <c r="C74" s="287"/>
      <c r="D74" s="287"/>
      <c r="E74" s="287"/>
      <c r="F74" s="287"/>
      <c r="G74" s="287"/>
      <c r="H74" s="287"/>
      <c r="I74" s="287"/>
      <c r="J74" s="287"/>
      <c r="K74" s="287"/>
      <c r="L74" s="287"/>
      <c r="M74" s="287"/>
      <c r="N74" s="287"/>
      <c r="O74" s="287"/>
      <c r="P74" s="287"/>
      <c r="Q74" s="287"/>
      <c r="R74" s="287"/>
      <c r="S74" s="287"/>
      <c r="T74" s="287"/>
      <c r="U74" s="287"/>
      <c r="V74" s="287"/>
      <c r="W74" s="287"/>
      <c r="X74" s="287"/>
      <c r="Y74" s="287"/>
      <c r="Z74" s="287"/>
      <c r="AA74" s="287"/>
      <c r="AB74" s="287"/>
      <c r="AC74" s="287"/>
      <c r="AD74" s="287"/>
      <c r="AE74" s="287"/>
      <c r="AF74" s="287"/>
      <c r="AG74" s="287"/>
      <c r="AH74" s="287"/>
      <c r="AI74" s="287"/>
      <c r="AJ74" s="287"/>
    </row>
    <row r="75">
      <c r="A75" s="287"/>
      <c r="B75" s="287"/>
      <c r="C75" s="287"/>
      <c r="D75" s="287"/>
      <c r="E75" s="287"/>
      <c r="F75" s="287"/>
      <c r="G75" s="287"/>
      <c r="H75" s="287"/>
      <c r="I75" s="287"/>
      <c r="J75" s="287"/>
      <c r="K75" s="287"/>
      <c r="L75" s="287"/>
      <c r="M75" s="287"/>
      <c r="N75" s="287"/>
      <c r="O75" s="287"/>
      <c r="P75" s="287"/>
      <c r="Q75" s="287"/>
      <c r="R75" s="287"/>
      <c r="S75" s="287"/>
      <c r="T75" s="287"/>
      <c r="U75" s="287"/>
      <c r="V75" s="287"/>
      <c r="W75" s="287"/>
      <c r="X75" s="287"/>
      <c r="Y75" s="287"/>
      <c r="Z75" s="287"/>
      <c r="AA75" s="287"/>
      <c r="AB75" s="287"/>
      <c r="AC75" s="287"/>
      <c r="AD75" s="287"/>
      <c r="AE75" s="287"/>
      <c r="AF75" s="287"/>
      <c r="AG75" s="287"/>
      <c r="AH75" s="287"/>
      <c r="AI75" s="287"/>
      <c r="AJ75" s="287"/>
    </row>
    <row r="76">
      <c r="A76" s="287"/>
      <c r="B76" s="287"/>
      <c r="C76" s="287"/>
      <c r="D76" s="287"/>
      <c r="E76" s="287"/>
      <c r="F76" s="287"/>
      <c r="G76" s="287"/>
      <c r="H76" s="287"/>
      <c r="I76" s="287"/>
      <c r="J76" s="287"/>
      <c r="K76" s="287"/>
      <c r="L76" s="287"/>
      <c r="M76" s="287"/>
      <c r="N76" s="287"/>
      <c r="O76" s="287"/>
      <c r="P76" s="287"/>
      <c r="Q76" s="287"/>
      <c r="R76" s="287"/>
      <c r="S76" s="287"/>
      <c r="T76" s="287"/>
      <c r="U76" s="287"/>
      <c r="V76" s="287"/>
      <c r="W76" s="287"/>
      <c r="X76" s="287"/>
      <c r="Y76" s="287"/>
      <c r="Z76" s="287"/>
      <c r="AA76" s="287"/>
      <c r="AB76" s="287"/>
      <c r="AC76" s="287"/>
      <c r="AD76" s="287"/>
      <c r="AE76" s="287"/>
      <c r="AF76" s="287"/>
      <c r="AG76" s="287"/>
      <c r="AH76" s="287"/>
      <c r="AI76" s="287"/>
      <c r="AJ76" s="287"/>
    </row>
    <row r="77">
      <c r="A77" s="287"/>
      <c r="B77" s="287"/>
      <c r="C77" s="287"/>
      <c r="D77" s="287"/>
      <c r="E77" s="287"/>
      <c r="F77" s="287"/>
      <c r="G77" s="287"/>
      <c r="H77" s="287"/>
      <c r="I77" s="287"/>
      <c r="J77" s="287"/>
      <c r="K77" s="287"/>
      <c r="L77" s="287"/>
      <c r="M77" s="287"/>
      <c r="N77" s="287"/>
      <c r="O77" s="287"/>
      <c r="P77" s="287"/>
      <c r="Q77" s="287"/>
      <c r="R77" s="287"/>
      <c r="S77" s="287"/>
      <c r="T77" s="287"/>
      <c r="U77" s="287"/>
      <c r="V77" s="287"/>
      <c r="W77" s="287"/>
      <c r="X77" s="287"/>
      <c r="Y77" s="287"/>
      <c r="Z77" s="287"/>
      <c r="AA77" s="287"/>
      <c r="AB77" s="287"/>
      <c r="AC77" s="287"/>
      <c r="AD77" s="287"/>
      <c r="AE77" s="287"/>
      <c r="AF77" s="287"/>
      <c r="AG77" s="287"/>
      <c r="AH77" s="287"/>
      <c r="AI77" s="287"/>
      <c r="AJ77" s="287"/>
    </row>
    <row r="78">
      <c r="A78" s="287"/>
      <c r="B78" s="287"/>
      <c r="C78" s="287"/>
      <c r="D78" s="287"/>
      <c r="E78" s="287"/>
      <c r="F78" s="287"/>
      <c r="G78" s="287"/>
      <c r="H78" s="287"/>
      <c r="I78" s="287"/>
      <c r="J78" s="287"/>
      <c r="K78" s="287"/>
      <c r="L78" s="287"/>
      <c r="M78" s="287"/>
      <c r="N78" s="287"/>
      <c r="O78" s="287"/>
      <c r="P78" s="287"/>
      <c r="Q78" s="287"/>
      <c r="R78" s="287"/>
      <c r="S78" s="287"/>
      <c r="T78" s="287"/>
      <c r="U78" s="287"/>
      <c r="V78" s="287"/>
      <c r="W78" s="287"/>
      <c r="X78" s="287"/>
      <c r="Y78" s="287"/>
      <c r="Z78" s="287"/>
      <c r="AA78" s="287"/>
      <c r="AB78" s="287"/>
      <c r="AC78" s="287"/>
      <c r="AD78" s="287"/>
      <c r="AE78" s="287"/>
      <c r="AF78" s="287"/>
      <c r="AG78" s="287"/>
      <c r="AH78" s="287"/>
      <c r="AI78" s="287"/>
      <c r="AJ78" s="287"/>
    </row>
    <row r="79">
      <c r="A79" s="287"/>
      <c r="B79" s="287"/>
      <c r="C79" s="287"/>
      <c r="D79" s="287"/>
      <c r="E79" s="287"/>
      <c r="F79" s="287"/>
      <c r="G79" s="287"/>
      <c r="H79" s="287"/>
      <c r="I79" s="287"/>
      <c r="J79" s="287"/>
      <c r="K79" s="287"/>
      <c r="L79" s="287"/>
      <c r="M79" s="287"/>
      <c r="N79" s="287"/>
      <c r="O79" s="287"/>
      <c r="P79" s="287"/>
      <c r="Q79" s="287"/>
      <c r="R79" s="287"/>
      <c r="S79" s="287"/>
      <c r="T79" s="287"/>
      <c r="U79" s="287"/>
      <c r="V79" s="287"/>
      <c r="W79" s="287"/>
      <c r="X79" s="287"/>
      <c r="Y79" s="287"/>
      <c r="Z79" s="287"/>
      <c r="AA79" s="287"/>
      <c r="AB79" s="287"/>
      <c r="AC79" s="287"/>
      <c r="AD79" s="287"/>
      <c r="AE79" s="287"/>
      <c r="AF79" s="287"/>
      <c r="AG79" s="287"/>
      <c r="AH79" s="287"/>
      <c r="AI79" s="287"/>
      <c r="AJ79" s="287"/>
    </row>
    <row r="80">
      <c r="A80" s="287"/>
      <c r="B80" s="287"/>
      <c r="C80" s="287"/>
      <c r="D80" s="287"/>
      <c r="E80" s="287"/>
      <c r="F80" s="287"/>
      <c r="G80" s="287"/>
      <c r="H80" s="287"/>
      <c r="I80" s="287"/>
      <c r="J80" s="287"/>
      <c r="K80" s="287"/>
      <c r="L80" s="287"/>
      <c r="M80" s="287"/>
      <c r="N80" s="287"/>
      <c r="O80" s="287"/>
      <c r="P80" s="287"/>
      <c r="Q80" s="287"/>
      <c r="R80" s="287"/>
      <c r="S80" s="287"/>
      <c r="T80" s="287"/>
      <c r="U80" s="287"/>
      <c r="V80" s="287"/>
      <c r="W80" s="287"/>
      <c r="X80" s="287"/>
      <c r="Y80" s="287"/>
      <c r="Z80" s="287"/>
      <c r="AA80" s="287"/>
      <c r="AB80" s="287"/>
      <c r="AC80" s="287"/>
      <c r="AD80" s="287"/>
      <c r="AE80" s="287"/>
      <c r="AF80" s="287"/>
      <c r="AG80" s="287"/>
      <c r="AH80" s="287"/>
      <c r="AI80" s="287"/>
      <c r="AJ80" s="287"/>
    </row>
    <row r="81">
      <c r="A81" s="287"/>
      <c r="B81" s="287"/>
      <c r="C81" s="287"/>
      <c r="D81" s="287"/>
      <c r="E81" s="287"/>
      <c r="F81" s="287"/>
      <c r="G81" s="287"/>
      <c r="H81" s="287"/>
      <c r="I81" s="287"/>
      <c r="J81" s="287"/>
      <c r="K81" s="287"/>
      <c r="L81" s="287"/>
      <c r="M81" s="287"/>
      <c r="N81" s="287"/>
      <c r="O81" s="287"/>
      <c r="P81" s="287"/>
      <c r="Q81" s="287"/>
      <c r="R81" s="287"/>
      <c r="S81" s="287"/>
      <c r="T81" s="287"/>
      <c r="U81" s="287"/>
      <c r="V81" s="287"/>
      <c r="W81" s="287"/>
      <c r="X81" s="287"/>
      <c r="Y81" s="287"/>
      <c r="Z81" s="287"/>
      <c r="AA81" s="287"/>
      <c r="AB81" s="287"/>
      <c r="AC81" s="287"/>
      <c r="AD81" s="287"/>
      <c r="AE81" s="287"/>
      <c r="AF81" s="287"/>
      <c r="AG81" s="287"/>
      <c r="AH81" s="287"/>
      <c r="AI81" s="287"/>
      <c r="AJ81" s="287"/>
    </row>
    <row r="82">
      <c r="A82" s="287"/>
      <c r="B82" s="287"/>
      <c r="C82" s="287"/>
      <c r="D82" s="287"/>
      <c r="E82" s="287"/>
      <c r="F82" s="287"/>
      <c r="G82" s="287"/>
      <c r="H82" s="287"/>
      <c r="I82" s="287"/>
      <c r="J82" s="287"/>
      <c r="K82" s="287"/>
      <c r="L82" s="287"/>
      <c r="M82" s="287"/>
      <c r="N82" s="287"/>
      <c r="O82" s="287"/>
      <c r="P82" s="287"/>
      <c r="Q82" s="287"/>
      <c r="R82" s="287"/>
      <c r="S82" s="287"/>
      <c r="T82" s="287"/>
      <c r="U82" s="287"/>
      <c r="V82" s="287"/>
      <c r="W82" s="287"/>
      <c r="X82" s="287"/>
      <c r="Y82" s="287"/>
      <c r="Z82" s="287"/>
      <c r="AA82" s="287"/>
      <c r="AB82" s="287"/>
      <c r="AC82" s="287"/>
      <c r="AD82" s="287"/>
      <c r="AE82" s="287"/>
      <c r="AF82" s="287"/>
      <c r="AG82" s="287"/>
      <c r="AH82" s="287"/>
      <c r="AI82" s="287"/>
      <c r="AJ82" s="287"/>
    </row>
    <row r="83">
      <c r="A83" s="287"/>
      <c r="B83" s="287"/>
      <c r="C83" s="287"/>
      <c r="D83" s="287"/>
      <c r="E83" s="287"/>
      <c r="F83" s="287"/>
      <c r="G83" s="287"/>
      <c r="H83" s="287"/>
      <c r="I83" s="287"/>
      <c r="J83" s="287"/>
      <c r="K83" s="287"/>
      <c r="L83" s="287"/>
      <c r="M83" s="287"/>
      <c r="N83" s="287"/>
      <c r="O83" s="287"/>
      <c r="P83" s="287"/>
      <c r="Q83" s="287"/>
      <c r="R83" s="287"/>
      <c r="S83" s="287"/>
      <c r="T83" s="287"/>
      <c r="U83" s="287"/>
      <c r="V83" s="287"/>
      <c r="W83" s="287"/>
      <c r="X83" s="287"/>
      <c r="Y83" s="287"/>
      <c r="Z83" s="287"/>
      <c r="AA83" s="287"/>
      <c r="AB83" s="287"/>
      <c r="AC83" s="287"/>
      <c r="AD83" s="287"/>
      <c r="AE83" s="287"/>
      <c r="AF83" s="287"/>
      <c r="AG83" s="287"/>
      <c r="AH83" s="287"/>
      <c r="AI83" s="287"/>
      <c r="AJ83" s="287"/>
    </row>
    <row r="84">
      <c r="A84" s="287"/>
      <c r="B84" s="287"/>
      <c r="C84" s="287"/>
      <c r="D84" s="287"/>
      <c r="E84" s="287"/>
      <c r="F84" s="287"/>
      <c r="G84" s="287"/>
      <c r="H84" s="287"/>
      <c r="I84" s="287"/>
      <c r="J84" s="287"/>
      <c r="K84" s="287"/>
      <c r="L84" s="287"/>
      <c r="M84" s="287"/>
      <c r="N84" s="287"/>
      <c r="O84" s="287"/>
      <c r="P84" s="287"/>
      <c r="Q84" s="287"/>
      <c r="R84" s="287"/>
      <c r="S84" s="287"/>
      <c r="T84" s="287"/>
      <c r="U84" s="287"/>
      <c r="V84" s="287"/>
      <c r="W84" s="287"/>
      <c r="X84" s="287"/>
      <c r="Y84" s="287"/>
      <c r="Z84" s="287"/>
      <c r="AA84" s="287"/>
      <c r="AB84" s="287"/>
      <c r="AC84" s="287"/>
      <c r="AD84" s="287"/>
      <c r="AE84" s="287"/>
      <c r="AF84" s="287"/>
      <c r="AG84" s="287"/>
      <c r="AH84" s="287"/>
      <c r="AI84" s="287"/>
      <c r="AJ84" s="287"/>
    </row>
    <row r="85">
      <c r="A85" s="287"/>
      <c r="B85" s="287"/>
      <c r="C85" s="287"/>
      <c r="D85" s="287"/>
      <c r="E85" s="287"/>
      <c r="F85" s="287"/>
      <c r="G85" s="287"/>
      <c r="H85" s="287"/>
      <c r="I85" s="287"/>
      <c r="J85" s="287"/>
      <c r="K85" s="287"/>
      <c r="L85" s="287"/>
      <c r="M85" s="287"/>
      <c r="N85" s="287"/>
      <c r="O85" s="287"/>
      <c r="P85" s="287"/>
      <c r="Q85" s="287"/>
      <c r="R85" s="287"/>
      <c r="S85" s="287"/>
      <c r="T85" s="287"/>
      <c r="U85" s="287"/>
      <c r="V85" s="287"/>
      <c r="W85" s="287"/>
      <c r="X85" s="287"/>
      <c r="Y85" s="287"/>
      <c r="Z85" s="287"/>
      <c r="AA85" s="287"/>
      <c r="AB85" s="287"/>
      <c r="AC85" s="287"/>
      <c r="AD85" s="287"/>
      <c r="AE85" s="287"/>
      <c r="AF85" s="287"/>
      <c r="AG85" s="287"/>
      <c r="AH85" s="287"/>
      <c r="AI85" s="287"/>
      <c r="AJ85" s="287"/>
    </row>
    <row r="86">
      <c r="A86" s="287"/>
      <c r="B86" s="287"/>
      <c r="C86" s="287"/>
      <c r="D86" s="287"/>
      <c r="E86" s="287"/>
      <c r="F86" s="287"/>
      <c r="G86" s="287"/>
      <c r="H86" s="287"/>
      <c r="I86" s="287"/>
      <c r="J86" s="287"/>
      <c r="K86" s="287"/>
      <c r="L86" s="287"/>
      <c r="M86" s="287"/>
      <c r="N86" s="287"/>
      <c r="O86" s="287"/>
      <c r="P86" s="287"/>
      <c r="Q86" s="287"/>
      <c r="R86" s="287"/>
      <c r="S86" s="287"/>
      <c r="T86" s="287"/>
      <c r="U86" s="287"/>
      <c r="V86" s="287"/>
      <c r="W86" s="287"/>
      <c r="X86" s="287"/>
      <c r="Y86" s="287"/>
      <c r="Z86" s="287"/>
      <c r="AA86" s="287"/>
      <c r="AB86" s="287"/>
      <c r="AC86" s="287"/>
      <c r="AD86" s="287"/>
      <c r="AE86" s="287"/>
      <c r="AF86" s="287"/>
      <c r="AG86" s="287"/>
      <c r="AH86" s="287"/>
      <c r="AI86" s="287"/>
      <c r="AJ86" s="287"/>
    </row>
    <row r="87">
      <c r="A87" s="287"/>
      <c r="B87" s="287"/>
      <c r="C87" s="287"/>
      <c r="D87" s="287"/>
      <c r="E87" s="287"/>
      <c r="F87" s="287"/>
      <c r="G87" s="287"/>
      <c r="H87" s="287"/>
      <c r="I87" s="287"/>
      <c r="J87" s="287"/>
      <c r="K87" s="287"/>
      <c r="L87" s="287"/>
      <c r="M87" s="287"/>
      <c r="N87" s="287"/>
      <c r="O87" s="287"/>
      <c r="P87" s="287"/>
      <c r="Q87" s="287"/>
      <c r="R87" s="287"/>
      <c r="S87" s="287"/>
      <c r="T87" s="287"/>
      <c r="U87" s="287"/>
      <c r="V87" s="287"/>
      <c r="W87" s="287"/>
      <c r="X87" s="287"/>
      <c r="Y87" s="287"/>
      <c r="Z87" s="287"/>
      <c r="AA87" s="287"/>
      <c r="AB87" s="287"/>
      <c r="AC87" s="287"/>
      <c r="AD87" s="287"/>
      <c r="AE87" s="287"/>
      <c r="AF87" s="287"/>
      <c r="AG87" s="287"/>
      <c r="AH87" s="287"/>
      <c r="AI87" s="287"/>
      <c r="AJ87" s="287"/>
    </row>
    <row r="88">
      <c r="A88" s="287"/>
      <c r="B88" s="287"/>
      <c r="C88" s="287"/>
      <c r="D88" s="287"/>
      <c r="E88" s="287"/>
      <c r="F88" s="287"/>
      <c r="G88" s="287"/>
      <c r="H88" s="287"/>
      <c r="I88" s="287"/>
      <c r="J88" s="287"/>
      <c r="K88" s="287"/>
      <c r="L88" s="287"/>
      <c r="M88" s="287"/>
      <c r="N88" s="287"/>
      <c r="O88" s="287"/>
      <c r="P88" s="287"/>
      <c r="Q88" s="287"/>
      <c r="R88" s="287"/>
      <c r="S88" s="287"/>
      <c r="T88" s="287"/>
      <c r="U88" s="287"/>
      <c r="V88" s="287"/>
      <c r="W88" s="287"/>
      <c r="X88" s="287"/>
      <c r="Y88" s="287"/>
      <c r="Z88" s="287"/>
      <c r="AA88" s="287"/>
      <c r="AB88" s="287"/>
      <c r="AC88" s="287"/>
      <c r="AD88" s="287"/>
      <c r="AE88" s="287"/>
      <c r="AF88" s="287"/>
      <c r="AG88" s="287"/>
      <c r="AH88" s="287"/>
      <c r="AI88" s="287"/>
      <c r="AJ88" s="287"/>
    </row>
    <row r="89">
      <c r="A89" s="287"/>
      <c r="B89" s="287"/>
      <c r="C89" s="287"/>
      <c r="D89" s="287"/>
      <c r="E89" s="287"/>
      <c r="F89" s="287"/>
      <c r="G89" s="287"/>
      <c r="H89" s="287"/>
      <c r="I89" s="287"/>
      <c r="J89" s="287"/>
      <c r="K89" s="287"/>
      <c r="L89" s="287"/>
      <c r="M89" s="287"/>
      <c r="N89" s="287"/>
      <c r="O89" s="287"/>
      <c r="P89" s="287"/>
      <c r="Q89" s="287"/>
      <c r="R89" s="287"/>
      <c r="S89" s="287"/>
      <c r="T89" s="287"/>
      <c r="U89" s="287"/>
      <c r="V89" s="287"/>
      <c r="W89" s="287"/>
      <c r="X89" s="287"/>
      <c r="Y89" s="287"/>
      <c r="Z89" s="287"/>
      <c r="AA89" s="287"/>
      <c r="AB89" s="287"/>
      <c r="AC89" s="287"/>
      <c r="AD89" s="287"/>
      <c r="AE89" s="287"/>
      <c r="AF89" s="287"/>
      <c r="AG89" s="287"/>
      <c r="AH89" s="287"/>
      <c r="AI89" s="287"/>
      <c r="AJ89" s="287"/>
    </row>
    <row r="90">
      <c r="A90" s="287"/>
      <c r="B90" s="287"/>
      <c r="C90" s="287"/>
      <c r="D90" s="287"/>
      <c r="E90" s="287"/>
      <c r="F90" s="287"/>
      <c r="G90" s="287"/>
      <c r="H90" s="287"/>
      <c r="I90" s="287"/>
      <c r="J90" s="287"/>
      <c r="K90" s="287"/>
      <c r="L90" s="287"/>
      <c r="M90" s="287"/>
      <c r="N90" s="287"/>
      <c r="O90" s="287"/>
      <c r="P90" s="287"/>
      <c r="Q90" s="287"/>
      <c r="R90" s="287"/>
      <c r="S90" s="287"/>
      <c r="T90" s="287"/>
      <c r="U90" s="287"/>
      <c r="V90" s="287"/>
      <c r="W90" s="287"/>
      <c r="X90" s="287"/>
      <c r="Y90" s="287"/>
      <c r="Z90" s="287"/>
      <c r="AA90" s="287"/>
      <c r="AB90" s="287"/>
      <c r="AC90" s="287"/>
      <c r="AD90" s="287"/>
      <c r="AE90" s="287"/>
      <c r="AF90" s="287"/>
      <c r="AG90" s="287"/>
      <c r="AH90" s="287"/>
      <c r="AI90" s="287"/>
      <c r="AJ90" s="287"/>
    </row>
    <row r="91">
      <c r="A91" s="287"/>
      <c r="B91" s="287"/>
      <c r="C91" s="287"/>
      <c r="D91" s="287"/>
      <c r="E91" s="287"/>
      <c r="F91" s="287"/>
      <c r="G91" s="287"/>
      <c r="H91" s="287"/>
      <c r="I91" s="287"/>
      <c r="J91" s="287"/>
      <c r="K91" s="287"/>
      <c r="L91" s="287"/>
      <c r="M91" s="287"/>
      <c r="N91" s="287"/>
      <c r="O91" s="287"/>
      <c r="P91" s="287"/>
      <c r="Q91" s="287"/>
      <c r="R91" s="287"/>
      <c r="S91" s="287"/>
      <c r="T91" s="287"/>
      <c r="U91" s="287"/>
      <c r="V91" s="287"/>
      <c r="W91" s="287"/>
      <c r="X91" s="287"/>
      <c r="Y91" s="287"/>
      <c r="Z91" s="287"/>
      <c r="AA91" s="287"/>
      <c r="AB91" s="287"/>
      <c r="AC91" s="287"/>
      <c r="AD91" s="287"/>
      <c r="AE91" s="287"/>
      <c r="AF91" s="287"/>
      <c r="AG91" s="287"/>
      <c r="AH91" s="287"/>
      <c r="AI91" s="287"/>
      <c r="AJ91" s="287"/>
    </row>
    <row r="92">
      <c r="A92" s="287"/>
      <c r="B92" s="287"/>
      <c r="C92" s="287"/>
      <c r="D92" s="287"/>
      <c r="E92" s="287"/>
      <c r="F92" s="287"/>
      <c r="G92" s="287"/>
      <c r="H92" s="287"/>
      <c r="I92" s="287"/>
      <c r="J92" s="287"/>
      <c r="K92" s="287"/>
      <c r="L92" s="287"/>
      <c r="M92" s="287"/>
      <c r="N92" s="287"/>
      <c r="O92" s="287"/>
      <c r="P92" s="287"/>
      <c r="Q92" s="287"/>
      <c r="R92" s="287"/>
      <c r="S92" s="287"/>
      <c r="T92" s="287"/>
      <c r="U92" s="287"/>
      <c r="V92" s="287"/>
      <c r="W92" s="287"/>
      <c r="X92" s="287"/>
      <c r="Y92" s="287"/>
      <c r="Z92" s="287"/>
      <c r="AA92" s="287"/>
      <c r="AB92" s="287"/>
      <c r="AC92" s="287"/>
      <c r="AD92" s="287"/>
      <c r="AE92" s="287"/>
      <c r="AF92" s="287"/>
      <c r="AG92" s="287"/>
      <c r="AH92" s="287"/>
      <c r="AI92" s="287"/>
      <c r="AJ92" s="287"/>
    </row>
    <row r="93">
      <c r="A93" s="287"/>
      <c r="B93" s="287"/>
      <c r="C93" s="287"/>
      <c r="D93" s="287"/>
      <c r="E93" s="287"/>
      <c r="F93" s="287"/>
      <c r="G93" s="287"/>
      <c r="H93" s="287"/>
      <c r="I93" s="287"/>
      <c r="J93" s="287"/>
      <c r="K93" s="287"/>
      <c r="L93" s="287"/>
      <c r="M93" s="287"/>
      <c r="N93" s="287"/>
      <c r="O93" s="287"/>
      <c r="P93" s="287"/>
      <c r="Q93" s="287"/>
      <c r="R93" s="287"/>
      <c r="S93" s="287"/>
      <c r="T93" s="287"/>
      <c r="U93" s="287"/>
      <c r="V93" s="287"/>
      <c r="W93" s="287"/>
      <c r="X93" s="287"/>
      <c r="Y93" s="287"/>
      <c r="Z93" s="287"/>
      <c r="AA93" s="287"/>
      <c r="AB93" s="287"/>
      <c r="AC93" s="287"/>
      <c r="AD93" s="287"/>
      <c r="AE93" s="287"/>
      <c r="AF93" s="287"/>
      <c r="AG93" s="287"/>
      <c r="AH93" s="287"/>
      <c r="AI93" s="287"/>
      <c r="AJ93" s="287"/>
    </row>
    <row r="94">
      <c r="A94" s="287"/>
      <c r="B94" s="287"/>
      <c r="C94" s="287"/>
      <c r="D94" s="287"/>
      <c r="E94" s="287"/>
      <c r="F94" s="287"/>
      <c r="G94" s="287"/>
      <c r="H94" s="287"/>
      <c r="I94" s="287"/>
      <c r="J94" s="287"/>
      <c r="K94" s="287"/>
      <c r="L94" s="287"/>
      <c r="M94" s="287"/>
      <c r="N94" s="287"/>
      <c r="O94" s="287"/>
      <c r="P94" s="287"/>
      <c r="Q94" s="287"/>
      <c r="R94" s="287"/>
      <c r="S94" s="287"/>
      <c r="T94" s="287"/>
      <c r="U94" s="287"/>
      <c r="V94" s="287"/>
      <c r="W94" s="287"/>
      <c r="X94" s="287"/>
      <c r="Y94" s="287"/>
      <c r="Z94" s="287"/>
      <c r="AA94" s="287"/>
      <c r="AB94" s="287"/>
      <c r="AC94" s="287"/>
      <c r="AD94" s="287"/>
      <c r="AE94" s="287"/>
      <c r="AF94" s="287"/>
      <c r="AG94" s="287"/>
      <c r="AH94" s="287"/>
      <c r="AI94" s="287"/>
      <c r="AJ94" s="287"/>
    </row>
    <row r="95">
      <c r="A95" s="287"/>
      <c r="B95" s="287"/>
      <c r="C95" s="287"/>
      <c r="D95" s="287"/>
      <c r="E95" s="287"/>
      <c r="F95" s="287"/>
      <c r="G95" s="287"/>
      <c r="H95" s="287"/>
      <c r="I95" s="287"/>
      <c r="J95" s="287"/>
      <c r="K95" s="287"/>
      <c r="L95" s="287"/>
      <c r="M95" s="287"/>
      <c r="N95" s="287"/>
      <c r="O95" s="287"/>
      <c r="P95" s="287"/>
      <c r="Q95" s="287"/>
      <c r="R95" s="287"/>
      <c r="S95" s="287"/>
      <c r="T95" s="287"/>
      <c r="U95" s="287"/>
      <c r="V95" s="287"/>
      <c r="W95" s="287"/>
      <c r="X95" s="287"/>
      <c r="Y95" s="287"/>
      <c r="Z95" s="287"/>
      <c r="AA95" s="287"/>
      <c r="AB95" s="287"/>
      <c r="AC95" s="287"/>
      <c r="AD95" s="287"/>
      <c r="AE95" s="287"/>
      <c r="AF95" s="287"/>
      <c r="AG95" s="287"/>
      <c r="AH95" s="287"/>
      <c r="AI95" s="287"/>
      <c r="AJ95" s="287"/>
    </row>
    <row r="96">
      <c r="A96" s="287"/>
      <c r="B96" s="287"/>
      <c r="C96" s="287"/>
      <c r="D96" s="287"/>
      <c r="E96" s="287"/>
      <c r="F96" s="287"/>
      <c r="G96" s="287"/>
      <c r="H96" s="287"/>
      <c r="I96" s="287"/>
      <c r="J96" s="287"/>
      <c r="K96" s="287"/>
      <c r="L96" s="287"/>
      <c r="M96" s="287"/>
      <c r="N96" s="287"/>
      <c r="O96" s="287"/>
      <c r="P96" s="287"/>
      <c r="Q96" s="287"/>
      <c r="R96" s="287"/>
      <c r="S96" s="287"/>
      <c r="T96" s="287"/>
      <c r="U96" s="287"/>
      <c r="V96" s="287"/>
      <c r="W96" s="287"/>
      <c r="X96" s="287"/>
      <c r="Y96" s="287"/>
      <c r="Z96" s="287"/>
      <c r="AA96" s="287"/>
      <c r="AB96" s="287"/>
      <c r="AC96" s="287"/>
      <c r="AD96" s="287"/>
      <c r="AE96" s="287"/>
      <c r="AF96" s="287"/>
      <c r="AG96" s="287"/>
      <c r="AH96" s="287"/>
      <c r="AI96" s="287"/>
      <c r="AJ96" s="287"/>
    </row>
    <row r="97">
      <c r="A97" s="287"/>
      <c r="B97" s="287"/>
      <c r="C97" s="287"/>
      <c r="D97" s="287"/>
      <c r="E97" s="287"/>
      <c r="F97" s="287"/>
      <c r="G97" s="287"/>
      <c r="H97" s="287"/>
      <c r="I97" s="287"/>
      <c r="J97" s="287"/>
      <c r="K97" s="287"/>
      <c r="L97" s="287"/>
      <c r="M97" s="287"/>
      <c r="N97" s="287"/>
      <c r="O97" s="287"/>
      <c r="P97" s="287"/>
      <c r="Q97" s="287"/>
      <c r="R97" s="287"/>
      <c r="S97" s="287"/>
      <c r="T97" s="287"/>
      <c r="U97" s="287"/>
      <c r="V97" s="287"/>
      <c r="W97" s="287"/>
      <c r="X97" s="287"/>
      <c r="Y97" s="287"/>
      <c r="Z97" s="287"/>
      <c r="AA97" s="287"/>
      <c r="AB97" s="287"/>
      <c r="AC97" s="287"/>
      <c r="AD97" s="287"/>
      <c r="AE97" s="287"/>
      <c r="AF97" s="287"/>
      <c r="AG97" s="287"/>
      <c r="AH97" s="287"/>
      <c r="AI97" s="287"/>
      <c r="AJ97" s="287"/>
    </row>
    <row r="98">
      <c r="A98" s="287"/>
      <c r="B98" s="287"/>
      <c r="C98" s="287"/>
      <c r="D98" s="287"/>
      <c r="E98" s="287"/>
      <c r="F98" s="287"/>
      <c r="G98" s="287"/>
      <c r="H98" s="287"/>
      <c r="I98" s="287"/>
      <c r="J98" s="287"/>
      <c r="K98" s="287"/>
      <c r="L98" s="287"/>
      <c r="M98" s="287"/>
      <c r="N98" s="287"/>
      <c r="O98" s="287"/>
      <c r="P98" s="287"/>
      <c r="Q98" s="287"/>
      <c r="R98" s="287"/>
      <c r="S98" s="287"/>
      <c r="T98" s="287"/>
      <c r="U98" s="287"/>
      <c r="V98" s="287"/>
      <c r="W98" s="287"/>
      <c r="X98" s="287"/>
      <c r="Y98" s="287"/>
      <c r="Z98" s="287"/>
      <c r="AA98" s="287"/>
      <c r="AB98" s="287"/>
      <c r="AC98" s="287"/>
      <c r="AD98" s="287"/>
      <c r="AE98" s="287"/>
      <c r="AF98" s="287"/>
      <c r="AG98" s="287"/>
      <c r="AH98" s="287"/>
      <c r="AI98" s="287"/>
      <c r="AJ98" s="287"/>
    </row>
    <row r="99">
      <c r="A99" s="287"/>
      <c r="B99" s="287"/>
      <c r="C99" s="287"/>
      <c r="D99" s="287"/>
      <c r="E99" s="287"/>
      <c r="F99" s="287"/>
      <c r="G99" s="287"/>
      <c r="H99" s="287"/>
      <c r="I99" s="287"/>
      <c r="J99" s="287"/>
      <c r="K99" s="287"/>
      <c r="L99" s="287"/>
      <c r="M99" s="287"/>
      <c r="N99" s="287"/>
      <c r="O99" s="287"/>
      <c r="P99" s="287"/>
      <c r="Q99" s="287"/>
      <c r="R99" s="287"/>
      <c r="S99" s="287"/>
      <c r="T99" s="287"/>
      <c r="U99" s="287"/>
      <c r="V99" s="287"/>
      <c r="W99" s="287"/>
      <c r="X99" s="287"/>
      <c r="Y99" s="287"/>
      <c r="Z99" s="287"/>
      <c r="AA99" s="287"/>
      <c r="AB99" s="287"/>
      <c r="AC99" s="287"/>
      <c r="AD99" s="287"/>
      <c r="AE99" s="287"/>
      <c r="AF99" s="287"/>
      <c r="AG99" s="287"/>
      <c r="AH99" s="287"/>
      <c r="AI99" s="287"/>
      <c r="AJ99" s="287"/>
    </row>
    <row r="100">
      <c r="A100" s="287"/>
      <c r="B100" s="287"/>
      <c r="C100" s="287"/>
      <c r="D100" s="287"/>
      <c r="E100" s="287"/>
      <c r="F100" s="287"/>
      <c r="G100" s="287"/>
      <c r="H100" s="287"/>
      <c r="I100" s="287"/>
      <c r="J100" s="287"/>
      <c r="K100" s="287"/>
      <c r="L100" s="287"/>
      <c r="M100" s="287"/>
      <c r="N100" s="287"/>
      <c r="O100" s="287"/>
      <c r="P100" s="287"/>
      <c r="Q100" s="287"/>
      <c r="R100" s="287"/>
      <c r="S100" s="287"/>
      <c r="T100" s="287"/>
      <c r="U100" s="287"/>
      <c r="V100" s="287"/>
      <c r="W100" s="287"/>
      <c r="X100" s="287"/>
      <c r="Y100" s="287"/>
      <c r="Z100" s="287"/>
      <c r="AA100" s="287"/>
      <c r="AB100" s="287"/>
      <c r="AC100" s="287"/>
      <c r="AD100" s="287"/>
      <c r="AE100" s="287"/>
      <c r="AF100" s="287"/>
      <c r="AG100" s="287"/>
      <c r="AH100" s="287"/>
      <c r="AI100" s="287"/>
      <c r="AJ100" s="287"/>
    </row>
    <row r="101">
      <c r="A101" s="287"/>
      <c r="B101" s="287"/>
      <c r="C101" s="287"/>
      <c r="D101" s="287"/>
      <c r="E101" s="287"/>
      <c r="F101" s="287"/>
      <c r="G101" s="287"/>
      <c r="H101" s="287"/>
      <c r="I101" s="287"/>
      <c r="J101" s="287"/>
      <c r="K101" s="287"/>
      <c r="L101" s="287"/>
      <c r="M101" s="287"/>
      <c r="N101" s="287"/>
      <c r="O101" s="287"/>
      <c r="P101" s="287"/>
      <c r="Q101" s="287"/>
      <c r="R101" s="287"/>
      <c r="S101" s="287"/>
      <c r="T101" s="287"/>
      <c r="U101" s="287"/>
      <c r="V101" s="287"/>
      <c r="W101" s="287"/>
      <c r="X101" s="287"/>
      <c r="Y101" s="287"/>
      <c r="Z101" s="287"/>
      <c r="AA101" s="287"/>
      <c r="AB101" s="287"/>
      <c r="AC101" s="287"/>
      <c r="AD101" s="287"/>
      <c r="AE101" s="287"/>
      <c r="AF101" s="287"/>
      <c r="AG101" s="287"/>
      <c r="AH101" s="287"/>
      <c r="AI101" s="287"/>
      <c r="AJ101" s="287"/>
    </row>
    <row r="102">
      <c r="A102" s="287"/>
      <c r="B102" s="287"/>
      <c r="C102" s="287"/>
      <c r="D102" s="287"/>
      <c r="E102" s="287"/>
      <c r="F102" s="287"/>
      <c r="G102" s="287"/>
      <c r="H102" s="287"/>
      <c r="I102" s="287"/>
      <c r="J102" s="287"/>
      <c r="K102" s="287"/>
      <c r="L102" s="287"/>
      <c r="M102" s="287"/>
      <c r="N102" s="287"/>
      <c r="O102" s="287"/>
      <c r="P102" s="287"/>
      <c r="Q102" s="287"/>
      <c r="R102" s="287"/>
      <c r="S102" s="287"/>
      <c r="T102" s="287"/>
      <c r="U102" s="287"/>
      <c r="V102" s="287"/>
      <c r="W102" s="287"/>
      <c r="X102" s="287"/>
      <c r="Y102" s="287"/>
      <c r="Z102" s="287"/>
      <c r="AA102" s="287"/>
      <c r="AB102" s="287"/>
      <c r="AC102" s="287"/>
      <c r="AD102" s="287"/>
      <c r="AE102" s="287"/>
      <c r="AF102" s="287"/>
      <c r="AG102" s="287"/>
      <c r="AH102" s="287"/>
      <c r="AI102" s="287"/>
      <c r="AJ102" s="287"/>
    </row>
    <row r="103">
      <c r="A103" s="287"/>
      <c r="B103" s="287"/>
      <c r="C103" s="287"/>
      <c r="D103" s="287"/>
      <c r="E103" s="287"/>
      <c r="F103" s="287"/>
      <c r="G103" s="287"/>
      <c r="H103" s="287"/>
      <c r="I103" s="287"/>
      <c r="J103" s="287"/>
      <c r="K103" s="287"/>
      <c r="L103" s="287"/>
      <c r="M103" s="287"/>
      <c r="N103" s="287"/>
      <c r="O103" s="287"/>
      <c r="P103" s="287"/>
      <c r="Q103" s="287"/>
      <c r="R103" s="287"/>
      <c r="S103" s="287"/>
      <c r="T103" s="287"/>
      <c r="U103" s="287"/>
      <c r="V103" s="287"/>
      <c r="W103" s="287"/>
      <c r="X103" s="287"/>
      <c r="Y103" s="287"/>
      <c r="Z103" s="287"/>
      <c r="AA103" s="287"/>
      <c r="AB103" s="287"/>
      <c r="AC103" s="287"/>
      <c r="AD103" s="287"/>
      <c r="AE103" s="287"/>
      <c r="AF103" s="287"/>
      <c r="AG103" s="287"/>
      <c r="AH103" s="287"/>
      <c r="AI103" s="287"/>
      <c r="AJ103" s="287"/>
    </row>
    <row r="104">
      <c r="A104" s="287"/>
      <c r="B104" s="287"/>
      <c r="C104" s="287"/>
      <c r="D104" s="287"/>
      <c r="E104" s="287"/>
      <c r="F104" s="287"/>
      <c r="G104" s="287"/>
      <c r="H104" s="287"/>
      <c r="I104" s="287"/>
      <c r="J104" s="287"/>
      <c r="K104" s="287"/>
      <c r="L104" s="287"/>
      <c r="M104" s="287"/>
      <c r="N104" s="287"/>
      <c r="O104" s="287"/>
      <c r="P104" s="287"/>
      <c r="Q104" s="287"/>
      <c r="R104" s="287"/>
      <c r="S104" s="287"/>
      <c r="T104" s="287"/>
      <c r="U104" s="287"/>
      <c r="V104" s="287"/>
      <c r="W104" s="287"/>
      <c r="X104" s="287"/>
      <c r="Y104" s="287"/>
      <c r="Z104" s="287"/>
      <c r="AA104" s="287"/>
      <c r="AB104" s="287"/>
      <c r="AC104" s="287"/>
      <c r="AD104" s="287"/>
      <c r="AE104" s="287"/>
      <c r="AF104" s="287"/>
      <c r="AG104" s="287"/>
      <c r="AH104" s="287"/>
      <c r="AI104" s="287"/>
      <c r="AJ104" s="287"/>
    </row>
    <row r="105">
      <c r="A105" s="287"/>
      <c r="B105" s="287"/>
      <c r="C105" s="287"/>
      <c r="D105" s="287"/>
      <c r="E105" s="287"/>
      <c r="F105" s="287"/>
      <c r="G105" s="287"/>
      <c r="H105" s="287"/>
      <c r="I105" s="287"/>
      <c r="J105" s="287"/>
      <c r="K105" s="287"/>
      <c r="L105" s="287"/>
      <c r="M105" s="287"/>
      <c r="N105" s="287"/>
      <c r="O105" s="287"/>
      <c r="P105" s="287"/>
      <c r="Q105" s="287"/>
      <c r="R105" s="287"/>
      <c r="S105" s="287"/>
      <c r="T105" s="287"/>
      <c r="U105" s="287"/>
      <c r="V105" s="287"/>
      <c r="W105" s="287"/>
      <c r="X105" s="287"/>
      <c r="Y105" s="287"/>
      <c r="Z105" s="287"/>
      <c r="AA105" s="287"/>
      <c r="AB105" s="287"/>
      <c r="AC105" s="287"/>
      <c r="AD105" s="287"/>
      <c r="AE105" s="287"/>
      <c r="AF105" s="287"/>
      <c r="AG105" s="287"/>
      <c r="AH105" s="287"/>
      <c r="AI105" s="287"/>
      <c r="AJ105" s="287"/>
    </row>
    <row r="106">
      <c r="A106" s="287"/>
      <c r="B106" s="287"/>
      <c r="C106" s="287"/>
      <c r="D106" s="287"/>
      <c r="E106" s="287"/>
      <c r="F106" s="287"/>
      <c r="G106" s="287"/>
      <c r="H106" s="287"/>
      <c r="I106" s="287"/>
      <c r="J106" s="287"/>
      <c r="K106" s="287"/>
      <c r="L106" s="287"/>
      <c r="M106" s="287"/>
      <c r="N106" s="287"/>
      <c r="O106" s="287"/>
      <c r="P106" s="287"/>
      <c r="Q106" s="287"/>
      <c r="R106" s="287"/>
      <c r="S106" s="287"/>
      <c r="T106" s="287"/>
      <c r="U106" s="287"/>
      <c r="V106" s="287"/>
      <c r="W106" s="287"/>
      <c r="X106" s="287"/>
      <c r="Y106" s="287"/>
      <c r="Z106" s="287"/>
      <c r="AA106" s="287"/>
      <c r="AB106" s="287"/>
      <c r="AC106" s="287"/>
      <c r="AD106" s="287"/>
      <c r="AE106" s="287"/>
      <c r="AF106" s="287"/>
      <c r="AG106" s="287"/>
      <c r="AH106" s="287"/>
      <c r="AI106" s="287"/>
      <c r="AJ106" s="287"/>
    </row>
    <row r="107">
      <c r="A107" s="287"/>
      <c r="B107" s="287"/>
      <c r="C107" s="287"/>
      <c r="D107" s="287"/>
      <c r="E107" s="287"/>
      <c r="F107" s="287"/>
      <c r="G107" s="287"/>
      <c r="H107" s="287"/>
      <c r="I107" s="287"/>
      <c r="J107" s="287"/>
      <c r="K107" s="287"/>
      <c r="L107" s="287"/>
      <c r="M107" s="287"/>
      <c r="N107" s="287"/>
      <c r="O107" s="287"/>
      <c r="P107" s="287"/>
      <c r="Q107" s="287"/>
      <c r="R107" s="287"/>
      <c r="S107" s="287"/>
      <c r="T107" s="287"/>
      <c r="U107" s="287"/>
      <c r="V107" s="287"/>
      <c r="W107" s="287"/>
      <c r="X107" s="287"/>
      <c r="Y107" s="287"/>
      <c r="Z107" s="287"/>
      <c r="AA107" s="287"/>
      <c r="AB107" s="287"/>
      <c r="AC107" s="287"/>
      <c r="AD107" s="287"/>
      <c r="AE107" s="287"/>
      <c r="AF107" s="287"/>
      <c r="AG107" s="287"/>
      <c r="AH107" s="287"/>
      <c r="AI107" s="287"/>
      <c r="AJ107" s="287"/>
    </row>
    <row r="108">
      <c r="A108" s="287"/>
      <c r="B108" s="287"/>
      <c r="C108" s="287"/>
      <c r="D108" s="287"/>
      <c r="E108" s="287"/>
      <c r="F108" s="287"/>
      <c r="G108" s="287"/>
      <c r="H108" s="287"/>
      <c r="I108" s="287"/>
      <c r="J108" s="287"/>
      <c r="K108" s="287"/>
      <c r="L108" s="287"/>
      <c r="M108" s="287"/>
      <c r="N108" s="287"/>
      <c r="O108" s="287"/>
      <c r="P108" s="287"/>
      <c r="Q108" s="287"/>
      <c r="R108" s="287"/>
      <c r="S108" s="287"/>
      <c r="T108" s="287"/>
      <c r="U108" s="287"/>
      <c r="V108" s="287"/>
      <c r="W108" s="287"/>
      <c r="X108" s="287"/>
      <c r="Y108" s="287"/>
      <c r="Z108" s="287"/>
      <c r="AA108" s="287"/>
      <c r="AB108" s="287"/>
      <c r="AC108" s="287"/>
      <c r="AD108" s="287"/>
      <c r="AE108" s="287"/>
      <c r="AF108" s="287"/>
      <c r="AG108" s="287"/>
      <c r="AH108" s="287"/>
      <c r="AI108" s="287"/>
      <c r="AJ108" s="287"/>
    </row>
    <row r="109">
      <c r="A109" s="287"/>
      <c r="B109" s="287"/>
      <c r="C109" s="287"/>
      <c r="D109" s="287"/>
      <c r="E109" s="287"/>
      <c r="F109" s="287"/>
      <c r="G109" s="287"/>
      <c r="H109" s="287"/>
      <c r="I109" s="287"/>
      <c r="J109" s="287"/>
      <c r="K109" s="287"/>
      <c r="L109" s="287"/>
      <c r="M109" s="287"/>
      <c r="N109" s="287"/>
      <c r="O109" s="287"/>
      <c r="P109" s="287"/>
      <c r="Q109" s="287"/>
      <c r="R109" s="287"/>
      <c r="S109" s="287"/>
      <c r="T109" s="287"/>
      <c r="U109" s="287"/>
      <c r="V109" s="287"/>
      <c r="W109" s="287"/>
      <c r="X109" s="287"/>
      <c r="Y109" s="287"/>
      <c r="Z109" s="287"/>
      <c r="AA109" s="287"/>
      <c r="AB109" s="287"/>
      <c r="AC109" s="287"/>
      <c r="AD109" s="287"/>
      <c r="AE109" s="287"/>
      <c r="AF109" s="287"/>
      <c r="AG109" s="287"/>
      <c r="AH109" s="287"/>
      <c r="AI109" s="287"/>
      <c r="AJ109" s="287"/>
    </row>
    <row r="110">
      <c r="A110" s="287"/>
      <c r="B110" s="287"/>
      <c r="C110" s="287"/>
      <c r="D110" s="287"/>
      <c r="E110" s="287"/>
      <c r="F110" s="287"/>
      <c r="G110" s="287"/>
      <c r="H110" s="287"/>
      <c r="I110" s="287"/>
      <c r="J110" s="287"/>
      <c r="K110" s="287"/>
      <c r="L110" s="287"/>
      <c r="M110" s="287"/>
      <c r="N110" s="287"/>
      <c r="O110" s="287"/>
      <c r="P110" s="287"/>
      <c r="Q110" s="287"/>
      <c r="R110" s="287"/>
      <c r="S110" s="287"/>
      <c r="T110" s="287"/>
      <c r="U110" s="287"/>
      <c r="V110" s="287"/>
      <c r="W110" s="287"/>
      <c r="X110" s="287"/>
      <c r="Y110" s="287"/>
      <c r="Z110" s="287"/>
      <c r="AA110" s="287"/>
      <c r="AB110" s="287"/>
      <c r="AC110" s="287"/>
      <c r="AD110" s="287"/>
      <c r="AE110" s="287"/>
      <c r="AF110" s="287"/>
      <c r="AG110" s="287"/>
      <c r="AH110" s="287"/>
      <c r="AI110" s="287"/>
      <c r="AJ110" s="287"/>
    </row>
    <row r="111">
      <c r="A111" s="287"/>
      <c r="B111" s="287"/>
      <c r="C111" s="287"/>
      <c r="D111" s="287"/>
      <c r="E111" s="287"/>
      <c r="F111" s="287"/>
      <c r="G111" s="287"/>
      <c r="H111" s="287"/>
      <c r="I111" s="287"/>
      <c r="J111" s="287"/>
      <c r="K111" s="287"/>
      <c r="L111" s="287"/>
      <c r="M111" s="287"/>
      <c r="N111" s="287"/>
      <c r="O111" s="287"/>
      <c r="P111" s="287"/>
      <c r="Q111" s="287"/>
      <c r="R111" s="287"/>
      <c r="S111" s="287"/>
      <c r="T111" s="287"/>
      <c r="U111" s="287"/>
      <c r="V111" s="287"/>
      <c r="W111" s="287"/>
      <c r="X111" s="287"/>
      <c r="Y111" s="287"/>
      <c r="Z111" s="287"/>
      <c r="AA111" s="287"/>
      <c r="AB111" s="287"/>
      <c r="AC111" s="287"/>
      <c r="AD111" s="287"/>
      <c r="AE111" s="287"/>
      <c r="AF111" s="287"/>
      <c r="AG111" s="287"/>
      <c r="AH111" s="287"/>
      <c r="AI111" s="287"/>
      <c r="AJ111" s="287"/>
    </row>
    <row r="112">
      <c r="A112" s="287"/>
      <c r="B112" s="287"/>
      <c r="C112" s="287"/>
      <c r="D112" s="287"/>
      <c r="E112" s="287"/>
      <c r="F112" s="287"/>
      <c r="G112" s="287"/>
      <c r="H112" s="287"/>
      <c r="I112" s="287"/>
      <c r="J112" s="287"/>
      <c r="K112" s="287"/>
      <c r="L112" s="287"/>
      <c r="M112" s="287"/>
      <c r="N112" s="287"/>
      <c r="O112" s="287"/>
      <c r="P112" s="287"/>
      <c r="Q112" s="287"/>
      <c r="R112" s="287"/>
      <c r="S112" s="287"/>
      <c r="T112" s="287"/>
      <c r="U112" s="287"/>
      <c r="V112" s="287"/>
      <c r="W112" s="287"/>
      <c r="X112" s="287"/>
      <c r="Y112" s="287"/>
      <c r="Z112" s="287"/>
      <c r="AA112" s="287"/>
      <c r="AB112" s="287"/>
      <c r="AC112" s="287"/>
      <c r="AD112" s="287"/>
      <c r="AE112" s="287"/>
      <c r="AF112" s="287"/>
      <c r="AG112" s="287"/>
      <c r="AH112" s="287"/>
      <c r="AI112" s="287"/>
      <c r="AJ112" s="287"/>
    </row>
    <row r="113">
      <c r="A113" s="287"/>
      <c r="B113" s="287"/>
      <c r="C113" s="287"/>
      <c r="D113" s="287"/>
      <c r="E113" s="287"/>
      <c r="F113" s="287"/>
      <c r="G113" s="287"/>
      <c r="H113" s="287"/>
      <c r="I113" s="287"/>
      <c r="J113" s="287"/>
      <c r="K113" s="287"/>
      <c r="L113" s="287"/>
      <c r="M113" s="287"/>
      <c r="N113" s="287"/>
      <c r="O113" s="287"/>
      <c r="P113" s="287"/>
      <c r="Q113" s="287"/>
      <c r="R113" s="287"/>
      <c r="S113" s="287"/>
      <c r="T113" s="287"/>
      <c r="U113" s="287"/>
      <c r="V113" s="287"/>
      <c r="W113" s="287"/>
      <c r="X113" s="287"/>
      <c r="Y113" s="287"/>
      <c r="Z113" s="287"/>
      <c r="AA113" s="287"/>
      <c r="AB113" s="287"/>
      <c r="AC113" s="287"/>
      <c r="AD113" s="287"/>
      <c r="AE113" s="287"/>
      <c r="AF113" s="287"/>
      <c r="AG113" s="287"/>
      <c r="AH113" s="287"/>
      <c r="AI113" s="287"/>
      <c r="AJ113" s="287"/>
    </row>
    <row r="114">
      <c r="A114" s="287"/>
      <c r="B114" s="287"/>
      <c r="C114" s="287"/>
      <c r="D114" s="287"/>
      <c r="E114" s="287"/>
      <c r="F114" s="287"/>
      <c r="G114" s="287"/>
      <c r="H114" s="287"/>
      <c r="I114" s="287"/>
      <c r="J114" s="287"/>
      <c r="K114" s="287"/>
      <c r="L114" s="287"/>
      <c r="M114" s="287"/>
      <c r="N114" s="287"/>
      <c r="O114" s="287"/>
      <c r="P114" s="287"/>
      <c r="Q114" s="287"/>
      <c r="R114" s="287"/>
      <c r="S114" s="287"/>
      <c r="T114" s="287"/>
      <c r="U114" s="287"/>
      <c r="V114" s="287"/>
      <c r="W114" s="287"/>
      <c r="X114" s="287"/>
      <c r="Y114" s="287"/>
      <c r="Z114" s="287"/>
      <c r="AA114" s="287"/>
      <c r="AB114" s="287"/>
      <c r="AC114" s="287"/>
      <c r="AD114" s="287"/>
      <c r="AE114" s="287"/>
      <c r="AF114" s="287"/>
      <c r="AG114" s="287"/>
      <c r="AH114" s="287"/>
      <c r="AI114" s="287"/>
      <c r="AJ114" s="287"/>
    </row>
    <row r="115">
      <c r="A115" s="287"/>
      <c r="B115" s="287"/>
      <c r="C115" s="287"/>
      <c r="D115" s="287"/>
      <c r="E115" s="287"/>
      <c r="F115" s="287"/>
      <c r="G115" s="287"/>
      <c r="H115" s="287"/>
      <c r="I115" s="287"/>
      <c r="J115" s="287"/>
      <c r="K115" s="287"/>
      <c r="L115" s="287"/>
      <c r="M115" s="287"/>
      <c r="N115" s="287"/>
      <c r="O115" s="287"/>
      <c r="P115" s="287"/>
      <c r="Q115" s="287"/>
      <c r="R115" s="287"/>
      <c r="S115" s="287"/>
      <c r="T115" s="287"/>
      <c r="U115" s="287"/>
      <c r="V115" s="287"/>
      <c r="W115" s="287"/>
      <c r="X115" s="287"/>
      <c r="Y115" s="287"/>
      <c r="Z115" s="287"/>
      <c r="AA115" s="287"/>
      <c r="AB115" s="287"/>
      <c r="AC115" s="287"/>
      <c r="AD115" s="287"/>
      <c r="AE115" s="287"/>
      <c r="AF115" s="287"/>
      <c r="AG115" s="287"/>
      <c r="AH115" s="287"/>
      <c r="AI115" s="287"/>
      <c r="AJ115" s="287"/>
    </row>
    <row r="116">
      <c r="A116" s="287"/>
      <c r="B116" s="287"/>
      <c r="C116" s="287"/>
      <c r="D116" s="287"/>
      <c r="E116" s="287"/>
      <c r="F116" s="287"/>
      <c r="G116" s="287"/>
      <c r="H116" s="287"/>
      <c r="I116" s="287"/>
      <c r="J116" s="287"/>
      <c r="K116" s="287"/>
      <c r="L116" s="287"/>
      <c r="M116" s="287"/>
      <c r="N116" s="287"/>
      <c r="O116" s="287"/>
      <c r="P116" s="287"/>
      <c r="Q116" s="287"/>
      <c r="R116" s="287"/>
      <c r="S116" s="287"/>
      <c r="T116" s="287"/>
      <c r="U116" s="287"/>
      <c r="V116" s="287"/>
      <c r="W116" s="287"/>
      <c r="X116" s="287"/>
      <c r="Y116" s="287"/>
      <c r="Z116" s="287"/>
      <c r="AA116" s="287"/>
      <c r="AB116" s="287"/>
      <c r="AC116" s="287"/>
      <c r="AD116" s="287"/>
      <c r="AE116" s="287"/>
      <c r="AF116" s="287"/>
      <c r="AG116" s="287"/>
      <c r="AH116" s="287"/>
      <c r="AI116" s="287"/>
      <c r="AJ116" s="287"/>
    </row>
    <row r="117">
      <c r="A117" s="287"/>
      <c r="B117" s="287"/>
      <c r="C117" s="287"/>
      <c r="D117" s="287"/>
      <c r="E117" s="287"/>
      <c r="F117" s="287"/>
      <c r="G117" s="287"/>
      <c r="H117" s="287"/>
      <c r="I117" s="287"/>
      <c r="J117" s="287"/>
      <c r="K117" s="287"/>
      <c r="L117" s="287"/>
      <c r="M117" s="287"/>
      <c r="N117" s="287"/>
      <c r="O117" s="287"/>
      <c r="P117" s="287"/>
      <c r="Q117" s="287"/>
      <c r="R117" s="287"/>
      <c r="S117" s="287"/>
      <c r="T117" s="287"/>
      <c r="U117" s="287"/>
      <c r="V117" s="287"/>
      <c r="W117" s="287"/>
      <c r="X117" s="287"/>
      <c r="Y117" s="287"/>
      <c r="Z117" s="287"/>
      <c r="AA117" s="287"/>
      <c r="AB117" s="287"/>
      <c r="AC117" s="287"/>
      <c r="AD117" s="287"/>
      <c r="AE117" s="287"/>
      <c r="AF117" s="287"/>
      <c r="AG117" s="287"/>
      <c r="AH117" s="287"/>
      <c r="AI117" s="287"/>
      <c r="AJ117" s="287"/>
    </row>
    <row r="118">
      <c r="A118" s="287"/>
      <c r="B118" s="287"/>
      <c r="C118" s="287"/>
      <c r="D118" s="287"/>
      <c r="E118" s="287"/>
      <c r="F118" s="287"/>
      <c r="G118" s="287"/>
      <c r="H118" s="287"/>
      <c r="I118" s="287"/>
      <c r="J118" s="287"/>
      <c r="K118" s="287"/>
      <c r="L118" s="287"/>
      <c r="M118" s="287"/>
      <c r="N118" s="287"/>
      <c r="O118" s="287"/>
      <c r="P118" s="287"/>
      <c r="Q118" s="287"/>
      <c r="R118" s="287"/>
      <c r="S118" s="287"/>
      <c r="T118" s="287"/>
      <c r="U118" s="287"/>
      <c r="V118" s="287"/>
      <c r="W118" s="287"/>
      <c r="X118" s="287"/>
      <c r="Y118" s="287"/>
      <c r="Z118" s="287"/>
      <c r="AA118" s="287"/>
      <c r="AB118" s="287"/>
      <c r="AC118" s="287"/>
      <c r="AD118" s="287"/>
      <c r="AE118" s="287"/>
      <c r="AF118" s="287"/>
      <c r="AG118" s="287"/>
      <c r="AH118" s="287"/>
      <c r="AI118" s="287"/>
      <c r="AJ118" s="287"/>
    </row>
    <row r="119">
      <c r="A119" s="287"/>
      <c r="B119" s="287"/>
      <c r="C119" s="287"/>
      <c r="D119" s="287"/>
      <c r="E119" s="287"/>
      <c r="F119" s="287"/>
      <c r="G119" s="287"/>
      <c r="H119" s="287"/>
      <c r="I119" s="287"/>
      <c r="J119" s="287"/>
      <c r="K119" s="287"/>
      <c r="L119" s="287"/>
      <c r="M119" s="287"/>
      <c r="N119" s="287"/>
      <c r="O119" s="287"/>
      <c r="P119" s="287"/>
      <c r="Q119" s="287"/>
      <c r="R119" s="287"/>
      <c r="S119" s="287"/>
      <c r="T119" s="287"/>
      <c r="U119" s="287"/>
      <c r="V119" s="287"/>
      <c r="W119" s="287"/>
      <c r="X119" s="287"/>
      <c r="Y119" s="287"/>
      <c r="Z119" s="287"/>
      <c r="AA119" s="287"/>
      <c r="AB119" s="287"/>
      <c r="AC119" s="287"/>
      <c r="AD119" s="287"/>
      <c r="AE119" s="287"/>
      <c r="AF119" s="287"/>
      <c r="AG119" s="287"/>
      <c r="AH119" s="287"/>
      <c r="AI119" s="287"/>
      <c r="AJ119" s="287"/>
    </row>
    <row r="120">
      <c r="A120" s="287"/>
      <c r="B120" s="287"/>
      <c r="C120" s="287"/>
      <c r="D120" s="287"/>
      <c r="E120" s="287"/>
      <c r="F120" s="287"/>
      <c r="G120" s="287"/>
      <c r="H120" s="287"/>
      <c r="I120" s="287"/>
      <c r="J120" s="287"/>
      <c r="K120" s="287"/>
      <c r="L120" s="287"/>
      <c r="M120" s="287"/>
      <c r="N120" s="287"/>
      <c r="O120" s="287"/>
      <c r="P120" s="287"/>
      <c r="Q120" s="287"/>
      <c r="R120" s="287"/>
      <c r="S120" s="287"/>
      <c r="T120" s="287"/>
      <c r="U120" s="287"/>
      <c r="V120" s="287"/>
      <c r="W120" s="287"/>
      <c r="X120" s="287"/>
      <c r="Y120" s="287"/>
      <c r="Z120" s="287"/>
      <c r="AA120" s="287"/>
      <c r="AB120" s="287"/>
      <c r="AC120" s="287"/>
      <c r="AD120" s="287"/>
      <c r="AE120" s="287"/>
      <c r="AF120" s="287"/>
      <c r="AG120" s="287"/>
      <c r="AH120" s="287"/>
      <c r="AI120" s="287"/>
      <c r="AJ120" s="287"/>
    </row>
    <row r="121">
      <c r="A121" s="287"/>
      <c r="B121" s="287"/>
      <c r="C121" s="287"/>
      <c r="D121" s="287"/>
      <c r="E121" s="287"/>
      <c r="F121" s="287"/>
      <c r="G121" s="287"/>
      <c r="H121" s="287"/>
      <c r="I121" s="287"/>
      <c r="J121" s="287"/>
      <c r="K121" s="287"/>
      <c r="L121" s="287"/>
      <c r="M121" s="287"/>
      <c r="N121" s="287"/>
      <c r="O121" s="287"/>
      <c r="P121" s="287"/>
      <c r="Q121" s="287"/>
      <c r="R121" s="287"/>
      <c r="S121" s="287"/>
      <c r="T121" s="287"/>
      <c r="U121" s="287"/>
      <c r="V121" s="287"/>
      <c r="W121" s="287"/>
      <c r="X121" s="287"/>
      <c r="Y121" s="287"/>
      <c r="Z121" s="287"/>
      <c r="AA121" s="287"/>
      <c r="AB121" s="287"/>
      <c r="AC121" s="287"/>
      <c r="AD121" s="287"/>
      <c r="AE121" s="287"/>
      <c r="AF121" s="287"/>
      <c r="AG121" s="287"/>
      <c r="AH121" s="287"/>
      <c r="AI121" s="287"/>
      <c r="AJ121" s="287"/>
    </row>
    <row r="122">
      <c r="A122" s="287"/>
      <c r="B122" s="287"/>
      <c r="C122" s="287"/>
      <c r="D122" s="287"/>
      <c r="E122" s="287"/>
      <c r="F122" s="287"/>
      <c r="G122" s="287"/>
      <c r="H122" s="287"/>
      <c r="I122" s="287"/>
      <c r="J122" s="287"/>
      <c r="K122" s="287"/>
      <c r="L122" s="287"/>
      <c r="M122" s="287"/>
      <c r="N122" s="287"/>
      <c r="O122" s="287"/>
      <c r="P122" s="287"/>
      <c r="Q122" s="287"/>
      <c r="R122" s="287"/>
      <c r="S122" s="287"/>
      <c r="T122" s="287"/>
      <c r="U122" s="287"/>
      <c r="V122" s="287"/>
      <c r="W122" s="287"/>
      <c r="X122" s="287"/>
      <c r="Y122" s="287"/>
      <c r="Z122" s="287"/>
      <c r="AA122" s="287"/>
      <c r="AB122" s="287"/>
      <c r="AC122" s="287"/>
      <c r="AD122" s="287"/>
      <c r="AE122" s="287"/>
      <c r="AF122" s="287"/>
      <c r="AG122" s="287"/>
      <c r="AH122" s="287"/>
      <c r="AI122" s="287"/>
      <c r="AJ122" s="287"/>
    </row>
    <row r="123">
      <c r="A123" s="287"/>
      <c r="B123" s="287"/>
      <c r="C123" s="287"/>
      <c r="D123" s="287"/>
      <c r="E123" s="287"/>
      <c r="F123" s="287"/>
      <c r="G123" s="287"/>
      <c r="H123" s="287"/>
      <c r="I123" s="287"/>
      <c r="J123" s="287"/>
      <c r="K123" s="287"/>
      <c r="L123" s="287"/>
      <c r="M123" s="287"/>
      <c r="N123" s="287"/>
      <c r="O123" s="287"/>
      <c r="P123" s="287"/>
      <c r="Q123" s="287"/>
      <c r="R123" s="287"/>
      <c r="S123" s="287"/>
      <c r="T123" s="287"/>
      <c r="U123" s="287"/>
      <c r="V123" s="287"/>
      <c r="W123" s="287"/>
      <c r="X123" s="287"/>
      <c r="Y123" s="287"/>
      <c r="Z123" s="287"/>
      <c r="AA123" s="287"/>
      <c r="AB123" s="287"/>
      <c r="AC123" s="287"/>
      <c r="AD123" s="287"/>
      <c r="AE123" s="287"/>
      <c r="AF123" s="287"/>
      <c r="AG123" s="287"/>
      <c r="AH123" s="287"/>
      <c r="AI123" s="287"/>
      <c r="AJ123" s="287"/>
    </row>
    <row r="124">
      <c r="A124" s="287"/>
      <c r="B124" s="287"/>
      <c r="C124" s="287"/>
      <c r="D124" s="287"/>
      <c r="E124" s="287"/>
      <c r="F124" s="287"/>
      <c r="G124" s="287"/>
      <c r="H124" s="287"/>
      <c r="I124" s="287"/>
      <c r="J124" s="287"/>
      <c r="K124" s="287"/>
      <c r="L124" s="287"/>
      <c r="M124" s="287"/>
      <c r="N124" s="287"/>
      <c r="O124" s="287"/>
      <c r="P124" s="287"/>
      <c r="Q124" s="287"/>
      <c r="R124" s="287"/>
      <c r="S124" s="287"/>
      <c r="T124" s="287"/>
      <c r="U124" s="287"/>
      <c r="V124" s="287"/>
      <c r="W124" s="287"/>
      <c r="X124" s="287"/>
      <c r="Y124" s="287"/>
      <c r="Z124" s="287"/>
      <c r="AA124" s="287"/>
      <c r="AB124" s="287"/>
      <c r="AC124" s="287"/>
      <c r="AD124" s="287"/>
      <c r="AE124" s="287"/>
      <c r="AF124" s="287"/>
      <c r="AG124" s="287"/>
      <c r="AH124" s="287"/>
      <c r="AI124" s="287"/>
      <c r="AJ124" s="287"/>
    </row>
    <row r="125">
      <c r="A125" s="287"/>
      <c r="B125" s="287"/>
      <c r="C125" s="287"/>
      <c r="D125" s="287"/>
      <c r="E125" s="287"/>
      <c r="F125" s="287"/>
      <c r="G125" s="287"/>
      <c r="H125" s="287"/>
      <c r="I125" s="287"/>
      <c r="J125" s="287"/>
      <c r="K125" s="287"/>
      <c r="L125" s="287"/>
      <c r="M125" s="287"/>
      <c r="N125" s="287"/>
      <c r="O125" s="287"/>
      <c r="P125" s="287"/>
      <c r="Q125" s="287"/>
      <c r="R125" s="287"/>
      <c r="S125" s="287"/>
      <c r="T125" s="287"/>
      <c r="U125" s="287"/>
      <c r="V125" s="287"/>
      <c r="W125" s="287"/>
      <c r="X125" s="287"/>
      <c r="Y125" s="287"/>
      <c r="Z125" s="287"/>
      <c r="AA125" s="287"/>
      <c r="AB125" s="287"/>
      <c r="AC125" s="287"/>
      <c r="AD125" s="287"/>
      <c r="AE125" s="287"/>
      <c r="AF125" s="287"/>
      <c r="AG125" s="287"/>
      <c r="AH125" s="287"/>
      <c r="AI125" s="287"/>
      <c r="AJ125" s="287"/>
    </row>
    <row r="126">
      <c r="A126" s="287"/>
      <c r="B126" s="287"/>
      <c r="C126" s="287"/>
      <c r="D126" s="287"/>
      <c r="E126" s="287"/>
      <c r="F126" s="287"/>
      <c r="G126" s="287"/>
      <c r="H126" s="287"/>
      <c r="I126" s="287"/>
      <c r="J126" s="287"/>
      <c r="K126" s="287"/>
      <c r="L126" s="287"/>
      <c r="M126" s="287"/>
      <c r="N126" s="287"/>
      <c r="O126" s="287"/>
      <c r="P126" s="287"/>
      <c r="Q126" s="287"/>
      <c r="R126" s="287"/>
      <c r="S126" s="287"/>
      <c r="T126" s="287"/>
      <c r="U126" s="287"/>
      <c r="V126" s="287"/>
      <c r="W126" s="287"/>
      <c r="X126" s="287"/>
      <c r="Y126" s="287"/>
      <c r="Z126" s="287"/>
      <c r="AA126" s="287"/>
      <c r="AB126" s="287"/>
      <c r="AC126" s="287"/>
      <c r="AD126" s="287"/>
      <c r="AE126" s="287"/>
      <c r="AF126" s="287"/>
      <c r="AG126" s="287"/>
      <c r="AH126" s="287"/>
      <c r="AI126" s="287"/>
      <c r="AJ126" s="287"/>
    </row>
    <row r="127">
      <c r="A127" s="287"/>
      <c r="B127" s="287"/>
      <c r="C127" s="287"/>
      <c r="D127" s="287"/>
      <c r="E127" s="287"/>
      <c r="F127" s="287"/>
      <c r="G127" s="287"/>
      <c r="H127" s="287"/>
      <c r="I127" s="287"/>
      <c r="J127" s="287"/>
      <c r="K127" s="287"/>
      <c r="L127" s="287"/>
      <c r="M127" s="287"/>
      <c r="N127" s="287"/>
      <c r="O127" s="287"/>
      <c r="P127" s="287"/>
      <c r="Q127" s="287"/>
      <c r="R127" s="287"/>
      <c r="S127" s="287"/>
      <c r="T127" s="287"/>
      <c r="U127" s="287"/>
      <c r="V127" s="287"/>
      <c r="W127" s="287"/>
      <c r="X127" s="287"/>
      <c r="Y127" s="287"/>
      <c r="Z127" s="287"/>
      <c r="AA127" s="287"/>
      <c r="AB127" s="287"/>
      <c r="AC127" s="287"/>
      <c r="AD127" s="287"/>
      <c r="AE127" s="287"/>
      <c r="AF127" s="287"/>
      <c r="AG127" s="287"/>
      <c r="AH127" s="287"/>
      <c r="AI127" s="287"/>
      <c r="AJ127" s="287"/>
    </row>
    <row r="128">
      <c r="A128" s="287"/>
      <c r="B128" s="287"/>
      <c r="C128" s="287"/>
      <c r="D128" s="287"/>
      <c r="E128" s="287"/>
      <c r="F128" s="287"/>
      <c r="G128" s="287"/>
      <c r="H128" s="287"/>
      <c r="I128" s="287"/>
      <c r="J128" s="287"/>
      <c r="K128" s="287"/>
      <c r="L128" s="287"/>
      <c r="M128" s="287"/>
      <c r="N128" s="287"/>
      <c r="O128" s="287"/>
      <c r="P128" s="287"/>
      <c r="Q128" s="287"/>
      <c r="R128" s="287"/>
      <c r="S128" s="287"/>
      <c r="T128" s="287"/>
      <c r="U128" s="287"/>
      <c r="V128" s="287"/>
      <c r="W128" s="287"/>
      <c r="X128" s="287"/>
      <c r="Y128" s="287"/>
      <c r="Z128" s="287"/>
      <c r="AA128" s="287"/>
      <c r="AB128" s="287"/>
      <c r="AC128" s="287"/>
      <c r="AD128" s="287"/>
      <c r="AE128" s="287"/>
      <c r="AF128" s="287"/>
      <c r="AG128" s="287"/>
      <c r="AH128" s="287"/>
      <c r="AI128" s="287"/>
      <c r="AJ128" s="287"/>
    </row>
    <row r="129">
      <c r="A129" s="287"/>
      <c r="B129" s="287"/>
      <c r="C129" s="287"/>
      <c r="D129" s="287"/>
      <c r="E129" s="287"/>
      <c r="F129" s="287"/>
      <c r="G129" s="287"/>
      <c r="H129" s="287"/>
      <c r="I129" s="287"/>
      <c r="J129" s="287"/>
      <c r="K129" s="287"/>
      <c r="L129" s="287"/>
      <c r="M129" s="287"/>
      <c r="N129" s="287"/>
      <c r="O129" s="287"/>
      <c r="P129" s="287"/>
      <c r="Q129" s="287"/>
      <c r="R129" s="287"/>
      <c r="S129" s="287"/>
      <c r="T129" s="287"/>
      <c r="U129" s="287"/>
      <c r="V129" s="287"/>
      <c r="W129" s="287"/>
      <c r="X129" s="287"/>
      <c r="Y129" s="287"/>
      <c r="Z129" s="287"/>
      <c r="AA129" s="287"/>
      <c r="AB129" s="287"/>
      <c r="AC129" s="287"/>
      <c r="AD129" s="287"/>
      <c r="AE129" s="287"/>
      <c r="AF129" s="287"/>
      <c r="AG129" s="287"/>
      <c r="AH129" s="287"/>
      <c r="AI129" s="287"/>
      <c r="AJ129" s="287"/>
    </row>
    <row r="130">
      <c r="A130" s="287"/>
      <c r="B130" s="287"/>
      <c r="C130" s="287"/>
      <c r="D130" s="287"/>
      <c r="E130" s="287"/>
      <c r="F130" s="287"/>
      <c r="G130" s="287"/>
      <c r="H130" s="287"/>
      <c r="I130" s="287"/>
      <c r="J130" s="287"/>
      <c r="K130" s="287"/>
      <c r="L130" s="287"/>
      <c r="M130" s="287"/>
      <c r="N130" s="287"/>
      <c r="O130" s="287"/>
      <c r="P130" s="287"/>
      <c r="Q130" s="287"/>
      <c r="R130" s="287"/>
      <c r="S130" s="287"/>
      <c r="T130" s="287"/>
      <c r="U130" s="287"/>
      <c r="V130" s="287"/>
      <c r="W130" s="287"/>
      <c r="X130" s="287"/>
      <c r="Y130" s="287"/>
      <c r="Z130" s="287"/>
      <c r="AA130" s="287"/>
      <c r="AB130" s="287"/>
      <c r="AC130" s="287"/>
      <c r="AD130" s="287"/>
      <c r="AE130" s="287"/>
      <c r="AF130" s="287"/>
      <c r="AG130" s="287"/>
      <c r="AH130" s="287"/>
      <c r="AI130" s="287"/>
      <c r="AJ130" s="287"/>
    </row>
    <row r="131">
      <c r="A131" s="287"/>
      <c r="B131" s="287"/>
      <c r="C131" s="287"/>
      <c r="D131" s="287"/>
      <c r="E131" s="287"/>
      <c r="F131" s="287"/>
      <c r="G131" s="287"/>
      <c r="H131" s="287"/>
      <c r="I131" s="287"/>
      <c r="J131" s="287"/>
      <c r="K131" s="287"/>
      <c r="L131" s="287"/>
      <c r="M131" s="287"/>
      <c r="N131" s="287"/>
      <c r="O131" s="287"/>
      <c r="P131" s="287"/>
      <c r="Q131" s="287"/>
      <c r="R131" s="287"/>
      <c r="S131" s="287"/>
      <c r="T131" s="287"/>
      <c r="U131" s="287"/>
      <c r="V131" s="287"/>
      <c r="W131" s="287"/>
      <c r="X131" s="287"/>
      <c r="Y131" s="287"/>
      <c r="Z131" s="287"/>
      <c r="AA131" s="287"/>
      <c r="AB131" s="287"/>
      <c r="AC131" s="287"/>
      <c r="AD131" s="287"/>
      <c r="AE131" s="287"/>
      <c r="AF131" s="287"/>
      <c r="AG131" s="287"/>
      <c r="AH131" s="287"/>
      <c r="AI131" s="287"/>
      <c r="AJ131" s="287"/>
    </row>
    <row r="132">
      <c r="A132" s="287"/>
      <c r="B132" s="287"/>
      <c r="C132" s="287"/>
      <c r="D132" s="287"/>
      <c r="E132" s="287"/>
      <c r="F132" s="287"/>
      <c r="G132" s="287"/>
      <c r="H132" s="287"/>
      <c r="I132" s="287"/>
      <c r="J132" s="287"/>
      <c r="K132" s="287"/>
      <c r="L132" s="287"/>
      <c r="M132" s="287"/>
      <c r="N132" s="287"/>
      <c r="O132" s="287"/>
      <c r="P132" s="287"/>
      <c r="Q132" s="287"/>
      <c r="R132" s="287"/>
      <c r="S132" s="287"/>
      <c r="T132" s="287"/>
      <c r="U132" s="287"/>
      <c r="V132" s="287"/>
      <c r="W132" s="287"/>
      <c r="X132" s="287"/>
      <c r="Y132" s="287"/>
      <c r="Z132" s="287"/>
      <c r="AA132" s="287"/>
      <c r="AB132" s="287"/>
      <c r="AC132" s="287"/>
      <c r="AD132" s="287"/>
      <c r="AE132" s="287"/>
      <c r="AF132" s="287"/>
      <c r="AG132" s="287"/>
      <c r="AH132" s="287"/>
      <c r="AI132" s="287"/>
      <c r="AJ132" s="287"/>
    </row>
    <row r="133">
      <c r="A133" s="287"/>
      <c r="B133" s="287"/>
      <c r="C133" s="287"/>
      <c r="D133" s="287"/>
      <c r="E133" s="287"/>
      <c r="F133" s="287"/>
      <c r="G133" s="287"/>
      <c r="H133" s="287"/>
      <c r="I133" s="287"/>
      <c r="J133" s="287"/>
      <c r="K133" s="287"/>
      <c r="L133" s="287"/>
      <c r="M133" s="287"/>
      <c r="N133" s="287"/>
      <c r="O133" s="287"/>
      <c r="P133" s="287"/>
      <c r="Q133" s="287"/>
      <c r="R133" s="287"/>
      <c r="S133" s="287"/>
      <c r="T133" s="287"/>
      <c r="U133" s="287"/>
      <c r="V133" s="287"/>
      <c r="W133" s="287"/>
      <c r="X133" s="287"/>
      <c r="Y133" s="287"/>
      <c r="Z133" s="287"/>
      <c r="AA133" s="287"/>
      <c r="AB133" s="287"/>
      <c r="AC133" s="287"/>
      <c r="AD133" s="287"/>
      <c r="AE133" s="287"/>
      <c r="AF133" s="287"/>
      <c r="AG133" s="287"/>
      <c r="AH133" s="287"/>
      <c r="AI133" s="287"/>
      <c r="AJ133" s="287"/>
    </row>
    <row r="134">
      <c r="A134" s="287"/>
      <c r="B134" s="287"/>
      <c r="C134" s="287"/>
      <c r="D134" s="287"/>
      <c r="E134" s="287"/>
      <c r="F134" s="287"/>
      <c r="G134" s="287"/>
      <c r="H134" s="287"/>
      <c r="I134" s="287"/>
      <c r="J134" s="287"/>
      <c r="K134" s="287"/>
      <c r="L134" s="287"/>
      <c r="M134" s="287"/>
      <c r="N134" s="287"/>
      <c r="O134" s="287"/>
      <c r="P134" s="287"/>
      <c r="Q134" s="287"/>
      <c r="R134" s="287"/>
      <c r="S134" s="287"/>
      <c r="T134" s="287"/>
      <c r="U134" s="287"/>
      <c r="V134" s="287"/>
      <c r="W134" s="287"/>
      <c r="X134" s="287"/>
      <c r="Y134" s="287"/>
      <c r="Z134" s="287"/>
      <c r="AA134" s="287"/>
      <c r="AB134" s="287"/>
      <c r="AC134" s="287"/>
      <c r="AD134" s="287"/>
      <c r="AE134" s="287"/>
      <c r="AF134" s="287"/>
      <c r="AG134" s="287"/>
      <c r="AH134" s="287"/>
      <c r="AI134" s="287"/>
      <c r="AJ134" s="287"/>
    </row>
    <row r="135">
      <c r="A135" s="287"/>
      <c r="B135" s="287"/>
      <c r="C135" s="287"/>
      <c r="D135" s="287"/>
      <c r="E135" s="287"/>
      <c r="F135" s="287"/>
      <c r="G135" s="287"/>
      <c r="H135" s="287"/>
      <c r="I135" s="287"/>
      <c r="J135" s="287"/>
      <c r="K135" s="287"/>
      <c r="L135" s="287"/>
      <c r="M135" s="287"/>
      <c r="N135" s="287"/>
      <c r="O135" s="287"/>
      <c r="P135" s="287"/>
      <c r="Q135" s="287"/>
      <c r="R135" s="287"/>
      <c r="S135" s="287"/>
      <c r="T135" s="287"/>
      <c r="U135" s="287"/>
      <c r="V135" s="287"/>
      <c r="W135" s="287"/>
      <c r="X135" s="287"/>
      <c r="Y135" s="287"/>
      <c r="Z135" s="287"/>
      <c r="AA135" s="287"/>
      <c r="AB135" s="287"/>
      <c r="AC135" s="287"/>
      <c r="AD135" s="287"/>
      <c r="AE135" s="287"/>
      <c r="AF135" s="287"/>
      <c r="AG135" s="287"/>
      <c r="AH135" s="287"/>
      <c r="AI135" s="287"/>
      <c r="AJ135" s="287"/>
    </row>
    <row r="136">
      <c r="A136" s="287"/>
      <c r="B136" s="287"/>
      <c r="C136" s="287"/>
      <c r="D136" s="287"/>
      <c r="E136" s="287"/>
      <c r="F136" s="287"/>
      <c r="G136" s="287"/>
      <c r="H136" s="287"/>
      <c r="I136" s="287"/>
      <c r="J136" s="287"/>
      <c r="K136" s="287"/>
      <c r="L136" s="287"/>
      <c r="M136" s="287"/>
      <c r="N136" s="287"/>
      <c r="O136" s="287"/>
      <c r="P136" s="287"/>
      <c r="Q136" s="287"/>
      <c r="R136" s="287"/>
      <c r="S136" s="287"/>
      <c r="T136" s="287"/>
      <c r="U136" s="287"/>
      <c r="V136" s="287"/>
      <c r="W136" s="287"/>
      <c r="X136" s="287"/>
      <c r="Y136" s="287"/>
      <c r="Z136" s="287"/>
      <c r="AA136" s="287"/>
      <c r="AB136" s="287"/>
      <c r="AC136" s="287"/>
      <c r="AD136" s="287"/>
      <c r="AE136" s="287"/>
      <c r="AF136" s="287"/>
      <c r="AG136" s="287"/>
      <c r="AH136" s="287"/>
      <c r="AI136" s="287"/>
      <c r="AJ136" s="287"/>
    </row>
    <row r="137">
      <c r="A137" s="287"/>
      <c r="B137" s="287"/>
      <c r="C137" s="287"/>
      <c r="D137" s="287"/>
      <c r="E137" s="287"/>
      <c r="F137" s="287"/>
      <c r="G137" s="287"/>
      <c r="H137" s="287"/>
      <c r="I137" s="287"/>
      <c r="J137" s="287"/>
      <c r="K137" s="287"/>
      <c r="L137" s="287"/>
      <c r="M137" s="287"/>
      <c r="N137" s="287"/>
      <c r="O137" s="287"/>
      <c r="P137" s="287"/>
      <c r="Q137" s="287"/>
      <c r="R137" s="287"/>
      <c r="S137" s="287"/>
      <c r="T137" s="287"/>
      <c r="U137" s="287"/>
      <c r="V137" s="287"/>
      <c r="W137" s="287"/>
      <c r="X137" s="287"/>
      <c r="Y137" s="287"/>
      <c r="Z137" s="287"/>
      <c r="AA137" s="287"/>
      <c r="AB137" s="287"/>
      <c r="AC137" s="287"/>
      <c r="AD137" s="287"/>
      <c r="AE137" s="287"/>
      <c r="AF137" s="287"/>
      <c r="AG137" s="287"/>
      <c r="AH137" s="287"/>
      <c r="AI137" s="287"/>
      <c r="AJ137" s="287"/>
    </row>
    <row r="138">
      <c r="A138" s="287"/>
      <c r="B138" s="287"/>
      <c r="C138" s="287"/>
      <c r="D138" s="287"/>
      <c r="E138" s="287"/>
      <c r="F138" s="287"/>
      <c r="G138" s="287"/>
      <c r="H138" s="287"/>
      <c r="I138" s="287"/>
      <c r="J138" s="287"/>
      <c r="K138" s="287"/>
      <c r="L138" s="287"/>
      <c r="M138" s="287"/>
      <c r="N138" s="287"/>
      <c r="O138" s="287"/>
      <c r="P138" s="287"/>
      <c r="Q138" s="287"/>
      <c r="R138" s="287"/>
      <c r="S138" s="287"/>
      <c r="T138" s="287"/>
      <c r="U138" s="287"/>
      <c r="V138" s="287"/>
      <c r="W138" s="287"/>
      <c r="X138" s="287"/>
      <c r="Y138" s="287"/>
      <c r="Z138" s="287"/>
      <c r="AA138" s="287"/>
      <c r="AB138" s="287"/>
      <c r="AC138" s="287"/>
      <c r="AD138" s="287"/>
      <c r="AE138" s="287"/>
      <c r="AF138" s="287"/>
      <c r="AG138" s="287"/>
      <c r="AH138" s="287"/>
      <c r="AI138" s="287"/>
      <c r="AJ138" s="287"/>
    </row>
    <row r="139">
      <c r="A139" s="287"/>
      <c r="B139" s="287"/>
      <c r="C139" s="287"/>
      <c r="D139" s="287"/>
      <c r="E139" s="287"/>
      <c r="F139" s="287"/>
      <c r="G139" s="287"/>
      <c r="H139" s="287"/>
      <c r="I139" s="287"/>
      <c r="J139" s="287"/>
      <c r="K139" s="287"/>
      <c r="L139" s="287"/>
      <c r="M139" s="287"/>
      <c r="N139" s="287"/>
      <c r="O139" s="287"/>
      <c r="P139" s="287"/>
      <c r="Q139" s="287"/>
      <c r="R139" s="287"/>
      <c r="S139" s="287"/>
      <c r="T139" s="287"/>
      <c r="U139" s="287"/>
      <c r="V139" s="287"/>
      <c r="W139" s="287"/>
      <c r="X139" s="287"/>
      <c r="Y139" s="287"/>
      <c r="Z139" s="287"/>
      <c r="AA139" s="287"/>
      <c r="AB139" s="287"/>
      <c r="AC139" s="287"/>
      <c r="AD139" s="287"/>
      <c r="AE139" s="287"/>
      <c r="AF139" s="287"/>
      <c r="AG139" s="287"/>
      <c r="AH139" s="287"/>
      <c r="AI139" s="287"/>
      <c r="AJ139" s="287"/>
    </row>
    <row r="140">
      <c r="A140" s="287"/>
      <c r="B140" s="287"/>
      <c r="C140" s="287"/>
      <c r="D140" s="287"/>
      <c r="E140" s="287"/>
      <c r="F140" s="287"/>
      <c r="G140" s="287"/>
      <c r="H140" s="287"/>
      <c r="I140" s="287"/>
      <c r="J140" s="287"/>
      <c r="K140" s="287"/>
      <c r="L140" s="287"/>
      <c r="M140" s="287"/>
      <c r="N140" s="287"/>
      <c r="O140" s="287"/>
      <c r="P140" s="287"/>
      <c r="Q140" s="287"/>
      <c r="R140" s="287"/>
      <c r="S140" s="287"/>
      <c r="T140" s="287"/>
      <c r="U140" s="287"/>
      <c r="V140" s="287"/>
      <c r="W140" s="287"/>
      <c r="X140" s="287"/>
      <c r="Y140" s="287"/>
      <c r="Z140" s="287"/>
      <c r="AA140" s="287"/>
      <c r="AB140" s="287"/>
      <c r="AC140" s="287"/>
      <c r="AD140" s="287"/>
      <c r="AE140" s="287"/>
      <c r="AF140" s="287"/>
      <c r="AG140" s="287"/>
      <c r="AH140" s="287"/>
      <c r="AI140" s="287"/>
      <c r="AJ140" s="287"/>
    </row>
    <row r="141">
      <c r="A141" s="287"/>
      <c r="B141" s="287"/>
      <c r="C141" s="287"/>
      <c r="D141" s="287"/>
      <c r="E141" s="287"/>
      <c r="F141" s="287"/>
      <c r="G141" s="287"/>
      <c r="H141" s="287"/>
      <c r="I141" s="287"/>
      <c r="J141" s="287"/>
      <c r="K141" s="287"/>
      <c r="L141" s="287"/>
      <c r="M141" s="287"/>
      <c r="N141" s="287"/>
      <c r="O141" s="287"/>
      <c r="P141" s="287"/>
      <c r="Q141" s="287"/>
      <c r="R141" s="287"/>
      <c r="S141" s="287"/>
      <c r="T141" s="287"/>
      <c r="U141" s="287"/>
      <c r="V141" s="287"/>
      <c r="W141" s="287"/>
      <c r="X141" s="287"/>
      <c r="Y141" s="287"/>
      <c r="Z141" s="287"/>
      <c r="AA141" s="287"/>
      <c r="AB141" s="287"/>
      <c r="AC141" s="287"/>
      <c r="AD141" s="287"/>
      <c r="AE141" s="287"/>
      <c r="AF141" s="287"/>
      <c r="AG141" s="287"/>
      <c r="AH141" s="287"/>
      <c r="AI141" s="287"/>
      <c r="AJ141" s="287"/>
    </row>
    <row r="142">
      <c r="A142" s="287"/>
      <c r="B142" s="287"/>
      <c r="C142" s="287"/>
      <c r="D142" s="287"/>
      <c r="E142" s="287"/>
      <c r="F142" s="287"/>
      <c r="G142" s="287"/>
      <c r="H142" s="287"/>
      <c r="I142" s="287"/>
      <c r="J142" s="287"/>
      <c r="K142" s="287"/>
      <c r="L142" s="287"/>
      <c r="M142" s="287"/>
      <c r="N142" s="287"/>
      <c r="O142" s="287"/>
      <c r="P142" s="287"/>
      <c r="Q142" s="287"/>
      <c r="R142" s="287"/>
      <c r="S142" s="287"/>
      <c r="T142" s="287"/>
      <c r="U142" s="287"/>
      <c r="V142" s="287"/>
      <c r="W142" s="287"/>
      <c r="X142" s="287"/>
      <c r="Y142" s="287"/>
      <c r="Z142" s="287"/>
      <c r="AA142" s="287"/>
      <c r="AB142" s="287"/>
      <c r="AC142" s="287"/>
      <c r="AD142" s="287"/>
      <c r="AE142" s="287"/>
      <c r="AF142" s="287"/>
      <c r="AG142" s="287"/>
      <c r="AH142" s="287"/>
      <c r="AI142" s="287"/>
      <c r="AJ142" s="287"/>
    </row>
    <row r="143">
      <c r="A143" s="287"/>
      <c r="B143" s="287"/>
      <c r="C143" s="287"/>
      <c r="D143" s="287"/>
      <c r="E143" s="287"/>
      <c r="F143" s="287"/>
      <c r="G143" s="287"/>
      <c r="H143" s="287"/>
      <c r="I143" s="287"/>
      <c r="J143" s="287"/>
      <c r="K143" s="287"/>
      <c r="L143" s="287"/>
      <c r="M143" s="287"/>
      <c r="N143" s="287"/>
      <c r="O143" s="287"/>
      <c r="P143" s="287"/>
      <c r="Q143" s="287"/>
      <c r="R143" s="287"/>
      <c r="S143" s="287"/>
      <c r="T143" s="287"/>
      <c r="U143" s="287"/>
      <c r="V143" s="287"/>
      <c r="W143" s="287"/>
      <c r="X143" s="287"/>
      <c r="Y143" s="287"/>
      <c r="Z143" s="287"/>
      <c r="AA143" s="287"/>
      <c r="AB143" s="287"/>
      <c r="AC143" s="287"/>
      <c r="AD143" s="287"/>
      <c r="AE143" s="287"/>
      <c r="AF143" s="287"/>
      <c r="AG143" s="287"/>
      <c r="AH143" s="287"/>
      <c r="AI143" s="287"/>
      <c r="AJ143" s="287"/>
    </row>
    <row r="144">
      <c r="A144" s="287"/>
      <c r="B144" s="287"/>
      <c r="C144" s="287"/>
      <c r="D144" s="287"/>
      <c r="E144" s="287"/>
      <c r="F144" s="287"/>
      <c r="G144" s="287"/>
      <c r="H144" s="287"/>
      <c r="I144" s="287"/>
      <c r="J144" s="287"/>
      <c r="K144" s="287"/>
      <c r="L144" s="287"/>
      <c r="M144" s="287"/>
      <c r="N144" s="287"/>
      <c r="O144" s="287"/>
      <c r="P144" s="287"/>
      <c r="Q144" s="287"/>
      <c r="R144" s="287"/>
      <c r="S144" s="287"/>
      <c r="T144" s="287"/>
      <c r="U144" s="287"/>
      <c r="V144" s="287"/>
      <c r="W144" s="287"/>
      <c r="X144" s="287"/>
      <c r="Y144" s="287"/>
      <c r="Z144" s="287"/>
      <c r="AA144" s="287"/>
      <c r="AB144" s="287"/>
      <c r="AC144" s="287"/>
      <c r="AD144" s="287"/>
      <c r="AE144" s="287"/>
      <c r="AF144" s="287"/>
      <c r="AG144" s="287"/>
      <c r="AH144" s="287"/>
      <c r="AI144" s="287"/>
      <c r="AJ144" s="287"/>
    </row>
    <row r="145">
      <c r="A145" s="287"/>
      <c r="B145" s="287"/>
      <c r="C145" s="287"/>
      <c r="D145" s="287"/>
      <c r="E145" s="287"/>
      <c r="F145" s="287"/>
      <c r="G145" s="287"/>
      <c r="H145" s="287"/>
      <c r="I145" s="287"/>
      <c r="J145" s="287"/>
      <c r="K145" s="287"/>
      <c r="L145" s="287"/>
      <c r="M145" s="287"/>
      <c r="N145" s="287"/>
      <c r="O145" s="287"/>
      <c r="P145" s="287"/>
      <c r="Q145" s="287"/>
      <c r="R145" s="287"/>
      <c r="S145" s="287"/>
      <c r="T145" s="287"/>
      <c r="U145" s="287"/>
      <c r="V145" s="287"/>
      <c r="W145" s="287"/>
      <c r="X145" s="287"/>
      <c r="Y145" s="287"/>
      <c r="Z145" s="287"/>
      <c r="AA145" s="287"/>
      <c r="AB145" s="287"/>
      <c r="AC145" s="287"/>
      <c r="AD145" s="287"/>
      <c r="AE145" s="287"/>
      <c r="AF145" s="287"/>
      <c r="AG145" s="287"/>
      <c r="AH145" s="287"/>
      <c r="AI145" s="287"/>
      <c r="AJ145" s="287"/>
    </row>
    <row r="146">
      <c r="A146" s="287"/>
      <c r="B146" s="287"/>
      <c r="C146" s="287"/>
      <c r="D146" s="287"/>
      <c r="E146" s="287"/>
      <c r="F146" s="287"/>
      <c r="G146" s="287"/>
      <c r="H146" s="287"/>
      <c r="I146" s="287"/>
      <c r="J146" s="287"/>
      <c r="K146" s="287"/>
      <c r="L146" s="287"/>
      <c r="M146" s="287"/>
      <c r="N146" s="287"/>
      <c r="O146" s="287"/>
      <c r="P146" s="287"/>
      <c r="Q146" s="287"/>
      <c r="R146" s="287"/>
      <c r="S146" s="287"/>
      <c r="T146" s="287"/>
      <c r="U146" s="287"/>
      <c r="V146" s="287"/>
      <c r="W146" s="287"/>
      <c r="X146" s="287"/>
      <c r="Y146" s="287"/>
      <c r="Z146" s="287"/>
      <c r="AA146" s="287"/>
      <c r="AB146" s="287"/>
      <c r="AC146" s="287"/>
      <c r="AD146" s="287"/>
      <c r="AE146" s="287"/>
      <c r="AF146" s="287"/>
      <c r="AG146" s="287"/>
      <c r="AH146" s="287"/>
      <c r="AI146" s="287"/>
      <c r="AJ146" s="287"/>
    </row>
    <row r="147">
      <c r="A147" s="287"/>
      <c r="B147" s="287"/>
      <c r="C147" s="287"/>
      <c r="D147" s="287"/>
      <c r="E147" s="287"/>
      <c r="F147" s="287"/>
      <c r="G147" s="287"/>
      <c r="H147" s="287"/>
      <c r="I147" s="287"/>
      <c r="J147" s="287"/>
      <c r="K147" s="287"/>
      <c r="L147" s="287"/>
      <c r="M147" s="287"/>
      <c r="N147" s="287"/>
      <c r="O147" s="287"/>
      <c r="P147" s="287"/>
      <c r="Q147" s="287"/>
      <c r="R147" s="287"/>
      <c r="S147" s="287"/>
      <c r="T147" s="287"/>
      <c r="U147" s="287"/>
      <c r="V147" s="287"/>
      <c r="W147" s="287"/>
      <c r="X147" s="287"/>
      <c r="Y147" s="287"/>
      <c r="Z147" s="287"/>
      <c r="AA147" s="287"/>
      <c r="AB147" s="287"/>
      <c r="AC147" s="287"/>
      <c r="AD147" s="287"/>
      <c r="AE147" s="287"/>
      <c r="AF147" s="287"/>
      <c r="AG147" s="287"/>
      <c r="AH147" s="287"/>
      <c r="AI147" s="287"/>
      <c r="AJ147" s="287"/>
    </row>
    <row r="148">
      <c r="A148" s="287"/>
      <c r="B148" s="287"/>
      <c r="C148" s="287"/>
      <c r="D148" s="287"/>
      <c r="E148" s="287"/>
      <c r="F148" s="287"/>
      <c r="G148" s="287"/>
      <c r="H148" s="287"/>
      <c r="I148" s="287"/>
      <c r="J148" s="287"/>
      <c r="K148" s="287"/>
      <c r="L148" s="287"/>
      <c r="M148" s="287"/>
      <c r="N148" s="287"/>
      <c r="O148" s="287"/>
      <c r="P148" s="287"/>
      <c r="Q148" s="287"/>
      <c r="R148" s="287"/>
      <c r="S148" s="287"/>
      <c r="T148" s="287"/>
      <c r="U148" s="287"/>
      <c r="V148" s="287"/>
      <c r="W148" s="287"/>
      <c r="X148" s="287"/>
      <c r="Y148" s="287"/>
      <c r="Z148" s="287"/>
      <c r="AA148" s="287"/>
      <c r="AB148" s="287"/>
      <c r="AC148" s="287"/>
      <c r="AD148" s="287"/>
      <c r="AE148" s="287"/>
      <c r="AF148" s="287"/>
      <c r="AG148" s="287"/>
      <c r="AH148" s="287"/>
      <c r="AI148" s="287"/>
      <c r="AJ148" s="287"/>
    </row>
    <row r="149">
      <c r="A149" s="287"/>
      <c r="B149" s="287"/>
      <c r="C149" s="287"/>
      <c r="D149" s="287"/>
      <c r="E149" s="287"/>
      <c r="F149" s="287"/>
      <c r="G149" s="287"/>
      <c r="H149" s="287"/>
      <c r="I149" s="287"/>
      <c r="J149" s="287"/>
      <c r="K149" s="287"/>
      <c r="L149" s="287"/>
      <c r="M149" s="287"/>
      <c r="N149" s="287"/>
      <c r="O149" s="287"/>
      <c r="P149" s="287"/>
      <c r="Q149" s="287"/>
      <c r="R149" s="287"/>
      <c r="S149" s="287"/>
      <c r="T149" s="287"/>
      <c r="U149" s="287"/>
      <c r="V149" s="287"/>
      <c r="W149" s="287"/>
      <c r="X149" s="287"/>
      <c r="Y149" s="287"/>
      <c r="Z149" s="287"/>
      <c r="AA149" s="287"/>
      <c r="AB149" s="287"/>
      <c r="AC149" s="287"/>
      <c r="AD149" s="287"/>
      <c r="AE149" s="287"/>
      <c r="AF149" s="287"/>
      <c r="AG149" s="287"/>
      <c r="AH149" s="287"/>
      <c r="AI149" s="287"/>
      <c r="AJ149" s="287"/>
    </row>
    <row r="150">
      <c r="A150" s="287"/>
      <c r="B150" s="287"/>
      <c r="C150" s="287"/>
      <c r="D150" s="287"/>
      <c r="E150" s="287"/>
      <c r="F150" s="287"/>
      <c r="G150" s="287"/>
      <c r="H150" s="287"/>
      <c r="I150" s="287"/>
      <c r="J150" s="287"/>
      <c r="K150" s="287"/>
      <c r="L150" s="287"/>
      <c r="M150" s="287"/>
      <c r="N150" s="287"/>
      <c r="O150" s="287"/>
      <c r="P150" s="287"/>
      <c r="Q150" s="287"/>
      <c r="R150" s="287"/>
      <c r="S150" s="287"/>
      <c r="T150" s="287"/>
      <c r="U150" s="287"/>
      <c r="V150" s="287"/>
      <c r="W150" s="287"/>
      <c r="X150" s="287"/>
      <c r="Y150" s="287"/>
      <c r="Z150" s="287"/>
      <c r="AA150" s="287"/>
      <c r="AB150" s="287"/>
      <c r="AC150" s="287"/>
      <c r="AD150" s="287"/>
      <c r="AE150" s="287"/>
      <c r="AF150" s="287"/>
      <c r="AG150" s="287"/>
      <c r="AH150" s="287"/>
      <c r="AI150" s="287"/>
      <c r="AJ150" s="287"/>
    </row>
    <row r="151">
      <c r="A151" s="287"/>
      <c r="B151" s="287"/>
      <c r="C151" s="287"/>
      <c r="D151" s="287"/>
      <c r="E151" s="287"/>
      <c r="F151" s="287"/>
      <c r="G151" s="287"/>
      <c r="H151" s="287"/>
      <c r="I151" s="287"/>
      <c r="J151" s="287"/>
      <c r="K151" s="287"/>
      <c r="L151" s="287"/>
      <c r="M151" s="287"/>
      <c r="N151" s="287"/>
      <c r="O151" s="287"/>
      <c r="P151" s="287"/>
      <c r="Q151" s="287"/>
      <c r="R151" s="287"/>
      <c r="S151" s="287"/>
      <c r="T151" s="287"/>
      <c r="U151" s="287"/>
      <c r="V151" s="287"/>
      <c r="W151" s="287"/>
      <c r="X151" s="287"/>
      <c r="Y151" s="287"/>
      <c r="Z151" s="287"/>
      <c r="AA151" s="287"/>
      <c r="AB151" s="287"/>
      <c r="AC151" s="287"/>
      <c r="AD151" s="287"/>
      <c r="AE151" s="287"/>
      <c r="AF151" s="287"/>
      <c r="AG151" s="287"/>
      <c r="AH151" s="287"/>
      <c r="AI151" s="287"/>
      <c r="AJ151" s="287"/>
    </row>
    <row r="152">
      <c r="A152" s="287"/>
      <c r="B152" s="287"/>
      <c r="C152" s="287"/>
      <c r="D152" s="287"/>
      <c r="E152" s="287"/>
      <c r="F152" s="287"/>
      <c r="G152" s="287"/>
      <c r="H152" s="287"/>
      <c r="I152" s="287"/>
      <c r="J152" s="287"/>
      <c r="K152" s="287"/>
      <c r="L152" s="287"/>
      <c r="M152" s="287"/>
      <c r="N152" s="287"/>
      <c r="O152" s="287"/>
      <c r="P152" s="287"/>
      <c r="Q152" s="287"/>
      <c r="R152" s="287"/>
      <c r="S152" s="287"/>
      <c r="T152" s="287"/>
      <c r="U152" s="287"/>
      <c r="V152" s="287"/>
      <c r="W152" s="287"/>
      <c r="X152" s="287"/>
      <c r="Y152" s="287"/>
      <c r="Z152" s="287"/>
      <c r="AA152" s="287"/>
      <c r="AB152" s="287"/>
      <c r="AC152" s="287"/>
      <c r="AD152" s="287"/>
      <c r="AE152" s="287"/>
      <c r="AF152" s="287"/>
      <c r="AG152" s="287"/>
      <c r="AH152" s="287"/>
      <c r="AI152" s="287"/>
      <c r="AJ152" s="287"/>
    </row>
    <row r="153">
      <c r="A153" s="287"/>
      <c r="B153" s="287"/>
      <c r="C153" s="287"/>
      <c r="D153" s="287"/>
      <c r="E153" s="287"/>
      <c r="F153" s="287"/>
      <c r="G153" s="287"/>
      <c r="H153" s="287"/>
      <c r="I153" s="287"/>
      <c r="J153" s="287"/>
      <c r="K153" s="287"/>
      <c r="L153" s="287"/>
      <c r="M153" s="287"/>
      <c r="N153" s="287"/>
      <c r="O153" s="287"/>
      <c r="P153" s="287"/>
      <c r="Q153" s="287"/>
      <c r="R153" s="287"/>
      <c r="S153" s="287"/>
      <c r="T153" s="287"/>
      <c r="U153" s="287"/>
      <c r="V153" s="287"/>
      <c r="W153" s="287"/>
      <c r="X153" s="287"/>
      <c r="Y153" s="287"/>
      <c r="Z153" s="287"/>
      <c r="AA153" s="287"/>
      <c r="AB153" s="287"/>
      <c r="AC153" s="287"/>
      <c r="AD153" s="287"/>
      <c r="AE153" s="287"/>
      <c r="AF153" s="287"/>
      <c r="AG153" s="287"/>
      <c r="AH153" s="287"/>
      <c r="AI153" s="287"/>
      <c r="AJ153" s="287"/>
    </row>
    <row r="154">
      <c r="A154" s="287"/>
      <c r="B154" s="287"/>
      <c r="C154" s="287"/>
      <c r="D154" s="287"/>
      <c r="E154" s="287"/>
      <c r="F154" s="287"/>
      <c r="G154" s="287"/>
      <c r="H154" s="287"/>
      <c r="I154" s="287"/>
      <c r="J154" s="287"/>
      <c r="K154" s="287"/>
      <c r="L154" s="287"/>
      <c r="M154" s="287"/>
      <c r="N154" s="287"/>
      <c r="O154" s="287"/>
      <c r="P154" s="287"/>
      <c r="Q154" s="287"/>
      <c r="R154" s="287"/>
      <c r="S154" s="287"/>
      <c r="T154" s="287"/>
      <c r="U154" s="287"/>
      <c r="V154" s="287"/>
      <c r="W154" s="287"/>
      <c r="X154" s="287"/>
      <c r="Y154" s="287"/>
      <c r="Z154" s="287"/>
      <c r="AA154" s="287"/>
      <c r="AB154" s="287"/>
      <c r="AC154" s="287"/>
      <c r="AD154" s="287"/>
      <c r="AE154" s="287"/>
      <c r="AF154" s="287"/>
      <c r="AG154" s="287"/>
      <c r="AH154" s="287"/>
      <c r="AI154" s="287"/>
      <c r="AJ154" s="287"/>
    </row>
    <row r="155">
      <c r="A155" s="287"/>
      <c r="B155" s="287"/>
      <c r="C155" s="287"/>
      <c r="D155" s="287"/>
      <c r="E155" s="287"/>
      <c r="F155" s="287"/>
      <c r="G155" s="287"/>
      <c r="H155" s="287"/>
      <c r="I155" s="287"/>
      <c r="J155" s="287"/>
      <c r="K155" s="287"/>
      <c r="L155" s="287"/>
      <c r="M155" s="287"/>
      <c r="N155" s="287"/>
      <c r="O155" s="287"/>
      <c r="P155" s="287"/>
      <c r="Q155" s="287"/>
      <c r="R155" s="287"/>
      <c r="S155" s="287"/>
      <c r="T155" s="287"/>
      <c r="U155" s="287"/>
      <c r="V155" s="287"/>
      <c r="W155" s="287"/>
      <c r="X155" s="287"/>
      <c r="Y155" s="287"/>
      <c r="Z155" s="287"/>
      <c r="AA155" s="287"/>
      <c r="AB155" s="287"/>
      <c r="AC155" s="287"/>
      <c r="AD155" s="287"/>
      <c r="AE155" s="287"/>
      <c r="AF155" s="287"/>
      <c r="AG155" s="287"/>
      <c r="AH155" s="287"/>
      <c r="AI155" s="287"/>
      <c r="AJ155" s="287"/>
    </row>
  </sheetData>
  <printOptions gridLines="1"/>
  <pageMargins bottom="0.75" footer="0.0" header="0.0" left="0.7" right="0.7" top="0.75"/>
  <pageSetup paperSize="14" cellComments="atEnd" orientation="portrait" pageOrder="overThenDown"/>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7" width="10.13"/>
  </cols>
  <sheetData>
    <row r="1">
      <c r="A1" s="291" t="s">
        <v>48</v>
      </c>
      <c r="J1" s="291" t="s">
        <v>48</v>
      </c>
    </row>
    <row r="2"/>
    <row r="3">
      <c r="E3" s="293"/>
      <c r="F3" s="293"/>
      <c r="G3" s="293"/>
      <c r="O3" s="293"/>
      <c r="P3" s="293"/>
    </row>
    <row r="4">
      <c r="E4" s="293"/>
      <c r="F4" s="293"/>
      <c r="G4" s="293"/>
      <c r="O4" s="293"/>
      <c r="P4" s="293"/>
      <c r="Q4" s="293"/>
    </row>
    <row r="5">
      <c r="E5" s="293"/>
      <c r="F5" s="293"/>
      <c r="G5" s="293"/>
      <c r="O5" s="293"/>
      <c r="P5" s="293"/>
      <c r="Q5" s="293"/>
    </row>
    <row r="6">
      <c r="E6" s="293"/>
      <c r="F6" s="293"/>
      <c r="G6" s="293"/>
      <c r="O6" s="293"/>
      <c r="P6" s="293"/>
      <c r="Q6" s="293"/>
    </row>
    <row r="7">
      <c r="O7" s="293"/>
      <c r="P7" s="293"/>
      <c r="Q7" s="293"/>
    </row>
    <row r="8">
      <c r="O8" s="293"/>
      <c r="P8" s="293"/>
      <c r="Q8" s="293"/>
    </row>
    <row r="9">
      <c r="A9" s="291" t="s">
        <v>39</v>
      </c>
      <c r="O9" s="293"/>
      <c r="P9" s="293"/>
      <c r="Q9" s="293"/>
    </row>
    <row r="10">
      <c r="O10" s="293"/>
      <c r="P10" s="293"/>
      <c r="Q10" s="293"/>
    </row>
    <row r="11">
      <c r="E11" s="293"/>
      <c r="F11" s="293"/>
      <c r="G11" s="293"/>
      <c r="O11" s="293"/>
      <c r="P11" s="293"/>
      <c r="Q11" s="293"/>
    </row>
    <row r="12">
      <c r="E12" s="293"/>
      <c r="F12" s="293"/>
      <c r="G12" s="293"/>
      <c r="O12" s="293"/>
      <c r="P12" s="293"/>
      <c r="Q12" s="293"/>
    </row>
    <row r="13">
      <c r="E13" s="293"/>
      <c r="F13" s="293"/>
      <c r="G13" s="293"/>
      <c r="O13" s="293"/>
      <c r="P13" s="293"/>
      <c r="Q13" s="293"/>
    </row>
    <row r="14">
      <c r="E14" s="293"/>
      <c r="F14" s="293"/>
      <c r="G14" s="293"/>
      <c r="J14" s="293"/>
      <c r="K14" s="293"/>
      <c r="L14" s="293"/>
      <c r="M14" s="293"/>
      <c r="N14" s="293"/>
      <c r="O14" s="293"/>
      <c r="P14" s="293"/>
      <c r="Q14" s="293"/>
    </row>
    <row r="15">
      <c r="E15" s="293"/>
      <c r="F15" s="293"/>
      <c r="G15" s="293"/>
      <c r="J15" s="293"/>
      <c r="K15" s="293"/>
      <c r="L15" s="293"/>
      <c r="M15" s="293"/>
      <c r="N15" s="293"/>
      <c r="O15" s="293"/>
      <c r="P15" s="293"/>
      <c r="Q15" s="293"/>
    </row>
    <row r="18">
      <c r="A18" s="291" t="s">
        <v>33</v>
      </c>
    </row>
    <row r="19"/>
    <row r="20">
      <c r="E20" s="293"/>
      <c r="F20" s="293"/>
      <c r="G20" s="293"/>
    </row>
    <row r="21">
      <c r="E21" s="293"/>
      <c r="F21" s="293"/>
      <c r="G21" s="293"/>
    </row>
    <row r="22">
      <c r="E22" s="293"/>
      <c r="F22" s="293"/>
      <c r="G22" s="293"/>
    </row>
    <row r="23">
      <c r="E23" s="293"/>
      <c r="F23" s="293"/>
      <c r="G23" s="293"/>
    </row>
    <row r="24">
      <c r="E24" s="293"/>
      <c r="F24" s="293"/>
      <c r="G24" s="293"/>
    </row>
    <row r="25">
      <c r="A25" s="293"/>
      <c r="B25" s="293"/>
      <c r="C25" s="293"/>
      <c r="D25" s="293"/>
      <c r="E25" s="293"/>
      <c r="F25" s="293"/>
      <c r="G25" s="293"/>
    </row>
    <row r="26">
      <c r="A26" s="293"/>
      <c r="B26" s="293"/>
      <c r="C26" s="293"/>
      <c r="D26" s="293"/>
      <c r="E26" s="293"/>
      <c r="F26" s="293"/>
      <c r="G26" s="293"/>
    </row>
  </sheetData>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2.63"/>
    <col customWidth="1" min="2" max="2" width="20.5"/>
    <col customWidth="1" min="3" max="3" width="2.63"/>
    <col customWidth="1" min="4" max="4" width="37.13"/>
    <col customWidth="1" min="5" max="5" width="2.63"/>
    <col customWidth="1" min="6" max="6" width="15.63"/>
    <col customWidth="1" min="7" max="7" width="2.63"/>
    <col customWidth="1" min="8" max="9" width="18.25"/>
    <col customWidth="1" min="10" max="10" width="2.63"/>
    <col customWidth="1" min="11" max="11" width="14.38"/>
    <col customWidth="1" min="12" max="12" width="2.63"/>
    <col customWidth="1" min="14" max="14" width="2.63"/>
    <col customWidth="1" min="16" max="16" width="2.63"/>
    <col customWidth="1" min="18" max="18" width="2.63"/>
    <col customWidth="1" min="19" max="19" width="16.5"/>
    <col customWidth="1" min="20" max="20" width="2.63"/>
    <col customWidth="1" min="22" max="22" width="2.63"/>
    <col customWidth="1" min="23" max="23" width="14.75"/>
    <col customWidth="1" min="24" max="24" width="2.63"/>
    <col customWidth="1" min="25" max="25" width="16.5"/>
    <col customWidth="1" min="26" max="26" width="2.63"/>
    <col customWidth="1" min="27" max="27" width="22.38"/>
    <col customWidth="1" min="28" max="28" width="2.63"/>
    <col customWidth="1" min="29" max="29" width="18.5"/>
    <col customWidth="1" min="30" max="30" width="2.63"/>
    <col customWidth="1" min="31" max="31" width="12.63"/>
    <col customWidth="1" min="32" max="32" width="2.63"/>
    <col customWidth="1" min="33" max="33" width="29.88"/>
    <col customWidth="1" min="34" max="34" width="2.63"/>
  </cols>
  <sheetData>
    <row r="1">
      <c r="A1" s="296"/>
      <c r="B1" s="297" t="s">
        <v>1522</v>
      </c>
      <c r="C1" s="298"/>
      <c r="D1" s="299"/>
      <c r="E1" s="298"/>
      <c r="F1" s="299"/>
      <c r="G1" s="298"/>
      <c r="H1" s="299"/>
      <c r="I1" s="299"/>
      <c r="J1" s="298"/>
      <c r="K1" s="299"/>
      <c r="L1" s="298"/>
      <c r="M1" s="299"/>
      <c r="N1" s="298"/>
      <c r="O1" s="299"/>
      <c r="P1" s="298"/>
      <c r="Q1" s="299"/>
      <c r="R1" s="298"/>
      <c r="S1" s="299"/>
      <c r="T1" s="298"/>
      <c r="U1" s="299"/>
      <c r="V1" s="298"/>
      <c r="W1" s="299"/>
      <c r="X1" s="298"/>
      <c r="Y1" s="299"/>
      <c r="Z1" s="298"/>
      <c r="AA1" s="299"/>
      <c r="AB1" s="298"/>
      <c r="AC1" s="299"/>
      <c r="AD1" s="298"/>
      <c r="AE1" s="299"/>
      <c r="AF1" s="298"/>
      <c r="AG1" s="299"/>
      <c r="AH1" s="298"/>
    </row>
    <row r="2">
      <c r="A2" s="298"/>
      <c r="B2" s="298"/>
      <c r="C2" s="298"/>
      <c r="D2" s="298"/>
      <c r="E2" s="298"/>
      <c r="F2" s="298"/>
      <c r="G2" s="298"/>
      <c r="H2" s="298"/>
      <c r="I2" s="298"/>
      <c r="J2" s="298"/>
      <c r="K2" s="298"/>
      <c r="L2" s="298"/>
      <c r="M2" s="298"/>
      <c r="N2" s="298"/>
      <c r="O2" s="298"/>
      <c r="P2" s="298"/>
      <c r="Q2" s="298"/>
      <c r="R2" s="298"/>
      <c r="S2" s="298"/>
      <c r="T2" s="298"/>
      <c r="U2" s="298"/>
      <c r="V2" s="298"/>
      <c r="W2" s="298"/>
      <c r="X2" s="298"/>
      <c r="Y2" s="298"/>
      <c r="Z2" s="298"/>
      <c r="AA2" s="298"/>
      <c r="AB2" s="298"/>
      <c r="AC2" s="298"/>
      <c r="AD2" s="298"/>
      <c r="AE2" s="298"/>
      <c r="AF2" s="298"/>
      <c r="AG2" s="298"/>
      <c r="AH2" s="298"/>
    </row>
    <row r="3">
      <c r="A3" s="300"/>
      <c r="B3" s="301"/>
      <c r="C3" s="300"/>
      <c r="D3" s="301"/>
      <c r="E3" s="300"/>
      <c r="F3" s="301"/>
      <c r="G3" s="300"/>
      <c r="H3" s="301"/>
      <c r="I3" s="301"/>
      <c r="J3" s="300"/>
      <c r="K3" s="301"/>
      <c r="L3" s="300"/>
      <c r="M3" s="301"/>
      <c r="N3" s="300"/>
      <c r="O3" s="301"/>
      <c r="P3" s="300"/>
      <c r="Q3" s="301"/>
      <c r="R3" s="300"/>
      <c r="S3" s="301"/>
      <c r="T3" s="300"/>
      <c r="U3" s="301"/>
      <c r="V3" s="300"/>
      <c r="W3" s="301"/>
      <c r="X3" s="300"/>
      <c r="Y3" s="301"/>
      <c r="Z3" s="300"/>
      <c r="AA3" s="301"/>
      <c r="AB3" s="302"/>
      <c r="AC3" s="301"/>
      <c r="AD3" s="302"/>
      <c r="AE3" s="301"/>
      <c r="AF3" s="302"/>
      <c r="AG3" s="301"/>
      <c r="AH3" s="302"/>
    </row>
    <row r="4">
      <c r="A4" s="300"/>
      <c r="B4" s="301" t="s">
        <v>1523</v>
      </c>
      <c r="C4" s="300"/>
      <c r="D4" s="301" t="s">
        <v>1524</v>
      </c>
      <c r="E4" s="300"/>
      <c r="F4" s="301" t="s">
        <v>1525</v>
      </c>
      <c r="G4" s="300"/>
      <c r="H4" s="301" t="s">
        <v>1526</v>
      </c>
      <c r="I4" s="301" t="s">
        <v>33</v>
      </c>
      <c r="J4" s="300"/>
      <c r="K4" s="301" t="s">
        <v>1527</v>
      </c>
      <c r="L4" s="300"/>
      <c r="M4" s="301" t="s">
        <v>1111</v>
      </c>
      <c r="N4" s="300"/>
      <c r="O4" s="301" t="s">
        <v>1110</v>
      </c>
      <c r="P4" s="300"/>
      <c r="Q4" s="301" t="s">
        <v>1123</v>
      </c>
      <c r="R4" s="300"/>
      <c r="S4" s="301" t="s">
        <v>1528</v>
      </c>
      <c r="T4" s="300"/>
      <c r="U4" s="301" t="s">
        <v>1529</v>
      </c>
      <c r="V4" s="300"/>
      <c r="W4" s="301" t="s">
        <v>1530</v>
      </c>
      <c r="X4" s="300"/>
      <c r="Y4" s="301" t="s">
        <v>1531</v>
      </c>
      <c r="Z4" s="300"/>
      <c r="AA4" s="301" t="s">
        <v>22</v>
      </c>
      <c r="AB4" s="302"/>
      <c r="AC4" s="301" t="s">
        <v>1532</v>
      </c>
      <c r="AD4" s="302"/>
      <c r="AE4" s="301" t="s">
        <v>1533</v>
      </c>
      <c r="AF4" s="302"/>
      <c r="AG4" s="301" t="s">
        <v>22</v>
      </c>
      <c r="AH4" s="302"/>
    </row>
    <row r="5">
      <c r="A5" s="298"/>
      <c r="B5" s="303" t="s">
        <v>54</v>
      </c>
      <c r="C5" s="298"/>
      <c r="D5" s="303" t="s">
        <v>1534</v>
      </c>
      <c r="E5" s="298"/>
      <c r="F5" s="303" t="s">
        <v>931</v>
      </c>
      <c r="G5" s="298"/>
      <c r="H5" s="303" t="s">
        <v>509</v>
      </c>
      <c r="I5" s="303" t="s">
        <v>1514</v>
      </c>
      <c r="J5" s="298"/>
      <c r="K5" s="303" t="s">
        <v>830</v>
      </c>
      <c r="L5" s="298"/>
      <c r="M5" s="303" t="s">
        <v>1133</v>
      </c>
      <c r="N5" s="298"/>
      <c r="O5" s="303" t="s">
        <v>1132</v>
      </c>
      <c r="P5" s="298"/>
      <c r="Q5" s="303" t="s">
        <v>1144</v>
      </c>
      <c r="R5" s="298"/>
      <c r="S5" s="303" t="s">
        <v>1138</v>
      </c>
      <c r="T5" s="298"/>
      <c r="U5" s="303" t="s">
        <v>55</v>
      </c>
      <c r="V5" s="298"/>
      <c r="W5" s="303" t="s">
        <v>57</v>
      </c>
      <c r="X5" s="298"/>
      <c r="Y5" s="303" t="s">
        <v>59</v>
      </c>
      <c r="Z5" s="298"/>
      <c r="AA5" s="303" t="s">
        <v>1535</v>
      </c>
      <c r="AB5" s="304"/>
      <c r="AC5" s="305" t="s">
        <v>1536</v>
      </c>
      <c r="AD5" s="304"/>
      <c r="AE5" s="303" t="s">
        <v>1537</v>
      </c>
      <c r="AF5" s="304"/>
      <c r="AG5" s="303" t="s">
        <v>1538</v>
      </c>
      <c r="AH5" s="304"/>
    </row>
    <row r="6">
      <c r="A6" s="298"/>
      <c r="B6" s="303" t="s">
        <v>446</v>
      </c>
      <c r="C6" s="298"/>
      <c r="D6" s="303" t="s">
        <v>972</v>
      </c>
      <c r="E6" s="298"/>
      <c r="F6" s="303" t="s">
        <v>851</v>
      </c>
      <c r="G6" s="298"/>
      <c r="H6" s="303" t="s">
        <v>101</v>
      </c>
      <c r="I6" s="305" t="s">
        <v>1521</v>
      </c>
      <c r="J6" s="298"/>
      <c r="K6" s="303" t="s">
        <v>827</v>
      </c>
      <c r="L6" s="298"/>
      <c r="M6" s="303" t="s">
        <v>1139</v>
      </c>
      <c r="N6" s="298"/>
      <c r="O6" s="303" t="s">
        <v>1137</v>
      </c>
      <c r="P6" s="298"/>
      <c r="Q6" s="303" t="s">
        <v>1134</v>
      </c>
      <c r="R6" s="298"/>
      <c r="S6" s="303" t="s">
        <v>1142</v>
      </c>
      <c r="T6" s="298"/>
      <c r="U6" s="303" t="s">
        <v>65</v>
      </c>
      <c r="V6" s="298"/>
      <c r="W6" s="303" t="s">
        <v>63</v>
      </c>
      <c r="X6" s="298"/>
      <c r="Y6" s="303" t="s">
        <v>67</v>
      </c>
      <c r="Z6" s="298"/>
      <c r="AA6" s="303" t="s">
        <v>29</v>
      </c>
      <c r="AB6" s="304"/>
      <c r="AC6" s="305" t="s">
        <v>1539</v>
      </c>
      <c r="AD6" s="304"/>
      <c r="AE6" s="303" t="s">
        <v>270</v>
      </c>
      <c r="AF6" s="304"/>
      <c r="AG6" s="303" t="s">
        <v>26</v>
      </c>
      <c r="AH6" s="304"/>
    </row>
    <row r="7">
      <c r="A7" s="298"/>
      <c r="B7" s="303" t="s">
        <v>86</v>
      </c>
      <c r="C7" s="298"/>
      <c r="D7" s="303" t="s">
        <v>1540</v>
      </c>
      <c r="E7" s="298"/>
      <c r="F7" s="305" t="s">
        <v>839</v>
      </c>
      <c r="G7" s="298"/>
      <c r="H7" s="303" t="s">
        <v>598</v>
      </c>
      <c r="I7" s="305" t="s">
        <v>1541</v>
      </c>
      <c r="J7" s="298"/>
      <c r="K7" s="303" t="s">
        <v>834</v>
      </c>
      <c r="L7" s="298"/>
      <c r="M7" s="299"/>
      <c r="N7" s="298"/>
      <c r="O7" s="299"/>
      <c r="P7" s="298"/>
      <c r="Q7" s="303" t="s">
        <v>1542</v>
      </c>
      <c r="R7" s="298"/>
      <c r="S7" s="303" t="s">
        <v>1135</v>
      </c>
      <c r="T7" s="298"/>
      <c r="U7" s="303" t="s">
        <v>74</v>
      </c>
      <c r="V7" s="298"/>
      <c r="W7" s="303" t="s">
        <v>69</v>
      </c>
      <c r="X7" s="298"/>
      <c r="Y7" s="299"/>
      <c r="Z7" s="298"/>
      <c r="AA7" s="303" t="s">
        <v>1543</v>
      </c>
      <c r="AB7" s="304"/>
      <c r="AC7" s="305" t="s">
        <v>1544</v>
      </c>
      <c r="AD7" s="304"/>
      <c r="AE7" s="303" t="s">
        <v>330</v>
      </c>
      <c r="AF7" s="304"/>
      <c r="AG7" s="303" t="s">
        <v>1545</v>
      </c>
      <c r="AH7" s="304"/>
    </row>
    <row r="8">
      <c r="A8" s="298"/>
      <c r="B8" s="303" t="s">
        <v>134</v>
      </c>
      <c r="C8" s="298"/>
      <c r="D8" s="303" t="s">
        <v>1546</v>
      </c>
      <c r="E8" s="298"/>
      <c r="F8" s="299" t="s">
        <v>857</v>
      </c>
      <c r="G8" s="298"/>
      <c r="H8" s="303" t="s">
        <v>91</v>
      </c>
      <c r="I8" s="305" t="s">
        <v>1514</v>
      </c>
      <c r="J8" s="298"/>
      <c r="K8" s="303" t="s">
        <v>1547</v>
      </c>
      <c r="L8" s="298"/>
      <c r="M8" s="299"/>
      <c r="N8" s="298"/>
      <c r="O8" s="299"/>
      <c r="P8" s="298"/>
      <c r="Q8" s="299"/>
      <c r="R8" s="298"/>
      <c r="S8" s="303" t="s">
        <v>1278</v>
      </c>
      <c r="T8" s="298"/>
      <c r="U8" s="303" t="s">
        <v>633</v>
      </c>
      <c r="V8" s="298"/>
      <c r="W8" s="303" t="s">
        <v>135</v>
      </c>
      <c r="X8" s="298"/>
      <c r="Y8" s="299"/>
      <c r="Z8" s="298"/>
      <c r="AA8" s="303" t="s">
        <v>1548</v>
      </c>
      <c r="AB8" s="304"/>
      <c r="AC8" s="305" t="s">
        <v>1549</v>
      </c>
      <c r="AD8" s="304"/>
      <c r="AE8" s="303" t="s">
        <v>1550</v>
      </c>
      <c r="AF8" s="304"/>
      <c r="AG8" s="303" t="s">
        <v>1551</v>
      </c>
      <c r="AH8" s="304"/>
    </row>
    <row r="9">
      <c r="A9" s="298"/>
      <c r="B9" s="303" t="s">
        <v>1156</v>
      </c>
      <c r="C9" s="298"/>
      <c r="D9" s="303" t="s">
        <v>1040</v>
      </c>
      <c r="E9" s="298"/>
      <c r="F9" s="299" t="s">
        <v>907</v>
      </c>
      <c r="G9" s="298"/>
      <c r="H9" s="303" t="s">
        <v>81</v>
      </c>
      <c r="I9" s="305" t="s">
        <v>1521</v>
      </c>
      <c r="J9" s="298"/>
      <c r="K9" s="299"/>
      <c r="L9" s="298"/>
      <c r="M9" s="299"/>
      <c r="N9" s="298"/>
      <c r="O9" s="299"/>
      <c r="P9" s="298"/>
      <c r="Q9" s="299"/>
      <c r="R9" s="298"/>
      <c r="S9" s="303" t="s">
        <v>1154</v>
      </c>
      <c r="T9" s="298"/>
      <c r="U9" s="303" t="s">
        <v>76</v>
      </c>
      <c r="V9" s="298"/>
      <c r="W9" s="299"/>
      <c r="X9" s="298"/>
      <c r="Y9" s="299"/>
      <c r="Z9" s="298"/>
      <c r="AA9" s="303" t="s">
        <v>1552</v>
      </c>
      <c r="AB9" s="304"/>
      <c r="AC9" s="305" t="s">
        <v>1553</v>
      </c>
      <c r="AD9" s="304"/>
      <c r="AE9" s="303" t="s">
        <v>1554</v>
      </c>
      <c r="AF9" s="304"/>
      <c r="AG9" s="303" t="s">
        <v>27</v>
      </c>
      <c r="AH9" s="304"/>
    </row>
    <row r="10">
      <c r="A10" s="298"/>
      <c r="B10" s="303"/>
      <c r="C10" s="298"/>
      <c r="D10" s="303" t="s">
        <v>1555</v>
      </c>
      <c r="E10" s="298"/>
      <c r="F10" s="299" t="s">
        <v>1017</v>
      </c>
      <c r="G10" s="298"/>
      <c r="H10" s="303" t="s">
        <v>62</v>
      </c>
      <c r="I10" s="305" t="s">
        <v>965</v>
      </c>
      <c r="J10" s="298"/>
      <c r="K10" s="299"/>
      <c r="L10" s="298"/>
      <c r="M10" s="299"/>
      <c r="N10" s="298"/>
      <c r="O10" s="299"/>
      <c r="P10" s="298"/>
      <c r="Q10" s="299"/>
      <c r="R10" s="298"/>
      <c r="S10" s="299"/>
      <c r="T10" s="298"/>
      <c r="U10" s="303" t="s">
        <v>83</v>
      </c>
      <c r="V10" s="298"/>
      <c r="W10" s="299"/>
      <c r="X10" s="298"/>
      <c r="Y10" s="299"/>
      <c r="Z10" s="298"/>
      <c r="AA10" s="306"/>
      <c r="AB10" s="307"/>
      <c r="AC10" s="305" t="s">
        <v>1556</v>
      </c>
      <c r="AD10" s="304"/>
      <c r="AE10" s="303" t="s">
        <v>1557</v>
      </c>
      <c r="AF10" s="304"/>
      <c r="AG10" s="303" t="s">
        <v>28</v>
      </c>
      <c r="AH10" s="304"/>
    </row>
    <row r="11">
      <c r="A11" s="298"/>
      <c r="B11" s="303"/>
      <c r="C11" s="298"/>
      <c r="D11" s="303" t="s">
        <v>923</v>
      </c>
      <c r="E11" s="298"/>
      <c r="F11" s="299" t="s">
        <v>866</v>
      </c>
      <c r="G11" s="298"/>
      <c r="H11" s="303" t="s">
        <v>72</v>
      </c>
      <c r="I11" s="305" t="s">
        <v>965</v>
      </c>
      <c r="J11" s="298"/>
      <c r="K11" s="299"/>
      <c r="L11" s="298"/>
      <c r="M11" s="299"/>
      <c r="N11" s="298"/>
      <c r="O11" s="299"/>
      <c r="P11" s="298"/>
      <c r="Q11" s="299"/>
      <c r="R11" s="298"/>
      <c r="S11" s="299"/>
      <c r="T11" s="298"/>
      <c r="U11" s="303" t="s">
        <v>87</v>
      </c>
      <c r="V11" s="298"/>
      <c r="W11" s="299"/>
      <c r="X11" s="298"/>
      <c r="Y11" s="299"/>
      <c r="Z11" s="298"/>
      <c r="AA11" s="306"/>
      <c r="AB11" s="307"/>
      <c r="AC11" s="305" t="s">
        <v>1558</v>
      </c>
      <c r="AD11" s="304"/>
      <c r="AE11" s="303" t="s">
        <v>595</v>
      </c>
      <c r="AF11" s="304"/>
      <c r="AG11" s="303" t="s">
        <v>29</v>
      </c>
      <c r="AH11" s="304"/>
    </row>
    <row r="12">
      <c r="A12" s="298"/>
      <c r="B12" s="299"/>
      <c r="C12" s="298"/>
      <c r="D12" s="303" t="s">
        <v>910</v>
      </c>
      <c r="E12" s="298"/>
      <c r="F12" s="299" t="s">
        <v>976</v>
      </c>
      <c r="G12" s="298"/>
      <c r="H12" s="303" t="s">
        <v>134</v>
      </c>
      <c r="I12" s="305" t="s">
        <v>134</v>
      </c>
      <c r="J12" s="298"/>
      <c r="K12" s="299"/>
      <c r="L12" s="298"/>
      <c r="M12" s="299"/>
      <c r="N12" s="298"/>
      <c r="O12" s="299"/>
      <c r="P12" s="298"/>
      <c r="Q12" s="299"/>
      <c r="R12" s="298"/>
      <c r="S12" s="299"/>
      <c r="T12" s="298"/>
      <c r="U12" s="303" t="s">
        <v>93</v>
      </c>
      <c r="V12" s="298"/>
      <c r="W12" s="299"/>
      <c r="X12" s="298"/>
      <c r="Y12" s="299"/>
      <c r="Z12" s="298"/>
      <c r="AA12" s="306"/>
      <c r="AB12" s="307"/>
      <c r="AC12" s="305" t="s">
        <v>1559</v>
      </c>
      <c r="AD12" s="304"/>
      <c r="AE12" s="303" t="s">
        <v>1560</v>
      </c>
      <c r="AF12" s="304"/>
      <c r="AG12" s="303" t="s">
        <v>30</v>
      </c>
      <c r="AH12" s="304"/>
    </row>
    <row r="13">
      <c r="A13" s="298"/>
      <c r="B13" s="299"/>
      <c r="C13" s="298"/>
      <c r="D13" s="303" t="s">
        <v>1561</v>
      </c>
      <c r="E13" s="298"/>
      <c r="F13" s="299" t="s">
        <v>848</v>
      </c>
      <c r="G13" s="298"/>
      <c r="H13" s="303" t="s">
        <v>1152</v>
      </c>
      <c r="I13" s="305" t="s">
        <v>1541</v>
      </c>
      <c r="J13" s="298"/>
      <c r="K13" s="299"/>
      <c r="L13" s="298"/>
      <c r="M13" s="299"/>
      <c r="N13" s="298"/>
      <c r="O13" s="299"/>
      <c r="P13" s="298"/>
      <c r="Q13" s="299"/>
      <c r="R13" s="298"/>
      <c r="S13" s="299"/>
      <c r="T13" s="298"/>
      <c r="U13" s="303" t="s">
        <v>95</v>
      </c>
      <c r="V13" s="298"/>
      <c r="W13" s="299"/>
      <c r="X13" s="298"/>
      <c r="Y13" s="299"/>
      <c r="Z13" s="298"/>
      <c r="AA13" s="306"/>
      <c r="AB13" s="307"/>
      <c r="AC13" s="305" t="s">
        <v>1562</v>
      </c>
      <c r="AD13" s="304"/>
      <c r="AE13" s="303" t="s">
        <v>99</v>
      </c>
      <c r="AF13" s="304"/>
      <c r="AG13" s="303" t="s">
        <v>1563</v>
      </c>
      <c r="AH13" s="304"/>
    </row>
    <row r="14">
      <c r="A14" s="298"/>
      <c r="B14" s="299"/>
      <c r="C14" s="298"/>
      <c r="D14" s="303" t="s">
        <v>842</v>
      </c>
      <c r="E14" s="298"/>
      <c r="F14" s="303" t="s">
        <v>1067</v>
      </c>
      <c r="G14" s="298"/>
      <c r="H14" s="303" t="s">
        <v>79</v>
      </c>
      <c r="I14" s="305" t="s">
        <v>965</v>
      </c>
      <c r="J14" s="298"/>
      <c r="K14" s="299"/>
      <c r="L14" s="298"/>
      <c r="M14" s="299"/>
      <c r="N14" s="298"/>
      <c r="O14" s="299"/>
      <c r="P14" s="298"/>
      <c r="Q14" s="299"/>
      <c r="R14" s="298"/>
      <c r="S14" s="299"/>
      <c r="T14" s="298"/>
      <c r="U14" s="303" t="s">
        <v>1564</v>
      </c>
      <c r="V14" s="298"/>
      <c r="W14" s="299"/>
      <c r="X14" s="298"/>
      <c r="Y14" s="299"/>
      <c r="Z14" s="298"/>
      <c r="AA14" s="306"/>
      <c r="AB14" s="307"/>
      <c r="AC14" s="305" t="s">
        <v>1565</v>
      </c>
      <c r="AD14" s="304"/>
      <c r="AE14" s="303" t="s">
        <v>1566</v>
      </c>
      <c r="AF14" s="304"/>
      <c r="AG14" s="299"/>
      <c r="AH14" s="304"/>
    </row>
    <row r="15">
      <c r="A15" s="298"/>
      <c r="B15" s="299"/>
      <c r="C15" s="298"/>
      <c r="D15" s="303" t="s">
        <v>1567</v>
      </c>
      <c r="E15" s="298"/>
      <c r="F15" s="299" t="s">
        <v>869</v>
      </c>
      <c r="G15" s="298"/>
      <c r="H15" s="303" t="s">
        <v>88</v>
      </c>
      <c r="I15" s="305" t="s">
        <v>1514</v>
      </c>
      <c r="J15" s="298"/>
      <c r="K15" s="299"/>
      <c r="L15" s="298"/>
      <c r="M15" s="299"/>
      <c r="N15" s="298"/>
      <c r="O15" s="299"/>
      <c r="P15" s="298"/>
      <c r="Q15" s="299"/>
      <c r="R15" s="298"/>
      <c r="S15" s="299"/>
      <c r="T15" s="298"/>
      <c r="U15" s="303" t="s">
        <v>97</v>
      </c>
      <c r="V15" s="298"/>
      <c r="W15" s="299"/>
      <c r="X15" s="298"/>
      <c r="Y15" s="299"/>
      <c r="Z15" s="298"/>
      <c r="AA15" s="306"/>
      <c r="AB15" s="307"/>
      <c r="AC15" s="305" t="s">
        <v>1568</v>
      </c>
      <c r="AD15" s="304"/>
      <c r="AE15" s="303"/>
      <c r="AF15" s="304"/>
      <c r="AG15" s="303"/>
      <c r="AH15" s="304"/>
    </row>
    <row r="16">
      <c r="A16" s="298"/>
      <c r="B16" s="299"/>
      <c r="C16" s="298"/>
      <c r="D16" s="303" t="s">
        <v>1569</v>
      </c>
      <c r="E16" s="298"/>
      <c r="F16" s="299" t="s">
        <v>826</v>
      </c>
      <c r="G16" s="298"/>
      <c r="H16" s="303" t="s">
        <v>107</v>
      </c>
      <c r="I16" s="305" t="s">
        <v>1514</v>
      </c>
      <c r="J16" s="298"/>
      <c r="K16" s="299"/>
      <c r="L16" s="298"/>
      <c r="M16" s="299"/>
      <c r="N16" s="298"/>
      <c r="O16" s="299"/>
      <c r="P16" s="298"/>
      <c r="Q16" s="299"/>
      <c r="R16" s="298"/>
      <c r="S16" s="299"/>
      <c r="T16" s="298"/>
      <c r="U16" s="303" t="s">
        <v>99</v>
      </c>
      <c r="V16" s="298"/>
      <c r="W16" s="299"/>
      <c r="X16" s="298"/>
      <c r="Y16" s="299"/>
      <c r="Z16" s="298"/>
      <c r="AA16" s="306"/>
      <c r="AB16" s="307"/>
      <c r="AC16" s="305" t="s">
        <v>1570</v>
      </c>
      <c r="AD16" s="304"/>
      <c r="AE16" s="303"/>
      <c r="AF16" s="304"/>
      <c r="AG16" s="303"/>
      <c r="AH16" s="304"/>
    </row>
    <row r="17">
      <c r="A17" s="298"/>
      <c r="B17" s="299"/>
      <c r="C17" s="298"/>
      <c r="D17" s="303" t="s">
        <v>896</v>
      </c>
      <c r="E17" s="298"/>
      <c r="F17" s="299" t="s">
        <v>1571</v>
      </c>
      <c r="G17" s="298"/>
      <c r="H17" s="303" t="s">
        <v>1572</v>
      </c>
      <c r="I17" s="303" t="s">
        <v>1541</v>
      </c>
      <c r="J17" s="298"/>
      <c r="K17" s="299"/>
      <c r="L17" s="298"/>
      <c r="M17" s="299"/>
      <c r="N17" s="298"/>
      <c r="O17" s="299"/>
      <c r="P17" s="298"/>
      <c r="Q17" s="299"/>
      <c r="R17" s="298"/>
      <c r="S17" s="299"/>
      <c r="T17" s="298"/>
      <c r="U17" s="308"/>
      <c r="V17" s="298"/>
      <c r="W17" s="299"/>
      <c r="X17" s="298"/>
      <c r="Y17" s="299"/>
      <c r="Z17" s="298"/>
      <c r="AA17" s="306"/>
      <c r="AB17" s="307"/>
      <c r="AC17" s="305" t="s">
        <v>1573</v>
      </c>
      <c r="AD17" s="304"/>
      <c r="AE17" s="303"/>
      <c r="AF17" s="304"/>
      <c r="AG17" s="303"/>
      <c r="AH17" s="304"/>
    </row>
    <row r="18">
      <c r="A18" s="298"/>
      <c r="B18" s="299"/>
      <c r="C18" s="298"/>
      <c r="D18" s="303" t="s">
        <v>935</v>
      </c>
      <c r="E18" s="298"/>
      <c r="F18" s="299" t="s">
        <v>845</v>
      </c>
      <c r="G18" s="298"/>
      <c r="H18" s="303" t="s">
        <v>56</v>
      </c>
      <c r="I18" s="299" t="s">
        <v>1514</v>
      </c>
      <c r="J18" s="298"/>
      <c r="K18" s="299"/>
      <c r="L18" s="298"/>
      <c r="M18" s="299"/>
      <c r="N18" s="298"/>
      <c r="O18" s="299"/>
      <c r="P18" s="298"/>
      <c r="Q18" s="299"/>
      <c r="R18" s="298"/>
      <c r="S18" s="299"/>
      <c r="T18" s="298"/>
      <c r="U18" s="308"/>
      <c r="V18" s="298"/>
      <c r="W18" s="299"/>
      <c r="X18" s="298"/>
      <c r="Y18" s="299"/>
      <c r="Z18" s="298"/>
      <c r="AA18" s="306"/>
      <c r="AB18" s="307"/>
      <c r="AC18" s="305" t="s">
        <v>1574</v>
      </c>
      <c r="AD18" s="304"/>
      <c r="AE18" s="303"/>
      <c r="AF18" s="304"/>
      <c r="AG18" s="303"/>
      <c r="AH18" s="304"/>
    </row>
    <row r="19">
      <c r="A19" s="298"/>
      <c r="B19" s="299"/>
      <c r="C19" s="298"/>
      <c r="D19" s="303" t="s">
        <v>1575</v>
      </c>
      <c r="E19" s="298"/>
      <c r="F19" s="299" t="s">
        <v>829</v>
      </c>
      <c r="G19" s="298"/>
      <c r="H19" s="299"/>
      <c r="I19" s="299"/>
      <c r="J19" s="298"/>
      <c r="K19" s="299"/>
      <c r="L19" s="298"/>
      <c r="M19" s="299"/>
      <c r="N19" s="298"/>
      <c r="O19" s="299"/>
      <c r="P19" s="298"/>
      <c r="Q19" s="299"/>
      <c r="R19" s="298"/>
      <c r="S19" s="299"/>
      <c r="T19" s="298"/>
      <c r="U19" s="308"/>
      <c r="V19" s="298"/>
      <c r="W19" s="299"/>
      <c r="X19" s="298"/>
      <c r="Y19" s="299"/>
      <c r="Z19" s="298"/>
      <c r="AA19" s="306"/>
      <c r="AB19" s="307"/>
      <c r="AC19" s="305" t="s">
        <v>1576</v>
      </c>
      <c r="AD19" s="304"/>
      <c r="AE19" s="303"/>
      <c r="AF19" s="304"/>
      <c r="AG19" s="303"/>
      <c r="AH19" s="304"/>
    </row>
    <row r="20">
      <c r="A20" s="298"/>
      <c r="B20" s="299"/>
      <c r="C20" s="298"/>
      <c r="D20" s="303" t="s">
        <v>832</v>
      </c>
      <c r="E20" s="298"/>
      <c r="F20" s="305" t="s">
        <v>836</v>
      </c>
      <c r="G20" s="298"/>
      <c r="H20" s="299"/>
      <c r="I20" s="299"/>
      <c r="J20" s="298"/>
      <c r="K20" s="299"/>
      <c r="L20" s="298"/>
      <c r="M20" s="299"/>
      <c r="N20" s="298"/>
      <c r="O20" s="299"/>
      <c r="P20" s="298"/>
      <c r="Q20" s="299"/>
      <c r="R20" s="298"/>
      <c r="S20" s="299"/>
      <c r="T20" s="298"/>
      <c r="U20" s="308"/>
      <c r="V20" s="298"/>
      <c r="W20" s="299"/>
      <c r="X20" s="298"/>
      <c r="Y20" s="299"/>
      <c r="Z20" s="298"/>
      <c r="AA20" s="306"/>
      <c r="AB20" s="307"/>
      <c r="AC20" s="305" t="s">
        <v>1577</v>
      </c>
      <c r="AD20" s="304"/>
      <c r="AE20" s="303"/>
      <c r="AF20" s="304"/>
      <c r="AG20" s="303"/>
      <c r="AH20" s="304"/>
    </row>
    <row r="21">
      <c r="A21" s="298"/>
      <c r="B21" s="299"/>
      <c r="C21" s="298"/>
      <c r="D21" s="303" t="s">
        <v>914</v>
      </c>
      <c r="E21" s="298"/>
      <c r="F21" s="299" t="s">
        <v>942</v>
      </c>
      <c r="G21" s="298"/>
      <c r="H21" s="299"/>
      <c r="I21" s="299"/>
      <c r="J21" s="298"/>
      <c r="K21" s="299"/>
      <c r="L21" s="298"/>
      <c r="M21" s="299"/>
      <c r="N21" s="298"/>
      <c r="O21" s="299"/>
      <c r="P21" s="298"/>
      <c r="Q21" s="299"/>
      <c r="R21" s="298"/>
      <c r="S21" s="299"/>
      <c r="T21" s="298"/>
      <c r="U21" s="308"/>
      <c r="V21" s="298"/>
      <c r="W21" s="299"/>
      <c r="X21" s="298"/>
      <c r="Y21" s="299"/>
      <c r="Z21" s="298"/>
      <c r="AA21" s="306"/>
      <c r="AB21" s="307"/>
      <c r="AC21" s="305" t="s">
        <v>1578</v>
      </c>
      <c r="AD21" s="304"/>
      <c r="AE21" s="303"/>
      <c r="AF21" s="304"/>
      <c r="AG21" s="303"/>
      <c r="AH21" s="304"/>
    </row>
    <row r="22">
      <c r="A22" s="298"/>
      <c r="B22" s="299"/>
      <c r="C22" s="298"/>
      <c r="D22" s="303" t="s">
        <v>1579</v>
      </c>
      <c r="E22" s="298"/>
      <c r="F22" s="299" t="s">
        <v>833</v>
      </c>
      <c r="G22" s="298"/>
      <c r="H22" s="299"/>
      <c r="I22" s="299"/>
      <c r="J22" s="298"/>
      <c r="K22" s="299"/>
      <c r="L22" s="298"/>
      <c r="M22" s="299"/>
      <c r="N22" s="298"/>
      <c r="O22" s="299"/>
      <c r="P22" s="298"/>
      <c r="Q22" s="299"/>
      <c r="R22" s="298"/>
      <c r="S22" s="299"/>
      <c r="T22" s="298"/>
      <c r="U22" s="308"/>
      <c r="V22" s="298"/>
      <c r="W22" s="299"/>
      <c r="X22" s="298"/>
      <c r="Y22" s="299"/>
      <c r="Z22" s="298"/>
      <c r="AA22" s="306"/>
      <c r="AB22" s="307"/>
      <c r="AC22" s="305" t="s">
        <v>1580</v>
      </c>
      <c r="AD22" s="304"/>
      <c r="AE22" s="303"/>
      <c r="AF22" s="304"/>
      <c r="AG22" s="303"/>
      <c r="AH22" s="304"/>
    </row>
    <row r="23">
      <c r="A23" s="298"/>
      <c r="B23" s="299"/>
      <c r="C23" s="298"/>
      <c r="D23" s="303" t="s">
        <v>1581</v>
      </c>
      <c r="E23" s="298"/>
      <c r="F23" s="299" t="s">
        <v>862</v>
      </c>
      <c r="G23" s="298"/>
      <c r="H23" s="299"/>
      <c r="I23" s="299"/>
      <c r="J23" s="298"/>
      <c r="K23" s="299"/>
      <c r="L23" s="298"/>
      <c r="M23" s="299"/>
      <c r="N23" s="298"/>
      <c r="O23" s="299"/>
      <c r="P23" s="298"/>
      <c r="Q23" s="299"/>
      <c r="R23" s="298"/>
      <c r="S23" s="299"/>
      <c r="T23" s="298"/>
      <c r="U23" s="308"/>
      <c r="V23" s="298"/>
      <c r="W23" s="299"/>
      <c r="X23" s="298"/>
      <c r="Y23" s="299"/>
      <c r="Z23" s="298"/>
      <c r="AA23" s="306"/>
      <c r="AB23" s="307"/>
      <c r="AC23" s="305" t="s">
        <v>1582</v>
      </c>
      <c r="AD23" s="304"/>
      <c r="AE23" s="303"/>
      <c r="AF23" s="304"/>
      <c r="AG23" s="303"/>
      <c r="AH23" s="304"/>
    </row>
    <row r="24">
      <c r="A24" s="298"/>
      <c r="B24" s="299"/>
      <c r="C24" s="298"/>
      <c r="D24" s="303" t="s">
        <v>844</v>
      </c>
      <c r="E24" s="298"/>
      <c r="F24" s="299" t="s">
        <v>882</v>
      </c>
      <c r="G24" s="298"/>
      <c r="H24" s="299"/>
      <c r="I24" s="299"/>
      <c r="J24" s="298"/>
      <c r="K24" s="299"/>
      <c r="L24" s="298"/>
      <c r="M24" s="299"/>
      <c r="N24" s="298"/>
      <c r="O24" s="299"/>
      <c r="P24" s="298"/>
      <c r="Q24" s="299"/>
      <c r="R24" s="298"/>
      <c r="S24" s="299"/>
      <c r="T24" s="298"/>
      <c r="U24" s="308"/>
      <c r="V24" s="298"/>
      <c r="W24" s="299"/>
      <c r="X24" s="298"/>
      <c r="Y24" s="299"/>
      <c r="Z24" s="298"/>
      <c r="AA24" s="306"/>
      <c r="AB24" s="307"/>
      <c r="AC24" s="305" t="s">
        <v>1583</v>
      </c>
      <c r="AD24" s="304"/>
      <c r="AE24" s="303"/>
      <c r="AF24" s="304"/>
      <c r="AG24" s="303"/>
      <c r="AH24" s="304"/>
    </row>
    <row r="25">
      <c r="A25" s="298"/>
      <c r="B25" s="299"/>
      <c r="C25" s="298"/>
      <c r="D25" s="303" t="s">
        <v>1584</v>
      </c>
      <c r="E25" s="298"/>
      <c r="F25" s="299" t="s">
        <v>968</v>
      </c>
      <c r="G25" s="298"/>
      <c r="H25" s="299"/>
      <c r="I25" s="299"/>
      <c r="J25" s="298"/>
      <c r="K25" s="299"/>
      <c r="L25" s="298"/>
      <c r="M25" s="299"/>
      <c r="N25" s="298"/>
      <c r="O25" s="299"/>
      <c r="P25" s="298"/>
      <c r="Q25" s="299"/>
      <c r="R25" s="298"/>
      <c r="S25" s="299"/>
      <c r="T25" s="298"/>
      <c r="U25" s="308"/>
      <c r="V25" s="298"/>
      <c r="W25" s="299"/>
      <c r="X25" s="298"/>
      <c r="Y25" s="299"/>
      <c r="Z25" s="298"/>
      <c r="AA25" s="306"/>
      <c r="AB25" s="307"/>
      <c r="AC25" s="305" t="s">
        <v>1585</v>
      </c>
      <c r="AD25" s="304"/>
      <c r="AE25" s="303"/>
      <c r="AF25" s="304"/>
      <c r="AG25" s="303"/>
      <c r="AH25" s="304"/>
    </row>
    <row r="26">
      <c r="A26" s="298"/>
      <c r="B26" s="299"/>
      <c r="C26" s="298"/>
      <c r="D26" s="303" t="s">
        <v>1586</v>
      </c>
      <c r="E26" s="298"/>
      <c r="F26" s="299" t="s">
        <v>1587</v>
      </c>
      <c r="G26" s="298"/>
      <c r="H26" s="299"/>
      <c r="I26" s="299"/>
      <c r="J26" s="298"/>
      <c r="K26" s="299"/>
      <c r="L26" s="298"/>
      <c r="M26" s="299"/>
      <c r="N26" s="298"/>
      <c r="O26" s="299"/>
      <c r="P26" s="298"/>
      <c r="Q26" s="299"/>
      <c r="R26" s="298"/>
      <c r="S26" s="299"/>
      <c r="T26" s="298"/>
      <c r="U26" s="308"/>
      <c r="V26" s="298"/>
      <c r="W26" s="299"/>
      <c r="X26" s="298"/>
      <c r="Y26" s="299"/>
      <c r="Z26" s="298"/>
      <c r="AA26" s="306"/>
      <c r="AB26" s="307"/>
      <c r="AC26" s="305" t="s">
        <v>1588</v>
      </c>
      <c r="AD26" s="304"/>
      <c r="AE26" s="303"/>
      <c r="AF26" s="304"/>
      <c r="AG26" s="303"/>
      <c r="AH26" s="304"/>
    </row>
    <row r="27">
      <c r="A27" s="298"/>
      <c r="B27" s="299"/>
      <c r="C27" s="298"/>
      <c r="D27" s="303" t="s">
        <v>987</v>
      </c>
      <c r="E27" s="298"/>
      <c r="F27" s="299" t="s">
        <v>1589</v>
      </c>
      <c r="G27" s="298"/>
      <c r="H27" s="299"/>
      <c r="I27" s="299"/>
      <c r="J27" s="298"/>
      <c r="K27" s="299"/>
      <c r="L27" s="298"/>
      <c r="M27" s="299"/>
      <c r="N27" s="298"/>
      <c r="O27" s="299"/>
      <c r="P27" s="298"/>
      <c r="Q27" s="299"/>
      <c r="R27" s="298"/>
      <c r="S27" s="299"/>
      <c r="T27" s="298"/>
      <c r="U27" s="308"/>
      <c r="V27" s="298"/>
      <c r="W27" s="299"/>
      <c r="X27" s="298"/>
      <c r="Y27" s="299"/>
      <c r="Z27" s="298"/>
      <c r="AA27" s="306"/>
      <c r="AB27" s="307"/>
      <c r="AC27" s="305" t="s">
        <v>1590</v>
      </c>
      <c r="AD27" s="304"/>
      <c r="AE27" s="303"/>
      <c r="AF27" s="304"/>
      <c r="AG27" s="303"/>
      <c r="AH27" s="304"/>
    </row>
    <row r="28">
      <c r="A28" s="298"/>
      <c r="B28" s="299"/>
      <c r="C28" s="298"/>
      <c r="D28" s="303" t="s">
        <v>856</v>
      </c>
      <c r="E28" s="298"/>
      <c r="F28" s="299" t="s">
        <v>1591</v>
      </c>
      <c r="G28" s="298"/>
      <c r="H28" s="299"/>
      <c r="I28" s="299"/>
      <c r="J28" s="298"/>
      <c r="K28" s="299"/>
      <c r="L28" s="298"/>
      <c r="M28" s="299"/>
      <c r="N28" s="298"/>
      <c r="O28" s="299"/>
      <c r="P28" s="298"/>
      <c r="Q28" s="299"/>
      <c r="R28" s="298"/>
      <c r="S28" s="299"/>
      <c r="T28" s="298"/>
      <c r="U28" s="309"/>
      <c r="V28" s="298"/>
      <c r="W28" s="299"/>
      <c r="X28" s="298"/>
      <c r="Y28" s="299"/>
      <c r="Z28" s="298"/>
      <c r="AA28" s="306"/>
      <c r="AB28" s="307"/>
      <c r="AC28" s="305" t="s">
        <v>1592</v>
      </c>
      <c r="AD28" s="304"/>
      <c r="AE28" s="303"/>
      <c r="AF28" s="304"/>
      <c r="AG28" s="303"/>
      <c r="AH28" s="304"/>
    </row>
    <row r="29">
      <c r="A29" s="298"/>
      <c r="B29" s="299"/>
      <c r="C29" s="298"/>
      <c r="D29" s="303" t="s">
        <v>958</v>
      </c>
      <c r="E29" s="298"/>
      <c r="F29" s="299" t="s">
        <v>1593</v>
      </c>
      <c r="G29" s="298"/>
      <c r="H29" s="299"/>
      <c r="I29" s="299"/>
      <c r="J29" s="298"/>
      <c r="K29" s="299"/>
      <c r="L29" s="298"/>
      <c r="M29" s="299"/>
      <c r="N29" s="298"/>
      <c r="O29" s="299"/>
      <c r="P29" s="298"/>
      <c r="Q29" s="299"/>
      <c r="R29" s="298"/>
      <c r="S29" s="299"/>
      <c r="T29" s="298"/>
      <c r="U29" s="309"/>
      <c r="V29" s="298"/>
      <c r="W29" s="299"/>
      <c r="X29" s="298"/>
      <c r="Y29" s="299"/>
      <c r="Z29" s="298"/>
      <c r="AA29" s="306"/>
      <c r="AB29" s="307"/>
      <c r="AC29" s="305" t="s">
        <v>1594</v>
      </c>
      <c r="AD29" s="304"/>
      <c r="AE29" s="303"/>
      <c r="AF29" s="304"/>
      <c r="AG29" s="303"/>
      <c r="AH29" s="304"/>
    </row>
    <row r="30">
      <c r="A30" s="298"/>
      <c r="B30" s="299"/>
      <c r="C30" s="298"/>
      <c r="D30" s="303" t="s">
        <v>1595</v>
      </c>
      <c r="E30" s="298"/>
      <c r="F30" s="299"/>
      <c r="G30" s="298"/>
      <c r="H30" s="299"/>
      <c r="I30" s="299"/>
      <c r="J30" s="298"/>
      <c r="K30" s="299"/>
      <c r="L30" s="298"/>
      <c r="M30" s="299"/>
      <c r="N30" s="298"/>
      <c r="O30" s="299"/>
      <c r="P30" s="298"/>
      <c r="Q30" s="299"/>
      <c r="R30" s="298"/>
      <c r="S30" s="299"/>
      <c r="T30" s="298"/>
      <c r="U30" s="309"/>
      <c r="V30" s="298"/>
      <c r="W30" s="299"/>
      <c r="X30" s="298"/>
      <c r="Y30" s="299"/>
      <c r="Z30" s="298"/>
      <c r="AA30" s="306"/>
      <c r="AB30" s="307"/>
      <c r="AC30" s="305" t="s">
        <v>1596</v>
      </c>
      <c r="AD30" s="304"/>
      <c r="AE30" s="303"/>
      <c r="AF30" s="304"/>
      <c r="AG30" s="303"/>
      <c r="AH30" s="304"/>
    </row>
    <row r="31">
      <c r="A31" s="298"/>
      <c r="B31" s="299"/>
      <c r="C31" s="298"/>
      <c r="D31" s="303" t="s">
        <v>880</v>
      </c>
      <c r="E31" s="298"/>
      <c r="F31" s="299"/>
      <c r="G31" s="298"/>
      <c r="H31" s="299"/>
      <c r="I31" s="299"/>
      <c r="J31" s="298"/>
      <c r="K31" s="299"/>
      <c r="L31" s="298"/>
      <c r="M31" s="299"/>
      <c r="N31" s="298"/>
      <c r="O31" s="299"/>
      <c r="P31" s="298"/>
      <c r="Q31" s="299"/>
      <c r="R31" s="298"/>
      <c r="S31" s="299"/>
      <c r="T31" s="298"/>
      <c r="U31" s="309"/>
      <c r="V31" s="298"/>
      <c r="W31" s="299"/>
      <c r="X31" s="298"/>
      <c r="Y31" s="299"/>
      <c r="Z31" s="298"/>
      <c r="AA31" s="306"/>
      <c r="AB31" s="307"/>
      <c r="AC31" s="305" t="s">
        <v>1597</v>
      </c>
      <c r="AD31" s="304"/>
      <c r="AE31" s="303"/>
      <c r="AF31" s="304"/>
      <c r="AG31" s="303"/>
      <c r="AH31" s="304"/>
    </row>
    <row r="32">
      <c r="A32" s="298"/>
      <c r="B32" s="299"/>
      <c r="C32" s="298"/>
      <c r="D32" s="303" t="s">
        <v>927</v>
      </c>
      <c r="E32" s="298"/>
      <c r="F32" s="310"/>
      <c r="G32" s="298"/>
      <c r="H32" s="299"/>
      <c r="I32" s="299"/>
      <c r="J32" s="298"/>
      <c r="K32" s="299"/>
      <c r="L32" s="298"/>
      <c r="M32" s="299"/>
      <c r="N32" s="298"/>
      <c r="O32" s="299"/>
      <c r="P32" s="298"/>
      <c r="Q32" s="299"/>
      <c r="R32" s="298"/>
      <c r="S32" s="299"/>
      <c r="T32" s="298"/>
      <c r="U32" s="309"/>
      <c r="V32" s="298"/>
      <c r="W32" s="299"/>
      <c r="X32" s="298"/>
      <c r="Y32" s="299"/>
      <c r="Z32" s="298"/>
      <c r="AA32" s="306"/>
      <c r="AB32" s="307"/>
      <c r="AC32" s="305" t="s">
        <v>1598</v>
      </c>
      <c r="AD32" s="304"/>
      <c r="AE32" s="303"/>
      <c r="AF32" s="304"/>
      <c r="AG32" s="303"/>
      <c r="AH32" s="304"/>
    </row>
    <row r="33">
      <c r="A33" s="298"/>
      <c r="B33" s="299"/>
      <c r="C33" s="298"/>
      <c r="D33" s="303" t="s">
        <v>938</v>
      </c>
      <c r="E33" s="298"/>
      <c r="F33" s="311"/>
      <c r="G33" s="298"/>
      <c r="H33" s="299"/>
      <c r="I33" s="299"/>
      <c r="J33" s="298"/>
      <c r="K33" s="299"/>
      <c r="L33" s="298"/>
      <c r="M33" s="299"/>
      <c r="N33" s="298"/>
      <c r="O33" s="299"/>
      <c r="P33" s="298"/>
      <c r="Q33" s="299"/>
      <c r="R33" s="298"/>
      <c r="S33" s="299"/>
      <c r="T33" s="298"/>
      <c r="U33" s="309"/>
      <c r="V33" s="298"/>
      <c r="W33" s="299"/>
      <c r="X33" s="298"/>
      <c r="Y33" s="299"/>
      <c r="Z33" s="298"/>
      <c r="AA33" s="306"/>
      <c r="AB33" s="307"/>
      <c r="AC33" s="305" t="s">
        <v>890</v>
      </c>
      <c r="AD33" s="304"/>
      <c r="AE33" s="303"/>
      <c r="AF33" s="304"/>
      <c r="AG33" s="303"/>
      <c r="AH33" s="304"/>
    </row>
    <row r="34">
      <c r="A34" s="298"/>
      <c r="B34" s="299"/>
      <c r="C34" s="298"/>
      <c r="D34" s="303" t="s">
        <v>1599</v>
      </c>
      <c r="E34" s="298"/>
      <c r="F34" s="299"/>
      <c r="G34" s="298"/>
      <c r="H34" s="299"/>
      <c r="I34" s="299"/>
      <c r="J34" s="298"/>
      <c r="K34" s="299"/>
      <c r="L34" s="298"/>
      <c r="M34" s="299"/>
      <c r="N34" s="298"/>
      <c r="O34" s="299"/>
      <c r="P34" s="298"/>
      <c r="Q34" s="299"/>
      <c r="R34" s="298"/>
      <c r="S34" s="299"/>
      <c r="T34" s="298"/>
      <c r="U34" s="309"/>
      <c r="V34" s="298"/>
      <c r="W34" s="299"/>
      <c r="X34" s="298"/>
      <c r="Y34" s="299"/>
      <c r="Z34" s="298"/>
      <c r="AA34" s="306"/>
      <c r="AB34" s="307"/>
      <c r="AC34" s="305"/>
      <c r="AD34" s="304"/>
      <c r="AE34" s="303"/>
      <c r="AF34" s="304"/>
      <c r="AG34" s="303"/>
      <c r="AH34" s="304"/>
    </row>
    <row r="35">
      <c r="A35" s="298"/>
      <c r="B35" s="299"/>
      <c r="C35" s="298"/>
      <c r="D35" s="303" t="s">
        <v>900</v>
      </c>
      <c r="E35" s="298"/>
      <c r="F35" s="299"/>
      <c r="G35" s="298"/>
      <c r="H35" s="299"/>
      <c r="I35" s="299"/>
      <c r="J35" s="298"/>
      <c r="K35" s="299"/>
      <c r="L35" s="298"/>
      <c r="M35" s="299"/>
      <c r="N35" s="298"/>
      <c r="O35" s="299"/>
      <c r="P35" s="298"/>
      <c r="Q35" s="299"/>
      <c r="R35" s="298"/>
      <c r="S35" s="299"/>
      <c r="T35" s="298"/>
      <c r="U35" s="309"/>
      <c r="V35" s="298"/>
      <c r="W35" s="299"/>
      <c r="X35" s="298"/>
      <c r="Y35" s="299"/>
      <c r="Z35" s="298"/>
      <c r="AA35" s="306"/>
      <c r="AB35" s="307"/>
      <c r="AC35" s="305"/>
      <c r="AD35" s="304"/>
      <c r="AE35" s="303"/>
      <c r="AF35" s="304"/>
      <c r="AG35" s="303"/>
      <c r="AH35" s="304"/>
    </row>
    <row r="36">
      <c r="A36" s="298"/>
      <c r="B36" s="299"/>
      <c r="C36" s="298"/>
      <c r="D36" s="303" t="s">
        <v>1600</v>
      </c>
      <c r="E36" s="298"/>
      <c r="F36" s="299"/>
      <c r="G36" s="298"/>
      <c r="H36" s="299"/>
      <c r="I36" s="299"/>
      <c r="J36" s="298"/>
      <c r="K36" s="299"/>
      <c r="L36" s="298"/>
      <c r="M36" s="299"/>
      <c r="N36" s="298"/>
      <c r="O36" s="299"/>
      <c r="P36" s="298"/>
      <c r="Q36" s="299"/>
      <c r="R36" s="298"/>
      <c r="S36" s="299"/>
      <c r="T36" s="298"/>
      <c r="U36" s="309"/>
      <c r="V36" s="298"/>
      <c r="W36" s="299"/>
      <c r="X36" s="298"/>
      <c r="Y36" s="299"/>
      <c r="Z36" s="298"/>
      <c r="AA36" s="306"/>
      <c r="AB36" s="307"/>
      <c r="AC36" s="305"/>
      <c r="AD36" s="304"/>
      <c r="AE36" s="303"/>
      <c r="AF36" s="304"/>
      <c r="AG36" s="303"/>
      <c r="AH36" s="304"/>
    </row>
    <row r="37">
      <c r="A37" s="298"/>
      <c r="B37" s="299"/>
      <c r="C37" s="298"/>
      <c r="D37" s="303" t="s">
        <v>1601</v>
      </c>
      <c r="E37" s="298"/>
      <c r="F37" s="299"/>
      <c r="G37" s="298"/>
      <c r="H37" s="299"/>
      <c r="I37" s="299"/>
      <c r="J37" s="298"/>
      <c r="K37" s="299"/>
      <c r="L37" s="298"/>
      <c r="M37" s="299"/>
      <c r="N37" s="298"/>
      <c r="O37" s="299"/>
      <c r="P37" s="298"/>
      <c r="Q37" s="299"/>
      <c r="R37" s="298"/>
      <c r="S37" s="299"/>
      <c r="T37" s="298"/>
      <c r="U37" s="309"/>
      <c r="V37" s="298"/>
      <c r="W37" s="299"/>
      <c r="X37" s="298"/>
      <c r="Y37" s="299"/>
      <c r="Z37" s="298"/>
      <c r="AA37" s="306"/>
      <c r="AB37" s="307"/>
      <c r="AC37" s="305"/>
      <c r="AD37" s="304"/>
      <c r="AE37" s="303"/>
      <c r="AF37" s="304"/>
      <c r="AG37" s="303"/>
      <c r="AH37" s="304"/>
    </row>
    <row r="38">
      <c r="A38" s="298"/>
      <c r="B38" s="299"/>
      <c r="C38" s="298"/>
      <c r="D38" s="303" t="s">
        <v>863</v>
      </c>
      <c r="E38" s="298"/>
      <c r="F38" s="299"/>
      <c r="G38" s="298"/>
      <c r="H38" s="299"/>
      <c r="I38" s="299"/>
      <c r="J38" s="298"/>
      <c r="K38" s="299"/>
      <c r="L38" s="298"/>
      <c r="M38" s="299"/>
      <c r="N38" s="298"/>
      <c r="O38" s="299"/>
      <c r="P38" s="298"/>
      <c r="Q38" s="299"/>
      <c r="R38" s="298"/>
      <c r="S38" s="299"/>
      <c r="T38" s="298"/>
      <c r="U38" s="309"/>
      <c r="V38" s="298"/>
      <c r="W38" s="299"/>
      <c r="X38" s="298"/>
      <c r="Y38" s="299"/>
      <c r="Z38" s="298"/>
      <c r="AA38" s="306"/>
      <c r="AB38" s="307"/>
      <c r="AC38" s="305"/>
      <c r="AD38" s="304"/>
      <c r="AE38" s="303"/>
      <c r="AF38" s="304"/>
      <c r="AG38" s="303"/>
      <c r="AH38" s="304"/>
    </row>
    <row r="39">
      <c r="A39" s="298"/>
      <c r="B39" s="299"/>
      <c r="C39" s="298"/>
      <c r="D39" s="303" t="s">
        <v>1602</v>
      </c>
      <c r="E39" s="298"/>
      <c r="F39" s="299"/>
      <c r="G39" s="298"/>
      <c r="H39" s="299"/>
      <c r="I39" s="299"/>
      <c r="J39" s="298"/>
      <c r="K39" s="299"/>
      <c r="L39" s="298"/>
      <c r="M39" s="299"/>
      <c r="N39" s="298"/>
      <c r="O39" s="299"/>
      <c r="P39" s="298"/>
      <c r="Q39" s="299"/>
      <c r="R39" s="298"/>
      <c r="S39" s="299"/>
      <c r="T39" s="298"/>
      <c r="U39" s="309"/>
      <c r="V39" s="298"/>
      <c r="W39" s="299"/>
      <c r="X39" s="298"/>
      <c r="Y39" s="299"/>
      <c r="Z39" s="298"/>
      <c r="AA39" s="306"/>
      <c r="AB39" s="307"/>
      <c r="AC39" s="305"/>
      <c r="AD39" s="304"/>
      <c r="AE39" s="303"/>
      <c r="AF39" s="304"/>
      <c r="AG39" s="303"/>
      <c r="AH39" s="304"/>
    </row>
    <row r="40">
      <c r="A40" s="298"/>
      <c r="B40" s="299"/>
      <c r="C40" s="298"/>
      <c r="D40" s="303" t="s">
        <v>1603</v>
      </c>
      <c r="E40" s="298"/>
      <c r="F40" s="299"/>
      <c r="G40" s="298"/>
      <c r="H40" s="299"/>
      <c r="I40" s="299"/>
      <c r="J40" s="298"/>
      <c r="K40" s="299"/>
      <c r="L40" s="298"/>
      <c r="M40" s="299"/>
      <c r="N40" s="298"/>
      <c r="O40" s="299"/>
      <c r="P40" s="298"/>
      <c r="Q40" s="299"/>
      <c r="R40" s="298"/>
      <c r="S40" s="299"/>
      <c r="T40" s="298"/>
      <c r="U40" s="309"/>
      <c r="V40" s="298"/>
      <c r="W40" s="299"/>
      <c r="X40" s="298"/>
      <c r="Y40" s="299"/>
      <c r="Z40" s="298"/>
      <c r="AA40" s="306"/>
      <c r="AB40" s="307"/>
      <c r="AC40" s="305"/>
      <c r="AD40" s="304"/>
      <c r="AE40" s="303"/>
      <c r="AF40" s="304"/>
      <c r="AG40" s="303"/>
      <c r="AH40" s="304"/>
    </row>
    <row r="41">
      <c r="A41" s="298"/>
      <c r="B41" s="299"/>
      <c r="C41" s="298"/>
      <c r="D41" s="303" t="s">
        <v>1604</v>
      </c>
      <c r="E41" s="298"/>
      <c r="F41" s="299"/>
      <c r="G41" s="298"/>
      <c r="H41" s="299"/>
      <c r="I41" s="299"/>
      <c r="J41" s="298"/>
      <c r="K41" s="299"/>
      <c r="L41" s="298"/>
      <c r="M41" s="299"/>
      <c r="N41" s="298"/>
      <c r="O41" s="299"/>
      <c r="P41" s="298"/>
      <c r="Q41" s="299"/>
      <c r="R41" s="298"/>
      <c r="S41" s="299"/>
      <c r="T41" s="298"/>
      <c r="U41" s="309"/>
      <c r="V41" s="298"/>
      <c r="W41" s="299"/>
      <c r="X41" s="298"/>
      <c r="Y41" s="299"/>
      <c r="Z41" s="298"/>
      <c r="AA41" s="306"/>
      <c r="AB41" s="307"/>
      <c r="AC41" s="305"/>
      <c r="AD41" s="304"/>
      <c r="AE41" s="303"/>
      <c r="AF41" s="304"/>
      <c r="AG41" s="303"/>
      <c r="AH41" s="304"/>
    </row>
    <row r="42">
      <c r="A42" s="298"/>
      <c r="B42" s="299"/>
      <c r="C42" s="298"/>
      <c r="D42" s="303" t="s">
        <v>1605</v>
      </c>
      <c r="E42" s="298"/>
      <c r="F42" s="299"/>
      <c r="G42" s="298"/>
      <c r="H42" s="299"/>
      <c r="I42" s="299"/>
      <c r="J42" s="298"/>
      <c r="K42" s="299"/>
      <c r="L42" s="298"/>
      <c r="M42" s="299"/>
      <c r="N42" s="298"/>
      <c r="O42" s="299"/>
      <c r="P42" s="298"/>
      <c r="Q42" s="299"/>
      <c r="R42" s="298"/>
      <c r="S42" s="299"/>
      <c r="T42" s="298"/>
      <c r="U42" s="309"/>
      <c r="V42" s="298"/>
      <c r="W42" s="299"/>
      <c r="X42" s="298"/>
      <c r="Y42" s="299"/>
      <c r="Z42" s="298"/>
      <c r="AA42" s="306"/>
      <c r="AB42" s="307"/>
      <c r="AC42" s="305"/>
      <c r="AD42" s="304"/>
      <c r="AE42" s="303"/>
      <c r="AF42" s="304"/>
      <c r="AG42" s="303"/>
      <c r="AH42" s="304"/>
    </row>
    <row r="43">
      <c r="A43" s="298"/>
      <c r="B43" s="299"/>
      <c r="C43" s="298"/>
      <c r="D43" s="303" t="s">
        <v>1606</v>
      </c>
      <c r="E43" s="298"/>
      <c r="F43" s="299"/>
      <c r="G43" s="298"/>
      <c r="H43" s="299"/>
      <c r="I43" s="299"/>
      <c r="J43" s="298"/>
      <c r="K43" s="299"/>
      <c r="L43" s="298"/>
      <c r="M43" s="299"/>
      <c r="N43" s="298"/>
      <c r="O43" s="299"/>
      <c r="P43" s="298"/>
      <c r="Q43" s="299"/>
      <c r="R43" s="298"/>
      <c r="S43" s="299"/>
      <c r="T43" s="298"/>
      <c r="U43" s="309"/>
      <c r="V43" s="298"/>
      <c r="W43" s="299"/>
      <c r="X43" s="298"/>
      <c r="Y43" s="299"/>
      <c r="Z43" s="298"/>
      <c r="AA43" s="306"/>
      <c r="AB43" s="307"/>
      <c r="AC43" s="305"/>
      <c r="AD43" s="304"/>
      <c r="AE43" s="303"/>
      <c r="AF43" s="304"/>
      <c r="AG43" s="303"/>
      <c r="AH43" s="304"/>
    </row>
    <row r="44">
      <c r="A44" s="298"/>
      <c r="B44" s="299"/>
      <c r="C44" s="298"/>
      <c r="D44" s="303" t="s">
        <v>1607</v>
      </c>
      <c r="E44" s="298"/>
      <c r="F44" s="299"/>
      <c r="G44" s="298"/>
      <c r="H44" s="299"/>
      <c r="I44" s="299"/>
      <c r="J44" s="298"/>
      <c r="K44" s="299"/>
      <c r="L44" s="298"/>
      <c r="M44" s="299"/>
      <c r="N44" s="298"/>
      <c r="O44" s="299"/>
      <c r="P44" s="298"/>
      <c r="Q44" s="299"/>
      <c r="R44" s="298"/>
      <c r="S44" s="299"/>
      <c r="T44" s="298"/>
      <c r="U44" s="309"/>
      <c r="V44" s="298"/>
      <c r="W44" s="299"/>
      <c r="X44" s="298"/>
      <c r="Y44" s="299"/>
      <c r="Z44" s="298"/>
      <c r="AA44" s="306"/>
      <c r="AB44" s="307"/>
      <c r="AC44" s="305"/>
      <c r="AD44" s="304"/>
      <c r="AE44" s="303"/>
      <c r="AF44" s="304"/>
      <c r="AG44" s="303"/>
      <c r="AH44" s="304"/>
    </row>
    <row r="45">
      <c r="A45" s="298"/>
      <c r="B45" s="299"/>
      <c r="C45" s="298"/>
      <c r="D45" s="303" t="s">
        <v>950</v>
      </c>
      <c r="E45" s="298"/>
      <c r="F45" s="299"/>
      <c r="G45" s="298"/>
      <c r="H45" s="299"/>
      <c r="I45" s="299"/>
      <c r="J45" s="298"/>
      <c r="K45" s="299"/>
      <c r="L45" s="298"/>
      <c r="M45" s="299"/>
      <c r="N45" s="298"/>
      <c r="O45" s="299"/>
      <c r="P45" s="298"/>
      <c r="Q45" s="299"/>
      <c r="R45" s="298"/>
      <c r="S45" s="299"/>
      <c r="T45" s="298"/>
      <c r="U45" s="309"/>
      <c r="V45" s="298"/>
      <c r="W45" s="299"/>
      <c r="X45" s="298"/>
      <c r="Y45" s="299"/>
      <c r="Z45" s="298"/>
      <c r="AA45" s="306"/>
      <c r="AB45" s="307"/>
      <c r="AC45" s="305"/>
      <c r="AD45" s="304"/>
      <c r="AE45" s="303"/>
      <c r="AF45" s="304"/>
      <c r="AG45" s="303"/>
      <c r="AH45" s="304"/>
    </row>
    <row r="46">
      <c r="A46" s="298"/>
      <c r="B46" s="299"/>
      <c r="C46" s="298"/>
      <c r="D46" s="303" t="s">
        <v>1006</v>
      </c>
      <c r="E46" s="298"/>
      <c r="F46" s="299"/>
      <c r="G46" s="298"/>
      <c r="H46" s="299"/>
      <c r="I46" s="299"/>
      <c r="J46" s="298"/>
      <c r="K46" s="299"/>
      <c r="L46" s="298"/>
      <c r="M46" s="299"/>
      <c r="N46" s="298"/>
      <c r="O46" s="299"/>
      <c r="P46" s="298"/>
      <c r="Q46" s="299"/>
      <c r="R46" s="298"/>
      <c r="S46" s="299"/>
      <c r="T46" s="298"/>
      <c r="U46" s="309"/>
      <c r="V46" s="298"/>
      <c r="W46" s="299"/>
      <c r="X46" s="298"/>
      <c r="Y46" s="299"/>
      <c r="Z46" s="298"/>
      <c r="AA46" s="306"/>
      <c r="AB46" s="307"/>
      <c r="AC46" s="305"/>
      <c r="AD46" s="304"/>
      <c r="AE46" s="303"/>
      <c r="AF46" s="304"/>
      <c r="AG46" s="303"/>
      <c r="AH46" s="304"/>
    </row>
    <row r="47">
      <c r="A47" s="298"/>
      <c r="B47" s="299"/>
      <c r="C47" s="298"/>
      <c r="D47" s="303" t="s">
        <v>1608</v>
      </c>
      <c r="E47" s="298"/>
      <c r="F47" s="299"/>
      <c r="G47" s="298"/>
      <c r="H47" s="299"/>
      <c r="I47" s="299"/>
      <c r="J47" s="298"/>
      <c r="K47" s="299"/>
      <c r="L47" s="298"/>
      <c r="M47" s="299"/>
      <c r="N47" s="298"/>
      <c r="O47" s="299"/>
      <c r="P47" s="298"/>
      <c r="Q47" s="299"/>
      <c r="R47" s="298"/>
      <c r="S47" s="299"/>
      <c r="T47" s="298"/>
      <c r="U47" s="309"/>
      <c r="V47" s="298"/>
      <c r="W47" s="299"/>
      <c r="X47" s="298"/>
      <c r="Y47" s="299"/>
      <c r="Z47" s="298"/>
      <c r="AA47" s="306"/>
      <c r="AB47" s="307"/>
      <c r="AC47" s="303"/>
      <c r="AD47" s="304"/>
      <c r="AE47" s="303"/>
      <c r="AF47" s="304"/>
      <c r="AG47" s="303"/>
      <c r="AH47" s="304"/>
    </row>
    <row r="48">
      <c r="A48" s="298"/>
      <c r="B48" s="299"/>
      <c r="C48" s="298"/>
      <c r="D48" s="303" t="s">
        <v>1609</v>
      </c>
      <c r="E48" s="298"/>
      <c r="F48" s="299"/>
      <c r="G48" s="298"/>
      <c r="H48" s="299"/>
      <c r="I48" s="299"/>
      <c r="J48" s="298"/>
      <c r="K48" s="299"/>
      <c r="L48" s="298"/>
      <c r="M48" s="299"/>
      <c r="N48" s="298"/>
      <c r="O48" s="299"/>
      <c r="P48" s="298"/>
      <c r="Q48" s="299"/>
      <c r="R48" s="298"/>
      <c r="S48" s="299"/>
      <c r="T48" s="298"/>
      <c r="U48" s="309"/>
      <c r="V48" s="298"/>
      <c r="W48" s="299"/>
      <c r="X48" s="298"/>
      <c r="Y48" s="299"/>
      <c r="Z48" s="298"/>
      <c r="AA48" s="306"/>
      <c r="AB48" s="307"/>
      <c r="AC48" s="303"/>
      <c r="AD48" s="304"/>
      <c r="AE48" s="303"/>
      <c r="AF48" s="304"/>
      <c r="AG48" s="303"/>
      <c r="AH48" s="304"/>
    </row>
    <row r="49">
      <c r="A49" s="298"/>
      <c r="B49" s="299"/>
      <c r="C49" s="298"/>
      <c r="D49" s="303" t="s">
        <v>1610</v>
      </c>
      <c r="E49" s="298"/>
      <c r="F49" s="299"/>
      <c r="G49" s="298"/>
      <c r="H49" s="299"/>
      <c r="I49" s="299"/>
      <c r="J49" s="298"/>
      <c r="K49" s="299"/>
      <c r="L49" s="298"/>
      <c r="M49" s="299"/>
      <c r="N49" s="298"/>
      <c r="O49" s="299"/>
      <c r="P49" s="298"/>
      <c r="Q49" s="299"/>
      <c r="R49" s="298"/>
      <c r="S49" s="299"/>
      <c r="T49" s="298"/>
      <c r="U49" s="309"/>
      <c r="V49" s="298"/>
      <c r="W49" s="299"/>
      <c r="X49" s="298"/>
      <c r="Y49" s="299"/>
      <c r="Z49" s="298"/>
      <c r="AA49" s="306"/>
      <c r="AB49" s="307"/>
      <c r="AC49" s="303"/>
      <c r="AD49" s="304"/>
      <c r="AE49" s="303"/>
      <c r="AF49" s="304"/>
      <c r="AG49" s="303"/>
      <c r="AH49" s="304"/>
    </row>
    <row r="50">
      <c r="A50" s="298"/>
      <c r="B50" s="299"/>
      <c r="C50" s="298"/>
      <c r="D50" s="303" t="s">
        <v>1611</v>
      </c>
      <c r="E50" s="298"/>
      <c r="F50" s="299"/>
      <c r="G50" s="298"/>
      <c r="H50" s="299"/>
      <c r="I50" s="299"/>
      <c r="J50" s="298"/>
      <c r="K50" s="299"/>
      <c r="L50" s="298"/>
      <c r="M50" s="299"/>
      <c r="N50" s="298"/>
      <c r="O50" s="299"/>
      <c r="P50" s="298"/>
      <c r="Q50" s="299"/>
      <c r="R50" s="298"/>
      <c r="S50" s="299"/>
      <c r="T50" s="298"/>
      <c r="U50" s="309"/>
      <c r="V50" s="298"/>
      <c r="W50" s="299"/>
      <c r="X50" s="298"/>
      <c r="Y50" s="299"/>
      <c r="Z50" s="298"/>
      <c r="AA50" s="306"/>
      <c r="AB50" s="307"/>
      <c r="AC50" s="303"/>
      <c r="AD50" s="304"/>
      <c r="AE50" s="303"/>
      <c r="AF50" s="304"/>
      <c r="AG50" s="303"/>
      <c r="AH50" s="304"/>
    </row>
    <row r="51">
      <c r="A51" s="298"/>
      <c r="B51" s="299"/>
      <c r="C51" s="298"/>
      <c r="D51" s="303" t="s">
        <v>1612</v>
      </c>
      <c r="E51" s="298"/>
      <c r="F51" s="299"/>
      <c r="G51" s="298"/>
      <c r="H51" s="299"/>
      <c r="I51" s="299"/>
      <c r="J51" s="298"/>
      <c r="K51" s="299"/>
      <c r="L51" s="298"/>
      <c r="M51" s="299"/>
      <c r="N51" s="298"/>
      <c r="O51" s="299"/>
      <c r="P51" s="298"/>
      <c r="Q51" s="299"/>
      <c r="R51" s="298"/>
      <c r="S51" s="299"/>
      <c r="T51" s="298"/>
      <c r="U51" s="309"/>
      <c r="V51" s="298"/>
      <c r="W51" s="299"/>
      <c r="X51" s="298"/>
      <c r="Y51" s="299"/>
      <c r="Z51" s="298"/>
      <c r="AA51" s="306"/>
      <c r="AB51" s="307"/>
      <c r="AC51" s="303"/>
      <c r="AD51" s="304"/>
      <c r="AE51" s="303"/>
      <c r="AF51" s="304"/>
      <c r="AG51" s="303"/>
      <c r="AH51" s="304"/>
    </row>
    <row r="52">
      <c r="A52" s="298"/>
      <c r="B52" s="299"/>
      <c r="C52" s="298"/>
      <c r="D52" s="303" t="s">
        <v>1613</v>
      </c>
      <c r="E52" s="298"/>
      <c r="F52" s="299"/>
      <c r="G52" s="298"/>
      <c r="H52" s="299"/>
      <c r="I52" s="299"/>
      <c r="J52" s="298"/>
      <c r="K52" s="299"/>
      <c r="L52" s="298"/>
      <c r="M52" s="299"/>
      <c r="N52" s="298"/>
      <c r="O52" s="299"/>
      <c r="P52" s="298"/>
      <c r="Q52" s="299"/>
      <c r="R52" s="298"/>
      <c r="S52" s="299"/>
      <c r="T52" s="298"/>
      <c r="U52" s="309"/>
      <c r="V52" s="298"/>
      <c r="W52" s="299"/>
      <c r="X52" s="298"/>
      <c r="Y52" s="299"/>
      <c r="Z52" s="298"/>
      <c r="AA52" s="306"/>
      <c r="AB52" s="307"/>
      <c r="AC52" s="303"/>
      <c r="AD52" s="304"/>
      <c r="AE52" s="303"/>
      <c r="AF52" s="304"/>
      <c r="AG52" s="303"/>
      <c r="AH52" s="304"/>
    </row>
    <row r="53">
      <c r="A53" s="298"/>
      <c r="B53" s="299"/>
      <c r="C53" s="298"/>
      <c r="D53" s="303" t="s">
        <v>926</v>
      </c>
      <c r="E53" s="298"/>
      <c r="F53" s="299"/>
      <c r="G53" s="298"/>
      <c r="H53" s="299"/>
      <c r="I53" s="299"/>
      <c r="J53" s="298"/>
      <c r="K53" s="299"/>
      <c r="L53" s="298"/>
      <c r="M53" s="299"/>
      <c r="N53" s="298"/>
      <c r="O53" s="299"/>
      <c r="P53" s="298"/>
      <c r="Q53" s="299"/>
      <c r="R53" s="298"/>
      <c r="S53" s="299"/>
      <c r="T53" s="298"/>
      <c r="U53" s="309"/>
      <c r="V53" s="298"/>
      <c r="W53" s="299"/>
      <c r="X53" s="298"/>
      <c r="Y53" s="299"/>
      <c r="Z53" s="298"/>
      <c r="AA53" s="306"/>
      <c r="AB53" s="307"/>
      <c r="AC53" s="303"/>
      <c r="AD53" s="304"/>
      <c r="AE53" s="303"/>
      <c r="AF53" s="304"/>
      <c r="AG53" s="303"/>
      <c r="AH53" s="304"/>
    </row>
    <row r="54">
      <c r="A54" s="298"/>
      <c r="B54" s="299"/>
      <c r="C54" s="298"/>
      <c r="D54" s="303" t="s">
        <v>1614</v>
      </c>
      <c r="E54" s="298"/>
      <c r="F54" s="299"/>
      <c r="G54" s="298"/>
      <c r="H54" s="299"/>
      <c r="I54" s="299"/>
      <c r="J54" s="298"/>
      <c r="K54" s="299"/>
      <c r="L54" s="298"/>
      <c r="M54" s="299"/>
      <c r="N54" s="298"/>
      <c r="O54" s="299"/>
      <c r="P54" s="298"/>
      <c r="Q54" s="299"/>
      <c r="R54" s="298"/>
      <c r="S54" s="299"/>
      <c r="T54" s="298"/>
      <c r="U54" s="309"/>
      <c r="V54" s="298"/>
      <c r="W54" s="299"/>
      <c r="X54" s="298"/>
      <c r="Y54" s="299"/>
      <c r="Z54" s="298"/>
      <c r="AA54" s="306"/>
      <c r="AB54" s="307"/>
      <c r="AC54" s="303"/>
      <c r="AD54" s="304"/>
      <c r="AE54" s="303"/>
      <c r="AF54" s="304"/>
      <c r="AG54" s="303"/>
      <c r="AH54" s="304"/>
    </row>
    <row r="55">
      <c r="A55" s="298"/>
      <c r="B55" s="299"/>
      <c r="C55" s="298"/>
      <c r="D55" s="303" t="s">
        <v>1081</v>
      </c>
      <c r="E55" s="298"/>
      <c r="F55" s="299"/>
      <c r="G55" s="298"/>
      <c r="H55" s="299"/>
      <c r="I55" s="299"/>
      <c r="J55" s="298"/>
      <c r="K55" s="299"/>
      <c r="L55" s="298"/>
      <c r="M55" s="299"/>
      <c r="N55" s="298"/>
      <c r="O55" s="299"/>
      <c r="P55" s="298"/>
      <c r="Q55" s="299"/>
      <c r="R55" s="298"/>
      <c r="S55" s="299"/>
      <c r="T55" s="298"/>
      <c r="U55" s="309"/>
      <c r="V55" s="298"/>
      <c r="W55" s="299"/>
      <c r="X55" s="298"/>
      <c r="Y55" s="299"/>
      <c r="Z55" s="298"/>
      <c r="AA55" s="306"/>
      <c r="AB55" s="307"/>
      <c r="AC55" s="303"/>
      <c r="AD55" s="304"/>
      <c r="AE55" s="303"/>
      <c r="AF55" s="304"/>
      <c r="AG55" s="303"/>
      <c r="AH55" s="304"/>
    </row>
    <row r="56">
      <c r="A56" s="298"/>
      <c r="B56" s="299"/>
      <c r="C56" s="298"/>
      <c r="D56" s="303" t="s">
        <v>1027</v>
      </c>
      <c r="E56" s="298"/>
      <c r="F56" s="299"/>
      <c r="G56" s="298"/>
      <c r="H56" s="299"/>
      <c r="I56" s="299"/>
      <c r="J56" s="298"/>
      <c r="K56" s="299"/>
      <c r="L56" s="298"/>
      <c r="M56" s="299"/>
      <c r="N56" s="298"/>
      <c r="O56" s="299"/>
      <c r="P56" s="298"/>
      <c r="Q56" s="299"/>
      <c r="R56" s="298"/>
      <c r="S56" s="299"/>
      <c r="T56" s="298"/>
      <c r="U56" s="309"/>
      <c r="V56" s="298"/>
      <c r="W56" s="299"/>
      <c r="X56" s="298"/>
      <c r="Y56" s="299"/>
      <c r="Z56" s="298"/>
      <c r="AA56" s="306"/>
      <c r="AB56" s="307"/>
      <c r="AC56" s="303"/>
      <c r="AD56" s="304"/>
      <c r="AE56" s="303"/>
      <c r="AF56" s="304"/>
      <c r="AG56" s="303"/>
      <c r="AH56" s="304"/>
    </row>
    <row r="57">
      <c r="A57" s="298"/>
      <c r="B57" s="299"/>
      <c r="C57" s="298"/>
      <c r="D57" s="303" t="s">
        <v>952</v>
      </c>
      <c r="E57" s="298"/>
      <c r="F57" s="299"/>
      <c r="G57" s="298"/>
      <c r="H57" s="299"/>
      <c r="I57" s="299"/>
      <c r="J57" s="298"/>
      <c r="K57" s="299"/>
      <c r="L57" s="298"/>
      <c r="M57" s="299"/>
      <c r="N57" s="298"/>
      <c r="O57" s="299"/>
      <c r="P57" s="298"/>
      <c r="Q57" s="299"/>
      <c r="R57" s="298"/>
      <c r="S57" s="299"/>
      <c r="T57" s="298"/>
      <c r="U57" s="309"/>
      <c r="V57" s="298"/>
      <c r="W57" s="299"/>
      <c r="X57" s="298"/>
      <c r="Y57" s="299"/>
      <c r="Z57" s="298"/>
      <c r="AA57" s="306"/>
      <c r="AB57" s="307"/>
      <c r="AC57" s="303"/>
      <c r="AD57" s="304"/>
      <c r="AE57" s="303"/>
      <c r="AF57" s="304"/>
      <c r="AG57" s="303"/>
      <c r="AH57" s="304"/>
    </row>
    <row r="58">
      <c r="A58" s="298"/>
      <c r="B58" s="299"/>
      <c r="C58" s="298"/>
      <c r="D58" s="303" t="s">
        <v>1615</v>
      </c>
      <c r="E58" s="298"/>
      <c r="F58" s="299"/>
      <c r="G58" s="298"/>
      <c r="H58" s="299"/>
      <c r="I58" s="299"/>
      <c r="J58" s="298"/>
      <c r="K58" s="299"/>
      <c r="L58" s="298"/>
      <c r="M58" s="299"/>
      <c r="N58" s="298"/>
      <c r="O58" s="299"/>
      <c r="P58" s="298"/>
      <c r="Q58" s="299"/>
      <c r="R58" s="298"/>
      <c r="S58" s="299"/>
      <c r="T58" s="298"/>
      <c r="U58" s="309"/>
      <c r="V58" s="298"/>
      <c r="W58" s="299"/>
      <c r="X58" s="298"/>
      <c r="Y58" s="299"/>
      <c r="Z58" s="298"/>
      <c r="AA58" s="306"/>
      <c r="AB58" s="307"/>
      <c r="AC58" s="303"/>
      <c r="AD58" s="304"/>
      <c r="AE58" s="303"/>
      <c r="AF58" s="304"/>
      <c r="AG58" s="303"/>
      <c r="AH58" s="304"/>
    </row>
    <row r="59">
      <c r="A59" s="298"/>
      <c r="B59" s="299"/>
      <c r="C59" s="298"/>
      <c r="D59" s="303" t="s">
        <v>1616</v>
      </c>
      <c r="E59" s="298"/>
      <c r="F59" s="299"/>
      <c r="G59" s="298"/>
      <c r="H59" s="299"/>
      <c r="I59" s="299"/>
      <c r="J59" s="298"/>
      <c r="K59" s="299"/>
      <c r="L59" s="298"/>
      <c r="M59" s="299"/>
      <c r="N59" s="298"/>
      <c r="O59" s="299"/>
      <c r="P59" s="298"/>
      <c r="Q59" s="299"/>
      <c r="R59" s="298"/>
      <c r="S59" s="299"/>
      <c r="T59" s="298"/>
      <c r="U59" s="309"/>
      <c r="V59" s="298"/>
      <c r="W59" s="299"/>
      <c r="X59" s="298"/>
      <c r="Y59" s="299"/>
      <c r="Z59" s="298"/>
      <c r="AA59" s="306"/>
      <c r="AB59" s="307"/>
      <c r="AC59" s="303"/>
      <c r="AD59" s="304"/>
      <c r="AE59" s="303"/>
      <c r="AF59" s="304"/>
      <c r="AG59" s="303"/>
      <c r="AH59" s="304"/>
    </row>
    <row r="60">
      <c r="A60" s="298"/>
      <c r="B60" s="299"/>
      <c r="C60" s="298"/>
      <c r="D60" s="303" t="s">
        <v>930</v>
      </c>
      <c r="E60" s="298"/>
      <c r="F60" s="299"/>
      <c r="G60" s="298"/>
      <c r="H60" s="299"/>
      <c r="I60" s="299"/>
      <c r="J60" s="298"/>
      <c r="K60" s="299"/>
      <c r="L60" s="298"/>
      <c r="M60" s="299"/>
      <c r="N60" s="298"/>
      <c r="O60" s="299"/>
      <c r="P60" s="298"/>
      <c r="Q60" s="299"/>
      <c r="R60" s="298"/>
      <c r="S60" s="299"/>
      <c r="T60" s="298"/>
      <c r="U60" s="309"/>
      <c r="V60" s="298"/>
      <c r="W60" s="299"/>
      <c r="X60" s="298"/>
      <c r="Y60" s="299"/>
      <c r="Z60" s="298"/>
      <c r="AA60" s="306"/>
      <c r="AB60" s="307"/>
      <c r="AC60" s="303"/>
      <c r="AD60" s="304"/>
      <c r="AE60" s="303"/>
      <c r="AF60" s="304"/>
      <c r="AG60" s="303"/>
      <c r="AH60" s="304"/>
    </row>
    <row r="61">
      <c r="A61" s="298"/>
      <c r="B61" s="299"/>
      <c r="C61" s="298"/>
      <c r="D61" s="303" t="s">
        <v>1617</v>
      </c>
      <c r="E61" s="298"/>
      <c r="F61" s="299"/>
      <c r="G61" s="298"/>
      <c r="H61" s="299"/>
      <c r="I61" s="299"/>
      <c r="J61" s="298"/>
      <c r="K61" s="299"/>
      <c r="L61" s="298"/>
      <c r="M61" s="299"/>
      <c r="N61" s="298"/>
      <c r="O61" s="299"/>
      <c r="P61" s="298"/>
      <c r="Q61" s="299"/>
      <c r="R61" s="298"/>
      <c r="S61" s="299"/>
      <c r="T61" s="298"/>
      <c r="U61" s="309"/>
      <c r="V61" s="298"/>
      <c r="W61" s="299"/>
      <c r="X61" s="298"/>
      <c r="Y61" s="299"/>
      <c r="Z61" s="298"/>
      <c r="AA61" s="306"/>
      <c r="AB61" s="307"/>
      <c r="AC61" s="303"/>
      <c r="AD61" s="304"/>
      <c r="AE61" s="303"/>
      <c r="AF61" s="304"/>
      <c r="AG61" s="303"/>
      <c r="AH61" s="304"/>
    </row>
    <row r="62">
      <c r="A62" s="298"/>
      <c r="B62" s="299"/>
      <c r="C62" s="298"/>
      <c r="D62" s="303" t="s">
        <v>1618</v>
      </c>
      <c r="E62" s="298"/>
      <c r="F62" s="299"/>
      <c r="G62" s="298"/>
      <c r="H62" s="299"/>
      <c r="I62" s="299"/>
      <c r="J62" s="298"/>
      <c r="K62" s="299"/>
      <c r="L62" s="298"/>
      <c r="M62" s="299"/>
      <c r="N62" s="298"/>
      <c r="O62" s="299"/>
      <c r="P62" s="298"/>
      <c r="Q62" s="299"/>
      <c r="R62" s="298"/>
      <c r="S62" s="299"/>
      <c r="T62" s="298"/>
      <c r="U62" s="309"/>
      <c r="V62" s="298"/>
      <c r="W62" s="299"/>
      <c r="X62" s="298"/>
      <c r="Y62" s="299"/>
      <c r="Z62" s="298"/>
      <c r="AA62" s="306"/>
      <c r="AB62" s="307"/>
      <c r="AC62" s="303"/>
      <c r="AD62" s="304"/>
      <c r="AE62" s="303"/>
      <c r="AF62" s="304"/>
      <c r="AG62" s="303"/>
      <c r="AH62" s="304"/>
    </row>
    <row r="63">
      <c r="A63" s="298"/>
      <c r="B63" s="299"/>
      <c r="C63" s="298"/>
      <c r="D63" s="303" t="s">
        <v>978</v>
      </c>
      <c r="E63" s="298"/>
      <c r="F63" s="299"/>
      <c r="G63" s="298"/>
      <c r="H63" s="299"/>
      <c r="I63" s="299"/>
      <c r="J63" s="298"/>
      <c r="K63" s="299"/>
      <c r="L63" s="298"/>
      <c r="M63" s="299"/>
      <c r="N63" s="298"/>
      <c r="O63" s="299"/>
      <c r="P63" s="298"/>
      <c r="Q63" s="299"/>
      <c r="R63" s="298"/>
      <c r="S63" s="299"/>
      <c r="T63" s="298"/>
      <c r="U63" s="309"/>
      <c r="V63" s="298"/>
      <c r="W63" s="299"/>
      <c r="X63" s="298"/>
      <c r="Y63" s="299"/>
      <c r="Z63" s="298"/>
      <c r="AA63" s="306"/>
      <c r="AB63" s="307"/>
      <c r="AC63" s="303"/>
      <c r="AD63" s="304"/>
      <c r="AE63" s="303"/>
      <c r="AF63" s="304"/>
      <c r="AG63" s="303"/>
      <c r="AH63" s="304"/>
    </row>
    <row r="64">
      <c r="A64" s="298"/>
      <c r="B64" s="299"/>
      <c r="C64" s="298"/>
      <c r="D64" s="303" t="s">
        <v>1619</v>
      </c>
      <c r="E64" s="298"/>
      <c r="F64" s="299"/>
      <c r="G64" s="298"/>
      <c r="H64" s="299"/>
      <c r="I64" s="299"/>
      <c r="J64" s="298"/>
      <c r="K64" s="299"/>
      <c r="L64" s="298"/>
      <c r="M64" s="299"/>
      <c r="N64" s="298"/>
      <c r="O64" s="299"/>
      <c r="P64" s="298"/>
      <c r="Q64" s="299"/>
      <c r="R64" s="298"/>
      <c r="S64" s="299"/>
      <c r="T64" s="298"/>
      <c r="U64" s="309"/>
      <c r="V64" s="298"/>
      <c r="W64" s="299"/>
      <c r="X64" s="298"/>
      <c r="Y64" s="299"/>
      <c r="Z64" s="298"/>
      <c r="AA64" s="306"/>
      <c r="AB64" s="307"/>
      <c r="AC64" s="303"/>
      <c r="AD64" s="304"/>
      <c r="AE64" s="303"/>
      <c r="AF64" s="304"/>
      <c r="AG64" s="303"/>
      <c r="AH64" s="304"/>
    </row>
    <row r="65">
      <c r="A65" s="298"/>
      <c r="B65" s="299"/>
      <c r="C65" s="298"/>
      <c r="D65" s="303" t="s">
        <v>936</v>
      </c>
      <c r="E65" s="298"/>
      <c r="F65" s="299"/>
      <c r="G65" s="298"/>
      <c r="H65" s="299"/>
      <c r="I65" s="299"/>
      <c r="J65" s="298"/>
      <c r="K65" s="299"/>
      <c r="L65" s="298"/>
      <c r="M65" s="299"/>
      <c r="N65" s="298"/>
      <c r="O65" s="299"/>
      <c r="P65" s="298"/>
      <c r="Q65" s="299"/>
      <c r="R65" s="298"/>
      <c r="S65" s="299"/>
      <c r="T65" s="298"/>
      <c r="U65" s="309"/>
      <c r="V65" s="298"/>
      <c r="W65" s="299"/>
      <c r="X65" s="298"/>
      <c r="Y65" s="299"/>
      <c r="Z65" s="298"/>
      <c r="AA65" s="306"/>
      <c r="AB65" s="307"/>
      <c r="AC65" s="303"/>
      <c r="AD65" s="304"/>
      <c r="AE65" s="303"/>
      <c r="AF65" s="304"/>
      <c r="AG65" s="303"/>
      <c r="AH65" s="304"/>
    </row>
    <row r="66">
      <c r="A66" s="298"/>
      <c r="B66" s="299"/>
      <c r="C66" s="298"/>
      <c r="D66" s="303" t="s">
        <v>1620</v>
      </c>
      <c r="E66" s="298"/>
      <c r="F66" s="299"/>
      <c r="G66" s="298"/>
      <c r="H66" s="299"/>
      <c r="I66" s="299"/>
      <c r="J66" s="298"/>
      <c r="K66" s="299"/>
      <c r="L66" s="298"/>
      <c r="M66" s="299"/>
      <c r="N66" s="298"/>
      <c r="O66" s="299"/>
      <c r="P66" s="298"/>
      <c r="Q66" s="299"/>
      <c r="R66" s="298"/>
      <c r="S66" s="299"/>
      <c r="T66" s="298"/>
      <c r="U66" s="309"/>
      <c r="V66" s="298"/>
      <c r="W66" s="299"/>
      <c r="X66" s="298"/>
      <c r="Y66" s="299"/>
      <c r="Z66" s="298"/>
      <c r="AA66" s="306"/>
      <c r="AB66" s="307"/>
      <c r="AC66" s="303"/>
      <c r="AD66" s="304"/>
      <c r="AE66" s="303"/>
      <c r="AF66" s="304"/>
      <c r="AG66" s="303"/>
      <c r="AH66" s="304"/>
    </row>
    <row r="67">
      <c r="A67" s="298"/>
      <c r="B67" s="299"/>
      <c r="C67" s="298"/>
      <c r="D67" s="303" t="s">
        <v>1066</v>
      </c>
      <c r="E67" s="298"/>
      <c r="F67" s="299"/>
      <c r="G67" s="298"/>
      <c r="H67" s="299"/>
      <c r="I67" s="299"/>
      <c r="J67" s="298"/>
      <c r="K67" s="299"/>
      <c r="L67" s="298"/>
      <c r="M67" s="299"/>
      <c r="N67" s="298"/>
      <c r="O67" s="299"/>
      <c r="P67" s="298"/>
      <c r="Q67" s="299"/>
      <c r="R67" s="298"/>
      <c r="S67" s="299"/>
      <c r="T67" s="298"/>
      <c r="U67" s="309"/>
      <c r="V67" s="298"/>
      <c r="W67" s="299"/>
      <c r="X67" s="298"/>
      <c r="Y67" s="299"/>
      <c r="Z67" s="298"/>
      <c r="AA67" s="306"/>
      <c r="AB67" s="307"/>
      <c r="AC67" s="303"/>
      <c r="AD67" s="304"/>
      <c r="AE67" s="303"/>
      <c r="AF67" s="304"/>
      <c r="AG67" s="303"/>
      <c r="AH67" s="304"/>
    </row>
    <row r="68">
      <c r="A68" s="298"/>
      <c r="B68" s="299"/>
      <c r="C68" s="298"/>
      <c r="D68" s="303" t="s">
        <v>1621</v>
      </c>
      <c r="E68" s="298"/>
      <c r="F68" s="299"/>
      <c r="G68" s="298"/>
      <c r="H68" s="299"/>
      <c r="I68" s="299"/>
      <c r="J68" s="298"/>
      <c r="K68" s="299"/>
      <c r="L68" s="298"/>
      <c r="M68" s="299"/>
      <c r="N68" s="298"/>
      <c r="O68" s="299"/>
      <c r="P68" s="298"/>
      <c r="Q68" s="299"/>
      <c r="R68" s="298"/>
      <c r="S68" s="299"/>
      <c r="T68" s="298"/>
      <c r="U68" s="309"/>
      <c r="V68" s="298"/>
      <c r="W68" s="299"/>
      <c r="X68" s="298"/>
      <c r="Y68" s="299"/>
      <c r="Z68" s="298"/>
      <c r="AA68" s="312"/>
      <c r="AB68" s="298"/>
      <c r="AC68" s="299"/>
      <c r="AD68" s="298"/>
      <c r="AE68" s="299"/>
      <c r="AF68" s="298"/>
      <c r="AG68" s="299"/>
      <c r="AH68" s="298"/>
    </row>
    <row r="69">
      <c r="A69" s="298"/>
      <c r="B69" s="299"/>
      <c r="C69" s="298"/>
      <c r="D69" s="303" t="s">
        <v>985</v>
      </c>
      <c r="E69" s="298"/>
      <c r="F69" s="299"/>
      <c r="G69" s="298"/>
      <c r="H69" s="299"/>
      <c r="I69" s="299"/>
      <c r="J69" s="298"/>
      <c r="K69" s="299"/>
      <c r="L69" s="298"/>
      <c r="M69" s="299"/>
      <c r="N69" s="298"/>
      <c r="O69" s="299"/>
      <c r="P69" s="298"/>
      <c r="Q69" s="299"/>
      <c r="R69" s="298"/>
      <c r="S69" s="299"/>
      <c r="T69" s="298"/>
      <c r="U69" s="309"/>
      <c r="V69" s="298"/>
      <c r="W69" s="299"/>
      <c r="X69" s="298"/>
      <c r="Y69" s="299"/>
      <c r="Z69" s="298"/>
      <c r="AA69" s="312"/>
      <c r="AB69" s="298"/>
      <c r="AC69" s="299"/>
      <c r="AD69" s="298"/>
      <c r="AE69" s="299"/>
      <c r="AF69" s="298"/>
      <c r="AG69" s="299"/>
      <c r="AH69" s="298"/>
    </row>
    <row r="70">
      <c r="A70" s="298"/>
      <c r="B70" s="299"/>
      <c r="C70" s="298"/>
      <c r="D70" s="303" t="s">
        <v>992</v>
      </c>
      <c r="E70" s="298"/>
      <c r="F70" s="299"/>
      <c r="G70" s="298"/>
      <c r="H70" s="299"/>
      <c r="I70" s="299"/>
      <c r="J70" s="298"/>
      <c r="K70" s="299"/>
      <c r="L70" s="298"/>
      <c r="M70" s="299"/>
      <c r="N70" s="298"/>
      <c r="O70" s="299"/>
      <c r="P70" s="298"/>
      <c r="Q70" s="299"/>
      <c r="R70" s="298"/>
      <c r="S70" s="299"/>
      <c r="T70" s="298"/>
      <c r="U70" s="309"/>
      <c r="V70" s="298"/>
      <c r="W70" s="299"/>
      <c r="X70" s="298"/>
      <c r="Y70" s="299"/>
      <c r="Z70" s="298"/>
      <c r="AA70" s="312"/>
      <c r="AB70" s="298"/>
      <c r="AC70" s="299"/>
      <c r="AD70" s="298"/>
      <c r="AE70" s="299"/>
      <c r="AF70" s="298"/>
      <c r="AG70" s="299"/>
      <c r="AH70" s="298"/>
    </row>
    <row r="71">
      <c r="A71" s="298"/>
      <c r="B71" s="299"/>
      <c r="C71" s="298"/>
      <c r="D71" s="303" t="s">
        <v>881</v>
      </c>
      <c r="E71" s="298"/>
      <c r="F71" s="299"/>
      <c r="G71" s="298"/>
      <c r="H71" s="299"/>
      <c r="I71" s="299"/>
      <c r="J71" s="298"/>
      <c r="K71" s="299"/>
      <c r="L71" s="298"/>
      <c r="M71" s="299"/>
      <c r="N71" s="298"/>
      <c r="O71" s="299"/>
      <c r="P71" s="298"/>
      <c r="Q71" s="299"/>
      <c r="R71" s="298"/>
      <c r="S71" s="299"/>
      <c r="T71" s="298"/>
      <c r="U71" s="309"/>
      <c r="V71" s="298"/>
      <c r="W71" s="299"/>
      <c r="X71" s="298"/>
      <c r="Y71" s="299"/>
      <c r="Z71" s="298"/>
      <c r="AA71" s="312"/>
      <c r="AB71" s="298"/>
      <c r="AC71" s="299"/>
      <c r="AD71" s="298"/>
      <c r="AE71" s="299"/>
      <c r="AF71" s="298"/>
      <c r="AG71" s="299"/>
      <c r="AH71" s="298"/>
    </row>
    <row r="72">
      <c r="A72" s="298"/>
      <c r="B72" s="299"/>
      <c r="C72" s="298"/>
      <c r="D72" s="303" t="s">
        <v>1622</v>
      </c>
      <c r="E72" s="298"/>
      <c r="F72" s="299"/>
      <c r="G72" s="298"/>
      <c r="H72" s="299"/>
      <c r="I72" s="299"/>
      <c r="J72" s="298"/>
      <c r="K72" s="299"/>
      <c r="L72" s="298"/>
      <c r="M72" s="299"/>
      <c r="N72" s="298"/>
      <c r="O72" s="299"/>
      <c r="P72" s="298"/>
      <c r="Q72" s="299"/>
      <c r="R72" s="298"/>
      <c r="S72" s="299"/>
      <c r="T72" s="298"/>
      <c r="U72" s="309"/>
      <c r="V72" s="298"/>
      <c r="W72" s="299"/>
      <c r="X72" s="298"/>
      <c r="Y72" s="299"/>
      <c r="Z72" s="298"/>
      <c r="AA72" s="312"/>
      <c r="AB72" s="298"/>
      <c r="AC72" s="299"/>
      <c r="AD72" s="298"/>
      <c r="AE72" s="299"/>
      <c r="AF72" s="298"/>
      <c r="AG72" s="299"/>
      <c r="AH72" s="298"/>
    </row>
    <row r="73">
      <c r="A73" s="298"/>
      <c r="B73" s="299"/>
      <c r="C73" s="298"/>
      <c r="D73" s="303" t="s">
        <v>1623</v>
      </c>
      <c r="E73" s="298"/>
      <c r="F73" s="299"/>
      <c r="G73" s="298"/>
      <c r="H73" s="299"/>
      <c r="I73" s="299"/>
      <c r="J73" s="298"/>
      <c r="K73" s="299"/>
      <c r="L73" s="298"/>
      <c r="M73" s="299"/>
      <c r="N73" s="298"/>
      <c r="O73" s="299"/>
      <c r="P73" s="298"/>
      <c r="Q73" s="299"/>
      <c r="R73" s="298"/>
      <c r="S73" s="299"/>
      <c r="T73" s="298"/>
      <c r="U73" s="309"/>
      <c r="V73" s="298"/>
      <c r="W73" s="299"/>
      <c r="X73" s="298"/>
      <c r="Y73" s="299"/>
      <c r="Z73" s="298"/>
      <c r="AA73" s="312"/>
      <c r="AB73" s="298"/>
      <c r="AC73" s="299"/>
      <c r="AD73" s="298"/>
      <c r="AE73" s="299"/>
      <c r="AF73" s="298"/>
      <c r="AG73" s="299"/>
      <c r="AH73" s="298"/>
    </row>
    <row r="74">
      <c r="A74" s="298"/>
      <c r="B74" s="299"/>
      <c r="C74" s="298"/>
      <c r="D74" s="303" t="s">
        <v>1624</v>
      </c>
      <c r="E74" s="298"/>
      <c r="F74" s="299"/>
      <c r="G74" s="298"/>
      <c r="H74" s="299"/>
      <c r="I74" s="299"/>
      <c r="J74" s="298"/>
      <c r="K74" s="299"/>
      <c r="L74" s="298"/>
      <c r="M74" s="299"/>
      <c r="N74" s="298"/>
      <c r="O74" s="299"/>
      <c r="P74" s="298"/>
      <c r="Q74" s="299"/>
      <c r="R74" s="298"/>
      <c r="S74" s="299"/>
      <c r="T74" s="298"/>
      <c r="U74" s="309"/>
      <c r="V74" s="298"/>
      <c r="W74" s="299"/>
      <c r="X74" s="298"/>
      <c r="Y74" s="299"/>
      <c r="Z74" s="298"/>
      <c r="AA74" s="312"/>
      <c r="AB74" s="298"/>
      <c r="AC74" s="299"/>
      <c r="AD74" s="298"/>
      <c r="AE74" s="299"/>
      <c r="AF74" s="298"/>
      <c r="AG74" s="299"/>
      <c r="AH74" s="298"/>
    </row>
    <row r="75">
      <c r="A75" s="298"/>
      <c r="B75" s="299"/>
      <c r="C75" s="298"/>
      <c r="D75" s="303" t="s">
        <v>1625</v>
      </c>
      <c r="E75" s="298"/>
      <c r="F75" s="299"/>
      <c r="G75" s="298"/>
      <c r="H75" s="299"/>
      <c r="I75" s="299"/>
      <c r="J75" s="298"/>
      <c r="K75" s="299"/>
      <c r="L75" s="298"/>
      <c r="M75" s="299"/>
      <c r="N75" s="298"/>
      <c r="O75" s="299"/>
      <c r="P75" s="298"/>
      <c r="Q75" s="299"/>
      <c r="R75" s="298"/>
      <c r="S75" s="299"/>
      <c r="T75" s="298"/>
      <c r="U75" s="309"/>
      <c r="V75" s="298"/>
      <c r="W75" s="299"/>
      <c r="X75" s="298"/>
      <c r="Y75" s="299"/>
      <c r="Z75" s="298"/>
      <c r="AA75" s="312"/>
      <c r="AB75" s="298"/>
      <c r="AC75" s="299"/>
      <c r="AD75" s="298"/>
      <c r="AE75" s="299"/>
      <c r="AF75" s="298"/>
      <c r="AG75" s="299"/>
      <c r="AH75" s="298"/>
    </row>
    <row r="76">
      <c r="A76" s="298"/>
      <c r="B76" s="299"/>
      <c r="C76" s="298"/>
      <c r="D76" s="303" t="s">
        <v>1020</v>
      </c>
      <c r="E76" s="298"/>
      <c r="F76" s="299"/>
      <c r="G76" s="298"/>
      <c r="H76" s="299"/>
      <c r="I76" s="299"/>
      <c r="J76" s="298"/>
      <c r="K76" s="299"/>
      <c r="L76" s="298"/>
      <c r="M76" s="299"/>
      <c r="N76" s="298"/>
      <c r="O76" s="299"/>
      <c r="P76" s="298"/>
      <c r="Q76" s="299"/>
      <c r="R76" s="298"/>
      <c r="S76" s="299"/>
      <c r="T76" s="298"/>
      <c r="U76" s="309"/>
      <c r="V76" s="298"/>
      <c r="W76" s="299"/>
      <c r="X76" s="298"/>
      <c r="Y76" s="299"/>
      <c r="Z76" s="298"/>
      <c r="AA76" s="312"/>
      <c r="AB76" s="298"/>
      <c r="AC76" s="299"/>
      <c r="AD76" s="298"/>
      <c r="AE76" s="299"/>
      <c r="AF76" s="298"/>
      <c r="AG76" s="299"/>
      <c r="AH76" s="298"/>
    </row>
    <row r="77">
      <c r="A77" s="298"/>
      <c r="B77" s="299"/>
      <c r="C77" s="298"/>
      <c r="D77" s="303" t="s">
        <v>1626</v>
      </c>
      <c r="E77" s="298"/>
      <c r="F77" s="299"/>
      <c r="G77" s="298"/>
      <c r="H77" s="299"/>
      <c r="I77" s="299"/>
      <c r="J77" s="298"/>
      <c r="K77" s="299"/>
      <c r="L77" s="298"/>
      <c r="M77" s="299"/>
      <c r="N77" s="298"/>
      <c r="O77" s="299"/>
      <c r="P77" s="298"/>
      <c r="Q77" s="299"/>
      <c r="R77" s="298"/>
      <c r="S77" s="299"/>
      <c r="T77" s="298"/>
      <c r="U77" s="309"/>
      <c r="V77" s="298"/>
      <c r="W77" s="299"/>
      <c r="X77" s="298"/>
      <c r="Y77" s="299"/>
      <c r="Z77" s="298"/>
      <c r="AA77" s="312"/>
      <c r="AB77" s="298"/>
      <c r="AC77" s="299"/>
      <c r="AD77" s="298"/>
      <c r="AE77" s="299"/>
      <c r="AF77" s="298"/>
      <c r="AG77" s="299"/>
      <c r="AH77" s="298"/>
    </row>
    <row r="78">
      <c r="A78" s="298"/>
      <c r="B78" s="299"/>
      <c r="C78" s="298"/>
      <c r="D78" s="303" t="s">
        <v>1627</v>
      </c>
      <c r="E78" s="298"/>
      <c r="F78" s="299"/>
      <c r="G78" s="298"/>
      <c r="H78" s="299"/>
      <c r="I78" s="299"/>
      <c r="J78" s="298"/>
      <c r="K78" s="299"/>
      <c r="L78" s="298"/>
      <c r="M78" s="299"/>
      <c r="N78" s="298"/>
      <c r="O78" s="299"/>
      <c r="P78" s="298"/>
      <c r="Q78" s="299"/>
      <c r="R78" s="298"/>
      <c r="S78" s="299"/>
      <c r="T78" s="298"/>
      <c r="U78" s="309"/>
      <c r="V78" s="298"/>
      <c r="W78" s="299"/>
      <c r="X78" s="298"/>
      <c r="Y78" s="299"/>
      <c r="Z78" s="298"/>
      <c r="AA78" s="312"/>
      <c r="AB78" s="298"/>
      <c r="AC78" s="299"/>
      <c r="AD78" s="298"/>
      <c r="AE78" s="299"/>
      <c r="AF78" s="298"/>
      <c r="AG78" s="299"/>
      <c r="AH78" s="298"/>
    </row>
    <row r="79">
      <c r="A79" s="298"/>
      <c r="B79" s="299"/>
      <c r="C79" s="298"/>
      <c r="D79" s="303" t="s">
        <v>1071</v>
      </c>
      <c r="E79" s="298"/>
      <c r="F79" s="299"/>
      <c r="G79" s="298"/>
      <c r="H79" s="299"/>
      <c r="I79" s="299"/>
      <c r="J79" s="298"/>
      <c r="K79" s="299"/>
      <c r="L79" s="298"/>
      <c r="M79" s="299"/>
      <c r="N79" s="298"/>
      <c r="O79" s="299"/>
      <c r="P79" s="298"/>
      <c r="Q79" s="299"/>
      <c r="R79" s="298"/>
      <c r="S79" s="299"/>
      <c r="T79" s="298"/>
      <c r="U79" s="309"/>
      <c r="V79" s="298"/>
      <c r="W79" s="299"/>
      <c r="X79" s="298"/>
      <c r="Y79" s="299"/>
      <c r="Z79" s="298"/>
      <c r="AA79" s="312"/>
      <c r="AB79" s="298"/>
      <c r="AC79" s="299"/>
      <c r="AD79" s="298"/>
      <c r="AE79" s="299"/>
      <c r="AF79" s="298"/>
      <c r="AG79" s="299"/>
      <c r="AH79" s="298"/>
    </row>
    <row r="80">
      <c r="A80" s="298"/>
      <c r="B80" s="299"/>
      <c r="C80" s="298"/>
      <c r="D80" s="303" t="s">
        <v>1628</v>
      </c>
      <c r="E80" s="298"/>
      <c r="F80" s="299"/>
      <c r="G80" s="298"/>
      <c r="H80" s="299"/>
      <c r="I80" s="299"/>
      <c r="J80" s="298"/>
      <c r="K80" s="299"/>
      <c r="L80" s="298"/>
      <c r="M80" s="299"/>
      <c r="N80" s="298"/>
      <c r="O80" s="299"/>
      <c r="P80" s="298"/>
      <c r="Q80" s="299"/>
      <c r="R80" s="298"/>
      <c r="S80" s="299"/>
      <c r="T80" s="298"/>
      <c r="U80" s="309"/>
      <c r="V80" s="298"/>
      <c r="W80" s="299"/>
      <c r="X80" s="298"/>
      <c r="Y80" s="299"/>
      <c r="Z80" s="298"/>
      <c r="AA80" s="312"/>
      <c r="AB80" s="298"/>
      <c r="AC80" s="299"/>
      <c r="AD80" s="298"/>
      <c r="AE80" s="299"/>
      <c r="AF80" s="298"/>
      <c r="AG80" s="299"/>
      <c r="AH80" s="298"/>
    </row>
    <row r="81">
      <c r="A81" s="298"/>
      <c r="B81" s="299"/>
      <c r="C81" s="298"/>
      <c r="D81" s="303" t="s">
        <v>1629</v>
      </c>
      <c r="E81" s="298"/>
      <c r="F81" s="299"/>
      <c r="G81" s="298"/>
      <c r="H81" s="299"/>
      <c r="I81" s="299"/>
      <c r="J81" s="298"/>
      <c r="K81" s="299"/>
      <c r="L81" s="298"/>
      <c r="M81" s="299"/>
      <c r="N81" s="298"/>
      <c r="O81" s="299"/>
      <c r="P81" s="298"/>
      <c r="Q81" s="299"/>
      <c r="R81" s="298"/>
      <c r="S81" s="299"/>
      <c r="T81" s="298"/>
      <c r="U81" s="309"/>
      <c r="V81" s="298"/>
      <c r="W81" s="299"/>
      <c r="X81" s="298"/>
      <c r="Y81" s="299"/>
      <c r="Z81" s="298"/>
      <c r="AA81" s="312"/>
      <c r="AB81" s="298"/>
      <c r="AC81" s="299"/>
      <c r="AD81" s="298"/>
      <c r="AE81" s="299"/>
      <c r="AF81" s="298"/>
      <c r="AG81" s="299"/>
      <c r="AH81" s="298"/>
    </row>
    <row r="82">
      <c r="A82" s="298"/>
      <c r="B82" s="299"/>
      <c r="C82" s="298"/>
      <c r="D82" s="303" t="s">
        <v>909</v>
      </c>
      <c r="E82" s="298"/>
      <c r="F82" s="299"/>
      <c r="G82" s="298"/>
      <c r="H82" s="299"/>
      <c r="I82" s="299"/>
      <c r="J82" s="298"/>
      <c r="K82" s="299"/>
      <c r="L82" s="298"/>
      <c r="M82" s="299"/>
      <c r="N82" s="298"/>
      <c r="O82" s="299"/>
      <c r="P82" s="298"/>
      <c r="Q82" s="299"/>
      <c r="R82" s="298"/>
      <c r="S82" s="299"/>
      <c r="T82" s="298"/>
      <c r="U82" s="309"/>
      <c r="V82" s="298"/>
      <c r="W82" s="299"/>
      <c r="X82" s="298"/>
      <c r="Y82" s="299"/>
      <c r="Z82" s="298"/>
      <c r="AA82" s="312"/>
      <c r="AB82" s="298"/>
      <c r="AC82" s="299"/>
      <c r="AD82" s="298"/>
      <c r="AE82" s="299"/>
      <c r="AF82" s="298"/>
      <c r="AG82" s="299"/>
      <c r="AH82" s="298"/>
    </row>
    <row r="83">
      <c r="A83" s="298"/>
      <c r="B83" s="299"/>
      <c r="C83" s="298"/>
      <c r="D83" s="303" t="s">
        <v>1630</v>
      </c>
      <c r="E83" s="298"/>
      <c r="F83" s="299"/>
      <c r="G83" s="298"/>
      <c r="H83" s="299"/>
      <c r="I83" s="299"/>
      <c r="J83" s="298"/>
      <c r="K83" s="299"/>
      <c r="L83" s="298"/>
      <c r="M83" s="299"/>
      <c r="N83" s="298"/>
      <c r="O83" s="299"/>
      <c r="P83" s="298"/>
      <c r="Q83" s="299"/>
      <c r="R83" s="298"/>
      <c r="S83" s="299"/>
      <c r="T83" s="298"/>
      <c r="U83" s="309"/>
      <c r="V83" s="298"/>
      <c r="W83" s="299"/>
      <c r="X83" s="298"/>
      <c r="Y83" s="299"/>
      <c r="Z83" s="298"/>
      <c r="AA83" s="312"/>
      <c r="AB83" s="298"/>
      <c r="AC83" s="299"/>
      <c r="AD83" s="298"/>
      <c r="AE83" s="299"/>
      <c r="AF83" s="298"/>
      <c r="AG83" s="299"/>
      <c r="AH83" s="298"/>
    </row>
    <row r="84">
      <c r="A84" s="298"/>
      <c r="B84" s="299"/>
      <c r="C84" s="298"/>
      <c r="D84" s="303" t="s">
        <v>1049</v>
      </c>
      <c r="E84" s="298"/>
      <c r="F84" s="299"/>
      <c r="G84" s="298"/>
      <c r="H84" s="299"/>
      <c r="I84" s="299"/>
      <c r="J84" s="298"/>
      <c r="K84" s="299"/>
      <c r="L84" s="298"/>
      <c r="M84" s="299"/>
      <c r="N84" s="298"/>
      <c r="O84" s="299"/>
      <c r="P84" s="298"/>
      <c r="Q84" s="299"/>
      <c r="R84" s="298"/>
      <c r="S84" s="299"/>
      <c r="T84" s="298"/>
      <c r="U84" s="309"/>
      <c r="V84" s="298"/>
      <c r="W84" s="299"/>
      <c r="X84" s="298"/>
      <c r="Y84" s="299"/>
      <c r="Z84" s="298"/>
      <c r="AA84" s="312"/>
      <c r="AB84" s="298"/>
      <c r="AC84" s="299"/>
      <c r="AD84" s="298"/>
      <c r="AE84" s="299"/>
      <c r="AF84" s="298"/>
      <c r="AG84" s="299"/>
      <c r="AH84" s="298"/>
    </row>
    <row r="85">
      <c r="A85" s="298"/>
      <c r="B85" s="299"/>
      <c r="C85" s="298"/>
      <c r="D85" s="303" t="s">
        <v>1631</v>
      </c>
      <c r="E85" s="298"/>
      <c r="F85" s="299"/>
      <c r="G85" s="298"/>
      <c r="H85" s="299"/>
      <c r="I85" s="299"/>
      <c r="J85" s="298"/>
      <c r="K85" s="299"/>
      <c r="L85" s="298"/>
      <c r="M85" s="299"/>
      <c r="N85" s="298"/>
      <c r="O85" s="299"/>
      <c r="P85" s="298"/>
      <c r="Q85" s="299"/>
      <c r="R85" s="298"/>
      <c r="S85" s="299"/>
      <c r="T85" s="298"/>
      <c r="U85" s="309"/>
      <c r="V85" s="298"/>
      <c r="W85" s="299"/>
      <c r="X85" s="298"/>
      <c r="Y85" s="299"/>
      <c r="Z85" s="298"/>
      <c r="AA85" s="312"/>
      <c r="AB85" s="298"/>
      <c r="AC85" s="299"/>
      <c r="AD85" s="298"/>
      <c r="AE85" s="299"/>
      <c r="AF85" s="298"/>
      <c r="AG85" s="299"/>
      <c r="AH85" s="298"/>
    </row>
    <row r="86">
      <c r="A86" s="298"/>
      <c r="B86" s="299"/>
      <c r="C86" s="298"/>
      <c r="D86" s="303" t="s">
        <v>898</v>
      </c>
      <c r="E86" s="298"/>
      <c r="F86" s="299"/>
      <c r="G86" s="298"/>
      <c r="H86" s="299"/>
      <c r="I86" s="299"/>
      <c r="J86" s="298"/>
      <c r="K86" s="299"/>
      <c r="L86" s="298"/>
      <c r="M86" s="299"/>
      <c r="N86" s="298"/>
      <c r="O86" s="299"/>
      <c r="P86" s="298"/>
      <c r="Q86" s="299"/>
      <c r="R86" s="298"/>
      <c r="S86" s="299"/>
      <c r="T86" s="298"/>
      <c r="U86" s="309"/>
      <c r="V86" s="298"/>
      <c r="W86" s="299"/>
      <c r="X86" s="298"/>
      <c r="Y86" s="299"/>
      <c r="Z86" s="298"/>
      <c r="AA86" s="312"/>
      <c r="AB86" s="298"/>
      <c r="AC86" s="299"/>
      <c r="AD86" s="298"/>
      <c r="AE86" s="299"/>
      <c r="AF86" s="298"/>
      <c r="AG86" s="299"/>
      <c r="AH86" s="298"/>
    </row>
    <row r="87">
      <c r="A87" s="298"/>
      <c r="B87" s="299"/>
      <c r="C87" s="298"/>
      <c r="D87" s="303" t="s">
        <v>1632</v>
      </c>
      <c r="E87" s="298"/>
      <c r="F87" s="299"/>
      <c r="G87" s="298"/>
      <c r="H87" s="299"/>
      <c r="I87" s="299"/>
      <c r="J87" s="298"/>
      <c r="K87" s="299"/>
      <c r="L87" s="298"/>
      <c r="M87" s="299"/>
      <c r="N87" s="298"/>
      <c r="O87" s="299"/>
      <c r="P87" s="298"/>
      <c r="Q87" s="299"/>
      <c r="R87" s="298"/>
      <c r="S87" s="299"/>
      <c r="T87" s="298"/>
      <c r="U87" s="309"/>
      <c r="V87" s="298"/>
      <c r="W87" s="299"/>
      <c r="X87" s="298"/>
      <c r="Y87" s="299"/>
      <c r="Z87" s="298"/>
      <c r="AA87" s="312"/>
      <c r="AB87" s="298"/>
      <c r="AC87" s="299"/>
      <c r="AD87" s="298"/>
      <c r="AE87" s="299"/>
      <c r="AF87" s="298"/>
      <c r="AG87" s="299"/>
      <c r="AH87" s="298"/>
    </row>
    <row r="88">
      <c r="A88" s="298"/>
      <c r="B88" s="299"/>
      <c r="C88" s="298"/>
      <c r="D88" s="303" t="s">
        <v>902</v>
      </c>
      <c r="E88" s="298"/>
      <c r="F88" s="299"/>
      <c r="G88" s="298"/>
      <c r="H88" s="299"/>
      <c r="I88" s="299"/>
      <c r="J88" s="298"/>
      <c r="K88" s="299"/>
      <c r="L88" s="298"/>
      <c r="M88" s="299"/>
      <c r="N88" s="298"/>
      <c r="O88" s="299"/>
      <c r="P88" s="298"/>
      <c r="Q88" s="299"/>
      <c r="R88" s="298"/>
      <c r="S88" s="299"/>
      <c r="T88" s="298"/>
      <c r="U88" s="309"/>
      <c r="V88" s="298"/>
      <c r="W88" s="299"/>
      <c r="X88" s="298"/>
      <c r="Y88" s="299"/>
      <c r="Z88" s="298"/>
      <c r="AA88" s="312"/>
      <c r="AB88" s="298"/>
      <c r="AC88" s="299"/>
      <c r="AD88" s="298"/>
      <c r="AE88" s="299"/>
      <c r="AF88" s="298"/>
      <c r="AG88" s="299"/>
      <c r="AH88" s="298"/>
    </row>
    <row r="89">
      <c r="A89" s="298"/>
      <c r="B89" s="299"/>
      <c r="C89" s="298"/>
      <c r="D89" s="303" t="s">
        <v>1633</v>
      </c>
      <c r="E89" s="298"/>
      <c r="F89" s="299"/>
      <c r="G89" s="298"/>
      <c r="H89" s="299"/>
      <c r="I89" s="299"/>
      <c r="J89" s="298"/>
      <c r="K89" s="299"/>
      <c r="L89" s="298"/>
      <c r="M89" s="299"/>
      <c r="N89" s="298"/>
      <c r="O89" s="299"/>
      <c r="P89" s="298"/>
      <c r="Q89" s="299"/>
      <c r="R89" s="298"/>
      <c r="S89" s="299"/>
      <c r="T89" s="298"/>
      <c r="U89" s="309"/>
      <c r="V89" s="298"/>
      <c r="W89" s="299"/>
      <c r="X89" s="298"/>
      <c r="Y89" s="299"/>
      <c r="Z89" s="298"/>
      <c r="AA89" s="312"/>
      <c r="AB89" s="298"/>
      <c r="AC89" s="299"/>
      <c r="AD89" s="298"/>
      <c r="AE89" s="299"/>
      <c r="AF89" s="298"/>
      <c r="AG89" s="299"/>
      <c r="AH89" s="298"/>
    </row>
    <row r="90">
      <c r="A90" s="298"/>
      <c r="B90" s="299"/>
      <c r="C90" s="298"/>
      <c r="D90" s="303" t="s">
        <v>1634</v>
      </c>
      <c r="E90" s="298"/>
      <c r="F90" s="299"/>
      <c r="G90" s="298"/>
      <c r="H90" s="299"/>
      <c r="I90" s="299"/>
      <c r="J90" s="298"/>
      <c r="K90" s="299"/>
      <c r="L90" s="298"/>
      <c r="M90" s="299"/>
      <c r="N90" s="298"/>
      <c r="O90" s="299"/>
      <c r="P90" s="298"/>
      <c r="Q90" s="299"/>
      <c r="R90" s="298"/>
      <c r="S90" s="299"/>
      <c r="T90" s="298"/>
      <c r="U90" s="309"/>
      <c r="V90" s="298"/>
      <c r="W90" s="299"/>
      <c r="X90" s="298"/>
      <c r="Y90" s="299"/>
      <c r="Z90" s="298"/>
      <c r="AA90" s="312"/>
      <c r="AB90" s="298"/>
      <c r="AC90" s="299"/>
      <c r="AD90" s="298"/>
      <c r="AE90" s="299"/>
      <c r="AF90" s="298"/>
      <c r="AG90" s="299"/>
      <c r="AH90" s="298"/>
    </row>
    <row r="91">
      <c r="A91" s="298"/>
      <c r="B91" s="299"/>
      <c r="C91" s="298"/>
      <c r="D91" s="303" t="s">
        <v>1635</v>
      </c>
      <c r="E91" s="298"/>
      <c r="F91" s="299"/>
      <c r="G91" s="298"/>
      <c r="H91" s="299"/>
      <c r="I91" s="299"/>
      <c r="J91" s="298"/>
      <c r="K91" s="299"/>
      <c r="L91" s="298"/>
      <c r="M91" s="299"/>
      <c r="N91" s="298"/>
      <c r="O91" s="299"/>
      <c r="P91" s="298"/>
      <c r="Q91" s="299"/>
      <c r="R91" s="298"/>
      <c r="S91" s="299"/>
      <c r="T91" s="298"/>
      <c r="U91" s="309"/>
      <c r="V91" s="298"/>
      <c r="W91" s="299"/>
      <c r="X91" s="298"/>
      <c r="Y91" s="299"/>
      <c r="Z91" s="298"/>
      <c r="AA91" s="312"/>
      <c r="AB91" s="298"/>
      <c r="AC91" s="299"/>
      <c r="AD91" s="298"/>
      <c r="AE91" s="299"/>
      <c r="AF91" s="298"/>
      <c r="AG91" s="299"/>
      <c r="AH91" s="298"/>
    </row>
    <row r="92">
      <c r="A92" s="298"/>
      <c r="B92" s="299"/>
      <c r="C92" s="298"/>
      <c r="D92" s="303" t="s">
        <v>1636</v>
      </c>
      <c r="E92" s="298"/>
      <c r="F92" s="299"/>
      <c r="G92" s="298"/>
      <c r="H92" s="299"/>
      <c r="I92" s="299"/>
      <c r="J92" s="298"/>
      <c r="K92" s="299"/>
      <c r="L92" s="298"/>
      <c r="M92" s="299"/>
      <c r="N92" s="298"/>
      <c r="O92" s="299"/>
      <c r="P92" s="298"/>
      <c r="Q92" s="299"/>
      <c r="R92" s="298"/>
      <c r="S92" s="299"/>
      <c r="T92" s="298"/>
      <c r="U92" s="309"/>
      <c r="V92" s="298"/>
      <c r="W92" s="299"/>
      <c r="X92" s="298"/>
      <c r="Y92" s="299"/>
      <c r="Z92" s="298"/>
      <c r="AA92" s="312"/>
      <c r="AB92" s="298"/>
      <c r="AC92" s="299"/>
      <c r="AD92" s="298"/>
      <c r="AE92" s="299"/>
      <c r="AF92" s="298"/>
      <c r="AG92" s="299"/>
      <c r="AH92" s="298"/>
    </row>
    <row r="93">
      <c r="A93" s="298"/>
      <c r="B93" s="299"/>
      <c r="C93" s="298"/>
      <c r="D93" s="303" t="s">
        <v>874</v>
      </c>
      <c r="E93" s="298"/>
      <c r="F93" s="299"/>
      <c r="G93" s="298"/>
      <c r="H93" s="299"/>
      <c r="I93" s="299"/>
      <c r="J93" s="298"/>
      <c r="K93" s="299"/>
      <c r="L93" s="298"/>
      <c r="M93" s="299"/>
      <c r="N93" s="298"/>
      <c r="O93" s="299"/>
      <c r="P93" s="298"/>
      <c r="Q93" s="299"/>
      <c r="R93" s="298"/>
      <c r="S93" s="299"/>
      <c r="T93" s="298"/>
      <c r="U93" s="309"/>
      <c r="V93" s="298"/>
      <c r="W93" s="299"/>
      <c r="X93" s="298"/>
      <c r="Y93" s="299"/>
      <c r="Z93" s="298"/>
      <c r="AA93" s="312"/>
      <c r="AB93" s="298"/>
      <c r="AC93" s="299"/>
      <c r="AD93" s="298"/>
      <c r="AE93" s="299"/>
      <c r="AF93" s="298"/>
      <c r="AG93" s="299"/>
      <c r="AH93" s="298"/>
    </row>
    <row r="94">
      <c r="A94" s="298"/>
      <c r="B94" s="299"/>
      <c r="C94" s="298"/>
      <c r="D94" s="303" t="s">
        <v>1637</v>
      </c>
      <c r="E94" s="298"/>
      <c r="F94" s="299"/>
      <c r="G94" s="298"/>
      <c r="H94" s="299"/>
      <c r="I94" s="299"/>
      <c r="J94" s="298"/>
      <c r="K94" s="299"/>
      <c r="L94" s="298"/>
      <c r="M94" s="299"/>
      <c r="N94" s="298"/>
      <c r="O94" s="299"/>
      <c r="P94" s="298"/>
      <c r="Q94" s="299"/>
      <c r="R94" s="298"/>
      <c r="S94" s="299"/>
      <c r="T94" s="298"/>
      <c r="U94" s="309"/>
      <c r="V94" s="298"/>
      <c r="W94" s="299"/>
      <c r="X94" s="298"/>
      <c r="Y94" s="299"/>
      <c r="Z94" s="298"/>
      <c r="AA94" s="312"/>
      <c r="AB94" s="298"/>
      <c r="AC94" s="299"/>
      <c r="AD94" s="298"/>
      <c r="AE94" s="299"/>
      <c r="AF94" s="298"/>
      <c r="AG94" s="299"/>
      <c r="AH94" s="298"/>
    </row>
    <row r="95">
      <c r="A95" s="298"/>
      <c r="B95" s="299"/>
      <c r="C95" s="298"/>
      <c r="D95" s="303" t="s">
        <v>945</v>
      </c>
      <c r="E95" s="298"/>
      <c r="F95" s="299"/>
      <c r="G95" s="298"/>
      <c r="H95" s="299"/>
      <c r="I95" s="299"/>
      <c r="J95" s="298"/>
      <c r="K95" s="299"/>
      <c r="L95" s="298"/>
      <c r="M95" s="299"/>
      <c r="N95" s="298"/>
      <c r="O95" s="299"/>
      <c r="P95" s="298"/>
      <c r="Q95" s="299"/>
      <c r="R95" s="298"/>
      <c r="S95" s="299"/>
      <c r="T95" s="298"/>
      <c r="U95" s="309"/>
      <c r="V95" s="298"/>
      <c r="W95" s="299"/>
      <c r="X95" s="298"/>
      <c r="Y95" s="299"/>
      <c r="Z95" s="298"/>
      <c r="AA95" s="312"/>
      <c r="AB95" s="298"/>
      <c r="AC95" s="299"/>
      <c r="AD95" s="298"/>
      <c r="AE95" s="299"/>
      <c r="AF95" s="298"/>
      <c r="AG95" s="299"/>
      <c r="AH95" s="298"/>
    </row>
    <row r="96">
      <c r="A96" s="298"/>
      <c r="B96" s="299"/>
      <c r="C96" s="298"/>
      <c r="D96" s="303" t="s">
        <v>1638</v>
      </c>
      <c r="E96" s="298"/>
      <c r="F96" s="299"/>
      <c r="G96" s="298"/>
      <c r="H96" s="299"/>
      <c r="I96" s="299"/>
      <c r="J96" s="298"/>
      <c r="K96" s="299"/>
      <c r="L96" s="298"/>
      <c r="M96" s="299"/>
      <c r="N96" s="298"/>
      <c r="O96" s="299"/>
      <c r="P96" s="298"/>
      <c r="Q96" s="299"/>
      <c r="R96" s="298"/>
      <c r="S96" s="299"/>
      <c r="T96" s="298"/>
      <c r="U96" s="309"/>
      <c r="V96" s="298"/>
      <c r="W96" s="299"/>
      <c r="X96" s="298"/>
      <c r="Y96" s="299"/>
      <c r="Z96" s="298"/>
      <c r="AA96" s="312"/>
      <c r="AB96" s="298"/>
      <c r="AC96" s="299"/>
      <c r="AD96" s="298"/>
      <c r="AE96" s="299"/>
      <c r="AF96" s="298"/>
      <c r="AG96" s="299"/>
      <c r="AH96" s="298"/>
    </row>
    <row r="97">
      <c r="A97" s="298"/>
      <c r="B97" s="299"/>
      <c r="C97" s="298"/>
      <c r="D97" s="303" t="s">
        <v>825</v>
      </c>
      <c r="E97" s="298"/>
      <c r="F97" s="299"/>
      <c r="G97" s="298"/>
      <c r="H97" s="299"/>
      <c r="I97" s="299"/>
      <c r="J97" s="298"/>
      <c r="K97" s="299"/>
      <c r="L97" s="298"/>
      <c r="M97" s="299"/>
      <c r="N97" s="298"/>
      <c r="O97" s="299"/>
      <c r="P97" s="298"/>
      <c r="Q97" s="299"/>
      <c r="R97" s="298"/>
      <c r="S97" s="299"/>
      <c r="T97" s="298"/>
      <c r="U97" s="309"/>
      <c r="V97" s="298"/>
      <c r="W97" s="299"/>
      <c r="X97" s="298"/>
      <c r="Y97" s="299"/>
      <c r="Z97" s="298"/>
      <c r="AA97" s="312"/>
      <c r="AB97" s="298"/>
      <c r="AC97" s="299"/>
      <c r="AD97" s="298"/>
      <c r="AE97" s="299"/>
      <c r="AF97" s="298"/>
      <c r="AG97" s="299"/>
      <c r="AH97" s="298"/>
    </row>
    <row r="98">
      <c r="A98" s="298"/>
      <c r="B98" s="299"/>
      <c r="C98" s="298"/>
      <c r="D98" s="303" t="s">
        <v>1639</v>
      </c>
      <c r="E98" s="298"/>
      <c r="F98" s="299"/>
      <c r="G98" s="298"/>
      <c r="H98" s="299"/>
      <c r="I98" s="299"/>
      <c r="J98" s="298"/>
      <c r="K98" s="299"/>
      <c r="L98" s="298"/>
      <c r="M98" s="299"/>
      <c r="N98" s="298"/>
      <c r="O98" s="299"/>
      <c r="P98" s="298"/>
      <c r="Q98" s="299"/>
      <c r="R98" s="298"/>
      <c r="S98" s="299"/>
      <c r="T98" s="298"/>
      <c r="U98" s="309"/>
      <c r="V98" s="298"/>
      <c r="W98" s="299"/>
      <c r="X98" s="298"/>
      <c r="Y98" s="299"/>
      <c r="Z98" s="298"/>
      <c r="AA98" s="312"/>
      <c r="AB98" s="298"/>
      <c r="AC98" s="299"/>
      <c r="AD98" s="298"/>
      <c r="AE98" s="299"/>
      <c r="AF98" s="298"/>
      <c r="AG98" s="299"/>
      <c r="AH98" s="298"/>
    </row>
    <row r="99">
      <c r="A99" s="298"/>
      <c r="B99" s="299"/>
      <c r="C99" s="298"/>
      <c r="D99" s="303" t="s">
        <v>1640</v>
      </c>
      <c r="E99" s="298"/>
      <c r="F99" s="299"/>
      <c r="G99" s="298"/>
      <c r="H99" s="299"/>
      <c r="I99" s="299"/>
      <c r="J99" s="298"/>
      <c r="K99" s="299"/>
      <c r="L99" s="298"/>
      <c r="M99" s="299"/>
      <c r="N99" s="298"/>
      <c r="O99" s="299"/>
      <c r="P99" s="298"/>
      <c r="Q99" s="299"/>
      <c r="R99" s="298"/>
      <c r="S99" s="299"/>
      <c r="T99" s="298"/>
      <c r="U99" s="309"/>
      <c r="V99" s="298"/>
      <c r="W99" s="299"/>
      <c r="X99" s="298"/>
      <c r="Y99" s="299"/>
      <c r="Z99" s="298"/>
      <c r="AA99" s="312"/>
      <c r="AB99" s="298"/>
      <c r="AC99" s="299"/>
      <c r="AD99" s="298"/>
      <c r="AE99" s="299"/>
      <c r="AF99" s="298"/>
      <c r="AG99" s="299"/>
      <c r="AH99" s="298"/>
    </row>
    <row r="100">
      <c r="A100" s="298"/>
      <c r="B100" s="299"/>
      <c r="C100" s="298"/>
      <c r="D100" s="303" t="s">
        <v>1641</v>
      </c>
      <c r="E100" s="298"/>
      <c r="F100" s="299"/>
      <c r="G100" s="298"/>
      <c r="H100" s="299"/>
      <c r="I100" s="299"/>
      <c r="J100" s="298"/>
      <c r="K100" s="299"/>
      <c r="L100" s="298"/>
      <c r="M100" s="299"/>
      <c r="N100" s="298"/>
      <c r="O100" s="299"/>
      <c r="P100" s="298"/>
      <c r="Q100" s="299"/>
      <c r="R100" s="298"/>
      <c r="S100" s="299"/>
      <c r="T100" s="298"/>
      <c r="U100" s="309"/>
      <c r="V100" s="298"/>
      <c r="W100" s="299"/>
      <c r="X100" s="298"/>
      <c r="Y100" s="299"/>
      <c r="Z100" s="298"/>
      <c r="AA100" s="312"/>
      <c r="AB100" s="298"/>
      <c r="AC100" s="299"/>
      <c r="AD100" s="298"/>
      <c r="AE100" s="299"/>
      <c r="AF100" s="298"/>
      <c r="AG100" s="299"/>
      <c r="AH100" s="298"/>
    </row>
    <row r="101">
      <c r="A101" s="298"/>
      <c r="B101" s="299"/>
      <c r="C101" s="298"/>
      <c r="D101" s="303" t="s">
        <v>854</v>
      </c>
      <c r="E101" s="298"/>
      <c r="F101" s="299"/>
      <c r="G101" s="298"/>
      <c r="H101" s="299"/>
      <c r="I101" s="299"/>
      <c r="J101" s="298"/>
      <c r="K101" s="299"/>
      <c r="L101" s="298"/>
      <c r="M101" s="299"/>
      <c r="N101" s="298"/>
      <c r="O101" s="299"/>
      <c r="P101" s="298"/>
      <c r="Q101" s="299"/>
      <c r="R101" s="298"/>
      <c r="S101" s="299"/>
      <c r="T101" s="298"/>
      <c r="U101" s="309"/>
      <c r="V101" s="298"/>
      <c r="W101" s="299"/>
      <c r="X101" s="298"/>
      <c r="Y101" s="299"/>
      <c r="Z101" s="298"/>
      <c r="AA101" s="312"/>
      <c r="AB101" s="298"/>
      <c r="AC101" s="299"/>
      <c r="AD101" s="298"/>
      <c r="AE101" s="299"/>
      <c r="AF101" s="298"/>
      <c r="AG101" s="299"/>
      <c r="AH101" s="298"/>
    </row>
    <row r="102">
      <c r="A102" s="298"/>
      <c r="B102" s="299"/>
      <c r="C102" s="298"/>
      <c r="D102" s="303" t="s">
        <v>865</v>
      </c>
      <c r="E102" s="298"/>
      <c r="F102" s="299"/>
      <c r="G102" s="298"/>
      <c r="H102" s="299"/>
      <c r="I102" s="299"/>
      <c r="J102" s="298"/>
      <c r="K102" s="299"/>
      <c r="L102" s="298"/>
      <c r="M102" s="299"/>
      <c r="N102" s="298"/>
      <c r="O102" s="299"/>
      <c r="P102" s="298"/>
      <c r="Q102" s="299"/>
      <c r="R102" s="298"/>
      <c r="S102" s="299"/>
      <c r="T102" s="298"/>
      <c r="U102" s="309"/>
      <c r="V102" s="298"/>
      <c r="W102" s="299"/>
      <c r="X102" s="298"/>
      <c r="Y102" s="299"/>
      <c r="Z102" s="298"/>
      <c r="AA102" s="312"/>
      <c r="AB102" s="298"/>
      <c r="AC102" s="299"/>
      <c r="AD102" s="298"/>
      <c r="AE102" s="299"/>
      <c r="AF102" s="298"/>
      <c r="AG102" s="299"/>
      <c r="AH102" s="298"/>
    </row>
    <row r="103">
      <c r="A103" s="298"/>
      <c r="B103" s="299"/>
      <c r="C103" s="298"/>
      <c r="D103" s="303" t="s">
        <v>911</v>
      </c>
      <c r="E103" s="298"/>
      <c r="F103" s="299"/>
      <c r="G103" s="298"/>
      <c r="H103" s="299"/>
      <c r="I103" s="299"/>
      <c r="J103" s="298"/>
      <c r="K103" s="299"/>
      <c r="L103" s="298"/>
      <c r="M103" s="299"/>
      <c r="N103" s="298"/>
      <c r="O103" s="299"/>
      <c r="P103" s="298"/>
      <c r="Q103" s="299"/>
      <c r="R103" s="298"/>
      <c r="S103" s="299"/>
      <c r="T103" s="298"/>
      <c r="U103" s="309"/>
      <c r="V103" s="298"/>
      <c r="W103" s="299"/>
      <c r="X103" s="298"/>
      <c r="Y103" s="299"/>
      <c r="Z103" s="298"/>
      <c r="AA103" s="312"/>
      <c r="AB103" s="298"/>
      <c r="AC103" s="299"/>
      <c r="AD103" s="298"/>
      <c r="AE103" s="299"/>
      <c r="AF103" s="298"/>
      <c r="AG103" s="299"/>
      <c r="AH103" s="298"/>
    </row>
    <row r="104">
      <c r="A104" s="298"/>
      <c r="B104" s="299"/>
      <c r="C104" s="298"/>
      <c r="D104" s="303" t="s">
        <v>1642</v>
      </c>
      <c r="E104" s="298"/>
      <c r="F104" s="299"/>
      <c r="G104" s="298"/>
      <c r="H104" s="299"/>
      <c r="I104" s="299"/>
      <c r="J104" s="298"/>
      <c r="K104" s="299"/>
      <c r="L104" s="298"/>
      <c r="M104" s="299"/>
      <c r="N104" s="298"/>
      <c r="O104" s="299"/>
      <c r="P104" s="298"/>
      <c r="Q104" s="299"/>
      <c r="R104" s="298"/>
      <c r="S104" s="299"/>
      <c r="T104" s="298"/>
      <c r="U104" s="309"/>
      <c r="V104" s="298"/>
      <c r="W104" s="299"/>
      <c r="X104" s="298"/>
      <c r="Y104" s="299"/>
      <c r="Z104" s="298"/>
      <c r="AA104" s="312"/>
      <c r="AB104" s="298"/>
      <c r="AC104" s="299"/>
      <c r="AD104" s="298"/>
      <c r="AE104" s="299"/>
      <c r="AF104" s="298"/>
      <c r="AG104" s="299"/>
      <c r="AH104" s="298"/>
    </row>
    <row r="105">
      <c r="A105" s="298"/>
      <c r="B105" s="299"/>
      <c r="C105" s="298"/>
      <c r="D105" s="303" t="s">
        <v>828</v>
      </c>
      <c r="E105" s="298"/>
      <c r="F105" s="299"/>
      <c r="G105" s="298"/>
      <c r="H105" s="299"/>
      <c r="I105" s="299"/>
      <c r="J105" s="298"/>
      <c r="K105" s="299"/>
      <c r="L105" s="298"/>
      <c r="M105" s="299"/>
      <c r="N105" s="298"/>
      <c r="O105" s="299"/>
      <c r="P105" s="298"/>
      <c r="Q105" s="299"/>
      <c r="R105" s="298"/>
      <c r="S105" s="299"/>
      <c r="T105" s="298"/>
      <c r="U105" s="309"/>
      <c r="V105" s="298"/>
      <c r="W105" s="299"/>
      <c r="X105" s="298"/>
      <c r="Y105" s="299"/>
      <c r="Z105" s="298"/>
      <c r="AA105" s="312"/>
      <c r="AB105" s="298"/>
      <c r="AC105" s="299"/>
      <c r="AD105" s="298"/>
      <c r="AE105" s="299"/>
      <c r="AF105" s="298"/>
      <c r="AG105" s="299"/>
      <c r="AH105" s="298"/>
    </row>
    <row r="106">
      <c r="A106" s="298"/>
      <c r="B106" s="299"/>
      <c r="C106" s="298"/>
      <c r="D106" s="303" t="s">
        <v>1004</v>
      </c>
      <c r="E106" s="298"/>
      <c r="F106" s="299"/>
      <c r="G106" s="298"/>
      <c r="H106" s="299"/>
      <c r="I106" s="299"/>
      <c r="J106" s="298"/>
      <c r="K106" s="299"/>
      <c r="L106" s="298"/>
      <c r="M106" s="299"/>
      <c r="N106" s="298"/>
      <c r="O106" s="299"/>
      <c r="P106" s="298"/>
      <c r="Q106" s="299"/>
      <c r="R106" s="298"/>
      <c r="S106" s="299"/>
      <c r="T106" s="298"/>
      <c r="U106" s="309"/>
      <c r="V106" s="298"/>
      <c r="W106" s="299"/>
      <c r="X106" s="298"/>
      <c r="Y106" s="299"/>
      <c r="Z106" s="298"/>
      <c r="AA106" s="312"/>
      <c r="AB106" s="298"/>
      <c r="AC106" s="299"/>
      <c r="AD106" s="298"/>
      <c r="AE106" s="299"/>
      <c r="AF106" s="298"/>
      <c r="AG106" s="299"/>
      <c r="AH106" s="298"/>
    </row>
    <row r="107">
      <c r="A107" s="298"/>
      <c r="B107" s="299"/>
      <c r="C107" s="298"/>
      <c r="D107" s="303" t="s">
        <v>1643</v>
      </c>
      <c r="E107" s="298"/>
      <c r="F107" s="299"/>
      <c r="G107" s="298"/>
      <c r="H107" s="299"/>
      <c r="I107" s="299"/>
      <c r="J107" s="298"/>
      <c r="K107" s="299"/>
      <c r="L107" s="298"/>
      <c r="M107" s="299"/>
      <c r="N107" s="298"/>
      <c r="O107" s="299"/>
      <c r="P107" s="298"/>
      <c r="Q107" s="299"/>
      <c r="R107" s="298"/>
      <c r="S107" s="299"/>
      <c r="T107" s="298"/>
      <c r="U107" s="309"/>
      <c r="V107" s="298"/>
      <c r="W107" s="299"/>
      <c r="X107" s="298"/>
      <c r="Y107" s="299"/>
      <c r="Z107" s="298"/>
      <c r="AA107" s="312"/>
      <c r="AB107" s="298"/>
      <c r="AC107" s="299"/>
      <c r="AD107" s="298"/>
      <c r="AE107" s="299"/>
      <c r="AF107" s="298"/>
      <c r="AG107" s="299"/>
      <c r="AH107" s="298"/>
    </row>
    <row r="108">
      <c r="A108" s="298"/>
      <c r="B108" s="299"/>
      <c r="C108" s="298"/>
      <c r="D108" s="303" t="s">
        <v>1644</v>
      </c>
      <c r="E108" s="298"/>
      <c r="F108" s="299"/>
      <c r="G108" s="298"/>
      <c r="H108" s="299"/>
      <c r="I108" s="299"/>
      <c r="J108" s="298"/>
      <c r="K108" s="299"/>
      <c r="L108" s="298"/>
      <c r="M108" s="299"/>
      <c r="N108" s="298"/>
      <c r="O108" s="299"/>
      <c r="P108" s="298"/>
      <c r="Q108" s="299"/>
      <c r="R108" s="298"/>
      <c r="S108" s="299"/>
      <c r="T108" s="298"/>
      <c r="U108" s="309"/>
      <c r="V108" s="298"/>
      <c r="W108" s="299"/>
      <c r="X108" s="298"/>
      <c r="Y108" s="299"/>
      <c r="Z108" s="298"/>
      <c r="AA108" s="312"/>
      <c r="AB108" s="298"/>
      <c r="AC108" s="299"/>
      <c r="AD108" s="298"/>
      <c r="AE108" s="299"/>
      <c r="AF108" s="298"/>
      <c r="AG108" s="299"/>
      <c r="AH108" s="298"/>
    </row>
    <row r="109">
      <c r="A109" s="298"/>
      <c r="B109" s="299"/>
      <c r="C109" s="298"/>
      <c r="D109" s="303" t="s">
        <v>861</v>
      </c>
      <c r="E109" s="298"/>
      <c r="F109" s="299"/>
      <c r="G109" s="298"/>
      <c r="H109" s="299"/>
      <c r="I109" s="299"/>
      <c r="J109" s="298"/>
      <c r="K109" s="299"/>
      <c r="L109" s="298"/>
      <c r="M109" s="299"/>
      <c r="N109" s="298"/>
      <c r="O109" s="299"/>
      <c r="P109" s="298"/>
      <c r="Q109" s="299"/>
      <c r="R109" s="298"/>
      <c r="S109" s="299"/>
      <c r="T109" s="298"/>
      <c r="U109" s="309"/>
      <c r="V109" s="298"/>
      <c r="W109" s="299"/>
      <c r="X109" s="298"/>
      <c r="Y109" s="299"/>
      <c r="Z109" s="298"/>
      <c r="AA109" s="312"/>
      <c r="AB109" s="298"/>
      <c r="AC109" s="299"/>
      <c r="AD109" s="298"/>
      <c r="AE109" s="299"/>
      <c r="AF109" s="298"/>
      <c r="AG109" s="299"/>
      <c r="AH109" s="298"/>
    </row>
    <row r="110">
      <c r="A110" s="298"/>
      <c r="B110" s="299"/>
      <c r="C110" s="298"/>
      <c r="D110" s="303" t="s">
        <v>1045</v>
      </c>
      <c r="E110" s="298"/>
      <c r="F110" s="299"/>
      <c r="G110" s="298"/>
      <c r="H110" s="299"/>
      <c r="I110" s="299"/>
      <c r="J110" s="298"/>
      <c r="K110" s="299"/>
      <c r="L110" s="298"/>
      <c r="M110" s="299"/>
      <c r="N110" s="298"/>
      <c r="O110" s="299"/>
      <c r="P110" s="298"/>
      <c r="Q110" s="299"/>
      <c r="R110" s="298"/>
      <c r="S110" s="299"/>
      <c r="T110" s="298"/>
      <c r="U110" s="309"/>
      <c r="V110" s="298"/>
      <c r="W110" s="299"/>
      <c r="X110" s="298"/>
      <c r="Y110" s="299"/>
      <c r="Z110" s="298"/>
      <c r="AA110" s="312"/>
      <c r="AB110" s="298"/>
      <c r="AC110" s="299"/>
      <c r="AD110" s="298"/>
      <c r="AE110" s="299"/>
      <c r="AF110" s="298"/>
      <c r="AG110" s="299"/>
      <c r="AH110" s="298"/>
    </row>
    <row r="111">
      <c r="A111" s="298"/>
      <c r="B111" s="299"/>
      <c r="C111" s="298"/>
      <c r="D111" s="303" t="s">
        <v>1029</v>
      </c>
      <c r="E111" s="298"/>
      <c r="F111" s="299"/>
      <c r="G111" s="298"/>
      <c r="H111" s="299"/>
      <c r="I111" s="299"/>
      <c r="J111" s="298"/>
      <c r="K111" s="299"/>
      <c r="L111" s="298"/>
      <c r="M111" s="299"/>
      <c r="N111" s="298"/>
      <c r="O111" s="299"/>
      <c r="P111" s="298"/>
      <c r="Q111" s="299"/>
      <c r="R111" s="298"/>
      <c r="S111" s="299"/>
      <c r="T111" s="298"/>
      <c r="U111" s="309"/>
      <c r="V111" s="298"/>
      <c r="W111" s="299"/>
      <c r="X111" s="298"/>
      <c r="Y111" s="299"/>
      <c r="Z111" s="298"/>
      <c r="AA111" s="312"/>
      <c r="AB111" s="298"/>
      <c r="AC111" s="299"/>
      <c r="AD111" s="298"/>
      <c r="AE111" s="299"/>
      <c r="AF111" s="298"/>
      <c r="AG111" s="299"/>
      <c r="AH111" s="298"/>
    </row>
    <row r="112">
      <c r="A112" s="298"/>
      <c r="B112" s="299"/>
      <c r="C112" s="298"/>
      <c r="D112" s="303" t="s">
        <v>1645</v>
      </c>
      <c r="E112" s="298"/>
      <c r="F112" s="299"/>
      <c r="G112" s="298"/>
      <c r="H112" s="299"/>
      <c r="I112" s="299"/>
      <c r="J112" s="298"/>
      <c r="K112" s="299"/>
      <c r="L112" s="298"/>
      <c r="M112" s="299"/>
      <c r="N112" s="298"/>
      <c r="O112" s="299"/>
      <c r="P112" s="298"/>
      <c r="Q112" s="299"/>
      <c r="R112" s="298"/>
      <c r="S112" s="299"/>
      <c r="T112" s="298"/>
      <c r="U112" s="309"/>
      <c r="V112" s="298"/>
      <c r="W112" s="299"/>
      <c r="X112" s="298"/>
      <c r="Y112" s="299"/>
      <c r="Z112" s="298"/>
      <c r="AA112" s="312"/>
      <c r="AB112" s="298"/>
      <c r="AC112" s="299"/>
      <c r="AD112" s="298"/>
      <c r="AE112" s="299"/>
      <c r="AF112" s="298"/>
      <c r="AG112" s="299"/>
      <c r="AH112" s="298"/>
    </row>
    <row r="113">
      <c r="A113" s="298"/>
      <c r="B113" s="299"/>
      <c r="C113" s="298"/>
      <c r="D113" s="303" t="s">
        <v>876</v>
      </c>
      <c r="E113" s="298"/>
      <c r="F113" s="299"/>
      <c r="G113" s="298"/>
      <c r="H113" s="299"/>
      <c r="I113" s="299"/>
      <c r="J113" s="298"/>
      <c r="K113" s="299"/>
      <c r="L113" s="298"/>
      <c r="M113" s="299"/>
      <c r="N113" s="298"/>
      <c r="O113" s="299"/>
      <c r="P113" s="298"/>
      <c r="Q113" s="299"/>
      <c r="R113" s="298"/>
      <c r="S113" s="299"/>
      <c r="T113" s="298"/>
      <c r="U113" s="309"/>
      <c r="V113" s="298"/>
      <c r="W113" s="299"/>
      <c r="X113" s="298"/>
      <c r="Y113" s="299"/>
      <c r="Z113" s="298"/>
      <c r="AA113" s="312"/>
      <c r="AB113" s="298"/>
      <c r="AC113" s="299"/>
      <c r="AD113" s="298"/>
      <c r="AE113" s="299"/>
      <c r="AF113" s="298"/>
      <c r="AG113" s="299"/>
      <c r="AH113" s="298"/>
    </row>
    <row r="114">
      <c r="A114" s="298"/>
      <c r="B114" s="299"/>
      <c r="C114" s="298"/>
      <c r="D114" s="303" t="s">
        <v>1646</v>
      </c>
      <c r="E114" s="298"/>
      <c r="F114" s="299"/>
      <c r="G114" s="298"/>
      <c r="H114" s="299"/>
      <c r="I114" s="299"/>
      <c r="J114" s="298"/>
      <c r="K114" s="299"/>
      <c r="L114" s="298"/>
      <c r="M114" s="299"/>
      <c r="N114" s="298"/>
      <c r="O114" s="299"/>
      <c r="P114" s="298"/>
      <c r="Q114" s="299"/>
      <c r="R114" s="298"/>
      <c r="S114" s="299"/>
      <c r="T114" s="298"/>
      <c r="U114" s="309"/>
      <c r="V114" s="298"/>
      <c r="W114" s="299"/>
      <c r="X114" s="298"/>
      <c r="Y114" s="299"/>
      <c r="Z114" s="298"/>
      <c r="AA114" s="312"/>
      <c r="AB114" s="298"/>
      <c r="AC114" s="299"/>
      <c r="AD114" s="298"/>
      <c r="AE114" s="299"/>
      <c r="AF114" s="298"/>
      <c r="AG114" s="299"/>
      <c r="AH114" s="298"/>
    </row>
    <row r="115">
      <c r="A115" s="298"/>
      <c r="B115" s="299"/>
      <c r="C115" s="298"/>
      <c r="D115" s="303" t="s">
        <v>1647</v>
      </c>
      <c r="E115" s="298"/>
      <c r="F115" s="299"/>
      <c r="G115" s="298"/>
      <c r="H115" s="299"/>
      <c r="I115" s="299"/>
      <c r="J115" s="298"/>
      <c r="K115" s="299"/>
      <c r="L115" s="298"/>
      <c r="M115" s="299"/>
      <c r="N115" s="298"/>
      <c r="O115" s="299"/>
      <c r="P115" s="298"/>
      <c r="Q115" s="299"/>
      <c r="R115" s="298"/>
      <c r="S115" s="299"/>
      <c r="T115" s="298"/>
      <c r="U115" s="309"/>
      <c r="V115" s="298"/>
      <c r="W115" s="299"/>
      <c r="X115" s="298"/>
      <c r="Y115" s="299"/>
      <c r="Z115" s="298"/>
      <c r="AA115" s="312"/>
      <c r="AB115" s="298"/>
      <c r="AC115" s="299"/>
      <c r="AD115" s="298"/>
      <c r="AE115" s="299"/>
      <c r="AF115" s="298"/>
      <c r="AG115" s="299"/>
      <c r="AH115" s="298"/>
    </row>
    <row r="116">
      <c r="A116" s="298"/>
      <c r="B116" s="299"/>
      <c r="C116" s="298"/>
      <c r="D116" s="303" t="s">
        <v>1648</v>
      </c>
      <c r="E116" s="298"/>
      <c r="F116" s="299"/>
      <c r="G116" s="298"/>
      <c r="H116" s="299"/>
      <c r="I116" s="299"/>
      <c r="J116" s="298"/>
      <c r="K116" s="299"/>
      <c r="L116" s="298"/>
      <c r="M116" s="299"/>
      <c r="N116" s="298"/>
      <c r="O116" s="299"/>
      <c r="P116" s="298"/>
      <c r="Q116" s="299"/>
      <c r="R116" s="298"/>
      <c r="S116" s="299"/>
      <c r="T116" s="298"/>
      <c r="U116" s="309"/>
      <c r="V116" s="298"/>
      <c r="W116" s="299"/>
      <c r="X116" s="298"/>
      <c r="Y116" s="299"/>
      <c r="Z116" s="298"/>
      <c r="AA116" s="312"/>
      <c r="AB116" s="298"/>
      <c r="AC116" s="299"/>
      <c r="AD116" s="298"/>
      <c r="AE116" s="299"/>
      <c r="AF116" s="298"/>
      <c r="AG116" s="299"/>
      <c r="AH116" s="298"/>
    </row>
    <row r="117">
      <c r="A117" s="298"/>
      <c r="B117" s="299"/>
      <c r="C117" s="298"/>
      <c r="D117" s="303" t="s">
        <v>1649</v>
      </c>
      <c r="E117" s="298"/>
      <c r="F117" s="299"/>
      <c r="G117" s="298"/>
      <c r="H117" s="299"/>
      <c r="I117" s="299"/>
      <c r="J117" s="298"/>
      <c r="K117" s="299"/>
      <c r="L117" s="298"/>
      <c r="M117" s="299"/>
      <c r="N117" s="298"/>
      <c r="O117" s="299"/>
      <c r="P117" s="298"/>
      <c r="Q117" s="299"/>
      <c r="R117" s="298"/>
      <c r="S117" s="299"/>
      <c r="T117" s="298"/>
      <c r="U117" s="309"/>
      <c r="V117" s="298"/>
      <c r="W117" s="299"/>
      <c r="X117" s="298"/>
      <c r="Y117" s="299"/>
      <c r="Z117" s="298"/>
      <c r="AA117" s="312"/>
      <c r="AB117" s="298"/>
      <c r="AC117" s="299"/>
      <c r="AD117" s="298"/>
      <c r="AE117" s="299"/>
      <c r="AF117" s="298"/>
      <c r="AG117" s="299"/>
      <c r="AH117" s="298"/>
    </row>
    <row r="118">
      <c r="A118" s="298"/>
      <c r="B118" s="299"/>
      <c r="C118" s="298"/>
      <c r="D118" s="303" t="s">
        <v>1028</v>
      </c>
      <c r="E118" s="298"/>
      <c r="F118" s="299"/>
      <c r="G118" s="298"/>
      <c r="H118" s="299"/>
      <c r="I118" s="299"/>
      <c r="J118" s="298"/>
      <c r="K118" s="299"/>
      <c r="L118" s="298"/>
      <c r="M118" s="299"/>
      <c r="N118" s="298"/>
      <c r="O118" s="299"/>
      <c r="P118" s="298"/>
      <c r="Q118" s="299"/>
      <c r="R118" s="298"/>
      <c r="S118" s="299"/>
      <c r="T118" s="298"/>
      <c r="U118" s="309"/>
      <c r="V118" s="298"/>
      <c r="W118" s="299"/>
      <c r="X118" s="298"/>
      <c r="Y118" s="299"/>
      <c r="Z118" s="298"/>
      <c r="AA118" s="312"/>
      <c r="AB118" s="298"/>
      <c r="AC118" s="299"/>
      <c r="AD118" s="298"/>
      <c r="AE118" s="299"/>
      <c r="AF118" s="298"/>
      <c r="AG118" s="299"/>
      <c r="AH118" s="298"/>
    </row>
    <row r="119">
      <c r="A119" s="298"/>
      <c r="B119" s="299"/>
      <c r="C119" s="298"/>
      <c r="D119" s="303" t="s">
        <v>954</v>
      </c>
      <c r="E119" s="298"/>
      <c r="F119" s="299"/>
      <c r="G119" s="298"/>
      <c r="H119" s="299"/>
      <c r="I119" s="299"/>
      <c r="J119" s="298"/>
      <c r="K119" s="299"/>
      <c r="L119" s="298"/>
      <c r="M119" s="299"/>
      <c r="N119" s="298"/>
      <c r="O119" s="299"/>
      <c r="P119" s="298"/>
      <c r="Q119" s="299"/>
      <c r="R119" s="298"/>
      <c r="S119" s="299"/>
      <c r="T119" s="298"/>
      <c r="U119" s="309"/>
      <c r="V119" s="298"/>
      <c r="W119" s="299"/>
      <c r="X119" s="298"/>
      <c r="Y119" s="299"/>
      <c r="Z119" s="298"/>
      <c r="AA119" s="312"/>
      <c r="AB119" s="298"/>
      <c r="AC119" s="299"/>
      <c r="AD119" s="298"/>
      <c r="AE119" s="299"/>
      <c r="AF119" s="298"/>
      <c r="AG119" s="299"/>
      <c r="AH119" s="298"/>
    </row>
    <row r="120">
      <c r="A120" s="298"/>
      <c r="B120" s="299"/>
      <c r="C120" s="298"/>
      <c r="D120" s="303" t="s">
        <v>1035</v>
      </c>
      <c r="E120" s="298"/>
      <c r="F120" s="299"/>
      <c r="G120" s="298"/>
      <c r="H120" s="299"/>
      <c r="I120" s="299"/>
      <c r="J120" s="298"/>
      <c r="K120" s="299"/>
      <c r="L120" s="298"/>
      <c r="M120" s="299"/>
      <c r="N120" s="298"/>
      <c r="O120" s="299"/>
      <c r="P120" s="298"/>
      <c r="Q120" s="299"/>
      <c r="R120" s="298"/>
      <c r="S120" s="299"/>
      <c r="T120" s="298"/>
      <c r="U120" s="309"/>
      <c r="V120" s="298"/>
      <c r="W120" s="299"/>
      <c r="X120" s="298"/>
      <c r="Y120" s="299"/>
      <c r="Z120" s="298"/>
      <c r="AA120" s="312"/>
      <c r="AB120" s="298"/>
      <c r="AC120" s="299"/>
      <c r="AD120" s="298"/>
      <c r="AE120" s="299"/>
      <c r="AF120" s="298"/>
      <c r="AG120" s="299"/>
      <c r="AH120" s="298"/>
    </row>
    <row r="121">
      <c r="A121" s="298"/>
      <c r="B121" s="299"/>
      <c r="C121" s="298"/>
      <c r="D121" s="303" t="s">
        <v>1650</v>
      </c>
      <c r="E121" s="298"/>
      <c r="F121" s="299"/>
      <c r="G121" s="298"/>
      <c r="H121" s="299"/>
      <c r="I121" s="299"/>
      <c r="J121" s="298"/>
      <c r="K121" s="299"/>
      <c r="L121" s="298"/>
      <c r="M121" s="299"/>
      <c r="N121" s="298"/>
      <c r="O121" s="299"/>
      <c r="P121" s="298"/>
      <c r="Q121" s="299"/>
      <c r="R121" s="298"/>
      <c r="S121" s="299"/>
      <c r="T121" s="298"/>
      <c r="U121" s="309"/>
      <c r="V121" s="298"/>
      <c r="W121" s="299"/>
      <c r="X121" s="298"/>
      <c r="Y121" s="299"/>
      <c r="Z121" s="298"/>
      <c r="AA121" s="312"/>
      <c r="AB121" s="298"/>
      <c r="AC121" s="299"/>
      <c r="AD121" s="298"/>
      <c r="AE121" s="299"/>
      <c r="AF121" s="298"/>
      <c r="AG121" s="299"/>
      <c r="AH121" s="298"/>
    </row>
    <row r="122">
      <c r="A122" s="298"/>
      <c r="B122" s="299"/>
      <c r="C122" s="298"/>
      <c r="D122" s="303" t="s">
        <v>1651</v>
      </c>
      <c r="E122" s="298"/>
      <c r="F122" s="299"/>
      <c r="G122" s="298"/>
      <c r="H122" s="299"/>
      <c r="I122" s="299"/>
      <c r="J122" s="298"/>
      <c r="K122" s="299"/>
      <c r="L122" s="298"/>
      <c r="M122" s="299"/>
      <c r="N122" s="298"/>
      <c r="O122" s="299"/>
      <c r="P122" s="298"/>
      <c r="Q122" s="299"/>
      <c r="R122" s="298"/>
      <c r="S122" s="299"/>
      <c r="T122" s="298"/>
      <c r="U122" s="309"/>
      <c r="V122" s="298"/>
      <c r="W122" s="299"/>
      <c r="X122" s="298"/>
      <c r="Y122" s="299"/>
      <c r="Z122" s="298"/>
      <c r="AA122" s="312"/>
      <c r="AB122" s="298"/>
      <c r="AC122" s="299"/>
      <c r="AD122" s="298"/>
      <c r="AE122" s="299"/>
      <c r="AF122" s="298"/>
      <c r="AG122" s="299"/>
      <c r="AH122" s="298"/>
    </row>
    <row r="123">
      <c r="A123" s="298"/>
      <c r="B123" s="299"/>
      <c r="C123" s="298"/>
      <c r="D123" s="303" t="s">
        <v>1652</v>
      </c>
      <c r="E123" s="298"/>
      <c r="F123" s="299"/>
      <c r="G123" s="298"/>
      <c r="H123" s="299"/>
      <c r="I123" s="299"/>
      <c r="J123" s="298"/>
      <c r="K123" s="299"/>
      <c r="L123" s="298"/>
      <c r="M123" s="299"/>
      <c r="N123" s="298"/>
      <c r="O123" s="299"/>
      <c r="P123" s="298"/>
      <c r="Q123" s="299"/>
      <c r="R123" s="298"/>
      <c r="S123" s="299"/>
      <c r="T123" s="298"/>
      <c r="U123" s="309"/>
      <c r="V123" s="298"/>
      <c r="W123" s="299"/>
      <c r="X123" s="298"/>
      <c r="Y123" s="299"/>
      <c r="Z123" s="298"/>
      <c r="AA123" s="312"/>
      <c r="AB123" s="298"/>
      <c r="AC123" s="299"/>
      <c r="AD123" s="298"/>
      <c r="AE123" s="299"/>
      <c r="AF123" s="298"/>
      <c r="AG123" s="299"/>
      <c r="AH123" s="298"/>
    </row>
    <row r="124">
      <c r="A124" s="298"/>
      <c r="B124" s="299"/>
      <c r="C124" s="298"/>
      <c r="D124" s="303" t="s">
        <v>1653</v>
      </c>
      <c r="E124" s="298"/>
      <c r="F124" s="299"/>
      <c r="G124" s="298"/>
      <c r="H124" s="299"/>
      <c r="I124" s="299"/>
      <c r="J124" s="298"/>
      <c r="K124" s="299"/>
      <c r="L124" s="298"/>
      <c r="M124" s="299"/>
      <c r="N124" s="298"/>
      <c r="O124" s="299"/>
      <c r="P124" s="298"/>
      <c r="Q124" s="299"/>
      <c r="R124" s="298"/>
      <c r="S124" s="299"/>
      <c r="T124" s="298"/>
      <c r="U124" s="309"/>
      <c r="V124" s="298"/>
      <c r="W124" s="299"/>
      <c r="X124" s="298"/>
      <c r="Y124" s="299"/>
      <c r="Z124" s="298"/>
      <c r="AA124" s="312"/>
      <c r="AB124" s="298"/>
      <c r="AC124" s="299"/>
      <c r="AD124" s="298"/>
      <c r="AE124" s="299"/>
      <c r="AF124" s="298"/>
      <c r="AG124" s="299"/>
      <c r="AH124" s="298"/>
    </row>
    <row r="125">
      <c r="A125" s="298"/>
      <c r="B125" s="299"/>
      <c r="C125" s="298"/>
      <c r="D125" s="303" t="s">
        <v>1654</v>
      </c>
      <c r="E125" s="298"/>
      <c r="F125" s="299"/>
      <c r="G125" s="298"/>
      <c r="H125" s="299"/>
      <c r="I125" s="299"/>
      <c r="J125" s="298"/>
      <c r="K125" s="299"/>
      <c r="L125" s="298"/>
      <c r="M125" s="299"/>
      <c r="N125" s="298"/>
      <c r="O125" s="299"/>
      <c r="P125" s="298"/>
      <c r="Q125" s="299"/>
      <c r="R125" s="298"/>
      <c r="S125" s="299"/>
      <c r="T125" s="298"/>
      <c r="U125" s="309"/>
      <c r="V125" s="298"/>
      <c r="W125" s="299"/>
      <c r="X125" s="298"/>
      <c r="Y125" s="299"/>
      <c r="Z125" s="298"/>
      <c r="AA125" s="312"/>
      <c r="AB125" s="298"/>
      <c r="AC125" s="299"/>
      <c r="AD125" s="298"/>
      <c r="AE125" s="299"/>
      <c r="AF125" s="298"/>
      <c r="AG125" s="299"/>
      <c r="AH125" s="298"/>
    </row>
    <row r="126">
      <c r="A126" s="298"/>
      <c r="B126" s="299"/>
      <c r="C126" s="298"/>
      <c r="D126" s="303" t="s">
        <v>1655</v>
      </c>
      <c r="E126" s="298"/>
      <c r="F126" s="299"/>
      <c r="G126" s="298"/>
      <c r="H126" s="299"/>
      <c r="I126" s="299"/>
      <c r="J126" s="298"/>
      <c r="K126" s="299"/>
      <c r="L126" s="298"/>
      <c r="M126" s="299"/>
      <c r="N126" s="298"/>
      <c r="O126" s="299"/>
      <c r="P126" s="298"/>
      <c r="Q126" s="299"/>
      <c r="R126" s="298"/>
      <c r="S126" s="299"/>
      <c r="T126" s="298"/>
      <c r="U126" s="309"/>
      <c r="V126" s="298"/>
      <c r="W126" s="299"/>
      <c r="X126" s="298"/>
      <c r="Y126" s="299"/>
      <c r="Z126" s="298"/>
      <c r="AA126" s="312"/>
      <c r="AB126" s="298"/>
      <c r="AC126" s="299"/>
      <c r="AD126" s="298"/>
      <c r="AE126" s="299"/>
      <c r="AF126" s="298"/>
      <c r="AG126" s="299"/>
      <c r="AH126" s="298"/>
    </row>
    <row r="127">
      <c r="A127" s="298"/>
      <c r="B127" s="299"/>
      <c r="C127" s="298"/>
      <c r="D127" s="303" t="s">
        <v>1656</v>
      </c>
      <c r="E127" s="298"/>
      <c r="F127" s="299"/>
      <c r="G127" s="298"/>
      <c r="H127" s="299"/>
      <c r="I127" s="299"/>
      <c r="J127" s="298"/>
      <c r="K127" s="299"/>
      <c r="L127" s="298"/>
      <c r="M127" s="299"/>
      <c r="N127" s="298"/>
      <c r="O127" s="299"/>
      <c r="P127" s="298"/>
      <c r="Q127" s="299"/>
      <c r="R127" s="298"/>
      <c r="S127" s="299"/>
      <c r="T127" s="298"/>
      <c r="U127" s="309"/>
      <c r="V127" s="298"/>
      <c r="W127" s="299"/>
      <c r="X127" s="298"/>
      <c r="Y127" s="299"/>
      <c r="Z127" s="298"/>
      <c r="AA127" s="312"/>
      <c r="AB127" s="298"/>
      <c r="AC127" s="299"/>
      <c r="AD127" s="298"/>
      <c r="AE127" s="299"/>
      <c r="AF127" s="298"/>
      <c r="AG127" s="299"/>
      <c r="AH127" s="298"/>
    </row>
    <row r="128">
      <c r="A128" s="298"/>
      <c r="B128" s="299"/>
      <c r="C128" s="298"/>
      <c r="D128" s="303" t="s">
        <v>1657</v>
      </c>
      <c r="E128" s="298"/>
      <c r="F128" s="299"/>
      <c r="G128" s="298"/>
      <c r="H128" s="299"/>
      <c r="I128" s="299"/>
      <c r="J128" s="298"/>
      <c r="K128" s="299"/>
      <c r="L128" s="298"/>
      <c r="M128" s="299"/>
      <c r="N128" s="298"/>
      <c r="O128" s="299"/>
      <c r="P128" s="298"/>
      <c r="Q128" s="299"/>
      <c r="R128" s="298"/>
      <c r="S128" s="299"/>
      <c r="T128" s="298"/>
      <c r="U128" s="309"/>
      <c r="V128" s="298"/>
      <c r="W128" s="299"/>
      <c r="X128" s="298"/>
      <c r="Y128" s="299"/>
      <c r="Z128" s="298"/>
      <c r="AA128" s="312"/>
      <c r="AB128" s="298"/>
      <c r="AC128" s="299"/>
      <c r="AD128" s="298"/>
      <c r="AE128" s="299"/>
      <c r="AF128" s="298"/>
      <c r="AG128" s="299"/>
      <c r="AH128" s="298"/>
    </row>
    <row r="129">
      <c r="A129" s="298"/>
      <c r="B129" s="299"/>
      <c r="C129" s="298"/>
      <c r="D129" s="303" t="s">
        <v>1658</v>
      </c>
      <c r="E129" s="298"/>
      <c r="F129" s="299"/>
      <c r="G129" s="298"/>
      <c r="H129" s="299"/>
      <c r="I129" s="299"/>
      <c r="J129" s="298"/>
      <c r="K129" s="299"/>
      <c r="L129" s="298"/>
      <c r="M129" s="299"/>
      <c r="N129" s="298"/>
      <c r="O129" s="299"/>
      <c r="P129" s="298"/>
      <c r="Q129" s="299"/>
      <c r="R129" s="298"/>
      <c r="S129" s="299"/>
      <c r="T129" s="298"/>
      <c r="U129" s="309"/>
      <c r="V129" s="298"/>
      <c r="W129" s="299"/>
      <c r="X129" s="298"/>
      <c r="Y129" s="299"/>
      <c r="Z129" s="298"/>
      <c r="AA129" s="312"/>
      <c r="AB129" s="298"/>
      <c r="AC129" s="299"/>
      <c r="AD129" s="298"/>
      <c r="AE129" s="299"/>
      <c r="AF129" s="298"/>
      <c r="AG129" s="299"/>
      <c r="AH129" s="298"/>
    </row>
    <row r="130">
      <c r="A130" s="298"/>
      <c r="B130" s="299"/>
      <c r="C130" s="298"/>
      <c r="D130" s="303" t="s">
        <v>917</v>
      </c>
      <c r="E130" s="298"/>
      <c r="F130" s="299"/>
      <c r="G130" s="298"/>
      <c r="H130" s="299"/>
      <c r="I130" s="299"/>
      <c r="J130" s="298"/>
      <c r="K130" s="299"/>
      <c r="L130" s="298"/>
      <c r="M130" s="299"/>
      <c r="N130" s="298"/>
      <c r="O130" s="299"/>
      <c r="P130" s="298"/>
      <c r="Q130" s="299"/>
      <c r="R130" s="298"/>
      <c r="S130" s="299"/>
      <c r="T130" s="298"/>
      <c r="U130" s="309"/>
      <c r="V130" s="298"/>
      <c r="W130" s="299"/>
      <c r="X130" s="298"/>
      <c r="Y130" s="299"/>
      <c r="Z130" s="298"/>
      <c r="AA130" s="312"/>
      <c r="AB130" s="298"/>
      <c r="AC130" s="299"/>
      <c r="AD130" s="298"/>
      <c r="AE130" s="299"/>
      <c r="AF130" s="298"/>
      <c r="AG130" s="299"/>
      <c r="AH130" s="298"/>
    </row>
    <row r="131">
      <c r="A131" s="298"/>
      <c r="B131" s="299"/>
      <c r="C131" s="298"/>
      <c r="D131" s="303" t="s">
        <v>853</v>
      </c>
      <c r="E131" s="298"/>
      <c r="F131" s="299"/>
      <c r="G131" s="298"/>
      <c r="H131" s="299"/>
      <c r="I131" s="299"/>
      <c r="J131" s="298"/>
      <c r="K131" s="299"/>
      <c r="L131" s="298"/>
      <c r="M131" s="299"/>
      <c r="N131" s="298"/>
      <c r="O131" s="299"/>
      <c r="P131" s="298"/>
      <c r="Q131" s="299"/>
      <c r="R131" s="298"/>
      <c r="S131" s="299"/>
      <c r="T131" s="298"/>
      <c r="U131" s="309"/>
      <c r="V131" s="298"/>
      <c r="W131" s="299"/>
      <c r="X131" s="298"/>
      <c r="Y131" s="299"/>
      <c r="Z131" s="298"/>
      <c r="AA131" s="312"/>
      <c r="AB131" s="298"/>
      <c r="AC131" s="299"/>
      <c r="AD131" s="298"/>
      <c r="AE131" s="299"/>
      <c r="AF131" s="298"/>
      <c r="AG131" s="299"/>
      <c r="AH131" s="298"/>
    </row>
    <row r="132">
      <c r="A132" s="298"/>
      <c r="B132" s="299"/>
      <c r="C132" s="298"/>
      <c r="D132" s="303" t="s">
        <v>849</v>
      </c>
      <c r="E132" s="298"/>
      <c r="F132" s="299"/>
      <c r="G132" s="298"/>
      <c r="H132" s="299"/>
      <c r="I132" s="299"/>
      <c r="J132" s="298"/>
      <c r="K132" s="299"/>
      <c r="L132" s="298"/>
      <c r="M132" s="299"/>
      <c r="N132" s="298"/>
      <c r="O132" s="299"/>
      <c r="P132" s="298"/>
      <c r="Q132" s="299"/>
      <c r="R132" s="298"/>
      <c r="S132" s="299"/>
      <c r="T132" s="298"/>
      <c r="U132" s="309"/>
      <c r="V132" s="298"/>
      <c r="W132" s="299"/>
      <c r="X132" s="298"/>
      <c r="Y132" s="299"/>
      <c r="Z132" s="298"/>
      <c r="AA132" s="312"/>
      <c r="AB132" s="298"/>
      <c r="AC132" s="299"/>
      <c r="AD132" s="298"/>
      <c r="AE132" s="299"/>
      <c r="AF132" s="298"/>
      <c r="AG132" s="299"/>
      <c r="AH132" s="298"/>
    </row>
    <row r="133">
      <c r="A133" s="298"/>
      <c r="B133" s="299"/>
      <c r="C133" s="298"/>
      <c r="D133" s="303" t="s">
        <v>995</v>
      </c>
      <c r="E133" s="298"/>
      <c r="F133" s="299"/>
      <c r="G133" s="298"/>
      <c r="H133" s="299"/>
      <c r="I133" s="299"/>
      <c r="J133" s="298"/>
      <c r="K133" s="299"/>
      <c r="L133" s="298"/>
      <c r="M133" s="299"/>
      <c r="N133" s="298"/>
      <c r="O133" s="299"/>
      <c r="P133" s="298"/>
      <c r="Q133" s="299"/>
      <c r="R133" s="298"/>
      <c r="S133" s="299"/>
      <c r="T133" s="298"/>
      <c r="U133" s="309"/>
      <c r="V133" s="298"/>
      <c r="W133" s="299"/>
      <c r="X133" s="298"/>
      <c r="Y133" s="299"/>
      <c r="Z133" s="298"/>
      <c r="AA133" s="312"/>
      <c r="AB133" s="298"/>
      <c r="AC133" s="299"/>
      <c r="AD133" s="298"/>
      <c r="AE133" s="299"/>
      <c r="AF133" s="298"/>
      <c r="AG133" s="299"/>
      <c r="AH133" s="298"/>
    </row>
    <row r="134">
      <c r="A134" s="298"/>
      <c r="B134" s="299"/>
      <c r="C134" s="298"/>
      <c r="D134" s="303" t="s">
        <v>1659</v>
      </c>
      <c r="E134" s="298"/>
      <c r="F134" s="299"/>
      <c r="G134" s="298"/>
      <c r="H134" s="299"/>
      <c r="I134" s="299"/>
      <c r="J134" s="298"/>
      <c r="K134" s="299"/>
      <c r="L134" s="298"/>
      <c r="M134" s="299"/>
      <c r="N134" s="298"/>
      <c r="O134" s="299"/>
      <c r="P134" s="298"/>
      <c r="Q134" s="299"/>
      <c r="R134" s="298"/>
      <c r="S134" s="299"/>
      <c r="T134" s="298"/>
      <c r="U134" s="309"/>
      <c r="V134" s="298"/>
      <c r="W134" s="299"/>
      <c r="X134" s="298"/>
      <c r="Y134" s="299"/>
      <c r="Z134" s="298"/>
      <c r="AA134" s="312"/>
      <c r="AB134" s="298"/>
      <c r="AC134" s="299"/>
      <c r="AD134" s="298"/>
      <c r="AE134" s="299"/>
      <c r="AF134" s="298"/>
      <c r="AG134" s="299"/>
      <c r="AH134" s="298"/>
    </row>
    <row r="135">
      <c r="A135" s="298"/>
      <c r="B135" s="299"/>
      <c r="C135" s="298"/>
      <c r="D135" s="303" t="s">
        <v>1021</v>
      </c>
      <c r="E135" s="298"/>
      <c r="F135" s="299"/>
      <c r="G135" s="298"/>
      <c r="H135" s="299"/>
      <c r="I135" s="299"/>
      <c r="J135" s="298"/>
      <c r="K135" s="299"/>
      <c r="L135" s="298"/>
      <c r="M135" s="299"/>
      <c r="N135" s="298"/>
      <c r="O135" s="299"/>
      <c r="P135" s="298"/>
      <c r="Q135" s="299"/>
      <c r="R135" s="298"/>
      <c r="S135" s="299"/>
      <c r="T135" s="298"/>
      <c r="U135" s="309"/>
      <c r="V135" s="298"/>
      <c r="W135" s="299"/>
      <c r="X135" s="298"/>
      <c r="Y135" s="299"/>
      <c r="Z135" s="298"/>
      <c r="AA135" s="312"/>
      <c r="AB135" s="298"/>
      <c r="AC135" s="299"/>
      <c r="AD135" s="298"/>
      <c r="AE135" s="299"/>
      <c r="AF135" s="298"/>
      <c r="AG135" s="299"/>
      <c r="AH135" s="298"/>
    </row>
    <row r="136">
      <c r="A136" s="298"/>
      <c r="B136" s="299"/>
      <c r="C136" s="298"/>
      <c r="D136" s="303" t="s">
        <v>1660</v>
      </c>
      <c r="E136" s="298"/>
      <c r="F136" s="299"/>
      <c r="G136" s="298"/>
      <c r="H136" s="299"/>
      <c r="I136" s="299"/>
      <c r="J136" s="298"/>
      <c r="K136" s="299"/>
      <c r="L136" s="298"/>
      <c r="M136" s="299"/>
      <c r="N136" s="298"/>
      <c r="O136" s="299"/>
      <c r="P136" s="298"/>
      <c r="Q136" s="299"/>
      <c r="R136" s="298"/>
      <c r="S136" s="299"/>
      <c r="T136" s="298"/>
      <c r="U136" s="309"/>
      <c r="V136" s="298"/>
      <c r="W136" s="299"/>
      <c r="X136" s="298"/>
      <c r="Y136" s="299"/>
      <c r="Z136" s="298"/>
      <c r="AA136" s="312"/>
      <c r="AB136" s="298"/>
      <c r="AC136" s="299"/>
      <c r="AD136" s="298"/>
      <c r="AE136" s="299"/>
      <c r="AF136" s="298"/>
      <c r="AG136" s="299"/>
      <c r="AH136" s="298"/>
    </row>
    <row r="137">
      <c r="A137" s="298"/>
      <c r="B137" s="299"/>
      <c r="C137" s="298"/>
      <c r="D137" s="303" t="s">
        <v>1661</v>
      </c>
      <c r="E137" s="298"/>
      <c r="F137" s="299"/>
      <c r="G137" s="298"/>
      <c r="H137" s="299"/>
      <c r="I137" s="299"/>
      <c r="J137" s="298"/>
      <c r="K137" s="299"/>
      <c r="L137" s="298"/>
      <c r="M137" s="299"/>
      <c r="N137" s="298"/>
      <c r="O137" s="299"/>
      <c r="P137" s="298"/>
      <c r="Q137" s="299"/>
      <c r="R137" s="298"/>
      <c r="S137" s="299"/>
      <c r="T137" s="298"/>
      <c r="U137" s="309"/>
      <c r="V137" s="298"/>
      <c r="W137" s="299"/>
      <c r="X137" s="298"/>
      <c r="Y137" s="299"/>
      <c r="Z137" s="298"/>
      <c r="AA137" s="312"/>
      <c r="AB137" s="298"/>
      <c r="AC137" s="299"/>
      <c r="AD137" s="298"/>
      <c r="AE137" s="299"/>
      <c r="AF137" s="298"/>
      <c r="AG137" s="299"/>
      <c r="AH137" s="298"/>
    </row>
    <row r="138">
      <c r="A138" s="298"/>
      <c r="B138" s="299"/>
      <c r="C138" s="298"/>
      <c r="D138" s="303" t="s">
        <v>1662</v>
      </c>
      <c r="E138" s="298"/>
      <c r="F138" s="299"/>
      <c r="G138" s="298"/>
      <c r="H138" s="299"/>
      <c r="I138" s="299"/>
      <c r="J138" s="298"/>
      <c r="K138" s="299"/>
      <c r="L138" s="298"/>
      <c r="M138" s="299"/>
      <c r="N138" s="298"/>
      <c r="O138" s="299"/>
      <c r="P138" s="298"/>
      <c r="Q138" s="299"/>
      <c r="R138" s="298"/>
      <c r="S138" s="299"/>
      <c r="T138" s="298"/>
      <c r="U138" s="309"/>
      <c r="V138" s="298"/>
      <c r="W138" s="299"/>
      <c r="X138" s="298"/>
      <c r="Y138" s="299"/>
      <c r="Z138" s="298"/>
      <c r="AA138" s="312"/>
      <c r="AB138" s="298"/>
      <c r="AC138" s="299"/>
      <c r="AD138" s="298"/>
      <c r="AE138" s="299"/>
      <c r="AF138" s="298"/>
      <c r="AG138" s="299"/>
      <c r="AH138" s="298"/>
    </row>
    <row r="139">
      <c r="A139" s="298"/>
      <c r="B139" s="299"/>
      <c r="C139" s="298"/>
      <c r="D139" s="303" t="s">
        <v>1663</v>
      </c>
      <c r="E139" s="298"/>
      <c r="F139" s="299"/>
      <c r="G139" s="298"/>
      <c r="H139" s="299"/>
      <c r="I139" s="299"/>
      <c r="J139" s="298"/>
      <c r="K139" s="299"/>
      <c r="L139" s="298"/>
      <c r="M139" s="299"/>
      <c r="N139" s="298"/>
      <c r="O139" s="299"/>
      <c r="P139" s="298"/>
      <c r="Q139" s="299"/>
      <c r="R139" s="298"/>
      <c r="S139" s="299"/>
      <c r="T139" s="298"/>
      <c r="U139" s="309"/>
      <c r="V139" s="298"/>
      <c r="W139" s="299"/>
      <c r="X139" s="298"/>
      <c r="Y139" s="299"/>
      <c r="Z139" s="298"/>
      <c r="AA139" s="312"/>
      <c r="AB139" s="298"/>
      <c r="AC139" s="299"/>
      <c r="AD139" s="298"/>
      <c r="AE139" s="299"/>
      <c r="AF139" s="298"/>
      <c r="AG139" s="299"/>
      <c r="AH139" s="298"/>
    </row>
    <row r="140">
      <c r="A140" s="298"/>
      <c r="B140" s="299"/>
      <c r="C140" s="298"/>
      <c r="D140" s="303" t="s">
        <v>1664</v>
      </c>
      <c r="E140" s="298"/>
      <c r="F140" s="299"/>
      <c r="G140" s="298"/>
      <c r="H140" s="299"/>
      <c r="I140" s="299"/>
      <c r="J140" s="298"/>
      <c r="K140" s="299"/>
      <c r="L140" s="298"/>
      <c r="M140" s="299"/>
      <c r="N140" s="298"/>
      <c r="O140" s="299"/>
      <c r="P140" s="298"/>
      <c r="Q140" s="299"/>
      <c r="R140" s="298"/>
      <c r="S140" s="299"/>
      <c r="T140" s="298"/>
      <c r="U140" s="309"/>
      <c r="V140" s="298"/>
      <c r="W140" s="299"/>
      <c r="X140" s="298"/>
      <c r="Y140" s="299"/>
      <c r="Z140" s="298"/>
      <c r="AA140" s="312"/>
      <c r="AB140" s="298"/>
      <c r="AC140" s="299"/>
      <c r="AD140" s="298"/>
      <c r="AE140" s="299"/>
      <c r="AF140" s="298"/>
      <c r="AG140" s="299"/>
      <c r="AH140" s="298"/>
    </row>
    <row r="141">
      <c r="A141" s="298"/>
      <c r="B141" s="299"/>
      <c r="C141" s="298"/>
      <c r="D141" s="303" t="s">
        <v>1665</v>
      </c>
      <c r="E141" s="298"/>
      <c r="F141" s="299"/>
      <c r="G141" s="298"/>
      <c r="H141" s="299"/>
      <c r="I141" s="299"/>
      <c r="J141" s="298"/>
      <c r="K141" s="299"/>
      <c r="L141" s="298"/>
      <c r="M141" s="299"/>
      <c r="N141" s="298"/>
      <c r="O141" s="299"/>
      <c r="P141" s="298"/>
      <c r="Q141" s="299"/>
      <c r="R141" s="298"/>
      <c r="S141" s="299"/>
      <c r="T141" s="298"/>
      <c r="U141" s="309"/>
      <c r="V141" s="298"/>
      <c r="W141" s="299"/>
      <c r="X141" s="298"/>
      <c r="Y141" s="299"/>
      <c r="Z141" s="298"/>
      <c r="AA141" s="312"/>
      <c r="AB141" s="298"/>
      <c r="AC141" s="299"/>
      <c r="AD141" s="298"/>
      <c r="AE141" s="299"/>
      <c r="AF141" s="298"/>
      <c r="AG141" s="299"/>
      <c r="AH141" s="298"/>
    </row>
    <row r="142">
      <c r="A142" s="298"/>
      <c r="B142" s="299"/>
      <c r="C142" s="298"/>
      <c r="D142" s="303" t="s">
        <v>1666</v>
      </c>
      <c r="E142" s="298"/>
      <c r="F142" s="299"/>
      <c r="G142" s="298"/>
      <c r="H142" s="299"/>
      <c r="I142" s="299"/>
      <c r="J142" s="298"/>
      <c r="K142" s="299"/>
      <c r="L142" s="298"/>
      <c r="M142" s="299"/>
      <c r="N142" s="298"/>
      <c r="O142" s="299"/>
      <c r="P142" s="298"/>
      <c r="Q142" s="299"/>
      <c r="R142" s="298"/>
      <c r="S142" s="299"/>
      <c r="T142" s="298"/>
      <c r="U142" s="309"/>
      <c r="V142" s="298"/>
      <c r="W142" s="299"/>
      <c r="X142" s="298"/>
      <c r="Y142" s="299"/>
      <c r="Z142" s="298"/>
      <c r="AA142" s="312"/>
      <c r="AB142" s="298"/>
      <c r="AC142" s="299"/>
      <c r="AD142" s="298"/>
      <c r="AE142" s="299"/>
      <c r="AF142" s="298"/>
      <c r="AG142" s="299"/>
      <c r="AH142" s="298"/>
    </row>
    <row r="143">
      <c r="A143" s="298"/>
      <c r="B143" s="299"/>
      <c r="C143" s="298"/>
      <c r="D143" s="303" t="s">
        <v>1667</v>
      </c>
      <c r="E143" s="298"/>
      <c r="F143" s="299"/>
      <c r="G143" s="298"/>
      <c r="H143" s="299"/>
      <c r="I143" s="299"/>
      <c r="J143" s="298"/>
      <c r="K143" s="299"/>
      <c r="L143" s="298"/>
      <c r="M143" s="299"/>
      <c r="N143" s="298"/>
      <c r="O143" s="299"/>
      <c r="P143" s="298"/>
      <c r="Q143" s="299"/>
      <c r="R143" s="298"/>
      <c r="S143" s="299"/>
      <c r="T143" s="298"/>
      <c r="U143" s="309"/>
      <c r="V143" s="298"/>
      <c r="W143" s="299"/>
      <c r="X143" s="298"/>
      <c r="Y143" s="299"/>
      <c r="Z143" s="298"/>
      <c r="AA143" s="312"/>
      <c r="AB143" s="298"/>
      <c r="AC143" s="299"/>
      <c r="AD143" s="298"/>
      <c r="AE143" s="299"/>
      <c r="AF143" s="298"/>
      <c r="AG143" s="299"/>
      <c r="AH143" s="298"/>
    </row>
    <row r="144">
      <c r="A144" s="298"/>
      <c r="B144" s="299"/>
      <c r="C144" s="298"/>
      <c r="D144" s="303" t="s">
        <v>1668</v>
      </c>
      <c r="E144" s="298"/>
      <c r="F144" s="299"/>
      <c r="G144" s="298"/>
      <c r="H144" s="299"/>
      <c r="I144" s="299"/>
      <c r="J144" s="298"/>
      <c r="K144" s="299"/>
      <c r="L144" s="298"/>
      <c r="M144" s="299"/>
      <c r="N144" s="298"/>
      <c r="O144" s="299"/>
      <c r="P144" s="298"/>
      <c r="Q144" s="299"/>
      <c r="R144" s="298"/>
      <c r="S144" s="299"/>
      <c r="T144" s="298"/>
      <c r="U144" s="309"/>
      <c r="V144" s="298"/>
      <c r="W144" s="299"/>
      <c r="X144" s="298"/>
      <c r="Y144" s="299"/>
      <c r="Z144" s="298"/>
      <c r="AA144" s="312"/>
      <c r="AB144" s="298"/>
      <c r="AC144" s="299"/>
      <c r="AD144" s="298"/>
      <c r="AE144" s="299"/>
      <c r="AF144" s="298"/>
      <c r="AG144" s="299"/>
      <c r="AH144" s="298"/>
    </row>
    <row r="145">
      <c r="A145" s="298"/>
      <c r="B145" s="299"/>
      <c r="C145" s="298"/>
      <c r="D145" s="303" t="s">
        <v>919</v>
      </c>
      <c r="E145" s="298"/>
      <c r="F145" s="299"/>
      <c r="G145" s="298"/>
      <c r="H145" s="299"/>
      <c r="I145" s="299"/>
      <c r="J145" s="298"/>
      <c r="K145" s="299"/>
      <c r="L145" s="298"/>
      <c r="M145" s="299"/>
      <c r="N145" s="298"/>
      <c r="O145" s="299"/>
      <c r="P145" s="298"/>
      <c r="Q145" s="299"/>
      <c r="R145" s="298"/>
      <c r="S145" s="299"/>
      <c r="T145" s="298"/>
      <c r="U145" s="309"/>
      <c r="V145" s="298"/>
      <c r="W145" s="299"/>
      <c r="X145" s="298"/>
      <c r="Y145" s="299"/>
      <c r="Z145" s="298"/>
      <c r="AA145" s="312"/>
      <c r="AB145" s="298"/>
      <c r="AC145" s="299"/>
      <c r="AD145" s="298"/>
      <c r="AE145" s="299"/>
      <c r="AF145" s="298"/>
      <c r="AG145" s="299"/>
      <c r="AH145" s="298"/>
    </row>
    <row r="146">
      <c r="A146" s="298"/>
      <c r="B146" s="299"/>
      <c r="C146" s="298"/>
      <c r="D146" s="303" t="s">
        <v>1669</v>
      </c>
      <c r="E146" s="298"/>
      <c r="F146" s="299"/>
      <c r="G146" s="298"/>
      <c r="H146" s="299"/>
      <c r="I146" s="299"/>
      <c r="J146" s="298"/>
      <c r="K146" s="299"/>
      <c r="L146" s="298"/>
      <c r="M146" s="299"/>
      <c r="N146" s="298"/>
      <c r="O146" s="299"/>
      <c r="P146" s="298"/>
      <c r="Q146" s="299"/>
      <c r="R146" s="298"/>
      <c r="S146" s="299"/>
      <c r="T146" s="298"/>
      <c r="U146" s="309"/>
      <c r="V146" s="298"/>
      <c r="W146" s="299"/>
      <c r="X146" s="298"/>
      <c r="Y146" s="299"/>
      <c r="Z146" s="298"/>
      <c r="AA146" s="312"/>
      <c r="AB146" s="298"/>
      <c r="AC146" s="299"/>
      <c r="AD146" s="298"/>
      <c r="AE146" s="299"/>
      <c r="AF146" s="298"/>
      <c r="AG146" s="299"/>
      <c r="AH146" s="298"/>
    </row>
    <row r="147">
      <c r="A147" s="298"/>
      <c r="B147" s="299"/>
      <c r="C147" s="298"/>
      <c r="D147" s="303" t="s">
        <v>1670</v>
      </c>
      <c r="E147" s="298"/>
      <c r="F147" s="299"/>
      <c r="G147" s="298"/>
      <c r="H147" s="299"/>
      <c r="I147" s="299"/>
      <c r="J147" s="298"/>
      <c r="K147" s="299"/>
      <c r="L147" s="298"/>
      <c r="M147" s="299"/>
      <c r="N147" s="298"/>
      <c r="O147" s="299"/>
      <c r="P147" s="298"/>
      <c r="Q147" s="299"/>
      <c r="R147" s="298"/>
      <c r="S147" s="299"/>
      <c r="T147" s="298"/>
      <c r="U147" s="309"/>
      <c r="V147" s="298"/>
      <c r="W147" s="299"/>
      <c r="X147" s="298"/>
      <c r="Y147" s="299"/>
      <c r="Z147" s="298"/>
      <c r="AA147" s="312"/>
      <c r="AB147" s="298"/>
      <c r="AC147" s="299"/>
      <c r="AD147" s="298"/>
      <c r="AE147" s="299"/>
      <c r="AF147" s="298"/>
      <c r="AG147" s="299"/>
      <c r="AH147" s="298"/>
    </row>
    <row r="148">
      <c r="A148" s="298"/>
      <c r="B148" s="299"/>
      <c r="C148" s="298"/>
      <c r="D148" s="303" t="s">
        <v>1671</v>
      </c>
      <c r="E148" s="298"/>
      <c r="F148" s="299"/>
      <c r="G148" s="298"/>
      <c r="H148" s="299"/>
      <c r="I148" s="299"/>
      <c r="J148" s="298"/>
      <c r="K148" s="299"/>
      <c r="L148" s="298"/>
      <c r="M148" s="299"/>
      <c r="N148" s="298"/>
      <c r="O148" s="299"/>
      <c r="P148" s="298"/>
      <c r="Q148" s="299"/>
      <c r="R148" s="298"/>
      <c r="S148" s="299"/>
      <c r="T148" s="298"/>
      <c r="U148" s="309"/>
      <c r="V148" s="298"/>
      <c r="W148" s="299"/>
      <c r="X148" s="298"/>
      <c r="Y148" s="299"/>
      <c r="Z148" s="298"/>
      <c r="AA148" s="312"/>
      <c r="AB148" s="298"/>
      <c r="AC148" s="299"/>
      <c r="AD148" s="298"/>
      <c r="AE148" s="299"/>
      <c r="AF148" s="298"/>
      <c r="AG148" s="299"/>
      <c r="AH148" s="298"/>
    </row>
    <row r="149">
      <c r="A149" s="298"/>
      <c r="B149" s="299"/>
      <c r="C149" s="298"/>
      <c r="D149" s="303" t="s">
        <v>1672</v>
      </c>
      <c r="E149" s="298"/>
      <c r="F149" s="299"/>
      <c r="G149" s="298"/>
      <c r="H149" s="299"/>
      <c r="I149" s="299"/>
      <c r="J149" s="298"/>
      <c r="K149" s="299"/>
      <c r="L149" s="298"/>
      <c r="M149" s="299"/>
      <c r="N149" s="298"/>
      <c r="O149" s="299"/>
      <c r="P149" s="298"/>
      <c r="Q149" s="299"/>
      <c r="R149" s="298"/>
      <c r="S149" s="299"/>
      <c r="T149" s="298"/>
      <c r="U149" s="309"/>
      <c r="V149" s="298"/>
      <c r="W149" s="299"/>
      <c r="X149" s="298"/>
      <c r="Y149" s="299"/>
      <c r="Z149" s="298"/>
      <c r="AA149" s="312"/>
      <c r="AB149" s="298"/>
      <c r="AC149" s="299"/>
      <c r="AD149" s="298"/>
      <c r="AE149" s="299"/>
      <c r="AF149" s="298"/>
      <c r="AG149" s="299"/>
      <c r="AH149" s="298"/>
    </row>
    <row r="150">
      <c r="A150" s="298"/>
      <c r="B150" s="299"/>
      <c r="C150" s="298"/>
      <c r="D150" s="303" t="s">
        <v>871</v>
      </c>
      <c r="E150" s="298"/>
      <c r="F150" s="299"/>
      <c r="G150" s="298"/>
      <c r="H150" s="299"/>
      <c r="I150" s="299"/>
      <c r="J150" s="298"/>
      <c r="K150" s="299"/>
      <c r="L150" s="298"/>
      <c r="M150" s="299"/>
      <c r="N150" s="298"/>
      <c r="O150" s="299"/>
      <c r="P150" s="298"/>
      <c r="Q150" s="299"/>
      <c r="R150" s="298"/>
      <c r="S150" s="299"/>
      <c r="T150" s="298"/>
      <c r="U150" s="309"/>
      <c r="V150" s="298"/>
      <c r="W150" s="299"/>
      <c r="X150" s="298"/>
      <c r="Y150" s="299"/>
      <c r="Z150" s="298"/>
      <c r="AA150" s="312"/>
      <c r="AB150" s="298"/>
      <c r="AC150" s="299"/>
      <c r="AD150" s="298"/>
      <c r="AE150" s="299"/>
      <c r="AF150" s="298"/>
      <c r="AG150" s="299"/>
      <c r="AH150" s="298"/>
    </row>
    <row r="151">
      <c r="A151" s="298"/>
      <c r="B151" s="299"/>
      <c r="C151" s="298"/>
      <c r="D151" s="303" t="s">
        <v>960</v>
      </c>
      <c r="E151" s="298"/>
      <c r="F151" s="299"/>
      <c r="G151" s="298"/>
      <c r="H151" s="299"/>
      <c r="I151" s="299"/>
      <c r="J151" s="298"/>
      <c r="K151" s="299"/>
      <c r="L151" s="298"/>
      <c r="M151" s="299"/>
      <c r="N151" s="298"/>
      <c r="O151" s="299"/>
      <c r="P151" s="298"/>
      <c r="Q151" s="299"/>
      <c r="R151" s="298"/>
      <c r="S151" s="299"/>
      <c r="T151" s="298"/>
      <c r="U151" s="309"/>
      <c r="V151" s="298"/>
      <c r="W151" s="299"/>
      <c r="X151" s="298"/>
      <c r="Y151" s="299"/>
      <c r="Z151" s="298"/>
      <c r="AA151" s="312"/>
      <c r="AB151" s="298"/>
      <c r="AC151" s="299"/>
      <c r="AD151" s="298"/>
      <c r="AE151" s="299"/>
      <c r="AF151" s="298"/>
      <c r="AG151" s="299"/>
      <c r="AH151" s="298"/>
    </row>
    <row r="152">
      <c r="A152" s="298"/>
      <c r="B152" s="299"/>
      <c r="C152" s="298"/>
      <c r="D152" s="303" t="s">
        <v>984</v>
      </c>
      <c r="E152" s="298"/>
      <c r="F152" s="299"/>
      <c r="G152" s="298"/>
      <c r="H152" s="299"/>
      <c r="I152" s="299"/>
      <c r="J152" s="298"/>
      <c r="K152" s="299"/>
      <c r="L152" s="298"/>
      <c r="M152" s="299"/>
      <c r="N152" s="298"/>
      <c r="O152" s="299"/>
      <c r="P152" s="298"/>
      <c r="Q152" s="299"/>
      <c r="R152" s="298"/>
      <c r="S152" s="299"/>
      <c r="T152" s="298"/>
      <c r="U152" s="309"/>
      <c r="V152" s="298"/>
      <c r="W152" s="299"/>
      <c r="X152" s="298"/>
      <c r="Y152" s="299"/>
      <c r="Z152" s="298"/>
      <c r="AA152" s="312"/>
      <c r="AB152" s="298"/>
      <c r="AC152" s="299"/>
      <c r="AD152" s="298"/>
      <c r="AE152" s="299"/>
      <c r="AF152" s="298"/>
      <c r="AG152" s="299"/>
      <c r="AH152" s="298"/>
    </row>
    <row r="153">
      <c r="A153" s="298"/>
      <c r="B153" s="299"/>
      <c r="C153" s="298"/>
      <c r="D153" s="303" t="s">
        <v>1673</v>
      </c>
      <c r="E153" s="298"/>
      <c r="F153" s="299"/>
      <c r="G153" s="298"/>
      <c r="H153" s="299"/>
      <c r="I153" s="299"/>
      <c r="J153" s="298"/>
      <c r="K153" s="299"/>
      <c r="L153" s="298"/>
      <c r="M153" s="299"/>
      <c r="N153" s="298"/>
      <c r="O153" s="299"/>
      <c r="P153" s="298"/>
      <c r="Q153" s="299"/>
      <c r="R153" s="298"/>
      <c r="S153" s="299"/>
      <c r="T153" s="298"/>
      <c r="U153" s="309"/>
      <c r="V153" s="298"/>
      <c r="W153" s="299"/>
      <c r="X153" s="298"/>
      <c r="Y153" s="299"/>
      <c r="Z153" s="298"/>
      <c r="AA153" s="312"/>
      <c r="AB153" s="298"/>
      <c r="AC153" s="299"/>
      <c r="AD153" s="298"/>
      <c r="AE153" s="299"/>
      <c r="AF153" s="298"/>
      <c r="AG153" s="299"/>
      <c r="AH153" s="298"/>
    </row>
    <row r="154">
      <c r="A154" s="298"/>
      <c r="B154" s="299"/>
      <c r="C154" s="298"/>
      <c r="D154" s="303" t="s">
        <v>878</v>
      </c>
      <c r="E154" s="298"/>
      <c r="F154" s="299"/>
      <c r="G154" s="298"/>
      <c r="H154" s="299"/>
      <c r="I154" s="299"/>
      <c r="J154" s="298"/>
      <c r="K154" s="299"/>
      <c r="L154" s="298"/>
      <c r="M154" s="299"/>
      <c r="N154" s="298"/>
      <c r="O154" s="299"/>
      <c r="P154" s="298"/>
      <c r="Q154" s="299"/>
      <c r="R154" s="298"/>
      <c r="S154" s="299"/>
      <c r="T154" s="298"/>
      <c r="U154" s="309"/>
      <c r="V154" s="298"/>
      <c r="W154" s="299"/>
      <c r="X154" s="298"/>
      <c r="Y154" s="299"/>
      <c r="Z154" s="298"/>
      <c r="AA154" s="312"/>
      <c r="AB154" s="298"/>
      <c r="AC154" s="299"/>
      <c r="AD154" s="298"/>
      <c r="AE154" s="299"/>
      <c r="AF154" s="298"/>
      <c r="AG154" s="299"/>
      <c r="AH154" s="298"/>
    </row>
    <row r="155">
      <c r="A155" s="298"/>
      <c r="B155" s="299"/>
      <c r="C155" s="298"/>
      <c r="D155" s="303" t="s">
        <v>1103</v>
      </c>
      <c r="E155" s="298"/>
      <c r="F155" s="299"/>
      <c r="G155" s="298"/>
      <c r="H155" s="299"/>
      <c r="I155" s="299"/>
      <c r="J155" s="298"/>
      <c r="K155" s="299"/>
      <c r="L155" s="298"/>
      <c r="M155" s="299"/>
      <c r="N155" s="298"/>
      <c r="O155" s="299"/>
      <c r="P155" s="298"/>
      <c r="Q155" s="299"/>
      <c r="R155" s="298"/>
      <c r="S155" s="299"/>
      <c r="T155" s="298"/>
      <c r="U155" s="309"/>
      <c r="V155" s="298"/>
      <c r="W155" s="299"/>
      <c r="X155" s="298"/>
      <c r="Y155" s="299"/>
      <c r="Z155" s="298"/>
      <c r="AA155" s="312"/>
      <c r="AB155" s="298"/>
      <c r="AC155" s="299"/>
      <c r="AD155" s="298"/>
      <c r="AE155" s="299"/>
      <c r="AF155" s="298"/>
      <c r="AG155" s="299"/>
      <c r="AH155" s="298"/>
    </row>
    <row r="156">
      <c r="A156" s="298"/>
      <c r="B156" s="299"/>
      <c r="C156" s="298"/>
      <c r="D156" s="303" t="s">
        <v>885</v>
      </c>
      <c r="E156" s="298"/>
      <c r="F156" s="299"/>
      <c r="G156" s="298"/>
      <c r="H156" s="299"/>
      <c r="I156" s="299"/>
      <c r="J156" s="298"/>
      <c r="K156" s="299"/>
      <c r="L156" s="298"/>
      <c r="M156" s="299"/>
      <c r="N156" s="298"/>
      <c r="O156" s="299"/>
      <c r="P156" s="298"/>
      <c r="Q156" s="299"/>
      <c r="R156" s="298"/>
      <c r="S156" s="299"/>
      <c r="T156" s="298"/>
      <c r="U156" s="309"/>
      <c r="V156" s="298"/>
      <c r="W156" s="299"/>
      <c r="X156" s="298"/>
      <c r="Y156" s="299"/>
      <c r="Z156" s="298"/>
      <c r="AA156" s="312"/>
      <c r="AB156" s="298"/>
      <c r="AC156" s="299"/>
      <c r="AD156" s="298"/>
      <c r="AE156" s="299"/>
      <c r="AF156" s="298"/>
      <c r="AG156" s="299"/>
      <c r="AH156" s="298"/>
    </row>
    <row r="157">
      <c r="A157" s="298"/>
      <c r="B157" s="299"/>
      <c r="C157" s="298"/>
      <c r="D157" s="303" t="s">
        <v>1674</v>
      </c>
      <c r="E157" s="298"/>
      <c r="F157" s="299"/>
      <c r="G157" s="298"/>
      <c r="H157" s="299"/>
      <c r="I157" s="299"/>
      <c r="J157" s="298"/>
      <c r="K157" s="299"/>
      <c r="L157" s="298"/>
      <c r="M157" s="299"/>
      <c r="N157" s="298"/>
      <c r="O157" s="299"/>
      <c r="P157" s="298"/>
      <c r="Q157" s="299"/>
      <c r="R157" s="298"/>
      <c r="S157" s="299"/>
      <c r="T157" s="298"/>
      <c r="U157" s="309"/>
      <c r="V157" s="298"/>
      <c r="W157" s="299"/>
      <c r="X157" s="298"/>
      <c r="Y157" s="299"/>
      <c r="Z157" s="298"/>
      <c r="AA157" s="312"/>
      <c r="AB157" s="298"/>
      <c r="AC157" s="299"/>
      <c r="AD157" s="298"/>
      <c r="AE157" s="299"/>
      <c r="AF157" s="298"/>
      <c r="AG157" s="299"/>
      <c r="AH157" s="298"/>
    </row>
    <row r="158">
      <c r="A158" s="298"/>
      <c r="B158" s="299"/>
      <c r="C158" s="298"/>
      <c r="D158" s="303" t="s">
        <v>955</v>
      </c>
      <c r="E158" s="298"/>
      <c r="F158" s="299"/>
      <c r="G158" s="298"/>
      <c r="H158" s="299"/>
      <c r="I158" s="299"/>
      <c r="J158" s="298"/>
      <c r="K158" s="299"/>
      <c r="L158" s="298"/>
      <c r="M158" s="299"/>
      <c r="N158" s="298"/>
      <c r="O158" s="299"/>
      <c r="P158" s="298"/>
      <c r="Q158" s="299"/>
      <c r="R158" s="298"/>
      <c r="S158" s="299"/>
      <c r="T158" s="298"/>
      <c r="U158" s="309"/>
      <c r="V158" s="298"/>
      <c r="W158" s="299"/>
      <c r="X158" s="298"/>
      <c r="Y158" s="299"/>
      <c r="Z158" s="298"/>
      <c r="AA158" s="312"/>
      <c r="AB158" s="298"/>
      <c r="AC158" s="299"/>
      <c r="AD158" s="298"/>
      <c r="AE158" s="299"/>
      <c r="AF158" s="298"/>
      <c r="AG158" s="299"/>
      <c r="AH158" s="298"/>
    </row>
    <row r="159">
      <c r="A159" s="298"/>
      <c r="B159" s="299"/>
      <c r="C159" s="298"/>
      <c r="D159" s="303" t="s">
        <v>894</v>
      </c>
      <c r="E159" s="298"/>
      <c r="F159" s="299"/>
      <c r="G159" s="298"/>
      <c r="H159" s="299"/>
      <c r="I159" s="299"/>
      <c r="J159" s="298"/>
      <c r="K159" s="299"/>
      <c r="L159" s="298"/>
      <c r="M159" s="299"/>
      <c r="N159" s="298"/>
      <c r="O159" s="299"/>
      <c r="P159" s="298"/>
      <c r="Q159" s="299"/>
      <c r="R159" s="298"/>
      <c r="S159" s="299"/>
      <c r="T159" s="298"/>
      <c r="U159" s="309"/>
      <c r="V159" s="298"/>
      <c r="W159" s="299"/>
      <c r="X159" s="298"/>
      <c r="Y159" s="299"/>
      <c r="Z159" s="298"/>
      <c r="AA159" s="312"/>
      <c r="AB159" s="298"/>
      <c r="AC159" s="299"/>
      <c r="AD159" s="298"/>
      <c r="AE159" s="299"/>
      <c r="AF159" s="298"/>
      <c r="AG159" s="299"/>
      <c r="AH159" s="298"/>
    </row>
    <row r="160">
      <c r="A160" s="298"/>
      <c r="B160" s="299"/>
      <c r="C160" s="298"/>
      <c r="D160" s="303" t="s">
        <v>1675</v>
      </c>
      <c r="E160" s="298"/>
      <c r="F160" s="299"/>
      <c r="G160" s="298"/>
      <c r="H160" s="299"/>
      <c r="I160" s="299"/>
      <c r="J160" s="298"/>
      <c r="K160" s="299"/>
      <c r="L160" s="298"/>
      <c r="M160" s="299"/>
      <c r="N160" s="298"/>
      <c r="O160" s="299"/>
      <c r="P160" s="298"/>
      <c r="Q160" s="299"/>
      <c r="R160" s="298"/>
      <c r="S160" s="299"/>
      <c r="T160" s="298"/>
      <c r="U160" s="309"/>
      <c r="V160" s="298"/>
      <c r="W160" s="299"/>
      <c r="X160" s="298"/>
      <c r="Y160" s="299"/>
      <c r="Z160" s="298"/>
      <c r="AA160" s="312"/>
      <c r="AB160" s="298"/>
      <c r="AC160" s="299"/>
      <c r="AD160" s="298"/>
      <c r="AE160" s="299"/>
      <c r="AF160" s="298"/>
      <c r="AG160" s="299"/>
      <c r="AH160" s="298"/>
    </row>
    <row r="161">
      <c r="A161" s="298"/>
      <c r="B161" s="299"/>
      <c r="C161" s="298"/>
      <c r="D161" s="303" t="s">
        <v>1676</v>
      </c>
      <c r="E161" s="298"/>
      <c r="F161" s="299"/>
      <c r="G161" s="298"/>
      <c r="H161" s="299"/>
      <c r="I161" s="299"/>
      <c r="J161" s="298"/>
      <c r="K161" s="299"/>
      <c r="L161" s="298"/>
      <c r="M161" s="299"/>
      <c r="N161" s="298"/>
      <c r="O161" s="299"/>
      <c r="P161" s="298"/>
      <c r="Q161" s="299"/>
      <c r="R161" s="298"/>
      <c r="S161" s="299"/>
      <c r="T161" s="298"/>
      <c r="U161" s="309"/>
      <c r="V161" s="298"/>
      <c r="W161" s="299"/>
      <c r="X161" s="298"/>
      <c r="Y161" s="299"/>
      <c r="Z161" s="298"/>
      <c r="AA161" s="312"/>
      <c r="AB161" s="298"/>
      <c r="AC161" s="299"/>
      <c r="AD161" s="298"/>
      <c r="AE161" s="299"/>
      <c r="AF161" s="298"/>
      <c r="AG161" s="299"/>
      <c r="AH161" s="298"/>
    </row>
    <row r="162">
      <c r="A162" s="298"/>
      <c r="B162" s="299"/>
      <c r="C162" s="298"/>
      <c r="D162" s="303" t="s">
        <v>868</v>
      </c>
      <c r="E162" s="298"/>
      <c r="F162" s="299"/>
      <c r="G162" s="298"/>
      <c r="H162" s="299"/>
      <c r="I162" s="299"/>
      <c r="J162" s="298"/>
      <c r="K162" s="299"/>
      <c r="L162" s="298"/>
      <c r="M162" s="299"/>
      <c r="N162" s="298"/>
      <c r="O162" s="299"/>
      <c r="P162" s="298"/>
      <c r="Q162" s="299"/>
      <c r="R162" s="298"/>
      <c r="S162" s="299"/>
      <c r="T162" s="298"/>
      <c r="U162" s="309"/>
      <c r="V162" s="298"/>
      <c r="W162" s="299"/>
      <c r="X162" s="298"/>
      <c r="Y162" s="299"/>
      <c r="Z162" s="298"/>
      <c r="AA162" s="312"/>
      <c r="AB162" s="298"/>
      <c r="AC162" s="299"/>
      <c r="AD162" s="298"/>
      <c r="AE162" s="299"/>
      <c r="AF162" s="298"/>
      <c r="AG162" s="299"/>
      <c r="AH162" s="298"/>
    </row>
    <row r="163">
      <c r="A163" s="298"/>
      <c r="B163" s="299"/>
      <c r="C163" s="298"/>
      <c r="D163" s="303" t="s">
        <v>847</v>
      </c>
      <c r="E163" s="298"/>
      <c r="F163" s="299"/>
      <c r="G163" s="298"/>
      <c r="H163" s="299"/>
      <c r="I163" s="299"/>
      <c r="J163" s="298"/>
      <c r="K163" s="299"/>
      <c r="L163" s="298"/>
      <c r="M163" s="299"/>
      <c r="N163" s="298"/>
      <c r="O163" s="299"/>
      <c r="P163" s="298"/>
      <c r="Q163" s="299"/>
      <c r="R163" s="298"/>
      <c r="S163" s="299"/>
      <c r="T163" s="298"/>
      <c r="U163" s="309"/>
      <c r="V163" s="298"/>
      <c r="W163" s="299"/>
      <c r="X163" s="298"/>
      <c r="Y163" s="299"/>
      <c r="Z163" s="298"/>
      <c r="AA163" s="312"/>
      <c r="AB163" s="298"/>
      <c r="AC163" s="299"/>
      <c r="AD163" s="298"/>
      <c r="AE163" s="299"/>
      <c r="AF163" s="298"/>
      <c r="AG163" s="299"/>
      <c r="AH163" s="298"/>
    </row>
    <row r="164">
      <c r="A164" s="298"/>
      <c r="B164" s="299"/>
      <c r="C164" s="298"/>
      <c r="D164" s="303" t="s">
        <v>1677</v>
      </c>
      <c r="E164" s="298"/>
      <c r="F164" s="299"/>
      <c r="G164" s="298"/>
      <c r="H164" s="299"/>
      <c r="I164" s="299"/>
      <c r="J164" s="298"/>
      <c r="K164" s="299"/>
      <c r="L164" s="298"/>
      <c r="M164" s="299"/>
      <c r="N164" s="298"/>
      <c r="O164" s="299"/>
      <c r="P164" s="298"/>
      <c r="Q164" s="299"/>
      <c r="R164" s="298"/>
      <c r="S164" s="299"/>
      <c r="T164" s="298"/>
      <c r="U164" s="309"/>
      <c r="V164" s="298"/>
      <c r="W164" s="299"/>
      <c r="X164" s="298"/>
      <c r="Y164" s="299"/>
      <c r="Z164" s="298"/>
      <c r="AA164" s="312"/>
      <c r="AB164" s="298"/>
      <c r="AC164" s="299"/>
      <c r="AD164" s="298"/>
      <c r="AE164" s="299"/>
      <c r="AF164" s="298"/>
      <c r="AG164" s="299"/>
      <c r="AH164" s="298"/>
    </row>
    <row r="165">
      <c r="A165" s="298"/>
      <c r="B165" s="299"/>
      <c r="C165" s="298"/>
      <c r="D165" s="303" t="s">
        <v>947</v>
      </c>
      <c r="E165" s="298"/>
      <c r="F165" s="299"/>
      <c r="G165" s="298"/>
      <c r="H165" s="299"/>
      <c r="I165" s="299"/>
      <c r="J165" s="298"/>
      <c r="K165" s="299"/>
      <c r="L165" s="298"/>
      <c r="M165" s="299"/>
      <c r="N165" s="298"/>
      <c r="O165" s="299"/>
      <c r="P165" s="298"/>
      <c r="Q165" s="299"/>
      <c r="R165" s="298"/>
      <c r="S165" s="299"/>
      <c r="T165" s="298"/>
      <c r="U165" s="309"/>
      <c r="V165" s="298"/>
      <c r="W165" s="299"/>
      <c r="X165" s="298"/>
      <c r="Y165" s="299"/>
      <c r="Z165" s="298"/>
      <c r="AA165" s="312"/>
      <c r="AB165" s="298"/>
      <c r="AC165" s="299"/>
      <c r="AD165" s="298"/>
      <c r="AE165" s="299"/>
      <c r="AF165" s="298"/>
      <c r="AG165" s="299"/>
      <c r="AH165" s="298"/>
    </row>
    <row r="166">
      <c r="A166" s="298"/>
      <c r="B166" s="299"/>
      <c r="C166" s="298"/>
      <c r="D166" s="303" t="s">
        <v>1050</v>
      </c>
      <c r="E166" s="298"/>
      <c r="F166" s="299"/>
      <c r="G166" s="298"/>
      <c r="H166" s="299"/>
      <c r="I166" s="299"/>
      <c r="J166" s="298"/>
      <c r="K166" s="299"/>
      <c r="L166" s="298"/>
      <c r="M166" s="299"/>
      <c r="N166" s="298"/>
      <c r="O166" s="299"/>
      <c r="P166" s="298"/>
      <c r="Q166" s="299"/>
      <c r="R166" s="298"/>
      <c r="S166" s="299"/>
      <c r="T166" s="298"/>
      <c r="U166" s="309"/>
      <c r="V166" s="298"/>
      <c r="W166" s="299"/>
      <c r="X166" s="298"/>
      <c r="Y166" s="299"/>
      <c r="Z166" s="298"/>
      <c r="AA166" s="312"/>
      <c r="AB166" s="298"/>
      <c r="AC166" s="299"/>
      <c r="AD166" s="298"/>
      <c r="AE166" s="299"/>
      <c r="AF166" s="298"/>
      <c r="AG166" s="299"/>
      <c r="AH166" s="298"/>
    </row>
    <row r="167">
      <c r="A167" s="298"/>
      <c r="B167" s="299"/>
      <c r="C167" s="298"/>
      <c r="D167" s="303" t="s">
        <v>843</v>
      </c>
      <c r="E167" s="298"/>
      <c r="F167" s="299"/>
      <c r="G167" s="298"/>
      <c r="H167" s="299"/>
      <c r="I167" s="299"/>
      <c r="J167" s="298"/>
      <c r="K167" s="299"/>
      <c r="L167" s="298"/>
      <c r="M167" s="299"/>
      <c r="N167" s="298"/>
      <c r="O167" s="299"/>
      <c r="P167" s="298"/>
      <c r="Q167" s="299"/>
      <c r="R167" s="298"/>
      <c r="S167" s="299"/>
      <c r="T167" s="298"/>
      <c r="U167" s="309"/>
      <c r="V167" s="298"/>
      <c r="W167" s="299"/>
      <c r="X167" s="298"/>
      <c r="Y167" s="299"/>
      <c r="Z167" s="298"/>
      <c r="AA167" s="312"/>
      <c r="AB167" s="298"/>
      <c r="AC167" s="299"/>
      <c r="AD167" s="298"/>
      <c r="AE167" s="299"/>
      <c r="AF167" s="298"/>
      <c r="AG167" s="299"/>
      <c r="AH167" s="298"/>
    </row>
    <row r="168">
      <c r="A168" s="298"/>
      <c r="B168" s="299"/>
      <c r="C168" s="298"/>
      <c r="D168" s="303" t="s">
        <v>838</v>
      </c>
      <c r="E168" s="298"/>
      <c r="F168" s="299"/>
      <c r="G168" s="298"/>
      <c r="H168" s="299"/>
      <c r="I168" s="299"/>
      <c r="J168" s="298"/>
      <c r="K168" s="299"/>
      <c r="L168" s="298"/>
      <c r="M168" s="299"/>
      <c r="N168" s="298"/>
      <c r="O168" s="299"/>
      <c r="P168" s="298"/>
      <c r="Q168" s="299"/>
      <c r="R168" s="298"/>
      <c r="S168" s="299"/>
      <c r="T168" s="298"/>
      <c r="U168" s="309"/>
      <c r="V168" s="298"/>
      <c r="W168" s="299"/>
      <c r="X168" s="298"/>
      <c r="Y168" s="299"/>
      <c r="Z168" s="298"/>
      <c r="AA168" s="312"/>
      <c r="AB168" s="298"/>
      <c r="AC168" s="299"/>
      <c r="AD168" s="298"/>
      <c r="AE168" s="299"/>
      <c r="AF168" s="298"/>
      <c r="AG168" s="299"/>
      <c r="AH168" s="298"/>
    </row>
    <row r="169">
      <c r="A169" s="298"/>
      <c r="B169" s="299"/>
      <c r="C169" s="298"/>
      <c r="D169" s="303" t="s">
        <v>1678</v>
      </c>
      <c r="E169" s="298"/>
      <c r="F169" s="299"/>
      <c r="G169" s="298"/>
      <c r="H169" s="299"/>
      <c r="I169" s="299"/>
      <c r="J169" s="298"/>
      <c r="K169" s="299"/>
      <c r="L169" s="298"/>
      <c r="M169" s="299"/>
      <c r="N169" s="298"/>
      <c r="O169" s="299"/>
      <c r="P169" s="298"/>
      <c r="Q169" s="299"/>
      <c r="R169" s="298"/>
      <c r="S169" s="299"/>
      <c r="T169" s="298"/>
      <c r="U169" s="309"/>
      <c r="V169" s="298"/>
      <c r="W169" s="299"/>
      <c r="X169" s="298"/>
      <c r="Y169" s="299"/>
      <c r="Z169" s="298"/>
      <c r="AA169" s="312"/>
      <c r="AB169" s="298"/>
      <c r="AC169" s="299"/>
      <c r="AD169" s="298"/>
      <c r="AE169" s="299"/>
      <c r="AF169" s="298"/>
      <c r="AG169" s="299"/>
      <c r="AH169" s="298"/>
    </row>
    <row r="170">
      <c r="A170" s="298"/>
      <c r="B170" s="299"/>
      <c r="C170" s="298"/>
      <c r="D170" s="303" t="s">
        <v>1679</v>
      </c>
      <c r="E170" s="298"/>
      <c r="F170" s="299"/>
      <c r="G170" s="298"/>
      <c r="H170" s="299"/>
      <c r="I170" s="299"/>
      <c r="J170" s="298"/>
      <c r="K170" s="299"/>
      <c r="L170" s="298"/>
      <c r="M170" s="299"/>
      <c r="N170" s="298"/>
      <c r="O170" s="299"/>
      <c r="P170" s="298"/>
      <c r="Q170" s="299"/>
      <c r="R170" s="298"/>
      <c r="S170" s="299"/>
      <c r="T170" s="298"/>
      <c r="U170" s="309"/>
      <c r="V170" s="298"/>
      <c r="W170" s="299"/>
      <c r="X170" s="298"/>
      <c r="Y170" s="299"/>
      <c r="Z170" s="298"/>
      <c r="AA170" s="312"/>
      <c r="AB170" s="298"/>
      <c r="AC170" s="299"/>
      <c r="AD170" s="298"/>
      <c r="AE170" s="299"/>
      <c r="AF170" s="298"/>
      <c r="AG170" s="299"/>
      <c r="AH170" s="298"/>
    </row>
    <row r="171">
      <c r="A171" s="298"/>
      <c r="B171" s="299"/>
      <c r="C171" s="298"/>
      <c r="D171" s="303" t="s">
        <v>1680</v>
      </c>
      <c r="E171" s="298"/>
      <c r="F171" s="299"/>
      <c r="G171" s="298"/>
      <c r="H171" s="299"/>
      <c r="I171" s="299"/>
      <c r="J171" s="298"/>
      <c r="K171" s="299"/>
      <c r="L171" s="298"/>
      <c r="M171" s="299"/>
      <c r="N171" s="298"/>
      <c r="O171" s="299"/>
      <c r="P171" s="298"/>
      <c r="Q171" s="299"/>
      <c r="R171" s="298"/>
      <c r="S171" s="299"/>
      <c r="T171" s="298"/>
      <c r="U171" s="309"/>
      <c r="V171" s="298"/>
      <c r="W171" s="299"/>
      <c r="X171" s="298"/>
      <c r="Y171" s="299"/>
      <c r="Z171" s="298"/>
      <c r="AA171" s="312"/>
      <c r="AB171" s="298"/>
      <c r="AC171" s="299"/>
      <c r="AD171" s="298"/>
      <c r="AE171" s="299"/>
      <c r="AF171" s="298"/>
      <c r="AG171" s="299"/>
      <c r="AH171" s="298"/>
    </row>
    <row r="172">
      <c r="A172" s="298"/>
      <c r="B172" s="299"/>
      <c r="C172" s="298"/>
      <c r="D172" s="303" t="s">
        <v>1681</v>
      </c>
      <c r="E172" s="298"/>
      <c r="F172" s="299"/>
      <c r="G172" s="298"/>
      <c r="H172" s="299"/>
      <c r="I172" s="299"/>
      <c r="J172" s="298"/>
      <c r="K172" s="299"/>
      <c r="L172" s="298"/>
      <c r="M172" s="299"/>
      <c r="N172" s="298"/>
      <c r="O172" s="299"/>
      <c r="P172" s="298"/>
      <c r="Q172" s="299"/>
      <c r="R172" s="298"/>
      <c r="S172" s="299"/>
      <c r="T172" s="298"/>
      <c r="U172" s="309"/>
      <c r="V172" s="298"/>
      <c r="W172" s="299"/>
      <c r="X172" s="298"/>
      <c r="Y172" s="299"/>
      <c r="Z172" s="298"/>
      <c r="AA172" s="312"/>
      <c r="AB172" s="298"/>
      <c r="AC172" s="299"/>
      <c r="AD172" s="298"/>
      <c r="AE172" s="299"/>
      <c r="AF172" s="298"/>
      <c r="AG172" s="299"/>
      <c r="AH172" s="298"/>
    </row>
    <row r="173">
      <c r="A173" s="298"/>
      <c r="B173" s="299"/>
      <c r="C173" s="298"/>
      <c r="D173" s="303" t="s">
        <v>1104</v>
      </c>
      <c r="E173" s="298"/>
      <c r="F173" s="299"/>
      <c r="G173" s="298"/>
      <c r="H173" s="299"/>
      <c r="I173" s="299"/>
      <c r="J173" s="298"/>
      <c r="K173" s="299"/>
      <c r="L173" s="298"/>
      <c r="M173" s="299"/>
      <c r="N173" s="298"/>
      <c r="O173" s="299"/>
      <c r="P173" s="298"/>
      <c r="Q173" s="299"/>
      <c r="R173" s="298"/>
      <c r="S173" s="299"/>
      <c r="T173" s="298"/>
      <c r="U173" s="309"/>
      <c r="V173" s="298"/>
      <c r="W173" s="299"/>
      <c r="X173" s="298"/>
      <c r="Y173" s="299"/>
      <c r="Z173" s="298"/>
      <c r="AA173" s="312"/>
      <c r="AB173" s="298"/>
      <c r="AC173" s="299"/>
      <c r="AD173" s="298"/>
      <c r="AE173" s="299"/>
      <c r="AF173" s="298"/>
      <c r="AG173" s="299"/>
      <c r="AH173" s="298"/>
    </row>
    <row r="174">
      <c r="A174" s="298"/>
      <c r="B174" s="299"/>
      <c r="C174" s="298"/>
      <c r="D174" s="303" t="s">
        <v>1073</v>
      </c>
      <c r="E174" s="298"/>
      <c r="F174" s="299"/>
      <c r="G174" s="298"/>
      <c r="H174" s="299"/>
      <c r="I174" s="299"/>
      <c r="J174" s="298"/>
      <c r="K174" s="299"/>
      <c r="L174" s="298"/>
      <c r="M174" s="299"/>
      <c r="N174" s="298"/>
      <c r="O174" s="299"/>
      <c r="P174" s="298"/>
      <c r="Q174" s="299"/>
      <c r="R174" s="298"/>
      <c r="S174" s="299"/>
      <c r="T174" s="298"/>
      <c r="U174" s="309"/>
      <c r="V174" s="298"/>
      <c r="W174" s="299"/>
      <c r="X174" s="298"/>
      <c r="Y174" s="299"/>
      <c r="Z174" s="298"/>
      <c r="AA174" s="312"/>
      <c r="AB174" s="298"/>
      <c r="AC174" s="299"/>
      <c r="AD174" s="298"/>
      <c r="AE174" s="299"/>
      <c r="AF174" s="298"/>
      <c r="AG174" s="299"/>
      <c r="AH174" s="298"/>
    </row>
    <row r="175">
      <c r="A175" s="298"/>
      <c r="B175" s="299"/>
      <c r="C175" s="298"/>
      <c r="D175" s="303" t="s">
        <v>1682</v>
      </c>
      <c r="E175" s="298"/>
      <c r="F175" s="299"/>
      <c r="G175" s="298"/>
      <c r="H175" s="299"/>
      <c r="I175" s="299"/>
      <c r="J175" s="298"/>
      <c r="K175" s="299"/>
      <c r="L175" s="298"/>
      <c r="M175" s="299"/>
      <c r="N175" s="298"/>
      <c r="O175" s="299"/>
      <c r="P175" s="298"/>
      <c r="Q175" s="299"/>
      <c r="R175" s="298"/>
      <c r="S175" s="299"/>
      <c r="T175" s="298"/>
      <c r="U175" s="309"/>
      <c r="V175" s="298"/>
      <c r="W175" s="299"/>
      <c r="X175" s="298"/>
      <c r="Y175" s="299"/>
      <c r="Z175" s="298"/>
      <c r="AA175" s="312"/>
      <c r="AB175" s="298"/>
      <c r="AC175" s="299"/>
      <c r="AD175" s="298"/>
      <c r="AE175" s="299"/>
      <c r="AF175" s="298"/>
      <c r="AG175" s="299"/>
      <c r="AH175" s="298"/>
    </row>
    <row r="176">
      <c r="A176" s="298"/>
      <c r="B176" s="299"/>
      <c r="C176" s="298"/>
      <c r="D176" s="303" t="s">
        <v>1683</v>
      </c>
      <c r="E176" s="298"/>
      <c r="F176" s="299"/>
      <c r="G176" s="298"/>
      <c r="H176" s="299"/>
      <c r="I176" s="299"/>
      <c r="J176" s="298"/>
      <c r="K176" s="299"/>
      <c r="L176" s="298"/>
      <c r="M176" s="299"/>
      <c r="N176" s="298"/>
      <c r="O176" s="299"/>
      <c r="P176" s="298"/>
      <c r="Q176" s="299"/>
      <c r="R176" s="298"/>
      <c r="S176" s="299"/>
      <c r="T176" s="298"/>
      <c r="U176" s="309"/>
      <c r="V176" s="298"/>
      <c r="W176" s="299"/>
      <c r="X176" s="298"/>
      <c r="Y176" s="299"/>
      <c r="Z176" s="298"/>
      <c r="AA176" s="312"/>
      <c r="AB176" s="298"/>
      <c r="AC176" s="299"/>
      <c r="AD176" s="298"/>
      <c r="AE176" s="299"/>
      <c r="AF176" s="298"/>
      <c r="AG176" s="299"/>
      <c r="AH176" s="298"/>
    </row>
    <row r="177">
      <c r="A177" s="298"/>
      <c r="B177" s="299"/>
      <c r="C177" s="298"/>
      <c r="D177" s="303" t="s">
        <v>982</v>
      </c>
      <c r="E177" s="298"/>
      <c r="F177" s="299"/>
      <c r="G177" s="298"/>
      <c r="H177" s="299"/>
      <c r="I177" s="299"/>
      <c r="J177" s="298"/>
      <c r="K177" s="299"/>
      <c r="L177" s="298"/>
      <c r="M177" s="299"/>
      <c r="N177" s="298"/>
      <c r="O177" s="299"/>
      <c r="P177" s="298"/>
      <c r="Q177" s="299"/>
      <c r="R177" s="298"/>
      <c r="S177" s="299"/>
      <c r="T177" s="298"/>
      <c r="U177" s="309"/>
      <c r="V177" s="298"/>
      <c r="W177" s="299"/>
      <c r="X177" s="298"/>
      <c r="Y177" s="299"/>
      <c r="Z177" s="298"/>
      <c r="AA177" s="312"/>
      <c r="AB177" s="298"/>
      <c r="AC177" s="299"/>
      <c r="AD177" s="298"/>
      <c r="AE177" s="299"/>
      <c r="AF177" s="298"/>
      <c r="AG177" s="299"/>
      <c r="AH177" s="298"/>
    </row>
    <row r="178">
      <c r="A178" s="298"/>
      <c r="B178" s="299"/>
      <c r="C178" s="298"/>
      <c r="D178" s="303" t="s">
        <v>1019</v>
      </c>
      <c r="E178" s="298"/>
      <c r="F178" s="299"/>
      <c r="G178" s="298"/>
      <c r="H178" s="299"/>
      <c r="I178" s="299"/>
      <c r="J178" s="298"/>
      <c r="K178" s="299"/>
      <c r="L178" s="298"/>
      <c r="M178" s="299"/>
      <c r="N178" s="298"/>
      <c r="O178" s="299"/>
      <c r="P178" s="298"/>
      <c r="Q178" s="299"/>
      <c r="R178" s="298"/>
      <c r="S178" s="299"/>
      <c r="T178" s="298"/>
      <c r="U178" s="309"/>
      <c r="V178" s="298"/>
      <c r="W178" s="299"/>
      <c r="X178" s="298"/>
      <c r="Y178" s="299"/>
      <c r="Z178" s="298"/>
      <c r="AA178" s="312"/>
      <c r="AB178" s="298"/>
      <c r="AC178" s="299"/>
      <c r="AD178" s="298"/>
      <c r="AE178" s="299"/>
      <c r="AF178" s="298"/>
      <c r="AG178" s="299"/>
      <c r="AH178" s="298"/>
    </row>
    <row r="179">
      <c r="A179" s="298"/>
      <c r="B179" s="299"/>
      <c r="C179" s="298"/>
      <c r="D179" s="303" t="s">
        <v>1055</v>
      </c>
      <c r="E179" s="298"/>
      <c r="F179" s="299"/>
      <c r="G179" s="298"/>
      <c r="H179" s="299"/>
      <c r="I179" s="299"/>
      <c r="J179" s="298"/>
      <c r="K179" s="299"/>
      <c r="L179" s="298"/>
      <c r="M179" s="299"/>
      <c r="N179" s="298"/>
      <c r="O179" s="299"/>
      <c r="P179" s="298"/>
      <c r="Q179" s="299"/>
      <c r="R179" s="298"/>
      <c r="S179" s="299"/>
      <c r="T179" s="298"/>
      <c r="U179" s="309"/>
      <c r="V179" s="298"/>
      <c r="W179" s="299"/>
      <c r="X179" s="298"/>
      <c r="Y179" s="299"/>
      <c r="Z179" s="298"/>
      <c r="AA179" s="312"/>
      <c r="AB179" s="298"/>
      <c r="AC179" s="299"/>
      <c r="AD179" s="298"/>
      <c r="AE179" s="299"/>
      <c r="AF179" s="298"/>
      <c r="AG179" s="299"/>
      <c r="AH179" s="298"/>
    </row>
    <row r="180">
      <c r="A180" s="298"/>
      <c r="B180" s="299"/>
      <c r="C180" s="298"/>
      <c r="D180" s="303" t="s">
        <v>1684</v>
      </c>
      <c r="E180" s="298"/>
      <c r="F180" s="299"/>
      <c r="G180" s="298"/>
      <c r="H180" s="299"/>
      <c r="I180" s="299"/>
      <c r="J180" s="298"/>
      <c r="K180" s="299"/>
      <c r="L180" s="298"/>
      <c r="M180" s="299"/>
      <c r="N180" s="298"/>
      <c r="O180" s="299"/>
      <c r="P180" s="298"/>
      <c r="Q180" s="299"/>
      <c r="R180" s="298"/>
      <c r="S180" s="299"/>
      <c r="T180" s="298"/>
      <c r="U180" s="309"/>
      <c r="V180" s="298"/>
      <c r="W180" s="299"/>
      <c r="X180" s="298"/>
      <c r="Y180" s="299"/>
      <c r="Z180" s="298"/>
      <c r="AA180" s="312"/>
      <c r="AB180" s="298"/>
      <c r="AC180" s="299"/>
      <c r="AD180" s="298"/>
      <c r="AE180" s="299"/>
      <c r="AF180" s="298"/>
      <c r="AG180" s="299"/>
      <c r="AH180" s="298"/>
    </row>
    <row r="181">
      <c r="A181" s="298"/>
      <c r="B181" s="299"/>
      <c r="C181" s="298"/>
      <c r="D181" s="303" t="s">
        <v>858</v>
      </c>
      <c r="E181" s="298"/>
      <c r="F181" s="299"/>
      <c r="G181" s="298"/>
      <c r="H181" s="299"/>
      <c r="I181" s="299"/>
      <c r="J181" s="298"/>
      <c r="K181" s="299"/>
      <c r="L181" s="298"/>
      <c r="M181" s="299"/>
      <c r="N181" s="298"/>
      <c r="O181" s="299"/>
      <c r="P181" s="298"/>
      <c r="Q181" s="299"/>
      <c r="R181" s="298"/>
      <c r="S181" s="299"/>
      <c r="T181" s="298"/>
      <c r="U181" s="309"/>
      <c r="V181" s="298"/>
      <c r="W181" s="299"/>
      <c r="X181" s="298"/>
      <c r="Y181" s="299"/>
      <c r="Z181" s="298"/>
      <c r="AA181" s="312"/>
      <c r="AB181" s="298"/>
      <c r="AC181" s="299"/>
      <c r="AD181" s="298"/>
      <c r="AE181" s="299"/>
      <c r="AF181" s="298"/>
      <c r="AG181" s="299"/>
      <c r="AH181" s="298"/>
    </row>
    <row r="182">
      <c r="A182" s="298"/>
      <c r="B182" s="299"/>
      <c r="C182" s="298"/>
      <c r="D182" s="303" t="s">
        <v>906</v>
      </c>
      <c r="E182" s="298"/>
      <c r="F182" s="299"/>
      <c r="G182" s="298"/>
      <c r="H182" s="299"/>
      <c r="I182" s="299"/>
      <c r="J182" s="298"/>
      <c r="K182" s="299"/>
      <c r="L182" s="298"/>
      <c r="M182" s="299"/>
      <c r="N182" s="298"/>
      <c r="O182" s="299"/>
      <c r="P182" s="298"/>
      <c r="Q182" s="299"/>
      <c r="R182" s="298"/>
      <c r="S182" s="299"/>
      <c r="T182" s="298"/>
      <c r="U182" s="309"/>
      <c r="V182" s="298"/>
      <c r="W182" s="299"/>
      <c r="X182" s="298"/>
      <c r="Y182" s="299"/>
      <c r="Z182" s="298"/>
      <c r="AA182" s="312"/>
      <c r="AB182" s="298"/>
      <c r="AC182" s="299"/>
      <c r="AD182" s="298"/>
      <c r="AE182" s="299"/>
      <c r="AF182" s="298"/>
      <c r="AG182" s="299"/>
      <c r="AH182" s="298"/>
    </row>
    <row r="183">
      <c r="A183" s="298"/>
      <c r="B183" s="299"/>
      <c r="C183" s="298"/>
      <c r="D183" s="303" t="s">
        <v>908</v>
      </c>
      <c r="E183" s="298"/>
      <c r="F183" s="299"/>
      <c r="G183" s="298"/>
      <c r="H183" s="299"/>
      <c r="I183" s="299"/>
      <c r="J183" s="298"/>
      <c r="K183" s="299"/>
      <c r="L183" s="298"/>
      <c r="M183" s="299"/>
      <c r="N183" s="298"/>
      <c r="O183" s="299"/>
      <c r="P183" s="298"/>
      <c r="Q183" s="299"/>
      <c r="R183" s="298"/>
      <c r="S183" s="299"/>
      <c r="T183" s="298"/>
      <c r="U183" s="309"/>
      <c r="V183" s="298"/>
      <c r="W183" s="299"/>
      <c r="X183" s="298"/>
      <c r="Y183" s="299"/>
      <c r="Z183" s="298"/>
      <c r="AA183" s="312"/>
      <c r="AB183" s="298"/>
      <c r="AC183" s="299"/>
      <c r="AD183" s="298"/>
      <c r="AE183" s="299"/>
      <c r="AF183" s="298"/>
      <c r="AG183" s="299"/>
      <c r="AH183" s="298"/>
    </row>
    <row r="184">
      <c r="A184" s="298"/>
      <c r="B184" s="299"/>
      <c r="C184" s="298"/>
      <c r="D184" s="303" t="s">
        <v>1685</v>
      </c>
      <c r="E184" s="298"/>
      <c r="F184" s="299"/>
      <c r="G184" s="298"/>
      <c r="H184" s="299"/>
      <c r="I184" s="299"/>
      <c r="J184" s="298"/>
      <c r="K184" s="299"/>
      <c r="L184" s="298"/>
      <c r="M184" s="299"/>
      <c r="N184" s="298"/>
      <c r="O184" s="299"/>
      <c r="P184" s="298"/>
      <c r="Q184" s="299"/>
      <c r="R184" s="298"/>
      <c r="S184" s="299"/>
      <c r="T184" s="298"/>
      <c r="U184" s="309"/>
      <c r="V184" s="298"/>
      <c r="W184" s="299"/>
      <c r="X184" s="298"/>
      <c r="Y184" s="299"/>
      <c r="Z184" s="298"/>
      <c r="AA184" s="312"/>
      <c r="AB184" s="298"/>
      <c r="AC184" s="299"/>
      <c r="AD184" s="298"/>
      <c r="AE184" s="299"/>
      <c r="AF184" s="298"/>
      <c r="AG184" s="299"/>
      <c r="AH184" s="298"/>
    </row>
    <row r="185">
      <c r="A185" s="298"/>
      <c r="B185" s="299"/>
      <c r="C185" s="298"/>
      <c r="D185" s="303" t="s">
        <v>899</v>
      </c>
      <c r="E185" s="298"/>
      <c r="F185" s="299"/>
      <c r="G185" s="298"/>
      <c r="H185" s="299"/>
      <c r="I185" s="299"/>
      <c r="J185" s="298"/>
      <c r="K185" s="299"/>
      <c r="L185" s="298"/>
      <c r="M185" s="299"/>
      <c r="N185" s="298"/>
      <c r="O185" s="299"/>
      <c r="P185" s="298"/>
      <c r="Q185" s="299"/>
      <c r="R185" s="298"/>
      <c r="S185" s="299"/>
      <c r="T185" s="298"/>
      <c r="U185" s="309"/>
      <c r="V185" s="298"/>
      <c r="W185" s="299"/>
      <c r="X185" s="298"/>
      <c r="Y185" s="299"/>
      <c r="Z185" s="298"/>
      <c r="AA185" s="312"/>
      <c r="AB185" s="298"/>
      <c r="AC185" s="299"/>
      <c r="AD185" s="298"/>
      <c r="AE185" s="299"/>
      <c r="AF185" s="298"/>
      <c r="AG185" s="299"/>
      <c r="AH185" s="298"/>
    </row>
    <row r="186">
      <c r="A186" s="298"/>
      <c r="B186" s="299"/>
      <c r="C186" s="298"/>
      <c r="D186" s="303" t="s">
        <v>1037</v>
      </c>
      <c r="E186" s="298"/>
      <c r="F186" s="299"/>
      <c r="G186" s="298"/>
      <c r="H186" s="299"/>
      <c r="I186" s="299"/>
      <c r="J186" s="298"/>
      <c r="K186" s="299"/>
      <c r="L186" s="298"/>
      <c r="M186" s="299"/>
      <c r="N186" s="298"/>
      <c r="O186" s="299"/>
      <c r="P186" s="298"/>
      <c r="Q186" s="299"/>
      <c r="R186" s="298"/>
      <c r="S186" s="299"/>
      <c r="T186" s="298"/>
      <c r="U186" s="309"/>
      <c r="V186" s="298"/>
      <c r="W186" s="299"/>
      <c r="X186" s="298"/>
      <c r="Y186" s="299"/>
      <c r="Z186" s="298"/>
      <c r="AA186" s="312"/>
      <c r="AB186" s="298"/>
      <c r="AC186" s="299"/>
      <c r="AD186" s="298"/>
      <c r="AE186" s="299"/>
      <c r="AF186" s="298"/>
      <c r="AG186" s="299"/>
      <c r="AH186" s="298"/>
    </row>
    <row r="187">
      <c r="A187" s="298"/>
      <c r="B187" s="299"/>
      <c r="C187" s="298"/>
      <c r="D187" s="303" t="s">
        <v>1686</v>
      </c>
      <c r="E187" s="298"/>
      <c r="F187" s="299"/>
      <c r="G187" s="298"/>
      <c r="H187" s="299"/>
      <c r="I187" s="299"/>
      <c r="J187" s="298"/>
      <c r="K187" s="299"/>
      <c r="L187" s="298"/>
      <c r="M187" s="299"/>
      <c r="N187" s="298"/>
      <c r="O187" s="299"/>
      <c r="P187" s="298"/>
      <c r="Q187" s="299"/>
      <c r="R187" s="298"/>
      <c r="S187" s="299"/>
      <c r="T187" s="298"/>
      <c r="U187" s="309"/>
      <c r="V187" s="298"/>
      <c r="W187" s="299"/>
      <c r="X187" s="298"/>
      <c r="Y187" s="299"/>
      <c r="Z187" s="298"/>
      <c r="AA187" s="312"/>
      <c r="AB187" s="298"/>
      <c r="AC187" s="299"/>
      <c r="AD187" s="298"/>
      <c r="AE187" s="299"/>
      <c r="AF187" s="298"/>
      <c r="AG187" s="299"/>
      <c r="AH187" s="298"/>
    </row>
    <row r="188">
      <c r="A188" s="298"/>
      <c r="B188" s="299"/>
      <c r="C188" s="298"/>
      <c r="D188" s="303" t="s">
        <v>1687</v>
      </c>
      <c r="E188" s="298"/>
      <c r="F188" s="299"/>
      <c r="G188" s="298"/>
      <c r="H188" s="299"/>
      <c r="I188" s="299"/>
      <c r="J188" s="298"/>
      <c r="K188" s="299"/>
      <c r="L188" s="298"/>
      <c r="M188" s="299"/>
      <c r="N188" s="298"/>
      <c r="O188" s="299"/>
      <c r="P188" s="298"/>
      <c r="Q188" s="299"/>
      <c r="R188" s="298"/>
      <c r="S188" s="299"/>
      <c r="T188" s="298"/>
      <c r="U188" s="309"/>
      <c r="V188" s="298"/>
      <c r="W188" s="299"/>
      <c r="X188" s="298"/>
      <c r="Y188" s="299"/>
      <c r="Z188" s="298"/>
      <c r="AA188" s="312"/>
      <c r="AB188" s="298"/>
      <c r="AC188" s="299"/>
      <c r="AD188" s="298"/>
      <c r="AE188" s="299"/>
      <c r="AF188" s="298"/>
      <c r="AG188" s="299"/>
      <c r="AH188" s="298"/>
    </row>
    <row r="189">
      <c r="A189" s="298"/>
      <c r="B189" s="299"/>
      <c r="C189" s="298"/>
      <c r="D189" s="303" t="s">
        <v>1688</v>
      </c>
      <c r="E189" s="298"/>
      <c r="F189" s="299"/>
      <c r="G189" s="298"/>
      <c r="H189" s="299"/>
      <c r="I189" s="299"/>
      <c r="J189" s="298"/>
      <c r="K189" s="299"/>
      <c r="L189" s="298"/>
      <c r="M189" s="299"/>
      <c r="N189" s="298"/>
      <c r="O189" s="299"/>
      <c r="P189" s="298"/>
      <c r="Q189" s="299"/>
      <c r="R189" s="298"/>
      <c r="S189" s="299"/>
      <c r="T189" s="298"/>
      <c r="U189" s="309"/>
      <c r="V189" s="298"/>
      <c r="W189" s="299"/>
      <c r="X189" s="298"/>
      <c r="Y189" s="299"/>
      <c r="Z189" s="298"/>
      <c r="AA189" s="312"/>
      <c r="AB189" s="298"/>
      <c r="AC189" s="299"/>
      <c r="AD189" s="298"/>
      <c r="AE189" s="299"/>
      <c r="AF189" s="298"/>
      <c r="AG189" s="299"/>
      <c r="AH189" s="298"/>
    </row>
    <row r="190">
      <c r="A190" s="298"/>
      <c r="B190" s="299"/>
      <c r="C190" s="298"/>
      <c r="D190" s="303" t="s">
        <v>1689</v>
      </c>
      <c r="E190" s="298"/>
      <c r="F190" s="299"/>
      <c r="G190" s="298"/>
      <c r="H190" s="299"/>
      <c r="I190" s="299"/>
      <c r="J190" s="298"/>
      <c r="K190" s="299"/>
      <c r="L190" s="298"/>
      <c r="M190" s="299"/>
      <c r="N190" s="298"/>
      <c r="O190" s="299"/>
      <c r="P190" s="298"/>
      <c r="Q190" s="299"/>
      <c r="R190" s="298"/>
      <c r="S190" s="299"/>
      <c r="T190" s="298"/>
      <c r="U190" s="309"/>
      <c r="V190" s="298"/>
      <c r="W190" s="299"/>
      <c r="X190" s="298"/>
      <c r="Y190" s="299"/>
      <c r="Z190" s="298"/>
      <c r="AA190" s="312"/>
      <c r="AB190" s="298"/>
      <c r="AC190" s="299"/>
      <c r="AD190" s="298"/>
      <c r="AE190" s="299"/>
      <c r="AF190" s="298"/>
      <c r="AG190" s="299"/>
      <c r="AH190" s="298"/>
    </row>
    <row r="191">
      <c r="A191" s="298"/>
      <c r="B191" s="299"/>
      <c r="C191" s="298"/>
      <c r="D191" s="303" t="s">
        <v>1690</v>
      </c>
      <c r="E191" s="298"/>
      <c r="F191" s="299"/>
      <c r="G191" s="298"/>
      <c r="H191" s="299"/>
      <c r="I191" s="299"/>
      <c r="J191" s="298"/>
      <c r="K191" s="299"/>
      <c r="L191" s="298"/>
      <c r="M191" s="299"/>
      <c r="N191" s="298"/>
      <c r="O191" s="299"/>
      <c r="P191" s="298"/>
      <c r="Q191" s="299"/>
      <c r="R191" s="298"/>
      <c r="S191" s="299"/>
      <c r="T191" s="298"/>
      <c r="U191" s="309"/>
      <c r="V191" s="298"/>
      <c r="W191" s="299"/>
      <c r="X191" s="298"/>
      <c r="Y191" s="299"/>
      <c r="Z191" s="298"/>
      <c r="AA191" s="312"/>
      <c r="AB191" s="298"/>
      <c r="AC191" s="299"/>
      <c r="AD191" s="298"/>
      <c r="AE191" s="299"/>
      <c r="AF191" s="298"/>
      <c r="AG191" s="299"/>
      <c r="AH191" s="298"/>
    </row>
    <row r="192">
      <c r="A192" s="298"/>
      <c r="B192" s="299"/>
      <c r="C192" s="298"/>
      <c r="D192" s="303" t="s">
        <v>1691</v>
      </c>
      <c r="E192" s="298"/>
      <c r="F192" s="299"/>
      <c r="G192" s="298"/>
      <c r="H192" s="299"/>
      <c r="I192" s="299"/>
      <c r="J192" s="298"/>
      <c r="K192" s="299"/>
      <c r="L192" s="298"/>
      <c r="M192" s="299"/>
      <c r="N192" s="298"/>
      <c r="O192" s="299"/>
      <c r="P192" s="298"/>
      <c r="Q192" s="299"/>
      <c r="R192" s="298"/>
      <c r="S192" s="299"/>
      <c r="T192" s="298"/>
      <c r="U192" s="309"/>
      <c r="V192" s="298"/>
      <c r="W192" s="299"/>
      <c r="X192" s="298"/>
      <c r="Y192" s="299"/>
      <c r="Z192" s="298"/>
      <c r="AA192" s="312"/>
      <c r="AB192" s="298"/>
      <c r="AC192" s="299"/>
      <c r="AD192" s="298"/>
      <c r="AE192" s="299"/>
      <c r="AF192" s="298"/>
      <c r="AG192" s="299"/>
      <c r="AH192" s="298"/>
    </row>
    <row r="193">
      <c r="A193" s="298"/>
      <c r="B193" s="299"/>
      <c r="C193" s="298"/>
      <c r="D193" s="303" t="s">
        <v>1692</v>
      </c>
      <c r="E193" s="298"/>
      <c r="F193" s="299"/>
      <c r="G193" s="298"/>
      <c r="H193" s="299"/>
      <c r="I193" s="299"/>
      <c r="J193" s="298"/>
      <c r="K193" s="299"/>
      <c r="L193" s="298"/>
      <c r="M193" s="299"/>
      <c r="N193" s="298"/>
      <c r="O193" s="299"/>
      <c r="P193" s="298"/>
      <c r="Q193" s="299"/>
      <c r="R193" s="298"/>
      <c r="S193" s="299"/>
      <c r="T193" s="298"/>
      <c r="U193" s="309"/>
      <c r="V193" s="298"/>
      <c r="W193" s="299"/>
      <c r="X193" s="298"/>
      <c r="Y193" s="299"/>
      <c r="Z193" s="298"/>
      <c r="AA193" s="312"/>
      <c r="AB193" s="298"/>
      <c r="AC193" s="299"/>
      <c r="AD193" s="298"/>
      <c r="AE193" s="299"/>
      <c r="AF193" s="298"/>
      <c r="AG193" s="299"/>
      <c r="AH193" s="298"/>
    </row>
    <row r="194">
      <c r="A194" s="298"/>
      <c r="B194" s="299"/>
      <c r="C194" s="298"/>
      <c r="D194" s="303" t="s">
        <v>928</v>
      </c>
      <c r="E194" s="298"/>
      <c r="F194" s="299"/>
      <c r="G194" s="298"/>
      <c r="H194" s="299"/>
      <c r="I194" s="299"/>
      <c r="J194" s="298"/>
      <c r="K194" s="299"/>
      <c r="L194" s="298"/>
      <c r="M194" s="299"/>
      <c r="N194" s="298"/>
      <c r="O194" s="299"/>
      <c r="P194" s="298"/>
      <c r="Q194" s="299"/>
      <c r="R194" s="298"/>
      <c r="S194" s="299"/>
      <c r="T194" s="298"/>
      <c r="U194" s="309"/>
      <c r="V194" s="298"/>
      <c r="W194" s="299"/>
      <c r="X194" s="298"/>
      <c r="Y194" s="299"/>
      <c r="Z194" s="298"/>
      <c r="AA194" s="312"/>
      <c r="AB194" s="298"/>
      <c r="AC194" s="299"/>
      <c r="AD194" s="298"/>
      <c r="AE194" s="299"/>
      <c r="AF194" s="298"/>
      <c r="AG194" s="299"/>
      <c r="AH194" s="298"/>
    </row>
    <row r="195">
      <c r="A195" s="298"/>
      <c r="B195" s="299"/>
      <c r="C195" s="298"/>
      <c r="D195" s="303" t="s">
        <v>929</v>
      </c>
      <c r="E195" s="298"/>
      <c r="F195" s="299"/>
      <c r="G195" s="298"/>
      <c r="H195" s="299"/>
      <c r="I195" s="299"/>
      <c r="J195" s="298"/>
      <c r="K195" s="299"/>
      <c r="L195" s="298"/>
      <c r="M195" s="299"/>
      <c r="N195" s="298"/>
      <c r="O195" s="299"/>
      <c r="P195" s="298"/>
      <c r="Q195" s="299"/>
      <c r="R195" s="298"/>
      <c r="S195" s="299"/>
      <c r="T195" s="298"/>
      <c r="U195" s="309"/>
      <c r="V195" s="298"/>
      <c r="W195" s="299"/>
      <c r="X195" s="298"/>
      <c r="Y195" s="299"/>
      <c r="Z195" s="298"/>
      <c r="AA195" s="312"/>
      <c r="AB195" s="298"/>
      <c r="AC195" s="299"/>
      <c r="AD195" s="298"/>
      <c r="AE195" s="299"/>
      <c r="AF195" s="298"/>
      <c r="AG195" s="299"/>
      <c r="AH195" s="298"/>
    </row>
    <row r="196">
      <c r="A196" s="298"/>
      <c r="B196" s="299"/>
      <c r="C196" s="298"/>
      <c r="D196" s="303" t="s">
        <v>1693</v>
      </c>
      <c r="E196" s="298"/>
      <c r="F196" s="299"/>
      <c r="G196" s="298"/>
      <c r="H196" s="299"/>
      <c r="I196" s="299"/>
      <c r="J196" s="298"/>
      <c r="K196" s="299"/>
      <c r="L196" s="298"/>
      <c r="M196" s="299"/>
      <c r="N196" s="298"/>
      <c r="O196" s="299"/>
      <c r="P196" s="298"/>
      <c r="Q196" s="299"/>
      <c r="R196" s="298"/>
      <c r="S196" s="299"/>
      <c r="T196" s="298"/>
      <c r="U196" s="309"/>
      <c r="V196" s="298"/>
      <c r="W196" s="299"/>
      <c r="X196" s="298"/>
      <c r="Y196" s="299"/>
      <c r="Z196" s="298"/>
      <c r="AA196" s="312"/>
      <c r="AB196" s="298"/>
      <c r="AC196" s="299"/>
      <c r="AD196" s="298"/>
      <c r="AE196" s="299"/>
      <c r="AF196" s="298"/>
      <c r="AG196" s="299"/>
      <c r="AH196" s="298"/>
    </row>
    <row r="197">
      <c r="A197" s="298"/>
      <c r="B197" s="299"/>
      <c r="C197" s="298"/>
      <c r="D197" s="303" t="s">
        <v>1694</v>
      </c>
      <c r="E197" s="298"/>
      <c r="F197" s="299"/>
      <c r="G197" s="298"/>
      <c r="H197" s="299"/>
      <c r="I197" s="299"/>
      <c r="J197" s="298"/>
      <c r="K197" s="299"/>
      <c r="L197" s="298"/>
      <c r="M197" s="299"/>
      <c r="N197" s="298"/>
      <c r="O197" s="299"/>
      <c r="P197" s="298"/>
      <c r="Q197" s="299"/>
      <c r="R197" s="298"/>
      <c r="S197" s="299"/>
      <c r="T197" s="298"/>
      <c r="U197" s="309"/>
      <c r="V197" s="298"/>
      <c r="W197" s="299"/>
      <c r="X197" s="298"/>
      <c r="Y197" s="299"/>
      <c r="Z197" s="298"/>
      <c r="AA197" s="312"/>
      <c r="AB197" s="298"/>
      <c r="AC197" s="299"/>
      <c r="AD197" s="298"/>
      <c r="AE197" s="299"/>
      <c r="AF197" s="298"/>
      <c r="AG197" s="299"/>
      <c r="AH197" s="298"/>
    </row>
    <row r="198">
      <c r="A198" s="298"/>
      <c r="B198" s="299"/>
      <c r="C198" s="298"/>
      <c r="D198" s="303" t="s">
        <v>975</v>
      </c>
      <c r="E198" s="298"/>
      <c r="F198" s="299"/>
      <c r="G198" s="298"/>
      <c r="H198" s="299"/>
      <c r="I198" s="299"/>
      <c r="J198" s="298"/>
      <c r="K198" s="299"/>
      <c r="L198" s="298"/>
      <c r="M198" s="299"/>
      <c r="N198" s="298"/>
      <c r="O198" s="299"/>
      <c r="P198" s="298"/>
      <c r="Q198" s="299"/>
      <c r="R198" s="298"/>
      <c r="S198" s="299"/>
      <c r="T198" s="298"/>
      <c r="U198" s="309"/>
      <c r="V198" s="298"/>
      <c r="W198" s="299"/>
      <c r="X198" s="298"/>
      <c r="Y198" s="299"/>
      <c r="Z198" s="298"/>
      <c r="AA198" s="312"/>
      <c r="AB198" s="298"/>
      <c r="AC198" s="299"/>
      <c r="AD198" s="298"/>
      <c r="AE198" s="299"/>
      <c r="AF198" s="298"/>
      <c r="AG198" s="299"/>
      <c r="AH198" s="298"/>
    </row>
    <row r="199">
      <c r="A199" s="298"/>
      <c r="B199" s="299"/>
      <c r="C199" s="298"/>
      <c r="D199" s="303" t="s">
        <v>1695</v>
      </c>
      <c r="E199" s="298"/>
      <c r="F199" s="299"/>
      <c r="G199" s="298"/>
      <c r="H199" s="299"/>
      <c r="I199" s="299"/>
      <c r="J199" s="298"/>
      <c r="K199" s="299"/>
      <c r="L199" s="298"/>
      <c r="M199" s="299"/>
      <c r="N199" s="298"/>
      <c r="O199" s="299"/>
      <c r="P199" s="298"/>
      <c r="Q199" s="299"/>
      <c r="R199" s="298"/>
      <c r="S199" s="299"/>
      <c r="T199" s="298"/>
      <c r="U199" s="309"/>
      <c r="V199" s="298"/>
      <c r="W199" s="299"/>
      <c r="X199" s="298"/>
      <c r="Y199" s="299"/>
      <c r="Z199" s="298"/>
      <c r="AA199" s="312"/>
      <c r="AB199" s="298"/>
      <c r="AC199" s="299"/>
      <c r="AD199" s="298"/>
      <c r="AE199" s="299"/>
      <c r="AF199" s="298"/>
      <c r="AG199" s="299"/>
      <c r="AH199" s="298"/>
    </row>
    <row r="200">
      <c r="A200" s="298"/>
      <c r="B200" s="299"/>
      <c r="C200" s="298"/>
      <c r="D200" s="303" t="s">
        <v>1696</v>
      </c>
      <c r="E200" s="298"/>
      <c r="F200" s="299"/>
      <c r="G200" s="298"/>
      <c r="H200" s="299"/>
      <c r="I200" s="299"/>
      <c r="J200" s="298"/>
      <c r="K200" s="299"/>
      <c r="L200" s="298"/>
      <c r="M200" s="299"/>
      <c r="N200" s="298"/>
      <c r="O200" s="299"/>
      <c r="P200" s="298"/>
      <c r="Q200" s="299"/>
      <c r="R200" s="298"/>
      <c r="S200" s="299"/>
      <c r="T200" s="298"/>
      <c r="U200" s="309"/>
      <c r="V200" s="298"/>
      <c r="W200" s="299"/>
      <c r="X200" s="298"/>
      <c r="Y200" s="299"/>
      <c r="Z200" s="298"/>
      <c r="AA200" s="312"/>
      <c r="AB200" s="298"/>
      <c r="AC200" s="299"/>
      <c r="AD200" s="298"/>
      <c r="AE200" s="299"/>
      <c r="AF200" s="298"/>
      <c r="AG200" s="299"/>
      <c r="AH200" s="298"/>
    </row>
    <row r="201">
      <c r="A201" s="298"/>
      <c r="B201" s="299"/>
      <c r="C201" s="298"/>
      <c r="D201" s="303" t="s">
        <v>850</v>
      </c>
      <c r="E201" s="298"/>
      <c r="F201" s="299"/>
      <c r="G201" s="298"/>
      <c r="H201" s="299"/>
      <c r="I201" s="299"/>
      <c r="J201" s="298"/>
      <c r="K201" s="299"/>
      <c r="L201" s="298"/>
      <c r="M201" s="299"/>
      <c r="N201" s="298"/>
      <c r="O201" s="299"/>
      <c r="P201" s="298"/>
      <c r="Q201" s="299"/>
      <c r="R201" s="298"/>
      <c r="S201" s="299"/>
      <c r="T201" s="298"/>
      <c r="U201" s="309"/>
      <c r="V201" s="298"/>
      <c r="W201" s="299"/>
      <c r="X201" s="298"/>
      <c r="Y201" s="299"/>
      <c r="Z201" s="298"/>
      <c r="AA201" s="312"/>
      <c r="AB201" s="298"/>
      <c r="AC201" s="299"/>
      <c r="AD201" s="298"/>
      <c r="AE201" s="299"/>
      <c r="AF201" s="298"/>
      <c r="AG201" s="299"/>
      <c r="AH201" s="298"/>
    </row>
    <row r="202">
      <c r="A202" s="298"/>
      <c r="B202" s="299"/>
      <c r="C202" s="298"/>
      <c r="D202" s="303" t="s">
        <v>1053</v>
      </c>
      <c r="E202" s="298"/>
      <c r="F202" s="299"/>
      <c r="G202" s="298"/>
      <c r="H202" s="299"/>
      <c r="I202" s="299"/>
      <c r="J202" s="298"/>
      <c r="K202" s="299"/>
      <c r="L202" s="298"/>
      <c r="M202" s="299"/>
      <c r="N202" s="298"/>
      <c r="O202" s="299"/>
      <c r="P202" s="298"/>
      <c r="Q202" s="299"/>
      <c r="R202" s="298"/>
      <c r="S202" s="299"/>
      <c r="T202" s="298"/>
      <c r="U202" s="309"/>
      <c r="V202" s="298"/>
      <c r="W202" s="299"/>
      <c r="X202" s="298"/>
      <c r="Y202" s="299"/>
      <c r="Z202" s="298"/>
      <c r="AA202" s="312"/>
      <c r="AB202" s="298"/>
      <c r="AC202" s="299"/>
      <c r="AD202" s="298"/>
      <c r="AE202" s="299"/>
      <c r="AF202" s="298"/>
      <c r="AG202" s="299"/>
      <c r="AH202" s="298"/>
    </row>
    <row r="203">
      <c r="A203" s="298"/>
      <c r="B203" s="299"/>
      <c r="C203" s="298"/>
      <c r="D203" s="303" t="s">
        <v>1697</v>
      </c>
      <c r="E203" s="298"/>
      <c r="F203" s="299"/>
      <c r="G203" s="298"/>
      <c r="H203" s="299"/>
      <c r="I203" s="299"/>
      <c r="J203" s="298"/>
      <c r="K203" s="299"/>
      <c r="L203" s="298"/>
      <c r="M203" s="299"/>
      <c r="N203" s="298"/>
      <c r="O203" s="299"/>
      <c r="P203" s="298"/>
      <c r="Q203" s="299"/>
      <c r="R203" s="298"/>
      <c r="S203" s="299"/>
      <c r="T203" s="298"/>
      <c r="U203" s="309"/>
      <c r="V203" s="298"/>
      <c r="W203" s="299"/>
      <c r="X203" s="298"/>
      <c r="Y203" s="299"/>
      <c r="Z203" s="298"/>
      <c r="AA203" s="312"/>
      <c r="AB203" s="298"/>
      <c r="AC203" s="299"/>
      <c r="AD203" s="298"/>
      <c r="AE203" s="299"/>
      <c r="AF203" s="298"/>
      <c r="AG203" s="299"/>
      <c r="AH203" s="298"/>
    </row>
    <row r="204">
      <c r="A204" s="298"/>
      <c r="B204" s="299"/>
      <c r="C204" s="298"/>
      <c r="D204" s="303" t="s">
        <v>883</v>
      </c>
      <c r="E204" s="298"/>
      <c r="F204" s="299"/>
      <c r="G204" s="298"/>
      <c r="H204" s="299"/>
      <c r="I204" s="299"/>
      <c r="J204" s="298"/>
      <c r="K204" s="299"/>
      <c r="L204" s="298"/>
      <c r="M204" s="299"/>
      <c r="N204" s="298"/>
      <c r="O204" s="299"/>
      <c r="P204" s="298"/>
      <c r="Q204" s="299"/>
      <c r="R204" s="298"/>
      <c r="S204" s="299"/>
      <c r="T204" s="298"/>
      <c r="U204" s="309"/>
      <c r="V204" s="298"/>
      <c r="W204" s="299"/>
      <c r="X204" s="298"/>
      <c r="Y204" s="299"/>
      <c r="Z204" s="298"/>
      <c r="AA204" s="312"/>
      <c r="AB204" s="298"/>
      <c r="AC204" s="299"/>
      <c r="AD204" s="298"/>
      <c r="AE204" s="299"/>
      <c r="AF204" s="298"/>
      <c r="AG204" s="299"/>
      <c r="AH204" s="298"/>
    </row>
    <row r="205">
      <c r="A205" s="298"/>
      <c r="B205" s="299"/>
      <c r="C205" s="298"/>
      <c r="D205" s="303" t="s">
        <v>1698</v>
      </c>
      <c r="E205" s="298"/>
      <c r="F205" s="299"/>
      <c r="G205" s="298"/>
      <c r="H205" s="299"/>
      <c r="I205" s="299"/>
      <c r="J205" s="298"/>
      <c r="K205" s="299"/>
      <c r="L205" s="298"/>
      <c r="M205" s="299"/>
      <c r="N205" s="298"/>
      <c r="O205" s="299"/>
      <c r="P205" s="298"/>
      <c r="Q205" s="299"/>
      <c r="R205" s="298"/>
      <c r="S205" s="299"/>
      <c r="T205" s="298"/>
      <c r="U205" s="309"/>
      <c r="V205" s="298"/>
      <c r="W205" s="299"/>
      <c r="X205" s="298"/>
      <c r="Y205" s="299"/>
      <c r="Z205" s="298"/>
      <c r="AA205" s="312"/>
      <c r="AB205" s="298"/>
      <c r="AC205" s="299"/>
      <c r="AD205" s="298"/>
      <c r="AE205" s="299"/>
      <c r="AF205" s="298"/>
      <c r="AG205" s="299"/>
      <c r="AH205" s="298"/>
    </row>
    <row r="206">
      <c r="A206" s="298"/>
      <c r="B206" s="299"/>
      <c r="C206" s="298"/>
      <c r="D206" s="303" t="s">
        <v>1699</v>
      </c>
      <c r="E206" s="298"/>
      <c r="F206" s="299"/>
      <c r="G206" s="298"/>
      <c r="H206" s="299"/>
      <c r="I206" s="299"/>
      <c r="J206" s="298"/>
      <c r="K206" s="299"/>
      <c r="L206" s="298"/>
      <c r="M206" s="299"/>
      <c r="N206" s="298"/>
      <c r="O206" s="299"/>
      <c r="P206" s="298"/>
      <c r="Q206" s="299"/>
      <c r="R206" s="298"/>
      <c r="S206" s="299"/>
      <c r="T206" s="298"/>
      <c r="U206" s="309"/>
      <c r="V206" s="298"/>
      <c r="W206" s="299"/>
      <c r="X206" s="298"/>
      <c r="Y206" s="299"/>
      <c r="Z206" s="298"/>
      <c r="AA206" s="312"/>
      <c r="AB206" s="298"/>
      <c r="AC206" s="299"/>
      <c r="AD206" s="298"/>
      <c r="AE206" s="299"/>
      <c r="AF206" s="298"/>
      <c r="AG206" s="299"/>
      <c r="AH206" s="298"/>
    </row>
    <row r="207">
      <c r="A207" s="298"/>
      <c r="B207" s="299"/>
      <c r="C207" s="298"/>
      <c r="D207" s="303" t="s">
        <v>1700</v>
      </c>
      <c r="E207" s="298"/>
      <c r="F207" s="299"/>
      <c r="G207" s="298"/>
      <c r="H207" s="299"/>
      <c r="I207" s="299"/>
      <c r="J207" s="298"/>
      <c r="K207" s="299"/>
      <c r="L207" s="298"/>
      <c r="M207" s="299"/>
      <c r="N207" s="298"/>
      <c r="O207" s="299"/>
      <c r="P207" s="298"/>
      <c r="Q207" s="299"/>
      <c r="R207" s="298"/>
      <c r="S207" s="299"/>
      <c r="T207" s="298"/>
      <c r="U207" s="309"/>
      <c r="V207" s="298"/>
      <c r="W207" s="299"/>
      <c r="X207" s="298"/>
      <c r="Y207" s="299"/>
      <c r="Z207" s="298"/>
      <c r="AA207" s="312"/>
      <c r="AB207" s="298"/>
      <c r="AC207" s="299"/>
      <c r="AD207" s="298"/>
      <c r="AE207" s="299"/>
      <c r="AF207" s="298"/>
      <c r="AG207" s="299"/>
      <c r="AH207" s="298"/>
    </row>
    <row r="208">
      <c r="A208" s="298"/>
      <c r="B208" s="299"/>
      <c r="C208" s="298"/>
      <c r="D208" s="303" t="s">
        <v>879</v>
      </c>
      <c r="E208" s="298"/>
      <c r="F208" s="299"/>
      <c r="G208" s="298"/>
      <c r="H208" s="299"/>
      <c r="I208" s="299"/>
      <c r="J208" s="298"/>
      <c r="K208" s="299"/>
      <c r="L208" s="298"/>
      <c r="M208" s="299"/>
      <c r="N208" s="298"/>
      <c r="O208" s="299"/>
      <c r="P208" s="298"/>
      <c r="Q208" s="299"/>
      <c r="R208" s="298"/>
      <c r="S208" s="299"/>
      <c r="T208" s="298"/>
      <c r="U208" s="309"/>
      <c r="V208" s="298"/>
      <c r="W208" s="299"/>
      <c r="X208" s="298"/>
      <c r="Y208" s="299"/>
      <c r="Z208" s="298"/>
      <c r="AA208" s="312"/>
      <c r="AB208" s="298"/>
      <c r="AC208" s="299"/>
      <c r="AD208" s="298"/>
      <c r="AE208" s="299"/>
      <c r="AF208" s="298"/>
      <c r="AG208" s="299"/>
      <c r="AH208" s="298"/>
    </row>
    <row r="209">
      <c r="A209" s="298"/>
      <c r="B209" s="299"/>
      <c r="C209" s="298"/>
      <c r="D209" s="303" t="s">
        <v>1022</v>
      </c>
      <c r="E209" s="298"/>
      <c r="F209" s="299"/>
      <c r="G209" s="298"/>
      <c r="H209" s="299"/>
      <c r="I209" s="299"/>
      <c r="J209" s="298"/>
      <c r="K209" s="299"/>
      <c r="L209" s="298"/>
      <c r="M209" s="299"/>
      <c r="N209" s="298"/>
      <c r="O209" s="299"/>
      <c r="P209" s="298"/>
      <c r="Q209" s="299"/>
      <c r="R209" s="298"/>
      <c r="S209" s="299"/>
      <c r="T209" s="298"/>
      <c r="U209" s="309"/>
      <c r="V209" s="298"/>
      <c r="W209" s="299"/>
      <c r="X209" s="298"/>
      <c r="Y209" s="299"/>
      <c r="Z209" s="298"/>
      <c r="AA209" s="312"/>
      <c r="AB209" s="298"/>
      <c r="AC209" s="299"/>
      <c r="AD209" s="298"/>
      <c r="AE209" s="299"/>
      <c r="AF209" s="298"/>
      <c r="AG209" s="299"/>
      <c r="AH209" s="298"/>
    </row>
    <row r="210">
      <c r="A210" s="298"/>
      <c r="B210" s="299"/>
      <c r="C210" s="298"/>
      <c r="D210" s="303" t="s">
        <v>1014</v>
      </c>
      <c r="E210" s="298"/>
      <c r="F210" s="299"/>
      <c r="G210" s="298"/>
      <c r="H210" s="299"/>
      <c r="I210" s="299"/>
      <c r="J210" s="298"/>
      <c r="K210" s="299"/>
      <c r="L210" s="298"/>
      <c r="M210" s="299"/>
      <c r="N210" s="298"/>
      <c r="O210" s="299"/>
      <c r="P210" s="298"/>
      <c r="Q210" s="299"/>
      <c r="R210" s="298"/>
      <c r="S210" s="299"/>
      <c r="T210" s="298"/>
      <c r="U210" s="309"/>
      <c r="V210" s="298"/>
      <c r="W210" s="299"/>
      <c r="X210" s="298"/>
      <c r="Y210" s="299"/>
      <c r="Z210" s="298"/>
      <c r="AA210" s="312"/>
      <c r="AB210" s="298"/>
      <c r="AC210" s="299"/>
      <c r="AD210" s="298"/>
      <c r="AE210" s="299"/>
      <c r="AF210" s="298"/>
      <c r="AG210" s="299"/>
      <c r="AH210" s="298"/>
    </row>
    <row r="211">
      <c r="A211" s="298"/>
      <c r="B211" s="299"/>
      <c r="C211" s="298"/>
      <c r="D211" s="303" t="s">
        <v>1009</v>
      </c>
      <c r="E211" s="298"/>
      <c r="F211" s="299"/>
      <c r="G211" s="298"/>
      <c r="H211" s="299"/>
      <c r="I211" s="299"/>
      <c r="J211" s="298"/>
      <c r="K211" s="299"/>
      <c r="L211" s="298"/>
      <c r="M211" s="299"/>
      <c r="N211" s="298"/>
      <c r="O211" s="299"/>
      <c r="P211" s="298"/>
      <c r="Q211" s="299"/>
      <c r="R211" s="298"/>
      <c r="S211" s="299"/>
      <c r="T211" s="298"/>
      <c r="U211" s="309"/>
      <c r="V211" s="298"/>
      <c r="W211" s="299"/>
      <c r="X211" s="298"/>
      <c r="Y211" s="299"/>
      <c r="Z211" s="298"/>
      <c r="AA211" s="312"/>
      <c r="AB211" s="298"/>
      <c r="AC211" s="299"/>
      <c r="AD211" s="298"/>
      <c r="AE211" s="299"/>
      <c r="AF211" s="298"/>
      <c r="AG211" s="299"/>
      <c r="AH211" s="298"/>
    </row>
    <row r="212">
      <c r="A212" s="298"/>
      <c r="B212" s="299"/>
      <c r="C212" s="298"/>
      <c r="D212" s="299"/>
      <c r="E212" s="298"/>
      <c r="F212" s="299"/>
      <c r="G212" s="298"/>
      <c r="H212" s="299"/>
      <c r="I212" s="299"/>
      <c r="J212" s="298"/>
      <c r="K212" s="299"/>
      <c r="L212" s="298"/>
      <c r="M212" s="299"/>
      <c r="N212" s="298"/>
      <c r="O212" s="299"/>
      <c r="P212" s="298"/>
      <c r="Q212" s="299"/>
      <c r="R212" s="298"/>
      <c r="S212" s="299"/>
      <c r="T212" s="298"/>
      <c r="U212" s="309"/>
      <c r="V212" s="298"/>
      <c r="W212" s="299"/>
      <c r="X212" s="298"/>
      <c r="Y212" s="299"/>
      <c r="Z212" s="298"/>
      <c r="AA212" s="312"/>
      <c r="AB212" s="298"/>
      <c r="AC212" s="299"/>
      <c r="AD212" s="298"/>
      <c r="AE212" s="299"/>
      <c r="AF212" s="298"/>
      <c r="AG212" s="299"/>
      <c r="AH212" s="298"/>
    </row>
    <row r="213">
      <c r="A213" s="298"/>
      <c r="B213" s="299"/>
      <c r="C213" s="298"/>
      <c r="D213" s="299"/>
      <c r="E213" s="298"/>
      <c r="F213" s="299"/>
      <c r="G213" s="298"/>
      <c r="H213" s="299"/>
      <c r="I213" s="299"/>
      <c r="J213" s="298"/>
      <c r="K213" s="299"/>
      <c r="L213" s="298"/>
      <c r="M213" s="299"/>
      <c r="N213" s="298"/>
      <c r="O213" s="299"/>
      <c r="P213" s="298"/>
      <c r="Q213" s="299"/>
      <c r="R213" s="298"/>
      <c r="S213" s="299"/>
      <c r="T213" s="298"/>
      <c r="U213" s="309"/>
      <c r="V213" s="298"/>
      <c r="W213" s="299"/>
      <c r="X213" s="298"/>
      <c r="Y213" s="299"/>
      <c r="Z213" s="298"/>
      <c r="AA213" s="312"/>
      <c r="AB213" s="298"/>
      <c r="AC213" s="299"/>
      <c r="AD213" s="298"/>
      <c r="AE213" s="299"/>
      <c r="AF213" s="298"/>
      <c r="AG213" s="299"/>
      <c r="AH213" s="298"/>
    </row>
    <row r="214">
      <c r="A214" s="298"/>
      <c r="B214" s="299"/>
      <c r="C214" s="298"/>
      <c r="D214" s="299"/>
      <c r="E214" s="298"/>
      <c r="F214" s="299"/>
      <c r="G214" s="298"/>
      <c r="H214" s="299"/>
      <c r="I214" s="299"/>
      <c r="J214" s="298"/>
      <c r="K214" s="299"/>
      <c r="L214" s="298"/>
      <c r="M214" s="299"/>
      <c r="N214" s="298"/>
      <c r="O214" s="299"/>
      <c r="P214" s="298"/>
      <c r="Q214" s="299"/>
      <c r="R214" s="298"/>
      <c r="S214" s="299"/>
      <c r="T214" s="298"/>
      <c r="U214" s="309"/>
      <c r="V214" s="298"/>
      <c r="W214" s="299"/>
      <c r="X214" s="298"/>
      <c r="Y214" s="299"/>
      <c r="Z214" s="298"/>
      <c r="AA214" s="312"/>
      <c r="AB214" s="298"/>
      <c r="AC214" s="299"/>
      <c r="AD214" s="298"/>
      <c r="AE214" s="299"/>
      <c r="AF214" s="298"/>
      <c r="AG214" s="299"/>
      <c r="AH214" s="298"/>
    </row>
    <row r="215">
      <c r="A215" s="298"/>
      <c r="B215" s="299"/>
      <c r="C215" s="298"/>
      <c r="D215" s="299"/>
      <c r="E215" s="298"/>
      <c r="F215" s="299"/>
      <c r="G215" s="298"/>
      <c r="H215" s="299"/>
      <c r="I215" s="299"/>
      <c r="J215" s="298"/>
      <c r="K215" s="299"/>
      <c r="L215" s="298"/>
      <c r="M215" s="299"/>
      <c r="N215" s="298"/>
      <c r="O215" s="299"/>
      <c r="P215" s="298"/>
      <c r="Q215" s="299"/>
      <c r="R215" s="298"/>
      <c r="S215" s="299"/>
      <c r="T215" s="298"/>
      <c r="U215" s="309"/>
      <c r="V215" s="298"/>
      <c r="W215" s="299"/>
      <c r="X215" s="298"/>
      <c r="Y215" s="299"/>
      <c r="Z215" s="298"/>
      <c r="AA215" s="312"/>
      <c r="AB215" s="298"/>
      <c r="AC215" s="299"/>
      <c r="AD215" s="298"/>
      <c r="AE215" s="299"/>
      <c r="AF215" s="298"/>
      <c r="AG215" s="299"/>
      <c r="AH215" s="298"/>
    </row>
    <row r="216">
      <c r="A216" s="298"/>
      <c r="B216" s="299"/>
      <c r="C216" s="298"/>
      <c r="D216" s="299"/>
      <c r="E216" s="298"/>
      <c r="F216" s="299"/>
      <c r="G216" s="298"/>
      <c r="H216" s="299"/>
      <c r="I216" s="299"/>
      <c r="J216" s="298"/>
      <c r="K216" s="299"/>
      <c r="L216" s="298"/>
      <c r="M216" s="299"/>
      <c r="N216" s="298"/>
      <c r="O216" s="299"/>
      <c r="P216" s="298"/>
      <c r="Q216" s="299"/>
      <c r="R216" s="298"/>
      <c r="S216" s="299"/>
      <c r="T216" s="298"/>
      <c r="U216" s="309"/>
      <c r="V216" s="298"/>
      <c r="W216" s="299"/>
      <c r="X216" s="298"/>
      <c r="Y216" s="299"/>
      <c r="Z216" s="298"/>
      <c r="AA216" s="312"/>
      <c r="AB216" s="298"/>
      <c r="AC216" s="299"/>
      <c r="AD216" s="298"/>
      <c r="AE216" s="299"/>
      <c r="AF216" s="298"/>
      <c r="AG216" s="299"/>
      <c r="AH216" s="298"/>
    </row>
    <row r="217">
      <c r="A217" s="298"/>
      <c r="B217" s="299"/>
      <c r="C217" s="298"/>
      <c r="D217" s="299"/>
      <c r="E217" s="298"/>
      <c r="F217" s="299"/>
      <c r="G217" s="298"/>
      <c r="H217" s="299"/>
      <c r="I217" s="299"/>
      <c r="J217" s="298"/>
      <c r="K217" s="299"/>
      <c r="L217" s="298"/>
      <c r="M217" s="299"/>
      <c r="N217" s="298"/>
      <c r="O217" s="299"/>
      <c r="P217" s="298"/>
      <c r="Q217" s="299"/>
      <c r="R217" s="298"/>
      <c r="S217" s="299"/>
      <c r="T217" s="298"/>
      <c r="U217" s="309"/>
      <c r="V217" s="298"/>
      <c r="W217" s="299"/>
      <c r="X217" s="298"/>
      <c r="Y217" s="299"/>
      <c r="Z217" s="298"/>
      <c r="AA217" s="312"/>
      <c r="AB217" s="298"/>
      <c r="AC217" s="299"/>
      <c r="AD217" s="298"/>
      <c r="AE217" s="299"/>
      <c r="AF217" s="298"/>
      <c r="AG217" s="299"/>
      <c r="AH217" s="298"/>
    </row>
    <row r="218">
      <c r="A218" s="298"/>
      <c r="B218" s="299"/>
      <c r="C218" s="298"/>
      <c r="D218" s="299"/>
      <c r="E218" s="298"/>
      <c r="F218" s="299"/>
      <c r="G218" s="298"/>
      <c r="H218" s="299"/>
      <c r="I218" s="299"/>
      <c r="J218" s="298"/>
      <c r="K218" s="299"/>
      <c r="L218" s="298"/>
      <c r="M218" s="299"/>
      <c r="N218" s="298"/>
      <c r="O218" s="299"/>
      <c r="P218" s="298"/>
      <c r="Q218" s="299"/>
      <c r="R218" s="298"/>
      <c r="S218" s="299"/>
      <c r="T218" s="298"/>
      <c r="U218" s="309"/>
      <c r="V218" s="298"/>
      <c r="W218" s="299"/>
      <c r="X218" s="298"/>
      <c r="Y218" s="299"/>
      <c r="Z218" s="298"/>
      <c r="AA218" s="312"/>
      <c r="AB218" s="298"/>
      <c r="AC218" s="299"/>
      <c r="AD218" s="298"/>
      <c r="AE218" s="299"/>
      <c r="AF218" s="298"/>
      <c r="AG218" s="299"/>
      <c r="AH218" s="298"/>
    </row>
    <row r="219">
      <c r="A219" s="298"/>
      <c r="B219" s="299"/>
      <c r="C219" s="298"/>
      <c r="D219" s="299"/>
      <c r="E219" s="298"/>
      <c r="F219" s="299"/>
      <c r="G219" s="298"/>
      <c r="H219" s="299"/>
      <c r="I219" s="299"/>
      <c r="J219" s="298"/>
      <c r="K219" s="299"/>
      <c r="L219" s="298"/>
      <c r="M219" s="299"/>
      <c r="N219" s="298"/>
      <c r="O219" s="299"/>
      <c r="P219" s="298"/>
      <c r="Q219" s="299"/>
      <c r="R219" s="298"/>
      <c r="S219" s="299"/>
      <c r="T219" s="298"/>
      <c r="U219" s="309"/>
      <c r="V219" s="298"/>
      <c r="W219" s="299"/>
      <c r="X219" s="298"/>
      <c r="Y219" s="299"/>
      <c r="Z219" s="298"/>
      <c r="AA219" s="312"/>
      <c r="AB219" s="298"/>
      <c r="AC219" s="299"/>
      <c r="AD219" s="298"/>
      <c r="AE219" s="299"/>
      <c r="AF219" s="298"/>
      <c r="AG219" s="299"/>
      <c r="AH219" s="298"/>
    </row>
    <row r="220">
      <c r="A220" s="298"/>
      <c r="B220" s="299"/>
      <c r="C220" s="298"/>
      <c r="D220" s="299"/>
      <c r="E220" s="298"/>
      <c r="F220" s="299"/>
      <c r="G220" s="298"/>
      <c r="H220" s="299"/>
      <c r="I220" s="299"/>
      <c r="J220" s="298"/>
      <c r="K220" s="299"/>
      <c r="L220" s="298"/>
      <c r="M220" s="299"/>
      <c r="N220" s="298"/>
      <c r="O220" s="299"/>
      <c r="P220" s="298"/>
      <c r="Q220" s="299"/>
      <c r="R220" s="298"/>
      <c r="S220" s="299"/>
      <c r="T220" s="298"/>
      <c r="U220" s="309"/>
      <c r="V220" s="298"/>
      <c r="W220" s="299"/>
      <c r="X220" s="298"/>
      <c r="Y220" s="299"/>
      <c r="Z220" s="298"/>
      <c r="AA220" s="312"/>
      <c r="AB220" s="298"/>
      <c r="AC220" s="299"/>
      <c r="AD220" s="298"/>
      <c r="AE220" s="299"/>
      <c r="AF220" s="298"/>
      <c r="AG220" s="299"/>
      <c r="AH220" s="298"/>
    </row>
    <row r="221">
      <c r="A221" s="298"/>
      <c r="B221" s="299"/>
      <c r="C221" s="298"/>
      <c r="D221" s="299"/>
      <c r="E221" s="298"/>
      <c r="F221" s="299"/>
      <c r="G221" s="298"/>
      <c r="H221" s="299"/>
      <c r="I221" s="299"/>
      <c r="J221" s="298"/>
      <c r="K221" s="299"/>
      <c r="L221" s="298"/>
      <c r="M221" s="299"/>
      <c r="N221" s="298"/>
      <c r="O221" s="299"/>
      <c r="P221" s="298"/>
      <c r="Q221" s="299"/>
      <c r="R221" s="298"/>
      <c r="S221" s="299"/>
      <c r="T221" s="298"/>
      <c r="U221" s="309"/>
      <c r="V221" s="298"/>
      <c r="W221" s="299"/>
      <c r="X221" s="298"/>
      <c r="Y221" s="299"/>
      <c r="Z221" s="298"/>
      <c r="AA221" s="312"/>
      <c r="AB221" s="298"/>
      <c r="AC221" s="299"/>
      <c r="AD221" s="298"/>
      <c r="AE221" s="299"/>
      <c r="AF221" s="298"/>
      <c r="AG221" s="299"/>
      <c r="AH221" s="298"/>
    </row>
    <row r="222">
      <c r="A222" s="298"/>
      <c r="B222" s="299"/>
      <c r="C222" s="298"/>
      <c r="D222" s="299"/>
      <c r="E222" s="298"/>
      <c r="F222" s="299"/>
      <c r="G222" s="298"/>
      <c r="H222" s="299"/>
      <c r="I222" s="299"/>
      <c r="J222" s="298"/>
      <c r="K222" s="299"/>
      <c r="L222" s="298"/>
      <c r="M222" s="299"/>
      <c r="N222" s="298"/>
      <c r="O222" s="299"/>
      <c r="P222" s="298"/>
      <c r="Q222" s="299"/>
      <c r="R222" s="298"/>
      <c r="S222" s="299"/>
      <c r="T222" s="298"/>
      <c r="U222" s="309"/>
      <c r="V222" s="298"/>
      <c r="W222" s="299"/>
      <c r="X222" s="298"/>
      <c r="Y222" s="299"/>
      <c r="Z222" s="298"/>
      <c r="AA222" s="312"/>
      <c r="AB222" s="298"/>
      <c r="AC222" s="299"/>
      <c r="AD222" s="298"/>
      <c r="AE222" s="299"/>
      <c r="AF222" s="298"/>
      <c r="AG222" s="299"/>
      <c r="AH222" s="298"/>
    </row>
    <row r="223">
      <c r="A223" s="298"/>
      <c r="B223" s="299"/>
      <c r="C223" s="298"/>
      <c r="D223" s="299"/>
      <c r="E223" s="298"/>
      <c r="F223" s="299"/>
      <c r="G223" s="298"/>
      <c r="H223" s="299"/>
      <c r="I223" s="299"/>
      <c r="J223" s="298"/>
      <c r="K223" s="299"/>
      <c r="L223" s="298"/>
      <c r="M223" s="299"/>
      <c r="N223" s="298"/>
      <c r="O223" s="299"/>
      <c r="P223" s="298"/>
      <c r="Q223" s="299"/>
      <c r="R223" s="298"/>
      <c r="S223" s="299"/>
      <c r="T223" s="298"/>
      <c r="U223" s="309"/>
      <c r="V223" s="298"/>
      <c r="W223" s="299"/>
      <c r="X223" s="298"/>
      <c r="Y223" s="299"/>
      <c r="Z223" s="298"/>
      <c r="AA223" s="312"/>
      <c r="AB223" s="298"/>
      <c r="AC223" s="299"/>
      <c r="AD223" s="298"/>
      <c r="AE223" s="299"/>
      <c r="AF223" s="298"/>
      <c r="AG223" s="299"/>
      <c r="AH223" s="298"/>
    </row>
    <row r="224">
      <c r="A224" s="298"/>
      <c r="B224" s="299"/>
      <c r="C224" s="298"/>
      <c r="D224" s="299"/>
      <c r="E224" s="298"/>
      <c r="F224" s="299"/>
      <c r="G224" s="298"/>
      <c r="H224" s="299"/>
      <c r="I224" s="299"/>
      <c r="J224" s="298"/>
      <c r="K224" s="299"/>
      <c r="L224" s="298"/>
      <c r="M224" s="299"/>
      <c r="N224" s="298"/>
      <c r="O224" s="299"/>
      <c r="P224" s="298"/>
      <c r="Q224" s="299"/>
      <c r="R224" s="298"/>
      <c r="S224" s="299"/>
      <c r="T224" s="298"/>
      <c r="U224" s="309"/>
      <c r="V224" s="298"/>
      <c r="W224" s="299"/>
      <c r="X224" s="298"/>
      <c r="Y224" s="299"/>
      <c r="Z224" s="298"/>
      <c r="AA224" s="312"/>
      <c r="AB224" s="298"/>
      <c r="AC224" s="299"/>
      <c r="AD224" s="298"/>
      <c r="AE224" s="299"/>
      <c r="AF224" s="298"/>
      <c r="AG224" s="299"/>
      <c r="AH224" s="298"/>
    </row>
    <row r="225">
      <c r="A225" s="298"/>
      <c r="B225" s="299"/>
      <c r="C225" s="298"/>
      <c r="D225" s="299"/>
      <c r="E225" s="298"/>
      <c r="F225" s="299"/>
      <c r="G225" s="298"/>
      <c r="H225" s="299"/>
      <c r="I225" s="299"/>
      <c r="J225" s="298"/>
      <c r="K225" s="299"/>
      <c r="L225" s="298"/>
      <c r="M225" s="299"/>
      <c r="N225" s="298"/>
      <c r="O225" s="299"/>
      <c r="P225" s="298"/>
      <c r="Q225" s="299"/>
      <c r="R225" s="298"/>
      <c r="S225" s="299"/>
      <c r="T225" s="298"/>
      <c r="U225" s="309"/>
      <c r="V225" s="298"/>
      <c r="W225" s="299"/>
      <c r="X225" s="298"/>
      <c r="Y225" s="299"/>
      <c r="Z225" s="298"/>
      <c r="AA225" s="312"/>
      <c r="AB225" s="298"/>
      <c r="AC225" s="299"/>
      <c r="AD225" s="298"/>
      <c r="AE225" s="299"/>
      <c r="AF225" s="298"/>
      <c r="AG225" s="299"/>
      <c r="AH225" s="298"/>
    </row>
    <row r="226">
      <c r="A226" s="298"/>
      <c r="B226" s="299"/>
      <c r="C226" s="298"/>
      <c r="D226" s="299"/>
      <c r="E226" s="298"/>
      <c r="F226" s="299"/>
      <c r="G226" s="298"/>
      <c r="H226" s="299"/>
      <c r="I226" s="299"/>
      <c r="J226" s="298"/>
      <c r="K226" s="299"/>
      <c r="L226" s="298"/>
      <c r="M226" s="299"/>
      <c r="N226" s="298"/>
      <c r="O226" s="299"/>
      <c r="P226" s="298"/>
      <c r="Q226" s="299"/>
      <c r="R226" s="298"/>
      <c r="S226" s="299"/>
      <c r="T226" s="298"/>
      <c r="U226" s="309"/>
      <c r="V226" s="298"/>
      <c r="W226" s="299"/>
      <c r="X226" s="298"/>
      <c r="Y226" s="299"/>
      <c r="Z226" s="298"/>
      <c r="AA226" s="312"/>
      <c r="AB226" s="298"/>
      <c r="AC226" s="299"/>
      <c r="AD226" s="298"/>
      <c r="AE226" s="299"/>
      <c r="AF226" s="298"/>
      <c r="AG226" s="299"/>
      <c r="AH226" s="298"/>
    </row>
    <row r="227">
      <c r="A227" s="298"/>
      <c r="B227" s="299"/>
      <c r="C227" s="298"/>
      <c r="D227" s="299"/>
      <c r="E227" s="298"/>
      <c r="F227" s="299"/>
      <c r="G227" s="298"/>
      <c r="H227" s="299"/>
      <c r="I227" s="299"/>
      <c r="J227" s="298"/>
      <c r="K227" s="299"/>
      <c r="L227" s="298"/>
      <c r="M227" s="299"/>
      <c r="N227" s="298"/>
      <c r="O227" s="299"/>
      <c r="P227" s="298"/>
      <c r="Q227" s="299"/>
      <c r="R227" s="298"/>
      <c r="S227" s="299"/>
      <c r="T227" s="298"/>
      <c r="U227" s="309"/>
      <c r="V227" s="298"/>
      <c r="W227" s="299"/>
      <c r="X227" s="298"/>
      <c r="Y227" s="299"/>
      <c r="Z227" s="298"/>
      <c r="AA227" s="312"/>
      <c r="AB227" s="298"/>
      <c r="AC227" s="299"/>
      <c r="AD227" s="298"/>
      <c r="AE227" s="299"/>
      <c r="AF227" s="298"/>
      <c r="AG227" s="299"/>
      <c r="AH227" s="298"/>
    </row>
    <row r="228">
      <c r="A228" s="298"/>
      <c r="B228" s="299"/>
      <c r="C228" s="298"/>
      <c r="D228" s="299"/>
      <c r="E228" s="298"/>
      <c r="F228" s="299"/>
      <c r="G228" s="298"/>
      <c r="H228" s="299"/>
      <c r="I228" s="299"/>
      <c r="J228" s="298"/>
      <c r="K228" s="299"/>
      <c r="L228" s="298"/>
      <c r="M228" s="299"/>
      <c r="N228" s="298"/>
      <c r="O228" s="299"/>
      <c r="P228" s="298"/>
      <c r="Q228" s="299"/>
      <c r="R228" s="298"/>
      <c r="S228" s="299"/>
      <c r="T228" s="298"/>
      <c r="U228" s="309"/>
      <c r="V228" s="298"/>
      <c r="W228" s="299"/>
      <c r="X228" s="298"/>
      <c r="Y228" s="299"/>
      <c r="Z228" s="298"/>
      <c r="AA228" s="312"/>
      <c r="AB228" s="298"/>
      <c r="AC228" s="299"/>
      <c r="AD228" s="298"/>
      <c r="AE228" s="299"/>
      <c r="AF228" s="298"/>
      <c r="AG228" s="299"/>
      <c r="AH228" s="298"/>
    </row>
    <row r="229">
      <c r="A229" s="298"/>
      <c r="B229" s="299"/>
      <c r="C229" s="298"/>
      <c r="D229" s="299"/>
      <c r="E229" s="298"/>
      <c r="F229" s="299"/>
      <c r="G229" s="298"/>
      <c r="H229" s="299"/>
      <c r="I229" s="299"/>
      <c r="J229" s="298"/>
      <c r="K229" s="299"/>
      <c r="L229" s="298"/>
      <c r="M229" s="299"/>
      <c r="N229" s="298"/>
      <c r="O229" s="299"/>
      <c r="P229" s="298"/>
      <c r="Q229" s="299"/>
      <c r="R229" s="298"/>
      <c r="S229" s="299"/>
      <c r="T229" s="298"/>
      <c r="U229" s="309"/>
      <c r="V229" s="298"/>
      <c r="W229" s="299"/>
      <c r="X229" s="298"/>
      <c r="Y229" s="299"/>
      <c r="Z229" s="298"/>
      <c r="AA229" s="312"/>
      <c r="AB229" s="298"/>
      <c r="AC229" s="299"/>
      <c r="AD229" s="298"/>
      <c r="AE229" s="299"/>
      <c r="AF229" s="298"/>
      <c r="AG229" s="299"/>
      <c r="AH229" s="298"/>
    </row>
    <row r="230">
      <c r="A230" s="298"/>
      <c r="B230" s="299"/>
      <c r="C230" s="298"/>
      <c r="D230" s="299"/>
      <c r="E230" s="298"/>
      <c r="F230" s="299"/>
      <c r="G230" s="298"/>
      <c r="H230" s="299"/>
      <c r="I230" s="299"/>
      <c r="J230" s="298"/>
      <c r="K230" s="299"/>
      <c r="L230" s="298"/>
      <c r="M230" s="299"/>
      <c r="N230" s="298"/>
      <c r="O230" s="299"/>
      <c r="P230" s="298"/>
      <c r="Q230" s="299"/>
      <c r="R230" s="298"/>
      <c r="S230" s="299"/>
      <c r="T230" s="298"/>
      <c r="U230" s="309"/>
      <c r="V230" s="298"/>
      <c r="W230" s="299"/>
      <c r="X230" s="298"/>
      <c r="Y230" s="299"/>
      <c r="Z230" s="298"/>
      <c r="AA230" s="312"/>
      <c r="AB230" s="298"/>
      <c r="AC230" s="299"/>
      <c r="AD230" s="298"/>
      <c r="AE230" s="299"/>
      <c r="AF230" s="298"/>
      <c r="AG230" s="299"/>
      <c r="AH230" s="298"/>
    </row>
    <row r="231">
      <c r="A231" s="298"/>
      <c r="B231" s="299"/>
      <c r="C231" s="298"/>
      <c r="D231" s="299"/>
      <c r="E231" s="298"/>
      <c r="F231" s="299"/>
      <c r="G231" s="298"/>
      <c r="H231" s="299"/>
      <c r="I231" s="299"/>
      <c r="J231" s="298"/>
      <c r="K231" s="299"/>
      <c r="L231" s="298"/>
      <c r="M231" s="299"/>
      <c r="N231" s="298"/>
      <c r="O231" s="299"/>
      <c r="P231" s="298"/>
      <c r="Q231" s="299"/>
      <c r="R231" s="298"/>
      <c r="S231" s="299"/>
      <c r="T231" s="298"/>
      <c r="U231" s="309"/>
      <c r="V231" s="298"/>
      <c r="W231" s="299"/>
      <c r="X231" s="298"/>
      <c r="Y231" s="299"/>
      <c r="Z231" s="298"/>
      <c r="AA231" s="312"/>
      <c r="AB231" s="298"/>
      <c r="AC231" s="299"/>
      <c r="AD231" s="298"/>
      <c r="AE231" s="299"/>
      <c r="AF231" s="298"/>
      <c r="AG231" s="299"/>
      <c r="AH231" s="298"/>
    </row>
    <row r="232">
      <c r="A232" s="298"/>
      <c r="B232" s="299"/>
      <c r="C232" s="298"/>
      <c r="D232" s="299"/>
      <c r="E232" s="298"/>
      <c r="F232" s="299"/>
      <c r="G232" s="298"/>
      <c r="H232" s="299"/>
      <c r="I232" s="299"/>
      <c r="J232" s="298"/>
      <c r="K232" s="299"/>
      <c r="L232" s="298"/>
      <c r="M232" s="299"/>
      <c r="N232" s="298"/>
      <c r="O232" s="299"/>
      <c r="P232" s="298"/>
      <c r="Q232" s="299"/>
      <c r="R232" s="298"/>
      <c r="S232" s="299"/>
      <c r="T232" s="298"/>
      <c r="U232" s="309"/>
      <c r="V232" s="298"/>
      <c r="W232" s="299"/>
      <c r="X232" s="298"/>
      <c r="Y232" s="299"/>
      <c r="Z232" s="298"/>
      <c r="AA232" s="312"/>
      <c r="AB232" s="298"/>
      <c r="AC232" s="299"/>
      <c r="AD232" s="298"/>
      <c r="AE232" s="299"/>
      <c r="AF232" s="298"/>
      <c r="AG232" s="299"/>
      <c r="AH232" s="298"/>
    </row>
    <row r="233">
      <c r="A233" s="298"/>
      <c r="B233" s="299"/>
      <c r="C233" s="298"/>
      <c r="D233" s="299"/>
      <c r="E233" s="298"/>
      <c r="F233" s="299"/>
      <c r="G233" s="298"/>
      <c r="H233" s="299"/>
      <c r="I233" s="299"/>
      <c r="J233" s="298"/>
      <c r="K233" s="299"/>
      <c r="L233" s="298"/>
      <c r="M233" s="299"/>
      <c r="N233" s="298"/>
      <c r="O233" s="299"/>
      <c r="P233" s="298"/>
      <c r="Q233" s="299"/>
      <c r="R233" s="298"/>
      <c r="S233" s="299"/>
      <c r="T233" s="298"/>
      <c r="U233" s="309"/>
      <c r="V233" s="298"/>
      <c r="W233" s="299"/>
      <c r="X233" s="298"/>
      <c r="Y233" s="299"/>
      <c r="Z233" s="298"/>
      <c r="AA233" s="312"/>
      <c r="AB233" s="298"/>
      <c r="AC233" s="299"/>
      <c r="AD233" s="298"/>
      <c r="AE233" s="299"/>
      <c r="AF233" s="298"/>
      <c r="AG233" s="299"/>
      <c r="AH233" s="298"/>
    </row>
    <row r="234">
      <c r="A234" s="298"/>
      <c r="B234" s="299"/>
      <c r="C234" s="298"/>
      <c r="D234" s="299"/>
      <c r="E234" s="298"/>
      <c r="F234" s="299"/>
      <c r="G234" s="298"/>
      <c r="H234" s="299"/>
      <c r="I234" s="299"/>
      <c r="J234" s="298"/>
      <c r="K234" s="299"/>
      <c r="L234" s="298"/>
      <c r="M234" s="299"/>
      <c r="N234" s="298"/>
      <c r="O234" s="299"/>
      <c r="P234" s="298"/>
      <c r="Q234" s="299"/>
      <c r="R234" s="298"/>
      <c r="S234" s="299"/>
      <c r="T234" s="298"/>
      <c r="U234" s="309"/>
      <c r="V234" s="298"/>
      <c r="W234" s="299"/>
      <c r="X234" s="298"/>
      <c r="Y234" s="299"/>
      <c r="Z234" s="298"/>
      <c r="AA234" s="312"/>
      <c r="AB234" s="298"/>
      <c r="AC234" s="299"/>
      <c r="AD234" s="298"/>
      <c r="AE234" s="299"/>
      <c r="AF234" s="298"/>
      <c r="AG234" s="299"/>
      <c r="AH234" s="298"/>
    </row>
    <row r="235">
      <c r="A235" s="298"/>
      <c r="B235" s="299"/>
      <c r="C235" s="298"/>
      <c r="D235" s="299"/>
      <c r="E235" s="298"/>
      <c r="F235" s="299"/>
      <c r="G235" s="298"/>
      <c r="H235" s="299"/>
      <c r="I235" s="299"/>
      <c r="J235" s="298"/>
      <c r="K235" s="299"/>
      <c r="L235" s="298"/>
      <c r="M235" s="299"/>
      <c r="N235" s="298"/>
      <c r="O235" s="299"/>
      <c r="P235" s="298"/>
      <c r="Q235" s="299"/>
      <c r="R235" s="298"/>
      <c r="S235" s="299"/>
      <c r="T235" s="298"/>
      <c r="U235" s="309"/>
      <c r="V235" s="298"/>
      <c r="W235" s="299"/>
      <c r="X235" s="298"/>
      <c r="Y235" s="299"/>
      <c r="Z235" s="298"/>
      <c r="AA235" s="312"/>
      <c r="AB235" s="298"/>
      <c r="AC235" s="299"/>
      <c r="AD235" s="298"/>
      <c r="AE235" s="299"/>
      <c r="AF235" s="298"/>
      <c r="AG235" s="299"/>
      <c r="AH235" s="298"/>
    </row>
    <row r="236">
      <c r="A236" s="298"/>
      <c r="B236" s="299"/>
      <c r="C236" s="298"/>
      <c r="D236" s="299"/>
      <c r="E236" s="298"/>
      <c r="F236" s="299"/>
      <c r="G236" s="298"/>
      <c r="H236" s="299"/>
      <c r="I236" s="299"/>
      <c r="J236" s="298"/>
      <c r="K236" s="299"/>
      <c r="L236" s="298"/>
      <c r="M236" s="299"/>
      <c r="N236" s="298"/>
      <c r="O236" s="299"/>
      <c r="P236" s="298"/>
      <c r="Q236" s="299"/>
      <c r="R236" s="298"/>
      <c r="S236" s="299"/>
      <c r="T236" s="298"/>
      <c r="U236" s="309"/>
      <c r="V236" s="298"/>
      <c r="W236" s="299"/>
      <c r="X236" s="298"/>
      <c r="Y236" s="299"/>
      <c r="Z236" s="298"/>
      <c r="AA236" s="312"/>
      <c r="AB236" s="298"/>
      <c r="AC236" s="299"/>
      <c r="AD236" s="298"/>
      <c r="AE236" s="299"/>
      <c r="AF236" s="298"/>
      <c r="AG236" s="299"/>
      <c r="AH236" s="298"/>
    </row>
    <row r="237">
      <c r="A237" s="298"/>
      <c r="B237" s="299"/>
      <c r="C237" s="298"/>
      <c r="D237" s="299"/>
      <c r="E237" s="298"/>
      <c r="F237" s="299"/>
      <c r="G237" s="298"/>
      <c r="H237" s="299"/>
      <c r="I237" s="299"/>
      <c r="J237" s="298"/>
      <c r="K237" s="299"/>
      <c r="L237" s="298"/>
      <c r="M237" s="299"/>
      <c r="N237" s="298"/>
      <c r="O237" s="299"/>
      <c r="P237" s="298"/>
      <c r="Q237" s="299"/>
      <c r="R237" s="298"/>
      <c r="S237" s="299"/>
      <c r="T237" s="298"/>
      <c r="U237" s="309"/>
      <c r="V237" s="298"/>
      <c r="W237" s="299"/>
      <c r="X237" s="298"/>
      <c r="Y237" s="299"/>
      <c r="Z237" s="298"/>
      <c r="AA237" s="312"/>
      <c r="AB237" s="298"/>
      <c r="AC237" s="299"/>
      <c r="AD237" s="298"/>
      <c r="AE237" s="299"/>
      <c r="AF237" s="298"/>
      <c r="AG237" s="299"/>
      <c r="AH237" s="298"/>
    </row>
    <row r="238">
      <c r="A238" s="298"/>
      <c r="B238" s="299"/>
      <c r="C238" s="298"/>
      <c r="D238" s="299"/>
      <c r="E238" s="298"/>
      <c r="F238" s="299"/>
      <c r="G238" s="298"/>
      <c r="H238" s="299"/>
      <c r="I238" s="299"/>
      <c r="J238" s="298"/>
      <c r="K238" s="299"/>
      <c r="L238" s="298"/>
      <c r="M238" s="299"/>
      <c r="N238" s="298"/>
      <c r="O238" s="299"/>
      <c r="P238" s="298"/>
      <c r="Q238" s="299"/>
      <c r="R238" s="298"/>
      <c r="S238" s="299"/>
      <c r="T238" s="298"/>
      <c r="U238" s="309"/>
      <c r="V238" s="298"/>
      <c r="W238" s="299"/>
      <c r="X238" s="298"/>
      <c r="Y238" s="299"/>
      <c r="Z238" s="298"/>
      <c r="AA238" s="312"/>
      <c r="AB238" s="298"/>
      <c r="AC238" s="299"/>
      <c r="AD238" s="298"/>
      <c r="AE238" s="299"/>
      <c r="AF238" s="298"/>
      <c r="AG238" s="299"/>
      <c r="AH238" s="298"/>
    </row>
    <row r="239">
      <c r="A239" s="298"/>
      <c r="B239" s="299"/>
      <c r="C239" s="298"/>
      <c r="D239" s="299"/>
      <c r="E239" s="298"/>
      <c r="F239" s="299"/>
      <c r="G239" s="298"/>
      <c r="H239" s="299"/>
      <c r="I239" s="299"/>
      <c r="J239" s="298"/>
      <c r="K239" s="299"/>
      <c r="L239" s="298"/>
      <c r="M239" s="299"/>
      <c r="N239" s="298"/>
      <c r="O239" s="299"/>
      <c r="P239" s="298"/>
      <c r="Q239" s="299"/>
      <c r="R239" s="298"/>
      <c r="S239" s="299"/>
      <c r="T239" s="298"/>
      <c r="U239" s="309"/>
      <c r="V239" s="298"/>
      <c r="W239" s="299"/>
      <c r="X239" s="298"/>
      <c r="Y239" s="299"/>
      <c r="Z239" s="298"/>
      <c r="AA239" s="312"/>
      <c r="AB239" s="298"/>
      <c r="AC239" s="299"/>
      <c r="AD239" s="298"/>
      <c r="AE239" s="299"/>
      <c r="AF239" s="298"/>
      <c r="AG239" s="299"/>
      <c r="AH239" s="298"/>
    </row>
    <row r="240">
      <c r="A240" s="298"/>
      <c r="B240" s="299"/>
      <c r="C240" s="298"/>
      <c r="D240" s="299"/>
      <c r="E240" s="298"/>
      <c r="F240" s="299"/>
      <c r="G240" s="298"/>
      <c r="H240" s="299"/>
      <c r="I240" s="299"/>
      <c r="J240" s="298"/>
      <c r="K240" s="299"/>
      <c r="L240" s="298"/>
      <c r="M240" s="299"/>
      <c r="N240" s="298"/>
      <c r="O240" s="299"/>
      <c r="P240" s="298"/>
      <c r="Q240" s="299"/>
      <c r="R240" s="298"/>
      <c r="S240" s="299"/>
      <c r="T240" s="298"/>
      <c r="U240" s="309"/>
      <c r="V240" s="298"/>
      <c r="W240" s="299"/>
      <c r="X240" s="298"/>
      <c r="Y240" s="299"/>
      <c r="Z240" s="298"/>
      <c r="AA240" s="312"/>
      <c r="AB240" s="298"/>
      <c r="AC240" s="299"/>
      <c r="AD240" s="298"/>
      <c r="AE240" s="299"/>
      <c r="AF240" s="298"/>
      <c r="AG240" s="299"/>
      <c r="AH240" s="298"/>
    </row>
    <row r="241">
      <c r="A241" s="298"/>
      <c r="B241" s="299"/>
      <c r="C241" s="298"/>
      <c r="D241" s="299"/>
      <c r="E241" s="298"/>
      <c r="F241" s="299"/>
      <c r="G241" s="298"/>
      <c r="H241" s="299"/>
      <c r="I241" s="299"/>
      <c r="J241" s="298"/>
      <c r="K241" s="299"/>
      <c r="L241" s="298"/>
      <c r="M241" s="299"/>
      <c r="N241" s="298"/>
      <c r="O241" s="299"/>
      <c r="P241" s="298"/>
      <c r="Q241" s="299"/>
      <c r="R241" s="298"/>
      <c r="S241" s="299"/>
      <c r="T241" s="298"/>
      <c r="U241" s="309"/>
      <c r="V241" s="298"/>
      <c r="W241" s="299"/>
      <c r="X241" s="298"/>
      <c r="Y241" s="299"/>
      <c r="Z241" s="298"/>
      <c r="AA241" s="312"/>
      <c r="AB241" s="298"/>
      <c r="AC241" s="299"/>
      <c r="AD241" s="298"/>
      <c r="AE241" s="299"/>
      <c r="AF241" s="298"/>
      <c r="AG241" s="299"/>
      <c r="AH241" s="298"/>
    </row>
    <row r="242">
      <c r="A242" s="298"/>
      <c r="B242" s="299"/>
      <c r="C242" s="298"/>
      <c r="D242" s="299"/>
      <c r="E242" s="298"/>
      <c r="F242" s="299"/>
      <c r="G242" s="298"/>
      <c r="H242" s="299"/>
      <c r="I242" s="299"/>
      <c r="J242" s="298"/>
      <c r="K242" s="299"/>
      <c r="L242" s="298"/>
      <c r="M242" s="299"/>
      <c r="N242" s="298"/>
      <c r="O242" s="299"/>
      <c r="P242" s="298"/>
      <c r="Q242" s="299"/>
      <c r="R242" s="298"/>
      <c r="S242" s="299"/>
      <c r="T242" s="298"/>
      <c r="U242" s="309"/>
      <c r="V242" s="298"/>
      <c r="W242" s="299"/>
      <c r="X242" s="298"/>
      <c r="Y242" s="299"/>
      <c r="Z242" s="298"/>
      <c r="AA242" s="312"/>
      <c r="AB242" s="298"/>
      <c r="AC242" s="299"/>
      <c r="AD242" s="298"/>
      <c r="AE242" s="299"/>
      <c r="AF242" s="298"/>
      <c r="AG242" s="299"/>
      <c r="AH242" s="298"/>
    </row>
    <row r="243">
      <c r="A243" s="298"/>
      <c r="B243" s="299"/>
      <c r="C243" s="298"/>
      <c r="D243" s="299"/>
      <c r="E243" s="298"/>
      <c r="F243" s="299"/>
      <c r="G243" s="298"/>
      <c r="H243" s="299"/>
      <c r="I243" s="299"/>
      <c r="J243" s="298"/>
      <c r="K243" s="299"/>
      <c r="L243" s="298"/>
      <c r="M243" s="299"/>
      <c r="N243" s="298"/>
      <c r="O243" s="299"/>
      <c r="P243" s="298"/>
      <c r="Q243" s="299"/>
      <c r="R243" s="298"/>
      <c r="S243" s="299"/>
      <c r="T243" s="298"/>
      <c r="U243" s="309"/>
      <c r="V243" s="298"/>
      <c r="W243" s="299"/>
      <c r="X243" s="298"/>
      <c r="Y243" s="299"/>
      <c r="Z243" s="298"/>
      <c r="AA243" s="312"/>
      <c r="AB243" s="298"/>
      <c r="AC243" s="299"/>
      <c r="AD243" s="298"/>
      <c r="AE243" s="299"/>
      <c r="AF243" s="298"/>
      <c r="AG243" s="299"/>
      <c r="AH243" s="298"/>
    </row>
    <row r="244">
      <c r="A244" s="298"/>
      <c r="B244" s="299"/>
      <c r="C244" s="298"/>
      <c r="D244" s="299"/>
      <c r="E244" s="298"/>
      <c r="F244" s="299"/>
      <c r="G244" s="298"/>
      <c r="H244" s="299"/>
      <c r="I244" s="299"/>
      <c r="J244" s="298"/>
      <c r="K244" s="299"/>
      <c r="L244" s="298"/>
      <c r="M244" s="299"/>
      <c r="N244" s="298"/>
      <c r="O244" s="299"/>
      <c r="P244" s="298"/>
      <c r="Q244" s="299"/>
      <c r="R244" s="298"/>
      <c r="S244" s="299"/>
      <c r="T244" s="298"/>
      <c r="U244" s="309"/>
      <c r="V244" s="298"/>
      <c r="W244" s="299"/>
      <c r="X244" s="298"/>
      <c r="Y244" s="299"/>
      <c r="Z244" s="298"/>
      <c r="AA244" s="312"/>
      <c r="AB244" s="298"/>
      <c r="AC244" s="299"/>
      <c r="AD244" s="298"/>
      <c r="AE244" s="299"/>
      <c r="AF244" s="298"/>
      <c r="AG244" s="299"/>
      <c r="AH244" s="298"/>
    </row>
    <row r="245">
      <c r="A245" s="298"/>
      <c r="B245" s="299"/>
      <c r="C245" s="298"/>
      <c r="D245" s="299"/>
      <c r="E245" s="298"/>
      <c r="F245" s="299"/>
      <c r="G245" s="298"/>
      <c r="H245" s="299"/>
      <c r="I245" s="299"/>
      <c r="J245" s="298"/>
      <c r="K245" s="299"/>
      <c r="L245" s="298"/>
      <c r="M245" s="299"/>
      <c r="N245" s="298"/>
      <c r="O245" s="299"/>
      <c r="P245" s="298"/>
      <c r="Q245" s="299"/>
      <c r="R245" s="298"/>
      <c r="S245" s="299"/>
      <c r="T245" s="298"/>
      <c r="U245" s="309"/>
      <c r="V245" s="298"/>
      <c r="W245" s="299"/>
      <c r="X245" s="298"/>
      <c r="Y245" s="299"/>
      <c r="Z245" s="298"/>
      <c r="AA245" s="312"/>
      <c r="AB245" s="298"/>
      <c r="AC245" s="299"/>
      <c r="AD245" s="298"/>
      <c r="AE245" s="299"/>
      <c r="AF245" s="298"/>
      <c r="AG245" s="299"/>
      <c r="AH245" s="298"/>
    </row>
    <row r="246">
      <c r="A246" s="298"/>
      <c r="B246" s="299"/>
      <c r="C246" s="298"/>
      <c r="D246" s="299"/>
      <c r="E246" s="298"/>
      <c r="F246" s="299"/>
      <c r="G246" s="298"/>
      <c r="H246" s="299"/>
      <c r="I246" s="299"/>
      <c r="J246" s="298"/>
      <c r="K246" s="299"/>
      <c r="L246" s="298"/>
      <c r="M246" s="299"/>
      <c r="N246" s="298"/>
      <c r="O246" s="299"/>
      <c r="P246" s="298"/>
      <c r="Q246" s="299"/>
      <c r="R246" s="298"/>
      <c r="S246" s="299"/>
      <c r="T246" s="298"/>
      <c r="U246" s="309"/>
      <c r="V246" s="298"/>
      <c r="W246" s="299"/>
      <c r="X246" s="298"/>
      <c r="Y246" s="299"/>
      <c r="Z246" s="298"/>
      <c r="AA246" s="312"/>
      <c r="AB246" s="298"/>
      <c r="AC246" s="299"/>
      <c r="AD246" s="298"/>
      <c r="AE246" s="299"/>
      <c r="AF246" s="298"/>
      <c r="AG246" s="299"/>
      <c r="AH246" s="298"/>
    </row>
    <row r="247">
      <c r="A247" s="298"/>
      <c r="B247" s="299"/>
      <c r="C247" s="298"/>
      <c r="D247" s="299"/>
      <c r="E247" s="298"/>
      <c r="F247" s="299"/>
      <c r="G247" s="298"/>
      <c r="H247" s="299"/>
      <c r="I247" s="299"/>
      <c r="J247" s="298"/>
      <c r="K247" s="299"/>
      <c r="L247" s="298"/>
      <c r="M247" s="299"/>
      <c r="N247" s="298"/>
      <c r="O247" s="299"/>
      <c r="P247" s="298"/>
      <c r="Q247" s="299"/>
      <c r="R247" s="298"/>
      <c r="S247" s="299"/>
      <c r="T247" s="298"/>
      <c r="U247" s="309"/>
      <c r="V247" s="298"/>
      <c r="W247" s="299"/>
      <c r="X247" s="298"/>
      <c r="Y247" s="299"/>
      <c r="Z247" s="298"/>
      <c r="AA247" s="312"/>
      <c r="AB247" s="298"/>
      <c r="AC247" s="299"/>
      <c r="AD247" s="298"/>
      <c r="AE247" s="299"/>
      <c r="AF247" s="298"/>
      <c r="AG247" s="299"/>
      <c r="AH247" s="298"/>
    </row>
    <row r="248">
      <c r="A248" s="298"/>
      <c r="B248" s="299"/>
      <c r="C248" s="298"/>
      <c r="D248" s="299"/>
      <c r="E248" s="298"/>
      <c r="F248" s="299"/>
      <c r="G248" s="298"/>
      <c r="H248" s="299"/>
      <c r="I248" s="299"/>
      <c r="J248" s="298"/>
      <c r="K248" s="299"/>
      <c r="L248" s="298"/>
      <c r="M248" s="299"/>
      <c r="N248" s="298"/>
      <c r="O248" s="299"/>
      <c r="P248" s="298"/>
      <c r="Q248" s="299"/>
      <c r="R248" s="298"/>
      <c r="S248" s="299"/>
      <c r="T248" s="298"/>
      <c r="U248" s="309"/>
      <c r="V248" s="298"/>
      <c r="W248" s="299"/>
      <c r="X248" s="298"/>
      <c r="Y248" s="299"/>
      <c r="Z248" s="298"/>
      <c r="AA248" s="312"/>
      <c r="AB248" s="298"/>
      <c r="AC248" s="299"/>
      <c r="AD248" s="298"/>
      <c r="AE248" s="299"/>
      <c r="AF248" s="298"/>
      <c r="AG248" s="299"/>
      <c r="AH248" s="298"/>
    </row>
    <row r="249">
      <c r="A249" s="298"/>
      <c r="B249" s="299"/>
      <c r="C249" s="298"/>
      <c r="D249" s="299"/>
      <c r="E249" s="298"/>
      <c r="F249" s="299"/>
      <c r="G249" s="298"/>
      <c r="H249" s="299"/>
      <c r="I249" s="299"/>
      <c r="J249" s="298"/>
      <c r="K249" s="299"/>
      <c r="L249" s="298"/>
      <c r="M249" s="299"/>
      <c r="N249" s="298"/>
      <c r="O249" s="299"/>
      <c r="P249" s="298"/>
      <c r="Q249" s="299"/>
      <c r="R249" s="298"/>
      <c r="S249" s="299"/>
      <c r="T249" s="298"/>
      <c r="U249" s="309"/>
      <c r="V249" s="298"/>
      <c r="W249" s="299"/>
      <c r="X249" s="298"/>
      <c r="Y249" s="299"/>
      <c r="Z249" s="298"/>
      <c r="AA249" s="312"/>
      <c r="AB249" s="298"/>
      <c r="AC249" s="299"/>
      <c r="AD249" s="298"/>
      <c r="AE249" s="299"/>
      <c r="AF249" s="298"/>
      <c r="AG249" s="299"/>
      <c r="AH249" s="298"/>
    </row>
    <row r="250">
      <c r="A250" s="298"/>
      <c r="B250" s="299"/>
      <c r="C250" s="298"/>
      <c r="D250" s="299"/>
      <c r="E250" s="298"/>
      <c r="F250" s="299"/>
      <c r="G250" s="298"/>
      <c r="H250" s="299"/>
      <c r="I250" s="299"/>
      <c r="J250" s="298"/>
      <c r="K250" s="299"/>
      <c r="L250" s="298"/>
      <c r="M250" s="299"/>
      <c r="N250" s="298"/>
      <c r="O250" s="299"/>
      <c r="P250" s="298"/>
      <c r="Q250" s="299"/>
      <c r="R250" s="298"/>
      <c r="S250" s="299"/>
      <c r="T250" s="298"/>
      <c r="U250" s="309"/>
      <c r="V250" s="298"/>
      <c r="W250" s="299"/>
      <c r="X250" s="298"/>
      <c r="Y250" s="299"/>
      <c r="Z250" s="298"/>
      <c r="AA250" s="312"/>
      <c r="AB250" s="298"/>
      <c r="AC250" s="299"/>
      <c r="AD250" s="298"/>
      <c r="AE250" s="299"/>
      <c r="AF250" s="298"/>
      <c r="AG250" s="299"/>
      <c r="AH250" s="298"/>
    </row>
    <row r="251">
      <c r="A251" s="298"/>
      <c r="B251" s="299"/>
      <c r="C251" s="298"/>
      <c r="D251" s="299"/>
      <c r="E251" s="298"/>
      <c r="F251" s="299"/>
      <c r="G251" s="298"/>
      <c r="H251" s="299"/>
      <c r="I251" s="299"/>
      <c r="J251" s="298"/>
      <c r="K251" s="299"/>
      <c r="L251" s="298"/>
      <c r="M251" s="299"/>
      <c r="N251" s="298"/>
      <c r="O251" s="299"/>
      <c r="P251" s="298"/>
      <c r="Q251" s="299"/>
      <c r="R251" s="298"/>
      <c r="S251" s="299"/>
      <c r="T251" s="298"/>
      <c r="U251" s="309"/>
      <c r="V251" s="298"/>
      <c r="W251" s="299"/>
      <c r="X251" s="298"/>
      <c r="Y251" s="299"/>
      <c r="Z251" s="298"/>
      <c r="AA251" s="312"/>
      <c r="AB251" s="298"/>
      <c r="AC251" s="299"/>
      <c r="AD251" s="298"/>
      <c r="AE251" s="299"/>
      <c r="AF251" s="298"/>
      <c r="AG251" s="299"/>
      <c r="AH251" s="298"/>
    </row>
    <row r="252">
      <c r="A252" s="298"/>
      <c r="B252" s="299"/>
      <c r="C252" s="298"/>
      <c r="D252" s="299"/>
      <c r="E252" s="298"/>
      <c r="F252" s="299"/>
      <c r="G252" s="298"/>
      <c r="H252" s="299"/>
      <c r="I252" s="299"/>
      <c r="J252" s="298"/>
      <c r="K252" s="299"/>
      <c r="L252" s="298"/>
      <c r="M252" s="299"/>
      <c r="N252" s="298"/>
      <c r="O252" s="299"/>
      <c r="P252" s="298"/>
      <c r="Q252" s="299"/>
      <c r="R252" s="298"/>
      <c r="S252" s="299"/>
      <c r="T252" s="298"/>
      <c r="U252" s="309"/>
      <c r="V252" s="298"/>
      <c r="W252" s="299"/>
      <c r="X252" s="298"/>
      <c r="Y252" s="299"/>
      <c r="Z252" s="298"/>
      <c r="AA252" s="312"/>
      <c r="AB252" s="298"/>
      <c r="AC252" s="299"/>
      <c r="AD252" s="298"/>
      <c r="AE252" s="299"/>
      <c r="AF252" s="298"/>
      <c r="AG252" s="299"/>
      <c r="AH252" s="298"/>
    </row>
    <row r="253">
      <c r="A253" s="298"/>
      <c r="B253" s="299"/>
      <c r="C253" s="298"/>
      <c r="D253" s="299"/>
      <c r="E253" s="298"/>
      <c r="F253" s="299"/>
      <c r="G253" s="298"/>
      <c r="H253" s="299"/>
      <c r="I253" s="299"/>
      <c r="J253" s="298"/>
      <c r="K253" s="299"/>
      <c r="L253" s="298"/>
      <c r="M253" s="299"/>
      <c r="N253" s="298"/>
      <c r="O253" s="299"/>
      <c r="P253" s="298"/>
      <c r="Q253" s="299"/>
      <c r="R253" s="298"/>
      <c r="S253" s="299"/>
      <c r="T253" s="298"/>
      <c r="U253" s="309"/>
      <c r="V253" s="298"/>
      <c r="W253" s="299"/>
      <c r="X253" s="298"/>
      <c r="Y253" s="299"/>
      <c r="Z253" s="298"/>
      <c r="AA253" s="312"/>
      <c r="AB253" s="298"/>
      <c r="AC253" s="299"/>
      <c r="AD253" s="298"/>
      <c r="AE253" s="299"/>
      <c r="AF253" s="298"/>
      <c r="AG253" s="299"/>
      <c r="AH253" s="298"/>
    </row>
    <row r="254">
      <c r="A254" s="298"/>
      <c r="B254" s="299"/>
      <c r="C254" s="298"/>
      <c r="D254" s="299"/>
      <c r="E254" s="298"/>
      <c r="F254" s="299"/>
      <c r="G254" s="298"/>
      <c r="H254" s="299"/>
      <c r="I254" s="299"/>
      <c r="J254" s="298"/>
      <c r="K254" s="299"/>
      <c r="L254" s="298"/>
      <c r="M254" s="299"/>
      <c r="N254" s="298"/>
      <c r="O254" s="299"/>
      <c r="P254" s="298"/>
      <c r="Q254" s="299"/>
      <c r="R254" s="298"/>
      <c r="S254" s="299"/>
      <c r="T254" s="298"/>
      <c r="U254" s="309"/>
      <c r="V254" s="298"/>
      <c r="W254" s="299"/>
      <c r="X254" s="298"/>
      <c r="Y254" s="299"/>
      <c r="Z254" s="298"/>
      <c r="AA254" s="312"/>
      <c r="AB254" s="298"/>
      <c r="AC254" s="299"/>
      <c r="AD254" s="298"/>
      <c r="AE254" s="299"/>
      <c r="AF254" s="298"/>
      <c r="AG254" s="299"/>
      <c r="AH254" s="298"/>
    </row>
    <row r="255">
      <c r="A255" s="298"/>
      <c r="B255" s="299"/>
      <c r="C255" s="298"/>
      <c r="D255" s="299"/>
      <c r="E255" s="298"/>
      <c r="F255" s="299"/>
      <c r="G255" s="298"/>
      <c r="H255" s="299"/>
      <c r="I255" s="299"/>
      <c r="J255" s="298"/>
      <c r="K255" s="299"/>
      <c r="L255" s="298"/>
      <c r="M255" s="299"/>
      <c r="N255" s="298"/>
      <c r="O255" s="299"/>
      <c r="P255" s="298"/>
      <c r="Q255" s="299"/>
      <c r="R255" s="298"/>
      <c r="S255" s="299"/>
      <c r="T255" s="298"/>
      <c r="U255" s="309"/>
      <c r="V255" s="298"/>
      <c r="W255" s="299"/>
      <c r="X255" s="298"/>
      <c r="Y255" s="299"/>
      <c r="Z255" s="298"/>
      <c r="AA255" s="312"/>
      <c r="AB255" s="298"/>
      <c r="AC255" s="299"/>
      <c r="AD255" s="298"/>
      <c r="AE255" s="299"/>
      <c r="AF255" s="298"/>
      <c r="AG255" s="299"/>
      <c r="AH255" s="298"/>
    </row>
    <row r="256">
      <c r="A256" s="298"/>
      <c r="B256" s="299"/>
      <c r="C256" s="298"/>
      <c r="D256" s="299"/>
      <c r="E256" s="298"/>
      <c r="F256" s="299"/>
      <c r="G256" s="298"/>
      <c r="H256" s="299"/>
      <c r="I256" s="299"/>
      <c r="J256" s="298"/>
      <c r="K256" s="299"/>
      <c r="L256" s="298"/>
      <c r="M256" s="299"/>
      <c r="N256" s="298"/>
      <c r="O256" s="299"/>
      <c r="P256" s="298"/>
      <c r="Q256" s="299"/>
      <c r="R256" s="298"/>
      <c r="S256" s="299"/>
      <c r="T256" s="298"/>
      <c r="U256" s="309"/>
      <c r="V256" s="298"/>
      <c r="W256" s="299"/>
      <c r="X256" s="298"/>
      <c r="Y256" s="299"/>
      <c r="Z256" s="298"/>
      <c r="AA256" s="312"/>
      <c r="AB256" s="298"/>
      <c r="AC256" s="299"/>
      <c r="AD256" s="298"/>
      <c r="AE256" s="299"/>
      <c r="AF256" s="298"/>
      <c r="AG256" s="299"/>
      <c r="AH256" s="298"/>
    </row>
    <row r="257">
      <c r="A257" s="298"/>
      <c r="B257" s="299"/>
      <c r="C257" s="298"/>
      <c r="D257" s="299"/>
      <c r="E257" s="298"/>
      <c r="F257" s="299"/>
      <c r="G257" s="298"/>
      <c r="H257" s="299"/>
      <c r="I257" s="299"/>
      <c r="J257" s="298"/>
      <c r="K257" s="299"/>
      <c r="L257" s="298"/>
      <c r="M257" s="299"/>
      <c r="N257" s="298"/>
      <c r="O257" s="299"/>
      <c r="P257" s="298"/>
      <c r="Q257" s="299"/>
      <c r="R257" s="298"/>
      <c r="S257" s="299"/>
      <c r="T257" s="298"/>
      <c r="U257" s="309"/>
      <c r="V257" s="298"/>
      <c r="W257" s="299"/>
      <c r="X257" s="298"/>
      <c r="Y257" s="299"/>
      <c r="Z257" s="298"/>
      <c r="AA257" s="312"/>
      <c r="AB257" s="298"/>
      <c r="AC257" s="299"/>
      <c r="AD257" s="298"/>
      <c r="AE257" s="299"/>
      <c r="AF257" s="298"/>
      <c r="AG257" s="299"/>
      <c r="AH257" s="298"/>
    </row>
    <row r="258">
      <c r="A258" s="298"/>
      <c r="B258" s="299"/>
      <c r="C258" s="298"/>
      <c r="D258" s="299"/>
      <c r="E258" s="298"/>
      <c r="F258" s="299"/>
      <c r="G258" s="298"/>
      <c r="H258" s="299"/>
      <c r="I258" s="299"/>
      <c r="J258" s="298"/>
      <c r="K258" s="299"/>
      <c r="L258" s="298"/>
      <c r="M258" s="299"/>
      <c r="N258" s="298"/>
      <c r="O258" s="299"/>
      <c r="P258" s="298"/>
      <c r="Q258" s="299"/>
      <c r="R258" s="298"/>
      <c r="S258" s="299"/>
      <c r="T258" s="298"/>
      <c r="U258" s="309"/>
      <c r="V258" s="298"/>
      <c r="W258" s="299"/>
      <c r="X258" s="298"/>
      <c r="Y258" s="299"/>
      <c r="Z258" s="298"/>
      <c r="AA258" s="312"/>
      <c r="AB258" s="298"/>
      <c r="AC258" s="299"/>
      <c r="AD258" s="298"/>
      <c r="AE258" s="299"/>
      <c r="AF258" s="298"/>
      <c r="AG258" s="299"/>
      <c r="AH258" s="298"/>
    </row>
    <row r="259">
      <c r="A259" s="298"/>
      <c r="B259" s="299"/>
      <c r="C259" s="298"/>
      <c r="D259" s="299"/>
      <c r="E259" s="298"/>
      <c r="F259" s="299"/>
      <c r="G259" s="298"/>
      <c r="H259" s="299"/>
      <c r="I259" s="299"/>
      <c r="J259" s="298"/>
      <c r="K259" s="299"/>
      <c r="L259" s="298"/>
      <c r="M259" s="299"/>
      <c r="N259" s="298"/>
      <c r="O259" s="299"/>
      <c r="P259" s="298"/>
      <c r="Q259" s="299"/>
      <c r="R259" s="298"/>
      <c r="S259" s="299"/>
      <c r="T259" s="298"/>
      <c r="U259" s="309"/>
      <c r="V259" s="298"/>
      <c r="W259" s="299"/>
      <c r="X259" s="298"/>
      <c r="Y259" s="299"/>
      <c r="Z259" s="298"/>
      <c r="AA259" s="312"/>
      <c r="AB259" s="298"/>
      <c r="AC259" s="299"/>
      <c r="AD259" s="298"/>
      <c r="AE259" s="299"/>
      <c r="AF259" s="298"/>
      <c r="AG259" s="299"/>
      <c r="AH259" s="298"/>
    </row>
    <row r="260">
      <c r="A260" s="298"/>
      <c r="B260" s="299"/>
      <c r="C260" s="298"/>
      <c r="D260" s="299"/>
      <c r="E260" s="298"/>
      <c r="F260" s="299"/>
      <c r="G260" s="298"/>
      <c r="H260" s="299"/>
      <c r="I260" s="299"/>
      <c r="J260" s="298"/>
      <c r="K260" s="299"/>
      <c r="L260" s="298"/>
      <c r="M260" s="299"/>
      <c r="N260" s="298"/>
      <c r="O260" s="299"/>
      <c r="P260" s="298"/>
      <c r="Q260" s="299"/>
      <c r="R260" s="298"/>
      <c r="S260" s="299"/>
      <c r="T260" s="298"/>
      <c r="U260" s="309"/>
      <c r="V260" s="298"/>
      <c r="W260" s="299"/>
      <c r="X260" s="298"/>
      <c r="Y260" s="299"/>
      <c r="Z260" s="298"/>
      <c r="AA260" s="312"/>
      <c r="AB260" s="298"/>
      <c r="AC260" s="299"/>
      <c r="AD260" s="298"/>
      <c r="AE260" s="299"/>
      <c r="AF260" s="298"/>
      <c r="AG260" s="299"/>
      <c r="AH260" s="298"/>
    </row>
    <row r="261">
      <c r="A261" s="298"/>
      <c r="B261" s="299"/>
      <c r="C261" s="298"/>
      <c r="D261" s="299"/>
      <c r="E261" s="298"/>
      <c r="F261" s="299"/>
      <c r="G261" s="298"/>
      <c r="H261" s="299"/>
      <c r="I261" s="299"/>
      <c r="J261" s="298"/>
      <c r="K261" s="299"/>
      <c r="L261" s="298"/>
      <c r="M261" s="299"/>
      <c r="N261" s="298"/>
      <c r="O261" s="299"/>
      <c r="P261" s="298"/>
      <c r="Q261" s="299"/>
      <c r="R261" s="298"/>
      <c r="S261" s="299"/>
      <c r="T261" s="298"/>
      <c r="U261" s="309"/>
      <c r="V261" s="298"/>
      <c r="W261" s="299"/>
      <c r="X261" s="298"/>
      <c r="Y261" s="299"/>
      <c r="Z261" s="298"/>
      <c r="AA261" s="312"/>
      <c r="AB261" s="298"/>
      <c r="AC261" s="299"/>
      <c r="AD261" s="298"/>
      <c r="AE261" s="299"/>
      <c r="AF261" s="298"/>
      <c r="AG261" s="299"/>
      <c r="AH261" s="298"/>
    </row>
    <row r="262">
      <c r="A262" s="298"/>
      <c r="B262" s="299"/>
      <c r="C262" s="298"/>
      <c r="D262" s="299"/>
      <c r="E262" s="298"/>
      <c r="F262" s="299"/>
      <c r="G262" s="298"/>
      <c r="H262" s="299"/>
      <c r="I262" s="299"/>
      <c r="J262" s="298"/>
      <c r="K262" s="299"/>
      <c r="L262" s="298"/>
      <c r="M262" s="299"/>
      <c r="N262" s="298"/>
      <c r="O262" s="299"/>
      <c r="P262" s="298"/>
      <c r="Q262" s="299"/>
      <c r="R262" s="298"/>
      <c r="S262" s="299"/>
      <c r="T262" s="298"/>
      <c r="U262" s="309"/>
      <c r="V262" s="298"/>
      <c r="W262" s="299"/>
      <c r="X262" s="298"/>
      <c r="Y262" s="299"/>
      <c r="Z262" s="298"/>
      <c r="AA262" s="312"/>
      <c r="AB262" s="298"/>
      <c r="AC262" s="299"/>
      <c r="AD262" s="298"/>
      <c r="AE262" s="299"/>
      <c r="AF262" s="298"/>
      <c r="AG262" s="299"/>
      <c r="AH262" s="298"/>
    </row>
    <row r="263">
      <c r="A263" s="298"/>
      <c r="B263" s="299"/>
      <c r="C263" s="298"/>
      <c r="D263" s="299"/>
      <c r="E263" s="298"/>
      <c r="F263" s="299"/>
      <c r="G263" s="298"/>
      <c r="H263" s="299"/>
      <c r="I263" s="299"/>
      <c r="J263" s="298"/>
      <c r="K263" s="299"/>
      <c r="L263" s="298"/>
      <c r="M263" s="299"/>
      <c r="N263" s="298"/>
      <c r="O263" s="299"/>
      <c r="P263" s="298"/>
      <c r="Q263" s="299"/>
      <c r="R263" s="298"/>
      <c r="S263" s="299"/>
      <c r="T263" s="298"/>
      <c r="U263" s="309"/>
      <c r="V263" s="298"/>
      <c r="W263" s="299"/>
      <c r="X263" s="298"/>
      <c r="Y263" s="299"/>
      <c r="Z263" s="298"/>
      <c r="AA263" s="312"/>
      <c r="AB263" s="298"/>
      <c r="AC263" s="299"/>
      <c r="AD263" s="298"/>
      <c r="AE263" s="299"/>
      <c r="AF263" s="298"/>
      <c r="AG263" s="299"/>
      <c r="AH263" s="298"/>
    </row>
    <row r="264">
      <c r="A264" s="298"/>
      <c r="B264" s="299"/>
      <c r="C264" s="298"/>
      <c r="D264" s="299"/>
      <c r="E264" s="298"/>
      <c r="F264" s="299"/>
      <c r="G264" s="298"/>
      <c r="H264" s="299"/>
      <c r="I264" s="299"/>
      <c r="J264" s="298"/>
      <c r="K264" s="299"/>
      <c r="L264" s="298"/>
      <c r="M264" s="299"/>
      <c r="N264" s="298"/>
      <c r="O264" s="299"/>
      <c r="P264" s="298"/>
      <c r="Q264" s="299"/>
      <c r="R264" s="298"/>
      <c r="S264" s="299"/>
      <c r="T264" s="298"/>
      <c r="U264" s="309"/>
      <c r="V264" s="298"/>
      <c r="W264" s="299"/>
      <c r="X264" s="298"/>
      <c r="Y264" s="299"/>
      <c r="Z264" s="298"/>
      <c r="AA264" s="312"/>
      <c r="AB264" s="298"/>
      <c r="AC264" s="299"/>
      <c r="AD264" s="298"/>
      <c r="AE264" s="299"/>
      <c r="AF264" s="298"/>
      <c r="AG264" s="299"/>
      <c r="AH264" s="298"/>
    </row>
    <row r="265">
      <c r="A265" s="298"/>
      <c r="B265" s="299"/>
      <c r="C265" s="298"/>
      <c r="D265" s="299"/>
      <c r="E265" s="298"/>
      <c r="F265" s="299"/>
      <c r="G265" s="298"/>
      <c r="H265" s="299"/>
      <c r="I265" s="299"/>
      <c r="J265" s="298"/>
      <c r="K265" s="299"/>
      <c r="L265" s="298"/>
      <c r="M265" s="299"/>
      <c r="N265" s="298"/>
      <c r="O265" s="299"/>
      <c r="P265" s="298"/>
      <c r="Q265" s="299"/>
      <c r="R265" s="298"/>
      <c r="S265" s="299"/>
      <c r="T265" s="298"/>
      <c r="U265" s="309"/>
      <c r="V265" s="298"/>
      <c r="W265" s="299"/>
      <c r="X265" s="298"/>
      <c r="Y265" s="299"/>
      <c r="Z265" s="298"/>
      <c r="AA265" s="312"/>
      <c r="AB265" s="298"/>
      <c r="AC265" s="299"/>
      <c r="AD265" s="298"/>
      <c r="AE265" s="299"/>
      <c r="AF265" s="298"/>
      <c r="AG265" s="299"/>
      <c r="AH265" s="298"/>
    </row>
    <row r="266">
      <c r="A266" s="298"/>
      <c r="B266" s="299"/>
      <c r="C266" s="298"/>
      <c r="D266" s="299"/>
      <c r="E266" s="298"/>
      <c r="F266" s="299"/>
      <c r="G266" s="298"/>
      <c r="H266" s="299"/>
      <c r="I266" s="299"/>
      <c r="J266" s="298"/>
      <c r="K266" s="299"/>
      <c r="L266" s="298"/>
      <c r="M266" s="299"/>
      <c r="N266" s="298"/>
      <c r="O266" s="299"/>
      <c r="P266" s="298"/>
      <c r="Q266" s="299"/>
      <c r="R266" s="298"/>
      <c r="S266" s="299"/>
      <c r="T266" s="298"/>
      <c r="U266" s="309"/>
      <c r="V266" s="298"/>
      <c r="W266" s="299"/>
      <c r="X266" s="298"/>
      <c r="Y266" s="299"/>
      <c r="Z266" s="298"/>
      <c r="AA266" s="312"/>
      <c r="AB266" s="298"/>
      <c r="AC266" s="299"/>
      <c r="AD266" s="298"/>
      <c r="AE266" s="299"/>
      <c r="AF266" s="298"/>
      <c r="AG266" s="299"/>
      <c r="AH266" s="298"/>
    </row>
    <row r="267">
      <c r="A267" s="298"/>
      <c r="B267" s="299"/>
      <c r="C267" s="298"/>
      <c r="D267" s="299"/>
      <c r="E267" s="298"/>
      <c r="F267" s="299"/>
      <c r="G267" s="298"/>
      <c r="H267" s="299"/>
      <c r="I267" s="299"/>
      <c r="J267" s="298"/>
      <c r="K267" s="299"/>
      <c r="L267" s="298"/>
      <c r="M267" s="299"/>
      <c r="N267" s="298"/>
      <c r="O267" s="299"/>
      <c r="P267" s="298"/>
      <c r="Q267" s="299"/>
      <c r="R267" s="298"/>
      <c r="S267" s="299"/>
      <c r="T267" s="298"/>
      <c r="U267" s="309"/>
      <c r="V267" s="298"/>
      <c r="W267" s="299"/>
      <c r="X267" s="298"/>
      <c r="Y267" s="299"/>
      <c r="Z267" s="298"/>
      <c r="AA267" s="312"/>
      <c r="AB267" s="298"/>
      <c r="AC267" s="299"/>
      <c r="AD267" s="298"/>
      <c r="AE267" s="299"/>
      <c r="AF267" s="298"/>
      <c r="AG267" s="299"/>
      <c r="AH267" s="298"/>
    </row>
    <row r="268">
      <c r="A268" s="298"/>
      <c r="B268" s="299"/>
      <c r="C268" s="298"/>
      <c r="D268" s="299"/>
      <c r="E268" s="298"/>
      <c r="F268" s="299"/>
      <c r="G268" s="298"/>
      <c r="H268" s="299"/>
      <c r="I268" s="299"/>
      <c r="J268" s="298"/>
      <c r="K268" s="299"/>
      <c r="L268" s="298"/>
      <c r="M268" s="299"/>
      <c r="N268" s="298"/>
      <c r="O268" s="299"/>
      <c r="P268" s="298"/>
      <c r="Q268" s="299"/>
      <c r="R268" s="298"/>
      <c r="S268" s="299"/>
      <c r="T268" s="298"/>
      <c r="U268" s="309"/>
      <c r="V268" s="298"/>
      <c r="W268" s="299"/>
      <c r="X268" s="298"/>
      <c r="Y268" s="299"/>
      <c r="Z268" s="298"/>
      <c r="AA268" s="312"/>
      <c r="AB268" s="298"/>
      <c r="AC268" s="299"/>
      <c r="AD268" s="298"/>
      <c r="AE268" s="299"/>
      <c r="AF268" s="298"/>
      <c r="AG268" s="299"/>
      <c r="AH268" s="298"/>
    </row>
    <row r="269">
      <c r="A269" s="298"/>
      <c r="B269" s="299"/>
      <c r="C269" s="298"/>
      <c r="D269" s="299"/>
      <c r="E269" s="298"/>
      <c r="F269" s="299"/>
      <c r="G269" s="298"/>
      <c r="H269" s="299"/>
      <c r="I269" s="299"/>
      <c r="J269" s="298"/>
      <c r="K269" s="299"/>
      <c r="L269" s="298"/>
      <c r="M269" s="299"/>
      <c r="N269" s="298"/>
      <c r="O269" s="299"/>
      <c r="P269" s="298"/>
      <c r="Q269" s="299"/>
      <c r="R269" s="298"/>
      <c r="S269" s="299"/>
      <c r="T269" s="298"/>
      <c r="U269" s="309"/>
      <c r="V269" s="298"/>
      <c r="W269" s="299"/>
      <c r="X269" s="298"/>
      <c r="Y269" s="299"/>
      <c r="Z269" s="298"/>
      <c r="AA269" s="312"/>
      <c r="AB269" s="298"/>
      <c r="AC269" s="299"/>
      <c r="AD269" s="298"/>
      <c r="AE269" s="299"/>
      <c r="AF269" s="298"/>
      <c r="AG269" s="299"/>
      <c r="AH269" s="298"/>
    </row>
    <row r="270">
      <c r="A270" s="298"/>
      <c r="B270" s="299"/>
      <c r="C270" s="298"/>
      <c r="D270" s="299"/>
      <c r="E270" s="298"/>
      <c r="F270" s="299"/>
      <c r="G270" s="298"/>
      <c r="H270" s="299"/>
      <c r="I270" s="299"/>
      <c r="J270" s="298"/>
      <c r="K270" s="299"/>
      <c r="L270" s="298"/>
      <c r="M270" s="299"/>
      <c r="N270" s="298"/>
      <c r="O270" s="299"/>
      <c r="P270" s="298"/>
      <c r="Q270" s="299"/>
      <c r="R270" s="298"/>
      <c r="S270" s="299"/>
      <c r="T270" s="298"/>
      <c r="U270" s="309"/>
      <c r="V270" s="298"/>
      <c r="W270" s="299"/>
      <c r="X270" s="298"/>
      <c r="Y270" s="299"/>
      <c r="Z270" s="298"/>
      <c r="AA270" s="312"/>
      <c r="AB270" s="298"/>
      <c r="AC270" s="299"/>
      <c r="AD270" s="298"/>
      <c r="AE270" s="299"/>
      <c r="AF270" s="298"/>
      <c r="AG270" s="299"/>
      <c r="AH270" s="298"/>
    </row>
    <row r="271">
      <c r="A271" s="298"/>
      <c r="B271" s="299"/>
      <c r="C271" s="298"/>
      <c r="D271" s="299"/>
      <c r="E271" s="298"/>
      <c r="F271" s="299"/>
      <c r="G271" s="298"/>
      <c r="H271" s="299"/>
      <c r="I271" s="299"/>
      <c r="J271" s="298"/>
      <c r="K271" s="299"/>
      <c r="L271" s="298"/>
      <c r="M271" s="299"/>
      <c r="N271" s="298"/>
      <c r="O271" s="299"/>
      <c r="P271" s="298"/>
      <c r="Q271" s="299"/>
      <c r="R271" s="298"/>
      <c r="S271" s="299"/>
      <c r="T271" s="298"/>
      <c r="U271" s="309"/>
      <c r="V271" s="298"/>
      <c r="W271" s="299"/>
      <c r="X271" s="298"/>
      <c r="Y271" s="299"/>
      <c r="Z271" s="298"/>
      <c r="AA271" s="312"/>
      <c r="AB271" s="298"/>
      <c r="AC271" s="299"/>
      <c r="AD271" s="298"/>
      <c r="AE271" s="299"/>
      <c r="AF271" s="298"/>
      <c r="AG271" s="299"/>
      <c r="AH271" s="298"/>
    </row>
    <row r="272">
      <c r="A272" s="298"/>
      <c r="B272" s="299"/>
      <c r="C272" s="298"/>
      <c r="D272" s="299"/>
      <c r="E272" s="298"/>
      <c r="F272" s="299"/>
      <c r="G272" s="298"/>
      <c r="H272" s="299"/>
      <c r="I272" s="299"/>
      <c r="J272" s="298"/>
      <c r="K272" s="299"/>
      <c r="L272" s="298"/>
      <c r="M272" s="299"/>
      <c r="N272" s="298"/>
      <c r="O272" s="299"/>
      <c r="P272" s="298"/>
      <c r="Q272" s="299"/>
      <c r="R272" s="298"/>
      <c r="S272" s="299"/>
      <c r="T272" s="298"/>
      <c r="U272" s="309"/>
      <c r="V272" s="298"/>
      <c r="W272" s="299"/>
      <c r="X272" s="298"/>
      <c r="Y272" s="299"/>
      <c r="Z272" s="298"/>
      <c r="AA272" s="312"/>
      <c r="AB272" s="298"/>
      <c r="AC272" s="299"/>
      <c r="AD272" s="298"/>
      <c r="AE272" s="299"/>
      <c r="AF272" s="298"/>
      <c r="AG272" s="299"/>
      <c r="AH272" s="298"/>
    </row>
    <row r="273">
      <c r="A273" s="298"/>
      <c r="B273" s="299"/>
      <c r="C273" s="298"/>
      <c r="D273" s="299"/>
      <c r="E273" s="298"/>
      <c r="F273" s="299"/>
      <c r="G273" s="298"/>
      <c r="H273" s="299"/>
      <c r="I273" s="299"/>
      <c r="J273" s="298"/>
      <c r="K273" s="299"/>
      <c r="L273" s="298"/>
      <c r="M273" s="299"/>
      <c r="N273" s="298"/>
      <c r="O273" s="299"/>
      <c r="P273" s="298"/>
      <c r="Q273" s="299"/>
      <c r="R273" s="298"/>
      <c r="S273" s="299"/>
      <c r="T273" s="298"/>
      <c r="U273" s="309"/>
      <c r="V273" s="298"/>
      <c r="W273" s="299"/>
      <c r="X273" s="298"/>
      <c r="Y273" s="299"/>
      <c r="Z273" s="298"/>
      <c r="AA273" s="312"/>
      <c r="AB273" s="298"/>
      <c r="AC273" s="299"/>
      <c r="AD273" s="298"/>
      <c r="AE273" s="299"/>
      <c r="AF273" s="298"/>
      <c r="AG273" s="299"/>
      <c r="AH273" s="298"/>
    </row>
    <row r="274">
      <c r="A274" s="298"/>
      <c r="B274" s="299"/>
      <c r="C274" s="298"/>
      <c r="D274" s="299"/>
      <c r="E274" s="298"/>
      <c r="F274" s="299"/>
      <c r="G274" s="298"/>
      <c r="H274" s="299"/>
      <c r="I274" s="299"/>
      <c r="J274" s="298"/>
      <c r="K274" s="299"/>
      <c r="L274" s="298"/>
      <c r="M274" s="299"/>
      <c r="N274" s="298"/>
      <c r="O274" s="299"/>
      <c r="P274" s="298"/>
      <c r="Q274" s="299"/>
      <c r="R274" s="298"/>
      <c r="S274" s="299"/>
      <c r="T274" s="298"/>
      <c r="U274" s="309"/>
      <c r="V274" s="298"/>
      <c r="W274" s="299"/>
      <c r="X274" s="298"/>
      <c r="Y274" s="299"/>
      <c r="Z274" s="298"/>
      <c r="AA274" s="312"/>
      <c r="AB274" s="298"/>
      <c r="AC274" s="299"/>
      <c r="AD274" s="298"/>
      <c r="AE274" s="299"/>
      <c r="AF274" s="298"/>
      <c r="AG274" s="299"/>
      <c r="AH274" s="298"/>
    </row>
    <row r="275">
      <c r="A275" s="298"/>
      <c r="B275" s="299"/>
      <c r="C275" s="298"/>
      <c r="D275" s="299"/>
      <c r="E275" s="298"/>
      <c r="F275" s="299"/>
      <c r="G275" s="298"/>
      <c r="H275" s="299"/>
      <c r="I275" s="299"/>
      <c r="J275" s="298"/>
      <c r="K275" s="299"/>
      <c r="L275" s="298"/>
      <c r="M275" s="299"/>
      <c r="N275" s="298"/>
      <c r="O275" s="299"/>
      <c r="P275" s="298"/>
      <c r="Q275" s="299"/>
      <c r="R275" s="298"/>
      <c r="S275" s="299"/>
      <c r="T275" s="298"/>
      <c r="U275" s="309"/>
      <c r="V275" s="298"/>
      <c r="W275" s="299"/>
      <c r="X275" s="298"/>
      <c r="Y275" s="299"/>
      <c r="Z275" s="298"/>
      <c r="AA275" s="312"/>
      <c r="AB275" s="298"/>
      <c r="AC275" s="299"/>
      <c r="AD275" s="298"/>
      <c r="AE275" s="299"/>
      <c r="AF275" s="298"/>
      <c r="AG275" s="299"/>
      <c r="AH275" s="298"/>
    </row>
    <row r="276">
      <c r="A276" s="298"/>
      <c r="B276" s="299"/>
      <c r="C276" s="298"/>
      <c r="D276" s="299"/>
      <c r="E276" s="298"/>
      <c r="F276" s="299"/>
      <c r="G276" s="298"/>
      <c r="H276" s="299"/>
      <c r="I276" s="299"/>
      <c r="J276" s="298"/>
      <c r="K276" s="299"/>
      <c r="L276" s="298"/>
      <c r="M276" s="299"/>
      <c r="N276" s="298"/>
      <c r="O276" s="299"/>
      <c r="P276" s="298"/>
      <c r="Q276" s="299"/>
      <c r="R276" s="298"/>
      <c r="S276" s="299"/>
      <c r="T276" s="298"/>
      <c r="U276" s="309"/>
      <c r="V276" s="298"/>
      <c r="W276" s="299"/>
      <c r="X276" s="298"/>
      <c r="Y276" s="299"/>
      <c r="Z276" s="298"/>
      <c r="AA276" s="312"/>
      <c r="AB276" s="298"/>
      <c r="AC276" s="299"/>
      <c r="AD276" s="298"/>
      <c r="AE276" s="299"/>
      <c r="AF276" s="298"/>
      <c r="AG276" s="299"/>
      <c r="AH276" s="298"/>
    </row>
    <row r="277">
      <c r="A277" s="298"/>
      <c r="B277" s="299"/>
      <c r="C277" s="298"/>
      <c r="D277" s="299"/>
      <c r="E277" s="298"/>
      <c r="F277" s="299"/>
      <c r="G277" s="298"/>
      <c r="H277" s="299"/>
      <c r="I277" s="299"/>
      <c r="J277" s="298"/>
      <c r="K277" s="299"/>
      <c r="L277" s="298"/>
      <c r="M277" s="299"/>
      <c r="N277" s="298"/>
      <c r="O277" s="299"/>
      <c r="P277" s="298"/>
      <c r="Q277" s="299"/>
      <c r="R277" s="298"/>
      <c r="S277" s="299"/>
      <c r="T277" s="298"/>
      <c r="U277" s="309"/>
      <c r="V277" s="298"/>
      <c r="W277" s="299"/>
      <c r="X277" s="298"/>
      <c r="Y277" s="299"/>
      <c r="Z277" s="298"/>
      <c r="AA277" s="312"/>
      <c r="AB277" s="298"/>
      <c r="AC277" s="299"/>
      <c r="AD277" s="298"/>
      <c r="AE277" s="299"/>
      <c r="AF277" s="298"/>
      <c r="AG277" s="299"/>
      <c r="AH277" s="298"/>
    </row>
    <row r="278">
      <c r="A278" s="298"/>
      <c r="B278" s="299"/>
      <c r="C278" s="298"/>
      <c r="D278" s="299"/>
      <c r="E278" s="298"/>
      <c r="F278" s="299"/>
      <c r="G278" s="298"/>
      <c r="H278" s="299"/>
      <c r="I278" s="299"/>
      <c r="J278" s="298"/>
      <c r="K278" s="299"/>
      <c r="L278" s="298"/>
      <c r="M278" s="299"/>
      <c r="N278" s="298"/>
      <c r="O278" s="299"/>
      <c r="P278" s="298"/>
      <c r="Q278" s="299"/>
      <c r="R278" s="298"/>
      <c r="S278" s="299"/>
      <c r="T278" s="298"/>
      <c r="U278" s="309"/>
      <c r="V278" s="298"/>
      <c r="W278" s="299"/>
      <c r="X278" s="298"/>
      <c r="Y278" s="299"/>
      <c r="Z278" s="298"/>
      <c r="AA278" s="312"/>
      <c r="AB278" s="298"/>
      <c r="AC278" s="299"/>
      <c r="AD278" s="298"/>
      <c r="AE278" s="299"/>
      <c r="AF278" s="298"/>
      <c r="AG278" s="299"/>
      <c r="AH278" s="298"/>
    </row>
    <row r="279">
      <c r="A279" s="298"/>
      <c r="B279" s="299"/>
      <c r="C279" s="298"/>
      <c r="D279" s="299"/>
      <c r="E279" s="298"/>
      <c r="F279" s="299"/>
      <c r="G279" s="298"/>
      <c r="H279" s="299"/>
      <c r="I279" s="299"/>
      <c r="J279" s="298"/>
      <c r="K279" s="299"/>
      <c r="L279" s="298"/>
      <c r="M279" s="299"/>
      <c r="N279" s="298"/>
      <c r="O279" s="299"/>
      <c r="P279" s="298"/>
      <c r="Q279" s="299"/>
      <c r="R279" s="298"/>
      <c r="S279" s="299"/>
      <c r="T279" s="298"/>
      <c r="U279" s="309"/>
      <c r="V279" s="298"/>
      <c r="W279" s="299"/>
      <c r="X279" s="298"/>
      <c r="Y279" s="299"/>
      <c r="Z279" s="298"/>
      <c r="AA279" s="312"/>
      <c r="AB279" s="298"/>
      <c r="AC279" s="299"/>
      <c r="AD279" s="298"/>
      <c r="AE279" s="299"/>
      <c r="AF279" s="298"/>
      <c r="AG279" s="299"/>
      <c r="AH279" s="298"/>
    </row>
    <row r="280">
      <c r="A280" s="298"/>
      <c r="B280" s="299"/>
      <c r="C280" s="298"/>
      <c r="D280" s="299"/>
      <c r="E280" s="298"/>
      <c r="F280" s="299"/>
      <c r="G280" s="298"/>
      <c r="H280" s="299"/>
      <c r="I280" s="299"/>
      <c r="J280" s="298"/>
      <c r="K280" s="299"/>
      <c r="L280" s="298"/>
      <c r="M280" s="299"/>
      <c r="N280" s="298"/>
      <c r="O280" s="299"/>
      <c r="P280" s="298"/>
      <c r="Q280" s="299"/>
      <c r="R280" s="298"/>
      <c r="S280" s="299"/>
      <c r="T280" s="298"/>
      <c r="U280" s="309"/>
      <c r="V280" s="298"/>
      <c r="W280" s="299"/>
      <c r="X280" s="298"/>
      <c r="Y280" s="299"/>
      <c r="Z280" s="298"/>
      <c r="AA280" s="312"/>
      <c r="AB280" s="298"/>
      <c r="AC280" s="299"/>
      <c r="AD280" s="298"/>
      <c r="AE280" s="299"/>
      <c r="AF280" s="298"/>
      <c r="AG280" s="299"/>
      <c r="AH280" s="298"/>
    </row>
    <row r="281">
      <c r="A281" s="298"/>
      <c r="B281" s="299"/>
      <c r="C281" s="298"/>
      <c r="D281" s="299"/>
      <c r="E281" s="298"/>
      <c r="F281" s="299"/>
      <c r="G281" s="298"/>
      <c r="H281" s="299"/>
      <c r="I281" s="299"/>
      <c r="J281" s="298"/>
      <c r="K281" s="299"/>
      <c r="L281" s="298"/>
      <c r="M281" s="299"/>
      <c r="N281" s="298"/>
      <c r="O281" s="299"/>
      <c r="P281" s="298"/>
      <c r="Q281" s="299"/>
      <c r="R281" s="298"/>
      <c r="S281" s="299"/>
      <c r="T281" s="298"/>
      <c r="U281" s="309"/>
      <c r="V281" s="298"/>
      <c r="W281" s="299"/>
      <c r="X281" s="298"/>
      <c r="Y281" s="299"/>
      <c r="Z281" s="298"/>
      <c r="AA281" s="312"/>
      <c r="AB281" s="298"/>
      <c r="AC281" s="299"/>
      <c r="AD281" s="298"/>
      <c r="AE281" s="299"/>
      <c r="AF281" s="298"/>
      <c r="AG281" s="299"/>
      <c r="AH281" s="298"/>
    </row>
    <row r="282">
      <c r="A282" s="298"/>
      <c r="B282" s="299"/>
      <c r="C282" s="298"/>
      <c r="D282" s="299"/>
      <c r="E282" s="298"/>
      <c r="F282" s="299"/>
      <c r="G282" s="298"/>
      <c r="H282" s="299"/>
      <c r="I282" s="299"/>
      <c r="J282" s="298"/>
      <c r="K282" s="299"/>
      <c r="L282" s="298"/>
      <c r="M282" s="299"/>
      <c r="N282" s="298"/>
      <c r="O282" s="299"/>
      <c r="P282" s="298"/>
      <c r="Q282" s="299"/>
      <c r="R282" s="298"/>
      <c r="S282" s="299"/>
      <c r="T282" s="298"/>
      <c r="U282" s="309"/>
      <c r="V282" s="298"/>
      <c r="W282" s="299"/>
      <c r="X282" s="298"/>
      <c r="Y282" s="299"/>
      <c r="Z282" s="298"/>
      <c r="AA282" s="312"/>
      <c r="AB282" s="298"/>
      <c r="AC282" s="299"/>
      <c r="AD282" s="298"/>
      <c r="AE282" s="299"/>
      <c r="AF282" s="298"/>
      <c r="AG282" s="299"/>
      <c r="AH282" s="298"/>
    </row>
    <row r="283">
      <c r="A283" s="298"/>
      <c r="B283" s="299"/>
      <c r="C283" s="298"/>
      <c r="D283" s="299"/>
      <c r="E283" s="298"/>
      <c r="F283" s="299"/>
      <c r="G283" s="298"/>
      <c r="H283" s="299"/>
      <c r="I283" s="299"/>
      <c r="J283" s="298"/>
      <c r="K283" s="299"/>
      <c r="L283" s="298"/>
      <c r="M283" s="299"/>
      <c r="N283" s="298"/>
      <c r="O283" s="299"/>
      <c r="P283" s="298"/>
      <c r="Q283" s="299"/>
      <c r="R283" s="298"/>
      <c r="S283" s="299"/>
      <c r="T283" s="298"/>
      <c r="U283" s="309"/>
      <c r="V283" s="298"/>
      <c r="W283" s="299"/>
      <c r="X283" s="298"/>
      <c r="Y283" s="299"/>
      <c r="Z283" s="298"/>
      <c r="AA283" s="312"/>
      <c r="AB283" s="298"/>
      <c r="AC283" s="299"/>
      <c r="AD283" s="298"/>
      <c r="AE283" s="299"/>
      <c r="AF283" s="298"/>
      <c r="AG283" s="299"/>
      <c r="AH283" s="298"/>
    </row>
    <row r="284">
      <c r="A284" s="298"/>
      <c r="B284" s="299"/>
      <c r="C284" s="298"/>
      <c r="D284" s="299"/>
      <c r="E284" s="298"/>
      <c r="F284" s="299"/>
      <c r="G284" s="298"/>
      <c r="H284" s="299"/>
      <c r="I284" s="299"/>
      <c r="J284" s="298"/>
      <c r="K284" s="299"/>
      <c r="L284" s="298"/>
      <c r="M284" s="299"/>
      <c r="N284" s="298"/>
      <c r="O284" s="299"/>
      <c r="P284" s="298"/>
      <c r="Q284" s="299"/>
      <c r="R284" s="298"/>
      <c r="S284" s="299"/>
      <c r="T284" s="298"/>
      <c r="U284" s="309"/>
      <c r="V284" s="298"/>
      <c r="W284" s="299"/>
      <c r="X284" s="298"/>
      <c r="Y284" s="299"/>
      <c r="Z284" s="298"/>
      <c r="AA284" s="312"/>
      <c r="AB284" s="298"/>
      <c r="AC284" s="299"/>
      <c r="AD284" s="298"/>
      <c r="AE284" s="299"/>
      <c r="AF284" s="298"/>
      <c r="AG284" s="299"/>
      <c r="AH284" s="298"/>
    </row>
    <row r="285">
      <c r="A285" s="298"/>
      <c r="B285" s="299"/>
      <c r="C285" s="298"/>
      <c r="D285" s="299"/>
      <c r="E285" s="298"/>
      <c r="F285" s="299"/>
      <c r="G285" s="298"/>
      <c r="H285" s="299"/>
      <c r="I285" s="299"/>
      <c r="J285" s="298"/>
      <c r="K285" s="299"/>
      <c r="L285" s="298"/>
      <c r="M285" s="299"/>
      <c r="N285" s="298"/>
      <c r="O285" s="299"/>
      <c r="P285" s="298"/>
      <c r="Q285" s="299"/>
      <c r="R285" s="298"/>
      <c r="S285" s="299"/>
      <c r="T285" s="298"/>
      <c r="U285" s="309"/>
      <c r="V285" s="298"/>
      <c r="W285" s="299"/>
      <c r="X285" s="298"/>
      <c r="Y285" s="299"/>
      <c r="Z285" s="298"/>
      <c r="AA285" s="312"/>
      <c r="AB285" s="298"/>
      <c r="AC285" s="299"/>
      <c r="AD285" s="298"/>
      <c r="AE285" s="299"/>
      <c r="AF285" s="298"/>
      <c r="AG285" s="299"/>
      <c r="AH285" s="298"/>
    </row>
    <row r="286">
      <c r="A286" s="298"/>
      <c r="B286" s="299"/>
      <c r="C286" s="298"/>
      <c r="D286" s="299"/>
      <c r="E286" s="298"/>
      <c r="F286" s="299"/>
      <c r="G286" s="298"/>
      <c r="H286" s="299"/>
      <c r="I286" s="299"/>
      <c r="J286" s="298"/>
      <c r="K286" s="299"/>
      <c r="L286" s="298"/>
      <c r="M286" s="299"/>
      <c r="N286" s="298"/>
      <c r="O286" s="299"/>
      <c r="P286" s="298"/>
      <c r="Q286" s="299"/>
      <c r="R286" s="298"/>
      <c r="S286" s="299"/>
      <c r="T286" s="298"/>
      <c r="U286" s="309"/>
      <c r="V286" s="298"/>
      <c r="W286" s="299"/>
      <c r="X286" s="298"/>
      <c r="Y286" s="299"/>
      <c r="Z286" s="298"/>
      <c r="AA286" s="312"/>
      <c r="AB286" s="298"/>
      <c r="AC286" s="299"/>
      <c r="AD286" s="298"/>
      <c r="AE286" s="299"/>
      <c r="AF286" s="298"/>
      <c r="AG286" s="299"/>
      <c r="AH286" s="298"/>
    </row>
    <row r="287">
      <c r="A287" s="298"/>
      <c r="B287" s="299"/>
      <c r="C287" s="298"/>
      <c r="D287" s="299"/>
      <c r="E287" s="298"/>
      <c r="F287" s="299"/>
      <c r="G287" s="298"/>
      <c r="H287" s="299"/>
      <c r="I287" s="299"/>
      <c r="J287" s="298"/>
      <c r="K287" s="299"/>
      <c r="L287" s="298"/>
      <c r="M287" s="299"/>
      <c r="N287" s="298"/>
      <c r="O287" s="299"/>
      <c r="P287" s="298"/>
      <c r="Q287" s="299"/>
      <c r="R287" s="298"/>
      <c r="S287" s="299"/>
      <c r="T287" s="298"/>
      <c r="U287" s="309"/>
      <c r="V287" s="298"/>
      <c r="W287" s="299"/>
      <c r="X287" s="298"/>
      <c r="Y287" s="299"/>
      <c r="Z287" s="298"/>
      <c r="AA287" s="312"/>
      <c r="AB287" s="298"/>
      <c r="AC287" s="299"/>
      <c r="AD287" s="298"/>
      <c r="AE287" s="299"/>
      <c r="AF287" s="298"/>
      <c r="AG287" s="299"/>
      <c r="AH287" s="298"/>
    </row>
    <row r="288">
      <c r="A288" s="298"/>
      <c r="B288" s="299"/>
      <c r="C288" s="298"/>
      <c r="D288" s="299"/>
      <c r="E288" s="298"/>
      <c r="F288" s="299"/>
      <c r="G288" s="298"/>
      <c r="H288" s="299"/>
      <c r="I288" s="299"/>
      <c r="J288" s="298"/>
      <c r="K288" s="299"/>
      <c r="L288" s="298"/>
      <c r="M288" s="299"/>
      <c r="N288" s="298"/>
      <c r="O288" s="299"/>
      <c r="P288" s="298"/>
      <c r="Q288" s="299"/>
      <c r="R288" s="298"/>
      <c r="S288" s="299"/>
      <c r="T288" s="298"/>
      <c r="U288" s="309"/>
      <c r="V288" s="298"/>
      <c r="W288" s="299"/>
      <c r="X288" s="298"/>
      <c r="Y288" s="299"/>
      <c r="Z288" s="298"/>
      <c r="AA288" s="312"/>
      <c r="AB288" s="298"/>
      <c r="AC288" s="299"/>
      <c r="AD288" s="298"/>
      <c r="AE288" s="299"/>
      <c r="AF288" s="298"/>
      <c r="AG288" s="299"/>
      <c r="AH288" s="298"/>
    </row>
    <row r="289">
      <c r="A289" s="298"/>
      <c r="B289" s="299"/>
      <c r="C289" s="298"/>
      <c r="D289" s="299"/>
      <c r="E289" s="298"/>
      <c r="F289" s="299"/>
      <c r="G289" s="298"/>
      <c r="H289" s="299"/>
      <c r="I289" s="299"/>
      <c r="J289" s="298"/>
      <c r="K289" s="299"/>
      <c r="L289" s="298"/>
      <c r="M289" s="299"/>
      <c r="N289" s="298"/>
      <c r="O289" s="299"/>
      <c r="P289" s="298"/>
      <c r="Q289" s="299"/>
      <c r="R289" s="298"/>
      <c r="S289" s="299"/>
      <c r="T289" s="298"/>
      <c r="U289" s="309"/>
      <c r="V289" s="298"/>
      <c r="W289" s="299"/>
      <c r="X289" s="298"/>
      <c r="Y289" s="299"/>
      <c r="Z289" s="298"/>
      <c r="AA289" s="312"/>
      <c r="AB289" s="298"/>
      <c r="AC289" s="299"/>
      <c r="AD289" s="298"/>
      <c r="AE289" s="299"/>
      <c r="AF289" s="298"/>
      <c r="AG289" s="299"/>
      <c r="AH289" s="298"/>
    </row>
    <row r="290">
      <c r="A290" s="298"/>
      <c r="B290" s="299"/>
      <c r="C290" s="298"/>
      <c r="D290" s="299"/>
      <c r="E290" s="298"/>
      <c r="F290" s="299"/>
      <c r="G290" s="298"/>
      <c r="H290" s="299"/>
      <c r="I290" s="299"/>
      <c r="J290" s="298"/>
      <c r="K290" s="299"/>
      <c r="L290" s="298"/>
      <c r="M290" s="299"/>
      <c r="N290" s="298"/>
      <c r="O290" s="299"/>
      <c r="P290" s="298"/>
      <c r="Q290" s="299"/>
      <c r="R290" s="298"/>
      <c r="S290" s="299"/>
      <c r="T290" s="298"/>
      <c r="U290" s="309"/>
      <c r="V290" s="298"/>
      <c r="W290" s="299"/>
      <c r="X290" s="298"/>
      <c r="Y290" s="299"/>
      <c r="Z290" s="298"/>
      <c r="AA290" s="312"/>
      <c r="AB290" s="298"/>
      <c r="AC290" s="299"/>
      <c r="AD290" s="298"/>
      <c r="AE290" s="299"/>
      <c r="AF290" s="298"/>
      <c r="AG290" s="299"/>
      <c r="AH290" s="298"/>
    </row>
    <row r="291">
      <c r="A291" s="298"/>
      <c r="B291" s="299"/>
      <c r="C291" s="298"/>
      <c r="D291" s="299"/>
      <c r="E291" s="298"/>
      <c r="F291" s="299"/>
      <c r="G291" s="298"/>
      <c r="H291" s="299"/>
      <c r="I291" s="299"/>
      <c r="J291" s="298"/>
      <c r="K291" s="299"/>
      <c r="L291" s="298"/>
      <c r="M291" s="299"/>
      <c r="N291" s="298"/>
      <c r="O291" s="299"/>
      <c r="P291" s="298"/>
      <c r="Q291" s="299"/>
      <c r="R291" s="298"/>
      <c r="S291" s="299"/>
      <c r="T291" s="298"/>
      <c r="U291" s="309"/>
      <c r="V291" s="298"/>
      <c r="W291" s="299"/>
      <c r="X291" s="298"/>
      <c r="Y291" s="299"/>
      <c r="Z291" s="298"/>
      <c r="AA291" s="312"/>
      <c r="AB291" s="298"/>
      <c r="AC291" s="299"/>
      <c r="AD291" s="298"/>
      <c r="AE291" s="299"/>
      <c r="AF291" s="298"/>
      <c r="AG291" s="299"/>
      <c r="AH291" s="298"/>
    </row>
    <row r="292">
      <c r="A292" s="298"/>
      <c r="B292" s="299"/>
      <c r="C292" s="298"/>
      <c r="D292" s="299"/>
      <c r="E292" s="298"/>
      <c r="F292" s="299"/>
      <c r="G292" s="298"/>
      <c r="H292" s="299"/>
      <c r="I292" s="299"/>
      <c r="J292" s="298"/>
      <c r="K292" s="299"/>
      <c r="L292" s="298"/>
      <c r="M292" s="299"/>
      <c r="N292" s="298"/>
      <c r="O292" s="299"/>
      <c r="P292" s="298"/>
      <c r="Q292" s="299"/>
      <c r="R292" s="298"/>
      <c r="S292" s="299"/>
      <c r="T292" s="298"/>
      <c r="U292" s="309"/>
      <c r="V292" s="298"/>
      <c r="W292" s="299"/>
      <c r="X292" s="298"/>
      <c r="Y292" s="299"/>
      <c r="Z292" s="298"/>
      <c r="AA292" s="312"/>
      <c r="AB292" s="298"/>
      <c r="AC292" s="299"/>
      <c r="AD292" s="298"/>
      <c r="AE292" s="299"/>
      <c r="AF292" s="298"/>
      <c r="AG292" s="299"/>
      <c r="AH292" s="298"/>
    </row>
    <row r="293">
      <c r="A293" s="298"/>
      <c r="B293" s="299"/>
      <c r="C293" s="298"/>
      <c r="D293" s="299"/>
      <c r="E293" s="298"/>
      <c r="F293" s="299"/>
      <c r="G293" s="298"/>
      <c r="H293" s="299"/>
      <c r="I293" s="299"/>
      <c r="J293" s="298"/>
      <c r="K293" s="299"/>
      <c r="L293" s="298"/>
      <c r="M293" s="299"/>
      <c r="N293" s="298"/>
      <c r="O293" s="299"/>
      <c r="P293" s="298"/>
      <c r="Q293" s="299"/>
      <c r="R293" s="298"/>
      <c r="S293" s="299"/>
      <c r="T293" s="298"/>
      <c r="U293" s="309"/>
      <c r="V293" s="298"/>
      <c r="W293" s="299"/>
      <c r="X293" s="298"/>
      <c r="Y293" s="299"/>
      <c r="Z293" s="298"/>
      <c r="AA293" s="312"/>
      <c r="AB293" s="298"/>
      <c r="AC293" s="299"/>
      <c r="AD293" s="298"/>
      <c r="AE293" s="299"/>
      <c r="AF293" s="298"/>
      <c r="AG293" s="299"/>
      <c r="AH293" s="298"/>
    </row>
    <row r="294">
      <c r="A294" s="298"/>
      <c r="B294" s="299"/>
      <c r="C294" s="298"/>
      <c r="D294" s="299"/>
      <c r="E294" s="298"/>
      <c r="F294" s="299"/>
      <c r="G294" s="298"/>
      <c r="H294" s="299"/>
      <c r="I294" s="299"/>
      <c r="J294" s="298"/>
      <c r="K294" s="299"/>
      <c r="L294" s="298"/>
      <c r="M294" s="299"/>
      <c r="N294" s="298"/>
      <c r="O294" s="299"/>
      <c r="P294" s="298"/>
      <c r="Q294" s="299"/>
      <c r="R294" s="298"/>
      <c r="S294" s="299"/>
      <c r="T294" s="298"/>
      <c r="U294" s="309"/>
      <c r="V294" s="298"/>
      <c r="W294" s="299"/>
      <c r="X294" s="298"/>
      <c r="Y294" s="299"/>
      <c r="Z294" s="298"/>
      <c r="AA294" s="312"/>
      <c r="AB294" s="298"/>
      <c r="AC294" s="299"/>
      <c r="AD294" s="298"/>
      <c r="AE294" s="299"/>
      <c r="AF294" s="298"/>
      <c r="AG294" s="299"/>
      <c r="AH294" s="298"/>
    </row>
    <row r="295">
      <c r="A295" s="298"/>
      <c r="B295" s="299"/>
      <c r="C295" s="298"/>
      <c r="D295" s="299"/>
      <c r="E295" s="298"/>
      <c r="F295" s="299"/>
      <c r="G295" s="298"/>
      <c r="H295" s="299"/>
      <c r="I295" s="299"/>
      <c r="J295" s="298"/>
      <c r="K295" s="299"/>
      <c r="L295" s="298"/>
      <c r="M295" s="299"/>
      <c r="N295" s="298"/>
      <c r="O295" s="299"/>
      <c r="P295" s="298"/>
      <c r="Q295" s="299"/>
      <c r="R295" s="298"/>
      <c r="S295" s="299"/>
      <c r="T295" s="298"/>
      <c r="U295" s="309"/>
      <c r="V295" s="298"/>
      <c r="W295" s="299"/>
      <c r="X295" s="298"/>
      <c r="Y295" s="299"/>
      <c r="Z295" s="298"/>
      <c r="AA295" s="312"/>
      <c r="AB295" s="298"/>
      <c r="AC295" s="299"/>
      <c r="AD295" s="298"/>
      <c r="AE295" s="299"/>
      <c r="AF295" s="298"/>
      <c r="AG295" s="299"/>
      <c r="AH295" s="298"/>
    </row>
    <row r="296">
      <c r="A296" s="298"/>
      <c r="B296" s="299"/>
      <c r="C296" s="298"/>
      <c r="D296" s="299"/>
      <c r="E296" s="298"/>
      <c r="F296" s="299"/>
      <c r="G296" s="298"/>
      <c r="H296" s="299"/>
      <c r="I296" s="299"/>
      <c r="J296" s="298"/>
      <c r="K296" s="299"/>
      <c r="L296" s="298"/>
      <c r="M296" s="299"/>
      <c r="N296" s="298"/>
      <c r="O296" s="299"/>
      <c r="P296" s="298"/>
      <c r="Q296" s="299"/>
      <c r="R296" s="298"/>
      <c r="S296" s="299"/>
      <c r="T296" s="298"/>
      <c r="U296" s="309"/>
      <c r="V296" s="298"/>
      <c r="W296" s="299"/>
      <c r="X296" s="298"/>
      <c r="Y296" s="299"/>
      <c r="Z296" s="298"/>
      <c r="AA296" s="312"/>
      <c r="AB296" s="298"/>
      <c r="AC296" s="299"/>
      <c r="AD296" s="298"/>
      <c r="AE296" s="299"/>
      <c r="AF296" s="298"/>
      <c r="AG296" s="299"/>
      <c r="AH296" s="298"/>
    </row>
    <row r="297">
      <c r="A297" s="298"/>
      <c r="B297" s="299"/>
      <c r="C297" s="298"/>
      <c r="D297" s="299"/>
      <c r="E297" s="298"/>
      <c r="F297" s="299"/>
      <c r="G297" s="298"/>
      <c r="H297" s="299"/>
      <c r="I297" s="299"/>
      <c r="J297" s="298"/>
      <c r="K297" s="299"/>
      <c r="L297" s="298"/>
      <c r="M297" s="299"/>
      <c r="N297" s="298"/>
      <c r="O297" s="299"/>
      <c r="P297" s="298"/>
      <c r="Q297" s="299"/>
      <c r="R297" s="298"/>
      <c r="S297" s="299"/>
      <c r="T297" s="298"/>
      <c r="U297" s="309"/>
      <c r="V297" s="298"/>
      <c r="W297" s="299"/>
      <c r="X297" s="298"/>
      <c r="Y297" s="299"/>
      <c r="Z297" s="298"/>
      <c r="AA297" s="312"/>
      <c r="AB297" s="298"/>
      <c r="AC297" s="299"/>
      <c r="AD297" s="298"/>
      <c r="AE297" s="299"/>
      <c r="AF297" s="298"/>
      <c r="AG297" s="299"/>
      <c r="AH297" s="298"/>
    </row>
    <row r="298">
      <c r="A298" s="298"/>
      <c r="B298" s="299"/>
      <c r="C298" s="298"/>
      <c r="D298" s="299"/>
      <c r="E298" s="298"/>
      <c r="F298" s="299"/>
      <c r="G298" s="298"/>
      <c r="H298" s="299"/>
      <c r="I298" s="299"/>
      <c r="J298" s="298"/>
      <c r="K298" s="299"/>
      <c r="L298" s="298"/>
      <c r="M298" s="299"/>
      <c r="N298" s="298"/>
      <c r="O298" s="299"/>
      <c r="P298" s="298"/>
      <c r="Q298" s="299"/>
      <c r="R298" s="298"/>
      <c r="S298" s="299"/>
      <c r="T298" s="298"/>
      <c r="U298" s="309"/>
      <c r="V298" s="298"/>
      <c r="W298" s="299"/>
      <c r="X298" s="298"/>
      <c r="Y298" s="299"/>
      <c r="Z298" s="298"/>
      <c r="AA298" s="312"/>
      <c r="AB298" s="298"/>
      <c r="AC298" s="299"/>
      <c r="AD298" s="298"/>
      <c r="AE298" s="299"/>
      <c r="AF298" s="298"/>
      <c r="AG298" s="299"/>
      <c r="AH298" s="298"/>
    </row>
    <row r="299">
      <c r="A299" s="298"/>
      <c r="B299" s="299"/>
      <c r="C299" s="298"/>
      <c r="D299" s="299"/>
      <c r="E299" s="298"/>
      <c r="F299" s="299"/>
      <c r="G299" s="298"/>
      <c r="H299" s="299"/>
      <c r="I299" s="299"/>
      <c r="J299" s="298"/>
      <c r="K299" s="299"/>
      <c r="L299" s="298"/>
      <c r="M299" s="299"/>
      <c r="N299" s="298"/>
      <c r="O299" s="299"/>
      <c r="P299" s="298"/>
      <c r="Q299" s="299"/>
      <c r="R299" s="298"/>
      <c r="S299" s="299"/>
      <c r="T299" s="298"/>
      <c r="U299" s="309"/>
      <c r="V299" s="298"/>
      <c r="W299" s="299"/>
      <c r="X299" s="298"/>
      <c r="Y299" s="299"/>
      <c r="Z299" s="298"/>
      <c r="AA299" s="312"/>
      <c r="AB299" s="298"/>
      <c r="AC299" s="299"/>
      <c r="AD299" s="298"/>
      <c r="AE299" s="299"/>
      <c r="AF299" s="298"/>
      <c r="AG299" s="299"/>
      <c r="AH299" s="298"/>
    </row>
    <row r="300">
      <c r="A300" s="298"/>
      <c r="B300" s="299"/>
      <c r="C300" s="298"/>
      <c r="D300" s="299"/>
      <c r="E300" s="298"/>
      <c r="F300" s="299"/>
      <c r="G300" s="298"/>
      <c r="H300" s="299"/>
      <c r="I300" s="299"/>
      <c r="J300" s="298"/>
      <c r="K300" s="299"/>
      <c r="L300" s="298"/>
      <c r="M300" s="299"/>
      <c r="N300" s="298"/>
      <c r="O300" s="299"/>
      <c r="P300" s="298"/>
      <c r="Q300" s="299"/>
      <c r="R300" s="298"/>
      <c r="S300" s="299"/>
      <c r="T300" s="298"/>
      <c r="U300" s="309"/>
      <c r="V300" s="298"/>
      <c r="W300" s="299"/>
      <c r="X300" s="298"/>
      <c r="Y300" s="299"/>
      <c r="Z300" s="298"/>
      <c r="AA300" s="312"/>
      <c r="AB300" s="298"/>
      <c r="AC300" s="299"/>
      <c r="AD300" s="298"/>
      <c r="AE300" s="299"/>
      <c r="AF300" s="298"/>
      <c r="AG300" s="299"/>
      <c r="AH300" s="298"/>
    </row>
    <row r="301">
      <c r="A301" s="298"/>
      <c r="B301" s="299"/>
      <c r="C301" s="298"/>
      <c r="D301" s="299"/>
      <c r="E301" s="298"/>
      <c r="F301" s="299"/>
      <c r="G301" s="298"/>
      <c r="H301" s="299"/>
      <c r="I301" s="299"/>
      <c r="J301" s="298"/>
      <c r="K301" s="299"/>
      <c r="L301" s="298"/>
      <c r="M301" s="299"/>
      <c r="N301" s="298"/>
      <c r="O301" s="299"/>
      <c r="P301" s="298"/>
      <c r="Q301" s="299"/>
      <c r="R301" s="298"/>
      <c r="S301" s="299"/>
      <c r="T301" s="298"/>
      <c r="U301" s="309"/>
      <c r="V301" s="298"/>
      <c r="W301" s="299"/>
      <c r="X301" s="298"/>
      <c r="Y301" s="299"/>
      <c r="Z301" s="298"/>
      <c r="AA301" s="312"/>
      <c r="AB301" s="298"/>
      <c r="AC301" s="299"/>
      <c r="AD301" s="298"/>
      <c r="AE301" s="299"/>
      <c r="AF301" s="298"/>
      <c r="AG301" s="299"/>
      <c r="AH301" s="298"/>
    </row>
    <row r="302">
      <c r="A302" s="298"/>
      <c r="B302" s="299"/>
      <c r="C302" s="298"/>
      <c r="D302" s="299"/>
      <c r="E302" s="298"/>
      <c r="F302" s="299"/>
      <c r="G302" s="298"/>
      <c r="H302" s="299"/>
      <c r="I302" s="299"/>
      <c r="J302" s="298"/>
      <c r="K302" s="299"/>
      <c r="L302" s="298"/>
      <c r="M302" s="299"/>
      <c r="N302" s="298"/>
      <c r="O302" s="299"/>
      <c r="P302" s="298"/>
      <c r="Q302" s="299"/>
      <c r="R302" s="298"/>
      <c r="S302" s="299"/>
      <c r="T302" s="298"/>
      <c r="U302" s="309"/>
      <c r="V302" s="298"/>
      <c r="W302" s="299"/>
      <c r="X302" s="298"/>
      <c r="Y302" s="299"/>
      <c r="Z302" s="298"/>
      <c r="AA302" s="312"/>
      <c r="AB302" s="298"/>
      <c r="AC302" s="299"/>
      <c r="AD302" s="298"/>
      <c r="AE302" s="299"/>
      <c r="AF302" s="298"/>
      <c r="AG302" s="299"/>
      <c r="AH302" s="298"/>
    </row>
    <row r="303">
      <c r="A303" s="298"/>
      <c r="B303" s="299"/>
      <c r="C303" s="298"/>
      <c r="D303" s="299"/>
      <c r="E303" s="298"/>
      <c r="F303" s="299"/>
      <c r="G303" s="298"/>
      <c r="H303" s="299"/>
      <c r="I303" s="299"/>
      <c r="J303" s="298"/>
      <c r="K303" s="299"/>
      <c r="L303" s="298"/>
      <c r="M303" s="299"/>
      <c r="N303" s="298"/>
      <c r="O303" s="299"/>
      <c r="P303" s="298"/>
      <c r="Q303" s="299"/>
      <c r="R303" s="298"/>
      <c r="S303" s="299"/>
      <c r="T303" s="298"/>
      <c r="U303" s="309"/>
      <c r="V303" s="298"/>
      <c r="W303" s="299"/>
      <c r="X303" s="298"/>
      <c r="Y303" s="299"/>
      <c r="Z303" s="298"/>
      <c r="AA303" s="312"/>
      <c r="AB303" s="298"/>
      <c r="AC303" s="299"/>
      <c r="AD303" s="298"/>
      <c r="AE303" s="299"/>
      <c r="AF303" s="298"/>
      <c r="AG303" s="299"/>
      <c r="AH303" s="298"/>
    </row>
    <row r="304">
      <c r="A304" s="298"/>
      <c r="B304" s="299"/>
      <c r="C304" s="298"/>
      <c r="D304" s="299"/>
      <c r="E304" s="298"/>
      <c r="F304" s="299"/>
      <c r="G304" s="298"/>
      <c r="H304" s="299"/>
      <c r="I304" s="299"/>
      <c r="J304" s="298"/>
      <c r="K304" s="299"/>
      <c r="L304" s="298"/>
      <c r="M304" s="299"/>
      <c r="N304" s="298"/>
      <c r="O304" s="299"/>
      <c r="P304" s="298"/>
      <c r="Q304" s="299"/>
      <c r="R304" s="298"/>
      <c r="S304" s="299"/>
      <c r="T304" s="298"/>
      <c r="U304" s="309"/>
      <c r="V304" s="298"/>
      <c r="W304" s="299"/>
      <c r="X304" s="298"/>
      <c r="Y304" s="299"/>
      <c r="Z304" s="298"/>
      <c r="AA304" s="312"/>
      <c r="AB304" s="298"/>
      <c r="AC304" s="299"/>
      <c r="AD304" s="298"/>
      <c r="AE304" s="299"/>
      <c r="AF304" s="298"/>
      <c r="AG304" s="299"/>
      <c r="AH304" s="298"/>
    </row>
    <row r="305">
      <c r="A305" s="298"/>
      <c r="B305" s="299"/>
      <c r="C305" s="298"/>
      <c r="D305" s="299"/>
      <c r="E305" s="298"/>
      <c r="F305" s="299"/>
      <c r="G305" s="298"/>
      <c r="H305" s="299"/>
      <c r="I305" s="299"/>
      <c r="J305" s="298"/>
      <c r="K305" s="299"/>
      <c r="L305" s="298"/>
      <c r="M305" s="299"/>
      <c r="N305" s="298"/>
      <c r="O305" s="299"/>
      <c r="P305" s="298"/>
      <c r="Q305" s="299"/>
      <c r="R305" s="298"/>
      <c r="S305" s="299"/>
      <c r="T305" s="298"/>
      <c r="U305" s="309"/>
      <c r="V305" s="298"/>
      <c r="W305" s="299"/>
      <c r="X305" s="298"/>
      <c r="Y305" s="299"/>
      <c r="Z305" s="298"/>
      <c r="AA305" s="312"/>
      <c r="AB305" s="298"/>
      <c r="AC305" s="299"/>
      <c r="AD305" s="298"/>
      <c r="AE305" s="299"/>
      <c r="AF305" s="298"/>
      <c r="AG305" s="299"/>
      <c r="AH305" s="298"/>
    </row>
    <row r="306">
      <c r="A306" s="298"/>
      <c r="B306" s="299"/>
      <c r="C306" s="298"/>
      <c r="D306" s="299"/>
      <c r="E306" s="298"/>
      <c r="F306" s="299"/>
      <c r="G306" s="298"/>
      <c r="H306" s="299"/>
      <c r="I306" s="299"/>
      <c r="J306" s="298"/>
      <c r="K306" s="299"/>
      <c r="L306" s="298"/>
      <c r="M306" s="299"/>
      <c r="N306" s="298"/>
      <c r="O306" s="299"/>
      <c r="P306" s="298"/>
      <c r="Q306" s="299"/>
      <c r="R306" s="298"/>
      <c r="S306" s="299"/>
      <c r="T306" s="298"/>
      <c r="U306" s="309"/>
      <c r="V306" s="298"/>
      <c r="W306" s="299"/>
      <c r="X306" s="298"/>
      <c r="Y306" s="299"/>
      <c r="Z306" s="298"/>
      <c r="AA306" s="312"/>
      <c r="AB306" s="298"/>
      <c r="AC306" s="299"/>
      <c r="AD306" s="298"/>
      <c r="AE306" s="299"/>
      <c r="AF306" s="298"/>
      <c r="AG306" s="299"/>
      <c r="AH306" s="298"/>
    </row>
    <row r="307">
      <c r="A307" s="298"/>
      <c r="B307" s="299"/>
      <c r="C307" s="298"/>
      <c r="D307" s="299"/>
      <c r="E307" s="298"/>
      <c r="F307" s="299"/>
      <c r="G307" s="298"/>
      <c r="H307" s="299"/>
      <c r="I307" s="299"/>
      <c r="J307" s="298"/>
      <c r="K307" s="299"/>
      <c r="L307" s="298"/>
      <c r="M307" s="299"/>
      <c r="N307" s="298"/>
      <c r="O307" s="299"/>
      <c r="P307" s="298"/>
      <c r="Q307" s="299"/>
      <c r="R307" s="298"/>
      <c r="S307" s="299"/>
      <c r="T307" s="298"/>
      <c r="U307" s="309"/>
      <c r="V307" s="298"/>
      <c r="W307" s="299"/>
      <c r="X307" s="298"/>
      <c r="Y307" s="299"/>
      <c r="Z307" s="298"/>
      <c r="AA307" s="312"/>
      <c r="AB307" s="298"/>
      <c r="AC307" s="299"/>
      <c r="AD307" s="298"/>
      <c r="AE307" s="299"/>
      <c r="AF307" s="298"/>
      <c r="AG307" s="299"/>
      <c r="AH307" s="298"/>
    </row>
    <row r="308">
      <c r="A308" s="298"/>
      <c r="B308" s="299"/>
      <c r="C308" s="298"/>
      <c r="D308" s="299"/>
      <c r="E308" s="298"/>
      <c r="F308" s="299"/>
      <c r="G308" s="298"/>
      <c r="H308" s="299"/>
      <c r="I308" s="299"/>
      <c r="J308" s="298"/>
      <c r="K308" s="299"/>
      <c r="L308" s="298"/>
      <c r="M308" s="299"/>
      <c r="N308" s="298"/>
      <c r="O308" s="299"/>
      <c r="P308" s="298"/>
      <c r="Q308" s="299"/>
      <c r="R308" s="298"/>
      <c r="S308" s="299"/>
      <c r="T308" s="298"/>
      <c r="U308" s="309"/>
      <c r="V308" s="298"/>
      <c r="W308" s="299"/>
      <c r="X308" s="298"/>
      <c r="Y308" s="299"/>
      <c r="Z308" s="298"/>
      <c r="AA308" s="312"/>
      <c r="AB308" s="298"/>
      <c r="AC308" s="299"/>
      <c r="AD308" s="298"/>
      <c r="AE308" s="299"/>
      <c r="AF308" s="298"/>
      <c r="AG308" s="299"/>
      <c r="AH308" s="298"/>
    </row>
    <row r="309">
      <c r="A309" s="298"/>
      <c r="B309" s="299"/>
      <c r="C309" s="298"/>
      <c r="D309" s="299"/>
      <c r="E309" s="298"/>
      <c r="F309" s="299"/>
      <c r="G309" s="298"/>
      <c r="H309" s="299"/>
      <c r="I309" s="299"/>
      <c r="J309" s="298"/>
      <c r="K309" s="299"/>
      <c r="L309" s="298"/>
      <c r="M309" s="299"/>
      <c r="N309" s="298"/>
      <c r="O309" s="299"/>
      <c r="P309" s="298"/>
      <c r="Q309" s="299"/>
      <c r="R309" s="298"/>
      <c r="S309" s="299"/>
      <c r="T309" s="298"/>
      <c r="U309" s="309"/>
      <c r="V309" s="298"/>
      <c r="W309" s="299"/>
      <c r="X309" s="298"/>
      <c r="Y309" s="299"/>
      <c r="Z309" s="298"/>
      <c r="AA309" s="312"/>
      <c r="AB309" s="298"/>
      <c r="AC309" s="299"/>
      <c r="AD309" s="298"/>
      <c r="AE309" s="299"/>
      <c r="AF309" s="298"/>
      <c r="AG309" s="299"/>
      <c r="AH309" s="298"/>
    </row>
    <row r="310">
      <c r="A310" s="298"/>
      <c r="B310" s="299"/>
      <c r="C310" s="298"/>
      <c r="D310" s="299"/>
      <c r="E310" s="298"/>
      <c r="F310" s="299"/>
      <c r="G310" s="298"/>
      <c r="H310" s="299"/>
      <c r="I310" s="299"/>
      <c r="J310" s="298"/>
      <c r="K310" s="299"/>
      <c r="L310" s="298"/>
      <c r="M310" s="299"/>
      <c r="N310" s="298"/>
      <c r="O310" s="299"/>
      <c r="P310" s="298"/>
      <c r="Q310" s="299"/>
      <c r="R310" s="298"/>
      <c r="S310" s="299"/>
      <c r="T310" s="298"/>
      <c r="U310" s="309"/>
      <c r="V310" s="298"/>
      <c r="W310" s="299"/>
      <c r="X310" s="298"/>
      <c r="Y310" s="299"/>
      <c r="Z310" s="298"/>
      <c r="AA310" s="312"/>
      <c r="AB310" s="298"/>
      <c r="AC310" s="299"/>
      <c r="AD310" s="298"/>
      <c r="AE310" s="299"/>
      <c r="AF310" s="298"/>
      <c r="AG310" s="299"/>
      <c r="AH310" s="298"/>
    </row>
    <row r="311">
      <c r="A311" s="298"/>
      <c r="B311" s="299"/>
      <c r="C311" s="298"/>
      <c r="D311" s="299"/>
      <c r="E311" s="298"/>
      <c r="F311" s="299"/>
      <c r="G311" s="298"/>
      <c r="H311" s="299"/>
      <c r="I311" s="299"/>
      <c r="J311" s="298"/>
      <c r="K311" s="299"/>
      <c r="L311" s="298"/>
      <c r="M311" s="299"/>
      <c r="N311" s="298"/>
      <c r="O311" s="299"/>
      <c r="P311" s="298"/>
      <c r="Q311" s="299"/>
      <c r="R311" s="298"/>
      <c r="S311" s="299"/>
      <c r="T311" s="298"/>
      <c r="U311" s="309"/>
      <c r="V311" s="298"/>
      <c r="W311" s="299"/>
      <c r="X311" s="298"/>
      <c r="Y311" s="299"/>
      <c r="Z311" s="298"/>
      <c r="AA311" s="312"/>
      <c r="AB311" s="298"/>
      <c r="AC311" s="299"/>
      <c r="AD311" s="298"/>
      <c r="AE311" s="299"/>
      <c r="AF311" s="298"/>
      <c r="AG311" s="299"/>
      <c r="AH311" s="298"/>
    </row>
    <row r="312">
      <c r="A312" s="298"/>
      <c r="B312" s="299"/>
      <c r="C312" s="298"/>
      <c r="D312" s="299"/>
      <c r="E312" s="298"/>
      <c r="F312" s="299"/>
      <c r="G312" s="298"/>
      <c r="H312" s="299"/>
      <c r="I312" s="299"/>
      <c r="J312" s="298"/>
      <c r="K312" s="299"/>
      <c r="L312" s="298"/>
      <c r="M312" s="299"/>
      <c r="N312" s="298"/>
      <c r="O312" s="299"/>
      <c r="P312" s="298"/>
      <c r="Q312" s="299"/>
      <c r="R312" s="298"/>
      <c r="S312" s="299"/>
      <c r="T312" s="298"/>
      <c r="U312" s="309"/>
      <c r="V312" s="298"/>
      <c r="W312" s="299"/>
      <c r="X312" s="298"/>
      <c r="Y312" s="299"/>
      <c r="Z312" s="298"/>
      <c r="AA312" s="312"/>
      <c r="AB312" s="298"/>
      <c r="AC312" s="299"/>
      <c r="AD312" s="298"/>
      <c r="AE312" s="299"/>
      <c r="AF312" s="298"/>
      <c r="AG312" s="299"/>
      <c r="AH312" s="298"/>
    </row>
    <row r="313">
      <c r="A313" s="298"/>
      <c r="B313" s="299"/>
      <c r="C313" s="298"/>
      <c r="D313" s="299"/>
      <c r="E313" s="298"/>
      <c r="F313" s="299"/>
      <c r="G313" s="298"/>
      <c r="H313" s="299"/>
      <c r="I313" s="299"/>
      <c r="J313" s="298"/>
      <c r="K313" s="299"/>
      <c r="L313" s="298"/>
      <c r="M313" s="299"/>
      <c r="N313" s="298"/>
      <c r="O313" s="299"/>
      <c r="P313" s="298"/>
      <c r="Q313" s="299"/>
      <c r="R313" s="298"/>
      <c r="S313" s="299"/>
      <c r="T313" s="298"/>
      <c r="U313" s="309"/>
      <c r="V313" s="298"/>
      <c r="W313" s="299"/>
      <c r="X313" s="298"/>
      <c r="Y313" s="299"/>
      <c r="Z313" s="298"/>
      <c r="AA313" s="312"/>
      <c r="AB313" s="298"/>
      <c r="AC313" s="299"/>
      <c r="AD313" s="298"/>
      <c r="AE313" s="299"/>
      <c r="AF313" s="298"/>
      <c r="AG313" s="299"/>
      <c r="AH313" s="298"/>
    </row>
    <row r="314">
      <c r="A314" s="298"/>
      <c r="B314" s="299"/>
      <c r="C314" s="298"/>
      <c r="D314" s="299"/>
      <c r="E314" s="298"/>
      <c r="F314" s="299"/>
      <c r="G314" s="298"/>
      <c r="H314" s="299"/>
      <c r="I314" s="299"/>
      <c r="J314" s="298"/>
      <c r="K314" s="299"/>
      <c r="L314" s="298"/>
      <c r="M314" s="299"/>
      <c r="N314" s="298"/>
      <c r="O314" s="299"/>
      <c r="P314" s="298"/>
      <c r="Q314" s="299"/>
      <c r="R314" s="298"/>
      <c r="S314" s="299"/>
      <c r="T314" s="298"/>
      <c r="U314" s="309"/>
      <c r="V314" s="298"/>
      <c r="W314" s="299"/>
      <c r="X314" s="298"/>
      <c r="Y314" s="299"/>
      <c r="Z314" s="298"/>
      <c r="AA314" s="312"/>
      <c r="AB314" s="298"/>
      <c r="AC314" s="299"/>
      <c r="AD314" s="298"/>
      <c r="AE314" s="299"/>
      <c r="AF314" s="298"/>
      <c r="AG314" s="299"/>
      <c r="AH314" s="298"/>
    </row>
    <row r="315">
      <c r="A315" s="298"/>
      <c r="B315" s="299"/>
      <c r="C315" s="298"/>
      <c r="D315" s="299"/>
      <c r="E315" s="298"/>
      <c r="F315" s="299"/>
      <c r="G315" s="298"/>
      <c r="H315" s="299"/>
      <c r="I315" s="299"/>
      <c r="J315" s="298"/>
      <c r="K315" s="299"/>
      <c r="L315" s="298"/>
      <c r="M315" s="299"/>
      <c r="N315" s="298"/>
      <c r="O315" s="299"/>
      <c r="P315" s="298"/>
      <c r="Q315" s="299"/>
      <c r="R315" s="298"/>
      <c r="S315" s="299"/>
      <c r="T315" s="298"/>
      <c r="U315" s="309"/>
      <c r="V315" s="298"/>
      <c r="W315" s="299"/>
      <c r="X315" s="298"/>
      <c r="Y315" s="299"/>
      <c r="Z315" s="298"/>
      <c r="AA315" s="312"/>
      <c r="AB315" s="298"/>
      <c r="AC315" s="299"/>
      <c r="AD315" s="298"/>
      <c r="AE315" s="299"/>
      <c r="AF315" s="298"/>
      <c r="AG315" s="299"/>
      <c r="AH315" s="298"/>
    </row>
    <row r="316">
      <c r="A316" s="298"/>
      <c r="B316" s="299"/>
      <c r="C316" s="298"/>
      <c r="D316" s="299"/>
      <c r="E316" s="298"/>
      <c r="F316" s="299"/>
      <c r="G316" s="298"/>
      <c r="H316" s="299"/>
      <c r="I316" s="299"/>
      <c r="J316" s="298"/>
      <c r="K316" s="299"/>
      <c r="L316" s="298"/>
      <c r="M316" s="299"/>
      <c r="N316" s="298"/>
      <c r="O316" s="299"/>
      <c r="P316" s="298"/>
      <c r="Q316" s="299"/>
      <c r="R316" s="298"/>
      <c r="S316" s="299"/>
      <c r="T316" s="298"/>
      <c r="U316" s="309"/>
      <c r="V316" s="298"/>
      <c r="W316" s="299"/>
      <c r="X316" s="298"/>
      <c r="Y316" s="299"/>
      <c r="Z316" s="298"/>
      <c r="AA316" s="312"/>
      <c r="AB316" s="298"/>
      <c r="AC316" s="299"/>
      <c r="AD316" s="298"/>
      <c r="AE316" s="299"/>
      <c r="AF316" s="298"/>
      <c r="AG316" s="299"/>
      <c r="AH316" s="298"/>
    </row>
    <row r="317">
      <c r="A317" s="298"/>
      <c r="B317" s="299"/>
      <c r="C317" s="298"/>
      <c r="D317" s="299"/>
      <c r="E317" s="298"/>
      <c r="F317" s="299"/>
      <c r="G317" s="298"/>
      <c r="H317" s="299"/>
      <c r="I317" s="299"/>
      <c r="J317" s="298"/>
      <c r="K317" s="299"/>
      <c r="L317" s="298"/>
      <c r="M317" s="299"/>
      <c r="N317" s="298"/>
      <c r="O317" s="299"/>
      <c r="P317" s="298"/>
      <c r="Q317" s="299"/>
      <c r="R317" s="298"/>
      <c r="S317" s="299"/>
      <c r="T317" s="298"/>
      <c r="U317" s="309"/>
      <c r="V317" s="298"/>
      <c r="W317" s="299"/>
      <c r="X317" s="298"/>
      <c r="Y317" s="299"/>
      <c r="Z317" s="298"/>
      <c r="AA317" s="312"/>
      <c r="AB317" s="298"/>
      <c r="AC317" s="299"/>
      <c r="AD317" s="298"/>
      <c r="AE317" s="299"/>
      <c r="AF317" s="298"/>
      <c r="AG317" s="299"/>
      <c r="AH317" s="298"/>
    </row>
    <row r="318">
      <c r="A318" s="298"/>
      <c r="B318" s="299"/>
      <c r="C318" s="298"/>
      <c r="D318" s="299"/>
      <c r="E318" s="298"/>
      <c r="F318" s="299"/>
      <c r="G318" s="298"/>
      <c r="H318" s="299"/>
      <c r="I318" s="299"/>
      <c r="J318" s="298"/>
      <c r="K318" s="299"/>
      <c r="L318" s="298"/>
      <c r="M318" s="299"/>
      <c r="N318" s="298"/>
      <c r="O318" s="299"/>
      <c r="P318" s="298"/>
      <c r="Q318" s="299"/>
      <c r="R318" s="298"/>
      <c r="S318" s="299"/>
      <c r="T318" s="298"/>
      <c r="U318" s="309"/>
      <c r="V318" s="298"/>
      <c r="W318" s="299"/>
      <c r="X318" s="298"/>
      <c r="Y318" s="299"/>
      <c r="Z318" s="298"/>
      <c r="AA318" s="312"/>
      <c r="AB318" s="298"/>
      <c r="AC318" s="299"/>
      <c r="AD318" s="298"/>
      <c r="AE318" s="299"/>
      <c r="AF318" s="298"/>
      <c r="AG318" s="299"/>
      <c r="AH318" s="298"/>
    </row>
    <row r="319">
      <c r="A319" s="298"/>
      <c r="B319" s="299"/>
      <c r="C319" s="298"/>
      <c r="D319" s="299"/>
      <c r="E319" s="298"/>
      <c r="F319" s="299"/>
      <c r="G319" s="298"/>
      <c r="H319" s="299"/>
      <c r="I319" s="299"/>
      <c r="J319" s="298"/>
      <c r="K319" s="299"/>
      <c r="L319" s="298"/>
      <c r="M319" s="299"/>
      <c r="N319" s="298"/>
      <c r="O319" s="299"/>
      <c r="P319" s="298"/>
      <c r="Q319" s="299"/>
      <c r="R319" s="298"/>
      <c r="S319" s="299"/>
      <c r="T319" s="298"/>
      <c r="U319" s="309"/>
      <c r="V319" s="298"/>
      <c r="W319" s="299"/>
      <c r="X319" s="298"/>
      <c r="Y319" s="299"/>
      <c r="Z319" s="298"/>
      <c r="AA319" s="312"/>
      <c r="AB319" s="298"/>
      <c r="AC319" s="299"/>
      <c r="AD319" s="298"/>
      <c r="AE319" s="299"/>
      <c r="AF319" s="298"/>
      <c r="AG319" s="299"/>
      <c r="AH319" s="298"/>
    </row>
    <row r="320">
      <c r="A320" s="298"/>
      <c r="B320" s="299"/>
      <c r="C320" s="298"/>
      <c r="D320" s="299"/>
      <c r="E320" s="298"/>
      <c r="F320" s="299"/>
      <c r="G320" s="298"/>
      <c r="H320" s="299"/>
      <c r="I320" s="299"/>
      <c r="J320" s="298"/>
      <c r="K320" s="299"/>
      <c r="L320" s="298"/>
      <c r="M320" s="299"/>
      <c r="N320" s="298"/>
      <c r="O320" s="299"/>
      <c r="P320" s="298"/>
      <c r="Q320" s="299"/>
      <c r="R320" s="298"/>
      <c r="S320" s="299"/>
      <c r="T320" s="298"/>
      <c r="U320" s="309"/>
      <c r="V320" s="298"/>
      <c r="W320" s="299"/>
      <c r="X320" s="298"/>
      <c r="Y320" s="299"/>
      <c r="Z320" s="298"/>
      <c r="AA320" s="312"/>
      <c r="AB320" s="298"/>
      <c r="AC320" s="299"/>
      <c r="AD320" s="298"/>
      <c r="AE320" s="299"/>
      <c r="AF320" s="298"/>
      <c r="AG320" s="299"/>
      <c r="AH320" s="298"/>
    </row>
    <row r="321">
      <c r="A321" s="298"/>
      <c r="B321" s="299"/>
      <c r="C321" s="298"/>
      <c r="D321" s="299"/>
      <c r="E321" s="298"/>
      <c r="F321" s="299"/>
      <c r="G321" s="298"/>
      <c r="H321" s="299"/>
      <c r="I321" s="299"/>
      <c r="J321" s="298"/>
      <c r="K321" s="299"/>
      <c r="L321" s="298"/>
      <c r="M321" s="299"/>
      <c r="N321" s="298"/>
      <c r="O321" s="299"/>
      <c r="P321" s="298"/>
      <c r="Q321" s="299"/>
      <c r="R321" s="298"/>
      <c r="S321" s="299"/>
      <c r="T321" s="298"/>
      <c r="U321" s="309"/>
      <c r="V321" s="298"/>
      <c r="W321" s="299"/>
      <c r="X321" s="298"/>
      <c r="Y321" s="299"/>
      <c r="Z321" s="298"/>
      <c r="AA321" s="312"/>
      <c r="AB321" s="298"/>
      <c r="AC321" s="299"/>
      <c r="AD321" s="298"/>
      <c r="AE321" s="299"/>
      <c r="AF321" s="298"/>
      <c r="AG321" s="299"/>
      <c r="AH321" s="298"/>
    </row>
    <row r="322">
      <c r="A322" s="298"/>
      <c r="B322" s="299"/>
      <c r="C322" s="298"/>
      <c r="D322" s="299"/>
      <c r="E322" s="298"/>
      <c r="F322" s="299"/>
      <c r="G322" s="298"/>
      <c r="H322" s="299"/>
      <c r="I322" s="299"/>
      <c r="J322" s="298"/>
      <c r="K322" s="299"/>
      <c r="L322" s="298"/>
      <c r="M322" s="299"/>
      <c r="N322" s="298"/>
      <c r="O322" s="299"/>
      <c r="P322" s="298"/>
      <c r="Q322" s="299"/>
      <c r="R322" s="298"/>
      <c r="S322" s="299"/>
      <c r="T322" s="298"/>
      <c r="U322" s="309"/>
      <c r="V322" s="298"/>
      <c r="W322" s="299"/>
      <c r="X322" s="298"/>
      <c r="Y322" s="299"/>
      <c r="Z322" s="298"/>
      <c r="AA322" s="312"/>
      <c r="AB322" s="298"/>
      <c r="AC322" s="299"/>
      <c r="AD322" s="298"/>
      <c r="AE322" s="299"/>
      <c r="AF322" s="298"/>
      <c r="AG322" s="299"/>
      <c r="AH322" s="298"/>
    </row>
    <row r="323">
      <c r="A323" s="298"/>
      <c r="B323" s="299"/>
      <c r="C323" s="298"/>
      <c r="D323" s="299"/>
      <c r="E323" s="298"/>
      <c r="F323" s="299"/>
      <c r="G323" s="298"/>
      <c r="H323" s="299"/>
      <c r="I323" s="299"/>
      <c r="J323" s="298"/>
      <c r="K323" s="299"/>
      <c r="L323" s="298"/>
      <c r="M323" s="299"/>
      <c r="N323" s="298"/>
      <c r="O323" s="299"/>
      <c r="P323" s="298"/>
      <c r="Q323" s="299"/>
      <c r="R323" s="298"/>
      <c r="S323" s="299"/>
      <c r="T323" s="298"/>
      <c r="U323" s="309"/>
      <c r="V323" s="298"/>
      <c r="W323" s="299"/>
      <c r="X323" s="298"/>
      <c r="Y323" s="299"/>
      <c r="Z323" s="298"/>
      <c r="AA323" s="312"/>
      <c r="AB323" s="298"/>
      <c r="AC323" s="299"/>
      <c r="AD323" s="298"/>
      <c r="AE323" s="299"/>
      <c r="AF323" s="298"/>
      <c r="AG323" s="299"/>
      <c r="AH323" s="298"/>
    </row>
    <row r="324">
      <c r="A324" s="298"/>
      <c r="B324" s="299"/>
      <c r="C324" s="298"/>
      <c r="D324" s="299"/>
      <c r="E324" s="298"/>
      <c r="F324" s="299"/>
      <c r="G324" s="298"/>
      <c r="H324" s="299"/>
      <c r="I324" s="299"/>
      <c r="J324" s="298"/>
      <c r="K324" s="299"/>
      <c r="L324" s="298"/>
      <c r="M324" s="299"/>
      <c r="N324" s="298"/>
      <c r="O324" s="299"/>
      <c r="P324" s="298"/>
      <c r="Q324" s="299"/>
      <c r="R324" s="298"/>
      <c r="S324" s="299"/>
      <c r="T324" s="298"/>
      <c r="U324" s="309"/>
      <c r="V324" s="298"/>
      <c r="W324" s="299"/>
      <c r="X324" s="298"/>
      <c r="Y324" s="299"/>
      <c r="Z324" s="298"/>
      <c r="AA324" s="312"/>
      <c r="AB324" s="298"/>
      <c r="AC324" s="299"/>
      <c r="AD324" s="298"/>
      <c r="AE324" s="299"/>
      <c r="AF324" s="298"/>
      <c r="AG324" s="299"/>
      <c r="AH324" s="298"/>
    </row>
    <row r="325">
      <c r="A325" s="298"/>
      <c r="B325" s="299"/>
      <c r="C325" s="298"/>
      <c r="D325" s="299"/>
      <c r="E325" s="298"/>
      <c r="F325" s="299"/>
      <c r="G325" s="298"/>
      <c r="H325" s="299"/>
      <c r="I325" s="299"/>
      <c r="J325" s="298"/>
      <c r="K325" s="299"/>
      <c r="L325" s="298"/>
      <c r="M325" s="299"/>
      <c r="N325" s="298"/>
      <c r="O325" s="299"/>
      <c r="P325" s="298"/>
      <c r="Q325" s="299"/>
      <c r="R325" s="298"/>
      <c r="S325" s="299"/>
      <c r="T325" s="298"/>
      <c r="U325" s="309"/>
      <c r="V325" s="298"/>
      <c r="W325" s="299"/>
      <c r="X325" s="298"/>
      <c r="Y325" s="299"/>
      <c r="Z325" s="298"/>
      <c r="AA325" s="312"/>
      <c r="AB325" s="298"/>
      <c r="AC325" s="299"/>
      <c r="AD325" s="298"/>
      <c r="AE325" s="299"/>
      <c r="AF325" s="298"/>
      <c r="AG325" s="299"/>
      <c r="AH325" s="298"/>
    </row>
    <row r="326">
      <c r="A326" s="298"/>
      <c r="B326" s="299"/>
      <c r="C326" s="298"/>
      <c r="D326" s="299"/>
      <c r="E326" s="298"/>
      <c r="F326" s="299"/>
      <c r="G326" s="298"/>
      <c r="H326" s="299"/>
      <c r="I326" s="299"/>
      <c r="J326" s="298"/>
      <c r="K326" s="299"/>
      <c r="L326" s="298"/>
      <c r="M326" s="299"/>
      <c r="N326" s="298"/>
      <c r="O326" s="299"/>
      <c r="P326" s="298"/>
      <c r="Q326" s="299"/>
      <c r="R326" s="298"/>
      <c r="S326" s="299"/>
      <c r="T326" s="298"/>
      <c r="U326" s="309"/>
      <c r="V326" s="298"/>
      <c r="W326" s="299"/>
      <c r="X326" s="298"/>
      <c r="Y326" s="299"/>
      <c r="Z326" s="298"/>
      <c r="AA326" s="312"/>
      <c r="AB326" s="298"/>
      <c r="AC326" s="299"/>
      <c r="AD326" s="298"/>
      <c r="AE326" s="299"/>
      <c r="AF326" s="298"/>
      <c r="AG326" s="299"/>
      <c r="AH326" s="298"/>
    </row>
    <row r="327">
      <c r="A327" s="298"/>
      <c r="B327" s="299"/>
      <c r="C327" s="298"/>
      <c r="D327" s="299"/>
      <c r="E327" s="298"/>
      <c r="F327" s="299"/>
      <c r="G327" s="298"/>
      <c r="H327" s="299"/>
      <c r="I327" s="299"/>
      <c r="J327" s="298"/>
      <c r="K327" s="299"/>
      <c r="L327" s="298"/>
      <c r="M327" s="299"/>
      <c r="N327" s="298"/>
      <c r="O327" s="299"/>
      <c r="P327" s="298"/>
      <c r="Q327" s="299"/>
      <c r="R327" s="298"/>
      <c r="S327" s="299"/>
      <c r="T327" s="298"/>
      <c r="U327" s="309"/>
      <c r="V327" s="298"/>
      <c r="W327" s="299"/>
      <c r="X327" s="298"/>
      <c r="Y327" s="299"/>
      <c r="Z327" s="298"/>
      <c r="AA327" s="312"/>
      <c r="AB327" s="298"/>
      <c r="AC327" s="299"/>
      <c r="AD327" s="298"/>
      <c r="AE327" s="299"/>
      <c r="AF327" s="298"/>
      <c r="AG327" s="299"/>
      <c r="AH327" s="298"/>
    </row>
    <row r="328">
      <c r="A328" s="298"/>
      <c r="B328" s="299"/>
      <c r="C328" s="298"/>
      <c r="D328" s="299"/>
      <c r="E328" s="298"/>
      <c r="F328" s="299"/>
      <c r="G328" s="298"/>
      <c r="H328" s="299"/>
      <c r="I328" s="299"/>
      <c r="J328" s="298"/>
      <c r="K328" s="299"/>
      <c r="L328" s="298"/>
      <c r="M328" s="299"/>
      <c r="N328" s="298"/>
      <c r="O328" s="299"/>
      <c r="P328" s="298"/>
      <c r="Q328" s="299"/>
      <c r="R328" s="298"/>
      <c r="S328" s="299"/>
      <c r="T328" s="298"/>
      <c r="U328" s="309"/>
      <c r="V328" s="298"/>
      <c r="W328" s="299"/>
      <c r="X328" s="298"/>
      <c r="Y328" s="299"/>
      <c r="Z328" s="298"/>
      <c r="AA328" s="312"/>
      <c r="AB328" s="298"/>
      <c r="AC328" s="299"/>
      <c r="AD328" s="298"/>
      <c r="AE328" s="299"/>
      <c r="AF328" s="298"/>
      <c r="AG328" s="299"/>
      <c r="AH328" s="298"/>
    </row>
    <row r="329">
      <c r="A329" s="298"/>
      <c r="B329" s="299"/>
      <c r="C329" s="298"/>
      <c r="D329" s="299"/>
      <c r="E329" s="298"/>
      <c r="F329" s="299"/>
      <c r="G329" s="298"/>
      <c r="H329" s="299"/>
      <c r="I329" s="299"/>
      <c r="J329" s="298"/>
      <c r="K329" s="299"/>
      <c r="L329" s="298"/>
      <c r="M329" s="299"/>
      <c r="N329" s="298"/>
      <c r="O329" s="299"/>
      <c r="P329" s="298"/>
      <c r="Q329" s="299"/>
      <c r="R329" s="298"/>
      <c r="S329" s="299"/>
      <c r="T329" s="298"/>
      <c r="U329" s="309"/>
      <c r="V329" s="298"/>
      <c r="W329" s="299"/>
      <c r="X329" s="298"/>
      <c r="Y329" s="299"/>
      <c r="Z329" s="298"/>
      <c r="AA329" s="312"/>
      <c r="AB329" s="298"/>
      <c r="AC329" s="299"/>
      <c r="AD329" s="298"/>
      <c r="AE329" s="299"/>
      <c r="AF329" s="298"/>
      <c r="AG329" s="299"/>
      <c r="AH329" s="298"/>
    </row>
    <row r="330">
      <c r="A330" s="298"/>
      <c r="B330" s="299"/>
      <c r="C330" s="298"/>
      <c r="D330" s="299"/>
      <c r="E330" s="298"/>
      <c r="F330" s="299"/>
      <c r="G330" s="298"/>
      <c r="H330" s="299"/>
      <c r="I330" s="299"/>
      <c r="J330" s="298"/>
      <c r="K330" s="299"/>
      <c r="L330" s="298"/>
      <c r="M330" s="299"/>
      <c r="N330" s="298"/>
      <c r="O330" s="299"/>
      <c r="P330" s="298"/>
      <c r="Q330" s="299"/>
      <c r="R330" s="298"/>
      <c r="S330" s="299"/>
      <c r="T330" s="298"/>
      <c r="U330" s="309"/>
      <c r="V330" s="298"/>
      <c r="W330" s="299"/>
      <c r="X330" s="298"/>
      <c r="Y330" s="299"/>
      <c r="Z330" s="298"/>
      <c r="AA330" s="312"/>
      <c r="AB330" s="298"/>
      <c r="AC330" s="299"/>
      <c r="AD330" s="298"/>
      <c r="AE330" s="299"/>
      <c r="AF330" s="298"/>
      <c r="AG330" s="299"/>
      <c r="AH330" s="298"/>
    </row>
    <row r="331">
      <c r="A331" s="298"/>
      <c r="B331" s="299"/>
      <c r="C331" s="298"/>
      <c r="D331" s="299"/>
      <c r="E331" s="298"/>
      <c r="F331" s="299"/>
      <c r="G331" s="298"/>
      <c r="H331" s="299"/>
      <c r="I331" s="299"/>
      <c r="J331" s="298"/>
      <c r="K331" s="299"/>
      <c r="L331" s="298"/>
      <c r="M331" s="299"/>
      <c r="N331" s="298"/>
      <c r="O331" s="299"/>
      <c r="P331" s="298"/>
      <c r="Q331" s="299"/>
      <c r="R331" s="298"/>
      <c r="S331" s="299"/>
      <c r="T331" s="298"/>
      <c r="U331" s="309"/>
      <c r="V331" s="298"/>
      <c r="W331" s="299"/>
      <c r="X331" s="298"/>
      <c r="Y331" s="299"/>
      <c r="Z331" s="298"/>
      <c r="AA331" s="312"/>
      <c r="AB331" s="298"/>
      <c r="AC331" s="299"/>
      <c r="AD331" s="298"/>
      <c r="AE331" s="299"/>
      <c r="AF331" s="298"/>
      <c r="AG331" s="299"/>
      <c r="AH331" s="298"/>
    </row>
    <row r="332">
      <c r="A332" s="298"/>
      <c r="B332" s="299"/>
      <c r="C332" s="298"/>
      <c r="D332" s="299"/>
      <c r="E332" s="298"/>
      <c r="F332" s="299"/>
      <c r="G332" s="298"/>
      <c r="H332" s="299"/>
      <c r="I332" s="299"/>
      <c r="J332" s="298"/>
      <c r="K332" s="299"/>
      <c r="L332" s="298"/>
      <c r="M332" s="299"/>
      <c r="N332" s="298"/>
      <c r="O332" s="299"/>
      <c r="P332" s="298"/>
      <c r="Q332" s="299"/>
      <c r="R332" s="298"/>
      <c r="S332" s="299"/>
      <c r="T332" s="298"/>
      <c r="U332" s="309"/>
      <c r="V332" s="298"/>
      <c r="W332" s="299"/>
      <c r="X332" s="298"/>
      <c r="Y332" s="299"/>
      <c r="Z332" s="298"/>
      <c r="AA332" s="312"/>
      <c r="AB332" s="298"/>
      <c r="AC332" s="299"/>
      <c r="AD332" s="298"/>
      <c r="AE332" s="299"/>
      <c r="AF332" s="298"/>
      <c r="AG332" s="299"/>
      <c r="AH332" s="298"/>
    </row>
    <row r="333">
      <c r="A333" s="298"/>
      <c r="B333" s="299"/>
      <c r="C333" s="298"/>
      <c r="D333" s="299"/>
      <c r="E333" s="298"/>
      <c r="F333" s="299"/>
      <c r="G333" s="298"/>
      <c r="H333" s="299"/>
      <c r="I333" s="299"/>
      <c r="J333" s="298"/>
      <c r="K333" s="299"/>
      <c r="L333" s="298"/>
      <c r="M333" s="299"/>
      <c r="N333" s="298"/>
      <c r="O333" s="299"/>
      <c r="P333" s="298"/>
      <c r="Q333" s="299"/>
      <c r="R333" s="298"/>
      <c r="S333" s="299"/>
      <c r="T333" s="298"/>
      <c r="U333" s="309"/>
      <c r="V333" s="298"/>
      <c r="W333" s="299"/>
      <c r="X333" s="298"/>
      <c r="Y333" s="299"/>
      <c r="Z333" s="298"/>
      <c r="AA333" s="312"/>
      <c r="AB333" s="298"/>
      <c r="AC333" s="299"/>
      <c r="AD333" s="298"/>
      <c r="AE333" s="299"/>
      <c r="AF333" s="298"/>
      <c r="AG333" s="299"/>
      <c r="AH333" s="298"/>
    </row>
    <row r="334">
      <c r="A334" s="298"/>
      <c r="B334" s="299"/>
      <c r="C334" s="298"/>
      <c r="D334" s="299"/>
      <c r="E334" s="298"/>
      <c r="F334" s="299"/>
      <c r="G334" s="298"/>
      <c r="H334" s="299"/>
      <c r="I334" s="299"/>
      <c r="J334" s="298"/>
      <c r="K334" s="299"/>
      <c r="L334" s="298"/>
      <c r="M334" s="299"/>
      <c r="N334" s="298"/>
      <c r="O334" s="299"/>
      <c r="P334" s="298"/>
      <c r="Q334" s="299"/>
      <c r="R334" s="298"/>
      <c r="S334" s="299"/>
      <c r="T334" s="298"/>
      <c r="U334" s="309"/>
      <c r="V334" s="298"/>
      <c r="W334" s="299"/>
      <c r="X334" s="298"/>
      <c r="Y334" s="299"/>
      <c r="Z334" s="298"/>
      <c r="AA334" s="312"/>
      <c r="AB334" s="298"/>
      <c r="AC334" s="299"/>
      <c r="AD334" s="298"/>
      <c r="AE334" s="299"/>
      <c r="AF334" s="298"/>
      <c r="AG334" s="299"/>
      <c r="AH334" s="298"/>
    </row>
    <row r="335">
      <c r="A335" s="298"/>
      <c r="B335" s="299"/>
      <c r="C335" s="298"/>
      <c r="D335" s="299"/>
      <c r="E335" s="298"/>
      <c r="F335" s="299"/>
      <c r="G335" s="298"/>
      <c r="H335" s="299"/>
      <c r="I335" s="299"/>
      <c r="J335" s="298"/>
      <c r="K335" s="299"/>
      <c r="L335" s="298"/>
      <c r="M335" s="299"/>
      <c r="N335" s="298"/>
      <c r="O335" s="299"/>
      <c r="P335" s="298"/>
      <c r="Q335" s="299"/>
      <c r="R335" s="298"/>
      <c r="S335" s="299"/>
      <c r="T335" s="298"/>
      <c r="U335" s="309"/>
      <c r="V335" s="298"/>
      <c r="W335" s="299"/>
      <c r="X335" s="298"/>
      <c r="Y335" s="299"/>
      <c r="Z335" s="298"/>
      <c r="AA335" s="312"/>
      <c r="AB335" s="298"/>
      <c r="AC335" s="299"/>
      <c r="AD335" s="298"/>
      <c r="AE335" s="299"/>
      <c r="AF335" s="298"/>
      <c r="AG335" s="299"/>
      <c r="AH335" s="298"/>
    </row>
    <row r="336">
      <c r="A336" s="298"/>
      <c r="B336" s="299"/>
      <c r="C336" s="298"/>
      <c r="D336" s="299"/>
      <c r="E336" s="298"/>
      <c r="F336" s="299"/>
      <c r="G336" s="298"/>
      <c r="H336" s="299"/>
      <c r="I336" s="299"/>
      <c r="J336" s="298"/>
      <c r="K336" s="299"/>
      <c r="L336" s="298"/>
      <c r="M336" s="299"/>
      <c r="N336" s="298"/>
      <c r="O336" s="299"/>
      <c r="P336" s="298"/>
      <c r="Q336" s="299"/>
      <c r="R336" s="298"/>
      <c r="S336" s="299"/>
      <c r="T336" s="298"/>
      <c r="U336" s="309"/>
      <c r="V336" s="298"/>
      <c r="W336" s="299"/>
      <c r="X336" s="298"/>
      <c r="Y336" s="299"/>
      <c r="Z336" s="298"/>
      <c r="AA336" s="312"/>
      <c r="AB336" s="298"/>
      <c r="AC336" s="299"/>
      <c r="AD336" s="298"/>
      <c r="AE336" s="299"/>
      <c r="AF336" s="298"/>
      <c r="AG336" s="299"/>
      <c r="AH336" s="298"/>
    </row>
    <row r="337">
      <c r="A337" s="298"/>
      <c r="B337" s="299"/>
      <c r="C337" s="298"/>
      <c r="D337" s="299"/>
      <c r="E337" s="298"/>
      <c r="F337" s="299"/>
      <c r="G337" s="298"/>
      <c r="H337" s="299"/>
      <c r="I337" s="299"/>
      <c r="J337" s="298"/>
      <c r="K337" s="299"/>
      <c r="L337" s="298"/>
      <c r="M337" s="299"/>
      <c r="N337" s="298"/>
      <c r="O337" s="299"/>
      <c r="P337" s="298"/>
      <c r="Q337" s="299"/>
      <c r="R337" s="298"/>
      <c r="S337" s="299"/>
      <c r="T337" s="298"/>
      <c r="U337" s="309"/>
      <c r="V337" s="298"/>
      <c r="W337" s="299"/>
      <c r="X337" s="298"/>
      <c r="Y337" s="299"/>
      <c r="Z337" s="298"/>
      <c r="AA337" s="312"/>
      <c r="AB337" s="298"/>
      <c r="AC337" s="299"/>
      <c r="AD337" s="298"/>
      <c r="AE337" s="299"/>
      <c r="AF337" s="298"/>
      <c r="AG337" s="299"/>
      <c r="AH337" s="298"/>
    </row>
    <row r="338">
      <c r="A338" s="298"/>
      <c r="B338" s="299"/>
      <c r="C338" s="298"/>
      <c r="D338" s="299"/>
      <c r="E338" s="298"/>
      <c r="F338" s="299"/>
      <c r="G338" s="298"/>
      <c r="H338" s="299"/>
      <c r="I338" s="299"/>
      <c r="J338" s="298"/>
      <c r="K338" s="299"/>
      <c r="L338" s="298"/>
      <c r="M338" s="299"/>
      <c r="N338" s="298"/>
      <c r="O338" s="299"/>
      <c r="P338" s="298"/>
      <c r="Q338" s="299"/>
      <c r="R338" s="298"/>
      <c r="S338" s="299"/>
      <c r="T338" s="298"/>
      <c r="U338" s="309"/>
      <c r="V338" s="298"/>
      <c r="W338" s="299"/>
      <c r="X338" s="298"/>
      <c r="Y338" s="299"/>
      <c r="Z338" s="298"/>
      <c r="AA338" s="312"/>
      <c r="AB338" s="298"/>
      <c r="AC338" s="299"/>
      <c r="AD338" s="298"/>
      <c r="AE338" s="299"/>
      <c r="AF338" s="298"/>
      <c r="AG338" s="299"/>
      <c r="AH338" s="298"/>
    </row>
    <row r="339">
      <c r="A339" s="298"/>
      <c r="B339" s="299"/>
      <c r="C339" s="298"/>
      <c r="D339" s="299"/>
      <c r="E339" s="298"/>
      <c r="F339" s="299"/>
      <c r="G339" s="298"/>
      <c r="H339" s="299"/>
      <c r="I339" s="299"/>
      <c r="J339" s="298"/>
      <c r="K339" s="299"/>
      <c r="L339" s="298"/>
      <c r="M339" s="299"/>
      <c r="N339" s="298"/>
      <c r="O339" s="299"/>
      <c r="P339" s="298"/>
      <c r="Q339" s="299"/>
      <c r="R339" s="298"/>
      <c r="S339" s="299"/>
      <c r="T339" s="298"/>
      <c r="U339" s="309"/>
      <c r="V339" s="298"/>
      <c r="W339" s="299"/>
      <c r="X339" s="298"/>
      <c r="Y339" s="299"/>
      <c r="Z339" s="298"/>
      <c r="AA339" s="312"/>
      <c r="AB339" s="298"/>
      <c r="AC339" s="299"/>
      <c r="AD339" s="298"/>
      <c r="AE339" s="299"/>
      <c r="AF339" s="298"/>
      <c r="AG339" s="299"/>
      <c r="AH339" s="298"/>
    </row>
    <row r="340">
      <c r="A340" s="298"/>
      <c r="B340" s="299"/>
      <c r="C340" s="298"/>
      <c r="D340" s="299"/>
      <c r="E340" s="298"/>
      <c r="F340" s="299"/>
      <c r="G340" s="298"/>
      <c r="H340" s="299"/>
      <c r="I340" s="299"/>
      <c r="J340" s="298"/>
      <c r="K340" s="299"/>
      <c r="L340" s="298"/>
      <c r="M340" s="299"/>
      <c r="N340" s="298"/>
      <c r="O340" s="299"/>
      <c r="P340" s="298"/>
      <c r="Q340" s="299"/>
      <c r="R340" s="298"/>
      <c r="S340" s="299"/>
      <c r="T340" s="298"/>
      <c r="U340" s="309"/>
      <c r="V340" s="298"/>
      <c r="W340" s="299"/>
      <c r="X340" s="298"/>
      <c r="Y340" s="299"/>
      <c r="Z340" s="298"/>
      <c r="AA340" s="312"/>
      <c r="AB340" s="298"/>
      <c r="AC340" s="299"/>
      <c r="AD340" s="298"/>
      <c r="AE340" s="299"/>
      <c r="AF340" s="298"/>
      <c r="AG340" s="299"/>
      <c r="AH340" s="298"/>
    </row>
    <row r="341">
      <c r="A341" s="298"/>
      <c r="B341" s="299"/>
      <c r="C341" s="298"/>
      <c r="D341" s="299"/>
      <c r="E341" s="298"/>
      <c r="F341" s="299"/>
      <c r="G341" s="298"/>
      <c r="H341" s="299"/>
      <c r="I341" s="299"/>
      <c r="J341" s="298"/>
      <c r="K341" s="299"/>
      <c r="L341" s="298"/>
      <c r="M341" s="299"/>
      <c r="N341" s="298"/>
      <c r="O341" s="299"/>
      <c r="P341" s="298"/>
      <c r="Q341" s="299"/>
      <c r="R341" s="298"/>
      <c r="S341" s="299"/>
      <c r="T341" s="298"/>
      <c r="U341" s="309"/>
      <c r="V341" s="298"/>
      <c r="W341" s="299"/>
      <c r="X341" s="298"/>
      <c r="Y341" s="299"/>
      <c r="Z341" s="298"/>
      <c r="AA341" s="312"/>
      <c r="AB341" s="298"/>
      <c r="AC341" s="299"/>
      <c r="AD341" s="298"/>
      <c r="AE341" s="299"/>
      <c r="AF341" s="298"/>
      <c r="AG341" s="299"/>
      <c r="AH341" s="298"/>
    </row>
    <row r="342">
      <c r="A342" s="298"/>
      <c r="B342" s="299"/>
      <c r="C342" s="298"/>
      <c r="D342" s="299"/>
      <c r="E342" s="298"/>
      <c r="F342" s="299"/>
      <c r="G342" s="298"/>
      <c r="H342" s="299"/>
      <c r="I342" s="299"/>
      <c r="J342" s="298"/>
      <c r="K342" s="299"/>
      <c r="L342" s="298"/>
      <c r="M342" s="299"/>
      <c r="N342" s="298"/>
      <c r="O342" s="299"/>
      <c r="P342" s="298"/>
      <c r="Q342" s="299"/>
      <c r="R342" s="298"/>
      <c r="S342" s="299"/>
      <c r="T342" s="298"/>
      <c r="U342" s="309"/>
      <c r="V342" s="298"/>
      <c r="W342" s="299"/>
      <c r="X342" s="298"/>
      <c r="Y342" s="299"/>
      <c r="Z342" s="298"/>
      <c r="AA342" s="312"/>
      <c r="AB342" s="298"/>
      <c r="AC342" s="299"/>
      <c r="AD342" s="298"/>
      <c r="AE342" s="299"/>
      <c r="AF342" s="298"/>
      <c r="AG342" s="299"/>
      <c r="AH342" s="298"/>
    </row>
    <row r="343">
      <c r="A343" s="298"/>
      <c r="B343" s="299"/>
      <c r="C343" s="298"/>
      <c r="D343" s="299"/>
      <c r="E343" s="298"/>
      <c r="F343" s="299"/>
      <c r="G343" s="298"/>
      <c r="H343" s="299"/>
      <c r="I343" s="299"/>
      <c r="J343" s="298"/>
      <c r="K343" s="299"/>
      <c r="L343" s="298"/>
      <c r="M343" s="299"/>
      <c r="N343" s="298"/>
      <c r="O343" s="299"/>
      <c r="P343" s="298"/>
      <c r="Q343" s="299"/>
      <c r="R343" s="298"/>
      <c r="S343" s="299"/>
      <c r="T343" s="298"/>
      <c r="U343" s="309"/>
      <c r="V343" s="298"/>
      <c r="W343" s="299"/>
      <c r="X343" s="298"/>
      <c r="Y343" s="299"/>
      <c r="Z343" s="298"/>
      <c r="AA343" s="312"/>
      <c r="AB343" s="298"/>
      <c r="AC343" s="299"/>
      <c r="AD343" s="298"/>
      <c r="AE343" s="299"/>
      <c r="AF343" s="298"/>
      <c r="AG343" s="299"/>
      <c r="AH343" s="298"/>
    </row>
    <row r="344">
      <c r="A344" s="298"/>
      <c r="B344" s="299"/>
      <c r="C344" s="298"/>
      <c r="D344" s="299"/>
      <c r="E344" s="298"/>
      <c r="F344" s="299"/>
      <c r="G344" s="298"/>
      <c r="H344" s="299"/>
      <c r="I344" s="299"/>
      <c r="J344" s="298"/>
      <c r="K344" s="299"/>
      <c r="L344" s="298"/>
      <c r="M344" s="299"/>
      <c r="N344" s="298"/>
      <c r="O344" s="299"/>
      <c r="P344" s="298"/>
      <c r="Q344" s="299"/>
      <c r="R344" s="298"/>
      <c r="S344" s="299"/>
      <c r="T344" s="298"/>
      <c r="U344" s="309"/>
      <c r="V344" s="298"/>
      <c r="W344" s="299"/>
      <c r="X344" s="298"/>
      <c r="Y344" s="299"/>
      <c r="Z344" s="298"/>
      <c r="AA344" s="312"/>
      <c r="AB344" s="298"/>
      <c r="AC344" s="299"/>
      <c r="AD344" s="298"/>
      <c r="AE344" s="299"/>
      <c r="AF344" s="298"/>
      <c r="AG344" s="299"/>
      <c r="AH344" s="298"/>
    </row>
    <row r="345">
      <c r="A345" s="298"/>
      <c r="B345" s="299"/>
      <c r="C345" s="298"/>
      <c r="D345" s="299"/>
      <c r="E345" s="298"/>
      <c r="F345" s="299"/>
      <c r="G345" s="298"/>
      <c r="H345" s="299"/>
      <c r="I345" s="299"/>
      <c r="J345" s="298"/>
      <c r="K345" s="299"/>
      <c r="L345" s="298"/>
      <c r="M345" s="299"/>
      <c r="N345" s="298"/>
      <c r="O345" s="299"/>
      <c r="P345" s="298"/>
      <c r="Q345" s="299"/>
      <c r="R345" s="298"/>
      <c r="S345" s="299"/>
      <c r="T345" s="298"/>
      <c r="U345" s="309"/>
      <c r="V345" s="298"/>
      <c r="W345" s="299"/>
      <c r="X345" s="298"/>
      <c r="Y345" s="299"/>
      <c r="Z345" s="298"/>
      <c r="AA345" s="312"/>
      <c r="AB345" s="298"/>
      <c r="AC345" s="299"/>
      <c r="AD345" s="298"/>
      <c r="AE345" s="299"/>
      <c r="AF345" s="298"/>
      <c r="AG345" s="299"/>
      <c r="AH345" s="298"/>
    </row>
    <row r="346">
      <c r="A346" s="298"/>
      <c r="B346" s="299"/>
      <c r="C346" s="298"/>
      <c r="D346" s="299"/>
      <c r="E346" s="298"/>
      <c r="F346" s="299"/>
      <c r="G346" s="298"/>
      <c r="H346" s="299"/>
      <c r="I346" s="299"/>
      <c r="J346" s="298"/>
      <c r="K346" s="299"/>
      <c r="L346" s="298"/>
      <c r="M346" s="299"/>
      <c r="N346" s="298"/>
      <c r="O346" s="299"/>
      <c r="P346" s="298"/>
      <c r="Q346" s="299"/>
      <c r="R346" s="298"/>
      <c r="S346" s="299"/>
      <c r="T346" s="298"/>
      <c r="U346" s="309"/>
      <c r="V346" s="298"/>
      <c r="W346" s="299"/>
      <c r="X346" s="298"/>
      <c r="Y346" s="299"/>
      <c r="Z346" s="298"/>
      <c r="AA346" s="312"/>
      <c r="AB346" s="298"/>
      <c r="AC346" s="299"/>
      <c r="AD346" s="298"/>
      <c r="AE346" s="299"/>
      <c r="AF346" s="298"/>
      <c r="AG346" s="299"/>
      <c r="AH346" s="298"/>
    </row>
    <row r="347">
      <c r="A347" s="298"/>
      <c r="B347" s="299"/>
      <c r="C347" s="298"/>
      <c r="D347" s="299"/>
      <c r="E347" s="298"/>
      <c r="F347" s="299"/>
      <c r="G347" s="298"/>
      <c r="H347" s="299"/>
      <c r="I347" s="299"/>
      <c r="J347" s="298"/>
      <c r="K347" s="299"/>
      <c r="L347" s="298"/>
      <c r="M347" s="299"/>
      <c r="N347" s="298"/>
      <c r="O347" s="299"/>
      <c r="P347" s="298"/>
      <c r="Q347" s="299"/>
      <c r="R347" s="298"/>
      <c r="S347" s="299"/>
      <c r="T347" s="298"/>
      <c r="U347" s="309"/>
      <c r="V347" s="298"/>
      <c r="W347" s="299"/>
      <c r="X347" s="298"/>
      <c r="Y347" s="299"/>
      <c r="Z347" s="298"/>
      <c r="AA347" s="312"/>
      <c r="AB347" s="298"/>
      <c r="AC347" s="299"/>
      <c r="AD347" s="298"/>
      <c r="AE347" s="299"/>
      <c r="AF347" s="298"/>
      <c r="AG347" s="299"/>
      <c r="AH347" s="298"/>
    </row>
    <row r="348">
      <c r="A348" s="298"/>
      <c r="B348" s="299"/>
      <c r="C348" s="298"/>
      <c r="D348" s="299"/>
      <c r="E348" s="298"/>
      <c r="F348" s="299"/>
      <c r="G348" s="298"/>
      <c r="H348" s="299"/>
      <c r="I348" s="299"/>
      <c r="J348" s="298"/>
      <c r="K348" s="299"/>
      <c r="L348" s="298"/>
      <c r="M348" s="299"/>
      <c r="N348" s="298"/>
      <c r="O348" s="299"/>
      <c r="P348" s="298"/>
      <c r="Q348" s="299"/>
      <c r="R348" s="298"/>
      <c r="S348" s="299"/>
      <c r="T348" s="298"/>
      <c r="U348" s="309"/>
      <c r="V348" s="298"/>
      <c r="W348" s="299"/>
      <c r="X348" s="298"/>
      <c r="Y348" s="299"/>
      <c r="Z348" s="298"/>
      <c r="AA348" s="312"/>
      <c r="AB348" s="298"/>
      <c r="AC348" s="299"/>
      <c r="AD348" s="298"/>
      <c r="AE348" s="299"/>
      <c r="AF348" s="298"/>
      <c r="AG348" s="299"/>
      <c r="AH348" s="298"/>
    </row>
    <row r="349">
      <c r="A349" s="298"/>
      <c r="B349" s="299"/>
      <c r="C349" s="298"/>
      <c r="D349" s="299"/>
      <c r="E349" s="298"/>
      <c r="F349" s="299"/>
      <c r="G349" s="298"/>
      <c r="H349" s="299"/>
      <c r="I349" s="299"/>
      <c r="J349" s="298"/>
      <c r="K349" s="299"/>
      <c r="L349" s="298"/>
      <c r="M349" s="299"/>
      <c r="N349" s="298"/>
      <c r="O349" s="299"/>
      <c r="P349" s="298"/>
      <c r="Q349" s="299"/>
      <c r="R349" s="298"/>
      <c r="S349" s="299"/>
      <c r="T349" s="298"/>
      <c r="U349" s="309"/>
      <c r="V349" s="298"/>
      <c r="W349" s="299"/>
      <c r="X349" s="298"/>
      <c r="Y349" s="299"/>
      <c r="Z349" s="298"/>
      <c r="AA349" s="312"/>
      <c r="AB349" s="298"/>
      <c r="AC349" s="299"/>
      <c r="AD349" s="298"/>
      <c r="AE349" s="299"/>
      <c r="AF349" s="298"/>
      <c r="AG349" s="299"/>
      <c r="AH349" s="298"/>
    </row>
    <row r="350">
      <c r="A350" s="298"/>
      <c r="B350" s="299"/>
      <c r="C350" s="298"/>
      <c r="D350" s="299"/>
      <c r="E350" s="298"/>
      <c r="F350" s="299"/>
      <c r="G350" s="298"/>
      <c r="H350" s="299"/>
      <c r="I350" s="299"/>
      <c r="J350" s="298"/>
      <c r="K350" s="299"/>
      <c r="L350" s="298"/>
      <c r="M350" s="299"/>
      <c r="N350" s="298"/>
      <c r="O350" s="299"/>
      <c r="P350" s="298"/>
      <c r="Q350" s="299"/>
      <c r="R350" s="298"/>
      <c r="S350" s="299"/>
      <c r="T350" s="298"/>
      <c r="U350" s="309"/>
      <c r="V350" s="298"/>
      <c r="W350" s="299"/>
      <c r="X350" s="298"/>
      <c r="Y350" s="299"/>
      <c r="Z350" s="298"/>
      <c r="AA350" s="312"/>
      <c r="AB350" s="298"/>
      <c r="AC350" s="299"/>
      <c r="AD350" s="298"/>
      <c r="AE350" s="299"/>
      <c r="AF350" s="298"/>
      <c r="AG350" s="299"/>
      <c r="AH350" s="298"/>
    </row>
    <row r="351">
      <c r="A351" s="298"/>
      <c r="B351" s="299"/>
      <c r="C351" s="298"/>
      <c r="D351" s="299"/>
      <c r="E351" s="298"/>
      <c r="F351" s="299"/>
      <c r="G351" s="298"/>
      <c r="H351" s="299"/>
      <c r="I351" s="299"/>
      <c r="J351" s="298"/>
      <c r="K351" s="299"/>
      <c r="L351" s="298"/>
      <c r="M351" s="299"/>
      <c r="N351" s="298"/>
      <c r="O351" s="299"/>
      <c r="P351" s="298"/>
      <c r="Q351" s="299"/>
      <c r="R351" s="298"/>
      <c r="S351" s="299"/>
      <c r="T351" s="298"/>
      <c r="U351" s="309"/>
      <c r="V351" s="298"/>
      <c r="W351" s="299"/>
      <c r="X351" s="298"/>
      <c r="Y351" s="299"/>
      <c r="Z351" s="298"/>
      <c r="AA351" s="312"/>
      <c r="AB351" s="298"/>
      <c r="AC351" s="299"/>
      <c r="AD351" s="298"/>
      <c r="AE351" s="299"/>
      <c r="AF351" s="298"/>
      <c r="AG351" s="299"/>
      <c r="AH351" s="298"/>
    </row>
    <row r="352">
      <c r="A352" s="298"/>
      <c r="B352" s="299"/>
      <c r="C352" s="298"/>
      <c r="D352" s="299"/>
      <c r="E352" s="298"/>
      <c r="F352" s="299"/>
      <c r="G352" s="298"/>
      <c r="H352" s="299"/>
      <c r="I352" s="299"/>
      <c r="J352" s="298"/>
      <c r="K352" s="299"/>
      <c r="L352" s="298"/>
      <c r="M352" s="299"/>
      <c r="N352" s="298"/>
      <c r="O352" s="299"/>
      <c r="P352" s="298"/>
      <c r="Q352" s="299"/>
      <c r="R352" s="298"/>
      <c r="S352" s="299"/>
      <c r="T352" s="298"/>
      <c r="U352" s="309"/>
      <c r="V352" s="298"/>
      <c r="W352" s="299"/>
      <c r="X352" s="298"/>
      <c r="Y352" s="299"/>
      <c r="Z352" s="298"/>
      <c r="AA352" s="312"/>
      <c r="AB352" s="298"/>
      <c r="AC352" s="299"/>
      <c r="AD352" s="298"/>
      <c r="AE352" s="299"/>
      <c r="AF352" s="298"/>
      <c r="AG352" s="299"/>
      <c r="AH352" s="298"/>
    </row>
    <row r="353">
      <c r="A353" s="298"/>
      <c r="B353" s="299"/>
      <c r="C353" s="298"/>
      <c r="D353" s="299"/>
      <c r="E353" s="298"/>
      <c r="F353" s="299"/>
      <c r="G353" s="298"/>
      <c r="H353" s="299"/>
      <c r="I353" s="299"/>
      <c r="J353" s="298"/>
      <c r="K353" s="299"/>
      <c r="L353" s="298"/>
      <c r="M353" s="299"/>
      <c r="N353" s="298"/>
      <c r="O353" s="299"/>
      <c r="P353" s="298"/>
      <c r="Q353" s="299"/>
      <c r="R353" s="298"/>
      <c r="S353" s="299"/>
      <c r="T353" s="298"/>
      <c r="U353" s="309"/>
      <c r="V353" s="298"/>
      <c r="W353" s="299"/>
      <c r="X353" s="298"/>
      <c r="Y353" s="299"/>
      <c r="Z353" s="298"/>
      <c r="AA353" s="312"/>
      <c r="AB353" s="298"/>
      <c r="AC353" s="299"/>
      <c r="AD353" s="298"/>
      <c r="AE353" s="299"/>
      <c r="AF353" s="298"/>
      <c r="AG353" s="299"/>
      <c r="AH353" s="298"/>
    </row>
    <row r="354">
      <c r="A354" s="298"/>
      <c r="B354" s="299"/>
      <c r="C354" s="298"/>
      <c r="D354" s="299"/>
      <c r="E354" s="298"/>
      <c r="F354" s="299"/>
      <c r="G354" s="298"/>
      <c r="H354" s="299"/>
      <c r="I354" s="299"/>
      <c r="J354" s="298"/>
      <c r="K354" s="299"/>
      <c r="L354" s="298"/>
      <c r="M354" s="299"/>
      <c r="N354" s="298"/>
      <c r="O354" s="299"/>
      <c r="P354" s="298"/>
      <c r="Q354" s="299"/>
      <c r="R354" s="298"/>
      <c r="S354" s="299"/>
      <c r="T354" s="298"/>
      <c r="U354" s="309"/>
      <c r="V354" s="298"/>
      <c r="W354" s="299"/>
      <c r="X354" s="298"/>
      <c r="Y354" s="299"/>
      <c r="Z354" s="298"/>
      <c r="AA354" s="312"/>
      <c r="AB354" s="298"/>
      <c r="AC354" s="299"/>
      <c r="AD354" s="298"/>
      <c r="AE354" s="299"/>
      <c r="AF354" s="298"/>
      <c r="AG354" s="299"/>
      <c r="AH354" s="298"/>
    </row>
    <row r="355">
      <c r="A355" s="298"/>
      <c r="B355" s="299"/>
      <c r="C355" s="298"/>
      <c r="D355" s="299"/>
      <c r="E355" s="298"/>
      <c r="F355" s="299"/>
      <c r="G355" s="298"/>
      <c r="H355" s="299"/>
      <c r="I355" s="299"/>
      <c r="J355" s="298"/>
      <c r="K355" s="299"/>
      <c r="L355" s="298"/>
      <c r="M355" s="299"/>
      <c r="N355" s="298"/>
      <c r="O355" s="299"/>
      <c r="P355" s="298"/>
      <c r="Q355" s="299"/>
      <c r="R355" s="298"/>
      <c r="S355" s="299"/>
      <c r="T355" s="298"/>
      <c r="U355" s="309"/>
      <c r="V355" s="298"/>
      <c r="W355" s="299"/>
      <c r="X355" s="298"/>
      <c r="Y355" s="299"/>
      <c r="Z355" s="298"/>
      <c r="AA355" s="312"/>
      <c r="AB355" s="298"/>
      <c r="AC355" s="299"/>
      <c r="AD355" s="298"/>
      <c r="AE355" s="299"/>
      <c r="AF355" s="298"/>
      <c r="AG355" s="299"/>
      <c r="AH355" s="298"/>
    </row>
    <row r="356">
      <c r="A356" s="298"/>
      <c r="B356" s="299"/>
      <c r="C356" s="298"/>
      <c r="D356" s="299"/>
      <c r="E356" s="298"/>
      <c r="F356" s="299"/>
      <c r="G356" s="298"/>
      <c r="H356" s="299"/>
      <c r="I356" s="299"/>
      <c r="J356" s="298"/>
      <c r="K356" s="299"/>
      <c r="L356" s="298"/>
      <c r="M356" s="299"/>
      <c r="N356" s="298"/>
      <c r="O356" s="299"/>
      <c r="P356" s="298"/>
      <c r="Q356" s="299"/>
      <c r="R356" s="298"/>
      <c r="S356" s="299"/>
      <c r="T356" s="298"/>
      <c r="U356" s="309"/>
      <c r="V356" s="298"/>
      <c r="W356" s="299"/>
      <c r="X356" s="298"/>
      <c r="Y356" s="299"/>
      <c r="Z356" s="298"/>
      <c r="AA356" s="312"/>
      <c r="AB356" s="298"/>
      <c r="AC356" s="299"/>
      <c r="AD356" s="298"/>
      <c r="AE356" s="299"/>
      <c r="AF356" s="298"/>
      <c r="AG356" s="299"/>
      <c r="AH356" s="298"/>
    </row>
    <row r="357">
      <c r="A357" s="298"/>
      <c r="B357" s="299"/>
      <c r="C357" s="298"/>
      <c r="D357" s="299"/>
      <c r="E357" s="298"/>
      <c r="F357" s="299"/>
      <c r="G357" s="298"/>
      <c r="H357" s="299"/>
      <c r="I357" s="299"/>
      <c r="J357" s="298"/>
      <c r="K357" s="299"/>
      <c r="L357" s="298"/>
      <c r="M357" s="299"/>
      <c r="N357" s="298"/>
      <c r="O357" s="299"/>
      <c r="P357" s="298"/>
      <c r="Q357" s="299"/>
      <c r="R357" s="298"/>
      <c r="S357" s="299"/>
      <c r="T357" s="298"/>
      <c r="U357" s="309"/>
      <c r="V357" s="298"/>
      <c r="W357" s="299"/>
      <c r="X357" s="298"/>
      <c r="Y357" s="299"/>
      <c r="Z357" s="298"/>
      <c r="AA357" s="312"/>
      <c r="AB357" s="298"/>
      <c r="AC357" s="299"/>
      <c r="AD357" s="298"/>
      <c r="AE357" s="299"/>
      <c r="AF357" s="298"/>
      <c r="AG357" s="299"/>
      <c r="AH357" s="298"/>
    </row>
    <row r="358">
      <c r="A358" s="298"/>
      <c r="B358" s="299"/>
      <c r="C358" s="298"/>
      <c r="D358" s="299"/>
      <c r="E358" s="298"/>
      <c r="F358" s="299"/>
      <c r="G358" s="298"/>
      <c r="H358" s="299"/>
      <c r="I358" s="299"/>
      <c r="J358" s="298"/>
      <c r="K358" s="299"/>
      <c r="L358" s="298"/>
      <c r="M358" s="299"/>
      <c r="N358" s="298"/>
      <c r="O358" s="299"/>
      <c r="P358" s="298"/>
      <c r="Q358" s="299"/>
      <c r="R358" s="298"/>
      <c r="S358" s="299"/>
      <c r="T358" s="298"/>
      <c r="U358" s="309"/>
      <c r="V358" s="298"/>
      <c r="W358" s="299"/>
      <c r="X358" s="298"/>
      <c r="Y358" s="299"/>
      <c r="Z358" s="298"/>
      <c r="AA358" s="312"/>
      <c r="AB358" s="298"/>
      <c r="AC358" s="299"/>
      <c r="AD358" s="298"/>
      <c r="AE358" s="299"/>
      <c r="AF358" s="298"/>
      <c r="AG358" s="299"/>
      <c r="AH358" s="298"/>
    </row>
    <row r="359">
      <c r="A359" s="298"/>
      <c r="B359" s="299"/>
      <c r="C359" s="298"/>
      <c r="D359" s="299"/>
      <c r="E359" s="298"/>
      <c r="F359" s="299"/>
      <c r="G359" s="298"/>
      <c r="H359" s="299"/>
      <c r="I359" s="299"/>
      <c r="J359" s="298"/>
      <c r="K359" s="299"/>
      <c r="L359" s="298"/>
      <c r="M359" s="299"/>
      <c r="N359" s="298"/>
      <c r="O359" s="299"/>
      <c r="P359" s="298"/>
      <c r="Q359" s="299"/>
      <c r="R359" s="298"/>
      <c r="S359" s="299"/>
      <c r="T359" s="298"/>
      <c r="U359" s="309"/>
      <c r="V359" s="298"/>
      <c r="W359" s="299"/>
      <c r="X359" s="298"/>
      <c r="Y359" s="299"/>
      <c r="Z359" s="298"/>
      <c r="AA359" s="312"/>
      <c r="AB359" s="298"/>
      <c r="AC359" s="299"/>
      <c r="AD359" s="298"/>
      <c r="AE359" s="299"/>
      <c r="AF359" s="298"/>
      <c r="AG359" s="299"/>
      <c r="AH359" s="298"/>
    </row>
    <row r="360">
      <c r="A360" s="298"/>
      <c r="B360" s="299"/>
      <c r="C360" s="298"/>
      <c r="D360" s="299"/>
      <c r="E360" s="298"/>
      <c r="F360" s="299"/>
      <c r="G360" s="298"/>
      <c r="H360" s="299"/>
      <c r="I360" s="299"/>
      <c r="J360" s="298"/>
      <c r="K360" s="299"/>
      <c r="L360" s="298"/>
      <c r="M360" s="299"/>
      <c r="N360" s="298"/>
      <c r="O360" s="299"/>
      <c r="P360" s="298"/>
      <c r="Q360" s="299"/>
      <c r="R360" s="298"/>
      <c r="S360" s="299"/>
      <c r="T360" s="298"/>
      <c r="U360" s="309"/>
      <c r="V360" s="298"/>
      <c r="W360" s="299"/>
      <c r="X360" s="298"/>
      <c r="Y360" s="299"/>
      <c r="Z360" s="298"/>
      <c r="AA360" s="312"/>
      <c r="AB360" s="298"/>
      <c r="AC360" s="299"/>
      <c r="AD360" s="298"/>
      <c r="AE360" s="299"/>
      <c r="AF360" s="298"/>
      <c r="AG360" s="299"/>
      <c r="AH360" s="298"/>
    </row>
    <row r="361">
      <c r="A361" s="298"/>
      <c r="B361" s="299"/>
      <c r="C361" s="298"/>
      <c r="D361" s="299"/>
      <c r="E361" s="298"/>
      <c r="F361" s="299"/>
      <c r="G361" s="298"/>
      <c r="H361" s="299"/>
      <c r="I361" s="299"/>
      <c r="J361" s="298"/>
      <c r="K361" s="299"/>
      <c r="L361" s="298"/>
      <c r="M361" s="299"/>
      <c r="N361" s="298"/>
      <c r="O361" s="299"/>
      <c r="P361" s="298"/>
      <c r="Q361" s="299"/>
      <c r="R361" s="298"/>
      <c r="S361" s="299"/>
      <c r="T361" s="298"/>
      <c r="U361" s="309"/>
      <c r="V361" s="298"/>
      <c r="W361" s="299"/>
      <c r="X361" s="298"/>
      <c r="Y361" s="299"/>
      <c r="Z361" s="298"/>
      <c r="AA361" s="312"/>
      <c r="AB361" s="298"/>
      <c r="AC361" s="299"/>
      <c r="AD361" s="298"/>
      <c r="AE361" s="299"/>
      <c r="AF361" s="298"/>
      <c r="AG361" s="299"/>
      <c r="AH361" s="298"/>
    </row>
    <row r="362">
      <c r="A362" s="298"/>
      <c r="B362" s="299"/>
      <c r="C362" s="298"/>
      <c r="D362" s="299"/>
      <c r="E362" s="298"/>
      <c r="F362" s="299"/>
      <c r="G362" s="298"/>
      <c r="H362" s="299"/>
      <c r="I362" s="299"/>
      <c r="J362" s="298"/>
      <c r="K362" s="299"/>
      <c r="L362" s="298"/>
      <c r="M362" s="299"/>
      <c r="N362" s="298"/>
      <c r="O362" s="299"/>
      <c r="P362" s="298"/>
      <c r="Q362" s="299"/>
      <c r="R362" s="298"/>
      <c r="S362" s="299"/>
      <c r="T362" s="298"/>
      <c r="U362" s="309"/>
      <c r="V362" s="298"/>
      <c r="W362" s="299"/>
      <c r="X362" s="298"/>
      <c r="Y362" s="299"/>
      <c r="Z362" s="298"/>
      <c r="AA362" s="312"/>
      <c r="AB362" s="298"/>
      <c r="AC362" s="299"/>
      <c r="AD362" s="298"/>
      <c r="AE362" s="299"/>
      <c r="AF362" s="298"/>
      <c r="AG362" s="299"/>
      <c r="AH362" s="298"/>
    </row>
    <row r="363">
      <c r="A363" s="298"/>
      <c r="B363" s="299"/>
      <c r="C363" s="298"/>
      <c r="D363" s="299"/>
      <c r="E363" s="298"/>
      <c r="F363" s="299"/>
      <c r="G363" s="298"/>
      <c r="H363" s="299"/>
      <c r="I363" s="299"/>
      <c r="J363" s="298"/>
      <c r="K363" s="299"/>
      <c r="L363" s="298"/>
      <c r="M363" s="299"/>
      <c r="N363" s="298"/>
      <c r="O363" s="299"/>
      <c r="P363" s="298"/>
      <c r="Q363" s="299"/>
      <c r="R363" s="298"/>
      <c r="S363" s="299"/>
      <c r="T363" s="298"/>
      <c r="U363" s="309"/>
      <c r="V363" s="298"/>
      <c r="W363" s="299"/>
      <c r="X363" s="298"/>
      <c r="Y363" s="299"/>
      <c r="Z363" s="298"/>
      <c r="AA363" s="312"/>
      <c r="AB363" s="298"/>
      <c r="AC363" s="299"/>
      <c r="AD363" s="298"/>
      <c r="AE363" s="299"/>
      <c r="AF363" s="298"/>
      <c r="AG363" s="299"/>
      <c r="AH363" s="298"/>
    </row>
    <row r="364">
      <c r="A364" s="298"/>
      <c r="B364" s="299"/>
      <c r="C364" s="298"/>
      <c r="D364" s="299"/>
      <c r="E364" s="298"/>
      <c r="F364" s="299"/>
      <c r="G364" s="298"/>
      <c r="H364" s="299"/>
      <c r="I364" s="299"/>
      <c r="J364" s="298"/>
      <c r="K364" s="299"/>
      <c r="L364" s="298"/>
      <c r="M364" s="299"/>
      <c r="N364" s="298"/>
      <c r="O364" s="299"/>
      <c r="P364" s="298"/>
      <c r="Q364" s="299"/>
      <c r="R364" s="298"/>
      <c r="S364" s="299"/>
      <c r="T364" s="298"/>
      <c r="U364" s="309"/>
      <c r="V364" s="298"/>
      <c r="W364" s="299"/>
      <c r="X364" s="298"/>
      <c r="Y364" s="299"/>
      <c r="Z364" s="298"/>
      <c r="AA364" s="312"/>
      <c r="AB364" s="298"/>
      <c r="AC364" s="299"/>
      <c r="AD364" s="298"/>
      <c r="AE364" s="299"/>
      <c r="AF364" s="298"/>
      <c r="AG364" s="299"/>
      <c r="AH364" s="298"/>
    </row>
    <row r="365">
      <c r="A365" s="298"/>
      <c r="B365" s="299"/>
      <c r="C365" s="298"/>
      <c r="D365" s="299"/>
      <c r="E365" s="298"/>
      <c r="F365" s="299"/>
      <c r="G365" s="298"/>
      <c r="H365" s="299"/>
      <c r="I365" s="299"/>
      <c r="J365" s="298"/>
      <c r="K365" s="299"/>
      <c r="L365" s="298"/>
      <c r="M365" s="299"/>
      <c r="N365" s="298"/>
      <c r="O365" s="299"/>
      <c r="P365" s="298"/>
      <c r="Q365" s="299"/>
      <c r="R365" s="298"/>
      <c r="S365" s="299"/>
      <c r="T365" s="298"/>
      <c r="U365" s="309"/>
      <c r="V365" s="298"/>
      <c r="W365" s="299"/>
      <c r="X365" s="298"/>
      <c r="Y365" s="299"/>
      <c r="Z365" s="298"/>
      <c r="AA365" s="312"/>
      <c r="AB365" s="298"/>
      <c r="AC365" s="299"/>
      <c r="AD365" s="298"/>
      <c r="AE365" s="299"/>
      <c r="AF365" s="298"/>
      <c r="AG365" s="299"/>
      <c r="AH365" s="298"/>
    </row>
    <row r="366">
      <c r="A366" s="298"/>
      <c r="B366" s="299"/>
      <c r="C366" s="298"/>
      <c r="D366" s="299"/>
      <c r="E366" s="298"/>
      <c r="F366" s="299"/>
      <c r="G366" s="298"/>
      <c r="H366" s="299"/>
      <c r="I366" s="299"/>
      <c r="J366" s="298"/>
      <c r="K366" s="299"/>
      <c r="L366" s="298"/>
      <c r="M366" s="299"/>
      <c r="N366" s="298"/>
      <c r="O366" s="299"/>
      <c r="P366" s="298"/>
      <c r="Q366" s="299"/>
      <c r="R366" s="298"/>
      <c r="S366" s="299"/>
      <c r="T366" s="298"/>
      <c r="U366" s="309"/>
      <c r="V366" s="298"/>
      <c r="W366" s="299"/>
      <c r="X366" s="298"/>
      <c r="Y366" s="299"/>
      <c r="Z366" s="298"/>
      <c r="AA366" s="312"/>
      <c r="AB366" s="298"/>
      <c r="AC366" s="299"/>
      <c r="AD366" s="298"/>
      <c r="AE366" s="299"/>
      <c r="AF366" s="298"/>
      <c r="AG366" s="299"/>
      <c r="AH366" s="298"/>
    </row>
    <row r="367">
      <c r="A367" s="298"/>
      <c r="B367" s="299"/>
      <c r="C367" s="298"/>
      <c r="D367" s="299"/>
      <c r="E367" s="298"/>
      <c r="F367" s="299"/>
      <c r="G367" s="298"/>
      <c r="H367" s="299"/>
      <c r="I367" s="299"/>
      <c r="J367" s="298"/>
      <c r="K367" s="299"/>
      <c r="L367" s="298"/>
      <c r="M367" s="299"/>
      <c r="N367" s="298"/>
      <c r="O367" s="299"/>
      <c r="P367" s="298"/>
      <c r="Q367" s="299"/>
      <c r="R367" s="298"/>
      <c r="S367" s="299"/>
      <c r="T367" s="298"/>
      <c r="U367" s="309"/>
      <c r="V367" s="298"/>
      <c r="W367" s="299"/>
      <c r="X367" s="298"/>
      <c r="Y367" s="299"/>
      <c r="Z367" s="298"/>
      <c r="AA367" s="312"/>
      <c r="AB367" s="298"/>
      <c r="AC367" s="299"/>
      <c r="AD367" s="298"/>
      <c r="AE367" s="299"/>
      <c r="AF367" s="298"/>
      <c r="AG367" s="299"/>
      <c r="AH367" s="298"/>
    </row>
    <row r="368">
      <c r="A368" s="298"/>
      <c r="B368" s="299"/>
      <c r="C368" s="298"/>
      <c r="D368" s="299"/>
      <c r="E368" s="298"/>
      <c r="F368" s="299"/>
      <c r="G368" s="298"/>
      <c r="H368" s="299"/>
      <c r="I368" s="299"/>
      <c r="J368" s="298"/>
      <c r="K368" s="299"/>
      <c r="L368" s="298"/>
      <c r="M368" s="299"/>
      <c r="N368" s="298"/>
      <c r="O368" s="299"/>
      <c r="P368" s="298"/>
      <c r="Q368" s="299"/>
      <c r="R368" s="298"/>
      <c r="S368" s="299"/>
      <c r="T368" s="298"/>
      <c r="U368" s="309"/>
      <c r="V368" s="298"/>
      <c r="W368" s="299"/>
      <c r="X368" s="298"/>
      <c r="Y368" s="299"/>
      <c r="Z368" s="298"/>
      <c r="AA368" s="312"/>
      <c r="AB368" s="298"/>
      <c r="AC368" s="299"/>
      <c r="AD368" s="298"/>
      <c r="AE368" s="299"/>
      <c r="AF368" s="298"/>
      <c r="AG368" s="299"/>
      <c r="AH368" s="298"/>
    </row>
    <row r="369">
      <c r="A369" s="298"/>
      <c r="B369" s="299"/>
      <c r="C369" s="298"/>
      <c r="D369" s="299"/>
      <c r="E369" s="298"/>
      <c r="F369" s="299"/>
      <c r="G369" s="298"/>
      <c r="H369" s="299"/>
      <c r="I369" s="299"/>
      <c r="J369" s="298"/>
      <c r="K369" s="299"/>
      <c r="L369" s="298"/>
      <c r="M369" s="299"/>
      <c r="N369" s="298"/>
      <c r="O369" s="299"/>
      <c r="P369" s="298"/>
      <c r="Q369" s="299"/>
      <c r="R369" s="298"/>
      <c r="S369" s="299"/>
      <c r="T369" s="298"/>
      <c r="U369" s="309"/>
      <c r="V369" s="298"/>
      <c r="W369" s="299"/>
      <c r="X369" s="298"/>
      <c r="Y369" s="299"/>
      <c r="Z369" s="298"/>
      <c r="AA369" s="312"/>
      <c r="AB369" s="298"/>
      <c r="AC369" s="299"/>
      <c r="AD369" s="298"/>
      <c r="AE369" s="299"/>
      <c r="AF369" s="298"/>
      <c r="AG369" s="299"/>
      <c r="AH369" s="298"/>
    </row>
    <row r="370">
      <c r="A370" s="298"/>
      <c r="B370" s="299"/>
      <c r="C370" s="298"/>
      <c r="D370" s="299"/>
      <c r="E370" s="298"/>
      <c r="F370" s="299"/>
      <c r="G370" s="298"/>
      <c r="H370" s="299"/>
      <c r="I370" s="299"/>
      <c r="J370" s="298"/>
      <c r="K370" s="299"/>
      <c r="L370" s="298"/>
      <c r="M370" s="299"/>
      <c r="N370" s="298"/>
      <c r="O370" s="299"/>
      <c r="P370" s="298"/>
      <c r="Q370" s="299"/>
      <c r="R370" s="298"/>
      <c r="S370" s="299"/>
      <c r="T370" s="298"/>
      <c r="U370" s="309"/>
      <c r="V370" s="298"/>
      <c r="W370" s="299"/>
      <c r="X370" s="298"/>
      <c r="Y370" s="299"/>
      <c r="Z370" s="298"/>
      <c r="AA370" s="312"/>
      <c r="AB370" s="298"/>
      <c r="AC370" s="299"/>
      <c r="AD370" s="298"/>
      <c r="AE370" s="299"/>
      <c r="AF370" s="298"/>
      <c r="AG370" s="299"/>
      <c r="AH370" s="298"/>
    </row>
    <row r="371">
      <c r="A371" s="298"/>
      <c r="B371" s="299"/>
      <c r="C371" s="298"/>
      <c r="D371" s="299"/>
      <c r="E371" s="298"/>
      <c r="F371" s="299"/>
      <c r="G371" s="298"/>
      <c r="H371" s="299"/>
      <c r="I371" s="299"/>
      <c r="J371" s="298"/>
      <c r="K371" s="299"/>
      <c r="L371" s="298"/>
      <c r="M371" s="299"/>
      <c r="N371" s="298"/>
      <c r="O371" s="299"/>
      <c r="P371" s="298"/>
      <c r="Q371" s="299"/>
      <c r="R371" s="298"/>
      <c r="S371" s="299"/>
      <c r="T371" s="298"/>
      <c r="U371" s="309"/>
      <c r="V371" s="298"/>
      <c r="W371" s="299"/>
      <c r="X371" s="298"/>
      <c r="Y371" s="299"/>
      <c r="Z371" s="298"/>
      <c r="AA371" s="312"/>
      <c r="AB371" s="298"/>
      <c r="AC371" s="299"/>
      <c r="AD371" s="298"/>
      <c r="AE371" s="299"/>
      <c r="AF371" s="298"/>
      <c r="AG371" s="299"/>
      <c r="AH371" s="298"/>
    </row>
    <row r="372">
      <c r="A372" s="298"/>
      <c r="B372" s="299"/>
      <c r="C372" s="298"/>
      <c r="D372" s="299"/>
      <c r="E372" s="298"/>
      <c r="F372" s="299"/>
      <c r="G372" s="298"/>
      <c r="H372" s="299"/>
      <c r="I372" s="299"/>
      <c r="J372" s="298"/>
      <c r="K372" s="299"/>
      <c r="L372" s="298"/>
      <c r="M372" s="299"/>
      <c r="N372" s="298"/>
      <c r="O372" s="299"/>
      <c r="P372" s="298"/>
      <c r="Q372" s="299"/>
      <c r="R372" s="298"/>
      <c r="S372" s="299"/>
      <c r="T372" s="298"/>
      <c r="U372" s="309"/>
      <c r="V372" s="298"/>
      <c r="W372" s="299"/>
      <c r="X372" s="298"/>
      <c r="Y372" s="299"/>
      <c r="Z372" s="298"/>
      <c r="AA372" s="312"/>
      <c r="AB372" s="298"/>
      <c r="AC372" s="299"/>
      <c r="AD372" s="298"/>
      <c r="AE372" s="299"/>
      <c r="AF372" s="298"/>
      <c r="AG372" s="299"/>
      <c r="AH372" s="298"/>
    </row>
    <row r="373">
      <c r="A373" s="298"/>
      <c r="B373" s="299"/>
      <c r="C373" s="298"/>
      <c r="D373" s="299"/>
      <c r="E373" s="298"/>
      <c r="F373" s="299"/>
      <c r="G373" s="298"/>
      <c r="H373" s="299"/>
      <c r="I373" s="299"/>
      <c r="J373" s="298"/>
      <c r="K373" s="299"/>
      <c r="L373" s="298"/>
      <c r="M373" s="299"/>
      <c r="N373" s="298"/>
      <c r="O373" s="299"/>
      <c r="P373" s="298"/>
      <c r="Q373" s="299"/>
      <c r="R373" s="298"/>
      <c r="S373" s="299"/>
      <c r="T373" s="298"/>
      <c r="U373" s="309"/>
      <c r="V373" s="298"/>
      <c r="W373" s="299"/>
      <c r="X373" s="298"/>
      <c r="Y373" s="299"/>
      <c r="Z373" s="298"/>
      <c r="AA373" s="312"/>
      <c r="AB373" s="298"/>
      <c r="AC373" s="299"/>
      <c r="AD373" s="298"/>
      <c r="AE373" s="299"/>
      <c r="AF373" s="298"/>
      <c r="AG373" s="299"/>
      <c r="AH373" s="298"/>
    </row>
    <row r="374">
      <c r="A374" s="298"/>
      <c r="B374" s="299"/>
      <c r="C374" s="298"/>
      <c r="D374" s="299"/>
      <c r="E374" s="298"/>
      <c r="F374" s="299"/>
      <c r="G374" s="298"/>
      <c r="H374" s="299"/>
      <c r="I374" s="299"/>
      <c r="J374" s="298"/>
      <c r="K374" s="299"/>
      <c r="L374" s="298"/>
      <c r="M374" s="299"/>
      <c r="N374" s="298"/>
      <c r="O374" s="299"/>
      <c r="P374" s="298"/>
      <c r="Q374" s="299"/>
      <c r="R374" s="298"/>
      <c r="S374" s="299"/>
      <c r="T374" s="298"/>
      <c r="U374" s="309"/>
      <c r="V374" s="298"/>
      <c r="W374" s="299"/>
      <c r="X374" s="298"/>
      <c r="Y374" s="299"/>
      <c r="Z374" s="298"/>
      <c r="AA374" s="312"/>
      <c r="AB374" s="298"/>
      <c r="AC374" s="299"/>
      <c r="AD374" s="298"/>
      <c r="AE374" s="299"/>
      <c r="AF374" s="298"/>
      <c r="AG374" s="299"/>
      <c r="AH374" s="298"/>
    </row>
    <row r="375">
      <c r="A375" s="298"/>
      <c r="B375" s="299"/>
      <c r="C375" s="298"/>
      <c r="D375" s="299"/>
      <c r="E375" s="298"/>
      <c r="F375" s="299"/>
      <c r="G375" s="298"/>
      <c r="H375" s="299"/>
      <c r="I375" s="299"/>
      <c r="J375" s="298"/>
      <c r="K375" s="299"/>
      <c r="L375" s="298"/>
      <c r="M375" s="299"/>
      <c r="N375" s="298"/>
      <c r="O375" s="299"/>
      <c r="P375" s="298"/>
      <c r="Q375" s="299"/>
      <c r="R375" s="298"/>
      <c r="S375" s="299"/>
      <c r="T375" s="298"/>
      <c r="U375" s="309"/>
      <c r="V375" s="298"/>
      <c r="W375" s="299"/>
      <c r="X375" s="298"/>
      <c r="Y375" s="299"/>
      <c r="Z375" s="298"/>
      <c r="AA375" s="312"/>
      <c r="AB375" s="298"/>
      <c r="AC375" s="299"/>
      <c r="AD375" s="298"/>
      <c r="AE375" s="299"/>
      <c r="AF375" s="298"/>
      <c r="AG375" s="299"/>
      <c r="AH375" s="298"/>
    </row>
    <row r="376">
      <c r="A376" s="298"/>
      <c r="B376" s="299"/>
      <c r="C376" s="298"/>
      <c r="D376" s="299"/>
      <c r="E376" s="298"/>
      <c r="F376" s="299"/>
      <c r="G376" s="298"/>
      <c r="H376" s="299"/>
      <c r="I376" s="299"/>
      <c r="J376" s="298"/>
      <c r="K376" s="299"/>
      <c r="L376" s="298"/>
      <c r="M376" s="299"/>
      <c r="N376" s="298"/>
      <c r="O376" s="299"/>
      <c r="P376" s="298"/>
      <c r="Q376" s="299"/>
      <c r="R376" s="298"/>
      <c r="S376" s="299"/>
      <c r="T376" s="298"/>
      <c r="U376" s="309"/>
      <c r="V376" s="298"/>
      <c r="W376" s="299"/>
      <c r="X376" s="298"/>
      <c r="Y376" s="299"/>
      <c r="Z376" s="298"/>
      <c r="AA376" s="312"/>
      <c r="AB376" s="298"/>
      <c r="AC376" s="299"/>
      <c r="AD376" s="298"/>
      <c r="AE376" s="299"/>
      <c r="AF376" s="298"/>
      <c r="AG376" s="299"/>
      <c r="AH376" s="298"/>
    </row>
    <row r="377">
      <c r="A377" s="298"/>
      <c r="B377" s="299"/>
      <c r="C377" s="298"/>
      <c r="D377" s="299"/>
      <c r="E377" s="298"/>
      <c r="F377" s="299"/>
      <c r="G377" s="298"/>
      <c r="H377" s="299"/>
      <c r="I377" s="299"/>
      <c r="J377" s="298"/>
      <c r="K377" s="299"/>
      <c r="L377" s="298"/>
      <c r="M377" s="299"/>
      <c r="N377" s="298"/>
      <c r="O377" s="299"/>
      <c r="P377" s="298"/>
      <c r="Q377" s="299"/>
      <c r="R377" s="298"/>
      <c r="S377" s="299"/>
      <c r="T377" s="298"/>
      <c r="U377" s="309"/>
      <c r="V377" s="298"/>
      <c r="W377" s="299"/>
      <c r="X377" s="298"/>
      <c r="Y377" s="299"/>
      <c r="Z377" s="298"/>
      <c r="AA377" s="312"/>
      <c r="AB377" s="298"/>
      <c r="AC377" s="299"/>
      <c r="AD377" s="298"/>
      <c r="AE377" s="299"/>
      <c r="AF377" s="298"/>
      <c r="AG377" s="299"/>
      <c r="AH377" s="298"/>
    </row>
    <row r="378">
      <c r="A378" s="298"/>
      <c r="B378" s="299"/>
      <c r="C378" s="298"/>
      <c r="D378" s="299"/>
      <c r="E378" s="298"/>
      <c r="F378" s="299"/>
      <c r="G378" s="298"/>
      <c r="H378" s="299"/>
      <c r="I378" s="299"/>
      <c r="J378" s="298"/>
      <c r="K378" s="299"/>
      <c r="L378" s="298"/>
      <c r="M378" s="299"/>
      <c r="N378" s="298"/>
      <c r="O378" s="299"/>
      <c r="P378" s="298"/>
      <c r="Q378" s="299"/>
      <c r="R378" s="298"/>
      <c r="S378" s="299"/>
      <c r="T378" s="298"/>
      <c r="U378" s="309"/>
      <c r="V378" s="298"/>
      <c r="W378" s="299"/>
      <c r="X378" s="298"/>
      <c r="Y378" s="299"/>
      <c r="Z378" s="298"/>
      <c r="AA378" s="312"/>
      <c r="AB378" s="298"/>
      <c r="AC378" s="299"/>
      <c r="AD378" s="298"/>
      <c r="AE378" s="299"/>
      <c r="AF378" s="298"/>
      <c r="AG378" s="299"/>
      <c r="AH378" s="298"/>
    </row>
    <row r="379">
      <c r="A379" s="298"/>
      <c r="B379" s="299"/>
      <c r="C379" s="298"/>
      <c r="D379" s="299"/>
      <c r="E379" s="298"/>
      <c r="F379" s="299"/>
      <c r="G379" s="298"/>
      <c r="H379" s="299"/>
      <c r="I379" s="299"/>
      <c r="J379" s="298"/>
      <c r="K379" s="299"/>
      <c r="L379" s="298"/>
      <c r="M379" s="299"/>
      <c r="N379" s="298"/>
      <c r="O379" s="299"/>
      <c r="P379" s="298"/>
      <c r="Q379" s="299"/>
      <c r="R379" s="298"/>
      <c r="S379" s="299"/>
      <c r="T379" s="298"/>
      <c r="U379" s="309"/>
      <c r="V379" s="298"/>
      <c r="W379" s="299"/>
      <c r="X379" s="298"/>
      <c r="Y379" s="299"/>
      <c r="Z379" s="298"/>
      <c r="AA379" s="312"/>
      <c r="AB379" s="298"/>
      <c r="AC379" s="299"/>
      <c r="AD379" s="298"/>
      <c r="AE379" s="299"/>
      <c r="AF379" s="298"/>
      <c r="AG379" s="299"/>
      <c r="AH379" s="298"/>
    </row>
    <row r="380">
      <c r="A380" s="298"/>
      <c r="B380" s="299"/>
      <c r="C380" s="298"/>
      <c r="D380" s="299"/>
      <c r="E380" s="298"/>
      <c r="F380" s="299"/>
      <c r="G380" s="298"/>
      <c r="H380" s="299"/>
      <c r="I380" s="299"/>
      <c r="J380" s="298"/>
      <c r="K380" s="299"/>
      <c r="L380" s="298"/>
      <c r="M380" s="299"/>
      <c r="N380" s="298"/>
      <c r="O380" s="299"/>
      <c r="P380" s="298"/>
      <c r="Q380" s="299"/>
      <c r="R380" s="298"/>
      <c r="S380" s="299"/>
      <c r="T380" s="298"/>
      <c r="U380" s="309"/>
      <c r="V380" s="298"/>
      <c r="W380" s="299"/>
      <c r="X380" s="298"/>
      <c r="Y380" s="299"/>
      <c r="Z380" s="298"/>
      <c r="AA380" s="312"/>
      <c r="AB380" s="298"/>
      <c r="AC380" s="299"/>
      <c r="AD380" s="298"/>
      <c r="AE380" s="299"/>
      <c r="AF380" s="298"/>
      <c r="AG380" s="299"/>
      <c r="AH380" s="298"/>
    </row>
    <row r="381">
      <c r="A381" s="298"/>
      <c r="B381" s="299"/>
      <c r="C381" s="298"/>
      <c r="D381" s="299"/>
      <c r="E381" s="298"/>
      <c r="F381" s="299"/>
      <c r="G381" s="298"/>
      <c r="H381" s="299"/>
      <c r="I381" s="299"/>
      <c r="J381" s="298"/>
      <c r="K381" s="299"/>
      <c r="L381" s="298"/>
      <c r="M381" s="299"/>
      <c r="N381" s="298"/>
      <c r="O381" s="299"/>
      <c r="P381" s="298"/>
      <c r="Q381" s="299"/>
      <c r="R381" s="298"/>
      <c r="S381" s="299"/>
      <c r="T381" s="298"/>
      <c r="U381" s="309"/>
      <c r="V381" s="298"/>
      <c r="W381" s="299"/>
      <c r="X381" s="298"/>
      <c r="Y381" s="299"/>
      <c r="Z381" s="298"/>
      <c r="AA381" s="312"/>
      <c r="AB381" s="298"/>
      <c r="AC381" s="299"/>
      <c r="AD381" s="298"/>
      <c r="AE381" s="299"/>
      <c r="AF381" s="298"/>
      <c r="AG381" s="299"/>
      <c r="AH381" s="298"/>
    </row>
    <row r="382">
      <c r="A382" s="298"/>
      <c r="B382" s="299"/>
      <c r="C382" s="298"/>
      <c r="D382" s="299"/>
      <c r="E382" s="298"/>
      <c r="F382" s="299"/>
      <c r="G382" s="298"/>
      <c r="H382" s="299"/>
      <c r="I382" s="299"/>
      <c r="J382" s="298"/>
      <c r="K382" s="299"/>
      <c r="L382" s="298"/>
      <c r="M382" s="299"/>
      <c r="N382" s="298"/>
      <c r="O382" s="299"/>
      <c r="P382" s="298"/>
      <c r="Q382" s="299"/>
      <c r="R382" s="298"/>
      <c r="S382" s="299"/>
      <c r="T382" s="298"/>
      <c r="U382" s="309"/>
      <c r="V382" s="298"/>
      <c r="W382" s="299"/>
      <c r="X382" s="298"/>
      <c r="Y382" s="299"/>
      <c r="Z382" s="298"/>
      <c r="AA382" s="312"/>
      <c r="AB382" s="298"/>
      <c r="AC382" s="299"/>
      <c r="AD382" s="298"/>
      <c r="AE382" s="299"/>
      <c r="AF382" s="298"/>
      <c r="AG382" s="299"/>
      <c r="AH382" s="298"/>
    </row>
    <row r="383">
      <c r="A383" s="298"/>
      <c r="B383" s="299"/>
      <c r="C383" s="298"/>
      <c r="D383" s="299"/>
      <c r="E383" s="298"/>
      <c r="F383" s="299"/>
      <c r="G383" s="298"/>
      <c r="H383" s="299"/>
      <c r="I383" s="299"/>
      <c r="J383" s="298"/>
      <c r="K383" s="299"/>
      <c r="L383" s="298"/>
      <c r="M383" s="299"/>
      <c r="N383" s="298"/>
      <c r="O383" s="299"/>
      <c r="P383" s="298"/>
      <c r="Q383" s="299"/>
      <c r="R383" s="298"/>
      <c r="S383" s="299"/>
      <c r="T383" s="298"/>
      <c r="U383" s="309"/>
      <c r="V383" s="298"/>
      <c r="W383" s="299"/>
      <c r="X383" s="298"/>
      <c r="Y383" s="299"/>
      <c r="Z383" s="298"/>
      <c r="AA383" s="312"/>
      <c r="AB383" s="298"/>
      <c r="AC383" s="299"/>
      <c r="AD383" s="298"/>
      <c r="AE383" s="299"/>
      <c r="AF383" s="298"/>
      <c r="AG383" s="299"/>
      <c r="AH383" s="298"/>
    </row>
    <row r="384">
      <c r="A384" s="298"/>
      <c r="B384" s="299"/>
      <c r="C384" s="298"/>
      <c r="D384" s="299"/>
      <c r="E384" s="298"/>
      <c r="F384" s="299"/>
      <c r="G384" s="298"/>
      <c r="H384" s="299"/>
      <c r="I384" s="299"/>
      <c r="J384" s="298"/>
      <c r="K384" s="299"/>
      <c r="L384" s="298"/>
      <c r="M384" s="299"/>
      <c r="N384" s="298"/>
      <c r="O384" s="299"/>
      <c r="P384" s="298"/>
      <c r="Q384" s="299"/>
      <c r="R384" s="298"/>
      <c r="S384" s="299"/>
      <c r="T384" s="298"/>
      <c r="U384" s="309"/>
      <c r="V384" s="298"/>
      <c r="W384" s="299"/>
      <c r="X384" s="298"/>
      <c r="Y384" s="299"/>
      <c r="Z384" s="298"/>
      <c r="AA384" s="312"/>
      <c r="AB384" s="298"/>
      <c r="AC384" s="299"/>
      <c r="AD384" s="298"/>
      <c r="AE384" s="299"/>
      <c r="AF384" s="298"/>
      <c r="AG384" s="299"/>
      <c r="AH384" s="298"/>
    </row>
    <row r="385">
      <c r="A385" s="298"/>
      <c r="B385" s="299"/>
      <c r="C385" s="298"/>
      <c r="D385" s="299"/>
      <c r="E385" s="298"/>
      <c r="F385" s="299"/>
      <c r="G385" s="298"/>
      <c r="H385" s="299"/>
      <c r="I385" s="299"/>
      <c r="J385" s="298"/>
      <c r="K385" s="299"/>
      <c r="L385" s="298"/>
      <c r="M385" s="299"/>
      <c r="N385" s="298"/>
      <c r="O385" s="299"/>
      <c r="P385" s="298"/>
      <c r="Q385" s="299"/>
      <c r="R385" s="298"/>
      <c r="S385" s="299"/>
      <c r="T385" s="298"/>
      <c r="U385" s="309"/>
      <c r="V385" s="298"/>
      <c r="W385" s="299"/>
      <c r="X385" s="298"/>
      <c r="Y385" s="299"/>
      <c r="Z385" s="298"/>
      <c r="AA385" s="312"/>
      <c r="AB385" s="298"/>
      <c r="AC385" s="299"/>
      <c r="AD385" s="298"/>
      <c r="AE385" s="299"/>
      <c r="AF385" s="298"/>
      <c r="AG385" s="299"/>
      <c r="AH385" s="298"/>
    </row>
    <row r="386">
      <c r="A386" s="298"/>
      <c r="B386" s="299"/>
      <c r="C386" s="298"/>
      <c r="D386" s="299"/>
      <c r="E386" s="298"/>
      <c r="F386" s="299"/>
      <c r="G386" s="298"/>
      <c r="H386" s="299"/>
      <c r="I386" s="299"/>
      <c r="J386" s="298"/>
      <c r="K386" s="299"/>
      <c r="L386" s="298"/>
      <c r="M386" s="299"/>
      <c r="N386" s="298"/>
      <c r="O386" s="299"/>
      <c r="P386" s="298"/>
      <c r="Q386" s="299"/>
      <c r="R386" s="298"/>
      <c r="S386" s="299"/>
      <c r="T386" s="298"/>
      <c r="U386" s="309"/>
      <c r="V386" s="298"/>
      <c r="W386" s="299"/>
      <c r="X386" s="298"/>
      <c r="Y386" s="299"/>
      <c r="Z386" s="298"/>
      <c r="AA386" s="312"/>
      <c r="AB386" s="298"/>
      <c r="AC386" s="299"/>
      <c r="AD386" s="298"/>
      <c r="AE386" s="299"/>
      <c r="AF386" s="298"/>
      <c r="AG386" s="299"/>
      <c r="AH386" s="298"/>
    </row>
    <row r="387">
      <c r="A387" s="298"/>
      <c r="B387" s="299"/>
      <c r="C387" s="298"/>
      <c r="D387" s="299"/>
      <c r="E387" s="298"/>
      <c r="F387" s="299"/>
      <c r="G387" s="298"/>
      <c r="H387" s="299"/>
      <c r="I387" s="299"/>
      <c r="J387" s="298"/>
      <c r="K387" s="299"/>
      <c r="L387" s="298"/>
      <c r="M387" s="299"/>
      <c r="N387" s="298"/>
      <c r="O387" s="299"/>
      <c r="P387" s="298"/>
      <c r="Q387" s="299"/>
      <c r="R387" s="298"/>
      <c r="S387" s="299"/>
      <c r="T387" s="298"/>
      <c r="U387" s="309"/>
      <c r="V387" s="298"/>
      <c r="W387" s="299"/>
      <c r="X387" s="298"/>
      <c r="Y387" s="299"/>
      <c r="Z387" s="298"/>
      <c r="AA387" s="312"/>
      <c r="AB387" s="298"/>
      <c r="AC387" s="299"/>
      <c r="AD387" s="298"/>
      <c r="AE387" s="299"/>
      <c r="AF387" s="298"/>
      <c r="AG387" s="299"/>
      <c r="AH387" s="298"/>
    </row>
    <row r="388">
      <c r="A388" s="298"/>
      <c r="B388" s="299"/>
      <c r="C388" s="298"/>
      <c r="D388" s="299"/>
      <c r="E388" s="298"/>
      <c r="F388" s="299"/>
      <c r="G388" s="298"/>
      <c r="H388" s="299"/>
      <c r="I388" s="299"/>
      <c r="J388" s="298"/>
      <c r="K388" s="299"/>
      <c r="L388" s="298"/>
      <c r="M388" s="299"/>
      <c r="N388" s="298"/>
      <c r="O388" s="299"/>
      <c r="P388" s="298"/>
      <c r="Q388" s="299"/>
      <c r="R388" s="298"/>
      <c r="S388" s="299"/>
      <c r="T388" s="298"/>
      <c r="U388" s="309"/>
      <c r="V388" s="298"/>
      <c r="W388" s="299"/>
      <c r="X388" s="298"/>
      <c r="Y388" s="299"/>
      <c r="Z388" s="298"/>
      <c r="AA388" s="312"/>
      <c r="AB388" s="298"/>
      <c r="AC388" s="299"/>
      <c r="AD388" s="298"/>
      <c r="AE388" s="299"/>
      <c r="AF388" s="298"/>
      <c r="AG388" s="299"/>
      <c r="AH388" s="298"/>
    </row>
    <row r="389">
      <c r="A389" s="298"/>
      <c r="B389" s="299"/>
      <c r="C389" s="298"/>
      <c r="D389" s="299"/>
      <c r="E389" s="298"/>
      <c r="F389" s="299"/>
      <c r="G389" s="298"/>
      <c r="H389" s="299"/>
      <c r="I389" s="299"/>
      <c r="J389" s="298"/>
      <c r="K389" s="299"/>
      <c r="L389" s="298"/>
      <c r="M389" s="299"/>
      <c r="N389" s="298"/>
      <c r="O389" s="299"/>
      <c r="P389" s="298"/>
      <c r="Q389" s="299"/>
      <c r="R389" s="298"/>
      <c r="S389" s="299"/>
      <c r="T389" s="298"/>
      <c r="U389" s="309"/>
      <c r="V389" s="298"/>
      <c r="W389" s="299"/>
      <c r="X389" s="298"/>
      <c r="Y389" s="299"/>
      <c r="Z389" s="298"/>
      <c r="AA389" s="312"/>
      <c r="AB389" s="298"/>
      <c r="AC389" s="299"/>
      <c r="AD389" s="298"/>
      <c r="AE389" s="299"/>
      <c r="AF389" s="298"/>
      <c r="AG389" s="299"/>
      <c r="AH389" s="298"/>
    </row>
    <row r="390">
      <c r="A390" s="298"/>
      <c r="B390" s="299"/>
      <c r="C390" s="298"/>
      <c r="D390" s="299"/>
      <c r="E390" s="298"/>
      <c r="F390" s="299"/>
      <c r="G390" s="298"/>
      <c r="H390" s="299"/>
      <c r="I390" s="299"/>
      <c r="J390" s="298"/>
      <c r="K390" s="299"/>
      <c r="L390" s="298"/>
      <c r="M390" s="299"/>
      <c r="N390" s="298"/>
      <c r="O390" s="299"/>
      <c r="P390" s="298"/>
      <c r="Q390" s="299"/>
      <c r="R390" s="298"/>
      <c r="S390" s="299"/>
      <c r="T390" s="298"/>
      <c r="U390" s="309"/>
      <c r="V390" s="298"/>
      <c r="W390" s="299"/>
      <c r="X390" s="298"/>
      <c r="Y390" s="299"/>
      <c r="Z390" s="298"/>
      <c r="AA390" s="312"/>
      <c r="AB390" s="298"/>
      <c r="AC390" s="299"/>
      <c r="AD390" s="298"/>
      <c r="AE390" s="299"/>
      <c r="AF390" s="298"/>
      <c r="AG390" s="299"/>
      <c r="AH390" s="298"/>
    </row>
    <row r="391">
      <c r="A391" s="298"/>
      <c r="B391" s="299"/>
      <c r="C391" s="298"/>
      <c r="D391" s="299"/>
      <c r="E391" s="298"/>
      <c r="F391" s="299"/>
      <c r="G391" s="298"/>
      <c r="H391" s="299"/>
      <c r="I391" s="299"/>
      <c r="J391" s="298"/>
      <c r="K391" s="299"/>
      <c r="L391" s="298"/>
      <c r="M391" s="299"/>
      <c r="N391" s="298"/>
      <c r="O391" s="299"/>
      <c r="P391" s="298"/>
      <c r="Q391" s="299"/>
      <c r="R391" s="298"/>
      <c r="S391" s="299"/>
      <c r="T391" s="298"/>
      <c r="U391" s="309"/>
      <c r="V391" s="298"/>
      <c r="W391" s="299"/>
      <c r="X391" s="298"/>
      <c r="Y391" s="299"/>
      <c r="Z391" s="298"/>
      <c r="AA391" s="312"/>
      <c r="AB391" s="298"/>
      <c r="AC391" s="299"/>
      <c r="AD391" s="298"/>
      <c r="AE391" s="299"/>
      <c r="AF391" s="298"/>
      <c r="AG391" s="299"/>
      <c r="AH391" s="298"/>
    </row>
    <row r="392">
      <c r="A392" s="298"/>
      <c r="B392" s="299"/>
      <c r="C392" s="298"/>
      <c r="D392" s="299"/>
      <c r="E392" s="298"/>
      <c r="F392" s="299"/>
      <c r="G392" s="298"/>
      <c r="H392" s="299"/>
      <c r="I392" s="299"/>
      <c r="J392" s="298"/>
      <c r="K392" s="299"/>
      <c r="L392" s="298"/>
      <c r="M392" s="299"/>
      <c r="N392" s="298"/>
      <c r="O392" s="299"/>
      <c r="P392" s="298"/>
      <c r="Q392" s="299"/>
      <c r="R392" s="298"/>
      <c r="S392" s="299"/>
      <c r="T392" s="298"/>
      <c r="U392" s="309"/>
      <c r="V392" s="298"/>
      <c r="W392" s="299"/>
      <c r="X392" s="298"/>
      <c r="Y392" s="299"/>
      <c r="Z392" s="298"/>
      <c r="AA392" s="312"/>
      <c r="AB392" s="298"/>
      <c r="AC392" s="299"/>
      <c r="AD392" s="298"/>
      <c r="AE392" s="299"/>
      <c r="AF392" s="298"/>
      <c r="AG392" s="299"/>
      <c r="AH392" s="298"/>
    </row>
    <row r="393">
      <c r="A393" s="298"/>
      <c r="B393" s="299"/>
      <c r="C393" s="298"/>
      <c r="D393" s="299"/>
      <c r="E393" s="298"/>
      <c r="F393" s="299"/>
      <c r="G393" s="298"/>
      <c r="H393" s="299"/>
      <c r="I393" s="299"/>
      <c r="J393" s="298"/>
      <c r="K393" s="299"/>
      <c r="L393" s="298"/>
      <c r="M393" s="299"/>
      <c r="N393" s="298"/>
      <c r="O393" s="299"/>
      <c r="P393" s="298"/>
      <c r="Q393" s="299"/>
      <c r="R393" s="298"/>
      <c r="S393" s="299"/>
      <c r="T393" s="298"/>
      <c r="U393" s="309"/>
      <c r="V393" s="298"/>
      <c r="W393" s="299"/>
      <c r="X393" s="298"/>
      <c r="Y393" s="299"/>
      <c r="Z393" s="298"/>
      <c r="AA393" s="312"/>
      <c r="AB393" s="298"/>
      <c r="AC393" s="299"/>
      <c r="AD393" s="298"/>
      <c r="AE393" s="299"/>
      <c r="AF393" s="298"/>
      <c r="AG393" s="299"/>
      <c r="AH393" s="298"/>
    </row>
    <row r="394">
      <c r="A394" s="298"/>
      <c r="B394" s="299"/>
      <c r="C394" s="298"/>
      <c r="D394" s="299"/>
      <c r="E394" s="298"/>
      <c r="F394" s="299"/>
      <c r="G394" s="298"/>
      <c r="H394" s="299"/>
      <c r="I394" s="299"/>
      <c r="J394" s="298"/>
      <c r="K394" s="299"/>
      <c r="L394" s="298"/>
      <c r="M394" s="299"/>
      <c r="N394" s="298"/>
      <c r="O394" s="299"/>
      <c r="P394" s="298"/>
      <c r="Q394" s="299"/>
      <c r="R394" s="298"/>
      <c r="S394" s="299"/>
      <c r="T394" s="298"/>
      <c r="U394" s="309"/>
      <c r="V394" s="298"/>
      <c r="W394" s="299"/>
      <c r="X394" s="298"/>
      <c r="Y394" s="299"/>
      <c r="Z394" s="298"/>
      <c r="AA394" s="312"/>
      <c r="AB394" s="298"/>
      <c r="AC394" s="299"/>
      <c r="AD394" s="298"/>
      <c r="AE394" s="299"/>
      <c r="AF394" s="298"/>
      <c r="AG394" s="299"/>
      <c r="AH394" s="298"/>
    </row>
    <row r="395">
      <c r="A395" s="298"/>
      <c r="B395" s="299"/>
      <c r="C395" s="298"/>
      <c r="D395" s="299"/>
      <c r="E395" s="298"/>
      <c r="F395" s="299"/>
      <c r="G395" s="298"/>
      <c r="H395" s="299"/>
      <c r="I395" s="299"/>
      <c r="J395" s="298"/>
      <c r="K395" s="299"/>
      <c r="L395" s="298"/>
      <c r="M395" s="299"/>
      <c r="N395" s="298"/>
      <c r="O395" s="299"/>
      <c r="P395" s="298"/>
      <c r="Q395" s="299"/>
      <c r="R395" s="298"/>
      <c r="S395" s="299"/>
      <c r="T395" s="298"/>
      <c r="U395" s="309"/>
      <c r="V395" s="298"/>
      <c r="W395" s="299"/>
      <c r="X395" s="298"/>
      <c r="Y395" s="299"/>
      <c r="Z395" s="298"/>
      <c r="AA395" s="312"/>
      <c r="AB395" s="298"/>
      <c r="AC395" s="299"/>
      <c r="AD395" s="298"/>
      <c r="AE395" s="299"/>
      <c r="AF395" s="298"/>
      <c r="AG395" s="299"/>
      <c r="AH395" s="298"/>
    </row>
    <row r="396">
      <c r="A396" s="298"/>
      <c r="B396" s="299"/>
      <c r="C396" s="298"/>
      <c r="D396" s="299"/>
      <c r="E396" s="298"/>
      <c r="F396" s="299"/>
      <c r="G396" s="298"/>
      <c r="H396" s="299"/>
      <c r="I396" s="299"/>
      <c r="J396" s="298"/>
      <c r="K396" s="299"/>
      <c r="L396" s="298"/>
      <c r="M396" s="299"/>
      <c r="N396" s="298"/>
      <c r="O396" s="299"/>
      <c r="P396" s="298"/>
      <c r="Q396" s="299"/>
      <c r="R396" s="298"/>
      <c r="S396" s="299"/>
      <c r="T396" s="298"/>
      <c r="U396" s="309"/>
      <c r="V396" s="298"/>
      <c r="W396" s="299"/>
      <c r="X396" s="298"/>
      <c r="Y396" s="299"/>
      <c r="Z396" s="298"/>
      <c r="AA396" s="312"/>
      <c r="AB396" s="298"/>
      <c r="AC396" s="299"/>
      <c r="AD396" s="298"/>
      <c r="AE396" s="299"/>
      <c r="AF396" s="298"/>
      <c r="AG396" s="299"/>
      <c r="AH396" s="298"/>
    </row>
    <row r="397">
      <c r="A397" s="298"/>
      <c r="B397" s="299"/>
      <c r="C397" s="298"/>
      <c r="D397" s="299"/>
      <c r="E397" s="298"/>
      <c r="F397" s="299"/>
      <c r="G397" s="298"/>
      <c r="H397" s="299"/>
      <c r="I397" s="299"/>
      <c r="J397" s="298"/>
      <c r="K397" s="299"/>
      <c r="L397" s="298"/>
      <c r="M397" s="299"/>
      <c r="N397" s="298"/>
      <c r="O397" s="299"/>
      <c r="P397" s="298"/>
      <c r="Q397" s="299"/>
      <c r="R397" s="298"/>
      <c r="S397" s="299"/>
      <c r="T397" s="298"/>
      <c r="U397" s="309"/>
      <c r="V397" s="298"/>
      <c r="W397" s="299"/>
      <c r="X397" s="298"/>
      <c r="Y397" s="299"/>
      <c r="Z397" s="298"/>
      <c r="AA397" s="312"/>
      <c r="AB397" s="298"/>
      <c r="AC397" s="299"/>
      <c r="AD397" s="298"/>
      <c r="AE397" s="299"/>
      <c r="AF397" s="298"/>
      <c r="AG397" s="299"/>
      <c r="AH397" s="298"/>
    </row>
    <row r="398">
      <c r="A398" s="298"/>
      <c r="B398" s="299"/>
      <c r="C398" s="298"/>
      <c r="D398" s="299"/>
      <c r="E398" s="298"/>
      <c r="F398" s="299"/>
      <c r="G398" s="298"/>
      <c r="H398" s="299"/>
      <c r="I398" s="299"/>
      <c r="J398" s="298"/>
      <c r="K398" s="299"/>
      <c r="L398" s="298"/>
      <c r="M398" s="299"/>
      <c r="N398" s="298"/>
      <c r="O398" s="299"/>
      <c r="P398" s="298"/>
      <c r="Q398" s="299"/>
      <c r="R398" s="298"/>
      <c r="S398" s="299"/>
      <c r="T398" s="298"/>
      <c r="U398" s="309"/>
      <c r="V398" s="298"/>
      <c r="W398" s="299"/>
      <c r="X398" s="298"/>
      <c r="Y398" s="299"/>
      <c r="Z398" s="298"/>
      <c r="AA398" s="312"/>
      <c r="AB398" s="298"/>
      <c r="AC398" s="299"/>
      <c r="AD398" s="298"/>
      <c r="AE398" s="299"/>
      <c r="AF398" s="298"/>
      <c r="AG398" s="299"/>
      <c r="AH398" s="298"/>
    </row>
    <row r="399">
      <c r="A399" s="298"/>
      <c r="B399" s="299"/>
      <c r="C399" s="298"/>
      <c r="D399" s="299"/>
      <c r="E399" s="298"/>
      <c r="F399" s="299"/>
      <c r="G399" s="298"/>
      <c r="H399" s="299"/>
      <c r="I399" s="299"/>
      <c r="J399" s="298"/>
      <c r="K399" s="299"/>
      <c r="L399" s="298"/>
      <c r="M399" s="299"/>
      <c r="N399" s="298"/>
      <c r="O399" s="299"/>
      <c r="P399" s="298"/>
      <c r="Q399" s="299"/>
      <c r="R399" s="298"/>
      <c r="S399" s="299"/>
      <c r="T399" s="298"/>
      <c r="U399" s="309"/>
      <c r="V399" s="298"/>
      <c r="W399" s="299"/>
      <c r="X399" s="298"/>
      <c r="Y399" s="299"/>
      <c r="Z399" s="298"/>
      <c r="AA399" s="312"/>
      <c r="AB399" s="298"/>
      <c r="AC399" s="299"/>
      <c r="AD399" s="298"/>
      <c r="AE399" s="299"/>
      <c r="AF399" s="298"/>
      <c r="AG399" s="299"/>
      <c r="AH399" s="298"/>
    </row>
    <row r="400">
      <c r="A400" s="298"/>
      <c r="B400" s="299"/>
      <c r="C400" s="298"/>
      <c r="D400" s="299"/>
      <c r="E400" s="298"/>
      <c r="F400" s="299"/>
      <c r="G400" s="298"/>
      <c r="H400" s="299"/>
      <c r="I400" s="299"/>
      <c r="J400" s="298"/>
      <c r="K400" s="299"/>
      <c r="L400" s="298"/>
      <c r="M400" s="299"/>
      <c r="N400" s="298"/>
      <c r="O400" s="299"/>
      <c r="P400" s="298"/>
      <c r="Q400" s="299"/>
      <c r="R400" s="298"/>
      <c r="S400" s="299"/>
      <c r="T400" s="298"/>
      <c r="U400" s="309"/>
      <c r="V400" s="298"/>
      <c r="W400" s="299"/>
      <c r="X400" s="298"/>
      <c r="Y400" s="299"/>
      <c r="Z400" s="298"/>
      <c r="AA400" s="312"/>
      <c r="AB400" s="298"/>
      <c r="AC400" s="299"/>
      <c r="AD400" s="298"/>
      <c r="AE400" s="299"/>
      <c r="AF400" s="298"/>
      <c r="AG400" s="299"/>
      <c r="AH400" s="298"/>
    </row>
    <row r="401">
      <c r="A401" s="298"/>
      <c r="B401" s="299"/>
      <c r="C401" s="298"/>
      <c r="D401" s="299"/>
      <c r="E401" s="298"/>
      <c r="F401" s="299"/>
      <c r="G401" s="298"/>
      <c r="H401" s="299"/>
      <c r="I401" s="299"/>
      <c r="J401" s="298"/>
      <c r="K401" s="299"/>
      <c r="L401" s="298"/>
      <c r="M401" s="299"/>
      <c r="N401" s="298"/>
      <c r="O401" s="299"/>
      <c r="P401" s="298"/>
      <c r="Q401" s="299"/>
      <c r="R401" s="298"/>
      <c r="S401" s="299"/>
      <c r="T401" s="298"/>
      <c r="U401" s="309"/>
      <c r="V401" s="298"/>
      <c r="W401" s="299"/>
      <c r="X401" s="298"/>
      <c r="Y401" s="299"/>
      <c r="Z401" s="298"/>
      <c r="AA401" s="312"/>
      <c r="AB401" s="298"/>
      <c r="AC401" s="299"/>
      <c r="AD401" s="298"/>
      <c r="AE401" s="299"/>
      <c r="AF401" s="298"/>
      <c r="AG401" s="299"/>
      <c r="AH401" s="298"/>
    </row>
    <row r="402">
      <c r="A402" s="298"/>
      <c r="B402" s="299"/>
      <c r="C402" s="298"/>
      <c r="D402" s="299"/>
      <c r="E402" s="298"/>
      <c r="F402" s="299"/>
      <c r="G402" s="298"/>
      <c r="H402" s="299"/>
      <c r="I402" s="299"/>
      <c r="J402" s="298"/>
      <c r="K402" s="299"/>
      <c r="L402" s="298"/>
      <c r="M402" s="299"/>
      <c r="N402" s="298"/>
      <c r="O402" s="299"/>
      <c r="P402" s="298"/>
      <c r="Q402" s="299"/>
      <c r="R402" s="298"/>
      <c r="S402" s="299"/>
      <c r="T402" s="298"/>
      <c r="U402" s="309"/>
      <c r="V402" s="298"/>
      <c r="W402" s="299"/>
      <c r="X402" s="298"/>
      <c r="Y402" s="299"/>
      <c r="Z402" s="298"/>
      <c r="AA402" s="312"/>
      <c r="AB402" s="298"/>
      <c r="AC402" s="299"/>
      <c r="AD402" s="298"/>
      <c r="AE402" s="299"/>
      <c r="AF402" s="298"/>
      <c r="AG402" s="299"/>
      <c r="AH402" s="298"/>
    </row>
    <row r="403">
      <c r="A403" s="298"/>
      <c r="B403" s="299"/>
      <c r="C403" s="298"/>
      <c r="D403" s="299"/>
      <c r="E403" s="298"/>
      <c r="F403" s="299"/>
      <c r="G403" s="298"/>
      <c r="H403" s="299"/>
      <c r="I403" s="299"/>
      <c r="J403" s="298"/>
      <c r="K403" s="299"/>
      <c r="L403" s="298"/>
      <c r="M403" s="299"/>
      <c r="N403" s="298"/>
      <c r="O403" s="299"/>
      <c r="P403" s="298"/>
      <c r="Q403" s="299"/>
      <c r="R403" s="298"/>
      <c r="S403" s="299"/>
      <c r="T403" s="298"/>
      <c r="U403" s="309"/>
      <c r="V403" s="298"/>
      <c r="W403" s="299"/>
      <c r="X403" s="298"/>
      <c r="Y403" s="299"/>
      <c r="Z403" s="298"/>
      <c r="AA403" s="312"/>
      <c r="AB403" s="298"/>
      <c r="AC403" s="299"/>
      <c r="AD403" s="298"/>
      <c r="AE403" s="299"/>
      <c r="AF403" s="298"/>
      <c r="AG403" s="299"/>
      <c r="AH403" s="298"/>
    </row>
    <row r="404">
      <c r="A404" s="298"/>
      <c r="B404" s="299"/>
      <c r="C404" s="298"/>
      <c r="D404" s="299"/>
      <c r="E404" s="298"/>
      <c r="F404" s="299"/>
      <c r="G404" s="298"/>
      <c r="H404" s="299"/>
      <c r="I404" s="299"/>
      <c r="J404" s="298"/>
      <c r="K404" s="299"/>
      <c r="L404" s="298"/>
      <c r="M404" s="299"/>
      <c r="N404" s="298"/>
      <c r="O404" s="299"/>
      <c r="P404" s="298"/>
      <c r="Q404" s="299"/>
      <c r="R404" s="298"/>
      <c r="S404" s="299"/>
      <c r="T404" s="298"/>
      <c r="U404" s="309"/>
      <c r="V404" s="298"/>
      <c r="W404" s="299"/>
      <c r="X404" s="298"/>
      <c r="Y404" s="299"/>
      <c r="Z404" s="298"/>
      <c r="AA404" s="312"/>
      <c r="AB404" s="298"/>
      <c r="AC404" s="299"/>
      <c r="AD404" s="298"/>
      <c r="AE404" s="299"/>
      <c r="AF404" s="298"/>
      <c r="AG404" s="299"/>
      <c r="AH404" s="298"/>
    </row>
    <row r="405">
      <c r="A405" s="298"/>
      <c r="B405" s="299"/>
      <c r="C405" s="298"/>
      <c r="D405" s="299"/>
      <c r="E405" s="298"/>
      <c r="F405" s="299"/>
      <c r="G405" s="298"/>
      <c r="H405" s="299"/>
      <c r="I405" s="299"/>
      <c r="J405" s="298"/>
      <c r="K405" s="299"/>
      <c r="L405" s="298"/>
      <c r="M405" s="299"/>
      <c r="N405" s="298"/>
      <c r="O405" s="299"/>
      <c r="P405" s="298"/>
      <c r="Q405" s="299"/>
      <c r="R405" s="298"/>
      <c r="S405" s="299"/>
      <c r="T405" s="298"/>
      <c r="U405" s="309"/>
      <c r="V405" s="298"/>
      <c r="W405" s="299"/>
      <c r="X405" s="298"/>
      <c r="Y405" s="299"/>
      <c r="Z405" s="298"/>
      <c r="AA405" s="312"/>
      <c r="AB405" s="298"/>
      <c r="AC405" s="299"/>
      <c r="AD405" s="298"/>
      <c r="AE405" s="299"/>
      <c r="AF405" s="298"/>
      <c r="AG405" s="299"/>
      <c r="AH405" s="298"/>
    </row>
    <row r="406">
      <c r="A406" s="298"/>
      <c r="B406" s="299"/>
      <c r="C406" s="298"/>
      <c r="D406" s="299"/>
      <c r="E406" s="298"/>
      <c r="F406" s="299"/>
      <c r="G406" s="298"/>
      <c r="H406" s="299"/>
      <c r="I406" s="299"/>
      <c r="J406" s="298"/>
      <c r="K406" s="299"/>
      <c r="L406" s="298"/>
      <c r="M406" s="299"/>
      <c r="N406" s="298"/>
      <c r="O406" s="299"/>
      <c r="P406" s="298"/>
      <c r="Q406" s="299"/>
      <c r="R406" s="298"/>
      <c r="S406" s="299"/>
      <c r="T406" s="298"/>
      <c r="U406" s="309"/>
      <c r="V406" s="298"/>
      <c r="W406" s="299"/>
      <c r="X406" s="298"/>
      <c r="Y406" s="299"/>
      <c r="Z406" s="298"/>
      <c r="AA406" s="312"/>
      <c r="AB406" s="298"/>
      <c r="AC406" s="299"/>
      <c r="AD406" s="298"/>
      <c r="AE406" s="299"/>
      <c r="AF406" s="298"/>
      <c r="AG406" s="299"/>
      <c r="AH406" s="298"/>
    </row>
    <row r="407">
      <c r="A407" s="298"/>
      <c r="B407" s="299"/>
      <c r="C407" s="298"/>
      <c r="D407" s="299"/>
      <c r="E407" s="298"/>
      <c r="F407" s="299"/>
      <c r="G407" s="298"/>
      <c r="H407" s="299"/>
      <c r="I407" s="299"/>
      <c r="J407" s="298"/>
      <c r="K407" s="299"/>
      <c r="L407" s="298"/>
      <c r="M407" s="299"/>
      <c r="N407" s="298"/>
      <c r="O407" s="299"/>
      <c r="P407" s="298"/>
      <c r="Q407" s="299"/>
      <c r="R407" s="298"/>
      <c r="S407" s="299"/>
      <c r="T407" s="298"/>
      <c r="U407" s="309"/>
      <c r="V407" s="298"/>
      <c r="W407" s="299"/>
      <c r="X407" s="298"/>
      <c r="Y407" s="299"/>
      <c r="Z407" s="298"/>
      <c r="AA407" s="312"/>
      <c r="AB407" s="298"/>
      <c r="AC407" s="299"/>
      <c r="AD407" s="298"/>
      <c r="AE407" s="299"/>
      <c r="AF407" s="298"/>
      <c r="AG407" s="299"/>
      <c r="AH407" s="298"/>
    </row>
    <row r="408">
      <c r="A408" s="298"/>
      <c r="B408" s="299"/>
      <c r="C408" s="298"/>
      <c r="D408" s="299"/>
      <c r="E408" s="298"/>
      <c r="F408" s="299"/>
      <c r="G408" s="298"/>
      <c r="H408" s="299"/>
      <c r="I408" s="299"/>
      <c r="J408" s="298"/>
      <c r="K408" s="299"/>
      <c r="L408" s="298"/>
      <c r="M408" s="299"/>
      <c r="N408" s="298"/>
      <c r="O408" s="299"/>
      <c r="P408" s="298"/>
      <c r="Q408" s="299"/>
      <c r="R408" s="298"/>
      <c r="S408" s="299"/>
      <c r="T408" s="298"/>
      <c r="U408" s="309"/>
      <c r="V408" s="298"/>
      <c r="W408" s="299"/>
      <c r="X408" s="298"/>
      <c r="Y408" s="299"/>
      <c r="Z408" s="298"/>
      <c r="AA408" s="312"/>
      <c r="AB408" s="298"/>
      <c r="AC408" s="299"/>
      <c r="AD408" s="298"/>
      <c r="AE408" s="299"/>
      <c r="AF408" s="298"/>
      <c r="AG408" s="299"/>
      <c r="AH408" s="298"/>
    </row>
    <row r="409">
      <c r="A409" s="298"/>
      <c r="B409" s="299"/>
      <c r="C409" s="298"/>
      <c r="D409" s="299"/>
      <c r="E409" s="298"/>
      <c r="F409" s="299"/>
      <c r="G409" s="298"/>
      <c r="H409" s="299"/>
      <c r="I409" s="299"/>
      <c r="J409" s="298"/>
      <c r="K409" s="299"/>
      <c r="L409" s="298"/>
      <c r="M409" s="299"/>
      <c r="N409" s="298"/>
      <c r="O409" s="299"/>
      <c r="P409" s="298"/>
      <c r="Q409" s="299"/>
      <c r="R409" s="298"/>
      <c r="S409" s="299"/>
      <c r="T409" s="298"/>
      <c r="U409" s="309"/>
      <c r="V409" s="298"/>
      <c r="W409" s="299"/>
      <c r="X409" s="298"/>
      <c r="Y409" s="299"/>
      <c r="Z409" s="298"/>
      <c r="AA409" s="312"/>
      <c r="AB409" s="298"/>
      <c r="AC409" s="299"/>
      <c r="AD409" s="298"/>
      <c r="AE409" s="299"/>
      <c r="AF409" s="298"/>
      <c r="AG409" s="299"/>
      <c r="AH409" s="298"/>
    </row>
    <row r="410">
      <c r="A410" s="298"/>
      <c r="B410" s="299"/>
      <c r="C410" s="298"/>
      <c r="D410" s="299"/>
      <c r="E410" s="298"/>
      <c r="F410" s="299"/>
      <c r="G410" s="298"/>
      <c r="H410" s="299"/>
      <c r="I410" s="299"/>
      <c r="J410" s="298"/>
      <c r="K410" s="299"/>
      <c r="L410" s="298"/>
      <c r="M410" s="299"/>
      <c r="N410" s="298"/>
      <c r="O410" s="299"/>
      <c r="P410" s="298"/>
      <c r="Q410" s="299"/>
      <c r="R410" s="298"/>
      <c r="S410" s="299"/>
      <c r="T410" s="298"/>
      <c r="U410" s="309"/>
      <c r="V410" s="298"/>
      <c r="W410" s="299"/>
      <c r="X410" s="298"/>
      <c r="Y410" s="299"/>
      <c r="Z410" s="298"/>
      <c r="AA410" s="312"/>
      <c r="AB410" s="298"/>
      <c r="AC410" s="299"/>
      <c r="AD410" s="298"/>
      <c r="AE410" s="299"/>
      <c r="AF410" s="298"/>
      <c r="AG410" s="299"/>
      <c r="AH410" s="298"/>
    </row>
    <row r="411">
      <c r="A411" s="298"/>
      <c r="B411" s="299"/>
      <c r="C411" s="298"/>
      <c r="D411" s="299"/>
      <c r="E411" s="298"/>
      <c r="F411" s="299"/>
      <c r="G411" s="298"/>
      <c r="H411" s="299"/>
      <c r="I411" s="299"/>
      <c r="J411" s="298"/>
      <c r="K411" s="299"/>
      <c r="L411" s="298"/>
      <c r="M411" s="299"/>
      <c r="N411" s="298"/>
      <c r="O411" s="299"/>
      <c r="P411" s="298"/>
      <c r="Q411" s="299"/>
      <c r="R411" s="298"/>
      <c r="S411" s="299"/>
      <c r="T411" s="298"/>
      <c r="U411" s="309"/>
      <c r="V411" s="298"/>
      <c r="W411" s="299"/>
      <c r="X411" s="298"/>
      <c r="Y411" s="299"/>
      <c r="Z411" s="298"/>
      <c r="AA411" s="312"/>
      <c r="AB411" s="298"/>
      <c r="AC411" s="299"/>
      <c r="AD411" s="298"/>
      <c r="AE411" s="299"/>
      <c r="AF411" s="298"/>
      <c r="AG411" s="299"/>
      <c r="AH411" s="298"/>
    </row>
    <row r="412">
      <c r="A412" s="298"/>
      <c r="B412" s="299"/>
      <c r="C412" s="298"/>
      <c r="D412" s="299"/>
      <c r="E412" s="298"/>
      <c r="F412" s="299"/>
      <c r="G412" s="298"/>
      <c r="H412" s="299"/>
      <c r="I412" s="299"/>
      <c r="J412" s="298"/>
      <c r="K412" s="299"/>
      <c r="L412" s="298"/>
      <c r="M412" s="299"/>
      <c r="N412" s="298"/>
      <c r="O412" s="299"/>
      <c r="P412" s="298"/>
      <c r="Q412" s="299"/>
      <c r="R412" s="298"/>
      <c r="S412" s="299"/>
      <c r="T412" s="298"/>
      <c r="U412" s="309"/>
      <c r="V412" s="298"/>
      <c r="W412" s="299"/>
      <c r="X412" s="298"/>
      <c r="Y412" s="299"/>
      <c r="Z412" s="298"/>
      <c r="AA412" s="312"/>
      <c r="AB412" s="298"/>
      <c r="AC412" s="299"/>
      <c r="AD412" s="298"/>
      <c r="AE412" s="299"/>
      <c r="AF412" s="298"/>
      <c r="AG412" s="299"/>
      <c r="AH412" s="298"/>
    </row>
    <row r="413">
      <c r="A413" s="298"/>
      <c r="B413" s="299"/>
      <c r="C413" s="298"/>
      <c r="D413" s="299"/>
      <c r="E413" s="298"/>
      <c r="F413" s="299"/>
      <c r="G413" s="298"/>
      <c r="H413" s="299"/>
      <c r="I413" s="299"/>
      <c r="J413" s="298"/>
      <c r="K413" s="299"/>
      <c r="L413" s="298"/>
      <c r="M413" s="299"/>
      <c r="N413" s="298"/>
      <c r="O413" s="299"/>
      <c r="P413" s="298"/>
      <c r="Q413" s="299"/>
      <c r="R413" s="298"/>
      <c r="S413" s="299"/>
      <c r="T413" s="298"/>
      <c r="U413" s="309"/>
      <c r="V413" s="298"/>
      <c r="W413" s="299"/>
      <c r="X413" s="298"/>
      <c r="Y413" s="299"/>
      <c r="Z413" s="298"/>
      <c r="AA413" s="312"/>
      <c r="AB413" s="298"/>
      <c r="AC413" s="299"/>
      <c r="AD413" s="298"/>
      <c r="AE413" s="299"/>
      <c r="AF413" s="298"/>
      <c r="AG413" s="299"/>
      <c r="AH413" s="298"/>
    </row>
    <row r="414">
      <c r="A414" s="298"/>
      <c r="B414" s="299"/>
      <c r="C414" s="298"/>
      <c r="D414" s="299"/>
      <c r="E414" s="298"/>
      <c r="F414" s="299"/>
      <c r="G414" s="298"/>
      <c r="H414" s="299"/>
      <c r="I414" s="299"/>
      <c r="J414" s="298"/>
      <c r="K414" s="299"/>
      <c r="L414" s="298"/>
      <c r="M414" s="299"/>
      <c r="N414" s="298"/>
      <c r="O414" s="299"/>
      <c r="P414" s="298"/>
      <c r="Q414" s="299"/>
      <c r="R414" s="298"/>
      <c r="S414" s="299"/>
      <c r="T414" s="298"/>
      <c r="U414" s="309"/>
      <c r="V414" s="298"/>
      <c r="W414" s="299"/>
      <c r="X414" s="298"/>
      <c r="Y414" s="299"/>
      <c r="Z414" s="298"/>
      <c r="AA414" s="312"/>
      <c r="AB414" s="298"/>
      <c r="AC414" s="299"/>
      <c r="AD414" s="298"/>
      <c r="AE414" s="299"/>
      <c r="AF414" s="298"/>
      <c r="AG414" s="299"/>
      <c r="AH414" s="298"/>
    </row>
    <row r="415">
      <c r="A415" s="298"/>
      <c r="B415" s="299"/>
      <c r="C415" s="298"/>
      <c r="D415" s="299"/>
      <c r="E415" s="298"/>
      <c r="F415" s="299"/>
      <c r="G415" s="298"/>
      <c r="H415" s="299"/>
      <c r="I415" s="299"/>
      <c r="J415" s="298"/>
      <c r="K415" s="299"/>
      <c r="L415" s="298"/>
      <c r="M415" s="299"/>
      <c r="N415" s="298"/>
      <c r="O415" s="299"/>
      <c r="P415" s="298"/>
      <c r="Q415" s="299"/>
      <c r="R415" s="298"/>
      <c r="S415" s="299"/>
      <c r="T415" s="298"/>
      <c r="U415" s="309"/>
      <c r="V415" s="298"/>
      <c r="W415" s="299"/>
      <c r="X415" s="298"/>
      <c r="Y415" s="299"/>
      <c r="Z415" s="298"/>
      <c r="AA415" s="312"/>
      <c r="AB415" s="298"/>
      <c r="AC415" s="299"/>
      <c r="AD415" s="298"/>
      <c r="AE415" s="299"/>
      <c r="AF415" s="298"/>
      <c r="AG415" s="299"/>
      <c r="AH415" s="298"/>
    </row>
    <row r="416">
      <c r="A416" s="298"/>
      <c r="B416" s="299"/>
      <c r="C416" s="298"/>
      <c r="D416" s="299"/>
      <c r="E416" s="298"/>
      <c r="F416" s="299"/>
      <c r="G416" s="298"/>
      <c r="H416" s="299"/>
      <c r="I416" s="299"/>
      <c r="J416" s="298"/>
      <c r="K416" s="299"/>
      <c r="L416" s="298"/>
      <c r="M416" s="299"/>
      <c r="N416" s="298"/>
      <c r="O416" s="299"/>
      <c r="P416" s="298"/>
      <c r="Q416" s="299"/>
      <c r="R416" s="298"/>
      <c r="S416" s="299"/>
      <c r="T416" s="298"/>
      <c r="U416" s="309"/>
      <c r="V416" s="298"/>
      <c r="W416" s="299"/>
      <c r="X416" s="298"/>
      <c r="Y416" s="299"/>
      <c r="Z416" s="298"/>
      <c r="AA416" s="312"/>
      <c r="AB416" s="298"/>
      <c r="AC416" s="299"/>
      <c r="AD416" s="298"/>
      <c r="AE416" s="299"/>
      <c r="AF416" s="298"/>
      <c r="AG416" s="299"/>
      <c r="AH416" s="298"/>
    </row>
    <row r="417">
      <c r="A417" s="298"/>
      <c r="B417" s="299"/>
      <c r="C417" s="298"/>
      <c r="D417" s="299"/>
      <c r="E417" s="298"/>
      <c r="F417" s="299"/>
      <c r="G417" s="298"/>
      <c r="H417" s="299"/>
      <c r="I417" s="299"/>
      <c r="J417" s="298"/>
      <c r="K417" s="299"/>
      <c r="L417" s="298"/>
      <c r="M417" s="299"/>
      <c r="N417" s="298"/>
      <c r="O417" s="299"/>
      <c r="P417" s="298"/>
      <c r="Q417" s="299"/>
      <c r="R417" s="298"/>
      <c r="S417" s="299"/>
      <c r="T417" s="298"/>
      <c r="U417" s="309"/>
      <c r="V417" s="298"/>
      <c r="W417" s="299"/>
      <c r="X417" s="298"/>
      <c r="Y417" s="299"/>
      <c r="Z417" s="298"/>
      <c r="AA417" s="312"/>
      <c r="AB417" s="298"/>
      <c r="AC417" s="299"/>
      <c r="AD417" s="298"/>
      <c r="AE417" s="299"/>
      <c r="AF417" s="298"/>
      <c r="AG417" s="299"/>
      <c r="AH417" s="298"/>
    </row>
    <row r="418">
      <c r="A418" s="298"/>
      <c r="B418" s="299"/>
      <c r="C418" s="298"/>
      <c r="D418" s="299"/>
      <c r="E418" s="298"/>
      <c r="F418" s="299"/>
      <c r="G418" s="298"/>
      <c r="H418" s="299"/>
      <c r="I418" s="299"/>
      <c r="J418" s="298"/>
      <c r="K418" s="299"/>
      <c r="L418" s="298"/>
      <c r="M418" s="299"/>
      <c r="N418" s="298"/>
      <c r="O418" s="299"/>
      <c r="P418" s="298"/>
      <c r="Q418" s="299"/>
      <c r="R418" s="298"/>
      <c r="S418" s="299"/>
      <c r="T418" s="298"/>
      <c r="U418" s="309"/>
      <c r="V418" s="298"/>
      <c r="W418" s="299"/>
      <c r="X418" s="298"/>
      <c r="Y418" s="299"/>
      <c r="Z418" s="298"/>
      <c r="AA418" s="312"/>
      <c r="AB418" s="298"/>
      <c r="AC418" s="299"/>
      <c r="AD418" s="298"/>
      <c r="AE418" s="299"/>
      <c r="AF418" s="298"/>
      <c r="AG418" s="299"/>
      <c r="AH418" s="298"/>
    </row>
    <row r="419">
      <c r="A419" s="298"/>
      <c r="B419" s="299"/>
      <c r="C419" s="298"/>
      <c r="D419" s="299"/>
      <c r="E419" s="298"/>
      <c r="F419" s="299"/>
      <c r="G419" s="298"/>
      <c r="H419" s="299"/>
      <c r="I419" s="299"/>
      <c r="J419" s="298"/>
      <c r="K419" s="299"/>
      <c r="L419" s="298"/>
      <c r="M419" s="299"/>
      <c r="N419" s="298"/>
      <c r="O419" s="299"/>
      <c r="P419" s="298"/>
      <c r="Q419" s="299"/>
      <c r="R419" s="298"/>
      <c r="S419" s="299"/>
      <c r="T419" s="298"/>
      <c r="U419" s="309"/>
      <c r="V419" s="298"/>
      <c r="W419" s="299"/>
      <c r="X419" s="298"/>
      <c r="Y419" s="299"/>
      <c r="Z419" s="298"/>
      <c r="AA419" s="312"/>
      <c r="AB419" s="298"/>
      <c r="AC419" s="299"/>
      <c r="AD419" s="298"/>
      <c r="AE419" s="299"/>
      <c r="AF419" s="298"/>
      <c r="AG419" s="299"/>
      <c r="AH419" s="298"/>
    </row>
    <row r="420">
      <c r="A420" s="298"/>
      <c r="B420" s="299"/>
      <c r="C420" s="298"/>
      <c r="D420" s="299"/>
      <c r="E420" s="298"/>
      <c r="F420" s="299"/>
      <c r="G420" s="298"/>
      <c r="H420" s="299"/>
      <c r="I420" s="299"/>
      <c r="J420" s="298"/>
      <c r="K420" s="299"/>
      <c r="L420" s="298"/>
      <c r="M420" s="299"/>
      <c r="N420" s="298"/>
      <c r="O420" s="299"/>
      <c r="P420" s="298"/>
      <c r="Q420" s="299"/>
      <c r="R420" s="298"/>
      <c r="S420" s="299"/>
      <c r="T420" s="298"/>
      <c r="U420" s="309"/>
      <c r="V420" s="298"/>
      <c r="W420" s="299"/>
      <c r="X420" s="298"/>
      <c r="Y420" s="299"/>
      <c r="Z420" s="298"/>
      <c r="AA420" s="312"/>
      <c r="AB420" s="298"/>
      <c r="AC420" s="299"/>
      <c r="AD420" s="298"/>
      <c r="AE420" s="299"/>
      <c r="AF420" s="298"/>
      <c r="AG420" s="299"/>
      <c r="AH420" s="298"/>
    </row>
    <row r="421">
      <c r="A421" s="298"/>
      <c r="B421" s="299"/>
      <c r="C421" s="298"/>
      <c r="D421" s="299"/>
      <c r="E421" s="298"/>
      <c r="F421" s="299"/>
      <c r="G421" s="298"/>
      <c r="H421" s="299"/>
      <c r="I421" s="299"/>
      <c r="J421" s="298"/>
      <c r="K421" s="299"/>
      <c r="L421" s="298"/>
      <c r="M421" s="299"/>
      <c r="N421" s="298"/>
      <c r="O421" s="299"/>
      <c r="P421" s="298"/>
      <c r="Q421" s="299"/>
      <c r="R421" s="298"/>
      <c r="S421" s="299"/>
      <c r="T421" s="298"/>
      <c r="U421" s="309"/>
      <c r="V421" s="298"/>
      <c r="W421" s="299"/>
      <c r="X421" s="298"/>
      <c r="Y421" s="299"/>
      <c r="Z421" s="298"/>
      <c r="AA421" s="312"/>
      <c r="AB421" s="298"/>
      <c r="AC421" s="299"/>
      <c r="AD421" s="298"/>
      <c r="AE421" s="299"/>
      <c r="AF421" s="298"/>
      <c r="AG421" s="299"/>
      <c r="AH421" s="298"/>
    </row>
    <row r="422">
      <c r="A422" s="298"/>
      <c r="B422" s="299"/>
      <c r="C422" s="298"/>
      <c r="D422" s="299"/>
      <c r="E422" s="298"/>
      <c r="F422" s="299"/>
      <c r="G422" s="298"/>
      <c r="H422" s="299"/>
      <c r="I422" s="299"/>
      <c r="J422" s="298"/>
      <c r="K422" s="299"/>
      <c r="L422" s="298"/>
      <c r="M422" s="299"/>
      <c r="N422" s="298"/>
      <c r="O422" s="299"/>
      <c r="P422" s="298"/>
      <c r="Q422" s="299"/>
      <c r="R422" s="298"/>
      <c r="S422" s="299"/>
      <c r="T422" s="298"/>
      <c r="U422" s="309"/>
      <c r="V422" s="298"/>
      <c r="W422" s="299"/>
      <c r="X422" s="298"/>
      <c r="Y422" s="299"/>
      <c r="Z422" s="298"/>
      <c r="AA422" s="312"/>
      <c r="AB422" s="298"/>
      <c r="AC422" s="299"/>
      <c r="AD422" s="298"/>
      <c r="AE422" s="299"/>
      <c r="AF422" s="298"/>
      <c r="AG422" s="299"/>
      <c r="AH422" s="298"/>
    </row>
    <row r="423">
      <c r="A423" s="298"/>
      <c r="B423" s="299"/>
      <c r="C423" s="298"/>
      <c r="D423" s="299"/>
      <c r="E423" s="298"/>
      <c r="F423" s="299"/>
      <c r="G423" s="298"/>
      <c r="H423" s="299"/>
      <c r="I423" s="299"/>
      <c r="J423" s="298"/>
      <c r="K423" s="299"/>
      <c r="L423" s="298"/>
      <c r="M423" s="299"/>
      <c r="N423" s="298"/>
      <c r="O423" s="299"/>
      <c r="P423" s="298"/>
      <c r="Q423" s="299"/>
      <c r="R423" s="298"/>
      <c r="S423" s="299"/>
      <c r="T423" s="298"/>
      <c r="U423" s="309"/>
      <c r="V423" s="298"/>
      <c r="W423" s="299"/>
      <c r="X423" s="298"/>
      <c r="Y423" s="299"/>
      <c r="Z423" s="298"/>
      <c r="AA423" s="312"/>
      <c r="AB423" s="298"/>
      <c r="AC423" s="299"/>
      <c r="AD423" s="298"/>
      <c r="AE423" s="299"/>
      <c r="AF423" s="298"/>
      <c r="AG423" s="299"/>
      <c r="AH423" s="298"/>
    </row>
    <row r="424">
      <c r="A424" s="298"/>
      <c r="B424" s="299"/>
      <c r="C424" s="298"/>
      <c r="D424" s="299"/>
      <c r="E424" s="298"/>
      <c r="F424" s="299"/>
      <c r="G424" s="298"/>
      <c r="H424" s="299"/>
      <c r="I424" s="299"/>
      <c r="J424" s="298"/>
      <c r="K424" s="299"/>
      <c r="L424" s="298"/>
      <c r="M424" s="299"/>
      <c r="N424" s="298"/>
      <c r="O424" s="299"/>
      <c r="P424" s="298"/>
      <c r="Q424" s="299"/>
      <c r="R424" s="298"/>
      <c r="S424" s="299"/>
      <c r="T424" s="298"/>
      <c r="U424" s="309"/>
      <c r="V424" s="298"/>
      <c r="W424" s="299"/>
      <c r="X424" s="298"/>
      <c r="Y424" s="299"/>
      <c r="Z424" s="298"/>
      <c r="AA424" s="312"/>
      <c r="AB424" s="298"/>
      <c r="AC424" s="299"/>
      <c r="AD424" s="298"/>
      <c r="AE424" s="299"/>
      <c r="AF424" s="298"/>
      <c r="AG424" s="299"/>
      <c r="AH424" s="298"/>
    </row>
    <row r="425">
      <c r="A425" s="298"/>
      <c r="B425" s="299"/>
      <c r="C425" s="298"/>
      <c r="D425" s="299"/>
      <c r="E425" s="298"/>
      <c r="F425" s="299"/>
      <c r="G425" s="298"/>
      <c r="H425" s="299"/>
      <c r="I425" s="299"/>
      <c r="J425" s="298"/>
      <c r="K425" s="299"/>
      <c r="L425" s="298"/>
      <c r="M425" s="299"/>
      <c r="N425" s="298"/>
      <c r="O425" s="299"/>
      <c r="P425" s="298"/>
      <c r="Q425" s="299"/>
      <c r="R425" s="298"/>
      <c r="S425" s="299"/>
      <c r="T425" s="298"/>
      <c r="U425" s="309"/>
      <c r="V425" s="298"/>
      <c r="W425" s="299"/>
      <c r="X425" s="298"/>
      <c r="Y425" s="299"/>
      <c r="Z425" s="298"/>
      <c r="AA425" s="312"/>
      <c r="AB425" s="298"/>
      <c r="AC425" s="299"/>
      <c r="AD425" s="298"/>
      <c r="AE425" s="299"/>
      <c r="AF425" s="298"/>
      <c r="AG425" s="299"/>
      <c r="AH425" s="298"/>
    </row>
    <row r="426">
      <c r="A426" s="298"/>
      <c r="B426" s="299"/>
      <c r="C426" s="298"/>
      <c r="D426" s="299"/>
      <c r="E426" s="298"/>
      <c r="F426" s="299"/>
      <c r="G426" s="298"/>
      <c r="H426" s="299"/>
      <c r="I426" s="299"/>
      <c r="J426" s="298"/>
      <c r="K426" s="299"/>
      <c r="L426" s="298"/>
      <c r="M426" s="299"/>
      <c r="N426" s="298"/>
      <c r="O426" s="299"/>
      <c r="P426" s="298"/>
      <c r="Q426" s="299"/>
      <c r="R426" s="298"/>
      <c r="S426" s="299"/>
      <c r="T426" s="298"/>
      <c r="U426" s="309"/>
      <c r="V426" s="298"/>
      <c r="W426" s="299"/>
      <c r="X426" s="298"/>
      <c r="Y426" s="299"/>
      <c r="Z426" s="298"/>
      <c r="AA426" s="312"/>
      <c r="AB426" s="298"/>
      <c r="AC426" s="299"/>
      <c r="AD426" s="298"/>
      <c r="AE426" s="299"/>
      <c r="AF426" s="298"/>
      <c r="AG426" s="299"/>
      <c r="AH426" s="298"/>
    </row>
    <row r="427">
      <c r="A427" s="298"/>
      <c r="B427" s="299"/>
      <c r="C427" s="298"/>
      <c r="D427" s="299"/>
      <c r="E427" s="298"/>
      <c r="F427" s="299"/>
      <c r="G427" s="298"/>
      <c r="H427" s="299"/>
      <c r="I427" s="299"/>
      <c r="J427" s="298"/>
      <c r="K427" s="299"/>
      <c r="L427" s="298"/>
      <c r="M427" s="299"/>
      <c r="N427" s="298"/>
      <c r="O427" s="299"/>
      <c r="P427" s="298"/>
      <c r="Q427" s="299"/>
      <c r="R427" s="298"/>
      <c r="S427" s="299"/>
      <c r="T427" s="298"/>
      <c r="U427" s="309"/>
      <c r="V427" s="298"/>
      <c r="W427" s="299"/>
      <c r="X427" s="298"/>
      <c r="Y427" s="299"/>
      <c r="Z427" s="298"/>
      <c r="AA427" s="312"/>
      <c r="AB427" s="298"/>
      <c r="AC427" s="299"/>
      <c r="AD427" s="298"/>
      <c r="AE427" s="299"/>
      <c r="AF427" s="298"/>
      <c r="AG427" s="299"/>
      <c r="AH427" s="298"/>
    </row>
    <row r="428">
      <c r="A428" s="298"/>
      <c r="B428" s="299"/>
      <c r="C428" s="298"/>
      <c r="D428" s="299"/>
      <c r="E428" s="298"/>
      <c r="F428" s="299"/>
      <c r="G428" s="298"/>
      <c r="H428" s="299"/>
      <c r="I428" s="299"/>
      <c r="J428" s="298"/>
      <c r="K428" s="299"/>
      <c r="L428" s="298"/>
      <c r="M428" s="299"/>
      <c r="N428" s="298"/>
      <c r="O428" s="299"/>
      <c r="P428" s="298"/>
      <c r="Q428" s="299"/>
      <c r="R428" s="298"/>
      <c r="S428" s="299"/>
      <c r="T428" s="298"/>
      <c r="U428" s="309"/>
      <c r="V428" s="298"/>
      <c r="W428" s="299"/>
      <c r="X428" s="298"/>
      <c r="Y428" s="299"/>
      <c r="Z428" s="298"/>
      <c r="AA428" s="312"/>
      <c r="AB428" s="298"/>
      <c r="AC428" s="299"/>
      <c r="AD428" s="298"/>
      <c r="AE428" s="299"/>
      <c r="AF428" s="298"/>
      <c r="AG428" s="299"/>
      <c r="AH428" s="298"/>
    </row>
    <row r="429">
      <c r="A429" s="298"/>
      <c r="B429" s="299"/>
      <c r="C429" s="298"/>
      <c r="D429" s="299"/>
      <c r="E429" s="298"/>
      <c r="F429" s="299"/>
      <c r="G429" s="298"/>
      <c r="H429" s="299"/>
      <c r="I429" s="299"/>
      <c r="J429" s="298"/>
      <c r="K429" s="299"/>
      <c r="L429" s="298"/>
      <c r="M429" s="299"/>
      <c r="N429" s="298"/>
      <c r="O429" s="299"/>
      <c r="P429" s="298"/>
      <c r="Q429" s="299"/>
      <c r="R429" s="298"/>
      <c r="S429" s="299"/>
      <c r="T429" s="298"/>
      <c r="U429" s="309"/>
      <c r="V429" s="298"/>
      <c r="W429" s="299"/>
      <c r="X429" s="298"/>
      <c r="Y429" s="299"/>
      <c r="Z429" s="298"/>
      <c r="AA429" s="312"/>
      <c r="AB429" s="298"/>
      <c r="AC429" s="299"/>
      <c r="AD429" s="298"/>
      <c r="AE429" s="299"/>
      <c r="AF429" s="298"/>
      <c r="AG429" s="299"/>
      <c r="AH429" s="298"/>
    </row>
    <row r="430">
      <c r="A430" s="298"/>
      <c r="B430" s="299"/>
      <c r="C430" s="298"/>
      <c r="D430" s="299"/>
      <c r="E430" s="298"/>
      <c r="F430" s="299"/>
      <c r="G430" s="298"/>
      <c r="H430" s="299"/>
      <c r="I430" s="299"/>
      <c r="J430" s="298"/>
      <c r="K430" s="299"/>
      <c r="L430" s="298"/>
      <c r="M430" s="299"/>
      <c r="N430" s="298"/>
      <c r="O430" s="299"/>
      <c r="P430" s="298"/>
      <c r="Q430" s="299"/>
      <c r="R430" s="298"/>
      <c r="S430" s="299"/>
      <c r="T430" s="298"/>
      <c r="U430" s="309"/>
      <c r="V430" s="298"/>
      <c r="W430" s="299"/>
      <c r="X430" s="298"/>
      <c r="Y430" s="299"/>
      <c r="Z430" s="298"/>
      <c r="AA430" s="312"/>
      <c r="AB430" s="298"/>
      <c r="AC430" s="299"/>
      <c r="AD430" s="298"/>
      <c r="AE430" s="299"/>
      <c r="AF430" s="298"/>
      <c r="AG430" s="299"/>
      <c r="AH430" s="298"/>
    </row>
    <row r="431">
      <c r="A431" s="298"/>
      <c r="B431" s="299"/>
      <c r="C431" s="298"/>
      <c r="D431" s="299"/>
      <c r="E431" s="298"/>
      <c r="F431" s="299"/>
      <c r="G431" s="298"/>
      <c r="H431" s="299"/>
      <c r="I431" s="299"/>
      <c r="J431" s="298"/>
      <c r="K431" s="299"/>
      <c r="L431" s="298"/>
      <c r="M431" s="299"/>
      <c r="N431" s="298"/>
      <c r="O431" s="299"/>
      <c r="P431" s="298"/>
      <c r="Q431" s="299"/>
      <c r="R431" s="298"/>
      <c r="S431" s="299"/>
      <c r="T431" s="298"/>
      <c r="U431" s="309"/>
      <c r="V431" s="298"/>
      <c r="W431" s="299"/>
      <c r="X431" s="298"/>
      <c r="Y431" s="299"/>
      <c r="Z431" s="298"/>
      <c r="AA431" s="312"/>
      <c r="AB431" s="298"/>
      <c r="AC431" s="299"/>
      <c r="AD431" s="298"/>
      <c r="AE431" s="299"/>
      <c r="AF431" s="298"/>
      <c r="AG431" s="299"/>
      <c r="AH431" s="298"/>
    </row>
    <row r="432">
      <c r="A432" s="298"/>
      <c r="B432" s="299"/>
      <c r="C432" s="298"/>
      <c r="D432" s="299"/>
      <c r="E432" s="298"/>
      <c r="F432" s="299"/>
      <c r="G432" s="298"/>
      <c r="H432" s="299"/>
      <c r="I432" s="299"/>
      <c r="J432" s="298"/>
      <c r="K432" s="299"/>
      <c r="L432" s="298"/>
      <c r="M432" s="299"/>
      <c r="N432" s="298"/>
      <c r="O432" s="299"/>
      <c r="P432" s="298"/>
      <c r="Q432" s="299"/>
      <c r="R432" s="298"/>
      <c r="S432" s="299"/>
      <c r="T432" s="298"/>
      <c r="U432" s="309"/>
      <c r="V432" s="298"/>
      <c r="W432" s="299"/>
      <c r="X432" s="298"/>
      <c r="Y432" s="299"/>
      <c r="Z432" s="298"/>
      <c r="AA432" s="312"/>
      <c r="AB432" s="298"/>
      <c r="AC432" s="299"/>
      <c r="AD432" s="298"/>
      <c r="AE432" s="299"/>
      <c r="AF432" s="298"/>
      <c r="AG432" s="299"/>
      <c r="AH432" s="298"/>
    </row>
    <row r="433">
      <c r="A433" s="298"/>
      <c r="B433" s="299"/>
      <c r="C433" s="298"/>
      <c r="D433" s="299"/>
      <c r="E433" s="298"/>
      <c r="F433" s="299"/>
      <c r="G433" s="298"/>
      <c r="H433" s="299"/>
      <c r="I433" s="299"/>
      <c r="J433" s="298"/>
      <c r="K433" s="299"/>
      <c r="L433" s="298"/>
      <c r="M433" s="299"/>
      <c r="N433" s="298"/>
      <c r="O433" s="299"/>
      <c r="P433" s="298"/>
      <c r="Q433" s="299"/>
      <c r="R433" s="298"/>
      <c r="S433" s="299"/>
      <c r="T433" s="298"/>
      <c r="U433" s="309"/>
      <c r="V433" s="298"/>
      <c r="W433" s="299"/>
      <c r="X433" s="298"/>
      <c r="Y433" s="299"/>
      <c r="Z433" s="298"/>
      <c r="AA433" s="312"/>
      <c r="AB433" s="298"/>
      <c r="AC433" s="299"/>
      <c r="AD433" s="298"/>
      <c r="AE433" s="299"/>
      <c r="AF433" s="298"/>
      <c r="AG433" s="299"/>
      <c r="AH433" s="298"/>
    </row>
    <row r="434">
      <c r="A434" s="298"/>
      <c r="B434" s="299"/>
      <c r="C434" s="298"/>
      <c r="D434" s="299"/>
      <c r="E434" s="298"/>
      <c r="F434" s="299"/>
      <c r="G434" s="298"/>
      <c r="H434" s="299"/>
      <c r="I434" s="299"/>
      <c r="J434" s="298"/>
      <c r="K434" s="299"/>
      <c r="L434" s="298"/>
      <c r="M434" s="299"/>
      <c r="N434" s="298"/>
      <c r="O434" s="299"/>
      <c r="P434" s="298"/>
      <c r="Q434" s="299"/>
      <c r="R434" s="298"/>
      <c r="S434" s="299"/>
      <c r="T434" s="298"/>
      <c r="U434" s="309"/>
      <c r="V434" s="298"/>
      <c r="W434" s="299"/>
      <c r="X434" s="298"/>
      <c r="Y434" s="299"/>
      <c r="Z434" s="298"/>
      <c r="AA434" s="312"/>
      <c r="AB434" s="298"/>
      <c r="AC434" s="299"/>
      <c r="AD434" s="298"/>
      <c r="AE434" s="299"/>
      <c r="AF434" s="298"/>
      <c r="AG434" s="299"/>
      <c r="AH434" s="298"/>
    </row>
    <row r="435">
      <c r="A435" s="298"/>
      <c r="B435" s="299"/>
      <c r="C435" s="298"/>
      <c r="D435" s="299"/>
      <c r="E435" s="298"/>
      <c r="F435" s="299"/>
      <c r="G435" s="298"/>
      <c r="H435" s="299"/>
      <c r="I435" s="299"/>
      <c r="J435" s="298"/>
      <c r="K435" s="299"/>
      <c r="L435" s="298"/>
      <c r="M435" s="299"/>
      <c r="N435" s="298"/>
      <c r="O435" s="299"/>
      <c r="P435" s="298"/>
      <c r="Q435" s="299"/>
      <c r="R435" s="298"/>
      <c r="S435" s="299"/>
      <c r="T435" s="298"/>
      <c r="U435" s="309"/>
      <c r="V435" s="298"/>
      <c r="W435" s="299"/>
      <c r="X435" s="298"/>
      <c r="Y435" s="299"/>
      <c r="Z435" s="298"/>
      <c r="AA435" s="312"/>
      <c r="AB435" s="298"/>
      <c r="AC435" s="299"/>
      <c r="AD435" s="298"/>
      <c r="AE435" s="299"/>
      <c r="AF435" s="298"/>
      <c r="AG435" s="299"/>
      <c r="AH435" s="298"/>
    </row>
    <row r="436">
      <c r="A436" s="298"/>
      <c r="B436" s="299"/>
      <c r="C436" s="298"/>
      <c r="D436" s="299"/>
      <c r="E436" s="298"/>
      <c r="F436" s="299"/>
      <c r="G436" s="298"/>
      <c r="H436" s="299"/>
      <c r="I436" s="299"/>
      <c r="J436" s="298"/>
      <c r="K436" s="299"/>
      <c r="L436" s="298"/>
      <c r="M436" s="299"/>
      <c r="N436" s="298"/>
      <c r="O436" s="299"/>
      <c r="P436" s="298"/>
      <c r="Q436" s="299"/>
      <c r="R436" s="298"/>
      <c r="S436" s="299"/>
      <c r="T436" s="298"/>
      <c r="U436" s="309"/>
      <c r="V436" s="298"/>
      <c r="W436" s="299"/>
      <c r="X436" s="298"/>
      <c r="Y436" s="299"/>
      <c r="Z436" s="298"/>
      <c r="AA436" s="312"/>
      <c r="AB436" s="298"/>
      <c r="AC436" s="299"/>
      <c r="AD436" s="298"/>
      <c r="AE436" s="299"/>
      <c r="AF436" s="298"/>
      <c r="AG436" s="299"/>
      <c r="AH436" s="298"/>
    </row>
    <row r="437">
      <c r="A437" s="298"/>
      <c r="B437" s="299"/>
      <c r="C437" s="298"/>
      <c r="D437" s="299"/>
      <c r="E437" s="298"/>
      <c r="F437" s="299"/>
      <c r="G437" s="298"/>
      <c r="H437" s="299"/>
      <c r="I437" s="299"/>
      <c r="J437" s="298"/>
      <c r="K437" s="299"/>
      <c r="L437" s="298"/>
      <c r="M437" s="299"/>
      <c r="N437" s="298"/>
      <c r="O437" s="299"/>
      <c r="P437" s="298"/>
      <c r="Q437" s="299"/>
      <c r="R437" s="298"/>
      <c r="S437" s="299"/>
      <c r="T437" s="298"/>
      <c r="U437" s="309"/>
      <c r="V437" s="298"/>
      <c r="W437" s="299"/>
      <c r="X437" s="298"/>
      <c r="Y437" s="299"/>
      <c r="Z437" s="298"/>
      <c r="AA437" s="312"/>
      <c r="AB437" s="298"/>
      <c r="AC437" s="299"/>
      <c r="AD437" s="298"/>
      <c r="AE437" s="299"/>
      <c r="AF437" s="298"/>
      <c r="AG437" s="299"/>
      <c r="AH437" s="298"/>
    </row>
    <row r="438">
      <c r="A438" s="298"/>
      <c r="B438" s="299"/>
      <c r="C438" s="298"/>
      <c r="D438" s="299"/>
      <c r="E438" s="298"/>
      <c r="F438" s="299"/>
      <c r="G438" s="298"/>
      <c r="H438" s="299"/>
      <c r="I438" s="299"/>
      <c r="J438" s="298"/>
      <c r="K438" s="299"/>
      <c r="L438" s="298"/>
      <c r="M438" s="299"/>
      <c r="N438" s="298"/>
      <c r="O438" s="299"/>
      <c r="P438" s="298"/>
      <c r="Q438" s="299"/>
      <c r="R438" s="298"/>
      <c r="S438" s="299"/>
      <c r="T438" s="298"/>
      <c r="U438" s="309"/>
      <c r="V438" s="298"/>
      <c r="W438" s="299"/>
      <c r="X438" s="298"/>
      <c r="Y438" s="299"/>
      <c r="Z438" s="298"/>
      <c r="AA438" s="312"/>
      <c r="AB438" s="298"/>
      <c r="AC438" s="299"/>
      <c r="AD438" s="298"/>
      <c r="AE438" s="299"/>
      <c r="AF438" s="298"/>
      <c r="AG438" s="299"/>
      <c r="AH438" s="298"/>
    </row>
    <row r="439">
      <c r="A439" s="298"/>
      <c r="B439" s="299"/>
      <c r="C439" s="298"/>
      <c r="D439" s="299"/>
      <c r="E439" s="298"/>
      <c r="F439" s="299"/>
      <c r="G439" s="298"/>
      <c r="H439" s="299"/>
      <c r="I439" s="299"/>
      <c r="J439" s="298"/>
      <c r="K439" s="299"/>
      <c r="L439" s="298"/>
      <c r="M439" s="299"/>
      <c r="N439" s="298"/>
      <c r="O439" s="299"/>
      <c r="P439" s="298"/>
      <c r="Q439" s="299"/>
      <c r="R439" s="298"/>
      <c r="S439" s="299"/>
      <c r="T439" s="298"/>
      <c r="U439" s="309"/>
      <c r="V439" s="298"/>
      <c r="W439" s="299"/>
      <c r="X439" s="298"/>
      <c r="Y439" s="299"/>
      <c r="Z439" s="298"/>
      <c r="AA439" s="312"/>
      <c r="AB439" s="298"/>
      <c r="AC439" s="299"/>
      <c r="AD439" s="298"/>
      <c r="AE439" s="299"/>
      <c r="AF439" s="298"/>
      <c r="AG439" s="299"/>
      <c r="AH439" s="298"/>
    </row>
    <row r="440">
      <c r="A440" s="298"/>
      <c r="B440" s="299"/>
      <c r="C440" s="298"/>
      <c r="D440" s="299"/>
      <c r="E440" s="298"/>
      <c r="F440" s="299"/>
      <c r="G440" s="298"/>
      <c r="H440" s="299"/>
      <c r="I440" s="299"/>
      <c r="J440" s="298"/>
      <c r="K440" s="299"/>
      <c r="L440" s="298"/>
      <c r="M440" s="299"/>
      <c r="N440" s="298"/>
      <c r="O440" s="299"/>
      <c r="P440" s="298"/>
      <c r="Q440" s="299"/>
      <c r="R440" s="298"/>
      <c r="S440" s="299"/>
      <c r="T440" s="298"/>
      <c r="U440" s="309"/>
      <c r="V440" s="298"/>
      <c r="W440" s="299"/>
      <c r="X440" s="298"/>
      <c r="Y440" s="299"/>
      <c r="Z440" s="298"/>
      <c r="AA440" s="312"/>
      <c r="AB440" s="298"/>
      <c r="AC440" s="299"/>
      <c r="AD440" s="298"/>
      <c r="AE440" s="299"/>
      <c r="AF440" s="298"/>
      <c r="AG440" s="299"/>
      <c r="AH440" s="298"/>
    </row>
    <row r="441">
      <c r="A441" s="298"/>
      <c r="B441" s="299"/>
      <c r="C441" s="298"/>
      <c r="D441" s="299"/>
      <c r="E441" s="298"/>
      <c r="F441" s="299"/>
      <c r="G441" s="298"/>
      <c r="H441" s="299"/>
      <c r="I441" s="299"/>
      <c r="J441" s="298"/>
      <c r="K441" s="299"/>
      <c r="L441" s="298"/>
      <c r="M441" s="299"/>
      <c r="N441" s="298"/>
      <c r="O441" s="299"/>
      <c r="P441" s="298"/>
      <c r="Q441" s="299"/>
      <c r="R441" s="298"/>
      <c r="S441" s="299"/>
      <c r="T441" s="298"/>
      <c r="U441" s="309"/>
      <c r="V441" s="298"/>
      <c r="W441" s="299"/>
      <c r="X441" s="298"/>
      <c r="Y441" s="299"/>
      <c r="Z441" s="298"/>
      <c r="AA441" s="312"/>
      <c r="AB441" s="298"/>
      <c r="AC441" s="299"/>
      <c r="AD441" s="298"/>
      <c r="AE441" s="299"/>
      <c r="AF441" s="298"/>
      <c r="AG441" s="299"/>
      <c r="AH441" s="298"/>
    </row>
    <row r="442">
      <c r="A442" s="298"/>
      <c r="B442" s="299"/>
      <c r="C442" s="298"/>
      <c r="D442" s="299"/>
      <c r="E442" s="298"/>
      <c r="F442" s="299"/>
      <c r="G442" s="298"/>
      <c r="H442" s="299"/>
      <c r="I442" s="299"/>
      <c r="J442" s="298"/>
      <c r="K442" s="299"/>
      <c r="L442" s="298"/>
      <c r="M442" s="299"/>
      <c r="N442" s="298"/>
      <c r="O442" s="299"/>
      <c r="P442" s="298"/>
      <c r="Q442" s="299"/>
      <c r="R442" s="298"/>
      <c r="S442" s="299"/>
      <c r="T442" s="298"/>
      <c r="U442" s="309"/>
      <c r="V442" s="298"/>
      <c r="W442" s="299"/>
      <c r="X442" s="298"/>
      <c r="Y442" s="299"/>
      <c r="Z442" s="298"/>
      <c r="AA442" s="312"/>
      <c r="AB442" s="298"/>
      <c r="AC442" s="299"/>
      <c r="AD442" s="298"/>
      <c r="AE442" s="299"/>
      <c r="AF442" s="298"/>
      <c r="AG442" s="299"/>
      <c r="AH442" s="298"/>
    </row>
    <row r="443">
      <c r="A443" s="298"/>
      <c r="B443" s="299"/>
      <c r="C443" s="298"/>
      <c r="D443" s="299"/>
      <c r="E443" s="298"/>
      <c r="F443" s="299"/>
      <c r="G443" s="298"/>
      <c r="H443" s="299"/>
      <c r="I443" s="299"/>
      <c r="J443" s="298"/>
      <c r="K443" s="299"/>
      <c r="L443" s="298"/>
      <c r="M443" s="299"/>
      <c r="N443" s="298"/>
      <c r="O443" s="299"/>
      <c r="P443" s="298"/>
      <c r="Q443" s="299"/>
      <c r="R443" s="298"/>
      <c r="S443" s="299"/>
      <c r="T443" s="298"/>
      <c r="U443" s="309"/>
      <c r="V443" s="298"/>
      <c r="W443" s="299"/>
      <c r="X443" s="298"/>
      <c r="Y443" s="299"/>
      <c r="Z443" s="298"/>
      <c r="AA443" s="312"/>
      <c r="AB443" s="298"/>
      <c r="AC443" s="299"/>
      <c r="AD443" s="298"/>
      <c r="AE443" s="299"/>
      <c r="AF443" s="298"/>
      <c r="AG443" s="299"/>
      <c r="AH443" s="298"/>
    </row>
    <row r="444">
      <c r="A444" s="298"/>
      <c r="B444" s="299"/>
      <c r="C444" s="298"/>
      <c r="D444" s="299"/>
      <c r="E444" s="298"/>
      <c r="F444" s="299"/>
      <c r="G444" s="298"/>
      <c r="H444" s="299"/>
      <c r="I444" s="299"/>
      <c r="J444" s="298"/>
      <c r="K444" s="299"/>
      <c r="L444" s="298"/>
      <c r="M444" s="299"/>
      <c r="N444" s="298"/>
      <c r="O444" s="299"/>
      <c r="P444" s="298"/>
      <c r="Q444" s="299"/>
      <c r="R444" s="298"/>
      <c r="S444" s="299"/>
      <c r="T444" s="298"/>
      <c r="U444" s="309"/>
      <c r="V444" s="298"/>
      <c r="W444" s="299"/>
      <c r="X444" s="298"/>
      <c r="Y444" s="299"/>
      <c r="Z444" s="298"/>
      <c r="AA444" s="312"/>
      <c r="AB444" s="298"/>
      <c r="AC444" s="299"/>
      <c r="AD444" s="298"/>
      <c r="AE444" s="299"/>
      <c r="AF444" s="298"/>
      <c r="AG444" s="299"/>
      <c r="AH444" s="298"/>
    </row>
    <row r="445">
      <c r="A445" s="298"/>
      <c r="B445" s="299"/>
      <c r="C445" s="298"/>
      <c r="D445" s="299"/>
      <c r="E445" s="298"/>
      <c r="F445" s="299"/>
      <c r="G445" s="298"/>
      <c r="H445" s="299"/>
      <c r="I445" s="299"/>
      <c r="J445" s="298"/>
      <c r="K445" s="299"/>
      <c r="L445" s="298"/>
      <c r="M445" s="299"/>
      <c r="N445" s="298"/>
      <c r="O445" s="299"/>
      <c r="P445" s="298"/>
      <c r="Q445" s="299"/>
      <c r="R445" s="298"/>
      <c r="S445" s="299"/>
      <c r="T445" s="298"/>
      <c r="U445" s="309"/>
      <c r="V445" s="298"/>
      <c r="W445" s="299"/>
      <c r="X445" s="298"/>
      <c r="Y445" s="299"/>
      <c r="Z445" s="298"/>
      <c r="AA445" s="312"/>
      <c r="AB445" s="298"/>
      <c r="AC445" s="299"/>
      <c r="AD445" s="298"/>
      <c r="AE445" s="299"/>
      <c r="AF445" s="298"/>
      <c r="AG445" s="299"/>
      <c r="AH445" s="298"/>
    </row>
    <row r="446">
      <c r="A446" s="298"/>
      <c r="B446" s="299"/>
      <c r="C446" s="298"/>
      <c r="D446" s="299"/>
      <c r="E446" s="298"/>
      <c r="F446" s="299"/>
      <c r="G446" s="298"/>
      <c r="H446" s="299"/>
      <c r="I446" s="299"/>
      <c r="J446" s="298"/>
      <c r="K446" s="299"/>
      <c r="L446" s="298"/>
      <c r="M446" s="299"/>
      <c r="N446" s="298"/>
      <c r="O446" s="299"/>
      <c r="P446" s="298"/>
      <c r="Q446" s="299"/>
      <c r="R446" s="298"/>
      <c r="S446" s="299"/>
      <c r="T446" s="298"/>
      <c r="U446" s="309"/>
      <c r="V446" s="298"/>
      <c r="W446" s="299"/>
      <c r="X446" s="298"/>
      <c r="Y446" s="299"/>
      <c r="Z446" s="298"/>
      <c r="AA446" s="312"/>
      <c r="AB446" s="298"/>
      <c r="AC446" s="299"/>
      <c r="AD446" s="298"/>
      <c r="AE446" s="299"/>
      <c r="AF446" s="298"/>
      <c r="AG446" s="299"/>
      <c r="AH446" s="298"/>
    </row>
    <row r="447">
      <c r="A447" s="298"/>
      <c r="B447" s="299"/>
      <c r="C447" s="298"/>
      <c r="D447" s="299"/>
      <c r="E447" s="298"/>
      <c r="F447" s="299"/>
      <c r="G447" s="298"/>
      <c r="H447" s="299"/>
      <c r="I447" s="299"/>
      <c r="J447" s="298"/>
      <c r="K447" s="299"/>
      <c r="L447" s="298"/>
      <c r="M447" s="299"/>
      <c r="N447" s="298"/>
      <c r="O447" s="299"/>
      <c r="P447" s="298"/>
      <c r="Q447" s="299"/>
      <c r="R447" s="298"/>
      <c r="S447" s="299"/>
      <c r="T447" s="298"/>
      <c r="U447" s="309"/>
      <c r="V447" s="298"/>
      <c r="W447" s="299"/>
      <c r="X447" s="298"/>
      <c r="Y447" s="299"/>
      <c r="Z447" s="298"/>
      <c r="AA447" s="312"/>
      <c r="AB447" s="298"/>
      <c r="AC447" s="299"/>
      <c r="AD447" s="298"/>
      <c r="AE447" s="299"/>
      <c r="AF447" s="298"/>
      <c r="AG447" s="299"/>
      <c r="AH447" s="298"/>
    </row>
    <row r="448">
      <c r="A448" s="298"/>
      <c r="B448" s="299"/>
      <c r="C448" s="298"/>
      <c r="D448" s="299"/>
      <c r="E448" s="298"/>
      <c r="F448" s="299"/>
      <c r="G448" s="298"/>
      <c r="H448" s="299"/>
      <c r="I448" s="299"/>
      <c r="J448" s="298"/>
      <c r="K448" s="299"/>
      <c r="L448" s="298"/>
      <c r="M448" s="299"/>
      <c r="N448" s="298"/>
      <c r="O448" s="299"/>
      <c r="P448" s="298"/>
      <c r="Q448" s="299"/>
      <c r="R448" s="298"/>
      <c r="S448" s="299"/>
      <c r="T448" s="298"/>
      <c r="U448" s="309"/>
      <c r="V448" s="298"/>
      <c r="W448" s="299"/>
      <c r="X448" s="298"/>
      <c r="Y448" s="299"/>
      <c r="Z448" s="298"/>
      <c r="AA448" s="312"/>
      <c r="AB448" s="298"/>
      <c r="AC448" s="299"/>
      <c r="AD448" s="298"/>
      <c r="AE448" s="299"/>
      <c r="AF448" s="298"/>
      <c r="AG448" s="299"/>
      <c r="AH448" s="298"/>
    </row>
    <row r="449">
      <c r="A449" s="298"/>
      <c r="B449" s="299"/>
      <c r="C449" s="298"/>
      <c r="D449" s="299"/>
      <c r="E449" s="298"/>
      <c r="F449" s="299"/>
      <c r="G449" s="298"/>
      <c r="H449" s="299"/>
      <c r="I449" s="299"/>
      <c r="J449" s="298"/>
      <c r="K449" s="299"/>
      <c r="L449" s="298"/>
      <c r="M449" s="299"/>
      <c r="N449" s="298"/>
      <c r="O449" s="299"/>
      <c r="P449" s="298"/>
      <c r="Q449" s="299"/>
      <c r="R449" s="298"/>
      <c r="S449" s="299"/>
      <c r="T449" s="298"/>
      <c r="U449" s="309"/>
      <c r="V449" s="298"/>
      <c r="W449" s="299"/>
      <c r="X449" s="298"/>
      <c r="Y449" s="299"/>
      <c r="Z449" s="298"/>
      <c r="AA449" s="312"/>
      <c r="AB449" s="298"/>
      <c r="AC449" s="299"/>
      <c r="AD449" s="298"/>
      <c r="AE449" s="299"/>
      <c r="AF449" s="298"/>
      <c r="AG449" s="299"/>
      <c r="AH449" s="298"/>
    </row>
    <row r="450">
      <c r="A450" s="298"/>
      <c r="B450" s="299"/>
      <c r="C450" s="298"/>
      <c r="D450" s="299"/>
      <c r="E450" s="298"/>
      <c r="F450" s="299"/>
      <c r="G450" s="298"/>
      <c r="H450" s="299"/>
      <c r="I450" s="299"/>
      <c r="J450" s="298"/>
      <c r="K450" s="299"/>
      <c r="L450" s="298"/>
      <c r="M450" s="299"/>
      <c r="N450" s="298"/>
      <c r="O450" s="299"/>
      <c r="P450" s="298"/>
      <c r="Q450" s="299"/>
      <c r="R450" s="298"/>
      <c r="S450" s="299"/>
      <c r="T450" s="298"/>
      <c r="U450" s="309"/>
      <c r="V450" s="298"/>
      <c r="W450" s="299"/>
      <c r="X450" s="298"/>
      <c r="Y450" s="299"/>
      <c r="Z450" s="298"/>
      <c r="AA450" s="312"/>
      <c r="AB450" s="298"/>
      <c r="AC450" s="299"/>
      <c r="AD450" s="298"/>
      <c r="AE450" s="299"/>
      <c r="AF450" s="298"/>
      <c r="AG450" s="299"/>
      <c r="AH450" s="298"/>
    </row>
    <row r="451">
      <c r="A451" s="298"/>
      <c r="B451" s="299"/>
      <c r="C451" s="298"/>
      <c r="D451" s="299"/>
      <c r="E451" s="298"/>
      <c r="F451" s="299"/>
      <c r="G451" s="298"/>
      <c r="H451" s="299"/>
      <c r="I451" s="299"/>
      <c r="J451" s="298"/>
      <c r="K451" s="299"/>
      <c r="L451" s="298"/>
      <c r="M451" s="299"/>
      <c r="N451" s="298"/>
      <c r="O451" s="299"/>
      <c r="P451" s="298"/>
      <c r="Q451" s="299"/>
      <c r="R451" s="298"/>
      <c r="S451" s="299"/>
      <c r="T451" s="298"/>
      <c r="U451" s="309"/>
      <c r="V451" s="298"/>
      <c r="W451" s="299"/>
      <c r="X451" s="298"/>
      <c r="Y451" s="299"/>
      <c r="Z451" s="298"/>
      <c r="AA451" s="312"/>
      <c r="AB451" s="298"/>
      <c r="AC451" s="299"/>
      <c r="AD451" s="298"/>
      <c r="AE451" s="299"/>
      <c r="AF451" s="298"/>
      <c r="AG451" s="299"/>
      <c r="AH451" s="298"/>
    </row>
    <row r="452">
      <c r="A452" s="298"/>
      <c r="B452" s="299"/>
      <c r="C452" s="298"/>
      <c r="D452" s="299"/>
      <c r="E452" s="298"/>
      <c r="F452" s="299"/>
      <c r="G452" s="298"/>
      <c r="H452" s="299"/>
      <c r="I452" s="299"/>
      <c r="J452" s="298"/>
      <c r="K452" s="299"/>
      <c r="L452" s="298"/>
      <c r="M452" s="299"/>
      <c r="N452" s="298"/>
      <c r="O452" s="299"/>
      <c r="P452" s="298"/>
      <c r="Q452" s="299"/>
      <c r="R452" s="298"/>
      <c r="S452" s="299"/>
      <c r="T452" s="298"/>
      <c r="U452" s="309"/>
      <c r="V452" s="298"/>
      <c r="W452" s="299"/>
      <c r="X452" s="298"/>
      <c r="Y452" s="299"/>
      <c r="Z452" s="298"/>
      <c r="AA452" s="312"/>
      <c r="AB452" s="298"/>
      <c r="AC452" s="299"/>
      <c r="AD452" s="298"/>
      <c r="AE452" s="299"/>
      <c r="AF452" s="298"/>
      <c r="AG452" s="299"/>
      <c r="AH452" s="298"/>
    </row>
    <row r="453">
      <c r="A453" s="298"/>
      <c r="B453" s="299"/>
      <c r="C453" s="298"/>
      <c r="D453" s="299"/>
      <c r="E453" s="298"/>
      <c r="F453" s="299"/>
      <c r="G453" s="298"/>
      <c r="H453" s="299"/>
      <c r="I453" s="299"/>
      <c r="J453" s="298"/>
      <c r="K453" s="299"/>
      <c r="L453" s="298"/>
      <c r="M453" s="299"/>
      <c r="N453" s="298"/>
      <c r="O453" s="299"/>
      <c r="P453" s="298"/>
      <c r="Q453" s="299"/>
      <c r="R453" s="298"/>
      <c r="S453" s="299"/>
      <c r="T453" s="298"/>
      <c r="U453" s="309"/>
      <c r="V453" s="298"/>
      <c r="W453" s="299"/>
      <c r="X453" s="298"/>
      <c r="Y453" s="299"/>
      <c r="Z453" s="298"/>
      <c r="AA453" s="312"/>
      <c r="AB453" s="298"/>
      <c r="AC453" s="299"/>
      <c r="AD453" s="298"/>
      <c r="AE453" s="299"/>
      <c r="AF453" s="298"/>
      <c r="AG453" s="299"/>
      <c r="AH453" s="298"/>
    </row>
    <row r="454">
      <c r="A454" s="298"/>
      <c r="B454" s="299"/>
      <c r="C454" s="298"/>
      <c r="D454" s="299"/>
      <c r="E454" s="298"/>
      <c r="F454" s="299"/>
      <c r="G454" s="298"/>
      <c r="H454" s="299"/>
      <c r="I454" s="299"/>
      <c r="J454" s="298"/>
      <c r="K454" s="299"/>
      <c r="L454" s="298"/>
      <c r="M454" s="299"/>
      <c r="N454" s="298"/>
      <c r="O454" s="299"/>
      <c r="P454" s="298"/>
      <c r="Q454" s="299"/>
      <c r="R454" s="298"/>
      <c r="S454" s="299"/>
      <c r="T454" s="298"/>
      <c r="U454" s="309"/>
      <c r="V454" s="298"/>
      <c r="W454" s="299"/>
      <c r="X454" s="298"/>
      <c r="Y454" s="299"/>
      <c r="Z454" s="298"/>
      <c r="AA454" s="312"/>
      <c r="AB454" s="298"/>
      <c r="AC454" s="299"/>
      <c r="AD454" s="298"/>
      <c r="AE454" s="299"/>
      <c r="AF454" s="298"/>
      <c r="AG454" s="299"/>
      <c r="AH454" s="298"/>
    </row>
    <row r="455">
      <c r="A455" s="298"/>
      <c r="B455" s="299"/>
      <c r="C455" s="298"/>
      <c r="D455" s="299"/>
      <c r="E455" s="298"/>
      <c r="F455" s="299"/>
      <c r="G455" s="298"/>
      <c r="H455" s="299"/>
      <c r="I455" s="299"/>
      <c r="J455" s="298"/>
      <c r="K455" s="299"/>
      <c r="L455" s="298"/>
      <c r="M455" s="299"/>
      <c r="N455" s="298"/>
      <c r="O455" s="299"/>
      <c r="P455" s="298"/>
      <c r="Q455" s="299"/>
      <c r="R455" s="298"/>
      <c r="S455" s="299"/>
      <c r="T455" s="298"/>
      <c r="U455" s="309"/>
      <c r="V455" s="298"/>
      <c r="W455" s="299"/>
      <c r="X455" s="298"/>
      <c r="Y455" s="299"/>
      <c r="Z455" s="298"/>
      <c r="AA455" s="312"/>
      <c r="AB455" s="298"/>
      <c r="AC455" s="299"/>
      <c r="AD455" s="298"/>
      <c r="AE455" s="299"/>
      <c r="AF455" s="298"/>
      <c r="AG455" s="299"/>
      <c r="AH455" s="298"/>
    </row>
    <row r="456">
      <c r="A456" s="298"/>
      <c r="B456" s="299"/>
      <c r="C456" s="298"/>
      <c r="D456" s="299"/>
      <c r="E456" s="298"/>
      <c r="F456" s="299"/>
      <c r="G456" s="298"/>
      <c r="H456" s="299"/>
      <c r="I456" s="299"/>
      <c r="J456" s="298"/>
      <c r="K456" s="299"/>
      <c r="L456" s="298"/>
      <c r="M456" s="299"/>
      <c r="N456" s="298"/>
      <c r="O456" s="299"/>
      <c r="P456" s="298"/>
      <c r="Q456" s="299"/>
      <c r="R456" s="298"/>
      <c r="S456" s="299"/>
      <c r="T456" s="298"/>
      <c r="U456" s="309"/>
      <c r="V456" s="298"/>
      <c r="W456" s="299"/>
      <c r="X456" s="298"/>
      <c r="Y456" s="299"/>
      <c r="Z456" s="298"/>
      <c r="AA456" s="312"/>
      <c r="AB456" s="298"/>
      <c r="AC456" s="299"/>
      <c r="AD456" s="298"/>
      <c r="AE456" s="299"/>
      <c r="AF456" s="298"/>
      <c r="AG456" s="299"/>
      <c r="AH456" s="298"/>
    </row>
    <row r="457">
      <c r="A457" s="298"/>
      <c r="B457" s="299"/>
      <c r="C457" s="298"/>
      <c r="D457" s="299"/>
      <c r="E457" s="298"/>
      <c r="F457" s="299"/>
      <c r="G457" s="298"/>
      <c r="H457" s="299"/>
      <c r="I457" s="299"/>
      <c r="J457" s="298"/>
      <c r="K457" s="299"/>
      <c r="L457" s="298"/>
      <c r="M457" s="299"/>
      <c r="N457" s="298"/>
      <c r="O457" s="299"/>
      <c r="P457" s="298"/>
      <c r="Q457" s="299"/>
      <c r="R457" s="298"/>
      <c r="S457" s="299"/>
      <c r="T457" s="298"/>
      <c r="U457" s="309"/>
      <c r="V457" s="298"/>
      <c r="W457" s="299"/>
      <c r="X457" s="298"/>
      <c r="Y457" s="299"/>
      <c r="Z457" s="298"/>
      <c r="AA457" s="312"/>
      <c r="AB457" s="298"/>
      <c r="AC457" s="299"/>
      <c r="AD457" s="298"/>
      <c r="AE457" s="299"/>
      <c r="AF457" s="298"/>
      <c r="AG457" s="299"/>
      <c r="AH457" s="298"/>
    </row>
    <row r="458">
      <c r="A458" s="298"/>
      <c r="B458" s="299"/>
      <c r="C458" s="298"/>
      <c r="D458" s="299"/>
      <c r="E458" s="298"/>
      <c r="F458" s="299"/>
      <c r="G458" s="298"/>
      <c r="H458" s="299"/>
      <c r="I458" s="299"/>
      <c r="J458" s="298"/>
      <c r="K458" s="299"/>
      <c r="L458" s="298"/>
      <c r="M458" s="299"/>
      <c r="N458" s="298"/>
      <c r="O458" s="299"/>
      <c r="P458" s="298"/>
      <c r="Q458" s="299"/>
      <c r="R458" s="298"/>
      <c r="S458" s="299"/>
      <c r="T458" s="298"/>
      <c r="U458" s="309"/>
      <c r="V458" s="298"/>
      <c r="W458" s="299"/>
      <c r="X458" s="298"/>
      <c r="Y458" s="299"/>
      <c r="Z458" s="298"/>
      <c r="AA458" s="312"/>
      <c r="AB458" s="298"/>
      <c r="AC458" s="299"/>
      <c r="AD458" s="298"/>
      <c r="AE458" s="299"/>
      <c r="AF458" s="298"/>
      <c r="AG458" s="299"/>
      <c r="AH458" s="298"/>
    </row>
    <row r="459">
      <c r="A459" s="298"/>
      <c r="B459" s="299"/>
      <c r="C459" s="298"/>
      <c r="D459" s="299"/>
      <c r="E459" s="298"/>
      <c r="F459" s="299"/>
      <c r="G459" s="298"/>
      <c r="H459" s="299"/>
      <c r="I459" s="299"/>
      <c r="J459" s="298"/>
      <c r="K459" s="299"/>
      <c r="L459" s="298"/>
      <c r="M459" s="299"/>
      <c r="N459" s="298"/>
      <c r="O459" s="299"/>
      <c r="P459" s="298"/>
      <c r="Q459" s="299"/>
      <c r="R459" s="298"/>
      <c r="S459" s="299"/>
      <c r="T459" s="298"/>
      <c r="U459" s="309"/>
      <c r="V459" s="298"/>
      <c r="W459" s="299"/>
      <c r="X459" s="298"/>
      <c r="Y459" s="299"/>
      <c r="Z459" s="298"/>
      <c r="AA459" s="312"/>
      <c r="AB459" s="298"/>
      <c r="AC459" s="299"/>
      <c r="AD459" s="298"/>
      <c r="AE459" s="299"/>
      <c r="AF459" s="298"/>
      <c r="AG459" s="299"/>
      <c r="AH459" s="298"/>
    </row>
    <row r="460">
      <c r="A460" s="298"/>
      <c r="B460" s="299"/>
      <c r="C460" s="298"/>
      <c r="D460" s="299"/>
      <c r="E460" s="298"/>
      <c r="F460" s="299"/>
      <c r="G460" s="298"/>
      <c r="H460" s="299"/>
      <c r="I460" s="299"/>
      <c r="J460" s="298"/>
      <c r="K460" s="299"/>
      <c r="L460" s="298"/>
      <c r="M460" s="299"/>
      <c r="N460" s="298"/>
      <c r="O460" s="299"/>
      <c r="P460" s="298"/>
      <c r="Q460" s="299"/>
      <c r="R460" s="298"/>
      <c r="S460" s="299"/>
      <c r="T460" s="298"/>
      <c r="U460" s="309"/>
      <c r="V460" s="298"/>
      <c r="W460" s="299"/>
      <c r="X460" s="298"/>
      <c r="Y460" s="299"/>
      <c r="Z460" s="298"/>
      <c r="AA460" s="312"/>
      <c r="AB460" s="298"/>
      <c r="AC460" s="299"/>
      <c r="AD460" s="298"/>
      <c r="AE460" s="299"/>
      <c r="AF460" s="298"/>
      <c r="AG460" s="299"/>
      <c r="AH460" s="298"/>
    </row>
    <row r="461">
      <c r="A461" s="298"/>
      <c r="B461" s="299"/>
      <c r="C461" s="298"/>
      <c r="D461" s="299"/>
      <c r="E461" s="298"/>
      <c r="F461" s="299"/>
      <c r="G461" s="298"/>
      <c r="H461" s="299"/>
      <c r="I461" s="299"/>
      <c r="J461" s="298"/>
      <c r="K461" s="299"/>
      <c r="L461" s="298"/>
      <c r="M461" s="299"/>
      <c r="N461" s="298"/>
      <c r="O461" s="299"/>
      <c r="P461" s="298"/>
      <c r="Q461" s="299"/>
      <c r="R461" s="298"/>
      <c r="S461" s="299"/>
      <c r="T461" s="298"/>
      <c r="U461" s="309"/>
      <c r="V461" s="298"/>
      <c r="W461" s="299"/>
      <c r="X461" s="298"/>
      <c r="Y461" s="299"/>
      <c r="Z461" s="298"/>
      <c r="AA461" s="312"/>
      <c r="AB461" s="298"/>
      <c r="AC461" s="299"/>
      <c r="AD461" s="298"/>
      <c r="AE461" s="299"/>
      <c r="AF461" s="298"/>
      <c r="AG461" s="299"/>
      <c r="AH461" s="298"/>
    </row>
    <row r="462">
      <c r="A462" s="298"/>
      <c r="B462" s="299"/>
      <c r="C462" s="298"/>
      <c r="D462" s="299"/>
      <c r="E462" s="298"/>
      <c r="F462" s="299"/>
      <c r="G462" s="298"/>
      <c r="H462" s="299"/>
      <c r="I462" s="299"/>
      <c r="J462" s="298"/>
      <c r="K462" s="299"/>
      <c r="L462" s="298"/>
      <c r="M462" s="299"/>
      <c r="N462" s="298"/>
      <c r="O462" s="299"/>
      <c r="P462" s="298"/>
      <c r="Q462" s="299"/>
      <c r="R462" s="298"/>
      <c r="S462" s="299"/>
      <c r="T462" s="298"/>
      <c r="U462" s="309"/>
      <c r="V462" s="298"/>
      <c r="W462" s="299"/>
      <c r="X462" s="298"/>
      <c r="Y462" s="299"/>
      <c r="Z462" s="298"/>
      <c r="AA462" s="312"/>
      <c r="AB462" s="298"/>
      <c r="AC462" s="299"/>
      <c r="AD462" s="298"/>
      <c r="AE462" s="299"/>
      <c r="AF462" s="298"/>
      <c r="AG462" s="299"/>
      <c r="AH462" s="298"/>
    </row>
    <row r="463">
      <c r="A463" s="298"/>
      <c r="B463" s="299"/>
      <c r="C463" s="298"/>
      <c r="D463" s="299"/>
      <c r="E463" s="298"/>
      <c r="F463" s="299"/>
      <c r="G463" s="298"/>
      <c r="H463" s="299"/>
      <c r="I463" s="299"/>
      <c r="J463" s="298"/>
      <c r="K463" s="299"/>
      <c r="L463" s="298"/>
      <c r="M463" s="299"/>
      <c r="N463" s="298"/>
      <c r="O463" s="299"/>
      <c r="P463" s="298"/>
      <c r="Q463" s="299"/>
      <c r="R463" s="298"/>
      <c r="S463" s="299"/>
      <c r="T463" s="298"/>
      <c r="U463" s="309"/>
      <c r="V463" s="298"/>
      <c r="W463" s="299"/>
      <c r="X463" s="298"/>
      <c r="Y463" s="299"/>
      <c r="Z463" s="298"/>
      <c r="AA463" s="312"/>
      <c r="AB463" s="298"/>
      <c r="AC463" s="299"/>
      <c r="AD463" s="298"/>
      <c r="AE463" s="299"/>
      <c r="AF463" s="298"/>
      <c r="AG463" s="299"/>
      <c r="AH463" s="298"/>
    </row>
    <row r="464">
      <c r="A464" s="298"/>
      <c r="B464" s="299"/>
      <c r="C464" s="298"/>
      <c r="D464" s="299"/>
      <c r="E464" s="298"/>
      <c r="F464" s="299"/>
      <c r="G464" s="298"/>
      <c r="H464" s="299"/>
      <c r="I464" s="299"/>
      <c r="J464" s="298"/>
      <c r="K464" s="299"/>
      <c r="L464" s="298"/>
      <c r="M464" s="299"/>
      <c r="N464" s="298"/>
      <c r="O464" s="299"/>
      <c r="P464" s="298"/>
      <c r="Q464" s="299"/>
      <c r="R464" s="298"/>
      <c r="S464" s="299"/>
      <c r="T464" s="298"/>
      <c r="U464" s="309"/>
      <c r="V464" s="298"/>
      <c r="W464" s="299"/>
      <c r="X464" s="298"/>
      <c r="Y464" s="299"/>
      <c r="Z464" s="298"/>
      <c r="AA464" s="312"/>
      <c r="AB464" s="298"/>
      <c r="AC464" s="299"/>
      <c r="AD464" s="298"/>
      <c r="AE464" s="299"/>
      <c r="AF464" s="298"/>
      <c r="AG464" s="299"/>
      <c r="AH464" s="298"/>
    </row>
    <row r="465">
      <c r="A465" s="298"/>
      <c r="B465" s="299"/>
      <c r="C465" s="298"/>
      <c r="D465" s="299"/>
      <c r="E465" s="298"/>
      <c r="F465" s="299"/>
      <c r="G465" s="298"/>
      <c r="H465" s="299"/>
      <c r="I465" s="299"/>
      <c r="J465" s="298"/>
      <c r="K465" s="299"/>
      <c r="L465" s="298"/>
      <c r="M465" s="299"/>
      <c r="N465" s="298"/>
      <c r="O465" s="299"/>
      <c r="P465" s="298"/>
      <c r="Q465" s="299"/>
      <c r="R465" s="298"/>
      <c r="S465" s="299"/>
      <c r="T465" s="298"/>
      <c r="U465" s="309"/>
      <c r="V465" s="298"/>
      <c r="W465" s="299"/>
      <c r="X465" s="298"/>
      <c r="Y465" s="299"/>
      <c r="Z465" s="298"/>
      <c r="AA465" s="312"/>
      <c r="AB465" s="298"/>
      <c r="AC465" s="299"/>
      <c r="AD465" s="298"/>
      <c r="AE465" s="299"/>
      <c r="AF465" s="298"/>
      <c r="AG465" s="299"/>
      <c r="AH465" s="298"/>
    </row>
    <row r="466">
      <c r="A466" s="298"/>
      <c r="B466" s="299"/>
      <c r="C466" s="298"/>
      <c r="D466" s="299"/>
      <c r="E466" s="298"/>
      <c r="F466" s="299"/>
      <c r="G466" s="298"/>
      <c r="H466" s="299"/>
      <c r="I466" s="299"/>
      <c r="J466" s="298"/>
      <c r="K466" s="299"/>
      <c r="L466" s="298"/>
      <c r="M466" s="299"/>
      <c r="N466" s="298"/>
      <c r="O466" s="299"/>
      <c r="P466" s="298"/>
      <c r="Q466" s="299"/>
      <c r="R466" s="298"/>
      <c r="S466" s="299"/>
      <c r="T466" s="298"/>
      <c r="U466" s="309"/>
      <c r="V466" s="298"/>
      <c r="W466" s="299"/>
      <c r="X466" s="298"/>
      <c r="Y466" s="299"/>
      <c r="Z466" s="298"/>
      <c r="AA466" s="312"/>
      <c r="AB466" s="298"/>
      <c r="AC466" s="299"/>
      <c r="AD466" s="298"/>
      <c r="AE466" s="299"/>
      <c r="AF466" s="298"/>
      <c r="AG466" s="299"/>
      <c r="AH466" s="298"/>
    </row>
    <row r="467">
      <c r="A467" s="298"/>
      <c r="B467" s="299"/>
      <c r="C467" s="298"/>
      <c r="D467" s="299"/>
      <c r="E467" s="298"/>
      <c r="F467" s="299"/>
      <c r="G467" s="298"/>
      <c r="H467" s="299"/>
      <c r="I467" s="299"/>
      <c r="J467" s="298"/>
      <c r="K467" s="299"/>
      <c r="L467" s="298"/>
      <c r="M467" s="299"/>
      <c r="N467" s="298"/>
      <c r="O467" s="299"/>
      <c r="P467" s="298"/>
      <c r="Q467" s="299"/>
      <c r="R467" s="298"/>
      <c r="S467" s="299"/>
      <c r="T467" s="298"/>
      <c r="U467" s="309"/>
      <c r="V467" s="298"/>
      <c r="W467" s="299"/>
      <c r="X467" s="298"/>
      <c r="Y467" s="299"/>
      <c r="Z467" s="298"/>
      <c r="AA467" s="312"/>
      <c r="AB467" s="298"/>
      <c r="AC467" s="299"/>
      <c r="AD467" s="298"/>
      <c r="AE467" s="299"/>
      <c r="AF467" s="298"/>
      <c r="AG467" s="299"/>
      <c r="AH467" s="298"/>
    </row>
    <row r="468">
      <c r="A468" s="298"/>
      <c r="B468" s="299"/>
      <c r="C468" s="298"/>
      <c r="D468" s="299"/>
      <c r="E468" s="298"/>
      <c r="F468" s="299"/>
      <c r="G468" s="298"/>
      <c r="H468" s="299"/>
      <c r="I468" s="299"/>
      <c r="J468" s="298"/>
      <c r="K468" s="299"/>
      <c r="L468" s="298"/>
      <c r="M468" s="299"/>
      <c r="N468" s="298"/>
      <c r="O468" s="299"/>
      <c r="P468" s="298"/>
      <c r="Q468" s="299"/>
      <c r="R468" s="298"/>
      <c r="S468" s="299"/>
      <c r="T468" s="298"/>
      <c r="U468" s="309"/>
      <c r="V468" s="298"/>
      <c r="W468" s="299"/>
      <c r="X468" s="298"/>
      <c r="Y468" s="299"/>
      <c r="Z468" s="298"/>
      <c r="AA468" s="312"/>
      <c r="AB468" s="298"/>
      <c r="AC468" s="299"/>
      <c r="AD468" s="298"/>
      <c r="AE468" s="299"/>
      <c r="AF468" s="298"/>
      <c r="AG468" s="299"/>
      <c r="AH468" s="298"/>
    </row>
    <row r="469">
      <c r="A469" s="298"/>
      <c r="B469" s="299"/>
      <c r="C469" s="298"/>
      <c r="D469" s="299"/>
      <c r="E469" s="298"/>
      <c r="F469" s="299"/>
      <c r="G469" s="298"/>
      <c r="H469" s="299"/>
      <c r="I469" s="299"/>
      <c r="J469" s="298"/>
      <c r="K469" s="299"/>
      <c r="L469" s="298"/>
      <c r="M469" s="299"/>
      <c r="N469" s="298"/>
      <c r="O469" s="299"/>
      <c r="P469" s="298"/>
      <c r="Q469" s="299"/>
      <c r="R469" s="298"/>
      <c r="S469" s="299"/>
      <c r="T469" s="298"/>
      <c r="U469" s="309"/>
      <c r="V469" s="298"/>
      <c r="W469" s="299"/>
      <c r="X469" s="298"/>
      <c r="Y469" s="299"/>
      <c r="Z469" s="298"/>
      <c r="AA469" s="312"/>
      <c r="AB469" s="298"/>
      <c r="AC469" s="299"/>
      <c r="AD469" s="298"/>
      <c r="AE469" s="299"/>
      <c r="AF469" s="298"/>
      <c r="AG469" s="299"/>
      <c r="AH469" s="298"/>
    </row>
    <row r="470">
      <c r="A470" s="298"/>
      <c r="B470" s="299"/>
      <c r="C470" s="298"/>
      <c r="D470" s="299"/>
      <c r="E470" s="298"/>
      <c r="F470" s="299"/>
      <c r="G470" s="298"/>
      <c r="H470" s="299"/>
      <c r="I470" s="299"/>
      <c r="J470" s="298"/>
      <c r="K470" s="299"/>
      <c r="L470" s="298"/>
      <c r="M470" s="299"/>
      <c r="N470" s="298"/>
      <c r="O470" s="299"/>
      <c r="P470" s="298"/>
      <c r="Q470" s="299"/>
      <c r="R470" s="298"/>
      <c r="S470" s="299"/>
      <c r="T470" s="298"/>
      <c r="U470" s="309"/>
      <c r="V470" s="298"/>
      <c r="W470" s="299"/>
      <c r="X470" s="298"/>
      <c r="Y470" s="299"/>
      <c r="Z470" s="298"/>
      <c r="AA470" s="312"/>
      <c r="AB470" s="298"/>
      <c r="AC470" s="299"/>
      <c r="AD470" s="298"/>
      <c r="AE470" s="299"/>
      <c r="AF470" s="298"/>
      <c r="AG470" s="299"/>
      <c r="AH470" s="298"/>
    </row>
    <row r="471">
      <c r="A471" s="298"/>
      <c r="B471" s="299"/>
      <c r="C471" s="298"/>
      <c r="D471" s="299"/>
      <c r="E471" s="298"/>
      <c r="F471" s="299"/>
      <c r="G471" s="298"/>
      <c r="H471" s="299"/>
      <c r="I471" s="299"/>
      <c r="J471" s="298"/>
      <c r="K471" s="299"/>
      <c r="L471" s="298"/>
      <c r="M471" s="299"/>
      <c r="N471" s="298"/>
      <c r="O471" s="299"/>
      <c r="P471" s="298"/>
      <c r="Q471" s="299"/>
      <c r="R471" s="298"/>
      <c r="S471" s="299"/>
      <c r="T471" s="298"/>
      <c r="U471" s="309"/>
      <c r="V471" s="298"/>
      <c r="W471" s="299"/>
      <c r="X471" s="298"/>
      <c r="Y471" s="299"/>
      <c r="Z471" s="298"/>
      <c r="AA471" s="312"/>
      <c r="AB471" s="298"/>
      <c r="AC471" s="299"/>
      <c r="AD471" s="298"/>
      <c r="AE471" s="299"/>
      <c r="AF471" s="298"/>
      <c r="AG471" s="299"/>
      <c r="AH471" s="298"/>
    </row>
    <row r="472">
      <c r="A472" s="298"/>
      <c r="B472" s="299"/>
      <c r="C472" s="298"/>
      <c r="D472" s="299"/>
      <c r="E472" s="298"/>
      <c r="F472" s="299"/>
      <c r="G472" s="298"/>
      <c r="H472" s="299"/>
      <c r="I472" s="299"/>
      <c r="J472" s="298"/>
      <c r="K472" s="299"/>
      <c r="L472" s="298"/>
      <c r="M472" s="299"/>
      <c r="N472" s="298"/>
      <c r="O472" s="299"/>
      <c r="P472" s="298"/>
      <c r="Q472" s="299"/>
      <c r="R472" s="298"/>
      <c r="S472" s="299"/>
      <c r="T472" s="298"/>
      <c r="U472" s="309"/>
      <c r="V472" s="298"/>
      <c r="W472" s="299"/>
      <c r="X472" s="298"/>
      <c r="Y472" s="299"/>
      <c r="Z472" s="298"/>
      <c r="AA472" s="312"/>
      <c r="AB472" s="298"/>
      <c r="AC472" s="299"/>
      <c r="AD472" s="298"/>
      <c r="AE472" s="299"/>
      <c r="AF472" s="298"/>
      <c r="AG472" s="299"/>
      <c r="AH472" s="298"/>
    </row>
    <row r="473">
      <c r="A473" s="298"/>
      <c r="B473" s="299"/>
      <c r="C473" s="298"/>
      <c r="D473" s="299"/>
      <c r="E473" s="298"/>
      <c r="F473" s="299"/>
      <c r="G473" s="298"/>
      <c r="H473" s="299"/>
      <c r="I473" s="299"/>
      <c r="J473" s="298"/>
      <c r="K473" s="299"/>
      <c r="L473" s="298"/>
      <c r="M473" s="299"/>
      <c r="N473" s="298"/>
      <c r="O473" s="299"/>
      <c r="P473" s="298"/>
      <c r="Q473" s="299"/>
      <c r="R473" s="298"/>
      <c r="S473" s="299"/>
      <c r="T473" s="298"/>
      <c r="U473" s="309"/>
      <c r="V473" s="298"/>
      <c r="W473" s="299"/>
      <c r="X473" s="298"/>
      <c r="Y473" s="299"/>
      <c r="Z473" s="298"/>
      <c r="AA473" s="312"/>
      <c r="AB473" s="298"/>
      <c r="AC473" s="299"/>
      <c r="AD473" s="298"/>
      <c r="AE473" s="299"/>
      <c r="AF473" s="298"/>
      <c r="AG473" s="299"/>
      <c r="AH473" s="298"/>
    </row>
    <row r="474">
      <c r="A474" s="298"/>
      <c r="B474" s="299"/>
      <c r="C474" s="298"/>
      <c r="D474" s="299"/>
      <c r="E474" s="298"/>
      <c r="F474" s="299"/>
      <c r="G474" s="298"/>
      <c r="H474" s="299"/>
      <c r="I474" s="299"/>
      <c r="J474" s="298"/>
      <c r="K474" s="299"/>
      <c r="L474" s="298"/>
      <c r="M474" s="299"/>
      <c r="N474" s="298"/>
      <c r="O474" s="299"/>
      <c r="P474" s="298"/>
      <c r="Q474" s="299"/>
      <c r="R474" s="298"/>
      <c r="S474" s="299"/>
      <c r="T474" s="298"/>
      <c r="U474" s="309"/>
      <c r="V474" s="298"/>
      <c r="W474" s="299"/>
      <c r="X474" s="298"/>
      <c r="Y474" s="299"/>
      <c r="Z474" s="298"/>
      <c r="AA474" s="312"/>
      <c r="AB474" s="298"/>
      <c r="AC474" s="299"/>
      <c r="AD474" s="298"/>
      <c r="AE474" s="299"/>
      <c r="AF474" s="298"/>
      <c r="AG474" s="299"/>
      <c r="AH474" s="298"/>
    </row>
    <row r="475">
      <c r="A475" s="298"/>
      <c r="B475" s="299"/>
      <c r="C475" s="298"/>
      <c r="D475" s="299"/>
      <c r="E475" s="298"/>
      <c r="F475" s="299"/>
      <c r="G475" s="298"/>
      <c r="H475" s="299"/>
      <c r="I475" s="299"/>
      <c r="J475" s="298"/>
      <c r="K475" s="299"/>
      <c r="L475" s="298"/>
      <c r="M475" s="299"/>
      <c r="N475" s="298"/>
      <c r="O475" s="299"/>
      <c r="P475" s="298"/>
      <c r="Q475" s="299"/>
      <c r="R475" s="298"/>
      <c r="S475" s="299"/>
      <c r="T475" s="298"/>
      <c r="U475" s="309"/>
      <c r="V475" s="298"/>
      <c r="W475" s="299"/>
      <c r="X475" s="298"/>
      <c r="Y475" s="299"/>
      <c r="Z475" s="298"/>
      <c r="AA475" s="312"/>
      <c r="AB475" s="298"/>
      <c r="AC475" s="299"/>
      <c r="AD475" s="298"/>
      <c r="AE475" s="299"/>
      <c r="AF475" s="298"/>
      <c r="AG475" s="299"/>
      <c r="AH475" s="298"/>
    </row>
    <row r="476">
      <c r="A476" s="298"/>
      <c r="B476" s="299"/>
      <c r="C476" s="298"/>
      <c r="D476" s="299"/>
      <c r="E476" s="298"/>
      <c r="F476" s="299"/>
      <c r="G476" s="298"/>
      <c r="H476" s="299"/>
      <c r="I476" s="299"/>
      <c r="J476" s="298"/>
      <c r="K476" s="299"/>
      <c r="L476" s="298"/>
      <c r="M476" s="299"/>
      <c r="N476" s="298"/>
      <c r="O476" s="299"/>
      <c r="P476" s="298"/>
      <c r="Q476" s="299"/>
      <c r="R476" s="298"/>
      <c r="S476" s="299"/>
      <c r="T476" s="298"/>
      <c r="U476" s="309"/>
      <c r="V476" s="298"/>
      <c r="W476" s="299"/>
      <c r="X476" s="298"/>
      <c r="Y476" s="299"/>
      <c r="Z476" s="298"/>
      <c r="AA476" s="312"/>
      <c r="AB476" s="298"/>
      <c r="AC476" s="299"/>
      <c r="AD476" s="298"/>
      <c r="AE476" s="299"/>
      <c r="AF476" s="298"/>
      <c r="AG476" s="299"/>
      <c r="AH476" s="298"/>
    </row>
    <row r="477">
      <c r="A477" s="298"/>
      <c r="B477" s="299"/>
      <c r="C477" s="298"/>
      <c r="D477" s="299"/>
      <c r="E477" s="298"/>
      <c r="F477" s="299"/>
      <c r="G477" s="298"/>
      <c r="H477" s="299"/>
      <c r="I477" s="299"/>
      <c r="J477" s="298"/>
      <c r="K477" s="299"/>
      <c r="L477" s="298"/>
      <c r="M477" s="299"/>
      <c r="N477" s="298"/>
      <c r="O477" s="299"/>
      <c r="P477" s="298"/>
      <c r="Q477" s="299"/>
      <c r="R477" s="298"/>
      <c r="S477" s="299"/>
      <c r="T477" s="298"/>
      <c r="U477" s="309"/>
      <c r="V477" s="298"/>
      <c r="W477" s="299"/>
      <c r="X477" s="298"/>
      <c r="Y477" s="299"/>
      <c r="Z477" s="298"/>
      <c r="AA477" s="312"/>
      <c r="AB477" s="298"/>
      <c r="AC477" s="299"/>
      <c r="AD477" s="298"/>
      <c r="AE477" s="299"/>
      <c r="AF477" s="298"/>
      <c r="AG477" s="299"/>
      <c r="AH477" s="298"/>
    </row>
    <row r="478">
      <c r="A478" s="298"/>
      <c r="B478" s="299"/>
      <c r="C478" s="298"/>
      <c r="D478" s="299"/>
      <c r="E478" s="298"/>
      <c r="F478" s="299"/>
      <c r="G478" s="298"/>
      <c r="H478" s="299"/>
      <c r="I478" s="299"/>
      <c r="J478" s="298"/>
      <c r="K478" s="299"/>
      <c r="L478" s="298"/>
      <c r="M478" s="299"/>
      <c r="N478" s="298"/>
      <c r="O478" s="299"/>
      <c r="P478" s="298"/>
      <c r="Q478" s="299"/>
      <c r="R478" s="298"/>
      <c r="S478" s="299"/>
      <c r="T478" s="298"/>
      <c r="U478" s="309"/>
      <c r="V478" s="298"/>
      <c r="W478" s="299"/>
      <c r="X478" s="298"/>
      <c r="Y478" s="299"/>
      <c r="Z478" s="298"/>
      <c r="AA478" s="312"/>
      <c r="AB478" s="298"/>
      <c r="AC478" s="299"/>
      <c r="AD478" s="298"/>
      <c r="AE478" s="299"/>
      <c r="AF478" s="298"/>
      <c r="AG478" s="299"/>
      <c r="AH478" s="298"/>
    </row>
    <row r="479">
      <c r="A479" s="298"/>
      <c r="B479" s="299"/>
      <c r="C479" s="298"/>
      <c r="D479" s="299"/>
      <c r="E479" s="298"/>
      <c r="F479" s="299"/>
      <c r="G479" s="298"/>
      <c r="H479" s="299"/>
      <c r="I479" s="299"/>
      <c r="J479" s="298"/>
      <c r="K479" s="299"/>
      <c r="L479" s="298"/>
      <c r="M479" s="299"/>
      <c r="N479" s="298"/>
      <c r="O479" s="299"/>
      <c r="P479" s="298"/>
      <c r="Q479" s="299"/>
      <c r="R479" s="298"/>
      <c r="S479" s="299"/>
      <c r="T479" s="298"/>
      <c r="U479" s="309"/>
      <c r="V479" s="298"/>
      <c r="W479" s="299"/>
      <c r="X479" s="298"/>
      <c r="Y479" s="299"/>
      <c r="Z479" s="298"/>
      <c r="AA479" s="312"/>
      <c r="AB479" s="298"/>
      <c r="AC479" s="299"/>
      <c r="AD479" s="298"/>
      <c r="AE479" s="299"/>
      <c r="AF479" s="298"/>
      <c r="AG479" s="299"/>
      <c r="AH479" s="298"/>
    </row>
    <row r="480">
      <c r="A480" s="298"/>
      <c r="B480" s="299"/>
      <c r="C480" s="298"/>
      <c r="D480" s="299"/>
      <c r="E480" s="298"/>
      <c r="F480" s="299"/>
      <c r="G480" s="298"/>
      <c r="H480" s="299"/>
      <c r="I480" s="299"/>
      <c r="J480" s="298"/>
      <c r="K480" s="299"/>
      <c r="L480" s="298"/>
      <c r="M480" s="299"/>
      <c r="N480" s="298"/>
      <c r="O480" s="299"/>
      <c r="P480" s="298"/>
      <c r="Q480" s="299"/>
      <c r="R480" s="298"/>
      <c r="S480" s="299"/>
      <c r="T480" s="298"/>
      <c r="U480" s="309"/>
      <c r="V480" s="298"/>
      <c r="W480" s="299"/>
      <c r="X480" s="298"/>
      <c r="Y480" s="299"/>
      <c r="Z480" s="298"/>
      <c r="AA480" s="312"/>
      <c r="AB480" s="298"/>
      <c r="AC480" s="299"/>
      <c r="AD480" s="298"/>
      <c r="AE480" s="299"/>
      <c r="AF480" s="298"/>
      <c r="AG480" s="299"/>
      <c r="AH480" s="298"/>
    </row>
    <row r="481">
      <c r="A481" s="298"/>
      <c r="B481" s="299"/>
      <c r="C481" s="298"/>
      <c r="D481" s="299"/>
      <c r="E481" s="298"/>
      <c r="F481" s="299"/>
      <c r="G481" s="298"/>
      <c r="H481" s="299"/>
      <c r="I481" s="299"/>
      <c r="J481" s="298"/>
      <c r="K481" s="299"/>
      <c r="L481" s="298"/>
      <c r="M481" s="299"/>
      <c r="N481" s="298"/>
      <c r="O481" s="299"/>
      <c r="P481" s="298"/>
      <c r="Q481" s="299"/>
      <c r="R481" s="298"/>
      <c r="S481" s="299"/>
      <c r="T481" s="298"/>
      <c r="U481" s="309"/>
      <c r="V481" s="298"/>
      <c r="W481" s="299"/>
      <c r="X481" s="298"/>
      <c r="Y481" s="299"/>
      <c r="Z481" s="298"/>
      <c r="AA481" s="312"/>
      <c r="AB481" s="298"/>
      <c r="AC481" s="299"/>
      <c r="AD481" s="298"/>
      <c r="AE481" s="299"/>
      <c r="AF481" s="298"/>
      <c r="AG481" s="299"/>
      <c r="AH481" s="298"/>
    </row>
    <row r="482">
      <c r="A482" s="298"/>
      <c r="B482" s="299"/>
      <c r="C482" s="298"/>
      <c r="D482" s="299"/>
      <c r="E482" s="298"/>
      <c r="F482" s="299"/>
      <c r="G482" s="298"/>
      <c r="H482" s="299"/>
      <c r="I482" s="299"/>
      <c r="J482" s="298"/>
      <c r="K482" s="299"/>
      <c r="L482" s="298"/>
      <c r="M482" s="299"/>
      <c r="N482" s="298"/>
      <c r="O482" s="299"/>
      <c r="P482" s="298"/>
      <c r="Q482" s="299"/>
      <c r="R482" s="298"/>
      <c r="S482" s="299"/>
      <c r="T482" s="298"/>
      <c r="U482" s="309"/>
      <c r="V482" s="298"/>
      <c r="W482" s="299"/>
      <c r="X482" s="298"/>
      <c r="Y482" s="299"/>
      <c r="Z482" s="298"/>
      <c r="AA482" s="312"/>
      <c r="AB482" s="298"/>
      <c r="AC482" s="299"/>
      <c r="AD482" s="298"/>
      <c r="AE482" s="299"/>
      <c r="AF482" s="298"/>
      <c r="AG482" s="299"/>
      <c r="AH482" s="298"/>
    </row>
    <row r="483">
      <c r="A483" s="298"/>
      <c r="B483" s="299"/>
      <c r="C483" s="298"/>
      <c r="D483" s="299"/>
      <c r="E483" s="298"/>
      <c r="F483" s="299"/>
      <c r="G483" s="298"/>
      <c r="H483" s="299"/>
      <c r="I483" s="299"/>
      <c r="J483" s="298"/>
      <c r="K483" s="299"/>
      <c r="L483" s="298"/>
      <c r="M483" s="299"/>
      <c r="N483" s="298"/>
      <c r="O483" s="299"/>
      <c r="P483" s="298"/>
      <c r="Q483" s="299"/>
      <c r="R483" s="298"/>
      <c r="S483" s="299"/>
      <c r="T483" s="298"/>
      <c r="U483" s="309"/>
      <c r="V483" s="298"/>
      <c r="W483" s="299"/>
      <c r="X483" s="298"/>
      <c r="Y483" s="299"/>
      <c r="Z483" s="298"/>
      <c r="AA483" s="312"/>
      <c r="AB483" s="298"/>
      <c r="AC483" s="299"/>
      <c r="AD483" s="298"/>
      <c r="AE483" s="299"/>
      <c r="AF483" s="298"/>
      <c r="AG483" s="299"/>
      <c r="AH483" s="298"/>
    </row>
    <row r="484">
      <c r="A484" s="298"/>
      <c r="B484" s="299"/>
      <c r="C484" s="298"/>
      <c r="D484" s="299"/>
      <c r="E484" s="298"/>
      <c r="F484" s="299"/>
      <c r="G484" s="298"/>
      <c r="H484" s="299"/>
      <c r="I484" s="299"/>
      <c r="J484" s="298"/>
      <c r="K484" s="299"/>
      <c r="L484" s="298"/>
      <c r="M484" s="299"/>
      <c r="N484" s="298"/>
      <c r="O484" s="299"/>
      <c r="P484" s="298"/>
      <c r="Q484" s="299"/>
      <c r="R484" s="298"/>
      <c r="S484" s="299"/>
      <c r="T484" s="298"/>
      <c r="U484" s="309"/>
      <c r="V484" s="298"/>
      <c r="W484" s="299"/>
      <c r="X484" s="298"/>
      <c r="Y484" s="299"/>
      <c r="Z484" s="298"/>
      <c r="AA484" s="312"/>
      <c r="AB484" s="298"/>
      <c r="AC484" s="299"/>
      <c r="AD484" s="298"/>
      <c r="AE484" s="299"/>
      <c r="AF484" s="298"/>
      <c r="AG484" s="299"/>
      <c r="AH484" s="298"/>
    </row>
    <row r="485">
      <c r="A485" s="298"/>
      <c r="B485" s="299"/>
      <c r="C485" s="298"/>
      <c r="D485" s="299"/>
      <c r="E485" s="298"/>
      <c r="F485" s="299"/>
      <c r="G485" s="298"/>
      <c r="H485" s="299"/>
      <c r="I485" s="299"/>
      <c r="J485" s="298"/>
      <c r="K485" s="299"/>
      <c r="L485" s="298"/>
      <c r="M485" s="299"/>
      <c r="N485" s="298"/>
      <c r="O485" s="299"/>
      <c r="P485" s="298"/>
      <c r="Q485" s="299"/>
      <c r="R485" s="298"/>
      <c r="S485" s="299"/>
      <c r="T485" s="298"/>
      <c r="U485" s="309"/>
      <c r="V485" s="298"/>
      <c r="W485" s="299"/>
      <c r="X485" s="298"/>
      <c r="Y485" s="299"/>
      <c r="Z485" s="298"/>
      <c r="AA485" s="312"/>
      <c r="AB485" s="298"/>
      <c r="AC485" s="299"/>
      <c r="AD485" s="298"/>
      <c r="AE485" s="299"/>
      <c r="AF485" s="298"/>
      <c r="AG485" s="299"/>
      <c r="AH485" s="298"/>
    </row>
    <row r="486">
      <c r="A486" s="298"/>
      <c r="B486" s="299"/>
      <c r="C486" s="298"/>
      <c r="D486" s="299"/>
      <c r="E486" s="298"/>
      <c r="F486" s="299"/>
      <c r="G486" s="298"/>
      <c r="H486" s="299"/>
      <c r="I486" s="299"/>
      <c r="J486" s="298"/>
      <c r="K486" s="299"/>
      <c r="L486" s="298"/>
      <c r="M486" s="299"/>
      <c r="N486" s="298"/>
      <c r="O486" s="299"/>
      <c r="P486" s="298"/>
      <c r="Q486" s="299"/>
      <c r="R486" s="298"/>
      <c r="S486" s="299"/>
      <c r="T486" s="298"/>
      <c r="U486" s="309"/>
      <c r="V486" s="298"/>
      <c r="W486" s="299"/>
      <c r="X486" s="298"/>
      <c r="Y486" s="299"/>
      <c r="Z486" s="298"/>
      <c r="AA486" s="312"/>
      <c r="AB486" s="298"/>
      <c r="AC486" s="299"/>
      <c r="AD486" s="298"/>
      <c r="AE486" s="299"/>
      <c r="AF486" s="298"/>
      <c r="AG486" s="299"/>
      <c r="AH486" s="298"/>
    </row>
    <row r="487">
      <c r="A487" s="298"/>
      <c r="B487" s="299"/>
      <c r="C487" s="298"/>
      <c r="D487" s="299"/>
      <c r="E487" s="298"/>
      <c r="F487" s="299"/>
      <c r="G487" s="298"/>
      <c r="H487" s="299"/>
      <c r="I487" s="299"/>
      <c r="J487" s="298"/>
      <c r="K487" s="299"/>
      <c r="L487" s="298"/>
      <c r="M487" s="299"/>
      <c r="N487" s="298"/>
      <c r="O487" s="299"/>
      <c r="P487" s="298"/>
      <c r="Q487" s="299"/>
      <c r="R487" s="298"/>
      <c r="S487" s="299"/>
      <c r="T487" s="298"/>
      <c r="U487" s="309"/>
      <c r="V487" s="298"/>
      <c r="W487" s="299"/>
      <c r="X487" s="298"/>
      <c r="Y487" s="299"/>
      <c r="Z487" s="298"/>
      <c r="AA487" s="312"/>
      <c r="AB487" s="298"/>
      <c r="AC487" s="299"/>
      <c r="AD487" s="298"/>
      <c r="AE487" s="299"/>
      <c r="AF487" s="298"/>
      <c r="AG487" s="299"/>
      <c r="AH487" s="298"/>
    </row>
    <row r="488">
      <c r="A488" s="298"/>
      <c r="B488" s="299"/>
      <c r="C488" s="298"/>
      <c r="D488" s="299"/>
      <c r="E488" s="298"/>
      <c r="F488" s="299"/>
      <c r="G488" s="298"/>
      <c r="H488" s="299"/>
      <c r="I488" s="299"/>
      <c r="J488" s="298"/>
      <c r="K488" s="299"/>
      <c r="L488" s="298"/>
      <c r="M488" s="299"/>
      <c r="N488" s="298"/>
      <c r="O488" s="299"/>
      <c r="P488" s="298"/>
      <c r="Q488" s="299"/>
      <c r="R488" s="298"/>
      <c r="S488" s="299"/>
      <c r="T488" s="298"/>
      <c r="U488" s="309"/>
      <c r="V488" s="298"/>
      <c r="W488" s="299"/>
      <c r="X488" s="298"/>
      <c r="Y488" s="299"/>
      <c r="Z488" s="298"/>
      <c r="AA488" s="312"/>
      <c r="AB488" s="298"/>
      <c r="AC488" s="299"/>
      <c r="AD488" s="298"/>
      <c r="AE488" s="299"/>
      <c r="AF488" s="298"/>
      <c r="AG488" s="299"/>
      <c r="AH488" s="298"/>
    </row>
    <row r="489">
      <c r="A489" s="298"/>
      <c r="B489" s="299"/>
      <c r="C489" s="298"/>
      <c r="D489" s="299"/>
      <c r="E489" s="298"/>
      <c r="F489" s="299"/>
      <c r="G489" s="298"/>
      <c r="H489" s="299"/>
      <c r="I489" s="299"/>
      <c r="J489" s="298"/>
      <c r="K489" s="299"/>
      <c r="L489" s="298"/>
      <c r="M489" s="299"/>
      <c r="N489" s="298"/>
      <c r="O489" s="299"/>
      <c r="P489" s="298"/>
      <c r="Q489" s="299"/>
      <c r="R489" s="298"/>
      <c r="S489" s="299"/>
      <c r="T489" s="298"/>
      <c r="U489" s="309"/>
      <c r="V489" s="298"/>
      <c r="W489" s="299"/>
      <c r="X489" s="298"/>
      <c r="Y489" s="299"/>
      <c r="Z489" s="298"/>
      <c r="AA489" s="312"/>
      <c r="AB489" s="298"/>
      <c r="AC489" s="299"/>
      <c r="AD489" s="298"/>
      <c r="AE489" s="299"/>
      <c r="AF489" s="298"/>
      <c r="AG489" s="299"/>
      <c r="AH489" s="298"/>
    </row>
    <row r="490">
      <c r="A490" s="298"/>
      <c r="B490" s="299"/>
      <c r="C490" s="298"/>
      <c r="D490" s="299"/>
      <c r="E490" s="298"/>
      <c r="F490" s="299"/>
      <c r="G490" s="298"/>
      <c r="H490" s="299"/>
      <c r="I490" s="299"/>
      <c r="J490" s="298"/>
      <c r="K490" s="299"/>
      <c r="L490" s="298"/>
      <c r="M490" s="299"/>
      <c r="N490" s="298"/>
      <c r="O490" s="299"/>
      <c r="P490" s="298"/>
      <c r="Q490" s="299"/>
      <c r="R490" s="298"/>
      <c r="S490" s="299"/>
      <c r="T490" s="298"/>
      <c r="U490" s="309"/>
      <c r="V490" s="298"/>
      <c r="W490" s="299"/>
      <c r="X490" s="298"/>
      <c r="Y490" s="299"/>
      <c r="Z490" s="298"/>
      <c r="AA490" s="312"/>
      <c r="AB490" s="298"/>
      <c r="AC490" s="299"/>
      <c r="AD490" s="298"/>
      <c r="AE490" s="299"/>
      <c r="AF490" s="298"/>
      <c r="AG490" s="299"/>
      <c r="AH490" s="298"/>
    </row>
    <row r="491">
      <c r="A491" s="298"/>
      <c r="B491" s="299"/>
      <c r="C491" s="298"/>
      <c r="D491" s="299"/>
      <c r="E491" s="298"/>
      <c r="F491" s="299"/>
      <c r="G491" s="298"/>
      <c r="H491" s="299"/>
      <c r="I491" s="299"/>
      <c r="J491" s="298"/>
      <c r="K491" s="299"/>
      <c r="L491" s="298"/>
      <c r="M491" s="299"/>
      <c r="N491" s="298"/>
      <c r="O491" s="299"/>
      <c r="P491" s="298"/>
      <c r="Q491" s="299"/>
      <c r="R491" s="298"/>
      <c r="S491" s="299"/>
      <c r="T491" s="298"/>
      <c r="U491" s="309"/>
      <c r="V491" s="298"/>
      <c r="W491" s="299"/>
      <c r="X491" s="298"/>
      <c r="Y491" s="299"/>
      <c r="Z491" s="298"/>
      <c r="AA491" s="312"/>
      <c r="AB491" s="298"/>
      <c r="AC491" s="299"/>
      <c r="AD491" s="298"/>
      <c r="AE491" s="299"/>
      <c r="AF491" s="298"/>
      <c r="AG491" s="299"/>
      <c r="AH491" s="298"/>
    </row>
    <row r="492">
      <c r="A492" s="298"/>
      <c r="B492" s="299"/>
      <c r="C492" s="298"/>
      <c r="D492" s="299"/>
      <c r="E492" s="298"/>
      <c r="F492" s="299"/>
      <c r="G492" s="298"/>
      <c r="H492" s="299"/>
      <c r="I492" s="299"/>
      <c r="J492" s="298"/>
      <c r="K492" s="299"/>
      <c r="L492" s="298"/>
      <c r="M492" s="299"/>
      <c r="N492" s="298"/>
      <c r="O492" s="299"/>
      <c r="P492" s="298"/>
      <c r="Q492" s="299"/>
      <c r="R492" s="298"/>
      <c r="S492" s="299"/>
      <c r="T492" s="298"/>
      <c r="U492" s="309"/>
      <c r="V492" s="298"/>
      <c r="W492" s="299"/>
      <c r="X492" s="298"/>
      <c r="Y492" s="299"/>
      <c r="Z492" s="298"/>
      <c r="AA492" s="312"/>
      <c r="AB492" s="298"/>
      <c r="AC492" s="299"/>
      <c r="AD492" s="298"/>
      <c r="AE492" s="299"/>
      <c r="AF492" s="298"/>
      <c r="AG492" s="299"/>
      <c r="AH492" s="298"/>
    </row>
    <row r="493">
      <c r="A493" s="298"/>
      <c r="B493" s="299"/>
      <c r="C493" s="298"/>
      <c r="D493" s="299"/>
      <c r="E493" s="298"/>
      <c r="F493" s="299"/>
      <c r="G493" s="298"/>
      <c r="H493" s="299"/>
      <c r="I493" s="299"/>
      <c r="J493" s="298"/>
      <c r="K493" s="299"/>
      <c r="L493" s="298"/>
      <c r="M493" s="299"/>
      <c r="N493" s="298"/>
      <c r="O493" s="299"/>
      <c r="P493" s="298"/>
      <c r="Q493" s="299"/>
      <c r="R493" s="298"/>
      <c r="S493" s="299"/>
      <c r="T493" s="298"/>
      <c r="U493" s="309"/>
      <c r="V493" s="298"/>
      <c r="W493" s="299"/>
      <c r="X493" s="298"/>
      <c r="Y493" s="299"/>
      <c r="Z493" s="298"/>
      <c r="AA493" s="312"/>
      <c r="AB493" s="298"/>
      <c r="AC493" s="299"/>
      <c r="AD493" s="298"/>
      <c r="AE493" s="299"/>
      <c r="AF493" s="298"/>
      <c r="AG493" s="299"/>
      <c r="AH493" s="298"/>
    </row>
    <row r="494">
      <c r="A494" s="298"/>
      <c r="B494" s="299"/>
      <c r="C494" s="298"/>
      <c r="D494" s="299"/>
      <c r="E494" s="298"/>
      <c r="F494" s="299"/>
      <c r="G494" s="298"/>
      <c r="H494" s="299"/>
      <c r="I494" s="299"/>
      <c r="J494" s="298"/>
      <c r="K494" s="299"/>
      <c r="L494" s="298"/>
      <c r="M494" s="299"/>
      <c r="N494" s="298"/>
      <c r="O494" s="299"/>
      <c r="P494" s="298"/>
      <c r="Q494" s="299"/>
      <c r="R494" s="298"/>
      <c r="S494" s="299"/>
      <c r="T494" s="298"/>
      <c r="U494" s="309"/>
      <c r="V494" s="298"/>
      <c r="W494" s="299"/>
      <c r="X494" s="298"/>
      <c r="Y494" s="299"/>
      <c r="Z494" s="298"/>
      <c r="AA494" s="312"/>
      <c r="AB494" s="298"/>
      <c r="AC494" s="299"/>
      <c r="AD494" s="298"/>
      <c r="AE494" s="299"/>
      <c r="AF494" s="298"/>
      <c r="AG494" s="299"/>
      <c r="AH494" s="298"/>
    </row>
    <row r="495">
      <c r="A495" s="298"/>
      <c r="B495" s="299"/>
      <c r="C495" s="298"/>
      <c r="D495" s="299"/>
      <c r="E495" s="298"/>
      <c r="F495" s="299"/>
      <c r="G495" s="298"/>
      <c r="H495" s="299"/>
      <c r="I495" s="299"/>
      <c r="J495" s="298"/>
      <c r="K495" s="299"/>
      <c r="L495" s="298"/>
      <c r="M495" s="299"/>
      <c r="N495" s="298"/>
      <c r="O495" s="299"/>
      <c r="P495" s="298"/>
      <c r="Q495" s="299"/>
      <c r="R495" s="298"/>
      <c r="S495" s="299"/>
      <c r="T495" s="298"/>
      <c r="U495" s="309"/>
      <c r="V495" s="298"/>
      <c r="W495" s="299"/>
      <c r="X495" s="298"/>
      <c r="Y495" s="299"/>
      <c r="Z495" s="298"/>
      <c r="AA495" s="312"/>
      <c r="AB495" s="298"/>
      <c r="AC495" s="299"/>
      <c r="AD495" s="298"/>
      <c r="AE495" s="299"/>
      <c r="AF495" s="298"/>
      <c r="AG495" s="299"/>
      <c r="AH495" s="298"/>
    </row>
    <row r="496">
      <c r="A496" s="298"/>
      <c r="B496" s="299"/>
      <c r="C496" s="298"/>
      <c r="D496" s="299"/>
      <c r="E496" s="298"/>
      <c r="F496" s="299"/>
      <c r="G496" s="298"/>
      <c r="H496" s="299"/>
      <c r="I496" s="299"/>
      <c r="J496" s="298"/>
      <c r="K496" s="299"/>
      <c r="L496" s="298"/>
      <c r="M496" s="299"/>
      <c r="N496" s="298"/>
      <c r="O496" s="299"/>
      <c r="P496" s="298"/>
      <c r="Q496" s="299"/>
      <c r="R496" s="298"/>
      <c r="S496" s="299"/>
      <c r="T496" s="298"/>
      <c r="U496" s="309"/>
      <c r="V496" s="298"/>
      <c r="W496" s="299"/>
      <c r="X496" s="298"/>
      <c r="Y496" s="299"/>
      <c r="Z496" s="298"/>
      <c r="AA496" s="312"/>
      <c r="AB496" s="298"/>
      <c r="AC496" s="299"/>
      <c r="AD496" s="298"/>
      <c r="AE496" s="299"/>
      <c r="AF496" s="298"/>
      <c r="AG496" s="299"/>
      <c r="AH496" s="298"/>
    </row>
    <row r="497">
      <c r="A497" s="298"/>
      <c r="B497" s="299"/>
      <c r="C497" s="298"/>
      <c r="D497" s="299"/>
      <c r="E497" s="298"/>
      <c r="F497" s="299"/>
      <c r="G497" s="298"/>
      <c r="H497" s="299"/>
      <c r="I497" s="299"/>
      <c r="J497" s="298"/>
      <c r="K497" s="299"/>
      <c r="L497" s="298"/>
      <c r="M497" s="299"/>
      <c r="N497" s="298"/>
      <c r="O497" s="299"/>
      <c r="P497" s="298"/>
      <c r="Q497" s="299"/>
      <c r="R497" s="298"/>
      <c r="S497" s="299"/>
      <c r="T497" s="298"/>
      <c r="U497" s="309"/>
      <c r="V497" s="298"/>
      <c r="W497" s="299"/>
      <c r="X497" s="298"/>
      <c r="Y497" s="299"/>
      <c r="Z497" s="298"/>
      <c r="AA497" s="312"/>
      <c r="AB497" s="298"/>
      <c r="AC497" s="299"/>
      <c r="AD497" s="298"/>
      <c r="AE497" s="299"/>
      <c r="AF497" s="298"/>
      <c r="AG497" s="299"/>
      <c r="AH497" s="298"/>
    </row>
    <row r="498">
      <c r="A498" s="298"/>
      <c r="B498" s="299"/>
      <c r="C498" s="298"/>
      <c r="D498" s="299"/>
      <c r="E498" s="298"/>
      <c r="F498" s="299"/>
      <c r="G498" s="298"/>
      <c r="H498" s="299"/>
      <c r="I498" s="299"/>
      <c r="J498" s="298"/>
      <c r="K498" s="299"/>
      <c r="L498" s="298"/>
      <c r="M498" s="299"/>
      <c r="N498" s="298"/>
      <c r="O498" s="299"/>
      <c r="P498" s="298"/>
      <c r="Q498" s="299"/>
      <c r="R498" s="298"/>
      <c r="S498" s="299"/>
      <c r="T498" s="298"/>
      <c r="U498" s="309"/>
      <c r="V498" s="298"/>
      <c r="W498" s="299"/>
      <c r="X498" s="298"/>
      <c r="Y498" s="299"/>
      <c r="Z498" s="298"/>
      <c r="AA498" s="312"/>
      <c r="AB498" s="298"/>
      <c r="AC498" s="299"/>
      <c r="AD498" s="298"/>
      <c r="AE498" s="299"/>
      <c r="AF498" s="298"/>
      <c r="AG498" s="299"/>
      <c r="AH498" s="298"/>
    </row>
    <row r="499">
      <c r="A499" s="298"/>
      <c r="B499" s="299"/>
      <c r="C499" s="298"/>
      <c r="D499" s="299"/>
      <c r="E499" s="298"/>
      <c r="F499" s="299"/>
      <c r="G499" s="298"/>
      <c r="H499" s="299"/>
      <c r="I499" s="299"/>
      <c r="J499" s="298"/>
      <c r="K499" s="299"/>
      <c r="L499" s="298"/>
      <c r="M499" s="299"/>
      <c r="N499" s="298"/>
      <c r="O499" s="299"/>
      <c r="P499" s="298"/>
      <c r="Q499" s="299"/>
      <c r="R499" s="298"/>
      <c r="S499" s="299"/>
      <c r="T499" s="298"/>
      <c r="U499" s="309"/>
      <c r="V499" s="298"/>
      <c r="W499" s="299"/>
      <c r="X499" s="298"/>
      <c r="Y499" s="299"/>
      <c r="Z499" s="298"/>
      <c r="AA499" s="312"/>
      <c r="AB499" s="298"/>
      <c r="AC499" s="299"/>
      <c r="AD499" s="298"/>
      <c r="AE499" s="299"/>
      <c r="AF499" s="298"/>
      <c r="AG499" s="299"/>
      <c r="AH499" s="298"/>
    </row>
    <row r="500">
      <c r="A500" s="298"/>
      <c r="B500" s="299"/>
      <c r="C500" s="298"/>
      <c r="D500" s="299"/>
      <c r="E500" s="298"/>
      <c r="F500" s="299"/>
      <c r="G500" s="298"/>
      <c r="H500" s="299"/>
      <c r="I500" s="299"/>
      <c r="J500" s="298"/>
      <c r="K500" s="299"/>
      <c r="L500" s="298"/>
      <c r="M500" s="299"/>
      <c r="N500" s="298"/>
      <c r="O500" s="299"/>
      <c r="P500" s="298"/>
      <c r="Q500" s="299"/>
      <c r="R500" s="298"/>
      <c r="S500" s="299"/>
      <c r="T500" s="298"/>
      <c r="U500" s="309"/>
      <c r="V500" s="298"/>
      <c r="W500" s="299"/>
      <c r="X500" s="298"/>
      <c r="Y500" s="299"/>
      <c r="Z500" s="298"/>
      <c r="AA500" s="312"/>
      <c r="AB500" s="298"/>
      <c r="AC500" s="299"/>
      <c r="AD500" s="298"/>
      <c r="AE500" s="299"/>
      <c r="AF500" s="298"/>
      <c r="AG500" s="299"/>
      <c r="AH500" s="298"/>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1.0" topLeftCell="A12" activePane="bottomLeft" state="frozen"/>
      <selection activeCell="B13" sqref="B13" pane="bottomLeft"/>
    </sheetView>
  </sheetViews>
  <sheetFormatPr customHeight="1" defaultColWidth="12.63" defaultRowHeight="15.75" outlineLevelRow="1"/>
  <cols>
    <col customWidth="1" min="1" max="1" width="2.63"/>
    <col customWidth="1" min="2" max="2" width="3.25"/>
    <col customWidth="1" min="4" max="8" width="10.13"/>
    <col customWidth="1" min="9" max="9" width="2.63"/>
    <col customWidth="1" min="10" max="10" width="5.13"/>
    <col customWidth="1" min="12" max="17" width="10.13"/>
    <col customWidth="1" min="18" max="18" width="2.88"/>
    <col customWidth="1" min="19" max="19" width="5.13"/>
    <col customWidth="1" min="21" max="25" width="10.13"/>
    <col customWidth="1" min="26" max="26" width="2.63"/>
  </cols>
  <sheetData>
    <row r="1">
      <c r="A1" s="194"/>
      <c r="C1" s="252" t="s">
        <v>1701</v>
      </c>
      <c r="D1" s="253"/>
      <c r="E1" s="253"/>
      <c r="F1" s="253"/>
      <c r="G1" s="253"/>
      <c r="H1" s="253"/>
      <c r="I1" s="253"/>
      <c r="J1" s="203"/>
      <c r="K1" s="254"/>
      <c r="L1" s="253"/>
      <c r="M1" s="253"/>
      <c r="N1" s="253"/>
      <c r="O1" s="253"/>
      <c r="P1" s="253"/>
      <c r="Q1" s="253"/>
      <c r="R1" s="253"/>
      <c r="S1" s="203"/>
      <c r="T1" s="254"/>
      <c r="U1" s="253"/>
      <c r="V1" s="253"/>
      <c r="W1" s="253"/>
      <c r="X1" s="253"/>
      <c r="Y1" s="253"/>
      <c r="Z1" s="253"/>
    </row>
    <row r="2">
      <c r="A2" s="194"/>
      <c r="C2" s="255" t="s">
        <v>1702</v>
      </c>
      <c r="D2" s="253"/>
      <c r="E2" s="253"/>
      <c r="F2" s="253"/>
      <c r="G2" s="253"/>
      <c r="H2" s="253"/>
      <c r="I2" s="253"/>
      <c r="J2" s="203"/>
      <c r="K2" s="254"/>
      <c r="L2" s="253"/>
      <c r="M2" s="253"/>
      <c r="N2" s="253"/>
      <c r="O2" s="253"/>
      <c r="P2" s="253"/>
      <c r="Q2" s="253"/>
      <c r="R2" s="253"/>
      <c r="S2" s="203"/>
      <c r="T2" s="254"/>
      <c r="U2" s="253"/>
      <c r="V2" s="253"/>
      <c r="W2" s="253"/>
      <c r="X2" s="253"/>
      <c r="Y2" s="253"/>
      <c r="Z2" s="253"/>
    </row>
    <row r="3" outlineLevel="1">
      <c r="A3" s="257"/>
      <c r="B3" s="256"/>
      <c r="C3" s="257"/>
      <c r="D3" s="258"/>
      <c r="E3" s="258"/>
      <c r="F3" s="258"/>
      <c r="G3" s="258"/>
      <c r="H3" s="258"/>
      <c r="I3" s="258"/>
      <c r="J3" s="259"/>
      <c r="K3" s="260"/>
      <c r="L3" s="258"/>
      <c r="M3" s="258"/>
      <c r="N3" s="258"/>
      <c r="O3" s="258"/>
      <c r="P3" s="258"/>
      <c r="Q3" s="258"/>
      <c r="R3" s="258"/>
      <c r="S3" s="259"/>
      <c r="T3" s="260"/>
      <c r="U3" s="258"/>
      <c r="V3" s="258"/>
      <c r="W3" s="258"/>
      <c r="X3" s="258"/>
      <c r="Y3" s="258"/>
      <c r="Z3" s="258"/>
    </row>
    <row r="4" outlineLevel="1">
      <c r="A4" s="257"/>
      <c r="B4" s="256"/>
      <c r="C4" s="257" t="s">
        <v>1493</v>
      </c>
      <c r="D4" s="258"/>
      <c r="E4" s="258"/>
      <c r="F4" s="258"/>
      <c r="G4" s="258"/>
      <c r="H4" s="258"/>
      <c r="I4" s="258"/>
      <c r="J4" s="259"/>
      <c r="K4" s="260"/>
      <c r="L4" s="258"/>
      <c r="M4" s="258"/>
      <c r="N4" s="258"/>
      <c r="O4" s="258"/>
      <c r="P4" s="258"/>
      <c r="Q4" s="258"/>
      <c r="R4" s="258"/>
      <c r="S4" s="259"/>
      <c r="T4" s="260"/>
      <c r="U4" s="258"/>
      <c r="V4" s="258"/>
      <c r="W4" s="258"/>
      <c r="X4" s="258"/>
      <c r="Y4" s="258"/>
      <c r="Z4" s="258"/>
    </row>
    <row r="5" outlineLevel="1">
      <c r="A5" s="260"/>
      <c r="B5" s="261"/>
      <c r="C5" s="260" t="s">
        <v>1494</v>
      </c>
      <c r="D5" s="262">
        <v>45988.0</v>
      </c>
      <c r="E5" s="263"/>
      <c r="F5" s="258"/>
      <c r="G5" s="258"/>
      <c r="H5" s="258"/>
      <c r="I5" s="258"/>
      <c r="J5" s="259"/>
      <c r="K5" s="260"/>
      <c r="L5" s="258"/>
      <c r="M5" s="258"/>
      <c r="N5" s="258"/>
      <c r="O5" s="258"/>
      <c r="P5" s="258"/>
      <c r="Q5" s="258"/>
      <c r="R5" s="258"/>
      <c r="S5" s="259"/>
      <c r="T5" s="260"/>
      <c r="U5" s="258"/>
      <c r="V5" s="258"/>
      <c r="W5" s="258"/>
      <c r="X5" s="258"/>
      <c r="Y5" s="258"/>
      <c r="Z5" s="258"/>
    </row>
    <row r="6" outlineLevel="1">
      <c r="A6" s="260"/>
      <c r="B6" s="261"/>
      <c r="C6" s="260" t="s">
        <v>1495</v>
      </c>
      <c r="D6" s="262">
        <v>46015.0</v>
      </c>
      <c r="E6" s="263"/>
      <c r="F6" s="258"/>
      <c r="G6" s="258"/>
      <c r="H6" s="258"/>
      <c r="I6" s="258"/>
      <c r="J6" s="259"/>
      <c r="K6" s="260"/>
      <c r="L6" s="258"/>
      <c r="M6" s="258"/>
      <c r="N6" s="258"/>
      <c r="O6" s="258"/>
      <c r="P6" s="258"/>
      <c r="Q6" s="258"/>
      <c r="R6" s="258"/>
      <c r="S6" s="259"/>
      <c r="T6" s="260"/>
      <c r="U6" s="258"/>
      <c r="V6" s="258"/>
      <c r="W6" s="258"/>
      <c r="X6" s="258"/>
      <c r="Y6" s="258"/>
      <c r="Z6" s="258"/>
    </row>
    <row r="7" outlineLevel="1">
      <c r="A7" s="260"/>
      <c r="B7" s="261"/>
      <c r="C7" s="260"/>
      <c r="D7" s="258"/>
      <c r="E7" s="264"/>
      <c r="F7" s="258"/>
      <c r="G7" s="258"/>
      <c r="H7" s="258"/>
      <c r="I7" s="258"/>
      <c r="J7" s="259"/>
      <c r="K7" s="260"/>
      <c r="L7" s="258"/>
      <c r="M7" s="258"/>
      <c r="N7" s="258"/>
      <c r="O7" s="258"/>
      <c r="P7" s="258"/>
      <c r="Q7" s="258"/>
      <c r="R7" s="258"/>
      <c r="S7" s="259"/>
      <c r="T7" s="260"/>
      <c r="U7" s="258"/>
      <c r="V7" s="258"/>
      <c r="W7" s="258"/>
      <c r="X7" s="258"/>
      <c r="Y7" s="258"/>
      <c r="Z7" s="258"/>
    </row>
    <row r="8">
      <c r="A8" s="254"/>
      <c r="B8" s="265"/>
      <c r="C8" s="254"/>
      <c r="D8" s="253"/>
      <c r="E8" s="253"/>
      <c r="F8" s="253"/>
      <c r="G8" s="253"/>
      <c r="H8" s="253"/>
      <c r="I8" s="253"/>
      <c r="J8" s="203"/>
      <c r="K8" s="254"/>
      <c r="L8" s="253"/>
      <c r="M8" s="253"/>
      <c r="N8" s="253"/>
      <c r="O8" s="253"/>
      <c r="P8" s="253"/>
      <c r="Q8" s="253"/>
      <c r="R8" s="253"/>
      <c r="S8" s="203"/>
      <c r="T8" s="254"/>
      <c r="U8" s="253"/>
      <c r="V8" s="253"/>
      <c r="W8" s="253"/>
      <c r="X8" s="253"/>
      <c r="Y8" s="253"/>
      <c r="Z8" s="253"/>
    </row>
    <row r="9">
      <c r="A9" s="254"/>
      <c r="B9" s="265"/>
      <c r="C9" s="254" t="s">
        <v>1496</v>
      </c>
      <c r="D9" s="253"/>
      <c r="E9" s="253"/>
      <c r="F9" s="253"/>
      <c r="G9" s="253"/>
      <c r="H9" s="253"/>
      <c r="I9" s="253"/>
      <c r="J9" s="203"/>
      <c r="K9" s="254" t="s">
        <v>57</v>
      </c>
      <c r="L9" s="253"/>
      <c r="M9" s="253"/>
      <c r="N9" s="253"/>
      <c r="O9" s="253"/>
      <c r="P9" s="253"/>
      <c r="Q9" s="253"/>
      <c r="R9" s="253"/>
      <c r="S9" s="203"/>
      <c r="T9" s="254" t="s">
        <v>1497</v>
      </c>
      <c r="U9" s="253"/>
      <c r="V9" s="253"/>
      <c r="W9" s="253"/>
      <c r="X9" s="253"/>
      <c r="Y9" s="253"/>
      <c r="Z9" s="253"/>
    </row>
    <row r="10">
      <c r="A10" s="201"/>
      <c r="B10" s="202"/>
      <c r="F10" s="201"/>
      <c r="G10" s="201"/>
      <c r="H10" s="201"/>
      <c r="I10" s="201"/>
      <c r="J10" s="202"/>
      <c r="Q10" s="201"/>
      <c r="R10" s="201"/>
      <c r="S10" s="202"/>
      <c r="Y10" s="201"/>
      <c r="Z10" s="201"/>
    </row>
    <row r="11">
      <c r="A11" s="270"/>
      <c r="B11" s="267"/>
      <c r="F11" s="267"/>
      <c r="G11" s="267"/>
      <c r="H11" s="267"/>
      <c r="I11" s="270"/>
      <c r="J11" s="267"/>
      <c r="Q11" s="267"/>
      <c r="R11" s="270"/>
      <c r="S11" s="267"/>
      <c r="Y11" s="270"/>
      <c r="Z11" s="270"/>
    </row>
    <row r="12">
      <c r="A12" s="273"/>
      <c r="B12" s="272"/>
      <c r="F12" s="202"/>
      <c r="G12" s="202"/>
      <c r="H12" s="202"/>
      <c r="I12" s="201"/>
      <c r="J12" s="272"/>
      <c r="Q12" s="202"/>
      <c r="R12" s="201"/>
      <c r="S12" s="272"/>
      <c r="Y12" s="201"/>
      <c r="Z12" s="201"/>
    </row>
    <row r="13">
      <c r="A13" s="273"/>
      <c r="B13" s="272"/>
      <c r="C13" s="273"/>
      <c r="D13" s="202"/>
      <c r="E13" s="202"/>
      <c r="F13" s="202"/>
      <c r="G13" s="202"/>
      <c r="H13" s="202"/>
      <c r="I13" s="201"/>
      <c r="J13" s="272"/>
      <c r="Q13" s="202"/>
      <c r="R13" s="201"/>
      <c r="S13" s="272"/>
      <c r="Y13" s="201"/>
      <c r="Z13" s="201"/>
    </row>
    <row r="14">
      <c r="A14" s="273"/>
      <c r="B14" s="272"/>
      <c r="C14" s="273"/>
      <c r="D14" s="202"/>
      <c r="E14" s="202"/>
      <c r="F14" s="202"/>
      <c r="G14" s="202"/>
      <c r="H14" s="202"/>
      <c r="I14" s="201"/>
      <c r="J14" s="272"/>
      <c r="Q14" s="202"/>
      <c r="R14" s="201"/>
      <c r="S14" s="272"/>
      <c r="Y14" s="201"/>
      <c r="Z14" s="201"/>
    </row>
    <row r="15">
      <c r="A15" s="273"/>
      <c r="B15" s="272"/>
      <c r="C15" s="273"/>
      <c r="D15" s="202"/>
      <c r="E15" s="202"/>
      <c r="F15" s="202"/>
      <c r="G15" s="202"/>
      <c r="H15" s="202"/>
      <c r="I15" s="201"/>
      <c r="J15" s="272"/>
      <c r="Q15" s="202"/>
      <c r="R15" s="201"/>
      <c r="S15" s="272"/>
      <c r="Y15" s="201"/>
      <c r="Z15" s="201"/>
    </row>
    <row r="16">
      <c r="A16" s="273"/>
      <c r="B16" s="272"/>
      <c r="C16" s="273"/>
      <c r="D16" s="202"/>
      <c r="E16" s="202"/>
      <c r="F16" s="202"/>
      <c r="G16" s="202"/>
      <c r="H16" s="202"/>
      <c r="I16" s="201"/>
      <c r="J16" s="272"/>
      <c r="Q16" s="202"/>
      <c r="R16" s="201"/>
      <c r="S16" s="272"/>
      <c r="Y16" s="201"/>
      <c r="Z16" s="201"/>
    </row>
    <row r="17">
      <c r="A17" s="273"/>
      <c r="B17" s="272"/>
      <c r="C17" s="273"/>
      <c r="D17" s="202"/>
      <c r="E17" s="202"/>
      <c r="F17" s="202"/>
      <c r="G17" s="202"/>
      <c r="H17" s="202"/>
      <c r="I17" s="201"/>
      <c r="J17" s="272"/>
      <c r="Q17" s="202"/>
      <c r="R17" s="201"/>
      <c r="S17" s="272"/>
      <c r="Y17" s="201"/>
      <c r="Z17" s="201"/>
    </row>
    <row r="18" ht="15.75" customHeight="1">
      <c r="A18" s="273"/>
      <c r="B18" s="272"/>
      <c r="C18" s="273"/>
      <c r="D18" s="202"/>
      <c r="E18" s="202"/>
      <c r="F18" s="202"/>
      <c r="G18" s="202"/>
      <c r="H18" s="202"/>
      <c r="I18" s="201"/>
      <c r="J18" s="272"/>
      <c r="Q18" s="202"/>
      <c r="R18" s="201"/>
      <c r="S18" s="272"/>
      <c r="Y18" s="201"/>
      <c r="Z18" s="201"/>
    </row>
    <row r="19">
      <c r="A19" s="273"/>
      <c r="B19" s="272"/>
      <c r="C19" s="273"/>
      <c r="D19" s="202"/>
      <c r="E19" s="202"/>
      <c r="F19" s="202"/>
      <c r="G19" s="202"/>
      <c r="H19" s="202"/>
      <c r="I19" s="201"/>
      <c r="J19" s="272"/>
      <c r="Q19" s="202"/>
      <c r="R19" s="201"/>
      <c r="S19" s="272"/>
      <c r="Y19" s="201"/>
      <c r="Z19" s="201"/>
    </row>
    <row r="20">
      <c r="A20" s="273"/>
      <c r="B20" s="272"/>
      <c r="C20" s="273"/>
      <c r="D20" s="202"/>
      <c r="E20" s="202"/>
      <c r="F20" s="202"/>
      <c r="G20" s="202"/>
      <c r="H20" s="202"/>
      <c r="I20" s="201"/>
      <c r="J20" s="272"/>
      <c r="Q20" s="202"/>
      <c r="R20" s="201"/>
      <c r="S20" s="272"/>
      <c r="Y20" s="201"/>
      <c r="Z20" s="201"/>
    </row>
    <row r="21">
      <c r="A21" s="273"/>
      <c r="B21" s="272"/>
      <c r="C21" s="273"/>
      <c r="D21" s="202"/>
      <c r="E21" s="202"/>
      <c r="F21" s="202"/>
      <c r="G21" s="202"/>
      <c r="H21" s="202"/>
      <c r="I21" s="201"/>
      <c r="J21" s="272"/>
      <c r="Q21" s="202"/>
      <c r="R21" s="201"/>
      <c r="S21" s="272"/>
      <c r="T21" s="315"/>
      <c r="U21" s="202"/>
      <c r="V21" s="202"/>
      <c r="W21" s="202"/>
      <c r="X21" s="202"/>
      <c r="Y21" s="201"/>
      <c r="Z21" s="201"/>
    </row>
    <row r="22">
      <c r="A22" s="273"/>
      <c r="B22" s="272"/>
      <c r="C22" s="273"/>
      <c r="D22" s="202"/>
      <c r="E22" s="202"/>
      <c r="F22" s="202"/>
      <c r="G22" s="202"/>
      <c r="H22" s="202"/>
      <c r="I22" s="201"/>
      <c r="J22" s="272"/>
      <c r="K22" s="273"/>
      <c r="L22" s="202"/>
      <c r="M22" s="202"/>
      <c r="N22" s="202"/>
      <c r="O22" s="202"/>
      <c r="P22" s="202"/>
      <c r="Q22" s="202"/>
      <c r="R22" s="201"/>
      <c r="S22" s="272"/>
      <c r="T22" s="273"/>
      <c r="U22" s="202"/>
      <c r="V22" s="202"/>
      <c r="W22" s="202"/>
      <c r="X22" s="202"/>
      <c r="Y22" s="201"/>
      <c r="Z22" s="201"/>
    </row>
    <row r="23">
      <c r="A23" s="273"/>
      <c r="B23" s="272"/>
      <c r="C23" s="273"/>
      <c r="D23" s="202"/>
      <c r="E23" s="202"/>
      <c r="F23" s="202"/>
      <c r="G23" s="202"/>
      <c r="H23" s="202"/>
      <c r="I23" s="201"/>
      <c r="J23" s="272"/>
      <c r="K23" s="273"/>
      <c r="L23" s="202"/>
      <c r="M23" s="202"/>
      <c r="N23" s="202"/>
      <c r="O23" s="202"/>
      <c r="P23" s="202"/>
      <c r="Q23" s="202"/>
      <c r="R23" s="201"/>
      <c r="S23" s="202"/>
      <c r="T23" s="273"/>
      <c r="U23" s="202"/>
      <c r="V23" s="202"/>
      <c r="W23" s="202"/>
      <c r="X23" s="202"/>
      <c r="Y23" s="201"/>
      <c r="Z23" s="201"/>
    </row>
    <row r="24">
      <c r="A24" s="273"/>
      <c r="B24" s="272"/>
      <c r="C24" s="273"/>
      <c r="D24" s="202"/>
      <c r="E24" s="202"/>
      <c r="F24" s="202"/>
      <c r="G24" s="202"/>
      <c r="H24" s="202"/>
      <c r="I24" s="201"/>
      <c r="J24" s="272"/>
      <c r="K24" s="273"/>
      <c r="L24" s="202"/>
      <c r="M24" s="202"/>
      <c r="N24" s="202"/>
      <c r="O24" s="202"/>
      <c r="P24" s="202"/>
      <c r="Q24" s="202"/>
      <c r="R24" s="201"/>
      <c r="S24" s="202"/>
      <c r="T24" s="273"/>
      <c r="U24" s="202"/>
      <c r="V24" s="202"/>
      <c r="W24" s="202"/>
      <c r="X24" s="202"/>
      <c r="Y24" s="201"/>
      <c r="Z24" s="201"/>
    </row>
    <row r="25">
      <c r="A25" s="273"/>
      <c r="B25" s="272"/>
      <c r="C25" s="273"/>
      <c r="D25" s="202"/>
      <c r="E25" s="202"/>
      <c r="F25" s="202"/>
      <c r="G25" s="202"/>
      <c r="H25" s="202"/>
      <c r="I25" s="201"/>
      <c r="J25" s="202"/>
      <c r="K25" s="273"/>
      <c r="L25" s="202"/>
      <c r="M25" s="202"/>
      <c r="N25" s="202"/>
      <c r="O25" s="202"/>
      <c r="P25" s="202"/>
      <c r="Q25" s="202"/>
      <c r="R25" s="201"/>
      <c r="S25" s="202"/>
      <c r="T25" s="273"/>
      <c r="U25" s="202"/>
      <c r="V25" s="202"/>
      <c r="W25" s="202"/>
      <c r="X25" s="202"/>
      <c r="Y25" s="201"/>
      <c r="Z25" s="201"/>
    </row>
    <row r="26">
      <c r="A26" s="273"/>
      <c r="B26" s="276"/>
      <c r="C26" s="273"/>
      <c r="D26" s="202"/>
      <c r="E26" s="202"/>
      <c r="F26" s="202"/>
      <c r="G26" s="202"/>
      <c r="H26" s="202"/>
      <c r="I26" s="201"/>
      <c r="J26" s="202"/>
      <c r="K26" s="273"/>
      <c r="L26" s="202"/>
      <c r="M26" s="202"/>
      <c r="N26" s="202"/>
      <c r="O26" s="202"/>
      <c r="P26" s="202"/>
      <c r="Q26" s="202"/>
      <c r="R26" s="201"/>
      <c r="S26" s="202"/>
      <c r="T26" s="273"/>
      <c r="U26" s="202"/>
      <c r="V26" s="202"/>
      <c r="W26" s="202"/>
      <c r="X26" s="202"/>
      <c r="Y26" s="201"/>
      <c r="Z26" s="201"/>
    </row>
    <row r="27">
      <c r="A27" s="273"/>
      <c r="B27" s="276"/>
      <c r="C27" s="273"/>
      <c r="D27" s="202"/>
      <c r="E27" s="202"/>
      <c r="F27" s="202"/>
      <c r="G27" s="202"/>
      <c r="H27" s="202"/>
      <c r="I27" s="201"/>
      <c r="J27" s="202"/>
      <c r="K27" s="273"/>
      <c r="L27" s="202"/>
      <c r="M27" s="202"/>
      <c r="N27" s="202"/>
      <c r="O27" s="202"/>
      <c r="P27" s="202"/>
      <c r="R27" s="201"/>
      <c r="S27" s="202"/>
      <c r="T27" s="273"/>
      <c r="U27" s="202"/>
      <c r="V27" s="202"/>
      <c r="W27" s="202"/>
      <c r="X27" s="202"/>
      <c r="Y27" s="201"/>
      <c r="Z27" s="201"/>
    </row>
    <row r="28">
      <c r="A28" s="273"/>
      <c r="B28" s="276"/>
      <c r="C28" s="273"/>
      <c r="D28" s="202"/>
      <c r="E28" s="202"/>
      <c r="F28" s="202"/>
      <c r="G28" s="202"/>
      <c r="H28" s="202"/>
      <c r="I28" s="201"/>
      <c r="J28" s="202"/>
      <c r="K28" s="273"/>
      <c r="L28" s="202"/>
      <c r="M28" s="202"/>
      <c r="N28" s="202"/>
      <c r="O28" s="202"/>
      <c r="R28" s="201"/>
      <c r="S28" s="202"/>
      <c r="T28" s="273"/>
      <c r="U28" s="202"/>
      <c r="V28" s="202"/>
      <c r="W28" s="202"/>
      <c r="X28" s="202"/>
      <c r="Y28" s="201"/>
      <c r="Z28" s="201"/>
    </row>
    <row r="29">
      <c r="A29" s="273"/>
      <c r="B29" s="276"/>
      <c r="C29" s="273"/>
      <c r="D29" s="202"/>
      <c r="E29" s="202"/>
      <c r="F29" s="202"/>
      <c r="G29" s="202"/>
      <c r="H29" s="202"/>
      <c r="I29" s="201"/>
      <c r="J29" s="202"/>
      <c r="K29" s="273"/>
      <c r="L29" s="202"/>
      <c r="M29" s="202"/>
      <c r="N29" s="202"/>
      <c r="O29" s="202"/>
      <c r="R29" s="201"/>
      <c r="S29" s="202"/>
      <c r="T29" s="273"/>
      <c r="U29" s="202"/>
      <c r="V29" s="202"/>
      <c r="W29" s="202"/>
      <c r="X29" s="202"/>
      <c r="Y29" s="201"/>
      <c r="Z29" s="201"/>
    </row>
    <row r="30">
      <c r="A30" s="273"/>
      <c r="B30" s="276"/>
      <c r="C30" s="273"/>
      <c r="D30" s="202"/>
      <c r="E30" s="202"/>
      <c r="F30" s="202"/>
      <c r="G30" s="202"/>
      <c r="H30" s="202"/>
      <c r="I30" s="201"/>
      <c r="J30" s="202"/>
      <c r="K30" s="273"/>
      <c r="L30" s="202"/>
      <c r="M30" s="202"/>
      <c r="N30" s="202"/>
      <c r="O30" s="202"/>
      <c r="R30" s="201"/>
      <c r="S30" s="202"/>
      <c r="T30" s="273"/>
      <c r="U30" s="202"/>
      <c r="V30" s="202"/>
      <c r="W30" s="202"/>
      <c r="X30" s="202"/>
      <c r="Y30" s="201"/>
      <c r="Z30" s="201"/>
    </row>
    <row r="31">
      <c r="A31" s="273"/>
      <c r="B31" s="276"/>
      <c r="C31" s="273"/>
      <c r="D31" s="202"/>
      <c r="E31" s="202"/>
      <c r="F31" s="202"/>
      <c r="G31" s="202"/>
      <c r="H31" s="202"/>
      <c r="I31" s="201"/>
      <c r="J31" s="202"/>
      <c r="K31" s="273"/>
      <c r="L31" s="202"/>
      <c r="M31" s="202"/>
      <c r="N31" s="202"/>
      <c r="O31" s="202"/>
      <c r="R31" s="201"/>
      <c r="S31" s="202"/>
      <c r="T31" s="273"/>
      <c r="U31" s="202"/>
      <c r="V31" s="202"/>
      <c r="W31" s="202"/>
      <c r="X31" s="202"/>
      <c r="Y31" s="201"/>
      <c r="Z31" s="201"/>
    </row>
    <row r="32">
      <c r="A32" s="273"/>
      <c r="B32" s="276"/>
      <c r="C32" s="273"/>
      <c r="D32" s="202"/>
      <c r="E32" s="202"/>
      <c r="F32" s="202"/>
      <c r="G32" s="202"/>
      <c r="H32" s="202"/>
      <c r="I32" s="201"/>
      <c r="J32" s="202"/>
      <c r="K32" s="273"/>
      <c r="L32" s="202"/>
      <c r="M32" s="202"/>
      <c r="N32" s="202"/>
      <c r="O32" s="202"/>
      <c r="R32" s="201"/>
      <c r="S32" s="202"/>
      <c r="T32" s="273"/>
      <c r="U32" s="202"/>
      <c r="V32" s="202"/>
      <c r="W32" s="202"/>
      <c r="X32" s="202"/>
      <c r="Y32" s="201"/>
      <c r="Z32" s="201"/>
    </row>
    <row r="33">
      <c r="A33" s="273"/>
      <c r="B33" s="276"/>
      <c r="C33" s="273"/>
      <c r="D33" s="202"/>
      <c r="E33" s="202"/>
      <c r="F33" s="202"/>
      <c r="G33" s="202"/>
      <c r="H33" s="202"/>
      <c r="I33" s="201"/>
      <c r="J33" s="202"/>
      <c r="K33" s="273"/>
      <c r="L33" s="202"/>
      <c r="M33" s="202"/>
      <c r="N33" s="202"/>
      <c r="O33" s="202"/>
      <c r="R33" s="201"/>
      <c r="S33" s="202"/>
      <c r="T33" s="273"/>
      <c r="U33" s="202"/>
      <c r="V33" s="202"/>
      <c r="W33" s="202"/>
      <c r="X33" s="202"/>
      <c r="Y33" s="201"/>
      <c r="Z33" s="201"/>
    </row>
    <row r="34">
      <c r="A34" s="273"/>
      <c r="B34" s="276"/>
      <c r="C34" s="273"/>
      <c r="D34" s="202"/>
      <c r="E34" s="202"/>
      <c r="F34" s="202"/>
      <c r="G34" s="202"/>
      <c r="H34" s="202"/>
      <c r="I34" s="201"/>
      <c r="J34" s="202"/>
      <c r="K34" s="273"/>
      <c r="L34" s="202"/>
      <c r="M34" s="202"/>
      <c r="N34" s="202"/>
      <c r="O34" s="202"/>
      <c r="R34" s="201"/>
      <c r="S34" s="202"/>
      <c r="T34" s="273"/>
      <c r="U34" s="202"/>
      <c r="V34" s="202"/>
      <c r="W34" s="202"/>
      <c r="X34" s="202"/>
      <c r="Y34" s="201"/>
      <c r="Z34" s="201"/>
    </row>
    <row r="35">
      <c r="A35" s="273"/>
      <c r="B35" s="276"/>
      <c r="C35" s="273"/>
      <c r="D35" s="202"/>
      <c r="E35" s="202"/>
      <c r="F35" s="202"/>
      <c r="G35" s="202"/>
      <c r="H35" s="202"/>
      <c r="I35" s="201"/>
      <c r="J35" s="202"/>
      <c r="K35" s="316"/>
      <c r="R35" s="201"/>
      <c r="S35" s="202"/>
      <c r="T35" s="273"/>
      <c r="U35" s="202"/>
      <c r="V35" s="202"/>
      <c r="W35" s="202"/>
      <c r="X35" s="202"/>
      <c r="Y35" s="201"/>
      <c r="Z35" s="201"/>
    </row>
    <row r="36">
      <c r="A36" s="273"/>
      <c r="B36" s="276"/>
      <c r="C36" s="273"/>
      <c r="D36" s="202"/>
      <c r="E36" s="272"/>
      <c r="F36" s="202"/>
      <c r="G36" s="202"/>
      <c r="H36" s="202"/>
      <c r="I36" s="201"/>
      <c r="J36" s="202"/>
      <c r="R36" s="201"/>
      <c r="S36" s="202"/>
      <c r="T36" s="273"/>
      <c r="U36" s="202"/>
      <c r="V36" s="202"/>
      <c r="W36" s="202"/>
      <c r="X36" s="202"/>
      <c r="Y36" s="201"/>
      <c r="Z36" s="201"/>
    </row>
    <row r="37">
      <c r="A37" s="273"/>
      <c r="B37" s="276"/>
      <c r="C37" s="273"/>
      <c r="D37" s="202"/>
      <c r="E37" s="202"/>
      <c r="F37" s="202"/>
      <c r="G37" s="202"/>
      <c r="H37" s="202"/>
      <c r="I37" s="201"/>
      <c r="J37" s="202"/>
      <c r="K37" s="273"/>
      <c r="L37" s="202"/>
      <c r="M37" s="202"/>
      <c r="N37" s="202"/>
      <c r="O37" s="202"/>
      <c r="P37" s="202"/>
      <c r="Q37" s="202"/>
      <c r="R37" s="201"/>
      <c r="S37" s="202"/>
      <c r="T37" s="273"/>
      <c r="U37" s="202"/>
      <c r="V37" s="202"/>
      <c r="W37" s="202"/>
      <c r="X37" s="202"/>
      <c r="Y37" s="201"/>
      <c r="Z37" s="201"/>
    </row>
    <row r="38">
      <c r="A38" s="273"/>
      <c r="B38" s="276"/>
      <c r="C38" s="273"/>
      <c r="D38" s="202"/>
      <c r="E38" s="202"/>
      <c r="F38" s="202"/>
      <c r="G38" s="202"/>
      <c r="H38" s="202"/>
      <c r="I38" s="201"/>
      <c r="J38" s="202"/>
      <c r="K38" s="273"/>
      <c r="L38" s="202"/>
      <c r="M38" s="202"/>
      <c r="N38" s="202"/>
      <c r="O38" s="202"/>
      <c r="P38" s="202"/>
      <c r="Q38" s="202"/>
      <c r="R38" s="201"/>
      <c r="S38" s="202"/>
      <c r="T38" s="273"/>
      <c r="U38" s="202"/>
      <c r="V38" s="202"/>
      <c r="W38" s="202"/>
      <c r="X38" s="202"/>
      <c r="Y38" s="201"/>
      <c r="Z38" s="201"/>
    </row>
    <row r="39">
      <c r="A39" s="273"/>
      <c r="B39" s="276"/>
      <c r="C39" s="273"/>
      <c r="D39" s="202"/>
      <c r="E39" s="202"/>
      <c r="F39" s="202"/>
      <c r="G39" s="202"/>
      <c r="H39" s="202"/>
      <c r="I39" s="201"/>
      <c r="J39" s="202"/>
      <c r="K39" s="273"/>
      <c r="L39" s="202"/>
      <c r="M39" s="202"/>
      <c r="N39" s="202"/>
      <c r="O39" s="202"/>
      <c r="P39" s="202"/>
      <c r="Q39" s="202"/>
      <c r="R39" s="201"/>
      <c r="S39" s="202"/>
      <c r="T39" s="273"/>
      <c r="U39" s="202"/>
      <c r="V39" s="202"/>
      <c r="W39" s="202"/>
      <c r="X39" s="202"/>
      <c r="Y39" s="201"/>
      <c r="Z39" s="201"/>
    </row>
    <row r="40">
      <c r="A40" s="273"/>
      <c r="B40" s="276"/>
      <c r="C40" s="273"/>
      <c r="D40" s="202"/>
      <c r="E40" s="202"/>
      <c r="F40" s="202"/>
      <c r="G40" s="202"/>
      <c r="H40" s="202"/>
      <c r="I40" s="201"/>
      <c r="J40" s="202"/>
      <c r="K40" s="273"/>
      <c r="L40" s="202"/>
      <c r="M40" s="202"/>
      <c r="N40" s="202"/>
      <c r="O40" s="202"/>
      <c r="P40" s="202"/>
      <c r="Q40" s="202"/>
      <c r="R40" s="201"/>
      <c r="S40" s="202"/>
      <c r="T40" s="273"/>
      <c r="U40" s="202"/>
      <c r="V40" s="202"/>
      <c r="W40" s="202"/>
      <c r="X40" s="202"/>
      <c r="Y40" s="201"/>
      <c r="Z40" s="201"/>
    </row>
    <row r="41">
      <c r="A41" s="273"/>
      <c r="B41" s="276"/>
      <c r="C41" s="273"/>
      <c r="D41" s="202"/>
      <c r="E41" s="202"/>
      <c r="F41" s="202"/>
      <c r="G41" s="202"/>
      <c r="H41" s="202"/>
      <c r="I41" s="201"/>
      <c r="J41" s="202"/>
      <c r="K41" s="273"/>
      <c r="L41" s="202"/>
      <c r="M41" s="202"/>
      <c r="N41" s="202"/>
      <c r="O41" s="202"/>
      <c r="P41" s="202"/>
      <c r="Q41" s="202"/>
      <c r="R41" s="201"/>
      <c r="S41" s="202"/>
      <c r="T41" s="273"/>
      <c r="U41" s="202"/>
      <c r="V41" s="202"/>
      <c r="W41" s="202"/>
      <c r="X41" s="202"/>
      <c r="Y41" s="201"/>
      <c r="Z41" s="201"/>
    </row>
    <row r="42">
      <c r="A42" s="273"/>
      <c r="B42" s="276"/>
      <c r="C42" s="273"/>
      <c r="D42" s="202"/>
      <c r="E42" s="202"/>
      <c r="F42" s="202"/>
      <c r="G42" s="202"/>
      <c r="H42" s="202"/>
      <c r="I42" s="201"/>
      <c r="J42" s="202"/>
      <c r="K42" s="273"/>
      <c r="L42" s="202"/>
      <c r="M42" s="202"/>
      <c r="N42" s="202"/>
      <c r="O42" s="202"/>
      <c r="P42" s="202"/>
      <c r="Q42" s="202"/>
      <c r="R42" s="201"/>
      <c r="S42" s="202"/>
      <c r="T42" s="273"/>
      <c r="U42" s="202"/>
      <c r="V42" s="202"/>
      <c r="W42" s="202"/>
      <c r="X42" s="202"/>
      <c r="Y42" s="201"/>
      <c r="Z42" s="201"/>
    </row>
    <row r="43">
      <c r="A43" s="273"/>
      <c r="B43" s="276"/>
      <c r="C43" s="273"/>
      <c r="D43" s="202"/>
      <c r="E43" s="202"/>
      <c r="F43" s="202"/>
      <c r="G43" s="202"/>
      <c r="H43" s="202"/>
      <c r="I43" s="201"/>
      <c r="J43" s="202"/>
      <c r="K43" s="273"/>
      <c r="L43" s="202"/>
      <c r="M43" s="202"/>
      <c r="N43" s="202"/>
      <c r="O43" s="202"/>
      <c r="P43" s="202"/>
      <c r="Q43" s="202"/>
      <c r="R43" s="201"/>
      <c r="S43" s="202"/>
      <c r="T43" s="273"/>
      <c r="U43" s="202"/>
      <c r="V43" s="202"/>
      <c r="W43" s="202"/>
      <c r="X43" s="202"/>
      <c r="Y43" s="201"/>
      <c r="Z43" s="201"/>
    </row>
    <row r="44">
      <c r="A44" s="273"/>
      <c r="B44" s="276"/>
      <c r="C44" s="273"/>
      <c r="D44" s="202"/>
      <c r="E44" s="202"/>
      <c r="F44" s="202"/>
      <c r="G44" s="202"/>
      <c r="H44" s="202"/>
      <c r="I44" s="201"/>
      <c r="J44" s="202"/>
      <c r="K44" s="273"/>
      <c r="L44" s="202"/>
      <c r="M44" s="202"/>
      <c r="N44" s="202"/>
      <c r="O44" s="202"/>
      <c r="P44" s="202"/>
      <c r="Q44" s="202"/>
      <c r="R44" s="201"/>
      <c r="S44" s="202"/>
      <c r="T44" s="273"/>
      <c r="U44" s="202"/>
      <c r="V44" s="202"/>
      <c r="W44" s="202"/>
      <c r="X44" s="202"/>
      <c r="Y44" s="201"/>
      <c r="Z44" s="201"/>
    </row>
    <row r="45">
      <c r="A45" s="273"/>
      <c r="B45" s="276"/>
      <c r="C45" s="273"/>
      <c r="D45" s="202"/>
      <c r="E45" s="202"/>
      <c r="F45" s="202"/>
      <c r="G45" s="202"/>
      <c r="H45" s="202"/>
      <c r="I45" s="201"/>
      <c r="J45" s="202"/>
      <c r="K45" s="273"/>
      <c r="L45" s="202"/>
      <c r="M45" s="202"/>
      <c r="N45" s="202"/>
      <c r="O45" s="202"/>
      <c r="P45" s="202"/>
      <c r="Q45" s="202"/>
      <c r="R45" s="201"/>
      <c r="S45" s="202"/>
      <c r="T45" s="273"/>
      <c r="U45" s="202"/>
      <c r="V45" s="202"/>
      <c r="W45" s="202"/>
      <c r="X45" s="202"/>
      <c r="Y45" s="201"/>
      <c r="Z45" s="201"/>
    </row>
    <row r="46">
      <c r="A46" s="273"/>
      <c r="B46" s="276"/>
      <c r="C46" s="273"/>
      <c r="D46" s="202"/>
      <c r="E46" s="202"/>
      <c r="F46" s="202"/>
      <c r="G46" s="202"/>
      <c r="H46" s="202"/>
      <c r="I46" s="201"/>
      <c r="J46" s="202"/>
      <c r="K46" s="273"/>
      <c r="L46" s="202"/>
      <c r="M46" s="202"/>
      <c r="N46" s="202"/>
      <c r="O46" s="202"/>
      <c r="P46" s="202"/>
      <c r="Q46" s="202"/>
      <c r="R46" s="201"/>
      <c r="S46" s="202"/>
      <c r="T46" s="273"/>
      <c r="U46" s="202"/>
      <c r="V46" s="202"/>
      <c r="W46" s="202"/>
      <c r="X46" s="202"/>
      <c r="Y46" s="201"/>
      <c r="Z46" s="201"/>
    </row>
    <row r="47">
      <c r="A47" s="273"/>
      <c r="B47" s="276"/>
      <c r="C47" s="273"/>
      <c r="D47" s="202"/>
      <c r="E47" s="202"/>
      <c r="F47" s="202"/>
      <c r="G47" s="202"/>
      <c r="H47" s="202"/>
      <c r="I47" s="201"/>
      <c r="J47" s="202"/>
      <c r="K47" s="273"/>
      <c r="L47" s="202"/>
      <c r="M47" s="202"/>
      <c r="N47" s="202"/>
      <c r="O47" s="202"/>
      <c r="P47" s="202"/>
      <c r="Q47" s="202"/>
      <c r="R47" s="201"/>
      <c r="S47" s="202"/>
      <c r="T47" s="273"/>
      <c r="U47" s="202"/>
      <c r="V47" s="202"/>
      <c r="W47" s="202"/>
      <c r="X47" s="202"/>
      <c r="Y47" s="201"/>
      <c r="Z47" s="201"/>
    </row>
    <row r="48">
      <c r="A48" s="273"/>
      <c r="B48" s="276"/>
      <c r="C48" s="273"/>
      <c r="D48" s="202"/>
      <c r="E48" s="202"/>
      <c r="F48" s="202"/>
      <c r="G48" s="202"/>
      <c r="H48" s="202"/>
      <c r="I48" s="201"/>
      <c r="J48" s="202"/>
      <c r="K48" s="273"/>
      <c r="L48" s="202"/>
      <c r="M48" s="202"/>
      <c r="N48" s="202"/>
      <c r="O48" s="202"/>
      <c r="P48" s="202"/>
      <c r="Q48" s="202"/>
      <c r="R48" s="201"/>
      <c r="S48" s="202"/>
      <c r="T48" s="273"/>
      <c r="U48" s="202"/>
      <c r="V48" s="202"/>
      <c r="W48" s="202"/>
      <c r="X48" s="202"/>
      <c r="Y48" s="201"/>
      <c r="Z48" s="201"/>
    </row>
    <row r="49">
      <c r="A49" s="273"/>
      <c r="B49" s="276"/>
      <c r="C49" s="273"/>
      <c r="D49" s="202"/>
      <c r="E49" s="202"/>
      <c r="F49" s="202"/>
      <c r="G49" s="202"/>
      <c r="H49" s="202"/>
      <c r="I49" s="201"/>
      <c r="J49" s="202"/>
      <c r="K49" s="273"/>
      <c r="L49" s="202"/>
      <c r="M49" s="202"/>
      <c r="N49" s="202"/>
      <c r="O49" s="202"/>
      <c r="P49" s="202"/>
      <c r="Q49" s="202"/>
      <c r="R49" s="201"/>
      <c r="S49" s="202"/>
      <c r="T49" s="273"/>
      <c r="U49" s="202"/>
      <c r="V49" s="202"/>
      <c r="W49" s="202"/>
      <c r="X49" s="202"/>
      <c r="Y49" s="201"/>
      <c r="Z49" s="201"/>
    </row>
    <row r="50">
      <c r="A50" s="273"/>
      <c r="B50" s="276"/>
      <c r="C50" s="273"/>
      <c r="D50" s="202"/>
      <c r="E50" s="202"/>
      <c r="F50" s="202"/>
      <c r="G50" s="202"/>
      <c r="H50" s="202"/>
      <c r="I50" s="201"/>
      <c r="J50" s="202"/>
      <c r="K50" s="273"/>
      <c r="L50" s="202"/>
      <c r="M50" s="202"/>
      <c r="N50" s="202"/>
      <c r="O50" s="202"/>
      <c r="P50" s="202"/>
      <c r="Q50" s="202"/>
      <c r="R50" s="201"/>
      <c r="S50" s="202"/>
      <c r="T50" s="273"/>
      <c r="U50" s="202"/>
      <c r="V50" s="202"/>
      <c r="W50" s="202"/>
      <c r="X50" s="202"/>
      <c r="Y50" s="201"/>
      <c r="Z50" s="201"/>
    </row>
    <row r="51">
      <c r="A51" s="273"/>
      <c r="B51" s="276"/>
      <c r="C51" s="273"/>
      <c r="D51" s="202"/>
      <c r="E51" s="202"/>
      <c r="F51" s="202"/>
      <c r="G51" s="202"/>
      <c r="H51" s="202"/>
      <c r="I51" s="201"/>
      <c r="J51" s="202"/>
      <c r="K51" s="273"/>
      <c r="L51" s="202"/>
      <c r="M51" s="202"/>
      <c r="N51" s="202"/>
      <c r="O51" s="202"/>
      <c r="P51" s="202"/>
      <c r="Q51" s="202"/>
      <c r="R51" s="201"/>
      <c r="S51" s="202"/>
      <c r="T51" s="273"/>
      <c r="U51" s="202"/>
      <c r="V51" s="202"/>
      <c r="W51" s="202"/>
      <c r="X51" s="202"/>
      <c r="Y51" s="201"/>
      <c r="Z51" s="201"/>
    </row>
    <row r="52">
      <c r="A52" s="273"/>
      <c r="B52" s="276"/>
      <c r="C52" s="273"/>
      <c r="D52" s="202"/>
      <c r="E52" s="202"/>
      <c r="F52" s="202"/>
      <c r="G52" s="202"/>
      <c r="H52" s="202"/>
      <c r="I52" s="201"/>
      <c r="J52" s="202"/>
      <c r="K52" s="273"/>
      <c r="L52" s="202"/>
      <c r="M52" s="202"/>
      <c r="N52" s="202"/>
      <c r="O52" s="202"/>
      <c r="P52" s="202"/>
      <c r="Q52" s="202"/>
      <c r="R52" s="201"/>
      <c r="S52" s="202"/>
      <c r="T52" s="273"/>
      <c r="U52" s="202"/>
      <c r="V52" s="202"/>
      <c r="W52" s="202"/>
      <c r="X52" s="202"/>
      <c r="Y52" s="201"/>
      <c r="Z52" s="201"/>
    </row>
    <row r="53">
      <c r="A53" s="273"/>
      <c r="B53" s="276"/>
      <c r="C53" s="273"/>
      <c r="D53" s="202"/>
      <c r="E53" s="202"/>
      <c r="F53" s="202"/>
      <c r="G53" s="202"/>
      <c r="H53" s="202"/>
      <c r="I53" s="201"/>
      <c r="J53" s="202"/>
      <c r="K53" s="273"/>
      <c r="L53" s="202"/>
      <c r="M53" s="202"/>
      <c r="N53" s="202"/>
      <c r="O53" s="202"/>
      <c r="P53" s="202"/>
      <c r="Q53" s="202"/>
      <c r="R53" s="201"/>
      <c r="S53" s="202"/>
      <c r="T53" s="273"/>
      <c r="U53" s="202"/>
      <c r="V53" s="202"/>
      <c r="W53" s="202"/>
      <c r="X53" s="202"/>
      <c r="Y53" s="201"/>
      <c r="Z53" s="201"/>
    </row>
    <row r="54">
      <c r="A54" s="273"/>
      <c r="B54" s="276"/>
      <c r="C54" s="273"/>
      <c r="D54" s="202"/>
      <c r="E54" s="202"/>
      <c r="F54" s="202"/>
      <c r="G54" s="202"/>
      <c r="H54" s="202"/>
      <c r="I54" s="201"/>
      <c r="J54" s="202"/>
      <c r="K54" s="273"/>
      <c r="L54" s="202"/>
      <c r="M54" s="202"/>
      <c r="N54" s="202"/>
      <c r="O54" s="202"/>
      <c r="P54" s="202"/>
      <c r="Q54" s="202"/>
      <c r="R54" s="201"/>
      <c r="S54" s="202"/>
      <c r="T54" s="273"/>
      <c r="U54" s="202"/>
      <c r="V54" s="202"/>
      <c r="W54" s="202"/>
      <c r="X54" s="202"/>
      <c r="Y54" s="201"/>
      <c r="Z54" s="201"/>
    </row>
    <row r="55">
      <c r="A55" s="273"/>
      <c r="B55" s="276"/>
      <c r="C55" s="273"/>
      <c r="D55" s="202"/>
      <c r="E55" s="202"/>
      <c r="F55" s="202"/>
      <c r="G55" s="202"/>
      <c r="H55" s="202"/>
      <c r="I55" s="201"/>
      <c r="J55" s="202"/>
      <c r="K55" s="273"/>
      <c r="L55" s="202"/>
      <c r="M55" s="202"/>
      <c r="N55" s="202"/>
      <c r="O55" s="202"/>
      <c r="P55" s="202"/>
      <c r="Q55" s="202"/>
      <c r="R55" s="201"/>
      <c r="S55" s="202"/>
      <c r="T55" s="273"/>
      <c r="U55" s="202"/>
      <c r="V55" s="202"/>
      <c r="W55" s="202"/>
      <c r="X55" s="202"/>
      <c r="Y55" s="201"/>
      <c r="Z55" s="201"/>
    </row>
    <row r="56">
      <c r="A56" s="273"/>
      <c r="B56" s="276"/>
      <c r="C56" s="273"/>
      <c r="D56" s="202"/>
      <c r="E56" s="202"/>
      <c r="F56" s="202"/>
      <c r="G56" s="202"/>
      <c r="H56" s="202"/>
      <c r="I56" s="201"/>
      <c r="J56" s="202"/>
      <c r="K56" s="273"/>
      <c r="L56" s="202"/>
      <c r="M56" s="202"/>
      <c r="N56" s="202"/>
      <c r="O56" s="202"/>
      <c r="P56" s="202"/>
      <c r="Q56" s="202"/>
      <c r="R56" s="201"/>
      <c r="S56" s="202"/>
      <c r="T56" s="273"/>
      <c r="U56" s="202"/>
      <c r="V56" s="202"/>
      <c r="W56" s="202"/>
      <c r="X56" s="202"/>
      <c r="Y56" s="201"/>
      <c r="Z56" s="201"/>
    </row>
    <row r="57">
      <c r="A57" s="273"/>
      <c r="B57" s="276"/>
      <c r="C57" s="273"/>
      <c r="D57" s="202"/>
      <c r="E57" s="202"/>
      <c r="F57" s="202"/>
      <c r="G57" s="202"/>
      <c r="H57" s="202"/>
      <c r="I57" s="201"/>
      <c r="J57" s="202"/>
      <c r="K57" s="273"/>
      <c r="L57" s="202"/>
      <c r="M57" s="202"/>
      <c r="N57" s="202"/>
      <c r="O57" s="202"/>
      <c r="P57" s="202"/>
      <c r="Q57" s="202"/>
      <c r="R57" s="201"/>
      <c r="S57" s="202"/>
      <c r="T57" s="273"/>
      <c r="U57" s="202"/>
      <c r="V57" s="202"/>
      <c r="W57" s="202"/>
      <c r="X57" s="202"/>
      <c r="Y57" s="201"/>
      <c r="Z57" s="201"/>
    </row>
    <row r="58">
      <c r="A58" s="273"/>
      <c r="B58" s="276"/>
      <c r="C58" s="273"/>
      <c r="D58" s="202"/>
      <c r="E58" s="202"/>
      <c r="F58" s="202"/>
      <c r="G58" s="202"/>
      <c r="H58" s="202"/>
      <c r="I58" s="201"/>
      <c r="J58" s="202"/>
      <c r="K58" s="273"/>
      <c r="L58" s="202"/>
      <c r="M58" s="202"/>
      <c r="N58" s="202"/>
      <c r="O58" s="202"/>
      <c r="P58" s="202"/>
      <c r="Q58" s="202"/>
      <c r="R58" s="201"/>
      <c r="S58" s="202"/>
      <c r="T58" s="273"/>
      <c r="U58" s="202"/>
      <c r="V58" s="202"/>
      <c r="W58" s="202"/>
      <c r="X58" s="202"/>
      <c r="Y58" s="201"/>
      <c r="Z58" s="201"/>
    </row>
    <row r="59">
      <c r="A59" s="273"/>
      <c r="B59" s="276"/>
      <c r="C59" s="273"/>
      <c r="D59" s="202"/>
      <c r="E59" s="202"/>
      <c r="F59" s="202"/>
      <c r="G59" s="202"/>
      <c r="H59" s="202"/>
      <c r="I59" s="201"/>
      <c r="J59" s="202"/>
      <c r="K59" s="273"/>
      <c r="L59" s="202"/>
      <c r="M59" s="202"/>
      <c r="N59" s="202"/>
      <c r="O59" s="202"/>
      <c r="P59" s="202"/>
      <c r="Q59" s="202"/>
      <c r="R59" s="201"/>
      <c r="S59" s="202"/>
      <c r="T59" s="273"/>
      <c r="U59" s="202"/>
      <c r="V59" s="202"/>
      <c r="W59" s="202"/>
      <c r="X59" s="202"/>
      <c r="Y59" s="201"/>
      <c r="Z59" s="201"/>
    </row>
    <row r="60">
      <c r="A60" s="273"/>
      <c r="B60" s="276"/>
      <c r="C60" s="273"/>
      <c r="D60" s="202"/>
      <c r="E60" s="202"/>
      <c r="F60" s="202"/>
      <c r="G60" s="202"/>
      <c r="H60" s="202"/>
      <c r="I60" s="201"/>
      <c r="J60" s="202"/>
      <c r="K60" s="273"/>
      <c r="L60" s="202"/>
      <c r="M60" s="202"/>
      <c r="N60" s="202"/>
      <c r="O60" s="202"/>
      <c r="P60" s="202"/>
      <c r="Q60" s="202"/>
      <c r="R60" s="201"/>
      <c r="S60" s="202"/>
      <c r="T60" s="273"/>
      <c r="U60" s="202"/>
      <c r="V60" s="202"/>
      <c r="W60" s="202"/>
      <c r="X60" s="202"/>
      <c r="Y60" s="201"/>
      <c r="Z60" s="201"/>
    </row>
    <row r="61">
      <c r="A61" s="273"/>
      <c r="B61" s="276"/>
      <c r="C61" s="273"/>
      <c r="D61" s="202"/>
      <c r="E61" s="202"/>
      <c r="F61" s="202"/>
      <c r="G61" s="202"/>
      <c r="H61" s="202"/>
      <c r="I61" s="201"/>
      <c r="J61" s="202"/>
      <c r="K61" s="273"/>
      <c r="L61" s="202"/>
      <c r="M61" s="202"/>
      <c r="N61" s="202"/>
      <c r="O61" s="202"/>
      <c r="P61" s="202"/>
      <c r="Q61" s="202"/>
      <c r="R61" s="201"/>
      <c r="S61" s="202"/>
      <c r="T61" s="273"/>
      <c r="U61" s="202"/>
      <c r="V61" s="202"/>
      <c r="W61" s="202"/>
      <c r="X61" s="202"/>
      <c r="Y61" s="201"/>
      <c r="Z61" s="201"/>
    </row>
    <row r="62">
      <c r="A62" s="273"/>
      <c r="B62" s="276"/>
      <c r="C62" s="273"/>
      <c r="D62" s="202"/>
      <c r="E62" s="202"/>
      <c r="F62" s="202"/>
      <c r="G62" s="202"/>
      <c r="H62" s="202"/>
      <c r="I62" s="201"/>
      <c r="J62" s="202"/>
      <c r="K62" s="273"/>
      <c r="L62" s="202"/>
      <c r="M62" s="202"/>
      <c r="N62" s="202"/>
      <c r="O62" s="202"/>
      <c r="P62" s="202"/>
      <c r="Q62" s="202"/>
      <c r="R62" s="201"/>
      <c r="S62" s="202"/>
      <c r="T62" s="273"/>
      <c r="U62" s="202"/>
      <c r="V62" s="202"/>
      <c r="W62" s="202"/>
      <c r="X62" s="202"/>
      <c r="Y62" s="201"/>
      <c r="Z62" s="201"/>
    </row>
    <row r="63">
      <c r="A63" s="273"/>
      <c r="B63" s="276"/>
      <c r="C63" s="273"/>
      <c r="D63" s="202"/>
      <c r="E63" s="202"/>
      <c r="F63" s="202"/>
      <c r="G63" s="202"/>
      <c r="H63" s="202"/>
      <c r="I63" s="201"/>
      <c r="J63" s="202"/>
      <c r="K63" s="273"/>
      <c r="L63" s="202"/>
      <c r="M63" s="202"/>
      <c r="N63" s="202"/>
      <c r="O63" s="202"/>
      <c r="P63" s="202"/>
      <c r="Q63" s="202"/>
      <c r="R63" s="201"/>
      <c r="S63" s="202"/>
      <c r="T63" s="273"/>
      <c r="U63" s="202"/>
      <c r="V63" s="202"/>
      <c r="W63" s="202"/>
      <c r="X63" s="202"/>
      <c r="Y63" s="201"/>
      <c r="Z63" s="201"/>
    </row>
    <row r="64">
      <c r="A64" s="273"/>
      <c r="B64" s="276"/>
      <c r="C64" s="273"/>
      <c r="D64" s="202"/>
      <c r="E64" s="202"/>
      <c r="F64" s="202"/>
      <c r="G64" s="202"/>
      <c r="H64" s="202"/>
      <c r="I64" s="201"/>
      <c r="J64" s="202"/>
      <c r="K64" s="273"/>
      <c r="L64" s="202"/>
      <c r="M64" s="202"/>
      <c r="N64" s="202"/>
      <c r="O64" s="202"/>
      <c r="P64" s="202"/>
      <c r="Q64" s="202"/>
      <c r="R64" s="201"/>
      <c r="S64" s="202"/>
      <c r="T64" s="273"/>
      <c r="U64" s="202"/>
      <c r="V64" s="202"/>
      <c r="W64" s="202"/>
      <c r="X64" s="202"/>
      <c r="Y64" s="201"/>
      <c r="Z64" s="201"/>
    </row>
    <row r="65">
      <c r="A65" s="273"/>
      <c r="B65" s="276"/>
      <c r="C65" s="273"/>
      <c r="D65" s="202"/>
      <c r="E65" s="202"/>
      <c r="F65" s="202"/>
      <c r="G65" s="202"/>
      <c r="H65" s="202"/>
      <c r="I65" s="201"/>
      <c r="J65" s="202"/>
      <c r="K65" s="273"/>
      <c r="L65" s="202"/>
      <c r="M65" s="202"/>
      <c r="N65" s="202"/>
      <c r="O65" s="202"/>
      <c r="P65" s="202"/>
      <c r="Q65" s="202"/>
      <c r="R65" s="201"/>
      <c r="S65" s="202"/>
      <c r="T65" s="273"/>
      <c r="U65" s="202"/>
      <c r="V65" s="202"/>
      <c r="W65" s="202"/>
      <c r="X65" s="202"/>
      <c r="Y65" s="201"/>
      <c r="Z65" s="201"/>
    </row>
    <row r="66">
      <c r="A66" s="273"/>
      <c r="B66" s="276"/>
      <c r="C66" s="273"/>
      <c r="D66" s="202"/>
      <c r="E66" s="202"/>
      <c r="F66" s="202"/>
      <c r="G66" s="202"/>
      <c r="H66" s="202"/>
      <c r="I66" s="201"/>
      <c r="J66" s="202"/>
      <c r="K66" s="273"/>
      <c r="L66" s="202"/>
      <c r="M66" s="202"/>
      <c r="N66" s="202"/>
      <c r="O66" s="202"/>
      <c r="P66" s="202"/>
      <c r="Q66" s="202"/>
      <c r="R66" s="201"/>
      <c r="S66" s="202"/>
      <c r="T66" s="273"/>
      <c r="U66" s="202"/>
      <c r="V66" s="202"/>
      <c r="W66" s="202"/>
      <c r="X66" s="202"/>
      <c r="Y66" s="201"/>
      <c r="Z66" s="201"/>
    </row>
    <row r="67">
      <c r="A67" s="273"/>
      <c r="B67" s="276"/>
      <c r="C67" s="273"/>
      <c r="D67" s="202"/>
      <c r="E67" s="202"/>
      <c r="F67" s="202"/>
      <c r="G67" s="202"/>
      <c r="H67" s="202"/>
      <c r="I67" s="201"/>
      <c r="J67" s="202"/>
      <c r="K67" s="273"/>
      <c r="L67" s="202"/>
      <c r="M67" s="202"/>
      <c r="N67" s="202"/>
      <c r="O67" s="202"/>
      <c r="P67" s="202"/>
      <c r="Q67" s="202"/>
      <c r="R67" s="201"/>
      <c r="S67" s="202"/>
      <c r="T67" s="273"/>
      <c r="U67" s="202"/>
      <c r="V67" s="202"/>
      <c r="W67" s="202"/>
      <c r="X67" s="202"/>
      <c r="Y67" s="201"/>
      <c r="Z67" s="201"/>
    </row>
    <row r="68">
      <c r="A68" s="273"/>
      <c r="B68" s="276"/>
      <c r="C68" s="273"/>
      <c r="D68" s="202"/>
      <c r="E68" s="202"/>
      <c r="F68" s="202"/>
      <c r="G68" s="202"/>
      <c r="H68" s="202"/>
      <c r="I68" s="201"/>
      <c r="J68" s="202"/>
      <c r="K68" s="273"/>
      <c r="L68" s="202"/>
      <c r="M68" s="202"/>
      <c r="N68" s="202"/>
      <c r="O68" s="202"/>
      <c r="P68" s="202"/>
      <c r="Q68" s="202"/>
      <c r="R68" s="201"/>
      <c r="S68" s="202"/>
      <c r="T68" s="273"/>
      <c r="U68" s="202"/>
      <c r="V68" s="202"/>
      <c r="W68" s="202"/>
      <c r="X68" s="202"/>
      <c r="Y68" s="201"/>
      <c r="Z68" s="201"/>
    </row>
    <row r="69">
      <c r="A69" s="273"/>
      <c r="B69" s="276"/>
      <c r="C69" s="273"/>
      <c r="D69" s="202"/>
      <c r="E69" s="202"/>
      <c r="F69" s="202"/>
      <c r="G69" s="202"/>
      <c r="H69" s="202"/>
      <c r="I69" s="201"/>
      <c r="J69" s="202"/>
      <c r="K69" s="273"/>
      <c r="L69" s="202"/>
      <c r="M69" s="202"/>
      <c r="N69" s="202"/>
      <c r="O69" s="202"/>
      <c r="P69" s="202"/>
      <c r="Q69" s="202"/>
      <c r="R69" s="201"/>
      <c r="S69" s="202"/>
      <c r="T69" s="273"/>
      <c r="U69" s="202"/>
      <c r="V69" s="202"/>
      <c r="W69" s="202"/>
      <c r="X69" s="202"/>
      <c r="Y69" s="201"/>
      <c r="Z69" s="201"/>
    </row>
    <row r="70">
      <c r="A70" s="273"/>
      <c r="B70" s="276"/>
      <c r="C70" s="273"/>
      <c r="D70" s="202"/>
      <c r="E70" s="202"/>
      <c r="F70" s="202"/>
      <c r="G70" s="202"/>
      <c r="H70" s="202"/>
      <c r="I70" s="201"/>
      <c r="J70" s="202"/>
      <c r="K70" s="273"/>
      <c r="L70" s="202"/>
      <c r="M70" s="202"/>
      <c r="N70" s="202"/>
      <c r="O70" s="202"/>
      <c r="P70" s="202"/>
      <c r="Q70" s="202"/>
      <c r="R70" s="201"/>
      <c r="S70" s="202"/>
      <c r="T70" s="273"/>
      <c r="U70" s="202"/>
      <c r="V70" s="202"/>
      <c r="W70" s="202"/>
      <c r="X70" s="202"/>
      <c r="Y70" s="201"/>
      <c r="Z70" s="201"/>
    </row>
    <row r="71">
      <c r="A71" s="273"/>
      <c r="B71" s="276"/>
      <c r="C71" s="273"/>
      <c r="D71" s="202"/>
      <c r="E71" s="202"/>
      <c r="F71" s="202"/>
      <c r="G71" s="202"/>
      <c r="H71" s="202"/>
      <c r="I71" s="201"/>
      <c r="J71" s="202"/>
      <c r="K71" s="273"/>
      <c r="L71" s="202"/>
      <c r="M71" s="202"/>
      <c r="N71" s="202"/>
      <c r="O71" s="202"/>
      <c r="P71" s="202"/>
      <c r="Q71" s="202"/>
      <c r="R71" s="201"/>
      <c r="S71" s="202"/>
      <c r="T71" s="273"/>
      <c r="U71" s="202"/>
      <c r="V71" s="202"/>
      <c r="W71" s="202"/>
      <c r="X71" s="202"/>
      <c r="Y71" s="201"/>
      <c r="Z71" s="201"/>
    </row>
    <row r="72">
      <c r="A72" s="273"/>
      <c r="B72" s="276"/>
      <c r="C72" s="273"/>
      <c r="D72" s="202"/>
      <c r="E72" s="202"/>
      <c r="F72" s="202"/>
      <c r="G72" s="202"/>
      <c r="H72" s="202"/>
      <c r="I72" s="201"/>
      <c r="J72" s="202"/>
      <c r="K72" s="273"/>
      <c r="L72" s="202"/>
      <c r="M72" s="202"/>
      <c r="N72" s="202"/>
      <c r="O72" s="202"/>
      <c r="P72" s="202"/>
      <c r="Q72" s="202"/>
      <c r="R72" s="201"/>
      <c r="S72" s="202"/>
      <c r="T72" s="273"/>
      <c r="U72" s="202"/>
      <c r="V72" s="202"/>
      <c r="W72" s="202"/>
      <c r="X72" s="202"/>
      <c r="Y72" s="201"/>
      <c r="Z72" s="201"/>
    </row>
    <row r="73">
      <c r="A73" s="273"/>
      <c r="B73" s="276"/>
      <c r="C73" s="273"/>
      <c r="D73" s="202"/>
      <c r="E73" s="202"/>
      <c r="F73" s="202"/>
      <c r="G73" s="202"/>
      <c r="H73" s="202"/>
      <c r="I73" s="201"/>
      <c r="J73" s="202"/>
      <c r="K73" s="273"/>
      <c r="L73" s="202"/>
      <c r="M73" s="202"/>
      <c r="N73" s="202"/>
      <c r="O73" s="202"/>
      <c r="P73" s="202"/>
      <c r="Q73" s="202"/>
      <c r="R73" s="201"/>
      <c r="S73" s="202"/>
      <c r="T73" s="273"/>
      <c r="U73" s="202"/>
      <c r="V73" s="202"/>
      <c r="W73" s="202"/>
      <c r="X73" s="202"/>
      <c r="Y73" s="201"/>
      <c r="Z73" s="201"/>
    </row>
    <row r="74">
      <c r="A74" s="273"/>
      <c r="B74" s="276"/>
      <c r="C74" s="273"/>
      <c r="D74" s="202"/>
      <c r="E74" s="202"/>
      <c r="F74" s="202"/>
      <c r="G74" s="202"/>
      <c r="H74" s="202"/>
      <c r="I74" s="201"/>
      <c r="J74" s="202"/>
      <c r="K74" s="273"/>
      <c r="L74" s="202"/>
      <c r="M74" s="202"/>
      <c r="N74" s="202"/>
      <c r="O74" s="202"/>
      <c r="P74" s="202"/>
      <c r="Q74" s="202"/>
      <c r="R74" s="201"/>
      <c r="S74" s="202"/>
      <c r="T74" s="273"/>
      <c r="U74" s="202"/>
      <c r="V74" s="202"/>
      <c r="W74" s="202"/>
      <c r="X74" s="202"/>
      <c r="Y74" s="201"/>
      <c r="Z74" s="201"/>
    </row>
    <row r="75">
      <c r="A75" s="273"/>
      <c r="B75" s="276"/>
      <c r="C75" s="273"/>
      <c r="D75" s="202"/>
      <c r="E75" s="202"/>
      <c r="F75" s="202"/>
      <c r="G75" s="202"/>
      <c r="H75" s="202"/>
      <c r="I75" s="201"/>
      <c r="J75" s="202"/>
      <c r="K75" s="273"/>
      <c r="L75" s="202"/>
      <c r="M75" s="202"/>
      <c r="N75" s="202"/>
      <c r="O75" s="202"/>
      <c r="P75" s="202"/>
      <c r="Q75" s="202"/>
      <c r="R75" s="201"/>
      <c r="S75" s="202"/>
      <c r="T75" s="273"/>
      <c r="U75" s="202"/>
      <c r="V75" s="202"/>
      <c r="W75" s="202"/>
      <c r="X75" s="202"/>
      <c r="Y75" s="201"/>
      <c r="Z75" s="201"/>
    </row>
    <row r="76">
      <c r="A76" s="273"/>
      <c r="B76" s="276"/>
      <c r="C76" s="273"/>
      <c r="D76" s="202"/>
      <c r="E76" s="202"/>
      <c r="F76" s="202"/>
      <c r="G76" s="202"/>
      <c r="H76" s="202"/>
      <c r="I76" s="201"/>
      <c r="J76" s="202"/>
      <c r="K76" s="273"/>
      <c r="L76" s="202"/>
      <c r="M76" s="202"/>
      <c r="N76" s="202"/>
      <c r="O76" s="202"/>
      <c r="P76" s="202"/>
      <c r="Q76" s="202"/>
      <c r="R76" s="201"/>
      <c r="S76" s="202"/>
      <c r="T76" s="273"/>
      <c r="U76" s="202"/>
      <c r="V76" s="202"/>
      <c r="W76" s="202"/>
      <c r="X76" s="202"/>
      <c r="Y76" s="201"/>
      <c r="Z76" s="201"/>
    </row>
    <row r="77">
      <c r="A77" s="273"/>
      <c r="B77" s="276"/>
      <c r="C77" s="273"/>
      <c r="D77" s="202"/>
      <c r="E77" s="202"/>
      <c r="F77" s="202"/>
      <c r="G77" s="202"/>
      <c r="H77" s="202"/>
      <c r="I77" s="201"/>
      <c r="J77" s="202"/>
      <c r="K77" s="273"/>
      <c r="L77" s="202"/>
      <c r="M77" s="202"/>
      <c r="N77" s="202"/>
      <c r="O77" s="202"/>
      <c r="P77" s="202"/>
      <c r="Q77" s="202"/>
      <c r="R77" s="201"/>
      <c r="S77" s="202"/>
      <c r="T77" s="273"/>
      <c r="U77" s="202"/>
      <c r="V77" s="202"/>
      <c r="W77" s="202"/>
      <c r="X77" s="202"/>
      <c r="Y77" s="201"/>
      <c r="Z77" s="201"/>
    </row>
    <row r="78">
      <c r="A78" s="273"/>
      <c r="B78" s="276"/>
      <c r="C78" s="273"/>
      <c r="D78" s="202"/>
      <c r="E78" s="202"/>
      <c r="F78" s="202"/>
      <c r="G78" s="202"/>
      <c r="H78" s="202"/>
      <c r="I78" s="201"/>
      <c r="J78" s="202"/>
      <c r="K78" s="273"/>
      <c r="L78" s="202"/>
      <c r="M78" s="202"/>
      <c r="N78" s="202"/>
      <c r="O78" s="202"/>
      <c r="P78" s="202"/>
      <c r="Q78" s="202"/>
      <c r="R78" s="201"/>
      <c r="S78" s="202"/>
      <c r="T78" s="273"/>
      <c r="U78" s="202"/>
      <c r="V78" s="202"/>
      <c r="W78" s="202"/>
      <c r="X78" s="202"/>
      <c r="Y78" s="201"/>
      <c r="Z78" s="201"/>
    </row>
    <row r="79">
      <c r="A79" s="273"/>
      <c r="B79" s="276"/>
      <c r="C79" s="273"/>
      <c r="D79" s="202"/>
      <c r="E79" s="202"/>
      <c r="F79" s="202"/>
      <c r="G79" s="202"/>
      <c r="H79" s="202"/>
      <c r="I79" s="201"/>
      <c r="J79" s="202"/>
      <c r="K79" s="273"/>
      <c r="L79" s="202"/>
      <c r="M79" s="202"/>
      <c r="N79" s="202"/>
      <c r="O79" s="202"/>
      <c r="P79" s="202"/>
      <c r="Q79" s="202"/>
      <c r="R79" s="201"/>
      <c r="S79" s="202"/>
      <c r="T79" s="273"/>
      <c r="U79" s="202"/>
      <c r="V79" s="202"/>
      <c r="W79" s="202"/>
      <c r="X79" s="202"/>
      <c r="Y79" s="201"/>
      <c r="Z79" s="201"/>
    </row>
    <row r="80">
      <c r="A80" s="273"/>
      <c r="B80" s="276"/>
      <c r="C80" s="273"/>
      <c r="D80" s="202"/>
      <c r="E80" s="202"/>
      <c r="F80" s="202"/>
      <c r="G80" s="202"/>
      <c r="H80" s="202"/>
      <c r="I80" s="201"/>
      <c r="J80" s="202"/>
      <c r="K80" s="273"/>
      <c r="L80" s="202"/>
      <c r="M80" s="202"/>
      <c r="N80" s="202"/>
      <c r="O80" s="202"/>
      <c r="P80" s="202"/>
      <c r="Q80" s="202"/>
      <c r="R80" s="201"/>
      <c r="S80" s="202"/>
      <c r="T80" s="273"/>
      <c r="U80" s="202"/>
      <c r="V80" s="202"/>
      <c r="W80" s="202"/>
      <c r="X80" s="202"/>
      <c r="Y80" s="201"/>
      <c r="Z80" s="201"/>
    </row>
    <row r="81">
      <c r="A81" s="273"/>
      <c r="B81" s="276"/>
      <c r="C81" s="273"/>
      <c r="D81" s="202"/>
      <c r="E81" s="202"/>
      <c r="F81" s="202"/>
      <c r="G81" s="202"/>
      <c r="H81" s="202"/>
      <c r="I81" s="201"/>
      <c r="J81" s="202"/>
      <c r="K81" s="273"/>
      <c r="L81" s="202"/>
      <c r="M81" s="202"/>
      <c r="N81" s="202"/>
      <c r="O81" s="202"/>
      <c r="P81" s="202"/>
      <c r="Q81" s="202"/>
      <c r="R81" s="201"/>
      <c r="S81" s="202"/>
      <c r="T81" s="273"/>
      <c r="U81" s="202"/>
      <c r="V81" s="202"/>
      <c r="W81" s="202"/>
      <c r="X81" s="202"/>
      <c r="Y81" s="201"/>
      <c r="Z81" s="201"/>
    </row>
    <row r="82">
      <c r="A82" s="273"/>
      <c r="B82" s="276"/>
      <c r="C82" s="273"/>
      <c r="D82" s="202"/>
      <c r="E82" s="202"/>
      <c r="F82" s="202"/>
      <c r="G82" s="202"/>
      <c r="H82" s="202"/>
      <c r="I82" s="201"/>
      <c r="J82" s="202"/>
      <c r="K82" s="273"/>
      <c r="L82" s="202"/>
      <c r="M82" s="202"/>
      <c r="N82" s="202"/>
      <c r="O82" s="202"/>
      <c r="P82" s="202"/>
      <c r="Q82" s="202"/>
      <c r="R82" s="201"/>
      <c r="S82" s="202"/>
      <c r="T82" s="273"/>
      <c r="U82" s="202"/>
      <c r="V82" s="202"/>
      <c r="W82" s="202"/>
      <c r="X82" s="202"/>
      <c r="Y82" s="201"/>
      <c r="Z82" s="201"/>
    </row>
    <row r="83">
      <c r="A83" s="273"/>
      <c r="B83" s="276"/>
      <c r="C83" s="273"/>
      <c r="D83" s="202"/>
      <c r="E83" s="202"/>
      <c r="F83" s="202"/>
      <c r="G83" s="202"/>
      <c r="H83" s="202"/>
      <c r="I83" s="201"/>
      <c r="J83" s="202"/>
      <c r="K83" s="273"/>
      <c r="L83" s="202"/>
      <c r="M83" s="202"/>
      <c r="N83" s="202"/>
      <c r="O83" s="202"/>
      <c r="P83" s="202"/>
      <c r="Q83" s="202"/>
      <c r="R83" s="201"/>
      <c r="S83" s="202"/>
      <c r="T83" s="273"/>
      <c r="U83" s="202"/>
      <c r="V83" s="202"/>
      <c r="W83" s="202"/>
      <c r="X83" s="202"/>
      <c r="Y83" s="201"/>
      <c r="Z83" s="201"/>
    </row>
    <row r="84">
      <c r="A84" s="273"/>
      <c r="B84" s="276"/>
      <c r="C84" s="273"/>
      <c r="D84" s="202"/>
      <c r="E84" s="202"/>
      <c r="F84" s="202"/>
      <c r="G84" s="202"/>
      <c r="H84" s="202"/>
      <c r="I84" s="201"/>
      <c r="J84" s="202"/>
      <c r="K84" s="273"/>
      <c r="L84" s="202"/>
      <c r="M84" s="202"/>
      <c r="N84" s="202"/>
      <c r="O84" s="202"/>
      <c r="P84" s="202"/>
      <c r="Q84" s="202"/>
      <c r="R84" s="201"/>
      <c r="S84" s="202"/>
      <c r="T84" s="273"/>
      <c r="U84" s="202"/>
      <c r="V84" s="202"/>
      <c r="W84" s="202"/>
      <c r="X84" s="202"/>
      <c r="Y84" s="201"/>
      <c r="Z84" s="201"/>
    </row>
    <row r="85">
      <c r="A85" s="273"/>
      <c r="B85" s="276"/>
      <c r="C85" s="273"/>
      <c r="D85" s="202"/>
      <c r="E85" s="202"/>
      <c r="F85" s="202"/>
      <c r="G85" s="202"/>
      <c r="H85" s="202"/>
      <c r="I85" s="201"/>
      <c r="J85" s="202"/>
      <c r="K85" s="273"/>
      <c r="L85" s="202"/>
      <c r="M85" s="202"/>
      <c r="N85" s="202"/>
      <c r="O85" s="202"/>
      <c r="P85" s="202"/>
      <c r="Q85" s="202"/>
      <c r="R85" s="201"/>
      <c r="S85" s="202"/>
      <c r="T85" s="273"/>
      <c r="U85" s="202"/>
      <c r="V85" s="202"/>
      <c r="W85" s="202"/>
      <c r="X85" s="202"/>
      <c r="Y85" s="201"/>
      <c r="Z85" s="201"/>
    </row>
    <row r="86">
      <c r="A86" s="273"/>
      <c r="B86" s="276"/>
      <c r="C86" s="273"/>
      <c r="D86" s="202"/>
      <c r="E86" s="202"/>
      <c r="F86" s="202"/>
      <c r="G86" s="202"/>
      <c r="H86" s="202"/>
      <c r="I86" s="201"/>
      <c r="J86" s="202"/>
      <c r="K86" s="273"/>
      <c r="L86" s="202"/>
      <c r="M86" s="202"/>
      <c r="N86" s="202"/>
      <c r="O86" s="202"/>
      <c r="P86" s="202"/>
      <c r="Q86" s="202"/>
      <c r="R86" s="201"/>
      <c r="S86" s="202"/>
      <c r="T86" s="273"/>
      <c r="U86" s="202"/>
      <c r="V86" s="202"/>
      <c r="W86" s="202"/>
      <c r="X86" s="202"/>
      <c r="Y86" s="201"/>
      <c r="Z86" s="201"/>
    </row>
    <row r="87">
      <c r="A87" s="273"/>
      <c r="B87" s="276"/>
      <c r="C87" s="273"/>
      <c r="D87" s="202"/>
      <c r="E87" s="202"/>
      <c r="F87" s="202"/>
      <c r="G87" s="202"/>
      <c r="H87" s="202"/>
      <c r="I87" s="201"/>
      <c r="J87" s="202"/>
      <c r="K87" s="273"/>
      <c r="L87" s="202"/>
      <c r="M87" s="202"/>
      <c r="N87" s="202"/>
      <c r="O87" s="202"/>
      <c r="P87" s="202"/>
      <c r="Q87" s="202"/>
      <c r="R87" s="201"/>
      <c r="S87" s="202"/>
      <c r="T87" s="273"/>
      <c r="U87" s="202"/>
      <c r="V87" s="202"/>
      <c r="W87" s="202"/>
      <c r="X87" s="202"/>
      <c r="Y87" s="201"/>
      <c r="Z87" s="201"/>
    </row>
    <row r="88">
      <c r="A88" s="273"/>
      <c r="B88" s="276"/>
      <c r="C88" s="273"/>
      <c r="D88" s="202"/>
      <c r="E88" s="202"/>
      <c r="F88" s="202"/>
      <c r="G88" s="202"/>
      <c r="H88" s="202"/>
      <c r="I88" s="201"/>
      <c r="J88" s="202"/>
      <c r="K88" s="273"/>
      <c r="L88" s="202"/>
      <c r="M88" s="202"/>
      <c r="N88" s="202"/>
      <c r="O88" s="202"/>
      <c r="P88" s="202"/>
      <c r="Q88" s="202"/>
      <c r="R88" s="201"/>
      <c r="S88" s="202"/>
      <c r="T88" s="273"/>
      <c r="U88" s="202"/>
      <c r="V88" s="202"/>
      <c r="W88" s="202"/>
      <c r="X88" s="202"/>
      <c r="Y88" s="201"/>
      <c r="Z88" s="201"/>
    </row>
    <row r="89">
      <c r="A89" s="273"/>
      <c r="B89" s="276"/>
      <c r="C89" s="273"/>
      <c r="D89" s="202"/>
      <c r="E89" s="202"/>
      <c r="F89" s="202"/>
      <c r="G89" s="202"/>
      <c r="H89" s="202"/>
      <c r="I89" s="201"/>
      <c r="J89" s="202"/>
      <c r="K89" s="273"/>
      <c r="L89" s="202"/>
      <c r="M89" s="202"/>
      <c r="N89" s="202"/>
      <c r="O89" s="202"/>
      <c r="P89" s="202"/>
      <c r="Q89" s="202"/>
      <c r="R89" s="201"/>
      <c r="S89" s="202"/>
      <c r="T89" s="273"/>
      <c r="U89" s="202"/>
      <c r="V89" s="202"/>
      <c r="W89" s="202"/>
      <c r="X89" s="202"/>
      <c r="Y89" s="201"/>
      <c r="Z89" s="201"/>
    </row>
    <row r="90">
      <c r="A90" s="273"/>
      <c r="B90" s="276"/>
      <c r="C90" s="273"/>
      <c r="D90" s="202"/>
      <c r="E90" s="202"/>
      <c r="F90" s="202"/>
      <c r="G90" s="202"/>
      <c r="H90" s="202"/>
      <c r="I90" s="201"/>
      <c r="J90" s="202"/>
      <c r="K90" s="273"/>
      <c r="L90" s="202"/>
      <c r="M90" s="202"/>
      <c r="N90" s="202"/>
      <c r="O90" s="202"/>
      <c r="P90" s="202"/>
      <c r="Q90" s="202"/>
      <c r="R90" s="201"/>
      <c r="S90" s="202"/>
      <c r="T90" s="273"/>
      <c r="U90" s="202"/>
      <c r="V90" s="202"/>
      <c r="W90" s="202"/>
      <c r="X90" s="202"/>
      <c r="Y90" s="201"/>
      <c r="Z90" s="201"/>
    </row>
    <row r="91">
      <c r="A91" s="273"/>
      <c r="B91" s="276"/>
      <c r="C91" s="273"/>
      <c r="D91" s="202"/>
      <c r="E91" s="202"/>
      <c r="F91" s="202"/>
      <c r="G91" s="202"/>
      <c r="H91" s="202"/>
      <c r="I91" s="201"/>
      <c r="J91" s="202"/>
      <c r="K91" s="273"/>
      <c r="L91" s="202"/>
      <c r="M91" s="202"/>
      <c r="N91" s="202"/>
      <c r="O91" s="202"/>
      <c r="P91" s="202"/>
      <c r="Q91" s="202"/>
      <c r="R91" s="201"/>
      <c r="S91" s="202"/>
      <c r="T91" s="273"/>
      <c r="U91" s="202"/>
      <c r="V91" s="202"/>
      <c r="W91" s="202"/>
      <c r="X91" s="202"/>
      <c r="Y91" s="201"/>
      <c r="Z91" s="201"/>
    </row>
    <row r="92">
      <c r="A92" s="273"/>
      <c r="B92" s="276"/>
      <c r="C92" s="273"/>
      <c r="D92" s="202"/>
      <c r="E92" s="202"/>
      <c r="F92" s="202"/>
      <c r="G92" s="202"/>
      <c r="H92" s="202"/>
      <c r="I92" s="201"/>
      <c r="J92" s="202"/>
      <c r="K92" s="273"/>
      <c r="L92" s="202"/>
      <c r="M92" s="202"/>
      <c r="N92" s="202"/>
      <c r="O92" s="202"/>
      <c r="P92" s="202"/>
      <c r="Q92" s="202"/>
      <c r="R92" s="201"/>
      <c r="S92" s="202"/>
      <c r="T92" s="273"/>
      <c r="U92" s="202"/>
      <c r="V92" s="202"/>
      <c r="W92" s="202"/>
      <c r="X92" s="202"/>
      <c r="Y92" s="201"/>
      <c r="Z92" s="201"/>
    </row>
    <row r="93">
      <c r="A93" s="273"/>
      <c r="B93" s="276"/>
      <c r="C93" s="273"/>
      <c r="D93" s="202"/>
      <c r="E93" s="202"/>
      <c r="F93" s="202"/>
      <c r="G93" s="202"/>
      <c r="H93" s="202"/>
      <c r="I93" s="201"/>
      <c r="J93" s="202"/>
      <c r="K93" s="273"/>
      <c r="L93" s="202"/>
      <c r="M93" s="202"/>
      <c r="N93" s="202"/>
      <c r="O93" s="202"/>
      <c r="P93" s="202"/>
      <c r="Q93" s="202"/>
      <c r="R93" s="201"/>
      <c r="S93" s="202"/>
      <c r="T93" s="273"/>
      <c r="U93" s="202"/>
      <c r="V93" s="202"/>
      <c r="W93" s="202"/>
      <c r="X93" s="202"/>
      <c r="Y93" s="201"/>
      <c r="Z93" s="201"/>
    </row>
    <row r="94">
      <c r="A94" s="273"/>
      <c r="B94" s="276"/>
      <c r="C94" s="273"/>
      <c r="D94" s="202"/>
      <c r="E94" s="202"/>
      <c r="F94" s="202"/>
      <c r="G94" s="202"/>
      <c r="H94" s="202"/>
      <c r="I94" s="201"/>
      <c r="J94" s="202"/>
      <c r="K94" s="273"/>
      <c r="L94" s="202"/>
      <c r="M94" s="202"/>
      <c r="N94" s="202"/>
      <c r="O94" s="202"/>
      <c r="P94" s="202"/>
      <c r="Q94" s="202"/>
      <c r="R94" s="201"/>
      <c r="S94" s="202"/>
      <c r="T94" s="273"/>
      <c r="U94" s="202"/>
      <c r="V94" s="202"/>
      <c r="W94" s="202"/>
      <c r="X94" s="202"/>
      <c r="Y94" s="201"/>
      <c r="Z94" s="201"/>
    </row>
    <row r="95">
      <c r="A95" s="273"/>
      <c r="B95" s="276"/>
      <c r="C95" s="273"/>
      <c r="D95" s="202"/>
      <c r="E95" s="202"/>
      <c r="F95" s="202"/>
      <c r="G95" s="202"/>
      <c r="H95" s="202"/>
      <c r="I95" s="201"/>
      <c r="J95" s="202"/>
      <c r="K95" s="273"/>
      <c r="L95" s="202"/>
      <c r="M95" s="202"/>
      <c r="N95" s="202"/>
      <c r="O95" s="202"/>
      <c r="P95" s="202"/>
      <c r="Q95" s="202"/>
      <c r="R95" s="201"/>
      <c r="S95" s="202"/>
      <c r="T95" s="273"/>
      <c r="U95" s="202"/>
      <c r="V95" s="202"/>
      <c r="W95" s="202"/>
      <c r="X95" s="202"/>
      <c r="Y95" s="201"/>
      <c r="Z95" s="201"/>
    </row>
    <row r="96">
      <c r="A96" s="273"/>
      <c r="B96" s="276"/>
      <c r="C96" s="273"/>
      <c r="D96" s="202"/>
      <c r="E96" s="202"/>
      <c r="F96" s="202"/>
      <c r="G96" s="202"/>
      <c r="H96" s="202"/>
      <c r="I96" s="201"/>
      <c r="J96" s="202"/>
      <c r="K96" s="273"/>
      <c r="L96" s="202"/>
      <c r="M96" s="202"/>
      <c r="N96" s="202"/>
      <c r="O96" s="202"/>
      <c r="P96" s="202"/>
      <c r="Q96" s="202"/>
      <c r="R96" s="201"/>
      <c r="S96" s="202"/>
      <c r="T96" s="273"/>
      <c r="U96" s="202"/>
      <c r="V96" s="202"/>
      <c r="W96" s="202"/>
      <c r="X96" s="202"/>
      <c r="Y96" s="201"/>
      <c r="Z96" s="201"/>
    </row>
    <row r="97">
      <c r="A97" s="273"/>
      <c r="B97" s="276"/>
      <c r="C97" s="273"/>
      <c r="D97" s="202"/>
      <c r="E97" s="202"/>
      <c r="F97" s="202"/>
      <c r="G97" s="202"/>
      <c r="H97" s="202"/>
      <c r="I97" s="201"/>
      <c r="J97" s="202"/>
      <c r="K97" s="273"/>
      <c r="L97" s="202"/>
      <c r="M97" s="202"/>
      <c r="N97" s="202"/>
      <c r="O97" s="202"/>
      <c r="P97" s="202"/>
      <c r="Q97" s="202"/>
      <c r="R97" s="201"/>
      <c r="S97" s="202"/>
      <c r="T97" s="273"/>
      <c r="U97" s="202"/>
      <c r="V97" s="202"/>
      <c r="W97" s="202"/>
      <c r="X97" s="202"/>
      <c r="Y97" s="201"/>
      <c r="Z97" s="201"/>
    </row>
    <row r="98">
      <c r="A98" s="273"/>
      <c r="B98" s="276"/>
      <c r="C98" s="273"/>
      <c r="D98" s="202"/>
      <c r="E98" s="202"/>
      <c r="F98" s="202"/>
      <c r="G98" s="202"/>
      <c r="H98" s="202"/>
      <c r="I98" s="201"/>
      <c r="J98" s="202"/>
      <c r="K98" s="273"/>
      <c r="L98" s="202"/>
      <c r="M98" s="202"/>
      <c r="N98" s="202"/>
      <c r="O98" s="202"/>
      <c r="P98" s="202"/>
      <c r="Q98" s="202"/>
      <c r="R98" s="201"/>
      <c r="S98" s="202"/>
      <c r="T98" s="273"/>
      <c r="U98" s="202"/>
      <c r="V98" s="202"/>
      <c r="W98" s="202"/>
      <c r="X98" s="202"/>
      <c r="Y98" s="201"/>
      <c r="Z98" s="201"/>
    </row>
    <row r="99">
      <c r="A99" s="273"/>
      <c r="B99" s="276"/>
      <c r="C99" s="273"/>
      <c r="D99" s="202"/>
      <c r="E99" s="202"/>
      <c r="F99" s="202"/>
      <c r="G99" s="202"/>
      <c r="H99" s="202"/>
      <c r="I99" s="201"/>
      <c r="J99" s="202"/>
      <c r="K99" s="273"/>
      <c r="L99" s="202"/>
      <c r="M99" s="202"/>
      <c r="N99" s="202"/>
      <c r="O99" s="202"/>
      <c r="P99" s="202"/>
      <c r="Q99" s="202"/>
      <c r="R99" s="201"/>
      <c r="S99" s="202"/>
      <c r="T99" s="273"/>
      <c r="U99" s="202"/>
      <c r="V99" s="202"/>
      <c r="W99" s="202"/>
      <c r="X99" s="202"/>
      <c r="Y99" s="201"/>
      <c r="Z99" s="201"/>
    </row>
    <row r="100">
      <c r="A100" s="273"/>
      <c r="B100" s="276"/>
      <c r="C100" s="273"/>
      <c r="D100" s="202"/>
      <c r="E100" s="202"/>
      <c r="F100" s="202"/>
      <c r="G100" s="202"/>
      <c r="H100" s="202"/>
      <c r="I100" s="201"/>
      <c r="J100" s="202"/>
      <c r="K100" s="273"/>
      <c r="L100" s="202"/>
      <c r="M100" s="202"/>
      <c r="N100" s="202"/>
      <c r="O100" s="202"/>
      <c r="P100" s="202"/>
      <c r="Q100" s="202"/>
      <c r="R100" s="201"/>
      <c r="S100" s="202"/>
      <c r="T100" s="273"/>
      <c r="U100" s="202"/>
      <c r="V100" s="202"/>
      <c r="W100" s="202"/>
      <c r="X100" s="202"/>
      <c r="Y100" s="201"/>
      <c r="Z100" s="201"/>
    </row>
    <row r="101">
      <c r="A101" s="273"/>
      <c r="B101" s="276"/>
      <c r="C101" s="273"/>
      <c r="D101" s="202"/>
      <c r="E101" s="202"/>
      <c r="F101" s="202"/>
      <c r="G101" s="202"/>
      <c r="H101" s="202"/>
      <c r="I101" s="201"/>
      <c r="J101" s="202"/>
      <c r="K101" s="273"/>
      <c r="L101" s="202"/>
      <c r="M101" s="202"/>
      <c r="N101" s="202"/>
      <c r="O101" s="202"/>
      <c r="P101" s="202"/>
      <c r="Q101" s="202"/>
      <c r="R101" s="201"/>
      <c r="S101" s="202"/>
      <c r="T101" s="273"/>
      <c r="U101" s="202"/>
      <c r="V101" s="202"/>
      <c r="W101" s="202"/>
      <c r="X101" s="202"/>
      <c r="Y101" s="201"/>
      <c r="Z101" s="201"/>
    </row>
    <row r="102">
      <c r="A102" s="273"/>
      <c r="B102" s="276"/>
      <c r="C102" s="273"/>
      <c r="D102" s="202"/>
      <c r="E102" s="202"/>
      <c r="F102" s="202"/>
      <c r="G102" s="202"/>
      <c r="H102" s="202"/>
      <c r="I102" s="201"/>
      <c r="J102" s="202"/>
      <c r="K102" s="273"/>
      <c r="L102" s="202"/>
      <c r="M102" s="202"/>
      <c r="N102" s="202"/>
      <c r="O102" s="202"/>
      <c r="P102" s="202"/>
      <c r="Q102" s="202"/>
      <c r="R102" s="201"/>
      <c r="S102" s="202"/>
      <c r="T102" s="273"/>
      <c r="U102" s="202"/>
      <c r="V102" s="202"/>
      <c r="W102" s="202"/>
      <c r="X102" s="202"/>
      <c r="Y102" s="201"/>
      <c r="Z102" s="201"/>
    </row>
    <row r="103">
      <c r="A103" s="273"/>
      <c r="B103" s="276"/>
      <c r="C103" s="273"/>
      <c r="D103" s="202"/>
      <c r="E103" s="202"/>
      <c r="F103" s="202"/>
      <c r="G103" s="202"/>
      <c r="H103" s="202"/>
      <c r="I103" s="201"/>
      <c r="J103" s="202"/>
      <c r="K103" s="273"/>
      <c r="L103" s="202"/>
      <c r="M103" s="202"/>
      <c r="N103" s="202"/>
      <c r="O103" s="202"/>
      <c r="P103" s="202"/>
      <c r="Q103" s="202"/>
      <c r="R103" s="201"/>
      <c r="S103" s="202"/>
      <c r="T103" s="273"/>
      <c r="U103" s="202"/>
      <c r="V103" s="202"/>
      <c r="W103" s="202"/>
      <c r="X103" s="202"/>
      <c r="Y103" s="201"/>
      <c r="Z103" s="201"/>
    </row>
    <row r="104">
      <c r="A104" s="273"/>
      <c r="B104" s="276"/>
      <c r="C104" s="273"/>
      <c r="D104" s="202"/>
      <c r="E104" s="202"/>
      <c r="F104" s="202"/>
      <c r="G104" s="202"/>
      <c r="H104" s="202"/>
      <c r="I104" s="201"/>
      <c r="J104" s="202"/>
      <c r="K104" s="273"/>
      <c r="L104" s="202"/>
      <c r="M104" s="202"/>
      <c r="N104" s="202"/>
      <c r="O104" s="202"/>
      <c r="P104" s="202"/>
      <c r="Q104" s="202"/>
      <c r="R104" s="201"/>
      <c r="S104" s="202"/>
      <c r="T104" s="273"/>
      <c r="U104" s="202"/>
      <c r="V104" s="202"/>
      <c r="W104" s="202"/>
      <c r="X104" s="202"/>
      <c r="Y104" s="201"/>
      <c r="Z104" s="201"/>
    </row>
    <row r="105">
      <c r="A105" s="273"/>
      <c r="B105" s="276"/>
      <c r="C105" s="273"/>
      <c r="D105" s="202"/>
      <c r="E105" s="202"/>
      <c r="F105" s="202"/>
      <c r="G105" s="202"/>
      <c r="H105" s="202"/>
      <c r="I105" s="201"/>
      <c r="J105" s="202"/>
      <c r="K105" s="273"/>
      <c r="L105" s="202"/>
      <c r="M105" s="202"/>
      <c r="N105" s="202"/>
      <c r="O105" s="202"/>
      <c r="P105" s="202"/>
      <c r="Q105" s="202"/>
      <c r="R105" s="201"/>
      <c r="S105" s="202"/>
      <c r="T105" s="273"/>
      <c r="U105" s="202"/>
      <c r="V105" s="202"/>
      <c r="W105" s="202"/>
      <c r="X105" s="202"/>
      <c r="Y105" s="201"/>
      <c r="Z105" s="201"/>
    </row>
    <row r="106">
      <c r="A106" s="273"/>
      <c r="B106" s="276"/>
      <c r="C106" s="273"/>
      <c r="D106" s="202"/>
      <c r="E106" s="202"/>
      <c r="F106" s="202"/>
      <c r="G106" s="202"/>
      <c r="H106" s="202"/>
      <c r="I106" s="201"/>
      <c r="J106" s="202"/>
      <c r="K106" s="273"/>
      <c r="L106" s="202"/>
      <c r="M106" s="202"/>
      <c r="N106" s="202"/>
      <c r="O106" s="202"/>
      <c r="P106" s="202"/>
      <c r="Q106" s="202"/>
      <c r="R106" s="201"/>
      <c r="S106" s="202"/>
      <c r="T106" s="273"/>
      <c r="U106" s="202"/>
      <c r="V106" s="202"/>
      <c r="W106" s="202"/>
      <c r="X106" s="202"/>
      <c r="Y106" s="201"/>
      <c r="Z106" s="201"/>
    </row>
    <row r="107">
      <c r="A107" s="273"/>
      <c r="B107" s="276"/>
      <c r="C107" s="273"/>
      <c r="D107" s="202"/>
      <c r="E107" s="202"/>
      <c r="F107" s="202"/>
      <c r="G107" s="202"/>
      <c r="H107" s="202"/>
      <c r="I107" s="201"/>
      <c r="J107" s="202"/>
      <c r="K107" s="273"/>
      <c r="L107" s="202"/>
      <c r="M107" s="202"/>
      <c r="N107" s="202"/>
      <c r="O107" s="202"/>
      <c r="P107" s="202"/>
      <c r="Q107" s="202"/>
      <c r="R107" s="201"/>
      <c r="S107" s="202"/>
      <c r="T107" s="273"/>
      <c r="U107" s="202"/>
      <c r="V107" s="202"/>
      <c r="W107" s="202"/>
      <c r="X107" s="202"/>
      <c r="Y107" s="201"/>
      <c r="Z107" s="201"/>
    </row>
    <row r="108">
      <c r="A108" s="273"/>
      <c r="B108" s="276"/>
      <c r="C108" s="273"/>
      <c r="D108" s="202"/>
      <c r="E108" s="202"/>
      <c r="F108" s="202"/>
      <c r="G108" s="202"/>
      <c r="H108" s="202"/>
      <c r="I108" s="201"/>
      <c r="J108" s="202"/>
      <c r="K108" s="273"/>
      <c r="L108" s="202"/>
      <c r="M108" s="202"/>
      <c r="N108" s="202"/>
      <c r="O108" s="202"/>
      <c r="P108" s="202"/>
      <c r="Q108" s="202"/>
      <c r="R108" s="201"/>
      <c r="S108" s="202"/>
      <c r="T108" s="273"/>
      <c r="U108" s="202"/>
      <c r="V108" s="202"/>
      <c r="W108" s="202"/>
      <c r="X108" s="202"/>
      <c r="Y108" s="201"/>
      <c r="Z108" s="201"/>
    </row>
    <row r="109">
      <c r="A109" s="273"/>
      <c r="B109" s="276"/>
      <c r="C109" s="273"/>
      <c r="D109" s="202"/>
      <c r="E109" s="202"/>
      <c r="F109" s="202"/>
      <c r="G109" s="202"/>
      <c r="H109" s="202"/>
      <c r="I109" s="201"/>
      <c r="J109" s="202"/>
      <c r="K109" s="273"/>
      <c r="L109" s="202"/>
      <c r="M109" s="202"/>
      <c r="N109" s="202"/>
      <c r="O109" s="202"/>
      <c r="P109" s="202"/>
      <c r="Q109" s="202"/>
      <c r="R109" s="201"/>
      <c r="S109" s="202"/>
      <c r="T109" s="273"/>
      <c r="U109" s="202"/>
      <c r="V109" s="202"/>
      <c r="W109" s="202"/>
      <c r="X109" s="202"/>
      <c r="Y109" s="201"/>
      <c r="Z109" s="201"/>
    </row>
    <row r="110">
      <c r="A110" s="273"/>
      <c r="B110" s="276"/>
      <c r="C110" s="273"/>
      <c r="D110" s="202"/>
      <c r="E110" s="202"/>
      <c r="F110" s="202"/>
      <c r="G110" s="202"/>
      <c r="H110" s="202"/>
      <c r="I110" s="201"/>
      <c r="J110" s="202"/>
      <c r="K110" s="273"/>
      <c r="L110" s="202"/>
      <c r="M110" s="202"/>
      <c r="N110" s="202"/>
      <c r="O110" s="202"/>
      <c r="P110" s="202"/>
      <c r="Q110" s="202"/>
      <c r="R110" s="201"/>
      <c r="S110" s="202"/>
      <c r="T110" s="273"/>
      <c r="U110" s="202"/>
      <c r="V110" s="202"/>
      <c r="W110" s="202"/>
      <c r="X110" s="202"/>
      <c r="Y110" s="201"/>
      <c r="Z110" s="201"/>
    </row>
    <row r="111">
      <c r="A111" s="273"/>
      <c r="B111" s="276"/>
      <c r="C111" s="273"/>
      <c r="D111" s="202"/>
      <c r="E111" s="202"/>
      <c r="F111" s="202"/>
      <c r="G111" s="202"/>
      <c r="H111" s="202"/>
      <c r="I111" s="201"/>
      <c r="J111" s="202"/>
      <c r="K111" s="273"/>
      <c r="L111" s="202"/>
      <c r="M111" s="202"/>
      <c r="N111" s="202"/>
      <c r="O111" s="202"/>
      <c r="P111" s="202"/>
      <c r="Q111" s="202"/>
      <c r="R111" s="201"/>
      <c r="S111" s="202"/>
      <c r="T111" s="273"/>
      <c r="U111" s="202"/>
      <c r="V111" s="202"/>
      <c r="W111" s="202"/>
      <c r="X111" s="202"/>
      <c r="Y111" s="201"/>
      <c r="Z111" s="201"/>
    </row>
    <row r="112">
      <c r="A112" s="273"/>
      <c r="B112" s="276"/>
      <c r="C112" s="273"/>
      <c r="D112" s="202"/>
      <c r="E112" s="202"/>
      <c r="F112" s="202"/>
      <c r="G112" s="202"/>
      <c r="H112" s="202"/>
      <c r="I112" s="201"/>
      <c r="J112" s="202"/>
      <c r="K112" s="273"/>
      <c r="L112" s="202"/>
      <c r="M112" s="202"/>
      <c r="N112" s="202"/>
      <c r="O112" s="202"/>
      <c r="P112" s="202"/>
      <c r="Q112" s="202"/>
      <c r="R112" s="201"/>
      <c r="S112" s="202"/>
      <c r="T112" s="273"/>
      <c r="U112" s="202"/>
      <c r="V112" s="202"/>
      <c r="W112" s="202"/>
      <c r="X112" s="202"/>
      <c r="Y112" s="201"/>
      <c r="Z112" s="201"/>
    </row>
    <row r="113">
      <c r="A113" s="273"/>
      <c r="B113" s="276"/>
      <c r="C113" s="273"/>
      <c r="D113" s="202"/>
      <c r="E113" s="202"/>
      <c r="F113" s="202"/>
      <c r="G113" s="202"/>
      <c r="H113" s="202"/>
      <c r="I113" s="201"/>
      <c r="J113" s="202"/>
      <c r="K113" s="273"/>
      <c r="L113" s="202"/>
      <c r="M113" s="202"/>
      <c r="N113" s="202"/>
      <c r="O113" s="202"/>
      <c r="P113" s="202"/>
      <c r="Q113" s="202"/>
      <c r="R113" s="201"/>
      <c r="S113" s="202"/>
      <c r="T113" s="273"/>
      <c r="U113" s="202"/>
      <c r="V113" s="202"/>
      <c r="W113" s="202"/>
      <c r="X113" s="202"/>
      <c r="Y113" s="201"/>
      <c r="Z113" s="201"/>
    </row>
    <row r="114">
      <c r="A114" s="273"/>
      <c r="B114" s="276"/>
      <c r="C114" s="273"/>
      <c r="D114" s="202"/>
      <c r="E114" s="202"/>
      <c r="F114" s="202"/>
      <c r="G114" s="202"/>
      <c r="H114" s="202"/>
      <c r="I114" s="201"/>
      <c r="J114" s="202"/>
      <c r="K114" s="273"/>
      <c r="L114" s="202"/>
      <c r="M114" s="202"/>
      <c r="N114" s="202"/>
      <c r="O114" s="202"/>
      <c r="P114" s="202"/>
      <c r="Q114" s="202"/>
      <c r="R114" s="201"/>
      <c r="S114" s="202"/>
      <c r="T114" s="273"/>
      <c r="U114" s="202"/>
      <c r="V114" s="202"/>
      <c r="W114" s="202"/>
      <c r="X114" s="202"/>
      <c r="Y114" s="201"/>
      <c r="Z114" s="201"/>
    </row>
    <row r="115">
      <c r="A115" s="273"/>
      <c r="B115" s="276"/>
      <c r="C115" s="273"/>
      <c r="D115" s="202"/>
      <c r="E115" s="202"/>
      <c r="F115" s="202"/>
      <c r="G115" s="202"/>
      <c r="H115" s="202"/>
      <c r="I115" s="201"/>
      <c r="J115" s="202"/>
      <c r="K115" s="273"/>
      <c r="L115" s="202"/>
      <c r="M115" s="202"/>
      <c r="N115" s="202"/>
      <c r="O115" s="202"/>
      <c r="P115" s="202"/>
      <c r="Q115" s="202"/>
      <c r="R115" s="201"/>
      <c r="S115" s="202"/>
      <c r="T115" s="273"/>
      <c r="U115" s="202"/>
      <c r="V115" s="202"/>
      <c r="W115" s="202"/>
      <c r="X115" s="202"/>
      <c r="Y115" s="201"/>
      <c r="Z115" s="201"/>
    </row>
    <row r="116">
      <c r="A116" s="273"/>
      <c r="B116" s="276"/>
      <c r="C116" s="273"/>
      <c r="D116" s="202"/>
      <c r="E116" s="202"/>
      <c r="F116" s="202"/>
      <c r="G116" s="202"/>
      <c r="H116" s="202"/>
      <c r="I116" s="201"/>
      <c r="J116" s="202"/>
      <c r="K116" s="273"/>
      <c r="L116" s="202"/>
      <c r="M116" s="202"/>
      <c r="N116" s="202"/>
      <c r="O116" s="202"/>
      <c r="P116" s="202"/>
      <c r="Q116" s="202"/>
      <c r="R116" s="201"/>
      <c r="S116" s="202"/>
      <c r="T116" s="273"/>
      <c r="U116" s="202"/>
      <c r="V116" s="202"/>
      <c r="W116" s="202"/>
      <c r="X116" s="202"/>
      <c r="Y116" s="201"/>
      <c r="Z116" s="201"/>
    </row>
    <row r="117">
      <c r="A117" s="273"/>
      <c r="B117" s="276"/>
      <c r="C117" s="273"/>
      <c r="D117" s="202"/>
      <c r="E117" s="202"/>
      <c r="F117" s="202"/>
      <c r="G117" s="202"/>
      <c r="H117" s="202"/>
      <c r="I117" s="201"/>
      <c r="J117" s="202"/>
      <c r="K117" s="273"/>
      <c r="L117" s="202"/>
      <c r="M117" s="202"/>
      <c r="N117" s="202"/>
      <c r="O117" s="202"/>
      <c r="P117" s="202"/>
      <c r="Q117" s="202"/>
      <c r="R117" s="201"/>
      <c r="S117" s="202"/>
      <c r="T117" s="273"/>
      <c r="U117" s="202"/>
      <c r="V117" s="202"/>
      <c r="W117" s="202"/>
      <c r="X117" s="202"/>
      <c r="Y117" s="201"/>
      <c r="Z117" s="201"/>
    </row>
    <row r="118">
      <c r="A118" s="273"/>
      <c r="B118" s="276"/>
      <c r="C118" s="273"/>
      <c r="D118" s="202"/>
      <c r="E118" s="202"/>
      <c r="F118" s="202"/>
      <c r="G118" s="202"/>
      <c r="H118" s="202"/>
      <c r="I118" s="201"/>
      <c r="J118" s="202"/>
      <c r="K118" s="273"/>
      <c r="L118" s="202"/>
      <c r="M118" s="202"/>
      <c r="N118" s="202"/>
      <c r="O118" s="202"/>
      <c r="P118" s="202"/>
      <c r="Q118" s="202"/>
      <c r="R118" s="201"/>
      <c r="S118" s="202"/>
      <c r="T118" s="273"/>
      <c r="U118" s="202"/>
      <c r="V118" s="202"/>
      <c r="W118" s="202"/>
      <c r="X118" s="202"/>
      <c r="Y118" s="201"/>
      <c r="Z118" s="201"/>
    </row>
    <row r="119">
      <c r="A119" s="273"/>
      <c r="B119" s="276"/>
      <c r="C119" s="273"/>
      <c r="D119" s="202"/>
      <c r="E119" s="202"/>
      <c r="F119" s="202"/>
      <c r="G119" s="202"/>
      <c r="H119" s="202"/>
      <c r="I119" s="201"/>
      <c r="J119" s="202"/>
      <c r="K119" s="273"/>
      <c r="L119" s="202"/>
      <c r="M119" s="202"/>
      <c r="N119" s="202"/>
      <c r="O119" s="202"/>
      <c r="P119" s="202"/>
      <c r="Q119" s="202"/>
      <c r="R119" s="201"/>
      <c r="S119" s="202"/>
      <c r="T119" s="273"/>
      <c r="U119" s="202"/>
      <c r="V119" s="202"/>
      <c r="W119" s="202"/>
      <c r="X119" s="202"/>
      <c r="Y119" s="201"/>
      <c r="Z119" s="201"/>
    </row>
    <row r="120">
      <c r="A120" s="273"/>
      <c r="B120" s="276"/>
      <c r="C120" s="273"/>
      <c r="D120" s="202"/>
      <c r="E120" s="202"/>
      <c r="F120" s="202"/>
      <c r="G120" s="202"/>
      <c r="H120" s="202"/>
      <c r="I120" s="201"/>
      <c r="J120" s="202"/>
      <c r="K120" s="273"/>
      <c r="L120" s="202"/>
      <c r="M120" s="202"/>
      <c r="N120" s="202"/>
      <c r="O120" s="202"/>
      <c r="P120" s="202"/>
      <c r="Q120" s="202"/>
      <c r="R120" s="201"/>
      <c r="S120" s="202"/>
      <c r="T120" s="273"/>
      <c r="U120" s="202"/>
      <c r="V120" s="202"/>
      <c r="W120" s="202"/>
      <c r="X120" s="202"/>
      <c r="Y120" s="201"/>
      <c r="Z120" s="201"/>
    </row>
    <row r="121">
      <c r="A121" s="273"/>
      <c r="B121" s="276"/>
      <c r="C121" s="273"/>
      <c r="D121" s="202"/>
      <c r="E121" s="202"/>
      <c r="F121" s="202"/>
      <c r="G121" s="202"/>
      <c r="H121" s="202"/>
      <c r="I121" s="201"/>
      <c r="J121" s="202"/>
      <c r="K121" s="273"/>
      <c r="L121" s="202"/>
      <c r="M121" s="202"/>
      <c r="N121" s="202"/>
      <c r="O121" s="202"/>
      <c r="P121" s="202"/>
      <c r="Q121" s="202"/>
      <c r="R121" s="201"/>
      <c r="S121" s="202"/>
      <c r="T121" s="273"/>
      <c r="U121" s="202"/>
      <c r="V121" s="202"/>
      <c r="W121" s="202"/>
      <c r="X121" s="202"/>
      <c r="Y121" s="201"/>
      <c r="Z121" s="201"/>
    </row>
    <row r="122">
      <c r="A122" s="273"/>
      <c r="B122" s="276"/>
      <c r="C122" s="273"/>
      <c r="D122" s="202"/>
      <c r="E122" s="202"/>
      <c r="F122" s="202"/>
      <c r="G122" s="202"/>
      <c r="H122" s="202"/>
      <c r="I122" s="201"/>
      <c r="J122" s="202"/>
      <c r="K122" s="273"/>
      <c r="L122" s="202"/>
      <c r="M122" s="202"/>
      <c r="N122" s="202"/>
      <c r="O122" s="202"/>
      <c r="P122" s="202"/>
      <c r="Q122" s="202"/>
      <c r="R122" s="201"/>
      <c r="S122" s="202"/>
      <c r="T122" s="273"/>
      <c r="U122" s="202"/>
      <c r="V122" s="202"/>
      <c r="W122" s="202"/>
      <c r="X122" s="202"/>
      <c r="Y122" s="201"/>
      <c r="Z122" s="201"/>
    </row>
    <row r="123">
      <c r="A123" s="273"/>
      <c r="B123" s="276"/>
      <c r="C123" s="273"/>
      <c r="D123" s="202"/>
      <c r="E123" s="202"/>
      <c r="F123" s="202"/>
      <c r="G123" s="202"/>
      <c r="H123" s="202"/>
      <c r="I123" s="201"/>
      <c r="J123" s="202"/>
      <c r="K123" s="273"/>
      <c r="L123" s="202"/>
      <c r="M123" s="202"/>
      <c r="N123" s="202"/>
      <c r="O123" s="202"/>
      <c r="P123" s="202"/>
      <c r="Q123" s="202"/>
      <c r="R123" s="201"/>
      <c r="S123" s="202"/>
      <c r="T123" s="273"/>
      <c r="U123" s="202"/>
      <c r="V123" s="202"/>
      <c r="W123" s="202"/>
      <c r="X123" s="202"/>
      <c r="Y123" s="201"/>
      <c r="Z123" s="201"/>
    </row>
    <row r="124">
      <c r="A124" s="273"/>
      <c r="B124" s="276"/>
      <c r="C124" s="273"/>
      <c r="D124" s="202"/>
      <c r="E124" s="202"/>
      <c r="F124" s="202"/>
      <c r="G124" s="202"/>
      <c r="H124" s="202"/>
      <c r="I124" s="201"/>
      <c r="J124" s="202"/>
      <c r="K124" s="273"/>
      <c r="L124" s="202"/>
      <c r="M124" s="202"/>
      <c r="N124" s="202"/>
      <c r="O124" s="202"/>
      <c r="P124" s="202"/>
      <c r="Q124" s="202"/>
      <c r="R124" s="201"/>
      <c r="S124" s="202"/>
      <c r="T124" s="273"/>
      <c r="U124" s="202"/>
      <c r="V124" s="202"/>
      <c r="W124" s="202"/>
      <c r="X124" s="202"/>
      <c r="Y124" s="201"/>
      <c r="Z124" s="201"/>
    </row>
    <row r="125">
      <c r="A125" s="273"/>
      <c r="B125" s="276"/>
      <c r="C125" s="273"/>
      <c r="D125" s="202"/>
      <c r="E125" s="202"/>
      <c r="F125" s="202"/>
      <c r="G125" s="202"/>
      <c r="H125" s="202"/>
      <c r="I125" s="201"/>
      <c r="J125" s="202"/>
      <c r="K125" s="273"/>
      <c r="L125" s="202"/>
      <c r="M125" s="202"/>
      <c r="N125" s="202"/>
      <c r="O125" s="202"/>
      <c r="P125" s="202"/>
      <c r="Q125" s="202"/>
      <c r="R125" s="201"/>
      <c r="S125" s="202"/>
      <c r="T125" s="273"/>
      <c r="U125" s="202"/>
      <c r="V125" s="202"/>
      <c r="W125" s="202"/>
      <c r="X125" s="202"/>
      <c r="Y125" s="201"/>
      <c r="Z125" s="201"/>
    </row>
    <row r="126">
      <c r="A126" s="273"/>
      <c r="B126" s="276"/>
      <c r="C126" s="273"/>
      <c r="D126" s="202"/>
      <c r="E126" s="202"/>
      <c r="F126" s="202"/>
      <c r="G126" s="202"/>
      <c r="H126" s="202"/>
      <c r="I126" s="201"/>
      <c r="J126" s="202"/>
      <c r="K126" s="273"/>
      <c r="L126" s="202"/>
      <c r="M126" s="202"/>
      <c r="N126" s="202"/>
      <c r="O126" s="202"/>
      <c r="P126" s="202"/>
      <c r="Q126" s="202"/>
      <c r="R126" s="201"/>
      <c r="S126" s="202"/>
      <c r="T126" s="273"/>
      <c r="U126" s="202"/>
      <c r="V126" s="202"/>
      <c r="W126" s="202"/>
      <c r="X126" s="202"/>
      <c r="Y126" s="201"/>
      <c r="Z126" s="201"/>
    </row>
    <row r="127">
      <c r="A127" s="273"/>
      <c r="B127" s="276"/>
      <c r="C127" s="273"/>
      <c r="D127" s="202"/>
      <c r="E127" s="202"/>
      <c r="F127" s="202"/>
      <c r="G127" s="202"/>
      <c r="H127" s="202"/>
      <c r="I127" s="201"/>
      <c r="J127" s="202"/>
      <c r="K127" s="273"/>
      <c r="L127" s="202"/>
      <c r="M127" s="202"/>
      <c r="N127" s="202"/>
      <c r="O127" s="202"/>
      <c r="P127" s="202"/>
      <c r="Q127" s="202"/>
      <c r="R127" s="201"/>
      <c r="S127" s="202"/>
      <c r="T127" s="273"/>
      <c r="U127" s="202"/>
      <c r="V127" s="202"/>
      <c r="W127" s="202"/>
      <c r="X127" s="202"/>
      <c r="Y127" s="201"/>
      <c r="Z127" s="201"/>
    </row>
    <row r="128">
      <c r="A128" s="273"/>
      <c r="B128" s="276"/>
      <c r="C128" s="273"/>
      <c r="D128" s="202"/>
      <c r="E128" s="202"/>
      <c r="F128" s="202"/>
      <c r="G128" s="202"/>
      <c r="H128" s="202"/>
      <c r="I128" s="201"/>
      <c r="J128" s="202"/>
      <c r="K128" s="273"/>
      <c r="L128" s="202"/>
      <c r="M128" s="202"/>
      <c r="N128" s="202"/>
      <c r="O128" s="202"/>
      <c r="P128" s="202"/>
      <c r="Q128" s="202"/>
      <c r="R128" s="201"/>
      <c r="S128" s="202"/>
      <c r="T128" s="273"/>
      <c r="U128" s="202"/>
      <c r="V128" s="202"/>
      <c r="W128" s="202"/>
      <c r="X128" s="202"/>
      <c r="Y128" s="201"/>
      <c r="Z128" s="201"/>
    </row>
    <row r="129">
      <c r="A129" s="273"/>
      <c r="B129" s="276"/>
      <c r="C129" s="273"/>
      <c r="D129" s="202"/>
      <c r="E129" s="202"/>
      <c r="F129" s="202"/>
      <c r="G129" s="202"/>
      <c r="H129" s="202"/>
      <c r="I129" s="201"/>
      <c r="J129" s="202"/>
      <c r="K129" s="273"/>
      <c r="L129" s="202"/>
      <c r="M129" s="202"/>
      <c r="N129" s="202"/>
      <c r="O129" s="202"/>
      <c r="P129" s="202"/>
      <c r="Q129" s="202"/>
      <c r="R129" s="201"/>
      <c r="S129" s="202"/>
      <c r="T129" s="273"/>
      <c r="U129" s="202"/>
      <c r="V129" s="202"/>
      <c r="W129" s="202"/>
      <c r="X129" s="202"/>
      <c r="Y129" s="201"/>
      <c r="Z129" s="201"/>
    </row>
    <row r="130">
      <c r="A130" s="273"/>
      <c r="B130" s="276"/>
      <c r="C130" s="273"/>
      <c r="D130" s="202"/>
      <c r="E130" s="202"/>
      <c r="F130" s="202"/>
      <c r="G130" s="202"/>
      <c r="H130" s="202"/>
      <c r="I130" s="201"/>
      <c r="J130" s="202"/>
      <c r="K130" s="273"/>
      <c r="L130" s="202"/>
      <c r="M130" s="202"/>
      <c r="N130" s="202"/>
      <c r="O130" s="202"/>
      <c r="P130" s="202"/>
      <c r="Q130" s="202"/>
      <c r="R130" s="201"/>
      <c r="S130" s="202"/>
      <c r="T130" s="273"/>
      <c r="U130" s="202"/>
      <c r="V130" s="202"/>
      <c r="W130" s="202"/>
      <c r="X130" s="202"/>
      <c r="Y130" s="201"/>
      <c r="Z130" s="201"/>
    </row>
    <row r="131">
      <c r="A131" s="273"/>
      <c r="B131" s="276"/>
      <c r="C131" s="273"/>
      <c r="D131" s="202"/>
      <c r="E131" s="202"/>
      <c r="F131" s="202"/>
      <c r="G131" s="202"/>
      <c r="H131" s="202"/>
      <c r="I131" s="201"/>
      <c r="J131" s="202"/>
      <c r="K131" s="273"/>
      <c r="L131" s="202"/>
      <c r="M131" s="202"/>
      <c r="N131" s="202"/>
      <c r="O131" s="202"/>
      <c r="P131" s="202"/>
      <c r="Q131" s="202"/>
      <c r="R131" s="201"/>
      <c r="S131" s="202"/>
      <c r="T131" s="273"/>
      <c r="U131" s="202"/>
      <c r="V131" s="202"/>
      <c r="W131" s="202"/>
      <c r="X131" s="202"/>
      <c r="Y131" s="201"/>
      <c r="Z131" s="201"/>
    </row>
    <row r="132">
      <c r="A132" s="273"/>
      <c r="B132" s="276"/>
      <c r="C132" s="273"/>
      <c r="D132" s="202"/>
      <c r="E132" s="202"/>
      <c r="F132" s="202"/>
      <c r="G132" s="202"/>
      <c r="H132" s="202"/>
      <c r="I132" s="201"/>
      <c r="J132" s="202"/>
      <c r="K132" s="273"/>
      <c r="L132" s="202"/>
      <c r="M132" s="202"/>
      <c r="N132" s="202"/>
      <c r="O132" s="202"/>
      <c r="P132" s="202"/>
      <c r="Q132" s="202"/>
      <c r="R132" s="201"/>
      <c r="S132" s="202"/>
      <c r="T132" s="273"/>
      <c r="U132" s="202"/>
      <c r="V132" s="202"/>
      <c r="W132" s="202"/>
      <c r="X132" s="202"/>
      <c r="Y132" s="201"/>
      <c r="Z132" s="201"/>
    </row>
    <row r="133">
      <c r="A133" s="273"/>
      <c r="B133" s="276"/>
      <c r="C133" s="273"/>
      <c r="D133" s="202"/>
      <c r="E133" s="202"/>
      <c r="F133" s="202"/>
      <c r="G133" s="202"/>
      <c r="H133" s="202"/>
      <c r="I133" s="201"/>
      <c r="J133" s="202"/>
      <c r="K133" s="273"/>
      <c r="L133" s="202"/>
      <c r="M133" s="202"/>
      <c r="N133" s="202"/>
      <c r="O133" s="202"/>
      <c r="P133" s="202"/>
      <c r="Q133" s="202"/>
      <c r="R133" s="201"/>
      <c r="S133" s="202"/>
      <c r="T133" s="273"/>
      <c r="U133" s="202"/>
      <c r="V133" s="202"/>
      <c r="W133" s="202"/>
      <c r="X133" s="202"/>
      <c r="Y133" s="201"/>
      <c r="Z133" s="201"/>
    </row>
    <row r="134">
      <c r="A134" s="273"/>
      <c r="B134" s="276"/>
      <c r="C134" s="273"/>
      <c r="D134" s="202"/>
      <c r="E134" s="202"/>
      <c r="F134" s="202"/>
      <c r="G134" s="202"/>
      <c r="H134" s="202"/>
      <c r="I134" s="201"/>
      <c r="J134" s="202"/>
      <c r="K134" s="273"/>
      <c r="L134" s="202"/>
      <c r="M134" s="202"/>
      <c r="N134" s="202"/>
      <c r="O134" s="202"/>
      <c r="P134" s="202"/>
      <c r="Q134" s="202"/>
      <c r="R134" s="201"/>
      <c r="S134" s="202"/>
      <c r="T134" s="273"/>
      <c r="U134" s="202"/>
      <c r="V134" s="202"/>
      <c r="W134" s="202"/>
      <c r="X134" s="202"/>
      <c r="Y134" s="201"/>
      <c r="Z134" s="201"/>
    </row>
    <row r="135">
      <c r="A135" s="273"/>
      <c r="B135" s="276"/>
      <c r="C135" s="273"/>
      <c r="D135" s="202"/>
      <c r="E135" s="202"/>
      <c r="F135" s="202"/>
      <c r="G135" s="202"/>
      <c r="H135" s="202"/>
      <c r="I135" s="201"/>
      <c r="J135" s="202"/>
      <c r="K135" s="273"/>
      <c r="L135" s="202"/>
      <c r="M135" s="202"/>
      <c r="N135" s="202"/>
      <c r="O135" s="202"/>
      <c r="P135" s="202"/>
      <c r="Q135" s="202"/>
      <c r="R135" s="201"/>
      <c r="S135" s="202"/>
      <c r="T135" s="273"/>
      <c r="U135" s="202"/>
      <c r="V135" s="202"/>
      <c r="W135" s="202"/>
      <c r="X135" s="202"/>
      <c r="Y135" s="201"/>
      <c r="Z135" s="201"/>
    </row>
    <row r="136">
      <c r="A136" s="273"/>
      <c r="B136" s="276"/>
      <c r="C136" s="273"/>
      <c r="D136" s="202"/>
      <c r="E136" s="202"/>
      <c r="F136" s="202"/>
      <c r="G136" s="202"/>
      <c r="H136" s="202"/>
      <c r="I136" s="201"/>
      <c r="J136" s="202"/>
      <c r="K136" s="273"/>
      <c r="L136" s="202"/>
      <c r="M136" s="202"/>
      <c r="N136" s="202"/>
      <c r="O136" s="202"/>
      <c r="P136" s="202"/>
      <c r="Q136" s="202"/>
      <c r="R136" s="201"/>
      <c r="S136" s="202"/>
      <c r="T136" s="273"/>
      <c r="U136" s="202"/>
      <c r="V136" s="202"/>
      <c r="W136" s="202"/>
      <c r="X136" s="202"/>
      <c r="Y136" s="201"/>
      <c r="Z136" s="201"/>
    </row>
    <row r="137">
      <c r="A137" s="273"/>
      <c r="B137" s="276"/>
      <c r="C137" s="273"/>
      <c r="D137" s="202"/>
      <c r="E137" s="202"/>
      <c r="F137" s="202"/>
      <c r="G137" s="202"/>
      <c r="H137" s="202"/>
      <c r="I137" s="201"/>
      <c r="J137" s="202"/>
      <c r="K137" s="273"/>
      <c r="L137" s="202"/>
      <c r="M137" s="202"/>
      <c r="N137" s="202"/>
      <c r="O137" s="202"/>
      <c r="P137" s="202"/>
      <c r="Q137" s="202"/>
      <c r="R137" s="201"/>
      <c r="S137" s="202"/>
      <c r="T137" s="273"/>
      <c r="U137" s="202"/>
      <c r="V137" s="202"/>
      <c r="W137" s="202"/>
      <c r="X137" s="202"/>
      <c r="Y137" s="201"/>
      <c r="Z137" s="201"/>
    </row>
    <row r="138">
      <c r="A138" s="273"/>
      <c r="B138" s="276"/>
      <c r="C138" s="273"/>
      <c r="D138" s="202"/>
      <c r="E138" s="202"/>
      <c r="F138" s="202"/>
      <c r="G138" s="202"/>
      <c r="H138" s="202"/>
      <c r="I138" s="201"/>
      <c r="J138" s="202"/>
      <c r="K138" s="273"/>
      <c r="L138" s="202"/>
      <c r="M138" s="202"/>
      <c r="N138" s="202"/>
      <c r="O138" s="202"/>
      <c r="P138" s="202"/>
      <c r="Q138" s="202"/>
      <c r="R138" s="201"/>
      <c r="S138" s="202"/>
      <c r="T138" s="273"/>
      <c r="U138" s="202"/>
      <c r="V138" s="202"/>
      <c r="W138" s="202"/>
      <c r="X138" s="202"/>
      <c r="Y138" s="201"/>
      <c r="Z138" s="201"/>
    </row>
    <row r="139">
      <c r="A139" s="273"/>
      <c r="B139" s="276"/>
      <c r="C139" s="273"/>
      <c r="D139" s="202"/>
      <c r="E139" s="202"/>
      <c r="F139" s="202"/>
      <c r="G139" s="202"/>
      <c r="H139" s="202"/>
      <c r="I139" s="201"/>
      <c r="J139" s="202"/>
      <c r="K139" s="273"/>
      <c r="L139" s="202"/>
      <c r="M139" s="202"/>
      <c r="N139" s="202"/>
      <c r="O139" s="202"/>
      <c r="P139" s="202"/>
      <c r="Q139" s="202"/>
      <c r="R139" s="201"/>
      <c r="S139" s="202"/>
      <c r="T139" s="273"/>
      <c r="U139" s="202"/>
      <c r="V139" s="202"/>
      <c r="W139" s="202"/>
      <c r="X139" s="202"/>
      <c r="Y139" s="201"/>
      <c r="Z139" s="201"/>
    </row>
    <row r="140">
      <c r="A140" s="273"/>
      <c r="B140" s="276"/>
      <c r="C140" s="273"/>
      <c r="D140" s="202"/>
      <c r="E140" s="202"/>
      <c r="F140" s="202"/>
      <c r="G140" s="202"/>
      <c r="H140" s="202"/>
      <c r="I140" s="201"/>
      <c r="J140" s="202"/>
      <c r="K140" s="273"/>
      <c r="L140" s="202"/>
      <c r="M140" s="202"/>
      <c r="N140" s="202"/>
      <c r="O140" s="202"/>
      <c r="P140" s="202"/>
      <c r="Q140" s="202"/>
      <c r="R140" s="201"/>
      <c r="S140" s="202"/>
      <c r="T140" s="273"/>
      <c r="U140" s="202"/>
      <c r="V140" s="202"/>
      <c r="W140" s="202"/>
      <c r="X140" s="202"/>
      <c r="Y140" s="201"/>
      <c r="Z140" s="201"/>
    </row>
    <row r="141">
      <c r="A141" s="273"/>
      <c r="B141" s="276"/>
      <c r="C141" s="273"/>
      <c r="D141" s="202"/>
      <c r="E141" s="202"/>
      <c r="F141" s="202"/>
      <c r="G141" s="202"/>
      <c r="H141" s="202"/>
      <c r="I141" s="201"/>
      <c r="J141" s="202"/>
      <c r="K141" s="273"/>
      <c r="L141" s="202"/>
      <c r="M141" s="202"/>
      <c r="N141" s="202"/>
      <c r="O141" s="202"/>
      <c r="P141" s="202"/>
      <c r="Q141" s="202"/>
      <c r="R141" s="201"/>
      <c r="S141" s="202"/>
      <c r="T141" s="273"/>
      <c r="U141" s="202"/>
      <c r="V141" s="202"/>
      <c r="W141" s="202"/>
      <c r="X141" s="202"/>
      <c r="Y141" s="201"/>
      <c r="Z141" s="201"/>
    </row>
    <row r="142">
      <c r="A142" s="273"/>
      <c r="B142" s="276"/>
      <c r="C142" s="273"/>
      <c r="D142" s="202"/>
      <c r="E142" s="202"/>
      <c r="F142" s="202"/>
      <c r="G142" s="202"/>
      <c r="H142" s="202"/>
      <c r="I142" s="201"/>
      <c r="J142" s="202"/>
      <c r="K142" s="273"/>
      <c r="L142" s="202"/>
      <c r="M142" s="202"/>
      <c r="N142" s="202"/>
      <c r="O142" s="202"/>
      <c r="P142" s="202"/>
      <c r="Q142" s="202"/>
      <c r="R142" s="201"/>
      <c r="S142" s="202"/>
      <c r="T142" s="273"/>
      <c r="U142" s="202"/>
      <c r="V142" s="202"/>
      <c r="W142" s="202"/>
      <c r="X142" s="202"/>
      <c r="Y142" s="201"/>
      <c r="Z142" s="201"/>
    </row>
    <row r="143">
      <c r="A143" s="273"/>
      <c r="B143" s="276"/>
      <c r="C143" s="273"/>
      <c r="D143" s="202"/>
      <c r="E143" s="202"/>
      <c r="F143" s="202"/>
      <c r="G143" s="202"/>
      <c r="H143" s="202"/>
      <c r="I143" s="201"/>
      <c r="J143" s="202"/>
      <c r="K143" s="273"/>
      <c r="L143" s="202"/>
      <c r="M143" s="202"/>
      <c r="N143" s="202"/>
      <c r="O143" s="202"/>
      <c r="P143" s="202"/>
      <c r="Q143" s="202"/>
      <c r="R143" s="201"/>
      <c r="S143" s="202"/>
      <c r="T143" s="273"/>
      <c r="U143" s="202"/>
      <c r="V143" s="202"/>
      <c r="W143" s="202"/>
      <c r="X143" s="202"/>
      <c r="Y143" s="201"/>
      <c r="Z143" s="201"/>
    </row>
    <row r="144">
      <c r="A144" s="273"/>
      <c r="B144" s="276"/>
      <c r="C144" s="273"/>
      <c r="D144" s="202"/>
      <c r="E144" s="202"/>
      <c r="F144" s="202"/>
      <c r="G144" s="202"/>
      <c r="H144" s="202"/>
      <c r="I144" s="201"/>
      <c r="J144" s="202"/>
      <c r="K144" s="273"/>
      <c r="L144" s="202"/>
      <c r="M144" s="202"/>
      <c r="N144" s="202"/>
      <c r="O144" s="202"/>
      <c r="P144" s="202"/>
      <c r="Q144" s="202"/>
      <c r="R144" s="201"/>
      <c r="S144" s="202"/>
      <c r="T144" s="273"/>
      <c r="U144" s="202"/>
      <c r="V144" s="202"/>
      <c r="W144" s="202"/>
      <c r="X144" s="202"/>
      <c r="Y144" s="201"/>
      <c r="Z144" s="201"/>
    </row>
    <row r="145">
      <c r="A145" s="273"/>
      <c r="B145" s="276"/>
      <c r="C145" s="273"/>
      <c r="D145" s="202"/>
      <c r="E145" s="202"/>
      <c r="F145" s="202"/>
      <c r="G145" s="202"/>
      <c r="H145" s="202"/>
      <c r="I145" s="201"/>
      <c r="J145" s="202"/>
      <c r="K145" s="273"/>
      <c r="L145" s="202"/>
      <c r="M145" s="202"/>
      <c r="N145" s="202"/>
      <c r="O145" s="202"/>
      <c r="P145" s="202"/>
      <c r="Q145" s="202"/>
      <c r="R145" s="201"/>
      <c r="S145" s="202"/>
      <c r="T145" s="273"/>
      <c r="U145" s="202"/>
      <c r="V145" s="202"/>
      <c r="W145" s="202"/>
      <c r="X145" s="202"/>
      <c r="Y145" s="201"/>
      <c r="Z145" s="201"/>
    </row>
    <row r="146">
      <c r="A146" s="273"/>
      <c r="B146" s="276"/>
      <c r="C146" s="273"/>
      <c r="D146" s="202"/>
      <c r="E146" s="202"/>
      <c r="F146" s="202"/>
      <c r="G146" s="202"/>
      <c r="H146" s="202"/>
      <c r="I146" s="201"/>
      <c r="J146" s="202"/>
      <c r="K146" s="273"/>
      <c r="L146" s="202"/>
      <c r="M146" s="202"/>
      <c r="N146" s="202"/>
      <c r="O146" s="202"/>
      <c r="P146" s="202"/>
      <c r="Q146" s="202"/>
      <c r="R146" s="201"/>
      <c r="S146" s="202"/>
      <c r="T146" s="273"/>
      <c r="U146" s="202"/>
      <c r="V146" s="202"/>
      <c r="W146" s="202"/>
      <c r="X146" s="202"/>
      <c r="Y146" s="201"/>
      <c r="Z146" s="201"/>
    </row>
    <row r="147">
      <c r="A147" s="273"/>
      <c r="B147" s="276"/>
      <c r="C147" s="273"/>
      <c r="D147" s="202"/>
      <c r="E147" s="202"/>
      <c r="F147" s="202"/>
      <c r="G147" s="202"/>
      <c r="H147" s="202"/>
      <c r="I147" s="201"/>
      <c r="J147" s="202"/>
      <c r="K147" s="273"/>
      <c r="L147" s="202"/>
      <c r="M147" s="202"/>
      <c r="N147" s="202"/>
      <c r="O147" s="202"/>
      <c r="P147" s="202"/>
      <c r="Q147" s="202"/>
      <c r="R147" s="201"/>
      <c r="S147" s="202"/>
      <c r="T147" s="273"/>
      <c r="U147" s="202"/>
      <c r="V147" s="202"/>
      <c r="W147" s="202"/>
      <c r="X147" s="202"/>
      <c r="Y147" s="201"/>
      <c r="Z147" s="201"/>
    </row>
    <row r="148">
      <c r="A148" s="273"/>
      <c r="B148" s="276"/>
      <c r="C148" s="273"/>
      <c r="D148" s="202"/>
      <c r="E148" s="202"/>
      <c r="F148" s="202"/>
      <c r="G148" s="202"/>
      <c r="H148" s="202"/>
      <c r="I148" s="201"/>
      <c r="J148" s="202"/>
      <c r="K148" s="273"/>
      <c r="L148" s="202"/>
      <c r="M148" s="202"/>
      <c r="N148" s="202"/>
      <c r="O148" s="202"/>
      <c r="P148" s="202"/>
      <c r="Q148" s="202"/>
      <c r="R148" s="201"/>
      <c r="S148" s="202"/>
      <c r="T148" s="273"/>
      <c r="U148" s="202"/>
      <c r="V148" s="202"/>
      <c r="W148" s="202"/>
      <c r="X148" s="202"/>
      <c r="Y148" s="201"/>
      <c r="Z148" s="201"/>
    </row>
    <row r="149">
      <c r="A149" s="273"/>
      <c r="B149" s="276"/>
      <c r="C149" s="273"/>
      <c r="D149" s="202"/>
      <c r="E149" s="202"/>
      <c r="F149" s="202"/>
      <c r="G149" s="202"/>
      <c r="H149" s="202"/>
      <c r="I149" s="201"/>
      <c r="J149" s="202"/>
      <c r="K149" s="273"/>
      <c r="L149" s="202"/>
      <c r="M149" s="202"/>
      <c r="N149" s="202"/>
      <c r="O149" s="202"/>
      <c r="P149" s="202"/>
      <c r="Q149" s="202"/>
      <c r="R149" s="201"/>
      <c r="S149" s="202"/>
      <c r="T149" s="273"/>
      <c r="U149" s="202"/>
      <c r="V149" s="202"/>
      <c r="W149" s="202"/>
      <c r="X149" s="202"/>
      <c r="Y149" s="201"/>
      <c r="Z149" s="201"/>
    </row>
    <row r="150">
      <c r="A150" s="273"/>
      <c r="B150" s="276"/>
      <c r="C150" s="273"/>
      <c r="D150" s="202"/>
      <c r="E150" s="202"/>
      <c r="F150" s="202"/>
      <c r="G150" s="202"/>
      <c r="H150" s="202"/>
      <c r="I150" s="201"/>
      <c r="J150" s="202"/>
      <c r="K150" s="273"/>
      <c r="L150" s="202"/>
      <c r="M150" s="202"/>
      <c r="N150" s="202"/>
      <c r="O150" s="202"/>
      <c r="P150" s="202"/>
      <c r="Q150" s="202"/>
      <c r="R150" s="201"/>
      <c r="S150" s="202"/>
      <c r="T150" s="273"/>
      <c r="U150" s="202"/>
      <c r="V150" s="202"/>
      <c r="W150" s="202"/>
      <c r="X150" s="202"/>
      <c r="Y150" s="201"/>
      <c r="Z150" s="201"/>
    </row>
    <row r="151">
      <c r="A151" s="273"/>
      <c r="B151" s="276"/>
      <c r="C151" s="273"/>
      <c r="D151" s="202"/>
      <c r="E151" s="202"/>
      <c r="F151" s="202"/>
      <c r="G151" s="202"/>
      <c r="H151" s="202"/>
      <c r="I151" s="201"/>
      <c r="J151" s="202"/>
      <c r="K151" s="273"/>
      <c r="L151" s="202"/>
      <c r="M151" s="202"/>
      <c r="N151" s="202"/>
      <c r="O151" s="202"/>
      <c r="P151" s="202"/>
      <c r="Q151" s="202"/>
      <c r="R151" s="201"/>
      <c r="S151" s="202"/>
      <c r="T151" s="273"/>
      <c r="U151" s="202"/>
      <c r="V151" s="202"/>
      <c r="W151" s="202"/>
      <c r="X151" s="202"/>
      <c r="Y151" s="201"/>
      <c r="Z151" s="201"/>
    </row>
    <row r="152">
      <c r="A152" s="273"/>
      <c r="B152" s="276"/>
      <c r="C152" s="273"/>
      <c r="D152" s="202"/>
      <c r="E152" s="202"/>
      <c r="F152" s="202"/>
      <c r="G152" s="202"/>
      <c r="H152" s="202"/>
      <c r="I152" s="201"/>
      <c r="J152" s="202"/>
      <c r="K152" s="273"/>
      <c r="L152" s="202"/>
      <c r="M152" s="202"/>
      <c r="N152" s="202"/>
      <c r="O152" s="202"/>
      <c r="P152" s="202"/>
      <c r="Q152" s="202"/>
      <c r="R152" s="201"/>
      <c r="S152" s="202"/>
      <c r="T152" s="273"/>
      <c r="U152" s="202"/>
      <c r="V152" s="202"/>
      <c r="W152" s="202"/>
      <c r="X152" s="202"/>
      <c r="Y152" s="201"/>
      <c r="Z152" s="201"/>
    </row>
    <row r="153">
      <c r="A153" s="273"/>
      <c r="B153" s="276"/>
      <c r="C153" s="273"/>
      <c r="D153" s="202"/>
      <c r="E153" s="202"/>
      <c r="F153" s="202"/>
      <c r="G153" s="202"/>
      <c r="H153" s="202"/>
      <c r="I153" s="201"/>
      <c r="J153" s="202"/>
      <c r="K153" s="273"/>
      <c r="L153" s="202"/>
      <c r="M153" s="202"/>
      <c r="N153" s="202"/>
      <c r="O153" s="202"/>
      <c r="P153" s="202"/>
      <c r="Q153" s="202"/>
      <c r="R153" s="201"/>
      <c r="S153" s="202"/>
      <c r="T153" s="273"/>
      <c r="U153" s="202"/>
      <c r="V153" s="202"/>
      <c r="W153" s="202"/>
      <c r="X153" s="202"/>
      <c r="Y153" s="201"/>
      <c r="Z153" s="201"/>
    </row>
    <row r="154">
      <c r="A154" s="273"/>
      <c r="B154" s="276"/>
      <c r="C154" s="273"/>
      <c r="D154" s="202"/>
      <c r="E154" s="202"/>
      <c r="F154" s="202"/>
      <c r="G154" s="202"/>
      <c r="H154" s="202"/>
      <c r="I154" s="201"/>
      <c r="J154" s="202"/>
      <c r="K154" s="273"/>
      <c r="L154" s="202"/>
      <c r="M154" s="202"/>
      <c r="N154" s="202"/>
      <c r="O154" s="202"/>
      <c r="P154" s="202"/>
      <c r="Q154" s="202"/>
      <c r="R154" s="201"/>
      <c r="S154" s="202"/>
      <c r="T154" s="273"/>
      <c r="U154" s="202"/>
      <c r="V154" s="202"/>
      <c r="W154" s="202"/>
      <c r="X154" s="202"/>
      <c r="Y154" s="201"/>
      <c r="Z154" s="201"/>
    </row>
    <row r="155">
      <c r="A155" s="273"/>
      <c r="B155" s="276"/>
      <c r="C155" s="273"/>
      <c r="D155" s="202"/>
      <c r="E155" s="202"/>
      <c r="F155" s="202"/>
      <c r="G155" s="202"/>
      <c r="H155" s="202"/>
      <c r="I155" s="201"/>
      <c r="J155" s="202"/>
      <c r="K155" s="273"/>
      <c r="L155" s="202"/>
      <c r="M155" s="202"/>
      <c r="N155" s="202"/>
      <c r="O155" s="202"/>
      <c r="P155" s="202"/>
      <c r="Q155" s="202"/>
      <c r="R155" s="201"/>
      <c r="S155" s="202"/>
      <c r="T155" s="273"/>
      <c r="U155" s="202"/>
      <c r="V155" s="202"/>
      <c r="W155" s="202"/>
      <c r="X155" s="202"/>
      <c r="Y155" s="201"/>
      <c r="Z155" s="201"/>
    </row>
    <row r="156">
      <c r="A156" s="273"/>
      <c r="B156" s="276"/>
      <c r="C156" s="273"/>
      <c r="D156" s="202"/>
      <c r="E156" s="202"/>
      <c r="F156" s="202"/>
      <c r="G156" s="202"/>
      <c r="H156" s="202"/>
      <c r="I156" s="201"/>
      <c r="J156" s="202"/>
      <c r="K156" s="273"/>
      <c r="L156" s="202"/>
      <c r="M156" s="202"/>
      <c r="N156" s="202"/>
      <c r="O156" s="202"/>
      <c r="P156" s="202"/>
      <c r="Q156" s="202"/>
      <c r="R156" s="201"/>
      <c r="S156" s="202"/>
      <c r="T156" s="273"/>
      <c r="U156" s="202"/>
      <c r="V156" s="202"/>
      <c r="W156" s="202"/>
      <c r="X156" s="202"/>
      <c r="Y156" s="201"/>
      <c r="Z156" s="201"/>
    </row>
    <row r="157">
      <c r="A157" s="273"/>
      <c r="B157" s="276"/>
      <c r="C157" s="273"/>
      <c r="D157" s="202"/>
      <c r="E157" s="202"/>
      <c r="F157" s="202"/>
      <c r="G157" s="202"/>
      <c r="H157" s="202"/>
      <c r="I157" s="201"/>
      <c r="J157" s="202"/>
      <c r="K157" s="273"/>
      <c r="L157" s="202"/>
      <c r="M157" s="202"/>
      <c r="N157" s="202"/>
      <c r="O157" s="202"/>
      <c r="P157" s="202"/>
      <c r="Q157" s="202"/>
      <c r="R157" s="201"/>
      <c r="S157" s="202"/>
      <c r="T157" s="273"/>
      <c r="U157" s="202"/>
      <c r="V157" s="202"/>
      <c r="W157" s="202"/>
      <c r="X157" s="202"/>
      <c r="Y157" s="201"/>
      <c r="Z157" s="201"/>
    </row>
    <row r="158">
      <c r="A158" s="273"/>
      <c r="B158" s="276"/>
      <c r="C158" s="273"/>
      <c r="D158" s="202"/>
      <c r="E158" s="202"/>
      <c r="F158" s="202"/>
      <c r="G158" s="202"/>
      <c r="H158" s="202"/>
      <c r="I158" s="201"/>
      <c r="J158" s="202"/>
      <c r="K158" s="273"/>
      <c r="L158" s="202"/>
      <c r="M158" s="202"/>
      <c r="N158" s="202"/>
      <c r="O158" s="202"/>
      <c r="P158" s="202"/>
      <c r="Q158" s="202"/>
      <c r="R158" s="201"/>
      <c r="S158" s="202"/>
      <c r="T158" s="273"/>
      <c r="U158" s="202"/>
      <c r="V158" s="202"/>
      <c r="W158" s="202"/>
      <c r="X158" s="202"/>
      <c r="Y158" s="201"/>
      <c r="Z158" s="201"/>
    </row>
    <row r="159">
      <c r="A159" s="273"/>
      <c r="B159" s="276"/>
      <c r="C159" s="273"/>
      <c r="D159" s="202"/>
      <c r="E159" s="202"/>
      <c r="F159" s="202"/>
      <c r="G159" s="202"/>
      <c r="H159" s="202"/>
      <c r="I159" s="201"/>
      <c r="J159" s="202"/>
      <c r="K159" s="273"/>
      <c r="L159" s="202"/>
      <c r="M159" s="202"/>
      <c r="N159" s="202"/>
      <c r="O159" s="202"/>
      <c r="P159" s="202"/>
      <c r="Q159" s="202"/>
      <c r="R159" s="201"/>
      <c r="S159" s="202"/>
      <c r="T159" s="273"/>
      <c r="U159" s="202"/>
      <c r="V159" s="202"/>
      <c r="W159" s="202"/>
      <c r="X159" s="202"/>
      <c r="Y159" s="201"/>
      <c r="Z159" s="201"/>
    </row>
    <row r="160">
      <c r="A160" s="273"/>
      <c r="B160" s="276"/>
      <c r="C160" s="273"/>
      <c r="D160" s="202"/>
      <c r="E160" s="202"/>
      <c r="F160" s="202"/>
      <c r="G160" s="202"/>
      <c r="H160" s="202"/>
      <c r="I160" s="201"/>
      <c r="J160" s="202"/>
      <c r="K160" s="273"/>
      <c r="L160" s="202"/>
      <c r="M160" s="202"/>
      <c r="N160" s="202"/>
      <c r="O160" s="202"/>
      <c r="P160" s="202"/>
      <c r="Q160" s="202"/>
      <c r="R160" s="201"/>
      <c r="S160" s="202"/>
      <c r="T160" s="273"/>
      <c r="U160" s="202"/>
      <c r="V160" s="202"/>
      <c r="W160" s="202"/>
      <c r="X160" s="202"/>
      <c r="Y160" s="201"/>
      <c r="Z160" s="201"/>
    </row>
    <row r="161">
      <c r="A161" s="273"/>
      <c r="B161" s="276"/>
      <c r="C161" s="273"/>
      <c r="D161" s="202"/>
      <c r="E161" s="202"/>
      <c r="F161" s="202"/>
      <c r="G161" s="202"/>
      <c r="H161" s="202"/>
      <c r="I161" s="201"/>
      <c r="J161" s="202"/>
      <c r="K161" s="273"/>
      <c r="L161" s="202"/>
      <c r="M161" s="202"/>
      <c r="N161" s="202"/>
      <c r="O161" s="202"/>
      <c r="P161" s="202"/>
      <c r="Q161" s="202"/>
      <c r="R161" s="201"/>
      <c r="S161" s="202"/>
      <c r="T161" s="273"/>
      <c r="U161" s="202"/>
      <c r="V161" s="202"/>
      <c r="W161" s="202"/>
      <c r="X161" s="202"/>
      <c r="Y161" s="201"/>
      <c r="Z161" s="201"/>
    </row>
    <row r="162">
      <c r="A162" s="273"/>
      <c r="B162" s="276"/>
      <c r="C162" s="273"/>
      <c r="D162" s="202"/>
      <c r="E162" s="202"/>
      <c r="F162" s="202"/>
      <c r="G162" s="202"/>
      <c r="H162" s="202"/>
      <c r="I162" s="201"/>
      <c r="J162" s="202"/>
      <c r="K162" s="273"/>
      <c r="L162" s="202"/>
      <c r="M162" s="202"/>
      <c r="N162" s="202"/>
      <c r="O162" s="202"/>
      <c r="P162" s="202"/>
      <c r="Q162" s="202"/>
      <c r="R162" s="201"/>
      <c r="S162" s="202"/>
      <c r="T162" s="273"/>
      <c r="U162" s="202"/>
      <c r="V162" s="202"/>
      <c r="W162" s="202"/>
      <c r="X162" s="202"/>
      <c r="Y162" s="201"/>
      <c r="Z162" s="201"/>
    </row>
    <row r="163">
      <c r="A163" s="273"/>
      <c r="B163" s="276"/>
      <c r="C163" s="273"/>
      <c r="D163" s="202"/>
      <c r="E163" s="202"/>
      <c r="F163" s="202"/>
      <c r="G163" s="202"/>
      <c r="H163" s="202"/>
      <c r="I163" s="201"/>
      <c r="J163" s="202"/>
      <c r="K163" s="273"/>
      <c r="L163" s="202"/>
      <c r="M163" s="202"/>
      <c r="N163" s="202"/>
      <c r="O163" s="202"/>
      <c r="P163" s="202"/>
      <c r="Q163" s="202"/>
      <c r="R163" s="201"/>
      <c r="S163" s="202"/>
      <c r="T163" s="273"/>
      <c r="U163" s="202"/>
      <c r="V163" s="202"/>
      <c r="W163" s="202"/>
      <c r="X163" s="202"/>
      <c r="Y163" s="201"/>
      <c r="Z163" s="201"/>
    </row>
    <row r="164">
      <c r="A164" s="273"/>
      <c r="B164" s="276"/>
      <c r="C164" s="273"/>
      <c r="D164" s="202"/>
      <c r="E164" s="202"/>
      <c r="F164" s="202"/>
      <c r="G164" s="202"/>
      <c r="H164" s="202"/>
      <c r="I164" s="201"/>
      <c r="J164" s="202"/>
      <c r="K164" s="273"/>
      <c r="L164" s="202"/>
      <c r="M164" s="202"/>
      <c r="N164" s="202"/>
      <c r="O164" s="202"/>
      <c r="P164" s="202"/>
      <c r="Q164" s="202"/>
      <c r="R164" s="201"/>
      <c r="S164" s="202"/>
      <c r="T164" s="273"/>
      <c r="U164" s="202"/>
      <c r="V164" s="202"/>
      <c r="W164" s="202"/>
      <c r="X164" s="202"/>
      <c r="Y164" s="201"/>
      <c r="Z164" s="201"/>
    </row>
    <row r="165">
      <c r="A165" s="273"/>
      <c r="B165" s="276"/>
      <c r="C165" s="273"/>
      <c r="D165" s="202"/>
      <c r="E165" s="202"/>
      <c r="F165" s="202"/>
      <c r="G165" s="202"/>
      <c r="H165" s="202"/>
      <c r="I165" s="201"/>
      <c r="J165" s="202"/>
      <c r="K165" s="273"/>
      <c r="L165" s="202"/>
      <c r="M165" s="202"/>
      <c r="N165" s="202"/>
      <c r="O165" s="202"/>
      <c r="P165" s="202"/>
      <c r="Q165" s="202"/>
      <c r="R165" s="201"/>
      <c r="S165" s="202"/>
      <c r="T165" s="273"/>
      <c r="U165" s="202"/>
      <c r="V165" s="202"/>
      <c r="W165" s="202"/>
      <c r="X165" s="202"/>
      <c r="Y165" s="201"/>
      <c r="Z165" s="201"/>
    </row>
    <row r="166">
      <c r="A166" s="273"/>
      <c r="B166" s="276"/>
      <c r="C166" s="273"/>
      <c r="D166" s="202"/>
      <c r="E166" s="202"/>
      <c r="F166" s="202"/>
      <c r="G166" s="202"/>
      <c r="H166" s="202"/>
      <c r="I166" s="201"/>
      <c r="J166" s="202"/>
      <c r="K166" s="273"/>
      <c r="L166" s="202"/>
      <c r="M166" s="202"/>
      <c r="N166" s="202"/>
      <c r="O166" s="202"/>
      <c r="P166" s="202"/>
      <c r="Q166" s="202"/>
      <c r="R166" s="201"/>
      <c r="S166" s="202"/>
      <c r="T166" s="273"/>
      <c r="U166" s="202"/>
      <c r="V166" s="202"/>
      <c r="W166" s="202"/>
      <c r="X166" s="202"/>
      <c r="Y166" s="201"/>
      <c r="Z166" s="201"/>
    </row>
    <row r="167">
      <c r="A167" s="273"/>
      <c r="B167" s="276"/>
      <c r="C167" s="273"/>
      <c r="D167" s="202"/>
      <c r="E167" s="202"/>
      <c r="F167" s="202"/>
      <c r="G167" s="202"/>
      <c r="H167" s="202"/>
      <c r="I167" s="201"/>
      <c r="J167" s="202"/>
      <c r="K167" s="273"/>
      <c r="L167" s="202"/>
      <c r="M167" s="202"/>
      <c r="N167" s="202"/>
      <c r="O167" s="202"/>
      <c r="P167" s="202"/>
      <c r="Q167" s="202"/>
      <c r="R167" s="201"/>
      <c r="S167" s="202"/>
      <c r="T167" s="273"/>
      <c r="U167" s="202"/>
      <c r="V167" s="202"/>
      <c r="W167" s="202"/>
      <c r="X167" s="202"/>
      <c r="Y167" s="201"/>
      <c r="Z167" s="201"/>
    </row>
    <row r="168">
      <c r="A168" s="273"/>
      <c r="B168" s="276"/>
      <c r="C168" s="273"/>
      <c r="D168" s="202"/>
      <c r="E168" s="202"/>
      <c r="F168" s="202"/>
      <c r="G168" s="202"/>
      <c r="H168" s="202"/>
      <c r="I168" s="201"/>
      <c r="J168" s="202"/>
      <c r="K168" s="273"/>
      <c r="L168" s="202"/>
      <c r="M168" s="202"/>
      <c r="N168" s="202"/>
      <c r="O168" s="202"/>
      <c r="P168" s="202"/>
      <c r="Q168" s="202"/>
      <c r="R168" s="201"/>
      <c r="S168" s="202"/>
      <c r="T168" s="273"/>
      <c r="U168" s="202"/>
      <c r="V168" s="202"/>
      <c r="W168" s="202"/>
      <c r="X168" s="202"/>
      <c r="Y168" s="201"/>
      <c r="Z168" s="201"/>
    </row>
    <row r="169">
      <c r="A169" s="273"/>
      <c r="B169" s="276"/>
      <c r="C169" s="273"/>
      <c r="D169" s="202"/>
      <c r="E169" s="202"/>
      <c r="F169" s="202"/>
      <c r="G169" s="202"/>
      <c r="H169" s="202"/>
      <c r="I169" s="201"/>
      <c r="J169" s="202"/>
      <c r="K169" s="273"/>
      <c r="L169" s="202"/>
      <c r="M169" s="202"/>
      <c r="N169" s="202"/>
      <c r="O169" s="202"/>
      <c r="P169" s="202"/>
      <c r="Q169" s="202"/>
      <c r="R169" s="201"/>
      <c r="S169" s="202"/>
      <c r="T169" s="273"/>
      <c r="U169" s="202"/>
      <c r="V169" s="202"/>
      <c r="W169" s="202"/>
      <c r="X169" s="202"/>
      <c r="Y169" s="201"/>
      <c r="Z169" s="201"/>
    </row>
    <row r="170">
      <c r="A170" s="273"/>
      <c r="B170" s="276"/>
      <c r="C170" s="273"/>
      <c r="D170" s="202"/>
      <c r="E170" s="202"/>
      <c r="F170" s="202"/>
      <c r="G170" s="202"/>
      <c r="H170" s="202"/>
      <c r="I170" s="201"/>
      <c r="J170" s="202"/>
      <c r="K170" s="273"/>
      <c r="L170" s="202"/>
      <c r="M170" s="202"/>
      <c r="N170" s="202"/>
      <c r="O170" s="202"/>
      <c r="P170" s="202"/>
      <c r="Q170" s="202"/>
      <c r="R170" s="201"/>
      <c r="S170" s="202"/>
      <c r="T170" s="273"/>
      <c r="U170" s="202"/>
      <c r="V170" s="202"/>
      <c r="W170" s="202"/>
      <c r="X170" s="202"/>
      <c r="Y170" s="201"/>
      <c r="Z170" s="201"/>
    </row>
    <row r="171">
      <c r="A171" s="273"/>
      <c r="B171" s="276"/>
      <c r="C171" s="273"/>
      <c r="D171" s="202"/>
      <c r="E171" s="202"/>
      <c r="F171" s="202"/>
      <c r="G171" s="202"/>
      <c r="H171" s="202"/>
      <c r="I171" s="201"/>
      <c r="J171" s="202"/>
      <c r="K171" s="273"/>
      <c r="L171" s="202"/>
      <c r="M171" s="202"/>
      <c r="N171" s="202"/>
      <c r="O171" s="202"/>
      <c r="P171" s="202"/>
      <c r="Q171" s="202"/>
      <c r="R171" s="201"/>
      <c r="S171" s="202"/>
      <c r="T171" s="273"/>
      <c r="U171" s="202"/>
      <c r="V171" s="202"/>
      <c r="W171" s="202"/>
      <c r="X171" s="202"/>
      <c r="Y171" s="201"/>
      <c r="Z171" s="201"/>
    </row>
    <row r="172">
      <c r="A172" s="273"/>
      <c r="B172" s="276"/>
      <c r="C172" s="273"/>
      <c r="D172" s="202"/>
      <c r="E172" s="202"/>
      <c r="F172" s="202"/>
      <c r="G172" s="202"/>
      <c r="H172" s="202"/>
      <c r="I172" s="201"/>
      <c r="J172" s="202"/>
      <c r="K172" s="273"/>
      <c r="L172" s="202"/>
      <c r="M172" s="202"/>
      <c r="N172" s="202"/>
      <c r="O172" s="202"/>
      <c r="P172" s="202"/>
      <c r="Q172" s="202"/>
      <c r="R172" s="201"/>
      <c r="S172" s="202"/>
      <c r="T172" s="273"/>
      <c r="U172" s="202"/>
      <c r="V172" s="202"/>
      <c r="W172" s="202"/>
      <c r="X172" s="202"/>
      <c r="Y172" s="201"/>
      <c r="Z172" s="201"/>
    </row>
    <row r="173">
      <c r="A173" s="273"/>
      <c r="B173" s="276"/>
      <c r="C173" s="273"/>
      <c r="D173" s="202"/>
      <c r="E173" s="202"/>
      <c r="F173" s="202"/>
      <c r="G173" s="202"/>
      <c r="H173" s="202"/>
      <c r="I173" s="201"/>
      <c r="J173" s="202"/>
      <c r="K173" s="273"/>
      <c r="L173" s="202"/>
      <c r="M173" s="202"/>
      <c r="N173" s="202"/>
      <c r="O173" s="202"/>
      <c r="P173" s="202"/>
      <c r="Q173" s="202"/>
      <c r="R173" s="201"/>
      <c r="S173" s="202"/>
      <c r="T173" s="273"/>
      <c r="U173" s="202"/>
      <c r="V173" s="202"/>
      <c r="W173" s="202"/>
      <c r="X173" s="202"/>
      <c r="Y173" s="201"/>
      <c r="Z173" s="201"/>
    </row>
    <row r="174">
      <c r="A174" s="273"/>
      <c r="B174" s="276"/>
      <c r="C174" s="273"/>
      <c r="D174" s="202"/>
      <c r="E174" s="202"/>
      <c r="F174" s="202"/>
      <c r="G174" s="202"/>
      <c r="H174" s="202"/>
      <c r="I174" s="201"/>
      <c r="J174" s="202"/>
      <c r="K174" s="273"/>
      <c r="L174" s="202"/>
      <c r="M174" s="202"/>
      <c r="N174" s="202"/>
      <c r="O174" s="202"/>
      <c r="P174" s="202"/>
      <c r="Q174" s="202"/>
      <c r="R174" s="201"/>
      <c r="S174" s="202"/>
      <c r="T174" s="273"/>
      <c r="U174" s="202"/>
      <c r="V174" s="202"/>
      <c r="W174" s="202"/>
      <c r="X174" s="202"/>
      <c r="Y174" s="201"/>
      <c r="Z174" s="201"/>
    </row>
    <row r="175">
      <c r="A175" s="273"/>
      <c r="B175" s="276"/>
      <c r="C175" s="273"/>
      <c r="D175" s="202"/>
      <c r="E175" s="202"/>
      <c r="F175" s="202"/>
      <c r="G175" s="202"/>
      <c r="H175" s="202"/>
      <c r="I175" s="201"/>
      <c r="J175" s="202"/>
      <c r="K175" s="273"/>
      <c r="L175" s="202"/>
      <c r="M175" s="202"/>
      <c r="N175" s="202"/>
      <c r="O175" s="202"/>
      <c r="P175" s="202"/>
      <c r="Q175" s="202"/>
      <c r="R175" s="201"/>
      <c r="S175" s="202"/>
      <c r="T175" s="273"/>
      <c r="U175" s="202"/>
      <c r="V175" s="202"/>
      <c r="W175" s="202"/>
      <c r="X175" s="202"/>
      <c r="Y175" s="201"/>
      <c r="Z175" s="201"/>
    </row>
    <row r="176">
      <c r="A176" s="273"/>
      <c r="B176" s="276"/>
      <c r="C176" s="273"/>
      <c r="D176" s="202"/>
      <c r="E176" s="202"/>
      <c r="F176" s="202"/>
      <c r="G176" s="202"/>
      <c r="H176" s="202"/>
      <c r="I176" s="201"/>
      <c r="J176" s="202"/>
      <c r="K176" s="273"/>
      <c r="L176" s="202"/>
      <c r="M176" s="202"/>
      <c r="N176" s="202"/>
      <c r="O176" s="202"/>
      <c r="P176" s="202"/>
      <c r="Q176" s="202"/>
      <c r="R176" s="201"/>
      <c r="S176" s="202"/>
      <c r="T176" s="273"/>
      <c r="U176" s="202"/>
      <c r="V176" s="202"/>
      <c r="W176" s="202"/>
      <c r="X176" s="202"/>
      <c r="Y176" s="201"/>
      <c r="Z176" s="201"/>
    </row>
    <row r="177">
      <c r="A177" s="273"/>
      <c r="B177" s="276"/>
      <c r="C177" s="273"/>
      <c r="D177" s="202"/>
      <c r="E177" s="202"/>
      <c r="F177" s="202"/>
      <c r="G177" s="202"/>
      <c r="H177" s="202"/>
      <c r="I177" s="201"/>
      <c r="J177" s="202"/>
      <c r="K177" s="273"/>
      <c r="L177" s="202"/>
      <c r="M177" s="202"/>
      <c r="N177" s="202"/>
      <c r="O177" s="202"/>
      <c r="P177" s="202"/>
      <c r="Q177" s="202"/>
      <c r="R177" s="201"/>
      <c r="S177" s="202"/>
      <c r="T177" s="273"/>
      <c r="U177" s="202"/>
      <c r="V177" s="202"/>
      <c r="W177" s="202"/>
      <c r="X177" s="202"/>
      <c r="Y177" s="201"/>
      <c r="Z177" s="201"/>
    </row>
    <row r="178">
      <c r="A178" s="273"/>
      <c r="B178" s="276"/>
      <c r="C178" s="273"/>
      <c r="D178" s="202"/>
      <c r="E178" s="202"/>
      <c r="F178" s="202"/>
      <c r="G178" s="202"/>
      <c r="H178" s="202"/>
      <c r="I178" s="201"/>
      <c r="J178" s="202"/>
      <c r="K178" s="273"/>
      <c r="L178" s="202"/>
      <c r="M178" s="202"/>
      <c r="N178" s="202"/>
      <c r="O178" s="202"/>
      <c r="P178" s="202"/>
      <c r="Q178" s="202"/>
      <c r="R178" s="201"/>
      <c r="S178" s="202"/>
      <c r="T178" s="273"/>
      <c r="U178" s="202"/>
      <c r="V178" s="202"/>
      <c r="W178" s="202"/>
      <c r="X178" s="202"/>
      <c r="Y178" s="201"/>
      <c r="Z178" s="201"/>
    </row>
    <row r="179">
      <c r="A179" s="273"/>
      <c r="B179" s="276"/>
      <c r="C179" s="273"/>
      <c r="D179" s="202"/>
      <c r="E179" s="202"/>
      <c r="F179" s="202"/>
      <c r="G179" s="202"/>
      <c r="H179" s="202"/>
      <c r="I179" s="201"/>
      <c r="J179" s="202"/>
      <c r="K179" s="273"/>
      <c r="L179" s="202"/>
      <c r="M179" s="202"/>
      <c r="N179" s="202"/>
      <c r="O179" s="202"/>
      <c r="P179" s="202"/>
      <c r="Q179" s="202"/>
      <c r="R179" s="201"/>
      <c r="S179" s="202"/>
      <c r="T179" s="273"/>
      <c r="U179" s="202"/>
      <c r="V179" s="202"/>
      <c r="W179" s="202"/>
      <c r="X179" s="202"/>
      <c r="Y179" s="201"/>
      <c r="Z179" s="201"/>
    </row>
    <row r="180">
      <c r="A180" s="273"/>
      <c r="B180" s="276"/>
      <c r="C180" s="273"/>
      <c r="D180" s="202"/>
      <c r="E180" s="202"/>
      <c r="F180" s="202"/>
      <c r="G180" s="202"/>
      <c r="H180" s="202"/>
      <c r="I180" s="201"/>
      <c r="J180" s="202"/>
      <c r="K180" s="273"/>
      <c r="L180" s="202"/>
      <c r="M180" s="202"/>
      <c r="N180" s="202"/>
      <c r="O180" s="202"/>
      <c r="P180" s="202"/>
      <c r="Q180" s="202"/>
      <c r="R180" s="201"/>
      <c r="S180" s="202"/>
      <c r="T180" s="273"/>
      <c r="U180" s="202"/>
      <c r="V180" s="202"/>
      <c r="W180" s="202"/>
      <c r="X180" s="202"/>
      <c r="Y180" s="201"/>
      <c r="Z180" s="201"/>
    </row>
    <row r="181">
      <c r="A181" s="273"/>
      <c r="B181" s="276"/>
      <c r="C181" s="273"/>
      <c r="D181" s="202"/>
      <c r="E181" s="202"/>
      <c r="F181" s="202"/>
      <c r="G181" s="202"/>
      <c r="H181" s="202"/>
      <c r="I181" s="201"/>
      <c r="J181" s="202"/>
      <c r="K181" s="273"/>
      <c r="L181" s="202"/>
      <c r="M181" s="202"/>
      <c r="N181" s="202"/>
      <c r="O181" s="202"/>
      <c r="P181" s="202"/>
      <c r="Q181" s="202"/>
      <c r="R181" s="201"/>
      <c r="S181" s="202"/>
      <c r="T181" s="273"/>
      <c r="U181" s="202"/>
      <c r="V181" s="202"/>
      <c r="W181" s="202"/>
      <c r="X181" s="202"/>
      <c r="Y181" s="201"/>
      <c r="Z181" s="201"/>
    </row>
    <row r="182">
      <c r="A182" s="273"/>
      <c r="B182" s="276"/>
      <c r="C182" s="273"/>
      <c r="D182" s="202"/>
      <c r="E182" s="202"/>
      <c r="F182" s="202"/>
      <c r="G182" s="202"/>
      <c r="H182" s="202"/>
      <c r="I182" s="201"/>
      <c r="J182" s="202"/>
      <c r="K182" s="273"/>
      <c r="L182" s="202"/>
      <c r="M182" s="202"/>
      <c r="N182" s="202"/>
      <c r="O182" s="202"/>
      <c r="P182" s="202"/>
      <c r="Q182" s="202"/>
      <c r="R182" s="201"/>
      <c r="S182" s="202"/>
      <c r="T182" s="273"/>
      <c r="U182" s="202"/>
      <c r="V182" s="202"/>
      <c r="W182" s="202"/>
      <c r="X182" s="202"/>
      <c r="Y182" s="201"/>
      <c r="Z182" s="201"/>
    </row>
    <row r="183">
      <c r="A183" s="273"/>
      <c r="B183" s="276"/>
      <c r="C183" s="273"/>
      <c r="D183" s="202"/>
      <c r="E183" s="202"/>
      <c r="F183" s="202"/>
      <c r="G183" s="202"/>
      <c r="H183" s="202"/>
      <c r="I183" s="201"/>
      <c r="J183" s="202"/>
      <c r="K183" s="273"/>
      <c r="L183" s="202"/>
      <c r="M183" s="202"/>
      <c r="N183" s="202"/>
      <c r="O183" s="202"/>
      <c r="P183" s="202"/>
      <c r="Q183" s="202"/>
      <c r="R183" s="201"/>
      <c r="S183" s="202"/>
      <c r="T183" s="273"/>
      <c r="U183" s="202"/>
      <c r="V183" s="202"/>
      <c r="W183" s="202"/>
      <c r="X183" s="202"/>
      <c r="Y183" s="201"/>
      <c r="Z183" s="201"/>
    </row>
    <row r="184">
      <c r="A184" s="273"/>
      <c r="B184" s="276"/>
      <c r="C184" s="273"/>
      <c r="D184" s="202"/>
      <c r="E184" s="202"/>
      <c r="F184" s="202"/>
      <c r="G184" s="202"/>
      <c r="H184" s="202"/>
      <c r="I184" s="201"/>
      <c r="J184" s="202"/>
      <c r="K184" s="273"/>
      <c r="L184" s="202"/>
      <c r="M184" s="202"/>
      <c r="N184" s="202"/>
      <c r="O184" s="202"/>
      <c r="P184" s="202"/>
      <c r="Q184" s="202"/>
      <c r="R184" s="201"/>
      <c r="S184" s="202"/>
      <c r="T184" s="273"/>
      <c r="U184" s="202"/>
      <c r="V184" s="202"/>
      <c r="W184" s="202"/>
      <c r="X184" s="202"/>
      <c r="Y184" s="201"/>
      <c r="Z184" s="201"/>
    </row>
    <row r="185">
      <c r="A185" s="273"/>
      <c r="B185" s="276"/>
      <c r="C185" s="273"/>
      <c r="D185" s="202"/>
      <c r="E185" s="202"/>
      <c r="F185" s="202"/>
      <c r="G185" s="202"/>
      <c r="H185" s="202"/>
      <c r="I185" s="201"/>
      <c r="J185" s="202"/>
      <c r="K185" s="273"/>
      <c r="L185" s="202"/>
      <c r="M185" s="202"/>
      <c r="N185" s="202"/>
      <c r="O185" s="202"/>
      <c r="P185" s="202"/>
      <c r="Q185" s="202"/>
      <c r="R185" s="201"/>
      <c r="S185" s="202"/>
      <c r="T185" s="273"/>
      <c r="U185" s="202"/>
      <c r="V185" s="202"/>
      <c r="W185" s="202"/>
      <c r="X185" s="202"/>
      <c r="Y185" s="201"/>
      <c r="Z185" s="201"/>
    </row>
    <row r="186">
      <c r="A186" s="273"/>
      <c r="B186" s="276"/>
      <c r="C186" s="273"/>
      <c r="D186" s="202"/>
      <c r="E186" s="202"/>
      <c r="F186" s="202"/>
      <c r="G186" s="202"/>
      <c r="H186" s="202"/>
      <c r="I186" s="201"/>
      <c r="J186" s="202"/>
      <c r="K186" s="273"/>
      <c r="L186" s="202"/>
      <c r="M186" s="202"/>
      <c r="N186" s="202"/>
      <c r="O186" s="202"/>
      <c r="P186" s="202"/>
      <c r="Q186" s="202"/>
      <c r="R186" s="201"/>
      <c r="S186" s="202"/>
      <c r="T186" s="273"/>
      <c r="U186" s="202"/>
      <c r="V186" s="202"/>
      <c r="W186" s="202"/>
      <c r="X186" s="202"/>
      <c r="Y186" s="201"/>
      <c r="Z186" s="201"/>
    </row>
    <row r="187">
      <c r="A187" s="273"/>
      <c r="B187" s="276"/>
      <c r="C187" s="273"/>
      <c r="D187" s="202"/>
      <c r="E187" s="202"/>
      <c r="F187" s="202"/>
      <c r="G187" s="202"/>
      <c r="H187" s="202"/>
      <c r="I187" s="201"/>
      <c r="J187" s="202"/>
      <c r="K187" s="273"/>
      <c r="L187" s="202"/>
      <c r="M187" s="202"/>
      <c r="N187" s="202"/>
      <c r="O187" s="202"/>
      <c r="P187" s="202"/>
      <c r="Q187" s="202"/>
      <c r="R187" s="201"/>
      <c r="S187" s="202"/>
      <c r="T187" s="273"/>
      <c r="U187" s="202"/>
      <c r="V187" s="202"/>
      <c r="W187" s="202"/>
      <c r="X187" s="202"/>
      <c r="Y187" s="201"/>
      <c r="Z187" s="201"/>
    </row>
    <row r="188">
      <c r="A188" s="273"/>
      <c r="B188" s="276"/>
      <c r="C188" s="273"/>
      <c r="D188" s="202"/>
      <c r="E188" s="202"/>
      <c r="F188" s="202"/>
      <c r="G188" s="202"/>
      <c r="H188" s="202"/>
      <c r="I188" s="201"/>
      <c r="J188" s="202"/>
      <c r="K188" s="273"/>
      <c r="L188" s="202"/>
      <c r="M188" s="202"/>
      <c r="N188" s="202"/>
      <c r="O188" s="202"/>
      <c r="P188" s="202"/>
      <c r="Q188" s="202"/>
      <c r="R188" s="201"/>
      <c r="S188" s="202"/>
      <c r="T188" s="273"/>
      <c r="U188" s="202"/>
      <c r="V188" s="202"/>
      <c r="W188" s="202"/>
      <c r="X188" s="202"/>
      <c r="Y188" s="201"/>
      <c r="Z188" s="201"/>
    </row>
    <row r="189">
      <c r="A189" s="273"/>
      <c r="B189" s="276"/>
      <c r="C189" s="273"/>
      <c r="D189" s="202"/>
      <c r="E189" s="202"/>
      <c r="F189" s="202"/>
      <c r="G189" s="202"/>
      <c r="H189" s="202"/>
      <c r="I189" s="201"/>
      <c r="J189" s="202"/>
      <c r="K189" s="273"/>
      <c r="L189" s="202"/>
      <c r="M189" s="202"/>
      <c r="N189" s="202"/>
      <c r="O189" s="202"/>
      <c r="P189" s="202"/>
      <c r="Q189" s="202"/>
      <c r="R189" s="201"/>
      <c r="S189" s="202"/>
      <c r="T189" s="273"/>
      <c r="U189" s="202"/>
      <c r="V189" s="202"/>
      <c r="W189" s="202"/>
      <c r="X189" s="202"/>
      <c r="Y189" s="201"/>
      <c r="Z189" s="201"/>
    </row>
    <row r="190">
      <c r="A190" s="273"/>
      <c r="B190" s="276"/>
      <c r="C190" s="273"/>
      <c r="D190" s="202"/>
      <c r="E190" s="202"/>
      <c r="F190" s="202"/>
      <c r="G190" s="202"/>
      <c r="H190" s="202"/>
      <c r="I190" s="201"/>
      <c r="J190" s="202"/>
      <c r="K190" s="273"/>
      <c r="L190" s="202"/>
      <c r="M190" s="202"/>
      <c r="N190" s="202"/>
      <c r="O190" s="202"/>
      <c r="P190" s="202"/>
      <c r="Q190" s="202"/>
      <c r="R190" s="201"/>
      <c r="S190" s="202"/>
      <c r="T190" s="273"/>
      <c r="U190" s="202"/>
      <c r="V190" s="202"/>
      <c r="W190" s="202"/>
      <c r="X190" s="202"/>
      <c r="Y190" s="201"/>
      <c r="Z190" s="201"/>
    </row>
    <row r="191">
      <c r="A191" s="273"/>
      <c r="B191" s="276"/>
      <c r="C191" s="273"/>
      <c r="D191" s="202"/>
      <c r="E191" s="202"/>
      <c r="F191" s="202"/>
      <c r="G191" s="202"/>
      <c r="H191" s="202"/>
      <c r="I191" s="201"/>
      <c r="J191" s="202"/>
      <c r="K191" s="273"/>
      <c r="L191" s="202"/>
      <c r="M191" s="202"/>
      <c r="N191" s="202"/>
      <c r="O191" s="202"/>
      <c r="P191" s="202"/>
      <c r="Q191" s="202"/>
      <c r="R191" s="201"/>
      <c r="S191" s="202"/>
      <c r="T191" s="273"/>
      <c r="U191" s="202"/>
      <c r="V191" s="202"/>
      <c r="W191" s="202"/>
      <c r="X191" s="202"/>
      <c r="Y191" s="201"/>
      <c r="Z191" s="201"/>
    </row>
    <row r="192">
      <c r="A192" s="273"/>
      <c r="B192" s="276"/>
      <c r="C192" s="273"/>
      <c r="D192" s="202"/>
      <c r="E192" s="202"/>
      <c r="F192" s="202"/>
      <c r="G192" s="202"/>
      <c r="H192" s="202"/>
      <c r="I192" s="201"/>
      <c r="J192" s="202"/>
      <c r="K192" s="273"/>
      <c r="L192" s="202"/>
      <c r="M192" s="202"/>
      <c r="N192" s="202"/>
      <c r="O192" s="202"/>
      <c r="P192" s="202"/>
      <c r="Q192" s="202"/>
      <c r="R192" s="201"/>
      <c r="S192" s="202"/>
      <c r="T192" s="273"/>
      <c r="U192" s="202"/>
      <c r="V192" s="202"/>
      <c r="W192" s="202"/>
      <c r="X192" s="202"/>
      <c r="Y192" s="201"/>
      <c r="Z192" s="201"/>
    </row>
    <row r="193">
      <c r="A193" s="273"/>
      <c r="B193" s="276"/>
      <c r="C193" s="273"/>
      <c r="D193" s="202"/>
      <c r="E193" s="202"/>
      <c r="F193" s="202"/>
      <c r="G193" s="202"/>
      <c r="H193" s="202"/>
      <c r="I193" s="201"/>
      <c r="J193" s="202"/>
      <c r="K193" s="273"/>
      <c r="L193" s="202"/>
      <c r="M193" s="202"/>
      <c r="N193" s="202"/>
      <c r="O193" s="202"/>
      <c r="P193" s="202"/>
      <c r="Q193" s="202"/>
      <c r="R193" s="201"/>
      <c r="S193" s="202"/>
      <c r="T193" s="273"/>
      <c r="U193" s="202"/>
      <c r="V193" s="202"/>
      <c r="W193" s="202"/>
      <c r="X193" s="202"/>
      <c r="Y193" s="201"/>
      <c r="Z193" s="201"/>
    </row>
    <row r="194">
      <c r="A194" s="273"/>
      <c r="B194" s="276"/>
      <c r="C194" s="273"/>
      <c r="D194" s="202"/>
      <c r="E194" s="202"/>
      <c r="F194" s="202"/>
      <c r="G194" s="202"/>
      <c r="H194" s="202"/>
      <c r="I194" s="201"/>
      <c r="J194" s="202"/>
      <c r="K194" s="273"/>
      <c r="L194" s="202"/>
      <c r="M194" s="202"/>
      <c r="N194" s="202"/>
      <c r="O194" s="202"/>
      <c r="P194" s="202"/>
      <c r="Q194" s="202"/>
      <c r="R194" s="201"/>
      <c r="S194" s="202"/>
      <c r="T194" s="273"/>
      <c r="U194" s="202"/>
      <c r="V194" s="202"/>
      <c r="W194" s="202"/>
      <c r="X194" s="202"/>
      <c r="Y194" s="201"/>
      <c r="Z194" s="201"/>
    </row>
    <row r="195">
      <c r="A195" s="273"/>
      <c r="B195" s="276"/>
      <c r="C195" s="273"/>
      <c r="D195" s="202"/>
      <c r="E195" s="202"/>
      <c r="F195" s="202"/>
      <c r="G195" s="202"/>
      <c r="H195" s="202"/>
      <c r="I195" s="201"/>
      <c r="J195" s="202"/>
      <c r="K195" s="273"/>
      <c r="L195" s="202"/>
      <c r="M195" s="202"/>
      <c r="N195" s="202"/>
      <c r="O195" s="202"/>
      <c r="P195" s="202"/>
      <c r="Q195" s="202"/>
      <c r="R195" s="201"/>
      <c r="S195" s="202"/>
      <c r="T195" s="273"/>
      <c r="U195" s="202"/>
      <c r="V195" s="202"/>
      <c r="W195" s="202"/>
      <c r="X195" s="202"/>
      <c r="Y195" s="201"/>
      <c r="Z195" s="201"/>
    </row>
    <row r="196">
      <c r="A196" s="273"/>
      <c r="B196" s="276"/>
      <c r="C196" s="273"/>
      <c r="D196" s="202"/>
      <c r="E196" s="202"/>
      <c r="F196" s="202"/>
      <c r="G196" s="202"/>
      <c r="H196" s="202"/>
      <c r="I196" s="201"/>
      <c r="J196" s="202"/>
      <c r="K196" s="273"/>
      <c r="L196" s="202"/>
      <c r="M196" s="202"/>
      <c r="N196" s="202"/>
      <c r="O196" s="202"/>
      <c r="P196" s="202"/>
      <c r="Q196" s="202"/>
      <c r="R196" s="201"/>
      <c r="S196" s="202"/>
      <c r="T196" s="273"/>
      <c r="U196" s="202"/>
      <c r="V196" s="202"/>
      <c r="W196" s="202"/>
      <c r="X196" s="202"/>
      <c r="Y196" s="201"/>
      <c r="Z196" s="201"/>
    </row>
    <row r="197">
      <c r="A197" s="273"/>
      <c r="B197" s="276"/>
      <c r="C197" s="273"/>
      <c r="D197" s="202"/>
      <c r="E197" s="202"/>
      <c r="F197" s="202"/>
      <c r="G197" s="202"/>
      <c r="H197" s="202"/>
      <c r="I197" s="201"/>
      <c r="J197" s="202"/>
      <c r="K197" s="273"/>
      <c r="L197" s="202"/>
      <c r="M197" s="202"/>
      <c r="N197" s="202"/>
      <c r="O197" s="202"/>
      <c r="P197" s="202"/>
      <c r="Q197" s="202"/>
      <c r="R197" s="201"/>
      <c r="S197" s="202"/>
      <c r="T197" s="273"/>
      <c r="U197" s="202"/>
      <c r="V197" s="202"/>
      <c r="W197" s="202"/>
      <c r="X197" s="202"/>
      <c r="Y197" s="201"/>
      <c r="Z197" s="201"/>
    </row>
    <row r="198">
      <c r="A198" s="273"/>
      <c r="B198" s="276"/>
      <c r="C198" s="273"/>
      <c r="D198" s="202"/>
      <c r="E198" s="202"/>
      <c r="F198" s="202"/>
      <c r="G198" s="202"/>
      <c r="H198" s="202"/>
      <c r="I198" s="201"/>
      <c r="J198" s="202"/>
      <c r="K198" s="273"/>
      <c r="L198" s="202"/>
      <c r="M198" s="202"/>
      <c r="N198" s="202"/>
      <c r="O198" s="202"/>
      <c r="P198" s="202"/>
      <c r="Q198" s="202"/>
      <c r="R198" s="201"/>
      <c r="S198" s="202"/>
      <c r="T198" s="273"/>
      <c r="U198" s="202"/>
      <c r="V198" s="202"/>
      <c r="W198" s="202"/>
      <c r="X198" s="202"/>
      <c r="Y198" s="201"/>
      <c r="Z198" s="201"/>
    </row>
    <row r="199">
      <c r="A199" s="273"/>
      <c r="B199" s="276"/>
      <c r="C199" s="273"/>
      <c r="D199" s="202"/>
      <c r="E199" s="202"/>
      <c r="F199" s="202"/>
      <c r="G199" s="202"/>
      <c r="H199" s="202"/>
      <c r="I199" s="201"/>
      <c r="J199" s="202"/>
      <c r="K199" s="273"/>
      <c r="L199" s="202"/>
      <c r="M199" s="202"/>
      <c r="N199" s="202"/>
      <c r="O199" s="202"/>
      <c r="P199" s="202"/>
      <c r="Q199" s="202"/>
      <c r="R199" s="201"/>
      <c r="S199" s="202"/>
      <c r="T199" s="273"/>
      <c r="U199" s="202"/>
      <c r="V199" s="202"/>
      <c r="W199" s="202"/>
      <c r="X199" s="202"/>
      <c r="Y199" s="201"/>
      <c r="Z199" s="201"/>
    </row>
    <row r="200">
      <c r="A200" s="273"/>
      <c r="B200" s="276"/>
      <c r="C200" s="273"/>
      <c r="D200" s="202"/>
      <c r="E200" s="202"/>
      <c r="F200" s="202"/>
      <c r="G200" s="202"/>
      <c r="H200" s="202"/>
      <c r="I200" s="201"/>
      <c r="J200" s="202"/>
      <c r="K200" s="273"/>
      <c r="L200" s="202"/>
      <c r="M200" s="202"/>
      <c r="N200" s="202"/>
      <c r="O200" s="202"/>
      <c r="P200" s="202"/>
      <c r="Q200" s="202"/>
      <c r="R200" s="201"/>
      <c r="S200" s="202"/>
      <c r="T200" s="273"/>
      <c r="U200" s="202"/>
      <c r="V200" s="202"/>
      <c r="W200" s="202"/>
      <c r="X200" s="202"/>
      <c r="Y200" s="201"/>
      <c r="Z200" s="201"/>
    </row>
    <row r="201">
      <c r="A201" s="273"/>
      <c r="B201" s="276"/>
      <c r="C201" s="273"/>
      <c r="D201" s="202"/>
      <c r="E201" s="202"/>
      <c r="F201" s="202"/>
      <c r="G201" s="202"/>
      <c r="H201" s="202"/>
      <c r="I201" s="201"/>
      <c r="J201" s="202"/>
      <c r="K201" s="273"/>
      <c r="L201" s="202"/>
      <c r="M201" s="202"/>
      <c r="N201" s="202"/>
      <c r="O201" s="202"/>
      <c r="P201" s="202"/>
      <c r="Q201" s="202"/>
      <c r="R201" s="201"/>
      <c r="S201" s="202"/>
      <c r="T201" s="273"/>
      <c r="U201" s="202"/>
      <c r="V201" s="202"/>
      <c r="W201" s="202"/>
      <c r="X201" s="202"/>
      <c r="Y201" s="201"/>
      <c r="Z201" s="201"/>
    </row>
    <row r="202">
      <c r="A202" s="273"/>
      <c r="B202" s="276"/>
      <c r="C202" s="273"/>
      <c r="D202" s="202"/>
      <c r="E202" s="202"/>
      <c r="F202" s="202"/>
      <c r="G202" s="202"/>
      <c r="H202" s="202"/>
      <c r="I202" s="201"/>
      <c r="J202" s="202"/>
      <c r="K202" s="273"/>
      <c r="L202" s="202"/>
      <c r="M202" s="202"/>
      <c r="N202" s="202"/>
      <c r="O202" s="202"/>
      <c r="P202" s="202"/>
      <c r="Q202" s="202"/>
      <c r="R202" s="201"/>
      <c r="S202" s="202"/>
      <c r="T202" s="273"/>
      <c r="U202" s="202"/>
      <c r="V202" s="202"/>
      <c r="W202" s="202"/>
      <c r="X202" s="202"/>
      <c r="Y202" s="201"/>
      <c r="Z202" s="201"/>
    </row>
    <row r="203">
      <c r="A203" s="273"/>
      <c r="B203" s="276"/>
      <c r="C203" s="273"/>
      <c r="D203" s="202"/>
      <c r="E203" s="202"/>
      <c r="F203" s="202"/>
      <c r="G203" s="202"/>
      <c r="H203" s="202"/>
      <c r="I203" s="201"/>
      <c r="J203" s="202"/>
      <c r="K203" s="273"/>
      <c r="L203" s="202"/>
      <c r="M203" s="202"/>
      <c r="N203" s="202"/>
      <c r="O203" s="202"/>
      <c r="P203" s="202"/>
      <c r="Q203" s="202"/>
      <c r="R203" s="201"/>
      <c r="S203" s="202"/>
      <c r="T203" s="273"/>
      <c r="U203" s="202"/>
      <c r="V203" s="202"/>
      <c r="W203" s="202"/>
      <c r="X203" s="202"/>
      <c r="Y203" s="201"/>
      <c r="Z203" s="201"/>
    </row>
    <row r="204">
      <c r="A204" s="273"/>
      <c r="B204" s="276"/>
      <c r="C204" s="273"/>
      <c r="D204" s="202"/>
      <c r="E204" s="202"/>
      <c r="F204" s="202"/>
      <c r="G204" s="202"/>
      <c r="H204" s="202"/>
      <c r="I204" s="201"/>
      <c r="J204" s="202"/>
      <c r="K204" s="273"/>
      <c r="L204" s="202"/>
      <c r="M204" s="202"/>
      <c r="N204" s="202"/>
      <c r="O204" s="202"/>
      <c r="P204" s="202"/>
      <c r="Q204" s="202"/>
      <c r="R204" s="201"/>
      <c r="S204" s="202"/>
      <c r="T204" s="273"/>
      <c r="U204" s="202"/>
      <c r="V204" s="202"/>
      <c r="W204" s="202"/>
      <c r="X204" s="202"/>
      <c r="Y204" s="201"/>
      <c r="Z204" s="201"/>
    </row>
    <row r="205">
      <c r="A205" s="273"/>
      <c r="B205" s="276"/>
      <c r="C205" s="273"/>
      <c r="D205" s="202"/>
      <c r="E205" s="202"/>
      <c r="F205" s="202"/>
      <c r="G205" s="202"/>
      <c r="H205" s="202"/>
      <c r="I205" s="201"/>
      <c r="J205" s="202"/>
      <c r="K205" s="273"/>
      <c r="L205" s="202"/>
      <c r="M205" s="202"/>
      <c r="N205" s="202"/>
      <c r="O205" s="202"/>
      <c r="P205" s="202"/>
      <c r="Q205" s="202"/>
      <c r="R205" s="201"/>
      <c r="S205" s="202"/>
      <c r="T205" s="273"/>
      <c r="U205" s="202"/>
      <c r="V205" s="202"/>
      <c r="W205" s="202"/>
      <c r="X205" s="202"/>
      <c r="Y205" s="201"/>
      <c r="Z205" s="201"/>
    </row>
    <row r="206">
      <c r="A206" s="273"/>
      <c r="B206" s="276"/>
      <c r="C206" s="273"/>
      <c r="D206" s="202"/>
      <c r="E206" s="202"/>
      <c r="F206" s="202"/>
      <c r="G206" s="202"/>
      <c r="H206" s="202"/>
      <c r="I206" s="201"/>
      <c r="J206" s="202"/>
      <c r="K206" s="273"/>
      <c r="L206" s="202"/>
      <c r="M206" s="202"/>
      <c r="N206" s="202"/>
      <c r="O206" s="202"/>
      <c r="P206" s="202"/>
      <c r="Q206" s="202"/>
      <c r="R206" s="201"/>
      <c r="S206" s="202"/>
      <c r="T206" s="273"/>
      <c r="U206" s="202"/>
      <c r="V206" s="202"/>
      <c r="W206" s="202"/>
      <c r="X206" s="202"/>
      <c r="Y206" s="201"/>
      <c r="Z206" s="201"/>
    </row>
    <row r="207">
      <c r="A207" s="273"/>
      <c r="B207" s="276"/>
      <c r="C207" s="273"/>
      <c r="D207" s="202"/>
      <c r="E207" s="202"/>
      <c r="F207" s="202"/>
      <c r="G207" s="202"/>
      <c r="H207" s="202"/>
      <c r="I207" s="201"/>
      <c r="J207" s="202"/>
      <c r="K207" s="273"/>
      <c r="L207" s="202"/>
      <c r="M207" s="202"/>
      <c r="N207" s="202"/>
      <c r="O207" s="202"/>
      <c r="P207" s="202"/>
      <c r="Q207" s="202"/>
      <c r="R207" s="201"/>
      <c r="S207" s="202"/>
      <c r="T207" s="273"/>
      <c r="U207" s="202"/>
      <c r="V207" s="202"/>
      <c r="W207" s="202"/>
      <c r="X207" s="202"/>
      <c r="Y207" s="201"/>
      <c r="Z207" s="201"/>
    </row>
    <row r="208">
      <c r="A208" s="273"/>
      <c r="B208" s="276"/>
      <c r="C208" s="273"/>
      <c r="D208" s="202"/>
      <c r="E208" s="202"/>
      <c r="F208" s="202"/>
      <c r="G208" s="202"/>
      <c r="H208" s="202"/>
      <c r="I208" s="201"/>
      <c r="J208" s="202"/>
      <c r="K208" s="273"/>
      <c r="L208" s="202"/>
      <c r="M208" s="202"/>
      <c r="N208" s="202"/>
      <c r="O208" s="202"/>
      <c r="P208" s="202"/>
      <c r="Q208" s="202"/>
      <c r="R208" s="201"/>
      <c r="S208" s="202"/>
      <c r="T208" s="273"/>
      <c r="U208" s="202"/>
      <c r="V208" s="202"/>
      <c r="W208" s="202"/>
      <c r="X208" s="202"/>
      <c r="Y208" s="201"/>
      <c r="Z208" s="201"/>
    </row>
    <row r="209">
      <c r="A209" s="273"/>
      <c r="B209" s="276"/>
      <c r="C209" s="273"/>
      <c r="D209" s="202"/>
      <c r="E209" s="202"/>
      <c r="F209" s="202"/>
      <c r="G209" s="202"/>
      <c r="H209" s="202"/>
      <c r="I209" s="201"/>
      <c r="J209" s="202"/>
      <c r="K209" s="273"/>
      <c r="L209" s="202"/>
      <c r="M209" s="202"/>
      <c r="N209" s="202"/>
      <c r="O209" s="202"/>
      <c r="P209" s="202"/>
      <c r="Q209" s="202"/>
      <c r="R209" s="201"/>
      <c r="S209" s="202"/>
      <c r="T209" s="273"/>
      <c r="U209" s="202"/>
      <c r="V209" s="202"/>
      <c r="W209" s="202"/>
      <c r="X209" s="202"/>
      <c r="Y209" s="201"/>
      <c r="Z209" s="201"/>
    </row>
    <row r="210">
      <c r="A210" s="273"/>
      <c r="B210" s="276"/>
      <c r="C210" s="273"/>
      <c r="D210" s="202"/>
      <c r="E210" s="202"/>
      <c r="F210" s="202"/>
      <c r="G210" s="202"/>
      <c r="H210" s="202"/>
      <c r="I210" s="201"/>
      <c r="J210" s="202"/>
      <c r="K210" s="273"/>
      <c r="L210" s="202"/>
      <c r="M210" s="202"/>
      <c r="N210" s="202"/>
      <c r="O210" s="202"/>
      <c r="P210" s="202"/>
      <c r="Q210" s="202"/>
      <c r="R210" s="201"/>
      <c r="S210" s="202"/>
      <c r="T210" s="273"/>
      <c r="U210" s="202"/>
      <c r="V210" s="202"/>
      <c r="W210" s="202"/>
      <c r="X210" s="202"/>
      <c r="Y210" s="201"/>
      <c r="Z210" s="201"/>
    </row>
    <row r="211">
      <c r="A211" s="273"/>
      <c r="B211" s="276"/>
      <c r="C211" s="273"/>
      <c r="D211" s="202"/>
      <c r="E211" s="202"/>
      <c r="F211" s="202"/>
      <c r="G211" s="202"/>
      <c r="H211" s="202"/>
      <c r="I211" s="201"/>
      <c r="J211" s="202"/>
      <c r="K211" s="273"/>
      <c r="L211" s="202"/>
      <c r="M211" s="202"/>
      <c r="N211" s="202"/>
      <c r="O211" s="202"/>
      <c r="P211" s="202"/>
      <c r="Q211" s="202"/>
      <c r="R211" s="201"/>
      <c r="S211" s="202"/>
      <c r="T211" s="273"/>
      <c r="U211" s="202"/>
      <c r="V211" s="202"/>
      <c r="W211" s="202"/>
      <c r="X211" s="202"/>
      <c r="Y211" s="201"/>
      <c r="Z211" s="201"/>
    </row>
    <row r="212">
      <c r="A212" s="273"/>
      <c r="B212" s="276"/>
      <c r="C212" s="273"/>
      <c r="D212" s="202"/>
      <c r="E212" s="202"/>
      <c r="F212" s="202"/>
      <c r="G212" s="202"/>
      <c r="H212" s="202"/>
      <c r="I212" s="201"/>
      <c r="J212" s="202"/>
      <c r="K212" s="273"/>
      <c r="L212" s="202"/>
      <c r="M212" s="202"/>
      <c r="N212" s="202"/>
      <c r="O212" s="202"/>
      <c r="P212" s="202"/>
      <c r="Q212" s="202"/>
      <c r="R212" s="201"/>
      <c r="S212" s="202"/>
      <c r="T212" s="273"/>
      <c r="U212" s="202"/>
      <c r="V212" s="202"/>
      <c r="W212" s="202"/>
      <c r="X212" s="202"/>
      <c r="Y212" s="201"/>
      <c r="Z212" s="201"/>
    </row>
    <row r="213">
      <c r="A213" s="273"/>
      <c r="B213" s="276"/>
      <c r="C213" s="273"/>
      <c r="D213" s="202"/>
      <c r="E213" s="202"/>
      <c r="F213" s="202"/>
      <c r="G213" s="202"/>
      <c r="H213" s="202"/>
      <c r="I213" s="201"/>
      <c r="J213" s="202"/>
      <c r="K213" s="273"/>
      <c r="L213" s="202"/>
      <c r="M213" s="202"/>
      <c r="N213" s="202"/>
      <c r="O213" s="202"/>
      <c r="P213" s="202"/>
      <c r="Q213" s="202"/>
      <c r="R213" s="201"/>
      <c r="S213" s="202"/>
      <c r="T213" s="273"/>
      <c r="U213" s="202"/>
      <c r="V213" s="202"/>
      <c r="W213" s="202"/>
      <c r="X213" s="202"/>
      <c r="Y213" s="201"/>
      <c r="Z213" s="201"/>
    </row>
    <row r="214">
      <c r="A214" s="273"/>
      <c r="B214" s="276"/>
      <c r="C214" s="273"/>
      <c r="D214" s="202"/>
      <c r="E214" s="202"/>
      <c r="F214" s="202"/>
      <c r="G214" s="202"/>
      <c r="H214" s="202"/>
      <c r="I214" s="201"/>
      <c r="J214" s="202"/>
      <c r="K214" s="273"/>
      <c r="L214" s="202"/>
      <c r="M214" s="202"/>
      <c r="N214" s="202"/>
      <c r="O214" s="202"/>
      <c r="P214" s="202"/>
      <c r="Q214" s="202"/>
      <c r="R214" s="201"/>
      <c r="S214" s="202"/>
      <c r="T214" s="273"/>
      <c r="U214" s="202"/>
      <c r="V214" s="202"/>
      <c r="W214" s="202"/>
      <c r="X214" s="202"/>
      <c r="Y214" s="201"/>
      <c r="Z214" s="201"/>
    </row>
    <row r="215">
      <c r="A215" s="273"/>
      <c r="B215" s="276"/>
      <c r="C215" s="273"/>
      <c r="D215" s="202"/>
      <c r="E215" s="202"/>
      <c r="F215" s="202"/>
      <c r="G215" s="202"/>
      <c r="H215" s="202"/>
      <c r="I215" s="201"/>
      <c r="J215" s="202"/>
      <c r="K215" s="273"/>
      <c r="L215" s="202"/>
      <c r="M215" s="202"/>
      <c r="N215" s="202"/>
      <c r="O215" s="202"/>
      <c r="P215" s="202"/>
      <c r="Q215" s="202"/>
      <c r="R215" s="201"/>
      <c r="S215" s="202"/>
      <c r="T215" s="273"/>
      <c r="U215" s="202"/>
      <c r="V215" s="202"/>
      <c r="W215" s="202"/>
      <c r="X215" s="202"/>
      <c r="Y215" s="201"/>
      <c r="Z215" s="201"/>
    </row>
    <row r="216">
      <c r="A216" s="273"/>
      <c r="B216" s="276"/>
      <c r="C216" s="273"/>
      <c r="D216" s="202"/>
      <c r="E216" s="202"/>
      <c r="F216" s="202"/>
      <c r="G216" s="202"/>
      <c r="H216" s="202"/>
      <c r="I216" s="201"/>
      <c r="J216" s="202"/>
      <c r="K216" s="273"/>
      <c r="L216" s="202"/>
      <c r="M216" s="202"/>
      <c r="N216" s="202"/>
      <c r="O216" s="202"/>
      <c r="P216" s="202"/>
      <c r="Q216" s="202"/>
      <c r="R216" s="201"/>
      <c r="S216" s="202"/>
      <c r="T216" s="273"/>
      <c r="U216" s="202"/>
      <c r="V216" s="202"/>
      <c r="W216" s="202"/>
      <c r="X216" s="202"/>
      <c r="Y216" s="201"/>
      <c r="Z216" s="201"/>
    </row>
    <row r="217">
      <c r="A217" s="273"/>
      <c r="B217" s="276"/>
      <c r="C217" s="273"/>
      <c r="D217" s="202"/>
      <c r="E217" s="202"/>
      <c r="F217" s="202"/>
      <c r="G217" s="202"/>
      <c r="H217" s="202"/>
      <c r="I217" s="201"/>
      <c r="J217" s="202"/>
      <c r="K217" s="273"/>
      <c r="L217" s="202"/>
      <c r="M217" s="202"/>
      <c r="N217" s="202"/>
      <c r="O217" s="202"/>
      <c r="P217" s="202"/>
      <c r="Q217" s="202"/>
      <c r="R217" s="201"/>
      <c r="S217" s="202"/>
      <c r="T217" s="273"/>
      <c r="U217" s="202"/>
      <c r="V217" s="202"/>
      <c r="W217" s="202"/>
      <c r="X217" s="202"/>
      <c r="Y217" s="201"/>
      <c r="Z217" s="201"/>
    </row>
    <row r="218">
      <c r="A218" s="273"/>
      <c r="B218" s="276"/>
      <c r="C218" s="273"/>
      <c r="D218" s="202"/>
      <c r="E218" s="202"/>
      <c r="F218" s="202"/>
      <c r="G218" s="202"/>
      <c r="H218" s="202"/>
      <c r="I218" s="201"/>
      <c r="J218" s="202"/>
      <c r="K218" s="273"/>
      <c r="L218" s="202"/>
      <c r="M218" s="202"/>
      <c r="N218" s="202"/>
      <c r="O218" s="202"/>
      <c r="P218" s="202"/>
      <c r="Q218" s="202"/>
      <c r="R218" s="201"/>
      <c r="S218" s="202"/>
      <c r="T218" s="273"/>
      <c r="U218" s="202"/>
      <c r="V218" s="202"/>
      <c r="W218" s="202"/>
      <c r="X218" s="202"/>
      <c r="Y218" s="201"/>
      <c r="Z218" s="201"/>
    </row>
    <row r="219">
      <c r="A219" s="273"/>
      <c r="B219" s="276"/>
      <c r="C219" s="273"/>
      <c r="D219" s="202"/>
      <c r="E219" s="202"/>
      <c r="F219" s="202"/>
      <c r="G219" s="202"/>
      <c r="H219" s="202"/>
      <c r="I219" s="201"/>
      <c r="J219" s="202"/>
      <c r="K219" s="273"/>
      <c r="L219" s="202"/>
      <c r="M219" s="202"/>
      <c r="N219" s="202"/>
      <c r="O219" s="202"/>
      <c r="P219" s="202"/>
      <c r="Q219" s="202"/>
      <c r="R219" s="201"/>
      <c r="S219" s="202"/>
      <c r="T219" s="273"/>
      <c r="U219" s="202"/>
      <c r="V219" s="202"/>
      <c r="W219" s="202"/>
      <c r="X219" s="202"/>
      <c r="Y219" s="201"/>
      <c r="Z219" s="201"/>
    </row>
    <row r="220">
      <c r="A220" s="273"/>
      <c r="B220" s="276"/>
      <c r="C220" s="273"/>
      <c r="D220" s="202"/>
      <c r="E220" s="202"/>
      <c r="F220" s="202"/>
      <c r="G220" s="202"/>
      <c r="H220" s="202"/>
      <c r="I220" s="201"/>
      <c r="J220" s="202"/>
      <c r="K220" s="273"/>
      <c r="L220" s="202"/>
      <c r="M220" s="202"/>
      <c r="N220" s="202"/>
      <c r="O220" s="202"/>
      <c r="P220" s="202"/>
      <c r="Q220" s="202"/>
      <c r="R220" s="201"/>
      <c r="S220" s="202"/>
      <c r="T220" s="273"/>
      <c r="U220" s="202"/>
      <c r="V220" s="202"/>
      <c r="W220" s="202"/>
      <c r="X220" s="202"/>
      <c r="Y220" s="201"/>
      <c r="Z220" s="201"/>
    </row>
    <row r="221">
      <c r="A221" s="273"/>
      <c r="B221" s="276"/>
      <c r="C221" s="273"/>
      <c r="D221" s="202"/>
      <c r="E221" s="202"/>
      <c r="F221" s="202"/>
      <c r="G221" s="202"/>
      <c r="H221" s="202"/>
      <c r="I221" s="201"/>
      <c r="J221" s="202"/>
      <c r="K221" s="273"/>
      <c r="L221" s="202"/>
      <c r="M221" s="202"/>
      <c r="N221" s="202"/>
      <c r="O221" s="202"/>
      <c r="P221" s="202"/>
      <c r="Q221" s="202"/>
      <c r="R221" s="201"/>
      <c r="S221" s="202"/>
      <c r="T221" s="273"/>
      <c r="U221" s="202"/>
      <c r="V221" s="202"/>
      <c r="W221" s="202"/>
      <c r="X221" s="202"/>
      <c r="Y221" s="201"/>
      <c r="Z221" s="201"/>
    </row>
    <row r="222">
      <c r="A222" s="273"/>
      <c r="B222" s="276"/>
      <c r="C222" s="273"/>
      <c r="D222" s="202"/>
      <c r="E222" s="202"/>
      <c r="F222" s="202"/>
      <c r="G222" s="202"/>
      <c r="H222" s="202"/>
      <c r="I222" s="201"/>
      <c r="J222" s="202"/>
      <c r="K222" s="273"/>
      <c r="L222" s="202"/>
      <c r="M222" s="202"/>
      <c r="N222" s="202"/>
      <c r="O222" s="202"/>
      <c r="P222" s="202"/>
      <c r="Q222" s="202"/>
      <c r="R222" s="201"/>
      <c r="S222" s="202"/>
      <c r="T222" s="273"/>
      <c r="U222" s="202"/>
      <c r="V222" s="202"/>
      <c r="W222" s="202"/>
      <c r="X222" s="202"/>
      <c r="Y222" s="201"/>
      <c r="Z222" s="201"/>
    </row>
    <row r="223">
      <c r="A223" s="273"/>
      <c r="B223" s="276"/>
      <c r="C223" s="273"/>
      <c r="D223" s="202"/>
      <c r="E223" s="202"/>
      <c r="F223" s="202"/>
      <c r="G223" s="202"/>
      <c r="H223" s="202"/>
      <c r="I223" s="201"/>
      <c r="J223" s="202"/>
      <c r="K223" s="273"/>
      <c r="L223" s="202"/>
      <c r="M223" s="202"/>
      <c r="N223" s="202"/>
      <c r="O223" s="202"/>
      <c r="P223" s="202"/>
      <c r="Q223" s="202"/>
      <c r="R223" s="201"/>
      <c r="S223" s="202"/>
      <c r="T223" s="273"/>
      <c r="U223" s="202"/>
      <c r="V223" s="202"/>
      <c r="W223" s="202"/>
      <c r="X223" s="202"/>
      <c r="Y223" s="201"/>
      <c r="Z223" s="201"/>
    </row>
    <row r="224">
      <c r="A224" s="273"/>
      <c r="B224" s="276"/>
      <c r="C224" s="273"/>
      <c r="D224" s="202"/>
      <c r="E224" s="202"/>
      <c r="F224" s="202"/>
      <c r="G224" s="202"/>
      <c r="H224" s="202"/>
      <c r="I224" s="201"/>
      <c r="J224" s="202"/>
      <c r="K224" s="273"/>
      <c r="L224" s="202"/>
      <c r="M224" s="202"/>
      <c r="N224" s="202"/>
      <c r="O224" s="202"/>
      <c r="P224" s="202"/>
      <c r="Q224" s="202"/>
      <c r="R224" s="201"/>
      <c r="S224" s="202"/>
      <c r="T224" s="273"/>
      <c r="U224" s="202"/>
      <c r="V224" s="202"/>
      <c r="W224" s="202"/>
      <c r="X224" s="202"/>
      <c r="Y224" s="201"/>
      <c r="Z224" s="201"/>
    </row>
    <row r="225">
      <c r="A225" s="273"/>
      <c r="B225" s="276"/>
      <c r="C225" s="273"/>
      <c r="D225" s="202"/>
      <c r="E225" s="202"/>
      <c r="F225" s="202"/>
      <c r="G225" s="202"/>
      <c r="H225" s="202"/>
      <c r="I225" s="201"/>
      <c r="J225" s="202"/>
      <c r="K225" s="273"/>
      <c r="L225" s="202"/>
      <c r="M225" s="202"/>
      <c r="N225" s="202"/>
      <c r="O225" s="202"/>
      <c r="P225" s="202"/>
      <c r="Q225" s="202"/>
      <c r="R225" s="201"/>
      <c r="S225" s="202"/>
      <c r="T225" s="273"/>
      <c r="U225" s="202"/>
      <c r="V225" s="202"/>
      <c r="W225" s="202"/>
      <c r="X225" s="202"/>
      <c r="Y225" s="201"/>
      <c r="Z225" s="201"/>
    </row>
    <row r="226">
      <c r="A226" s="273"/>
      <c r="B226" s="276"/>
      <c r="C226" s="273"/>
      <c r="D226" s="202"/>
      <c r="E226" s="202"/>
      <c r="F226" s="202"/>
      <c r="G226" s="202"/>
      <c r="H226" s="202"/>
      <c r="I226" s="201"/>
      <c r="J226" s="202"/>
      <c r="K226" s="273"/>
      <c r="L226" s="202"/>
      <c r="M226" s="202"/>
      <c r="N226" s="202"/>
      <c r="O226" s="202"/>
      <c r="P226" s="202"/>
      <c r="Q226" s="202"/>
      <c r="R226" s="201"/>
      <c r="S226" s="202"/>
      <c r="T226" s="273"/>
      <c r="U226" s="202"/>
      <c r="V226" s="202"/>
      <c r="W226" s="202"/>
      <c r="X226" s="202"/>
      <c r="Y226" s="201"/>
      <c r="Z226" s="201"/>
    </row>
    <row r="227">
      <c r="A227" s="273"/>
      <c r="B227" s="276"/>
      <c r="C227" s="273"/>
      <c r="D227" s="202"/>
      <c r="E227" s="202"/>
      <c r="F227" s="202"/>
      <c r="G227" s="202"/>
      <c r="H227" s="202"/>
      <c r="I227" s="201"/>
      <c r="J227" s="202"/>
      <c r="K227" s="273"/>
      <c r="L227" s="202"/>
      <c r="M227" s="202"/>
      <c r="N227" s="202"/>
      <c r="O227" s="202"/>
      <c r="P227" s="202"/>
      <c r="Q227" s="202"/>
      <c r="R227" s="201"/>
      <c r="S227" s="202"/>
      <c r="T227" s="273"/>
      <c r="U227" s="202"/>
      <c r="V227" s="202"/>
      <c r="W227" s="202"/>
      <c r="X227" s="202"/>
      <c r="Y227" s="201"/>
      <c r="Z227" s="201"/>
    </row>
    <row r="228">
      <c r="A228" s="273"/>
      <c r="B228" s="276"/>
      <c r="C228" s="273"/>
      <c r="D228" s="202"/>
      <c r="E228" s="202"/>
      <c r="F228" s="202"/>
      <c r="G228" s="202"/>
      <c r="H228" s="202"/>
      <c r="I228" s="201"/>
      <c r="J228" s="202"/>
      <c r="K228" s="273"/>
      <c r="L228" s="202"/>
      <c r="M228" s="202"/>
      <c r="N228" s="202"/>
      <c r="O228" s="202"/>
      <c r="P228" s="202"/>
      <c r="Q228" s="202"/>
      <c r="R228" s="201"/>
      <c r="S228" s="202"/>
      <c r="T228" s="273"/>
      <c r="U228" s="202"/>
      <c r="V228" s="202"/>
      <c r="W228" s="202"/>
      <c r="X228" s="202"/>
      <c r="Y228" s="201"/>
      <c r="Z228" s="201"/>
    </row>
    <row r="229">
      <c r="A229" s="273"/>
      <c r="B229" s="276"/>
      <c r="C229" s="273"/>
      <c r="D229" s="202"/>
      <c r="E229" s="202"/>
      <c r="F229" s="202"/>
      <c r="G229" s="202"/>
      <c r="H229" s="202"/>
      <c r="I229" s="201"/>
      <c r="J229" s="202"/>
      <c r="K229" s="273"/>
      <c r="L229" s="202"/>
      <c r="M229" s="202"/>
      <c r="N229" s="202"/>
      <c r="O229" s="202"/>
      <c r="P229" s="202"/>
      <c r="Q229" s="202"/>
      <c r="R229" s="201"/>
      <c r="S229" s="202"/>
      <c r="T229" s="273"/>
      <c r="U229" s="202"/>
      <c r="V229" s="202"/>
      <c r="W229" s="202"/>
      <c r="X229" s="202"/>
      <c r="Y229" s="201"/>
      <c r="Z229" s="201"/>
    </row>
    <row r="230">
      <c r="A230" s="273"/>
      <c r="B230" s="276"/>
      <c r="C230" s="273"/>
      <c r="D230" s="202"/>
      <c r="E230" s="202"/>
      <c r="F230" s="202"/>
      <c r="G230" s="202"/>
      <c r="H230" s="202"/>
      <c r="I230" s="201"/>
      <c r="J230" s="202"/>
      <c r="K230" s="273"/>
      <c r="L230" s="202"/>
      <c r="M230" s="202"/>
      <c r="N230" s="202"/>
      <c r="O230" s="202"/>
      <c r="P230" s="202"/>
      <c r="Q230" s="202"/>
      <c r="R230" s="201"/>
      <c r="S230" s="202"/>
      <c r="T230" s="273"/>
      <c r="U230" s="202"/>
      <c r="V230" s="202"/>
      <c r="W230" s="202"/>
      <c r="X230" s="202"/>
      <c r="Y230" s="201"/>
      <c r="Z230" s="201"/>
    </row>
    <row r="231">
      <c r="A231" s="273"/>
      <c r="B231" s="276"/>
      <c r="C231" s="273"/>
      <c r="D231" s="202"/>
      <c r="E231" s="202"/>
      <c r="F231" s="202"/>
      <c r="G231" s="202"/>
      <c r="H231" s="202"/>
      <c r="I231" s="201"/>
      <c r="J231" s="202"/>
      <c r="K231" s="273"/>
      <c r="L231" s="202"/>
      <c r="M231" s="202"/>
      <c r="N231" s="202"/>
      <c r="O231" s="202"/>
      <c r="P231" s="202"/>
      <c r="Q231" s="202"/>
      <c r="R231" s="201"/>
      <c r="S231" s="202"/>
      <c r="T231" s="273"/>
      <c r="U231" s="202"/>
      <c r="V231" s="202"/>
      <c r="W231" s="202"/>
      <c r="X231" s="202"/>
      <c r="Y231" s="201"/>
      <c r="Z231" s="201"/>
    </row>
    <row r="232">
      <c r="A232" s="273"/>
      <c r="B232" s="276"/>
      <c r="C232" s="273"/>
      <c r="D232" s="202"/>
      <c r="E232" s="202"/>
      <c r="F232" s="202"/>
      <c r="G232" s="202"/>
      <c r="H232" s="202"/>
      <c r="I232" s="201"/>
      <c r="J232" s="202"/>
      <c r="K232" s="273"/>
      <c r="L232" s="202"/>
      <c r="M232" s="202"/>
      <c r="N232" s="202"/>
      <c r="O232" s="202"/>
      <c r="P232" s="202"/>
      <c r="Q232" s="202"/>
      <c r="R232" s="201"/>
      <c r="S232" s="202"/>
      <c r="T232" s="273"/>
      <c r="U232" s="202"/>
      <c r="V232" s="202"/>
      <c r="W232" s="202"/>
      <c r="X232" s="202"/>
      <c r="Y232" s="201"/>
      <c r="Z232" s="201"/>
    </row>
    <row r="233">
      <c r="A233" s="273"/>
      <c r="B233" s="276"/>
      <c r="C233" s="273"/>
      <c r="D233" s="202"/>
      <c r="E233" s="202"/>
      <c r="F233" s="202"/>
      <c r="G233" s="202"/>
      <c r="H233" s="202"/>
      <c r="I233" s="201"/>
      <c r="J233" s="202"/>
      <c r="K233" s="273"/>
      <c r="L233" s="202"/>
      <c r="M233" s="202"/>
      <c r="N233" s="202"/>
      <c r="O233" s="202"/>
      <c r="P233" s="202"/>
      <c r="Q233" s="202"/>
      <c r="R233" s="201"/>
      <c r="S233" s="202"/>
      <c r="T233" s="273"/>
      <c r="U233" s="202"/>
      <c r="V233" s="202"/>
      <c r="W233" s="202"/>
      <c r="X233" s="202"/>
      <c r="Y233" s="201"/>
      <c r="Z233" s="201"/>
    </row>
    <row r="234">
      <c r="A234" s="273"/>
      <c r="B234" s="276"/>
      <c r="C234" s="273"/>
      <c r="D234" s="202"/>
      <c r="E234" s="202"/>
      <c r="F234" s="202"/>
      <c r="G234" s="202"/>
      <c r="H234" s="202"/>
      <c r="I234" s="201"/>
      <c r="J234" s="202"/>
      <c r="K234" s="273"/>
      <c r="L234" s="202"/>
      <c r="M234" s="202"/>
      <c r="N234" s="202"/>
      <c r="O234" s="202"/>
      <c r="P234" s="202"/>
      <c r="Q234" s="202"/>
      <c r="R234" s="201"/>
      <c r="S234" s="202"/>
      <c r="T234" s="273"/>
      <c r="U234" s="202"/>
      <c r="V234" s="202"/>
      <c r="W234" s="202"/>
      <c r="X234" s="202"/>
      <c r="Y234" s="201"/>
      <c r="Z234" s="201"/>
    </row>
    <row r="235">
      <c r="A235" s="273"/>
      <c r="B235" s="276"/>
      <c r="C235" s="273"/>
      <c r="D235" s="202"/>
      <c r="E235" s="202"/>
      <c r="F235" s="202"/>
      <c r="G235" s="202"/>
      <c r="H235" s="202"/>
      <c r="I235" s="201"/>
      <c r="J235" s="202"/>
      <c r="K235" s="273"/>
      <c r="L235" s="202"/>
      <c r="M235" s="202"/>
      <c r="N235" s="202"/>
      <c r="O235" s="202"/>
      <c r="P235" s="202"/>
      <c r="Q235" s="202"/>
      <c r="R235" s="201"/>
      <c r="S235" s="202"/>
      <c r="T235" s="273"/>
      <c r="U235" s="202"/>
      <c r="V235" s="202"/>
      <c r="W235" s="202"/>
      <c r="X235" s="202"/>
      <c r="Y235" s="201"/>
      <c r="Z235" s="201"/>
    </row>
    <row r="236">
      <c r="A236" s="273"/>
      <c r="B236" s="276"/>
      <c r="C236" s="273"/>
      <c r="D236" s="202"/>
      <c r="E236" s="202"/>
      <c r="F236" s="202"/>
      <c r="G236" s="202"/>
      <c r="H236" s="202"/>
      <c r="I236" s="201"/>
      <c r="J236" s="202"/>
      <c r="K236" s="273"/>
      <c r="L236" s="202"/>
      <c r="M236" s="202"/>
      <c r="N236" s="202"/>
      <c r="O236" s="202"/>
      <c r="P236" s="202"/>
      <c r="Q236" s="202"/>
      <c r="R236" s="201"/>
      <c r="S236" s="202"/>
      <c r="T236" s="273"/>
      <c r="U236" s="202"/>
      <c r="V236" s="202"/>
      <c r="W236" s="202"/>
      <c r="X236" s="202"/>
      <c r="Y236" s="201"/>
      <c r="Z236" s="201"/>
    </row>
    <row r="237">
      <c r="A237" s="273"/>
      <c r="B237" s="276"/>
      <c r="C237" s="273"/>
      <c r="D237" s="202"/>
      <c r="E237" s="202"/>
      <c r="F237" s="202"/>
      <c r="G237" s="202"/>
      <c r="H237" s="202"/>
      <c r="I237" s="201"/>
      <c r="J237" s="202"/>
      <c r="K237" s="273"/>
      <c r="L237" s="202"/>
      <c r="M237" s="202"/>
      <c r="N237" s="202"/>
      <c r="O237" s="202"/>
      <c r="P237" s="202"/>
      <c r="Q237" s="202"/>
      <c r="R237" s="201"/>
      <c r="S237" s="202"/>
      <c r="T237" s="273"/>
      <c r="U237" s="202"/>
      <c r="V237" s="202"/>
      <c r="W237" s="202"/>
      <c r="X237" s="202"/>
      <c r="Y237" s="201"/>
      <c r="Z237" s="201"/>
    </row>
    <row r="238">
      <c r="A238" s="273"/>
      <c r="B238" s="276"/>
      <c r="C238" s="273"/>
      <c r="D238" s="202"/>
      <c r="E238" s="202"/>
      <c r="F238" s="202"/>
      <c r="G238" s="202"/>
      <c r="H238" s="202"/>
      <c r="I238" s="201"/>
      <c r="J238" s="202"/>
      <c r="K238" s="273"/>
      <c r="L238" s="202"/>
      <c r="M238" s="202"/>
      <c r="N238" s="202"/>
      <c r="O238" s="202"/>
      <c r="P238" s="202"/>
      <c r="Q238" s="202"/>
      <c r="R238" s="201"/>
      <c r="S238" s="202"/>
      <c r="T238" s="273"/>
      <c r="U238" s="202"/>
      <c r="V238" s="202"/>
      <c r="W238" s="202"/>
      <c r="X238" s="202"/>
      <c r="Y238" s="201"/>
      <c r="Z238" s="201"/>
    </row>
    <row r="239">
      <c r="A239" s="273"/>
      <c r="B239" s="276"/>
      <c r="C239" s="273"/>
      <c r="D239" s="202"/>
      <c r="E239" s="202"/>
      <c r="F239" s="202"/>
      <c r="G239" s="202"/>
      <c r="H239" s="202"/>
      <c r="I239" s="201"/>
      <c r="J239" s="202"/>
      <c r="K239" s="273"/>
      <c r="L239" s="202"/>
      <c r="M239" s="202"/>
      <c r="N239" s="202"/>
      <c r="O239" s="202"/>
      <c r="P239" s="202"/>
      <c r="Q239" s="202"/>
      <c r="R239" s="201"/>
      <c r="S239" s="202"/>
      <c r="T239" s="273"/>
      <c r="U239" s="202"/>
      <c r="V239" s="202"/>
      <c r="W239" s="202"/>
      <c r="X239" s="202"/>
      <c r="Y239" s="201"/>
      <c r="Z239" s="201"/>
    </row>
    <row r="240">
      <c r="A240" s="273"/>
      <c r="B240" s="276"/>
      <c r="C240" s="273"/>
      <c r="D240" s="202"/>
      <c r="E240" s="202"/>
      <c r="F240" s="202"/>
      <c r="G240" s="202"/>
      <c r="H240" s="202"/>
      <c r="I240" s="201"/>
      <c r="J240" s="202"/>
      <c r="K240" s="273"/>
      <c r="L240" s="202"/>
      <c r="M240" s="202"/>
      <c r="N240" s="202"/>
      <c r="O240" s="202"/>
      <c r="P240" s="202"/>
      <c r="Q240" s="202"/>
      <c r="R240" s="201"/>
      <c r="S240" s="202"/>
      <c r="T240" s="273"/>
      <c r="U240" s="202"/>
      <c r="V240" s="202"/>
      <c r="W240" s="202"/>
      <c r="X240" s="202"/>
      <c r="Y240" s="201"/>
      <c r="Z240" s="201"/>
    </row>
    <row r="241">
      <c r="A241" s="273"/>
      <c r="B241" s="276"/>
      <c r="C241" s="273"/>
      <c r="D241" s="202"/>
      <c r="E241" s="202"/>
      <c r="F241" s="202"/>
      <c r="G241" s="202"/>
      <c r="H241" s="202"/>
      <c r="I241" s="201"/>
      <c r="J241" s="202"/>
      <c r="K241" s="273"/>
      <c r="L241" s="202"/>
      <c r="M241" s="202"/>
      <c r="N241" s="202"/>
      <c r="O241" s="202"/>
      <c r="P241" s="202"/>
      <c r="Q241" s="202"/>
      <c r="R241" s="201"/>
      <c r="S241" s="202"/>
      <c r="T241" s="273"/>
      <c r="U241" s="202"/>
      <c r="V241" s="202"/>
      <c r="W241" s="202"/>
      <c r="X241" s="202"/>
      <c r="Y241" s="201"/>
      <c r="Z241" s="201"/>
    </row>
    <row r="242">
      <c r="A242" s="273"/>
      <c r="B242" s="276"/>
      <c r="C242" s="273"/>
      <c r="D242" s="202"/>
      <c r="E242" s="202"/>
      <c r="F242" s="202"/>
      <c r="G242" s="202"/>
      <c r="H242" s="202"/>
      <c r="I242" s="201"/>
      <c r="J242" s="202"/>
      <c r="K242" s="273"/>
      <c r="L242" s="202"/>
      <c r="M242" s="202"/>
      <c r="N242" s="202"/>
      <c r="O242" s="202"/>
      <c r="P242" s="202"/>
      <c r="Q242" s="202"/>
      <c r="R242" s="201"/>
      <c r="S242" s="202"/>
      <c r="T242" s="273"/>
      <c r="U242" s="202"/>
      <c r="V242" s="202"/>
      <c r="W242" s="202"/>
      <c r="X242" s="202"/>
      <c r="Y242" s="201"/>
      <c r="Z242" s="201"/>
    </row>
    <row r="243">
      <c r="A243" s="273"/>
      <c r="B243" s="276"/>
      <c r="C243" s="273"/>
      <c r="D243" s="202"/>
      <c r="E243" s="202"/>
      <c r="F243" s="202"/>
      <c r="G243" s="202"/>
      <c r="H243" s="202"/>
      <c r="I243" s="201"/>
      <c r="J243" s="202"/>
      <c r="K243" s="273"/>
      <c r="L243" s="202"/>
      <c r="M243" s="202"/>
      <c r="N243" s="202"/>
      <c r="O243" s="202"/>
      <c r="P243" s="202"/>
      <c r="Q243" s="202"/>
      <c r="R243" s="201"/>
      <c r="S243" s="202"/>
      <c r="T243" s="273"/>
      <c r="U243" s="202"/>
      <c r="V243" s="202"/>
      <c r="W243" s="202"/>
      <c r="X243" s="202"/>
      <c r="Y243" s="201"/>
      <c r="Z243" s="201"/>
    </row>
    <row r="244">
      <c r="A244" s="273"/>
      <c r="B244" s="276"/>
      <c r="C244" s="273"/>
      <c r="D244" s="202"/>
      <c r="E244" s="202"/>
      <c r="F244" s="202"/>
      <c r="G244" s="202"/>
      <c r="H244" s="202"/>
      <c r="I244" s="201"/>
      <c r="J244" s="202"/>
      <c r="K244" s="273"/>
      <c r="L244" s="202"/>
      <c r="M244" s="202"/>
      <c r="N244" s="202"/>
      <c r="O244" s="202"/>
      <c r="P244" s="202"/>
      <c r="Q244" s="202"/>
      <c r="R244" s="201"/>
      <c r="S244" s="202"/>
      <c r="T244" s="273"/>
      <c r="U244" s="202"/>
      <c r="V244" s="202"/>
      <c r="W244" s="202"/>
      <c r="X244" s="202"/>
      <c r="Y244" s="201"/>
      <c r="Z244" s="201"/>
    </row>
    <row r="245">
      <c r="A245" s="273"/>
      <c r="B245" s="276"/>
      <c r="C245" s="273"/>
      <c r="D245" s="202"/>
      <c r="E245" s="202"/>
      <c r="F245" s="202"/>
      <c r="G245" s="202"/>
      <c r="H245" s="202"/>
      <c r="I245" s="201"/>
      <c r="J245" s="202"/>
      <c r="K245" s="273"/>
      <c r="L245" s="202"/>
      <c r="M245" s="202"/>
      <c r="N245" s="202"/>
      <c r="O245" s="202"/>
      <c r="P245" s="202"/>
      <c r="Q245" s="202"/>
      <c r="R245" s="201"/>
      <c r="S245" s="202"/>
      <c r="T245" s="273"/>
      <c r="U245" s="202"/>
      <c r="V245" s="202"/>
      <c r="W245" s="202"/>
      <c r="X245" s="202"/>
      <c r="Y245" s="201"/>
      <c r="Z245" s="201"/>
    </row>
    <row r="246">
      <c r="A246" s="273"/>
      <c r="B246" s="276"/>
      <c r="C246" s="273"/>
      <c r="D246" s="202"/>
      <c r="E246" s="202"/>
      <c r="F246" s="202"/>
      <c r="G246" s="202"/>
      <c r="H246" s="202"/>
      <c r="I246" s="201"/>
      <c r="J246" s="202"/>
      <c r="K246" s="273"/>
      <c r="L246" s="202"/>
      <c r="M246" s="202"/>
      <c r="N246" s="202"/>
      <c r="O246" s="202"/>
      <c r="P246" s="202"/>
      <c r="Q246" s="202"/>
      <c r="R246" s="201"/>
      <c r="S246" s="202"/>
      <c r="T246" s="273"/>
      <c r="U246" s="202"/>
      <c r="V246" s="202"/>
      <c r="W246" s="202"/>
      <c r="X246" s="202"/>
      <c r="Y246" s="201"/>
      <c r="Z246" s="201"/>
    </row>
    <row r="247">
      <c r="A247" s="273"/>
      <c r="B247" s="276"/>
      <c r="C247" s="273"/>
      <c r="D247" s="202"/>
      <c r="E247" s="202"/>
      <c r="F247" s="202"/>
      <c r="G247" s="202"/>
      <c r="H247" s="202"/>
      <c r="I247" s="201"/>
      <c r="J247" s="202"/>
      <c r="K247" s="273"/>
      <c r="L247" s="202"/>
      <c r="M247" s="202"/>
      <c r="N247" s="202"/>
      <c r="O247" s="202"/>
      <c r="P247" s="202"/>
      <c r="Q247" s="202"/>
      <c r="R247" s="201"/>
      <c r="S247" s="202"/>
      <c r="T247" s="273"/>
      <c r="U247" s="202"/>
      <c r="V247" s="202"/>
      <c r="W247" s="202"/>
      <c r="X247" s="202"/>
      <c r="Y247" s="201"/>
      <c r="Z247" s="201"/>
    </row>
    <row r="248">
      <c r="A248" s="273"/>
      <c r="B248" s="276"/>
      <c r="C248" s="273"/>
      <c r="D248" s="202"/>
      <c r="E248" s="202"/>
      <c r="F248" s="202"/>
      <c r="G248" s="202"/>
      <c r="H248" s="202"/>
      <c r="I248" s="201"/>
      <c r="J248" s="202"/>
      <c r="K248" s="273"/>
      <c r="L248" s="202"/>
      <c r="M248" s="202"/>
      <c r="N248" s="202"/>
      <c r="O248" s="202"/>
      <c r="P248" s="202"/>
      <c r="Q248" s="202"/>
      <c r="R248" s="201"/>
      <c r="S248" s="202"/>
      <c r="T248" s="273"/>
      <c r="U248" s="202"/>
      <c r="V248" s="202"/>
      <c r="W248" s="202"/>
      <c r="X248" s="202"/>
      <c r="Y248" s="201"/>
      <c r="Z248" s="201"/>
    </row>
    <row r="249">
      <c r="A249" s="273"/>
      <c r="B249" s="276"/>
      <c r="C249" s="273"/>
      <c r="D249" s="202"/>
      <c r="E249" s="202"/>
      <c r="F249" s="202"/>
      <c r="G249" s="202"/>
      <c r="H249" s="202"/>
      <c r="I249" s="201"/>
      <c r="J249" s="202"/>
      <c r="K249" s="273"/>
      <c r="L249" s="202"/>
      <c r="M249" s="202"/>
      <c r="N249" s="202"/>
      <c r="O249" s="202"/>
      <c r="P249" s="202"/>
      <c r="Q249" s="202"/>
      <c r="R249" s="201"/>
      <c r="S249" s="202"/>
      <c r="T249" s="273"/>
      <c r="U249" s="202"/>
      <c r="V249" s="202"/>
      <c r="W249" s="202"/>
      <c r="X249" s="202"/>
      <c r="Y249" s="201"/>
      <c r="Z249" s="201"/>
    </row>
    <row r="250">
      <c r="A250" s="273"/>
      <c r="B250" s="276"/>
      <c r="C250" s="273"/>
      <c r="D250" s="202"/>
      <c r="E250" s="202"/>
      <c r="F250" s="202"/>
      <c r="G250" s="202"/>
      <c r="H250" s="202"/>
      <c r="I250" s="201"/>
      <c r="J250" s="202"/>
      <c r="K250" s="273"/>
      <c r="L250" s="202"/>
      <c r="M250" s="202"/>
      <c r="N250" s="202"/>
      <c r="O250" s="202"/>
      <c r="P250" s="202"/>
      <c r="Q250" s="202"/>
      <c r="R250" s="201"/>
      <c r="S250" s="202"/>
      <c r="T250" s="273"/>
      <c r="U250" s="202"/>
      <c r="V250" s="202"/>
      <c r="W250" s="202"/>
      <c r="X250" s="202"/>
      <c r="Y250" s="201"/>
      <c r="Z250" s="201"/>
    </row>
    <row r="251">
      <c r="A251" s="273"/>
      <c r="B251" s="276"/>
      <c r="C251" s="273"/>
      <c r="D251" s="202"/>
      <c r="E251" s="202"/>
      <c r="F251" s="202"/>
      <c r="G251" s="202"/>
      <c r="H251" s="202"/>
      <c r="I251" s="201"/>
      <c r="J251" s="202"/>
      <c r="K251" s="273"/>
      <c r="L251" s="202"/>
      <c r="M251" s="202"/>
      <c r="N251" s="202"/>
      <c r="O251" s="202"/>
      <c r="P251" s="202"/>
      <c r="Q251" s="202"/>
      <c r="R251" s="201"/>
      <c r="S251" s="202"/>
      <c r="T251" s="273"/>
      <c r="U251" s="202"/>
      <c r="V251" s="202"/>
      <c r="W251" s="202"/>
      <c r="X251" s="202"/>
      <c r="Y251" s="201"/>
      <c r="Z251" s="201"/>
    </row>
    <row r="252">
      <c r="A252" s="273"/>
      <c r="B252" s="276"/>
      <c r="C252" s="273"/>
      <c r="D252" s="202"/>
      <c r="E252" s="202"/>
      <c r="F252" s="202"/>
      <c r="G252" s="202"/>
      <c r="H252" s="202"/>
      <c r="I252" s="201"/>
      <c r="J252" s="202"/>
      <c r="K252" s="273"/>
      <c r="L252" s="202"/>
      <c r="M252" s="202"/>
      <c r="N252" s="202"/>
      <c r="O252" s="202"/>
      <c r="P252" s="202"/>
      <c r="Q252" s="202"/>
      <c r="R252" s="201"/>
      <c r="S252" s="202"/>
      <c r="T252" s="273"/>
      <c r="U252" s="202"/>
      <c r="V252" s="202"/>
      <c r="W252" s="202"/>
      <c r="X252" s="202"/>
      <c r="Y252" s="201"/>
      <c r="Z252" s="201"/>
    </row>
    <row r="253">
      <c r="A253" s="273"/>
      <c r="B253" s="276"/>
      <c r="C253" s="273"/>
      <c r="D253" s="202"/>
      <c r="E253" s="202"/>
      <c r="F253" s="202"/>
      <c r="G253" s="202"/>
      <c r="H253" s="202"/>
      <c r="I253" s="201"/>
      <c r="J253" s="202"/>
      <c r="K253" s="273"/>
      <c r="L253" s="202"/>
      <c r="M253" s="202"/>
      <c r="N253" s="202"/>
      <c r="O253" s="202"/>
      <c r="P253" s="202"/>
      <c r="Q253" s="202"/>
      <c r="R253" s="201"/>
      <c r="S253" s="202"/>
      <c r="T253" s="273"/>
      <c r="U253" s="202"/>
      <c r="V253" s="202"/>
      <c r="W253" s="202"/>
      <c r="X253" s="202"/>
      <c r="Y253" s="201"/>
      <c r="Z253" s="201"/>
    </row>
    <row r="254">
      <c r="A254" s="273"/>
      <c r="B254" s="276"/>
      <c r="C254" s="273"/>
      <c r="D254" s="202"/>
      <c r="E254" s="202"/>
      <c r="F254" s="202"/>
      <c r="G254" s="202"/>
      <c r="H254" s="202"/>
      <c r="I254" s="201"/>
      <c r="J254" s="202"/>
      <c r="K254" s="273"/>
      <c r="L254" s="202"/>
      <c r="M254" s="202"/>
      <c r="N254" s="202"/>
      <c r="O254" s="202"/>
      <c r="P254" s="202"/>
      <c r="Q254" s="202"/>
      <c r="R254" s="201"/>
      <c r="S254" s="202"/>
      <c r="T254" s="273"/>
      <c r="U254" s="202"/>
      <c r="V254" s="202"/>
      <c r="W254" s="202"/>
      <c r="X254" s="202"/>
      <c r="Y254" s="201"/>
      <c r="Z254" s="201"/>
    </row>
    <row r="255">
      <c r="A255" s="273"/>
      <c r="B255" s="276"/>
      <c r="C255" s="273"/>
      <c r="D255" s="202"/>
      <c r="E255" s="202"/>
      <c r="F255" s="202"/>
      <c r="G255" s="202"/>
      <c r="H255" s="202"/>
      <c r="I255" s="201"/>
      <c r="J255" s="202"/>
      <c r="K255" s="273"/>
      <c r="L255" s="202"/>
      <c r="M255" s="202"/>
      <c r="N255" s="202"/>
      <c r="O255" s="202"/>
      <c r="P255" s="202"/>
      <c r="Q255" s="202"/>
      <c r="R255" s="201"/>
      <c r="S255" s="202"/>
      <c r="T255" s="273"/>
      <c r="U255" s="202"/>
      <c r="V255" s="202"/>
      <c r="W255" s="202"/>
      <c r="X255" s="202"/>
      <c r="Y255" s="201"/>
      <c r="Z255" s="201"/>
    </row>
    <row r="256">
      <c r="A256" s="273"/>
      <c r="B256" s="276"/>
      <c r="C256" s="273"/>
      <c r="D256" s="202"/>
      <c r="E256" s="202"/>
      <c r="F256" s="202"/>
      <c r="G256" s="202"/>
      <c r="H256" s="202"/>
      <c r="I256" s="201"/>
      <c r="J256" s="202"/>
      <c r="K256" s="273"/>
      <c r="L256" s="202"/>
      <c r="M256" s="202"/>
      <c r="N256" s="202"/>
      <c r="O256" s="202"/>
      <c r="P256" s="202"/>
      <c r="Q256" s="202"/>
      <c r="R256" s="201"/>
      <c r="S256" s="202"/>
      <c r="T256" s="273"/>
      <c r="U256" s="202"/>
      <c r="V256" s="202"/>
      <c r="W256" s="202"/>
      <c r="X256" s="202"/>
      <c r="Y256" s="201"/>
      <c r="Z256" s="201"/>
    </row>
    <row r="257">
      <c r="A257" s="273"/>
      <c r="B257" s="276"/>
      <c r="C257" s="273"/>
      <c r="D257" s="202"/>
      <c r="E257" s="202"/>
      <c r="F257" s="202"/>
      <c r="G257" s="202"/>
      <c r="H257" s="202"/>
      <c r="I257" s="201"/>
      <c r="J257" s="202"/>
      <c r="K257" s="273"/>
      <c r="L257" s="202"/>
      <c r="M257" s="202"/>
      <c r="N257" s="202"/>
      <c r="O257" s="202"/>
      <c r="P257" s="202"/>
      <c r="Q257" s="202"/>
      <c r="R257" s="201"/>
      <c r="S257" s="202"/>
      <c r="T257" s="273"/>
      <c r="U257" s="202"/>
      <c r="V257" s="202"/>
      <c r="W257" s="202"/>
      <c r="X257" s="202"/>
      <c r="Y257" s="201"/>
      <c r="Z257" s="201"/>
    </row>
    <row r="258">
      <c r="A258" s="273"/>
      <c r="B258" s="276"/>
      <c r="C258" s="273"/>
      <c r="D258" s="202"/>
      <c r="E258" s="202"/>
      <c r="F258" s="202"/>
      <c r="G258" s="202"/>
      <c r="H258" s="202"/>
      <c r="I258" s="201"/>
      <c r="J258" s="202"/>
      <c r="K258" s="273"/>
      <c r="L258" s="202"/>
      <c r="M258" s="202"/>
      <c r="N258" s="202"/>
      <c r="O258" s="202"/>
      <c r="P258" s="202"/>
      <c r="Q258" s="202"/>
      <c r="R258" s="201"/>
      <c r="S258" s="202"/>
      <c r="T258" s="273"/>
      <c r="U258" s="202"/>
      <c r="V258" s="202"/>
      <c r="W258" s="202"/>
      <c r="X258" s="202"/>
      <c r="Y258" s="201"/>
      <c r="Z258" s="201"/>
    </row>
    <row r="259">
      <c r="A259" s="273"/>
      <c r="B259" s="276"/>
      <c r="C259" s="273"/>
      <c r="D259" s="202"/>
      <c r="E259" s="202"/>
      <c r="F259" s="202"/>
      <c r="G259" s="202"/>
      <c r="H259" s="202"/>
      <c r="I259" s="201"/>
      <c r="J259" s="202"/>
      <c r="K259" s="273"/>
      <c r="L259" s="202"/>
      <c r="M259" s="202"/>
      <c r="N259" s="202"/>
      <c r="O259" s="202"/>
      <c r="P259" s="202"/>
      <c r="Q259" s="202"/>
      <c r="R259" s="201"/>
      <c r="S259" s="202"/>
      <c r="T259" s="273"/>
      <c r="U259" s="202"/>
      <c r="V259" s="202"/>
      <c r="W259" s="202"/>
      <c r="X259" s="202"/>
      <c r="Y259" s="201"/>
      <c r="Z259" s="201"/>
    </row>
    <row r="260">
      <c r="A260" s="273"/>
      <c r="B260" s="276"/>
      <c r="C260" s="273"/>
      <c r="D260" s="202"/>
      <c r="E260" s="202"/>
      <c r="F260" s="202"/>
      <c r="G260" s="202"/>
      <c r="H260" s="202"/>
      <c r="I260" s="201"/>
      <c r="J260" s="202"/>
      <c r="K260" s="273"/>
      <c r="L260" s="202"/>
      <c r="M260" s="202"/>
      <c r="N260" s="202"/>
      <c r="O260" s="202"/>
      <c r="P260" s="202"/>
      <c r="Q260" s="202"/>
      <c r="R260" s="201"/>
      <c r="S260" s="202"/>
      <c r="T260" s="273"/>
      <c r="U260" s="202"/>
      <c r="V260" s="202"/>
      <c r="W260" s="202"/>
      <c r="X260" s="202"/>
      <c r="Y260" s="201"/>
      <c r="Z260" s="201"/>
    </row>
    <row r="261">
      <c r="A261" s="273"/>
      <c r="B261" s="276"/>
      <c r="C261" s="273"/>
      <c r="D261" s="202"/>
      <c r="E261" s="202"/>
      <c r="F261" s="202"/>
      <c r="G261" s="202"/>
      <c r="H261" s="202"/>
      <c r="I261" s="201"/>
      <c r="J261" s="202"/>
      <c r="K261" s="273"/>
      <c r="L261" s="202"/>
      <c r="M261" s="202"/>
      <c r="N261" s="202"/>
      <c r="O261" s="202"/>
      <c r="P261" s="202"/>
      <c r="Q261" s="202"/>
      <c r="R261" s="201"/>
      <c r="S261" s="202"/>
      <c r="T261" s="273"/>
      <c r="U261" s="202"/>
      <c r="V261" s="202"/>
      <c r="W261" s="202"/>
      <c r="X261" s="202"/>
      <c r="Y261" s="201"/>
      <c r="Z261" s="201"/>
    </row>
    <row r="262">
      <c r="A262" s="273"/>
      <c r="B262" s="276"/>
      <c r="C262" s="273"/>
      <c r="D262" s="202"/>
      <c r="E262" s="202"/>
      <c r="F262" s="202"/>
      <c r="G262" s="202"/>
      <c r="H262" s="202"/>
      <c r="I262" s="201"/>
      <c r="J262" s="202"/>
      <c r="K262" s="273"/>
      <c r="L262" s="202"/>
      <c r="M262" s="202"/>
      <c r="N262" s="202"/>
      <c r="O262" s="202"/>
      <c r="P262" s="202"/>
      <c r="Q262" s="202"/>
      <c r="R262" s="201"/>
      <c r="S262" s="202"/>
      <c r="T262" s="273"/>
      <c r="U262" s="202"/>
      <c r="V262" s="202"/>
      <c r="W262" s="202"/>
      <c r="X262" s="202"/>
      <c r="Y262" s="201"/>
      <c r="Z262" s="201"/>
    </row>
    <row r="263">
      <c r="A263" s="273"/>
      <c r="B263" s="276"/>
      <c r="C263" s="273"/>
      <c r="D263" s="202"/>
      <c r="E263" s="202"/>
      <c r="F263" s="202"/>
      <c r="G263" s="202"/>
      <c r="H263" s="202"/>
      <c r="I263" s="201"/>
      <c r="J263" s="202"/>
      <c r="K263" s="273"/>
      <c r="L263" s="202"/>
      <c r="M263" s="202"/>
      <c r="N263" s="202"/>
      <c r="O263" s="202"/>
      <c r="P263" s="202"/>
      <c r="Q263" s="202"/>
      <c r="R263" s="201"/>
      <c r="S263" s="202"/>
      <c r="T263" s="273"/>
      <c r="U263" s="202"/>
      <c r="V263" s="202"/>
      <c r="W263" s="202"/>
      <c r="X263" s="202"/>
      <c r="Y263" s="201"/>
      <c r="Z263" s="201"/>
    </row>
    <row r="264">
      <c r="A264" s="273"/>
      <c r="B264" s="276"/>
      <c r="C264" s="273"/>
      <c r="D264" s="202"/>
      <c r="E264" s="202"/>
      <c r="F264" s="202"/>
      <c r="G264" s="202"/>
      <c r="H264" s="202"/>
      <c r="I264" s="201"/>
      <c r="J264" s="202"/>
      <c r="K264" s="273"/>
      <c r="L264" s="202"/>
      <c r="M264" s="202"/>
      <c r="N264" s="202"/>
      <c r="O264" s="202"/>
      <c r="P264" s="202"/>
      <c r="Q264" s="202"/>
      <c r="R264" s="201"/>
      <c r="S264" s="202"/>
      <c r="T264" s="273"/>
      <c r="U264" s="202"/>
      <c r="V264" s="202"/>
      <c r="W264" s="202"/>
      <c r="X264" s="202"/>
      <c r="Y264" s="201"/>
      <c r="Z264" s="201"/>
    </row>
    <row r="265">
      <c r="A265" s="273"/>
      <c r="B265" s="276"/>
      <c r="C265" s="273"/>
      <c r="D265" s="202"/>
      <c r="E265" s="202"/>
      <c r="F265" s="202"/>
      <c r="G265" s="202"/>
      <c r="H265" s="202"/>
      <c r="I265" s="201"/>
      <c r="J265" s="202"/>
      <c r="K265" s="273"/>
      <c r="L265" s="202"/>
      <c r="M265" s="202"/>
      <c r="N265" s="202"/>
      <c r="O265" s="202"/>
      <c r="P265" s="202"/>
      <c r="Q265" s="202"/>
      <c r="R265" s="201"/>
      <c r="S265" s="202"/>
      <c r="T265" s="273"/>
      <c r="U265" s="202"/>
      <c r="V265" s="202"/>
      <c r="W265" s="202"/>
      <c r="X265" s="202"/>
      <c r="Y265" s="201"/>
      <c r="Z265" s="201"/>
    </row>
    <row r="266">
      <c r="A266" s="273"/>
      <c r="B266" s="276"/>
      <c r="C266" s="273"/>
      <c r="D266" s="202"/>
      <c r="E266" s="202"/>
      <c r="F266" s="202"/>
      <c r="G266" s="202"/>
      <c r="H266" s="202"/>
      <c r="I266" s="201"/>
      <c r="J266" s="202"/>
      <c r="K266" s="273"/>
      <c r="L266" s="202"/>
      <c r="M266" s="202"/>
      <c r="N266" s="202"/>
      <c r="O266" s="202"/>
      <c r="P266" s="202"/>
      <c r="Q266" s="202"/>
      <c r="R266" s="201"/>
      <c r="S266" s="202"/>
      <c r="T266" s="273"/>
      <c r="U266" s="202"/>
      <c r="V266" s="202"/>
      <c r="W266" s="202"/>
      <c r="X266" s="202"/>
      <c r="Y266" s="201"/>
      <c r="Z266" s="201"/>
    </row>
    <row r="267">
      <c r="A267" s="273"/>
      <c r="B267" s="276"/>
      <c r="C267" s="273"/>
      <c r="D267" s="202"/>
      <c r="E267" s="202"/>
      <c r="F267" s="202"/>
      <c r="G267" s="202"/>
      <c r="H267" s="202"/>
      <c r="I267" s="201"/>
      <c r="J267" s="202"/>
      <c r="K267" s="273"/>
      <c r="L267" s="202"/>
      <c r="M267" s="202"/>
      <c r="N267" s="202"/>
      <c r="O267" s="202"/>
      <c r="P267" s="202"/>
      <c r="Q267" s="202"/>
      <c r="R267" s="201"/>
      <c r="S267" s="202"/>
      <c r="T267" s="273"/>
      <c r="U267" s="202"/>
      <c r="V267" s="202"/>
      <c r="W267" s="202"/>
      <c r="X267" s="202"/>
      <c r="Y267" s="201"/>
      <c r="Z267" s="201"/>
    </row>
    <row r="268">
      <c r="A268" s="273"/>
      <c r="B268" s="276"/>
      <c r="C268" s="273"/>
      <c r="D268" s="202"/>
      <c r="E268" s="202"/>
      <c r="F268" s="202"/>
      <c r="G268" s="202"/>
      <c r="H268" s="202"/>
      <c r="I268" s="201"/>
      <c r="J268" s="202"/>
      <c r="K268" s="273"/>
      <c r="L268" s="202"/>
      <c r="M268" s="202"/>
      <c r="N268" s="202"/>
      <c r="O268" s="202"/>
      <c r="P268" s="202"/>
      <c r="Q268" s="202"/>
      <c r="R268" s="201"/>
      <c r="S268" s="202"/>
      <c r="T268" s="273"/>
      <c r="U268" s="202"/>
      <c r="V268" s="202"/>
      <c r="W268" s="202"/>
      <c r="X268" s="202"/>
      <c r="Y268" s="201"/>
      <c r="Z268" s="201"/>
    </row>
    <row r="269">
      <c r="A269" s="273"/>
      <c r="B269" s="276"/>
      <c r="C269" s="273"/>
      <c r="D269" s="202"/>
      <c r="E269" s="202"/>
      <c r="F269" s="202"/>
      <c r="G269" s="202"/>
      <c r="H269" s="202"/>
      <c r="I269" s="201"/>
      <c r="J269" s="202"/>
      <c r="K269" s="273"/>
      <c r="L269" s="202"/>
      <c r="M269" s="202"/>
      <c r="N269" s="202"/>
      <c r="O269" s="202"/>
      <c r="P269" s="202"/>
      <c r="Q269" s="202"/>
      <c r="R269" s="201"/>
      <c r="S269" s="202"/>
      <c r="T269" s="273"/>
      <c r="U269" s="202"/>
      <c r="V269" s="202"/>
      <c r="W269" s="202"/>
      <c r="X269" s="202"/>
      <c r="Y269" s="201"/>
      <c r="Z269" s="201"/>
    </row>
    <row r="270">
      <c r="A270" s="273"/>
      <c r="B270" s="276"/>
      <c r="C270" s="273"/>
      <c r="D270" s="202"/>
      <c r="E270" s="202"/>
      <c r="F270" s="202"/>
      <c r="G270" s="202"/>
      <c r="H270" s="202"/>
      <c r="I270" s="201"/>
      <c r="J270" s="202"/>
      <c r="K270" s="273"/>
      <c r="L270" s="202"/>
      <c r="M270" s="202"/>
      <c r="N270" s="202"/>
      <c r="O270" s="202"/>
      <c r="P270" s="202"/>
      <c r="Q270" s="202"/>
      <c r="R270" s="201"/>
      <c r="S270" s="202"/>
      <c r="T270" s="273"/>
      <c r="U270" s="202"/>
      <c r="V270" s="202"/>
      <c r="W270" s="202"/>
      <c r="X270" s="202"/>
      <c r="Y270" s="201"/>
      <c r="Z270" s="201"/>
    </row>
    <row r="271">
      <c r="A271" s="273"/>
      <c r="B271" s="276"/>
      <c r="C271" s="273"/>
      <c r="D271" s="202"/>
      <c r="E271" s="202"/>
      <c r="F271" s="202"/>
      <c r="G271" s="202"/>
      <c r="H271" s="202"/>
      <c r="I271" s="201"/>
      <c r="J271" s="202"/>
      <c r="K271" s="273"/>
      <c r="L271" s="202"/>
      <c r="M271" s="202"/>
      <c r="N271" s="202"/>
      <c r="O271" s="202"/>
      <c r="P271" s="202"/>
      <c r="Q271" s="202"/>
      <c r="R271" s="201"/>
      <c r="S271" s="202"/>
      <c r="T271" s="273"/>
      <c r="U271" s="202"/>
      <c r="V271" s="202"/>
      <c r="W271" s="202"/>
      <c r="X271" s="202"/>
      <c r="Y271" s="201"/>
      <c r="Z271" s="201"/>
    </row>
    <row r="272">
      <c r="A272" s="273"/>
      <c r="B272" s="276"/>
      <c r="C272" s="273"/>
      <c r="D272" s="202"/>
      <c r="E272" s="202"/>
      <c r="F272" s="202"/>
      <c r="G272" s="202"/>
      <c r="H272" s="202"/>
      <c r="I272" s="201"/>
      <c r="J272" s="202"/>
      <c r="K272" s="273"/>
      <c r="L272" s="202"/>
      <c r="M272" s="202"/>
      <c r="N272" s="202"/>
      <c r="O272" s="202"/>
      <c r="P272" s="202"/>
      <c r="Q272" s="202"/>
      <c r="R272" s="201"/>
      <c r="S272" s="202"/>
      <c r="T272" s="273"/>
      <c r="U272" s="202"/>
      <c r="V272" s="202"/>
      <c r="W272" s="202"/>
      <c r="X272" s="202"/>
      <c r="Y272" s="201"/>
      <c r="Z272" s="201"/>
    </row>
    <row r="273">
      <c r="A273" s="273"/>
      <c r="B273" s="276"/>
      <c r="C273" s="273"/>
      <c r="D273" s="202"/>
      <c r="E273" s="202"/>
      <c r="F273" s="202"/>
      <c r="G273" s="202"/>
      <c r="H273" s="202"/>
      <c r="I273" s="201"/>
      <c r="J273" s="202"/>
      <c r="K273" s="273"/>
      <c r="L273" s="202"/>
      <c r="M273" s="202"/>
      <c r="N273" s="202"/>
      <c r="O273" s="202"/>
      <c r="P273" s="202"/>
      <c r="Q273" s="202"/>
      <c r="R273" s="201"/>
      <c r="S273" s="202"/>
      <c r="T273" s="273"/>
      <c r="U273" s="202"/>
      <c r="V273" s="202"/>
      <c r="W273" s="202"/>
      <c r="X273" s="202"/>
      <c r="Y273" s="201"/>
      <c r="Z273" s="201"/>
    </row>
    <row r="274">
      <c r="A274" s="273"/>
      <c r="B274" s="276"/>
      <c r="C274" s="273"/>
      <c r="D274" s="202"/>
      <c r="E274" s="202"/>
      <c r="F274" s="202"/>
      <c r="G274" s="202"/>
      <c r="H274" s="202"/>
      <c r="I274" s="201"/>
      <c r="J274" s="202"/>
      <c r="K274" s="273"/>
      <c r="L274" s="202"/>
      <c r="M274" s="202"/>
      <c r="N274" s="202"/>
      <c r="O274" s="202"/>
      <c r="P274" s="202"/>
      <c r="Q274" s="202"/>
      <c r="R274" s="201"/>
      <c r="S274" s="202"/>
      <c r="T274" s="273"/>
      <c r="U274" s="202"/>
      <c r="V274" s="202"/>
      <c r="W274" s="202"/>
      <c r="X274" s="202"/>
      <c r="Y274" s="201"/>
      <c r="Z274" s="201"/>
    </row>
    <row r="275">
      <c r="A275" s="273"/>
      <c r="B275" s="276"/>
      <c r="C275" s="273"/>
      <c r="D275" s="202"/>
      <c r="E275" s="202"/>
      <c r="F275" s="202"/>
      <c r="G275" s="202"/>
      <c r="H275" s="202"/>
      <c r="I275" s="201"/>
      <c r="J275" s="202"/>
      <c r="K275" s="273"/>
      <c r="L275" s="202"/>
      <c r="M275" s="202"/>
      <c r="N275" s="202"/>
      <c r="O275" s="202"/>
      <c r="P275" s="202"/>
      <c r="Q275" s="202"/>
      <c r="R275" s="201"/>
      <c r="S275" s="202"/>
      <c r="T275" s="273"/>
      <c r="U275" s="202"/>
      <c r="V275" s="202"/>
      <c r="W275" s="202"/>
      <c r="X275" s="202"/>
      <c r="Y275" s="201"/>
      <c r="Z275" s="201"/>
    </row>
    <row r="276">
      <c r="A276" s="273"/>
      <c r="B276" s="276"/>
      <c r="C276" s="273"/>
      <c r="D276" s="202"/>
      <c r="E276" s="202"/>
      <c r="F276" s="202"/>
      <c r="G276" s="202"/>
      <c r="H276" s="202"/>
      <c r="I276" s="201"/>
      <c r="J276" s="202"/>
      <c r="K276" s="273"/>
      <c r="L276" s="202"/>
      <c r="M276" s="202"/>
      <c r="N276" s="202"/>
      <c r="O276" s="202"/>
      <c r="P276" s="202"/>
      <c r="Q276" s="202"/>
      <c r="R276" s="201"/>
      <c r="S276" s="202"/>
      <c r="T276" s="273"/>
      <c r="U276" s="202"/>
      <c r="V276" s="202"/>
      <c r="W276" s="202"/>
      <c r="X276" s="202"/>
      <c r="Y276" s="201"/>
      <c r="Z276" s="201"/>
    </row>
    <row r="277">
      <c r="A277" s="273"/>
      <c r="B277" s="276"/>
      <c r="C277" s="273"/>
      <c r="D277" s="202"/>
      <c r="E277" s="202"/>
      <c r="F277" s="202"/>
      <c r="G277" s="202"/>
      <c r="H277" s="202"/>
      <c r="I277" s="201"/>
      <c r="J277" s="202"/>
      <c r="K277" s="273"/>
      <c r="L277" s="202"/>
      <c r="M277" s="202"/>
      <c r="N277" s="202"/>
      <c r="O277" s="202"/>
      <c r="P277" s="202"/>
      <c r="Q277" s="202"/>
      <c r="R277" s="201"/>
      <c r="S277" s="202"/>
      <c r="T277" s="273"/>
      <c r="U277" s="202"/>
      <c r="V277" s="202"/>
      <c r="W277" s="202"/>
      <c r="X277" s="202"/>
      <c r="Y277" s="201"/>
      <c r="Z277" s="201"/>
    </row>
    <row r="278">
      <c r="A278" s="273"/>
      <c r="B278" s="276"/>
      <c r="C278" s="273"/>
      <c r="D278" s="202"/>
      <c r="E278" s="202"/>
      <c r="F278" s="202"/>
      <c r="G278" s="202"/>
      <c r="H278" s="202"/>
      <c r="I278" s="201"/>
      <c r="J278" s="202"/>
      <c r="K278" s="273"/>
      <c r="L278" s="202"/>
      <c r="M278" s="202"/>
      <c r="N278" s="202"/>
      <c r="O278" s="202"/>
      <c r="P278" s="202"/>
      <c r="Q278" s="202"/>
      <c r="R278" s="201"/>
      <c r="S278" s="202"/>
      <c r="T278" s="273"/>
      <c r="U278" s="202"/>
      <c r="V278" s="202"/>
      <c r="W278" s="202"/>
      <c r="X278" s="202"/>
      <c r="Y278" s="201"/>
      <c r="Z278" s="201"/>
    </row>
    <row r="279">
      <c r="A279" s="273"/>
      <c r="B279" s="276"/>
      <c r="C279" s="273"/>
      <c r="D279" s="202"/>
      <c r="E279" s="202"/>
      <c r="F279" s="202"/>
      <c r="G279" s="202"/>
      <c r="H279" s="202"/>
      <c r="I279" s="201"/>
      <c r="J279" s="202"/>
      <c r="K279" s="273"/>
      <c r="L279" s="202"/>
      <c r="M279" s="202"/>
      <c r="N279" s="202"/>
      <c r="O279" s="202"/>
      <c r="P279" s="202"/>
      <c r="Q279" s="202"/>
      <c r="R279" s="201"/>
      <c r="S279" s="202"/>
      <c r="T279" s="273"/>
      <c r="U279" s="202"/>
      <c r="V279" s="202"/>
      <c r="W279" s="202"/>
      <c r="X279" s="202"/>
      <c r="Y279" s="201"/>
      <c r="Z279" s="201"/>
    </row>
    <row r="280">
      <c r="A280" s="273"/>
      <c r="B280" s="276"/>
      <c r="C280" s="273"/>
      <c r="D280" s="202"/>
      <c r="E280" s="202"/>
      <c r="F280" s="202"/>
      <c r="G280" s="202"/>
      <c r="H280" s="202"/>
      <c r="I280" s="201"/>
      <c r="J280" s="202"/>
      <c r="K280" s="273"/>
      <c r="L280" s="202"/>
      <c r="M280" s="202"/>
      <c r="N280" s="202"/>
      <c r="O280" s="202"/>
      <c r="P280" s="202"/>
      <c r="Q280" s="202"/>
      <c r="R280" s="201"/>
      <c r="S280" s="202"/>
      <c r="T280" s="273"/>
      <c r="U280" s="202"/>
      <c r="V280" s="202"/>
      <c r="W280" s="202"/>
      <c r="X280" s="202"/>
      <c r="Y280" s="201"/>
      <c r="Z280" s="201"/>
    </row>
    <row r="281">
      <c r="A281" s="273"/>
      <c r="B281" s="276"/>
      <c r="C281" s="273"/>
      <c r="D281" s="202"/>
      <c r="E281" s="202"/>
      <c r="F281" s="202"/>
      <c r="G281" s="202"/>
      <c r="H281" s="202"/>
      <c r="I281" s="201"/>
      <c r="J281" s="202"/>
      <c r="K281" s="273"/>
      <c r="L281" s="202"/>
      <c r="M281" s="202"/>
      <c r="N281" s="202"/>
      <c r="O281" s="202"/>
      <c r="P281" s="202"/>
      <c r="Q281" s="202"/>
      <c r="R281" s="201"/>
      <c r="S281" s="202"/>
      <c r="T281" s="273"/>
      <c r="U281" s="202"/>
      <c r="V281" s="202"/>
      <c r="W281" s="202"/>
      <c r="X281" s="202"/>
      <c r="Y281" s="201"/>
      <c r="Z281" s="201"/>
    </row>
    <row r="282">
      <c r="A282" s="273"/>
      <c r="B282" s="276"/>
      <c r="C282" s="273"/>
      <c r="D282" s="202"/>
      <c r="E282" s="202"/>
      <c r="F282" s="202"/>
      <c r="G282" s="202"/>
      <c r="H282" s="202"/>
      <c r="I282" s="201"/>
      <c r="J282" s="202"/>
      <c r="K282" s="273"/>
      <c r="L282" s="202"/>
      <c r="M282" s="202"/>
      <c r="N282" s="202"/>
      <c r="O282" s="202"/>
      <c r="P282" s="202"/>
      <c r="Q282" s="202"/>
      <c r="R282" s="201"/>
      <c r="S282" s="202"/>
      <c r="T282" s="273"/>
      <c r="U282" s="202"/>
      <c r="V282" s="202"/>
      <c r="W282" s="202"/>
      <c r="X282" s="202"/>
      <c r="Y282" s="201"/>
      <c r="Z282" s="201"/>
    </row>
    <row r="283">
      <c r="A283" s="273"/>
      <c r="B283" s="276"/>
      <c r="C283" s="273"/>
      <c r="D283" s="202"/>
      <c r="E283" s="202"/>
      <c r="F283" s="202"/>
      <c r="G283" s="202"/>
      <c r="H283" s="202"/>
      <c r="I283" s="201"/>
      <c r="J283" s="202"/>
      <c r="K283" s="273"/>
      <c r="L283" s="202"/>
      <c r="M283" s="202"/>
      <c r="N283" s="202"/>
      <c r="O283" s="202"/>
      <c r="P283" s="202"/>
      <c r="Q283" s="202"/>
      <c r="R283" s="201"/>
      <c r="S283" s="202"/>
      <c r="T283" s="273"/>
      <c r="U283" s="202"/>
      <c r="V283" s="202"/>
      <c r="W283" s="202"/>
      <c r="X283" s="202"/>
      <c r="Y283" s="201"/>
      <c r="Z283" s="201"/>
    </row>
    <row r="284">
      <c r="A284" s="273"/>
      <c r="B284" s="276"/>
      <c r="C284" s="273"/>
      <c r="D284" s="202"/>
      <c r="E284" s="202"/>
      <c r="F284" s="202"/>
      <c r="G284" s="202"/>
      <c r="H284" s="202"/>
      <c r="I284" s="201"/>
      <c r="J284" s="202"/>
      <c r="K284" s="273"/>
      <c r="L284" s="202"/>
      <c r="M284" s="202"/>
      <c r="N284" s="202"/>
      <c r="O284" s="202"/>
      <c r="P284" s="202"/>
      <c r="Q284" s="202"/>
      <c r="R284" s="201"/>
      <c r="S284" s="202"/>
      <c r="T284" s="273"/>
      <c r="U284" s="202"/>
      <c r="V284" s="202"/>
      <c r="W284" s="202"/>
      <c r="X284" s="202"/>
      <c r="Y284" s="201"/>
      <c r="Z284" s="201"/>
    </row>
    <row r="285">
      <c r="A285" s="273"/>
      <c r="B285" s="276"/>
      <c r="C285" s="273"/>
      <c r="D285" s="202"/>
      <c r="E285" s="202"/>
      <c r="F285" s="202"/>
      <c r="G285" s="202"/>
      <c r="H285" s="202"/>
      <c r="I285" s="201"/>
      <c r="J285" s="202"/>
      <c r="K285" s="273"/>
      <c r="L285" s="202"/>
      <c r="M285" s="202"/>
      <c r="N285" s="202"/>
      <c r="O285" s="202"/>
      <c r="P285" s="202"/>
      <c r="Q285" s="202"/>
      <c r="R285" s="201"/>
      <c r="S285" s="202"/>
      <c r="T285" s="273"/>
      <c r="U285" s="202"/>
      <c r="V285" s="202"/>
      <c r="W285" s="202"/>
      <c r="X285" s="202"/>
      <c r="Y285" s="201"/>
      <c r="Z285" s="201"/>
    </row>
    <row r="286">
      <c r="A286" s="273"/>
      <c r="B286" s="276"/>
      <c r="C286" s="273"/>
      <c r="D286" s="202"/>
      <c r="E286" s="202"/>
      <c r="F286" s="202"/>
      <c r="G286" s="202"/>
      <c r="H286" s="202"/>
      <c r="I286" s="201"/>
      <c r="J286" s="202"/>
      <c r="K286" s="273"/>
      <c r="L286" s="202"/>
      <c r="M286" s="202"/>
      <c r="N286" s="202"/>
      <c r="O286" s="202"/>
      <c r="P286" s="202"/>
      <c r="Q286" s="202"/>
      <c r="R286" s="201"/>
      <c r="S286" s="202"/>
      <c r="T286" s="273"/>
      <c r="U286" s="202"/>
      <c r="V286" s="202"/>
      <c r="W286" s="202"/>
      <c r="X286" s="202"/>
      <c r="Y286" s="201"/>
      <c r="Z286" s="201"/>
    </row>
    <row r="287">
      <c r="A287" s="273"/>
      <c r="B287" s="276"/>
      <c r="C287" s="273"/>
      <c r="D287" s="202"/>
      <c r="E287" s="202"/>
      <c r="F287" s="202"/>
      <c r="G287" s="202"/>
      <c r="H287" s="202"/>
      <c r="I287" s="201"/>
      <c r="J287" s="202"/>
      <c r="K287" s="273"/>
      <c r="L287" s="202"/>
      <c r="M287" s="202"/>
      <c r="N287" s="202"/>
      <c r="O287" s="202"/>
      <c r="P287" s="202"/>
      <c r="Q287" s="202"/>
      <c r="R287" s="201"/>
      <c r="S287" s="202"/>
      <c r="T287" s="273"/>
      <c r="U287" s="202"/>
      <c r="V287" s="202"/>
      <c r="W287" s="202"/>
      <c r="X287" s="202"/>
      <c r="Y287" s="201"/>
      <c r="Z287" s="201"/>
    </row>
    <row r="288">
      <c r="A288" s="273"/>
      <c r="B288" s="276"/>
      <c r="C288" s="273"/>
      <c r="D288" s="202"/>
      <c r="E288" s="202"/>
      <c r="F288" s="202"/>
      <c r="G288" s="202"/>
      <c r="H288" s="202"/>
      <c r="I288" s="201"/>
      <c r="J288" s="202"/>
      <c r="K288" s="273"/>
      <c r="L288" s="202"/>
      <c r="M288" s="202"/>
      <c r="N288" s="202"/>
      <c r="O288" s="202"/>
      <c r="P288" s="202"/>
      <c r="Q288" s="202"/>
      <c r="R288" s="201"/>
      <c r="S288" s="202"/>
      <c r="T288" s="273"/>
      <c r="U288" s="202"/>
      <c r="V288" s="202"/>
      <c r="W288" s="202"/>
      <c r="X288" s="202"/>
      <c r="Y288" s="201"/>
      <c r="Z288" s="201"/>
    </row>
    <row r="289">
      <c r="A289" s="273"/>
      <c r="B289" s="276"/>
      <c r="C289" s="273"/>
      <c r="D289" s="202"/>
      <c r="E289" s="202"/>
      <c r="F289" s="202"/>
      <c r="G289" s="202"/>
      <c r="H289" s="202"/>
      <c r="I289" s="201"/>
      <c r="J289" s="202"/>
      <c r="K289" s="273"/>
      <c r="L289" s="202"/>
      <c r="M289" s="202"/>
      <c r="N289" s="202"/>
      <c r="O289" s="202"/>
      <c r="P289" s="202"/>
      <c r="Q289" s="202"/>
      <c r="R289" s="201"/>
      <c r="S289" s="202"/>
      <c r="T289" s="273"/>
      <c r="U289" s="202"/>
      <c r="V289" s="202"/>
      <c r="W289" s="202"/>
      <c r="X289" s="202"/>
      <c r="Y289" s="201"/>
      <c r="Z289" s="201"/>
    </row>
    <row r="290">
      <c r="A290" s="273"/>
      <c r="B290" s="276"/>
      <c r="C290" s="273"/>
      <c r="D290" s="202"/>
      <c r="E290" s="202"/>
      <c r="F290" s="202"/>
      <c r="G290" s="202"/>
      <c r="H290" s="202"/>
      <c r="I290" s="201"/>
      <c r="J290" s="202"/>
      <c r="K290" s="273"/>
      <c r="L290" s="202"/>
      <c r="M290" s="202"/>
      <c r="N290" s="202"/>
      <c r="O290" s="202"/>
      <c r="P290" s="202"/>
      <c r="Q290" s="202"/>
      <c r="R290" s="201"/>
      <c r="S290" s="202"/>
      <c r="T290" s="273"/>
      <c r="U290" s="202"/>
      <c r="V290" s="202"/>
      <c r="W290" s="202"/>
      <c r="X290" s="202"/>
      <c r="Y290" s="201"/>
      <c r="Z290" s="201"/>
    </row>
    <row r="291">
      <c r="A291" s="273"/>
      <c r="B291" s="276"/>
      <c r="C291" s="273"/>
      <c r="D291" s="202"/>
      <c r="E291" s="202"/>
      <c r="F291" s="202"/>
      <c r="G291" s="202"/>
      <c r="H291" s="202"/>
      <c r="I291" s="201"/>
      <c r="J291" s="202"/>
      <c r="K291" s="273"/>
      <c r="L291" s="202"/>
      <c r="M291" s="202"/>
      <c r="N291" s="202"/>
      <c r="O291" s="202"/>
      <c r="P291" s="202"/>
      <c r="Q291" s="202"/>
      <c r="R291" s="201"/>
      <c r="S291" s="202"/>
      <c r="T291" s="273"/>
      <c r="U291" s="202"/>
      <c r="V291" s="202"/>
      <c r="W291" s="202"/>
      <c r="X291" s="202"/>
      <c r="Y291" s="201"/>
      <c r="Z291" s="201"/>
    </row>
    <row r="292">
      <c r="A292" s="273"/>
      <c r="B292" s="276"/>
      <c r="C292" s="273"/>
      <c r="D292" s="202"/>
      <c r="E292" s="202"/>
      <c r="F292" s="202"/>
      <c r="G292" s="202"/>
      <c r="H292" s="202"/>
      <c r="I292" s="201"/>
      <c r="J292" s="202"/>
      <c r="K292" s="273"/>
      <c r="L292" s="202"/>
      <c r="M292" s="202"/>
      <c r="N292" s="202"/>
      <c r="O292" s="202"/>
      <c r="P292" s="202"/>
      <c r="Q292" s="202"/>
      <c r="R292" s="201"/>
      <c r="S292" s="202"/>
      <c r="T292" s="273"/>
      <c r="U292" s="202"/>
      <c r="V292" s="202"/>
      <c r="W292" s="202"/>
      <c r="X292" s="202"/>
      <c r="Y292" s="201"/>
      <c r="Z292" s="201"/>
    </row>
    <row r="293">
      <c r="A293" s="273"/>
      <c r="B293" s="276"/>
      <c r="C293" s="273"/>
      <c r="D293" s="202"/>
      <c r="E293" s="202"/>
      <c r="F293" s="202"/>
      <c r="G293" s="202"/>
      <c r="H293" s="202"/>
      <c r="I293" s="201"/>
      <c r="J293" s="202"/>
      <c r="K293" s="273"/>
      <c r="L293" s="202"/>
      <c r="M293" s="202"/>
      <c r="N293" s="202"/>
      <c r="O293" s="202"/>
      <c r="P293" s="202"/>
      <c r="Q293" s="202"/>
      <c r="R293" s="201"/>
      <c r="S293" s="202"/>
      <c r="T293" s="273"/>
      <c r="U293" s="202"/>
      <c r="V293" s="202"/>
      <c r="W293" s="202"/>
      <c r="X293" s="202"/>
      <c r="Y293" s="201"/>
      <c r="Z293" s="201"/>
    </row>
    <row r="294">
      <c r="A294" s="273"/>
      <c r="B294" s="276"/>
      <c r="C294" s="273"/>
      <c r="D294" s="202"/>
      <c r="E294" s="202"/>
      <c r="F294" s="202"/>
      <c r="G294" s="202"/>
      <c r="H294" s="202"/>
      <c r="I294" s="201"/>
      <c r="J294" s="202"/>
      <c r="K294" s="273"/>
      <c r="L294" s="202"/>
      <c r="M294" s="202"/>
      <c r="N294" s="202"/>
      <c r="O294" s="202"/>
      <c r="P294" s="202"/>
      <c r="Q294" s="202"/>
      <c r="R294" s="201"/>
      <c r="S294" s="202"/>
      <c r="T294" s="273"/>
      <c r="U294" s="202"/>
      <c r="V294" s="202"/>
      <c r="W294" s="202"/>
      <c r="X294" s="202"/>
      <c r="Y294" s="201"/>
      <c r="Z294" s="201"/>
    </row>
    <row r="295">
      <c r="A295" s="273"/>
      <c r="B295" s="276"/>
      <c r="C295" s="273"/>
      <c r="D295" s="202"/>
      <c r="E295" s="202"/>
      <c r="F295" s="202"/>
      <c r="G295" s="202"/>
      <c r="H295" s="202"/>
      <c r="I295" s="201"/>
      <c r="J295" s="202"/>
      <c r="K295" s="273"/>
      <c r="L295" s="202"/>
      <c r="M295" s="202"/>
      <c r="N295" s="202"/>
      <c r="O295" s="202"/>
      <c r="P295" s="202"/>
      <c r="Q295" s="202"/>
      <c r="R295" s="201"/>
      <c r="S295" s="202"/>
      <c r="T295" s="273"/>
      <c r="U295" s="202"/>
      <c r="V295" s="202"/>
      <c r="W295" s="202"/>
      <c r="X295" s="202"/>
      <c r="Y295" s="201"/>
      <c r="Z295" s="201"/>
    </row>
    <row r="296">
      <c r="A296" s="273"/>
      <c r="B296" s="276"/>
      <c r="C296" s="273"/>
      <c r="D296" s="202"/>
      <c r="E296" s="202"/>
      <c r="F296" s="202"/>
      <c r="G296" s="202"/>
      <c r="H296" s="202"/>
      <c r="I296" s="201"/>
      <c r="J296" s="202"/>
      <c r="K296" s="273"/>
      <c r="L296" s="202"/>
      <c r="M296" s="202"/>
      <c r="N296" s="202"/>
      <c r="O296" s="202"/>
      <c r="P296" s="202"/>
      <c r="Q296" s="202"/>
      <c r="R296" s="201"/>
      <c r="S296" s="202"/>
      <c r="T296" s="273"/>
      <c r="U296" s="202"/>
      <c r="V296" s="202"/>
      <c r="W296" s="202"/>
      <c r="X296" s="202"/>
      <c r="Y296" s="201"/>
      <c r="Z296" s="201"/>
    </row>
    <row r="297">
      <c r="A297" s="273"/>
      <c r="B297" s="276"/>
      <c r="C297" s="273"/>
      <c r="D297" s="202"/>
      <c r="E297" s="202"/>
      <c r="F297" s="202"/>
      <c r="G297" s="202"/>
      <c r="H297" s="202"/>
      <c r="I297" s="201"/>
      <c r="J297" s="202"/>
      <c r="K297" s="273"/>
      <c r="L297" s="202"/>
      <c r="M297" s="202"/>
      <c r="N297" s="202"/>
      <c r="O297" s="202"/>
      <c r="P297" s="202"/>
      <c r="Q297" s="202"/>
      <c r="R297" s="201"/>
      <c r="S297" s="202"/>
      <c r="T297" s="273"/>
      <c r="U297" s="202"/>
      <c r="V297" s="202"/>
      <c r="W297" s="202"/>
      <c r="X297" s="202"/>
      <c r="Y297" s="201"/>
      <c r="Z297" s="201"/>
    </row>
    <row r="298">
      <c r="A298" s="273"/>
      <c r="B298" s="276"/>
      <c r="C298" s="273"/>
      <c r="D298" s="202"/>
      <c r="E298" s="202"/>
      <c r="F298" s="202"/>
      <c r="G298" s="202"/>
      <c r="H298" s="202"/>
      <c r="I298" s="201"/>
      <c r="J298" s="202"/>
      <c r="K298" s="273"/>
      <c r="L298" s="202"/>
      <c r="M298" s="202"/>
      <c r="N298" s="202"/>
      <c r="O298" s="202"/>
      <c r="P298" s="202"/>
      <c r="Q298" s="202"/>
      <c r="R298" s="201"/>
      <c r="S298" s="202"/>
      <c r="T298" s="273"/>
      <c r="U298" s="202"/>
      <c r="V298" s="202"/>
      <c r="W298" s="202"/>
      <c r="X298" s="202"/>
      <c r="Y298" s="201"/>
      <c r="Z298" s="201"/>
    </row>
    <row r="299">
      <c r="A299" s="273"/>
      <c r="B299" s="276"/>
      <c r="C299" s="273"/>
      <c r="D299" s="202"/>
      <c r="E299" s="202"/>
      <c r="F299" s="202"/>
      <c r="G299" s="202"/>
      <c r="H299" s="202"/>
      <c r="I299" s="201"/>
      <c r="J299" s="202"/>
      <c r="K299" s="273"/>
      <c r="L299" s="202"/>
      <c r="M299" s="202"/>
      <c r="N299" s="202"/>
      <c r="O299" s="202"/>
      <c r="P299" s="202"/>
      <c r="Q299" s="202"/>
      <c r="R299" s="201"/>
      <c r="S299" s="202"/>
      <c r="T299" s="273"/>
      <c r="U299" s="202"/>
      <c r="V299" s="202"/>
      <c r="W299" s="202"/>
      <c r="X299" s="202"/>
      <c r="Y299" s="201"/>
      <c r="Z299" s="201"/>
    </row>
    <row r="300">
      <c r="A300" s="273"/>
      <c r="B300" s="276"/>
      <c r="C300" s="273"/>
      <c r="D300" s="202"/>
      <c r="E300" s="202"/>
      <c r="F300" s="202"/>
      <c r="G300" s="202"/>
      <c r="H300" s="202"/>
      <c r="I300" s="201"/>
      <c r="J300" s="202"/>
      <c r="K300" s="273"/>
      <c r="L300" s="202"/>
      <c r="M300" s="202"/>
      <c r="N300" s="202"/>
      <c r="O300" s="202"/>
      <c r="P300" s="202"/>
      <c r="Q300" s="202"/>
      <c r="R300" s="201"/>
      <c r="S300" s="202"/>
      <c r="T300" s="273"/>
      <c r="U300" s="202"/>
      <c r="V300" s="202"/>
      <c r="W300" s="202"/>
      <c r="X300" s="202"/>
      <c r="Y300" s="201"/>
      <c r="Z300" s="201"/>
    </row>
    <row r="301">
      <c r="A301" s="273"/>
      <c r="B301" s="276"/>
      <c r="C301" s="273"/>
      <c r="D301" s="202"/>
      <c r="E301" s="202"/>
      <c r="F301" s="202"/>
      <c r="G301" s="202"/>
      <c r="H301" s="202"/>
      <c r="I301" s="201"/>
      <c r="J301" s="202"/>
      <c r="K301" s="273"/>
      <c r="L301" s="202"/>
      <c r="M301" s="202"/>
      <c r="N301" s="202"/>
      <c r="O301" s="202"/>
      <c r="P301" s="202"/>
      <c r="Q301" s="202"/>
      <c r="R301" s="201"/>
      <c r="S301" s="202"/>
      <c r="T301" s="273"/>
      <c r="U301" s="202"/>
      <c r="V301" s="202"/>
      <c r="W301" s="202"/>
      <c r="X301" s="202"/>
      <c r="Y301" s="201"/>
      <c r="Z301" s="201"/>
    </row>
    <row r="302">
      <c r="A302" s="273"/>
      <c r="B302" s="276"/>
      <c r="C302" s="273"/>
      <c r="D302" s="202"/>
      <c r="E302" s="202"/>
      <c r="F302" s="202"/>
      <c r="G302" s="202"/>
      <c r="H302" s="202"/>
      <c r="I302" s="201"/>
      <c r="J302" s="202"/>
      <c r="K302" s="273"/>
      <c r="L302" s="202"/>
      <c r="M302" s="202"/>
      <c r="N302" s="202"/>
      <c r="O302" s="202"/>
      <c r="P302" s="202"/>
      <c r="Q302" s="202"/>
      <c r="R302" s="201"/>
      <c r="S302" s="202"/>
      <c r="T302" s="273"/>
      <c r="U302" s="202"/>
      <c r="V302" s="202"/>
      <c r="W302" s="202"/>
      <c r="X302" s="202"/>
      <c r="Y302" s="201"/>
      <c r="Z302" s="201"/>
    </row>
    <row r="303">
      <c r="A303" s="273"/>
      <c r="B303" s="276"/>
      <c r="C303" s="273"/>
      <c r="D303" s="202"/>
      <c r="E303" s="202"/>
      <c r="F303" s="202"/>
      <c r="G303" s="202"/>
      <c r="H303" s="202"/>
      <c r="I303" s="201"/>
      <c r="J303" s="202"/>
      <c r="K303" s="273"/>
      <c r="L303" s="202"/>
      <c r="M303" s="202"/>
      <c r="N303" s="202"/>
      <c r="O303" s="202"/>
      <c r="P303" s="202"/>
      <c r="Q303" s="202"/>
      <c r="R303" s="201"/>
      <c r="S303" s="202"/>
      <c r="T303" s="273"/>
      <c r="U303" s="202"/>
      <c r="V303" s="202"/>
      <c r="W303" s="202"/>
      <c r="X303" s="202"/>
      <c r="Y303" s="201"/>
      <c r="Z303" s="201"/>
    </row>
    <row r="304">
      <c r="A304" s="273"/>
      <c r="B304" s="276"/>
      <c r="C304" s="273"/>
      <c r="D304" s="202"/>
      <c r="E304" s="202"/>
      <c r="F304" s="202"/>
      <c r="G304" s="202"/>
      <c r="H304" s="202"/>
      <c r="I304" s="201"/>
      <c r="J304" s="202"/>
      <c r="K304" s="273"/>
      <c r="L304" s="202"/>
      <c r="M304" s="202"/>
      <c r="N304" s="202"/>
      <c r="O304" s="202"/>
      <c r="P304" s="202"/>
      <c r="Q304" s="202"/>
      <c r="R304" s="201"/>
      <c r="S304" s="202"/>
      <c r="T304" s="273"/>
      <c r="U304" s="202"/>
      <c r="V304" s="202"/>
      <c r="W304" s="202"/>
      <c r="X304" s="202"/>
      <c r="Y304" s="201"/>
      <c r="Z304" s="201"/>
    </row>
    <row r="305">
      <c r="A305" s="273"/>
      <c r="B305" s="276"/>
      <c r="C305" s="273"/>
      <c r="D305" s="202"/>
      <c r="E305" s="202"/>
      <c r="F305" s="202"/>
      <c r="G305" s="202"/>
      <c r="H305" s="202"/>
      <c r="I305" s="201"/>
      <c r="J305" s="202"/>
      <c r="K305" s="273"/>
      <c r="L305" s="202"/>
      <c r="M305" s="202"/>
      <c r="N305" s="202"/>
      <c r="O305" s="202"/>
      <c r="P305" s="202"/>
      <c r="Q305" s="202"/>
      <c r="R305" s="201"/>
      <c r="S305" s="202"/>
      <c r="T305" s="273"/>
      <c r="U305" s="202"/>
      <c r="V305" s="202"/>
      <c r="W305" s="202"/>
      <c r="X305" s="202"/>
      <c r="Y305" s="201"/>
      <c r="Z305" s="201"/>
    </row>
    <row r="306">
      <c r="A306" s="273"/>
      <c r="B306" s="276"/>
      <c r="C306" s="273"/>
      <c r="D306" s="202"/>
      <c r="E306" s="202"/>
      <c r="F306" s="202"/>
      <c r="G306" s="202"/>
      <c r="H306" s="202"/>
      <c r="I306" s="201"/>
      <c r="J306" s="202"/>
      <c r="K306" s="273"/>
      <c r="L306" s="202"/>
      <c r="M306" s="202"/>
      <c r="N306" s="202"/>
      <c r="O306" s="202"/>
      <c r="P306" s="202"/>
      <c r="Q306" s="202"/>
      <c r="R306" s="201"/>
      <c r="S306" s="202"/>
      <c r="T306" s="273"/>
      <c r="U306" s="202"/>
      <c r="V306" s="202"/>
      <c r="W306" s="202"/>
      <c r="X306" s="202"/>
      <c r="Y306" s="201"/>
      <c r="Z306" s="201"/>
    </row>
    <row r="307">
      <c r="A307" s="273"/>
      <c r="B307" s="276"/>
      <c r="C307" s="273"/>
      <c r="D307" s="202"/>
      <c r="E307" s="202"/>
      <c r="F307" s="202"/>
      <c r="G307" s="202"/>
      <c r="H307" s="202"/>
      <c r="I307" s="201"/>
      <c r="J307" s="202"/>
      <c r="K307" s="273"/>
      <c r="L307" s="202"/>
      <c r="M307" s="202"/>
      <c r="N307" s="202"/>
      <c r="O307" s="202"/>
      <c r="P307" s="202"/>
      <c r="Q307" s="202"/>
      <c r="R307" s="201"/>
      <c r="S307" s="202"/>
      <c r="T307" s="273"/>
      <c r="U307" s="202"/>
      <c r="V307" s="202"/>
      <c r="W307" s="202"/>
      <c r="X307" s="202"/>
      <c r="Y307" s="201"/>
      <c r="Z307" s="201"/>
    </row>
    <row r="308">
      <c r="A308" s="273"/>
      <c r="B308" s="276"/>
      <c r="C308" s="273"/>
      <c r="D308" s="202"/>
      <c r="E308" s="202"/>
      <c r="F308" s="202"/>
      <c r="G308" s="202"/>
      <c r="H308" s="202"/>
      <c r="I308" s="201"/>
      <c r="J308" s="202"/>
      <c r="K308" s="273"/>
      <c r="L308" s="202"/>
      <c r="M308" s="202"/>
      <c r="N308" s="202"/>
      <c r="O308" s="202"/>
      <c r="P308" s="202"/>
      <c r="Q308" s="202"/>
      <c r="R308" s="201"/>
      <c r="S308" s="202"/>
      <c r="T308" s="273"/>
      <c r="U308" s="202"/>
      <c r="V308" s="202"/>
      <c r="W308" s="202"/>
      <c r="X308" s="202"/>
      <c r="Y308" s="201"/>
      <c r="Z308" s="201"/>
    </row>
    <row r="309">
      <c r="A309" s="273"/>
      <c r="B309" s="276"/>
      <c r="C309" s="273"/>
      <c r="D309" s="202"/>
      <c r="E309" s="202"/>
      <c r="F309" s="202"/>
      <c r="G309" s="202"/>
      <c r="H309" s="202"/>
      <c r="I309" s="201"/>
      <c r="J309" s="202"/>
      <c r="K309" s="273"/>
      <c r="L309" s="202"/>
      <c r="M309" s="202"/>
      <c r="N309" s="202"/>
      <c r="O309" s="202"/>
      <c r="P309" s="202"/>
      <c r="Q309" s="202"/>
      <c r="R309" s="201"/>
      <c r="S309" s="202"/>
      <c r="T309" s="273"/>
      <c r="U309" s="202"/>
      <c r="V309" s="202"/>
      <c r="W309" s="202"/>
      <c r="X309" s="202"/>
      <c r="Y309" s="201"/>
      <c r="Z309" s="201"/>
    </row>
    <row r="310">
      <c r="A310" s="273"/>
      <c r="B310" s="276"/>
      <c r="C310" s="273"/>
      <c r="D310" s="202"/>
      <c r="E310" s="202"/>
      <c r="F310" s="202"/>
      <c r="G310" s="202"/>
      <c r="H310" s="202"/>
      <c r="I310" s="201"/>
      <c r="J310" s="202"/>
      <c r="K310" s="273"/>
      <c r="L310" s="202"/>
      <c r="M310" s="202"/>
      <c r="N310" s="202"/>
      <c r="O310" s="202"/>
      <c r="P310" s="202"/>
      <c r="Q310" s="202"/>
      <c r="R310" s="201"/>
      <c r="S310" s="202"/>
      <c r="T310" s="273"/>
      <c r="U310" s="202"/>
      <c r="V310" s="202"/>
      <c r="W310" s="202"/>
      <c r="X310" s="202"/>
      <c r="Y310" s="201"/>
      <c r="Z310" s="201"/>
    </row>
    <row r="311">
      <c r="A311" s="273"/>
      <c r="B311" s="276"/>
      <c r="C311" s="273"/>
      <c r="D311" s="202"/>
      <c r="E311" s="202"/>
      <c r="F311" s="202"/>
      <c r="G311" s="202"/>
      <c r="H311" s="202"/>
      <c r="I311" s="201"/>
      <c r="J311" s="202"/>
      <c r="K311" s="273"/>
      <c r="L311" s="202"/>
      <c r="M311" s="202"/>
      <c r="N311" s="202"/>
      <c r="O311" s="202"/>
      <c r="P311" s="202"/>
      <c r="Q311" s="202"/>
      <c r="R311" s="201"/>
      <c r="S311" s="202"/>
      <c r="T311" s="273"/>
      <c r="U311" s="202"/>
      <c r="V311" s="202"/>
      <c r="W311" s="202"/>
      <c r="X311" s="202"/>
      <c r="Y311" s="201"/>
      <c r="Z311" s="201"/>
    </row>
    <row r="312">
      <c r="A312" s="273"/>
      <c r="B312" s="276"/>
      <c r="C312" s="273"/>
      <c r="D312" s="202"/>
      <c r="E312" s="202"/>
      <c r="F312" s="202"/>
      <c r="G312" s="202"/>
      <c r="H312" s="202"/>
      <c r="I312" s="201"/>
      <c r="J312" s="202"/>
      <c r="K312" s="273"/>
      <c r="L312" s="202"/>
      <c r="M312" s="202"/>
      <c r="N312" s="202"/>
      <c r="O312" s="202"/>
      <c r="P312" s="202"/>
      <c r="Q312" s="202"/>
      <c r="R312" s="201"/>
      <c r="S312" s="202"/>
      <c r="T312" s="273"/>
      <c r="U312" s="202"/>
      <c r="V312" s="202"/>
      <c r="W312" s="202"/>
      <c r="X312" s="202"/>
      <c r="Y312" s="201"/>
      <c r="Z312" s="201"/>
    </row>
    <row r="313">
      <c r="A313" s="273"/>
      <c r="B313" s="276"/>
      <c r="C313" s="273"/>
      <c r="D313" s="202"/>
      <c r="E313" s="202"/>
      <c r="F313" s="202"/>
      <c r="G313" s="202"/>
      <c r="H313" s="202"/>
      <c r="I313" s="201"/>
      <c r="J313" s="202"/>
      <c r="K313" s="273"/>
      <c r="L313" s="202"/>
      <c r="M313" s="202"/>
      <c r="N313" s="202"/>
      <c r="O313" s="202"/>
      <c r="P313" s="202"/>
      <c r="Q313" s="202"/>
      <c r="R313" s="201"/>
      <c r="S313" s="202"/>
      <c r="T313" s="273"/>
      <c r="U313" s="202"/>
      <c r="V313" s="202"/>
      <c r="W313" s="202"/>
      <c r="X313" s="202"/>
      <c r="Y313" s="201"/>
      <c r="Z313" s="201"/>
    </row>
    <row r="314">
      <c r="A314" s="273"/>
      <c r="B314" s="276"/>
      <c r="C314" s="273"/>
      <c r="D314" s="202"/>
      <c r="E314" s="202"/>
      <c r="F314" s="202"/>
      <c r="G314" s="202"/>
      <c r="H314" s="202"/>
      <c r="I314" s="201"/>
      <c r="J314" s="202"/>
      <c r="K314" s="273"/>
      <c r="L314" s="202"/>
      <c r="M314" s="202"/>
      <c r="N314" s="202"/>
      <c r="O314" s="202"/>
      <c r="P314" s="202"/>
      <c r="Q314" s="202"/>
      <c r="R314" s="201"/>
      <c r="S314" s="202"/>
      <c r="T314" s="273"/>
      <c r="U314" s="202"/>
      <c r="V314" s="202"/>
      <c r="W314" s="202"/>
      <c r="X314" s="202"/>
      <c r="Y314" s="201"/>
      <c r="Z314" s="201"/>
    </row>
    <row r="315">
      <c r="A315" s="273"/>
      <c r="B315" s="276"/>
      <c r="C315" s="273"/>
      <c r="D315" s="202"/>
      <c r="E315" s="202"/>
      <c r="F315" s="202"/>
      <c r="G315" s="202"/>
      <c r="H315" s="202"/>
      <c r="I315" s="201"/>
      <c r="J315" s="202"/>
      <c r="K315" s="273"/>
      <c r="L315" s="202"/>
      <c r="M315" s="202"/>
      <c r="N315" s="202"/>
      <c r="O315" s="202"/>
      <c r="P315" s="202"/>
      <c r="Q315" s="202"/>
      <c r="R315" s="201"/>
      <c r="S315" s="202"/>
      <c r="T315" s="273"/>
      <c r="U315" s="202"/>
      <c r="V315" s="202"/>
      <c r="W315" s="202"/>
      <c r="X315" s="202"/>
      <c r="Y315" s="201"/>
      <c r="Z315" s="201"/>
    </row>
    <row r="316">
      <c r="A316" s="273"/>
      <c r="B316" s="276"/>
      <c r="C316" s="273"/>
      <c r="D316" s="202"/>
      <c r="E316" s="202"/>
      <c r="F316" s="202"/>
      <c r="G316" s="202"/>
      <c r="H316" s="202"/>
      <c r="I316" s="201"/>
      <c r="J316" s="202"/>
      <c r="K316" s="273"/>
      <c r="L316" s="202"/>
      <c r="M316" s="202"/>
      <c r="N316" s="202"/>
      <c r="O316" s="202"/>
      <c r="P316" s="202"/>
      <c r="Q316" s="202"/>
      <c r="R316" s="201"/>
      <c r="S316" s="202"/>
      <c r="T316" s="273"/>
      <c r="U316" s="202"/>
      <c r="V316" s="202"/>
      <c r="W316" s="202"/>
      <c r="X316" s="202"/>
      <c r="Y316" s="201"/>
      <c r="Z316" s="201"/>
    </row>
    <row r="317">
      <c r="A317" s="273"/>
      <c r="B317" s="276"/>
      <c r="C317" s="273"/>
      <c r="D317" s="202"/>
      <c r="E317" s="202"/>
      <c r="F317" s="202"/>
      <c r="G317" s="202"/>
      <c r="H317" s="202"/>
      <c r="I317" s="201"/>
      <c r="J317" s="202"/>
      <c r="K317" s="273"/>
      <c r="L317" s="202"/>
      <c r="M317" s="202"/>
      <c r="N317" s="202"/>
      <c r="O317" s="202"/>
      <c r="P317" s="202"/>
      <c r="Q317" s="202"/>
      <c r="R317" s="201"/>
      <c r="S317" s="202"/>
      <c r="T317" s="273"/>
      <c r="U317" s="202"/>
      <c r="V317" s="202"/>
      <c r="W317" s="202"/>
      <c r="X317" s="202"/>
      <c r="Y317" s="201"/>
      <c r="Z317" s="201"/>
    </row>
    <row r="318">
      <c r="A318" s="273"/>
      <c r="B318" s="276"/>
      <c r="C318" s="273"/>
      <c r="D318" s="202"/>
      <c r="E318" s="202"/>
      <c r="F318" s="202"/>
      <c r="G318" s="202"/>
      <c r="H318" s="202"/>
      <c r="I318" s="201"/>
      <c r="J318" s="202"/>
      <c r="K318" s="273"/>
      <c r="L318" s="202"/>
      <c r="M318" s="202"/>
      <c r="N318" s="202"/>
      <c r="O318" s="202"/>
      <c r="P318" s="202"/>
      <c r="Q318" s="202"/>
      <c r="R318" s="201"/>
      <c r="S318" s="202"/>
      <c r="T318" s="273"/>
      <c r="U318" s="202"/>
      <c r="V318" s="202"/>
      <c r="W318" s="202"/>
      <c r="X318" s="202"/>
      <c r="Y318" s="201"/>
      <c r="Z318" s="201"/>
    </row>
    <row r="319">
      <c r="A319" s="273"/>
      <c r="B319" s="276"/>
      <c r="C319" s="273"/>
      <c r="D319" s="202"/>
      <c r="E319" s="202"/>
      <c r="F319" s="202"/>
      <c r="G319" s="202"/>
      <c r="H319" s="202"/>
      <c r="I319" s="201"/>
      <c r="J319" s="202"/>
      <c r="K319" s="273"/>
      <c r="L319" s="202"/>
      <c r="M319" s="202"/>
      <c r="N319" s="202"/>
      <c r="O319" s="202"/>
      <c r="P319" s="202"/>
      <c r="Q319" s="202"/>
      <c r="R319" s="201"/>
      <c r="S319" s="202"/>
      <c r="T319" s="273"/>
      <c r="U319" s="202"/>
      <c r="V319" s="202"/>
      <c r="W319" s="202"/>
      <c r="X319" s="202"/>
      <c r="Y319" s="201"/>
      <c r="Z319" s="201"/>
    </row>
    <row r="320">
      <c r="A320" s="273"/>
      <c r="B320" s="276"/>
      <c r="C320" s="273"/>
      <c r="D320" s="202"/>
      <c r="E320" s="202"/>
      <c r="F320" s="202"/>
      <c r="G320" s="202"/>
      <c r="H320" s="202"/>
      <c r="I320" s="201"/>
      <c r="J320" s="202"/>
      <c r="K320" s="273"/>
      <c r="L320" s="202"/>
      <c r="M320" s="202"/>
      <c r="N320" s="202"/>
      <c r="O320" s="202"/>
      <c r="P320" s="202"/>
      <c r="Q320" s="202"/>
      <c r="R320" s="201"/>
      <c r="S320" s="202"/>
      <c r="T320" s="273"/>
      <c r="U320" s="202"/>
      <c r="V320" s="202"/>
      <c r="W320" s="202"/>
      <c r="X320" s="202"/>
      <c r="Y320" s="201"/>
      <c r="Z320" s="201"/>
    </row>
    <row r="321">
      <c r="A321" s="273"/>
      <c r="B321" s="276"/>
      <c r="C321" s="273"/>
      <c r="D321" s="202"/>
      <c r="E321" s="202"/>
      <c r="F321" s="202"/>
      <c r="G321" s="202"/>
      <c r="H321" s="202"/>
      <c r="I321" s="201"/>
      <c r="J321" s="202"/>
      <c r="K321" s="273"/>
      <c r="L321" s="202"/>
      <c r="M321" s="202"/>
      <c r="N321" s="202"/>
      <c r="O321" s="202"/>
      <c r="P321" s="202"/>
      <c r="Q321" s="202"/>
      <c r="R321" s="201"/>
      <c r="S321" s="202"/>
      <c r="T321" s="273"/>
      <c r="U321" s="202"/>
      <c r="V321" s="202"/>
      <c r="W321" s="202"/>
      <c r="X321" s="202"/>
      <c r="Y321" s="201"/>
      <c r="Z321" s="201"/>
    </row>
    <row r="322">
      <c r="A322" s="273"/>
      <c r="B322" s="276"/>
      <c r="C322" s="273"/>
      <c r="D322" s="202"/>
      <c r="E322" s="202"/>
      <c r="F322" s="202"/>
      <c r="G322" s="202"/>
      <c r="H322" s="202"/>
      <c r="I322" s="201"/>
      <c r="J322" s="202"/>
      <c r="K322" s="273"/>
      <c r="L322" s="202"/>
      <c r="M322" s="202"/>
      <c r="N322" s="202"/>
      <c r="O322" s="202"/>
      <c r="P322" s="202"/>
      <c r="Q322" s="202"/>
      <c r="R322" s="201"/>
      <c r="S322" s="202"/>
      <c r="T322" s="273"/>
      <c r="U322" s="202"/>
      <c r="V322" s="202"/>
      <c r="W322" s="202"/>
      <c r="X322" s="202"/>
      <c r="Y322" s="201"/>
      <c r="Z322" s="201"/>
    </row>
    <row r="323">
      <c r="A323" s="273"/>
      <c r="B323" s="276"/>
      <c r="C323" s="273"/>
      <c r="D323" s="202"/>
      <c r="E323" s="202"/>
      <c r="F323" s="202"/>
      <c r="G323" s="202"/>
      <c r="H323" s="202"/>
      <c r="I323" s="201"/>
      <c r="J323" s="202"/>
      <c r="K323" s="273"/>
      <c r="L323" s="202"/>
      <c r="M323" s="202"/>
      <c r="N323" s="202"/>
      <c r="O323" s="202"/>
      <c r="P323" s="202"/>
      <c r="Q323" s="202"/>
      <c r="R323" s="201"/>
      <c r="S323" s="202"/>
      <c r="T323" s="273"/>
      <c r="U323" s="202"/>
      <c r="V323" s="202"/>
      <c r="W323" s="202"/>
      <c r="X323" s="202"/>
      <c r="Y323" s="201"/>
      <c r="Z323" s="201"/>
    </row>
    <row r="324">
      <c r="A324" s="273"/>
      <c r="B324" s="276"/>
      <c r="C324" s="273"/>
      <c r="D324" s="202"/>
      <c r="E324" s="202"/>
      <c r="F324" s="202"/>
      <c r="G324" s="202"/>
      <c r="H324" s="202"/>
      <c r="I324" s="201"/>
      <c r="J324" s="202"/>
      <c r="K324" s="273"/>
      <c r="L324" s="202"/>
      <c r="M324" s="202"/>
      <c r="N324" s="202"/>
      <c r="O324" s="202"/>
      <c r="P324" s="202"/>
      <c r="Q324" s="202"/>
      <c r="R324" s="201"/>
      <c r="S324" s="202"/>
      <c r="T324" s="273"/>
      <c r="U324" s="202"/>
      <c r="V324" s="202"/>
      <c r="W324" s="202"/>
      <c r="X324" s="202"/>
      <c r="Y324" s="201"/>
      <c r="Z324" s="201"/>
    </row>
    <row r="325">
      <c r="A325" s="273"/>
      <c r="B325" s="276"/>
      <c r="C325" s="273"/>
      <c r="D325" s="202"/>
      <c r="E325" s="202"/>
      <c r="F325" s="202"/>
      <c r="G325" s="202"/>
      <c r="H325" s="202"/>
      <c r="I325" s="201"/>
      <c r="J325" s="202"/>
      <c r="K325" s="273"/>
      <c r="L325" s="202"/>
      <c r="M325" s="202"/>
      <c r="N325" s="202"/>
      <c r="O325" s="202"/>
      <c r="P325" s="202"/>
      <c r="Q325" s="202"/>
      <c r="R325" s="201"/>
      <c r="S325" s="202"/>
      <c r="T325" s="273"/>
      <c r="U325" s="202"/>
      <c r="V325" s="202"/>
      <c r="W325" s="202"/>
      <c r="X325" s="202"/>
      <c r="Y325" s="201"/>
      <c r="Z325" s="201"/>
    </row>
    <row r="326">
      <c r="A326" s="273"/>
      <c r="B326" s="276"/>
      <c r="C326" s="273"/>
      <c r="D326" s="202"/>
      <c r="E326" s="202"/>
      <c r="F326" s="202"/>
      <c r="G326" s="202"/>
      <c r="H326" s="202"/>
      <c r="I326" s="201"/>
      <c r="J326" s="202"/>
      <c r="K326" s="273"/>
      <c r="L326" s="202"/>
      <c r="M326" s="202"/>
      <c r="N326" s="202"/>
      <c r="O326" s="202"/>
      <c r="P326" s="202"/>
      <c r="Q326" s="202"/>
      <c r="R326" s="201"/>
      <c r="S326" s="202"/>
      <c r="T326" s="273"/>
      <c r="U326" s="202"/>
      <c r="V326" s="202"/>
      <c r="W326" s="202"/>
      <c r="X326" s="202"/>
      <c r="Y326" s="201"/>
      <c r="Z326" s="201"/>
    </row>
    <row r="327">
      <c r="A327" s="273"/>
      <c r="B327" s="276"/>
      <c r="C327" s="273"/>
      <c r="D327" s="202"/>
      <c r="E327" s="202"/>
      <c r="F327" s="202"/>
      <c r="G327" s="202"/>
      <c r="H327" s="202"/>
      <c r="I327" s="201"/>
      <c r="J327" s="202"/>
      <c r="K327" s="273"/>
      <c r="L327" s="202"/>
      <c r="M327" s="202"/>
      <c r="N327" s="202"/>
      <c r="O327" s="202"/>
      <c r="P327" s="202"/>
      <c r="Q327" s="202"/>
      <c r="R327" s="201"/>
      <c r="S327" s="202"/>
      <c r="T327" s="273"/>
      <c r="U327" s="202"/>
      <c r="V327" s="202"/>
      <c r="W327" s="202"/>
      <c r="X327" s="202"/>
      <c r="Y327" s="201"/>
      <c r="Z327" s="201"/>
    </row>
    <row r="328">
      <c r="A328" s="273"/>
      <c r="B328" s="276"/>
      <c r="C328" s="273"/>
      <c r="D328" s="202"/>
      <c r="E328" s="202"/>
      <c r="F328" s="202"/>
      <c r="G328" s="202"/>
      <c r="H328" s="202"/>
      <c r="I328" s="201"/>
      <c r="J328" s="202"/>
      <c r="K328" s="273"/>
      <c r="L328" s="202"/>
      <c r="M328" s="202"/>
      <c r="N328" s="202"/>
      <c r="O328" s="202"/>
      <c r="P328" s="202"/>
      <c r="Q328" s="202"/>
      <c r="R328" s="201"/>
      <c r="S328" s="202"/>
      <c r="T328" s="273"/>
      <c r="U328" s="202"/>
      <c r="V328" s="202"/>
      <c r="W328" s="202"/>
      <c r="X328" s="202"/>
      <c r="Y328" s="201"/>
      <c r="Z328" s="201"/>
    </row>
    <row r="329">
      <c r="A329" s="273"/>
      <c r="B329" s="276"/>
      <c r="C329" s="273"/>
      <c r="D329" s="202"/>
      <c r="E329" s="202"/>
      <c r="F329" s="202"/>
      <c r="G329" s="202"/>
      <c r="H329" s="202"/>
      <c r="I329" s="201"/>
      <c r="J329" s="202"/>
      <c r="K329" s="273"/>
      <c r="L329" s="202"/>
      <c r="M329" s="202"/>
      <c r="N329" s="202"/>
      <c r="O329" s="202"/>
      <c r="P329" s="202"/>
      <c r="Q329" s="202"/>
      <c r="R329" s="201"/>
      <c r="S329" s="202"/>
      <c r="T329" s="273"/>
      <c r="U329" s="202"/>
      <c r="V329" s="202"/>
      <c r="W329" s="202"/>
      <c r="X329" s="202"/>
      <c r="Y329" s="201"/>
      <c r="Z329" s="201"/>
    </row>
    <row r="330">
      <c r="A330" s="273"/>
      <c r="B330" s="276"/>
      <c r="C330" s="273"/>
      <c r="D330" s="202"/>
      <c r="E330" s="202"/>
      <c r="F330" s="202"/>
      <c r="G330" s="202"/>
      <c r="H330" s="202"/>
      <c r="I330" s="201"/>
      <c r="J330" s="202"/>
      <c r="K330" s="273"/>
      <c r="L330" s="202"/>
      <c r="M330" s="202"/>
      <c r="N330" s="202"/>
      <c r="O330" s="202"/>
      <c r="P330" s="202"/>
      <c r="Q330" s="202"/>
      <c r="R330" s="201"/>
      <c r="S330" s="202"/>
      <c r="T330" s="273"/>
      <c r="U330" s="202"/>
      <c r="V330" s="202"/>
      <c r="W330" s="202"/>
      <c r="X330" s="202"/>
      <c r="Y330" s="201"/>
      <c r="Z330" s="201"/>
    </row>
    <row r="331">
      <c r="A331" s="273"/>
      <c r="B331" s="276"/>
      <c r="C331" s="273"/>
      <c r="D331" s="202"/>
      <c r="E331" s="202"/>
      <c r="F331" s="202"/>
      <c r="G331" s="202"/>
      <c r="H331" s="202"/>
      <c r="I331" s="201"/>
      <c r="J331" s="202"/>
      <c r="K331" s="273"/>
      <c r="L331" s="202"/>
      <c r="M331" s="202"/>
      <c r="N331" s="202"/>
      <c r="O331" s="202"/>
      <c r="P331" s="202"/>
      <c r="Q331" s="202"/>
      <c r="R331" s="201"/>
      <c r="S331" s="202"/>
      <c r="T331" s="273"/>
      <c r="U331" s="202"/>
      <c r="V331" s="202"/>
      <c r="W331" s="202"/>
      <c r="X331" s="202"/>
      <c r="Y331" s="201"/>
      <c r="Z331" s="201"/>
    </row>
    <row r="332">
      <c r="A332" s="273"/>
      <c r="B332" s="276"/>
      <c r="C332" s="273"/>
      <c r="D332" s="202"/>
      <c r="E332" s="202"/>
      <c r="F332" s="202"/>
      <c r="G332" s="202"/>
      <c r="H332" s="202"/>
      <c r="I332" s="201"/>
      <c r="J332" s="202"/>
      <c r="K332" s="273"/>
      <c r="L332" s="202"/>
      <c r="M332" s="202"/>
      <c r="N332" s="202"/>
      <c r="O332" s="202"/>
      <c r="P332" s="202"/>
      <c r="Q332" s="202"/>
      <c r="R332" s="201"/>
      <c r="S332" s="202"/>
      <c r="T332" s="273"/>
      <c r="U332" s="202"/>
      <c r="V332" s="202"/>
      <c r="W332" s="202"/>
      <c r="X332" s="202"/>
      <c r="Y332" s="201"/>
      <c r="Z332" s="201"/>
    </row>
    <row r="333">
      <c r="A333" s="273"/>
      <c r="B333" s="276"/>
      <c r="C333" s="273"/>
      <c r="D333" s="202"/>
      <c r="E333" s="202"/>
      <c r="F333" s="202"/>
      <c r="G333" s="202"/>
      <c r="H333" s="202"/>
      <c r="I333" s="201"/>
      <c r="J333" s="202"/>
      <c r="K333" s="273"/>
      <c r="L333" s="202"/>
      <c r="M333" s="202"/>
      <c r="N333" s="202"/>
      <c r="O333" s="202"/>
      <c r="P333" s="202"/>
      <c r="Q333" s="202"/>
      <c r="R333" s="201"/>
      <c r="S333" s="202"/>
      <c r="T333" s="273"/>
      <c r="U333" s="202"/>
      <c r="V333" s="202"/>
      <c r="W333" s="202"/>
      <c r="X333" s="202"/>
      <c r="Y333" s="201"/>
      <c r="Z333" s="201"/>
    </row>
    <row r="334">
      <c r="A334" s="273"/>
      <c r="B334" s="276"/>
      <c r="C334" s="273"/>
      <c r="D334" s="202"/>
      <c r="E334" s="202"/>
      <c r="F334" s="202"/>
      <c r="G334" s="202"/>
      <c r="H334" s="202"/>
      <c r="I334" s="201"/>
      <c r="J334" s="202"/>
      <c r="K334" s="273"/>
      <c r="L334" s="202"/>
      <c r="M334" s="202"/>
      <c r="N334" s="202"/>
      <c r="O334" s="202"/>
      <c r="P334" s="202"/>
      <c r="Q334" s="202"/>
      <c r="R334" s="201"/>
      <c r="S334" s="202"/>
      <c r="T334" s="273"/>
      <c r="U334" s="202"/>
      <c r="V334" s="202"/>
      <c r="W334" s="202"/>
      <c r="X334" s="202"/>
      <c r="Y334" s="201"/>
      <c r="Z334" s="201"/>
    </row>
    <row r="335">
      <c r="A335" s="273"/>
      <c r="B335" s="276"/>
      <c r="C335" s="273"/>
      <c r="D335" s="202"/>
      <c r="E335" s="202"/>
      <c r="F335" s="202"/>
      <c r="G335" s="202"/>
      <c r="H335" s="202"/>
      <c r="I335" s="201"/>
      <c r="J335" s="202"/>
      <c r="K335" s="273"/>
      <c r="L335" s="202"/>
      <c r="M335" s="202"/>
      <c r="N335" s="202"/>
      <c r="O335" s="202"/>
      <c r="P335" s="202"/>
      <c r="Q335" s="202"/>
      <c r="R335" s="201"/>
      <c r="S335" s="202"/>
      <c r="T335" s="273"/>
      <c r="U335" s="202"/>
      <c r="V335" s="202"/>
      <c r="W335" s="202"/>
      <c r="X335" s="202"/>
      <c r="Y335" s="201"/>
      <c r="Z335" s="201"/>
    </row>
    <row r="336">
      <c r="A336" s="273"/>
      <c r="B336" s="276"/>
      <c r="C336" s="273"/>
      <c r="D336" s="202"/>
      <c r="E336" s="202"/>
      <c r="F336" s="202"/>
      <c r="G336" s="202"/>
      <c r="H336" s="202"/>
      <c r="I336" s="201"/>
      <c r="J336" s="202"/>
      <c r="K336" s="273"/>
      <c r="L336" s="202"/>
      <c r="M336" s="202"/>
      <c r="N336" s="202"/>
      <c r="O336" s="202"/>
      <c r="P336" s="202"/>
      <c r="Q336" s="202"/>
      <c r="R336" s="201"/>
      <c r="S336" s="202"/>
      <c r="T336" s="273"/>
      <c r="U336" s="202"/>
      <c r="V336" s="202"/>
      <c r="W336" s="202"/>
      <c r="X336" s="202"/>
      <c r="Y336" s="201"/>
      <c r="Z336" s="201"/>
    </row>
    <row r="337">
      <c r="A337" s="273"/>
      <c r="B337" s="276"/>
      <c r="C337" s="273"/>
      <c r="D337" s="202"/>
      <c r="E337" s="202"/>
      <c r="F337" s="202"/>
      <c r="G337" s="202"/>
      <c r="H337" s="202"/>
      <c r="I337" s="201"/>
      <c r="J337" s="202"/>
      <c r="K337" s="273"/>
      <c r="L337" s="202"/>
      <c r="M337" s="202"/>
      <c r="N337" s="202"/>
      <c r="O337" s="202"/>
      <c r="P337" s="202"/>
      <c r="Q337" s="202"/>
      <c r="R337" s="201"/>
      <c r="S337" s="202"/>
      <c r="T337" s="273"/>
      <c r="U337" s="202"/>
      <c r="V337" s="202"/>
      <c r="W337" s="202"/>
      <c r="X337" s="202"/>
      <c r="Y337" s="201"/>
      <c r="Z337" s="201"/>
    </row>
    <row r="338">
      <c r="A338" s="273"/>
      <c r="B338" s="276"/>
      <c r="C338" s="273"/>
      <c r="D338" s="202"/>
      <c r="E338" s="202"/>
      <c r="F338" s="202"/>
      <c r="G338" s="202"/>
      <c r="H338" s="202"/>
      <c r="I338" s="201"/>
      <c r="J338" s="202"/>
      <c r="K338" s="273"/>
      <c r="L338" s="202"/>
      <c r="M338" s="202"/>
      <c r="N338" s="202"/>
      <c r="O338" s="202"/>
      <c r="P338" s="202"/>
      <c r="Q338" s="202"/>
      <c r="R338" s="201"/>
      <c r="S338" s="202"/>
      <c r="T338" s="273"/>
      <c r="U338" s="202"/>
      <c r="V338" s="202"/>
      <c r="W338" s="202"/>
      <c r="X338" s="202"/>
      <c r="Y338" s="201"/>
      <c r="Z338" s="201"/>
    </row>
    <row r="339">
      <c r="A339" s="273"/>
      <c r="B339" s="276"/>
      <c r="C339" s="273"/>
      <c r="D339" s="202"/>
      <c r="E339" s="202"/>
      <c r="F339" s="202"/>
      <c r="G339" s="202"/>
      <c r="H339" s="202"/>
      <c r="I339" s="201"/>
      <c r="J339" s="202"/>
      <c r="K339" s="273"/>
      <c r="L339" s="202"/>
      <c r="M339" s="202"/>
      <c r="N339" s="202"/>
      <c r="O339" s="202"/>
      <c r="P339" s="202"/>
      <c r="Q339" s="202"/>
      <c r="R339" s="201"/>
      <c r="S339" s="202"/>
      <c r="T339" s="273"/>
      <c r="U339" s="202"/>
      <c r="V339" s="202"/>
      <c r="W339" s="202"/>
      <c r="X339" s="202"/>
      <c r="Y339" s="201"/>
      <c r="Z339" s="201"/>
    </row>
    <row r="340">
      <c r="A340" s="273"/>
      <c r="B340" s="276"/>
      <c r="C340" s="273"/>
      <c r="D340" s="202"/>
      <c r="E340" s="202"/>
      <c r="F340" s="202"/>
      <c r="G340" s="202"/>
      <c r="H340" s="202"/>
      <c r="I340" s="201"/>
      <c r="J340" s="202"/>
      <c r="K340" s="273"/>
      <c r="L340" s="202"/>
      <c r="M340" s="202"/>
      <c r="N340" s="202"/>
      <c r="O340" s="202"/>
      <c r="P340" s="202"/>
      <c r="Q340" s="202"/>
      <c r="R340" s="201"/>
      <c r="S340" s="202"/>
      <c r="T340" s="273"/>
      <c r="U340" s="202"/>
      <c r="V340" s="202"/>
      <c r="W340" s="202"/>
      <c r="X340" s="202"/>
      <c r="Y340" s="201"/>
      <c r="Z340" s="201"/>
    </row>
    <row r="341">
      <c r="A341" s="273"/>
      <c r="B341" s="276"/>
      <c r="C341" s="273"/>
      <c r="D341" s="202"/>
      <c r="E341" s="202"/>
      <c r="F341" s="202"/>
      <c r="G341" s="202"/>
      <c r="H341" s="202"/>
      <c r="I341" s="201"/>
      <c r="J341" s="202"/>
      <c r="K341" s="273"/>
      <c r="L341" s="202"/>
      <c r="M341" s="202"/>
      <c r="N341" s="202"/>
      <c r="O341" s="202"/>
      <c r="P341" s="202"/>
      <c r="Q341" s="202"/>
      <c r="R341" s="201"/>
      <c r="S341" s="202"/>
      <c r="T341" s="273"/>
      <c r="U341" s="202"/>
      <c r="V341" s="202"/>
      <c r="W341" s="202"/>
      <c r="X341" s="202"/>
      <c r="Y341" s="201"/>
      <c r="Z341" s="201"/>
    </row>
    <row r="342">
      <c r="A342" s="273"/>
      <c r="B342" s="276"/>
      <c r="C342" s="273"/>
      <c r="D342" s="202"/>
      <c r="E342" s="202"/>
      <c r="F342" s="202"/>
      <c r="G342" s="202"/>
      <c r="H342" s="202"/>
      <c r="I342" s="201"/>
      <c r="J342" s="202"/>
      <c r="K342" s="273"/>
      <c r="L342" s="202"/>
      <c r="M342" s="202"/>
      <c r="N342" s="202"/>
      <c r="O342" s="202"/>
      <c r="P342" s="202"/>
      <c r="Q342" s="202"/>
      <c r="R342" s="201"/>
      <c r="S342" s="202"/>
      <c r="T342" s="273"/>
      <c r="U342" s="202"/>
      <c r="V342" s="202"/>
      <c r="W342" s="202"/>
      <c r="X342" s="202"/>
      <c r="Y342" s="201"/>
      <c r="Z342" s="201"/>
    </row>
    <row r="343">
      <c r="A343" s="273"/>
      <c r="B343" s="276"/>
      <c r="C343" s="273"/>
      <c r="D343" s="202"/>
      <c r="E343" s="202"/>
      <c r="F343" s="202"/>
      <c r="G343" s="202"/>
      <c r="H343" s="202"/>
      <c r="I343" s="201"/>
      <c r="J343" s="202"/>
      <c r="K343" s="273"/>
      <c r="L343" s="202"/>
      <c r="M343" s="202"/>
      <c r="N343" s="202"/>
      <c r="O343" s="202"/>
      <c r="P343" s="202"/>
      <c r="Q343" s="202"/>
      <c r="R343" s="201"/>
      <c r="S343" s="202"/>
      <c r="T343" s="273"/>
      <c r="U343" s="202"/>
      <c r="V343" s="202"/>
      <c r="W343" s="202"/>
      <c r="X343" s="202"/>
      <c r="Y343" s="201"/>
      <c r="Z343" s="201"/>
    </row>
    <row r="344">
      <c r="A344" s="273"/>
      <c r="B344" s="276"/>
      <c r="C344" s="273"/>
      <c r="D344" s="202"/>
      <c r="E344" s="202"/>
      <c r="F344" s="202"/>
      <c r="G344" s="202"/>
      <c r="H344" s="202"/>
      <c r="I344" s="201"/>
      <c r="J344" s="202"/>
      <c r="K344" s="273"/>
      <c r="L344" s="202"/>
      <c r="M344" s="202"/>
      <c r="N344" s="202"/>
      <c r="O344" s="202"/>
      <c r="P344" s="202"/>
      <c r="Q344" s="202"/>
      <c r="R344" s="201"/>
      <c r="S344" s="202"/>
      <c r="T344" s="273"/>
      <c r="U344" s="202"/>
      <c r="V344" s="202"/>
      <c r="W344" s="202"/>
      <c r="X344" s="202"/>
      <c r="Y344" s="201"/>
      <c r="Z344" s="201"/>
    </row>
    <row r="345">
      <c r="A345" s="273"/>
      <c r="B345" s="276"/>
      <c r="C345" s="273"/>
      <c r="D345" s="202"/>
      <c r="E345" s="202"/>
      <c r="F345" s="202"/>
      <c r="G345" s="202"/>
      <c r="H345" s="202"/>
      <c r="I345" s="201"/>
      <c r="J345" s="202"/>
      <c r="K345" s="273"/>
      <c r="L345" s="202"/>
      <c r="M345" s="202"/>
      <c r="N345" s="202"/>
      <c r="O345" s="202"/>
      <c r="P345" s="202"/>
      <c r="Q345" s="202"/>
      <c r="R345" s="201"/>
      <c r="S345" s="202"/>
      <c r="T345" s="273"/>
      <c r="U345" s="202"/>
      <c r="V345" s="202"/>
      <c r="W345" s="202"/>
      <c r="X345" s="202"/>
      <c r="Y345" s="201"/>
      <c r="Z345" s="201"/>
    </row>
    <row r="346">
      <c r="A346" s="273"/>
      <c r="B346" s="276"/>
      <c r="C346" s="273"/>
      <c r="D346" s="202"/>
      <c r="E346" s="202"/>
      <c r="F346" s="202"/>
      <c r="G346" s="202"/>
      <c r="H346" s="202"/>
      <c r="I346" s="201"/>
      <c r="J346" s="202"/>
      <c r="K346" s="273"/>
      <c r="L346" s="202"/>
      <c r="M346" s="202"/>
      <c r="N346" s="202"/>
      <c r="O346" s="202"/>
      <c r="P346" s="202"/>
      <c r="Q346" s="202"/>
      <c r="R346" s="201"/>
      <c r="S346" s="202"/>
      <c r="T346" s="273"/>
      <c r="U346" s="202"/>
      <c r="V346" s="202"/>
      <c r="W346" s="202"/>
      <c r="X346" s="202"/>
      <c r="Y346" s="201"/>
      <c r="Z346" s="201"/>
    </row>
    <row r="347">
      <c r="A347" s="273"/>
      <c r="B347" s="276"/>
      <c r="C347" s="273"/>
      <c r="D347" s="202"/>
      <c r="E347" s="202"/>
      <c r="F347" s="202"/>
      <c r="G347" s="202"/>
      <c r="H347" s="202"/>
      <c r="I347" s="201"/>
      <c r="J347" s="202"/>
      <c r="K347" s="273"/>
      <c r="L347" s="202"/>
      <c r="M347" s="202"/>
      <c r="N347" s="202"/>
      <c r="O347" s="202"/>
      <c r="P347" s="202"/>
      <c r="Q347" s="202"/>
      <c r="R347" s="201"/>
      <c r="S347" s="202"/>
      <c r="T347" s="273"/>
      <c r="U347" s="202"/>
      <c r="V347" s="202"/>
      <c r="W347" s="202"/>
      <c r="X347" s="202"/>
      <c r="Y347" s="201"/>
      <c r="Z347" s="201"/>
    </row>
    <row r="348">
      <c r="A348" s="273"/>
      <c r="B348" s="276"/>
      <c r="C348" s="273"/>
      <c r="D348" s="202"/>
      <c r="E348" s="202"/>
      <c r="F348" s="202"/>
      <c r="G348" s="202"/>
      <c r="H348" s="202"/>
      <c r="I348" s="201"/>
      <c r="J348" s="202"/>
      <c r="K348" s="273"/>
      <c r="L348" s="202"/>
      <c r="M348" s="202"/>
      <c r="N348" s="202"/>
      <c r="O348" s="202"/>
      <c r="P348" s="202"/>
      <c r="Q348" s="202"/>
      <c r="R348" s="201"/>
      <c r="S348" s="202"/>
      <c r="T348" s="273"/>
      <c r="U348" s="202"/>
      <c r="V348" s="202"/>
      <c r="W348" s="202"/>
      <c r="X348" s="202"/>
      <c r="Y348" s="201"/>
      <c r="Z348" s="201"/>
    </row>
    <row r="349">
      <c r="A349" s="273"/>
      <c r="B349" s="276"/>
      <c r="C349" s="273"/>
      <c r="D349" s="202"/>
      <c r="E349" s="202"/>
      <c r="F349" s="202"/>
      <c r="G349" s="202"/>
      <c r="H349" s="202"/>
      <c r="I349" s="201"/>
      <c r="J349" s="202"/>
      <c r="K349" s="273"/>
      <c r="L349" s="202"/>
      <c r="M349" s="202"/>
      <c r="N349" s="202"/>
      <c r="O349" s="202"/>
      <c r="P349" s="202"/>
      <c r="Q349" s="202"/>
      <c r="R349" s="201"/>
      <c r="S349" s="202"/>
      <c r="T349" s="273"/>
      <c r="U349" s="202"/>
      <c r="V349" s="202"/>
      <c r="W349" s="202"/>
      <c r="X349" s="202"/>
      <c r="Y349" s="201"/>
      <c r="Z349" s="201"/>
    </row>
    <row r="350">
      <c r="A350" s="273"/>
      <c r="B350" s="276"/>
      <c r="C350" s="273"/>
      <c r="D350" s="202"/>
      <c r="E350" s="202"/>
      <c r="F350" s="202"/>
      <c r="G350" s="202"/>
      <c r="H350" s="202"/>
      <c r="I350" s="201"/>
      <c r="J350" s="202"/>
      <c r="K350" s="273"/>
      <c r="L350" s="202"/>
      <c r="M350" s="202"/>
      <c r="N350" s="202"/>
      <c r="O350" s="202"/>
      <c r="P350" s="202"/>
      <c r="Q350" s="202"/>
      <c r="R350" s="201"/>
      <c r="S350" s="202"/>
      <c r="T350" s="273"/>
      <c r="U350" s="202"/>
      <c r="V350" s="202"/>
      <c r="W350" s="202"/>
      <c r="X350" s="202"/>
      <c r="Y350" s="201"/>
      <c r="Z350" s="201"/>
    </row>
    <row r="351">
      <c r="A351" s="273"/>
      <c r="B351" s="276"/>
      <c r="C351" s="273"/>
      <c r="D351" s="202"/>
      <c r="E351" s="202"/>
      <c r="F351" s="202"/>
      <c r="G351" s="202"/>
      <c r="H351" s="202"/>
      <c r="I351" s="201"/>
      <c r="J351" s="202"/>
      <c r="K351" s="273"/>
      <c r="L351" s="202"/>
      <c r="M351" s="202"/>
      <c r="N351" s="202"/>
      <c r="O351" s="202"/>
      <c r="P351" s="202"/>
      <c r="Q351" s="202"/>
      <c r="R351" s="201"/>
      <c r="S351" s="202"/>
      <c r="T351" s="273"/>
      <c r="U351" s="202"/>
      <c r="V351" s="202"/>
      <c r="W351" s="202"/>
      <c r="X351" s="202"/>
      <c r="Y351" s="201"/>
      <c r="Z351" s="201"/>
    </row>
    <row r="352">
      <c r="A352" s="273"/>
      <c r="B352" s="276"/>
      <c r="C352" s="273"/>
      <c r="D352" s="202"/>
      <c r="E352" s="202"/>
      <c r="F352" s="202"/>
      <c r="G352" s="202"/>
      <c r="H352" s="202"/>
      <c r="I352" s="201"/>
      <c r="J352" s="202"/>
      <c r="K352" s="273"/>
      <c r="L352" s="202"/>
      <c r="M352" s="202"/>
      <c r="N352" s="202"/>
      <c r="O352" s="202"/>
      <c r="P352" s="202"/>
      <c r="Q352" s="202"/>
      <c r="R352" s="201"/>
      <c r="S352" s="202"/>
      <c r="T352" s="273"/>
      <c r="U352" s="202"/>
      <c r="V352" s="202"/>
      <c r="W352" s="202"/>
      <c r="X352" s="202"/>
      <c r="Y352" s="201"/>
      <c r="Z352" s="201"/>
    </row>
    <row r="353">
      <c r="A353" s="273"/>
      <c r="B353" s="276"/>
      <c r="C353" s="273"/>
      <c r="D353" s="202"/>
      <c r="E353" s="202"/>
      <c r="F353" s="202"/>
      <c r="G353" s="202"/>
      <c r="H353" s="202"/>
      <c r="I353" s="201"/>
      <c r="J353" s="202"/>
      <c r="K353" s="273"/>
      <c r="L353" s="202"/>
      <c r="M353" s="202"/>
      <c r="N353" s="202"/>
      <c r="O353" s="202"/>
      <c r="P353" s="202"/>
      <c r="Q353" s="202"/>
      <c r="R353" s="201"/>
      <c r="S353" s="202"/>
      <c r="T353" s="273"/>
      <c r="U353" s="202"/>
      <c r="V353" s="202"/>
      <c r="W353" s="202"/>
      <c r="X353" s="202"/>
      <c r="Y353" s="201"/>
      <c r="Z353" s="201"/>
    </row>
    <row r="354">
      <c r="A354" s="273"/>
      <c r="B354" s="276"/>
      <c r="C354" s="273"/>
      <c r="D354" s="202"/>
      <c r="E354" s="202"/>
      <c r="F354" s="202"/>
      <c r="G354" s="202"/>
      <c r="H354" s="202"/>
      <c r="I354" s="201"/>
      <c r="J354" s="202"/>
      <c r="K354" s="273"/>
      <c r="L354" s="202"/>
      <c r="M354" s="202"/>
      <c r="N354" s="202"/>
      <c r="O354" s="202"/>
      <c r="P354" s="202"/>
      <c r="Q354" s="202"/>
      <c r="R354" s="201"/>
      <c r="S354" s="202"/>
      <c r="T354" s="273"/>
      <c r="U354" s="202"/>
      <c r="V354" s="202"/>
      <c r="W354" s="202"/>
      <c r="X354" s="202"/>
      <c r="Y354" s="201"/>
      <c r="Z354" s="201"/>
    </row>
    <row r="355">
      <c r="A355" s="273"/>
      <c r="B355" s="276"/>
      <c r="C355" s="273"/>
      <c r="D355" s="202"/>
      <c r="E355" s="202"/>
      <c r="F355" s="202"/>
      <c r="G355" s="202"/>
      <c r="H355" s="202"/>
      <c r="I355" s="201"/>
      <c r="J355" s="202"/>
      <c r="K355" s="273"/>
      <c r="L355" s="202"/>
      <c r="M355" s="202"/>
      <c r="N355" s="202"/>
      <c r="O355" s="202"/>
      <c r="P355" s="202"/>
      <c r="Q355" s="202"/>
      <c r="R355" s="201"/>
      <c r="S355" s="202"/>
      <c r="T355" s="273"/>
      <c r="U355" s="202"/>
      <c r="V355" s="202"/>
      <c r="W355" s="202"/>
      <c r="X355" s="202"/>
      <c r="Y355" s="201"/>
      <c r="Z355" s="201"/>
    </row>
    <row r="356">
      <c r="A356" s="273"/>
      <c r="B356" s="276"/>
      <c r="C356" s="273"/>
      <c r="D356" s="202"/>
      <c r="E356" s="202"/>
      <c r="F356" s="202"/>
      <c r="G356" s="202"/>
      <c r="H356" s="202"/>
      <c r="I356" s="201"/>
      <c r="J356" s="202"/>
      <c r="K356" s="273"/>
      <c r="L356" s="202"/>
      <c r="M356" s="202"/>
      <c r="N356" s="202"/>
      <c r="O356" s="202"/>
      <c r="P356" s="202"/>
      <c r="Q356" s="202"/>
      <c r="R356" s="201"/>
      <c r="S356" s="202"/>
      <c r="T356" s="273"/>
      <c r="U356" s="202"/>
      <c r="V356" s="202"/>
      <c r="W356" s="202"/>
      <c r="X356" s="202"/>
      <c r="Y356" s="201"/>
      <c r="Z356" s="201"/>
    </row>
    <row r="357">
      <c r="A357" s="273"/>
      <c r="B357" s="276"/>
      <c r="C357" s="273"/>
      <c r="D357" s="202"/>
      <c r="E357" s="202"/>
      <c r="F357" s="202"/>
      <c r="G357" s="202"/>
      <c r="H357" s="202"/>
      <c r="I357" s="201"/>
      <c r="J357" s="202"/>
      <c r="K357" s="273"/>
      <c r="L357" s="202"/>
      <c r="M357" s="202"/>
      <c r="N357" s="202"/>
      <c r="O357" s="202"/>
      <c r="P357" s="202"/>
      <c r="Q357" s="202"/>
      <c r="R357" s="201"/>
      <c r="S357" s="202"/>
      <c r="T357" s="273"/>
      <c r="U357" s="202"/>
      <c r="V357" s="202"/>
      <c r="W357" s="202"/>
      <c r="X357" s="202"/>
      <c r="Y357" s="201"/>
      <c r="Z357" s="201"/>
    </row>
    <row r="358">
      <c r="A358" s="273"/>
      <c r="B358" s="276"/>
      <c r="C358" s="273"/>
      <c r="D358" s="202"/>
      <c r="E358" s="202"/>
      <c r="F358" s="202"/>
      <c r="G358" s="202"/>
      <c r="H358" s="202"/>
      <c r="I358" s="201"/>
      <c r="J358" s="202"/>
      <c r="K358" s="273"/>
      <c r="L358" s="202"/>
      <c r="M358" s="202"/>
      <c r="N358" s="202"/>
      <c r="O358" s="202"/>
      <c r="P358" s="202"/>
      <c r="Q358" s="202"/>
      <c r="R358" s="201"/>
      <c r="S358" s="202"/>
      <c r="T358" s="273"/>
      <c r="U358" s="202"/>
      <c r="V358" s="202"/>
      <c r="W358" s="202"/>
      <c r="X358" s="202"/>
      <c r="Y358" s="201"/>
      <c r="Z358" s="201"/>
    </row>
    <row r="359">
      <c r="A359" s="273"/>
      <c r="B359" s="276"/>
      <c r="C359" s="273"/>
      <c r="D359" s="202"/>
      <c r="E359" s="202"/>
      <c r="F359" s="202"/>
      <c r="G359" s="202"/>
      <c r="H359" s="202"/>
      <c r="I359" s="201"/>
      <c r="J359" s="202"/>
      <c r="K359" s="273"/>
      <c r="L359" s="202"/>
      <c r="M359" s="202"/>
      <c r="N359" s="202"/>
      <c r="O359" s="202"/>
      <c r="P359" s="202"/>
      <c r="Q359" s="202"/>
      <c r="R359" s="201"/>
      <c r="S359" s="202"/>
      <c r="T359" s="273"/>
      <c r="U359" s="202"/>
      <c r="V359" s="202"/>
      <c r="W359" s="202"/>
      <c r="X359" s="202"/>
      <c r="Y359" s="201"/>
      <c r="Z359" s="201"/>
    </row>
    <row r="360">
      <c r="A360" s="273"/>
      <c r="B360" s="276"/>
      <c r="C360" s="273"/>
      <c r="D360" s="202"/>
      <c r="E360" s="202"/>
      <c r="F360" s="202"/>
      <c r="G360" s="202"/>
      <c r="H360" s="202"/>
      <c r="I360" s="201"/>
      <c r="J360" s="202"/>
      <c r="K360" s="273"/>
      <c r="L360" s="202"/>
      <c r="M360" s="202"/>
      <c r="N360" s="202"/>
      <c r="O360" s="202"/>
      <c r="P360" s="202"/>
      <c r="Q360" s="202"/>
      <c r="R360" s="201"/>
      <c r="S360" s="202"/>
      <c r="T360" s="273"/>
      <c r="U360" s="202"/>
      <c r="V360" s="202"/>
      <c r="W360" s="202"/>
      <c r="X360" s="202"/>
      <c r="Y360" s="201"/>
      <c r="Z360" s="201"/>
    </row>
    <row r="361">
      <c r="A361" s="273"/>
      <c r="B361" s="276"/>
      <c r="C361" s="273"/>
      <c r="D361" s="202"/>
      <c r="E361" s="202"/>
      <c r="F361" s="202"/>
      <c r="G361" s="202"/>
      <c r="H361" s="202"/>
      <c r="I361" s="201"/>
      <c r="J361" s="202"/>
      <c r="K361" s="273"/>
      <c r="L361" s="202"/>
      <c r="M361" s="202"/>
      <c r="N361" s="202"/>
      <c r="O361" s="202"/>
      <c r="P361" s="202"/>
      <c r="Q361" s="202"/>
      <c r="R361" s="201"/>
      <c r="S361" s="202"/>
      <c r="T361" s="273"/>
      <c r="U361" s="202"/>
      <c r="V361" s="202"/>
      <c r="W361" s="202"/>
      <c r="X361" s="202"/>
      <c r="Y361" s="201"/>
      <c r="Z361" s="201"/>
    </row>
    <row r="362">
      <c r="A362" s="273"/>
      <c r="B362" s="276"/>
      <c r="C362" s="273"/>
      <c r="D362" s="202"/>
      <c r="E362" s="202"/>
      <c r="F362" s="202"/>
      <c r="G362" s="202"/>
      <c r="H362" s="202"/>
      <c r="I362" s="201"/>
      <c r="J362" s="202"/>
      <c r="K362" s="273"/>
      <c r="L362" s="202"/>
      <c r="M362" s="202"/>
      <c r="N362" s="202"/>
      <c r="O362" s="202"/>
      <c r="P362" s="202"/>
      <c r="Q362" s="202"/>
      <c r="R362" s="201"/>
      <c r="S362" s="202"/>
      <c r="T362" s="273"/>
      <c r="U362" s="202"/>
      <c r="V362" s="202"/>
      <c r="W362" s="202"/>
      <c r="X362" s="202"/>
      <c r="Y362" s="201"/>
      <c r="Z362" s="201"/>
    </row>
    <row r="363">
      <c r="A363" s="273"/>
      <c r="B363" s="276"/>
      <c r="C363" s="273"/>
      <c r="D363" s="202"/>
      <c r="E363" s="202"/>
      <c r="F363" s="202"/>
      <c r="G363" s="202"/>
      <c r="H363" s="202"/>
      <c r="I363" s="201"/>
      <c r="J363" s="202"/>
      <c r="K363" s="273"/>
      <c r="L363" s="202"/>
      <c r="M363" s="202"/>
      <c r="N363" s="202"/>
      <c r="O363" s="202"/>
      <c r="P363" s="202"/>
      <c r="Q363" s="202"/>
      <c r="R363" s="201"/>
      <c r="S363" s="202"/>
      <c r="T363" s="273"/>
      <c r="U363" s="202"/>
      <c r="V363" s="202"/>
      <c r="W363" s="202"/>
      <c r="X363" s="202"/>
      <c r="Y363" s="201"/>
      <c r="Z363" s="201"/>
    </row>
    <row r="364">
      <c r="A364" s="273"/>
      <c r="B364" s="276"/>
      <c r="C364" s="273"/>
      <c r="D364" s="202"/>
      <c r="E364" s="202"/>
      <c r="F364" s="202"/>
      <c r="G364" s="202"/>
      <c r="H364" s="202"/>
      <c r="I364" s="201"/>
      <c r="J364" s="202"/>
      <c r="K364" s="273"/>
      <c r="L364" s="202"/>
      <c r="M364" s="202"/>
      <c r="N364" s="202"/>
      <c r="O364" s="202"/>
      <c r="P364" s="202"/>
      <c r="Q364" s="202"/>
      <c r="R364" s="201"/>
      <c r="S364" s="202"/>
      <c r="T364" s="273"/>
      <c r="U364" s="202"/>
      <c r="V364" s="202"/>
      <c r="W364" s="202"/>
      <c r="X364" s="202"/>
      <c r="Y364" s="201"/>
      <c r="Z364" s="201"/>
    </row>
    <row r="365">
      <c r="A365" s="273"/>
      <c r="B365" s="276"/>
      <c r="C365" s="273"/>
      <c r="D365" s="202"/>
      <c r="E365" s="202"/>
      <c r="F365" s="202"/>
      <c r="G365" s="202"/>
      <c r="H365" s="202"/>
      <c r="I365" s="201"/>
      <c r="J365" s="202"/>
      <c r="K365" s="273"/>
      <c r="L365" s="202"/>
      <c r="M365" s="202"/>
      <c r="N365" s="202"/>
      <c r="O365" s="202"/>
      <c r="P365" s="202"/>
      <c r="Q365" s="202"/>
      <c r="R365" s="201"/>
      <c r="S365" s="202"/>
      <c r="T365" s="273"/>
      <c r="U365" s="202"/>
      <c r="V365" s="202"/>
      <c r="W365" s="202"/>
      <c r="X365" s="202"/>
      <c r="Y365" s="201"/>
      <c r="Z365" s="201"/>
    </row>
    <row r="366">
      <c r="A366" s="273"/>
      <c r="B366" s="276"/>
      <c r="C366" s="273"/>
      <c r="D366" s="202"/>
      <c r="E366" s="202"/>
      <c r="F366" s="202"/>
      <c r="G366" s="202"/>
      <c r="H366" s="202"/>
      <c r="I366" s="201"/>
      <c r="J366" s="202"/>
      <c r="K366" s="273"/>
      <c r="L366" s="202"/>
      <c r="M366" s="202"/>
      <c r="N366" s="202"/>
      <c r="O366" s="202"/>
      <c r="P366" s="202"/>
      <c r="Q366" s="202"/>
      <c r="R366" s="201"/>
      <c r="S366" s="202"/>
      <c r="T366" s="273"/>
      <c r="U366" s="202"/>
      <c r="V366" s="202"/>
      <c r="W366" s="202"/>
      <c r="X366" s="202"/>
      <c r="Y366" s="201"/>
      <c r="Z366" s="201"/>
    </row>
    <row r="367">
      <c r="A367" s="273"/>
      <c r="B367" s="276"/>
      <c r="C367" s="273"/>
      <c r="D367" s="202"/>
      <c r="E367" s="202"/>
      <c r="F367" s="202"/>
      <c r="G367" s="202"/>
      <c r="H367" s="202"/>
      <c r="I367" s="201"/>
      <c r="J367" s="202"/>
      <c r="K367" s="273"/>
      <c r="L367" s="202"/>
      <c r="M367" s="202"/>
      <c r="N367" s="202"/>
      <c r="O367" s="202"/>
      <c r="P367" s="202"/>
      <c r="Q367" s="202"/>
      <c r="R367" s="201"/>
      <c r="S367" s="202"/>
      <c r="T367" s="273"/>
      <c r="U367" s="202"/>
      <c r="V367" s="202"/>
      <c r="W367" s="202"/>
      <c r="X367" s="202"/>
      <c r="Y367" s="201"/>
      <c r="Z367" s="201"/>
    </row>
    <row r="368">
      <c r="A368" s="273"/>
      <c r="B368" s="276"/>
      <c r="C368" s="273"/>
      <c r="D368" s="202"/>
      <c r="E368" s="202"/>
      <c r="F368" s="202"/>
      <c r="G368" s="202"/>
      <c r="H368" s="202"/>
      <c r="I368" s="201"/>
      <c r="J368" s="202"/>
      <c r="K368" s="273"/>
      <c r="L368" s="202"/>
      <c r="M368" s="202"/>
      <c r="N368" s="202"/>
      <c r="O368" s="202"/>
      <c r="P368" s="202"/>
      <c r="Q368" s="202"/>
      <c r="R368" s="201"/>
      <c r="S368" s="202"/>
      <c r="T368" s="273"/>
      <c r="U368" s="202"/>
      <c r="V368" s="202"/>
      <c r="W368" s="202"/>
      <c r="X368" s="202"/>
      <c r="Y368" s="201"/>
      <c r="Z368" s="201"/>
    </row>
    <row r="369">
      <c r="A369" s="273"/>
      <c r="B369" s="276"/>
      <c r="C369" s="273"/>
      <c r="D369" s="202"/>
      <c r="E369" s="202"/>
      <c r="F369" s="202"/>
      <c r="G369" s="202"/>
      <c r="H369" s="202"/>
      <c r="I369" s="201"/>
      <c r="J369" s="202"/>
      <c r="K369" s="273"/>
      <c r="L369" s="202"/>
      <c r="M369" s="202"/>
      <c r="N369" s="202"/>
      <c r="O369" s="202"/>
      <c r="P369" s="202"/>
      <c r="Q369" s="202"/>
      <c r="R369" s="201"/>
      <c r="S369" s="202"/>
      <c r="T369" s="273"/>
      <c r="U369" s="202"/>
      <c r="V369" s="202"/>
      <c r="W369" s="202"/>
      <c r="X369" s="202"/>
      <c r="Y369" s="201"/>
      <c r="Z369" s="201"/>
    </row>
    <row r="370">
      <c r="A370" s="273"/>
      <c r="B370" s="276"/>
      <c r="C370" s="273"/>
      <c r="D370" s="202"/>
      <c r="E370" s="202"/>
      <c r="F370" s="202"/>
      <c r="G370" s="202"/>
      <c r="H370" s="202"/>
      <c r="I370" s="201"/>
      <c r="J370" s="202"/>
      <c r="K370" s="273"/>
      <c r="L370" s="202"/>
      <c r="M370" s="202"/>
      <c r="N370" s="202"/>
      <c r="O370" s="202"/>
      <c r="P370" s="202"/>
      <c r="Q370" s="202"/>
      <c r="R370" s="201"/>
      <c r="S370" s="202"/>
      <c r="T370" s="273"/>
      <c r="U370" s="202"/>
      <c r="V370" s="202"/>
      <c r="W370" s="202"/>
      <c r="X370" s="202"/>
      <c r="Y370" s="201"/>
      <c r="Z370" s="201"/>
    </row>
    <row r="371">
      <c r="A371" s="273"/>
      <c r="B371" s="276"/>
      <c r="C371" s="273"/>
      <c r="D371" s="202"/>
      <c r="E371" s="202"/>
      <c r="F371" s="202"/>
      <c r="G371" s="202"/>
      <c r="H371" s="202"/>
      <c r="I371" s="201"/>
      <c r="J371" s="202"/>
      <c r="K371" s="273"/>
      <c r="L371" s="202"/>
      <c r="M371" s="202"/>
      <c r="N371" s="202"/>
      <c r="O371" s="202"/>
      <c r="P371" s="202"/>
      <c r="Q371" s="202"/>
      <c r="R371" s="201"/>
      <c r="S371" s="202"/>
      <c r="T371" s="273"/>
      <c r="U371" s="202"/>
      <c r="V371" s="202"/>
      <c r="W371" s="202"/>
      <c r="X371" s="202"/>
      <c r="Y371" s="201"/>
      <c r="Z371" s="201"/>
    </row>
    <row r="372">
      <c r="A372" s="273"/>
      <c r="B372" s="276"/>
      <c r="C372" s="273"/>
      <c r="D372" s="202"/>
      <c r="E372" s="202"/>
      <c r="F372" s="202"/>
      <c r="G372" s="202"/>
      <c r="H372" s="202"/>
      <c r="I372" s="201"/>
      <c r="J372" s="202"/>
      <c r="K372" s="273"/>
      <c r="L372" s="202"/>
      <c r="M372" s="202"/>
      <c r="N372" s="202"/>
      <c r="O372" s="202"/>
      <c r="P372" s="202"/>
      <c r="Q372" s="202"/>
      <c r="R372" s="201"/>
      <c r="S372" s="202"/>
      <c r="T372" s="273"/>
      <c r="U372" s="202"/>
      <c r="V372" s="202"/>
      <c r="W372" s="202"/>
      <c r="X372" s="202"/>
      <c r="Y372" s="201"/>
      <c r="Z372" s="201"/>
    </row>
    <row r="373">
      <c r="A373" s="273"/>
      <c r="B373" s="276"/>
      <c r="C373" s="273"/>
      <c r="D373" s="202"/>
      <c r="E373" s="202"/>
      <c r="F373" s="202"/>
      <c r="G373" s="202"/>
      <c r="H373" s="202"/>
      <c r="I373" s="201"/>
      <c r="J373" s="202"/>
      <c r="K373" s="273"/>
      <c r="L373" s="202"/>
      <c r="M373" s="202"/>
      <c r="N373" s="202"/>
      <c r="O373" s="202"/>
      <c r="P373" s="202"/>
      <c r="Q373" s="202"/>
      <c r="R373" s="201"/>
      <c r="S373" s="202"/>
      <c r="T373" s="273"/>
      <c r="U373" s="202"/>
      <c r="V373" s="202"/>
      <c r="W373" s="202"/>
      <c r="X373" s="202"/>
      <c r="Y373" s="201"/>
      <c r="Z373" s="201"/>
    </row>
    <row r="374">
      <c r="A374" s="273"/>
      <c r="B374" s="276"/>
      <c r="C374" s="273"/>
      <c r="D374" s="202"/>
      <c r="E374" s="202"/>
      <c r="F374" s="202"/>
      <c r="G374" s="202"/>
      <c r="H374" s="202"/>
      <c r="I374" s="201"/>
      <c r="J374" s="202"/>
      <c r="K374" s="273"/>
      <c r="L374" s="202"/>
      <c r="M374" s="202"/>
      <c r="N374" s="202"/>
      <c r="O374" s="202"/>
      <c r="P374" s="202"/>
      <c r="Q374" s="202"/>
      <c r="R374" s="201"/>
      <c r="S374" s="202"/>
      <c r="T374" s="273"/>
      <c r="U374" s="202"/>
      <c r="V374" s="202"/>
      <c r="W374" s="202"/>
      <c r="X374" s="202"/>
      <c r="Y374" s="201"/>
      <c r="Z374" s="201"/>
    </row>
    <row r="375">
      <c r="A375" s="273"/>
      <c r="B375" s="276"/>
      <c r="C375" s="273"/>
      <c r="D375" s="202"/>
      <c r="E375" s="202"/>
      <c r="F375" s="202"/>
      <c r="G375" s="202"/>
      <c r="H375" s="202"/>
      <c r="I375" s="201"/>
      <c r="J375" s="202"/>
      <c r="K375" s="273"/>
      <c r="L375" s="202"/>
      <c r="M375" s="202"/>
      <c r="N375" s="202"/>
      <c r="O375" s="202"/>
      <c r="P375" s="202"/>
      <c r="Q375" s="202"/>
      <c r="R375" s="201"/>
      <c r="S375" s="202"/>
      <c r="T375" s="273"/>
      <c r="U375" s="202"/>
      <c r="V375" s="202"/>
      <c r="W375" s="202"/>
      <c r="X375" s="202"/>
      <c r="Y375" s="201"/>
      <c r="Z375" s="201"/>
    </row>
    <row r="376">
      <c r="A376" s="273"/>
      <c r="B376" s="276"/>
      <c r="C376" s="273"/>
      <c r="D376" s="202"/>
      <c r="E376" s="202"/>
      <c r="F376" s="202"/>
      <c r="G376" s="202"/>
      <c r="H376" s="202"/>
      <c r="I376" s="201"/>
      <c r="J376" s="202"/>
      <c r="K376" s="273"/>
      <c r="L376" s="202"/>
      <c r="M376" s="202"/>
      <c r="N376" s="202"/>
      <c r="O376" s="202"/>
      <c r="P376" s="202"/>
      <c r="Q376" s="202"/>
      <c r="R376" s="201"/>
      <c r="S376" s="202"/>
      <c r="T376" s="273"/>
      <c r="U376" s="202"/>
      <c r="V376" s="202"/>
      <c r="W376" s="202"/>
      <c r="X376" s="202"/>
      <c r="Y376" s="201"/>
      <c r="Z376" s="201"/>
    </row>
    <row r="377">
      <c r="A377" s="273"/>
      <c r="B377" s="276"/>
      <c r="C377" s="273"/>
      <c r="D377" s="202"/>
      <c r="E377" s="202"/>
      <c r="F377" s="202"/>
      <c r="G377" s="202"/>
      <c r="H377" s="202"/>
      <c r="I377" s="201"/>
      <c r="J377" s="202"/>
      <c r="K377" s="273"/>
      <c r="L377" s="202"/>
      <c r="M377" s="202"/>
      <c r="N377" s="202"/>
      <c r="O377" s="202"/>
      <c r="P377" s="202"/>
      <c r="Q377" s="202"/>
      <c r="R377" s="201"/>
      <c r="S377" s="202"/>
      <c r="T377" s="273"/>
      <c r="U377" s="202"/>
      <c r="V377" s="202"/>
      <c r="W377" s="202"/>
      <c r="X377" s="202"/>
      <c r="Y377" s="201"/>
      <c r="Z377" s="201"/>
    </row>
    <row r="378">
      <c r="A378" s="273"/>
      <c r="B378" s="276"/>
      <c r="C378" s="273"/>
      <c r="D378" s="202"/>
      <c r="E378" s="202"/>
      <c r="F378" s="202"/>
      <c r="G378" s="202"/>
      <c r="H378" s="202"/>
      <c r="I378" s="201"/>
      <c r="J378" s="202"/>
      <c r="K378" s="273"/>
      <c r="L378" s="202"/>
      <c r="M378" s="202"/>
      <c r="N378" s="202"/>
      <c r="O378" s="202"/>
      <c r="P378" s="202"/>
      <c r="Q378" s="202"/>
      <c r="R378" s="201"/>
      <c r="S378" s="202"/>
      <c r="T378" s="273"/>
      <c r="U378" s="202"/>
      <c r="V378" s="202"/>
      <c r="W378" s="202"/>
      <c r="X378" s="202"/>
      <c r="Y378" s="201"/>
      <c r="Z378" s="201"/>
    </row>
    <row r="379">
      <c r="A379" s="273"/>
      <c r="B379" s="276"/>
      <c r="C379" s="273"/>
      <c r="D379" s="202"/>
      <c r="E379" s="202"/>
      <c r="F379" s="202"/>
      <c r="G379" s="202"/>
      <c r="H379" s="202"/>
      <c r="I379" s="201"/>
      <c r="J379" s="202"/>
      <c r="K379" s="273"/>
      <c r="L379" s="202"/>
      <c r="M379" s="202"/>
      <c r="N379" s="202"/>
      <c r="O379" s="202"/>
      <c r="P379" s="202"/>
      <c r="Q379" s="202"/>
      <c r="R379" s="201"/>
      <c r="S379" s="202"/>
      <c r="T379" s="273"/>
      <c r="U379" s="202"/>
      <c r="V379" s="202"/>
      <c r="W379" s="202"/>
      <c r="X379" s="202"/>
      <c r="Y379" s="201"/>
      <c r="Z379" s="201"/>
    </row>
    <row r="380">
      <c r="A380" s="273"/>
      <c r="B380" s="276"/>
      <c r="C380" s="273"/>
      <c r="D380" s="202"/>
      <c r="E380" s="202"/>
      <c r="F380" s="202"/>
      <c r="G380" s="202"/>
      <c r="H380" s="202"/>
      <c r="I380" s="201"/>
      <c r="J380" s="202"/>
      <c r="K380" s="273"/>
      <c r="L380" s="202"/>
      <c r="M380" s="202"/>
      <c r="N380" s="202"/>
      <c r="O380" s="202"/>
      <c r="P380" s="202"/>
      <c r="Q380" s="202"/>
      <c r="R380" s="201"/>
      <c r="S380" s="202"/>
      <c r="T380" s="273"/>
      <c r="U380" s="202"/>
      <c r="V380" s="202"/>
      <c r="W380" s="202"/>
      <c r="X380" s="202"/>
      <c r="Y380" s="201"/>
      <c r="Z380" s="201"/>
    </row>
    <row r="381">
      <c r="A381" s="273"/>
      <c r="B381" s="276"/>
      <c r="C381" s="273"/>
      <c r="D381" s="202"/>
      <c r="E381" s="202"/>
      <c r="F381" s="202"/>
      <c r="G381" s="202"/>
      <c r="H381" s="202"/>
      <c r="I381" s="201"/>
      <c r="J381" s="202"/>
      <c r="K381" s="273"/>
      <c r="L381" s="202"/>
      <c r="M381" s="202"/>
      <c r="N381" s="202"/>
      <c r="O381" s="202"/>
      <c r="P381" s="202"/>
      <c r="Q381" s="202"/>
      <c r="R381" s="201"/>
      <c r="S381" s="202"/>
      <c r="T381" s="273"/>
      <c r="U381" s="202"/>
      <c r="V381" s="202"/>
      <c r="W381" s="202"/>
      <c r="X381" s="202"/>
      <c r="Y381" s="201"/>
      <c r="Z381" s="201"/>
    </row>
    <row r="382">
      <c r="A382" s="273"/>
      <c r="B382" s="276"/>
      <c r="C382" s="273"/>
      <c r="D382" s="202"/>
      <c r="E382" s="202"/>
      <c r="F382" s="202"/>
      <c r="G382" s="202"/>
      <c r="H382" s="202"/>
      <c r="I382" s="201"/>
      <c r="J382" s="202"/>
      <c r="K382" s="273"/>
      <c r="L382" s="202"/>
      <c r="M382" s="202"/>
      <c r="N382" s="202"/>
      <c r="O382" s="202"/>
      <c r="P382" s="202"/>
      <c r="Q382" s="202"/>
      <c r="R382" s="201"/>
      <c r="S382" s="202"/>
      <c r="T382" s="273"/>
      <c r="U382" s="202"/>
      <c r="V382" s="202"/>
      <c r="W382" s="202"/>
      <c r="X382" s="202"/>
      <c r="Y382" s="201"/>
      <c r="Z382" s="201"/>
    </row>
    <row r="383">
      <c r="A383" s="273"/>
      <c r="B383" s="276"/>
      <c r="C383" s="273"/>
      <c r="D383" s="202"/>
      <c r="E383" s="202"/>
      <c r="F383" s="202"/>
      <c r="G383" s="202"/>
      <c r="H383" s="202"/>
      <c r="I383" s="201"/>
      <c r="J383" s="202"/>
      <c r="K383" s="273"/>
      <c r="L383" s="202"/>
      <c r="M383" s="202"/>
      <c r="N383" s="202"/>
      <c r="O383" s="202"/>
      <c r="P383" s="202"/>
      <c r="Q383" s="202"/>
      <c r="R383" s="201"/>
      <c r="S383" s="202"/>
      <c r="T383" s="273"/>
      <c r="U383" s="202"/>
      <c r="V383" s="202"/>
      <c r="W383" s="202"/>
      <c r="X383" s="202"/>
      <c r="Y383" s="201"/>
      <c r="Z383" s="201"/>
    </row>
    <row r="384">
      <c r="A384" s="273"/>
      <c r="B384" s="276"/>
      <c r="C384" s="273"/>
      <c r="D384" s="202"/>
      <c r="E384" s="202"/>
      <c r="F384" s="202"/>
      <c r="G384" s="202"/>
      <c r="H384" s="202"/>
      <c r="I384" s="201"/>
      <c r="J384" s="202"/>
      <c r="K384" s="273"/>
      <c r="L384" s="202"/>
      <c r="M384" s="202"/>
      <c r="N384" s="202"/>
      <c r="O384" s="202"/>
      <c r="P384" s="202"/>
      <c r="Q384" s="202"/>
      <c r="R384" s="201"/>
      <c r="S384" s="202"/>
      <c r="T384" s="273"/>
      <c r="U384" s="202"/>
      <c r="V384" s="202"/>
      <c r="W384" s="202"/>
      <c r="X384" s="202"/>
      <c r="Y384" s="201"/>
      <c r="Z384" s="201"/>
    </row>
    <row r="385">
      <c r="A385" s="273"/>
      <c r="B385" s="276"/>
      <c r="C385" s="273"/>
      <c r="D385" s="202"/>
      <c r="E385" s="202"/>
      <c r="F385" s="202"/>
      <c r="G385" s="202"/>
      <c r="H385" s="202"/>
      <c r="I385" s="201"/>
      <c r="J385" s="202"/>
      <c r="K385" s="273"/>
      <c r="L385" s="202"/>
      <c r="M385" s="202"/>
      <c r="N385" s="202"/>
      <c r="O385" s="202"/>
      <c r="P385" s="202"/>
      <c r="Q385" s="202"/>
      <c r="R385" s="201"/>
      <c r="S385" s="202"/>
      <c r="T385" s="273"/>
      <c r="U385" s="202"/>
      <c r="V385" s="202"/>
      <c r="W385" s="202"/>
      <c r="X385" s="202"/>
      <c r="Y385" s="201"/>
      <c r="Z385" s="201"/>
    </row>
    <row r="386">
      <c r="A386" s="273"/>
      <c r="B386" s="276"/>
      <c r="C386" s="273"/>
      <c r="D386" s="202"/>
      <c r="E386" s="202"/>
      <c r="F386" s="202"/>
      <c r="G386" s="202"/>
      <c r="H386" s="202"/>
      <c r="I386" s="201"/>
      <c r="J386" s="202"/>
      <c r="K386" s="273"/>
      <c r="L386" s="202"/>
      <c r="M386" s="202"/>
      <c r="N386" s="202"/>
      <c r="O386" s="202"/>
      <c r="P386" s="202"/>
      <c r="Q386" s="202"/>
      <c r="R386" s="201"/>
      <c r="S386" s="202"/>
      <c r="T386" s="273"/>
      <c r="U386" s="202"/>
      <c r="V386" s="202"/>
      <c r="W386" s="202"/>
      <c r="X386" s="202"/>
      <c r="Y386" s="201"/>
      <c r="Z386" s="201"/>
    </row>
    <row r="387">
      <c r="A387" s="273"/>
      <c r="B387" s="276"/>
      <c r="C387" s="273"/>
      <c r="D387" s="202"/>
      <c r="E387" s="202"/>
      <c r="F387" s="202"/>
      <c r="G387" s="202"/>
      <c r="H387" s="202"/>
      <c r="I387" s="201"/>
      <c r="J387" s="202"/>
      <c r="K387" s="273"/>
      <c r="L387" s="202"/>
      <c r="M387" s="202"/>
      <c r="N387" s="202"/>
      <c r="O387" s="202"/>
      <c r="P387" s="202"/>
      <c r="Q387" s="202"/>
      <c r="R387" s="201"/>
      <c r="S387" s="202"/>
      <c r="T387" s="273"/>
      <c r="U387" s="202"/>
      <c r="V387" s="202"/>
      <c r="W387" s="202"/>
      <c r="X387" s="202"/>
      <c r="Y387" s="201"/>
      <c r="Z387" s="201"/>
    </row>
    <row r="388">
      <c r="A388" s="273"/>
      <c r="B388" s="276"/>
      <c r="C388" s="273"/>
      <c r="D388" s="202"/>
      <c r="E388" s="202"/>
      <c r="F388" s="202"/>
      <c r="G388" s="202"/>
      <c r="H388" s="202"/>
      <c r="I388" s="201"/>
      <c r="J388" s="202"/>
      <c r="K388" s="273"/>
      <c r="L388" s="202"/>
      <c r="M388" s="202"/>
      <c r="N388" s="202"/>
      <c r="O388" s="202"/>
      <c r="P388" s="202"/>
      <c r="Q388" s="202"/>
      <c r="R388" s="201"/>
      <c r="S388" s="202"/>
      <c r="T388" s="273"/>
      <c r="U388" s="202"/>
      <c r="V388" s="202"/>
      <c r="W388" s="202"/>
      <c r="X388" s="202"/>
      <c r="Y388" s="201"/>
      <c r="Z388" s="201"/>
    </row>
    <row r="389">
      <c r="A389" s="273"/>
      <c r="B389" s="276"/>
      <c r="C389" s="273"/>
      <c r="D389" s="202"/>
      <c r="E389" s="202"/>
      <c r="F389" s="202"/>
      <c r="G389" s="202"/>
      <c r="H389" s="202"/>
      <c r="I389" s="201"/>
      <c r="J389" s="202"/>
      <c r="K389" s="273"/>
      <c r="L389" s="202"/>
      <c r="M389" s="202"/>
      <c r="N389" s="202"/>
      <c r="O389" s="202"/>
      <c r="P389" s="202"/>
      <c r="Q389" s="202"/>
      <c r="R389" s="201"/>
      <c r="S389" s="202"/>
      <c r="T389" s="273"/>
      <c r="U389" s="202"/>
      <c r="V389" s="202"/>
      <c r="W389" s="202"/>
      <c r="X389" s="202"/>
      <c r="Y389" s="201"/>
      <c r="Z389" s="201"/>
    </row>
    <row r="390">
      <c r="A390" s="273"/>
      <c r="B390" s="276"/>
      <c r="C390" s="273"/>
      <c r="D390" s="202"/>
      <c r="E390" s="202"/>
      <c r="F390" s="202"/>
      <c r="G390" s="202"/>
      <c r="H390" s="202"/>
      <c r="I390" s="201"/>
      <c r="J390" s="202"/>
      <c r="K390" s="273"/>
      <c r="L390" s="202"/>
      <c r="M390" s="202"/>
      <c r="N390" s="202"/>
      <c r="O390" s="202"/>
      <c r="P390" s="202"/>
      <c r="Q390" s="202"/>
      <c r="R390" s="201"/>
      <c r="S390" s="202"/>
      <c r="T390" s="273"/>
      <c r="U390" s="202"/>
      <c r="V390" s="202"/>
      <c r="W390" s="202"/>
      <c r="X390" s="202"/>
      <c r="Y390" s="201"/>
      <c r="Z390" s="201"/>
    </row>
    <row r="391">
      <c r="A391" s="273"/>
      <c r="B391" s="276"/>
      <c r="C391" s="273"/>
      <c r="D391" s="202"/>
      <c r="E391" s="202"/>
      <c r="F391" s="202"/>
      <c r="G391" s="202"/>
      <c r="H391" s="202"/>
      <c r="I391" s="201"/>
      <c r="J391" s="202"/>
      <c r="K391" s="273"/>
      <c r="L391" s="202"/>
      <c r="M391" s="202"/>
      <c r="N391" s="202"/>
      <c r="O391" s="202"/>
      <c r="P391" s="202"/>
      <c r="Q391" s="202"/>
      <c r="R391" s="201"/>
      <c r="S391" s="202"/>
      <c r="T391" s="273"/>
      <c r="U391" s="202"/>
      <c r="V391" s="202"/>
      <c r="W391" s="202"/>
      <c r="X391" s="202"/>
      <c r="Y391" s="201"/>
      <c r="Z391" s="201"/>
    </row>
    <row r="392">
      <c r="A392" s="273"/>
      <c r="B392" s="276"/>
      <c r="C392" s="273"/>
      <c r="D392" s="202"/>
      <c r="E392" s="202"/>
      <c r="F392" s="202"/>
      <c r="G392" s="202"/>
      <c r="H392" s="202"/>
      <c r="I392" s="201"/>
      <c r="J392" s="202"/>
      <c r="K392" s="273"/>
      <c r="L392" s="202"/>
      <c r="M392" s="202"/>
      <c r="N392" s="202"/>
      <c r="O392" s="202"/>
      <c r="P392" s="202"/>
      <c r="Q392" s="202"/>
      <c r="R392" s="201"/>
      <c r="S392" s="202"/>
      <c r="T392" s="273"/>
      <c r="U392" s="202"/>
      <c r="V392" s="202"/>
      <c r="W392" s="202"/>
      <c r="X392" s="202"/>
      <c r="Y392" s="201"/>
      <c r="Z392" s="201"/>
    </row>
    <row r="393">
      <c r="A393" s="273"/>
      <c r="B393" s="276"/>
      <c r="C393" s="273"/>
      <c r="D393" s="202"/>
      <c r="E393" s="202"/>
      <c r="F393" s="202"/>
      <c r="G393" s="202"/>
      <c r="H393" s="202"/>
      <c r="I393" s="201"/>
      <c r="J393" s="202"/>
      <c r="K393" s="273"/>
      <c r="L393" s="202"/>
      <c r="M393" s="202"/>
      <c r="N393" s="202"/>
      <c r="O393" s="202"/>
      <c r="P393" s="202"/>
      <c r="Q393" s="202"/>
      <c r="R393" s="201"/>
      <c r="S393" s="202"/>
      <c r="T393" s="273"/>
      <c r="U393" s="202"/>
      <c r="V393" s="202"/>
      <c r="W393" s="202"/>
      <c r="X393" s="202"/>
      <c r="Y393" s="201"/>
      <c r="Z393" s="201"/>
    </row>
    <row r="394">
      <c r="A394" s="273"/>
      <c r="B394" s="276"/>
      <c r="C394" s="273"/>
      <c r="D394" s="202"/>
      <c r="E394" s="202"/>
      <c r="F394" s="202"/>
      <c r="G394" s="202"/>
      <c r="H394" s="202"/>
      <c r="I394" s="201"/>
      <c r="J394" s="202"/>
      <c r="K394" s="273"/>
      <c r="L394" s="202"/>
      <c r="M394" s="202"/>
      <c r="N394" s="202"/>
      <c r="O394" s="202"/>
      <c r="P394" s="202"/>
      <c r="Q394" s="202"/>
      <c r="R394" s="201"/>
      <c r="S394" s="202"/>
      <c r="T394" s="273"/>
      <c r="U394" s="202"/>
      <c r="V394" s="202"/>
      <c r="W394" s="202"/>
      <c r="X394" s="202"/>
      <c r="Y394" s="201"/>
      <c r="Z394" s="201"/>
    </row>
    <row r="395">
      <c r="A395" s="273"/>
      <c r="B395" s="276"/>
      <c r="C395" s="273"/>
      <c r="D395" s="202"/>
      <c r="E395" s="202"/>
      <c r="F395" s="202"/>
      <c r="G395" s="202"/>
      <c r="H395" s="202"/>
      <c r="I395" s="201"/>
      <c r="J395" s="202"/>
      <c r="K395" s="273"/>
      <c r="L395" s="202"/>
      <c r="M395" s="202"/>
      <c r="N395" s="202"/>
      <c r="O395" s="202"/>
      <c r="P395" s="202"/>
      <c r="Q395" s="202"/>
      <c r="R395" s="201"/>
      <c r="S395" s="202"/>
      <c r="T395" s="273"/>
      <c r="U395" s="202"/>
      <c r="V395" s="202"/>
      <c r="W395" s="202"/>
      <c r="X395" s="202"/>
      <c r="Y395" s="201"/>
      <c r="Z395" s="201"/>
    </row>
    <row r="396">
      <c r="A396" s="273"/>
      <c r="B396" s="276"/>
      <c r="C396" s="273"/>
      <c r="D396" s="202"/>
      <c r="E396" s="202"/>
      <c r="F396" s="202"/>
      <c r="G396" s="202"/>
      <c r="H396" s="202"/>
      <c r="I396" s="201"/>
      <c r="J396" s="202"/>
      <c r="K396" s="273"/>
      <c r="L396" s="202"/>
      <c r="M396" s="202"/>
      <c r="N396" s="202"/>
      <c r="O396" s="202"/>
      <c r="P396" s="202"/>
      <c r="Q396" s="202"/>
      <c r="R396" s="201"/>
      <c r="S396" s="202"/>
      <c r="T396" s="273"/>
      <c r="U396" s="202"/>
      <c r="V396" s="202"/>
      <c r="W396" s="202"/>
      <c r="X396" s="202"/>
      <c r="Y396" s="201"/>
      <c r="Z396" s="201"/>
    </row>
    <row r="397">
      <c r="A397" s="273"/>
      <c r="B397" s="276"/>
      <c r="C397" s="273"/>
      <c r="D397" s="202"/>
      <c r="E397" s="202"/>
      <c r="F397" s="202"/>
      <c r="G397" s="202"/>
      <c r="H397" s="202"/>
      <c r="I397" s="201"/>
      <c r="J397" s="202"/>
      <c r="K397" s="273"/>
      <c r="L397" s="202"/>
      <c r="M397" s="202"/>
      <c r="N397" s="202"/>
      <c r="O397" s="202"/>
      <c r="P397" s="202"/>
      <c r="Q397" s="202"/>
      <c r="R397" s="201"/>
      <c r="S397" s="202"/>
      <c r="T397" s="273"/>
      <c r="U397" s="202"/>
      <c r="V397" s="202"/>
      <c r="W397" s="202"/>
      <c r="X397" s="202"/>
      <c r="Y397" s="201"/>
      <c r="Z397" s="201"/>
    </row>
    <row r="398">
      <c r="A398" s="273"/>
      <c r="B398" s="276"/>
      <c r="C398" s="273"/>
      <c r="D398" s="202"/>
      <c r="E398" s="202"/>
      <c r="F398" s="202"/>
      <c r="G398" s="202"/>
      <c r="H398" s="202"/>
      <c r="I398" s="201"/>
      <c r="J398" s="202"/>
      <c r="K398" s="273"/>
      <c r="L398" s="202"/>
      <c r="M398" s="202"/>
      <c r="N398" s="202"/>
      <c r="O398" s="202"/>
      <c r="P398" s="202"/>
      <c r="Q398" s="202"/>
      <c r="R398" s="201"/>
      <c r="S398" s="202"/>
      <c r="T398" s="273"/>
      <c r="U398" s="202"/>
      <c r="V398" s="202"/>
      <c r="W398" s="202"/>
      <c r="X398" s="202"/>
      <c r="Y398" s="201"/>
      <c r="Z398" s="201"/>
    </row>
    <row r="399">
      <c r="A399" s="273"/>
      <c r="B399" s="276"/>
      <c r="C399" s="273"/>
      <c r="D399" s="202"/>
      <c r="E399" s="202"/>
      <c r="F399" s="202"/>
      <c r="G399" s="202"/>
      <c r="H399" s="202"/>
      <c r="I399" s="201"/>
      <c r="J399" s="202"/>
      <c r="K399" s="273"/>
      <c r="L399" s="202"/>
      <c r="M399" s="202"/>
      <c r="N399" s="202"/>
      <c r="O399" s="202"/>
      <c r="P399" s="202"/>
      <c r="Q399" s="202"/>
      <c r="R399" s="201"/>
      <c r="S399" s="202"/>
      <c r="T399" s="273"/>
      <c r="U399" s="202"/>
      <c r="V399" s="202"/>
      <c r="W399" s="202"/>
      <c r="X399" s="202"/>
      <c r="Y399" s="201"/>
      <c r="Z399" s="201"/>
    </row>
    <row r="400">
      <c r="A400" s="273"/>
      <c r="B400" s="276"/>
      <c r="C400" s="273"/>
      <c r="D400" s="202"/>
      <c r="E400" s="202"/>
      <c r="F400" s="202"/>
      <c r="G400" s="202"/>
      <c r="H400" s="202"/>
      <c r="I400" s="201"/>
      <c r="J400" s="202"/>
      <c r="K400" s="273"/>
      <c r="L400" s="202"/>
      <c r="M400" s="202"/>
      <c r="N400" s="202"/>
      <c r="O400" s="202"/>
      <c r="P400" s="202"/>
      <c r="Q400" s="202"/>
      <c r="R400" s="201"/>
      <c r="S400" s="202"/>
      <c r="T400" s="273"/>
      <c r="U400" s="202"/>
      <c r="V400" s="202"/>
      <c r="W400" s="202"/>
      <c r="X400" s="202"/>
      <c r="Y400" s="201"/>
      <c r="Z400" s="201"/>
    </row>
    <row r="401">
      <c r="A401" s="273"/>
      <c r="B401" s="276"/>
      <c r="C401" s="273"/>
      <c r="D401" s="202"/>
      <c r="E401" s="202"/>
      <c r="F401" s="202"/>
      <c r="G401" s="202"/>
      <c r="H401" s="202"/>
      <c r="I401" s="201"/>
      <c r="J401" s="202"/>
      <c r="K401" s="273"/>
      <c r="L401" s="202"/>
      <c r="M401" s="202"/>
      <c r="N401" s="202"/>
      <c r="O401" s="202"/>
      <c r="P401" s="202"/>
      <c r="Q401" s="202"/>
      <c r="R401" s="201"/>
      <c r="S401" s="202"/>
      <c r="T401" s="273"/>
      <c r="U401" s="202"/>
      <c r="V401" s="202"/>
      <c r="W401" s="202"/>
      <c r="X401" s="202"/>
      <c r="Y401" s="201"/>
      <c r="Z401" s="201"/>
    </row>
    <row r="402">
      <c r="A402" s="273"/>
      <c r="B402" s="276"/>
      <c r="C402" s="273"/>
      <c r="D402" s="202"/>
      <c r="E402" s="202"/>
      <c r="F402" s="202"/>
      <c r="G402" s="202"/>
      <c r="H402" s="202"/>
      <c r="I402" s="201"/>
      <c r="J402" s="202"/>
      <c r="K402" s="273"/>
      <c r="L402" s="202"/>
      <c r="M402" s="202"/>
      <c r="N402" s="202"/>
      <c r="O402" s="202"/>
      <c r="P402" s="202"/>
      <c r="Q402" s="202"/>
      <c r="R402" s="201"/>
      <c r="S402" s="202"/>
      <c r="T402" s="273"/>
      <c r="U402" s="202"/>
      <c r="V402" s="202"/>
      <c r="W402" s="202"/>
      <c r="X402" s="202"/>
      <c r="Y402" s="201"/>
      <c r="Z402" s="201"/>
    </row>
    <row r="403">
      <c r="A403" s="273"/>
      <c r="B403" s="276"/>
      <c r="C403" s="273"/>
      <c r="D403" s="202"/>
      <c r="E403" s="202"/>
      <c r="F403" s="202"/>
      <c r="G403" s="202"/>
      <c r="H403" s="202"/>
      <c r="I403" s="201"/>
      <c r="J403" s="202"/>
      <c r="K403" s="273"/>
      <c r="L403" s="202"/>
      <c r="M403" s="202"/>
      <c r="N403" s="202"/>
      <c r="O403" s="202"/>
      <c r="P403" s="202"/>
      <c r="Q403" s="202"/>
      <c r="R403" s="201"/>
      <c r="S403" s="202"/>
      <c r="T403" s="273"/>
      <c r="U403" s="202"/>
      <c r="V403" s="202"/>
      <c r="W403" s="202"/>
      <c r="X403" s="202"/>
      <c r="Y403" s="201"/>
      <c r="Z403" s="201"/>
    </row>
    <row r="404">
      <c r="A404" s="273"/>
      <c r="B404" s="276"/>
      <c r="C404" s="273"/>
      <c r="D404" s="202"/>
      <c r="E404" s="202"/>
      <c r="F404" s="202"/>
      <c r="G404" s="202"/>
      <c r="H404" s="202"/>
      <c r="I404" s="201"/>
      <c r="J404" s="202"/>
      <c r="K404" s="273"/>
      <c r="L404" s="202"/>
      <c r="M404" s="202"/>
      <c r="N404" s="202"/>
      <c r="O404" s="202"/>
      <c r="P404" s="202"/>
      <c r="Q404" s="202"/>
      <c r="R404" s="201"/>
      <c r="S404" s="202"/>
      <c r="T404" s="273"/>
      <c r="U404" s="202"/>
      <c r="V404" s="202"/>
      <c r="W404" s="202"/>
      <c r="X404" s="202"/>
      <c r="Y404" s="201"/>
      <c r="Z404" s="201"/>
    </row>
    <row r="405">
      <c r="A405" s="273"/>
      <c r="B405" s="276"/>
      <c r="C405" s="273"/>
      <c r="D405" s="202"/>
      <c r="E405" s="202"/>
      <c r="F405" s="202"/>
      <c r="G405" s="202"/>
      <c r="H405" s="202"/>
      <c r="I405" s="201"/>
      <c r="J405" s="202"/>
      <c r="K405" s="273"/>
      <c r="L405" s="202"/>
      <c r="M405" s="202"/>
      <c r="N405" s="202"/>
      <c r="O405" s="202"/>
      <c r="P405" s="202"/>
      <c r="Q405" s="202"/>
      <c r="R405" s="201"/>
      <c r="S405" s="202"/>
      <c r="T405" s="273"/>
      <c r="U405" s="202"/>
      <c r="V405" s="202"/>
      <c r="W405" s="202"/>
      <c r="X405" s="202"/>
      <c r="Y405" s="201"/>
      <c r="Z405" s="201"/>
    </row>
    <row r="406">
      <c r="A406" s="273"/>
      <c r="B406" s="276"/>
      <c r="C406" s="273"/>
      <c r="D406" s="202"/>
      <c r="E406" s="202"/>
      <c r="F406" s="202"/>
      <c r="G406" s="202"/>
      <c r="H406" s="202"/>
      <c r="I406" s="201"/>
      <c r="J406" s="202"/>
      <c r="K406" s="273"/>
      <c r="L406" s="202"/>
      <c r="M406" s="202"/>
      <c r="N406" s="202"/>
      <c r="O406" s="202"/>
      <c r="P406" s="202"/>
      <c r="Q406" s="202"/>
      <c r="R406" s="201"/>
      <c r="S406" s="202"/>
      <c r="T406" s="273"/>
      <c r="U406" s="202"/>
      <c r="V406" s="202"/>
      <c r="W406" s="202"/>
      <c r="X406" s="202"/>
      <c r="Y406" s="201"/>
      <c r="Z406" s="201"/>
    </row>
    <row r="407">
      <c r="A407" s="273"/>
      <c r="B407" s="276"/>
      <c r="C407" s="273"/>
      <c r="D407" s="202"/>
      <c r="E407" s="202"/>
      <c r="F407" s="202"/>
      <c r="G407" s="202"/>
      <c r="H407" s="202"/>
      <c r="I407" s="201"/>
      <c r="J407" s="202"/>
      <c r="K407" s="273"/>
      <c r="L407" s="202"/>
      <c r="M407" s="202"/>
      <c r="N407" s="202"/>
      <c r="O407" s="202"/>
      <c r="P407" s="202"/>
      <c r="Q407" s="202"/>
      <c r="R407" s="201"/>
      <c r="S407" s="202"/>
      <c r="T407" s="273"/>
      <c r="U407" s="202"/>
      <c r="V407" s="202"/>
      <c r="W407" s="202"/>
      <c r="X407" s="202"/>
      <c r="Y407" s="201"/>
      <c r="Z407" s="201"/>
    </row>
    <row r="408">
      <c r="A408" s="273"/>
      <c r="B408" s="276"/>
      <c r="C408" s="273"/>
      <c r="D408" s="202"/>
      <c r="E408" s="202"/>
      <c r="F408" s="202"/>
      <c r="G408" s="202"/>
      <c r="H408" s="202"/>
      <c r="I408" s="201"/>
      <c r="J408" s="202"/>
      <c r="K408" s="273"/>
      <c r="L408" s="202"/>
      <c r="M408" s="202"/>
      <c r="N408" s="202"/>
      <c r="O408" s="202"/>
      <c r="P408" s="202"/>
      <c r="Q408" s="202"/>
      <c r="R408" s="201"/>
      <c r="S408" s="202"/>
      <c r="T408" s="273"/>
      <c r="U408" s="202"/>
      <c r="V408" s="202"/>
      <c r="W408" s="202"/>
      <c r="X408" s="202"/>
      <c r="Y408" s="201"/>
      <c r="Z408" s="201"/>
    </row>
    <row r="409">
      <c r="A409" s="273"/>
      <c r="B409" s="276"/>
      <c r="C409" s="273"/>
      <c r="D409" s="202"/>
      <c r="E409" s="202"/>
      <c r="F409" s="202"/>
      <c r="G409" s="202"/>
      <c r="H409" s="202"/>
      <c r="I409" s="201"/>
      <c r="J409" s="202"/>
      <c r="K409" s="273"/>
      <c r="L409" s="202"/>
      <c r="M409" s="202"/>
      <c r="N409" s="202"/>
      <c r="O409" s="202"/>
      <c r="P409" s="202"/>
      <c r="Q409" s="202"/>
      <c r="R409" s="201"/>
      <c r="S409" s="202"/>
      <c r="T409" s="273"/>
      <c r="U409" s="202"/>
      <c r="V409" s="202"/>
      <c r="W409" s="202"/>
      <c r="X409" s="202"/>
      <c r="Y409" s="201"/>
      <c r="Z409" s="201"/>
    </row>
    <row r="410">
      <c r="A410" s="273"/>
      <c r="B410" s="276"/>
      <c r="C410" s="273"/>
      <c r="D410" s="202"/>
      <c r="E410" s="202"/>
      <c r="F410" s="202"/>
      <c r="G410" s="202"/>
      <c r="H410" s="202"/>
      <c r="I410" s="201"/>
      <c r="J410" s="202"/>
      <c r="K410" s="273"/>
      <c r="L410" s="202"/>
      <c r="M410" s="202"/>
      <c r="N410" s="202"/>
      <c r="O410" s="202"/>
      <c r="P410" s="202"/>
      <c r="Q410" s="202"/>
      <c r="R410" s="201"/>
      <c r="S410" s="202"/>
      <c r="T410" s="273"/>
      <c r="U410" s="202"/>
      <c r="V410" s="202"/>
      <c r="W410" s="202"/>
      <c r="X410" s="202"/>
      <c r="Y410" s="201"/>
      <c r="Z410" s="201"/>
    </row>
    <row r="411">
      <c r="A411" s="273"/>
      <c r="B411" s="276"/>
      <c r="C411" s="273"/>
      <c r="D411" s="202"/>
      <c r="E411" s="202"/>
      <c r="F411" s="202"/>
      <c r="G411" s="202"/>
      <c r="H411" s="202"/>
      <c r="I411" s="201"/>
      <c r="J411" s="202"/>
      <c r="K411" s="273"/>
      <c r="L411" s="202"/>
      <c r="M411" s="202"/>
      <c r="N411" s="202"/>
      <c r="O411" s="202"/>
      <c r="P411" s="202"/>
      <c r="Q411" s="202"/>
      <c r="R411" s="201"/>
      <c r="S411" s="202"/>
      <c r="T411" s="273"/>
      <c r="U411" s="202"/>
      <c r="V411" s="202"/>
      <c r="W411" s="202"/>
      <c r="X411" s="202"/>
      <c r="Y411" s="201"/>
      <c r="Z411" s="201"/>
    </row>
    <row r="412">
      <c r="A412" s="273"/>
      <c r="B412" s="276"/>
      <c r="C412" s="273"/>
      <c r="D412" s="202"/>
      <c r="E412" s="202"/>
      <c r="F412" s="202"/>
      <c r="G412" s="202"/>
      <c r="H412" s="202"/>
      <c r="I412" s="201"/>
      <c r="J412" s="202"/>
      <c r="K412" s="273"/>
      <c r="L412" s="202"/>
      <c r="M412" s="202"/>
      <c r="N412" s="202"/>
      <c r="O412" s="202"/>
      <c r="P412" s="202"/>
      <c r="Q412" s="202"/>
      <c r="R412" s="201"/>
      <c r="S412" s="202"/>
      <c r="T412" s="273"/>
      <c r="U412" s="202"/>
      <c r="V412" s="202"/>
      <c r="W412" s="202"/>
      <c r="X412" s="202"/>
      <c r="Y412" s="201"/>
      <c r="Z412" s="201"/>
    </row>
    <row r="413">
      <c r="A413" s="273"/>
      <c r="B413" s="276"/>
      <c r="C413" s="273"/>
      <c r="D413" s="202"/>
      <c r="E413" s="202"/>
      <c r="F413" s="202"/>
      <c r="G413" s="202"/>
      <c r="H413" s="202"/>
      <c r="I413" s="201"/>
      <c r="J413" s="202"/>
      <c r="K413" s="273"/>
      <c r="L413" s="202"/>
      <c r="M413" s="202"/>
      <c r="N413" s="202"/>
      <c r="O413" s="202"/>
      <c r="P413" s="202"/>
      <c r="Q413" s="202"/>
      <c r="R413" s="201"/>
      <c r="S413" s="202"/>
      <c r="T413" s="273"/>
      <c r="U413" s="202"/>
      <c r="V413" s="202"/>
      <c r="W413" s="202"/>
      <c r="X413" s="202"/>
      <c r="Y413" s="201"/>
      <c r="Z413" s="201"/>
    </row>
    <row r="414">
      <c r="A414" s="273"/>
      <c r="B414" s="276"/>
      <c r="C414" s="273"/>
      <c r="D414" s="202"/>
      <c r="E414" s="202"/>
      <c r="F414" s="202"/>
      <c r="G414" s="202"/>
      <c r="H414" s="202"/>
      <c r="I414" s="201"/>
      <c r="J414" s="202"/>
      <c r="K414" s="273"/>
      <c r="L414" s="202"/>
      <c r="M414" s="202"/>
      <c r="N414" s="202"/>
      <c r="O414" s="202"/>
      <c r="P414" s="202"/>
      <c r="Q414" s="202"/>
      <c r="R414" s="201"/>
      <c r="S414" s="202"/>
      <c r="T414" s="273"/>
      <c r="U414" s="202"/>
      <c r="V414" s="202"/>
      <c r="W414" s="202"/>
      <c r="X414" s="202"/>
      <c r="Y414" s="201"/>
      <c r="Z414" s="201"/>
    </row>
    <row r="415">
      <c r="A415" s="273"/>
      <c r="B415" s="276"/>
      <c r="C415" s="273"/>
      <c r="D415" s="202"/>
      <c r="E415" s="202"/>
      <c r="F415" s="202"/>
      <c r="G415" s="202"/>
      <c r="H415" s="202"/>
      <c r="I415" s="201"/>
      <c r="J415" s="202"/>
      <c r="K415" s="273"/>
      <c r="L415" s="202"/>
      <c r="M415" s="202"/>
      <c r="N415" s="202"/>
      <c r="O415" s="202"/>
      <c r="P415" s="202"/>
      <c r="Q415" s="202"/>
      <c r="R415" s="201"/>
      <c r="S415" s="202"/>
      <c r="T415" s="273"/>
      <c r="U415" s="202"/>
      <c r="V415" s="202"/>
      <c r="W415" s="202"/>
      <c r="X415" s="202"/>
      <c r="Y415" s="201"/>
      <c r="Z415" s="201"/>
    </row>
    <row r="416">
      <c r="A416" s="273"/>
      <c r="B416" s="276"/>
      <c r="C416" s="273"/>
      <c r="D416" s="202"/>
      <c r="E416" s="202"/>
      <c r="F416" s="202"/>
      <c r="G416" s="202"/>
      <c r="H416" s="202"/>
      <c r="I416" s="201"/>
      <c r="J416" s="202"/>
      <c r="K416" s="273"/>
      <c r="L416" s="202"/>
      <c r="M416" s="202"/>
      <c r="N416" s="202"/>
      <c r="O416" s="202"/>
      <c r="P416" s="202"/>
      <c r="Q416" s="202"/>
      <c r="R416" s="201"/>
      <c r="S416" s="202"/>
      <c r="T416" s="273"/>
      <c r="U416" s="202"/>
      <c r="V416" s="202"/>
      <c r="W416" s="202"/>
      <c r="X416" s="202"/>
      <c r="Y416" s="201"/>
      <c r="Z416" s="201"/>
    </row>
    <row r="417">
      <c r="A417" s="273"/>
      <c r="B417" s="276"/>
      <c r="C417" s="273"/>
      <c r="D417" s="202"/>
      <c r="E417" s="202"/>
      <c r="F417" s="202"/>
      <c r="G417" s="202"/>
      <c r="H417" s="202"/>
      <c r="I417" s="201"/>
      <c r="J417" s="202"/>
      <c r="K417" s="273"/>
      <c r="L417" s="202"/>
      <c r="M417" s="202"/>
      <c r="N417" s="202"/>
      <c r="O417" s="202"/>
      <c r="P417" s="202"/>
      <c r="Q417" s="202"/>
      <c r="R417" s="201"/>
      <c r="S417" s="202"/>
      <c r="T417" s="273"/>
      <c r="U417" s="202"/>
      <c r="V417" s="202"/>
      <c r="W417" s="202"/>
      <c r="X417" s="202"/>
      <c r="Y417" s="201"/>
      <c r="Z417" s="201"/>
    </row>
    <row r="418">
      <c r="A418" s="273"/>
      <c r="B418" s="276"/>
      <c r="C418" s="273"/>
      <c r="D418" s="202"/>
      <c r="E418" s="202"/>
      <c r="F418" s="202"/>
      <c r="G418" s="202"/>
      <c r="H418" s="202"/>
      <c r="I418" s="201"/>
      <c r="J418" s="202"/>
      <c r="K418" s="273"/>
      <c r="L418" s="202"/>
      <c r="M418" s="202"/>
      <c r="N418" s="202"/>
      <c r="O418" s="202"/>
      <c r="P418" s="202"/>
      <c r="Q418" s="202"/>
      <c r="R418" s="201"/>
      <c r="S418" s="202"/>
      <c r="T418" s="273"/>
      <c r="U418" s="202"/>
      <c r="V418" s="202"/>
      <c r="W418" s="202"/>
      <c r="X418" s="202"/>
      <c r="Y418" s="201"/>
      <c r="Z418" s="201"/>
    </row>
    <row r="419">
      <c r="A419" s="273"/>
      <c r="B419" s="276"/>
      <c r="C419" s="273"/>
      <c r="D419" s="202"/>
      <c r="E419" s="202"/>
      <c r="F419" s="202"/>
      <c r="G419" s="202"/>
      <c r="H419" s="202"/>
      <c r="I419" s="201"/>
      <c r="J419" s="202"/>
      <c r="K419" s="273"/>
      <c r="L419" s="202"/>
      <c r="M419" s="202"/>
      <c r="N419" s="202"/>
      <c r="O419" s="202"/>
      <c r="P419" s="202"/>
      <c r="Q419" s="202"/>
      <c r="R419" s="201"/>
      <c r="S419" s="202"/>
      <c r="T419" s="273"/>
      <c r="U419" s="202"/>
      <c r="V419" s="202"/>
      <c r="W419" s="202"/>
      <c r="X419" s="202"/>
      <c r="Y419" s="201"/>
      <c r="Z419" s="201"/>
    </row>
    <row r="420">
      <c r="A420" s="273"/>
      <c r="B420" s="276"/>
      <c r="C420" s="273"/>
      <c r="D420" s="202"/>
      <c r="E420" s="202"/>
      <c r="F420" s="202"/>
      <c r="G420" s="202"/>
      <c r="H420" s="202"/>
      <c r="I420" s="201"/>
      <c r="J420" s="202"/>
      <c r="K420" s="273"/>
      <c r="L420" s="202"/>
      <c r="M420" s="202"/>
      <c r="N420" s="202"/>
      <c r="O420" s="202"/>
      <c r="P420" s="202"/>
      <c r="Q420" s="202"/>
      <c r="R420" s="201"/>
      <c r="S420" s="202"/>
      <c r="T420" s="273"/>
      <c r="U420" s="202"/>
      <c r="V420" s="202"/>
      <c r="W420" s="202"/>
      <c r="X420" s="202"/>
      <c r="Y420" s="201"/>
      <c r="Z420" s="201"/>
    </row>
    <row r="421">
      <c r="A421" s="273"/>
      <c r="B421" s="276"/>
      <c r="C421" s="273"/>
      <c r="D421" s="202"/>
      <c r="E421" s="202"/>
      <c r="F421" s="202"/>
      <c r="G421" s="202"/>
      <c r="H421" s="202"/>
      <c r="I421" s="201"/>
      <c r="J421" s="202"/>
      <c r="K421" s="273"/>
      <c r="L421" s="202"/>
      <c r="M421" s="202"/>
      <c r="N421" s="202"/>
      <c r="O421" s="202"/>
      <c r="P421" s="202"/>
      <c r="Q421" s="202"/>
      <c r="R421" s="201"/>
      <c r="S421" s="202"/>
      <c r="T421" s="273"/>
      <c r="U421" s="202"/>
      <c r="V421" s="202"/>
      <c r="W421" s="202"/>
      <c r="X421" s="202"/>
      <c r="Y421" s="201"/>
      <c r="Z421" s="201"/>
    </row>
    <row r="422">
      <c r="A422" s="273"/>
      <c r="B422" s="276"/>
      <c r="C422" s="273"/>
      <c r="D422" s="202"/>
      <c r="E422" s="202"/>
      <c r="F422" s="202"/>
      <c r="G422" s="202"/>
      <c r="H422" s="202"/>
      <c r="I422" s="201"/>
      <c r="J422" s="202"/>
      <c r="K422" s="273"/>
      <c r="L422" s="202"/>
      <c r="M422" s="202"/>
      <c r="N422" s="202"/>
      <c r="O422" s="202"/>
      <c r="P422" s="202"/>
      <c r="Q422" s="202"/>
      <c r="R422" s="201"/>
      <c r="S422" s="202"/>
      <c r="T422" s="273"/>
      <c r="U422" s="202"/>
      <c r="V422" s="202"/>
      <c r="W422" s="202"/>
      <c r="X422" s="202"/>
      <c r="Y422" s="201"/>
      <c r="Z422" s="201"/>
    </row>
    <row r="423">
      <c r="A423" s="273"/>
      <c r="B423" s="276"/>
      <c r="C423" s="273"/>
      <c r="D423" s="202"/>
      <c r="E423" s="202"/>
      <c r="F423" s="202"/>
      <c r="G423" s="202"/>
      <c r="H423" s="202"/>
      <c r="I423" s="201"/>
      <c r="J423" s="202"/>
      <c r="K423" s="273"/>
      <c r="L423" s="202"/>
      <c r="M423" s="202"/>
      <c r="N423" s="202"/>
      <c r="O423" s="202"/>
      <c r="P423" s="202"/>
      <c r="Q423" s="202"/>
      <c r="R423" s="201"/>
      <c r="S423" s="202"/>
      <c r="T423" s="273"/>
      <c r="U423" s="202"/>
      <c r="V423" s="202"/>
      <c r="W423" s="202"/>
      <c r="X423" s="202"/>
      <c r="Y423" s="201"/>
      <c r="Z423" s="201"/>
    </row>
    <row r="424">
      <c r="A424" s="273"/>
      <c r="B424" s="276"/>
      <c r="C424" s="273"/>
      <c r="D424" s="202"/>
      <c r="E424" s="202"/>
      <c r="F424" s="202"/>
      <c r="G424" s="202"/>
      <c r="H424" s="202"/>
      <c r="I424" s="201"/>
      <c r="J424" s="202"/>
      <c r="K424" s="273"/>
      <c r="L424" s="202"/>
      <c r="M424" s="202"/>
      <c r="N424" s="202"/>
      <c r="O424" s="202"/>
      <c r="P424" s="202"/>
      <c r="Q424" s="202"/>
      <c r="R424" s="201"/>
      <c r="S424" s="202"/>
      <c r="T424" s="273"/>
      <c r="U424" s="202"/>
      <c r="V424" s="202"/>
      <c r="W424" s="202"/>
      <c r="X424" s="202"/>
      <c r="Y424" s="201"/>
      <c r="Z424" s="201"/>
    </row>
    <row r="425">
      <c r="A425" s="273"/>
      <c r="B425" s="276"/>
      <c r="C425" s="273"/>
      <c r="D425" s="202"/>
      <c r="E425" s="202"/>
      <c r="F425" s="202"/>
      <c r="G425" s="202"/>
      <c r="H425" s="202"/>
      <c r="I425" s="201"/>
      <c r="J425" s="202"/>
      <c r="K425" s="273"/>
      <c r="L425" s="202"/>
      <c r="M425" s="202"/>
      <c r="N425" s="202"/>
      <c r="O425" s="202"/>
      <c r="P425" s="202"/>
      <c r="Q425" s="202"/>
      <c r="R425" s="201"/>
      <c r="S425" s="202"/>
      <c r="T425" s="273"/>
      <c r="U425" s="202"/>
      <c r="V425" s="202"/>
      <c r="W425" s="202"/>
      <c r="X425" s="202"/>
      <c r="Y425" s="201"/>
      <c r="Z425" s="201"/>
    </row>
    <row r="426">
      <c r="A426" s="273"/>
      <c r="B426" s="276"/>
      <c r="C426" s="273"/>
      <c r="D426" s="202"/>
      <c r="E426" s="202"/>
      <c r="F426" s="202"/>
      <c r="G426" s="202"/>
      <c r="H426" s="202"/>
      <c r="I426" s="201"/>
      <c r="J426" s="202"/>
      <c r="K426" s="273"/>
      <c r="L426" s="202"/>
      <c r="M426" s="202"/>
      <c r="N426" s="202"/>
      <c r="O426" s="202"/>
      <c r="P426" s="202"/>
      <c r="Q426" s="202"/>
      <c r="R426" s="201"/>
      <c r="S426" s="202"/>
      <c r="T426" s="273"/>
      <c r="U426" s="202"/>
      <c r="V426" s="202"/>
      <c r="W426" s="202"/>
      <c r="X426" s="202"/>
      <c r="Y426" s="201"/>
      <c r="Z426" s="201"/>
    </row>
    <row r="427">
      <c r="A427" s="273"/>
      <c r="B427" s="276"/>
      <c r="C427" s="273"/>
      <c r="D427" s="202"/>
      <c r="E427" s="202"/>
      <c r="F427" s="202"/>
      <c r="G427" s="202"/>
      <c r="H427" s="202"/>
      <c r="I427" s="201"/>
      <c r="J427" s="202"/>
      <c r="K427" s="273"/>
      <c r="L427" s="202"/>
      <c r="M427" s="202"/>
      <c r="N427" s="202"/>
      <c r="O427" s="202"/>
      <c r="P427" s="202"/>
      <c r="Q427" s="202"/>
      <c r="R427" s="201"/>
      <c r="S427" s="202"/>
      <c r="T427" s="273"/>
      <c r="U427" s="202"/>
      <c r="V427" s="202"/>
      <c r="W427" s="202"/>
      <c r="X427" s="202"/>
      <c r="Y427" s="201"/>
      <c r="Z427" s="201"/>
    </row>
    <row r="428">
      <c r="A428" s="273"/>
      <c r="B428" s="276"/>
      <c r="C428" s="273"/>
      <c r="D428" s="202"/>
      <c r="E428" s="202"/>
      <c r="F428" s="202"/>
      <c r="G428" s="202"/>
      <c r="H428" s="202"/>
      <c r="I428" s="201"/>
      <c r="J428" s="202"/>
      <c r="K428" s="273"/>
      <c r="L428" s="202"/>
      <c r="M428" s="202"/>
      <c r="N428" s="202"/>
      <c r="O428" s="202"/>
      <c r="P428" s="202"/>
      <c r="Q428" s="202"/>
      <c r="R428" s="201"/>
      <c r="S428" s="202"/>
      <c r="T428" s="273"/>
      <c r="U428" s="202"/>
      <c r="V428" s="202"/>
      <c r="W428" s="202"/>
      <c r="X428" s="202"/>
      <c r="Y428" s="201"/>
      <c r="Z428" s="201"/>
    </row>
    <row r="429">
      <c r="A429" s="273"/>
      <c r="B429" s="276"/>
      <c r="C429" s="273"/>
      <c r="D429" s="202"/>
      <c r="E429" s="202"/>
      <c r="F429" s="202"/>
      <c r="G429" s="202"/>
      <c r="H429" s="202"/>
      <c r="I429" s="201"/>
      <c r="J429" s="202"/>
      <c r="K429" s="273"/>
      <c r="L429" s="202"/>
      <c r="M429" s="202"/>
      <c r="N429" s="202"/>
      <c r="O429" s="202"/>
      <c r="P429" s="202"/>
      <c r="Q429" s="202"/>
      <c r="R429" s="201"/>
      <c r="S429" s="202"/>
      <c r="T429" s="273"/>
      <c r="U429" s="202"/>
      <c r="V429" s="202"/>
      <c r="W429" s="202"/>
      <c r="X429" s="202"/>
      <c r="Y429" s="201"/>
      <c r="Z429" s="201"/>
    </row>
    <row r="430">
      <c r="A430" s="273"/>
      <c r="B430" s="276"/>
      <c r="C430" s="273"/>
      <c r="D430" s="202"/>
      <c r="E430" s="202"/>
      <c r="F430" s="202"/>
      <c r="G430" s="202"/>
      <c r="H430" s="202"/>
      <c r="I430" s="201"/>
      <c r="J430" s="202"/>
      <c r="K430" s="273"/>
      <c r="L430" s="202"/>
      <c r="M430" s="202"/>
      <c r="N430" s="202"/>
      <c r="O430" s="202"/>
      <c r="P430" s="202"/>
      <c r="Q430" s="202"/>
      <c r="R430" s="201"/>
      <c r="S430" s="202"/>
      <c r="T430" s="273"/>
      <c r="U430" s="202"/>
      <c r="V430" s="202"/>
      <c r="W430" s="202"/>
      <c r="X430" s="202"/>
      <c r="Y430" s="201"/>
      <c r="Z430" s="201"/>
    </row>
    <row r="431">
      <c r="A431" s="273"/>
      <c r="B431" s="276"/>
      <c r="C431" s="273"/>
      <c r="D431" s="202"/>
      <c r="E431" s="202"/>
      <c r="F431" s="202"/>
      <c r="G431" s="202"/>
      <c r="H431" s="202"/>
      <c r="I431" s="201"/>
      <c r="J431" s="202"/>
      <c r="K431" s="273"/>
      <c r="L431" s="202"/>
      <c r="M431" s="202"/>
      <c r="N431" s="202"/>
      <c r="O431" s="202"/>
      <c r="P431" s="202"/>
      <c r="Q431" s="202"/>
      <c r="R431" s="201"/>
      <c r="S431" s="202"/>
      <c r="T431" s="273"/>
      <c r="U431" s="202"/>
      <c r="V431" s="202"/>
      <c r="W431" s="202"/>
      <c r="X431" s="202"/>
      <c r="Y431" s="201"/>
      <c r="Z431" s="201"/>
    </row>
    <row r="432">
      <c r="A432" s="273"/>
      <c r="B432" s="276"/>
      <c r="C432" s="273"/>
      <c r="D432" s="202"/>
      <c r="E432" s="202"/>
      <c r="F432" s="202"/>
      <c r="G432" s="202"/>
      <c r="H432" s="202"/>
      <c r="I432" s="201"/>
      <c r="J432" s="202"/>
      <c r="K432" s="273"/>
      <c r="L432" s="202"/>
      <c r="M432" s="202"/>
      <c r="N432" s="202"/>
      <c r="O432" s="202"/>
      <c r="P432" s="202"/>
      <c r="Q432" s="202"/>
      <c r="R432" s="201"/>
      <c r="S432" s="202"/>
      <c r="T432" s="273"/>
      <c r="U432" s="202"/>
      <c r="V432" s="202"/>
      <c r="W432" s="202"/>
      <c r="X432" s="202"/>
      <c r="Y432" s="201"/>
      <c r="Z432" s="201"/>
    </row>
    <row r="433">
      <c r="A433" s="273"/>
      <c r="B433" s="276"/>
      <c r="C433" s="273"/>
      <c r="D433" s="202"/>
      <c r="E433" s="202"/>
      <c r="F433" s="202"/>
      <c r="G433" s="202"/>
      <c r="H433" s="202"/>
      <c r="I433" s="201"/>
      <c r="J433" s="202"/>
      <c r="K433" s="273"/>
      <c r="L433" s="202"/>
      <c r="M433" s="202"/>
      <c r="N433" s="202"/>
      <c r="O433" s="202"/>
      <c r="P433" s="202"/>
      <c r="Q433" s="202"/>
      <c r="R433" s="201"/>
      <c r="S433" s="202"/>
      <c r="T433" s="273"/>
      <c r="U433" s="202"/>
      <c r="V433" s="202"/>
      <c r="W433" s="202"/>
      <c r="X433" s="202"/>
      <c r="Y433" s="201"/>
      <c r="Z433" s="201"/>
    </row>
    <row r="434">
      <c r="A434" s="273"/>
      <c r="B434" s="276"/>
      <c r="C434" s="273"/>
      <c r="D434" s="202"/>
      <c r="E434" s="202"/>
      <c r="F434" s="202"/>
      <c r="G434" s="202"/>
      <c r="H434" s="202"/>
      <c r="I434" s="201"/>
      <c r="J434" s="202"/>
      <c r="K434" s="273"/>
      <c r="L434" s="202"/>
      <c r="M434" s="202"/>
      <c r="N434" s="202"/>
      <c r="O434" s="202"/>
      <c r="P434" s="202"/>
      <c r="Q434" s="202"/>
      <c r="R434" s="201"/>
      <c r="S434" s="202"/>
      <c r="T434" s="273"/>
      <c r="U434" s="202"/>
      <c r="V434" s="202"/>
      <c r="W434" s="202"/>
      <c r="X434" s="202"/>
      <c r="Y434" s="201"/>
      <c r="Z434" s="201"/>
    </row>
    <row r="435">
      <c r="A435" s="273"/>
      <c r="B435" s="276"/>
      <c r="C435" s="273"/>
      <c r="D435" s="202"/>
      <c r="E435" s="202"/>
      <c r="F435" s="202"/>
      <c r="G435" s="202"/>
      <c r="H435" s="202"/>
      <c r="I435" s="201"/>
      <c r="J435" s="202"/>
      <c r="K435" s="273"/>
      <c r="L435" s="202"/>
      <c r="M435" s="202"/>
      <c r="N435" s="202"/>
      <c r="O435" s="202"/>
      <c r="P435" s="202"/>
      <c r="Q435" s="202"/>
      <c r="R435" s="201"/>
      <c r="S435" s="202"/>
      <c r="T435" s="273"/>
      <c r="U435" s="202"/>
      <c r="V435" s="202"/>
      <c r="W435" s="202"/>
      <c r="X435" s="202"/>
      <c r="Y435" s="201"/>
      <c r="Z435" s="201"/>
    </row>
    <row r="436">
      <c r="A436" s="273"/>
      <c r="B436" s="276"/>
      <c r="C436" s="273"/>
      <c r="D436" s="202"/>
      <c r="E436" s="202"/>
      <c r="F436" s="202"/>
      <c r="G436" s="202"/>
      <c r="H436" s="202"/>
      <c r="I436" s="201"/>
      <c r="J436" s="202"/>
      <c r="K436" s="273"/>
      <c r="L436" s="202"/>
      <c r="M436" s="202"/>
      <c r="N436" s="202"/>
      <c r="O436" s="202"/>
      <c r="P436" s="202"/>
      <c r="Q436" s="202"/>
      <c r="R436" s="201"/>
      <c r="S436" s="202"/>
      <c r="T436" s="273"/>
      <c r="U436" s="202"/>
      <c r="V436" s="202"/>
      <c r="W436" s="202"/>
      <c r="X436" s="202"/>
      <c r="Y436" s="201"/>
      <c r="Z436" s="201"/>
    </row>
    <row r="437">
      <c r="A437" s="273"/>
      <c r="B437" s="276"/>
      <c r="C437" s="273"/>
      <c r="D437" s="202"/>
      <c r="E437" s="202"/>
      <c r="F437" s="202"/>
      <c r="G437" s="202"/>
      <c r="H437" s="202"/>
      <c r="I437" s="201"/>
      <c r="J437" s="202"/>
      <c r="K437" s="273"/>
      <c r="L437" s="202"/>
      <c r="M437" s="202"/>
      <c r="N437" s="202"/>
      <c r="O437" s="202"/>
      <c r="P437" s="202"/>
      <c r="Q437" s="202"/>
      <c r="R437" s="201"/>
      <c r="S437" s="202"/>
      <c r="T437" s="273"/>
      <c r="U437" s="202"/>
      <c r="V437" s="202"/>
      <c r="W437" s="202"/>
      <c r="X437" s="202"/>
      <c r="Y437" s="201"/>
      <c r="Z437" s="201"/>
    </row>
    <row r="438">
      <c r="A438" s="273"/>
      <c r="B438" s="276"/>
      <c r="C438" s="273"/>
      <c r="D438" s="202"/>
      <c r="E438" s="202"/>
      <c r="F438" s="202"/>
      <c r="G438" s="202"/>
      <c r="H438" s="202"/>
      <c r="I438" s="201"/>
      <c r="J438" s="202"/>
      <c r="K438" s="273"/>
      <c r="L438" s="202"/>
      <c r="M438" s="202"/>
      <c r="N438" s="202"/>
      <c r="O438" s="202"/>
      <c r="P438" s="202"/>
      <c r="Q438" s="202"/>
      <c r="R438" s="201"/>
      <c r="S438" s="202"/>
      <c r="T438" s="273"/>
      <c r="U438" s="202"/>
      <c r="V438" s="202"/>
      <c r="W438" s="202"/>
      <c r="X438" s="202"/>
      <c r="Y438" s="201"/>
      <c r="Z438" s="201"/>
    </row>
    <row r="439">
      <c r="A439" s="273"/>
      <c r="B439" s="276"/>
      <c r="C439" s="273"/>
      <c r="D439" s="202"/>
      <c r="E439" s="202"/>
      <c r="F439" s="202"/>
      <c r="G439" s="202"/>
      <c r="H439" s="202"/>
      <c r="I439" s="201"/>
      <c r="J439" s="202"/>
      <c r="K439" s="273"/>
      <c r="L439" s="202"/>
      <c r="M439" s="202"/>
      <c r="N439" s="202"/>
      <c r="O439" s="202"/>
      <c r="P439" s="202"/>
      <c r="Q439" s="202"/>
      <c r="R439" s="201"/>
      <c r="S439" s="202"/>
      <c r="T439" s="273"/>
      <c r="U439" s="202"/>
      <c r="V439" s="202"/>
      <c r="W439" s="202"/>
      <c r="X439" s="202"/>
      <c r="Y439" s="201"/>
      <c r="Z439" s="201"/>
    </row>
    <row r="440">
      <c r="A440" s="273"/>
      <c r="B440" s="276"/>
      <c r="C440" s="273"/>
      <c r="D440" s="202"/>
      <c r="E440" s="202"/>
      <c r="F440" s="202"/>
      <c r="G440" s="202"/>
      <c r="H440" s="202"/>
      <c r="I440" s="201"/>
      <c r="J440" s="202"/>
      <c r="K440" s="273"/>
      <c r="L440" s="202"/>
      <c r="M440" s="202"/>
      <c r="N440" s="202"/>
      <c r="O440" s="202"/>
      <c r="P440" s="202"/>
      <c r="Q440" s="202"/>
      <c r="R440" s="201"/>
      <c r="S440" s="202"/>
      <c r="T440" s="273"/>
      <c r="U440" s="202"/>
      <c r="V440" s="202"/>
      <c r="W440" s="202"/>
      <c r="X440" s="202"/>
      <c r="Y440" s="201"/>
      <c r="Z440" s="201"/>
    </row>
    <row r="441">
      <c r="A441" s="273"/>
      <c r="B441" s="276"/>
      <c r="C441" s="273"/>
      <c r="D441" s="202"/>
      <c r="E441" s="202"/>
      <c r="F441" s="202"/>
      <c r="G441" s="202"/>
      <c r="H441" s="202"/>
      <c r="I441" s="201"/>
      <c r="J441" s="202"/>
      <c r="K441" s="273"/>
      <c r="L441" s="202"/>
      <c r="M441" s="202"/>
      <c r="N441" s="202"/>
      <c r="O441" s="202"/>
      <c r="P441" s="202"/>
      <c r="Q441" s="202"/>
      <c r="R441" s="201"/>
      <c r="S441" s="202"/>
      <c r="T441" s="273"/>
      <c r="U441" s="202"/>
      <c r="V441" s="202"/>
      <c r="W441" s="202"/>
      <c r="X441" s="202"/>
      <c r="Y441" s="201"/>
      <c r="Z441" s="201"/>
    </row>
    <row r="442">
      <c r="A442" s="273"/>
      <c r="B442" s="276"/>
      <c r="C442" s="273"/>
      <c r="D442" s="202"/>
      <c r="E442" s="202"/>
      <c r="F442" s="202"/>
      <c r="G442" s="202"/>
      <c r="H442" s="202"/>
      <c r="I442" s="201"/>
      <c r="J442" s="202"/>
      <c r="K442" s="273"/>
      <c r="L442" s="202"/>
      <c r="M442" s="202"/>
      <c r="N442" s="202"/>
      <c r="O442" s="202"/>
      <c r="P442" s="202"/>
      <c r="Q442" s="202"/>
      <c r="R442" s="201"/>
      <c r="S442" s="202"/>
      <c r="T442" s="273"/>
      <c r="U442" s="202"/>
      <c r="V442" s="202"/>
      <c r="W442" s="202"/>
      <c r="X442" s="202"/>
      <c r="Y442" s="201"/>
      <c r="Z442" s="201"/>
    </row>
    <row r="443">
      <c r="A443" s="273"/>
      <c r="B443" s="276"/>
      <c r="C443" s="273"/>
      <c r="D443" s="202"/>
      <c r="E443" s="202"/>
      <c r="F443" s="202"/>
      <c r="G443" s="202"/>
      <c r="H443" s="202"/>
      <c r="I443" s="201"/>
      <c r="J443" s="202"/>
      <c r="K443" s="273"/>
      <c r="L443" s="202"/>
      <c r="M443" s="202"/>
      <c r="N443" s="202"/>
      <c r="O443" s="202"/>
      <c r="P443" s="202"/>
      <c r="Q443" s="202"/>
      <c r="R443" s="201"/>
      <c r="S443" s="202"/>
      <c r="T443" s="273"/>
      <c r="U443" s="202"/>
      <c r="V443" s="202"/>
      <c r="W443" s="202"/>
      <c r="X443" s="202"/>
      <c r="Y443" s="201"/>
      <c r="Z443" s="201"/>
    </row>
    <row r="444">
      <c r="A444" s="273"/>
      <c r="B444" s="276"/>
      <c r="C444" s="273"/>
      <c r="D444" s="202"/>
      <c r="E444" s="202"/>
      <c r="F444" s="202"/>
      <c r="G444" s="202"/>
      <c r="H444" s="202"/>
      <c r="I444" s="201"/>
      <c r="J444" s="202"/>
      <c r="K444" s="273"/>
      <c r="L444" s="202"/>
      <c r="M444" s="202"/>
      <c r="N444" s="202"/>
      <c r="O444" s="202"/>
      <c r="P444" s="202"/>
      <c r="Q444" s="202"/>
      <c r="R444" s="201"/>
      <c r="S444" s="202"/>
      <c r="T444" s="273"/>
      <c r="U444" s="202"/>
      <c r="V444" s="202"/>
      <c r="W444" s="202"/>
      <c r="X444" s="202"/>
      <c r="Y444" s="201"/>
      <c r="Z444" s="201"/>
    </row>
    <row r="445">
      <c r="A445" s="273"/>
      <c r="B445" s="276"/>
      <c r="C445" s="273"/>
      <c r="D445" s="202"/>
      <c r="E445" s="202"/>
      <c r="F445" s="202"/>
      <c r="G445" s="202"/>
      <c r="H445" s="202"/>
      <c r="I445" s="201"/>
      <c r="J445" s="202"/>
      <c r="K445" s="273"/>
      <c r="L445" s="202"/>
      <c r="M445" s="202"/>
      <c r="N445" s="202"/>
      <c r="O445" s="202"/>
      <c r="P445" s="202"/>
      <c r="Q445" s="202"/>
      <c r="R445" s="201"/>
      <c r="S445" s="202"/>
      <c r="T445" s="273"/>
      <c r="U445" s="202"/>
      <c r="V445" s="202"/>
      <c r="W445" s="202"/>
      <c r="X445" s="202"/>
      <c r="Y445" s="201"/>
      <c r="Z445" s="201"/>
    </row>
    <row r="446">
      <c r="A446" s="273"/>
      <c r="B446" s="276"/>
      <c r="C446" s="273"/>
      <c r="D446" s="202"/>
      <c r="E446" s="202"/>
      <c r="F446" s="202"/>
      <c r="G446" s="202"/>
      <c r="H446" s="202"/>
      <c r="I446" s="201"/>
      <c r="J446" s="202"/>
      <c r="K446" s="273"/>
      <c r="L446" s="202"/>
      <c r="M446" s="202"/>
      <c r="N446" s="202"/>
      <c r="O446" s="202"/>
      <c r="P446" s="202"/>
      <c r="Q446" s="202"/>
      <c r="R446" s="201"/>
      <c r="S446" s="202"/>
      <c r="T446" s="273"/>
      <c r="U446" s="202"/>
      <c r="V446" s="202"/>
      <c r="W446" s="202"/>
      <c r="X446" s="202"/>
      <c r="Y446" s="201"/>
      <c r="Z446" s="201"/>
    </row>
    <row r="447">
      <c r="A447" s="273"/>
      <c r="B447" s="276"/>
      <c r="C447" s="273"/>
      <c r="D447" s="202"/>
      <c r="E447" s="202"/>
      <c r="F447" s="202"/>
      <c r="G447" s="202"/>
      <c r="H447" s="202"/>
      <c r="I447" s="201"/>
      <c r="J447" s="202"/>
      <c r="K447" s="273"/>
      <c r="L447" s="202"/>
      <c r="M447" s="202"/>
      <c r="N447" s="202"/>
      <c r="O447" s="202"/>
      <c r="P447" s="202"/>
      <c r="Q447" s="202"/>
      <c r="R447" s="201"/>
      <c r="S447" s="202"/>
      <c r="T447" s="273"/>
      <c r="U447" s="202"/>
      <c r="V447" s="202"/>
      <c r="W447" s="202"/>
      <c r="X447" s="202"/>
      <c r="Y447" s="201"/>
      <c r="Z447" s="201"/>
    </row>
    <row r="448">
      <c r="A448" s="273"/>
      <c r="B448" s="276"/>
      <c r="C448" s="273"/>
      <c r="D448" s="202"/>
      <c r="E448" s="202"/>
      <c r="F448" s="202"/>
      <c r="G448" s="202"/>
      <c r="H448" s="202"/>
      <c r="I448" s="201"/>
      <c r="J448" s="202"/>
      <c r="K448" s="273"/>
      <c r="L448" s="202"/>
      <c r="M448" s="202"/>
      <c r="N448" s="202"/>
      <c r="O448" s="202"/>
      <c r="P448" s="202"/>
      <c r="Q448" s="202"/>
      <c r="R448" s="201"/>
      <c r="S448" s="202"/>
      <c r="T448" s="273"/>
      <c r="U448" s="202"/>
      <c r="V448" s="202"/>
      <c r="W448" s="202"/>
      <c r="X448" s="202"/>
      <c r="Y448" s="201"/>
      <c r="Z448" s="201"/>
    </row>
    <row r="449">
      <c r="A449" s="273"/>
      <c r="B449" s="276"/>
      <c r="C449" s="273"/>
      <c r="D449" s="202"/>
      <c r="E449" s="202"/>
      <c r="F449" s="202"/>
      <c r="G449" s="202"/>
      <c r="H449" s="202"/>
      <c r="I449" s="201"/>
      <c r="J449" s="202"/>
      <c r="K449" s="273"/>
      <c r="L449" s="202"/>
      <c r="M449" s="202"/>
      <c r="N449" s="202"/>
      <c r="O449" s="202"/>
      <c r="P449" s="202"/>
      <c r="Q449" s="202"/>
      <c r="R449" s="201"/>
      <c r="S449" s="202"/>
      <c r="T449" s="273"/>
      <c r="U449" s="202"/>
      <c r="V449" s="202"/>
      <c r="W449" s="202"/>
      <c r="X449" s="202"/>
      <c r="Y449" s="201"/>
      <c r="Z449" s="201"/>
    </row>
    <row r="450">
      <c r="A450" s="273"/>
      <c r="B450" s="276"/>
      <c r="C450" s="273"/>
      <c r="D450" s="202"/>
      <c r="E450" s="202"/>
      <c r="F450" s="202"/>
      <c r="G450" s="202"/>
      <c r="H450" s="202"/>
      <c r="I450" s="201"/>
      <c r="J450" s="202"/>
      <c r="K450" s="273"/>
      <c r="L450" s="202"/>
      <c r="M450" s="202"/>
      <c r="N450" s="202"/>
      <c r="O450" s="202"/>
      <c r="P450" s="202"/>
      <c r="Q450" s="202"/>
      <c r="R450" s="201"/>
      <c r="S450" s="202"/>
      <c r="T450" s="273"/>
      <c r="U450" s="202"/>
      <c r="V450" s="202"/>
      <c r="W450" s="202"/>
      <c r="X450" s="202"/>
      <c r="Y450" s="201"/>
      <c r="Z450" s="201"/>
    </row>
    <row r="451">
      <c r="A451" s="273"/>
      <c r="B451" s="276"/>
      <c r="C451" s="273"/>
      <c r="D451" s="202"/>
      <c r="E451" s="202"/>
      <c r="F451" s="202"/>
      <c r="G451" s="202"/>
      <c r="H451" s="202"/>
      <c r="I451" s="201"/>
      <c r="J451" s="202"/>
      <c r="K451" s="273"/>
      <c r="L451" s="202"/>
      <c r="M451" s="202"/>
      <c r="N451" s="202"/>
      <c r="O451" s="202"/>
      <c r="P451" s="202"/>
      <c r="Q451" s="202"/>
      <c r="R451" s="201"/>
      <c r="S451" s="202"/>
      <c r="T451" s="273"/>
      <c r="U451" s="202"/>
      <c r="V451" s="202"/>
      <c r="W451" s="202"/>
      <c r="X451" s="202"/>
      <c r="Y451" s="201"/>
      <c r="Z451" s="201"/>
    </row>
    <row r="452">
      <c r="A452" s="273"/>
      <c r="B452" s="276"/>
      <c r="C452" s="273"/>
      <c r="D452" s="202"/>
      <c r="E452" s="202"/>
      <c r="F452" s="202"/>
      <c r="G452" s="202"/>
      <c r="H452" s="202"/>
      <c r="I452" s="201"/>
      <c r="J452" s="202"/>
      <c r="K452" s="273"/>
      <c r="L452" s="202"/>
      <c r="M452" s="202"/>
      <c r="N452" s="202"/>
      <c r="O452" s="202"/>
      <c r="P452" s="202"/>
      <c r="Q452" s="202"/>
      <c r="R452" s="201"/>
      <c r="S452" s="202"/>
      <c r="T452" s="273"/>
      <c r="U452" s="202"/>
      <c r="V452" s="202"/>
      <c r="W452" s="202"/>
      <c r="X452" s="202"/>
      <c r="Y452" s="201"/>
      <c r="Z452" s="201"/>
    </row>
    <row r="453">
      <c r="A453" s="273"/>
      <c r="B453" s="276"/>
      <c r="C453" s="273"/>
      <c r="D453" s="202"/>
      <c r="E453" s="202"/>
      <c r="F453" s="202"/>
      <c r="G453" s="202"/>
      <c r="H453" s="202"/>
      <c r="I453" s="201"/>
      <c r="J453" s="202"/>
      <c r="K453" s="273"/>
      <c r="L453" s="202"/>
      <c r="M453" s="202"/>
      <c r="N453" s="202"/>
      <c r="O453" s="202"/>
      <c r="P453" s="202"/>
      <c r="Q453" s="202"/>
      <c r="R453" s="201"/>
      <c r="S453" s="202"/>
      <c r="T453" s="273"/>
      <c r="U453" s="202"/>
      <c r="V453" s="202"/>
      <c r="W453" s="202"/>
      <c r="X453" s="202"/>
      <c r="Y453" s="201"/>
      <c r="Z453" s="201"/>
    </row>
    <row r="454">
      <c r="A454" s="273"/>
      <c r="B454" s="276"/>
      <c r="C454" s="273"/>
      <c r="D454" s="202"/>
      <c r="E454" s="202"/>
      <c r="F454" s="202"/>
      <c r="G454" s="202"/>
      <c r="H454" s="202"/>
      <c r="I454" s="201"/>
      <c r="J454" s="202"/>
      <c r="K454" s="273"/>
      <c r="L454" s="202"/>
      <c r="M454" s="202"/>
      <c r="N454" s="202"/>
      <c r="O454" s="202"/>
      <c r="P454" s="202"/>
      <c r="Q454" s="202"/>
      <c r="R454" s="201"/>
      <c r="S454" s="202"/>
      <c r="T454" s="273"/>
      <c r="U454" s="202"/>
      <c r="V454" s="202"/>
      <c r="W454" s="202"/>
      <c r="X454" s="202"/>
      <c r="Y454" s="201"/>
      <c r="Z454" s="201"/>
    </row>
    <row r="455">
      <c r="A455" s="273"/>
      <c r="B455" s="276"/>
      <c r="C455" s="273"/>
      <c r="D455" s="202"/>
      <c r="E455" s="202"/>
      <c r="F455" s="202"/>
      <c r="G455" s="202"/>
      <c r="H455" s="202"/>
      <c r="I455" s="201"/>
      <c r="J455" s="202"/>
      <c r="K455" s="273"/>
      <c r="L455" s="202"/>
      <c r="M455" s="202"/>
      <c r="N455" s="202"/>
      <c r="O455" s="202"/>
      <c r="P455" s="202"/>
      <c r="Q455" s="202"/>
      <c r="R455" s="201"/>
      <c r="S455" s="202"/>
      <c r="T455" s="273"/>
      <c r="U455" s="202"/>
      <c r="V455" s="202"/>
      <c r="W455" s="202"/>
      <c r="X455" s="202"/>
      <c r="Y455" s="201"/>
      <c r="Z455" s="201"/>
    </row>
    <row r="456">
      <c r="A456" s="273"/>
      <c r="B456" s="276"/>
      <c r="C456" s="273"/>
      <c r="D456" s="202"/>
      <c r="E456" s="202"/>
      <c r="F456" s="202"/>
      <c r="G456" s="202"/>
      <c r="H456" s="202"/>
      <c r="I456" s="201"/>
      <c r="J456" s="202"/>
      <c r="K456" s="273"/>
      <c r="L456" s="202"/>
      <c r="M456" s="202"/>
      <c r="N456" s="202"/>
      <c r="O456" s="202"/>
      <c r="P456" s="202"/>
      <c r="Q456" s="202"/>
      <c r="R456" s="201"/>
      <c r="S456" s="202"/>
      <c r="T456" s="273"/>
      <c r="U456" s="202"/>
      <c r="V456" s="202"/>
      <c r="W456" s="202"/>
      <c r="X456" s="202"/>
      <c r="Y456" s="201"/>
      <c r="Z456" s="201"/>
    </row>
    <row r="457">
      <c r="A457" s="273"/>
      <c r="B457" s="276"/>
      <c r="C457" s="273"/>
      <c r="D457" s="202"/>
      <c r="E457" s="202"/>
      <c r="F457" s="202"/>
      <c r="G457" s="202"/>
      <c r="H457" s="202"/>
      <c r="I457" s="201"/>
      <c r="J457" s="202"/>
      <c r="K457" s="273"/>
      <c r="L457" s="202"/>
      <c r="M457" s="202"/>
      <c r="N457" s="202"/>
      <c r="O457" s="202"/>
      <c r="P457" s="202"/>
      <c r="Q457" s="202"/>
      <c r="R457" s="201"/>
      <c r="S457" s="202"/>
      <c r="T457" s="273"/>
      <c r="U457" s="202"/>
      <c r="V457" s="202"/>
      <c r="W457" s="202"/>
      <c r="X457" s="202"/>
      <c r="Y457" s="201"/>
      <c r="Z457" s="201"/>
    </row>
    <row r="458">
      <c r="A458" s="273"/>
      <c r="B458" s="276"/>
      <c r="C458" s="273"/>
      <c r="D458" s="202"/>
      <c r="E458" s="202"/>
      <c r="F458" s="202"/>
      <c r="G458" s="202"/>
      <c r="H458" s="202"/>
      <c r="I458" s="201"/>
      <c r="J458" s="202"/>
      <c r="K458" s="273"/>
      <c r="L458" s="202"/>
      <c r="M458" s="202"/>
      <c r="N458" s="202"/>
      <c r="O458" s="202"/>
      <c r="P458" s="202"/>
      <c r="Q458" s="202"/>
      <c r="R458" s="201"/>
      <c r="S458" s="202"/>
      <c r="T458" s="273"/>
      <c r="U458" s="202"/>
      <c r="V458" s="202"/>
      <c r="W458" s="202"/>
      <c r="X458" s="202"/>
      <c r="Y458" s="201"/>
      <c r="Z458" s="201"/>
    </row>
    <row r="459">
      <c r="A459" s="273"/>
      <c r="B459" s="276"/>
      <c r="C459" s="273"/>
      <c r="D459" s="202"/>
      <c r="E459" s="202"/>
      <c r="F459" s="202"/>
      <c r="G459" s="202"/>
      <c r="H459" s="202"/>
      <c r="I459" s="201"/>
      <c r="J459" s="202"/>
      <c r="K459" s="273"/>
      <c r="L459" s="202"/>
      <c r="M459" s="202"/>
      <c r="N459" s="202"/>
      <c r="O459" s="202"/>
      <c r="P459" s="202"/>
      <c r="Q459" s="202"/>
      <c r="R459" s="201"/>
      <c r="S459" s="202"/>
      <c r="T459" s="273"/>
      <c r="U459" s="202"/>
      <c r="V459" s="202"/>
      <c r="W459" s="202"/>
      <c r="X459" s="202"/>
      <c r="Y459" s="201"/>
      <c r="Z459" s="201"/>
    </row>
    <row r="460">
      <c r="A460" s="273"/>
      <c r="B460" s="276"/>
      <c r="C460" s="273"/>
      <c r="D460" s="202"/>
      <c r="E460" s="202"/>
      <c r="F460" s="202"/>
      <c r="G460" s="202"/>
      <c r="H460" s="202"/>
      <c r="I460" s="201"/>
      <c r="J460" s="202"/>
      <c r="K460" s="273"/>
      <c r="L460" s="202"/>
      <c r="M460" s="202"/>
      <c r="N460" s="202"/>
      <c r="O460" s="202"/>
      <c r="P460" s="202"/>
      <c r="Q460" s="202"/>
      <c r="R460" s="201"/>
      <c r="S460" s="202"/>
      <c r="T460" s="273"/>
      <c r="U460" s="202"/>
      <c r="V460" s="202"/>
      <c r="W460" s="202"/>
      <c r="X460" s="202"/>
      <c r="Y460" s="201"/>
      <c r="Z460" s="201"/>
    </row>
    <row r="461">
      <c r="A461" s="273"/>
      <c r="B461" s="276"/>
      <c r="C461" s="273"/>
      <c r="D461" s="202"/>
      <c r="E461" s="202"/>
      <c r="F461" s="202"/>
      <c r="G461" s="202"/>
      <c r="H461" s="202"/>
      <c r="I461" s="201"/>
      <c r="J461" s="202"/>
      <c r="K461" s="273"/>
      <c r="L461" s="202"/>
      <c r="M461" s="202"/>
      <c r="N461" s="202"/>
      <c r="O461" s="202"/>
      <c r="P461" s="202"/>
      <c r="Q461" s="202"/>
      <c r="R461" s="201"/>
      <c r="S461" s="202"/>
      <c r="T461" s="273"/>
      <c r="U461" s="202"/>
      <c r="V461" s="202"/>
      <c r="W461" s="202"/>
      <c r="X461" s="202"/>
      <c r="Y461" s="201"/>
      <c r="Z461" s="201"/>
    </row>
    <row r="462">
      <c r="A462" s="273"/>
      <c r="B462" s="276"/>
      <c r="C462" s="273"/>
      <c r="D462" s="202"/>
      <c r="E462" s="202"/>
      <c r="F462" s="202"/>
      <c r="G462" s="202"/>
      <c r="H462" s="202"/>
      <c r="I462" s="201"/>
      <c r="J462" s="202"/>
      <c r="K462" s="273"/>
      <c r="L462" s="202"/>
      <c r="M462" s="202"/>
      <c r="N462" s="202"/>
      <c r="O462" s="202"/>
      <c r="P462" s="202"/>
      <c r="Q462" s="202"/>
      <c r="R462" s="201"/>
      <c r="S462" s="202"/>
      <c r="T462" s="273"/>
      <c r="U462" s="202"/>
      <c r="V462" s="202"/>
      <c r="W462" s="202"/>
      <c r="X462" s="202"/>
      <c r="Y462" s="201"/>
      <c r="Z462" s="201"/>
    </row>
    <row r="463">
      <c r="A463" s="273"/>
      <c r="B463" s="276"/>
      <c r="C463" s="273"/>
      <c r="D463" s="202"/>
      <c r="E463" s="202"/>
      <c r="F463" s="202"/>
      <c r="G463" s="202"/>
      <c r="H463" s="202"/>
      <c r="I463" s="201"/>
      <c r="J463" s="202"/>
      <c r="K463" s="273"/>
      <c r="L463" s="202"/>
      <c r="M463" s="202"/>
      <c r="N463" s="202"/>
      <c r="O463" s="202"/>
      <c r="P463" s="202"/>
      <c r="Q463" s="202"/>
      <c r="R463" s="201"/>
      <c r="S463" s="202"/>
      <c r="T463" s="273"/>
      <c r="U463" s="202"/>
      <c r="V463" s="202"/>
      <c r="W463" s="202"/>
      <c r="X463" s="202"/>
      <c r="Y463" s="201"/>
      <c r="Z463" s="201"/>
    </row>
    <row r="464">
      <c r="A464" s="273"/>
      <c r="B464" s="276"/>
      <c r="C464" s="273"/>
      <c r="D464" s="202"/>
      <c r="E464" s="202"/>
      <c r="F464" s="202"/>
      <c r="G464" s="202"/>
      <c r="H464" s="202"/>
      <c r="I464" s="201"/>
      <c r="J464" s="202"/>
      <c r="K464" s="273"/>
      <c r="L464" s="202"/>
      <c r="M464" s="202"/>
      <c r="N464" s="202"/>
      <c r="O464" s="202"/>
      <c r="P464" s="202"/>
      <c r="Q464" s="202"/>
      <c r="R464" s="201"/>
      <c r="S464" s="202"/>
      <c r="T464" s="273"/>
      <c r="U464" s="202"/>
      <c r="V464" s="202"/>
      <c r="W464" s="202"/>
      <c r="X464" s="202"/>
      <c r="Y464" s="201"/>
      <c r="Z464" s="201"/>
    </row>
    <row r="465">
      <c r="A465" s="273"/>
      <c r="B465" s="276"/>
      <c r="C465" s="273"/>
      <c r="D465" s="202"/>
      <c r="E465" s="202"/>
      <c r="F465" s="202"/>
      <c r="G465" s="202"/>
      <c r="H465" s="202"/>
      <c r="I465" s="201"/>
      <c r="J465" s="202"/>
      <c r="K465" s="273"/>
      <c r="L465" s="202"/>
      <c r="M465" s="202"/>
      <c r="N465" s="202"/>
      <c r="O465" s="202"/>
      <c r="P465" s="202"/>
      <c r="Q465" s="202"/>
      <c r="R465" s="201"/>
      <c r="S465" s="202"/>
      <c r="T465" s="273"/>
      <c r="U465" s="202"/>
      <c r="V465" s="202"/>
      <c r="W465" s="202"/>
      <c r="X465" s="202"/>
      <c r="Y465" s="201"/>
      <c r="Z465" s="201"/>
    </row>
    <row r="466">
      <c r="A466" s="273"/>
      <c r="B466" s="276"/>
      <c r="C466" s="273"/>
      <c r="D466" s="202"/>
      <c r="E466" s="202"/>
      <c r="F466" s="202"/>
      <c r="G466" s="202"/>
      <c r="H466" s="202"/>
      <c r="I466" s="201"/>
      <c r="J466" s="202"/>
      <c r="K466" s="273"/>
      <c r="L466" s="202"/>
      <c r="M466" s="202"/>
      <c r="N466" s="202"/>
      <c r="O466" s="202"/>
      <c r="P466" s="202"/>
      <c r="Q466" s="202"/>
      <c r="R466" s="201"/>
      <c r="S466" s="202"/>
      <c r="T466" s="273"/>
      <c r="U466" s="202"/>
      <c r="V466" s="202"/>
      <c r="W466" s="202"/>
      <c r="X466" s="202"/>
      <c r="Y466" s="201"/>
      <c r="Z466" s="201"/>
    </row>
    <row r="467">
      <c r="A467" s="273"/>
      <c r="B467" s="276"/>
      <c r="C467" s="273"/>
      <c r="D467" s="202"/>
      <c r="E467" s="202"/>
      <c r="F467" s="202"/>
      <c r="G467" s="202"/>
      <c r="H467" s="202"/>
      <c r="I467" s="201"/>
      <c r="J467" s="202"/>
      <c r="K467" s="273"/>
      <c r="L467" s="202"/>
      <c r="M467" s="202"/>
      <c r="N467" s="202"/>
      <c r="O467" s="202"/>
      <c r="P467" s="202"/>
      <c r="Q467" s="202"/>
      <c r="R467" s="201"/>
      <c r="S467" s="202"/>
      <c r="T467" s="273"/>
      <c r="U467" s="202"/>
      <c r="V467" s="202"/>
      <c r="W467" s="202"/>
      <c r="X467" s="202"/>
      <c r="Y467" s="201"/>
      <c r="Z467" s="201"/>
    </row>
    <row r="468">
      <c r="A468" s="273"/>
      <c r="B468" s="276"/>
      <c r="C468" s="273"/>
      <c r="D468" s="202"/>
      <c r="E468" s="202"/>
      <c r="F468" s="202"/>
      <c r="G468" s="202"/>
      <c r="H468" s="202"/>
      <c r="I468" s="201"/>
      <c r="J468" s="202"/>
      <c r="K468" s="273"/>
      <c r="L468" s="202"/>
      <c r="M468" s="202"/>
      <c r="N468" s="202"/>
      <c r="O468" s="202"/>
      <c r="P468" s="202"/>
      <c r="Q468" s="202"/>
      <c r="R468" s="201"/>
      <c r="S468" s="202"/>
      <c r="T468" s="273"/>
      <c r="U468" s="202"/>
      <c r="V468" s="202"/>
      <c r="W468" s="202"/>
      <c r="X468" s="202"/>
      <c r="Y468" s="201"/>
      <c r="Z468" s="201"/>
    </row>
    <row r="469">
      <c r="A469" s="273"/>
      <c r="B469" s="276"/>
      <c r="C469" s="273"/>
      <c r="D469" s="202"/>
      <c r="E469" s="202"/>
      <c r="F469" s="202"/>
      <c r="G469" s="202"/>
      <c r="H469" s="202"/>
      <c r="I469" s="201"/>
      <c r="J469" s="202"/>
      <c r="K469" s="273"/>
      <c r="L469" s="202"/>
      <c r="M469" s="202"/>
      <c r="N469" s="202"/>
      <c r="O469" s="202"/>
      <c r="P469" s="202"/>
      <c r="Q469" s="202"/>
      <c r="R469" s="201"/>
      <c r="S469" s="202"/>
      <c r="T469" s="273"/>
      <c r="U469" s="202"/>
      <c r="V469" s="202"/>
      <c r="W469" s="202"/>
      <c r="X469" s="202"/>
      <c r="Y469" s="201"/>
      <c r="Z469" s="201"/>
    </row>
    <row r="470">
      <c r="A470" s="273"/>
      <c r="B470" s="276"/>
      <c r="C470" s="273"/>
      <c r="D470" s="202"/>
      <c r="E470" s="202"/>
      <c r="F470" s="202"/>
      <c r="G470" s="202"/>
      <c r="H470" s="202"/>
      <c r="I470" s="201"/>
      <c r="J470" s="202"/>
      <c r="K470" s="273"/>
      <c r="L470" s="202"/>
      <c r="M470" s="202"/>
      <c r="N470" s="202"/>
      <c r="O470" s="202"/>
      <c r="P470" s="202"/>
      <c r="Q470" s="202"/>
      <c r="R470" s="201"/>
      <c r="S470" s="202"/>
      <c r="T470" s="273"/>
      <c r="U470" s="202"/>
      <c r="V470" s="202"/>
      <c r="W470" s="202"/>
      <c r="X470" s="202"/>
      <c r="Y470" s="201"/>
      <c r="Z470" s="201"/>
    </row>
    <row r="471">
      <c r="A471" s="273"/>
      <c r="B471" s="276"/>
      <c r="C471" s="273"/>
      <c r="D471" s="202"/>
      <c r="E471" s="202"/>
      <c r="F471" s="202"/>
      <c r="G471" s="202"/>
      <c r="H471" s="202"/>
      <c r="I471" s="201"/>
      <c r="J471" s="202"/>
      <c r="K471" s="273"/>
      <c r="L471" s="202"/>
      <c r="M471" s="202"/>
      <c r="N471" s="202"/>
      <c r="O471" s="202"/>
      <c r="P471" s="202"/>
      <c r="Q471" s="202"/>
      <c r="R471" s="201"/>
      <c r="S471" s="202"/>
      <c r="T471" s="273"/>
      <c r="U471" s="202"/>
      <c r="V471" s="202"/>
      <c r="W471" s="202"/>
      <c r="X471" s="202"/>
      <c r="Y471" s="201"/>
      <c r="Z471" s="201"/>
    </row>
    <row r="472">
      <c r="A472" s="273"/>
      <c r="B472" s="276"/>
      <c r="C472" s="273"/>
      <c r="D472" s="202"/>
      <c r="E472" s="202"/>
      <c r="F472" s="202"/>
      <c r="G472" s="202"/>
      <c r="H472" s="202"/>
      <c r="I472" s="201"/>
      <c r="J472" s="202"/>
      <c r="K472" s="273"/>
      <c r="L472" s="202"/>
      <c r="M472" s="202"/>
      <c r="N472" s="202"/>
      <c r="O472" s="202"/>
      <c r="P472" s="202"/>
      <c r="Q472" s="202"/>
      <c r="R472" s="201"/>
      <c r="S472" s="202"/>
      <c r="T472" s="273"/>
      <c r="U472" s="202"/>
      <c r="V472" s="202"/>
      <c r="W472" s="202"/>
      <c r="X472" s="202"/>
      <c r="Y472" s="201"/>
      <c r="Z472" s="201"/>
    </row>
    <row r="473">
      <c r="A473" s="273"/>
      <c r="B473" s="276"/>
      <c r="C473" s="273"/>
      <c r="D473" s="202"/>
      <c r="E473" s="202"/>
      <c r="F473" s="202"/>
      <c r="G473" s="202"/>
      <c r="H473" s="202"/>
      <c r="I473" s="201"/>
      <c r="J473" s="202"/>
      <c r="K473" s="273"/>
      <c r="L473" s="202"/>
      <c r="M473" s="202"/>
      <c r="N473" s="202"/>
      <c r="O473" s="202"/>
      <c r="P473" s="202"/>
      <c r="Q473" s="202"/>
      <c r="R473" s="201"/>
      <c r="S473" s="202"/>
      <c r="T473" s="273"/>
      <c r="U473" s="202"/>
      <c r="V473" s="202"/>
      <c r="W473" s="202"/>
      <c r="X473" s="202"/>
      <c r="Y473" s="201"/>
      <c r="Z473" s="201"/>
    </row>
    <row r="474">
      <c r="A474" s="273"/>
      <c r="B474" s="276"/>
      <c r="C474" s="273"/>
      <c r="D474" s="202"/>
      <c r="E474" s="202"/>
      <c r="F474" s="202"/>
      <c r="G474" s="202"/>
      <c r="H474" s="202"/>
      <c r="I474" s="201"/>
      <c r="J474" s="202"/>
      <c r="K474" s="273"/>
      <c r="L474" s="202"/>
      <c r="M474" s="202"/>
      <c r="N474" s="202"/>
      <c r="O474" s="202"/>
      <c r="P474" s="202"/>
      <c r="Q474" s="202"/>
      <c r="R474" s="201"/>
      <c r="S474" s="202"/>
      <c r="T474" s="273"/>
      <c r="U474" s="202"/>
      <c r="V474" s="202"/>
      <c r="W474" s="202"/>
      <c r="X474" s="202"/>
      <c r="Y474" s="201"/>
      <c r="Z474" s="201"/>
    </row>
    <row r="475">
      <c r="A475" s="273"/>
      <c r="B475" s="276"/>
      <c r="C475" s="273"/>
      <c r="D475" s="202"/>
      <c r="E475" s="202"/>
      <c r="F475" s="202"/>
      <c r="G475" s="202"/>
      <c r="H475" s="202"/>
      <c r="I475" s="201"/>
      <c r="J475" s="202"/>
      <c r="K475" s="273"/>
      <c r="L475" s="202"/>
      <c r="M475" s="202"/>
      <c r="N475" s="202"/>
      <c r="O475" s="202"/>
      <c r="P475" s="202"/>
      <c r="Q475" s="202"/>
      <c r="R475" s="201"/>
      <c r="S475" s="202"/>
      <c r="T475" s="273"/>
      <c r="U475" s="202"/>
      <c r="V475" s="202"/>
      <c r="W475" s="202"/>
      <c r="X475" s="202"/>
      <c r="Y475" s="201"/>
      <c r="Z475" s="201"/>
    </row>
    <row r="476">
      <c r="A476" s="273"/>
      <c r="B476" s="276"/>
      <c r="C476" s="273"/>
      <c r="D476" s="202"/>
      <c r="E476" s="202"/>
      <c r="F476" s="202"/>
      <c r="G476" s="202"/>
      <c r="H476" s="202"/>
      <c r="I476" s="201"/>
      <c r="J476" s="202"/>
      <c r="K476" s="273"/>
      <c r="L476" s="202"/>
      <c r="M476" s="202"/>
      <c r="N476" s="202"/>
      <c r="O476" s="202"/>
      <c r="P476" s="202"/>
      <c r="Q476" s="202"/>
      <c r="R476" s="201"/>
      <c r="S476" s="202"/>
      <c r="T476" s="273"/>
      <c r="U476" s="202"/>
      <c r="V476" s="202"/>
      <c r="W476" s="202"/>
      <c r="X476" s="202"/>
      <c r="Y476" s="201"/>
      <c r="Z476" s="201"/>
    </row>
    <row r="477">
      <c r="A477" s="273"/>
      <c r="B477" s="276"/>
      <c r="C477" s="273"/>
      <c r="D477" s="202"/>
      <c r="E477" s="202"/>
      <c r="F477" s="202"/>
      <c r="G477" s="202"/>
      <c r="H477" s="202"/>
      <c r="I477" s="201"/>
      <c r="J477" s="202"/>
      <c r="K477" s="273"/>
      <c r="L477" s="202"/>
      <c r="M477" s="202"/>
      <c r="N477" s="202"/>
      <c r="O477" s="202"/>
      <c r="P477" s="202"/>
      <c r="Q477" s="202"/>
      <c r="R477" s="201"/>
      <c r="S477" s="202"/>
      <c r="T477" s="273"/>
      <c r="U477" s="202"/>
      <c r="V477" s="202"/>
      <c r="W477" s="202"/>
      <c r="X477" s="202"/>
      <c r="Y477" s="201"/>
      <c r="Z477" s="201"/>
    </row>
    <row r="478">
      <c r="A478" s="273"/>
      <c r="B478" s="276"/>
      <c r="C478" s="273"/>
      <c r="D478" s="202"/>
      <c r="E478" s="202"/>
      <c r="F478" s="202"/>
      <c r="G478" s="202"/>
      <c r="H478" s="202"/>
      <c r="I478" s="201"/>
      <c r="J478" s="202"/>
      <c r="K478" s="273"/>
      <c r="L478" s="202"/>
      <c r="M478" s="202"/>
      <c r="N478" s="202"/>
      <c r="O478" s="202"/>
      <c r="P478" s="202"/>
      <c r="Q478" s="202"/>
      <c r="R478" s="201"/>
      <c r="S478" s="202"/>
      <c r="T478" s="273"/>
      <c r="U478" s="202"/>
      <c r="V478" s="202"/>
      <c r="W478" s="202"/>
      <c r="X478" s="202"/>
      <c r="Y478" s="201"/>
      <c r="Z478" s="201"/>
    </row>
    <row r="479">
      <c r="A479" s="273"/>
      <c r="B479" s="276"/>
      <c r="C479" s="273"/>
      <c r="D479" s="202"/>
      <c r="E479" s="202"/>
      <c r="F479" s="202"/>
      <c r="G479" s="202"/>
      <c r="H479" s="202"/>
      <c r="I479" s="201"/>
      <c r="J479" s="202"/>
      <c r="K479" s="273"/>
      <c r="L479" s="202"/>
      <c r="M479" s="202"/>
      <c r="N479" s="202"/>
      <c r="O479" s="202"/>
      <c r="P479" s="202"/>
      <c r="Q479" s="202"/>
      <c r="R479" s="201"/>
      <c r="S479" s="202"/>
      <c r="T479" s="273"/>
      <c r="U479" s="202"/>
      <c r="V479" s="202"/>
      <c r="W479" s="202"/>
      <c r="X479" s="202"/>
      <c r="Y479" s="201"/>
      <c r="Z479" s="201"/>
    </row>
    <row r="480">
      <c r="A480" s="273"/>
      <c r="B480" s="276"/>
      <c r="C480" s="273"/>
      <c r="D480" s="202"/>
      <c r="E480" s="202"/>
      <c r="F480" s="202"/>
      <c r="G480" s="202"/>
      <c r="H480" s="202"/>
      <c r="I480" s="201"/>
      <c r="J480" s="202"/>
      <c r="K480" s="273"/>
      <c r="L480" s="202"/>
      <c r="M480" s="202"/>
      <c r="N480" s="202"/>
      <c r="O480" s="202"/>
      <c r="P480" s="202"/>
      <c r="Q480" s="202"/>
      <c r="R480" s="201"/>
      <c r="S480" s="202"/>
      <c r="T480" s="273"/>
      <c r="U480" s="202"/>
      <c r="V480" s="202"/>
      <c r="W480" s="202"/>
      <c r="X480" s="202"/>
      <c r="Y480" s="201"/>
      <c r="Z480" s="201"/>
    </row>
    <row r="481">
      <c r="A481" s="273"/>
      <c r="B481" s="276"/>
      <c r="C481" s="273"/>
      <c r="D481" s="202"/>
      <c r="E481" s="202"/>
      <c r="F481" s="202"/>
      <c r="G481" s="202"/>
      <c r="H481" s="202"/>
      <c r="I481" s="201"/>
      <c r="J481" s="202"/>
      <c r="K481" s="273"/>
      <c r="L481" s="202"/>
      <c r="M481" s="202"/>
      <c r="N481" s="202"/>
      <c r="O481" s="202"/>
      <c r="P481" s="202"/>
      <c r="Q481" s="202"/>
      <c r="R481" s="201"/>
      <c r="S481" s="202"/>
      <c r="T481" s="273"/>
      <c r="U481" s="202"/>
      <c r="V481" s="202"/>
      <c r="W481" s="202"/>
      <c r="X481" s="202"/>
      <c r="Y481" s="201"/>
      <c r="Z481" s="201"/>
    </row>
    <row r="482">
      <c r="A482" s="273"/>
      <c r="B482" s="276"/>
      <c r="C482" s="273"/>
      <c r="D482" s="202"/>
      <c r="E482" s="202"/>
      <c r="F482" s="202"/>
      <c r="G482" s="202"/>
      <c r="H482" s="202"/>
      <c r="I482" s="201"/>
      <c r="J482" s="202"/>
      <c r="K482" s="273"/>
      <c r="L482" s="202"/>
      <c r="M482" s="202"/>
      <c r="N482" s="202"/>
      <c r="O482" s="202"/>
      <c r="P482" s="202"/>
      <c r="Q482" s="202"/>
      <c r="R482" s="201"/>
      <c r="S482" s="202"/>
      <c r="T482" s="273"/>
      <c r="U482" s="202"/>
      <c r="V482" s="202"/>
      <c r="W482" s="202"/>
      <c r="X482" s="202"/>
      <c r="Y482" s="201"/>
      <c r="Z482" s="201"/>
    </row>
    <row r="483">
      <c r="A483" s="273"/>
      <c r="B483" s="276"/>
      <c r="C483" s="273"/>
      <c r="D483" s="202"/>
      <c r="E483" s="202"/>
      <c r="F483" s="202"/>
      <c r="G483" s="202"/>
      <c r="H483" s="202"/>
      <c r="I483" s="201"/>
      <c r="J483" s="202"/>
      <c r="K483" s="273"/>
      <c r="L483" s="202"/>
      <c r="M483" s="202"/>
      <c r="N483" s="202"/>
      <c r="O483" s="202"/>
      <c r="P483" s="202"/>
      <c r="Q483" s="202"/>
      <c r="R483" s="201"/>
      <c r="S483" s="202"/>
      <c r="T483" s="273"/>
      <c r="U483" s="202"/>
      <c r="V483" s="202"/>
      <c r="W483" s="202"/>
      <c r="X483" s="202"/>
      <c r="Y483" s="201"/>
      <c r="Z483" s="201"/>
    </row>
    <row r="484">
      <c r="A484" s="273"/>
      <c r="B484" s="276"/>
      <c r="C484" s="273"/>
      <c r="D484" s="202"/>
      <c r="E484" s="202"/>
      <c r="F484" s="202"/>
      <c r="G484" s="202"/>
      <c r="H484" s="202"/>
      <c r="I484" s="201"/>
      <c r="J484" s="202"/>
      <c r="K484" s="273"/>
      <c r="L484" s="202"/>
      <c r="M484" s="202"/>
      <c r="N484" s="202"/>
      <c r="O484" s="202"/>
      <c r="P484" s="202"/>
      <c r="Q484" s="202"/>
      <c r="R484" s="201"/>
      <c r="S484" s="202"/>
      <c r="T484" s="273"/>
      <c r="U484" s="202"/>
      <c r="V484" s="202"/>
      <c r="W484" s="202"/>
      <c r="X484" s="202"/>
      <c r="Y484" s="201"/>
      <c r="Z484" s="201"/>
    </row>
    <row r="485">
      <c r="A485" s="273"/>
      <c r="B485" s="276"/>
      <c r="C485" s="273"/>
      <c r="D485" s="202"/>
      <c r="E485" s="202"/>
      <c r="F485" s="202"/>
      <c r="G485" s="202"/>
      <c r="H485" s="202"/>
      <c r="I485" s="201"/>
      <c r="J485" s="202"/>
      <c r="K485" s="273"/>
      <c r="L485" s="202"/>
      <c r="M485" s="202"/>
      <c r="N485" s="202"/>
      <c r="O485" s="202"/>
      <c r="P485" s="202"/>
      <c r="Q485" s="202"/>
      <c r="R485" s="201"/>
      <c r="S485" s="202"/>
      <c r="T485" s="273"/>
      <c r="U485" s="202"/>
      <c r="V485" s="202"/>
      <c r="W485" s="202"/>
      <c r="X485" s="202"/>
      <c r="Y485" s="201"/>
      <c r="Z485" s="201"/>
    </row>
    <row r="486">
      <c r="A486" s="273"/>
      <c r="B486" s="276"/>
      <c r="C486" s="273"/>
      <c r="D486" s="202"/>
      <c r="E486" s="202"/>
      <c r="F486" s="202"/>
      <c r="G486" s="202"/>
      <c r="H486" s="202"/>
      <c r="I486" s="201"/>
      <c r="J486" s="202"/>
      <c r="K486" s="273"/>
      <c r="L486" s="202"/>
      <c r="M486" s="202"/>
      <c r="N486" s="202"/>
      <c r="O486" s="202"/>
      <c r="P486" s="202"/>
      <c r="Q486" s="202"/>
      <c r="R486" s="201"/>
      <c r="S486" s="202"/>
      <c r="T486" s="273"/>
      <c r="U486" s="202"/>
      <c r="V486" s="202"/>
      <c r="W486" s="202"/>
      <c r="X486" s="202"/>
      <c r="Y486" s="201"/>
      <c r="Z486" s="201"/>
    </row>
    <row r="487">
      <c r="A487" s="273"/>
      <c r="B487" s="276"/>
      <c r="C487" s="273"/>
      <c r="D487" s="202"/>
      <c r="E487" s="202"/>
      <c r="F487" s="202"/>
      <c r="G487" s="202"/>
      <c r="H487" s="202"/>
      <c r="I487" s="201"/>
      <c r="J487" s="202"/>
      <c r="K487" s="273"/>
      <c r="L487" s="202"/>
      <c r="M487" s="202"/>
      <c r="N487" s="202"/>
      <c r="O487" s="202"/>
      <c r="P487" s="202"/>
      <c r="Q487" s="202"/>
      <c r="R487" s="201"/>
      <c r="S487" s="202"/>
      <c r="T487" s="273"/>
      <c r="U487" s="202"/>
      <c r="V487" s="202"/>
      <c r="W487" s="202"/>
      <c r="X487" s="202"/>
      <c r="Y487" s="201"/>
      <c r="Z487" s="201"/>
    </row>
    <row r="488">
      <c r="A488" s="273"/>
      <c r="B488" s="276"/>
      <c r="C488" s="273"/>
      <c r="D488" s="202"/>
      <c r="E488" s="202"/>
      <c r="F488" s="202"/>
      <c r="G488" s="202"/>
      <c r="H488" s="202"/>
      <c r="I488" s="201"/>
      <c r="J488" s="202"/>
      <c r="K488" s="273"/>
      <c r="L488" s="202"/>
      <c r="M488" s="202"/>
      <c r="N488" s="202"/>
      <c r="O488" s="202"/>
      <c r="P488" s="202"/>
      <c r="Q488" s="202"/>
      <c r="R488" s="201"/>
      <c r="S488" s="202"/>
      <c r="T488" s="273"/>
      <c r="U488" s="202"/>
      <c r="V488" s="202"/>
      <c r="W488" s="202"/>
      <c r="X488" s="202"/>
      <c r="Y488" s="201"/>
      <c r="Z488" s="201"/>
    </row>
    <row r="489">
      <c r="A489" s="273"/>
      <c r="B489" s="276"/>
      <c r="C489" s="273"/>
      <c r="D489" s="202"/>
      <c r="E489" s="202"/>
      <c r="F489" s="202"/>
      <c r="G489" s="202"/>
      <c r="H489" s="202"/>
      <c r="I489" s="201"/>
      <c r="J489" s="202"/>
      <c r="K489" s="273"/>
      <c r="L489" s="202"/>
      <c r="M489" s="202"/>
      <c r="N489" s="202"/>
      <c r="O489" s="202"/>
      <c r="P489" s="202"/>
      <c r="Q489" s="202"/>
      <c r="R489" s="201"/>
      <c r="S489" s="202"/>
      <c r="T489" s="273"/>
      <c r="U489" s="202"/>
      <c r="V489" s="202"/>
      <c r="W489" s="202"/>
      <c r="X489" s="202"/>
      <c r="Y489" s="201"/>
      <c r="Z489" s="201"/>
    </row>
    <row r="490">
      <c r="A490" s="273"/>
      <c r="B490" s="276"/>
      <c r="C490" s="273"/>
      <c r="D490" s="202"/>
      <c r="E490" s="202"/>
      <c r="F490" s="202"/>
      <c r="G490" s="202"/>
      <c r="H490" s="202"/>
      <c r="I490" s="201"/>
      <c r="J490" s="202"/>
      <c r="K490" s="273"/>
      <c r="L490" s="202"/>
      <c r="M490" s="202"/>
      <c r="N490" s="202"/>
      <c r="O490" s="202"/>
      <c r="P490" s="202"/>
      <c r="Q490" s="202"/>
      <c r="R490" s="201"/>
      <c r="S490" s="202"/>
      <c r="T490" s="273"/>
      <c r="U490" s="202"/>
      <c r="V490" s="202"/>
      <c r="W490" s="202"/>
      <c r="X490" s="202"/>
      <c r="Y490" s="201"/>
      <c r="Z490" s="201"/>
    </row>
    <row r="491">
      <c r="A491" s="273"/>
      <c r="B491" s="276"/>
      <c r="C491" s="273"/>
      <c r="D491" s="202"/>
      <c r="E491" s="202"/>
      <c r="F491" s="202"/>
      <c r="G491" s="202"/>
      <c r="H491" s="202"/>
      <c r="I491" s="201"/>
      <c r="J491" s="202"/>
      <c r="K491" s="273"/>
      <c r="L491" s="202"/>
      <c r="M491" s="202"/>
      <c r="N491" s="202"/>
      <c r="O491" s="202"/>
      <c r="P491" s="202"/>
      <c r="Q491" s="202"/>
      <c r="R491" s="201"/>
      <c r="S491" s="202"/>
      <c r="T491" s="273"/>
      <c r="U491" s="202"/>
      <c r="V491" s="202"/>
      <c r="W491" s="202"/>
      <c r="X491" s="202"/>
      <c r="Y491" s="201"/>
      <c r="Z491" s="201"/>
    </row>
    <row r="492">
      <c r="A492" s="273"/>
      <c r="B492" s="276"/>
      <c r="C492" s="273"/>
      <c r="D492" s="202"/>
      <c r="E492" s="202"/>
      <c r="F492" s="202"/>
      <c r="G492" s="202"/>
      <c r="H492" s="202"/>
      <c r="I492" s="201"/>
      <c r="J492" s="202"/>
      <c r="K492" s="273"/>
      <c r="L492" s="202"/>
      <c r="M492" s="202"/>
      <c r="N492" s="202"/>
      <c r="O492" s="202"/>
      <c r="P492" s="202"/>
      <c r="Q492" s="202"/>
      <c r="R492" s="201"/>
      <c r="S492" s="202"/>
      <c r="T492" s="273"/>
      <c r="U492" s="202"/>
      <c r="V492" s="202"/>
      <c r="W492" s="202"/>
      <c r="X492" s="202"/>
      <c r="Y492" s="201"/>
      <c r="Z492" s="201"/>
    </row>
    <row r="493">
      <c r="A493" s="273"/>
      <c r="B493" s="276"/>
      <c r="C493" s="273"/>
      <c r="D493" s="202"/>
      <c r="E493" s="202"/>
      <c r="F493" s="202"/>
      <c r="G493" s="202"/>
      <c r="H493" s="202"/>
      <c r="I493" s="201"/>
      <c r="J493" s="202"/>
      <c r="K493" s="273"/>
      <c r="L493" s="202"/>
      <c r="M493" s="202"/>
      <c r="N493" s="202"/>
      <c r="O493" s="202"/>
      <c r="P493" s="202"/>
      <c r="Q493" s="202"/>
      <c r="R493" s="201"/>
      <c r="S493" s="202"/>
      <c r="T493" s="273"/>
      <c r="U493" s="202"/>
      <c r="V493" s="202"/>
      <c r="W493" s="202"/>
      <c r="X493" s="202"/>
      <c r="Y493" s="201"/>
      <c r="Z493" s="201"/>
    </row>
    <row r="494">
      <c r="A494" s="273"/>
      <c r="B494" s="276"/>
      <c r="C494" s="273"/>
      <c r="D494" s="202"/>
      <c r="E494" s="202"/>
      <c r="F494" s="202"/>
      <c r="G494" s="202"/>
      <c r="H494" s="202"/>
      <c r="I494" s="201"/>
      <c r="J494" s="202"/>
      <c r="K494" s="273"/>
      <c r="L494" s="202"/>
      <c r="M494" s="202"/>
      <c r="N494" s="202"/>
      <c r="O494" s="202"/>
      <c r="P494" s="202"/>
      <c r="Q494" s="202"/>
      <c r="R494" s="201"/>
      <c r="S494" s="202"/>
      <c r="T494" s="273"/>
      <c r="U494" s="202"/>
      <c r="V494" s="202"/>
      <c r="W494" s="202"/>
      <c r="X494" s="202"/>
      <c r="Y494" s="201"/>
      <c r="Z494" s="201"/>
    </row>
    <row r="495">
      <c r="A495" s="273"/>
      <c r="B495" s="276"/>
      <c r="C495" s="273"/>
      <c r="D495" s="202"/>
      <c r="E495" s="202"/>
      <c r="F495" s="202"/>
      <c r="G495" s="202"/>
      <c r="H495" s="202"/>
      <c r="I495" s="201"/>
      <c r="J495" s="202"/>
      <c r="K495" s="273"/>
      <c r="L495" s="202"/>
      <c r="M495" s="202"/>
      <c r="N495" s="202"/>
      <c r="O495" s="202"/>
      <c r="P495" s="202"/>
      <c r="Q495" s="202"/>
      <c r="R495" s="201"/>
      <c r="S495" s="202"/>
      <c r="T495" s="273"/>
      <c r="U495" s="202"/>
      <c r="V495" s="202"/>
      <c r="W495" s="202"/>
      <c r="X495" s="202"/>
      <c r="Y495" s="201"/>
      <c r="Z495" s="201"/>
    </row>
    <row r="496">
      <c r="A496" s="273"/>
      <c r="B496" s="276"/>
      <c r="C496" s="273"/>
      <c r="D496" s="202"/>
      <c r="E496" s="202"/>
      <c r="F496" s="202"/>
      <c r="G496" s="202"/>
      <c r="H496" s="202"/>
      <c r="I496" s="201"/>
      <c r="J496" s="202"/>
      <c r="K496" s="273"/>
      <c r="L496" s="202"/>
      <c r="M496" s="202"/>
      <c r="N496" s="202"/>
      <c r="O496" s="202"/>
      <c r="P496" s="202"/>
      <c r="Q496" s="202"/>
      <c r="R496" s="201"/>
      <c r="S496" s="202"/>
      <c r="T496" s="273"/>
      <c r="U496" s="202"/>
      <c r="V496" s="202"/>
      <c r="W496" s="202"/>
      <c r="X496" s="202"/>
      <c r="Y496" s="201"/>
      <c r="Z496" s="201"/>
    </row>
    <row r="497">
      <c r="A497" s="273"/>
      <c r="B497" s="276"/>
      <c r="C497" s="273"/>
      <c r="D497" s="202"/>
      <c r="E497" s="202"/>
      <c r="F497" s="202"/>
      <c r="G497" s="202"/>
      <c r="H497" s="202"/>
      <c r="I497" s="201"/>
      <c r="J497" s="202"/>
      <c r="K497" s="273"/>
      <c r="L497" s="202"/>
      <c r="M497" s="202"/>
      <c r="N497" s="202"/>
      <c r="O497" s="202"/>
      <c r="P497" s="202"/>
      <c r="Q497" s="202"/>
      <c r="R497" s="201"/>
      <c r="S497" s="202"/>
      <c r="T497" s="273"/>
      <c r="U497" s="202"/>
      <c r="V497" s="202"/>
      <c r="W497" s="202"/>
      <c r="X497" s="202"/>
      <c r="Y497" s="201"/>
      <c r="Z497" s="201"/>
    </row>
    <row r="498">
      <c r="A498" s="273"/>
      <c r="B498" s="276"/>
      <c r="C498" s="273"/>
      <c r="D498" s="202"/>
      <c r="E498" s="202"/>
      <c r="F498" s="202"/>
      <c r="G498" s="202"/>
      <c r="H498" s="202"/>
      <c r="I498" s="201"/>
      <c r="J498" s="202"/>
      <c r="K498" s="273"/>
      <c r="L498" s="202"/>
      <c r="M498" s="202"/>
      <c r="N498" s="202"/>
      <c r="O498" s="202"/>
      <c r="P498" s="202"/>
      <c r="Q498" s="202"/>
      <c r="R498" s="201"/>
      <c r="S498" s="202"/>
      <c r="T498" s="273"/>
      <c r="U498" s="202"/>
      <c r="V498" s="202"/>
      <c r="W498" s="202"/>
      <c r="X498" s="202"/>
      <c r="Y498" s="201"/>
      <c r="Z498" s="201"/>
    </row>
    <row r="499">
      <c r="A499" s="273"/>
      <c r="B499" s="276"/>
      <c r="C499" s="273"/>
      <c r="D499" s="202"/>
      <c r="E499" s="202"/>
      <c r="F499" s="202"/>
      <c r="G499" s="202"/>
      <c r="H499" s="202"/>
      <c r="I499" s="201"/>
      <c r="J499" s="202"/>
      <c r="K499" s="273"/>
      <c r="L499" s="202"/>
      <c r="M499" s="202"/>
      <c r="N499" s="202"/>
      <c r="O499" s="202"/>
      <c r="P499" s="202"/>
      <c r="Q499" s="202"/>
      <c r="R499" s="201"/>
      <c r="S499" s="202"/>
      <c r="T499" s="273"/>
      <c r="U499" s="202"/>
      <c r="V499" s="202"/>
      <c r="W499" s="202"/>
      <c r="X499" s="202"/>
      <c r="Y499" s="201"/>
      <c r="Z499" s="201"/>
    </row>
    <row r="500">
      <c r="A500" s="273"/>
      <c r="B500" s="276"/>
      <c r="C500" s="273"/>
      <c r="D500" s="202"/>
      <c r="E500" s="202"/>
      <c r="F500" s="202"/>
      <c r="G500" s="202"/>
      <c r="H500" s="202"/>
      <c r="I500" s="201"/>
      <c r="J500" s="202"/>
      <c r="K500" s="273"/>
      <c r="L500" s="202"/>
      <c r="M500" s="202"/>
      <c r="N500" s="202"/>
      <c r="O500" s="202"/>
      <c r="P500" s="202"/>
      <c r="Q500" s="202"/>
      <c r="R500" s="201"/>
      <c r="S500" s="202"/>
      <c r="T500" s="273"/>
      <c r="U500" s="202"/>
      <c r="V500" s="202"/>
      <c r="W500" s="202"/>
      <c r="X500" s="202"/>
      <c r="Y500" s="201"/>
      <c r="Z500" s="201"/>
    </row>
    <row r="501">
      <c r="A501" s="273"/>
      <c r="B501" s="276"/>
      <c r="C501" s="273"/>
      <c r="D501" s="202"/>
      <c r="E501" s="202"/>
      <c r="F501" s="202"/>
      <c r="G501" s="202"/>
      <c r="H501" s="202"/>
      <c r="I501" s="201"/>
      <c r="J501" s="202"/>
      <c r="K501" s="273"/>
      <c r="L501" s="202"/>
      <c r="M501" s="202"/>
      <c r="N501" s="202"/>
      <c r="O501" s="202"/>
      <c r="P501" s="202"/>
      <c r="Q501" s="202"/>
      <c r="R501" s="201"/>
      <c r="S501" s="202"/>
      <c r="T501" s="273"/>
      <c r="U501" s="202"/>
      <c r="V501" s="202"/>
      <c r="W501" s="202"/>
      <c r="X501" s="202"/>
      <c r="Y501" s="201"/>
      <c r="Z501" s="201"/>
    </row>
    <row r="502">
      <c r="A502" s="273"/>
      <c r="B502" s="276"/>
      <c r="C502" s="273"/>
      <c r="D502" s="202"/>
      <c r="E502" s="202"/>
      <c r="F502" s="202"/>
      <c r="G502" s="202"/>
      <c r="H502" s="202"/>
      <c r="I502" s="201"/>
      <c r="J502" s="202"/>
      <c r="K502" s="273"/>
      <c r="L502" s="202"/>
      <c r="M502" s="202"/>
      <c r="N502" s="202"/>
      <c r="O502" s="202"/>
      <c r="P502" s="202"/>
      <c r="Q502" s="202"/>
      <c r="R502" s="201"/>
      <c r="S502" s="202"/>
      <c r="T502" s="273"/>
      <c r="U502" s="202"/>
      <c r="V502" s="202"/>
      <c r="W502" s="202"/>
      <c r="X502" s="202"/>
      <c r="Y502" s="201"/>
      <c r="Z502" s="201"/>
    </row>
    <row r="503">
      <c r="A503" s="273"/>
      <c r="B503" s="276"/>
      <c r="C503" s="273"/>
      <c r="D503" s="202"/>
      <c r="E503" s="202"/>
      <c r="F503" s="202"/>
      <c r="G503" s="202"/>
      <c r="H503" s="202"/>
      <c r="I503" s="201"/>
      <c r="J503" s="202"/>
      <c r="K503" s="273"/>
      <c r="L503" s="202"/>
      <c r="M503" s="202"/>
      <c r="N503" s="202"/>
      <c r="O503" s="202"/>
      <c r="P503" s="202"/>
      <c r="Q503" s="202"/>
      <c r="R503" s="201"/>
      <c r="S503" s="202"/>
      <c r="T503" s="273"/>
      <c r="U503" s="202"/>
      <c r="V503" s="202"/>
      <c r="W503" s="202"/>
      <c r="X503" s="202"/>
      <c r="Y503" s="201"/>
      <c r="Z503" s="201"/>
    </row>
    <row r="504">
      <c r="A504" s="273"/>
      <c r="B504" s="276"/>
      <c r="C504" s="273"/>
      <c r="D504" s="202"/>
      <c r="E504" s="202"/>
      <c r="F504" s="202"/>
      <c r="G504" s="202"/>
      <c r="H504" s="202"/>
      <c r="I504" s="201"/>
      <c r="J504" s="202"/>
      <c r="K504" s="273"/>
      <c r="L504" s="202"/>
      <c r="M504" s="202"/>
      <c r="N504" s="202"/>
      <c r="O504" s="202"/>
      <c r="P504" s="202"/>
      <c r="Q504" s="202"/>
      <c r="R504" s="201"/>
      <c r="S504" s="202"/>
      <c r="T504" s="273"/>
      <c r="U504" s="202"/>
      <c r="V504" s="202"/>
      <c r="W504" s="202"/>
      <c r="X504" s="202"/>
      <c r="Y504" s="201"/>
      <c r="Z504" s="201"/>
    </row>
    <row r="505">
      <c r="A505" s="273"/>
      <c r="B505" s="276"/>
      <c r="C505" s="273"/>
      <c r="D505" s="202"/>
      <c r="E505" s="202"/>
      <c r="F505" s="202"/>
      <c r="G505" s="202"/>
      <c r="H505" s="202"/>
      <c r="I505" s="201"/>
      <c r="J505" s="202"/>
      <c r="K505" s="273"/>
      <c r="L505" s="202"/>
      <c r="M505" s="202"/>
      <c r="N505" s="202"/>
      <c r="O505" s="202"/>
      <c r="P505" s="202"/>
      <c r="Q505" s="202"/>
      <c r="R505" s="201"/>
      <c r="S505" s="202"/>
      <c r="T505" s="273"/>
      <c r="U505" s="202"/>
      <c r="V505" s="202"/>
      <c r="W505" s="202"/>
      <c r="X505" s="202"/>
      <c r="Y505" s="201"/>
      <c r="Z505" s="201"/>
    </row>
    <row r="506">
      <c r="A506" s="273"/>
      <c r="B506" s="276"/>
      <c r="C506" s="273"/>
      <c r="D506" s="202"/>
      <c r="E506" s="202"/>
      <c r="F506" s="202"/>
      <c r="G506" s="202"/>
      <c r="H506" s="202"/>
      <c r="I506" s="201"/>
      <c r="J506" s="202"/>
      <c r="K506" s="273"/>
      <c r="L506" s="202"/>
      <c r="M506" s="202"/>
      <c r="N506" s="202"/>
      <c r="O506" s="202"/>
      <c r="P506" s="202"/>
      <c r="Q506" s="202"/>
      <c r="R506" s="201"/>
      <c r="S506" s="202"/>
      <c r="T506" s="273"/>
      <c r="U506" s="202"/>
      <c r="V506" s="202"/>
      <c r="W506" s="202"/>
      <c r="X506" s="202"/>
      <c r="Y506" s="201"/>
      <c r="Z506" s="201"/>
    </row>
    <row r="507">
      <c r="A507" s="273"/>
      <c r="B507" s="276"/>
      <c r="C507" s="273"/>
      <c r="D507" s="202"/>
      <c r="E507" s="202"/>
      <c r="F507" s="202"/>
      <c r="G507" s="202"/>
      <c r="H507" s="202"/>
      <c r="I507" s="201"/>
      <c r="J507" s="202"/>
      <c r="K507" s="273"/>
      <c r="L507" s="202"/>
      <c r="M507" s="202"/>
      <c r="N507" s="202"/>
      <c r="O507" s="202"/>
      <c r="P507" s="202"/>
      <c r="Q507" s="202"/>
      <c r="R507" s="201"/>
      <c r="S507" s="202"/>
      <c r="T507" s="273"/>
      <c r="U507" s="202"/>
      <c r="V507" s="202"/>
      <c r="W507" s="202"/>
      <c r="X507" s="202"/>
      <c r="Y507" s="201"/>
      <c r="Z507" s="201"/>
    </row>
    <row r="508">
      <c r="A508" s="273"/>
      <c r="B508" s="276"/>
      <c r="C508" s="273"/>
      <c r="D508" s="202"/>
      <c r="E508" s="202"/>
      <c r="F508" s="202"/>
      <c r="G508" s="202"/>
      <c r="H508" s="202"/>
      <c r="I508" s="201"/>
      <c r="J508" s="202"/>
      <c r="K508" s="273"/>
      <c r="L508" s="202"/>
      <c r="M508" s="202"/>
      <c r="N508" s="202"/>
      <c r="O508" s="202"/>
      <c r="P508" s="202"/>
      <c r="Q508" s="202"/>
      <c r="R508" s="201"/>
      <c r="S508" s="202"/>
      <c r="T508" s="273"/>
      <c r="U508" s="202"/>
      <c r="V508" s="202"/>
      <c r="W508" s="202"/>
      <c r="X508" s="202"/>
      <c r="Y508" s="201"/>
      <c r="Z508" s="201"/>
    </row>
    <row r="509">
      <c r="A509" s="273"/>
      <c r="B509" s="276"/>
      <c r="C509" s="273"/>
      <c r="D509" s="202"/>
      <c r="E509" s="202"/>
      <c r="F509" s="202"/>
      <c r="G509" s="202"/>
      <c r="H509" s="202"/>
      <c r="I509" s="201"/>
      <c r="J509" s="202"/>
      <c r="K509" s="273"/>
      <c r="L509" s="202"/>
      <c r="M509" s="202"/>
      <c r="N509" s="202"/>
      <c r="O509" s="202"/>
      <c r="P509" s="202"/>
      <c r="Q509" s="202"/>
      <c r="R509" s="201"/>
      <c r="S509" s="202"/>
      <c r="T509" s="273"/>
      <c r="U509" s="202"/>
      <c r="V509" s="202"/>
      <c r="W509" s="202"/>
      <c r="X509" s="202"/>
      <c r="Y509" s="201"/>
      <c r="Z509" s="201"/>
    </row>
    <row r="510">
      <c r="A510" s="273"/>
      <c r="B510" s="276"/>
      <c r="C510" s="273"/>
      <c r="D510" s="202"/>
      <c r="E510" s="202"/>
      <c r="F510" s="202"/>
      <c r="G510" s="202"/>
      <c r="H510" s="202"/>
      <c r="I510" s="201"/>
      <c r="J510" s="202"/>
      <c r="K510" s="273"/>
      <c r="L510" s="202"/>
      <c r="M510" s="202"/>
      <c r="N510" s="202"/>
      <c r="O510" s="202"/>
      <c r="P510" s="202"/>
      <c r="Q510" s="202"/>
      <c r="R510" s="201"/>
      <c r="S510" s="202"/>
      <c r="T510" s="273"/>
      <c r="U510" s="202"/>
      <c r="V510" s="202"/>
      <c r="W510" s="202"/>
      <c r="X510" s="202"/>
      <c r="Y510" s="201"/>
      <c r="Z510" s="201"/>
    </row>
    <row r="511">
      <c r="A511" s="273"/>
      <c r="B511" s="276"/>
      <c r="C511" s="273"/>
      <c r="D511" s="202"/>
      <c r="E511" s="202"/>
      <c r="F511" s="202"/>
      <c r="G511" s="202"/>
      <c r="H511" s="202"/>
      <c r="I511" s="201"/>
      <c r="J511" s="202"/>
      <c r="K511" s="273"/>
      <c r="L511" s="202"/>
      <c r="M511" s="202"/>
      <c r="N511" s="202"/>
      <c r="O511" s="202"/>
      <c r="P511" s="202"/>
      <c r="Q511" s="202"/>
      <c r="R511" s="201"/>
      <c r="S511" s="202"/>
      <c r="T511" s="273"/>
      <c r="U511" s="202"/>
      <c r="V511" s="202"/>
      <c r="W511" s="202"/>
      <c r="X511" s="202"/>
      <c r="Y511" s="201"/>
      <c r="Z511" s="201"/>
    </row>
    <row r="512">
      <c r="A512" s="273"/>
      <c r="B512" s="276"/>
      <c r="C512" s="273"/>
      <c r="D512" s="202"/>
      <c r="E512" s="202"/>
      <c r="F512" s="202"/>
      <c r="G512" s="202"/>
      <c r="H512" s="202"/>
      <c r="I512" s="201"/>
      <c r="J512" s="202"/>
      <c r="K512" s="273"/>
      <c r="L512" s="202"/>
      <c r="M512" s="202"/>
      <c r="N512" s="202"/>
      <c r="O512" s="202"/>
      <c r="P512" s="202"/>
      <c r="Q512" s="202"/>
      <c r="R512" s="201"/>
      <c r="S512" s="202"/>
      <c r="T512" s="273"/>
      <c r="U512" s="202"/>
      <c r="V512" s="202"/>
      <c r="W512" s="202"/>
      <c r="X512" s="202"/>
      <c r="Y512" s="201"/>
      <c r="Z512" s="201"/>
    </row>
    <row r="513">
      <c r="A513" s="273"/>
      <c r="B513" s="276"/>
      <c r="C513" s="273"/>
      <c r="D513" s="202"/>
      <c r="E513" s="202"/>
      <c r="F513" s="202"/>
      <c r="G513" s="202"/>
      <c r="H513" s="202"/>
      <c r="I513" s="201"/>
      <c r="J513" s="202"/>
      <c r="K513" s="273"/>
      <c r="L513" s="202"/>
      <c r="M513" s="202"/>
      <c r="N513" s="202"/>
      <c r="O513" s="202"/>
      <c r="P513" s="202"/>
      <c r="Q513" s="202"/>
      <c r="R513" s="201"/>
      <c r="S513" s="202"/>
      <c r="T513" s="273"/>
      <c r="U513" s="202"/>
      <c r="V513" s="202"/>
      <c r="W513" s="202"/>
      <c r="X513" s="202"/>
      <c r="Y513" s="201"/>
      <c r="Z513" s="201"/>
    </row>
    <row r="514">
      <c r="A514" s="273"/>
      <c r="B514" s="276"/>
      <c r="C514" s="273"/>
      <c r="D514" s="202"/>
      <c r="E514" s="202"/>
      <c r="F514" s="202"/>
      <c r="G514" s="202"/>
      <c r="H514" s="202"/>
      <c r="I514" s="201"/>
      <c r="J514" s="202"/>
      <c r="K514" s="273"/>
      <c r="L514" s="202"/>
      <c r="M514" s="202"/>
      <c r="N514" s="202"/>
      <c r="O514" s="202"/>
      <c r="P514" s="202"/>
      <c r="Q514" s="202"/>
      <c r="R514" s="201"/>
      <c r="S514" s="202"/>
      <c r="T514" s="273"/>
      <c r="U514" s="202"/>
      <c r="V514" s="202"/>
      <c r="W514" s="202"/>
      <c r="X514" s="202"/>
      <c r="Y514" s="201"/>
      <c r="Z514" s="201"/>
    </row>
    <row r="515">
      <c r="A515" s="273"/>
      <c r="B515" s="276"/>
      <c r="C515" s="273"/>
      <c r="D515" s="202"/>
      <c r="E515" s="202"/>
      <c r="F515" s="202"/>
      <c r="G515" s="202"/>
      <c r="H515" s="202"/>
      <c r="I515" s="201"/>
      <c r="J515" s="202"/>
      <c r="K515" s="273"/>
      <c r="L515" s="202"/>
      <c r="M515" s="202"/>
      <c r="N515" s="202"/>
      <c r="O515" s="202"/>
      <c r="P515" s="202"/>
      <c r="Q515" s="202"/>
      <c r="R515" s="201"/>
      <c r="S515" s="202"/>
      <c r="T515" s="273"/>
      <c r="U515" s="202"/>
      <c r="V515" s="202"/>
      <c r="W515" s="202"/>
      <c r="X515" s="202"/>
      <c r="Y515" s="201"/>
      <c r="Z515" s="201"/>
    </row>
    <row r="516">
      <c r="A516" s="273"/>
      <c r="B516" s="276"/>
      <c r="C516" s="273"/>
      <c r="D516" s="202"/>
      <c r="E516" s="202"/>
      <c r="F516" s="202"/>
      <c r="G516" s="202"/>
      <c r="H516" s="202"/>
      <c r="I516" s="201"/>
      <c r="J516" s="202"/>
      <c r="K516" s="273"/>
      <c r="L516" s="202"/>
      <c r="M516" s="202"/>
      <c r="N516" s="202"/>
      <c r="O516" s="202"/>
      <c r="P516" s="202"/>
      <c r="Q516" s="202"/>
      <c r="R516" s="201"/>
      <c r="S516" s="202"/>
      <c r="T516" s="273"/>
      <c r="U516" s="202"/>
      <c r="V516" s="202"/>
      <c r="W516" s="202"/>
      <c r="X516" s="202"/>
      <c r="Y516" s="201"/>
      <c r="Z516" s="201"/>
    </row>
    <row r="517">
      <c r="A517" s="273"/>
      <c r="B517" s="276"/>
      <c r="C517" s="273"/>
      <c r="D517" s="202"/>
      <c r="E517" s="202"/>
      <c r="F517" s="202"/>
      <c r="G517" s="202"/>
      <c r="H517" s="202"/>
      <c r="I517" s="201"/>
      <c r="J517" s="202"/>
      <c r="K517" s="273"/>
      <c r="L517" s="202"/>
      <c r="M517" s="202"/>
      <c r="N517" s="202"/>
      <c r="O517" s="202"/>
      <c r="P517" s="202"/>
      <c r="Q517" s="202"/>
      <c r="R517" s="201"/>
      <c r="S517" s="202"/>
      <c r="T517" s="273"/>
      <c r="U517" s="202"/>
      <c r="V517" s="202"/>
      <c r="W517" s="202"/>
      <c r="X517" s="202"/>
      <c r="Y517" s="201"/>
      <c r="Z517" s="201"/>
    </row>
    <row r="518">
      <c r="A518" s="273"/>
      <c r="B518" s="276"/>
      <c r="C518" s="273"/>
      <c r="D518" s="202"/>
      <c r="E518" s="202"/>
      <c r="F518" s="202"/>
      <c r="G518" s="202"/>
      <c r="H518" s="202"/>
      <c r="I518" s="201"/>
      <c r="J518" s="202"/>
      <c r="K518" s="273"/>
      <c r="L518" s="202"/>
      <c r="M518" s="202"/>
      <c r="N518" s="202"/>
      <c r="O518" s="202"/>
      <c r="P518" s="202"/>
      <c r="Q518" s="202"/>
      <c r="R518" s="201"/>
      <c r="S518" s="202"/>
      <c r="T518" s="273"/>
      <c r="U518" s="202"/>
      <c r="V518" s="202"/>
      <c r="W518" s="202"/>
      <c r="X518" s="202"/>
      <c r="Y518" s="201"/>
      <c r="Z518" s="201"/>
    </row>
    <row r="519">
      <c r="A519" s="273"/>
      <c r="B519" s="276"/>
      <c r="C519" s="273"/>
      <c r="D519" s="202"/>
      <c r="E519" s="202"/>
      <c r="F519" s="202"/>
      <c r="G519" s="202"/>
      <c r="H519" s="202"/>
      <c r="I519" s="201"/>
      <c r="J519" s="202"/>
      <c r="K519" s="273"/>
      <c r="L519" s="202"/>
      <c r="M519" s="202"/>
      <c r="N519" s="202"/>
      <c r="O519" s="202"/>
      <c r="P519" s="202"/>
      <c r="Q519" s="202"/>
      <c r="R519" s="201"/>
      <c r="S519" s="202"/>
      <c r="T519" s="273"/>
      <c r="U519" s="202"/>
      <c r="V519" s="202"/>
      <c r="W519" s="202"/>
      <c r="X519" s="202"/>
      <c r="Y519" s="201"/>
      <c r="Z519" s="201"/>
    </row>
    <row r="520">
      <c r="A520" s="273"/>
      <c r="B520" s="276"/>
      <c r="C520" s="273"/>
      <c r="D520" s="202"/>
      <c r="E520" s="202"/>
      <c r="F520" s="202"/>
      <c r="G520" s="202"/>
      <c r="H520" s="202"/>
      <c r="I520" s="201"/>
      <c r="J520" s="202"/>
      <c r="K520" s="273"/>
      <c r="L520" s="202"/>
      <c r="M520" s="202"/>
      <c r="N520" s="202"/>
      <c r="O520" s="202"/>
      <c r="P520" s="202"/>
      <c r="Q520" s="202"/>
      <c r="R520" s="201"/>
      <c r="S520" s="202"/>
      <c r="T520" s="273"/>
      <c r="U520" s="202"/>
      <c r="V520" s="202"/>
      <c r="W520" s="202"/>
      <c r="X520" s="202"/>
      <c r="Y520" s="201"/>
      <c r="Z520" s="201"/>
    </row>
    <row r="521">
      <c r="A521" s="273"/>
      <c r="B521" s="276"/>
      <c r="C521" s="273"/>
      <c r="D521" s="202"/>
      <c r="E521" s="202"/>
      <c r="F521" s="202"/>
      <c r="G521" s="202"/>
      <c r="H521" s="202"/>
      <c r="I521" s="201"/>
      <c r="J521" s="202"/>
      <c r="K521" s="273"/>
      <c r="L521" s="202"/>
      <c r="M521" s="202"/>
      <c r="N521" s="202"/>
      <c r="O521" s="202"/>
      <c r="P521" s="202"/>
      <c r="Q521" s="202"/>
      <c r="R521" s="201"/>
      <c r="S521" s="202"/>
      <c r="T521" s="273"/>
      <c r="U521" s="202"/>
      <c r="V521" s="202"/>
      <c r="W521" s="202"/>
      <c r="X521" s="202"/>
      <c r="Y521" s="201"/>
      <c r="Z521" s="201"/>
    </row>
    <row r="522">
      <c r="A522" s="273"/>
      <c r="B522" s="276"/>
      <c r="C522" s="273"/>
      <c r="D522" s="202"/>
      <c r="E522" s="202"/>
      <c r="F522" s="202"/>
      <c r="G522" s="202"/>
      <c r="H522" s="202"/>
      <c r="I522" s="201"/>
      <c r="J522" s="202"/>
      <c r="K522" s="273"/>
      <c r="L522" s="202"/>
      <c r="M522" s="202"/>
      <c r="N522" s="202"/>
      <c r="O522" s="202"/>
      <c r="P522" s="202"/>
      <c r="Q522" s="202"/>
      <c r="R522" s="201"/>
      <c r="S522" s="202"/>
      <c r="T522" s="273"/>
      <c r="U522" s="202"/>
      <c r="V522" s="202"/>
      <c r="W522" s="202"/>
      <c r="X522" s="202"/>
      <c r="Y522" s="201"/>
      <c r="Z522" s="201"/>
    </row>
    <row r="523">
      <c r="A523" s="273"/>
      <c r="B523" s="276"/>
      <c r="C523" s="273"/>
      <c r="D523" s="202"/>
      <c r="E523" s="202"/>
      <c r="F523" s="202"/>
      <c r="G523" s="202"/>
      <c r="H523" s="202"/>
      <c r="I523" s="201"/>
      <c r="J523" s="202"/>
      <c r="K523" s="273"/>
      <c r="L523" s="202"/>
      <c r="M523" s="202"/>
      <c r="N523" s="202"/>
      <c r="O523" s="202"/>
      <c r="P523" s="202"/>
      <c r="Q523" s="202"/>
      <c r="R523" s="201"/>
      <c r="S523" s="202"/>
      <c r="T523" s="273"/>
      <c r="U523" s="202"/>
      <c r="V523" s="202"/>
      <c r="W523" s="202"/>
      <c r="X523" s="202"/>
      <c r="Y523" s="201"/>
      <c r="Z523" s="201"/>
    </row>
    <row r="524">
      <c r="A524" s="273"/>
      <c r="B524" s="276"/>
      <c r="C524" s="273"/>
      <c r="D524" s="202"/>
      <c r="E524" s="202"/>
      <c r="F524" s="202"/>
      <c r="G524" s="202"/>
      <c r="H524" s="202"/>
      <c r="I524" s="201"/>
      <c r="J524" s="202"/>
      <c r="K524" s="273"/>
      <c r="L524" s="202"/>
      <c r="M524" s="202"/>
      <c r="N524" s="202"/>
      <c r="O524" s="202"/>
      <c r="P524" s="202"/>
      <c r="Q524" s="202"/>
      <c r="R524" s="201"/>
      <c r="S524" s="202"/>
      <c r="T524" s="273"/>
      <c r="U524" s="202"/>
      <c r="V524" s="202"/>
      <c r="W524" s="202"/>
      <c r="X524" s="202"/>
      <c r="Y524" s="201"/>
      <c r="Z524" s="201"/>
    </row>
    <row r="525">
      <c r="A525" s="273"/>
      <c r="B525" s="276"/>
      <c r="C525" s="273"/>
      <c r="D525" s="202"/>
      <c r="E525" s="202"/>
      <c r="F525" s="202"/>
      <c r="G525" s="202"/>
      <c r="H525" s="202"/>
      <c r="I525" s="201"/>
      <c r="J525" s="202"/>
      <c r="K525" s="273"/>
      <c r="L525" s="202"/>
      <c r="M525" s="202"/>
      <c r="N525" s="202"/>
      <c r="O525" s="202"/>
      <c r="P525" s="202"/>
      <c r="Q525" s="202"/>
      <c r="R525" s="201"/>
      <c r="S525" s="202"/>
      <c r="T525" s="273"/>
      <c r="U525" s="202"/>
      <c r="V525" s="202"/>
      <c r="W525" s="202"/>
      <c r="X525" s="202"/>
      <c r="Y525" s="201"/>
      <c r="Z525" s="201"/>
    </row>
    <row r="526">
      <c r="A526" s="273"/>
      <c r="B526" s="276"/>
      <c r="C526" s="273"/>
      <c r="D526" s="202"/>
      <c r="E526" s="202"/>
      <c r="F526" s="202"/>
      <c r="G526" s="202"/>
      <c r="H526" s="202"/>
      <c r="I526" s="201"/>
      <c r="J526" s="202"/>
      <c r="K526" s="273"/>
      <c r="L526" s="202"/>
      <c r="M526" s="202"/>
      <c r="N526" s="202"/>
      <c r="O526" s="202"/>
      <c r="P526" s="202"/>
      <c r="Q526" s="202"/>
      <c r="R526" s="201"/>
      <c r="S526" s="202"/>
      <c r="T526" s="273"/>
      <c r="U526" s="202"/>
      <c r="V526" s="202"/>
      <c r="W526" s="202"/>
      <c r="X526" s="202"/>
      <c r="Y526" s="201"/>
      <c r="Z526" s="201"/>
    </row>
    <row r="527">
      <c r="A527" s="273"/>
      <c r="B527" s="276"/>
      <c r="C527" s="273"/>
      <c r="D527" s="202"/>
      <c r="E527" s="202"/>
      <c r="F527" s="202"/>
      <c r="G527" s="202"/>
      <c r="H527" s="202"/>
      <c r="I527" s="201"/>
      <c r="J527" s="202"/>
      <c r="K527" s="273"/>
      <c r="L527" s="202"/>
      <c r="M527" s="202"/>
      <c r="N527" s="202"/>
      <c r="O527" s="202"/>
      <c r="P527" s="202"/>
      <c r="Q527" s="202"/>
      <c r="R527" s="201"/>
      <c r="S527" s="202"/>
      <c r="T527" s="273"/>
      <c r="U527" s="202"/>
      <c r="V527" s="202"/>
      <c r="W527" s="202"/>
      <c r="X527" s="202"/>
      <c r="Y527" s="201"/>
      <c r="Z527" s="201"/>
    </row>
    <row r="528">
      <c r="A528" s="273"/>
      <c r="B528" s="276"/>
      <c r="C528" s="273"/>
      <c r="D528" s="202"/>
      <c r="E528" s="202"/>
      <c r="F528" s="202"/>
      <c r="G528" s="202"/>
      <c r="H528" s="202"/>
      <c r="I528" s="201"/>
      <c r="J528" s="202"/>
      <c r="K528" s="273"/>
      <c r="L528" s="202"/>
      <c r="M528" s="202"/>
      <c r="N528" s="202"/>
      <c r="O528" s="202"/>
      <c r="P528" s="202"/>
      <c r="Q528" s="202"/>
      <c r="R528" s="201"/>
      <c r="S528" s="202"/>
      <c r="T528" s="273"/>
      <c r="U528" s="202"/>
      <c r="V528" s="202"/>
      <c r="W528" s="202"/>
      <c r="X528" s="202"/>
      <c r="Y528" s="201"/>
      <c r="Z528" s="201"/>
    </row>
    <row r="529">
      <c r="A529" s="273"/>
      <c r="B529" s="276"/>
      <c r="C529" s="273"/>
      <c r="D529" s="202"/>
      <c r="E529" s="202"/>
      <c r="F529" s="202"/>
      <c r="G529" s="202"/>
      <c r="H529" s="202"/>
      <c r="I529" s="201"/>
      <c r="J529" s="202"/>
      <c r="K529" s="273"/>
      <c r="L529" s="202"/>
      <c r="M529" s="202"/>
      <c r="N529" s="202"/>
      <c r="O529" s="202"/>
      <c r="P529" s="202"/>
      <c r="Q529" s="202"/>
      <c r="R529" s="201"/>
      <c r="S529" s="202"/>
      <c r="T529" s="273"/>
      <c r="U529" s="202"/>
      <c r="V529" s="202"/>
      <c r="W529" s="202"/>
      <c r="X529" s="202"/>
      <c r="Y529" s="201"/>
      <c r="Z529" s="201"/>
    </row>
    <row r="530">
      <c r="A530" s="273"/>
      <c r="B530" s="276"/>
      <c r="C530" s="273"/>
      <c r="D530" s="202"/>
      <c r="E530" s="202"/>
      <c r="F530" s="202"/>
      <c r="G530" s="202"/>
      <c r="H530" s="202"/>
      <c r="I530" s="201"/>
      <c r="J530" s="202"/>
      <c r="K530" s="273"/>
      <c r="L530" s="202"/>
      <c r="M530" s="202"/>
      <c r="N530" s="202"/>
      <c r="O530" s="202"/>
      <c r="P530" s="202"/>
      <c r="Q530" s="202"/>
      <c r="R530" s="201"/>
      <c r="S530" s="202"/>
      <c r="T530" s="273"/>
      <c r="U530" s="202"/>
      <c r="V530" s="202"/>
      <c r="W530" s="202"/>
      <c r="X530" s="202"/>
      <c r="Y530" s="201"/>
      <c r="Z530" s="201"/>
    </row>
    <row r="531">
      <c r="A531" s="273"/>
      <c r="B531" s="276"/>
      <c r="C531" s="273"/>
      <c r="D531" s="202"/>
      <c r="E531" s="202"/>
      <c r="F531" s="202"/>
      <c r="G531" s="202"/>
      <c r="H531" s="202"/>
      <c r="I531" s="201"/>
      <c r="J531" s="202"/>
      <c r="K531" s="273"/>
      <c r="L531" s="202"/>
      <c r="M531" s="202"/>
      <c r="N531" s="202"/>
      <c r="O531" s="202"/>
      <c r="P531" s="202"/>
      <c r="Q531" s="202"/>
      <c r="R531" s="201"/>
      <c r="S531" s="202"/>
      <c r="T531" s="273"/>
      <c r="U531" s="202"/>
      <c r="V531" s="202"/>
      <c r="W531" s="202"/>
      <c r="X531" s="202"/>
      <c r="Y531" s="201"/>
      <c r="Z531" s="201"/>
    </row>
    <row r="532">
      <c r="A532" s="273"/>
      <c r="B532" s="276"/>
      <c r="C532" s="273"/>
      <c r="D532" s="202"/>
      <c r="E532" s="202"/>
      <c r="F532" s="202"/>
      <c r="G532" s="202"/>
      <c r="H532" s="202"/>
      <c r="I532" s="201"/>
      <c r="J532" s="202"/>
      <c r="K532" s="273"/>
      <c r="L532" s="202"/>
      <c r="M532" s="202"/>
      <c r="N532" s="202"/>
      <c r="O532" s="202"/>
      <c r="P532" s="202"/>
      <c r="Q532" s="202"/>
      <c r="R532" s="201"/>
      <c r="S532" s="202"/>
      <c r="T532" s="273"/>
      <c r="U532" s="202"/>
      <c r="V532" s="202"/>
      <c r="W532" s="202"/>
      <c r="X532" s="202"/>
      <c r="Y532" s="201"/>
      <c r="Z532" s="201"/>
    </row>
    <row r="533">
      <c r="A533" s="273"/>
      <c r="B533" s="276"/>
      <c r="C533" s="273"/>
      <c r="D533" s="202"/>
      <c r="E533" s="202"/>
      <c r="F533" s="202"/>
      <c r="G533" s="202"/>
      <c r="H533" s="202"/>
      <c r="I533" s="201"/>
      <c r="J533" s="202"/>
      <c r="K533" s="273"/>
      <c r="L533" s="202"/>
      <c r="M533" s="202"/>
      <c r="N533" s="202"/>
      <c r="O533" s="202"/>
      <c r="P533" s="202"/>
      <c r="Q533" s="202"/>
      <c r="R533" s="201"/>
      <c r="S533" s="202"/>
      <c r="T533" s="273"/>
      <c r="U533" s="202"/>
      <c r="V533" s="202"/>
      <c r="W533" s="202"/>
      <c r="X533" s="202"/>
      <c r="Y533" s="201"/>
      <c r="Z533" s="201"/>
    </row>
    <row r="534">
      <c r="A534" s="273"/>
      <c r="B534" s="276"/>
      <c r="C534" s="273"/>
      <c r="D534" s="202"/>
      <c r="E534" s="202"/>
      <c r="F534" s="202"/>
      <c r="G534" s="202"/>
      <c r="H534" s="202"/>
      <c r="I534" s="201"/>
      <c r="J534" s="202"/>
      <c r="K534" s="273"/>
      <c r="L534" s="202"/>
      <c r="M534" s="202"/>
      <c r="N534" s="202"/>
      <c r="O534" s="202"/>
      <c r="P534" s="202"/>
      <c r="Q534" s="202"/>
      <c r="R534" s="201"/>
      <c r="S534" s="202"/>
      <c r="T534" s="273"/>
      <c r="U534" s="202"/>
      <c r="V534" s="202"/>
      <c r="W534" s="202"/>
      <c r="X534" s="202"/>
      <c r="Y534" s="201"/>
      <c r="Z534" s="201"/>
    </row>
    <row r="535">
      <c r="A535" s="273"/>
      <c r="B535" s="276"/>
      <c r="C535" s="273"/>
      <c r="D535" s="202"/>
      <c r="E535" s="202"/>
      <c r="F535" s="202"/>
      <c r="G535" s="202"/>
      <c r="H535" s="202"/>
      <c r="I535" s="201"/>
      <c r="J535" s="202"/>
      <c r="K535" s="273"/>
      <c r="L535" s="202"/>
      <c r="M535" s="202"/>
      <c r="N535" s="202"/>
      <c r="O535" s="202"/>
      <c r="P535" s="202"/>
      <c r="Q535" s="202"/>
      <c r="R535" s="201"/>
      <c r="S535" s="202"/>
      <c r="T535" s="273"/>
      <c r="U535" s="202"/>
      <c r="V535" s="202"/>
      <c r="W535" s="202"/>
      <c r="X535" s="202"/>
      <c r="Y535" s="201"/>
      <c r="Z535" s="201"/>
    </row>
    <row r="536">
      <c r="A536" s="273"/>
      <c r="B536" s="276"/>
      <c r="C536" s="273"/>
      <c r="D536" s="202"/>
      <c r="E536" s="202"/>
      <c r="F536" s="202"/>
      <c r="G536" s="202"/>
      <c r="H536" s="202"/>
      <c r="I536" s="201"/>
      <c r="J536" s="202"/>
      <c r="K536" s="273"/>
      <c r="L536" s="202"/>
      <c r="M536" s="202"/>
      <c r="N536" s="202"/>
      <c r="O536" s="202"/>
      <c r="P536" s="202"/>
      <c r="Q536" s="202"/>
      <c r="R536" s="201"/>
      <c r="S536" s="202"/>
      <c r="T536" s="273"/>
      <c r="U536" s="202"/>
      <c r="V536" s="202"/>
      <c r="W536" s="202"/>
      <c r="X536" s="202"/>
      <c r="Y536" s="201"/>
      <c r="Z536" s="201"/>
    </row>
    <row r="537">
      <c r="A537" s="273"/>
      <c r="B537" s="276"/>
      <c r="C537" s="273"/>
      <c r="D537" s="202"/>
      <c r="E537" s="202"/>
      <c r="F537" s="202"/>
      <c r="G537" s="202"/>
      <c r="H537" s="202"/>
      <c r="I537" s="201"/>
      <c r="J537" s="202"/>
      <c r="K537" s="273"/>
      <c r="L537" s="202"/>
      <c r="M537" s="202"/>
      <c r="N537" s="202"/>
      <c r="O537" s="202"/>
      <c r="P537" s="202"/>
      <c r="Q537" s="202"/>
      <c r="R537" s="201"/>
      <c r="S537" s="202"/>
      <c r="T537" s="273"/>
      <c r="U537" s="202"/>
      <c r="V537" s="202"/>
      <c r="W537" s="202"/>
      <c r="X537" s="202"/>
      <c r="Y537" s="201"/>
      <c r="Z537" s="201"/>
    </row>
    <row r="538">
      <c r="A538" s="273"/>
      <c r="B538" s="276"/>
      <c r="C538" s="273"/>
      <c r="D538" s="202"/>
      <c r="E538" s="202"/>
      <c r="F538" s="202"/>
      <c r="G538" s="202"/>
      <c r="H538" s="202"/>
      <c r="I538" s="201"/>
      <c r="J538" s="202"/>
      <c r="K538" s="273"/>
      <c r="L538" s="202"/>
      <c r="M538" s="202"/>
      <c r="N538" s="202"/>
      <c r="O538" s="202"/>
      <c r="P538" s="202"/>
      <c r="Q538" s="202"/>
      <c r="R538" s="201"/>
      <c r="S538" s="202"/>
      <c r="T538" s="273"/>
      <c r="U538" s="202"/>
      <c r="V538" s="202"/>
      <c r="W538" s="202"/>
      <c r="X538" s="202"/>
      <c r="Y538" s="201"/>
      <c r="Z538" s="201"/>
    </row>
    <row r="539">
      <c r="A539" s="273"/>
      <c r="B539" s="276"/>
      <c r="C539" s="273"/>
      <c r="D539" s="202"/>
      <c r="E539" s="202"/>
      <c r="F539" s="202"/>
      <c r="G539" s="202"/>
      <c r="H539" s="202"/>
      <c r="I539" s="201"/>
      <c r="J539" s="202"/>
      <c r="K539" s="273"/>
      <c r="L539" s="202"/>
      <c r="M539" s="202"/>
      <c r="N539" s="202"/>
      <c r="O539" s="202"/>
      <c r="P539" s="202"/>
      <c r="Q539" s="202"/>
      <c r="R539" s="201"/>
      <c r="S539" s="202"/>
      <c r="T539" s="273"/>
      <c r="U539" s="202"/>
      <c r="V539" s="202"/>
      <c r="W539" s="202"/>
      <c r="X539" s="202"/>
      <c r="Y539" s="201"/>
      <c r="Z539" s="201"/>
    </row>
    <row r="540">
      <c r="A540" s="273"/>
      <c r="B540" s="276"/>
      <c r="C540" s="273"/>
      <c r="D540" s="202"/>
      <c r="E540" s="202"/>
      <c r="F540" s="202"/>
      <c r="G540" s="202"/>
      <c r="H540" s="202"/>
      <c r="I540" s="201"/>
      <c r="J540" s="202"/>
      <c r="K540" s="273"/>
      <c r="L540" s="202"/>
      <c r="M540" s="202"/>
      <c r="N540" s="202"/>
      <c r="O540" s="202"/>
      <c r="P540" s="202"/>
      <c r="Q540" s="202"/>
      <c r="R540" s="201"/>
      <c r="S540" s="202"/>
      <c r="T540" s="273"/>
      <c r="U540" s="202"/>
      <c r="V540" s="202"/>
      <c r="W540" s="202"/>
      <c r="X540" s="202"/>
      <c r="Y540" s="201"/>
      <c r="Z540" s="201"/>
    </row>
    <row r="541">
      <c r="A541" s="273"/>
      <c r="B541" s="276"/>
      <c r="C541" s="273"/>
      <c r="D541" s="202"/>
      <c r="E541" s="202"/>
      <c r="F541" s="202"/>
      <c r="G541" s="202"/>
      <c r="H541" s="202"/>
      <c r="I541" s="201"/>
      <c r="J541" s="202"/>
      <c r="K541" s="273"/>
      <c r="L541" s="202"/>
      <c r="M541" s="202"/>
      <c r="N541" s="202"/>
      <c r="O541" s="202"/>
      <c r="P541" s="202"/>
      <c r="Q541" s="202"/>
      <c r="R541" s="201"/>
      <c r="S541" s="202"/>
      <c r="T541" s="273"/>
      <c r="U541" s="202"/>
      <c r="V541" s="202"/>
      <c r="W541" s="202"/>
      <c r="X541" s="202"/>
      <c r="Y541" s="201"/>
      <c r="Z541" s="201"/>
    </row>
    <row r="542">
      <c r="A542" s="273"/>
      <c r="B542" s="276"/>
      <c r="C542" s="273"/>
      <c r="D542" s="202"/>
      <c r="E542" s="202"/>
      <c r="F542" s="202"/>
      <c r="G542" s="202"/>
      <c r="H542" s="202"/>
      <c r="I542" s="201"/>
      <c r="J542" s="202"/>
      <c r="K542" s="273"/>
      <c r="L542" s="202"/>
      <c r="M542" s="202"/>
      <c r="N542" s="202"/>
      <c r="O542" s="202"/>
      <c r="P542" s="202"/>
      <c r="Q542" s="202"/>
      <c r="R542" s="201"/>
      <c r="S542" s="202"/>
      <c r="T542" s="273"/>
      <c r="U542" s="202"/>
      <c r="V542" s="202"/>
      <c r="W542" s="202"/>
      <c r="X542" s="202"/>
      <c r="Y542" s="201"/>
      <c r="Z542" s="201"/>
    </row>
    <row r="543">
      <c r="A543" s="273"/>
      <c r="B543" s="276"/>
      <c r="C543" s="273"/>
      <c r="D543" s="202"/>
      <c r="E543" s="202"/>
      <c r="F543" s="202"/>
      <c r="G543" s="202"/>
      <c r="H543" s="202"/>
      <c r="I543" s="201"/>
      <c r="J543" s="202"/>
      <c r="K543" s="273"/>
      <c r="L543" s="202"/>
      <c r="M543" s="202"/>
      <c r="N543" s="202"/>
      <c r="O543" s="202"/>
      <c r="P543" s="202"/>
      <c r="Q543" s="202"/>
      <c r="R543" s="201"/>
      <c r="S543" s="202"/>
      <c r="T543" s="273"/>
      <c r="U543" s="202"/>
      <c r="V543" s="202"/>
      <c r="W543" s="202"/>
      <c r="X543" s="202"/>
      <c r="Y543" s="201"/>
      <c r="Z543" s="201"/>
    </row>
    <row r="544">
      <c r="A544" s="273"/>
      <c r="B544" s="276"/>
      <c r="C544" s="273"/>
      <c r="D544" s="202"/>
      <c r="E544" s="202"/>
      <c r="F544" s="202"/>
      <c r="G544" s="202"/>
      <c r="H544" s="202"/>
      <c r="I544" s="201"/>
      <c r="J544" s="202"/>
      <c r="K544" s="273"/>
      <c r="L544" s="202"/>
      <c r="M544" s="202"/>
      <c r="N544" s="202"/>
      <c r="O544" s="202"/>
      <c r="P544" s="202"/>
      <c r="Q544" s="202"/>
      <c r="R544" s="201"/>
      <c r="S544" s="202"/>
      <c r="T544" s="273"/>
      <c r="U544" s="202"/>
      <c r="V544" s="202"/>
      <c r="W544" s="202"/>
      <c r="X544" s="202"/>
      <c r="Y544" s="201"/>
      <c r="Z544" s="201"/>
    </row>
    <row r="545">
      <c r="A545" s="273"/>
      <c r="B545" s="276"/>
      <c r="C545" s="273"/>
      <c r="D545" s="202"/>
      <c r="E545" s="202"/>
      <c r="F545" s="202"/>
      <c r="G545" s="202"/>
      <c r="H545" s="202"/>
      <c r="I545" s="201"/>
      <c r="J545" s="202"/>
      <c r="K545" s="273"/>
      <c r="L545" s="202"/>
      <c r="M545" s="202"/>
      <c r="N545" s="202"/>
      <c r="O545" s="202"/>
      <c r="P545" s="202"/>
      <c r="Q545" s="202"/>
      <c r="R545" s="201"/>
      <c r="S545" s="202"/>
      <c r="T545" s="273"/>
      <c r="U545" s="202"/>
      <c r="V545" s="202"/>
      <c r="W545" s="202"/>
      <c r="X545" s="202"/>
      <c r="Y545" s="201"/>
      <c r="Z545" s="201"/>
    </row>
    <row r="546">
      <c r="A546" s="273"/>
      <c r="B546" s="276"/>
      <c r="C546" s="273"/>
      <c r="D546" s="202"/>
      <c r="E546" s="202"/>
      <c r="F546" s="202"/>
      <c r="G546" s="202"/>
      <c r="H546" s="202"/>
      <c r="I546" s="201"/>
      <c r="J546" s="202"/>
      <c r="K546" s="273"/>
      <c r="L546" s="202"/>
      <c r="M546" s="202"/>
      <c r="N546" s="202"/>
      <c r="O546" s="202"/>
      <c r="P546" s="202"/>
      <c r="Q546" s="202"/>
      <c r="R546" s="201"/>
      <c r="S546" s="202"/>
      <c r="T546" s="273"/>
      <c r="U546" s="202"/>
      <c r="V546" s="202"/>
      <c r="W546" s="202"/>
      <c r="X546" s="202"/>
      <c r="Y546" s="201"/>
      <c r="Z546" s="201"/>
    </row>
    <row r="547">
      <c r="A547" s="273"/>
      <c r="B547" s="276"/>
      <c r="C547" s="273"/>
      <c r="D547" s="202"/>
      <c r="E547" s="202"/>
      <c r="F547" s="202"/>
      <c r="G547" s="202"/>
      <c r="H547" s="202"/>
      <c r="I547" s="201"/>
      <c r="J547" s="202"/>
      <c r="K547" s="273"/>
      <c r="L547" s="202"/>
      <c r="M547" s="202"/>
      <c r="N547" s="202"/>
      <c r="O547" s="202"/>
      <c r="P547" s="202"/>
      <c r="Q547" s="202"/>
      <c r="R547" s="201"/>
      <c r="S547" s="202"/>
      <c r="T547" s="273"/>
      <c r="U547" s="202"/>
      <c r="V547" s="202"/>
      <c r="W547" s="202"/>
      <c r="X547" s="202"/>
      <c r="Y547" s="201"/>
      <c r="Z547" s="201"/>
    </row>
    <row r="548">
      <c r="A548" s="273"/>
      <c r="B548" s="276"/>
      <c r="C548" s="273"/>
      <c r="D548" s="202"/>
      <c r="E548" s="202"/>
      <c r="F548" s="202"/>
      <c r="G548" s="202"/>
      <c r="H548" s="202"/>
      <c r="I548" s="201"/>
      <c r="J548" s="202"/>
      <c r="K548" s="273"/>
      <c r="L548" s="202"/>
      <c r="M548" s="202"/>
      <c r="N548" s="202"/>
      <c r="O548" s="202"/>
      <c r="P548" s="202"/>
      <c r="Q548" s="202"/>
      <c r="R548" s="201"/>
      <c r="S548" s="202"/>
      <c r="T548" s="273"/>
      <c r="U548" s="202"/>
      <c r="V548" s="202"/>
      <c r="W548" s="202"/>
      <c r="X548" s="202"/>
      <c r="Y548" s="201"/>
      <c r="Z548" s="201"/>
    </row>
    <row r="549">
      <c r="A549" s="273"/>
      <c r="B549" s="276"/>
      <c r="C549" s="273"/>
      <c r="D549" s="202"/>
      <c r="E549" s="202"/>
      <c r="F549" s="202"/>
      <c r="G549" s="202"/>
      <c r="H549" s="202"/>
      <c r="I549" s="201"/>
      <c r="J549" s="202"/>
      <c r="K549" s="273"/>
      <c r="L549" s="202"/>
      <c r="M549" s="202"/>
      <c r="N549" s="202"/>
      <c r="O549" s="202"/>
      <c r="P549" s="202"/>
      <c r="Q549" s="202"/>
      <c r="R549" s="201"/>
      <c r="S549" s="202"/>
      <c r="T549" s="273"/>
      <c r="U549" s="202"/>
      <c r="V549" s="202"/>
      <c r="W549" s="202"/>
      <c r="X549" s="202"/>
      <c r="Y549" s="201"/>
      <c r="Z549" s="201"/>
    </row>
    <row r="550">
      <c r="A550" s="273"/>
      <c r="B550" s="276"/>
      <c r="C550" s="273"/>
      <c r="D550" s="202"/>
      <c r="E550" s="202"/>
      <c r="F550" s="202"/>
      <c r="G550" s="202"/>
      <c r="H550" s="202"/>
      <c r="I550" s="201"/>
      <c r="J550" s="202"/>
      <c r="K550" s="273"/>
      <c r="L550" s="202"/>
      <c r="M550" s="202"/>
      <c r="N550" s="202"/>
      <c r="O550" s="202"/>
      <c r="P550" s="202"/>
      <c r="Q550" s="202"/>
      <c r="R550" s="201"/>
      <c r="S550" s="202"/>
      <c r="T550" s="273"/>
      <c r="U550" s="202"/>
      <c r="V550" s="202"/>
      <c r="W550" s="202"/>
      <c r="X550" s="202"/>
      <c r="Y550" s="201"/>
      <c r="Z550" s="201"/>
    </row>
    <row r="551">
      <c r="A551" s="273"/>
      <c r="B551" s="276"/>
      <c r="C551" s="273"/>
      <c r="D551" s="202"/>
      <c r="E551" s="202"/>
      <c r="F551" s="202"/>
      <c r="G551" s="202"/>
      <c r="H551" s="202"/>
      <c r="I551" s="201"/>
      <c r="J551" s="202"/>
      <c r="K551" s="273"/>
      <c r="L551" s="202"/>
      <c r="M551" s="202"/>
      <c r="N551" s="202"/>
      <c r="O551" s="202"/>
      <c r="P551" s="202"/>
      <c r="Q551" s="202"/>
      <c r="R551" s="201"/>
      <c r="S551" s="202"/>
      <c r="T551" s="273"/>
      <c r="U551" s="202"/>
      <c r="V551" s="202"/>
      <c r="W551" s="202"/>
      <c r="X551" s="202"/>
      <c r="Y551" s="201"/>
      <c r="Z551" s="201"/>
    </row>
    <row r="552">
      <c r="A552" s="273"/>
      <c r="B552" s="276"/>
      <c r="C552" s="273"/>
      <c r="D552" s="202"/>
      <c r="E552" s="202"/>
      <c r="F552" s="202"/>
      <c r="G552" s="202"/>
      <c r="H552" s="202"/>
      <c r="I552" s="201"/>
      <c r="J552" s="202"/>
      <c r="K552" s="273"/>
      <c r="L552" s="202"/>
      <c r="M552" s="202"/>
      <c r="N552" s="202"/>
      <c r="O552" s="202"/>
      <c r="P552" s="202"/>
      <c r="Q552" s="202"/>
      <c r="R552" s="201"/>
      <c r="S552" s="202"/>
      <c r="T552" s="273"/>
      <c r="U552" s="202"/>
      <c r="V552" s="202"/>
      <c r="W552" s="202"/>
      <c r="X552" s="202"/>
      <c r="Y552" s="201"/>
      <c r="Z552" s="201"/>
    </row>
    <row r="553">
      <c r="A553" s="273"/>
      <c r="B553" s="276"/>
      <c r="C553" s="273"/>
      <c r="D553" s="202"/>
      <c r="E553" s="202"/>
      <c r="F553" s="202"/>
      <c r="G553" s="202"/>
      <c r="H553" s="202"/>
      <c r="I553" s="201"/>
      <c r="J553" s="202"/>
      <c r="K553" s="273"/>
      <c r="L553" s="202"/>
      <c r="M553" s="202"/>
      <c r="N553" s="202"/>
      <c r="O553" s="202"/>
      <c r="P553" s="202"/>
      <c r="Q553" s="202"/>
      <c r="R553" s="201"/>
      <c r="S553" s="202"/>
      <c r="T553" s="273"/>
      <c r="U553" s="202"/>
      <c r="V553" s="202"/>
      <c r="W553" s="202"/>
      <c r="X553" s="202"/>
      <c r="Y553" s="201"/>
      <c r="Z553" s="201"/>
    </row>
    <row r="554">
      <c r="A554" s="273"/>
      <c r="B554" s="276"/>
      <c r="C554" s="273"/>
      <c r="D554" s="202"/>
      <c r="E554" s="202"/>
      <c r="F554" s="202"/>
      <c r="G554" s="202"/>
      <c r="H554" s="202"/>
      <c r="I554" s="201"/>
      <c r="J554" s="202"/>
      <c r="K554" s="273"/>
      <c r="L554" s="202"/>
      <c r="M554" s="202"/>
      <c r="N554" s="202"/>
      <c r="O554" s="202"/>
      <c r="P554" s="202"/>
      <c r="Q554" s="202"/>
      <c r="R554" s="201"/>
      <c r="S554" s="202"/>
      <c r="T554" s="273"/>
      <c r="U554" s="202"/>
      <c r="V554" s="202"/>
      <c r="W554" s="202"/>
      <c r="X554" s="202"/>
      <c r="Y554" s="201"/>
      <c r="Z554" s="201"/>
    </row>
    <row r="555">
      <c r="A555" s="273"/>
      <c r="B555" s="276"/>
      <c r="C555" s="273"/>
      <c r="D555" s="202"/>
      <c r="E555" s="202"/>
      <c r="F555" s="202"/>
      <c r="G555" s="202"/>
      <c r="H555" s="202"/>
      <c r="I555" s="201"/>
      <c r="J555" s="202"/>
      <c r="K555" s="273"/>
      <c r="L555" s="202"/>
      <c r="M555" s="202"/>
      <c r="N555" s="202"/>
      <c r="O555" s="202"/>
      <c r="P555" s="202"/>
      <c r="Q555" s="202"/>
      <c r="R555" s="201"/>
      <c r="S555" s="202"/>
      <c r="T555" s="273"/>
      <c r="U555" s="202"/>
      <c r="V555" s="202"/>
      <c r="W555" s="202"/>
      <c r="X555" s="202"/>
      <c r="Y555" s="201"/>
      <c r="Z555" s="201"/>
    </row>
    <row r="556">
      <c r="A556" s="273"/>
      <c r="B556" s="276"/>
      <c r="C556" s="273"/>
      <c r="D556" s="202"/>
      <c r="E556" s="202"/>
      <c r="F556" s="202"/>
      <c r="G556" s="202"/>
      <c r="H556" s="202"/>
      <c r="I556" s="201"/>
      <c r="J556" s="202"/>
      <c r="K556" s="273"/>
      <c r="L556" s="202"/>
      <c r="M556" s="202"/>
      <c r="N556" s="202"/>
      <c r="O556" s="202"/>
      <c r="P556" s="202"/>
      <c r="Q556" s="202"/>
      <c r="R556" s="201"/>
      <c r="S556" s="202"/>
      <c r="T556" s="273"/>
      <c r="U556" s="202"/>
      <c r="V556" s="202"/>
      <c r="W556" s="202"/>
      <c r="X556" s="202"/>
      <c r="Y556" s="201"/>
      <c r="Z556" s="201"/>
    </row>
    <row r="557">
      <c r="A557" s="273"/>
      <c r="B557" s="276"/>
      <c r="C557" s="273"/>
      <c r="D557" s="202"/>
      <c r="E557" s="202"/>
      <c r="F557" s="202"/>
      <c r="G557" s="202"/>
      <c r="H557" s="202"/>
      <c r="I557" s="201"/>
      <c r="J557" s="202"/>
      <c r="K557" s="273"/>
      <c r="L557" s="202"/>
      <c r="M557" s="202"/>
      <c r="N557" s="202"/>
      <c r="O557" s="202"/>
      <c r="P557" s="202"/>
      <c r="Q557" s="202"/>
      <c r="R557" s="201"/>
      <c r="S557" s="202"/>
      <c r="T557" s="273"/>
      <c r="U557" s="202"/>
      <c r="V557" s="202"/>
      <c r="W557" s="202"/>
      <c r="X557" s="202"/>
      <c r="Y557" s="201"/>
      <c r="Z557" s="201"/>
    </row>
    <row r="558">
      <c r="A558" s="273"/>
      <c r="B558" s="276"/>
      <c r="C558" s="273"/>
      <c r="D558" s="202"/>
      <c r="E558" s="202"/>
      <c r="F558" s="202"/>
      <c r="G558" s="202"/>
      <c r="H558" s="202"/>
      <c r="I558" s="201"/>
      <c r="J558" s="202"/>
      <c r="K558" s="273"/>
      <c r="L558" s="202"/>
      <c r="M558" s="202"/>
      <c r="N558" s="202"/>
      <c r="O558" s="202"/>
      <c r="P558" s="202"/>
      <c r="Q558" s="202"/>
      <c r="R558" s="201"/>
      <c r="S558" s="202"/>
      <c r="T558" s="273"/>
      <c r="U558" s="202"/>
      <c r="V558" s="202"/>
      <c r="W558" s="202"/>
      <c r="X558" s="202"/>
      <c r="Y558" s="201"/>
      <c r="Z558" s="201"/>
    </row>
    <row r="559">
      <c r="A559" s="273"/>
      <c r="B559" s="276"/>
      <c r="C559" s="273"/>
      <c r="D559" s="202"/>
      <c r="E559" s="202"/>
      <c r="F559" s="202"/>
      <c r="G559" s="202"/>
      <c r="H559" s="202"/>
      <c r="I559" s="201"/>
      <c r="J559" s="202"/>
      <c r="K559" s="273"/>
      <c r="L559" s="202"/>
      <c r="M559" s="202"/>
      <c r="N559" s="202"/>
      <c r="O559" s="202"/>
      <c r="P559" s="202"/>
      <c r="Q559" s="202"/>
      <c r="R559" s="201"/>
      <c r="S559" s="202"/>
      <c r="T559" s="273"/>
      <c r="U559" s="202"/>
      <c r="V559" s="202"/>
      <c r="W559" s="202"/>
      <c r="X559" s="202"/>
      <c r="Y559" s="201"/>
      <c r="Z559" s="201"/>
    </row>
    <row r="560">
      <c r="A560" s="273"/>
      <c r="B560" s="276"/>
      <c r="C560" s="273"/>
      <c r="D560" s="202"/>
      <c r="E560" s="202"/>
      <c r="F560" s="202"/>
      <c r="G560" s="202"/>
      <c r="H560" s="202"/>
      <c r="I560" s="201"/>
      <c r="J560" s="202"/>
      <c r="K560" s="273"/>
      <c r="L560" s="202"/>
      <c r="M560" s="202"/>
      <c r="N560" s="202"/>
      <c r="O560" s="202"/>
      <c r="P560" s="202"/>
      <c r="Q560" s="202"/>
      <c r="R560" s="201"/>
      <c r="S560" s="202"/>
      <c r="T560" s="273"/>
      <c r="U560" s="202"/>
      <c r="V560" s="202"/>
      <c r="W560" s="202"/>
      <c r="X560" s="202"/>
      <c r="Y560" s="201"/>
      <c r="Z560" s="201"/>
    </row>
    <row r="561">
      <c r="A561" s="273"/>
      <c r="B561" s="276"/>
      <c r="C561" s="273"/>
      <c r="D561" s="202"/>
      <c r="E561" s="202"/>
      <c r="F561" s="202"/>
      <c r="G561" s="202"/>
      <c r="H561" s="202"/>
      <c r="I561" s="201"/>
      <c r="J561" s="202"/>
      <c r="K561" s="273"/>
      <c r="L561" s="202"/>
      <c r="M561" s="202"/>
      <c r="N561" s="202"/>
      <c r="O561" s="202"/>
      <c r="P561" s="202"/>
      <c r="Q561" s="202"/>
      <c r="R561" s="201"/>
      <c r="S561" s="202"/>
      <c r="T561" s="273"/>
      <c r="U561" s="202"/>
      <c r="V561" s="202"/>
      <c r="W561" s="202"/>
      <c r="X561" s="202"/>
      <c r="Y561" s="201"/>
      <c r="Z561" s="201"/>
    </row>
    <row r="562">
      <c r="A562" s="273"/>
      <c r="B562" s="276"/>
      <c r="C562" s="273"/>
      <c r="D562" s="202"/>
      <c r="E562" s="202"/>
      <c r="F562" s="202"/>
      <c r="G562" s="202"/>
      <c r="H562" s="202"/>
      <c r="I562" s="201"/>
      <c r="J562" s="202"/>
      <c r="K562" s="273"/>
      <c r="L562" s="202"/>
      <c r="M562" s="202"/>
      <c r="N562" s="202"/>
      <c r="O562" s="202"/>
      <c r="P562" s="202"/>
      <c r="Q562" s="202"/>
      <c r="R562" s="201"/>
      <c r="S562" s="202"/>
      <c r="T562" s="273"/>
      <c r="U562" s="202"/>
      <c r="V562" s="202"/>
      <c r="W562" s="202"/>
      <c r="X562" s="202"/>
      <c r="Y562" s="201"/>
      <c r="Z562" s="201"/>
    </row>
    <row r="563">
      <c r="A563" s="273"/>
      <c r="B563" s="276"/>
      <c r="C563" s="273"/>
      <c r="D563" s="202"/>
      <c r="E563" s="202"/>
      <c r="F563" s="202"/>
      <c r="G563" s="202"/>
      <c r="H563" s="202"/>
      <c r="I563" s="201"/>
      <c r="J563" s="202"/>
      <c r="K563" s="273"/>
      <c r="L563" s="202"/>
      <c r="M563" s="202"/>
      <c r="N563" s="202"/>
      <c r="O563" s="202"/>
      <c r="P563" s="202"/>
      <c r="Q563" s="202"/>
      <c r="R563" s="201"/>
      <c r="S563" s="202"/>
      <c r="T563" s="273"/>
      <c r="U563" s="202"/>
      <c r="V563" s="202"/>
      <c r="W563" s="202"/>
      <c r="X563" s="202"/>
      <c r="Y563" s="201"/>
      <c r="Z563" s="201"/>
    </row>
    <row r="564">
      <c r="A564" s="273"/>
      <c r="B564" s="276"/>
      <c r="C564" s="273"/>
      <c r="D564" s="202"/>
      <c r="E564" s="202"/>
      <c r="F564" s="202"/>
      <c r="G564" s="202"/>
      <c r="H564" s="202"/>
      <c r="I564" s="201"/>
      <c r="J564" s="202"/>
      <c r="K564" s="273"/>
      <c r="L564" s="202"/>
      <c r="M564" s="202"/>
      <c r="N564" s="202"/>
      <c r="O564" s="202"/>
      <c r="P564" s="202"/>
      <c r="Q564" s="202"/>
      <c r="R564" s="201"/>
      <c r="S564" s="202"/>
      <c r="T564" s="273"/>
      <c r="U564" s="202"/>
      <c r="V564" s="202"/>
      <c r="W564" s="202"/>
      <c r="X564" s="202"/>
      <c r="Y564" s="201"/>
      <c r="Z564" s="201"/>
    </row>
    <row r="565">
      <c r="A565" s="273"/>
      <c r="B565" s="276"/>
      <c r="C565" s="273"/>
      <c r="D565" s="202"/>
      <c r="E565" s="202"/>
      <c r="F565" s="202"/>
      <c r="G565" s="202"/>
      <c r="H565" s="202"/>
      <c r="I565" s="201"/>
      <c r="J565" s="202"/>
      <c r="K565" s="273"/>
      <c r="L565" s="202"/>
      <c r="M565" s="202"/>
      <c r="N565" s="202"/>
      <c r="O565" s="202"/>
      <c r="P565" s="202"/>
      <c r="Q565" s="202"/>
      <c r="R565" s="201"/>
      <c r="S565" s="202"/>
      <c r="T565" s="273"/>
      <c r="U565" s="202"/>
      <c r="V565" s="202"/>
      <c r="W565" s="202"/>
      <c r="X565" s="202"/>
      <c r="Y565" s="201"/>
      <c r="Z565" s="201"/>
    </row>
    <row r="566">
      <c r="A566" s="273"/>
      <c r="B566" s="276"/>
      <c r="C566" s="273"/>
      <c r="D566" s="202"/>
      <c r="E566" s="202"/>
      <c r="F566" s="202"/>
      <c r="G566" s="202"/>
      <c r="H566" s="202"/>
      <c r="I566" s="201"/>
      <c r="J566" s="202"/>
      <c r="K566" s="273"/>
      <c r="L566" s="202"/>
      <c r="M566" s="202"/>
      <c r="N566" s="202"/>
      <c r="O566" s="202"/>
      <c r="P566" s="202"/>
      <c r="Q566" s="202"/>
      <c r="R566" s="201"/>
      <c r="S566" s="202"/>
      <c r="T566" s="273"/>
      <c r="U566" s="202"/>
      <c r="V566" s="202"/>
      <c r="W566" s="202"/>
      <c r="X566" s="202"/>
      <c r="Y566" s="201"/>
      <c r="Z566" s="201"/>
    </row>
    <row r="567">
      <c r="A567" s="273"/>
      <c r="B567" s="276"/>
      <c r="C567" s="273"/>
      <c r="D567" s="202"/>
      <c r="E567" s="202"/>
      <c r="F567" s="202"/>
      <c r="G567" s="202"/>
      <c r="H567" s="202"/>
      <c r="I567" s="201"/>
      <c r="J567" s="202"/>
      <c r="K567" s="273"/>
      <c r="L567" s="202"/>
      <c r="M567" s="202"/>
      <c r="N567" s="202"/>
      <c r="O567" s="202"/>
      <c r="P567" s="202"/>
      <c r="Q567" s="202"/>
      <c r="R567" s="201"/>
      <c r="S567" s="202"/>
      <c r="T567" s="273"/>
      <c r="U567" s="202"/>
      <c r="V567" s="202"/>
      <c r="W567" s="202"/>
      <c r="X567" s="202"/>
      <c r="Y567" s="201"/>
      <c r="Z567" s="201"/>
    </row>
    <row r="568">
      <c r="A568" s="273"/>
      <c r="B568" s="276"/>
      <c r="C568" s="273"/>
      <c r="D568" s="202"/>
      <c r="E568" s="202"/>
      <c r="F568" s="202"/>
      <c r="G568" s="202"/>
      <c r="H568" s="202"/>
      <c r="I568" s="201"/>
      <c r="J568" s="202"/>
      <c r="K568" s="273"/>
      <c r="L568" s="202"/>
      <c r="M568" s="202"/>
      <c r="N568" s="202"/>
      <c r="O568" s="202"/>
      <c r="P568" s="202"/>
      <c r="Q568" s="202"/>
      <c r="R568" s="201"/>
      <c r="S568" s="202"/>
      <c r="T568" s="273"/>
      <c r="U568" s="202"/>
      <c r="V568" s="202"/>
      <c r="W568" s="202"/>
      <c r="X568" s="202"/>
      <c r="Y568" s="201"/>
      <c r="Z568" s="201"/>
    </row>
    <row r="569">
      <c r="A569" s="273"/>
      <c r="B569" s="276"/>
      <c r="C569" s="273"/>
      <c r="D569" s="202"/>
      <c r="E569" s="202"/>
      <c r="F569" s="202"/>
      <c r="G569" s="202"/>
      <c r="H569" s="202"/>
      <c r="I569" s="201"/>
      <c r="J569" s="202"/>
      <c r="K569" s="273"/>
      <c r="L569" s="202"/>
      <c r="M569" s="202"/>
      <c r="N569" s="202"/>
      <c r="O569" s="202"/>
      <c r="P569" s="202"/>
      <c r="Q569" s="202"/>
      <c r="R569" s="201"/>
      <c r="S569" s="202"/>
      <c r="T569" s="273"/>
      <c r="U569" s="202"/>
      <c r="V569" s="202"/>
      <c r="W569" s="202"/>
      <c r="X569" s="202"/>
      <c r="Y569" s="201"/>
      <c r="Z569" s="201"/>
    </row>
    <row r="570">
      <c r="A570" s="273"/>
      <c r="B570" s="276"/>
      <c r="C570" s="273"/>
      <c r="D570" s="202"/>
      <c r="E570" s="202"/>
      <c r="F570" s="202"/>
      <c r="G570" s="202"/>
      <c r="H570" s="202"/>
      <c r="I570" s="201"/>
      <c r="J570" s="202"/>
      <c r="K570" s="273"/>
      <c r="L570" s="202"/>
      <c r="M570" s="202"/>
      <c r="N570" s="202"/>
      <c r="O570" s="202"/>
      <c r="P570" s="202"/>
      <c r="Q570" s="202"/>
      <c r="R570" s="201"/>
      <c r="S570" s="202"/>
      <c r="T570" s="273"/>
      <c r="U570" s="202"/>
      <c r="V570" s="202"/>
      <c r="W570" s="202"/>
      <c r="X570" s="202"/>
      <c r="Y570" s="201"/>
      <c r="Z570" s="201"/>
    </row>
    <row r="571">
      <c r="A571" s="273"/>
      <c r="B571" s="276"/>
      <c r="C571" s="273"/>
      <c r="D571" s="202"/>
      <c r="E571" s="202"/>
      <c r="F571" s="202"/>
      <c r="G571" s="202"/>
      <c r="H571" s="202"/>
      <c r="I571" s="201"/>
      <c r="J571" s="202"/>
      <c r="K571" s="273"/>
      <c r="L571" s="202"/>
      <c r="M571" s="202"/>
      <c r="N571" s="202"/>
      <c r="O571" s="202"/>
      <c r="P571" s="202"/>
      <c r="Q571" s="202"/>
      <c r="R571" s="201"/>
      <c r="S571" s="202"/>
      <c r="T571" s="273"/>
      <c r="U571" s="202"/>
      <c r="V571" s="202"/>
      <c r="W571" s="202"/>
      <c r="X571" s="202"/>
      <c r="Y571" s="201"/>
      <c r="Z571" s="201"/>
    </row>
    <row r="572">
      <c r="A572" s="273"/>
      <c r="B572" s="276"/>
      <c r="C572" s="273"/>
      <c r="D572" s="202"/>
      <c r="E572" s="202"/>
      <c r="F572" s="202"/>
      <c r="G572" s="202"/>
      <c r="H572" s="202"/>
      <c r="I572" s="201"/>
      <c r="J572" s="202"/>
      <c r="K572" s="273"/>
      <c r="L572" s="202"/>
      <c r="M572" s="202"/>
      <c r="N572" s="202"/>
      <c r="O572" s="202"/>
      <c r="P572" s="202"/>
      <c r="Q572" s="202"/>
      <c r="R572" s="201"/>
      <c r="S572" s="202"/>
      <c r="T572" s="273"/>
      <c r="U572" s="202"/>
      <c r="V572" s="202"/>
      <c r="W572" s="202"/>
      <c r="X572" s="202"/>
      <c r="Y572" s="201"/>
      <c r="Z572" s="201"/>
    </row>
    <row r="573">
      <c r="A573" s="273"/>
      <c r="B573" s="276"/>
      <c r="C573" s="273"/>
      <c r="D573" s="202"/>
      <c r="E573" s="202"/>
      <c r="F573" s="202"/>
      <c r="G573" s="202"/>
      <c r="H573" s="202"/>
      <c r="I573" s="201"/>
      <c r="J573" s="202"/>
      <c r="K573" s="273"/>
      <c r="L573" s="202"/>
      <c r="M573" s="202"/>
      <c r="N573" s="202"/>
      <c r="O573" s="202"/>
      <c r="P573" s="202"/>
      <c r="Q573" s="202"/>
      <c r="R573" s="201"/>
      <c r="S573" s="202"/>
      <c r="T573" s="273"/>
      <c r="U573" s="202"/>
      <c r="V573" s="202"/>
      <c r="W573" s="202"/>
      <c r="X573" s="202"/>
      <c r="Y573" s="201"/>
      <c r="Z573" s="201"/>
    </row>
    <row r="574">
      <c r="A574" s="273"/>
      <c r="B574" s="276"/>
      <c r="C574" s="273"/>
      <c r="D574" s="202"/>
      <c r="E574" s="202"/>
      <c r="F574" s="202"/>
      <c r="G574" s="202"/>
      <c r="H574" s="202"/>
      <c r="I574" s="201"/>
      <c r="J574" s="202"/>
      <c r="K574" s="273"/>
      <c r="L574" s="202"/>
      <c r="M574" s="202"/>
      <c r="N574" s="202"/>
      <c r="O574" s="202"/>
      <c r="P574" s="202"/>
      <c r="Q574" s="202"/>
      <c r="R574" s="201"/>
      <c r="S574" s="202"/>
      <c r="T574" s="273"/>
      <c r="U574" s="202"/>
      <c r="V574" s="202"/>
      <c r="W574" s="202"/>
      <c r="X574" s="202"/>
      <c r="Y574" s="201"/>
      <c r="Z574" s="201"/>
    </row>
    <row r="575">
      <c r="A575" s="273"/>
      <c r="B575" s="276"/>
      <c r="C575" s="273"/>
      <c r="D575" s="202"/>
      <c r="E575" s="202"/>
      <c r="F575" s="202"/>
      <c r="G575" s="202"/>
      <c r="H575" s="202"/>
      <c r="I575" s="201"/>
      <c r="J575" s="202"/>
      <c r="K575" s="273"/>
      <c r="L575" s="202"/>
      <c r="M575" s="202"/>
      <c r="N575" s="202"/>
      <c r="O575" s="202"/>
      <c r="P575" s="202"/>
      <c r="Q575" s="202"/>
      <c r="R575" s="201"/>
      <c r="S575" s="202"/>
      <c r="T575" s="273"/>
      <c r="U575" s="202"/>
      <c r="V575" s="202"/>
      <c r="W575" s="202"/>
      <c r="X575" s="202"/>
      <c r="Y575" s="201"/>
      <c r="Z575" s="201"/>
    </row>
    <row r="576">
      <c r="A576" s="273"/>
      <c r="B576" s="276"/>
      <c r="C576" s="273"/>
      <c r="D576" s="202"/>
      <c r="E576" s="202"/>
      <c r="F576" s="202"/>
      <c r="G576" s="202"/>
      <c r="H576" s="202"/>
      <c r="I576" s="201"/>
      <c r="J576" s="202"/>
      <c r="K576" s="273"/>
      <c r="L576" s="202"/>
      <c r="M576" s="202"/>
      <c r="N576" s="202"/>
      <c r="O576" s="202"/>
      <c r="P576" s="202"/>
      <c r="Q576" s="202"/>
      <c r="R576" s="201"/>
      <c r="S576" s="202"/>
      <c r="T576" s="273"/>
      <c r="U576" s="202"/>
      <c r="V576" s="202"/>
      <c r="W576" s="202"/>
      <c r="X576" s="202"/>
      <c r="Y576" s="201"/>
      <c r="Z576" s="201"/>
    </row>
    <row r="577">
      <c r="A577" s="273"/>
      <c r="B577" s="276"/>
      <c r="C577" s="273"/>
      <c r="D577" s="202"/>
      <c r="E577" s="202"/>
      <c r="F577" s="202"/>
      <c r="G577" s="202"/>
      <c r="H577" s="202"/>
      <c r="I577" s="201"/>
      <c r="J577" s="202"/>
      <c r="K577" s="273"/>
      <c r="L577" s="202"/>
      <c r="M577" s="202"/>
      <c r="N577" s="202"/>
      <c r="O577" s="202"/>
      <c r="P577" s="202"/>
      <c r="Q577" s="202"/>
      <c r="R577" s="201"/>
      <c r="S577" s="202"/>
      <c r="T577" s="273"/>
      <c r="U577" s="202"/>
      <c r="V577" s="202"/>
      <c r="W577" s="202"/>
      <c r="X577" s="202"/>
      <c r="Y577" s="201"/>
      <c r="Z577" s="201"/>
    </row>
    <row r="578">
      <c r="A578" s="273"/>
      <c r="B578" s="276"/>
      <c r="C578" s="273"/>
      <c r="D578" s="202"/>
      <c r="E578" s="202"/>
      <c r="F578" s="202"/>
      <c r="G578" s="202"/>
      <c r="H578" s="202"/>
      <c r="I578" s="201"/>
      <c r="J578" s="202"/>
      <c r="K578" s="273"/>
      <c r="L578" s="202"/>
      <c r="M578" s="202"/>
      <c r="N578" s="202"/>
      <c r="O578" s="202"/>
      <c r="P578" s="202"/>
      <c r="Q578" s="202"/>
      <c r="R578" s="201"/>
      <c r="S578" s="202"/>
      <c r="T578" s="273"/>
      <c r="U578" s="202"/>
      <c r="V578" s="202"/>
      <c r="W578" s="202"/>
      <c r="X578" s="202"/>
      <c r="Y578" s="201"/>
      <c r="Z578" s="201"/>
    </row>
    <row r="579">
      <c r="A579" s="273"/>
      <c r="B579" s="276"/>
      <c r="C579" s="273"/>
      <c r="D579" s="202"/>
      <c r="E579" s="202"/>
      <c r="F579" s="202"/>
      <c r="G579" s="202"/>
      <c r="H579" s="202"/>
      <c r="I579" s="201"/>
      <c r="J579" s="202"/>
      <c r="K579" s="273"/>
      <c r="L579" s="202"/>
      <c r="M579" s="202"/>
      <c r="N579" s="202"/>
      <c r="O579" s="202"/>
      <c r="P579" s="202"/>
      <c r="Q579" s="202"/>
      <c r="R579" s="201"/>
      <c r="S579" s="202"/>
      <c r="T579" s="273"/>
      <c r="U579" s="202"/>
      <c r="V579" s="202"/>
      <c r="W579" s="202"/>
      <c r="X579" s="202"/>
      <c r="Y579" s="201"/>
      <c r="Z579" s="201"/>
    </row>
    <row r="580">
      <c r="A580" s="273"/>
      <c r="B580" s="276"/>
      <c r="C580" s="273"/>
      <c r="D580" s="202"/>
      <c r="E580" s="202"/>
      <c r="F580" s="202"/>
      <c r="G580" s="202"/>
      <c r="H580" s="202"/>
      <c r="I580" s="201"/>
      <c r="J580" s="202"/>
      <c r="K580" s="273"/>
      <c r="L580" s="202"/>
      <c r="M580" s="202"/>
      <c r="N580" s="202"/>
      <c r="O580" s="202"/>
      <c r="P580" s="202"/>
      <c r="Q580" s="202"/>
      <c r="R580" s="201"/>
      <c r="S580" s="202"/>
      <c r="T580" s="273"/>
      <c r="U580" s="202"/>
      <c r="V580" s="202"/>
      <c r="W580" s="202"/>
      <c r="X580" s="202"/>
      <c r="Y580" s="201"/>
      <c r="Z580" s="201"/>
    </row>
    <row r="581">
      <c r="A581" s="273"/>
      <c r="B581" s="276"/>
      <c r="C581" s="273"/>
      <c r="D581" s="202"/>
      <c r="E581" s="202"/>
      <c r="F581" s="202"/>
      <c r="G581" s="202"/>
      <c r="H581" s="202"/>
      <c r="I581" s="201"/>
      <c r="J581" s="202"/>
      <c r="K581" s="273"/>
      <c r="L581" s="202"/>
      <c r="M581" s="202"/>
      <c r="N581" s="202"/>
      <c r="O581" s="202"/>
      <c r="P581" s="202"/>
      <c r="Q581" s="202"/>
      <c r="R581" s="201"/>
      <c r="S581" s="202"/>
      <c r="T581" s="273"/>
      <c r="U581" s="202"/>
      <c r="V581" s="202"/>
      <c r="W581" s="202"/>
      <c r="X581" s="202"/>
      <c r="Y581" s="201"/>
      <c r="Z581" s="201"/>
    </row>
    <row r="582">
      <c r="A582" s="273"/>
      <c r="B582" s="276"/>
      <c r="C582" s="273"/>
      <c r="D582" s="202"/>
      <c r="E582" s="202"/>
      <c r="F582" s="202"/>
      <c r="G582" s="202"/>
      <c r="H582" s="202"/>
      <c r="I582" s="201"/>
      <c r="J582" s="202"/>
      <c r="K582" s="273"/>
      <c r="L582" s="202"/>
      <c r="M582" s="202"/>
      <c r="N582" s="202"/>
      <c r="O582" s="202"/>
      <c r="P582" s="202"/>
      <c r="Q582" s="202"/>
      <c r="R582" s="201"/>
      <c r="S582" s="202"/>
      <c r="T582" s="273"/>
      <c r="U582" s="202"/>
      <c r="V582" s="202"/>
      <c r="W582" s="202"/>
      <c r="X582" s="202"/>
      <c r="Y582" s="201"/>
      <c r="Z582" s="201"/>
    </row>
    <row r="583">
      <c r="A583" s="273"/>
      <c r="B583" s="276"/>
      <c r="C583" s="273"/>
      <c r="D583" s="202"/>
      <c r="E583" s="202"/>
      <c r="F583" s="202"/>
      <c r="G583" s="202"/>
      <c r="H583" s="202"/>
      <c r="I583" s="201"/>
      <c r="J583" s="202"/>
      <c r="K583" s="273"/>
      <c r="L583" s="202"/>
      <c r="M583" s="202"/>
      <c r="N583" s="202"/>
      <c r="O583" s="202"/>
      <c r="P583" s="202"/>
      <c r="Q583" s="202"/>
      <c r="R583" s="201"/>
      <c r="S583" s="202"/>
      <c r="T583" s="273"/>
      <c r="U583" s="202"/>
      <c r="V583" s="202"/>
      <c r="W583" s="202"/>
      <c r="X583" s="202"/>
      <c r="Y583" s="201"/>
      <c r="Z583" s="201"/>
    </row>
    <row r="584">
      <c r="A584" s="273"/>
      <c r="B584" s="276"/>
      <c r="C584" s="273"/>
      <c r="D584" s="202"/>
      <c r="E584" s="202"/>
      <c r="F584" s="202"/>
      <c r="G584" s="202"/>
      <c r="H584" s="202"/>
      <c r="I584" s="201"/>
      <c r="J584" s="202"/>
      <c r="K584" s="273"/>
      <c r="L584" s="202"/>
      <c r="M584" s="202"/>
      <c r="N584" s="202"/>
      <c r="O584" s="202"/>
      <c r="P584" s="202"/>
      <c r="Q584" s="202"/>
      <c r="R584" s="201"/>
      <c r="S584" s="202"/>
      <c r="T584" s="273"/>
      <c r="U584" s="202"/>
      <c r="V584" s="202"/>
      <c r="W584" s="202"/>
      <c r="X584" s="202"/>
      <c r="Y584" s="201"/>
      <c r="Z584" s="201"/>
    </row>
    <row r="585">
      <c r="A585" s="273"/>
      <c r="B585" s="276"/>
      <c r="C585" s="273"/>
      <c r="D585" s="202"/>
      <c r="E585" s="202"/>
      <c r="F585" s="202"/>
      <c r="G585" s="202"/>
      <c r="H585" s="202"/>
      <c r="I585" s="201"/>
      <c r="J585" s="202"/>
      <c r="K585" s="273"/>
      <c r="L585" s="202"/>
      <c r="M585" s="202"/>
      <c r="N585" s="202"/>
      <c r="O585" s="202"/>
      <c r="P585" s="202"/>
      <c r="Q585" s="202"/>
      <c r="R585" s="201"/>
      <c r="S585" s="202"/>
      <c r="T585" s="273"/>
      <c r="U585" s="202"/>
      <c r="V585" s="202"/>
      <c r="W585" s="202"/>
      <c r="X585" s="202"/>
      <c r="Y585" s="201"/>
      <c r="Z585" s="201"/>
    </row>
    <row r="586">
      <c r="A586" s="273"/>
      <c r="B586" s="276"/>
      <c r="C586" s="273"/>
      <c r="D586" s="202"/>
      <c r="E586" s="202"/>
      <c r="F586" s="202"/>
      <c r="G586" s="202"/>
      <c r="H586" s="202"/>
      <c r="I586" s="201"/>
      <c r="J586" s="202"/>
      <c r="K586" s="273"/>
      <c r="L586" s="202"/>
      <c r="M586" s="202"/>
      <c r="N586" s="202"/>
      <c r="O586" s="202"/>
      <c r="P586" s="202"/>
      <c r="Q586" s="202"/>
      <c r="R586" s="201"/>
      <c r="S586" s="202"/>
      <c r="T586" s="273"/>
      <c r="U586" s="202"/>
      <c r="V586" s="202"/>
      <c r="W586" s="202"/>
      <c r="X586" s="202"/>
      <c r="Y586" s="201"/>
      <c r="Z586" s="201"/>
    </row>
    <row r="587">
      <c r="A587" s="273"/>
      <c r="B587" s="276"/>
      <c r="C587" s="273"/>
      <c r="D587" s="202"/>
      <c r="E587" s="202"/>
      <c r="F587" s="202"/>
      <c r="G587" s="202"/>
      <c r="H587" s="202"/>
      <c r="I587" s="201"/>
      <c r="J587" s="202"/>
      <c r="K587" s="273"/>
      <c r="L587" s="202"/>
      <c r="M587" s="202"/>
      <c r="N587" s="202"/>
      <c r="O587" s="202"/>
      <c r="P587" s="202"/>
      <c r="Q587" s="202"/>
      <c r="R587" s="201"/>
      <c r="S587" s="202"/>
      <c r="T587" s="273"/>
      <c r="U587" s="202"/>
      <c r="V587" s="202"/>
      <c r="W587" s="202"/>
      <c r="X587" s="202"/>
      <c r="Y587" s="201"/>
      <c r="Z587" s="201"/>
    </row>
    <row r="588">
      <c r="A588" s="273"/>
      <c r="B588" s="276"/>
      <c r="C588" s="273"/>
      <c r="D588" s="202"/>
      <c r="E588" s="202"/>
      <c r="F588" s="202"/>
      <c r="G588" s="202"/>
      <c r="H588" s="202"/>
      <c r="I588" s="201"/>
      <c r="J588" s="202"/>
      <c r="K588" s="273"/>
      <c r="L588" s="202"/>
      <c r="M588" s="202"/>
      <c r="N588" s="202"/>
      <c r="O588" s="202"/>
      <c r="P588" s="202"/>
      <c r="Q588" s="202"/>
      <c r="R588" s="201"/>
      <c r="S588" s="202"/>
      <c r="T588" s="273"/>
      <c r="U588" s="202"/>
      <c r="V588" s="202"/>
      <c r="W588" s="202"/>
      <c r="X588" s="202"/>
      <c r="Y588" s="201"/>
      <c r="Z588" s="201"/>
    </row>
    <row r="589">
      <c r="A589" s="273"/>
      <c r="B589" s="276"/>
      <c r="C589" s="273"/>
      <c r="D589" s="202"/>
      <c r="E589" s="202"/>
      <c r="F589" s="202"/>
      <c r="G589" s="202"/>
      <c r="H589" s="202"/>
      <c r="I589" s="201"/>
      <c r="J589" s="202"/>
      <c r="K589" s="273"/>
      <c r="L589" s="202"/>
      <c r="M589" s="202"/>
      <c r="N589" s="202"/>
      <c r="O589" s="202"/>
      <c r="P589" s="202"/>
      <c r="Q589" s="202"/>
      <c r="R589" s="201"/>
      <c r="S589" s="202"/>
      <c r="T589" s="273"/>
      <c r="U589" s="202"/>
      <c r="V589" s="202"/>
      <c r="W589" s="202"/>
      <c r="X589" s="202"/>
      <c r="Y589" s="201"/>
      <c r="Z589" s="201"/>
    </row>
    <row r="590">
      <c r="A590" s="273"/>
      <c r="B590" s="276"/>
      <c r="C590" s="273"/>
      <c r="D590" s="202"/>
      <c r="E590" s="202"/>
      <c r="F590" s="202"/>
      <c r="G590" s="202"/>
      <c r="H590" s="202"/>
      <c r="I590" s="201"/>
      <c r="J590" s="202"/>
      <c r="K590" s="273"/>
      <c r="L590" s="202"/>
      <c r="M590" s="202"/>
      <c r="N590" s="202"/>
      <c r="O590" s="202"/>
      <c r="P590" s="202"/>
      <c r="Q590" s="202"/>
      <c r="R590" s="201"/>
      <c r="S590" s="202"/>
      <c r="T590" s="273"/>
      <c r="U590" s="202"/>
      <c r="V590" s="202"/>
      <c r="W590" s="202"/>
      <c r="X590" s="202"/>
      <c r="Y590" s="201"/>
      <c r="Z590" s="201"/>
    </row>
    <row r="591">
      <c r="A591" s="273"/>
      <c r="B591" s="276"/>
      <c r="C591" s="273"/>
      <c r="D591" s="202"/>
      <c r="E591" s="202"/>
      <c r="F591" s="202"/>
      <c r="G591" s="202"/>
      <c r="H591" s="202"/>
      <c r="I591" s="201"/>
      <c r="J591" s="202"/>
      <c r="K591" s="273"/>
      <c r="L591" s="202"/>
      <c r="M591" s="202"/>
      <c r="N591" s="202"/>
      <c r="O591" s="202"/>
      <c r="P591" s="202"/>
      <c r="Q591" s="202"/>
      <c r="R591" s="201"/>
      <c r="S591" s="202"/>
      <c r="T591" s="273"/>
      <c r="U591" s="202"/>
      <c r="V591" s="202"/>
      <c r="W591" s="202"/>
      <c r="X591" s="202"/>
      <c r="Y591" s="201"/>
      <c r="Z591" s="201"/>
    </row>
    <row r="592">
      <c r="A592" s="273"/>
      <c r="B592" s="276"/>
      <c r="C592" s="273"/>
      <c r="D592" s="202"/>
      <c r="E592" s="202"/>
      <c r="F592" s="202"/>
      <c r="G592" s="202"/>
      <c r="H592" s="202"/>
      <c r="I592" s="201"/>
      <c r="J592" s="202"/>
      <c r="K592" s="273"/>
      <c r="L592" s="202"/>
      <c r="M592" s="202"/>
      <c r="N592" s="202"/>
      <c r="O592" s="202"/>
      <c r="P592" s="202"/>
      <c r="Q592" s="202"/>
      <c r="R592" s="201"/>
      <c r="S592" s="202"/>
      <c r="T592" s="273"/>
      <c r="U592" s="202"/>
      <c r="V592" s="202"/>
      <c r="W592" s="202"/>
      <c r="X592" s="202"/>
      <c r="Y592" s="201"/>
      <c r="Z592" s="201"/>
    </row>
    <row r="593">
      <c r="A593" s="273"/>
      <c r="B593" s="276"/>
      <c r="C593" s="273"/>
      <c r="D593" s="202"/>
      <c r="E593" s="202"/>
      <c r="F593" s="202"/>
      <c r="G593" s="202"/>
      <c r="H593" s="202"/>
      <c r="I593" s="201"/>
      <c r="J593" s="202"/>
      <c r="K593" s="273"/>
      <c r="L593" s="202"/>
      <c r="M593" s="202"/>
      <c r="N593" s="202"/>
      <c r="O593" s="202"/>
      <c r="P593" s="202"/>
      <c r="Q593" s="202"/>
      <c r="R593" s="201"/>
      <c r="S593" s="202"/>
      <c r="T593" s="273"/>
      <c r="U593" s="202"/>
      <c r="V593" s="202"/>
      <c r="W593" s="202"/>
      <c r="X593" s="202"/>
      <c r="Y593" s="201"/>
      <c r="Z593" s="201"/>
    </row>
    <row r="594">
      <c r="A594" s="273"/>
      <c r="B594" s="276"/>
      <c r="C594" s="273"/>
      <c r="D594" s="202"/>
      <c r="E594" s="202"/>
      <c r="F594" s="202"/>
      <c r="G594" s="202"/>
      <c r="H594" s="202"/>
      <c r="I594" s="201"/>
      <c r="J594" s="202"/>
      <c r="K594" s="273"/>
      <c r="L594" s="202"/>
      <c r="M594" s="202"/>
      <c r="N594" s="202"/>
      <c r="O594" s="202"/>
      <c r="P594" s="202"/>
      <c r="Q594" s="202"/>
      <c r="R594" s="201"/>
      <c r="S594" s="202"/>
      <c r="T594" s="273"/>
      <c r="U594" s="202"/>
      <c r="V594" s="202"/>
      <c r="W594" s="202"/>
      <c r="X594" s="202"/>
      <c r="Y594" s="201"/>
      <c r="Z594" s="201"/>
    </row>
    <row r="595">
      <c r="A595" s="273"/>
      <c r="B595" s="276"/>
      <c r="C595" s="273"/>
      <c r="D595" s="202"/>
      <c r="E595" s="202"/>
      <c r="F595" s="202"/>
      <c r="G595" s="202"/>
      <c r="H595" s="202"/>
      <c r="I595" s="201"/>
      <c r="J595" s="202"/>
      <c r="K595" s="273"/>
      <c r="L595" s="202"/>
      <c r="M595" s="202"/>
      <c r="N595" s="202"/>
      <c r="O595" s="202"/>
      <c r="P595" s="202"/>
      <c r="Q595" s="202"/>
      <c r="R595" s="201"/>
      <c r="S595" s="202"/>
      <c r="T595" s="273"/>
      <c r="U595" s="202"/>
      <c r="V595" s="202"/>
      <c r="W595" s="202"/>
      <c r="X595" s="202"/>
      <c r="Y595" s="201"/>
      <c r="Z595" s="201"/>
    </row>
    <row r="596">
      <c r="A596" s="273"/>
      <c r="B596" s="276"/>
      <c r="C596" s="273"/>
      <c r="D596" s="202"/>
      <c r="E596" s="202"/>
      <c r="F596" s="202"/>
      <c r="G596" s="202"/>
      <c r="H596" s="202"/>
      <c r="I596" s="201"/>
      <c r="J596" s="202"/>
      <c r="K596" s="273"/>
      <c r="L596" s="202"/>
      <c r="M596" s="202"/>
      <c r="N596" s="202"/>
      <c r="O596" s="202"/>
      <c r="P596" s="202"/>
      <c r="Q596" s="202"/>
      <c r="R596" s="201"/>
      <c r="S596" s="202"/>
      <c r="T596" s="273"/>
      <c r="U596" s="202"/>
      <c r="V596" s="202"/>
      <c r="W596" s="202"/>
      <c r="X596" s="202"/>
      <c r="Y596" s="201"/>
      <c r="Z596" s="201"/>
    </row>
    <row r="597">
      <c r="A597" s="273"/>
      <c r="B597" s="276"/>
      <c r="C597" s="273"/>
      <c r="D597" s="202"/>
      <c r="E597" s="202"/>
      <c r="F597" s="202"/>
      <c r="G597" s="202"/>
      <c r="H597" s="202"/>
      <c r="I597" s="201"/>
      <c r="J597" s="202"/>
      <c r="K597" s="273"/>
      <c r="L597" s="202"/>
      <c r="M597" s="202"/>
      <c r="N597" s="202"/>
      <c r="O597" s="202"/>
      <c r="P597" s="202"/>
      <c r="Q597" s="202"/>
      <c r="R597" s="201"/>
      <c r="S597" s="202"/>
      <c r="T597" s="273"/>
      <c r="U597" s="202"/>
      <c r="V597" s="202"/>
      <c r="W597" s="202"/>
      <c r="X597" s="202"/>
      <c r="Y597" s="201"/>
      <c r="Z597" s="201"/>
    </row>
    <row r="598">
      <c r="A598" s="273"/>
      <c r="B598" s="276"/>
      <c r="C598" s="273"/>
      <c r="D598" s="202"/>
      <c r="E598" s="202"/>
      <c r="F598" s="202"/>
      <c r="G598" s="202"/>
      <c r="H598" s="202"/>
      <c r="I598" s="201"/>
      <c r="J598" s="202"/>
      <c r="K598" s="273"/>
      <c r="L598" s="202"/>
      <c r="M598" s="202"/>
      <c r="N598" s="202"/>
      <c r="O598" s="202"/>
      <c r="P598" s="202"/>
      <c r="Q598" s="202"/>
      <c r="R598" s="201"/>
      <c r="S598" s="202"/>
      <c r="T598" s="273"/>
      <c r="U598" s="202"/>
      <c r="V598" s="202"/>
      <c r="W598" s="202"/>
      <c r="X598" s="202"/>
      <c r="Y598" s="201"/>
      <c r="Z598" s="201"/>
    </row>
    <row r="599">
      <c r="A599" s="273"/>
      <c r="B599" s="276"/>
      <c r="C599" s="273"/>
      <c r="D599" s="202"/>
      <c r="E599" s="202"/>
      <c r="F599" s="202"/>
      <c r="G599" s="202"/>
      <c r="H599" s="202"/>
      <c r="I599" s="201"/>
      <c r="J599" s="202"/>
      <c r="K599" s="273"/>
      <c r="L599" s="202"/>
      <c r="M599" s="202"/>
      <c r="N599" s="202"/>
      <c r="O599" s="202"/>
      <c r="P599" s="202"/>
      <c r="Q599" s="202"/>
      <c r="R599" s="201"/>
      <c r="S599" s="202"/>
      <c r="T599" s="273"/>
      <c r="U599" s="202"/>
      <c r="V599" s="202"/>
      <c r="W599" s="202"/>
      <c r="X599" s="202"/>
      <c r="Y599" s="201"/>
      <c r="Z599" s="201"/>
    </row>
    <row r="600">
      <c r="A600" s="273"/>
      <c r="B600" s="276"/>
      <c r="C600" s="273"/>
      <c r="D600" s="202"/>
      <c r="E600" s="202"/>
      <c r="F600" s="202"/>
      <c r="G600" s="202"/>
      <c r="H600" s="202"/>
      <c r="I600" s="201"/>
      <c r="J600" s="202"/>
      <c r="K600" s="273"/>
      <c r="L600" s="202"/>
      <c r="M600" s="202"/>
      <c r="N600" s="202"/>
      <c r="O600" s="202"/>
      <c r="P600" s="202"/>
      <c r="Q600" s="202"/>
      <c r="R600" s="201"/>
      <c r="S600" s="202"/>
      <c r="T600" s="273"/>
      <c r="U600" s="202"/>
      <c r="V600" s="202"/>
      <c r="W600" s="202"/>
      <c r="X600" s="202"/>
      <c r="Y600" s="201"/>
      <c r="Z600" s="201"/>
    </row>
    <row r="601">
      <c r="A601" s="273"/>
      <c r="B601" s="276"/>
      <c r="C601" s="273"/>
      <c r="D601" s="202"/>
      <c r="E601" s="202"/>
      <c r="F601" s="202"/>
      <c r="G601" s="202"/>
      <c r="H601" s="202"/>
      <c r="I601" s="201"/>
      <c r="J601" s="202"/>
      <c r="K601" s="273"/>
      <c r="L601" s="202"/>
      <c r="M601" s="202"/>
      <c r="N601" s="202"/>
      <c r="O601" s="202"/>
      <c r="P601" s="202"/>
      <c r="Q601" s="202"/>
      <c r="R601" s="201"/>
      <c r="S601" s="202"/>
      <c r="T601" s="273"/>
      <c r="U601" s="202"/>
      <c r="V601" s="202"/>
      <c r="W601" s="202"/>
      <c r="X601" s="202"/>
      <c r="Y601" s="201"/>
      <c r="Z601" s="201"/>
    </row>
    <row r="602">
      <c r="A602" s="273"/>
      <c r="B602" s="276"/>
      <c r="C602" s="273"/>
      <c r="D602" s="202"/>
      <c r="E602" s="202"/>
      <c r="F602" s="202"/>
      <c r="G602" s="202"/>
      <c r="H602" s="202"/>
      <c r="I602" s="201"/>
      <c r="J602" s="202"/>
      <c r="K602" s="273"/>
      <c r="L602" s="202"/>
      <c r="M602" s="202"/>
      <c r="N602" s="202"/>
      <c r="O602" s="202"/>
      <c r="P602" s="202"/>
      <c r="Q602" s="202"/>
      <c r="R602" s="201"/>
      <c r="S602" s="202"/>
      <c r="T602" s="273"/>
      <c r="U602" s="202"/>
      <c r="V602" s="202"/>
      <c r="W602" s="202"/>
      <c r="X602" s="202"/>
      <c r="Y602" s="201"/>
      <c r="Z602" s="201"/>
    </row>
    <row r="603">
      <c r="A603" s="273"/>
      <c r="B603" s="276"/>
      <c r="C603" s="273"/>
      <c r="D603" s="202"/>
      <c r="E603" s="202"/>
      <c r="F603" s="202"/>
      <c r="G603" s="202"/>
      <c r="H603" s="202"/>
      <c r="I603" s="201"/>
      <c r="J603" s="202"/>
      <c r="K603" s="273"/>
      <c r="L603" s="202"/>
      <c r="M603" s="202"/>
      <c r="N603" s="202"/>
      <c r="O603" s="202"/>
      <c r="P603" s="202"/>
      <c r="Q603" s="202"/>
      <c r="R603" s="201"/>
      <c r="S603" s="202"/>
      <c r="T603" s="273"/>
      <c r="U603" s="202"/>
      <c r="V603" s="202"/>
      <c r="W603" s="202"/>
      <c r="X603" s="202"/>
      <c r="Y603" s="201"/>
      <c r="Z603" s="201"/>
    </row>
    <row r="604">
      <c r="A604" s="273"/>
      <c r="B604" s="276"/>
      <c r="C604" s="273"/>
      <c r="D604" s="202"/>
      <c r="E604" s="202"/>
      <c r="F604" s="202"/>
      <c r="G604" s="202"/>
      <c r="H604" s="202"/>
      <c r="I604" s="201"/>
      <c r="J604" s="202"/>
      <c r="K604" s="273"/>
      <c r="L604" s="202"/>
      <c r="M604" s="202"/>
      <c r="N604" s="202"/>
      <c r="O604" s="202"/>
      <c r="P604" s="202"/>
      <c r="Q604" s="202"/>
      <c r="R604" s="201"/>
      <c r="S604" s="202"/>
      <c r="T604" s="273"/>
      <c r="U604" s="202"/>
      <c r="V604" s="202"/>
      <c r="W604" s="202"/>
      <c r="X604" s="202"/>
      <c r="Y604" s="201"/>
      <c r="Z604" s="201"/>
    </row>
    <row r="605">
      <c r="A605" s="273"/>
      <c r="B605" s="276"/>
      <c r="C605" s="273"/>
      <c r="D605" s="202"/>
      <c r="E605" s="202"/>
      <c r="F605" s="202"/>
      <c r="G605" s="202"/>
      <c r="H605" s="202"/>
      <c r="I605" s="201"/>
      <c r="J605" s="202"/>
      <c r="K605" s="273"/>
      <c r="L605" s="202"/>
      <c r="M605" s="202"/>
      <c r="N605" s="202"/>
      <c r="O605" s="202"/>
      <c r="P605" s="202"/>
      <c r="Q605" s="202"/>
      <c r="R605" s="201"/>
      <c r="S605" s="202"/>
      <c r="T605" s="273"/>
      <c r="U605" s="202"/>
      <c r="V605" s="202"/>
      <c r="W605" s="202"/>
      <c r="X605" s="202"/>
      <c r="Y605" s="201"/>
      <c r="Z605" s="201"/>
    </row>
    <row r="606">
      <c r="A606" s="273"/>
      <c r="B606" s="276"/>
      <c r="C606" s="273"/>
      <c r="D606" s="202"/>
      <c r="E606" s="202"/>
      <c r="F606" s="202"/>
      <c r="G606" s="202"/>
      <c r="H606" s="202"/>
      <c r="I606" s="201"/>
      <c r="J606" s="202"/>
      <c r="K606" s="273"/>
      <c r="L606" s="202"/>
      <c r="M606" s="202"/>
      <c r="N606" s="202"/>
      <c r="O606" s="202"/>
      <c r="P606" s="202"/>
      <c r="Q606" s="202"/>
      <c r="R606" s="201"/>
      <c r="S606" s="202"/>
      <c r="T606" s="273"/>
      <c r="U606" s="202"/>
      <c r="V606" s="202"/>
      <c r="W606" s="202"/>
      <c r="X606" s="202"/>
      <c r="Y606" s="201"/>
      <c r="Z606" s="201"/>
    </row>
    <row r="607">
      <c r="A607" s="273"/>
      <c r="B607" s="276"/>
      <c r="C607" s="273"/>
      <c r="D607" s="202"/>
      <c r="E607" s="202"/>
      <c r="F607" s="202"/>
      <c r="G607" s="202"/>
      <c r="H607" s="202"/>
      <c r="I607" s="201"/>
      <c r="J607" s="202"/>
      <c r="K607" s="273"/>
      <c r="L607" s="202"/>
      <c r="M607" s="202"/>
      <c r="N607" s="202"/>
      <c r="O607" s="202"/>
      <c r="P607" s="202"/>
      <c r="Q607" s="202"/>
      <c r="R607" s="201"/>
      <c r="S607" s="202"/>
      <c r="T607" s="273"/>
      <c r="U607" s="202"/>
      <c r="V607" s="202"/>
      <c r="W607" s="202"/>
      <c r="X607" s="202"/>
      <c r="Y607" s="201"/>
      <c r="Z607" s="201"/>
    </row>
    <row r="608">
      <c r="A608" s="273"/>
      <c r="B608" s="276"/>
      <c r="C608" s="273"/>
      <c r="D608" s="202"/>
      <c r="E608" s="202"/>
      <c r="F608" s="202"/>
      <c r="G608" s="202"/>
      <c r="H608" s="202"/>
      <c r="I608" s="201"/>
      <c r="J608" s="202"/>
      <c r="K608" s="273"/>
      <c r="L608" s="202"/>
      <c r="M608" s="202"/>
      <c r="N608" s="202"/>
      <c r="O608" s="202"/>
      <c r="P608" s="202"/>
      <c r="Q608" s="202"/>
      <c r="R608" s="201"/>
      <c r="S608" s="202"/>
      <c r="T608" s="273"/>
      <c r="U608" s="202"/>
      <c r="V608" s="202"/>
      <c r="W608" s="202"/>
      <c r="X608" s="202"/>
      <c r="Y608" s="201"/>
      <c r="Z608" s="201"/>
    </row>
    <row r="609">
      <c r="A609" s="273"/>
      <c r="B609" s="276"/>
      <c r="C609" s="273"/>
      <c r="D609" s="202"/>
      <c r="E609" s="202"/>
      <c r="F609" s="202"/>
      <c r="G609" s="202"/>
      <c r="H609" s="202"/>
      <c r="I609" s="201"/>
      <c r="J609" s="202"/>
      <c r="K609" s="273"/>
      <c r="L609" s="202"/>
      <c r="M609" s="202"/>
      <c r="N609" s="202"/>
      <c r="O609" s="202"/>
      <c r="P609" s="202"/>
      <c r="Q609" s="202"/>
      <c r="R609" s="201"/>
      <c r="S609" s="202"/>
      <c r="T609" s="273"/>
      <c r="U609" s="202"/>
      <c r="V609" s="202"/>
      <c r="W609" s="202"/>
      <c r="X609" s="202"/>
      <c r="Y609" s="201"/>
      <c r="Z609" s="201"/>
    </row>
    <row r="610">
      <c r="A610" s="273"/>
      <c r="B610" s="276"/>
      <c r="C610" s="273"/>
      <c r="D610" s="202"/>
      <c r="E610" s="202"/>
      <c r="F610" s="202"/>
      <c r="G610" s="202"/>
      <c r="H610" s="202"/>
      <c r="I610" s="201"/>
      <c r="J610" s="202"/>
      <c r="K610" s="273"/>
      <c r="L610" s="202"/>
      <c r="M610" s="202"/>
      <c r="N610" s="202"/>
      <c r="O610" s="202"/>
      <c r="P610" s="202"/>
      <c r="Q610" s="202"/>
      <c r="R610" s="201"/>
      <c r="S610" s="202"/>
      <c r="T610" s="273"/>
      <c r="U610" s="202"/>
      <c r="V610" s="202"/>
      <c r="W610" s="202"/>
      <c r="X610" s="202"/>
      <c r="Y610" s="201"/>
      <c r="Z610" s="201"/>
    </row>
    <row r="611">
      <c r="A611" s="273"/>
      <c r="B611" s="276"/>
      <c r="C611" s="273"/>
      <c r="D611" s="202"/>
      <c r="E611" s="202"/>
      <c r="F611" s="202"/>
      <c r="G611" s="202"/>
      <c r="H611" s="202"/>
      <c r="I611" s="201"/>
      <c r="J611" s="202"/>
      <c r="K611" s="273"/>
      <c r="L611" s="202"/>
      <c r="M611" s="202"/>
      <c r="N611" s="202"/>
      <c r="O611" s="202"/>
      <c r="P611" s="202"/>
      <c r="Q611" s="202"/>
      <c r="R611" s="201"/>
      <c r="S611" s="202"/>
      <c r="T611" s="273"/>
      <c r="U611" s="202"/>
      <c r="V611" s="202"/>
      <c r="W611" s="202"/>
      <c r="X611" s="202"/>
      <c r="Y611" s="201"/>
      <c r="Z611" s="201"/>
    </row>
    <row r="612">
      <c r="A612" s="273"/>
      <c r="B612" s="276"/>
      <c r="C612" s="273"/>
      <c r="D612" s="202"/>
      <c r="E612" s="202"/>
      <c r="F612" s="202"/>
      <c r="G612" s="202"/>
      <c r="H612" s="202"/>
      <c r="I612" s="201"/>
      <c r="J612" s="202"/>
      <c r="K612" s="273"/>
      <c r="L612" s="202"/>
      <c r="M612" s="202"/>
      <c r="N612" s="202"/>
      <c r="O612" s="202"/>
      <c r="P612" s="202"/>
      <c r="Q612" s="202"/>
      <c r="R612" s="201"/>
      <c r="S612" s="202"/>
      <c r="T612" s="273"/>
      <c r="U612" s="202"/>
      <c r="V612" s="202"/>
      <c r="W612" s="202"/>
      <c r="X612" s="202"/>
      <c r="Y612" s="201"/>
      <c r="Z612" s="201"/>
    </row>
    <row r="613">
      <c r="A613" s="273"/>
      <c r="B613" s="276"/>
      <c r="C613" s="273"/>
      <c r="D613" s="202"/>
      <c r="E613" s="202"/>
      <c r="F613" s="202"/>
      <c r="G613" s="202"/>
      <c r="H613" s="202"/>
      <c r="I613" s="201"/>
      <c r="J613" s="202"/>
      <c r="K613" s="273"/>
      <c r="L613" s="202"/>
      <c r="M613" s="202"/>
      <c r="N613" s="202"/>
      <c r="O613" s="202"/>
      <c r="P613" s="202"/>
      <c r="Q613" s="202"/>
      <c r="R613" s="201"/>
      <c r="S613" s="202"/>
      <c r="T613" s="273"/>
      <c r="U613" s="202"/>
      <c r="V613" s="202"/>
      <c r="W613" s="202"/>
      <c r="X613" s="202"/>
      <c r="Y613" s="201"/>
      <c r="Z613" s="201"/>
    </row>
    <row r="614">
      <c r="A614" s="273"/>
      <c r="B614" s="276"/>
      <c r="C614" s="273"/>
      <c r="D614" s="202"/>
      <c r="E614" s="202"/>
      <c r="F614" s="202"/>
      <c r="G614" s="202"/>
      <c r="H614" s="202"/>
      <c r="I614" s="201"/>
      <c r="J614" s="202"/>
      <c r="K614" s="273"/>
      <c r="L614" s="202"/>
      <c r="M614" s="202"/>
      <c r="N614" s="202"/>
      <c r="O614" s="202"/>
      <c r="P614" s="202"/>
      <c r="Q614" s="202"/>
      <c r="R614" s="201"/>
      <c r="S614" s="202"/>
      <c r="T614" s="273"/>
      <c r="U614" s="202"/>
      <c r="V614" s="202"/>
      <c r="W614" s="202"/>
      <c r="X614" s="202"/>
      <c r="Y614" s="201"/>
      <c r="Z614" s="201"/>
    </row>
    <row r="615">
      <c r="A615" s="273"/>
      <c r="B615" s="276"/>
      <c r="C615" s="273"/>
      <c r="D615" s="202"/>
      <c r="E615" s="202"/>
      <c r="F615" s="202"/>
      <c r="G615" s="202"/>
      <c r="H615" s="202"/>
      <c r="I615" s="201"/>
      <c r="J615" s="202"/>
      <c r="K615" s="273"/>
      <c r="L615" s="202"/>
      <c r="M615" s="202"/>
      <c r="N615" s="202"/>
      <c r="O615" s="202"/>
      <c r="P615" s="202"/>
      <c r="Q615" s="202"/>
      <c r="R615" s="201"/>
      <c r="S615" s="202"/>
      <c r="T615" s="273"/>
      <c r="U615" s="202"/>
      <c r="V615" s="202"/>
      <c r="W615" s="202"/>
      <c r="X615" s="202"/>
      <c r="Y615" s="201"/>
      <c r="Z615" s="201"/>
    </row>
    <row r="616">
      <c r="A616" s="273"/>
      <c r="B616" s="276"/>
      <c r="C616" s="273"/>
      <c r="D616" s="202"/>
      <c r="E616" s="202"/>
      <c r="F616" s="202"/>
      <c r="G616" s="202"/>
      <c r="H616" s="202"/>
      <c r="I616" s="201"/>
      <c r="J616" s="202"/>
      <c r="K616" s="273"/>
      <c r="L616" s="202"/>
      <c r="M616" s="202"/>
      <c r="N616" s="202"/>
      <c r="O616" s="202"/>
      <c r="P616" s="202"/>
      <c r="Q616" s="202"/>
      <c r="R616" s="201"/>
      <c r="S616" s="202"/>
      <c r="T616" s="273"/>
      <c r="U616" s="202"/>
      <c r="V616" s="202"/>
      <c r="W616" s="202"/>
      <c r="X616" s="202"/>
      <c r="Y616" s="201"/>
      <c r="Z616" s="201"/>
    </row>
    <row r="617">
      <c r="A617" s="273"/>
      <c r="B617" s="276"/>
      <c r="C617" s="273"/>
      <c r="D617" s="202"/>
      <c r="E617" s="202"/>
      <c r="F617" s="202"/>
      <c r="G617" s="202"/>
      <c r="H617" s="202"/>
      <c r="I617" s="201"/>
      <c r="J617" s="202"/>
      <c r="K617" s="273"/>
      <c r="L617" s="202"/>
      <c r="M617" s="202"/>
      <c r="N617" s="202"/>
      <c r="O617" s="202"/>
      <c r="P617" s="202"/>
      <c r="Q617" s="202"/>
      <c r="R617" s="201"/>
      <c r="S617" s="202"/>
      <c r="T617" s="273"/>
      <c r="U617" s="202"/>
      <c r="V617" s="202"/>
      <c r="W617" s="202"/>
      <c r="X617" s="202"/>
      <c r="Y617" s="201"/>
      <c r="Z617" s="201"/>
    </row>
    <row r="618">
      <c r="A618" s="273"/>
      <c r="B618" s="276"/>
      <c r="C618" s="273"/>
      <c r="D618" s="202"/>
      <c r="E618" s="202"/>
      <c r="F618" s="202"/>
      <c r="G618" s="202"/>
      <c r="H618" s="202"/>
      <c r="I618" s="201"/>
      <c r="J618" s="202"/>
      <c r="K618" s="273"/>
      <c r="L618" s="202"/>
      <c r="M618" s="202"/>
      <c r="N618" s="202"/>
      <c r="O618" s="202"/>
      <c r="P618" s="202"/>
      <c r="Q618" s="202"/>
      <c r="R618" s="201"/>
      <c r="S618" s="202"/>
      <c r="T618" s="273"/>
      <c r="U618" s="202"/>
      <c r="V618" s="202"/>
      <c r="W618" s="202"/>
      <c r="X618" s="202"/>
      <c r="Y618" s="201"/>
      <c r="Z618" s="201"/>
    </row>
    <row r="619">
      <c r="A619" s="273"/>
      <c r="B619" s="276"/>
      <c r="C619" s="273"/>
      <c r="D619" s="202"/>
      <c r="E619" s="202"/>
      <c r="F619" s="202"/>
      <c r="G619" s="202"/>
      <c r="H619" s="202"/>
      <c r="I619" s="201"/>
      <c r="J619" s="202"/>
      <c r="K619" s="273"/>
      <c r="L619" s="202"/>
      <c r="M619" s="202"/>
      <c r="N619" s="202"/>
      <c r="O619" s="202"/>
      <c r="P619" s="202"/>
      <c r="Q619" s="202"/>
      <c r="R619" s="201"/>
      <c r="S619" s="202"/>
      <c r="T619" s="273"/>
      <c r="U619" s="202"/>
      <c r="V619" s="202"/>
      <c r="W619" s="202"/>
      <c r="X619" s="202"/>
      <c r="Y619" s="201"/>
      <c r="Z619" s="201"/>
    </row>
    <row r="620">
      <c r="A620" s="273"/>
      <c r="B620" s="276"/>
      <c r="C620" s="273"/>
      <c r="D620" s="202"/>
      <c r="E620" s="202"/>
      <c r="F620" s="202"/>
      <c r="G620" s="202"/>
      <c r="H620" s="202"/>
      <c r="I620" s="201"/>
      <c r="J620" s="202"/>
      <c r="K620" s="273"/>
      <c r="L620" s="202"/>
      <c r="M620" s="202"/>
      <c r="N620" s="202"/>
      <c r="O620" s="202"/>
      <c r="P620" s="202"/>
      <c r="Q620" s="202"/>
      <c r="R620" s="201"/>
      <c r="S620" s="202"/>
      <c r="T620" s="273"/>
      <c r="U620" s="202"/>
      <c r="V620" s="202"/>
      <c r="W620" s="202"/>
      <c r="X620" s="202"/>
      <c r="Y620" s="201"/>
      <c r="Z620" s="201"/>
    </row>
    <row r="621">
      <c r="A621" s="273"/>
      <c r="B621" s="276"/>
      <c r="C621" s="273"/>
      <c r="D621" s="202"/>
      <c r="E621" s="202"/>
      <c r="F621" s="202"/>
      <c r="G621" s="202"/>
      <c r="H621" s="202"/>
      <c r="I621" s="201"/>
      <c r="J621" s="202"/>
      <c r="K621" s="273"/>
      <c r="L621" s="202"/>
      <c r="M621" s="202"/>
      <c r="N621" s="202"/>
      <c r="O621" s="202"/>
      <c r="P621" s="202"/>
      <c r="Q621" s="202"/>
      <c r="R621" s="201"/>
      <c r="S621" s="202"/>
      <c r="T621" s="273"/>
      <c r="U621" s="202"/>
      <c r="V621" s="202"/>
      <c r="W621" s="202"/>
      <c r="X621" s="202"/>
      <c r="Y621" s="201"/>
      <c r="Z621" s="201"/>
    </row>
    <row r="622">
      <c r="A622" s="273"/>
      <c r="B622" s="276"/>
      <c r="C622" s="273"/>
      <c r="D622" s="202"/>
      <c r="E622" s="202"/>
      <c r="F622" s="202"/>
      <c r="G622" s="202"/>
      <c r="H622" s="202"/>
      <c r="I622" s="201"/>
      <c r="J622" s="202"/>
      <c r="K622" s="273"/>
      <c r="L622" s="202"/>
      <c r="M622" s="202"/>
      <c r="N622" s="202"/>
      <c r="O622" s="202"/>
      <c r="P622" s="202"/>
      <c r="Q622" s="202"/>
      <c r="R622" s="201"/>
      <c r="S622" s="202"/>
      <c r="T622" s="273"/>
      <c r="U622" s="202"/>
      <c r="V622" s="202"/>
      <c r="W622" s="202"/>
      <c r="X622" s="202"/>
      <c r="Y622" s="201"/>
      <c r="Z622" s="201"/>
    </row>
    <row r="623">
      <c r="A623" s="273"/>
      <c r="B623" s="276"/>
      <c r="C623" s="273"/>
      <c r="D623" s="202"/>
      <c r="E623" s="202"/>
      <c r="F623" s="202"/>
      <c r="G623" s="202"/>
      <c r="H623" s="202"/>
      <c r="I623" s="201"/>
      <c r="J623" s="202"/>
      <c r="K623" s="273"/>
      <c r="L623" s="202"/>
      <c r="M623" s="202"/>
      <c r="N623" s="202"/>
      <c r="O623" s="202"/>
      <c r="P623" s="202"/>
      <c r="Q623" s="202"/>
      <c r="R623" s="201"/>
      <c r="S623" s="202"/>
      <c r="T623" s="273"/>
      <c r="U623" s="202"/>
      <c r="V623" s="202"/>
      <c r="W623" s="202"/>
      <c r="X623" s="202"/>
      <c r="Y623" s="201"/>
      <c r="Z623" s="201"/>
    </row>
    <row r="624">
      <c r="A624" s="273"/>
      <c r="B624" s="276"/>
      <c r="C624" s="273"/>
      <c r="D624" s="202"/>
      <c r="E624" s="202"/>
      <c r="F624" s="202"/>
      <c r="G624" s="202"/>
      <c r="H624" s="202"/>
      <c r="I624" s="201"/>
      <c r="J624" s="202"/>
      <c r="K624" s="273"/>
      <c r="L624" s="202"/>
      <c r="M624" s="202"/>
      <c r="N624" s="202"/>
      <c r="O624" s="202"/>
      <c r="P624" s="202"/>
      <c r="Q624" s="202"/>
      <c r="R624" s="201"/>
      <c r="S624" s="202"/>
      <c r="T624" s="273"/>
      <c r="U624" s="202"/>
      <c r="V624" s="202"/>
      <c r="W624" s="202"/>
      <c r="X624" s="202"/>
      <c r="Y624" s="201"/>
      <c r="Z624" s="201"/>
    </row>
    <row r="625">
      <c r="A625" s="273"/>
      <c r="B625" s="276"/>
      <c r="C625" s="273"/>
      <c r="D625" s="202"/>
      <c r="E625" s="202"/>
      <c r="F625" s="202"/>
      <c r="G625" s="202"/>
      <c r="H625" s="202"/>
      <c r="I625" s="201"/>
      <c r="J625" s="202"/>
      <c r="K625" s="273"/>
      <c r="L625" s="202"/>
      <c r="M625" s="202"/>
      <c r="N625" s="202"/>
      <c r="O625" s="202"/>
      <c r="P625" s="202"/>
      <c r="Q625" s="202"/>
      <c r="R625" s="201"/>
      <c r="S625" s="202"/>
      <c r="T625" s="273"/>
      <c r="U625" s="202"/>
      <c r="V625" s="202"/>
      <c r="W625" s="202"/>
      <c r="X625" s="202"/>
      <c r="Y625" s="201"/>
      <c r="Z625" s="201"/>
    </row>
    <row r="626">
      <c r="A626" s="273"/>
      <c r="B626" s="276"/>
      <c r="C626" s="273"/>
      <c r="D626" s="202"/>
      <c r="E626" s="202"/>
      <c r="F626" s="202"/>
      <c r="G626" s="202"/>
      <c r="H626" s="202"/>
      <c r="I626" s="201"/>
      <c r="J626" s="202"/>
      <c r="K626" s="273"/>
      <c r="L626" s="202"/>
      <c r="M626" s="202"/>
      <c r="N626" s="202"/>
      <c r="O626" s="202"/>
      <c r="P626" s="202"/>
      <c r="Q626" s="202"/>
      <c r="R626" s="201"/>
      <c r="S626" s="202"/>
      <c r="T626" s="273"/>
      <c r="U626" s="202"/>
      <c r="V626" s="202"/>
      <c r="W626" s="202"/>
      <c r="X626" s="202"/>
      <c r="Y626" s="201"/>
      <c r="Z626" s="201"/>
    </row>
    <row r="627">
      <c r="A627" s="273"/>
      <c r="B627" s="276"/>
      <c r="C627" s="273"/>
      <c r="D627" s="202"/>
      <c r="E627" s="202"/>
      <c r="F627" s="202"/>
      <c r="G627" s="202"/>
      <c r="H627" s="202"/>
      <c r="I627" s="201"/>
      <c r="J627" s="202"/>
      <c r="K627" s="273"/>
      <c r="L627" s="202"/>
      <c r="M627" s="202"/>
      <c r="N627" s="202"/>
      <c r="O627" s="202"/>
      <c r="P627" s="202"/>
      <c r="Q627" s="202"/>
      <c r="R627" s="201"/>
      <c r="S627" s="202"/>
      <c r="T627" s="273"/>
      <c r="U627" s="202"/>
      <c r="V627" s="202"/>
      <c r="W627" s="202"/>
      <c r="X627" s="202"/>
      <c r="Y627" s="201"/>
      <c r="Z627" s="201"/>
    </row>
    <row r="628">
      <c r="A628" s="273"/>
      <c r="B628" s="276"/>
      <c r="C628" s="273"/>
      <c r="D628" s="202"/>
      <c r="E628" s="202"/>
      <c r="F628" s="202"/>
      <c r="G628" s="202"/>
      <c r="H628" s="202"/>
      <c r="I628" s="201"/>
      <c r="J628" s="202"/>
      <c r="K628" s="273"/>
      <c r="L628" s="202"/>
      <c r="M628" s="202"/>
      <c r="N628" s="202"/>
      <c r="O628" s="202"/>
      <c r="P628" s="202"/>
      <c r="Q628" s="202"/>
      <c r="R628" s="201"/>
      <c r="S628" s="202"/>
      <c r="T628" s="273"/>
      <c r="U628" s="202"/>
      <c r="V628" s="202"/>
      <c r="W628" s="202"/>
      <c r="X628" s="202"/>
      <c r="Y628" s="201"/>
      <c r="Z628" s="201"/>
    </row>
    <row r="629">
      <c r="A629" s="273"/>
      <c r="B629" s="276"/>
      <c r="C629" s="273"/>
      <c r="D629" s="202"/>
      <c r="E629" s="202"/>
      <c r="F629" s="202"/>
      <c r="G629" s="202"/>
      <c r="H629" s="202"/>
      <c r="I629" s="201"/>
      <c r="J629" s="202"/>
      <c r="K629" s="273"/>
      <c r="L629" s="202"/>
      <c r="M629" s="202"/>
      <c r="N629" s="202"/>
      <c r="O629" s="202"/>
      <c r="P629" s="202"/>
      <c r="Q629" s="202"/>
      <c r="R629" s="201"/>
      <c r="S629" s="202"/>
      <c r="T629" s="273"/>
      <c r="U629" s="202"/>
      <c r="V629" s="202"/>
      <c r="W629" s="202"/>
      <c r="X629" s="202"/>
      <c r="Y629" s="201"/>
      <c r="Z629" s="201"/>
    </row>
    <row r="630">
      <c r="A630" s="273"/>
      <c r="B630" s="276"/>
      <c r="C630" s="273"/>
      <c r="D630" s="202"/>
      <c r="E630" s="202"/>
      <c r="F630" s="202"/>
      <c r="G630" s="202"/>
      <c r="H630" s="202"/>
      <c r="I630" s="201"/>
      <c r="J630" s="202"/>
      <c r="K630" s="273"/>
      <c r="L630" s="202"/>
      <c r="M630" s="202"/>
      <c r="N630" s="202"/>
      <c r="O630" s="202"/>
      <c r="P630" s="202"/>
      <c r="Q630" s="202"/>
      <c r="R630" s="201"/>
      <c r="S630" s="202"/>
      <c r="T630" s="273"/>
      <c r="U630" s="202"/>
      <c r="V630" s="202"/>
      <c r="W630" s="202"/>
      <c r="X630" s="202"/>
      <c r="Y630" s="201"/>
      <c r="Z630" s="201"/>
    </row>
    <row r="631">
      <c r="A631" s="273"/>
      <c r="B631" s="276"/>
      <c r="C631" s="273"/>
      <c r="D631" s="202"/>
      <c r="E631" s="202"/>
      <c r="F631" s="202"/>
      <c r="G631" s="202"/>
      <c r="H631" s="202"/>
      <c r="I631" s="201"/>
      <c r="J631" s="202"/>
      <c r="K631" s="273"/>
      <c r="L631" s="202"/>
      <c r="M631" s="202"/>
      <c r="N631" s="202"/>
      <c r="O631" s="202"/>
      <c r="P631" s="202"/>
      <c r="Q631" s="202"/>
      <c r="R631" s="201"/>
      <c r="S631" s="202"/>
      <c r="T631" s="273"/>
      <c r="U631" s="202"/>
      <c r="V631" s="202"/>
      <c r="W631" s="202"/>
      <c r="X631" s="202"/>
      <c r="Y631" s="201"/>
      <c r="Z631" s="201"/>
    </row>
    <row r="632">
      <c r="A632" s="273"/>
      <c r="B632" s="276"/>
      <c r="C632" s="273"/>
      <c r="D632" s="202"/>
      <c r="E632" s="202"/>
      <c r="F632" s="202"/>
      <c r="G632" s="202"/>
      <c r="H632" s="202"/>
      <c r="I632" s="201"/>
      <c r="J632" s="202"/>
      <c r="K632" s="273"/>
      <c r="L632" s="202"/>
      <c r="M632" s="202"/>
      <c r="N632" s="202"/>
      <c r="O632" s="202"/>
      <c r="P632" s="202"/>
      <c r="Q632" s="202"/>
      <c r="R632" s="201"/>
      <c r="S632" s="202"/>
      <c r="T632" s="273"/>
      <c r="U632" s="202"/>
      <c r="V632" s="202"/>
      <c r="W632" s="202"/>
      <c r="X632" s="202"/>
      <c r="Y632" s="201"/>
      <c r="Z632" s="201"/>
    </row>
    <row r="633">
      <c r="A633" s="273"/>
      <c r="B633" s="276"/>
      <c r="C633" s="273"/>
      <c r="D633" s="202"/>
      <c r="E633" s="202"/>
      <c r="F633" s="202"/>
      <c r="G633" s="202"/>
      <c r="H633" s="202"/>
      <c r="I633" s="201"/>
      <c r="J633" s="202"/>
      <c r="K633" s="273"/>
      <c r="L633" s="202"/>
      <c r="M633" s="202"/>
      <c r="N633" s="202"/>
      <c r="O633" s="202"/>
      <c r="P633" s="202"/>
      <c r="Q633" s="202"/>
      <c r="R633" s="201"/>
      <c r="S633" s="202"/>
      <c r="T633" s="273"/>
      <c r="U633" s="202"/>
      <c r="V633" s="202"/>
      <c r="W633" s="202"/>
      <c r="X633" s="202"/>
      <c r="Y633" s="201"/>
      <c r="Z633" s="201"/>
    </row>
    <row r="634">
      <c r="A634" s="273"/>
      <c r="B634" s="276"/>
      <c r="C634" s="273"/>
      <c r="D634" s="202"/>
      <c r="E634" s="202"/>
      <c r="F634" s="202"/>
      <c r="G634" s="202"/>
      <c r="H634" s="202"/>
      <c r="I634" s="201"/>
      <c r="J634" s="202"/>
      <c r="K634" s="273"/>
      <c r="L634" s="202"/>
      <c r="M634" s="202"/>
      <c r="N634" s="202"/>
      <c r="O634" s="202"/>
      <c r="P634" s="202"/>
      <c r="Q634" s="202"/>
      <c r="R634" s="201"/>
      <c r="S634" s="202"/>
      <c r="T634" s="273"/>
      <c r="U634" s="202"/>
      <c r="V634" s="202"/>
      <c r="W634" s="202"/>
      <c r="X634" s="202"/>
      <c r="Y634" s="201"/>
      <c r="Z634" s="201"/>
    </row>
    <row r="635">
      <c r="A635" s="273"/>
      <c r="B635" s="276"/>
      <c r="C635" s="273"/>
      <c r="D635" s="202"/>
      <c r="E635" s="202"/>
      <c r="F635" s="202"/>
      <c r="G635" s="202"/>
      <c r="H635" s="202"/>
      <c r="I635" s="201"/>
      <c r="J635" s="202"/>
      <c r="K635" s="273"/>
      <c r="L635" s="202"/>
      <c r="M635" s="202"/>
      <c r="N635" s="202"/>
      <c r="O635" s="202"/>
      <c r="P635" s="202"/>
      <c r="Q635" s="202"/>
      <c r="R635" s="201"/>
      <c r="S635" s="202"/>
      <c r="T635" s="273"/>
      <c r="U635" s="202"/>
      <c r="V635" s="202"/>
      <c r="W635" s="202"/>
      <c r="X635" s="202"/>
      <c r="Y635" s="201"/>
      <c r="Z635" s="201"/>
    </row>
    <row r="636">
      <c r="A636" s="273"/>
      <c r="B636" s="276"/>
      <c r="C636" s="273"/>
      <c r="D636" s="202"/>
      <c r="E636" s="202"/>
      <c r="F636" s="202"/>
      <c r="G636" s="202"/>
      <c r="H636" s="202"/>
      <c r="I636" s="201"/>
      <c r="J636" s="202"/>
      <c r="K636" s="273"/>
      <c r="L636" s="202"/>
      <c r="M636" s="202"/>
      <c r="N636" s="202"/>
      <c r="O636" s="202"/>
      <c r="P636" s="202"/>
      <c r="Q636" s="202"/>
      <c r="R636" s="201"/>
      <c r="S636" s="202"/>
      <c r="T636" s="273"/>
      <c r="U636" s="202"/>
      <c r="V636" s="202"/>
      <c r="W636" s="202"/>
      <c r="X636" s="202"/>
      <c r="Y636" s="201"/>
      <c r="Z636" s="201"/>
    </row>
    <row r="637">
      <c r="A637" s="273"/>
      <c r="B637" s="276"/>
      <c r="C637" s="273"/>
      <c r="D637" s="202"/>
      <c r="E637" s="202"/>
      <c r="F637" s="202"/>
      <c r="G637" s="202"/>
      <c r="H637" s="202"/>
      <c r="I637" s="201"/>
      <c r="J637" s="202"/>
      <c r="K637" s="273"/>
      <c r="L637" s="202"/>
      <c r="M637" s="202"/>
      <c r="N637" s="202"/>
      <c r="O637" s="202"/>
      <c r="P637" s="202"/>
      <c r="Q637" s="202"/>
      <c r="R637" s="201"/>
      <c r="S637" s="202"/>
      <c r="T637" s="273"/>
      <c r="U637" s="202"/>
      <c r="V637" s="202"/>
      <c r="W637" s="202"/>
      <c r="X637" s="202"/>
      <c r="Y637" s="201"/>
      <c r="Z637" s="201"/>
    </row>
    <row r="638">
      <c r="A638" s="273"/>
      <c r="B638" s="276"/>
      <c r="C638" s="273"/>
      <c r="D638" s="202"/>
      <c r="E638" s="202"/>
      <c r="F638" s="202"/>
      <c r="G638" s="202"/>
      <c r="H638" s="202"/>
      <c r="I638" s="201"/>
      <c r="J638" s="202"/>
      <c r="K638" s="273"/>
      <c r="L638" s="202"/>
      <c r="M638" s="202"/>
      <c r="N638" s="202"/>
      <c r="O638" s="202"/>
      <c r="P638" s="202"/>
      <c r="Q638" s="202"/>
      <c r="R638" s="201"/>
      <c r="S638" s="202"/>
      <c r="T638" s="273"/>
      <c r="U638" s="202"/>
      <c r="V638" s="202"/>
      <c r="W638" s="202"/>
      <c r="X638" s="202"/>
      <c r="Y638" s="201"/>
      <c r="Z638" s="201"/>
    </row>
    <row r="639">
      <c r="A639" s="273"/>
      <c r="B639" s="276"/>
      <c r="C639" s="273"/>
      <c r="D639" s="202"/>
      <c r="E639" s="202"/>
      <c r="F639" s="202"/>
      <c r="G639" s="202"/>
      <c r="H639" s="202"/>
      <c r="I639" s="201"/>
      <c r="J639" s="202"/>
      <c r="K639" s="273"/>
      <c r="L639" s="202"/>
      <c r="M639" s="202"/>
      <c r="N639" s="202"/>
      <c r="O639" s="202"/>
      <c r="P639" s="202"/>
      <c r="Q639" s="202"/>
      <c r="R639" s="201"/>
      <c r="S639" s="202"/>
      <c r="T639" s="273"/>
      <c r="U639" s="202"/>
      <c r="V639" s="202"/>
      <c r="W639" s="202"/>
      <c r="X639" s="202"/>
      <c r="Y639" s="201"/>
      <c r="Z639" s="201"/>
    </row>
    <row r="640">
      <c r="A640" s="273"/>
      <c r="B640" s="276"/>
      <c r="C640" s="273"/>
      <c r="D640" s="202"/>
      <c r="E640" s="202"/>
      <c r="F640" s="202"/>
      <c r="G640" s="202"/>
      <c r="H640" s="202"/>
      <c r="I640" s="201"/>
      <c r="J640" s="202"/>
      <c r="K640" s="273"/>
      <c r="L640" s="202"/>
      <c r="M640" s="202"/>
      <c r="N640" s="202"/>
      <c r="O640" s="202"/>
      <c r="P640" s="202"/>
      <c r="Q640" s="202"/>
      <c r="R640" s="201"/>
      <c r="S640" s="202"/>
      <c r="T640" s="273"/>
      <c r="U640" s="202"/>
      <c r="V640" s="202"/>
      <c r="W640" s="202"/>
      <c r="X640" s="202"/>
      <c r="Y640" s="201"/>
      <c r="Z640" s="201"/>
    </row>
    <row r="641">
      <c r="A641" s="273"/>
      <c r="B641" s="276"/>
      <c r="C641" s="273"/>
      <c r="D641" s="202"/>
      <c r="E641" s="202"/>
      <c r="F641" s="202"/>
      <c r="G641" s="202"/>
      <c r="H641" s="202"/>
      <c r="I641" s="201"/>
      <c r="J641" s="202"/>
      <c r="K641" s="273"/>
      <c r="L641" s="202"/>
      <c r="M641" s="202"/>
      <c r="N641" s="202"/>
      <c r="O641" s="202"/>
      <c r="P641" s="202"/>
      <c r="Q641" s="202"/>
      <c r="R641" s="201"/>
      <c r="S641" s="202"/>
      <c r="T641" s="273"/>
      <c r="U641" s="202"/>
      <c r="V641" s="202"/>
      <c r="W641" s="202"/>
      <c r="X641" s="202"/>
      <c r="Y641" s="201"/>
      <c r="Z641" s="201"/>
    </row>
    <row r="642">
      <c r="A642" s="273"/>
      <c r="B642" s="276"/>
      <c r="C642" s="273"/>
      <c r="D642" s="202"/>
      <c r="E642" s="202"/>
      <c r="F642" s="202"/>
      <c r="G642" s="202"/>
      <c r="H642" s="202"/>
      <c r="I642" s="201"/>
      <c r="J642" s="202"/>
      <c r="K642" s="273"/>
      <c r="L642" s="202"/>
      <c r="M642" s="202"/>
      <c r="N642" s="202"/>
      <c r="O642" s="202"/>
      <c r="P642" s="202"/>
      <c r="Q642" s="202"/>
      <c r="R642" s="201"/>
      <c r="S642" s="202"/>
      <c r="T642" s="273"/>
      <c r="U642" s="202"/>
      <c r="V642" s="202"/>
      <c r="W642" s="202"/>
      <c r="X642" s="202"/>
      <c r="Y642" s="201"/>
      <c r="Z642" s="201"/>
    </row>
    <row r="643">
      <c r="A643" s="273"/>
      <c r="B643" s="276"/>
      <c r="C643" s="273"/>
      <c r="D643" s="202"/>
      <c r="E643" s="202"/>
      <c r="F643" s="202"/>
      <c r="G643" s="202"/>
      <c r="H643" s="202"/>
      <c r="I643" s="201"/>
      <c r="J643" s="202"/>
      <c r="K643" s="273"/>
      <c r="L643" s="202"/>
      <c r="M643" s="202"/>
      <c r="N643" s="202"/>
      <c r="O643" s="202"/>
      <c r="P643" s="202"/>
      <c r="Q643" s="202"/>
      <c r="R643" s="201"/>
      <c r="S643" s="202"/>
      <c r="T643" s="273"/>
      <c r="U643" s="202"/>
      <c r="V643" s="202"/>
      <c r="W643" s="202"/>
      <c r="X643" s="202"/>
      <c r="Y643" s="201"/>
      <c r="Z643" s="201"/>
    </row>
    <row r="644">
      <c r="A644" s="273"/>
      <c r="B644" s="276"/>
      <c r="C644" s="273"/>
      <c r="D644" s="202"/>
      <c r="E644" s="202"/>
      <c r="F644" s="202"/>
      <c r="G644" s="202"/>
      <c r="H644" s="202"/>
      <c r="I644" s="201"/>
      <c r="J644" s="202"/>
      <c r="K644" s="273"/>
      <c r="L644" s="202"/>
      <c r="M644" s="202"/>
      <c r="N644" s="202"/>
      <c r="O644" s="202"/>
      <c r="P644" s="202"/>
      <c r="Q644" s="202"/>
      <c r="R644" s="201"/>
      <c r="S644" s="202"/>
      <c r="T644" s="273"/>
      <c r="U644" s="202"/>
      <c r="V644" s="202"/>
      <c r="W644" s="202"/>
      <c r="X644" s="202"/>
      <c r="Y644" s="201"/>
      <c r="Z644" s="201"/>
    </row>
    <row r="645">
      <c r="A645" s="273"/>
      <c r="B645" s="276"/>
      <c r="C645" s="273"/>
      <c r="D645" s="202"/>
      <c r="E645" s="202"/>
      <c r="F645" s="202"/>
      <c r="G645" s="202"/>
      <c r="H645" s="202"/>
      <c r="I645" s="201"/>
      <c r="J645" s="202"/>
      <c r="K645" s="273"/>
      <c r="L645" s="202"/>
      <c r="M645" s="202"/>
      <c r="N645" s="202"/>
      <c r="O645" s="202"/>
      <c r="P645" s="202"/>
      <c r="Q645" s="202"/>
      <c r="R645" s="201"/>
      <c r="S645" s="202"/>
      <c r="T645" s="273"/>
      <c r="U645" s="202"/>
      <c r="V645" s="202"/>
      <c r="W645" s="202"/>
      <c r="X645" s="202"/>
      <c r="Y645" s="201"/>
      <c r="Z645" s="201"/>
    </row>
    <row r="646">
      <c r="A646" s="273"/>
      <c r="B646" s="276"/>
      <c r="C646" s="273"/>
      <c r="D646" s="202"/>
      <c r="E646" s="202"/>
      <c r="F646" s="202"/>
      <c r="G646" s="202"/>
      <c r="H646" s="202"/>
      <c r="I646" s="201"/>
      <c r="J646" s="202"/>
      <c r="K646" s="273"/>
      <c r="L646" s="202"/>
      <c r="M646" s="202"/>
      <c r="N646" s="202"/>
      <c r="O646" s="202"/>
      <c r="P646" s="202"/>
      <c r="Q646" s="202"/>
      <c r="R646" s="201"/>
      <c r="S646" s="202"/>
      <c r="T646" s="273"/>
      <c r="U646" s="202"/>
      <c r="V646" s="202"/>
      <c r="W646" s="202"/>
      <c r="X646" s="202"/>
      <c r="Y646" s="201"/>
      <c r="Z646" s="201"/>
    </row>
    <row r="647">
      <c r="A647" s="273"/>
      <c r="B647" s="276"/>
      <c r="C647" s="273"/>
      <c r="D647" s="202"/>
      <c r="E647" s="202"/>
      <c r="F647" s="202"/>
      <c r="G647" s="202"/>
      <c r="H647" s="202"/>
      <c r="I647" s="201"/>
      <c r="J647" s="202"/>
      <c r="K647" s="273"/>
      <c r="L647" s="202"/>
      <c r="M647" s="202"/>
      <c r="N647" s="202"/>
      <c r="O647" s="202"/>
      <c r="P647" s="202"/>
      <c r="Q647" s="202"/>
      <c r="R647" s="201"/>
      <c r="S647" s="202"/>
      <c r="T647" s="273"/>
      <c r="U647" s="202"/>
      <c r="V647" s="202"/>
      <c r="W647" s="202"/>
      <c r="X647" s="202"/>
      <c r="Y647" s="201"/>
      <c r="Z647" s="201"/>
    </row>
    <row r="648">
      <c r="A648" s="273"/>
      <c r="B648" s="276"/>
      <c r="C648" s="273"/>
      <c r="D648" s="202"/>
      <c r="E648" s="202"/>
      <c r="F648" s="202"/>
      <c r="G648" s="202"/>
      <c r="H648" s="202"/>
      <c r="I648" s="201"/>
      <c r="J648" s="202"/>
      <c r="K648" s="273"/>
      <c r="L648" s="202"/>
      <c r="M648" s="202"/>
      <c r="N648" s="202"/>
      <c r="O648" s="202"/>
      <c r="P648" s="202"/>
      <c r="Q648" s="202"/>
      <c r="R648" s="201"/>
      <c r="S648" s="202"/>
      <c r="T648" s="273"/>
      <c r="U648" s="202"/>
      <c r="V648" s="202"/>
      <c r="W648" s="202"/>
      <c r="X648" s="202"/>
      <c r="Y648" s="201"/>
      <c r="Z648" s="201"/>
    </row>
    <row r="649">
      <c r="A649" s="273"/>
      <c r="B649" s="276"/>
      <c r="C649" s="273"/>
      <c r="D649" s="202"/>
      <c r="E649" s="202"/>
      <c r="F649" s="202"/>
      <c r="G649" s="202"/>
      <c r="H649" s="202"/>
      <c r="I649" s="201"/>
      <c r="J649" s="202"/>
      <c r="K649" s="273"/>
      <c r="L649" s="202"/>
      <c r="M649" s="202"/>
      <c r="N649" s="202"/>
      <c r="O649" s="202"/>
      <c r="P649" s="202"/>
      <c r="Q649" s="202"/>
      <c r="R649" s="201"/>
      <c r="S649" s="202"/>
      <c r="T649" s="273"/>
      <c r="U649" s="202"/>
      <c r="V649" s="202"/>
      <c r="W649" s="202"/>
      <c r="X649" s="202"/>
      <c r="Y649" s="201"/>
      <c r="Z649" s="201"/>
    </row>
    <row r="650">
      <c r="A650" s="273"/>
      <c r="B650" s="276"/>
      <c r="C650" s="273"/>
      <c r="D650" s="202"/>
      <c r="E650" s="202"/>
      <c r="F650" s="202"/>
      <c r="G650" s="202"/>
      <c r="H650" s="202"/>
      <c r="I650" s="201"/>
      <c r="J650" s="202"/>
      <c r="K650" s="273"/>
      <c r="L650" s="202"/>
      <c r="M650" s="202"/>
      <c r="N650" s="202"/>
      <c r="O650" s="202"/>
      <c r="P650" s="202"/>
      <c r="Q650" s="202"/>
      <c r="R650" s="201"/>
      <c r="S650" s="202"/>
      <c r="T650" s="273"/>
      <c r="U650" s="202"/>
      <c r="V650" s="202"/>
      <c r="W650" s="202"/>
      <c r="X650" s="202"/>
      <c r="Y650" s="201"/>
      <c r="Z650" s="201"/>
    </row>
    <row r="651">
      <c r="A651" s="273"/>
      <c r="B651" s="276"/>
      <c r="C651" s="273"/>
      <c r="D651" s="202"/>
      <c r="E651" s="202"/>
      <c r="F651" s="202"/>
      <c r="G651" s="202"/>
      <c r="H651" s="202"/>
      <c r="I651" s="201"/>
      <c r="J651" s="202"/>
      <c r="K651" s="273"/>
      <c r="L651" s="202"/>
      <c r="M651" s="202"/>
      <c r="N651" s="202"/>
      <c r="O651" s="202"/>
      <c r="P651" s="202"/>
      <c r="Q651" s="202"/>
      <c r="R651" s="201"/>
      <c r="S651" s="202"/>
      <c r="T651" s="273"/>
      <c r="U651" s="202"/>
      <c r="V651" s="202"/>
      <c r="W651" s="202"/>
      <c r="X651" s="202"/>
      <c r="Y651" s="201"/>
      <c r="Z651" s="201"/>
    </row>
    <row r="652">
      <c r="A652" s="273"/>
      <c r="B652" s="276"/>
      <c r="C652" s="273"/>
      <c r="D652" s="202"/>
      <c r="E652" s="202"/>
      <c r="F652" s="202"/>
      <c r="G652" s="202"/>
      <c r="H652" s="202"/>
      <c r="I652" s="201"/>
      <c r="J652" s="202"/>
      <c r="K652" s="273"/>
      <c r="L652" s="202"/>
      <c r="M652" s="202"/>
      <c r="N652" s="202"/>
      <c r="O652" s="202"/>
      <c r="P652" s="202"/>
      <c r="Q652" s="202"/>
      <c r="R652" s="201"/>
      <c r="S652" s="202"/>
      <c r="T652" s="273"/>
      <c r="U652" s="202"/>
      <c r="V652" s="202"/>
      <c r="W652" s="202"/>
      <c r="X652" s="202"/>
      <c r="Y652" s="201"/>
      <c r="Z652" s="201"/>
    </row>
    <row r="653">
      <c r="A653" s="273"/>
      <c r="B653" s="276"/>
      <c r="C653" s="273"/>
      <c r="D653" s="202"/>
      <c r="E653" s="202"/>
      <c r="F653" s="202"/>
      <c r="G653" s="202"/>
      <c r="H653" s="202"/>
      <c r="I653" s="201"/>
      <c r="J653" s="202"/>
      <c r="K653" s="273"/>
      <c r="L653" s="202"/>
      <c r="M653" s="202"/>
      <c r="N653" s="202"/>
      <c r="O653" s="202"/>
      <c r="P653" s="202"/>
      <c r="Q653" s="202"/>
      <c r="R653" s="201"/>
      <c r="S653" s="202"/>
      <c r="T653" s="273"/>
      <c r="U653" s="202"/>
      <c r="V653" s="202"/>
      <c r="W653" s="202"/>
      <c r="X653" s="202"/>
      <c r="Y653" s="201"/>
      <c r="Z653" s="201"/>
    </row>
    <row r="654">
      <c r="A654" s="273"/>
      <c r="B654" s="276"/>
      <c r="C654" s="273"/>
      <c r="D654" s="202"/>
      <c r="E654" s="202"/>
      <c r="F654" s="202"/>
      <c r="G654" s="202"/>
      <c r="H654" s="202"/>
      <c r="I654" s="201"/>
      <c r="J654" s="202"/>
      <c r="K654" s="273"/>
      <c r="L654" s="202"/>
      <c r="M654" s="202"/>
      <c r="N654" s="202"/>
      <c r="O654" s="202"/>
      <c r="P654" s="202"/>
      <c r="Q654" s="202"/>
      <c r="R654" s="201"/>
      <c r="S654" s="202"/>
      <c r="T654" s="273"/>
      <c r="U654" s="202"/>
      <c r="V654" s="202"/>
      <c r="W654" s="202"/>
      <c r="X654" s="202"/>
      <c r="Y654" s="201"/>
      <c r="Z654" s="201"/>
    </row>
    <row r="655">
      <c r="A655" s="273"/>
      <c r="B655" s="276"/>
      <c r="C655" s="273"/>
      <c r="D655" s="202"/>
      <c r="E655" s="202"/>
      <c r="F655" s="202"/>
      <c r="G655" s="202"/>
      <c r="H655" s="202"/>
      <c r="I655" s="201"/>
      <c r="J655" s="202"/>
      <c r="K655" s="273"/>
      <c r="L655" s="202"/>
      <c r="M655" s="202"/>
      <c r="N655" s="202"/>
      <c r="O655" s="202"/>
      <c r="P655" s="202"/>
      <c r="Q655" s="202"/>
      <c r="R655" s="201"/>
      <c r="S655" s="202"/>
      <c r="T655" s="273"/>
      <c r="U655" s="202"/>
      <c r="V655" s="202"/>
      <c r="W655" s="202"/>
      <c r="X655" s="202"/>
      <c r="Y655" s="201"/>
      <c r="Z655" s="201"/>
    </row>
    <row r="656">
      <c r="A656" s="273"/>
      <c r="B656" s="276"/>
      <c r="C656" s="273"/>
      <c r="D656" s="202"/>
      <c r="E656" s="202"/>
      <c r="F656" s="202"/>
      <c r="G656" s="202"/>
      <c r="H656" s="202"/>
      <c r="I656" s="201"/>
      <c r="J656" s="202"/>
      <c r="K656" s="273"/>
      <c r="L656" s="202"/>
      <c r="M656" s="202"/>
      <c r="N656" s="202"/>
      <c r="O656" s="202"/>
      <c r="P656" s="202"/>
      <c r="Q656" s="202"/>
      <c r="R656" s="201"/>
      <c r="S656" s="202"/>
      <c r="T656" s="273"/>
      <c r="U656" s="202"/>
      <c r="V656" s="202"/>
      <c r="W656" s="202"/>
      <c r="X656" s="202"/>
      <c r="Y656" s="201"/>
      <c r="Z656" s="201"/>
    </row>
    <row r="657">
      <c r="A657" s="273"/>
      <c r="B657" s="276"/>
      <c r="C657" s="273"/>
      <c r="D657" s="202"/>
      <c r="E657" s="202"/>
      <c r="F657" s="202"/>
      <c r="G657" s="202"/>
      <c r="H657" s="202"/>
      <c r="I657" s="201"/>
      <c r="J657" s="202"/>
      <c r="K657" s="273"/>
      <c r="L657" s="202"/>
      <c r="M657" s="202"/>
      <c r="N657" s="202"/>
      <c r="O657" s="202"/>
      <c r="P657" s="202"/>
      <c r="Q657" s="202"/>
      <c r="R657" s="201"/>
      <c r="S657" s="202"/>
      <c r="T657" s="273"/>
      <c r="U657" s="202"/>
      <c r="V657" s="202"/>
      <c r="W657" s="202"/>
      <c r="X657" s="202"/>
      <c r="Y657" s="201"/>
      <c r="Z657" s="201"/>
    </row>
    <row r="658">
      <c r="A658" s="273"/>
      <c r="B658" s="276"/>
      <c r="C658" s="273"/>
      <c r="D658" s="202"/>
      <c r="E658" s="202"/>
      <c r="F658" s="202"/>
      <c r="G658" s="202"/>
      <c r="H658" s="202"/>
      <c r="I658" s="201"/>
      <c r="J658" s="202"/>
      <c r="K658" s="273"/>
      <c r="L658" s="202"/>
      <c r="M658" s="202"/>
      <c r="N658" s="202"/>
      <c r="O658" s="202"/>
      <c r="P658" s="202"/>
      <c r="Q658" s="202"/>
      <c r="R658" s="201"/>
      <c r="S658" s="202"/>
      <c r="T658" s="273"/>
      <c r="U658" s="202"/>
      <c r="V658" s="202"/>
      <c r="W658" s="202"/>
      <c r="X658" s="202"/>
      <c r="Y658" s="201"/>
      <c r="Z658" s="201"/>
    </row>
    <row r="659">
      <c r="A659" s="273"/>
      <c r="B659" s="276"/>
      <c r="C659" s="273"/>
      <c r="D659" s="202"/>
      <c r="E659" s="202"/>
      <c r="F659" s="202"/>
      <c r="G659" s="202"/>
      <c r="H659" s="202"/>
      <c r="I659" s="201"/>
      <c r="J659" s="202"/>
      <c r="K659" s="273"/>
      <c r="L659" s="202"/>
      <c r="M659" s="202"/>
      <c r="N659" s="202"/>
      <c r="O659" s="202"/>
      <c r="P659" s="202"/>
      <c r="Q659" s="202"/>
      <c r="R659" s="201"/>
      <c r="S659" s="202"/>
      <c r="T659" s="273"/>
      <c r="U659" s="202"/>
      <c r="V659" s="202"/>
      <c r="W659" s="202"/>
      <c r="X659" s="202"/>
      <c r="Y659" s="201"/>
      <c r="Z659" s="201"/>
    </row>
    <row r="660">
      <c r="A660" s="273"/>
      <c r="B660" s="276"/>
      <c r="C660" s="273"/>
      <c r="D660" s="202"/>
      <c r="E660" s="202"/>
      <c r="F660" s="202"/>
      <c r="G660" s="202"/>
      <c r="H660" s="202"/>
      <c r="I660" s="201"/>
      <c r="J660" s="202"/>
      <c r="K660" s="273"/>
      <c r="L660" s="202"/>
      <c r="M660" s="202"/>
      <c r="N660" s="202"/>
      <c r="O660" s="202"/>
      <c r="P660" s="202"/>
      <c r="Q660" s="202"/>
      <c r="R660" s="201"/>
      <c r="S660" s="202"/>
      <c r="T660" s="273"/>
      <c r="U660" s="202"/>
      <c r="V660" s="202"/>
      <c r="W660" s="202"/>
      <c r="X660" s="202"/>
      <c r="Y660" s="201"/>
      <c r="Z660" s="201"/>
    </row>
    <row r="661">
      <c r="A661" s="273"/>
      <c r="B661" s="276"/>
      <c r="C661" s="273"/>
      <c r="D661" s="202"/>
      <c r="E661" s="202"/>
      <c r="F661" s="202"/>
      <c r="G661" s="202"/>
      <c r="H661" s="202"/>
      <c r="I661" s="201"/>
      <c r="J661" s="202"/>
      <c r="K661" s="273"/>
      <c r="L661" s="202"/>
      <c r="M661" s="202"/>
      <c r="N661" s="202"/>
      <c r="O661" s="202"/>
      <c r="P661" s="202"/>
      <c r="Q661" s="202"/>
      <c r="R661" s="201"/>
      <c r="S661" s="202"/>
      <c r="T661" s="273"/>
      <c r="U661" s="202"/>
      <c r="V661" s="202"/>
      <c r="W661" s="202"/>
      <c r="X661" s="202"/>
      <c r="Y661" s="201"/>
      <c r="Z661" s="201"/>
    </row>
    <row r="662">
      <c r="A662" s="273"/>
      <c r="B662" s="276"/>
      <c r="C662" s="273"/>
      <c r="D662" s="202"/>
      <c r="E662" s="202"/>
      <c r="F662" s="202"/>
      <c r="G662" s="202"/>
      <c r="H662" s="202"/>
      <c r="I662" s="201"/>
      <c r="J662" s="202"/>
      <c r="K662" s="273"/>
      <c r="L662" s="202"/>
      <c r="M662" s="202"/>
      <c r="N662" s="202"/>
      <c r="O662" s="202"/>
      <c r="P662" s="202"/>
      <c r="Q662" s="202"/>
      <c r="R662" s="201"/>
      <c r="S662" s="202"/>
      <c r="T662" s="273"/>
      <c r="U662" s="202"/>
      <c r="V662" s="202"/>
      <c r="W662" s="202"/>
      <c r="X662" s="202"/>
      <c r="Y662" s="201"/>
      <c r="Z662" s="201"/>
    </row>
    <row r="663">
      <c r="A663" s="273"/>
      <c r="B663" s="276"/>
      <c r="C663" s="273"/>
      <c r="D663" s="202"/>
      <c r="E663" s="202"/>
      <c r="F663" s="202"/>
      <c r="G663" s="202"/>
      <c r="H663" s="202"/>
      <c r="I663" s="201"/>
      <c r="J663" s="202"/>
      <c r="K663" s="273"/>
      <c r="L663" s="202"/>
      <c r="M663" s="202"/>
      <c r="N663" s="202"/>
      <c r="O663" s="202"/>
      <c r="P663" s="202"/>
      <c r="Q663" s="202"/>
      <c r="R663" s="201"/>
      <c r="S663" s="202"/>
      <c r="T663" s="273"/>
      <c r="U663" s="202"/>
      <c r="V663" s="202"/>
      <c r="W663" s="202"/>
      <c r="X663" s="202"/>
      <c r="Y663" s="201"/>
      <c r="Z663" s="201"/>
    </row>
    <row r="664">
      <c r="A664" s="273"/>
      <c r="B664" s="276"/>
      <c r="C664" s="273"/>
      <c r="D664" s="202"/>
      <c r="E664" s="202"/>
      <c r="F664" s="202"/>
      <c r="G664" s="202"/>
      <c r="H664" s="202"/>
      <c r="I664" s="201"/>
      <c r="J664" s="202"/>
      <c r="K664" s="273"/>
      <c r="L664" s="202"/>
      <c r="M664" s="202"/>
      <c r="N664" s="202"/>
      <c r="O664" s="202"/>
      <c r="P664" s="202"/>
      <c r="Q664" s="202"/>
      <c r="R664" s="201"/>
      <c r="S664" s="202"/>
      <c r="T664" s="273"/>
      <c r="U664" s="202"/>
      <c r="V664" s="202"/>
      <c r="W664" s="202"/>
      <c r="X664" s="202"/>
      <c r="Y664" s="201"/>
      <c r="Z664" s="201"/>
    </row>
    <row r="665">
      <c r="A665" s="273"/>
      <c r="B665" s="276"/>
      <c r="C665" s="273"/>
      <c r="D665" s="202"/>
      <c r="E665" s="202"/>
      <c r="F665" s="202"/>
      <c r="G665" s="202"/>
      <c r="H665" s="202"/>
      <c r="I665" s="201"/>
      <c r="J665" s="202"/>
      <c r="K665" s="273"/>
      <c r="L665" s="202"/>
      <c r="M665" s="202"/>
      <c r="N665" s="202"/>
      <c r="O665" s="202"/>
      <c r="P665" s="202"/>
      <c r="Q665" s="202"/>
      <c r="R665" s="201"/>
      <c r="S665" s="202"/>
      <c r="T665" s="273"/>
      <c r="U665" s="202"/>
      <c r="V665" s="202"/>
      <c r="W665" s="202"/>
      <c r="X665" s="202"/>
      <c r="Y665" s="201"/>
      <c r="Z665" s="201"/>
    </row>
    <row r="666">
      <c r="A666" s="273"/>
      <c r="B666" s="276"/>
      <c r="C666" s="273"/>
      <c r="D666" s="202"/>
      <c r="E666" s="202"/>
      <c r="F666" s="202"/>
      <c r="G666" s="202"/>
      <c r="H666" s="202"/>
      <c r="I666" s="201"/>
      <c r="J666" s="202"/>
      <c r="K666" s="273"/>
      <c r="L666" s="202"/>
      <c r="M666" s="202"/>
      <c r="N666" s="202"/>
      <c r="O666" s="202"/>
      <c r="P666" s="202"/>
      <c r="Q666" s="202"/>
      <c r="R666" s="201"/>
      <c r="S666" s="202"/>
      <c r="T666" s="273"/>
      <c r="U666" s="202"/>
      <c r="V666" s="202"/>
      <c r="W666" s="202"/>
      <c r="X666" s="202"/>
      <c r="Y666" s="201"/>
      <c r="Z666" s="201"/>
    </row>
    <row r="667">
      <c r="A667" s="273"/>
      <c r="B667" s="276"/>
      <c r="C667" s="273"/>
      <c r="D667" s="202"/>
      <c r="E667" s="202"/>
      <c r="F667" s="202"/>
      <c r="G667" s="202"/>
      <c r="H667" s="202"/>
      <c r="I667" s="201"/>
      <c r="J667" s="202"/>
      <c r="K667" s="273"/>
      <c r="L667" s="202"/>
      <c r="M667" s="202"/>
      <c r="N667" s="202"/>
      <c r="O667" s="202"/>
      <c r="P667" s="202"/>
      <c r="Q667" s="202"/>
      <c r="R667" s="201"/>
      <c r="S667" s="202"/>
      <c r="T667" s="273"/>
      <c r="U667" s="202"/>
      <c r="V667" s="202"/>
      <c r="W667" s="202"/>
      <c r="X667" s="202"/>
      <c r="Y667" s="201"/>
      <c r="Z667" s="201"/>
    </row>
    <row r="668">
      <c r="A668" s="273"/>
      <c r="B668" s="276"/>
      <c r="C668" s="273"/>
      <c r="D668" s="202"/>
      <c r="E668" s="202"/>
      <c r="F668" s="202"/>
      <c r="G668" s="202"/>
      <c r="H668" s="202"/>
      <c r="I668" s="201"/>
      <c r="J668" s="202"/>
      <c r="K668" s="273"/>
      <c r="L668" s="202"/>
      <c r="M668" s="202"/>
      <c r="N668" s="202"/>
      <c r="O668" s="202"/>
      <c r="P668" s="202"/>
      <c r="Q668" s="202"/>
      <c r="R668" s="201"/>
      <c r="S668" s="202"/>
      <c r="T668" s="273"/>
      <c r="U668" s="202"/>
      <c r="V668" s="202"/>
      <c r="W668" s="202"/>
      <c r="X668" s="202"/>
      <c r="Y668" s="201"/>
      <c r="Z668" s="201"/>
    </row>
    <row r="669">
      <c r="A669" s="273"/>
      <c r="B669" s="276"/>
      <c r="C669" s="273"/>
      <c r="D669" s="202"/>
      <c r="E669" s="202"/>
      <c r="F669" s="202"/>
      <c r="G669" s="202"/>
      <c r="H669" s="202"/>
      <c r="I669" s="201"/>
      <c r="J669" s="202"/>
      <c r="K669" s="273"/>
      <c r="L669" s="202"/>
      <c r="M669" s="202"/>
      <c r="N669" s="202"/>
      <c r="O669" s="202"/>
      <c r="P669" s="202"/>
      <c r="Q669" s="202"/>
      <c r="R669" s="201"/>
      <c r="S669" s="202"/>
      <c r="T669" s="273"/>
      <c r="U669" s="202"/>
      <c r="V669" s="202"/>
      <c r="W669" s="202"/>
      <c r="X669" s="202"/>
      <c r="Y669" s="201"/>
      <c r="Z669" s="201"/>
    </row>
    <row r="670">
      <c r="A670" s="273"/>
      <c r="B670" s="276"/>
      <c r="C670" s="273"/>
      <c r="D670" s="202"/>
      <c r="E670" s="202"/>
      <c r="F670" s="202"/>
      <c r="G670" s="202"/>
      <c r="H670" s="202"/>
      <c r="I670" s="201"/>
      <c r="J670" s="202"/>
      <c r="K670" s="273"/>
      <c r="L670" s="202"/>
      <c r="M670" s="202"/>
      <c r="N670" s="202"/>
      <c r="O670" s="202"/>
      <c r="P670" s="202"/>
      <c r="Q670" s="202"/>
      <c r="R670" s="201"/>
      <c r="S670" s="202"/>
      <c r="T670" s="273"/>
      <c r="U670" s="202"/>
      <c r="V670" s="202"/>
      <c r="W670" s="202"/>
      <c r="X670" s="202"/>
      <c r="Y670" s="201"/>
      <c r="Z670" s="201"/>
    </row>
    <row r="671">
      <c r="A671" s="273"/>
      <c r="B671" s="276"/>
      <c r="C671" s="273"/>
      <c r="D671" s="202"/>
      <c r="E671" s="202"/>
      <c r="F671" s="202"/>
      <c r="G671" s="202"/>
      <c r="H671" s="202"/>
      <c r="I671" s="201"/>
      <c r="J671" s="202"/>
      <c r="K671" s="273"/>
      <c r="L671" s="202"/>
      <c r="M671" s="202"/>
      <c r="N671" s="202"/>
      <c r="O671" s="202"/>
      <c r="P671" s="202"/>
      <c r="Q671" s="202"/>
      <c r="R671" s="201"/>
      <c r="S671" s="202"/>
      <c r="T671" s="273"/>
      <c r="U671" s="202"/>
      <c r="V671" s="202"/>
      <c r="W671" s="202"/>
      <c r="X671" s="202"/>
      <c r="Y671" s="201"/>
      <c r="Z671" s="201"/>
    </row>
    <row r="672">
      <c r="A672" s="273"/>
      <c r="B672" s="276"/>
      <c r="C672" s="273"/>
      <c r="D672" s="202"/>
      <c r="E672" s="202"/>
      <c r="F672" s="202"/>
      <c r="G672" s="202"/>
      <c r="H672" s="202"/>
      <c r="I672" s="201"/>
      <c r="J672" s="202"/>
      <c r="K672" s="273"/>
      <c r="L672" s="202"/>
      <c r="M672" s="202"/>
      <c r="N672" s="202"/>
      <c r="O672" s="202"/>
      <c r="P672" s="202"/>
      <c r="Q672" s="202"/>
      <c r="R672" s="201"/>
      <c r="S672" s="202"/>
      <c r="T672" s="273"/>
      <c r="U672" s="202"/>
      <c r="V672" s="202"/>
      <c r="W672" s="202"/>
      <c r="X672" s="202"/>
      <c r="Y672" s="201"/>
      <c r="Z672" s="201"/>
    </row>
    <row r="673">
      <c r="A673" s="273"/>
      <c r="B673" s="276"/>
      <c r="C673" s="273"/>
      <c r="D673" s="202"/>
      <c r="E673" s="202"/>
      <c r="F673" s="202"/>
      <c r="G673" s="202"/>
      <c r="H673" s="202"/>
      <c r="I673" s="201"/>
      <c r="J673" s="202"/>
      <c r="K673" s="273"/>
      <c r="L673" s="202"/>
      <c r="M673" s="202"/>
      <c r="N673" s="202"/>
      <c r="O673" s="202"/>
      <c r="P673" s="202"/>
      <c r="Q673" s="202"/>
      <c r="R673" s="201"/>
      <c r="S673" s="202"/>
      <c r="T673" s="273"/>
      <c r="U673" s="202"/>
      <c r="V673" s="202"/>
      <c r="W673" s="202"/>
      <c r="X673" s="202"/>
      <c r="Y673" s="201"/>
      <c r="Z673" s="201"/>
    </row>
    <row r="674">
      <c r="A674" s="273"/>
      <c r="B674" s="276"/>
      <c r="C674" s="273"/>
      <c r="D674" s="202"/>
      <c r="E674" s="202"/>
      <c r="F674" s="202"/>
      <c r="G674" s="202"/>
      <c r="H674" s="202"/>
      <c r="I674" s="201"/>
      <c r="J674" s="202"/>
      <c r="K674" s="273"/>
      <c r="L674" s="202"/>
      <c r="M674" s="202"/>
      <c r="N674" s="202"/>
      <c r="O674" s="202"/>
      <c r="P674" s="202"/>
      <c r="Q674" s="202"/>
      <c r="R674" s="201"/>
      <c r="S674" s="202"/>
      <c r="T674" s="273"/>
      <c r="U674" s="202"/>
      <c r="V674" s="202"/>
      <c r="W674" s="202"/>
      <c r="X674" s="202"/>
      <c r="Y674" s="201"/>
      <c r="Z674" s="201"/>
    </row>
    <row r="675">
      <c r="A675" s="273"/>
      <c r="B675" s="276"/>
      <c r="C675" s="273"/>
      <c r="D675" s="202"/>
      <c r="E675" s="202"/>
      <c r="F675" s="202"/>
      <c r="G675" s="202"/>
      <c r="H675" s="202"/>
      <c r="I675" s="201"/>
      <c r="J675" s="202"/>
      <c r="K675" s="273"/>
      <c r="L675" s="202"/>
      <c r="M675" s="202"/>
      <c r="N675" s="202"/>
      <c r="O675" s="202"/>
      <c r="P675" s="202"/>
      <c r="Q675" s="202"/>
      <c r="R675" s="201"/>
      <c r="S675" s="202"/>
      <c r="T675" s="273"/>
      <c r="U675" s="202"/>
      <c r="V675" s="202"/>
      <c r="W675" s="202"/>
      <c r="X675" s="202"/>
      <c r="Y675" s="201"/>
      <c r="Z675" s="201"/>
    </row>
    <row r="676">
      <c r="A676" s="273"/>
      <c r="B676" s="276"/>
      <c r="C676" s="273"/>
      <c r="D676" s="202"/>
      <c r="E676" s="202"/>
      <c r="F676" s="202"/>
      <c r="G676" s="202"/>
      <c r="H676" s="202"/>
      <c r="I676" s="201"/>
      <c r="J676" s="202"/>
      <c r="K676" s="273"/>
      <c r="L676" s="202"/>
      <c r="M676" s="202"/>
      <c r="N676" s="202"/>
      <c r="O676" s="202"/>
      <c r="P676" s="202"/>
      <c r="Q676" s="202"/>
      <c r="R676" s="201"/>
      <c r="S676" s="202"/>
      <c r="T676" s="273"/>
      <c r="U676" s="202"/>
      <c r="V676" s="202"/>
      <c r="W676" s="202"/>
      <c r="X676" s="202"/>
      <c r="Y676" s="201"/>
      <c r="Z676" s="201"/>
    </row>
    <row r="677">
      <c r="A677" s="273"/>
      <c r="B677" s="276"/>
      <c r="C677" s="273"/>
      <c r="D677" s="202"/>
      <c r="E677" s="202"/>
      <c r="F677" s="202"/>
      <c r="G677" s="202"/>
      <c r="H677" s="202"/>
      <c r="I677" s="201"/>
      <c r="J677" s="202"/>
      <c r="K677" s="273"/>
      <c r="L677" s="202"/>
      <c r="M677" s="202"/>
      <c r="N677" s="202"/>
      <c r="O677" s="202"/>
      <c r="P677" s="202"/>
      <c r="Q677" s="202"/>
      <c r="R677" s="201"/>
      <c r="S677" s="202"/>
      <c r="T677" s="273"/>
      <c r="U677" s="202"/>
      <c r="V677" s="202"/>
      <c r="W677" s="202"/>
      <c r="X677" s="202"/>
      <c r="Y677" s="201"/>
      <c r="Z677" s="201"/>
    </row>
    <row r="678">
      <c r="A678" s="273"/>
      <c r="B678" s="276"/>
      <c r="C678" s="273"/>
      <c r="D678" s="202"/>
      <c r="E678" s="202"/>
      <c r="F678" s="202"/>
      <c r="G678" s="202"/>
      <c r="H678" s="202"/>
      <c r="I678" s="201"/>
      <c r="J678" s="202"/>
      <c r="K678" s="273"/>
      <c r="L678" s="202"/>
      <c r="M678" s="202"/>
      <c r="N678" s="202"/>
      <c r="O678" s="202"/>
      <c r="P678" s="202"/>
      <c r="Q678" s="202"/>
      <c r="R678" s="201"/>
      <c r="S678" s="202"/>
      <c r="T678" s="273"/>
      <c r="U678" s="202"/>
      <c r="V678" s="202"/>
      <c r="W678" s="202"/>
      <c r="X678" s="202"/>
      <c r="Y678" s="201"/>
      <c r="Z678" s="201"/>
    </row>
    <row r="679">
      <c r="A679" s="273"/>
      <c r="B679" s="276"/>
      <c r="C679" s="273"/>
      <c r="D679" s="202"/>
      <c r="E679" s="202"/>
      <c r="F679" s="202"/>
      <c r="G679" s="202"/>
      <c r="H679" s="202"/>
      <c r="I679" s="201"/>
      <c r="J679" s="202"/>
      <c r="K679" s="273"/>
      <c r="L679" s="202"/>
      <c r="M679" s="202"/>
      <c r="N679" s="202"/>
      <c r="O679" s="202"/>
      <c r="P679" s="202"/>
      <c r="Q679" s="202"/>
      <c r="R679" s="201"/>
      <c r="S679" s="202"/>
      <c r="T679" s="273"/>
      <c r="U679" s="202"/>
      <c r="V679" s="202"/>
      <c r="W679" s="202"/>
      <c r="X679" s="202"/>
      <c r="Y679" s="201"/>
      <c r="Z679" s="201"/>
    </row>
    <row r="680">
      <c r="A680" s="273"/>
      <c r="B680" s="276"/>
      <c r="C680" s="273"/>
      <c r="D680" s="202"/>
      <c r="E680" s="202"/>
      <c r="F680" s="202"/>
      <c r="G680" s="202"/>
      <c r="H680" s="202"/>
      <c r="I680" s="201"/>
      <c r="J680" s="202"/>
      <c r="K680" s="273"/>
      <c r="L680" s="202"/>
      <c r="M680" s="202"/>
      <c r="N680" s="202"/>
      <c r="O680" s="202"/>
      <c r="P680" s="202"/>
      <c r="Q680" s="202"/>
      <c r="R680" s="201"/>
      <c r="S680" s="202"/>
      <c r="T680" s="273"/>
      <c r="U680" s="202"/>
      <c r="V680" s="202"/>
      <c r="W680" s="202"/>
      <c r="X680" s="202"/>
      <c r="Y680" s="201"/>
      <c r="Z680" s="201"/>
    </row>
    <row r="681">
      <c r="A681" s="273"/>
      <c r="B681" s="276"/>
      <c r="C681" s="273"/>
      <c r="D681" s="202"/>
      <c r="E681" s="202"/>
      <c r="F681" s="202"/>
      <c r="G681" s="202"/>
      <c r="H681" s="202"/>
      <c r="I681" s="201"/>
      <c r="J681" s="202"/>
      <c r="K681" s="273"/>
      <c r="L681" s="202"/>
      <c r="M681" s="202"/>
      <c r="N681" s="202"/>
      <c r="O681" s="202"/>
      <c r="P681" s="202"/>
      <c r="Q681" s="202"/>
      <c r="R681" s="201"/>
      <c r="S681" s="202"/>
      <c r="T681" s="273"/>
      <c r="U681" s="202"/>
      <c r="V681" s="202"/>
      <c r="W681" s="202"/>
      <c r="X681" s="202"/>
      <c r="Y681" s="201"/>
      <c r="Z681" s="201"/>
    </row>
    <row r="682">
      <c r="A682" s="273"/>
      <c r="B682" s="276"/>
      <c r="C682" s="273"/>
      <c r="D682" s="202"/>
      <c r="E682" s="202"/>
      <c r="F682" s="202"/>
      <c r="G682" s="202"/>
      <c r="H682" s="202"/>
      <c r="I682" s="201"/>
      <c r="J682" s="202"/>
      <c r="K682" s="273"/>
      <c r="L682" s="202"/>
      <c r="M682" s="202"/>
      <c r="N682" s="202"/>
      <c r="O682" s="202"/>
      <c r="P682" s="202"/>
      <c r="Q682" s="202"/>
      <c r="R682" s="201"/>
      <c r="S682" s="202"/>
      <c r="T682" s="273"/>
      <c r="U682" s="202"/>
      <c r="V682" s="202"/>
      <c r="W682" s="202"/>
      <c r="X682" s="202"/>
      <c r="Y682" s="201"/>
      <c r="Z682" s="201"/>
    </row>
    <row r="683">
      <c r="A683" s="273"/>
      <c r="B683" s="276"/>
      <c r="C683" s="273"/>
      <c r="D683" s="202"/>
      <c r="E683" s="202"/>
      <c r="F683" s="202"/>
      <c r="G683" s="202"/>
      <c r="H683" s="202"/>
      <c r="I683" s="201"/>
      <c r="J683" s="202"/>
      <c r="K683" s="273"/>
      <c r="L683" s="202"/>
      <c r="M683" s="202"/>
      <c r="N683" s="202"/>
      <c r="O683" s="202"/>
      <c r="P683" s="202"/>
      <c r="Q683" s="202"/>
      <c r="R683" s="201"/>
      <c r="S683" s="202"/>
      <c r="T683" s="273"/>
      <c r="U683" s="202"/>
      <c r="V683" s="202"/>
      <c r="W683" s="202"/>
      <c r="X683" s="202"/>
      <c r="Y683" s="201"/>
      <c r="Z683" s="201"/>
    </row>
    <row r="684">
      <c r="A684" s="273"/>
      <c r="B684" s="276"/>
      <c r="C684" s="273"/>
      <c r="D684" s="202"/>
      <c r="E684" s="202"/>
      <c r="F684" s="202"/>
      <c r="G684" s="202"/>
      <c r="H684" s="202"/>
      <c r="I684" s="201"/>
      <c r="J684" s="202"/>
      <c r="K684" s="273"/>
      <c r="L684" s="202"/>
      <c r="M684" s="202"/>
      <c r="N684" s="202"/>
      <c r="O684" s="202"/>
      <c r="P684" s="202"/>
      <c r="Q684" s="202"/>
      <c r="R684" s="201"/>
      <c r="S684" s="202"/>
      <c r="T684" s="273"/>
      <c r="U684" s="202"/>
      <c r="V684" s="202"/>
      <c r="W684" s="202"/>
      <c r="X684" s="202"/>
      <c r="Y684" s="201"/>
      <c r="Z684" s="201"/>
    </row>
    <row r="685">
      <c r="A685" s="273"/>
      <c r="B685" s="276"/>
      <c r="C685" s="273"/>
      <c r="D685" s="202"/>
      <c r="E685" s="202"/>
      <c r="F685" s="202"/>
      <c r="G685" s="202"/>
      <c r="H685" s="202"/>
      <c r="I685" s="201"/>
      <c r="J685" s="202"/>
      <c r="K685" s="273"/>
      <c r="L685" s="202"/>
      <c r="M685" s="202"/>
      <c r="N685" s="202"/>
      <c r="O685" s="202"/>
      <c r="P685" s="202"/>
      <c r="Q685" s="202"/>
      <c r="R685" s="201"/>
      <c r="S685" s="202"/>
      <c r="T685" s="273"/>
      <c r="U685" s="202"/>
      <c r="V685" s="202"/>
      <c r="W685" s="202"/>
      <c r="X685" s="202"/>
      <c r="Y685" s="201"/>
      <c r="Z685" s="201"/>
    </row>
    <row r="686">
      <c r="A686" s="273"/>
      <c r="B686" s="276"/>
      <c r="C686" s="273"/>
      <c r="D686" s="202"/>
      <c r="E686" s="202"/>
      <c r="F686" s="202"/>
      <c r="G686" s="202"/>
      <c r="H686" s="202"/>
      <c r="I686" s="201"/>
      <c r="J686" s="202"/>
      <c r="K686" s="273"/>
      <c r="L686" s="202"/>
      <c r="M686" s="202"/>
      <c r="N686" s="202"/>
      <c r="O686" s="202"/>
      <c r="P686" s="202"/>
      <c r="Q686" s="202"/>
      <c r="R686" s="201"/>
      <c r="S686" s="202"/>
      <c r="T686" s="273"/>
      <c r="U686" s="202"/>
      <c r="V686" s="202"/>
      <c r="W686" s="202"/>
      <c r="X686" s="202"/>
      <c r="Y686" s="201"/>
      <c r="Z686" s="201"/>
    </row>
    <row r="687">
      <c r="A687" s="273"/>
      <c r="B687" s="276"/>
      <c r="C687" s="273"/>
      <c r="D687" s="202"/>
      <c r="E687" s="202"/>
      <c r="F687" s="202"/>
      <c r="G687" s="202"/>
      <c r="H687" s="202"/>
      <c r="I687" s="201"/>
      <c r="J687" s="202"/>
      <c r="K687" s="273"/>
      <c r="L687" s="202"/>
      <c r="M687" s="202"/>
      <c r="N687" s="202"/>
      <c r="O687" s="202"/>
      <c r="P687" s="202"/>
      <c r="Q687" s="202"/>
      <c r="R687" s="201"/>
      <c r="S687" s="202"/>
      <c r="T687" s="273"/>
      <c r="U687" s="202"/>
      <c r="V687" s="202"/>
      <c r="W687" s="202"/>
      <c r="X687" s="202"/>
      <c r="Y687" s="201"/>
      <c r="Z687" s="201"/>
    </row>
    <row r="688">
      <c r="A688" s="273"/>
      <c r="B688" s="276"/>
      <c r="C688" s="273"/>
      <c r="D688" s="202"/>
      <c r="E688" s="202"/>
      <c r="F688" s="202"/>
      <c r="G688" s="202"/>
      <c r="H688" s="202"/>
      <c r="I688" s="201"/>
      <c r="J688" s="202"/>
      <c r="K688" s="273"/>
      <c r="L688" s="202"/>
      <c r="M688" s="202"/>
      <c r="N688" s="202"/>
      <c r="O688" s="202"/>
      <c r="P688" s="202"/>
      <c r="Q688" s="202"/>
      <c r="R688" s="201"/>
      <c r="S688" s="202"/>
      <c r="T688" s="273"/>
      <c r="U688" s="202"/>
      <c r="V688" s="202"/>
      <c r="W688" s="202"/>
      <c r="X688" s="202"/>
      <c r="Y688" s="201"/>
      <c r="Z688" s="201"/>
    </row>
    <row r="689">
      <c r="A689" s="273"/>
      <c r="B689" s="276"/>
      <c r="C689" s="273"/>
      <c r="D689" s="202"/>
      <c r="E689" s="202"/>
      <c r="F689" s="202"/>
      <c r="G689" s="202"/>
      <c r="H689" s="202"/>
      <c r="I689" s="201"/>
      <c r="J689" s="202"/>
      <c r="K689" s="273"/>
      <c r="L689" s="202"/>
      <c r="M689" s="202"/>
      <c r="N689" s="202"/>
      <c r="O689" s="202"/>
      <c r="P689" s="202"/>
      <c r="Q689" s="202"/>
      <c r="R689" s="201"/>
      <c r="S689" s="202"/>
      <c r="T689" s="273"/>
      <c r="U689" s="202"/>
      <c r="V689" s="202"/>
      <c r="W689" s="202"/>
      <c r="X689" s="202"/>
      <c r="Y689" s="201"/>
      <c r="Z689" s="201"/>
    </row>
    <row r="690">
      <c r="A690" s="273"/>
      <c r="B690" s="276"/>
      <c r="C690" s="273"/>
      <c r="D690" s="202"/>
      <c r="E690" s="202"/>
      <c r="F690" s="202"/>
      <c r="G690" s="202"/>
      <c r="H690" s="202"/>
      <c r="I690" s="201"/>
      <c r="J690" s="202"/>
      <c r="K690" s="273"/>
      <c r="L690" s="202"/>
      <c r="M690" s="202"/>
      <c r="N690" s="202"/>
      <c r="O690" s="202"/>
      <c r="P690" s="202"/>
      <c r="Q690" s="202"/>
      <c r="R690" s="201"/>
      <c r="S690" s="202"/>
      <c r="T690" s="273"/>
      <c r="U690" s="202"/>
      <c r="V690" s="202"/>
      <c r="W690" s="202"/>
      <c r="X690" s="202"/>
      <c r="Y690" s="201"/>
      <c r="Z690" s="201"/>
    </row>
    <row r="691">
      <c r="A691" s="273"/>
      <c r="B691" s="276"/>
      <c r="C691" s="273"/>
      <c r="D691" s="202"/>
      <c r="E691" s="202"/>
      <c r="F691" s="202"/>
      <c r="G691" s="202"/>
      <c r="H691" s="202"/>
      <c r="I691" s="201"/>
      <c r="J691" s="202"/>
      <c r="K691" s="273"/>
      <c r="L691" s="202"/>
      <c r="M691" s="202"/>
      <c r="N691" s="202"/>
      <c r="O691" s="202"/>
      <c r="P691" s="202"/>
      <c r="Q691" s="202"/>
      <c r="R691" s="201"/>
      <c r="S691" s="202"/>
      <c r="T691" s="273"/>
      <c r="U691" s="202"/>
      <c r="V691" s="202"/>
      <c r="W691" s="202"/>
      <c r="X691" s="202"/>
      <c r="Y691" s="201"/>
      <c r="Z691" s="201"/>
    </row>
    <row r="692">
      <c r="A692" s="273"/>
      <c r="B692" s="276"/>
      <c r="C692" s="273"/>
      <c r="D692" s="202"/>
      <c r="E692" s="202"/>
      <c r="F692" s="202"/>
      <c r="G692" s="202"/>
      <c r="H692" s="202"/>
      <c r="I692" s="201"/>
      <c r="J692" s="202"/>
      <c r="K692" s="273"/>
      <c r="L692" s="202"/>
      <c r="M692" s="202"/>
      <c r="N692" s="202"/>
      <c r="O692" s="202"/>
      <c r="P692" s="202"/>
      <c r="Q692" s="202"/>
      <c r="R692" s="201"/>
      <c r="S692" s="202"/>
      <c r="T692" s="273"/>
      <c r="U692" s="202"/>
      <c r="V692" s="202"/>
      <c r="W692" s="202"/>
      <c r="X692" s="202"/>
      <c r="Y692" s="201"/>
      <c r="Z692" s="201"/>
    </row>
    <row r="693">
      <c r="A693" s="273"/>
      <c r="B693" s="276"/>
      <c r="C693" s="273"/>
      <c r="D693" s="202"/>
      <c r="E693" s="202"/>
      <c r="F693" s="202"/>
      <c r="G693" s="202"/>
      <c r="H693" s="202"/>
      <c r="I693" s="201"/>
      <c r="J693" s="202"/>
      <c r="K693" s="273"/>
      <c r="L693" s="202"/>
      <c r="M693" s="202"/>
      <c r="N693" s="202"/>
      <c r="O693" s="202"/>
      <c r="P693" s="202"/>
      <c r="Q693" s="202"/>
      <c r="R693" s="201"/>
      <c r="S693" s="202"/>
      <c r="T693" s="273"/>
      <c r="U693" s="202"/>
      <c r="V693" s="202"/>
      <c r="W693" s="202"/>
      <c r="X693" s="202"/>
      <c r="Y693" s="201"/>
      <c r="Z693" s="201"/>
    </row>
    <row r="694">
      <c r="A694" s="273"/>
      <c r="B694" s="276"/>
      <c r="C694" s="273"/>
      <c r="D694" s="202"/>
      <c r="E694" s="202"/>
      <c r="F694" s="202"/>
      <c r="G694" s="202"/>
      <c r="H694" s="202"/>
      <c r="I694" s="201"/>
      <c r="J694" s="202"/>
      <c r="K694" s="273"/>
      <c r="L694" s="202"/>
      <c r="M694" s="202"/>
      <c r="N694" s="202"/>
      <c r="O694" s="202"/>
      <c r="P694" s="202"/>
      <c r="Q694" s="202"/>
      <c r="R694" s="201"/>
      <c r="S694" s="202"/>
      <c r="T694" s="273"/>
      <c r="U694" s="202"/>
      <c r="V694" s="202"/>
      <c r="W694" s="202"/>
      <c r="X694" s="202"/>
      <c r="Y694" s="201"/>
      <c r="Z694" s="201"/>
    </row>
    <row r="695">
      <c r="A695" s="273"/>
      <c r="B695" s="276"/>
      <c r="C695" s="273"/>
      <c r="D695" s="202"/>
      <c r="E695" s="202"/>
      <c r="F695" s="202"/>
      <c r="G695" s="202"/>
      <c r="H695" s="202"/>
      <c r="I695" s="201"/>
      <c r="J695" s="202"/>
      <c r="K695" s="273"/>
      <c r="L695" s="202"/>
      <c r="M695" s="202"/>
      <c r="N695" s="202"/>
      <c r="O695" s="202"/>
      <c r="P695" s="202"/>
      <c r="Q695" s="202"/>
      <c r="R695" s="201"/>
      <c r="S695" s="202"/>
      <c r="T695" s="273"/>
      <c r="U695" s="202"/>
      <c r="V695" s="202"/>
      <c r="W695" s="202"/>
      <c r="X695" s="202"/>
      <c r="Y695" s="201"/>
      <c r="Z695" s="201"/>
    </row>
    <row r="696">
      <c r="A696" s="273"/>
      <c r="B696" s="276"/>
      <c r="C696" s="273"/>
      <c r="D696" s="202"/>
      <c r="E696" s="202"/>
      <c r="F696" s="202"/>
      <c r="G696" s="202"/>
      <c r="H696" s="202"/>
      <c r="I696" s="201"/>
      <c r="J696" s="202"/>
      <c r="K696" s="273"/>
      <c r="L696" s="202"/>
      <c r="M696" s="202"/>
      <c r="N696" s="202"/>
      <c r="O696" s="202"/>
      <c r="P696" s="202"/>
      <c r="Q696" s="202"/>
      <c r="R696" s="201"/>
      <c r="S696" s="202"/>
      <c r="T696" s="273"/>
      <c r="U696" s="202"/>
      <c r="V696" s="202"/>
      <c r="W696" s="202"/>
      <c r="X696" s="202"/>
      <c r="Y696" s="201"/>
      <c r="Z696" s="201"/>
    </row>
    <row r="697">
      <c r="A697" s="273"/>
      <c r="B697" s="276"/>
      <c r="C697" s="273"/>
      <c r="D697" s="202"/>
      <c r="E697" s="202"/>
      <c r="F697" s="202"/>
      <c r="G697" s="202"/>
      <c r="H697" s="202"/>
      <c r="I697" s="201"/>
      <c r="J697" s="202"/>
      <c r="K697" s="273"/>
      <c r="L697" s="202"/>
      <c r="M697" s="202"/>
      <c r="N697" s="202"/>
      <c r="O697" s="202"/>
      <c r="P697" s="202"/>
      <c r="Q697" s="202"/>
      <c r="R697" s="201"/>
      <c r="S697" s="202"/>
      <c r="T697" s="273"/>
      <c r="U697" s="202"/>
      <c r="V697" s="202"/>
      <c r="W697" s="202"/>
      <c r="X697" s="202"/>
      <c r="Y697" s="201"/>
      <c r="Z697" s="201"/>
    </row>
    <row r="698">
      <c r="A698" s="273"/>
      <c r="B698" s="276"/>
      <c r="C698" s="273"/>
      <c r="D698" s="202"/>
      <c r="E698" s="202"/>
      <c r="F698" s="202"/>
      <c r="G698" s="202"/>
      <c r="H698" s="202"/>
      <c r="I698" s="201"/>
      <c r="J698" s="202"/>
      <c r="K698" s="273"/>
      <c r="L698" s="202"/>
      <c r="M698" s="202"/>
      <c r="N698" s="202"/>
      <c r="O698" s="202"/>
      <c r="P698" s="202"/>
      <c r="Q698" s="202"/>
      <c r="R698" s="201"/>
      <c r="S698" s="202"/>
      <c r="T698" s="273"/>
      <c r="U698" s="202"/>
      <c r="V698" s="202"/>
      <c r="W698" s="202"/>
      <c r="X698" s="202"/>
      <c r="Y698" s="201"/>
      <c r="Z698" s="201"/>
    </row>
    <row r="699">
      <c r="A699" s="273"/>
      <c r="B699" s="276"/>
      <c r="C699" s="273"/>
      <c r="D699" s="202"/>
      <c r="E699" s="202"/>
      <c r="F699" s="202"/>
      <c r="G699" s="202"/>
      <c r="H699" s="202"/>
      <c r="I699" s="201"/>
      <c r="J699" s="202"/>
      <c r="K699" s="273"/>
      <c r="L699" s="202"/>
      <c r="M699" s="202"/>
      <c r="N699" s="202"/>
      <c r="O699" s="202"/>
      <c r="P699" s="202"/>
      <c r="Q699" s="202"/>
      <c r="R699" s="201"/>
      <c r="S699" s="202"/>
      <c r="T699" s="273"/>
      <c r="U699" s="202"/>
      <c r="V699" s="202"/>
      <c r="W699" s="202"/>
      <c r="X699" s="202"/>
      <c r="Y699" s="201"/>
      <c r="Z699" s="201"/>
    </row>
    <row r="700">
      <c r="A700" s="273"/>
      <c r="B700" s="276"/>
      <c r="C700" s="273"/>
      <c r="D700" s="202"/>
      <c r="E700" s="202"/>
      <c r="F700" s="202"/>
      <c r="G700" s="202"/>
      <c r="H700" s="202"/>
      <c r="I700" s="201"/>
      <c r="J700" s="202"/>
      <c r="K700" s="273"/>
      <c r="L700" s="202"/>
      <c r="M700" s="202"/>
      <c r="N700" s="202"/>
      <c r="O700" s="202"/>
      <c r="P700" s="202"/>
      <c r="Q700" s="202"/>
      <c r="R700" s="201"/>
      <c r="S700" s="202"/>
      <c r="T700" s="273"/>
      <c r="U700" s="202"/>
      <c r="V700" s="202"/>
      <c r="W700" s="202"/>
      <c r="X700" s="202"/>
      <c r="Y700" s="201"/>
      <c r="Z700" s="201"/>
    </row>
    <row r="701">
      <c r="A701" s="273"/>
      <c r="B701" s="276"/>
      <c r="C701" s="273"/>
      <c r="D701" s="202"/>
      <c r="E701" s="202"/>
      <c r="F701" s="202"/>
      <c r="G701" s="202"/>
      <c r="H701" s="202"/>
      <c r="I701" s="201"/>
      <c r="J701" s="202"/>
      <c r="K701" s="273"/>
      <c r="L701" s="202"/>
      <c r="M701" s="202"/>
      <c r="N701" s="202"/>
      <c r="O701" s="202"/>
      <c r="P701" s="202"/>
      <c r="Q701" s="202"/>
      <c r="R701" s="201"/>
      <c r="S701" s="202"/>
      <c r="T701" s="273"/>
      <c r="U701" s="202"/>
      <c r="V701" s="202"/>
      <c r="W701" s="202"/>
      <c r="X701" s="202"/>
      <c r="Y701" s="201"/>
      <c r="Z701" s="201"/>
    </row>
    <row r="702">
      <c r="A702" s="273"/>
      <c r="B702" s="276"/>
      <c r="C702" s="273"/>
      <c r="D702" s="202"/>
      <c r="E702" s="202"/>
      <c r="F702" s="202"/>
      <c r="G702" s="202"/>
      <c r="H702" s="202"/>
      <c r="I702" s="201"/>
      <c r="J702" s="202"/>
      <c r="K702" s="273"/>
      <c r="L702" s="202"/>
      <c r="M702" s="202"/>
      <c r="N702" s="202"/>
      <c r="O702" s="202"/>
      <c r="P702" s="202"/>
      <c r="Q702" s="202"/>
      <c r="R702" s="201"/>
      <c r="S702" s="202"/>
      <c r="T702" s="273"/>
      <c r="U702" s="202"/>
      <c r="V702" s="202"/>
      <c r="W702" s="202"/>
      <c r="X702" s="202"/>
      <c r="Y702" s="201"/>
      <c r="Z702" s="201"/>
    </row>
    <row r="703">
      <c r="A703" s="273"/>
      <c r="B703" s="276"/>
      <c r="C703" s="273"/>
      <c r="D703" s="202"/>
      <c r="E703" s="202"/>
      <c r="F703" s="202"/>
      <c r="G703" s="202"/>
      <c r="H703" s="202"/>
      <c r="I703" s="201"/>
      <c r="J703" s="202"/>
      <c r="K703" s="273"/>
      <c r="L703" s="202"/>
      <c r="M703" s="202"/>
      <c r="N703" s="202"/>
      <c r="O703" s="202"/>
      <c r="P703" s="202"/>
      <c r="Q703" s="202"/>
      <c r="R703" s="201"/>
      <c r="S703" s="202"/>
      <c r="T703" s="273"/>
      <c r="U703" s="202"/>
      <c r="V703" s="202"/>
      <c r="W703" s="202"/>
      <c r="X703" s="202"/>
      <c r="Y703" s="201"/>
      <c r="Z703" s="201"/>
    </row>
    <row r="704">
      <c r="A704" s="273"/>
      <c r="B704" s="276"/>
      <c r="C704" s="273"/>
      <c r="D704" s="202"/>
      <c r="E704" s="202"/>
      <c r="F704" s="202"/>
      <c r="G704" s="202"/>
      <c r="H704" s="202"/>
      <c r="I704" s="201"/>
      <c r="J704" s="202"/>
      <c r="K704" s="273"/>
      <c r="L704" s="202"/>
      <c r="M704" s="202"/>
      <c r="N704" s="202"/>
      <c r="O704" s="202"/>
      <c r="P704" s="202"/>
      <c r="Q704" s="202"/>
      <c r="R704" s="201"/>
      <c r="S704" s="202"/>
      <c r="T704" s="273"/>
      <c r="U704" s="202"/>
      <c r="V704" s="202"/>
      <c r="W704" s="202"/>
      <c r="X704" s="202"/>
      <c r="Y704" s="201"/>
      <c r="Z704" s="201"/>
    </row>
    <row r="705">
      <c r="A705" s="273"/>
      <c r="B705" s="276"/>
      <c r="C705" s="273"/>
      <c r="D705" s="202"/>
      <c r="E705" s="202"/>
      <c r="F705" s="202"/>
      <c r="G705" s="202"/>
      <c r="H705" s="202"/>
      <c r="I705" s="201"/>
      <c r="J705" s="202"/>
      <c r="K705" s="273"/>
      <c r="L705" s="202"/>
      <c r="M705" s="202"/>
      <c r="N705" s="202"/>
      <c r="O705" s="202"/>
      <c r="P705" s="202"/>
      <c r="Q705" s="202"/>
      <c r="R705" s="201"/>
      <c r="S705" s="202"/>
      <c r="T705" s="273"/>
      <c r="U705" s="202"/>
      <c r="V705" s="202"/>
      <c r="W705" s="202"/>
      <c r="X705" s="202"/>
      <c r="Y705" s="201"/>
      <c r="Z705" s="201"/>
    </row>
    <row r="706">
      <c r="A706" s="273"/>
      <c r="B706" s="276"/>
      <c r="C706" s="273"/>
      <c r="D706" s="202"/>
      <c r="E706" s="202"/>
      <c r="F706" s="202"/>
      <c r="G706" s="202"/>
      <c r="H706" s="202"/>
      <c r="I706" s="201"/>
      <c r="J706" s="202"/>
      <c r="K706" s="273"/>
      <c r="L706" s="202"/>
      <c r="M706" s="202"/>
      <c r="N706" s="202"/>
      <c r="O706" s="202"/>
      <c r="P706" s="202"/>
      <c r="Q706" s="202"/>
      <c r="R706" s="201"/>
      <c r="S706" s="202"/>
      <c r="T706" s="273"/>
      <c r="U706" s="202"/>
      <c r="V706" s="202"/>
      <c r="W706" s="202"/>
      <c r="X706" s="202"/>
      <c r="Y706" s="201"/>
      <c r="Z706" s="201"/>
    </row>
    <row r="707">
      <c r="A707" s="273"/>
      <c r="B707" s="276"/>
      <c r="C707" s="273"/>
      <c r="D707" s="202"/>
      <c r="E707" s="202"/>
      <c r="F707" s="202"/>
      <c r="G707" s="202"/>
      <c r="H707" s="202"/>
      <c r="I707" s="201"/>
      <c r="J707" s="202"/>
      <c r="K707" s="273"/>
      <c r="L707" s="202"/>
      <c r="M707" s="202"/>
      <c r="N707" s="202"/>
      <c r="O707" s="202"/>
      <c r="P707" s="202"/>
      <c r="Q707" s="202"/>
      <c r="R707" s="201"/>
      <c r="S707" s="202"/>
      <c r="T707" s="273"/>
      <c r="U707" s="202"/>
      <c r="V707" s="202"/>
      <c r="W707" s="202"/>
      <c r="X707" s="202"/>
      <c r="Y707" s="201"/>
      <c r="Z707" s="201"/>
    </row>
    <row r="708">
      <c r="A708" s="273"/>
      <c r="B708" s="276"/>
      <c r="C708" s="273"/>
      <c r="D708" s="202"/>
      <c r="E708" s="202"/>
      <c r="F708" s="202"/>
      <c r="G708" s="202"/>
      <c r="H708" s="202"/>
      <c r="I708" s="201"/>
      <c r="J708" s="202"/>
      <c r="K708" s="273"/>
      <c r="L708" s="202"/>
      <c r="M708" s="202"/>
      <c r="N708" s="202"/>
      <c r="O708" s="202"/>
      <c r="P708" s="202"/>
      <c r="Q708" s="202"/>
      <c r="R708" s="201"/>
      <c r="S708" s="202"/>
      <c r="T708" s="273"/>
      <c r="U708" s="202"/>
      <c r="V708" s="202"/>
      <c r="W708" s="202"/>
      <c r="X708" s="202"/>
      <c r="Y708" s="201"/>
      <c r="Z708" s="201"/>
    </row>
    <row r="709">
      <c r="A709" s="273"/>
      <c r="B709" s="276"/>
      <c r="C709" s="273"/>
      <c r="D709" s="202"/>
      <c r="E709" s="202"/>
      <c r="F709" s="202"/>
      <c r="G709" s="202"/>
      <c r="H709" s="202"/>
      <c r="I709" s="201"/>
      <c r="J709" s="202"/>
      <c r="K709" s="273"/>
      <c r="L709" s="202"/>
      <c r="M709" s="202"/>
      <c r="N709" s="202"/>
      <c r="O709" s="202"/>
      <c r="P709" s="202"/>
      <c r="Q709" s="202"/>
      <c r="R709" s="201"/>
      <c r="S709" s="202"/>
      <c r="T709" s="273"/>
      <c r="U709" s="202"/>
      <c r="V709" s="202"/>
      <c r="W709" s="202"/>
      <c r="X709" s="202"/>
      <c r="Y709" s="201"/>
      <c r="Z709" s="201"/>
    </row>
    <row r="710">
      <c r="A710" s="273"/>
      <c r="B710" s="276"/>
      <c r="C710" s="273"/>
      <c r="D710" s="202"/>
      <c r="E710" s="202"/>
      <c r="F710" s="202"/>
      <c r="G710" s="202"/>
      <c r="H710" s="202"/>
      <c r="I710" s="201"/>
      <c r="J710" s="202"/>
      <c r="K710" s="273"/>
      <c r="L710" s="202"/>
      <c r="M710" s="202"/>
      <c r="N710" s="202"/>
      <c r="O710" s="202"/>
      <c r="P710" s="202"/>
      <c r="Q710" s="202"/>
      <c r="R710" s="201"/>
      <c r="S710" s="202"/>
      <c r="T710" s="273"/>
      <c r="U710" s="202"/>
      <c r="V710" s="202"/>
      <c r="W710" s="202"/>
      <c r="X710" s="202"/>
      <c r="Y710" s="201"/>
      <c r="Z710" s="201"/>
    </row>
    <row r="711">
      <c r="A711" s="273"/>
      <c r="B711" s="276"/>
      <c r="C711" s="273"/>
      <c r="D711" s="202"/>
      <c r="E711" s="202"/>
      <c r="F711" s="202"/>
      <c r="G711" s="202"/>
      <c r="H711" s="202"/>
      <c r="I711" s="201"/>
      <c r="J711" s="202"/>
      <c r="K711" s="273"/>
      <c r="L711" s="202"/>
      <c r="M711" s="202"/>
      <c r="N711" s="202"/>
      <c r="O711" s="202"/>
      <c r="P711" s="202"/>
      <c r="Q711" s="202"/>
      <c r="R711" s="201"/>
      <c r="S711" s="202"/>
      <c r="T711" s="273"/>
      <c r="U711" s="202"/>
      <c r="V711" s="202"/>
      <c r="W711" s="202"/>
      <c r="X711" s="202"/>
      <c r="Y711" s="201"/>
      <c r="Z711" s="201"/>
    </row>
    <row r="712">
      <c r="A712" s="273"/>
      <c r="B712" s="276"/>
      <c r="C712" s="273"/>
      <c r="D712" s="202"/>
      <c r="E712" s="202"/>
      <c r="F712" s="202"/>
      <c r="G712" s="202"/>
      <c r="H712" s="202"/>
      <c r="I712" s="201"/>
      <c r="J712" s="202"/>
      <c r="K712" s="273"/>
      <c r="L712" s="202"/>
      <c r="M712" s="202"/>
      <c r="N712" s="202"/>
      <c r="O712" s="202"/>
      <c r="P712" s="202"/>
      <c r="Q712" s="202"/>
      <c r="R712" s="201"/>
      <c r="S712" s="202"/>
      <c r="T712" s="273"/>
      <c r="U712" s="202"/>
      <c r="V712" s="202"/>
      <c r="W712" s="202"/>
      <c r="X712" s="202"/>
      <c r="Y712" s="201"/>
      <c r="Z712" s="201"/>
    </row>
    <row r="713">
      <c r="A713" s="273"/>
      <c r="B713" s="276"/>
      <c r="C713" s="273"/>
      <c r="D713" s="202"/>
      <c r="E713" s="202"/>
      <c r="F713" s="202"/>
      <c r="G713" s="202"/>
      <c r="H713" s="202"/>
      <c r="I713" s="201"/>
      <c r="J713" s="202"/>
      <c r="K713" s="273"/>
      <c r="L713" s="202"/>
      <c r="M713" s="202"/>
      <c r="N713" s="202"/>
      <c r="O713" s="202"/>
      <c r="P713" s="202"/>
      <c r="Q713" s="202"/>
      <c r="R713" s="201"/>
      <c r="S713" s="202"/>
      <c r="T713" s="273"/>
      <c r="U713" s="202"/>
      <c r="V713" s="202"/>
      <c r="W713" s="202"/>
      <c r="X713" s="202"/>
      <c r="Y713" s="201"/>
      <c r="Z713" s="201"/>
    </row>
    <row r="714">
      <c r="A714" s="273"/>
      <c r="B714" s="276"/>
      <c r="C714" s="273"/>
      <c r="D714" s="202"/>
      <c r="E714" s="202"/>
      <c r="F714" s="202"/>
      <c r="G714" s="202"/>
      <c r="H714" s="202"/>
      <c r="I714" s="201"/>
      <c r="J714" s="202"/>
      <c r="K714" s="273"/>
      <c r="L714" s="202"/>
      <c r="M714" s="202"/>
      <c r="N714" s="202"/>
      <c r="O714" s="202"/>
      <c r="P714" s="202"/>
      <c r="Q714" s="202"/>
      <c r="R714" s="201"/>
      <c r="S714" s="202"/>
      <c r="T714" s="273"/>
      <c r="U714" s="202"/>
      <c r="V714" s="202"/>
      <c r="W714" s="202"/>
      <c r="X714" s="202"/>
      <c r="Y714" s="201"/>
      <c r="Z714" s="201"/>
    </row>
    <row r="715">
      <c r="A715" s="273"/>
      <c r="B715" s="276"/>
      <c r="C715" s="273"/>
      <c r="D715" s="202"/>
      <c r="E715" s="202"/>
      <c r="F715" s="202"/>
      <c r="G715" s="202"/>
      <c r="H715" s="202"/>
      <c r="I715" s="201"/>
      <c r="J715" s="202"/>
      <c r="K715" s="273"/>
      <c r="L715" s="202"/>
      <c r="M715" s="202"/>
      <c r="N715" s="202"/>
      <c r="O715" s="202"/>
      <c r="P715" s="202"/>
      <c r="Q715" s="202"/>
      <c r="R715" s="201"/>
      <c r="S715" s="202"/>
      <c r="T715" s="273"/>
      <c r="U715" s="202"/>
      <c r="V715" s="202"/>
      <c r="W715" s="202"/>
      <c r="X715" s="202"/>
      <c r="Y715" s="201"/>
      <c r="Z715" s="201"/>
    </row>
    <row r="716">
      <c r="A716" s="273"/>
      <c r="B716" s="276"/>
      <c r="C716" s="273"/>
      <c r="D716" s="202"/>
      <c r="E716" s="202"/>
      <c r="F716" s="202"/>
      <c r="G716" s="202"/>
      <c r="H716" s="202"/>
      <c r="I716" s="201"/>
      <c r="J716" s="202"/>
      <c r="K716" s="273"/>
      <c r="L716" s="202"/>
      <c r="M716" s="202"/>
      <c r="N716" s="202"/>
      <c r="O716" s="202"/>
      <c r="P716" s="202"/>
      <c r="Q716" s="202"/>
      <c r="R716" s="201"/>
      <c r="S716" s="202"/>
      <c r="T716" s="273"/>
      <c r="U716" s="202"/>
      <c r="V716" s="202"/>
      <c r="W716" s="202"/>
      <c r="X716" s="202"/>
      <c r="Y716" s="201"/>
      <c r="Z716" s="201"/>
    </row>
    <row r="717">
      <c r="A717" s="273"/>
      <c r="B717" s="276"/>
      <c r="C717" s="273"/>
      <c r="D717" s="202"/>
      <c r="E717" s="202"/>
      <c r="F717" s="202"/>
      <c r="G717" s="202"/>
      <c r="H717" s="202"/>
      <c r="I717" s="201"/>
      <c r="J717" s="202"/>
      <c r="K717" s="273"/>
      <c r="L717" s="202"/>
      <c r="M717" s="202"/>
      <c r="N717" s="202"/>
      <c r="O717" s="202"/>
      <c r="P717" s="202"/>
      <c r="Q717" s="202"/>
      <c r="R717" s="201"/>
      <c r="S717" s="202"/>
      <c r="T717" s="273"/>
      <c r="U717" s="202"/>
      <c r="V717" s="202"/>
      <c r="W717" s="202"/>
      <c r="X717" s="202"/>
      <c r="Y717" s="201"/>
      <c r="Z717" s="201"/>
    </row>
    <row r="718">
      <c r="A718" s="273"/>
      <c r="B718" s="276"/>
      <c r="C718" s="273"/>
      <c r="D718" s="202"/>
      <c r="E718" s="202"/>
      <c r="F718" s="202"/>
      <c r="G718" s="202"/>
      <c r="H718" s="202"/>
      <c r="I718" s="201"/>
      <c r="J718" s="202"/>
      <c r="K718" s="273"/>
      <c r="L718" s="202"/>
      <c r="M718" s="202"/>
      <c r="N718" s="202"/>
      <c r="O718" s="202"/>
      <c r="P718" s="202"/>
      <c r="Q718" s="202"/>
      <c r="R718" s="201"/>
      <c r="S718" s="202"/>
      <c r="T718" s="273"/>
      <c r="U718" s="202"/>
      <c r="V718" s="202"/>
      <c r="W718" s="202"/>
      <c r="X718" s="202"/>
      <c r="Y718" s="201"/>
      <c r="Z718" s="201"/>
    </row>
    <row r="719">
      <c r="A719" s="273"/>
      <c r="B719" s="276"/>
      <c r="C719" s="273"/>
      <c r="D719" s="202"/>
      <c r="E719" s="202"/>
      <c r="F719" s="202"/>
      <c r="G719" s="202"/>
      <c r="H719" s="202"/>
      <c r="I719" s="201"/>
      <c r="J719" s="202"/>
      <c r="K719" s="273"/>
      <c r="L719" s="202"/>
      <c r="M719" s="202"/>
      <c r="N719" s="202"/>
      <c r="O719" s="202"/>
      <c r="P719" s="202"/>
      <c r="Q719" s="202"/>
      <c r="R719" s="201"/>
      <c r="S719" s="202"/>
      <c r="T719" s="273"/>
      <c r="U719" s="202"/>
      <c r="V719" s="202"/>
      <c r="W719" s="202"/>
      <c r="X719" s="202"/>
      <c r="Y719" s="201"/>
      <c r="Z719" s="201"/>
    </row>
    <row r="720">
      <c r="A720" s="273"/>
      <c r="B720" s="276"/>
      <c r="C720" s="273"/>
      <c r="D720" s="202"/>
      <c r="E720" s="202"/>
      <c r="F720" s="202"/>
      <c r="G720" s="202"/>
      <c r="H720" s="202"/>
      <c r="I720" s="201"/>
      <c r="J720" s="202"/>
      <c r="K720" s="273"/>
      <c r="L720" s="202"/>
      <c r="M720" s="202"/>
      <c r="N720" s="202"/>
      <c r="O720" s="202"/>
      <c r="P720" s="202"/>
      <c r="Q720" s="202"/>
      <c r="R720" s="201"/>
      <c r="S720" s="202"/>
      <c r="T720" s="273"/>
      <c r="U720" s="202"/>
      <c r="V720" s="202"/>
      <c r="W720" s="202"/>
      <c r="X720" s="202"/>
      <c r="Y720" s="201"/>
      <c r="Z720" s="201"/>
    </row>
    <row r="721">
      <c r="A721" s="273"/>
      <c r="B721" s="276"/>
      <c r="C721" s="273"/>
      <c r="D721" s="202"/>
      <c r="E721" s="202"/>
      <c r="F721" s="202"/>
      <c r="G721" s="202"/>
      <c r="H721" s="202"/>
      <c r="I721" s="201"/>
      <c r="J721" s="202"/>
      <c r="K721" s="273"/>
      <c r="L721" s="202"/>
      <c r="M721" s="202"/>
      <c r="N721" s="202"/>
      <c r="O721" s="202"/>
      <c r="P721" s="202"/>
      <c r="Q721" s="202"/>
      <c r="R721" s="201"/>
      <c r="S721" s="202"/>
      <c r="T721" s="273"/>
      <c r="U721" s="202"/>
      <c r="V721" s="202"/>
      <c r="W721" s="202"/>
      <c r="X721" s="202"/>
      <c r="Y721" s="201"/>
      <c r="Z721" s="201"/>
    </row>
    <row r="722">
      <c r="A722" s="273"/>
      <c r="B722" s="276"/>
      <c r="C722" s="273"/>
      <c r="D722" s="202"/>
      <c r="E722" s="202"/>
      <c r="F722" s="202"/>
      <c r="G722" s="202"/>
      <c r="H722" s="202"/>
      <c r="I722" s="201"/>
      <c r="J722" s="202"/>
      <c r="K722" s="273"/>
      <c r="L722" s="202"/>
      <c r="M722" s="202"/>
      <c r="N722" s="202"/>
      <c r="O722" s="202"/>
      <c r="P722" s="202"/>
      <c r="Q722" s="202"/>
      <c r="R722" s="201"/>
      <c r="S722" s="202"/>
      <c r="T722" s="273"/>
      <c r="U722" s="202"/>
      <c r="V722" s="202"/>
      <c r="W722" s="202"/>
      <c r="X722" s="202"/>
      <c r="Y722" s="201"/>
      <c r="Z722" s="201"/>
    </row>
    <row r="723">
      <c r="A723" s="273"/>
      <c r="B723" s="276"/>
      <c r="C723" s="273"/>
      <c r="D723" s="202"/>
      <c r="E723" s="202"/>
      <c r="F723" s="202"/>
      <c r="G723" s="202"/>
      <c r="H723" s="202"/>
      <c r="I723" s="201"/>
      <c r="J723" s="202"/>
      <c r="K723" s="273"/>
      <c r="L723" s="202"/>
      <c r="M723" s="202"/>
      <c r="N723" s="202"/>
      <c r="O723" s="202"/>
      <c r="P723" s="202"/>
      <c r="Q723" s="202"/>
      <c r="R723" s="201"/>
      <c r="S723" s="202"/>
      <c r="T723" s="273"/>
      <c r="U723" s="202"/>
      <c r="V723" s="202"/>
      <c r="W723" s="202"/>
      <c r="X723" s="202"/>
      <c r="Y723" s="201"/>
      <c r="Z723" s="201"/>
    </row>
    <row r="724">
      <c r="A724" s="273"/>
      <c r="B724" s="276"/>
      <c r="C724" s="273"/>
      <c r="D724" s="202"/>
      <c r="E724" s="202"/>
      <c r="F724" s="202"/>
      <c r="G724" s="202"/>
      <c r="H724" s="202"/>
      <c r="I724" s="201"/>
      <c r="J724" s="202"/>
      <c r="K724" s="273"/>
      <c r="L724" s="202"/>
      <c r="M724" s="202"/>
      <c r="N724" s="202"/>
      <c r="O724" s="202"/>
      <c r="P724" s="202"/>
      <c r="Q724" s="202"/>
      <c r="R724" s="201"/>
      <c r="S724" s="202"/>
      <c r="T724" s="273"/>
      <c r="U724" s="202"/>
      <c r="V724" s="202"/>
      <c r="W724" s="202"/>
      <c r="X724" s="202"/>
      <c r="Y724" s="201"/>
      <c r="Z724" s="201"/>
    </row>
    <row r="725">
      <c r="A725" s="273"/>
      <c r="B725" s="276"/>
      <c r="C725" s="273"/>
      <c r="D725" s="202"/>
      <c r="E725" s="202"/>
      <c r="F725" s="202"/>
      <c r="G725" s="202"/>
      <c r="H725" s="202"/>
      <c r="I725" s="201"/>
      <c r="J725" s="202"/>
      <c r="K725" s="273"/>
      <c r="L725" s="202"/>
      <c r="M725" s="202"/>
      <c r="N725" s="202"/>
      <c r="O725" s="202"/>
      <c r="P725" s="202"/>
      <c r="Q725" s="202"/>
      <c r="R725" s="201"/>
      <c r="S725" s="202"/>
      <c r="T725" s="273"/>
      <c r="U725" s="202"/>
      <c r="V725" s="202"/>
      <c r="W725" s="202"/>
      <c r="X725" s="202"/>
      <c r="Y725" s="201"/>
      <c r="Z725" s="201"/>
    </row>
    <row r="726">
      <c r="A726" s="273"/>
      <c r="B726" s="276"/>
      <c r="C726" s="273"/>
      <c r="D726" s="202"/>
      <c r="E726" s="202"/>
      <c r="F726" s="202"/>
      <c r="G726" s="202"/>
      <c r="H726" s="202"/>
      <c r="I726" s="201"/>
      <c r="J726" s="202"/>
      <c r="K726" s="273"/>
      <c r="L726" s="202"/>
      <c r="M726" s="202"/>
      <c r="N726" s="202"/>
      <c r="O726" s="202"/>
      <c r="P726" s="202"/>
      <c r="Q726" s="202"/>
      <c r="R726" s="201"/>
      <c r="S726" s="202"/>
      <c r="T726" s="273"/>
      <c r="U726" s="202"/>
      <c r="V726" s="202"/>
      <c r="W726" s="202"/>
      <c r="X726" s="202"/>
      <c r="Y726" s="201"/>
      <c r="Z726" s="201"/>
    </row>
    <row r="727">
      <c r="A727" s="273"/>
      <c r="B727" s="276"/>
      <c r="C727" s="273"/>
      <c r="D727" s="202"/>
      <c r="E727" s="202"/>
      <c r="F727" s="202"/>
      <c r="G727" s="202"/>
      <c r="H727" s="202"/>
      <c r="I727" s="201"/>
      <c r="J727" s="202"/>
      <c r="K727" s="273"/>
      <c r="L727" s="202"/>
      <c r="M727" s="202"/>
      <c r="N727" s="202"/>
      <c r="O727" s="202"/>
      <c r="P727" s="202"/>
      <c r="Q727" s="202"/>
      <c r="R727" s="201"/>
      <c r="S727" s="202"/>
      <c r="T727" s="273"/>
      <c r="U727" s="202"/>
      <c r="V727" s="202"/>
      <c r="W727" s="202"/>
      <c r="X727" s="202"/>
      <c r="Y727" s="201"/>
      <c r="Z727" s="201"/>
    </row>
    <row r="728">
      <c r="A728" s="273"/>
      <c r="B728" s="276"/>
      <c r="C728" s="273"/>
      <c r="D728" s="202"/>
      <c r="E728" s="202"/>
      <c r="F728" s="202"/>
      <c r="G728" s="202"/>
      <c r="H728" s="202"/>
      <c r="I728" s="201"/>
      <c r="J728" s="202"/>
      <c r="K728" s="273"/>
      <c r="L728" s="202"/>
      <c r="M728" s="202"/>
      <c r="N728" s="202"/>
      <c r="O728" s="202"/>
      <c r="P728" s="202"/>
      <c r="Q728" s="202"/>
      <c r="R728" s="201"/>
      <c r="S728" s="202"/>
      <c r="T728" s="273"/>
      <c r="U728" s="202"/>
      <c r="V728" s="202"/>
      <c r="W728" s="202"/>
      <c r="X728" s="202"/>
      <c r="Y728" s="201"/>
      <c r="Z728" s="201"/>
    </row>
    <row r="729">
      <c r="A729" s="273"/>
      <c r="B729" s="276"/>
      <c r="C729" s="273"/>
      <c r="D729" s="202"/>
      <c r="E729" s="202"/>
      <c r="F729" s="202"/>
      <c r="G729" s="202"/>
      <c r="H729" s="202"/>
      <c r="I729" s="201"/>
      <c r="J729" s="202"/>
      <c r="K729" s="273"/>
      <c r="L729" s="202"/>
      <c r="M729" s="202"/>
      <c r="N729" s="202"/>
      <c r="O729" s="202"/>
      <c r="P729" s="202"/>
      <c r="Q729" s="202"/>
      <c r="R729" s="201"/>
      <c r="S729" s="202"/>
      <c r="T729" s="273"/>
      <c r="U729" s="202"/>
      <c r="V729" s="202"/>
      <c r="W729" s="202"/>
      <c r="X729" s="202"/>
      <c r="Y729" s="201"/>
      <c r="Z729" s="201"/>
    </row>
    <row r="730">
      <c r="A730" s="273"/>
      <c r="B730" s="276"/>
      <c r="C730" s="273"/>
      <c r="D730" s="202"/>
      <c r="E730" s="202"/>
      <c r="F730" s="202"/>
      <c r="G730" s="202"/>
      <c r="H730" s="202"/>
      <c r="I730" s="201"/>
      <c r="J730" s="202"/>
      <c r="K730" s="273"/>
      <c r="L730" s="202"/>
      <c r="M730" s="202"/>
      <c r="N730" s="202"/>
      <c r="O730" s="202"/>
      <c r="P730" s="202"/>
      <c r="Q730" s="202"/>
      <c r="R730" s="201"/>
      <c r="S730" s="202"/>
      <c r="T730" s="273"/>
      <c r="U730" s="202"/>
      <c r="V730" s="202"/>
      <c r="W730" s="202"/>
      <c r="X730" s="202"/>
      <c r="Y730" s="201"/>
      <c r="Z730" s="201"/>
    </row>
    <row r="731">
      <c r="A731" s="273"/>
      <c r="B731" s="276"/>
      <c r="C731" s="273"/>
      <c r="D731" s="202"/>
      <c r="E731" s="202"/>
      <c r="F731" s="202"/>
      <c r="G731" s="202"/>
      <c r="H731" s="202"/>
      <c r="I731" s="201"/>
      <c r="J731" s="202"/>
      <c r="K731" s="273"/>
      <c r="L731" s="202"/>
      <c r="M731" s="202"/>
      <c r="N731" s="202"/>
      <c r="O731" s="202"/>
      <c r="P731" s="202"/>
      <c r="Q731" s="202"/>
      <c r="R731" s="201"/>
      <c r="S731" s="202"/>
      <c r="T731" s="273"/>
      <c r="U731" s="202"/>
      <c r="V731" s="202"/>
      <c r="W731" s="202"/>
      <c r="X731" s="202"/>
      <c r="Y731" s="201"/>
      <c r="Z731" s="201"/>
    </row>
    <row r="732">
      <c r="A732" s="273"/>
      <c r="B732" s="276"/>
      <c r="C732" s="273"/>
      <c r="D732" s="202"/>
      <c r="E732" s="202"/>
      <c r="F732" s="202"/>
      <c r="G732" s="202"/>
      <c r="H732" s="202"/>
      <c r="I732" s="201"/>
      <c r="J732" s="202"/>
      <c r="K732" s="273"/>
      <c r="L732" s="202"/>
      <c r="M732" s="202"/>
      <c r="N732" s="202"/>
      <c r="O732" s="202"/>
      <c r="P732" s="202"/>
      <c r="Q732" s="202"/>
      <c r="R732" s="201"/>
      <c r="S732" s="202"/>
      <c r="T732" s="273"/>
      <c r="U732" s="202"/>
      <c r="V732" s="202"/>
      <c r="W732" s="202"/>
      <c r="X732" s="202"/>
      <c r="Y732" s="201"/>
      <c r="Z732" s="201"/>
    </row>
    <row r="733">
      <c r="A733" s="273"/>
      <c r="B733" s="276"/>
      <c r="C733" s="273"/>
      <c r="D733" s="202"/>
      <c r="E733" s="202"/>
      <c r="F733" s="202"/>
      <c r="G733" s="202"/>
      <c r="H733" s="202"/>
      <c r="I733" s="201"/>
      <c r="J733" s="202"/>
      <c r="K733" s="273"/>
      <c r="L733" s="202"/>
      <c r="M733" s="202"/>
      <c r="N733" s="202"/>
      <c r="O733" s="202"/>
      <c r="P733" s="202"/>
      <c r="Q733" s="202"/>
      <c r="R733" s="201"/>
      <c r="S733" s="202"/>
      <c r="T733" s="273"/>
      <c r="U733" s="202"/>
      <c r="V733" s="202"/>
      <c r="W733" s="202"/>
      <c r="X733" s="202"/>
      <c r="Y733" s="201"/>
      <c r="Z733" s="201"/>
    </row>
    <row r="734">
      <c r="A734" s="273"/>
      <c r="B734" s="276"/>
      <c r="C734" s="273"/>
      <c r="D734" s="202"/>
      <c r="E734" s="202"/>
      <c r="F734" s="202"/>
      <c r="G734" s="202"/>
      <c r="H734" s="202"/>
      <c r="I734" s="201"/>
      <c r="J734" s="202"/>
      <c r="K734" s="273"/>
      <c r="L734" s="202"/>
      <c r="M734" s="202"/>
      <c r="N734" s="202"/>
      <c r="O734" s="202"/>
      <c r="P734" s="202"/>
      <c r="Q734" s="202"/>
      <c r="R734" s="201"/>
      <c r="S734" s="202"/>
      <c r="T734" s="273"/>
      <c r="U734" s="202"/>
      <c r="V734" s="202"/>
      <c r="W734" s="202"/>
      <c r="X734" s="202"/>
      <c r="Y734" s="201"/>
      <c r="Z734" s="201"/>
    </row>
    <row r="735">
      <c r="A735" s="273"/>
      <c r="B735" s="276"/>
      <c r="C735" s="273"/>
      <c r="D735" s="202"/>
      <c r="E735" s="202"/>
      <c r="F735" s="202"/>
      <c r="G735" s="202"/>
      <c r="H735" s="202"/>
      <c r="I735" s="201"/>
      <c r="J735" s="202"/>
      <c r="K735" s="273"/>
      <c r="L735" s="202"/>
      <c r="M735" s="202"/>
      <c r="N735" s="202"/>
      <c r="O735" s="202"/>
      <c r="P735" s="202"/>
      <c r="Q735" s="202"/>
      <c r="R735" s="201"/>
      <c r="S735" s="202"/>
      <c r="T735" s="273"/>
      <c r="U735" s="202"/>
      <c r="V735" s="202"/>
      <c r="W735" s="202"/>
      <c r="X735" s="202"/>
      <c r="Y735" s="201"/>
      <c r="Z735" s="201"/>
    </row>
    <row r="736">
      <c r="A736" s="273"/>
      <c r="B736" s="276"/>
      <c r="C736" s="273"/>
      <c r="D736" s="202"/>
      <c r="E736" s="202"/>
      <c r="F736" s="202"/>
      <c r="G736" s="202"/>
      <c r="H736" s="202"/>
      <c r="I736" s="201"/>
      <c r="J736" s="202"/>
      <c r="K736" s="273"/>
      <c r="L736" s="202"/>
      <c r="M736" s="202"/>
      <c r="N736" s="202"/>
      <c r="O736" s="202"/>
      <c r="P736" s="202"/>
      <c r="Q736" s="202"/>
      <c r="R736" s="201"/>
      <c r="S736" s="202"/>
      <c r="T736" s="273"/>
      <c r="U736" s="202"/>
      <c r="V736" s="202"/>
      <c r="W736" s="202"/>
      <c r="X736" s="202"/>
      <c r="Y736" s="201"/>
      <c r="Z736" s="201"/>
    </row>
    <row r="737">
      <c r="A737" s="273"/>
      <c r="B737" s="276"/>
      <c r="C737" s="273"/>
      <c r="D737" s="202"/>
      <c r="E737" s="202"/>
      <c r="F737" s="202"/>
      <c r="G737" s="202"/>
      <c r="H737" s="202"/>
      <c r="I737" s="201"/>
      <c r="J737" s="202"/>
      <c r="K737" s="273"/>
      <c r="L737" s="202"/>
      <c r="M737" s="202"/>
      <c r="N737" s="202"/>
      <c r="O737" s="202"/>
      <c r="P737" s="202"/>
      <c r="Q737" s="202"/>
      <c r="R737" s="201"/>
      <c r="S737" s="202"/>
      <c r="T737" s="273"/>
      <c r="U737" s="202"/>
      <c r="V737" s="202"/>
      <c r="W737" s="202"/>
      <c r="X737" s="202"/>
      <c r="Y737" s="201"/>
      <c r="Z737" s="201"/>
    </row>
    <row r="738">
      <c r="A738" s="273"/>
      <c r="B738" s="276"/>
      <c r="C738" s="273"/>
      <c r="D738" s="202"/>
      <c r="E738" s="202"/>
      <c r="F738" s="202"/>
      <c r="G738" s="202"/>
      <c r="H738" s="202"/>
      <c r="I738" s="201"/>
      <c r="J738" s="202"/>
      <c r="K738" s="273"/>
      <c r="L738" s="202"/>
      <c r="M738" s="202"/>
      <c r="N738" s="202"/>
      <c r="O738" s="202"/>
      <c r="P738" s="202"/>
      <c r="Q738" s="202"/>
      <c r="R738" s="201"/>
      <c r="S738" s="202"/>
      <c r="T738" s="273"/>
      <c r="U738" s="202"/>
      <c r="V738" s="202"/>
      <c r="W738" s="202"/>
      <c r="X738" s="202"/>
      <c r="Y738" s="201"/>
      <c r="Z738" s="201"/>
    </row>
    <row r="739">
      <c r="A739" s="273"/>
      <c r="B739" s="276"/>
      <c r="C739" s="273"/>
      <c r="D739" s="202"/>
      <c r="E739" s="202"/>
      <c r="F739" s="202"/>
      <c r="G739" s="202"/>
      <c r="H739" s="202"/>
      <c r="I739" s="201"/>
      <c r="J739" s="202"/>
      <c r="K739" s="273"/>
      <c r="L739" s="202"/>
      <c r="M739" s="202"/>
      <c r="N739" s="202"/>
      <c r="O739" s="202"/>
      <c r="P739" s="202"/>
      <c r="Q739" s="202"/>
      <c r="R739" s="201"/>
      <c r="S739" s="202"/>
      <c r="T739" s="273"/>
      <c r="U739" s="202"/>
      <c r="V739" s="202"/>
      <c r="W739" s="202"/>
      <c r="X739" s="202"/>
      <c r="Y739" s="201"/>
      <c r="Z739" s="201"/>
    </row>
    <row r="740">
      <c r="A740" s="273"/>
      <c r="B740" s="276"/>
      <c r="C740" s="273"/>
      <c r="D740" s="202"/>
      <c r="E740" s="202"/>
      <c r="F740" s="202"/>
      <c r="G740" s="202"/>
      <c r="H740" s="202"/>
      <c r="I740" s="201"/>
      <c r="J740" s="202"/>
      <c r="K740" s="273"/>
      <c r="L740" s="202"/>
      <c r="M740" s="202"/>
      <c r="N740" s="202"/>
      <c r="O740" s="202"/>
      <c r="P740" s="202"/>
      <c r="Q740" s="202"/>
      <c r="R740" s="201"/>
      <c r="S740" s="202"/>
      <c r="T740" s="273"/>
      <c r="U740" s="202"/>
      <c r="V740" s="202"/>
      <c r="W740" s="202"/>
      <c r="X740" s="202"/>
      <c r="Y740" s="201"/>
      <c r="Z740" s="201"/>
    </row>
    <row r="741">
      <c r="A741" s="273"/>
      <c r="B741" s="276"/>
      <c r="C741" s="273"/>
      <c r="D741" s="202"/>
      <c r="E741" s="202"/>
      <c r="F741" s="202"/>
      <c r="G741" s="202"/>
      <c r="H741" s="202"/>
      <c r="I741" s="201"/>
      <c r="J741" s="202"/>
      <c r="K741" s="273"/>
      <c r="L741" s="202"/>
      <c r="M741" s="202"/>
      <c r="N741" s="202"/>
      <c r="O741" s="202"/>
      <c r="P741" s="202"/>
      <c r="Q741" s="202"/>
      <c r="R741" s="201"/>
      <c r="S741" s="202"/>
      <c r="T741" s="273"/>
      <c r="U741" s="202"/>
      <c r="V741" s="202"/>
      <c r="W741" s="202"/>
      <c r="X741" s="202"/>
      <c r="Y741" s="201"/>
      <c r="Z741" s="201"/>
    </row>
    <row r="742">
      <c r="A742" s="273"/>
      <c r="B742" s="276"/>
      <c r="C742" s="273"/>
      <c r="D742" s="202"/>
      <c r="E742" s="202"/>
      <c r="F742" s="202"/>
      <c r="G742" s="202"/>
      <c r="H742" s="202"/>
      <c r="I742" s="201"/>
      <c r="J742" s="202"/>
      <c r="K742" s="273"/>
      <c r="L742" s="202"/>
      <c r="M742" s="202"/>
      <c r="N742" s="202"/>
      <c r="O742" s="202"/>
      <c r="P742" s="202"/>
      <c r="Q742" s="202"/>
      <c r="R742" s="201"/>
      <c r="S742" s="202"/>
      <c r="T742" s="273"/>
      <c r="U742" s="202"/>
      <c r="V742" s="202"/>
      <c r="W742" s="202"/>
      <c r="X742" s="202"/>
      <c r="Y742" s="201"/>
      <c r="Z742" s="201"/>
    </row>
    <row r="743">
      <c r="A743" s="273"/>
      <c r="B743" s="276"/>
      <c r="C743" s="273"/>
      <c r="D743" s="202"/>
      <c r="E743" s="202"/>
      <c r="F743" s="202"/>
      <c r="G743" s="202"/>
      <c r="H743" s="202"/>
      <c r="I743" s="201"/>
      <c r="J743" s="202"/>
      <c r="K743" s="273"/>
      <c r="L743" s="202"/>
      <c r="M743" s="202"/>
      <c r="N743" s="202"/>
      <c r="O743" s="202"/>
      <c r="P743" s="202"/>
      <c r="Q743" s="202"/>
      <c r="R743" s="201"/>
      <c r="S743" s="202"/>
      <c r="T743" s="273"/>
      <c r="U743" s="202"/>
      <c r="V743" s="202"/>
      <c r="W743" s="202"/>
      <c r="X743" s="202"/>
      <c r="Y743" s="201"/>
      <c r="Z743" s="201"/>
    </row>
    <row r="744">
      <c r="A744" s="273"/>
      <c r="B744" s="276"/>
      <c r="C744" s="273"/>
      <c r="D744" s="202"/>
      <c r="E744" s="202"/>
      <c r="F744" s="202"/>
      <c r="G744" s="202"/>
      <c r="H744" s="202"/>
      <c r="I744" s="201"/>
      <c r="J744" s="202"/>
      <c r="K744" s="273"/>
      <c r="L744" s="202"/>
      <c r="M744" s="202"/>
      <c r="N744" s="202"/>
      <c r="O744" s="202"/>
      <c r="P744" s="202"/>
      <c r="Q744" s="202"/>
      <c r="R744" s="201"/>
      <c r="S744" s="202"/>
      <c r="T744" s="273"/>
      <c r="U744" s="202"/>
      <c r="V744" s="202"/>
      <c r="W744" s="202"/>
      <c r="X744" s="202"/>
      <c r="Y744" s="201"/>
      <c r="Z744" s="201"/>
    </row>
    <row r="745">
      <c r="A745" s="273"/>
      <c r="B745" s="276"/>
      <c r="C745" s="273"/>
      <c r="D745" s="202"/>
      <c r="E745" s="202"/>
      <c r="F745" s="202"/>
      <c r="G745" s="202"/>
      <c r="H745" s="202"/>
      <c r="I745" s="201"/>
      <c r="J745" s="202"/>
      <c r="K745" s="273"/>
      <c r="L745" s="202"/>
      <c r="M745" s="202"/>
      <c r="N745" s="202"/>
      <c r="O745" s="202"/>
      <c r="P745" s="202"/>
      <c r="Q745" s="202"/>
      <c r="R745" s="201"/>
      <c r="S745" s="202"/>
      <c r="T745" s="273"/>
      <c r="U745" s="202"/>
      <c r="V745" s="202"/>
      <c r="W745" s="202"/>
      <c r="X745" s="202"/>
      <c r="Y745" s="201"/>
      <c r="Z745" s="201"/>
    </row>
    <row r="746">
      <c r="A746" s="273"/>
      <c r="B746" s="276"/>
      <c r="C746" s="273"/>
      <c r="D746" s="202"/>
      <c r="E746" s="202"/>
      <c r="F746" s="202"/>
      <c r="G746" s="202"/>
      <c r="H746" s="202"/>
      <c r="I746" s="201"/>
      <c r="J746" s="202"/>
      <c r="K746" s="273"/>
      <c r="L746" s="202"/>
      <c r="M746" s="202"/>
      <c r="N746" s="202"/>
      <c r="O746" s="202"/>
      <c r="P746" s="202"/>
      <c r="Q746" s="202"/>
      <c r="R746" s="201"/>
      <c r="S746" s="202"/>
      <c r="T746" s="273"/>
      <c r="U746" s="202"/>
      <c r="V746" s="202"/>
      <c r="W746" s="202"/>
      <c r="X746" s="202"/>
      <c r="Y746" s="201"/>
      <c r="Z746" s="201"/>
    </row>
    <row r="747">
      <c r="A747" s="273"/>
      <c r="B747" s="276"/>
      <c r="C747" s="273"/>
      <c r="D747" s="202"/>
      <c r="E747" s="202"/>
      <c r="F747" s="202"/>
      <c r="G747" s="202"/>
      <c r="H747" s="202"/>
      <c r="I747" s="201"/>
      <c r="J747" s="202"/>
      <c r="K747" s="273"/>
      <c r="L747" s="202"/>
      <c r="M747" s="202"/>
      <c r="N747" s="202"/>
      <c r="O747" s="202"/>
      <c r="P747" s="202"/>
      <c r="Q747" s="202"/>
      <c r="R747" s="201"/>
      <c r="S747" s="202"/>
      <c r="T747" s="273"/>
      <c r="U747" s="202"/>
      <c r="V747" s="202"/>
      <c r="W747" s="202"/>
      <c r="X747" s="202"/>
      <c r="Y747" s="201"/>
      <c r="Z747" s="201"/>
    </row>
    <row r="748">
      <c r="A748" s="273"/>
      <c r="B748" s="276"/>
      <c r="C748" s="273"/>
      <c r="D748" s="202"/>
      <c r="E748" s="202"/>
      <c r="F748" s="202"/>
      <c r="G748" s="202"/>
      <c r="H748" s="202"/>
      <c r="I748" s="201"/>
      <c r="J748" s="202"/>
      <c r="K748" s="273"/>
      <c r="L748" s="202"/>
      <c r="M748" s="202"/>
      <c r="N748" s="202"/>
      <c r="O748" s="202"/>
      <c r="P748" s="202"/>
      <c r="Q748" s="202"/>
      <c r="R748" s="201"/>
      <c r="S748" s="202"/>
      <c r="T748" s="273"/>
      <c r="U748" s="202"/>
      <c r="V748" s="202"/>
      <c r="W748" s="202"/>
      <c r="X748" s="202"/>
      <c r="Y748" s="201"/>
      <c r="Z748" s="201"/>
    </row>
    <row r="749">
      <c r="A749" s="273"/>
      <c r="B749" s="276"/>
      <c r="C749" s="273"/>
      <c r="D749" s="202"/>
      <c r="E749" s="202"/>
      <c r="F749" s="202"/>
      <c r="G749" s="202"/>
      <c r="H749" s="202"/>
      <c r="I749" s="201"/>
      <c r="J749" s="202"/>
      <c r="K749" s="273"/>
      <c r="L749" s="202"/>
      <c r="M749" s="202"/>
      <c r="N749" s="202"/>
      <c r="O749" s="202"/>
      <c r="P749" s="202"/>
      <c r="Q749" s="202"/>
      <c r="R749" s="201"/>
      <c r="S749" s="202"/>
      <c r="T749" s="273"/>
      <c r="U749" s="202"/>
      <c r="V749" s="202"/>
      <c r="W749" s="202"/>
      <c r="X749" s="202"/>
      <c r="Y749" s="201"/>
      <c r="Z749" s="201"/>
    </row>
    <row r="750">
      <c r="A750" s="273"/>
      <c r="B750" s="276"/>
      <c r="C750" s="273"/>
      <c r="D750" s="202"/>
      <c r="E750" s="202"/>
      <c r="F750" s="202"/>
      <c r="G750" s="202"/>
      <c r="H750" s="202"/>
      <c r="I750" s="201"/>
      <c r="J750" s="202"/>
      <c r="K750" s="273"/>
      <c r="L750" s="202"/>
      <c r="M750" s="202"/>
      <c r="N750" s="202"/>
      <c r="O750" s="202"/>
      <c r="P750" s="202"/>
      <c r="Q750" s="202"/>
      <c r="R750" s="201"/>
      <c r="S750" s="202"/>
      <c r="T750" s="273"/>
      <c r="U750" s="202"/>
      <c r="V750" s="202"/>
      <c r="W750" s="202"/>
      <c r="X750" s="202"/>
      <c r="Y750" s="201"/>
      <c r="Z750" s="201"/>
    </row>
  </sheetData>
  <mergeCells count="2">
    <mergeCell ref="D5:E5"/>
    <mergeCell ref="D6:E6"/>
  </mergeCells>
  <dataValidations>
    <dataValidation type="custom" allowBlank="1" showDropDown="1" sqref="D5:D6">
      <formula1>OR(NOT(ISERROR(DATEVALUE(D5))), AND(ISNUMBER(D5), LEFT(CELL("format", D5))="D"))</formula1>
    </dataValidation>
  </dataValidations>
  <printOptions gridLines="1" horizontalCentered="1"/>
  <pageMargins bottom="0.75" footer="0.0" header="0.0" left="0.7" right="0.7" top="0.75"/>
  <pageSetup fitToHeight="0" paperSize="14" cellComments="atEnd" orientation="portrait" pageOrder="overThenDown"/>
  <drawing r:id="rId4"/>
</worksheet>
</file>